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tables/table2.xml" ContentType="application/vnd.openxmlformats-officedocument.spreadsheetml.table+xml"/>
  <Override PartName="/xl/comments2.xml" ContentType="application/vnd.openxmlformats-officedocument.spreadsheetml.comments+xml"/>
  <Override PartName="/xl/tables/table3.xml" ContentType="application/vnd.openxmlformats-officedocument.spreadsheetml.table+xml"/>
  <Override PartName="/xl/comments3.xml" ContentType="application/vnd.openxmlformats-officedocument.spreadsheetml.comments+xml"/>
  <Override PartName="/xl/tables/table4.xml" ContentType="application/vnd.openxmlformats-officedocument.spreadsheetml.table+xml"/>
  <Override PartName="/xl/comments4.xml" ContentType="application/vnd.openxmlformats-officedocument.spreadsheetml.comments+xml"/>
  <Override PartName="/xl/drawings/drawing1.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comments5.xml" ContentType="application/vnd.openxmlformats-officedocument.spreadsheetml.comments+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drawings/drawing2.xml" ContentType="application/vnd.openxmlformats-officedocument.drawing+xml"/>
  <Override PartName="/xl/tables/table9.xml" ContentType="application/vnd.openxmlformats-officedocument.spreadsheetml.table+xml"/>
  <Override PartName="/xl/tables/table10.xml" ContentType="application/vnd.openxmlformats-officedocument.spreadsheetml.table+xml"/>
  <Override PartName="/xl/charts/chart9.xml" ContentType="application/vnd.openxmlformats-officedocument.drawingml.chart+xml"/>
  <Override PartName="/xl/tables/table11.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31"/>
  <workbookPr codeName="ThisWorkbook" defaultThemeVersion="124226"/>
  <mc:AlternateContent xmlns:mc="http://schemas.openxmlformats.org/markup-compatibility/2006">
    <mc:Choice Requires="x15">
      <x15ac:absPath xmlns:x15ac="http://schemas.microsoft.com/office/spreadsheetml/2010/11/ac" url="C:\Users\Mauricio\Dropbox\Projeto Mestrado\NodeXL\6- Co-Hashtags\"/>
    </mc:Choice>
  </mc:AlternateContent>
  <xr:revisionPtr revIDLastSave="0" documentId="13_ncr:11_{EFA49970-52EA-4256-BE89-C33C9FA71FF3}" xr6:coauthVersionLast="47" xr6:coauthVersionMax="47" xr10:uidLastSave="{00000000-0000-0000-0000-000000000000}"/>
  <bookViews>
    <workbookView xWindow="-120" yWindow="-120" windowWidth="24240" windowHeight="13020" activeTab="5" xr2:uid="{00000000-000D-0000-FFFF-FFFF00000000}"/>
  </bookViews>
  <sheets>
    <sheet name="Edges" sheetId="1" r:id="rId1"/>
    <sheet name="Vertices" sheetId="3" r:id="rId2"/>
    <sheet name="Do Not Delete" sheetId="4" state="hidden" r:id="rId3"/>
    <sheet name="Groups" sheetId="5" r:id="rId4"/>
    <sheet name="Group Vertices" sheetId="6" r:id="rId5"/>
    <sheet name="Overall Metrics" sheetId="7" r:id="rId6"/>
    <sheet name="Misc" sheetId="2" state="hidden" r:id="rId7"/>
    <sheet name="Export Options" sheetId="8" r:id="rId8"/>
  </sheets>
  <definedNames>
    <definedName name="BinDivisor">'Overall Metrics'!$X$2</definedName>
    <definedName name="DynamicFilterColumnName">'Overall Metrics'!#REF!</definedName>
    <definedName name="DynamicFilterForceCalculationRange">HistogramBins[[Dynamic Filter Bin]:[Dynamic Filter Frequency]]</definedName>
    <definedName name="DynamicFilterSourceColumnRange">'Overall Metrics'!$X$4</definedName>
    <definedName name="DynamicFilterTableName">'Overall Metrics'!#REF!</definedName>
    <definedName name="LOCAL_MYSQL_DATE_FORMAT" hidden="1">REPT(LOCAL_YEAR_FORMAT,4)&amp;LOCAL_DATE_SEPARATOR&amp;REPT(LOCAL_MONTH_FORMAT,2)&amp;LOCAL_DATE_SEPARATOR&amp;REPT(LOCAL_DAY_FORMAT,2)&amp;" "&amp;REPT(LOCAL_HOUR_FORMAT,2)&amp;LOCAL_TIME_SEPARATOR&amp;REPT(LOCAL_MINUTE_FORMAT,2)&amp;LOCAL_TIME_SEPARATOR&amp;REPT(LOCAL_SECOND_FORMAT,2)</definedName>
    <definedName name="NoMetricMessage">'Overall Metrics'!$X$3</definedName>
    <definedName name="NotAvailable">'Overall Metrics'!$X$2</definedName>
    <definedName name="ValidBooleansDefaultFalse">Misc!$G$2:$G$5</definedName>
    <definedName name="ValidEdgeStyles">Misc!$B$2:$B$11</definedName>
    <definedName name="ValidEdgeVisibilities">Misc!$A$2:$A$7</definedName>
    <definedName name="ValidGroupShapes">Misc!$E$2:$E$19</definedName>
    <definedName name="ValidGroupVisibilities">Misc!$F$2:$F$7</definedName>
    <definedName name="ValidVertexLabelPositions">Misc!$H$2:$H$21</definedName>
    <definedName name="ValidVertexShapes">Misc!$D$2:$D$23</definedName>
    <definedName name="ValidVertexVisibilities">Misc!$C$2:$C$9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O3" i="3" l="1"/>
  <c r="BO4" i="3"/>
  <c r="BO5" i="3"/>
  <c r="BO6" i="3"/>
  <c r="BO7" i="3"/>
  <c r="BO8" i="3"/>
  <c r="BO9" i="3"/>
  <c r="BO10" i="3"/>
  <c r="BO11" i="3"/>
  <c r="BO12" i="3"/>
  <c r="BO13" i="3"/>
  <c r="BO14" i="3"/>
  <c r="BO15" i="3"/>
  <c r="BO16" i="3"/>
  <c r="BO17" i="3"/>
  <c r="BO18" i="3"/>
  <c r="BO19" i="3"/>
  <c r="BO20" i="3"/>
  <c r="BO21" i="3"/>
  <c r="BO22" i="3"/>
  <c r="BO23" i="3"/>
  <c r="BO24" i="3"/>
  <c r="BO25" i="3"/>
  <c r="BO26" i="3"/>
  <c r="BO27" i="3"/>
  <c r="BO28" i="3"/>
  <c r="BO29" i="3"/>
  <c r="BO30" i="3"/>
  <c r="BO31" i="3"/>
  <c r="BO32" i="3"/>
  <c r="BO33" i="3"/>
  <c r="BO34" i="3"/>
  <c r="BO35" i="3"/>
  <c r="BO36" i="3"/>
  <c r="BO37" i="3"/>
  <c r="BO38" i="3"/>
  <c r="BO39" i="3"/>
  <c r="BO40" i="3"/>
  <c r="BO41" i="3"/>
  <c r="BO42" i="3"/>
  <c r="BO43" i="3"/>
  <c r="BO44" i="3"/>
  <c r="BO45" i="3"/>
  <c r="BO46" i="3"/>
  <c r="BO47" i="3"/>
  <c r="BO48" i="3"/>
  <c r="BO49" i="3"/>
  <c r="BO50" i="3"/>
  <c r="BO51" i="3"/>
  <c r="BO52" i="3"/>
  <c r="BO53" i="3"/>
  <c r="BO54" i="3"/>
  <c r="BO55" i="3"/>
  <c r="BO56" i="3"/>
  <c r="BO57" i="3"/>
  <c r="BO58" i="3"/>
  <c r="BO59" i="3"/>
  <c r="BO60" i="3"/>
  <c r="BO61" i="3"/>
  <c r="BO62" i="3"/>
  <c r="BO63" i="3"/>
  <c r="BO64" i="3"/>
  <c r="BO65" i="3"/>
  <c r="BO66" i="3"/>
  <c r="BO67" i="3"/>
  <c r="BO68" i="3"/>
  <c r="BO69" i="3"/>
  <c r="BO70" i="3"/>
  <c r="BO71" i="3"/>
  <c r="BO72" i="3"/>
  <c r="BO73" i="3"/>
  <c r="BO74" i="3"/>
  <c r="BO75" i="3"/>
  <c r="BO76" i="3"/>
  <c r="BO77" i="3"/>
  <c r="BO78" i="3"/>
  <c r="BO79" i="3"/>
  <c r="BO80" i="3"/>
  <c r="BO81" i="3"/>
  <c r="BO82" i="3"/>
  <c r="BO83" i="3"/>
  <c r="BO84" i="3"/>
  <c r="BO85" i="3"/>
  <c r="BO86" i="3"/>
  <c r="BO87" i="3"/>
  <c r="BO88" i="3"/>
  <c r="BO89" i="3"/>
  <c r="BO90" i="3"/>
  <c r="BO91" i="3"/>
  <c r="BO92" i="3"/>
  <c r="BO93" i="3"/>
  <c r="BO94" i="3"/>
  <c r="BO95" i="3"/>
  <c r="BO96" i="3"/>
  <c r="BO97" i="3"/>
  <c r="BO98" i="3"/>
  <c r="BO99" i="3"/>
  <c r="BO100" i="3"/>
  <c r="BO101" i="3"/>
  <c r="BO102" i="3"/>
  <c r="BO103" i="3"/>
  <c r="BO104" i="3"/>
  <c r="BO105" i="3"/>
  <c r="BO106" i="3"/>
  <c r="BO107" i="3"/>
  <c r="BO108" i="3"/>
  <c r="BO109" i="3"/>
  <c r="BO110" i="3"/>
  <c r="BO111" i="3"/>
  <c r="BO112" i="3"/>
  <c r="BO113" i="3"/>
  <c r="BO114" i="3"/>
  <c r="BO115" i="3"/>
  <c r="BO116" i="3"/>
  <c r="BO117" i="3"/>
  <c r="BO118" i="3"/>
  <c r="BO119" i="3"/>
  <c r="BO120" i="3"/>
  <c r="BO121" i="3"/>
  <c r="BO122" i="3"/>
  <c r="BO123" i="3"/>
  <c r="BO124" i="3"/>
  <c r="BO125" i="3"/>
  <c r="BO126" i="3"/>
  <c r="BO127" i="3"/>
  <c r="BO128" i="3"/>
  <c r="BO129" i="3"/>
  <c r="BO130" i="3"/>
  <c r="BO131" i="3"/>
  <c r="BO132" i="3"/>
  <c r="BO133" i="3"/>
  <c r="BO134" i="3"/>
  <c r="BO135" i="3"/>
  <c r="BO136" i="3"/>
  <c r="BO137" i="3"/>
  <c r="BO138" i="3"/>
  <c r="BO139" i="3"/>
  <c r="BO140" i="3"/>
  <c r="BO141" i="3"/>
  <c r="BO142" i="3"/>
  <c r="BO143" i="3"/>
  <c r="BO144" i="3"/>
  <c r="BO145" i="3"/>
  <c r="BO146" i="3"/>
  <c r="BO147" i="3"/>
  <c r="BO148" i="3"/>
  <c r="BO149" i="3"/>
  <c r="BO150" i="3"/>
  <c r="BO151" i="3"/>
  <c r="BO152" i="3"/>
  <c r="BO153" i="3"/>
  <c r="BO154" i="3"/>
  <c r="BO155" i="3"/>
  <c r="BO156" i="3"/>
  <c r="BO157" i="3"/>
  <c r="BO158" i="3"/>
  <c r="BO159" i="3"/>
  <c r="BO160" i="3"/>
  <c r="BO161" i="3"/>
  <c r="BO162" i="3"/>
  <c r="BO163" i="3"/>
  <c r="BO164" i="3"/>
  <c r="BO165" i="3"/>
  <c r="BO166" i="3"/>
  <c r="BO167" i="3"/>
  <c r="BO168" i="3"/>
  <c r="BO169" i="3"/>
  <c r="BO170" i="3"/>
  <c r="BO171" i="3"/>
  <c r="BO172" i="3"/>
  <c r="BO173" i="3"/>
  <c r="BO174" i="3"/>
  <c r="BO175" i="3"/>
  <c r="BO176" i="3"/>
  <c r="BO177" i="3"/>
  <c r="BO178" i="3"/>
  <c r="BO179" i="3"/>
  <c r="BO180" i="3"/>
  <c r="BO181" i="3"/>
  <c r="BO182" i="3"/>
  <c r="BO183" i="3"/>
  <c r="BO184" i="3"/>
  <c r="BO185" i="3"/>
  <c r="BO186" i="3"/>
  <c r="BO187" i="3"/>
  <c r="BO188" i="3"/>
  <c r="BO189" i="3"/>
  <c r="BO190" i="3"/>
  <c r="BO191" i="3"/>
  <c r="BO192" i="3"/>
  <c r="BO193" i="3"/>
  <c r="BO194" i="3"/>
  <c r="BO195" i="3"/>
  <c r="BO196" i="3"/>
  <c r="BO197" i="3"/>
  <c r="BO198" i="3"/>
  <c r="BO199" i="3"/>
  <c r="BO200" i="3"/>
  <c r="BO201" i="3"/>
  <c r="BO202" i="3"/>
  <c r="BO203" i="3"/>
  <c r="BO204" i="3"/>
  <c r="BO205" i="3"/>
  <c r="BO206" i="3"/>
  <c r="BO207" i="3"/>
  <c r="BO208" i="3"/>
  <c r="BO209" i="3"/>
  <c r="BO210" i="3"/>
  <c r="BO211" i="3"/>
  <c r="BO212" i="3"/>
  <c r="BO213" i="3"/>
  <c r="BO214" i="3"/>
  <c r="BO215" i="3"/>
  <c r="BO216" i="3"/>
  <c r="BO217" i="3"/>
  <c r="BO218" i="3"/>
  <c r="BO219" i="3"/>
  <c r="BO220" i="3"/>
  <c r="BO221" i="3"/>
  <c r="BO222" i="3"/>
  <c r="BO223" i="3"/>
  <c r="BO224" i="3"/>
  <c r="BO225" i="3"/>
  <c r="BO226" i="3"/>
  <c r="BO227" i="3"/>
  <c r="BO228" i="3"/>
  <c r="BO229" i="3"/>
  <c r="BO230" i="3"/>
  <c r="BO231" i="3"/>
  <c r="BO232" i="3"/>
  <c r="BO233" i="3"/>
  <c r="BO234" i="3"/>
  <c r="BO235" i="3"/>
  <c r="BO236" i="3"/>
  <c r="BO237" i="3"/>
  <c r="BO238" i="3"/>
  <c r="BO239" i="3"/>
  <c r="BO240" i="3"/>
  <c r="BO241" i="3"/>
  <c r="BO242" i="3"/>
  <c r="BO243" i="3"/>
  <c r="BO244" i="3"/>
  <c r="BO245" i="3"/>
  <c r="BO246" i="3"/>
  <c r="BO247" i="3"/>
  <c r="BO248" i="3"/>
  <c r="BO249" i="3"/>
  <c r="BO250" i="3"/>
  <c r="BO251" i="3"/>
  <c r="BO252" i="3"/>
  <c r="BO253" i="3"/>
  <c r="BO254" i="3"/>
  <c r="BO255" i="3"/>
  <c r="BO256" i="3"/>
  <c r="BO257" i="3"/>
  <c r="BO258" i="3"/>
  <c r="BO259" i="3"/>
  <c r="BO260" i="3"/>
  <c r="BO261" i="3"/>
  <c r="BO262" i="3"/>
  <c r="BO263" i="3"/>
  <c r="BO264" i="3"/>
  <c r="BO265" i="3"/>
  <c r="BO266" i="3"/>
  <c r="BO267" i="3"/>
  <c r="BO268" i="3"/>
  <c r="BO269" i="3"/>
  <c r="BO270" i="3"/>
  <c r="BO271" i="3"/>
  <c r="BO272" i="3"/>
  <c r="BO273" i="3"/>
  <c r="BO274" i="3"/>
  <c r="BO275" i="3"/>
  <c r="BO276" i="3"/>
  <c r="BO277" i="3"/>
  <c r="BO278" i="3"/>
  <c r="BO279" i="3"/>
  <c r="BO280" i="3"/>
  <c r="BO281" i="3"/>
  <c r="BO282" i="3"/>
  <c r="BO283" i="3"/>
  <c r="BO284" i="3"/>
  <c r="BO285" i="3"/>
  <c r="BO286" i="3"/>
  <c r="BO287" i="3"/>
  <c r="BO288" i="3"/>
  <c r="BO289" i="3"/>
  <c r="BO290" i="3"/>
  <c r="BO291" i="3"/>
  <c r="BO292" i="3"/>
  <c r="BO293" i="3"/>
  <c r="BO294" i="3"/>
  <c r="BO295" i="3"/>
  <c r="BO296" i="3"/>
  <c r="BO297" i="3"/>
  <c r="BO298" i="3"/>
  <c r="BO299" i="3"/>
  <c r="BO300" i="3"/>
  <c r="BO301" i="3"/>
  <c r="BO302" i="3"/>
  <c r="BO303" i="3"/>
  <c r="BO304" i="3"/>
  <c r="BO305" i="3"/>
  <c r="BO306" i="3"/>
  <c r="BO307" i="3"/>
  <c r="BO308" i="3"/>
  <c r="BO309" i="3"/>
  <c r="BO310" i="3"/>
  <c r="BO311" i="3"/>
  <c r="BO312" i="3"/>
  <c r="BO313" i="3"/>
  <c r="BO314" i="3"/>
  <c r="BO315" i="3"/>
  <c r="BO316" i="3"/>
  <c r="BO317" i="3"/>
  <c r="BO318" i="3"/>
  <c r="BO319" i="3"/>
  <c r="BO320" i="3"/>
  <c r="BO321" i="3"/>
  <c r="BO322" i="3"/>
  <c r="BO323" i="3"/>
  <c r="BO324" i="3"/>
  <c r="BO325" i="3"/>
  <c r="BO326" i="3"/>
  <c r="BO327" i="3"/>
  <c r="BO328" i="3"/>
  <c r="BO329" i="3"/>
  <c r="BO330" i="3"/>
  <c r="BO331" i="3"/>
  <c r="BO332" i="3"/>
  <c r="BO333" i="3"/>
  <c r="BO334" i="3"/>
  <c r="BO335" i="3"/>
  <c r="BO336" i="3"/>
  <c r="BO337" i="3"/>
  <c r="BO338" i="3"/>
  <c r="BO339" i="3"/>
  <c r="BO340" i="3"/>
  <c r="BO341" i="3"/>
  <c r="BO342" i="3"/>
  <c r="BO343" i="3"/>
  <c r="BO344" i="3"/>
  <c r="BO345" i="3"/>
  <c r="BO346" i="3"/>
  <c r="BO347" i="3"/>
  <c r="BO348" i="3"/>
  <c r="BO349" i="3"/>
  <c r="BO350" i="3"/>
  <c r="BO351" i="3"/>
  <c r="BO352" i="3"/>
  <c r="BO353" i="3"/>
  <c r="BO354" i="3"/>
  <c r="BO355" i="3"/>
  <c r="BO356" i="3"/>
  <c r="BO357" i="3"/>
  <c r="BO358" i="3"/>
  <c r="BO359" i="3"/>
  <c r="BO360" i="3"/>
  <c r="BO361" i="3"/>
  <c r="BO362" i="3"/>
  <c r="BO363" i="3"/>
  <c r="BO364" i="3"/>
  <c r="BO365" i="3"/>
  <c r="BO366" i="3"/>
  <c r="BO367" i="3"/>
  <c r="BO368" i="3"/>
  <c r="BO369" i="3"/>
  <c r="BO370" i="3"/>
  <c r="BO371" i="3"/>
  <c r="BO372" i="3"/>
  <c r="BO373" i="3"/>
  <c r="BO374" i="3"/>
  <c r="BO375" i="3"/>
  <c r="BO376" i="3"/>
  <c r="BO377" i="3"/>
  <c r="BO378" i="3"/>
  <c r="BO379" i="3"/>
  <c r="BO380" i="3"/>
  <c r="BO381" i="3"/>
  <c r="BO382" i="3"/>
  <c r="BO383" i="3"/>
  <c r="BO384" i="3"/>
  <c r="BO385" i="3"/>
  <c r="BO386" i="3"/>
  <c r="BO387" i="3"/>
  <c r="BO388" i="3"/>
  <c r="BO389" i="3"/>
  <c r="BO390" i="3"/>
  <c r="BO391" i="3"/>
  <c r="BO392" i="3"/>
  <c r="BO393" i="3"/>
  <c r="BO394" i="3"/>
  <c r="BO395" i="3"/>
  <c r="BO396" i="3"/>
  <c r="BO397" i="3"/>
  <c r="BO398" i="3"/>
  <c r="BO399" i="3"/>
  <c r="BO400" i="3"/>
  <c r="BO401" i="3"/>
  <c r="BO402" i="3"/>
  <c r="BO403" i="3"/>
  <c r="BO404" i="3"/>
  <c r="BO405" i="3"/>
  <c r="BO406" i="3"/>
  <c r="BO407" i="3"/>
  <c r="BO408" i="3"/>
  <c r="BO409" i="3"/>
  <c r="BO410" i="3"/>
  <c r="BO411" i="3"/>
  <c r="BO412" i="3"/>
  <c r="BO413" i="3"/>
  <c r="BO414" i="3"/>
  <c r="BO415" i="3"/>
  <c r="BO416" i="3"/>
  <c r="BO417" i="3"/>
  <c r="BO418" i="3"/>
  <c r="BO419" i="3"/>
  <c r="BO420" i="3"/>
  <c r="BO421" i="3"/>
  <c r="BO422" i="3"/>
  <c r="BO423" i="3"/>
  <c r="BO424" i="3"/>
  <c r="BO425" i="3"/>
  <c r="BO426" i="3"/>
  <c r="BO427" i="3"/>
  <c r="BO428" i="3"/>
  <c r="BO429" i="3"/>
  <c r="BO430" i="3"/>
  <c r="BO431" i="3"/>
  <c r="BO432" i="3"/>
  <c r="BO433" i="3"/>
  <c r="BO434" i="3"/>
  <c r="BO435" i="3"/>
  <c r="BO436" i="3"/>
  <c r="BO437" i="3"/>
  <c r="BO438" i="3"/>
  <c r="BO439" i="3"/>
  <c r="BO440" i="3"/>
  <c r="BO441" i="3"/>
  <c r="BO442" i="3"/>
  <c r="BO443" i="3"/>
  <c r="BO444" i="3"/>
  <c r="BO445" i="3"/>
  <c r="BO446" i="3"/>
  <c r="BO447" i="3"/>
  <c r="BO448" i="3"/>
  <c r="BO449" i="3"/>
  <c r="BO450" i="3"/>
  <c r="BO451" i="3"/>
  <c r="BO452" i="3"/>
  <c r="BO453" i="3"/>
  <c r="BO454" i="3"/>
  <c r="BO455" i="3"/>
  <c r="BO456" i="3"/>
  <c r="BO457" i="3"/>
  <c r="BO458" i="3"/>
  <c r="BO459" i="3"/>
  <c r="BO460" i="3"/>
  <c r="BO461" i="3"/>
  <c r="BO462" i="3"/>
  <c r="BO463" i="3"/>
  <c r="BO464" i="3"/>
  <c r="BO465" i="3"/>
  <c r="BO466" i="3"/>
  <c r="BO467" i="3"/>
  <c r="BO468" i="3"/>
  <c r="BO469" i="3"/>
  <c r="BO470" i="3"/>
  <c r="BO471" i="3"/>
  <c r="BO472" i="3"/>
  <c r="BO473" i="3"/>
  <c r="BO474" i="3"/>
  <c r="BO475" i="3"/>
  <c r="BO476" i="3"/>
  <c r="BO477" i="3"/>
  <c r="BO478" i="3"/>
  <c r="BO479" i="3"/>
  <c r="BO480" i="3"/>
  <c r="BO481" i="3"/>
  <c r="BO482" i="3"/>
  <c r="BO483" i="3"/>
  <c r="BO484" i="3"/>
  <c r="BO485" i="3"/>
  <c r="BO486" i="3"/>
  <c r="BO487" i="3"/>
  <c r="BO488" i="3"/>
  <c r="BO489" i="3"/>
  <c r="BO490" i="3"/>
  <c r="BO491" i="3"/>
  <c r="BO492" i="3"/>
  <c r="BO493" i="3"/>
  <c r="BO494" i="3"/>
  <c r="BO495" i="3"/>
  <c r="BO496" i="3"/>
  <c r="BO497" i="3"/>
  <c r="BO498" i="3"/>
  <c r="BO499" i="3"/>
  <c r="BO500" i="3"/>
  <c r="BO501" i="3"/>
  <c r="BO502" i="3"/>
  <c r="BO503" i="3"/>
  <c r="BO504" i="3"/>
  <c r="BO505" i="3"/>
  <c r="BO506" i="3"/>
  <c r="BO507" i="3"/>
  <c r="BO508" i="3"/>
  <c r="BO509" i="3"/>
  <c r="BO510" i="3"/>
  <c r="BO511" i="3"/>
  <c r="BO512" i="3"/>
  <c r="BO513" i="3"/>
  <c r="BO514" i="3"/>
  <c r="BO515" i="3"/>
  <c r="BO516" i="3"/>
  <c r="BO517" i="3"/>
  <c r="BO518" i="3"/>
  <c r="BO519" i="3"/>
  <c r="BO520" i="3"/>
  <c r="BO521" i="3"/>
  <c r="BO522" i="3"/>
  <c r="BO523" i="3"/>
  <c r="BO524" i="3"/>
  <c r="BO525" i="3"/>
  <c r="BO526" i="3"/>
  <c r="BO527" i="3"/>
  <c r="BO528" i="3"/>
  <c r="BO529" i="3"/>
  <c r="BO530" i="3"/>
  <c r="BO531" i="3"/>
  <c r="BO532" i="3"/>
  <c r="BO533" i="3"/>
  <c r="BO534" i="3"/>
  <c r="BO535" i="3"/>
  <c r="BO536" i="3"/>
  <c r="BO537" i="3"/>
  <c r="BO538" i="3"/>
  <c r="BO539" i="3"/>
  <c r="BO540" i="3"/>
  <c r="BO541" i="3"/>
  <c r="BO542" i="3"/>
  <c r="BO543" i="3"/>
  <c r="BO544" i="3"/>
  <c r="BO545" i="3"/>
  <c r="BO546" i="3"/>
  <c r="BO547" i="3"/>
  <c r="BO548" i="3"/>
  <c r="BO549" i="3"/>
  <c r="BO550" i="3"/>
  <c r="BO551" i="3"/>
  <c r="BO552" i="3"/>
  <c r="BO553" i="3"/>
  <c r="BO554" i="3"/>
  <c r="BO555" i="3"/>
  <c r="BO556" i="3"/>
  <c r="BO557" i="3"/>
  <c r="BO558" i="3"/>
  <c r="BO559" i="3"/>
  <c r="BO560" i="3"/>
  <c r="BO561" i="3"/>
  <c r="BO562" i="3"/>
  <c r="BO563" i="3"/>
  <c r="BO564" i="3"/>
  <c r="BO565" i="3"/>
  <c r="BO566" i="3"/>
  <c r="BO567" i="3"/>
  <c r="BO568" i="3"/>
  <c r="BO569" i="3"/>
  <c r="BO570" i="3"/>
  <c r="BO571" i="3"/>
  <c r="BO572" i="3"/>
  <c r="BO573" i="3"/>
  <c r="BO574" i="3"/>
  <c r="BO575" i="3"/>
  <c r="BO576" i="3"/>
  <c r="BO577" i="3"/>
  <c r="BO578" i="3"/>
  <c r="BO579" i="3"/>
  <c r="BO580" i="3"/>
  <c r="BO581" i="3"/>
  <c r="BO582" i="3"/>
  <c r="BO583" i="3"/>
  <c r="BO584" i="3"/>
  <c r="BO585" i="3"/>
  <c r="BO586" i="3"/>
  <c r="BO587" i="3"/>
  <c r="BO588" i="3"/>
  <c r="BO589" i="3"/>
  <c r="BO590" i="3"/>
  <c r="BO591" i="3"/>
  <c r="BO592" i="3"/>
  <c r="BO593" i="3"/>
  <c r="BO594" i="3"/>
  <c r="BO595" i="3"/>
  <c r="BO596" i="3"/>
  <c r="BO597" i="3"/>
  <c r="BO598" i="3"/>
  <c r="BO599" i="3"/>
  <c r="BO600" i="3"/>
  <c r="BO601" i="3"/>
  <c r="BO602" i="3"/>
  <c r="BO603" i="3"/>
  <c r="BO604" i="3"/>
  <c r="BO605" i="3"/>
  <c r="BO606" i="3"/>
  <c r="BO607" i="3"/>
  <c r="BO608" i="3"/>
  <c r="BO609" i="3"/>
  <c r="BO610" i="3"/>
  <c r="BO611" i="3"/>
  <c r="BO612" i="3"/>
  <c r="BO613" i="3"/>
  <c r="BO614" i="3"/>
  <c r="BO615" i="3"/>
  <c r="BO616" i="3"/>
  <c r="BO617" i="3"/>
  <c r="BO618" i="3"/>
  <c r="BO619" i="3"/>
  <c r="BO620" i="3"/>
  <c r="BO621" i="3"/>
  <c r="BO622" i="3"/>
  <c r="BO623" i="3"/>
  <c r="BO624" i="3"/>
  <c r="BO625" i="3"/>
  <c r="BO626" i="3"/>
  <c r="BO627" i="3"/>
  <c r="BO628" i="3"/>
  <c r="BO629" i="3"/>
  <c r="BO630" i="3"/>
  <c r="BO631" i="3"/>
  <c r="BO632" i="3"/>
  <c r="BO633" i="3"/>
  <c r="BO634" i="3"/>
  <c r="BO635" i="3"/>
  <c r="BO636" i="3"/>
  <c r="BO637" i="3"/>
  <c r="BO638" i="3"/>
  <c r="BO639" i="3"/>
  <c r="BO640" i="3"/>
  <c r="BO641" i="3"/>
  <c r="BO642" i="3"/>
  <c r="BO643" i="3"/>
  <c r="BO644" i="3"/>
  <c r="BO645" i="3"/>
  <c r="BO646" i="3"/>
  <c r="BO647" i="3"/>
  <c r="BO648" i="3"/>
  <c r="BO649" i="3"/>
  <c r="BO650" i="3"/>
  <c r="BO651" i="3"/>
  <c r="BO652" i="3"/>
  <c r="BO653" i="3"/>
  <c r="BO654" i="3"/>
  <c r="BO655" i="3"/>
  <c r="BO656" i="3"/>
  <c r="BO657" i="3"/>
  <c r="BO658" i="3"/>
  <c r="BO659" i="3"/>
  <c r="BO660" i="3"/>
  <c r="BO661" i="3"/>
  <c r="BO662" i="3"/>
  <c r="BO663" i="3"/>
  <c r="BO664" i="3"/>
  <c r="BO665" i="3"/>
  <c r="BO666" i="3"/>
  <c r="BO667" i="3"/>
  <c r="BO668" i="3"/>
  <c r="BO669" i="3"/>
  <c r="BO670" i="3"/>
  <c r="BO671" i="3"/>
  <c r="BO672" i="3"/>
  <c r="BO673" i="3"/>
  <c r="BO674" i="3"/>
  <c r="BO675" i="3"/>
  <c r="BO676" i="3"/>
  <c r="BO677" i="3"/>
  <c r="BO678" i="3"/>
  <c r="BO679" i="3"/>
  <c r="BO680" i="3"/>
  <c r="BO681" i="3"/>
  <c r="BO682" i="3"/>
  <c r="BO683" i="3"/>
  <c r="BO684" i="3"/>
  <c r="BO685" i="3"/>
  <c r="BO686" i="3"/>
  <c r="BO687" i="3"/>
  <c r="BO688" i="3"/>
  <c r="BO689" i="3"/>
  <c r="BO690" i="3"/>
  <c r="BO691" i="3"/>
  <c r="BO692" i="3"/>
  <c r="BO693" i="3"/>
  <c r="BO694" i="3"/>
  <c r="BO695" i="3"/>
  <c r="BO696" i="3"/>
  <c r="BO697" i="3"/>
  <c r="BO698" i="3"/>
  <c r="BO699" i="3"/>
  <c r="BO700" i="3"/>
  <c r="BO701" i="3"/>
  <c r="BO702" i="3"/>
  <c r="BO703" i="3"/>
  <c r="BO704" i="3"/>
  <c r="BO705" i="3"/>
  <c r="BO706" i="3"/>
  <c r="BO707" i="3"/>
  <c r="BO708" i="3"/>
  <c r="BO709" i="3"/>
  <c r="BO710" i="3"/>
  <c r="BO711" i="3"/>
  <c r="BO712" i="3"/>
  <c r="BO713" i="3"/>
  <c r="BO714" i="3"/>
  <c r="BO715" i="3"/>
  <c r="BO716" i="3"/>
  <c r="BO717" i="3"/>
  <c r="BO718" i="3"/>
  <c r="BO719" i="3"/>
  <c r="BO720" i="3"/>
  <c r="BO721" i="3"/>
  <c r="BO722" i="3"/>
  <c r="BO723" i="3"/>
  <c r="BO724" i="3"/>
  <c r="BO725" i="3"/>
  <c r="BO726" i="3"/>
  <c r="BO727" i="3"/>
  <c r="BO728" i="3"/>
  <c r="BO729" i="3"/>
  <c r="BO730" i="3"/>
  <c r="BO731" i="3"/>
  <c r="BO732" i="3"/>
  <c r="BO733" i="3"/>
  <c r="BO734" i="3"/>
  <c r="BO735" i="3"/>
  <c r="BO736" i="3"/>
  <c r="BO737" i="3"/>
  <c r="BO738" i="3"/>
  <c r="BO739" i="3"/>
  <c r="BO740" i="3"/>
  <c r="BO741" i="3"/>
  <c r="BO742" i="3"/>
  <c r="BO743" i="3"/>
  <c r="BO744" i="3"/>
  <c r="BO745" i="3"/>
  <c r="BO746" i="3"/>
  <c r="BO747" i="3"/>
  <c r="BO748" i="3"/>
  <c r="BO749" i="3"/>
  <c r="BO750" i="3"/>
  <c r="BO751" i="3"/>
  <c r="BO752" i="3"/>
  <c r="BO753" i="3"/>
  <c r="BO754" i="3"/>
  <c r="BO755" i="3"/>
  <c r="BO756" i="3"/>
  <c r="BO757" i="3"/>
  <c r="BO758" i="3"/>
  <c r="BO759" i="3"/>
  <c r="BO760" i="3"/>
  <c r="BO761" i="3"/>
  <c r="BO762" i="3"/>
  <c r="BO763" i="3"/>
  <c r="BO764" i="3"/>
  <c r="BO765" i="3"/>
  <c r="BO766" i="3"/>
  <c r="BO767" i="3"/>
  <c r="BO768" i="3"/>
  <c r="BO769" i="3"/>
  <c r="BO770" i="3"/>
  <c r="BO771" i="3"/>
  <c r="BO772" i="3"/>
  <c r="BO773" i="3"/>
  <c r="BO774" i="3"/>
  <c r="BO775" i="3"/>
  <c r="BO776" i="3"/>
  <c r="BO777" i="3"/>
  <c r="BO778" i="3"/>
  <c r="BO779" i="3"/>
  <c r="BO780" i="3"/>
  <c r="BO781" i="3"/>
  <c r="BO782" i="3"/>
  <c r="BO783" i="3"/>
  <c r="BO784" i="3"/>
  <c r="BO785" i="3"/>
  <c r="BO786" i="3"/>
  <c r="BO787" i="3"/>
  <c r="BO788" i="3"/>
  <c r="BO789" i="3"/>
  <c r="BO790" i="3"/>
  <c r="BO791" i="3"/>
  <c r="BO792" i="3"/>
  <c r="BO793" i="3"/>
  <c r="BO794" i="3"/>
  <c r="BO795" i="3"/>
  <c r="BO796" i="3"/>
  <c r="BO797" i="3"/>
  <c r="BO798" i="3"/>
  <c r="BO799" i="3"/>
  <c r="BO800" i="3"/>
  <c r="BO801" i="3"/>
  <c r="BO802" i="3"/>
  <c r="BO803" i="3"/>
  <c r="BO804" i="3"/>
  <c r="BO805" i="3"/>
  <c r="BO806" i="3"/>
  <c r="BO807" i="3"/>
  <c r="BO808" i="3"/>
  <c r="BO809" i="3"/>
  <c r="BO810" i="3"/>
  <c r="BO811" i="3"/>
  <c r="BO812" i="3"/>
  <c r="BO813" i="3"/>
  <c r="BO814" i="3"/>
  <c r="BO815" i="3"/>
  <c r="BO816" i="3"/>
  <c r="BO817" i="3"/>
  <c r="BO818" i="3"/>
  <c r="BO819" i="3"/>
  <c r="BO820" i="3"/>
  <c r="BO821" i="3"/>
  <c r="BO822" i="3"/>
  <c r="BO823" i="3"/>
  <c r="BO824" i="3"/>
  <c r="BO825" i="3"/>
  <c r="BO826" i="3"/>
  <c r="BO827" i="3"/>
  <c r="BO828" i="3"/>
  <c r="BO829" i="3"/>
  <c r="BO830" i="3"/>
  <c r="BO831" i="3"/>
  <c r="BO832" i="3"/>
  <c r="BO833" i="3"/>
  <c r="BO834" i="3"/>
  <c r="BO835" i="3"/>
  <c r="BO836" i="3"/>
  <c r="BO837" i="3"/>
  <c r="BO838" i="3"/>
  <c r="BO839" i="3"/>
  <c r="BO840" i="3"/>
  <c r="BO841" i="3"/>
  <c r="BO842" i="3"/>
  <c r="BO843" i="3"/>
  <c r="BO844" i="3"/>
  <c r="BO845" i="3"/>
  <c r="BO846" i="3"/>
  <c r="BO847" i="3"/>
  <c r="BO848" i="3"/>
  <c r="BO849" i="3"/>
  <c r="BO850" i="3"/>
  <c r="BO851" i="3"/>
  <c r="BO852" i="3"/>
  <c r="BO853" i="3"/>
  <c r="BO854" i="3"/>
  <c r="BO855" i="3"/>
  <c r="BO856" i="3"/>
  <c r="BO857" i="3"/>
  <c r="BO858" i="3"/>
  <c r="BO859" i="3"/>
  <c r="BO860" i="3"/>
  <c r="BO861" i="3"/>
  <c r="BO862" i="3"/>
  <c r="BO863" i="3"/>
  <c r="BO864" i="3"/>
  <c r="BO865" i="3"/>
  <c r="BO866" i="3"/>
  <c r="BO867" i="3"/>
  <c r="BO868" i="3"/>
  <c r="BO869" i="3"/>
  <c r="BO870" i="3"/>
  <c r="BO871" i="3"/>
  <c r="BO872" i="3"/>
  <c r="BO873" i="3"/>
  <c r="BO874" i="3"/>
  <c r="BO875" i="3"/>
  <c r="BO876" i="3"/>
  <c r="BO877" i="3"/>
  <c r="BO878" i="3"/>
  <c r="BO879" i="3"/>
  <c r="BO880" i="3"/>
  <c r="BO881" i="3"/>
  <c r="BO882" i="3"/>
  <c r="BO883" i="3"/>
  <c r="BO884" i="3"/>
  <c r="BO885" i="3"/>
  <c r="BO886" i="3"/>
  <c r="BO887" i="3"/>
  <c r="BO888" i="3"/>
  <c r="BO889" i="3"/>
  <c r="BO890" i="3"/>
  <c r="BO891" i="3"/>
  <c r="BO892" i="3"/>
  <c r="BO893" i="3"/>
  <c r="BO894" i="3"/>
  <c r="BO895" i="3"/>
  <c r="BO896" i="3"/>
  <c r="BO897" i="3"/>
  <c r="BO898" i="3"/>
  <c r="BO899" i="3"/>
  <c r="BO900" i="3"/>
  <c r="BO901" i="3"/>
  <c r="BO902" i="3"/>
  <c r="BO903" i="3"/>
  <c r="BO904" i="3"/>
  <c r="BO905" i="3"/>
  <c r="BO906" i="3"/>
  <c r="BO907" i="3"/>
  <c r="BO908" i="3"/>
  <c r="BO909" i="3"/>
  <c r="BO910" i="3"/>
  <c r="BO911" i="3"/>
  <c r="BO912" i="3"/>
  <c r="BO913" i="3"/>
  <c r="BO914" i="3"/>
  <c r="BO915" i="3"/>
  <c r="BO916" i="3"/>
  <c r="BO917" i="3"/>
  <c r="BO918" i="3"/>
  <c r="BO919" i="3"/>
  <c r="BO920" i="3"/>
  <c r="BO921" i="3"/>
  <c r="BO922" i="3"/>
  <c r="BO923" i="3"/>
  <c r="BO924" i="3"/>
  <c r="BO925" i="3"/>
  <c r="BO926" i="3"/>
  <c r="BO927" i="3"/>
  <c r="BO928" i="3"/>
  <c r="BO929" i="3"/>
  <c r="BO930" i="3"/>
  <c r="BO931" i="3"/>
  <c r="BO932" i="3"/>
  <c r="BO933" i="3"/>
  <c r="BO934" i="3"/>
  <c r="BO935" i="3"/>
  <c r="BO936" i="3"/>
  <c r="BO937" i="3"/>
  <c r="BO938" i="3"/>
  <c r="BO939" i="3"/>
  <c r="BO940" i="3"/>
  <c r="BO941" i="3"/>
  <c r="BO942" i="3"/>
  <c r="BO943" i="3"/>
  <c r="BO944" i="3"/>
  <c r="BO945" i="3"/>
  <c r="BO946" i="3"/>
  <c r="BO947" i="3"/>
  <c r="BO948" i="3"/>
  <c r="BO949" i="3"/>
  <c r="BO950" i="3"/>
  <c r="BO951" i="3"/>
  <c r="BO952" i="3"/>
  <c r="BO953" i="3"/>
  <c r="BO954" i="3"/>
  <c r="BO955" i="3"/>
  <c r="BO956" i="3"/>
  <c r="BO957" i="3"/>
  <c r="BO958" i="3"/>
  <c r="BO959" i="3"/>
  <c r="BO960" i="3"/>
  <c r="BO961" i="3"/>
  <c r="BO962" i="3"/>
  <c r="BO963" i="3"/>
  <c r="BO964" i="3"/>
  <c r="BO965" i="3"/>
  <c r="BO966" i="3"/>
  <c r="BO967" i="3"/>
  <c r="BO968" i="3"/>
  <c r="BO969" i="3"/>
  <c r="BO970" i="3"/>
  <c r="BO971" i="3"/>
  <c r="BO972" i="3"/>
  <c r="BO973" i="3"/>
  <c r="BO974" i="3"/>
  <c r="BO975" i="3"/>
  <c r="BO976" i="3"/>
  <c r="BO977" i="3"/>
  <c r="BO978" i="3"/>
  <c r="BO979" i="3"/>
  <c r="BO980" i="3"/>
  <c r="BO981" i="3"/>
  <c r="BO982" i="3"/>
  <c r="BO983" i="3"/>
  <c r="BO984" i="3"/>
  <c r="BO985" i="3"/>
  <c r="BO986" i="3"/>
  <c r="BO987" i="3"/>
  <c r="BO988" i="3"/>
  <c r="BO989" i="3"/>
  <c r="BO990" i="3"/>
  <c r="BO991" i="3"/>
  <c r="BO992" i="3"/>
  <c r="BO993" i="3"/>
  <c r="BO994" i="3"/>
  <c r="BO995" i="3"/>
  <c r="BO996" i="3"/>
  <c r="BO997" i="3"/>
  <c r="BO998" i="3"/>
  <c r="BO999" i="3"/>
  <c r="BO1000" i="3"/>
  <c r="BO1001" i="3"/>
  <c r="BO1002" i="3"/>
  <c r="BO1003" i="3"/>
  <c r="BO1004" i="3"/>
  <c r="BO1005" i="3"/>
  <c r="BO1006" i="3"/>
  <c r="BO1007" i="3"/>
  <c r="BO1008" i="3"/>
  <c r="BO1009" i="3"/>
  <c r="BO1010" i="3"/>
  <c r="BO1011" i="3"/>
  <c r="BO1012" i="3"/>
  <c r="BO1013" i="3"/>
  <c r="BO1014" i="3"/>
  <c r="BO1015" i="3"/>
  <c r="BO1016" i="3"/>
  <c r="BO1017" i="3"/>
  <c r="BO1018" i="3"/>
  <c r="BO1019" i="3"/>
  <c r="BO1020" i="3"/>
  <c r="BO1021" i="3"/>
  <c r="BO1022" i="3"/>
  <c r="BO1023" i="3"/>
  <c r="BO1024" i="3"/>
  <c r="BO1025" i="3"/>
  <c r="BO1026" i="3"/>
  <c r="BO1027" i="3"/>
  <c r="BO1028" i="3"/>
  <c r="BO1029" i="3"/>
  <c r="BO1030" i="3"/>
  <c r="BO1031" i="3"/>
  <c r="BO1032" i="3"/>
  <c r="BO1033" i="3"/>
  <c r="BO1034" i="3"/>
  <c r="BO1035" i="3"/>
  <c r="BO1036" i="3"/>
  <c r="BO1037" i="3"/>
  <c r="BO1038" i="3"/>
  <c r="BO1039" i="3"/>
  <c r="BO1040" i="3"/>
  <c r="BO1041" i="3"/>
  <c r="BO1042" i="3"/>
  <c r="BO1043" i="3"/>
  <c r="BO1044" i="3"/>
  <c r="BO1045" i="3"/>
  <c r="BO1046" i="3"/>
  <c r="BO1047" i="3"/>
  <c r="BO1048" i="3"/>
  <c r="BO1049" i="3"/>
  <c r="BO1050" i="3"/>
  <c r="BO1051" i="3"/>
  <c r="BO1052" i="3"/>
  <c r="BO1053" i="3"/>
  <c r="BO1054" i="3"/>
  <c r="BO1055" i="3"/>
  <c r="BO1056" i="3"/>
  <c r="BO1057" i="3"/>
  <c r="BO1058" i="3"/>
  <c r="BO1059" i="3"/>
  <c r="BO1060" i="3"/>
  <c r="BO1061" i="3"/>
  <c r="BO1062" i="3"/>
  <c r="BO1063" i="3"/>
  <c r="BO1064" i="3"/>
  <c r="BO1065" i="3"/>
  <c r="BO1066" i="3"/>
  <c r="BO1067" i="3"/>
  <c r="BO1068" i="3"/>
  <c r="BO1069" i="3"/>
  <c r="BO1070" i="3"/>
  <c r="BO1071" i="3"/>
  <c r="BO1072" i="3"/>
  <c r="BO1073" i="3"/>
  <c r="BO1074" i="3"/>
  <c r="BO1075" i="3"/>
  <c r="BO1076" i="3"/>
  <c r="BO1077" i="3"/>
  <c r="BO1078" i="3"/>
  <c r="BO1079" i="3"/>
  <c r="BO1080" i="3"/>
  <c r="BO1081" i="3"/>
  <c r="BO1082" i="3"/>
  <c r="BO1083" i="3"/>
  <c r="BO1084" i="3"/>
  <c r="BO1085" i="3"/>
  <c r="BO1086" i="3"/>
  <c r="BO1087" i="3"/>
  <c r="BO1088" i="3"/>
  <c r="BO1089" i="3"/>
  <c r="BO1090" i="3"/>
  <c r="BO1091" i="3"/>
  <c r="BO1092" i="3"/>
  <c r="BO1093" i="3"/>
  <c r="BO1094" i="3"/>
  <c r="BO1095" i="3"/>
  <c r="BO1096" i="3"/>
  <c r="BO1097" i="3"/>
  <c r="BO1098" i="3"/>
  <c r="BO1099" i="3"/>
  <c r="BO1100" i="3"/>
  <c r="BO1101" i="3"/>
  <c r="BO1102" i="3"/>
  <c r="BO1103" i="3"/>
  <c r="BO1104" i="3"/>
  <c r="BO1105" i="3"/>
  <c r="BO1106" i="3"/>
  <c r="BO1107" i="3"/>
  <c r="BO1108" i="3"/>
  <c r="BO1109" i="3"/>
  <c r="BO1110" i="3"/>
  <c r="BO1111" i="3"/>
  <c r="BO1112" i="3"/>
  <c r="BO1113" i="3"/>
  <c r="BO1114" i="3"/>
  <c r="BO1115" i="3"/>
  <c r="BO1116" i="3"/>
  <c r="BO1117" i="3"/>
  <c r="BO1118" i="3"/>
  <c r="BO1119" i="3"/>
  <c r="BO1120" i="3"/>
  <c r="BO1121" i="3"/>
  <c r="BO1122" i="3"/>
  <c r="BO1123" i="3"/>
  <c r="BO1124" i="3"/>
  <c r="BO1125" i="3"/>
  <c r="BO1126" i="3"/>
  <c r="BO1127" i="3"/>
  <c r="BO1128" i="3"/>
  <c r="BO1129" i="3"/>
  <c r="BO1130" i="3"/>
  <c r="BO1131" i="3"/>
  <c r="BO1132" i="3"/>
  <c r="BO1133" i="3"/>
  <c r="BO1134" i="3"/>
  <c r="BO1135" i="3"/>
  <c r="BO1136" i="3"/>
  <c r="BO1137" i="3"/>
  <c r="BO1138" i="3"/>
  <c r="BO1139" i="3"/>
  <c r="BO1140" i="3"/>
  <c r="BO1141" i="3"/>
  <c r="BO1142" i="3"/>
  <c r="BO1143" i="3"/>
  <c r="BO1144" i="3"/>
  <c r="BO1145" i="3"/>
  <c r="BO1146" i="3"/>
  <c r="BO1147" i="3"/>
  <c r="BO1148" i="3"/>
  <c r="BO1149" i="3"/>
  <c r="BO1150" i="3"/>
  <c r="BO1151" i="3"/>
  <c r="BO1152" i="3"/>
  <c r="BO1153" i="3"/>
  <c r="BO1154" i="3"/>
  <c r="BO1155" i="3"/>
  <c r="BO1156" i="3"/>
  <c r="BO1157" i="3"/>
  <c r="BO1158" i="3"/>
  <c r="BO1159" i="3"/>
  <c r="BO1160" i="3"/>
  <c r="BO1161" i="3"/>
  <c r="BO1162" i="3"/>
  <c r="BO1163" i="3"/>
  <c r="BO1164" i="3"/>
  <c r="BO1165" i="3"/>
  <c r="BO1166" i="3"/>
  <c r="BO1167" i="3"/>
  <c r="BO1168" i="3"/>
  <c r="BO1169" i="3"/>
  <c r="BO1170" i="3"/>
  <c r="BO1171" i="3"/>
  <c r="BO1172" i="3"/>
  <c r="BO1173" i="3"/>
  <c r="BO1174" i="3"/>
  <c r="BO1175" i="3"/>
  <c r="BO1176" i="3"/>
  <c r="BO1177" i="3"/>
  <c r="BO1178" i="3"/>
  <c r="BO1179" i="3"/>
  <c r="BO1180" i="3"/>
  <c r="BO1181" i="3"/>
  <c r="BO1182" i="3"/>
  <c r="BO1183" i="3"/>
  <c r="BO1184" i="3"/>
  <c r="BO1185" i="3"/>
  <c r="BO1186" i="3"/>
  <c r="BO1187" i="3"/>
  <c r="BO1188" i="3"/>
  <c r="BO1189" i="3"/>
  <c r="BO1190" i="3"/>
  <c r="BO1191" i="3"/>
  <c r="BO1192" i="3"/>
  <c r="BO1193" i="3"/>
  <c r="BO1194" i="3"/>
  <c r="BO1195" i="3"/>
  <c r="BO1196" i="3"/>
  <c r="BO1197" i="3"/>
  <c r="BO1198" i="3"/>
  <c r="BO1199" i="3"/>
  <c r="BO1200" i="3"/>
  <c r="BO1201" i="3"/>
  <c r="BO1202" i="3"/>
  <c r="BO1203" i="3"/>
  <c r="BO1204" i="3"/>
  <c r="BO1205" i="3"/>
  <c r="BO1206" i="3"/>
  <c r="BO1207" i="3"/>
  <c r="BO1208" i="3"/>
  <c r="BO1209" i="3"/>
  <c r="BO1210" i="3"/>
  <c r="BO1211" i="3"/>
  <c r="BO1212" i="3"/>
  <c r="BO1213" i="3"/>
  <c r="BO1214" i="3"/>
  <c r="BO1215" i="3"/>
  <c r="BO1216" i="3"/>
  <c r="BO1217" i="3"/>
  <c r="BO1218" i="3"/>
  <c r="BO1219" i="3"/>
  <c r="BO1220" i="3"/>
  <c r="BO1221" i="3"/>
  <c r="BO1222" i="3"/>
  <c r="BO1223" i="3"/>
  <c r="BO1224" i="3"/>
  <c r="BO1225" i="3"/>
  <c r="BO1226" i="3"/>
  <c r="BO1227" i="3"/>
  <c r="BO1228" i="3"/>
  <c r="BO1229" i="3"/>
  <c r="BO1230" i="3"/>
  <c r="BO1231" i="3"/>
  <c r="BO1232" i="3"/>
  <c r="BO1233" i="3"/>
  <c r="BO1234" i="3"/>
  <c r="BO1235" i="3"/>
  <c r="BO1236" i="3"/>
  <c r="BO1237" i="3"/>
  <c r="BO1238" i="3"/>
  <c r="BO1239" i="3"/>
  <c r="BO1240" i="3"/>
  <c r="BO1241" i="3"/>
  <c r="BO1242" i="3"/>
  <c r="BO1243" i="3"/>
  <c r="BO1244" i="3"/>
  <c r="BO1245" i="3"/>
  <c r="BO1246" i="3"/>
  <c r="BO1247" i="3"/>
  <c r="BO1248" i="3"/>
  <c r="BO1249" i="3"/>
  <c r="BO1250" i="3"/>
  <c r="BO1251" i="3"/>
  <c r="BO1252" i="3"/>
  <c r="BO1253" i="3"/>
  <c r="BO1254" i="3"/>
  <c r="BO1255" i="3"/>
  <c r="BO1256" i="3"/>
  <c r="BO1257" i="3"/>
  <c r="BO1258" i="3"/>
  <c r="BO1259" i="3"/>
  <c r="BO1260" i="3"/>
  <c r="BO1261" i="3"/>
  <c r="BO1262" i="3"/>
  <c r="BO1263" i="3"/>
  <c r="BO1264" i="3"/>
  <c r="BO1265" i="3"/>
  <c r="BO1266" i="3"/>
  <c r="BO1267" i="3"/>
  <c r="BO1268" i="3"/>
  <c r="BO1269" i="3"/>
  <c r="BO1270" i="3"/>
  <c r="BO1271" i="3"/>
  <c r="BO1272" i="3"/>
  <c r="BO1273" i="3"/>
  <c r="BO1274" i="3"/>
  <c r="BO1275" i="3"/>
  <c r="BO1276" i="3"/>
  <c r="BO1277" i="3"/>
  <c r="BO1278" i="3"/>
  <c r="BO1279" i="3"/>
  <c r="BO1280" i="3"/>
  <c r="BO1281" i="3"/>
  <c r="BO1282" i="3"/>
  <c r="BO1283" i="3"/>
  <c r="BO1284" i="3"/>
  <c r="BO1285" i="3"/>
  <c r="BO1286" i="3"/>
  <c r="BO1287" i="3"/>
  <c r="BO1288" i="3"/>
  <c r="BO1289" i="3"/>
  <c r="BO1290" i="3"/>
  <c r="BO1291" i="3"/>
  <c r="BO1292" i="3"/>
  <c r="BO1293" i="3"/>
  <c r="BO1294" i="3"/>
  <c r="BO1295" i="3"/>
  <c r="BO1296" i="3"/>
  <c r="BO1297" i="3"/>
  <c r="BO1298" i="3"/>
  <c r="BO1299" i="3"/>
  <c r="BO1300" i="3"/>
  <c r="BO1301" i="3"/>
  <c r="BO1302" i="3"/>
  <c r="BO1303" i="3"/>
  <c r="BO1304" i="3"/>
  <c r="BO1305" i="3"/>
  <c r="BO1306" i="3"/>
  <c r="BO1307" i="3"/>
  <c r="BO1308" i="3"/>
  <c r="BO1309" i="3"/>
  <c r="BO1310" i="3"/>
  <c r="BO1311" i="3"/>
  <c r="BO1312" i="3"/>
  <c r="BO1313" i="3"/>
  <c r="BO1314" i="3"/>
  <c r="BO1315" i="3"/>
  <c r="BO1316" i="3"/>
  <c r="BO1317" i="3"/>
  <c r="BO1318" i="3"/>
  <c r="BO1319" i="3"/>
  <c r="BO1320" i="3"/>
  <c r="BO1321" i="3"/>
  <c r="BO1322" i="3"/>
  <c r="BO1323" i="3"/>
  <c r="BO1324" i="3"/>
  <c r="BO1325" i="3"/>
  <c r="BO1326" i="3"/>
  <c r="BO1327" i="3"/>
  <c r="BO1328" i="3"/>
  <c r="BO1329" i="3"/>
  <c r="BO1330" i="3"/>
  <c r="BO1331" i="3"/>
  <c r="BO1332" i="3"/>
  <c r="BO1333" i="3"/>
  <c r="BO1334" i="3"/>
  <c r="BO1335" i="3"/>
  <c r="BO1336" i="3"/>
  <c r="BO1337" i="3"/>
  <c r="BO1338" i="3"/>
  <c r="BO1339" i="3"/>
  <c r="BO1340" i="3"/>
  <c r="BO1341" i="3"/>
  <c r="BO1342" i="3"/>
  <c r="BO1343" i="3"/>
  <c r="BO1344" i="3"/>
  <c r="BO1345" i="3"/>
  <c r="BO1346" i="3"/>
  <c r="BO1347" i="3"/>
  <c r="BO1348" i="3"/>
  <c r="BO1349" i="3"/>
  <c r="BO1350" i="3"/>
  <c r="BO1351" i="3"/>
  <c r="BO1352" i="3"/>
  <c r="BO1353" i="3"/>
  <c r="BO1354" i="3"/>
  <c r="BO1355" i="3"/>
  <c r="BO1356" i="3"/>
  <c r="BO1357" i="3"/>
  <c r="BO1358" i="3"/>
  <c r="BO1359" i="3"/>
  <c r="BO1360" i="3"/>
  <c r="BO1361" i="3"/>
  <c r="BO1362" i="3"/>
  <c r="BO1363" i="3"/>
  <c r="BO1364" i="3"/>
  <c r="BO1365" i="3"/>
  <c r="BO1366" i="3"/>
  <c r="BO1367" i="3"/>
  <c r="BO1368" i="3"/>
  <c r="BO1369" i="3"/>
  <c r="BO1370" i="3"/>
  <c r="BO1371" i="3"/>
  <c r="BO1372" i="3"/>
  <c r="BO1373" i="3"/>
  <c r="BO1374" i="3"/>
  <c r="BO1375" i="3"/>
  <c r="BO1376" i="3"/>
  <c r="BO1377" i="3"/>
  <c r="BO1378" i="3"/>
  <c r="BO1379" i="3"/>
  <c r="BO1380" i="3"/>
  <c r="BO1381" i="3"/>
  <c r="BO1382" i="3"/>
  <c r="BO1383" i="3"/>
  <c r="BO1384" i="3"/>
  <c r="BO1385" i="3"/>
  <c r="BO1386" i="3"/>
  <c r="BO1387" i="3"/>
  <c r="BO1388" i="3"/>
  <c r="BO1389" i="3"/>
  <c r="BO1390" i="3"/>
  <c r="BO1391" i="3"/>
  <c r="BO1392" i="3"/>
  <c r="BO1393" i="3"/>
  <c r="BO1394" i="3"/>
  <c r="BO1395" i="3"/>
  <c r="BO1396" i="3"/>
  <c r="BO1397" i="3"/>
  <c r="BO1398" i="3"/>
  <c r="BO1399" i="3"/>
  <c r="BO1400" i="3"/>
  <c r="BO1401" i="3"/>
  <c r="BO1402" i="3"/>
  <c r="BO1403" i="3"/>
  <c r="BO1404" i="3"/>
  <c r="BO1405" i="3"/>
  <c r="BO1406" i="3"/>
  <c r="BO1407" i="3"/>
  <c r="BO1408" i="3"/>
  <c r="BO1409" i="3"/>
  <c r="BO1410" i="3"/>
  <c r="BO1411" i="3"/>
  <c r="BO1412" i="3"/>
  <c r="BO1413" i="3"/>
  <c r="BO1414" i="3"/>
  <c r="BO1415" i="3"/>
  <c r="BO1416" i="3"/>
  <c r="BO1417" i="3"/>
  <c r="BO1418" i="3"/>
  <c r="BO1419" i="3"/>
  <c r="BO1420" i="3"/>
  <c r="BO1421" i="3"/>
  <c r="BO1422" i="3"/>
  <c r="BO1423" i="3"/>
  <c r="BO1424" i="3"/>
  <c r="BO1425" i="3"/>
  <c r="BO1426" i="3"/>
  <c r="BO1427" i="3"/>
  <c r="BO1428" i="3"/>
  <c r="BO1429" i="3"/>
  <c r="BO1430" i="3"/>
  <c r="BO1431" i="3"/>
  <c r="BO1432" i="3"/>
  <c r="BO1433" i="3"/>
  <c r="BO1434" i="3"/>
  <c r="BO1435" i="3"/>
  <c r="BO1436" i="3"/>
  <c r="BO1437" i="3"/>
  <c r="BO1438" i="3"/>
  <c r="BO1439" i="3"/>
  <c r="BO1440" i="3"/>
  <c r="BO1441" i="3"/>
  <c r="BO1442" i="3"/>
  <c r="BO1443" i="3"/>
  <c r="BO1444" i="3"/>
  <c r="BO1445" i="3"/>
  <c r="BO1446" i="3"/>
  <c r="BO1447" i="3"/>
  <c r="BO1448" i="3"/>
  <c r="BO1449" i="3"/>
  <c r="BO1450" i="3"/>
  <c r="BO1451" i="3"/>
  <c r="BO1452" i="3"/>
  <c r="BO1453" i="3"/>
  <c r="BO1454" i="3"/>
  <c r="BO1455" i="3"/>
  <c r="BO1456" i="3"/>
  <c r="BO1457" i="3"/>
  <c r="BO1458" i="3"/>
  <c r="BO1459" i="3"/>
  <c r="BO1460" i="3"/>
  <c r="BO1461" i="3"/>
  <c r="BO1462" i="3"/>
  <c r="BO1463" i="3"/>
  <c r="BO1464" i="3"/>
  <c r="BO1465" i="3"/>
  <c r="BO1466" i="3"/>
  <c r="BO1467" i="3"/>
  <c r="BO1468" i="3"/>
  <c r="BO1469" i="3"/>
  <c r="BO1470" i="3"/>
  <c r="BO1471" i="3"/>
  <c r="BO1472" i="3"/>
  <c r="BO1473" i="3"/>
  <c r="BO1474" i="3"/>
  <c r="BO1475" i="3"/>
  <c r="BO1476" i="3"/>
  <c r="BO1477" i="3"/>
  <c r="BO1478" i="3"/>
  <c r="BO1479" i="3"/>
  <c r="BO1480" i="3"/>
  <c r="BO1481" i="3"/>
  <c r="BO1482" i="3"/>
  <c r="BO1483" i="3"/>
  <c r="BO1484" i="3"/>
  <c r="BO1485" i="3"/>
  <c r="BO1486" i="3"/>
  <c r="BO1487" i="3"/>
  <c r="BO1488" i="3"/>
  <c r="BO1489" i="3"/>
  <c r="BO1490" i="3"/>
  <c r="BO1491" i="3"/>
  <c r="BO1492" i="3"/>
  <c r="BO1493" i="3"/>
  <c r="BO1494" i="3"/>
  <c r="BO1495" i="3"/>
  <c r="BO1496" i="3"/>
  <c r="BO1497" i="3"/>
  <c r="BO1498" i="3"/>
  <c r="BO1499" i="3"/>
  <c r="BO1500" i="3"/>
  <c r="BO1501" i="3"/>
  <c r="BO1502" i="3"/>
  <c r="BO1503" i="3"/>
  <c r="BO1504" i="3"/>
  <c r="BO1505" i="3"/>
  <c r="BO1506" i="3"/>
  <c r="BO1507" i="3"/>
  <c r="BO1508" i="3"/>
  <c r="BO1509" i="3"/>
  <c r="BO1510" i="3"/>
  <c r="BO1511" i="3"/>
  <c r="BO1512" i="3"/>
  <c r="BO1513" i="3"/>
  <c r="BO1514" i="3"/>
  <c r="BO1515" i="3"/>
  <c r="BO1516" i="3"/>
  <c r="BO1517" i="3"/>
  <c r="BO1518" i="3"/>
  <c r="BO1519" i="3"/>
  <c r="BO1520" i="3"/>
  <c r="BO1521" i="3"/>
  <c r="BO1522" i="3"/>
  <c r="BO1523" i="3"/>
  <c r="BO1524" i="3"/>
  <c r="BO1525" i="3"/>
  <c r="BO1526" i="3"/>
  <c r="BO1527" i="3"/>
  <c r="BO1528" i="3"/>
  <c r="BO1529" i="3"/>
  <c r="BO1530" i="3"/>
  <c r="BO1531" i="3"/>
  <c r="BO1532" i="3"/>
  <c r="BO1533" i="3"/>
  <c r="BO1534" i="3"/>
  <c r="BO1535" i="3"/>
  <c r="BO1536" i="3"/>
  <c r="BO1537" i="3"/>
  <c r="BO1538" i="3"/>
  <c r="BO1539" i="3"/>
  <c r="BO1540" i="3"/>
  <c r="BO1541" i="3"/>
  <c r="BO1542" i="3"/>
  <c r="BO1543" i="3"/>
  <c r="BO1544" i="3"/>
  <c r="BO1545" i="3"/>
  <c r="BO1546" i="3"/>
  <c r="BO1547" i="3"/>
  <c r="BO1548" i="3"/>
  <c r="BO1549" i="3"/>
  <c r="BO1550" i="3"/>
  <c r="BO1551" i="3"/>
  <c r="BO1552" i="3"/>
  <c r="BO1553" i="3"/>
  <c r="BO1554" i="3"/>
  <c r="BO1555" i="3"/>
  <c r="BO1556" i="3"/>
  <c r="BO1557" i="3"/>
  <c r="BO1558" i="3"/>
  <c r="BO1559" i="3"/>
  <c r="BO1560" i="3"/>
  <c r="BO1561" i="3"/>
  <c r="BO1562" i="3"/>
  <c r="BO1563" i="3"/>
  <c r="BO1564" i="3"/>
  <c r="BO1565" i="3"/>
  <c r="BO1566" i="3"/>
  <c r="BO1567" i="3"/>
  <c r="BO1568" i="3"/>
  <c r="BO1569" i="3"/>
  <c r="BO1570" i="3"/>
  <c r="BO1571" i="3"/>
  <c r="BO1572" i="3"/>
  <c r="BO1573" i="3"/>
  <c r="BO1574" i="3"/>
  <c r="BO1575" i="3"/>
  <c r="BO1576" i="3"/>
  <c r="BO1577" i="3"/>
  <c r="BO1578" i="3"/>
  <c r="BO1579" i="3"/>
  <c r="BO1580" i="3"/>
  <c r="BO1581" i="3"/>
  <c r="BO1582" i="3"/>
  <c r="BO1583" i="3"/>
  <c r="BO1584" i="3"/>
  <c r="BO1585" i="3"/>
  <c r="BO1586" i="3"/>
  <c r="BO1587" i="3"/>
  <c r="BO1588" i="3"/>
  <c r="BO1589" i="3"/>
  <c r="BO1590" i="3"/>
  <c r="BO1591" i="3"/>
  <c r="BO1592" i="3"/>
  <c r="BO1593" i="3"/>
  <c r="BO1594" i="3"/>
  <c r="BO1595" i="3"/>
  <c r="BO1596" i="3"/>
  <c r="BO1597" i="3"/>
  <c r="BO1598" i="3"/>
  <c r="BO1599" i="3"/>
  <c r="BO1600" i="3"/>
  <c r="BO1601" i="3"/>
  <c r="BO1602" i="3"/>
  <c r="BO1603" i="3"/>
  <c r="BO1604" i="3"/>
  <c r="BO1605" i="3"/>
  <c r="BO1606" i="3"/>
  <c r="BO1607" i="3"/>
  <c r="BO1608" i="3"/>
  <c r="BO1609" i="3"/>
  <c r="BO1610" i="3"/>
  <c r="BO1611" i="3"/>
  <c r="BO1612" i="3"/>
  <c r="BO1613" i="3"/>
  <c r="BO1614" i="3"/>
  <c r="BO1615" i="3"/>
  <c r="BO1616" i="3"/>
  <c r="BO1617" i="3"/>
  <c r="BO1618" i="3"/>
  <c r="BO1619" i="3"/>
  <c r="BO1620" i="3"/>
  <c r="BO1621" i="3"/>
  <c r="BO1622" i="3"/>
  <c r="BO1623" i="3"/>
  <c r="BO1624" i="3"/>
  <c r="BO1625" i="3"/>
  <c r="BO1626" i="3"/>
  <c r="BO1627" i="3"/>
  <c r="BO1628" i="3"/>
  <c r="BO1629" i="3"/>
  <c r="BO1630" i="3"/>
  <c r="BO1631" i="3"/>
  <c r="BO1632" i="3"/>
  <c r="BO1633" i="3"/>
  <c r="BO1634" i="3"/>
  <c r="BO1635" i="3"/>
  <c r="BO1636" i="3"/>
  <c r="BO1637" i="3"/>
  <c r="BO1638" i="3"/>
  <c r="BO1639" i="3"/>
  <c r="BO1640" i="3"/>
  <c r="BO1641" i="3"/>
  <c r="BO1642" i="3"/>
  <c r="BO1643" i="3"/>
  <c r="BO1644" i="3"/>
  <c r="BO1645" i="3"/>
  <c r="BO1646" i="3"/>
  <c r="BO1647" i="3"/>
  <c r="BO1648" i="3"/>
  <c r="BO1649" i="3"/>
  <c r="BO1650" i="3"/>
  <c r="BO1651" i="3"/>
  <c r="BO1652" i="3"/>
  <c r="BO1653" i="3"/>
  <c r="BO1654" i="3"/>
  <c r="BO1655" i="3"/>
  <c r="BO1656" i="3"/>
  <c r="BO1657" i="3"/>
  <c r="BO1658" i="3"/>
  <c r="BO1659" i="3"/>
  <c r="BO1660" i="3"/>
  <c r="BO1661" i="3"/>
  <c r="BO1662" i="3"/>
  <c r="BO1663" i="3"/>
  <c r="BO1664" i="3"/>
  <c r="BO1665" i="3"/>
  <c r="BO1666" i="3"/>
  <c r="BO1667" i="3"/>
  <c r="BO1668" i="3"/>
  <c r="BO1669" i="3"/>
  <c r="BO1670" i="3"/>
  <c r="BO1671" i="3"/>
  <c r="BO1672" i="3"/>
  <c r="BO1673" i="3"/>
  <c r="BO1674" i="3"/>
  <c r="BO1675" i="3"/>
  <c r="BO1676" i="3"/>
  <c r="BO1677" i="3"/>
  <c r="BO1678" i="3"/>
  <c r="BO1679" i="3"/>
  <c r="BO1680" i="3"/>
  <c r="BO1681" i="3"/>
  <c r="BO1682" i="3"/>
  <c r="BO1683" i="3"/>
  <c r="BO1684" i="3"/>
  <c r="BO1685" i="3"/>
  <c r="BO1686" i="3"/>
  <c r="BO1687" i="3"/>
  <c r="BO1688" i="3"/>
  <c r="BO1689" i="3"/>
  <c r="BO1690" i="3"/>
  <c r="BO1691" i="3"/>
  <c r="BO1692" i="3"/>
  <c r="BO1693" i="3"/>
  <c r="BO1694" i="3"/>
  <c r="BO1695" i="3"/>
  <c r="BO1696" i="3"/>
  <c r="BO1697" i="3"/>
  <c r="BO1698" i="3"/>
  <c r="BO1699" i="3"/>
  <c r="BO1700" i="3"/>
  <c r="BO1701" i="3"/>
  <c r="BO1702" i="3"/>
  <c r="BO1703" i="3"/>
  <c r="BO1704" i="3"/>
  <c r="BO1705" i="3"/>
  <c r="BO1706" i="3"/>
  <c r="BO1707" i="3"/>
  <c r="BO1708" i="3"/>
  <c r="BO1709" i="3"/>
  <c r="BO1710" i="3"/>
  <c r="BO1711" i="3"/>
  <c r="BO1712" i="3"/>
  <c r="BO1713" i="3"/>
  <c r="BO1714" i="3"/>
  <c r="BO1715" i="3"/>
  <c r="BO1716" i="3"/>
  <c r="BO1717" i="3"/>
  <c r="BO1718" i="3"/>
  <c r="BO1719" i="3"/>
  <c r="BO1720" i="3"/>
  <c r="BO1721" i="3"/>
  <c r="BO1722" i="3"/>
  <c r="BO1723" i="3"/>
  <c r="BO1724" i="3"/>
  <c r="BO1725" i="3"/>
  <c r="BO1726" i="3"/>
  <c r="BO1727" i="3"/>
  <c r="BO1728" i="3"/>
  <c r="BO1729" i="3"/>
  <c r="BO1730" i="3"/>
  <c r="BO1731" i="3"/>
  <c r="BO1732" i="3"/>
  <c r="BO1733" i="3"/>
  <c r="BO1734" i="3"/>
  <c r="BO1735" i="3"/>
  <c r="BO1736" i="3"/>
  <c r="BO1737" i="3"/>
  <c r="BO1738" i="3"/>
  <c r="BO1739" i="3"/>
  <c r="BO1740" i="3"/>
  <c r="BO1741" i="3"/>
  <c r="BO1742" i="3"/>
  <c r="BO1743" i="3"/>
  <c r="BO1744" i="3"/>
  <c r="BO1745" i="3"/>
  <c r="BO1746" i="3"/>
  <c r="BO1747" i="3"/>
  <c r="BO1748" i="3"/>
  <c r="BO1749" i="3"/>
  <c r="BO1750" i="3"/>
  <c r="BO1751" i="3"/>
  <c r="BO1752" i="3"/>
  <c r="BO1753" i="3"/>
  <c r="BO1754" i="3"/>
  <c r="BO1755" i="3"/>
  <c r="BO1756" i="3"/>
  <c r="BO1757" i="3"/>
  <c r="BO1758" i="3"/>
  <c r="BO1759" i="3"/>
  <c r="BO1760" i="3"/>
  <c r="BO1761" i="3"/>
  <c r="BO1762" i="3"/>
  <c r="BO1763" i="3"/>
  <c r="BO1764" i="3"/>
  <c r="BO1765" i="3"/>
  <c r="BO1766" i="3"/>
  <c r="BO1767" i="3"/>
  <c r="BO1768" i="3"/>
  <c r="BO1769" i="3"/>
  <c r="BO1770" i="3"/>
  <c r="BO1771" i="3"/>
  <c r="BO1772" i="3"/>
  <c r="BO1773" i="3"/>
  <c r="BO1774" i="3"/>
  <c r="BO1775" i="3"/>
  <c r="BO1776" i="3"/>
  <c r="BO1777" i="3"/>
  <c r="BO1778" i="3"/>
  <c r="BO1779" i="3"/>
  <c r="BO1780" i="3"/>
  <c r="BO1781" i="3"/>
  <c r="BO1782" i="3"/>
  <c r="BO1783" i="3"/>
  <c r="BO1784" i="3"/>
  <c r="BO1785" i="3"/>
  <c r="BO1786" i="3"/>
  <c r="BO1787" i="3"/>
  <c r="BO1788" i="3"/>
  <c r="BO1789" i="3"/>
  <c r="BO1790" i="3"/>
  <c r="BO1791" i="3"/>
  <c r="BO1792" i="3"/>
  <c r="BO1793" i="3"/>
  <c r="BO1794" i="3"/>
  <c r="BO1795" i="3"/>
  <c r="BO1796" i="3"/>
  <c r="BO1797" i="3"/>
  <c r="BO1798" i="3"/>
  <c r="BO1799" i="3"/>
  <c r="BO1800" i="3"/>
  <c r="BO1801" i="3"/>
  <c r="BO1802" i="3"/>
  <c r="BO1803" i="3"/>
  <c r="BO1804" i="3"/>
  <c r="BO1805" i="3"/>
  <c r="BO1806" i="3"/>
  <c r="BO1807" i="3"/>
  <c r="BO1808" i="3"/>
  <c r="BO1809" i="3"/>
  <c r="BO1810" i="3"/>
  <c r="BO1811" i="3"/>
  <c r="BO1812" i="3"/>
  <c r="BO1813" i="3"/>
  <c r="BO1814" i="3"/>
  <c r="BO1815" i="3"/>
  <c r="BO1816" i="3"/>
  <c r="BO1817" i="3"/>
  <c r="BO1818" i="3"/>
  <c r="BO1819" i="3"/>
  <c r="BO1820" i="3"/>
  <c r="BO1821" i="3"/>
  <c r="BO1822" i="3"/>
  <c r="BO1823" i="3"/>
  <c r="BO1824" i="3"/>
  <c r="BO1825" i="3"/>
  <c r="BO1826" i="3"/>
  <c r="BO1827" i="3"/>
  <c r="BO1828" i="3"/>
  <c r="BO1829" i="3"/>
  <c r="BO1830" i="3"/>
  <c r="BO1831" i="3"/>
  <c r="BO1832" i="3"/>
  <c r="BO1833" i="3"/>
  <c r="BO1834" i="3"/>
  <c r="BO1835" i="3"/>
  <c r="BO1836" i="3"/>
  <c r="BO1837" i="3"/>
  <c r="BO1838" i="3"/>
  <c r="BO1839" i="3"/>
  <c r="BO1840" i="3"/>
  <c r="BO1841" i="3"/>
  <c r="BO1842" i="3"/>
  <c r="BO1843" i="3"/>
  <c r="BO1844" i="3"/>
  <c r="BO1845" i="3"/>
  <c r="BO1846" i="3"/>
  <c r="BO1847" i="3"/>
  <c r="BO1848" i="3"/>
  <c r="BO1849" i="3"/>
  <c r="BO1850" i="3"/>
  <c r="BO1851" i="3"/>
  <c r="BO1852" i="3"/>
  <c r="BO1853" i="3"/>
  <c r="BO1854" i="3"/>
  <c r="BO1855" i="3"/>
  <c r="BO1856" i="3"/>
  <c r="BO1857" i="3"/>
  <c r="BO1858" i="3"/>
  <c r="BO1859" i="3"/>
  <c r="BO1860" i="3"/>
  <c r="BO1861" i="3"/>
  <c r="BO1862" i="3"/>
  <c r="F3" i="3"/>
  <c r="F4" i="3"/>
  <c r="F5" i="3"/>
  <c r="F6" i="3"/>
  <c r="F7" i="3"/>
  <c r="F8" i="3"/>
  <c r="F9" i="3"/>
  <c r="F10" i="3"/>
  <c r="F11" i="3"/>
  <c r="F12" i="3"/>
  <c r="F13" i="3"/>
  <c r="F14" i="3"/>
  <c r="F15" i="3"/>
  <c r="F16" i="3"/>
  <c r="F17" i="3"/>
  <c r="F18" i="3"/>
  <c r="F19" i="3"/>
  <c r="F20" i="3"/>
  <c r="F21" i="3"/>
  <c r="F22" i="3"/>
  <c r="F23" i="3"/>
  <c r="F24" i="3"/>
  <c r="F25" i="3"/>
  <c r="F26" i="3"/>
  <c r="F27" i="3"/>
  <c r="F28" i="3"/>
  <c r="F29" i="3"/>
  <c r="F30" i="3"/>
  <c r="F31" i="3"/>
  <c r="F32" i="3"/>
  <c r="F33" i="3"/>
  <c r="F34" i="3"/>
  <c r="F35" i="3"/>
  <c r="F36" i="3"/>
  <c r="F37" i="3"/>
  <c r="F38" i="3"/>
  <c r="F39" i="3"/>
  <c r="F40" i="3"/>
  <c r="F41" i="3"/>
  <c r="F42" i="3"/>
  <c r="F43" i="3"/>
  <c r="F44" i="3"/>
  <c r="F45" i="3"/>
  <c r="F46" i="3"/>
  <c r="F47" i="3"/>
  <c r="F48" i="3"/>
  <c r="F49" i="3"/>
  <c r="F50" i="3"/>
  <c r="F51" i="3"/>
  <c r="F52" i="3"/>
  <c r="F53" i="3"/>
  <c r="F54" i="3"/>
  <c r="F55" i="3"/>
  <c r="F56" i="3"/>
  <c r="F57" i="3"/>
  <c r="F58" i="3"/>
  <c r="F59" i="3"/>
  <c r="F60" i="3"/>
  <c r="F61" i="3"/>
  <c r="F62" i="3"/>
  <c r="F63" i="3"/>
  <c r="F64" i="3"/>
  <c r="F65" i="3"/>
  <c r="F66" i="3"/>
  <c r="F67" i="3"/>
  <c r="F68" i="3"/>
  <c r="F69" i="3"/>
  <c r="F70" i="3"/>
  <c r="F71" i="3"/>
  <c r="F72" i="3"/>
  <c r="F73" i="3"/>
  <c r="F74" i="3"/>
  <c r="F75" i="3"/>
  <c r="F76" i="3"/>
  <c r="F77" i="3"/>
  <c r="F78" i="3"/>
  <c r="F79" i="3"/>
  <c r="F80" i="3"/>
  <c r="F81" i="3"/>
  <c r="F82" i="3"/>
  <c r="F83" i="3"/>
  <c r="F84" i="3"/>
  <c r="F85" i="3"/>
  <c r="F86" i="3"/>
  <c r="F87" i="3"/>
  <c r="F88" i="3"/>
  <c r="F89" i="3"/>
  <c r="F90" i="3"/>
  <c r="F91" i="3"/>
  <c r="F92" i="3"/>
  <c r="F93" i="3"/>
  <c r="F94" i="3"/>
  <c r="F95" i="3"/>
  <c r="F96" i="3"/>
  <c r="F97" i="3"/>
  <c r="F98" i="3"/>
  <c r="F99" i="3"/>
  <c r="F100" i="3"/>
  <c r="F101" i="3"/>
  <c r="F102" i="3"/>
  <c r="F103" i="3"/>
  <c r="F104" i="3"/>
  <c r="F105" i="3"/>
  <c r="F106" i="3"/>
  <c r="F107" i="3"/>
  <c r="F108" i="3"/>
  <c r="F109" i="3"/>
  <c r="F110" i="3"/>
  <c r="F111" i="3"/>
  <c r="F112" i="3"/>
  <c r="F113" i="3"/>
  <c r="F114" i="3"/>
  <c r="F115" i="3"/>
  <c r="F116" i="3"/>
  <c r="F117" i="3"/>
  <c r="F118" i="3"/>
  <c r="F119" i="3"/>
  <c r="F120" i="3"/>
  <c r="F121" i="3"/>
  <c r="F122" i="3"/>
  <c r="F123" i="3"/>
  <c r="F124" i="3"/>
  <c r="F125" i="3"/>
  <c r="F126" i="3"/>
  <c r="F127" i="3"/>
  <c r="F128" i="3"/>
  <c r="F129" i="3"/>
  <c r="F130" i="3"/>
  <c r="F131" i="3"/>
  <c r="F132" i="3"/>
  <c r="F133" i="3"/>
  <c r="F134" i="3"/>
  <c r="F135" i="3"/>
  <c r="F136" i="3"/>
  <c r="F137" i="3"/>
  <c r="F138" i="3"/>
  <c r="F139" i="3"/>
  <c r="F140" i="3"/>
  <c r="F141" i="3"/>
  <c r="F142" i="3"/>
  <c r="F143" i="3"/>
  <c r="F144" i="3"/>
  <c r="F145" i="3"/>
  <c r="F146" i="3"/>
  <c r="F147" i="3"/>
  <c r="F148" i="3"/>
  <c r="F149" i="3"/>
  <c r="F150" i="3"/>
  <c r="F151" i="3"/>
  <c r="F152" i="3"/>
  <c r="F153" i="3"/>
  <c r="F154" i="3"/>
  <c r="F155" i="3"/>
  <c r="F156" i="3"/>
  <c r="F157" i="3"/>
  <c r="F158" i="3"/>
  <c r="F159" i="3"/>
  <c r="F160" i="3"/>
  <c r="F161" i="3"/>
  <c r="F162" i="3"/>
  <c r="F163" i="3"/>
  <c r="F164" i="3"/>
  <c r="F165" i="3"/>
  <c r="F166" i="3"/>
  <c r="F167" i="3"/>
  <c r="F168" i="3"/>
  <c r="F169" i="3"/>
  <c r="F170" i="3"/>
  <c r="F171" i="3"/>
  <c r="F172" i="3"/>
  <c r="F173" i="3"/>
  <c r="F174" i="3"/>
  <c r="F175" i="3"/>
  <c r="F176" i="3"/>
  <c r="F177" i="3"/>
  <c r="F178" i="3"/>
  <c r="F179" i="3"/>
  <c r="F180" i="3"/>
  <c r="F181" i="3"/>
  <c r="F182" i="3"/>
  <c r="F183" i="3"/>
  <c r="F184" i="3"/>
  <c r="F185" i="3"/>
  <c r="F186" i="3"/>
  <c r="F187" i="3"/>
  <c r="F188" i="3"/>
  <c r="F189" i="3"/>
  <c r="F190" i="3"/>
  <c r="F191" i="3"/>
  <c r="F192" i="3"/>
  <c r="F193" i="3"/>
  <c r="F194" i="3"/>
  <c r="F195" i="3"/>
  <c r="F196" i="3"/>
  <c r="F197" i="3"/>
  <c r="F198" i="3"/>
  <c r="F199" i="3"/>
  <c r="F200" i="3"/>
  <c r="F201" i="3"/>
  <c r="F202" i="3"/>
  <c r="F203" i="3"/>
  <c r="F204" i="3"/>
  <c r="F205" i="3"/>
  <c r="F206" i="3"/>
  <c r="F207" i="3"/>
  <c r="F208" i="3"/>
  <c r="F209" i="3"/>
  <c r="F210" i="3"/>
  <c r="F211" i="3"/>
  <c r="F212" i="3"/>
  <c r="F213" i="3"/>
  <c r="F214" i="3"/>
  <c r="F215" i="3"/>
  <c r="F216" i="3"/>
  <c r="F217" i="3"/>
  <c r="F218" i="3"/>
  <c r="F219" i="3"/>
  <c r="F220" i="3"/>
  <c r="F221" i="3"/>
  <c r="F222" i="3"/>
  <c r="F223" i="3"/>
  <c r="F224" i="3"/>
  <c r="F225" i="3"/>
  <c r="F226" i="3"/>
  <c r="F227" i="3"/>
  <c r="F228" i="3"/>
  <c r="F229" i="3"/>
  <c r="F230" i="3"/>
  <c r="F231" i="3"/>
  <c r="F232" i="3"/>
  <c r="F233" i="3"/>
  <c r="F234" i="3"/>
  <c r="F235" i="3"/>
  <c r="F236" i="3"/>
  <c r="F237" i="3"/>
  <c r="F238" i="3"/>
  <c r="F239" i="3"/>
  <c r="F240" i="3"/>
  <c r="F241" i="3"/>
  <c r="F242" i="3"/>
  <c r="F243" i="3"/>
  <c r="F244" i="3"/>
  <c r="F245" i="3"/>
  <c r="F246" i="3"/>
  <c r="F247" i="3"/>
  <c r="F248" i="3"/>
  <c r="F249" i="3"/>
  <c r="F250" i="3"/>
  <c r="F251" i="3"/>
  <c r="F252" i="3"/>
  <c r="F253" i="3"/>
  <c r="F254" i="3"/>
  <c r="F255" i="3"/>
  <c r="F256" i="3"/>
  <c r="F257" i="3"/>
  <c r="F258" i="3"/>
  <c r="F259" i="3"/>
  <c r="F260" i="3"/>
  <c r="F261" i="3"/>
  <c r="F262" i="3"/>
  <c r="F263" i="3"/>
  <c r="F264" i="3"/>
  <c r="F265" i="3"/>
  <c r="F266" i="3"/>
  <c r="F267" i="3"/>
  <c r="F268" i="3"/>
  <c r="F269" i="3"/>
  <c r="F270" i="3"/>
  <c r="F271" i="3"/>
  <c r="F272" i="3"/>
  <c r="F273" i="3"/>
  <c r="F274" i="3"/>
  <c r="F275" i="3"/>
  <c r="F276" i="3"/>
  <c r="F277" i="3"/>
  <c r="F278" i="3"/>
  <c r="F279" i="3"/>
  <c r="F280" i="3"/>
  <c r="F281" i="3"/>
  <c r="F282" i="3"/>
  <c r="F283" i="3"/>
  <c r="F284" i="3"/>
  <c r="F285" i="3"/>
  <c r="F286" i="3"/>
  <c r="F287" i="3"/>
  <c r="F288" i="3"/>
  <c r="F289" i="3"/>
  <c r="F290" i="3"/>
  <c r="F291" i="3"/>
  <c r="F292" i="3"/>
  <c r="F293" i="3"/>
  <c r="F294" i="3"/>
  <c r="F295" i="3"/>
  <c r="F296" i="3"/>
  <c r="F297" i="3"/>
  <c r="F298" i="3"/>
  <c r="F299" i="3"/>
  <c r="F300" i="3"/>
  <c r="F301" i="3"/>
  <c r="F302" i="3"/>
  <c r="F303" i="3"/>
  <c r="F304" i="3"/>
  <c r="F305" i="3"/>
  <c r="F306" i="3"/>
  <c r="F307" i="3"/>
  <c r="F308" i="3"/>
  <c r="F309" i="3"/>
  <c r="F310" i="3"/>
  <c r="F311" i="3"/>
  <c r="F312" i="3"/>
  <c r="F313" i="3"/>
  <c r="F314" i="3"/>
  <c r="F315" i="3"/>
  <c r="F316" i="3"/>
  <c r="F317" i="3"/>
  <c r="F318" i="3"/>
  <c r="F319" i="3"/>
  <c r="F320" i="3"/>
  <c r="F321" i="3"/>
  <c r="F322" i="3"/>
  <c r="F323" i="3"/>
  <c r="F324" i="3"/>
  <c r="F325" i="3"/>
  <c r="F326" i="3"/>
  <c r="F327" i="3"/>
  <c r="F328" i="3"/>
  <c r="F329" i="3"/>
  <c r="F330" i="3"/>
  <c r="F331" i="3"/>
  <c r="F332" i="3"/>
  <c r="F333" i="3"/>
  <c r="F334" i="3"/>
  <c r="F335" i="3"/>
  <c r="F336" i="3"/>
  <c r="F337" i="3"/>
  <c r="F338" i="3"/>
  <c r="F339" i="3"/>
  <c r="F340" i="3"/>
  <c r="F341" i="3"/>
  <c r="F342" i="3"/>
  <c r="F343" i="3"/>
  <c r="F344" i="3"/>
  <c r="F345" i="3"/>
  <c r="F346" i="3"/>
  <c r="F347" i="3"/>
  <c r="F348" i="3"/>
  <c r="F349" i="3"/>
  <c r="F350" i="3"/>
  <c r="F351" i="3"/>
  <c r="F352" i="3"/>
  <c r="F353" i="3"/>
  <c r="F354" i="3"/>
  <c r="F355" i="3"/>
  <c r="F356" i="3"/>
  <c r="F357" i="3"/>
  <c r="F358" i="3"/>
  <c r="F359" i="3"/>
  <c r="F360" i="3"/>
  <c r="F361" i="3"/>
  <c r="F362" i="3"/>
  <c r="F363" i="3"/>
  <c r="F364" i="3"/>
  <c r="F365" i="3"/>
  <c r="F366" i="3"/>
  <c r="F367" i="3"/>
  <c r="F368" i="3"/>
  <c r="F369" i="3"/>
  <c r="F370" i="3"/>
  <c r="F371" i="3"/>
  <c r="F372" i="3"/>
  <c r="F373" i="3"/>
  <c r="F374" i="3"/>
  <c r="F375" i="3"/>
  <c r="F376" i="3"/>
  <c r="F377" i="3"/>
  <c r="F378" i="3"/>
  <c r="F379" i="3"/>
  <c r="F380" i="3"/>
  <c r="F381" i="3"/>
  <c r="F382" i="3"/>
  <c r="F383" i="3"/>
  <c r="F384" i="3"/>
  <c r="F385" i="3"/>
  <c r="F386" i="3"/>
  <c r="F387" i="3"/>
  <c r="F388" i="3"/>
  <c r="F389" i="3"/>
  <c r="F390" i="3"/>
  <c r="F391" i="3"/>
  <c r="F392" i="3"/>
  <c r="F393" i="3"/>
  <c r="F394" i="3"/>
  <c r="F395" i="3"/>
  <c r="F396" i="3"/>
  <c r="F397" i="3"/>
  <c r="F398" i="3"/>
  <c r="F399" i="3"/>
  <c r="F400" i="3"/>
  <c r="F401" i="3"/>
  <c r="F402" i="3"/>
  <c r="F403" i="3"/>
  <c r="F404" i="3"/>
  <c r="F405" i="3"/>
  <c r="F406" i="3"/>
  <c r="F407" i="3"/>
  <c r="F408" i="3"/>
  <c r="F409" i="3"/>
  <c r="F410" i="3"/>
  <c r="F411" i="3"/>
  <c r="F412" i="3"/>
  <c r="F413" i="3"/>
  <c r="F414" i="3"/>
  <c r="F415" i="3"/>
  <c r="F416" i="3"/>
  <c r="F417" i="3"/>
  <c r="F418" i="3"/>
  <c r="F419" i="3"/>
  <c r="F420" i="3"/>
  <c r="F421" i="3"/>
  <c r="F422" i="3"/>
  <c r="F423" i="3"/>
  <c r="F424" i="3"/>
  <c r="F425" i="3"/>
  <c r="F426" i="3"/>
  <c r="F427" i="3"/>
  <c r="F428" i="3"/>
  <c r="F429" i="3"/>
  <c r="F430" i="3"/>
  <c r="F431" i="3"/>
  <c r="F432" i="3"/>
  <c r="F433" i="3"/>
  <c r="F434" i="3"/>
  <c r="F435" i="3"/>
  <c r="F436" i="3"/>
  <c r="F437" i="3"/>
  <c r="F438" i="3"/>
  <c r="F439" i="3"/>
  <c r="F440" i="3"/>
  <c r="F441" i="3"/>
  <c r="F442" i="3"/>
  <c r="F443" i="3"/>
  <c r="F444" i="3"/>
  <c r="F445" i="3"/>
  <c r="F446" i="3"/>
  <c r="F447" i="3"/>
  <c r="F448" i="3"/>
  <c r="F449" i="3"/>
  <c r="F450" i="3"/>
  <c r="F451" i="3"/>
  <c r="F452" i="3"/>
  <c r="F453" i="3"/>
  <c r="F454" i="3"/>
  <c r="F455" i="3"/>
  <c r="F456" i="3"/>
  <c r="F457" i="3"/>
  <c r="F458" i="3"/>
  <c r="F459" i="3"/>
  <c r="F460" i="3"/>
  <c r="F461" i="3"/>
  <c r="F462" i="3"/>
  <c r="F463" i="3"/>
  <c r="F464" i="3"/>
  <c r="F465" i="3"/>
  <c r="F466" i="3"/>
  <c r="F467" i="3"/>
  <c r="F468" i="3"/>
  <c r="F469" i="3"/>
  <c r="F470" i="3"/>
  <c r="F471" i="3"/>
  <c r="F472" i="3"/>
  <c r="F473" i="3"/>
  <c r="F474" i="3"/>
  <c r="F475" i="3"/>
  <c r="F476" i="3"/>
  <c r="F477" i="3"/>
  <c r="F478" i="3"/>
  <c r="F479" i="3"/>
  <c r="F480" i="3"/>
  <c r="F481" i="3"/>
  <c r="F482" i="3"/>
  <c r="F483" i="3"/>
  <c r="F484" i="3"/>
  <c r="F485" i="3"/>
  <c r="F486" i="3"/>
  <c r="F487" i="3"/>
  <c r="F488" i="3"/>
  <c r="F489" i="3"/>
  <c r="F490" i="3"/>
  <c r="F491" i="3"/>
  <c r="F492" i="3"/>
  <c r="F493" i="3"/>
  <c r="F494" i="3"/>
  <c r="F495" i="3"/>
  <c r="F496" i="3"/>
  <c r="F497" i="3"/>
  <c r="F498" i="3"/>
  <c r="F499" i="3"/>
  <c r="F500" i="3"/>
  <c r="F501" i="3"/>
  <c r="F502" i="3"/>
  <c r="F503" i="3"/>
  <c r="F504" i="3"/>
  <c r="F505" i="3"/>
  <c r="F506" i="3"/>
  <c r="F507" i="3"/>
  <c r="F508" i="3"/>
  <c r="F509" i="3"/>
  <c r="F510" i="3"/>
  <c r="F511" i="3"/>
  <c r="F512" i="3"/>
  <c r="F513" i="3"/>
  <c r="F514" i="3"/>
  <c r="F515" i="3"/>
  <c r="F516" i="3"/>
  <c r="F517" i="3"/>
  <c r="F518" i="3"/>
  <c r="F519" i="3"/>
  <c r="F520" i="3"/>
  <c r="F521" i="3"/>
  <c r="F522" i="3"/>
  <c r="F523" i="3"/>
  <c r="F524" i="3"/>
  <c r="F525" i="3"/>
  <c r="F526" i="3"/>
  <c r="F527" i="3"/>
  <c r="F528" i="3"/>
  <c r="F529" i="3"/>
  <c r="F530" i="3"/>
  <c r="F531" i="3"/>
  <c r="F532" i="3"/>
  <c r="F533" i="3"/>
  <c r="F534" i="3"/>
  <c r="F535" i="3"/>
  <c r="F536" i="3"/>
  <c r="F537" i="3"/>
  <c r="F538" i="3"/>
  <c r="F539" i="3"/>
  <c r="F540" i="3"/>
  <c r="F541" i="3"/>
  <c r="F542" i="3"/>
  <c r="F543" i="3"/>
  <c r="F544" i="3"/>
  <c r="F545" i="3"/>
  <c r="F546" i="3"/>
  <c r="F547" i="3"/>
  <c r="F548" i="3"/>
  <c r="F549" i="3"/>
  <c r="F550" i="3"/>
  <c r="F551" i="3"/>
  <c r="F552" i="3"/>
  <c r="F553" i="3"/>
  <c r="F554" i="3"/>
  <c r="F555" i="3"/>
  <c r="F556" i="3"/>
  <c r="F557" i="3"/>
  <c r="F558" i="3"/>
  <c r="F559" i="3"/>
  <c r="F560" i="3"/>
  <c r="F561" i="3"/>
  <c r="F562" i="3"/>
  <c r="F563" i="3"/>
  <c r="F564" i="3"/>
  <c r="F565" i="3"/>
  <c r="F566" i="3"/>
  <c r="F567" i="3"/>
  <c r="F568" i="3"/>
  <c r="F569" i="3"/>
  <c r="F570" i="3"/>
  <c r="F571" i="3"/>
  <c r="F572" i="3"/>
  <c r="F573" i="3"/>
  <c r="F574" i="3"/>
  <c r="F575" i="3"/>
  <c r="F576" i="3"/>
  <c r="F577" i="3"/>
  <c r="F578" i="3"/>
  <c r="F579" i="3"/>
  <c r="F580" i="3"/>
  <c r="F581" i="3"/>
  <c r="F582" i="3"/>
  <c r="F583" i="3"/>
  <c r="F584" i="3"/>
  <c r="F585" i="3"/>
  <c r="F586" i="3"/>
  <c r="F587" i="3"/>
  <c r="F588" i="3"/>
  <c r="F589" i="3"/>
  <c r="F590" i="3"/>
  <c r="F591" i="3"/>
  <c r="F592" i="3"/>
  <c r="F593" i="3"/>
  <c r="F594" i="3"/>
  <c r="F595" i="3"/>
  <c r="F596" i="3"/>
  <c r="F597" i="3"/>
  <c r="F598" i="3"/>
  <c r="F599" i="3"/>
  <c r="F600" i="3"/>
  <c r="F601" i="3"/>
  <c r="F602" i="3"/>
  <c r="F603" i="3"/>
  <c r="F604" i="3"/>
  <c r="F605" i="3"/>
  <c r="F606" i="3"/>
  <c r="F607" i="3"/>
  <c r="F608" i="3"/>
  <c r="F609" i="3"/>
  <c r="F610" i="3"/>
  <c r="F611" i="3"/>
  <c r="F612" i="3"/>
  <c r="F613" i="3"/>
  <c r="F614" i="3"/>
  <c r="F615" i="3"/>
  <c r="F616" i="3"/>
  <c r="F617" i="3"/>
  <c r="F618" i="3"/>
  <c r="F619" i="3"/>
  <c r="F620" i="3"/>
  <c r="F621" i="3"/>
  <c r="F622" i="3"/>
  <c r="F623" i="3"/>
  <c r="F624" i="3"/>
  <c r="F625" i="3"/>
  <c r="F626" i="3"/>
  <c r="F627" i="3"/>
  <c r="F628" i="3"/>
  <c r="F629" i="3"/>
  <c r="F630" i="3"/>
  <c r="F631" i="3"/>
  <c r="F632" i="3"/>
  <c r="F633" i="3"/>
  <c r="F634" i="3"/>
  <c r="F635" i="3"/>
  <c r="F636" i="3"/>
  <c r="F637" i="3"/>
  <c r="F638" i="3"/>
  <c r="F639" i="3"/>
  <c r="F640" i="3"/>
  <c r="F641" i="3"/>
  <c r="F642" i="3"/>
  <c r="F643" i="3"/>
  <c r="F644" i="3"/>
  <c r="F645" i="3"/>
  <c r="F646" i="3"/>
  <c r="F647" i="3"/>
  <c r="F648" i="3"/>
  <c r="F649" i="3"/>
  <c r="F650" i="3"/>
  <c r="F651" i="3"/>
  <c r="F652" i="3"/>
  <c r="F653" i="3"/>
  <c r="F654" i="3"/>
  <c r="F655" i="3"/>
  <c r="F656" i="3"/>
  <c r="F657" i="3"/>
  <c r="F658" i="3"/>
  <c r="F659" i="3"/>
  <c r="F660" i="3"/>
  <c r="F661" i="3"/>
  <c r="F662" i="3"/>
  <c r="F663" i="3"/>
  <c r="F664" i="3"/>
  <c r="F665" i="3"/>
  <c r="F666" i="3"/>
  <c r="F667" i="3"/>
  <c r="F668" i="3"/>
  <c r="F669" i="3"/>
  <c r="F670" i="3"/>
  <c r="F671" i="3"/>
  <c r="F672" i="3"/>
  <c r="F673" i="3"/>
  <c r="F674" i="3"/>
  <c r="F675" i="3"/>
  <c r="F676" i="3"/>
  <c r="F677" i="3"/>
  <c r="F678" i="3"/>
  <c r="F679" i="3"/>
  <c r="F680" i="3"/>
  <c r="F681" i="3"/>
  <c r="F682" i="3"/>
  <c r="F683" i="3"/>
  <c r="F684" i="3"/>
  <c r="F685" i="3"/>
  <c r="F686" i="3"/>
  <c r="F687" i="3"/>
  <c r="F688" i="3"/>
  <c r="F689" i="3"/>
  <c r="F690" i="3"/>
  <c r="F691" i="3"/>
  <c r="F692" i="3"/>
  <c r="F693" i="3"/>
  <c r="F694" i="3"/>
  <c r="F695" i="3"/>
  <c r="F696" i="3"/>
  <c r="F697" i="3"/>
  <c r="F698" i="3"/>
  <c r="F699" i="3"/>
  <c r="F700" i="3"/>
  <c r="F701" i="3"/>
  <c r="F702" i="3"/>
  <c r="F703" i="3"/>
  <c r="F704" i="3"/>
  <c r="F705" i="3"/>
  <c r="F706" i="3"/>
  <c r="F707" i="3"/>
  <c r="F708" i="3"/>
  <c r="F709" i="3"/>
  <c r="F710" i="3"/>
  <c r="F711" i="3"/>
  <c r="F712" i="3"/>
  <c r="F713" i="3"/>
  <c r="F714" i="3"/>
  <c r="F715" i="3"/>
  <c r="F716" i="3"/>
  <c r="F717" i="3"/>
  <c r="F718" i="3"/>
  <c r="F719" i="3"/>
  <c r="F720" i="3"/>
  <c r="F721" i="3"/>
  <c r="F722" i="3"/>
  <c r="F723" i="3"/>
  <c r="F724" i="3"/>
  <c r="F725" i="3"/>
  <c r="F726" i="3"/>
  <c r="F727" i="3"/>
  <c r="F728" i="3"/>
  <c r="F729" i="3"/>
  <c r="F730" i="3"/>
  <c r="F731" i="3"/>
  <c r="F732" i="3"/>
  <c r="F733" i="3"/>
  <c r="F734" i="3"/>
  <c r="F735" i="3"/>
  <c r="F736" i="3"/>
  <c r="F737" i="3"/>
  <c r="F738" i="3"/>
  <c r="F739" i="3"/>
  <c r="F740" i="3"/>
  <c r="F741" i="3"/>
  <c r="F742" i="3"/>
  <c r="F743" i="3"/>
  <c r="F744" i="3"/>
  <c r="F745" i="3"/>
  <c r="F746" i="3"/>
  <c r="F747" i="3"/>
  <c r="F748" i="3"/>
  <c r="F749" i="3"/>
  <c r="F750" i="3"/>
  <c r="F751" i="3"/>
  <c r="F752" i="3"/>
  <c r="F753" i="3"/>
  <c r="F754" i="3"/>
  <c r="F755" i="3"/>
  <c r="F756" i="3"/>
  <c r="F757" i="3"/>
  <c r="F758" i="3"/>
  <c r="F759" i="3"/>
  <c r="F760" i="3"/>
  <c r="F761" i="3"/>
  <c r="F762" i="3"/>
  <c r="F763" i="3"/>
  <c r="F764" i="3"/>
  <c r="F765" i="3"/>
  <c r="F766" i="3"/>
  <c r="F767" i="3"/>
  <c r="F768" i="3"/>
  <c r="F769" i="3"/>
  <c r="F770" i="3"/>
  <c r="F771" i="3"/>
  <c r="F772" i="3"/>
  <c r="F773" i="3"/>
  <c r="F774" i="3"/>
  <c r="F775" i="3"/>
  <c r="F776" i="3"/>
  <c r="F777" i="3"/>
  <c r="F778" i="3"/>
  <c r="F779" i="3"/>
  <c r="F780" i="3"/>
  <c r="F781" i="3"/>
  <c r="F782" i="3"/>
  <c r="F783" i="3"/>
  <c r="F784" i="3"/>
  <c r="F785" i="3"/>
  <c r="F786" i="3"/>
  <c r="F787" i="3"/>
  <c r="F788" i="3"/>
  <c r="F789" i="3"/>
  <c r="F790" i="3"/>
  <c r="F791" i="3"/>
  <c r="F792" i="3"/>
  <c r="F793" i="3"/>
  <c r="F794" i="3"/>
  <c r="F795" i="3"/>
  <c r="F796" i="3"/>
  <c r="F797" i="3"/>
  <c r="F798" i="3"/>
  <c r="F799" i="3"/>
  <c r="F800" i="3"/>
  <c r="F801" i="3"/>
  <c r="F802" i="3"/>
  <c r="F803" i="3"/>
  <c r="F804" i="3"/>
  <c r="F805" i="3"/>
  <c r="F806" i="3"/>
  <c r="F807" i="3"/>
  <c r="F808" i="3"/>
  <c r="F809" i="3"/>
  <c r="F810" i="3"/>
  <c r="F811" i="3"/>
  <c r="F812" i="3"/>
  <c r="F813" i="3"/>
  <c r="F814" i="3"/>
  <c r="F815" i="3"/>
  <c r="F816" i="3"/>
  <c r="F817" i="3"/>
  <c r="F818" i="3"/>
  <c r="F819" i="3"/>
  <c r="F820" i="3"/>
  <c r="F821" i="3"/>
  <c r="F822" i="3"/>
  <c r="F823" i="3"/>
  <c r="F824" i="3"/>
  <c r="F825" i="3"/>
  <c r="F826" i="3"/>
  <c r="F827" i="3"/>
  <c r="F828" i="3"/>
  <c r="F829" i="3"/>
  <c r="F830" i="3"/>
  <c r="F831" i="3"/>
  <c r="F832" i="3"/>
  <c r="F833" i="3"/>
  <c r="F834" i="3"/>
  <c r="F835" i="3"/>
  <c r="F836" i="3"/>
  <c r="F837" i="3"/>
  <c r="F838" i="3"/>
  <c r="F839" i="3"/>
  <c r="F840" i="3"/>
  <c r="F841" i="3"/>
  <c r="F842" i="3"/>
  <c r="F843" i="3"/>
  <c r="F844" i="3"/>
  <c r="F845" i="3"/>
  <c r="F846" i="3"/>
  <c r="F847" i="3"/>
  <c r="F848" i="3"/>
  <c r="F849" i="3"/>
  <c r="F850" i="3"/>
  <c r="F851" i="3"/>
  <c r="F852" i="3"/>
  <c r="F853" i="3"/>
  <c r="F854" i="3"/>
  <c r="F855" i="3"/>
  <c r="F856" i="3"/>
  <c r="F857" i="3"/>
  <c r="F858" i="3"/>
  <c r="F859" i="3"/>
  <c r="F860" i="3"/>
  <c r="F861" i="3"/>
  <c r="F862" i="3"/>
  <c r="F863" i="3"/>
  <c r="F864" i="3"/>
  <c r="F865" i="3"/>
  <c r="F866" i="3"/>
  <c r="F867" i="3"/>
  <c r="F868" i="3"/>
  <c r="F869" i="3"/>
  <c r="F870" i="3"/>
  <c r="F871" i="3"/>
  <c r="F872" i="3"/>
  <c r="F873" i="3"/>
  <c r="F874" i="3"/>
  <c r="F875" i="3"/>
  <c r="F876" i="3"/>
  <c r="F877" i="3"/>
  <c r="F878" i="3"/>
  <c r="F879" i="3"/>
  <c r="F880" i="3"/>
  <c r="F881" i="3"/>
  <c r="F882" i="3"/>
  <c r="F883" i="3"/>
  <c r="F884" i="3"/>
  <c r="F885" i="3"/>
  <c r="F886" i="3"/>
  <c r="F887" i="3"/>
  <c r="F888" i="3"/>
  <c r="F889" i="3"/>
  <c r="F890" i="3"/>
  <c r="F891" i="3"/>
  <c r="F892" i="3"/>
  <c r="F893" i="3"/>
  <c r="F894" i="3"/>
  <c r="F895" i="3"/>
  <c r="F896" i="3"/>
  <c r="F897" i="3"/>
  <c r="F898" i="3"/>
  <c r="F899" i="3"/>
  <c r="F900" i="3"/>
  <c r="F901" i="3"/>
  <c r="F902" i="3"/>
  <c r="F903" i="3"/>
  <c r="F904" i="3"/>
  <c r="F905" i="3"/>
  <c r="F906" i="3"/>
  <c r="F907" i="3"/>
  <c r="F908" i="3"/>
  <c r="F909" i="3"/>
  <c r="F910" i="3"/>
  <c r="F911" i="3"/>
  <c r="F912" i="3"/>
  <c r="F913" i="3"/>
  <c r="F914" i="3"/>
  <c r="F915" i="3"/>
  <c r="F916" i="3"/>
  <c r="F917" i="3"/>
  <c r="F918" i="3"/>
  <c r="F919" i="3"/>
  <c r="F920" i="3"/>
  <c r="F921" i="3"/>
  <c r="F922" i="3"/>
  <c r="F923" i="3"/>
  <c r="F924" i="3"/>
  <c r="F925" i="3"/>
  <c r="F926" i="3"/>
  <c r="F927" i="3"/>
  <c r="F928" i="3"/>
  <c r="F929" i="3"/>
  <c r="F930" i="3"/>
  <c r="F931" i="3"/>
  <c r="F932" i="3"/>
  <c r="F933" i="3"/>
  <c r="F934" i="3"/>
  <c r="F935" i="3"/>
  <c r="F936" i="3"/>
  <c r="F937" i="3"/>
  <c r="F938" i="3"/>
  <c r="F939" i="3"/>
  <c r="F940" i="3"/>
  <c r="F941" i="3"/>
  <c r="F942" i="3"/>
  <c r="F943" i="3"/>
  <c r="F944" i="3"/>
  <c r="F945" i="3"/>
  <c r="F946" i="3"/>
  <c r="F947" i="3"/>
  <c r="F948" i="3"/>
  <c r="F949" i="3"/>
  <c r="F950" i="3"/>
  <c r="F951" i="3"/>
  <c r="F952" i="3"/>
  <c r="F953" i="3"/>
  <c r="F954" i="3"/>
  <c r="F955" i="3"/>
  <c r="F956" i="3"/>
  <c r="F957" i="3"/>
  <c r="F958" i="3"/>
  <c r="F959" i="3"/>
  <c r="F960" i="3"/>
  <c r="F961" i="3"/>
  <c r="F962" i="3"/>
  <c r="F963" i="3"/>
  <c r="F964" i="3"/>
  <c r="F965" i="3"/>
  <c r="F966" i="3"/>
  <c r="F967" i="3"/>
  <c r="F968" i="3"/>
  <c r="F969" i="3"/>
  <c r="F970" i="3"/>
  <c r="F971" i="3"/>
  <c r="F972" i="3"/>
  <c r="F973" i="3"/>
  <c r="F974" i="3"/>
  <c r="F975" i="3"/>
  <c r="F976" i="3"/>
  <c r="F977" i="3"/>
  <c r="F978" i="3"/>
  <c r="F979" i="3"/>
  <c r="F980" i="3"/>
  <c r="F981" i="3"/>
  <c r="F982" i="3"/>
  <c r="F983" i="3"/>
  <c r="F984" i="3"/>
  <c r="F985" i="3"/>
  <c r="F986" i="3"/>
  <c r="F987" i="3"/>
  <c r="F988" i="3"/>
  <c r="F989" i="3"/>
  <c r="F990" i="3"/>
  <c r="F991" i="3"/>
  <c r="F992" i="3"/>
  <c r="F993" i="3"/>
  <c r="F994" i="3"/>
  <c r="F995" i="3"/>
  <c r="F996" i="3"/>
  <c r="F997" i="3"/>
  <c r="F998" i="3"/>
  <c r="F999" i="3"/>
  <c r="F1000" i="3"/>
  <c r="F1001" i="3"/>
  <c r="F1002" i="3"/>
  <c r="F1003" i="3"/>
  <c r="F1004" i="3"/>
  <c r="F1005" i="3"/>
  <c r="F1006" i="3"/>
  <c r="F1007" i="3"/>
  <c r="F1008" i="3"/>
  <c r="F1009" i="3"/>
  <c r="F1010" i="3"/>
  <c r="F1011" i="3"/>
  <c r="F1012" i="3"/>
  <c r="F1013" i="3"/>
  <c r="F1014" i="3"/>
  <c r="F1015" i="3"/>
  <c r="F1016" i="3"/>
  <c r="F1017" i="3"/>
  <c r="F1018" i="3"/>
  <c r="F1019" i="3"/>
  <c r="F1020" i="3"/>
  <c r="F1021" i="3"/>
  <c r="F1022" i="3"/>
  <c r="F1023" i="3"/>
  <c r="F1024" i="3"/>
  <c r="F1025" i="3"/>
  <c r="F1026" i="3"/>
  <c r="F1027" i="3"/>
  <c r="F1028" i="3"/>
  <c r="F1029" i="3"/>
  <c r="F1030" i="3"/>
  <c r="F1031" i="3"/>
  <c r="F1032" i="3"/>
  <c r="F1033" i="3"/>
  <c r="F1034" i="3"/>
  <c r="F1035" i="3"/>
  <c r="F1036" i="3"/>
  <c r="F1037" i="3"/>
  <c r="F1038" i="3"/>
  <c r="F1039" i="3"/>
  <c r="F1040" i="3"/>
  <c r="F1041" i="3"/>
  <c r="F1042" i="3"/>
  <c r="F1043" i="3"/>
  <c r="F1044" i="3"/>
  <c r="F1045" i="3"/>
  <c r="F1046" i="3"/>
  <c r="F1047" i="3"/>
  <c r="F1048" i="3"/>
  <c r="F1049" i="3"/>
  <c r="F1050" i="3"/>
  <c r="F1051" i="3"/>
  <c r="F1052" i="3"/>
  <c r="F1053" i="3"/>
  <c r="F1054" i="3"/>
  <c r="F1055" i="3"/>
  <c r="F1056" i="3"/>
  <c r="F1057" i="3"/>
  <c r="F1058" i="3"/>
  <c r="F1059" i="3"/>
  <c r="F1060" i="3"/>
  <c r="F1061" i="3"/>
  <c r="F1062" i="3"/>
  <c r="F1063" i="3"/>
  <c r="F1064" i="3"/>
  <c r="F1065" i="3"/>
  <c r="F1066" i="3"/>
  <c r="F1067" i="3"/>
  <c r="F1068" i="3"/>
  <c r="F1069" i="3"/>
  <c r="F1070" i="3"/>
  <c r="F1071" i="3"/>
  <c r="F1072" i="3"/>
  <c r="F1073" i="3"/>
  <c r="F1074" i="3"/>
  <c r="F1075" i="3"/>
  <c r="F1076" i="3"/>
  <c r="F1077" i="3"/>
  <c r="F1078" i="3"/>
  <c r="F1079" i="3"/>
  <c r="F1080" i="3"/>
  <c r="F1081" i="3"/>
  <c r="F1082" i="3"/>
  <c r="F1083" i="3"/>
  <c r="F1084" i="3"/>
  <c r="F1085" i="3"/>
  <c r="F1086" i="3"/>
  <c r="F1087" i="3"/>
  <c r="F1088" i="3"/>
  <c r="F1089" i="3"/>
  <c r="F1090" i="3"/>
  <c r="F1091" i="3"/>
  <c r="F1092" i="3"/>
  <c r="F1093" i="3"/>
  <c r="F1094" i="3"/>
  <c r="F1095" i="3"/>
  <c r="F1096" i="3"/>
  <c r="F1097" i="3"/>
  <c r="F1098" i="3"/>
  <c r="F1099" i="3"/>
  <c r="F1100" i="3"/>
  <c r="F1101" i="3"/>
  <c r="F1102" i="3"/>
  <c r="F1103" i="3"/>
  <c r="F1104" i="3"/>
  <c r="F1105" i="3"/>
  <c r="F1106" i="3"/>
  <c r="F1107" i="3"/>
  <c r="F1108" i="3"/>
  <c r="F1109" i="3"/>
  <c r="F1110" i="3"/>
  <c r="F1111" i="3"/>
  <c r="F1112" i="3"/>
  <c r="F1113" i="3"/>
  <c r="F1114" i="3"/>
  <c r="F1115" i="3"/>
  <c r="F1116" i="3"/>
  <c r="F1117" i="3"/>
  <c r="F1118" i="3"/>
  <c r="F1119" i="3"/>
  <c r="F1120" i="3"/>
  <c r="F1121" i="3"/>
  <c r="F1122" i="3"/>
  <c r="F1123" i="3"/>
  <c r="F1124" i="3"/>
  <c r="F1125" i="3"/>
  <c r="F1126" i="3"/>
  <c r="F1127" i="3"/>
  <c r="F1128" i="3"/>
  <c r="F1129" i="3"/>
  <c r="F1130" i="3"/>
  <c r="F1131" i="3"/>
  <c r="F1132" i="3"/>
  <c r="F1133" i="3"/>
  <c r="F1134" i="3"/>
  <c r="F1135" i="3"/>
  <c r="F1136" i="3"/>
  <c r="F1137" i="3"/>
  <c r="F1138" i="3"/>
  <c r="F1139" i="3"/>
  <c r="F1140" i="3"/>
  <c r="F1141" i="3"/>
  <c r="F1142" i="3"/>
  <c r="F1143" i="3"/>
  <c r="F1144" i="3"/>
  <c r="F1145" i="3"/>
  <c r="F1146" i="3"/>
  <c r="F1147" i="3"/>
  <c r="F1148" i="3"/>
  <c r="F1149" i="3"/>
  <c r="F1150" i="3"/>
  <c r="F1151" i="3"/>
  <c r="F1152" i="3"/>
  <c r="F1153" i="3"/>
  <c r="F1154" i="3"/>
  <c r="F1155" i="3"/>
  <c r="F1156" i="3"/>
  <c r="F1157" i="3"/>
  <c r="F1158" i="3"/>
  <c r="F1159" i="3"/>
  <c r="F1160" i="3"/>
  <c r="F1161" i="3"/>
  <c r="F1162" i="3"/>
  <c r="F1163" i="3"/>
  <c r="F1164" i="3"/>
  <c r="F1165" i="3"/>
  <c r="F1166" i="3"/>
  <c r="F1167" i="3"/>
  <c r="F1168" i="3"/>
  <c r="F1169" i="3"/>
  <c r="F1170" i="3"/>
  <c r="F1171" i="3"/>
  <c r="F1172" i="3"/>
  <c r="F1173" i="3"/>
  <c r="F1174" i="3"/>
  <c r="F1175" i="3"/>
  <c r="F1176" i="3"/>
  <c r="F1177" i="3"/>
  <c r="F1178" i="3"/>
  <c r="F1179" i="3"/>
  <c r="F1180" i="3"/>
  <c r="F1181" i="3"/>
  <c r="F1182" i="3"/>
  <c r="F1183" i="3"/>
  <c r="F1184" i="3"/>
  <c r="F1185" i="3"/>
  <c r="F1186" i="3"/>
  <c r="F1187" i="3"/>
  <c r="F1188" i="3"/>
  <c r="F1189" i="3"/>
  <c r="F1190" i="3"/>
  <c r="F1191" i="3"/>
  <c r="F1192" i="3"/>
  <c r="F1193" i="3"/>
  <c r="F1194" i="3"/>
  <c r="F1195" i="3"/>
  <c r="F1196" i="3"/>
  <c r="F1197" i="3"/>
  <c r="F1198" i="3"/>
  <c r="F1199" i="3"/>
  <c r="F1200" i="3"/>
  <c r="F1201" i="3"/>
  <c r="F1202" i="3"/>
  <c r="F1203" i="3"/>
  <c r="F1204" i="3"/>
  <c r="F1205" i="3"/>
  <c r="F1206" i="3"/>
  <c r="F1207" i="3"/>
  <c r="F1208" i="3"/>
  <c r="F1209" i="3"/>
  <c r="F1210" i="3"/>
  <c r="F1211" i="3"/>
  <c r="F1212" i="3"/>
  <c r="F1213" i="3"/>
  <c r="F1214" i="3"/>
  <c r="F1215" i="3"/>
  <c r="F1216" i="3"/>
  <c r="F1217" i="3"/>
  <c r="F1218" i="3"/>
  <c r="F1219" i="3"/>
  <c r="F1220" i="3"/>
  <c r="F1221" i="3"/>
  <c r="F1222" i="3"/>
  <c r="F1223" i="3"/>
  <c r="F1224" i="3"/>
  <c r="F1225" i="3"/>
  <c r="F1226" i="3"/>
  <c r="F1227" i="3"/>
  <c r="F1228" i="3"/>
  <c r="F1229" i="3"/>
  <c r="F1230" i="3"/>
  <c r="F1231" i="3"/>
  <c r="F1232" i="3"/>
  <c r="F1233" i="3"/>
  <c r="F1234" i="3"/>
  <c r="F1235" i="3"/>
  <c r="F1236" i="3"/>
  <c r="F1237" i="3"/>
  <c r="F1238" i="3"/>
  <c r="F1239" i="3"/>
  <c r="F1240" i="3"/>
  <c r="F1241" i="3"/>
  <c r="F1242" i="3"/>
  <c r="F1243" i="3"/>
  <c r="F1244" i="3"/>
  <c r="F1245" i="3"/>
  <c r="F1246" i="3"/>
  <c r="F1247" i="3"/>
  <c r="F1248" i="3"/>
  <c r="F1249" i="3"/>
  <c r="F1250" i="3"/>
  <c r="F1251" i="3"/>
  <c r="F1252" i="3"/>
  <c r="F1253" i="3"/>
  <c r="F1254" i="3"/>
  <c r="F1255" i="3"/>
  <c r="F1256" i="3"/>
  <c r="F1257" i="3"/>
  <c r="F1258" i="3"/>
  <c r="F1259" i="3"/>
  <c r="F1260" i="3"/>
  <c r="F1261" i="3"/>
  <c r="F1262" i="3"/>
  <c r="F1263" i="3"/>
  <c r="F1264" i="3"/>
  <c r="F1265" i="3"/>
  <c r="F1266" i="3"/>
  <c r="F1267" i="3"/>
  <c r="F1268" i="3"/>
  <c r="F1269" i="3"/>
  <c r="F1270" i="3"/>
  <c r="F1271" i="3"/>
  <c r="F1272" i="3"/>
  <c r="F1273" i="3"/>
  <c r="F1274" i="3"/>
  <c r="F1275" i="3"/>
  <c r="F1276" i="3"/>
  <c r="F1277" i="3"/>
  <c r="F1278" i="3"/>
  <c r="F1279" i="3"/>
  <c r="F1280" i="3"/>
  <c r="F1281" i="3"/>
  <c r="F1282" i="3"/>
  <c r="F1283" i="3"/>
  <c r="F1284" i="3"/>
  <c r="F1285" i="3"/>
  <c r="F1286" i="3"/>
  <c r="F1287" i="3"/>
  <c r="F1288" i="3"/>
  <c r="F1289" i="3"/>
  <c r="F1290" i="3"/>
  <c r="F1291" i="3"/>
  <c r="F1292" i="3"/>
  <c r="F1293" i="3"/>
  <c r="F1294" i="3"/>
  <c r="F1295" i="3"/>
  <c r="F1296" i="3"/>
  <c r="F1297" i="3"/>
  <c r="F1298" i="3"/>
  <c r="F1299" i="3"/>
  <c r="F1300" i="3"/>
  <c r="F1301" i="3"/>
  <c r="F1302" i="3"/>
  <c r="F1303" i="3"/>
  <c r="F1304" i="3"/>
  <c r="F1305" i="3"/>
  <c r="F1306" i="3"/>
  <c r="F1307" i="3"/>
  <c r="F1308" i="3"/>
  <c r="F1309" i="3"/>
  <c r="F1310" i="3"/>
  <c r="F1311" i="3"/>
  <c r="F1312" i="3"/>
  <c r="F1313" i="3"/>
  <c r="F1314" i="3"/>
  <c r="F1315" i="3"/>
  <c r="F1316" i="3"/>
  <c r="F1317" i="3"/>
  <c r="F1318" i="3"/>
  <c r="F1319" i="3"/>
  <c r="F1320" i="3"/>
  <c r="F1321" i="3"/>
  <c r="F1322" i="3"/>
  <c r="F1323" i="3"/>
  <c r="F1324" i="3"/>
  <c r="F1325" i="3"/>
  <c r="F1326" i="3"/>
  <c r="F1327" i="3"/>
  <c r="F1328" i="3"/>
  <c r="F1329" i="3"/>
  <c r="F1330" i="3"/>
  <c r="F1331" i="3"/>
  <c r="F1332" i="3"/>
  <c r="F1333" i="3"/>
  <c r="F1334" i="3"/>
  <c r="F1335" i="3"/>
  <c r="F1336" i="3"/>
  <c r="F1337" i="3"/>
  <c r="F1338" i="3"/>
  <c r="F1339" i="3"/>
  <c r="F1340" i="3"/>
  <c r="F1341" i="3"/>
  <c r="F1342" i="3"/>
  <c r="F1343" i="3"/>
  <c r="F1344" i="3"/>
  <c r="F1345" i="3"/>
  <c r="F1346" i="3"/>
  <c r="F1347" i="3"/>
  <c r="F1348" i="3"/>
  <c r="F1349" i="3"/>
  <c r="F1350" i="3"/>
  <c r="F1351" i="3"/>
  <c r="F1352" i="3"/>
  <c r="F1353" i="3"/>
  <c r="F1354" i="3"/>
  <c r="F1355" i="3"/>
  <c r="F1356" i="3"/>
  <c r="F1357" i="3"/>
  <c r="F1358" i="3"/>
  <c r="F1359" i="3"/>
  <c r="F1360" i="3"/>
  <c r="F1361" i="3"/>
  <c r="F1362" i="3"/>
  <c r="F1363" i="3"/>
  <c r="F1364" i="3"/>
  <c r="F1365" i="3"/>
  <c r="F1366" i="3"/>
  <c r="F1367" i="3"/>
  <c r="F1368" i="3"/>
  <c r="F1369" i="3"/>
  <c r="F1370" i="3"/>
  <c r="F1371" i="3"/>
  <c r="F1372" i="3"/>
  <c r="F1373" i="3"/>
  <c r="F1374" i="3"/>
  <c r="F1375" i="3"/>
  <c r="F1376" i="3"/>
  <c r="F1377" i="3"/>
  <c r="F1378" i="3"/>
  <c r="F1379" i="3"/>
  <c r="F1380" i="3"/>
  <c r="F1381" i="3"/>
  <c r="F1382" i="3"/>
  <c r="F1383" i="3"/>
  <c r="F1384" i="3"/>
  <c r="F1385" i="3"/>
  <c r="F1386" i="3"/>
  <c r="F1387" i="3"/>
  <c r="F1388" i="3"/>
  <c r="F1389" i="3"/>
  <c r="F1390" i="3"/>
  <c r="F1391" i="3"/>
  <c r="F1392" i="3"/>
  <c r="F1393" i="3"/>
  <c r="F1394" i="3"/>
  <c r="F1395" i="3"/>
  <c r="F1396" i="3"/>
  <c r="F1397" i="3"/>
  <c r="F1398" i="3"/>
  <c r="F1399" i="3"/>
  <c r="F1400" i="3"/>
  <c r="F1401" i="3"/>
  <c r="F1402" i="3"/>
  <c r="F1403" i="3"/>
  <c r="F1404" i="3"/>
  <c r="F1405" i="3"/>
  <c r="F1406" i="3"/>
  <c r="F1407" i="3"/>
  <c r="F1408" i="3"/>
  <c r="F1409" i="3"/>
  <c r="F1410" i="3"/>
  <c r="F1411" i="3"/>
  <c r="F1412" i="3"/>
  <c r="F1413" i="3"/>
  <c r="F1414" i="3"/>
  <c r="F1415" i="3"/>
  <c r="F1416" i="3"/>
  <c r="F1417" i="3"/>
  <c r="F1418" i="3"/>
  <c r="F1419" i="3"/>
  <c r="F1420" i="3"/>
  <c r="F1421" i="3"/>
  <c r="F1422" i="3"/>
  <c r="F1423" i="3"/>
  <c r="F1424" i="3"/>
  <c r="F1425" i="3"/>
  <c r="F1426" i="3"/>
  <c r="F1427" i="3"/>
  <c r="F1428" i="3"/>
  <c r="F1429" i="3"/>
  <c r="F1430" i="3"/>
  <c r="F1431" i="3"/>
  <c r="F1432" i="3"/>
  <c r="F1433" i="3"/>
  <c r="F1434" i="3"/>
  <c r="F1435" i="3"/>
  <c r="F1436" i="3"/>
  <c r="F1437" i="3"/>
  <c r="F1438" i="3"/>
  <c r="F1439" i="3"/>
  <c r="F1440" i="3"/>
  <c r="F1441" i="3"/>
  <c r="F1442" i="3"/>
  <c r="F1443" i="3"/>
  <c r="F1444" i="3"/>
  <c r="F1445" i="3"/>
  <c r="F1446" i="3"/>
  <c r="F1447" i="3"/>
  <c r="F1448" i="3"/>
  <c r="F1449" i="3"/>
  <c r="F1450" i="3"/>
  <c r="F1451" i="3"/>
  <c r="F1452" i="3"/>
  <c r="F1453" i="3"/>
  <c r="F1454" i="3"/>
  <c r="F1455" i="3"/>
  <c r="F1456" i="3"/>
  <c r="F1457" i="3"/>
  <c r="F1458" i="3"/>
  <c r="F1459" i="3"/>
  <c r="F1460" i="3"/>
  <c r="F1461" i="3"/>
  <c r="F1462" i="3"/>
  <c r="F1463" i="3"/>
  <c r="F1464" i="3"/>
  <c r="F1465" i="3"/>
  <c r="F1466" i="3"/>
  <c r="F1467" i="3"/>
  <c r="F1468" i="3"/>
  <c r="F1469" i="3"/>
  <c r="F1470" i="3"/>
  <c r="F1471" i="3"/>
  <c r="F1472" i="3"/>
  <c r="F1473" i="3"/>
  <c r="F1474" i="3"/>
  <c r="F1475" i="3"/>
  <c r="F1476" i="3"/>
  <c r="F1477" i="3"/>
  <c r="F1478" i="3"/>
  <c r="F1479" i="3"/>
  <c r="F1480" i="3"/>
  <c r="F1481" i="3"/>
  <c r="F1482" i="3"/>
  <c r="F1483" i="3"/>
  <c r="F1484" i="3"/>
  <c r="F1485" i="3"/>
  <c r="F1486" i="3"/>
  <c r="F1487" i="3"/>
  <c r="F1488" i="3"/>
  <c r="F1489" i="3"/>
  <c r="F1490" i="3"/>
  <c r="F1491" i="3"/>
  <c r="F1492" i="3"/>
  <c r="F1493" i="3"/>
  <c r="F1494" i="3"/>
  <c r="F1495" i="3"/>
  <c r="F1496" i="3"/>
  <c r="F1497" i="3"/>
  <c r="F1498" i="3"/>
  <c r="F1499" i="3"/>
  <c r="F1500" i="3"/>
  <c r="F1501" i="3"/>
  <c r="F1502" i="3"/>
  <c r="F1503" i="3"/>
  <c r="F1504" i="3"/>
  <c r="F1505" i="3"/>
  <c r="F1506" i="3"/>
  <c r="F1507" i="3"/>
  <c r="F1508" i="3"/>
  <c r="F1509" i="3"/>
  <c r="F1510" i="3"/>
  <c r="F1511" i="3"/>
  <c r="F1512" i="3"/>
  <c r="F1513" i="3"/>
  <c r="F1514" i="3"/>
  <c r="F1515" i="3"/>
  <c r="F1516" i="3"/>
  <c r="F1517" i="3"/>
  <c r="F1518" i="3"/>
  <c r="F1519" i="3"/>
  <c r="F1520" i="3"/>
  <c r="F1521" i="3"/>
  <c r="F1522" i="3"/>
  <c r="F1523" i="3"/>
  <c r="F1524" i="3"/>
  <c r="F1525" i="3"/>
  <c r="F1526" i="3"/>
  <c r="F1527" i="3"/>
  <c r="F1528" i="3"/>
  <c r="F1529" i="3"/>
  <c r="F1530" i="3"/>
  <c r="F1531" i="3"/>
  <c r="F1532" i="3"/>
  <c r="F1533" i="3"/>
  <c r="F1534" i="3"/>
  <c r="F1535" i="3"/>
  <c r="F1536" i="3"/>
  <c r="F1537" i="3"/>
  <c r="F1538" i="3"/>
  <c r="F1539" i="3"/>
  <c r="F1540" i="3"/>
  <c r="F1541" i="3"/>
  <c r="F1542" i="3"/>
  <c r="F1543" i="3"/>
  <c r="F1544" i="3"/>
  <c r="F1545" i="3"/>
  <c r="F1546" i="3"/>
  <c r="F1547" i="3"/>
  <c r="F1548" i="3"/>
  <c r="F1549" i="3"/>
  <c r="F1550" i="3"/>
  <c r="F1551" i="3"/>
  <c r="F1552" i="3"/>
  <c r="F1553" i="3"/>
  <c r="F1554" i="3"/>
  <c r="F1555" i="3"/>
  <c r="F1556" i="3"/>
  <c r="F1557" i="3"/>
  <c r="F1558" i="3"/>
  <c r="F1559" i="3"/>
  <c r="F1560" i="3"/>
  <c r="F1561" i="3"/>
  <c r="F1562" i="3"/>
  <c r="F1563" i="3"/>
  <c r="F1564" i="3"/>
  <c r="F1565" i="3"/>
  <c r="F1566" i="3"/>
  <c r="F1567" i="3"/>
  <c r="F1568" i="3"/>
  <c r="F1569" i="3"/>
  <c r="F1570" i="3"/>
  <c r="F1571" i="3"/>
  <c r="F1572" i="3"/>
  <c r="F1573" i="3"/>
  <c r="F1574" i="3"/>
  <c r="F1575" i="3"/>
  <c r="F1576" i="3"/>
  <c r="F1577" i="3"/>
  <c r="F1578" i="3"/>
  <c r="F1579" i="3"/>
  <c r="F1580" i="3"/>
  <c r="F1581" i="3"/>
  <c r="F1582" i="3"/>
  <c r="F1583" i="3"/>
  <c r="F1584" i="3"/>
  <c r="F1585" i="3"/>
  <c r="F1586" i="3"/>
  <c r="F1587" i="3"/>
  <c r="F1588" i="3"/>
  <c r="F1589" i="3"/>
  <c r="F1590" i="3"/>
  <c r="F1591" i="3"/>
  <c r="F1592" i="3"/>
  <c r="F1593" i="3"/>
  <c r="F1594" i="3"/>
  <c r="F1595" i="3"/>
  <c r="F1596" i="3"/>
  <c r="F1597" i="3"/>
  <c r="F1598" i="3"/>
  <c r="F1599" i="3"/>
  <c r="F1600" i="3"/>
  <c r="F1601" i="3"/>
  <c r="F1602" i="3"/>
  <c r="F1603" i="3"/>
  <c r="F1604" i="3"/>
  <c r="F1605" i="3"/>
  <c r="F1606" i="3"/>
  <c r="F1607" i="3"/>
  <c r="F1608" i="3"/>
  <c r="F1609" i="3"/>
  <c r="F1610" i="3"/>
  <c r="F1611" i="3"/>
  <c r="F1612" i="3"/>
  <c r="F1613" i="3"/>
  <c r="F1614" i="3"/>
  <c r="F1615" i="3"/>
  <c r="F1616" i="3"/>
  <c r="F1617" i="3"/>
  <c r="F1618" i="3"/>
  <c r="F1619" i="3"/>
  <c r="F1620" i="3"/>
  <c r="F1621" i="3"/>
  <c r="F1622" i="3"/>
  <c r="F1623" i="3"/>
  <c r="F1624" i="3"/>
  <c r="F1625" i="3"/>
  <c r="F1626" i="3"/>
  <c r="F1627" i="3"/>
  <c r="F1628" i="3"/>
  <c r="F1629" i="3"/>
  <c r="F1630" i="3"/>
  <c r="F1631" i="3"/>
  <c r="F1632" i="3"/>
  <c r="F1633" i="3"/>
  <c r="F1634" i="3"/>
  <c r="F1635" i="3"/>
  <c r="F1636" i="3"/>
  <c r="F1637" i="3"/>
  <c r="F1638" i="3"/>
  <c r="F1639" i="3"/>
  <c r="F1640" i="3"/>
  <c r="F1641" i="3"/>
  <c r="F1642" i="3"/>
  <c r="F1643" i="3"/>
  <c r="F1644" i="3"/>
  <c r="F1645" i="3"/>
  <c r="F1646" i="3"/>
  <c r="F1647" i="3"/>
  <c r="F1648" i="3"/>
  <c r="F1649" i="3"/>
  <c r="F1650" i="3"/>
  <c r="F1651" i="3"/>
  <c r="F1652" i="3"/>
  <c r="F1653" i="3"/>
  <c r="F1654" i="3"/>
  <c r="F1655" i="3"/>
  <c r="F1656" i="3"/>
  <c r="F1657" i="3"/>
  <c r="F1658" i="3"/>
  <c r="F1659" i="3"/>
  <c r="F1660" i="3"/>
  <c r="F1661" i="3"/>
  <c r="F1662" i="3"/>
  <c r="F1663" i="3"/>
  <c r="F1664" i="3"/>
  <c r="F1665" i="3"/>
  <c r="F1666" i="3"/>
  <c r="F1667" i="3"/>
  <c r="F1668" i="3"/>
  <c r="F1669" i="3"/>
  <c r="F1670" i="3"/>
  <c r="F1671" i="3"/>
  <c r="F1672" i="3"/>
  <c r="F1673" i="3"/>
  <c r="F1674" i="3"/>
  <c r="F1675" i="3"/>
  <c r="F1676" i="3"/>
  <c r="F1677" i="3"/>
  <c r="F1678" i="3"/>
  <c r="F1679" i="3"/>
  <c r="F1680" i="3"/>
  <c r="F1681" i="3"/>
  <c r="F1682" i="3"/>
  <c r="F1683" i="3"/>
  <c r="F1684" i="3"/>
  <c r="F1685" i="3"/>
  <c r="F1686" i="3"/>
  <c r="F1687" i="3"/>
  <c r="F1688" i="3"/>
  <c r="F1689" i="3"/>
  <c r="F1690" i="3"/>
  <c r="F1691" i="3"/>
  <c r="F1692" i="3"/>
  <c r="F1693" i="3"/>
  <c r="F1694" i="3"/>
  <c r="F1695" i="3"/>
  <c r="F1696" i="3"/>
  <c r="F1697" i="3"/>
  <c r="F1698" i="3"/>
  <c r="F1699" i="3"/>
  <c r="F1700" i="3"/>
  <c r="F1701" i="3"/>
  <c r="F1702" i="3"/>
  <c r="F1703" i="3"/>
  <c r="F1704" i="3"/>
  <c r="F1705" i="3"/>
  <c r="F1706" i="3"/>
  <c r="F1707" i="3"/>
  <c r="F1708" i="3"/>
  <c r="F1709" i="3"/>
  <c r="F1710" i="3"/>
  <c r="F1711" i="3"/>
  <c r="F1712" i="3"/>
  <c r="F1713" i="3"/>
  <c r="F1714" i="3"/>
  <c r="F1715" i="3"/>
  <c r="F1716" i="3"/>
  <c r="F1717" i="3"/>
  <c r="F1718" i="3"/>
  <c r="F1719" i="3"/>
  <c r="F1720" i="3"/>
  <c r="F1721" i="3"/>
  <c r="F1722" i="3"/>
  <c r="F1723" i="3"/>
  <c r="F1724" i="3"/>
  <c r="F1725" i="3"/>
  <c r="F1726" i="3"/>
  <c r="F1727" i="3"/>
  <c r="F1728" i="3"/>
  <c r="F1729" i="3"/>
  <c r="F1730" i="3"/>
  <c r="F1731" i="3"/>
  <c r="F1732" i="3"/>
  <c r="F1733" i="3"/>
  <c r="F1734" i="3"/>
  <c r="F1735" i="3"/>
  <c r="F1736" i="3"/>
  <c r="F1737" i="3"/>
  <c r="F1738" i="3"/>
  <c r="F1739" i="3"/>
  <c r="F1740" i="3"/>
  <c r="F1741" i="3"/>
  <c r="F1742" i="3"/>
  <c r="F1743" i="3"/>
  <c r="F1744" i="3"/>
  <c r="F1745" i="3"/>
  <c r="F1746" i="3"/>
  <c r="F1747" i="3"/>
  <c r="F1748" i="3"/>
  <c r="F1749" i="3"/>
  <c r="F1750" i="3"/>
  <c r="F1751" i="3"/>
  <c r="F1752" i="3"/>
  <c r="F1753" i="3"/>
  <c r="F1754" i="3"/>
  <c r="F1755" i="3"/>
  <c r="F1756" i="3"/>
  <c r="F1757" i="3"/>
  <c r="F1758" i="3"/>
  <c r="F1759" i="3"/>
  <c r="F1760" i="3"/>
  <c r="F1761" i="3"/>
  <c r="F1762" i="3"/>
  <c r="F1763" i="3"/>
  <c r="F1764" i="3"/>
  <c r="F1765" i="3"/>
  <c r="F1766" i="3"/>
  <c r="F1767" i="3"/>
  <c r="F1768" i="3"/>
  <c r="F1769" i="3"/>
  <c r="F1770" i="3"/>
  <c r="F1771" i="3"/>
  <c r="F1772" i="3"/>
  <c r="F1773" i="3"/>
  <c r="F1774" i="3"/>
  <c r="F1775" i="3"/>
  <c r="F1776" i="3"/>
  <c r="F1777" i="3"/>
  <c r="F1778" i="3"/>
  <c r="F1779" i="3"/>
  <c r="F1780" i="3"/>
  <c r="F1781" i="3"/>
  <c r="F1782" i="3"/>
  <c r="F1783" i="3"/>
  <c r="F1784" i="3"/>
  <c r="F1785" i="3"/>
  <c r="F1786" i="3"/>
  <c r="F1788" i="3"/>
  <c r="F1789" i="3"/>
  <c r="F1790" i="3"/>
  <c r="F1791" i="3"/>
  <c r="F1792" i="3"/>
  <c r="F1793" i="3"/>
  <c r="F1794" i="3"/>
  <c r="F1795" i="3"/>
  <c r="F1796" i="3"/>
  <c r="F1797" i="3"/>
  <c r="F1798" i="3"/>
  <c r="F1799" i="3"/>
  <c r="F1800" i="3"/>
  <c r="F1801" i="3"/>
  <c r="F1802" i="3"/>
  <c r="F1803" i="3"/>
  <c r="F1804" i="3"/>
  <c r="F1805" i="3"/>
  <c r="F1806" i="3"/>
  <c r="F1807" i="3"/>
  <c r="F1808" i="3"/>
  <c r="F1809" i="3"/>
  <c r="F1810" i="3"/>
  <c r="F1811" i="3"/>
  <c r="F1812" i="3"/>
  <c r="F1813" i="3"/>
  <c r="F1814" i="3"/>
  <c r="F1815" i="3"/>
  <c r="F1816" i="3"/>
  <c r="F1817" i="3"/>
  <c r="F1818" i="3"/>
  <c r="F1819" i="3"/>
  <c r="F1820" i="3"/>
  <c r="F1821" i="3"/>
  <c r="F1822" i="3"/>
  <c r="F1823" i="3"/>
  <c r="F1824" i="3"/>
  <c r="F1825" i="3"/>
  <c r="F1826" i="3"/>
  <c r="F1827" i="3"/>
  <c r="F1828" i="3"/>
  <c r="F1829" i="3"/>
  <c r="F1830" i="3"/>
  <c r="F1831" i="3"/>
  <c r="F1832" i="3"/>
  <c r="F1833" i="3"/>
  <c r="F1834" i="3"/>
  <c r="F1835" i="3"/>
  <c r="F1836" i="3"/>
  <c r="F1837" i="3"/>
  <c r="F1838" i="3"/>
  <c r="F1839" i="3"/>
  <c r="F1840" i="3"/>
  <c r="F1841" i="3"/>
  <c r="F1842" i="3"/>
  <c r="F1843" i="3"/>
  <c r="F1844" i="3"/>
  <c r="F1845" i="3"/>
  <c r="F1846" i="3"/>
  <c r="F1847" i="3"/>
  <c r="F1848" i="3"/>
  <c r="F1849" i="3"/>
  <c r="F1850" i="3"/>
  <c r="F1851" i="3"/>
  <c r="F1852" i="3"/>
  <c r="F1853" i="3"/>
  <c r="F1854" i="3"/>
  <c r="F1855" i="3"/>
  <c r="F1856" i="3"/>
  <c r="F1857" i="3"/>
  <c r="F1858" i="3"/>
  <c r="F1859" i="3"/>
  <c r="F1860" i="3"/>
  <c r="F1861" i="3"/>
  <c r="F1862" i="3"/>
  <c r="BH3" i="3"/>
  <c r="BH4" i="3"/>
  <c r="BH5" i="3"/>
  <c r="BH6" i="3"/>
  <c r="BH7" i="3"/>
  <c r="BH8" i="3"/>
  <c r="BH9" i="3"/>
  <c r="BH10" i="3"/>
  <c r="BH11" i="3"/>
  <c r="BH12" i="3"/>
  <c r="BH13" i="3"/>
  <c r="BH14" i="3"/>
  <c r="BH15" i="3"/>
  <c r="BH16" i="3"/>
  <c r="BH17" i="3"/>
  <c r="BH18" i="3"/>
  <c r="BH19" i="3"/>
  <c r="BH20" i="3"/>
  <c r="BH21" i="3"/>
  <c r="BH22" i="3"/>
  <c r="BH23" i="3"/>
  <c r="BH24" i="3"/>
  <c r="BH25" i="3"/>
  <c r="BH26" i="3"/>
  <c r="BH27" i="3"/>
  <c r="BH28" i="3"/>
  <c r="BH29" i="3"/>
  <c r="BH30" i="3"/>
  <c r="BH31" i="3"/>
  <c r="BH33" i="3"/>
  <c r="BH34" i="3"/>
  <c r="BH36" i="3"/>
  <c r="BH37" i="3"/>
  <c r="BH38" i="3"/>
  <c r="BH39" i="3"/>
  <c r="BH40" i="3"/>
  <c r="BH41" i="3"/>
  <c r="BH42" i="3"/>
  <c r="BH43" i="3"/>
  <c r="BH44" i="3"/>
  <c r="BH45" i="3"/>
  <c r="BH46" i="3"/>
  <c r="BH47" i="3"/>
  <c r="BH48" i="3"/>
  <c r="BH49" i="3"/>
  <c r="BH50" i="3"/>
  <c r="BH51" i="3"/>
  <c r="BH53" i="3"/>
  <c r="BH54" i="3"/>
  <c r="BH55" i="3"/>
  <c r="BH56" i="3"/>
  <c r="BH57" i="3"/>
  <c r="BH58" i="3"/>
  <c r="BH59" i="3"/>
  <c r="BH61" i="3"/>
  <c r="BH62" i="3"/>
  <c r="BH63" i="3"/>
  <c r="BH64" i="3"/>
  <c r="BH65" i="3"/>
  <c r="BH66" i="3"/>
  <c r="BH67" i="3"/>
  <c r="BH68" i="3"/>
  <c r="BH69" i="3"/>
  <c r="BH70" i="3"/>
  <c r="BH71" i="3"/>
  <c r="BH72" i="3"/>
  <c r="BH73" i="3"/>
  <c r="BH74" i="3"/>
  <c r="BH76" i="3"/>
  <c r="BH77" i="3"/>
  <c r="BH78" i="3"/>
  <c r="BH79" i="3"/>
  <c r="BH80" i="3"/>
  <c r="BH81" i="3"/>
  <c r="BH82" i="3"/>
  <c r="BH83" i="3"/>
  <c r="BH86" i="3"/>
  <c r="BH87" i="3"/>
  <c r="BH88" i="3"/>
  <c r="BH89" i="3"/>
  <c r="BH90" i="3"/>
  <c r="BH91" i="3"/>
  <c r="BH92" i="3"/>
  <c r="BH94" i="3"/>
  <c r="BH95" i="3"/>
  <c r="BH96" i="3"/>
  <c r="BH97" i="3"/>
  <c r="BH98" i="3"/>
  <c r="BH99" i="3"/>
  <c r="BH100" i="3"/>
  <c r="BH101" i="3"/>
  <c r="BH102" i="3"/>
  <c r="BH104" i="3"/>
  <c r="BH106" i="3"/>
  <c r="BH108" i="3"/>
  <c r="BH109" i="3"/>
  <c r="BH110" i="3"/>
  <c r="BH111" i="3"/>
  <c r="BH112" i="3"/>
  <c r="BH113" i="3"/>
  <c r="BH114" i="3"/>
  <c r="BH115" i="3"/>
  <c r="BH117" i="3"/>
  <c r="BH118" i="3"/>
  <c r="BH119" i="3"/>
  <c r="BH120" i="3"/>
  <c r="BH121" i="3"/>
  <c r="BH122" i="3"/>
  <c r="BH123" i="3"/>
  <c r="BH124" i="3"/>
  <c r="BH125" i="3"/>
  <c r="BH126" i="3"/>
  <c r="BH127" i="3"/>
  <c r="BH128" i="3"/>
  <c r="BH129" i="3"/>
  <c r="BH130" i="3"/>
  <c r="BH131" i="3"/>
  <c r="BH132" i="3"/>
  <c r="BH133" i="3"/>
  <c r="BH134" i="3"/>
  <c r="BH137" i="3"/>
  <c r="BH138" i="3"/>
  <c r="BH139" i="3"/>
  <c r="BH140" i="3"/>
  <c r="BH141" i="3"/>
  <c r="BH142" i="3"/>
  <c r="BH143" i="3"/>
  <c r="BH144" i="3"/>
  <c r="BH145" i="3"/>
  <c r="BH147" i="3"/>
  <c r="BH148" i="3"/>
  <c r="BH150" i="3"/>
  <c r="BH151" i="3"/>
  <c r="BH152" i="3"/>
  <c r="BH153" i="3"/>
  <c r="BH154" i="3"/>
  <c r="BH155" i="3"/>
  <c r="BH156" i="3"/>
  <c r="BH157" i="3"/>
  <c r="BH158" i="3"/>
  <c r="BH159" i="3"/>
  <c r="BH160" i="3"/>
  <c r="BH161" i="3"/>
  <c r="BH162" i="3"/>
  <c r="BH163" i="3"/>
  <c r="BH164" i="3"/>
  <c r="BH166" i="3"/>
  <c r="BH167" i="3"/>
  <c r="BH168" i="3"/>
  <c r="BH169" i="3"/>
  <c r="BH170" i="3"/>
  <c r="BH171" i="3"/>
  <c r="BH172" i="3"/>
  <c r="BH173" i="3"/>
  <c r="BH174" i="3"/>
  <c r="BH175" i="3"/>
  <c r="BH176" i="3"/>
  <c r="BH177" i="3"/>
  <c r="BH178" i="3"/>
  <c r="BH180" i="3"/>
  <c r="BH181" i="3"/>
  <c r="BH182" i="3"/>
  <c r="BH184" i="3"/>
  <c r="BH185" i="3"/>
  <c r="BH186" i="3"/>
  <c r="BH187" i="3"/>
  <c r="BH188" i="3"/>
  <c r="BH189" i="3"/>
  <c r="BH190" i="3"/>
  <c r="BH191" i="3"/>
  <c r="BH192" i="3"/>
  <c r="BH193" i="3"/>
  <c r="BH194" i="3"/>
  <c r="BH195" i="3"/>
  <c r="BH196" i="3"/>
  <c r="BH197" i="3"/>
  <c r="BH198" i="3"/>
  <c r="BH201" i="3"/>
  <c r="BH203" i="3"/>
  <c r="BH205" i="3"/>
  <c r="BH206" i="3"/>
  <c r="BH207" i="3"/>
  <c r="BH208" i="3"/>
  <c r="BH209" i="3"/>
  <c r="BH210" i="3"/>
  <c r="BH211" i="3"/>
  <c r="BH212" i="3"/>
  <c r="BH213" i="3"/>
  <c r="BH214" i="3"/>
  <c r="BH215" i="3"/>
  <c r="BH217" i="3"/>
  <c r="BH218" i="3"/>
  <c r="BH219" i="3"/>
  <c r="BH220" i="3"/>
  <c r="BH221" i="3"/>
  <c r="BH222" i="3"/>
  <c r="BH223" i="3"/>
  <c r="BH224" i="3"/>
  <c r="BH225" i="3"/>
  <c r="BH226" i="3"/>
  <c r="BH227" i="3"/>
  <c r="BH228" i="3"/>
  <c r="BH229" i="3"/>
  <c r="BH230" i="3"/>
  <c r="BH231" i="3"/>
  <c r="BH232" i="3"/>
  <c r="BH233" i="3"/>
  <c r="BH234" i="3"/>
  <c r="BH237" i="3"/>
  <c r="BH239" i="3"/>
  <c r="BH241" i="3"/>
  <c r="BH243" i="3"/>
  <c r="BH244" i="3"/>
  <c r="BH245" i="3"/>
  <c r="BH246" i="3"/>
  <c r="BH248" i="3"/>
  <c r="BH250" i="3"/>
  <c r="BH251" i="3"/>
  <c r="BH252" i="3"/>
  <c r="BH253" i="3"/>
  <c r="BH254" i="3"/>
  <c r="BH256" i="3"/>
  <c r="BH257" i="3"/>
  <c r="BH258" i="3"/>
  <c r="BH259" i="3"/>
  <c r="BH260" i="3"/>
  <c r="BH261" i="3"/>
  <c r="BH264" i="3"/>
  <c r="BH265" i="3"/>
  <c r="BH267" i="3"/>
  <c r="BH269" i="3"/>
  <c r="BH270" i="3"/>
  <c r="BH271" i="3"/>
  <c r="BH272" i="3"/>
  <c r="BH273" i="3"/>
  <c r="BH274" i="3"/>
  <c r="BH275" i="3"/>
  <c r="BH276" i="3"/>
  <c r="BH277" i="3"/>
  <c r="BH278" i="3"/>
  <c r="BH279" i="3"/>
  <c r="BH280" i="3"/>
  <c r="BH282" i="3"/>
  <c r="BH283" i="3"/>
  <c r="BH284" i="3"/>
  <c r="BH285" i="3"/>
  <c r="BH286" i="3"/>
  <c r="BH287" i="3"/>
  <c r="BH289" i="3"/>
  <c r="BH290" i="3"/>
  <c r="BH291" i="3"/>
  <c r="BH292" i="3"/>
  <c r="BH293" i="3"/>
  <c r="BH294" i="3"/>
  <c r="BH295" i="3"/>
  <c r="BH296" i="3"/>
  <c r="BH297" i="3"/>
  <c r="BH299" i="3"/>
  <c r="BH300" i="3"/>
  <c r="BH301" i="3"/>
  <c r="BH302" i="3"/>
  <c r="BH303" i="3"/>
  <c r="BH304" i="3"/>
  <c r="BH305" i="3"/>
  <c r="BH306" i="3"/>
  <c r="BH307" i="3"/>
  <c r="BH308" i="3"/>
  <c r="BH309" i="3"/>
  <c r="BH310" i="3"/>
  <c r="BH311" i="3"/>
  <c r="BH312" i="3"/>
  <c r="BH313" i="3"/>
  <c r="BH314" i="3"/>
  <c r="BH315" i="3"/>
  <c r="BH316" i="3"/>
  <c r="BH317" i="3"/>
  <c r="BH318" i="3"/>
  <c r="BH319" i="3"/>
  <c r="BH320" i="3"/>
  <c r="BH321" i="3"/>
  <c r="BH322" i="3"/>
  <c r="BH323" i="3"/>
  <c r="BH324" i="3"/>
  <c r="BH327" i="3"/>
  <c r="BH328" i="3"/>
  <c r="BH330" i="3"/>
  <c r="BH331" i="3"/>
  <c r="BH333" i="3"/>
  <c r="BH334" i="3"/>
  <c r="BH336" i="3"/>
  <c r="BH337" i="3"/>
  <c r="BH338" i="3"/>
  <c r="BH339" i="3"/>
  <c r="BH340" i="3"/>
  <c r="BH341" i="3"/>
  <c r="BH342" i="3"/>
  <c r="BH343" i="3"/>
  <c r="BH344" i="3"/>
  <c r="BH345" i="3"/>
  <c r="BH346" i="3"/>
  <c r="BH347" i="3"/>
  <c r="BH348" i="3"/>
  <c r="BH349" i="3"/>
  <c r="BH351" i="3"/>
  <c r="BH352" i="3"/>
  <c r="BH353" i="3"/>
  <c r="BH355" i="3"/>
  <c r="BH356" i="3"/>
  <c r="BH357" i="3"/>
  <c r="BH358" i="3"/>
  <c r="BH359" i="3"/>
  <c r="BH360" i="3"/>
  <c r="BH361" i="3"/>
  <c r="BH362" i="3"/>
  <c r="BH363" i="3"/>
  <c r="BH364" i="3"/>
  <c r="BH365" i="3"/>
  <c r="BH366" i="3"/>
  <c r="BH368" i="3"/>
  <c r="BH369" i="3"/>
  <c r="BH370" i="3"/>
  <c r="BH372" i="3"/>
  <c r="BH373" i="3"/>
  <c r="BH374" i="3"/>
  <c r="BH375" i="3"/>
  <c r="BH377" i="3"/>
  <c r="BH378" i="3"/>
  <c r="BH379" i="3"/>
  <c r="BH380" i="3"/>
  <c r="BH381" i="3"/>
  <c r="BH382" i="3"/>
  <c r="BH383" i="3"/>
  <c r="BH385" i="3"/>
  <c r="BH386" i="3"/>
  <c r="BH387" i="3"/>
  <c r="BH388" i="3"/>
  <c r="BH389" i="3"/>
  <c r="BH390" i="3"/>
  <c r="BH391" i="3"/>
  <c r="BH392" i="3"/>
  <c r="BH393" i="3"/>
  <c r="BH394" i="3"/>
  <c r="BH395" i="3"/>
  <c r="BH396" i="3"/>
  <c r="BH397" i="3"/>
  <c r="BH398" i="3"/>
  <c r="BH399" i="3"/>
  <c r="BH400" i="3"/>
  <c r="BH401" i="3"/>
  <c r="BH402" i="3"/>
  <c r="BH403" i="3"/>
  <c r="BH404" i="3"/>
  <c r="BH405" i="3"/>
  <c r="BH406" i="3"/>
  <c r="BH407" i="3"/>
  <c r="BH408" i="3"/>
  <c r="BH409" i="3"/>
  <c r="BH410" i="3"/>
  <c r="BH411" i="3"/>
  <c r="BH412" i="3"/>
  <c r="BH413" i="3"/>
  <c r="BH414" i="3"/>
  <c r="BH415" i="3"/>
  <c r="BH416" i="3"/>
  <c r="BH417" i="3"/>
  <c r="BH418" i="3"/>
  <c r="BH419" i="3"/>
  <c r="BH420" i="3"/>
  <c r="BH421" i="3"/>
  <c r="BH422" i="3"/>
  <c r="BH423" i="3"/>
  <c r="BH424" i="3"/>
  <c r="BH426" i="3"/>
  <c r="BH427" i="3"/>
  <c r="BH428" i="3"/>
  <c r="BH430" i="3"/>
  <c r="BH433" i="3"/>
  <c r="BH434" i="3"/>
  <c r="BH435" i="3"/>
  <c r="BH436" i="3"/>
  <c r="BH437" i="3"/>
  <c r="BH438" i="3"/>
  <c r="BH439" i="3"/>
  <c r="BH440" i="3"/>
  <c r="BH441" i="3"/>
  <c r="BH442" i="3"/>
  <c r="BH444" i="3"/>
  <c r="BH445" i="3"/>
  <c r="BH446" i="3"/>
  <c r="BH447" i="3"/>
  <c r="BH448" i="3"/>
  <c r="BH449" i="3"/>
  <c r="BH450" i="3"/>
  <c r="BH451" i="3"/>
  <c r="BH452" i="3"/>
  <c r="BH453" i="3"/>
  <c r="BH454" i="3"/>
  <c r="BH455" i="3"/>
  <c r="BH456" i="3"/>
  <c r="BH457" i="3"/>
  <c r="BH458" i="3"/>
  <c r="BH459" i="3"/>
  <c r="BH460" i="3"/>
  <c r="BH461" i="3"/>
  <c r="BH463" i="3"/>
  <c r="BH464" i="3"/>
  <c r="BH465" i="3"/>
  <c r="BH466" i="3"/>
  <c r="BH467" i="3"/>
  <c r="BH468" i="3"/>
  <c r="BH469" i="3"/>
  <c r="BH470" i="3"/>
  <c r="BH471" i="3"/>
  <c r="BH472" i="3"/>
  <c r="BH474" i="3"/>
  <c r="BH475" i="3"/>
  <c r="BH476" i="3"/>
  <c r="BH477" i="3"/>
  <c r="BH478" i="3"/>
  <c r="BH479" i="3"/>
  <c r="BH480" i="3"/>
  <c r="BH481" i="3"/>
  <c r="BH482" i="3"/>
  <c r="BH483" i="3"/>
  <c r="BH484" i="3"/>
  <c r="BH485" i="3"/>
  <c r="BH486" i="3"/>
  <c r="BH487" i="3"/>
  <c r="BH488" i="3"/>
  <c r="BH489" i="3"/>
  <c r="BH490" i="3"/>
  <c r="BH491" i="3"/>
  <c r="BH492" i="3"/>
  <c r="BH493" i="3"/>
  <c r="BH494" i="3"/>
  <c r="BH496" i="3"/>
  <c r="BH497" i="3"/>
  <c r="BH499" i="3"/>
  <c r="BH500" i="3"/>
  <c r="BH501" i="3"/>
  <c r="BH502" i="3"/>
  <c r="BH503" i="3"/>
  <c r="BH504" i="3"/>
  <c r="BH505" i="3"/>
  <c r="BH506" i="3"/>
  <c r="BH507" i="3"/>
  <c r="BH508" i="3"/>
  <c r="BH509" i="3"/>
  <c r="BH510" i="3"/>
  <c r="BH511" i="3"/>
  <c r="BH514" i="3"/>
  <c r="BH515" i="3"/>
  <c r="BH516" i="3"/>
  <c r="BH517" i="3"/>
  <c r="BH518" i="3"/>
  <c r="BH519" i="3"/>
  <c r="BH520" i="3"/>
  <c r="BH521" i="3"/>
  <c r="BH522" i="3"/>
  <c r="BH523" i="3"/>
  <c r="BH524" i="3"/>
  <c r="BH525" i="3"/>
  <c r="BH526" i="3"/>
  <c r="BH527" i="3"/>
  <c r="BH528" i="3"/>
  <c r="BH529" i="3"/>
  <c r="BH530" i="3"/>
  <c r="BH531" i="3"/>
  <c r="BH533" i="3"/>
  <c r="BH534" i="3"/>
  <c r="BH535" i="3"/>
  <c r="BH536" i="3"/>
  <c r="BH537" i="3"/>
  <c r="BH538" i="3"/>
  <c r="BH539" i="3"/>
  <c r="BH540" i="3"/>
  <c r="BH541" i="3"/>
  <c r="BH542" i="3"/>
  <c r="BH543" i="3"/>
  <c r="BH544" i="3"/>
  <c r="BH545" i="3"/>
  <c r="BH546" i="3"/>
  <c r="BH547" i="3"/>
  <c r="BH548" i="3"/>
  <c r="BH549" i="3"/>
  <c r="BH550" i="3"/>
  <c r="BH551" i="3"/>
  <c r="BH552" i="3"/>
  <c r="BH553" i="3"/>
  <c r="BH554" i="3"/>
  <c r="BH555" i="3"/>
  <c r="BH556" i="3"/>
  <c r="BH557" i="3"/>
  <c r="BH558" i="3"/>
  <c r="BH559" i="3"/>
  <c r="BH561" i="3"/>
  <c r="BH562" i="3"/>
  <c r="BH563" i="3"/>
  <c r="BH565" i="3"/>
  <c r="BH566" i="3"/>
  <c r="BH567" i="3"/>
  <c r="BH568" i="3"/>
  <c r="BH569" i="3"/>
  <c r="BH570" i="3"/>
  <c r="BH571" i="3"/>
  <c r="BH572" i="3"/>
  <c r="BH573" i="3"/>
  <c r="BH574" i="3"/>
  <c r="BH575" i="3"/>
  <c r="BH576" i="3"/>
  <c r="BH577" i="3"/>
  <c r="BH579" i="3"/>
  <c r="BH580" i="3"/>
  <c r="BH581" i="3"/>
  <c r="BH582" i="3"/>
  <c r="BH583" i="3"/>
  <c r="BH585" i="3"/>
  <c r="BH586" i="3"/>
  <c r="BH587" i="3"/>
  <c r="BH588" i="3"/>
  <c r="BH589" i="3"/>
  <c r="BH590" i="3"/>
  <c r="BH591" i="3"/>
  <c r="BH592" i="3"/>
  <c r="BH593" i="3"/>
  <c r="BH594" i="3"/>
  <c r="BH595" i="3"/>
  <c r="BH596" i="3"/>
  <c r="BH597" i="3"/>
  <c r="BH599" i="3"/>
  <c r="BH600" i="3"/>
  <c r="BH601" i="3"/>
  <c r="BH602" i="3"/>
  <c r="BH603" i="3"/>
  <c r="BH604" i="3"/>
  <c r="BH605" i="3"/>
  <c r="BH606" i="3"/>
  <c r="BH607" i="3"/>
  <c r="BH608" i="3"/>
  <c r="BH610" i="3"/>
  <c r="BH611" i="3"/>
  <c r="BH612" i="3"/>
  <c r="BH613" i="3"/>
  <c r="BH614" i="3"/>
  <c r="BH615" i="3"/>
  <c r="BH617" i="3"/>
  <c r="BH618" i="3"/>
  <c r="BH619" i="3"/>
  <c r="BH620" i="3"/>
  <c r="BH621" i="3"/>
  <c r="BH622" i="3"/>
  <c r="BH623" i="3"/>
  <c r="BH624" i="3"/>
  <c r="BH625" i="3"/>
  <c r="BH626" i="3"/>
  <c r="BH627" i="3"/>
  <c r="BH628" i="3"/>
  <c r="BH629" i="3"/>
  <c r="BH632" i="3"/>
  <c r="BH633" i="3"/>
  <c r="BH634" i="3"/>
  <c r="BH635" i="3"/>
  <c r="BH637" i="3"/>
  <c r="BH638" i="3"/>
  <c r="BH639" i="3"/>
  <c r="BH640" i="3"/>
  <c r="BH641" i="3"/>
  <c r="BH642" i="3"/>
  <c r="BH643" i="3"/>
  <c r="BH644" i="3"/>
  <c r="BH645" i="3"/>
  <c r="BH646" i="3"/>
  <c r="BH647" i="3"/>
  <c r="BH648" i="3"/>
  <c r="BH649" i="3"/>
  <c r="BH650" i="3"/>
  <c r="BH651" i="3"/>
  <c r="BH652" i="3"/>
  <c r="BH653" i="3"/>
  <c r="BH654" i="3"/>
  <c r="BH655" i="3"/>
  <c r="BH656" i="3"/>
  <c r="BH657" i="3"/>
  <c r="BH658" i="3"/>
  <c r="BH659" i="3"/>
  <c r="BH660" i="3"/>
  <c r="BH661" i="3"/>
  <c r="BH662" i="3"/>
  <c r="BH663" i="3"/>
  <c r="BH664" i="3"/>
  <c r="BH665" i="3"/>
  <c r="BH666" i="3"/>
  <c r="BH667" i="3"/>
  <c r="BH668" i="3"/>
  <c r="BH669" i="3"/>
  <c r="BH670" i="3"/>
  <c r="BH671" i="3"/>
  <c r="BH672" i="3"/>
  <c r="BH674" i="3"/>
  <c r="BH675" i="3"/>
  <c r="BH676" i="3"/>
  <c r="BH677" i="3"/>
  <c r="BH678" i="3"/>
  <c r="BH679" i="3"/>
  <c r="BH680" i="3"/>
  <c r="BH681" i="3"/>
  <c r="BH682" i="3"/>
  <c r="BH683" i="3"/>
  <c r="BH684" i="3"/>
  <c r="BH685" i="3"/>
  <c r="BH686" i="3"/>
  <c r="BH687" i="3"/>
  <c r="BH689" i="3"/>
  <c r="BH690" i="3"/>
  <c r="BH691" i="3"/>
  <c r="BH692" i="3"/>
  <c r="BH693" i="3"/>
  <c r="BH696" i="3"/>
  <c r="BH697" i="3"/>
  <c r="BH698" i="3"/>
  <c r="BH699" i="3"/>
  <c r="BH700" i="3"/>
  <c r="BH703" i="3"/>
  <c r="BH704" i="3"/>
  <c r="BH705" i="3"/>
  <c r="BH706" i="3"/>
  <c r="BH707" i="3"/>
  <c r="BH708" i="3"/>
  <c r="BH709" i="3"/>
  <c r="BH710" i="3"/>
  <c r="BH711" i="3"/>
  <c r="BH712" i="3"/>
  <c r="BH713" i="3"/>
  <c r="BH714" i="3"/>
  <c r="BH716" i="3"/>
  <c r="BH717" i="3"/>
  <c r="BH718" i="3"/>
  <c r="BH719" i="3"/>
  <c r="BH720" i="3"/>
  <c r="BH721" i="3"/>
  <c r="BH722" i="3"/>
  <c r="BH723" i="3"/>
  <c r="BH724" i="3"/>
  <c r="BH725" i="3"/>
  <c r="BH726" i="3"/>
  <c r="BH727" i="3"/>
  <c r="BH728" i="3"/>
  <c r="BH729" i="3"/>
  <c r="BH730" i="3"/>
  <c r="BH731" i="3"/>
  <c r="BH732" i="3"/>
  <c r="BH733" i="3"/>
  <c r="BH735" i="3"/>
  <c r="BH736" i="3"/>
  <c r="BH737" i="3"/>
  <c r="BH739" i="3"/>
  <c r="BH740" i="3"/>
  <c r="BH741" i="3"/>
  <c r="BH742" i="3"/>
  <c r="BH744" i="3"/>
  <c r="BH745" i="3"/>
  <c r="BH746" i="3"/>
  <c r="BH747" i="3"/>
  <c r="BH748" i="3"/>
  <c r="BH749" i="3"/>
  <c r="BH750" i="3"/>
  <c r="BH751" i="3"/>
  <c r="BH752" i="3"/>
  <c r="BH753" i="3"/>
  <c r="BH754" i="3"/>
  <c r="BH755" i="3"/>
  <c r="BH756" i="3"/>
  <c r="BH757" i="3"/>
  <c r="BH758" i="3"/>
  <c r="BH759" i="3"/>
  <c r="BH760" i="3"/>
  <c r="BH762" i="3"/>
  <c r="BH763" i="3"/>
  <c r="BH764" i="3"/>
  <c r="BH765" i="3"/>
  <c r="BH766" i="3"/>
  <c r="BH767" i="3"/>
  <c r="BH768" i="3"/>
  <c r="BH769" i="3"/>
  <c r="BH770" i="3"/>
  <c r="BH771" i="3"/>
  <c r="BH772" i="3"/>
  <c r="BH773" i="3"/>
  <c r="BH774" i="3"/>
  <c r="BH775" i="3"/>
  <c r="BH776" i="3"/>
  <c r="BH777" i="3"/>
  <c r="BH778" i="3"/>
  <c r="BH779" i="3"/>
  <c r="BH780" i="3"/>
  <c r="BH781" i="3"/>
  <c r="BH782" i="3"/>
  <c r="BH783" i="3"/>
  <c r="BH784" i="3"/>
  <c r="BH785" i="3"/>
  <c r="BH786" i="3"/>
  <c r="BH787" i="3"/>
  <c r="BH788" i="3"/>
  <c r="BH789" i="3"/>
  <c r="BH791" i="3"/>
  <c r="BH792" i="3"/>
  <c r="BH793" i="3"/>
  <c r="BH794" i="3"/>
  <c r="BH795" i="3"/>
  <c r="BH796" i="3"/>
  <c r="BH798" i="3"/>
  <c r="BH800" i="3"/>
  <c r="BH801" i="3"/>
  <c r="BH802" i="3"/>
  <c r="BH803" i="3"/>
  <c r="BH804" i="3"/>
  <c r="BH805" i="3"/>
  <c r="BH807" i="3"/>
  <c r="BH808" i="3"/>
  <c r="BH809" i="3"/>
  <c r="BH810" i="3"/>
  <c r="BH811" i="3"/>
  <c r="BH812" i="3"/>
  <c r="BH813" i="3"/>
  <c r="BH814" i="3"/>
  <c r="BH815" i="3"/>
  <c r="BH816" i="3"/>
  <c r="BH817" i="3"/>
  <c r="BH819" i="3"/>
  <c r="BH820" i="3"/>
  <c r="BH822" i="3"/>
  <c r="BH824" i="3"/>
  <c r="BH825" i="3"/>
  <c r="BH826" i="3"/>
  <c r="BH827" i="3"/>
  <c r="BH828" i="3"/>
  <c r="BH829" i="3"/>
  <c r="BH830" i="3"/>
  <c r="BH832" i="3"/>
  <c r="BH833" i="3"/>
  <c r="BH834" i="3"/>
  <c r="BH835" i="3"/>
  <c r="BH836" i="3"/>
  <c r="BH838" i="3"/>
  <c r="BH839" i="3"/>
  <c r="BH840" i="3"/>
  <c r="BH841" i="3"/>
  <c r="BH842" i="3"/>
  <c r="BH843" i="3"/>
  <c r="BH844" i="3"/>
  <c r="BH845" i="3"/>
  <c r="BH846" i="3"/>
  <c r="BH847" i="3"/>
  <c r="BH848" i="3"/>
  <c r="BH850" i="3"/>
  <c r="BH852" i="3"/>
  <c r="BH853" i="3"/>
  <c r="BH854" i="3"/>
  <c r="BH855" i="3"/>
  <c r="BH856" i="3"/>
  <c r="BH857" i="3"/>
  <c r="BH858" i="3"/>
  <c r="BH859" i="3"/>
  <c r="BH860" i="3"/>
  <c r="BH861" i="3"/>
  <c r="BH862" i="3"/>
  <c r="BH863" i="3"/>
  <c r="BH865" i="3"/>
  <c r="BH866" i="3"/>
  <c r="BH868" i="3"/>
  <c r="BH869" i="3"/>
  <c r="BH870" i="3"/>
  <c r="BH871" i="3"/>
  <c r="BH872" i="3"/>
  <c r="BH873" i="3"/>
  <c r="BH874" i="3"/>
  <c r="BH875" i="3"/>
  <c r="BH876" i="3"/>
  <c r="BH877" i="3"/>
  <c r="BH878" i="3"/>
  <c r="BH879" i="3"/>
  <c r="BH880" i="3"/>
  <c r="BH881" i="3"/>
  <c r="BH882" i="3"/>
  <c r="BH883" i="3"/>
  <c r="BH884" i="3"/>
  <c r="BH885" i="3"/>
  <c r="BH886" i="3"/>
  <c r="BH888" i="3"/>
  <c r="BH889" i="3"/>
  <c r="BH890" i="3"/>
  <c r="BH891" i="3"/>
  <c r="BH892" i="3"/>
  <c r="BH893" i="3"/>
  <c r="BH894" i="3"/>
  <c r="BH895" i="3"/>
  <c r="BH896" i="3"/>
  <c r="BH897" i="3"/>
  <c r="BH898" i="3"/>
  <c r="BH899" i="3"/>
  <c r="BH900" i="3"/>
  <c r="BH901" i="3"/>
  <c r="BH902" i="3"/>
  <c r="BH903" i="3"/>
  <c r="BH904" i="3"/>
  <c r="BH905" i="3"/>
  <c r="BH906" i="3"/>
  <c r="BH907" i="3"/>
  <c r="BH910" i="3"/>
  <c r="BH911" i="3"/>
  <c r="BH913" i="3"/>
  <c r="BH914" i="3"/>
  <c r="BH915" i="3"/>
  <c r="BH916" i="3"/>
  <c r="BH917" i="3"/>
  <c r="BH918" i="3"/>
  <c r="BH919" i="3"/>
  <c r="BH920" i="3"/>
  <c r="BH921" i="3"/>
  <c r="BH922" i="3"/>
  <c r="BH923" i="3"/>
  <c r="BH924" i="3"/>
  <c r="BH925" i="3"/>
  <c r="BH926" i="3"/>
  <c r="BH927" i="3"/>
  <c r="BH928" i="3"/>
  <c r="BH930" i="3"/>
  <c r="BH931" i="3"/>
  <c r="BH932" i="3"/>
  <c r="BH933" i="3"/>
  <c r="BH934" i="3"/>
  <c r="BH935" i="3"/>
  <c r="BH936" i="3"/>
  <c r="BH937" i="3"/>
  <c r="BH938" i="3"/>
  <c r="BH939" i="3"/>
  <c r="BH940" i="3"/>
  <c r="BH941" i="3"/>
  <c r="BH943" i="3"/>
  <c r="BH944" i="3"/>
  <c r="BH945" i="3"/>
  <c r="BH946" i="3"/>
  <c r="BH949" i="3"/>
  <c r="BH950" i="3"/>
  <c r="BH953" i="3"/>
  <c r="BH954" i="3"/>
  <c r="BH955" i="3"/>
  <c r="BH956" i="3"/>
  <c r="BH957" i="3"/>
  <c r="BH958" i="3"/>
  <c r="BH959" i="3"/>
  <c r="BH960" i="3"/>
  <c r="BH961" i="3"/>
  <c r="BH962" i="3"/>
  <c r="BH963" i="3"/>
  <c r="BH964" i="3"/>
  <c r="BH965" i="3"/>
  <c r="BH966" i="3"/>
  <c r="BH967" i="3"/>
  <c r="BH968" i="3"/>
  <c r="BH969" i="3"/>
  <c r="BH970" i="3"/>
  <c r="BH971" i="3"/>
  <c r="BH972" i="3"/>
  <c r="BH973" i="3"/>
  <c r="BH974" i="3"/>
  <c r="BH975" i="3"/>
  <c r="BH978" i="3"/>
  <c r="BH979" i="3"/>
  <c r="BH980" i="3"/>
  <c r="BH981" i="3"/>
  <c r="BH982" i="3"/>
  <c r="BH983" i="3"/>
  <c r="BH984" i="3"/>
  <c r="BH985" i="3"/>
  <c r="BH986" i="3"/>
  <c r="BH987" i="3"/>
  <c r="BH989" i="3"/>
  <c r="BH990" i="3"/>
  <c r="BH991" i="3"/>
  <c r="BH992" i="3"/>
  <c r="BH993" i="3"/>
  <c r="BH994" i="3"/>
  <c r="BH995" i="3"/>
  <c r="BH996" i="3"/>
  <c r="BH997" i="3"/>
  <c r="BH999" i="3"/>
  <c r="BH1000" i="3"/>
  <c r="BH1001" i="3"/>
  <c r="BH1002" i="3"/>
  <c r="BH1003" i="3"/>
  <c r="BH1004" i="3"/>
  <c r="BH1005" i="3"/>
  <c r="BH1007" i="3"/>
  <c r="BH1008" i="3"/>
  <c r="BH1009" i="3"/>
  <c r="BH1010" i="3"/>
  <c r="BH1011" i="3"/>
  <c r="BH1012" i="3"/>
  <c r="BH1013" i="3"/>
  <c r="BH1014" i="3"/>
  <c r="BH1015" i="3"/>
  <c r="BH1017" i="3"/>
  <c r="BH1018" i="3"/>
  <c r="BH1019" i="3"/>
  <c r="BH1020" i="3"/>
  <c r="BH1021" i="3"/>
  <c r="BH1022" i="3"/>
  <c r="BH1023" i="3"/>
  <c r="BH1025" i="3"/>
  <c r="BH1026" i="3"/>
  <c r="BH1027" i="3"/>
  <c r="BH1028" i="3"/>
  <c r="BH1029" i="3"/>
  <c r="BH1031" i="3"/>
  <c r="BH1032" i="3"/>
  <c r="BH1033" i="3"/>
  <c r="BH1034" i="3"/>
  <c r="BH1035" i="3"/>
  <c r="BH1036" i="3"/>
  <c r="BH1037" i="3"/>
  <c r="BH1038" i="3"/>
  <c r="BH1039" i="3"/>
  <c r="BH1040" i="3"/>
  <c r="BH1041" i="3"/>
  <c r="BH1042" i="3"/>
  <c r="BH1043" i="3"/>
  <c r="BH1044" i="3"/>
  <c r="BH1045" i="3"/>
  <c r="BH1046" i="3"/>
  <c r="BH1047" i="3"/>
  <c r="BH1048" i="3"/>
  <c r="BH1049" i="3"/>
  <c r="BH1050" i="3"/>
  <c r="BH1051" i="3"/>
  <c r="BH1052" i="3"/>
  <c r="BH1053" i="3"/>
  <c r="BH1054" i="3"/>
  <c r="BH1055" i="3"/>
  <c r="BH1056" i="3"/>
  <c r="BH1057" i="3"/>
  <c r="BH1058" i="3"/>
  <c r="BH1059" i="3"/>
  <c r="BH1060" i="3"/>
  <c r="BH1061" i="3"/>
  <c r="BH1062" i="3"/>
  <c r="BH1063" i="3"/>
  <c r="BH1064" i="3"/>
  <c r="BH1065" i="3"/>
  <c r="BH1066" i="3"/>
  <c r="BH1067" i="3"/>
  <c r="BH1068" i="3"/>
  <c r="BH1069" i="3"/>
  <c r="BH1070" i="3"/>
  <c r="BH1071" i="3"/>
  <c r="BH1072" i="3"/>
  <c r="BH1073" i="3"/>
  <c r="BH1074" i="3"/>
  <c r="BH1075" i="3"/>
  <c r="BH1076" i="3"/>
  <c r="BH1077" i="3"/>
  <c r="BH1078" i="3"/>
  <c r="BH1079" i="3"/>
  <c r="BH1080" i="3"/>
  <c r="BH1082" i="3"/>
  <c r="BH1083" i="3"/>
  <c r="BH1084" i="3"/>
  <c r="BH1085" i="3"/>
  <c r="BH1086" i="3"/>
  <c r="BH1087" i="3"/>
  <c r="BH1088" i="3"/>
  <c r="BH1089" i="3"/>
  <c r="BH1090" i="3"/>
  <c r="BH1091" i="3"/>
  <c r="BH1093" i="3"/>
  <c r="BH1094" i="3"/>
  <c r="BH1095" i="3"/>
  <c r="BH1096" i="3"/>
  <c r="BH1097" i="3"/>
  <c r="BH1098" i="3"/>
  <c r="BH1099" i="3"/>
  <c r="BH1101" i="3"/>
  <c r="BH1102" i="3"/>
  <c r="BH1103" i="3"/>
  <c r="BH1104" i="3"/>
  <c r="BH1105" i="3"/>
  <c r="BH1106" i="3"/>
  <c r="BH1107" i="3"/>
  <c r="BH1108" i="3"/>
  <c r="BH1109" i="3"/>
  <c r="BH1110" i="3"/>
  <c r="BH1111" i="3"/>
  <c r="BH1112" i="3"/>
  <c r="BH1113" i="3"/>
  <c r="BH1114" i="3"/>
  <c r="BH1115" i="3"/>
  <c r="BH1117" i="3"/>
  <c r="BH1118" i="3"/>
  <c r="BH1119" i="3"/>
  <c r="BH1121" i="3"/>
  <c r="BH1122" i="3"/>
  <c r="BH1123" i="3"/>
  <c r="BH1125" i="3"/>
  <c r="BH1127" i="3"/>
  <c r="BH1128" i="3"/>
  <c r="BH1129" i="3"/>
  <c r="BH1130" i="3"/>
  <c r="BH1132" i="3"/>
  <c r="BH1133" i="3"/>
  <c r="BH1134" i="3"/>
  <c r="BH1135" i="3"/>
  <c r="BH1136" i="3"/>
  <c r="BH1137" i="3"/>
  <c r="BH1138" i="3"/>
  <c r="BH1139" i="3"/>
  <c r="BH1141" i="3"/>
  <c r="BH1142" i="3"/>
  <c r="BH1143" i="3"/>
  <c r="BH1144" i="3"/>
  <c r="BH1145" i="3"/>
  <c r="BH1146" i="3"/>
  <c r="BH1147" i="3"/>
  <c r="BH1148" i="3"/>
  <c r="BH1149" i="3"/>
  <c r="BH1150" i="3"/>
  <c r="BH1151" i="3"/>
  <c r="BH1152" i="3"/>
  <c r="BH1153" i="3"/>
  <c r="BH1154" i="3"/>
  <c r="BH1155" i="3"/>
  <c r="BH1156" i="3"/>
  <c r="BH1157" i="3"/>
  <c r="BH1159" i="3"/>
  <c r="BH1163" i="3"/>
  <c r="BH1164" i="3"/>
  <c r="BH1165" i="3"/>
  <c r="BH1166" i="3"/>
  <c r="BH1167" i="3"/>
  <c r="BH1168" i="3"/>
  <c r="BH1169" i="3"/>
  <c r="BH1170" i="3"/>
  <c r="BH1171" i="3"/>
  <c r="BH1172" i="3"/>
  <c r="BH1174" i="3"/>
  <c r="BH1175" i="3"/>
  <c r="BH1176" i="3"/>
  <c r="BH1177" i="3"/>
  <c r="BH1178" i="3"/>
  <c r="BH1180" i="3"/>
  <c r="BH1181" i="3"/>
  <c r="BH1183" i="3"/>
  <c r="BH1184" i="3"/>
  <c r="BH1185" i="3"/>
  <c r="BH1186" i="3"/>
  <c r="BH1187" i="3"/>
  <c r="BH1188" i="3"/>
  <c r="BH1189" i="3"/>
  <c r="BH1190" i="3"/>
  <c r="BH1192" i="3"/>
  <c r="BH1193" i="3"/>
  <c r="BH1194" i="3"/>
  <c r="BH1196" i="3"/>
  <c r="BH1198" i="3"/>
  <c r="BH1200" i="3"/>
  <c r="BH1201" i="3"/>
  <c r="BH1202" i="3"/>
  <c r="BH1203" i="3"/>
  <c r="BH1204" i="3"/>
  <c r="BH1205" i="3"/>
  <c r="BH1208" i="3"/>
  <c r="BH1209" i="3"/>
  <c r="BH1210" i="3"/>
  <c r="BH1211" i="3"/>
  <c r="BH1212" i="3"/>
  <c r="BH1213" i="3"/>
  <c r="BH1214" i="3"/>
  <c r="BH1215" i="3"/>
  <c r="BH1216" i="3"/>
  <c r="BH1218" i="3"/>
  <c r="BH1219" i="3"/>
  <c r="BH1220" i="3"/>
  <c r="BH1221" i="3"/>
  <c r="BH1222" i="3"/>
  <c r="BH1224" i="3"/>
  <c r="BH1225" i="3"/>
  <c r="BH1226" i="3"/>
  <c r="BH1228" i="3"/>
  <c r="BH1229" i="3"/>
  <c r="BH1230" i="3"/>
  <c r="BH1231" i="3"/>
  <c r="BH1232" i="3"/>
  <c r="BH1233" i="3"/>
  <c r="BH1234" i="3"/>
  <c r="BH1235" i="3"/>
  <c r="BH1236" i="3"/>
  <c r="BH1237" i="3"/>
  <c r="BH1238" i="3"/>
  <c r="BH1239" i="3"/>
  <c r="BH1240" i="3"/>
  <c r="BH1241" i="3"/>
  <c r="BH1242" i="3"/>
  <c r="BH1243" i="3"/>
  <c r="BH1244" i="3"/>
  <c r="BH1245" i="3"/>
  <c r="BH1246" i="3"/>
  <c r="BH1247" i="3"/>
  <c r="BH1248" i="3"/>
  <c r="BH1249" i="3"/>
  <c r="BH1250" i="3"/>
  <c r="BH1251" i="3"/>
  <c r="BH1252" i="3"/>
  <c r="BH1253" i="3"/>
  <c r="BH1256" i="3"/>
  <c r="BH1257" i="3"/>
  <c r="BH1258" i="3"/>
  <c r="BH1259" i="3"/>
  <c r="BH1260" i="3"/>
  <c r="BH1261" i="3"/>
  <c r="BH1262" i="3"/>
  <c r="BH1263" i="3"/>
  <c r="BH1264" i="3"/>
  <c r="BH1265" i="3"/>
  <c r="BH1266" i="3"/>
  <c r="BH1267" i="3"/>
  <c r="BH1268" i="3"/>
  <c r="BH1270" i="3"/>
  <c r="BH1271" i="3"/>
  <c r="BH1274" i="3"/>
  <c r="BH1275" i="3"/>
  <c r="BH1276" i="3"/>
  <c r="BH1277" i="3"/>
  <c r="BH1278" i="3"/>
  <c r="BH1279" i="3"/>
  <c r="BH1280" i="3"/>
  <c r="BH1281" i="3"/>
  <c r="BH1282" i="3"/>
  <c r="BH1284" i="3"/>
  <c r="BH1285" i="3"/>
  <c r="BH1286" i="3"/>
  <c r="BH1287" i="3"/>
  <c r="BH1288" i="3"/>
  <c r="BH1289" i="3"/>
  <c r="BH1290" i="3"/>
  <c r="BH1291" i="3"/>
  <c r="BH1293" i="3"/>
  <c r="BH1294" i="3"/>
  <c r="BH1296" i="3"/>
  <c r="BH1297" i="3"/>
  <c r="BH1299" i="3"/>
  <c r="BH1301" i="3"/>
  <c r="BH1302" i="3"/>
  <c r="BH1304" i="3"/>
  <c r="BH1305" i="3"/>
  <c r="BH1306" i="3"/>
  <c r="BH1307" i="3"/>
  <c r="BH1308" i="3"/>
  <c r="BH1309" i="3"/>
  <c r="BH1310" i="3"/>
  <c r="BH1311" i="3"/>
  <c r="BH1313" i="3"/>
  <c r="BH1314" i="3"/>
  <c r="BH1315" i="3"/>
  <c r="BH1316" i="3"/>
  <c r="BH1317" i="3"/>
  <c r="BH1318" i="3"/>
  <c r="BH1319" i="3"/>
  <c r="BH1320" i="3"/>
  <c r="BH1321" i="3"/>
  <c r="BH1322" i="3"/>
  <c r="BH1323" i="3"/>
  <c r="BH1324" i="3"/>
  <c r="BH1326" i="3"/>
  <c r="BH1327" i="3"/>
  <c r="BH1328" i="3"/>
  <c r="BH1329" i="3"/>
  <c r="BH1330" i="3"/>
  <c r="BH1331" i="3"/>
  <c r="BH1332" i="3"/>
  <c r="BH1333" i="3"/>
  <c r="BH1334" i="3"/>
  <c r="BH1335" i="3"/>
  <c r="BH1336" i="3"/>
  <c r="BH1337" i="3"/>
  <c r="BH1338" i="3"/>
  <c r="BH1339" i="3"/>
  <c r="BH1340" i="3"/>
  <c r="BH1341" i="3"/>
  <c r="BH1342" i="3"/>
  <c r="BH1343" i="3"/>
  <c r="BH1344" i="3"/>
  <c r="BH1345" i="3"/>
  <c r="BH1346" i="3"/>
  <c r="BH1347" i="3"/>
  <c r="BH1348" i="3"/>
  <c r="BH1349" i="3"/>
  <c r="BH1351" i="3"/>
  <c r="BH1352" i="3"/>
  <c r="BH1354" i="3"/>
  <c r="BH1355" i="3"/>
  <c r="BH1356" i="3"/>
  <c r="BH1357" i="3"/>
  <c r="BH1358" i="3"/>
  <c r="BH1359" i="3"/>
  <c r="BH1360" i="3"/>
  <c r="BH1362" i="3"/>
  <c r="BH1363" i="3"/>
  <c r="BH1364" i="3"/>
  <c r="BH1366" i="3"/>
  <c r="BH1367" i="3"/>
  <c r="BH1368" i="3"/>
  <c r="BH1369" i="3"/>
  <c r="BH1370" i="3"/>
  <c r="BH1371" i="3"/>
  <c r="BH1372" i="3"/>
  <c r="BH1373" i="3"/>
  <c r="BH1374" i="3"/>
  <c r="BH1375" i="3"/>
  <c r="BH1376" i="3"/>
  <c r="BH1377" i="3"/>
  <c r="BH1378" i="3"/>
  <c r="BH1379" i="3"/>
  <c r="BH1380" i="3"/>
  <c r="BH1381" i="3"/>
  <c r="BH1382" i="3"/>
  <c r="BH1383" i="3"/>
  <c r="BH1384" i="3"/>
  <c r="BH1385" i="3"/>
  <c r="BH1387" i="3"/>
  <c r="BH1389" i="3"/>
  <c r="BH1391" i="3"/>
  <c r="BH1392" i="3"/>
  <c r="BH1393" i="3"/>
  <c r="BH1394" i="3"/>
  <c r="BH1395" i="3"/>
  <c r="BH1396" i="3"/>
  <c r="BH1397" i="3"/>
  <c r="BH1398" i="3"/>
  <c r="BH1399" i="3"/>
  <c r="BH1400" i="3"/>
  <c r="BH1401" i="3"/>
  <c r="BH1402" i="3"/>
  <c r="BH1403" i="3"/>
  <c r="BH1404" i="3"/>
  <c r="BH1405" i="3"/>
  <c r="BH1406" i="3"/>
  <c r="BH1407" i="3"/>
  <c r="BH1408" i="3"/>
  <c r="BH1410" i="3"/>
  <c r="BH1411" i="3"/>
  <c r="BH1412" i="3"/>
  <c r="BH1413" i="3"/>
  <c r="BH1414" i="3"/>
  <c r="BH1415" i="3"/>
  <c r="BH1416" i="3"/>
  <c r="BH1417" i="3"/>
  <c r="BH1418" i="3"/>
  <c r="BH1420" i="3"/>
  <c r="BH1421" i="3"/>
  <c r="BH1422" i="3"/>
  <c r="BH1423" i="3"/>
  <c r="BH1424" i="3"/>
  <c r="BH1425" i="3"/>
  <c r="BH1426" i="3"/>
  <c r="BH1427" i="3"/>
  <c r="BH1428" i="3"/>
  <c r="BH1429" i="3"/>
  <c r="BH1430" i="3"/>
  <c r="BH1431" i="3"/>
  <c r="BH1432" i="3"/>
  <c r="BH1433" i="3"/>
  <c r="BH1434" i="3"/>
  <c r="BH1435" i="3"/>
  <c r="BH1436" i="3"/>
  <c r="BH1437" i="3"/>
  <c r="BH1438" i="3"/>
  <c r="BH1439" i="3"/>
  <c r="BH1440" i="3"/>
  <c r="BH1442" i="3"/>
  <c r="BH1443" i="3"/>
  <c r="BH1444" i="3"/>
  <c r="BH1445" i="3"/>
  <c r="BH1446" i="3"/>
  <c r="BH1447" i="3"/>
  <c r="BH1448" i="3"/>
  <c r="BH1449" i="3"/>
  <c r="BH1450" i="3"/>
  <c r="BH1451" i="3"/>
  <c r="BH1452" i="3"/>
  <c r="BH1453" i="3"/>
  <c r="BH1455" i="3"/>
  <c r="BH1456" i="3"/>
  <c r="BH1457" i="3"/>
  <c r="BH1459" i="3"/>
  <c r="BH1461" i="3"/>
  <c r="BH1462" i="3"/>
  <c r="BH1464" i="3"/>
  <c r="BH1465" i="3"/>
  <c r="BH1468" i="3"/>
  <c r="BH1469" i="3"/>
  <c r="BH1471" i="3"/>
  <c r="BH1472" i="3"/>
  <c r="BH1474" i="3"/>
  <c r="BH1476" i="3"/>
  <c r="BH1477" i="3"/>
  <c r="BH1478" i="3"/>
  <c r="BH1479" i="3"/>
  <c r="BH1480" i="3"/>
  <c r="BH1481" i="3"/>
  <c r="BH1482" i="3"/>
  <c r="BH1483" i="3"/>
  <c r="BH1484" i="3"/>
  <c r="BH1485" i="3"/>
  <c r="BH1486" i="3"/>
  <c r="BH1487" i="3"/>
  <c r="BH1488" i="3"/>
  <c r="BH1489" i="3"/>
  <c r="BH1490" i="3"/>
  <c r="BH1491" i="3"/>
  <c r="BH1492" i="3"/>
  <c r="BH1493" i="3"/>
  <c r="BH1494" i="3"/>
  <c r="BH1495" i="3"/>
  <c r="BH1496" i="3"/>
  <c r="BH1497" i="3"/>
  <c r="BH1498" i="3"/>
  <c r="BH1500" i="3"/>
  <c r="BH1501" i="3"/>
  <c r="BH1502" i="3"/>
  <c r="BH1503" i="3"/>
  <c r="BH1504" i="3"/>
  <c r="BH1505" i="3"/>
  <c r="BH1507" i="3"/>
  <c r="BH1509" i="3"/>
  <c r="BH1511" i="3"/>
  <c r="BH1512" i="3"/>
  <c r="BH1513" i="3"/>
  <c r="BH1516" i="3"/>
  <c r="BH1517" i="3"/>
  <c r="BH1518" i="3"/>
  <c r="BH1519" i="3"/>
  <c r="BH1520" i="3"/>
  <c r="BH1521" i="3"/>
  <c r="BH1523" i="3"/>
  <c r="BH1525" i="3"/>
  <c r="BH1526" i="3"/>
  <c r="BH1527" i="3"/>
  <c r="BH1528" i="3"/>
  <c r="BH1529" i="3"/>
  <c r="BH1530" i="3"/>
  <c r="BH1531" i="3"/>
  <c r="BH1532" i="3"/>
  <c r="BH1534" i="3"/>
  <c r="BH1537" i="3"/>
  <c r="BH1539" i="3"/>
  <c r="BH1540" i="3"/>
  <c r="BH1541" i="3"/>
  <c r="BH1542" i="3"/>
  <c r="BH1543" i="3"/>
  <c r="BH1544" i="3"/>
  <c r="BH1545" i="3"/>
  <c r="BH1546" i="3"/>
  <c r="BH1547" i="3"/>
  <c r="BH1548" i="3"/>
  <c r="BH1549" i="3"/>
  <c r="BH1550" i="3"/>
  <c r="BH1551" i="3"/>
  <c r="BH1552" i="3"/>
  <c r="BH1553" i="3"/>
  <c r="BH1554" i="3"/>
  <c r="BH1555" i="3"/>
  <c r="BH1556" i="3"/>
  <c r="BH1557" i="3"/>
  <c r="BH1558" i="3"/>
  <c r="BH1559" i="3"/>
  <c r="BH1560" i="3"/>
  <c r="BH1561" i="3"/>
  <c r="BH1562" i="3"/>
  <c r="BH1563" i="3"/>
  <c r="BH1564" i="3"/>
  <c r="BH1565" i="3"/>
  <c r="BH1566" i="3"/>
  <c r="BH1567" i="3"/>
  <c r="BH1568" i="3"/>
  <c r="BH1569" i="3"/>
  <c r="BH1570" i="3"/>
  <c r="BH1571" i="3"/>
  <c r="BH1572" i="3"/>
  <c r="BH1573" i="3"/>
  <c r="BH1574" i="3"/>
  <c r="BH1575" i="3"/>
  <c r="BH1576" i="3"/>
  <c r="BH1577" i="3"/>
  <c r="BH1578" i="3"/>
  <c r="BH1579" i="3"/>
  <c r="BH1580" i="3"/>
  <c r="BH1581" i="3"/>
  <c r="BH1582" i="3"/>
  <c r="BH1583" i="3"/>
  <c r="BH1584" i="3"/>
  <c r="BH1585" i="3"/>
  <c r="BH1586" i="3"/>
  <c r="BH1588" i="3"/>
  <c r="BH1589" i="3"/>
  <c r="BH1590" i="3"/>
  <c r="BH1591" i="3"/>
  <c r="BH1592" i="3"/>
  <c r="BH1593" i="3"/>
  <c r="BH1594" i="3"/>
  <c r="BH1595" i="3"/>
  <c r="BH1596" i="3"/>
  <c r="BH1597" i="3"/>
  <c r="BH1598" i="3"/>
  <c r="BH1599" i="3"/>
  <c r="BH1600" i="3"/>
  <c r="BH1601" i="3"/>
  <c r="BH1603" i="3"/>
  <c r="BH1604" i="3"/>
  <c r="BH1605" i="3"/>
  <c r="BH1606" i="3"/>
  <c r="BH1607" i="3"/>
  <c r="BH1608" i="3"/>
  <c r="BH1609" i="3"/>
  <c r="BH1610" i="3"/>
  <c r="BH1611" i="3"/>
  <c r="BH1612" i="3"/>
  <c r="BH1613" i="3"/>
  <c r="BH1614" i="3"/>
  <c r="BH1616" i="3"/>
  <c r="BH1617" i="3"/>
  <c r="BH1618" i="3"/>
  <c r="BH1619" i="3"/>
  <c r="BH1620" i="3"/>
  <c r="BH1621" i="3"/>
  <c r="BH1622" i="3"/>
  <c r="BH1623" i="3"/>
  <c r="BH1624" i="3"/>
  <c r="BH1625" i="3"/>
  <c r="BH1626" i="3"/>
  <c r="BH1627" i="3"/>
  <c r="BH1628" i="3"/>
  <c r="BH1629" i="3"/>
  <c r="BH1630" i="3"/>
  <c r="BH1631" i="3"/>
  <c r="BH1632" i="3"/>
  <c r="BH1633" i="3"/>
  <c r="BH1635" i="3"/>
  <c r="BH1636" i="3"/>
  <c r="BH1637" i="3"/>
  <c r="BH1638" i="3"/>
  <c r="BH1639" i="3"/>
  <c r="BH1640" i="3"/>
  <c r="BH1641" i="3"/>
  <c r="BH1642" i="3"/>
  <c r="BH1643" i="3"/>
  <c r="BH1645" i="3"/>
  <c r="BH1646" i="3"/>
  <c r="BH1647" i="3"/>
  <c r="BH1648" i="3"/>
  <c r="BH1649" i="3"/>
  <c r="BH1650" i="3"/>
  <c r="BH1651" i="3"/>
  <c r="BH1654" i="3"/>
  <c r="BH1655" i="3"/>
  <c r="BH1656" i="3"/>
  <c r="BH1657" i="3"/>
  <c r="BH1658" i="3"/>
  <c r="BH1659" i="3"/>
  <c r="BH1660" i="3"/>
  <c r="BH1661" i="3"/>
  <c r="BH1662" i="3"/>
  <c r="BH1663" i="3"/>
  <c r="BH1664" i="3"/>
  <c r="BH1665" i="3"/>
  <c r="BH1666" i="3"/>
  <c r="BH1667" i="3"/>
  <c r="BH1669" i="3"/>
  <c r="BH1670" i="3"/>
  <c r="BH1671" i="3"/>
  <c r="BH1672" i="3"/>
  <c r="BH1674" i="3"/>
  <c r="BH1675" i="3"/>
  <c r="BH1676" i="3"/>
  <c r="BH1677" i="3"/>
  <c r="BH1679" i="3"/>
  <c r="BH1681" i="3"/>
  <c r="BH1682" i="3"/>
  <c r="BH1683" i="3"/>
  <c r="BH1684" i="3"/>
  <c r="BH1685" i="3"/>
  <c r="BH1686" i="3"/>
  <c r="BH1687" i="3"/>
  <c r="BH1689" i="3"/>
  <c r="BH1690" i="3"/>
  <c r="BH1691" i="3"/>
  <c r="BH1692" i="3"/>
  <c r="BH1693" i="3"/>
  <c r="BH1694" i="3"/>
  <c r="BH1695" i="3"/>
  <c r="BH1696" i="3"/>
  <c r="BH1698" i="3"/>
  <c r="BH1699" i="3"/>
  <c r="BH1700" i="3"/>
  <c r="BH1701" i="3"/>
  <c r="BH1702" i="3"/>
  <c r="BH1703" i="3"/>
  <c r="BH1704" i="3"/>
  <c r="BH1705" i="3"/>
  <c r="BH1706" i="3"/>
  <c r="BH1707" i="3"/>
  <c r="BH1708" i="3"/>
  <c r="BH1709" i="3"/>
  <c r="BH1710" i="3"/>
  <c r="BH1711" i="3"/>
  <c r="BH1712" i="3"/>
  <c r="BH1713" i="3"/>
  <c r="BH1714" i="3"/>
  <c r="BH1715" i="3"/>
  <c r="BH1716" i="3"/>
  <c r="BH1717" i="3"/>
  <c r="BH1718" i="3"/>
  <c r="BH1719" i="3"/>
  <c r="BH1720" i="3"/>
  <c r="BH1721" i="3"/>
  <c r="BH1722" i="3"/>
  <c r="BH1723" i="3"/>
  <c r="BH1724" i="3"/>
  <c r="BH1725" i="3"/>
  <c r="BH1727" i="3"/>
  <c r="BH1728" i="3"/>
  <c r="BH1729" i="3"/>
  <c r="BH1731" i="3"/>
  <c r="BH1733" i="3"/>
  <c r="BH1734" i="3"/>
  <c r="BH1735" i="3"/>
  <c r="BH1736" i="3"/>
  <c r="BH1737" i="3"/>
  <c r="BH1738" i="3"/>
  <c r="BH1739" i="3"/>
  <c r="BH1740" i="3"/>
  <c r="BH1741" i="3"/>
  <c r="BH1742" i="3"/>
  <c r="BH1744" i="3"/>
  <c r="BH1745" i="3"/>
  <c r="BH1746" i="3"/>
  <c r="BH1747" i="3"/>
  <c r="BH1748" i="3"/>
  <c r="BH1749" i="3"/>
  <c r="BH1751" i="3"/>
  <c r="BH1753" i="3"/>
  <c r="BH1754" i="3"/>
  <c r="BH1755" i="3"/>
  <c r="BH1757" i="3"/>
  <c r="BH1758" i="3"/>
  <c r="BH1759" i="3"/>
  <c r="BH1760" i="3"/>
  <c r="BH1762" i="3"/>
  <c r="BH1763" i="3"/>
  <c r="BH1764" i="3"/>
  <c r="BH1765" i="3"/>
  <c r="BH1766" i="3"/>
  <c r="BH1767" i="3"/>
  <c r="BH1768" i="3"/>
  <c r="BH1769" i="3"/>
  <c r="BH1770" i="3"/>
  <c r="BH1771" i="3"/>
  <c r="BH1772" i="3"/>
  <c r="BH1773" i="3"/>
  <c r="BH1774" i="3"/>
  <c r="BH1775" i="3"/>
  <c r="BH1776" i="3"/>
  <c r="BH1777" i="3"/>
  <c r="BH1778" i="3"/>
  <c r="BH1779" i="3"/>
  <c r="BH1780" i="3"/>
  <c r="BH1781" i="3"/>
  <c r="BH1782" i="3"/>
  <c r="BH1783" i="3"/>
  <c r="BH1784" i="3"/>
  <c r="BH1786" i="3"/>
  <c r="BH1788" i="3"/>
  <c r="BH1789" i="3"/>
  <c r="BH1790" i="3"/>
  <c r="BH1791" i="3"/>
  <c r="BH1793" i="3"/>
  <c r="BH1794" i="3"/>
  <c r="BH1795" i="3"/>
  <c r="BH1796" i="3"/>
  <c r="BH1797" i="3"/>
  <c r="BH1798" i="3"/>
  <c r="BH1799" i="3"/>
  <c r="BH1800" i="3"/>
  <c r="BH1801" i="3"/>
  <c r="BH1802" i="3"/>
  <c r="BH1803" i="3"/>
  <c r="BH1804" i="3"/>
  <c r="BH1805" i="3"/>
  <c r="BH1807" i="3"/>
  <c r="BH1808" i="3"/>
  <c r="BH1809" i="3"/>
  <c r="BH1811" i="3"/>
  <c r="BH1812" i="3"/>
  <c r="BH1813" i="3"/>
  <c r="BH1815" i="3"/>
  <c r="BH1816" i="3"/>
  <c r="BH1818" i="3"/>
  <c r="BH1819" i="3"/>
  <c r="BH1820" i="3"/>
  <c r="BH1821" i="3"/>
  <c r="BH1822" i="3"/>
  <c r="BH1823" i="3"/>
  <c r="BH1824" i="3"/>
  <c r="BH1825" i="3"/>
  <c r="BH1826" i="3"/>
  <c r="BH1827" i="3"/>
  <c r="BH1828" i="3"/>
  <c r="BH1829" i="3"/>
  <c r="BH1830" i="3"/>
  <c r="BH1831" i="3"/>
  <c r="BH1832" i="3"/>
  <c r="BH1833" i="3"/>
  <c r="BH1834" i="3"/>
  <c r="BH1835" i="3"/>
  <c r="BH1836" i="3"/>
  <c r="BH1838" i="3"/>
  <c r="BH1839" i="3"/>
  <c r="BH1840" i="3"/>
  <c r="BH1841" i="3"/>
  <c r="BH1842" i="3"/>
  <c r="BH1843" i="3"/>
  <c r="BH1844" i="3"/>
  <c r="BH1845" i="3"/>
  <c r="BH1846" i="3"/>
  <c r="BH1847" i="3"/>
  <c r="BH1848" i="3"/>
  <c r="BH1849" i="3"/>
  <c r="BH1850" i="3"/>
  <c r="BH1851" i="3"/>
  <c r="BH1852" i="3"/>
  <c r="BH1853" i="3"/>
  <c r="BH1854" i="3"/>
  <c r="BH1855" i="3"/>
  <c r="BH1856" i="3"/>
  <c r="BH1857" i="3"/>
  <c r="BH1859" i="3"/>
  <c r="BH1860" i="3"/>
  <c r="BH1861" i="3"/>
  <c r="BH1862" i="3"/>
  <c r="AW3" i="3"/>
  <c r="AW7" i="3"/>
  <c r="AW9" i="3"/>
  <c r="AW10" i="3"/>
  <c r="AW11" i="3"/>
  <c r="AW12" i="3"/>
  <c r="AW13" i="3"/>
  <c r="AW14" i="3"/>
  <c r="AW16" i="3"/>
  <c r="AW17" i="3"/>
  <c r="AW18" i="3"/>
  <c r="AW20" i="3"/>
  <c r="AW21" i="3"/>
  <c r="AW22" i="3"/>
  <c r="AW23" i="3"/>
  <c r="AW24" i="3"/>
  <c r="AW26" i="3"/>
  <c r="AW28" i="3"/>
  <c r="AW31" i="3"/>
  <c r="AW33" i="3"/>
  <c r="AW34" i="3"/>
  <c r="AW36" i="3"/>
  <c r="AW38" i="3"/>
  <c r="AW39" i="3"/>
  <c r="AW40" i="3"/>
  <c r="AW41" i="3"/>
  <c r="AW42" i="3"/>
  <c r="AW44" i="3"/>
  <c r="AW45" i="3"/>
  <c r="AW46" i="3"/>
  <c r="AW47" i="3"/>
  <c r="AW49" i="3"/>
  <c r="AW50" i="3"/>
  <c r="AW51" i="3"/>
  <c r="AW53" i="3"/>
  <c r="AW54" i="3"/>
  <c r="AW55" i="3"/>
  <c r="AW57" i="3"/>
  <c r="AW59" i="3"/>
  <c r="AW61" i="3"/>
  <c r="AW62" i="3"/>
  <c r="AW64" i="3"/>
  <c r="AW65" i="3"/>
  <c r="AW66" i="3"/>
  <c r="AW67" i="3"/>
  <c r="AW69" i="3"/>
  <c r="AW70" i="3"/>
  <c r="AW71" i="3"/>
  <c r="AW74" i="3"/>
  <c r="AW77" i="3"/>
  <c r="AW78" i="3"/>
  <c r="AW79" i="3"/>
  <c r="AW80" i="3"/>
  <c r="AW81" i="3"/>
  <c r="AW83" i="3"/>
  <c r="AW85" i="3"/>
  <c r="AW87" i="3"/>
  <c r="AW88" i="3"/>
  <c r="AW89" i="3"/>
  <c r="AW92" i="3"/>
  <c r="AW94" i="3"/>
  <c r="AW95" i="3"/>
  <c r="AW96" i="3"/>
  <c r="AW97" i="3"/>
  <c r="AW98" i="3"/>
  <c r="AW100" i="3"/>
  <c r="AW101" i="3"/>
  <c r="AW102" i="3"/>
  <c r="AW104" i="3"/>
  <c r="AW106" i="3"/>
  <c r="AW109" i="3"/>
  <c r="AW111" i="3"/>
  <c r="AW112" i="3"/>
  <c r="AW113" i="3"/>
  <c r="AW114" i="3"/>
  <c r="AW115" i="3"/>
  <c r="AW117" i="3"/>
  <c r="AW118" i="3"/>
  <c r="AW120" i="3"/>
  <c r="AW122" i="3"/>
  <c r="AW124" i="3"/>
  <c r="AW126" i="3"/>
  <c r="AW127" i="3"/>
  <c r="AW128" i="3"/>
  <c r="AW129" i="3"/>
  <c r="AW130" i="3"/>
  <c r="AW131" i="3"/>
  <c r="AW132" i="3"/>
  <c r="AW133" i="3"/>
  <c r="AW137" i="3"/>
  <c r="AW138" i="3"/>
  <c r="AW139" i="3"/>
  <c r="AW140" i="3"/>
  <c r="AW141" i="3"/>
  <c r="AW142" i="3"/>
  <c r="AW143" i="3"/>
  <c r="AW144" i="3"/>
  <c r="AW145" i="3"/>
  <c r="AW150" i="3"/>
  <c r="AW152" i="3"/>
  <c r="AW155" i="3"/>
  <c r="AW156" i="3"/>
  <c r="AW157" i="3"/>
  <c r="AW158" i="3"/>
  <c r="AW159" i="3"/>
  <c r="AW160" i="3"/>
  <c r="AW162" i="3"/>
  <c r="AW163" i="3"/>
  <c r="AW164" i="3"/>
  <c r="AW167" i="3"/>
  <c r="AW170" i="3"/>
  <c r="AW172" i="3"/>
  <c r="AW173" i="3"/>
  <c r="AW175" i="3"/>
  <c r="AW176" i="3"/>
  <c r="AW177" i="3"/>
  <c r="AW180" i="3"/>
  <c r="AW181" i="3"/>
  <c r="AW185" i="3"/>
  <c r="AW186" i="3"/>
  <c r="AW188" i="3"/>
  <c r="AW189" i="3"/>
  <c r="AW192" i="3"/>
  <c r="AW195" i="3"/>
  <c r="AW196" i="3"/>
  <c r="AW197" i="3"/>
  <c r="AW201" i="3"/>
  <c r="AW203" i="3"/>
  <c r="AW204" i="3"/>
  <c r="AW206" i="3"/>
  <c r="AW207" i="3"/>
  <c r="AW208" i="3"/>
  <c r="AW209" i="3"/>
  <c r="AW210" i="3"/>
  <c r="AW211" i="3"/>
  <c r="AW212" i="3"/>
  <c r="AW213" i="3"/>
  <c r="AW216" i="3"/>
  <c r="AW217" i="3"/>
  <c r="AW219" i="3"/>
  <c r="AW220" i="3"/>
  <c r="AW221" i="3"/>
  <c r="AW222" i="3"/>
  <c r="AW223" i="3"/>
  <c r="AW224" i="3"/>
  <c r="AW228" i="3"/>
  <c r="AW229" i="3"/>
  <c r="AW241" i="3"/>
  <c r="AW245" i="3"/>
  <c r="AW252" i="3"/>
  <c r="AW254" i="3"/>
  <c r="AW256" i="3"/>
  <c r="AW257" i="3"/>
  <c r="AW258" i="3"/>
  <c r="AW259" i="3"/>
  <c r="AW260" i="3"/>
  <c r="AW261" i="3"/>
  <c r="AW264" i="3"/>
  <c r="AW265" i="3"/>
  <c r="AW266" i="3"/>
  <c r="AW269" i="3"/>
  <c r="AW270" i="3"/>
  <c r="AW271" i="3"/>
  <c r="AW272" i="3"/>
  <c r="AW273" i="3"/>
  <c r="AW274" i="3"/>
  <c r="AW275" i="3"/>
  <c r="AW276" i="3"/>
  <c r="AW278" i="3"/>
  <c r="AW282" i="3"/>
  <c r="AW283" i="3"/>
  <c r="AW285" i="3"/>
  <c r="AW286" i="3"/>
  <c r="AW287" i="3"/>
  <c r="AW290" i="3"/>
  <c r="AW291" i="3"/>
  <c r="AW292" i="3"/>
  <c r="AW294" i="3"/>
  <c r="AW296" i="3"/>
  <c r="AW297" i="3"/>
  <c r="AW298" i="3"/>
  <c r="AW301" i="3"/>
  <c r="AW302" i="3"/>
  <c r="AW305" i="3"/>
  <c r="AW306" i="3"/>
  <c r="AW307" i="3"/>
  <c r="AW308" i="3"/>
  <c r="AW309" i="3"/>
  <c r="AW310" i="3"/>
  <c r="AW311" i="3"/>
  <c r="AW313" i="3"/>
  <c r="AW315" i="3"/>
  <c r="AW316" i="3"/>
  <c r="AW317" i="3"/>
  <c r="AW320" i="3"/>
  <c r="AW321" i="3"/>
  <c r="AW324" i="3"/>
  <c r="AW327" i="3"/>
  <c r="AW328" i="3"/>
  <c r="AW329" i="3"/>
  <c r="AW330" i="3"/>
  <c r="AW331" i="3"/>
  <c r="AW333" i="3"/>
  <c r="AW336" i="3"/>
  <c r="AW337" i="3"/>
  <c r="AW338" i="3"/>
  <c r="AW339" i="3"/>
  <c r="AW340" i="3"/>
  <c r="AW341" i="3"/>
  <c r="AW342" i="3"/>
  <c r="AW344" i="3"/>
  <c r="AW345" i="3"/>
  <c r="AW347" i="3"/>
  <c r="AW348" i="3"/>
  <c r="AW349" i="3"/>
  <c r="AW351" i="3"/>
  <c r="AW352" i="3"/>
  <c r="AW353" i="3"/>
  <c r="AW354" i="3"/>
  <c r="AW356" i="3"/>
  <c r="AW358" i="3"/>
  <c r="AW359" i="3"/>
  <c r="AW361" i="3"/>
  <c r="AW362" i="3"/>
  <c r="AW364" i="3"/>
  <c r="AW366" i="3"/>
  <c r="AW367" i="3"/>
  <c r="AW369" i="3"/>
  <c r="AW372" i="3"/>
  <c r="AW379" i="3"/>
  <c r="AW381" i="3"/>
  <c r="AW382" i="3"/>
  <c r="AW383" i="3"/>
  <c r="AW386" i="3"/>
  <c r="AW387" i="3"/>
  <c r="AW389" i="3"/>
  <c r="AW391" i="3"/>
  <c r="AW392" i="3"/>
  <c r="AW393" i="3"/>
  <c r="AW395" i="3"/>
  <c r="AW396" i="3"/>
  <c r="AW397" i="3"/>
  <c r="AW398" i="3"/>
  <c r="AW399" i="3"/>
  <c r="AW400" i="3"/>
  <c r="AW401" i="3"/>
  <c r="AW402" i="3"/>
  <c r="AW403" i="3"/>
  <c r="AW404" i="3"/>
  <c r="AW405" i="3"/>
  <c r="AW407" i="3"/>
  <c r="AW409" i="3"/>
  <c r="AW410" i="3"/>
  <c r="AW411" i="3"/>
  <c r="AW412" i="3"/>
  <c r="AW413" i="3"/>
  <c r="AW415" i="3"/>
  <c r="AW416" i="3"/>
  <c r="AW417" i="3"/>
  <c r="AW418" i="3"/>
  <c r="AW419" i="3"/>
  <c r="AW420" i="3"/>
  <c r="AW421" i="3"/>
  <c r="AW422" i="3"/>
  <c r="AW423" i="3"/>
  <c r="AW424" i="3"/>
  <c r="AW426" i="3"/>
  <c r="AW427" i="3"/>
  <c r="AW428" i="3"/>
  <c r="AW430" i="3"/>
  <c r="AW431" i="3"/>
  <c r="AW434" i="3"/>
  <c r="AW436" i="3"/>
  <c r="AW437" i="3"/>
  <c r="AW438" i="3"/>
  <c r="AW439" i="3"/>
  <c r="AW440" i="3"/>
  <c r="AW444" i="3"/>
  <c r="AW445" i="3"/>
  <c r="AW446" i="3"/>
  <c r="AW448" i="3"/>
  <c r="AW449" i="3"/>
  <c r="AW450" i="3"/>
  <c r="AW451" i="3"/>
  <c r="AW454" i="3"/>
  <c r="AW455" i="3"/>
  <c r="AW456" i="3"/>
  <c r="AW457" i="3"/>
  <c r="AW458" i="3"/>
  <c r="AW459" i="3"/>
  <c r="AW460" i="3"/>
  <c r="AW461" i="3"/>
  <c r="AW463" i="3"/>
  <c r="AW464" i="3"/>
  <c r="AW465" i="3"/>
  <c r="AW466" i="3"/>
  <c r="AW467" i="3"/>
  <c r="AW468" i="3"/>
  <c r="AW469" i="3"/>
  <c r="AW470" i="3"/>
  <c r="AW471" i="3"/>
  <c r="AW474" i="3"/>
  <c r="AW475" i="3"/>
  <c r="AW476" i="3"/>
  <c r="AW477" i="3"/>
  <c r="AW478" i="3"/>
  <c r="AW479" i="3"/>
  <c r="AW483" i="3"/>
  <c r="AW484" i="3"/>
  <c r="AW485" i="3"/>
  <c r="AW486" i="3"/>
  <c r="AW487" i="3"/>
  <c r="AW488" i="3"/>
  <c r="AW489" i="3"/>
  <c r="AW490" i="3"/>
  <c r="AW492" i="3"/>
  <c r="AW493" i="3"/>
  <c r="AW494" i="3"/>
  <c r="AW496" i="3"/>
  <c r="AW497" i="3"/>
  <c r="AW499" i="3"/>
  <c r="AW504" i="3"/>
  <c r="AW505" i="3"/>
  <c r="AW506" i="3"/>
  <c r="AW507" i="3"/>
  <c r="AW508" i="3"/>
  <c r="AW509" i="3"/>
  <c r="AW510" i="3"/>
  <c r="AW511" i="3"/>
  <c r="AW514" i="3"/>
  <c r="AW515" i="3"/>
  <c r="AW516" i="3"/>
  <c r="AW518" i="3"/>
  <c r="AW519" i="3"/>
  <c r="AW520" i="3"/>
  <c r="AW521" i="3"/>
  <c r="AW522" i="3"/>
  <c r="AW524" i="3"/>
  <c r="AW528" i="3"/>
  <c r="AW529" i="3"/>
  <c r="AW531" i="3"/>
  <c r="AW533" i="3"/>
  <c r="AW536" i="3"/>
  <c r="AW537" i="3"/>
  <c r="AW538" i="3"/>
  <c r="AW542" i="3"/>
  <c r="AW544" i="3"/>
  <c r="AW545" i="3"/>
  <c r="AW547" i="3"/>
  <c r="AW549" i="3"/>
  <c r="AW552" i="3"/>
  <c r="AW554" i="3"/>
  <c r="AW555" i="3"/>
  <c r="AW556" i="3"/>
  <c r="AW557" i="3"/>
  <c r="AW558" i="3"/>
  <c r="AW559" i="3"/>
  <c r="AW563" i="3"/>
  <c r="AW565" i="3"/>
  <c r="AW567" i="3"/>
  <c r="AW568" i="3"/>
  <c r="AW570" i="3"/>
  <c r="AW573" i="3"/>
  <c r="AW574" i="3"/>
  <c r="AW575" i="3"/>
  <c r="AW576" i="3"/>
  <c r="AW577" i="3"/>
  <c r="AW579" i="3"/>
  <c r="AW580" i="3"/>
  <c r="AW582" i="3"/>
  <c r="AW583" i="3"/>
  <c r="AW584" i="3"/>
  <c r="AW585" i="3"/>
  <c r="AW587" i="3"/>
  <c r="AW588" i="3"/>
  <c r="AW589" i="3"/>
  <c r="AW590" i="3"/>
  <c r="AW593" i="3"/>
  <c r="AW594" i="3"/>
  <c r="AW595" i="3"/>
  <c r="AW597" i="3"/>
  <c r="AW599" i="3"/>
  <c r="AW600" i="3"/>
  <c r="AW602" i="3"/>
  <c r="AW603" i="3"/>
  <c r="AW604" i="3"/>
  <c r="AW605" i="3"/>
  <c r="AW606" i="3"/>
  <c r="AW608" i="3"/>
  <c r="AW609" i="3"/>
  <c r="AW610" i="3"/>
  <c r="AW611" i="3"/>
  <c r="AW612" i="3"/>
  <c r="AW613" i="3"/>
  <c r="AW614" i="3"/>
  <c r="AW618" i="3"/>
  <c r="AW620" i="3"/>
  <c r="AW635" i="3"/>
  <c r="AW637" i="3"/>
  <c r="AW638" i="3"/>
  <c r="AW640" i="3"/>
  <c r="AW641" i="3"/>
  <c r="AW642" i="3"/>
  <c r="AW644" i="3"/>
  <c r="AW646" i="3"/>
  <c r="AW647" i="3"/>
  <c r="AW648" i="3"/>
  <c r="AW649" i="3"/>
  <c r="AW652" i="3"/>
  <c r="AW653" i="3"/>
  <c r="AW655" i="3"/>
  <c r="AW658" i="3"/>
  <c r="AW660" i="3"/>
  <c r="AW661" i="3"/>
  <c r="AW662" i="3"/>
  <c r="AW663" i="3"/>
  <c r="AW664" i="3"/>
  <c r="AW665" i="3"/>
  <c r="AW666" i="3"/>
  <c r="AW667" i="3"/>
  <c r="AW668" i="3"/>
  <c r="AW669" i="3"/>
  <c r="AW670" i="3"/>
  <c r="AW671" i="3"/>
  <c r="AW674" i="3"/>
  <c r="AW676" i="3"/>
  <c r="AW678" i="3"/>
  <c r="AW679" i="3"/>
  <c r="AW680" i="3"/>
  <c r="AW681" i="3"/>
  <c r="AW682" i="3"/>
  <c r="AW683" i="3"/>
  <c r="AW686" i="3"/>
  <c r="AW687" i="3"/>
  <c r="AW691" i="3"/>
  <c r="AW692" i="3"/>
  <c r="AW693" i="3"/>
  <c r="AW696" i="3"/>
  <c r="AW697" i="3"/>
  <c r="AW698" i="3"/>
  <c r="AW699" i="3"/>
  <c r="AW703" i="3"/>
  <c r="AW704" i="3"/>
  <c r="AW705" i="3"/>
  <c r="AW706" i="3"/>
  <c r="AW707" i="3"/>
  <c r="AW708" i="3"/>
  <c r="AW709" i="3"/>
  <c r="AW710" i="3"/>
  <c r="AW712" i="3"/>
  <c r="AW713" i="3"/>
  <c r="AW716" i="3"/>
  <c r="AW717" i="3"/>
  <c r="AW719" i="3"/>
  <c r="AW721" i="3"/>
  <c r="AW724" i="3"/>
  <c r="AW725" i="3"/>
  <c r="AW726" i="3"/>
  <c r="AW727" i="3"/>
  <c r="AW728" i="3"/>
  <c r="AW729" i="3"/>
  <c r="AW730" i="3"/>
  <c r="AW731" i="3"/>
  <c r="AW733" i="3"/>
  <c r="AW736" i="3"/>
  <c r="AW737" i="3"/>
  <c r="AW739" i="3"/>
  <c r="AW740" i="3"/>
  <c r="AW742" i="3"/>
  <c r="AW744" i="3"/>
  <c r="AW746" i="3"/>
  <c r="AW748" i="3"/>
  <c r="AW750" i="3"/>
  <c r="AW751" i="3"/>
  <c r="AW753" i="3"/>
  <c r="AW754" i="3"/>
  <c r="AW756" i="3"/>
  <c r="AW757" i="3"/>
  <c r="AW760" i="3"/>
  <c r="AW763" i="3"/>
  <c r="AW765" i="3"/>
  <c r="AW766" i="3"/>
  <c r="AW767" i="3"/>
  <c r="AW768" i="3"/>
  <c r="AW769" i="3"/>
  <c r="AW771" i="3"/>
  <c r="AW772" i="3"/>
  <c r="AW773" i="3"/>
  <c r="AW774" i="3"/>
  <c r="AW776" i="3"/>
  <c r="AW777" i="3"/>
  <c r="AW781" i="3"/>
  <c r="AW784" i="3"/>
  <c r="AW786" i="3"/>
  <c r="AW787" i="3"/>
  <c r="AW788" i="3"/>
  <c r="AW789" i="3"/>
  <c r="AW791" i="3"/>
  <c r="AW792" i="3"/>
  <c r="AW793" i="3"/>
  <c r="AW798" i="3"/>
  <c r="AW799" i="3"/>
  <c r="AW800" i="3"/>
  <c r="AW802" i="3"/>
  <c r="AW803" i="3"/>
  <c r="AW804" i="3"/>
  <c r="AW805" i="3"/>
  <c r="AW807" i="3"/>
  <c r="AW808" i="3"/>
  <c r="AW809" i="3"/>
  <c r="AW810" i="3"/>
  <c r="AW811" i="3"/>
  <c r="AW812" i="3"/>
  <c r="AW813" i="3"/>
  <c r="AW814" i="3"/>
  <c r="AW815" i="3"/>
  <c r="AW816" i="3"/>
  <c r="AW817" i="3"/>
  <c r="AW820" i="3"/>
  <c r="AW824" i="3"/>
  <c r="AW825" i="3"/>
  <c r="AW826" i="3"/>
  <c r="AW827" i="3"/>
  <c r="AW828" i="3"/>
  <c r="AW829" i="3"/>
  <c r="AW831" i="3"/>
  <c r="AW832" i="3"/>
  <c r="AW835" i="3"/>
  <c r="AW836" i="3"/>
  <c r="AW839" i="3"/>
  <c r="AW841" i="3"/>
  <c r="AW842" i="3"/>
  <c r="AW843" i="3"/>
  <c r="AW844" i="3"/>
  <c r="AW846" i="3"/>
  <c r="AW848" i="3"/>
  <c r="AW850" i="3"/>
  <c r="AW852" i="3"/>
  <c r="AW854" i="3"/>
  <c r="AW855" i="3"/>
  <c r="AW856" i="3"/>
  <c r="AW858" i="3"/>
  <c r="AW862" i="3"/>
  <c r="AW863" i="3"/>
  <c r="AW865" i="3"/>
  <c r="AW866" i="3"/>
  <c r="AW872" i="3"/>
  <c r="AW873" i="3"/>
  <c r="AW874" i="3"/>
  <c r="AW877" i="3"/>
  <c r="AW878" i="3"/>
  <c r="AW879" i="3"/>
  <c r="AW881" i="3"/>
  <c r="AW882" i="3"/>
  <c r="AW884" i="3"/>
  <c r="AW885" i="3"/>
  <c r="AW886" i="3"/>
  <c r="AW889" i="3"/>
  <c r="AW891" i="3"/>
  <c r="AW893" i="3"/>
  <c r="AW894" i="3"/>
  <c r="AW896" i="3"/>
  <c r="AW897" i="3"/>
  <c r="AW898" i="3"/>
  <c r="AW899" i="3"/>
  <c r="AW900" i="3"/>
  <c r="AW901" i="3"/>
  <c r="AW903" i="3"/>
  <c r="AW905" i="3"/>
  <c r="AW906" i="3"/>
  <c r="AW907" i="3"/>
  <c r="AW912" i="3"/>
  <c r="AW913" i="3"/>
  <c r="AW914" i="3"/>
  <c r="AW915" i="3"/>
  <c r="AW916" i="3"/>
  <c r="AW918" i="3"/>
  <c r="AW920" i="3"/>
  <c r="AW921" i="3"/>
  <c r="AW923" i="3"/>
  <c r="AW925" i="3"/>
  <c r="AW926" i="3"/>
  <c r="AW927" i="3"/>
  <c r="AW928" i="3"/>
  <c r="AW930" i="3"/>
  <c r="AW931" i="3"/>
  <c r="AW934" i="3"/>
  <c r="AW935" i="3"/>
  <c r="AW936" i="3"/>
  <c r="AW937" i="3"/>
  <c r="AW939" i="3"/>
  <c r="AW940" i="3"/>
  <c r="AW941" i="3"/>
  <c r="AW945" i="3"/>
  <c r="AW946" i="3"/>
  <c r="AW950" i="3"/>
  <c r="AW956" i="3"/>
  <c r="AW958" i="3"/>
  <c r="AW963" i="3"/>
  <c r="AW964" i="3"/>
  <c r="AW965" i="3"/>
  <c r="AW968" i="3"/>
  <c r="AW969" i="3"/>
  <c r="AW970" i="3"/>
  <c r="AW971" i="3"/>
  <c r="AW972" i="3"/>
  <c r="AW973" i="3"/>
  <c r="AW975" i="3"/>
  <c r="AW978" i="3"/>
  <c r="AW980" i="3"/>
  <c r="AW984" i="3"/>
  <c r="AW985" i="3"/>
  <c r="AW986" i="3"/>
  <c r="AW987" i="3"/>
  <c r="AW988" i="3"/>
  <c r="AW989" i="3"/>
  <c r="AW990" i="3"/>
  <c r="AW991" i="3"/>
  <c r="AW992" i="3"/>
  <c r="AW993" i="3"/>
  <c r="AW994" i="3"/>
  <c r="AW996" i="3"/>
  <c r="AW999" i="3"/>
  <c r="AW1000" i="3"/>
  <c r="AW1001" i="3"/>
  <c r="AW1004" i="3"/>
  <c r="AW1005" i="3"/>
  <c r="AW1007" i="3"/>
  <c r="AW1008" i="3"/>
  <c r="AW1009" i="3"/>
  <c r="AW1010" i="3"/>
  <c r="AW1011" i="3"/>
  <c r="AW1013" i="3"/>
  <c r="AW1014" i="3"/>
  <c r="AW1015" i="3"/>
  <c r="AW1017" i="3"/>
  <c r="AW1018" i="3"/>
  <c r="AW1019" i="3"/>
  <c r="AW1021" i="3"/>
  <c r="AW1025" i="3"/>
  <c r="AW1028" i="3"/>
  <c r="AW1029" i="3"/>
  <c r="AW1030" i="3"/>
  <c r="AW1031" i="3"/>
  <c r="AW1033" i="3"/>
  <c r="AW1035" i="3"/>
  <c r="AW1036" i="3"/>
  <c r="AW1037" i="3"/>
  <c r="AW1039" i="3"/>
  <c r="AW1040" i="3"/>
  <c r="AW1042" i="3"/>
  <c r="AW1043" i="3"/>
  <c r="AW1045" i="3"/>
  <c r="AW1046" i="3"/>
  <c r="AW1049" i="3"/>
  <c r="AW1050" i="3"/>
  <c r="AW1052" i="3"/>
  <c r="AW1053" i="3"/>
  <c r="AW1057" i="3"/>
  <c r="AW1059" i="3"/>
  <c r="AW1060" i="3"/>
  <c r="AW1063" i="3"/>
  <c r="AW1068" i="3"/>
  <c r="AW1069" i="3"/>
  <c r="AW1070" i="3"/>
  <c r="AW1071" i="3"/>
  <c r="AW1075" i="3"/>
  <c r="AW1076" i="3"/>
  <c r="AW1077" i="3"/>
  <c r="AW1078" i="3"/>
  <c r="AW1081" i="3"/>
  <c r="AW1082" i="3"/>
  <c r="AW1084" i="3"/>
  <c r="AW1085" i="3"/>
  <c r="AW1086" i="3"/>
  <c r="AW1087" i="3"/>
  <c r="AW1088" i="3"/>
  <c r="AW1090" i="3"/>
  <c r="AW1091" i="3"/>
  <c r="AW1093" i="3"/>
  <c r="AW1095" i="3"/>
  <c r="AW1097" i="3"/>
  <c r="AW1099" i="3"/>
  <c r="AW1100" i="3"/>
  <c r="AW1101" i="3"/>
  <c r="AW1102" i="3"/>
  <c r="AW1105" i="3"/>
  <c r="AW1106" i="3"/>
  <c r="AW1107" i="3"/>
  <c r="AW1108" i="3"/>
  <c r="AW1109" i="3"/>
  <c r="AW1110" i="3"/>
  <c r="AW1111" i="3"/>
  <c r="AW1112" i="3"/>
  <c r="AW1113" i="3"/>
  <c r="AW1114" i="3"/>
  <c r="AW1115" i="3"/>
  <c r="AW1117" i="3"/>
  <c r="AW1118" i="3"/>
  <c r="AW1119" i="3"/>
  <c r="AW1121" i="3"/>
  <c r="AW1122" i="3"/>
  <c r="AW1125" i="3"/>
  <c r="AW1127" i="3"/>
  <c r="AW1128" i="3"/>
  <c r="AW1129" i="3"/>
  <c r="AW1133" i="3"/>
  <c r="AW1135" i="3"/>
  <c r="AW1137" i="3"/>
  <c r="AW1138" i="3"/>
  <c r="AW1139" i="3"/>
  <c r="AW1141" i="3"/>
  <c r="AW1142" i="3"/>
  <c r="AW1144" i="3"/>
  <c r="AW1145" i="3"/>
  <c r="AW1146" i="3"/>
  <c r="AW1147" i="3"/>
  <c r="AW1148" i="3"/>
  <c r="AW1149" i="3"/>
  <c r="AW1150" i="3"/>
  <c r="AW1151" i="3"/>
  <c r="AW1154" i="3"/>
  <c r="AW1155" i="3"/>
  <c r="AW1156" i="3"/>
  <c r="AW1157" i="3"/>
  <c r="AW1159" i="3"/>
  <c r="AW1163" i="3"/>
  <c r="AW1165" i="3"/>
  <c r="AW1166" i="3"/>
  <c r="AW1167" i="3"/>
  <c r="AW1168" i="3"/>
  <c r="AW1169" i="3"/>
  <c r="AW1171" i="3"/>
  <c r="AW1172" i="3"/>
  <c r="AW1176" i="3"/>
  <c r="AW1177" i="3"/>
  <c r="AW1180" i="3"/>
  <c r="AW1185" i="3"/>
  <c r="AW1186" i="3"/>
  <c r="AW1187" i="3"/>
  <c r="AW1190" i="3"/>
  <c r="AW1193" i="3"/>
  <c r="AW1194" i="3"/>
  <c r="AW1196" i="3"/>
  <c r="AW1197" i="3"/>
  <c r="AW1200" i="3"/>
  <c r="AW1201" i="3"/>
  <c r="AW1203" i="3"/>
  <c r="AW1204" i="3"/>
  <c r="AW1205" i="3"/>
  <c r="AW1209" i="3"/>
  <c r="AW1210" i="3"/>
  <c r="AW1211" i="3"/>
  <c r="AW1212" i="3"/>
  <c r="AW1213" i="3"/>
  <c r="AW1214" i="3"/>
  <c r="AW1215" i="3"/>
  <c r="AW1217" i="3"/>
  <c r="AW1218" i="3"/>
  <c r="AW1219" i="3"/>
  <c r="AW1221" i="3"/>
  <c r="AW1222" i="3"/>
  <c r="AW1226" i="3"/>
  <c r="AW1228" i="3"/>
  <c r="AW1229" i="3"/>
  <c r="AW1230" i="3"/>
  <c r="AW1231" i="3"/>
  <c r="AW1232" i="3"/>
  <c r="AW1233" i="3"/>
  <c r="AW1234" i="3"/>
  <c r="AW1238" i="3"/>
  <c r="AW1239" i="3"/>
  <c r="AW1244" i="3"/>
  <c r="AW1245" i="3"/>
  <c r="AW1247" i="3"/>
  <c r="AW1248" i="3"/>
  <c r="AW1249" i="3"/>
  <c r="AW1251" i="3"/>
  <c r="AW1252" i="3"/>
  <c r="AW1256" i="3"/>
  <c r="AW1258" i="3"/>
  <c r="AW1261" i="3"/>
  <c r="AW1262" i="3"/>
  <c r="AW1263" i="3"/>
  <c r="AW1265" i="3"/>
  <c r="AW1267" i="3"/>
  <c r="AW1270" i="3"/>
  <c r="AW1271" i="3"/>
  <c r="AW1274" i="3"/>
  <c r="AW1275" i="3"/>
  <c r="AW1276" i="3"/>
  <c r="AW1277" i="3"/>
  <c r="AW1278" i="3"/>
  <c r="AW1280" i="3"/>
  <c r="AW1281" i="3"/>
  <c r="AW1282" i="3"/>
  <c r="AW1284" i="3"/>
  <c r="AW1285" i="3"/>
  <c r="AW1286" i="3"/>
  <c r="AW1287" i="3"/>
  <c r="AW1288" i="3"/>
  <c r="AW1289" i="3"/>
  <c r="AW1291" i="3"/>
  <c r="AW1293" i="3"/>
  <c r="AW1294" i="3"/>
  <c r="AW1296" i="3"/>
  <c r="AW1297" i="3"/>
  <c r="AW1300" i="3"/>
  <c r="AW1301" i="3"/>
  <c r="AW1304" i="3"/>
  <c r="AW1305" i="3"/>
  <c r="AW1307" i="3"/>
  <c r="AW1308" i="3"/>
  <c r="AW1311" i="3"/>
  <c r="AW1313" i="3"/>
  <c r="AW1314" i="3"/>
  <c r="AW1315" i="3"/>
  <c r="AW1316" i="3"/>
  <c r="AW1317" i="3"/>
  <c r="AW1318" i="3"/>
  <c r="AW1319" i="3"/>
  <c r="AW1320" i="3"/>
  <c r="AW1321" i="3"/>
  <c r="AW1323" i="3"/>
  <c r="AW1324" i="3"/>
  <c r="AW1326" i="3"/>
  <c r="AW1328" i="3"/>
  <c r="AW1330" i="3"/>
  <c r="AW1331" i="3"/>
  <c r="AW1332" i="3"/>
  <c r="AW1333" i="3"/>
  <c r="AW1334" i="3"/>
  <c r="AW1338" i="3"/>
  <c r="AW1339" i="3"/>
  <c r="AW1340" i="3"/>
  <c r="AW1341" i="3"/>
  <c r="AW1342" i="3"/>
  <c r="AW1343" i="3"/>
  <c r="AW1344" i="3"/>
  <c r="AW1346" i="3"/>
  <c r="AW1349" i="3"/>
  <c r="AW1350" i="3"/>
  <c r="AW1352" i="3"/>
  <c r="AW1355" i="3"/>
  <c r="AW1356" i="3"/>
  <c r="AW1358" i="3"/>
  <c r="AW1359" i="3"/>
  <c r="AW1362" i="3"/>
  <c r="AW1363" i="3"/>
  <c r="AW1364" i="3"/>
  <c r="AW1365" i="3"/>
  <c r="AW1366" i="3"/>
  <c r="AW1367" i="3"/>
  <c r="AW1370" i="3"/>
  <c r="AW1371" i="3"/>
  <c r="AW1372" i="3"/>
  <c r="AW1373" i="3"/>
  <c r="AW1374" i="3"/>
  <c r="AW1375" i="3"/>
  <c r="AW1377" i="3"/>
  <c r="AW1378" i="3"/>
  <c r="AW1381" i="3"/>
  <c r="AW1382" i="3"/>
  <c r="AW1384" i="3"/>
  <c r="AW1385" i="3"/>
  <c r="AW1389" i="3"/>
  <c r="AW1391" i="3"/>
  <c r="AW1392" i="3"/>
  <c r="AW1393" i="3"/>
  <c r="AW1395" i="3"/>
  <c r="AW1398" i="3"/>
  <c r="AW1399" i="3"/>
  <c r="AW1400" i="3"/>
  <c r="AW1401" i="3"/>
  <c r="AW1402" i="3"/>
  <c r="AW1403" i="3"/>
  <c r="AW1404" i="3"/>
  <c r="AW1407" i="3"/>
  <c r="AW1408" i="3"/>
  <c r="AW1409" i="3"/>
  <c r="AW1412" i="3"/>
  <c r="AW1413" i="3"/>
  <c r="AW1414" i="3"/>
  <c r="AW1415" i="3"/>
  <c r="AW1416" i="3"/>
  <c r="AW1418" i="3"/>
  <c r="AW1420" i="3"/>
  <c r="AW1421" i="3"/>
  <c r="AW1423" i="3"/>
  <c r="AW1424" i="3"/>
  <c r="AW1426" i="3"/>
  <c r="AW1429" i="3"/>
  <c r="AW1431" i="3"/>
  <c r="AW1433" i="3"/>
  <c r="AW1434" i="3"/>
  <c r="AW1435" i="3"/>
  <c r="AW1436" i="3"/>
  <c r="AW1438" i="3"/>
  <c r="AW1439" i="3"/>
  <c r="AW1440" i="3"/>
  <c r="AW1442" i="3"/>
  <c r="AW1443" i="3"/>
  <c r="AW1444" i="3"/>
  <c r="AW1445" i="3"/>
  <c r="AW1446" i="3"/>
  <c r="AW1447" i="3"/>
  <c r="AW1448" i="3"/>
  <c r="AW1449" i="3"/>
  <c r="AW1450" i="3"/>
  <c r="AW1451" i="3"/>
  <c r="AW1452" i="3"/>
  <c r="AW1453" i="3"/>
  <c r="AW1455" i="3"/>
  <c r="AW1456" i="3"/>
  <c r="AW1459" i="3"/>
  <c r="AW1462" i="3"/>
  <c r="AW1469" i="3"/>
  <c r="AW1470" i="3"/>
  <c r="AW1471" i="3"/>
  <c r="AW1473" i="3"/>
  <c r="AW1474" i="3"/>
  <c r="AW1476" i="3"/>
  <c r="AW1477" i="3"/>
  <c r="AW1478" i="3"/>
  <c r="AW1480" i="3"/>
  <c r="AW1481" i="3"/>
  <c r="AW1482" i="3"/>
  <c r="AW1483" i="3"/>
  <c r="AW1484" i="3"/>
  <c r="AW1485" i="3"/>
  <c r="AW1488" i="3"/>
  <c r="AW1489" i="3"/>
  <c r="AW1491" i="3"/>
  <c r="AW1492" i="3"/>
  <c r="AW1493" i="3"/>
  <c r="AW1494" i="3"/>
  <c r="AW1495" i="3"/>
  <c r="AW1496" i="3"/>
  <c r="AW1498" i="3"/>
  <c r="AW1500" i="3"/>
  <c r="AW1501" i="3"/>
  <c r="AW1503" i="3"/>
  <c r="AW1504" i="3"/>
  <c r="AW1505" i="3"/>
  <c r="AW1509" i="3"/>
  <c r="AW1510" i="3"/>
  <c r="AW1511" i="3"/>
  <c r="AW1513" i="3"/>
  <c r="AW1516" i="3"/>
  <c r="AW1517" i="3"/>
  <c r="AW1518" i="3"/>
  <c r="AW1519" i="3"/>
  <c r="AW1520" i="3"/>
  <c r="AW1521" i="3"/>
  <c r="AW1523" i="3"/>
  <c r="AW1526" i="3"/>
  <c r="AW1527" i="3"/>
  <c r="AW1528" i="3"/>
  <c r="AW1529" i="3"/>
  <c r="AW1530" i="3"/>
  <c r="AW1531" i="3"/>
  <c r="AW1539" i="3"/>
  <c r="AW1540" i="3"/>
  <c r="AW1541" i="3"/>
  <c r="AW1544" i="3"/>
  <c r="AW1545" i="3"/>
  <c r="AW1546" i="3"/>
  <c r="AW1549" i="3"/>
  <c r="AW1550" i="3"/>
  <c r="AW1551" i="3"/>
  <c r="AW1552" i="3"/>
  <c r="AW1553" i="3"/>
  <c r="AW1555" i="3"/>
  <c r="AW1557" i="3"/>
  <c r="AW1558" i="3"/>
  <c r="AW1559" i="3"/>
  <c r="AW1562" i="3"/>
  <c r="AW1563" i="3"/>
  <c r="AW1565" i="3"/>
  <c r="AW1566" i="3"/>
  <c r="AW1568" i="3"/>
  <c r="AW1569" i="3"/>
  <c r="AW1573" i="3"/>
  <c r="AW1574" i="3"/>
  <c r="AW1575" i="3"/>
  <c r="AW1576" i="3"/>
  <c r="AW1578" i="3"/>
  <c r="AW1579" i="3"/>
  <c r="AW1580" i="3"/>
  <c r="AW1581" i="3"/>
  <c r="AW1582" i="3"/>
  <c r="AW1586" i="3"/>
  <c r="AW1588" i="3"/>
  <c r="AW1589" i="3"/>
  <c r="AW1591" i="3"/>
  <c r="AW1593" i="3"/>
  <c r="AW1594" i="3"/>
  <c r="AW1595" i="3"/>
  <c r="AW1597" i="3"/>
  <c r="AW1598" i="3"/>
  <c r="AW1599" i="3"/>
  <c r="AW1600" i="3"/>
  <c r="AW1603" i="3"/>
  <c r="AW1605" i="3"/>
  <c r="AW1606" i="3"/>
  <c r="AW1607" i="3"/>
  <c r="AW1608" i="3"/>
  <c r="AW1610" i="3"/>
  <c r="AW1611" i="3"/>
  <c r="AW1612" i="3"/>
  <c r="AW1613" i="3"/>
  <c r="AW1614" i="3"/>
  <c r="AW1616" i="3"/>
  <c r="AW1617" i="3"/>
  <c r="AW1618" i="3"/>
  <c r="AW1619" i="3"/>
  <c r="AW1620" i="3"/>
  <c r="AW1621" i="3"/>
  <c r="AW1623" i="3"/>
  <c r="AW1624" i="3"/>
  <c r="AW1625" i="3"/>
  <c r="AW1627" i="3"/>
  <c r="AW1628" i="3"/>
  <c r="AW1629" i="3"/>
  <c r="AW1630" i="3"/>
  <c r="AW1631" i="3"/>
  <c r="AW1632" i="3"/>
  <c r="AW1635" i="3"/>
  <c r="AW1636" i="3"/>
  <c r="AW1640" i="3"/>
  <c r="AW1644" i="3"/>
  <c r="AW1645" i="3"/>
  <c r="AW1646" i="3"/>
  <c r="AW1647" i="3"/>
  <c r="AW1648" i="3"/>
  <c r="AW1650" i="3"/>
  <c r="AW1654" i="3"/>
  <c r="AW1655" i="3"/>
  <c r="AW1656" i="3"/>
  <c r="AW1657" i="3"/>
  <c r="AW1658" i="3"/>
  <c r="AW1659" i="3"/>
  <c r="AW1661" i="3"/>
  <c r="AW1662" i="3"/>
  <c r="AW1663" i="3"/>
  <c r="AW1666" i="3"/>
  <c r="AW1667" i="3"/>
  <c r="AW1671" i="3"/>
  <c r="AW1672" i="3"/>
  <c r="AW1674" i="3"/>
  <c r="AW1677" i="3"/>
  <c r="AW1679" i="3"/>
  <c r="AW1682" i="3"/>
  <c r="AW1683" i="3"/>
  <c r="AW1684" i="3"/>
  <c r="AW1685" i="3"/>
  <c r="AW1686" i="3"/>
  <c r="AW1687" i="3"/>
  <c r="AW1688" i="3"/>
  <c r="AW1689" i="3"/>
  <c r="AW1690" i="3"/>
  <c r="AW1691" i="3"/>
  <c r="AW1692" i="3"/>
  <c r="AW1693" i="3"/>
  <c r="AW1694" i="3"/>
  <c r="AW1695" i="3"/>
  <c r="AW1696" i="3"/>
  <c r="AW1698" i="3"/>
  <c r="AW1700" i="3"/>
  <c r="AW1701" i="3"/>
  <c r="AW1705" i="3"/>
  <c r="AW1707" i="3"/>
  <c r="AW1708" i="3"/>
  <c r="AW1709" i="3"/>
  <c r="AW1711" i="3"/>
  <c r="AW1712" i="3"/>
  <c r="AW1713" i="3"/>
  <c r="AW1714" i="3"/>
  <c r="AW1715" i="3"/>
  <c r="AW1716" i="3"/>
  <c r="AW1718" i="3"/>
  <c r="AW1720" i="3"/>
  <c r="AW1722" i="3"/>
  <c r="AW1724" i="3"/>
  <c r="AW1727" i="3"/>
  <c r="AW1731" i="3"/>
  <c r="AW1732" i="3"/>
  <c r="AW1733" i="3"/>
  <c r="AW1736" i="3"/>
  <c r="AW1737" i="3"/>
  <c r="AW1739" i="3"/>
  <c r="AW1740" i="3"/>
  <c r="AW1742" i="3"/>
  <c r="AW1744" i="3"/>
  <c r="AW1745" i="3"/>
  <c r="AW1746" i="3"/>
  <c r="AW1748" i="3"/>
  <c r="AW1751" i="3"/>
  <c r="AW1754" i="3"/>
  <c r="AW1757" i="3"/>
  <c r="AW1758" i="3"/>
  <c r="AW1760" i="3"/>
  <c r="AW1761" i="3"/>
  <c r="AW1762" i="3"/>
  <c r="AW1765" i="3"/>
  <c r="AW1766" i="3"/>
  <c r="AW1767" i="3"/>
  <c r="AW1768" i="3"/>
  <c r="AW1770" i="3"/>
  <c r="AW1771" i="3"/>
  <c r="AW1772" i="3"/>
  <c r="AW1773" i="3"/>
  <c r="AW1776" i="3"/>
  <c r="AW1777" i="3"/>
  <c r="AW1778" i="3"/>
  <c r="AW1779" i="3"/>
  <c r="AW1780" i="3"/>
  <c r="AW1781" i="3"/>
  <c r="AW1786" i="3"/>
  <c r="AW1790" i="3"/>
  <c r="AW1791" i="3"/>
  <c r="AW1793" i="3"/>
  <c r="AW1795" i="3"/>
  <c r="AW1796" i="3"/>
  <c r="AW1798" i="3"/>
  <c r="AW1799" i="3"/>
  <c r="AW1800" i="3"/>
  <c r="AW1803" i="3"/>
  <c r="AW1804" i="3"/>
  <c r="AW1805" i="3"/>
  <c r="AW1807" i="3"/>
  <c r="AW1811" i="3"/>
  <c r="AW1812" i="3"/>
  <c r="AW1813" i="3"/>
  <c r="AW1815" i="3"/>
  <c r="AW1816" i="3"/>
  <c r="AW1819" i="3"/>
  <c r="AW1820" i="3"/>
  <c r="AW1821" i="3"/>
  <c r="AW1822" i="3"/>
  <c r="AW1827" i="3"/>
  <c r="AW1828" i="3"/>
  <c r="AW1829" i="3"/>
  <c r="AW1832" i="3"/>
  <c r="AW1833" i="3"/>
  <c r="AW1834" i="3"/>
  <c r="AW1835" i="3"/>
  <c r="AW1836" i="3"/>
  <c r="AW1838" i="3"/>
  <c r="AW1839" i="3"/>
  <c r="AW1840" i="3"/>
  <c r="AW1841" i="3"/>
  <c r="AW1842" i="3"/>
  <c r="AW1843" i="3"/>
  <c r="AW1844" i="3"/>
  <c r="AW1847" i="3"/>
  <c r="AW1848" i="3"/>
  <c r="AW1850" i="3"/>
  <c r="AW1851" i="3"/>
  <c r="AW1853" i="3"/>
  <c r="AW1856" i="3"/>
  <c r="AW1857" i="3"/>
  <c r="AW1859" i="3"/>
  <c r="AW1861" i="3"/>
  <c r="AW1862" i="3"/>
  <c r="AT10" i="3"/>
  <c r="AT16" i="3"/>
  <c r="AT21" i="3"/>
  <c r="AT38" i="3"/>
  <c r="AT41" i="3"/>
  <c r="AT50" i="3"/>
  <c r="AT51" i="3"/>
  <c r="AT54" i="3"/>
  <c r="AT62" i="3"/>
  <c r="AT87" i="3"/>
  <c r="AT96" i="3"/>
  <c r="AT118" i="3"/>
  <c r="AT133" i="3"/>
  <c r="AT142" i="3"/>
  <c r="AT152" i="3"/>
  <c r="AT195" i="3"/>
  <c r="AT203" i="3"/>
  <c r="AT204" i="3"/>
  <c r="AT216" i="3"/>
  <c r="AT220" i="3"/>
  <c r="AT223" i="3"/>
  <c r="AT225" i="3"/>
  <c r="AT245" i="3"/>
  <c r="AT257" i="3"/>
  <c r="AT294" i="3"/>
  <c r="AT296" i="3"/>
  <c r="AT328" i="3"/>
  <c r="AT329" i="3"/>
  <c r="AT338" i="3"/>
  <c r="AT341" i="3"/>
  <c r="AT344" i="3"/>
  <c r="AT356" i="3"/>
  <c r="AT364" i="3"/>
  <c r="AT367" i="3"/>
  <c r="AT387" i="3"/>
  <c r="AT403" i="3"/>
  <c r="AT415" i="3"/>
  <c r="AT426" i="3"/>
  <c r="AT428" i="3"/>
  <c r="AT465" i="3"/>
  <c r="AT499" i="3"/>
  <c r="AT545" i="3"/>
  <c r="AT600" i="3"/>
  <c r="AT646" i="3"/>
  <c r="AT669" i="3"/>
  <c r="AT696" i="3"/>
  <c r="AT697" i="3"/>
  <c r="AT740" i="3"/>
  <c r="AT748" i="3"/>
  <c r="AT757" i="3"/>
  <c r="AT763" i="3"/>
  <c r="AT785" i="3"/>
  <c r="AT789" i="3"/>
  <c r="AT800" i="3"/>
  <c r="AT801" i="3"/>
  <c r="AT810" i="3"/>
  <c r="AT816" i="3"/>
  <c r="AT828" i="3"/>
  <c r="AT839" i="3"/>
  <c r="AT840" i="3"/>
  <c r="AT843" i="3"/>
  <c r="AT862" i="3"/>
  <c r="AT873" i="3"/>
  <c r="AT878" i="3"/>
  <c r="AT894" i="3"/>
  <c r="AT913" i="3"/>
  <c r="AT923" i="3"/>
  <c r="AT926" i="3"/>
  <c r="AT970" i="3"/>
  <c r="AT981" i="3"/>
  <c r="AT985" i="3"/>
  <c r="AT986" i="3"/>
  <c r="AT1001" i="3"/>
  <c r="AT1010" i="3"/>
  <c r="AT1015" i="3"/>
  <c r="AT1018" i="3"/>
  <c r="AT1035" i="3"/>
  <c r="AT1041" i="3"/>
  <c r="AT1053" i="3"/>
  <c r="AT1095" i="3"/>
  <c r="AT1099" i="3"/>
  <c r="AT1125" i="3"/>
  <c r="AT1149" i="3"/>
  <c r="AT1155" i="3"/>
  <c r="AT1204" i="3"/>
  <c r="AT1212" i="3"/>
  <c r="AT1213" i="3"/>
  <c r="AT1218" i="3"/>
  <c r="AT1226" i="3"/>
  <c r="AT1238" i="3"/>
  <c r="AT1242" i="3"/>
  <c r="AT1251" i="3"/>
  <c r="AT1262" i="3"/>
  <c r="AT1265" i="3"/>
  <c r="AT1304" i="3"/>
  <c r="AT1326" i="3"/>
  <c r="AT1338" i="3"/>
  <c r="AT1358" i="3"/>
  <c r="AT1359" i="3"/>
  <c r="AT1363" i="3"/>
  <c r="AT1382" i="3"/>
  <c r="AT1401" i="3"/>
  <c r="AT1414" i="3"/>
  <c r="AT1421" i="3"/>
  <c r="AT1432" i="3"/>
  <c r="AT1446" i="3"/>
  <c r="AT1450" i="3"/>
  <c r="AT1451" i="3"/>
  <c r="AT1452" i="3"/>
  <c r="AT1455" i="3"/>
  <c r="AT1489" i="3"/>
  <c r="AT1498" i="3"/>
  <c r="AT1512" i="3"/>
  <c r="AT1514" i="3"/>
  <c r="AT1537" i="3"/>
  <c r="AT1550" i="3"/>
  <c r="AT1552" i="3"/>
  <c r="AT1562" i="3"/>
  <c r="AT1568" i="3"/>
  <c r="AT1578" i="3"/>
  <c r="AT1580" i="3"/>
  <c r="AT1589" i="3"/>
  <c r="AT1598" i="3"/>
  <c r="AT1623" i="3"/>
  <c r="AT1632" i="3"/>
  <c r="AT1636" i="3"/>
  <c r="AT1646" i="3"/>
  <c r="AT1649" i="3"/>
  <c r="AT1654" i="3"/>
  <c r="AT1655" i="3"/>
  <c r="AT1666" i="3"/>
  <c r="AT1672" i="3"/>
  <c r="AT1695" i="3"/>
  <c r="AT1704" i="3"/>
  <c r="AT1705" i="3"/>
  <c r="AT1714" i="3"/>
  <c r="AT1761" i="3"/>
  <c r="AT1770" i="3"/>
  <c r="AT1772" i="3"/>
  <c r="AT1778" i="3"/>
  <c r="AT1779" i="3"/>
  <c r="AT1787" i="3"/>
  <c r="AT1798" i="3"/>
  <c r="AT1801" i="3"/>
  <c r="AT1819" i="3"/>
  <c r="AT1820" i="3"/>
  <c r="AT1832" i="3"/>
  <c r="AT1856" i="3"/>
  <c r="AT1857" i="3"/>
  <c r="AS10" i="3"/>
  <c r="AS16" i="3"/>
  <c r="AS21" i="3"/>
  <c r="AS38" i="3"/>
  <c r="AS41" i="3"/>
  <c r="AS50" i="3"/>
  <c r="AS51" i="3"/>
  <c r="AS54" i="3"/>
  <c r="AS62" i="3"/>
  <c r="AS87" i="3"/>
  <c r="AS96" i="3"/>
  <c r="AS118" i="3"/>
  <c r="AS133" i="3"/>
  <c r="AS142" i="3"/>
  <c r="AS152" i="3"/>
  <c r="AS195" i="3"/>
  <c r="AS203" i="3"/>
  <c r="AS204" i="3"/>
  <c r="AS216" i="3"/>
  <c r="AS220" i="3"/>
  <c r="AS223" i="3"/>
  <c r="AS225" i="3"/>
  <c r="AS245" i="3"/>
  <c r="AS257" i="3"/>
  <c r="AS294" i="3"/>
  <c r="AS296" i="3"/>
  <c r="AS328" i="3"/>
  <c r="AS329" i="3"/>
  <c r="AS338" i="3"/>
  <c r="AS341" i="3"/>
  <c r="AS344" i="3"/>
  <c r="AS356" i="3"/>
  <c r="AS364" i="3"/>
  <c r="AS367" i="3"/>
  <c r="AS387" i="3"/>
  <c r="AS403" i="3"/>
  <c r="AS415" i="3"/>
  <c r="AS426" i="3"/>
  <c r="AS428" i="3"/>
  <c r="AS465" i="3"/>
  <c r="AS499" i="3"/>
  <c r="AS545" i="3"/>
  <c r="AS600" i="3"/>
  <c r="AS646" i="3"/>
  <c r="AS669" i="3"/>
  <c r="AS696" i="3"/>
  <c r="AS697" i="3"/>
  <c r="AS740" i="3"/>
  <c r="AS748" i="3"/>
  <c r="AS757" i="3"/>
  <c r="AS763" i="3"/>
  <c r="AS785" i="3"/>
  <c r="AS789" i="3"/>
  <c r="AS800" i="3"/>
  <c r="AS801" i="3"/>
  <c r="AS810" i="3"/>
  <c r="AS816" i="3"/>
  <c r="AS828" i="3"/>
  <c r="AS839" i="3"/>
  <c r="AS840" i="3"/>
  <c r="AS843" i="3"/>
  <c r="AS862" i="3"/>
  <c r="AS873" i="3"/>
  <c r="AS878" i="3"/>
  <c r="AS894" i="3"/>
  <c r="AS913" i="3"/>
  <c r="AS923" i="3"/>
  <c r="AS926" i="3"/>
  <c r="AS970" i="3"/>
  <c r="AS981" i="3"/>
  <c r="AS985" i="3"/>
  <c r="AS986" i="3"/>
  <c r="AS1001" i="3"/>
  <c r="AS1010" i="3"/>
  <c r="AS1015" i="3"/>
  <c r="AS1018" i="3"/>
  <c r="AS1035" i="3"/>
  <c r="AS1041" i="3"/>
  <c r="AS1053" i="3"/>
  <c r="AS1095" i="3"/>
  <c r="AS1099" i="3"/>
  <c r="AS1125" i="3"/>
  <c r="AS1149" i="3"/>
  <c r="AS1155" i="3"/>
  <c r="AS1204" i="3"/>
  <c r="AS1212" i="3"/>
  <c r="AS1213" i="3"/>
  <c r="AS1218" i="3"/>
  <c r="AS1226" i="3"/>
  <c r="AS1238" i="3"/>
  <c r="AS1242" i="3"/>
  <c r="AS1251" i="3"/>
  <c r="AS1262" i="3"/>
  <c r="AS1265" i="3"/>
  <c r="AS1304" i="3"/>
  <c r="AS1326" i="3"/>
  <c r="AS1338" i="3"/>
  <c r="AS1358" i="3"/>
  <c r="AS1359" i="3"/>
  <c r="AS1363" i="3"/>
  <c r="AS1382" i="3"/>
  <c r="AS1401" i="3"/>
  <c r="AS1414" i="3"/>
  <c r="AS1421" i="3"/>
  <c r="AS1432" i="3"/>
  <c r="AS1446" i="3"/>
  <c r="AS1450" i="3"/>
  <c r="AS1451" i="3"/>
  <c r="AS1452" i="3"/>
  <c r="AS1455" i="3"/>
  <c r="AS1489" i="3"/>
  <c r="AS1498" i="3"/>
  <c r="AS1512" i="3"/>
  <c r="AS1514" i="3"/>
  <c r="AS1537" i="3"/>
  <c r="AS1550" i="3"/>
  <c r="AS1552" i="3"/>
  <c r="AS1562" i="3"/>
  <c r="AS1568" i="3"/>
  <c r="AS1578" i="3"/>
  <c r="AS1580" i="3"/>
  <c r="AS1589" i="3"/>
  <c r="AS1598" i="3"/>
  <c r="AS1623" i="3"/>
  <c r="AS1632" i="3"/>
  <c r="AS1636" i="3"/>
  <c r="AS1646" i="3"/>
  <c r="AS1649" i="3"/>
  <c r="AS1654" i="3"/>
  <c r="AS1655" i="3"/>
  <c r="AS1666" i="3"/>
  <c r="AS1672" i="3"/>
  <c r="AS1695" i="3"/>
  <c r="AS1704" i="3"/>
  <c r="AS1705" i="3"/>
  <c r="AS1714" i="3"/>
  <c r="AS1761" i="3"/>
  <c r="AS1770" i="3"/>
  <c r="AS1772" i="3"/>
  <c r="AS1778" i="3"/>
  <c r="AS1779" i="3"/>
  <c r="AS1787" i="3"/>
  <c r="AS1798" i="3"/>
  <c r="AS1801" i="3"/>
  <c r="AS1819" i="3"/>
  <c r="AS1820" i="3"/>
  <c r="AS1832" i="3"/>
  <c r="AS1856" i="3"/>
  <c r="AS1857" i="3"/>
  <c r="AQ3" i="3"/>
  <c r="AQ7" i="3"/>
  <c r="AQ9" i="3"/>
  <c r="AQ10" i="3"/>
  <c r="AQ11" i="3"/>
  <c r="AQ12" i="3"/>
  <c r="AQ13" i="3"/>
  <c r="AQ14" i="3"/>
  <c r="AQ16" i="3"/>
  <c r="AQ17" i="3"/>
  <c r="AQ18" i="3"/>
  <c r="AQ20" i="3"/>
  <c r="AQ21" i="3"/>
  <c r="AQ22" i="3"/>
  <c r="AQ23" i="3"/>
  <c r="AQ24" i="3"/>
  <c r="AQ26" i="3"/>
  <c r="AQ28" i="3"/>
  <c r="AQ31" i="3"/>
  <c r="AQ33" i="3"/>
  <c r="AQ34" i="3"/>
  <c r="AQ36" i="3"/>
  <c r="AQ38" i="3"/>
  <c r="AQ39" i="3"/>
  <c r="AQ40" i="3"/>
  <c r="AQ41" i="3"/>
  <c r="AQ42" i="3"/>
  <c r="AQ44" i="3"/>
  <c r="AQ45" i="3"/>
  <c r="AQ46" i="3"/>
  <c r="AQ47" i="3"/>
  <c r="AQ49" i="3"/>
  <c r="AQ50" i="3"/>
  <c r="AQ51" i="3"/>
  <c r="AQ53" i="3"/>
  <c r="AQ54" i="3"/>
  <c r="AQ55" i="3"/>
  <c r="AQ57" i="3"/>
  <c r="AQ59" i="3"/>
  <c r="AQ61" i="3"/>
  <c r="AQ62" i="3"/>
  <c r="AQ64" i="3"/>
  <c r="AQ65" i="3"/>
  <c r="AQ66" i="3"/>
  <c r="AQ67" i="3"/>
  <c r="AQ69" i="3"/>
  <c r="AQ70" i="3"/>
  <c r="AQ71" i="3"/>
  <c r="AQ74" i="3"/>
  <c r="AQ77" i="3"/>
  <c r="AQ78" i="3"/>
  <c r="AQ79" i="3"/>
  <c r="AQ80" i="3"/>
  <c r="AQ81" i="3"/>
  <c r="AQ83" i="3"/>
  <c r="AQ85" i="3"/>
  <c r="AQ87" i="3"/>
  <c r="AQ88" i="3"/>
  <c r="AQ89" i="3"/>
  <c r="AQ92" i="3"/>
  <c r="AQ94" i="3"/>
  <c r="AQ95" i="3"/>
  <c r="AQ96" i="3"/>
  <c r="AQ97" i="3"/>
  <c r="AQ98" i="3"/>
  <c r="AQ100" i="3"/>
  <c r="AQ101" i="3"/>
  <c r="AQ102" i="3"/>
  <c r="AQ104" i="3"/>
  <c r="AQ106" i="3"/>
  <c r="AQ109" i="3"/>
  <c r="AQ111" i="3"/>
  <c r="AQ112" i="3"/>
  <c r="AQ113" i="3"/>
  <c r="AQ114" i="3"/>
  <c r="AQ115" i="3"/>
  <c r="AQ117" i="3"/>
  <c r="AQ118" i="3"/>
  <c r="AQ120" i="3"/>
  <c r="AQ122" i="3"/>
  <c r="AQ124" i="3"/>
  <c r="AQ126" i="3"/>
  <c r="AQ127" i="3"/>
  <c r="AQ128" i="3"/>
  <c r="AQ129" i="3"/>
  <c r="AQ130" i="3"/>
  <c r="AQ131" i="3"/>
  <c r="AQ132" i="3"/>
  <c r="AQ133" i="3"/>
  <c r="AQ137" i="3"/>
  <c r="AQ138" i="3"/>
  <c r="AQ139" i="3"/>
  <c r="AQ140" i="3"/>
  <c r="AQ141" i="3"/>
  <c r="AQ142" i="3"/>
  <c r="AQ143" i="3"/>
  <c r="AQ144" i="3"/>
  <c r="AQ145" i="3"/>
  <c r="AQ150" i="3"/>
  <c r="AQ152" i="3"/>
  <c r="AQ155" i="3"/>
  <c r="AQ156" i="3"/>
  <c r="AQ157" i="3"/>
  <c r="AQ158" i="3"/>
  <c r="AQ159" i="3"/>
  <c r="AQ160" i="3"/>
  <c r="AQ162" i="3"/>
  <c r="AQ163" i="3"/>
  <c r="AQ164" i="3"/>
  <c r="AQ167" i="3"/>
  <c r="AQ170" i="3"/>
  <c r="AQ172" i="3"/>
  <c r="AQ173" i="3"/>
  <c r="AQ175" i="3"/>
  <c r="AQ176" i="3"/>
  <c r="AQ177" i="3"/>
  <c r="AQ180" i="3"/>
  <c r="AQ181" i="3"/>
  <c r="AQ185" i="3"/>
  <c r="AQ186" i="3"/>
  <c r="AQ188" i="3"/>
  <c r="AQ189" i="3"/>
  <c r="AQ192" i="3"/>
  <c r="AQ195" i="3"/>
  <c r="AQ196" i="3"/>
  <c r="AQ197" i="3"/>
  <c r="AQ201" i="3"/>
  <c r="AQ203" i="3"/>
  <c r="AQ204" i="3"/>
  <c r="AQ206" i="3"/>
  <c r="AQ207" i="3"/>
  <c r="AQ208" i="3"/>
  <c r="AQ209" i="3"/>
  <c r="AQ210" i="3"/>
  <c r="AQ211" i="3"/>
  <c r="AQ212" i="3"/>
  <c r="AQ213" i="3"/>
  <c r="AQ216" i="3"/>
  <c r="AQ217" i="3"/>
  <c r="AQ219" i="3"/>
  <c r="AQ220" i="3"/>
  <c r="AQ221" i="3"/>
  <c r="AQ222" i="3"/>
  <c r="AQ223" i="3"/>
  <c r="AQ224" i="3"/>
  <c r="AQ228" i="3"/>
  <c r="AQ229" i="3"/>
  <c r="AQ241" i="3"/>
  <c r="AQ245" i="3"/>
  <c r="AQ252" i="3"/>
  <c r="AQ254" i="3"/>
  <c r="AQ256" i="3"/>
  <c r="AQ257" i="3"/>
  <c r="AQ258" i="3"/>
  <c r="AQ259" i="3"/>
  <c r="AQ260" i="3"/>
  <c r="AQ261" i="3"/>
  <c r="AQ264" i="3"/>
  <c r="AQ265" i="3"/>
  <c r="AQ266" i="3"/>
  <c r="AQ269" i="3"/>
  <c r="AQ270" i="3"/>
  <c r="AQ271" i="3"/>
  <c r="AQ272" i="3"/>
  <c r="AQ273" i="3"/>
  <c r="AQ274" i="3"/>
  <c r="AQ275" i="3"/>
  <c r="AQ276" i="3"/>
  <c r="AQ278" i="3"/>
  <c r="AQ282" i="3"/>
  <c r="AQ283" i="3"/>
  <c r="AQ285" i="3"/>
  <c r="AQ286" i="3"/>
  <c r="AQ287" i="3"/>
  <c r="AQ290" i="3"/>
  <c r="AQ291" i="3"/>
  <c r="AQ292" i="3"/>
  <c r="AQ294" i="3"/>
  <c r="AQ296" i="3"/>
  <c r="AQ297" i="3"/>
  <c r="AQ298" i="3"/>
  <c r="AQ301" i="3"/>
  <c r="AQ302" i="3"/>
  <c r="AQ305" i="3"/>
  <c r="AQ306" i="3"/>
  <c r="AQ307" i="3"/>
  <c r="AQ308" i="3"/>
  <c r="AQ309" i="3"/>
  <c r="AQ310" i="3"/>
  <c r="AQ311" i="3"/>
  <c r="AQ313" i="3"/>
  <c r="AQ315" i="3"/>
  <c r="AQ316" i="3"/>
  <c r="AQ317" i="3"/>
  <c r="AQ320" i="3"/>
  <c r="AQ321" i="3"/>
  <c r="AQ324" i="3"/>
  <c r="AQ327" i="3"/>
  <c r="AQ328" i="3"/>
  <c r="AQ329" i="3"/>
  <c r="AQ330" i="3"/>
  <c r="AQ331" i="3"/>
  <c r="AQ333" i="3"/>
  <c r="AQ336" i="3"/>
  <c r="AQ337" i="3"/>
  <c r="AQ338" i="3"/>
  <c r="AQ339" i="3"/>
  <c r="AQ340" i="3"/>
  <c r="AQ341" i="3"/>
  <c r="AQ342" i="3"/>
  <c r="AQ344" i="3"/>
  <c r="AQ345" i="3"/>
  <c r="AQ347" i="3"/>
  <c r="AQ348" i="3"/>
  <c r="AQ349" i="3"/>
  <c r="AQ351" i="3"/>
  <c r="AQ352" i="3"/>
  <c r="AQ353" i="3"/>
  <c r="AQ354" i="3"/>
  <c r="AQ356" i="3"/>
  <c r="AQ358" i="3"/>
  <c r="AQ359" i="3"/>
  <c r="AQ361" i="3"/>
  <c r="AQ362" i="3"/>
  <c r="AQ364" i="3"/>
  <c r="AQ366" i="3"/>
  <c r="AQ367" i="3"/>
  <c r="AQ369" i="3"/>
  <c r="AQ372" i="3"/>
  <c r="AQ379" i="3"/>
  <c r="AQ381" i="3"/>
  <c r="AQ382" i="3"/>
  <c r="AQ383" i="3"/>
  <c r="AQ386" i="3"/>
  <c r="AQ387" i="3"/>
  <c r="AQ389" i="3"/>
  <c r="AQ391" i="3"/>
  <c r="AQ392" i="3"/>
  <c r="AQ393" i="3"/>
  <c r="AQ395" i="3"/>
  <c r="AQ396" i="3"/>
  <c r="AQ397" i="3"/>
  <c r="AQ398" i="3"/>
  <c r="AQ399" i="3"/>
  <c r="AQ400" i="3"/>
  <c r="AQ401" i="3"/>
  <c r="AQ402" i="3"/>
  <c r="AQ403" i="3"/>
  <c r="AQ404" i="3"/>
  <c r="AQ405" i="3"/>
  <c r="AQ407" i="3"/>
  <c r="AQ409" i="3"/>
  <c r="AQ410" i="3"/>
  <c r="AQ411" i="3"/>
  <c r="AQ412" i="3"/>
  <c r="AQ413" i="3"/>
  <c r="AQ415" i="3"/>
  <c r="AQ416" i="3"/>
  <c r="AQ417" i="3"/>
  <c r="AQ418" i="3"/>
  <c r="AQ419" i="3"/>
  <c r="AQ420" i="3"/>
  <c r="AQ421" i="3"/>
  <c r="AQ422" i="3"/>
  <c r="AQ423" i="3"/>
  <c r="AQ424" i="3"/>
  <c r="AQ426" i="3"/>
  <c r="AQ427" i="3"/>
  <c r="AQ428" i="3"/>
  <c r="AQ430" i="3"/>
  <c r="AQ431" i="3"/>
  <c r="AQ434" i="3"/>
  <c r="AQ436" i="3"/>
  <c r="AQ437" i="3"/>
  <c r="AQ438" i="3"/>
  <c r="AQ439" i="3"/>
  <c r="AQ440" i="3"/>
  <c r="AQ444" i="3"/>
  <c r="AQ445" i="3"/>
  <c r="AQ446" i="3"/>
  <c r="AQ448" i="3"/>
  <c r="AQ449" i="3"/>
  <c r="AQ450" i="3"/>
  <c r="AQ451" i="3"/>
  <c r="AQ454" i="3"/>
  <c r="AQ455" i="3"/>
  <c r="AQ456" i="3"/>
  <c r="AQ457" i="3"/>
  <c r="AQ458" i="3"/>
  <c r="AQ459" i="3"/>
  <c r="AQ460" i="3"/>
  <c r="AQ461" i="3"/>
  <c r="AQ463" i="3"/>
  <c r="AQ464" i="3"/>
  <c r="AQ465" i="3"/>
  <c r="AQ466" i="3"/>
  <c r="AQ467" i="3"/>
  <c r="AQ468" i="3"/>
  <c r="AQ469" i="3"/>
  <c r="AQ470" i="3"/>
  <c r="AQ471" i="3"/>
  <c r="AQ474" i="3"/>
  <c r="AQ475" i="3"/>
  <c r="AQ476" i="3"/>
  <c r="AQ477" i="3"/>
  <c r="AQ478" i="3"/>
  <c r="AQ479" i="3"/>
  <c r="AQ483" i="3"/>
  <c r="AQ484" i="3"/>
  <c r="AQ485" i="3"/>
  <c r="AQ486" i="3"/>
  <c r="AQ487" i="3"/>
  <c r="AQ488" i="3"/>
  <c r="AQ489" i="3"/>
  <c r="AQ490" i="3"/>
  <c r="AQ492" i="3"/>
  <c r="AQ493" i="3"/>
  <c r="AQ494" i="3"/>
  <c r="AQ496" i="3"/>
  <c r="AQ497" i="3"/>
  <c r="AQ499" i="3"/>
  <c r="AQ504" i="3"/>
  <c r="AQ505" i="3"/>
  <c r="AQ506" i="3"/>
  <c r="AQ507" i="3"/>
  <c r="AQ508" i="3"/>
  <c r="AQ509" i="3"/>
  <c r="AQ510" i="3"/>
  <c r="AQ511" i="3"/>
  <c r="AQ514" i="3"/>
  <c r="AQ515" i="3"/>
  <c r="AQ516" i="3"/>
  <c r="AQ518" i="3"/>
  <c r="AQ519" i="3"/>
  <c r="AQ520" i="3"/>
  <c r="AQ521" i="3"/>
  <c r="AQ522" i="3"/>
  <c r="AQ524" i="3"/>
  <c r="AQ528" i="3"/>
  <c r="AQ529" i="3"/>
  <c r="AQ531" i="3"/>
  <c r="AQ533" i="3"/>
  <c r="AQ536" i="3"/>
  <c r="AQ537" i="3"/>
  <c r="AQ538" i="3"/>
  <c r="AQ542" i="3"/>
  <c r="AQ544" i="3"/>
  <c r="AQ545" i="3"/>
  <c r="AQ547" i="3"/>
  <c r="AQ549" i="3"/>
  <c r="AQ552" i="3"/>
  <c r="AQ554" i="3"/>
  <c r="AQ555" i="3"/>
  <c r="AQ556" i="3"/>
  <c r="AQ557" i="3"/>
  <c r="AQ558" i="3"/>
  <c r="AQ559" i="3"/>
  <c r="AQ563" i="3"/>
  <c r="AQ565" i="3"/>
  <c r="AQ567" i="3"/>
  <c r="AQ568" i="3"/>
  <c r="AQ570" i="3"/>
  <c r="AQ573" i="3"/>
  <c r="AQ574" i="3"/>
  <c r="AQ575" i="3"/>
  <c r="AQ576" i="3"/>
  <c r="AQ577" i="3"/>
  <c r="AQ579" i="3"/>
  <c r="AQ580" i="3"/>
  <c r="AQ582" i="3"/>
  <c r="AQ583" i="3"/>
  <c r="AQ584" i="3"/>
  <c r="AQ585" i="3"/>
  <c r="AQ587" i="3"/>
  <c r="AQ588" i="3"/>
  <c r="AQ589" i="3"/>
  <c r="AQ590" i="3"/>
  <c r="AQ593" i="3"/>
  <c r="AQ594" i="3"/>
  <c r="AQ595" i="3"/>
  <c r="AQ597" i="3"/>
  <c r="AQ599" i="3"/>
  <c r="AQ600" i="3"/>
  <c r="AQ602" i="3"/>
  <c r="AQ603" i="3"/>
  <c r="AQ604" i="3"/>
  <c r="AQ605" i="3"/>
  <c r="AQ606" i="3"/>
  <c r="AQ608" i="3"/>
  <c r="AQ609" i="3"/>
  <c r="AQ610" i="3"/>
  <c r="AQ611" i="3"/>
  <c r="AQ612" i="3"/>
  <c r="AQ613" i="3"/>
  <c r="AQ614" i="3"/>
  <c r="AQ618" i="3"/>
  <c r="AQ620" i="3"/>
  <c r="AQ635" i="3"/>
  <c r="AQ637" i="3"/>
  <c r="AQ638" i="3"/>
  <c r="AQ640" i="3"/>
  <c r="AQ641" i="3"/>
  <c r="AQ642" i="3"/>
  <c r="AQ644" i="3"/>
  <c r="AQ646" i="3"/>
  <c r="AQ647" i="3"/>
  <c r="AQ648" i="3"/>
  <c r="AQ649" i="3"/>
  <c r="AQ652" i="3"/>
  <c r="AQ653" i="3"/>
  <c r="AQ655" i="3"/>
  <c r="AQ658" i="3"/>
  <c r="AQ660" i="3"/>
  <c r="AQ661" i="3"/>
  <c r="AQ662" i="3"/>
  <c r="AQ663" i="3"/>
  <c r="AQ664" i="3"/>
  <c r="AQ665" i="3"/>
  <c r="AQ666" i="3"/>
  <c r="AQ667" i="3"/>
  <c r="AQ668" i="3"/>
  <c r="AQ669" i="3"/>
  <c r="AQ670" i="3"/>
  <c r="AQ671" i="3"/>
  <c r="AQ674" i="3"/>
  <c r="AQ676" i="3"/>
  <c r="AQ678" i="3"/>
  <c r="AQ679" i="3"/>
  <c r="AQ680" i="3"/>
  <c r="AQ681" i="3"/>
  <c r="AQ682" i="3"/>
  <c r="AQ683" i="3"/>
  <c r="AQ686" i="3"/>
  <c r="AQ687" i="3"/>
  <c r="AQ691" i="3"/>
  <c r="AQ692" i="3"/>
  <c r="AQ693" i="3"/>
  <c r="AQ696" i="3"/>
  <c r="AQ697" i="3"/>
  <c r="AQ698" i="3"/>
  <c r="AQ699" i="3"/>
  <c r="AQ703" i="3"/>
  <c r="AQ704" i="3"/>
  <c r="AQ705" i="3"/>
  <c r="AQ706" i="3"/>
  <c r="AQ707" i="3"/>
  <c r="AQ708" i="3"/>
  <c r="AQ709" i="3"/>
  <c r="AQ710" i="3"/>
  <c r="AQ712" i="3"/>
  <c r="AQ713" i="3"/>
  <c r="AQ716" i="3"/>
  <c r="AQ717" i="3"/>
  <c r="AQ719" i="3"/>
  <c r="AQ721" i="3"/>
  <c r="AQ724" i="3"/>
  <c r="AQ725" i="3"/>
  <c r="AQ726" i="3"/>
  <c r="AQ727" i="3"/>
  <c r="AQ728" i="3"/>
  <c r="AQ729" i="3"/>
  <c r="AQ730" i="3"/>
  <c r="AQ731" i="3"/>
  <c r="AQ733" i="3"/>
  <c r="AQ736" i="3"/>
  <c r="AQ737" i="3"/>
  <c r="AQ739" i="3"/>
  <c r="AQ740" i="3"/>
  <c r="AQ742" i="3"/>
  <c r="AQ744" i="3"/>
  <c r="AQ746" i="3"/>
  <c r="AQ748" i="3"/>
  <c r="AQ750" i="3"/>
  <c r="AQ751" i="3"/>
  <c r="AQ753" i="3"/>
  <c r="AQ754" i="3"/>
  <c r="AQ756" i="3"/>
  <c r="AQ757" i="3"/>
  <c r="AQ760" i="3"/>
  <c r="AQ763" i="3"/>
  <c r="AQ765" i="3"/>
  <c r="AQ766" i="3"/>
  <c r="AQ767" i="3"/>
  <c r="AQ768" i="3"/>
  <c r="AQ769" i="3"/>
  <c r="AQ771" i="3"/>
  <c r="AQ772" i="3"/>
  <c r="AQ773" i="3"/>
  <c r="AQ774" i="3"/>
  <c r="AQ776" i="3"/>
  <c r="AQ777" i="3"/>
  <c r="AQ781" i="3"/>
  <c r="AQ784" i="3"/>
  <c r="AQ786" i="3"/>
  <c r="AQ787" i="3"/>
  <c r="AQ788" i="3"/>
  <c r="AQ789" i="3"/>
  <c r="AQ791" i="3"/>
  <c r="AQ792" i="3"/>
  <c r="AQ793" i="3"/>
  <c r="AQ798" i="3"/>
  <c r="AQ799" i="3"/>
  <c r="AQ800" i="3"/>
  <c r="AQ802" i="3"/>
  <c r="AQ803" i="3"/>
  <c r="AQ804" i="3"/>
  <c r="AQ805" i="3"/>
  <c r="AQ807" i="3"/>
  <c r="AQ808" i="3"/>
  <c r="AQ809" i="3"/>
  <c r="AQ810" i="3"/>
  <c r="AQ811" i="3"/>
  <c r="AQ812" i="3"/>
  <c r="AQ813" i="3"/>
  <c r="AQ814" i="3"/>
  <c r="AQ815" i="3"/>
  <c r="AQ816" i="3"/>
  <c r="AQ817" i="3"/>
  <c r="AQ820" i="3"/>
  <c r="AQ824" i="3"/>
  <c r="AQ825" i="3"/>
  <c r="AQ826" i="3"/>
  <c r="AQ827" i="3"/>
  <c r="AQ828" i="3"/>
  <c r="AQ829" i="3"/>
  <c r="AQ831" i="3"/>
  <c r="AQ832" i="3"/>
  <c r="AQ835" i="3"/>
  <c r="AQ836" i="3"/>
  <c r="AQ839" i="3"/>
  <c r="AQ841" i="3"/>
  <c r="AQ842" i="3"/>
  <c r="AQ843" i="3"/>
  <c r="AQ844" i="3"/>
  <c r="AQ846" i="3"/>
  <c r="AQ848" i="3"/>
  <c r="AQ850" i="3"/>
  <c r="AQ852" i="3"/>
  <c r="AQ854" i="3"/>
  <c r="AQ855" i="3"/>
  <c r="AQ856" i="3"/>
  <c r="AQ858" i="3"/>
  <c r="AQ862" i="3"/>
  <c r="AQ863" i="3"/>
  <c r="AQ865" i="3"/>
  <c r="AQ866" i="3"/>
  <c r="AQ872" i="3"/>
  <c r="AQ873" i="3"/>
  <c r="AQ874" i="3"/>
  <c r="AQ877" i="3"/>
  <c r="AQ878" i="3"/>
  <c r="AQ879" i="3"/>
  <c r="AQ881" i="3"/>
  <c r="AQ882" i="3"/>
  <c r="AQ884" i="3"/>
  <c r="AQ885" i="3"/>
  <c r="AQ886" i="3"/>
  <c r="AQ889" i="3"/>
  <c r="AQ891" i="3"/>
  <c r="AQ893" i="3"/>
  <c r="AQ894" i="3"/>
  <c r="AQ896" i="3"/>
  <c r="AQ897" i="3"/>
  <c r="AQ898" i="3"/>
  <c r="AQ899" i="3"/>
  <c r="AQ900" i="3"/>
  <c r="AQ901" i="3"/>
  <c r="AQ903" i="3"/>
  <c r="AQ905" i="3"/>
  <c r="AQ906" i="3"/>
  <c r="AQ907" i="3"/>
  <c r="AQ912" i="3"/>
  <c r="AQ913" i="3"/>
  <c r="AQ914" i="3"/>
  <c r="AQ915" i="3"/>
  <c r="AQ916" i="3"/>
  <c r="AQ918" i="3"/>
  <c r="AQ920" i="3"/>
  <c r="AQ921" i="3"/>
  <c r="AQ923" i="3"/>
  <c r="AQ925" i="3"/>
  <c r="AQ926" i="3"/>
  <c r="AQ927" i="3"/>
  <c r="AQ928" i="3"/>
  <c r="AQ930" i="3"/>
  <c r="AQ931" i="3"/>
  <c r="AQ934" i="3"/>
  <c r="AQ935" i="3"/>
  <c r="AQ936" i="3"/>
  <c r="AQ937" i="3"/>
  <c r="AQ939" i="3"/>
  <c r="AQ940" i="3"/>
  <c r="AQ941" i="3"/>
  <c r="AQ945" i="3"/>
  <c r="AQ946" i="3"/>
  <c r="AQ950" i="3"/>
  <c r="AQ956" i="3"/>
  <c r="AQ958" i="3"/>
  <c r="AQ963" i="3"/>
  <c r="AQ964" i="3"/>
  <c r="AQ965" i="3"/>
  <c r="AQ968" i="3"/>
  <c r="AQ969" i="3"/>
  <c r="AQ970" i="3"/>
  <c r="AQ971" i="3"/>
  <c r="AQ972" i="3"/>
  <c r="AQ973" i="3"/>
  <c r="AQ975" i="3"/>
  <c r="AQ978" i="3"/>
  <c r="AQ980" i="3"/>
  <c r="AQ984" i="3"/>
  <c r="AQ985" i="3"/>
  <c r="AQ986" i="3"/>
  <c r="AQ987" i="3"/>
  <c r="AQ988" i="3"/>
  <c r="AQ989" i="3"/>
  <c r="AQ990" i="3"/>
  <c r="AQ991" i="3"/>
  <c r="AQ992" i="3"/>
  <c r="AQ993" i="3"/>
  <c r="AQ994" i="3"/>
  <c r="AQ996" i="3"/>
  <c r="AQ999" i="3"/>
  <c r="AQ1000" i="3"/>
  <c r="AQ1001" i="3"/>
  <c r="AQ1004" i="3"/>
  <c r="AQ1005" i="3"/>
  <c r="AQ1007" i="3"/>
  <c r="AQ1008" i="3"/>
  <c r="AQ1009" i="3"/>
  <c r="AQ1010" i="3"/>
  <c r="AQ1011" i="3"/>
  <c r="AQ1013" i="3"/>
  <c r="AQ1014" i="3"/>
  <c r="AQ1015" i="3"/>
  <c r="AQ1017" i="3"/>
  <c r="AQ1018" i="3"/>
  <c r="AQ1019" i="3"/>
  <c r="AQ1021" i="3"/>
  <c r="AQ1025" i="3"/>
  <c r="AQ1028" i="3"/>
  <c r="AQ1029" i="3"/>
  <c r="AQ1030" i="3"/>
  <c r="AQ1031" i="3"/>
  <c r="AQ1033" i="3"/>
  <c r="AQ1035" i="3"/>
  <c r="AQ1036" i="3"/>
  <c r="AQ1037" i="3"/>
  <c r="AQ1039" i="3"/>
  <c r="AQ1040" i="3"/>
  <c r="AQ1042" i="3"/>
  <c r="AQ1043" i="3"/>
  <c r="AQ1045" i="3"/>
  <c r="AQ1046" i="3"/>
  <c r="AQ1049" i="3"/>
  <c r="AQ1050" i="3"/>
  <c r="AQ1052" i="3"/>
  <c r="AQ1053" i="3"/>
  <c r="AQ1057" i="3"/>
  <c r="AQ1059" i="3"/>
  <c r="AQ1060" i="3"/>
  <c r="AQ1063" i="3"/>
  <c r="AQ1068" i="3"/>
  <c r="AQ1069" i="3"/>
  <c r="AQ1070" i="3"/>
  <c r="AQ1071" i="3"/>
  <c r="AQ1075" i="3"/>
  <c r="AQ1076" i="3"/>
  <c r="AQ1077" i="3"/>
  <c r="AQ1078" i="3"/>
  <c r="AQ1081" i="3"/>
  <c r="AQ1082" i="3"/>
  <c r="AQ1084" i="3"/>
  <c r="AQ1085" i="3"/>
  <c r="AQ1086" i="3"/>
  <c r="AQ1087" i="3"/>
  <c r="AQ1088" i="3"/>
  <c r="AQ1090" i="3"/>
  <c r="AQ1091" i="3"/>
  <c r="AQ1093" i="3"/>
  <c r="AQ1095" i="3"/>
  <c r="AQ1097" i="3"/>
  <c r="AQ1099" i="3"/>
  <c r="AQ1100" i="3"/>
  <c r="AQ1101" i="3"/>
  <c r="AQ1102" i="3"/>
  <c r="AQ1105" i="3"/>
  <c r="AQ1106" i="3"/>
  <c r="AQ1107" i="3"/>
  <c r="AQ1108" i="3"/>
  <c r="AQ1109" i="3"/>
  <c r="AQ1110" i="3"/>
  <c r="AQ1111" i="3"/>
  <c r="AQ1112" i="3"/>
  <c r="AQ1113" i="3"/>
  <c r="AQ1114" i="3"/>
  <c r="AQ1115" i="3"/>
  <c r="AQ1117" i="3"/>
  <c r="AQ1118" i="3"/>
  <c r="AQ1119" i="3"/>
  <c r="AQ1121" i="3"/>
  <c r="AQ1122" i="3"/>
  <c r="AQ1125" i="3"/>
  <c r="AQ1127" i="3"/>
  <c r="AQ1128" i="3"/>
  <c r="AQ1129" i="3"/>
  <c r="AQ1133" i="3"/>
  <c r="AQ1135" i="3"/>
  <c r="AQ1137" i="3"/>
  <c r="AQ1138" i="3"/>
  <c r="AQ1139" i="3"/>
  <c r="AQ1141" i="3"/>
  <c r="AQ1142" i="3"/>
  <c r="AQ1144" i="3"/>
  <c r="AQ1145" i="3"/>
  <c r="AQ1146" i="3"/>
  <c r="AQ1147" i="3"/>
  <c r="AQ1148" i="3"/>
  <c r="AQ1149" i="3"/>
  <c r="AQ1150" i="3"/>
  <c r="AQ1151" i="3"/>
  <c r="AQ1154" i="3"/>
  <c r="AQ1155" i="3"/>
  <c r="AQ1156" i="3"/>
  <c r="AQ1157" i="3"/>
  <c r="AQ1159" i="3"/>
  <c r="AQ1163" i="3"/>
  <c r="AQ1165" i="3"/>
  <c r="AQ1166" i="3"/>
  <c r="AQ1167" i="3"/>
  <c r="AQ1168" i="3"/>
  <c r="AQ1169" i="3"/>
  <c r="AQ1171" i="3"/>
  <c r="AQ1172" i="3"/>
  <c r="AQ1176" i="3"/>
  <c r="AQ1177" i="3"/>
  <c r="AQ1180" i="3"/>
  <c r="AQ1185" i="3"/>
  <c r="AQ1186" i="3"/>
  <c r="AQ1187" i="3"/>
  <c r="AQ1190" i="3"/>
  <c r="AQ1193" i="3"/>
  <c r="AQ1194" i="3"/>
  <c r="AQ1196" i="3"/>
  <c r="AQ1197" i="3"/>
  <c r="AQ1200" i="3"/>
  <c r="AQ1201" i="3"/>
  <c r="AQ1203" i="3"/>
  <c r="AQ1204" i="3"/>
  <c r="AQ1205" i="3"/>
  <c r="AQ1209" i="3"/>
  <c r="AQ1210" i="3"/>
  <c r="AQ1211" i="3"/>
  <c r="AQ1212" i="3"/>
  <c r="AQ1213" i="3"/>
  <c r="AQ1214" i="3"/>
  <c r="AQ1215" i="3"/>
  <c r="AQ1217" i="3"/>
  <c r="AQ1218" i="3"/>
  <c r="AQ1219" i="3"/>
  <c r="AQ1221" i="3"/>
  <c r="AQ1222" i="3"/>
  <c r="AQ1226" i="3"/>
  <c r="AQ1228" i="3"/>
  <c r="AQ1229" i="3"/>
  <c r="AQ1230" i="3"/>
  <c r="AQ1231" i="3"/>
  <c r="AQ1232" i="3"/>
  <c r="AQ1233" i="3"/>
  <c r="AQ1234" i="3"/>
  <c r="AQ1238" i="3"/>
  <c r="AQ1239" i="3"/>
  <c r="AQ1244" i="3"/>
  <c r="AQ1245" i="3"/>
  <c r="AQ1247" i="3"/>
  <c r="AQ1248" i="3"/>
  <c r="AQ1249" i="3"/>
  <c r="AQ1251" i="3"/>
  <c r="AQ1252" i="3"/>
  <c r="AQ1256" i="3"/>
  <c r="AQ1258" i="3"/>
  <c r="AQ1261" i="3"/>
  <c r="AQ1262" i="3"/>
  <c r="AQ1263" i="3"/>
  <c r="AQ1265" i="3"/>
  <c r="AQ1267" i="3"/>
  <c r="AQ1270" i="3"/>
  <c r="AQ1271" i="3"/>
  <c r="AQ1274" i="3"/>
  <c r="AQ1275" i="3"/>
  <c r="AQ1276" i="3"/>
  <c r="AQ1277" i="3"/>
  <c r="AQ1278" i="3"/>
  <c r="AQ1280" i="3"/>
  <c r="AQ1281" i="3"/>
  <c r="AQ1282" i="3"/>
  <c r="AQ1284" i="3"/>
  <c r="AQ1285" i="3"/>
  <c r="AQ1286" i="3"/>
  <c r="AQ1287" i="3"/>
  <c r="AQ1288" i="3"/>
  <c r="AQ1289" i="3"/>
  <c r="AQ1291" i="3"/>
  <c r="AQ1293" i="3"/>
  <c r="AQ1294" i="3"/>
  <c r="AQ1296" i="3"/>
  <c r="AQ1297" i="3"/>
  <c r="AQ1300" i="3"/>
  <c r="AQ1301" i="3"/>
  <c r="AQ1304" i="3"/>
  <c r="AQ1305" i="3"/>
  <c r="AQ1307" i="3"/>
  <c r="AQ1308" i="3"/>
  <c r="AQ1311" i="3"/>
  <c r="AQ1313" i="3"/>
  <c r="AQ1314" i="3"/>
  <c r="AQ1315" i="3"/>
  <c r="AQ1316" i="3"/>
  <c r="AQ1317" i="3"/>
  <c r="AQ1318" i="3"/>
  <c r="AQ1319" i="3"/>
  <c r="AQ1320" i="3"/>
  <c r="AQ1321" i="3"/>
  <c r="AQ1323" i="3"/>
  <c r="AQ1324" i="3"/>
  <c r="AQ1326" i="3"/>
  <c r="AQ1328" i="3"/>
  <c r="AQ1330" i="3"/>
  <c r="AQ1331" i="3"/>
  <c r="AQ1332" i="3"/>
  <c r="AQ1333" i="3"/>
  <c r="AQ1334" i="3"/>
  <c r="AQ1338" i="3"/>
  <c r="AQ1339" i="3"/>
  <c r="AQ1340" i="3"/>
  <c r="AQ1341" i="3"/>
  <c r="AQ1342" i="3"/>
  <c r="AQ1343" i="3"/>
  <c r="AQ1344" i="3"/>
  <c r="AQ1346" i="3"/>
  <c r="AQ1349" i="3"/>
  <c r="AQ1350" i="3"/>
  <c r="AQ1352" i="3"/>
  <c r="AQ1355" i="3"/>
  <c r="AQ1356" i="3"/>
  <c r="AQ1358" i="3"/>
  <c r="AQ1359" i="3"/>
  <c r="AQ1362" i="3"/>
  <c r="AQ1363" i="3"/>
  <c r="AQ1364" i="3"/>
  <c r="AQ1365" i="3"/>
  <c r="AQ1366" i="3"/>
  <c r="AQ1367" i="3"/>
  <c r="AQ1370" i="3"/>
  <c r="AQ1371" i="3"/>
  <c r="AQ1372" i="3"/>
  <c r="AQ1373" i="3"/>
  <c r="AQ1374" i="3"/>
  <c r="AQ1375" i="3"/>
  <c r="AQ1377" i="3"/>
  <c r="AQ1378" i="3"/>
  <c r="AQ1381" i="3"/>
  <c r="AQ1382" i="3"/>
  <c r="AQ1384" i="3"/>
  <c r="AQ1385" i="3"/>
  <c r="AQ1389" i="3"/>
  <c r="AQ1391" i="3"/>
  <c r="AQ1392" i="3"/>
  <c r="AQ1393" i="3"/>
  <c r="AQ1395" i="3"/>
  <c r="AQ1398" i="3"/>
  <c r="AQ1399" i="3"/>
  <c r="AQ1400" i="3"/>
  <c r="AQ1401" i="3"/>
  <c r="AQ1402" i="3"/>
  <c r="AQ1403" i="3"/>
  <c r="AQ1404" i="3"/>
  <c r="AQ1407" i="3"/>
  <c r="AQ1408" i="3"/>
  <c r="AQ1409" i="3"/>
  <c r="AQ1412" i="3"/>
  <c r="AQ1413" i="3"/>
  <c r="AQ1414" i="3"/>
  <c r="AQ1415" i="3"/>
  <c r="AQ1416" i="3"/>
  <c r="AQ1418" i="3"/>
  <c r="AQ1420" i="3"/>
  <c r="AQ1421" i="3"/>
  <c r="AQ1423" i="3"/>
  <c r="AQ1424" i="3"/>
  <c r="AQ1426" i="3"/>
  <c r="AQ1429" i="3"/>
  <c r="AQ1431" i="3"/>
  <c r="AQ1433" i="3"/>
  <c r="AQ1434" i="3"/>
  <c r="AQ1435" i="3"/>
  <c r="AQ1436" i="3"/>
  <c r="AQ1438" i="3"/>
  <c r="AQ1439" i="3"/>
  <c r="AQ1440" i="3"/>
  <c r="AQ1442" i="3"/>
  <c r="AQ1443" i="3"/>
  <c r="AQ1444" i="3"/>
  <c r="AQ1445" i="3"/>
  <c r="AQ1446" i="3"/>
  <c r="AQ1447" i="3"/>
  <c r="AQ1448" i="3"/>
  <c r="AQ1449" i="3"/>
  <c r="AQ1450" i="3"/>
  <c r="AQ1451" i="3"/>
  <c r="AQ1452" i="3"/>
  <c r="AQ1453" i="3"/>
  <c r="AQ1455" i="3"/>
  <c r="AQ1456" i="3"/>
  <c r="AQ1459" i="3"/>
  <c r="AQ1462" i="3"/>
  <c r="AQ1469" i="3"/>
  <c r="AQ1470" i="3"/>
  <c r="AQ1471" i="3"/>
  <c r="AQ1473" i="3"/>
  <c r="AQ1474" i="3"/>
  <c r="AQ1476" i="3"/>
  <c r="AQ1477" i="3"/>
  <c r="AQ1478" i="3"/>
  <c r="AQ1480" i="3"/>
  <c r="AQ1481" i="3"/>
  <c r="AQ1482" i="3"/>
  <c r="AQ1483" i="3"/>
  <c r="AQ1484" i="3"/>
  <c r="AQ1485" i="3"/>
  <c r="AQ1488" i="3"/>
  <c r="AQ1489" i="3"/>
  <c r="AQ1491" i="3"/>
  <c r="AQ1492" i="3"/>
  <c r="AQ1493" i="3"/>
  <c r="AQ1494" i="3"/>
  <c r="AQ1495" i="3"/>
  <c r="AQ1496" i="3"/>
  <c r="AQ1498" i="3"/>
  <c r="AQ1500" i="3"/>
  <c r="AQ1501" i="3"/>
  <c r="AQ1503" i="3"/>
  <c r="AQ1504" i="3"/>
  <c r="AQ1505" i="3"/>
  <c r="AQ1509" i="3"/>
  <c r="AQ1510" i="3"/>
  <c r="AQ1511" i="3"/>
  <c r="AQ1513" i="3"/>
  <c r="AQ1516" i="3"/>
  <c r="AQ1517" i="3"/>
  <c r="AQ1518" i="3"/>
  <c r="AQ1519" i="3"/>
  <c r="AQ1520" i="3"/>
  <c r="AQ1521" i="3"/>
  <c r="AQ1523" i="3"/>
  <c r="AQ1526" i="3"/>
  <c r="AQ1527" i="3"/>
  <c r="AQ1528" i="3"/>
  <c r="AQ1529" i="3"/>
  <c r="AQ1530" i="3"/>
  <c r="AQ1531" i="3"/>
  <c r="AQ1539" i="3"/>
  <c r="AQ1540" i="3"/>
  <c r="AQ1541" i="3"/>
  <c r="AQ1544" i="3"/>
  <c r="AQ1545" i="3"/>
  <c r="AQ1546" i="3"/>
  <c r="AQ1549" i="3"/>
  <c r="AQ1550" i="3"/>
  <c r="AQ1551" i="3"/>
  <c r="AQ1552" i="3"/>
  <c r="AQ1553" i="3"/>
  <c r="AQ1555" i="3"/>
  <c r="AQ1557" i="3"/>
  <c r="AQ1558" i="3"/>
  <c r="AQ1559" i="3"/>
  <c r="AQ1562" i="3"/>
  <c r="AQ1563" i="3"/>
  <c r="AQ1565" i="3"/>
  <c r="AQ1566" i="3"/>
  <c r="AQ1568" i="3"/>
  <c r="AQ1569" i="3"/>
  <c r="AQ1573" i="3"/>
  <c r="AQ1574" i="3"/>
  <c r="AQ1575" i="3"/>
  <c r="AQ1576" i="3"/>
  <c r="AQ1578" i="3"/>
  <c r="AQ1579" i="3"/>
  <c r="AQ1580" i="3"/>
  <c r="AQ1581" i="3"/>
  <c r="AQ1582" i="3"/>
  <c r="AQ1586" i="3"/>
  <c r="AQ1588" i="3"/>
  <c r="AQ1589" i="3"/>
  <c r="AQ1591" i="3"/>
  <c r="AQ1593" i="3"/>
  <c r="AQ1594" i="3"/>
  <c r="AQ1595" i="3"/>
  <c r="AQ1597" i="3"/>
  <c r="AQ1598" i="3"/>
  <c r="AQ1599" i="3"/>
  <c r="AQ1600" i="3"/>
  <c r="AQ1603" i="3"/>
  <c r="AQ1605" i="3"/>
  <c r="AQ1606" i="3"/>
  <c r="AQ1607" i="3"/>
  <c r="AQ1608" i="3"/>
  <c r="AQ1610" i="3"/>
  <c r="AQ1611" i="3"/>
  <c r="AQ1612" i="3"/>
  <c r="AQ1613" i="3"/>
  <c r="AQ1614" i="3"/>
  <c r="AQ1616" i="3"/>
  <c r="AQ1617" i="3"/>
  <c r="AQ1618" i="3"/>
  <c r="AQ1619" i="3"/>
  <c r="AQ1620" i="3"/>
  <c r="AQ1621" i="3"/>
  <c r="AQ1623" i="3"/>
  <c r="AQ1624" i="3"/>
  <c r="AQ1625" i="3"/>
  <c r="AQ1627" i="3"/>
  <c r="AQ1628" i="3"/>
  <c r="AQ1629" i="3"/>
  <c r="AQ1630" i="3"/>
  <c r="AQ1631" i="3"/>
  <c r="AQ1632" i="3"/>
  <c r="AQ1635" i="3"/>
  <c r="AQ1636" i="3"/>
  <c r="AQ1640" i="3"/>
  <c r="AQ1644" i="3"/>
  <c r="AQ1645" i="3"/>
  <c r="AQ1646" i="3"/>
  <c r="AQ1647" i="3"/>
  <c r="AQ1648" i="3"/>
  <c r="AQ1650" i="3"/>
  <c r="AQ1654" i="3"/>
  <c r="AQ1655" i="3"/>
  <c r="AQ1656" i="3"/>
  <c r="AQ1657" i="3"/>
  <c r="AQ1658" i="3"/>
  <c r="AQ1659" i="3"/>
  <c r="AQ1661" i="3"/>
  <c r="AQ1662" i="3"/>
  <c r="AQ1663" i="3"/>
  <c r="AQ1666" i="3"/>
  <c r="AQ1667" i="3"/>
  <c r="AQ1671" i="3"/>
  <c r="AQ1672" i="3"/>
  <c r="AQ1674" i="3"/>
  <c r="AQ1677" i="3"/>
  <c r="AQ1679" i="3"/>
  <c r="AQ1682" i="3"/>
  <c r="AQ1683" i="3"/>
  <c r="AQ1684" i="3"/>
  <c r="AQ1685" i="3"/>
  <c r="AQ1686" i="3"/>
  <c r="AQ1687" i="3"/>
  <c r="AQ1688" i="3"/>
  <c r="AQ1689" i="3"/>
  <c r="AQ1690" i="3"/>
  <c r="AQ1691" i="3"/>
  <c r="AQ1692" i="3"/>
  <c r="AQ1693" i="3"/>
  <c r="AQ1694" i="3"/>
  <c r="AQ1695" i="3"/>
  <c r="AQ1696" i="3"/>
  <c r="AQ1698" i="3"/>
  <c r="AQ1700" i="3"/>
  <c r="AQ1701" i="3"/>
  <c r="AQ1705" i="3"/>
  <c r="AQ1707" i="3"/>
  <c r="AQ1708" i="3"/>
  <c r="AQ1709" i="3"/>
  <c r="AQ1711" i="3"/>
  <c r="AQ1712" i="3"/>
  <c r="AQ1713" i="3"/>
  <c r="AQ1714" i="3"/>
  <c r="AQ1715" i="3"/>
  <c r="AQ1716" i="3"/>
  <c r="AQ1718" i="3"/>
  <c r="AQ1720" i="3"/>
  <c r="AQ1722" i="3"/>
  <c r="AQ1724" i="3"/>
  <c r="AQ1727" i="3"/>
  <c r="AQ1731" i="3"/>
  <c r="AQ1732" i="3"/>
  <c r="AQ1733" i="3"/>
  <c r="AQ1736" i="3"/>
  <c r="AQ1737" i="3"/>
  <c r="AQ1739" i="3"/>
  <c r="AQ1740" i="3"/>
  <c r="AQ1742" i="3"/>
  <c r="AQ1744" i="3"/>
  <c r="AQ1745" i="3"/>
  <c r="AQ1746" i="3"/>
  <c r="AQ1748" i="3"/>
  <c r="AQ1751" i="3"/>
  <c r="AQ1754" i="3"/>
  <c r="AQ1757" i="3"/>
  <c r="AQ1758" i="3"/>
  <c r="AQ1760" i="3"/>
  <c r="AQ1761" i="3"/>
  <c r="AQ1762" i="3"/>
  <c r="AQ1765" i="3"/>
  <c r="AQ1766" i="3"/>
  <c r="AQ1767" i="3"/>
  <c r="AQ1768" i="3"/>
  <c r="AQ1770" i="3"/>
  <c r="AQ1771" i="3"/>
  <c r="AQ1772" i="3"/>
  <c r="AQ1773" i="3"/>
  <c r="AQ1776" i="3"/>
  <c r="AQ1777" i="3"/>
  <c r="AQ1778" i="3"/>
  <c r="AQ1779" i="3"/>
  <c r="AQ1780" i="3"/>
  <c r="AQ1781" i="3"/>
  <c r="AQ1786" i="3"/>
  <c r="AQ1790" i="3"/>
  <c r="AQ1791" i="3"/>
  <c r="AQ1793" i="3"/>
  <c r="AQ1795" i="3"/>
  <c r="AQ1796" i="3"/>
  <c r="AQ1798" i="3"/>
  <c r="AQ1799" i="3"/>
  <c r="AQ1800" i="3"/>
  <c r="AQ1803" i="3"/>
  <c r="AQ1804" i="3"/>
  <c r="AQ1805" i="3"/>
  <c r="AQ1807" i="3"/>
  <c r="AQ1811" i="3"/>
  <c r="AQ1812" i="3"/>
  <c r="AQ1813" i="3"/>
  <c r="AQ1815" i="3"/>
  <c r="AQ1816" i="3"/>
  <c r="AQ1819" i="3"/>
  <c r="AQ1820" i="3"/>
  <c r="AQ1821" i="3"/>
  <c r="AQ1822" i="3"/>
  <c r="AQ1827" i="3"/>
  <c r="AQ1828" i="3"/>
  <c r="AQ1829" i="3"/>
  <c r="AQ1832" i="3"/>
  <c r="AQ1833" i="3"/>
  <c r="AQ1834" i="3"/>
  <c r="AQ1835" i="3"/>
  <c r="AQ1836" i="3"/>
  <c r="AQ1838" i="3"/>
  <c r="AQ1839" i="3"/>
  <c r="AQ1840" i="3"/>
  <c r="AQ1841" i="3"/>
  <c r="AQ1842" i="3"/>
  <c r="AQ1843" i="3"/>
  <c r="AQ1844" i="3"/>
  <c r="AQ1847" i="3"/>
  <c r="AQ1848" i="3"/>
  <c r="AQ1850" i="3"/>
  <c r="AQ1851" i="3"/>
  <c r="AQ1853" i="3"/>
  <c r="AQ1856" i="3"/>
  <c r="AQ1857" i="3"/>
  <c r="AQ1859" i="3"/>
  <c r="AQ1861" i="3"/>
  <c r="AQ1862" i="3"/>
  <c r="AP3" i="3"/>
  <c r="AP7" i="3"/>
  <c r="AP9" i="3"/>
  <c r="AP10" i="3"/>
  <c r="AP11" i="3"/>
  <c r="AP12" i="3"/>
  <c r="AP13" i="3"/>
  <c r="AP14" i="3"/>
  <c r="AP16" i="3"/>
  <c r="AP17" i="3"/>
  <c r="AP18" i="3"/>
  <c r="AP20" i="3"/>
  <c r="AP21" i="3"/>
  <c r="AP22" i="3"/>
  <c r="AP23" i="3"/>
  <c r="AP24" i="3"/>
  <c r="AP26" i="3"/>
  <c r="AP28" i="3"/>
  <c r="AP31" i="3"/>
  <c r="AP33" i="3"/>
  <c r="AP34" i="3"/>
  <c r="AP36" i="3"/>
  <c r="AP38" i="3"/>
  <c r="AP39" i="3"/>
  <c r="AP40" i="3"/>
  <c r="AP41" i="3"/>
  <c r="AP42" i="3"/>
  <c r="AP44" i="3"/>
  <c r="AP45" i="3"/>
  <c r="AP46" i="3"/>
  <c r="AP47" i="3"/>
  <c r="AP49" i="3"/>
  <c r="AP50" i="3"/>
  <c r="AP51" i="3"/>
  <c r="AP53" i="3"/>
  <c r="AP54" i="3"/>
  <c r="AP55" i="3"/>
  <c r="AP57" i="3"/>
  <c r="AP59" i="3"/>
  <c r="AP61" i="3"/>
  <c r="AP62" i="3"/>
  <c r="AP64" i="3"/>
  <c r="AP65" i="3"/>
  <c r="AP66" i="3"/>
  <c r="AP67" i="3"/>
  <c r="AP69" i="3"/>
  <c r="AP70" i="3"/>
  <c r="AP71" i="3"/>
  <c r="AP74" i="3"/>
  <c r="AP77" i="3"/>
  <c r="AP78" i="3"/>
  <c r="AP79" i="3"/>
  <c r="AP80" i="3"/>
  <c r="AP81" i="3"/>
  <c r="AP83" i="3"/>
  <c r="AP85" i="3"/>
  <c r="AP87" i="3"/>
  <c r="AP88" i="3"/>
  <c r="AP89" i="3"/>
  <c r="AP92" i="3"/>
  <c r="AP94" i="3"/>
  <c r="AP95" i="3"/>
  <c r="AP96" i="3"/>
  <c r="AP97" i="3"/>
  <c r="AP98" i="3"/>
  <c r="AP100" i="3"/>
  <c r="AP101" i="3"/>
  <c r="AP102" i="3"/>
  <c r="AP104" i="3"/>
  <c r="AP106" i="3"/>
  <c r="AP109" i="3"/>
  <c r="AP111" i="3"/>
  <c r="AP112" i="3"/>
  <c r="AP113" i="3"/>
  <c r="AP114" i="3"/>
  <c r="AP115" i="3"/>
  <c r="AP117" i="3"/>
  <c r="AP118" i="3"/>
  <c r="AP120" i="3"/>
  <c r="AP122" i="3"/>
  <c r="AP124" i="3"/>
  <c r="AP126" i="3"/>
  <c r="AP127" i="3"/>
  <c r="AP128" i="3"/>
  <c r="AP129" i="3"/>
  <c r="AP130" i="3"/>
  <c r="AP131" i="3"/>
  <c r="AP132" i="3"/>
  <c r="AP133" i="3"/>
  <c r="AP137" i="3"/>
  <c r="AP138" i="3"/>
  <c r="AP139" i="3"/>
  <c r="AP140" i="3"/>
  <c r="AP141" i="3"/>
  <c r="AP142" i="3"/>
  <c r="AP143" i="3"/>
  <c r="AP144" i="3"/>
  <c r="AP145" i="3"/>
  <c r="AP150" i="3"/>
  <c r="AP152" i="3"/>
  <c r="AP155" i="3"/>
  <c r="AP156" i="3"/>
  <c r="AP157" i="3"/>
  <c r="AP158" i="3"/>
  <c r="AP159" i="3"/>
  <c r="AP160" i="3"/>
  <c r="AP162" i="3"/>
  <c r="AP163" i="3"/>
  <c r="AP164" i="3"/>
  <c r="AP167" i="3"/>
  <c r="AP170" i="3"/>
  <c r="AP172" i="3"/>
  <c r="AP173" i="3"/>
  <c r="AP175" i="3"/>
  <c r="AP176" i="3"/>
  <c r="AP177" i="3"/>
  <c r="AP180" i="3"/>
  <c r="AP181" i="3"/>
  <c r="AP185" i="3"/>
  <c r="AP186" i="3"/>
  <c r="AP188" i="3"/>
  <c r="AP189" i="3"/>
  <c r="AP192" i="3"/>
  <c r="AP195" i="3"/>
  <c r="AP196" i="3"/>
  <c r="AP197" i="3"/>
  <c r="AP201" i="3"/>
  <c r="AP203" i="3"/>
  <c r="AP204" i="3"/>
  <c r="AP206" i="3"/>
  <c r="AP207" i="3"/>
  <c r="AP208" i="3"/>
  <c r="AP209" i="3"/>
  <c r="AP210" i="3"/>
  <c r="AP211" i="3"/>
  <c r="AP212" i="3"/>
  <c r="AP213" i="3"/>
  <c r="AP216" i="3"/>
  <c r="AP217" i="3"/>
  <c r="AP219" i="3"/>
  <c r="AP220" i="3"/>
  <c r="AP221" i="3"/>
  <c r="AP222" i="3"/>
  <c r="AP223" i="3"/>
  <c r="AP224" i="3"/>
  <c r="AP228" i="3"/>
  <c r="AP229" i="3"/>
  <c r="AP241" i="3"/>
  <c r="AP245" i="3"/>
  <c r="AP252" i="3"/>
  <c r="AP254" i="3"/>
  <c r="AP256" i="3"/>
  <c r="AP257" i="3"/>
  <c r="AP258" i="3"/>
  <c r="AP259" i="3"/>
  <c r="AP260" i="3"/>
  <c r="AP261" i="3"/>
  <c r="AP264" i="3"/>
  <c r="AP265" i="3"/>
  <c r="AP266" i="3"/>
  <c r="AP269" i="3"/>
  <c r="AP270" i="3"/>
  <c r="AP271" i="3"/>
  <c r="AP272" i="3"/>
  <c r="AP273" i="3"/>
  <c r="AP274" i="3"/>
  <c r="AP275" i="3"/>
  <c r="AP276" i="3"/>
  <c r="AP278" i="3"/>
  <c r="AP282" i="3"/>
  <c r="AP283" i="3"/>
  <c r="AP285" i="3"/>
  <c r="AP286" i="3"/>
  <c r="AP287" i="3"/>
  <c r="AP290" i="3"/>
  <c r="AP291" i="3"/>
  <c r="AP292" i="3"/>
  <c r="AP294" i="3"/>
  <c r="AP296" i="3"/>
  <c r="AP297" i="3"/>
  <c r="AP298" i="3"/>
  <c r="AP301" i="3"/>
  <c r="AP302" i="3"/>
  <c r="AP305" i="3"/>
  <c r="AP306" i="3"/>
  <c r="AP307" i="3"/>
  <c r="AP308" i="3"/>
  <c r="AP309" i="3"/>
  <c r="AP310" i="3"/>
  <c r="AP311" i="3"/>
  <c r="AP313" i="3"/>
  <c r="AP315" i="3"/>
  <c r="AP316" i="3"/>
  <c r="AP317" i="3"/>
  <c r="AP320" i="3"/>
  <c r="AP321" i="3"/>
  <c r="AP324" i="3"/>
  <c r="AP327" i="3"/>
  <c r="AP328" i="3"/>
  <c r="AP329" i="3"/>
  <c r="AP330" i="3"/>
  <c r="AP331" i="3"/>
  <c r="AP333" i="3"/>
  <c r="AP336" i="3"/>
  <c r="AP337" i="3"/>
  <c r="AP338" i="3"/>
  <c r="AP339" i="3"/>
  <c r="AP340" i="3"/>
  <c r="AP341" i="3"/>
  <c r="AP342" i="3"/>
  <c r="AP344" i="3"/>
  <c r="AP345" i="3"/>
  <c r="AP347" i="3"/>
  <c r="AP348" i="3"/>
  <c r="AP349" i="3"/>
  <c r="AP351" i="3"/>
  <c r="AP352" i="3"/>
  <c r="AP353" i="3"/>
  <c r="AP354" i="3"/>
  <c r="AP356" i="3"/>
  <c r="AP358" i="3"/>
  <c r="AP359" i="3"/>
  <c r="AP361" i="3"/>
  <c r="AP362" i="3"/>
  <c r="AP364" i="3"/>
  <c r="AP366" i="3"/>
  <c r="AP367" i="3"/>
  <c r="AP369" i="3"/>
  <c r="AP372" i="3"/>
  <c r="AP379" i="3"/>
  <c r="AP381" i="3"/>
  <c r="AP382" i="3"/>
  <c r="AP383" i="3"/>
  <c r="AP386" i="3"/>
  <c r="AP387" i="3"/>
  <c r="AP389" i="3"/>
  <c r="AP391" i="3"/>
  <c r="AP392" i="3"/>
  <c r="AP393" i="3"/>
  <c r="AP395" i="3"/>
  <c r="AP396" i="3"/>
  <c r="AP397" i="3"/>
  <c r="AP398" i="3"/>
  <c r="AP399" i="3"/>
  <c r="AP400" i="3"/>
  <c r="AP401" i="3"/>
  <c r="AP402" i="3"/>
  <c r="AP403" i="3"/>
  <c r="AP404" i="3"/>
  <c r="AP405" i="3"/>
  <c r="AP407" i="3"/>
  <c r="AP409" i="3"/>
  <c r="AP410" i="3"/>
  <c r="AP411" i="3"/>
  <c r="AP412" i="3"/>
  <c r="AP413" i="3"/>
  <c r="AP415" i="3"/>
  <c r="AP416" i="3"/>
  <c r="AP417" i="3"/>
  <c r="AP418" i="3"/>
  <c r="AP419" i="3"/>
  <c r="AP420" i="3"/>
  <c r="AP421" i="3"/>
  <c r="AP422" i="3"/>
  <c r="AP423" i="3"/>
  <c r="AP424" i="3"/>
  <c r="AP426" i="3"/>
  <c r="AP427" i="3"/>
  <c r="AP428" i="3"/>
  <c r="AP430" i="3"/>
  <c r="AP431" i="3"/>
  <c r="AP434" i="3"/>
  <c r="AP436" i="3"/>
  <c r="AP437" i="3"/>
  <c r="AP438" i="3"/>
  <c r="AP439" i="3"/>
  <c r="AP440" i="3"/>
  <c r="AP444" i="3"/>
  <c r="AP445" i="3"/>
  <c r="AP446" i="3"/>
  <c r="AP448" i="3"/>
  <c r="AP449" i="3"/>
  <c r="AP450" i="3"/>
  <c r="AP451" i="3"/>
  <c r="AP454" i="3"/>
  <c r="AP455" i="3"/>
  <c r="AP456" i="3"/>
  <c r="AP457" i="3"/>
  <c r="AP458" i="3"/>
  <c r="AP459" i="3"/>
  <c r="AP460" i="3"/>
  <c r="AP461" i="3"/>
  <c r="AP463" i="3"/>
  <c r="AP464" i="3"/>
  <c r="AP465" i="3"/>
  <c r="AP466" i="3"/>
  <c r="AP467" i="3"/>
  <c r="AP468" i="3"/>
  <c r="AP469" i="3"/>
  <c r="AP470" i="3"/>
  <c r="AP471" i="3"/>
  <c r="AP474" i="3"/>
  <c r="AP475" i="3"/>
  <c r="AP476" i="3"/>
  <c r="AP477" i="3"/>
  <c r="AP478" i="3"/>
  <c r="AP479" i="3"/>
  <c r="AP483" i="3"/>
  <c r="AP484" i="3"/>
  <c r="AP485" i="3"/>
  <c r="AP486" i="3"/>
  <c r="AP487" i="3"/>
  <c r="AP488" i="3"/>
  <c r="AP489" i="3"/>
  <c r="AP490" i="3"/>
  <c r="AP492" i="3"/>
  <c r="AP493" i="3"/>
  <c r="AP494" i="3"/>
  <c r="AP496" i="3"/>
  <c r="AP497" i="3"/>
  <c r="AP499" i="3"/>
  <c r="AP504" i="3"/>
  <c r="AP505" i="3"/>
  <c r="AP506" i="3"/>
  <c r="AP507" i="3"/>
  <c r="AP508" i="3"/>
  <c r="AP509" i="3"/>
  <c r="AP510" i="3"/>
  <c r="AP511" i="3"/>
  <c r="AP514" i="3"/>
  <c r="AP515" i="3"/>
  <c r="AP516" i="3"/>
  <c r="AP518" i="3"/>
  <c r="AP519" i="3"/>
  <c r="AP520" i="3"/>
  <c r="AP521" i="3"/>
  <c r="AP522" i="3"/>
  <c r="AP524" i="3"/>
  <c r="AP528" i="3"/>
  <c r="AP529" i="3"/>
  <c r="AP531" i="3"/>
  <c r="AP533" i="3"/>
  <c r="AP536" i="3"/>
  <c r="AP537" i="3"/>
  <c r="AP538" i="3"/>
  <c r="AP542" i="3"/>
  <c r="AP544" i="3"/>
  <c r="AP545" i="3"/>
  <c r="AP547" i="3"/>
  <c r="AP549" i="3"/>
  <c r="AP552" i="3"/>
  <c r="AP554" i="3"/>
  <c r="AP555" i="3"/>
  <c r="AP556" i="3"/>
  <c r="AP557" i="3"/>
  <c r="AP558" i="3"/>
  <c r="AP559" i="3"/>
  <c r="AP563" i="3"/>
  <c r="AP565" i="3"/>
  <c r="AP567" i="3"/>
  <c r="AP568" i="3"/>
  <c r="AP570" i="3"/>
  <c r="AP573" i="3"/>
  <c r="AP574" i="3"/>
  <c r="AP575" i="3"/>
  <c r="AP576" i="3"/>
  <c r="AP577" i="3"/>
  <c r="AP579" i="3"/>
  <c r="AP580" i="3"/>
  <c r="AP582" i="3"/>
  <c r="AP583" i="3"/>
  <c r="AP584" i="3"/>
  <c r="AP585" i="3"/>
  <c r="AP587" i="3"/>
  <c r="AP588" i="3"/>
  <c r="AP589" i="3"/>
  <c r="AP590" i="3"/>
  <c r="AP593" i="3"/>
  <c r="AP594" i="3"/>
  <c r="AP595" i="3"/>
  <c r="AP597" i="3"/>
  <c r="AP599" i="3"/>
  <c r="AP600" i="3"/>
  <c r="AP602" i="3"/>
  <c r="AP603" i="3"/>
  <c r="AP604" i="3"/>
  <c r="AP605" i="3"/>
  <c r="AP606" i="3"/>
  <c r="AP608" i="3"/>
  <c r="AP609" i="3"/>
  <c r="AP610" i="3"/>
  <c r="AP611" i="3"/>
  <c r="AP612" i="3"/>
  <c r="AP613" i="3"/>
  <c r="AP614" i="3"/>
  <c r="AP618" i="3"/>
  <c r="AP620" i="3"/>
  <c r="AP635" i="3"/>
  <c r="AP637" i="3"/>
  <c r="AP638" i="3"/>
  <c r="AP640" i="3"/>
  <c r="AP641" i="3"/>
  <c r="AP642" i="3"/>
  <c r="AP644" i="3"/>
  <c r="AP646" i="3"/>
  <c r="AP647" i="3"/>
  <c r="AP648" i="3"/>
  <c r="AP649" i="3"/>
  <c r="AP652" i="3"/>
  <c r="AP653" i="3"/>
  <c r="AP655" i="3"/>
  <c r="AP658" i="3"/>
  <c r="AP660" i="3"/>
  <c r="AP661" i="3"/>
  <c r="AP662" i="3"/>
  <c r="AP663" i="3"/>
  <c r="AP664" i="3"/>
  <c r="AP665" i="3"/>
  <c r="AP666" i="3"/>
  <c r="AP667" i="3"/>
  <c r="AP668" i="3"/>
  <c r="AP669" i="3"/>
  <c r="AP670" i="3"/>
  <c r="AP671" i="3"/>
  <c r="AP674" i="3"/>
  <c r="AP676" i="3"/>
  <c r="AP678" i="3"/>
  <c r="AP679" i="3"/>
  <c r="AP680" i="3"/>
  <c r="AP681" i="3"/>
  <c r="AP682" i="3"/>
  <c r="AP683" i="3"/>
  <c r="AP686" i="3"/>
  <c r="AP687" i="3"/>
  <c r="AP691" i="3"/>
  <c r="AP692" i="3"/>
  <c r="AP693" i="3"/>
  <c r="AP696" i="3"/>
  <c r="AP697" i="3"/>
  <c r="AP698" i="3"/>
  <c r="AP699" i="3"/>
  <c r="AP703" i="3"/>
  <c r="AP704" i="3"/>
  <c r="AP705" i="3"/>
  <c r="AP706" i="3"/>
  <c r="AP707" i="3"/>
  <c r="AP708" i="3"/>
  <c r="AP709" i="3"/>
  <c r="AP710" i="3"/>
  <c r="AP712" i="3"/>
  <c r="AP713" i="3"/>
  <c r="AP716" i="3"/>
  <c r="AP717" i="3"/>
  <c r="AP719" i="3"/>
  <c r="AP721" i="3"/>
  <c r="AP724" i="3"/>
  <c r="AP725" i="3"/>
  <c r="AP726" i="3"/>
  <c r="AP727" i="3"/>
  <c r="AP728" i="3"/>
  <c r="AP729" i="3"/>
  <c r="AP730" i="3"/>
  <c r="AP731" i="3"/>
  <c r="AP733" i="3"/>
  <c r="AP736" i="3"/>
  <c r="AP737" i="3"/>
  <c r="AP739" i="3"/>
  <c r="AP740" i="3"/>
  <c r="AP742" i="3"/>
  <c r="AP744" i="3"/>
  <c r="AP746" i="3"/>
  <c r="AP748" i="3"/>
  <c r="AP750" i="3"/>
  <c r="AP751" i="3"/>
  <c r="AP753" i="3"/>
  <c r="AP754" i="3"/>
  <c r="AP756" i="3"/>
  <c r="AP757" i="3"/>
  <c r="AP760" i="3"/>
  <c r="AP763" i="3"/>
  <c r="AP765" i="3"/>
  <c r="AP766" i="3"/>
  <c r="AP767" i="3"/>
  <c r="AP768" i="3"/>
  <c r="AP769" i="3"/>
  <c r="AP771" i="3"/>
  <c r="AP772" i="3"/>
  <c r="AP773" i="3"/>
  <c r="AP774" i="3"/>
  <c r="AP776" i="3"/>
  <c r="AP777" i="3"/>
  <c r="AP781" i="3"/>
  <c r="AP784" i="3"/>
  <c r="AP786" i="3"/>
  <c r="AP787" i="3"/>
  <c r="AP788" i="3"/>
  <c r="AP789" i="3"/>
  <c r="AP791" i="3"/>
  <c r="AP792" i="3"/>
  <c r="AP793" i="3"/>
  <c r="AP798" i="3"/>
  <c r="AP799" i="3"/>
  <c r="AP800" i="3"/>
  <c r="AP802" i="3"/>
  <c r="AP803" i="3"/>
  <c r="AP804" i="3"/>
  <c r="AP805" i="3"/>
  <c r="AP807" i="3"/>
  <c r="AP808" i="3"/>
  <c r="AP809" i="3"/>
  <c r="AP810" i="3"/>
  <c r="AP811" i="3"/>
  <c r="AP812" i="3"/>
  <c r="AP813" i="3"/>
  <c r="AP814" i="3"/>
  <c r="AP815" i="3"/>
  <c r="AP816" i="3"/>
  <c r="AP817" i="3"/>
  <c r="AP820" i="3"/>
  <c r="AP824" i="3"/>
  <c r="AP825" i="3"/>
  <c r="AP826" i="3"/>
  <c r="AP827" i="3"/>
  <c r="AP828" i="3"/>
  <c r="AP829" i="3"/>
  <c r="AP831" i="3"/>
  <c r="AP832" i="3"/>
  <c r="AP835" i="3"/>
  <c r="AP836" i="3"/>
  <c r="AP839" i="3"/>
  <c r="AP841" i="3"/>
  <c r="AP842" i="3"/>
  <c r="AP843" i="3"/>
  <c r="AP844" i="3"/>
  <c r="AP846" i="3"/>
  <c r="AP848" i="3"/>
  <c r="AP850" i="3"/>
  <c r="AP852" i="3"/>
  <c r="AP854" i="3"/>
  <c r="AP855" i="3"/>
  <c r="AP856" i="3"/>
  <c r="AP858" i="3"/>
  <c r="AP862" i="3"/>
  <c r="AP863" i="3"/>
  <c r="AP865" i="3"/>
  <c r="AP866" i="3"/>
  <c r="AP872" i="3"/>
  <c r="AP873" i="3"/>
  <c r="AP874" i="3"/>
  <c r="AP877" i="3"/>
  <c r="AP878" i="3"/>
  <c r="AP879" i="3"/>
  <c r="AP881" i="3"/>
  <c r="AP882" i="3"/>
  <c r="AP884" i="3"/>
  <c r="AP885" i="3"/>
  <c r="AP886" i="3"/>
  <c r="AP889" i="3"/>
  <c r="AP891" i="3"/>
  <c r="AP893" i="3"/>
  <c r="AP894" i="3"/>
  <c r="AP896" i="3"/>
  <c r="AP897" i="3"/>
  <c r="AP898" i="3"/>
  <c r="AP899" i="3"/>
  <c r="AP900" i="3"/>
  <c r="AP901" i="3"/>
  <c r="AP903" i="3"/>
  <c r="AP905" i="3"/>
  <c r="AP906" i="3"/>
  <c r="AP907" i="3"/>
  <c r="AP912" i="3"/>
  <c r="AP913" i="3"/>
  <c r="AP914" i="3"/>
  <c r="AP915" i="3"/>
  <c r="AP916" i="3"/>
  <c r="AP918" i="3"/>
  <c r="AP920" i="3"/>
  <c r="AP921" i="3"/>
  <c r="AP923" i="3"/>
  <c r="AP925" i="3"/>
  <c r="AP926" i="3"/>
  <c r="AP927" i="3"/>
  <c r="AP928" i="3"/>
  <c r="AP930" i="3"/>
  <c r="AP931" i="3"/>
  <c r="AP934" i="3"/>
  <c r="AP935" i="3"/>
  <c r="AP936" i="3"/>
  <c r="AP937" i="3"/>
  <c r="AP939" i="3"/>
  <c r="AP940" i="3"/>
  <c r="AP941" i="3"/>
  <c r="AP945" i="3"/>
  <c r="AP946" i="3"/>
  <c r="AP950" i="3"/>
  <c r="AP956" i="3"/>
  <c r="AP958" i="3"/>
  <c r="AP963" i="3"/>
  <c r="AP964" i="3"/>
  <c r="AP965" i="3"/>
  <c r="AP968" i="3"/>
  <c r="AP969" i="3"/>
  <c r="AP970" i="3"/>
  <c r="AP971" i="3"/>
  <c r="AP972" i="3"/>
  <c r="AP973" i="3"/>
  <c r="AP975" i="3"/>
  <c r="AP978" i="3"/>
  <c r="AP980" i="3"/>
  <c r="AP984" i="3"/>
  <c r="AP985" i="3"/>
  <c r="AP986" i="3"/>
  <c r="AP987" i="3"/>
  <c r="AP988" i="3"/>
  <c r="AP989" i="3"/>
  <c r="AP990" i="3"/>
  <c r="AP991" i="3"/>
  <c r="AP992" i="3"/>
  <c r="AP993" i="3"/>
  <c r="AP994" i="3"/>
  <c r="AP996" i="3"/>
  <c r="AP999" i="3"/>
  <c r="AP1000" i="3"/>
  <c r="AP1001" i="3"/>
  <c r="AP1004" i="3"/>
  <c r="AP1005" i="3"/>
  <c r="AP1007" i="3"/>
  <c r="AP1008" i="3"/>
  <c r="AP1009" i="3"/>
  <c r="AP1010" i="3"/>
  <c r="AP1011" i="3"/>
  <c r="AP1013" i="3"/>
  <c r="AP1014" i="3"/>
  <c r="AP1015" i="3"/>
  <c r="AP1017" i="3"/>
  <c r="AP1018" i="3"/>
  <c r="AP1019" i="3"/>
  <c r="AP1021" i="3"/>
  <c r="AP1025" i="3"/>
  <c r="AP1028" i="3"/>
  <c r="AP1029" i="3"/>
  <c r="AP1030" i="3"/>
  <c r="AP1031" i="3"/>
  <c r="AP1033" i="3"/>
  <c r="AP1035" i="3"/>
  <c r="AP1036" i="3"/>
  <c r="AP1037" i="3"/>
  <c r="AP1039" i="3"/>
  <c r="AP1040" i="3"/>
  <c r="AP1042" i="3"/>
  <c r="AP1043" i="3"/>
  <c r="AP1045" i="3"/>
  <c r="AP1046" i="3"/>
  <c r="AP1049" i="3"/>
  <c r="AP1050" i="3"/>
  <c r="AP1052" i="3"/>
  <c r="AP1053" i="3"/>
  <c r="AP1057" i="3"/>
  <c r="AP1059" i="3"/>
  <c r="AP1060" i="3"/>
  <c r="AP1063" i="3"/>
  <c r="AP1068" i="3"/>
  <c r="AP1069" i="3"/>
  <c r="AP1070" i="3"/>
  <c r="AP1071" i="3"/>
  <c r="AP1075" i="3"/>
  <c r="AP1076" i="3"/>
  <c r="AP1077" i="3"/>
  <c r="AP1078" i="3"/>
  <c r="AP1081" i="3"/>
  <c r="AP1082" i="3"/>
  <c r="AP1084" i="3"/>
  <c r="AP1085" i="3"/>
  <c r="AP1086" i="3"/>
  <c r="AP1087" i="3"/>
  <c r="AP1088" i="3"/>
  <c r="AP1090" i="3"/>
  <c r="AP1091" i="3"/>
  <c r="AP1093" i="3"/>
  <c r="AP1095" i="3"/>
  <c r="AP1097" i="3"/>
  <c r="AP1099" i="3"/>
  <c r="AP1100" i="3"/>
  <c r="AP1101" i="3"/>
  <c r="AP1102" i="3"/>
  <c r="AP1105" i="3"/>
  <c r="AP1106" i="3"/>
  <c r="AP1107" i="3"/>
  <c r="AP1108" i="3"/>
  <c r="AP1109" i="3"/>
  <c r="AP1110" i="3"/>
  <c r="AP1111" i="3"/>
  <c r="AP1112" i="3"/>
  <c r="AP1113" i="3"/>
  <c r="AP1114" i="3"/>
  <c r="AP1115" i="3"/>
  <c r="AP1117" i="3"/>
  <c r="AP1118" i="3"/>
  <c r="AP1119" i="3"/>
  <c r="AP1121" i="3"/>
  <c r="AP1122" i="3"/>
  <c r="AP1125" i="3"/>
  <c r="AP1127" i="3"/>
  <c r="AP1128" i="3"/>
  <c r="AP1129" i="3"/>
  <c r="AP1133" i="3"/>
  <c r="AP1135" i="3"/>
  <c r="AP1137" i="3"/>
  <c r="AP1138" i="3"/>
  <c r="AP1139" i="3"/>
  <c r="AP1141" i="3"/>
  <c r="AP1142" i="3"/>
  <c r="AP1144" i="3"/>
  <c r="AP1145" i="3"/>
  <c r="AP1146" i="3"/>
  <c r="AP1147" i="3"/>
  <c r="AP1148" i="3"/>
  <c r="AP1149" i="3"/>
  <c r="AP1150" i="3"/>
  <c r="AP1151" i="3"/>
  <c r="AP1154" i="3"/>
  <c r="AP1155" i="3"/>
  <c r="AP1156" i="3"/>
  <c r="AP1157" i="3"/>
  <c r="AP1159" i="3"/>
  <c r="AP1163" i="3"/>
  <c r="AP1165" i="3"/>
  <c r="AP1166" i="3"/>
  <c r="AP1167" i="3"/>
  <c r="AP1168" i="3"/>
  <c r="AP1169" i="3"/>
  <c r="AP1171" i="3"/>
  <c r="AP1172" i="3"/>
  <c r="AP1176" i="3"/>
  <c r="AP1177" i="3"/>
  <c r="AP1180" i="3"/>
  <c r="AP1185" i="3"/>
  <c r="AP1186" i="3"/>
  <c r="AP1187" i="3"/>
  <c r="AP1190" i="3"/>
  <c r="AP1193" i="3"/>
  <c r="AP1194" i="3"/>
  <c r="AP1196" i="3"/>
  <c r="AP1197" i="3"/>
  <c r="AP1200" i="3"/>
  <c r="AP1201" i="3"/>
  <c r="AP1203" i="3"/>
  <c r="AP1204" i="3"/>
  <c r="AP1205" i="3"/>
  <c r="AP1209" i="3"/>
  <c r="AP1210" i="3"/>
  <c r="AP1211" i="3"/>
  <c r="AP1212" i="3"/>
  <c r="AP1213" i="3"/>
  <c r="AP1214" i="3"/>
  <c r="AP1215" i="3"/>
  <c r="AP1217" i="3"/>
  <c r="AP1218" i="3"/>
  <c r="AP1219" i="3"/>
  <c r="AP1221" i="3"/>
  <c r="AP1222" i="3"/>
  <c r="AP1226" i="3"/>
  <c r="AP1228" i="3"/>
  <c r="AP1229" i="3"/>
  <c r="AP1230" i="3"/>
  <c r="AP1231" i="3"/>
  <c r="AP1232" i="3"/>
  <c r="AP1233" i="3"/>
  <c r="AP1234" i="3"/>
  <c r="AP1238" i="3"/>
  <c r="AP1239" i="3"/>
  <c r="AP1244" i="3"/>
  <c r="AP1245" i="3"/>
  <c r="AP1247" i="3"/>
  <c r="AP1248" i="3"/>
  <c r="AP1249" i="3"/>
  <c r="AP1251" i="3"/>
  <c r="AP1252" i="3"/>
  <c r="AP1256" i="3"/>
  <c r="AP1258" i="3"/>
  <c r="AP1261" i="3"/>
  <c r="AP1262" i="3"/>
  <c r="AP1263" i="3"/>
  <c r="AP1265" i="3"/>
  <c r="AP1267" i="3"/>
  <c r="AP1270" i="3"/>
  <c r="AP1271" i="3"/>
  <c r="AP1274" i="3"/>
  <c r="AP1275" i="3"/>
  <c r="AP1276" i="3"/>
  <c r="AP1277" i="3"/>
  <c r="AP1278" i="3"/>
  <c r="AP1280" i="3"/>
  <c r="AP1281" i="3"/>
  <c r="AP1282" i="3"/>
  <c r="AP1284" i="3"/>
  <c r="AP1285" i="3"/>
  <c r="AP1286" i="3"/>
  <c r="AP1287" i="3"/>
  <c r="AP1288" i="3"/>
  <c r="AP1289" i="3"/>
  <c r="AP1291" i="3"/>
  <c r="AP1293" i="3"/>
  <c r="AP1294" i="3"/>
  <c r="AP1296" i="3"/>
  <c r="AP1297" i="3"/>
  <c r="AP1300" i="3"/>
  <c r="AP1301" i="3"/>
  <c r="AP1304" i="3"/>
  <c r="AP1305" i="3"/>
  <c r="AP1307" i="3"/>
  <c r="AP1308" i="3"/>
  <c r="AP1311" i="3"/>
  <c r="AP1313" i="3"/>
  <c r="AP1314" i="3"/>
  <c r="AP1315" i="3"/>
  <c r="AP1316" i="3"/>
  <c r="AP1317" i="3"/>
  <c r="AP1318" i="3"/>
  <c r="AP1319" i="3"/>
  <c r="AP1320" i="3"/>
  <c r="AP1321" i="3"/>
  <c r="AP1323" i="3"/>
  <c r="AP1324" i="3"/>
  <c r="AP1326" i="3"/>
  <c r="AP1328" i="3"/>
  <c r="AP1330" i="3"/>
  <c r="AP1331" i="3"/>
  <c r="AP1332" i="3"/>
  <c r="AP1333" i="3"/>
  <c r="AP1334" i="3"/>
  <c r="AP1338" i="3"/>
  <c r="AP1339" i="3"/>
  <c r="AP1340" i="3"/>
  <c r="AP1341" i="3"/>
  <c r="AP1342" i="3"/>
  <c r="AP1343" i="3"/>
  <c r="AP1344" i="3"/>
  <c r="AP1346" i="3"/>
  <c r="AP1349" i="3"/>
  <c r="AP1350" i="3"/>
  <c r="AP1352" i="3"/>
  <c r="AP1355" i="3"/>
  <c r="AP1356" i="3"/>
  <c r="AP1358" i="3"/>
  <c r="AP1359" i="3"/>
  <c r="AP1362" i="3"/>
  <c r="AP1363" i="3"/>
  <c r="AP1364" i="3"/>
  <c r="AP1365" i="3"/>
  <c r="AP1366" i="3"/>
  <c r="AP1367" i="3"/>
  <c r="AP1370" i="3"/>
  <c r="AP1371" i="3"/>
  <c r="AP1372" i="3"/>
  <c r="AP1373" i="3"/>
  <c r="AP1374" i="3"/>
  <c r="AP1375" i="3"/>
  <c r="AP1377" i="3"/>
  <c r="AP1378" i="3"/>
  <c r="AP1381" i="3"/>
  <c r="AP1382" i="3"/>
  <c r="AP1384" i="3"/>
  <c r="AP1385" i="3"/>
  <c r="AP1389" i="3"/>
  <c r="AP1391" i="3"/>
  <c r="AP1392" i="3"/>
  <c r="AP1393" i="3"/>
  <c r="AP1395" i="3"/>
  <c r="AP1398" i="3"/>
  <c r="AP1399" i="3"/>
  <c r="AP1400" i="3"/>
  <c r="AP1401" i="3"/>
  <c r="AP1402" i="3"/>
  <c r="AP1403" i="3"/>
  <c r="AP1404" i="3"/>
  <c r="AP1407" i="3"/>
  <c r="AP1408" i="3"/>
  <c r="AP1409" i="3"/>
  <c r="AP1412" i="3"/>
  <c r="AP1413" i="3"/>
  <c r="AP1414" i="3"/>
  <c r="AP1415" i="3"/>
  <c r="AP1416" i="3"/>
  <c r="AP1418" i="3"/>
  <c r="AP1420" i="3"/>
  <c r="AP1421" i="3"/>
  <c r="AP1423" i="3"/>
  <c r="AP1424" i="3"/>
  <c r="AP1426" i="3"/>
  <c r="AP1429" i="3"/>
  <c r="AP1431" i="3"/>
  <c r="AP1433" i="3"/>
  <c r="AP1434" i="3"/>
  <c r="AP1435" i="3"/>
  <c r="AP1436" i="3"/>
  <c r="AP1438" i="3"/>
  <c r="AP1439" i="3"/>
  <c r="AP1440" i="3"/>
  <c r="AP1442" i="3"/>
  <c r="AP1443" i="3"/>
  <c r="AP1444" i="3"/>
  <c r="AP1445" i="3"/>
  <c r="AP1446" i="3"/>
  <c r="AP1447" i="3"/>
  <c r="AP1448" i="3"/>
  <c r="AP1449" i="3"/>
  <c r="AP1450" i="3"/>
  <c r="AP1451" i="3"/>
  <c r="AP1452" i="3"/>
  <c r="AP1453" i="3"/>
  <c r="AP1455" i="3"/>
  <c r="AP1456" i="3"/>
  <c r="AP1459" i="3"/>
  <c r="AP1462" i="3"/>
  <c r="AP1469" i="3"/>
  <c r="AP1470" i="3"/>
  <c r="AP1471" i="3"/>
  <c r="AP1473" i="3"/>
  <c r="AP1474" i="3"/>
  <c r="AP1476" i="3"/>
  <c r="AP1477" i="3"/>
  <c r="AP1478" i="3"/>
  <c r="AP1480" i="3"/>
  <c r="AP1481" i="3"/>
  <c r="AP1482" i="3"/>
  <c r="AP1483" i="3"/>
  <c r="AP1484" i="3"/>
  <c r="AP1485" i="3"/>
  <c r="AP1488" i="3"/>
  <c r="AP1489" i="3"/>
  <c r="AP1491" i="3"/>
  <c r="AP1492" i="3"/>
  <c r="AP1493" i="3"/>
  <c r="AP1494" i="3"/>
  <c r="AP1495" i="3"/>
  <c r="AP1496" i="3"/>
  <c r="AP1498" i="3"/>
  <c r="AP1500" i="3"/>
  <c r="AP1501" i="3"/>
  <c r="AP1503" i="3"/>
  <c r="AP1504" i="3"/>
  <c r="AP1505" i="3"/>
  <c r="AP1509" i="3"/>
  <c r="AP1510" i="3"/>
  <c r="AP1511" i="3"/>
  <c r="AP1513" i="3"/>
  <c r="AP1516" i="3"/>
  <c r="AP1517" i="3"/>
  <c r="AP1518" i="3"/>
  <c r="AP1519" i="3"/>
  <c r="AP1520" i="3"/>
  <c r="AP1521" i="3"/>
  <c r="AP1523" i="3"/>
  <c r="AP1526" i="3"/>
  <c r="AP1527" i="3"/>
  <c r="AP1528" i="3"/>
  <c r="AP1529" i="3"/>
  <c r="AP1530" i="3"/>
  <c r="AP1531" i="3"/>
  <c r="AP1539" i="3"/>
  <c r="AP1540" i="3"/>
  <c r="AP1541" i="3"/>
  <c r="AP1544" i="3"/>
  <c r="AP1545" i="3"/>
  <c r="AP1546" i="3"/>
  <c r="AP1549" i="3"/>
  <c r="AP1550" i="3"/>
  <c r="AP1551" i="3"/>
  <c r="AP1552" i="3"/>
  <c r="AP1553" i="3"/>
  <c r="AP1555" i="3"/>
  <c r="AP1557" i="3"/>
  <c r="AP1558" i="3"/>
  <c r="AP1559" i="3"/>
  <c r="AP1562" i="3"/>
  <c r="AP1563" i="3"/>
  <c r="AP1565" i="3"/>
  <c r="AP1566" i="3"/>
  <c r="AP1568" i="3"/>
  <c r="AP1569" i="3"/>
  <c r="AP1573" i="3"/>
  <c r="AP1574" i="3"/>
  <c r="AP1575" i="3"/>
  <c r="AP1576" i="3"/>
  <c r="AP1578" i="3"/>
  <c r="AP1579" i="3"/>
  <c r="AP1580" i="3"/>
  <c r="AP1581" i="3"/>
  <c r="AP1582" i="3"/>
  <c r="AP1586" i="3"/>
  <c r="AP1588" i="3"/>
  <c r="AP1589" i="3"/>
  <c r="AP1591" i="3"/>
  <c r="AP1593" i="3"/>
  <c r="AP1594" i="3"/>
  <c r="AP1595" i="3"/>
  <c r="AP1597" i="3"/>
  <c r="AP1598" i="3"/>
  <c r="AP1599" i="3"/>
  <c r="AP1600" i="3"/>
  <c r="AP1603" i="3"/>
  <c r="AP1605" i="3"/>
  <c r="AP1606" i="3"/>
  <c r="AP1607" i="3"/>
  <c r="AP1608" i="3"/>
  <c r="AP1610" i="3"/>
  <c r="AP1611" i="3"/>
  <c r="AP1612" i="3"/>
  <c r="AP1613" i="3"/>
  <c r="AP1614" i="3"/>
  <c r="AP1616" i="3"/>
  <c r="AP1617" i="3"/>
  <c r="AP1618" i="3"/>
  <c r="AP1619" i="3"/>
  <c r="AP1620" i="3"/>
  <c r="AP1621" i="3"/>
  <c r="AP1623" i="3"/>
  <c r="AP1624" i="3"/>
  <c r="AP1625" i="3"/>
  <c r="AP1627" i="3"/>
  <c r="AP1628" i="3"/>
  <c r="AP1629" i="3"/>
  <c r="AP1630" i="3"/>
  <c r="AP1631" i="3"/>
  <c r="AP1632" i="3"/>
  <c r="AP1635" i="3"/>
  <c r="AP1636" i="3"/>
  <c r="AP1640" i="3"/>
  <c r="AP1644" i="3"/>
  <c r="AP1645" i="3"/>
  <c r="AP1646" i="3"/>
  <c r="AP1647" i="3"/>
  <c r="AP1648" i="3"/>
  <c r="AP1650" i="3"/>
  <c r="AP1654" i="3"/>
  <c r="AP1655" i="3"/>
  <c r="AP1656" i="3"/>
  <c r="AP1657" i="3"/>
  <c r="AP1658" i="3"/>
  <c r="AP1659" i="3"/>
  <c r="AP1661" i="3"/>
  <c r="AP1662" i="3"/>
  <c r="AP1663" i="3"/>
  <c r="AP1666" i="3"/>
  <c r="AP1667" i="3"/>
  <c r="AP1671" i="3"/>
  <c r="AP1672" i="3"/>
  <c r="AP1674" i="3"/>
  <c r="AP1677" i="3"/>
  <c r="AP1679" i="3"/>
  <c r="AP1682" i="3"/>
  <c r="AP1683" i="3"/>
  <c r="AP1684" i="3"/>
  <c r="AP1685" i="3"/>
  <c r="AP1686" i="3"/>
  <c r="AP1687" i="3"/>
  <c r="AP1688" i="3"/>
  <c r="AP1689" i="3"/>
  <c r="AP1690" i="3"/>
  <c r="AP1691" i="3"/>
  <c r="AP1692" i="3"/>
  <c r="AP1693" i="3"/>
  <c r="AP1694" i="3"/>
  <c r="AP1695" i="3"/>
  <c r="AP1696" i="3"/>
  <c r="AP1698" i="3"/>
  <c r="AP1700" i="3"/>
  <c r="AP1701" i="3"/>
  <c r="AP1705" i="3"/>
  <c r="AP1707" i="3"/>
  <c r="AP1708" i="3"/>
  <c r="AP1709" i="3"/>
  <c r="AP1711" i="3"/>
  <c r="AP1712" i="3"/>
  <c r="AP1713" i="3"/>
  <c r="AP1714" i="3"/>
  <c r="AP1715" i="3"/>
  <c r="AP1716" i="3"/>
  <c r="AP1718" i="3"/>
  <c r="AP1720" i="3"/>
  <c r="AP1722" i="3"/>
  <c r="AP1724" i="3"/>
  <c r="AP1727" i="3"/>
  <c r="AP1731" i="3"/>
  <c r="AP1732" i="3"/>
  <c r="AP1733" i="3"/>
  <c r="AP1736" i="3"/>
  <c r="AP1737" i="3"/>
  <c r="AP1739" i="3"/>
  <c r="AP1740" i="3"/>
  <c r="AP1742" i="3"/>
  <c r="AP1744" i="3"/>
  <c r="AP1745" i="3"/>
  <c r="AP1746" i="3"/>
  <c r="AP1748" i="3"/>
  <c r="AP1751" i="3"/>
  <c r="AP1754" i="3"/>
  <c r="AP1757" i="3"/>
  <c r="AP1758" i="3"/>
  <c r="AP1760" i="3"/>
  <c r="AP1761" i="3"/>
  <c r="AP1762" i="3"/>
  <c r="AP1765" i="3"/>
  <c r="AP1766" i="3"/>
  <c r="AP1767" i="3"/>
  <c r="AP1768" i="3"/>
  <c r="AP1770" i="3"/>
  <c r="AP1771" i="3"/>
  <c r="AP1772" i="3"/>
  <c r="AP1773" i="3"/>
  <c r="AP1776" i="3"/>
  <c r="AP1777" i="3"/>
  <c r="AP1778" i="3"/>
  <c r="AP1779" i="3"/>
  <c r="AP1780" i="3"/>
  <c r="AP1781" i="3"/>
  <c r="AP1786" i="3"/>
  <c r="AP1790" i="3"/>
  <c r="AP1791" i="3"/>
  <c r="AP1793" i="3"/>
  <c r="AP1795" i="3"/>
  <c r="AP1796" i="3"/>
  <c r="AP1798" i="3"/>
  <c r="AP1799" i="3"/>
  <c r="AP1800" i="3"/>
  <c r="AP1803" i="3"/>
  <c r="AP1804" i="3"/>
  <c r="AP1805" i="3"/>
  <c r="AP1807" i="3"/>
  <c r="AP1811" i="3"/>
  <c r="AP1812" i="3"/>
  <c r="AP1813" i="3"/>
  <c r="AP1815" i="3"/>
  <c r="AP1816" i="3"/>
  <c r="AP1819" i="3"/>
  <c r="AP1820" i="3"/>
  <c r="AP1821" i="3"/>
  <c r="AP1822" i="3"/>
  <c r="AP1827" i="3"/>
  <c r="AP1828" i="3"/>
  <c r="AP1829" i="3"/>
  <c r="AP1832" i="3"/>
  <c r="AP1833" i="3"/>
  <c r="AP1834" i="3"/>
  <c r="AP1835" i="3"/>
  <c r="AP1836" i="3"/>
  <c r="AP1838" i="3"/>
  <c r="AP1839" i="3"/>
  <c r="AP1840" i="3"/>
  <c r="AP1841" i="3"/>
  <c r="AP1842" i="3"/>
  <c r="AP1843" i="3"/>
  <c r="AP1844" i="3"/>
  <c r="AP1847" i="3"/>
  <c r="AP1848" i="3"/>
  <c r="AP1850" i="3"/>
  <c r="AP1851" i="3"/>
  <c r="AP1853" i="3"/>
  <c r="AP1856" i="3"/>
  <c r="AP1857" i="3"/>
  <c r="AP1859" i="3"/>
  <c r="AP1861" i="3"/>
  <c r="AP1862" i="3"/>
  <c r="AO344" i="3"/>
  <c r="AO428" i="3"/>
  <c r="AO646" i="3"/>
  <c r="AO981" i="3"/>
  <c r="AO1218" i="3"/>
  <c r="AO1498" i="3"/>
  <c r="AO1672" i="3"/>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1187" i="1"/>
  <c r="AV1188" i="1"/>
  <c r="AV1189" i="1"/>
  <c r="AV1190" i="1"/>
  <c r="AV1191" i="1"/>
  <c r="AV1192" i="1"/>
  <c r="AV1193" i="1"/>
  <c r="AV1194" i="1"/>
  <c r="AV1195" i="1"/>
  <c r="AV1196" i="1"/>
  <c r="AV1197" i="1"/>
  <c r="AV1198" i="1"/>
  <c r="AV1199" i="1"/>
  <c r="AV1200" i="1"/>
  <c r="AV1201" i="1"/>
  <c r="AV1202" i="1"/>
  <c r="AV1203" i="1"/>
  <c r="AV1204" i="1"/>
  <c r="AV1205" i="1"/>
  <c r="AV1206" i="1"/>
  <c r="AV1207" i="1"/>
  <c r="AV1208" i="1"/>
  <c r="AV1209" i="1"/>
  <c r="AV1210" i="1"/>
  <c r="AV1211" i="1"/>
  <c r="AV1212" i="1"/>
  <c r="AV1213" i="1"/>
  <c r="AV1214" i="1"/>
  <c r="AV1215" i="1"/>
  <c r="AV1216" i="1"/>
  <c r="AV1217" i="1"/>
  <c r="AV1218" i="1"/>
  <c r="AV1219" i="1"/>
  <c r="AV1220" i="1"/>
  <c r="AV1221" i="1"/>
  <c r="AV1222" i="1"/>
  <c r="AV1223" i="1"/>
  <c r="AV1224" i="1"/>
  <c r="AV1225" i="1"/>
  <c r="AV1226" i="1"/>
  <c r="AV1227" i="1"/>
  <c r="AV1228" i="1"/>
  <c r="AV1229" i="1"/>
  <c r="AV1230" i="1"/>
  <c r="AV1231" i="1"/>
  <c r="AV1232" i="1"/>
  <c r="AV1233" i="1"/>
  <c r="AV1234" i="1"/>
  <c r="AV1235" i="1"/>
  <c r="AV1236" i="1"/>
  <c r="AV1237" i="1"/>
  <c r="AV1238" i="1"/>
  <c r="AV1239" i="1"/>
  <c r="AV1240" i="1"/>
  <c r="AV1241" i="1"/>
  <c r="AV1242" i="1"/>
  <c r="AV1243" i="1"/>
  <c r="AV1244" i="1"/>
  <c r="AV1245" i="1"/>
  <c r="AV1246" i="1"/>
  <c r="AV1247" i="1"/>
  <c r="AV1248" i="1"/>
  <c r="AV1249" i="1"/>
  <c r="AV1250" i="1"/>
  <c r="AV1251" i="1"/>
  <c r="AV1252" i="1"/>
  <c r="AV1253" i="1"/>
  <c r="AV1254" i="1"/>
  <c r="AV1255" i="1"/>
  <c r="AV1256" i="1"/>
  <c r="AV1257" i="1"/>
  <c r="AV1258" i="1"/>
  <c r="AV1259" i="1"/>
  <c r="AV1260" i="1"/>
  <c r="AV1261" i="1"/>
  <c r="AV1262" i="1"/>
  <c r="AV1263" i="1"/>
  <c r="AV1264" i="1"/>
  <c r="AV1265" i="1"/>
  <c r="AV1266" i="1"/>
  <c r="AV1267" i="1"/>
  <c r="AV1268" i="1"/>
  <c r="AV1269" i="1"/>
  <c r="AV1270" i="1"/>
  <c r="AV1271" i="1"/>
  <c r="AV1272" i="1"/>
  <c r="AV1273" i="1"/>
  <c r="AV1274" i="1"/>
  <c r="AV1275" i="1"/>
  <c r="AV1276" i="1"/>
  <c r="AV1277" i="1"/>
  <c r="AV1278" i="1"/>
  <c r="AV1279" i="1"/>
  <c r="AV1280" i="1"/>
  <c r="AV1281" i="1"/>
  <c r="AV1282" i="1"/>
  <c r="AV1283" i="1"/>
  <c r="AV1284" i="1"/>
  <c r="AV1285" i="1"/>
  <c r="AV1286" i="1"/>
  <c r="AV1287" i="1"/>
  <c r="AV1288" i="1"/>
  <c r="AV1289" i="1"/>
  <c r="AV1290" i="1"/>
  <c r="AV1291" i="1"/>
  <c r="AV1292" i="1"/>
  <c r="AV1293" i="1"/>
  <c r="AV1294" i="1"/>
  <c r="AV1295" i="1"/>
  <c r="AV1296" i="1"/>
  <c r="AV1297" i="1"/>
  <c r="AV1298" i="1"/>
  <c r="AV1299" i="1"/>
  <c r="AV1300" i="1"/>
  <c r="AV1301" i="1"/>
  <c r="AV1302" i="1"/>
  <c r="AV1303" i="1"/>
  <c r="AV1304" i="1"/>
  <c r="AV1305" i="1"/>
  <c r="AV1306" i="1"/>
  <c r="AV1307" i="1"/>
  <c r="AV1308" i="1"/>
  <c r="AV1309" i="1"/>
  <c r="AV1310" i="1"/>
  <c r="AV1311" i="1"/>
  <c r="AV1312" i="1"/>
  <c r="AV1313" i="1"/>
  <c r="AV1314" i="1"/>
  <c r="AV1315" i="1"/>
  <c r="AV1316" i="1"/>
  <c r="AV1317" i="1"/>
  <c r="AV1318" i="1"/>
  <c r="AV1319" i="1"/>
  <c r="AV1320" i="1"/>
  <c r="AV1321" i="1"/>
  <c r="AV1322" i="1"/>
  <c r="AV1323" i="1"/>
  <c r="AV1324" i="1"/>
  <c r="AV1325" i="1"/>
  <c r="AV1326" i="1"/>
  <c r="AV1327" i="1"/>
  <c r="AV1328" i="1"/>
  <c r="AV1329" i="1"/>
  <c r="AV1330" i="1"/>
  <c r="AV1331" i="1"/>
  <c r="AV1332" i="1"/>
  <c r="AV1333" i="1"/>
  <c r="AV1334" i="1"/>
  <c r="AV1335" i="1"/>
  <c r="AV1336" i="1"/>
  <c r="AV1337" i="1"/>
  <c r="AV1338" i="1"/>
  <c r="AV1339" i="1"/>
  <c r="AV1340" i="1"/>
  <c r="AV1341" i="1"/>
  <c r="AV1342" i="1"/>
  <c r="AV1343" i="1"/>
  <c r="AV1344" i="1"/>
  <c r="AV1345" i="1"/>
  <c r="AV1346" i="1"/>
  <c r="AV1347" i="1"/>
  <c r="AV1348" i="1"/>
  <c r="AV1349" i="1"/>
  <c r="AV1350" i="1"/>
  <c r="AV1351" i="1"/>
  <c r="AV1352" i="1"/>
  <c r="AV1353" i="1"/>
  <c r="AV1354" i="1"/>
  <c r="AV1355" i="1"/>
  <c r="AV1356" i="1"/>
  <c r="AV1357" i="1"/>
  <c r="AV1358" i="1"/>
  <c r="AV1359" i="1"/>
  <c r="AV1360" i="1"/>
  <c r="AV1361" i="1"/>
  <c r="AV1362" i="1"/>
  <c r="AV1363" i="1"/>
  <c r="AV1364" i="1"/>
  <c r="AV1365" i="1"/>
  <c r="AV1366" i="1"/>
  <c r="AV1367" i="1"/>
  <c r="AV1368" i="1"/>
  <c r="AV1369" i="1"/>
  <c r="AV1370" i="1"/>
  <c r="AV1371" i="1"/>
  <c r="AV1372" i="1"/>
  <c r="AV1373" i="1"/>
  <c r="AV1374" i="1"/>
  <c r="AV1375" i="1"/>
  <c r="AV1376" i="1"/>
  <c r="AV1377" i="1"/>
  <c r="AV1378" i="1"/>
  <c r="AV1379" i="1"/>
  <c r="AV1380" i="1"/>
  <c r="AV1381" i="1"/>
  <c r="AV1382" i="1"/>
  <c r="AV1383" i="1"/>
  <c r="AV1384" i="1"/>
  <c r="AV1385" i="1"/>
  <c r="AV1386" i="1"/>
  <c r="AV1387" i="1"/>
  <c r="AV1388" i="1"/>
  <c r="AV1389" i="1"/>
  <c r="AV1390" i="1"/>
  <c r="AV1391" i="1"/>
  <c r="AV1392" i="1"/>
  <c r="AV1393" i="1"/>
  <c r="AV1394" i="1"/>
  <c r="AV1395" i="1"/>
  <c r="AV1396" i="1"/>
  <c r="AV1397" i="1"/>
  <c r="AV1398" i="1"/>
  <c r="AV1399" i="1"/>
  <c r="AV1400" i="1"/>
  <c r="AV1401" i="1"/>
  <c r="AV1402" i="1"/>
  <c r="AV1403" i="1"/>
  <c r="AV1404" i="1"/>
  <c r="AV1405" i="1"/>
  <c r="AV1406" i="1"/>
  <c r="AV1407" i="1"/>
  <c r="AV1408" i="1"/>
  <c r="AV1409" i="1"/>
  <c r="AV1410" i="1"/>
  <c r="AV1411" i="1"/>
  <c r="AV1412" i="1"/>
  <c r="AV1413" i="1"/>
  <c r="AV1414" i="1"/>
  <c r="AV1415" i="1"/>
  <c r="AV1416" i="1"/>
  <c r="AV1417" i="1"/>
  <c r="AV1418" i="1"/>
  <c r="AV1419" i="1"/>
  <c r="AV1420" i="1"/>
  <c r="AV1421" i="1"/>
  <c r="AV1422" i="1"/>
  <c r="AV1423" i="1"/>
  <c r="AV1424" i="1"/>
  <c r="AV1425" i="1"/>
  <c r="AV1426" i="1"/>
  <c r="AV1427" i="1"/>
  <c r="AV1428" i="1"/>
  <c r="AV1429" i="1"/>
  <c r="AV1430" i="1"/>
  <c r="AV1431" i="1"/>
  <c r="AV1432" i="1"/>
  <c r="AV1433" i="1"/>
  <c r="AV1434" i="1"/>
  <c r="AV1435" i="1"/>
  <c r="AV1436" i="1"/>
  <c r="AV1437" i="1"/>
  <c r="AV1438" i="1"/>
  <c r="AV1439" i="1"/>
  <c r="AV1440" i="1"/>
  <c r="AV1441" i="1"/>
  <c r="AV1442" i="1"/>
  <c r="AV1443" i="1"/>
  <c r="AV1444" i="1"/>
  <c r="AV1445" i="1"/>
  <c r="AV1446" i="1"/>
  <c r="AV1447" i="1"/>
  <c r="AV1448" i="1"/>
  <c r="AV1449" i="1"/>
  <c r="AV1450" i="1"/>
  <c r="AV1451" i="1"/>
  <c r="AV1452" i="1"/>
  <c r="AV1453" i="1"/>
  <c r="AV1454" i="1"/>
  <c r="AV1455" i="1"/>
  <c r="AV1456" i="1"/>
  <c r="AV1457" i="1"/>
  <c r="AV1458" i="1"/>
  <c r="AV1459" i="1"/>
  <c r="AV1460" i="1"/>
  <c r="AV1461" i="1"/>
  <c r="AV1462" i="1"/>
  <c r="AV1463" i="1"/>
  <c r="AV1464" i="1"/>
  <c r="AV1465" i="1"/>
  <c r="AV1466" i="1"/>
  <c r="AV1467" i="1"/>
  <c r="AV1468" i="1"/>
  <c r="AV1469" i="1"/>
  <c r="AV1470" i="1"/>
  <c r="AV1471" i="1"/>
  <c r="AV1472" i="1"/>
  <c r="AV1473" i="1"/>
  <c r="AV1474" i="1"/>
  <c r="AV1475" i="1"/>
  <c r="AV1476" i="1"/>
  <c r="AV1477" i="1"/>
  <c r="AV1478" i="1"/>
  <c r="AV1479" i="1"/>
  <c r="AV1480" i="1"/>
  <c r="AV1481" i="1"/>
  <c r="AV1482" i="1"/>
  <c r="AV1483" i="1"/>
  <c r="AV1484" i="1"/>
  <c r="AV1485" i="1"/>
  <c r="AV1486" i="1"/>
  <c r="AV1487" i="1"/>
  <c r="AV1488" i="1"/>
  <c r="AV1489" i="1"/>
  <c r="AV1490" i="1"/>
  <c r="AV1491" i="1"/>
  <c r="AV1492" i="1"/>
  <c r="AV1493" i="1"/>
  <c r="AV1494" i="1"/>
  <c r="AV1495" i="1"/>
  <c r="AV1496" i="1"/>
  <c r="AV1497" i="1"/>
  <c r="AV1498" i="1"/>
  <c r="AV1499" i="1"/>
  <c r="AV1500" i="1"/>
  <c r="AV1501" i="1"/>
  <c r="AV1502" i="1"/>
  <c r="AV1503" i="1"/>
  <c r="AV1504" i="1"/>
  <c r="AV1505" i="1"/>
  <c r="AV1506" i="1"/>
  <c r="AV1507" i="1"/>
  <c r="AV1508" i="1"/>
  <c r="AV1509" i="1"/>
  <c r="AV1510" i="1"/>
  <c r="AV1511" i="1"/>
  <c r="AV1512" i="1"/>
  <c r="AV1513" i="1"/>
  <c r="AV1514" i="1"/>
  <c r="AV1515" i="1"/>
  <c r="AV1516" i="1"/>
  <c r="AV1517" i="1"/>
  <c r="AV1518" i="1"/>
  <c r="AV1519" i="1"/>
  <c r="AV1520" i="1"/>
  <c r="AV1521" i="1"/>
  <c r="AV1522" i="1"/>
  <c r="AV1523" i="1"/>
  <c r="AV1524" i="1"/>
  <c r="AV1525" i="1"/>
  <c r="AV1526" i="1"/>
  <c r="AV1527" i="1"/>
  <c r="AV1528" i="1"/>
  <c r="AV1529" i="1"/>
  <c r="AV1530" i="1"/>
  <c r="AV1531" i="1"/>
  <c r="AV1532" i="1"/>
  <c r="AV1533" i="1"/>
  <c r="AV1534" i="1"/>
  <c r="AV1535" i="1"/>
  <c r="AV1536" i="1"/>
  <c r="AV1537" i="1"/>
  <c r="AV1538" i="1"/>
  <c r="AV1539" i="1"/>
  <c r="AV1540" i="1"/>
  <c r="AV1541" i="1"/>
  <c r="AV1542" i="1"/>
  <c r="AV1543" i="1"/>
  <c r="AV1544" i="1"/>
  <c r="AV1545" i="1"/>
  <c r="AV1546" i="1"/>
  <c r="AV1547" i="1"/>
  <c r="AV1548" i="1"/>
  <c r="AV1549" i="1"/>
  <c r="AV1550" i="1"/>
  <c r="AV1551" i="1"/>
  <c r="AV1552" i="1"/>
  <c r="AV1553" i="1"/>
  <c r="AV1554" i="1"/>
  <c r="AV1555" i="1"/>
  <c r="AV1556" i="1"/>
  <c r="AV1557" i="1"/>
  <c r="AV1558" i="1"/>
  <c r="AV1559" i="1"/>
  <c r="AV1560" i="1"/>
  <c r="AV1561" i="1"/>
  <c r="AV1562" i="1"/>
  <c r="AV1563" i="1"/>
  <c r="AV1564" i="1"/>
  <c r="AV1565" i="1"/>
  <c r="AV1566" i="1"/>
  <c r="AV1567" i="1"/>
  <c r="AV1568" i="1"/>
  <c r="AV1569" i="1"/>
  <c r="AV1570" i="1"/>
  <c r="AV1571" i="1"/>
  <c r="AV1572" i="1"/>
  <c r="AV1573" i="1"/>
  <c r="AV1574" i="1"/>
  <c r="AV1575" i="1"/>
  <c r="AV1576" i="1"/>
  <c r="AV1577" i="1"/>
  <c r="AV1578" i="1"/>
  <c r="AV1579" i="1"/>
  <c r="AV1580" i="1"/>
  <c r="AV1581" i="1"/>
  <c r="AV1582" i="1"/>
  <c r="AV1583" i="1"/>
  <c r="AV1584" i="1"/>
  <c r="AV1585" i="1"/>
  <c r="AV1586" i="1"/>
  <c r="AV1587" i="1"/>
  <c r="AV1588" i="1"/>
  <c r="AV1589" i="1"/>
  <c r="AV1590" i="1"/>
  <c r="AV1591" i="1"/>
  <c r="AV1592" i="1"/>
  <c r="AV1593" i="1"/>
  <c r="AV1594" i="1"/>
  <c r="AV1595" i="1"/>
  <c r="AV1596" i="1"/>
  <c r="AV1597" i="1"/>
  <c r="AV1598" i="1"/>
  <c r="AV1599" i="1"/>
  <c r="AV1600" i="1"/>
  <c r="AV1601" i="1"/>
  <c r="AV1602" i="1"/>
  <c r="AV1603" i="1"/>
  <c r="AV1604" i="1"/>
  <c r="AV1605" i="1"/>
  <c r="AV1606" i="1"/>
  <c r="AV1607" i="1"/>
  <c r="AV1608" i="1"/>
  <c r="AV1609" i="1"/>
  <c r="AV1610" i="1"/>
  <c r="AV1611" i="1"/>
  <c r="AV1612" i="1"/>
  <c r="AV1613" i="1"/>
  <c r="AV1614" i="1"/>
  <c r="AV1615" i="1"/>
  <c r="AV1616" i="1"/>
  <c r="AV1617" i="1"/>
  <c r="AV1618" i="1"/>
  <c r="AV1619" i="1"/>
  <c r="AV1620" i="1"/>
  <c r="AV1621" i="1"/>
  <c r="AV1622" i="1"/>
  <c r="AV1623" i="1"/>
  <c r="AV1624" i="1"/>
  <c r="AV1625" i="1"/>
  <c r="AV1626" i="1"/>
  <c r="AV1627" i="1"/>
  <c r="AV1628" i="1"/>
  <c r="AV1629" i="1"/>
  <c r="AV1630" i="1"/>
  <c r="AV1631" i="1"/>
  <c r="AV1632" i="1"/>
  <c r="AV1633" i="1"/>
  <c r="AV1634" i="1"/>
  <c r="AV1635" i="1"/>
  <c r="AV1636" i="1"/>
  <c r="AV1637" i="1"/>
  <c r="AV1638" i="1"/>
  <c r="AV1639" i="1"/>
  <c r="AV1640" i="1"/>
  <c r="AV1641" i="1"/>
  <c r="AV1642" i="1"/>
  <c r="AV1643" i="1"/>
  <c r="AV1644" i="1"/>
  <c r="AV1645" i="1"/>
  <c r="AV1646" i="1"/>
  <c r="AV1647" i="1"/>
  <c r="AV1648" i="1"/>
  <c r="AV1649" i="1"/>
  <c r="AV1650" i="1"/>
  <c r="AV1651" i="1"/>
  <c r="AV1652" i="1"/>
  <c r="AV1653" i="1"/>
  <c r="AV1654" i="1"/>
  <c r="AV1655" i="1"/>
  <c r="AV1656" i="1"/>
  <c r="AV1657" i="1"/>
  <c r="AV1658" i="1"/>
  <c r="AV1659" i="1"/>
  <c r="AV1660" i="1"/>
  <c r="AV1661" i="1"/>
  <c r="AV1662" i="1"/>
  <c r="AV1663" i="1"/>
  <c r="AV1664" i="1"/>
  <c r="AV1665" i="1"/>
  <c r="AV1666" i="1"/>
  <c r="AV1667" i="1"/>
  <c r="AV1668" i="1"/>
  <c r="AV1669" i="1"/>
  <c r="AV1670" i="1"/>
  <c r="AV1671" i="1"/>
  <c r="AV1672" i="1"/>
  <c r="AV1673" i="1"/>
  <c r="AV1674" i="1"/>
  <c r="AV1675" i="1"/>
  <c r="AV1676" i="1"/>
  <c r="AV1677" i="1"/>
  <c r="AV1678" i="1"/>
  <c r="AV1679" i="1"/>
  <c r="AV1680" i="1"/>
  <c r="AV1681" i="1"/>
  <c r="AV1682" i="1"/>
  <c r="AV1683" i="1"/>
  <c r="AV1684" i="1"/>
  <c r="AV1685" i="1"/>
  <c r="AV1686" i="1"/>
  <c r="AV1687" i="1"/>
  <c r="AV1688" i="1"/>
  <c r="AV1689" i="1"/>
  <c r="AV1690" i="1"/>
  <c r="AV1691" i="1"/>
  <c r="AV1692" i="1"/>
  <c r="AV1693" i="1"/>
  <c r="AV1694" i="1"/>
  <c r="AV1695" i="1"/>
  <c r="AV1696" i="1"/>
  <c r="AV1697" i="1"/>
  <c r="AV1698" i="1"/>
  <c r="AV1699" i="1"/>
  <c r="AV1700" i="1"/>
  <c r="AV1701" i="1"/>
  <c r="AV1702" i="1"/>
  <c r="AV1703" i="1"/>
  <c r="AV1704" i="1"/>
  <c r="AV1705" i="1"/>
  <c r="AV1706" i="1"/>
  <c r="AV1707" i="1"/>
  <c r="AV1708" i="1"/>
  <c r="AV1709" i="1"/>
  <c r="AV1710" i="1"/>
  <c r="AV1711" i="1"/>
  <c r="AV1712" i="1"/>
  <c r="AV1713" i="1"/>
  <c r="AV1714" i="1"/>
  <c r="AV1715" i="1"/>
  <c r="AV1716" i="1"/>
  <c r="AV1717" i="1"/>
  <c r="AV1718" i="1"/>
  <c r="AV1719" i="1"/>
  <c r="AV1720" i="1"/>
  <c r="AV1721" i="1"/>
  <c r="AV1722" i="1"/>
  <c r="AV1723" i="1"/>
  <c r="AV1724" i="1"/>
  <c r="AV1725" i="1"/>
  <c r="AV1726" i="1"/>
  <c r="AV1727" i="1"/>
  <c r="AV1728" i="1"/>
  <c r="AV1729" i="1"/>
  <c r="AV1730" i="1"/>
  <c r="AV1731" i="1"/>
  <c r="AV1732" i="1"/>
  <c r="AV1733" i="1"/>
  <c r="AV1734" i="1"/>
  <c r="AV1735" i="1"/>
  <c r="AV1736" i="1"/>
  <c r="AV1737" i="1"/>
  <c r="AV1738" i="1"/>
  <c r="AV1739" i="1"/>
  <c r="AV1740" i="1"/>
  <c r="AV1741" i="1"/>
  <c r="AV1742" i="1"/>
  <c r="AV1743" i="1"/>
  <c r="AV1744" i="1"/>
  <c r="AV1745" i="1"/>
  <c r="AV1746" i="1"/>
  <c r="AV1747" i="1"/>
  <c r="AV1748" i="1"/>
  <c r="AV1749" i="1"/>
  <c r="AV1750" i="1"/>
  <c r="AV1751" i="1"/>
  <c r="AV1752" i="1"/>
  <c r="AV1753" i="1"/>
  <c r="AV1754" i="1"/>
  <c r="AV1755" i="1"/>
  <c r="AV1756" i="1"/>
  <c r="AV1757" i="1"/>
  <c r="AV1758" i="1"/>
  <c r="AV1759" i="1"/>
  <c r="AV1760" i="1"/>
  <c r="AV1761" i="1"/>
  <c r="AV1762" i="1"/>
  <c r="AV1763" i="1"/>
  <c r="AV1764" i="1"/>
  <c r="AV1765" i="1"/>
  <c r="AV1766" i="1"/>
  <c r="AV1767" i="1"/>
  <c r="AV1768" i="1"/>
  <c r="AV1769" i="1"/>
  <c r="AV1770" i="1"/>
  <c r="AV1771" i="1"/>
  <c r="AV1772" i="1"/>
  <c r="AV1773" i="1"/>
  <c r="AV1774" i="1"/>
  <c r="AV1775" i="1"/>
  <c r="AV1776" i="1"/>
  <c r="AV1777" i="1"/>
  <c r="AV1778" i="1"/>
  <c r="AV1779" i="1"/>
  <c r="AV1780" i="1"/>
  <c r="AV1781" i="1"/>
  <c r="AV1782" i="1"/>
  <c r="AV1783" i="1"/>
  <c r="AV1784" i="1"/>
  <c r="AV1785" i="1"/>
  <c r="AV1786" i="1"/>
  <c r="AV1787" i="1"/>
  <c r="AV1788" i="1"/>
  <c r="AV1789" i="1"/>
  <c r="AV1790" i="1"/>
  <c r="AV1791" i="1"/>
  <c r="AV1792" i="1"/>
  <c r="AV1793" i="1"/>
  <c r="AV1794" i="1"/>
  <c r="AV1795" i="1"/>
  <c r="AV1796" i="1"/>
  <c r="AV1797" i="1"/>
  <c r="AV1798" i="1"/>
  <c r="AV1799" i="1"/>
  <c r="AV1800" i="1"/>
  <c r="AV1801" i="1"/>
  <c r="AV1802" i="1"/>
  <c r="AV1803" i="1"/>
  <c r="AV1804" i="1"/>
  <c r="AV1805" i="1"/>
  <c r="AV1806" i="1"/>
  <c r="AV1807" i="1"/>
  <c r="AV1808" i="1"/>
  <c r="AV1809" i="1"/>
  <c r="AV1810" i="1"/>
  <c r="AV1811" i="1"/>
  <c r="AV1812" i="1"/>
  <c r="AV1813" i="1"/>
  <c r="AV1814" i="1"/>
  <c r="AV1815" i="1"/>
  <c r="AV1816" i="1"/>
  <c r="AV1817" i="1"/>
  <c r="AV1818" i="1"/>
  <c r="AV1819" i="1"/>
  <c r="AV1820" i="1"/>
  <c r="AV1821" i="1"/>
  <c r="AV1822" i="1"/>
  <c r="AV1823" i="1"/>
  <c r="AV1824" i="1"/>
  <c r="AV1825" i="1"/>
  <c r="AV1826" i="1"/>
  <c r="AV1827" i="1"/>
  <c r="AV1828" i="1"/>
  <c r="AV1829" i="1"/>
  <c r="AV1830" i="1"/>
  <c r="AV1831" i="1"/>
  <c r="AV1832" i="1"/>
  <c r="AV1833" i="1"/>
  <c r="AV1834" i="1"/>
  <c r="AV1835" i="1"/>
  <c r="AV1836" i="1"/>
  <c r="AV1837" i="1"/>
  <c r="AV1838" i="1"/>
  <c r="AV1839" i="1"/>
  <c r="AV1840" i="1"/>
  <c r="AV1841" i="1"/>
  <c r="AV1842" i="1"/>
  <c r="AV1843" i="1"/>
  <c r="AV1844" i="1"/>
  <c r="AV1845" i="1"/>
  <c r="AV1846" i="1"/>
  <c r="AV1847" i="1"/>
  <c r="AV1848" i="1"/>
  <c r="AV1849" i="1"/>
  <c r="AV1850" i="1"/>
  <c r="AV1851" i="1"/>
  <c r="AV1852" i="1"/>
  <c r="AV1853" i="1"/>
  <c r="AV1854" i="1"/>
  <c r="AV1855" i="1"/>
  <c r="AV1856" i="1"/>
  <c r="AV1857" i="1"/>
  <c r="AV1858" i="1"/>
  <c r="AV1859" i="1"/>
  <c r="AV1860" i="1"/>
  <c r="AV1861" i="1"/>
  <c r="AV1862" i="1"/>
  <c r="AV1863" i="1"/>
  <c r="AV1864" i="1"/>
  <c r="AV1865" i="1"/>
  <c r="AV1866" i="1"/>
  <c r="AV1867" i="1"/>
  <c r="AV1868" i="1"/>
  <c r="AV1869" i="1"/>
  <c r="AV1870" i="1"/>
  <c r="AV1871" i="1"/>
  <c r="AV1872" i="1"/>
  <c r="AV1873" i="1"/>
  <c r="AV1874" i="1"/>
  <c r="AV1875" i="1"/>
  <c r="AV1876" i="1"/>
  <c r="AV1877" i="1"/>
  <c r="AV1878" i="1"/>
  <c r="AV1879" i="1"/>
  <c r="AV1880" i="1"/>
  <c r="AV1881" i="1"/>
  <c r="AV1882" i="1"/>
  <c r="AV1883" i="1"/>
  <c r="AV1884" i="1"/>
  <c r="AV1885" i="1"/>
  <c r="AV1886" i="1"/>
  <c r="AV1887" i="1"/>
  <c r="AV1888" i="1"/>
  <c r="AV1889" i="1"/>
  <c r="AV1890" i="1"/>
  <c r="AV1891" i="1"/>
  <c r="AV1892" i="1"/>
  <c r="AV1893" i="1"/>
  <c r="AV1894" i="1"/>
  <c r="AV1895" i="1"/>
  <c r="AV1896" i="1"/>
  <c r="AV1897" i="1"/>
  <c r="AV1898" i="1"/>
  <c r="AV1899" i="1"/>
  <c r="AV1900" i="1"/>
  <c r="AV1901" i="1"/>
  <c r="AV1902" i="1"/>
  <c r="AV1903" i="1"/>
  <c r="AV1904" i="1"/>
  <c r="AV1905" i="1"/>
  <c r="AV1906" i="1"/>
  <c r="AV1907" i="1"/>
  <c r="AV1908" i="1"/>
  <c r="AV1909" i="1"/>
  <c r="AV1910" i="1"/>
  <c r="AV1911" i="1"/>
  <c r="AV1912" i="1"/>
  <c r="AV1913" i="1"/>
  <c r="AV1914" i="1"/>
  <c r="AV1915" i="1"/>
  <c r="AV1916" i="1"/>
  <c r="AV1917" i="1"/>
  <c r="AV1918" i="1"/>
  <c r="AV1919" i="1"/>
  <c r="AV1920" i="1"/>
  <c r="AV1921" i="1"/>
  <c r="AV1922" i="1"/>
  <c r="AV1923" i="1"/>
  <c r="AV1924" i="1"/>
  <c r="AV1925" i="1"/>
  <c r="AV1926" i="1"/>
  <c r="AV1927" i="1"/>
  <c r="AV1928" i="1"/>
  <c r="AV1929" i="1"/>
  <c r="AV1930" i="1"/>
  <c r="AV1931" i="1"/>
  <c r="AV1932" i="1"/>
  <c r="AV1933" i="1"/>
  <c r="AV1934" i="1"/>
  <c r="AV1935" i="1"/>
  <c r="AV1936" i="1"/>
  <c r="AV1937" i="1"/>
  <c r="AV1938" i="1"/>
  <c r="AV1939" i="1"/>
  <c r="AV1940" i="1"/>
  <c r="AV1941" i="1"/>
  <c r="AV1942" i="1"/>
  <c r="AV1943" i="1"/>
  <c r="AV1944" i="1"/>
  <c r="AV1945" i="1"/>
  <c r="AV1946" i="1"/>
  <c r="AV1947" i="1"/>
  <c r="AV1948" i="1"/>
  <c r="AV1949" i="1"/>
  <c r="AV1950" i="1"/>
  <c r="AV1951" i="1"/>
  <c r="AV1952" i="1"/>
  <c r="AV1953" i="1"/>
  <c r="AV1954" i="1"/>
  <c r="AV1955" i="1"/>
  <c r="AV1956" i="1"/>
  <c r="AV1957" i="1"/>
  <c r="AV1958" i="1"/>
  <c r="AV1959" i="1"/>
  <c r="AV1960" i="1"/>
  <c r="AV1961" i="1"/>
  <c r="AV1962" i="1"/>
  <c r="AV1963" i="1"/>
  <c r="AV1964" i="1"/>
  <c r="AV1965" i="1"/>
  <c r="AV1966" i="1"/>
  <c r="AV1967" i="1"/>
  <c r="AV1968" i="1"/>
  <c r="AV1969" i="1"/>
  <c r="AV1970" i="1"/>
  <c r="AV1971" i="1"/>
  <c r="AV1972" i="1"/>
  <c r="AV1973" i="1"/>
  <c r="AV1974" i="1"/>
  <c r="AV1975" i="1"/>
  <c r="AV1976" i="1"/>
  <c r="AV1977" i="1"/>
  <c r="AV1978" i="1"/>
  <c r="AV1979" i="1"/>
  <c r="AV1980" i="1"/>
  <c r="AV1981" i="1"/>
  <c r="AV1982" i="1"/>
  <c r="AV1983" i="1"/>
  <c r="AV1984" i="1"/>
  <c r="AV1985" i="1"/>
  <c r="AV1986" i="1"/>
  <c r="AV1987" i="1"/>
  <c r="AV1988" i="1"/>
  <c r="AV1989" i="1"/>
  <c r="AV1990" i="1"/>
  <c r="AV1991" i="1"/>
  <c r="AV1992" i="1"/>
  <c r="AV1993" i="1"/>
  <c r="AV1994" i="1"/>
  <c r="AV1995" i="1"/>
  <c r="AV1996" i="1"/>
  <c r="AV1997" i="1"/>
  <c r="AV1998" i="1"/>
  <c r="AV1999" i="1"/>
  <c r="AV2000" i="1"/>
  <c r="AV2001" i="1"/>
  <c r="AV2002" i="1"/>
  <c r="AV2003" i="1"/>
  <c r="AV2004" i="1"/>
  <c r="AV2005" i="1"/>
  <c r="AV2006" i="1"/>
  <c r="AV2007" i="1"/>
  <c r="AV2008" i="1"/>
  <c r="AV2009" i="1"/>
  <c r="AV2010" i="1"/>
  <c r="AV2011" i="1"/>
  <c r="AV2012" i="1"/>
  <c r="AV2013" i="1"/>
  <c r="AV2014" i="1"/>
  <c r="AV2015" i="1"/>
  <c r="AV2016" i="1"/>
  <c r="AV2017" i="1"/>
  <c r="AV2018" i="1"/>
  <c r="AV2019" i="1"/>
  <c r="AV2020" i="1"/>
  <c r="AV2021" i="1"/>
  <c r="AV2022" i="1"/>
  <c r="AV2023" i="1"/>
  <c r="AV2024" i="1"/>
  <c r="AV2025" i="1"/>
  <c r="AV2026" i="1"/>
  <c r="AV2027" i="1"/>
  <c r="AV2028" i="1"/>
  <c r="AV2029" i="1"/>
  <c r="AV2030" i="1"/>
  <c r="AV2031" i="1"/>
  <c r="AV2032" i="1"/>
  <c r="AV2033" i="1"/>
  <c r="AV2034" i="1"/>
  <c r="AV2035" i="1"/>
  <c r="AV2036" i="1"/>
  <c r="AV2037" i="1"/>
  <c r="AV2038" i="1"/>
  <c r="AV2039" i="1"/>
  <c r="AV2040" i="1"/>
  <c r="AV2041" i="1"/>
  <c r="AV2042" i="1"/>
  <c r="AV2043" i="1"/>
  <c r="AV2044" i="1"/>
  <c r="AV2045" i="1"/>
  <c r="AV2046" i="1"/>
  <c r="AV2047" i="1"/>
  <c r="AV2048" i="1"/>
  <c r="AV2049" i="1"/>
  <c r="AV2050" i="1"/>
  <c r="AV2051" i="1"/>
  <c r="AV2052" i="1"/>
  <c r="AV2053" i="1"/>
  <c r="AV2054" i="1"/>
  <c r="AV2055" i="1"/>
  <c r="AV2056" i="1"/>
  <c r="AV2057" i="1"/>
  <c r="AV2058" i="1"/>
  <c r="AV2059" i="1"/>
  <c r="AV2060" i="1"/>
  <c r="AV2061" i="1"/>
  <c r="AV2062" i="1"/>
  <c r="AV2063" i="1"/>
  <c r="AV2064" i="1"/>
  <c r="AV2065" i="1"/>
  <c r="AV2066" i="1"/>
  <c r="AV2067" i="1"/>
  <c r="AV2068" i="1"/>
  <c r="AV2069" i="1"/>
  <c r="AV2070" i="1"/>
  <c r="AV2071" i="1"/>
  <c r="AV2072" i="1"/>
  <c r="AV2073" i="1"/>
  <c r="AV2074" i="1"/>
  <c r="AV2075" i="1"/>
  <c r="AV2076" i="1"/>
  <c r="AV2077" i="1"/>
  <c r="AV2078" i="1"/>
  <c r="AV2079" i="1"/>
  <c r="AV2080" i="1"/>
  <c r="AV2081" i="1"/>
  <c r="AV2082" i="1"/>
  <c r="AV2083" i="1"/>
  <c r="AV2084" i="1"/>
  <c r="AV2085" i="1"/>
  <c r="AV2086" i="1"/>
  <c r="AV2087" i="1"/>
  <c r="AV2088" i="1"/>
  <c r="AV2089" i="1"/>
  <c r="AV2090" i="1"/>
  <c r="AV2091" i="1"/>
  <c r="AV2092" i="1"/>
  <c r="AV2093" i="1"/>
  <c r="AV2094" i="1"/>
  <c r="AV2095" i="1"/>
  <c r="AV2096" i="1"/>
  <c r="AV2097" i="1"/>
  <c r="AV2098" i="1"/>
  <c r="AV2099" i="1"/>
  <c r="AV2100" i="1"/>
  <c r="AV2101" i="1"/>
  <c r="AV2102" i="1"/>
  <c r="AV2103" i="1"/>
  <c r="AV2104" i="1"/>
  <c r="AV2105" i="1"/>
  <c r="AV2106" i="1"/>
  <c r="AV2107" i="1"/>
  <c r="AV2108" i="1"/>
  <c r="AV2109" i="1"/>
  <c r="AV2110" i="1"/>
  <c r="AV2111" i="1"/>
  <c r="AV2112" i="1"/>
  <c r="AV2113" i="1"/>
  <c r="AV2114" i="1"/>
  <c r="AV2115" i="1"/>
  <c r="AV2116" i="1"/>
  <c r="AV2117" i="1"/>
  <c r="AV2118" i="1"/>
  <c r="AV2119" i="1"/>
  <c r="AV2120" i="1"/>
  <c r="AV2121" i="1"/>
  <c r="AV2122" i="1"/>
  <c r="AV2123" i="1"/>
  <c r="AV2124" i="1"/>
  <c r="AV2125" i="1"/>
  <c r="AV2126" i="1"/>
  <c r="AV2127" i="1"/>
  <c r="AV2128" i="1"/>
  <c r="AV2129" i="1"/>
  <c r="AV2130" i="1"/>
  <c r="AV2131" i="1"/>
  <c r="AV2132" i="1"/>
  <c r="AV2133" i="1"/>
  <c r="AV2134" i="1"/>
  <c r="AV2135" i="1"/>
  <c r="AV2136" i="1"/>
  <c r="AV2137" i="1"/>
  <c r="AV2138" i="1"/>
  <c r="AV2139" i="1"/>
  <c r="AV2140" i="1"/>
  <c r="AV2141" i="1"/>
  <c r="AV2142" i="1"/>
  <c r="AV2143" i="1"/>
  <c r="AV2144" i="1"/>
  <c r="AV2145" i="1"/>
  <c r="AV2146" i="1"/>
  <c r="AV2147" i="1"/>
  <c r="AV2148" i="1"/>
  <c r="AV2149" i="1"/>
  <c r="AV2150" i="1"/>
  <c r="AV2151" i="1"/>
  <c r="AV2152" i="1"/>
  <c r="AV2153" i="1"/>
  <c r="AV2154" i="1"/>
  <c r="AV2155" i="1"/>
  <c r="AV2156" i="1"/>
  <c r="AV2157" i="1"/>
  <c r="AV2158" i="1"/>
  <c r="AV2159" i="1"/>
  <c r="AV2160" i="1"/>
  <c r="AV2161" i="1"/>
  <c r="AV2162" i="1"/>
  <c r="AV2163" i="1"/>
  <c r="AV2164" i="1"/>
  <c r="AV2165" i="1"/>
  <c r="AV2166" i="1"/>
  <c r="AV2167" i="1"/>
  <c r="AV2168" i="1"/>
  <c r="AV2169" i="1"/>
  <c r="AV2170" i="1"/>
  <c r="AV2171" i="1"/>
  <c r="AV2172" i="1"/>
  <c r="AV2173" i="1"/>
  <c r="AV2174" i="1"/>
  <c r="AV2175" i="1"/>
  <c r="AV2176" i="1"/>
  <c r="AV2177" i="1"/>
  <c r="AV2178" i="1"/>
  <c r="AV2179" i="1"/>
  <c r="AV2180" i="1"/>
  <c r="AV2181" i="1"/>
  <c r="AV2182" i="1"/>
  <c r="AV2183" i="1"/>
  <c r="AV2184" i="1"/>
  <c r="AV2185" i="1"/>
  <c r="AV2186" i="1"/>
  <c r="AV2187" i="1"/>
  <c r="AV2188" i="1"/>
  <c r="AV2189" i="1"/>
  <c r="AV2190" i="1"/>
  <c r="AV2191" i="1"/>
  <c r="AV2192" i="1"/>
  <c r="AV2193" i="1"/>
  <c r="AV2194" i="1"/>
  <c r="AV2195" i="1"/>
  <c r="AV2196" i="1"/>
  <c r="AV2197" i="1"/>
  <c r="AV2198" i="1"/>
  <c r="AV2199" i="1"/>
  <c r="AV2200" i="1"/>
  <c r="AV2201" i="1"/>
  <c r="AV2202" i="1"/>
  <c r="AV2203" i="1"/>
  <c r="AV2204" i="1"/>
  <c r="AV2205" i="1"/>
  <c r="AV2206" i="1"/>
  <c r="AV2207" i="1"/>
  <c r="AV2208" i="1"/>
  <c r="AV2209" i="1"/>
  <c r="AV2210" i="1"/>
  <c r="AV2211" i="1"/>
  <c r="AV2212" i="1"/>
  <c r="AV2213" i="1"/>
  <c r="AV2214" i="1"/>
  <c r="AV2215" i="1"/>
  <c r="AV2216" i="1"/>
  <c r="AV2217" i="1"/>
  <c r="AV2218" i="1"/>
  <c r="AV2219" i="1"/>
  <c r="AV2220" i="1"/>
  <c r="AV2221" i="1"/>
  <c r="AV2222" i="1"/>
  <c r="AV2223" i="1"/>
  <c r="AV2224" i="1"/>
  <c r="AV2225" i="1"/>
  <c r="AV2226" i="1"/>
  <c r="AV2227" i="1"/>
  <c r="AV2228" i="1"/>
  <c r="AV2229" i="1"/>
  <c r="AV2230" i="1"/>
  <c r="AV2231" i="1"/>
  <c r="AV2232" i="1"/>
  <c r="AV2233" i="1"/>
  <c r="AV2234" i="1"/>
  <c r="AV2235" i="1"/>
  <c r="AV2236" i="1"/>
  <c r="AV2237" i="1"/>
  <c r="AV2238" i="1"/>
  <c r="AV2239" i="1"/>
  <c r="AV2240" i="1"/>
  <c r="AV2241" i="1"/>
  <c r="AV2242" i="1"/>
  <c r="AV2243" i="1"/>
  <c r="AV2244" i="1"/>
  <c r="AV2245" i="1"/>
  <c r="AV2246" i="1"/>
  <c r="AV2247" i="1"/>
  <c r="AV2248" i="1"/>
  <c r="AV2249" i="1"/>
  <c r="AV2250" i="1"/>
  <c r="AV2251" i="1"/>
  <c r="AV2252" i="1"/>
  <c r="AV2253" i="1"/>
  <c r="AV2254" i="1"/>
  <c r="AV2255" i="1"/>
  <c r="AV2256" i="1"/>
  <c r="AV2257" i="1"/>
  <c r="AV2258" i="1"/>
  <c r="AV2259" i="1"/>
  <c r="AV2260" i="1"/>
  <c r="AV2261" i="1"/>
  <c r="AV2262" i="1"/>
  <c r="AV2263" i="1"/>
  <c r="AV2264" i="1"/>
  <c r="AV2265" i="1"/>
  <c r="AV2266" i="1"/>
  <c r="AV2267" i="1"/>
  <c r="AV2268" i="1"/>
  <c r="AV2269" i="1"/>
  <c r="AV2270" i="1"/>
  <c r="AV2271" i="1"/>
  <c r="AV2272" i="1"/>
  <c r="AV2273" i="1"/>
  <c r="AV2274" i="1"/>
  <c r="AV2275" i="1"/>
  <c r="AV2276" i="1"/>
  <c r="AV2277" i="1"/>
  <c r="AV2278" i="1"/>
  <c r="AV2279" i="1"/>
  <c r="AV2280" i="1"/>
  <c r="AV2281" i="1"/>
  <c r="AV2282" i="1"/>
  <c r="AV2283" i="1"/>
  <c r="AV2284" i="1"/>
  <c r="AV2285" i="1"/>
  <c r="AV2286" i="1"/>
  <c r="AV2287" i="1"/>
  <c r="AV2288" i="1"/>
  <c r="AV2289" i="1"/>
  <c r="AV2290" i="1"/>
  <c r="AV2291" i="1"/>
  <c r="AV2292" i="1"/>
  <c r="AV2293" i="1"/>
  <c r="AV2294" i="1"/>
  <c r="AV2295" i="1"/>
  <c r="AV2296" i="1"/>
  <c r="AV2297" i="1"/>
  <c r="AV2298" i="1"/>
  <c r="AV2299" i="1"/>
  <c r="AV2300" i="1"/>
  <c r="AV2301" i="1"/>
  <c r="AV2302" i="1"/>
  <c r="AV2303" i="1"/>
  <c r="AV2304" i="1"/>
  <c r="AV2305" i="1"/>
  <c r="AV2306" i="1"/>
  <c r="AV2307" i="1"/>
  <c r="AV2308" i="1"/>
  <c r="AV2309" i="1"/>
  <c r="AV2310" i="1"/>
  <c r="AV2311" i="1"/>
  <c r="AV2312" i="1"/>
  <c r="AV2313" i="1"/>
  <c r="AV2314" i="1"/>
  <c r="AV2315" i="1"/>
  <c r="AV2316" i="1"/>
  <c r="AV2317" i="1"/>
  <c r="AV2318" i="1"/>
  <c r="AV2319" i="1"/>
  <c r="AV2320" i="1"/>
  <c r="AV2321" i="1"/>
  <c r="AV2322" i="1"/>
  <c r="AV2323" i="1"/>
  <c r="AV2324" i="1"/>
  <c r="AV2325" i="1"/>
  <c r="AV2326" i="1"/>
  <c r="AV2327" i="1"/>
  <c r="AV2328" i="1"/>
  <c r="AV2329" i="1"/>
  <c r="AV2330" i="1"/>
  <c r="AV2331" i="1"/>
  <c r="AV2332" i="1"/>
  <c r="AV2333" i="1"/>
  <c r="AV2334" i="1"/>
  <c r="AV2335" i="1"/>
  <c r="AV2336" i="1"/>
  <c r="AV2337" i="1"/>
  <c r="AV2338" i="1"/>
  <c r="AV2339" i="1"/>
  <c r="AV2340" i="1"/>
  <c r="AV2341" i="1"/>
  <c r="AV2342" i="1"/>
  <c r="AV2343" i="1"/>
  <c r="AV2344" i="1"/>
  <c r="AV2345" i="1"/>
  <c r="AV2346" i="1"/>
  <c r="AV2347" i="1"/>
  <c r="AV2348" i="1"/>
  <c r="AV2349" i="1"/>
  <c r="AV2350" i="1"/>
  <c r="AV2351" i="1"/>
  <c r="AV2352" i="1"/>
  <c r="AV2353" i="1"/>
  <c r="AV2354" i="1"/>
  <c r="AV2355" i="1"/>
  <c r="AV2356" i="1"/>
  <c r="AV2357" i="1"/>
  <c r="AV2358" i="1"/>
  <c r="AV2359" i="1"/>
  <c r="AV2360" i="1"/>
  <c r="AV2361" i="1"/>
  <c r="AV2362" i="1"/>
  <c r="AV2363" i="1"/>
  <c r="AV2364" i="1"/>
  <c r="AV2365" i="1"/>
  <c r="AV2366" i="1"/>
  <c r="AV2367" i="1"/>
  <c r="AV2368" i="1"/>
  <c r="AV2369" i="1"/>
  <c r="AV2370" i="1"/>
  <c r="AV2371" i="1"/>
  <c r="AV2372" i="1"/>
  <c r="AV2373" i="1"/>
  <c r="AV2374" i="1"/>
  <c r="AV2375" i="1"/>
  <c r="AV2376" i="1"/>
  <c r="AV2377" i="1"/>
  <c r="AV2378" i="1"/>
  <c r="AV2379" i="1"/>
  <c r="AV2380" i="1"/>
  <c r="AV2381" i="1"/>
  <c r="AV2382" i="1"/>
  <c r="AV2383" i="1"/>
  <c r="AV2384" i="1"/>
  <c r="AV2385" i="1"/>
  <c r="AV2386" i="1"/>
  <c r="AV2387" i="1"/>
  <c r="AV2388" i="1"/>
  <c r="AV2389" i="1"/>
  <c r="AV2390" i="1"/>
  <c r="AV2391" i="1"/>
  <c r="AV2392" i="1"/>
  <c r="AV2393" i="1"/>
  <c r="AV2394" i="1"/>
  <c r="AV2395" i="1"/>
  <c r="AV2396" i="1"/>
  <c r="AV2397" i="1"/>
  <c r="AV2398" i="1"/>
  <c r="AV2399" i="1"/>
  <c r="AV2400" i="1"/>
  <c r="AV2401" i="1"/>
  <c r="AV2402" i="1"/>
  <c r="AV2403" i="1"/>
  <c r="AV2404" i="1"/>
  <c r="AV2405" i="1"/>
  <c r="AV2406" i="1"/>
  <c r="AV2407" i="1"/>
  <c r="AV2408" i="1"/>
  <c r="AV2409" i="1"/>
  <c r="AV2410" i="1"/>
  <c r="AV2411" i="1"/>
  <c r="AV2412" i="1"/>
  <c r="AV2413" i="1"/>
  <c r="AV2414" i="1"/>
  <c r="AV2415" i="1"/>
  <c r="AV2416" i="1"/>
  <c r="AV2417" i="1"/>
  <c r="AV2418" i="1"/>
  <c r="AV2419" i="1"/>
  <c r="AV2420" i="1"/>
  <c r="AV2421" i="1"/>
  <c r="AV2422" i="1"/>
  <c r="AV2423" i="1"/>
  <c r="AV2424" i="1"/>
  <c r="AV2425" i="1"/>
  <c r="AV2426" i="1"/>
  <c r="AV2427" i="1"/>
  <c r="AV2428" i="1"/>
  <c r="AV2429" i="1"/>
  <c r="AV2430" i="1"/>
  <c r="AV2431" i="1"/>
  <c r="AV2432" i="1"/>
  <c r="AV2433" i="1"/>
  <c r="AV2434" i="1"/>
  <c r="AV2435" i="1"/>
  <c r="AV2436" i="1"/>
  <c r="AV2437" i="1"/>
  <c r="AV2438" i="1"/>
  <c r="AV2439" i="1"/>
  <c r="AV2440" i="1"/>
  <c r="AV2441" i="1"/>
  <c r="AV2442" i="1"/>
  <c r="AV2443" i="1"/>
  <c r="AV2444" i="1"/>
  <c r="AV2445" i="1"/>
  <c r="AV2446" i="1"/>
  <c r="AV2447" i="1"/>
  <c r="AV2448" i="1"/>
  <c r="AV2449" i="1"/>
  <c r="AV2450" i="1"/>
  <c r="AV2451" i="1"/>
  <c r="AV2452" i="1"/>
  <c r="AV2453" i="1"/>
  <c r="AV2454" i="1"/>
  <c r="AV2455" i="1"/>
  <c r="AV2456" i="1"/>
  <c r="AV2457" i="1"/>
  <c r="AV2458" i="1"/>
  <c r="AV2459" i="1"/>
  <c r="AV2460" i="1"/>
  <c r="AV2461" i="1"/>
  <c r="AV2462" i="1"/>
  <c r="AV2463" i="1"/>
  <c r="AV2464" i="1"/>
  <c r="AV2465" i="1"/>
  <c r="AV2466" i="1"/>
  <c r="AV2467" i="1"/>
  <c r="AV2468" i="1"/>
  <c r="AV2469" i="1"/>
  <c r="AV2470" i="1"/>
  <c r="AV2471" i="1"/>
  <c r="AV2472" i="1"/>
  <c r="AV2473" i="1"/>
  <c r="AV2474" i="1"/>
  <c r="AV2475" i="1"/>
  <c r="AV2476" i="1"/>
  <c r="AV2477" i="1"/>
  <c r="AV2478" i="1"/>
  <c r="AV2479" i="1"/>
  <c r="AV2480" i="1"/>
  <c r="AV2481" i="1"/>
  <c r="AV2482" i="1"/>
  <c r="AV2483" i="1"/>
  <c r="AV2484" i="1"/>
  <c r="AV2485" i="1"/>
  <c r="AV2486" i="1"/>
  <c r="AV2487" i="1"/>
  <c r="AV2488" i="1"/>
  <c r="AV2489" i="1"/>
  <c r="AV2490" i="1"/>
  <c r="AV2491" i="1"/>
  <c r="AV2492" i="1"/>
  <c r="AV2493" i="1"/>
  <c r="AV2494" i="1"/>
  <c r="AV2495" i="1"/>
  <c r="AV2496" i="1"/>
  <c r="AV2497" i="1"/>
  <c r="AV2498" i="1"/>
  <c r="AV2499" i="1"/>
  <c r="AV2500" i="1"/>
  <c r="AV2501" i="1"/>
  <c r="AV2502" i="1"/>
  <c r="AV2503" i="1"/>
  <c r="AV2504" i="1"/>
  <c r="AV2505" i="1"/>
  <c r="AV2506" i="1"/>
  <c r="AV2507" i="1"/>
  <c r="AV2508" i="1"/>
  <c r="AV2509" i="1"/>
  <c r="AV2510" i="1"/>
  <c r="AV2511" i="1"/>
  <c r="AV2512" i="1"/>
  <c r="AV2513" i="1"/>
  <c r="AV2514" i="1"/>
  <c r="AV2515" i="1"/>
  <c r="AV2516" i="1"/>
  <c r="AV2517" i="1"/>
  <c r="AV2518" i="1"/>
  <c r="AV2519" i="1"/>
  <c r="AV2520" i="1"/>
  <c r="AV2521" i="1"/>
  <c r="AV2522" i="1"/>
  <c r="AV2523" i="1"/>
  <c r="AV2524" i="1"/>
  <c r="AV2525" i="1"/>
  <c r="AV2526" i="1"/>
  <c r="AV2527" i="1"/>
  <c r="AV2528" i="1"/>
  <c r="AV2529" i="1"/>
  <c r="AV2530" i="1"/>
  <c r="AV2531" i="1"/>
  <c r="AV2532" i="1"/>
  <c r="AV2533" i="1"/>
  <c r="AV2534" i="1"/>
  <c r="AV2535" i="1"/>
  <c r="AV2536" i="1"/>
  <c r="AV2537" i="1"/>
  <c r="AV2538" i="1"/>
  <c r="AV2539" i="1"/>
  <c r="AV2540" i="1"/>
  <c r="AV2541" i="1"/>
  <c r="AV2542" i="1"/>
  <c r="AV2543" i="1"/>
  <c r="AV2544" i="1"/>
  <c r="AV2545" i="1"/>
  <c r="AV2546" i="1"/>
  <c r="AV2547" i="1"/>
  <c r="AV2548" i="1"/>
  <c r="AV2549" i="1"/>
  <c r="AV2550" i="1"/>
  <c r="AV2551" i="1"/>
  <c r="AV2552" i="1"/>
  <c r="AV2553" i="1"/>
  <c r="AV2554" i="1"/>
  <c r="AV2555" i="1"/>
  <c r="AV2556" i="1"/>
  <c r="AV2557" i="1"/>
  <c r="AV2558" i="1"/>
  <c r="AV2559" i="1"/>
  <c r="AV2560" i="1"/>
  <c r="AV2561" i="1"/>
  <c r="AV2562" i="1"/>
  <c r="AV2563" i="1"/>
  <c r="AV2564" i="1"/>
  <c r="AV2565" i="1"/>
  <c r="AV2566" i="1"/>
  <c r="AV2567" i="1"/>
  <c r="AV2568" i="1"/>
  <c r="AV2569" i="1"/>
  <c r="AV2570" i="1"/>
  <c r="AV2571" i="1"/>
  <c r="AV2572" i="1"/>
  <c r="AV2573" i="1"/>
  <c r="AV2574" i="1"/>
  <c r="AV2575" i="1"/>
  <c r="AV2576" i="1"/>
  <c r="AV2577" i="1"/>
  <c r="AV2578" i="1"/>
  <c r="AV2579" i="1"/>
  <c r="AV2580" i="1"/>
  <c r="AV2581" i="1"/>
  <c r="AV2582" i="1"/>
  <c r="AV2583" i="1"/>
  <c r="AV2584" i="1"/>
  <c r="AV2585" i="1"/>
  <c r="AV2586" i="1"/>
  <c r="AV2587" i="1"/>
  <c r="AV2588" i="1"/>
  <c r="AV2589" i="1"/>
  <c r="AV2590" i="1"/>
  <c r="AV2591" i="1"/>
  <c r="AV2592" i="1"/>
  <c r="AV2593" i="1"/>
  <c r="AV2594" i="1"/>
  <c r="AV2595" i="1"/>
  <c r="AV2596" i="1"/>
  <c r="AV2597" i="1"/>
  <c r="AV2598" i="1"/>
  <c r="AV2599" i="1"/>
  <c r="AV2600" i="1"/>
  <c r="AV2601" i="1"/>
  <c r="AV2602" i="1"/>
  <c r="AV2603" i="1"/>
  <c r="AV2604" i="1"/>
  <c r="AV2605" i="1"/>
  <c r="AV2606" i="1"/>
  <c r="AV2607" i="1"/>
  <c r="AV2608" i="1"/>
  <c r="AV2609" i="1"/>
  <c r="AV2610" i="1"/>
  <c r="AV2611" i="1"/>
  <c r="AV2612" i="1"/>
  <c r="AV2613" i="1"/>
  <c r="AV2614" i="1"/>
  <c r="AV2615" i="1"/>
  <c r="AV2616" i="1"/>
  <c r="AV2617" i="1"/>
  <c r="AV2618" i="1"/>
  <c r="AV2619" i="1"/>
  <c r="AV2620" i="1"/>
  <c r="AV2621" i="1"/>
  <c r="AV2622" i="1"/>
  <c r="AV2623" i="1"/>
  <c r="AV2624" i="1"/>
  <c r="AV2625" i="1"/>
  <c r="AV2626" i="1"/>
  <c r="AV2627" i="1"/>
  <c r="AV2628" i="1"/>
  <c r="AV2629" i="1"/>
  <c r="AV2630" i="1"/>
  <c r="AV2631" i="1"/>
  <c r="AV2632" i="1"/>
  <c r="AV2633" i="1"/>
  <c r="AV2634" i="1"/>
  <c r="AV2635" i="1"/>
  <c r="AV2636" i="1"/>
  <c r="AV2637" i="1"/>
  <c r="AV2638" i="1"/>
  <c r="AV2639" i="1"/>
  <c r="AV2640" i="1"/>
  <c r="AV2641" i="1"/>
  <c r="AV2642" i="1"/>
  <c r="AV2643" i="1"/>
  <c r="AV2644" i="1"/>
  <c r="AV2645" i="1"/>
  <c r="AV2646" i="1"/>
  <c r="AV2647" i="1"/>
  <c r="AV2648" i="1"/>
  <c r="AV2649" i="1"/>
  <c r="AV2650" i="1"/>
  <c r="AV2651" i="1"/>
  <c r="AV2652" i="1"/>
  <c r="AV2653" i="1"/>
  <c r="AV2654" i="1"/>
  <c r="AV2655" i="1"/>
  <c r="AV2656" i="1"/>
  <c r="AV2657" i="1"/>
  <c r="AV2658" i="1"/>
  <c r="AV2659" i="1"/>
  <c r="AV2660" i="1"/>
  <c r="AV2661" i="1"/>
  <c r="AV2662" i="1"/>
  <c r="AV2663" i="1"/>
  <c r="AV2664" i="1"/>
  <c r="AV2665" i="1"/>
  <c r="AV2666" i="1"/>
  <c r="AV2667" i="1"/>
  <c r="AV2668" i="1"/>
  <c r="AV2669" i="1"/>
  <c r="AV2670" i="1"/>
  <c r="AV2671" i="1"/>
  <c r="AV2672" i="1"/>
  <c r="AV2673" i="1"/>
  <c r="AV2674" i="1"/>
  <c r="AV2675" i="1"/>
  <c r="AV2676" i="1"/>
  <c r="AV2677" i="1"/>
  <c r="AV2678" i="1"/>
  <c r="AV2679" i="1"/>
  <c r="AV2680" i="1"/>
  <c r="AV2681" i="1"/>
  <c r="AV2682" i="1"/>
  <c r="AV2683" i="1"/>
  <c r="AV2684" i="1"/>
  <c r="AV2685" i="1"/>
  <c r="AV2686" i="1"/>
  <c r="AV2687" i="1"/>
  <c r="AV2688" i="1"/>
  <c r="AV2689" i="1"/>
  <c r="AV2690" i="1"/>
  <c r="AV2691" i="1"/>
  <c r="AV2692" i="1"/>
  <c r="AV2693" i="1"/>
  <c r="AV2694" i="1"/>
  <c r="AV2695" i="1"/>
  <c r="AV2696" i="1"/>
  <c r="AV2697" i="1"/>
  <c r="AV2698" i="1"/>
  <c r="AV2699" i="1"/>
  <c r="AV2700" i="1"/>
  <c r="AV2701" i="1"/>
  <c r="AV2702" i="1"/>
  <c r="AV2703" i="1"/>
  <c r="AV2704" i="1"/>
  <c r="AV2705" i="1"/>
  <c r="AV2706" i="1"/>
  <c r="AV2707" i="1"/>
  <c r="AV2708" i="1"/>
  <c r="AV2709" i="1"/>
  <c r="AV2710" i="1"/>
  <c r="AV2711" i="1"/>
  <c r="AV2712" i="1"/>
  <c r="AV2713" i="1"/>
  <c r="AV2714" i="1"/>
  <c r="AV2715" i="1"/>
  <c r="AV2716" i="1"/>
  <c r="AV2717" i="1"/>
  <c r="AV2718" i="1"/>
  <c r="AV2719" i="1"/>
  <c r="AV2720" i="1"/>
  <c r="AV2721" i="1"/>
  <c r="AV2722" i="1"/>
  <c r="AV2723" i="1"/>
  <c r="AV2724" i="1"/>
  <c r="AV2725" i="1"/>
  <c r="AV2726" i="1"/>
  <c r="AV2727" i="1"/>
  <c r="AV2728" i="1"/>
  <c r="AV2729" i="1"/>
  <c r="AV2730" i="1"/>
  <c r="AV2731" i="1"/>
  <c r="AV2732" i="1"/>
  <c r="AV2733" i="1"/>
  <c r="AV2734" i="1"/>
  <c r="AV2735" i="1"/>
  <c r="AV2736" i="1"/>
  <c r="AV2737" i="1"/>
  <c r="AV2738" i="1"/>
  <c r="AV2739" i="1"/>
  <c r="AV2740" i="1"/>
  <c r="AV2741" i="1"/>
  <c r="AV2742" i="1"/>
  <c r="AV2743" i="1"/>
  <c r="AV2744" i="1"/>
  <c r="AV2745" i="1"/>
  <c r="AV2746" i="1"/>
  <c r="AV2747" i="1"/>
  <c r="AV2748" i="1"/>
  <c r="AV2749" i="1"/>
  <c r="AV2750" i="1"/>
  <c r="AV2751" i="1"/>
  <c r="AV2752" i="1"/>
  <c r="AV2753" i="1"/>
  <c r="AV2754" i="1"/>
  <c r="AV2755" i="1"/>
  <c r="AV2756" i="1"/>
  <c r="AV2757" i="1"/>
  <c r="AV2758" i="1"/>
  <c r="AV2759" i="1"/>
  <c r="AV2760" i="1"/>
  <c r="AV2761" i="1"/>
  <c r="AV2762" i="1"/>
  <c r="AV2763" i="1"/>
  <c r="AV2764" i="1"/>
  <c r="AV2765" i="1"/>
  <c r="AV2766" i="1"/>
  <c r="AV2767" i="1"/>
  <c r="AV2768" i="1"/>
  <c r="AV2769" i="1"/>
  <c r="AV2770" i="1"/>
  <c r="AV2771" i="1"/>
  <c r="AV2772" i="1"/>
  <c r="AV2773" i="1"/>
  <c r="AV2774" i="1"/>
  <c r="AV2775" i="1"/>
  <c r="AV2776" i="1"/>
  <c r="AV2777" i="1"/>
  <c r="AV2778" i="1"/>
  <c r="AV2779" i="1"/>
  <c r="AV2780" i="1"/>
  <c r="AV2781" i="1"/>
  <c r="AV2782" i="1"/>
  <c r="AV2783" i="1"/>
  <c r="AV2784" i="1"/>
  <c r="AV2785" i="1"/>
  <c r="AV2786" i="1"/>
  <c r="AV2787" i="1"/>
  <c r="AV2788" i="1"/>
  <c r="AV2789" i="1"/>
  <c r="AV2790" i="1"/>
  <c r="AV2791" i="1"/>
  <c r="AV2792" i="1"/>
  <c r="AV2793" i="1"/>
  <c r="AV2794" i="1"/>
  <c r="AV2795" i="1"/>
  <c r="AV2796" i="1"/>
  <c r="AV2797" i="1"/>
  <c r="AV2798" i="1"/>
  <c r="AV2799" i="1"/>
  <c r="AV2800" i="1"/>
  <c r="AV2801" i="1"/>
  <c r="AV2802" i="1"/>
  <c r="AV2803" i="1"/>
  <c r="AV2804" i="1"/>
  <c r="AV2805" i="1"/>
  <c r="AV2806" i="1"/>
  <c r="AV2807" i="1"/>
  <c r="AV2808" i="1"/>
  <c r="AV2809" i="1"/>
  <c r="AV2810" i="1"/>
  <c r="AV2811" i="1"/>
  <c r="AV2812" i="1"/>
  <c r="AV2813" i="1"/>
  <c r="AV2814" i="1"/>
  <c r="AV2815" i="1"/>
  <c r="AV2816" i="1"/>
  <c r="AV2817" i="1"/>
  <c r="AV2818" i="1"/>
  <c r="AV2819" i="1"/>
  <c r="AV2820" i="1"/>
  <c r="AV2821" i="1"/>
  <c r="AV2822" i="1"/>
  <c r="AV2823" i="1"/>
  <c r="AV2824" i="1"/>
  <c r="AV2825" i="1"/>
  <c r="AV2826" i="1"/>
  <c r="AV2827" i="1"/>
  <c r="AV2828" i="1"/>
  <c r="AV2829" i="1"/>
  <c r="AV2830" i="1"/>
  <c r="AV2831" i="1"/>
  <c r="AV2832" i="1"/>
  <c r="AV2833" i="1"/>
  <c r="AV2834" i="1"/>
  <c r="AV2835" i="1"/>
  <c r="AV2836" i="1"/>
  <c r="AV2837" i="1"/>
  <c r="AV2838" i="1"/>
  <c r="AV2839" i="1"/>
  <c r="AV2840" i="1"/>
  <c r="AV2841" i="1"/>
  <c r="AV2842" i="1"/>
  <c r="AV2843" i="1"/>
  <c r="AV2844" i="1"/>
  <c r="AV2845" i="1"/>
  <c r="AV2846" i="1"/>
  <c r="AV2847" i="1"/>
  <c r="AV2848" i="1"/>
  <c r="AV2849" i="1"/>
  <c r="AV2850" i="1"/>
  <c r="AV2851" i="1"/>
  <c r="AV2852" i="1"/>
  <c r="AV2853" i="1"/>
  <c r="AV2854" i="1"/>
  <c r="AV2855" i="1"/>
  <c r="AV2856" i="1"/>
  <c r="AV2857" i="1"/>
  <c r="AV2858" i="1"/>
  <c r="AV2859" i="1"/>
  <c r="AV2860" i="1"/>
  <c r="AV2861" i="1"/>
  <c r="AV2862" i="1"/>
  <c r="AV2863" i="1"/>
  <c r="AV2864" i="1"/>
  <c r="AV2865" i="1"/>
  <c r="AV2866" i="1"/>
  <c r="AV2867" i="1"/>
  <c r="AV2868" i="1"/>
  <c r="AV2869" i="1"/>
  <c r="AV2870" i="1"/>
  <c r="AV2871" i="1"/>
  <c r="AV2872" i="1"/>
  <c r="AV2873" i="1"/>
  <c r="AV2874" i="1"/>
  <c r="AV2875" i="1"/>
  <c r="AV2876" i="1"/>
  <c r="AV2877" i="1"/>
  <c r="AV2878" i="1"/>
  <c r="AV2879" i="1"/>
  <c r="AV2880" i="1"/>
  <c r="AV2881" i="1"/>
  <c r="AV2882" i="1"/>
  <c r="AV2883" i="1"/>
  <c r="AV2884" i="1"/>
  <c r="AV2885" i="1"/>
  <c r="AV2886" i="1"/>
  <c r="AV2887" i="1"/>
  <c r="AV2888" i="1"/>
  <c r="AV2889" i="1"/>
  <c r="AV2890" i="1"/>
  <c r="AV2891" i="1"/>
  <c r="AV2892" i="1"/>
  <c r="AV2893" i="1"/>
  <c r="AV2894" i="1"/>
  <c r="AV2895" i="1"/>
  <c r="AV2896" i="1"/>
  <c r="AV2897" i="1"/>
  <c r="AV2898" i="1"/>
  <c r="AV2899" i="1"/>
  <c r="AV2900" i="1"/>
  <c r="AV2901" i="1"/>
  <c r="AV2902" i="1"/>
  <c r="AV2903" i="1"/>
  <c r="AV2904" i="1"/>
  <c r="AV2905" i="1"/>
  <c r="AV2906" i="1"/>
  <c r="AV2907" i="1"/>
  <c r="AV2908" i="1"/>
  <c r="AV2909" i="1"/>
  <c r="AV2910" i="1"/>
  <c r="AV2911" i="1"/>
  <c r="AV2912" i="1"/>
  <c r="AV2913" i="1"/>
  <c r="AV2914" i="1"/>
  <c r="AV2915" i="1"/>
  <c r="AV2916" i="1"/>
  <c r="AV2917" i="1"/>
  <c r="AV2918" i="1"/>
  <c r="AV2919" i="1"/>
  <c r="AV2920" i="1"/>
  <c r="AV2921" i="1"/>
  <c r="AV2922" i="1"/>
  <c r="AV2923" i="1"/>
  <c r="AV2924" i="1"/>
  <c r="AV2925" i="1"/>
  <c r="AV2926" i="1"/>
  <c r="AV2927" i="1"/>
  <c r="AV2928" i="1"/>
  <c r="AV2929" i="1"/>
  <c r="AV2930" i="1"/>
  <c r="AV2931" i="1"/>
  <c r="AV2932" i="1"/>
  <c r="AV2933" i="1"/>
  <c r="AV2934" i="1"/>
  <c r="AV2935" i="1"/>
  <c r="AV2936" i="1"/>
  <c r="AV2937" i="1"/>
  <c r="AV2938" i="1"/>
  <c r="AV2939" i="1"/>
  <c r="AV2940" i="1"/>
  <c r="AV2941" i="1"/>
  <c r="AV2942" i="1"/>
  <c r="AV2943" i="1"/>
  <c r="AV2944" i="1"/>
  <c r="AV2945" i="1"/>
  <c r="AV2946" i="1"/>
  <c r="AV2947" i="1"/>
  <c r="AV2948" i="1"/>
  <c r="AV2949" i="1"/>
  <c r="AV2950" i="1"/>
  <c r="AV2951" i="1"/>
  <c r="AV2952" i="1"/>
  <c r="AV2953" i="1"/>
  <c r="AV2954" i="1"/>
  <c r="AV2955" i="1"/>
  <c r="AV2956" i="1"/>
  <c r="AV2957" i="1"/>
  <c r="AV2958" i="1"/>
  <c r="AV2959" i="1"/>
  <c r="AV2960" i="1"/>
  <c r="AV2961" i="1"/>
  <c r="AV2962" i="1"/>
  <c r="AV2963" i="1"/>
  <c r="AV2964" i="1"/>
  <c r="AV2965" i="1"/>
  <c r="AV2966" i="1"/>
  <c r="AV2967" i="1"/>
  <c r="AV2968" i="1"/>
  <c r="AV2969" i="1"/>
  <c r="AV2970" i="1"/>
  <c r="AV2971" i="1"/>
  <c r="AV2972" i="1"/>
  <c r="AV2973" i="1"/>
  <c r="AV2974" i="1"/>
  <c r="AV2975" i="1"/>
  <c r="AV2976" i="1"/>
  <c r="AV2977" i="1"/>
  <c r="AV2978" i="1"/>
  <c r="AV2979" i="1"/>
  <c r="AV2980" i="1"/>
  <c r="AV2981" i="1"/>
  <c r="AV2982" i="1"/>
  <c r="AV2983" i="1"/>
  <c r="AV2984" i="1"/>
  <c r="AV2985" i="1"/>
  <c r="AV2986" i="1"/>
  <c r="AV2987" i="1"/>
  <c r="AV2988" i="1"/>
  <c r="AV2989" i="1"/>
  <c r="AV2990" i="1"/>
  <c r="AV2991" i="1"/>
  <c r="AV2992" i="1"/>
  <c r="AV2993" i="1"/>
  <c r="AV2994" i="1"/>
  <c r="AV2995" i="1"/>
  <c r="AV2996" i="1"/>
  <c r="AV2997" i="1"/>
  <c r="AV2998" i="1"/>
  <c r="AV2999" i="1"/>
  <c r="AV3000" i="1"/>
  <c r="AV3001" i="1"/>
  <c r="AV3002" i="1"/>
  <c r="AV3003" i="1"/>
  <c r="AV3004" i="1"/>
  <c r="AV3005" i="1"/>
  <c r="AV3006" i="1"/>
  <c r="AV3007" i="1"/>
  <c r="AV3008" i="1"/>
  <c r="AV3009" i="1"/>
  <c r="AV3010" i="1"/>
  <c r="AV3011" i="1"/>
  <c r="AV3012" i="1"/>
  <c r="AV3013" i="1"/>
  <c r="AV3014" i="1"/>
  <c r="AV3015" i="1"/>
  <c r="AV3016" i="1"/>
  <c r="AV3017" i="1"/>
  <c r="AV3018" i="1"/>
  <c r="AV3019" i="1"/>
  <c r="AV3020" i="1"/>
  <c r="AV3021" i="1"/>
  <c r="AV3022" i="1"/>
  <c r="AV3023" i="1"/>
  <c r="AV3024" i="1"/>
  <c r="AV3025" i="1"/>
  <c r="AV3026" i="1"/>
  <c r="AV3027" i="1"/>
  <c r="AV3028" i="1"/>
  <c r="AV3029" i="1"/>
  <c r="AV3030" i="1"/>
  <c r="AV3031" i="1"/>
  <c r="AV3032" i="1"/>
  <c r="AV3033" i="1"/>
  <c r="AV3034" i="1"/>
  <c r="AV3035" i="1"/>
  <c r="AV3036" i="1"/>
  <c r="AV3037" i="1"/>
  <c r="AV3038" i="1"/>
  <c r="AV3039" i="1"/>
  <c r="AV3040" i="1"/>
  <c r="AV3041" i="1"/>
  <c r="AV3042" i="1"/>
  <c r="AV3043" i="1"/>
  <c r="AV3044" i="1"/>
  <c r="AV3045" i="1"/>
  <c r="AV3046" i="1"/>
  <c r="AV3047" i="1"/>
  <c r="AV3048" i="1"/>
  <c r="AV3049" i="1"/>
  <c r="AV3050" i="1"/>
  <c r="AV3051" i="1"/>
  <c r="AV3052" i="1"/>
  <c r="AV3053" i="1"/>
  <c r="AV3054" i="1"/>
  <c r="AV3055" i="1"/>
  <c r="AV3056" i="1"/>
  <c r="AV3057" i="1"/>
  <c r="AV3058" i="1"/>
  <c r="AV3059" i="1"/>
  <c r="AV3060" i="1"/>
  <c r="AV3061" i="1"/>
  <c r="AV3062" i="1"/>
  <c r="AV3063" i="1"/>
  <c r="AV3064" i="1"/>
  <c r="AV3065" i="1"/>
  <c r="AV3066" i="1"/>
  <c r="AV3067" i="1"/>
  <c r="AV3068" i="1"/>
  <c r="AV3069" i="1"/>
  <c r="AV3070" i="1"/>
  <c r="AV3071" i="1"/>
  <c r="AV3072" i="1"/>
  <c r="AV3073" i="1"/>
  <c r="AV3074" i="1"/>
  <c r="AV3075" i="1"/>
  <c r="AV3076" i="1"/>
  <c r="AV3077" i="1"/>
  <c r="AV3078" i="1"/>
  <c r="AV3079" i="1"/>
  <c r="AV3080" i="1"/>
  <c r="AV3081" i="1"/>
  <c r="AV3082" i="1"/>
  <c r="AV3083" i="1"/>
  <c r="AV3084" i="1"/>
  <c r="AV3085" i="1"/>
  <c r="AV3086" i="1"/>
  <c r="AV3087" i="1"/>
  <c r="AV3088" i="1"/>
  <c r="AV3089" i="1"/>
  <c r="AV3090" i="1"/>
  <c r="AV3091" i="1"/>
  <c r="AV3092" i="1"/>
  <c r="AV3093" i="1"/>
  <c r="AV3094" i="1"/>
  <c r="AV3095" i="1"/>
  <c r="AV3096" i="1"/>
  <c r="AV3097" i="1"/>
  <c r="AV3098" i="1"/>
  <c r="AV3099" i="1"/>
  <c r="AV3100" i="1"/>
  <c r="AV3101" i="1"/>
  <c r="AV3102" i="1"/>
  <c r="AV3103" i="1"/>
  <c r="AV3104" i="1"/>
  <c r="AV3105" i="1"/>
  <c r="AV3106" i="1"/>
  <c r="AV3107" i="1"/>
  <c r="AV3108" i="1"/>
  <c r="AV3109" i="1"/>
  <c r="AV3110" i="1"/>
  <c r="AV3111" i="1"/>
  <c r="AV3112" i="1"/>
  <c r="AV3113" i="1"/>
  <c r="AV3114" i="1"/>
  <c r="AV3115" i="1"/>
  <c r="AV3116" i="1"/>
  <c r="AV3117" i="1"/>
  <c r="AV3118" i="1"/>
  <c r="AV3119" i="1"/>
  <c r="AV3120" i="1"/>
  <c r="AV3121" i="1"/>
  <c r="AV3122" i="1"/>
  <c r="AV3123" i="1"/>
  <c r="AV3124" i="1"/>
  <c r="AV3125" i="1"/>
  <c r="AV3126" i="1"/>
  <c r="AV3127" i="1"/>
  <c r="AV3128" i="1"/>
  <c r="AV3129" i="1"/>
  <c r="AV3130" i="1"/>
  <c r="AV3131" i="1"/>
  <c r="AV3132" i="1"/>
  <c r="AV3133" i="1"/>
  <c r="AV3134" i="1"/>
  <c r="AV3135" i="1"/>
  <c r="AV3136" i="1"/>
  <c r="AV3137" i="1"/>
  <c r="AV3138" i="1"/>
  <c r="AV3139" i="1"/>
  <c r="AV3140" i="1"/>
  <c r="AV3141" i="1"/>
  <c r="AV3142" i="1"/>
  <c r="AV3143" i="1"/>
  <c r="AV3144" i="1"/>
  <c r="AV3145" i="1"/>
  <c r="AV3146" i="1"/>
  <c r="AV3147" i="1"/>
  <c r="AV3148" i="1"/>
  <c r="AV3149" i="1"/>
  <c r="AV3150" i="1"/>
  <c r="AV3151" i="1"/>
  <c r="AV3152" i="1"/>
  <c r="AV3153" i="1"/>
  <c r="AV3154" i="1"/>
  <c r="AV3155" i="1"/>
  <c r="AV3156" i="1"/>
  <c r="AV3157" i="1"/>
  <c r="AV3158" i="1"/>
  <c r="AV3159" i="1"/>
  <c r="AV3160" i="1"/>
  <c r="AV3161" i="1"/>
  <c r="AV3162" i="1"/>
  <c r="AV3163" i="1"/>
  <c r="AV3164" i="1"/>
  <c r="AV3165" i="1"/>
  <c r="AV3166" i="1"/>
  <c r="AV3167" i="1"/>
  <c r="AV3168" i="1"/>
  <c r="AV3169" i="1"/>
  <c r="AV3170" i="1"/>
  <c r="AV3171" i="1"/>
  <c r="AV3172" i="1"/>
  <c r="AV3173" i="1"/>
  <c r="AV3174" i="1"/>
  <c r="AV3175" i="1"/>
  <c r="AV3176" i="1"/>
  <c r="AV3177" i="1"/>
  <c r="AV3178" i="1"/>
  <c r="AV3179" i="1"/>
  <c r="AV3180" i="1"/>
  <c r="AV3181" i="1"/>
  <c r="AV3182" i="1"/>
  <c r="AV3183" i="1"/>
  <c r="AV3184" i="1"/>
  <c r="AV3185" i="1"/>
  <c r="AV3186" i="1"/>
  <c r="AV3187" i="1"/>
  <c r="AV3188" i="1"/>
  <c r="AV3189" i="1"/>
  <c r="AV3190" i="1"/>
  <c r="AV3191" i="1"/>
  <c r="AV3192" i="1"/>
  <c r="AV3193" i="1"/>
  <c r="AV3194" i="1"/>
  <c r="AV3195" i="1"/>
  <c r="AV3196" i="1"/>
  <c r="AV3197" i="1"/>
  <c r="AV3198" i="1"/>
  <c r="AV3199" i="1"/>
  <c r="AV3200" i="1"/>
  <c r="AV3201" i="1"/>
  <c r="AV3202" i="1"/>
  <c r="AV3203" i="1"/>
  <c r="AV3204" i="1"/>
  <c r="AV3205" i="1"/>
  <c r="AV3206" i="1"/>
  <c r="AV3207" i="1"/>
  <c r="AV3208" i="1"/>
  <c r="AV3209" i="1"/>
  <c r="AV3210" i="1"/>
  <c r="AV3211" i="1"/>
  <c r="AV3212" i="1"/>
  <c r="AV3213" i="1"/>
  <c r="AV3214" i="1"/>
  <c r="AV3215" i="1"/>
  <c r="AV3216" i="1"/>
  <c r="AV3217" i="1"/>
  <c r="AV3218" i="1"/>
  <c r="AV3219" i="1"/>
  <c r="AV3220" i="1"/>
  <c r="AV3221" i="1"/>
  <c r="AV3222" i="1"/>
  <c r="AV3223" i="1"/>
  <c r="AV3224" i="1"/>
  <c r="AV3225" i="1"/>
  <c r="AV3226" i="1"/>
  <c r="AV3227" i="1"/>
  <c r="AV3228" i="1"/>
  <c r="AV3229" i="1"/>
  <c r="AV3230" i="1"/>
  <c r="AV3231" i="1"/>
  <c r="AV3232" i="1"/>
  <c r="AV3233" i="1"/>
  <c r="AV3234" i="1"/>
  <c r="AV3235" i="1"/>
  <c r="AV3236" i="1"/>
  <c r="AV3237" i="1"/>
  <c r="AV3238" i="1"/>
  <c r="AV3239" i="1"/>
  <c r="AV3240" i="1"/>
  <c r="AV3241" i="1"/>
  <c r="AV3242" i="1"/>
  <c r="AV3243" i="1"/>
  <c r="AV3244" i="1"/>
  <c r="AV3245" i="1"/>
  <c r="AV3246" i="1"/>
  <c r="AV3247" i="1"/>
  <c r="AV3248" i="1"/>
  <c r="AV3249" i="1"/>
  <c r="AV3250" i="1"/>
  <c r="AV3251" i="1"/>
  <c r="AV3252" i="1"/>
  <c r="AV3253" i="1"/>
  <c r="AV3254" i="1"/>
  <c r="AV3255" i="1"/>
  <c r="AV3256" i="1"/>
  <c r="AV3257" i="1"/>
  <c r="AV3258" i="1"/>
  <c r="AV3259" i="1"/>
  <c r="AV3260" i="1"/>
  <c r="AV3261" i="1"/>
  <c r="AV3262" i="1"/>
  <c r="AV3263" i="1"/>
  <c r="AV3264" i="1"/>
  <c r="AV3265" i="1"/>
  <c r="AV3266" i="1"/>
  <c r="AV3267" i="1"/>
  <c r="AV3268" i="1"/>
  <c r="AV3269" i="1"/>
  <c r="AV3270" i="1"/>
  <c r="AV3271" i="1"/>
  <c r="AV3272" i="1"/>
  <c r="AV3273" i="1"/>
  <c r="AV3274" i="1"/>
  <c r="AV3275" i="1"/>
  <c r="AV3276" i="1"/>
  <c r="AV3277" i="1"/>
  <c r="AV3278" i="1"/>
  <c r="AV3279" i="1"/>
  <c r="AV3280" i="1"/>
  <c r="AV3281" i="1"/>
  <c r="AV3282" i="1"/>
  <c r="AV3283" i="1"/>
  <c r="AV3284" i="1"/>
  <c r="AV3285" i="1"/>
  <c r="AV3286" i="1"/>
  <c r="AV3287" i="1"/>
  <c r="AV3288" i="1"/>
  <c r="AV3289" i="1"/>
  <c r="AV3290" i="1"/>
  <c r="AV3291" i="1"/>
  <c r="AV3292" i="1"/>
  <c r="AV3293" i="1"/>
  <c r="AV3294" i="1"/>
  <c r="AV3295" i="1"/>
  <c r="AV3296" i="1"/>
  <c r="AV3297" i="1"/>
  <c r="AV3298" i="1"/>
  <c r="AV3299" i="1"/>
  <c r="AV3300" i="1"/>
  <c r="AV3301" i="1"/>
  <c r="AV3302" i="1"/>
  <c r="AV3303" i="1"/>
  <c r="AV3304" i="1"/>
  <c r="AV3305" i="1"/>
  <c r="AV3306" i="1"/>
  <c r="AV3307" i="1"/>
  <c r="AV3308" i="1"/>
  <c r="AV3309" i="1"/>
  <c r="AV3310" i="1"/>
  <c r="AV3311" i="1"/>
  <c r="AV3312" i="1"/>
  <c r="AV3313" i="1"/>
  <c r="AV3314" i="1"/>
  <c r="AV3315" i="1"/>
  <c r="AV3316" i="1"/>
  <c r="AV3317" i="1"/>
  <c r="AV3318" i="1"/>
  <c r="AV3319" i="1"/>
  <c r="AV3320" i="1"/>
  <c r="AV3321" i="1"/>
  <c r="AV3322" i="1"/>
  <c r="AV3323" i="1"/>
  <c r="AV3324" i="1"/>
  <c r="AV3325" i="1"/>
  <c r="AV3326" i="1"/>
  <c r="AV3327" i="1"/>
  <c r="AV3328" i="1"/>
  <c r="AV3329" i="1"/>
  <c r="AV3330" i="1"/>
  <c r="AV3331" i="1"/>
  <c r="AV3332" i="1"/>
  <c r="AV3333" i="1"/>
  <c r="AV3334" i="1"/>
  <c r="AV3335" i="1"/>
  <c r="AV3336" i="1"/>
  <c r="AV3337" i="1"/>
  <c r="AV3338" i="1"/>
  <c r="AV3339" i="1"/>
  <c r="AV3340" i="1"/>
  <c r="AV3341" i="1"/>
  <c r="AV3342" i="1"/>
  <c r="AV3343" i="1"/>
  <c r="AV3344" i="1"/>
  <c r="AV3345" i="1"/>
  <c r="AV3346" i="1"/>
  <c r="AV3347" i="1"/>
  <c r="AV3348" i="1"/>
  <c r="AV3349" i="1"/>
  <c r="AV3350" i="1"/>
  <c r="AV3351" i="1"/>
  <c r="AV3352" i="1"/>
  <c r="AV3353" i="1"/>
  <c r="AV3354" i="1"/>
  <c r="AV3355" i="1"/>
  <c r="AV3356" i="1"/>
  <c r="AV3357" i="1"/>
  <c r="AV3358" i="1"/>
  <c r="AV3359" i="1"/>
  <c r="AV3360" i="1"/>
  <c r="AV3361" i="1"/>
  <c r="AV3362" i="1"/>
  <c r="AV3363" i="1"/>
  <c r="AV3364" i="1"/>
  <c r="AV3365" i="1"/>
  <c r="AV3366" i="1"/>
  <c r="AV3367" i="1"/>
  <c r="AV3368" i="1"/>
  <c r="AV3369" i="1"/>
  <c r="AV3370" i="1"/>
  <c r="AV3371" i="1"/>
  <c r="AV3372" i="1"/>
  <c r="AV3373" i="1"/>
  <c r="AV3374" i="1"/>
  <c r="AV3375" i="1"/>
  <c r="AV3376" i="1"/>
  <c r="AV3377" i="1"/>
  <c r="AV3378" i="1"/>
  <c r="AV3379" i="1"/>
  <c r="AV3380" i="1"/>
  <c r="AV3381" i="1"/>
  <c r="AV3382" i="1"/>
  <c r="AV3383" i="1"/>
  <c r="AV3384" i="1"/>
  <c r="AV3385" i="1"/>
  <c r="AV3386" i="1"/>
  <c r="AV3387" i="1"/>
  <c r="AV3388" i="1"/>
  <c r="AV3389" i="1"/>
  <c r="AV3390" i="1"/>
  <c r="AV3391" i="1"/>
  <c r="AV3392" i="1"/>
  <c r="AV3393" i="1"/>
  <c r="AV3394" i="1"/>
  <c r="AV3395" i="1"/>
  <c r="AV3396" i="1"/>
  <c r="AV3397" i="1"/>
  <c r="AV3398" i="1"/>
  <c r="AV3399" i="1"/>
  <c r="AV3400" i="1"/>
  <c r="AV3401" i="1"/>
  <c r="AV3402" i="1"/>
  <c r="AV3403" i="1"/>
  <c r="AV3404" i="1"/>
  <c r="AV3405" i="1"/>
  <c r="AV3406" i="1"/>
  <c r="AV3407" i="1"/>
  <c r="AV3408" i="1"/>
  <c r="AV3409" i="1"/>
  <c r="AV3410" i="1"/>
  <c r="AV3411" i="1"/>
  <c r="AV3412" i="1"/>
  <c r="AV3413" i="1"/>
  <c r="AV3414" i="1"/>
  <c r="AV3415" i="1"/>
  <c r="AV3416" i="1"/>
  <c r="AV3417" i="1"/>
  <c r="AV3418" i="1"/>
  <c r="AV3419" i="1"/>
  <c r="AV3420" i="1"/>
  <c r="AV3421" i="1"/>
  <c r="AV3422" i="1"/>
  <c r="AV3423" i="1"/>
  <c r="AV3424" i="1"/>
  <c r="AV3425" i="1"/>
  <c r="AV3426" i="1"/>
  <c r="AV3427" i="1"/>
  <c r="AV3428" i="1"/>
  <c r="AV3429" i="1"/>
  <c r="AV3430" i="1"/>
  <c r="AV3431" i="1"/>
  <c r="AV3432" i="1"/>
  <c r="AV3433" i="1"/>
  <c r="AV3434" i="1"/>
  <c r="AV3435" i="1"/>
  <c r="AV3436" i="1"/>
  <c r="AV3437" i="1"/>
  <c r="AV3438" i="1"/>
  <c r="AV3439" i="1"/>
  <c r="AV3440" i="1"/>
  <c r="AV3441" i="1"/>
  <c r="AV3442" i="1"/>
  <c r="AV3443" i="1"/>
  <c r="AV3444" i="1"/>
  <c r="AV3445" i="1"/>
  <c r="AV3446" i="1"/>
  <c r="AV3447" i="1"/>
  <c r="AV3448" i="1"/>
  <c r="AV3449" i="1"/>
  <c r="AV3450" i="1"/>
  <c r="AV3451" i="1"/>
  <c r="AV3452" i="1"/>
  <c r="AV3453" i="1"/>
  <c r="AV3454" i="1"/>
  <c r="AV3455" i="1"/>
  <c r="AV3456" i="1"/>
  <c r="AV3457" i="1"/>
  <c r="AV3458" i="1"/>
  <c r="AV3459" i="1"/>
  <c r="AV3460" i="1"/>
  <c r="AV3461" i="1"/>
  <c r="AV3462" i="1"/>
  <c r="AV3463" i="1"/>
  <c r="AV3464" i="1"/>
  <c r="AV3465" i="1"/>
  <c r="AV3466" i="1"/>
  <c r="AV3467" i="1"/>
  <c r="AV3468" i="1"/>
  <c r="AV3469" i="1"/>
  <c r="AV3470" i="1"/>
  <c r="AV3471" i="1"/>
  <c r="AV3472" i="1"/>
  <c r="AV3473" i="1"/>
  <c r="AV3474" i="1"/>
  <c r="AV3475" i="1"/>
  <c r="AV3476" i="1"/>
  <c r="AV3477" i="1"/>
  <c r="AV3478" i="1"/>
  <c r="AV3479" i="1"/>
  <c r="AV3480" i="1"/>
  <c r="AV3481" i="1"/>
  <c r="AV3482" i="1"/>
  <c r="AV3483" i="1"/>
  <c r="AV3484" i="1"/>
  <c r="AV3485" i="1"/>
  <c r="AV3486" i="1"/>
  <c r="AV3487" i="1"/>
  <c r="AV3488" i="1"/>
  <c r="AV3489" i="1"/>
  <c r="AV3490" i="1"/>
  <c r="AV3491" i="1"/>
  <c r="AV3492" i="1"/>
  <c r="AV3493" i="1"/>
  <c r="AV3494" i="1"/>
  <c r="AV3495" i="1"/>
  <c r="AV3496" i="1"/>
  <c r="AV3497" i="1"/>
  <c r="AV3498" i="1"/>
  <c r="AV3499" i="1"/>
  <c r="AV3500" i="1"/>
  <c r="AV3501" i="1"/>
  <c r="AV3502" i="1"/>
  <c r="AV3503" i="1"/>
  <c r="AV3504" i="1"/>
  <c r="AV3505" i="1"/>
  <c r="AV3506" i="1"/>
  <c r="AV3507" i="1"/>
  <c r="AV3508" i="1"/>
  <c r="AV3509" i="1"/>
  <c r="AV3510" i="1"/>
  <c r="AV3511" i="1"/>
  <c r="AV3512" i="1"/>
  <c r="AV3513" i="1"/>
  <c r="AV3514" i="1"/>
  <c r="AV3515" i="1"/>
  <c r="AV3516" i="1"/>
  <c r="AV3517" i="1"/>
  <c r="AV3518" i="1"/>
  <c r="AV3519" i="1"/>
  <c r="AV3520" i="1"/>
  <c r="AV3521" i="1"/>
  <c r="AV3522" i="1"/>
  <c r="AV3523" i="1"/>
  <c r="AV3524" i="1"/>
  <c r="AV3525" i="1"/>
  <c r="AV3526" i="1"/>
  <c r="AV3527" i="1"/>
  <c r="AV3528" i="1"/>
  <c r="AV3529" i="1"/>
  <c r="AV3530" i="1"/>
  <c r="AV3531" i="1"/>
  <c r="AV3532" i="1"/>
  <c r="AV3533" i="1"/>
  <c r="AV3534" i="1"/>
  <c r="AV3535" i="1"/>
  <c r="AV3536" i="1"/>
  <c r="AV3537" i="1"/>
  <c r="AV3538" i="1"/>
  <c r="AV3539" i="1"/>
  <c r="AV3540" i="1"/>
  <c r="AV3541" i="1"/>
  <c r="AV3542" i="1"/>
  <c r="AV3543" i="1"/>
  <c r="AV3544" i="1"/>
  <c r="AV3545" i="1"/>
  <c r="AV3546" i="1"/>
  <c r="AV3547" i="1"/>
  <c r="AV3548" i="1"/>
  <c r="AV3549" i="1"/>
  <c r="AV3550" i="1"/>
  <c r="AV3551" i="1"/>
  <c r="AV3552" i="1"/>
  <c r="AV3553" i="1"/>
  <c r="AV3554" i="1"/>
  <c r="AV3555" i="1"/>
  <c r="AV3556" i="1"/>
  <c r="AV3557" i="1"/>
  <c r="AV3558" i="1"/>
  <c r="AV3559" i="1"/>
  <c r="AV3560" i="1"/>
  <c r="AV3561" i="1"/>
  <c r="AV3562" i="1"/>
  <c r="AV3563" i="1"/>
  <c r="AV3564" i="1"/>
  <c r="AV3565" i="1"/>
  <c r="AV3566" i="1"/>
  <c r="AV3567" i="1"/>
  <c r="AV3568" i="1"/>
  <c r="AV3569" i="1"/>
  <c r="AV3570" i="1"/>
  <c r="AV3571" i="1"/>
  <c r="AV3572" i="1"/>
  <c r="AV3573" i="1"/>
  <c r="AV3574" i="1"/>
  <c r="AV3575" i="1"/>
  <c r="AV3576" i="1"/>
  <c r="AV3577" i="1"/>
  <c r="AV3578" i="1"/>
  <c r="AV3579" i="1"/>
  <c r="AV3580" i="1"/>
  <c r="AV3581" i="1"/>
  <c r="AV3582" i="1"/>
  <c r="AV3583" i="1"/>
  <c r="AV3584" i="1"/>
  <c r="AV3585" i="1"/>
  <c r="AV3586" i="1"/>
  <c r="AV3587" i="1"/>
  <c r="AV3588" i="1"/>
  <c r="AV3589" i="1"/>
  <c r="AV3590" i="1"/>
  <c r="AV3591" i="1"/>
  <c r="AV3592" i="1"/>
  <c r="AV3593" i="1"/>
  <c r="AV3594" i="1"/>
  <c r="AV3595" i="1"/>
  <c r="AV3596" i="1"/>
  <c r="AV3597" i="1"/>
  <c r="AV3598" i="1"/>
  <c r="AV3599" i="1"/>
  <c r="AV3600" i="1"/>
  <c r="AV3601" i="1"/>
  <c r="AV3602" i="1"/>
  <c r="AV3603" i="1"/>
  <c r="AV3604" i="1"/>
  <c r="AV3605" i="1"/>
  <c r="AV3606" i="1"/>
  <c r="AV3607" i="1"/>
  <c r="AV3608" i="1"/>
  <c r="AV3609" i="1"/>
  <c r="AV3610" i="1"/>
  <c r="AV3611" i="1"/>
  <c r="AV3612" i="1"/>
  <c r="AV3613" i="1"/>
  <c r="AV3614" i="1"/>
  <c r="AV3615" i="1"/>
  <c r="AV3616" i="1"/>
  <c r="AV3617" i="1"/>
  <c r="AV3618" i="1"/>
  <c r="AV3619" i="1"/>
  <c r="AV3620" i="1"/>
  <c r="AV3621" i="1"/>
  <c r="AV3622" i="1"/>
  <c r="AV3623" i="1"/>
  <c r="AV3624" i="1"/>
  <c r="AV3625" i="1"/>
  <c r="AV3626" i="1"/>
  <c r="AV3627" i="1"/>
  <c r="AV3628" i="1"/>
  <c r="AV3629" i="1"/>
  <c r="AV3630" i="1"/>
  <c r="AV3631" i="1"/>
  <c r="AV3632" i="1"/>
  <c r="AV3633" i="1"/>
  <c r="AV3634" i="1"/>
  <c r="AV3635" i="1"/>
  <c r="AV3636" i="1"/>
  <c r="AV3637" i="1"/>
  <c r="AV3638" i="1"/>
  <c r="AV3639" i="1"/>
  <c r="AV3640" i="1"/>
  <c r="AV3641" i="1"/>
  <c r="AV3642" i="1"/>
  <c r="AV3643" i="1"/>
  <c r="AV3644" i="1"/>
  <c r="AV3645" i="1"/>
  <c r="AV3646" i="1"/>
  <c r="AV3647" i="1"/>
  <c r="AV3648" i="1"/>
  <c r="AV3649" i="1"/>
  <c r="AV3650" i="1"/>
  <c r="AV3651" i="1"/>
  <c r="AV3652" i="1"/>
  <c r="AV3653" i="1"/>
  <c r="AV3654" i="1"/>
  <c r="AV3655" i="1"/>
  <c r="AV3656" i="1"/>
  <c r="AV3657" i="1"/>
  <c r="AV3658" i="1"/>
  <c r="AV3659" i="1"/>
  <c r="AV3660" i="1"/>
  <c r="AV3661" i="1"/>
  <c r="AV3662" i="1"/>
  <c r="AV3663" i="1"/>
  <c r="AV3664" i="1"/>
  <c r="AV3665" i="1"/>
  <c r="AV3666" i="1"/>
  <c r="AV3667" i="1"/>
  <c r="AV3668" i="1"/>
  <c r="AV3669" i="1"/>
  <c r="AV3670" i="1"/>
  <c r="AV3671" i="1"/>
  <c r="AV3672" i="1"/>
  <c r="AV3673" i="1"/>
  <c r="AV3674" i="1"/>
  <c r="AV3675" i="1"/>
  <c r="AV3676" i="1"/>
  <c r="AV3677" i="1"/>
  <c r="AV3678" i="1"/>
  <c r="AV3679" i="1"/>
  <c r="AV3680" i="1"/>
  <c r="AV3681" i="1"/>
  <c r="AV3682" i="1"/>
  <c r="AV3683" i="1"/>
  <c r="AV3684" i="1"/>
  <c r="AV3685" i="1"/>
  <c r="AV3686" i="1"/>
  <c r="AV3687" i="1"/>
  <c r="AV3688" i="1"/>
  <c r="AV3689" i="1"/>
  <c r="AV3690" i="1"/>
  <c r="AV3691" i="1"/>
  <c r="AV3692" i="1"/>
  <c r="AV3693" i="1"/>
  <c r="AV3694" i="1"/>
  <c r="AV3695" i="1"/>
  <c r="AV3696" i="1"/>
  <c r="AV3697" i="1"/>
  <c r="AV3698" i="1"/>
  <c r="AV3699" i="1"/>
  <c r="AV3700" i="1"/>
  <c r="AV3701" i="1"/>
  <c r="AV3702" i="1"/>
  <c r="AV3703" i="1"/>
  <c r="AV3704" i="1"/>
  <c r="AV3705" i="1"/>
  <c r="AV3706" i="1"/>
  <c r="AV3707" i="1"/>
  <c r="AV3708" i="1"/>
  <c r="AV3709" i="1"/>
  <c r="AV3710" i="1"/>
  <c r="AV3711" i="1"/>
  <c r="AV3712" i="1"/>
  <c r="AV3713" i="1"/>
  <c r="AV3714" i="1"/>
  <c r="AV3715" i="1"/>
  <c r="AV3716" i="1"/>
  <c r="AV3717" i="1"/>
  <c r="AV3718" i="1"/>
  <c r="AV3719" i="1"/>
  <c r="AV3720" i="1"/>
  <c r="AV3721" i="1"/>
  <c r="AV3722" i="1"/>
  <c r="AV3723" i="1"/>
  <c r="AV3724" i="1"/>
  <c r="AV3725" i="1"/>
  <c r="AV3726" i="1"/>
  <c r="AV3727" i="1"/>
  <c r="AV3728" i="1"/>
  <c r="AV3729" i="1"/>
  <c r="AV3730" i="1"/>
  <c r="AV3731" i="1"/>
  <c r="AV3732" i="1"/>
  <c r="AV3733" i="1"/>
  <c r="AV3734" i="1"/>
  <c r="AV3735" i="1"/>
  <c r="AV3736" i="1"/>
  <c r="AV3737" i="1"/>
  <c r="AV3738" i="1"/>
  <c r="AV3739" i="1"/>
  <c r="AV3740" i="1"/>
  <c r="AV3741" i="1"/>
  <c r="AV3742" i="1"/>
  <c r="AV3743" i="1"/>
  <c r="AV3744" i="1"/>
  <c r="AV3745" i="1"/>
  <c r="AV3746" i="1"/>
  <c r="AV3747" i="1"/>
  <c r="AV3748" i="1"/>
  <c r="AV3749" i="1"/>
  <c r="AV3750" i="1"/>
  <c r="AV3751" i="1"/>
  <c r="AV3752" i="1"/>
  <c r="AV3753" i="1"/>
  <c r="AV3754" i="1"/>
  <c r="AV3755" i="1"/>
  <c r="AV3756" i="1"/>
  <c r="AV3757" i="1"/>
  <c r="AV3758" i="1"/>
  <c r="AV3759" i="1"/>
  <c r="AV3760" i="1"/>
  <c r="AV3761" i="1"/>
  <c r="AV3762" i="1"/>
  <c r="AV3763" i="1"/>
  <c r="AV3764" i="1"/>
  <c r="AV3765" i="1"/>
  <c r="AV3766" i="1"/>
  <c r="AV3767" i="1"/>
  <c r="AV3768" i="1"/>
  <c r="AV3769" i="1"/>
  <c r="AV3770" i="1"/>
  <c r="AV3771" i="1"/>
  <c r="AV3772" i="1"/>
  <c r="AV3773" i="1"/>
  <c r="AV3774" i="1"/>
  <c r="AV3775" i="1"/>
  <c r="AV3776" i="1"/>
  <c r="AV3777" i="1"/>
  <c r="AV3778" i="1"/>
  <c r="AV3779" i="1"/>
  <c r="AV3780" i="1"/>
  <c r="AV3781" i="1"/>
  <c r="AV3782" i="1"/>
  <c r="AV3783" i="1"/>
  <c r="AV3784" i="1"/>
  <c r="AV3785" i="1"/>
  <c r="AV3786" i="1"/>
  <c r="AV3787" i="1"/>
  <c r="AV3788" i="1"/>
  <c r="AV3789" i="1"/>
  <c r="AV3790" i="1"/>
  <c r="AV3791" i="1"/>
  <c r="AV3792" i="1"/>
  <c r="AV3793" i="1"/>
  <c r="AV3794" i="1"/>
  <c r="AV3795" i="1"/>
  <c r="AV3796" i="1"/>
  <c r="AV3797" i="1"/>
  <c r="AV3798" i="1"/>
  <c r="AV3799" i="1"/>
  <c r="AV3800" i="1"/>
  <c r="AV3801" i="1"/>
  <c r="AV3802" i="1"/>
  <c r="AV3803" i="1"/>
  <c r="AV3804" i="1"/>
  <c r="AV3805" i="1"/>
  <c r="AV3806" i="1"/>
  <c r="AV3807" i="1"/>
  <c r="AV3808" i="1"/>
  <c r="AV3809" i="1"/>
  <c r="AV3810" i="1"/>
  <c r="AV3811" i="1"/>
  <c r="AV3812" i="1"/>
  <c r="AV3813" i="1"/>
  <c r="AV3814" i="1"/>
  <c r="AV3815" i="1"/>
  <c r="AV3816" i="1"/>
  <c r="AV3817" i="1"/>
  <c r="AV3818" i="1"/>
  <c r="AV3819" i="1"/>
  <c r="AV3820" i="1"/>
  <c r="AV3821" i="1"/>
  <c r="AV3822" i="1"/>
  <c r="AV3823" i="1"/>
  <c r="AV3824" i="1"/>
  <c r="AV3825" i="1"/>
  <c r="AV3826" i="1"/>
  <c r="AV3827" i="1"/>
  <c r="AV3828" i="1"/>
  <c r="AV3829" i="1"/>
  <c r="AV3830" i="1"/>
  <c r="AV3831" i="1"/>
  <c r="AV3832" i="1"/>
  <c r="AV3833" i="1"/>
  <c r="AV3834" i="1"/>
  <c r="AV3835" i="1"/>
  <c r="AV3836" i="1"/>
  <c r="AV3837" i="1"/>
  <c r="AV3838" i="1"/>
  <c r="AV3839" i="1"/>
  <c r="AV3840" i="1"/>
  <c r="AV3841" i="1"/>
  <c r="AV3842" i="1"/>
  <c r="AV3843" i="1"/>
  <c r="AV3844" i="1"/>
  <c r="AV3845" i="1"/>
  <c r="AV3846" i="1"/>
  <c r="AV3847" i="1"/>
  <c r="AV3848" i="1"/>
  <c r="AV3849" i="1"/>
  <c r="AV3850" i="1"/>
  <c r="AV3851" i="1"/>
  <c r="AV3852" i="1"/>
  <c r="AV3853" i="1"/>
  <c r="AV3854" i="1"/>
  <c r="AV3855" i="1"/>
  <c r="AV3856" i="1"/>
  <c r="AV3857" i="1"/>
  <c r="AV3858" i="1"/>
  <c r="AV3859" i="1"/>
  <c r="AV3860" i="1"/>
  <c r="AV3861" i="1"/>
  <c r="AV3862" i="1"/>
  <c r="AV3863" i="1"/>
  <c r="AV3864" i="1"/>
  <c r="AV3865" i="1"/>
  <c r="AV3866" i="1"/>
  <c r="AV3867" i="1"/>
  <c r="AV3868" i="1"/>
  <c r="AV3869" i="1"/>
  <c r="AV3870" i="1"/>
  <c r="AV3871" i="1"/>
  <c r="AV3872" i="1"/>
  <c r="AV3873" i="1"/>
  <c r="AV3874" i="1"/>
  <c r="AV3875" i="1"/>
  <c r="AV3876" i="1"/>
  <c r="AV3877" i="1"/>
  <c r="AV3878" i="1"/>
  <c r="AV3879" i="1"/>
  <c r="AV3880" i="1"/>
  <c r="AV3881" i="1"/>
  <c r="AV3882" i="1"/>
  <c r="AV3883" i="1"/>
  <c r="AV3884" i="1"/>
  <c r="AV3885" i="1"/>
  <c r="AV3886" i="1"/>
  <c r="AV3887" i="1"/>
  <c r="AV3888" i="1"/>
  <c r="AV3889" i="1"/>
  <c r="AV3890" i="1"/>
  <c r="AV3891" i="1"/>
  <c r="AV3892" i="1"/>
  <c r="AV3893" i="1"/>
  <c r="AV3894" i="1"/>
  <c r="AV3895" i="1"/>
  <c r="AV3896" i="1"/>
  <c r="AV3897" i="1"/>
  <c r="AV3898" i="1"/>
  <c r="AV3899" i="1"/>
  <c r="AV3900" i="1"/>
  <c r="AV3901" i="1"/>
  <c r="AV3902" i="1"/>
  <c r="AV3903" i="1"/>
  <c r="AV3904" i="1"/>
  <c r="AV3905" i="1"/>
  <c r="AV3906" i="1"/>
  <c r="AV3907" i="1"/>
  <c r="AV3908" i="1"/>
  <c r="AV3909" i="1"/>
  <c r="AV3910" i="1"/>
  <c r="AV3911" i="1"/>
  <c r="AV3912" i="1"/>
  <c r="AV3913" i="1"/>
  <c r="AV3914" i="1"/>
  <c r="AV3915" i="1"/>
  <c r="AV3916" i="1"/>
  <c r="AV3917" i="1"/>
  <c r="AV3918" i="1"/>
  <c r="AV3919" i="1"/>
  <c r="AV3920" i="1"/>
  <c r="AV3921" i="1"/>
  <c r="AV3922" i="1"/>
  <c r="AV3923" i="1"/>
  <c r="AV3924" i="1"/>
  <c r="AV3925" i="1"/>
  <c r="AV3926" i="1"/>
  <c r="AV3927" i="1"/>
  <c r="AV3928" i="1"/>
  <c r="AV3929" i="1"/>
  <c r="AV3930" i="1"/>
  <c r="AV3931" i="1"/>
  <c r="AV3932" i="1"/>
  <c r="AV3933" i="1"/>
  <c r="AV3934" i="1"/>
  <c r="AV3935" i="1"/>
  <c r="AV3936" i="1"/>
  <c r="AV3937" i="1"/>
  <c r="AV3938" i="1"/>
  <c r="AV3939" i="1"/>
  <c r="AV3940" i="1"/>
  <c r="AV3941" i="1"/>
  <c r="AV3942" i="1"/>
  <c r="AV3943" i="1"/>
  <c r="AV3944" i="1"/>
  <c r="AV3945" i="1"/>
  <c r="AV3946" i="1"/>
  <c r="AV3947" i="1"/>
  <c r="AV3948" i="1"/>
  <c r="AV3949" i="1"/>
  <c r="AV3950" i="1"/>
  <c r="AV3951" i="1"/>
  <c r="AV3952" i="1"/>
  <c r="AV3953" i="1"/>
  <c r="AV3954" i="1"/>
  <c r="AV3955" i="1"/>
  <c r="AV3956" i="1"/>
  <c r="AV3957" i="1"/>
  <c r="AV3958" i="1"/>
  <c r="AV3959" i="1"/>
  <c r="AV3960" i="1"/>
  <c r="AV3961" i="1"/>
  <c r="AV3962" i="1"/>
  <c r="AV3963" i="1"/>
  <c r="AV3964" i="1"/>
  <c r="AV3965" i="1"/>
  <c r="AV3966" i="1"/>
  <c r="AV3967" i="1"/>
  <c r="AV3968" i="1"/>
  <c r="AV3969" i="1"/>
  <c r="AV3970" i="1"/>
  <c r="AV3971" i="1"/>
  <c r="AV3972" i="1"/>
  <c r="AV3973" i="1"/>
  <c r="AV3974" i="1"/>
  <c r="AV3975" i="1"/>
  <c r="AV3976" i="1"/>
  <c r="AV3977" i="1"/>
  <c r="AV3978" i="1"/>
  <c r="AV3979" i="1"/>
  <c r="AV3980" i="1"/>
  <c r="AV3981" i="1"/>
  <c r="AV3982" i="1"/>
  <c r="AV3983" i="1"/>
  <c r="AV3984" i="1"/>
  <c r="AV3985" i="1"/>
  <c r="AV3986" i="1"/>
  <c r="AV3987" i="1"/>
  <c r="AV3988" i="1"/>
  <c r="AV3989" i="1"/>
  <c r="AV3990" i="1"/>
  <c r="AV3991" i="1"/>
  <c r="AV3992" i="1"/>
  <c r="AV3993" i="1"/>
  <c r="AV3994" i="1"/>
  <c r="AV3995" i="1"/>
  <c r="AV3996" i="1"/>
  <c r="AV3997" i="1"/>
  <c r="AV3998" i="1"/>
  <c r="AV3999" i="1"/>
  <c r="AV4000" i="1"/>
  <c r="AV4001" i="1"/>
  <c r="AV4002" i="1"/>
  <c r="AV4003" i="1"/>
  <c r="AV4004" i="1"/>
  <c r="AV4005" i="1"/>
  <c r="AV4006" i="1"/>
  <c r="AV4007" i="1"/>
  <c r="AV4008" i="1"/>
  <c r="AV4009" i="1"/>
  <c r="AV4010" i="1"/>
  <c r="AV4011" i="1"/>
  <c r="AV4012" i="1"/>
  <c r="AV4013" i="1"/>
  <c r="AV4014" i="1"/>
  <c r="AV4015" i="1"/>
  <c r="AV4016" i="1"/>
  <c r="AV4017" i="1"/>
  <c r="AV4018" i="1"/>
  <c r="AV4019" i="1"/>
  <c r="AV4020" i="1"/>
  <c r="AV4021" i="1"/>
  <c r="AV4022" i="1"/>
  <c r="AV4023" i="1"/>
  <c r="AV4024" i="1"/>
  <c r="AV4025" i="1"/>
  <c r="AV4026" i="1"/>
  <c r="AV4027" i="1"/>
  <c r="AV4028" i="1"/>
  <c r="AV4029" i="1"/>
  <c r="AV4030" i="1"/>
  <c r="AV4031" i="1"/>
  <c r="AV4032" i="1"/>
  <c r="AV4033" i="1"/>
  <c r="AV4034" i="1"/>
  <c r="AV4035" i="1"/>
  <c r="AV4036" i="1"/>
  <c r="AV4037" i="1"/>
  <c r="AV4038" i="1"/>
  <c r="AV4039" i="1"/>
  <c r="AV4040" i="1"/>
  <c r="AV4041" i="1"/>
  <c r="AV4042" i="1"/>
  <c r="AV4043" i="1"/>
  <c r="AV4044" i="1"/>
  <c r="AV4045" i="1"/>
  <c r="AV4046" i="1"/>
  <c r="AV4047" i="1"/>
  <c r="AV4048" i="1"/>
  <c r="AV4049" i="1"/>
  <c r="AV4050" i="1"/>
  <c r="AV4051" i="1"/>
  <c r="AV4052" i="1"/>
  <c r="AV4053" i="1"/>
  <c r="AV4054" i="1"/>
  <c r="AV4055" i="1"/>
  <c r="AV4056" i="1"/>
  <c r="AV4057" i="1"/>
  <c r="AV4058" i="1"/>
  <c r="AV4059" i="1"/>
  <c r="AV4060" i="1"/>
  <c r="AV4061" i="1"/>
  <c r="AV4062" i="1"/>
  <c r="AV4063" i="1"/>
  <c r="AV4064" i="1"/>
  <c r="AV4065" i="1"/>
  <c r="AV4066" i="1"/>
  <c r="AV4067" i="1"/>
  <c r="AV4068" i="1"/>
  <c r="AV4069" i="1"/>
  <c r="AV4070" i="1"/>
  <c r="AV4071" i="1"/>
  <c r="AV4072" i="1"/>
  <c r="AV4073" i="1"/>
  <c r="AV4074" i="1"/>
  <c r="AV4075" i="1"/>
  <c r="AV4076" i="1"/>
  <c r="AV4077" i="1"/>
  <c r="AV4078" i="1"/>
  <c r="AV4079" i="1"/>
  <c r="AV4080" i="1"/>
  <c r="AV4081" i="1"/>
  <c r="AV4082" i="1"/>
  <c r="AV4083" i="1"/>
  <c r="AV4084" i="1"/>
  <c r="AV4085" i="1"/>
  <c r="AV4086" i="1"/>
  <c r="AV4087" i="1"/>
  <c r="AV4088" i="1"/>
  <c r="AV4089" i="1"/>
  <c r="AV4090" i="1"/>
  <c r="AV4091" i="1"/>
  <c r="AV4092" i="1"/>
  <c r="AV4093" i="1"/>
  <c r="AV4094" i="1"/>
  <c r="AV4095" i="1"/>
  <c r="AV4096" i="1"/>
  <c r="AV4097" i="1"/>
  <c r="AV4098" i="1"/>
  <c r="AV4099" i="1"/>
  <c r="AV4100" i="1"/>
  <c r="AV4101" i="1"/>
  <c r="AV4102" i="1"/>
  <c r="AV4103" i="1"/>
  <c r="AV4104" i="1"/>
  <c r="AV4105" i="1"/>
  <c r="AV4106" i="1"/>
  <c r="AV4107" i="1"/>
  <c r="AV4108" i="1"/>
  <c r="AV4109" i="1"/>
  <c r="AV4110" i="1"/>
  <c r="AV4111" i="1"/>
  <c r="AV4112" i="1"/>
  <c r="AV4113" i="1"/>
  <c r="AV4114" i="1"/>
  <c r="AV4115" i="1"/>
  <c r="AV4116" i="1"/>
  <c r="AV4117" i="1"/>
  <c r="AV4118" i="1"/>
  <c r="AV4119" i="1"/>
  <c r="AV4120" i="1"/>
  <c r="AV4121" i="1"/>
  <c r="AV4122" i="1"/>
  <c r="AV4123" i="1"/>
  <c r="AV4124" i="1"/>
  <c r="AV4125" i="1"/>
  <c r="AV4126" i="1"/>
  <c r="AV4127" i="1"/>
  <c r="AV4128" i="1"/>
  <c r="AV4129" i="1"/>
  <c r="AV4130" i="1"/>
  <c r="AV4131" i="1"/>
  <c r="AV4132" i="1"/>
  <c r="AV4133" i="1"/>
  <c r="AV4134" i="1"/>
  <c r="AV4135" i="1"/>
  <c r="AV4136" i="1"/>
  <c r="AV4137" i="1"/>
  <c r="AV4138" i="1"/>
  <c r="AV4139" i="1"/>
  <c r="AV4140" i="1"/>
  <c r="AV4141" i="1"/>
  <c r="AV4142" i="1"/>
  <c r="AV4143" i="1"/>
  <c r="AV4144" i="1"/>
  <c r="AV4145" i="1"/>
  <c r="AV4146" i="1"/>
  <c r="AV4147" i="1"/>
  <c r="AV4148" i="1"/>
  <c r="AV4149" i="1"/>
  <c r="AV4150" i="1"/>
  <c r="AV4151" i="1"/>
  <c r="AV4152" i="1"/>
  <c r="AV4153" i="1"/>
  <c r="AV4154" i="1"/>
  <c r="AV4155" i="1"/>
  <c r="AV4156" i="1"/>
  <c r="AV4157" i="1"/>
  <c r="AV4158" i="1"/>
  <c r="AV4159" i="1"/>
  <c r="AV4160" i="1"/>
  <c r="AV4161" i="1"/>
  <c r="AV4162" i="1"/>
  <c r="AV4163" i="1"/>
  <c r="AV4164" i="1"/>
  <c r="AV4165" i="1"/>
  <c r="AV4166" i="1"/>
  <c r="AV4167" i="1"/>
  <c r="AV4168" i="1"/>
  <c r="AV4169" i="1"/>
  <c r="AV4170" i="1"/>
  <c r="AV4171" i="1"/>
  <c r="AV4172" i="1"/>
  <c r="AV4173" i="1"/>
  <c r="AV4174" i="1"/>
  <c r="AV4175" i="1"/>
  <c r="AV4176" i="1"/>
  <c r="AV4177" i="1"/>
  <c r="AV4178" i="1"/>
  <c r="AV4179" i="1"/>
  <c r="AV4180" i="1"/>
  <c r="AV4181" i="1"/>
  <c r="AV4182" i="1"/>
  <c r="AV4183" i="1"/>
  <c r="AV4184" i="1"/>
  <c r="AV4185" i="1"/>
  <c r="AV4186" i="1"/>
  <c r="AV4187" i="1"/>
  <c r="AV4188" i="1"/>
  <c r="AV4189" i="1"/>
  <c r="AV4190" i="1"/>
  <c r="AV4191" i="1"/>
  <c r="AV4192" i="1"/>
  <c r="AV4193" i="1"/>
  <c r="AV4194" i="1"/>
  <c r="AV4195" i="1"/>
  <c r="AV4196" i="1"/>
  <c r="AV4197" i="1"/>
  <c r="AV4198" i="1"/>
  <c r="AV4199" i="1"/>
  <c r="AV4200" i="1"/>
  <c r="AV4201" i="1"/>
  <c r="AV4202" i="1"/>
  <c r="AV4203" i="1"/>
  <c r="AV4204" i="1"/>
  <c r="AV4205" i="1"/>
  <c r="AV4206" i="1"/>
  <c r="AV4207" i="1"/>
  <c r="AV4208" i="1"/>
  <c r="AV4209" i="1"/>
  <c r="AV4210" i="1"/>
  <c r="AV4211" i="1"/>
  <c r="AV4212" i="1"/>
  <c r="AV4213" i="1"/>
  <c r="AV4214" i="1"/>
  <c r="AV4215" i="1"/>
  <c r="AV4216" i="1"/>
  <c r="AV4217" i="1"/>
  <c r="AV4218" i="1"/>
  <c r="AV4219" i="1"/>
  <c r="AV4220" i="1"/>
  <c r="AV4221" i="1"/>
  <c r="AV4222" i="1"/>
  <c r="AV4223" i="1"/>
  <c r="AV4224" i="1"/>
  <c r="AV4225" i="1"/>
  <c r="AV4226" i="1"/>
  <c r="AV4227" i="1"/>
  <c r="AV4228" i="1"/>
  <c r="AV4229" i="1"/>
  <c r="AV4230" i="1"/>
  <c r="AV4231" i="1"/>
  <c r="AV4232" i="1"/>
  <c r="AV4233" i="1"/>
  <c r="AV4234" i="1"/>
  <c r="AV4235" i="1"/>
  <c r="AV4236" i="1"/>
  <c r="AV4237" i="1"/>
  <c r="AV4238" i="1"/>
  <c r="AV4239" i="1"/>
  <c r="AV4240" i="1"/>
  <c r="AV4241" i="1"/>
  <c r="AV4242" i="1"/>
  <c r="AV4243" i="1"/>
  <c r="AV4244" i="1"/>
  <c r="AV4245" i="1"/>
  <c r="AV4246" i="1"/>
  <c r="AV4247" i="1"/>
  <c r="AV4248" i="1"/>
  <c r="AV4249" i="1"/>
  <c r="AV4250" i="1"/>
  <c r="AV4251" i="1"/>
  <c r="AV4252" i="1"/>
  <c r="AV4253" i="1"/>
  <c r="AV4254" i="1"/>
  <c r="AV4255" i="1"/>
  <c r="AV4256" i="1"/>
  <c r="AV4257" i="1"/>
  <c r="AV4258" i="1"/>
  <c r="AV4259" i="1"/>
  <c r="AV4260" i="1"/>
  <c r="AV4261" i="1"/>
  <c r="AV4262" i="1"/>
  <c r="AV4263" i="1"/>
  <c r="AV4264" i="1"/>
  <c r="AV4265" i="1"/>
  <c r="AV4266" i="1"/>
  <c r="AV4267" i="1"/>
  <c r="AV4268" i="1"/>
  <c r="AV4269" i="1"/>
  <c r="AV4270" i="1"/>
  <c r="AV4271" i="1"/>
  <c r="AV4272" i="1"/>
  <c r="AV4273" i="1"/>
  <c r="AV4274" i="1"/>
  <c r="AV4275" i="1"/>
  <c r="AV4276" i="1"/>
  <c r="AV4277" i="1"/>
  <c r="AV4278" i="1"/>
  <c r="AV4279" i="1"/>
  <c r="AV4280" i="1"/>
  <c r="AV4281" i="1"/>
  <c r="AV4282" i="1"/>
  <c r="AV4283" i="1"/>
  <c r="AV4284" i="1"/>
  <c r="AV4285" i="1"/>
  <c r="AV4286" i="1"/>
  <c r="AV4287" i="1"/>
  <c r="AV4288" i="1"/>
  <c r="AV4289" i="1"/>
  <c r="AV4290" i="1"/>
  <c r="AV4291" i="1"/>
  <c r="AV4292" i="1"/>
  <c r="AV4293" i="1"/>
  <c r="AV4294" i="1"/>
  <c r="AV4295"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1187" i="1"/>
  <c r="AE1188" i="1"/>
  <c r="AE1189" i="1"/>
  <c r="AE1190" i="1"/>
  <c r="AE1191" i="1"/>
  <c r="AE1192" i="1"/>
  <c r="AE1193" i="1"/>
  <c r="AE1194" i="1"/>
  <c r="AE1195" i="1"/>
  <c r="AE1196" i="1"/>
  <c r="AE1197" i="1"/>
  <c r="AE1198" i="1"/>
  <c r="AE1199" i="1"/>
  <c r="AE1200" i="1"/>
  <c r="AE1201" i="1"/>
  <c r="AE1202" i="1"/>
  <c r="AE1203" i="1"/>
  <c r="AE1204" i="1"/>
  <c r="AE1205" i="1"/>
  <c r="AE1206" i="1"/>
  <c r="AE1207" i="1"/>
  <c r="AE1208" i="1"/>
  <c r="AE1209" i="1"/>
  <c r="AE1210" i="1"/>
  <c r="AE1211" i="1"/>
  <c r="AE1212" i="1"/>
  <c r="AE1213" i="1"/>
  <c r="AE1214" i="1"/>
  <c r="AE1215" i="1"/>
  <c r="AE1216" i="1"/>
  <c r="AE1217" i="1"/>
  <c r="AE1218" i="1"/>
  <c r="AE1219" i="1"/>
  <c r="AE1220" i="1"/>
  <c r="AE1221" i="1"/>
  <c r="AE1222" i="1"/>
  <c r="AE1223" i="1"/>
  <c r="AE1224" i="1"/>
  <c r="AE1225" i="1"/>
  <c r="AE1226" i="1"/>
  <c r="AE1227" i="1"/>
  <c r="AE1228" i="1"/>
  <c r="AE1229" i="1"/>
  <c r="AE1230" i="1"/>
  <c r="AE1231" i="1"/>
  <c r="AE1232" i="1"/>
  <c r="AE1233" i="1"/>
  <c r="AE1234" i="1"/>
  <c r="AE1235" i="1"/>
  <c r="AE1236" i="1"/>
  <c r="AE1237" i="1"/>
  <c r="AE1238" i="1"/>
  <c r="AE1239" i="1"/>
  <c r="AE1240" i="1"/>
  <c r="AE1241" i="1"/>
  <c r="AE1242" i="1"/>
  <c r="AE1243" i="1"/>
  <c r="AE1244" i="1"/>
  <c r="AE1245" i="1"/>
  <c r="AE1246" i="1"/>
  <c r="AE1247" i="1"/>
  <c r="AE1248" i="1"/>
  <c r="AE1249" i="1"/>
  <c r="AE1250" i="1"/>
  <c r="AE1251" i="1"/>
  <c r="AE1252" i="1"/>
  <c r="AE1253" i="1"/>
  <c r="AE1254" i="1"/>
  <c r="AE1255" i="1"/>
  <c r="AE1256" i="1"/>
  <c r="AE1257" i="1"/>
  <c r="AE1258" i="1"/>
  <c r="AE1259" i="1"/>
  <c r="AE1260" i="1"/>
  <c r="AE1261" i="1"/>
  <c r="AE1262" i="1"/>
  <c r="AE1263" i="1"/>
  <c r="AE1264" i="1"/>
  <c r="AE1265" i="1"/>
  <c r="AE1266" i="1"/>
  <c r="AE1267" i="1"/>
  <c r="AE1268" i="1"/>
  <c r="AE1269" i="1"/>
  <c r="AE1270" i="1"/>
  <c r="AE1271" i="1"/>
  <c r="AE1272" i="1"/>
  <c r="AE1273" i="1"/>
  <c r="AE1274" i="1"/>
  <c r="AE1275" i="1"/>
  <c r="AE1276" i="1"/>
  <c r="AE1277" i="1"/>
  <c r="AE1278" i="1"/>
  <c r="AE1279" i="1"/>
  <c r="AE1280" i="1"/>
  <c r="AE1281" i="1"/>
  <c r="AE1282" i="1"/>
  <c r="AE1283" i="1"/>
  <c r="AE1284" i="1"/>
  <c r="AE1285" i="1"/>
  <c r="AE1286" i="1"/>
  <c r="AE1287" i="1"/>
  <c r="AE1288" i="1"/>
  <c r="AE1289" i="1"/>
  <c r="AE1290" i="1"/>
  <c r="AE1291" i="1"/>
  <c r="AE1292" i="1"/>
  <c r="AE1293" i="1"/>
  <c r="AE1294" i="1"/>
  <c r="AE1295" i="1"/>
  <c r="AE1296" i="1"/>
  <c r="AE1297" i="1"/>
  <c r="AE1298" i="1"/>
  <c r="AE1299" i="1"/>
  <c r="AE1300" i="1"/>
  <c r="AE1301" i="1"/>
  <c r="AE1302" i="1"/>
  <c r="AE1303" i="1"/>
  <c r="AE1304" i="1"/>
  <c r="AE1305" i="1"/>
  <c r="AE1306" i="1"/>
  <c r="AE1307" i="1"/>
  <c r="AE1308" i="1"/>
  <c r="AE1309" i="1"/>
  <c r="AE1310" i="1"/>
  <c r="AE1311" i="1"/>
  <c r="AE1312" i="1"/>
  <c r="AE1313" i="1"/>
  <c r="AE1314" i="1"/>
  <c r="AE1315" i="1"/>
  <c r="AE1316" i="1"/>
  <c r="AE1317" i="1"/>
  <c r="AE1318" i="1"/>
  <c r="AE1319" i="1"/>
  <c r="AE1320" i="1"/>
  <c r="AE1321" i="1"/>
  <c r="AE1322" i="1"/>
  <c r="AE1323" i="1"/>
  <c r="AE1324" i="1"/>
  <c r="AE1325" i="1"/>
  <c r="AE1326" i="1"/>
  <c r="AE1327" i="1"/>
  <c r="AE1328" i="1"/>
  <c r="AE1329" i="1"/>
  <c r="AE1330" i="1"/>
  <c r="AE1331" i="1"/>
  <c r="AE1332" i="1"/>
  <c r="AE1333" i="1"/>
  <c r="AE1334" i="1"/>
  <c r="AE1335" i="1"/>
  <c r="AE1336" i="1"/>
  <c r="AE1337" i="1"/>
  <c r="AE1338" i="1"/>
  <c r="AE1339" i="1"/>
  <c r="AE1340" i="1"/>
  <c r="AE1341" i="1"/>
  <c r="AE1342" i="1"/>
  <c r="AE1343" i="1"/>
  <c r="AE1344" i="1"/>
  <c r="AE1345" i="1"/>
  <c r="AE1346" i="1"/>
  <c r="AE1347" i="1"/>
  <c r="AE1348" i="1"/>
  <c r="AE1349" i="1"/>
  <c r="AE1350" i="1"/>
  <c r="AE1351" i="1"/>
  <c r="AE1352" i="1"/>
  <c r="AE1353" i="1"/>
  <c r="AE1354" i="1"/>
  <c r="AE1355" i="1"/>
  <c r="AE1356" i="1"/>
  <c r="AE1357" i="1"/>
  <c r="AE1358" i="1"/>
  <c r="AE1359" i="1"/>
  <c r="AE1360" i="1"/>
  <c r="AE1361" i="1"/>
  <c r="AE1362" i="1"/>
  <c r="AE1363" i="1"/>
  <c r="AE1364" i="1"/>
  <c r="AE1365" i="1"/>
  <c r="AE1366" i="1"/>
  <c r="AE1367" i="1"/>
  <c r="AE1368" i="1"/>
  <c r="AE1369" i="1"/>
  <c r="AE1370" i="1"/>
  <c r="AE1371" i="1"/>
  <c r="AE1372" i="1"/>
  <c r="AE1373" i="1"/>
  <c r="AE1374" i="1"/>
  <c r="AE1375" i="1"/>
  <c r="AE1376" i="1"/>
  <c r="AE1377" i="1"/>
  <c r="AE1378" i="1"/>
  <c r="AE1379" i="1"/>
  <c r="AE1380" i="1"/>
  <c r="AE1381" i="1"/>
  <c r="AE1382" i="1"/>
  <c r="AE1383" i="1"/>
  <c r="AE1384" i="1"/>
  <c r="AE1385" i="1"/>
  <c r="AE1386" i="1"/>
  <c r="AE1387" i="1"/>
  <c r="AE1388" i="1"/>
  <c r="AE1389" i="1"/>
  <c r="AE1390" i="1"/>
  <c r="AE1391" i="1"/>
  <c r="AE1392" i="1"/>
  <c r="AE1393" i="1"/>
  <c r="AE1394" i="1"/>
  <c r="AE1395" i="1"/>
  <c r="AE1396" i="1"/>
  <c r="AE1397" i="1"/>
  <c r="AE1398" i="1"/>
  <c r="AE1399" i="1"/>
  <c r="AE1400" i="1"/>
  <c r="AE1401" i="1"/>
  <c r="AE1402" i="1"/>
  <c r="AE1403" i="1"/>
  <c r="AE1404" i="1"/>
  <c r="AE1405" i="1"/>
  <c r="AE1406" i="1"/>
  <c r="AE1407" i="1"/>
  <c r="AE1408" i="1"/>
  <c r="AE1409" i="1"/>
  <c r="AE1410" i="1"/>
  <c r="AE1411" i="1"/>
  <c r="AE1412" i="1"/>
  <c r="AE1413" i="1"/>
  <c r="AE1414" i="1"/>
  <c r="AE1415" i="1"/>
  <c r="AE1416" i="1"/>
  <c r="AE1417" i="1"/>
  <c r="AE1418" i="1"/>
  <c r="AE1419" i="1"/>
  <c r="AE1420" i="1"/>
  <c r="AE1421" i="1"/>
  <c r="AE1422" i="1"/>
  <c r="AE1423" i="1"/>
  <c r="AE1424" i="1"/>
  <c r="AE1425" i="1"/>
  <c r="AE1426" i="1"/>
  <c r="AE1427" i="1"/>
  <c r="AE1428" i="1"/>
  <c r="AE1429" i="1"/>
  <c r="AE1430" i="1"/>
  <c r="AE1431" i="1"/>
  <c r="AE1432" i="1"/>
  <c r="AE1433" i="1"/>
  <c r="AE1434" i="1"/>
  <c r="AE1435" i="1"/>
  <c r="AE1436" i="1"/>
  <c r="AE1437" i="1"/>
  <c r="AE1438" i="1"/>
  <c r="AE1439" i="1"/>
  <c r="AE1440" i="1"/>
  <c r="AE1441" i="1"/>
  <c r="AE1442" i="1"/>
  <c r="AE1443" i="1"/>
  <c r="AE1444" i="1"/>
  <c r="AE1445" i="1"/>
  <c r="AE1446" i="1"/>
  <c r="AE1447" i="1"/>
  <c r="AE1448" i="1"/>
  <c r="AE1449" i="1"/>
  <c r="AE1450" i="1"/>
  <c r="AE1451" i="1"/>
  <c r="AE1452" i="1"/>
  <c r="AE1453" i="1"/>
  <c r="AE1454" i="1"/>
  <c r="AE1455" i="1"/>
  <c r="AE1456" i="1"/>
  <c r="AE1457" i="1"/>
  <c r="AE1458" i="1"/>
  <c r="AE1459" i="1"/>
  <c r="AE1460" i="1"/>
  <c r="AE1461" i="1"/>
  <c r="AE1462" i="1"/>
  <c r="AE1463" i="1"/>
  <c r="AE1464" i="1"/>
  <c r="AE1465" i="1"/>
  <c r="AE1466" i="1"/>
  <c r="AE1467" i="1"/>
  <c r="AE1468" i="1"/>
  <c r="AE1469" i="1"/>
  <c r="AE1470" i="1"/>
  <c r="AE1471" i="1"/>
  <c r="AE1472" i="1"/>
  <c r="AE1473" i="1"/>
  <c r="AE1474" i="1"/>
  <c r="AE1475" i="1"/>
  <c r="AE1476" i="1"/>
  <c r="AE1477" i="1"/>
  <c r="AE1478" i="1"/>
  <c r="AE1479" i="1"/>
  <c r="AE1480" i="1"/>
  <c r="AE1481" i="1"/>
  <c r="AE1482" i="1"/>
  <c r="AE1483" i="1"/>
  <c r="AE1484" i="1"/>
  <c r="AE1485" i="1"/>
  <c r="AE1486" i="1"/>
  <c r="AE1487" i="1"/>
  <c r="AE1488" i="1"/>
  <c r="AE1489" i="1"/>
  <c r="AE1490" i="1"/>
  <c r="AE1491" i="1"/>
  <c r="AE1492" i="1"/>
  <c r="AE1493" i="1"/>
  <c r="AE1494" i="1"/>
  <c r="AE1495" i="1"/>
  <c r="AE1496" i="1"/>
  <c r="AE1497" i="1"/>
  <c r="AE1498" i="1"/>
  <c r="AE1499" i="1"/>
  <c r="AE1500" i="1"/>
  <c r="AE1501" i="1"/>
  <c r="AE1502" i="1"/>
  <c r="AE1503" i="1"/>
  <c r="AE1504" i="1"/>
  <c r="AE1505" i="1"/>
  <c r="AE1506" i="1"/>
  <c r="AE1507" i="1"/>
  <c r="AE1508" i="1"/>
  <c r="AE1509" i="1"/>
  <c r="AE1510" i="1"/>
  <c r="AE1511" i="1"/>
  <c r="AE1512" i="1"/>
  <c r="AE1513" i="1"/>
  <c r="AE1514" i="1"/>
  <c r="AE1515" i="1"/>
  <c r="AE1516" i="1"/>
  <c r="AE1517" i="1"/>
  <c r="AE1518" i="1"/>
  <c r="AE1519" i="1"/>
  <c r="AE1520" i="1"/>
  <c r="AE1521" i="1"/>
  <c r="AE1522" i="1"/>
  <c r="AE1523" i="1"/>
  <c r="AE1524" i="1"/>
  <c r="AE1525" i="1"/>
  <c r="AE1526" i="1"/>
  <c r="AE1527" i="1"/>
  <c r="AE1528" i="1"/>
  <c r="AE1529" i="1"/>
  <c r="AE1530" i="1"/>
  <c r="AE1531" i="1"/>
  <c r="AE1532" i="1"/>
  <c r="AE1533" i="1"/>
  <c r="AE1534" i="1"/>
  <c r="AE1535" i="1"/>
  <c r="AE1536" i="1"/>
  <c r="AE1537" i="1"/>
  <c r="AE1538" i="1"/>
  <c r="AE1539" i="1"/>
  <c r="AE1540" i="1"/>
  <c r="AE1541" i="1"/>
  <c r="AE1542" i="1"/>
  <c r="AE1543" i="1"/>
  <c r="AE1544" i="1"/>
  <c r="AE1545" i="1"/>
  <c r="AE1546" i="1"/>
  <c r="AE1547" i="1"/>
  <c r="AE1548" i="1"/>
  <c r="AE1549" i="1"/>
  <c r="AE1550" i="1"/>
  <c r="AE1551" i="1"/>
  <c r="AE1552" i="1"/>
  <c r="AE1553" i="1"/>
  <c r="AE1554" i="1"/>
  <c r="AE1555" i="1"/>
  <c r="AE1556" i="1"/>
  <c r="AE1557" i="1"/>
  <c r="AE1558" i="1"/>
  <c r="AE1559" i="1"/>
  <c r="AE1560" i="1"/>
  <c r="AE1561" i="1"/>
  <c r="AE1562" i="1"/>
  <c r="AE1563" i="1"/>
  <c r="AE1564" i="1"/>
  <c r="AE1565" i="1"/>
  <c r="AE1566" i="1"/>
  <c r="AE1567" i="1"/>
  <c r="AE1568" i="1"/>
  <c r="AE1569" i="1"/>
  <c r="AE1570" i="1"/>
  <c r="AE1571" i="1"/>
  <c r="AE1572" i="1"/>
  <c r="AE1573" i="1"/>
  <c r="AE1574" i="1"/>
  <c r="AE1575" i="1"/>
  <c r="AE1576" i="1"/>
  <c r="AE1577" i="1"/>
  <c r="AE1578" i="1"/>
  <c r="AE1579" i="1"/>
  <c r="AE1580" i="1"/>
  <c r="AE1581" i="1"/>
  <c r="AE1582" i="1"/>
  <c r="AE1583" i="1"/>
  <c r="AE1584" i="1"/>
  <c r="AE1585" i="1"/>
  <c r="AE1586" i="1"/>
  <c r="AE1587" i="1"/>
  <c r="AE1588" i="1"/>
  <c r="AE1589" i="1"/>
  <c r="AE1590" i="1"/>
  <c r="AE1591" i="1"/>
  <c r="AE1592" i="1"/>
  <c r="AE1593" i="1"/>
  <c r="AE1594" i="1"/>
  <c r="AE1595" i="1"/>
  <c r="AE1596" i="1"/>
  <c r="AE1597" i="1"/>
  <c r="AE1598" i="1"/>
  <c r="AE1599" i="1"/>
  <c r="AE1600" i="1"/>
  <c r="AE1601" i="1"/>
  <c r="AE1602" i="1"/>
  <c r="AE1603" i="1"/>
  <c r="AE1604" i="1"/>
  <c r="AE1605" i="1"/>
  <c r="AE1606" i="1"/>
  <c r="AE1607" i="1"/>
  <c r="AE1608" i="1"/>
  <c r="AE1609" i="1"/>
  <c r="AE1610" i="1"/>
  <c r="AE1611" i="1"/>
  <c r="AE1612" i="1"/>
  <c r="AE1613" i="1"/>
  <c r="AE1614" i="1"/>
  <c r="AE1615" i="1"/>
  <c r="AE1616" i="1"/>
  <c r="AE1617" i="1"/>
  <c r="AE1618" i="1"/>
  <c r="AE1619" i="1"/>
  <c r="AE1620" i="1"/>
  <c r="AE1621" i="1"/>
  <c r="AE1622" i="1"/>
  <c r="AE1623" i="1"/>
  <c r="AE1624" i="1"/>
  <c r="AE1625" i="1"/>
  <c r="AE1626" i="1"/>
  <c r="AE1627" i="1"/>
  <c r="AE1628" i="1"/>
  <c r="AE1629" i="1"/>
  <c r="AE1630" i="1"/>
  <c r="AE1631" i="1"/>
  <c r="AE1632" i="1"/>
  <c r="AE1633" i="1"/>
  <c r="AE1634" i="1"/>
  <c r="AE1635" i="1"/>
  <c r="AE1636" i="1"/>
  <c r="AE1637" i="1"/>
  <c r="AE1638" i="1"/>
  <c r="AE1639" i="1"/>
  <c r="AE1640" i="1"/>
  <c r="AE1641" i="1"/>
  <c r="AE1642" i="1"/>
  <c r="AE1643" i="1"/>
  <c r="AE1644" i="1"/>
  <c r="AE1645" i="1"/>
  <c r="AE1646" i="1"/>
  <c r="AE1647" i="1"/>
  <c r="AE1648" i="1"/>
  <c r="AE1649" i="1"/>
  <c r="AE1650" i="1"/>
  <c r="AE1651" i="1"/>
  <c r="AE1652" i="1"/>
  <c r="AE1653" i="1"/>
  <c r="AE1654" i="1"/>
  <c r="AE1655" i="1"/>
  <c r="AE1656" i="1"/>
  <c r="AE1657" i="1"/>
  <c r="AE1658" i="1"/>
  <c r="AE1659" i="1"/>
  <c r="AE1660" i="1"/>
  <c r="AE1661" i="1"/>
  <c r="AE1662" i="1"/>
  <c r="AE1663" i="1"/>
  <c r="AE1664" i="1"/>
  <c r="AE1665" i="1"/>
  <c r="AE1666" i="1"/>
  <c r="AE1667" i="1"/>
  <c r="AE1668" i="1"/>
  <c r="AE1669" i="1"/>
  <c r="AE1670" i="1"/>
  <c r="AE1671" i="1"/>
  <c r="AE1672" i="1"/>
  <c r="AE1673" i="1"/>
  <c r="AE1674" i="1"/>
  <c r="AE1675" i="1"/>
  <c r="AE1676" i="1"/>
  <c r="AE1677" i="1"/>
  <c r="AE1678" i="1"/>
  <c r="AE1679" i="1"/>
  <c r="AE1680" i="1"/>
  <c r="AE1681" i="1"/>
  <c r="AE1682" i="1"/>
  <c r="AE1683" i="1"/>
  <c r="AE1684" i="1"/>
  <c r="AE1685" i="1"/>
  <c r="AE1686" i="1"/>
  <c r="AE1687" i="1"/>
  <c r="AE1688" i="1"/>
  <c r="AE1689" i="1"/>
  <c r="AE1690" i="1"/>
  <c r="AE1691" i="1"/>
  <c r="AE1692" i="1"/>
  <c r="AE1693" i="1"/>
  <c r="AE1694" i="1"/>
  <c r="AE1695" i="1"/>
  <c r="AE1696" i="1"/>
  <c r="AE1697" i="1"/>
  <c r="AE1698" i="1"/>
  <c r="AE1699" i="1"/>
  <c r="AE1700" i="1"/>
  <c r="AE1701" i="1"/>
  <c r="AE1702" i="1"/>
  <c r="AE1703" i="1"/>
  <c r="AE1704" i="1"/>
  <c r="AE1705" i="1"/>
  <c r="AE1706" i="1"/>
  <c r="AE1707" i="1"/>
  <c r="AE1708" i="1"/>
  <c r="AE1709" i="1"/>
  <c r="AE1710" i="1"/>
  <c r="AE1711" i="1"/>
  <c r="AE1712" i="1"/>
  <c r="AE1713" i="1"/>
  <c r="AE1714" i="1"/>
  <c r="AE1715" i="1"/>
  <c r="AE1716" i="1"/>
  <c r="AE1717" i="1"/>
  <c r="AE1718" i="1"/>
  <c r="AE1719" i="1"/>
  <c r="AE1720" i="1"/>
  <c r="AE1721" i="1"/>
  <c r="AE1722" i="1"/>
  <c r="AE1723" i="1"/>
  <c r="AE1724" i="1"/>
  <c r="AE1725" i="1"/>
  <c r="AE1726" i="1"/>
  <c r="AE1727" i="1"/>
  <c r="AE1728" i="1"/>
  <c r="AE1729" i="1"/>
  <c r="AE1730" i="1"/>
  <c r="AE1731" i="1"/>
  <c r="AE1732" i="1"/>
  <c r="AE1733" i="1"/>
  <c r="AE1734" i="1"/>
  <c r="AE1735" i="1"/>
  <c r="AE1736" i="1"/>
  <c r="AE1737" i="1"/>
  <c r="AE1738" i="1"/>
  <c r="AE1739" i="1"/>
  <c r="AE1740" i="1"/>
  <c r="AE1741" i="1"/>
  <c r="AE1742" i="1"/>
  <c r="AE1743" i="1"/>
  <c r="AE1744" i="1"/>
  <c r="AE1745" i="1"/>
  <c r="AE1746" i="1"/>
  <c r="AE1747" i="1"/>
  <c r="AE1748" i="1"/>
  <c r="AE1749" i="1"/>
  <c r="AE1750" i="1"/>
  <c r="AE1751" i="1"/>
  <c r="AE1752" i="1"/>
  <c r="AE1753" i="1"/>
  <c r="AE1754" i="1"/>
  <c r="AE1755" i="1"/>
  <c r="AE1756" i="1"/>
  <c r="AE1757" i="1"/>
  <c r="AE1758" i="1"/>
  <c r="AE1759" i="1"/>
  <c r="AE1760" i="1"/>
  <c r="AE1761" i="1"/>
  <c r="AE1762" i="1"/>
  <c r="AE1763" i="1"/>
  <c r="AE1764" i="1"/>
  <c r="AE1765" i="1"/>
  <c r="AE1766" i="1"/>
  <c r="AE1767" i="1"/>
  <c r="AE1768" i="1"/>
  <c r="AE1769" i="1"/>
  <c r="AE1770" i="1"/>
  <c r="AE1771" i="1"/>
  <c r="AE1772" i="1"/>
  <c r="AE1773" i="1"/>
  <c r="AE1774" i="1"/>
  <c r="AE1775" i="1"/>
  <c r="AE1776" i="1"/>
  <c r="AE1777" i="1"/>
  <c r="AE1778" i="1"/>
  <c r="AE1779" i="1"/>
  <c r="AE1780" i="1"/>
  <c r="AE1781" i="1"/>
  <c r="AE1782" i="1"/>
  <c r="AE1783" i="1"/>
  <c r="AE1784" i="1"/>
  <c r="AE1785" i="1"/>
  <c r="AE1786" i="1"/>
  <c r="AE1787" i="1"/>
  <c r="AE1788" i="1"/>
  <c r="AE1789" i="1"/>
  <c r="AE1790" i="1"/>
  <c r="AE1791" i="1"/>
  <c r="AE1792" i="1"/>
  <c r="AE1793" i="1"/>
  <c r="AE1794" i="1"/>
  <c r="AE1795" i="1"/>
  <c r="AE1796" i="1"/>
  <c r="AE1797" i="1"/>
  <c r="AE1798" i="1"/>
  <c r="AE1799" i="1"/>
  <c r="AE1800" i="1"/>
  <c r="AE1801" i="1"/>
  <c r="AE1802" i="1"/>
  <c r="AE1803" i="1"/>
  <c r="AE1804" i="1"/>
  <c r="AE1805" i="1"/>
  <c r="AE1806" i="1"/>
  <c r="AE1807" i="1"/>
  <c r="AE1808" i="1"/>
  <c r="AE1809" i="1"/>
  <c r="AE1810" i="1"/>
  <c r="AE1811" i="1"/>
  <c r="AE1812" i="1"/>
  <c r="AE1813" i="1"/>
  <c r="AE1814" i="1"/>
  <c r="AE1815" i="1"/>
  <c r="AE1816" i="1"/>
  <c r="AE1817" i="1"/>
  <c r="AE1818" i="1"/>
  <c r="AE1819" i="1"/>
  <c r="AE1820" i="1"/>
  <c r="AE1821" i="1"/>
  <c r="AE1822" i="1"/>
  <c r="AE1823" i="1"/>
  <c r="AE1824" i="1"/>
  <c r="AE1825" i="1"/>
  <c r="AE1826" i="1"/>
  <c r="AE1827" i="1"/>
  <c r="AE1828" i="1"/>
  <c r="AE1829" i="1"/>
  <c r="AE1830" i="1"/>
  <c r="AE1831" i="1"/>
  <c r="AE1832" i="1"/>
  <c r="AE1833" i="1"/>
  <c r="AE1834" i="1"/>
  <c r="AE1835" i="1"/>
  <c r="AE1836" i="1"/>
  <c r="AE1837" i="1"/>
  <c r="AE1838" i="1"/>
  <c r="AE1839" i="1"/>
  <c r="AE1840" i="1"/>
  <c r="AE1841" i="1"/>
  <c r="AE1842" i="1"/>
  <c r="AE1843" i="1"/>
  <c r="AE1844" i="1"/>
  <c r="AE1845" i="1"/>
  <c r="AE1846" i="1"/>
  <c r="AE1847" i="1"/>
  <c r="AE1848" i="1"/>
  <c r="AE1849" i="1"/>
  <c r="AE1850" i="1"/>
  <c r="AE1851" i="1"/>
  <c r="AE1852" i="1"/>
  <c r="AE1853" i="1"/>
  <c r="AE1854" i="1"/>
  <c r="AE1855" i="1"/>
  <c r="AE1856" i="1"/>
  <c r="AE1857" i="1"/>
  <c r="AE1858" i="1"/>
  <c r="AE1859" i="1"/>
  <c r="AE1860" i="1"/>
  <c r="AE1861" i="1"/>
  <c r="AE1862" i="1"/>
  <c r="AE1863" i="1"/>
  <c r="AE1864" i="1"/>
  <c r="AE1865" i="1"/>
  <c r="AE1866" i="1"/>
  <c r="AE1867" i="1"/>
  <c r="AE1868" i="1"/>
  <c r="AE1869" i="1"/>
  <c r="AE1870" i="1"/>
  <c r="AE1871" i="1"/>
  <c r="AE1872" i="1"/>
  <c r="AE1873" i="1"/>
  <c r="AE1874" i="1"/>
  <c r="AE1875" i="1"/>
  <c r="AE1876" i="1"/>
  <c r="AE1877" i="1"/>
  <c r="AE1878" i="1"/>
  <c r="AE1879" i="1"/>
  <c r="AE1880" i="1"/>
  <c r="AE1881" i="1"/>
  <c r="AE1882" i="1"/>
  <c r="AE1883" i="1"/>
  <c r="AE1884" i="1"/>
  <c r="AE1885" i="1"/>
  <c r="AE1886" i="1"/>
  <c r="AE1887" i="1"/>
  <c r="AE1888" i="1"/>
  <c r="AE1889" i="1"/>
  <c r="AE1890" i="1"/>
  <c r="AE1891" i="1"/>
  <c r="AE1892" i="1"/>
  <c r="AE1893" i="1"/>
  <c r="AE1894" i="1"/>
  <c r="AE1895" i="1"/>
  <c r="AE1896" i="1"/>
  <c r="AE1897" i="1"/>
  <c r="AE1898" i="1"/>
  <c r="AE1899" i="1"/>
  <c r="AE1900" i="1"/>
  <c r="AE1901" i="1"/>
  <c r="AE1902" i="1"/>
  <c r="AE1903" i="1"/>
  <c r="AE1904" i="1"/>
  <c r="AE1905" i="1"/>
  <c r="AE1906" i="1"/>
  <c r="AE1907" i="1"/>
  <c r="AE1908" i="1"/>
  <c r="AE1909" i="1"/>
  <c r="AE1910" i="1"/>
  <c r="AE1911" i="1"/>
  <c r="AE1912" i="1"/>
  <c r="AE1913" i="1"/>
  <c r="AE1914" i="1"/>
  <c r="AE1915" i="1"/>
  <c r="AE1916" i="1"/>
  <c r="AE1917" i="1"/>
  <c r="AE1918" i="1"/>
  <c r="AE1919" i="1"/>
  <c r="AE1920" i="1"/>
  <c r="AE1921" i="1"/>
  <c r="AE1922" i="1"/>
  <c r="AE1923" i="1"/>
  <c r="AE1924" i="1"/>
  <c r="AE1925" i="1"/>
  <c r="AE1926" i="1"/>
  <c r="AE1927" i="1"/>
  <c r="AE1928" i="1"/>
  <c r="AE1929" i="1"/>
  <c r="AE1930" i="1"/>
  <c r="AE1931" i="1"/>
  <c r="AE1932" i="1"/>
  <c r="AE1933" i="1"/>
  <c r="AE1934" i="1"/>
  <c r="AE1935" i="1"/>
  <c r="AE1936" i="1"/>
  <c r="AE1937" i="1"/>
  <c r="AE1938" i="1"/>
  <c r="AE1939" i="1"/>
  <c r="AE1940" i="1"/>
  <c r="AE1941" i="1"/>
  <c r="AE1942" i="1"/>
  <c r="AE1943" i="1"/>
  <c r="AE1944" i="1"/>
  <c r="AE1945" i="1"/>
  <c r="AE1946" i="1"/>
  <c r="AE1947" i="1"/>
  <c r="AE1948" i="1"/>
  <c r="AE1949" i="1"/>
  <c r="AE1950" i="1"/>
  <c r="AE1951" i="1"/>
  <c r="AE1952" i="1"/>
  <c r="AE1953" i="1"/>
  <c r="AE1954" i="1"/>
  <c r="AE1955" i="1"/>
  <c r="AE1956" i="1"/>
  <c r="AE1957" i="1"/>
  <c r="AE1958" i="1"/>
  <c r="AE1959" i="1"/>
  <c r="AE1960" i="1"/>
  <c r="AE1961" i="1"/>
  <c r="AE1962" i="1"/>
  <c r="AE1963" i="1"/>
  <c r="AE1964" i="1"/>
  <c r="AE1965" i="1"/>
  <c r="AE1966" i="1"/>
  <c r="AE1967" i="1"/>
  <c r="AE1968" i="1"/>
  <c r="AE1969" i="1"/>
  <c r="AE1970" i="1"/>
  <c r="AE1971" i="1"/>
  <c r="AE1972" i="1"/>
  <c r="AE1973" i="1"/>
  <c r="AE1974" i="1"/>
  <c r="AE1975" i="1"/>
  <c r="AE1976" i="1"/>
  <c r="AE1977" i="1"/>
  <c r="AE1978" i="1"/>
  <c r="AE1979" i="1"/>
  <c r="AE1980" i="1"/>
  <c r="AE1981" i="1"/>
  <c r="AE1982" i="1"/>
  <c r="AE1983" i="1"/>
  <c r="AE1984" i="1"/>
  <c r="AE1985" i="1"/>
  <c r="AE1986" i="1"/>
  <c r="AE1987" i="1"/>
  <c r="AE1988" i="1"/>
  <c r="AE1989" i="1"/>
  <c r="AE1990" i="1"/>
  <c r="AE1991" i="1"/>
  <c r="AE1992" i="1"/>
  <c r="AE1993" i="1"/>
  <c r="AE1994" i="1"/>
  <c r="AE1995" i="1"/>
  <c r="AE1996" i="1"/>
  <c r="AE1997" i="1"/>
  <c r="AE1998" i="1"/>
  <c r="AE1999" i="1"/>
  <c r="AE2000" i="1"/>
  <c r="AE2001" i="1"/>
  <c r="AE2002" i="1"/>
  <c r="AE2003" i="1"/>
  <c r="AE2004" i="1"/>
  <c r="AE2005" i="1"/>
  <c r="AE2006" i="1"/>
  <c r="AE2007" i="1"/>
  <c r="AE2008" i="1"/>
  <c r="AE2009" i="1"/>
  <c r="AE2010" i="1"/>
  <c r="AE2011" i="1"/>
  <c r="AE2012" i="1"/>
  <c r="AE2013" i="1"/>
  <c r="AE2014" i="1"/>
  <c r="AE2015" i="1"/>
  <c r="AE2016" i="1"/>
  <c r="AE2017" i="1"/>
  <c r="AE2018" i="1"/>
  <c r="AE2019" i="1"/>
  <c r="AE2020" i="1"/>
  <c r="AE2021" i="1"/>
  <c r="AE2022" i="1"/>
  <c r="AE2023" i="1"/>
  <c r="AE2024" i="1"/>
  <c r="AE2025" i="1"/>
  <c r="AE2026" i="1"/>
  <c r="AE2027" i="1"/>
  <c r="AE2028" i="1"/>
  <c r="AE2029" i="1"/>
  <c r="AE2030" i="1"/>
  <c r="AE2031" i="1"/>
  <c r="AE2032" i="1"/>
  <c r="AE2033" i="1"/>
  <c r="AE2034" i="1"/>
  <c r="AE2035" i="1"/>
  <c r="AE2036" i="1"/>
  <c r="AE2037" i="1"/>
  <c r="AE2038" i="1"/>
  <c r="AE2039" i="1"/>
  <c r="AE2040" i="1"/>
  <c r="AE2041" i="1"/>
  <c r="AE2042" i="1"/>
  <c r="AE2043" i="1"/>
  <c r="AE2044" i="1"/>
  <c r="AE2045" i="1"/>
  <c r="AE2046" i="1"/>
  <c r="AE2047" i="1"/>
  <c r="AE2048" i="1"/>
  <c r="AE2049" i="1"/>
  <c r="AE2050" i="1"/>
  <c r="AE2051" i="1"/>
  <c r="AE2052" i="1"/>
  <c r="AE2053" i="1"/>
  <c r="AE2054" i="1"/>
  <c r="AE2055" i="1"/>
  <c r="AE2056" i="1"/>
  <c r="AE2057" i="1"/>
  <c r="AE2058" i="1"/>
  <c r="AE2059" i="1"/>
  <c r="AE2060" i="1"/>
  <c r="AE2061" i="1"/>
  <c r="AE2062" i="1"/>
  <c r="AE2063" i="1"/>
  <c r="AE2064" i="1"/>
  <c r="AE2065" i="1"/>
  <c r="AE2066" i="1"/>
  <c r="AE2067" i="1"/>
  <c r="AE2068" i="1"/>
  <c r="AE2069" i="1"/>
  <c r="AE2070" i="1"/>
  <c r="AE2071" i="1"/>
  <c r="AE2072" i="1"/>
  <c r="AE2073" i="1"/>
  <c r="AE2074" i="1"/>
  <c r="AE2075" i="1"/>
  <c r="AE2076" i="1"/>
  <c r="AE2077" i="1"/>
  <c r="AE2078" i="1"/>
  <c r="AE2079" i="1"/>
  <c r="AE2080" i="1"/>
  <c r="AE2081" i="1"/>
  <c r="AE2082" i="1"/>
  <c r="AE2083" i="1"/>
  <c r="AE2084" i="1"/>
  <c r="AE2085" i="1"/>
  <c r="AE2086" i="1"/>
  <c r="AE2087" i="1"/>
  <c r="AE2088" i="1"/>
  <c r="AE2089" i="1"/>
  <c r="AE2090" i="1"/>
  <c r="AE2091" i="1"/>
  <c r="AE2092" i="1"/>
  <c r="AE2093" i="1"/>
  <c r="AE2094" i="1"/>
  <c r="AE2095" i="1"/>
  <c r="AE2096" i="1"/>
  <c r="AE2097" i="1"/>
  <c r="AE2098" i="1"/>
  <c r="AE2099" i="1"/>
  <c r="AE2100" i="1"/>
  <c r="AE2101" i="1"/>
  <c r="AE2102" i="1"/>
  <c r="AE2103" i="1"/>
  <c r="AE2104" i="1"/>
  <c r="AE2105" i="1"/>
  <c r="AE2106" i="1"/>
  <c r="AE2107" i="1"/>
  <c r="AE2108" i="1"/>
  <c r="AE2109" i="1"/>
  <c r="AE2110" i="1"/>
  <c r="AE2111" i="1"/>
  <c r="AE2112" i="1"/>
  <c r="AE2113" i="1"/>
  <c r="AE2114" i="1"/>
  <c r="AE2115" i="1"/>
  <c r="AE2116" i="1"/>
  <c r="AE2117" i="1"/>
  <c r="AE2118" i="1"/>
  <c r="AE2119" i="1"/>
  <c r="AE2120" i="1"/>
  <c r="AE2121" i="1"/>
  <c r="AE2122" i="1"/>
  <c r="AE2123" i="1"/>
  <c r="AE2124" i="1"/>
  <c r="AE2125" i="1"/>
  <c r="AE2126" i="1"/>
  <c r="AE2127" i="1"/>
  <c r="AE2128" i="1"/>
  <c r="AE2129" i="1"/>
  <c r="AE2130" i="1"/>
  <c r="AE2131" i="1"/>
  <c r="AE2132" i="1"/>
  <c r="AE2133" i="1"/>
  <c r="AE2134" i="1"/>
  <c r="AE2135" i="1"/>
  <c r="AE2136" i="1"/>
  <c r="AE2137" i="1"/>
  <c r="AE2138" i="1"/>
  <c r="AE2139" i="1"/>
  <c r="AE2140" i="1"/>
  <c r="AE2141" i="1"/>
  <c r="AE2142" i="1"/>
  <c r="AE2143" i="1"/>
  <c r="AE2144" i="1"/>
  <c r="AE2145" i="1"/>
  <c r="AE2146" i="1"/>
  <c r="AE2147" i="1"/>
  <c r="AE2148" i="1"/>
  <c r="AE2149" i="1"/>
  <c r="AE2150" i="1"/>
  <c r="AE2151" i="1"/>
  <c r="AE2152" i="1"/>
  <c r="AE2153" i="1"/>
  <c r="AE2154" i="1"/>
  <c r="AE2155" i="1"/>
  <c r="AE2156" i="1"/>
  <c r="AE2157" i="1"/>
  <c r="AE2158" i="1"/>
  <c r="AE2159" i="1"/>
  <c r="AE2160" i="1"/>
  <c r="AE2161" i="1"/>
  <c r="AE2162" i="1"/>
  <c r="AE2163" i="1"/>
  <c r="AE2164" i="1"/>
  <c r="AE2165" i="1"/>
  <c r="AE2166" i="1"/>
  <c r="AE2167" i="1"/>
  <c r="AE2168" i="1"/>
  <c r="AE2169" i="1"/>
  <c r="AE2170" i="1"/>
  <c r="AE2171" i="1"/>
  <c r="AE2172" i="1"/>
  <c r="AE2173" i="1"/>
  <c r="AE2174" i="1"/>
  <c r="AE2175" i="1"/>
  <c r="AE2176" i="1"/>
  <c r="AE2177" i="1"/>
  <c r="AE2178" i="1"/>
  <c r="AE2179" i="1"/>
  <c r="AE2180" i="1"/>
  <c r="AE2181" i="1"/>
  <c r="AE2182" i="1"/>
  <c r="AE2183" i="1"/>
  <c r="AE2184" i="1"/>
  <c r="AE2185" i="1"/>
  <c r="AE2186" i="1"/>
  <c r="AE2187" i="1"/>
  <c r="AE2188" i="1"/>
  <c r="AE2189" i="1"/>
  <c r="AE2190" i="1"/>
  <c r="AE2191" i="1"/>
  <c r="AE2192" i="1"/>
  <c r="AE2193" i="1"/>
  <c r="AE2194" i="1"/>
  <c r="AE2195" i="1"/>
  <c r="AE2196" i="1"/>
  <c r="AE2197" i="1"/>
  <c r="AE2198" i="1"/>
  <c r="AE2199" i="1"/>
  <c r="AE2200" i="1"/>
  <c r="AE2201" i="1"/>
  <c r="AE2202" i="1"/>
  <c r="AE2203" i="1"/>
  <c r="AE2204" i="1"/>
  <c r="AE2205" i="1"/>
  <c r="AE2206" i="1"/>
  <c r="AE2207" i="1"/>
  <c r="AE2208" i="1"/>
  <c r="AE2209" i="1"/>
  <c r="AE2210" i="1"/>
  <c r="AE2211" i="1"/>
  <c r="AE2212" i="1"/>
  <c r="AE2213" i="1"/>
  <c r="AE2214" i="1"/>
  <c r="AE2215" i="1"/>
  <c r="AE2216" i="1"/>
  <c r="AE2217" i="1"/>
  <c r="AE2218" i="1"/>
  <c r="AE2219" i="1"/>
  <c r="AE2220" i="1"/>
  <c r="AE2221" i="1"/>
  <c r="AE2222" i="1"/>
  <c r="AE2223" i="1"/>
  <c r="AE2224" i="1"/>
  <c r="AE2225" i="1"/>
  <c r="AE2226" i="1"/>
  <c r="AE2227" i="1"/>
  <c r="AE2228" i="1"/>
  <c r="AE2229" i="1"/>
  <c r="AE2230" i="1"/>
  <c r="AE2231" i="1"/>
  <c r="AE2232" i="1"/>
  <c r="AE2233" i="1"/>
  <c r="AE2234" i="1"/>
  <c r="AE2235" i="1"/>
  <c r="AE2236" i="1"/>
  <c r="AE2237" i="1"/>
  <c r="AE2238" i="1"/>
  <c r="AE2239" i="1"/>
  <c r="AE2240" i="1"/>
  <c r="AE2241" i="1"/>
  <c r="AE2242" i="1"/>
  <c r="AE2243" i="1"/>
  <c r="AE2244" i="1"/>
  <c r="AE2245" i="1"/>
  <c r="AE2246" i="1"/>
  <c r="AE2247" i="1"/>
  <c r="AE2248" i="1"/>
  <c r="AE2249" i="1"/>
  <c r="AE2250" i="1"/>
  <c r="AE2251" i="1"/>
  <c r="AE2252" i="1"/>
  <c r="AE2253" i="1"/>
  <c r="AE2254" i="1"/>
  <c r="AE2255" i="1"/>
  <c r="AE2256" i="1"/>
  <c r="AE2257" i="1"/>
  <c r="AE2258" i="1"/>
  <c r="AE2259" i="1"/>
  <c r="AE2260" i="1"/>
  <c r="AE2261" i="1"/>
  <c r="AE2262" i="1"/>
  <c r="AE2263" i="1"/>
  <c r="AE2264" i="1"/>
  <c r="AE2265" i="1"/>
  <c r="AE2266" i="1"/>
  <c r="AE2267" i="1"/>
  <c r="AE2268" i="1"/>
  <c r="AE2269" i="1"/>
  <c r="AE2270" i="1"/>
  <c r="AE2271" i="1"/>
  <c r="AE2272" i="1"/>
  <c r="AE2273" i="1"/>
  <c r="AE2274" i="1"/>
  <c r="AE2275" i="1"/>
  <c r="AE2276" i="1"/>
  <c r="AE2277" i="1"/>
  <c r="AE2278" i="1"/>
  <c r="AE2279" i="1"/>
  <c r="AE2280" i="1"/>
  <c r="AE2281" i="1"/>
  <c r="AE2282" i="1"/>
  <c r="AE2283" i="1"/>
  <c r="AE2284" i="1"/>
  <c r="AE2285" i="1"/>
  <c r="AE2286" i="1"/>
  <c r="AE2287" i="1"/>
  <c r="AE2288" i="1"/>
  <c r="AE2289" i="1"/>
  <c r="AE2290" i="1"/>
  <c r="AE2291" i="1"/>
  <c r="AE2292" i="1"/>
  <c r="AE2293" i="1"/>
  <c r="AE2294" i="1"/>
  <c r="AE2295" i="1"/>
  <c r="AE2296" i="1"/>
  <c r="AE2297" i="1"/>
  <c r="AE2298" i="1"/>
  <c r="AE2299" i="1"/>
  <c r="AE2300" i="1"/>
  <c r="AE2301" i="1"/>
  <c r="AE2302" i="1"/>
  <c r="AE2303" i="1"/>
  <c r="AE2304" i="1"/>
  <c r="AE2305" i="1"/>
  <c r="AE2306" i="1"/>
  <c r="AE2307" i="1"/>
  <c r="AE2308" i="1"/>
  <c r="AE2309" i="1"/>
  <c r="AE2310" i="1"/>
  <c r="AE2311" i="1"/>
  <c r="AE2312" i="1"/>
  <c r="AE2313" i="1"/>
  <c r="AE2314" i="1"/>
  <c r="AE2315" i="1"/>
  <c r="AE2316" i="1"/>
  <c r="AE2317" i="1"/>
  <c r="AE2318" i="1"/>
  <c r="AE2319" i="1"/>
  <c r="AE2320" i="1"/>
  <c r="AE2321" i="1"/>
  <c r="AE2322" i="1"/>
  <c r="AE2323" i="1"/>
  <c r="AE2324" i="1"/>
  <c r="AE2325" i="1"/>
  <c r="AE2326" i="1"/>
  <c r="AE2327" i="1"/>
  <c r="AE2328" i="1"/>
  <c r="AE2329" i="1"/>
  <c r="AE2330" i="1"/>
  <c r="AE2331" i="1"/>
  <c r="AE2332" i="1"/>
  <c r="AE2333" i="1"/>
  <c r="AE2334" i="1"/>
  <c r="AE2335" i="1"/>
  <c r="AE2336" i="1"/>
  <c r="AE2337" i="1"/>
  <c r="AE2338" i="1"/>
  <c r="AE2339" i="1"/>
  <c r="AE2340" i="1"/>
  <c r="AE2341" i="1"/>
  <c r="AE2342" i="1"/>
  <c r="AE2343" i="1"/>
  <c r="AE2344" i="1"/>
  <c r="AE2345" i="1"/>
  <c r="AE2346" i="1"/>
  <c r="AE2347" i="1"/>
  <c r="AE2348" i="1"/>
  <c r="AE2349" i="1"/>
  <c r="AE2350" i="1"/>
  <c r="AE2351" i="1"/>
  <c r="AE2352" i="1"/>
  <c r="AE2353" i="1"/>
  <c r="AE2354" i="1"/>
  <c r="AE2355" i="1"/>
  <c r="AE2356" i="1"/>
  <c r="AE2357" i="1"/>
  <c r="AE2358" i="1"/>
  <c r="AE2359" i="1"/>
  <c r="AE2360" i="1"/>
  <c r="AE2361" i="1"/>
  <c r="AE2362" i="1"/>
  <c r="AE2363" i="1"/>
  <c r="AE2364" i="1"/>
  <c r="AE2365" i="1"/>
  <c r="AE2366" i="1"/>
  <c r="AE2367" i="1"/>
  <c r="AE2368" i="1"/>
  <c r="AE2369" i="1"/>
  <c r="AE2370" i="1"/>
  <c r="AE2371" i="1"/>
  <c r="AE2372" i="1"/>
  <c r="AE2373" i="1"/>
  <c r="AE2374" i="1"/>
  <c r="AE2375" i="1"/>
  <c r="AE2376" i="1"/>
  <c r="AE2377" i="1"/>
  <c r="AE2378" i="1"/>
  <c r="AE2379" i="1"/>
  <c r="AE2380" i="1"/>
  <c r="AE2381" i="1"/>
  <c r="AE2382" i="1"/>
  <c r="AE2383" i="1"/>
  <c r="AE2384" i="1"/>
  <c r="AE2385" i="1"/>
  <c r="AE2386" i="1"/>
  <c r="AE2387" i="1"/>
  <c r="AE2388" i="1"/>
  <c r="AE2389" i="1"/>
  <c r="AE2390" i="1"/>
  <c r="AE2391" i="1"/>
  <c r="AE2392" i="1"/>
  <c r="AE2393" i="1"/>
  <c r="AE2394" i="1"/>
  <c r="AE2395" i="1"/>
  <c r="AE2396" i="1"/>
  <c r="AE2397" i="1"/>
  <c r="AE2398" i="1"/>
  <c r="AE2399" i="1"/>
  <c r="AE2400" i="1"/>
  <c r="AE2401" i="1"/>
  <c r="AE2402" i="1"/>
  <c r="AE2403" i="1"/>
  <c r="AE2404" i="1"/>
  <c r="AE2405" i="1"/>
  <c r="AE2406" i="1"/>
  <c r="AE2407" i="1"/>
  <c r="AE2408" i="1"/>
  <c r="AE2409" i="1"/>
  <c r="AE2410" i="1"/>
  <c r="AE2411" i="1"/>
  <c r="AE2412" i="1"/>
  <c r="AE2413" i="1"/>
  <c r="AE2414" i="1"/>
  <c r="AE2415" i="1"/>
  <c r="AE2416" i="1"/>
  <c r="AE2417" i="1"/>
  <c r="AE2418" i="1"/>
  <c r="AE2419" i="1"/>
  <c r="AE2420" i="1"/>
  <c r="AE2421" i="1"/>
  <c r="AE2422" i="1"/>
  <c r="AE2423" i="1"/>
  <c r="AE2424" i="1"/>
  <c r="AE2425" i="1"/>
  <c r="AE2426" i="1"/>
  <c r="AE2427" i="1"/>
  <c r="AE2428" i="1"/>
  <c r="AE2429" i="1"/>
  <c r="AE2430" i="1"/>
  <c r="AE2431" i="1"/>
  <c r="AE2432" i="1"/>
  <c r="AE2433" i="1"/>
  <c r="AE2434" i="1"/>
  <c r="AE2435" i="1"/>
  <c r="AE2436" i="1"/>
  <c r="AE2437" i="1"/>
  <c r="AE2438" i="1"/>
  <c r="AE2439" i="1"/>
  <c r="AE2440" i="1"/>
  <c r="AE2441" i="1"/>
  <c r="AE2442" i="1"/>
  <c r="AE2443" i="1"/>
  <c r="AE2444" i="1"/>
  <c r="AE2445" i="1"/>
  <c r="AE2446" i="1"/>
  <c r="AE2447" i="1"/>
  <c r="AE2448" i="1"/>
  <c r="AE2449" i="1"/>
  <c r="AE2450" i="1"/>
  <c r="AE2451" i="1"/>
  <c r="AE2452" i="1"/>
  <c r="AE2453" i="1"/>
  <c r="AE2454" i="1"/>
  <c r="AE2455" i="1"/>
  <c r="AE2456" i="1"/>
  <c r="AE2457" i="1"/>
  <c r="AE2458" i="1"/>
  <c r="AE2459" i="1"/>
  <c r="AE2460" i="1"/>
  <c r="AE2461" i="1"/>
  <c r="AE2462" i="1"/>
  <c r="AE2463" i="1"/>
  <c r="AE2464" i="1"/>
  <c r="AE2465" i="1"/>
  <c r="AE2466" i="1"/>
  <c r="AE2467" i="1"/>
  <c r="AE2468" i="1"/>
  <c r="AE2469" i="1"/>
  <c r="AE2470" i="1"/>
  <c r="AE2471" i="1"/>
  <c r="AE2472" i="1"/>
  <c r="AE2473" i="1"/>
  <c r="AE2474" i="1"/>
  <c r="AE2475" i="1"/>
  <c r="AE2476" i="1"/>
  <c r="AE2477" i="1"/>
  <c r="AE2478" i="1"/>
  <c r="AE2479" i="1"/>
  <c r="AE2480" i="1"/>
  <c r="AE2481" i="1"/>
  <c r="AE2482" i="1"/>
  <c r="AE2483" i="1"/>
  <c r="AE2484" i="1"/>
  <c r="AE2485" i="1"/>
  <c r="AE2486" i="1"/>
  <c r="AE2487" i="1"/>
  <c r="AE2488" i="1"/>
  <c r="AE2489" i="1"/>
  <c r="AE2490" i="1"/>
  <c r="AE2491" i="1"/>
  <c r="AE2492" i="1"/>
  <c r="AE2493" i="1"/>
  <c r="AE2494" i="1"/>
  <c r="AE2495" i="1"/>
  <c r="AE2496" i="1"/>
  <c r="AE2497" i="1"/>
  <c r="AE2498" i="1"/>
  <c r="AE2499" i="1"/>
  <c r="AE2500" i="1"/>
  <c r="AE2501" i="1"/>
  <c r="AE2502" i="1"/>
  <c r="AE2503" i="1"/>
  <c r="AE2504" i="1"/>
  <c r="AE2505" i="1"/>
  <c r="AE2506" i="1"/>
  <c r="AE2507" i="1"/>
  <c r="AE2508" i="1"/>
  <c r="AE2509" i="1"/>
  <c r="AE2510" i="1"/>
  <c r="AE2511" i="1"/>
  <c r="AE2512" i="1"/>
  <c r="AE2513" i="1"/>
  <c r="AE2514" i="1"/>
  <c r="AE2515" i="1"/>
  <c r="AE2516" i="1"/>
  <c r="AE2517" i="1"/>
  <c r="AE2518" i="1"/>
  <c r="AE2519" i="1"/>
  <c r="AE2520" i="1"/>
  <c r="AE2521" i="1"/>
  <c r="AE2522" i="1"/>
  <c r="AE2523" i="1"/>
  <c r="AE2524" i="1"/>
  <c r="AE2525" i="1"/>
  <c r="AE2526" i="1"/>
  <c r="AE2527" i="1"/>
  <c r="AE2528" i="1"/>
  <c r="AE2529" i="1"/>
  <c r="AE2530" i="1"/>
  <c r="AE2531" i="1"/>
  <c r="AE2532" i="1"/>
  <c r="AE2533" i="1"/>
  <c r="AE2534" i="1"/>
  <c r="AE2535" i="1"/>
  <c r="AE2536" i="1"/>
  <c r="AE2537" i="1"/>
  <c r="AE2538" i="1"/>
  <c r="AE2539" i="1"/>
  <c r="AE2540" i="1"/>
  <c r="AE2541" i="1"/>
  <c r="AE2542" i="1"/>
  <c r="AE2543" i="1"/>
  <c r="AE2544" i="1"/>
  <c r="AE2545" i="1"/>
  <c r="AE2546" i="1"/>
  <c r="AE2547" i="1"/>
  <c r="AE2548" i="1"/>
  <c r="AE2549" i="1"/>
  <c r="AE2550" i="1"/>
  <c r="AE2551" i="1"/>
  <c r="AE2552" i="1"/>
  <c r="AE2553" i="1"/>
  <c r="AE2554" i="1"/>
  <c r="AE2555" i="1"/>
  <c r="AE2556" i="1"/>
  <c r="AE2557" i="1"/>
  <c r="AE2558" i="1"/>
  <c r="AE2559" i="1"/>
  <c r="AE2560" i="1"/>
  <c r="AE2561" i="1"/>
  <c r="AE2562" i="1"/>
  <c r="AE2563" i="1"/>
  <c r="AE2564" i="1"/>
  <c r="AE2565" i="1"/>
  <c r="AE2566" i="1"/>
  <c r="AE2567" i="1"/>
  <c r="AE2568" i="1"/>
  <c r="AE2569" i="1"/>
  <c r="AE2570" i="1"/>
  <c r="AE2571" i="1"/>
  <c r="AE2572" i="1"/>
  <c r="AE2573" i="1"/>
  <c r="AE2574" i="1"/>
  <c r="AE2575" i="1"/>
  <c r="AE2576" i="1"/>
  <c r="AE2577" i="1"/>
  <c r="AE2578" i="1"/>
  <c r="AE2579" i="1"/>
  <c r="AE2580" i="1"/>
  <c r="AE2581" i="1"/>
  <c r="AE2582" i="1"/>
  <c r="AE2583" i="1"/>
  <c r="AE2584" i="1"/>
  <c r="AE2585" i="1"/>
  <c r="AE2586" i="1"/>
  <c r="AE2587" i="1"/>
  <c r="AE2588" i="1"/>
  <c r="AE2589" i="1"/>
  <c r="AE2590" i="1"/>
  <c r="AE2591" i="1"/>
  <c r="AE2592" i="1"/>
  <c r="AE2593" i="1"/>
  <c r="AE2594" i="1"/>
  <c r="AE2595" i="1"/>
  <c r="AE2596" i="1"/>
  <c r="AE2597" i="1"/>
  <c r="AE2598" i="1"/>
  <c r="AE2599" i="1"/>
  <c r="AE2600" i="1"/>
  <c r="AE2601" i="1"/>
  <c r="AE2602" i="1"/>
  <c r="AE2603" i="1"/>
  <c r="AE2604" i="1"/>
  <c r="AE2605" i="1"/>
  <c r="AE2606" i="1"/>
  <c r="AE2607" i="1"/>
  <c r="AE2608" i="1"/>
  <c r="AE2609" i="1"/>
  <c r="AE2610" i="1"/>
  <c r="AE2611" i="1"/>
  <c r="AE2612" i="1"/>
  <c r="AE2613" i="1"/>
  <c r="AE2614" i="1"/>
  <c r="AE2615" i="1"/>
  <c r="AE2616" i="1"/>
  <c r="AE2617" i="1"/>
  <c r="AE2618" i="1"/>
  <c r="AE2619" i="1"/>
  <c r="AE2620" i="1"/>
  <c r="AE2621" i="1"/>
  <c r="AE2622" i="1"/>
  <c r="AE2623" i="1"/>
  <c r="AE2624" i="1"/>
  <c r="AE2625" i="1"/>
  <c r="AE2626" i="1"/>
  <c r="AE2627" i="1"/>
  <c r="AE2628" i="1"/>
  <c r="AE2629" i="1"/>
  <c r="AE2630" i="1"/>
  <c r="AE2631" i="1"/>
  <c r="AE2632" i="1"/>
  <c r="AE2633" i="1"/>
  <c r="AE2634" i="1"/>
  <c r="AE2635" i="1"/>
  <c r="AE2636" i="1"/>
  <c r="AE2637" i="1"/>
  <c r="AE2638" i="1"/>
  <c r="AE2639" i="1"/>
  <c r="AE2640" i="1"/>
  <c r="AE2641" i="1"/>
  <c r="AE2642" i="1"/>
  <c r="AE2643" i="1"/>
  <c r="AE2644" i="1"/>
  <c r="AE2645" i="1"/>
  <c r="AE2646" i="1"/>
  <c r="AE2647" i="1"/>
  <c r="AE2648" i="1"/>
  <c r="AE2649" i="1"/>
  <c r="AE2650" i="1"/>
  <c r="AE2651" i="1"/>
  <c r="AE2652" i="1"/>
  <c r="AE2653" i="1"/>
  <c r="AE2654" i="1"/>
  <c r="AE2655" i="1"/>
  <c r="AE2656" i="1"/>
  <c r="AE2657" i="1"/>
  <c r="AE2658" i="1"/>
  <c r="AE2659" i="1"/>
  <c r="AE2660" i="1"/>
  <c r="AE2661" i="1"/>
  <c r="AE2662" i="1"/>
  <c r="AE2663" i="1"/>
  <c r="AE2664" i="1"/>
  <c r="AE2665" i="1"/>
  <c r="AE2666" i="1"/>
  <c r="AE2667" i="1"/>
  <c r="AE2668" i="1"/>
  <c r="AE2669" i="1"/>
  <c r="AE2670" i="1"/>
  <c r="AE2671" i="1"/>
  <c r="AE2672" i="1"/>
  <c r="AE2673" i="1"/>
  <c r="AE2674" i="1"/>
  <c r="AE2675" i="1"/>
  <c r="AE2676" i="1"/>
  <c r="AE2677" i="1"/>
  <c r="AE2678" i="1"/>
  <c r="AE2679" i="1"/>
  <c r="AE2680" i="1"/>
  <c r="AE2681" i="1"/>
  <c r="AE2682" i="1"/>
  <c r="AE2683" i="1"/>
  <c r="AE2684" i="1"/>
  <c r="AE2685" i="1"/>
  <c r="AE2686" i="1"/>
  <c r="AE2687" i="1"/>
  <c r="AE2688" i="1"/>
  <c r="AE2689" i="1"/>
  <c r="AE2690" i="1"/>
  <c r="AE2691" i="1"/>
  <c r="AE2692" i="1"/>
  <c r="AE2693" i="1"/>
  <c r="AE2694" i="1"/>
  <c r="AE2695" i="1"/>
  <c r="AE2696" i="1"/>
  <c r="AE2697" i="1"/>
  <c r="AE2698" i="1"/>
  <c r="AE2699" i="1"/>
  <c r="AE2700" i="1"/>
  <c r="AE2701" i="1"/>
  <c r="AE2702" i="1"/>
  <c r="AE2703" i="1"/>
  <c r="AE2704" i="1"/>
  <c r="AE2705" i="1"/>
  <c r="AE2706" i="1"/>
  <c r="AE2707" i="1"/>
  <c r="AE2708" i="1"/>
  <c r="AE2709" i="1"/>
  <c r="AE2710" i="1"/>
  <c r="AE2711" i="1"/>
  <c r="AE2712" i="1"/>
  <c r="AE2713" i="1"/>
  <c r="AE2714" i="1"/>
  <c r="AE2715" i="1"/>
  <c r="AE2716" i="1"/>
  <c r="AE2717" i="1"/>
  <c r="AE2718" i="1"/>
  <c r="AE2719" i="1"/>
  <c r="AE2720" i="1"/>
  <c r="AE2721" i="1"/>
  <c r="AE2722" i="1"/>
  <c r="AE2723" i="1"/>
  <c r="AE2724" i="1"/>
  <c r="AE2725" i="1"/>
  <c r="AE2726" i="1"/>
  <c r="AE2727" i="1"/>
  <c r="AE2728" i="1"/>
  <c r="AE2729" i="1"/>
  <c r="AE2730" i="1"/>
  <c r="AE2731" i="1"/>
  <c r="AE2732" i="1"/>
  <c r="AE2733" i="1"/>
  <c r="AE2734" i="1"/>
  <c r="AE2735" i="1"/>
  <c r="AE2736" i="1"/>
  <c r="AE2737" i="1"/>
  <c r="AE2738" i="1"/>
  <c r="AE2739" i="1"/>
  <c r="AE2740" i="1"/>
  <c r="AE2741" i="1"/>
  <c r="AE2742" i="1"/>
  <c r="AE2743" i="1"/>
  <c r="AE2744" i="1"/>
  <c r="AE2745" i="1"/>
  <c r="AE2746" i="1"/>
  <c r="AE2747" i="1"/>
  <c r="AE2748" i="1"/>
  <c r="AE2749" i="1"/>
  <c r="AE2750" i="1"/>
  <c r="AE2751" i="1"/>
  <c r="AE2752" i="1"/>
  <c r="AE2753" i="1"/>
  <c r="AE2754" i="1"/>
  <c r="AE2755" i="1"/>
  <c r="AE2756" i="1"/>
  <c r="AE2757" i="1"/>
  <c r="AE2758" i="1"/>
  <c r="AE2759" i="1"/>
  <c r="AE2760" i="1"/>
  <c r="AE2761" i="1"/>
  <c r="AE2762" i="1"/>
  <c r="AE2763" i="1"/>
  <c r="AE2764" i="1"/>
  <c r="AE2765" i="1"/>
  <c r="AE2766" i="1"/>
  <c r="AE2767" i="1"/>
  <c r="AE2768" i="1"/>
  <c r="AE2769" i="1"/>
  <c r="AE2770" i="1"/>
  <c r="AE2771" i="1"/>
  <c r="AE2772" i="1"/>
  <c r="AE2773" i="1"/>
  <c r="AE2774" i="1"/>
  <c r="AE2775" i="1"/>
  <c r="AE2776" i="1"/>
  <c r="AE2777" i="1"/>
  <c r="AE2778" i="1"/>
  <c r="AE2779" i="1"/>
  <c r="AE2780" i="1"/>
  <c r="AE2781" i="1"/>
  <c r="AE2782" i="1"/>
  <c r="AE2783" i="1"/>
  <c r="AE2784" i="1"/>
  <c r="AE2785" i="1"/>
  <c r="AE2786" i="1"/>
  <c r="AE2787" i="1"/>
  <c r="AE2788" i="1"/>
  <c r="AE2789" i="1"/>
  <c r="AE2790" i="1"/>
  <c r="AE2791" i="1"/>
  <c r="AE2792" i="1"/>
  <c r="AE2793" i="1"/>
  <c r="AE2794" i="1"/>
  <c r="AE2795" i="1"/>
  <c r="AE2796" i="1"/>
  <c r="AE2797" i="1"/>
  <c r="AE2798" i="1"/>
  <c r="AE2799" i="1"/>
  <c r="AE2800" i="1"/>
  <c r="AE2801" i="1"/>
  <c r="AE2802" i="1"/>
  <c r="AE2803" i="1"/>
  <c r="AE2804" i="1"/>
  <c r="AE2805" i="1"/>
  <c r="AE2806" i="1"/>
  <c r="AE2807" i="1"/>
  <c r="AE2808" i="1"/>
  <c r="AE2809" i="1"/>
  <c r="AE2810" i="1"/>
  <c r="AE2811" i="1"/>
  <c r="AE2812" i="1"/>
  <c r="AE2813" i="1"/>
  <c r="AE2814" i="1"/>
  <c r="AE2815" i="1"/>
  <c r="AE2816" i="1"/>
  <c r="AE2817" i="1"/>
  <c r="AE2818" i="1"/>
  <c r="AE2819" i="1"/>
  <c r="AE2820" i="1"/>
  <c r="AE2821" i="1"/>
  <c r="AE2822" i="1"/>
  <c r="AE2823" i="1"/>
  <c r="AE2824" i="1"/>
  <c r="AE2825" i="1"/>
  <c r="AE2826" i="1"/>
  <c r="AE2827" i="1"/>
  <c r="AE2828" i="1"/>
  <c r="AE2829" i="1"/>
  <c r="AE2830" i="1"/>
  <c r="AE2831" i="1"/>
  <c r="AE2832" i="1"/>
  <c r="AE2833" i="1"/>
  <c r="AE2834" i="1"/>
  <c r="AE2835" i="1"/>
  <c r="AE2836" i="1"/>
  <c r="AE2837" i="1"/>
  <c r="AE2838" i="1"/>
  <c r="AE2839" i="1"/>
  <c r="AE2840" i="1"/>
  <c r="AE2841" i="1"/>
  <c r="AE2842" i="1"/>
  <c r="AE2843" i="1"/>
  <c r="AE2844" i="1"/>
  <c r="AE2845" i="1"/>
  <c r="AE2846" i="1"/>
  <c r="AE2847" i="1"/>
  <c r="AE2848" i="1"/>
  <c r="AE2849" i="1"/>
  <c r="AE2850" i="1"/>
  <c r="AE2851" i="1"/>
  <c r="AE2852" i="1"/>
  <c r="AE2853" i="1"/>
  <c r="AE2854" i="1"/>
  <c r="AE2855" i="1"/>
  <c r="AE2856" i="1"/>
  <c r="AE2857" i="1"/>
  <c r="AE2858" i="1"/>
  <c r="AE2859" i="1"/>
  <c r="AE2860" i="1"/>
  <c r="AE2861" i="1"/>
  <c r="AE2862" i="1"/>
  <c r="AE2863" i="1"/>
  <c r="AE2864" i="1"/>
  <c r="AE2865" i="1"/>
  <c r="AE2866" i="1"/>
  <c r="AE2867" i="1"/>
  <c r="AE2868" i="1"/>
  <c r="AE2869" i="1"/>
  <c r="AE2870" i="1"/>
  <c r="AE2871" i="1"/>
  <c r="AE2872" i="1"/>
  <c r="AE2873" i="1"/>
  <c r="AE2874" i="1"/>
  <c r="AE2875" i="1"/>
  <c r="AE2876" i="1"/>
  <c r="AE2877" i="1"/>
  <c r="AE2878" i="1"/>
  <c r="AE2879" i="1"/>
  <c r="AE2880" i="1"/>
  <c r="AE2881" i="1"/>
  <c r="AE2882" i="1"/>
  <c r="AE2883" i="1"/>
  <c r="AE2884" i="1"/>
  <c r="AE2885" i="1"/>
  <c r="AE2886" i="1"/>
  <c r="AE2887" i="1"/>
  <c r="AE2888" i="1"/>
  <c r="AE2889" i="1"/>
  <c r="AE2890" i="1"/>
  <c r="AE2891" i="1"/>
  <c r="AE2892" i="1"/>
  <c r="AE2893" i="1"/>
  <c r="AE2894" i="1"/>
  <c r="AE2895" i="1"/>
  <c r="AE2896" i="1"/>
  <c r="AE2897" i="1"/>
  <c r="AE2898" i="1"/>
  <c r="AE2899" i="1"/>
  <c r="AE2900" i="1"/>
  <c r="AE2901" i="1"/>
  <c r="AE2902" i="1"/>
  <c r="AE2903" i="1"/>
  <c r="AE2904" i="1"/>
  <c r="AE2905" i="1"/>
  <c r="AE2906" i="1"/>
  <c r="AE2907" i="1"/>
  <c r="AE2908" i="1"/>
  <c r="AE2909" i="1"/>
  <c r="AE2910" i="1"/>
  <c r="AE2911" i="1"/>
  <c r="AE2912" i="1"/>
  <c r="AE2913" i="1"/>
  <c r="AE2914" i="1"/>
  <c r="AE2915" i="1"/>
  <c r="AE2916" i="1"/>
  <c r="AE2917" i="1"/>
  <c r="AE2918" i="1"/>
  <c r="AE2919" i="1"/>
  <c r="AE2920" i="1"/>
  <c r="AE2921" i="1"/>
  <c r="AE2922" i="1"/>
  <c r="AE2923" i="1"/>
  <c r="AE2924" i="1"/>
  <c r="AE2925" i="1"/>
  <c r="AE2926" i="1"/>
  <c r="AE2927" i="1"/>
  <c r="AE2928" i="1"/>
  <c r="AE2929" i="1"/>
  <c r="AE2930" i="1"/>
  <c r="AE2931" i="1"/>
  <c r="AE2932" i="1"/>
  <c r="AE2933" i="1"/>
  <c r="AE2934" i="1"/>
  <c r="AE2935" i="1"/>
  <c r="AE2936" i="1"/>
  <c r="AE2937" i="1"/>
  <c r="AE2938" i="1"/>
  <c r="AE2939" i="1"/>
  <c r="AE2940" i="1"/>
  <c r="AE2941" i="1"/>
  <c r="AE2942" i="1"/>
  <c r="AE2943" i="1"/>
  <c r="AE2944" i="1"/>
  <c r="AE2945" i="1"/>
  <c r="AE2946" i="1"/>
  <c r="AE2947" i="1"/>
  <c r="AE2948" i="1"/>
  <c r="AE2949" i="1"/>
  <c r="AE2950" i="1"/>
  <c r="AE2951" i="1"/>
  <c r="AE2952" i="1"/>
  <c r="AE2953" i="1"/>
  <c r="AE2954" i="1"/>
  <c r="AE2955" i="1"/>
  <c r="AE2956" i="1"/>
  <c r="AE2957" i="1"/>
  <c r="AE2958" i="1"/>
  <c r="AE2959" i="1"/>
  <c r="AE2960" i="1"/>
  <c r="AE2961" i="1"/>
  <c r="AE2962" i="1"/>
  <c r="AE2963" i="1"/>
  <c r="AE2964" i="1"/>
  <c r="AE2965" i="1"/>
  <c r="AE2966" i="1"/>
  <c r="AE2967" i="1"/>
  <c r="AE2968" i="1"/>
  <c r="AE2969" i="1"/>
  <c r="AE2970" i="1"/>
  <c r="AE2971" i="1"/>
  <c r="AE2972" i="1"/>
  <c r="AE2973" i="1"/>
  <c r="AE2974" i="1"/>
  <c r="AE2975" i="1"/>
  <c r="AE2976" i="1"/>
  <c r="AE2977" i="1"/>
  <c r="AE2978" i="1"/>
  <c r="AE2979" i="1"/>
  <c r="AE2980" i="1"/>
  <c r="AE2981" i="1"/>
  <c r="AE2982" i="1"/>
  <c r="AE2983" i="1"/>
  <c r="AE2984" i="1"/>
  <c r="AE2985" i="1"/>
  <c r="AE2986" i="1"/>
  <c r="AE2987" i="1"/>
  <c r="AE2988" i="1"/>
  <c r="AE2989" i="1"/>
  <c r="AE2990" i="1"/>
  <c r="AE2991" i="1"/>
  <c r="AE2992" i="1"/>
  <c r="AE2993" i="1"/>
  <c r="AE2994" i="1"/>
  <c r="AE2995" i="1"/>
  <c r="AE2996" i="1"/>
  <c r="AE2997" i="1"/>
  <c r="AE2998" i="1"/>
  <c r="AE2999" i="1"/>
  <c r="AE3000" i="1"/>
  <c r="AE3001" i="1"/>
  <c r="AE3002" i="1"/>
  <c r="AE3003" i="1"/>
  <c r="AE3004" i="1"/>
  <c r="AE3005" i="1"/>
  <c r="AE3006" i="1"/>
  <c r="AE3007" i="1"/>
  <c r="AE3008" i="1"/>
  <c r="AE3009" i="1"/>
  <c r="AE3010" i="1"/>
  <c r="AE3011" i="1"/>
  <c r="AE3012" i="1"/>
  <c r="AE3013" i="1"/>
  <c r="AE3014" i="1"/>
  <c r="AE3015" i="1"/>
  <c r="AE3016" i="1"/>
  <c r="AE3017" i="1"/>
  <c r="AE3018" i="1"/>
  <c r="AE3019" i="1"/>
  <c r="AE3020" i="1"/>
  <c r="AE3021" i="1"/>
  <c r="AE3022" i="1"/>
  <c r="AE3023" i="1"/>
  <c r="AE3024" i="1"/>
  <c r="AE3025" i="1"/>
  <c r="AE3026" i="1"/>
  <c r="AE3027" i="1"/>
  <c r="AE3028" i="1"/>
  <c r="AE3029" i="1"/>
  <c r="AE3030" i="1"/>
  <c r="AE3031" i="1"/>
  <c r="AE3032" i="1"/>
  <c r="AE3033" i="1"/>
  <c r="AE3034" i="1"/>
  <c r="AE3035" i="1"/>
  <c r="AE3036" i="1"/>
  <c r="AE3037" i="1"/>
  <c r="AE3038" i="1"/>
  <c r="AE3039" i="1"/>
  <c r="AE3040" i="1"/>
  <c r="AE3041" i="1"/>
  <c r="AE3042" i="1"/>
  <c r="AE3043" i="1"/>
  <c r="AE3044" i="1"/>
  <c r="AE3045" i="1"/>
  <c r="AE3046" i="1"/>
  <c r="AE3047" i="1"/>
  <c r="AE3048" i="1"/>
  <c r="AE3049" i="1"/>
  <c r="AE3050" i="1"/>
  <c r="AE3051" i="1"/>
  <c r="AE3052" i="1"/>
  <c r="AE3053" i="1"/>
  <c r="AE3054" i="1"/>
  <c r="AE3055" i="1"/>
  <c r="AE3056" i="1"/>
  <c r="AE3057" i="1"/>
  <c r="AE3058" i="1"/>
  <c r="AE3059" i="1"/>
  <c r="AE3060" i="1"/>
  <c r="AE3061" i="1"/>
  <c r="AE3062" i="1"/>
  <c r="AE3063" i="1"/>
  <c r="AE3064" i="1"/>
  <c r="AE3065" i="1"/>
  <c r="AE3066" i="1"/>
  <c r="AE3067" i="1"/>
  <c r="AE3068" i="1"/>
  <c r="AE3069" i="1"/>
  <c r="AE3070" i="1"/>
  <c r="AE3071" i="1"/>
  <c r="AE3072" i="1"/>
  <c r="AE3073" i="1"/>
  <c r="AE3074" i="1"/>
  <c r="AE3075" i="1"/>
  <c r="AE3076" i="1"/>
  <c r="AE3077" i="1"/>
  <c r="AE3078" i="1"/>
  <c r="AE3079" i="1"/>
  <c r="AE3080" i="1"/>
  <c r="AE3081" i="1"/>
  <c r="AE3082" i="1"/>
  <c r="AE3083" i="1"/>
  <c r="AE3084" i="1"/>
  <c r="AE3085" i="1"/>
  <c r="AE3086" i="1"/>
  <c r="AE3087" i="1"/>
  <c r="AE3088" i="1"/>
  <c r="AE3089" i="1"/>
  <c r="AE3090" i="1"/>
  <c r="AE3091" i="1"/>
  <c r="AE3092" i="1"/>
  <c r="AE3093" i="1"/>
  <c r="AE3094" i="1"/>
  <c r="AE3095" i="1"/>
  <c r="AE3096" i="1"/>
  <c r="AE3097" i="1"/>
  <c r="AE3098" i="1"/>
  <c r="AE3099" i="1"/>
  <c r="AE3100" i="1"/>
  <c r="AE3101" i="1"/>
  <c r="AE3102" i="1"/>
  <c r="AE3103" i="1"/>
  <c r="AE3104" i="1"/>
  <c r="AE3105" i="1"/>
  <c r="AE3106" i="1"/>
  <c r="AE3107" i="1"/>
  <c r="AE3108" i="1"/>
  <c r="AE3109" i="1"/>
  <c r="AE3110" i="1"/>
  <c r="AE3111" i="1"/>
  <c r="AE3112" i="1"/>
  <c r="AE3113" i="1"/>
  <c r="AE3114" i="1"/>
  <c r="AE3115" i="1"/>
  <c r="AE3116" i="1"/>
  <c r="AE3117" i="1"/>
  <c r="AE3118" i="1"/>
  <c r="AE3119" i="1"/>
  <c r="AE3120" i="1"/>
  <c r="AE3121" i="1"/>
  <c r="AE3122" i="1"/>
  <c r="AE3123" i="1"/>
  <c r="AE3124" i="1"/>
  <c r="AE3125" i="1"/>
  <c r="AE3126" i="1"/>
  <c r="AE3127" i="1"/>
  <c r="AE3128" i="1"/>
  <c r="AE3129" i="1"/>
  <c r="AE3130" i="1"/>
  <c r="AE3131" i="1"/>
  <c r="AE3132" i="1"/>
  <c r="AE3133" i="1"/>
  <c r="AE3134" i="1"/>
  <c r="AE3135" i="1"/>
  <c r="AE3136" i="1"/>
  <c r="AE3137" i="1"/>
  <c r="AE3138" i="1"/>
  <c r="AE3139" i="1"/>
  <c r="AE3140" i="1"/>
  <c r="AE3141" i="1"/>
  <c r="AE3142" i="1"/>
  <c r="AE3143" i="1"/>
  <c r="AE3144" i="1"/>
  <c r="AE3145" i="1"/>
  <c r="AE3146" i="1"/>
  <c r="AE3147" i="1"/>
  <c r="AE3148" i="1"/>
  <c r="AE3149" i="1"/>
  <c r="AE3150" i="1"/>
  <c r="AE3151" i="1"/>
  <c r="AE3152" i="1"/>
  <c r="AE3153" i="1"/>
  <c r="AE3154" i="1"/>
  <c r="AE3155" i="1"/>
  <c r="AE3156" i="1"/>
  <c r="AE3157" i="1"/>
  <c r="AE3158" i="1"/>
  <c r="AE3159" i="1"/>
  <c r="AE3160" i="1"/>
  <c r="AE3161" i="1"/>
  <c r="AE3162" i="1"/>
  <c r="AE3163" i="1"/>
  <c r="AE3164" i="1"/>
  <c r="AE3165" i="1"/>
  <c r="AE3166" i="1"/>
  <c r="AE3167" i="1"/>
  <c r="AE3168" i="1"/>
  <c r="AE3169" i="1"/>
  <c r="AE3170" i="1"/>
  <c r="AE3171" i="1"/>
  <c r="AE3172" i="1"/>
  <c r="AE3173" i="1"/>
  <c r="AE3174" i="1"/>
  <c r="AE3175" i="1"/>
  <c r="AE3176" i="1"/>
  <c r="AE3177" i="1"/>
  <c r="AE3178" i="1"/>
  <c r="AE3179" i="1"/>
  <c r="AE3180" i="1"/>
  <c r="AE3181" i="1"/>
  <c r="AE3182" i="1"/>
  <c r="AE3183" i="1"/>
  <c r="AE3184" i="1"/>
  <c r="AE3185" i="1"/>
  <c r="AE3186" i="1"/>
  <c r="AE3187" i="1"/>
  <c r="AE3188" i="1"/>
  <c r="AE3189" i="1"/>
  <c r="AE3190" i="1"/>
  <c r="AE3191" i="1"/>
  <c r="AE3192" i="1"/>
  <c r="AE3193" i="1"/>
  <c r="AE3194" i="1"/>
  <c r="AE3195" i="1"/>
  <c r="AE3196" i="1"/>
  <c r="AE3197" i="1"/>
  <c r="AE3198" i="1"/>
  <c r="AE3199" i="1"/>
  <c r="AE3200" i="1"/>
  <c r="AE3201" i="1"/>
  <c r="AE3202" i="1"/>
  <c r="AE3203" i="1"/>
  <c r="AE3204" i="1"/>
  <c r="AE3205" i="1"/>
  <c r="AE3206" i="1"/>
  <c r="AE3207" i="1"/>
  <c r="AE3208" i="1"/>
  <c r="AE3209" i="1"/>
  <c r="AE3210" i="1"/>
  <c r="AE3211" i="1"/>
  <c r="AE3212" i="1"/>
  <c r="AE3213" i="1"/>
  <c r="AE3214" i="1"/>
  <c r="AE3215" i="1"/>
  <c r="AE3216" i="1"/>
  <c r="AE3217" i="1"/>
  <c r="AE3218" i="1"/>
  <c r="AE3219" i="1"/>
  <c r="AE3220" i="1"/>
  <c r="AE3221" i="1"/>
  <c r="AE3222" i="1"/>
  <c r="AE3223" i="1"/>
  <c r="AE3224" i="1"/>
  <c r="AE3225" i="1"/>
  <c r="AE3226" i="1"/>
  <c r="AE3227" i="1"/>
  <c r="AE3228" i="1"/>
  <c r="AE3229" i="1"/>
  <c r="AE3230" i="1"/>
  <c r="AE3231" i="1"/>
  <c r="AE3232" i="1"/>
  <c r="AE3233" i="1"/>
  <c r="AE3234" i="1"/>
  <c r="AE3235" i="1"/>
  <c r="AE3236" i="1"/>
  <c r="AE3237" i="1"/>
  <c r="AE3238" i="1"/>
  <c r="AE3239" i="1"/>
  <c r="AE3240" i="1"/>
  <c r="AE3241" i="1"/>
  <c r="AE3242" i="1"/>
  <c r="AE3243" i="1"/>
  <c r="AE3244" i="1"/>
  <c r="AE3245" i="1"/>
  <c r="AE3246" i="1"/>
  <c r="AE3247" i="1"/>
  <c r="AE3248" i="1"/>
  <c r="AE3249" i="1"/>
  <c r="AE3250" i="1"/>
  <c r="AE3251" i="1"/>
  <c r="AE3252" i="1"/>
  <c r="AE3253" i="1"/>
  <c r="AE3254" i="1"/>
  <c r="AE3255" i="1"/>
  <c r="AE3256" i="1"/>
  <c r="AE3257" i="1"/>
  <c r="AE3258" i="1"/>
  <c r="AE3259" i="1"/>
  <c r="AE3260" i="1"/>
  <c r="AE3261" i="1"/>
  <c r="AE3262" i="1"/>
  <c r="AE3263" i="1"/>
  <c r="AE3264" i="1"/>
  <c r="AE3265" i="1"/>
  <c r="AE3266" i="1"/>
  <c r="AE3267" i="1"/>
  <c r="AE3268" i="1"/>
  <c r="AE3269" i="1"/>
  <c r="AE3270" i="1"/>
  <c r="AE3271" i="1"/>
  <c r="AE3272" i="1"/>
  <c r="AE3273" i="1"/>
  <c r="AE3274" i="1"/>
  <c r="AE3275" i="1"/>
  <c r="AE3276" i="1"/>
  <c r="AE3277" i="1"/>
  <c r="AE3278" i="1"/>
  <c r="AE3279" i="1"/>
  <c r="AE3280" i="1"/>
  <c r="AE3281" i="1"/>
  <c r="AE3282" i="1"/>
  <c r="AE3283" i="1"/>
  <c r="AE3284" i="1"/>
  <c r="AE3285" i="1"/>
  <c r="AE3286" i="1"/>
  <c r="AE3287" i="1"/>
  <c r="AE3288" i="1"/>
  <c r="AE3289" i="1"/>
  <c r="AE3290" i="1"/>
  <c r="AE3291" i="1"/>
  <c r="AE3292" i="1"/>
  <c r="AE3293" i="1"/>
  <c r="AE3294" i="1"/>
  <c r="AE3295" i="1"/>
  <c r="AE3296" i="1"/>
  <c r="AE3297" i="1"/>
  <c r="AE3298" i="1"/>
  <c r="AE3299" i="1"/>
  <c r="AE3300" i="1"/>
  <c r="AE3301" i="1"/>
  <c r="AE3302" i="1"/>
  <c r="AE3303" i="1"/>
  <c r="AE3304" i="1"/>
  <c r="AE3305" i="1"/>
  <c r="AE3306" i="1"/>
  <c r="AE3307" i="1"/>
  <c r="AE3308" i="1"/>
  <c r="AE3309" i="1"/>
  <c r="AE3310" i="1"/>
  <c r="AE3311" i="1"/>
  <c r="AE3312" i="1"/>
  <c r="AE3313" i="1"/>
  <c r="AE3314" i="1"/>
  <c r="AE3315" i="1"/>
  <c r="AE3316" i="1"/>
  <c r="AE3317" i="1"/>
  <c r="AE3318" i="1"/>
  <c r="AE3319" i="1"/>
  <c r="AE3320" i="1"/>
  <c r="AE3321" i="1"/>
  <c r="AE3322" i="1"/>
  <c r="AE3323" i="1"/>
  <c r="AE3324" i="1"/>
  <c r="AE3325" i="1"/>
  <c r="AE3326" i="1"/>
  <c r="AE3327" i="1"/>
  <c r="AE3328" i="1"/>
  <c r="AE3329" i="1"/>
  <c r="AE3330" i="1"/>
  <c r="AE3331" i="1"/>
  <c r="AE3332" i="1"/>
  <c r="AE3333" i="1"/>
  <c r="AE3334" i="1"/>
  <c r="AE3335" i="1"/>
  <c r="AE3336" i="1"/>
  <c r="AE3337" i="1"/>
  <c r="AE3338" i="1"/>
  <c r="AE3339" i="1"/>
  <c r="AE3340" i="1"/>
  <c r="AE3341" i="1"/>
  <c r="AE3342" i="1"/>
  <c r="AE3343" i="1"/>
  <c r="AE3344" i="1"/>
  <c r="AE3345" i="1"/>
  <c r="AE3346" i="1"/>
  <c r="AE3347" i="1"/>
  <c r="AE3348" i="1"/>
  <c r="AE3349" i="1"/>
  <c r="AE3350" i="1"/>
  <c r="AE3351" i="1"/>
  <c r="AE3352" i="1"/>
  <c r="AE3353" i="1"/>
  <c r="AE3354" i="1"/>
  <c r="AE3355" i="1"/>
  <c r="AE3356" i="1"/>
  <c r="AE3357" i="1"/>
  <c r="AE3358" i="1"/>
  <c r="AE3359" i="1"/>
  <c r="AE3360" i="1"/>
  <c r="AE3361" i="1"/>
  <c r="AE3362" i="1"/>
  <c r="AE3363" i="1"/>
  <c r="AE3364" i="1"/>
  <c r="AE3365" i="1"/>
  <c r="AE3366" i="1"/>
  <c r="AE3367" i="1"/>
  <c r="AE3368" i="1"/>
  <c r="AE3369" i="1"/>
  <c r="AE3370" i="1"/>
  <c r="AE3371" i="1"/>
  <c r="AE3372" i="1"/>
  <c r="AE3373" i="1"/>
  <c r="AE3374" i="1"/>
  <c r="AE3375" i="1"/>
  <c r="AE3376" i="1"/>
  <c r="AE3377" i="1"/>
  <c r="AE3378" i="1"/>
  <c r="AE3379" i="1"/>
  <c r="AE3380" i="1"/>
  <c r="AE3381" i="1"/>
  <c r="AE3382" i="1"/>
  <c r="AE3383" i="1"/>
  <c r="AE3384" i="1"/>
  <c r="AE3385" i="1"/>
  <c r="AE3386" i="1"/>
  <c r="AE3387" i="1"/>
  <c r="AE3388" i="1"/>
  <c r="AE3389" i="1"/>
  <c r="AE3390" i="1"/>
  <c r="AE3391" i="1"/>
  <c r="AE3392" i="1"/>
  <c r="AE3393" i="1"/>
  <c r="AE3394" i="1"/>
  <c r="AE3395" i="1"/>
  <c r="AE3396" i="1"/>
  <c r="AE3397" i="1"/>
  <c r="AE3398" i="1"/>
  <c r="AE3399" i="1"/>
  <c r="AE3400" i="1"/>
  <c r="AE3401" i="1"/>
  <c r="AE3402" i="1"/>
  <c r="AE3403" i="1"/>
  <c r="AE3404" i="1"/>
  <c r="AE3405" i="1"/>
  <c r="AE3406" i="1"/>
  <c r="AE3407" i="1"/>
  <c r="AE3408" i="1"/>
  <c r="AE3409" i="1"/>
  <c r="AE3410" i="1"/>
  <c r="AE3411" i="1"/>
  <c r="AE3412" i="1"/>
  <c r="AE3413" i="1"/>
  <c r="AE3414" i="1"/>
  <c r="AE3415" i="1"/>
  <c r="AE3416" i="1"/>
  <c r="AE3417" i="1"/>
  <c r="AE3418" i="1"/>
  <c r="AE3419" i="1"/>
  <c r="AE3420" i="1"/>
  <c r="AE3421" i="1"/>
  <c r="AE3422" i="1"/>
  <c r="AE3423" i="1"/>
  <c r="AE3424" i="1"/>
  <c r="AE3425" i="1"/>
  <c r="AE3426" i="1"/>
  <c r="AE3427" i="1"/>
  <c r="AE3428" i="1"/>
  <c r="AE3429" i="1"/>
  <c r="AE3430" i="1"/>
  <c r="AE3431" i="1"/>
  <c r="AE3432" i="1"/>
  <c r="AE3433" i="1"/>
  <c r="AE3434" i="1"/>
  <c r="AE3435" i="1"/>
  <c r="AE3436" i="1"/>
  <c r="AE3437" i="1"/>
  <c r="AE3438" i="1"/>
  <c r="AE3439" i="1"/>
  <c r="AE3440" i="1"/>
  <c r="AE3441" i="1"/>
  <c r="AE3442" i="1"/>
  <c r="AE3443" i="1"/>
  <c r="AE3444" i="1"/>
  <c r="AE3445" i="1"/>
  <c r="AE3446" i="1"/>
  <c r="AE3447" i="1"/>
  <c r="AE3448" i="1"/>
  <c r="AE3449" i="1"/>
  <c r="AE3450" i="1"/>
  <c r="AE3451" i="1"/>
  <c r="AE3452" i="1"/>
  <c r="AE3453" i="1"/>
  <c r="AE3454" i="1"/>
  <c r="AE3455" i="1"/>
  <c r="AE3456" i="1"/>
  <c r="AE3457" i="1"/>
  <c r="AE3458" i="1"/>
  <c r="AE3459" i="1"/>
  <c r="AE3460" i="1"/>
  <c r="AE3461" i="1"/>
  <c r="AE3462" i="1"/>
  <c r="AE3463" i="1"/>
  <c r="AE3464" i="1"/>
  <c r="AE3465" i="1"/>
  <c r="AE3466" i="1"/>
  <c r="AE3467" i="1"/>
  <c r="AE3468" i="1"/>
  <c r="AE3469" i="1"/>
  <c r="AE3470" i="1"/>
  <c r="AE3471" i="1"/>
  <c r="AE3472" i="1"/>
  <c r="AE3473" i="1"/>
  <c r="AE3474" i="1"/>
  <c r="AE3475" i="1"/>
  <c r="AE3476" i="1"/>
  <c r="AE3477" i="1"/>
  <c r="AE3478" i="1"/>
  <c r="AE3479" i="1"/>
  <c r="AE3480" i="1"/>
  <c r="AE3481" i="1"/>
  <c r="AE3482" i="1"/>
  <c r="AE3483" i="1"/>
  <c r="AE3484" i="1"/>
  <c r="AE3485" i="1"/>
  <c r="AE3486" i="1"/>
  <c r="AE3487" i="1"/>
  <c r="AE3488" i="1"/>
  <c r="AE3489" i="1"/>
  <c r="AE3490" i="1"/>
  <c r="AE3491" i="1"/>
  <c r="AE3492" i="1"/>
  <c r="AE3493" i="1"/>
  <c r="AE3494" i="1"/>
  <c r="AE3495" i="1"/>
  <c r="AE3496" i="1"/>
  <c r="AE3497" i="1"/>
  <c r="AE3498" i="1"/>
  <c r="AE3499" i="1"/>
  <c r="AE3500" i="1"/>
  <c r="AE3501" i="1"/>
  <c r="AE3502" i="1"/>
  <c r="AE3503" i="1"/>
  <c r="AE3504" i="1"/>
  <c r="AE3505" i="1"/>
  <c r="AE3506" i="1"/>
  <c r="AE3507" i="1"/>
  <c r="AE3508" i="1"/>
  <c r="AE3509" i="1"/>
  <c r="AE3510" i="1"/>
  <c r="AE3511" i="1"/>
  <c r="AE3512" i="1"/>
  <c r="AE3513" i="1"/>
  <c r="AE3514" i="1"/>
  <c r="AE3515" i="1"/>
  <c r="AE3516" i="1"/>
  <c r="AE3517" i="1"/>
  <c r="AE3518" i="1"/>
  <c r="AE3519" i="1"/>
  <c r="AE3520" i="1"/>
  <c r="AE3521" i="1"/>
  <c r="AE3522" i="1"/>
  <c r="AE3523" i="1"/>
  <c r="AE3524" i="1"/>
  <c r="AE3525" i="1"/>
  <c r="AE3526" i="1"/>
  <c r="AE3527" i="1"/>
  <c r="AE3528" i="1"/>
  <c r="AE3529" i="1"/>
  <c r="AE3530" i="1"/>
  <c r="AE3531" i="1"/>
  <c r="AE3532" i="1"/>
  <c r="AE3533" i="1"/>
  <c r="AE3534" i="1"/>
  <c r="AE3535" i="1"/>
  <c r="AE3536" i="1"/>
  <c r="AE3537" i="1"/>
  <c r="AE3538" i="1"/>
  <c r="AE3539" i="1"/>
  <c r="AE3540" i="1"/>
  <c r="AE3541" i="1"/>
  <c r="AE3542" i="1"/>
  <c r="AE3543" i="1"/>
  <c r="AE3544" i="1"/>
  <c r="AE3545" i="1"/>
  <c r="AE3546" i="1"/>
  <c r="AE3547" i="1"/>
  <c r="AE3548" i="1"/>
  <c r="AE3549" i="1"/>
  <c r="AE3550" i="1"/>
  <c r="AE3551" i="1"/>
  <c r="AE3552" i="1"/>
  <c r="AE3553" i="1"/>
  <c r="AE3554" i="1"/>
  <c r="AE3555" i="1"/>
  <c r="AE3556" i="1"/>
  <c r="AE3557" i="1"/>
  <c r="AE3558" i="1"/>
  <c r="AE3559" i="1"/>
  <c r="AE3560" i="1"/>
  <c r="AE3561" i="1"/>
  <c r="AE3562" i="1"/>
  <c r="AE3563" i="1"/>
  <c r="AE3564" i="1"/>
  <c r="AE3565" i="1"/>
  <c r="AE3566" i="1"/>
  <c r="AE3567" i="1"/>
  <c r="AE3568" i="1"/>
  <c r="AE3569" i="1"/>
  <c r="AE3570" i="1"/>
  <c r="AE3571" i="1"/>
  <c r="AE3572" i="1"/>
  <c r="AE3573" i="1"/>
  <c r="AE3574" i="1"/>
  <c r="AE3575" i="1"/>
  <c r="AE3576" i="1"/>
  <c r="AE3577" i="1"/>
  <c r="AE3578" i="1"/>
  <c r="AE3579" i="1"/>
  <c r="AE3580" i="1"/>
  <c r="AE3581" i="1"/>
  <c r="AE3582" i="1"/>
  <c r="AE3583" i="1"/>
  <c r="AE3584" i="1"/>
  <c r="AE3585" i="1"/>
  <c r="AE3586" i="1"/>
  <c r="AE3587" i="1"/>
  <c r="AE3588" i="1"/>
  <c r="AE3589" i="1"/>
  <c r="AE3590" i="1"/>
  <c r="AE3591" i="1"/>
  <c r="AE3592" i="1"/>
  <c r="AE3593" i="1"/>
  <c r="AE3594" i="1"/>
  <c r="AE3595" i="1"/>
  <c r="AE3596" i="1"/>
  <c r="AE3597" i="1"/>
  <c r="AE3598" i="1"/>
  <c r="AE3599" i="1"/>
  <c r="AE3600" i="1"/>
  <c r="AE3601" i="1"/>
  <c r="AE3602" i="1"/>
  <c r="AE3603" i="1"/>
  <c r="AE3604" i="1"/>
  <c r="AE3605" i="1"/>
  <c r="AE3606" i="1"/>
  <c r="AE3607" i="1"/>
  <c r="AE3608" i="1"/>
  <c r="AE3609" i="1"/>
  <c r="AE3610" i="1"/>
  <c r="AE3611" i="1"/>
  <c r="AE3612" i="1"/>
  <c r="AE3613" i="1"/>
  <c r="AE3614" i="1"/>
  <c r="AE3615" i="1"/>
  <c r="AE3616" i="1"/>
  <c r="AE3617" i="1"/>
  <c r="AE3618" i="1"/>
  <c r="AE3619" i="1"/>
  <c r="AE3620" i="1"/>
  <c r="AE3621" i="1"/>
  <c r="AE3622" i="1"/>
  <c r="AE3623" i="1"/>
  <c r="AE3624" i="1"/>
  <c r="AE3625" i="1"/>
  <c r="AE3626" i="1"/>
  <c r="AE3627" i="1"/>
  <c r="AE3628" i="1"/>
  <c r="AE3629" i="1"/>
  <c r="AE3630" i="1"/>
  <c r="AE3631" i="1"/>
  <c r="AE3632" i="1"/>
  <c r="AE3633" i="1"/>
  <c r="AE3634" i="1"/>
  <c r="AE3635" i="1"/>
  <c r="AE3636" i="1"/>
  <c r="AE3637" i="1"/>
  <c r="AE3638" i="1"/>
  <c r="AE3639" i="1"/>
  <c r="AE3640" i="1"/>
  <c r="AE3641" i="1"/>
  <c r="AE3642" i="1"/>
  <c r="AE3643" i="1"/>
  <c r="AE3644" i="1"/>
  <c r="AE3645" i="1"/>
  <c r="AE3646" i="1"/>
  <c r="AE3647" i="1"/>
  <c r="AE3648" i="1"/>
  <c r="AE3649" i="1"/>
  <c r="AE3650" i="1"/>
  <c r="AE3651" i="1"/>
  <c r="AE3652" i="1"/>
  <c r="AE3653" i="1"/>
  <c r="AE3654" i="1"/>
  <c r="AE3655" i="1"/>
  <c r="AE3656" i="1"/>
  <c r="AE3657" i="1"/>
  <c r="AE3658" i="1"/>
  <c r="AE3659" i="1"/>
  <c r="AE3660" i="1"/>
  <c r="AE3661" i="1"/>
  <c r="AE3662" i="1"/>
  <c r="AE3663" i="1"/>
  <c r="AE3664" i="1"/>
  <c r="AE3665" i="1"/>
  <c r="AE3666" i="1"/>
  <c r="AE3667" i="1"/>
  <c r="AE3668" i="1"/>
  <c r="AE3669" i="1"/>
  <c r="AE3670" i="1"/>
  <c r="AE3671" i="1"/>
  <c r="AE3672" i="1"/>
  <c r="AE3673" i="1"/>
  <c r="AE3674" i="1"/>
  <c r="AE3675" i="1"/>
  <c r="AE3676" i="1"/>
  <c r="AE3677" i="1"/>
  <c r="AE3678" i="1"/>
  <c r="AE3679" i="1"/>
  <c r="AE3680" i="1"/>
  <c r="AE3681" i="1"/>
  <c r="AE3682" i="1"/>
  <c r="AE3683" i="1"/>
  <c r="AE3684" i="1"/>
  <c r="AE3685" i="1"/>
  <c r="AE3686" i="1"/>
  <c r="AE3687" i="1"/>
  <c r="AE3688" i="1"/>
  <c r="AE3689" i="1"/>
  <c r="AE3690" i="1"/>
  <c r="AE3691" i="1"/>
  <c r="AE3692" i="1"/>
  <c r="AE3693" i="1"/>
  <c r="AE3694" i="1"/>
  <c r="AE3695" i="1"/>
  <c r="AE3696" i="1"/>
  <c r="AE3697" i="1"/>
  <c r="AE3698" i="1"/>
  <c r="AE3699" i="1"/>
  <c r="AE3700" i="1"/>
  <c r="AE3701" i="1"/>
  <c r="AE3702" i="1"/>
  <c r="AE3703" i="1"/>
  <c r="AE3704" i="1"/>
  <c r="AE3705" i="1"/>
  <c r="AE3706" i="1"/>
  <c r="AE3707" i="1"/>
  <c r="AE3708" i="1"/>
  <c r="AE3709" i="1"/>
  <c r="AE3710" i="1"/>
  <c r="AE3711" i="1"/>
  <c r="AE3712" i="1"/>
  <c r="AE3713" i="1"/>
  <c r="AE3714" i="1"/>
  <c r="AE3715" i="1"/>
  <c r="AE3716" i="1"/>
  <c r="AE3717" i="1"/>
  <c r="AE3718" i="1"/>
  <c r="AE3719" i="1"/>
  <c r="AE3720" i="1"/>
  <c r="AE3721" i="1"/>
  <c r="AE3722" i="1"/>
  <c r="AE3723" i="1"/>
  <c r="AE3724" i="1"/>
  <c r="AE3725" i="1"/>
  <c r="AE3726" i="1"/>
  <c r="AE3727" i="1"/>
  <c r="AE3728" i="1"/>
  <c r="AE3729" i="1"/>
  <c r="AE3730" i="1"/>
  <c r="AE3731" i="1"/>
  <c r="AE3732" i="1"/>
  <c r="AE3733" i="1"/>
  <c r="AE3734" i="1"/>
  <c r="AE3735" i="1"/>
  <c r="AE3736" i="1"/>
  <c r="AE3737" i="1"/>
  <c r="AE3738" i="1"/>
  <c r="AE3739" i="1"/>
  <c r="AE3740" i="1"/>
  <c r="AE3741" i="1"/>
  <c r="AE3742" i="1"/>
  <c r="AE3743" i="1"/>
  <c r="AE3744" i="1"/>
  <c r="AE3745" i="1"/>
  <c r="AE3746" i="1"/>
  <c r="AE3747" i="1"/>
  <c r="AE3748" i="1"/>
  <c r="AE3749" i="1"/>
  <c r="AE3750" i="1"/>
  <c r="AE3751" i="1"/>
  <c r="AE3752" i="1"/>
  <c r="AE3753" i="1"/>
  <c r="AE3754" i="1"/>
  <c r="AE3755" i="1"/>
  <c r="AE3756" i="1"/>
  <c r="AE3757" i="1"/>
  <c r="AE3758" i="1"/>
  <c r="AE3759" i="1"/>
  <c r="AE3760" i="1"/>
  <c r="AE3761" i="1"/>
  <c r="AE3762" i="1"/>
  <c r="AE3763" i="1"/>
  <c r="AE3764" i="1"/>
  <c r="AE3765" i="1"/>
  <c r="AE3766" i="1"/>
  <c r="AE3767" i="1"/>
  <c r="AE3768" i="1"/>
  <c r="AE3769" i="1"/>
  <c r="AE3770" i="1"/>
  <c r="AE3771" i="1"/>
  <c r="AE3772" i="1"/>
  <c r="AE3773" i="1"/>
  <c r="AE3774" i="1"/>
  <c r="AE3775" i="1"/>
  <c r="AE3776" i="1"/>
  <c r="AE3777" i="1"/>
  <c r="AE3778" i="1"/>
  <c r="AE3779" i="1"/>
  <c r="AE3780" i="1"/>
  <c r="AE3781" i="1"/>
  <c r="AE3782" i="1"/>
  <c r="AE3783" i="1"/>
  <c r="AE3784" i="1"/>
  <c r="AE3785" i="1"/>
  <c r="AE3786" i="1"/>
  <c r="AE3787" i="1"/>
  <c r="AE3788" i="1"/>
  <c r="AE3789" i="1"/>
  <c r="AE3790" i="1"/>
  <c r="AE3791" i="1"/>
  <c r="AE3792" i="1"/>
  <c r="AE3793" i="1"/>
  <c r="AE3794" i="1"/>
  <c r="AE3795" i="1"/>
  <c r="AE3796" i="1"/>
  <c r="AE3797" i="1"/>
  <c r="AE3798" i="1"/>
  <c r="AE3799" i="1"/>
  <c r="AE3800" i="1"/>
  <c r="AE3801" i="1"/>
  <c r="AE3802" i="1"/>
  <c r="AE3803" i="1"/>
  <c r="AE3804" i="1"/>
  <c r="AE3805" i="1"/>
  <c r="AE3806" i="1"/>
  <c r="AE3807" i="1"/>
  <c r="AE3808" i="1"/>
  <c r="AE3809" i="1"/>
  <c r="AE3810" i="1"/>
  <c r="AE3811" i="1"/>
  <c r="AE3812" i="1"/>
  <c r="AE3813" i="1"/>
  <c r="AE3814" i="1"/>
  <c r="AE3815" i="1"/>
  <c r="AE3816" i="1"/>
  <c r="AE3817" i="1"/>
  <c r="AE3818" i="1"/>
  <c r="AE3819" i="1"/>
  <c r="AE3820" i="1"/>
  <c r="AE3821" i="1"/>
  <c r="AE3822" i="1"/>
  <c r="AE3823" i="1"/>
  <c r="AE3824" i="1"/>
  <c r="AE3825" i="1"/>
  <c r="AE3826" i="1"/>
  <c r="AE3827" i="1"/>
  <c r="AE3828" i="1"/>
  <c r="AE3829" i="1"/>
  <c r="AE3830" i="1"/>
  <c r="AE3831" i="1"/>
  <c r="AE3832" i="1"/>
  <c r="AE3833" i="1"/>
  <c r="AE3834" i="1"/>
  <c r="AE3835" i="1"/>
  <c r="AE3836" i="1"/>
  <c r="AE3837" i="1"/>
  <c r="AE3838" i="1"/>
  <c r="AE3839" i="1"/>
  <c r="AE3840" i="1"/>
  <c r="AE3841" i="1"/>
  <c r="AE3842" i="1"/>
  <c r="AE3843" i="1"/>
  <c r="AE3844" i="1"/>
  <c r="AE3845" i="1"/>
  <c r="AE3846" i="1"/>
  <c r="AE3847" i="1"/>
  <c r="AE3848" i="1"/>
  <c r="AE3849" i="1"/>
  <c r="AE3850" i="1"/>
  <c r="AE3851" i="1"/>
  <c r="AE3852" i="1"/>
  <c r="AE3853" i="1"/>
  <c r="AE3854" i="1"/>
  <c r="AE3855" i="1"/>
  <c r="AE3856" i="1"/>
  <c r="AE3857" i="1"/>
  <c r="AE3858" i="1"/>
  <c r="AE3859" i="1"/>
  <c r="AE3860" i="1"/>
  <c r="AE3861" i="1"/>
  <c r="AE3862" i="1"/>
  <c r="AE3863" i="1"/>
  <c r="AE3864" i="1"/>
  <c r="AE3865" i="1"/>
  <c r="AE3866" i="1"/>
  <c r="AE3867" i="1"/>
  <c r="AE3868" i="1"/>
  <c r="AE3869" i="1"/>
  <c r="AE3870" i="1"/>
  <c r="AE3871" i="1"/>
  <c r="AE3872" i="1"/>
  <c r="AE3873" i="1"/>
  <c r="AE3874" i="1"/>
  <c r="AE3875" i="1"/>
  <c r="AE3876" i="1"/>
  <c r="AE3877" i="1"/>
  <c r="AE3878" i="1"/>
  <c r="AE3879" i="1"/>
  <c r="AE3880" i="1"/>
  <c r="AE3881" i="1"/>
  <c r="AE3882" i="1"/>
  <c r="AE3883" i="1"/>
  <c r="AE3884" i="1"/>
  <c r="AE3885" i="1"/>
  <c r="AE3886" i="1"/>
  <c r="AE3887" i="1"/>
  <c r="AE3888" i="1"/>
  <c r="AE3889" i="1"/>
  <c r="AE3890" i="1"/>
  <c r="AE3891" i="1"/>
  <c r="AE3892" i="1"/>
  <c r="AE3893" i="1"/>
  <c r="AE3894" i="1"/>
  <c r="AE3895" i="1"/>
  <c r="AE3896" i="1"/>
  <c r="AE3897" i="1"/>
  <c r="AE3898" i="1"/>
  <c r="AE3899" i="1"/>
  <c r="AE3900" i="1"/>
  <c r="AE3901" i="1"/>
  <c r="AE3902" i="1"/>
  <c r="AE3903" i="1"/>
  <c r="AE3904" i="1"/>
  <c r="AE3905" i="1"/>
  <c r="AE3906" i="1"/>
  <c r="AE3907" i="1"/>
  <c r="AE3908" i="1"/>
  <c r="AE3909" i="1"/>
  <c r="AE3910" i="1"/>
  <c r="AE3911" i="1"/>
  <c r="AE3912" i="1"/>
  <c r="AE3913" i="1"/>
  <c r="AE3914" i="1"/>
  <c r="AE3915" i="1"/>
  <c r="AE3916" i="1"/>
  <c r="AE3917" i="1"/>
  <c r="AE3918" i="1"/>
  <c r="AE3919" i="1"/>
  <c r="AE3920" i="1"/>
  <c r="AE3921" i="1"/>
  <c r="AE3922" i="1"/>
  <c r="AE3923" i="1"/>
  <c r="AE3924" i="1"/>
  <c r="AE3925" i="1"/>
  <c r="AE3926" i="1"/>
  <c r="AE3927" i="1"/>
  <c r="AE3928" i="1"/>
  <c r="AE3929" i="1"/>
  <c r="AE3930" i="1"/>
  <c r="AE3931" i="1"/>
  <c r="AE3932" i="1"/>
  <c r="AE3933" i="1"/>
  <c r="AE3934" i="1"/>
  <c r="AE3935" i="1"/>
  <c r="AE3936" i="1"/>
  <c r="AE3937" i="1"/>
  <c r="AE3938" i="1"/>
  <c r="AE3939" i="1"/>
  <c r="AE3940" i="1"/>
  <c r="AE3941" i="1"/>
  <c r="AE3942" i="1"/>
  <c r="AE3943" i="1"/>
  <c r="AE3944" i="1"/>
  <c r="AE3945" i="1"/>
  <c r="AE3946" i="1"/>
  <c r="AE3947" i="1"/>
  <c r="AE3948" i="1"/>
  <c r="AE3949" i="1"/>
  <c r="AE3950" i="1"/>
  <c r="AE3951" i="1"/>
  <c r="AE3952" i="1"/>
  <c r="AE3953" i="1"/>
  <c r="AE3954" i="1"/>
  <c r="AE3955" i="1"/>
  <c r="AE3956" i="1"/>
  <c r="AE3957" i="1"/>
  <c r="AE3958" i="1"/>
  <c r="AE3959" i="1"/>
  <c r="AE3960" i="1"/>
  <c r="AE3961" i="1"/>
  <c r="AE3962" i="1"/>
  <c r="AE3963" i="1"/>
  <c r="AE3964" i="1"/>
  <c r="AE3965" i="1"/>
  <c r="AE3966" i="1"/>
  <c r="AE3967" i="1"/>
  <c r="AE3968" i="1"/>
  <c r="AE3969" i="1"/>
  <c r="AE3970" i="1"/>
  <c r="AE3971" i="1"/>
  <c r="AE3972" i="1"/>
  <c r="AE3973" i="1"/>
  <c r="AE3974" i="1"/>
  <c r="AE3975" i="1"/>
  <c r="AE3976" i="1"/>
  <c r="AE3977" i="1"/>
  <c r="AE3978" i="1"/>
  <c r="AE3979" i="1"/>
  <c r="AE3980" i="1"/>
  <c r="AE3981" i="1"/>
  <c r="AE3982" i="1"/>
  <c r="AE3983" i="1"/>
  <c r="AE3984" i="1"/>
  <c r="AE3985" i="1"/>
  <c r="AE3986" i="1"/>
  <c r="AE3987" i="1"/>
  <c r="AE3988" i="1"/>
  <c r="AE3989" i="1"/>
  <c r="AE3990" i="1"/>
  <c r="AE3991" i="1"/>
  <c r="AE3992" i="1"/>
  <c r="AE3993" i="1"/>
  <c r="AE3994" i="1"/>
  <c r="AE3995" i="1"/>
  <c r="AE3996" i="1"/>
  <c r="AE3997" i="1"/>
  <c r="AE3998" i="1"/>
  <c r="AE3999" i="1"/>
  <c r="AE4000" i="1"/>
  <c r="AE4001" i="1"/>
  <c r="AE4002" i="1"/>
  <c r="AE4003" i="1"/>
  <c r="AE4004" i="1"/>
  <c r="AE4005" i="1"/>
  <c r="AE4006" i="1"/>
  <c r="AE4007" i="1"/>
  <c r="AE4008" i="1"/>
  <c r="AE4009" i="1"/>
  <c r="AE4010" i="1"/>
  <c r="AE4011" i="1"/>
  <c r="AE4012" i="1"/>
  <c r="AE4013" i="1"/>
  <c r="AE4014" i="1"/>
  <c r="AE4015" i="1"/>
  <c r="AE4016" i="1"/>
  <c r="AE4017" i="1"/>
  <c r="AE4018" i="1"/>
  <c r="AE4019" i="1"/>
  <c r="AE4020" i="1"/>
  <c r="AE4021" i="1"/>
  <c r="AE4022" i="1"/>
  <c r="AE4023" i="1"/>
  <c r="AE4024" i="1"/>
  <c r="AE4025" i="1"/>
  <c r="AE4026" i="1"/>
  <c r="AE4027" i="1"/>
  <c r="AE4028" i="1"/>
  <c r="AE4029" i="1"/>
  <c r="AE4030" i="1"/>
  <c r="AE4031" i="1"/>
  <c r="AE4032" i="1"/>
  <c r="AE4033" i="1"/>
  <c r="AE4034" i="1"/>
  <c r="AE4035" i="1"/>
  <c r="AE4036" i="1"/>
  <c r="AE4037" i="1"/>
  <c r="AE4038" i="1"/>
  <c r="AE4039" i="1"/>
  <c r="AE4040" i="1"/>
  <c r="AE4041" i="1"/>
  <c r="AE4042" i="1"/>
  <c r="AE4043" i="1"/>
  <c r="AE4044" i="1"/>
  <c r="AE4045" i="1"/>
  <c r="AE4046" i="1"/>
  <c r="AE4047" i="1"/>
  <c r="AE4048" i="1"/>
  <c r="AE4049" i="1"/>
  <c r="AE4050" i="1"/>
  <c r="AE4051" i="1"/>
  <c r="AE4052" i="1"/>
  <c r="AE4053" i="1"/>
  <c r="AE4054" i="1"/>
  <c r="AE4055" i="1"/>
  <c r="AE4056" i="1"/>
  <c r="AE4057" i="1"/>
  <c r="AE4058" i="1"/>
  <c r="AE4059" i="1"/>
  <c r="AE4060" i="1"/>
  <c r="AE4061" i="1"/>
  <c r="AE4062" i="1"/>
  <c r="AE4063" i="1"/>
  <c r="AE4064" i="1"/>
  <c r="AE4065" i="1"/>
  <c r="AE4066" i="1"/>
  <c r="AE4067" i="1"/>
  <c r="AE4068" i="1"/>
  <c r="AE4069" i="1"/>
  <c r="AE4070" i="1"/>
  <c r="AE4071" i="1"/>
  <c r="AE4072" i="1"/>
  <c r="AE4073" i="1"/>
  <c r="AE4074" i="1"/>
  <c r="AE4075" i="1"/>
  <c r="AE4076" i="1"/>
  <c r="AE4077" i="1"/>
  <c r="AE4078" i="1"/>
  <c r="AE4079" i="1"/>
  <c r="AE4080" i="1"/>
  <c r="AE4081" i="1"/>
  <c r="AE4082" i="1"/>
  <c r="AE4083" i="1"/>
  <c r="AE4084" i="1"/>
  <c r="AE4085" i="1"/>
  <c r="AE4086" i="1"/>
  <c r="AE4087" i="1"/>
  <c r="AE4088" i="1"/>
  <c r="AE4089" i="1"/>
  <c r="AE4090" i="1"/>
  <c r="AE4091" i="1"/>
  <c r="AE4092" i="1"/>
  <c r="AE4093" i="1"/>
  <c r="AE4094" i="1"/>
  <c r="AE4095" i="1"/>
  <c r="AE4096" i="1"/>
  <c r="AE4097" i="1"/>
  <c r="AE4098" i="1"/>
  <c r="AE4099" i="1"/>
  <c r="AE4100" i="1"/>
  <c r="AE4101" i="1"/>
  <c r="AE4102" i="1"/>
  <c r="AE4103" i="1"/>
  <c r="AE4104" i="1"/>
  <c r="AE4105" i="1"/>
  <c r="AE4106" i="1"/>
  <c r="AE4107" i="1"/>
  <c r="AE4108" i="1"/>
  <c r="AE4109" i="1"/>
  <c r="AE4110" i="1"/>
  <c r="AE4111" i="1"/>
  <c r="AE4112" i="1"/>
  <c r="AE4113" i="1"/>
  <c r="AE4114" i="1"/>
  <c r="AE4115" i="1"/>
  <c r="AE4116" i="1"/>
  <c r="AE4117" i="1"/>
  <c r="AE4118" i="1"/>
  <c r="AE4119" i="1"/>
  <c r="AE4120" i="1"/>
  <c r="AE4121" i="1"/>
  <c r="AE4122" i="1"/>
  <c r="AE4123" i="1"/>
  <c r="AE4124" i="1"/>
  <c r="AE4125" i="1"/>
  <c r="AE4126" i="1"/>
  <c r="AE4127" i="1"/>
  <c r="AE4128" i="1"/>
  <c r="AE4129" i="1"/>
  <c r="AE4130" i="1"/>
  <c r="AE4131" i="1"/>
  <c r="AE4132" i="1"/>
  <c r="AE4133" i="1"/>
  <c r="AE4134" i="1"/>
  <c r="AE4135" i="1"/>
  <c r="AE4136" i="1"/>
  <c r="AE4137" i="1"/>
  <c r="AE4138" i="1"/>
  <c r="AE4139" i="1"/>
  <c r="AE4140" i="1"/>
  <c r="AE4141" i="1"/>
  <c r="AE4142" i="1"/>
  <c r="AE4143" i="1"/>
  <c r="AE4144" i="1"/>
  <c r="AE4145" i="1"/>
  <c r="AE4146" i="1"/>
  <c r="AE4147" i="1"/>
  <c r="AE4148" i="1"/>
  <c r="AE4149" i="1"/>
  <c r="AE4150" i="1"/>
  <c r="AE4151" i="1"/>
  <c r="AE4152" i="1"/>
  <c r="AE4153" i="1"/>
  <c r="AE4154" i="1"/>
  <c r="AE4155" i="1"/>
  <c r="AE4156" i="1"/>
  <c r="AE4157" i="1"/>
  <c r="AE4158" i="1"/>
  <c r="AE4159" i="1"/>
  <c r="AE4160" i="1"/>
  <c r="AE4161" i="1"/>
  <c r="AE4162" i="1"/>
  <c r="AE4163" i="1"/>
  <c r="AE4164" i="1"/>
  <c r="AE4165" i="1"/>
  <c r="AE4166" i="1"/>
  <c r="AE4167" i="1"/>
  <c r="AE4168" i="1"/>
  <c r="AE4169" i="1"/>
  <c r="AE4170" i="1"/>
  <c r="AE4171" i="1"/>
  <c r="AE4172" i="1"/>
  <c r="AE4173" i="1"/>
  <c r="AE4174" i="1"/>
  <c r="AE4175" i="1"/>
  <c r="AE4176" i="1"/>
  <c r="AE4177" i="1"/>
  <c r="AE4178" i="1"/>
  <c r="AE4179" i="1"/>
  <c r="AE4180" i="1"/>
  <c r="AE4181" i="1"/>
  <c r="AE4182" i="1"/>
  <c r="AE4183" i="1"/>
  <c r="AE4184" i="1"/>
  <c r="AE4185" i="1"/>
  <c r="AE4186" i="1"/>
  <c r="AE4187" i="1"/>
  <c r="AE4188" i="1"/>
  <c r="AE4189" i="1"/>
  <c r="AE4190" i="1"/>
  <c r="AE4191" i="1"/>
  <c r="AE4192" i="1"/>
  <c r="AE4193" i="1"/>
  <c r="AE4194" i="1"/>
  <c r="AE4195" i="1"/>
  <c r="AE4196" i="1"/>
  <c r="AE4197" i="1"/>
  <c r="AE4198" i="1"/>
  <c r="AE4199" i="1"/>
  <c r="AE4200" i="1"/>
  <c r="AE4201" i="1"/>
  <c r="AE4202" i="1"/>
  <c r="AE4203" i="1"/>
  <c r="AE4204" i="1"/>
  <c r="AE4205" i="1"/>
  <c r="AE4206" i="1"/>
  <c r="AE4207" i="1"/>
  <c r="AE4208" i="1"/>
  <c r="AE4209" i="1"/>
  <c r="AE4210" i="1"/>
  <c r="AE4211" i="1"/>
  <c r="AE4212" i="1"/>
  <c r="AE4213" i="1"/>
  <c r="AE4214" i="1"/>
  <c r="AE4215" i="1"/>
  <c r="AE4216" i="1"/>
  <c r="AE4217" i="1"/>
  <c r="AE4218" i="1"/>
  <c r="AE4219" i="1"/>
  <c r="AE4220" i="1"/>
  <c r="AE4221" i="1"/>
  <c r="AE4222" i="1"/>
  <c r="AE4223" i="1"/>
  <c r="AE4224" i="1"/>
  <c r="AE4225" i="1"/>
  <c r="AE4226" i="1"/>
  <c r="AE4227" i="1"/>
  <c r="AE4228" i="1"/>
  <c r="AE4229" i="1"/>
  <c r="AE4230" i="1"/>
  <c r="AE4231" i="1"/>
  <c r="AE4232" i="1"/>
  <c r="AE4233" i="1"/>
  <c r="AE4234" i="1"/>
  <c r="AE4235" i="1"/>
  <c r="AE4236" i="1"/>
  <c r="AE4237" i="1"/>
  <c r="AE4238" i="1"/>
  <c r="AE4239" i="1"/>
  <c r="AE4240" i="1"/>
  <c r="AE4241" i="1"/>
  <c r="AE4242" i="1"/>
  <c r="AE4243" i="1"/>
  <c r="AE4244" i="1"/>
  <c r="AE4245" i="1"/>
  <c r="AE4246" i="1"/>
  <c r="AE4247" i="1"/>
  <c r="AE4248" i="1"/>
  <c r="AE4249" i="1"/>
  <c r="AE4250" i="1"/>
  <c r="AE4251" i="1"/>
  <c r="AE4252" i="1"/>
  <c r="AE4253" i="1"/>
  <c r="AE4254" i="1"/>
  <c r="AE4255" i="1"/>
  <c r="AE4256" i="1"/>
  <c r="AE4257" i="1"/>
  <c r="AE4258" i="1"/>
  <c r="AE4259" i="1"/>
  <c r="AE4260" i="1"/>
  <c r="AE4261" i="1"/>
  <c r="AE4262" i="1"/>
  <c r="AE4263" i="1"/>
  <c r="AE4264" i="1"/>
  <c r="AE4265" i="1"/>
  <c r="AE4266" i="1"/>
  <c r="AE4267" i="1"/>
  <c r="AE4268" i="1"/>
  <c r="AE4269" i="1"/>
  <c r="AE4270" i="1"/>
  <c r="AE4271" i="1"/>
  <c r="AE4272" i="1"/>
  <c r="AE4273" i="1"/>
  <c r="AE4274" i="1"/>
  <c r="AE4275" i="1"/>
  <c r="AE4276" i="1"/>
  <c r="AE4277" i="1"/>
  <c r="AE4278" i="1"/>
  <c r="AE4279" i="1"/>
  <c r="AE4280" i="1"/>
  <c r="AE4281" i="1"/>
  <c r="AE4282" i="1"/>
  <c r="AE4283" i="1"/>
  <c r="AE4284" i="1"/>
  <c r="AE4285" i="1"/>
  <c r="AE4286" i="1"/>
  <c r="AE4287" i="1"/>
  <c r="AE4288" i="1"/>
  <c r="AE4289" i="1"/>
  <c r="AE4290" i="1"/>
  <c r="AE4291" i="1"/>
  <c r="AE4292" i="1"/>
  <c r="AE4293" i="1"/>
  <c r="AE4294" i="1"/>
  <c r="AE4295" i="1"/>
  <c r="X3" i="1"/>
  <c r="X7" i="1"/>
  <c r="X8" i="1"/>
  <c r="X9" i="1"/>
  <c r="X12" i="1"/>
  <c r="X13" i="1"/>
  <c r="X14" i="1"/>
  <c r="X15" i="1"/>
  <c r="X20" i="1"/>
  <c r="X23" i="1"/>
  <c r="X24" i="1"/>
  <c r="X25" i="1"/>
  <c r="X28" i="1"/>
  <c r="X29" i="1"/>
  <c r="X34" i="1"/>
  <c r="X35" i="1"/>
  <c r="X36" i="1"/>
  <c r="X37" i="1"/>
  <c r="X38" i="1"/>
  <c r="X39" i="1"/>
  <c r="X40" i="1"/>
  <c r="X41" i="1"/>
  <c r="X42" i="1"/>
  <c r="X46" i="1"/>
  <c r="X48" i="1"/>
  <c r="X51" i="1"/>
  <c r="X53" i="1"/>
  <c r="X54" i="1"/>
  <c r="X56" i="1"/>
  <c r="X57" i="1"/>
  <c r="X59" i="1"/>
  <c r="X64" i="1"/>
  <c r="X65" i="1"/>
  <c r="X66" i="1"/>
  <c r="X67" i="1"/>
  <c r="X68" i="1"/>
  <c r="X70" i="1"/>
  <c r="X71" i="1"/>
  <c r="X72" i="1"/>
  <c r="X73" i="1"/>
  <c r="X74" i="1"/>
  <c r="X75" i="1"/>
  <c r="X76" i="1"/>
  <c r="X77" i="1"/>
  <c r="X78" i="1"/>
  <c r="X79" i="1"/>
  <c r="X80" i="1"/>
  <c r="X82" i="1"/>
  <c r="X83" i="1"/>
  <c r="X84" i="1"/>
  <c r="X85" i="1"/>
  <c r="X86" i="1"/>
  <c r="X87" i="1"/>
  <c r="X88" i="1"/>
  <c r="X89" i="1"/>
  <c r="X90" i="1"/>
  <c r="X91" i="1"/>
  <c r="X92" i="1"/>
  <c r="X93" i="1"/>
  <c r="X95" i="1"/>
  <c r="X96" i="1"/>
  <c r="X97" i="1"/>
  <c r="X98" i="1"/>
  <c r="X99" i="1"/>
  <c r="X100"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63" i="1"/>
  <c r="X166" i="1"/>
  <c r="X168" i="1"/>
  <c r="X169" i="1"/>
  <c r="X170" i="1"/>
  <c r="X171" i="1"/>
  <c r="X172" i="1"/>
  <c r="X173" i="1"/>
  <c r="X174" i="1"/>
  <c r="X175" i="1"/>
  <c r="X176" i="1"/>
  <c r="X177" i="1"/>
  <c r="X178" i="1"/>
  <c r="X180" i="1"/>
  <c r="X181" i="1"/>
  <c r="X182" i="1"/>
  <c r="X183" i="1"/>
  <c r="X185" i="1"/>
  <c r="X191" i="1"/>
  <c r="X192" i="1"/>
  <c r="X199" i="1"/>
  <c r="X206" i="1"/>
  <c r="X208" i="1"/>
  <c r="X209" i="1"/>
  <c r="X210" i="1"/>
  <c r="X211" i="1"/>
  <c r="X212" i="1"/>
  <c r="X219" i="1"/>
  <c r="X220" i="1"/>
  <c r="X221" i="1"/>
  <c r="X222" i="1"/>
  <c r="X223" i="1"/>
  <c r="X240" i="1"/>
  <c r="X247" i="1"/>
  <c r="X248" i="1"/>
  <c r="X249" i="1"/>
  <c r="X250" i="1"/>
  <c r="X251" i="1"/>
  <c r="X252" i="1"/>
  <c r="X253" i="1"/>
  <c r="X254" i="1"/>
  <c r="X255" i="1"/>
  <c r="X256" i="1"/>
  <c r="X257" i="1"/>
  <c r="X258" i="1"/>
  <c r="X259" i="1"/>
  <c r="X260" i="1"/>
  <c r="X261" i="1"/>
  <c r="X262" i="1"/>
  <c r="X263" i="1"/>
  <c r="X264" i="1"/>
  <c r="X266" i="1"/>
  <c r="X272" i="1"/>
  <c r="X273" i="1"/>
  <c r="X274" i="1"/>
  <c r="X275" i="1"/>
  <c r="X276" i="1"/>
  <c r="X277" i="1"/>
  <c r="X279" i="1"/>
  <c r="X280" i="1"/>
  <c r="X282" i="1"/>
  <c r="X287" i="1"/>
  <c r="X290" i="1"/>
  <c r="X294" i="1"/>
  <c r="X296" i="1"/>
  <c r="X300" i="1"/>
  <c r="X301" i="1"/>
  <c r="X308" i="1"/>
  <c r="X310" i="1"/>
  <c r="X311" i="1"/>
  <c r="X313" i="1"/>
  <c r="X315" i="1"/>
  <c r="X316" i="1"/>
  <c r="X317" i="1"/>
  <c r="X318" i="1"/>
  <c r="X320" i="1"/>
  <c r="X338" i="1"/>
  <c r="X339" i="1"/>
  <c r="X344" i="1"/>
  <c r="X348" i="1"/>
  <c r="X349" i="1"/>
  <c r="X350" i="1"/>
  <c r="X352" i="1"/>
  <c r="X353" i="1"/>
  <c r="X354" i="1"/>
  <c r="X355" i="1"/>
  <c r="X356" i="1"/>
  <c r="X357" i="1"/>
  <c r="X358" i="1"/>
  <c r="X359" i="1"/>
  <c r="X361" i="1"/>
  <c r="X362" i="1"/>
  <c r="X363" i="1"/>
  <c r="X364" i="1"/>
  <c r="X365" i="1"/>
  <c r="X366" i="1"/>
  <c r="X367" i="1"/>
  <c r="X368" i="1"/>
  <c r="X369" i="1"/>
  <c r="X370" i="1"/>
  <c r="X384" i="1"/>
  <c r="X385" i="1"/>
  <c r="X386" i="1"/>
  <c r="X387" i="1"/>
  <c r="X388" i="1"/>
  <c r="X389" i="1"/>
  <c r="X390" i="1"/>
  <c r="X391" i="1"/>
  <c r="X392" i="1"/>
  <c r="X393" i="1"/>
  <c r="X394" i="1"/>
  <c r="X395" i="1"/>
  <c r="X396" i="1"/>
  <c r="X397" i="1"/>
  <c r="X398" i="1"/>
  <c r="X399" i="1"/>
  <c r="X400" i="1"/>
  <c r="X401" i="1"/>
  <c r="X404" i="1"/>
  <c r="X410" i="1"/>
  <c r="X411" i="1"/>
  <c r="X416" i="1"/>
  <c r="X417" i="1"/>
  <c r="X418" i="1"/>
  <c r="X425" i="1"/>
  <c r="X426" i="1"/>
  <c r="X427" i="1"/>
  <c r="X430" i="1"/>
  <c r="X431" i="1"/>
  <c r="X432" i="1"/>
  <c r="X433" i="1"/>
  <c r="X434" i="1"/>
  <c r="X435" i="1"/>
  <c r="X436" i="1"/>
  <c r="X438" i="1"/>
  <c r="X439" i="1"/>
  <c r="X440" i="1"/>
  <c r="X441" i="1"/>
  <c r="X444" i="1"/>
  <c r="X445" i="1"/>
  <c r="X447" i="1"/>
  <c r="X448" i="1"/>
  <c r="X449" i="1"/>
  <c r="X450" i="1"/>
  <c r="X451" i="1"/>
  <c r="X452" i="1"/>
  <c r="X453" i="1"/>
  <c r="X454" i="1"/>
  <c r="X458" i="1"/>
  <c r="X459" i="1"/>
  <c r="X461" i="1"/>
  <c r="X462" i="1"/>
  <c r="X463" i="1"/>
  <c r="X464" i="1"/>
  <c r="X465" i="1"/>
  <c r="X468" i="1"/>
  <c r="X469" i="1"/>
  <c r="X470" i="1"/>
  <c r="X471" i="1"/>
  <c r="X475" i="1"/>
  <c r="X476" i="1"/>
  <c r="X477" i="1"/>
  <c r="X478" i="1"/>
  <c r="X479" i="1"/>
  <c r="X481" i="1"/>
  <c r="X484" i="1"/>
  <c r="X485" i="1"/>
  <c r="X486" i="1"/>
  <c r="X490" i="1"/>
  <c r="X496" i="1"/>
  <c r="X498" i="1"/>
  <c r="X501" i="1"/>
  <c r="X502" i="1"/>
  <c r="X503" i="1"/>
  <c r="X504" i="1"/>
  <c r="X507"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X563" i="1"/>
  <c r="X564" i="1"/>
  <c r="X565" i="1"/>
  <c r="X566" i="1"/>
  <c r="X567" i="1"/>
  <c r="X568" i="1"/>
  <c r="X569" i="1"/>
  <c r="X570" i="1"/>
  <c r="X571" i="1"/>
  <c r="X572" i="1"/>
  <c r="X573" i="1"/>
  <c r="X574" i="1"/>
  <c r="X575" i="1"/>
  <c r="X576" i="1"/>
  <c r="X577" i="1"/>
  <c r="X578" i="1"/>
  <c r="X579" i="1"/>
  <c r="X580" i="1"/>
  <c r="X581" i="1"/>
  <c r="X582" i="1"/>
  <c r="X584" i="1"/>
  <c r="X585" i="1"/>
  <c r="X586" i="1"/>
  <c r="X588" i="1"/>
  <c r="X589" i="1"/>
  <c r="X590" i="1"/>
  <c r="X591" i="1"/>
  <c r="X592" i="1"/>
  <c r="X593" i="1"/>
  <c r="X594" i="1"/>
  <c r="X595" i="1"/>
  <c r="X596" i="1"/>
  <c r="X598" i="1"/>
  <c r="X599" i="1"/>
  <c r="X600" i="1"/>
  <c r="X601" i="1"/>
  <c r="X602" i="1"/>
  <c r="X603" i="1"/>
  <c r="X604" i="1"/>
  <c r="X605" i="1"/>
  <c r="X606" i="1"/>
  <c r="X607" i="1"/>
  <c r="X608" i="1"/>
  <c r="X609" i="1"/>
  <c r="X613" i="1"/>
  <c r="X615" i="1"/>
  <c r="X616" i="1"/>
  <c r="X617" i="1"/>
  <c r="X618" i="1"/>
  <c r="X619" i="1"/>
  <c r="X620" i="1"/>
  <c r="X621" i="1"/>
  <c r="X622" i="1"/>
  <c r="X623" i="1"/>
  <c r="X626" i="1"/>
  <c r="X633" i="1"/>
  <c r="X634" i="1"/>
  <c r="X635" i="1"/>
  <c r="X636" i="1"/>
  <c r="X637" i="1"/>
  <c r="X639" i="1"/>
  <c r="X640" i="1"/>
  <c r="X641" i="1"/>
  <c r="X663" i="1"/>
  <c r="X664" i="1"/>
  <c r="X665" i="1"/>
  <c r="X669" i="1"/>
  <c r="X678" i="1"/>
  <c r="X679" i="1"/>
  <c r="X682" i="1"/>
  <c r="X696"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4" i="1"/>
  <c r="X816" i="1"/>
  <c r="X817" i="1"/>
  <c r="X820" i="1"/>
  <c r="X821" i="1"/>
  <c r="X822" i="1"/>
  <c r="X823" i="1"/>
  <c r="X824" i="1"/>
  <c r="X825" i="1"/>
  <c r="X826" i="1"/>
  <c r="X831" i="1"/>
  <c r="X838" i="1"/>
  <c r="X839" i="1"/>
  <c r="X840" i="1"/>
  <c r="X841" i="1"/>
  <c r="X843" i="1"/>
  <c r="X845" i="1"/>
  <c r="X846" i="1"/>
  <c r="X847" i="1"/>
  <c r="X848" i="1"/>
  <c r="X849" i="1"/>
  <c r="X850" i="1"/>
  <c r="X851" i="1"/>
  <c r="X852" i="1"/>
  <c r="X853" i="1"/>
  <c r="X854" i="1"/>
  <c r="X855" i="1"/>
  <c r="X862" i="1"/>
  <c r="X864" i="1"/>
  <c r="X865" i="1"/>
  <c r="X868" i="1"/>
  <c r="X871" i="1"/>
  <c r="X872" i="1"/>
  <c r="X873" i="1"/>
  <c r="X874" i="1"/>
  <c r="X875" i="1"/>
  <c r="X876" i="1"/>
  <c r="X877" i="1"/>
  <c r="X878" i="1"/>
  <c r="X879" i="1"/>
  <c r="X880" i="1"/>
  <c r="X881" i="1"/>
  <c r="X882" i="1"/>
  <c r="X883" i="1"/>
  <c r="X887" i="1"/>
  <c r="X888" i="1"/>
  <c r="X889" i="1"/>
  <c r="X890" i="1"/>
  <c r="X894" i="1"/>
  <c r="X900" i="1"/>
  <c r="X903" i="1"/>
  <c r="X904" i="1"/>
  <c r="X905" i="1"/>
  <c r="X906" i="1"/>
  <c r="X907" i="1"/>
  <c r="X908" i="1"/>
  <c r="X909" i="1"/>
  <c r="X910" i="1"/>
  <c r="X912" i="1"/>
  <c r="X918" i="1"/>
  <c r="X919" i="1"/>
  <c r="X920" i="1"/>
  <c r="X921" i="1"/>
  <c r="X922" i="1"/>
  <c r="X923" i="1"/>
  <c r="X924" i="1"/>
  <c r="X925" i="1"/>
  <c r="X926" i="1"/>
  <c r="X927" i="1"/>
  <c r="X928" i="1"/>
  <c r="X929" i="1"/>
  <c r="X930" i="1"/>
  <c r="X931" i="1"/>
  <c r="X932" i="1"/>
  <c r="X933" i="1"/>
  <c r="X935" i="1"/>
  <c r="X936" i="1"/>
  <c r="X937" i="1"/>
  <c r="X938" i="1"/>
  <c r="X939" i="1"/>
  <c r="X940" i="1"/>
  <c r="X950" i="1"/>
  <c r="X951" i="1"/>
  <c r="X952" i="1"/>
  <c r="X959" i="1"/>
  <c r="X960" i="1"/>
  <c r="X961" i="1"/>
  <c r="X962" i="1"/>
  <c r="X963" i="1"/>
  <c r="X964" i="1"/>
  <c r="X965" i="1"/>
  <c r="X966" i="1"/>
  <c r="X967" i="1"/>
  <c r="X968" i="1"/>
  <c r="X969" i="1"/>
  <c r="X970" i="1"/>
  <c r="X971" i="1"/>
  <c r="X972" i="1"/>
  <c r="X973" i="1"/>
  <c r="X974" i="1"/>
  <c r="X975" i="1"/>
  <c r="X978" i="1"/>
  <c r="X981" i="1"/>
  <c r="X982" i="1"/>
  <c r="X991" i="1"/>
  <c r="X996" i="1"/>
  <c r="X997" i="1"/>
  <c r="X998" i="1"/>
  <c r="X999" i="1"/>
  <c r="X1012" i="1"/>
  <c r="X1013" i="1"/>
  <c r="X1014" i="1"/>
  <c r="X1015" i="1"/>
  <c r="X1018" i="1"/>
  <c r="X1023" i="1"/>
  <c r="X1024" i="1"/>
  <c r="X1025" i="1"/>
  <c r="X1026" i="1"/>
  <c r="X1027" i="1"/>
  <c r="X1033" i="1"/>
  <c r="X1034" i="1"/>
  <c r="X1035" i="1"/>
  <c r="X1036" i="1"/>
  <c r="X1037" i="1"/>
  <c r="X1038" i="1"/>
  <c r="X1039" i="1"/>
  <c r="X1040" i="1"/>
  <c r="X1041" i="1"/>
  <c r="X1042" i="1"/>
  <c r="X1043" i="1"/>
  <c r="X1044" i="1"/>
  <c r="X1045" i="1"/>
  <c r="X1051" i="1"/>
  <c r="X1053" i="1"/>
  <c r="X1056" i="1"/>
  <c r="X1058" i="1"/>
  <c r="X1065" i="1"/>
  <c r="X1066" i="1"/>
  <c r="X1067" i="1"/>
  <c r="X1068" i="1"/>
  <c r="X1078" i="1"/>
  <c r="X1079" i="1"/>
  <c r="X1080" i="1"/>
  <c r="X1081" i="1"/>
  <c r="X1082" i="1"/>
  <c r="X1084" i="1"/>
  <c r="X1085" i="1"/>
  <c r="X1088" i="1"/>
  <c r="X1091" i="1"/>
  <c r="X1093" i="1"/>
  <c r="X1094" i="1"/>
  <c r="X1097" i="1"/>
  <c r="X1098" i="1"/>
  <c r="X1099" i="1"/>
  <c r="X1100" i="1"/>
  <c r="X1101" i="1"/>
  <c r="X1102" i="1"/>
  <c r="X1103" i="1"/>
  <c r="X1105" i="1"/>
  <c r="X1106" i="1"/>
  <c r="X1107" i="1"/>
  <c r="X1108" i="1"/>
  <c r="X1109" i="1"/>
  <c r="X1112" i="1"/>
  <c r="X1113" i="1"/>
  <c r="X1114" i="1"/>
  <c r="X1115" i="1"/>
  <c r="X1134" i="1"/>
  <c r="X1137" i="1"/>
  <c r="X1138" i="1"/>
  <c r="X1139" i="1"/>
  <c r="X1140" i="1"/>
  <c r="X1141" i="1"/>
  <c r="X1142" i="1"/>
  <c r="X1143" i="1"/>
  <c r="X1144" i="1"/>
  <c r="X1145" i="1"/>
  <c r="X1148" i="1"/>
  <c r="X1153" i="1"/>
  <c r="X1154" i="1"/>
  <c r="X1155" i="1"/>
  <c r="X1156" i="1"/>
  <c r="X1157" i="1"/>
  <c r="X1158" i="1"/>
  <c r="X1159" i="1"/>
  <c r="X1161" i="1"/>
  <c r="X1162" i="1"/>
  <c r="X1163" i="1"/>
  <c r="X1164" i="1"/>
  <c r="X1165" i="1"/>
  <c r="X1166" i="1"/>
  <c r="X1168" i="1"/>
  <c r="X1169" i="1"/>
  <c r="X1170" i="1"/>
  <c r="X1171" i="1"/>
  <c r="X1172" i="1"/>
  <c r="X1174" i="1"/>
  <c r="X1175" i="1"/>
  <c r="X1176" i="1"/>
  <c r="X1177" i="1"/>
  <c r="X1178" i="1"/>
  <c r="X1179" i="1"/>
  <c r="X1182" i="1"/>
  <c r="X1183" i="1"/>
  <c r="X1185" i="1"/>
  <c r="X1196" i="1"/>
  <c r="X1197" i="1"/>
  <c r="X1198" i="1"/>
  <c r="X1199" i="1"/>
  <c r="X1200" i="1"/>
  <c r="X1201" i="1"/>
  <c r="X1202" i="1"/>
  <c r="X1204" i="1"/>
  <c r="X1205" i="1"/>
  <c r="X1206" i="1"/>
  <c r="X1207" i="1"/>
  <c r="X1208" i="1"/>
  <c r="X1209" i="1"/>
  <c r="X1210" i="1"/>
  <c r="X1212" i="1"/>
  <c r="X1213" i="1"/>
  <c r="X1214" i="1"/>
  <c r="X1215" i="1"/>
  <c r="X1216" i="1"/>
  <c r="X1217" i="1"/>
  <c r="X1218" i="1"/>
  <c r="X1219" i="1"/>
  <c r="X1220" i="1"/>
  <c r="X1221" i="1"/>
  <c r="X1222" i="1"/>
  <c r="X1223" i="1"/>
  <c r="X1224" i="1"/>
  <c r="X1225" i="1"/>
  <c r="X1227" i="1"/>
  <c r="X1239" i="1"/>
  <c r="X1240" i="1"/>
  <c r="X1241" i="1"/>
  <c r="X1242" i="1"/>
  <c r="X1243" i="1"/>
  <c r="X1244" i="1"/>
  <c r="X1245" i="1"/>
  <c r="X1246" i="1"/>
  <c r="X1247" i="1"/>
  <c r="X1248" i="1"/>
  <c r="X1250" i="1"/>
  <c r="X1251" i="1"/>
  <c r="X1252" i="1"/>
  <c r="X1253" i="1"/>
  <c r="X1254" i="1"/>
  <c r="X1258" i="1"/>
  <c r="X1259" i="1"/>
  <c r="X1263" i="1"/>
  <c r="X1264" i="1"/>
  <c r="X1265" i="1"/>
  <c r="X1266" i="1"/>
  <c r="X1269" i="1"/>
  <c r="X1270" i="1"/>
  <c r="X1271" i="1"/>
  <c r="X1277" i="1"/>
  <c r="X1281" i="1"/>
  <c r="X1282" i="1"/>
  <c r="X1283" i="1"/>
  <c r="X1284" i="1"/>
  <c r="X1285" i="1"/>
  <c r="X1289" i="1"/>
  <c r="X1290" i="1"/>
  <c r="X1291"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6" i="1"/>
  <c r="X1327" i="1"/>
  <c r="X1328" i="1"/>
  <c r="X1331" i="1"/>
  <c r="X1349" i="1"/>
  <c r="X1350" i="1"/>
  <c r="X1351" i="1"/>
  <c r="X1354" i="1"/>
  <c r="X1357" i="1"/>
  <c r="X1358" i="1"/>
  <c r="X1359" i="1"/>
  <c r="X1360" i="1"/>
  <c r="X1365" i="1"/>
  <c r="X1366" i="1"/>
  <c r="X1367" i="1"/>
  <c r="X1369" i="1"/>
  <c r="X1370" i="1"/>
  <c r="X1371" i="1"/>
  <c r="X1372" i="1"/>
  <c r="X1373" i="1"/>
  <c r="X1375" i="1"/>
  <c r="X1376" i="1"/>
  <c r="X1377" i="1"/>
  <c r="X1378" i="1"/>
  <c r="X1379" i="1"/>
  <c r="X1380" i="1"/>
  <c r="X1381" i="1"/>
  <c r="X1382" i="1"/>
  <c r="X1383" i="1"/>
  <c r="X1385" i="1"/>
  <c r="X1387" i="1"/>
  <c r="X1388" i="1"/>
  <c r="X1389" i="1"/>
  <c r="X1390" i="1"/>
  <c r="X1391" i="1"/>
  <c r="X1392" i="1"/>
  <c r="X1393" i="1"/>
  <c r="X1395" i="1"/>
  <c r="X1396" i="1"/>
  <c r="X1397" i="1"/>
  <c r="X1398" i="1"/>
  <c r="X1399" i="1"/>
  <c r="X1400" i="1"/>
  <c r="X1402" i="1"/>
  <c r="X1406" i="1"/>
  <c r="X1408" i="1"/>
  <c r="X1409" i="1"/>
  <c r="X1410" i="1"/>
  <c r="X1411" i="1"/>
  <c r="X1414" i="1"/>
  <c r="X1415" i="1"/>
  <c r="X1436" i="1"/>
  <c r="X1437" i="1"/>
  <c r="X1438" i="1"/>
  <c r="X1439" i="1"/>
  <c r="X1440" i="1"/>
  <c r="X1441" i="1"/>
  <c r="X1442" i="1"/>
  <c r="X1443" i="1"/>
  <c r="X1444" i="1"/>
  <c r="X1445" i="1"/>
  <c r="X1446" i="1"/>
  <c r="X1447" i="1"/>
  <c r="X1448" i="1"/>
  <c r="X1449" i="1"/>
  <c r="X1451" i="1"/>
  <c r="X1452" i="1"/>
  <c r="X1453" i="1"/>
  <c r="X1455" i="1"/>
  <c r="X1456" i="1"/>
  <c r="X1457" i="1"/>
  <c r="X1460"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X1866" i="1"/>
  <c r="X1867" i="1"/>
  <c r="X1868" i="1"/>
  <c r="X1869" i="1"/>
  <c r="X1870" i="1"/>
  <c r="X1871" i="1"/>
  <c r="X1872" i="1"/>
  <c r="X1873" i="1"/>
  <c r="X1874" i="1"/>
  <c r="X1875" i="1"/>
  <c r="X1876" i="1"/>
  <c r="X1877" i="1"/>
  <c r="X1878" i="1"/>
  <c r="X1880" i="1"/>
  <c r="X1882" i="1"/>
  <c r="X1883" i="1"/>
  <c r="X1891" i="1"/>
  <c r="X1896" i="1"/>
  <c r="X1907" i="1"/>
  <c r="X1908" i="1"/>
  <c r="X1910" i="1"/>
  <c r="X1912" i="1"/>
  <c r="X1913" i="1"/>
  <c r="X1918" i="1"/>
  <c r="X1919" i="1"/>
  <c r="X1920" i="1"/>
  <c r="X1922" i="1"/>
  <c r="X1925" i="1"/>
  <c r="X1926" i="1"/>
  <c r="X1929" i="1"/>
  <c r="X1930" i="1"/>
  <c r="X1939" i="1"/>
  <c r="X1940" i="1"/>
  <c r="X1941" i="1"/>
  <c r="X1942" i="1"/>
  <c r="X1943" i="1"/>
  <c r="X1944" i="1"/>
  <c r="X1945" i="1"/>
  <c r="X1957" i="1"/>
  <c r="X1958" i="1"/>
  <c r="X1961" i="1"/>
  <c r="X1962" i="1"/>
  <c r="X1963" i="1"/>
  <c r="X1964" i="1"/>
  <c r="X1983" i="1"/>
  <c r="X1985" i="1"/>
  <c r="X1986" i="1"/>
  <c r="X1989" i="1"/>
  <c r="X1999" i="1"/>
  <c r="X2000" i="1"/>
  <c r="X2001" i="1"/>
  <c r="X2002" i="1"/>
  <c r="X2003" i="1"/>
  <c r="X2005" i="1"/>
  <c r="X2006" i="1"/>
  <c r="X2010" i="1"/>
  <c r="X2011" i="1"/>
  <c r="X2015" i="1"/>
  <c r="X2016" i="1"/>
  <c r="X2017" i="1"/>
  <c r="X2019" i="1"/>
  <c r="X2020" i="1"/>
  <c r="X2021" i="1"/>
  <c r="X2029" i="1"/>
  <c r="X2030" i="1"/>
  <c r="X2031" i="1"/>
  <c r="X2037" i="1"/>
  <c r="X2039" i="1"/>
  <c r="X2040" i="1"/>
  <c r="X2041" i="1"/>
  <c r="X2042" i="1"/>
  <c r="X2043" i="1"/>
  <c r="X2044" i="1"/>
  <c r="X2045" i="1"/>
  <c r="X2046" i="1"/>
  <c r="X2047" i="1"/>
  <c r="X2048" i="1"/>
  <c r="X2049" i="1"/>
  <c r="X2050" i="1"/>
  <c r="X2051" i="1"/>
  <c r="X2052" i="1"/>
  <c r="X2053" i="1"/>
  <c r="X2054" i="1"/>
  <c r="X2055" i="1"/>
  <c r="X2056" i="1"/>
  <c r="X2057" i="1"/>
  <c r="X2058" i="1"/>
  <c r="X2059" i="1"/>
  <c r="X2060" i="1"/>
  <c r="X2061" i="1"/>
  <c r="X2062" i="1"/>
  <c r="X2063" i="1"/>
  <c r="X2064" i="1"/>
  <c r="X2065" i="1"/>
  <c r="X2066" i="1"/>
  <c r="X2067" i="1"/>
  <c r="X2068" i="1"/>
  <c r="X2069" i="1"/>
  <c r="X2070" i="1"/>
  <c r="X2071" i="1"/>
  <c r="X2072" i="1"/>
  <c r="X2073" i="1"/>
  <c r="X2074" i="1"/>
  <c r="X2075" i="1"/>
  <c r="X2076" i="1"/>
  <c r="X2077" i="1"/>
  <c r="X2078" i="1"/>
  <c r="X2079" i="1"/>
  <c r="X2080" i="1"/>
  <c r="X2081" i="1"/>
  <c r="X2082" i="1"/>
  <c r="X2083" i="1"/>
  <c r="X2084" i="1"/>
  <c r="X2085" i="1"/>
  <c r="X2086" i="1"/>
  <c r="X2087" i="1"/>
  <c r="X2088" i="1"/>
  <c r="X2089" i="1"/>
  <c r="X2090" i="1"/>
  <c r="X2091" i="1"/>
  <c r="X2092" i="1"/>
  <c r="X2093" i="1"/>
  <c r="X2094" i="1"/>
  <c r="X2095" i="1"/>
  <c r="X2096" i="1"/>
  <c r="X2097" i="1"/>
  <c r="X2098" i="1"/>
  <c r="X2099" i="1"/>
  <c r="X2100" i="1"/>
  <c r="X2101" i="1"/>
  <c r="X2102" i="1"/>
  <c r="X2103" i="1"/>
  <c r="X2108" i="1"/>
  <c r="X2111" i="1"/>
  <c r="X2116" i="1"/>
  <c r="X2117" i="1"/>
  <c r="X2118" i="1"/>
  <c r="X2119" i="1"/>
  <c r="X2120" i="1"/>
  <c r="X2121" i="1"/>
  <c r="X2122" i="1"/>
  <c r="X2126" i="1"/>
  <c r="X2127" i="1"/>
  <c r="X2128" i="1"/>
  <c r="X2132" i="1"/>
  <c r="X2141" i="1"/>
  <c r="X2143" i="1"/>
  <c r="X2144" i="1"/>
  <c r="X2145" i="1"/>
  <c r="X2146" i="1"/>
  <c r="X2147" i="1"/>
  <c r="X2148" i="1"/>
  <c r="X2149" i="1"/>
  <c r="X2150" i="1"/>
  <c r="X2151" i="1"/>
  <c r="X2152" i="1"/>
  <c r="X2153" i="1"/>
  <c r="X2154" i="1"/>
  <c r="X2155" i="1"/>
  <c r="X2156" i="1"/>
  <c r="X2157" i="1"/>
  <c r="X2158" i="1"/>
  <c r="X2159" i="1"/>
  <c r="X2160" i="1"/>
  <c r="X2161" i="1"/>
  <c r="X2162" i="1"/>
  <c r="X2168" i="1"/>
  <c r="X2171" i="1"/>
  <c r="X2172" i="1"/>
  <c r="X2173" i="1"/>
  <c r="X2174" i="1"/>
  <c r="X2175" i="1"/>
  <c r="X2176" i="1"/>
  <c r="X2177" i="1"/>
  <c r="X2185" i="1"/>
  <c r="X2186" i="1"/>
  <c r="X2187" i="1"/>
  <c r="X2198" i="1"/>
  <c r="X2201" i="1"/>
  <c r="X2202" i="1"/>
  <c r="X2203" i="1"/>
  <c r="X2204" i="1"/>
  <c r="X2205" i="1"/>
  <c r="X2206" i="1"/>
  <c r="X2207" i="1"/>
  <c r="X2208" i="1"/>
  <c r="X2209" i="1"/>
  <c r="X2210" i="1"/>
  <c r="X2211" i="1"/>
  <c r="X2212" i="1"/>
  <c r="X2213" i="1"/>
  <c r="X2214" i="1"/>
  <c r="X2215" i="1"/>
  <c r="X2216" i="1"/>
  <c r="X2217" i="1"/>
  <c r="X2218" i="1"/>
  <c r="X2219" i="1"/>
  <c r="X2220" i="1"/>
  <c r="X2221" i="1"/>
  <c r="X2222" i="1"/>
  <c r="X2223" i="1"/>
  <c r="X2224" i="1"/>
  <c r="X2225" i="1"/>
  <c r="X2226" i="1"/>
  <c r="X2227" i="1"/>
  <c r="X2228" i="1"/>
  <c r="X2229" i="1"/>
  <c r="X2259" i="1"/>
  <c r="X2261" i="1"/>
  <c r="X2262" i="1"/>
  <c r="X2263" i="1"/>
  <c r="X2264" i="1"/>
  <c r="X2265" i="1"/>
  <c r="X2266" i="1"/>
  <c r="X2282" i="1"/>
  <c r="X2290" i="1"/>
  <c r="X2291" i="1"/>
  <c r="X2292" i="1"/>
  <c r="X2293" i="1"/>
  <c r="X2294" i="1"/>
  <c r="X2295" i="1"/>
  <c r="X2296" i="1"/>
  <c r="X2297" i="1"/>
  <c r="X2298" i="1"/>
  <c r="X2299" i="1"/>
  <c r="X2300" i="1"/>
  <c r="X2301" i="1"/>
  <c r="X2302" i="1"/>
  <c r="X2303" i="1"/>
  <c r="X2304" i="1"/>
  <c r="X2305" i="1"/>
  <c r="X2306" i="1"/>
  <c r="X2307" i="1"/>
  <c r="X2308" i="1"/>
  <c r="X2309" i="1"/>
  <c r="X2311" i="1"/>
  <c r="X2312" i="1"/>
  <c r="X2313" i="1"/>
  <c r="X2318" i="1"/>
  <c r="X2322" i="1"/>
  <c r="X2323" i="1"/>
  <c r="X2324" i="1"/>
  <c r="X2329" i="1"/>
  <c r="X2335" i="1"/>
  <c r="X2336" i="1"/>
  <c r="X2337" i="1"/>
  <c r="X2343" i="1"/>
  <c r="X2346" i="1"/>
  <c r="X2347" i="1"/>
  <c r="X2348" i="1"/>
  <c r="X2349" i="1"/>
  <c r="X2358" i="1"/>
  <c r="X2359" i="1"/>
  <c r="X2360" i="1"/>
  <c r="X2363" i="1"/>
  <c r="X2364" i="1"/>
  <c r="X2365" i="1"/>
  <c r="X2370" i="1"/>
  <c r="X2371" i="1"/>
  <c r="X2379" i="1"/>
  <c r="X2381" i="1"/>
  <c r="X2388" i="1"/>
  <c r="X2389" i="1"/>
  <c r="X2392" i="1"/>
  <c r="X2405" i="1"/>
  <c r="X2406" i="1"/>
  <c r="X2407" i="1"/>
  <c r="X2408" i="1"/>
  <c r="X2409" i="1"/>
  <c r="X2417" i="1"/>
  <c r="X2418" i="1"/>
  <c r="X2419" i="1"/>
  <c r="X2420" i="1"/>
  <c r="X2421" i="1"/>
  <c r="X2422" i="1"/>
  <c r="X2423" i="1"/>
  <c r="X2424" i="1"/>
  <c r="X2426" i="1"/>
  <c r="X2427" i="1"/>
  <c r="X2428" i="1"/>
  <c r="X2429" i="1"/>
  <c r="X2430" i="1"/>
  <c r="X2431" i="1"/>
  <c r="X2432" i="1"/>
  <c r="X2433" i="1"/>
  <c r="X2441" i="1"/>
  <c r="X2442" i="1"/>
  <c r="X2443" i="1"/>
  <c r="X2444" i="1"/>
  <c r="X2445" i="1"/>
  <c r="X2446" i="1"/>
  <c r="X2447" i="1"/>
  <c r="X2463" i="1"/>
  <c r="X2466" i="1"/>
  <c r="X2474" i="1"/>
  <c r="X2475" i="1"/>
  <c r="X2476" i="1"/>
  <c r="X2484" i="1"/>
  <c r="X2489" i="1"/>
  <c r="X2490" i="1"/>
  <c r="X2491" i="1"/>
  <c r="X2492" i="1"/>
  <c r="X2493" i="1"/>
  <c r="X2494" i="1"/>
  <c r="X2496" i="1"/>
  <c r="X2497" i="1"/>
  <c r="X2498" i="1"/>
  <c r="X2499" i="1"/>
  <c r="X2500" i="1"/>
  <c r="X2501" i="1"/>
  <c r="X2502" i="1"/>
  <c r="X2503" i="1"/>
  <c r="X2504" i="1"/>
  <c r="X2505" i="1"/>
  <c r="X2508" i="1"/>
  <c r="X2511" i="1"/>
  <c r="X2512" i="1"/>
  <c r="X2515" i="1"/>
  <c r="X2516" i="1"/>
  <c r="X2517" i="1"/>
  <c r="X2518" i="1"/>
  <c r="X2519" i="1"/>
  <c r="X2520" i="1"/>
  <c r="X2521" i="1"/>
  <c r="X2522" i="1"/>
  <c r="X2523" i="1"/>
  <c r="X2524" i="1"/>
  <c r="X2534" i="1"/>
  <c r="X2535" i="1"/>
  <c r="X2536" i="1"/>
  <c r="X2544" i="1"/>
  <c r="X2547" i="1"/>
  <c r="X2549" i="1"/>
  <c r="X2552" i="1"/>
  <c r="X2553" i="1"/>
  <c r="X2554" i="1"/>
  <c r="X2555" i="1"/>
  <c r="X2556" i="1"/>
  <c r="X2557" i="1"/>
  <c r="X2558" i="1"/>
  <c r="X2559" i="1"/>
  <c r="X2560" i="1"/>
  <c r="X2561" i="1"/>
  <c r="X2562" i="1"/>
  <c r="X2563" i="1"/>
  <c r="X2567" i="1"/>
  <c r="X2572" i="1"/>
  <c r="X2574" i="1"/>
  <c r="X2575" i="1"/>
  <c r="X2576" i="1"/>
  <c r="X2577" i="1"/>
  <c r="X2578" i="1"/>
  <c r="X2579" i="1"/>
  <c r="X2580" i="1"/>
  <c r="X2582" i="1"/>
  <c r="X2588" i="1"/>
  <c r="X2591" i="1"/>
  <c r="X2593" i="1"/>
  <c r="X2594" i="1"/>
  <c r="X2595" i="1"/>
  <c r="X2596" i="1"/>
  <c r="X2597" i="1"/>
  <c r="X2598" i="1"/>
  <c r="X2599" i="1"/>
  <c r="X2600" i="1"/>
  <c r="X2601" i="1"/>
  <c r="X2602" i="1"/>
  <c r="X2603" i="1"/>
  <c r="X2604" i="1"/>
  <c r="X2605" i="1"/>
  <c r="X2606" i="1"/>
  <c r="X2607" i="1"/>
  <c r="X2608" i="1"/>
  <c r="X2609" i="1"/>
  <c r="X2610" i="1"/>
  <c r="X2611" i="1"/>
  <c r="X2612" i="1"/>
  <c r="X2613" i="1"/>
  <c r="X2614" i="1"/>
  <c r="X2615" i="1"/>
  <c r="X2616" i="1"/>
  <c r="X2617" i="1"/>
  <c r="X2618" i="1"/>
  <c r="X2619" i="1"/>
  <c r="X2620" i="1"/>
  <c r="X2621" i="1"/>
  <c r="X2622" i="1"/>
  <c r="X2623" i="1"/>
  <c r="X2624" i="1"/>
  <c r="X2625" i="1"/>
  <c r="X2626" i="1"/>
  <c r="X2627" i="1"/>
  <c r="X2628" i="1"/>
  <c r="X2629" i="1"/>
  <c r="X2630" i="1"/>
  <c r="X2631" i="1"/>
  <c r="X2632" i="1"/>
  <c r="X2633" i="1"/>
  <c r="X2634" i="1"/>
  <c r="X2648" i="1"/>
  <c r="X2649" i="1"/>
  <c r="X2650" i="1"/>
  <c r="X2653" i="1"/>
  <c r="X2661" i="1"/>
  <c r="X2662" i="1"/>
  <c r="X2666" i="1"/>
  <c r="X2669" i="1"/>
  <c r="X2670" i="1"/>
  <c r="X2671" i="1"/>
  <c r="X2672" i="1"/>
  <c r="X2678" i="1"/>
  <c r="X2679" i="1"/>
  <c r="X2680" i="1"/>
  <c r="X2681" i="1"/>
  <c r="X2684" i="1"/>
  <c r="X2685" i="1"/>
  <c r="X2686" i="1"/>
  <c r="X2689" i="1"/>
  <c r="X2690" i="1"/>
  <c r="X2691" i="1"/>
  <c r="X2692" i="1"/>
  <c r="X2694" i="1"/>
  <c r="X2695" i="1"/>
  <c r="X2696" i="1"/>
  <c r="X2698" i="1"/>
  <c r="X2699" i="1"/>
  <c r="X2701" i="1"/>
  <c r="X2702" i="1"/>
  <c r="X2703" i="1"/>
  <c r="X2710" i="1"/>
  <c r="X2711" i="1"/>
  <c r="X2712" i="1"/>
  <c r="X2713" i="1"/>
  <c r="X2714" i="1"/>
  <c r="X2715" i="1"/>
  <c r="X2716" i="1"/>
  <c r="X2718" i="1"/>
  <c r="X2719" i="1"/>
  <c r="X2720" i="1"/>
  <c r="X2721" i="1"/>
  <c r="X2722" i="1"/>
  <c r="X2723" i="1"/>
  <c r="X2724" i="1"/>
  <c r="X2725" i="1"/>
  <c r="X2726" i="1"/>
  <c r="X2727" i="1"/>
  <c r="X2728" i="1"/>
  <c r="X2729" i="1"/>
  <c r="X2730" i="1"/>
  <c r="X2731" i="1"/>
  <c r="X2732" i="1"/>
  <c r="X2733" i="1"/>
  <c r="X2734" i="1"/>
  <c r="X2735" i="1"/>
  <c r="X2736" i="1"/>
  <c r="X2737" i="1"/>
  <c r="X2738" i="1"/>
  <c r="X2739" i="1"/>
  <c r="X2740" i="1"/>
  <c r="X2741" i="1"/>
  <c r="X2742" i="1"/>
  <c r="X2743" i="1"/>
  <c r="X2744" i="1"/>
  <c r="X2745" i="1"/>
  <c r="X2746" i="1"/>
  <c r="X2747" i="1"/>
  <c r="X2748" i="1"/>
  <c r="X2749" i="1"/>
  <c r="X2750" i="1"/>
  <c r="X2752" i="1"/>
  <c r="X2753" i="1"/>
  <c r="X2754" i="1"/>
  <c r="X2757" i="1"/>
  <c r="X2760" i="1"/>
  <c r="X2761" i="1"/>
  <c r="X2762" i="1"/>
  <c r="X2763" i="1"/>
  <c r="X2764" i="1"/>
  <c r="X2765" i="1"/>
  <c r="X2766" i="1"/>
  <c r="X2767" i="1"/>
  <c r="X2768" i="1"/>
  <c r="X2769" i="1"/>
  <c r="X2770" i="1"/>
  <c r="X2771" i="1"/>
  <c r="X2772" i="1"/>
  <c r="X2773" i="1"/>
  <c r="X2774" i="1"/>
  <c r="X2775" i="1"/>
  <c r="X2776" i="1"/>
  <c r="X2777" i="1"/>
  <c r="X2778" i="1"/>
  <c r="X2779" i="1"/>
  <c r="X2780" i="1"/>
  <c r="X2781" i="1"/>
  <c r="X2782" i="1"/>
  <c r="X2783" i="1"/>
  <c r="X2784" i="1"/>
  <c r="X2785" i="1"/>
  <c r="X2786" i="1"/>
  <c r="X2787" i="1"/>
  <c r="X2788" i="1"/>
  <c r="X2789" i="1"/>
  <c r="X2790" i="1"/>
  <c r="X2791" i="1"/>
  <c r="X2792" i="1"/>
  <c r="X2793" i="1"/>
  <c r="X2794" i="1"/>
  <c r="X2795" i="1"/>
  <c r="X2796" i="1"/>
  <c r="X2797" i="1"/>
  <c r="X2798" i="1"/>
  <c r="X2799" i="1"/>
  <c r="X2800" i="1"/>
  <c r="X2801" i="1"/>
  <c r="X2802" i="1"/>
  <c r="X2803" i="1"/>
  <c r="X2804" i="1"/>
  <c r="X2805" i="1"/>
  <c r="X2806" i="1"/>
  <c r="X2807" i="1"/>
  <c r="X2808" i="1"/>
  <c r="X2809" i="1"/>
  <c r="X2810" i="1"/>
  <c r="X2811" i="1"/>
  <c r="X2812" i="1"/>
  <c r="X2813" i="1"/>
  <c r="X2814" i="1"/>
  <c r="X2815" i="1"/>
  <c r="X2816" i="1"/>
  <c r="X2817" i="1"/>
  <c r="X2818" i="1"/>
  <c r="X2819" i="1"/>
  <c r="X2820" i="1"/>
  <c r="X2821" i="1"/>
  <c r="X2822" i="1"/>
  <c r="X2823" i="1"/>
  <c r="X2824" i="1"/>
  <c r="X2825" i="1"/>
  <c r="X2826" i="1"/>
  <c r="X2827" i="1"/>
  <c r="X2828" i="1"/>
  <c r="X2829" i="1"/>
  <c r="X2834" i="1"/>
  <c r="X2836" i="1"/>
  <c r="X2837" i="1"/>
  <c r="X2838" i="1"/>
  <c r="X2839" i="1"/>
  <c r="X2840" i="1"/>
  <c r="X2841" i="1"/>
  <c r="X2842" i="1"/>
  <c r="X2843" i="1"/>
  <c r="X2844" i="1"/>
  <c r="X2845" i="1"/>
  <c r="X2846" i="1"/>
  <c r="X2847" i="1"/>
  <c r="X2848" i="1"/>
  <c r="X2849" i="1"/>
  <c r="X2850" i="1"/>
  <c r="X2851" i="1"/>
  <c r="X2852" i="1"/>
  <c r="X2853" i="1"/>
  <c r="X2854" i="1"/>
  <c r="X2855" i="1"/>
  <c r="X2856" i="1"/>
  <c r="X2857" i="1"/>
  <c r="X2858" i="1"/>
  <c r="X2859" i="1"/>
  <c r="X2860" i="1"/>
  <c r="X2861" i="1"/>
  <c r="X2862" i="1"/>
  <c r="X2863" i="1"/>
  <c r="X2864" i="1"/>
  <c r="X2865" i="1"/>
  <c r="X2866" i="1"/>
  <c r="X2867" i="1"/>
  <c r="X2868" i="1"/>
  <c r="X2873" i="1"/>
  <c r="X2874" i="1"/>
  <c r="X2876" i="1"/>
  <c r="X2877" i="1"/>
  <c r="X2878" i="1"/>
  <c r="X2879" i="1"/>
  <c r="X2880" i="1"/>
  <c r="X2881" i="1"/>
  <c r="X2882" i="1"/>
  <c r="X2884" i="1"/>
  <c r="X2885" i="1"/>
  <c r="X2887" i="1"/>
  <c r="X2888" i="1"/>
  <c r="X2892" i="1"/>
  <c r="X2893" i="1"/>
  <c r="X2894" i="1"/>
  <c r="X2895" i="1"/>
  <c r="X2896" i="1"/>
  <c r="X2898" i="1"/>
  <c r="X2899" i="1"/>
  <c r="X2900" i="1"/>
  <c r="X2901" i="1"/>
  <c r="X2902" i="1"/>
  <c r="X2903" i="1"/>
  <c r="X2904" i="1"/>
  <c r="X2905" i="1"/>
  <c r="X2906" i="1"/>
  <c r="X2907" i="1"/>
  <c r="X2908" i="1"/>
  <c r="X2909" i="1"/>
  <c r="X2910" i="1"/>
  <c r="X2911" i="1"/>
  <c r="X2912" i="1"/>
  <c r="X2913" i="1"/>
  <c r="X2914" i="1"/>
  <c r="X2915" i="1"/>
  <c r="X2916" i="1"/>
  <c r="X2917" i="1"/>
  <c r="X2918" i="1"/>
  <c r="X2919" i="1"/>
  <c r="X2920" i="1"/>
  <c r="X2921" i="1"/>
  <c r="X2922" i="1"/>
  <c r="X2923" i="1"/>
  <c r="X2924" i="1"/>
  <c r="X2926" i="1"/>
  <c r="X2927" i="1"/>
  <c r="X2928" i="1"/>
  <c r="X2942" i="1"/>
  <c r="X2944" i="1"/>
  <c r="X2946" i="1"/>
  <c r="X2947" i="1"/>
  <c r="X2948" i="1"/>
  <c r="X2949" i="1"/>
  <c r="X2950" i="1"/>
  <c r="X2951" i="1"/>
  <c r="X2952" i="1"/>
  <c r="X2953" i="1"/>
  <c r="X2954" i="1"/>
  <c r="X2955" i="1"/>
  <c r="X2956" i="1"/>
  <c r="X2957" i="1"/>
  <c r="X2958" i="1"/>
  <c r="X2959" i="1"/>
  <c r="X2960" i="1"/>
  <c r="X2961" i="1"/>
  <c r="X2962" i="1"/>
  <c r="X2963" i="1"/>
  <c r="X2964" i="1"/>
  <c r="X2965" i="1"/>
  <c r="X2966" i="1"/>
  <c r="X2972" i="1"/>
  <c r="X2975" i="1"/>
  <c r="X2977" i="1"/>
  <c r="X2978" i="1"/>
  <c r="X2979" i="1"/>
  <c r="X2984" i="1"/>
  <c r="X2986" i="1"/>
  <c r="X2987" i="1"/>
  <c r="X2988" i="1"/>
  <c r="X2989" i="1"/>
  <c r="X2990" i="1"/>
  <c r="X2991" i="1"/>
  <c r="X2992" i="1"/>
  <c r="X2993" i="1"/>
  <c r="X2994" i="1"/>
  <c r="X2996" i="1"/>
  <c r="X2997" i="1"/>
  <c r="X2998" i="1"/>
  <c r="X2999" i="1"/>
  <c r="X3004" i="1"/>
  <c r="X3009" i="1"/>
  <c r="X3010" i="1"/>
  <c r="X3011" i="1"/>
  <c r="X3012" i="1"/>
  <c r="X3014" i="1"/>
  <c r="X3015" i="1"/>
  <c r="X3016" i="1"/>
  <c r="X3017" i="1"/>
  <c r="X3018" i="1"/>
  <c r="X3019" i="1"/>
  <c r="X3020" i="1"/>
  <c r="X3021" i="1"/>
  <c r="X3022" i="1"/>
  <c r="X3023" i="1"/>
  <c r="X3024" i="1"/>
  <c r="X3025" i="1"/>
  <c r="X3031" i="1"/>
  <c r="X3037" i="1"/>
  <c r="X3045" i="1"/>
  <c r="X3046" i="1"/>
  <c r="X3047" i="1"/>
  <c r="X3048" i="1"/>
  <c r="X3052" i="1"/>
  <c r="X3053" i="1"/>
  <c r="X3054" i="1"/>
  <c r="X3055" i="1"/>
  <c r="X3056" i="1"/>
  <c r="X3057" i="1"/>
  <c r="X3058" i="1"/>
  <c r="X3060" i="1"/>
  <c r="X3061" i="1"/>
  <c r="X3062" i="1"/>
  <c r="X3063" i="1"/>
  <c r="X3064" i="1"/>
  <c r="X3065" i="1"/>
  <c r="X3066" i="1"/>
  <c r="X3067" i="1"/>
  <c r="X3068" i="1"/>
  <c r="X3069" i="1"/>
  <c r="X3070" i="1"/>
  <c r="X3071" i="1"/>
  <c r="X3072" i="1"/>
  <c r="X3073" i="1"/>
  <c r="X3074" i="1"/>
  <c r="X3075" i="1"/>
  <c r="X3078" i="1"/>
  <c r="X3079" i="1"/>
  <c r="X3084" i="1"/>
  <c r="X3087" i="1"/>
  <c r="X3095" i="1"/>
  <c r="X3098" i="1"/>
  <c r="X3099" i="1"/>
  <c r="X3100" i="1"/>
  <c r="X3101" i="1"/>
  <c r="X3102" i="1"/>
  <c r="X3103" i="1"/>
  <c r="X3104" i="1"/>
  <c r="X3105" i="1"/>
  <c r="X3106" i="1"/>
  <c r="X3107" i="1"/>
  <c r="X3108" i="1"/>
  <c r="X3109" i="1"/>
  <c r="X3110" i="1"/>
  <c r="X3111" i="1"/>
  <c r="X3112" i="1"/>
  <c r="X3114" i="1"/>
  <c r="X3119" i="1"/>
  <c r="X3120" i="1"/>
  <c r="X3121" i="1"/>
  <c r="X3122" i="1"/>
  <c r="X3124" i="1"/>
  <c r="X3127" i="1"/>
  <c r="X3129" i="1"/>
  <c r="X3130" i="1"/>
  <c r="X3132" i="1"/>
  <c r="X3133" i="1"/>
  <c r="X3134" i="1"/>
  <c r="X3135" i="1"/>
  <c r="X3136" i="1"/>
  <c r="X3137" i="1"/>
  <c r="X3138" i="1"/>
  <c r="X3139" i="1"/>
  <c r="X3140" i="1"/>
  <c r="X3141" i="1"/>
  <c r="X3149" i="1"/>
  <c r="X3150" i="1"/>
  <c r="X3151" i="1"/>
  <c r="X3152" i="1"/>
  <c r="X3153" i="1"/>
  <c r="X3154" i="1"/>
  <c r="X3155" i="1"/>
  <c r="X3156" i="1"/>
  <c r="X3157" i="1"/>
  <c r="X3158" i="1"/>
  <c r="X3159" i="1"/>
  <c r="X3160" i="1"/>
  <c r="X3161" i="1"/>
  <c r="X3167" i="1"/>
  <c r="X3169" i="1"/>
  <c r="X3173" i="1"/>
  <c r="X3174" i="1"/>
  <c r="X3175" i="1"/>
  <c r="X3176" i="1"/>
  <c r="X3177" i="1"/>
  <c r="X3178" i="1"/>
  <c r="X3179" i="1"/>
  <c r="X3180" i="1"/>
  <c r="X3183" i="1"/>
  <c r="X3184" i="1"/>
  <c r="X3185" i="1"/>
  <c r="X3188" i="1"/>
  <c r="X3191" i="1"/>
  <c r="X3192" i="1"/>
  <c r="X3193" i="1"/>
  <c r="X3194" i="1"/>
  <c r="X3195" i="1"/>
  <c r="X3196" i="1"/>
  <c r="X3197" i="1"/>
  <c r="X3198" i="1"/>
  <c r="X3199" i="1"/>
  <c r="X3200" i="1"/>
  <c r="X3201" i="1"/>
  <c r="X3202" i="1"/>
  <c r="X3203" i="1"/>
  <c r="X3206" i="1"/>
  <c r="X3207" i="1"/>
  <c r="X3208" i="1"/>
  <c r="X3209" i="1"/>
  <c r="X3210" i="1"/>
  <c r="X3211" i="1"/>
  <c r="X3212" i="1"/>
  <c r="X3213" i="1"/>
  <c r="X3214" i="1"/>
  <c r="X3215" i="1"/>
  <c r="X3216" i="1"/>
  <c r="X3217" i="1"/>
  <c r="X3218" i="1"/>
  <c r="X3219" i="1"/>
  <c r="X3220" i="1"/>
  <c r="X3221" i="1"/>
  <c r="X3222" i="1"/>
  <c r="X3223" i="1"/>
  <c r="X3224" i="1"/>
  <c r="X3225" i="1"/>
  <c r="X3226" i="1"/>
  <c r="X3227" i="1"/>
  <c r="X3228" i="1"/>
  <c r="X3229" i="1"/>
  <c r="X3230" i="1"/>
  <c r="X3231" i="1"/>
  <c r="X3232" i="1"/>
  <c r="X3233" i="1"/>
  <c r="X3234" i="1"/>
  <c r="X3235" i="1"/>
  <c r="X3236" i="1"/>
  <c r="X3237" i="1"/>
  <c r="X3238" i="1"/>
  <c r="X3239" i="1"/>
  <c r="X3245" i="1"/>
  <c r="X3249" i="1"/>
  <c r="X3250" i="1"/>
  <c r="X3251" i="1"/>
  <c r="X3252" i="1"/>
  <c r="X3253" i="1"/>
  <c r="X3254" i="1"/>
  <c r="X3257" i="1"/>
  <c r="X3258" i="1"/>
  <c r="X3263" i="1"/>
  <c r="X3264" i="1"/>
  <c r="X3273" i="1"/>
  <c r="X3274" i="1"/>
  <c r="X3275" i="1"/>
  <c r="X3276" i="1"/>
  <c r="X3277" i="1"/>
  <c r="X3278" i="1"/>
  <c r="X3279" i="1"/>
  <c r="X3280" i="1"/>
  <c r="X3281" i="1"/>
  <c r="X3282" i="1"/>
  <c r="X3283" i="1"/>
  <c r="X3284" i="1"/>
  <c r="X3285" i="1"/>
  <c r="X3286" i="1"/>
  <c r="X3287" i="1"/>
  <c r="X3288" i="1"/>
  <c r="X3289" i="1"/>
  <c r="X3290" i="1"/>
  <c r="X3291" i="1"/>
  <c r="X3292" i="1"/>
  <c r="X3293" i="1"/>
  <c r="X3294" i="1"/>
  <c r="X3295" i="1"/>
  <c r="X3296" i="1"/>
  <c r="X3297" i="1"/>
  <c r="X3298" i="1"/>
  <c r="X3299" i="1"/>
  <c r="X3300" i="1"/>
  <c r="X3301" i="1"/>
  <c r="X3302" i="1"/>
  <c r="X3303" i="1"/>
  <c r="X3304" i="1"/>
  <c r="X3305" i="1"/>
  <c r="X3306" i="1"/>
  <c r="X3307" i="1"/>
  <c r="X3308" i="1"/>
  <c r="X3309" i="1"/>
  <c r="X3314" i="1"/>
  <c r="X3315" i="1"/>
  <c r="X3319" i="1"/>
  <c r="X3320" i="1"/>
  <c r="X3321" i="1"/>
  <c r="X3324" i="1"/>
  <c r="X3330" i="1"/>
  <c r="X3331" i="1"/>
  <c r="X3332" i="1"/>
  <c r="X3333" i="1"/>
  <c r="X3334" i="1"/>
  <c r="X3335" i="1"/>
  <c r="X3339" i="1"/>
  <c r="X3340" i="1"/>
  <c r="X3341" i="1"/>
  <c r="X3343" i="1"/>
  <c r="X3396" i="1"/>
  <c r="X3397" i="1"/>
  <c r="X3399" i="1"/>
  <c r="X3400" i="1"/>
  <c r="X3401" i="1"/>
  <c r="X3402" i="1"/>
  <c r="X3403" i="1"/>
  <c r="X3404" i="1"/>
  <c r="X3405" i="1"/>
  <c r="X3406" i="1"/>
  <c r="X3407" i="1"/>
  <c r="X3416" i="1"/>
  <c r="X3419" i="1"/>
  <c r="X3421" i="1"/>
  <c r="X3422" i="1"/>
  <c r="X3423" i="1"/>
  <c r="X3424" i="1"/>
  <c r="X3425" i="1"/>
  <c r="X3426" i="1"/>
  <c r="X3427" i="1"/>
  <c r="X3428" i="1"/>
  <c r="X3429" i="1"/>
  <c r="X3430" i="1"/>
  <c r="X3431" i="1"/>
  <c r="X3432" i="1"/>
  <c r="X3435" i="1"/>
  <c r="X3437" i="1"/>
  <c r="X3438" i="1"/>
  <c r="X3441" i="1"/>
  <c r="X3442" i="1"/>
  <c r="X3443" i="1"/>
  <c r="X3444" i="1"/>
  <c r="X3445" i="1"/>
  <c r="X3446" i="1"/>
  <c r="X3447" i="1"/>
  <c r="X3448" i="1"/>
  <c r="X3449" i="1"/>
  <c r="X3450" i="1"/>
  <c r="X3452" i="1"/>
  <c r="X3453" i="1"/>
  <c r="X3454" i="1"/>
  <c r="X3455" i="1"/>
  <c r="X3456" i="1"/>
  <c r="X3458" i="1"/>
  <c r="X3461" i="1"/>
  <c r="X3463" i="1"/>
  <c r="X3464" i="1"/>
  <c r="X3466" i="1"/>
  <c r="X3467" i="1"/>
  <c r="X3471" i="1"/>
  <c r="X3472" i="1"/>
  <c r="X3473" i="1"/>
  <c r="X3474" i="1"/>
  <c r="X3475" i="1"/>
  <c r="X3476" i="1"/>
  <c r="X3477" i="1"/>
  <c r="X3478" i="1"/>
  <c r="X3479" i="1"/>
  <c r="X3481" i="1"/>
  <c r="X3484" i="1"/>
  <c r="X3485" i="1"/>
  <c r="X3487" i="1"/>
  <c r="X3488" i="1"/>
  <c r="X3490" i="1"/>
  <c r="X3491" i="1"/>
  <c r="X3495" i="1"/>
  <c r="X3498" i="1"/>
  <c r="X3501" i="1"/>
  <c r="X3502" i="1"/>
  <c r="X3503" i="1"/>
  <c r="X3504" i="1"/>
  <c r="X3505" i="1"/>
  <c r="X3506" i="1"/>
  <c r="X3507" i="1"/>
  <c r="X3508" i="1"/>
  <c r="X3510" i="1"/>
  <c r="X3511" i="1"/>
  <c r="X3512" i="1"/>
  <c r="X3516" i="1"/>
  <c r="X3518" i="1"/>
  <c r="X3519" i="1"/>
  <c r="X3520" i="1"/>
  <c r="X3521" i="1"/>
  <c r="X3530" i="1"/>
  <c r="X3531" i="1"/>
  <c r="X3532" i="1"/>
  <c r="X3533" i="1"/>
  <c r="X3534" i="1"/>
  <c r="X3535" i="1"/>
  <c r="X3538" i="1"/>
  <c r="X3540" i="1"/>
  <c r="X3541" i="1"/>
  <c r="X3542" i="1"/>
  <c r="X3543" i="1"/>
  <c r="X3544" i="1"/>
  <c r="X3545" i="1"/>
  <c r="X3546" i="1"/>
  <c r="X3547" i="1"/>
  <c r="X3548" i="1"/>
  <c r="X3549" i="1"/>
  <c r="X3550" i="1"/>
  <c r="X3552" i="1"/>
  <c r="X3553" i="1"/>
  <c r="X3554" i="1"/>
  <c r="X3555" i="1"/>
  <c r="X3556" i="1"/>
  <c r="X3557" i="1"/>
  <c r="X3558" i="1"/>
  <c r="X3560" i="1"/>
  <c r="X3565" i="1"/>
  <c r="X3566" i="1"/>
  <c r="X3569" i="1"/>
  <c r="X3570" i="1"/>
  <c r="X3571" i="1"/>
  <c r="X3573" i="1"/>
  <c r="X3574" i="1"/>
  <c r="X3575" i="1"/>
  <c r="X3576" i="1"/>
  <c r="X3577" i="1"/>
  <c r="X3578" i="1"/>
  <c r="X3579" i="1"/>
  <c r="X3581" i="1"/>
  <c r="X3583" i="1"/>
  <c r="X3584" i="1"/>
  <c r="X3585" i="1"/>
  <c r="X3586" i="1"/>
  <c r="X3587" i="1"/>
  <c r="X3593" i="1"/>
  <c r="X3594" i="1"/>
  <c r="X3595" i="1"/>
  <c r="X3596" i="1"/>
  <c r="X3599" i="1"/>
  <c r="X3600" i="1"/>
  <c r="X3604" i="1"/>
  <c r="X3605" i="1"/>
  <c r="X3606" i="1"/>
  <c r="X3607" i="1"/>
  <c r="X3608" i="1"/>
  <c r="X3609" i="1"/>
  <c r="X3610" i="1"/>
  <c r="X3611" i="1"/>
  <c r="X3612" i="1"/>
  <c r="X3613" i="1"/>
  <c r="X3614" i="1"/>
  <c r="X3615" i="1"/>
  <c r="X3617" i="1"/>
  <c r="X3619" i="1"/>
  <c r="X3620" i="1"/>
  <c r="X3621" i="1"/>
  <c r="X3624" i="1"/>
  <c r="X3628" i="1"/>
  <c r="X3629" i="1"/>
  <c r="X3630" i="1"/>
  <c r="X3631" i="1"/>
  <c r="X3632" i="1"/>
  <c r="X3635" i="1"/>
  <c r="X3636" i="1"/>
  <c r="X3637" i="1"/>
  <c r="X3638" i="1"/>
  <c r="X3639" i="1"/>
  <c r="X3641" i="1"/>
  <c r="X3642" i="1"/>
  <c r="X3643" i="1"/>
  <c r="X3644" i="1"/>
  <c r="X3645" i="1"/>
  <c r="X3646" i="1"/>
  <c r="X3647" i="1"/>
  <c r="X3648" i="1"/>
  <c r="X3649" i="1"/>
  <c r="X3650" i="1"/>
  <c r="X3651" i="1"/>
  <c r="X3652" i="1"/>
  <c r="X3653" i="1"/>
  <c r="X3654" i="1"/>
  <c r="X3655" i="1"/>
  <c r="X3656" i="1"/>
  <c r="X3657" i="1"/>
  <c r="X3658" i="1"/>
  <c r="X3659" i="1"/>
  <c r="X3660" i="1"/>
  <c r="X3665" i="1"/>
  <c r="X3666" i="1"/>
  <c r="X3668" i="1"/>
  <c r="X3669" i="1"/>
  <c r="X3670" i="1"/>
  <c r="X3671" i="1"/>
  <c r="X3672" i="1"/>
  <c r="X3673" i="1"/>
  <c r="X3674" i="1"/>
  <c r="X3675" i="1"/>
  <c r="X3676" i="1"/>
  <c r="X3677" i="1"/>
  <c r="X3678" i="1"/>
  <c r="X3679" i="1"/>
  <c r="X3680" i="1"/>
  <c r="X3681" i="1"/>
  <c r="X3682" i="1"/>
  <c r="X3683" i="1"/>
  <c r="X3684" i="1"/>
  <c r="X3685" i="1"/>
  <c r="X3686" i="1"/>
  <c r="X3687" i="1"/>
  <c r="X3688" i="1"/>
  <c r="X3689" i="1"/>
  <c r="X3690" i="1"/>
  <c r="X3691" i="1"/>
  <c r="X3692" i="1"/>
  <c r="X3693" i="1"/>
  <c r="X3694" i="1"/>
  <c r="X3695" i="1"/>
  <c r="X3696" i="1"/>
  <c r="X3697" i="1"/>
  <c r="X3698" i="1"/>
  <c r="X3702" i="1"/>
  <c r="X3703" i="1"/>
  <c r="X3705" i="1"/>
  <c r="X3706" i="1"/>
  <c r="X3708" i="1"/>
  <c r="X3709" i="1"/>
  <c r="X3710" i="1"/>
  <c r="X3711" i="1"/>
  <c r="X3715" i="1"/>
  <c r="X3716" i="1"/>
  <c r="X3717" i="1"/>
  <c r="X3718" i="1"/>
  <c r="X3734" i="1"/>
  <c r="X3735" i="1"/>
  <c r="X3736" i="1"/>
  <c r="X3737" i="1"/>
  <c r="X3738" i="1"/>
  <c r="X3739" i="1"/>
  <c r="X3740" i="1"/>
  <c r="X3741" i="1"/>
  <c r="X3742" i="1"/>
  <c r="X3745" i="1"/>
  <c r="X3748" i="1"/>
  <c r="X3749" i="1"/>
  <c r="X3750" i="1"/>
  <c r="X3754" i="1"/>
  <c r="X3755" i="1"/>
  <c r="X3756" i="1"/>
  <c r="X3757" i="1"/>
  <c r="X3758" i="1"/>
  <c r="X3759" i="1"/>
  <c r="X3760" i="1"/>
  <c r="X3761" i="1"/>
  <c r="X3762" i="1"/>
  <c r="X3763" i="1"/>
  <c r="X3764" i="1"/>
  <c r="X3765" i="1"/>
  <c r="X3766" i="1"/>
  <c r="X3767" i="1"/>
  <c r="X3768" i="1"/>
  <c r="X3770" i="1"/>
  <c r="X3775" i="1"/>
  <c r="X3776" i="1"/>
  <c r="X3777" i="1"/>
  <c r="X3785" i="1"/>
  <c r="X3789" i="1"/>
  <c r="X3790" i="1"/>
  <c r="X3791" i="1"/>
  <c r="X3793" i="1"/>
  <c r="X3794" i="1"/>
  <c r="X3795" i="1"/>
  <c r="X3796" i="1"/>
  <c r="X3797" i="1"/>
  <c r="X3798" i="1"/>
  <c r="X3799" i="1"/>
  <c r="X3800" i="1"/>
  <c r="X3801" i="1"/>
  <c r="X3802" i="1"/>
  <c r="X3803" i="1"/>
  <c r="X3804" i="1"/>
  <c r="X3805" i="1"/>
  <c r="X3807" i="1"/>
  <c r="X3808" i="1"/>
  <c r="X3813" i="1"/>
  <c r="X3814" i="1"/>
  <c r="X3816" i="1"/>
  <c r="X3817" i="1"/>
  <c r="X3822" i="1"/>
  <c r="X3823" i="1"/>
  <c r="X3824" i="1"/>
  <c r="X3825" i="1"/>
  <c r="X3827" i="1"/>
  <c r="X3828" i="1"/>
  <c r="X3829" i="1"/>
  <c r="X3830" i="1"/>
  <c r="X3832" i="1"/>
  <c r="X3833" i="1"/>
  <c r="X3834" i="1"/>
  <c r="X3835" i="1"/>
  <c r="X3836" i="1"/>
  <c r="X3837" i="1"/>
  <c r="X3838" i="1"/>
  <c r="X3848" i="1"/>
  <c r="X3850" i="1"/>
  <c r="X3851" i="1"/>
  <c r="X3852" i="1"/>
  <c r="X3853" i="1"/>
  <c r="X3854" i="1"/>
  <c r="X3855" i="1"/>
  <c r="X3856" i="1"/>
  <c r="X3857" i="1"/>
  <c r="X3858" i="1"/>
  <c r="X3859" i="1"/>
  <c r="X3860" i="1"/>
  <c r="X3861" i="1"/>
  <c r="X3862" i="1"/>
  <c r="X3863" i="1"/>
  <c r="X3864" i="1"/>
  <c r="X3865" i="1"/>
  <c r="X3867" i="1"/>
  <c r="X3868" i="1"/>
  <c r="X3870" i="1"/>
  <c r="X3871" i="1"/>
  <c r="X3872" i="1"/>
  <c r="X3873" i="1"/>
  <c r="X3874" i="1"/>
  <c r="X3875" i="1"/>
  <c r="X3876" i="1"/>
  <c r="X3877" i="1"/>
  <c r="X3878" i="1"/>
  <c r="X3879" i="1"/>
  <c r="X3883" i="1"/>
  <c r="X3891" i="1"/>
  <c r="X3892" i="1"/>
  <c r="X3893" i="1"/>
  <c r="X3894" i="1"/>
  <c r="X3898" i="1"/>
  <c r="X3899" i="1"/>
  <c r="X3900" i="1"/>
  <c r="X3901" i="1"/>
  <c r="X3905" i="1"/>
  <c r="X3907" i="1"/>
  <c r="X3908" i="1"/>
  <c r="X3909" i="1"/>
  <c r="X3910" i="1"/>
  <c r="X3911" i="1"/>
  <c r="X3912" i="1"/>
  <c r="X3913" i="1"/>
  <c r="X3914" i="1"/>
  <c r="X3915" i="1"/>
  <c r="X3917" i="1"/>
  <c r="X3918" i="1"/>
  <c r="X3919" i="1"/>
  <c r="X3920" i="1"/>
  <c r="X3921" i="1"/>
  <c r="X3923" i="1"/>
  <c r="X3925" i="1"/>
  <c r="X3929" i="1"/>
  <c r="X3930" i="1"/>
  <c r="X3933" i="1"/>
  <c r="X3934" i="1"/>
  <c r="X3935" i="1"/>
  <c r="X3936" i="1"/>
  <c r="X3937" i="1"/>
  <c r="X3938" i="1"/>
  <c r="X3939" i="1"/>
  <c r="X3940" i="1"/>
  <c r="X3941" i="1"/>
  <c r="X3942" i="1"/>
  <c r="X3943" i="1"/>
  <c r="X3944" i="1"/>
  <c r="X3945" i="1"/>
  <c r="X3947" i="1"/>
  <c r="X3950" i="1"/>
  <c r="X3951" i="1"/>
  <c r="X3952" i="1"/>
  <c r="X3953" i="1"/>
  <c r="X3954" i="1"/>
  <c r="X3956" i="1"/>
  <c r="X3957" i="1"/>
  <c r="X3958" i="1"/>
  <c r="X3959" i="1"/>
  <c r="X3960" i="1"/>
  <c r="X3961" i="1"/>
  <c r="X3962" i="1"/>
  <c r="X3963" i="1"/>
  <c r="X3964" i="1"/>
  <c r="X3965" i="1"/>
  <c r="X3966" i="1"/>
  <c r="X3967" i="1"/>
  <c r="X3968" i="1"/>
  <c r="X3969" i="1"/>
  <c r="X3970" i="1"/>
  <c r="X3972" i="1"/>
  <c r="X3973" i="1"/>
  <c r="X3974" i="1"/>
  <c r="X3975" i="1"/>
  <c r="X3977" i="1"/>
  <c r="X3978" i="1"/>
  <c r="X3979" i="1"/>
  <c r="X3980" i="1"/>
  <c r="X3981" i="1"/>
  <c r="X3982" i="1"/>
  <c r="X3983" i="1"/>
  <c r="X3985" i="1"/>
  <c r="X3986" i="1"/>
  <c r="X3988" i="1"/>
  <c r="X3989" i="1"/>
  <c r="X3990" i="1"/>
  <c r="X3991" i="1"/>
  <c r="X3997" i="1"/>
  <c r="X3998" i="1"/>
  <c r="X3999" i="1"/>
  <c r="X4000" i="1"/>
  <c r="X4001" i="1"/>
  <c r="X4008" i="1"/>
  <c r="X4009" i="1"/>
  <c r="X4010" i="1"/>
  <c r="X4011" i="1"/>
  <c r="X4012" i="1"/>
  <c r="X4013" i="1"/>
  <c r="X4014" i="1"/>
  <c r="X4015" i="1"/>
  <c r="X4016" i="1"/>
  <c r="X4017" i="1"/>
  <c r="X4018" i="1"/>
  <c r="X4019" i="1"/>
  <c r="X4020" i="1"/>
  <c r="X4021" i="1"/>
  <c r="X4022" i="1"/>
  <c r="X4023" i="1"/>
  <c r="X4025" i="1"/>
  <c r="X4026" i="1"/>
  <c r="X4028" i="1"/>
  <c r="X4029" i="1"/>
  <c r="X4030" i="1"/>
  <c r="X4031" i="1"/>
  <c r="X4034" i="1"/>
  <c r="X4035" i="1"/>
  <c r="X4036" i="1"/>
  <c r="X4037" i="1"/>
  <c r="X4038" i="1"/>
  <c r="X4039" i="1"/>
  <c r="X4040" i="1"/>
  <c r="X4041" i="1"/>
  <c r="X4042" i="1"/>
  <c r="X4043" i="1"/>
  <c r="X4044" i="1"/>
  <c r="X4046" i="1"/>
  <c r="X4049" i="1"/>
  <c r="X4050" i="1"/>
  <c r="X4054" i="1"/>
  <c r="X4055" i="1"/>
  <c r="X4056" i="1"/>
  <c r="X4057" i="1"/>
  <c r="X4058" i="1"/>
  <c r="X4060" i="1"/>
  <c r="X4061" i="1"/>
  <c r="X4062" i="1"/>
  <c r="X4063" i="1"/>
  <c r="X4064" i="1"/>
  <c r="X4066" i="1"/>
  <c r="X4067" i="1"/>
  <c r="X4068" i="1"/>
  <c r="X4069" i="1"/>
  <c r="X4079" i="1"/>
  <c r="X4080" i="1"/>
  <c r="X4081" i="1"/>
  <c r="X4082" i="1"/>
  <c r="X4086" i="1"/>
  <c r="X4087" i="1"/>
  <c r="X4088" i="1"/>
  <c r="X4090" i="1"/>
  <c r="X4091" i="1"/>
  <c r="X4092" i="1"/>
  <c r="X4093" i="1"/>
  <c r="X4094" i="1"/>
  <c r="X4096" i="1"/>
  <c r="X4098" i="1"/>
  <c r="X4099" i="1"/>
  <c r="X4100" i="1"/>
  <c r="X4110" i="1"/>
  <c r="X4115" i="1"/>
  <c r="X4116" i="1"/>
  <c r="X4117" i="1"/>
  <c r="X4120" i="1"/>
  <c r="X4122" i="1"/>
  <c r="X4123" i="1"/>
  <c r="X4124" i="1"/>
  <c r="X4126" i="1"/>
  <c r="X4144" i="1"/>
  <c r="X4147" i="1"/>
  <c r="X4148" i="1"/>
  <c r="X4149" i="1"/>
  <c r="X4150" i="1"/>
  <c r="X4151" i="1"/>
  <c r="X4152" i="1"/>
  <c r="X4153" i="1"/>
  <c r="X4154" i="1"/>
  <c r="X4156" i="1"/>
  <c r="X4186" i="1"/>
  <c r="X4187" i="1"/>
  <c r="X4191" i="1"/>
  <c r="X4192" i="1"/>
  <c r="X4193" i="1"/>
  <c r="X4194" i="1"/>
  <c r="X4199" i="1"/>
  <c r="X4205" i="1"/>
  <c r="X4210" i="1"/>
  <c r="X4211" i="1"/>
  <c r="X4212" i="1"/>
  <c r="X4213" i="1"/>
  <c r="X4214" i="1"/>
  <c r="X4215" i="1"/>
  <c r="X4216" i="1"/>
  <c r="X4217" i="1"/>
  <c r="X4218" i="1"/>
  <c r="X4219" i="1"/>
  <c r="X4220" i="1"/>
  <c r="X4221" i="1"/>
  <c r="X4222" i="1"/>
  <c r="X4224" i="1"/>
  <c r="X4225" i="1"/>
  <c r="X4226" i="1"/>
  <c r="X4227" i="1"/>
  <c r="X4228" i="1"/>
  <c r="X4229" i="1"/>
  <c r="X4230" i="1"/>
  <c r="X4231" i="1"/>
  <c r="X4232" i="1"/>
  <c r="X4233" i="1"/>
  <c r="X4234" i="1"/>
  <c r="X4235" i="1"/>
  <c r="X4236" i="1"/>
  <c r="X4237" i="1"/>
  <c r="X4238" i="1"/>
  <c r="X4239" i="1"/>
  <c r="X4240" i="1"/>
  <c r="X4241" i="1"/>
  <c r="X4242" i="1"/>
  <c r="X4243" i="1"/>
  <c r="X4244" i="1"/>
  <c r="X4245" i="1"/>
  <c r="X4246" i="1"/>
  <c r="X4247" i="1"/>
  <c r="X4248" i="1"/>
  <c r="X4249" i="1"/>
  <c r="X4250" i="1"/>
  <c r="X4251" i="1"/>
  <c r="X4252" i="1"/>
  <c r="X4253" i="1"/>
  <c r="X4254" i="1"/>
  <c r="X4255" i="1"/>
  <c r="X4256" i="1"/>
  <c r="X4257" i="1"/>
  <c r="X4258" i="1"/>
  <c r="X4259" i="1"/>
  <c r="X4260" i="1"/>
  <c r="X4261" i="1"/>
  <c r="X4262" i="1"/>
  <c r="X4265" i="1"/>
  <c r="X4267" i="1"/>
  <c r="X4268" i="1"/>
  <c r="X4277" i="1"/>
  <c r="X4282" i="1"/>
  <c r="X4283" i="1"/>
  <c r="X4284" i="1"/>
  <c r="X4285" i="1"/>
  <c r="X4286" i="1"/>
  <c r="X4287" i="1"/>
  <c r="X4288" i="1"/>
  <c r="X4289" i="1"/>
  <c r="X4290" i="1"/>
  <c r="X4292" i="1"/>
  <c r="X4293" i="1"/>
  <c r="X4295" i="1"/>
  <c r="B159" i="7" l="1"/>
  <c r="B158" i="7"/>
  <c r="B161" i="7"/>
  <c r="B160" i="7"/>
  <c r="P36" i="7"/>
  <c r="Q36" i="7" s="1"/>
  <c r="P2" i="7"/>
  <c r="B173" i="7"/>
  <c r="B172" i="7"/>
  <c r="B175" i="7"/>
  <c r="B174" i="7"/>
  <c r="R36" i="7"/>
  <c r="S36" i="7" s="1"/>
  <c r="R2" i="7"/>
  <c r="B145" i="7"/>
  <c r="B144" i="7"/>
  <c r="B147" i="7"/>
  <c r="B146" i="7"/>
  <c r="N36" i="7"/>
  <c r="O36" i="7" s="1"/>
  <c r="N2" i="7"/>
  <c r="B131" i="7"/>
  <c r="B130" i="7"/>
  <c r="B117" i="7"/>
  <c r="B116" i="7"/>
  <c r="B133" i="7"/>
  <c r="B132" i="7"/>
  <c r="L36" i="7"/>
  <c r="M36" i="7" s="1"/>
  <c r="L2" i="7"/>
  <c r="B103" i="7"/>
  <c r="B102" i="7"/>
  <c r="B89" i="7"/>
  <c r="B88" i="7"/>
  <c r="B119" i="7"/>
  <c r="B118" i="7"/>
  <c r="J36" i="7"/>
  <c r="K36" i="7" s="1"/>
  <c r="J2" i="7"/>
  <c r="B105" i="7"/>
  <c r="B104" i="7"/>
  <c r="H36" i="7"/>
  <c r="I36" i="7" s="1"/>
  <c r="H2" i="7"/>
  <c r="B91" i="7"/>
  <c r="B90" i="7"/>
  <c r="F36" i="7"/>
  <c r="G36" i="7" s="1"/>
  <c r="F2" i="7"/>
  <c r="B75" i="7"/>
  <c r="B74" i="7"/>
  <c r="B77" i="7"/>
  <c r="B76" i="7"/>
  <c r="T36" i="7"/>
  <c r="T2" i="7"/>
  <c r="X2" i="7" l="1"/>
  <c r="P3" i="7" s="1"/>
  <c r="P4" i="7" s="1"/>
  <c r="P5" i="7" s="1"/>
  <c r="P6" i="7" s="1"/>
  <c r="P7" i="7" s="1"/>
  <c r="P8" i="7" s="1"/>
  <c r="P9" i="7" s="1"/>
  <c r="P10" i="7" s="1"/>
  <c r="P11" i="7" s="1"/>
  <c r="P12" i="7" s="1"/>
  <c r="P13" i="7" s="1"/>
  <c r="P14" i="7" s="1"/>
  <c r="P15" i="7" s="1"/>
  <c r="P16" i="7" s="1"/>
  <c r="P17" i="7" s="1"/>
  <c r="P18" i="7" s="1"/>
  <c r="P19" i="7" s="1"/>
  <c r="P20" i="7" s="1"/>
  <c r="P21" i="7" s="1"/>
  <c r="P22" i="7" s="1"/>
  <c r="P23" i="7" s="1"/>
  <c r="P24" i="7" s="1"/>
  <c r="P25" i="7" s="1"/>
  <c r="P26" i="7" s="1"/>
  <c r="P27" i="7" s="1"/>
  <c r="D36" i="7"/>
  <c r="E36" i="7" s="1"/>
  <c r="D2" i="7"/>
  <c r="U36" i="7"/>
  <c r="P28" i="7" l="1"/>
  <c r="Q3" i="7"/>
  <c r="Q2" i="7"/>
  <c r="R3" i="7"/>
  <c r="R4" i="7" s="1"/>
  <c r="S3" i="7" s="1"/>
  <c r="T3" i="7"/>
  <c r="L3" i="7"/>
  <c r="M2" i="7" s="1"/>
  <c r="N3" i="7"/>
  <c r="H3" i="7"/>
  <c r="J3" i="7"/>
  <c r="D3" i="7"/>
  <c r="D4" i="7" s="1"/>
  <c r="E3" i="7" s="1"/>
  <c r="F3" i="7"/>
  <c r="U2" i="7"/>
  <c r="P29" i="7" l="1"/>
  <c r="P30" i="7" s="1"/>
  <c r="P31" i="7" s="1"/>
  <c r="P32" i="7" s="1"/>
  <c r="P33" i="7" s="1"/>
  <c r="P34" i="7" s="1"/>
  <c r="P35" i="7" s="1"/>
  <c r="Q35" i="7" s="1"/>
  <c r="Q5" i="7"/>
  <c r="Q4" i="7"/>
  <c r="S2" i="7"/>
  <c r="T4" i="7"/>
  <c r="R5" i="7"/>
  <c r="S4" i="7" s="1"/>
  <c r="N4" i="7"/>
  <c r="O2" i="7"/>
  <c r="L4" i="7"/>
  <c r="L5" i="7" s="1"/>
  <c r="L6" i="7" s="1"/>
  <c r="L7" i="7" s="1"/>
  <c r="L8" i="7" s="1"/>
  <c r="L9" i="7" s="1"/>
  <c r="L10" i="7" s="1"/>
  <c r="L11" i="7" s="1"/>
  <c r="L12" i="7" s="1"/>
  <c r="L13" i="7" s="1"/>
  <c r="L14" i="7" s="1"/>
  <c r="L15" i="7" s="1"/>
  <c r="L16" i="7" s="1"/>
  <c r="L17" i="7" s="1"/>
  <c r="L18" i="7" s="1"/>
  <c r="L19" i="7" s="1"/>
  <c r="L20" i="7" s="1"/>
  <c r="L21" i="7" s="1"/>
  <c r="L22" i="7" s="1"/>
  <c r="L23" i="7" s="1"/>
  <c r="L24" i="7" s="1"/>
  <c r="L25" i="7" s="1"/>
  <c r="L26" i="7" s="1"/>
  <c r="L27" i="7" s="1"/>
  <c r="I2" i="7"/>
  <c r="J4" i="7"/>
  <c r="K2" i="7"/>
  <c r="H4" i="7"/>
  <c r="H5" i="7" s="1"/>
  <c r="E2" i="7"/>
  <c r="F4" i="7"/>
  <c r="G2" i="7"/>
  <c r="D5" i="7"/>
  <c r="E4" i="7" s="1"/>
  <c r="U3" i="7"/>
  <c r="L28" i="7" l="1"/>
  <c r="Q6" i="7"/>
  <c r="T5" i="7"/>
  <c r="M3" i="7"/>
  <c r="R6" i="7"/>
  <c r="S5" i="7" s="1"/>
  <c r="I3" i="7"/>
  <c r="N5" i="7"/>
  <c r="O3" i="7"/>
  <c r="M4" i="7"/>
  <c r="M5" i="7"/>
  <c r="M6" i="7"/>
  <c r="J5" i="7"/>
  <c r="K3" i="7"/>
  <c r="H6" i="7"/>
  <c r="I5" i="7" s="1"/>
  <c r="I4" i="7"/>
  <c r="F5" i="7"/>
  <c r="G3" i="7"/>
  <c r="D6" i="7"/>
  <c r="E5" i="7" s="1"/>
  <c r="U4" i="7"/>
  <c r="L29" i="7" l="1"/>
  <c r="L30" i="7" s="1"/>
  <c r="L31" i="7" s="1"/>
  <c r="L32" i="7" s="1"/>
  <c r="L33" i="7" s="1"/>
  <c r="L34" i="7" s="1"/>
  <c r="L35" i="7" s="1"/>
  <c r="M35" i="7" s="1"/>
  <c r="Q7" i="7"/>
  <c r="T6" i="7"/>
  <c r="R7" i="7"/>
  <c r="S6" i="7" s="1"/>
  <c r="N6" i="7"/>
  <c r="O4" i="7"/>
  <c r="M7" i="7"/>
  <c r="J6" i="7"/>
  <c r="K4" i="7"/>
  <c r="H7" i="7"/>
  <c r="I6" i="7" s="1"/>
  <c r="F6" i="7"/>
  <c r="G4" i="7"/>
  <c r="D7" i="7"/>
  <c r="E6" i="7" s="1"/>
  <c r="U5" i="7"/>
  <c r="T7" i="7" l="1"/>
  <c r="R8" i="7"/>
  <c r="N7" i="7"/>
  <c r="O5" i="7"/>
  <c r="M8" i="7"/>
  <c r="J7" i="7"/>
  <c r="K6" i="7" s="1"/>
  <c r="K5" i="7"/>
  <c r="H8" i="7"/>
  <c r="F7" i="7"/>
  <c r="G6" i="7" s="1"/>
  <c r="G5" i="7"/>
  <c r="D8" i="7"/>
  <c r="E7" i="7" s="1"/>
  <c r="U6" i="7"/>
  <c r="Q9" i="7" l="1"/>
  <c r="Q8" i="7"/>
  <c r="T8" i="7"/>
  <c r="R9" i="7"/>
  <c r="S7" i="7"/>
  <c r="N8" i="7"/>
  <c r="O6" i="7"/>
  <c r="M9" i="7"/>
  <c r="J8" i="7"/>
  <c r="K7" i="7" s="1"/>
  <c r="H9" i="7"/>
  <c r="I8" i="7" s="1"/>
  <c r="I7" i="7"/>
  <c r="F8" i="7"/>
  <c r="D9" i="7"/>
  <c r="E8" i="7" s="1"/>
  <c r="U7" i="7"/>
  <c r="Q10" i="7" l="1"/>
  <c r="T9" i="7"/>
  <c r="R10" i="7"/>
  <c r="S9" i="7" s="1"/>
  <c r="S8" i="7"/>
  <c r="N9" i="7"/>
  <c r="O8" i="7" s="1"/>
  <c r="O7" i="7"/>
  <c r="M10" i="7"/>
  <c r="J9" i="7"/>
  <c r="K8" i="7" s="1"/>
  <c r="H10" i="7"/>
  <c r="I9" i="7" s="1"/>
  <c r="F9" i="7"/>
  <c r="G8" i="7" s="1"/>
  <c r="G7" i="7"/>
  <c r="D10" i="7"/>
  <c r="E9" i="7" s="1"/>
  <c r="U8" i="7"/>
  <c r="Q11" i="7" l="1"/>
  <c r="T10" i="7"/>
  <c r="R11" i="7"/>
  <c r="S10" i="7" s="1"/>
  <c r="N10" i="7"/>
  <c r="O9" i="7" s="1"/>
  <c r="M11" i="7"/>
  <c r="J10" i="7"/>
  <c r="K9" i="7" s="1"/>
  <c r="H11" i="7"/>
  <c r="I10" i="7" s="1"/>
  <c r="F10" i="7"/>
  <c r="G9" i="7" s="1"/>
  <c r="D11" i="7"/>
  <c r="E10" i="7" s="1"/>
  <c r="U9" i="7"/>
  <c r="Q12" i="7" l="1"/>
  <c r="T11" i="7"/>
  <c r="R12" i="7"/>
  <c r="S11" i="7" s="1"/>
  <c r="N11" i="7"/>
  <c r="O10" i="7" s="1"/>
  <c r="M12" i="7"/>
  <c r="J11" i="7"/>
  <c r="K10" i="7" s="1"/>
  <c r="H12" i="7"/>
  <c r="I11" i="7" s="1"/>
  <c r="F11" i="7"/>
  <c r="G10" i="7" s="1"/>
  <c r="D12" i="7"/>
  <c r="E11" i="7" s="1"/>
  <c r="U10" i="7"/>
  <c r="Q13" i="7" l="1"/>
  <c r="T12" i="7"/>
  <c r="R13" i="7"/>
  <c r="S12" i="7" s="1"/>
  <c r="N12" i="7"/>
  <c r="O11" i="7" s="1"/>
  <c r="M13" i="7"/>
  <c r="J12" i="7"/>
  <c r="K11" i="7" s="1"/>
  <c r="H13" i="7"/>
  <c r="I12" i="7" s="1"/>
  <c r="F12" i="7"/>
  <c r="G11" i="7" s="1"/>
  <c r="D13" i="7"/>
  <c r="E12" i="7" s="1"/>
  <c r="U11" i="7"/>
  <c r="Q14" i="7" l="1"/>
  <c r="T13" i="7"/>
  <c r="R14" i="7"/>
  <c r="S13" i="7" s="1"/>
  <c r="N13" i="7"/>
  <c r="O12" i="7" s="1"/>
  <c r="M14" i="7"/>
  <c r="J13" i="7"/>
  <c r="K12" i="7" s="1"/>
  <c r="H14" i="7"/>
  <c r="I13" i="7" s="1"/>
  <c r="F13" i="7"/>
  <c r="G12" i="7" s="1"/>
  <c r="D14" i="7"/>
  <c r="E13" i="7" s="1"/>
  <c r="U12" i="7"/>
  <c r="Q15" i="7" l="1"/>
  <c r="T14" i="7"/>
  <c r="R15" i="7"/>
  <c r="N14" i="7"/>
  <c r="O13" i="7" s="1"/>
  <c r="M15" i="7"/>
  <c r="J14" i="7"/>
  <c r="K13" i="7" s="1"/>
  <c r="H15" i="7"/>
  <c r="I14" i="7" s="1"/>
  <c r="F14" i="7"/>
  <c r="G13" i="7" s="1"/>
  <c r="D15" i="7"/>
  <c r="E14" i="7" s="1"/>
  <c r="U13" i="7"/>
  <c r="Q16" i="7" l="1"/>
  <c r="T15" i="7"/>
  <c r="R16" i="7"/>
  <c r="S15" i="7" s="1"/>
  <c r="S14" i="7"/>
  <c r="N15" i="7"/>
  <c r="O14" i="7" s="1"/>
  <c r="M16" i="7"/>
  <c r="J15" i="7"/>
  <c r="K14" i="7" s="1"/>
  <c r="H16" i="7"/>
  <c r="I15" i="7" s="1"/>
  <c r="F15" i="7"/>
  <c r="G14" i="7" s="1"/>
  <c r="D16" i="7"/>
  <c r="E15" i="7" s="1"/>
  <c r="U14" i="7"/>
  <c r="Q17" i="7" l="1"/>
  <c r="T16" i="7"/>
  <c r="R17" i="7"/>
  <c r="N16" i="7"/>
  <c r="O15" i="7" s="1"/>
  <c r="M17" i="7"/>
  <c r="J16" i="7"/>
  <c r="K15" i="7" s="1"/>
  <c r="H17" i="7"/>
  <c r="I16" i="7" s="1"/>
  <c r="F16" i="7"/>
  <c r="G15" i="7" s="1"/>
  <c r="D17" i="7"/>
  <c r="E16" i="7" s="1"/>
  <c r="U15" i="7"/>
  <c r="Q18" i="7" l="1"/>
  <c r="T17" i="7"/>
  <c r="R18" i="7"/>
  <c r="S16" i="7"/>
  <c r="N17" i="7"/>
  <c r="O16" i="7" s="1"/>
  <c r="M18" i="7"/>
  <c r="J17" i="7"/>
  <c r="K16" i="7" s="1"/>
  <c r="H18" i="7"/>
  <c r="I17" i="7" s="1"/>
  <c r="F17" i="7"/>
  <c r="G16" i="7" s="1"/>
  <c r="D18" i="7"/>
  <c r="E17" i="7" s="1"/>
  <c r="U16" i="7"/>
  <c r="Q19" i="7" l="1"/>
  <c r="T18" i="7"/>
  <c r="R19" i="7"/>
  <c r="S18" i="7" s="1"/>
  <c r="S17" i="7"/>
  <c r="N18" i="7"/>
  <c r="O17" i="7" s="1"/>
  <c r="M19" i="7"/>
  <c r="J18" i="7"/>
  <c r="K17" i="7" s="1"/>
  <c r="H19" i="7"/>
  <c r="I18" i="7" s="1"/>
  <c r="F18" i="7"/>
  <c r="G17" i="7" s="1"/>
  <c r="D19" i="7"/>
  <c r="E18" i="7" s="1"/>
  <c r="U17" i="7"/>
  <c r="Q20" i="7" l="1"/>
  <c r="T19" i="7"/>
  <c r="R20" i="7"/>
  <c r="S19" i="7" s="1"/>
  <c r="N19" i="7"/>
  <c r="O18" i="7" s="1"/>
  <c r="M20" i="7"/>
  <c r="J19" i="7"/>
  <c r="K18" i="7" s="1"/>
  <c r="H20" i="7"/>
  <c r="I19" i="7" s="1"/>
  <c r="F19" i="7"/>
  <c r="G18" i="7" s="1"/>
  <c r="D20" i="7"/>
  <c r="E19" i="7" s="1"/>
  <c r="U18" i="7"/>
  <c r="Q21" i="7" l="1"/>
  <c r="T20" i="7"/>
  <c r="R21" i="7"/>
  <c r="S20" i="7" s="1"/>
  <c r="N20" i="7"/>
  <c r="O19" i="7" s="1"/>
  <c r="M21" i="7"/>
  <c r="J20" i="7"/>
  <c r="K19" i="7" s="1"/>
  <c r="H21" i="7"/>
  <c r="I20" i="7" s="1"/>
  <c r="F20" i="7"/>
  <c r="G19" i="7" s="1"/>
  <c r="D21" i="7"/>
  <c r="E20" i="7" s="1"/>
  <c r="U19" i="7"/>
  <c r="T21" i="7" l="1"/>
  <c r="R22" i="7"/>
  <c r="S21" i="7" s="1"/>
  <c r="N21" i="7"/>
  <c r="O20" i="7" s="1"/>
  <c r="M22" i="7"/>
  <c r="J21" i="7"/>
  <c r="K20" i="7" s="1"/>
  <c r="H22" i="7"/>
  <c r="I21" i="7" s="1"/>
  <c r="F21" i="7"/>
  <c r="G20" i="7" s="1"/>
  <c r="D22" i="7"/>
  <c r="E21" i="7" s="1"/>
  <c r="U20" i="7"/>
  <c r="Q22" i="7" l="1"/>
  <c r="T22" i="7"/>
  <c r="R23" i="7"/>
  <c r="S22" i="7" s="1"/>
  <c r="N22" i="7"/>
  <c r="O21" i="7" s="1"/>
  <c r="M23" i="7"/>
  <c r="J22" i="7"/>
  <c r="K21" i="7" s="1"/>
  <c r="H23" i="7"/>
  <c r="I22" i="7" s="1"/>
  <c r="F22" i="7"/>
  <c r="G21" i="7" s="1"/>
  <c r="D23" i="7"/>
  <c r="E22" i="7" s="1"/>
  <c r="U21" i="7"/>
  <c r="Q23" i="7" l="1"/>
  <c r="T23" i="7"/>
  <c r="R24" i="7"/>
  <c r="S23" i="7" s="1"/>
  <c r="N23" i="7"/>
  <c r="O22" i="7" s="1"/>
  <c r="M24" i="7"/>
  <c r="J23" i="7"/>
  <c r="K22" i="7" s="1"/>
  <c r="H24" i="7"/>
  <c r="I23" i="7" s="1"/>
  <c r="F23" i="7"/>
  <c r="G22" i="7" s="1"/>
  <c r="D24" i="7"/>
  <c r="E23" i="7" s="1"/>
  <c r="U22" i="7"/>
  <c r="Q24" i="7" l="1"/>
  <c r="T24" i="7"/>
  <c r="R25" i="7"/>
  <c r="S24" i="7" s="1"/>
  <c r="N24" i="7"/>
  <c r="O23" i="7" s="1"/>
  <c r="M25" i="7"/>
  <c r="J24" i="7"/>
  <c r="K23" i="7" s="1"/>
  <c r="H25" i="7"/>
  <c r="I24" i="7" s="1"/>
  <c r="F24" i="7"/>
  <c r="G23" i="7" s="1"/>
  <c r="D25" i="7"/>
  <c r="E24" i="7" s="1"/>
  <c r="U23" i="7"/>
  <c r="Q25" i="7" l="1"/>
  <c r="T25" i="7"/>
  <c r="R26" i="7"/>
  <c r="S25" i="7" s="1"/>
  <c r="N25" i="7"/>
  <c r="O24" i="7" s="1"/>
  <c r="M26" i="7"/>
  <c r="J25" i="7"/>
  <c r="K24" i="7" s="1"/>
  <c r="H26" i="7"/>
  <c r="I25" i="7" s="1"/>
  <c r="F25" i="7"/>
  <c r="G24" i="7" s="1"/>
  <c r="D26" i="7"/>
  <c r="E25" i="7" s="1"/>
  <c r="U24" i="7"/>
  <c r="Q26" i="7" l="1"/>
  <c r="T26" i="7"/>
  <c r="R27" i="7"/>
  <c r="N26" i="7"/>
  <c r="O25" i="7" s="1"/>
  <c r="M27" i="7"/>
  <c r="J26" i="7"/>
  <c r="K25" i="7" s="1"/>
  <c r="H27" i="7"/>
  <c r="F26" i="7"/>
  <c r="G25" i="7" s="1"/>
  <c r="D27" i="7"/>
  <c r="U25" i="7"/>
  <c r="I26" i="7" l="1"/>
  <c r="S26" i="7"/>
  <c r="E26" i="7"/>
  <c r="Q27" i="7"/>
  <c r="T27" i="7"/>
  <c r="R28" i="7"/>
  <c r="N27" i="7"/>
  <c r="M28" i="7"/>
  <c r="J27" i="7"/>
  <c r="H28" i="7"/>
  <c r="F27" i="7"/>
  <c r="D28" i="7"/>
  <c r="I27" i="7" l="1"/>
  <c r="E27" i="7"/>
  <c r="S27" i="7"/>
  <c r="K26" i="7"/>
  <c r="G26" i="7"/>
  <c r="O26" i="7"/>
  <c r="Q28" i="7"/>
  <c r="T28" i="7"/>
  <c r="R29" i="7"/>
  <c r="S28" i="7" s="1"/>
  <c r="N28" i="7"/>
  <c r="M29" i="7"/>
  <c r="J28" i="7"/>
  <c r="H29" i="7"/>
  <c r="I28" i="7" s="1"/>
  <c r="F28" i="7"/>
  <c r="D29" i="7"/>
  <c r="E28" i="7" s="1"/>
  <c r="U26" i="7"/>
  <c r="K27" i="7" l="1"/>
  <c r="G27" i="7"/>
  <c r="O27" i="7"/>
  <c r="Q29" i="7"/>
  <c r="T29" i="7"/>
  <c r="R30" i="7"/>
  <c r="N29" i="7"/>
  <c r="O28" i="7" s="1"/>
  <c r="M30" i="7"/>
  <c r="J29" i="7"/>
  <c r="K28" i="7" s="1"/>
  <c r="H30" i="7"/>
  <c r="I29" i="7" s="1"/>
  <c r="F29" i="7"/>
  <c r="G28" i="7" s="1"/>
  <c r="D30" i="7"/>
  <c r="E29" i="7" s="1"/>
  <c r="U27" i="7"/>
  <c r="Q30" i="7" l="1"/>
  <c r="T30" i="7"/>
  <c r="R31" i="7"/>
  <c r="S30" i="7" s="1"/>
  <c r="S29" i="7"/>
  <c r="N30" i="7"/>
  <c r="O29" i="7" s="1"/>
  <c r="M31" i="7"/>
  <c r="J30" i="7"/>
  <c r="K29" i="7" s="1"/>
  <c r="H31" i="7"/>
  <c r="I30" i="7" s="1"/>
  <c r="F30" i="7"/>
  <c r="G29" i="7" s="1"/>
  <c r="D31" i="7"/>
  <c r="E30" i="7" s="1"/>
  <c r="U28" i="7"/>
  <c r="U29" i="7"/>
  <c r="Q31" i="7" l="1"/>
  <c r="T31" i="7"/>
  <c r="R32" i="7"/>
  <c r="S31" i="7" s="1"/>
  <c r="N31" i="7"/>
  <c r="O30" i="7" s="1"/>
  <c r="M32" i="7"/>
  <c r="J31" i="7"/>
  <c r="K30" i="7" s="1"/>
  <c r="H32" i="7"/>
  <c r="I31" i="7" s="1"/>
  <c r="F31" i="7"/>
  <c r="G30" i="7" s="1"/>
  <c r="D32" i="7"/>
  <c r="E31" i="7" s="1"/>
  <c r="U30" i="7"/>
  <c r="Q32" i="7" l="1"/>
  <c r="T32" i="7"/>
  <c r="R33" i="7"/>
  <c r="N32" i="7"/>
  <c r="O31" i="7" s="1"/>
  <c r="M33" i="7"/>
  <c r="J32" i="7"/>
  <c r="K31" i="7" s="1"/>
  <c r="H33" i="7"/>
  <c r="I32" i="7" s="1"/>
  <c r="F32" i="7"/>
  <c r="G31" i="7" s="1"/>
  <c r="D33" i="7"/>
  <c r="E32" i="7" s="1"/>
  <c r="U31" i="7"/>
  <c r="Q33" i="7" l="1"/>
  <c r="T33" i="7"/>
  <c r="R34" i="7"/>
  <c r="S33" i="7" s="1"/>
  <c r="S32" i="7"/>
  <c r="N33" i="7"/>
  <c r="O32" i="7" s="1"/>
  <c r="M34" i="7"/>
  <c r="J33" i="7"/>
  <c r="K32" i="7" s="1"/>
  <c r="H34" i="7"/>
  <c r="I33" i="7" s="1"/>
  <c r="F33" i="7"/>
  <c r="G32" i="7" s="1"/>
  <c r="D34" i="7"/>
  <c r="E33" i="7" s="1"/>
  <c r="U32" i="7"/>
  <c r="Q34" i="7" l="1"/>
  <c r="T34" i="7"/>
  <c r="R35" i="7"/>
  <c r="N34" i="7"/>
  <c r="O33" i="7" s="1"/>
  <c r="J34" i="7"/>
  <c r="K33" i="7" s="1"/>
  <c r="H35" i="7"/>
  <c r="F34" i="7"/>
  <c r="G33" i="7" s="1"/>
  <c r="D35" i="7"/>
  <c r="U33" i="7"/>
  <c r="I34" i="7" l="1"/>
  <c r="I35" i="7"/>
  <c r="S34" i="7"/>
  <c r="S35" i="7"/>
  <c r="E34" i="7"/>
  <c r="E35" i="7"/>
  <c r="T35" i="7"/>
  <c r="N35" i="7"/>
  <c r="J35" i="7"/>
  <c r="F35" i="7"/>
  <c r="U35" i="7"/>
  <c r="O34" i="7" l="1"/>
  <c r="O35" i="7"/>
  <c r="G34" i="7"/>
  <c r="G35" i="7"/>
  <c r="K34" i="7"/>
  <c r="K35" i="7"/>
  <c r="U3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Tony C.</author>
  </authors>
  <commentList>
    <comment ref="A2" authorId="0" shapeId="0" xr:uid="{00000000-0006-0000-0000-000001000000}">
      <text>
        <r>
          <rPr>
            <b/>
            <sz val="8"/>
            <color indexed="81"/>
            <rFont val="Tahoma"/>
            <family val="2"/>
          </rPr>
          <t xml:space="preserve">Vertex 1 Name
</t>
        </r>
        <r>
          <rPr>
            <sz val="8"/>
            <color indexed="81"/>
            <rFont val="Tahoma"/>
            <family val="2"/>
          </rPr>
          <t xml:space="preserve">
Enter the name of the edge's first vertex.
</t>
        </r>
        <r>
          <rPr>
            <u/>
            <sz val="8"/>
            <color indexed="81"/>
            <rFont val="Tahoma"/>
            <family val="2"/>
          </rPr>
          <t>Worksheet Overview</t>
        </r>
        <r>
          <rPr>
            <sz val="8"/>
            <color indexed="81"/>
            <rFont val="Tahoma"/>
            <family val="2"/>
          </rPr>
          <t xml:space="preserve">
To create a NodeXL graph in Excel 2007, enter the graph's edges on this worksheet, one row per edge.  The first two columns are required; the other columns can be used to customize the edge's appearance.
To customize the appearance of an individual vertex or add an isolated vertex not connected to an edge, click the "Vertices" tab near Excel's lower-left corner.
After you have entered the edges, click the "Show Graph" button in the NodeXL tab in Excel's Ribbon.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
</t>
        </r>
      </text>
    </comment>
    <comment ref="B2" authorId="0" shapeId="0" xr:uid="{00000000-0006-0000-0000-000002000000}">
      <text>
        <r>
          <rPr>
            <b/>
            <sz val="8"/>
            <color indexed="81"/>
            <rFont val="Tahoma"/>
            <family val="2"/>
          </rPr>
          <t xml:space="preserve">Vertex 2 Name
</t>
        </r>
        <r>
          <rPr>
            <sz val="8"/>
            <color indexed="81"/>
            <rFont val="Tahoma"/>
            <family val="2"/>
          </rPr>
          <t xml:space="preserve">
Enter the name of the edge's second vertex.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Columns</t>
        </r>
        <r>
          <rPr>
            <sz val="8"/>
            <color indexed="81"/>
            <rFont val="Tahoma"/>
            <family val="2"/>
          </rPr>
          <t xml:space="preserve">
The Vertex 1 and Vertex 2 columns are frozen, meaning that they remain visible even if you scroll the worksheet to the right.  To unfreeze them, use View, Freeze Panes, Unfreeze Panes in the Excel Ribbon.</t>
        </r>
      </text>
    </comment>
    <comment ref="C2" authorId="0" shapeId="0" xr:uid="{00000000-0006-0000-0000-000003000000}">
      <text>
        <r>
          <rPr>
            <b/>
            <sz val="8"/>
            <color indexed="81"/>
            <rFont val="Tahoma"/>
            <family val="2"/>
          </rPr>
          <t xml:space="preserve">Edge Color
</t>
        </r>
        <r>
          <rPr>
            <sz val="8"/>
            <color indexed="81"/>
            <rFont val="Tahoma"/>
            <family val="2"/>
          </rPr>
          <t xml:space="preserve">
To select an optional edge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D2" authorId="0" shapeId="0" xr:uid="{00000000-0006-0000-0000-000004000000}">
      <text>
        <r>
          <rPr>
            <b/>
            <sz val="8"/>
            <color indexed="81"/>
            <rFont val="Tahoma"/>
            <family val="2"/>
          </rPr>
          <t xml:space="preserve">Edge Width
</t>
        </r>
        <r>
          <rPr>
            <sz val="8"/>
            <color indexed="81"/>
            <rFont val="Tahoma"/>
            <family val="2"/>
          </rPr>
          <t xml:space="preserve">
Enter an optional edge width between 1 and 10.</t>
        </r>
      </text>
    </comment>
    <comment ref="E2" authorId="1" shapeId="0" xr:uid="{00000000-0006-0000-0000-000005000000}">
      <text>
        <r>
          <rPr>
            <b/>
            <sz val="8"/>
            <color indexed="81"/>
            <rFont val="Tahoma"/>
            <family val="2"/>
          </rPr>
          <t>Edge Style</t>
        </r>
        <r>
          <rPr>
            <b/>
            <sz val="9"/>
            <color indexed="81"/>
            <rFont val="Tahoma"/>
            <charset val="1"/>
          </rPr>
          <t xml:space="preserve">
</t>
        </r>
        <r>
          <rPr>
            <sz val="8"/>
            <color indexed="81"/>
            <rFont val="Tahoma"/>
            <family val="2"/>
          </rPr>
          <t xml:space="preserve">Select an optional edge style.
</t>
        </r>
        <r>
          <rPr>
            <u/>
            <sz val="8"/>
            <color indexed="81"/>
            <rFont val="Tahoma"/>
            <family val="2"/>
          </rPr>
          <t>Formulas</t>
        </r>
        <r>
          <rPr>
            <sz val="8"/>
            <color indexed="81"/>
            <rFont val="Tahoma"/>
            <family val="2"/>
          </rPr>
          <t xml:space="preserve">
If you are using Excel formulas to compute the styles, you may find it helpful to use the numerical options instead of text:
1 = Solid
2 = Dash
3 = Dot
4 = Dash Dot
5 = Dash Dot Dot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b/>
            <sz val="8"/>
            <color indexed="81"/>
            <rFont val="Tahoma"/>
            <family val="2"/>
          </rPr>
          <t xml:space="preserve">
</t>
        </r>
        <r>
          <rPr>
            <sz val="8"/>
            <color indexed="81"/>
            <rFont val="Tahoma"/>
            <family val="2"/>
          </rPr>
          <t xml:space="preserve">
</t>
        </r>
      </text>
    </comment>
    <comment ref="F2" authorId="0" shapeId="0" xr:uid="{00000000-0006-0000-0000-000006000000}">
      <text>
        <r>
          <rPr>
            <b/>
            <sz val="8"/>
            <color indexed="81"/>
            <rFont val="Tahoma"/>
            <family val="2"/>
          </rPr>
          <t xml:space="preserve">Edge Opacity
</t>
        </r>
        <r>
          <rPr>
            <sz val="8"/>
            <color indexed="81"/>
            <rFont val="Tahoma"/>
            <family val="2"/>
          </rPr>
          <t xml:space="preserve">
Enter an optional edge opacity between 0 (transparent) and 100 (opaque).</t>
        </r>
      </text>
    </comment>
    <comment ref="G2" authorId="0" shapeId="0" xr:uid="{00000000-0006-0000-0000-000007000000}">
      <text>
        <r>
          <rPr>
            <b/>
            <sz val="8"/>
            <color indexed="81"/>
            <rFont val="Tahoma"/>
            <family val="2"/>
          </rPr>
          <t xml:space="preserve">Edge Visibility
</t>
        </r>
        <r>
          <rPr>
            <sz val="8"/>
            <color indexed="81"/>
            <rFont val="Tahoma"/>
            <family val="2"/>
          </rPr>
          <t xml:space="preserve">
Select an optional edge visibility.
</t>
        </r>
        <r>
          <rPr>
            <b/>
            <sz val="8"/>
            <color indexed="81"/>
            <rFont val="Tahoma"/>
            <family val="2"/>
          </rPr>
          <t>Show</t>
        </r>
        <r>
          <rPr>
            <sz val="8"/>
            <color indexed="81"/>
            <rFont val="Tahoma"/>
            <family val="2"/>
          </rPr>
          <t xml:space="preserve">
Show the edge when the graph is refreshed.  This is the default.
</t>
        </r>
        <r>
          <rPr>
            <b/>
            <sz val="8"/>
            <color indexed="81"/>
            <rFont val="Tahoma"/>
            <family val="2"/>
          </rPr>
          <t>Skip</t>
        </r>
        <r>
          <rPr>
            <sz val="8"/>
            <color indexed="81"/>
            <rFont val="Tahoma"/>
            <family val="2"/>
          </rPr>
          <t xml:space="preserve">
Skip the edge row.
</t>
        </r>
        <r>
          <rPr>
            <b/>
            <sz val="8"/>
            <color indexed="81"/>
            <rFont val="Tahoma"/>
            <family val="2"/>
          </rPr>
          <t>Hide</t>
        </r>
        <r>
          <rPr>
            <sz val="8"/>
            <color indexed="81"/>
            <rFont val="Tahoma"/>
            <family val="2"/>
          </rPr>
          <t xml:space="preserve">
Use the edge when laying out the graph but then hide it.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2" shapeId="0" xr:uid="{00000000-0006-0000-0000-000008000000}">
      <text>
        <r>
          <rPr>
            <b/>
            <sz val="8"/>
            <color indexed="81"/>
            <rFont val="Tahoma"/>
            <family val="2"/>
          </rPr>
          <t xml:space="preserve">Edge Label
</t>
        </r>
        <r>
          <rPr>
            <sz val="8"/>
            <color indexed="81"/>
            <rFont val="Tahoma"/>
            <family val="2"/>
          </rPr>
          <t xml:space="preserve">Enter an optional edge label.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text>
    </comment>
    <comment ref="I2" authorId="1" shapeId="0" xr:uid="{00000000-0006-0000-0000-000009000000}">
      <text>
        <r>
          <rPr>
            <b/>
            <sz val="8"/>
            <color indexed="81"/>
            <rFont val="Tahoma"/>
            <family val="2"/>
          </rPr>
          <t xml:space="preserve">Edge Label Text Color
</t>
        </r>
        <r>
          <rPr>
            <sz val="8"/>
            <color indexed="81"/>
            <rFont val="Tahoma"/>
            <family val="2"/>
          </rPr>
          <t xml:space="preserve">
To select an optional label text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000-00000A000000}">
      <text>
        <r>
          <rPr>
            <b/>
            <sz val="8"/>
            <color indexed="81"/>
            <rFont val="Tahoma"/>
            <family val="2"/>
          </rPr>
          <t xml:space="preserve">Edge Label Font Size
</t>
        </r>
        <r>
          <rPr>
            <sz val="8"/>
            <color indexed="81"/>
            <rFont val="Tahoma"/>
            <family val="2"/>
          </rPr>
          <t>Enter an optional label font size between 8 and 72.</t>
        </r>
        <r>
          <rPr>
            <b/>
            <sz val="8"/>
            <color indexed="81"/>
            <rFont val="Tahoma"/>
            <family val="2"/>
          </rPr>
          <t xml:space="preserve">
</t>
        </r>
      </text>
    </comment>
    <comment ref="K2" authorId="1" shapeId="0" xr:uid="{00000000-0006-0000-0000-00000B000000}">
      <text>
        <r>
          <rPr>
            <b/>
            <sz val="8"/>
            <color indexed="81"/>
            <rFont val="Tahoma"/>
            <family val="2"/>
          </rPr>
          <t xml:space="preserve">Edge Reciprocated?
</t>
        </r>
        <r>
          <rPr>
            <sz val="8"/>
            <color indexed="81"/>
            <rFont val="Tahoma"/>
            <family val="2"/>
          </rPr>
          <t xml:space="preserve">
You can tell NodeXL to calculate this and other graph metrics by going to NodeXL, Analysis, Graph Metrics in the Ribbon.</t>
        </r>
        <r>
          <rPr>
            <sz val="9"/>
            <color indexed="81"/>
            <rFont val="Tahoma"/>
            <charset val="1"/>
          </rPr>
          <t xml:space="preserve">
</t>
        </r>
      </text>
    </comment>
    <comment ref="L2" authorId="0" shapeId="0" xr:uid="{00000000-0006-0000-0000-00000C000000}">
      <text>
        <r>
          <rPr>
            <b/>
            <sz val="8"/>
            <color indexed="81"/>
            <rFont val="Tahoma"/>
            <family val="2"/>
          </rPr>
          <t xml:space="preserve">Edge ID
</t>
        </r>
        <r>
          <rPr>
            <sz val="8"/>
            <color indexed="81"/>
            <rFont val="Tahoma"/>
            <family val="2"/>
          </rPr>
          <t>This is a unique ID that gets filled in automatically.  Do not edit this column.</t>
        </r>
      </text>
    </comment>
    <comment ref="N2" authorId="0" shapeId="0" xr:uid="{00000000-0006-0000-0000-00000D000000}">
      <text>
        <r>
          <rPr>
            <b/>
            <sz val="8"/>
            <color indexed="81"/>
            <rFont val="Tahoma"/>
            <family val="2"/>
          </rPr>
          <t xml:space="preserve">How to Add Your Own Columns
</t>
        </r>
        <r>
          <rPr>
            <sz val="8"/>
            <color indexed="81"/>
            <rFont val="Tahoma"/>
            <family val="2"/>
          </rPr>
          <t>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r>
          <rPr>
            <sz val="8"/>
            <color indexed="81"/>
            <rFont val="Tahoma"/>
            <family val="2"/>
          </rPr>
          <t xml:space="preserve">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TonyAdmin</author>
    <author>Tony C.</author>
    <author>Tony</author>
  </authors>
  <commentList>
    <comment ref="A2" authorId="0" shapeId="0" xr:uid="{00000000-0006-0000-0100-000001000000}">
      <text>
        <r>
          <rPr>
            <b/>
            <sz val="8"/>
            <color indexed="81"/>
            <rFont val="Tahoma"/>
            <family val="2"/>
          </rPr>
          <t xml:space="preserve">Vertex Name
</t>
        </r>
        <r>
          <rPr>
            <sz val="8"/>
            <color indexed="81"/>
            <rFont val="Tahoma"/>
            <family val="2"/>
          </rPr>
          <t xml:space="preserve">
Enter the name of the vertex.
</t>
        </r>
        <r>
          <rPr>
            <u/>
            <sz val="8"/>
            <color indexed="81"/>
            <rFont val="Tahoma"/>
            <family val="2"/>
          </rPr>
          <t>Worksheet Overview</t>
        </r>
        <r>
          <rPr>
            <sz val="8"/>
            <color indexed="81"/>
            <rFont val="Tahoma"/>
            <family val="2"/>
          </rPr>
          <t xml:space="preserve">
Use this worksheet to customize the appearance of the graph's vertices and to add isolated vertices that are not connected to edges.  You do not have to enter anything on this worksheet if you don't need either of these features.
</t>
        </r>
        <r>
          <rPr>
            <u/>
            <sz val="8"/>
            <color indexed="81"/>
            <rFont val="Tahoma"/>
            <family val="2"/>
          </rPr>
          <t>Isolated Vertices</t>
        </r>
        <r>
          <rPr>
            <sz val="8"/>
            <color indexed="81"/>
            <rFont val="Tahoma"/>
            <family val="2"/>
          </rPr>
          <t xml:space="preserve">
To add an isolated vertex that is not connected to any edges, enter it on this worksheet and set its Visibility cell to "Show."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
</t>
        </r>
        <r>
          <rPr>
            <u/>
            <sz val="8"/>
            <color indexed="81"/>
            <rFont val="Tahoma"/>
            <family val="2"/>
          </rPr>
          <t>Frozen Column</t>
        </r>
        <r>
          <rPr>
            <sz val="8"/>
            <color indexed="81"/>
            <rFont val="Tahoma"/>
            <family val="2"/>
          </rPr>
          <t xml:space="preserve">
The Vertex column is frozen, meaning that it remains visible even if you scroll the worksheet to the right.  To unfreeze it,  use View, Freeze Panes, Unfreeze Panes in the Excel Ribbon.</t>
        </r>
      </text>
    </comment>
    <comment ref="B2" authorId="0" shapeId="0" xr:uid="{00000000-0006-0000-0100-000002000000}">
      <text>
        <r>
          <rPr>
            <b/>
            <sz val="8"/>
            <color indexed="81"/>
            <rFont val="Tahoma"/>
            <family val="2"/>
          </rPr>
          <t xml:space="preserve">Vertex Color
</t>
        </r>
        <r>
          <rPr>
            <sz val="8"/>
            <color indexed="81"/>
            <rFont val="Tahoma"/>
            <family val="2"/>
          </rPr>
          <t xml:space="preserve">
To select an optional vertex color,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
</t>
        </r>
      </text>
    </comment>
    <comment ref="C2" authorId="0" shapeId="0" xr:uid="{00000000-0006-0000-0100-000003000000}">
      <text>
        <r>
          <rPr>
            <b/>
            <sz val="8"/>
            <color indexed="81"/>
            <rFont val="Tahoma"/>
            <family val="2"/>
          </rPr>
          <t xml:space="preserve">Vertex Shape
</t>
        </r>
        <r>
          <rPr>
            <sz val="8"/>
            <color indexed="81"/>
            <rFont val="Tahoma"/>
            <family val="2"/>
          </rPr>
          <t xml:space="preserve">
Select an optional vertex shape.
</t>
        </r>
        <r>
          <rPr>
            <u/>
            <sz val="8"/>
            <color indexed="81"/>
            <rFont val="Tahoma"/>
            <family val="2"/>
          </rPr>
          <t>Formulas</t>
        </r>
        <r>
          <rPr>
            <sz val="8"/>
            <color indexed="81"/>
            <rFont val="Tahoma"/>
            <family val="2"/>
          </rPr>
          <t xml:space="preserve">
If you are using Excel formulas to compute the shapes, you may find it helpful to use the numerical options instead of text:
1 = Circle
2 = Disk
3 = Sphere
4 = Square
5 = Solid Square
6 = Diamond
7 = Solid Diamond
8 = Triangle
9 = Solid Triangle
10 = Label
11 = Image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D2" authorId="0" shapeId="0" xr:uid="{00000000-0006-0000-0100-000004000000}">
      <text>
        <r>
          <rPr>
            <b/>
            <sz val="8"/>
            <color indexed="81"/>
            <rFont val="Tahoma"/>
            <family val="2"/>
          </rPr>
          <t xml:space="preserve">Vertex Size
</t>
        </r>
        <r>
          <rPr>
            <sz val="8"/>
            <color indexed="81"/>
            <rFont val="Tahoma"/>
            <family val="2"/>
          </rPr>
          <t xml:space="preserve">
Enter an optional vertex size between 1 and 1,000.</t>
        </r>
      </text>
    </comment>
    <comment ref="E2" authorId="0" shapeId="0" xr:uid="{00000000-0006-0000-0100-000005000000}">
      <text>
        <r>
          <rPr>
            <b/>
            <sz val="8"/>
            <color indexed="81"/>
            <rFont val="Tahoma"/>
            <family val="2"/>
          </rPr>
          <t xml:space="preserve">Vertex Opacity
</t>
        </r>
        <r>
          <rPr>
            <sz val="8"/>
            <color indexed="81"/>
            <rFont val="Tahoma"/>
            <family val="2"/>
          </rPr>
          <t xml:space="preserve">
Enter an optional vertex opacity between 0 (transparent) and 100 (opaque).</t>
        </r>
      </text>
    </comment>
    <comment ref="F2" authorId="0" shapeId="0" xr:uid="{00000000-0006-0000-0100-000006000000}">
      <text>
        <r>
          <rPr>
            <b/>
            <sz val="8"/>
            <color indexed="81"/>
            <rFont val="Tahoma"/>
            <family val="2"/>
          </rPr>
          <t>Vertex Image File</t>
        </r>
        <r>
          <rPr>
            <sz val="8"/>
            <color indexed="81"/>
            <rFont val="Tahoma"/>
            <family val="2"/>
          </rPr>
          <t xml:space="preserve">
To show a vertex as an image, set the Shape to Image and enter one of the following into the Image File column:
* The full path to an image file on your computer or local network.  Example: "C:\MyImages\Image.jpg".
* If the workbook has been saved, a path that is relative to the saved workbook file.  Example: "Images\Image.jpg"
* An URL to an image on the Internet.  Example: "http://www.somesite.com/Image.jpg".</t>
        </r>
      </text>
    </comment>
    <comment ref="G2" authorId="0" shapeId="0" xr:uid="{00000000-0006-0000-0100-000007000000}">
      <text>
        <r>
          <rPr>
            <b/>
            <sz val="8"/>
            <color indexed="81"/>
            <rFont val="Tahoma"/>
            <family val="2"/>
          </rPr>
          <t xml:space="preserve">Vertex Visibility
</t>
        </r>
        <r>
          <rPr>
            <sz val="8"/>
            <color indexed="81"/>
            <rFont val="Tahoma"/>
            <family val="2"/>
          </rPr>
          <t xml:space="preserve">
Select an optional vertex visibility
</t>
        </r>
        <r>
          <rPr>
            <b/>
            <sz val="8"/>
            <color indexed="81"/>
            <rFont val="Tahoma"/>
            <family val="2"/>
          </rPr>
          <t>Show if in an Edge</t>
        </r>
        <r>
          <rPr>
            <sz val="8"/>
            <color indexed="81"/>
            <rFont val="Tahoma"/>
            <family val="2"/>
          </rPr>
          <t xml:space="preserve">
Show the vertex when the graph is refreshed if it is part of an edge.  Otherwise, ignore the vertex row.  This is the default.
</t>
        </r>
        <r>
          <rPr>
            <b/>
            <sz val="8"/>
            <color indexed="81"/>
            <rFont val="Tahoma"/>
            <family val="2"/>
          </rPr>
          <t>Skip</t>
        </r>
        <r>
          <rPr>
            <sz val="8"/>
            <color indexed="81"/>
            <rFont val="Tahoma"/>
            <family val="2"/>
          </rPr>
          <t xml:space="preserve">
Skip the vertex row and any edge rows that use the vertex.
</t>
        </r>
        <r>
          <rPr>
            <b/>
            <sz val="8"/>
            <color indexed="81"/>
            <rFont val="Tahoma"/>
            <family val="2"/>
          </rPr>
          <t>Hide</t>
        </r>
        <r>
          <rPr>
            <sz val="8"/>
            <color indexed="81"/>
            <rFont val="Tahoma"/>
            <family val="2"/>
          </rPr>
          <t xml:space="preserve">
If the vertex is part of an edge, use it when laying out the graph but then hide it.  Otherwise, ignore the vertex row.
</t>
        </r>
        <r>
          <rPr>
            <b/>
            <sz val="8"/>
            <color indexed="81"/>
            <rFont val="Tahoma"/>
            <family val="2"/>
          </rPr>
          <t>Show</t>
        </r>
        <r>
          <rPr>
            <sz val="8"/>
            <color indexed="81"/>
            <rFont val="Tahoma"/>
            <family val="2"/>
          </rPr>
          <t xml:space="preserve">
Show the vertex regardless of whether it is part of an edge.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if in an Edge
0 = Skip
2 = Hide
4 = Show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H2" authorId="0" shapeId="0" xr:uid="{00000000-0006-0000-0100-000008000000}">
      <text>
        <r>
          <rPr>
            <b/>
            <sz val="8"/>
            <color indexed="81"/>
            <rFont val="Tahoma"/>
            <family val="2"/>
          </rPr>
          <t xml:space="preserve">Vertex Label
</t>
        </r>
        <r>
          <rPr>
            <sz val="8"/>
            <color indexed="81"/>
            <rFont val="Tahoma"/>
            <family val="2"/>
          </rPr>
          <t xml:space="preserve">
To show a vertex as a box containing text, set the Shape to Label and enter the text into the Label column.  To annotate another shape with text, set the Shape to something else and enter the annotation text into the Label column.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I2" authorId="0" shapeId="0" xr:uid="{00000000-0006-0000-0100-000009000000}">
      <text>
        <r>
          <rPr>
            <b/>
            <sz val="8"/>
            <color indexed="81"/>
            <rFont val="Tahoma"/>
            <family val="2"/>
          </rPr>
          <t xml:space="preserve">Vertex Label Fill Color
</t>
        </r>
        <r>
          <rPr>
            <sz val="8"/>
            <color indexed="81"/>
            <rFont val="Tahoma"/>
            <family val="2"/>
          </rPr>
          <t>To select an optional fill color for the Label shape,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J2" authorId="1" shapeId="0" xr:uid="{00000000-0006-0000-0100-00000A000000}">
      <text>
        <r>
          <rPr>
            <b/>
            <sz val="8"/>
            <color indexed="81"/>
            <rFont val="Tahoma"/>
            <family val="2"/>
          </rPr>
          <t xml:space="preserve">Vertex Label Position
</t>
        </r>
        <r>
          <rPr>
            <sz val="8"/>
            <color indexed="81"/>
            <rFont val="Tahoma"/>
            <family val="2"/>
          </rPr>
          <t xml:space="preserve">Select an optional vertex label position.  This is used only when the label annotates the vertex, not when the vertex Shape is Label.  Hover the mouse over the Label column header for more details.
</t>
        </r>
        <r>
          <rPr>
            <u/>
            <sz val="8"/>
            <color indexed="81"/>
            <rFont val="Tahoma"/>
            <family val="2"/>
          </rPr>
          <t>Formulas</t>
        </r>
        <r>
          <rPr>
            <sz val="8"/>
            <color indexed="81"/>
            <rFont val="Tahoma"/>
            <family val="2"/>
          </rPr>
          <t xml:space="preserve">
If you are using Excel formulas to compute the positions, you may find it helpful to use the numerical options instead of text:
0 = Nowhere
1 = Top Left
2 = Top Center
3 = Top Right
4 = Middle Left
5 = Middle Center
6 = Middle Right
7 = Bottom Left
8 = Bottom Center
9 = Bottom Right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text>
    </comment>
    <comment ref="K2" authorId="0" shapeId="0" xr:uid="{00000000-0006-0000-0100-00000B000000}">
      <text>
        <r>
          <rPr>
            <b/>
            <sz val="8"/>
            <color indexed="81"/>
            <rFont val="Tahoma"/>
            <family val="2"/>
          </rPr>
          <t xml:space="preserve">Vertex Tooltip
</t>
        </r>
        <r>
          <rPr>
            <sz val="8"/>
            <color indexed="81"/>
            <rFont val="Tahoma"/>
            <family val="2"/>
          </rPr>
          <t xml:space="preserve">
Enter optional text that will pop up when the mouse is hovered over the vertex in the graph pane.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text>
    </comment>
    <comment ref="L2" authorId="0" shapeId="0" xr:uid="{00000000-0006-0000-0100-00000C000000}">
      <text>
        <r>
          <rPr>
            <b/>
            <sz val="8"/>
            <color indexed="81"/>
            <rFont val="Tahoma"/>
            <family val="2"/>
          </rPr>
          <t xml:space="preserve">Vertex Layout Order
</t>
        </r>
        <r>
          <rPr>
            <sz val="8"/>
            <color indexed="81"/>
            <rFont val="Tahoma"/>
            <family val="2"/>
          </rPr>
          <t xml:space="preserve">Enter an optional number to control the order in which the vertices are laid out in the graph when a geometric layout algorithm (Circle, Spiral and so on) is used.  This also controls the vertex stacking order when vertices overlap.  Vertices with larger numbers are stacked on top of vertices with smaller numbers.
</t>
        </r>
      </text>
    </comment>
    <comment ref="M2" authorId="0" shapeId="0" xr:uid="{00000000-0006-0000-0100-00000D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N2" authorId="0" shapeId="0" xr:uid="{00000000-0006-0000-0100-00000E000000}">
      <text>
        <r>
          <rPr>
            <b/>
            <sz val="8"/>
            <color indexed="81"/>
            <rFont val="Tahoma"/>
            <family val="2"/>
          </rPr>
          <t xml:space="preserve">Vertex Location
</t>
        </r>
        <r>
          <rPr>
            <sz val="8"/>
            <color indexed="81"/>
            <rFont val="Tahoma"/>
            <family val="2"/>
          </rPr>
          <t xml:space="preserve">
Enter an optional vertex location.
X and Y values should be between 0 and 9,999.  If you enter X and Y values, you should set NodeXL, Graph, Layout to "None" to prevent NodeXL from overwriting your values when you show the graph.</t>
        </r>
      </text>
    </comment>
    <comment ref="O2" authorId="0" shapeId="0" xr:uid="{00000000-0006-0000-0100-00000F000000}">
      <text>
        <r>
          <rPr>
            <b/>
            <sz val="8"/>
            <color indexed="81"/>
            <rFont val="Tahoma"/>
            <family val="2"/>
          </rPr>
          <t xml:space="preserve">Vertex Locked?
</t>
        </r>
        <r>
          <rPr>
            <sz val="8"/>
            <color indexed="81"/>
            <rFont val="Tahoma"/>
            <family val="2"/>
          </rPr>
          <t xml:space="preserve">
Set to Yes to lock the vertex at its current location.
</t>
        </r>
        <r>
          <rPr>
            <u/>
            <sz val="8"/>
            <color indexed="81"/>
            <rFont val="Tahoma"/>
            <family val="2"/>
          </rPr>
          <t>Formulas</t>
        </r>
        <r>
          <rPr>
            <sz val="8"/>
            <color indexed="81"/>
            <rFont val="Tahoma"/>
            <family val="2"/>
          </rPr>
          <t xml:space="preserve">
If you are using Excel formulas to compute the locked values, you may find it helpful to use the numerical options instead of text:
0 = No
1 = Yes
</t>
        </r>
        <r>
          <rPr>
            <u/>
            <sz val="8"/>
            <color indexed="81"/>
            <rFont val="Tahoma"/>
            <family val="2"/>
          </rPr>
          <t xml:space="preserve">Pasting
</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P2" authorId="0" shapeId="0" xr:uid="{00000000-0006-0000-0100-000010000000}">
      <text>
        <r>
          <rPr>
            <b/>
            <sz val="8"/>
            <color indexed="81"/>
            <rFont val="Tahoma"/>
            <family val="2"/>
          </rPr>
          <t xml:space="preserve">Vertex Polar R
</t>
        </r>
        <r>
          <rPr>
            <sz val="8"/>
            <color indexed="81"/>
            <rFont val="Tahoma"/>
            <family val="2"/>
          </rPr>
          <t xml:space="preserve">
Enter an optional vertex polar radial coordinate.  This is used only when the Layout is set to Polar or Polar Absolute in the graph pane.
</t>
        </r>
        <r>
          <rPr>
            <u/>
            <sz val="8"/>
            <color indexed="81"/>
            <rFont val="Tahoma"/>
            <family val="2"/>
          </rPr>
          <t>For the Polar Layout</t>
        </r>
        <r>
          <rPr>
            <sz val="8"/>
            <color indexed="81"/>
            <rFont val="Tahoma"/>
            <family val="2"/>
          </rPr>
          <t xml:space="preserve">
0.0 represents the polar origin, which is the center of the graph pane, while 1.0 represents one-half the graph pane's width or height, whichever is smaller.
Polar R values less than 0.0 are allowed, but they have the same effect as the value 0.0.  Similarly, polar R values greater than 1.0 are allowed, but they have the same effect as the value 1.0.
Any vertex that is missing polar coordinates is placed at the polar origin.
</t>
        </r>
        <r>
          <rPr>
            <u/>
            <sz val="8"/>
            <color indexed="81"/>
            <rFont val="Tahoma"/>
            <family val="2"/>
          </rPr>
          <t>For the Polar Absolute Layout</t>
        </r>
        <r>
          <rPr>
            <sz val="8"/>
            <color indexed="81"/>
            <rFont val="Tahoma"/>
            <family val="2"/>
          </rPr>
          <t xml:space="preserve">
0.0 represents the polar origin, which is the center of the graph pane, while 1.0 represents an absolute distance of about 1/96 inch.
There are no limits on Polar R values when using the Polar Absolute layout.  Negative values have the effect of adding 180 degrees to the specified Polar Angle.
Any vertex that is missing polar coordinates is placed at the polar origin.
</t>
        </r>
      </text>
    </comment>
    <comment ref="Q2" authorId="0" shapeId="0" xr:uid="{00000000-0006-0000-0100-000011000000}">
      <text>
        <r>
          <rPr>
            <b/>
            <sz val="8"/>
            <color indexed="81"/>
            <rFont val="Tahoma"/>
            <family val="2"/>
          </rPr>
          <t xml:space="preserve">Vertex Polar Angle
</t>
        </r>
        <r>
          <rPr>
            <sz val="8"/>
            <color indexed="81"/>
            <rFont val="Tahoma"/>
            <family val="2"/>
          </rPr>
          <t>Enter an optional vertex polar angle coordinate, in degrees.  This is used only when the Layout is set to Polar or Polar Absolute in the graph pane.
0.0 degrees is to the right, 90.0 degrees is up, 180.0 degrees is to the left, and 270.0 degrees is down.  Angles less than 0 are allowed: -1.0 is the same as 359.0, for example.  Similarly, angles greater than 360.0 are allowed: 361.0 is the same as 1.0, for example.
Any vertex that is missing polar coordinates is placed at the polar origin.</t>
        </r>
        <r>
          <rPr>
            <b/>
            <sz val="8"/>
            <color indexed="81"/>
            <rFont val="Tahoma"/>
            <family val="2"/>
          </rPr>
          <t xml:space="preserve">
</t>
        </r>
      </text>
    </comment>
    <comment ref="R2" authorId="0" shapeId="0" xr:uid="{00000000-0006-0000-0100-000012000000}">
      <text>
        <r>
          <rPr>
            <b/>
            <sz val="8"/>
            <color indexed="81"/>
            <rFont val="Tahoma"/>
            <family val="2"/>
          </rPr>
          <t>Vertex Degree</t>
        </r>
        <r>
          <rPr>
            <sz val="8"/>
            <color indexed="81"/>
            <rFont val="Tahoma"/>
            <family val="2"/>
          </rPr>
          <t xml:space="preserve">
You can tell NodeXL to calculate this and other graph metrics by going to NodeXL, Analysis, Graph Metrics in the Ribbon.
</t>
        </r>
      </text>
    </comment>
    <comment ref="S2" authorId="0" shapeId="0" xr:uid="{00000000-0006-0000-0100-000013000000}">
      <text>
        <r>
          <rPr>
            <b/>
            <sz val="8"/>
            <color indexed="81"/>
            <rFont val="Tahoma"/>
            <family val="2"/>
          </rPr>
          <t xml:space="preserve">Vertex In-Degree
</t>
        </r>
        <r>
          <rPr>
            <sz val="8"/>
            <color indexed="81"/>
            <rFont val="Tahoma"/>
            <family val="2"/>
          </rPr>
          <t xml:space="preserve">You can tell NodeXL to calculate this and other graph metrics by going to NodeXL, Analysis, Graph Metrics in the Ribbon.
</t>
        </r>
      </text>
    </comment>
    <comment ref="T2" authorId="0" shapeId="0" xr:uid="{00000000-0006-0000-0100-000014000000}">
      <text>
        <r>
          <rPr>
            <b/>
            <sz val="8"/>
            <color indexed="81"/>
            <rFont val="Tahoma"/>
            <family val="2"/>
          </rPr>
          <t xml:space="preserve">Vertex Out-Degree
</t>
        </r>
        <r>
          <rPr>
            <sz val="8"/>
            <color indexed="81"/>
            <rFont val="Tahoma"/>
            <family val="2"/>
          </rPr>
          <t xml:space="preserve">You can tell NodeXL to calculate this and other graph metrics by going to NodeXL, Analysis, Graph Metrics in the Ribbon.
</t>
        </r>
      </text>
    </comment>
    <comment ref="U2" authorId="0" shapeId="0" xr:uid="{00000000-0006-0000-0100-000015000000}">
      <text>
        <r>
          <rPr>
            <b/>
            <sz val="8"/>
            <color indexed="81"/>
            <rFont val="Tahoma"/>
            <family val="2"/>
          </rPr>
          <t xml:space="preserve">Vertex Betweenness Centrality
</t>
        </r>
        <r>
          <rPr>
            <sz val="8"/>
            <color indexed="81"/>
            <rFont val="Tahoma"/>
            <family val="2"/>
          </rPr>
          <t xml:space="preserve">You can tell NodeXL to calculate this and other graph metrics by going to NodeXL, Analysis, Graph Metrics in the Ribbon.
</t>
        </r>
      </text>
    </comment>
    <comment ref="V2" authorId="0" shapeId="0" xr:uid="{00000000-0006-0000-0100-000016000000}">
      <text>
        <r>
          <rPr>
            <b/>
            <sz val="8"/>
            <color indexed="81"/>
            <rFont val="Tahoma"/>
            <family val="2"/>
          </rPr>
          <t xml:space="preserve">Vertex Closeness Centrality
</t>
        </r>
        <r>
          <rPr>
            <sz val="8"/>
            <color indexed="81"/>
            <rFont val="Tahoma"/>
            <family val="2"/>
          </rPr>
          <t xml:space="preserve">You can tell NodeXL to calculate this and other graph metrics by going to NodeXL, Analysis, Graph Metrics in the Ribbon.
</t>
        </r>
      </text>
    </comment>
    <comment ref="W2" authorId="0" shapeId="0" xr:uid="{00000000-0006-0000-0100-000017000000}">
      <text>
        <r>
          <rPr>
            <b/>
            <sz val="8"/>
            <color indexed="81"/>
            <rFont val="Tahoma"/>
            <family val="2"/>
          </rPr>
          <t xml:space="preserve">Vertex Eigenvector Centrality
</t>
        </r>
        <r>
          <rPr>
            <sz val="8"/>
            <color indexed="81"/>
            <rFont val="Tahoma"/>
            <family val="2"/>
          </rPr>
          <t xml:space="preserve">You can tell NodeXL to calculate this and other graph metrics by going to NodeXL, Analysis, Graph Metrics in the Ribbon.
</t>
        </r>
      </text>
    </comment>
    <comment ref="X2" authorId="2" shapeId="0" xr:uid="{00000000-0006-0000-0100-000018000000}">
      <text>
        <r>
          <rPr>
            <b/>
            <sz val="8"/>
            <color indexed="81"/>
            <rFont val="Tahoma"/>
            <family val="2"/>
          </rPr>
          <t xml:space="preserve">Vertex PageRank
</t>
        </r>
        <r>
          <rPr>
            <sz val="8"/>
            <color indexed="81"/>
            <rFont val="Tahoma"/>
            <family val="2"/>
          </rPr>
          <t>You can tell NodeXL to calculate this and other graph metrics by going to NodeXL, Analysis, Graph Metrics in the Ribbon.</t>
        </r>
      </text>
    </comment>
    <comment ref="Y2" authorId="0" shapeId="0" xr:uid="{00000000-0006-0000-0100-000019000000}">
      <text>
        <r>
          <rPr>
            <b/>
            <sz val="8"/>
            <color indexed="81"/>
            <rFont val="Tahoma"/>
            <family val="2"/>
          </rPr>
          <t xml:space="preserve">Vertex Clustering Coefficient
</t>
        </r>
        <r>
          <rPr>
            <sz val="8"/>
            <color indexed="81"/>
            <rFont val="Tahoma"/>
            <family val="2"/>
          </rPr>
          <t xml:space="preserve">You can tell NodeXL to calculate this and other graph metrics by going to NodeXL, Analysis, Graph Metrics in the Ribbon.
</t>
        </r>
      </text>
    </comment>
    <comment ref="Z2" authorId="2" shapeId="0" xr:uid="{00000000-0006-0000-0100-00001A000000}">
      <text>
        <r>
          <rPr>
            <b/>
            <sz val="8"/>
            <color indexed="81"/>
            <rFont val="Tahoma"/>
            <family val="2"/>
          </rPr>
          <t>Vertex Reciprocated Pair Ratio</t>
        </r>
        <r>
          <rPr>
            <sz val="8"/>
            <color indexed="81"/>
            <rFont val="Tahoma"/>
            <family val="2"/>
          </rPr>
          <t xml:space="preserve">
You can tell NodeXL to calculate this and other graph metrics by going to NodeXL, Analysis, Graph Metrics in the Ribbon.</t>
        </r>
      </text>
    </comment>
    <comment ref="AA2" authorId="0" shapeId="0" xr:uid="{00000000-0006-0000-0100-00001B000000}">
      <text>
        <r>
          <rPr>
            <b/>
            <sz val="8"/>
            <color indexed="81"/>
            <rFont val="Tahoma"/>
            <family val="2"/>
          </rPr>
          <t xml:space="preserve">Vertex ID
</t>
        </r>
        <r>
          <rPr>
            <sz val="8"/>
            <color indexed="81"/>
            <rFont val="Tahoma"/>
            <family val="2"/>
          </rPr>
          <t xml:space="preserve">
This is a unique ID that gets filled in automatically.  Do not edit this column.</t>
        </r>
      </text>
    </comment>
    <comment ref="AC2" authorId="0" shapeId="0" xr:uid="{00000000-0006-0000-0100-00001C000000}">
      <text>
        <r>
          <rPr>
            <b/>
            <sz val="8"/>
            <color indexed="81"/>
            <rFont val="Tahoma"/>
            <family val="2"/>
          </rPr>
          <t>How to Add Your Own Columns</t>
        </r>
        <r>
          <rPr>
            <sz val="8"/>
            <color indexed="81"/>
            <rFont val="Tahoma"/>
            <family val="2"/>
          </rPr>
          <t xml:space="preserve">
If you want NodeXL to use any columns you add, you must add them to this table.  The table is distinguished from the rest of the worksheet by the table column headers in row 2, so you can tell where the table ends and the rest of the worksheet begins.
You can add a column to the right end of the table by simply typing a column name into the first empty cell in row 2.  Excel will automatically extend the table to the right to include the new column.
You can also insert a column anywhere within the table, but that will interfere with NodeXL's ability to show and hide groups of related columns and is not recommended.</t>
        </r>
        <r>
          <rPr>
            <b/>
            <sz val="8"/>
            <color indexed="81"/>
            <rFont val="Tahoma"/>
            <family val="2"/>
          </rPr>
          <t xml:space="preserve">
</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2" authorId="0" shapeId="0" xr:uid="{00000000-0006-0000-03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
        </r>
        <r>
          <rPr>
            <u/>
            <sz val="8"/>
            <color indexed="81"/>
            <rFont val="Tahoma"/>
            <family val="2"/>
          </rPr>
          <t xml:space="preserve">
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2" authorId="0" shapeId="0" xr:uid="{00000000-0006-0000-0300-000002000000}">
      <text>
        <r>
          <rPr>
            <b/>
            <sz val="8"/>
            <color indexed="81"/>
            <rFont val="Tahoma"/>
            <family val="2"/>
          </rPr>
          <t xml:space="preserve">Group Vertex Color
</t>
        </r>
        <r>
          <rPr>
            <sz val="8"/>
            <color indexed="81"/>
            <rFont val="Tahoma"/>
            <family val="2"/>
          </rPr>
          <t xml:space="preserve">
(In most cases, you should not edit this worksheet.  Instead, use the items on the NodeXL, Analysis, Groups menu to create and work with groups.)
To select a color to use for all vertices in the group,  right-click and select Select Color on the right-click menu.
If you are familiar with CSS color names, such as Red, MediumBlue, and DarkOliveGreen, you can enter one of the names instead of using Select Color.  Spaces in CSS color names are optional, so Medium Blue is the same as MediumBlue.
You can also enter a color in the format "R, G, B" (don't include the quotes), where R, G, and B are between 0 and 255.  Sample: "240, 12, 135".</t>
        </r>
      </text>
    </comment>
    <comment ref="C2" authorId="0" shapeId="0" xr:uid="{00000000-0006-0000-0300-000003000000}">
      <text>
        <r>
          <rPr>
            <b/>
            <sz val="8"/>
            <color indexed="81"/>
            <rFont val="Tahoma"/>
            <family val="2"/>
          </rPr>
          <t>Group Vertex Shape</t>
        </r>
        <r>
          <rPr>
            <sz val="8"/>
            <color indexed="81"/>
            <rFont val="Tahoma"/>
            <family val="2"/>
          </rPr>
          <t xml:space="preserve">
(In most cases, you should not edit this worksheet.  Instead, use the items on the NodeXL, Analysis, Groups menu to create and work with groups.)
Select a shape to use for all vertices in the group.
</t>
        </r>
        <r>
          <rPr>
            <u/>
            <sz val="8"/>
            <color indexed="81"/>
            <rFont val="Tahoma"/>
            <family val="2"/>
          </rPr>
          <t>Pasting</t>
        </r>
        <r>
          <rPr>
            <sz val="8"/>
            <color indexed="81"/>
            <rFont val="Tahoma"/>
            <family val="2"/>
          </rPr>
          <t xml:space="preserve">
If you want to paste shapes into this column, do not use the standard Paste command (Ctrl-V).  The standard Paste command removes the shape drop-downs from the column.  Instead, use Home, Paste, Paste Values in the Excel Ribbon.</t>
        </r>
      </text>
    </comment>
    <comment ref="D2" authorId="1" shapeId="0" xr:uid="{00000000-0006-0000-0300-000004000000}">
      <text>
        <r>
          <rPr>
            <b/>
            <sz val="8"/>
            <color indexed="81"/>
            <rFont val="Tahoma"/>
            <family val="2"/>
          </rPr>
          <t>Group Visibility</t>
        </r>
        <r>
          <rPr>
            <sz val="8"/>
            <color indexed="81"/>
            <rFont val="Tahoma"/>
            <family val="2"/>
          </rPr>
          <t xml:space="preserve">
Select an optional group visibility.
</t>
        </r>
        <r>
          <rPr>
            <b/>
            <sz val="8"/>
            <color indexed="81"/>
            <rFont val="Tahoma"/>
            <family val="2"/>
          </rPr>
          <t>Show</t>
        </r>
        <r>
          <rPr>
            <sz val="8"/>
            <color indexed="81"/>
            <rFont val="Tahoma"/>
            <family val="2"/>
          </rPr>
          <t xml:space="preserve">
Show the group's vertices and edges when the graph is refreshed.  This is the default.
</t>
        </r>
        <r>
          <rPr>
            <b/>
            <sz val="8"/>
            <color indexed="81"/>
            <rFont val="Tahoma"/>
            <family val="2"/>
          </rPr>
          <t>Skip</t>
        </r>
        <r>
          <rPr>
            <sz val="8"/>
            <color indexed="81"/>
            <rFont val="Tahoma"/>
            <family val="2"/>
          </rPr>
          <t xml:space="preserve">
Skip the group's vertices and edges.
</t>
        </r>
        <r>
          <rPr>
            <b/>
            <sz val="8"/>
            <color indexed="81"/>
            <rFont val="Tahoma"/>
            <family val="2"/>
          </rPr>
          <t>Hide</t>
        </r>
        <r>
          <rPr>
            <sz val="8"/>
            <color indexed="81"/>
            <rFont val="Tahoma"/>
            <family val="2"/>
          </rPr>
          <t xml:space="preserve">
Use the group's vertices and edges when laying out the graph, but then hide the group's vertices and edges.
</t>
        </r>
        <r>
          <rPr>
            <u/>
            <sz val="8"/>
            <color indexed="81"/>
            <rFont val="Tahoma"/>
            <family val="2"/>
          </rPr>
          <t>Formulas</t>
        </r>
        <r>
          <rPr>
            <sz val="8"/>
            <color indexed="81"/>
            <rFont val="Tahoma"/>
            <family val="2"/>
          </rPr>
          <t xml:space="preserve">
If you are using Excel formulas to compute the visibilities, you may find it helpful to use the numerical options instead of text:
1 = Show
0 = Skip
2 = Hide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
</t>
        </r>
      </text>
    </comment>
    <comment ref="E2" authorId="1" shapeId="0" xr:uid="{00000000-0006-0000-0300-000005000000}">
      <text>
        <r>
          <rPr>
            <b/>
            <sz val="8"/>
            <color indexed="81"/>
            <rFont val="Tahoma"/>
            <family val="2"/>
          </rPr>
          <t xml:space="preserve">Group Collapsed?
</t>
        </r>
        <r>
          <rPr>
            <sz val="8"/>
            <color indexed="81"/>
            <rFont val="Tahoma"/>
            <family val="2"/>
          </rPr>
          <t>(In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 xml:space="preserve">Set to Yes to collapse the group.
</t>
        </r>
        <r>
          <rPr>
            <u/>
            <sz val="8"/>
            <color indexed="81"/>
            <rFont val="Tahoma"/>
            <family val="2"/>
          </rPr>
          <t>Formulas</t>
        </r>
        <r>
          <rPr>
            <sz val="8"/>
            <color indexed="81"/>
            <rFont val="Tahoma"/>
            <family val="2"/>
          </rPr>
          <t xml:space="preserve">
If you are using Excel formulas to compute the collapsed values, you may find it helpful to use the numerical options instead of text:
0 = No
1 = Yes
</t>
        </r>
        <r>
          <rPr>
            <u/>
            <sz val="8"/>
            <color indexed="81"/>
            <rFont val="Tahoma"/>
            <family val="2"/>
          </rPr>
          <t>Pasting</t>
        </r>
        <r>
          <rPr>
            <sz val="8"/>
            <color indexed="81"/>
            <rFont val="Tahoma"/>
            <family val="2"/>
          </rPr>
          <t xml:space="preserve">
If you want to paste values into this column, do not use the standard Paste command (Ctrl-V).  The standard Paste command removes the drop-down lists from the column.  Instead, use Home, Paste, Paste Values in the Excel Ribbon.</t>
        </r>
        <r>
          <rPr>
            <sz val="9"/>
            <color indexed="81"/>
            <rFont val="Tahoma"/>
            <family val="2"/>
          </rPr>
          <t xml:space="preserve">
</t>
        </r>
      </text>
    </comment>
    <comment ref="F2" authorId="1" shapeId="0" xr:uid="{00000000-0006-0000-0300-000006000000}">
      <text>
        <r>
          <rPr>
            <b/>
            <sz val="8"/>
            <color indexed="81"/>
            <rFont val="Tahoma"/>
            <family val="2"/>
          </rPr>
          <t>Group Label</t>
        </r>
        <r>
          <rPr>
            <sz val="8"/>
            <color indexed="81"/>
            <rFont val="Tahoma"/>
            <family val="2"/>
          </rPr>
          <t xml:space="preserve">
Enter an optional group label.
Group labels are used when you choose to lay out each of the graph's groups in its own box (NodeXL, Graph, Layout, Layout Options), and when you collapse a group (NodeXL, Analysis, Groups, Collapse Selected Groups).
</t>
        </r>
        <r>
          <rPr>
            <u/>
            <sz val="8"/>
            <color indexed="81"/>
            <rFont val="Tahoma"/>
            <family val="2"/>
          </rPr>
          <t>Formulas</t>
        </r>
        <r>
          <rPr>
            <sz val="8"/>
            <color indexed="81"/>
            <rFont val="Tahoma"/>
            <family val="2"/>
          </rPr>
          <t xml:space="preserve">
This column is formatted as Text, which causes formulas to be ignored.  If you want to use an Excel formula in this column, you must change the column format to General.</t>
        </r>
        <r>
          <rPr>
            <sz val="9"/>
            <color indexed="81"/>
            <rFont val="Tahoma"/>
            <charset val="1"/>
          </rPr>
          <t xml:space="preserve">
</t>
        </r>
      </text>
    </comment>
    <comment ref="G2" authorId="1" shapeId="0" xr:uid="{00000000-0006-0000-0300-000007000000}">
      <text>
        <r>
          <rPr>
            <b/>
            <sz val="8"/>
            <color indexed="81"/>
            <rFont val="Tahoma"/>
            <family val="2"/>
          </rPr>
          <t xml:space="preserve">Collapsed Location
</t>
        </r>
        <r>
          <rPr>
            <sz val="8"/>
            <color indexed="81"/>
            <rFont val="Tahoma"/>
            <family val="2"/>
          </rPr>
          <t xml:space="preserve">
(In most cases, you should not edit this worksheet.  Instead, use the items on the NodeXL, Analysis, Groups menu to create and work with groups.)</t>
        </r>
        <r>
          <rPr>
            <b/>
            <sz val="8"/>
            <color indexed="81"/>
            <rFont val="Tahoma"/>
            <family val="2"/>
          </rPr>
          <t xml:space="preserve">
</t>
        </r>
        <r>
          <rPr>
            <sz val="8"/>
            <color indexed="81"/>
            <rFont val="Tahoma"/>
            <family val="2"/>
          </rPr>
          <t>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H2" authorId="1" shapeId="0" xr:uid="{00000000-0006-0000-0300-000008000000}">
      <text>
        <r>
          <rPr>
            <b/>
            <sz val="8"/>
            <color indexed="81"/>
            <rFont val="Tahoma"/>
            <family val="2"/>
          </rPr>
          <t xml:space="preserve">Collapsed Location
</t>
        </r>
        <r>
          <rPr>
            <sz val="8"/>
            <color indexed="81"/>
            <rFont val="Tahoma"/>
            <family val="2"/>
          </rPr>
          <t>(In most cases, you should not edit this worksheet.  Instead, use the items on the NodeXL, Analysis, Groups menu to create and work with groups.)
Enter an optional location for the group when it is collapsed.
Collapsed X and Collapsed Y values should be between 0 and 9,999.  If you enter Collapsed X and Collapsed Y values, you should set NodeXL, Graph, Layout to "None" to prevent NodeXL from overwriting your values when you show the graph.</t>
        </r>
      </text>
    </comment>
    <comment ref="K2" authorId="1" shapeId="0" xr:uid="{00000000-0006-0000-0300-000009000000}">
      <text>
        <r>
          <rPr>
            <b/>
            <sz val="8"/>
            <color indexed="81"/>
            <rFont val="Tahoma"/>
            <family val="2"/>
          </rPr>
          <t xml:space="preserve">Group Vertices
</t>
        </r>
        <r>
          <rPr>
            <sz val="8"/>
            <color indexed="81"/>
            <rFont val="Tahoma"/>
            <family val="2"/>
          </rPr>
          <t xml:space="preserve">
You can tell NodeXL to calculate this and other graph metrics by going to NodeXL, Analysis, Graph Metrics in the Ribbon.</t>
        </r>
        <r>
          <rPr>
            <b/>
            <sz val="9"/>
            <color indexed="81"/>
            <rFont val="Tahoma"/>
            <charset val="1"/>
          </rPr>
          <t xml:space="preserve">
</t>
        </r>
        <r>
          <rPr>
            <sz val="9"/>
            <color indexed="81"/>
            <rFont val="Tahoma"/>
            <charset val="1"/>
          </rPr>
          <t xml:space="preserve">
</t>
        </r>
      </text>
    </comment>
    <comment ref="L2" authorId="1" shapeId="0" xr:uid="{00000000-0006-0000-0300-00000A000000}">
      <text>
        <r>
          <rPr>
            <b/>
            <sz val="8"/>
            <color indexed="81"/>
            <rFont val="Tahoma"/>
            <family val="2"/>
          </rPr>
          <t>Group Unique Edges</t>
        </r>
        <r>
          <rPr>
            <sz val="8"/>
            <color indexed="81"/>
            <rFont val="Tahoma"/>
            <family val="2"/>
          </rPr>
          <t xml:space="preserve">
You can tell NodeXL to calculate this and other graph metrics by going to NodeXL, Analysis, Graph Metrics in the Ribbon.</t>
        </r>
      </text>
    </comment>
    <comment ref="M2" authorId="1" shapeId="0" xr:uid="{00000000-0006-0000-0300-00000B000000}">
      <text>
        <r>
          <rPr>
            <b/>
            <sz val="8"/>
            <color indexed="81"/>
            <rFont val="Tahoma"/>
            <family val="2"/>
          </rPr>
          <t>Group Edges With Duplicates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N2" authorId="1" shapeId="0" xr:uid="{00000000-0006-0000-0300-00000C000000}">
      <text>
        <r>
          <rPr>
            <b/>
            <sz val="8"/>
            <color indexed="81"/>
            <rFont val="Tahoma"/>
            <family val="2"/>
          </rPr>
          <t>Group Total Edges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O2" authorId="1" shapeId="0" xr:uid="{00000000-0006-0000-0300-00000D000000}">
      <text>
        <r>
          <rPr>
            <b/>
            <sz val="8"/>
            <color indexed="81"/>
            <rFont val="Tahoma"/>
            <family val="2"/>
          </rPr>
          <t>Group Self-Loops</t>
        </r>
        <r>
          <rPr>
            <sz val="8"/>
            <color indexed="81"/>
            <rFont val="Tahoma"/>
            <family val="2"/>
          </rPr>
          <t xml:space="preserve">
You can tell NodeXL to calculate this and other graph metrics by going to NodeXL, Analysis, Graph Metrics in the Ribbon.</t>
        </r>
        <r>
          <rPr>
            <sz val="9"/>
            <color indexed="81"/>
            <rFont val="Tahoma"/>
            <family val="2"/>
          </rPr>
          <t xml:space="preserve">
</t>
        </r>
      </text>
    </comment>
    <comment ref="P2" authorId="1" shapeId="0" xr:uid="{00000000-0006-0000-0300-00000E000000}">
      <text>
        <r>
          <rPr>
            <b/>
            <sz val="8"/>
            <color indexed="81"/>
            <rFont val="Tahoma"/>
            <family val="2"/>
          </rPr>
          <t xml:space="preserve">Group Reciprocated Vertex Pair Ratio
</t>
        </r>
        <r>
          <rPr>
            <sz val="8"/>
            <color indexed="81"/>
            <rFont val="Tahoma"/>
            <family val="2"/>
          </rPr>
          <t>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Q2" authorId="1" shapeId="0" xr:uid="{00000000-0006-0000-0300-00000F000000}">
      <text>
        <r>
          <rPr>
            <b/>
            <sz val="8"/>
            <color indexed="81"/>
            <rFont val="Tahoma"/>
            <family val="2"/>
          </rPr>
          <t xml:space="preserve">Group Reciprocated Edge Ratio
</t>
        </r>
        <r>
          <rPr>
            <sz val="8"/>
            <color indexed="81"/>
            <rFont val="Tahoma"/>
            <family val="2"/>
          </rPr>
          <t>You can tell NodeXL to calculate this and other graph metrics by going to NodeXL, Analysis, Graph Metrics in the Ribbon.</t>
        </r>
      </text>
    </comment>
    <comment ref="R2" authorId="1" shapeId="0" xr:uid="{00000000-0006-0000-0300-000010000000}">
      <text>
        <r>
          <rPr>
            <b/>
            <sz val="8"/>
            <color indexed="81"/>
            <rFont val="Tahoma"/>
            <family val="2"/>
          </rPr>
          <t>Group Connected Components</t>
        </r>
        <r>
          <rPr>
            <sz val="8"/>
            <color indexed="81"/>
            <rFont val="Tahoma"/>
            <family val="2"/>
          </rPr>
          <t xml:space="preserve">
You can tell NodeXL to calculate this and other graph metrics by going to NodeXL, Analysis, Graph Metrics in the Ribbon.</t>
        </r>
        <r>
          <rPr>
            <b/>
            <sz val="8"/>
            <color indexed="81"/>
            <rFont val="Tahoma"/>
            <family val="2"/>
          </rPr>
          <t xml:space="preserve">
</t>
        </r>
      </text>
    </comment>
    <comment ref="S2" authorId="1" shapeId="0" xr:uid="{00000000-0006-0000-0300-000011000000}">
      <text>
        <r>
          <rPr>
            <b/>
            <sz val="8"/>
            <color indexed="81"/>
            <rFont val="Tahoma"/>
            <family val="2"/>
          </rPr>
          <t>Group Single-Vertex Connected Components</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r>
          <rPr>
            <sz val="9"/>
            <color indexed="81"/>
            <rFont val="Tahoma"/>
            <family val="2"/>
          </rPr>
          <t xml:space="preserve">
</t>
        </r>
      </text>
    </comment>
    <comment ref="T2" authorId="1" shapeId="0" xr:uid="{00000000-0006-0000-0300-000012000000}">
      <text>
        <r>
          <rPr>
            <b/>
            <sz val="8"/>
            <color indexed="81"/>
            <rFont val="Tahoma"/>
            <family val="2"/>
          </rPr>
          <t>Group Maximum Vertices in a Connected Component</t>
        </r>
        <r>
          <rPr>
            <sz val="8"/>
            <color indexed="81"/>
            <rFont val="Tahoma"/>
            <family val="2"/>
          </rPr>
          <t xml:space="preserve">
You can tell NodeXL to calculate this and other graph metrics by going to NodeXL, Analysis, Graph Metrics in the Ribbon.
</t>
        </r>
        <r>
          <rPr>
            <sz val="9"/>
            <color indexed="81"/>
            <rFont val="Tahoma"/>
            <family val="2"/>
          </rPr>
          <t xml:space="preserve">
</t>
        </r>
      </text>
    </comment>
    <comment ref="U2" authorId="1" shapeId="0" xr:uid="{00000000-0006-0000-0300-000013000000}">
      <text>
        <r>
          <rPr>
            <b/>
            <sz val="8"/>
            <color indexed="81"/>
            <rFont val="Tahoma"/>
            <family val="2"/>
          </rPr>
          <t>Group Maximum Edges in a Connected Component</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 ref="V2" authorId="1" shapeId="0" xr:uid="{00000000-0006-0000-0300-000014000000}">
      <text>
        <r>
          <rPr>
            <b/>
            <sz val="8"/>
            <color indexed="81"/>
            <rFont val="Tahoma"/>
            <family val="2"/>
          </rPr>
          <t>Group Maximum Geodesic Distance (Diameter)</t>
        </r>
        <r>
          <rPr>
            <sz val="8"/>
            <color indexed="81"/>
            <rFont val="Tahoma"/>
            <family val="2"/>
          </rPr>
          <t xml:space="preserve">
You can tell NodeXL to calculate this and other graph metrics by going to NodeXL, Analysis, Graph Metrics in the Ribbon.</t>
        </r>
      </text>
    </comment>
    <comment ref="W2" authorId="1" shapeId="0" xr:uid="{00000000-0006-0000-0300-000015000000}">
      <text>
        <r>
          <rPr>
            <b/>
            <sz val="8"/>
            <color indexed="81"/>
            <rFont val="Tahoma"/>
            <family val="2"/>
          </rPr>
          <t>Group Average Geodesic Distance</t>
        </r>
        <r>
          <rPr>
            <sz val="8"/>
            <color indexed="81"/>
            <rFont val="Tahoma"/>
            <family val="2"/>
          </rPr>
          <t xml:space="preserve">
You can tell NodeXL to calculate this and other graph metrics by going to NodeXL, Analysis, Graph Metrics in the Ribbon.</t>
        </r>
      </text>
    </comment>
    <comment ref="X2" authorId="1" shapeId="0" xr:uid="{00000000-0006-0000-0300-000016000000}">
      <text>
        <r>
          <rPr>
            <b/>
            <sz val="8"/>
            <color indexed="81"/>
            <rFont val="Tahoma"/>
            <family val="2"/>
          </rPr>
          <t>Group Graph Density</t>
        </r>
        <r>
          <rPr>
            <sz val="8"/>
            <color indexed="81"/>
            <rFont val="Tahoma"/>
            <family val="2"/>
          </rPr>
          <t xml:space="preserve">
You can tell NodeXL to calculate this and other graph metrics by going to NodeXL, Analysis, Graph Metrics in the Ribbon.</t>
        </r>
        <r>
          <rPr>
            <b/>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TonyAdmin</author>
    <author>Tony</author>
  </authors>
  <commentList>
    <comment ref="A1" authorId="0" shapeId="0" xr:uid="{00000000-0006-0000-0400-000001000000}">
      <text>
        <r>
          <rPr>
            <b/>
            <sz val="8"/>
            <color indexed="81"/>
            <rFont val="Tahoma"/>
            <family val="2"/>
          </rPr>
          <t>Group Name</t>
        </r>
        <r>
          <rPr>
            <sz val="8"/>
            <color indexed="81"/>
            <rFont val="Tahoma"/>
            <family val="2"/>
          </rPr>
          <t xml:space="preserve">
(In most cases, you should not edit this worksheet.  Instead, use the items on the NodeXL, Analysis, Groups menu to create and work with groups.)
Enter the name of the group.  The group name must also be entered on the Groups worksheet.
</t>
        </r>
        <r>
          <rPr>
            <u/>
            <sz val="8"/>
            <color indexed="81"/>
            <rFont val="Tahoma"/>
            <family val="2"/>
          </rPr>
          <t>Worksheet Overview</t>
        </r>
        <r>
          <rPr>
            <sz val="8"/>
            <color indexed="81"/>
            <rFont val="Tahoma"/>
            <family val="2"/>
          </rPr>
          <t xml:space="preserve">
A group is a set of related vertices.  Groups are usually indicated by vertex color and shape when the graph is refreshed.  All the vertices in one group might be blue disks, for example.
You can control how groups are shown using NodeXL, Analysis, Groups, Group Options.</t>
        </r>
        <r>
          <rPr>
            <b/>
            <sz val="8"/>
            <color indexed="81"/>
            <rFont val="Tahoma"/>
            <family val="2"/>
          </rPr>
          <t xml:space="preserve">
</t>
        </r>
      </text>
    </comment>
    <comment ref="B1" authorId="0" shapeId="0" xr:uid="{00000000-0006-0000-0400-000002000000}">
      <text>
        <r>
          <rPr>
            <b/>
            <sz val="8"/>
            <color indexed="81"/>
            <rFont val="Tahoma"/>
            <family val="2"/>
          </rPr>
          <t>Vertex Name</t>
        </r>
        <r>
          <rPr>
            <sz val="8"/>
            <color indexed="81"/>
            <rFont val="Tahoma"/>
            <family val="2"/>
          </rPr>
          <t xml:space="preserve">
(In most cases, you should not edit this worksheet.  Instead, use the items on the NodeXL, Analysis, Groups menu to create and work with groups.)
Enter the name of a vertex to include in this group.</t>
        </r>
      </text>
    </comment>
    <comment ref="C1" authorId="1" shapeId="0" xr:uid="{00000000-0006-0000-0400-000003000000}">
      <text>
        <r>
          <rPr>
            <b/>
            <sz val="8"/>
            <color indexed="81"/>
            <rFont val="Tahoma"/>
            <family val="2"/>
          </rPr>
          <t xml:space="preserve">Vertex ID
</t>
        </r>
        <r>
          <rPr>
            <sz val="8"/>
            <color indexed="81"/>
            <rFont val="Tahoma"/>
            <family val="2"/>
          </rPr>
          <t xml:space="preserve">
This gets filled in by the items on the NodeXL, Analysis, Groups menu.</t>
        </r>
        <r>
          <rPr>
            <b/>
            <sz val="9"/>
            <color indexed="81"/>
            <rFont val="Tahoma"/>
            <charset val="1"/>
          </rPr>
          <t xml:space="preserve">
</t>
        </r>
        <r>
          <rPr>
            <sz val="9"/>
            <color indexed="81"/>
            <rFont val="Tahoma"/>
            <charset val="1"/>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TonyAdmin</author>
  </authors>
  <commentList>
    <comment ref="A1" authorId="0" shapeId="0" xr:uid="{00000000-0006-0000-0500-000001000000}">
      <text>
        <r>
          <rPr>
            <b/>
            <sz val="8"/>
            <color indexed="81"/>
            <rFont val="Tahoma"/>
            <family val="2"/>
          </rPr>
          <t>Overall Metrics</t>
        </r>
        <r>
          <rPr>
            <sz val="8"/>
            <color indexed="81"/>
            <rFont val="Tahoma"/>
            <family val="2"/>
          </rPr>
          <t xml:space="preserve">
</t>
        </r>
        <r>
          <rPr>
            <u/>
            <sz val="8"/>
            <color indexed="81"/>
            <rFont val="Tahoma"/>
            <family val="2"/>
          </rPr>
          <t>Worksheet Overview</t>
        </r>
        <r>
          <rPr>
            <sz val="8"/>
            <color indexed="81"/>
            <rFont val="Tahoma"/>
            <family val="2"/>
          </rPr>
          <t xml:space="preserve">
This worksheet displays overall graph metrics, which can be calculated using NodeXL, Analysis, Graph Metrics in the Ribbon.  It also displays overall readability metrics, which can be calculated using NodeXL, Graph, Layout, Calculate Readability Metrics.</t>
        </r>
      </text>
    </comment>
  </commentList>
</comments>
</file>

<file path=xl/sharedStrings.xml><?xml version="1.0" encoding="utf-8"?>
<sst xmlns="http://schemas.openxmlformats.org/spreadsheetml/2006/main" count="89900" uniqueCount="29489">
  <si>
    <t>Vertex 1</t>
  </si>
  <si>
    <t>Vertex 2</t>
  </si>
  <si>
    <t>Color</t>
  </si>
  <si>
    <t>Width</t>
  </si>
  <si>
    <t>Opacity</t>
  </si>
  <si>
    <t>Vertex</t>
  </si>
  <si>
    <t>Valid Edge Visibilities</t>
  </si>
  <si>
    <t>Valid Vertex Visibilities</t>
  </si>
  <si>
    <t>Shape</t>
  </si>
  <si>
    <t>Valid Vertex Shapes</t>
  </si>
  <si>
    <t>Tooltip</t>
  </si>
  <si>
    <t>Visibility</t>
  </si>
  <si>
    <t>ID</t>
  </si>
  <si>
    <t>Locked?</t>
  </si>
  <si>
    <t>Valid Booleans Default False</t>
  </si>
  <si>
    <t>X</t>
  </si>
  <si>
    <t>Y</t>
  </si>
  <si>
    <t>Value</t>
  </si>
  <si>
    <t>Per-Workbook Setting</t>
  </si>
  <si>
    <t>Template Version</t>
  </si>
  <si>
    <t>Vertex Shape</t>
  </si>
  <si>
    <t>Vertex Color</t>
  </si>
  <si>
    <t>Table Name</t>
  </si>
  <si>
    <t>Column Name</t>
  </si>
  <si>
    <t>Selected Minimum</t>
  </si>
  <si>
    <t>Selected Maximum</t>
  </si>
  <si>
    <t>Add Your Own Columns Here</t>
  </si>
  <si>
    <t>Layout Order</t>
  </si>
  <si>
    <t>Polar R</t>
  </si>
  <si>
    <t>Polar Angle</t>
  </si>
  <si>
    <t>Graph Directedness</t>
  </si>
  <si>
    <t>Degree</t>
  </si>
  <si>
    <t>In-Degree</t>
  </si>
  <si>
    <t>Out-Degree</t>
  </si>
  <si>
    <t>Betweenness Centrality</t>
  </si>
  <si>
    <t>Closeness Centrality</t>
  </si>
  <si>
    <t>Eigenvector Centrality</t>
  </si>
  <si>
    <t>Clustering Coefficient</t>
  </si>
  <si>
    <t>Dynamic Filter</t>
  </si>
  <si>
    <t>Visual Properties</t>
  </si>
  <si>
    <t>Do Not Edit</t>
  </si>
  <si>
    <t>Other Columns</t>
  </si>
  <si>
    <t>Graph Metrics</t>
  </si>
  <si>
    <t>Labels</t>
  </si>
  <si>
    <t>Layout</t>
  </si>
  <si>
    <t>Size</t>
  </si>
  <si>
    <t>Label</t>
  </si>
  <si>
    <t>Label Fill Color</t>
  </si>
  <si>
    <t>Image File</t>
  </si>
  <si>
    <t>This worksheet is no longer used but is retained to allow older versions of NodeXL to open workbooks created with NodeXL version 1.0.1.96 or later.</t>
  </si>
  <si>
    <t>Do not delete this worksheet.</t>
  </si>
  <si>
    <t>Show</t>
  </si>
  <si>
    <t>Skip</t>
  </si>
  <si>
    <t>Hide</t>
  </si>
  <si>
    <t>Show if in an Edge</t>
  </si>
  <si>
    <t>Circle</t>
  </si>
  <si>
    <t>Disk</t>
  </si>
  <si>
    <t>Sphere</t>
  </si>
  <si>
    <t>Square</t>
  </si>
  <si>
    <t>Solid Square</t>
  </si>
  <si>
    <t>Diamond</t>
  </si>
  <si>
    <t>Solid Diamond</t>
  </si>
  <si>
    <t>Triangle</t>
  </si>
  <si>
    <t>Solid Triangle</t>
  </si>
  <si>
    <t>Image</t>
  </si>
  <si>
    <t>No</t>
  </si>
  <si>
    <t>Yes</t>
  </si>
  <si>
    <t>Valid Vertex Label Positions</t>
  </si>
  <si>
    <t>Top Left</t>
  </si>
  <si>
    <t>Top Center</t>
  </si>
  <si>
    <t>Top Right</t>
  </si>
  <si>
    <t>Middle Left</t>
  </si>
  <si>
    <t>Middle Center</t>
  </si>
  <si>
    <t>Middle Right</t>
  </si>
  <si>
    <t>Bottom Left</t>
  </si>
  <si>
    <t>Bottom Center</t>
  </si>
  <si>
    <t>Bottom Right</t>
  </si>
  <si>
    <t>Label Position</t>
  </si>
  <si>
    <t>Auto Layout on Open</t>
  </si>
  <si>
    <t>Degree Bin</t>
  </si>
  <si>
    <t>Degree Frequency</t>
  </si>
  <si>
    <t>Minimum Degree</t>
  </si>
  <si>
    <t>Maximum Degree</t>
  </si>
  <si>
    <t>Average Degree</t>
  </si>
  <si>
    <t>Median Degree</t>
  </si>
  <si>
    <t>Not Available</t>
  </si>
  <si>
    <t>In-Degree Bin</t>
  </si>
  <si>
    <t>In-Degree Frequency</t>
  </si>
  <si>
    <t>Minimum In-Degree</t>
  </si>
  <si>
    <t>Maximum In-Degree</t>
  </si>
  <si>
    <t>Average In-Degree</t>
  </si>
  <si>
    <t>Median In-Degree</t>
  </si>
  <si>
    <t>Out-Degree Bin</t>
  </si>
  <si>
    <t>Out-Degree Frequency</t>
  </si>
  <si>
    <t>Minimum Out-Degree</t>
  </si>
  <si>
    <t>Maximum Out-Degree</t>
  </si>
  <si>
    <t>Average Out-Degree</t>
  </si>
  <si>
    <t>Median Out-Degree</t>
  </si>
  <si>
    <t>Betweenness Centrality Bin</t>
  </si>
  <si>
    <t>Betweenness Centrality Frequency</t>
  </si>
  <si>
    <t>Minimum Betweenness Centrality</t>
  </si>
  <si>
    <t>Maximum Betweenness Centrality</t>
  </si>
  <si>
    <t>Average Betweenness Centrality</t>
  </si>
  <si>
    <t>Median Betweenness Centrality</t>
  </si>
  <si>
    <t>Closeness Centrality Bin</t>
  </si>
  <si>
    <t>Closeness Centrality Frequency</t>
  </si>
  <si>
    <t>Minimum Closeness Centrality</t>
  </si>
  <si>
    <t>Maximum Closeness Centrality</t>
  </si>
  <si>
    <t>Average Closeness Centrality</t>
  </si>
  <si>
    <t>Median Closeness Centrality</t>
  </si>
  <si>
    <t>Eigenvector Centrality Bin</t>
  </si>
  <si>
    <t>Eigenvector Centrality Frequency</t>
  </si>
  <si>
    <t>Minimum Eigenvector Centrality</t>
  </si>
  <si>
    <t>Maximum Eigenvector Centrality</t>
  </si>
  <si>
    <t>Average Eigenvector Centrality</t>
  </si>
  <si>
    <t>Median Eigenvector Centrality</t>
  </si>
  <si>
    <t>Clustering Coefficient Bin</t>
  </si>
  <si>
    <t>Clustering Coefficient Frequency</t>
  </si>
  <si>
    <t>Minimum Clustering Coefficient</t>
  </si>
  <si>
    <t>Maximum Clustering Coefficient</t>
  </si>
  <si>
    <t>Average Clustering Coefficient</t>
  </si>
  <si>
    <t>Median Clustering Coefficient</t>
  </si>
  <si>
    <t>Dynamic Filter Bin</t>
  </si>
  <si>
    <t>Dynamic Filter Frequency</t>
  </si>
  <si>
    <t>Bin Divisor</t>
  </si>
  <si>
    <t>No Metric Message</t>
  </si>
  <si>
    <t>Dynamic Filter Source Column Range</t>
  </si>
  <si>
    <t>Histogram Property</t>
  </si>
  <si>
    <t>TableName[ColumnName]</t>
  </si>
  <si>
    <t xml:space="preserve">The empty chart above is used to create histogram images for dynamic filters.  It is associated with two columns in the HistogramBins table on the Overall Metrics worksheet, and on the HistogramProperties table on that worksheet.  The chart is on this worksheet instead of the more logical Overall Metrics worksheet because the chart must be visible for a histogram image to be created.  If the chart where in Overall Metrics in a visible range the user would see it, whereas the user never sees this Misc worksheet because the entire worksheet is hidden. </t>
  </si>
  <si>
    <t>Style</t>
  </si>
  <si>
    <t>Valid Edge Styles</t>
  </si>
  <si>
    <t>Solid</t>
  </si>
  <si>
    <t>Dash</t>
  </si>
  <si>
    <t>Dot</t>
  </si>
  <si>
    <t>Dash Dot</t>
  </si>
  <si>
    <t>Dash Dot Dot</t>
  </si>
  <si>
    <t>PageRank</t>
  </si>
  <si>
    <t>PageRank Bin</t>
  </si>
  <si>
    <t>PageRank Frequency</t>
  </si>
  <si>
    <t>Minimum PageRank</t>
  </si>
  <si>
    <t>Maximum PageRank</t>
  </si>
  <si>
    <t>Average PageRank</t>
  </si>
  <si>
    <t>Median PageRank</t>
  </si>
  <si>
    <t>Group</t>
  </si>
  <si>
    <t>Collapsed?</t>
  </si>
  <si>
    <t>Vertices</t>
  </si>
  <si>
    <t>Vertex ID</t>
  </si>
  <si>
    <t>Unique Edges</t>
  </si>
  <si>
    <t>Edges With Duplicates</t>
  </si>
  <si>
    <t>Total Edges</t>
  </si>
  <si>
    <t>Self-Loops</t>
  </si>
  <si>
    <t>Connected Components</t>
  </si>
  <si>
    <t>Single-Vertex Connected Components</t>
  </si>
  <si>
    <t>Maximum Vertices in a Connected Component</t>
  </si>
  <si>
    <t>Maximum Edges in a Connected Component</t>
  </si>
  <si>
    <t>Maximum Geodesic Distance (Diameter)</t>
  </si>
  <si>
    <t>Average Geodesic Distance</t>
  </si>
  <si>
    <t>Graph Density</t>
  </si>
  <si>
    <t>Nowhere</t>
  </si>
  <si>
    <t>Label Text Color</t>
  </si>
  <si>
    <t>Label Font Size</t>
  </si>
  <si>
    <t>Graph Metric</t>
  </si>
  <si>
    <t>Readability Metric</t>
  </si>
  <si>
    <t>Valid Group Shapes</t>
  </si>
  <si>
    <t>Reciprocated?</t>
  </si>
  <si>
    <t>Collapsed Properties</t>
  </si>
  <si>
    <t>Collapsed X</t>
  </si>
  <si>
    <t>Collapsed Y</t>
  </si>
  <si>
    <t>Valid Group Visibilities</t>
  </si>
  <si>
    <t>Reciprocated Vertex Pair Ratio</t>
  </si>
  <si>
    <t>Reciprocated Edge Ratio</t>
  </si>
  <si>
    <t>Workbook Settings 1</t>
  </si>
  <si>
    <t>Workbook Settings Cell Count</t>
  </si>
  <si>
    <t>Autofill Workbook Results</t>
  </si>
  <si>
    <t>▓0▓0▓0▓True▓Black▓Black▓▓▓0▓0▓0▓0▓0▓False▓▓0▓0▓0▓0▓0▓False▓▓0▓0▓0▓True▓Black▓Black▓▓▓0▓0▓0▓0▓0▓False▓▓0▓0▓0▓0▓0▓False▓▓0▓0▓0▓0▓0▓False▓▓0▓0▓0▓0▓0▓False</t>
  </si>
  <si>
    <t>Graph History</t>
  </si>
  <si>
    <t>Relationship</t>
  </si>
  <si>
    <t>Relationship Date (UTC)</t>
  </si>
  <si>
    <t>Tweet</t>
  </si>
  <si>
    <t>Retweet Count</t>
  </si>
  <si>
    <t>Favorite Count</t>
  </si>
  <si>
    <t>Reply Count</t>
  </si>
  <si>
    <t>Quote Count</t>
  </si>
  <si>
    <t>Impression Count</t>
  </si>
  <si>
    <t>Hashtags in Tweet</t>
  </si>
  <si>
    <t>URLs in Tweet</t>
  </si>
  <si>
    <t>Domains in Tweet</t>
  </si>
  <si>
    <t>Mentions in Tweet</t>
  </si>
  <si>
    <t>Media in Tweet</t>
  </si>
  <si>
    <t>Media Type</t>
  </si>
  <si>
    <t>Source</t>
  </si>
  <si>
    <t>Language</t>
  </si>
  <si>
    <t>Twitter Page for Tweet</t>
  </si>
  <si>
    <t>Tweet Date (UTC)</t>
  </si>
  <si>
    <t>Date</t>
  </si>
  <si>
    <t>Time</t>
  </si>
  <si>
    <t>Possibly Sensitive</t>
  </si>
  <si>
    <t>Place Bounding Box</t>
  </si>
  <si>
    <t>Place Country</t>
  </si>
  <si>
    <t>Place Country Code</t>
  </si>
  <si>
    <t>Place Full Name</t>
  </si>
  <si>
    <t>Place ID</t>
  </si>
  <si>
    <t>Place Name</t>
  </si>
  <si>
    <t>Place Type</t>
  </si>
  <si>
    <t>Media Key</t>
  </si>
  <si>
    <t>Media Duration (ms)</t>
  </si>
  <si>
    <t>Media Height</t>
  </si>
  <si>
    <t>Media Width</t>
  </si>
  <si>
    <t>Media View Count</t>
  </si>
  <si>
    <t>Tweet Image File</t>
  </si>
  <si>
    <t>Imported ID</t>
  </si>
  <si>
    <t>Conversation ID</t>
  </si>
  <si>
    <t>In Reply To User ID</t>
  </si>
  <si>
    <t>In Reply To Tweet ID</t>
  </si>
  <si>
    <t>Quoted Status ID</t>
  </si>
  <si>
    <t>Retweet ID</t>
  </si>
  <si>
    <t>Unified Twitter ID</t>
  </si>
  <si>
    <t>Author ID</t>
  </si>
  <si>
    <t>Poll ID</t>
  </si>
  <si>
    <t>Poll Options</t>
  </si>
  <si>
    <t>Poll Duration</t>
  </si>
  <si>
    <t>Poll End Date</t>
  </si>
  <si>
    <t>Poll Voting Status</t>
  </si>
  <si>
    <t>go00452906</t>
  </si>
  <si>
    <t>armandolamezcla</t>
  </si>
  <si>
    <t>polidistrital</t>
  </si>
  <si>
    <t>centralrtvd</t>
  </si>
  <si>
    <t>investthetagang</t>
  </si>
  <si>
    <t>marcelloalvesmg</t>
  </si>
  <si>
    <t>luizschwade</t>
  </si>
  <si>
    <t>laseguridadsoc1</t>
  </si>
  <si>
    <t>o_igna_</t>
  </si>
  <si>
    <t>_brasilpopular</t>
  </si>
  <si>
    <t>cowebcl</t>
  </si>
  <si>
    <t>ryr_vs</t>
  </si>
  <si>
    <t>gpattonchile</t>
  </si>
  <si>
    <t>aboissabrokers</t>
  </si>
  <si>
    <t>dionaldo_passos</t>
  </si>
  <si>
    <t>guarulhosonline</t>
  </si>
  <si>
    <t>bahkantikas</t>
  </si>
  <si>
    <t>beatrizcleuza1</t>
  </si>
  <si>
    <t>sandro852096</t>
  </si>
  <si>
    <t>brubinst</t>
  </si>
  <si>
    <t>fsmigueltorres</t>
  </si>
  <si>
    <t>oradardopoder</t>
  </si>
  <si>
    <t>rafamoraesmoura</t>
  </si>
  <si>
    <t>rogeralexbr</t>
  </si>
  <si>
    <t>fortunaypoder</t>
  </si>
  <si>
    <t>mcortess_2010</t>
  </si>
  <si>
    <t>infocobranza</t>
  </si>
  <si>
    <t>quepasasalta</t>
  </si>
  <si>
    <t>jcarlos_arroyo</t>
  </si>
  <si>
    <t>jsilvadestaques</t>
  </si>
  <si>
    <t>diariodovale</t>
  </si>
  <si>
    <t>invertixrd</t>
  </si>
  <si>
    <t>gabi_agustin_g</t>
  </si>
  <si>
    <t>comuna13caba</t>
  </si>
  <si>
    <t>elobjetivocba</t>
  </si>
  <si>
    <t>guilhermebraz06</t>
  </si>
  <si>
    <t>cclaadvogados</t>
  </si>
  <si>
    <t>canal26noticias</t>
  </si>
  <si>
    <t>bancocentralcub</t>
  </si>
  <si>
    <t>pagina_siete</t>
  </si>
  <si>
    <t>pagosyaurgente</t>
  </si>
  <si>
    <t>infored21</t>
  </si>
  <si>
    <t>tromben</t>
  </si>
  <si>
    <t>mp07094846</t>
  </si>
  <si>
    <t>e3noticiasrd</t>
  </si>
  <si>
    <t>ruralnetoficial</t>
  </si>
  <si>
    <t>wit_invest</t>
  </si>
  <si>
    <t>mendovozok</t>
  </si>
  <si>
    <t>ecos365</t>
  </si>
  <si>
    <t>1thoven</t>
  </si>
  <si>
    <t>webtcoficial</t>
  </si>
  <si>
    <t>eduardoegg2</t>
  </si>
  <si>
    <t>prmarcosbrasil1</t>
  </si>
  <si>
    <t>quebradob</t>
  </si>
  <si>
    <t>linsdoceara</t>
  </si>
  <si>
    <t>pcdobnacamara</t>
  </si>
  <si>
    <t>nbertynos</t>
  </si>
  <si>
    <t>spina_matheus</t>
  </si>
  <si>
    <t>brokersanalisis</t>
  </si>
  <si>
    <t>melo_jorge1760</t>
  </si>
  <si>
    <t>portalconvenios</t>
  </si>
  <si>
    <t>vagnocarvalho</t>
  </si>
  <si>
    <t>finance360br</t>
  </si>
  <si>
    <t>todocalefon1</t>
  </si>
  <si>
    <t>alessandrabrvna</t>
  </si>
  <si>
    <t>senoticias</t>
  </si>
  <si>
    <t>sheilacampello</t>
  </si>
  <si>
    <t>maurici69926018</t>
  </si>
  <si>
    <t>yinsss</t>
  </si>
  <si>
    <t>marcionas</t>
  </si>
  <si>
    <t>manhanibetto</t>
  </si>
  <si>
    <t>marco36934747</t>
  </si>
  <si>
    <t>0264noticias</t>
  </si>
  <si>
    <t>ronivonsx</t>
  </si>
  <si>
    <t>jesica_starck_</t>
  </si>
  <si>
    <t>gontwiter</t>
  </si>
  <si>
    <t>lausanhil</t>
  </si>
  <si>
    <t>johnjoh28053307</t>
  </si>
  <si>
    <t>pmw_noticias</t>
  </si>
  <si>
    <t>combonianosbr</t>
  </si>
  <si>
    <t>edusoarees</t>
  </si>
  <si>
    <t>_antonio_luiz_</t>
  </si>
  <si>
    <t>ajanelapodcast</t>
  </si>
  <si>
    <t>elgeneralabe</t>
  </si>
  <si>
    <t>invasorpress</t>
  </si>
  <si>
    <t>estud_econ</t>
  </si>
  <si>
    <t>cnarnoticiasarg</t>
  </si>
  <si>
    <t>pichondelacity</t>
  </si>
  <si>
    <t>catdogdogue</t>
  </si>
  <si>
    <t>baumfeetlover</t>
  </si>
  <si>
    <t>invest_kla</t>
  </si>
  <si>
    <t>periodicohoy</t>
  </si>
  <si>
    <t>showmetech</t>
  </si>
  <si>
    <t>cyborgpatriota</t>
  </si>
  <si>
    <t>olharinvest</t>
  </si>
  <si>
    <t>guicadeirante</t>
  </si>
  <si>
    <t>minutootakubr</t>
  </si>
  <si>
    <t>luma_sampa</t>
  </si>
  <si>
    <t>benicegenes</t>
  </si>
  <si>
    <t>mmendonca65</t>
  </si>
  <si>
    <t>sestarileticia</t>
  </si>
  <si>
    <t>panflixoficial</t>
  </si>
  <si>
    <t>sobrinhocassius</t>
  </si>
  <si>
    <t>andreainiguezm</t>
  </si>
  <si>
    <t>studio877</t>
  </si>
  <si>
    <t>ctovarleon</t>
  </si>
  <si>
    <t>diario_comercio</t>
  </si>
  <si>
    <t>quidcuestion</t>
  </si>
  <si>
    <t>empreendegoias</t>
  </si>
  <si>
    <t>jrgonzalezm</t>
  </si>
  <si>
    <t>mil21tuits</t>
  </si>
  <si>
    <t>dljr_22</t>
  </si>
  <si>
    <t>ativosgarantem</t>
  </si>
  <si>
    <t>bni_mozambique</t>
  </si>
  <si>
    <t>davidem281</t>
  </si>
  <si>
    <t>fjglanes</t>
  </si>
  <si>
    <t>puntoapuntocba</t>
  </si>
  <si>
    <t>minhaoperadora</t>
  </si>
  <si>
    <t>tengolibertad7</t>
  </si>
  <si>
    <t>marcoswelber</t>
  </si>
  <si>
    <t>guasabaraeditor</t>
  </si>
  <si>
    <t>zorroplateado23</t>
  </si>
  <si>
    <t>mster87322547</t>
  </si>
  <si>
    <t>maureengubbins</t>
  </si>
  <si>
    <t>wrseelent</t>
  </si>
  <si>
    <t>investidoranarq</t>
  </si>
  <si>
    <t>centralsniders</t>
  </si>
  <si>
    <t>diariodoestado</t>
  </si>
  <si>
    <t>dan3636senda</t>
  </si>
  <si>
    <t>kleinmarlon_</t>
  </si>
  <si>
    <t>volvieron_peor</t>
  </si>
  <si>
    <t>ny2ec</t>
  </si>
  <si>
    <t>speedybriefing</t>
  </si>
  <si>
    <t>edemilo</t>
  </si>
  <si>
    <t>e_gnop</t>
  </si>
  <si>
    <t>rio_bravo</t>
  </si>
  <si>
    <t>_rafaelsales</t>
  </si>
  <si>
    <t>tedeschidr</t>
  </si>
  <si>
    <t>flavisraraujo</t>
  </si>
  <si>
    <t>htnoticiasdo</t>
  </si>
  <si>
    <t>kefernandez133</t>
  </si>
  <si>
    <t>dpdelinterior</t>
  </si>
  <si>
    <t>auditablecl</t>
  </si>
  <si>
    <t>asintomatic4</t>
  </si>
  <si>
    <t>andrenmatte</t>
  </si>
  <si>
    <t>o_noticiado</t>
  </si>
  <si>
    <t>diarioredesa</t>
  </si>
  <si>
    <t>rebelde_nuevo</t>
  </si>
  <si>
    <t>notiespartano</t>
  </si>
  <si>
    <t>pharmabizweb</t>
  </si>
  <si>
    <t>oberni</t>
  </si>
  <si>
    <t>actualidad2_0</t>
  </si>
  <si>
    <t>contadorfred</t>
  </si>
  <si>
    <t>destaquesqi</t>
  </si>
  <si>
    <t>mellamonicolas</t>
  </si>
  <si>
    <t>red92cadadiamas</t>
  </si>
  <si>
    <t>esquinard</t>
  </si>
  <si>
    <t>0221comar</t>
  </si>
  <si>
    <t>financepros_sas</t>
  </si>
  <si>
    <t>ig</t>
  </si>
  <si>
    <t>beteamarall</t>
  </si>
  <si>
    <t>diariocapitalam</t>
  </si>
  <si>
    <t>mcvann20111</t>
  </si>
  <si>
    <t>twikarock</t>
  </si>
  <si>
    <t>leiacryptotimes</t>
  </si>
  <si>
    <t>dizobispo</t>
  </si>
  <si>
    <t>danilojulliao</t>
  </si>
  <si>
    <t>saltaiva</t>
  </si>
  <si>
    <t>ramirezarcadio</t>
  </si>
  <si>
    <t>lpmartinchus</t>
  </si>
  <si>
    <t>noticiaslaposta</t>
  </si>
  <si>
    <t>linsanchez583</t>
  </si>
  <si>
    <t>bedrock079tm</t>
  </si>
  <si>
    <t>robertorvasco</t>
  </si>
  <si>
    <t>radionovaera975</t>
  </si>
  <si>
    <t>carlosovlad</t>
  </si>
  <si>
    <t>horaciorlarreta</t>
  </si>
  <si>
    <t>gledes_marques</t>
  </si>
  <si>
    <t>joanaguima99936</t>
  </si>
  <si>
    <t>ciceroprofessor</t>
  </si>
  <si>
    <t>paulofrancarh</t>
  </si>
  <si>
    <t>rodadecuia</t>
  </si>
  <si>
    <t>cgvillarroelv</t>
  </si>
  <si>
    <t>adelaircosta</t>
  </si>
  <si>
    <t>cnnradioarg</t>
  </si>
  <si>
    <t>sumundotv</t>
  </si>
  <si>
    <t>gacetaoficial</t>
  </si>
  <si>
    <t>cinema_brasil</t>
  </si>
  <si>
    <t>worldsysregtech</t>
  </si>
  <si>
    <t>resumidoinfo</t>
  </si>
  <si>
    <t>0x0dendi</t>
  </si>
  <si>
    <t>elbonanews</t>
  </si>
  <si>
    <t>ameescudero</t>
  </si>
  <si>
    <t>camisaez4</t>
  </si>
  <si>
    <t>cronica</t>
  </si>
  <si>
    <t>eldaka22</t>
  </si>
  <si>
    <t>sin24horas</t>
  </si>
  <si>
    <t>ronaldo63238623</t>
  </si>
  <si>
    <t>celi_eugenia</t>
  </si>
  <si>
    <t>rculturalok</t>
  </si>
  <si>
    <t>matheuslins_</t>
  </si>
  <si>
    <t>fenaefederacao</t>
  </si>
  <si>
    <t>mariste91302118</t>
  </si>
  <si>
    <t>josiasgomesba</t>
  </si>
  <si>
    <t>pastrian_jose</t>
  </si>
  <si>
    <t>casandra61</t>
  </si>
  <si>
    <t>kevinmorillo2</t>
  </si>
  <si>
    <t>carlosrrene</t>
  </si>
  <si>
    <t>spectrolu</t>
  </si>
  <si>
    <t>anfiorillo</t>
  </si>
  <si>
    <t>midiainformal</t>
  </si>
  <si>
    <t>sdnewscatalao</t>
  </si>
  <si>
    <t>tiago_roberto_</t>
  </si>
  <si>
    <t>bravonius</t>
  </si>
  <si>
    <t>canalccordoba</t>
  </si>
  <si>
    <t>admedmar</t>
  </si>
  <si>
    <t>liliamcamargo2</t>
  </si>
  <si>
    <t>7diasrd</t>
  </si>
  <si>
    <t>thatasou_</t>
  </si>
  <si>
    <t>soydelejido</t>
  </si>
  <si>
    <t>valb38</t>
  </si>
  <si>
    <t>pinaademir</t>
  </si>
  <si>
    <t>portaldia_</t>
  </si>
  <si>
    <t>delatorrej</t>
  </si>
  <si>
    <t>blueandwhite</t>
  </si>
  <si>
    <t>sigaleonnardo</t>
  </si>
  <si>
    <t>ronnymultani</t>
  </si>
  <si>
    <t>villagramanu</t>
  </si>
  <si>
    <t>noticiaslivech</t>
  </si>
  <si>
    <t>teddyopen</t>
  </si>
  <si>
    <t>mouralocutor</t>
  </si>
  <si>
    <t>seu_dinheiro_br</t>
  </si>
  <si>
    <t>glaucijuca</t>
  </si>
  <si>
    <t>pol_arg</t>
  </si>
  <si>
    <t>troff10</t>
  </si>
  <si>
    <t>biradantas</t>
  </si>
  <si>
    <t>canal10cba</t>
  </si>
  <si>
    <t>coinstopics</t>
  </si>
  <si>
    <t>cmbortowski</t>
  </si>
  <si>
    <t>lado_mx</t>
  </si>
  <si>
    <t>edisilva64</t>
  </si>
  <si>
    <t>drdotrade</t>
  </si>
  <si>
    <t>jornalcontabil_</t>
  </si>
  <si>
    <t>newcapsec</t>
  </si>
  <si>
    <t>chavoramello</t>
  </si>
  <si>
    <t>pcanelonh</t>
  </si>
  <si>
    <t>cutsaopaulo</t>
  </si>
  <si>
    <t>inteligentbolsa</t>
  </si>
  <si>
    <t>4pagenda</t>
  </si>
  <si>
    <t>baiano_robo</t>
  </si>
  <si>
    <t>bingxportuguese</t>
  </si>
  <si>
    <t>fermanciniv</t>
  </si>
  <si>
    <t>datadiario</t>
  </si>
  <si>
    <t>mate124cru</t>
  </si>
  <si>
    <t>moneymarkets_br</t>
  </si>
  <si>
    <t>maribel_036</t>
  </si>
  <si>
    <t>jmjornalmetrop</t>
  </si>
  <si>
    <t>keumendess</t>
  </si>
  <si>
    <t>sergiovillanov4</t>
  </si>
  <si>
    <t>leydsonti</t>
  </si>
  <si>
    <t>trukamelo</t>
  </si>
  <si>
    <t>sonya250122</t>
  </si>
  <si>
    <t>eliasbuggmann</t>
  </si>
  <si>
    <t>arturo883056</t>
  </si>
  <si>
    <t>ezequieldf33</t>
  </si>
  <si>
    <t>hudson_dourado</t>
  </si>
  <si>
    <t>jwnews_abc</t>
  </si>
  <si>
    <t>independientsoy</t>
  </si>
  <si>
    <t>wellingtonsmabc</t>
  </si>
  <si>
    <t>osbereanos</t>
  </si>
  <si>
    <t>cgratereaux</t>
  </si>
  <si>
    <t>danielagabor</t>
  </si>
  <si>
    <t>raphael08402245</t>
  </si>
  <si>
    <t>jornale_</t>
  </si>
  <si>
    <t>radiojornalpe</t>
  </si>
  <si>
    <t>rkcdardis</t>
  </si>
  <si>
    <t>fenrir09750071</t>
  </si>
  <si>
    <t>maisnewsoficial</t>
  </si>
  <si>
    <t>viuuoficial</t>
  </si>
  <si>
    <t>peulloa</t>
  </si>
  <si>
    <t>elcirculotv_</t>
  </si>
  <si>
    <t>forumdefesa</t>
  </si>
  <si>
    <t>revtrinchera</t>
  </si>
  <si>
    <t>perfilcombrasil</t>
  </si>
  <si>
    <t>bairesparatodos</t>
  </si>
  <si>
    <t>blogdojuares</t>
  </si>
  <si>
    <t>dipbonaerenses</t>
  </si>
  <si>
    <t>gaylulista13</t>
  </si>
  <si>
    <t>osmelernesto</t>
  </si>
  <si>
    <t>facucaza</t>
  </si>
  <si>
    <t>quecontaee</t>
  </si>
  <si>
    <t>vbgaikon</t>
  </si>
  <si>
    <t>canaleconomico</t>
  </si>
  <si>
    <t>juanwpimentel</t>
  </si>
  <si>
    <t>mondinthalles</t>
  </si>
  <si>
    <t>eldia_do</t>
  </si>
  <si>
    <t>silasv2</t>
  </si>
  <si>
    <t>targonis</t>
  </si>
  <si>
    <t>robrape</t>
  </si>
  <si>
    <t>sonartrade</t>
  </si>
  <si>
    <t>shermanwarrior</t>
  </si>
  <si>
    <t>investidoreso</t>
  </si>
  <si>
    <t>ruygtr</t>
  </si>
  <si>
    <t>benbusi18</t>
  </si>
  <si>
    <t>alimikaok</t>
  </si>
  <si>
    <t>why_pi_mrfaces</t>
  </si>
  <si>
    <t>dinicamargo</t>
  </si>
  <si>
    <t>victaodobitcoin</t>
  </si>
  <si>
    <t>noticiasimpac</t>
  </si>
  <si>
    <t>fiususy</t>
  </si>
  <si>
    <t>manaustime</t>
  </si>
  <si>
    <t>elcontrastecl</t>
  </si>
  <si>
    <t>passanacentral</t>
  </si>
  <si>
    <t>noticiasdel6</t>
  </si>
  <si>
    <t>hadrianus_63</t>
  </si>
  <si>
    <t>agenciaestado</t>
  </si>
  <si>
    <t>kfourymarcelo</t>
  </si>
  <si>
    <t>niltotatto</t>
  </si>
  <si>
    <t>dunascapital</t>
  </si>
  <si>
    <t>torodebitcoin</t>
  </si>
  <si>
    <t>sevdabekirova</t>
  </si>
  <si>
    <t>cpqd</t>
  </si>
  <si>
    <t>195177</t>
  </si>
  <si>
    <t>globonews</t>
  </si>
  <si>
    <t>hojebahia</t>
  </si>
  <si>
    <t>noticiasdecruce</t>
  </si>
  <si>
    <t>tentritetrisqui</t>
  </si>
  <si>
    <t>rosangelaleme3</t>
  </si>
  <si>
    <t>einvestidor</t>
  </si>
  <si>
    <t>chile_21</t>
  </si>
  <si>
    <t>martinkalos</t>
  </si>
  <si>
    <t>ntsp_es</t>
  </si>
  <si>
    <t>danielg_s6</t>
  </si>
  <si>
    <t>rosario_con94</t>
  </si>
  <si>
    <t>higorsantos568</t>
  </si>
  <si>
    <t>esron</t>
  </si>
  <si>
    <t>tatianarevoredo</t>
  </si>
  <si>
    <t>cbnoficial</t>
  </si>
  <si>
    <t>redetv</t>
  </si>
  <si>
    <t>estoaresearch</t>
  </si>
  <si>
    <t>arrcanjjo</t>
  </si>
  <si>
    <t>rodrigo__correa</t>
  </si>
  <si>
    <t>reginaldoprofe</t>
  </si>
  <si>
    <t>juliaview</t>
  </si>
  <si>
    <t>aterionegro</t>
  </si>
  <si>
    <t>jc_pe</t>
  </si>
  <si>
    <t>ecommerce_br</t>
  </si>
  <si>
    <t>blogdobrito1</t>
  </si>
  <si>
    <t>radiojujuylibre</t>
  </si>
  <si>
    <t>alvero_oficial</t>
  </si>
  <si>
    <t>radiotrestres</t>
  </si>
  <si>
    <t>trading_alerts_</t>
  </si>
  <si>
    <t>jovempanentrete</t>
  </si>
  <si>
    <t>copuchento5</t>
  </si>
  <si>
    <t>starcapitalofc</t>
  </si>
  <si>
    <t>mariocasalongue</t>
  </si>
  <si>
    <t>enriquewacker</t>
  </si>
  <si>
    <t>ibahia</t>
  </si>
  <si>
    <t>fedecomcba</t>
  </si>
  <si>
    <t>hechosnews_</t>
  </si>
  <si>
    <t>cadecacuba</t>
  </si>
  <si>
    <t>barzelbrit</t>
  </si>
  <si>
    <t>gorilainvest</t>
  </si>
  <si>
    <t>derechanews</t>
  </si>
  <si>
    <t>contraponto_jor</t>
  </si>
  <si>
    <t>augustotuy</t>
  </si>
  <si>
    <t>brasilpelopoder</t>
  </si>
  <si>
    <t>alvarojcepeda</t>
  </si>
  <si>
    <t>kanygia</t>
  </si>
  <si>
    <t>fbs_chile</t>
  </si>
  <si>
    <t>j_henrique_</t>
  </si>
  <si>
    <t>ricamconsult</t>
  </si>
  <si>
    <t>elietea74435432</t>
  </si>
  <si>
    <t>topnewses</t>
  </si>
  <si>
    <t>agenciasertao_</t>
  </si>
  <si>
    <t>programapanico</t>
  </si>
  <si>
    <t>marioestay8</t>
  </si>
  <si>
    <t>atlantisbor33</t>
  </si>
  <si>
    <t>arturoclaro</t>
  </si>
  <si>
    <t>economistadebar</t>
  </si>
  <si>
    <t>tucu_egea</t>
  </si>
  <si>
    <t>iguazu_ahora</t>
  </si>
  <si>
    <t>monoaries</t>
  </si>
  <si>
    <t>thebabikianpost</t>
  </si>
  <si>
    <t>agergastn</t>
  </si>
  <si>
    <t>colon121078</t>
  </si>
  <si>
    <t>news_piaui</t>
  </si>
  <si>
    <t>cuba_enresumen</t>
  </si>
  <si>
    <t>mexicopost</t>
  </si>
  <si>
    <t>esglobal_org</t>
  </si>
  <si>
    <t>somosfancom</t>
  </si>
  <si>
    <t>p_rousseff</t>
  </si>
  <si>
    <t>drdanielvicente</t>
  </si>
  <si>
    <t>ameliacarson28</t>
  </si>
  <si>
    <t>theinfoveritas</t>
  </si>
  <si>
    <t>noriegagroup</t>
  </si>
  <si>
    <t>jorgeoscar9909</t>
  </si>
  <si>
    <t>jornalodia</t>
  </si>
  <si>
    <t>radiocamara</t>
  </si>
  <si>
    <t>agentedel1984</t>
  </si>
  <si>
    <t>podemossenado</t>
  </si>
  <si>
    <t>mantenelalinea</t>
  </si>
  <si>
    <t>banhcafe_hn</t>
  </si>
  <si>
    <t>biancam33772085</t>
  </si>
  <si>
    <t>radiolt10</t>
  </si>
  <si>
    <t>marcusajreth</t>
  </si>
  <si>
    <t>inforegionarg</t>
  </si>
  <si>
    <t>solemio63</t>
  </si>
  <si>
    <t>perei61657tiago</t>
  </si>
  <si>
    <t>con_sello</t>
  </si>
  <si>
    <t>periodistaslib</t>
  </si>
  <si>
    <t>pedrotads</t>
  </si>
  <si>
    <t>infopaisrd</t>
  </si>
  <si>
    <t>juandicentjr</t>
  </si>
  <si>
    <t>oicommie</t>
  </si>
  <si>
    <t>elpirata_007</t>
  </si>
  <si>
    <t>rperiodismo</t>
  </si>
  <si>
    <t>victorpmarques7</t>
  </si>
  <si>
    <t>blogpdnoticia</t>
  </si>
  <si>
    <t>andreluiztorr11</t>
  </si>
  <si>
    <t>diarioelcentro</t>
  </si>
  <si>
    <t>ronyfeeneykraus</t>
  </si>
  <si>
    <t>iamaureo</t>
  </si>
  <si>
    <t>humbertomayora8</t>
  </si>
  <si>
    <t>rafaelpahim</t>
  </si>
  <si>
    <t>wellitonresende</t>
  </si>
  <si>
    <t>manausolimpica</t>
  </si>
  <si>
    <t>difusorawebnews</t>
  </si>
  <si>
    <t>cachorromordido</t>
  </si>
  <si>
    <t>portalgp1</t>
  </si>
  <si>
    <t>gri86649406</t>
  </si>
  <si>
    <t>julianarosa_</t>
  </si>
  <si>
    <t>jornadacapital</t>
  </si>
  <si>
    <t>portalr7</t>
  </si>
  <si>
    <t>jairwalter</t>
  </si>
  <si>
    <t>vovetucuman</t>
  </si>
  <si>
    <t>luizcgferreira</t>
  </si>
  <si>
    <t>honor_541</t>
  </si>
  <si>
    <t>unsiontv</t>
  </si>
  <si>
    <t>adrianotxavier</t>
  </si>
  <si>
    <t>elmomercados</t>
  </si>
  <si>
    <t>olharjus</t>
  </si>
  <si>
    <t>masenergialmn</t>
  </si>
  <si>
    <t>edntvhn</t>
  </si>
  <si>
    <t>psicoanereuda</t>
  </si>
  <si>
    <t>hugoroldan69</t>
  </si>
  <si>
    <t>eupvfaria</t>
  </si>
  <si>
    <t>dezenov</t>
  </si>
  <si>
    <t>teresa_nacli</t>
  </si>
  <si>
    <t>portalspagora</t>
  </si>
  <si>
    <t>radiogazetaon</t>
  </si>
  <si>
    <t>5mentarium</t>
  </si>
  <si>
    <t>sigacontee</t>
  </si>
  <si>
    <t>ntelemicro5</t>
  </si>
  <si>
    <t>celiolobo60</t>
  </si>
  <si>
    <t>informeblu</t>
  </si>
  <si>
    <t>ticiaaman</t>
  </si>
  <si>
    <t>brutusdyoll</t>
  </si>
  <si>
    <t>cryptotips23</t>
  </si>
  <si>
    <t>economicageff</t>
  </si>
  <si>
    <t>jilmartatto</t>
  </si>
  <si>
    <t>florsete</t>
  </si>
  <si>
    <t>carlosteles__</t>
  </si>
  <si>
    <t>consensomercado</t>
  </si>
  <si>
    <t>brasilnft</t>
  </si>
  <si>
    <t>jcconcursos</t>
  </si>
  <si>
    <t>elcatmanok</t>
  </si>
  <si>
    <t>rjezini</t>
  </si>
  <si>
    <t>carlosasosa1</t>
  </si>
  <si>
    <t>drancelmoramos</t>
  </si>
  <si>
    <t>neahoycom</t>
  </si>
  <si>
    <t>barbruno8</t>
  </si>
  <si>
    <t>fredkarma</t>
  </si>
  <si>
    <t>poetwittar</t>
  </si>
  <si>
    <t>tamarillano</t>
  </si>
  <si>
    <t>saltaaldiaok</t>
  </si>
  <si>
    <t>netsysmx1</t>
  </si>
  <si>
    <t>arte_prima</t>
  </si>
  <si>
    <t>acostasamu</t>
  </si>
  <si>
    <t>diamondbrasil</t>
  </si>
  <si>
    <t>ecuatorianalec</t>
  </si>
  <si>
    <t>acarreras01</t>
  </si>
  <si>
    <t>empresaalgrec</t>
  </si>
  <si>
    <t>felipefleandro</t>
  </si>
  <si>
    <t>confidencial_ol</t>
  </si>
  <si>
    <t>abcagora_</t>
  </si>
  <si>
    <t>pastorjcnas</t>
  </si>
  <si>
    <t>ibarraibar1</t>
  </si>
  <si>
    <t>exnesslatam</t>
  </si>
  <si>
    <t>fgmediacl</t>
  </si>
  <si>
    <t>marcosmanguelli</t>
  </si>
  <si>
    <t>radar24rd</t>
  </si>
  <si>
    <t>alvaronass_arq</t>
  </si>
  <si>
    <t>ros_ro38</t>
  </si>
  <si>
    <t>fernandodelaco7</t>
  </si>
  <si>
    <t>facupa31</t>
  </si>
  <si>
    <t>deultimahorard</t>
  </si>
  <si>
    <t>cunadelanoticia</t>
  </si>
  <si>
    <t>estpublicos</t>
  </si>
  <si>
    <t>entrelinhasg</t>
  </si>
  <si>
    <t>la_republica</t>
  </si>
  <si>
    <t>brasil61_</t>
  </si>
  <si>
    <t>themoneypost_</t>
  </si>
  <si>
    <t>smartbrain_br</t>
  </si>
  <si>
    <t>michidenise</t>
  </si>
  <si>
    <t>arabiawa</t>
  </si>
  <si>
    <t>migueldaoud</t>
  </si>
  <si>
    <t>2016peka</t>
  </si>
  <si>
    <t>luizoc2001</t>
  </si>
  <si>
    <t>adninversionist</t>
  </si>
  <si>
    <t>alejandrorodro8</t>
  </si>
  <si>
    <t>sindbancarios</t>
  </si>
  <si>
    <t>alegriasc50</t>
  </si>
  <si>
    <t>baireslinea</t>
  </si>
  <si>
    <t>rintaroufx</t>
  </si>
  <si>
    <t>smgestor</t>
  </si>
  <si>
    <t>recuperabrasil_</t>
  </si>
  <si>
    <t>cordoba_ahora</t>
  </si>
  <si>
    <t>lacielo1035</t>
  </si>
  <si>
    <t>jorgekurrle</t>
  </si>
  <si>
    <t>dolarlido</t>
  </si>
  <si>
    <t>meiahora</t>
  </si>
  <si>
    <t>tagnoticias</t>
  </si>
  <si>
    <t>robersoncassol</t>
  </si>
  <si>
    <t>anamarialemete2</t>
  </si>
  <si>
    <t>voces101</t>
  </si>
  <si>
    <t>jurandirsocolo1</t>
  </si>
  <si>
    <t>gylk</t>
  </si>
  <si>
    <t>ecperiodistas</t>
  </si>
  <si>
    <t>mediabanco</t>
  </si>
  <si>
    <t>hablarxpolitica</t>
  </si>
  <si>
    <t>elcucodigital</t>
  </si>
  <si>
    <t>selecoesbrasil</t>
  </si>
  <si>
    <t>odeiran</t>
  </si>
  <si>
    <t>levysil04752419</t>
  </si>
  <si>
    <t>xiomaralaran</t>
  </si>
  <si>
    <t>tonygom79227681</t>
  </si>
  <si>
    <t>cba24ncomar</t>
  </si>
  <si>
    <t>conteolf2024</t>
  </si>
  <si>
    <t>vozdaturquia</t>
  </si>
  <si>
    <t>gedeon_33</t>
  </si>
  <si>
    <t>gitano99808444</t>
  </si>
  <si>
    <t>centraleq</t>
  </si>
  <si>
    <t>miriamacunar</t>
  </si>
  <si>
    <t>jornaldiadiams</t>
  </si>
  <si>
    <t>esazvision</t>
  </si>
  <si>
    <t>chicoreisjr</t>
  </si>
  <si>
    <t>conciroxana</t>
  </si>
  <si>
    <t>notearrobonada</t>
  </si>
  <si>
    <t>gerardoureta</t>
  </si>
  <si>
    <t>revistaforum</t>
  </si>
  <si>
    <t>comodetudo</t>
  </si>
  <si>
    <t>brunoalefbigode</t>
  </si>
  <si>
    <t>autorbrunorocha</t>
  </si>
  <si>
    <t>diariolibre</t>
  </si>
  <si>
    <t>elvis_boateng</t>
  </si>
  <si>
    <t>toniricardoes</t>
  </si>
  <si>
    <t>ana_deportes</t>
  </si>
  <si>
    <t>otempo</t>
  </si>
  <si>
    <t>viesdanoticia</t>
  </si>
  <si>
    <t>umempreendedor</t>
  </si>
  <si>
    <t>freireoni</t>
  </si>
  <si>
    <t>eldiariocba</t>
  </si>
  <si>
    <t>bol_teletrabajo</t>
  </si>
  <si>
    <t>miguelbraunn</t>
  </si>
  <si>
    <t>imercadoscl</t>
  </si>
  <si>
    <t>leiamoneytimes</t>
  </si>
  <si>
    <t>nuevadataok</t>
  </si>
  <si>
    <t>george_hc1977</t>
  </si>
  <si>
    <t>ricnoticias24h</t>
  </si>
  <si>
    <t>estratosferaok</t>
  </si>
  <si>
    <t>jano_barr</t>
  </si>
  <si>
    <t>nonocofre</t>
  </si>
  <si>
    <t>insaneisann__</t>
  </si>
  <si>
    <t>jucamorro6</t>
  </si>
  <si>
    <t>lnjgolsilver</t>
  </si>
  <si>
    <t>putin_genocida</t>
  </si>
  <si>
    <t>sindviarioscut</t>
  </si>
  <si>
    <t>antonio27072324</t>
  </si>
  <si>
    <t>sigagazetabr</t>
  </si>
  <si>
    <t>pablofreedom2</t>
  </si>
  <si>
    <t>lucearaujo</t>
  </si>
  <si>
    <t>sandromoraesvp</t>
  </si>
  <si>
    <t>lucia19517</t>
  </si>
  <si>
    <t>riosrosineide</t>
  </si>
  <si>
    <t>nexos_digital</t>
  </si>
  <si>
    <t>cmswbr</t>
  </si>
  <si>
    <t>planbit_ar</t>
  </si>
  <si>
    <t>kapmehxu</t>
  </si>
  <si>
    <t>fabriciovelosoc</t>
  </si>
  <si>
    <t>ba_gente</t>
  </si>
  <si>
    <t>icexcroacia</t>
  </si>
  <si>
    <t>cnastrojr</t>
  </si>
  <si>
    <t>daneraz</t>
  </si>
  <si>
    <t>villamarcovilla</t>
  </si>
  <si>
    <t>fetrafrjes</t>
  </si>
  <si>
    <t>fernandodsantos</t>
  </si>
  <si>
    <t>cepocambiario</t>
  </si>
  <si>
    <t>lcasna1</t>
  </si>
  <si>
    <t>tvsenado</t>
  </si>
  <si>
    <t>jc_rs</t>
  </si>
  <si>
    <t>bastadefarsas</t>
  </si>
  <si>
    <t>vanderlan_vc</t>
  </si>
  <si>
    <t>econometroprog1</t>
  </si>
  <si>
    <t>miguelortega9</t>
  </si>
  <si>
    <t>planargentino</t>
  </si>
  <si>
    <t>sill_dalla</t>
  </si>
  <si>
    <t>negociosudd</t>
  </si>
  <si>
    <t>leinsomniac</t>
  </si>
  <si>
    <t>jesusde69803209</t>
  </si>
  <si>
    <t>reservadevalor</t>
  </si>
  <si>
    <t>dr_morfeoo</t>
  </si>
  <si>
    <t>elfinancierocr</t>
  </si>
  <si>
    <t>mmorenonoticias</t>
  </si>
  <si>
    <t>vivaned1</t>
  </si>
  <si>
    <t>alessandroguede</t>
  </si>
  <si>
    <t>pguerreiro97</t>
  </si>
  <si>
    <t>zilafusaro7</t>
  </si>
  <si>
    <t>yasnahm</t>
  </si>
  <si>
    <t>drconsultingsrl</t>
  </si>
  <si>
    <t>1erjadiaz</t>
  </si>
  <si>
    <t>revistaforex</t>
  </si>
  <si>
    <t>galaxpay</t>
  </si>
  <si>
    <t>_srto21</t>
  </si>
  <si>
    <t>shirley51198078</t>
  </si>
  <si>
    <t>contraf_cut</t>
  </si>
  <si>
    <t>jadsonlimanovo</t>
  </si>
  <si>
    <t>diarioch</t>
  </si>
  <si>
    <t>el_gatu</t>
  </si>
  <si>
    <t>lunavalienterd</t>
  </si>
  <si>
    <t>asnotici</t>
  </si>
  <si>
    <t>ismaelguerreir6</t>
  </si>
  <si>
    <t>aguijonn</t>
  </si>
  <si>
    <t>nishimurapaulo</t>
  </si>
  <si>
    <t>mario_moray</t>
  </si>
  <si>
    <t>redetvt</t>
  </si>
  <si>
    <t>sergioronnie</t>
  </si>
  <si>
    <t>ildelte22</t>
  </si>
  <si>
    <t>maxsilence</t>
  </si>
  <si>
    <t>mauroflamini1</t>
  </si>
  <si>
    <t>diariosp</t>
  </si>
  <si>
    <t>chapulinmaldito</t>
  </si>
  <si>
    <t>biasaltarelli</t>
  </si>
  <si>
    <t>xandaodalapa</t>
  </si>
  <si>
    <t>dinheirama</t>
  </si>
  <si>
    <t>bengie00</t>
  </si>
  <si>
    <t>livefmcampos_</t>
  </si>
  <si>
    <t>centralpolitcs</t>
  </si>
  <si>
    <t>nbernalvial</t>
  </si>
  <si>
    <t>banqueirosmatam</t>
  </si>
  <si>
    <t>fariapaz</t>
  </si>
  <si>
    <t>inversionesimp2</t>
  </si>
  <si>
    <t>maubrasileiro</t>
  </si>
  <si>
    <t>bum__news</t>
  </si>
  <si>
    <t>astroporchett</t>
  </si>
  <si>
    <t>matiaspmanghi</t>
  </si>
  <si>
    <t>genialinveste</t>
  </si>
  <si>
    <t>lpoarg</t>
  </si>
  <si>
    <t>neuquenpostc</t>
  </si>
  <si>
    <t>mercolombres</t>
  </si>
  <si>
    <t>joselilloy</t>
  </si>
  <si>
    <t>chinaclave</t>
  </si>
  <si>
    <t>danifer94913747</t>
  </si>
  <si>
    <t>panequeasesores</t>
  </si>
  <si>
    <t>girlishgiggle</t>
  </si>
  <si>
    <t>maryuhernandez</t>
  </si>
  <si>
    <t>comentard1</t>
  </si>
  <si>
    <t>felixvini2</t>
  </si>
  <si>
    <t>negocios_tv</t>
  </si>
  <si>
    <t>xtblatam</t>
  </si>
  <si>
    <t>brunnatmarica</t>
  </si>
  <si>
    <t>falador10960616</t>
  </si>
  <si>
    <t>tribuna_hoje</t>
  </si>
  <si>
    <t>fusarozila</t>
  </si>
  <si>
    <t>8cero9do</t>
  </si>
  <si>
    <t>zenda_simoes</t>
  </si>
  <si>
    <t>sindpdce</t>
  </si>
  <si>
    <t>hiltonboss90841</t>
  </si>
  <si>
    <t>davijeanmonod</t>
  </si>
  <si>
    <t>duelopregao</t>
  </si>
  <si>
    <t>oconvergente_</t>
  </si>
  <si>
    <t>jhonata0ficial</t>
  </si>
  <si>
    <t>felixvaloes</t>
  </si>
  <si>
    <t>faccionlibre</t>
  </si>
  <si>
    <t>criptancia</t>
  </si>
  <si>
    <t>moamcyr</t>
  </si>
  <si>
    <t>crypto_economy</t>
  </si>
  <si>
    <t>luppi1882</t>
  </si>
  <si>
    <t>noticiasredetv</t>
  </si>
  <si>
    <t>finc0</t>
  </si>
  <si>
    <t>imminent_newsde</t>
  </si>
  <si>
    <t>parego</t>
  </si>
  <si>
    <t>dolcarajas</t>
  </si>
  <si>
    <t>julialucydf</t>
  </si>
  <si>
    <t>investnewsbr</t>
  </si>
  <si>
    <t>diariotag</t>
  </si>
  <si>
    <t>infonoticiasarg</t>
  </si>
  <si>
    <t>canalecos</t>
  </si>
  <si>
    <t>luciano_valero</t>
  </si>
  <si>
    <t>raphael11081369</t>
  </si>
  <si>
    <t>easylawmagazine</t>
  </si>
  <si>
    <t>eugequirolo</t>
  </si>
  <si>
    <t>lexunesp</t>
  </si>
  <si>
    <t>xencuestasxdia</t>
  </si>
  <si>
    <t>millaprado4</t>
  </si>
  <si>
    <t>elacentook</t>
  </si>
  <si>
    <t>wallstreeteasy</t>
  </si>
  <si>
    <t>almayadeen_es</t>
  </si>
  <si>
    <t>pregrado_fen</t>
  </si>
  <si>
    <t>guti_ezequiel</t>
  </si>
  <si>
    <t>mnde_iesp</t>
  </si>
  <si>
    <t>sanluis24ok</t>
  </si>
  <si>
    <t>drrn___</t>
  </si>
  <si>
    <t>alfinetadosday</t>
  </si>
  <si>
    <t>kimontare</t>
  </si>
  <si>
    <t>minari2797</t>
  </si>
  <si>
    <t>profghiraldelli</t>
  </si>
  <si>
    <t>mandarina_radio</t>
  </si>
  <si>
    <t>rbandeirantes</t>
  </si>
  <si>
    <t>viitkar</t>
  </si>
  <si>
    <t>psncompsn</t>
  </si>
  <si>
    <t>acentodiario</t>
  </si>
  <si>
    <t>simonefraga15</t>
  </si>
  <si>
    <t>marketscomlatam</t>
  </si>
  <si>
    <t>orakulumapp</t>
  </si>
  <si>
    <t>mcn_comglobal</t>
  </si>
  <si>
    <t>adn24digital</t>
  </si>
  <si>
    <t>cnwnoticias</t>
  </si>
  <si>
    <t>rede_marco</t>
  </si>
  <si>
    <t>jartoya</t>
  </si>
  <si>
    <t>izoldedrewsgav1</t>
  </si>
  <si>
    <t>cronistacom</t>
  </si>
  <si>
    <t>kbfinanzas</t>
  </si>
  <si>
    <t>karinaeskin1</t>
  </si>
  <si>
    <t>tiemposur_</t>
  </si>
  <si>
    <t>pablodelamac</t>
  </si>
  <si>
    <t>mtteixeira</t>
  </si>
  <si>
    <t>cabeza451</t>
  </si>
  <si>
    <t>ikan_drsm</t>
  </si>
  <si>
    <t>correa899</t>
  </si>
  <si>
    <t>herdersonfile</t>
  </si>
  <si>
    <t>paxinveritas</t>
  </si>
  <si>
    <t>fragadesenhos</t>
  </si>
  <si>
    <t>relatorio</t>
  </si>
  <si>
    <t>zmendescomex</t>
  </si>
  <si>
    <t>gotvhonduras</t>
  </si>
  <si>
    <t>viaconstituyent</t>
  </si>
  <si>
    <t>billeteranews</t>
  </si>
  <si>
    <t>angelmetropoli</t>
  </si>
  <si>
    <t>arquimedesopc</t>
  </si>
  <si>
    <t>fesperanzada</t>
  </si>
  <si>
    <t>alcantararaimy</t>
  </si>
  <si>
    <t>conciergebtc</t>
  </si>
  <si>
    <t>tribunapr</t>
  </si>
  <si>
    <t>ragodiaz</t>
  </si>
  <si>
    <t>ronaldo21071985</t>
  </si>
  <si>
    <t>chuz_cr</t>
  </si>
  <si>
    <t>morandivalores</t>
  </si>
  <si>
    <t>suzytao</t>
  </si>
  <si>
    <t>elentorres10</t>
  </si>
  <si>
    <t>revistarumbo</t>
  </si>
  <si>
    <t>france24_es</t>
  </si>
  <si>
    <t>wayrapay</t>
  </si>
  <si>
    <t>loh40gama40</t>
  </si>
  <si>
    <t>malutrin2018</t>
  </si>
  <si>
    <t>unioperiodistic</t>
  </si>
  <si>
    <t>juliocf89</t>
  </si>
  <si>
    <t>izzo_douglas</t>
  </si>
  <si>
    <t>rafaelfmaciel</t>
  </si>
  <si>
    <t>soyhodler</t>
  </si>
  <si>
    <t>semontcorretora</t>
  </si>
  <si>
    <t>marcovg76</t>
  </si>
  <si>
    <t>robertomrobledo</t>
  </si>
  <si>
    <t>soparaassistir</t>
  </si>
  <si>
    <t>natyaranguiz</t>
  </si>
  <si>
    <t>bitfinanzas</t>
  </si>
  <si>
    <t>desbravandojp</t>
  </si>
  <si>
    <t>teiadigital</t>
  </si>
  <si>
    <t>duroperotranki</t>
  </si>
  <si>
    <t>embracmissoes</t>
  </si>
  <si>
    <t>jannefreitas</t>
  </si>
  <si>
    <t>luligalarza</t>
  </si>
  <si>
    <t>opinaba</t>
  </si>
  <si>
    <t>periodisminter</t>
  </si>
  <si>
    <t>rrjunior11</t>
  </si>
  <si>
    <t>roberto_ruarte</t>
  </si>
  <si>
    <t>descubre_china</t>
  </si>
  <si>
    <t>puentedenews</t>
  </si>
  <si>
    <t>tropicalstrings</t>
  </si>
  <si>
    <t>glaucojarzinski</t>
  </si>
  <si>
    <t>visionsierras</t>
  </si>
  <si>
    <t>ailtonlima09</t>
  </si>
  <si>
    <t>zlsomosnos</t>
  </si>
  <si>
    <t>cdn37</t>
  </si>
  <si>
    <t>candeiasmix</t>
  </si>
  <si>
    <t>minoriacn</t>
  </si>
  <si>
    <t>fciuach</t>
  </si>
  <si>
    <t>quantzed</t>
  </si>
  <si>
    <t>easycoop</t>
  </si>
  <si>
    <t>hispanismoc</t>
  </si>
  <si>
    <t>aaronenoc3</t>
  </si>
  <si>
    <t>edmarbertolo</t>
  </si>
  <si>
    <t>cmquilpue</t>
  </si>
  <si>
    <t>asteriscostv</t>
  </si>
  <si>
    <t>aterraredonda1</t>
  </si>
  <si>
    <t>epch_oficial</t>
  </si>
  <si>
    <t>adilson900</t>
  </si>
  <si>
    <t>danielgriboff</t>
  </si>
  <si>
    <t>forbesbr</t>
  </si>
  <si>
    <t>conexionparques</t>
  </si>
  <si>
    <t>oinegue</t>
  </si>
  <si>
    <t>fondoalerta</t>
  </si>
  <si>
    <t>mariacl84248332</t>
  </si>
  <si>
    <t>dfmas</t>
  </si>
  <si>
    <t>iracihasler</t>
  </si>
  <si>
    <t>hablamosclarord</t>
  </si>
  <si>
    <t>elinmobiliariod</t>
  </si>
  <si>
    <t>tvjornalsbt</t>
  </si>
  <si>
    <t>alejandro_zet</t>
  </si>
  <si>
    <t>benjariquelme</t>
  </si>
  <si>
    <t>diarioreferenci</t>
  </si>
  <si>
    <t>zorolitt</t>
  </si>
  <si>
    <t>notaalpieok</t>
  </si>
  <si>
    <t>cgabia</t>
  </si>
  <si>
    <t>valentina38l</t>
  </si>
  <si>
    <t>rogermatos24</t>
  </si>
  <si>
    <t>cjsbarros</t>
  </si>
  <si>
    <t>canalformosa</t>
  </si>
  <si>
    <t>runrun_atuq</t>
  </si>
  <si>
    <t>cubaadn</t>
  </si>
  <si>
    <t>seucredito</t>
  </si>
  <si>
    <t>expresso</t>
  </si>
  <si>
    <t>vickfiorillo</t>
  </si>
  <si>
    <t>rumba_985fm</t>
  </si>
  <si>
    <t>ivannaatz</t>
  </si>
  <si>
    <t>diarionortecom</t>
  </si>
  <si>
    <t>inkoms_oficial</t>
  </si>
  <si>
    <t>mrodriguezrocha</t>
  </si>
  <si>
    <t>renatoigor</t>
  </si>
  <si>
    <t>pedrobluesfx258</t>
  </si>
  <si>
    <t>reuters</t>
  </si>
  <si>
    <t>elizeusantos</t>
  </si>
  <si>
    <t>eyrnews</t>
  </si>
  <si>
    <t>lla_sanvicente</t>
  </si>
  <si>
    <t>karinaescritora</t>
  </si>
  <si>
    <t>bloomberglineab</t>
  </si>
  <si>
    <t>rccmediard</t>
  </si>
  <si>
    <t>fabioalbianibar</t>
  </si>
  <si>
    <t>nascimentomma</t>
  </si>
  <si>
    <t>robertoleo1975</t>
  </si>
  <si>
    <t>carlosnovo30</t>
  </si>
  <si>
    <t>lugomes2020</t>
  </si>
  <si>
    <t>carboneltriana</t>
  </si>
  <si>
    <t>lexlatinbr</t>
  </si>
  <si>
    <t>carvalhoalves</t>
  </si>
  <si>
    <t>ricardoptal</t>
  </si>
  <si>
    <t>tinformasbo</t>
  </si>
  <si>
    <t>filesec</t>
  </si>
  <si>
    <t>economicnewsbr</t>
  </si>
  <si>
    <t>eyn_elmercurio</t>
  </si>
  <si>
    <t>bahiadigital</t>
  </si>
  <si>
    <t>mariamcardamo</t>
  </si>
  <si>
    <t>telenoticiasrd</t>
  </si>
  <si>
    <t>audueriz</t>
  </si>
  <si>
    <t>nascimentoferre</t>
  </si>
  <si>
    <t>_portalopoder</t>
  </si>
  <si>
    <t>ing_diez</t>
  </si>
  <si>
    <t>endireitadora22</t>
  </si>
  <si>
    <t>cryptofand</t>
  </si>
  <si>
    <t>cthamasaki</t>
  </si>
  <si>
    <t>fofao_marcelo</t>
  </si>
  <si>
    <t>pmensaje</t>
  </si>
  <si>
    <t>sandro_mabel_</t>
  </si>
  <si>
    <t>imminent_news</t>
  </si>
  <si>
    <t>bpopeconomia</t>
  </si>
  <si>
    <t>cbamarca</t>
  </si>
  <si>
    <t>komodojjoe</t>
  </si>
  <si>
    <t>israelwallysso1</t>
  </si>
  <si>
    <t>soares_edeson</t>
  </si>
  <si>
    <t>alencarbraga13</t>
  </si>
  <si>
    <t>cartacampinas</t>
  </si>
  <si>
    <t>noticentro13rd</t>
  </si>
  <si>
    <t>climazen_astro</t>
  </si>
  <si>
    <t>avellaneda_real</t>
  </si>
  <si>
    <t>diariodecuba</t>
  </si>
  <si>
    <t>bruno_gianetti</t>
  </si>
  <si>
    <t>dfinanciero</t>
  </si>
  <si>
    <t>schweinsteighan</t>
  </si>
  <si>
    <t>luizreis653</t>
  </si>
  <si>
    <t>lpoparaguay</t>
  </si>
  <si>
    <t>fjume96</t>
  </si>
  <si>
    <t>skandiacol</t>
  </si>
  <si>
    <t>portalagro2</t>
  </si>
  <si>
    <t>empresasjornal</t>
  </si>
  <si>
    <t>tony_de_derecha</t>
  </si>
  <si>
    <t>maxvillares</t>
  </si>
  <si>
    <t>reycardozo</t>
  </si>
  <si>
    <t>afk_1rl</t>
  </si>
  <si>
    <t>rdctvdigital</t>
  </si>
  <si>
    <t>jornalsomos</t>
  </si>
  <si>
    <t>ariesfmsalta</t>
  </si>
  <si>
    <t>mau_comandatore</t>
  </si>
  <si>
    <t>neivamrs</t>
  </si>
  <si>
    <t>leiaflj</t>
  </si>
  <si>
    <t>deputadohauly</t>
  </si>
  <si>
    <t>infomdpya</t>
  </si>
  <si>
    <t>senadofederal</t>
  </si>
  <si>
    <t>eduardobraga_am</t>
  </si>
  <si>
    <t>ravkliber</t>
  </si>
  <si>
    <t>thegoondoxjn</t>
  </si>
  <si>
    <t>nuboxchile</t>
  </si>
  <si>
    <t>ivonesilva</t>
  </si>
  <si>
    <t>adn_035</t>
  </si>
  <si>
    <t>helenaselmaaze2</t>
  </si>
  <si>
    <t>aplatanaonews</t>
  </si>
  <si>
    <t>rauberjef</t>
  </si>
  <si>
    <t>tvcultura</t>
  </si>
  <si>
    <t>carlosescaffir</t>
  </si>
  <si>
    <t>robiepaula</t>
  </si>
  <si>
    <t>politeiaarg</t>
  </si>
  <si>
    <t>679evolucion</t>
  </si>
  <si>
    <t>medinamateo6</t>
  </si>
  <si>
    <t>rhfuenzespin</t>
  </si>
  <si>
    <t>elmostrador</t>
  </si>
  <si>
    <t>modaisf</t>
  </si>
  <si>
    <t>cubadebatecu</t>
  </si>
  <si>
    <t>gleidys82565095</t>
  </si>
  <si>
    <t>joaovic95113474</t>
  </si>
  <si>
    <t>cronos_noticias</t>
  </si>
  <si>
    <t>flaviasoares</t>
  </si>
  <si>
    <t>agendasalta</t>
  </si>
  <si>
    <t>_____yo_____yo</t>
  </si>
  <si>
    <t>mascontainerca</t>
  </si>
  <si>
    <t>operamundi</t>
  </si>
  <si>
    <t>pablomartearena</t>
  </si>
  <si>
    <t>p_prefeitura</t>
  </si>
  <si>
    <t>josmar1987</t>
  </si>
  <si>
    <t>delosandesweb</t>
  </si>
  <si>
    <t>lopretelovers</t>
  </si>
  <si>
    <t>rikaryo</t>
  </si>
  <si>
    <t>radiobandnewsfm</t>
  </si>
  <si>
    <t>alberdianaok</t>
  </si>
  <si>
    <t>joedsoncosta13</t>
  </si>
  <si>
    <t>ronaldc63388126</t>
  </si>
  <si>
    <t>perfilcom</t>
  </si>
  <si>
    <t>elfronterizodg</t>
  </si>
  <si>
    <t>portalvgv</t>
  </si>
  <si>
    <t>elcariberd</t>
  </si>
  <si>
    <t>polancomartin6</t>
  </si>
  <si>
    <t>radio10</t>
  </si>
  <si>
    <t>guille_fe</t>
  </si>
  <si>
    <t>fermoraes</t>
  </si>
  <si>
    <t>todeboa34342569</t>
  </si>
  <si>
    <t>elpisodigital</t>
  </si>
  <si>
    <t>adosaariel</t>
  </si>
  <si>
    <t>sobcustodio</t>
  </si>
  <si>
    <t>taxialphaville</t>
  </si>
  <si>
    <t>infoflashbr</t>
  </si>
  <si>
    <t>ardmoficial_</t>
  </si>
  <si>
    <t>ramonfreirereal</t>
  </si>
  <si>
    <t>ferado2014</t>
  </si>
  <si>
    <t>guscard0s0</t>
  </si>
  <si>
    <t>nemocan</t>
  </si>
  <si>
    <t>flamingleo727</t>
  </si>
  <si>
    <t>pergaminovirtu1</t>
  </si>
  <si>
    <t>misionesptodos</t>
  </si>
  <si>
    <t>araujosantosad1</t>
  </si>
  <si>
    <t>duarte3_alcy</t>
  </si>
  <si>
    <t>amazonasatual</t>
  </si>
  <si>
    <t>politica2chile</t>
  </si>
  <si>
    <t>1710ariana</t>
  </si>
  <si>
    <t>naranjax</t>
  </si>
  <si>
    <t>jovempangoiania</t>
  </si>
  <si>
    <t>naviconarg</t>
  </si>
  <si>
    <t>jefferson26285</t>
  </si>
  <si>
    <t>radiofenix951</t>
  </si>
  <si>
    <t>lobscontabilid1</t>
  </si>
  <si>
    <t>economainstream</t>
  </si>
  <si>
    <t>mundopoderok</t>
  </si>
  <si>
    <t>claudioedantas</t>
  </si>
  <si>
    <t>eleduok1</t>
  </si>
  <si>
    <t>luanalcantara99</t>
  </si>
  <si>
    <t>jornaljogoserio</t>
  </si>
  <si>
    <t>ahorasanjuan</t>
  </si>
  <si>
    <t>radiodelplata</t>
  </si>
  <si>
    <t>chongui64</t>
  </si>
  <si>
    <t>treslineasar</t>
  </si>
  <si>
    <t>diegopenizzotto</t>
  </si>
  <si>
    <t>thepatologico</t>
  </si>
  <si>
    <t>kleberkarpov</t>
  </si>
  <si>
    <t>noaltpp11_</t>
  </si>
  <si>
    <t>horade_noticias</t>
  </si>
  <si>
    <t>sincortapisa_</t>
  </si>
  <si>
    <t>ferpeirano</t>
  </si>
  <si>
    <t>homeroterann</t>
  </si>
  <si>
    <t>dentrodelprecio</t>
  </si>
  <si>
    <t>blokdenoticias</t>
  </si>
  <si>
    <t>cvm7002</t>
  </si>
  <si>
    <t>nacliteresa</t>
  </si>
  <si>
    <t>govbr</t>
  </si>
  <si>
    <t>daniellima2022</t>
  </si>
  <si>
    <t>carobiedermann</t>
  </si>
  <si>
    <t>mauroalveszl</t>
  </si>
  <si>
    <t>gft_br</t>
  </si>
  <si>
    <t>ocafezinho</t>
  </si>
  <si>
    <t>flauzinoan70835</t>
  </si>
  <si>
    <t>reportbrasilia</t>
  </si>
  <si>
    <t>em_inversiones</t>
  </si>
  <si>
    <t>hernanplaza</t>
  </si>
  <si>
    <t>eibarra_s</t>
  </si>
  <si>
    <t>terezandrade</t>
  </si>
  <si>
    <t>claudiolof</t>
  </si>
  <si>
    <t>sf2invest</t>
  </si>
  <si>
    <t>traderbolsa</t>
  </si>
  <si>
    <t>jmbismark</t>
  </si>
  <si>
    <t>elsonsimbine</t>
  </si>
  <si>
    <t>diariomzasur</t>
  </si>
  <si>
    <t>mercopresses</t>
  </si>
  <si>
    <t>cofeconeconomia</t>
  </si>
  <si>
    <t>factopia_</t>
  </si>
  <si>
    <t>clau_pasqualini</t>
  </si>
  <si>
    <t>juristecadv</t>
  </si>
  <si>
    <t>enlafontana_cl</t>
  </si>
  <si>
    <t>sselaik</t>
  </si>
  <si>
    <t>rodrigomoraisof</t>
  </si>
  <si>
    <t>daniela95961088</t>
  </si>
  <si>
    <t>rubensotoni</t>
  </si>
  <si>
    <t>jtabw</t>
  </si>
  <si>
    <t>ludarep</t>
  </si>
  <si>
    <t>guidojr60</t>
  </si>
  <si>
    <t>thinkonomics</t>
  </si>
  <si>
    <t>panorama_rd</t>
  </si>
  <si>
    <t>plenonews</t>
  </si>
  <si>
    <t>aleconstrucao</t>
  </si>
  <si>
    <t>gorfo_verdades</t>
  </si>
  <si>
    <t>intradecapital1</t>
  </si>
  <si>
    <t>joses221965</t>
  </si>
  <si>
    <t>matheuscdesales</t>
  </si>
  <si>
    <t>minutoya</t>
  </si>
  <si>
    <t>haceoirtuvoz</t>
  </si>
  <si>
    <t>portalne10</t>
  </si>
  <si>
    <t>joaopaguiar</t>
  </si>
  <si>
    <t>estellekeri__21</t>
  </si>
  <si>
    <t>elsonandresdr</t>
  </si>
  <si>
    <t>laprensaturca</t>
  </si>
  <si>
    <t>bcnewsweek</t>
  </si>
  <si>
    <t>mediosye</t>
  </si>
  <si>
    <t>elentrerios</t>
  </si>
  <si>
    <t>mensajeronline</t>
  </si>
  <si>
    <t>soyturcoman</t>
  </si>
  <si>
    <t>sualehedaudo</t>
  </si>
  <si>
    <t>enfoque_salta</t>
  </si>
  <si>
    <t>portalaz_</t>
  </si>
  <si>
    <t>leandro3088</t>
  </si>
  <si>
    <t>flibertarias</t>
  </si>
  <si>
    <t>terezafelipego</t>
  </si>
  <si>
    <t>jornadaweb</t>
  </si>
  <si>
    <t>instdesenvolvi_</t>
  </si>
  <si>
    <t>joaofinanceira</t>
  </si>
  <si>
    <t>idcorrientes</t>
  </si>
  <si>
    <t>leiaagrotimes</t>
  </si>
  <si>
    <t>jalbertodacost1</t>
  </si>
  <si>
    <t>onjornal1</t>
  </si>
  <si>
    <t>sinthiya7905</t>
  </si>
  <si>
    <t>chubutparatodos</t>
  </si>
  <si>
    <t>uchoinfo</t>
  </si>
  <si>
    <t>hossaindel29106</t>
  </si>
  <si>
    <t>elperiodicosf</t>
  </si>
  <si>
    <t>analiseagora</t>
  </si>
  <si>
    <t>brunnobarcelos</t>
  </si>
  <si>
    <t>fdavilaoficial</t>
  </si>
  <si>
    <t>bahiapravoce</t>
  </si>
  <si>
    <t>lwabeserra</t>
  </si>
  <si>
    <t>beastymau</t>
  </si>
  <si>
    <t>cristinafacch9</t>
  </si>
  <si>
    <t>jusdigitalcaba</t>
  </si>
  <si>
    <t>mvalegamboa</t>
  </si>
  <si>
    <t>masterwnews</t>
  </si>
  <si>
    <t>julietalazzini</t>
  </si>
  <si>
    <t>vertigopolitico</t>
  </si>
  <si>
    <t>giuliajules88</t>
  </si>
  <si>
    <t>falkcapital</t>
  </si>
  <si>
    <t>trashandsure</t>
  </si>
  <si>
    <t>enriqueelgenio</t>
  </si>
  <si>
    <t>vocerooriental</t>
  </si>
  <si>
    <t>baenegocios</t>
  </si>
  <si>
    <t>ricmarvellouso</t>
  </si>
  <si>
    <t>thiagobudni</t>
  </si>
  <si>
    <t>resenastv</t>
  </si>
  <si>
    <t>naagencia</t>
  </si>
  <si>
    <t>elojodealberto</t>
  </si>
  <si>
    <t>dep_padrejoao</t>
  </si>
  <si>
    <t>dungonuvunga</t>
  </si>
  <si>
    <t>rd_teve</t>
  </si>
  <si>
    <t>pyme</t>
  </si>
  <si>
    <t>liafmradio</t>
  </si>
  <si>
    <t>squillantte</t>
  </si>
  <si>
    <t>noticiasdemogi</t>
  </si>
  <si>
    <t>jscapolo</t>
  </si>
  <si>
    <t>everald24581144</t>
  </si>
  <si>
    <t>marcianobrito13</t>
  </si>
  <si>
    <t>aleanalistaarg</t>
  </si>
  <si>
    <t>goyanessah43100</t>
  </si>
  <si>
    <t>rnncanal27</t>
  </si>
  <si>
    <t>compartiendoid5</t>
  </si>
  <si>
    <t>angtoledo</t>
  </si>
  <si>
    <t>news_digitales</t>
  </si>
  <si>
    <t>iasminrqc</t>
  </si>
  <si>
    <t>tiagomarques_</t>
  </si>
  <si>
    <t>elpampero</t>
  </si>
  <si>
    <t>u_ricardom</t>
  </si>
  <si>
    <t>javifarri</t>
  </si>
  <si>
    <t>ceciliavll</t>
  </si>
  <si>
    <t>bpmoney_</t>
  </si>
  <si>
    <t>marc0___aurelio</t>
  </si>
  <si>
    <t>itatiaiajf</t>
  </si>
  <si>
    <t>ipauloed</t>
  </si>
  <si>
    <t>flauzinoantunes</t>
  </si>
  <si>
    <t>assembleiasp</t>
  </si>
  <si>
    <t>rorinstongcs</t>
  </si>
  <si>
    <t>tadeumouzinhogo</t>
  </si>
  <si>
    <t>thiagoresiste</t>
  </si>
  <si>
    <t>latercera</t>
  </si>
  <si>
    <t>wagneralmeida</t>
  </si>
  <si>
    <t>conciertoradio</t>
  </si>
  <si>
    <t>fernandomarull</t>
  </si>
  <si>
    <t>riomaframix</t>
  </si>
  <si>
    <t>riskmathicsfi</t>
  </si>
  <si>
    <t>elsuceso_</t>
  </si>
  <si>
    <t>voces_criticas</t>
  </si>
  <si>
    <t>mucainde</t>
  </si>
  <si>
    <t>claykleber</t>
  </si>
  <si>
    <t>julio03475128</t>
  </si>
  <si>
    <t>brasilia_radar</t>
  </si>
  <si>
    <t>bmjconsultoria</t>
  </si>
  <si>
    <t>el_ibg</t>
  </si>
  <si>
    <t>israelsegundof</t>
  </si>
  <si>
    <t>redewb</t>
  </si>
  <si>
    <t>pmird</t>
  </si>
  <si>
    <t>maropesa</t>
  </si>
  <si>
    <t>gabrielmuniz93</t>
  </si>
  <si>
    <t>paulobecker1962</t>
  </si>
  <si>
    <t>prosegurbr_pt</t>
  </si>
  <si>
    <t>rodrigo4lbornoz</t>
  </si>
  <si>
    <t>senhor_gestao</t>
  </si>
  <si>
    <t>blogpontovista</t>
  </si>
  <si>
    <t>chipoteclan</t>
  </si>
  <si>
    <t>dregionalo1</t>
  </si>
  <si>
    <t>sergiou01329861</t>
  </si>
  <si>
    <t>berettasudaca</t>
  </si>
  <si>
    <t>osmarangelin</t>
  </si>
  <si>
    <t>elnacionalrd</t>
  </si>
  <si>
    <t>aba_rd</t>
  </si>
  <si>
    <t>coopeuch</t>
  </si>
  <si>
    <t>grupoeldeber</t>
  </si>
  <si>
    <t>lucimar35367277</t>
  </si>
  <si>
    <t>rferreirasbc</t>
  </si>
  <si>
    <t>bombardier32651</t>
  </si>
  <si>
    <t>naocalonao</t>
  </si>
  <si>
    <t>novenadigital</t>
  </si>
  <si>
    <t>bcentralchile</t>
  </si>
  <si>
    <t>marcoscunto</t>
  </si>
  <si>
    <t>rossanoimpacto</t>
  </si>
  <si>
    <t>elciddocerrado</t>
  </si>
  <si>
    <t>revistaenterat2</t>
  </si>
  <si>
    <t>_carloswaldir</t>
  </si>
  <si>
    <t>ricardovaxx</t>
  </si>
  <si>
    <t>dalviomachava</t>
  </si>
  <si>
    <t>rodaseca</t>
  </si>
  <si>
    <t>freityt</t>
  </si>
  <si>
    <t>circuloecongye</t>
  </si>
  <si>
    <t>diorivass</t>
  </si>
  <si>
    <t>caramurupaiva</t>
  </si>
  <si>
    <t>valoreconomico</t>
  </si>
  <si>
    <t>magiozal</t>
  </si>
  <si>
    <t>istoe_dinheiro</t>
  </si>
  <si>
    <t>sampaiojunior14</t>
  </si>
  <si>
    <t>rpgyoconpodemos</t>
  </si>
  <si>
    <t>larepublica68</t>
  </si>
  <si>
    <t>tudocelular</t>
  </si>
  <si>
    <t>observ_ind_es</t>
  </si>
  <si>
    <t>marlo_melo</t>
  </si>
  <si>
    <t>pensarpiaui</t>
  </si>
  <si>
    <t>economianic</t>
  </si>
  <si>
    <t>elpaisdiariook</t>
  </si>
  <si>
    <t>elpaisdiario</t>
  </si>
  <si>
    <t>somoslacruz</t>
  </si>
  <si>
    <t>justinianoneto</t>
  </si>
  <si>
    <t>abranet_brasil</t>
  </si>
  <si>
    <t>centralentuvida</t>
  </si>
  <si>
    <t>danybuccolo</t>
  </si>
  <si>
    <t>radio3trelew</t>
  </si>
  <si>
    <t>girafales15</t>
  </si>
  <si>
    <t>potato_182</t>
  </si>
  <si>
    <t>bandnewstv</t>
  </si>
  <si>
    <t>evertondantas</t>
  </si>
  <si>
    <t>bolsacr</t>
  </si>
  <si>
    <t>sergiodalsasso</t>
  </si>
  <si>
    <t>webeconoblog</t>
  </si>
  <si>
    <t>expressdiariord</t>
  </si>
  <si>
    <t>rosangelamorosp</t>
  </si>
  <si>
    <t>perumachete</t>
  </si>
  <si>
    <t>albarrn_alfonso</t>
  </si>
  <si>
    <t>beincrypto_es</t>
  </si>
  <si>
    <t>andremene2022</t>
  </si>
  <si>
    <t>eltonnogueira17</t>
  </si>
  <si>
    <t>leo_scampos</t>
  </si>
  <si>
    <t>petersyuri18936</t>
  </si>
  <si>
    <t>rintereconomia</t>
  </si>
  <si>
    <t>sarficos</t>
  </si>
  <si>
    <t>forbeschile</t>
  </si>
  <si>
    <t>moreiramenesesd</t>
  </si>
  <si>
    <t>diarioacionista</t>
  </si>
  <si>
    <t>jerthaplug</t>
  </si>
  <si>
    <t>cipio3</t>
  </si>
  <si>
    <t>leeosd_</t>
  </si>
  <si>
    <t>tucuman24ok</t>
  </si>
  <si>
    <t>zonales_web</t>
  </si>
  <si>
    <t>portal_miseria</t>
  </si>
  <si>
    <t>estadao</t>
  </si>
  <si>
    <t>xetidciego</t>
  </si>
  <si>
    <t>alvesjesse10</t>
  </si>
  <si>
    <t>weex_es</t>
  </si>
  <si>
    <t>exantecl</t>
  </si>
  <si>
    <t>newsfly_latam</t>
  </si>
  <si>
    <t>mathz_aragao</t>
  </si>
  <si>
    <t>dhyovaine</t>
  </si>
  <si>
    <t>campodirecto</t>
  </si>
  <si>
    <t>karllusbarone</t>
  </si>
  <si>
    <t>jornaltvvitoria</t>
  </si>
  <si>
    <t>portalsigamais</t>
  </si>
  <si>
    <t>airedesantafe</t>
  </si>
  <si>
    <t>lacaz_martins</t>
  </si>
  <si>
    <t>safewayconsult</t>
  </si>
  <si>
    <t>vortexbrito</t>
  </si>
  <si>
    <t>paleopatricio</t>
  </si>
  <si>
    <t>sinapticasblog</t>
  </si>
  <si>
    <t>sispagochile</t>
  </si>
  <si>
    <t>jornaldobrasil</t>
  </si>
  <si>
    <t>fundeuargentina</t>
  </si>
  <si>
    <t>antptoficial</t>
  </si>
  <si>
    <t>b2bfinances</t>
  </si>
  <si>
    <t>carlitoaraujo13</t>
  </si>
  <si>
    <t>noticiamaisnet</t>
  </si>
  <si>
    <t>gleisi</t>
  </si>
  <si>
    <t>nsjunior4</t>
  </si>
  <si>
    <t>investingbrasil</t>
  </si>
  <si>
    <t>contadorup</t>
  </si>
  <si>
    <t>seebumuarama</t>
  </si>
  <si>
    <t>soydelesteok</t>
  </si>
  <si>
    <t>postgradosua</t>
  </si>
  <si>
    <t>mecfin</t>
  </si>
  <si>
    <t>fmsazeytona</t>
  </si>
  <si>
    <t>datogeek</t>
  </si>
  <si>
    <t>mundocriptok</t>
  </si>
  <si>
    <t>mineromiguelp</t>
  </si>
  <si>
    <t>cristinakroll</t>
  </si>
  <si>
    <t>valdecirbarret4</t>
  </si>
  <si>
    <t>shnakatani</t>
  </si>
  <si>
    <t>jurgenoven3800</t>
  </si>
  <si>
    <t>fshockwave</t>
  </si>
  <si>
    <t>vitorio_21</t>
  </si>
  <si>
    <t>versionrosario</t>
  </si>
  <si>
    <t>estrategiacl</t>
  </si>
  <si>
    <t>noxnewsok</t>
  </si>
  <si>
    <t>arcides_</t>
  </si>
  <si>
    <t>elvoceroar</t>
  </si>
  <si>
    <t>buenocosta20</t>
  </si>
  <si>
    <t>ratasyratones</t>
  </si>
  <si>
    <t>primerapaginaok</t>
  </si>
  <si>
    <t>tipitoenojado</t>
  </si>
  <si>
    <t>jornaldaki</t>
  </si>
  <si>
    <t>rev_suroeste</t>
  </si>
  <si>
    <t>medios_rioja</t>
  </si>
  <si>
    <t>pedrorenatogc</t>
  </si>
  <si>
    <t>spagoraoficial</t>
  </si>
  <si>
    <t>rembrandt_sa</t>
  </si>
  <si>
    <t>calogeroaugusto</t>
  </si>
  <si>
    <t>mascontainer</t>
  </si>
  <si>
    <t>euqueroinvestir</t>
  </si>
  <si>
    <t>juli_strada</t>
  </si>
  <si>
    <t>minfazenda</t>
  </si>
  <si>
    <t>fluirinvestime1</t>
  </si>
  <si>
    <t>paginaunodo</t>
  </si>
  <si>
    <t>lucaspereira_ef</t>
  </si>
  <si>
    <t>nahem_360</t>
  </si>
  <si>
    <t>hispanatolia</t>
  </si>
  <si>
    <t>volverasertigre</t>
  </si>
  <si>
    <t>silviamarquez24</t>
  </si>
  <si>
    <t>queagito</t>
  </si>
  <si>
    <t>geraldhon51</t>
  </si>
  <si>
    <t>canalciudadba</t>
  </si>
  <si>
    <t>djalma97146072</t>
  </si>
  <si>
    <t>uniruniversidad</t>
  </si>
  <si>
    <t>seesp_eng</t>
  </si>
  <si>
    <t>ejquintana010</t>
  </si>
  <si>
    <t>bgaleazzi_o</t>
  </si>
  <si>
    <t>cronicasdeldia</t>
  </si>
  <si>
    <t>j_livres</t>
  </si>
  <si>
    <t>jrmarte135</t>
  </si>
  <si>
    <t>datapatagoniaok</t>
  </si>
  <si>
    <t>_joseamaral</t>
  </si>
  <si>
    <t>diariodegoias</t>
  </si>
  <si>
    <t>quaqua1313</t>
  </si>
  <si>
    <t>sindbaixada</t>
  </si>
  <si>
    <t>rehsbc</t>
  </si>
  <si>
    <t>duallogiclive</t>
  </si>
  <si>
    <t>leiarachor</t>
  </si>
  <si>
    <t>israelpinveste</t>
  </si>
  <si>
    <t>vagnermayerb3</t>
  </si>
  <si>
    <t>terradavi</t>
  </si>
  <si>
    <t>olhardigital</t>
  </si>
  <si>
    <t>somoscorta</t>
  </si>
  <si>
    <t>despertarnacio2</t>
  </si>
  <si>
    <t>claritoesta</t>
  </si>
  <si>
    <t>filonewsok</t>
  </si>
  <si>
    <t>rodmolcru</t>
  </si>
  <si>
    <t>admthiagofelix</t>
  </si>
  <si>
    <t>claudiojust</t>
  </si>
  <si>
    <t>marcoocramalan</t>
  </si>
  <si>
    <t>nuno_vccls</t>
  </si>
  <si>
    <t>lalbertoarias</t>
  </si>
  <si>
    <t>citacoesfaro</t>
  </si>
  <si>
    <t>eltribunojujuy</t>
  </si>
  <si>
    <t>elchorrillerosl</t>
  </si>
  <si>
    <t>gstrsc52</t>
  </si>
  <si>
    <t>jornalponto_ofi</t>
  </si>
  <si>
    <t>denzeel_milan</t>
  </si>
  <si>
    <t>pixtvhd</t>
  </si>
  <si>
    <t>fenam924</t>
  </si>
  <si>
    <t>willianrichardm</t>
  </si>
  <si>
    <t>sudh16979md</t>
  </si>
  <si>
    <t>vernanmesen</t>
  </si>
  <si>
    <t>bartoloboy3153</t>
  </si>
  <si>
    <t>charliereebcl</t>
  </si>
  <si>
    <t>zeca_dirceu</t>
  </si>
  <si>
    <t>moisesselerges</t>
  </si>
  <si>
    <t>albinarabello</t>
  </si>
  <si>
    <t>resumo_imprensa</t>
  </si>
  <si>
    <t>folhacondominio</t>
  </si>
  <si>
    <t>iconemidias</t>
  </si>
  <si>
    <t>diarinho</t>
  </si>
  <si>
    <t>rubiense2050</t>
  </si>
  <si>
    <t>danielernag</t>
  </si>
  <si>
    <t>nomepisesar</t>
  </si>
  <si>
    <t>newscontador</t>
  </si>
  <si>
    <t>marcosreisgonza</t>
  </si>
  <si>
    <t>gotrader_x</t>
  </si>
  <si>
    <t>aurismartins</t>
  </si>
  <si>
    <t>ditaduranews</t>
  </si>
  <si>
    <t>direita_sergipe</t>
  </si>
  <si>
    <t>4semanasok</t>
  </si>
  <si>
    <t>marizethyoshida</t>
  </si>
  <si>
    <t>panoramaentv</t>
  </si>
  <si>
    <t>agrolatamarg</t>
  </si>
  <si>
    <t>enicomputer</t>
  </si>
  <si>
    <t>agudiaz64</t>
  </si>
  <si>
    <t>perinmiguel</t>
  </si>
  <si>
    <t>aldunatefran</t>
  </si>
  <si>
    <t>financas</t>
  </si>
  <si>
    <t>jeffersonlucabr</t>
  </si>
  <si>
    <t>nazarefraga</t>
  </si>
  <si>
    <t>geragonza7</t>
  </si>
  <si>
    <t>fmbahiaengano</t>
  </si>
  <si>
    <t>veroana_lentini</t>
  </si>
  <si>
    <t>profclaudiobran</t>
  </si>
  <si>
    <t>_laurent_v</t>
  </si>
  <si>
    <t>aleguardia</t>
  </si>
  <si>
    <t>serranossa</t>
  </si>
  <si>
    <t>rj106news</t>
  </si>
  <si>
    <t>sonoticiaboaofc</t>
  </si>
  <si>
    <t>pretogalosempre</t>
  </si>
  <si>
    <t>bancocentralbr</t>
  </si>
  <si>
    <t>tyrsomeireles</t>
  </si>
  <si>
    <t>germargheritti</t>
  </si>
  <si>
    <t>tonidibujante</t>
  </si>
  <si>
    <t>politikcorrecta</t>
  </si>
  <si>
    <t>barbiewelling</t>
  </si>
  <si>
    <t>nmdp11</t>
  </si>
  <si>
    <t>politicachubut</t>
  </si>
  <si>
    <t>poder360</t>
  </si>
  <si>
    <t>ultimominutotw</t>
  </si>
  <si>
    <t>anithxaa</t>
  </si>
  <si>
    <t>radiocanalfsa</t>
  </si>
  <si>
    <t>miikaellc</t>
  </si>
  <si>
    <t>ezequielyuan</t>
  </si>
  <si>
    <t>enfoqueif</t>
  </si>
  <si>
    <t>somospatrimore</t>
  </si>
  <si>
    <t>radiodonweb</t>
  </si>
  <si>
    <t>inversorglobal</t>
  </si>
  <si>
    <t>rodrigorx95</t>
  </si>
  <si>
    <t>bancomoc</t>
  </si>
  <si>
    <t>gervasiotaylor</t>
  </si>
  <si>
    <t>lourencobra</t>
  </si>
  <si>
    <t>celiasi80673675</t>
  </si>
  <si>
    <t>adn21ok</t>
  </si>
  <si>
    <t>estrelaguiaest2</t>
  </si>
  <si>
    <t>chorizoreina</t>
  </si>
  <si>
    <t>alexanderpifano</t>
  </si>
  <si>
    <t>revistacodigos</t>
  </si>
  <si>
    <t>lulaoficial</t>
  </si>
  <si>
    <t>figueiredoleo57</t>
  </si>
  <si>
    <t>brasil247</t>
  </si>
  <si>
    <t>diariopuntal</t>
  </si>
  <si>
    <t>lodsl2022</t>
  </si>
  <si>
    <t>folhageral</t>
  </si>
  <si>
    <t>nunezreyniel</t>
  </si>
  <si>
    <t>bahiapoliticaok</t>
  </si>
  <si>
    <t>por_dominga</t>
  </si>
  <si>
    <t>dialogosdosul</t>
  </si>
  <si>
    <t>ptnacamara</t>
  </si>
  <si>
    <t>jorgeavilezg</t>
  </si>
  <si>
    <t>yerkokiyoki</t>
  </si>
  <si>
    <t>wandersonrena20</t>
  </si>
  <si>
    <t>porque_com_br</t>
  </si>
  <si>
    <t>mickey60_</t>
  </si>
  <si>
    <t>memesdelmijin</t>
  </si>
  <si>
    <t>furtadoworld</t>
  </si>
  <si>
    <t>elpaishn</t>
  </si>
  <si>
    <t>caio_c_antonio</t>
  </si>
  <si>
    <t>allan69silveira</t>
  </si>
  <si>
    <t>mdq2014</t>
  </si>
  <si>
    <t>noticieronueve</t>
  </si>
  <si>
    <t>giranoticias</t>
  </si>
  <si>
    <t>marilen21183970</t>
  </si>
  <si>
    <t>diariousach</t>
  </si>
  <si>
    <t>ciropnddobrasil</t>
  </si>
  <si>
    <t>michelfreireadm</t>
  </si>
  <si>
    <t>losnotablelared</t>
  </si>
  <si>
    <t>temucodiario</t>
  </si>
  <si>
    <t>elenaliberal</t>
  </si>
  <si>
    <t>jovempannews</t>
  </si>
  <si>
    <t>correiodeminas</t>
  </si>
  <si>
    <t>strip_delpoder</t>
  </si>
  <si>
    <t>jeangomes3815</t>
  </si>
  <si>
    <t>_cronicacuerva</t>
  </si>
  <si>
    <t>desenfoquecl</t>
  </si>
  <si>
    <t>csmvadvogados</t>
  </si>
  <si>
    <t>cnnbrasil</t>
  </si>
  <si>
    <t>comunicacaock</t>
  </si>
  <si>
    <t>formosaradio</t>
  </si>
  <si>
    <t>guazelliadv</t>
  </si>
  <si>
    <t>politica_tiempo</t>
  </si>
  <si>
    <t>bcp_py</t>
  </si>
  <si>
    <t>lmneuquen</t>
  </si>
  <si>
    <t>bancocentral_ar</t>
  </si>
  <si>
    <t>veralucfonseca</t>
  </si>
  <si>
    <t>grpobettencourt</t>
  </si>
  <si>
    <t>danielsuchar</t>
  </si>
  <si>
    <t>folhadebrasilia</t>
  </si>
  <si>
    <t>jornal_cultura</t>
  </si>
  <si>
    <t>chtrader</t>
  </si>
  <si>
    <t>nicoardu</t>
  </si>
  <si>
    <t>ptbrasil</t>
  </si>
  <si>
    <t>therealbuni</t>
  </si>
  <si>
    <t>perfilcordoba</t>
  </si>
  <si>
    <t>heroisdaciencia</t>
  </si>
  <si>
    <t>auditoriacidada</t>
  </si>
  <si>
    <t>isaborsan</t>
  </si>
  <si>
    <t>editor_platense</t>
  </si>
  <si>
    <t>activtrades_pt</t>
  </si>
  <si>
    <t>jonatasamorimsp</t>
  </si>
  <si>
    <t>bancarioscaxias</t>
  </si>
  <si>
    <t>radiokermes</t>
  </si>
  <si>
    <t>santakidnap_</t>
  </si>
  <si>
    <t>portaldeanews</t>
  </si>
  <si>
    <t>vasco_ecu</t>
  </si>
  <si>
    <t>letapineda</t>
  </si>
  <si>
    <t>chicosabetudo</t>
  </si>
  <si>
    <t>josevizner</t>
  </si>
  <si>
    <t>eliecerlondruiz</t>
  </si>
  <si>
    <t>aideluz93</t>
  </si>
  <si>
    <t>itatiaia</t>
  </si>
  <si>
    <t>digepresrd</t>
  </si>
  <si>
    <t>luisabinader</t>
  </si>
  <si>
    <t>esartelli</t>
  </si>
  <si>
    <t>joebiden</t>
  </si>
  <si>
    <t>rodysuarez</t>
  </si>
  <si>
    <t>balicia81558512</t>
  </si>
  <si>
    <t>queiporuiz</t>
  </si>
  <si>
    <t>rosacantillo8</t>
  </si>
  <si>
    <t>ladivinadiva</t>
  </si>
  <si>
    <t>lubrio</t>
  </si>
  <si>
    <t>chetuitvzla</t>
  </si>
  <si>
    <t>indiurbaneja</t>
  </si>
  <si>
    <t>vladi_villegas</t>
  </si>
  <si>
    <t>imvillarroel1</t>
  </si>
  <si>
    <t>minhvi_oficial</t>
  </si>
  <si>
    <t>soykarinacarpio</t>
  </si>
  <si>
    <t>tarekwiliamsaab</t>
  </si>
  <si>
    <t>nicolasmaduro</t>
  </si>
  <si>
    <t>sergiomassa</t>
  </si>
  <si>
    <t>bancocentralrd</t>
  </si>
  <si>
    <t>jbouttet</t>
  </si>
  <si>
    <t>jlibertariacaba</t>
  </si>
  <si>
    <t>zattimaristela</t>
  </si>
  <si>
    <t>ricardors_ofc</t>
  </si>
  <si>
    <t>uadeoficial</t>
  </si>
  <si>
    <t>decon_udelar</t>
  </si>
  <si>
    <t>el_bid</t>
  </si>
  <si>
    <t>sebastianpinera</t>
  </si>
  <si>
    <t>gabrielboric</t>
  </si>
  <si>
    <t>gallup</t>
  </si>
  <si>
    <t>gsandleris</t>
  </si>
  <si>
    <t>alferdez</t>
  </si>
  <si>
    <t>valemelipillan</t>
  </si>
  <si>
    <t>lanacion</t>
  </si>
  <si>
    <t>pablospyer</t>
  </si>
  <si>
    <t>raulefi</t>
  </si>
  <si>
    <t>mis__notas</t>
  </si>
  <si>
    <t>emelec65</t>
  </si>
  <si>
    <t>chena1960</t>
  </si>
  <si>
    <t>chichaypuro</t>
  </si>
  <si>
    <t>racuminvenenoso</t>
  </si>
  <si>
    <t>america81525537</t>
  </si>
  <si>
    <t>adolfopena9</t>
  </si>
  <si>
    <t>perezjuan1962</t>
  </si>
  <si>
    <t>aro_rojas</t>
  </si>
  <si>
    <t>afpschile</t>
  </si>
  <si>
    <t>gmoramirez</t>
  </si>
  <si>
    <t>robertobustosoc</t>
  </si>
  <si>
    <t>robertomerken</t>
  </si>
  <si>
    <t>diegosantilli</t>
  </si>
  <si>
    <t>cnneconomia</t>
  </si>
  <si>
    <t>ba</t>
  </si>
  <si>
    <t>nachogiron</t>
  </si>
  <si>
    <t>martinredrado</t>
  </si>
  <si>
    <t>martinyeza</t>
  </si>
  <si>
    <t>culturas_cl</t>
  </si>
  <si>
    <t>aliciaortegah</t>
  </si>
  <si>
    <t>viktorbautista</t>
  </si>
  <si>
    <t>_robertomotta</t>
  </si>
  <si>
    <t>informerjo</t>
  </si>
  <si>
    <t>javiborelli</t>
  </si>
  <si>
    <t>loretoso</t>
  </si>
  <si>
    <t>fazumiti</t>
  </si>
  <si>
    <t>itau</t>
  </si>
  <si>
    <t>metropoles</t>
  </si>
  <si>
    <t>santander_ar</t>
  </si>
  <si>
    <t>congressobr</t>
  </si>
  <si>
    <t>folha</t>
  </si>
  <si>
    <t>demosargok</t>
  </si>
  <si>
    <t>juntoscambioar</t>
  </si>
  <si>
    <t>llibertadavanza</t>
  </si>
  <si>
    <t>cut_brasil</t>
  </si>
  <si>
    <t>c5n</t>
  </si>
  <si>
    <t>kristynathaly05</t>
  </si>
  <si>
    <t>rdporloalto</t>
  </si>
  <si>
    <t>victordume1</t>
  </si>
  <si>
    <t>arajetairlines</t>
  </si>
  <si>
    <t>almontevega</t>
  </si>
  <si>
    <t>picpay</t>
  </si>
  <si>
    <t>josepeguero</t>
  </si>
  <si>
    <t>simonetebetbr</t>
  </si>
  <si>
    <t>haddad_fernando</t>
  </si>
  <si>
    <t>defensorrd</t>
  </si>
  <si>
    <t>chiqui_avalos</t>
  </si>
  <si>
    <t>herno7</t>
  </si>
  <si>
    <t>martinnmena</t>
  </si>
  <si>
    <t>mechilearning</t>
  </si>
  <si>
    <t>arielcoremberg</t>
  </si>
  <si>
    <t>pepegilvidal</t>
  </si>
  <si>
    <t>lpfundacion</t>
  </si>
  <si>
    <t>abramaldo</t>
  </si>
  <si>
    <t>osvaldohbassano</t>
  </si>
  <si>
    <t>santiagollull</t>
  </si>
  <si>
    <t>arielgmaciel</t>
  </si>
  <si>
    <t>dipace4</t>
  </si>
  <si>
    <t>rociokalenok</t>
  </si>
  <si>
    <t>marianogoro</t>
  </si>
  <si>
    <t>ingmiguelponce</t>
  </si>
  <si>
    <t>eixopolitico</t>
  </si>
  <si>
    <t>leonelfernandez</t>
  </si>
  <si>
    <t>nicopaut</t>
  </si>
  <si>
    <t>revistapiaui</t>
  </si>
  <si>
    <t>erickbang1</t>
  </si>
  <si>
    <t>betepacheco_</t>
  </si>
  <si>
    <t>cosmemarcelo</t>
  </si>
  <si>
    <t>estudioi</t>
  </si>
  <si>
    <t>danielhrs</t>
  </si>
  <si>
    <t>nilsonklava</t>
  </si>
  <si>
    <t>foroeconomicocl</t>
  </si>
  <si>
    <t>laurojardim</t>
  </si>
  <si>
    <t>jornaldacbn</t>
  </si>
  <si>
    <t>somosnomos</t>
  </si>
  <si>
    <t>thiagochargista</t>
  </si>
  <si>
    <t>jmilei</t>
  </si>
  <si>
    <t>febraban</t>
  </si>
  <si>
    <t>fiesp</t>
  </si>
  <si>
    <t>camaradeputados</t>
  </si>
  <si>
    <t>gobdecordoba</t>
  </si>
  <si>
    <t>jschiaretti</t>
  </si>
  <si>
    <t>prodominicana</t>
  </si>
  <si>
    <t>leosiqueirabr</t>
  </si>
  <si>
    <t>memoriasdechile</t>
  </si>
  <si>
    <t>daniel_nunez_a</t>
  </si>
  <si>
    <t>cooperativa</t>
  </si>
  <si>
    <t>andrealopezpast</t>
  </si>
  <si>
    <t>sen_oriovisto</t>
  </si>
  <si>
    <t>prossioficial</t>
  </si>
  <si>
    <t>marialauratv</t>
  </si>
  <si>
    <t>robergmoritan</t>
  </si>
  <si>
    <t>lanacionmas</t>
  </si>
  <si>
    <t>youtube</t>
  </si>
  <si>
    <t>banxico</t>
  </si>
  <si>
    <t>nike</t>
  </si>
  <si>
    <t>jairbolsonaro</t>
  </si>
  <si>
    <t>n3tt0</t>
  </si>
  <si>
    <t>reinesouza1</t>
  </si>
  <si>
    <t>omarxista</t>
  </si>
  <si>
    <t>pminchio</t>
  </si>
  <si>
    <t>acopelenossa</t>
  </si>
  <si>
    <t>naziscore</t>
  </si>
  <si>
    <t>arc_maiana</t>
  </si>
  <si>
    <t>rosalia02965899</t>
  </si>
  <si>
    <t>mello1400</t>
  </si>
  <si>
    <t>mariacleunice3</t>
  </si>
  <si>
    <t>laelsonalves8</t>
  </si>
  <si>
    <t>abraaofaisca</t>
  </si>
  <si>
    <t>a_lua_tah_linda</t>
  </si>
  <si>
    <t>wittigenstein</t>
  </si>
  <si>
    <t>waniacbot</t>
  </si>
  <si>
    <t>urbluciene</t>
  </si>
  <si>
    <t>pauloquinti1</t>
  </si>
  <si>
    <t>randolfeap</t>
  </si>
  <si>
    <t>contrapoderbr</t>
  </si>
  <si>
    <t>renta4</t>
  </si>
  <si>
    <t>morganstanley</t>
  </si>
  <si>
    <t>merkez_bankasi</t>
  </si>
  <si>
    <t>rbainfo</t>
  </si>
  <si>
    <t>cirogomes</t>
  </si>
  <si>
    <t>rc5oficial</t>
  </si>
  <si>
    <t>ecuarauz</t>
  </si>
  <si>
    <t>spreaker</t>
  </si>
  <si>
    <t>proconsumidorrd</t>
  </si>
  <si>
    <t>proconrj</t>
  </si>
  <si>
    <t>proconspoficial</t>
  </si>
  <si>
    <t>voude99</t>
  </si>
  <si>
    <t>olimarcos81</t>
  </si>
  <si>
    <t>camren5th</t>
  </si>
  <si>
    <t>99pay</t>
  </si>
  <si>
    <t>reclameaqui</t>
  </si>
  <si>
    <t>bradesco</t>
  </si>
  <si>
    <t>danielefrancom</t>
  </si>
  <si>
    <t>ladataec</t>
  </si>
  <si>
    <t>mercadopago</t>
  </si>
  <si>
    <t>marcos_galperin</t>
  </si>
  <si>
    <t>lagarde</t>
  </si>
  <si>
    <t>ecb</t>
  </si>
  <si>
    <t>vanliberdade</t>
  </si>
  <si>
    <t>jornaldacidadeo</t>
  </si>
  <si>
    <t>revistaoeste</t>
  </si>
  <si>
    <t>gazetadopovo</t>
  </si>
  <si>
    <t>rogeriosmarinho</t>
  </si>
  <si>
    <t>bolsonarosp</t>
  </si>
  <si>
    <t>carlosbolsonaro</t>
  </si>
  <si>
    <t>carlosjordy</t>
  </si>
  <si>
    <t>vlogdolisboa</t>
  </si>
  <si>
    <t>arthurvneto</t>
  </si>
  <si>
    <t>edmilsonpapodez</t>
  </si>
  <si>
    <t>a24</t>
  </si>
  <si>
    <t>iupana</t>
  </si>
  <si>
    <t>niltonesperana1</t>
  </si>
  <si>
    <t>rodrigopacheco</t>
  </si>
  <si>
    <t>laredmendoza</t>
  </si>
  <si>
    <t>floresisuani</t>
  </si>
  <si>
    <t>lirianoomar</t>
  </si>
  <si>
    <t>nbg__</t>
  </si>
  <si>
    <t>biobio</t>
  </si>
  <si>
    <t>mcfernandes</t>
  </si>
  <si>
    <t>infobae</t>
  </si>
  <si>
    <t>milei</t>
  </si>
  <si>
    <t>diegowainstein</t>
  </si>
  <si>
    <t>min_hacienda</t>
  </si>
  <si>
    <t>voceriagobierno</t>
  </si>
  <si>
    <t>camila_vallejo</t>
  </si>
  <si>
    <t>meconomia</t>
  </si>
  <si>
    <t>gobiernodechile</t>
  </si>
  <si>
    <t>radio_770</t>
  </si>
  <si>
    <t>avanoliok</t>
  </si>
  <si>
    <t>lidiafagale</t>
  </si>
  <si>
    <t>xtbes</t>
  </si>
  <si>
    <t>hilton</t>
  </si>
  <si>
    <t>cafecomferri</t>
  </si>
  <si>
    <t>o_antagonista</t>
  </si>
  <si>
    <t>estevamreboucas</t>
  </si>
  <si>
    <t>annatav23</t>
  </si>
  <si>
    <t>carloss48442375</t>
  </si>
  <si>
    <t>cplesquerdarj</t>
  </si>
  <si>
    <t>martaclari</t>
  </si>
  <si>
    <t>cissopazey</t>
  </si>
  <si>
    <t>janjadebochada</t>
  </si>
  <si>
    <t>rimanof_klein</t>
  </si>
  <si>
    <t>kjulimata</t>
  </si>
  <si>
    <t>galvao_jo</t>
  </si>
  <si>
    <t>ramiromarra</t>
  </si>
  <si>
    <t>brissapabon</t>
  </si>
  <si>
    <t>jornaloglobo</t>
  </si>
  <si>
    <t>reinaldoazevedo</t>
  </si>
  <si>
    <t>uncausoficial</t>
  </si>
  <si>
    <t>ceic_uch</t>
  </si>
  <si>
    <t>fenuchile</t>
  </si>
  <si>
    <t>uerj_iesp</t>
  </si>
  <si>
    <t>presidencia_cl</t>
  </si>
  <si>
    <t>davidlantigua01</t>
  </si>
  <si>
    <t>wendysantosb</t>
  </si>
  <si>
    <t>luisagonzalezec</t>
  </si>
  <si>
    <t>mashirafael</t>
  </si>
  <si>
    <t>nubank</t>
  </si>
  <si>
    <t>mercadopagobr</t>
  </si>
  <si>
    <t>axelkaiser</t>
  </si>
  <si>
    <t>choquei</t>
  </si>
  <si>
    <t>olivares_nauta</t>
  </si>
  <si>
    <t>cfkargentina</t>
  </si>
  <si>
    <t>alferdezprensa</t>
  </si>
  <si>
    <t>miriamleitao</t>
  </si>
  <si>
    <t>ameleks</t>
  </si>
  <si>
    <t>wrsprime4</t>
  </si>
  <si>
    <t>imefgto</t>
  </si>
  <si>
    <t>jonathanheath54</t>
  </si>
  <si>
    <t>beltranderamon</t>
  </si>
  <si>
    <t>bancoprovincia</t>
  </si>
  <si>
    <t>miguel_almanzar</t>
  </si>
  <si>
    <t>fminoticias</t>
  </si>
  <si>
    <t>julian_bernadaz</t>
  </si>
  <si>
    <t>rumbodelamanana</t>
  </si>
  <si>
    <t>elvincastillo</t>
  </si>
  <si>
    <t>bancorepublica</t>
  </si>
  <si>
    <t>sofisadireto</t>
  </si>
  <si>
    <t>cnj_oficial</t>
  </si>
  <si>
    <t>tizquierdosi</t>
  </si>
  <si>
    <t>loreps9</t>
  </si>
  <si>
    <t>hegonzalb</t>
  </si>
  <si>
    <t>ine_chile</t>
  </si>
  <si>
    <t>constan08334217</t>
  </si>
  <si>
    <t>retiro100x100</t>
  </si>
  <si>
    <t>paxiano</t>
  </si>
  <si>
    <t>juanangeldelro2</t>
  </si>
  <si>
    <t>agustinthepower</t>
  </si>
  <si>
    <t>giorgiojackson</t>
  </si>
  <si>
    <t>karimbianchi</t>
  </si>
  <si>
    <t>alinco_rene</t>
  </si>
  <si>
    <t>pamjiles</t>
  </si>
  <si>
    <t>carlos67360447</t>
  </si>
  <si>
    <t>zunilda091</t>
  </si>
  <si>
    <t>bancopopularcr</t>
  </si>
  <si>
    <t>mariomarcelc</t>
  </si>
  <si>
    <t>afpdechile</t>
  </si>
  <si>
    <t>monicabergamo</t>
  </si>
  <si>
    <t>eduardobarao</t>
  </si>
  <si>
    <t>presidenciard</t>
  </si>
  <si>
    <t>lorena_facuse</t>
  </si>
  <si>
    <t>municerrillos</t>
  </si>
  <si>
    <t>gmsgabriel</t>
  </si>
  <si>
    <t>interbr</t>
  </si>
  <si>
    <t>srradioec</t>
  </si>
  <si>
    <t>cpccsec</t>
  </si>
  <si>
    <t>lassoguillermo</t>
  </si>
  <si>
    <t>cuervotinelli</t>
  </si>
  <si>
    <t>kmanus88</t>
  </si>
  <si>
    <t>fedesturze</t>
  </si>
  <si>
    <t>guilhermeboulos</t>
  </si>
  <si>
    <t>zambelli2210</t>
  </si>
  <si>
    <t>bancosantander</t>
  </si>
  <si>
    <t>souapenasv</t>
  </si>
  <si>
    <t>cejcamarja</t>
  </si>
  <si>
    <t>andrsou01471403</t>
  </si>
  <si>
    <t>homerofigueroag</t>
  </si>
  <si>
    <t>comunicaciondo</t>
  </si>
  <si>
    <t>mineconomiard</t>
  </si>
  <si>
    <t>banco_adopem</t>
  </si>
  <si>
    <t>popularenlinea</t>
  </si>
  <si>
    <t>candrews_cl</t>
  </si>
  <si>
    <t>costajr2023</t>
  </si>
  <si>
    <t>bolsacordoba</t>
  </si>
  <si>
    <t>dianamondino</t>
  </si>
  <si>
    <t>gabrielbrbjor</t>
  </si>
  <si>
    <t>portalvermelho</t>
  </si>
  <si>
    <t>gpslifetime</t>
  </si>
  <si>
    <t>portalctb</t>
  </si>
  <si>
    <t>horadopovobr</t>
  </si>
  <si>
    <t>escuderol5</t>
  </si>
  <si>
    <t>jessswhitaker</t>
  </si>
  <si>
    <t>sergiosarmiento</t>
  </si>
  <si>
    <t>hectormendi</t>
  </si>
  <si>
    <t>rafaelnunezr</t>
  </si>
  <si>
    <t>bancodobrasil</t>
  </si>
  <si>
    <t>bcamaguey</t>
  </si>
  <si>
    <t>nicolaudo_</t>
  </si>
  <si>
    <t>rodrigueswol</t>
  </si>
  <si>
    <t>alfaix</t>
  </si>
  <si>
    <t>atalayar_</t>
  </si>
  <si>
    <t>vickyvillarruel</t>
  </si>
  <si>
    <t>elpelucamilei</t>
  </si>
  <si>
    <t>cspboficial</t>
  </si>
  <si>
    <t>oreiroluis</t>
  </si>
  <si>
    <t>socialistamor</t>
  </si>
  <si>
    <t>pulso_tw</t>
  </si>
  <si>
    <t>nathfinancas</t>
  </si>
  <si>
    <t>luizatrajano</t>
  </si>
  <si>
    <t>eduardodafonte</t>
  </si>
  <si>
    <t>cachi28</t>
  </si>
  <si>
    <t>ev</t>
  </si>
  <si>
    <t>mercedesmalave</t>
  </si>
  <si>
    <t>edufeiok</t>
  </si>
  <si>
    <t>patobullrich</t>
  </si>
  <si>
    <t>rafagais</t>
  </si>
  <si>
    <t>20petermel</t>
  </si>
  <si>
    <t>mex_libertario</t>
  </si>
  <si>
    <t>marihoselibre</t>
  </si>
  <si>
    <t>ceciliaboufflet</t>
  </si>
  <si>
    <t>bank_of_japan_e</t>
  </si>
  <si>
    <t>federalreserve</t>
  </si>
  <si>
    <t>ababankers</t>
  </si>
  <si>
    <t>bis_org</t>
  </si>
  <si>
    <t>c6bank</t>
  </si>
  <si>
    <t>albertoacostab</t>
  </si>
  <si>
    <t>estadaoeconomia</t>
  </si>
  <si>
    <t>bancooriginal</t>
  </si>
  <si>
    <t>estamosconboric</t>
  </si>
  <si>
    <t>meganoticiascl</t>
  </si>
  <si>
    <t>schopdog</t>
  </si>
  <si>
    <t>kattysorayatipn</t>
  </si>
  <si>
    <t>loboestef</t>
  </si>
  <si>
    <t>cesarejulian1</t>
  </si>
  <si>
    <t>simvrdo</t>
  </si>
  <si>
    <t>victorzpavon</t>
  </si>
  <si>
    <t>leonard40844023</t>
  </si>
  <si>
    <t>sigmanoticias</t>
  </si>
  <si>
    <t>juanenriqueuba</t>
  </si>
  <si>
    <t>geraldoalckmin</t>
  </si>
  <si>
    <t>_nuevarevista</t>
  </si>
  <si>
    <t>unicomplutense</t>
  </si>
  <si>
    <t>bancodeespana</t>
  </si>
  <si>
    <t>paulonbjr</t>
  </si>
  <si>
    <t>democraciaec</t>
  </si>
  <si>
    <t>matuk</t>
  </si>
  <si>
    <t>eltribuno</t>
  </si>
  <si>
    <t>macro_dc</t>
  </si>
  <si>
    <t>quierodecird</t>
  </si>
  <si>
    <t>larryyumibandam</t>
  </si>
  <si>
    <t>laderechadiario</t>
  </si>
  <si>
    <t>conocedominga</t>
  </si>
  <si>
    <t>ignaciobriones_</t>
  </si>
  <si>
    <t>gaeldiputada</t>
  </si>
  <si>
    <t>gonzalowinter</t>
  </si>
  <si>
    <t>epaganioficial</t>
  </si>
  <si>
    <t>gabriel86439969</t>
  </si>
  <si>
    <t>antirojos1973</t>
  </si>
  <si>
    <t>colomba_5</t>
  </si>
  <si>
    <t>comecomunistas</t>
  </si>
  <si>
    <t>darekmacpherson</t>
  </si>
  <si>
    <t>santipenap</t>
  </si>
  <si>
    <t>afpespanol</t>
  </si>
  <si>
    <t>Replies to</t>
  </si>
  <si>
    <t>MentionsInReplyTo</t>
  </si>
  <si>
    <t>MentionsInQuoteReply</t>
  </si>
  <si>
    <t>Mentions</t>
  </si>
  <si>
    <t>Quote</t>
  </si>
  <si>
    <t>Retweet</t>
  </si>
  <si>
    <t>MentionsInQuote</t>
  </si>
  <si>
    <t>MentionsInRetweet</t>
  </si>
  <si>
    <t>Gente o rotativo do cartão! Nem todo mundo é fútil e vagabundo! Nem todos compram merda e futilidade e parcelam! Muito precisam do cartão pra exames, remédios, dentista! #BancoCentral   deixem de ser egoístas e frouxos!💩💩💩💩</t>
  </si>
  <si>
    <t>#Bancocentral</t>
  </si>
  <si>
    <t>@negocios_tv @Josevizner #BancosCentrales
#BancoCentral</t>
  </si>
  <si>
    <t>@aideluz93 @EliecerLondRuiz ¿Porque que los #precios de todo esta caro en Europa, Latinoamérica #LATAM y el resto del mundo? 🤯
#inflacion 
#BancoCentral  
No hay coincidencia, o es un plan adrede o son ineptos, pero es la ciudadanía la que paga los platos rotos 😡 https://t.co/wQr2HXi7lJ</t>
  </si>
  <si>
    <t>INEPTOS: Bancos Centrales (Jerome Powell: Reserva Federal USA) (Christine Lagarde: Banco Central Europeo) en manejo d la inflación subyacente.
@negocios_tv 
Bono: ¿Quieres destrozar un país y su clase media económica? aqui unos ejemplos d #LATAM y quienes son los culpables 🤯 https://t.co/rRYsOqxUtS</t>
  </si>
  <si>
    <t>Brasileiros ainda não sacaram R$ 7,08 bi de valores a receber
https://t.co/UOo5GqH72Q
#BancoCentral #ValoresAReceber #Dinheiro #Finanças https://t.co/Pr7raaHClZ</t>
  </si>
  <si>
    <t>Campos Neto deve voltar a se explicar, no Senado, sobre taxas de juros elevada
https://t.co/x63Gf4R4v4
#CamposNeto #TaxasDeJuros #TaxaSelic #Senado #Copom #Economia #BancoCentral https://t.co/3D3rKcm3CY</t>
  </si>
  <si>
    <t>Ataque de Campos Neto às reservas internacionais é alvo de investigação do TCU
https://t.co/8kstgirPc0
#CamposNeto #BancoCentral #TCU #ReservasInternacionais #Economia #Brasil https://t.co/h2BQl8OlId</t>
  </si>
  <si>
    <t>La tormenta Bret tiende a alejarse de RD. 
Haitianas vienen a parir sin chequearse. 
Empresas y economistas destacan medidas del Banco Central.
#C4N #BancoCentral #Inversión #Educación #Crisis #ADP #Gobierno #TormentaTropical #Bret #Haitianas #Maternidad #Huracán #Consumo https://t.co/sqzDLsSKw6</t>
  </si>
  <si>
    <t>Banco Central: remesas suman US$4,173.5 MM en cinco meses
10 detenidos y decenas de bienes incautados en Halcón IV 
Trump acusado de 37 cargos federales 
#C4N #Noticias #Periodismo #Información #BoyScouts #HalconIV #BancoCentral #Remesas #Pandemia #Trump #Cargos https://t.co/W6g7XXwnwi</t>
  </si>
  <si>
    <t>El Banco Central reduce 25 puntos básicos a la tasa de política monetaria 
Abinader proyecta en cuatro años no exista en el país vertedero a cielo abierto  
#C4N #BancoCentral #Béisbol #Pelota #Historia #Economía #Tasa #PolíticaMonetaria #Procuradora #Abinader #Vertedero https://t.co/vdEyAifgPY</t>
  </si>
  <si>
    <t>Eliminarán vertederos al aire libre 
Monte Grande se quedó para Octubre 
Ministerio de la Presidencia corrigió fallas que halló Contraloría 
#C4N #Vertedero #AireLibre #Propuesta #Fideicomiso #Abinader #Eliminación #MonteGrande #Sur #Presidencia #Contraloría #BancoCentral https://t.co/CkTjCZgdUy</t>
  </si>
  <si>
    <t>https://t.co/7ugzy0Kqht
#bancocentral #economia #juros #inflação #lula #investimentos https://t.co/gfUmMdKKz5</t>
  </si>
  <si>
    <t>@itatiaia Só falta o #bancocentral fazer um esforço para controlar a inflação e as coisas fluírem melhor no nosso #brasil.</t>
  </si>
  <si>
    <t>Está muito claro que o dito "mercado" utiliza o Boletim Focos apenas como ferramenta política. Não é possível que economistas experientes não acertem nunca nas previsões de inflação. 
#ipca 
#bancocentral</t>
  </si>
  <si>
    <t>Política de subsidios sociales del Gobierno contribuyó a contener la inflación importada - vía @laseguridadsoc1 -https://t.co/xTzvlllMfg
#LaSeguridadSocialDo #Superate #BonoGas #IPC #FASE #PATI #Combustibles #BancoCentral #GobiernoDelCambio
@luisabinader
@DIGEPRESRD</t>
  </si>
  <si>
    <t>RT @bancomoc: #BancodeMoçambique #bancocentral #museu https://t.co/qbik7os3CA</t>
  </si>
  <si>
    <t>#ForaCamposNetoJá #Brasil #BancoCentral #Brasileirao #URGENTE https://t.co/CpWo21iKxL</t>
  </si>
  <si>
    <t>🟣 #Economía | 🌜 Te contamos que el #BancoCentral acaba de publicar su Informe de Estadísticas Monetarias y Financieras de abril que muestra que la tasa promedio de los créditos hipotecarios reajustables en UF ha disminuido.
🔗 Sigue leyendo acá https://t.co/uampGa6p6B</t>
  </si>
  <si>
    <t>📰Leé la nota completa de @ESartelli en el siguiente link: https://t.co/qXMGgW35Xl
#Dolarización #BancoCentral #Milei #Libertarios #Liberalismo #Milei #Economía https://t.co/9enap7Etn1</t>
  </si>
  <si>
    <t>Digamos la cosas como son:
La "UP" de Allende ya era un completo fracaso mucho antes de que Pinochet llegara al poder...
Fin
#maite #pincoya #bancocentral #CorreosdelaPandemia #yeomans #luli #boric #BoricUnPeligroparaChile #Boricestamoscontigo #pincoya https://t.co/AvkWIHgtJT</t>
  </si>
  <si>
    <t>Pregunta simple... dos respuestas posibles:
Allende fue un demócrata?
#cadem #falso #granhermanochv #cencosud #BoricMiente #Boric #bancocentral #ximenarincon #boric</t>
  </si>
  <si>
    <t>Amigos arbolitos de Boric...
Cuando dicen nunca más a la violencia política...
También es nunca más a esto?⬇️
#falabella #GolpeDeEstado #ganamos #marninovic #traidor #hassler #bancocentral #faypc #Boric https://t.co/2souwHit46</t>
  </si>
  <si>
    <t>Mientras Chile sigue estancado en discusiones estúpidas...
Perú ya construye el Mega Puerto de Chancay...
El más grande de Latam...
Fin
#chilevision #hassler #bancocentral #pinochet #Boric #BoricNoSeLaPuede #ivonnemangelsdorff https://t.co/0GphB63YwR</t>
  </si>
  <si>
    <t>O #Ibovespa mostrava uma variação tímida nesta quinta-feira, perdendo o fôlego dos primeiros negócios, quando subiu quase 1,5% reagindo à decisão do #BancoCentral de cortar a taxa #Selic em 0,50 [...]
Leia essa e outras notícias no nosso site: https://t.co/awEr84LZse https://t.co/61ikbqjM5R</t>
  </si>
  <si>
    <t>Não é apenas  tecnologia ou "uma" #startup ... é  um ecossistema - amparado por um #BancoCentral ativo -, e pode fazer a diferença para o Brasil se tornar um hub de inovação.  Eu estou entusiasmado com a democratização do fluxo do $.
https://t.co/neZ3cp7SW2 https://t.co/ygYMduM5Pp</t>
  </si>
  <si>
    <t>Previsão de inflação do mercado financeiro cai para 5,71% este ano. #bancocentral #BoletimFocus #inflação #PIB #selic
https://t.co/RMe2RUJ5dy</t>
  </si>
  <si>
    <t>Juros médios dos bancos caem para 44,6% ao ano. #bancocentral #cartãodecrédito #dívidas #jurosmedios
https://t.co/oqxBnegD6j</t>
  </si>
  <si>
    <t>Pix bate recorde e supera 140 milhões de transações em apenas um dia. #BANCOCENTRAL #BANCOS #PIX
https://t.co/5ePrLx0vgD</t>
  </si>
  <si>
    <t>Mercado eleva para 2,56% projeção do crescimento da economia em 2023. #bancocentral #BoletimFocus #Dólar #inflação #selic
https://t.co/Y1j7FyNQry</t>
  </si>
  <si>
    <t>Para maior segurança, cheques terão mudanças a partir de 2 de outubro. #bancocentral #mudancas #cheque
https://t.co/GV0sqvHMQ5</t>
  </si>
  <si>
    <t>Mercado eleva para 2,64% projeção do crescimento da economia em 2023. #bancocentral #boletimfocus #economia #mercadofinanceiro #guarulhosonline
https://t.co/c6k2NRWpVd</t>
  </si>
  <si>
    <t>Desenrola: dívidas de até R$ 5 mil poderão ser parceladas em 60 meses. #bancocentral #Cadúnico #FernandoHaddad #MP #RenegociaçãodeDívidas
https://t.co/b4FhHrsxkW</t>
  </si>
  <si>
    <t>Pessoal, criem o hábito de olhar  sempre o #Registrato do #BancoCentral 
As pessoas sem caráter andam abrindo contas digitais com chave Pix no CPF da gente sem autorização!
#fraude  
Abriram contas digitais no meu CPF  e é a maior dor de cabeça para cancelar!</t>
  </si>
  <si>
    <t>RT @JovemPanNews: #OsPingosNosIs | CPI vai acionar Banco Central (BC) para descobrir quem financia ONGs da Amazônia; bancada comenta 
📺 Co…</t>
  </si>
  <si>
    <t>Ótima análise do Roberto Padovani. Um tanto quanto preocupante. #economia 
#bancocentral #projeções #cenariofiscal https://t.co/oBSoe9yad2</t>
  </si>
  <si>
    <t>🔴 Comunicado urgente compartilhem essa informação!
.
.
.
.
. 
#jurosabusivos
#bancocentral
#Lula
#OBrasilVoltou https://t.co/YZmwWA20RL</t>
  </si>
  <si>
    <t>Roberto Campos Neto, presidente do Banco Central, tem mandato até o fim de 2024
Um dos aliados de primeira linha do governo, o ministro da Casa Civil, Rui Costa, saiu em defesa de mudanças na lei de autonomia do Banco Central (BC) #BancoCentral
https://t.co/jY1NVdtg1G</t>
  </si>
  <si>
    <t>Hoje foi o dia das "surpresas" em Brasília: Alexandre de Moraes votando pela descriminalização da maconha e Roberto Campos Neto dando o voto decisivo pela queda de 0,5 p.p. na taxa básica de juros. Quem te surpreendeu mais: Moraes ou RCN? #descriminalizaSTF #oSTF #BancoCentral</t>
  </si>
  <si>
    <t>E eu que vim sacar um cheque no #bradesco #bancobradesco #bancocentral #bc #cliente #filas #inutil #burocracia https://t.co/OWdnkTNnlT</t>
  </si>
  <si>
    <t>¡Sin sorpresa! 
#Banxico mantuvo su tasa de interés en 11.25%.
El #bancocentral destacó que algunos choques inflacionarios siguen incidiendo, por lo que los #precios al consumidor se mantienen altos.
➡️ https://t.co/CH5gKRUu0K https://t.co/HHFbQsnRU1</t>
  </si>
  <si>
    <t>La presidenta de la #Fed de #Dallas, Lorie Logan, dijo que el caso para pausar los aumentos de las #tasas de #interés en la reunión de junio del #bancocentral aún no está claro, mientras que su colega, el gobernador Philip Jefferso…https://t.co/aWum18U1KY https://t.co/GRAU7mfTFY</t>
  </si>
  <si>
    <t>Hacia delante el foco del #bancocentral estará en la #tasa real ex-ante, ya que tomará relevancia para medir la efectividad del tono restrictivo, dijeron #analistas
Banco de México (#Banxico) #PesoMexicano #Dólar #Economía https://t.co/GYJEh11dih</t>
  </si>
  <si>
    <t>La idea es llegar a un #modelo de #comunicación muy similar al que se gestiona en la #Fed el #bancocentral estadounidense.  Banco de México (#Banxico) Jonathan Heath https://t.co/zsSNShDQUX</t>
  </si>
  <si>
    <t>La Reserva Federal(#Fed) elevó el rango objetivo para su #tasa de #interés de referencia en un 0,25% el miércoles, mientras que dejó abiertas sus opciones sobre futuras alzas de tasas.
La medida del #bancocentral llevó su tasa de…https://t.co/vEV2FdHNVs https://t.co/VcM5GOfM8P</t>
  </si>
  <si>
    <t>El presidente del #Banco de la Reserva Federal (#Fed) de St. Louis, #JamesBullard, dijo que espera que el #bancocentral necesite aumentar las #tasas de #interés dos veces más este año para sofocar la #inflación.
#EU #Economía #Dólar https://t.co/xtIJA6Glx1</t>
  </si>
  <si>
    <t>Una #CBDC es una #divisa #digital emitida por el #bancocentral de una nación, la cual es responsable de acuñar las #monedas e imprimir los #billetes que usa la #población. https://t.co/lqZMjWeex5</t>
  </si>
  <si>
    <t>El USD/MXN cae a nuevos mínimos de siete años mientras el #Peso mexicano (MXN) sigue #apreciándose con fuerza frente al #Dólar estadounidense (USD), a pesar de que se espera que el #bancocentral mexicano mantenga las #tasas más alt…https://t.co/nv5Epw6UJ9 https://t.co/bH6n8OswIr</t>
  </si>
  <si>
    <t>El #bancocentral de #China sorprendió al recortar la #tasa de #interés a corto plazo, una señal de que las autoridades del #país están cada vez más preocupadas por el vacilante #crecimiento.  https://t.co/kEHGD5jykk</t>
  </si>
  <si>
    <t>El presidente de la #Fed, #JeromePowell, reiteró que los funcionarios del #bancocentral esperan subir aún más las #tasas de #interés este año para aplacar una #
#inflación persistente y enfriar un sorprendentemente resiliente #merc…https://t.co/ol36OiNOAu https://t.co/djlm2fMb61</t>
  </si>
  <si>
    <t>La tan esperada pausa de la Reserva Federal (#Fed) ha quedado empañada por un aumento de la #tasa terminal. Es decir, que el #bancocentral adelanta que habrá aún más subidas de tipos en este #ciclo. Así interpretan las #gestoras #i…https://t.co/gpAwvEwZjB https://t.co/RLCivbjD4H</t>
  </si>
  <si>
    <t>Se espera que la Reserva Federal (#Fed) deje las #tasas de #interés sin cambios el miércoles por primera vez desde que el #bancocentral de #EstadosUnidos inició una ronda históricamente agresiva de endurecimiento de la #política #m…https://t.co/Y0zJzAtEot https://t.co/shlrJ1LFhL</t>
  </si>
  <si>
    <t>La última decisión de #política de la Reserva Federal (#Fed) se publicará el miércoles por la tarde (12 pm México). 
Y la historia más importante del día no será sobre lo que hace la Fed, sino sobre lo que el #bancocentral sugiere…https://t.co/DcFssVT1HO https://t.co/vEPKXi84AV</t>
  </si>
  <si>
    <t>Las sorpresas del #bancocentral hacen que junio se convierta en un excelente mes de alza de #tasas en #2023
Los principales #bancoscentrales del #mundo entregaron en #junio el mayor número de alzas mensuales de tasas de #interés en lo que va del año, sor…https://t.co/62Km2TeSOK</t>
  </si>
  <si>
    <t>Las #monedas #latinoamericanas pueden verse beneficiadas si el #bancocentral estadounidense frena el #ciclo de subas, aunque resta ver qué sucede en la reunión de #julio https://t.co/Ws3hZxHcXH</t>
  </si>
  <si>
    <t>Nueva actualización de las irregularidades de carteras privadas según reciente informe del @BancoCentral_AR.
Encontrá el informe completo en https://t.co/ALrBZvlYd4
#InfoCobranza #Credito #Morosidad #Cartera #DataBCRA #Actualidad #Fintech #Cobranzas #BCRA #BancoCentral</t>
  </si>
  <si>
    <t>📉 Nueva actualización de las irregularidades de carteras privadas según reciente informe del @bancoCentral_Ar.  
👉🏻 Encontrá el informe completo en https://t.co/vlXzv5d1fI
#InfoCobranza #Credito #Morosidad #Cartera #DataBCRA #Actualidad #Fintech #Cobranzas #BCRA #BancoCentral</t>
  </si>
  <si>
    <t>¿Vamos ganando?: el Banco Central duplicó la meta acordada por el FMI.
#fmi #acuerdo #BancoCentral 
 https://t.co/k3G9TeYH5e</t>
  </si>
  <si>
    <t>Se espera que el presidente de #EstadosUnidos @JoeBiden anuncie cambios en el #BancoCentral, que verá un nuevo vicepresidente y el primer latino en unirse a la junta de gobierno. https://t.co/OHJagk1V8k</t>
  </si>
  <si>
    <t>#BancoCentral divulga Relatório de Gestão sobre os primeiros anos de funcionamento do #Pix... Saiba já: https://t.co/4oGjgtV1ii</t>
  </si>
  <si>
    <t>Mercado de cartão de crédito cresce 30,9% entre 2019 e 2022
#diariodovale #diario #jornalismo #digital #economia #bancocentral #bc #cartaodecredito #mercado
https://t.co/qsVfiIUkK7 https://t.co/bNYdq16RkX</t>
  </si>
  <si>
    <t>Previsão de inflação do mercado financeiro cai para 6,02% em 2023
#diariodovale #diario #economia #previsão #inflação #mercadofinanceiro #bancocentral
https://t.co/G6gHob78vY</t>
  </si>
  <si>
    <t>Banco Central divulga o lançamento de Pix Automático
#diariodovale #diario #economia #bancocentral #pix #lançamento
https://t.co/S36q8PizSG https://t.co/ceaFEySAZw</t>
  </si>
  <si>
    <t>Gobernador Valdez Albizu anuncia que la inflación entraría dentro del rango meta de 4 % ± 1 % al cierre de este mes de mayo https://t.co/ZgEMRLDjRs
#RepublicaDominicana #bancocentral #dominicanrepublic #santodomingo #dominicanos #noticias #economia #ndigital #zdigital #cdn37 https://t.co/eOnqYZZl7Y</t>
  </si>
  <si>
    <t>BCRD reduce su tasa de política monetaria en 25 puntos básicos, disminuyendo de 7.75 % a 7.50 % anual https://t.co/mVHGBLxDZ2
#RepublicaDominicana #dominicanos #santodomingo #economia #BCRD #noticias #bancocentral https://t.co/3wrsEvKfiO</t>
  </si>
  <si>
    <t>Inflación interanual general en agosto 2023 fue de 4.27 % y subyacente de 4.82 %, situándose ambas dentro del rango meta de 4.0 % ± 1.0 % https://t.co/Y0SILPNeGK
#RepublicaDominicana #bancocentral #inflacion #dominicanos #santodomingo #economia #noticias #news https://t.co/NAHe3nd8Om</t>
  </si>
  <si>
    <t>BCRD reduce su tasa de política monetaria en 50 puntos básicos, ante el retorno de la inflación al rango meta de 4 % ± 1 % https://t.co/L30kAPsybx
#bancocentral #repulicadominicana  #santodomingo #dominicanos #dominicanrepublic #noticias #news #economia #ndigital #zdigital https://t.co/TNJIu2CU3I</t>
  </si>
  <si>
    <t>El Banco Central Europeo sube otros 25 puntos básicos los tipos llevándolos a máximos de 2001 https://t.co/1eqDamNsuH
#economia #bancocentral #inflacion #RepublicaDominicana #dominicanos #noticias #news #cdn37 https://t.co/Yr0xZ93akB</t>
  </si>
  <si>
    <t>Gobernador del Banco Central destaca robustez del sistema financiero en el cierre del IX Congreso de Abancord https://t.co/WM6ogUmHHs
#bancocentral #RepublicaDominicana #dominicanos #economia #noticias #news https://t.co/f9DYvX7AV5</t>
  </si>
  <si>
    <t>Medida de liberación del encaje legal para viviendas de bajo costo supera ya los 1,000 beneficiarios.
https://t.co/paRU1Tx25Q
#RepublicaDominicana #dominicanrepublic #dominicanos #santodomingo #economia #ndigital #zdigital #bancocentral https://t.co/MPzXyhPqKQ</t>
  </si>
  <si>
    <t>¿Cuáles son los que #No tienen #BancoCentral?Andorra, Micronesia,I. Marshall, Kiribati, Nauru.
En esa lista estaríamos con #IslasPiratas, paices en #guerra, e #paraísosfiscales.
El problema no es el #BCRA, es pagar el deficit con emisión sin respaldo. (#InflacionCriminal) https://t.co/n0FBsKK0oA</t>
  </si>
  <si>
    <t>Junio comienza con fuerte presión cambiaria, mientras los expertos analizan las posibilidades de que se vuelva a instaurar la dolarización de la economía.  #argentina #argentine #autos #bancocentral #blue #breaking #buenosaires #business #campus #comex
https://t.co/DHixGGXwlv</t>
  </si>
  <si>
    <t>Mendoza irá a la Justicia por la nueva normativa del Banco Central 
@rodysuarez
#Noticias #ElObjetivo #LaVerdadDeLosHechos #MedidaCautelar #GobiernoDeMendoza #BancoCentral #DeudasEnDólares 
#RodolfoSuárez https://t.co/Hc5tffMYWq</t>
  </si>
  <si>
    <t>El Banco Central oficializó la suba de la tasa de interés a 97%
#Noticias #ElObjetivoCba #LaVerdadDeLosHechos #BancoCentral
https://t.co/r04Zw7fZJF</t>
  </si>
  <si>
    <t>El Gobierno elevó el valor del dólar oficial a $365,5
#Noticias #ElObjetivoCba #LaVerdadDeLosHechos #BancoCentral #Dólar #FMI 
https://t.co/ZpFJkJEeXf</t>
  </si>
  <si>
    <t>El gasto público sigue creciendo y presiona aún más sobre la inflación
#Noticias #ElObjetivo #LaVerdadDeLosHechos #Inflación #GastoPúblico #BancoCentral #IncumplimientoDeMetas #AcuerdoConElFMI #AdelantosTransitorios #EmisiónMonetaria https://t.co/QumeUaVAzJ</t>
  </si>
  <si>
    <t>Se rompió la racha de compras de divisas del Banco Central y se acelera la devaluación 
#Noticias #ElObjetivoCba #LaVerdadDeLosHechos #BancoCentral #Divisas #Devaluacion #Dólar #Reservas 
https://t.co/9bFchNbkIS</t>
  </si>
  <si>
    <t>El BCRA aprobó un nuevo sistema de financiación de importaciones
#Noticias #ElObjetivoCba #LaVerdadDeLosHechos #BCRA #BancoCentral #Financiacion #Importaciones
https://t.co/RQ4RskyZB8</t>
  </si>
  <si>
    <t>Avanzan las negociaciones con el FMI para fortalecer las reservas del Banco Central
#Noticias #ElObjetivoCba #LaVerdadDeLosHechos #Massa #FMI #BancoCentral 
https://t.co/AwQGVDVK31</t>
  </si>
  <si>
    <t>En el debut de las nuevas medidas económicas, el Banco Central compró US$ 60 millones
#Noticias #ElObjetivoCba #LaVerdadDeLosHechos #MedidasEconómicas #BancoCentral 
https://t.co/TwutSv0PJx</t>
  </si>
  <si>
    <t>El Banco Central decidió no subir la tasa de plazos fijos
#Noticias #ElObjetivoCba #LaVerdadDeLosHechos #BancoCentral #PlazosFijos #Tasas #Economia #País 
https://t.co/FYebz9IJ5f</t>
  </si>
  <si>
    <t>Se acorta el margen para "la maquinita" del Banco Central
#Noticias #ElObjetivoCba #LaVerdadDeLosHechos #BancoCentral 
https://t.co/OcGX8Xou4T</t>
  </si>
  <si>
    <t>Las reservas del Banco Central cayeron en U$D 760 millones en un solo día por un pago al FMI
#Noticias #ElObjetivoCba #LaVerdadDeLosHechos #Reservas #BancoCentral #Caida #FMI
https://t.co/oiTUVFgT3c</t>
  </si>
  <si>
    <t>Os bancos estão confiantes de que o corte de juros da Selic só ocorrerá a partir de setembro. Segundo a Febraban, a pesquisa mostra poucas mudanças após a reunião do Copom. #BancoCentral #Selic #CorteDeJuros
84% dos negociadores de retalho perdem dinheiro.</t>
  </si>
  <si>
    <t>Declaração de capitais estrangeiros - Resolução BCB n° 278 de 31/12/2022
Para ler o informativo completo, escrito por Rodolfo Rinaldi – Advogado do CCLA - acesse o link: https://t.co/FTGB55yM9d
#bancocentral #capitaisestrangeiros #ccla #cclaadvogados https://t.co/mhD5W0H3TF</t>
  </si>
  <si>
    <t>💲 NUEVO PROCEDIMIENTO 🇳🇮
👉El Banco Central de Nicaragua anunció que eliminará, de forma gradual, cheques bancarios a partir del 14 de agosto. 
📲 Leé la noticia completa en https://t.co/oPOhDlSAQi 
#bancocentral #nicaragua #Canal26 https://t.co/RYJvzovVzs</t>
  </si>
  <si>
    <t>⭕ÚLTIMA NOTICIA💵
📢 Este lunes, el Banco Central (BCRA) llevó el tipo de cambio oficial a $365 y subió 21 puntos la tasa de interés. Es una de las primeras repercusiones del mercado tras las PASO de este domingo.
📲 Leé la nota en https://t.co/oPOhDlS30K
#BancoCentral #Dólar… https://t.co/LHmKRplPZR</t>
  </si>
  <si>
    <t>📍 Información del Banco Central de Cuba
👉 https://t.co/d0NRZaS57w…
#PagoElectronico
@aquinbeta 
@RosaCantillo8 
@QueipoRuiz 
@Balicia81558512 https://t.co/ElzEM3qNHe</t>
  </si>
  <si>
    <t>#P7Informa 
El #BancoCentral argentino elevó hoy de 91% a 97% la tasa de interés de referencia, primera de una batería de medidas que anunciará el gobierno para combatir una inflación de más de 108% en 12 meses, en un tenso contexto de cara a las elecciones de octubre / Vía: AFP https://t.co/jdmNZJV9Kp</t>
  </si>
  <si>
    <t>Solicitamos respetuosamente al Gobierno Nac. por favor revisen la deuda del Min. de Vivienda y Habitat,  desde Nov. del 2022 por esta obra. Proveedores, trabajadores y transportistas que reclaman sus honorarios
#ULTIMAHORA  @LaDivinaDiva
@NicolasMaduro @Minhvi_Oficial</t>
  </si>
  <si>
    <t>#bono #chacao #ULTIMAHORA 
#movilnet #Canserbero 
@vladi_villegas @INDIURBANEJA 
@ChetuitVzla @lubrio</t>
  </si>
  <si>
    <t>Saludos, esta cuenta fué creada por trabajadores, proveedores, transportistas que ejecutaron labores en el Complejo habitacional  en el Municipio Mario Briceño I. del Edo Aragua  "Antonio Ricaute" @NicolasMaduro @TarekWiliamSaab @Soykarinacarpio 
@Minhvi_Oficial @IMVillarroel1</t>
  </si>
  <si>
    <t>Con esta obra ejecutada hace 9 meses, no han sido cancelados honorarios pendientes a trabajadores, transportistas y proveedores
#Denuncia 
#Bancocentral
#Cumana
#Lamentable</t>
  </si>
  <si>
    <t>#Denuncia
#Bancocentral
#Lamentable 
#Cumana</t>
  </si>
  <si>
    <t>#Bancocentral
#Lamentable
#Cumana</t>
  </si>
  <si>
    <t>Seguimos la lucha 
#Bancocentral
#Lamentable 
#Cumana</t>
  </si>
  <si>
    <t>@SergioMassa Anunció por las redes sociales la derogación de la norma del #BancoCentral que perjudicaba a las #billeterasvirtuales https://t.co/AmHY0X0xNo</t>
  </si>
  <si>
    <t>Aquí está el meollo del asunto. #InflacionReal #BancoCentral</t>
  </si>
  <si>
    <t>🟨 @BancoCentralRD informa que continúa la tendencia descendente de la inflación interanual🏦📈 📝
🔗 Amplíe esta información en: https://t.co/tpthXOC8B5
#E3NoticiasRD #PeriodismoCiudadano #BancoCentral</t>
  </si>
  <si>
    <t>🟨 @BancoCentralRD concluye su “IX Diplomado de economía y finanzas para su personal” 📝
🔗 Amplíe esta información en: https://t.co/0m0Pu4S8Rl
#E3NoticiasRD #PeriodismoCiudadano #BancoCentral #Economía #Finanzas #Diplomado</t>
  </si>
  <si>
    <t>🟨 Banco Central informa que en los primeros siete meses de 2023 los flujos de remesas superaron los US$5,900.0 millones 📝
🔗 Amplíe esta información en: https://t.co/UlLsSFKmGN
#E3NoticiasRD #PeriodismoCiudadanoE3 #BancoCentral https://t.co/KzP0vMs1kq</t>
  </si>
  <si>
    <t>🟨 @BancoCentralRD informa que los flujos de remesas sobrepasaron los US$6,700 millones entre enero y agosto de 2023
🔗 Amplíe esta información aquí: https://t.co/cvMBRruozg
#E3NoticiasRD #PeriodismoCiudadano #BancoCentral #Remesas https://t.co/yszMhQNQIg</t>
  </si>
  <si>
    <t>El agro liquidó más de USD300 M mediante el dólar soja 3 y el BCRA compró USD111 M #Economíaypolítica #dolarsoja3 #agro #bancocentral  https://t.co/Y5qYiRV0Ac</t>
  </si>
  <si>
    <t>Suba de tasas del Banco Central, baja en los intereses de las tarjetas de crédito y nuevas medidas económicas #Economíaypolítica #bancocentral #nuevasmedidas #plazofijo  https://t.co/He1xlN8P4j</t>
  </si>
  <si>
    <t>Exportadores liquidaron US$ 162,9 millones y el Banco Central volvió a cerrar con saldo comprador #Economíaypolítica #bancocentral #compras #exportaciones  https://t.co/CLnqR4Stih</t>
  </si>
  <si>
    <t>Piden que el Banco Central elimine las sobretasas en los créditos para los productores #Economíaypolítica #bancocentral #eliminacion #OmarPerotti  https://t.co/vmwgmJWL3Q</t>
  </si>
  <si>
    <t>Plazo fijo: cuánto se gana depositando $10.000, $50.000 o $100.000 #Economíaypolítica #bancocentral #devaluacion #plazofijo  https://t.co/dohBTRznDR</t>
  </si>
  <si>
    <t>La macro en la micro #Economíaypolítica #bancocentral #economia #inflación  https://t.co/0Q3ZBvaW6H</t>
  </si>
  <si>
    <t>El Banco Central tomó una medida para “mitigar los efectos de la sequía” #Economíaypolítica #bancocentral #medidas #sequia  https://t.co/D9shKV5gjM</t>
  </si>
  <si>
    <t>Antes de fin de mayo, comenzaría a circular el nuevo billete de $2.000 #Economíaypolítica #2000pesos #bancocentral #nuevobillete  https://t.co/CNHm6hatx3</t>
  </si>
  <si>
    <t>Decisões sobre taxas de juros no mundo refletem em todo o mercado. Acompanhe o Morning Call da WIT Invest desta quinta-feira. 
#witinvest #morningcall #noticias #fed #bce #bancocentral #taxasdejuros #selic #copom #inflação #investimentos #economia #brasil https://t.co/uhUEG7oDWa</t>
  </si>
  <si>
    <t>Banco Central mantém a taxa básica de juros SELIC em 13,75% ao ano pela sexta vez consecutiva. 
A decisão foi de acordo com as expectativas do mercado.
#selic #investimentos #economia #taxadejuros #mercadofinanceiro #Brasil #copom #bancocentral  https://t.co/itJHfbDAqp</t>
  </si>
  <si>
    <t>Boletim Focus 22.05.2023 - confira as expectativas divulgadas pelo Banco Central para os principais indicadores econômicos no Brasil.
#witinvest #boletimfocus #bancocentral #pib #cambio #selic #copom #inflação #investimentos #economia #brasil  https://t.co/wlNgWTE7Lh</t>
  </si>
  <si>
    <t>Boletim Focus 26.06.2023 - confira as expectativas divulgadas pelo Banco Central para os principais indicadores econômicos no Brasil.
#witinvest #boletimfocus #bancocentral #pib #cambio #selic #copom #inflação #investimentos #economia #brasil  https://t.co/BxKt6zzWwH</t>
  </si>
  <si>
    <t>Boletim Focus 08.05.2023 - confira as expectativas divulgadas pelo Banco Central para os principais indicadores econômicos no Brasil.
#witinvest #boletimfocus #bancocentral #pib #cambio #selic #copom #inflação #investimentos #economia #brasil https://t.co/Spx2uNP2TB</t>
  </si>
  <si>
    <t>Boletim Focus 10.07.2023 - confira as expectativas divulgadas pelo Banco Central para os principais indicadores econômicos no Brasil.
#witinvest #boletimfocus #bancocentral #pib #cambio #selic #copom #inflação #investimentos #economia #brasil  https://t.co/9vLIuhm13M</t>
  </si>
  <si>
    <t>Acompanhe o Morning Call da WIT Invest e fique por dentro dos principais acontecimentos do mercado.
#witinvest #morningcall #noticias #mercadofinanceiro #investimentos #economia #news #brasil #eua #europa #taxadejuros #copom #fed #bancocentral  https://t.co/VGtZzXEdBT</t>
  </si>
  <si>
    <t>Boletim Focus 29.05.2023 - confira as expectativas divulgadas pelo Banco Central para os principais indicadores econômicos no Brasil.
#witinvest #boletimfocus #bancocentral #pib #cambio #selic #copom #inflação #investimentos #economia #brasil  https://t.co/9GwxO0Splr</t>
  </si>
  <si>
    <t>Boletim Focus 15.05.2023 - confira as expectativas divulgadas pelo Banco Central para os principais indicadores econômicos no Brasil.
#witinvest #boletimfocus #bancocentral #pib #cambio #selic #copom #inflação #investimentos #economia #brasil  https://t.co/ndD38XSRjc</t>
  </si>
  <si>
    <t>Boletim Focus 03.07.2023 - confira as expectativas divulgadas pelo Banco Central para os principais indicadores econômicos no Brasil.
#witinvest #boletimfocus #bancocentral #pib #cambio #selic #copom #inflação #investimentos #economia #brasil  https://t.co/41eZAjycvv</t>
  </si>
  <si>
    <t>Boletim Focus 14.08.2023 - confira as expectativas divulgadas pelo Banco Central para os principais indicadores econômicos no Brasil.
#witinvest #boletimfocus #bancocentral #pib #cambio #selic #copom #inflação #investimentos #economia #brasil  https://t.co/25pKWeqQVR</t>
  </si>
  <si>
    <t>Boletim Focus 28.08.2023 - confira as expectativas divulgadas pelo Banco Central para os principais indicadores econômicos no Brasil.
#witinvest #boletimfocus #bancocentral #pib #cambio #selic #copom #inflação #investimentos #economia #brasil  https://t.co/YxvUUJX8iz</t>
  </si>
  <si>
    <t>Boletim Focus 31.07.2023 - confira as expectativas divulgadas pelo Banco Central para os principais indicadores econômicos no Brasil.
#witinvest #boletimfocus #bancocentral #pib #cambio #selic #copom #inflação #investimentos #economia #brasil  https://t.co/VXFNugt1bs</t>
  </si>
  <si>
    <t>Fique por dentro das notícias que movimentam o mercado nesta quarta-feira, com o Morning Call da WIT Invest.
#morningcall #witinvest #noticias #investimentos #mercadofinanceiro #bolsadevalores #arcabouçofiscal #taxadejuros #bancocentral #economia  https://t.co/Ka3SWqgiHd</t>
  </si>
  <si>
    <t>Boletim Focus 04.09.2023 - confira as expectativas divulgadas pelo Banco Central para os principais indicadores econômicos no Brasil.
#witinvest #boletimfocus #bancocentral #pib #cambio #selic #copom #inflação #investimentos #economia #brasil  https://t.co/Nu4hmnns1R</t>
  </si>
  <si>
    <t>Fique por dentro das principais notícias do mercado financeiro para esta “Super Quarta”, no Morning Call da WIT Invest.
#witinvest #morningcall #noticias #superquarta #fed #bancocentral #selic #copom #taxadejuros #investimentos #economia #brasil #eua  https://t.co/psOCn3QZUB</t>
  </si>
  <si>
    <t>ℹ Se acelera la perdida de reservas del #BancoCentral
https://t.co/A2Ew26SIfh</t>
  </si>
  <si>
    <t>ℹ El #BancoCentral asiste nuevamente al #TesoroNacional
https://t.co/gqcUZaGaTT</t>
  </si>
  <si>
    <t>📊  La Fed retomó la suba de tasas: qué implica para la economía argentina: El #bancocentral estadounidense decidió un alza de 25 puntos básicos para la #tasa de referencia, que quedó en su nivel más alto en los últimos 22 años | @Ecos365 https://t.co/JU5ibC7TSy</t>
  </si>
  <si>
    <t>📈💰 Rentabilidad para tus depósitos en billeteras virtuales 🤑
Descubre cómo el Banco Central exige a proveedores de billeteras virtuales transferir rentabilidad a sus clientes por saldos en pesos. ¡Tu dinero ahora trabaja para ti! #Finanzas #BancoCentral #Economía https://t.co/DeVIBsL4b7</t>
  </si>
  <si>
    <t>RT @bancomoc: Comunicado Banco de Moçambique
#BancodeMoçambique #bancocentral #supervisão #Partilha https://t.co/QAWSLj1Kmk</t>
  </si>
  <si>
    <t>#Webitcoin
#cryptonews #notíciascriptomoedas #blockchain #saylor #michaelsaylor #criptomoedas #microstrategy #bitcoin #moedadofuturo #moedadigital #bancocentral</t>
  </si>
  <si>
    <t>#Webitcoin
#cryptonews #notíciascriptomoedas #criptomoedas #bancos #crisebancária #elonmusk #musk #fimdosbancos #bitcoin #cripto #Fed #bancocentral</t>
  </si>
  <si>
    <t>#webitcoin
#cryptonews #notíciascriptomoedas #Brasil #BancoCentral #CBDC #RealDigital #Real</t>
  </si>
  <si>
    <t>Desculpe você nunca me viu bater no BANCO CENTRAL.
...só rindo mesmo. 
@PrmarcosBrasil1 
Seguir. 
#política #politicos #GovernoFederal #bancocentral https://t.co/aL7oCcRgqG</t>
  </si>
  <si>
    <t>Porém o banco central deixa claro que, o controle das contas públicas é primordial para que haja espaço para novos cortes. 
#selic #juros #bancocentral https://t.co/Y3gkrN46ap</t>
  </si>
  <si>
    <t>#Repost @ciropnddobrasil
✍ Eu demitirei o presidente do Banco Central!
.
✅ Siga @ciropnddobrasil para receber mais vídeos como esse #RepareBem
#ciro #cirogomes #ciro2026 #pnd #lula #bolsonaro #pt #tvrecord #brasil #bancocentral #haddad #economia https://t.co/9p1bLObxEs</t>
  </si>
  <si>
    <t>Para parlamentares, Campos Neto age por motivação política no cargo para o qual foi nomeado por Bolsonaro na primeira fase autônoma da instituição. ➡ LEIA MAIS: https://t.co/XqLKHXtwfK #BancoCentral #PCdoB #PCdoBnaCâmara https://t.co/fsWX3JGWgb</t>
  </si>
  <si>
    <t>Ibovespa encerrou em baixa de 1,23% (118.934 pts) após Copom manter juros em 13,75% a.a, sem indicação de corte. Impacto notado principalmente em setores como imobiliário, construção e varejo. 
#Ibovespa #Copom #Selic #BancoCentral https://t.co/Yf5QXgadjd</t>
  </si>
  <si>
    <t>¿Qué son las #CBDCs?
#bancocentral #monedadigital #moneda #digital
https://t.co/YFK3hf4pgU</t>
  </si>
  <si>
    <t>Atualmente, apenas grandes empresas usufruem desse serviço, já que demandam de um alinhamento anterior com os bancos. 
Saiba mais: https://t.co/mG98FMCwsu
#PIX #PixAutomático #BancoCentral #Notícias #PortalConvênios #Pagamentos #Cidadãos</t>
  </si>
  <si>
    <t>🇧🇷 COPOM
https://t.co/ZrrTmHROuM 
#BancoCentral #BCB via @BancoCentralBR</t>
  </si>
  <si>
    <t>https://t.co/plgx7YjNiM
#focus #juros #bancocentral #inflação #ipca https://t.co/QXb6l2hwaQ</t>
  </si>
  <si>
    <t>https://t.co/Fuh7muDUOU
#CamposNeto #jurosbaixosjá #Economia #copom #bancocentral https://t.co/554vFJRda0</t>
  </si>
  <si>
    <t>https://t.co/c4ZbppOCbx
#CamposNeto #bancocentral #jurosbaixosjá #juros #selic #Economia #investimentos https://t.co/pdF7EVaHeV</t>
  </si>
  <si>
    <t>https://t.co/jJsaM6qOGV
#Haddad #Ibovespa #juros #bancocentral https://t.co/RrINLG81qw</t>
  </si>
  <si>
    <t>https://t.co/ZHGoIvzgqp
Curva precifica SELIC a 9,95% e Ibovespa engata 8ª alta consecutiva a 109.029pontos (+0,52%), com arcabouço fiscal no radar. Dólar fecha a R$ 4,8909. #arcabouço #selic #haddad #BancoCentral https://t.co/bVVDIZ5bI5</t>
  </si>
  <si>
    <t>https://t.co/fRl57pDGu7
#selic #copom #BC #BancoCentral #juros #JurosBaixosJa #JurosBaixosJá #CamposNeto https://t.co/zpP24dNPL6</t>
  </si>
  <si>
    <t>Projeção de IPCA recua pela segunda semana seguida. Campos Neto faz declaração polêmica. https://t.co/RTkdGqgtFE
#Economia #juros #bancocentral #focus https://t.co/C6yuwqZSqx</t>
  </si>
  <si>
    <t>BOMBA RECIRCULADORA PRESURIZADORA 120W SPL, revisar precio en: https://t.co/vbEsqPtY2f
#bombasdeagua #Ghost #Britney #Filadelfia #JennaOrtega #BancoCentral #Racista #Sophie #PedroPool #Leslie #Deyna #Ladrona https://t.co/C6yjCPvDq5</t>
  </si>
  <si>
    <t>Calefones SPLENDID TF Master 7-10-13 Litros, GL-GN, revisar Video en: https://t.co/SN2O7nK6Vz 
#calefont #calefon #BlackMirror #PaulMcCartney #Modric #PedroPascal #Venezuela #Panamá #Kimetsu #Chaco #Vicky #BrunoMars #Isla #LosRíos #BancoCentral https://t.co/yZ7bTJmrv2</t>
  </si>
  <si>
    <t>RT @AuditoriaCidada: Pressione o Banco Central contra esta política de juros altos que prejudica o Brasil #JurosBaixosJá #Selic #BancoCentr…</t>
  </si>
  <si>
    <t>Rogério Carvalho diz que manutenção da taxa de juros do Banco Central é “capricho do presidente da entidade”
Confira: https://t.co/bHwzesoObA
#RogerioCarvalho
#SenadorRogerio
#BancoCentral
#SeNotícias
#JornalDigital
#NotíciasDeSergipe
Foto: Daniel Gomes https://t.co/0IrWegDHy8</t>
  </si>
  <si>
    <t>Devolução de dinheiro esquecido supera R$ 4 bi, mas ainda restam R$ 7,1 bi; saiba como receber
Para ler a matéria completa, acesse: https://t.co/qqnqMbgn0e
#DevoluçãoDeDinheiro
#DinheiroEsquecido
#BancoCentral
#SeNotícias
#JornalDigital
#NotíciasDeSergipe
Foto: arquivo/abr https://t.co/BERXNe5j2l</t>
  </si>
  <si>
    <t>Consumidor poderá fazer compras com crédito via Pix, diz presidente do Banco Central.
Para ler a matéria completa, acesse: https://t.co/tUMMUPNzsO
#ComprasComCreditoViaPix
#CreditoViaPix
#BancoCentral
#SeNotícias
#JornalDigital
#NotíciasDeSergipe
Foto: Marcello Casal/Abr https://t.co/RuTyjMowtR</t>
  </si>
  <si>
    <t>Hoje também é dia de detonar Campos Neto e seus juros escandalosos nas redes. #ForaCamposNeto
FORA CAMPOS NETO
#BancoCentral  https://t.co/k4ewsBf1nG</t>
  </si>
  <si>
    <t>RT @exnesslatam: Muchos países de la región buscan el desarrollo de una economía digital, y una de las últimas propuestas es la creación de…</t>
  </si>
  <si>
    <t>#felicesyforrados #bancocentral protejer nuestros ahorros https://t.co/ZphMkfpqMC</t>
  </si>
  <si>
    <t>O #dolar fechou em 12.06.2023 cotado a R$ 4,866, queda de 0,2%. É o menor valor em um ano. Por outro lado a #bolsa fechou em alta de 0,27%. É a 7ª alta consecutiva. No ano subiu 6,93%. Na próxima reunião do #BancoCentral não tem desculpa. A taxa Selic tem que ser reduzida. https://t.co/sA7momTb0X</t>
  </si>
  <si>
    <t>O #dolar fechou em 14.06.2023 cotado a R$ 4,806, queda de 1,14%. É o menor valor em um ano. Por outro lado a #bolsa fechou em alta de 1,99%. No ano subiu 8,51%. E a agência S&amp;amp;P elevou a nota do #Brasil de "estável" para "positiva". O que o #BancoCentral está esperando? https://t.co/YIkyV5qZWL</t>
  </si>
  <si>
    <t>Hoje tem reunião do Copom (Comitê de Política Monetária) do #BancoCentral para definir a taxa básica de juros. É inadmissível que a taxa permaneça nos 13,75% depois de todos os sinais positivos que vimos na economia do #Brasil. Pela redução imediata da Selic. Chega! https://t.co/rbfbeaqLta</t>
  </si>
  <si>
    <t>Quer dizer então que o #Lula não entende nada de #Economia e fica dando #palpite no #BancoCentral ?
É isso mesmo produção ? Procede a informação ?
#Argentina #Inflacao #Juros https://t.co/HjyZH5yfmd</t>
  </si>
  <si>
    <t>Se necesita el acuerdo con el FMI para que no caigan las reservas del Banco Central...
#FMI #BancoCentral #Argentina #Economia 
https://t.co/RNzFQGcIZj</t>
  </si>
  <si>
    <t>El Banco Central tomará decisiones que mantengan la calma del dólar...
#BancoCentral #BCRA #Economia #Argentina 
https://t.co/FtjbygflP0</t>
  </si>
  <si>
    <t>O pix era uma solução, só que acabou virando um problema, e quem paga a conta é sempre o trabalhador, o ladrao tem livre acesso. Viver no Brasil é para os fortes. #bancocentral #pix #lixo #desabafo</t>
  </si>
  <si>
    <t>Mañana domingo 11-06 a las 16.00 hs. sumate en apoyo a la JUVENTUD LIBERTARIA al FUNERAL DEL PESO ARGENTINO en Reconquista 266, BANCO CENTRAL DE LA REPÚBLICA ARGENTINA.🔥🔥🔥🔥🔥⚰️
@jlibertariacaba @JBouttet #pesoargentino #bancocentral https://t.co/j22IpeBKsI</t>
  </si>
  <si>
    <t>Si no son joaquin y Lucía galán, ¡¿quiénes son?! #billete #BancoCentral https://t.co/lRC5MEsUlY</t>
  </si>
  <si>
    <t>Reclamar un derecho verbal siempre será más difícil (no imposible) de demostrar; será tu palabra contra la de tu adversario. 
#Bukele #Disney #BancoCentral #LeonelFernandez #Hillary #Peru #Jerusalen #Santiago #Contrato https://t.co/3ezU1nYCW6</t>
  </si>
  <si>
    <t>Expectativa é que trinta milhões de pessoas sejam beneficiadas nesta etapa
#BancoCentral #cadastrodeinadimplentes #CadÚnico #programaDesenrolaBrasil #RenegociaçãodeDívidas #renegociardívidas
https://t.co/5PnOJxVeX8 https://t.co/M28jqy28wl</t>
  </si>
  <si>
    <t>FORA CAMPOS NETO.
Porque o povo brasileiro e o Brasil merecem! A riqueza e os recursos são do #povo 😭🇧🇷
#justica #riqueza #BancoCentral #CamposNetoFORADOBACEN #CamposOUT #CamposNetoHipocrita #ForaCamposNeto</t>
  </si>
  <si>
    <t>FORA CAMPOS NETO!!!! 🇧🇷 Pelo Brasil e pelo povo brasileiro. 🤗😎✅🌱
#ForaCamposNeto #povo #BancoCentral #Selic #BC #JurosBaixosJa #Economia #juros #ricos #superRicos #milionarios</t>
  </si>
  <si>
    <t>O #BancoCentral não pode continuar assassinando o povo brasileiro. Campos Neto precisa ser #cassado 
A #Economia não aguenta mais. Brasil ainda não deixou a rota de produzir #bilionarios e #pobres 🥵🇧🇷🫥
#BC #CamposNetoHipocrita #CamposOUT #BoicotEconomico #JurosBaixosJa #Selic</t>
  </si>
  <si>
    <t>Falta muito MUITO, MMMMUUUUITO... para por ordem nessa casa, que é o Brasil. 😱👀🇧🇷⚖️
1 TRILHAO de rombo, na conta de Campos Neto e do BC, Banco Central.
#1TRILHÃO #CamposNeto #rombo #BancoCentral #Governo #TCU #BC #errocontabil #Corrupto #CORRUPTION</t>
  </si>
  <si>
    <t>@ricardors_ofc Saiu o MANJA ROLA e entrou o MANJA CULHÃO! #Titanic #submarinemissing #BancoCentral #JurosBaixosJá #BolsonaroInelegivel #BolsonaroNaCadeia #BolsonaroEAliadosNaCadeia #submarino</t>
  </si>
  <si>
    <t>O #PIX se tornou um dos principais meios de pagamento no Brasil, senão o principal. Mas você sabia que ele não tem sigilo algum? 
#Bitcoin #bancocentral 
https://t.co/3mzgMf2e9p</t>
  </si>
  <si>
    <t>💥 Hasta que al fin llegó esta tremenda bendición. Casi que no pero se logró obtener, a pensar de la burocracia y los retrasos.🥳
#constancia #ponencia #unam #historia #historiaeconómica #economía #banca #bancacentral #bancocentral #banco #historiografía #deuda #monopolios https://t.co/ZlnLQdCTrW</t>
  </si>
  <si>
    <t>Autoridades del Banco Central de Cuba anunciaron este miércoles en conferencia de prensa nuevas medidas de bancarización en el país, que se implementarán de manera paulatina a partir del 3 de agosto.
#CiegodeÁvila #BancoCentral #LatirAvileño 
Abro Hilo
https://t.co/odMFSGHUOs</t>
  </si>
  <si>
    <t>#bancocentral #reservas #centralbank #EconTwitter Today's recommendations!  Demaestri, E., Ottavianelli, J., &amp;amp; Ferro, G. (@el_BID, @dECON_UdelaR, @UADEoficial) Integration of Financial Supervision in the Central Bank: The Uruguayan Experience [SPA] https://t.co/tIjlkUt5q5 https://t.co/s2l5azQO6e</t>
  </si>
  <si>
    <t>#ComunicarNoticias #ComunicarArgentina #Noticias #Press #Economia #FMI #SergioMassa #DeudaConElFMI #AcuerdoConElFMI #PagoAlFMI #Reservas #BancoCentral
✍🏼 @giseepanico_ 
https://t.co/7tbH7nDkrG</t>
  </si>
  <si>
    <t>Endeudarse con China es como entregarle tu vida al Usurero. 🤦🏻‍♂️
#china #swap #bancocentral #massa #dolar https://t.co/XiNxeVz5lq</t>
  </si>
  <si>
    <t>#ForaCamposNeto #BancoCentral #Bacen</t>
  </si>
  <si>
    <t>Lula assina decreto sobre criptomoedas e põe nas mãos do #BancoCentral a responsabilidade pela regulamentação desse mercado!! 
O que você acha?👀
#CryptocurrencyNews #Lula #cripto #Bitcoin</t>
  </si>
  <si>
    <t>Qual sua opinião sobre a gestão de Campos Neto no #BancoCentral ?
Acredita que rombo causado seja de total responsabilidade do executivo?</t>
  </si>
  <si>
    <t>Cansado de depender do #BancoCentral ? Conheça o ato de mediar negociações de captação de recursos de longo prazo entre organizações em expansão e descubra uma empresa que está revolucionando o mercado por meio de investimentos descentralizados!
#CryptocurrencyNews https://t.co/Q59DK9oOhg</t>
  </si>
  <si>
    <t>Banco Central anuncia inflación entraría dentro del rango meta al cierre de mayo
Más información en nuestra sección #EconimíaHOY⁣
⁣
#PeriódicoHOY #HOYDigital #ElHOY #BancoCentral 
https://t.co/6MupUK165R</t>
  </si>
  <si>
    <t>Banco Central: En primer semestre los flujos de remesas alcanzaron los US$5,019.9 millones
Más detalles en la sección #EconomíaHOY
⁣⁣⁣⁣⁣⁣⁣
#BancoCentral #Remesas #FlujosdeRemesas  #PeriódicoHOY #HOYDigital #ElHOY
https://t.co/9ijdRzeDCO</t>
  </si>
  <si>
    <t>Fuerza del Pueblo reacciona a respuesta del BC; dice evade explicar préstamo de 25 mil millones de pesos al gobierno
Más información en nuestra sección #ElPaísHOY⁣
⁣⁣⁣⁣⁣⁣⁣⁣⁣
#PeriódicoHOY #HOYDigital #ElHOY #BancoCentral #Préstamo #FP
https://t.co/0HFWuXeJnu</t>
  </si>
  <si>
    <t>Banco Central y misión del FMI analizan desempeño de la economía y sus perspectivas
Más información en nuestra sección #EconomíaHOY  
#PeriódicoHOY #HOYDigital #ElHOY #BancoCentral
https://t.co/9Q9HHJZeT4</t>
  </si>
  <si>
    <t>Medidas del Banco Central sin efectos esperados con economía estancada
Detalles en nuestra sección #OpiniónHOY⁣⁣⁣⁣⁣⁣⁣⁣⁣⁣ ⁣⁣⁣⁣ 
#BancoCentral #Economía #PeriódicoHOY #HOYDigital #ElHOY
https://t.co/wGc57vAkbx</t>
  </si>
  <si>
    <t>Você acha que as novas medidas ajudarão na segurança do PIX?
#Pix #BancoCentral #Seguranca #Financas
(Autora: Thamyris Abreu)</t>
  </si>
  <si>
    <t>Tan tonto como declarar que no es inevitable, es decir que era para el futuro lejano. Primero el sector financiero y luego el resto.
El foco no es negarse, es mantener el sistema de pago físico paralelo.
#DREX #CBDC #Brasil #BancoCentral #EnContraEnDiciembre</t>
  </si>
  <si>
    <t>Notas #OlharInvest: Cartão de crédito exige planejamento, juros rotativo do cartão se aproxima dos 500% ao ano.
#ibov #ibovespa #b3 #bc #bancocentral #brasil #economia #sp #rj #sc #selic #fiis #brasília #df #ms #mg #bh #ce</t>
  </si>
  <si>
    <t>BANCO CENTRAL atualiza perfil do Twitter e mantém taxa de juros em 13,75%. #selic #brasil #economia #finanças #taxadejuros #camposneto #bc #bancocentral</t>
  </si>
  <si>
    <t>11/05 BANCO CENTRAL atualiza perfil do Twitter e mantém taxa de juros em 13,75%. #selic #brasil #economia #finanças #taxadejuros #camposneto #bc #bancocentral</t>
  </si>
  <si>
    <t>Você curte o domingo mas de olho na repercussão que deve iniciar na próxima semana com a pergunta: Será que o segundo corte da SELIC vem? 
--
#camposneto #bc #bancocentral #selic #juros #economia #brasil #fazenda #tebet #haddad #galípolo #lula</t>
  </si>
  <si>
    <t>FOCUS: projeção do PIB do Brasil para 2024 subiu de 1,47% para 1,50% #bc #Bancocentral #economia</t>
  </si>
  <si>
    <t>#CVCB3 está sem diretores-chave, aponta Infomoney da XP Investimentos -- você acha que a larga veiculação dessa notícia é para:
#ibov #twitter #brasil #fed #ibovespa #copom #selic #bc #bancocentral #brics #b3 #indfut</t>
  </si>
  <si>
    <t>Meu o Banco Central é independente mané, quem está taxando o PIX é o Banco Central e não o Lula.
#pix #bancocentral #taxa</t>
  </si>
  <si>
    <t>O Sistema de Valores a Receber indica que existem R$ 7,08 bilhões em recursos esquecidos no sistema financeiro. De pessoas físicas e jurídicas. #BancoCentral #recursosesquecidosnosistemafinanceiro #SistemadeValoresaReceber https://t.co/9Y719HlhFK
https://t.co/9Y719HlhFK</t>
  </si>
  <si>
    <t>Banco Central registra que em maio, brasileiros sacaram R$ 11,75 bilhões a mais do que depositaram na caderneta de poupança. Maior valor desde 1995. #BancoCentral #cadernetadepoupança #retiradarecorde https://t.co/eMHqkkI6ga
https://t.co/eMHqkkI6ga</t>
  </si>
  <si>
    <t>#BancoCentral #HoraDeBaixarOsJuros</t>
  </si>
  <si>
    <t>Conseguiu uma resposta. #Bancointer #Brasil #Bancocentral #FederalReserve #BolsaValores https://t.co/XNLXQNVitX</t>
  </si>
  <si>
    <t>Inflação baixa e taxa de juros alta, como pode? #inflacao #taxadejuros #Economia #bancocentral https://t.co/yyMmGVbMdP</t>
  </si>
  <si>
    <t>Qual o retorno de R$ 1.000,00 em 1 ano com a SELIC a 12,75%?
.
.
.
.
.
#selic #taxadejuros #taxaselic #investimentos #dinheiro #popança #brasil #negócios #economia #bc #bacen #bancocentral #taxabasicadejuros https://t.co/2SN7FEpKJh</t>
  </si>
  <si>
    <t>#MercadoFinanceiro 💰
O Banco Central resistiu às pressões do governo e manteve a taxa básica de juros (Selic) em 13,75% ao ano, pela sexta vez seguida no Comitê de Política Monetária (Copom)
📺 Baixe agora. É grátis: https://t.co/454HXZLVer
#BancoCentral #Juros https://t.co/LIbVsQHdgj</t>
  </si>
  <si>
    <t>#MorningShow 🌞
Após Lula (PT) criticar Campos Neto, Haddad (PT) fez questão de elogiar presidente do Banco Central e diz que voto no Copom foi "técnico"; comentaristas opinam
📺 Baixe agora. É grátis.
#Haddad #Lula #PT #Copom #BancoCentral #Presidente #Política #Brasília https://t.co/s0GQRxOvqu</t>
  </si>
  <si>
    <t>#TáNaRoda ⭕
Governo anunciou indicação de Pochmann (PT) para presidência do IBGE
Em seu primeiro discurso, Márcio se juntou às críticas do presidente Lula (PT) ao atacar o Banco Central
📺 Baixe agora. É grátis.
#Pochmann #Lula #BancoCentral https://t.co/GWkaltBWmq</t>
  </si>
  <si>
    <t>@RenunciaBoricCL @GabrielBoric La culpa también es de @sebastianpinera x no haber enfrentado con firmeza el estallido, regalar la Const, cuarentenas y restricciones sanitarias irracionales. Además ChV, salvo la reforma tributaria, ha apoyado todas las medidas anti empleo de Boric. #BancoCentral</t>
  </si>
  <si>
    <t>#BancoCentral #BRDE | Com nome aprovado pelo Banco Central, Ranolfo Vieira Júnior tem primeiras reuniões com equipes do BRDE |  https://t.co/i4LOOjjEg2
https://t.co/i4LOOjjEg2</t>
  </si>
  <si>
    <t>Javier Milei es un fraude. #javiermilei #Argentina #inflación #economía #política #macri #deudas #fmi #bancocentral #Dictadura 
https://t.co/8Wh84Jt76T</t>
  </si>
  <si>
    <t>Javier Milei es un fraude. #javiermilei #Argentina #inflación #economía #política #macri #deudas #fmi #bancocentral #Dictadura 
https://t.co/8Wh84Jt76T https://t.co/HgsMewC1id</t>
  </si>
  <si>
    <t>O levantamento mostrou que a expectativa agora é de que a taxa básica de juros Selic encerre 2023 a 12,00%, de 12,25% esperados antes.
Saiba mais.
#selic #juros #inflação #bancocentral
https://t.co/7VcdUBCMIs</t>
  </si>
  <si>
    <t>Conheça mais sobre a nova moeda digital brasileira clicando no nosso portal!
#moeda #digital #drex #bancocentral #alternativa #economia
https://t.co/b0KHdleXxA</t>
  </si>
  <si>
    <t>Aumento em relação ao Boletim Focus anterior foi causado pelo anúncio da Petrobras do reajuste de combustíveis na semana passada.
Leia mais.
#inflação #bancocentral #combustíveis #boletimfocus
https://t.co/SodrjA2mss</t>
  </si>
  <si>
    <t>O centro da meta oficial para a inflação em 2023 é de 3,25% e para 2024 e 2025 é de 3,00%, sempre com margem de tolerância de 1,5 ponto percentual para mais ou menos.
Saiba mais no nosso portal!
#inflação #bancocentral #selic #economia 
https://t.co/4ciQkdgDVZ</t>
  </si>
  <si>
    <t>Para o PIB, a estimativa de crescimento este ano segue em 1,0%, mas para 2024 recuou 0,01 ponto percentual, a 1,40%.
Mais informações sobre a inflação, no site do Diário do Comércio.
#inflação #boletimfocus #bancocentral #pib
https://t.co/ZrdpBXLK5U</t>
  </si>
  <si>
    <t>A chegada da moeda virtual oficial brasileira promete mudar a nossa relação com o dinheiro e, especialmente, com os meios de pagamentos, muito em breve.
Saiba mais sobre o Drex no site Diário do Comércio!
#drex #bancocentral #moedadigital #real #finanças
https://t.co/1rrgJEvaQb</t>
  </si>
  <si>
    <t>Banco Central apontou que a crise provocou aumento no custo do crédito via mercado de capitais e uma postura mais rigorosa das instituições financeiras nas operações de risco sacado.
Clique e leia mais.
#americanas #varejo #bancocentral #sistemabancário
https://t.co/Ps7W5OmJMG</t>
  </si>
  <si>
    <t>A pesquisa semanal com economistas mostrou ainda que a perspectiva para a política monetária segue sem alterações.
Confira.
#boletimfocus #bancocentral #inflação #PIB
https://t.co/0K1lHrl6zu</t>
  </si>
  <si>
    <t>O boletim Focus aponta uma expectativa de 2,56% para o crescimento da economia brasileira.
Saiba mais.
#boletimfocus #PIB #economia #bancocentral
https://t.co/dkhFUHduBH</t>
  </si>
  <si>
    <t>Por 5 votos a 4, o Comitê de Política Monetária (Copom) reduziu a taxa Selic, juros básicos da economia, em 0,5 ponto percentual, para 13,25% ao ano.
Saiba mais no link abaixo!
#copom #selic #juros #crédito #inflação #bancocentral 
https://t.co/4xfIvVhYkf</t>
  </si>
  <si>
    <t>Concorda com a afirmação do presidente?
#lula #juros #selic #bancocentral
https://t.co/QOTazYy1ZR</t>
  </si>
  <si>
    <t>O Banco Central do Brasil divulgou que as reservas internacionais totalizaram US$ 344,2 bilhões em agosto de 2023.
Clique aqui e entenda!
#bancocentral #Economia #poupança #Brasil
https://t.co/2rxXaJLFBo</t>
  </si>
  <si>
    <t>Analistas reduziram suas projeções para a alta do IPCA neste ano e no próximo a respectivamente 4,86% e 3,86%, de 4,93% e 3,89% na semana anterior.
Confira mais dados do Boletim Focus.
#boletimfocus #bancocentral #ipca #inflação #pib
https://t.co/SVxKEesdPR</t>
  </si>
  <si>
    <t>Leia a avaliação dos especialistas ouvidos pelo Diário do Comércio.
#selic #juros #bancocentral #economia
https://t.co/1SLbWJugdO</t>
  </si>
  <si>
    <t>Galperín sale en defensa de Mercado Pago: «no lo van a romper» https://t.co/o8UxEHkydG 
#MercadoPago #BancoCentral #BilleteraVirtual https://t.co/qPvjNds9sf</t>
  </si>
  <si>
    <t>Pela sexta vez seguida e por unanimidade, o Copom manteve a taxa básica de juros (Selic) em 13,75% ao ano. #juros #economia #Bancocentral https://t.co/L8LIHmtNPE</t>
  </si>
  <si>
    <t>Los estadounidenses pierden la confianza en su presidente del #bancocentral . ⁦@Gallup⁩ https://t.co/DaiiXkfWWh</t>
  </si>
  <si>
    <t>🔴 Argentina al borde del colapso, casi en quiebra
👉🏻 https://t.co/O8Jd6EfH7N
#⃣ #mil21 #17DeMayo #Argentina #Economía #Inflación #FondoMonetarioInternacional #FMI #BancoCentral</t>
  </si>
  <si>
    <t>O que será que eles conversaram ?
#ações #bancocentral
Fonte: Money Times https://t.co/ATqle2h3tG</t>
  </si>
  <si>
    <t>Feliz #16dejunho #criacaodamoeda #moeda #metical #bni #mozambique #desenvolvimento #bancocentral https://t.co/nQ22Xngh9O</t>
  </si>
  <si>
    <t>Según datos del #BancoCentral....
Era uno de los puntos fuerte de su campaña electoral de #Lasso: la inversión extranjera. #Ecuador https://t.co/X5sNi5PMNt</t>
  </si>
  <si>
    <t>Guido Sandleris (@gsandleris), ex presidente del #BancoCentral, señaló que la gestión de #AlbertoFernández (@alferdez) no cumplió con ninguna de las metas fijadas en el acuerdo con el organismo internacional.
Leé la nota completa acá 👇
https://t.co/ouOM2XErjH</t>
  </si>
  <si>
    <t>🏦 El #BancoCentral anunció que desde este lunes, la tasa de #política monetaria se ubica en 118% anual, con lo que aumentan los rendimientos para los #plazos fijos.
Leé la nota completa acá 👇
https://t.co/YVNJ7Iq2DB</t>
  </si>
  <si>
    <t>🗣️ El expresidente del #BancoCentral habló sobre el futuro de la #economía del país y las estrategias y opciones para combatir la #inflación.
Leé la nota completa acá 👇
https://t.co/E2lpJWaO9B</t>
  </si>
  <si>
    <t>Banco Central está com essa e algumas outra propostas para inovar modo do brasileiro se relacionar com os bancos e formatos de pagamentos https://t.co/6Kbn5FrmBU / #BancoCentral #BancoDigital #Contas</t>
  </si>
  <si>
    <t>Banco Central anunciou diversas novidades para utilização do Pix, inclusive a possibilidade de usar sem conexão com a internet https://t.co/uniTTzzU7i
 / #Pix #BancoCentral #Finanças</t>
  </si>
  <si>
    <t>El Periodismo que tanto quiso Sacar al Kirchnerismo..como TN, La Nación, etc. ME IMAGINO que que buscarán que Milei y Bullrich vayan al Ballotage. O van a jugar a favor de Massa, Para que Vayan Bullrich y Massa al Ballotage?.  #bancocentral</t>
  </si>
  <si>
    <t>Faz tempo que não tínhamos boas notícias desse boletim. Nível geral dos preços abaixo dos 6% é para comemorar.  Focus - Relatório de Mercado https://t.co/CEPsxu6g7V #BancoCentral #BCB via @BancoCentralBR</t>
  </si>
  <si>
    <t>#Económicas l Pedro Brache afirma medida del Banco Central provocará reducción de precios de productos
Ñ…
#PedroBrache #BancoCentral #Productos https://t.co/S5Ugu7eit7 a través de @ElDia_do</t>
  </si>
  <si>
    <t>HERMAN HESSE. «La felicidad es amor, no otra cosa. El que sabe amar es feliz.» Escritor. Poeta. Premio Nobel de Literatura. De sus novelas y poemas, se han vendido más de 30 millones de copias. Murió 9/8/1962, Suiza #Padel #BancoCentral #Cicpc #PDVSA https://t.co/YxZGfotlRC</t>
  </si>
  <si>
    <t>Las 10 novelas históricas más grandes de todos los tiempos https://t.co/fTdabbsGUW #BancoCentral #Latam #CHANEL</t>
  </si>
  <si>
    <t>MUSEO:
El 14/8/1990: Se inaugura el Museo Alejandro Otero en Caracas. El Museo más visitado del Mundo. #BancoCentral #venezolanos #Universidad #CHANEL https://t.co/NZfTTCslmy</t>
  </si>
  <si>
    <t>JOHN GALSWORTHY. «Sólo hay una regla para todos los políticos del mundo: no digas en el poder lo que decías en la oposición.» Escritor. Dramaturgo. Premio Nobel de Literatura 1932. Su libro “El propietario”, adaptado al cine. Nació 14/8/1867, Reino Unido #Argentina #BancoCentral https://t.co/auAXm20XfX</t>
  </si>
  <si>
    <t>ORLANDO ARAUJO: Escritor. Revolucionario. Donó el monto del Premio Nacional de Literatura a la resistencia chilena contra la dictadura de Pinochet. Su libro “Los viajes de Miguel Vicente, pata caliente”. Nació 14/8/1928,Calderas, Edo. Barinas #BancoCentral #WENDY #Argentina #EEUU https://t.co/6kLQxK2pCQ</t>
  </si>
  <si>
    <t>EDGAR DEGAS. «El arte es vicio. No te casas con él legítimamente, lo raptas» Pintor, uno de los precursores del impresionismo y máximos representantes del arte moderno. Su cuadro “Bailarinas en el salón de ensayo de la ópera”. Murió 27/9/1917, París #Carabobo #BancoCentral #nacho https://t.co/1IKC1Eov4q</t>
  </si>
  <si>
    <t>Siete frases de pensadores en el Día Internacional del Filósofo - https://t.co/lzZbYrbFJ8 
#Kendall #Hawai  #Lamentable #BancoCentral</t>
  </si>
  <si>
    <t>Bien patético  @ValeMelipillan  pero por los vecinos nada hace, un Ejemplo autoriza locales nocturnos en plena zona Residencial en Quilpue afectando abuelitos, niños que asisten al Colegio minusválidos y vecinos que trabajan #BancoCentral #AcusacionConstitucional #Renuncio #Boric</t>
  </si>
  <si>
    <t>4 claves para entender cómo funciona, y afecta a los créditos, el Requerimiento de #CapitalContracíclico activado por el #BancoCentral #Economia #Bancos #Chile #hipotecario #creditos https://t.co/CTOTvlMk9A</t>
  </si>
  <si>
    <t>Se liguem!
#bitcoin #Itau #bradesco #Santander #dolar #BancoCentral https://t.co/suOYgCz9fS</t>
  </si>
  <si>
    <t>Após varias tentativas finalmente conseguimos abrir o cofre e agora ta rolando a negociação com os puliça
#SantaRapozinha #bancoCentral https://t.co/Fcq03WN6XE</t>
  </si>
  <si>
    <t>Comissão do Senado aprova convite para que Campos Neto explique juros
https://t.co/nhUdkaCDhE
#camposnetos #bancocentral #juros #diariodoestado #goiás https://t.co/MUcEWQdjfS</t>
  </si>
  <si>
    <t>RT @NAagencia: 🗣️ El socio fundador de #MercadoPago, Marcos Galperín, salió en defensa de su compañía al criticar la última medida del #Ban…</t>
  </si>
  <si>
    <t>🌡️ Deflação em junho no Brasil: -0.08%
💰 Inflação nos últimos 12 meses:
🏴󠁧󠁢󠁥󠁮󠁧󠁿 Reino Unido: 8.7%
🇩🇪 Alemanha: 6.4%
🇪🇺 União Europeia: 5.5%
🇺🇸 Estados Unidos: 4%
🇧🇷 Brasil: 3.16%
#Inflação #Controle #Economia #BancoCentral
https://t.co/Pv3f3dnZoK…</t>
  </si>
  <si>
    <t>Buen día Zurditos y Zurditas de este beio país llamado Peronlandia. 
A laburar que el #BancoCentral compró 450 millones de dólares y esto no se paga solo....</t>
  </si>
  <si>
    <t>Si tan solo los correistas entendieran este dato, 😢Ahora resulta q la mimada del prófugo dice q si gana quiere gastarse 2500 millones de la reserva apenas se siente en el palacio. 😭😫
#ReservasInternacionales 
#BancoCentral 
#Ecuador2023</t>
  </si>
  <si>
    <t>O presidente do Banco Central discute a necessidade de diminuir a concentração bancária no Brasil, o combate à inflação e a autonomia da instituição. Reforça a importância do patriotismo e da contribuição individual para o crescimento do país. #EconomiaBrasil🇧🇷 #BancoCentral🏦</t>
  </si>
  <si>
    <t>El icónico edificio que volvió atrás en el tiempo y hoy se ve como en 1876 https://t.co/iuzlAW8Pzg a través de @LANACION 
#CadaVezMasRemax #Remax_Cosmopolita #SomosRemaxCosmopolita #MudatealaVidaqueQueres #Casas #Departamentos #PH #CABA #Restauración #BancoCentral #Historico</t>
  </si>
  <si>
    <t>https://t.co/SAwSiajy8e #brasil #bancocentral #taxadejuro</t>
  </si>
  <si>
    <t>#RioBravoInvestimentos #AsInstituiçõesEstãoFuncionando? #FuncionamentoDasInstituições #MercadoFinanceiro #Liderança #GustavoFranco #EducaçãoFinanceira #BancoCentral #Economia</t>
  </si>
  <si>
    <t>#RioBravoInvestimentos #AsInstituiçõesEstãoFuncionando? #MercadoFinanceiro #Liderança #GustavoFranco #EducaçãoFinanceira #Economia #BancoCentral</t>
  </si>
  <si>
    <t>A I Conferência Anual do Banco Central do Brasil está imperdível... espero que eles possam transmitir pelo Youtube para quem não estiver em Brasília possa assistir. https://t.co/pXPfH5YRps #BancoCentral #BCB via @BancoCentralBR</t>
  </si>
  <si>
    <t>André Esteves defende corte de 0,5 ponto na Selic pelo #BancoCentral em agosto. 👏 https://t.co/ZuoGn1VqAI</t>
  </si>
  <si>
    <t>🇩🇴| #HTnacionales  | El Banco Central de la República Dominicana lanza nuevos billetes de RD$500 con medidas de seguridad mejoradas.
Más información ▶️ https://t.co/fEvUXHERGf
#htnoticias #BancoCentral #BCRD #nacionales #nuevosbilletes #RD https://t.co/U9gQwlqKQG</t>
  </si>
  <si>
    <t>📰| #HTactualidad | Andy Dauhajre confía en que medidas del BC dinamizarán economía en dos meses.
Más información ➡️ https://t.co/WwwGAcNTtK
#htnoticias #htnoticiasrd #htredes #Actualidad #AndyDauhajre #BancoCentral #Economia
https://t.co/SB4mQWsulG https://t.co/wloEZn9cSg</t>
  </si>
  <si>
    <t>📈| #HTfinanzas | Banco Central informa que las remesas rondaron los US$4,200.0 millones en los primeros cinco meses de 2023, superando en 2.9 % al mismo periodo de 2022.
Más información ▶️ https://t.co/qop1ew1gaZ
#htnoticias #BancoCentral #Economia #remesas https://t.co/xz7G1dhHJ2</t>
  </si>
  <si>
    <t>Recien me pagaron en mano llego a casa y me doy cuenta de esto...
#inflation #inflacion #PapelitosDeColores
#2023Mayo8 #BancoCentral #BCRA https://t.co/vbqxoVFK6m</t>
  </si>
  <si>
    <t>SUBA DE TASAS DE PLAZOS FIJOS AL 118%: LOS CUATRO ARGUMENTOS DEL BANCO CENTRAL
#Nacionales #Argentina 🇦🇷 #Economia #BCRA #BancoCentral #PlazosFijos #Tasas #PrensadelInterior
https://t.co/Yy9lMK20Dl</t>
  </si>
  <si>
    <t>MERCADO CAMBIARIO: EL DÓLAR INFORMAL ANOTÓ SU MAYOR SUBA EN DOS SEMANAS Y AVANZÓ $12 A $750
La brecha con el oficial trepa hasta el 129,2%. 
#Nacionales #Argentina 🇦🇷 #Economia #MercadoCambiario #Dolar #DolarBlue #BancoCentral #BCRA #PrensadelInterior
https://t.co/q5IiaIwnPu</t>
  </si>
  <si>
    <t>Consultora experta en Impuestos, Auditoria, Contabilidad, Remuneraciones, Finanzas, Recursos Humanos, Creación de empresas, Término de Giro y +.
Agenda tú reunión  100% gratis para analizar tu empresa 📲
https://t.co/rQEgRaz4Ow
#horror #santiago #BancoCentral #China #LaFlorida</t>
  </si>
  <si>
    <t>https://t.co/WCafmuJz91  INFORMARSEEE #Milei2023 KICILLOFF #BancoCentral #BCRA</t>
  </si>
  <si>
    <t>@PabloSpyer #bancocentral https://t.co/YFFLHy5HFj</t>
  </si>
  <si>
    <t>Campos Neto, o presidente do Banco Central, será convocado novamente para explicar política monetária e taxa de juros. Saiba mais sobre a notícia!
#camposneto #neto #BancoCentral #taxadejuros #Senado 
https://t.co/JMKomhRC8D</t>
  </si>
  <si>
    <t>#Elecciones2023 #LaLibertadAvanza 
Ramiro #Marra: "Al quemar el #BancoCentral, no tenés la opción de que te roben". https://t.co/R9oWy1wGhW</t>
  </si>
  <si>
    <t>#Elecciones2023 #PASO2023 #LaLibertadAvanza
Javier #Milei: "Desde que tenemos #BancoCentral le quitamos 20 ceros a la modena. Tuvimos tres hiperinflaciones sin guerras".</t>
  </si>
  <si>
    <t>#Economia 
Sergio #Massa en #China: obtuvo alrededor de 1.000 millones de dólares en inversiones y desembolsos que fortalecerán las reservas del #BancoCentral. https://t.co/qBu7XjtrjE</t>
  </si>
  <si>
    <t>#Economia 
Este lunes, Sergio #Massa anunciará nuevas medidas con el objetivo de contener la #inflacion.
Se espera una suba en la tasa de interés y la intervención del #BancoCentral para estabilizar el #dolar. https://t.co/RboHRYLM1J</t>
  </si>
  <si>
    <t>#Economia 
El #BancoCentral devaluó y llevó el #dolar oficial a $365 luego del triunfo de Javier #Milei en las #PASO.
El #DolarBlue abrió la mañana a $670 para la venta. https://t.co/OohCnGDTQw</t>
  </si>
  <si>
    <t>#Economia 
El #BancoCentral obliga a las billeteras virtuales a pagarle intereses a todos los usuarios. https://t.co/zBcfF123C3</t>
  </si>
  <si>
    <t>#Economia 
El #BancoCentral lanzó un nuevo billete de $1.000: tiene la imagen de #SanMartín. https://t.co/cEM0Uv5bvC</t>
  </si>
  <si>
    <t>#inflacion #Economia 
Más allá del índice del 12,4%, el #BancoCentral decidió no aumentar las tasas de interés. https://t.co/hyYy50kyZY</t>
  </si>
  <si>
    <t>#DolarBlue #dolar 
La divida informal volvió a tener una suba y se vende a $483.
El #BancoCentral compró USD 60 millones. https://t.co/oRnQcZLWHb</t>
  </si>
  <si>
    <t>#Elecciones2023 #LaLibertadAvanza 
El elegido por Javier #Milei para manejar el #BancoCentral, Emilio #Ocampo, presagió: "Soy la persona que supuestamente tiene que durar menos en su cargo". https://t.co/AEr7WZoikU</t>
  </si>
  <si>
    <t>#Elecciones2023 #UnionPorLaPatria 
Sergio #Massa contra Javier #Milei: "Los que plantean el abandono de nuestra moneda, plantean simplemente poner la bandera de otro país en el #BancoCentral y en el Congreso argentino". https://t.co/pro6Xv6WAS</t>
  </si>
  <si>
    <t>#Economia 
El #BancoCentral confirmó cómo será el nuevo billete de $200: tendrá a Martín Miguel de Güemes y a Juana Azurduy. https://t.co/RzCAIqsUmB</t>
  </si>
  <si>
    <t>#Elecciones2023 #JuntosPorElCambio #PRO 
Conferencia de prensa de Horacio Rodríguez #Larreta con su equipo: "Voy a cerrar las puertas del #BancoCentral para que tenga independencia".</t>
  </si>
  <si>
    <t>#Elecciones2023 #UnionPorLaPatria #Economia 
Sergio #Massa desactivó la medida del #BancoCentral que regulaba la utilización de las billeteras virtuales como #MercadoPago.
https://t.co/3VYlerGBJ9</t>
  </si>
  <si>
    <t>#Elecciones2023 #Economia #JuntosPorElCambio 
Patricia #Bullrich dijo que "lo primero que vamos a hacer es entrar con una cámara de televisión al #BancoCentral para mostrar a la gente qué dejan". https://t.co/IW67A0PX5j</t>
  </si>
  <si>
    <t>#Economia #dolar 
El #BancoCentral finalizó julio con compras de 177 millones de dólares. https://t.co/dYkDK9musW</t>
  </si>
  <si>
    <t>3) La decisión señala un reconocimiento por parte del presidente, Alberto #Fernández, de que su administración se encuentra en una encrucijada financiera. También se ha visto un aumento sustancial en la tasa de interés clave del #bancocentral, que se elevó en un 21% al 118%.</t>
  </si>
  <si>
    <t>El Banco Central de Brasil redujo este miércoles en 0,50 puntos porcentuales la tasa básica de intereses, que ahora se ubica en el 12,75% anual, el menor nivel de los últimos 16 meses, informó el organismo emisor. #bancocentral #Brasil #interés #reduce
https://t.co/d9ZyBDotyU</t>
  </si>
  <si>
    <t>Pocas veces se ponen de acuerdo. Pero esta vez, las tres cámara industriales de fama se plantaron ante el Banco Central. Enterate. #CILFA #CAEMe #COOPERALA #Industria #Farma #Dólares #BancoCentral #Importaciones #Farma #Pharmabiz
https://t.co/jBkRykX5HS https://t.co/JSEcxy3Unm</t>
  </si>
  <si>
    <t>Ni siquiera pido la devolución, sino el cambio por un televisor bueno @TiendasHites
 #senadora #bancocentral</t>
  </si>
  <si>
    <t>#Ahora en @actualidad2_0 Marcos Bensimon, ex subsecretario de coordinación Financiera de Chubut.
#Dolar #BancoCentral 
@raulefi https://t.co/qSGTzizjqT</t>
  </si>
  <si>
    <t>#RefinanciacionDeuda #BancoCentral 💬Marcos Bensimon '' La deuda se incrementaría en un 90%. El Juzgado Federal de Córdoba, dio favorable el planteo de Chubut, que hace que la provincia se le permita el 100% de los dólares a precio oficial  ''</t>
  </si>
  <si>
    <t>Incompetência do Ministro ou Crise no País? Para esse governo é mais fácil jogar a culpa para o Banco Central!
https://t.co/yCC5X3u0xH
#incompetencia #crise #Haddad #governolula #bancocentral #contador #contabilidade #calculojudicial #FredQuintanilha #ContabilidadeQuintanilha</t>
  </si>
  <si>
    <t>Integrante da equipe de transição de #governo e importante na campanha de #Lula, Gabriel Galípolo foi indicado para a diretoria de #política monetária do #BancoCentral e, pode vir a ser, o sucessor de Roberto Campos Neto na presidência do BC. Fonte: Blomberg</t>
  </si>
  <si>
    <t>🇦🇷 Milei:
👉🏼 Niega el #CambioClimático
👉🏼 Propone la #VentaDeÓrganos
👉🏼 Dice que el #aborto es "un asesinato agravado por el vínculo"
👉🏼 que la #educación no debe ser pública
👉🏼 Quiere "poner una bomba" en el #BancoCentral
👉🏼 #Insulta a sus rivales</t>
  </si>
  <si>
    <t>🇦🇷 Creo que, a esta altura, #Marull es un método – además de un apellido.
#Argentina #economía #dólar #BancoCentral</t>
  </si>
  <si>
    <t>👉🇦🇷👉🇨🇳👉| #NoticiasRED92 | #SwapConChina | #BancoCentral | 
https://t.co/ygUfXDPmdJ
El Central habilitó la apertura de cuentas bancarias en yuanes</t>
  </si>
  <si>
    <t>💵🤳 | #BilleteraVirtual | #CódigoQR | #BancoCentral | 
Los comercios que tengan pago con QR tendrán que aceptar billeteras digitales
https://t.co/sngRbnXFzh</t>
  </si>
  <si>
    <t>🏦💵 | #BancoCentral | #PlazoFijo | #TasaDeInterés | 
BANCO CENTRAL | Suben la tasa de interés para plazos fijos al 97% anual
https://t.co/GucoVW5iVH</t>
  </si>
  <si>
    <t>🌱🛻💰 | #NoticiasRed92 | #Vicentin | #Acciones | #BancoCentral | 
El gobierno analiza una oferta para tomar el control de Vicentin
La noticia fue confirmada por Silvina Batakis, titular del Banco Nación, con una propuesta que tendría al Estado como acreedor parcial de las… https://t.co/JSGuUSheVM</t>
  </si>
  <si>
    <t>👉🇦🇷👉| #NoticiasRED92 | #BancoCentral | #AumentoDeReservas | 
El Banco Central compró US$62 millones y sumó 26 jornadas consecutivas con saldo positivo
https://t.co/VL49WA6NNz</t>
  </si>
  <si>
    <t>Banco Central informa que la inflación interanual baja a 3.95% en julio https://t.co/v93JoT49Rh a través de @EsquinaRD 
#BancoCentral #Inflación #baja</t>
  </si>
  <si>
    <t>Banco Central informa economía dominicana registra expansión de 2.9% en el mes de julio https://t.co/nyE0sL4S2k #EsquinaRD #BancoCentral #economíadominicana #expansión #Julio2023</t>
  </si>
  <si>
    <t>Banco Central mantiene su tasa de interés de política monetaria en 7.75 % anual https://t.co/JMJC5188wz a través de @EsquinaRD 
#BancoCentral #Tasadeinterés #anual #politícamonetaria</t>
  </si>
  <si>
    <t>El Banco Central de República Dominicana entra a formar parte del Comité Irving Fisher https://t.co/v5NLBjteHw a través de @EsquinaRD #BancoCentral #ComitéIrvingFisher</t>
  </si>
  <si>
    <t>Las remesas crecen 4,2% durante primeros siete meses del año, según Banco Central https://t.co/vnuQh38caZ #EsquinaRD #remesas #crecen #BancoCentral</t>
  </si>
  <si>
    <t>República Dominicana recibió 6.769 millones de dólares en remesas entre enero y agosto https://t.co/UbDOMAkjTE  #EsquinaRD #remesas #RepublicaDominicana #BancoCentral</t>
  </si>
  <si>
    <t>🤳💸 Una nueva norma del #BancoCentral cambia todo en las #BilleterasVirtuales como #MercadoPago, #CuentaDNI, #Modo, #Ualá y más 👇 https://t.co/Xq7TCGaXwP</t>
  </si>
  <si>
    <t>INESPERADO CAMBIO EN LAS #BILLETERASVIRTUALES 🤑 El #BancoCentral dispuso que todas las billeteras digitales deberán compensar a sus usuarios por los fondos que mantengan en sus cuentas, incluso si no fueron invertidos https://t.co/F5CVPJmnQ1</t>
  </si>
  <si>
    <t>https://t.co/5LPOuqngev 🤳 El #BancoCentral cambió las normas y las #BilleterasVirtuales deberán pagar interés por el dinero de sus clientes aunque no esté invertido 👇</t>
  </si>
  <si>
    <t>FUEGO CRUZADO 💥 #MercadoPago apuntó contra el #BancoCentral por una nueva medida que empezará a regir el 1 de diciembre 👇 https://t.co/hlQbkQNiJ2</t>
  </si>
  <si>
    <t>¿Se modera la inflación GRACIAS a Petro? 🇨🇴💹💼 Descubramos juntos la verdad detrás de esta cuestión clave.
Te invitamos a leer la noticia completa en nuestra página web ➡️ 
https://t.co/TZexeJJzvj
#EconomíaColombiana #Inflación #GobiernoPetro #BancoCentral #DatosEconómicos 📊💡</t>
  </si>
  <si>
    <t>Presidente do BC afirma que mercado está 'dando credibilidade' às medidas econômicas do governo Lula.
#Presidente #BancoCentral #Juros #Lula #PortaliG 
https://t.co/uMP8QnLvyM</t>
  </si>
  <si>
    <t>Ministro criticou Selic e disse que juros baixos geram empregos.
#Economia #BancoCentral #PortaliG
https://t.co/G2uY9LeTvf</t>
  </si>
  <si>
    <t>Presidente do Banco Central sugeriu fim do crédito rotativo. #PortaliG #Economia #BancoCentral
https://t.co/XSUFkHResS</t>
  </si>
  <si>
    <t>Informações protegidas pelo sigilo bancário, como saldos e senhas, não foram comprometidas.
#PortaliG #BancoCentral #pix
https://t.co/y5nzL9Q2CY</t>
  </si>
  <si>
    <t>Em 12 meses, indicador ficou positivo em 3,12%, revela BC.
#PortaliG #Economia #BancoCentral
https://t.co/2l8MxoKda0</t>
  </si>
  <si>
    <t>A própria instituição já sinalizou que devem vir mais cortes nos próximos meses. #PortaliG #BancoCentral
https://t.co/7u7ohsUm4D</t>
  </si>
  <si>
    <t>Presidente do Banco Central disse que apoia também a taxação dos 'super-ricos'.
#PortaliG #Presidente #BancoCentral
https://t.co/9aODFHmkqZ</t>
  </si>
  <si>
    <t>Presidente Lula e Roberto Campos Neto, do Banco Central, têm reunião de trabalho cordial. Conversas periódicas são planejadas para o futuro. #Lula #BancoCentral #Economia</t>
  </si>
  <si>
    <t>RT @ratasyratones: @aro_rojas @perezjuan1962 @adolfopena9 @America81525537 @racuminvenenoso @chichaypuro @Chena1960 @emelec65 @Mis__Notas @…</t>
  </si>
  <si>
    <t>"Juntos nós protegemos em dobro"
Itaú e você contra golpes e fraudes.
Itaú Unibanco registra lucro de R$ 7,436 bilhões no segundo trimestre de 2022
QUEM É O LADRÃO DA SUA CONTA?
#ITAU
#BANCOCENTRAL</t>
  </si>
  <si>
    <t>Conheça o Revolut, o novo competidor de Nubank, Inter e C6 Bank
#BancoCentral #BancoInter #Bancos
https://t.co/zioz3qcXRm</t>
  </si>
  <si>
    <t>Real Digital: Banco Central estima data para início dos testes
#BancoCentral #CryptoTimes #Economia
https://t.co/trXGlMSfKS</t>
  </si>
  <si>
    <t>Dólar Digital e outras CBDCs devem ser banidas, como defende Ron DeSantis, candidato à presidência dos EUA?
#BancoCentral #Criptomoedas #CryptoTimes
https://t.co/TYAHQRuVrX</t>
  </si>
  <si>
    <t>Drex: Por que o Banco Central escolheu este nome para a moeda digital?
#BancoCentral #Brasil #CryptoTimes
https://t.co/AzmcjjAB2v</t>
  </si>
  <si>
    <t>Marco legal de criptomoedas começa a valer amanhã; confira quais são as mudanças
#BancoCentral #CryptoTimes #FeedPrincipal
https://t.co/NPX2ySOJPa</t>
  </si>
  <si>
    <t>Drex: Testes do real digital já começaram; veja quando deve começar a funcionar
#BancoCentral #CryptoTimes #Drex
https://t.co/VQsWPwsryD</t>
  </si>
  <si>
    <t>Nubank (NUBR33) prepara terreno para acomodar projeto piloto do Real Digital
#BancoCentral #CryptoTimes #FeedPrincipal
https://t.co/Mnaf8IXYS2</t>
  </si>
  <si>
    <t>Drex: Entenda como usar o real digital nas suas compras
#BancoCentral #Brasil #CryptoTimes
https://t.co/d3s6KMnkmj</t>
  </si>
  <si>
    <t>Drex: Entenda a diferença entre a nova moeda digital e o Pix
#BancoCentral #Brasil #CryptoTimes
https://t.co/fVpqutznVj</t>
  </si>
  <si>
    <t>Drex: Como vai funcionar o real digital?
#BancoCentral #Blockchain #Brasil
https://t.co/4I6R4UMfCT</t>
  </si>
  <si>
    <t>Tokenização: Como instituições financeiras e BC se preparam para nova revolução digital?
#BancoCentral #ColunadoCássioKrupinsk #ColunasCryptoTimes
https://t.co/0V7nFS1DeF</t>
  </si>
  <si>
    <t>Marco Legal das Criptomoedas: Lula deve assinar decreto na próxima semana; entenda
#ABCripto #BancoCentral #Criptoativos
https://t.co/3FA3pIgCW2</t>
  </si>
  <si>
    <t>Banco do Brasil (BBAS3) e Caixa: Bancos estatais fazem primeira transferência com Drex, o real digital
#BancoCentral #BancodoBrasil #Brasil
https://t.co/jfAbJXEXP8</t>
  </si>
  <si>
    <t>Provedora de pagamentos da Binance obtém autorização do BC para emitir moeda eletrônica
#BancoCentral #Binance #Corretoracripto
https://t.co/YLA8YYbtXH</t>
  </si>
  <si>
    <t>Transfero ganha aval de instituição de pagamento do Banco Central; entenda o que muda
#Argentina #BancoCentral #Brasil
https://t.co/58KbmoQItH</t>
  </si>
  <si>
    <t>Real Digital: BC define nome para a moeda; confira
#BancoCentral #CryptoTimes #Economia
https://t.co/4A9rOYyYFS</t>
  </si>
  <si>
    <t>Decreto Nº 11.563: Mercado festeja escolha de BC para regulamentar criptomoedas
#BancoCentral #Binance #Coinbase
https://t.co/4lXADg5uQV</t>
  </si>
  <si>
    <t>Decreto nº 11.563: Lula nomeia Banco Central para regulamentar criptomoedas; veja a íntegra do texto
#BancoCentral #Criptoativos #Criptomoedas
https://t.co/yGRpD1xkkL</t>
  </si>
  <si>
    <t>#camposneto
#bancocentral
#boicote
#autoritarismo</t>
  </si>
  <si>
    <t>Os economistas cortaram as projeções para o IPCA de 2023 de 4,90% para 4,84%.
Já a taxa básica de juros deste ano, se mantém no patamar em 12% no final do ano de 2023.
#pib #Economia #bancocentral #Governance #politica https://t.co/sCSrS9BCMQ</t>
  </si>
  <si>
    <t>👉Las reservas del Banco Central (BCRA) finalizaron cayeron US$155 este martes y cerraron en US$32.907 millones.
ingresa a nuestra página y enterate de todo
👇
https://t.co/d52010HYjq
#Economía #BCRA #BancoCentral #Dolares https://t.co/CD9fkh6ltG</t>
  </si>
  <si>
    <t>@RobertoMerken @ROBERTOBUSTOSOC El pinochetista @GmoRamirez transparenta el chanchullo entre #BancoCentral y las @AFPsChile</t>
  </si>
  <si>
    <t>mi persona buscando el #dolar de la suerte que tenía guardado en mi billetera de adolescente para cambiarlo y hacerme millonario 👀
#dolar 
#dolarblue
#bancocentral
BCRA
#Elecciones2023 https://t.co/vKAv5cW7Ld</t>
  </si>
  <si>
    <t>El Banco Central devaluó un 22% el tipo de cambio oficial https://t.co/0EkRFoRbs3 #BancoCentral #Devaluó #Argentina</t>
  </si>
  <si>
    <t>Banco Central dice que en una jornada acumuló U$S 200 millones en reservas https://t.co/9RebeWmZDm #BancoCentral</t>
  </si>
  <si>
    <t>Moneda Digital del Banco Central (MDBC), se considera como una alternativa que permita mejorar el acceso de la población hondureña a los productos y servicios financieros #PeriodismoUNAH #BancoCentral https://t.co/xkwnYLbrlG</t>
  </si>
  <si>
    <t>Medo de uma volta da inflação global e da quebradeira bancária voltam a preocupar o mercado de ações em todo mundo. 
Talvez não seja a hora de parar a alta de juros.
#Economics #US #FED #FederalReserve #stockmarkets 
#Brasil #Economia #BancoCentral
BedRock™💸 https://t.co/JwILyJ3yJg</t>
  </si>
  <si>
    <t>Drex é o nome da primeira e nova moeda digital do Brasil.
O Banco Central anunciou hoje o lançamento do novo ativo. 
O Brasil se coloca na vanguarda do mundo em questão de economia digital.
#BancoCentral #Drex #MoedaDigital #RealDigital #RobertoCamposNeto
BedRock™💸 https://t.co/2nTaIrgSPQ</t>
  </si>
  <si>
    <t>Drex promete diminuir a influência do Real (R$) convencional e do Papel-Moeda.  
É a forma mais conservadora de se criar uma nova Criptomoeda.
#Drex #BancoCentral #RobertoCamposNeto #RobertoCampos #Economia #mercado #Ações #Real 
BedRock™💸 https://t.co/Ozpsyb8wEd</t>
  </si>
  <si>
    <t>detalhenoticia https://t.co/A6Cg9RrcaL #BancoCentral #BCB via @BancoCentralBR</t>
  </si>
  <si>
    <t>Banco Central revela planos para o Pix: Uso offline, pagamentos a prazo, pedágios e transações internacionais #Economia #Notícias #Notíciasemdestaque #BancoCentral #Pix  https://t.co/AY8cKIumkF https://t.co/ryUeVD5h02</t>
  </si>
  <si>
    <t>Lagarde, presidenta del banco central Europeo, vuelve a golpear
https://t.co/To44ze01VR
¡Sigueme en 👆#Youtube como @carlosovlad para más noticias financieras y económicas!
#lagarde #europa #españa #alemania #francia #tasadeinteres #bancocentral #bce #euro</t>
  </si>
  <si>
    <t>Con este equipo, y @diegosantilli a la cabeza, trabajamos día y noche para gobernar y cambiarle la vida a los bonaerenses. Vamos a transformar el país y devolverle la esperanza a todos los argentinos. ¡Dale que podemos! https://t.co/IH5GFEcnkQ</t>
  </si>
  <si>
    <t>@CNNEconomia @CNNBrasil Eu detesto o 4fingers, mas a taxa de juros q o #BancoCentral tem mantido, tem gerado mais gerado inflação e prejudicado a #Economia do q ajudado.
No patamar q ela está gera mais desemprego num país q já está c uma parcela assustadora da população abaixo da linha de pobreza.</t>
  </si>
  <si>
    <t>undefined undefined #BancoCentral #BCB via @Ba
ncoCentralBR</t>
  </si>
  <si>
    <t>#BancoCentral colhe frutos ruins da sua #sabotagem ao governo Lula,c/a #prévia do crescimento #econômico de 2% no Brasil. Isto é, as #TaxasdeJuros de 13,75% do servidor do Bozo no BC está sim, a #frear quaisquer possibilidades do País crescer.O #Senado precisa agir com urgência. https://t.co/464VZJF2Qx</t>
  </si>
  <si>
    <t>#LulaPovoFeliz Como está evidente a #Sabotagem do #Serviçal do #BancoCentral contra o Governo Lula. Quando o Senado Federal Federal irá se posicionar sobre essa situação ruim que ele mesmo #PARIU? Isso foi proposital e não 
por engano né? Eleger um #Cbozo como monarca do BC. https://t.co/vBFJUIQPf0</t>
  </si>
  <si>
    <t>Delisão correta do #IBAMA e do #BancoCentral do #Brasil:
https://t.co/uoOLZQPvWn</t>
  </si>
  <si>
    <t>#CamposNeto, Presidente do #BancoCentral do #Brasil quer acabar com o juro rotativo do cartão de crédito:
https://t.co/kkCfOHV0lD</t>
  </si>
  <si>
    <t>Cheques terão mudanças a partir de 2 de outubro
Os cheques adotarão, a partir do dia 2 de outubro, um novo padrão. A medida anunciada pelo Banco Central pretende modernizar e dar mais segurança ao uso deste instrumento de pagamento. #BANCOCENTRAL
https://t.co/TWAsMpqii8</t>
  </si>
  <si>
    <t>Caída del Imacec 1,1%, pésima señal + desempleo. #BancoCentral #imacec</t>
  </si>
  <si>
    <t>🎙️ @martinredrado, en diálogo con @nachogiron en La Mañana de CNN: "Cuando se hace referencia a un blindaje con el FMI, nos hace pensar en 2001"
#FMI #BancoCentral 
https://t.co/lnl72EYxsP</t>
  </si>
  <si>
    <t>Carlos Fara: “Milei instaló el debate”
#milei #bancocentral 
https://t.co/SNFK7MVWfT</t>
  </si>
  <si>
    <t>Pago de la deuda: Córdoba va la Justicia por las restricciones del Banco Central
#Economia #BancoCentral #Cordoba 
https://t.co/Alrdd2BTYr</t>
  </si>
  <si>
    <t>Martín Lagos en CNN Primera Mañana, con Pepe Gil Vidal: "Estamos en un momento crítico"
#Dolar #Inflacion #BancoCentral 
https://t.co/wjqmdix0Xj</t>
  </si>
  <si>
    <t>Comerciantes no notan reducción de la inflación como reporta el Banco Central
#Economía #BancoCentral #CanastaBásica #Bajas
#Nacionales #SuMundoDigital #Sumundotv https://t.co/j8JCZrE0Qw</t>
  </si>
  <si>
    <t>Banco Central informa que inflación se redujo a 4.43% en RD #sumundodigital #BancoCentral #inflación #sumundotv
https://t.co/F8WxjR0zar https://t.co/RYsUCTdLMe</t>
  </si>
  <si>
    <t>El economista, Luis Humberto Vargas, aseguró que el Banco Central de manera histórica y permanente se ha dedicado a desinformar sobre el índice de precio al consumo.
Amplíe en el link de la Bio
#BancoCentral #Economia #noticias #maturinosumundo https://t.co/9huqLlWgO1</t>
  </si>
  <si>
    <t>Banco Central: quedan disponibles RD$22,671 millones para préstamos 
https://t.co/Q00nsKQ0mr
@BancoCentralRD #Préstamos #Mipymes #BancoCentral #Sumundotv #Sumundodigital</t>
  </si>
  <si>
    <t>Gaceta Oficial: Gaceta Oficial Venezuela #42648 12/06/2023 https://t.co/zLYiv4ayMw Gaceta Oficial Venezuela 2023 #BancoCentral #ComercioExterior #Ecosocialismo #GacetaOficial2023</t>
  </si>
  <si>
    <t>Gaceta Oficial: Gaceta Oficial Venezuela #42634 23/05/2023 https://t.co/s7dWRtS0qY Gaceta Oficial Venezuela 2023 #Alimentacion #BancoCentral #ComercioExterior #Educacion</t>
  </si>
  <si>
    <t>Gaceta Oficial: Gaceta Oficial Venezuela #42669 12/07/2023 https://t.co/57gwI2mfKJ Gaceta Oficial Venezuela 2023 #BancoCentral #Comunicacion #Educacion #GacetaOficial2023</t>
  </si>
  <si>
    <t>#foracamposneto #bancocentral 
#sabotador #jurosabsurdos https://t.co/txFcHDeIGm</t>
  </si>
  <si>
    <t>💡 El @BancoCentral_AR reveló que los pagos con transferencia superaron por primera vez las operaciones con tarjeta de débito. Esta tendencia refleja la preferencia por los #PagosDigitales y el uso del celular para abonar📱. 
#metodosdepago #psp #billeteravirtual #bancocentral https://t.co/DH1EFXiFWf</t>
  </si>
  <si>
    <t>Restringen las "gift cards" en el exterior
#BancoCentral #GiftCards #Resumido #LuzuTV
https://t.co/SHIDfeZ9j5</t>
  </si>
  <si>
    <t>🇦🇷 La economía de Argentina en julio: el dólar subió $56 y las reservas del #BancoCentral 💵 alcanzaron su nivel más bajo desde 2006 👎🏽
https://t.co/lQtOkN8Z8E</t>
  </si>
  <si>
    <t>Cuando ellos la cagan, los “errores” corregimos imprimiendo más dinero, pero ¿realmente afecta la tasa de la #FED a nuestras vidas?
La tasa clave - es la tasa con la que el #BancoCentral presta dinero a los bancos comerciales.
🧻⬇️ https://t.co/hcMjih6tbu</t>
  </si>
  <si>
    <t>🔴Estiman que la #suba de #precios en #junio fue del 7,3% #inflacion 
🔴Así lo señalaron consultoras privadas en un informe del #BancoCentral. #BCRA 
Leé la nota acá👇
https://t.co/zZINs6HzmF https://t.co/dNXD0uM6wK</t>
  </si>
  <si>
    <t>🔴 #Bullrich aseguró que las #reservas del #BancoCentral están en "menos cero"
👉 La precandidata a presidenta de Juntos por el Cambio (#JxC) volvió a referirse a la #economía del país en una entrevista televisiva. 
Video gentileza El Trece
https://t.co/RDZGgDhvEO https://t.co/18yWxSaNzI</t>
  </si>
  <si>
    <t>🔴 Consultoras estimaron una suba de precios del 140,7% para todo el año
👉 Según el Relevamiento de Expectativas del Mercado (#REM) publicado por el #BancoCentral, la inflación alcanzará esa cifra a fin de #diciembre.
https://t.co/820Nvq3EHk https://t.co/h04hQmNInk</t>
  </si>
  <si>
    <t>🔴 Comenzó a circular el nuevo billete de $1.000 con la cara de #SanMartín
👉 El #BancoCentral oficializó el regreso del prócer de la patria al papel moneda con el lanzamiento de una nueva serie. 
https://t.co/v94yHBdc5H https://t.co/eXOiXgZazV</t>
  </si>
  <si>
    <t>📍El #FMI aprobó un #desembolso de 7500 millones de dólares para #Argentina
👉Los #fondos llegarán hoy y formarán parte de las  reservas del #BancoCentral. El ministro de Economía, #SergioMassa, dará  una conferencia.
https://t.co/P5zZaWaozp https://t.co/mSszcCYZ6E</t>
  </si>
  <si>
    <t>🔴El #dólarblue cotiza a $ 680
👉En el contexto del triunfo de #JavierMilei en las #PASO y la decisión del #BancoCentral de devaluar más de un 20% el peso contra un #dólar oficial a $ 365
https://t.co/tgEEFTC6kf
#elbonateinforma #dólar https://t.co/nK5ArU25NK</t>
  </si>
  <si>
    <t>📍El #presagio de uno de los elegidos por #Milei para su posible #gobierno: "Soy la persona que menos va a durar en su cargo"
👉Se trata de #EmilioOcampo, quien presidiría el #BancoCentral si el libertario llega a la presidencia.
https://t.co/uBnVoH2mCt https://t.co/JztcEISuE3</t>
  </si>
  <si>
    <t>🔴 El #BancoCentral espera una #inflación del 126% para este #año
👉 El organismo publicó este #viernes el último #informe de los Relevamientos de #Expectativas de #Mercado, donde se estimó un incremento de 16 puntos sobre la proyección anterior.
https://t.co/gTPdXygfOd https://t.co/oHhVVjtHGc</t>
  </si>
  <si>
    <t>@martinyeza Que bueno Martín! Este domingo justamente me contaba una amiga que trabajó en el #BancoCentral y se acaba de jubilar como cuando asumió #Macri digitalizó todo el sistema de dicha entidad y se terminaron las pilas de papeles en todas las oficinas con un impacto altamente efectivo.</t>
  </si>
  <si>
    <t>@culturas_cl ya ue respondan sí #Bancocentral participará en esta versión del día del patrimonio</t>
  </si>
  <si>
    <t>@culturas_cl el #bancocentral estará participando este año en el día de los patrimonios?</t>
  </si>
  <si>
    <t>💵 PLAZO FIJO VS INFLACIÓN 💵
👉 ¿Cuánto dinero genera una inversión de 50 "lucas" a 30 días?
👉 ¿Por qué conviene invertir por 30 días y no por 90 o más?
👉 Todos lo que tenés que saber 👇
#PlazoFijo #Inversiones #Ahorristas #Inflación #BancoCentral https://t.co/AOnddMOjfd</t>
  </si>
  <si>
    <t>‼️ Lousteau calificó estos dichos como un intento de "golpe de efecto" en los televidentes, en el marco de la campaña para las PASO 2023. 
#YoQueriaVerLaBovedaDelTioRico #BancoCentral #Bullrich #Lousteau #Elecciones2023 
https://t.co/htXaXfrqcn</t>
  </si>
  <si>
    <t>el  #TipoDeCambio tuvo una buena jornada estos meses pero lo que nadie toma en cuenta es que cuando #casterns gobernaba el #bancoDeMexico el #peso se fue a #pique ahora que #administra el #BancoCentral el #colapso del #dolar es inminente... #coincidencias???</t>
  </si>
  <si>
    <t>¿Cuáles factores incidieron para que la inflación interanual se ubicara en 3.95% en julio?
#Noticiassin #Inflación #BancoCentral @AliciaOrtegah 
https://t.co/kRSHLUbprI https://t.co/EBwfIxc35F</t>
  </si>
  <si>
    <t>Banco Central informa remesas alcanzan US$5,909.3 millones
#NoticiasSIN #Remesas #BancoCentral @aliciaortegah 
https://t.co/6BPLU7rNch</t>
  </si>
  <si>
    <t>Banco Central mantiene en 7.75% su tasa de política monetaria
#Noticiassin #BancoCentral #Políticamonetaria @AliciaOrtegah 
https://t.co/Yjk47AUOd9 https://t.co/gg0b42Qj9y</t>
  </si>
  <si>
    <t>Banco Central entra a formar parte del Comité Irving Fisher.
#NoticiasSIN #SIN24Horas @aliciaortegah #GrupoSIN #bancocentral #comiteirvingfisher
 https://t.co/AjsGOTTV3u</t>
  </si>
  <si>
    <t>Dos Minutos: baja la inflación ¿y qué? con @ViktorBautista 
#Noticiassin #Inflación #BancoCentral 
https://t.co/w1HsL7WbMv https://t.co/4nUtn2694q</t>
  </si>
  <si>
    <t>El #BancoCentral vs #MercadoPago??? JA, no tienen chances!! Team Mercado Pago sin dudas, manga de GARCAS!!!!!!!!</t>
  </si>
  <si>
    <t>#Economia || #China || #BancoCentral || 
Argentina renovó swap con China por US$19 mil millones. 
La nota en: https://t.co/UYf3uMREj8 https://t.co/IFvh2WtIJ7</t>
  </si>
  <si>
    <t>sem novidades, citando ambiente externo adverso envolvendo bancos, incerteza fiscal local, o Copom mantém taxa selix em 13,75%. https://t.co/b8KYReec2E #BancoCentral #BCB via @BancoCentralBR</t>
  </si>
  <si>
    <t>Os Comitês Populares de Luta realizam o Mutirão Contra os #Juros antes da próxima reunião do #Copom, para pressionar o presidente do #BancoCentral , Roberto Campos Neto. 
https://t.co/ijum5kQuWJ</t>
  </si>
  <si>
    <t>undefined undefined #BancoCentral #BCB via @BancoCentralBR https://t.co/OLnYUpRc65</t>
  </si>
  <si>
    <t>undefined undefined #BancoCentral #BCB via @BancoCentralBR</t>
  </si>
  <si>
    <t>Alô Banco Central e Campos Neto: Tá na hora de cair os juros! O Brasil não comporta mais a maior taxa de juros do mundo! Exigimos Juros Baixos Já!
#JurosBaixosJá #COPOM #BancoCentral #CamposNeto https://t.co/dEFIQL5bE3</t>
  </si>
  <si>
    <t>¿Se irá a frenar la baja de tasas?
#inflacion #TPM #BancoCentral #RosannaCosta #Tipodecambio #IPOM</t>
  </si>
  <si>
    <t>En el mundo hay 195 países. ¿sabes cuántos sin banco central?
#BancoCentral
#Mundo
#Paices
https://t.co/4K3PGMH9da</t>
  </si>
  <si>
    <t>Banco Central informa se han desembolsado más de RD$117,000 millones de recursos para facilidades 
Leer más: https://t.co/EOC6AKlcdU 
#EstrellasyRedes #EconomíaRD #BancoCentral</t>
  </si>
  <si>
    <t>Banco Central reduce tasa de política monetaria en 25 puntos básicos, disminuyendo de 8.00 % a 7.75 % anual 
Leer más: https://t.co/6bkJSRNa2L 
#EstrellasyRedes #BancoCentral #EconomíaRD</t>
  </si>
  <si>
    <t>Banco Central designado en Comité Irving Fisher de Estadísticas de Bancos Centrales del BIS 
Leer más: https://t.co/o3J7MlDZdS 
#EstrellasyRedes #BancoCentral #EconomíaRD</t>
  </si>
  <si>
    <t>BCRD reduce su tasa de política monetaria en 25 puntos básicos, disminuyendo de 7.75 % a 7.50 % anual 
Leer más: https://t.co/5SGzNFGJLp 
#EstrellasyRedes #BancoCentral #EconomíaRD</t>
  </si>
  <si>
    <t>Uds saben de quién es el #BancoCentral cierto?
Saben por que y por quién fué designado, verdad?</t>
  </si>
  <si>
    <t>O Índice de Atividade Econômica (IBC-Br) do Banco Central, considerado a "prévia" do Produto Interno Bruto (PIB), registrou recuo de 2% em maio 
https://t.co/lBYkGVBa3P
@_robertomotta #pib #bancocentral #dolar #fintwit https://t.co/4eXAGPLqQM</t>
  </si>
  <si>
    <t>U.S. 10 Treasury, U.S. 30 Treasury despencando a curva toda  inclinada 
#cea #paap #cpa20 #cfp #tesouro #eua #bancocentral #dolar #economia https://t.co/KTgDzIwEov</t>
  </si>
  <si>
    <t>#PropuestasDePatoBullrich
#BancoCentral funcionando como #ReservaFederal 
#Bullrich2023 https://t.co/W9HX8eZkiW</t>
  </si>
  <si>
    <t>Caixa Economica Federal vai cobrar tarifa no Pix de pessoa jurídica; entenda. @InformeRJO. 
↳ https://t.co/I2hgsVpPnJ
#Caixa #CaixaEconomica #PIX #PessoaJuridica #tarifa #Banco #MEI #microempreendedor #BancoCentral #QRCode https://t.co/iqETItO4kF</t>
  </si>
  <si>
    <t>Entenda o que é e como funcionará o Drex, moeda digital brasileira.  https://t.co/Kwxfmxsefv
#Brasil #Drex #BancoCentral #moedadigital #criptomoedas #hackers #CBDC #Bitcoin #Ethereum #PIX #fraudes https://t.co/RIYZMlKDTn</t>
  </si>
  <si>
    <t>Considerado uma prévia do Produto Interno Bruto (PIB), máximo histórico é resultado do crescimento de 7,3% no primeiro trimestre de 2023, em comparação com os últimos três meses de 2022.
#PIB #bancocentral #GOIAS
https://t.co/2g0eZ0HKHm</t>
  </si>
  <si>
    <t>Já imaginou fazer um pix de R$ 1,2 bilhão?
💰
De acordo com o relatório divulgado pelo Banco Central nesta segunda, a maior operação feita pelo Pix foi de R$ 1,2 bilhão, realizada em dezembro de 2022. 
(BM&amp;amp;C News)
#PIX #bancocentral</t>
  </si>
  <si>
    <t>El nuevo billete de $2000 sale antes de lo esperado 💲
❗Aseguran que el BCRA ya cuenta con el nuevo billete
Se iniciará la etapa de prueba y adaptación a los cajeros 
Enterate de todo con @loretoso junto a @JaviBorelli 
#billete #economia #dosmil #bancocentral #BCRA https://t.co/jQaqZ9X9eN</t>
  </si>
  <si>
    <t>#Inflación 📊 Por decisión del #INDEC y del #BancoCentral, el IPC de este mes se revelará el 15 de agosto. Es para que "las consultoras tengan más tiempo de hacer sus estimaciones".
https://t.co/ePRtoFCPDg</t>
  </si>
  <si>
    <t>#Ahora | 💵 El #BancoCentral acaba de elevar más del 20% el valor del #DólarOficial para llevarlo a precio fijo hasta los comicios del 22 de octubre. Subió más de $60 tras el triunfo de #JavierMilei en las #PASO de este domingo https://t.co/OqofbgE5YQ</t>
  </si>
  <si>
    <t>#MásNoticias
⛅️ Algo nublado | 30.7°C
💸 #DólarBlue: #Córdoba $697 | BsAs $690
📈 El #BancoCentral subió la tasa de #plazosfijos al 118%
⬇️ Bajan bonos argentinos en #WallStreet
🗳️ #PASO: El voto en blanco representó el 4,8% de los votos
💊Dos detenidos con 1250 dosis de #LSD</t>
  </si>
  <si>
    <t>#Mássnoticias
🍼Nació la hija de #cazzu  y #christianNodal
🚨Asesinaron a un policía que investigaba #narcos en Rosario
🚌#Bullrich comenzará un recorrido en Casa Rodante
💰El #BancoCentral resolvió mantener sin cambios la tasa de plazo fijo</t>
  </si>
  <si>
    <t>SANTANDER e @BancoCentralBR 👍 https://t.co/yT7kCZp6jU</t>
  </si>
  <si>
    <t>Medida de liberación del encaje legal para viviendas de bajo costo supera ya los 1,000 beneficiarios
Más Información 👇
https://t.co/97EXO1ymXm
#7dias #7diasrd #noticias #santosdomingo #ultimahora #pesosdominicano #pesos #economiard #felizmartes #bancocentral #banco #viviendas</t>
  </si>
  <si>
    <t>Pronto agora deixo o @BancoCentralBR resolver com o @fazumiti e @itau 
Vamos ver se resolvem o meu problema! 
#iti #itau #bancocentral https://t.co/VJcTMZJ6Ts</t>
  </si>
  <si>
    <t>Mais de 2 meses sem conseguir acessar a parte do cartão de crédito do aplicativo  @fazumiti
Primeiro passo já foi @itau
Agora vou abrir reclamação no #bancocentral para ver se vcs se mexem e resolvem meu problema. 
#itau
https://t.co/VW5NtSwQIm</t>
  </si>
  <si>
    <t>https://t.co/KSbItdfVN3
#delicioso #deliciosas #dalas #VladimirPutin #zendaya #sammysosa #bancocentral #anuel #tekashi #yailin #fentanilo #Soydelejido #SamSmith #susana #NayibBukele #coger #viral #video #viralhugs #NBA #PS5 #japanese #quienseanimaacogerme</t>
  </si>
  <si>
    <t>https://t.co/hnioAaUJel
#delicioso #deliciosas #dalas #VladimirPutin #zendaya #sammysosa #bancocentral #anuel #tekashi #yailin #fentanilo #Soydelejido #SamSmith #susana #NayibBukele Quien se anima a cogerme
#coger #viral #video #viralhugs #NBA #PS5 #japanese</t>
  </si>
  <si>
    <t>https://t.co/MkyYltfqxw
#Santiagomatias #BancoCentral #Uffff #Yailin #Preso</t>
  </si>
  <si>
    <t>RT @JovemPanNews: #3em1 | Presidente Lula (PT) tem primeiro encontro com Campos Neto; bancada comenta
📺 Confira na JP News
#BancoCentral…</t>
  </si>
  <si>
    <t>@Metropoles Lamentável!!! 
Claramente Roberto Campos Neto (Presidente do Banco Central) luta contra o #Brasil. 
#RobertoCamposNeto #BancoCentral #JurosBaixosJa</t>
  </si>
  <si>
    <t>Mudanças visam trazer mais segurança e modernidade para o meio de pagamento.
https://t.co/EYhRVus5KF
#portaldia #economia #Cheque #Brasil #BancoCentral</t>
  </si>
  <si>
    <t>Las billeteras virtuales permiten que los que menos tienen estén dentro del sistema y se protejan de la inflación. 
Ponerle trabas a la inclusión financiera es joder a los laburantes y a los pobres. https://t.co/KiDEpN0JGG</t>
  </si>
  <si>
    <t>este gobierno k destructivo lo hace ... #BancoCentral 
#MercadoPago  
dejando un país  cada día más deshecho</t>
  </si>
  <si>
    <t>Moedas Falsas: Viralizou na internet suposta fabricação caseira de moedas. Suposto vídeo teria sido feito na Zona Oeste do Rio.
📸Reprodução/RS
#moeda #falsa #bancocentral #fabricacao #dinheiro #caseiro #cunhagem #noticia #urgente https://t.co/76ItRifEEn</t>
  </si>
  <si>
    <t>#BancoCentral  #Lisbon  #portugal</t>
  </si>
  <si>
    <t>@Santander_Ar no se puede realizar transferencias!!tampoco recibir depósitos en dólares!!Que pasa!#cepodolar #santandernofunciona #bancosantander #tndolar #bancocentral</t>
  </si>
  <si>
    <t>🔴 La lucha de la #Argentina para evitar que su problemática moneda se siga devaluando estaría dejando en quiebra al #bancocentral, según algunas estimaciones.
Detalles⬇️
https://t.co/7ZzEHkenz2 https://t.co/XNzdXtG9PB</t>
  </si>
  <si>
    <t>4 Passos para se tornar um Business Banker de sucesso com a Teddy! https://t.co/MxBGRCFgcz #bancario #mercadofinanceiro #bancocentral</t>
  </si>
  <si>
    <t>Em Londres, Lula volta a pôr em xeque autonomia do Banco Central
Saiba mais em:
https://t.co/yYcEMUqnUm
#lula #reicharlesIII #londres #bancocentral #autonomiabc #viagemlula #reicharles #inglaterra #reinounido #jurosbc https://t.co/7sR5ScKzJg</t>
  </si>
  <si>
    <t>Brasileiros usam cada vez menos dinheiro em espécie, diz BC
Saiba mais em:
https://t.co/YhLAwgIZon
#bancocentral #brasil #pix #dinheiro #economia https://t.co/c29csEzmwA</t>
  </si>
  <si>
    <t>Copom indica velocidade de 0,5 ponto para cortes na taxa Selic, mas mercado não descarta ‘tesourada’ de 0,75 ponto nas próximas decisões
#BancoCentral #juros #Selic
https://t.co/EFrqxhHATV</t>
  </si>
  <si>
    <t>Agenda econômica: Ata do Copom, prévia do PIB e inflação são destaques locais, enquanto exterior acompanha números dos EUA esta semana
#BancoCentral #Brasil #Copom
https://t.co/zNBLL8LpDz</t>
  </si>
  <si>
    <t>Copom: Campos Neto corta a Selic e recebe cerveja de brinde; afinal, onde investir com os juros a 13,25%?
#BancoCentral #Copom #juros
https://t.co/c6agbem0Oy</t>
  </si>
  <si>
    <t>Super Semana dos bancos centrais testa fôlego dos investidores, mas sinalização do Fed pode ser boa para o Brasil
#AoVivo #BancoCentral #BancoCentralEuropeu(BCE)
https://t.co/syGy1Dosr3</t>
  </si>
  <si>
    <t>Real digital, a criptomoeda brasileira, pode ter o mesmo sucesso do Pix? Especialistas de dois “bancões” envolvidos no projeto respondem sobre CBDC
#BancoCentral #blockchain #Bradesco
https://t.co/c3OscXZKOE</t>
  </si>
  <si>
    <t>Rodolfo Amstalden: É possível ser neutro e real ao mesmo tempo?
#BancoCentral #juros #Lula
https://t.co/4MWGPTZ9gA</t>
  </si>
  <si>
    <t>Haddad e Tebet harmonizam o tom da ata do Copom, mas Lula não perdoa juros altos — veja o que o presidente falou dessa vez
#BancoCentral #FernandoHaddad #juros
https://t.co/NxqlIDNGet</t>
  </si>
  <si>
    <t>Lula, Haddad, BNDES e Caixa se reúnem com varejistas, com presença de Magazine Luiza (MGLU3) e Petz (PETZ3)
#AoVivo #BancoCentral #Copom
https://t.co/KKmCcZy1uI</t>
  </si>
  <si>
    <t>Brasil sai na frente dos EUA decreto presidencial confirma que Banco Central será responsável por regular o mercado de criptomoedas; veja quais são os poderes da autarquia
#BancoCentral #Bitcoin(BTC) #blockchain
https://t.co/5I9P6wicsA</t>
  </si>
  <si>
    <t>Consórcio de cooperativas emite e faz transferências com o real digital (Drex); confira os próximos passos do projeto piloto do BC
#BancoCentral #bancodigital #blockchain
https://t.co/5rUGSjfmeW</t>
  </si>
  <si>
    <t>A Selic vai surpreender? Fed eleva taxa e Japão choca mercados — o que o BC do Brasil pode fazer com os nossos juros
#BancoCentral #EstadosUnidos(EUA) #inflação
https://t.co/Yth6YIaSk7</t>
  </si>
  <si>
    <t>A Selic vai surpreender? Fed eleva taxa e Japão choca mercados — o que o BC do Brasil pode fazer com os nossos juros
#BancoCentral #EstadosUnidos(EUA) #inflação
https://t.co/sjs4hD9G6z</t>
  </si>
  <si>
    <t>Agenda econômica: Semana de Copom e balanço da Petrobras (PETR4) movimentam o Ibovespa; payroll é destaque no exterior
#BancoCentral #Brasil #Copom
https://t.co/knc4AT6f4E</t>
  </si>
  <si>
    <t>Onde Investir: Dólar e juros em queda pavimentam cenário otimista para economia, mas um risco segue no radar, diz Luciano Sobral, da Neo Investimentos
#BancoCentral #câmbio #CMN
https://t.co/PxP0bzpAx6</t>
  </si>
  <si>
    <t>O vento da mudança: Entenda como o Copom deve começar o ciclo de queda dos juros no Brasil
#AoVivo #BancoCentral #Copom
https://t.co/0rYPwd4pUe</t>
  </si>
  <si>
    <t>Agenda econômica: Reunião dos Brics e Jackson Hole dominam semana antes de prévia da inflação no Brasil
#BancoCentral #Brasil #BRICS
https://t.co/B9irGOkRMd</t>
  </si>
  <si>
    <t>Reforma tributária: da taxação de fundos à reforma do IR, entenda em 5 pontos os detalhes da proposta, segundo Appy
#BancoCentral #BernardAppy #Congresso
https://t.co/8fL7orJIb8</t>
  </si>
  <si>
    <t>A Selic cai em agosto? Ata do Copom indica que sim (com condições) e traz “cutucada” no governo às vésperas do CMN
#BancoCentral #CMN #Copom
https://t.co/dWCdm5uWXB</t>
  </si>
  <si>
    <t>Como sobreviver ao Banco Central: novas informações sobre juros e inflação desafiam investidores
#BancoCentral #CMN #Copom
https://t.co/KNLHISodVw</t>
  </si>
  <si>
    <t>Felipe Miranda: Lula e Campos Neto, um caso de amor?
#BancoCentral #Lula #RobertoCamposNeto
https://t.co/FOnkBOgaJ9</t>
  </si>
  <si>
    <t>Campos Neto vai resistir à pressão? Corte de juros pelo Copom deve vir só em setembro — e mais lento que o imaginado, diz Itaú BBA
#AoVivo #BancoCentral #Copom
https://t.co/9CWZXLFqwN</t>
  </si>
  <si>
    <t>Crédito mais barato: Campos Neto explica a queda do custo dos empréstimos e fala se a taxa de juros vai baixar
#BancoCentral #juros #Lula
https://t.co/yyJvxbd7Yl</t>
  </si>
  <si>
    <t>Banco Central dá a bênção e controle societário do Banco Modal passa para a XP; entenda o que isso significa
#BancoCentral #bancos #XPInvestimentos
https://t.co/CUtucfiTEo</t>
  </si>
  <si>
    <t>Mesmo com câmbio travado, dólar dispara na Argentina e paralelo vale o dobro da cotação oficial
#Argentina #BancoCentral #câmbio
https://t.co/87MUFKt0tT</t>
  </si>
  <si>
    <t>Cortes da Selic: Campos Neto explica porque reduzir os juros além de 0,50 pp é mais difícil neste momento
#AoVivo #BancoCentral #Fundosmultimercados
https://t.co/67utYVHDh3</t>
  </si>
  <si>
    <t>O número do IPCA de julho que mantém a chance de um corte maior da Selic no radar do Banco Central
#AoVivo #BancoCentral #IBGE
https://t.co/h7IM6UGqWz</t>
  </si>
  <si>
    <t>Com maior uso do rotativo, juros do cartão de crédito chegam a 1.000% nos bancos — e Campos Neto quer acabar de vez com modalidade
#BancoCentral #Crédito #finanças
https://t.co/eHTRSYM029</t>
  </si>
  <si>
    <t>É o fim dos juros do rotativo do cartão de crédito? Presidente do Banco Central afirma que modalidade deve deixar de existir
#AoVivo #BancoCentral #CartõesdeCrédito
https://t.co/or8K9RX46j</t>
  </si>
  <si>
    <t>Selic em 11,75% até o final de 2023? É isso que o mercado acredita — veja as ‘pistas’ que Campos Neto deixou sobre o futuro dos juros no Brasil 
#BancoCentral #Copom #Selic
https://t.co/jOSfHOFWVm</t>
  </si>
  <si>
    <t>Selic em 13,25% agradou? A reação de políticos, de empresários e dos gringos ao corte de 0,50 pp da taxa de juros
#BancoCentral #Copom #juros
https://t.co/Bo3ZUkEYoY</t>
  </si>
  <si>
    <t>Como fica a renda fixa após a queda da Selic para 13,25%? Veja quanto rendem R$ 1.000 em CDB, LCI, poupança e Tesouro Direto daqui para frente
#BancoCentral #CDB #Copom
https://t.co/669XGFtFpD</t>
  </si>
  <si>
    <t>Selic em 13,25% e Ibovespa nos 135 mil pontos: JP Morgan diz o que vai acontecer com a bolsa brasileira a partir da decisão do Copom sobre os juros
#AoVivo #BancoCentral #Copom
https://t.co/YTID41tczS</t>
  </si>
  <si>
    <t>Viagem ao centro da meta: IPCA de maio desacelera tanto que surpreende até os mais otimistas
#AoVivo #BancoCentral #IBGE
https://t.co/SdxnGG8Mz3</t>
  </si>
  <si>
    <t>Pix de R$ 1,2 bilhão na conta? Acredite, alguém fez essa transferência; confira outras curiosidades sobre o sistema de pagamentos instantâneos do BC
#BancoCentral #Brasil #finanças
https://t.co/NJHhw2Q8Si</t>
  </si>
  <si>
    <t>A taxa Selic vai cair mais rápido? Presidente do Banco Central diz começar a ver um “pouso suave” no Brasil
#BancoCentral #inflação #juros
https://t.co/h8czQ4oTry</t>
  </si>
  <si>
    <t>Agenda econômica: Reta final da temporada de balanços no 2T23 tem Magazine Luiza (MGLU3) e mais de 50 empresas; ata do Fomc é destaque lá fora
#BancoCentral #Brasil #Copom
https://t.co/SoSvEmlHxt</t>
  </si>
  <si>
    <t>Outro patamar: com tesourada na Selic, remuneração de título prefixado cai a 1 dígito no Tesouro Direto
#BancoCentral #juros #Selic
https://t.co/wKBKHBU9Za</t>
  </si>
  <si>
    <t>Roberto Campos Neto conclui viagem ao centro da meta com IPCA de junho e reforça expectativa de corte da Selic
#AoVivo #BancoCentral #Copom
https://t.co/uUaKm5nzxK</t>
  </si>
  <si>
    <t>Dona Luiza estava certa? Santander eleva preço-alvo do Magazine Luiza (MGLU3) e destaca corte da Selic como fator principal
#AoVivo #BancoCentral #MagazineLuiza
https://t.co/h7tA9IIqyh</t>
  </si>
  <si>
    <t>A primeira noite de um homem: Queda da Selic vai demorar e, ao mesmo tempo, sentimos que está logo ali
#BancoCentral #FernandoHaddad #juros
https://t.co/Y9u9Cfs3XP</t>
  </si>
  <si>
    <t>‘Árbitro’ do mercado, Banco Central quer usar consultas públicas para regular setor de criptomoedas
#BancoCentral #Bitcoin(BTC) #leilões
https://t.co/RIw28GrlWw</t>
  </si>
  <si>
    <t>Faz um PIX: transferência instantânea corresponde a 29% das operações financeiras, afirma BC
#BancoCentral #finanças #PIX
https://t.co/ELJ2smWnIi</t>
  </si>
  <si>
    <t>Juro do rotativo do cartão de crédito é o maior em seis anos, a 447,7% ao ano; parcelado é o maior já registrado pelo Banco Central
#BancoCentral #CartõesdeCrédito #dívidaexterna
https://t.co/RhrH4qZQ1Q</t>
  </si>
  <si>
    <t>Grandes bancos ainda dominam mercado de cartões de crédito no Brasil, apesar de aumento da competição
#BancoCentral #bancos #CartõesdeCrédito
https://t.co/s7QRnZVr8X</t>
  </si>
  <si>
    <t>Como um brasileiro se tornou milionário após resgatar quase R$ 3 milhões ‘esquecidos’ nos bancos; saiba se você também tem dinheiro a receber
#BancoCentral #Brasil #finanças
https://t.co/97p5zovhuG</t>
  </si>
  <si>
    <t>Já não era sem tempo! O Copom vai começar finalmente o ciclo de corte de juros
#AoVivo #BancoCentral #Copom
https://t.co/Z3xe4jA3GI</t>
  </si>
  <si>
    <t>Selic vai cair para 13,5% ou 13,25%? A XP responde qual será o tamanho do corte dos juros na quarta-feira
#BancoCentral #inflação #juros
https://t.co/5pSqUnmNoU</t>
  </si>
  <si>
    <t>Em dia de Copom, Tesouro Direto se antecipa a corte de juros, e títulos têm alta de até 450% do CDI desde a última reunião
#BancoCentral #Copom #juros
https://t.co/lainEkg0ma</t>
  </si>
  <si>
    <t>Pix taxado: governo ordena que Caixa recue na cobrança de transferências; taxas poderiam chegar a 1,20% da operação
#BancoCentral #CaixaEconômicaFederal #GovernoFederal
https://t.co/H9sco5eIMV</t>
  </si>
  <si>
    <t>BIS e FMI concordam: CBDCs serão chave para revolucionar economia; veja como criptomoedas de Banco Central podem melhorar o setor financeiro
#BancoCentral #blockchain #finanças
https://t.co/TkbyX9In1A</t>
  </si>
  <si>
    <t>Selic ainda não baixou, mas o novo arcabouço fiscal já reduziu os juros de mercado, diz Campos Neto
#AjusteFiscal #BancoCentral #inflação
https://t.co/NTg5H4oKrK</t>
  </si>
  <si>
    <t>Nova fase do projeto piloto do real digital tem Nubank, Microsoft, Itaú e BTG entre selecionados que simularão compra de título público como criptomoeda brasileira
#B3 #BancoCentral #BancodoBrasil
https://t.co/O1jiMX9tEi</t>
  </si>
  <si>
    <t>Corte nos juros: diretor do Banco Central revela quais são as condições necessárias para intensificar a queda da taxa Selic
#BancoCentral #juros #Selic
https://t.co/6P9BF1iFVS</t>
  </si>
  <si>
    <t>Rublo em queda livre: moeda russa atinge a menor cotação em 17 meses e banco central convoca reunião de emergência
#AoVivo #BancoCentral #Dólar
https://t.co/BsGam5hwmU</t>
  </si>
  <si>
    <t>Real digital ganha novo nome: criptomoeda do Banco Central passa a chamar Drex
#BancoCentral #blockchain #Exchanges
https://t.co/26aGAZcZUU</t>
  </si>
  <si>
    <t>Em dia de decisão crucial sobre a inflação, Campos Neto fala o que o governo quer ouvir sobre os juros e manda outros recados
#AoVivo #BancoCentral #CMN
https://t.co/BlfR5auvqK</t>
  </si>
  <si>
    <t>Poupança vê saques superarem os depósitos em R$ 10,074 bilhões em agosto e acumula perdas de mais de R$ 80 bilhões no ano 
#BancoCentral #Economia #Poupança
https://t.co/rfQGCXUPD7</t>
  </si>
  <si>
    <t>Pagamentos no Pix já são mais que o dobro das transações no cartão de débito, diz BC
#BancoCentral #Economia #PIX
https://t.co/x6U404IGQp</t>
  </si>
  <si>
    <t>Rodolfo Amstalden: Decifrando o devorar das cifras
#BancoCentral #Copom #juros
https://t.co/JhW9mNJGLj</t>
  </si>
  <si>
    <t>Corte na Selic deve começar amanhã: Banco Central recebeu os sinais que faltavam para o início da queda dos juros – veja o que esperar 
#BancoCentral #juros #RobertoCamposNeto
https://t.co/olaNNy2gcf</t>
  </si>
  <si>
    <t>Além do IBGE: Governo anuncia abertura de mais 3 mil vagas em concursos públicos com salários iniciais de até R$ 21 mil; Banco Central e CVM estão na lista
#Anac #Anatel #BancoCentral
https://t.co/lvoBSAY00a</t>
  </si>
  <si>
    <t>Efeito Lula-Haddad? Entenda 3 fatores que fizeram o dólar ter maior queda no primeiro semestre desde 2016 — e um que pode afetar os preços no futuro
#AoVivo #BancoCentral #Dólar
https://t.co/edtAEBzldO</t>
  </si>
  <si>
    <t>Banco Central dá ‘sobrevida’ à renda fixa? O que esperar dos juros e como ficam os investimentos depois do Copom
#BancoCentral #Copom #Debêntures
https://t.co/XjtEEJGqQr</t>
  </si>
  <si>
    <t>Paralisação de funcionários do Banco Central afeta Pix e regulação de criptomoedas; reivindicações da ‘elite’ do funcionalismo se tornam públicas
#BancoCentral #PIX #Token
https://t.co/kuIh1WKPU4</t>
  </si>
  <si>
    <t>Coordenador do Banco Central confirma cronograma do real digital; participantes terão acesso já no mês que vem
#BancoCentral #bancodigital #Bitcoin(BTC)
https://t.co/g8e60Pg9EU</t>
  </si>
  <si>
    <t>Mais de R$ 7 bilhões podem estar à sua espera nos bancos: Saiba como sacar o ‘dinheiro esquecido’
#AoVivo #BancoCentral #bancos
https://t.co/DMGzmkIRh2</t>
  </si>
  <si>
    <t>#BancoCentral | El Banco Central lanzó este jueves medidas para bajar el costo financiero de los comercios por el uso de los códigos QR
https://t.co/0bfhVyXk6u</t>
  </si>
  <si>
    <t>Os juros altos está fudendo com a gente. Quem é a favor de trocar o presidente do #Bancocentral vota sim ou não!! #Foracamposneto vc está entregando nosso dinheiro aos ricos!
Não merecemos essa taxa de 
#juros
#jurosbaixosjá
@congressoBR
@folha
https://t.co/yDEicgFtuL</t>
  </si>
  <si>
    <t>#BolsonaroInelegivel 
#BolsonaroNaCadeia 
#OndeEstãoAsJóias
#PiquetSabe
#SítioDoPiquet
#Familícia #corrupção #jóias
#Misheik #MichequeBolsonaro #Naros
#chargepolítica
Contra a CORRENTE DO ÓDIO...
Só LULINHA SALVA
#FascistasNaCadeia
#JurosTemDeCair
#BancoCentral
FIZ O L pra isso: https://t.co/DForo1uHRr</t>
  </si>
  <si>
    <t>‼️Desde septiembre los comercios deberán tener un #codigoqr que acepte cualquier billetera digital interoperable.
⏩Lo dispuso el #bancocentral para que la experiencia del pago sea más amigable. Los detalles 👇
https://t.co/tEdpMkee2E</t>
  </si>
  <si>
    <t>💸Nuevo récord: el dólar "blue" sigue en alza y tracciona a las demás versiones de la moneda estadounidense.
💰Subió $11 respecto al miércoles y no cede a pesar de la intervención del #bancocentral . Éstas son las cotizaciones del jueves 3 de agosto👇
https://t.co/Qr4e6gvLDw</t>
  </si>
  <si>
    <t>Banco Central evolui o Real Digital e os participantes poderão instalar nós em breve #bancocentral #brasil 
https://t.co/LPvb6FJMdU</t>
  </si>
  <si>
    <t>#MINISTRO DA #FAZENDA FERNANDO #HADDAD ANUNCIA "META DE "INFLAÇÃO CONTÍNUA"  A PARTIR DO FINAL DE 2025. 
#CMN (CONSELHO MONETÁRIO NACIONAL) COMPOSTO PELOS #MINISTÉRIOS DA #FAZENDA, DO #PLANEJAMENTO E #BANCOCENTRAL MANTÉM A #META EM 3% PARA O ANO DE 2026.
https://t.co/qEBmJ8peO5</t>
  </si>
  <si>
    <t>#Bancocentral: El BCE se acerca a la fase final del ciclo de subidas de tipos -De Cos. https://t.co/BGifZiFzx1</t>
  </si>
  <si>
    <t>#Bancocentral: Dólar hoy en vivo: a cuánto abre este jueves 11 de mayo y cuál es el precio minuto a minuto. https://t.co/VkHA57CR6G</t>
  </si>
  <si>
    <t>#Bancocentral: El oro cae, inversores se preparan para negociaciones sobre límite de deuda EEUU. https://t.co/yKJctYKxbd</t>
  </si>
  <si>
    <t>#Bancocentral: PESO ARGENTINO MAYORISTA &amp;amp;lt;ARS=RASL&amp;amp;gt; BAJA 0,26% A 231,30 POR DÓLAR EN APERTURA, DEVALUACIÓN HABITUAL CON REGULACIÓN DEL BAN. https://t.co/4IRHjnMOat</t>
  </si>
  <si>
    <t>Comparações Entre o ChatGPT e a Nova IA do Google, o Bard 
#ChatGPT #Bard #Google #InteligênciaArtificial #IA #AI #Fome #BolsaFamília #Mapadafome #PAA #programadeaquisiçãodealimentos #BancoCentral #Juros #JurosAltos #SELIC #BaixadosJuros 
https://t.co/Xc8Pl03rCJ</t>
  </si>
  <si>
    <t>Não é atoa que, quanto mais dinheiro é criado pelo FED, mais a desigualdade social sobe....
Além disso, não é atoa que a concentração bancária fica cada vez maior!
O Bitcoin surgiu, em 31 de outubro de 2008, como uma solução a isso! 
#bancocentral #centralbank</t>
  </si>
  <si>
    <t>Os consumidores brasileiros que utilizam o Pix vão ganhar mais uma função. O Banco Central (BC) anunciou uma nova função para este tipo de transação: o Pix Automático.
https://t.co/EYfN5zRbVE
#pix #pixautomatico #bancocentral</t>
  </si>
  <si>
    <t>Leia a matéria completa no site Jornal Contábil clicando no link: https://t.co/LtyGkqPBgh
#pix #pixautomatico #bancocentral https://t.co/BJkbZIJS4z</t>
  </si>
  <si>
    <t>Leia a matéria completa no site Jornal Contábil clicando no link: https://t.co/rHLT1bnHMn
#dinheiroesquecido #bancocentral https://t.co/48ZfWlkKyY</t>
  </si>
  <si>
    <t>Segundo o Banco Central, cerca de R＄ 7 bilhões é o montante em bancos e instituições financeiras de todo o país, esperando serem sacados. 
https://t.co/rHLT1bnHMn
#bancocentral #dinheiroesquecido</t>
  </si>
  <si>
    <t>O Pix é atualmente a modalidade mais utilizada pelos clientes dos microempreendedores individuais (MEIs). #negocios #bancocentral
https://t.co/EzrdmU1mtD</t>
  </si>
  <si>
    <t>Desde 20 de junho, o Banco Central é o órgão competente para regular a prestação de serviços de ativos virtuais, os criptoativos. #bancocentral #criptoativos
https://t.co/TD1svcpIwH</t>
  </si>
  <si>
    <t>O Comitê de Política Monetária do Banco Central (Copom) se reúne na terça-feira, 1 de agosto para decidir sobre a taxa Selic. #bancocentral #taxaselic
https://t.co/39NjQnPIW8</t>
  </si>
  <si>
    <t>Nesta quarta-feira (3) o Comitê de Política Monetária (Copom) do Banco Central decidiu manter a taxa Selic em 13,75% ao ano – patamar em vigor desde o início de agosto de 2022.
https://t.co/3Jo8TSB9sH
#taxaselic #bancocentral</t>
  </si>
  <si>
    <t>Depois de quase um ano, o Copom reduziu a taxa básica de juros, conhecida como taxa Selic, de 13,75% para 13,25% ao ano. #bancocentral #taxaselic
https://t.co/q9n2OyOyyE</t>
  </si>
  <si>
    <t>Sistema de transferências instantâneas do Banco Central (BC), o Pix bateu novo recorde na última sexta-feira (4). Pela primeira vez, a modalidade superou a marca de 140 milhões de transações em 24 horas. #pix #bancocentral
https://t.co/GE2KOui441</t>
  </si>
  <si>
    <t>A inflação oficial pelo Índice Nacional de Preços ao Consumidor Amplo (IPCA) poderá ficar negativa em junho e subir no segundo semestre, disse nesta segunda-feira (12) o presidente do Banco Central (BC), Roberto Campos Neto.
https://t.co/nu2d0v9mDX
#inflacao #bancocentral</t>
  </si>
  <si>
    <t>En su intervención del viernes, #Powell puso énfasis en algunas señales de crecimiento económico continuo y un fuerte gasto de los consumidores, pero indicó que el #bancocentral “procedería con cuidado” con aumentos adicionales.
📰: https://t.co/gKUarEl0EY
$NVIDIA #TSLA $LCID https://t.co/gF67bHD7OU</t>
  </si>
  <si>
    <t>Aca hay un plan. 
Mientras en @FrenteDeTodos  @juntoscambioar continuan en sus internas y @LLibertadAvanza esta con la quema del #BancoCentral….
@demosargok 2023✔️ https://t.co/LfQVQzCnaJ</t>
  </si>
  <si>
    <t>Informe de Política Monetaria Septiembre 2023 https://t.co/QCPOxr9LZN #BancoCentral</t>
  </si>
  <si>
    <t>Dirigentes da CUT-SP nas ruas !Trabalhadores e trabalhadoras voltam a protestar contra os #jurosaltos em todo o #Brasil. Em #SãoPaulo, o protesto nesta terça (19) ocorreu na Avenida Paulista, n°1804, em frente ao prédio do #BancoCentral. 
Fotos: Roberto Parizotti/@CUT_Brasil https://t.co/VVMeIK3Owc</t>
  </si>
  <si>
    <t>Banco Central da Rússia Opta por Aumentar a Taxa Básica de Juros de 8,5% Para 12% 
https://t.co/WzD7ljoIB2
#BancoCentral #Juros #Rússia https://t.co/IoI81LST70</t>
  </si>
  <si>
    <t>IPCA-15: Taxa de Inflação Aumenta para 0,28% em Agosto, Alcançando 4,24% em 12 Meses 
https://t.co/LbGrvsFxPL
#BancoCentral #IBGE #IPCA https://t.co/Ss3WXv8hlw</t>
  </si>
  <si>
    <t>Câmara Aprova Projeto de Lei que Estabelece um Teto Para os Juros no Rotativo do Cartão de Crédito 
https://t.co/SgaIQMsIzf
#BancoCentral #CâmaradosDeputados #CartãodeCrédito #Juros https://t.co/9uqTINk3LB</t>
  </si>
  <si>
    <t>B3 Considera Estender o Horário de Negociações para até 22h 
https://t.co/sJap3qsM0G
#B3 #B3SA3 #BancoCentral #CVM https://t.co/UwBhWbGxxI</t>
  </si>
  <si>
    <t>La Justicia Federal avaló el reclamo de #Cordoba  y el #BancoCentral deberá venderle los #dolares necesarios para pagar deuda https://t.co/ahQTcn21wp https://t.co/LtJdiPuLsP</t>
  </si>
  <si>
    <t>#Cordoba presenta un #amparo contra la resolución del #BancoCentral que impide a las provincias comprar #dólares para pagar deudas
https://t.co/SAnA2BFd3u… https://t.co/iUeFPKzMZh</t>
  </si>
  <si>
    <t>#Cordoba presenta un #amparo contra la resolución del #BancoCentral que impide a las provincias comprar #dólares para pagar deudas
https://t.co/IekcphTSTK https://t.co/zjEHsqXSbN</t>
  </si>
  <si>
    <t>Bahillo confirmó cambios y que el #BancoCentral hará los anuncios sobre el « #DolarAgro »
https://t.co/gr8w39d1iX https://t.co/lehOKWZbNh</t>
  </si>
  <si>
    <t>Ante empresarios, #Milei reafirmó su plan de «eliminar» el #BancoCentral para poder #dolarizar la economía
https://t.co/kcNFNOQSyp https://t.co/eUej8srha7</t>
  </si>
  <si>
    <t>🔊 Estreia Mundial
🗓️Par: CANDY/USDT ($CANDY)
⏰ Negociação: 10:00 (UTC) de 13 de junho de 2023
🏦 O depósito já está aberto
🎁 Participe do Listing Carnival para ganhar 33.333 CANDY!
🔗 Link de anúncio: https://t.co/KshVosFUwr
#CANDYPOCKET #CANDYTUNE #BancoCentral… https://t.co/qiQBdGaNsJ</t>
  </si>
  <si>
    <t>#BancoCentral
A política de #juros altos do Banco Central precisa ser reformulada antes que a dívida pública se torne insustentável.</t>
  </si>
  <si>
    <t>#RobertoCamposNeto #BancoCentral #taxaSELIC https://t.co/a684kIfhNX</t>
  </si>
  <si>
    <t>#BancoCentral #SELIC #RobertoCamposNeto #economiapopular #finançaspúblicas #lei15211951 https://t.co/DBy5QzWIN9</t>
  </si>
  <si>
    <t>💥 LOUSTEAU CUESTIONÓ A BULLRICH
🔴 El precandidato a jefe de Gobierno porteño @GugaLusto, apuntó por @C5N contra la precandidata presidencial #PatriciaBullrich, por sus declaraciones recientes y su idea de entrar al #BancoCentral con una cámara para mostrar las bóvedas. https://t.co/VuBlEoTQ76</t>
  </si>
  <si>
    <t>RT @PeruMachete: El presidente del #BancoCentral de Reserva, #JulioVelarde, reconoció que la #agricultura atraviesa su periodo más desafian…</t>
  </si>
  <si>
    <t>A confirmação de Gabriel Galípolo para a diretoria de #PolíticaMonetária do #BancoCentral movimentou o mercado de câmbio.
#moneymarkets https://t.co/NLgGU90DQG</t>
  </si>
  <si>
    <t>📢 O presidente do Banco Central do Brasil expressa oposição à criação de uma #moeda comum, destacando o potencial das soluções digitais e ressaltando a facilidade de #regulação da #moedadigital do #bancocentral do país. 
Saiba mais 🎯 https://t.co/i68JrjXA31 
#moneymarkets</t>
  </si>
  <si>
    <t>⚠️ Saiba mais sobre os #indicados de #Lula para o #BancoCentral do Brasil e como a nomeação afetará a #políticamonetária. 
Saiba mais 👉 https://t.co/UGIlWJnH3B 
#moneymarkets https://t.co/ZrpdOWnMaz</t>
  </si>
  <si>
    <t>O #dólar segue instável após as decisões do #Fed e do #BancoCentral do Brasil, que mantiveram as #taxas de #juros.
#moneymarkets https://t.co/aMwIe6Lop2</t>
  </si>
  <si>
    <t>📢 Acompanhe as atualizações da reunião do #Copom do #BancoCentral e as expectativas em relação à taxa de #juros no Brasil.
Saiba mais 🎯 https://t.co/6uTlQaUwBp 
#moneymarkets https://t.co/wPSM4k5icV</t>
  </si>
  <si>
    <t>OLHA O PIX 💰 | Segundo o #BancoCentral, desde o começo do ano já foram movimentados cerca de R$ 1 trilhão via #Pix.
Saiba mais: https://t.co/HNXO23xCnD
E você, usa o pix? Deixe nos comentários! ⤵
#TamoJuntoJM #RecordePix #PixMaisUsado https://t.co/uEuguTfNua</t>
  </si>
  <si>
    <t>DREX, PIX, TED OU DOC? 💰| Entenda as várias formas de se fazer transação monetária de maneira eletrônica.
👉🏼 https://t.co/p9Pnvurb3H
#TamoJuntoJM #MinasGerais #MG #Pix #Drex #Ted #Doc #Moeda #RealBrasileiro #Economia #BancoCentral #TransferenciaBancaria https://t.co/XrG2gUt4T7</t>
  </si>
  <si>
    <t>RECLAMAÇÕES EM BANCOS 🏦| O #BancoCentral divulgou o ranking das instituições financeiras com maior número de reclamações durante o segundo trimestre de 2023. 
➥ https://t.co/p9PnvuqDe9
#TamoJuntoJM #ReclamacoesEmBancos #Banco #ListaBancosNumeroReclamacoes #MinasGerais 
#MG https://t.co/SHE1fLbNWN</t>
  </si>
  <si>
    <t>POR CAUSA DO PIX 💰 | #Febraban diz que bancos deixarão de oferecer as modalidades de pagamento  até 29 de fevereiro de 2024. 
Saiba mais: 
#TamoJuntoJM #JornalMetropolitano #JM #MG 
#Pix #Ted #Doc #BancoCentral #MinasGerais #BeloHorizonte #BH #Contagem #Betim https://t.co/KAuBbENhvf</t>
  </si>
  <si>
    <t>PIX está tão popular que está até ganhando novos recursos como lentidão e indisponibilidade.
#pix #bcb #BancoCentral</t>
  </si>
  <si>
    <t>El Presidente @luisabinader informa qué tienen hasta el 17 de agosto para decidir  su repostulación 
#Shakira #fuerzadelpueblo #premiosheat #ucrania #rusia #EstadosUnidos #luna #corpuschristi #ArabiaSaudita #juansoto #bancocentral @victordume1 @kristynathaly05 @BancoCentralRD https://t.co/ry8PG2clHg</t>
  </si>
  <si>
    <t>Ultra derechista #milei atrae la mayoría de los votos en la primaria de argentina 
#maiu #drake #mexico #Argentina #ArgentinaElige #EcuadorDebate2023 #bancocentral @AlmonteVega @AraJetAirlines @victordume1 @RDPorLoAlto #PokemonGO https://t.co/z0sdKXT9mg</t>
  </si>
  <si>
    <t>Aguente firme #bancocentral https://t.co/H42AOXdzqw</t>
  </si>
  <si>
    <t>💡 Aqui destacamos o crescimento no crédito para pessoas físicas e a necessidade de estímulo para o setor empresarial.  💪📊
 #BancoCentral #EconomiaBrasileira</t>
  </si>
  <si>
    <t>💡 Esses dados fazem parte das Estatísticas de Crédito recém-divulgadas pelo Banco Central. 💪📊
 #BancoCentral #EconomiaBrasileira</t>
  </si>
  <si>
    <t>#BancoCentral</t>
  </si>
  <si>
    <t>@LulaOficial Tá doidinho pra tomar o controle do #BancoCentral em #Lula?! A menor taxa de juro foi no governo Bolsonaro. O que tá salvando a economia do país é a independência do BC.</t>
  </si>
  <si>
    <t>Cara! ... Pelo amor de Deus! Isso é uma falta de consideração real!
Uso vcs a muito tempo, e nunca tive porra nenhuma como benefício e aí vcs fazem isso. 
Vou aguardar o prazo, mas vou ligar todo o santo dia. 
#picpay #bancocentral</t>
  </si>
  <si>
    <t>Ontem eu acessei o app e notei que a pessoa que recebeu meu dinheiro visualizou minhas mensagens após o PicPay avisar e não me respondeu, ou seja, ele foi avisado que recebeu 504 reais e não respondeu dando a autorização. LÓGICO QUE NÃO IA RESPONDER!
#picpay #bancocentral</t>
  </si>
  <si>
    <t>... Pedi suporte ao atendimento do #Picpay e a tratativa era, entrar em contato com a pessoa que recebeu meu dinheiro e pedir autorização dela para devolver O DINHEIRO QUE NÃO É DELA! 
#bancocentral</t>
  </si>
  <si>
    <t>E mais uma vez eu volto aqui para falar sobre o @picpay e sua inteligentíssima tratativa para resolver o meu caso! 
Infelizmente eu fiz um pagamento de forma errada para uma pessoa que desconheço total (SIM ESSE ERRO FOI MEU).
#bancocentral</t>
  </si>
  <si>
    <t>A partir de 19 de julho, as pessoas jurídicas clientes da Caixa Econômica Federal começarão a pagar para fazer Pix. 
.
.
.
#PIX #Taxa #PessoasJuridicas #BC #BancoCentral
https://t.co/BblxL1uiGO</t>
  </si>
  <si>
    <t>O Comitê de Política Monetária (Copom) do Banco Central (BC) começa nesta terça-feira (20), em Brasília, a quarta reunião do ano para definir a taxa básica de juros, a Selic. 
.
.
.
#Copom #TaxaDeJuros #Selic #Economia #BancoCentral
https://t.co/IxUS05z0PF</t>
  </si>
  <si>
    <t>📈 El directorio del #BancoCentral de Reserva (#BCR) acordó mantener por sexta vez consecutiva la tasa de #interés de referencia en 7.75%. 👉🏻  https://t.co/stASDimcsm https://t.co/wD3JNOgXse</t>
  </si>
  <si>
    <t>Estamos na luta pela garantia dos direitos de trabalhadores e trabalhadoras na Volks, mas seguimos em mobilização nacional pela queda da taxa de juros. O País precisa crescer!
#SMABC #JurosBaixosJá #bancocentral</t>
  </si>
  <si>
    <t>Pancadão do Amor venceu!
Se o juros está alto e a oposição está forte, leve a Banda Vodu é pra Jacú no seu estado.
Lavagem do Congresso com sal grosso e do Banco Central com sabão em pó e água.
#congressonacional #bancocentral #voduéprajacu #atualidades #geopolitica #luizcurvelo https://t.co/Lfzk5RJZKh</t>
  </si>
  <si>
    <t>Dice un ex-presidente de la Cámara de Cuentas de RD que ellos realizaron una auditoría al #BancoCentral y se encontraron miles de irregularidades @josepeguero Ahí aparecen macos y muy caros, porque ahí si hay dinero y se maneja dinero del señoreaje medalaganaria y mente...</t>
  </si>
  <si>
    <t>it's July 2023, and the FT has managed to write 2000 words on inflation without once mentioning profits. 
quite impressive, guys. https://t.co/Fddj677xu3</t>
  </si>
  <si>
    <t>#ibov #selic #bancocentral 
2,38% ×12 meses = 28% de aumento. Acima da selic 13,75%. Depois vcs perguntam pq o Banco Central não baixa o juros...o governo só quer saber de gastar
@LulaOficial, @Haddad_Fernando, @simonetebetbr. Vamos esforça em conter os gastos e estabilizar https://t.co/pzu8M7BU2a</t>
  </si>
  <si>
    <t>#selic #bancocentral #RCN
Já estamos na metade do mês 5! E nada da taxa de juros cair para a economia ferver.
@LulaOficial , @Haddad_Fernando, @simonetebetbr, mais agilidade nesse arcabouço fiscal!. Mais aperto monetário. O 🇧🇷 precisa de  crescimento. O comércio local está morto!</t>
  </si>
  <si>
    <t>#ibov #BancoCentral 
Por aqui a taxa de juros era 4,4%.... qual necessidade de 13,75%.... dolar está caindo forte de mais. Isso vai travar as commodities.
@LulaOficial, @Haddad_Fernando destitui logo o presidente do Banco Central.  Vai matar a economia do 🇧🇷, inflação por demanda https://t.co/cxNH8z62Ch</t>
  </si>
  <si>
    <t>#mercadofinanceiro #inflacao #economia #bancocentral #boletimfocus #dinheiro #economy #brasil #noticias #news #jornale
https://t.co/qmbRtlSUBl</t>
  </si>
  <si>
    <t>O Banco Central publicou na última segunda-feira (4) o "Relatório de Gestão do Pix - Concepção e primeiros anos de funcionamento 2020-2022". Saiba qual foi o maior valor realizado pelo Pix.
#bancocentral #pix #transferencia #jm
https://t.co/MleCwSDLOw</t>
  </si>
  <si>
    <t>https://t.co/aWIvMTKnRI
#economiaemmovimento  #economiaclaraepratica #mercadofinanceiro #bancocentral #juros  #oportunidades https://t.co/FpbTJY3DAy</t>
  </si>
  <si>
    <t>#Bancocentral exige a los a
bancos ahorrar. Excusa : Estar listos y con liquidez para enfrentar un pronta crisis..Mundial.</t>
  </si>
  <si>
    <t>Banco Central alerta: fraudes no PIX
O Banco Central anunciou nesta terça-feira (2) novas medidas de segurança para as transações via Pix, o sistema de pagamentos instantâneos...
https://t.co/876ReXCBiZ
#PIX #BancoCentral #Economia #MaisNews #Noticias #PrMarcioBatista https://t.co/WNQqONgRMw</t>
  </si>
  <si>
    <t>Banco Central fará consultas públicas para regular o mercado de criptoativos. Objetivo é controlar os riscos sem prejudicar a inovação. #BancoCentral #criptoativos #MercadodeAtivosVirtuais https://t.co/ejQKAolqKi
https://t.co/ejQKAolqKi</t>
  </si>
  <si>
    <t>O boletim Focus semanal do Banco Central eleva para 2,18% o índice do crescimento da economia no ano. Projeções, contudo, ainda estão acima do limite. #BancoCentral #crescimentodoPIB #MercadoFinanceiro https://t.co/3LsnFi0LdJ
https://t.co/3LsnFi0LdJ</t>
  </si>
  <si>
    <t>Banco Central informa que até o fim de maio, os brasileiros não haviam sacado R$ 7,12 bilhões em recursos esquecidos no sistema financeiro. #BancoCentral #SistemadeValoresaReceber #ValoresEsquecidos https://t.co/f3u5dDhXbp
https://t.co/f3u5dDhXbp</t>
  </si>
  <si>
    <t>Operação padrão de servidores do BC adia relatório de poupança, que deverá ser divulgado nesta sexta-feira. #BancoCentral #OperaçãoPadrão #RelatóriodePoupança https://t.co/onUaYtRhe6
https://t.co/onUaYtRhe6</t>
  </si>
  <si>
    <t>Banco Central registra que em maio, brasileiros sacaram R$ 11,75 bilhões a mais do que depositaram na caderneta de poupança. Maior valor desde 1995. #BancoCentral #cadernetadepoupança #retiradarecorde https://t.co/SS7SdkA1cW
https://t.co/SS7SdkA1cW</t>
  </si>
  <si>
    <t>O Índice de Atividade Econômica mensal divulgado pelo Banco Central registrou queda de quase 2% em maio. #BancoCentral #ÍndicedeAtividadeEconômica #QuedanaAtividadeEconômica https://t.co/QMtUp13DI3
https://t.co/QMtUp13DI3</t>
  </si>
  <si>
    <t>Banco Central pretende facilitar transações e viabilizar a movimentação digital de recursos, pagamentos e bens ao criar a versão digital do Real. #BancoCentral #moedadigital #pilotodoRealDigital #tokens #versãodigitaldoReal https://t.co/7f1ILew301
https://t.co/7f1ILew301</t>
  </si>
  <si>
    <t>O Boletim Focus do Banco Central registra enfraquecimento da inflação pelo quarto mês consecutivo. No acumulado do ano, o IPCA soma 2,87%. #BancoCentral #boletimFocus #IPCA #PrevisãodaInflação https://t.co/Xxixp0tYQm
https://t.co/Xxixp0tYQm</t>
  </si>
  <si>
    <t>Consumidor terá que esperar até agosto se quiser encarar um taxa básica de juros um pouco mais baixa. É o que o Comitê de Política Monetária acena. #BancoCentral #ComitêdePolíticaMonetária #Copom #taxabásicadejuros #taxaSelic https://t.co/GQtVLhzALi
https://t.co/GQtVLhzALi</t>
  </si>
  <si>
    <t>Banco Central confirma o nome Drex para a futura moeda digital do Brasil, que deverá chegar a correntistas somente no ano que vem. #BancoCentral #Drex #MoedaDigitalBrasileira #versãodigitaldoReal https://t.co/P0zK5J7hwk
https://t.co/P0zK5J7hwk</t>
  </si>
  <si>
    <t>A taxa média de juros das concessões de crédito livre subiu 7,4 pontos percentuais nos últimos 12 meses, alcançando 45,4% ao ano em maio. #BancoCentral #CartãodeCrédito #taxadejuros https://t.co/IPZsBVmxjf
https://t.co/IPZsBVmxjf</t>
  </si>
  <si>
    <t>Entenda como vai funcionar a nova moeda digital, o Drex, e como o governo quer impulsionar negócios e inclusão financeira no Brasil. #BancoCentral #Drex #MoedaDigitalBrasileira #RealDigital https://t.co/CkbG9mknpn
https://t.co/CkbG9mknpn</t>
  </si>
  <si>
    <t>Banco Central relata um aumento significativo na utilização do sistema de transferências instantâneas. Foram R$ 140 milhões na última sexta. #BancoCentral #PIX #SistemadeTransferênciasInstantâneas https://t.co/UNC6n6pW7O
https://t.co/UNC6n6pW7O</t>
  </si>
  <si>
    <t>📊 Inflação para 2023 prevista em 4,9% pelo Boletim Focus do BC, ultrapassando a meta de 4,75%. 
Gasolina eleva IPCA de julho. 📈 
Saiba mais: https://t.co/09n5pGKoEw
#Economia #Inflação #BoletimFocus #BancoCentral https://t.co/RIYVe33d2g</t>
  </si>
  <si>
    <t>Boletim Focus do Banco Central revela projeções preocupantes com a inflação para os próximos anos de governo Lula. #BancoCentral #boletimFocus #Inflaçãooficial #IPCA https://t.co/sEijMeo8F8
https://t.co/sEijMeo8F8</t>
  </si>
  <si>
    <t>O relatório do Banco Central reduziu a previsão de inflação do ano pela oitava vez. As previsões para o PIB e o câmbio também são otimistas. #BancoCentral #boletimFocus #PrevisãodeInflação https://t.co/UODegVKFHi
https://t.co/UODegVKFHi</t>
  </si>
  <si>
    <t>Me siento sumamente comprometido a seguir trabajando para defender los derechos de cada dominicano 🇩🇴🙌🏾.
Actualmente con el @DefensorRD nos encontramos en la posición número tres en cuanto a la autonomía, siendo superados solamente por la #Procuradoría y #BancoCentral. https://t.co/GMcLXplDo0</t>
  </si>
  <si>
    <t>El economista norteamericano Steve Hanke, de la Universidad Johns Hopkins, afirmó a Infobae que los planes del candidato y economista libertario son los únicos que pueden erradicar la alta inflación argentina. #BANCOCENTRAL #DÓLAR #MILEI
https://t.co/AhLoBPZ4E2 https://t.co/XCK3zH3YhH</t>
  </si>
  <si>
    <t>Estudo sobre finanças digitais foi divulgado pelo Banco Central.
Leia em: https://t.co/ggpsyAqcHy
#bancocentral #economiadigital #forumservicopublicoceara https://t.co/Z9pZOOG2kU</t>
  </si>
  <si>
    <t>Ata da última reunião do Copom revela divergência sobre futuro da taxa básica de juro.
Leia em: https://t.co/ggpsyAqcHy
#bancocentral #taxabasicadejuros #forumservicopublicoceara https://t.co/FcrFN5Q22Y</t>
  </si>
  <si>
    <t>Campanha começa no dia 16, com o Dia Nacional de Lutas. Atos serão realizados em todo o país exigindo que o Banco Central baixe a taxa Selic, hoje em 13,75% – a mais alta do mundo.
Leia em: https://t.co/ggpsyAqcHy
#jurosaltos #bancocentral #forumservicopublicoceara https://t.co/TXGMFz4KL3</t>
  </si>
  <si>
    <t>Confirmação de Gabriel Galípolo, atual número 2 da Fazenda, e Ailton de Aquino Santos depende de aprovação do Senado.
Leia em: https://t.co/ggpsyAqcHy
#politicadejuros #bancocentral #diretores #forumservicopublicoceara https://t.co/m533byUo6n</t>
  </si>
  <si>
    <t>O ministro da Fazenda, Fernando Haddad, voltou a pressionar o Banco Central (BC) para reduzir a taxa básica de juros, a Selic.
Leia em: https://t.co/ggpsyAqcHy
#haddad #bancocentral #selic #forumservicopublicoceara https://t.co/T5hLD4dOwm</t>
  </si>
  <si>
    <t>Atualmente, Selic está em 13,75% ao ano.
Leia em: https://t.co/ggpsyAqcHy
#bancocentral #quedanataxadejuros #forumservicopublicoceara https://t.co/AzwPwMfynP</t>
  </si>
  <si>
    <t>Presidente, que está na Europa em viagem oficial, foi perguntado sobre o assunto durante entrevista coletiva na Itália.
Leia em: https://t.co/ggpsyAqcHy
#taxabasicadejuros #selic #bancocentral #forumservicopublicoceara https://t.co/b3spFy4zxN</t>
  </si>
  <si>
    <t>Essa é primeira vez que BC diminui Taxa Selic em três anos.
Leia em: https://t.co/ggpsyAqcHy
#taxaselic #bancocentral #forumservicopublicoceara https://t.co/gSiU8eEJGp</t>
  </si>
  <si>
    <t>Categoria questiona também a abertura de concurso público que, segundo eles, não atrairá profissionais de maior qualificação se não houver reestruturação da carreira.
Leia em: https://t.co/ggpsyAqcHy
#servidores #bancocentral #forumservicopublicoceara https://t.co/VSHv4yCFlB</t>
  </si>
  <si>
    <t>De acordo com o estudo, independência do BC é um fator “especialmente severo para os 10% mais pobres” por privilegiar ativos dos mais ricos.
Leia em: https://t.co/ggpsyAqcHy
#bancocentral #desigualdade #forumservicopublicoceara https://t.co/8oU5nF6UN4</t>
  </si>
  <si>
    <t>Após Banco Central cortar taxa, mercado revê expectativas e reduz suas previsões sobre juros.
Leia em: https://t.co/ggpsyAqcHy
#bancocentral #selic #forumservicopublicoceara https://t.co/1DK6MrfyB2</t>
  </si>
  <si>
    <t>BC também promete aplicativo para centralizar produtos bancários.
Leia em: https://t.co/ggpsyAqcHy
#bancocentral #pix #forumservicopublicoceara https://t.co/POdQqP5d2Z</t>
  </si>
  <si>
    <t>💸#Inflación: las proyecciones y las advertencias del #BancoCentral (@BancoCentral_AR)  para lo que queda del año
La entidad monetaria alertó sobre los próximos ajustes salariales y le puso fecha de vencimiento a la desaceleración del índice de #precios.
https://t.co/jDDvhBJ8uH https://t.co/BJ982YqaWu</t>
  </si>
  <si>
    <t>https://t.co/9DUYOwG6ih
#créditorotativo #BC #bancocentral #juros #noticias #brasilperfil</t>
  </si>
  <si>
    <t>https://t.co/pAcprP7iqe
#taxaselic #selic #economia #BC #copom #noticias #bancocentral #noticias</t>
  </si>
  <si>
    <t>https://t.co/7c6G43SKZO
#bancocentral #moedadigital #economia #brasilperfil #noticias</t>
  </si>
  <si>
    <t>https://t.co/JwFF1y2ZKs
#Drex #BC #bancocentral #noticias #economia #brasilperfil</t>
  </si>
  <si>
    <t>https://t.co/0F1U6QnQMG
#dolar #ibovespa #economia #bancocentral #BC #noticias #brasilperfil</t>
  </si>
  <si>
    <t>#bancocentral #BC #BoletimFocus #Economia
#mercado #Projeção 
https://t.co/uHsOSdwsJf</t>
  </si>
  <si>
    <t>https://t.co/h5z7xNIl10
#copom #bancocentral #economia #noticias #brasilperfil</t>
  </si>
  <si>
    <t>El Banco Central ya puso en circulación el nuevo #Billete de $#2000
https://t.co/HOpgq9g4wM
#BairesParaTodos #BancoCentral https://t.co/0fJ1shDB2R</t>
  </si>
  <si>
    <t>El dólar blue retrocedió después de tres días de escalada
https://t.co/1fXCYrVOHV
#BairesParaTodos #BancoCentral #DólarBlue https://t.co/nFxqzJGz5N</t>
  </si>
  <si>
    <t>Milei defendió la dolarización: "Ustedes no necesitan un Banco Central"
https://t.co/7LormLZJCT
#BairesParaTodos #BancoCentral #JavierMilei https://t.co/WnkQ28WrXb</t>
  </si>
  <si>
    <t>Califican de "bestialidad" la propuesta de Patricia Bullrich de "entrar con una cámara" al Banco Central
https://t.co/Boko4VqBxH
#BairesParaTodos #BancoCentral #Elecciones2023 #PatriciaBullrich https://t.co/SYtSLFXj5H</t>
  </si>
  <si>
    <t>Califican de "bestialidad" la propuesta de Patricia Bullrich de "entrar con una cámara" al Banco Central
https://t.co/Boko4VqBxH
#BairesParaTodos #BancoCentral #Elecciones2023 #PatriciaBullrich https://t.co/240sSIPaRO</t>
  </si>
  <si>
    <t>Adiós a los billetes de $ 2000: por qué los rechazan los cajeros y qué hacer si tengo uno
https://t.co/0YdCSddcfl
#2000Pesos #BairesParaTodos #BancoCentral #Billete #CajerosAutomáticos https://t.co/WAHFspnZJD</t>
  </si>
  <si>
    <t>Quién es Emilio Ocampo, el economista que Javier Milei piensa poner al frente del Banco Central para cerrarlo
https://t.co/n7jXT0E8NO
#BairesParaTodos #BancoCentral #EmilioOcampo #JavierMilei https://t.co/mY2DolRIfO</t>
  </si>
  <si>
    <t>Cliente poderá solicitar uso do nome social nos talões: _x000D__x000D_ #BlogdoJuares #BJNews #BancoCentral #cheques #novopadrao #Economia_x000D__x000D_https://t.co/8eLx0O8CEL</t>
  </si>
  <si>
    <t>Banco desmentiu notícias de que tarifa atingiria pessoas físicas:_x000D__x000D_ #BlogdoJuares #BJNews #Pix #pessoasjuridicas #Caixa #BancoCentral #tarifas #empresarios #transferencias_x000D__x000D_https://t.co/NO1OcV4BD4</t>
  </si>
  <si>
    <t>Novidade só deve chegar ao público no fim de 2024:_x000D__x000D_ #drex #bc #bancocentral #criptmoeda #moeda #pix #funcionamento #brasil #governofederal #bj #bjNews #economia #blogdojuares_x000D__x000D_https://t.co/KlpBvDTf1W</t>
  </si>
  <si>
    <t>•El #BancoCentral precisó que la publicación del Relevamiento de Expectativas de Mercado será el mismo día en que el #INDEC informe la #inflacion.
https://t.co/JPFhcojm9t</t>
  </si>
  <si>
    <t>El darle peso a la presión social por el simple hecho de complacerlos te hace preso de tu propio destino 🥠 
#sii 
#bancocentral 
#viñadelmar 
#Eurovision2023</t>
  </si>
  <si>
    <t>Para...  me estás diciendo que @Juli_Strada confirmo que el #BancoCentral tiene reservas negativas? 
La #Directora del #BancoNacion confirma que el #kirchnerismo hizo mierda las reservas en la campaña? https://t.co/KsamR0aT3T</t>
  </si>
  <si>
    <t>(1/2) Você sabe o que é a Taxa Selic? Confira neste post como a taxa básica de juros da economia brasileira afeta a vida de todos nós e entenda por que o corte feito neste mês é um sinal positivo.
#Juros #TaxaSelic #BancoCentral #TaxaDeJuros #Copom #Economia #QueContaÉEssa https://t.co/iL7nptnw62</t>
  </si>
  <si>
    <t>Presidente do #BancoCentral, Roberto Campos Neto, estuda acabar com #Crédito rotativo, com #juros acima de 450% ao ano. Pagamento parcial da fatura levaria a parcelamento automático com juros mais baixos. Altos juros e #inadimplência afetam os mais pobres, gerando #taxasabusivas. https://t.co/g4FvXBLE7g</t>
  </si>
  <si>
    <t>@chiqui_avalos En su primer gobierno, quintuplicó la deuda externa Pya. 
Hoy, sin asumir aún, están planteando nuevas deudas con bonos soberanos para salvar al #BASA del #default 
Empezaron a abonar el terreno con el mentiroso informe del #BancoCentral de inflacion de Mayo = 0%</t>
  </si>
  <si>
    <t>Hernán Madera: "No se sabe de donde está sacando el Banco Central los dólares para intervenir en el mercado cambiario"
https://t.co/7EIisRhN3E
Cc: @rociokalenok @santiagoLlull @herno7 
#bancocentral #dolares #dolaresargentina #economia #canaleconomico</t>
  </si>
  <si>
    <t>Aldo Abram: “Es imposible que con un cepo el Banco Central recupere las divisas"
https://t.co/SqspVaw6xA
Cc: @martinnmena  @AbramAldo  @LPfundacion 
#canaleconomico #economia #divisas #bancocentral #BCRA</t>
  </si>
  <si>
    <t>El FMI impulsa una plataforma global para las monedas digitales del Banco Central
https://t.co/TPTASEePdg
Cc: @PepeGilVidal @MechiLearning 
#FMI #bancocentral #monedasdigitales #economia #canaleconomico</t>
  </si>
  <si>
    <t>El Banco Central de Suiza impulsa una nueva moneda digital mayorista
https://t.co/ia4z3qcKMC
Cc: @MechiLearning @PepeGilVidal 
#bancocentral #suiza #nuevamonedadigital #mayorista #economia #canaleconomico</t>
  </si>
  <si>
    <t>Ariel Coremberg: “No sabemos de dónde vienen los dólares que usa el Banco Central para intervenir el mercado cambiario”
https://t.co/5tZ3d7K1it
Cc: @PepeGilVidal @ArielCoremberg 
#dolares #bancocentral #mercadocambiario #economia #canaleconomico</t>
  </si>
  <si>
    <t>Aldo Abram: "Es evidente que el Banco Central está quebrado por el cepo"
https://t.co/L2af14paEa
Cc: @AbramAldo @LPfundacion @SantiagoLlull 
#economia #argentina #canaleconomico #bancocentral #cepo</t>
  </si>
  <si>
    <t>Entidades financieras no reguladas por el Banco Central: ¿Qué riesgos trae para quienes acuden a ellas?
https://t.co/Q87qjHWo9d
Cc: @SantiagoLlull @rociokalenok @OsvaldoHBassano 
#economia #argentina #canaleconomico #bancocentral #entidadesfinancieras</t>
  </si>
  <si>
    <t>Advierten que las reservas del Banco Central están en números negativos
Cc @arielgmaciel @marianogoro @rociokalenok 
#Dolar #Dolares #BancoCentral #Dolarblue #dolarhoy
https://t.co/Tv5fYOmR9I</t>
  </si>
  <si>
    <t>Damián Di Pace: "Lo que Sergio Massa había prometido lo logró con el dólar soja III"
Cc @DiPace4 @rociokalenok 
#China #BancoCentral #Economia
https://t.co/NUPMMeIUow</t>
  </si>
  <si>
    <t>Miguel Ponce: “Estamos en manos de funcionarios que desconocen cómo funciona el comercio exterior”
https://t.co/Oiha5C1ArO
Cc:
@IngMiguelPonce 
@marianogoro 
@rociokalenok 
#bancocentral #economia #canaleconomico</t>
  </si>
  <si>
    <t>Así abrió el dólar blue en la jornada de este jueves 4 de mayo
#Dolar #Dolarhoy #Dolarblue #dolarparalelo #BancoCentral
https://t.co/sraDZJOOFQ</t>
  </si>
  <si>
    <t>El Banco Central prevé que la inflación mensual superará el 10% en agosto
https://t.co/rz8F25frhY
#canaleconomico #economia #canale #argentina #editorialperfil #inflacion #bancocentral #BCRA</t>
  </si>
  <si>
    <t>El dólar blue cerró estable este viernes 5 de mayo y se fortalecen las reservas del Banco Central
#Dolar #Dolarhoy #DolarBlue #dolarparalelo #Bancocentral
https://t.co/Y5vKQ386a4</t>
  </si>
  <si>
    <t>El banco central brasileño ve poco probable mayores recortes de tasas
https://t.co/cbWOJS1eRw
#canaleconomico #economia #canale #argentina #editorialperfil #Brasil #BancoCentral #tasaDeInteres</t>
  </si>
  <si>
    <t>¿Se puede eliminar el Banco Central? Expertos analizan la polémica idea de Javier Milei
https://t.co/gjhTsZP04V
#economia #argentina #canaleconomico #editorialperfil #bancocentral #javiermilei #milei #lalibertadavanza</t>
  </si>
  <si>
    <t>🌍Empieza 4 Julio! CBDC Moneda digital del Banco Central: lo que necesitas saber! Mas info aqui: https://t.co/emWETL31sW #cbdc #bancocentral #criptomonedas #dollar #fednow #reservafederal https://t.co/kg6TxjOGqC</t>
  </si>
  <si>
    <t>🏦Banco central? Nome na lista negra? Oque tem de verdade e mentira nisso? #bc #bancocentral #dividas #negativado https://t.co/PmXJzaL3xP</t>
  </si>
  <si>
    <t>💸🐦 Quanto você paga todo mês pro Banco?🏦
#banco #bancos #dinheiro #taxabancaria #contacorrente #itau #bradesco #santander #nubank #caixa #bancocentral https://t.co/6e5eCXarbx</t>
  </si>
  <si>
    <t>✋🛂O Controle dos seus dados financeiros na sua mão, na prática é mais dinheiro no seu bolso 💰 se você souber usar está ferramenta, tem alguma dúvida? deixe aqui👇 #bc #bancocentral #bancos #dinheiro #openfinance #openbank #financiamento https://t.co/buBS72xNSk</t>
  </si>
  <si>
    <t>⚠️ Isso é uma encenação 📸 aos desavisados
No próximo vídeo vou te ensinar, como você faz isso no seu banco na prática 💰🏦🫵 #bc #bancocentral #bancos #dinheiro #openfinance #openbank #financiamento https://t.co/HxvKzxI3TW</t>
  </si>
  <si>
    <t>#Económicas l Banco Central reduce su tasa de política monetaria de 8.00 % a 7.75 % anual https://t.co/hY7HJG02YY… #BancoCentral #PolíticaMonetaria #Tasa https://t.co/we0juSIjio</t>
  </si>
  <si>
    <t>#Nacionales Fondos encaje llegan a  RD$58,741 millones https://t.co/sNyOWtFbYm #BancoCentral #Fondosencaje #JuntaMonetaria</t>
  </si>
  <si>
    <t>#Económicas l Banco Central afirma recursos desembolsados para sectores productivos y MIPYMES alcanzan RD$58,741 millones https://t.co/hufwkf7jxq
#BancoCentral #MIPYMES #SectoresProductivos</t>
  </si>
  <si>
    <t>#Opinión Ciclos de políticas monetarias https://t.co/j0waR12Y5K #BancoCentral #economia #Políticasmonetarias</t>
  </si>
  <si>
    <t>#Económicas Remesas rondaron los US$4,200 millones en los primeros cinco meses de 2023 https://t.co/cLk6l44pNH #BancoCentral #remesas</t>
  </si>
  <si>
    <t>Banco Central libera RD$34 mil millones del encaje legal para sectores
 https://t.co/qTnGZHYn4Q #BancoCentral #encajelegal #JuntaMonetaria #Sectores</t>
  </si>
  <si>
    <t>#Económicas Santos asegura  economía se fortalece https://t.co/wIs4wlvPW3 #BancoCentral #economia #fortalece #santos</t>
  </si>
  <si>
    <t>Banco Central libera RD$34 mil millones del encaje legal para sectores
https://t.co/DdAL9Bzg2F
#BancoCentral #encajelegal #tasa</t>
  </si>
  <si>
    <t>ABA estima cambio en la política monetaria favorecerá dinamización de la economía https://t.co/b3VutsKttF #ABA #BancoCentral #economia #políticamonetaria</t>
  </si>
  <si>
    <t>Banco Central baja tasa intereses de referencia para dinamizar economía https://t.co/LFQEmEjevo #BancoCentral #dinamizareconomía #JuntaMonetaria #tasaintereses</t>
  </si>
  <si>
    <t>#Económicas l Pedro Brache afirma medida del Banco Central provocará reducción de precios de productos
https://t.co/fXHOlVA8fu
#PedroBrache #BancoCentral #Productos https://t.co/ZMMPfhV8SN</t>
  </si>
  <si>
    <t>Cómo se determina la tasa de interés del mercado
 https://t.co/g8cr204D1v #AntonioCiriacoCruz #BancoCentral #Mercado #Tasadeinterés</t>
  </si>
  <si>
    <t>#Económicas Economía muestra repunte, y responde estímulos monetarios https://t.co/TA3w7nUkLP #BancoCentral #economia #estímulosmonetarios #IMAE</t>
  </si>
  <si>
    <t>#Económicas l Banco Central mantiene su tasa de interés de política monetaria en 7.75 % anual
https://t.co/sUxnBsUyOp
#BancoCentral #Anual #Tasa</t>
  </si>
  <si>
    <t>#Económicas Analistas estiman tasas de intereses seguirán bajando https://t.co/etpW7Y8QqT #Analistas #bajando #BancoCentral #tasasdeintereses</t>
  </si>
  <si>
    <t>Banco Central registra aumento en ocupación laboral en primer trimestre del año 
https://t.co/R2PKVzvKYM #BancoCentral #ocupaciónlaboral</t>
  </si>
  <si>
    <t>Economista Ng Cortiñas afirma alcanzar rango de inflación ha tenido impactos negativos y costos https://t.co/7rtpdaZxbq #BancoCentral #economia #economista #inflación #NgCortiñas</t>
  </si>
  <si>
    <t>#Económicas Banco Central informa la inflación regresa a niveles estables https://t.co/2d3epgUF5V #BancoCentral #inflación #nivelesestables</t>
  </si>
  <si>
    <t>#Opinión Fórmula de Andy https://t.co/XKjZt0sooL #AndyDauhajre #BancoCentral #FórmuladeAndy #JoséBáezGuerrero #PIB</t>
  </si>
  <si>
    <t>#Opinión La política monetaria necesita refuerzos https://t.co/yUPYbKu3CU #AntonioCiriacoCruz #BancoCentral #PIB #políticamonetaria #refuerzos</t>
  </si>
  <si>
    <t>#Económicas Remesas alcanzan US$4,200 millones https://t.co/nQKp2eTSzq #BancoCentral #remesas</t>
  </si>
  <si>
    <t>📉 #Económicas | Liberación encaje legal para viviendas de bajo costo supera ya los 1,000 beneficiarios, informa el BC
🔗 https://t.co/LcxdB9xNEy
#PeriódicoElDía #BancoCentral</t>
  </si>
  <si>
    <t>#Económicas Las remesas alcanzan US$6,700 millones primeros ocho meses año https://t.co/SRxa43JMO5 #BancoCentral #crecimiento #remesas</t>
  </si>
  <si>
    <t>#Económicas Turismo mitiga ralentización y otros sectores https://t.co/AvxCHQvx3g #BancoCentral #ralentización #Turismo</t>
  </si>
  <si>
    <t>El Banco Central concluye diplomado de formación https://t.co/I3ymwjMWJN #BancoCentral #diplomadodeformación</t>
  </si>
  <si>
    <t>La liquidez por RD$94,000 millones y la disminución de las inversiones en Obras Públicas https://t.co/mBcEpDLmZE #BancoCentral #economia #estímulomonetario #inflación #JuntaMonetaria #liquidez #ObrasPúblicas</t>
  </si>
  <si>
    <t>#Opinión La tasa de política monetaria https://t.co/EQgVyLk8HI 
#BancoCentral #economia #políticamonetaria #tasadepolíticamonetaria #PeriódicoElDía</t>
  </si>
  <si>
    <t>#Económicas Banco Central y ProDominicana  intercambiarán datos https://t.co/kbbTz9y6es #BancoCentral #datos #ProDominicana</t>
  </si>
  <si>
    <t>El Banco Central tendrá que acelerar el paso https://t.co/zVviBVZtei #BancoCentral #COVID19</t>
  </si>
  <si>
    <t>El país capta US$2 mil 149 millones de inversión 
https://t.co/005E8f0hxY #BancoCentral #IED #inversion #inversiónextranjera</t>
  </si>
  <si>
    <t>#Nacionales l El Banco Central de República Dominicana entra a formar parte del Comité Irving Fisher  https://t.co/edRcXwutvO
#BancoCentral #RepúblicaDominicana https://t.co/bmyPtLUnmh</t>
  </si>
  <si>
    <t>#Económicas Banco Central reduce su tasa de política monetaria en 25 puntos básicos https://t.co/Xo9x1iLjA8 #BancoCentral #commodities #políticamonetaria</t>
  </si>
  <si>
    <t>#Económicas Ralentización economía se reflejará en bajo crecimiento PIB al cerrar  año https://t.co/HvBRjQnqKD #BancoCentral #crecimientoPIB #Ralentizacióneconomía</t>
  </si>
  <si>
    <t>Remesas crecen 2.7% primer cuatrimestre
https://t.co/XPTUMu4dad
#Remesas #economía #BancoCentral</t>
  </si>
  <si>
    <t>Banco Central informa remesas alcanzaron unos US$3,300 millones en el primer cuatrimestre de 2023 
https://t.co/MDZIx9H3PA #BancoCentral #BCRD #cuatrimestre</t>
  </si>
  <si>
    <t>RT @CiroPNDdoBrasil: 📢 Pra que serve o Banco Central?
.
📌 Ciro Gomes explica que o Banco Central deveria estar perseguindo dois objetivos,…</t>
  </si>
  <si>
    <t>Dilmo, pare com esse discurso demagogo de tirar o Campos Neto. Pois se você realmente quisesse, era só pautar no Senado.
Ou seja, você NÃO QUER TIRAR o CAMPOS NETO!
.
.
.
.
.
..
.
#desgovernopt
#picanheiro
#camposneto
#bancocentral
#dilmo https://t.co/gkBVJfE8DZ</t>
  </si>
  <si>
    <t>Quem é você?
Eu sou Gabriel Galípolo, indicado por Haddad para diretoria do Banco Central. Estou aqui na feira do MST ao lado de meus companheiros.
.
.
.
.
.
.
.
.
.
.
#gabrielGalipolo
#mitonews
#MST
#bancocentral https://t.co/g1e5Vx9dny</t>
  </si>
  <si>
    <t>#ForaCamposNeto
#agiotagem #bancocentral #bc #JurosBaixosJá E a economia parada e o povo morrendo de fome! Entenderam ou tem que desenhar ????????
https://t.co/IS0FXaPzDt</t>
  </si>
  <si>
    <t>Faz o L  Campos Neto.
!   #bc  #bancocentral #inflação #camposneto 
https://t.co/30FdhwFhrk</t>
  </si>
  <si>
    <t>#Foracamposneto #bc #bancocentral #jurosbaixosja   #agiotagem BANCO CENTRAL DE RABO PRESO COM ESPECULADORES</t>
  </si>
  <si>
    <t>#foracamposneto #JurosBaixosJá #bc #bancocentral #agiotagem BANCO CENTRAL DE RABO PRESO COM ESPECULADORES 
https://t.co/6cGIsm8qcl</t>
  </si>
  <si>
    <t>#Foracamposneto
#jurosbaixosja #AGIOTAGEM
#bc #bancocentral BANCO CENTRAL DE RABO PRESO COM ESPECULADORES 
https://t.co/vlvPmXLShF</t>
  </si>
  <si>
    <t>#PPI #SonarTrade #Inflação #mercadofinanceiro #bancocentral #investing #economia</t>
  </si>
  <si>
    <t>Esta bueno saber que te toman para un laburo y al mismo tiempo que te van a rajar, te ahorra el trago amargo.   #MileiEsUnaEstafa #bancocentral #ocampo #Milei</t>
  </si>
  <si>
    <t>Foi a primeira reunião desde a apresentação pelo governo Luiz Inácio Lula da Silva do novo arcabouço fiscal – regra que deve substituir o teto de gastos no controle das contas públicas. A Taxa de juros foi mantida 
#juros #selic #bancocentral #inflação
https://t.co/Hs9906iFQs https://t.co/JWQplDJSXv</t>
  </si>
  <si>
    <t>#bancocentral
https://t.co/CKfidbpOP9 https://t.co/hg6oBTGhWl</t>
  </si>
  <si>
    <t>Na Ata do Copom divulgado nesta terça-feira e acerca da decisão de manutenção dos juros em 13,75%, o Banco Central diz que vai manter a taxa no patamar atual “até que se consolide um processo...
#taxadejuros #bancocentral #dinheiro #selic
https://t.co/yEEcXDr665 https://t.co/srdPmm1rqN</t>
  </si>
  <si>
    <t>O relatório Focus é feito pelo Banco Central com base em opinião de economistas e operadores do mercado financeiro entrevistados.
#taxadejuros #selic #bancocentral #mercadofinanceiro #economia
https://t.co/L2M8Kjx9gh https://t.co/nb1J8LleUk</t>
  </si>
  <si>
    <t>De acordo com o relatório Focus do Banco Central, o mercado projeta queda da inflação.
#bancocentral #inflação #desenrolabrasil
https://t.co/rGZ7Ic19Ie https://t.co/gh1mmb0hj5</t>
  </si>
  <si>
    <t>A audiência foi pedida pelo PT e Campos Neto não era obrigado a participar, entretanto está disponível aos questionamentos. Acompanhe ao vivo
#bancocentral #taxadejuros #investimentos
https://t.co/9XNmIjdLdf https://t.co/X8TK0yY6iV</t>
  </si>
  <si>
    <t>A audiência foi pedida pelo PT e Campos Neto não era obrigado a participar, entretanto está disponível aos questionamentos. Acompanhe ao vivo
#bancocentral #taxadejuros #investimentos
https://t.co/9XNmIjdLdf https://t.co/hYs5FJAgIF</t>
  </si>
  <si>
    <t>@eixopolitico Enquanto houver um bolsonarista no comando do BC, é isso aí, só sabotagem ao governo do Lula. #ForaCamposNeto #BancoCentral</t>
  </si>
  <si>
    <t>FORA CAMPOS NETO! #BC #BancoCentral #sabotador</t>
  </si>
  <si>
    <t>Campos Neto, o sabotador da economia no Brasil. #BC #BancoCentral #ForaCamposNeto</t>
  </si>
  <si>
    <t>@folha O compromisso do Campos Neto, é com os rentistas milionários. #BC #BancoCentral #ForaCamposNeto</t>
  </si>
  <si>
    <t>USD/BRL analysis as Brazil central bank slashes interest rates https://t.co/F4QGDpYHwE
#Brazil #USDBRL #BancoCentral #inflation</t>
  </si>
  <si>
    <t>Y eso que solo estamos a martes 🤦‍♀️
Una lástima despertar y encontrar estos mensajes de las distribuidoras 
El dólar disparado 
Que tendrá para decir el Banco central ? 
#milei #PASO2023 #bancocentral #k #peronismo #Argentina #crisis https://t.co/h847apqkMI</t>
  </si>
  <si>
    <t>RT @bancomoc: Governador do Banco de Moçambique, Rogério Zandamela, comunica decisão do Comité de Política Monetária.  Assista ao vídeo em…</t>
  </si>
  <si>
    <t>DREX, a nova moeda do Brasil 🇧🇷 
#drex #banco #bancocentral #moeda #dinheiro #real #realdigital #economia #bitcoins #btc #cripto #criptomoedas https://t.co/UVAiXJkhqw</t>
  </si>
  <si>
    <t>Fuerza del Pueblo exige a Ministerio de Hacienda y Banco Central aclarar como se entregaron fondos a las Mipymes #BancoCentral #FuerzadelPueblo #MinisteriodeHacienda #Mipymes @BancoCentralRD @LeonelFernandez  #NoticiasImpac #Nacionales https://t.co/UiNiiDIvkf https://t.co/PjdSLTvPqS</t>
  </si>
  <si>
    <t>Banco Central libera encaje legal para viviendas de bajo costo superando los 1,000 beneficiarios #NoticiasImpac #Nacionales #BancoCentral #viviendas #bajocosto @BancoCentralRD  https://t.co/SFSuN655CW https://t.co/sX6zw7wa1s</t>
  </si>
  <si>
    <t>Gobierno asegura que RD tiene la canasta básica más barata de Centroamérica y el Caribe #NoticiasImpac #Nacionales  #RepúblicaDominicana  #canastabásica  #Centroamérica #elCaribe #inflación  #BancoCentral https://t.co/goh5Msm6kM https://t.co/zi7lV4sdNN</t>
  </si>
  <si>
    <t>Alguien q le diga a #Bullrich q las reservas no se acumulan en el #BancoCentral. Por favor,q por lo menos haga un curso de economía por la web! 
#NoEsUnPaisNormal tenemos candidatos como esta señora,q en el 2001 le recortó el 13% a jubilados,sin remordimiento🙄🥴 https://t.co/NcGo59BRDe</t>
  </si>
  <si>
    <t>#BancoCentral prevê lançar #PIX Automático em abril de 2024
https://t.co/QkhX3wOGFh https://t.co/SItmWfXZDY</t>
  </si>
  <si>
    <t>O #BancoCentral anunciou nesta semana uma nova ferramenta, o #PixAutomático
tps://manaustime.com/o-banco-central-anunciou-nesta-semana-uma-nova-ferramenta-o-pix-automatico/ https://t.co/mwTy0wpvQd</t>
  </si>
  <si>
    <t>#BancoCentral seleciona 16 propostas de participação em piloto do #RealDigital
https://t.co/glyTPYUQXc https://t.co/JOuA7mowVf</t>
  </si>
  <si>
    <t>🔴 💴 Conoce más de la mujer que será homenajeada en un billete conmemorativo de “Mujeres Valiosas”.
 https://t.co/254toRs1Ue #MargotDuhalde #BancoCentral #Chile #MujeresValiosas</t>
  </si>
  <si>
    <t>📣 Concurso Bacen: associações defendem abertura urgente de nova seleção 👉 https://t.co/w7KFHo2mFS
#concursos2023 #concursospublicos #concursopublico #concursobacen #bacen #bancocentral https://t.co/4RsYsQVsLO</t>
  </si>
  <si>
    <t>📣 Concurso Bacen: saiba quais são as áreas de atuação do analista
Concurso já foi autorizado. Carreira exige formação em qualquer área. Remuneração é de R$21.582 👉 https://t.co/RWIU5stiNJ
#concursos2023 #concursospublicos #concursopublico #concursobacen #bacen #bancocentral https://t.co/9Ul1cuqAtR</t>
  </si>
  <si>
    <t>📣 Concurso Bacen: confira as possíveis cidades de lotação 👉 https://t.co/1KnnYvDYY2
#concursos2023 #concursospublicos #concursopublico #bacen #bancocentral #concursobacen https://t.co/0lXAiASVZT</t>
  </si>
  <si>
    <t>📣 Concurso Bacen: novo pedido enviado com 545 vagas para técnicos, analistas e procuradores. Confira! 👉 https://t.co/JPn2ldDLzC
#concursospublicos #concursopublico #bacen #bancocentral #bancocentraldobrasil #concursobacen https://t.co/GcC2appnaY</t>
  </si>
  <si>
    <t>⚠️ Concurso Bacen já tem cronograma previsto e áreas confirmadas! CONFIRA 👉 https://t.co/gLVJ3ycRFv
#concursos2023 #concursospublicos #concursopublico #concursobacen #bacen #bancocentral #bancocentraldobrasil https://t.co/LT6RsMKHVX</t>
  </si>
  <si>
    <t>📣 Concurso Bacen: ministra autoriza seleção para 100 vagas de analista, que exige nível superior em qualquer área. Estabilidade e remuneração superior a R$21 mil 👉 https://t.co/5hVOAx6rJx
#concursos2023 #concursospublicos #concursopublico #bacen #bancocentral #concursobacen https://t.co/01VoKQ1t61</t>
  </si>
  <si>
    <t>📣 Concurso Bacen: saiba quais são as atribuições e áreas de atuação do técnico. Carreira exige nível médio e tem remuneração inicial de R$8.596 mensais 👉 https://t.co/1rKTo65o8Y
#concursospublicos #concursopublico #bacen #bancocentral #bancocentraldobrasil https://t.co/EdeAmSWCWt</t>
  </si>
  <si>
    <t>📣 Banco Central está fora do Concurso Nacional Unificado
Banco Central já está com preparativos do concurso para 100 vagas de analista bastante adiantados 👉 https://t.co/aWDo7YZBuH
#concursos2023 #concursospublicos #concursopublico #bacen #concursobacen #bancocentral https://t.co/Y7zFEbOQw0</t>
  </si>
  <si>
    <t>📣 Concurso Bacen: presidente reforça necessidade de nova seleção. Expectativa é que autorização saia ainda este ano 👉 https://t.co/4OqigAqNWN
#concursos2023 #concursospublicos #concursopublico #concursobacen #bacen #bancocentral #bancocentraldobrasil https://t.co/OTc1XdCbY1</t>
  </si>
  <si>
    <t>¿Qué hay detrás de la realidad de #dolarizar la economía del país?
"Con una reforma monetaria hay que hacer una reestructuración del Banco Central, porque el #BancoCentral es el principal deudor del sistema bancario, con este régimen de política económica, esa deuda es impagable" https://t.co/kg6PdyXjfx</t>
  </si>
  <si>
    <t>Entérate sobre declaraciones del economista #JavierMilei en la 89.9 FM, Radio con Vos sobre recomendaciones para saltear las regulaciones del #BancoCentral para tener una mayor retribución en dólares https://t.co/VgeJKfBvDW</t>
  </si>
  <si>
    <t>@nicopaut Mejor que no siga con la baja de tasas.  Veamos la inflación de Septiempre... 1,0%? Gracias al #Bancocentral</t>
  </si>
  <si>
    <t>El #BancoCentral NO debe bajar las tasas de interés.. hay que esperar el IPC de agosto y septiembre antes de tomar una decisión... la inflación NO está controlada..</t>
  </si>
  <si>
    <t>El #Bancocentral NO debe bajar las tasas de interés hasta que NO CONTROLE la inflación... no TIENE los datos del IPC de agosto y septiembre...</t>
  </si>
  <si>
    <t>📊🌍 Veja os destaques do Boletim Focus desta semana. Já compartilha e salva. 📈💹
#AgênciaEstado #Broadcast #jornalismo #notícias #Copom #FOCUS #BancoCentral #Inflação #IPCA #Juros #Selic #Câmbio #PIB #Economia #ProjeçõesEconômicas #CompartilheOSaber #FiquePorDentro https://t.co/IibEcqDPlH</t>
  </si>
  <si>
    <t>#Rússia começou a operacionalizar o #rublodigital em fase de testes no varejo, uma das medidas do #BancoCentral do país para tentar neutralizar a desvalorização da moeda e contornar sanções ocidentais em um sistema cambial ainda dominado pelo dólar. https://t.co/CNsHEDnOmx https://t.co/HTEkUPNY7a</t>
  </si>
  <si>
    <t>📊🌍 Veja os destaques do Boletim Focus desta semana. Já compartilha e salva. 
#AgênciaEstado #Broadcast #jornalismo #notícias #Copom #FOCUS #BancoCentral #Inflação #IPCA #Juros #Selic #Câmbio #PIB #Economia #ProjeçõesEconômicas #CompartilheOSaber #FiquePorDentro https://t.co/UBaOHR2kre</t>
  </si>
  <si>
    <t>Segue link do artigo publicado na @AgenciaEstado  sobre a curva de Phillips:
https://t.co/rkG5jkZzsI
Trago um debate sobre a relação inversa entre a taxa de desemprego e a inflação, a Curva de Phillips.  #inflação #desemprego #curvadephillips #bancocentral #copom (1/5) https://t.co/bMT4Iwn8Y2</t>
  </si>
  <si>
    <t>PESQUISAS DE CAMPOS NETO ORIENTARAM CAMPANHA DE BOLSONARO
O envolvimento do presidente do Banco Central com o projeto de reeleição do ex-presidente foi maior do que se sabia até agora
@revistapiaui https://t.co/RjUIwiCsRZ
#Juros #Selic #Bacen #BancoCentral https://t.co/roUFEeFQbZ</t>
  </si>
  <si>
    <t>Cerramos la semana pasada repleta de información de relevancia y con varias reuniones de bancos centrales que eran seguidas con gran expectación... 1/5
HILO 🧵
#BancoCentral #análisismacro #perspectivasdemercado #mercado #inflación https://t.co/ZkG1qMBmbh</t>
  </si>
  <si>
    <t>El día que #Mexico 🇲🇽 
diga ¡ADIÓS! al narco-trafico 
será el día que el #BancoCentral 
se derrumba gracias a #Bitcoin
#SiSePuede</t>
  </si>
  <si>
    <t>#Azerbaiyán advierte a los bancos que transfieren dinero ilegalmente a #Karabaj
#Citibank #Raiffeisen #BancoCentral #terrorismo
https://t.co/6N1r5CEKrU</t>
  </si>
  <si>
    <t>Mais uma conquista do CPQD!
O CPQD foi selecionado pelo Banco Central para piloto do Real Digital, com consórcio que envolve mais 11 instituições, entre elas o Basa, TecBan e ClearSale.
#CPQD #Tecnologia #Inovação #BancoCentral #RealDigital #Conquista https://t.co/2rIbI5LWhb</t>
  </si>
  <si>
    <t>IBGE: inflação desacelera para 0,61% em abril. O IPCA acumula alta de 2,72% no ano e de 4,18% em 12 meses 
➡ Assista ao #ConexãoGloboNews com @BetePacheco_  , @ErickBang1 e @NilsonKlava: https://t.co/bFwcwLpLU9 https://t.co/2XY8jiNPuL</t>
  </si>
  <si>
    <t>A ministra do Planejamento, Simone Tebet, voltou a pressionar o Banco Central pela queda dos juros, e o presidente do BC, Roberto Campos Neto, insistiu que não é hora de baixar a Selic. Veja.
➡ Assista ao #EmPauta com @cosmemarcelo: https://t.co/bFwcwLpLU9 #GloboNews https://t.co/22NYFINjcN</t>
  </si>
  <si>
    <t>.@Danielhrs comenta os dados da inadimplência de maio deste ano: "Se os salários não sobem e os preços sobem eo crédito vai se tornando mais caro, você tem dificuldade de manter as contas em ordem".
➡ Assista ao @estudioi: https://t.co/bFwcwLpLU9 #Estúdioi #GloboNews https://t.co/iM5lc37Eh2</t>
  </si>
  <si>
    <t>“Entre empresários do setor produtivo, clima de desânimo e, por parte de alguns, de indignação”, conta Rosana Cerqueira sobre decisão do BC. Empresário diz que Copom politiza uma decisão técnica. Saiba mais.
➡ Assista ao #J10 com @NilsonKlava: https://t.co/yAMjf4cw3V #GloboNews https://t.co/hVXrCPYhqy</t>
  </si>
  <si>
    <t>Selic de 13,75% derruba crédito ao consumidor e de micro e pequenas indústrias
#bancocentral #jurosabusivos #crédito #endividamento  https://t.co/9uigyrHeY0</t>
  </si>
  <si>
    <t>"Há coleção de fatores para a queda dos juros", diz Haddad
#taxaselic #jurosreal #jurosabusivos #bancocentral #economia  https://t.co/QOeJHH9isp</t>
  </si>
  <si>
    <t>"Desaceleração da economia pelo BC chegou forte", avalia Haddad
#economia #bancocentral #desaceleração  https://t.co/lL5iw87BAG</t>
  </si>
  <si>
    <t>Mercado prevê PIB de 2,24% este ano
#bancocentral #PIB #Mercado #inflacao #jurosabusivos  https://t.co/HmBd4grgjd</t>
  </si>
  <si>
    <t>Com Lula, economia cresce com geração de emprego e renda.
#economia #geracaodeempregos #emprego #bancocentral #jurosabusivos  https://t.co/pjkmzXUG7r</t>
  </si>
  <si>
    <t>BC fará consultas públicas para regular mercado de criptoativos
#criptomoedas #regulação #bancocentral  https://t.co/wNDwcMxJni</t>
  </si>
  <si>
    <t>#HavilaVoyages recibe la licencia del #BancoCentral de #Irlanda
https://t.co/4SXrMQJubK
Esto permite que continúe la financiación y entrega de sus cruceros costeros Havila Polaris y Havila Pollux.
https://t.co/gKPz5dhUJy</t>
  </si>
  <si>
    <t>un poco de cultura tanto que se ataca de manera ofensiva a las personas que se consideran ignorantes. hay 195 países y solo 10 no tienen Banco Central #Milei #Milei2023 #bancocentral #DOLARIZACION #Argentina #islasmalvinas #EconomiaParaTodos 
@LLibertadAvanza https://t.co/Gn3nkVm20a</t>
  </si>
  <si>
    <t>🏦 #BancoCentral prevê data para inicio dos testes do Real Digital
https://t.co/6ektjdUgPp</t>
  </si>
  <si>
    <t>🏦 #BancoCentral anuncia notícia positiva em relação à Caderneta de Poupança
https://t.co/OACbNva4ci</t>
  </si>
  <si>
    <t>📊🇧🇷 No contexto doméstico, foi divulgado o Índice de Atividade Econômica do Banco Central (IBC-BR), considerado a prévia do Produto Interno Bruto (PIB) do Brasil. Confira 
#mercadofinanceiro #investimentos #bancocentral 
https://t.co/i70avjo4bQ</t>
  </si>
  <si>
    <t>Mañana a las 10 am un importante análisis de la política monetaria en Chile21 con el @foroeconomicocl . Por nuestro canal de Youtube. https://t.co/nUm1XjAsp2 #bancocentral #tasadeinteres https://t.co/SIobbdgccu</t>
  </si>
  <si>
    <t>Muy buen hilo de @ferpeirano donde resume las tendencias mundiales actuales sobre #desdolarizar (¡NO dolarizar!) y simplificar el sistema bancario (¡NO eliminar el #BancoCentral!).</t>
  </si>
  <si>
    <t>Javier Milei: La tasa de interés en Argentina es alta debido a la falta de ahorros. 
#bancocentral #argentina #tasadeinteres #ahorro #fisco #ntsp_es #javiermilei https://t.co/RCrb85ZmXY</t>
  </si>
  <si>
    <t>Banco Central mantém a Selic em 13,75% e adota tom mais brando, mas sem sinalizar corte nos juros. Destaque para a importância do arcabouço fiscal e das expectativas de inflação.  #BancoCentral #Selic #Inflação | Economia | O Globo. Leia mais em: https://t.co/QV6CYISvEF</t>
  </si>
  <si>
    <t>2. Banco Central corta Selic em 0,50 ponto percentual, estratégia menos conservadora. #BancoCentral #Selic #Economia
3. Dólar à vista amplia alta e se aproxima de R$ 4,90 com pressão externa e reflexo da decisão do Copom. #Dólar #Copom #PressãoExterna</t>
  </si>
  <si>
    <t>Mas é claro que o Lula não vai ser cancelado pelos ativistas, feministas, a galera do todes,  porque o problema não é o que fala, e sim quem fala, imagina se o Bolsonaro falasse isso.
#Mulheres #Corrupção #BancoCentral https://t.co/ELZYiOjzW5</t>
  </si>
  <si>
    <t>A decisão do #COPOM hoje será por corte de 0,50%
#Selic #TaxadeJuros #BancoCentral</t>
  </si>
  <si>
    <t>[7/9] ⏳Mas a indicação tardia do #BancoCentral como regulador do setor - junto com a #CVM que se encarregará dos ativos considerados valor mobiliário - atrasa a definição dos detalhes de como o mercado irá operar. 👉🏼Por isso, ainda não se sabe, por exemplo, quais os parâmetros…</t>
  </si>
  <si>
    <t>.@laurojardim fala sobre a decisão do Copom de manter a taxa de juros em 13,75% e a mudança de humor da turma da Faria Lima em relação ao Banco Central.
#BancoCentral #NoArNaCBN 
https://t.co/uR4x9MsZ2U</t>
  </si>
  <si>
    <t>O economista Gabriel Galípolo e o advogado Ailton de Aquino Santos deverão responder os questionamentos dos senadores. Galípolo fazia parte da equipe de Fernando Haddad antes de ter sido indicado. Ouça nos destaques do @jornaldacbn. #BancoCentral #NoArNaCBN…</t>
  </si>
  <si>
    <t>RT @NoticiasRedetv: Copom define nesta quarta-feira (20) taxa básica de juros
- Expectativa é de corte de 0,5 ponto percentual
#Copom #Ec…</t>
  </si>
  <si>
    <t>Haddad indica Gabriel Galípolo para diretoria de políticas monetárias do BC
#Haddad #Galipolo #BancoCentral
https://t.co/gxNmsgUIVm</t>
  </si>
  <si>
    <t>Ata do Copom diz que nova regra fiscal reduz parte das incertezas do cenário econômico
#Copom #BancoCentral #Inflacao
https://t.co/HvexPmTLq2</t>
  </si>
  <si>
    <t>Prévia do PIB: IBC-Br cresce 2,41% no primeiro trimestre
#PIB #Economia #BancoCentral
https://t.co/3AXiWDQD9O</t>
  </si>
  <si>
    <t>Boletim Focus: previsão da inflação de 2023 cai para 5,42% 
#Focus #BancoCentral #Inflacao
https://t.co/RYKRZj3UHi</t>
  </si>
  <si>
    <t>“Eu tenho mandato até 2024 e não vou abreviar”, diz Campos Neto
#CamposNeto #BancoCentral #Brasil
https://t.co/hmdKK0AEyI</t>
  </si>
  <si>
    <t>Haddad diz que decisão do Copom em manter taxa Selic em 13,75% pode ser: “muito ruim, como de hábito”
#Haddad #Selic #BancoCentral
https://t.co/rPT5Dm7mE8</t>
  </si>
  <si>
    <t>Banco Central corta Selic em 0,5 p.p. na primeira redução em três anos
#BancoCentral #Selic #Juros
https://t.co/7Ssu71kEXU</t>
  </si>
  <si>
    <t>Mercado financeiro eleva projeção do PIB para 1,26% em 2023
#BoletimFocus #BancoCentral #PIB
https://t.co/tW2nxnphZj</t>
  </si>
  <si>
    <t>“Estamos tendo excesso de produto”, diz Luiza Trajano a Roberto Campos Neto em evento do Instituto para Desenvolvimento do Varejo. Ela cobrou redução de juros do presidente do Banco Central: “Na hora que apertou, os assessores mandam recado".
#bancocentral
#juros
#lula
#pt https://t.co/sbGoGYqMmj</t>
  </si>
  <si>
    <t>Muito tem se falado sobre se o CMN irá alterar as metas de inflação (amanhã 29-jun) e quais as suas implicações. Segue minha visão: @somosnomos #bancocentral #cmn #ipca  https://t.co/LPqQv9zbOZ</t>
  </si>
  <si>
    <t>MANTEU! CMN "manteu" a meta de IPCA para 2026 em +3,0% +/- 1,5%. Alterou a cobrança para CONTÍNUA. Notícia positiva para os mercados. @somosnomos #CMN #bancocentral #IPCA #meta #juros</t>
  </si>
  <si>
    <t>Essa expressão do #BancoCentral independente é uma falácia. O Banco Central é totalmente dependente e controlado pelo #MercadoFinanceiro, que está pouco se lixando pro combate à #fome, geração de #emprego e #industrialização do #país. O #mercado quer é #rentismo.</t>
  </si>
  <si>
    <t>RT @ReginaldoProfe: Essa expressão do #BancoCentral independente é uma falácia. O Banco Central é totalmente dependente e controlado pelo #…</t>
  </si>
  <si>
    <t>#PlanCastello #ATE expresó preocupación por la decisión del #BancoCentral de expender divisas sólo por el 40% de las deudas de capital de las provincias, teniendo en cuenta que aún no se ha pagado la primera cuota del empréstito de 570 millones de dólares para #RíoNegro https://t.co/6Q4hT5FS89</t>
  </si>
  <si>
    <t>#Charge de Thiago Lucas (@thiagochargista) #haddad #camposneto #juros #economia #lula #bancocentral https://t.co/CKAu6MU1mV</t>
  </si>
  <si>
    <t>📊 Previsão de crescimento da economia brasileira em 2023 sobe para 2,31%. Índice de Confiança do Consumidor também mostra aumento. Saiba mais: https://t.co/vr1oenik9R #EcommerceBrasil #Economia #BancoCentral #IPCA https://t.co/QmBZklvOwr</t>
  </si>
  <si>
    <t>🚀 O Pix Automático, que permitirá a automação de pagamentos recorrentes, deve começar a funcionar no Brasil em abril de 2024, segundo o BC. Saiba Mais! 💡📱 https://t.co/35aUGWTGpb #EcommerceBrasil #Ecommerce #Pix #BancoCentral #PagamentoDigital #Inovação https://t.co/MzwKvRTTZA</t>
  </si>
  <si>
    <t>📣 Pix se consolida como principal meio de pagamento no varejo, com 4,3 bilhões de operações no 1º trimestre de 2022, diz relatório do Banco Central. Saiba mais: https://t.co/6Ro5TwABUR #EcommerceBrasil #Pix #BancoCentral https://t.co/FTVcammk2P</t>
  </si>
  <si>
    <t>🔍 Lançamento da moeda virtual brasileira, Drex, é adiado para maio de 2024 devido a desafios com a LGPD e inclusão de participantes. Saiba mais: https://t.co/Kihv9PjTzc #EcommerceBrasil #Ecommerce #Drex #BancoCentral https://t.co/fSdxKc3sV1</t>
  </si>
  <si>
    <t>📣 Pix automático chega em 2024, confirma Banco Central! Saiba mais: https://t.co/d6r56FRsa5 #EcommerceBrasil #Pix #BancoCentral https://t.co/weBxZJfVsU</t>
  </si>
  <si>
    <t>Bom dia, amigos do oitão! #SouNordestinoComOrgulho #bozonacadeia2023 #semanistaparagolpista
Supremo
https://t.co/OPyjB0a9oi
#caricatura #charges #cartum #jornalismoindependente #arte #cultura #historia #camaradosdeputados #BC #bancocentral #senado #stf #tse #STF https://t.co/gtp0zNtSDv</t>
  </si>
  <si>
    <t>Bom dia, amigos do oitão! #SouNordestinoComOrgulho #bozonacadeia2023 #semanistaparagolpista
Lula e o Papa
https://t.co/91xJhxRcsS
#caricatura #charges #cartum #jornalismoindependente #arte #cultura #historia #camaradosdeputados #BC #bancocentral #senado #stf #tse https://t.co/aEODSkuvVY</t>
  </si>
  <si>
    <t>Boa tarde, amigos do oitão! #SouNordestinoComOrgulho #bozonacadeia2023 #semanistaparagolpista
Nikolas Chupetinha
#caricatura #charges #cartum #jornalismoindependente #arte #cultura #historia #camaradosdeputados #BC #bancocentral #senado #stf #tse
https://t.co/MUnmiqPx5l https://t.co/nzahU1GMqX</t>
  </si>
  <si>
    <t>Bom dia, amigos do oitão! #SouNordestinoComOrgulho #bozonacadeia2023 #semanistaparagolpista
Ladrão Político
https://t.co/prIxUqDIud
#caricatura #charges #cartum #jornalismoindependente #arte #cultura #historia #camaradosdeputados #BC #bancocentral #senado  #STF https://t.co/WEge3hSfBG</t>
  </si>
  <si>
    <t>Bom dia, amigos do oitão! #SouNordestinoComOrgulho #bozonacadeia2023 #semanistaparagolpista
Greve de fome
https://t.co/0zw0ZkAswV
#caricatura #charges #cartum #jornalismoindependente #arte #cultura #historia #camaradosdeputados #BC #bancocentral #senado #stf #TSE https://t.co/ASrqLENfbb</t>
  </si>
  <si>
    <t>Bom dia, amigos do oitão! #SouNordestinoComOrgulho #bozonacadeia2023 #semanistaparagolpista
ABORTO
#caricatura #charges #cartum #jornalismoindependente #arte #cultura #historia #camaradosdeputados #BC #bancocentral #senado #stf #tse
https://t.co/O55H3lCzvZ https://t.co/SHJzBAHTKK</t>
  </si>
  <si>
    <t>Boa tarde, amigos do oitão! #SouNordestinoComOrgulho #bozonacadeia2023 #semanistaparagolpista
MAMATA
#caricatura #charges #cartum #jornalismoindependente #arte #cultura #historia #camaradosdeputados #BC #bancocentral #senado #stf #tse
https://t.co/iS3HO5zq2S https://t.co/fqYpVdu9TJ</t>
  </si>
  <si>
    <t>Bom dia, amigos do oitão! #SouNordestinoComOrgulho #bozonacadeia2023 #semanistaparagolpista
QUEM É VOCÊ???
https://t.co/7qVg8S6KX4
#caricatura #charges #cartum #jornalismoindependente #arte #cultura #historia #camaradosdeputados #BC #bancocentral #senado #stf #tse https://t.co/GwCVcDk398</t>
  </si>
  <si>
    <t>Bom dia, amigos do oitão! #SouNordestinoComOrgulho #bozonacadeia2023 #semanistaparagolpista
GOLPISTA
#caricatura #charges #cartum #jornalismoindependente #arte #cultura #historia #camaradosdeputados #BC #bancocentral #senado #stf #tse
https://t.co/9zcHl5NNQP https://t.co/id7bxfwrxt</t>
  </si>
  <si>
    <t>Bom dia, amigos do oitão! #SouNordestinoComOrgulho #bozonacadeia2023 #semanistaparagolpista
Síndico
https://t.co/x91Uvtcuzu
#caricatura #charges #cartum #jornalismoindependente #arte #cultura #historia #camaradosdeputados #BC #bancocentral #senado #stf #tse https://t.co/lcRWRSB0J3</t>
  </si>
  <si>
    <t>Bom dia, amigos do oitão! #SouNordestinoComOrgulho #bozonacadeia2023 #semanistaparagolpista
Terrorista
https://t.co/VHqJ959oDZ
#caricatura #charges #cartum #jornalismoindependente #arte #cultura #historia #camaradosdeputados #BC #bancocentral #senado #stf #TSE https://t.co/pRTmW2QKHM</t>
  </si>
  <si>
    <t>blogdobrito Bom dia, amigos do oitão! #SouNordestinoComOrgulho #bozonacadeia2023 #semanistaparagolpista
Lacração
hhttp://blogdobrito.com.br/lacracao/
#caricatura #charges #cartum #arte #cultura #imprensalivre #camaradosdeputados #bancocentral #senado #stf #tse https://t.co/O0bj1iKYxT</t>
  </si>
  <si>
    <t>blogdobrito Bom dia, amigos do oitão! #SouNordestinoComOrgulho #bozonacadeia2023 #semanistaparagolpista
Deputado vale uma fortuna
https://t.co/jKlbmLzqWs
#caricatura #charges #cartum  #arte #cultura #historia #imprensalivre #camaradosdeputados #bancocentral #senado #stf #tse https://t.co/f4gt9jhaNm</t>
  </si>
  <si>
    <t>Bom dia, amigos do oitão! #SouNordestinoComOrgulho #bozonacadeia2023 #semanistaparagolpista
O MALA FAIA
#caricatura #charges #cartum #jornalismoindependente #arte #cultura #historia #camaradosdeputados #BC #bancocentral #senado #stf #tse
https://t.co/XYexMrBIFw https://t.co/twbcdSo2AZ</t>
  </si>
  <si>
    <t>Bom dia, amigos do oitão! #SouNordestinoComOrgulho #bozonacadeia2023 #semanistaparagolpista
Pária Global
#caricatura #charges #cartum #jornalismoindependente #arte #cultura #historia #camaradosdeputados #BC #bancocentral #senado #stf #tse
https://t.co/TFyzcznecB https://t.co/LWMcfkSE58</t>
  </si>
  <si>
    <t>Boa noite, amigos do oitão! #SouNordestinoComOrgulho #bozonacadeia2023 #semanistaparagolpista
Marcos do Val
https://t.co/f4GTdhcgt3
#caricatura #charges #cartum #jornalismoindependente #arte #cultura #historia #camaradosdeputados #BC #bancocentral #senado #stf #tse https://t.co/rs3sFo6CZT</t>
  </si>
  <si>
    <t>#semanistaparagolpista
Chico Buarque
Nossa homenagem ao nosso Chico Buarque que hoje completa 79 anos de idade.
https://t.co/qdFeLzz5Oa
#caricatura #charges #cartum #jornalismoindependente #arte #cultura #historia #camaradosdeputados #BC #bancocentral #senado #stf #tse https://t.co/paUcWkk01f</t>
  </si>
  <si>
    <t>Bom dia, amigos do oitão! #SouNordestinoComOrgulho #bozonacadeia2023 #semanistaparagolpista
Belzebu
https://t.co/bsPV9ZvnAh
#caricatura #charges #cartum #jornalismoindependente #arte #cultura #historia #camaradosdeputados #BC #bancocentral #senado #stf #tse https://t.co/dHSFEe9NrJ</t>
  </si>
  <si>
    <t>La inflación es el gran mal de Argentina.
"La solución existe, el problema es que implementarla va en contra de los intereses políticos." @JMilei
#MiltonFriedman #Economía #PremioNobel #Inflación #BancoCentral #ImpresiónDeBilletes #Milei #LaLibertadAvanza #Jujuy #RadioJujuyLibre https://t.co/QXEFNKjHZM</t>
  </si>
  <si>
    <t>@fdavilaoficial @BancoCentralBR @Fiesp @FEBRABAN @SenadoFederal @camaradeputados #BancoCentral #Selic #dolar #inflação</t>
  </si>
  <si>
    <t>O Copom fez bem em manter a taxa Selic em 13,75%, pois os juros estão subindo em vários países. Isso mostra que o Brasil não cede a pressões políticas populistas e respeita a ciência financeira e a independência do BC. #Copom #Selic #Brasil https://t.co/pWndIhDPxa</t>
  </si>
  <si>
    <t>#grupo33 #enterate - El dólar consolidó la baja pero aumenta la tensión por la caída de reservas del Banco Central Treinta&amp;amp;Tres – RADIO 33 | 97.3 POSADAS | 99.5 OBERÁ | 102.3 IGUAZÚ - https://t.co/yWakkYhEkf #dólar #BancoCentral #economia https://t.co/2wLqL8PL5B</t>
  </si>
  <si>
    <t>"Wow, Banco Central really knows how to rack up those purchases! US$ 860 million in net purchases and yet, reserves are still low? Check out the latest post on Clarin to get the juicy details: https://t.co/59hO746KDB #SarcasmAtItsFinest #BancoCentral #ReserveWoes"</t>
  </si>
  <si>
    <t>Get ready to be mind-blown by the absurdity of it all! Mendoza's ingenious move forced the infamous #BancoCentral to lift the #cepo and let them buy dollars for a measly $350. Provinces 1, Central 0. Want to know more? Check out this mind-blowing article: https://t.co/OAUMPzdp8q</t>
  </si>
  <si>
    <t>#MorningShow | Após entrevista, Campos Neto é chamado de ‘capacho do capital’ no site oficial do PT; comentaristas opinam
📺 Confira na JP News
#CamposNeto #PT #capacho #BancoCentral https://t.co/lbZHFjx4fI</t>
  </si>
  <si>
    <t>Habrá que comprar Yen para afrontar el Default de EEUU?
Por eso Brasil, Argentina, Venezuela, México y otros quieren hacer trato directo con Moneda China?
#default #EEUU #BancoCentral #BC</t>
  </si>
  <si>
    <t>Fique atento as novidades do mercado financeiro
#selic #bc #bancocentral #starcapital #creditoimobiliario #financiamentoimobiliario #imobiliaria #mercadoimobiliario #assuntosdomercadoimobiliario #negociaçãoimobiliária #corretordeimoveis #imoveisaltopadrao #casadealtopadrão https://t.co/PSLX0Rldds</t>
  </si>
  <si>
    <t>BRB continua como melhor opção para crédito imobiliário do mercado atualmente! Entre em contato conosco para garantir as condições!
#bancocentral #brb #sonhos #creditoimobiliario #financiamentoimobiliario #mercadoimobiliario  #corretordeimoveis  #starcapitaloficial https://t.co/hpwdO4wjgi</t>
  </si>
  <si>
    <t>Taxa selic é mantida em 13,75% a.a.
#taxaselic #renda #bancocentral #sonhos #objetivos #futuro #creditoimobiliario #financiamentoimobiliario #imobiliaria #mercadoimobiliario https://t.co/702ZoQJMYn</t>
  </si>
  <si>
    <t>Taxa selic supreendentemente é reduzida para 13,25% a.a.
#bancocentral #creditoimobiliario #financiamentoimobiliario #imobiliaria #mercadoimobiliario #corretordeimoveis #imoveisaltopadrao #casadealtopadrão #investimentoimobiliario #mercadodeluxo #starcapitaloficial https://t.co/mrcGo4A4PZ</t>
  </si>
  <si>
    <t>Juan Schiaretti, gobernador de Córdoba: "Es necesaria la independencia del Banco Central"
...
@JSchiaretti @gobdecordoba #MultimediosNOVA #BancoCentral #Economía
https://t.co/o0c20yQb70</t>
  </si>
  <si>
    <t>Ya están listos los panqueques: Milei pasó de querer prender fuego el BCRA, a anunciar quién sería su titular si gana
...
@JMilei @BancoCentral_AR #MultimediosNOVA #BancoCentral #Milei
https://t.co/RB8l5eLbXA</t>
  </si>
  <si>
    <t>Salieron a la luz las definiciones económicas del futuro presidente del BCRA si ganara Milei en las Generales
...
@BancoCentral_AR @JMilei #MultimediosNOVA #BancoCentral #Milei
https://t.co/TdKCOPRwFm</t>
  </si>
  <si>
    <t>🇨🇳 INVERSIONES #Shangai 
💵  Sergio Massa obtuvo cerca de yuanes $s1.000 millones en inversiones y desembolsos que fortalecerán las #Reservas del #BancoCentral.
👉 El ministro llegó a China este martes junto a #MáximoKirchner y su comitiva.
+ ▶️ https://t.co/pCdeEy9lHG https://t.co/rLX6bxefFH</t>
  </si>
  <si>
    <t>Conheça baiano indicado à alta cúpula do Banco Central
Ailton Aquino dos Santos é da cidade de Jequié e foi nomeado pelo ministro Fernando Haddad
#ibahia #baiano #bancocentral https://t.co/wG93v2vbi1</t>
  </si>
  <si>
    <t>Banco Central prevê lançar PIX Automático em abril de 2024
Pagamento será disponibilizado para empresas de qualquer porte
#Pix #BancoCentral #PixAutomático https://t.co/xM43xF6aTN</t>
  </si>
  <si>
    <t>Saiba como solicitar reembolso de tarifas bancárias 
Determinação está em resolução do Banco Central; influenciadora Nath Finanças viralizou o conteúdo nas redes sociais
#TarifasBancárias #NathFinanças #BancoCentral https://t.co/OBg9FXQHzu</t>
  </si>
  <si>
    <t>🏦 El #BancoCentral mejoró las condiciones de descuento de las #Facturas de Crédito Electrónicas Mipymes, lo que permite a las entidades financieras trasladar los beneficios a las #pymes.
Más detalles 👇
https://t.co/FRLSZEhgZI</t>
  </si>
  <si>
    <t>🚧 ¡Atención!
Por la actualización de la #tasa de interés para #plazosfijos, dispuesta por el #BancoCentral, se modificaron las tasas máximas de descuento directo del programa #Ahora12 que los emisores bancarios pueden aplicar al #comercio.
Detalles 👇
https://t.co/TSpTTIP7M3</t>
  </si>
  <si>
    <t>▶️ El #BancoCentral dispuso que los #comercios que exhiban un código #QR para cobrar con tarjetas de crédito deberán aceptar que los clientes realicen pagos con cualquier billetera digital interoperable.
Detalles 👇
https://t.co/K6nk27W1Yh</t>
  </si>
  <si>
    <t>#HechosNews Gobernador del Banco Central Héctor Valdez Albizu firma convenio con ProDominicana en materia de estadísticas en inversión extranjera.
LEA MÁS👉https://t.co/Acw0CofXhR
Cc.@BancoCentralRD @prodominicana
#BancoCentral #HéctorValdezAlbizu #ProDominicana #Inversion https://t.co/coC53kQUCu</t>
  </si>
  <si>
    <t>#HechosNews Gobernador del Banco Central Héctor Valdez Albizu preside la 298ª reunión del Consejo Monetario Centroamericano.
LEA MÁS👉 https://t.co/JPGUespZPF
Cc. @BancoCentralRD 
#BancoCentral #Economia #Economics #consejomonetario https://t.co/yNMfwlApWj</t>
  </si>
  <si>
    <t>#HechosNews Gobernador del Banco Central Héctor Valdez Albizu resalta robustez del sistema financiero dominicano.
LEA MÁS👉 https://t.co/FEcQYSX8Kd
Cc. @BancoCentralRD 
#BancoCentral  #HéctorValdezAlbizu #robustez #sistemafinanciero #dominicanos #GobiernoDelCambio #Economia https://t.co/zxkQONZDxt</t>
  </si>
  <si>
    <t>#Cadeca #Cuba #BancoCentral Se necesitan mas dólares. La máquina de imprimir CUC se quedó sin tinta. Muchas gracias.</t>
  </si>
  <si>
    <t>URGENTE: O TCU aponta Campos Neto como um dos responsáveis por um "erro contábil" de R$ 1 TRILHÃO em 2022, durante o governo Bolsonaro.
#camposneto #bancocentral #TCU https://t.co/93M5dApam8</t>
  </si>
  <si>
    <t>Ata do Copom: Cenários de aperto monetário se tornaram menos prováveis.
Leia análise: https://t.co/6OSG1gsJU6 #bancocentral #juros #inflacao</t>
  </si>
  <si>
    <t>📉 #IMACEC Economía chilena sigue retrocediendo y cae -2% en mayo. Mayor caída se registra en la minería (-7.5%) y el comercio (-4.2%).
#BancoCentral #LaMoneda #Chile https://t.co/aX2C4mtWsd</t>
  </si>
  <si>
    <t>🔴#AMENAZAS Marcel dice que sin reforma tributaria y nueva constitución HABRÁ OTRO ESTALLIDO. Ergo, ¿comunistas volverán a quemar el metro y organizaran saqueos y delincuencia? ¿chantajeo con violencia es democracia? #ClaudiaSoto #Baquedano #BancoCentral #Junaeb #Chile https://t.co/ZqQF6DtEq6</t>
  </si>
  <si>
    <t>Mercado prevê inflação este ano de 4,95%
O mercado financeiro reduziu a previsão da inflação para este ano pela oitava vez. Segundo projeção do Boletim Focus, divulgada nesta segunda-feira (10) pelo Banco Central, o Índic...
#bancocentral #boletimfocu...
https://t.co/ttlefelKi6</t>
  </si>
  <si>
    <t>A moeda digital brasileira ganha um nome: Drex
O Drex está chegando para facilitar a vida dos brasileiros. De cara nova e nome próprio, o projeto de moeda digital de banco central (em inglês, Central Bank Digital Currency –...
#bancocentral #drex #mo...
https://t.co/3YaZoq9k16</t>
  </si>
  <si>
    <t>Cuidado com esse golpe, ele é muito engenhoso. #BancoCentral #BCB via @BancoCentralBR https://t.co/qbsQGummxw</t>
  </si>
  <si>
    <t>8 meses de Lula com 13% de juros pro lucro de quem faz nada! 206 moradores de rua, miséria e falta de VERGONHA NA CARA DO NOSSO POVO BRASILEIRO 
#bancocentral #juros #lula #miséria #noticia #PastoralDoPovoDeRua #saopaulocapital #agosto2023 #brasil #leidopovo #democraciadireta https://t.co/XlI9nGsK0x</t>
  </si>
  <si>
    <t>BRASIL É JURO REAL MAIS ALTO DO MUNDO!!! QUEM LUCRA COM 13%?
#juros #inflação #jurosreais #notícias #BancoCentral #CiroGomes #selic #agosto2023 #eduardomoreira #governapovobrasileiro @RedeDasCasasDaDemocraciaDiretaNoBrasil https://t.co/Xro5p564RG</t>
  </si>
  <si>
    <t>Hoje às 18 horas eles divulgaram o que o povo já sabia. Dá-lhe 13%!!!
#leidopovo #juros #bancocentral #inflação #selic #agosto2023 #bancocentral #notícias https://t.co/xiYdzaOu30</t>
  </si>
  <si>
    <t>#BancoCentral DEBOCHA de 71 MILHÕES de INADIMPLENTES, da FALÊNCIA de nossas empresas, do futuro trágico que define um país de MISERÁVEIS 
Lula NÃO demite presidente do BC porque não quer
Lei complementar 179, Art 5°, Inciso 4°
#Selic #inadimplentes #corrupção #leidopovo #juros https://t.co/C5DV3J728U</t>
  </si>
  <si>
    <t>Comparto resultados de Encuesta de Determinantes y Expectativas de Precios (EDEP), realizada por Banco Central. 
Video de presentación de resultados 
Link de resultados https://t.co/AcvC7fDwGZ
#bancocentral #encuesta #precios https://t.co/FlLMXhW5UB</t>
  </si>
  <si>
    <t>Vemos a economia trabalhando pra valorizar o Real, e aí vem o "Chico" todo mês se fazendo de "Sons@" estragando tudo. #chicomoedas #luisasonza #contemironia #voceeminhacurajura #copom #BancoCentral</t>
  </si>
  <si>
    <t>#sonsatos #HYUNJINxVersace #เงือกน้อยผจญภัย #ม็อบ23พฤษภา66 #TAEHYUNGxCELINE #HYUNJINAtCannes #MundialSub20 #Sismo #masterchef11 #LALISA #uf #bancocentral #broker https://t.co/4u2TiUqkE0</t>
  </si>
  <si>
    <t>Saiba mais em:  https://t.co/ZaqWkN3KD5
#DREX #SFN #SistemaFinanceiro #BancoCentral #bancos #finanças #economia</t>
  </si>
  <si>
    <t>O Banco Central anúnciou o nome do Real digital, o DREX. O lançamento do Real digital é parte de uma campanha do Banco Central para facilitar as transações financeiras e incluir brasileiros que estavam excluídos delas. 
#DREX #Real #RealDigital #BancoCentral #RicardoAmorim https://t.co/eaW38vRDng</t>
  </si>
  <si>
    <t>O Brasil é muito mais adiantado na adoção de tecnologias digitais e no processamento de transações financeiras do que a maioria dos brasileiros se dá conta. Assista e conheça mais. #pix #meiosdepagamento #bancocentral #brasil #ricardoamorim https://t.co/HxviMBWxva</t>
  </si>
  <si>
    <t>📣El banco central de  #China  ha reducido las tasas de interés clave ya que el país enfrenta una perspectiva económica sombría debido a los datos débiles de julio. Este movimiento inesperado tiene como objetivo apoyar la luchadora economía china.
 #BancoCentral  #Economía https://t.co/w7gkapgN9S</t>
  </si>
  <si>
    <t>Fim do parcelamento sem juros prejudicará consumidores, diz Ministro da Fazenda #Destaques #Economia #BancoCentral #CâmaradosDeputados  https://t.co/eHd5mWFGmE https://t.co/YyjoldKklE</t>
  </si>
  <si>
    <t>Mercado eleva previsão da inflação de 4,84% para 4,9% este ano #Destaques #Economia #BancoCentral #CMN  https://t.co/ccPR7RQUTx https://t.co/cXnLtoHZUg</t>
  </si>
  <si>
    <t>Mercado eleva para 2,31% projeção do crescimento da economia em 2023 #Brasil #Destaques #Economia #BancoCentral  https://t.co/FXxJbeSVbI https://t.co/1rpy6Xou09</t>
  </si>
  <si>
    <t>PIX bateu recorde de transações em um único dia #Brasil #Destaques #Economia #BancoCentral  https://t.co/ixhXzmA4YK https://t.co/46NvX2sLHa</t>
  </si>
  <si>
    <t>#Pânico | @leosiqueirabr (Novo) critica postura econômica do governo: “Criticaram muito o negacionismo e falaram ‘Os livros de economia estão ultrapassados, vamos fazer uma guerra contra o Banco Central’, o negacionismo da economia deles, pode”
#politica #economia #bancocentral https://t.co/nm7X6Evqtb</t>
  </si>
  <si>
    <t>#Pânico | Resenha Zu e Zuzu: o jornal tão popular quanto adultos fantasiados de super-herói te informa sobre Lula (PT) criticando Campos Neto (sim, de novo) e cobrando redução na taxa de juros
📺 Confira na JP News
#bancocentral #noticia #economia #lula https://t.co/KawIj2T9ui</t>
  </si>
  <si>
    <t>#Pânico | Foca na Economia: entenda a diferença entre a nova moeda digital Drex e o Pix; quem te explica é Samy Dana, o mestre das finanças e ‘hater’ dos pentes
📺 Confira na JP News
#economia #drex #pix #bancocentral https://t.co/HTHX3hm0cR</t>
  </si>
  <si>
    <t>#Pânico | Foca na Economia: participantes do 59ª Congresso Nacional da União Nacional dos Estudantes (UNE) protestaram, em frente ao prédio do Banco Central, pedindo a queda da taxa básica de juros e saída de Campos Neto da presidência da instituição
#Economia #UNE #BancoCentral https://t.co/RoAA84wXzb</t>
  </si>
  <si>
    <t>#Pânico | Foca na Economia: Banco Central prevê uso do Pix em pedágios, estacionamentos, transporte público, compras parceladas e transferências internacionais
📺 Confira na JP News
#economia #bancocentral #pix https://t.co/SPIkzQgdGR</t>
  </si>
  <si>
    <t>#Pânico | Foca na Economia: Copom corta taxa básica de juros em 0,5 ponto percentual; selic cai de 13,75% para 13,25%; Samy Dana, que acertou a previsão de ontem, analisa o assunto
📺 Confira na JP News
#taxaselic #juros #economia #bancocentral https://t.co/GTsSmyv5DN</t>
  </si>
  <si>
    <t>#Pânico | Foca na Economia: taxação de ricos, juros, meta de inflação; veja destaques da fala de Campos Neto à Câmara, analisado pelo geninho das finanças, “Damy Sana”
📺 Confira na JP News
#Economia #SamyDana #CamposNeto #BancoCentral https://t.co/8l3Cjt6aez</t>
  </si>
  <si>
    <t>Explicación en simple de anuncio del #BancoCentral 👇</t>
  </si>
  <si>
    <t>Mientras el gobierno le caga la vida a todos los argentinos y laburantes le regala plata a los alemanes #Argentina #Alemania #dolar #Bcra #BancoCentral #Peronismo</t>
  </si>
  <si>
    <t>1/11 El Banco Central decidió activar, por primera vez, el Requerimiento de Capital Contracíclico (RCC), aumentando los requerimientos de capital en un 0,5% de activos ponderados por riesgo
¿¿??
¿Qué significa eso? ¿Pq se hizo? ¿Q efectos podrá tener? Doble clic paso a paso👇👇 https://t.co/bivdLEEb1G</t>
  </si>
  <si>
    <t>⚠️Saiu a ata do Copom! ⚠️
Previsão de redução da taxa de juros a partir de agosto! Boas novas aos investidores!
#Selic #ipca #inflação #economia #bancocentral https://t.co/Eoq1mlGsDl</t>
  </si>
  <si>
    <t>Ualá suspende operaciones con criptomonedas por restricciones del Banco Central. Sus 300k clientes tendrán un mes para vender sus tenencias y recibirán 5% de compensación. Otras billeteras de criptomonedas en el mercado no se ven afectadas #Ualá #Criptomonedas #BancoCentral</t>
  </si>
  <si>
    <t>#Argentina #BancoCentral #PlazosFijos #TasaDeInteres 
EL BANCO CENTRAL DISPUSO SUBIR LA TASA DE INTERÉS PARA PLAZOS FIJOS AL 97% ANUAL  
Nota: https://t.co/3pnJK5Ze8f https://t.co/UjlxKSpwip</t>
  </si>
  <si>
    <t>#Argentina #GobiernoNacional #BancoCentral #NuevoBilleteDeMil #YaEstaEnCiculación 
EL NUEVO BILLETE DE $1.000 PESOS CON LA IMAGEN DE SAN MARTÍN YA ESTÁ EN CIRCULACIÓN
Nota: https://t.co/VLSbce6wZk https://t.co/2qUtuUqIJs</t>
  </si>
  <si>
    <t>#Argentina #BancoCentral #billeterasvirtuales 
EL BANCO CENTRAL DIO MARCHA ATRÁS CON LA MEDIDA QUE PERJUDICABA A LAS BILLETERAS VIRTUALES
Nota: https://t.co/ExNje6HR23 https://t.co/oB64pXamph</t>
  </si>
  <si>
    <t>#Argentina #BancoCentral #CompraDeDólares #Economia 
EL BANCO CENTRAL ALCANZÓ TRES SEMANAS CONSECUTIVAS DE COMPRAS DE DÓLARES
Nota: https://t.co/r39Fq2pBfS https://t.co/dWk6niQQyW</t>
  </si>
  <si>
    <t>@daniel_nunez_a @memoriasdechile En el #bancocentral está una operadora #udi de #Piñera. 🤨¿Será posible que la "consejera", en votación dividida, esté atornillado al revés al #gobierno de #Boric ?🤔</t>
  </si>
  <si>
    <t>Era "el inicio de reducción" de #tasas, pero la #udi nombrada por #piñera votó por mantener 🤔y 2 #consejeros por reducir en 50 puntos. 🤔
Sospechosa... como dice #bomboFica
#BancoCentral mantiene tasa de interés en 11,25% https://t.co/4pTzvW4i6X vía @Cooperativa</t>
  </si>
  <si>
    <t>🇦🇷| #ULTIMAHORA | #PatriciaBullrich asegura que si gana las elecciones entrará con una cámara de TV al #BancoCentral para “mostrar cuántas reservas quedan”, creyendo que las reservas del BCRA están en una bóveda guardadas en dinero en efectivo.
https://t.co/xA3bcjwHQj</t>
  </si>
  <si>
    <t>🇦🇷 | #URGENTE | El #BancoCentral de #Argentina subió las tasas de interés al 118%. https://t.co/BebapOs0tP</t>
  </si>
  <si>
    <t>RT @filonewsOK: ⭕ #SergioMassa pidió derogar las medidas para billeteras electrónicas  
🔎 El ministro de Economía publicó en sus redes el…</t>
  </si>
  <si>
    <t>O sea  el banco central, para que nos deje el débito automático con las billeteras, le pide a las billeteras que bajen los intereses que le dan a los usuarios de las mismas?
#BancoCentral</t>
  </si>
  <si>
    <t>Lula volta a criticar taxa de juros e presidente do Banco Central: 'Não tem compromisso com o Brasil' 
#BancoCentral #críticas #economia #Londres #Lula #robertocamposneto #taxadejuros
https://t.co/XvBG9sasPl https://t.co/Xifb8bIyjb</t>
  </si>
  <si>
    <t>#BancoCentral de #Cuba anuncia nuevas #medidas de bancarización para reordenar los flujos monetarios
https://t.co/X1TRPSwijR</t>
  </si>
  <si>
    <t>Exige #Putin al #BancoCentral de #Rusia a frenar #inestabilidad y controlar la #inflación | https://t.co/5b4ZDxWliR https://t.co/soyTGx5CmT</t>
  </si>
  <si>
    <t>🇱🇧 La #Justicia francesa ordena el arresto del gobernador del #BancoCentral libanés por presunta #malversación y desvío de fondos públicos.
👉 ¿A qué se debe la debacle en la #economía del #Líbano?
@andrealopezpast 
https://t.co/KiGB2fZGXh</t>
  </si>
  <si>
    <t>#Milei nombrará a referente económico “para cerrar” el #BancoCentral si gana las elecciones https://t.co/Qul9LXD0LJ</t>
  </si>
  <si>
    <t>TCU acaba de apontar Campos Neto, presidente do BC, como um dos responsáveis pelo “erro contábil” de mais R$ 1 TRILHÃO em 2022. 
Aí eu pergunto pra vocês: a independência do Banco Central serve pra quê? 
Ou melhor, serve a QUEM? Porque ao povo brasileiro tenho certeza que NÃO https://t.co/NGah4Tr9fe</t>
  </si>
  <si>
    <t>Reação do mercado a fraude no banco central #BancoCentral #mercadofinaceiro https://t.co/aVDRzXcJam</t>
  </si>
  <si>
    <t>RT @drdanielvicente: Reação do mercado a fraude no banco central #BancoCentral #mercadofinaceiro https://t.co/aVDRzXcJam</t>
  </si>
  <si>
    <t>🚨 NOTÍCIA: As bolsas asiáticas caem e a Europa se mantém estável antes dos discursos dos banqueiros centrais, indicando que os investimentos globais estão em uma posição delicada diante das incertezas econômicas.
#Bolsa #Investimentos #Economia #BancoCentral
Fonte: France 24.</t>
  </si>
  <si>
    <t>🚨 ECONOMIA: Uma pessoa conseguiu o maior saque do sistema do BC: R$ 2,8 milhões foram retirados de forma inesperada.
O dinheiro, que foi esquecido e não reclamado, foi levado para longe sem deixar rastro. #DinheiroEsquecido #BancoCentral #Saques
Fonte: g1 &amp;gt; Economia. https://t.co/sQYoi5eBRB</t>
  </si>
  <si>
    <t>Economía de RD podría crecer alrededor de un 5,0% en 2024, dice Banco Central  https://t.co/3iZrHwtwfr
 #economía #RD #crecimiento #BancoCentral #2024 #RepúblicaDominicana #desarrollo #finanzas #indicadores</t>
  </si>
  <si>
    <t>Banco Central sacrifica el crecimiento y logra detener la inflación https://t.co/9x7sdN2FZX
 #BancoCentral #crecimiento #inflación #macroeconomía #estabilidad #políticamonetaria #reserva #economíaglobal #políticaeconómica</t>
  </si>
  <si>
    <t>https://t.co/VgIN5cbAxk @cubadebatecu #BancoCentral
#LatirAvileño</t>
  </si>
  <si>
    <t>A forte queda da inflação fez o Banco Central (BC) cortar os juros pela primeira vez em três anos.
#ODia #BancoCentral #Selic
https://t.co/kyBzmTQWS1</t>
  </si>
  <si>
    <t>O objetivo é facilitar a identificação e eventual responsabilização; entenda.
#ODia #BancoCentral 
https://t.co/FkqA3mBUVv</t>
  </si>
  <si>
    <t>No último trimestre do ano passado, o instrumento já representava 1/3 de todos os pagamentos eletrônicos do País.
#Pix #BancoCentral #ODia
https://t.co/0DU03j0Cfv</t>
  </si>
  <si>
    <t>Presidente do BC disse que o Brasil é um dos poucos países que está dentro das bandas de suas metas de inflação para os próximos anos.
#ODia #BancoCentral #CamposNeto 
https://t.co/5bS8DREEGX</t>
  </si>
  <si>
    <t>O mercado financeiro espera que o Comitê de Política Monetária do #BancoCentral mantenha a taxa de #juros em 13,75%, mas sinalize para uma queda nominal na #Selic a partir do segundo semestre. Confira, com o economista Fernando Gomes. https://t.co/TrFupEZK60 https://t.co/nJlAsoNvow</t>
  </si>
  <si>
    <t>O #BancoCentral reduz a #Selic pela primeira vez em três anos e surpreende com corte de 0,50 ponto porcentual. A Taxa, agora, é de 13,25%. Mas a votação foi acirrada, como explica Fernando Gomes. https://t.co/eLDEnNd6Eb https://t.co/Jj1zBmoBRu</t>
  </si>
  <si>
    <t>Confirmada a expectativa de queda da #inflação, o #BancoCentral pode reduzir a taxa de #juros já a partir das próximas reuniões do #Copom? Quem avalia é o economista Fernando Gomes. https://t.co/PcjDkmDLa8 https://t.co/3T9FE9lFPT</t>
  </si>
  <si>
    <t>Os juros dos #consignados para aposentados, pensionistas e servidores vêm apresentando tendência de queda após a redução promovida pelo #BancoCentral na taxa #Selic. O percentual máximo que pode ser cobrado nos consignados caiu de 1,97% para 1,91% ao mês. https://t.co/cQujpdtSVg https://t.co/xLPbvKzo6i</t>
  </si>
  <si>
    <t>Corte no #Orçamento, #dívidapública, crescimento econômico e #inflação em pauta no #EconomiaDireta. Programa também destaca os principais pontos da fala do presidente do #BancoCentral, que ontem esteve na Câmara para falar de #políticamonetária. https://t.co/kMGaq4hlja https://t.co/Rig4RVPcyR</t>
  </si>
  <si>
    <t>Com a inflação controlada, o Banco Central iniciou o ciclo de redução da taxa Selic, que na semana passada caiu de 13,75% para 13,25% ao ano. Saiba mais no #EconomiaDireta: https://t.co/HBPZSGiwly
#BancoCentral #inflação #Selic https://t.co/lxHZxRH4DQ</t>
  </si>
  <si>
    <t>RT @RadioCamara: Corte no #Orçamento, #dívidapública, crescimento econômico e #inflação em pauta no #EconomiaDireta. Programa também destac…</t>
  </si>
  <si>
    <t>🏦 No episódio do podcast do Podemos no Senado desta terça-feira (9/5), o líder @Sen_Oriovisto faz uma análise sobre as indicações do Governo para o Banco Central. Ouça e compartilhe!✅
#PodemosnoSenado #senadororiovistoguimaraes #bancocentral #podcast https://t.co/iXdPuE30Tg</t>
  </si>
  <si>
    <t>#dolar #Economia #inflación #bancocentral #fmi https://t.co/wP01fo0RNi</t>
  </si>
  <si>
    <t>COMUNICADO SOBRE SUBASTA DE DIVISAS
Recuerde que puede hacer la solicitud en nuestras agencias o en Banhcafe Online.  
#banhcafe #banco #finanzas #banca #subasta #divisas #subastadedivisas #comunicado #cliente #bancocentral #honduras #horario #dolares https://t.co/NADVbb5SSk</t>
  </si>
  <si>
    <t>Vamos conversar sobre a falta de recursos para os financiamentos bancários, ou vamos continuar fingindo que está tudo bem com o mercado imobiliário no Brasil?
#mercadoimobiliário #financiamentoimobiliário #corretoradeimóveis #corretordeimóveis #bancocentral</t>
  </si>
  <si>
    <t>#Economía tras las #PASO2023 | el #DólarOficial a $350 el #BancoCentral devalúa la moneda un 22% ► https://t.co/MZ1ismh5BK https://t.co/LGXpsJhmti</t>
  </si>
  <si>
    <t>URGENTE 🚨 Governo publica decreto sobre o setor de criptoativos. Deixa aqui nos comentários a sua opinião 👇🏼
#bancocentral #criptomoedas https://t.co/ezOFqWzGX7</t>
  </si>
  <si>
    <t>💵 El #BancoCentral elevó el rendimiento de los ahorros en pesos
https://t.co/YUFTdwgsUb</t>
  </si>
  <si>
    <t>yo quiero un Director del Banco Central que no sea militante de una vez por todas y vos? #bancocentral #dolar #bastadepopulismo</t>
  </si>
  <si>
    <t>#BancoCentral | Ahorristas aguardaban con expectativa lo que haría el BCRA. Ahora la duda es qué ocurrirá con los depósitos a plazo.
https://t.co/jMmZf4fE6y</t>
  </si>
  <si>
    <t>El #dólar blue abrió a  $494, que significa un alza de $2 respecto del último cierre, el dólar MEP sube a  $488,68, el del Contado con Liquidación (CCL) a  $516,8. El #BancoCentral ajustó la cotización oficial 0,44% y pasó a $275,61, el dólar ahorro vale a $454,76. https://t.co/8tGmBAyaaP</t>
  </si>
  <si>
    <t>DREX? https://t.co/ptDo6gR639 #BancoCentral #BCB via @BancoCentralBR</t>
  </si>
  <si>
    <t>El Banco Central informó que durante los primeros siete meses del año 2023 las remesas recibidas alcanzaron la cifra de US$5,909.3 millones, lo cual representa un crecimiento de 4.2 % en comparación con el mismo período del año anterior.
#remesas #bancocentral #infopaisrd https://t.co/HVKsOKiKPL</t>
  </si>
  <si>
    <t>DOP $60 Mil Millones #RepublicaDominicana 
 #bancocentral entregó a los bancos para impulsar la economía
En menos de 15, ya no hay dinero
Eso explicaría porque el dinero no está dando para la mayoría de los hogares</t>
  </si>
  <si>
    <t>Atacar o @BancoCentralBR é atacar André Esteves e o BGT Pactual, não a democracia. #bancocentral #jurosbaixosjá #AndreEsteves #CamposNeto #bgt #Lula</t>
  </si>
  <si>
    <t>Afinal, por que @LulaOficial bate no presidente do @BancoCentralBR, #CamposNetoTraidor? Será que o Banco Central é independente mesmo ou está respondendo a #AndréEsteves?
#BancoCentraldoBrasil https://t.co/JwrO4jwg64</t>
  </si>
  <si>
    <t>@julialucydf Nesse momento, o @BancoCentralBR pertence a André Esteves. Vai dizer que isso é fake news também?
https://t.co/iGS2N9Ikll
#jurosbaixosjá #Coronation #Lula #bancocentral</t>
  </si>
  <si>
    <t>@PRossiOficial https://t.co/kNuIRzfAxV
El actual #MinistroDeEconomia y actual CANDIDATO A PRESIDENTE #MassaDePankeke alias @SergioMassa
está emitiendo moneda a través del #BancoCentral a razón de 10MIL MILLONES POR DÍA ¿Y el puta quiere ser presidente...🙆‍♂️🤦‍♂️</t>
  </si>
  <si>
    <t>@lanacionmas @Robergmoritan @marialauratv https://t.co/kNuIRzfAxV
El actual #MinistroDeEconomia y actual CANDIDATO A PRESIDENTE #MassaDePankeke alias @SergioMassa está emitiendo moneda a través del #BancoCentral a razón de 10MIL MILLONES POR DÍA ¿Y el puta quiere ser presidente...🙆‍♂️🤦‍♂️</t>
  </si>
  <si>
    <t>https://t.co/kNuIRzfAxV
El actual #MinistroDeEconomia y actual CANDIDATO A PRESIDENTE #MassaDePankeke alias @SergioMassa
está emitiendo moneda a través del #BancoCentral a razón de 10MIL MILLONES POR DÍA ¿Y el puta quiere ser presidente...🙆‍♂️🤦‍♂️</t>
  </si>
  <si>
    <t>Argentina... más devaluación. El #BancoCentral tomó la decisión de devaluar 22% la moneda oficial.
Todo recae en los precios.</t>
  </si>
  <si>
    <t>Tudo dentro do planejamento, o problema é o que vem à frente, mas isso é cena dos próximos episódios.
#copom #bacen #selic #ibovespa #bancocentral</t>
  </si>
  <si>
    <t>Relatório de Setembro não traz muitas novidades, porém recomendo a leitura, visão do Bacen é bem diferente de alguns analistas do apocalipse por ai 😂😂.
Relatório de Inflação https://t.co/q4hE8lXEg0 #BancoCentral #BCB via @BancoCentralBR 
#inflação #bacen #bcb #bancocentral</t>
  </si>
  <si>
    <t>Drex: saiba como funcionará o real digital... https://t.co/HiZAzEjhVv
#drex #realdigital #moedavirtual #bancocentral #financas #blogpdanoticia https://t.co/oLipcOT7L5</t>
  </si>
  <si>
    <t>Educação pública me permitiu chegar aqui, diz novo diretor do BC... https://t.co/j5Dka2wxXl
#bancocentral #diretordobc #valdirdossantosmiranda #uneb #educacaopublica #bahia https://t.co/LJCob8Sq6g</t>
  </si>
  <si>
    <t>Correntistas ainda têm R$ 7,2 bilhões em contas inativas... https://t.co/UhSJUUyQpc
#contasinativas #bancocentral #correntista #economia https://t.co/H4kJbF5gJG</t>
  </si>
  <si>
    <t>BC obriga instituições a avisar clientes sobre vazamentos no Pix... https://t.co/UhSJUUyQpc
#economia #bancocentral #pix #vazamentos #multas https://t.co/Z95Cvpj8mq</t>
  </si>
  <si>
    <t>O dólar esta a R$ 4,80.......
Compre agora se você tiver ai para investimento:
R$ 10,000.00 pois ele vai subir uma média de R$ 5,96 a R$ 6,05.
Ou seja esse spread de R$ 1,20 pode garantir ai uns R$ 2 mil reais ou mais...
#dolar #Bancos #Brasil #Economia #bancocentral #Lula</t>
  </si>
  <si>
    <t>Copom: definição da taxa de juros requer paciência e serenidade
#inflacao #bancocentral #economia #juros #emprestimos #taxaselic #copom
https://t.co/axm7rx07dr https://t.co/yztiFjwolC</t>
  </si>
  <si>
    <t>#Economía | Banco Central bajó la tasa de interés y se espera que a fin de año se ubique en torno a 7.5% 
#BANCOCENTRAL #inflacion #nacional #politicamonetaria #Tasasdeinteres
https://t.co/DC2lCKIGDo</t>
  </si>
  <si>
    <t>Tocamos fondo con el Gas, NO hay dólares, #BancoCentral vende el Oro q queda para pagar cuotas de deuda externa, #EMAPA NO paga a productores de Maíz, #YPFB NO paga a los Cañeros proveedores de Etanol ... esto se va al tacho y el centro es la pelea de Evistas vs Arcistas</t>
  </si>
  <si>
    <t>Todo es geopolítica | El G7 frente a la desdolarización o la economía de... https://t.co/kYOehcIKJK via @YouTube ; El objetivo seria aplanar la curva de la desigualdad económica por parte de #China, no?</t>
  </si>
  <si>
    <t>Es el mejor momento para #Argentina para una #Simplificacion #Administrativa. Ya chole! con con el #BancoCentral de estar operando en modo #SCAM que es un fraude nacional como @Banxico #Mexico #Rusia #Colombia #India y otros, la Danza de los Ceros; FUERA!!! la #Transa no Avanza!!</t>
  </si>
  <si>
    <t>O cntrl c + v das atas continua cada vez mais irreais. Manter em 13,75% é um completo absurdo. 
https://t.co/Ja2eg4N5uS #BancoCentral #BCB via @BancoCentralBR</t>
  </si>
  <si>
    <t>Bom dia!!!  No link da BIO tem mais dicas de livros e Pós.
#fundeb #dividapublica #camposneto #bancocentral #transparênciapública #kindlebr #kindlebrasil #pósead #pós https://t.co/sdqhQIPlF1</t>
  </si>
  <si>
    <t>🗞️: Por Andreia Verdélio - Repórter da Agência Brasil - Brasília
📷: José Cruz - Agência Brasil
Confira a matéria na íntegra👇
https://t.co/kAtUWtRig2
#lucro #bancocentral</t>
  </si>
  <si>
    <t>🗞️: Carolina Pimentel - Repórter da Agência Brasil - Brasília
📷: Marcelo Casal Jr - Agência Brasil
Confira a matéria na íntegra 👇
https://t.co/HP1VT2tze4
#pix #bancocentral</t>
  </si>
  <si>
    <t>Golpe do empréstimo #Shorts #CachorroMordido #Golpe #Empréstimo #Crime #Financeiro #Bc #BancoCentral https://t.co/8HJNr1EZ3B</t>
  </si>
  <si>
    <t>As mudanças passam a valer a partir de 5 de novembro deste ano.
#portalgp1 #noticias #pix #bancocentral #segurança
https://t.co/a3jn1RWvit</t>
  </si>
  <si>
    <t>Essa é a segunda vez consecutiva que a Selic permanece no mesmo patamar. @BancoCentralBR 
#portalGP1 #noticias #bancocentral
 https://t.co/GmFDPcl0zu</t>
  </si>
  <si>
    <t>Se o Banco Central manter o mesmo patamar de queda, é possível uma taxa de juros menor que 12%.
@BancoCentralBR 
#Economia  #bancocentral 
https://t.co/8Ktd8DECyo</t>
  </si>
  <si>
    <t>O estoque de investimentos subiu de R$ 970,36 bilhões em junho para R$ 972,93 bilhões em julho. @BancoCentralBR 
#PortalGP1 #noticias #bancocentral
https://t.co/ObdnVLWYts</t>
  </si>
  <si>
    <t>Decisão do Copom será baseada na análise da inflação e das expectativas para os próximos 18 meses.
#PortalGP1 #GP1 #BancoCentral #Brasi #Economia #Selic 
https://t.co/2Wpq1IBvCZ</t>
  </si>
  <si>
    <t>A Dívida Bruta do Governo Geral é uma das referências para avaliação econômica de um país. @BancoCentralBR 
#portalgp1 #noticias #bancocentral
https://t.co/nGDlvMSykH</t>
  </si>
  <si>
    <t>A queda financeira é correspondente às gestões da União, Estados, municípios e estatais. @BancoCentralBR 
#PortalGP1 #noticias #bancocentral
https://t.co/UcASkP8ujB</t>
  </si>
  <si>
    <t>Pones la tele, hablan de Milei. Pones la radio, hablan de Milei. Abris las redes sociales, hablan de Milei. Es increible lo que logro este peluca #Milei #BancoCentral</t>
  </si>
  <si>
    <t>Economia brasileira cresce acima do esperado em abril #ibc #economia #bancocentral https://t.co/8NrpFQIch4</t>
  </si>
  <si>
    <t>Nike Studios, o plano ambicioso de fitness da @Nike. Leia mais:
https://t.co/rZvxB3vjLp
#MoneyTimes #InfoMoney #ValorEconômico #BoletimFocus #BancoCentral #Ibovespa #XPInvestimentos #BTGPactual #CNNBrasil #ForbesBR #Juros #B3 https://t.co/DX1ogNEPgw</t>
  </si>
  <si>
    <t>E a Mega Sena acumulou mais uma vez. Leia mais:
https://t.co/iLTrfwANYW
#megasena #MoneyTimes #InfoMoney #ValorEconômico #BoletimFocus #BancoCentral #Ibovespa #XPInvestimentos #BTGPactual #CNNBrasil #ForbesBR #Juros #B3 https://t.co/jQYLn7kPPB</t>
  </si>
  <si>
    <t>Mais uma estrela confirmada no XP Expert 2023. Dessa vez, o ex-ministro do Reino Unido, Boris Johnson. Leia mais:
https://t.co/ouNmYs1EN7
#XPInvestimentos #XPExpert #Investimentos #Brasil  #BolsadeValores #MoneyTimes #InfoMoney #ReformaTributária #ValorEconômico #BancoCentral https://t.co/N7Z8CvkPZu</t>
  </si>
  <si>
    <t>Ganho real da poupança supera inflação em 5% pela primeira vez em 6 anos 
#PortalR7 #R7
https://t.co/9Q16v2atAW</t>
  </si>
  <si>
    <t>A autonomia do #BancoCentral, conquistada no governo @jairbolsonaro permitiu ganho real da Poupança.
Desde janeiro, as retiradas somaram R$ 66 bilhões devido ao aumento das dívidas das famílias brasileiras.
Poupança tem 1º saldo positivo do ano com R$ 2,6 bi em junho.</t>
  </si>
  <si>
    <t>#SOCIEDAD Los analistas privados opinan que la tasa de interés subiría en caso de darse tal escenario.
#Tucumán #SanMigueldeTucumán #VOVE #VOVETucumán #Economía #Análisis #BancoCentral #BCRA #PlazoFijo #TasadeInterés 
https://t.co/aG7701pKfb</t>
  </si>
  <si>
    <t>#SOCIEDAD Un estudio advierte por la ineficacia de las medidas económicas.
#Tucumán #SanMigueldeTucumán #VOVE #VOVETucumán #Economía #Reservas #Dólares #BCRA #BancoCentral #Medidas  
https://t.co/Qw67PUC44s</t>
  </si>
  <si>
    <t>#POLÍTICA El BCRA indicó que mantendrá las tasas sin cambios.
#Tucumán #SanMigueldeTucumán #VOVE #VOVETucumán #Economía #Tasas #Interés #PlazoFijo #PolíticaMonetaria #BancoCentral  
https://t.co/Pu8mfcKQNO</t>
  </si>
  <si>
    <t>#SOCIEDAD El Banco Central adelantaría el lanzamiento del billete de 2000.
#VoveTucumán #vove #bancocentral #banco #economia
#billete #NuevoBillete
https://t.co/85EsmQFsnO</t>
  </si>
  <si>
    <t>@pauloquinti1 @UrbLuciene @Mariade21501765 @LulaOficial @waniacbot @wittigenstein @A_Lua_tah_Linda @AbraaoFaisca @LaelsonAlves8 @MariaCleunice3 @mello1400 @Rosalia02965899 @arc_maiana @naziscore @acopelenossa @Pminchio @omarxista @ReineSouza1 @N3tt0 #ForaCamposNeto #bc #bancocentral</t>
  </si>
  <si>
    <t>RT @JMBismark: Banco Central de Chile redujo su tasa de interés en 75 puntos base https://t.co/JY7sHz03eu #bancocentral #PulsoCiudadano #fi…</t>
  </si>
  <si>
    <t>El presidente del Consejo de Participación Ciudadana rechaza la entrega del edificio donde funciona el organismo al Banco Central, según decreto ejecutivo. #NoticiasNacionales #Quito #CPCCS #Edificio #BancoCentral #UnsionTv https://t.co/8qDN779NU2</t>
  </si>
  <si>
    <t>@randolfeap Apesar do #BancoCentral o PIB do país cresceu!!!</t>
  </si>
  <si>
    <t>EL MOSTRADOR SEMANAL| #Falabella en crisis: mercado ve aumento de capital como única salida; #BancoCentral cuestionado
https://t.co/7OZaSzchXI https://t.co/hqkoFQ8dft</t>
  </si>
  <si>
    <t>La sorpresa del requerimiento de Capital del #BancoCentral
https://t.co/g9mjcxcpuR https://t.co/cWkVZIvbYq</t>
  </si>
  <si>
    <t>EL MOSTRADOR SEMANAL| El #BancoCentral sorprende, confunde y la banca llora
https://t.co/cQcW9pclvq https://t.co/PLceD04u0t</t>
  </si>
  <si>
    <t>Unánime: #BancoCentral acordó mantener #tasadeinterés, tras Reunión de Política Monetaria
https://t.co/tjfxbpLWMi https://t.co/CURZWVZFUT</t>
  </si>
  <si>
    <t>Mercado prevé mantención de tasa de interés, en la previa a comunicado del #BancoCentral
https://t.co/u22lgjvrHH https://t.co/oymDZeAAZB</t>
  </si>
  <si>
    <t>Las inversiones y los ajustes del #BancoCentral
https://t.co/K3UjvuTPHj https://t.co/A12NIQUBMI</t>
  </si>
  <si>
    <t>#BancoCentral informa caída del #PIB nacional y un superávit en la cuenta corriente
https://t.co/nrwkQB7trR https://t.co/dxzboHaDSL</t>
  </si>
  <si>
    <t>ELON MUSK sobre o Banco Central Americano: 'Fed prejudica empresas, lento demais para cortar taxas' https://t.co/Y9EaP3OvGc
#bc #taxaselic #bancocentral #camposneto #fed #economia #brasil #ibov #ibovespa #bovespa</t>
  </si>
  <si>
    <t>👨‍🔬#DLS suspende la modernización de un equipo por las trabas a las #importaciones.
✋Las restricciones a las importaciones por la alarmante falta de #dólares 💸 en el #BancoCentral comenzó a generar una situación crítica para las "petroleras.
https://t.co/EaxwTas75S</t>
  </si>
  <si>
    <t>#NoticiasEDN Wilfredo Cerrato, expresidente del Banco Central, asegura que la "economía en el país" está decayendo y esto genera más desempleo y no hay inversión ni local ni extranjera.#EDNTV #BancoCentral #Economía #Desempleo #Inversión https://t.co/p1FiAjguCq</t>
  </si>
  <si>
    <t>#SelicTerrorista
#PsicologiaCombateJurosAltos 
#BancoCentral
#Selic</t>
  </si>
  <si>
    <t>El BCRA cerró la semana con la mayor venta de reservas en tres meses - El Federal Noticias https://t.co/FmaOGwfRr4 #Argentina #Argenzuela #BancoCentral</t>
  </si>
  <si>
    <t>A economista do Credit Suisse (que acabou ser resgatado) diz que, se o governo nomear diretores alinhados, o bancos central deixará de ser independente de fato. Mas, pelo visto, se nomear gente alinhada com o mercado financeiro, não fica dependente dos banqueiros... https://t.co/fiKUwwBZHU</t>
  </si>
  <si>
    <t>Mas que mierda!!! Não assusta ouvir tamanha desfaçatez nessa entrevista!
#bancocentral #foraCamposNeto</t>
  </si>
  <si>
    <t>Senado e Câmara alteraram a #constituição em 1993 , liberando os juros #crime 
Estudar a Constituição faz bem , @LulaOficial  certíssimo , #banqueiros #criminosos #camposneto #bancocentral</t>
  </si>
  <si>
    <t>Banco pode executar dívida tomando bens dos credores sem passar por Justiça https://t.co/nP0xVCaPnH via @otempo ganham com juros Criminosos , Senadores e Deputados alteraram a Constituição em 93 liberando os juros ‘ CRIME. #bancocentral  corrupto</t>
  </si>
  <si>
    <t>Banco Central tem autonomia, mas não é intocável, diz Lula
Presidente voltou a criticar juros básicos da economia
#bancocentral #PolíticaMonetária #Lula #SPAGORA #copom
https://t.co/NXFDth3EMv</t>
  </si>
  <si>
    <t>Banco Central tem autonomia, mas não é intocável, diz Lula https://t.co/l6rUut1lZY #bancocentral #copom #Lula #PolíticaMonetária #SPAGORA https://t.co/nytQw6f6CC</t>
  </si>
  <si>
    <t>Copom mantém taxa Selic em 13,75% ao ano para controlar inflação https://t.co/eSz24ZrXPR #bancocentral #copom #inflação #IPCA #metadeinflação #SPAGORA #taxaSelic https://t.co/JjUxlO4bHL</t>
  </si>
  <si>
    <t>Fernando Haddad indica #GabrielGalipolo e Ailton Aquino dos Santos para diretoria do Banco Central. Saiba mais no Boletim Rádio gazeta Online.
https://t.co/hu8J33Xx4k
#RádioGazetaOnline #BancoCentral #Brasil</t>
  </si>
  <si>
    <t>💰| #Senado aprova indicados do #GovernoFederal para o #BancoCentral. Saiba quem são no Boletim Rádio Gazeta Online.
https://t.co/PRNzBhi93g 
#RádioGazetaOnline #Economia  #Lula #RobertoCamposNeto</t>
  </si>
  <si>
    <t>📲 | #BancoCentral divulga nome da nova moeda digital do país.
Saiba mais sobre o #Drex na primeira edição do Boletim Rádio Gazeta Online.
https://t.co/S4TEqatF8r
#RádioGazetaOnline #Economia #Tecnologia</t>
  </si>
  <si>
    <t>Y después en #Chile el #ministrodehacienda q antes era #serio en el #bancocentral al volver, pondrá cara de "Yo no tengo idea", "No me miran a mi", etc. #YaNoHayEspacioParaSeguir #CortenElLeseo #ConLaSubidaDeimpuestos #YMenosALasPersonas #OtroNegocioConGranEmpresariadoChileno</t>
  </si>
  <si>
    <t>#Conjuntura: com Lula, Brasil desanuvia, mas juros estratosféricos mantêm País instável
#JurosBaixosJÁ! - https://t.co/Wlh6yNPKEC
#Contee #BancoCentral #Economia #Trabalho #Renda #Consind2023 #TrabalhadoresdaEducação #Defender #Direitos #Educação #Democracia #sigaCONTEE https://t.co/ZKq1jKLCbi</t>
  </si>
  <si>
    <t>#Nota - Pelo fim da sabotagem da economia pelo presidente do Banco Central!
#JurosBaixosJÁ - https://t.co/u7vbM6dvZh
#Contee #BancoCentral #Copom #Economia #TrabalhadoresdaEducação #Defender #Direitos #Trabalho #Renda #Educação #Democracia #sigaCONTEE https://t.co/Qs1kIdyUMl</t>
  </si>
  <si>
    <t>#Copom - Manter #Selic acima de 13% é sabotagem
#JurosBaixosJÁ - https://t.co/wNkle0OFjW
#Contee #BancoCentral #Economia #TrabalhadoresdaEducação #Defender #Direitos #Trabalho #Renda #Educação #Democracia #sigaCONTEE https://t.co/TvFEznfs1h</t>
  </si>
  <si>
    <t>Durante el encuentro, el gobernador Valdez Albizu informó a la misión que la economía dominicana mantuvo un buen dinamismo en el año 2022.
#NTelemicro5 #EmisiónEstelarNT5 #BancoCentral #Economía #Latinoamérica #RD
https://t.co/YwJ42g9QFu</t>
  </si>
  <si>
    <t>Los nuevos billetes cuentan con un novedoso hilo combinable con el isotopo, además de las mismas características de seguridad de los billetes de RD$500.00
#Dinero     #RD    #BancoCentral   #NTelemicro5  #PrimeraEmisiónNT5
https://t.co/n3vz4FuAkF</t>
  </si>
  <si>
    <t>Aseguran reducción en tasa de política monetaria Banco Central dinamizará economía
#NTelemicro5  #EmisiónEstelarNT5  #PolíticaMonetaria #BancoCentral  #Economía  #Consumo  #inflación
https://t.co/QVK2vsUHgf a través de @YouTube</t>
  </si>
  <si>
    <t>Se han colocado 35 préstamos interinos para firmas constructoras de proyectos de viviendas de bajo costo por un monto de 2,256 millones de pesos, a una tasa de interés de hasta 9 % anual
#Préstamos  #Viviendas  #BancoCentral  #NTelemicro5  #EmisionEstelarNT5…</t>
  </si>
  <si>
    <t>La entidad emisora indicó que en enero-julio de 2023 el mayor crecimiento fue para el sector de hoteles, bares y restaurantes, con un 11,9 %.
#RD  #BancoCentral  #crecimiento  #restaurantes  #hoteles  #bares  #NTelemicro5  #EmisiónEstelarNT5
https://t.co/murrmgn8w1</t>
  </si>
  <si>
    <t>Esta decisión se tomó considerando los factores de incertidumbre provenientes del entorno internacional y la estabilidad de la inflación doméstica.
#BancoCentral  #políticamonetaria  #tasadeinterés  #NTelemicro5  #EmisiónEstelarNT5
https://t.co/iyvNOlvR4x</t>
  </si>
  <si>
    <t>El banco exhorta a la ciudadanía a que, ante cualquier duda con estos u otros billetes o monedas, consulte las informaciones disponibles en su página web.
#BancoCentral  #Billete  #Dosmil  #NuevoBillete  #Billetes  #NTelemicro5  #EmisionEstelarNT5 
https://t.co/fk2VDwoVJM</t>
  </si>
  <si>
    <t>El Banco Central (emisor) del país refirió, en un documento, que, de la ocupación total en enero-marzo, 118.718 empleos corresponden a empleos formales y 9.910 a informales.
#RepúblicaDominicana  #BancoCentral  #empleos   #NTelemicro5 #EmisiónEstelarNT5
https://t.co/Ub86FEVjpL</t>
  </si>
  <si>
    <t>El Banco Central de la República Dominicana (BCRD), en su reunión de política monetaria de agosto de 2023.
#BancoCentral  #Economía  #RepúblicaDominicana #Tasa  #PrimeraEmisiónNT5  #NTelemicro5  
https://t.co/wpAeopGTU8</t>
  </si>
  <si>
    <t>Este comité agrupa a bancos centrales de países como Australia, Canadá, China, Francia, Israel, Nueva Zelanda, Reino Unido, Estados Unidos.
#NTelemicro5  #EmisiónEstelarNT5  #BancoCentral   #ComitéIrvingFisher   #BancosdePagos   #ComitéIrvingFisher  #Financiamientos   #BIS…</t>
  </si>
  <si>
    <t>Estos recursos serán desembolsados gradualmente por el Banco Central a una tasa de interés anual del 3%.
#JuntaMonetaria  #liquidez  #RD  #BancoCentral   #NTelemicro5  #EmisiónEstelarNT5
https://t.co/m8bmuwmPpe</t>
  </si>
  <si>
    <t>El BCRD explica que el desempeño económico de los Estados Unidos fue uno de los principales factores que incidió sobre el comportamiento de las remesas.
#NTelemicro5 #EmisiónEstelarNT5 #remesas #BancoCentral #Economía
https://t.co/hpt3toYjQm</t>
  </si>
  <si>
    <t>El informe explica que la inflación subyacente interanual mantiene una tendencia descendente.
#NTelemicro5  #EmisiónEstelarNT5   #Precios  #CanastaBásica   #PreciosdelosAlimentos   #BancoCentral   #Economía 
 https://t.co/KV7Z5jQk9s</t>
  </si>
  <si>
    <t>Particularmente, el mes de junio registró un valor de remesas de US$846.4 millones, con un aumento de 5.3 %, comparando con junio de 2022.
#NTelemicro5  #NT5FindeSemana  #LoÚltimo  #RD  #BancoCentral  #remesas
 https://t.co/Zk0cIMVg8W</t>
  </si>
  <si>
    <t>El Banco explicó que la decisión de disminuir la tasa de interés de referencia se toma en consideración los avances en la reducción de la inflación doméstica.
#NTelemicro5 #EmisiónEstelarNT5 #BancoCentral #Inflación #monetaria #RD 
https://t.co/cvG9CcPQWB</t>
  </si>
  <si>
    <t>Banco Central dice producto de la canasta familiar experimentan alzas.
#NTelemicro5  #EmisiónEstelarNT5  #Precios #CanastaBásica  #PreciosdelosAlimentos  #BancoCentral #Economía  #inflación 
https://t.co/xuAVgyMJfU a través de @YouTube</t>
  </si>
  <si>
    <t>Estas decisiones contribuirán a disminuir los costos de financiamiento de las entidades financieras e incidirán en menores tasas de interés en el sistema financiero.
#NTelemicro5  #EmisiónEstelarNT5  #BancoCentral  #TasaDePolíticaMonetaria  #TasasDeInterés  #RD  #economía…</t>
  </si>
  <si>
    <t>Luiza Trajano dando aula para o Presidente do Banco Central Roberto Campos Neto
#bancocentral #luizatrajano https://t.co/Cve1CD1k0P</t>
  </si>
  <si>
    <t>BC corta taxa básica de juros em 0,5 ponto percentual; Selic cai de 13,75% para 13,25% 
Saiba mais: https://t.co/XGha59A8wk 
📷 Reprodução
#blumenau #copom #selic #bancocentral #taxadejuros https://t.co/MiqaYoMhkD</t>
  </si>
  <si>
    <t>PT querendo acabar com a autonomia do banco central? 
Aaa já sei o porquê:
https://t.co/PWB3mpxfbk
#bancocentral #STFVergonhaNacional #economia #noticias #informação #globolixo</t>
  </si>
  <si>
    <t>"É muito difícil combater uma narrativa, mas o #BancoCentral tem uma grande preocupação com o social", diz #RobertoCamposNeto em audiência no Senado. Ele se disse emocionado com elogios da senadora #DamaresAlves. https://t.co/p54Tgd0a9R</t>
  </si>
  <si>
    <t>Javier Milei Apoya las Criptomonedas y Cuestiona a los Bancos Centrales, Un Enfoque Contundente
https://t.co/Pu9He3KCoI
#milei #MileiPresidente #VivaLaLibertadCarajo #BancoCentral #comunista #CristinaKirchner #Fernandez #argentina #venezolanos</t>
  </si>
  <si>
    <t>Considerações iniciais  
Boletim de agosto, 2023  
A série completa será disponibilizada em breve no site do @ContrapoderBr
.
#EconomiaMundial #Estagnação #Inflação #CriseEstrutural #ReformaTributária #Neoliberalismo #GuerraRussiaUcrania #PolíticaMonetária #BancoCentral https://t.co/r3ePuBJPFd</t>
  </si>
  <si>
    <t>Brasil
Atividade econômica 
Boletim de agosto, 2023  
A série completa será disponibilizada em breve no site do @ContrapoderBr
.  
#EconomiaBrasileira #Estagnação #Inflação #CriseEstrutural #ReformaTributária #Neoliberalismo #GuerraRussiaUcrania #BancoCentral</t>
  </si>
  <si>
    <t>Emprego, desigualdades e crise social 
Boletim de agosto, 2023      
A série completa será disponibilizada em breve no site do @ContrapoderBr
.      
#MercadoDeTrabalho #Estagnação #Inflação #CriseEstrutural #ReformaTributária #Neoliberalismo #GuerraRussiaUcrania #BancoCentral</t>
  </si>
  <si>
    <t>Reforma Tributária 
Boletim de agosto, 2023          
A série completa será disponibilizada em breve no site do @ContrapoderBr
.          
#ReformaTributária #Estagnação #Inflação #CriseEstrutural #ReformaTributária #Neoliberalismo #GuerraRussiaUcrania #BancoCentral</t>
  </si>
  <si>
    <t>Política Monetária
Boletim de agosto, 2023        
A série completa será disponibilizada em breve no site do @ContrapoderBr
.        
#PoliticaMonetária #Estagnação #Inflação #CriseEstrutural #ReformaTributária #Neoliberalismo #GuerraRussiaUcrania #BancoCentral</t>
  </si>
  <si>
    <t>Inflação
Boletim de agosto, 2023    
A série completa será disponibilizada em breve no site do @ContrapoderBr
.    
#EconomiaBrasileira #Estagnação #Inflação #CriseEstrutural #ReformaTributária #Neoliberalismo #GuerraRussiaUcrania #BancoCentral</t>
  </si>
  <si>
    <t>O Jair já foi embora, agora só faltam os juros caírem!
Hoje tem reunião do #COPOM e nós vamos seguir na pressão pela baixa dos juros do Banco Central. 📉
#JurosBaixosJá 
#COPOM
#BancoCentral 
#CamposNeto https://t.co/XtSAJINGsy</t>
  </si>
  <si>
    <t>Graças ao #bancocentral</t>
  </si>
  <si>
    <t>A #DREX será uma #moedadigital oficial, emitida pelo #BancoCentral, e terá como objetivo melhorar a eficiência das transações financeiras. Fazendo parte de um projeto de #inovação financeira e visa modernizar o sistema de pagamentos do país. Você #investiria nesse novo ativo? https://t.co/6QKH9nMCVo</t>
  </si>
  <si>
    <t>Em março do ano seguinte, o Copom deu início ao ciclo de aperto monetário e elevou os juros por 12 vezes seguidas, até atingirem 13,75% em agosto de 2022. Desde então, a Selic foi mantida por sete vezes.
#dolar #selic #copom #bancocentral #queda</t>
  </si>
  <si>
    <t>El #bancocentral de #Turquía sube #tiposinteres hasta  máximos de casi dos décadas, de 17,5% a 25% tras dos reuniones en las que la entidad «pecó» de «dovish», apunta @Renta4 en su #AperturaMercados https://t.co/aPqXJNNQlX #PoliticaMonetaria #FelizViernes https://t.co/alR5Fd6b5p</t>
  </si>
  <si>
    <t>Los expertos de @MorganStanley sitúan la primera bajada de #tiposinteres de la #FederalReserve en marzo de 2024. Sin embargo, y a diferencia de 2019, el #bancocentral estadounidense mantendrá el QT pese al recorte  https://t.co/ONkd35CJLk #PoliticaMonetaria #EEUU https://t.co/hqsRdo0wYN</t>
  </si>
  <si>
    <t>El #bancocentral de#Turquía @Merkez_Bankasi podría volver a implementar un fuerte subida de tipos  (+500 p.b.), que  seguirían a los 750 p.b. de la última reunión, volviendo hacia la ortodoxia en un intento de controlar unos  precios que siguen muy altos https://t.co/fbLnx4t1DF https://t.co/NEiu6vuZqM</t>
  </si>
  <si>
    <t>El #bancocentral de #Australia @RBAInfo consideró pausar la subida de #tiposinteres, pero el +7% de inflación en marzo llevó a elevarlos 25 pb. Sus proyecciones no contemplan que la inflación se modere hasta su objetivo de +2%/+3% hasta mediados de 2025 https://t.co/vlPEPZM2PN https://t.co/MLBZac5llj</t>
  </si>
  <si>
    <t>El #bancocentral de #Australia @RBAInfo consideró pausar la subida de #tiposinteres, pero el +7% de inflación en marzo llevó a elevarlos 25 pb. Sus proyecciones no contemplan que la inflación se modere hasta su objetivo de +2%/+3% hasta mediados de 2025 https://t.co/vlPEPZLv0f https://t.co/zLEKoULK2T</t>
  </si>
  <si>
    <t>El #bancocentral de #Australia @RBAInfo mantiene tipos en el 4,1% por tercer mes consecutivo. Además, el comité dijo que la inflación había  superado su punto máximo, pero que sigue siendo demasiado alta y seguirá así durante algún tiempo https://t.co/t0f9TFDAlY https://t.co/OVTqfrLj4X</t>
  </si>
  <si>
    <t>El #bancocentral de #NuevaZelanda sube tipos +25 p.b. como era esperado hasta 5,5%,  la tasa más alta desde diciembre de 2008. Este movimiento supone que los #tiposinteres han subido en 525 puntos básicos desde octubre de 2021 https://t.co/ddRnZ8nZHX #PoliticaMonetaria https://t.co/5644LaunCf</t>
  </si>
  <si>
    <t>El #bancocentral de #NuevaZelanda sube tipos +25 p.b. como era esperado hasta 5,5%,  la tasa más alta desde diciembre de 2008. Este movimiento supone que los #tiposinteres han subido en 525 puntos básicos desde octubre de 2021 Ehttps://t.ly/bE3Q #PoliticaMonetaria https://t.co/YKMqAzRP9L</t>
  </si>
  <si>
    <t>#China mantiene los tipos de #prestamos preferentes a 1 año en 3,65% y los de #hipotecas a 5 años en 4,3%. La medida se produjo después de que el #bancocentral mantuviera su tasa de #politicamonetaria a medio plazo en 2,75% la semana pasada https://t.co/qlTuCcygbE #PBOC https://t.co/BYXlt36bxs</t>
  </si>
  <si>
    <t>Tras varios meses de una #PolíticaMonetaria extremadamente laxa, el #BancoCentral de #Japón da un giro a su control de la curva al anunciar  que comenzaría a comprar deuda si la tasa a 10 años alcanza el 1% https://t.co/bvhK9mz1WH #Mercados #Asia https://t.co/pvbQ72hWK4</t>
  </si>
  <si>
    <t>Con el aumento llevado a cabo, la #Fed ha logrado llevar el #tipointeres real a positivo, concretamente al 0,7%. Así, si la inflación sigue cayendo, el #bancocentral podría estar ajustando pasivamente los tipos reales sin aumentar más los fed funds https://t.co/nJoUHBDMkC https://t.co/2IVDoRWEp1</t>
  </si>
  <si>
    <t>La #inflacion de #Japón en junio repunta hasta el +3,3% vs +3,2% previo, mientras que el subyacente se sitúa en +4,2% vs +4,3% anterior. Esta última podría caer por debajo del objetivo del 2% en el 4T23, apoyando la política ultra laxa del #bancocentral https://t.co/CPUlR7GJch https://t.co/Yh4CukOhCj</t>
  </si>
  <si>
    <t>Es factible que el #BCE haga una pausa en su proceso de alzas de #tiposinteres en su reunión de septiembre. Si bien la inflación continúa elevada, y lo seguirá siendo aún por bastante tiempo, el #bancocentral entiende que está yendo en la buena dirección https://t.co/il3xEwKUYc https://t.co/a7894cKQ3c</t>
  </si>
  <si>
    <t>El #BancoCentral de #Corea mantiene los tipos en 3,50%, aunque se apunta a una subida de tipos adicional, si fuera necesario. Sin novedades también en las perspectivas de crecimiento del país asiático para este año (+1,4%) https://t.co/wZPy8r5TYC https://t.co/g1IctweiZw</t>
  </si>
  <si>
    <t>En la reunión de hoy el #BCE opta, sin sorpresas, por una subida de 25 p.b. para los  tres indicadores de #tiposinteres del #euro. Se trata de la novena subida consecutiva. En conjunto, es la más intensa y rápida desde que existe el #bancocentral europeo https://t.co/xTB5u7EfVE https://t.co/kiTq85zMx6</t>
  </si>
  <si>
    <t>#China mantiene los tipos de #prestamos preferentes a 1 año en 3,65% y los de #hipotecas a 5 años en 4,3%. La medida se produjo después de que el #bancocentral mantuviera su tasa de #politicamonetaria a medio plazo en 2,75% la semana pasada ttps://bit.ly/45lyDq0 #PBOC https://t.co/jjgEjp7fZ7</t>
  </si>
  <si>
    <t>Se espera que el #BCE suba sus #tiposinteres en +25 pb hasta 3,5%, tras múltiples declaraciones de miembros del #bancocentral alertando de la necesidad de continuar subiendo los tipos para controlar el nivel de precios https://t.co/svVoE3qbDw #PoliticaMonetaria https://t.co/N4MIloPfjr</t>
  </si>
  <si>
    <t>El #bancocentral de #Canadá sube #tiposinteres +25 p.b. hasta el 4,75%, en un movimiento inesperado, mientras el bancp central de #India los mantiene en +6,50% https://t.co/Xelt1JgZH3 #PoliticaMonetaria https://t.co/CM3STPYQBR</t>
  </si>
  <si>
    <t>Kazaks del #bancocentral de #Letonia descartó ayer recortes de #tiposinteres en el primer  semestre de 2024. El consenso sitúa el primero a finales del 2T24 (junio), si bien el inicio de las bajadas de  tipos será totalmente data-dependiente https://t.co/YPlBz4ukHI https://t.co/8mavCZMrow</t>
  </si>
  <si>
    <t>El #bancocentral de #China ha mantenido sin cambios los tipos de interés de referencia, tal como se esperaba. A 1 año 3,45% y a 5 años 4,20% https://t.co/0blkdRDL3Y #PBOC #politicamonetaria https://t.co/yzhDHcYrj1</t>
  </si>
  <si>
    <t>El #bancocentral de #China mantiene invariados los tipos de interés de referencia, tal como se esperaba. A 1 año 3,45% y a 5 años 4,20% https://t.co/0blkdRDL3Y #PBOC #politicamonetaria https://t.co/VBp8WwmC9g</t>
  </si>
  <si>
    <t>El PIB de #Canadá cae un inesperado -0,2% en el 2T23 y refuerza la estimación de que su #bancocentral mantenga #tiposinteres en el 5% en la reunión del miércoles 6 de septiembre https://t.co/o38IxJ0Fw0 https://t.co/hZnSBOAoDi</t>
  </si>
  <si>
    <t>La #Fed podría guardarse “una última bala” para finales del verano si la #inflación no sigue moderándose a un ritmo aceptable. Si el #bancocentral deja mañana “abierta la puerta” a una nueva alza de tipos, el mercado no se lo tomará demasiado bien https://t.co/CPhqGelkB6 https://t.co/s01zn6qio9</t>
  </si>
  <si>
    <t>La #inflacion de #Japón en junio repunta hasta el +3,3% vs +3,2% previo, mientras que el subyacente se sitúa en +4,2% vs +4,3% anterior. Esta última podría caer por debajo del objetivo del 2% en el 4T23, apoyando la política ultra laxa del #bancocentral https://t.co/CPUlR7GJch https://t.co/DYgytnOTIL</t>
  </si>
  <si>
    <t>Banco Central avança com o Real Digital e participantes vão instalar nós a partir da próxima semana .
Leia a matéria completa em nosso site.
https://t.co/8cria9kq3a
#brasilnft #blockchain #nft #metaverso #web3.0 #realdigital #bancocentral https://t.co/eHEO5B2mBK</t>
  </si>
  <si>
    <t>Real Digital: Fórum inicia atividades abertas ao público.
Leia a matéria completa em nosso site.
https://t.co/8cria9kq3a
#brasilnft #blockchain #nft #metaverso #web3.0 #realdigital #bancocentral https://t.co/G66dM6AtM1</t>
  </si>
  <si>
    <t>"Concurso Bacen: novo pedido de autorização para 545 vagas de níveis médio e superior" https://t.co/YhkqQYdjuL via @jcconcursos #concurso #concursopublico #governofederal #bancocentral</t>
  </si>
  <si>
    <t>Concurso Bacen: presidente confirma necessidade de novas contratações https://t.co/b2HdO6ATg7 #concurso #concursopublico #bacen #bancocentral</t>
  </si>
  <si>
    <t>"Concurso Bacen: em carta aberta, entidades cobram contratação de pessoal" https://t.co/5HQ4HAxhNt via @jcconcursos #concurso #concursopublico #bacen #bancocentral</t>
  </si>
  <si>
    <t>CONCURSO BANCO CENTRAL 
Concurso Bacen: Urgente! Nova seleção é autorizada para 100 vagas de nível superior https://t.co/6Jn5PQm9QY #bacen #bancocentral #concurso</t>
  </si>
  <si>
    <t>#bcra #argentina #boveda #massa #BancoCentral #PatriciaBullrich https://t.co/R0S24N3kC6</t>
  </si>
  <si>
    <t>#dolar #BancoCentral #cordoba #buenosaires #caba #cristina #argentina #UnionPorLaPatria 
MILITATE ESTA KUMPA
“ Antes de devaluar, me voy ” Sergio Massa  $365,50
https://t.co/TAfRdvh6Ia https://t.co/fJ2rxtCbd7</t>
  </si>
  <si>
    <t>#devaluacion #argentina #cristina #cordoba #bcra #massa #BancoCentral #bullrich #dolarblue
El Kirchnerismo Devaluó el Hashtag y la estigmatización que no querían 🥳 #ElKirchnerismoDevaluó https://t.co/MAklU6qeuu</t>
  </si>
  <si>
    <t>#BancoCentral# A direção Zé Ruela do BC, cuja esperteza não pode ser desconsiderada,merece sim extrema vigilância do governo, considerando a divulgação do plano diabólico de transferência de reservas cambiais para o patético Black Rock,que certamente virá acompanhada por propinas</t>
  </si>
  <si>
    <t>#BancoCentral# O Brasil deve ficar atento para as negociações em torno da redução de juros do BC, porque pode haver troca de favores bilateralmente,vantagens politiqueiras versus liberação de reservas $$ para um incerto fundo profundo internacional: capiti,finirà male!👇🏿</t>
  </si>
  <si>
    <t>#BancoCentral# O único canal razoável de comunicação entre a atual diretoria do BC e o governo federal,sob a ótica da honestidade,da transparência e da moralidade,é o olho da rua para o primeiro!.</t>
  </si>
  <si>
    <t>#BancoCentral#Essa conversa mole de autonomia do BC brasileiro,com acúmulo de idiotices muito estranhas nas operações econômicas,tem bem a cara duma republiqueta de fim de mundo e mais além.</t>
  </si>
  <si>
    <t>#Bancocentral# Com o anúncio do mandatário absoluto e absurdo do BC,de investir as reservas cambiais em fundos internacionais, lá se vai novamente uma nova edição do esquema Ponzi das pirâmides,arrastando os impostos para o ralo.</t>
  </si>
  <si>
    <t>#BancoCentral # No país dos juros de bandidagem,os bancos brasileiros oportunistas que destroem a economia popular,estão produzindo podcasts e textos imbecis,para despertar o gosto pelo dinheiro porque não é sujo, como falam as más línguas. Só no BR mesmo, esse fim de mundo.</t>
  </si>
  <si>
    <t>#BancoCentral # A vigilância ostensiva no Banco Central não deve ser descuidada para aliviar os danos à economia popular causados pelos juros de extorsão e principalmente por interesses predatórios na reserva cambial.</t>
  </si>
  <si>
    <t>#BancoCentral# Os bilhões de reais das reservas cambiais q pretendem desviar para os fundos internacionais tenebrosos especialistas em esquema Ponzi transformarão o Br em piloto ou sucata pilhada? Acorda Brasil!.</t>
  </si>
  <si>
    <t>#BANCOCENTRAL 
Te puede gustar o no Moreno, en lo personal no me gusta, lo considero un peronista mercenario.
Pero no como vidrio, está es la mejor explicación, sin tanta sarasa, sarasa. sin ser tan técnico, para q todo el mundo lo entienda, sobre lo importante del Banco Central https://t.co/4Chr77Bto7</t>
  </si>
  <si>
    <t>O Banco Central volta a liberar consulta ao dinheiro "esquecido" pelos brasileiros nos bancos. Você já verificou se tem algum valor a receber? Corre, não perca tempo!  
#Dinheiro #BancoCentral #Brasileiros #Dicas #RalBank #MaisQueUmBanco #UmaComunidade https://t.co/B2TB2JX6Zt</t>
  </si>
  <si>
    <t>¡Maximizá tus ganancias! 📈💰Descubrí cuánto podés obtener con la tasa del 97% anual en un plazo fijo.
Ingresa, leé e informate más👇
#Economía #PlazoFijo #Bancos #BancoCentral #Ahorro #Pesos #Inversión #Mes #NEAHOY
https://t.co/9rJssxrGBt</t>
  </si>
  <si>
    <t>💰📈¡Aprovecha tu aguinaldo en junio y hazlo crecer! El Plazo Fijo es una opción rentable para ahorrar y planificar tus merecidas vacaciones al final del año.
Enterate todo lo que necesitas saber 👇
#Economía #PlazoFijo #Bancos #BancoCentral #NEAHOY
https://t.co/Vs0S6GQPdX</t>
  </si>
  <si>
    <t>🏦¡Aprovecha las nuevas tasas! El BCRA aumenta la tasa de interés al 118%, generando un retorno mensual de 9.8%, por encima de la inflación.
Ingresá, leé e informate los detalles👇
#economía #plazofijo #bancos #bancocentral #ahorro  #NEAHOY
https://t.co/Iej8IxaHW2</t>
  </si>
  <si>
    <t>💰💹 ¡Descubrí tu ganancia potencial con el nuevo simulador de depósitos a plazo fijo!
Ingresa, leé e informate todos los detalles👇
#economía #plazofijo #bancos #bancocentral #ahorro #pesos #inversión #mes #NEAHOY
https://t.co/Lp2A2kUMh4</t>
  </si>
  <si>
    <t>💰📈 ¡Alerta inversionistas! El @BancoCentral_AR eleva tasas de interés de plazo fijo a 118% para competir con el dólar, tras las PASO 2023 y medidas adoptadas.
Informate más👇
#economía #plazofijo #bancos #bancocentral #ahorro #pesos #NEAHOY
https://t.co/pYn4nm1Jmx</t>
  </si>
  <si>
    <t>📊💰¡Maximiza tus ganancias con las nuevas tasas! El BCRA incrementó la tasa de interés al 118%.
Informate todos los detalles👇
#economía #plazofijo #bancos #bancocentral #ahorro #pesos #inversión #NEAHOY
https://t.co/Y18Iidnn5i</t>
  </si>
  <si>
    <t>🏦El @BancoCentral_AR elevó la tasa de interés al 118%, generando un retorno mensual de 9.8%, ¿te preguntaste cuánto ganarías con un plazo fijo de $50,000?
Informate más👇
#ahorro #bancocentral #bancos #economía #inversión #NEAHOY
https://t.co/ZiwiA7T4rM</t>
  </si>
  <si>
    <t>¡Aprovechá la oportunidad! 💰 Los depósitos a plazo fijo son tu camino para vencer la inflación. Con tasas de interés al 97%, podrías ganar $94,000 al mes.
Ingresá y enterate más👇
#economía #plazofijo #bancos #bancocentral #ahorro  #NEAHOY
https://t.co/KA4krBCko2</t>
  </si>
  <si>
    <t>💰🚀¡Aprovecha el aumento de tasas del BCRA al 97%! Invierte en plazos fijos y maximiza tus ganancias financieras.
Ingresá, leé e informate todos los detalles👇
#economía #plazofijo #bancos #BancoCentral #ahorro #pesos #inversión #mes #NEAHOY
https://t.co/SiQQ0KFWaO</t>
  </si>
  <si>
    <t>💰📊¡Tu dinero puede trabajar por ti! Descubre cómo maximizar tus ahorros con plazos fijos.
Conocé la tasa de interés anual que te ayudará a hacer crecer tu inversión de manera segura👇
#economía #plazofijo #bancos #bancocentral #NEAHOY
https://t.co/ftWOVtEdgJ</t>
  </si>
  <si>
    <t>🏦📈¡Aprovecha el aumento de tasas en los plazos fijos y gana $50,000 por mes! Con el Banco Central de la República Argentina elevando las tasas al 97%.
Informate los detalles en esta nota👇
#economía #plazofijo #bancos #BancoCentral #ahorro #pesos #inversión #mes #NEAHOY…</t>
  </si>
  <si>
    <t>👀💰¿Quieres ganar $10,000 al mes? Descubrí cuánto debes invertir en plazo fijo con la nueva tasa del 118%.
Ingresá, leé e informate los detalles👇
#economía #plazofijo #bancos #bancocentral #ahorro #pesos #inversión #NEAHOY
https://t.co/NbARuBzUNh</t>
  </si>
  <si>
    <t>💹📈Ante un escenario político cambiante, el BCRA ajusta el rumbo: ¡Tipo de cambio oficial a $350 y un salto del 22% en medio de la incertidumbre post-PASO!
Ingresá  y leé la nota👇
#BancoCentral #dólaroficial #cambio #elecciones #PASO #NEAHOY
https://t.co/oWcj2csvMO</t>
  </si>
  <si>
    <t>📊💰¡Atención ahorristas! El Banco Central evalúa qué rumbo tomar con las tasas de interés de los plazos fijos.
Enterate los detalles👇
#economía #plazofijo #bancos #BancoCentral #ahorro #pesos #inversión #mes #NEAHOY
https://t.co/O48BZkHMdY</t>
  </si>
  <si>
    <t>💰📈Invertir y ahorrar en plazos fijos sigue siendo una opción sólida: Descubrí cómo el Banco Central regula las tasas de interés para maximizar tus ganancias.
Leé más👇
#economía #plazofijo #bancos #bancocentral #ahorro #pesos #inversión #NEAHOY
https://t.co/Nf1hCv5hYB</t>
  </si>
  <si>
    <t>💰✨ ¡Potencia tus inversiones financieras! Conoce las nuevas regulaciones financieras y cómo impactan en tus transacciones.
Para más información ingresa a la nota👇
#economía #plazofijo #bancos #BancoCentral #ahorro #pesos #inversión #mes #NEAHOY
https://t.co/uq1o57lZ9Y</t>
  </si>
  <si>
    <t>Diretores do BC fazem as primeiras reuniões do trimestre com economistas para elaboração do Relatório Trimestral de Inflação (RTI). Entre os indicadores, a FGV informa o IGP-10 de agosto às 8h.
#mercadofinanceiro #bolsadevalores #bancocentral</t>
  </si>
  <si>
    <t>"El aumento de la inflación está generando preocupaciones en varias economías, lo que lleva a los bancos centrales a tomar medidas cautelares. #Inflación #BancoCentral"</t>
  </si>
  <si>
    <t>#BancoCentral #JurosBaixosJa</t>
  </si>
  <si>
    <t>📉🏦💸 Un repunte de 22,3% en lo que va de mayo respecto a abril registra el índice de Incertidumbre Económica y Política de Chile.
#Chile #Economia #Gobierno #BancoCentral
👇Lee la nota aquí👇
https://t.co/6zb9aRIlMX https://t.co/aEaGIriUK8</t>
  </si>
  <si>
    <t>El Banco Central ACCIONA en base al acuerdo alcanzado con el FMI garantizando que las tasas de política monetaria se mantengan suficientemente positivas en términos reales.
#saltaaldianoticias #bancocentral 
Leer más: https://t.co/6D8skVaD37 https://t.co/KCCr7V7Ywz</t>
  </si>
  <si>
    <t>🇺🇸💲💸 Trump advierte que el dólar estadounidense pierde dominio como #monedaDeReserva en medio de la ascensión de los #BRICS.
El dólar registró otra caída luego de la intervención del #BancoCentral, que tenía como objetivo contrarrestar el alza sostenida ante una serie de… https://t.co/ezUoVpQMHX</t>
  </si>
  <si>
    <t>Campos Neto
#RCM: "Os juros estão altos por causa da alta dívida do governo"
Perguntinha boba:
"Quem são os maiores credores da monumental dívida do governo??
Hahaha
Quem é mesmo q ganha com estes juros altos do Pres do #BancoCentral, ex-CEO do #Santander e dono de OffShore!!</t>
  </si>
  <si>
    <t>Hasta que llegó el primer recorte de tasas del #BancoCentral, luego de más de un año y medio de política monetaria restrictiva para contener la inflación, y se empieza a abaratar el costo del dinero.  Beneficiará a tasas de interés en el crédito bancario y a emisiones en bolsa.</t>
  </si>
  <si>
    <t>O Banco Central anunciou um novo padrão para Cheques, visando mais segurança e modernização para a forma de pagamento.
Leia a Notícia completa na Diamond Brasil:
https://t.co/aKSNJYpfki
#diamondbrasil #noticia #bancocentral #novopadrãodecheque #cheque https://t.co/cyKrNBKQw9</t>
  </si>
  <si>
    <t>NOTICIAS COMERCIO EXTERIOR
Ecuador registra una caída de 7,7% en el primer trimestre de 2023, que se debe, sobre todo, a la baja de las exportaciones petroleras, según el Banco Central.
FUENTE: https://t.co/g4C5N7xm3R
#Noticias #bancocentral #petroleras #exportaciones #Bid https://t.co/i1N3627FKP</t>
  </si>
  <si>
    <t>#Opinión Ciclos de políticas monetarias https://t.co/zbDAJMWjrP #BancoCentral #economia #Políticasmonetarias</t>
  </si>
  <si>
    <t>El Banco Central tendrá que acelerar el paso https://t.co/sXZU14Gduz #BancoCentral #COVID19</t>
  </si>
  <si>
    <t>Hoy cuando la #Bancarización 💳 es un hecho en nuestro sistema Empresarial, @EmpresaALGREC se suma a la cooperación con quién  hoy no tiene configurado en su móvil las plataformas #EnZona y #Transfermóvil. 
#PorCamagüeyTodo 
#bancocentral 
#bancarizacion https://t.co/qxklOPcJvg</t>
  </si>
  <si>
    <t>Base do Governo pede investigação do Campos Neto no Senado. 
Será finalmente o fim do Campos Neto? 
#CamposNeto #Lula #Esquerda #Noticias #BancoCentral https://t.co/LN30DKAEod</t>
  </si>
  <si>
    <t>Tras ganar Milei, el Banco Central fijó el tipo de cambio oficial a $350 hasta octubre - https://t.co/aPSpN18qyh #bancocentral #Milei #dolarcentral</t>
  </si>
  <si>
    <t>Setor público tem superávit primário de R$ 20,3 bi em abril - ABC Agora 
#abcagora #EstatísticasFiscais #BancoCentral #SuperávitPrimário #DívidaPública #SwapCambial
https://t.co/9RjRAZUkNy</t>
  </si>
  <si>
    <t>COISAS QUE O POVÃO NÃO PODE SABER #economia #jurosabusivos #bancocentral https://t.co/KimIAFBCeC via @YouTube</t>
  </si>
  <si>
    <t>🚨 Noticias del mercado 🚨
 🇪🇺 El #BancoCentral Europeo (#BCE) sorprendió a los mercados al aumentar los tipos de interés en 25 puntos básicos. Es la décima subida consecutiva de los tipos desde el año pasado, cuando el BCE tomó medidas para combatir la inflación desorbitada.</t>
  </si>
  <si>
    <t>🇫🇷 El Gobernador del #BancoCentral francés, Villeroy de Gallo, ha subrayado que los esfuerzos del #BCE por suprimir la inflación han sido prácticos, pero que es necesario mantener el tipo de interés en el nivel del 4% durante un periodo prolongado.</t>
  </si>
  <si>
    <t>Muchos países de la región buscan el desarrollo de una economía digital, y una de las últimas propuestas es la creación de una moneda digital del #BancoCentral (#CBDC) 🏦 para mejorar la eficiencia y seguridad de los pagos minoristas, y evitar la macroadopción de #stablecoins. ✨ https://t.co/Ft9ML7IuYS</t>
  </si>
  <si>
    <t>🇩🇪 El Gobernador del #BancoCentral Alemán, #JoachimNagel, enfatizó el papel crucial de continuar con la política del #BCE de subir las tasas de interés ya que la inflación en la región sigue siendo alta.</t>
  </si>
  <si>
    <t>FGMEDIA en la TV tradicional, CNN PRIME y la nota sobre Margot Duhalde | 18.05.2023
#margotduhalde #bancocentral #mujeres #chile #mujerpiloto
https://t.co/lz8SbXa2Jc</t>
  </si>
  <si>
    <t>#ConfissõesDeUmBibliotecárioEmFormação😀
Cara acabei de assistir o vídeo que o #BancoCentral compartilhou.
Cara dei like, tava apaixonado pelo vídeo achando que ganharia uma aula sobre numismática.
FIQUEI DE CARÃO QUE NEM O ALEX.
🤣🤣🤣🤣🤣🤣🤣🤣🤣🤣
Mais o #Youtube do + https://t.co/LvdQzkUUrH</t>
  </si>
  <si>
    <t>#ConfissõesDeUmBibliotecárioEmFormação😀
Gente o #Youtube do #BancoCentral é uma ótima fonte de informação com ótimos vídeos uns dão aula sobre a numismática.
E eu já vi uma aula deles.
Não deu aula, eu não resisti.🤷‍♂️🤦🏾‍♂️😅
Eu:Ham
Eu fiz a cara do Alex🤣</t>
  </si>
  <si>
    <t>#BancoCentral é uma ótima fonte de informações para mim na minha profissão e pretendo usa-lo dentro da minha profissão de #BibliotecárioConsultor que estou em formação.
Mais já atuo para me especializar e sair com uma boa formação profissional da universidade.
QUE AMO ❤️#UNIRIO❤️</t>
  </si>
  <si>
    <t>El dólar varía ligeramente para la venta y se cambia a 54.61 pesos
#Radar24rd #Radar24h #RD #Noticias #News #peso #pesodominicano #dólar #BCRD #BancoCentral 
https://t.co/X4WetdpwHv</t>
  </si>
  <si>
    <t>El dólar estadounidense se vende a RD$54.86 este lunes 
#Radar24rd #Radar24h #RD #Noticias #News #peso #pesodominicano #dólar #BCRD #BancoCentral 
https://t.co/xLxZRSUZVg</t>
  </si>
  <si>
    <t>El dólar se mantiene invariable para la venta en el mercado de divisas
#Radar24rd #Radar24h #RD #Noticias #News #peso #pesodominicano #dólar #BCRD #BancoCentral 
https://t.co/q461PEiVJ1</t>
  </si>
  <si>
    <t>La inflación en República Dominicana bajó al 4.43 % en mayo, según Banco Central
#Radar24RD #Radar24h #RD #Noticias #News #RepúblicaDominicana #BancoCentral #BCRD #inflación 
https://t.co/PJzaa8kLBW</t>
  </si>
  <si>
    <t>¿Para qué quieres un Euro Digital? #MarioConde https://t.co/dPFw0IT1mY 
#CBDCs #eurodigital #dolardigital #Criptomonedas #Cripto #oro #inflacion #dolar #euro #worldcoin #dinero #Agenda2030 #FED #FederalReserve #BancoCentral #Lagarde #bitcoin https://t.co/d7DlRAcgdy</t>
  </si>
  <si>
    <t>En la presentación del informe de política monetaria IPOM del #bancocentral septiembre 2023 en la #faceauach, #uach #valdiviacl, buenas noticias se vienen vientos de recuperación económica</t>
  </si>
  <si>
    <t>Vamos a sacarle la careta entre todos.
Desenmascarando al Flautista. Parte 1.
#milei #economia #flautista #bancocentral #argentina #mentira https://t.co/uho04wtWpo</t>
  </si>
  <si>
    <t>https://t.co/sPJP5SLrpw #BancoCentral</t>
  </si>
  <si>
    <t>Las #reservas del #BancoCentral cayeron US$237 millones, un nuevo mínimo tras 17 años
https://t.co/SwT8LdNeA9 https://t.co/uz3pJRTERC</t>
  </si>
  <si>
    <t>Este artículo analiza el impacto de los servicios financieros desarrollados por la tecnología, llamados Fintech, en las economías en desarrollo y el rol de los bancos centrales como agente reguladores. 
Encuentra este artículo completo en:  https://t.co/HeWRy2lXjq… https://t.co/jw6M6D3q3T</t>
  </si>
  <si>
    <t>¿Crees que estas innovaciones financieras podrían traer riesgos para la estabilidad financiera? ¿Quién debe regular a estas instituciones? 
#estudiospublicos #fintech #innovacion #bancocentral #inclusionfinanciera</t>
  </si>
  <si>
    <t>A inflação do Brasil teve forte desaceleração em maio e contribui para aumentar as pressões sobre Banco Central pela redução dos juros. #inflação #juros #bancocentral #Brasil https://t.co/2r1ldFzuge</t>
  </si>
  <si>
    <t>DEDOS CRUZADOS: a taxa está em 13,75% ao ano desde agosto de 2022 e é a maior desde janeiro de 2017. Agora BC vê possibilidade de iniciar redução. #juros #bancocentral #economia https://t.co/nKE1Lnepwp</t>
  </si>
  <si>
    <t>#CámarasEmpresariales temen ante una reducción tan pronunciada del tipo de cambio que arriesga la base productiva y la competitividad.📉💵🇨🇷 Más detalles aquí👇 #ÚH #Dólar #BancoCentral #CostaRica https://t.co/7iTJn39KRV</t>
  </si>
  <si>
    <t>#LoMásLeído || #CostaRica El presidente Rodrigo Chaves solicitó disminuir la tasa de política monetaria para beneficiar a las personas y empresas con sus créditos. La inflación se encuentra en su punto más bajo. #BancoCentral #Créditos #Inflación https://t.co/090YY9Dmwl</t>
  </si>
  <si>
    <t>#Alerta 🚨 El allanamiento de #Conassif fue con el objetivo de incautar documentos relacionados con la comisión de aparentes faltas al ordenamiento jurídico.🔍📝 Más detalles aquí👇 #ÚH #BancoCentral #CostaRica https://t.co/Uou43KllhI</t>
  </si>
  <si>
    <t>El sector turístico nacional apoya el llamado del presidente Rodrigo Chaves al Banco Central para reducir la Tasa Política Monetaria. Exigen una rebaja inmediata. 💼🌴 #Turismo #BancoCentral #PolíticaMonetaria #Economía  https://t.co/rUwUT13Duo</t>
  </si>
  <si>
    <t>La iniciativa busca aumentar la #seguridad de los ciudadanos en los buses al invitar a las personas a portar la menor cantidad posible de efectivo.💵🇨🇷 Más info aquí👇 #ÚH #CostaRica #BancoCentral https://t.co/1ls05djo4M</t>
  </si>
  <si>
    <t>Informação foi divulgada no Diário Oficial da União, na última quarta-feira (14).
Leia mais em https://t.co/38xM2R1JnD
#BancoCentral #Economia https://t.co/EV4yZMRQM5</t>
  </si>
  <si>
    <t>Ao todo foram 122,4 milhões de transações realizadas e o valor movimentado chegou à casa de R$62,8 bilhões.
Leia mais em https://t.co/693S0zk7nm
#BancoCentral #Brasil #Pix https://t.co/1Wt8AwYRpf</t>
  </si>
  <si>
    <t>Setores de Agropecuária, Metal e Energia registraram quedas em junho.
Leia mais em https://t.co/4HtShsVOZj
#Indicadoreseconômicos #BancoCentral https://t.co/tS7SVzypNx</t>
  </si>
  <si>
    <t>Apesar das defesas enfáticas por parte do governo e de setores do mercado, Copom decide que ainda há risco de inflação.
Leia mais em https://t.co/QMCV9tm5zf
#BancoCentral #Economia #Lula #Selic #Taxadejuros https://t.co/oCRW1V4Il7</t>
  </si>
  <si>
    <t>Manutenção da inflação é acompanhada por aumento da projeção do PIB, queda do câmbio e da Selic.
Leia mais em https://t.co/fq08G7YdYj
#Indicadoreseconômicos #BancoCentral #BoletimFocus #Economia https://t.co/Il693uLDSo</t>
  </si>
  <si>
    <t>Ainda em fase de testes, o real digital deve estar disponível para a população no fim de 2024.
Leia mais em https://t.co/Og1JW0hPYd
#BancoCentral #Economia #Realdigital https://t.co/JmdwuiDWsH</t>
  </si>
  <si>
    <t>Corte de 0,5% põe fim a um ano de Selic no mesmo patamar. Queda da inflação nos últimos meses e redução das expectativas de alta dos preços no longo prazo influenciaram decisão.
Leia mais em https://t.co/d2HtzG5Rx1
#BancoCentral #Economia #Inflação #Selic #Taxadejuros</t>
  </si>
  <si>
    <t>Tudo Prático e Claro, com Roberto Dardis.
Leia mais em https://t.co/i8OTpD98Td
#Economiaclaraeprática #BancoCentral #Economia #Taxadejuros https://t.co/SrtmQOPIZb</t>
  </si>
  <si>
    <t>Para o mês de julho de 2023 a estimativa de déficit é de R$ 35 bilhões.
Leia mais em https://t.co/INB3U3fjeD
#BancoCentral #Indicadores  #Indicadoreseconômicos https://t.co/kSLGAJzi1y</t>
  </si>
  <si>
    <t>O Comitê de Política Monetária (COPOM) do Banco Central decidiu reduzir a taxa Selic de 13,75% para 13,25% ao ano.
Leia mais em https://t.co/jFwVlIzyRp
#BancoCentral #Economia #Selic #Taxadejuros</t>
  </si>
  <si>
    <t>Quadro de associados também aumentou para 15,6 milhões, sendo 13,2 milhões de pessoas físicas e 2,4 milhões de pessoas jurídicas.
Leia mais em https://t.co/dchyZUa5CP
#BancoCentral #Cooperativas #Economia #LinhadeCrédito</t>
  </si>
  <si>
    <t>Projeção da inflação cai e é acompanhada por aumento de projeção do PIB e manutenção do câmbio do dólar.
Leia mais em https://t.co/BBXgy4PwYO
#BancoCentral #Dólar #Indicadoreseconômicos #Inflação #Economia https://t.co/CHFMbwlApd</t>
  </si>
  <si>
    <t>Maior agilidade, segurança e facilidade para compra e venda de bens, além de combate ao crime são apontados como pontos positivos. 
Leia mais em https://t.co/RaLBfWAK4M
#BancoCentral #Economia #Realdigital https://t.co/9YrtEUuAwq</t>
  </si>
  <si>
    <t>Um terço das transações bancárias no país são feitas pelo sistema eletrônico, que prevê novidades, como o Pix Automático, nos próximos meses.
Leia mais em https://t.co/Xb1jqHo9s8
#BancoCentral #Economia #Pix https://t.co/qNyxuDYSOD</t>
  </si>
  <si>
    <t>Muitos setores consideraram acertada a decisão do Copom de reduzir a Selic em 0,5 ponto percentual e esperam que a redução continue nas próximas reuniões do comitê.
Leia mais em https://t.co/QTnZcugrKo
#BancoCentral #CNI #Economia #Selic</t>
  </si>
  <si>
    <t>Modalidade tende a substituir o débito em conta.
Leia mais em https://t.co/XxWM5WFVEf
#BancoCentral #Economia #Pix https://t.co/uBwfTbiSfJ</t>
  </si>
  <si>
    <t>Professor do Ibmec Brasília acertou ao prever que BC reduziria taxa de juros em 0,5%; Renan Silva diz que tendência agora é que o Brasil possa crescer cerca de 3,2% ao ano.
Leia mais em https://t.co/SLMZW41tO4
#BancoCentral #Economia #Selic #Taxadejuros https://t.co/QAPKAYsqrS</t>
  </si>
  <si>
    <t>IBC-BR mede a atividade econômica.
Leia mais em https://t.co/3EkaspWPRE
#BancoCentral #Indicadoreseconômicos #Economia #PIB https://t.co/zq7DXyCOtB</t>
  </si>
  <si>
    <t>Ao Brasil 61, deputado federal Rubens Pereira Júnior (PT-MA), vice-líder do governo na Câmara, afirmou que decisão do Banco Central de manter a Selic em 13,75% prejudica a economia.
Leia mais em https://t.co/pZe8r8vhgI
#BancoCentral #Economia #Inflação #Selic #Taxadejuros https://t.co/KNzX9dXwXQ</t>
  </si>
  <si>
    <t>La moneda rusa se deprecia 4,1 rublos por dólar desde la intervención del Banco Central https://t.co/5rSKRsYIJl
#15Septiembre #MonedaRusa #BancoCentral #Noticias https://t.co/cKfywxkjWp</t>
  </si>
  <si>
    <t>Banco Central de Chile reduce sus expectativas de crecimiento para finales de 2023 https://t.co/6OGT8X7lXG
#15Septiembre #BancoCentral #Chile #Noticias https://t.co/ar6npPkUZF</t>
  </si>
  <si>
    <t>La moneda rusa se deprecia 4,1 rublos por dólar desde la intervención del Banco Central https://t.co/5rSKRsYIJl
#22Septiembre #MonedaRusa #BancoCentral #Noticias https://t.co/N5OyVhWjpe</t>
  </si>
  <si>
    <t>Banco Central de Chile reduce sus expectativas de crecimiento para finales de 2023 https://t.co/6OGT8X7lXG
#18Septiembre #BancoCentral #Chile #Noticias https://t.co/v3prq94RnM</t>
  </si>
  <si>
    <t>Banco Central eleva a 2% la proyección para el crecimiento de Brasil en 2023 https://t.co/vq5uWxL7Ju
#05Julio #BancoCentral #Brasil #Noticias https://t.co/iY64W8eNDB</t>
  </si>
  <si>
    <t>A projeção para a inflação de 2023 permaneceu inalterada nesta semana, enquanto a estimativa para o PIB foi revisada para cima, passando de 2,19% para 2,24%.
#bancocentral #economia #IPCA #PIB https://t.co/qnMoOJHa9B</t>
  </si>
  <si>
    <t>a fin de garantizar la estabilidad de precios y del mercado cambiario. #BancoCentral #RD</t>
  </si>
  <si>
    <t>Según informa Reuters, Egipto ha pospuesto los pagos por sus grandes compras de trigo, en algunos casos durante meses, debido a la escasez de divisas en el país, según un funcionario del gobierno y operadores comerciales.  #Bancocentral #BancoMundial
https://t.co/1nCCgPwnGD https://t.co/Ec8AgJSC3n</t>
  </si>
  <si>
    <t>Según informes de Reuters, JPMorgan indicó el lunes que espera que el Banco Central de Turquía aumente las tasas de interés al 25 por ciento en su reunión de junio, en comparación con el actual 8,5 por ciento.  #Bancocentral #HafizeGayeErkan #JPMorgan
https://t.co/cSlVoQVKFo https://t.co/pqx9DDIYCa</t>
  </si>
  <si>
    <t>💸 ECONOMIA e JUROS; 🇧🇷 BANCO CENTRAL MANTÉM TAXA; 🇺🇸 NOS EUA, O FED SUBIU; 🤔 Entenda os impactos no MERCADO com as EXPECTATIVAS. 👀 Você está PREPARADO?
https://t.co/uribygS7TG
#migueldaoud #canalrural #agronegocio #agricultura #economia #juros #bancocentral #selic</t>
  </si>
  <si>
    <t>Lista de Países que no tienen #BancoCentral: 
Panamá
Andorra
Mónaco
Estados Federados de Micronesia
Islas Marshall
Islas de Man
Kiribati
Nauru
Tuvalu
Palaos
🙄 #AfueraMilei</t>
  </si>
  <si>
    <t>Eu não estava levando fé no campos Neto #BancoCentral .Me surpreendeu. Bora baixar mais essa taxa de juros.</t>
  </si>
  <si>
    <t>Dado el anuncio del #BancoCentral sobre activar por primera vez el requerimiento de capital contracíclico (RCC), les dejo un análisis del caso y un hilo a continuación #Bancos #BCI 
https://t.co/I9C3hq1XLh</t>
  </si>
  <si>
    <t>Dado el anuncio del #BancoCentral sobre activar por primera vez el requerimiento de capital contracíclico (RCC), les dejo un análisis del caso en donde llego como conclusión a que debido a las medidas de Basilea III, sumado a este incremento de un 0,5% sobre los Activos…</t>
  </si>
  <si>
    <t>Atención inversionista #bancarios. Aún no analizó los covenants bancarios de cada banco pero esto puede causar aumentos de capital o menor reparto de utilidades por parte de los #bancos en 2023-24. #bci e #itau podrian requerir aumentos de capital.
#banco #central #bancocentral</t>
  </si>
  <si>
    <t>#BancoCentral #ConLaFuerzaDelPueblo #ConTodosLaVictoria 💯pre #PaLante #Cuba https://t.co/lGprHpuaft</t>
  </si>
  <si>
    <t>#BancoCentral #ConLaFuerzaDelPueblo #ConTodosLaVictoria 💯pre #PaLante #Cuba https://t.co/uJ7y89DrBA</t>
  </si>
  <si>
    <t>#BancoCentral #ConLaFuerzaDelPueblo #ConTodosLaVictoria 💯pre #PaLante #Cuba https://t.co/g2ytQhHcyk</t>
  </si>
  <si>
    <t>#BancoCentral #ConLaFuerzaDelPueblo #ConTodosLaVictoria 💯pre #PaLante #Cuba https://t.co/APtcuPN5cd</t>
  </si>
  <si>
    <t>✊A CUT-RS, centrais sindicais, movimentos sociais e partidos comprometidos com a luta contra os juros altos promovem nesta terça (1º), às 11h, novo ato pela queda da taxa básica de juros (Selic), hoje em 13,75% ao ano, a mais alta do mundo.💰
#juros #selic #bancocentral https://t.co/fRImuiQGbL</t>
  </si>
  <si>
    <t>A pesar de la disparada de la inflación, el Banco Central no sube la tasa de plazos fijos #bancocentral #plazofijo #ahorro #inflacion https://t.co/PnqflCz3ld</t>
  </si>
  <si>
    <t>Calendário econômico de 24 a 28 de julho: reuniões do BCE, BoJ e Fed, reequilíbrio do NASDAQ 100 e temporada de resultados do segundo trimestre
https://t.co/nu7Q1KYQZH
#BancoCentral #NASDAQ #TechEarnings https://t.co/dbfsmE02q0</t>
  </si>
  <si>
    <t>Comunicado tranquilo, levemente Hawk
https://t.co/lzorvjWUNz #BancoCentral #BCB via @BancoCentralBR</t>
  </si>
  <si>
    <t>💰 Ficou interessado? Contate-nos e Saiba Mais!
📲 (19) 99923-1909
#bacen #bancocentral #crédito #positivo #fy</t>
  </si>
  <si>
    <t>Gostaria de obter mais informações ou deseja ter seu nome limpo no SisBacen? Não hesite em entrar em contato conosco! Estamos à disposição para ajudá-lo(a) nesse processo.
💰 Ficou interessado? Contate-nos e Saiba Mais!
📲 (19) 99923-1909
#bancocentral #sisbacen #nomelimpo</t>
  </si>
  <si>
    <t>#CordobaAhora
El Central devalúa: fija el dólar oficial a $ 365, sube el blue y la tasa de interés aumenta al 118%
#DolarArgentina #BancoCentral #Devaluacion #PASO2023 #Argentina @BancoCentral_AR  
https://t.co/THZW5fIJkx</t>
  </si>
  <si>
    <t>💵 El Banco Central de la República Argentina devaluó el peso y deja subir el dólar oficial hasta los 365,5 pesos
#dolar #DolarBlue #Elecciones2023 #BancoCentral https://t.co/AXMFIPnLa6</t>
  </si>
  <si>
    <t>Entérate sobre declaraciones del economista #JavierMilei en la 89.9 FM, Radio con Vos sobre recomendaciones para saltear las regulaciones del #BancoCentral para tener una mayor retribución en dólares https://t.co/0gyJHW6SY7</t>
  </si>
  <si>
    <t>#Venezuela acumuló una inflación de 115 % entre #enero y #julio de 2023, según datos difundidos este lunes por el Observatorio Venezolano de Finanzas (OVF), un ente integrado por economistas y expertos al margen del #BancoCentral (BCV).
https://t.co/XyKBqpQ0pI</t>
  </si>
  <si>
    <t>Campos Neto disse que o Brasil é um dos poucos países que está dentro das bandas de suas metas de inflação para os próximos anos.
#MeiaHora #BancoCentral #Inflação #Economia  
https://t.co/baptI8rrWZ</t>
  </si>
  <si>
    <t>Banco Central revelou a maior transição já feita por PIX #pix #bancocentral 
https://t.co/GGoKLkdU1Y</t>
  </si>
  <si>
    <t>Nigéria como tubo de ensaio p/ digital currency. #DREX #MoedaDigital #BancoCentral #totalitarismo #controle #pobreza #escasses #destruição #moeda #economia #Nigéria 
https://t.co/KvcKOhr9e4</t>
  </si>
  <si>
    <t>Liberan a 30 de las 33 personas de la comunidad Lgbti detenidas en Carabobo.
#voces
#voces1015fm
#conectacontigo
#laguaira
#Venezuela 
#BancoCentral 
#darien 
#Publicidad 
#compra
#venta</t>
  </si>
  <si>
    <t>Cruzeiros.
#bancocentral #casadamoeda #cruzeiros https://t.co/ehnRETIgoN</t>
  </si>
  <si>
    <t>▶️ Arranca la puesta en circulación del billete de #2MilPesos
Para más info: https://t.co/yGo428H3Bi
#Billetede2000pesos #BCRA #BancoCentral #NuevoBillete #CasadelaMoneda #Ciencia #Medicina</t>
  </si>
  <si>
    <t>▶️ #ElBancoCentral y las reservas de #Oro 
Para más info https://t.co/BWfUJJg4t4
#BancoCentral #Argentina #Oro #ReservasdeOro #FMI</t>
  </si>
  <si>
    <t>#EstamosAhí: "Esto indica que la política macroeconómica ha surtido efecto y que lo va a seguir haciendo en lo que resta del año", señaló el ministro de Hacienda, Mario Marcel, por cifras del IPC de junio. #IPC #Inflación #BancoCentral
https://t.co/5EQDWa8Aic https://t.co/7SzBYzakFw</t>
  </si>
  <si>
    <t>#URGENTE ⚠️
El peso devaluó 22% luego de las PASO y el Dólar Oficial ya se sitúa a $365, mientras que el Dólar Blue se sitúa en $690.
#PASO2023 #EleccionesPASO2023 #BancoCentral #Dólar #DólarBlue #USD</t>
  </si>
  <si>
    <t>Cepo al dólar: Mendoza, entre las provincias afectadas por el Banco Central
#Cepo #Dólar #BancoCentral #MonedaExtranjera #Deudas #Economía #Mendoza #ValleDeUco #ElCucoDigital
https://t.co/fXyeFa8oTT https://t.co/iHXvUPJifp</t>
  </si>
  <si>
    <t>Sergio Massa partió hacia China para cerrar acuerdos en energía y fortalecer las reservas del Banco Central
#Massa #Acuerdos #Energía #Reservas #BancoCentral #Viaje #China #Argentina #Economía #ValleDeUco #ElCucoDigital
https://t.co/HvcMjMn1CH https://t.co/fADAtbjtF4</t>
  </si>
  <si>
    <t>Inflación: lo que proyecta el Banco Central para los próximos meses
#ElCucoDigital #economia #bancocentral #inflacion  #MESES 
https://t.co/1LRjBDHafk https://t.co/7GoIRcubEH</t>
  </si>
  <si>
    <t>Nueva tasa de interés en el plazo fijo: cuánto gano por mes si deposito $ 800 mil
#PlazoFijo #TasaDeInterés #Ahorros #Ingreso #BancoCentral #Economía #Argentina #ValleDeUco #ElCucoDigital
https://t.co/n2gMPP1ZFf https://t.co/LList34gip</t>
  </si>
  <si>
    <t>Campos Neto opina sobre o futuro do método de pagamento que é o maior responsável por endividamentos no país. #camposneto #cartãodecrédito #bancocentral
https://t.co/GP8PGLYpAU</t>
  </si>
  <si>
    <t>" A inflação no mundo é um câncer, no Brasil é um negócio."
@cirogomes #JurosBaixosJa 
#bancocentral</t>
  </si>
  <si>
    <t>Focus - Relatório de Mercado https://t.co/iWvAmyQDLH #BancoCentral #BCB via @BancoCentralBR</t>
  </si>
  <si>
    <t>Banco Central anuncia inflación entraría dentro del rango meta al cierre de mayo https://t.co/a34B5q0zOQ #BancoCentral #HoyDigital #PeriódicoHoy</t>
  </si>
  <si>
    <t>Banco Central: En primer semestre los flujos de remesas alcanzaron los US$5,019.9 millones https://t.co/2oxQ21Ff86 #BancoCentral #HoyDigital #Negocios #PeriódicoHoy #Remesas</t>
  </si>
  <si>
    <t>Fuerza del Pueblo reacciona a respuesta del Banco Central; dice evade explicar préstamo de 25 mil millones de pesos al gobierno https://t.co/fuCpFoCygL #BancoCentral #FuerzadelPueblo #HoyDigital #PeriódicoHoy</t>
  </si>
  <si>
    <t>Billetes de RD$500 con nuevo hilo de seguridad circulan desde hoy https://t.co/eyYnr8AwmJ #BancoCentral #Billetes #hilodeseguridad #HoyDigital #PeriódicoHoy</t>
  </si>
  <si>
    <t>Pollo, plátanos y azúcar, entre los alimentos que subieron de precio https://t.co/sTz79LxSob #azúcar #BancoCentral #Hoy #HoyDigital #PeriódicoHoy #plátanos #pollo</t>
  </si>
  <si>
    <t>El Banco Central tendrá que acelerar el paso 
https://t.co/v8BqZ5OIBR #BancoCentral #COVID-19</t>
  </si>
  <si>
    <t>‼️Desde septiembre los comercios deberán tener un #codigoqr que acepte cualquier billetera digital interoperable.
⏩Lo dispuso el #bancocentral para que la experiencia del pago sea más amigable. Los detalles 👇
https://t.co/tZiiRL4T6a</t>
  </si>
  <si>
    <t>💸Nuevo récord: el dólar "blue" sigue en alza y tracciona a las demás versiones de la moneda estadounidense.
💰Subió $11 respecto al miércoles y no cede a pesar de la intervención del #bancocentral . Éstas son las cotizaciones del jueves 3 de agosto👇
https://t.co/koGIhPHDGb</t>
  </si>
  <si>
    <t>Remesas rondaron los US$4,200.0 millones en los primeros cinco meses de 2023. #BancoCentral #Remesas #NoticiasSIN #SIN24Horas #Credibilidad #AliciaOrtega #GrupoSIN
Más detalles en nuestro periódico https://t.co/Ovpz0o2vQa
https://t.co/t07HQBqchV</t>
  </si>
  <si>
    <t>BCRD: La inflación interanual se redujo en un 5.15 % en el mes de abril. #NoticiasSIN #bancocentral #inflacion  
https://t.co/XsBjft193F</t>
  </si>
  <si>
    <t>El compromiso sostenible del Banco Popular es premiado por la revista Global Finance. #NoticiasSIN #BancoCentral #Compromiso 
Más detalles en nuestro periódico https://t.co/dDk5yCrbYu
https://t.co/Dtlh9WHAES</t>
  </si>
  <si>
    <t>Junta Monetaria aprueba RD$94 mil millones para préstamos.
#Noticiassin #BancoCentral #JuntaMonetaria #Encajelegal #Préstamo
https://t.co/vkw7ein5Ci https://t.co/hsSZEq5T9e</t>
  </si>
  <si>
    <t>Descenso de 50 puntos básicos del BC repercutirá en rebaja de precios, dice Pedro Brache, expresidente del Conep.
#Noticiassin #PedroBrache #BancoCentral #Inflación 
https://t.co/84oeX6O4Vq https://t.co/fZl9toDaRn</t>
  </si>
  <si>
    <t>Economista asegura Banco Central busca dinamizar la economía a través de medidas monetarias.
#NoticiasSIN #Bancocentral #Banca #Medidas #Monetaria 
 https://t.co/1L2A1snMyc https://t.co/EzSpKw9Cmu</t>
  </si>
  <si>
    <t>BC desembolsa RD$58,741 millones para Sectores Productivos, Hogares y MIPYMES.
#NoticiasSIN #bancocentral #sectores 
https://t.co/lzFLw28nwX</t>
  </si>
  <si>
    <t>A partir de mañana circulará nuevo billete de RD$500.
#Noticiassin #BancoCentral #Billete 
https://t.co/LoFwX0Dw12 https://t.co/vSvu1c9Y3T</t>
  </si>
  <si>
    <t>Cuando el Banco Central reduce la tasa de política monetaria, ¿Cuáles aspectos toma en cuenta?
#Noticiassin #BancoCentral #Políticamonetaria #Tasa 
https://t.co/vF6DzYRVRf https://t.co/BcDgFJTgx1</t>
  </si>
  <si>
    <t>El Banco Central reduce tasa de política monetaria en 25 puntos básicos, de 8.00 % a 7.75 % anual.
#Noticiassin #BancoCentral #Tasa #Políticamonetaria 
https://t.co/xD5uS5ivky https://t.co/s5NtpUKQxQ</t>
  </si>
  <si>
    <t>Banco Central de EE.UU. decide no aumentar la tasa de interés de referencia de su política monetaria
#NoticiasSIN #Economía #BancoCentral #EEUU
Más detalles en nuestro periódico https://t.co/Ovpz0o2vQa
https://t.co/9MnnA0xbfg</t>
  </si>
  <si>
    <t>Economía registra expansión de 2.9% en el mes de julio, dice el BC
#Noticiassin #BancoCentral #Economía 
https://t.co/y1wq2qpSLx https://t.co/dAVkhp49UB</t>
  </si>
  <si>
    <t>Nuevo billete de RD$2,000 mil circulará a partir de hoy. 
#NoticiasSIN #nuevo #billete #dosmil #bancocentral
https://t.co/AMAv7Ah9z2</t>
  </si>
  <si>
    <t>República Dominicana reporta 128.627 nuevos empleos en el primer trimestre.
#Noticiassin #Nuevosempleos #BancoCentral #Empleos 
https://t.co/4llYgH4xZt https://t.co/qoQjncnqPf</t>
  </si>
  <si>
    <t>BCRD firma acuerdo con ProDominicana en materia inversión extranjera
#NoticiasSIN #BancoCentral #ProDominicana #Acuerdo 
https://t.co/JH3D5uRlmP</t>
  </si>
  <si>
    <t>Pável Isa asegura un crecimiento económico para este año #PávelIsa #Economía #Gobierno, #BancoCentral #NoticiasSin #AliciaOrtega
 https://t.co/Mj64pws1Z4 https://t.co/0QYdRhmj3v</t>
  </si>
  <si>
    <t>Productos como el pollo, plátanos, papa, azúcar y huevos subieron de precio, dice el BC
#Noticiassin #BancoCentral #Productos
https://t.co/PnzMn7FBRQ https://t.co/OoycEAde0u</t>
  </si>
  <si>
    <t>RT @SIN24Horas: Productos como el pollo, plátanos, papa, azúcar y huevos subieron de precio, dice el BC
#Noticiassin #BancoCentral #Produc…</t>
  </si>
  <si>
    <t>Abraçando o holístico: a nova chefe do banco central da Turquia propõe política abrangente
https://t.co/7JCgicEv1j 
#vozdaturquia #Turquia #BancoCentral #banco #Economia #HafizeGayeErkan #Erkan</t>
  </si>
  <si>
    <t>@ecuarauz @RC5Oficial Y del robo que hiciste en el #BancoCentral sin ir a trabajar durante años pero cobrando hasta los aguinaldos, quién responde? #AndresNoMientasOtraVez https://t.co/owusnzc7qI</t>
  </si>
  <si>
    <t>#BancoCentral si lo cierra #Milei jugamos sin arquero. Cuando Brasil devalue no tenemos posibilidad de reacción, nos come y ese es el plan. Ellos van a exportar y nosotros importar. Quien progresa ? Lo peor seguiremos con inflación porque la cantidad de usd será ilimitada</t>
  </si>
  <si>
    <t>📣 New Podcast! "Primera emisión 03 Mayo 2023" on @Spreaker #4t #adrianabraniff #amlo #bancocentral #centralfm #conacyt #doreferriz #estadosunidos #frontera #lopezobrador #mexico #morena #pedroferriz #playadelcarmen #rubenhernandez #turismo #unam https://t.co/150uQXd9Hv</t>
  </si>
  <si>
    <t>El #BancoCentral de #Brasil  (BCB) recortó este miércoles su tasa de interés de referencia en medio punto porcentual (0.50 puntos) para ubicarla en 13.25%, la primera disminución en tres años.</t>
  </si>
  <si>
    <t>Educação pública me permitiu chegar aqui, diz novo diretor do Banco Central do Brasil https://t.co/sMBE0GWAfe #bancocentral https://t.co/ZtLGaPQdtM</t>
  </si>
  <si>
    <t>Primeira fase do Drex atrasa e só terminará em maio de 2024 https://t.co/wDZhSW4nZS #Drex #BancoCentral https://t.co/VucwwXE6p5</t>
  </si>
  <si>
    <t>#Azerbaiyán advierte a los bancos que transfieren dinero ilegalmente a #Karabaj  
#Citibank #Raiffeisen #BancoCentral #terrorismo
https://t.co/Zdlw3vfwDP https://t.co/Xl1tCbBj0A</t>
  </si>
  <si>
    <t>detalhenoticia https://t.co/FVwyLbDfPu #BancoCentral #BCB via @BancoCentralBR</t>
  </si>
  <si>
    <t>#Cordoba 
#BancoCentral</t>
  </si>
  <si>
    <t>@JMilei Yo sueño con algún día ver cerrado el #BancoCentral !! cerrado para siempre. Que no explote ni sea demolido, que quede como monumento a la inflación, a la estafa de los políticos, a la generación de pobreza. Así cuando uno pase y lo vea tenga memoria de lo que hicieron.</t>
  </si>
  <si>
    <t>Informe del Banco Central... Mercado inmobiliario chileno: ¿Qué ocurrió en 2022? https://t.co/HxyiZLA2n6 #BancoCentral</t>
  </si>
  <si>
    <t>VENDE-SE UM PAÍS
Campos Neto quer privatizar reservas do Brasil, e a BlackRock quer comprar
Cobiça do megafundo de investimentos foi fortalecida com a eleição de Bolsonaro em 2018. Na Ucrânia, eles já privatizaram tudo.
Leia: https://t.co/JjzvNu2X7A https://t.co/UCqsspkNSV</t>
  </si>
  <si>
    <t>Campos Neto é um resquício encardido do Bolsonarismo entreguista...
Lixo.
#BancoCentral</t>
  </si>
  <si>
    <t>@OliMarcos81 @voude99 @99Pay @BancoCentralBR @ReclameAQUI @proconspoficial @ProconRJ @ProConsumidorRD Eu reclamei em todos os canais de comunicação do #99pay e na instituição que adm #BancoCentral. Depois de 48 horas que foram resolver. Absurdo, tudo isso. #BancoDigital #CarteiraDigital #Dinheiro</t>
  </si>
  <si>
    <t>@voude99 Vocês são péssimos! Prenderam meu dinheiro e não liberaram! Absurdo!!! #BancoCentral #BancoDigital #Banco99 #99pay @99pay</t>
  </si>
  <si>
    <t>@camren5th Obrigado. Reclamei em tudo. Absurdo eles não comunicarem com antecedência @99pay! #Absurdoooooo #BancoDigital #BancoCentral</t>
  </si>
  <si>
    <t>@camren5th Vamos lá no Instagram deles reclamar! Tá f.. Demoraaaaaa #99 #Pix #BancoCentral</t>
  </si>
  <si>
    <t>Esperando o retorno do @Bradesco e @99pay do meu #Pox. O Banco Central já está ciente. #Banco #Bradesco #99Pay #BancoCentral</t>
  </si>
  <si>
    <t>@Bradesco Conversando? Já faz horas que ninguém comentou nada. Vocês são péssimos. #Bradesco #Banco #BancoCentral</t>
  </si>
  <si>
    <t>Lá vai eu registrar no #BancoCentral sobre a cobrança indevida do #Itau. Tentei resolver da melhor forma mas me cobraram mesmo assim.</t>
  </si>
  <si>
    <t>Absurdo!! Agência do #Itau com 4 caixas eletrônicos e somente um com depósito imediato disponível! Deus é mais!!!! @Itau! #Banco #BancoDigital #BancoCentral</t>
  </si>
  <si>
    <t>O deputado esquerdista Lindbergh Farias (PT-RJ) apresentou uma denúncia ao Conselho Monetário Nacional contra o presidente do Banco Central… Engraçado que eles querem juros baixos, mas e a gastança do “excelentíssimo presidente” deles!!? 
#bancocentral #bc #bancos #economia https://t.co/lQVngG0S2t</t>
  </si>
  <si>
    <t>💰 |#EconomíaDL| Banco Central reduce su tasa de política monetaria en 25 puntos básicos
🔗https://t.co/mnegXCu1XJ
#DiarioLibre #BancoCentral #Reducción #PolíticaMonetaria https://t.co/apXBRdBEGI</t>
  </si>
  <si>
    <t>💰 |#EconomíaDL| Infografía: ¿Desde dónde llegan remesas a RD además de Estados Unidos?  
🔗https://t.co/Y9rom42MLF
 #DiarioLibre #Remesas #BancoCentral https://t.co/beNJcqaHMr</t>
  </si>
  <si>
    <t>💼|#EconomíaDL|  Banco Central informa remesas alcanzaron los US$5,019.9 millones en el primer semestre de 2023
🔗https://t.co/DAIjBLOZpn
#DiarioLibre #Remesas #BancoCentral #Economía https://t.co/x6J1hQED8n</t>
  </si>
  <si>
    <t>💰 |#EconomíaDL|  Liberarán RD$34,000 millones del encaje legal para préstamos de hasta 9 % anual
🔗https://t.co/1N1wNETauA
#DiarioLibre #BancoCentral #Dinero #EncajeLegal https://t.co/Na1sywvWzc</t>
  </si>
  <si>
    <t>💰 |#EconomíaDL|  Banco Central pausa ciclo de reducción de su tasa de política monetaria y la mantiene en 7.75 %
🔗https://t.co/CFmD3rtOut
#DiarioLibre #BancoCentral  #PolíticaMonetaria https://t.co/phDiXsytYf</t>
  </si>
  <si>
    <t>💰 |#EconomíaDL| Mipymes requieren estrategias especiales para acceder a recursos liberados por el Banco Central
🔗https://t.co/OV0xfsj0K6
#DiarioLibre #Mipymes #BancoCentral #Estrategias https://t.co/hEJIQtTDiV</t>
  </si>
  <si>
    <t>💼|#EconomíaDL| El comercio recibe el 48 % de recursos desembolsados por el Banco Central
🔗https://t.co/FeIslgUEii
#DiarioLibre #BancoCentral #Comercios #RepúblicaDominicana https://t.co/dWX0neuGpr</t>
  </si>
  <si>
    <t>💰 |#EconomíaDL| El Banco Central pondrá a circular nuevo billete de RD$500.00
🔗https://t.co/jizUp2WH82
#DiarioLibre #BancoCentral #Billete https://t.co/spfkMu61fT</t>
  </si>
  <si>
    <t>💰 |#EconomíaDL| Banco Central: quedan disponibles RD$22,671 millones de las medidas de liquidez para préstamos
🔗https://t.co/cA8lacUR34
#DiarioLibre #BancoCentral #Préstamos #Liquidez https://t.co/g3sqenYMq3</t>
  </si>
  <si>
    <t>💰 | #EconomíaDL | Economía dominicana se desacelera en el primer semestre y crece solo 1.2 %
🔗 https://t.co/DdV3QaPDrY
#DiarioLibre #EconomíaDL #Macroeconomía #Dinero #Crecimiento #Dominicanos #Politicas #BancoCentral https://t.co/SHwcEjkFl4</t>
  </si>
  <si>
    <t>💰 |#EconomíaDL|  Banco Central informa que hará ejercicio en plataforma de pagos al instante este sábado
🔗https://t.co/RENPxj88FR
#DiarioLibre #BancoCentral #PagosAlInstante https://t.co/9OUFaBagB9</t>
  </si>
  <si>
    <t>💰 |#EconomíaDL| Flujos de remesas hacia República Dominicana crecen 3.9 % en el 2023
🔗https://t.co/KX9hO6GUUo
#DiarioLibre #Remesas #Finanzas #Crecimiento #BancoCentral https://t.co/Rk1IjNR7Ww</t>
  </si>
  <si>
    <t>💰 |#EconomíaDL| Inflación interanual baja a 4.43 % y retorna a su rango meta, informa el Banco Central
🔗https://t.co/TpWfF0sBoM
#DiarioLibre #Inflación #BancoCentral https://t.co/AdtL8YTjzr</t>
  </si>
  <si>
    <t>💰 |#EconomíaDL| Inflación interanual baja a 4.43 % y retorna a su rango meta, informa el Banco Central
🔗https://t.co/JP8JhAlKyN
#DiarioLibre #MacroeconomíaDL #Inflación #BancoCentral #EconomíaDominicana https://t.co/zguEr9grJw</t>
  </si>
  <si>
    <t>Banco central sempre mudando as coisas, não vai ser mais Real digital, o nome da CBDC, será DREX.🙃
#BancoCentral #Realdigital</t>
  </si>
  <si>
    <t>Annual Conference of the Banco Central do Brasil's Schedule https://t.co/4XEE8ubYtH #BancoCentral #BCB via @BancoCentralBR</t>
  </si>
  <si>
    <t>Programação da I Conferência Anual do Banco Central do Brasil.  https://t.co/lKg4X1zGZm #BancoCentral #BCB via @BancoCentralBR</t>
  </si>
  <si>
    <t>El Dólar Blue preparándose hoy a las 10 am..
#Argentina #bancoCentral #RenunciaMassa #MileiPresidente 
https://t.co/ABY2SUcbBm</t>
  </si>
  <si>
    <t>El que pidió presupuesto hoy con el dólar a 700. Yendo a comprar rápido antes que actualice mañana a 790. 
#Argenzuela #Massa #BancoCentral.    
 https://t.co/16TzO3RgeD</t>
  </si>
  <si>
    <t>EXPRESSO O TEMPO - Confira as principais notícias desta quinta (10) com a jornalista @danielefrancom 
Veja todos os conteúdos em: https://t.co/X63Gc4O1CG
#OTempo #Política #Equador #FernandoVillavicencio #BancoCentral https://t.co/wjnI4bq7R6</t>
  </si>
  <si>
    <t>EXPRESSO O TEMPO - Confira as principais notícias desta sexta (7) com a jornalista Maíra Cabral
🖱️ Leia mais notícias em nosso site: https://t.co/27VoAsl0u0
#OTempo #Política #Política #BancoCentral #ReformaTributária #Rôbos https://t.co/oOJxUVvkRE</t>
  </si>
  <si>
    <t>💰 Você sabia que o @BancoCentralBR anunciou que o Brasil vai ter um novo real digital e vai se chamar "DREX"?
Saiba mais 👇
#moedadigital #bancocentral #DREX 
https://t.co/lp5rLfhpE8</t>
  </si>
  <si>
    <t>Fique de olho!
#PIX
#BancoCentral 
#cvm 
#economia https://t.co/i9hXWXdixn</t>
  </si>
  <si>
    <t>O banco central tá fazendo é  política da pior espécie, não é economia.  #Bancocentral</t>
  </si>
  <si>
    <t>#Billete #BancoCentral
Se trata de un billete conmemorativo de curso legal con la imagen del Instituto Malbrán, de la doctora Cecilia Grierson y el doctor Ramón Carrillo, precursores en el desarrollo de la medicina en #Argentina 
Ver aquí:
https://t.co/1QKsprdV84</t>
  </si>
  <si>
    <t>¡Que tengan un jueves proactivo! 💪✨
#ProductividadEnCasa #CheckListProductivo #JefeSatisfecho #DíasGeniales #BancoCentral #RadioPichincha #PabelMuñoz #love #viral #trending #foryoupage #tiktok #follow https://t.co/LPEtHXPNVp</t>
  </si>
  <si>
    <t>¡Buen inicio de fin de semana! 💪
Que tus decisiones te lleven al éxito que anhelas ✨
#ProductividadEnCasa  #DíasGeniales #BancoCentral #Eyal #Mercurio #love #viral #trending #foryoupage #TwitterX  #follow #nature #Empoweringlives https://t.co/PjbhtYxU05</t>
  </si>
  <si>
    <t>Se filtra el último mensaje de Milei a sus seguidores antes de las PASO:
Despiértense Leones. Es ahora 👊🏼🦁⚔️
@JMilei 
#JavierMilei #BradPitt #Mirmidones #BancoCentral 🔥💣 https://t.co/uc8Yax82be</t>
  </si>
  <si>
    <t>#BancoCentral recorta tasa de interés en 75 puntos base hasta 9,5%
La decisión fue adoptada por unanimidad de los miembros del Consejo, quienes culminaron su sexta Reunión de #PolíticaMonetaria de 2023.
La nota completa en el siguiente enlace
https://t.co/eRwBbEnoS6</t>
  </si>
  <si>
    <t>#BancoCentral recorta tasa de interés en 75 puntos base hasta 9,5%
La decisión fue adoptada por unanimidad de los miembros del Consejo, quienes culminaron su sexta Reunión de #PolíticaMonetaria de 2023.
La nota completa en el siguiente enlace.
https://t.co/eRwBbEmR2y</t>
  </si>
  <si>
    <t>#BancoCentral reduce la #TPM en 100 puntos base hasta 10,25%  La tasa de interés de referencia comienza a ser recortada 
Te invitamos a leer los detalles en el siguiente enlace
https://t.co/Zc7hAjWe09</t>
  </si>
  <si>
    <t>#BancoCentral reduce la #TPM en 100 puntos base hasta 10,25%
La tasa de interés de referencia comienza a ser recortada
Te invitamos a leer los detalles en el siguiente enlace
https://t.co/Zc7hAjWe09</t>
  </si>
  <si>
    <t>O sinal amarelo com os dados da inflação, segundo gestora de ex-BC
#BancoCentral #Economia #FeedPrincipal
https://t.co/rbVcQ6AHXg</t>
  </si>
  <si>
    <t>Campos Neto ajuda Lula? Saiba um dos principais motivos da aprovação do governo
#Alimentos #BancoCentral #Economia
https://t.co/hA1wO5CBSZ</t>
  </si>
  <si>
    <t>Onde Campos Neto acha que a Argentina errou?
#Argentina #BancoCentral #Economia
https://t.co/fJFyEh2ljp</t>
  </si>
  <si>
    <t>É ruim, mas é bom: Campos Neto avalia reajuste no preço dos combustíveis como uma “decisão acertada”
#BancoCentral #Combustíveis #Economia
https://t.co/CkZm4XmlVs</t>
  </si>
  <si>
    <t>AO VIVO: Campos Neto acerta as contas com o governo; veja sabatina no Senado
#AoVivo #BancoCentral #Brasil
https://t.co/KPIsGOPGFb</t>
  </si>
  <si>
    <t>Campos Neto vai ao Senado defender Banco Central; veja a agenda desta quinta (10)
#Agenda #AgendadoDia #BancoCentral
https://t.co/woo5WCawU5</t>
  </si>
  <si>
    <t>0,75 pp é demais? Veja o que o mercado espera da Selic nas próximas reuniões do Copom
#BancoCentral #Brasil #Copom
https://t.co/T9hLs0nF3d</t>
  </si>
  <si>
    <t>Franquias baratas: Não tem sorte na Mega-Sena? Aposte na marca que fatura milhões e te faz lucrar R$ 105 mil ao mês
#ABF #BancoCentral #BusinessTimes
https://t.co/BX1IgeVhHQ</t>
  </si>
  <si>
    <t>Copom: Qual será o tamanho do corte na Selic?
#BancoCentral #Brasil #Copom
https://t.co/KbaAsfB2BI</t>
  </si>
  <si>
    <t>Corte de 0,25 ou 0,50? Façam suas apostas, o Copom chegou; veja a agenda desta quarta (2)
#Agenda #AgendadoDia #BancoCentral
https://t.co/pgKfnskuaB</t>
  </si>
  <si>
    <t>Morning Times: Revisão no rating dos EUA tira brilho do Copom
#BancoCentral #Bolsa #BolsadeValores
https://t.co/u4mBzcLLGl</t>
  </si>
  <si>
    <t>Empresários batem de frente com Banco Central e criticam Selic em 13,75%
#Abrainc #Anfavea #BancoCentral
https://t.co/sVblb5xPIv</t>
  </si>
  <si>
    <t>Aprende, EUA: Queda na Selic prova que Brasil conseguiu ‘pouso suave’
#BancoCentral #Brasil #Economia
https://t.co/uLWJCRxvEa</t>
  </si>
  <si>
    <t>Afago pré-Copom: Banco Central ganha 100 vagas de concurso público apesar de tensão com Lula
#BancoCentral #Carreiras #Emprego
https://t.co/EWTWeM4Psd</t>
  </si>
  <si>
    <t>Fim da lua de mel? Haddad espera resistência para taxação de lucros e dividendos; entenda
#BancoCentral #Dividendos #Economia
https://t.co/zRgCt0pfdk</t>
  </si>
  <si>
    <t>Mercado pausa projeções de queda da inflação após oito semanas; confira o Focus desta segunda (17)
#BalançaComercial #BancoCentral #Brasil
https://t.co/jtoBbYOees</t>
  </si>
  <si>
    <t>Projeções de inflação seguem otimistas mesmo com comunicado duro do Copom; confira o Focus desta segunda (26)
#BalançaComercial #BancoCentral #Brasil
https://t.co/eyRFzHgneP</t>
  </si>
  <si>
    <t>Morning Times: Bolsas encarnam o espírito da segunda-feira e começam semana de mau humor
#Ásia #BancoCentral #BolsadeValores
https://t.co/iD6kXBDK6P</t>
  </si>
  <si>
    <t>Julgamento de Bolsonaro e ata do Copom; veja o que movimenta a semana
#Agenda #BancoCentral #Copom
https://t.co/2wHmZFRbBO</t>
  </si>
  <si>
    <t>Fantasma do Copom: ata e reunião do CMN prometem agitar o Ibovespa (IBOV); confira a agenda da semana
#BalançaComercial #BancoCentral #Brasil
https://t.co/QnrSXEhQ9S</t>
  </si>
  <si>
    <t>Entenda o plano do Banco Central para explicar sua política monetária
#BancoCentral #Brasil #Economia
https://t.co/xih8rsS3cN</t>
  </si>
  <si>
    <t>Projeção de inflação desaba após IPCA de maio; confira o Focus desta segunda (12)
#BalançaComercial #BancoCentral #Brasil
https://t.co/9gDkzo0qyV</t>
  </si>
  <si>
    <t>Dinheiro esquecido: R$ 7 bilhões não foram recuperados; veja como consultar e reaver valores
#BancoCentral #Brasil #Economia
https://t.co/w2am4Nn3qJ</t>
  </si>
  <si>
    <t>Inflação e Federal Reserve testam saúde cardíaca do mercado; confira a agenda
#Agenda #BancoCentral #BancoCentraldoJapão(BOJ)
https://t.co/SLbHuK0Q5O</t>
  </si>
  <si>
    <t>Desenrola: Programa de renegociação de dívidas pode piorar mercado de crédito; entenda
#BancoCentral #Brasil #Crédito
https://t.co/rwO6kVLc9D</t>
  </si>
  <si>
    <t>CAE marca sabatina de Galípolo para 27 de junho
#BancoCentral #Economia #GabrielGalípolo
https://t.co/3zhr5e6rX8</t>
  </si>
  <si>
    <t>Banco Central acena para arcabouço fiscal, mas proposta original está por um fio; veja o que pode mudar no Congresso
#ArcabouçoFiscal #BancoCentral #Brasil
https://t.co/Mg4TDn8qlg</t>
  </si>
  <si>
    <t>Selic a 13,75%: Quanto pode render um CDB prefixado a 14% ao ano após 12 meses
#BancoCentral #Bancos #C6Bank
https://t.co/SZoNvKpFYM</t>
  </si>
  <si>
    <t>Localiza (RENT3) espera crescimento relevante em 2023, afirma presidente
#AlugueldeCarros #BancoCentral #Carros
https://t.co/yLKQFs3C2Y</t>
  </si>
  <si>
    <t>Lula volta a criticar Campos Neto após BC manter Selic em 13,75%; confira
#BancoCentral #Brasil #FeedPrincipal
https://t.co/tfsF25qSSz</t>
  </si>
  <si>
    <t>Ibovespa (IBOV) cai contaminado pela Selic, Fed e BCE, ignorando agenda de indicadores
#BancoCentral #BancoCentralEuropeu(BCE) #Brasil
https://t.co/lLkxJ7C0Mm</t>
  </si>
  <si>
    <t>Cão que ladra não morde? Veja o contra-ataque de Lula sobre manutenção da Selic em 13,75%
#BancoCentral #Brasil #CMN
https://t.co/hw2S5dOMuv</t>
  </si>
  <si>
    <t>Dólar tem leve queda frente ao real após decisões de política monetária
#BancoCentral #Câmbio #Dólar
https://t.co/CQEVjBydq1</t>
  </si>
  <si>
    <t>Selic abaixo dos 13,75% só daqui a alguns meses; veja o que movimenta a quinta-feira (04)
#Agenda #AgendadoDia #BancoCentral
https://t.co/aqL5zPu0Cy</t>
  </si>
  <si>
    <t>Roberto Campos Neto duro na queda: Poupança e a Selic, lucro da Ambev, balanço do Bradesco e outros destaques
#BancoCentral #Copom #Lula
https://t.co/wRwxNG3QBT</t>
  </si>
  <si>
    <t>Não foi dessa vez, mas está perto: Banco Central pode começar a cortar a Selic no segundo semestre
#BancoCentral #Brasil #Copom
https://t.co/JCCnzUi58O</t>
  </si>
  <si>
    <t>Copom se mantém firme, mas segura o tom sobre eventual aumento de juros; ‘cenário menos provável’, pondera
#BancoCentral #Brasil #Copom
https://t.co/4c5EmxLVBI</t>
  </si>
  <si>
    <t>Dividendos de até 73%: PETR4 e mais 5 ações pagam mais que a Selic de 13,75%
#Ações #BancoCentral #BolsadeValores
https://t.co/n2rTmBy49j</t>
  </si>
  <si>
    <t>Banco Central bate o pé e mantém Selic em 13,75%
#ArcabouçoFiscal #BancoCentral #Brasil
https://t.co/1boSJKOTNf</t>
  </si>
  <si>
    <t>Como fundos imobiliários se comportaram na ‘Super Quarta’, antes do Copom?
#BancoCentral #Copom #EstadosUnidos(EUA)
https://t.co/RtMjTYM2Cd</t>
  </si>
  <si>
    <t>Dinheiro esquecido: Uma pessoa recuperou R$ 2,8 milhões; veja como consultar seus valores
#BancoCentral #Economia #FeedPrincipal
https://t.co/hxrMAM6tFC</t>
  </si>
  <si>
    <t>Taxação de offshore e super-ricos: As projeções de arrecadação do governo
#BancoCentral #Economia #FeedPrincipal
https://t.co/ayMp7cJupD</t>
  </si>
  <si>
    <t>Campos Neto: Se Governo piorar expectativas, Banco Central pode reagir
#BancoCentral #Brasil #Economia
https://t.co/UrHoaaobq4</t>
  </si>
  <si>
    <t>O ‘problema grave’ que o Brasil escapou com a queda da Selic, segundo Haddad
#BancoCentral #Brasil #Economia
https://t.co/bO5XhLhBWn</t>
  </si>
  <si>
    <t>0,75 pp fora do radar: Até onde vai o corte da Selic? Fim do ciclo pode estar mais perto do que esperado
#BancoCentral #Brasil #Copom
https://t.co/tovozBS2mw</t>
  </si>
  <si>
    <t>6 dicas na ata do Copom para entender o futuro das quedas da Selic
#BancoCentral #Brasil #CMN
https://t.co/4JoqBvITLx</t>
  </si>
  <si>
    <t>Dinheiro esquecido: ainda é possível recuperar R$ 7 bilhões; veja como
#BancoCentral #Bancos #Brasil
https://t.co/wVaG9FB7gG</t>
  </si>
  <si>
    <t>Ata do Copom joga balde de água fria nas apostas de corte de 0,75 pp
#BancoCentral #Brasil #Copom
https://t.co/gXO8bsz6Oq</t>
  </si>
  <si>
    <t>Lula já está de olho no cargo de mais dois diretores do Banco Central; veja a agenda desta terça (8)
#Agenda #AgendadoDia #BancoCentral
https://t.co/81kNzK9k7I</t>
  </si>
  <si>
    <t>Racha no BC: O que o mercado quer encontrar na ata do Copom
#BalançaComercial #BancoCentral #Copom
https://t.co/YkUkhBQjdb</t>
  </si>
  <si>
    <t>FMI elogia BC; Lula diz que organização ‘vai errar’ todas projeções sobre o Brasil
#BancoCentral #Economia #FMI
https://t.co/s3468XEiKd</t>
  </si>
  <si>
    <t>Queda de 0,25 pp na Selic: Por que Copom deve deixar 0,50 pp de lado neste primeiro corte
#BancoCentral #Copom #Economia
https://t.co/DqLxf3IfLR</t>
  </si>
  <si>
    <t>Corte na Selic: Inflação pode jogar contra na campanha pela queda dos juros; entenda
#BancoCentral #Brasil #Copom
https://t.co/tbDr0ufkmK</t>
  </si>
  <si>
    <t>Dólar tem leve alta ante real com expectativa por ata do Fed e de olho na Câmara
#B3 #BancoCentral #CâmaradosDeputados
https://t.co/Ll6XRyhdWe</t>
  </si>
  <si>
    <t>Ponto para o Lula: Comissão do Senado aprova indicações do governo para diretoria do BC
#BancoCentral #Economia #FeedPrincipal
https://t.co/ZxwzM9SUJU</t>
  </si>
  <si>
    <t>Medidas do governo geraram perspectiva de flexibilização monetária para breve, diz Galípolo em sabatina
#BancoCentral #Economia #FeedPrincipal
https://t.co/rpCDkNeuwf</t>
  </si>
  <si>
    <t>Bancos centrais surpreendem e fecham junho com forte movimento de altas de juros; entenda
#BancoCentral #BancoCentralEuropeu(BCE) #Economia
https://t.co/5n2irBXdBZ</t>
  </si>
  <si>
    <t>Fim do débito automático? Banco Central prevê nova função do Pix; entenda como irá funcionar
#BancoCentral #Brasil #Economia
https://t.co/RPEckccLcf</t>
  </si>
  <si>
    <t>Pix: Bancos podem cobrar por transação? Confira o que diz o Banco Central
#BancoCentral #Bancos #CaixaEconômicaFederal
https://t.co/m48WriHPVR</t>
  </si>
  <si>
    <t>Ibovespa (IBOV) sobe em dia de Copom e Powell; veja os indicadores desta quarta (21)
#BancoCentral #Brasil #Copom
https://t.co/hJbLeoh2nT</t>
  </si>
  <si>
    <t>Por que o Copom vai manter a Selic em 13,75%?
#BancoCentral #Brasil #Copom
https://t.co/1UsU6S1PVz</t>
  </si>
  <si>
    <t>Dólar tem leve queda frente ao real antes de Powell e Copom
#BancoCentral #Brasil #Câmbio
https://t.co/MjzB0bVJM8</t>
  </si>
  <si>
    <t>Copom caminha para última reunião de manutenção da Selic em 13,75%; veja o que movimenta a quarta (21)
#Agenda #AgendadoDia #BancoCentral
https://t.co/4fLeRAXCE9</t>
  </si>
  <si>
    <t>Exclusivo: Selic a 12%? Não amanhã; por que corte é difícil, segundo gestora de ex-BC
#BancoCentral #Economia #Exclusivo
https://t.co/DdgtsGqViK</t>
  </si>
  <si>
    <t>Lula leva Banco Central para lado pessoal e se desgasta com mercado; entenda
#BancoCentral #Brasil #Copom
https://t.co/0n8uzgy9ll</t>
  </si>
  <si>
    <t>Ainda vale a pena apostar nos fundos imobiliários indexados à inflação?
#BancoCentral #FeedPrincipal #FIIs
https://t.co/FZwbPfwn9q</t>
  </si>
  <si>
    <t>Ibovespa (IBOV) cai na véspera do Copom nesta terça (20); veja os indicadores do dia
#BancoCentral #Brasil #DowJones
https://t.co/MNrpqnFKGT</t>
  </si>
  <si>
    <t>Pix: Caixa vai cobrar taxa de transferência; veja quem será cobrado
#BancoCentral #CaixaEconômicaFederal #Economia
https://t.co/yzI7JvJgZ7</t>
  </si>
  <si>
    <t>Última Selic de 13,75%? Cinco pontos que o Banco Central vai avaliar antes de cortar os juros
#ArcabouçoFiscal #BancoCentral #Brasil
https://t.co/zpoAKyGLGb</t>
  </si>
  <si>
    <t>Virando a chavinha: Copom e as perspectivas do mercado, dividendos bilionários, ChatGPT e outros destaques do dia
#AnáliseMacro #BancoCentral #Brasil
https://t.co/MkKPIJaU1k</t>
  </si>
  <si>
    <t>Arcabouço fiscal deve sofrer mudanças no Senado; veja o que movimenta a terça (20)
#ArcabouçoFiscal #BancoCentral #Brasil
https://t.co/xtJekXq299</t>
  </si>
  <si>
    <t>Aceitando a inflação? Projeções da Fazenda começam a se alinhar com o mercado; confira
#BancoCentral #Brasil #Economia
https://t.co/MbFbGhbNAu</t>
  </si>
  <si>
    <t>Haddad diz que programa para baratear veículos deve vigorar até que juros comecem a cair
#Automóveis #BancoCentral #Brasil
https://t.co/liQNCDDRj7</t>
  </si>
  <si>
    <t>Brasil tem déficit externo acima do esperado em abril, mas acumula o melhor desempenho desde 2017 no ano
#BancoCentral #Brasil #Economia
https://t.co/gQgO0h7zEL</t>
  </si>
  <si>
    <t>Mercado local deixa claro que problema era (ou ainda é) os juros, deduz gestor
#BancoCentral #Copom #Dólar
https://t.co/n9Oh0sEkHd</t>
  </si>
  <si>
    <t>Regime de metas de inflação pode melhorar, sem ser abandonado; entenda
#BancoCentral #CMN #ColunadoEduardoVelho
https://t.co/ggj4kl8uPd</t>
  </si>
  <si>
    <t>Dólar acompanha exterior e recua frente ao real à espera de acordo sobre dívida dos EUA
#B3 #BancoCentral #Câmbio
https://t.co/YHfxYtfl6d</t>
  </si>
  <si>
    <t>Campos Neto e Banco Central voltam para a mira de Lula; veja o que movimenta a sexta (26)
#Agenda #AgendadoDia #BancoCentral
https://t.co/Na5QWE83Hy</t>
  </si>
  <si>
    <t>Taxas futuras de juros têm queda forte com IPCA-15 e núcleos de inflação abaixo do esperado
#BancoCentral #Bancos #Economia
https://t.co/4hSzBFqpB0</t>
  </si>
  <si>
    <t>Daqui ninguém me tira: Campos Neto diz que não vai deixar Banco Central antes de 2024; entenda
#ArcabouçoFiscal #BancoCentral #Brasil
https://t.co/nsCIHMKCFS</t>
  </si>
  <si>
    <t>Campos Neto lembra que inflação ainda não acabou; entenda por que os números do IPCA-15 enganam
#BancoCentral #Brasil #Economia
https://t.co/LinB04hShh</t>
  </si>
  <si>
    <t>Dólar tem leve alta com cautela sobre dívida dos EUA; mercado digere IPCA-15
#BancoCentral #Brasil #Câmbio
https://t.co/RAF2A6m4xw</t>
  </si>
  <si>
    <t>Arcabouço fiscal mais rigoroso abre espaço para cortes na Selic; entenda
#ArcabouçoFiscal #BancoCentral #Brasil
https://t.co/jdkRdMcPYn</t>
  </si>
  <si>
    <t>Lula ganha nova aliada? Luiza Trajano defende queda nos juros; ‘se não tiver sinal, vai ser muito triste’
#BancoCentral #Economia #FeedPrincipal
https://t.co/tQprCkuIxt</t>
  </si>
  <si>
    <t>Servidores do Banco Central prometem ato contra Haddad; entenda
#BancoCentral #Carreiras #EstherDweck
https://t.co/OFSLa9oArj</t>
  </si>
  <si>
    <t>Dólar recua após Câmara aprovar texto-base do arcabouço, mas cautela permanece sobre dívida dos EUA
#BancoCentral #CâmaradosDeputados #Câmbio
https://t.co/U09GAYBqJg</t>
  </si>
  <si>
    <t>Banco Central ‘não é sádico’ e corte nos juros pode estar próximo, avalia economista e ex-presidente do BC
#ArmínioFraga #BancoCentral #Brasil
https://t.co/E71q9g2Xyy</t>
  </si>
  <si>
    <t>Dólar tem leve alta em sessão de volume reduzido após acordo sobre dívida dos EUA
#B3 #BancoCentral #Câmbio
https://t.co/cLYzP7H7Sv</t>
  </si>
  <si>
    <t>Projeção de inflação segue em queda com arcabouço fiscal no Senado; confira o Focus desta segunda (29)
#ArcabouçoFiscal #BalançaComercial #BancoCentral
https://t.co/Fr483qLmJw</t>
  </si>
  <si>
    <t>Campos Neto diz que surpresas positivas no PIB são resultado de reformas estruturais feitas nos últimos anos
#BancoCentral #Economia #FeedPrincipal
https://t.co/IgNstV5aSh</t>
  </si>
  <si>
    <t>O valor do maior Pix já feito, segundo o BC
#BancoCentral #Brasil #Economia
https://t.co/O2IGqQtQGQ</t>
  </si>
  <si>
    <t>Corte da Selic vem mais fraco? Saiba o que diz Campos Neto
#BancoCentral #Economia #Entrevista
https://t.co/1860weBx8q</t>
  </si>
  <si>
    <t>Autoridades terão acesso instantâneo a dados do Pix; entenda nova medida do BC contra fraudes
#BancoCentral #Justiça #PIX
https://t.co/u3NDBB6lRy</t>
  </si>
  <si>
    <t>Mercado volta a subir projeções de inflação após alta nos combustíveis; confira o Focus desta segunda (21)
#BalançaComercial #BancoCentral #Brasil
https://t.co/6pgagg6uHD</t>
  </si>
  <si>
    <t>Pix internacional: Países onde já é possível usar o meio de pagamento do Banco Central
#BancoCentral #Brasil #Economia
https://t.co/i2Lll1D32x</t>
  </si>
  <si>
    <t>Campos Neto: Corte na Selic de 0,50 pp é apropriado; próximo deve ser no mesmo patamar
#BancoCentral #Copom #Economia
https://t.co/b5bHNobTW2</t>
  </si>
  <si>
    <t>Campos Neta leva ‘puxão de orelha’ após falar em extinção do rotativo do cartão de crédito; entenda qual o plano
#BancoCentral #Brasil #CartõesdeCrédito
https://t.co/34QVNmwRcu</t>
  </si>
  <si>
    <t>Pix vai ser taxado ou não? Entenda as falas de Campos Neto
#BancoCentral #Drex #Economia
https://t.co/X5vJnxDymL</t>
  </si>
  <si>
    <t>Os riscos que o novo Copom pode trazer para o Brasil
#BancoCentral #ColunadoMarketMakers #Copom
https://t.co/aJSJEDuY8M</t>
  </si>
  <si>
    <t>10 vezes sem juros: Como a inflação fez o mundo ‘se abrasileirar’ quando o assunto é pagamentos
#BancoCentral #EstadosUnidos(EUA) #FeedPrincipal
https://t.co/afXPR1MMqT</t>
  </si>
  <si>
    <t>Queda de 0,75 pp na Selic: Haddad já se prepara para cortes maiores na taxa de juros
#BancoCentral #Brasil #Economia
https://t.co/CAOoXVx2Zh</t>
  </si>
  <si>
    <t>Selic em queda é bom para qual segmento de fundos imobiliários?
#BancoCentral #Copom #FeedPrincipal
https://t.co/PY7RBE39er</t>
  </si>
  <si>
    <t>Fundos imobiliários: O gatilho que abriu caminho para a máxima histórica do Ifix
#BancoCentral #Copom #FeedPrincipal
https://t.co/cqZ2usBgjA</t>
  </si>
  <si>
    <t>O que explica a maior cotação do dólar em quase um mês após corte na Selic?
#BancoCentral #Câmbio #Copom
https://t.co/hVHzQg0cdt</t>
  </si>
  <si>
    <t>EUA copiou Pix brasileiro? Fed lança serviço similar ao ‘orgulho de Campos Neto’
#BancoCentral #Bancos #FederalReserve
https://t.co/a1WAZb06hy</t>
  </si>
  <si>
    <t>Campos Neto x Galípolo: Laços entre Banco Central, Lula e Haddad devem ser estreitados; entenda
#AtivaInvestimentos #BancoCentral #Economia
https://t.co/4dZdbPFgNa</t>
  </si>
  <si>
    <t>Dia do Desenrola: Caixa prepara mutirão para renegociar dívidas; confira
#BancoCentral #Brasil #CaixaEconômicaFederal
https://t.co/O5GMHgh6r0</t>
  </si>
  <si>
    <t>Queda da Selic vai estimular follow-on de fundos imobiliários, diz gestor da Tellus
#BancoCentral #FeedPrincipal #FIIs
https://t.co/bBGGH2nhAf</t>
  </si>
  <si>
    <t>Campos Neto teria tentado silenciar Galípolo e tensão sobe no Banco Central; entenda
#BancoCentral #Brasil #GabrielGalípolo
https://t.co/thFw1HND5I</t>
  </si>
  <si>
    <t>Greve no Banco Central? Concurso público desagrada servidores, que podem reforçar paralisações; entenda
#BancoCentral #Brasil #Carreiras
https://t.co/cdsPtnc436</t>
  </si>
  <si>
    <t>Corte da Selic depende de outro fator além de Copom e inflação; entenda
#BancoCentral #Brasil #CMN
https://t.co/7DzmWDRXGw</t>
  </si>
  <si>
    <t>Corte da Selic em agosto: Entenda a ata do Copom em quatro pontos
#BancoCentral #Brasil #Copom
https://t.co/Mq1L4bSZJs</t>
  </si>
  <si>
    <t>Haddad diz que ata do Copom mostra que harmonização entre BC e governo pode acontecer
#BancoCentral #Copom #Economia
https://t.co/Vk7QGcdPMW</t>
  </si>
  <si>
    <t>Ibovespa (IBOV) cai com prévia de inflação mais alta pesando; veja os indicadores desta terça (27)
#BancoCentral #Brasil #China
https://t.co/ttaj3MuxcA</t>
  </si>
  <si>
    <t>Tesouro Direto hoje: Taxas dos Prefixados caem para 10,34% após corte da Selic em agosto voltar ao radar
#BancoCentral #Copom #Inflação
https://t.co/LIAVAdgTPa</t>
  </si>
  <si>
    <t>Pix vai aposentar o cartão de crédito? Entenda os planos do Banco Central
#BancoCentral #CartõesdeCrédito #FeedPrincipal
https://t.co/EQPOAa5GoM</t>
  </si>
  <si>
    <t>Ata do Copom: Banco Central confirma que pode cortar Selic em agosto; veja o que falta para isso acontecer
#BancoCentral #Brasil #Copom
https://t.co/2LZOnNoYY1</t>
  </si>
  <si>
    <t>Bolsonaro volta para o banco dos réus do TSE; veja o que movimenta a terça (27)
#Agenda #AgendadoDia #BancoCentral
https://t.co/ubg3haP64Y</t>
  </si>
  <si>
    <t>Morning Times: Ata do Copom pode ser novo balde de água fria (ou um cobertor quente)
#BancoCentral #Bolsa #BolsadeValores
https://t.co/RKaVuEn6am</t>
  </si>
  <si>
    <t>Inflação pode pegar mercado de surpresa? Veja o que esperar do IPCA-15 de junho
#BancoCentral #Brasil #Economia
https://t.co/d12He9JMAY</t>
  </si>
  <si>
    <t>Reunião do CMN: Meta de inflação é decisiva para futuro da Selic; entenda
#BancoCentral #Brasil #CMN
https://t.co/gFczNI67zm</t>
  </si>
  <si>
    <t>América Latina pode liderar cortes de juros após aperto monetário recorde
#AméricaLatina #BancoCentral #BancoCentralEuropeu(BCE)
https://t.co/6Bsq3xhHUr</t>
  </si>
  <si>
    <t>Dólar ronda estabilidade de olho na geopolítica e com agenda cheia na semana
#B3 #BancoCentral #Câmbio
https://t.co/30COxOCSSI</t>
  </si>
  <si>
    <t>Fim da Selic a 13,75%: Por que Banco Central pode cortar a taxa de juros em agosto
#BancoCentral #Brasil #Economia
https://t.co/mMpx5O1fIM</t>
  </si>
  <si>
    <t>Luiza Trajano enquadra Campos Neto e suplica por juros mais baixos; ‘muita gente vai quebrar’
#BancoCentral #Economia #FeedPrincipal
https://t.co/Y9pgMlmCsT</t>
  </si>
  <si>
    <t>Dinheiro esquecido: R$ 7 bilhões continuam disponíveis para recuperação; veja como pegar parcela
#BancoCentral #Brasil #Economia
https://t.co/ZZMamPLqtO</t>
  </si>
  <si>
    <t>Arraiá da B3: Casamento da XP e Modal, bomba da PIS/Cofins, as previsões de Stuhlberger e outros destaques do dia
#BancoCentral #China #Economia
https://t.co/NCtFaN6xiG</t>
  </si>
  <si>
    <t>Banco Central não tem pressa em reduzir juros, mas já dá sinais de cortes futuros; veja o que movimenta a terça (3)
#Agenda #AgendadoDia #BancoCentral
https://t.co/cff3COG2Xk</t>
  </si>
  <si>
    <t>Governo criou condições para que BC indique corte de juros a partir de agosto, diz Tebet
#ArcabouçoFiscal #BancoCentral #Brasil
https://t.co/W6v405xLta</t>
  </si>
  <si>
    <t>Taxas futuras de juros de longo prazo sobem com anúncio de Galípolo no BC
#BancoCentral #Economia #FeedPrincipal
https://t.co/WnxizWynfG</t>
  </si>
  <si>
    <t>Galípolo no Banco Central: Jogada de mestre de Lula ou torta de climão no Copom?
#BancoCentral #Brasil #Economia
https://t.co/ptUGS3OHt2</t>
  </si>
  <si>
    <t>Inflação e juros calibram o Ibovespa (IBOV) nesta segunda (8); índice abre em alta
#BancoCentral #Copom #FederalReserve
https://t.co/RoE3p6fSBP</t>
  </si>
  <si>
    <t>Inflação e juros calibram o Ibovespa (IBOV) nesta segunda (8); índice abre em alta
#BancoCentral #Copom #FederalReserve
https://t.co/6jLoBOhLIx</t>
  </si>
  <si>
    <t>Dólar tem leve alta frente ao real com expectativa por dados de inflação dos EUA
#BancoCentral #Câmbio #Copom
https://t.co/zAyz39nGJt</t>
  </si>
  <si>
    <t>Projeções de inflação caem após Banco Central sinalizar que Selic de 13,75% está com dias contados; confira o Focus desta segunda (8)
#BalançaComercial #BancoCentral #Brasil
https://t.co/xEXSHthry7</t>
  </si>
  <si>
    <t>Lula diz que Campos Neto está ‘louco’ e que ‘não tem compromisso com o Brasil’; veja o que movimenta a segunda-feira (08)
#Agenda #AgendadoDia #BancoCentral
https://t.co/g6aJoFIwzd</t>
  </si>
  <si>
    <t>Brasil tem o maior juro real do mundo: O que isso significa e como impacta o seu bolso
#BancoCentral #Brasil #Dólar
https://t.co/FzntGXMNbZ</t>
  </si>
  <si>
    <t>Lula: Não bato no Banco Central, mas BC não é intocável; confira a entrevista
#BancoCentral #Copom #GovernoFederal
https://t.co/5zo5NhhB7O</t>
  </si>
  <si>
    <t>Open Finance: o Brasil como referência mundial de implementação
#BancoCentral #Bancos #ColunadoBankly
https://t.co/gbejhfVK1l</t>
  </si>
  <si>
    <t>Rotativo do cartão: Febraban barra comercial sobre parcelamento; entenda por que e o que está em jogo
#BancoCentral #Bancos #Brasil
https://t.co/Gpcb6iDbQd</t>
  </si>
  <si>
    <t>Campos Neto planeja deixar tudo na mão da Inteligência Artificial; veja como vai funcionar
#BancoCentral #Drex #Economia
https://t.co/SLwiVjg1Bj</t>
  </si>
  <si>
    <t>Última apresentação antes do Copom, Campos Neto fala sobre a importância da política monetária perseverar
#BancoCentral #Economia #FeedPrincipal
https://t.co/Yiwbo4qL5p</t>
  </si>
  <si>
    <t>Já aderiu ao Open Finance? Complemento do Pix já é usado por 28 milhões de pessoas
#BancoCentral #FeedPrincipal #OpenFinance
https://t.co/rwf37pS224</t>
  </si>
  <si>
    <t>Espaço para reduzir a Selic: Galípolo explica como juros podem cair e continuar restritivos
#BancoCentral #Economia #GabrielGalípolo
https://t.co/Zzjbe5PkI6</t>
  </si>
  <si>
    <t>O fantasma da inflação voltou? Campos Neto diz que batalha ainda não está ganha
#BancoCentral #Brasil #Economia
https://t.co/IK2a5JSLN1</t>
  </si>
  <si>
    <t>Drex: 1ª fase atrasa em 3 meses; veja como isso afeta o cronograma do real digital
#BancoCentral #Drex #Economia
https://t.co/Ydct5V8Wat</t>
  </si>
  <si>
    <t>Ibovespa (IBOV) opera em baixa após piora nas projeções de inflação do Focus; veja os indicadores desta segunda (21)
#Alemanha #Ásia #BancoCentral
https://t.co/ZQRrQx73N9</t>
  </si>
  <si>
    <t>Mercado pausa projeções de inflação e Selic após ata do Copom; confira o Focus desta segunda (14)
#BalançaComercial #BancoCentral #Brasil
https://t.co/1tZYiISoIl</t>
  </si>
  <si>
    <t>Petrobras se prepara para subir preço da gasolina e do diesel; veja a agenda desta segunda (14)
#Agenda #AgendadoDia #BancoCentral
https://t.co/0sfkAKVqWc</t>
  </si>
  <si>
    <t>O impacto do corte de 0,50 pp da Selic no Governo Lula e na economia
#BancoCentral #Brasil #Copom
https://t.co/sp67WdC5Fm</t>
  </si>
  <si>
    <t>Ex-presidente do Banco Central elogia a decisão de redução na taxa de juros; entenda
#ArmínioFraga #BancoCentral #Economia
https://t.co/9m4fJow1Lm</t>
  </si>
  <si>
    <t>Como a queda da Selic afeta o seu dia a dia
#BancoCentral #Brasil #Câmbio
https://t.co/7zQrXSUeTK</t>
  </si>
  <si>
    <t>Selic a 11,75%: 0,50 pp já foi, e agora? Veja de quantos devem ser os próximos cortes
#BancoCentral #Copom #Economia
https://t.co/RtxToF0pti</t>
  </si>
  <si>
    <t>Fundos imobiliários: Queda da Selic destrava e índice chega a 3.200 pontos; é hora de comprar?
#BancoCentral #Copom #FeedPrincipal
https://t.co/fyy19ajpFY</t>
  </si>
  <si>
    <t>Selic em 13,25%: Veja quem vai sentir o corte nos juros primeiro
#BancoCentral #Brasil #Copom
https://t.co/qAo1mqCjQp</t>
  </si>
  <si>
    <t>Selic a 13,25%: 10 fundos imobiliários com dividendo acima da taxa, que vai cair mais
#BancoCentral #Copom #Dividendos
https://t.co/jyZdvTwBXe</t>
  </si>
  <si>
    <t>Haddad comemora mais uma vitória econômica; veja a agenda desta quinta (3)
#BancoCentral #Brasil #Copom
https://t.co/z4RCiAO40M</t>
  </si>
  <si>
    <t>Morning Times: Bola dentro do Banco Central deve ser bem recebida pelo Ibovespa
#BancoCentral #Bolsa #BolsadeValores
https://t.co/an5d4FGS6E</t>
  </si>
  <si>
    <t>Gleisi Hoffmann ataca Campos Neto após primeiro corte da Selic em três anos
#BancoCentral #Copom #Economia
https://t.co/o96YdQjJSO</t>
  </si>
  <si>
    <t>Cortes na Selic: Projeção de redução nos juros ganha mais adeptos; entenda
#BancoCentral #Bancos #Brasil
https://t.co/CqBI9i0eb7</t>
  </si>
  <si>
    <t>A jornada ou o destino? Taxa Selic e meta de inflação, privatização da Copel, Petrobras na venda da Braskem e outros destaques do dia
#BancoCentral #Inflação #OMelhordoSeuDinheiro
https://t.co/83fdk9WJze</t>
  </si>
  <si>
    <t>Morning Times: Promessa de deflação deve animar o dia com esperança de Selic baixa
#BancoCentral #Bolsa #BolsadeValores
https://t.co/Uiywt43t41</t>
  </si>
  <si>
    <t>Deflação em junho é mais um motivo para cortar Selic em agosto; veja o que esperar do IPCA
#BancoCentral #Brasil #Economia
https://t.co/6lW0EwjRyF</t>
  </si>
  <si>
    <t>Pix tem recorde de uso; confira três novidades que estão chegando no meio de pagamento
#BancoCentral #Bancos #Brasil
https://t.co/hMNiv1TPfI</t>
  </si>
  <si>
    <t>Projeção da inflação cai na véspera do IPCA de junho; confira o Focus desta segunda (10)
#BalançaComercial #BancoCentral #Brasil
https://t.co/vxGVFO99mR</t>
  </si>
  <si>
    <t>Mudanças no Copom? Deputado quer ministro da Fazenda no Comitê; entenda
#BancoCentral #Brasil #CâmaradosDeputados
https://t.co/Kc69GsUV8J</t>
  </si>
  <si>
    <t>Dólar ronda estabilidade frente ao real após Copom
#B3 #BancoCentral #Câmbio
https://t.co/KDUt0K7gvy</t>
  </si>
  <si>
    <t>Começa julgamento que pode deixar Bolsonaro inelegível; veja o que movimenta a quinta (22)
#Agenda #AgendadoDia #BancoCentral
https://t.co/TM2KMzfpJ8</t>
  </si>
  <si>
    <t>Dividendos: 11 fundos imobiliários para apostar antes que a Selic caia
#BancoCentral #Copom #Dividendos
https://t.co/wG9BtO8bnz</t>
  </si>
  <si>
    <t>Morning Times: Mercado foi pego de surpresa (e não foi no bom sentido)
#Ásia #BancoCentral #BolsadeValores
https://t.co/pmq6XWhndx</t>
  </si>
  <si>
    <t>Selic em 13,75%: Quatro pontos para entender o comunicado do Copom e a decisão do Banco Central
#BancoCentral #Brasil #Copom
https://t.co/7BuoLu3lFz</t>
  </si>
  <si>
    <t>Copom mantém Selic em 13,75%: Mercado se surpreende com tom mais duro que esperado
#BancoCentral #Copom #Economia
https://t.co/CelV707LwL</t>
  </si>
  <si>
    <t>Contagem regressiva: Copom mantém Selic em 13,75%
#BancoCentral #Brasil #Copom
https://t.co/9Y3pLXmUPJ</t>
  </si>
  <si>
    <t>Tesouro Direto: Quais títulos ganham com corte da Selic só em agosto?
#BancoCentral #Copom #Economia
https://t.co/OuL4cAoUAT</t>
  </si>
  <si>
    <t>Selic a 13,75%: Quanto rende até R$ 10 mil no Tesouro Selic, CDB a 110% do CDI e poupança
#BancoCentral #C6Bank #CDB
https://t.co/XWJiWNe0jj</t>
  </si>
  <si>
    <t>Dólar recua frente ao real com suspensão do teto da dívida dos EUA e antes de dados de emprego
#B3 #BancoCentral #Câmbio
https://t.co/4TDVhGVpuZ</t>
  </si>
  <si>
    <t>Munição contra o Banco Central: Ministros de Lula aproveitam alta do PIB para pesar na Selic
#BancoCentral #Brasil #Economia
https://t.co/LKc5QgwlOW</t>
  </si>
  <si>
    <t>Caiu no golpe do PIX? Veja o que fazer para ter o seu dinheiro de volta
#BancoCentral #Crime #Economia
https://t.co/gDUpNccdpA</t>
  </si>
  <si>
    <t>Dólar recua com otimismo sobre teto da dívida dos EUA; mercado digere PIB acima do esperado
#B3 #BancoCentral #Brasil
https://t.co/95Dsa4SFAU</t>
  </si>
  <si>
    <t>O que leva o dólar a disparar ao maior valor em dois meses?
#BancoCentral #Câmbio #China
https://t.co/fPWoJVT4bC</t>
  </si>
  <si>
    <t>Selic abaixo de 13,75% em agosto? Mercado e governo estão desalinhados sobre cortes na taxa de juros
#BancoCentral #Brasil #Economia
https://t.co/EyXlTPuami</t>
  </si>
  <si>
    <t>Brasil tem fluxo cambial negativo de US$ 2,925 bi em maio até dia 26, diz BC
#BancoCentral #Câmbio #Economia
https://t.co/1rhj85N4Jf</t>
  </si>
  <si>
    <t>Ibovespa (IBOV) afunda em último pregão do mês junto com Wall Street; veja os indicadores desta quarta (31)
#Ásia #BancoCentral #Brasil
https://t.co/76R0yJaPiC</t>
  </si>
  <si>
    <t>BC vê desaceleração do crédito “compatível” com política monetária e cita sistema financeiro “resiliente”
#BancoCentral #Brasil #Economia
https://t.co/P3sfxF6XtD</t>
  </si>
  <si>
    <t>Fim da Selic a 13,75%? O que está levando Campos Neto e o mercado a reduzirem as projeções de inflação
#ArcabouçoFiscal #BancoCentral #Brasil
https://t.co/4Hrb1rvBzr</t>
  </si>
  <si>
    <t>Ibovespa (IBOV) tenta alta nesta terça (30), junto com NY
#Ações #BancoCentral #Empresas
https://t.co/Xr0AKM89Ui</t>
  </si>
  <si>
    <t>Campos Neto admite melhora na inflação e projeta continuidade nas quedas; veja o que movimenta a terça (30)
#Agenda #AgendadoDia #BancoCentral
https://t.co/jq1Lhy0HSl</t>
  </si>
  <si>
    <t>Ibovespa (IBOV) deve ter sessão mais animada nesta terça-feira (30); veja o que esperar para o dia
#Ações #ADR's #BancoCentral
https://t.co/3UU3Ny7BXK</t>
  </si>
  <si>
    <t>Cartão de crédito: Uso cresce 30% entre 2019 e 2022
#AgênciaBrasil #BancoCentral #CartõesdeCrédito
https://t.co/W12maiiEuI</t>
  </si>
  <si>
    <t>Mercado financeiro brasileiro vai mudar de maneira radical; saiba por quê
#BancoCentral #Bancos #BolsadeValores
https://t.co/qmspk0tJgK</t>
  </si>
  <si>
    <t>Shein, Shopee e AliExpress: Taxação afugenta compradores e brasileiros reduzem compras no exterior
#Aliexpress #BancoCentral #Brasil
https://t.co/Bedv7pbGYL</t>
  </si>
  <si>
    <t>Não se acostume com a inflação: é uma armadilha!
#BancoCentral #ColunadaGeizebelSchieferdecker #Copom
https://t.co/KcPikghXjU</t>
  </si>
  <si>
    <t>Dólar acompanha exterior e recua ante real
#B3 #BancoCentral #Câmbio
https://t.co/9teOuHEnpI</t>
  </si>
  <si>
    <t>Projeções de inflação sobem após ata do Copom e IPCA de abril mais alto que o esperado; confira o Focus desta segunda (15)
#BalançaComercial #BancoCentral #Dólar
https://t.co/R2g7xCFJlk</t>
  </si>
  <si>
    <t>Projeções de inflação tem alta pela 2ª vez; confira o Focus desta segunda (11)
#BalançaComercial #BancoCentral #Câmbio
https://t.co/TR9JuGlIt5</t>
  </si>
  <si>
    <t>Pix ‘sem parar’? Banco Central projeta novas funcionalidades para o meio de pagamento; confira
#BancoCentral #Economia #FeedPrincipal
https://t.co/6s3pUJtnjX</t>
  </si>
  <si>
    <t>Ibovespa (IBOV) opera em alta sem Wall Street; veja os indicadores desta segunda (04)
#BancoCentral #Bolsa #BolsadeValores
https://t.co/gFfRcL2EyK</t>
  </si>
  <si>
    <t>Projeções de inflação voltam a subir com meta fiscal em risco; confira o Focus desta segunda (04)
#BalançaComercial #BancoCentral #Brasil
https://t.co/7InkpMKmxD</t>
  </si>
  <si>
    <t>Rotativo do cartão: Entenda o que é e o que o governo quer mudar
#BancoCentral #Bancos #Brasil
https://t.co/LopJoAnh3k</t>
  </si>
  <si>
    <t>Pix, Open Finance e Drex: Campos Neto avalia o futuro dos pagamentos no Brasil
#BancoCentral #Drex #Economia
https://t.co/ksIK0gNtQ5</t>
  </si>
  <si>
    <t>Campos Neto rebate Lula e quebra expectativa para Selic; ‘Banco Central é técnico’
#BancoCentral #Economia #FeedPrincipal
https://t.co/wZz3gxoHbu</t>
  </si>
  <si>
    <t>Credores que ‘esqueceram’ de resgatar mais de R$ 118 milhões no FGC ainda podem solicitar; veja como
#BancoCentral #Bancos #Economia
https://t.co/G8ePvap0wr</t>
  </si>
  <si>
    <t>Campos Neto alerta sobre inflação e gastos acima da média
#BancoCentral #Economia #FeedPrincipal
https://t.co/sVawa1iMf1</t>
  </si>
  <si>
    <t>Quebra do período de silêncio? Entenda a reunião secreta de Campos Neto e e Bolsonaro em dia do Copom
#BancoCentral #Brasil #Copom
https://t.co/ol2Uoadnk4</t>
  </si>
  <si>
    <t>Selic em 13,25%, Campos Neto e promessa de mais cortes; tudo o que surpreendeu (positivamente) o mercado
#BancoCentral #Brasil #Copom
https://t.co/AzXCsxpKIm</t>
  </si>
  <si>
    <t>Dividendos de até 43%: PETR4 e mais 4 ações pagam mais que a nova Selic a 13,25%
#Ações #BancoCentral #CSN
https://t.co/8v1ZQlZQ8H</t>
  </si>
  <si>
    <t>Selic em 13,25%: Entenda o comunicado do Copom sobre o corte nos juros
#BancoCentral #Brasil #Copom
https://t.co/8bhYUlPHpI</t>
  </si>
  <si>
    <t>Aceno ao PT? Veja qual foi o voto de Campos Neto no Copom
#BancoCentral #Copom #Juros
https://t.co/jQeIaqcOHD</t>
  </si>
  <si>
    <t>Selic em 13,25%: Banco Central reduz juros em 0,50 pp; é o primeiro corte do Copom em três anos
#BancoCentral #Brasil #Copom
https://t.co/HhGftBDOtF</t>
  </si>
  <si>
    <t>Fundos imobiliários voltam a subir antes do Copom; Dividendo negativo por culpa de gigante da Bolsa
#BancoCentral #BBProgressivo #BTGPactualCorporateOffice
https://t.co/gZyh79T25z</t>
  </si>
  <si>
    <t>À espera do Copom: Haddad vê espaço para o corte de 0,50 pp na Selic
#BancoCentral #Copom #Desenrola
https://t.co/P9oe49eiRd</t>
  </si>
  <si>
    <t>Selic a 13,50% ou 13,25%? Galípolo pode confundir mercado em seu 1º voto no Copom
#B3 #BancoCentral #Copom
https://t.co/9bO4h6eAkg</t>
  </si>
  <si>
    <t>Selic em 13,75%: Nova nota dos EUA pode fazer Campo Neto mudar de ideia sobre corte?
#BancoCentral #Brasil #Copom
https://t.co/AnBgRUmyLF</t>
  </si>
  <si>
    <t>Campos Neto não sai da cabeça de Lula; presidente pede queda da Selic em dia do Copom
#BancoCentral #Brasil #Copom
https://t.co/f71qySxy2o</t>
  </si>
  <si>
    <t>Ibovespa (IBOV) derrete à espera do Copom; veja os indicadores desta quarta (02)
#BancoCentral #Bolsa #BolsadeValores
https://t.co/P4tpAyWxXz</t>
  </si>
  <si>
    <t>O que o Banco Central vai levar em conta na hora de cortar (ou não) a Selic
#BancoCentral #Brasil #Copom
https://t.co/j5V82N1VTp</t>
  </si>
  <si>
    <t>Gabriel Galípolo e Ailton Aquino são nomeados diretores do Banco Central
#BancoCentral #Economia #FeedPrincipal
https://t.co/pOPKK6zUsR</t>
  </si>
  <si>
    <t>Campos Neto fora do Banco Central? Presidente vai ao Senado prestar esclarecimentos
#BancoCentral #Brasil #Economia
https://t.co/m0U73luyzJ</t>
  </si>
  <si>
    <t>Magalu (MGLU3): Luiza Trajano errou? Briga pelo corte da Selic não pega bem para varejista, diz analista
#BancoCentral #FeedPrincipal #Inflação
https://t.co/AlyhMzPtxI</t>
  </si>
  <si>
    <t>Dólar tem leve alta após ata do Fed e com expectativa por votação da reforma tributária
#B3 #BancoCentral #Câmbio
https://t.co/f1HyrhZlp7</t>
  </si>
  <si>
    <t>Quanto custa a Selic a 13,75% para o país? Governo gastou R$ 1,2 tri com aperto monetário
#BancoCentral #Brasil #DívidaPública
https://t.co/XPVc0CaG9z</t>
  </si>
  <si>
    <t>Dólar: Veja o que pode atrapalhar moeda abaixo de R$ 4,80 até o fim do ano
#ArcabouçoFiscal #BancoCentral #Câmbio
https://t.co/sKj474B6VS</t>
  </si>
  <si>
    <t>Dólar avança ante real com aversão a risco externa
#B3 #BancoCentral #Câmbio
https://t.co/iN1xqyx1Ge</t>
  </si>
  <si>
    <t>Lula e Haddad sobem o tom com o Banco Central; veja o que movimenta a sexta (23)
#Agenda #AgendadoDia #BancoCentral
https://t.co/7MA2gbUDnq</t>
  </si>
  <si>
    <t>Morning Times: Passado o susto, hora do mercado buscar o balde
#Ásia #BancoCentral #BolsadeValores
https://t.co/lZjQIzwM9c</t>
  </si>
  <si>
    <t>Fundos imobiliários: Sangria após Copom e fim de sequência positiva
#BancoCentral #CaixaEconômicaFederal #Copom
https://t.co/L6bNVYN71F</t>
  </si>
  <si>
    <t>Haddad critica comunicação do Copom sobre decisão da taxa Selic; ‘muito ruim’, diz
#BancoCentral #Copom #Economia
https://t.co/LKLbExLiQB</t>
  </si>
  <si>
    <t>Tesouro direto hoje: Taxas caem após manutenção da Selic e Prefixado 2029 sobe 19% na marcação à mercado
#BancoCentral #Copom #FederalReserve
https://t.co/FYgpguP6IS</t>
  </si>
  <si>
    <t>Selic a 13,75%: Quando o Banco Central vai cortar os juros? Reajuste de agosto ainda não foi descartado
#BancoCentral #Brasil #Copom
https://t.co/0aO6noi1lw</t>
  </si>
  <si>
    <t>Ibovespa (IBOV): 3 fatores que levam índice a derreter nesta quinta-feira
#BancoCentral #Ibovespa #Mercados
https://t.co/XU3JUgb3Sv</t>
  </si>
  <si>
    <t>Ibovespa (IBOV) afunda após bater no iceberg do Banco Central; veja os indicadores desta quinta (22)
#BancoCentral #BolsadeValores #Brasil
https://t.co/zjLv5qmlxO</t>
  </si>
  <si>
    <t>É guerra: Lula e equipe econômica recebem mal decisão do Banco Central sobre Selic
#BancoCentral #Brasil #CNI
https://t.co/qXqTq99grD</t>
  </si>
  <si>
    <t>Sabatina de Galípolo na CAE do Senado é adiada para 4 de julho
#BancoCentral #Brasil #CAE
https://t.co/CPxoar4ngR</t>
  </si>
  <si>
    <t>Bancos realizam mudanças ‘aleatórias e silenciosas’ nos cartões de crédito que podem gerar dívidas, aponta Idec
#BancoCentral #Bancos #Consumo
https://t.co/9WztYUydMD</t>
  </si>
  <si>
    <t>Governo deveria parabenizar Banco Central pela inflação baixa, diz economista
#BancoCentral #Brasil #Economia
https://t.co/E4LyV98VIg</t>
  </si>
  <si>
    <t>Lula volta a criticar Selic em 13,75%; veja o que movimenta a quarta (7)
#Agenda #AgendadoDia #BancoCentral
https://t.co/HoFMN4Krxk</t>
  </si>
  <si>
    <t>Lei da Selic? Projeto prevê transparência na decisão da taxa de juros
#BancoCentral #Brasil #CâmaradosDeputados
https://t.co/Bp7AgoWfpC</t>
  </si>
  <si>
    <t>Horizonte de convergência da inflação à meta deve ser flexível, diz diretor do Banco Central
#BancoCentral #BradescoBBI #Brasil
https://t.co/TU92hu8646</t>
  </si>
  <si>
    <t>Surpresa no PIB veio principalmente do agro, mas confiança segue baixa, diz Guillen, do BC
#BancoCentral #BradescoBBI #Brasil
https://t.co/lw5H7fnk8A</t>
  </si>
  <si>
    <t>Ibovespa (IBOV) busca fôlego nesta segunda (5) com dados de inflação e petróleo
#Ações #BancoCentral #Empresas
https://t.co/7frcyn7b0g</t>
  </si>
  <si>
    <t>Dólar tem leve alta frente ao real com expectativas sobre Fed
#B3 #BancoCentral #Câmbio
https://t.co/dT8JmumcUR</t>
  </si>
  <si>
    <t>Projeção de inflação cai pela terceira semana seguida; confira o Focus desta segunda (5)
#BancoCentral #Brasil #Câmbio
https://t.co/fqVfkgWTXH</t>
  </si>
  <si>
    <t>Campos Neto na mira: Governo espera corte nos juros e ameaça BC com ‘desdobramentos’
#BancoCentral #Economia #FeedPrincipal
https://t.co/g8l9v308ZG</t>
  </si>
  <si>
    <t>Campos Neto: ‘Sou muito contra uma eventual moeda comum entre Brasil e outros países’
#BancoCentral #FeedPrincipal #Moedas
https://t.co/FuRgOFoKLF</t>
  </si>
  <si>
    <t>De olho na Selic: Economia dá sinais de que alta na taxa de juros fez efeito; entenda
#BancoCentral #Brasil #Economia
https://t.co/qUbDSjfb79</t>
  </si>
  <si>
    <t>O que é bom para o real e ruim para o dólar é menos dívida
#BancoCentral #ColunadoEduardoVelho #Contaspúblicas
https://t.co/lttLYv2rv6</t>
  </si>
  <si>
    <t>Taxas futuras de juros caem em sintonia com o exterior e à espera do Copom
#BancoCentral #Copom #Economia
https://t.co/be4zn6yM1l</t>
  </si>
  <si>
    <t>Brasil registra fluxo cambial positivo de US$ 844 mi em abril, diz Banco Central
#BancoCentral #Bancos #Câmbio
https://t.co/L6OAEL1A9i</t>
  </si>
  <si>
    <t>Ibovespa (IBOV) cai em dia de Copom e agenda de indicadores cheia nesta quarta-feria (3)
#BancoCentral #Brasil #China
https://t.co/RScCZfFbEZ</t>
  </si>
  <si>
    <t>Lula vai indicar novo ‘braço direito’ de Campos Neto nesta semana; veja quem são os cotados
#BancoCentral #Brasil #Economia
https://t.co/2zNicNYvmN</t>
  </si>
  <si>
    <t>Dólar cai frente ao real antes de decisões de política monetária
#B3 #BancoCentral #Brasil
https://t.co/oWxbyUFoYQ</t>
  </si>
  <si>
    <t>Campos Neto de orelha quente por mais 45 dias? Juros no Brasil e nos EUA, PF na casa de Bolsonaro, melhores ações para maio e outros destaques do dia
#BancoCentral #FederalReserve #JairBolsonaro
https://t.co/R30mpGNv5Z</t>
  </si>
  <si>
    <t>Ibovespa (IBOV) enfrenta Fed e Copom sob pressão na Super Quarta
#BancoCentral #BuladoMercado #Copom
https://t.co/37XsyD6HSZ</t>
  </si>
  <si>
    <t>Banco Central deve manter Selic em 13,75%, enquanto Federal Reserve aperta mais a economia; veja o que movimenta a quarta-feira (03)
#Agenda #AgendadoDia #BancoCentral
https://t.co/xZTtdM4OBI</t>
  </si>
  <si>
    <t>Pix terá segurança reforçada para prevenir fraudes; veja mudanças
#BancoCentral #Economia #FeedPrincipal
https://t.co/86jxrpWJVP</t>
  </si>
  <si>
    <t>Pix parcelado: Confira os bancos que oferecem a modalidade
#BancoCentral #BancodoBrasil #Bancos
https://t.co/dlJC59hqSq</t>
  </si>
  <si>
    <t>Mercado pausa projeções de inflação diante de arcabouço fiscal e IPCA-15; confira o Focus desta segunda (28)
#BalançaComercial #BancoCentral #Câmbio
https://t.co/jBpYx4VxSn</t>
  </si>
  <si>
    <t>O plano de Campos Neto que pode acabar com aplicativos de bancos
#Aplicativo #BancoCentral #Bancos
https://t.co/1zxEc8pMi5</t>
  </si>
  <si>
    <t>IPCA: A influência do índice no corte da taxa Selic
#BancoCentral #ColunadaDevant #Economia
https://t.co/VT5jWeY3TE</t>
  </si>
  <si>
    <t>Governo não quer formar oposição no Banco Central, diz Haddad
#BancoCentral #Entrevista #FernandoHaddad
https://t.co/TbsXo35rnZ</t>
  </si>
  <si>
    <t>Corte da Selic: Galípolo no Copom pode acirrar queda de braço entre Lula e Campos Neto
#B3 #BancoCentral #BankofAmerica
https://t.co/KrkHwQPJMo</t>
  </si>
  <si>
    <t>Nubank (NUBR33) atinge 80 milhões de clientes e se torna o 4º maior banco do Brasil
#BancoCentral #Bancos #Brasil
https://t.co/nZUtlj0UEJ</t>
  </si>
  <si>
    <t>A bola da vez? Novo rating do Brasil reforça corte de 0,50 pp na Selic
#BancoCentral #Brasil #Copom
https://t.co/Su66bXSeqD</t>
  </si>
  <si>
    <t>IPCA-15 e Focus sacramentam corte da Selic na semana que vem; veja de quanto deve ser a redução
#BancoCentral #Brasil #Copom
https://t.co/E2iquXZIiE</t>
  </si>
  <si>
    <t>Teimosia de Campos Neto? Veja o que vai pesar na decisão do Copom sobre a Selic
#BancoCentral #Brasil #Copom
https://t.co/giIrxuTxXb</t>
  </si>
  <si>
    <t>Queda da Selic: Gigantes da Bolsa endossam coro de Luiza Trajano para queda de juros
#Abrainc #BancoCentral #ConstruçãoCivil
https://t.co/z3hHKivwUD</t>
  </si>
  <si>
    <t>Sobe pressão para corte da Selic: Lula cobra e Campos Neto vai responder no Senado
#BancoCentral #Copom #FeedPrincipal
https://t.co/jxDYDcv67t</t>
  </si>
  <si>
    <t>Lula segue alfinetando Campo Neto sobre Selic; ‘A função dele não é só atingir a meta’
#BancoCentral #Brasil #Economia
https://t.co/mgMyoSQ32Q</t>
  </si>
  <si>
    <t>O recado de Haddad sobre a Selic: Há espaço para cortar mais de 0,25 p.p., diz
#BancoCentral #Brasil #Copom
https://t.co/aQTAbjiPE9</t>
  </si>
  <si>
    <t>Selic de 13,25% em agosto? Corte de 0,50 pp ganha força após meta de inflação em 3%
#BancoCentral #Brasil #CMN
https://t.co/FYGtm29jTh</t>
  </si>
  <si>
    <t>Dólar sobe no dia com CMN e dados dos EUA em foco, mas caminha para perdas no 2° tri
#B3 #BancoCentral #Câmbio
https://t.co/W2vCjP2qf4</t>
  </si>
  <si>
    <t>CMN: Movimento do governo antecipa corte da Selic para agosto, vê Rio Bravo
#BancoCentral #Economia #FeedPrincipal
https://t.co/mqxmJvzYYt</t>
  </si>
  <si>
    <t>O recado de Campos Neto sobre o corte da taxa Selic
#AoVivo #BancoCentral #Brasil
https://t.co/Iq2ocDLHhi</t>
  </si>
  <si>
    <t>Ibovespa: As falas de Roberto Campos Neto que fazem índice disparar
#Ações #BancoCentral #FeedPrincipal
https://t.co/HrM4mt8XOE</t>
  </si>
  <si>
    <t>Ibovespa (IBOV) sobe à espera do CMN; veja os indicadores desta quinta (29)
#BancoCentral #CMN #DowJones
https://t.co/NoH35pqelo</t>
  </si>
  <si>
    <t>Por que elevar a meta de inflação não é uma boa ideia?
#BancoCentral #Brasil #CMN
https://t.co/ZJByXD3PHC</t>
  </si>
  <si>
    <t>AO VIVO: Campos Neto fala sobre otimismo com inflação; acompanhe
#AoVivo #BancoCentral #Brasil
https://t.co/GY30O3iaiQ</t>
  </si>
  <si>
    <t>Governo central tem déficit primário de R$ 45 bi em maio, mostra Tesouro
#BancoCentral #BolsaFamília #Brasil
https://t.co/wVkBwGIfHy</t>
  </si>
  <si>
    <t>Dólar recua frente ao real de olho em dados dos EUA e CMN; fim do semestre deve elevar volatilidade
#B3 #BancoCentral #Câmbio
https://t.co/AqvTooxwj7</t>
  </si>
  <si>
    <t>BC eleva previsão de crescimento da economia do Brasil em 2023 para 2,0%, mas alerta para desaceleração
#BancoCentral #Brasil #Copom
https://t.co/HK2Lf5Cqxe</t>
  </si>
  <si>
    <t>Copom deve manter Selic em 13,75% mesmo com pressão de Brasília; confira a agenda da semana
#Agenda #AgendadoDia #BancoCentral
https://t.co/j4mgNv1XR3</t>
  </si>
  <si>
    <t>Taxa de juros alta atinge diretamente os pequenos negócios; entenda
#AgênciaSebrae #BancoCentral #Economia
https://t.co/dRbkfcMDEH</t>
  </si>
  <si>
    <t>Gasolina mais barata: Entenda como corte nos preços da Petrobras (PETR4) reforça projeções de deflação em junho
#BancoCentral #Brasil #Combustíveis
https://t.co/gCx21U58cW</t>
  </si>
  <si>
    <t>Ibovespa (IBOV) contraria NY e opera em queda nesta sexta (16)
#BancoCentral #Empresas #FederalReserve
https://t.co/9x6VKnyZyf</t>
  </si>
  <si>
    <t>Dólar sobe de olho em política monetária, mas segue próximo de mínimas em 1 ano contra real
#B3 #BancoCentral #Brasil
https://t.co/icb7LWfm8T</t>
  </si>
  <si>
    <t>Lula questiona autonomia do Banco Central às vésperas do Copom; veja o que movimenta a sexta (16)
#Agenda #AgendadoDia #BancoCentral
https://t.co/bMUrtrwAPZ</t>
  </si>
  <si>
    <t>3 fatores que podem fazer o Banco Central manter a Selic em 13,75% por mais tempo
#ArcabouçoFiscal #BancoCentral #Brasil
https://t.co/eHaN7Czkw6</t>
  </si>
  <si>
    <t>Lula diz que economia deve crescer 2% ou mais em 2023
#AméricaLatina #BancoCentral #Brasil
https://t.co/KJee53m8LZ</t>
  </si>
  <si>
    <t>Campos Neto rebate críticas de Lula sobre atuação do BC; ‘falta de compreensão sobre regras do jogo’
#BancoCentral #Brasil #Economia
https://t.co/dKiXBTCHEE</t>
  </si>
  <si>
    <t>Números da economia nacional estão mais próximos do lado “otimista”, diz Haddad
#BancoCentral #Brasil #Economia
https://t.co/skgeJobsET</t>
  </si>
  <si>
    <t>Pacheco diz que não haverá retrocesso em autonomia do BC, marco do saneamento e privatização da Eletrobras
#BancoCentral #Eletrobras #Febraban
https://t.co/cidiGs56H2</t>
  </si>
  <si>
    <t>Metas de inflação: Ministério da Fazenda estuda alterações; saiba o que pode mudar
#BancoCentral #Brasil #CMN
https://t.co/XMZuO8ABf1</t>
  </si>
  <si>
    <t>Projeção de inflação desaba após mudança nos preços da Petrobras (PETR4); confira o Focus desta segunda (22)
#BalançaComercial #BancoCentral #Brasil
https://t.co/lgf6kdYaX7</t>
  </si>
  <si>
    <t>‘É a política (…)’ que dita o rumo dos mercados nesta semana
#ArcabouçoFiscal #ArthurLira #BancoCentral
https://t.co/hI8wegWR2q</t>
  </si>
  <si>
    <t>Inflação seguirá alta e quem diz isso não é o Banco Central, mas sim os balanços do 1T23; entenda
#1T23 #BancoCentral #Brasil
https://t.co/6YkZyWCDpp</t>
  </si>
  <si>
    <t>Campos Neto: Passamos muito tempo discutindo nível dos juros, mas precisamos falar de reformas
#BancoCentral #Brasil #Juros
https://t.co/eqfJmCXAIs</t>
  </si>
  <si>
    <t>BCE fará o que for necessário para garantir estabilidade de preços, diz Lagarde
#BancoCentral #BancoCentralEuropeu(BCE) #Bancos
https://t.co/Y7oNvky2I8</t>
  </si>
  <si>
    <t>Haddad diz que Brasil tem obrigação de perseguir crescimento superior à média mundial
#BancoCentral #Brasil #Economia
https://t.co/2QqDv3oXQv</t>
  </si>
  <si>
    <t>Selic a 13,75%: Três fatores que vão pesar mais na decisão do Copom que o Lula
#BancoCentral #Brasil #Copom
https://t.co/UeWzK3shs8</t>
  </si>
  <si>
    <t>Líder do governo afirma que haverá “desdobramentos” no 2º semestre caso taxa de juros siga alta
#BancoCentral #Economia #Juros
https://t.co/fgn91wxQvM</t>
  </si>
  <si>
    <t>Selic a 11,50%: Por que o Itaú BBA vê espaço para corte de 0,75 pp na taxa?
#BancoCentral #Brasil #Copom
https://t.co/x8NHFSI4R1</t>
  </si>
  <si>
    <t>Dinheiro esquecido: Veja como receber fatia dos R$ 7,1 bilhões disponíveis
#BancoCentral #Economia #FeedPrincipal
https://t.co/xUhyfOYYSy</t>
  </si>
  <si>
    <t>Bandeira da paz: O número que faz a Anfavea ‘fazer as pazes’ com Campos Neto
#Anfavea #BancoCentral #Brasil
https://t.co/UAuKutajPe</t>
  </si>
  <si>
    <t>Real Digital: 10 perguntas e respostas sobre o Drex e como vai mudar a relação do brasileiro com dinheiro
#BancoCentral #Brasil #Drex
https://t.co/Q8mxybacgl</t>
  </si>
  <si>
    <t>Campos Neto dá recado: Inflação do Brasil está um pouco pior; entenda motivos
#BancoCentral #Brasil #Economia
https://t.co/NZU9sIZdlp</t>
  </si>
  <si>
    <t>Olha o golpe: Brasil tem 2,8 mil tentativas de fraude por minuto; veja como se proteger
#BancoCentral #FeedPrincipal #FinançasPessoais
https://t.co/PkYpSsN2MS</t>
  </si>
  <si>
    <t>Banco Central: Falha provoca vazamento de dados do PIX; entenda
#BancoCentral #FeedPrincipal #Pagamentos
https://t.co/RgKNxfQocS</t>
  </si>
  <si>
    <t>Pai de todos os ativos: Entenda como o Tesouro americano impacta o Ibovespa (e por que sua alta é um perigo)
#BancoCentral #EstadosUnidos(EUA) #FeedPrincipal
https://t.co/4BpHu6xmci</t>
  </si>
  <si>
    <t>Mercado derruba projeções da Selic e já fala em 11,75% para 2023; confira o Focus desta segunda (07)
#BancoCentral #Brasil #Câmbio
https://t.co/jcwFLG3UO0</t>
  </si>
  <si>
    <t>Queda da Selic: Preços dos imóveis e taxas de financiamento caem juntos?
#BancoCentral #BRZEmpreendimentos #CréditoImobiliário
https://t.co/MfWn60FDQs</t>
  </si>
  <si>
    <t>Mercado volta a reduzir projeções de inflação; confira o Focus desta terça (25)
#BancoCentral #Brasil #Câmbio
https://t.co/9Xf4Qp1H4v</t>
  </si>
  <si>
    <t>Giverno pede investigação contra Campos Neto; veja a agenda desta terça (25)
#Agenda #AgendadoDia #BancoCentral
https://t.co/zKO5XGxfJZ</t>
  </si>
  <si>
    <t>Selic a 13,25% em agosto? Aumenta aposta de corte de juro em 0,5 ponto percentual
#B3 #BancoCentral #BTGPactual
https://t.co/sQg6fnRlR4</t>
  </si>
  <si>
    <t>Por que o Banco Central não publicou o Relatório Focus nesta segunda (24)?
#BalançaComercial #BancoCentral #Brasil
https://t.co/2uLEHffEM0</t>
  </si>
  <si>
    <t>Empresários prometem atrapalhar planos de Haddad; veja a agenda desta segunda (24)
#Agenda #AgendadoDia #BancoCentral
https://t.co/rMAiS4eAFi</t>
  </si>
  <si>
    <t>Morning Times: Bolsas operam em cima do muro em semana de Fed, PIB e PCE
#BancoCentral #Bolsa #BolsadeValores
https://t.co/v8jxvCAvp3</t>
  </si>
  <si>
    <t>Meta de inflação: Haddad descarta mudar meta de 2024 e 2025, mas defende prazos maiores
#BancoCentral #CMN #Copom
https://t.co/MLwP8E9uHM</t>
  </si>
  <si>
    <t>Selic abaixo de 12% em dezembro? Para Mansueto Almeida, do BTG Pactual, é possível
#BancoCentral #BTGPactual #DívidaPública
https://t.co/EjVKMueJHX</t>
  </si>
  <si>
    <t>O que é meta de inflação? Entenda como funciona o sistema e o que pode mudar
#BancoCentral #Brasil #CMN
https://t.co/G5rijxDEvo</t>
  </si>
  <si>
    <t>Redução da Selic: ‘Pior cenário é cortar e ter que voltar a subir’, diz ex-BC e economista do Itaú
#BancoCentral #Brasil #Copom
https://t.co/jW9F7pWrjk</t>
  </si>
  <si>
    <t>Copom: Veja o calendário de reuniões para 2024
#BancoCentral #Brasil #Copom
https://t.co/vYUQLFttOP</t>
  </si>
  <si>
    <t>Ibovespa (IBOV) cai com Powell falando em ‘possível recessão’; veja os indicadores desta quarta (28)
#BancoCentral #BolsadeValores #Brasil
https://t.co/TSj67Omlh8</t>
  </si>
  <si>
    <t>Inadimplência no Brasil atinge em maio nível mais alto em mais de 5 anos
#BancoCentral #Brasil #Economia
https://t.co/hfxtnAmWpV</t>
  </si>
  <si>
    <t>Dólar sobe ante real com foco em falas de chefes de BCs globais
#B3 #BancoCentral #Câmbio
https://t.co/97bEhIe1Cl</t>
  </si>
  <si>
    <t>Um debate do barulho: O quarteto dos bancos centrais, ETF de renda fixa, ação contra a Petrobras e outros destaques do dia
#BancoCentral #BancoCentraldoJapão(BOJ) #BancoCentralEuropeu(BCE)
https://t.co/KglAUXpWu2</t>
  </si>
  <si>
    <t>Morning Times: Ata do Copom traz esperanças, mas falas de BCs podem pesar
#BancoCentral #BancoCentralEuropeu(BCE) #Bolsa
https://t.co/BNYuEi3Qkg</t>
  </si>
  <si>
    <t>Meta de inflação: Entenda o que pode mudar e o que acontece com o Banco Central
#BancoCentral #Brasil #CMN
https://t.co/QjR8HWeIBW</t>
  </si>
  <si>
    <t>Selic em contagem regressiva? Confira de quanto deve ser o corte de agosto
#BancoCentral #Brasil #Copom
https://t.co/RDyvtHC3Jf</t>
  </si>
  <si>
    <t>Dólar sobe frente ao real após tombo da véspera e com Fed no radar
#B3 #BancoCentral #Brasil
https://t.co/M5TVmoa8dH</t>
  </si>
  <si>
    <t>Agora só falta você, Campos Neto: Prejuízo da Oi, a volta da Hapvida, Brasileirão Financeiro e outros destaques do dia
#AnáliseMacro #BancoCentral #Economia
https://t.co/fVSwZZS7X8</t>
  </si>
  <si>
    <t>Haddad cai nas graças do mercado com revisão do rating do Brasil; veja o que movimenta a quinta (15)
#Agenda #AgendadoDia #BancoCentral
https://t.co/ze8MzpCR4N</t>
  </si>
  <si>
    <t>Haddad comemora melhora de rating da S&amp;amp;P; ‘é só o começo’, diz
#BancoCentral #Economia #FeedPrincipal
https://t.co/ODnZst8upF</t>
  </si>
  <si>
    <t>Varejo vs taxa de juros: Alckmin engrossa coro de críticas ao Banco Central
#BancoCentral #Economia #FeedPrincipal
https://t.co/igIplUvSjs</t>
  </si>
  <si>
    <t>Cripto: Lula aumenta responsabilidade do Campos Neto; entenda
#BancoCentral #Criptoativos #CVM
https://t.co/m8oQo0EUc6</t>
  </si>
  <si>
    <t>Dólar ronda estabilidade frente ao real antes de provável pausa do Fed
#B3 #BancoCentral #Câmbio
https://t.co/H60KnjzKuJ</t>
  </si>
  <si>
    <t>Pix automático, garantido e BolePix: Entenda planos do BC para o meio de pagamento
#BancoCentral #Economia #FeedPrincipal
https://t.co/6IR9HVByA5</t>
  </si>
  <si>
    <t>Haddad: Meta de inflação só será discutida depois de aprovar arcabouço fiscal
#ArcabouçoFiscal #BancoCentral #DívidaPública
https://t.co/kfbXmDS8XQ</t>
  </si>
  <si>
    <t>Enquete: Campos Neto culpa demanda elevada por inflação; você concorda?
#BancoCentral #Consumo #Economia
https://t.co/uXx7t4KvQC</t>
  </si>
  <si>
    <t>Campos Neto diz que é “falácia” defender que inflação no Brasil hoje não é de demanda
#BancoCentral #Bancos #Economia
https://t.co/Vl8Fatxjdw</t>
  </si>
  <si>
    <t>Banco Central está estrangulando a economia brasileira, diz Nobel de Economia após encontro com Haddad
#BancoCentral #Brasil #Economia
https://t.co/zf4IQQrdca</t>
  </si>
  <si>
    <t>IPCA: Como a inflação acima das projeções reforça discurso de ‘paciência’ do Banco Central na queda da Selic
#BancoCentral #Brasil #Combustíveis
https://t.co/Zbwmqi1h3t</t>
  </si>
  <si>
    <t>IPCA: Cálculos sobre a persistência inflacionária, os ajustes necessários e a meta de médio prazo
#BancoCentral #CMN #ColunadoEduardoVelho
https://t.co/fijxZHY8f5</t>
  </si>
  <si>
    <t>Dólar tem leve recuperação frente ao real no dia, mas mira forte queda semanal
#B3 #BancoCentral #Brasil
https://t.co/FFxYTuIQzN</t>
  </si>
  <si>
    <t>Tebet sensitiva? Inflação acumulada de abril pode ser a mais baixa desde outubro de 2020
#Alimentos #BancoCentral #Brasil
https://t.co/lu6iFxspqV</t>
  </si>
  <si>
    <t>Governo já trabalha com PIB melhor para 2023 em cenário desafiador para BC
#BancoCentral #Economia #FernandoHaddad
https://t.co/3nfc3GhnCz</t>
  </si>
  <si>
    <t>Galípolo diz que real mais forte e projeções de primário melhor criam cenário mais confortável para política monetária
#BancoCentral #Bancos #Economia
https://t.co/03KNd4lNYd</t>
  </si>
  <si>
    <t>Taxas dos DIs caem em sintonia com exterior após dados de inflação nos EUA
#BancoCentral #Economia #FeedPrincipal
https://t.co/kJsX7XHBox</t>
  </si>
  <si>
    <t>Brasil tem fluxo cambial negativo de US$ 200 mi em maio até dia 5, diz BC
#BancoCentral #Brasil #Câmbio
https://t.co/32qxHeM7VT</t>
  </si>
  <si>
    <t>Ibovespa (IBOV) anda de lado com inflação nos EUA dando espaço para Fed encerrar ciclo de altas; confira outros indicadores desta quarta (10)
#BancoCentral #Brasil #China
https://t.co/dDrP9XimQE</t>
  </si>
  <si>
    <t>Americanas (AMER3) afeta resultado de bancos, que lucram R$ 139 bi em 2022; entenda
#BancoCentral #Bancos #BusinessTimes
https://t.co/4KIqPGO3qB</t>
  </si>
  <si>
    <t>Inflação nos EUA pode confirmar manutenção dos juros pelo Fed; veja o que movimenta a quarta (10)
#Agenda #AgendadoDia #BancoCentral
https://t.co/MD4vtKnJTK</t>
  </si>
  <si>
    <t>Taxas de juros futuros avançam em reação à ata do Copom e às falas de Galípolo
#BancoCentral #Economia #FeedPrincipal
https://t.co/h2CYgmE7dP</t>
  </si>
  <si>
    <t>Por que o Banco Central não dá bola para dados inflação e deve manter Selic em 13,75% até setembro
#BancoCentral #Brasil #Economia
https://t.co/rcwaRKhqb8</t>
  </si>
  <si>
    <t>Problemas internos: Sucessor de Galípolo aumenta tensão entre Haddad e PT; entenda
#BancoCentral #Brasil #CâmaradosDeputados
https://t.co/qjXb5gYlrF</t>
  </si>
  <si>
    <t>Ibovespa (IBOV) sobe diante de ata do Copom acenando para arcabouço fiscal; confira outros indicadores desta terça (9)
#BalançaComercial #BancoCentral #Brasil
https://t.co/414CHZSjfi</t>
  </si>
  <si>
    <t>Nem em junho nem em agosto: Selic a 13,75% pode durar um pouco mais antes de cair
#BancoCentral #BTGPactual #CDI
https://t.co/MyLtRV7z9L</t>
  </si>
  <si>
    <t>Substituto de Campos Neto: Galípolo poderá ser treinado para assumir Banco Central em 2025
#BancoCentral #Brasil #Copom
https://t.co/UlTI21T2d3</t>
  </si>
  <si>
    <t>China e Copom acabam com otimismo do Ibovespa (IBOV); índice abre em queda
#BancoCentral #China #Copom
https://t.co/ltPKasOSa4</t>
  </si>
  <si>
    <t>Três recados que o Banco Central deixa para o governo e o mercado na ata do Copom
#ArcabouçoFiscal #BancoCentral #Brasil
https://t.co/IslEOwbgVJ</t>
  </si>
  <si>
    <t>Um estranho no ninho do Copom? A indicação de Haddad ao Banco Central, ruídos em Brasília, IR 2023 e outras notícias do dia
#BancoCentral #Copom #FernandoHaddad
https://t.co/C6jU4dXUsQ</t>
  </si>
  <si>
    <t>O Banco Central publicou nesta semana a Resolução BCB nº 342, aprimorando as regras sobre incidentes de segurança relacionados ao Pix.
#MoneyTimes #bancocentral #pix 
https://t.co/lz6GHVz54P</t>
  </si>
  <si>
    <t>Os economistas mantiveram as projeções para a inflação em 4,86 neste ano, segundo Relatório Focus desta semana
#Focus #BancoCentral #inflação #MoneyTimes
https://t.co/bB79GKt202</t>
  </si>
  <si>
    <t>Juros rotativos chegam a 445,7% ao ano; veja os planos do governo para mudar isso
#BancoCentral #Brasil #CartõesdeCrédito
https://t.co/Fxs7pSXE2Y</t>
  </si>
  <si>
    <t>Pix vai substituir o cartão de crédito, diz Campos Neto; entenda
#BancoCentral #Bancos #Brasil
https://t.co/aN0GCxGeua</t>
  </si>
  <si>
    <t>Gasolina mais cara: Queda na Selic entra em rota de colisão com reajuste da Petrobras
#BancoCentral #Brasil #Combustíveis
https://t.co/DJEQkMmDIR</t>
  </si>
  <si>
    <t>Copom diz ‘não’, mas mercado ainda sonha com o 0,75 pp
#BancoCentral #Bolsa #BolsadeValores
https://t.co/uTnedVLvBs</t>
  </si>
  <si>
    <t>Mercado derruba projeções de inflação e Selic às vésperas do Copom; confira o Focus desta segunda (31)
#BalançaComercial #BancoCentral #Câmbio
https://t.co/xCiOfqbTrF</t>
  </si>
  <si>
    <t>Haddad se reúne com banqueiros dois dias antes do Copom; veja a agenda desta segunda (31)
#Agenda #AgendadoDia #BancoCentral
https://t.co/dzBKjLsm6n</t>
  </si>
  <si>
    <t>Morning Times: Bolsas começam os trabalhos em semana agitada e com direito a queda da Selic
#BancoCentral #Bolsa #BolsadeValores
https://t.co/bBKDpc8VOr</t>
  </si>
  <si>
    <t>Copom coloca economistas para quebrarem a cabeça com corte da Selic; confira a agenda da semana
#Agenda #BancoCentral #Brasil
https://t.co/uAtz2RYx1m</t>
  </si>
  <si>
    <t>‘Talvez estejam otimistas demais’; FMI faz alerta para euforia de mercados
#BancoCentral #EstadosUnidos(EUA) #FeedPrincipal
https://t.co/WZMklxiQbz</t>
  </si>
  <si>
    <t>‘Tinhoso’, ‘lacaio’ e outros adjetivos: Campos Neto sofre pressão pré-Copom
#BancoCentral #Copom #Juros
https://t.co/XBJtXPD0AT</t>
  </si>
  <si>
    <t>Selic em queda: Como juros do Fed impactam o Banco Central brasileiro
#BancoCentral #Brasil #Câmbio
https://t.co/XuZNcLnzPA</t>
  </si>
  <si>
    <t>Luiza Trajano, do Magazine Luiza (MGLU3), faz abaixo-assinado pedindo redução da Selic
#BancoCentral #Brasil #Economia
https://t.co/qD8SHHQlEf</t>
  </si>
  <si>
    <t>Corte da Selic: Veja quem vai sentir a queda nos juros primeiro
#Automóveis #BancoCentral #Brasil
https://t.co/9TayXt6q17</t>
  </si>
  <si>
    <t>Mercado aposta em Selic a 12% até o final do ano; confira o Focus desta segunda (03)
#BalançaComercial #BancoCentral #Brasil
https://t.co/3ix9UiurXL</t>
  </si>
  <si>
    <t>29 anos do real: Você se lembra das moedas de antes do Plano Real?
#BancoCentral #Brasil #Economia
https://t.co/zW0cMkLuPX</t>
  </si>
  <si>
    <t>29 anos do real: quanto R$ 1 da época valeria hoje?
#BancoCentral #Brasil #Economia
https://t.co/uGy2O4VY1Z</t>
  </si>
  <si>
    <t>Tesouro Direto hoje: Prefixado 2029 dispara 19% desde mínima no ano
#BancoCentral #FeedPrincipal #Inflação
https://t.co/BoM6RVsMxk</t>
  </si>
  <si>
    <t>Se dependesse de Haddad, Banco Central teria cortado a Selic em março
#BancoCentral #Brasil #Copom
https://t.co/TqQJ9sCOeK</t>
  </si>
  <si>
    <t>Dólar derrete e bancão gringo vê moeda despencando ainda mais; veja projeção
#BancoCentral #Câmbio #Copom
https://t.co/XPv2oYc2qb</t>
  </si>
  <si>
    <t>Lula diz que discutirá com Macron resolução do Parlamento francês contra acordo com Mercosul
#BancoCentral #Dólar #EmmanuelMacron
https://t.co/6UxX9VS5MP</t>
  </si>
  <si>
    <t>Dólar ronda estabilidade ante real com política monetária em foco
#B3 #BancoCentral #Câmbio
https://t.co/PyVGfe2nJ9</t>
  </si>
  <si>
    <t>Projeções da Selic caem às vésperas do Copom após 9 semanas; confira o Focus desta segunda (19)
#BalançaComercial #BancoCentral #Brasil
https://t.co/vT9C9uw9XD</t>
  </si>
  <si>
    <t>Vai estragar a quermesse? O Copom e o balão da inflação, ações de inteligência artificial, o que esperar do dólar e outros destaques do dia
#BancoCentral #Copom #Inflação
https://t.co/TOl12wGVR6</t>
  </si>
  <si>
    <t>Ibovespa tem Selic e Lula no radar da semana; oferta da CVC (CVCB3) é destaque
#Agenda #BancoCentral #CVC
https://t.co/1LIezN2Zqq</t>
  </si>
  <si>
    <t>Recessão nos EUA: Entenda os impactos de uma queda dos lucros no Brasil
#BancoCentral #Brasil #China
https://t.co/t5mMiVJjjq</t>
  </si>
  <si>
    <t>Dólar acompanha exterior e recua frente ao real em meio a expectativa por Powell
#B3 #BancoCentral #Câmbio
https://t.co/Ah16HVWFTK</t>
  </si>
  <si>
    <t>Sextou com Jerome, Christine e Roberto: Shein em crise, Argentina e a sangria do dólar, Petrobras e outros destaques
#BancoCentral #BancoCentralEuropeu(BCE) #ChristineLagarde
https://t.co/DZVm690vPo</t>
  </si>
  <si>
    <t>Governo eleva a 1,9% projeção para o crescimento do PIB em 2023, dizem fontes
#BancoCentral #Brasil #MinistériodaFazenda
https://t.co/IRSWFjHvPs</t>
  </si>
  <si>
    <t>Juros do cartão de crédito tabelado e redução das taxas; veja o que diz secretário da Fazenda
#BancoCentral #Bancos #Brasil
https://t.co/7JwGv7AS4h</t>
  </si>
  <si>
    <t>Campos Neto não se anima com impacto dos combustíveis na inflação; ‘Enfrentamos desafios para consolidar a desinflação’
#BancoCentral #Brasil #Combustíveis
https://t.co/e7UkD5MtHt</t>
  </si>
  <si>
    <t>Dólar segue exterior e avança frente ao real com teto da dívida dos EUA e Fed em foco
#B3 #BancoCentral #Câmbio
https://t.co/qvHio6W97j</t>
  </si>
  <si>
    <t>Ibovespa (IBOV) hoje mira nos 110 mil pontos com prenúncio de cortes na Selic 
#BancoCentral #BuladoMercado #CMN
https://t.co/P8A1m6dYM7</t>
  </si>
  <si>
    <t>Taxas futuras de juros sobem por 2ª sessão seguida em sintonia com Treasuries
#BancoCentral #Brasil #Economia
https://t.co/U0MRF3O5CD</t>
  </si>
  <si>
    <t>Tesouro Direto hoje: Petrobras (PETR4) puxa tapete dos títulos no curto prazo; Selic cai em 2023?
#Aposentadoria #BancoCentral #CDI
https://t.co/lgx5V2x5OM</t>
  </si>
  <si>
    <t>Após indicados, diretores do BC prestam contas ao banco e ao CMN, não ao presidente, diz Haddad
#BancoCentral #Brasil #CâmaradosDeputados
https://t.co/R5j3ADvWD0</t>
  </si>
  <si>
    <t>Sinalização de responsabilidade fiscal do governo possibilitará corte de juros no 2° semestre, diz Tebet
#ArcabouçoFiscal #BancoCentral #Brasil
https://t.co/fuC2JQtyHa</t>
  </si>
  <si>
    <t>Abordagem proativa do BC foi oportuna, mas desinflação agora tende a ser lenta, diz Campos Neto
#BancoCentral #Brasil #EstadosUnidos(EUA)
https://t.co/CnbP6879xC</t>
  </si>
  <si>
    <t>Dólar sobe frente ao real com impasse da dívida dos EUA e arcabouço fiscal em foco
#ArcabouçoFiscal #B3 #BancoCentral
https://t.co/9WbTXRnv0h</t>
  </si>
  <si>
    <t>Governo encaminha ao Senado indicações para diretoria do BC; comissão sinaliza sabatinas “céleres”
#BancoCentral #Bancos #Economia
https://t.co/Mg5Up8wwDI</t>
  </si>
  <si>
    <t>Argentina: O que acontece com a Bolsa de um país com juros beirando 100%?
#AlbertoFernández #Argentina #BancoCentral
https://t.co/EdB4YQkj02</t>
  </si>
  <si>
    <t>Golpes do Pix crescem no país; saiba como se proteger com 10 dicas
#BancoCentral #Crime #Febraban
https://t.co/LOzZ763HEp</t>
  </si>
  <si>
    <t>Banco Central: Novos preços da Petrobras (PETR4) podem acelerar queda da Selic? Entenda
#BancoCentral #Brasil #Combustíveis
https://t.co/Ae5EtzTcY2</t>
  </si>
  <si>
    <t>Campos Neto cancela agenda da semana e perderá encontro com representante do FMI; entenda por quê
#BancoCentral #Brasília #Economia
https://t.co/3bGZHLviiR</t>
  </si>
  <si>
    <t>Financiamento em yuan chinês: por que não experimentar?
#BalançaComercial #BancoCentral #Câmbio
https://t.co/kZ4atxR6Zm</t>
  </si>
  <si>
    <t>Contas bancárias abertas por adolescentes crescem 50%; saiba como evitar riscos
#BancoCentral #Bancos #Brasil
https://t.co/20bpJaaqWs</t>
  </si>
  <si>
    <t>Por que e até quando o dólar vai resistir aos R$ 4,90?
#ArcabouçoFiscal #BancoCentral #Brasil
https://t.co/1t9b0UYvgB</t>
  </si>
  <si>
    <t>Conselho da Previdência Social pede divulgação de juros do consignado
#AgênciaBrasil #BancoCentral #Crédito
https://t.co/gQxxgKlqnt</t>
  </si>
  <si>
    <t>Selic a 13,75%: O que o Banco Central está esperando para cortar os juros?
#ArcabouçoFiscal #BancoCentral #Brasil
https://t.co/AZwAIT9a5J</t>
  </si>
  <si>
    <t>Récord del blue: el Banco Central realizó la mayor compra de dólares en más de un mes #dolarblue #bancocentral #dolar #mercado 
https://t.co/2vb444f44G</t>
  </si>
  <si>
    <t>@LaDataEc #bancocentral</t>
  </si>
  <si>
    <t>Com o aumento do preço dos combustíveis, o Boletim Focus do Banco Central prevê inflação de 4,9% para 2023. Veja a matéria completa em: https://t.co/ifCFD96DX5
Fonte: Jovem Pan News 
#inflação #economia #BancoCentral https://t.co/SWTNfTiSUt</t>
  </si>
  <si>
    <t>🏛 Con la meta de apuntalar las reservas del #BancoCentral (BCRA), el Gobierno restableció "de manera extraordinaria y transitoria" el Programa de Incremento Exportador (PIE) para la #soja, sin un tipo de cambio diferencial pero con la posibilidad de que los exportadores tengan… https://t.co/N6YetXRJw9</t>
  </si>
  <si>
    <t>#GBM: Abre Tú contrato con Nosotros, YO Te digo Cómo.
#BancoCentral de #Brasil inicia ciclo de recortes a la #tasa de Interés 
https://t.co/yDCp9WMFYS https://t.co/pP2or5UR1d</t>
  </si>
  <si>
    <t>que el Presidente de #Argentina @alferdez vea lo que es tener un #BancoCentral Autónomo.
Los Argentinos PASAN HAMBRE por culpa de politicos ineptos  zurdos -valga la redundancia-
https://t.co/zmF3R0LkUp</t>
  </si>
  <si>
    <t>RT @danielsuchar: #CostaRica Entonces, las cosas van destapándose ... poquito a poquito .. #BancoCentral 
#Economia #Finanzas #FinanzasPub…</t>
  </si>
  <si>
    <t>@osvaldo_gimenez @marcos_galperin @mercadopago Luego el fin de semana
 "cuando el dólar papel no funciona"
Mueven la bolsa cripto.
Lo mismo que hace el #BancoCentral con sus APP que a X horas no funciona.
Envían todo a #usdt y cuando sube el dólar ganan diferencia. A vos te dan el dinero deo "estanciero" devaluado 👌</t>
  </si>
  <si>
    <t>#FelizViernesATodos 
Junta electoral central  #FelizViernesATodos Lacalle 
CERA
Dice Christine @Lagarde q quitar dinero a las familias (hipotecas 🏘️) para dárselo a los bancos mejora la inflación 🤷🏻‍♂️
#bancoCentral 
#economia 
@ecb https://t.co/MpzLwfCr1K</t>
  </si>
  <si>
    <t>Juros baixos já!
Juros baixos significa mais dinheiro para trabalhadores e empresas, além do aumento na geração de emprego
https://t.co/7rZpFOSjeg
#CUTBrasil #BancoCentral #JurosBaixosJá https://t.co/cRrYIYKbSr</t>
  </si>
  <si>
    <t>@VanLiberdade Mas, vanzinha, vc não é contra a
Censura ???  Vc não é a favor da liberdade de expressão ? Um diretor do BC não pode ter opinião contrária à do presidente ? #bolsonarista #bancocentral #hipocrita #camposnetto</t>
  </si>
  <si>
    <t>@Arthurvneto @jairbolsonaro @VlogdoLisboa @carlosjordy @CarlosBolsonaro @BolsonaroSP @rogeriosmarinho @SigaGazetaBR @gazetadopovo @revistaoeste @JornalDaCidadeO Tutu arrombad#, quem está crucificando quem ?  O Pix foi ótima criação do michel temer e sua equipe.  #pix #micheltemer #bancocentral</t>
  </si>
  <si>
    <t>#BancoCentral Copom decide manter Selic em 13,75% https://t.co/CF2jsXeHhs</t>
  </si>
  <si>
    <t>#bancocentral #Chile tasa de interés alos anteriores https://t.co/c6tvEZS33Q</t>
  </si>
  <si>
    <t>ESQUECERAM O DINHEIRO?
https://t.co/EFf7CDbsBn
#DINHEIRO #BANCOCENTRAL #SAQUE #VALORES #RECEBER #RECURSOS #tveradioregional #sandromoraes #Noticias #jornal https://t.co/sdzcsC4Wof</t>
  </si>
  <si>
    <t>Campos Neto é  traidor da Pátria Brasil.
#LulaPresidente 
#brasilemconstrução
#ministériodafazenda
#foracamposneto
#bancocentral
#TCU
#politicamonetaria
#juros altos
#baixajuros
#selic
https://t.co/MRgpIIjQuu</t>
  </si>
  <si>
    <t>@edmilsonpapodez Aí #CamposNeto !
#BancoCentral 
Tô virando fã...
#Lula não suporta que o contrariem e digam a verdade! 
Alguém segura esse "estrupício".</t>
  </si>
  <si>
    <t>#BancoCentral #BCRA #BilletesNuevos #carrillo
https://t.co/nxANXdMb0k</t>
  </si>
  <si>
    <t>Descubra a revolução da economia digital! A tokenização está transformando ativos em tokens digitais, trazendo maior acessibilidade no mercado financeiro. 💼💰 
#TokenizaçãoDaEconomia #MoedaDigital #bancocentral https://t.co/0B09g9vheo</t>
  </si>
  <si>
    <t>🚀 #BancoCentral vs #cripto: qué dice la durísima medida que anunció contra las #criptomonedas y que impacta en las billeteras digitales | vía @A24 
https://t.co/x8KGCSGrr7</t>
  </si>
  <si>
    <t>🚀 #Brasil define al #BancoCentral como regulador de la industria #cripto | vía @iupana
https://t.co/PlhI96DTOp</t>
  </si>
  <si>
    <t>еƖ ςσпςерƭо ძе ƖᎥƅегƭаძ γ ʝυѕƭᎥςᎥа еѕ ƭап ძėƅᎥƖ ꝗᵫ рσςо Ꭵʍрσгƭа. СОΜΙⅮА γ СσƅᎥʝо ѕегȧп Ɩаѕ ргᎥпςᎥраƖеѕ ргeσςυраςᎥσпеѕ.»  ᒪа ςᵫѕƭᎥόп ძеƖ ძᎥпего: ⱱᎥгƭυаƖᎥ𝗓агƖо рага ςσпẝᎥѕςагƖо:  «ΝᎥпɡύп #BancoCentral, а ехςерςіόп ძеƖ #BIS γ еƖ #BancoMundial, рσძгȧ σрегаг. …</t>
  </si>
  <si>
    <t>@Bradesco não terceirize cobrança e invista no pagamento atualizado direito no app. Um atendimento agressivo afasta o cliente de outras relações com o banco. #idec #consumidor #bancocentral</t>
  </si>
  <si>
    <t>A @camaradeputados precisa legislar sobre cobrança. É absurda a quantidade de ligações e mal atendimento. E os bancos não devem terceirizar cobrança @Bradesco e sim permitir pagamento direto nos canais oficiais do banco. #idec #consumidor #BancoCentral</t>
  </si>
  <si>
    <t>El Banco Central dispuso subir la tasa de interés para plazos fijos al 97% anual
https://t.co/wwT5FV1PKf
#bancocentral #argentina #plazofijo #tasa #ahorro #interes https://t.co/zSj9WGoaQD</t>
  </si>
  <si>
    <t>El Banco Central informó hoy que elevó en 21 puntos porcentuales la Tasa de Política Monetaria al 118% desde el 97% vigente hasta el viernes.
https://t.co/2XfLe6kkjk
#bancocentral #tasafija #economia #plazofijo #tasas #informe https://t.co/Vq7Hdm4rGV</t>
  </si>
  <si>
    <t>El Banco Central compró hoy US$117 millones en el mercado único y libre de cambios (MULC), con lo que sumó la tercera rueda consecutiva con saldo positivo.
https://t.co/QiBlfxRleq
#bancocentral #dolares #mercado #cambio #saldo https://t.co/Ex72TcKN88</t>
  </si>
  <si>
    <t>El Banco Central de Bosnia y Herzegovina🇧🇦 gana el premio "Central Banking Award" en la categoría "Transparencia". Reconocimiento otorgado a su integridad, lucha contra la corrupción y compromiso con la honestidad.🏦🏆
#BancoCentral #Transparencia</t>
  </si>
  <si>
    <t>detalhenoticia https://t.co/xZHB129v6w #BancoCentral #BCB via @BancoCentralBR</t>
  </si>
  <si>
    <t>Imprimiendo #billetessoberanos llámenle #Sucre #ecuadolares se llevan nuestras reservas de #Dólares q hay en circulación y vacían el #BancoCentral
Son Pillos
#CorreismoEsCorrupción 
#RC5LaDeLaDesdolarización 
 https://t.co/J4ooiWrRNA</t>
  </si>
  <si>
    <t>Juros altos atrapalham o crescimento do Brasil.
#MarcoAntonioVilla #juros #jurosaltos #economia #crescimento #RobertoCamposNeto #BancoCentral https://t.co/QebdIKc17r</t>
  </si>
  <si>
    <t>Os impactos negativos da política de juros altos do Banco Central do Brasil – por Nilton Esperança (@NiltonEsperana1), Presidente da @FetrafRJES 
Leia o artigo na íntegra: https://t.co/00uR8lTg10
#FetrafRJES #RioDeJaneiro #EspíritoSanto #Bancários #BancoCentral</t>
  </si>
  <si>
    <t>RT @redeTVT: #AOVIVO Lula se encontra com Campos Neto pela 1ª vez no Planalto
Acompanhe o Bom Para Todos ao vivo desta quarta!
https://t.…</t>
  </si>
  <si>
    <t>Dólar BNA  272 0%
Dólar Informal  491 0%
Dólar Ahorro  451,62 0%
Dólar Qatar  547,42 0%
Dólar Mep  484,68 0%
Dólar Mayorista  261 0,23%
Dólar Cripto  509,12 0,01%
Euro  292,09 0,37%
Euro Informal  534 0%
#dolarblue #dolarccl #dolarmep #dolar #bcra #reservasbcra #bancocentral #arg</t>
  </si>
  <si>
    <t>Bitcoin como un bote salvavidas https://t.co/LJkAlySLMz #Bitcoin #descentralización #p2p #adopción #inflación #deuda #ahorros #poderadquisitivo #economía #macroeconomía #políticamonetaria #políticafiscal #bancocentral #crecimientoeconómico #tasasdeinterés #deflación</t>
  </si>
  <si>
    <t>El caso de Juan y la soberanía individual https://t.co/26CP3ok75w #Bitcoin #descentralización #p2p #adopción #inflación #deuda #ahorros #poderadquisitivo #economía #macroeconomía #políticamonetaria #políticafiscal #bancocentral #crecimientoeconómico</t>
  </si>
  <si>
    <t>O presidente do Senado, @RodrigoPacheco, disse que não vê ambiente dentro do Congresso para alterar a lei que trata da autonomia do @BancoCentralBR. Ele participou nesta segunda-feira (22) de seminário sobre os dois anos da legislação que trata do assunto.
#Economia #BancoCentral https://t.co/kCoxdEpgKo</t>
  </si>
  <si>
    <t>O presidente @RodrigoPacheco falou da expectativa de redução de #juros, após aprovação dos nomes de Gabriel Galípolo e Ailton de Aquino, indicados pelo governo para o Banco Central, nesta terça (4). Eles irão compor o Comitê de Política Monetária do #BancoCentral. https://t.co/9qKwiV4gkD</t>
  </si>
  <si>
    <t>Foi aprovado ainda na #CAE, um convite ao presidente do @BancoCentralBR, Roberto Campos Neto, para que venha falar com o senadores na comissão. #BancoCentral #Economia #AutonomiadoBancoCentral</t>
  </si>
  <si>
    <t>A Comissão de Assuntos Econômicos sabatinou e aprovou os nomes de Gabriel Galípolo e Ailton Aquino para a diretorias de Política Monetária e de Fiscalização do @BancoCentralBR. As indicações seguem para análise do Plenário do Senado em regime de urgência.
#BancoCentral #sabatina https://t.co/2blYDVWJLh</t>
  </si>
  <si>
    <t>#BancoCentral | A Comissão de Assuntos Econômicos (CAE) aprovou as indicações de Gabriel Galípolo e Ailton de Aquino Santos para diretores do @BancoCentralBR. As mensagens seguem para votação no Plenário do Senado em regime de urgência.
(#MSF27_2023) (#MSF28_2023) https://t.co/OIa65VGWZW</t>
  </si>
  <si>
    <t>Roberto Campos Neto destacou a autonomia do @BancoCentralBR e avaliações positivas sobre a política de juros da instituição. "Essa capacidade do #BancoCentral de gerir a crise de forma autônoma e técnica tem mostrado grandes frutos", ressaltou. https://t.co/YeTQbq2DsK</t>
  </si>
  <si>
    <t>Durante sessão especial sobre estabilidade financeira, o presidente do @BancoCentralBR, Roberto Campos Neto, destacou “pouso suave” no combate à #inflação. “Conseguimos trazer a inflação muito alta para um nível mais baixo, com quase nenhum custo", disse.
#BancoCentral https://t.co/tWpGZaGoaE</t>
  </si>
  <si>
    <t>#BancoCentral: O presidente do Banco Central, Roberto Campos Neto, evitou nesta segunda-feira (22), tecer avaliações sobre uma possível mudança da sistemática de meta de inflação de ano-calendário para contínua
https://t.co/3WektDb8V3</t>
  </si>
  <si>
    <t>#BancoCentral: Diretor do BC diz que não há plano de acabar com o sistema de pagamentos instantâneos Pix, tampouco existem estudos para taxar essas operações
https://t.co/M6Ry0fKOXI</t>
  </si>
  <si>
    <t>#BancoCentral: Haddad: Galípolo será indicado para Política Monetária do BC; Ailton Aquino para Fiscalização
https://t.co/2VU5bsRPKF</t>
  </si>
  <si>
    <t>#BancoCentral: Guillen, diretor de Política Econômica do Banco Central (BC), destacou que a comunicação da autoridade monetária deve assegurar a transparência
https://t.co/s3srBYHzx7</t>
  </si>
  <si>
    <t>#BancoCentral: Depois de ser criticado por diversas figuras importantes da economia, Campos Neto reconheceu que o fim do parcelado sem juros pode afetar o varejo
https://t.co/jUPOwzmjDM</t>
  </si>
  <si>
    <t>#BancoCentral: Os servidores do Banco Central decidiram iniciar  Operação Padrão - paralisações parciais durante o dia e lentidão nos processos
https://t.co/HFej5YPGk0</t>
  </si>
  <si>
    <t>#BancoCentral: No primeiro semestre deste ano, o Governo Central registrou déficit primário de R$ 46,5 bilhões https://t.co/fO3ucB7tzD</t>
  </si>
  <si>
    <t>Bueno se le van cayendo todas las mentiras que dijo rumbo a las PASO o al menos esta tratando de desmentir con tecnisismos infantiles que el "respondió xxx". #PlanesSociales se quedan, #Dolarizar no, #BancoCentral sigue, #Vouchers no, #Massa va bien #Milei #Milei2023 https://t.co/NZ4VZkT5Kc</t>
  </si>
  <si>
    <t>O Governo Federal oficializou os indicados para as diretorias do Banco Central! Parabéns aos nomeados. Agora, a CAE irá cumprir seu papel com excelência nas sabatinas. #BancoCentral #CAE #Sabatinas</t>
  </si>
  <si>
    <t>#BancoCentral
Hoy en un nuevo episodio de Memoria y Balance, charlamos con  Carlos Campana para conocer la historia del Banco Central de la República Argentina y su fuerte influencia en la política monetaria del país.
@floresisuani x @LaRedMendoza</t>
  </si>
  <si>
    <t>La #FuerzaDelPueblo exige al gobierno explicar a quienes prestó los 60 mil millones de pesos del Banco Central, simplemente para mayor transparencia, esta bueno de que nos sigan cogiendo de soquetes, no crean que son los únicos inteligentes. En el 24 los Popis #SeVan @LirianoOmar… https://t.co/jDvvCFUib6</t>
  </si>
  <si>
    <t>VIMOS LO QUE PASÓ CON ESTAS RESTRICCIONES IMPROVISADAS! El #BancoCentral está esquilmado! ENTONCES PARA QUE SIRVIO! claro que sirvió. SIRVIÓ PARA GENERAR EL #ModeloDePobreza QUE GARANTIZA PODER A LOS CORRUPTOS MEDIANTE LA SERVIDUMBRE QUE GENERAN LOS IMPUESTOS Y LOS SUBSIDIOS!</t>
  </si>
  <si>
    <t>@nbg__ Todos los días a alguien le vacían la cuenta, le sacan préstamos o realizan compras, y en el 90% de los casos #MecadoPago no se hace cargo. Es una plataforma sin ningún control buenisimo que #BancoCentral intervenga</t>
  </si>
  <si>
    <t>🗣OPINIÓN | Nuestro investigador #CIESUDD, Cristián Echeverría, comentó en @biobio, sobre el resguardo de capital del #BancoCentral de 1.500 millones de dólares, en la banca local por riesgo #financierointernacional. https://t.co/Z9ht3WragZ</t>
  </si>
  <si>
    <t>ahahahahahaha aaaahahahahahah!!!!
agora sim já se vê o filme todoooooo ;)
digam lá que os cabrãezites não são espertos
não queimem isto tude não já diz a sabedoria populari
#banca #cartel #expresso #bitcoin #bancocentral #Governo</t>
  </si>
  <si>
    <t>#Argenttina y su #BancoCentral
Sin dudas este hilo es deprimente y muy preocupante.
https://t.co/3KHbOcjRaT</t>
  </si>
  <si>
    <t>Que implica dolarizar en Argentina??🔥🔥 #dolar #dolarizar #milei #demente #colonia #Argentina #corralito #libertarios #esclavos #chaumilei #bancocentral #antipatria #capitalismo #derecha https://t.co/kuAEnF9jhZ</t>
  </si>
  <si>
    <t>Que pasa si se elimina el banco central? 🔥 #bancocentral #dolarizar #Milei #demente #crisis #Argentina #libertario #colonia #esclavos #dolar #corralito #derecha https://t.co/PlQ3RRdX8h</t>
  </si>
  <si>
    <t>📌 https://t.co/6eKaotdc1x | Resumimos algunos de los principales argumentos que dan el Central y la Sugef sobre el conflicto alrededor de la privacidad de los datos personales de deudores.
#BancoCentral #CostaRica https://t.co/PakwsW9q9U</t>
  </si>
  <si>
    <t>➡️ https://t.co/c1OvBjejvV | La Agencia deberá esperar a que la Sala Constitucional se pronuncie sobre las solicitudes de datos de deudores con identificación presentadas por el Banco Central.
#BancoCentral #CostaRica https://t.co/e4KHldRRq0</t>
  </si>
  <si>
    <t>➡️ https://t.co/SNfdT4vNUW | El Banco Central decidió mantener su política monetaria en lo que considera un terreno restrictivo de 6,5%.
#BancoCentral #Finanzas https://t.co/LKQeOLSVWG</t>
  </si>
  <si>
    <t>Tras las PASO el Banco Central fijó el tipo de cambio oficial a $350 hasta las elecciones de octubre
#BancoCentral
#dolar
https://t.co/0YgDOVOsjp</t>
  </si>
  <si>
    <t>PAGAMENTO DE JUROS PELO GOVERNO❗️
Entendeu❓️
#bacen #bancocentral #foracamposneto #JurosBaixoJá</t>
  </si>
  <si>
    <t>🇧🇷 CAMPANHA PERMANENTE PELA REDUÇÃO DOS JUROS PELO #BACEN E RETOMADA DO CRESCIMENTO DA #ECONOMIA!
#ForaCamposNeto #bancocentral #jurosabusivos #jurosbaixos #JurosBaixosJá #Brasil https://t.co/D7MXQPoMzF</t>
  </si>
  <si>
    <t>🇧🇷 CAMPANHA PERMANENTE PELA REDUÇÃO DOS JUROS PELO #BACEN E RETOMADA DO CRESCIMENTO DA #ECONOMIA!
COM JUROS ALTOS A ECONOMIA NÃO CRESCE PORQUE NÃO HÁ CRÉDITO BARATO. SEM CRESCIMENTO NÃO HÁ EMPREGOS
#ForaCamposNeto #bancocentral #jurosabusivos #jurosbaixos #JurosBaixosJá #Brasil https://t.co/5m1wUBtLXZ</t>
  </si>
  <si>
    <t>🇧🇷 CAMPANHA PERMANENTE PELA REDUÇÃO DOS JUROS PELO #BACEN E CRESCIMENTO DA #ECONOMIA!
COM JUROS ALTOS A ECONOMIA NÃO CRESCE PORQUE NÃO HÁ CRÉDITO BARATO. SEM CRÉDITO BARATO O AGRICULTOR TEM MAIOR CUSTO E VENDE MAIS CARO
#ForaCamposNeto #bancocentral #jurosabusivos ➡️ https://t.co/cW3lrrIyNA</t>
  </si>
  <si>
    <t>🇧🇷 CAMPANHA PERMANENTE PELA REDUÇÃO DOS JUROS PELO #BACEN E RETOMADA DO CRESCIMENTO DA #ECONOMIA!
#ForaCamposNeto #bancocentral #jurosabusivos #jurosbaixos #JurosBaixosJá #Brasil https://t.co/tDItWnxieq</t>
  </si>
  <si>
    <t>📉 ACONTECEU FINALMENTE: O PRESIDENTE DO #BACEN FOI PRESSIONADO, BAIXOU O JUROS E O PAÍS IRÁ GANHAR 17 BILHÕES
💰 Precisa baixar mais ainda
#camposneto #ForaCamposNeto #bancocentral #Brasil #LulaPresidente #economia https://t.co/vo68y36IEA</t>
  </si>
  <si>
    <t>🇧🇷 CAMPANHA PERMANENTE PELA REDUÇÃO DOS JUROS PELO #BACEN E CRESCIMENTO DA #ECONOMIA!
COM JUROS ALTOS A ECONOMIA NÃO CRESCE PORQUE NÃO HÁ CRÉDITO BARATO. SEM CRÉDITO NÃO HÁ INVESTIMENTO E NEM EMPREGO!
#ForaCamposNeto #bancocentral #jurosabusivos https://t.co/jqJJQWcKES</t>
  </si>
  <si>
    <t>📉 REDUÇÃO DOS JUROS PELO BANCO CENTRAL PERMITE REDUÇÃO DOS JUROS BANCÁRIOS, E CAIXA FAZ SUA PARTE
🇧🇷 É a #Caixa fazendo sua parte pelo país
#JurosBaixosJá #ForaCamposNeto #bacen #bancocentral #economia #camposneto #brasil https://t.co/nDbjKbwjW3</t>
  </si>
  <si>
    <t>🇧🇷 CAMPANHA PERMANENTE PELA REDUÇÃO DOS JUROS PELO #BACEN E CRESCIMENTO DA #ECONOMIA!
OS JUROS ALTOS FAVORECEM OS MAIS RICOS, QUEM VIVE DE JUROS DA DÍVIDA E ESPECULAÇÃO. E O PAÍS NÃO CRESCE
#ForaCamposNeto #bancocentral #jurosabusivos https://t.co/ikOWLoaKDZ</t>
  </si>
  <si>
    <t>🇧🇷 LULA QUER #ForaCamposNeto E NÓS TAMBÉM:
SAIBA O PORQUÊ NESSA SÉRIE DE POSTS
#bacen #bancocentral #Economia #SoberaniaNacional #LulaPresidente https://t.co/6Y1akUsFEI</t>
  </si>
  <si>
    <t>🇧🇷 CAMPANHA PERMANENTE PELA REDUÇÃO DOS JUROS PELO #BACEN E RETOMADA DO CRESCIMENTO DA #ECONOMIA
📆 NESTA QUARTA, 20/9, VAMOS PRESSIONAR O COPOM PELA REDUÇÃO DA SELIC, HOJE EM 13,25%!
#ForaCamposNeto #bancocentral #jurosabusivos
Venha conosco no Twitter por #JurosBaixosJá https://t.co/JBQZcKZX80</t>
  </si>
  <si>
    <t>🇧🇷 CAMPANHA PERMANENTE PELA REDUÇÃO DOS JUROS PELO #BACEN E RETOMADA DO CRESCIMENTO DA #ECONOMIA
O BACEN ALEGA QUE OS JUROS ALTÍSSIMOS SERVEM PARA CONTROLAR A INFLAÇÃO. MAS ANO PASSADO NÃO FUNCIONOU EM 2022
#ForaCamposNeto #bancocentral #jurosabusivos #jurosbaixos ➡️ https://t.co/J91IfypQJw</t>
  </si>
  <si>
    <t>🇧🇷 CAMPANHA PERMANENTE PELA REDUÇÃO DOS JUROS PELO #BACEN E RETOMADA DO CRESCIMENTO DA #ECONOMIA
COM JUROS ALTOS, EMPRESAS NÃO PEGAM CRÉDITO, NÃO INVESTEM, NÃO GERAM EMPREGOS
#ForaCamposNeto #bancocentral #jurosabusivos #jurosbaixos https://t.co/aHZUmbHHop</t>
  </si>
  <si>
    <t>🇧🇷 CAMPANHA PERMANENTE PELA REDUÇÃO DOS JUROS PELO #BACEN E RETOMADA DO CRESCIMENTO DA #ECONOMIA!
QUEM GANHA COM JUROS ALTOS? OS BANCOS
#ForaCamposNeto #bancocentral #jurosabusivos #jurosbaixos #JurosBaixosJá #Brasil https://t.co/QHgeWICSZi</t>
  </si>
  <si>
    <t>🇧🇷 CAMPANHA PERMANENTE PELA REDUÇÃO DOS JUROS PELO #BACEN E RETOMADA DO CRESCIMENTO DA #ECONOMIA!
A POPULAÇÃO SABE QUEM ESTÁ CERTO NESSA BRIGA
#ForaCamposNeto #bancocentral #jurosabusivos #jurosbaixos #JurosBaixosJá #Brasil https://t.co/oEIT4KjTCF</t>
  </si>
  <si>
    <t>🇧🇷 CAMPANHA PERMANENTE PELA REDUÇÃO DOS JUROS PELO #BACEN E RETOMADA DO CRESCIMENTO DA #ECONOMIA!
PELO POVO, NAO PELOS BANCOS
#ForaCamposNeto #bancocentral #jurosabusivos #jurosbaixos #JurosBaixosJá #Brasil https://t.co/QypC9YgX4n</t>
  </si>
  <si>
    <t>🇧🇷 CAMPANHA PERMANENTE PELA REDUÇÃO DOS JUROS PELO #BACEN E RETOMADA DO CRESCIMENTO DA #ECONOMIA
#ForaCamposNeto #bancocentral #jurosabusivos #jurosbaixos #JurosBaixosJá #Brasil https://t.co/e1SNrx2Ckw</t>
  </si>
  <si>
    <t>🚨Pela 1ª vez em quase 3 anos, o Copom do #BancoCentral reduziu os juros básicos da economia brasileira: cortou a taxa #Selic em 0,50 ponto percentual - para 13,25% ao ano. Vitória importante na recuperação da economia, mas podemos mais,  bora pressionar. 🙌 https://t.co/mLUawCaQID</t>
  </si>
  <si>
    <t>.@mcfernandes fala sobre encontro entre o presidente Lula e o presidente do Banco Central, Roberto Campos Neto: 'há muita expectativa para esse encontro.' #NoArNaCBN #Lula #BancoCentral 
https://t.co/L9PCwHspG5</t>
  </si>
  <si>
    <t>RT @CBNoficial: .@mcfernandes fala sobre encontro entre o presidente Lula e o presidente do Banco Central, Roberto Campos Neto: 'há muita e…</t>
  </si>
  <si>
    <t>Os nomes já tinham sido anunciados pelo ministro da fazenda, Fernando Haddad, e agora cabe ao Senado marcar as sabatinas para que sejam aprovados.
#Economia #BancoCentral #NoArNaCBN 
https://t.co/b9O4dKJfla</t>
  </si>
  <si>
    <t>A sabatina acontece na Comissão de Assuntos Econômicos da casa. Em sua fala inicial, o economista Gabriel Galípolo destacou a importância do diálogo e alternância da lógica de quem não pensa como ele. #BancoCentral #NoArNaCBN
https://t.co/1yADwdIq5A</t>
  </si>
  <si>
    <t>https://t.co/aVbXG6H0Nn
#bancocentral, #fonfoF ahora!!</t>
  </si>
  <si>
    <t>#BancoCentral mantiene la #TasaDePoliticaMonetaria para mantener la estabilidad económica 💱</t>
  </si>
  <si>
    <t>#BancoCentral
Solo 9 países en el mundo no tienen Banco Central.</t>
  </si>
  <si>
    <t>Una #moneda digital del #bancocentral (#CBDC) utilizará tokens digitales y tecnología #blockchain para representar la #moneda oficial de un #país
°
#revistaforex #aprende #blog #bolsa #broker #estafa #cripto #criptotech #crypto #cryptomonedas #denuncia #brokers #denunciabrokers https://t.co/tE63qT5gDk</t>
  </si>
  <si>
    <t>Las #CBDC son #reguladas y emitidas por la #autoridad monetaria de un #país, generalmente un #bancocentral.
°
 #dolar #economia #enseñanza #euro #finanzas #forex #indices #inversiones #invertir #inverte #materiasprimas #negocios #noticias #tecnologia #estafabroker https://t.co/aofMuAPXJl</t>
  </si>
  <si>
    <t>"Aceita Drex?" - Já se prepare para a nova expressão em pagamentos. 💲 
Nesta segunda-feira, dia 7/08, o Banco Central anunciou o nome oficial do novo Real Digital, que agora será chamará Drex.
O que achou do nome definido pelo BC? 
#bancocentral #realdigital #drex https://t.co/roJ1SCDy3m</t>
  </si>
  <si>
    <t>@itau vcs vão se responsabilizar pelos juros e iof e oq for me cobrado de atraso se eu não conseguir pagar minha fatura hoje! 
.
.
.
@BancoCentralBR 
Impossível acessar o app instável #itau #instavel #bancocentral</t>
  </si>
  <si>
    <t>Tener cuidado con esta lacra humana que falta el respeto a las niñas en los buses. Es funcionario público del Banco Central. Mujeres no vivamos en el miedo, denunciemos y acabemos con todo tipo de violencia y abuso. #DenunciaCiudadana #BancoCentral  #TransportePúblico #Quito https://t.co/8uqAeQptUJ</t>
  </si>
  <si>
    <t>VERGONHA! 😡
O Banco Central, comandado pelo Campos Neto, usa radar Focus para indicar que irá manter Selic em 13,75%. 
Nossos juros são os mais altos do mundo! #JurosBaixosJá #economia #juros #bancocentral https://t.co/NXnzP4UbRe</t>
  </si>
  <si>
    <t>#Mesmo com #esperneio lulista, #Copom #mantém #taxa #Selic em 13,75% 
O Comitê de #Política Monetária ... Saiba mais sobre ese conteúdo no site Brasil em Pauta Noticias.
Clique no Link: https://t.co/XhXsmF9tJ1 #bancocentral #brasil #lulista https://t.co/ZSIBCC0vx2</t>
  </si>
  <si>
    <t>#BancoCentral #Medidas ✅ La medida fue anunciada por medio de un comunicado oficial tras las reuniones del equipo económico del fin de semana.
 https://t.co/OATcyNQJ9V</t>
  </si>
  <si>
    <t>#Cordoba #BancoCentral ➡️ Un juez federal avaló un reclamo de la provincia. De esta manera, el gobernador Juan Schiaretti podrá cancelar este viernes un compromiso por US$ 145 millones.
https://t.co/2nNaHUNIva</t>
  </si>
  <si>
    <t>#BancoCentral #FMI 🏦 Según los datos del Banco Central, las reservas internacionales cerraron este lunes en US$25.845 millones, el nivel más bajo desde enero del 2016.
https://t.co/5GPQqBzlMX</t>
  </si>
  <si>
    <t>#BancoCentral  💵➡En lo que va de septiembre la autoridad monetaria acumula compras netas por unos 513 millones de dólares. https://t.co/TskErlwtkV</t>
  </si>
  <si>
    <t>Le pedi a mi empleador que me deposite mi sueldo directamente en #mercadopago, accedio sin problemas un genio....#mercadolibre #gobierno #bancocentral #massa #Milei #kukas #billeteravirtual #dolar</t>
  </si>
  <si>
    <t>#BancoCentral informa que las #remesas rondaron los US$4,200.0 millones en los primeros cinco meses de 2023, superando en 2.9 % al mismo periodo de 2022. https://t.co/2hIADEeHmJ @BancoCentralRD https://t.co/OjqgzB1eCV</t>
  </si>
  <si>
    <t>#BCRD mantiene su tasa de política monetaria en 7.75 % anual https://t.co/mafPqrR5hk 
#Economia #BancoCentral #TasaPoliticaMonetaria #ControlInflacion #ExpectativasPositivas #Crecimiento #Desarrollo #PIB @BancoCentralRD https://t.co/25KmzfovZW</t>
  </si>
  <si>
    <t>El Banco Central de la República Dominicana (BCRD), en su reunión de política monetaria de junio de 2023, decidió reducir su tasa de interés de política monetaria (TPM) en 25 puntos básicos, de 8.00 % a 7.75 % anual.
#noticiasAS #economía #bancocentral https://t.co/XwFkXNkxIz</t>
  </si>
  <si>
    <t>Você concorda com o presidente?
#lula #bancocentral #juros #bcb #copom #selic #camposneto</t>
  </si>
  <si>
    <t>O que você acha do patamar atual dos juros?
#juros #selic #ipca #inflação #copom #atadocopom #bancocentral</t>
  </si>
  <si>
    <t>Confira os motivos e detalhes no site ou APP do https://t.co/5Z7417xxav Brasil.
#juros #selic #bancocentral #copom #bc</t>
  </si>
  <si>
    <t>Compra de gas: un desmadre digno de un sainete
#gas #GNL #energia #federicobernal #federicobasualdo #dariomartinez #dolar #flaviaroyon #sergiomassa #superministro #reservas #bancocentral
https://t.co/nn9zCrgiwz</t>
  </si>
  <si>
    <t>Nous avons besoin d’une déflation.
#UBS #Santander #Bancos #BancoCentral #FED</t>
  </si>
  <si>
    <t>I am afraid we need deflation.
#FED #BancoCentral #Bancos #UBS #Santander</t>
  </si>
  <si>
    <t>HOY COMIENZA A CIRICULAR EL BILLETE DE $2000 
Mirá el video que compartió el #BancoCentral con las medidas de seguridad del #NuevoBillete de $2000. https://t.co/c1Uzo9hRSJ</t>
  </si>
  <si>
    <t>#AOVIVO BC mantém taxa de juros e Lula pede ação de senadores | TSE suspende julgamento de Bolsonaro
Acompanhe o Bom Para Todos ao vivo desta quinta!
https://t.co/I7HXwBd0ex
#GovernoLula
#BolsonaroInelegível
#BancoCentral
#CamposNeto
#TSE https://t.co/3DXO0eUrP6</t>
  </si>
  <si>
    <t>#AOVIVO Moraes suspende sessão e julgamento de inelegibilidade Bolsonaro no TSE é adiado 
Acompanhe o Boletim Bom Para Todos ao vivo com as notícias do dia!
https://t.co/XUQ1gwXkOP
#BolsonaroInelegível
#GovernoLula
#JairBolsonaro
#BancoCentral
#CamposNeto
#TSE https://t.co/xBgyij8A7H</t>
  </si>
  <si>
    <t>🔷 Taxa Selic em 13,75 é muito ou pouco? | Le Monde Diplomatique Brasil
Acompanhe!
https://t.co/VkkaOHO8E0
#LeMondeDiplomatique
#LadislauDowbor
#BancoCentral
#Economia
#TaxaSelic https://t.co/29lGZRigKZ</t>
  </si>
  <si>
    <t>Luiza Trajano pede a Campos Neto que BC abaixe a taxa de juros 
#LuizaTrajano #CamposNeto #BancoCentral #juros #economia #notíciasdodia #redetvt #tvt https://t.co/FgU7yTvcsC</t>
  </si>
  <si>
    <t>#AOVIVO Indicados pelo governo ao BC são aprovados | Lula volta a criticar termos da UE ao Mercosul 
Acompanhe o Bom Para Todos ao vivo desta terça!
https://t.co/qSntejWH9V
#GovernoLula
#BancoCentral
#ReformaTributária
#Mercosul https://t.co/L4P8J4SztK</t>
  </si>
  <si>
    <t>#AOVIVO Lula assume a presidência do Mercosul | Indicados de Lula ao BC são aprovados no Senado
Acompanhe o Boletim Bom Para Todos ao vivo com as notícias do dia!
https://t.co/1H4fQt1NZn
#GovernoLula
#BancoCentral
#ReformaTributária
#Mercosul https://t.co/nDZL3clWm9</t>
  </si>
  <si>
    <t>#AOVIVO Lula se encontra com Campos Neto pela 1ª vez no Planalto
Acompanhe o Bom Para Todos ao vivo desta quarta!
https://t.co/T1hCuMA5jW
#GovernoLula
#CamposNeto
#BancoCentral
#Iraque https://t.co/9nTqrAuHLj</t>
  </si>
  <si>
    <t>Ya son 2⃣6⃣ años! 🥳 
Felicidades a todos los que han consagrado su tiempo y a los que día a día sostienen una institución como el #BancoCentral 🇨🇺 
Vamos por más! 
#MejorEsPosible
#BancariosCubanos https://t.co/1hI1un1T8H</t>
  </si>
  <si>
    <t>@infobae @Milei no prendas fuego el #BancoCentral, que ahí esta la información de como tu Jefe se robó 3 Bancos en 1995, no quemes nada, o esa es la idea, quemar para robar #BancoIntegradoDepartamental robado por #RoqueFernandez los ahorristas aun queremos cobrar</t>
  </si>
  <si>
    <t>@diegowainstein Nadie va a decir nada del jefe del equipo económico de @milei? Roque Fernández, cuando era Capo del #BancoCentral se robó 3 Bancos,  #BancoAciso #BancoIntegradoDepartamental #BancoDeLaRibera</t>
  </si>
  <si>
    <t>Confira!
#Pix #BancoCentral 
https://t.co/gBIb96wGjv</t>
  </si>
  <si>
    <t>Saiba como consultar 
#BancoCentral #DinheiroEsquecido #Economia 
https://t.co/u6BaXeIDO6</t>
  </si>
  <si>
    <t>O principal instrumento de pagamentos do país deve se tornar ainda mais simples
#Pix #Pagamento #BancoCentral
https://t.co/0bd2QysKrO</t>
  </si>
  <si>
    <t>@camila_vallejo @GobiernodeChile @voceriagobierno @Min_Hacienda @meconomia 🤣🤣🤣🤣🤣 como tan care raja??? Mérito absoluto del banco central. Mejor anda a elegirle vestido y zapatos a tu wea de "MARIDE"
#VallejoCRERAJA
#Maride
#GobiernoDeLadrones 
#Inflación
#BancoCentral https://t.co/3lFlAVyvxR</t>
  </si>
  <si>
    <t>Para as fintechs, em uma visão de produto, é crucial considerar não apenas as questões técnicas e as funcionalidades envolvidas, mas também uma perspectiva estratégica relevante. https://t.co/s0JkUNRDTX  -
#pix #pixautomático #bancocentral #openfinance #saas #baas #fintechs</t>
  </si>
  <si>
    <t>Aquele circo armado no #agrishow2023 foi pra PASSAR PANO para o Meliante...Sabiam que Bozo iria Rodar com a operação da PF e adulteração da carteira de #vacinação .
Ah,enquanto isso seu estafeta mantém #jurosaltos no #BancoCentral 
ACORDA,BRASIL</t>
  </si>
  <si>
    <t>https://t.co/2rctQN5tWS
Em julho, a inadimplência no segmento de recursos livres ficou em 5,0%, contra 4,9% no mês anterior.
#BancoCentral #crédito #Brasil</t>
  </si>
  <si>
    <t>Moeda de atacado, não de varejo, o Drex não será acessado diretamente pelos correntistas
https://t.co/5pMPWf3Gtk
#BANCOCENTRAL #DREX #ECONOMIAEPOLÍTICA #REALDIGITAL #YOUTUBE</t>
  </si>
  <si>
    <t>Somente na última sexta-feira (4), 142,4 milhões de transferências via Pix foram feitas para usuários finais
https://t.co/GLGVoYKgs8
#APLICATIVOS #BANCOCENTRAL #ECONOMIA #ECONOMIAEPOLÍTICA #PIX</t>
  </si>
  <si>
    <t>https://t.co/lvUkeZYkXu
Também houve diminuição do superávit da renda secundária em US$ 276 milhões, que são as transferências sem contrapartidas.
#bancocentral #economia</t>
  </si>
  <si>
    <t>https://t.co/JX9Zh9hujH
O total de cooperados subiu 14,5%, passando de 13,6 milhões em 2021 para 15,6 milhões em 2022
#economia #bancocentral #crédito</t>
  </si>
  <si>
    <t>Os dados mais recentes são preliminares e fazem parte das estatísticas referentes ao câmbio contratado
https://t.co/enVNncEqbh
#BANCOCENTRAL #FLUXOCAMBIAL #MERCADOS</t>
  </si>
  <si>
    <t>Todas essas transações são apenas simuladas e se destinam ao teste de infraestrutura básica do Drex
https://t.co/rrYPjZH8R0
#BANCOCENTRAL #DREX #ECONOMIAEPOLÍTICA</t>
  </si>
  <si>
    <t>O Itaú manteve expectativa de que a taxa de desemprego ficará em 8% em 2023 e 2024
https://t.co/pD8sPb7KXB
#BANCOCENTRAL #BANCOS #EMPRESAS #PIB</t>
  </si>
  <si>
    <t>"Mas a gente não se comporta com dados de tempo real. Então, a gente olha isso(a inflação) como uma tendência."
https://t.co/YeYxPXMRKK
#BANCOCENTRAL #INFLAÇÃO #ROBERTOCAMPOSNETO</t>
  </si>
  <si>
    <t>Os dados mais recentes são preliminares e fazem parte das estatísticas referentes ao câmbio contratado.
https://t.co/KBHlS4B4f3
#BANCOCENTRAL #CÂMBIO #DÓLAR #ECONOMIAEPOLÍTICA</t>
  </si>
  <si>
    <t>O dólar caiu 0,84%, a 4,9372 reais na venda, recuo mais acentuado desde 24 de julho (-0,98%)
https://t.co/O9cpEFJMWN
#BANCOCENTRAL #DÓLAR #MERCADOS #ROBERTOCAMPOSNETO</t>
  </si>
  <si>
    <t>IBC-Br: PIB sobe 0,44% em julho, acima do esperado - https://t.co/9WCQwpBwqK #PIB #BancoCentral</t>
  </si>
  <si>
    <t>O conglomerado Banco do Brasil fechará esta semana com aproximadamente 10 bilhões de reais em dívidas
https://t.co/HGf4rXU4Lc
#BANCOCENTRAL #BANCODOBRASIL #CRÉDITO #DESENROLABRASIL</t>
  </si>
  <si>
    <t>No ano passado, movimentos grevistas dos servidores do Banco Central levaram a atrasos na divulgação de diversos relatórios da autarquia
https://t.co/IGSiydeFXJ
#BANCOCENTRAL #CARREIRAS #ECONOMIAEPOLÍTICA</t>
  </si>
  <si>
    <t>Na apresentação, Campos Neto ainda afirmou que um sistema de pagamentos transfronteiriços melhorará o comércio exterior do Brasil
https://t.co/YYuJRXomMs
#BANCOCENTRAL #ECONOMIAEPOLÍTICA #JPMORGAN #PIB #ROBERTOCAMPOSNETO</t>
  </si>
  <si>
    <t>Pix permitirá débito automático; BC vê evolução para pagamento offline, parcelado e no exterior - https://t.co/QVuFWDofwx #PIX #BC #BancoCentral</t>
  </si>
  <si>
    <t>Relator do projeto vai elaborar novo texto a ser submetido aos líderes partidários. Intenção é acabar com juros abusivos
https://t.co/cl21u0wyYp
#BANCOCENTRAL #CÂMARADOSDEPUTADOS #CARTÃODECRÉDITO #CMN #CONGRESSO #CRÉDITO #ECONOMIAEPOLÍTICA</t>
  </si>
  <si>
    <t>https://t.co/mHQewPr0hy
Para Campos Neto, com a evolução do open banking, em até dois anos os brasileiros talvez possam ter reunidos em um único aplicativo de celular todas as suas contas bancárias e serviços financeiros.
#economia #bancocentral</t>
  </si>
  <si>
    <t>Às 9:11 (de Brasília), o dólar à vista avançava 0,19%, a 4,9088 reais na venda
https://t.co/tACgBo2ly2
#BANCOCENTRAL #DÓLAR #EUA #MERCADOS</t>
  </si>
  <si>
    <t>A decisão foi tomada de forma unânime pelo Comitê de Política Monetária
https://t.co/nzJwvoHpWS
#BANCOCENTRAL #COPOM #ECONOMIAEPOLÍTICA #TAXASELIC</t>
  </si>
  <si>
    <t>https://t.co/ouUGX3vX41
Em evento promovido pela Associação Brasileira de Bares e Restaurantes (Abrasel), Campos Neto reafirmou que o aumento de preços desses insumos vai impactar a inflação no país em 2023.
#combustíveis #bancocentral</t>
  </si>
  <si>
    <t>A meta para o provedor de cartão de crédito corporativo, que também oferece produtos de gerenciamento de despesas
https://t.co/LQWQdcStuh
#AMÉRICALATINA #BANCOCENTRAL #BRASIL #CARTÃODECRÉDITO #CLARA #EMPRESAS #FINTECH</t>
  </si>
  <si>
    <t>Há um consenso no mercado financeiro de que o Copom deverá anunciar um corte na taxa Selic após o fechamento do mercado nesta quarta
https://t.co/iODbim5Apl
#BANCOCENTRAL #COPOM #ECONOMIAEPOLÍTICA #FERNANDOHADDAD #JUROS #LULA</t>
  </si>
  <si>
    <t>Às 10:03, o Ibovespa caía 0,1 %, a 121.121,65 ponto
https://t.co/r3t4aNucTG
#BANCOCENTRAL #IBOVESPA #MERCADOS</t>
  </si>
  <si>
    <t>Na véspera, o dólar à vista fechou o dia cotado a 4,7910 reais na venda, com alta de 1,31%
https://t.co/QjwV5zQeHY
#B3 #BANCOCENTRAL #DÓLAR #EUA #MERCADOS</t>
  </si>
  <si>
    <t>https://t.co/Yf4M01B13V
Trinta milhões de pessoas serão beneficiadas nesta etapa.
#economia #dívidas #bancocentral #Brasil</t>
  </si>
  <si>
    <t>Neste aspecto, Galípolo afirmou que a redução da inflação no Brasil tende a gerar uma "recomposição de renda para as famílias"
https://t.co/tRzaHCQUL3
#desinflacao #galipolo #bancocentral https://t.co/w15K0KmKIk</t>
  </si>
  <si>
    <t>As taxas dos contratos futuros de juros de longo prazo fecharam em alta nesta terça-feira na esteira do exterior
https://t.co/fkZPGOlT7H
#BANCOCENTRAL #COPOM #ECONOMIAEPOLÍTICA #TAXASELIC</t>
  </si>
  <si>
    <t>Focus: PIB de 2023 é revisado para cima pela 3ª vez consecutiva - https://t.co/Fg81mWgU7f #Focus #BancoCentral</t>
  </si>
  <si>
    <t>https://t.co/RCDusZsC7M
Os analistas consultados pelo BC veem agora um crescimento de 2,56% do Produto Interno Bruto (PIB) em 2023, contra 2,31% na semana anterior.
#BancoCentral #Brasil #PIB</t>
  </si>
  <si>
    <t>Segundo ele, o país tem um gasto tributário de 10% do PIB e o governo precisa de 1% deste montante para ajustar as contas públicas
https://t.co/ufSN1pkCvn
#BANCOCENTRAL #CONGRESSO #ECONOMIAEPOLÍTICA #FERNANDOHADDAD #MINISTÉRIODAFAZENDA</t>
  </si>
  <si>
    <t>O Conselho Nacional de Previdência Social (CNPS) reduziu a taxa de juros dos empréstimos consignados para beneficiários do INSS de 1,97% para 1,91% ao mês
https://t.co/OKMw5Sojzm
#BANCOCENTRAL #ECONOMIAEPOLÍTiCA #EMPRÉSTIMO #CONSIGNADO #INSS #PREVIDÊNCIASOCIALAPOSENTADORIA</t>
  </si>
  <si>
    <t>A barra estabelecida pelo Banco Central para fazer algo diferente de cortes de 0,50 ponto percentual na taxa Selic à frente é alta
https://t.co/TL1JRS7MgN
#BANCOCENTRAL #COPOM #ECONOMIAEPOLÍTICA #ROBERTOCAMPOSNETO</t>
  </si>
  <si>
    <t>https://t.co/nLnAuu8hgA
As declarações foram dadas em palestra no Fórum de Gestão Empresarial da Federação das Associações Comerciais e Empresariais do Estado do Paraná (Faciap).
#inflação #Brasil #bancocentral</t>
  </si>
  <si>
    <t>Na B3, às 17:08 (de Brasília), o contrato de dólar futuro de primeiro vencimento caía 0,37%, a 4,9030 reais
https://t.co/3rQG9tLDs5
#BANCOCENTRAL #CAMPOSNETO #DÓLAR #EUA #INFLAÇÃO #MERCADOS</t>
  </si>
  <si>
    <t>https://t.co/AXjESDmcwo
Campos Neto participou de uma sessão em homenagem ao seu avô, o ex-senador, ex-deputado, ex-ministro e economista Roberto Campos. Se estivesse vivo, Roberto Campos faria 100 anos hoje.
#bancos #bancocentral #Brasil</t>
  </si>
  <si>
    <t>A maioria dos economistas consultados pela Reuters em uma pesquisa espera redução de 0,25 ponto percentual
https://t.co/bkIEvMzNae
#BANCOCENTRAL #BRASIL #CAMPOSNETO #ECONOMIAEPOLÍTICA #LULA #PALÁCIODOPLANALTO #TAXASELIC</t>
  </si>
  <si>
    <t>https://t.co/7PlZFa9XHU
No mês, a inadimplência no segmento de recursos livres, ficou em 4,9% pelo terceiro mês seguido.
#economia #BancoCentral https://t.co/ah95AFgCGp</t>
  </si>
  <si>
    <t>Haddad disse que a situação macroeconômica do Brasil é atualmente menos negativa do que a de outros países
https://t.co/RVntI2nJ9C
#BANCOCENTRAL #CONGRESSO #ECONOMIAEPOLÍTICA #FERNANDOHADDAD #ROBERTOCAMPOSNETO</t>
  </si>
  <si>
    <t>O NuPay é definido pelo Nubank como uma solução de pagamento por débito e crédito para varejo eletrônico
https://t.co/K6TCtmppHC
#BANCOCENTRAL #BANCOS #FINTECH #NUBANK #NUPAY</t>
  </si>
  <si>
    <t>"Parte da desancoragem (no Brasil) está explicada por necessidade de receitas adicionais", afirmou Campos Neto
https://t.co/eOAZACUvmm
#BANCOCENTRAL #ECONOMIAEPOLÍTICA #ROBERTOCAMPOSNETO</t>
  </si>
  <si>
    <t>O resultado oficial da arrecadação tributária em julho ainda não foi divulgado pela Receita Federal
https://t.co/nZdDAm5PDN
#BANCOCENTRAL #ECONOMIAEPOLÍTICA #FERNANDOHADDAD #TAXASELIC</t>
  </si>
  <si>
    <t>https://t.co/uurxCLUFVx
A ata afirma que o Copom viu mérito tanto na opção de reduzir a taxa Selic em 0,25 ponto percentual como em 0,50 ponto percentual.
#bancocentral #selic</t>
  </si>
  <si>
    <t>Taxa Selic, em 13,75% ao ano, deve ter primeiro corte em três anos
https://t.co/YiwDoKISLV
#BANCOCENTRAL #COPOM #ECONOMIAEPOLÍTICA #FERNANDOHADDAD #JUROS #LULA #TAXASELIC</t>
  </si>
  <si>
    <t>Em agosto, Campos Neto chegou a indicar que a modalidade de crédito via rotativo do cartão poderia ser extinta
https://t.co/HEb9775ySU
#cartaodecredito #camposneto #bancocentral https://t.co/9pzyUH1jOD</t>
  </si>
  <si>
    <t>O diretor da Fitch Ratings no Brasil, Rafael Guedes, afirmou nesta quarta-feira que o país tem um caminho “bastante longo”
https://t.co/Ht7JsFnUcj
#investimentos #fitch #bancocentral #Economia https://t.co/EsmpDHrsvI</t>
  </si>
  <si>
    <t>https://t.co/eTL1DO4FHG
O Comitê seguiu avaliando que, entre as possibilidades que justificariam observarmos expectativas de inflação acima da meta estariam as preocupações no âmbito fiscal.
#Bancocentral #Brasil https://t.co/G8b8Ju0Lc5</t>
  </si>
  <si>
    <t>Tebet disse que a discussão sobre cortes de gastos públicos deve ficar apenas para 2024
https://t.co/UqIk8Fkqfh
#BANCOCENTRAL #CONGRESSO #ECONOMIAEPOLÍTICA #SIMONETEBET</t>
  </si>
  <si>
    <t>https://t.co/M2o786SVv5
Em conferência promovida pelo grupo Julius Baer, Campos Neto afirmou que esse conceito se aplica à inflação global, mas também ao Brasil. Para ele, numa eventual situação de retorno da inflação, o custo de voltar a baixá-la seria maior.
#BancoCentral</t>
  </si>
  <si>
    <t>Na sexta-feira, o Instituto Brasileiro de Geografia e Estatística (IBGE) informou que o Produto Interno Bruto do Brasil cresceu 0,9% no segundo trimestre
https://t.co/BaUwg1IzlJ
#BANCOCENTRAL #ECONOMIAEPOLÍTICA #EUA #IBGE #PIB #TAXASELIC</t>
  </si>
  <si>
    <t>https://t.co/IjWHYB9Kro
Falando na Conferência Anual do Santander, Campos Neto destacou que o BC tem tentado adotar em sua comunicação a mensagem de que os juros ainda precisam ser restritivos.
#bancocentral #inflacao</t>
  </si>
  <si>
    <t>Em março, o BC escolheu a plataforma Hyperledger Besu para fazer os testes com ativos de diversos tipos e naturezas
https://t.co/y61C1y9S0x
#BANCOCENTRAL #DREX #ECONOMIAEPOLÍTICA</t>
  </si>
  <si>
    <t>Investidores comemoraram nesta quinta-feira o corte mais generoso da Selic pelo Banco Central na véspera, com o Ibovespa chegando a subir 1,5% pela manhã
https://t.co/UfjgaLSBTA
#BANCOCENTRAL #COPOM #ECONOMIA #IBOVESPA #MERCADOS #TAXASELIC</t>
  </si>
  <si>
    <t>Na B3, às 9:06 (horário de Brasília), o contrato de dólar futuro de primeiro vencimento subia 0,88%, a 4,8800 reais
https://t.co/YDwKfVMdR8
#BANCOCENTRAL #COPOM #DÓLAR #MERCADO #TAXASELIC</t>
  </si>
  <si>
    <t>As 3 surpresas da decisão “passivo-agressiva” do BC no corte da Selic - https://t.co/Vpc6QLD8QI #BancoCentral #Selic</t>
  </si>
  <si>
    <t>Campos Neto, por sua vez, disse que as divergências observadas na reunião deste mês do Copom não são as mesmas dos encontros anteriores
https://t.co/G8HCEVAl64
#camposneto #bancocentral #camposneto #copom https://t.co/J6fjMrDGoO</t>
  </si>
  <si>
    <t>O pedido para realização da audiência é do deputado Lindbergh Farias (PT-RJ)
https://t.co/v40MJy1Yll
#BANCOCENTRAL #CÂMARADOSDEPUTADOS #ECONOMIAEPOLÍTICA #ROBERTOCAMPOSNETO</t>
  </si>
  <si>
    <t>As contas públicas fecharam o mês de julho com saldo negativo, resultado principalmente da queda de receitas do governo federal em impostos e dividendos
https://t.co/Q6LTKk3Ujg
#BANCOCENTRAL #CONTASPÚBLICAS #ECONOMIAEPOLÍTICA #PREVIDÊNCIASOCIAL</t>
  </si>
  <si>
    <t>O papel do Banco Central é realizar reformas estruturais para corrigir falhas no mercado e tratar de barreiras de entrada no setor
https://t.co/rojfDR5XMQ
#BANCOCENTRAL #CARTÃODECRÉDITO #CRÉDITO #ECONOMIAEPOLÍTICA</t>
  </si>
  <si>
    <t>O BC ressaltou que o Sistema Financeiro Nacional está preparado para enfrentar a materialização de riscos
https://t.co/SEICZM7i9S
#BANCOCENTRAL #DÍVIDA #ECONOMIAEPOLÍTCIA</t>
  </si>
  <si>
    <t>Ainda conforme a pesquisa do BofA o sentimento em relação às ações brasileiras permanece positivo
https://t.co/dfSmfDSg0r
#BANCOCENTRAL #BANKOFAMERICA #ECONOMIAEPOLÍTICA #TAXASELIC</t>
  </si>
  <si>
    <t>https://t.co/oy3Rd3iEx4
Em evento promovido pela Frente Parlamentar do Empreendedorismo, Campos Neto afirmou que o reajuste anunciado para o diesel e a gasolina deve gerar uma elevação de 0,40 ponto percentual no IPCA entre agosto e setembro.
#BancoCentral #Petrobras</t>
  </si>
  <si>
    <t>As taxas dos contratos futuros de juros no Brasil tiveram baixa firme nesta terça-feira, em um dia marcado pela aversão global a ativos de risco
https://t.co/4fKMPtQbBb
#BANCOCENTRAL #BRASIL #CHINA #COPOM #ECONOMIAEPOLÍTICA #JUROS #MERCADOS</t>
  </si>
  <si>
    <t>O Ibovespa (IBOV) fechou com um declínio discreto nesta terça-feira, distante da mínima da sessão, conforme o alívio na curva de juros brasileira
https://t.co/8vDMWbghOf
#AÇÕES #BANCOCENTRAL #COPOM #ELETROBRAS #IBOVESPA #ITAÚUNIBANCO #MERCADOS</t>
  </si>
  <si>
    <t>https://t.co/1DbdHI4DWQ
Segundo o chefe do Departamento de Estatísticas do BC, Fernando Rocha, na comparação interanual, a conta do Governo Central teve piora de R$ 60,2 bilhões.
#economia #bancocentral #Brasil</t>
  </si>
  <si>
    <t>@latercera El #BancoCentral</t>
  </si>
  <si>
    <t>💲Pix bate recorde de transações diárias, com R$ 68,4 bilhões movimentados. Na ocasião, o Banco Central contabilizou 122,4 milhões de transações que resultaram na movimentação de R$ 62,8 bilhões. #pix #bancocentral</t>
  </si>
  <si>
    <t>💲Para maior segurança, cheques terão mudanças a partir de 2 de outubro. Principal alteração é que a regulação do modelo passa do Banco Central para as instituições financeiras; além disso, cliente poderá solicitar uso do nome social. #cheque #bancocentral</t>
  </si>
  <si>
    <t>🚨URGENTE: BC reduz taxa básica de juros para 13,25%
Queda de 0,5p.p.
Primeira redução de índice após 3 anos. 
Via @GloboNews</t>
  </si>
  <si>
    <t>Imacec junio 2023 https://t.co/I4twPOUVy0 #BancoCentral</t>
  </si>
  <si>
    <t>¡ #Europa sigue adelante!
#nuevaentradadelblog #cbdc #bancocentral #gobierno #creatuimperio
https://t.co/M53faQQ5qg</t>
  </si>
  <si>
    <t>@brasil247 pq #Lula não dá um pé na bunda dele, e numa canetada retoma o poder, q ele votadamente deveria ter, sobre o nosso #BancoCentral?</t>
  </si>
  <si>
    <t>➡ El Banco Central ya tiene en su poder el nuevo billete de $2.000 y define su salida
La Casa de la Moneda adelantó la entrega
#Billete #BancoCentral https://t.co/3qvnxT2oxT</t>
  </si>
  <si>
    <t>La carta de creación del Banco Central de la República Argentina es PÉSIMA. Video en mi canal de YouTube
(Carta del 06/06/1935 a las 10:00)
#astrología #BancoCentral https://t.co/0wZYLYUEkr</t>
  </si>
  <si>
    <t>🏦 El #BancoCentral subió la tasa de interés a 91%, la más alta en los últimos 20 años. 🏦 
.
🫵 Es entonces cuando el #Banco de la #República decide aumentar las tasas de interés, haciendo que el crédito sea más costoso y la gente procure no pedir prestado https://t.co/M9ryugNGlA</t>
  </si>
  <si>
    <t>MERCADO HOJE - 03/08/23
• Humor dos índices
• Política monetária do Reino Unido
• Atividade de serviços na China
• Petróleo e minério de ferro
• Copom 
Veja o resumo completo dos mercado hoje 👉 https://t.co/PZHx0BnXwn
#Selic #Copom #bancocentral #mercadohoje… https://t.co/SHC4KM9AlW</t>
  </si>
  <si>
    <t>#Exportaciones #SergioMassa #BancoCentral  | Dólar soja 3: el campo liquidó 5137 millones y Economía festeja que se impuso a la presión devaluatoria
Nota: https://t.co/vFeOuoxs5x https://t.co/stlTip7VbE</t>
  </si>
  <si>
    <t>#Exportaciones #SergioMassa #BancoCentral  | Dólar soja 3: el campo liquidó 5137 millones y Economía festeja que se impuso a la presión devaluatoria
Nota: https://t.co/vFeOuoxs5x https://t.co/pyYCrcU9mD</t>
  </si>
  <si>
    <t>#JusticiaFederal #BancoCentral | Tras el amparo, Schiaretti pudo pagar la deuda de Córdoba con dólares del Central
https://t.co/o5WQnMop8Q</t>
  </si>
  <si>
    <t>Pese a que Gutiérrez estaba molesto con la medida anunciada por el banco Central, presentó un plan de financiación en dólares para ponerse al día con su deuda.
#BancoCentral #deuda #gobernador
https://t.co/nvzXTGWL5h</t>
  </si>
  <si>
    <t>El acuerdo establece un desembolso de más de 7.000 millones de dólares 💵💵en agosto y otro en noviembre 📆¿Cómo reaccionarán los mercados a esta noticia?
#Argentina #FMI #BancoCentral #PolíticaFiscal #DólarBlue #MinisterioDeEconomía
https://t.co/LG9R3j2s8A</t>
  </si>
  <si>
    <t>El #BancoCentral anunció la suba de las tasas 📈 ¿Cuánto se le pagará ahora a los ahorristas?
#Inflación #Ahorros #Llegarafindemes 🫰
https://t.co/5kTHpuk7ex</t>
  </si>
  <si>
    <t>Que ganas de autopercibirme ciudadana del país que gobierna Lacalle luego de leer los medios y Twitter hoy.....
#BancoCentral</t>
  </si>
  <si>
    <t>Algunos países que operan con Banco Central y sus nombres:
1. China
(Banco Popular de China)
2. Alemania
(Banco Federal Alemán)
3. Estados Unidos 
(Reserva Federal)
4. Uruguay 
(Banco Central)
5. Rusia
(Banco de Rusia)
#BancoCentral #dolar #Milei #Bullrich #SergioMassa</t>
  </si>
  <si>
    <t>Alemania opera con Banco Central. Kiribati y Tuvalu no.
#BancoCentral #dolar #Milei #Bullric</t>
  </si>
  <si>
    <t>¿Y la distribución de la riqueza?: Editorial del día/Swaps, FMI y Deuda Externa: Entrevista a Alejandro Vanoli/Homenaje a la cantante Coco Lee/Tumbaito: el flamenco es furor en China/ China en Clave de Noticias (CMG)  https://t.co/EtZuJHUgY7
@lidiafagale  @avanoliok @Radio_770 https://t.co/tf79aZjP8T</t>
  </si>
  <si>
    <t>#cocolee #flamenco #dostribuciondelariqueza #tumbaito #EleccionesGenerales2023 #China #yuan #swap #bancocentral #deudaexterna #dolar #</t>
  </si>
  <si>
    <t>#NoticiasEconómicas: Los bancos centrales echan más leña contra la inflación y elevan el riesgo de crisis
💻https://t.co/OP2zy7gCBi
#economia #noticias #bancos #bancocentral https://t.co/DrBeV4k2FC</t>
  </si>
  <si>
    <t>#CSNA3: zona de gap
#CSN #Commodities #Ibovespa #Selic #BancoCentral #ETF #Bitcoin #China #Crimeia #Russia #dolar #TradingOpportunity #candlestick https://t.co/GyuhdCQCAP</t>
  </si>
  <si>
    <t>#BRKM5: suporte em 26.55
#Braskem #Unipar #Ibovespa #industria #chemicals #consumers #inflation #BancoCentral #foralula #analisegrafica #tradingstrategy https://t.co/l3tOMHsauD</t>
  </si>
  <si>
    <t>#VALE3: inside bar
#Vale #Commodities #Ibovespa #BancoCentral #Selic #EmergingMarkets #China #Taiwan #FederalReserve #dolar #policy #DayTrading #realestatemarket #bitcoin https://t.co/ZNgwIzgEBv</t>
  </si>
  <si>
    <t>#EMBR3: teste em 19.00 
#Embraer #Ibovespa #COPOM #Selic #Airplane #ForaLula #analisegrafica #DayTrading #dolar #inflation #BancoCentral #trading https://t.co/zRQKne4etE</t>
  </si>
  <si>
    <t>#MOVI3: faixa de 10.60
#Movida #Ibovespa #Governo #ForaLula #China #Taiwan #Diesel #COPOM #BancoCentral #inflation #leasing #dolar #Bitcoin https://t.co/QGowS2GUII</t>
  </si>
  <si>
    <t>#B3SA3: máxima da última semana 
#B3 #Ibovespa #Finance #investments #SwingTrading #analisegrafica #BancoCentral #Selic #inflation #TradingSignals #candlestick https://t.co/NpEs3KX4MX</t>
  </si>
  <si>
    <t>#VALE3: faixa de 66.00 
#Vale #Ibovespa #China #Commodities #ironore #BRICS #Russia #analisetecnica #DayTrading #recession #dolar #interestrates #BancoCentral #ArcabouçoFiscal https://t.co/pzFpwZ1riG</t>
  </si>
  <si>
    <t>Lo más triste de todo es que fokih #bancocentral volvió a subir el interés... Hasta donde más llegará eta inflación... 😶‍🌫️😡 La gente le vale madres.. Nadie se queja.. Nito haceindo fiesta con Panamá.</t>
  </si>
  <si>
    <t>https://t.co/CfTHoHzOOZ 
#encajelegal #bancocentral #RepublicaDominicana #bancos #bancoscomerciales #prestamos #viviendas  #viviendasbajocosto #millones</t>
  </si>
  <si>
    <t>"Las decisiones del Banco Central de China están provocando caídas importantes en el yuan". Pinto
@xtbes 
https://t.co/w1l0XweQez
#bancocentral #china #alemania #yuan #crisiseconomica #mercados #livenews #breakingnews #noticiaseconomicas #actualidad #negociostv https://t.co/39PK7r7NtY</t>
  </si>
  <si>
    <t>Euríbor: camino de cerrar mayo en nuevos máximos desde 2008: por encima del 3,8%
https://t.co/ByX5O6SKpa
#economia #hipotecas #vivienda #europa #economiaeuropa #euribor #pmi #estadosunidos #bancos #bancoseuropa #tiposdeinterés #bancocentral #negociostv #vizner https://t.co/0hBypbtr82</t>
  </si>
  <si>
    <t>Argentina se queda sin billetes: los compra a Europa porque sus máquinas no dan abasto para imprimir
https://t.co/royped014f
#hiperinflacion #argentina #europa #dinero #monedas #billetes #bancocentral #inflacion #crisiseconomica #crisisfinanciera #liquidez #recesion #negociostv https://t.co/CTLFIwiecu</t>
  </si>
  <si>
    <t>La locura de la hiperinflación noquea a Argentina: compra billetes a Europa al no dar abasto
https://t.co/TcJJz52GlH
#hiperinflacion #argentina #europa #dinero #monedas #billetes #bancocentral #políticamonetaria #crisiseconomica #crisisfinanciera #crisisbancaria #recesion https://t.co/CckGiiteYh</t>
  </si>
  <si>
    <t>Emergencia en el banco central de Alemania: el Bundesbank puede necesitar una recapitalización
https://t.co/mS9psrhn0o
#bundesbank #alemania #deuda #crisisbancaria #bancocentral #bonos #capitalization #capital #economia  #tasadeinteres #bce #ultimahora #negociostv https://t.co/9mgmdp1nfp</t>
  </si>
  <si>
    <t>“Es posible que el BCE crea que el sistema financiero no sea tan sólido como parecía”, EAE
https://t.co/yUv2pGsG9e
#bce #bancocentral #europa #liquidez #bancos #economia #noticiasenespañol #noticiaseconomicas #negociostv #negocios https://t.co/HTeytSjZNp</t>
  </si>
  <si>
    <t>“Lagarde no quiere que le lleven la contraria”. Adrián Hostaled
https://t.co/rFfyTQYeLa
#xtb #lagarde #bce #politicamonetaria #economia #europa #unioneuropea #mercados #entrevista #christinelagarde #bancocentral #tecnologia #mercadobajista #negociostv https://t.co/EEJcnPJxup</t>
  </si>
  <si>
    <t>ÚLTIMA HORA : Morgan Stanley apuesta por el "Soft landing"
https://t.co/BqZflHfGBf
#morganstanley #fed #eeuu #ultimahora #reservafederal #recortes #politica #politicamonetaria #softlanding #economia #bancos #bancocentral #tipos #negociostv #noticiasenespañol https://t.co/0dGFFxlebB</t>
  </si>
  <si>
    <t>La pregunta de Negocios TV a Lagarde sobre el balance y su contundente respuesta: "No habrá cambios"
https://t.co/GLjfc7BM7d
#lagarde #bce #negociostv #declaraciones #europa #bancocentral #christinelagarde #conferencia #unioneuropea #balance #ruedadeprensa #plan https://t.co/XrLVuOBZC2</t>
  </si>
  <si>
    <t>“Intentaría mantener la calma en el mercado durante algún tiempo”. Ángel Olea
https://t.co/4p1ajtT52t
#bce #recesion #subidadetipos #economia #cartera #inversiones #bolsadevalores #mercados #bancocentral #europa #mercados #mercadosfinancieros #negociostv #noticiasenespañol https://t.co/w2SMwbrQ3k</t>
  </si>
  <si>
    <t>La polémica decisión de Polonia: prepara un recorte de tipos a pesar de la inflación
https://t.co/kyZDLWYPYy
#polonia #economia #bancocentral #tiposdeinteres #unioneuropea #inflacion #negociostv #europa #recortes #politicamonetaria #varsovia #javierluengo https://t.co/7KsLtFBBIR</t>
  </si>
  <si>
    <t>Europa ve obstáculos para incautar 200.000 millones de euros en activos rusos
https://t.co/am5FTi6MgB
#ucrania #unioneuropea #rusia #guerraucrania #russiaukrainewar  #activos #ayuda #legal #bancocentral #ursulavonderleyen #ue #negociostv #noticiasenespañol https://t.co/tbDPhoZB6Z</t>
  </si>
  <si>
    <t>ÚLTIMA HORA | Desciende la inflación en Francia aunque sigue triplicando el objetivo del BCE
https://t.co/5NGcg0JeS9
#francia #inflacion #bancocentral #bancocentraleuropeo #inflacioneuropa #bancoscentrales #economia #europa #ultimahora #livenews #negociostv #josevizner https://t.co/c2ozVGv9Pr</t>
  </si>
  <si>
    <t>https://t.co/Rzc4aq0ng5
🚨📈😱Los bancos centrales siguen subiendo las tasas de interés y el mercado comienza a moverse.
#trading #inflación #inflacion #BancoCentral #EEUU #EstadosUnidos #xtblatam https://t.co/ZFFC6vkVFy</t>
  </si>
  <si>
    <t>👉https://t.co/s0JDafgQrY
🇨🇳📈#China Arremete con estímulos y el mercado comienza a reaccionar, ¡no comiences la semana sin nuestro análisis intraday!
#trading #BancoCentral #trader #dolar https://t.co/mLbVb9BrFS</t>
  </si>
  <si>
    <t>👉https://t.co/RV9GWxPsMG
🚨🇺🇸
#Collins de la #Fed indica que son posibles nuevos incrementos por parte del #BancoCentral, pero este debe ser prudente en sus decisiones. https://t.co/WmnhniuJlh</t>
  </si>
  <si>
    <t>https://t.co/iSBG50ZDRB
🇪🇺🚨😱El mercado resiente la presión que impone el #BCE , ¡¡¡entérate de todo en nuestro análisis intraday de hoy!!!!
#dolar #trading #BancoCentral #BancoCentralEuropeo #inflación #inflacion #TasaDeInterés #Capital #ULTIMAHORA https://t.co/vZULcg06bk</t>
  </si>
  <si>
    <t>https://t.co/2D9scOlVHh
☝️📊🚨La #inflación vuelve a impactar el mercado pero... ¿Generará movimientos importantes esta semana?.
No quedes fuera de nuestro análisis del mercado.
#trading #trader #XtbLatam #BancoCentral #EEUU #inflacion https://t.co/N3cjqRmixf</t>
  </si>
  <si>
    <t>📊👉 https://t.co/sbWxTEvZLw
😱🇺🇸#NeelKashkari, el presidente del Banco de la Reserva Federal de Minneapolis, expresó incertidumbre sobre si el #BancoCentral ha terminado sus aumentos de tipos, apuntando al continuo robusto clima económico.
#FED #EEUU #trading https://t.co/E0JjBhg5s6</t>
  </si>
  <si>
    <t>👉👉https://t.co/ctEyb4uOZZ
🇪🇺🚨El #BancoCentral Europeo anunció su última decisión de política monetaria hoy. Tal como sucedió ayer con la decisión del #FOMC, el #BCE no sorprendió a los mercados y cumplió con las expectativas.
#euro #trading #forex https://t.co/SVu49Oyb9T</t>
  </si>
  <si>
    <t>Desemprego atinge menor taxa para o período desde 2015. Taxa de desocupação foi de 8,5%, segundo o IBGE.  Só os juros do Banco Central não caem. Até quando? 
#brunnatavares #PrefeituraDeMaricá #Maricá #PT #GovernoLula #BancoCentral #Sakamoto</t>
  </si>
  <si>
    <t>Hummmmm 🤔🤔🤔
Há razão.para sermos e termos os maiores juros reais do mundo??? 
#BancoCentral</t>
  </si>
  <si>
    <t>🖌🎨 "TAXA DE JUROS" - Confira a charge do jornal Tribuna Independente de hoje.
#charge #jornalismo #chargedodia #economia #bancocentral #juros #taxadejuros #selic #política #bc #ilustração #desenho #draw #arte #tribuna #tribunahoje #tribunaindependente #jorgraf https://t.co/8wyVuheXnH</t>
  </si>
  <si>
    <t>🖌🎨 "LULA PEGA NO PÉ DO BANCO CENTRAL" - Confira a charge do jornal Tribuna Independente de hoje.
#charge #jornalismo #chargedodia #economia #bancocentral #juros #presidentelula #selic #política #bc #ilustração #desenho #draw #arte #tribuna #tribunahoje #tribunaindependente https://t.co/cZnFew1l82</t>
  </si>
  <si>
    <t>Seguridad jurídica y transparencia son atractivos para inversiones en renovables. @BancoCentralRD 
 👉🏼  https://t.co/37HKfK3qPS
#809do #SeguridadJuridica #TransparenciaRD #SectorEnergetico #BancoCentral #RD https://t.co/i8UBNmeqNe</t>
  </si>
  <si>
    <t>Para saber se você tem direito ao recebimento de algum valor, acesse o site do Banco Central
Leia mais em: https://t.co/PBGReBEccC
#sindpdce #bc #bancocentral #economia #valoresareceber https://t.co/dqlqqq0RZE</t>
  </si>
  <si>
    <t>Benefício pode ser sacado por 10,5 milhões de trabalhadores até 5/8
Leia mais em: https://t.co/PBGReBEccC
#sindpdce #bc #bancocentral #economia #saque #pis #pasep #inss https://t.co/lMFZj8107a</t>
  </si>
  <si>
    <t>Pagamento será disponibilizado para empresas de qualquer porte
Leia mais em: https://t.co/PBGReBEccC
#sindpdce #pixautomatico #pix #bancocentral #brasil #tecnologia #transações #2024 https://t.co/OnCJtEYB5J</t>
  </si>
  <si>
    <t>Qual efeito devastador um governo de esquerda!🫵🏾 #economia #bancocentral... https://t.co/amed24ysZ1 via @YouTube
Sigam-me no ig @hilton.boss7 e Yt @creatorboss7
Vamos aumentar essa comunidade Boss.
Levantando o debate cívico sobre política brasileira.🚩</t>
  </si>
  <si>
    <t>Será que os juros caem? #copom #taxadejuros #inflação #economia #juroscompostos #bancocentral #juros
https://t.co/xwtW3LUR4U
Sigam-me nas mídias sociais 🫵🏾
Instagram @hilton.boss7
YouTube @creatorboss7
Obs: fiquem ligados que farei um sorteio no instagram.</t>
  </si>
  <si>
    <t>Essa notícia está sendo divulgado pela mídia?! Alguém viu? Tem como mandar o link
Presidentes de bancos centrais estrangeiros vêm ao Brasil debater política monetária https://t.co/bMJOQstT87 #BancoCentral #BCB via @BancoCentralBR</t>
  </si>
  <si>
    <t>@CNNEconomia #inflação
#bancocentral
Roberto Campos Neto: “Inflação do Brasil está um pouco pior”
Qual será o impacto da declaração na bolsa ?</t>
  </si>
  <si>
    <t>@cafecomferri #inflação
#bancocentral
Roberto Campos Neto: “Inflação do Brasil está um pouco pior”
Qual será o impacto da declaração na bolsa ?</t>
  </si>
  <si>
    <t>@o_antagonista #inflação
#bancocentral
Roberto Campos Neto: “Inflação do Brasil está um pouco pior”
Qual será o impacto da declaração na bolsa ?</t>
  </si>
  <si>
    <t>#inflação
#bancocentral
Roberto Campos Neto: “Inflação do Brasil está um pouco pior”
Qual será o impacto da declaração na bolsa ?</t>
  </si>
  <si>
    <t>Alternativa seria um parcelamento automático com taxa de juros em 9%. Segundo o BC, a inadimplência é de 52%, índice sem precedentes.
Via: Eixo Político 
#OConvergente #Brasil #BancoCentral #Política #Economia https://t.co/QAwARBcQ7o</t>
  </si>
  <si>
    <t>#banco #c6bank #bancocentral #contaempresa #mei #empresa #empreendedor</t>
  </si>
  <si>
    <t>RT @OpinaBa: Milei en Parque Norte: “La locura no es cerrar el Banco Central, sino tenerlo” https://t.co/33YsW06QwK a través de @OpinaBa #P…</t>
  </si>
  <si>
    <t>Serão selecionadas até 10 instituições, que precisam cumprir alguns critérios e procedimentos previstos no regulamento do Piloto RD.
#RealDigital
#CBDCs
#BancoCentral
#blockchain
https://t.co/5EeEA4Hu03</t>
  </si>
  <si>
    <t>@EstevamReboucas #ForaCamposNeto sabotador do Brasil 
#BancoCentral</t>
  </si>
  <si>
    <t>@AnnaTav23 #ForaCamposNeto sabotador do Brasil 
#BancoCentral</t>
  </si>
  <si>
    <t>@CarlosS48442375 #ForaCamposNeto sabotador do Brasil 
#BancoCentral</t>
  </si>
  <si>
    <t>@CPLEsquerdaRJ #ForaCamposNeto sabotador do Brasil 
#BancoCentral</t>
  </si>
  <si>
    <t>@Martaclari #ForaCamposNeto
#BancoCentral</t>
  </si>
  <si>
    <t>@CissoPazey #ForaCamposNeto
#BancoCentral</t>
  </si>
  <si>
    <t>@JanjaDebochada #ForaCamposNeto
#BancoCentral</t>
  </si>
  <si>
    <t>@Rimanof_Klein #ForaCamposNeto
#BancoCentral</t>
  </si>
  <si>
    <t>@kjulimata #ForaCamposNeto
#BancoCentral</t>
  </si>
  <si>
    <t>@galvao_jo #ForaCamposNeto
#BancoCentral</t>
  </si>
  <si>
    <t>🇪🇺 ¿Cómo va el Proyecto Europeo #CBDC? un Ejecutivo del BCE da Más Detalles y Arremete Contra #Paypal🇪🇺
#Criptomonedas #Europa #BancoCentral #BCE #cripto 
📌Informe Completo:
https://t.co/JFwb81XFkG https://t.co/Cyu7f9a8WR</t>
  </si>
  <si>
    <t>El #bancoCentral viendo los resultados de #LasPASO  @LLibertadAvanza #Milei2023 @RAMIROMARRA https://t.co/WpPbYSiJCl</t>
  </si>
  <si>
    <t>Rodrigo Pacheco diz que indicação de Galípolo agrada ao Senado
- Presidente do Senado afirmou que viu anúncio com "bastante otimismo"
#Pacheco #Senado #Economia #BancoCentral 
Saiba mais:
https://t.co/0AjQBlvCT3</t>
  </si>
  <si>
    <t>Haddad anuncia Galípolo para direção de Política Monetária do BC
- Para a Diretoria de Fiscalização, foi indicado Ailton de Aquino Santos
#Haddad #Política #Economia #BancoCentral 
Saiba mais:
https://t.co/ABLiFEZfOC</t>
  </si>
  <si>
    <t>Previsão de inflação do mercado financeiro cai para 6,02% em 2023
- Informação foi divulgada nesta segunda-feira pelo Banco Central
#Inflação #Economia #BoletimFocus #BancoCentral
Saiba mais:
https://t.co/8WdCqNbrdI</t>
  </si>
  <si>
    <t>Para maior segurança, cheques terão mudanças a partir de 2 de outubro
- Cliente poderá solicitar uso do nome social nos talões
#noticias #bancocentral #economia #news
https://t.co/FqykkPvHAu</t>
  </si>
  <si>
    <t>Banco Central tem autonomia, mas não é intocável, diz Lula
- Presidente voltou a criticar juros básicos da economia
#Lula #BancoCentral #Autonomia #Juros 
Saiba mais:
https://t.co/iJV5bcdfTJ</t>
  </si>
  <si>
    <t>Mercado financeiro prevê PIB de 2,24% este ano
- Boletim Focus mostra que mercado está mais otimista com a economia
#MercadoFinanceiro #BoletimFocus #Economia #BancoCentral 
Saiba mais:
https://t.co/VI8DCp8f3E</t>
  </si>
  <si>
    <t>Lula reclama em reunião no Conselhão que não se pode falar de juros
- Presidente criticou, mais uma vez, manutenção da Selic em 13,75%
#Lula #Economia #Política #BancoCentral #Selic #Juros 
Saiba mais:
https://t.co/VosI5m1f1h</t>
  </si>
  <si>
    <t>Copom mantém novamente juros básicos da economia em 13,75% ao ano
- Em comunicado, BC diz que ambiente externo se mantém "adverso"
#BancoCentral #Economia #TaxaSelic #Copom 
Saiba mais:
https://t.co/a0TQ9tjHlM</t>
  </si>
  <si>
    <t>Independência do Banco Central? Gil do Vigor explica política monetária
- O economista e ex-BBB falou sobre a importância da relação entre o BC e o governo
#GildoVigor #Economia #BancoCentral #Lula #TaxadeJuros 
Saiba mais:
https://t.co/4suWWsZxgV</t>
  </si>
  <si>
    <t>Copom inicia quinta reunião do ano sob expectativa de queda de juros
- Taxa Selic, em 13,75% ao ano, deve ter primeiro corte em três anos
#Copom #Economia #Selic #TaxadeJuros #BancoCentral #Inflação 
Saiba mais:
https://t.co/mhuteTKuVq</t>
  </si>
  <si>
    <t>Mercado reduz previsão da taxa Selic para menos de 12% ao ano
- Projeção de expansão da economia ficou em 2,26%, diz BC
#Economia #mercado #Selic #Juros #BancoCentral #BoletimFocus 
Saiba mais:
https://t.co/282hJICqqB</t>
  </si>
  <si>
    <t>Mercado reduz previsão da inflação de 4,95% para 4,9% este ano
- Projeção de expansão da economia em 2023 ficou em 2,24%
#Economia #Inflação #BoletimFocus #BancoCentral #Mercado #Previsão 
Saiba mais:
https://t.co/wylYMBWuhj</t>
  </si>
  <si>
    <t>Haddad elogia Congresso e cobra Banco Central após decisão da S&amp;amp;P
- Ministro previu que país voltará a ter grau de investimento
#FernandoHaddad #CongressoNacional #BancoCentral 
Saiba mais: https://t.co/dkOmDRasEu</t>
  </si>
  <si>
    <t>Bancos fecham 2022 com lucro de R$ 139 bilhões
- De acordo com relatório do BC, rentabilidade caiu no segundo semestre
#Bancos #BancoCentral #Rentabilidade #Economia 
Saiba mais:
https://t.co/rmtS4NY6sF</t>
  </si>
  <si>
    <t>BC: cortes de 0,25 ou 0,5 ponto são compatíveis com meta de inflação
- Ata do Copom confirma redução de 0,5 ponto na Selic até fim do ano
#copom #BancoCentral #Selic #TaxaJuros #Economia 
Saiba mais:
https://t.co/tyF2uTZkvr</t>
  </si>
  <si>
    <t>Mercado reduz previsão da inflação de 4,9% para 4,84% este ano
- Projeção de expansão da economia fica em 2,24%
#Economia #BancoCentral #BoletimFocus #Inflação #MercadoFinanceiro 
Saiba mais:
https://t.co/enuJOzW0qm</t>
  </si>
  <si>
    <t>Mercado eleva para 2,31% projeção do crescimento da economia em 2023
- Estimativa da inflação se mantém em 4,9%
#Economia #MercadoFinanceiro #Inflação #PIB #BancoCentral 
Saiba mais:
https://t.co/aOVjA7Htta</t>
  </si>
  <si>
    <t>Real digital se chamará Drex, confirma Banco Central
- Nova tecnologia deverá chegar a correntistas apenas no fim de 2024
#Drex #BancoCentral #Economia 
Saiba mais:
https://t.co/5LGJn56N1f</t>
  </si>
  <si>
    <t>Para presidente do BC, ruído com o governo afeta previsão de inflação
- Campos Neto diz que há insegurança no mercado sobre alteração da meta
#RobertoCamposNeto #BancoCentral #Economia #Inflação 
Saiba mais:
https://t.co/GfHrY05vy2</t>
  </si>
  <si>
    <t>Copom define nesta quarta-feira (20) taxa básica de juros
- Expectativa é de corte de 0,5 ponto percentual
#Copom #Economia #TaxadeJuros #Selic #Inflação #BancoCentral #BC #Brasil 
Saiba mais:
https://t.co/QuwGuDl18E</t>
  </si>
  <si>
    <t>Na Itália, Lula diz que manutenção da atual taxa de juros é irracional
- Durante coletiva em Roma, ele citou Selic em 13,75% e inflação em 5%
#Itália #Lula #Selic #Economia #Política #BancoCentral #TaxadeJuros 
Saiba mais:
https://t.co/gfqurIHZhs</t>
  </si>
  <si>
    <t>Previsão de inflação do mercado financeiro cai para 5,71% este ano
- Projeção para o crescimento da economia em 2023 subiu para 1,26%
#Inflação #BoletimFocus #Economia #BancoCentral 
Saiba mais:
https://t.co/BFopGcTFZd</t>
  </si>
  <si>
    <t>BC obriga instituições a avisar clientes sobre vazamentos no Pix
-Multas serão calculadas com base no número de chaves afetadas
#bancocentral #pix #vazamentos 
Saiba mais: 
https://t.co/hgqRJO1F7E</t>
  </si>
  <si>
    <t>Mercado eleva para 2,64% projeção do crescimento da economia em 2023
- Estimativa da inflação sobe para 4,93%
#Economia #Inflação #BoletimFocus #BancoCentral #Selic #PIB #Copom 
Saiba mais:
https://t.co/PWEH2d4pzM</t>
  </si>
  <si>
    <t>Lula afirma que juros ainda estão altos: 'vamos continuar brigando'
- Em evento em Fortaleza, Lula criticou presidente do Banco Centra
#Lula #Presidente #Brasil #Política #Economia #TaxadeJuros #BancoCentral 
Saiba mais:
https://t.co/XmSK2aciNw</t>
  </si>
  <si>
    <t>Haddad: corte na Selic dá alento e mostra direção certa do governo
- Segundo ministro, decisão foi fruto de diálogo com Banco Central
#Economia #selic #FernandoHaddad #BancoCentral
Saiba mais:
https://t.co/jP3D6ibSfP</t>
  </si>
  <si>
    <t>Ministros projetam ciclo de queda da Selic nos próximos meses
- Banco Central reduziu a taxa para 13,25% ao ano
#Selic #BancoCentral #Juros #Economia 
Saiba mais:
https://t.co/eark5opXL7</t>
  </si>
  <si>
    <t>Copom define taxa de juros básicos para 13,25% ao ano
- Primeira redução da Taxa Selic em três anos
#TaxaSelic #Juros #Copom #BancoCentral
Saiba mais:
https://t.co/sRaTpt2fuG</t>
  </si>
  <si>
    <t>Mercado eleva para 1,68% projeção do crescimento da economia em 2023
- Inflação deve ficar em 5,69% este ano, segundo Boletim Focus
#BoletimFocus #Economia #Inflação #BancoCentral 
Saiba mais:
https://t.co/Eb4M4L8CNY</t>
  </si>
  <si>
    <t>A manutenção da taxa de juros é roubar o dinheiro dos nossos impostos, que seriam utilizados para promover políticas sociais e desenvolvimento, e entregar para um punhado de especuladores que nada produzem. Prof Ladislau Dowbor desenha a urgência de #ForaCamposNeto. https://t.co/3epBQnzz26</t>
  </si>
  <si>
    <t>🇧🇴 Dollar-Knappheit in Bolivien geht💵 weiter 
@brissapabon 
#Dollars #Bolivien #BCB #BancoCentral #Wirtschaft #YPFB #Schulden #Fonds #Corralito #Banken  #bolivien #meistgeteilt https://t.co/qccjOOkPcC</t>
  </si>
  <si>
    <t>Brasil possui os juros reais + elevados do Planeta
População está endividada e vivendo de trabalhos informais e mal remunerados
Empresas estão quebrando e dando calote
Mas a grande mídia corporativa critica @LulaOficial por se intrometer com política #BancoCentral 
@JornalOGlobo https://t.co/JNJ5AU19kh</t>
  </si>
  <si>
    <t>Temos um picareta bolsonarista cuidando do #BancoCentral q quer inviabilizar o 1o ano do mandato de #LulaPresidente
Ñ existe lógica para o #Brasil ter os juros reais mais elevados do Planeta 
Precisa desenhar? 
#CamposNetoHipocrita 🤢🤮🤬
#CamposOUT 
@JornalOGlobo 
@folha https://t.co/ruDVWVer4f</t>
  </si>
  <si>
    <t>Quando será q a grande mídia calhorda e vira lata vai começar a protestar contra os maiores juros reais do Planeta e pedir por mudanças urgentes na política do #BancoCentral?
Mídia televisiva vendeu a alma para turma da Faria Lima e ñ se importa q a população está quebrada
@folha https://t.co/8KKMtwRbTQ</t>
  </si>
  <si>
    <t>A turma da Faria Lima não se importa com os juros reais no #Brasil 🤫😉
São todos bolsonaristas, não estão preocupados com pobre, emprego, vivem de especulação na Bolsa, tem conta em paraíso fiscal e não produzem nada
#CamposNetoHipocrita 
#BancoCentral 
@reinaldoazevedo 
@folha https://t.co/a3ZPAX8AeZ</t>
  </si>
  <si>
    <t>País vivendo realidade paralela sem precedentes por causa do picareta #CamposNeto no #BancoCentral 
Inflação anual 3,16% (uma das menores do Ocidente) mas continuamos praticando os maiores juros reais do Planeta 😱😡🤬
#Brasil 
@folha https://t.co/u3aIHp0SV3</t>
  </si>
  <si>
    <t>A turma da Faria Lima prefere ver todas as empresas irem para o buraco do q ter q dar razão a #LulaPresidente 
E a midia calhorda continuará seguindo a cartilha Neo Liberal.
Precisa desenhar? 🤔
Viva o #BancoCentral e os maiores juros do Planeta Terra !!! 😎💪
@Estadao https://t.co/EmGO4Ghxhd</t>
  </si>
  <si>
    <t>Onde foram parar todos aqueles idiotas da Faria Lima e da grande mídia especializada q diziam q a eleição @LulaOficial faria a inflação disparar e o dólar chegar em R$7,00? 
Mas o #BancoCentral continua praticando os juros reais mais elevados do Planeta pois entende de economia🤬 https://t.co/Djto7EBQ9j</t>
  </si>
  <si>
    <t>Não existe inflação no #Brasil causada por consumo ou economia aquecida
População brasileira está quebrada, endividada e sem emprego formal
Mas a turma imbecil do #BancoCentral e o picareta bolsonarista #CamposNetoHipocrita continuam defendendo os maiores juros reais do Planeta https://t.co/qZEayX55nw</t>
  </si>
  <si>
    <t>Materia de capa hoje no @Estadao
#BancoCentral e #CamposNetoHipocrita continuam afundando #Brasil com a sua decisão POLÍTICA de praticar os juros reais mais altos do Planeta
Até criança de 10 anos sabe q a inflação no país não tem relação com consumo ou economia aquecida
🤫😉😎🤬 https://t.co/yVmEnDOfH0</t>
  </si>
  <si>
    <t>Inflação anual em abril 2023:
#Brasil 4,18%
#EUA 4,90%
Juros praticados pelo #BancoCentral 
Brasil 13,75%
EUA 5,25%
Qual o país com os maiores juros reais do Planeta?
Brasil não é para amadores 😉🤫
E a grande mídia calhorda só pensa em criticar #LulaPresidente https://t.co/O1TjZvFWFR</t>
  </si>
  <si>
    <t>Patético canal bolsonarista #CNNBrasil tentando defender picareta #CamposNeto, criticando a postura #LulaPresidente contra os juros elevados praticados pelo #BancoCentral
Todos vão morrer afogados + a midia vira lata prefere falar mal do marinheiro q quer salvar os afogados
😉🤭</t>
  </si>
  <si>
    <t>Já que a midia picareta vira lata nunca vai contra a política do #BancoCentral, cabe a #LulaPresidente fazer esse papel e defender os interesses da população contra #CamposNetoHipocrita</t>
  </si>
  <si>
    <t>Já q a grande mídia vira lata não faz o seu papel, #LulaPresidente está certo de criticar todos os dias a política do #BancoCentral e seu presidente bolsonarista #CamposNeto 
Grande mídia ñ tem vergonha na cara e prefere ver o #Brasil ser prejudicado do q dar razão a @LulaOficial</t>
  </si>
  <si>
    <t>Aulinha básica de economia q parece q #BancoCentral e #CamposNeto não prestaram atenção nos últimos 18 meses.
A inflação no #Brasil NUNCA foi por consumo ou economia aquecida. 
Não existe lógica em manter o país com os juros reais mais elevados do Planeta</t>
  </si>
  <si>
    <t>Brasil tem neste momento uma das taxas de inflação anual mais baixas do mundo, em comparação com EUA e Europa, mas o #BancoCentral vive numa realidade paralela liderado por um bolsonarista picareta #CamposNeto que quer implodir 1o ano do governo #LulaPresidente 
@Estadao https://t.co/VLBpCG07Rt</t>
  </si>
  <si>
    <t>População brasileira está quebrada, endividada e vivendo de trabalhos informais
Juros Reais + altos do Planeta
#BancoCentral alegando q precisa conter a inflação
Ñ existe inflação no #Brasil por causa do consumo!!
Economia ñ está aquecida!!
Brasileiro ñ tem $$$
VTNC BC🤬
@Estadao https://t.co/yyc1tCMCJ8</t>
  </si>
  <si>
    <t>REAL DIGITAL
A moeda digital terá a mesma cotação do real e só poderá ser acessada por meio de carteiras virtuais atreladas a uma instituição de pagamento.
Leia mais ⬇️
https://t.co/eQtbjGPtC2
#real #digital #drex #confirma #bancocentral #dolcarajas https://t.co/q5vsV1LdDK</t>
  </si>
  <si>
    <t>PT faz fake News (p variar) e enganam (+ uma vez) o povo. O Bacen n é de Bolsonaro. O Bacen é instituição pública, independente, cujo Presidente exerce mandato definido em lei. Os juros são fixados, tecnicamente, p controlar a inflação. Atacar o Bacen é atacar nossa democracia. https://t.co/9JP4dc5uvv</t>
  </si>
  <si>
    <t>O Brasil possui a maior taxa de juros reais entre 40 países. 
Segundo o levantamento, o país aparece na primeira posição da lista pela quinta reunião seguida do Comitê de Política Monetára, que realiza encontros a cada 45 dias.
Veja o ranking completo: https://t.co/tSJIEFNzH2 https://t.co/elkWXxQKjf</t>
  </si>
  <si>
    <t>#BancoCentral 
La entidad financiera compró este viernes US$ 2 millones pero cerró la semana con ventas por US$274 millones. El blue cotizó a 469 pesos. https://t.co/LhQShUcSaq</t>
  </si>
  <si>
    <t>#BancoCentral
#FMI
👉Este martes llega una comitiva de Economía a Washington para avanzar en las negociaciones para adelantar un desembolso de US$ 8.500 millones.
https://t.co/l2465Ak0Mc</t>
  </si>
  <si>
    <t>#BancoCentral
#Dólares
👉Con una racha positiva, la entidad bancaría lleva 27 ruedas operativas consecutivas.
https://t.co/HLVHEvHvuc</t>
  </si>
  <si>
    <t>#BancoCentral
#ConflictoDeBilleterasVirtuales
👉El ministro de economía aseguró que "pidió la derogación de la norma" pero a cambio, solicitó a las billeteras virtuales que bajen la comisión que cobran por retiro de dinero.
https://t.co/dkP9p2dIur</t>
  </si>
  <si>
    <t>#PlazoFijo
#BancoCentral
👉Tras los resultados de las PASO y la abrupta suba del dólar blue, el Banco Central aumentó los intereses de los plazos fijos.
https://t.co/EQ0VemN3Wz</t>
  </si>
  <si>
    <t>RT @DiarioTAG: #BancoCentral
#Dólares
👉Con una racha positiva, la entidad bancaría lleva 27 ruedas operativas consecutivas.
https://t.co/HL…</t>
  </si>
  <si>
    <t>La Junta Monetaria aprobó un conjunto de medidas de provisión de liquidez por RD$94,000 millones, orientadas a promover el flujo de financiamiento en condiciones favorables hacia los sectores productivos y los hogares dominicanos.
#ECOS #BancoCentral #Economía #JuntaMonetaria https://t.co/1mmejrDNI9</t>
  </si>
  <si>
    <t>El #BancoCentral informó que el indicador mensual de actividad económica (#IMAE) registró un crecimiento interanual de 2.9 % en el mes de julio de 2023, experimentando mejorías significativas principalmente en las actividades de manufactura local, construcción, y comercio.
#ECOS https://t.co/cVIkq17696</t>
  </si>
  <si>
    <t>La encuesta del mercado laboral del Banco Central arrojó un crecimiento interanual de 128,627 ocupados en el trimestre enero-marzo de 2023, con relación al año anterior.
#ECOS #Encuesta #MercadoLaboral #BancoCentral #Economía #Trabajo #RD #Canva https://t.co/IbPFGcVPCI</t>
  </si>
  <si>
    <t>El Banco Central informó que durante los primeros ocho meses del año 2023, las remesas recibidas alcanzaron la cifra de US$6,769.9 millones, lo cual representa un crecimiento de 3.9 % en comparación con el mismo período del año anterior.
#ECOS #BancoCentral #Remesas #Economía https://t.co/5TmkQDhSR8</t>
  </si>
  <si>
    <t>El Banco Central informó que los montos desembolsados de las medidas de liquidez aprobadas por la Junta Monetaria para Sectores Productivos, Hogares y MIPYMES alcanzaron un monto de RD$58,741 millones.
#ECOS #Economía #BancoCentral #Desembolso #JuntaMonetaria https://t.co/Gw4fPvy4XJ</t>
  </si>
  <si>
    <t>El Banco Central informó que la inflación interanual medida desde agosto de 2022 hasta agosto de 2023 se ubicó en 4.27 %, manteniéndose dentro del rango meta de 4.0 % ± 1.0 %.
#ECOS #BancoCentral #Inflación #Economía #RD https://t.co/TW03cCeGAg</t>
  </si>
  <si>
    <t>La República Dominicana será el país anfitrión de la 298º Reunión del Consejo Monetario Centroamericano (CMCA), a ser celebrada en el Secrets Royal Beach Punta Cana, provincia La Altagracia.
#ECOS #RD #CMCA #BancoCentral #Economía #Crecimiento https://t.co/vJ4LmrUEwY</t>
  </si>
  <si>
    <t>El Banco Central informó que en los primeros cinco meses del año 2023 las remesas recibidas alcanzaron una cifra de US$4,173.5 millones, exhibiendo un 2.9 % de crecimiento respecto al mismo periodo del año anterior.
#ECOS #Remesas #BancoCentral #Economía #RD #Crecimiento https://t.co/UKHplhTZOX</t>
  </si>
  <si>
    <t>El gobernador del #BancoCentral, Héctor Valdez Albizu, recibió en su despacho a una misión del Fondo Monetario Internacional y pasó balance al #desempeño de la #economía durante el 2022 y las #perspectivas para el año en curso.
#ECOS #FMI #RD https://t.co/MxTfCR54lh</t>
  </si>
  <si>
    <t>El gobernador del Banco Central de la República Dominicana (BCRD), Héctor Valdez Albizu, garantizó que la economía nacional cuenta con mecanismos robustos para enfrentas adversidades externas.
#ECOS #Economía #RD #Crecimiento #BancoCentral https://t.co/KguLpdpcht</t>
  </si>
  <si>
    <t>El Banco Central de la República Dominicana (BCRD), en su reunión de política monetaria de junio de 2023, decidió reducir su tasa de interés de política monetaria (TPM) en 25 puntos básicos, de 8.00 % a 7.75 % anual.
#ECOS #BancoCentral #Economía #TPM #IPC #Inflación https://t.co/YRTldvgqW0</t>
  </si>
  <si>
    <t>El gobernador del #BancoCentral, Héctor Valdez Albizu, recibió la visita de embajadores acreditados en el país, quienes conocieron del mismo los datos del desempeño de la #economía dominicana y sus #perspectivas para 2023.
Foto: BCRD.
#ECOS #Diplomáticos #BancoCentral https://t.co/frUl4dLCWI</t>
  </si>
  <si>
    <t>Peronistas #dolar #bcra #bancocentral https://t.co/1Co2UoIekh</t>
  </si>
  <si>
    <t>#CamposNetoFora
#BancoCentral
#jurosbaixosjá 
#BolsonaroEAliadosNaCadeia https://t.co/8kgMHbtO5I</t>
  </si>
  <si>
    <t>El Banco Central Europeo ha anunciado una subida de tipos de interés del 0,25%, lo que eleva el precio anual del dinero para las operaciones de financiación al 3,75%.
https://t.co/8lDxZDFxTc
#easynews #easylawmagazine #interés #BancoCentral</t>
  </si>
  <si>
    <t>Vale la pena tomarse unos minutos para leer este hilo. Ojalá lo lean mis alunmos de Economía Política de la @UNCAUSoficial 
#desdolarizacion #BANCOCENTRAL</t>
  </si>
  <si>
    <t>Quem pensou em independência do Banco Central certamente não vislumbrou o caso do Brasil! Aqui, o Banco pode atuar contra os interesses do país! Vexame! Vergonha! #bancocentral</t>
  </si>
  <si>
    <t>Hablando del Dólar Blue ¿Qué precio creen que cierre este viernes)
$700 a $720
$720 a $750
$750 a $800
Mas de $800
.
.
.
.
.
.
( #dolar #dolarblue #Dolarizacion #milei #massa #bullrich #argentina #Elecciones2023 #cristina #macri #dolarsolidario #bancocentral #libertad #Messi )</t>
  </si>
  <si>
    <t>Ansiedade a mil, conta em banco público limpa e encerrada! 
A vaca já foi pro brejo! 
Salve-se quem puder!!!
#LulaDitador #STFOrganizacaoCriminosa #bancocentral #poupança #imposto #Haddad #corrupção #ditadura #LulaLadrão #Lira #Pacheco #congresso #senado #FazoLtrouxa https://t.co/7Zg7hClygI</t>
  </si>
  <si>
    <t>🙌Estos son los títulos con más vistas en el #AcentoNews
👀Podés leer las notas en nuestro portal.
👉Ingresá a través del link que hay en la descripción.
#ElAcentoNews #WhatsApp #BillGates #BancoCentral https://t.co/573kDbI8Ik</t>
  </si>
  <si>
    <t>🌟📑 ¡No te quedes atrás!
Echa un vistazo a los titulares que están causando revuelo en línea. 💥🗞️
#ElAcentoNews #Supermercados #Amazon #BancoCentral #LaCenicienta #TitularesVirales #LeeLoMejor https://t.co/xRu3vJsKF6</t>
  </si>
  <si>
    <t>¿Qué pasará? Ante posible fin de la subida de tasas de interés: ¿Nuevo mercado alcista u otra caída para las acciones?
Lee #BrunchconWSE para saber más https://t.co/rv7syDrHjq
#stocks #trading #ReservaFederal #FED #economia #finanzas #BancoCentral https://t.co/4YEoI9kjcc</t>
  </si>
  <si>
    <t>Powell asoma la posibilidad de que la FED suba tasas dos veces seguidas
En su discurso del hoy, #JeromePowell se mantuvo muy cerca al comunicado de la reunión más reciente del #bancocentral
La #FED puede subir la tasa dos veces seguidas.
Lee más en #blog https://t.co/irfBXJLYL4 https://t.co/KfV4Bi794V</t>
  </si>
  <si>
    <t>El Banco Central de Libia vuelve a ser una institución unificada https://t.co/w50mCywC1c
#Libia #BancoCentral #Economia https://t.co/uRLkj6alrb</t>
  </si>
  <si>
    <t>The Financial Times revela datos del exgobernador del Banco del Líbano https://t.co/2TH9CAETRG
#Libano #BancoCentral #Finanzas #RiadSalameh https://t.co/WXEB4wKJXa</t>
  </si>
  <si>
    <t>Proponen al Banco Central de Rusia crear alternativa para sur global https://t.co/VnsGzdAy2d
#BancoCentral #Rusia #Economia #Finanzas https://t.co/YUioLxA737</t>
  </si>
  <si>
    <t>Alemania emite notificación roja contra presidente del Banco de Líbano https://t.co/25obFWgrZU
#Alemania #BancoCentral #Libano #NotificacionRoja #RiadSalameh #CORRUPCION https://t.co/sToe4eYVlL</t>
  </si>
  <si>
    <t>El Banco Central de Turquía sube el tipo de interés al 25 por ciento https://t.co/i1EKARehsx
#BancoCentral #Turquia #Economia https://t.co/II90qSWR1V</t>
  </si>
  <si>
    <t>Candidato de Argentina insiste en eliminar el Banco Central https://t.co/UkfTq98eQa
#Argentina #BancoCentral #Economia #Milei https://t.co/w5WiGiwtN8</t>
  </si>
  <si>
    <t>✨Participa en la presentación del IEF y conoce el análisis del @bcentralchile sobre los sucesos macroeconómicos y financieros que pudieron incidir en nuestra economía 📊💰.
Inscríbete👉https://t.co/Z1LyK8xqBz
@fenuchile @ceic_uch 
#FEN #economia #negocios #bancocentral #ief https://t.co/BVYi9vOLeD</t>
  </si>
  <si>
    <t>✨Participa en la presentación del IEF y conoce el análisis del @bcentralchile sobre los sucesos macroeconómicos y financieros que pudieron incidir en nuestra economía 📊💰.
Inscríbete👉https://t.co/Z1LyK8xqBz
@fenuchile @ceic_uch 
#FEN #economia #negocios #bancocentral #ief https://t.co/f4cdaA95e9</t>
  </si>
  <si>
    <t>✨¡HOY! Participa en la presentación del IEF y conoce el análisis del @bcentralchile sobre sucesos macroeconómicos y financieros que pudieron incidir en nuestra economía 📊💰.
Inscríbete👉https://t.co/Z1LyK8xqBz
@fenuchile @ceic_uch 
#FEN #economia #negocios #bancocentral #ief https://t.co/Fp15EEbRTn</t>
  </si>
  <si>
    <t>✨Participa en la presentación del IEF y conoce el análisis del @bcentralchile sobre los sucesos macroeconómicos y financieros que pudieron incidir en nuestra economía 📊💰.
Inscríbete👉https://t.co/hwhQql3QK3
@fenuchile @ceic_uch 
#FEN #economia #negocios #bancocentral #ief https://t.co/bSoglqovnU</t>
  </si>
  <si>
    <t>No ahorren  su Dinero en Plazo fijo, les viven afanando los politicos corruptos y sobre todo los del #bancocentral, los que imprimen billetes a lo loco.🇦🇷
 Nosotros los Argentinos Somos los que sufrimos,la hiperinflacion. Para los famosos, periodistas comprados, y politicos…</t>
  </si>
  <si>
    <t>Será que o governo precisa cortar gastos para o #BancoCentral baixar os #juros? Necessidade ou armadilha?
Leia o artigo dos professores Carlos Pinkusfeld Bastos (IE-UFRJ) e Fernando Maccari Lara (Unisinos) no blog do MNDE: https://t.co/R0dwrrCM9B
#arcabouçofiscal @uerj_iesp https://t.co/K2XGjIE98w</t>
  </si>
  <si>
    <t>🗳El Banco Central (BCRA) elevó el tipo de cambio oficial a los $350 tras los resultados de las PASO y hasta las elecciones del 22 de octubre. 
📽Mirá la nota completa en https://t.co/CbxABqmF3d
#NoticiasArgentina #PASO2023 #Milei #BancoCentral https://t.co/In5LrxOlWJ</t>
  </si>
  <si>
    <t>📈A días de que el INDEC difunda el dato de inflación de agosto, el Banco Central (BCRA) termina de definir lo que hará con las tasas de interés que se ubican en 118%. 
📰Leé más en https://t.co/bVX2BK72Cv
#NoticiasArgentina #BancoCentral #economia</t>
  </si>
  <si>
    <t>🚨AGORA: Vocês viram que a Nubank lançou a NuCoin ? A Criptomoeda da Nubank é custa menos de 1 real 📸😱 
#criptomoeda #BancoCentral #Dinheiro #Pix #FicarMilionario https://t.co/wd0cgTFap3</t>
  </si>
  <si>
    <t>La deuda del #correismo con el #BancoCentral fue de $ 9.071 millones, más lo del #IESS, más la venta anticipada de petróleo hasta el 2024, más todo lo que se robaron, simplemente condenaron a un par de generaciones al olvido.
#NunaMasCorreismo https://t.co/xgOjC9cvhz</t>
  </si>
  <si>
    <t>Mucho Milei, mucho Milei pero los K hicieron todo este tiempo que el dólar se vaya a la mierda. 
Les recuerdo que Massa sigue siendo el ministro de economía jajaja 
#bancocentral #milei</t>
  </si>
  <si>
    <t>ALVOROÇO SEXUAL NO PT! 10 de maio de 2023 https://t.co/gseddwEiTi via @YouTube 
#galípolo #haddad #bancocentral</t>
  </si>
  <si>
    <t>🏦 El Banco Central incorporó al yuan renminbi como moneda admitida de captación de depósitos en las cajas de ahorros y cuentas corrientes.
#banco
#bancocentral #yuanes #dinero #moneda #China #Argentina https://t.co/7M66AWLAQz</t>
  </si>
  <si>
    <t>O aperfeiçoamento está relacionado às informações armazenadas pelo Banco Central e que são compartilhadas com os bancos que operam o PIX. As mudanças anunciadas devem ser implementadas até o dia 5 de novembro.
#pix #bancocentral</t>
  </si>
  <si>
    <t>@Presidencia_cl El Gobierno no tiene ningún mérito en ello y dicha apropiación es desvergonzada. Quien ha controlado en algo la inflación, la cual se generó por presiones y brutales decisiones de quienes hoy están en La Moneda, es única% el #BancoCentral a través de su política monetaria (PoM). https://t.co/VGf2SVEmsu</t>
  </si>
  <si>
    <t>Siguen las malas noticias para la economía nacional luego que el Indicador Mensual de Actividad Económica (Imacec) de mayo de 2023 cayera un 2,0% en comparación con igual mes del año anterior, según informó este lunes el Banco Central. #bancocentral
https://t.co/aWh288fr0O https://t.co/KanRaTZgqx</t>
  </si>
  <si>
    <t>Banco Central rebaja en 75 puntos tasa rectora y la deja en 9,5%
https://t.co/W3jfCXlOhh
#bancocentral #tasadeinterés</t>
  </si>
  <si>
    <t>La inflación interanual se encuentra entre las más bajas de los países de América Latina, por lo que República Dominicana es de las primeras economías de la región...
https://t.co/0DGZmrwAA2
#periodicodigital #bancocentral #inflacion #americalatina #RD #IPC https://t.co/eI61q3f3cU</t>
  </si>
  <si>
    <t>#SelicTerrorista
#PsicologiaCombateJurosAltos 
#BancoCentral
#Selic https://t.co/4edGrCR72X</t>
  </si>
  <si>
    <t>#SelicTerrorista
#PsicologiaCombateJurosAltos 
#BancoCentral
#Selic https://t.co/yFAjJatgbB</t>
  </si>
  <si>
    <t>#SelicTerrorista
#PsicologiaCombateJurosAltos 
#BancoCentral
#Selic https://t.co/xMgWVKpHbQ</t>
  </si>
  <si>
    <t>Reunión de la #OPEP+, decisiones del #bancocentral datos de #inflación de China
https://t.co/dvA82lQyyO
Servicio de CFD. Riesgo de pérdida de capital. No se presta asesoramiento de inversión. Resultados pasados no aseguran resultados futuros. No aplicable a residentes en España https://t.co/gBtyj1Mb1j</t>
  </si>
  <si>
    <t>Com a baixa da SELIC bitcoin vai aumenta 5% amanhã. 
Save the date.
#bitcoin
#BancoCentral 
#taxaselic
#cuba
#increase</t>
  </si>
  <si>
    <t>#China 🇨🇳 frenará de forma decidida las grandes fluctuaciones del tipo de cambio y estudiará el refuerzo de la autorregulación de los depósitos en dólares 💵, declaró hoy el banco central 🏦.
#MCN #dólar #yuan #bancocentral #economía https://t.co/vUjLwto0eb</t>
  </si>
  <si>
    <t>La deuda del #BancoCentral ya supera los 15 billones de pesos</t>
  </si>
  <si>
    <t>#CNW | Milhares de participantes do 59ª Congresso Nacional da União Nacional dos Estudantes (UNE) protestaram, nesta sexta-feira (14), em frente ao prédio do Banco Central (BC), em Brasília, pedindo a queda da taxa básica de juros, a Selic. #BC #BancoCentral https://t.co/axSvwrYVIX</t>
  </si>
  <si>
    <t>🔥 Ditadura do Campos Neto!
Gabriel Galípolo descobriu que o Banco Central boicota suas entrevistas
O diretor percebeu que a assessoria de imprensa do BC não repassava a ele pedidos de entrevistas que lhe eram feitos. Jornalistas que o procuravam diretamente e pediam uma conversa… https://t.co/L7IGwxWIzQ</t>
  </si>
  <si>
    <t>Este gobierno no aguanta una más-Alfredo de la cruz https://t.co/qSrX0h7zpE
#LuisAbinader #BancoCentral #Economía #60MilMillones #ADóndeFueLaMillonada #GobiernoDominicano #SantoDomingo #RepúblicaDominicana CC: @WendySantosB
@davidlantigua01</t>
  </si>
  <si>
    <t>#Francia: Juez emite orden de arresto internacional contra el asediado gobernador del banco central libanés https://t.co/gyeNUKdQ3q
#RiadSalameh #Líbano #Corrupción #BancoCentral  #InvestigaciónCriminal #EnriquecimientoIlícito #Lavado #Europa #Justicia</t>
  </si>
  <si>
    <t>🏦🚫 Los 9 países que actualmente carecen de Banco Central:
🇦🇩 Andorra
🇲🇭Islas Marshall
🇰🇮  Kiribati
🇫🇲 Estados Federados de Micronesia
🇲🇨 Mónaco
🇳🇷 Nauru
🇵🇼 Palaos
🇵🇦 Panamá
🇹🇻 Tuvalu https://t.co/DtcFIND5y3</t>
  </si>
  <si>
    <t>📈 Las #bolsas abren la semana con ligeras ganancias, en una semana en la que desde en contexto #macro, contaremos con cifras como el #IPC en EE.UU, confianza de la Universidad de Míchigan, y en Europa la reunión del #BancoCentral inglés. 📊 https://t.co/Yajk5E9OBg</t>
  </si>
  <si>
    <t>Desde junio será más barato financiar las deudas en tarjetas de crédito: a qué se debe  #BancoCentral #TarjetasDeCr https://t.co/8qYzfAeA0w https://t.co/dH7RcZmr7Y</t>
  </si>
  <si>
    <t>El impuesto que más duele es la inflación.
#BancoCentral</t>
  </si>
  <si>
    <t>…inflação cai.
Já a #Argentina é um perfeito modelo de quão desastroso é quando a política assume o controle de um #BancoCentral.
A independência do #BCB é um dos melhores ativos do #Brasil. Pior foi a esquerda não perceber que o jogo pela independência do BCB era justamente…</t>
  </si>
  <si>
    <t>A preguntarse porque no son creibles los de JUNTOS POR ELCAMBIO. 28D:Fecha en la que #JuntosxelCambio quebró la independiencia del #BancoCentral #BCRA.  - Infobae https://t.co/XWVyRqLLJC</t>
  </si>
  <si>
    <t>Agora os caras querem acabar até com o parcelamento em 10x sem juros....Mermão o que esse Campos Neto odeia pobre, nao ta escrito.
https://t.co/2gb6RqHNy0
#CamposNETO
#Parcelamento
#cartaodecredito
#juros
#BancoCentral https://t.co/mECBbVvZU6</t>
  </si>
  <si>
    <t>O lançamento do PIX Automático pelo Banco Central deve ser em abril de 2024 - https://t.co/BA2ExgmOEx - #PIX - #BancoCentral</t>
  </si>
  <si>
    <t>O Banco Central estava mantendo a Selic no patamar de 13,75% agosto de 2022, mas hoje resolver diminuir a taxa de juros
#selic
#copom
#bancocentral
https://t.co/ij6GC29nAT</t>
  </si>
  <si>
    <t>.@MashiRafael confirme para confirmar #LuisaDesdolariza va con todo a bajarse las reservas del #BancoCentral? #YaLuisimos diga. se bajaron los aportes dl estado al #Iess además le metieron mano a la plata DE LOS AFILIADOS. .@LuisaGonzalezEc en serio será ese Miserable tu asesor?</t>
  </si>
  <si>
    <t>Bob Fields Neto, do BC! 
Charge publicada em GZH e Zero Hora.
#charge #desenhodeimprensa #fragadesenhos #humor #jurosabusivos #juroalto #bcb #bancocentral #economia #camposneto https://t.co/Ic5GRJVKSe</t>
  </si>
  <si>
    <t>Charge publicada em GZH e Zero Hora.
#charge #desenhodeimprensa #fragadesenhos #humor #moedadigital #bancocentral #drex #realdigital https://t.co/SK8M0AxDlN</t>
  </si>
  <si>
    <t>Aquele pix grandão !  Charge publicada em GZH e Zero Hora.
#charge #desenhodeimprensa #fragadesenhos #humor #pix #camgirlِ #bc #bancocentral #economia https://t.co/W4boqyGgeq</t>
  </si>
  <si>
    <t>Charge publicada em GZH e Zero Hora.
#charge #desenhodeimprensa #fragadesenhos #humor #juro #quedadojuro #economia #bc #bancocentral #camposneto #ministeriodaeconomia #copom https://t.co/PiG3hS870Y</t>
  </si>
  <si>
    <t>🚨Aumentam as pressões sobre o Banco Central a partir das novas projeções da economia divulgadas pelo Boletim Focus, o que vale não somente para os juros como - até mais - para a flexibilização das metas da inflação. 
#bancocentral #economia</t>
  </si>
  <si>
    <t>BC coloca em consulta pública proposta de simplificação da prestação de informações sobre operações de câmbio
https://t.co/7xAvfN4uAe #BancoCentral #BCB via @BancoCentralBR</t>
  </si>
  <si>
    <t>A moeda digital brasileira ganha um nome e agora se chama Drex
De cara nova e nome próprio, o projeto de moeda digital do banco central (CBDC), criado e operado pelo Banco Central do Brasil (BC), agora se chama Drex. 
Saiba mais:
https://t.co/RtlyQicvmt #BancoCentral #BCB</t>
  </si>
  <si>
    <t>Drex: BC esclarece principais dúvidas sobre moeda digital  https://t.co/QDZdd4RQTf #BancoCentral #BCB via @BancoCentralBR</t>
  </si>
  <si>
    <t>#CNGOTV🔴El Banco Central de Honduras, da a conocer el índice mensual de la actividad económica del mes de julio del 2023.
#BancoCentral #Honduras #Economia https://t.co/6U6qHITrX8</t>
  </si>
  <si>
    <t>#MunicipalidaddelasCondes #Maule #Torrealba #BancoCentral #Providencia #Legalización #Estatización https://t.co/VNYfKlAyg8</t>
  </si>
  <si>
    <t>El @BancoCentralRD hace un alto y estabiliza la tasa de referencia, pero se mantiene en atención frente al devenir de la inflación. #inflación #tasadeinterés #finanzas #bancocentral https://t.co/Nue38y8wU0</t>
  </si>
  <si>
    <t>🗾 #BANCOCENTRAL l Un miembro de la junta de política monetaria del Banco de Japón recomendó en su reunión mensual de este mes revisar en un futuro próximo del control de la curva de rendimientos, según un resumen de opiniones.
#JAPÓN
https://t.co/CtHwwfdrwj</t>
  </si>
  <si>
    <t>Lula ainda não conseguiu entregar sua principal promessa de campanha que era melhorar a situação financeira dos mais pobres, que estão endividados e sem perspectiva de crescimento econômico.
 #lula #bancocentral #inflação #dívidas
https://t.co/R6yBoLqZab</t>
  </si>
  <si>
    <t>👇#BancoCentral se queda</t>
  </si>
  <si>
    <t>La junta monetaria aprobó la suma de RD$25 mil millones más para un total de RD$119 mil millones para ser adquiridos a una tasa de un 9%. #bancocentral #economia</t>
  </si>
  <si>
    <t>Proteja seu patrimônio do estado. Mande uma DM e tire a sua dúvida!
#bitcoin #liberdade #sejaseuprópriobanco #investimentos #moeda #dinheiro #brasil #conciergebitcoin #inflação #cripto #bancocentral https://t.co/EuaeR7RPyD</t>
  </si>
  <si>
    <t>O tempo até o próximo halving está se esvaindo. Estude e entenda bitcoin com o Concierge Bitcoin!
#moeda #dinheiro #liberdade #brasil #podcast #bitcoin #conciergebitcoin #inflação #cripto #bancocentral https://t.co/0rledhp8Hp</t>
  </si>
  <si>
    <t>Mudanças! https://t.co/GIhbgbuup7 
#BancoCentral #cheque #tribunapr</t>
  </si>
  <si>
    <t>O presidente do Banco Central (BC), Roberto Campo Neto, afirmou, nesta quinta-feira (10), que a autarquia estuda o fim do crédito rotativo de cartão de crédito. https://t.co/1WsPLBmuHc 
#credito #BancoCentral #tribunapr</t>
  </si>
  <si>
    <t>⏰️ 𝐃𝐄𝐒𝐏𝐈𝐄𝐑𝐓𝐀 𝐃𝐄 𝐋𝐀 𝐌𝐀𝐓𝐑𝐈𝐗 ⏰️
🇨🇳#CHINA 
China actualiza el #SistemaDeCréditoSocial para incorporar la #MonedaDigital del #BancoCentral ...
Ahora se necesita un puntaje mínimo de crédito social de 350 para comprar bebidas de estas máquinas expendedoras. https://t.co/lsgxtQs4Tx</t>
  </si>
  <si>
    <t>La proximidad del #acuerdo con el #fondo monetario, género nueva #subas tanto en títulos públicos como en títulos privados, también esta vez, el #bancocentral cerró con saldo positivo después de varias jornadas. @MorandiValores</t>
  </si>
  <si>
    <t>📌 ¿Aún es buena idea tener dinero en un CDP? Algunos tips para tener en cuenta https://t.co/NaCINLBpwH #FinanzasCR #CDP #BancoCentral a través de @revistarumbo</t>
  </si>
  <si>
    <t>Entre las propuestas de #Milei están:   
🔹Recorte del gasto público  
🔹Privatización de empresas públicas deficitarias 
🔹Eliminación de restricciones a la compra de divisas 
🔹A largo plazo, el cierre del Banco Central https://t.co/isVAa1RQuH</t>
  </si>
  <si>
    <t>Bancos centrales acumulan oro para luchar contra la inflación a pesar del rendimiento de Bitcoin. ¿Seguirá siempre siendo así?
Compartimos un reciente artículo de Beincrypto.
https://t.co/YIAkLf7slx
#bitcoin #bancocentral #gold https://t.co/ZUIzViuOXa</t>
  </si>
  <si>
    <t>@MercadoPagoBR @nubank #nubank #mercadopago #bancocentral #procon https://t.co/BqngASpneh</t>
  </si>
  <si>
    <t>RT @Loh40Gama40: @MercadoPagoBR @nubank #nubank #mercadopago #bancocentral #procon https://t.co/BqngASpneh</t>
  </si>
  <si>
    <t>Tempo voando... Quem não conseguir se libertar, afundará com o peso.
Viu #Europa, viu #BancoCentral, viu #Generais, viu.... https://t.co/fhnfFEv0lJ</t>
  </si>
  <si>
    <t>Perdi uma oportunidade de Trabalho Incrível por conta do Banco Itaú..!! @itau  era só abrir una conta Salário..! Agora vou atrás dos meus direitos.. #AOB #Itaú #bancocentral</t>
  </si>
  <si>
    <t>RT @CUTsaopaulo: Dirigentes da CUT-SP nas ruas !Trabalhadores e trabalhadoras voltam a protestar contra os #jurosaltos em todo o #Brasil. E…</t>
  </si>
  <si>
    <t>DREX. A moeda inteligente.
https://t.co/Nlxkd56AfG
#DREX #PIX #BancoCentral #MoedaDigital #PagamentosInstantâneos #Finanças #Brasil #Tecnologia #Inovação #Cibersegurança</t>
  </si>
  <si>
    <t>🚨Debido a una norma del Banco Central, más de 4 millones de personas enfrentarán obstáculos al ingresar dinero en su cuenta digital de Mercado Pago.  💳💼 #MercadoPago #Finanzas #BancoCentral</t>
  </si>
  <si>
    <t>O Drex é a versão digital do real, e a expectativa é que, até o fim de 2024, esteja liberado para o público para ser usado em serviços financeiros, como empréstimos, seguros e investimentos. #semont #drex #realdigital #bancocentral https://t.co/ZuHy2vL7Nq</t>
  </si>
  <si>
    <t>O Drex é a versão digital do real, e a expectativa é que, até o fim de 2024, esteja liberado para o público para ser usado em serviços financeiros, como empréstimos, seguros e investimentos. #semont #drex #realdigital #bancocentral https://t.co/tjQo7HvR9e</t>
  </si>
  <si>
    <t>@AXELKAISER Seguro hay que quemar el #BancoCentral como dice el psicópata de #Milei</t>
  </si>
  <si>
    <t>El fin de la inflación Argentina! 
#JavierMilei #ElFinDeLaInflación #Libro #BancoCentral https://t.co/AtSdSobYZY</t>
  </si>
  <si>
    <t>@choquei Obrigado Campos Neto!
#FazoC #BC #Independente 
#BancoCentral https://t.co/2kCbEXjjdg</t>
  </si>
  <si>
    <t>Los qué y porqué del buffer contra-cíclico implementado por el Banco Central de Chile, en la entrevista que me realizó @olivares_nauta para @exantecl  #Bancocentral #buffer</t>
  </si>
  <si>
    <t>¿Quieres saber que es el buffer contracíclico? Te invito a leer la entrevista que me realizó @olivares_nauta para @exantecl #RCC #bancocentral #aureagroup #Economia</t>
  </si>
  <si>
    <t>5 claves para la semana: Bancos centrales y petróleo https://t.co/s8ddAWvMz8 #Finanzas #Acciones #BancoCentral #Fed</t>
  </si>
  <si>
    <t>Banco do Japão apresenta a nova cédula do iene, que serão emitidas a partir do próximo ano
#NovasCédulas #InovaçãoTecnológica #PrevençãoDeFraudes #CédulasMaisSeguras #PatrimônioCultural #MuseuDaMoeda #BancoCentral #MoedaNacional #TecnologiaDeSeguran… https://t.co/VBaUZMyAFS https://t.co/5h6EUXU7Jd</t>
  </si>
  <si>
    <t>Banco do Japão apresenta a nova cédula do iene, que serão emitidas a partir do próximo ano
#NovasCédulas #InovaçãoTecnológica #PrevençãoDeFraudes #CédulasMaisSeguras #PatrimônioCultural #MuseuDaMoeda #BancoCentral #MoedaNacional #TecnologiaDeSeguran… https://t.co/VBaUZMyAFS</t>
  </si>
  <si>
    <t>Confirmação de Gabriel Galípolo, atual número 2 da Fazenda, e Ailton de Aquino Santos depende de aprovação do Senado.
Continue lendo em: https://t.co/pZj0uUZBhj
#politicadejuros #bancocentral #teiadigital https://t.co/6XzXm9MKcI</t>
  </si>
  <si>
    <t>Em evento em Fortaleza, Lula criticou presidente do Banco Central.
Continue lendo em: https://t.co/T6fB4IgXV7
#Lula #BancoCentral #juros #teiadigital https://t.co/0UKUBf0Rg9</t>
  </si>
  <si>
    <t>Independiente va a pagar deuda privada con reservas de dólares del banco central. #independiente #bancocentral #bcra #maratea #cai</t>
  </si>
  <si>
    <t>Dale pa terminar el baño. @BancoCentral_AR #bancogalicia #bancocentral @alferdezprensa @CFKArgentina</t>
  </si>
  <si>
    <t>El nuevo billete de $2.000 ya comenzó a circular en Bancos y prontamente llegará a la circulación general https://t.co/x521FXjny5 vía @OpinaBa #Economía #BCRA #bancocentral #2000pesos</t>
  </si>
  <si>
    <t>El dólar "libre" mantiene su tendencia alcista previo a las PASO y cerró la jornada de este jueves en $602 https://t.co/SOKnGNAbcv #Economia #Dolar #DolarBlue #devaluacion #inflacion #BCRA #BancoCentral #PASO2023 #elecciones2023 #dolar600 https://t.co/LlsoFP25m2</t>
  </si>
  <si>
    <t>El dólar "libre" cerró otra semana agitada, con $31 de suba y terminó en $605 en la previa de las PASO https://t.co/SOKnGNAbcv #Economia #Dolar #DolarBlue #devaluacion #inflacion #PASO2023 #elecciones2023 #BCRA #BancoCentral #dolares https://t.co/ByWABobYPN</t>
  </si>
  <si>
    <t>El dólar "libre" cerró la jornada en $577 y se duplicó en el último año bajo la gestión de Sergio Massa en Economía, quien culpó a los especuladores por la suba https://t.co/SOKnGNAbcv #DolarBlue #dolar #Massa #BancoCentral #BCRA #dolaragro #dolarturista #inflacion #devaluacion https://t.co/Fbhl0zFAwj</t>
  </si>
  <si>
    <t>El dólar "libre" volvió a dar otro brusco salto de $45 en la jornada, pasó la barrera de los 700 y cerró en un nuevo récord de $730 https://t.co/Nu36WKmHBo #Economia #dolar #DolarBlue #Devaluacion #Inflacion #dolar730 #bcra #BancoCentral #Milei #Massa #FMI #dolarturista https://t.co/4AoU6PeXmK</t>
  </si>
  <si>
    <t>Nueva medida del BCRA: Código QR, los comercios que posean el sistema, deberán operar con todas las billeteras virtuales https://t.co/1hbtjjcbaP vía @OpinaBa #Economía #bcra #bancocentral #qr #billeterasvirtuales</t>
  </si>
  <si>
    <t>Los proveedores de servicios de pago no podrán realizar ni facilitar operaciones con criptoactivos https://t.co/Dex4MasNtZ por @OpinaBa #Economia #criptomonedas #cripto #BCRA #BancoCentral #Pesce #Bitcoin #Ethereum #USTC #Lemon #buenbit #bitso #satoshitango #ripio #belo #letsbit</t>
  </si>
  <si>
    <t>Los pagos con transferencia marcaron un nuevo récord y se mantienen como el medio digital más usado https://t.co/nfMWcNcNc0 a través de @OpinaBa #Economia #pagos #BCRA #BancoCentral #MercadoPago #trasnferencia #Qr #CodigoQR #pymes #billeteradigital</t>
  </si>
  <si>
    <t>El dólar "libre" sigue escalando sin encontrar techo y este miércoles subió $50, cerrando en $780 #Economia #dolar #DolarBlue #BCRA #BancoCentral #devaluacion #Inflacion #Milei #elecciones2023 https://t.co/cvjCF20zhd</t>
  </si>
  <si>
    <t>El dólar "Libre" mantiene su tendencia al alza, marcó un nuevo récord y llegó a los $600 al cierre de la jornada https://t.co/SOKnGNAbcv #Economia #Dolar #DolarBlue #devaluacion #inflacion #BancoCentral #BCRA #Dolar600 https://t.co/RGroyiNmL7</t>
  </si>
  <si>
    <t>A pesar de la intervención del Banco Central, el dólar "libre" dio un nuevo salto en la jornada y cerró a un récord de $560 https://t.co/GCH5EGhPbw #Economia #Dolar #DolarBlue #BancoCentral #BCRA #Euro #dolaragro #dolarturista https://t.co/4iELcG8736</t>
  </si>
  <si>
    <t>El BCRA mejoró las condiciones de descuento para las Facturas de Crédito Electrónicas https://t.co/iSbFOrJO1l a través de @OpinaBa #Economia #pymes #FCE #facturacion #BancoCentral #BCRA</t>
  </si>
  <si>
    <t>El dólar libre sigue escalando, esta jornada subió $17 hasta llegar a $790 y acumula un alza de $45 en lo que va de la semana https://t.co/SOKnGNAbcv #Economia #pobreza #Indec #Dolar #DolarBlue #devaluacion #inflacion #BancoCentral #BCRA https://t.co/Ih33KjWLcp</t>
  </si>
  <si>
    <t>Milei en Parque Norte: “La locura no es cerrar el Banco Central, sino tenerlo” https://t.co/33YsW06QwK a través de @OpinaBa #Politica  #Milei #LaLibertadAvanza #LLA #Marra #Villarruel #ParqueNorte #JavierMilei #Conicet #BancoCentral #BCRA #MileiVillarruel2023 #Elecciones2023</t>
  </si>
  <si>
    <t>El BCRA prorrogó hasta marzo de 2024 la principal línea de financiamiento para mipymes https://t.co/Rbs2PF4OUs a través de @OpinaBa #Ecomia #pymes #mipymes #pyme #credito #LFIP #financiamiento #BCRA #BancoCentral</t>
  </si>
  <si>
    <t>@brunoguzzo @Metropoles Está muito difícil de explicar tecnicamente, pq a taxa de juros #Selic não cai de 13,75%, não sofre redução pelo #BancoCentral. 
A inflação no país está em 3,94% (IPCA acumulado 12 meses) IBGE, como @miriamleitao falou. Os juros reais são os mais altos do mundo. Não tem sentido!</t>
  </si>
  <si>
    <t>En momentos que se debate en #Argentina desechar el #BancoCentral, aquí con el subgobernador de #banxico @JonathanHeath54 en la cena del @IMEFGto  previo al magno evento de mañana miércoles, representando a @WRSPrime4 junto con #ivansosa y @ameleks https://t.co/4ca3uVtqMr</t>
  </si>
  <si>
    <t>Banco Central argentino: “Relación con China se fortalece con incorporación del yuan al sistema financiero” 🇨🇳🤝 🇦🇷 
Detalles en el link 👉🏻 https://t.co/WmMr2ONn5F
#Asia #China #Argentina #Yuan #BancoCentral #Moneda https://t.co/Pmk2Vm3W4h</t>
  </si>
  <si>
    <t>Banco Central argentino: “Relación con China se fortalece con incorporación del yuan al sistema financiero” 🇨🇳🤝 🇦🇷 
Detalles en el link 👉🏻 https://t.co/WmMr2ONn5F
#Asia #China #Argentina #Yuan #BancoCentral #Moneda https://t.co/CVOeEzKmp2</t>
  </si>
  <si>
    <t>Banco Central argentino: “Relación con China se fortalece con incorporación del yuan al sistema financiero” 🇨🇳🤝 🇦🇷 
Detalles en el link 👉🏻 https://t.co/WmMr2ONn5F
#Asia #China #Argentina #Yuan #BancoCentral #Moneda</t>
  </si>
  <si>
    <t>Banco Central argentino: “Relación con China se fortalece con incorporación del yuan al sistema financiero”
https://t.co/WmMr2ONn5F
#Asia #China #Argentina #Yuan #BancoCentral #Moneda</t>
  </si>
  <si>
    <t>El billete de $2000 ya está en circulación: cómo es y cómo detectar los falsos
https://t.co/QUzXuHuB7i
 #billete #billete2000 #bancocentral #PDN #puente #NuevoBillete #argentina</t>
  </si>
  <si>
    <t>Estrategias ante devaluación y aumento de tasas tras el triunfo de Milei
https://t.co/QMMljama7T #puentedenoticias #PDN  #Tasasdeinterés #bancocentral #BCRA #dolar https://t.co/oO1vPiR5w1</t>
  </si>
  <si>
    <t>DÓLAR HOY: Tasas de Cambio y resumen de las noticias financieras hoy 25 de agosto
https://t.co/gIluGGnCD4 #puentedenoticias #dolar  #dolarhoy #tasasdecambio #bancocentral #economia #Argentina</t>
  </si>
  <si>
    <t>#AlexandravanHuffelen overal in Curaçao op tv in sjieke jurkjes,  vooral bij de #Ennia (verzekering en pensioenen)
#BancoCentral 
Wat de rol van 
JachminPinedo
Is weet ik even niet.
Kan iem dat goochelen. Pardon googelen.</t>
  </si>
  <si>
    <t>#AlexandravanHuffelen overal in Curaçao  vooral bij de #Ennia (verzekering en pensioenen)
#BancoCentral 
Wat de rol van 
JachminPinedo
Is weet ik even niet.</t>
  </si>
  <si>
    <t>Boletim Focus:
#investimentos #bancocentral #cambio #pib #selic #ipca #inflação https://t.co/q1KiDKR7RN</t>
  </si>
  <si>
    <t>Boletim Focus:
#hermescapital #safra #safrainvest #investimentos #mercadofinanceiro #bancocentral #cambio #pib #selic #ipca #inflação https://t.co/55B4N5HLPm</t>
  </si>
  <si>
    <t>Boletim Focus:
#hermescapital #safra #safrainvest #investimentos #mercadofinanceiro #bancocentral #cambio #pib #selic #ipca #inflação https://t.co/Si70AaZd0O</t>
  </si>
  <si>
    <t>Boletim Focus:
#hermescapital #safra #safrainvest #investimentos #mercadofinanceiro #bancocentral #cambio #pib #selic #ipca #inflação https://t.co/44SmIlEDQh</t>
  </si>
  <si>
    <t>Boletim Focus:  
#hermescapital #safra #safrainvest #investimentos #mercadofinanceiro #bancocentral #cambio #pib #selic #ipca #inflação https://t.co/ONTfnTMUc4</t>
  </si>
  <si>
    <t>Boletim Focus:
#hermescapital #safra #safrainvest #investimentos #mercadofinanceiro #bancocentral #cambio #pib #selic #ipca #inflação https://t.co/bO89AQs191</t>
  </si>
  <si>
    <t>Boletim Focus:
#hermescapital #safra #safrainvest #investimentos #mercadofinanceiro #bancocentral #cambio #pib #selic #ipca #inflação https://t.co/WAPT32fcLg</t>
  </si>
  <si>
    <t>Boletim Focus:
#hermescapital #safra #safrainvest #investimentos #mercadofinanceiro #bancocentral #cambio #pib #selic #ipca #inflação https://t.co/0oke0ziPp5</t>
  </si>
  <si>
    <t>Boletim Focus:
#hermescapital #safra #safrainvest #investimentos #mercadofinanceiro #bancocentral #cambio #pib #selic #ipca #inflação https://t.co/zWYPS2UoL2</t>
  </si>
  <si>
    <t>Boletim Focus:
#hermescapital #safra #safrainvest #investimentos #mercadofinanceiro #bancocentral #cambio #pib #selic #ipca #inflação https://t.co/RLdc5J85iz</t>
  </si>
  <si>
    <t>Boletim Focus:
#hermescapital #safra #safrainvest #investimentos #mercadofinanceiro #bancocentral #cambio #pib #selic #ipca #inflação https://t.co/wMtk8ir1Ee</t>
  </si>
  <si>
    <t>Boletim Focus:
#mercadofinanceiro #bancocentral #cambio #pib #selic #ipca #inflação https://t.co/6VoQy77JSP</t>
  </si>
  <si>
    <t>Boletim Focus:
#hermescapital #safra #safrainvest #investimentos #mercadofinanceiro #bancocentral #cambio #pib #selic #ipca #inflação https://t.co/5zQXCtQNxy</t>
  </si>
  <si>
    <t>Mercado repercute tom “hawkish” do Copom nesta quinta-feira
Copom manteve juros no patamar de 13,75% ao ano mas, no comunicado, não indicou o início do ciclo de alívio monetário como o mercado esperava
#copom #selic #bancocentral #inflação
https://t.co/7zd2DPsrNs</t>
  </si>
  <si>
    <t>Boletim Focus:
#hermescapital #safra #safrainvest #investimentos #mercadofinanceiro #bancocentral #cambio #pib #selic #ipca #inflação https://t.co/3YfsmutiYG</t>
  </si>
  <si>
    <t>Boletim Focus:
#hermescapital #safra #safrainvest #investimentos #mercadofinanceiro #bancocentral #cambio #pib #selic #ipca #inflação https://t.co/9ALvcZXl3d</t>
  </si>
  <si>
    <t>Senado aprova Gabriel Galípolo para a diretoria do Banco Central
Senado aprova entrada de Gabriel Galípolo e Aílton Aquino para a diretoria do Banco Central, primeiros indicados do governo Lula
#bancocentral #senadofederal
https://t.co/dU9eLfSISp</t>
  </si>
  <si>
    <t>Boletim Focus:
#hermescapital #safra #safrainvest #investimentos #mercadofinanceiro #bancocentral #cambio #pib #selic #ipca #inflação https://t.co/uDkW8cpQ0G</t>
  </si>
  <si>
    <t>Boletim Focus:
#hermescapital #safra #safrainvest #investimentos #mercadofinanceiro #bancocentral #cambio #pib #selic #ipca #inflação https://t.co/hvSACjkPp0</t>
  </si>
  <si>
    <t>Boletim Focus:
#hermescapital #safra #safrainvest #investimentos #mercadofinanceiro #bancocentral #cambio #pib #selic #ipca #inflação https://t.co/bzQcu109U9</t>
  </si>
  <si>
    <t>El #BancoCentral subió las tasas de interés sobre los plazos fijos, por tercera vez en menos de un mes. A partir de este lunes, el nuevo piso es del 91%. Además redujo dos puntos la tasa de interés para saldos impagos sobre tarjetas de crédito. https://t.co/d85iY87FrS</t>
  </si>
  <si>
    <t>O Comitê de Política Monetária (Copom) do Banco Central se reúne na próxima quarta-feira para nova rodada de discussão sobre a taxa básica de juros, a Selic. É grande a expectativa por corte na casa de 0,5.
#copom #bancocentral #juros</t>
  </si>
  <si>
    <t>#6AMLaMañana Banco Central mantiene sin variación sus tasas de interés de Política Monetaria.
#CDN #BancoCentral #TasasdeInterés #PilíticaMonetaria https://t.co/nNbNb7YDiB</t>
  </si>
  <si>
    <t>Renegociação de dívidas da fa ...
 https://t.co/uutdalIHT6 
#BancoCentral #Brasileiros #CadÚnico #CPF #Dezembro #Fazenda #GovernoFederal https://t.co/WzLhVZwxNF</t>
  </si>
  <si>
    <t>Mais de 150 distritos baianos já têm sinal d ...
 https://t.co/SeTm4o9UcP 
#Anatel #Bahia #BancoCentral #Claro #Desenvolvimento #Distrito https://t.co/3ziWK9Kj3l</t>
  </si>
  <si>
    <t>Banco Central comunica ...
 https://t.co/U98A7y2aWt 
#BancoCentral #Dinheiro #Internet #Janeiro #Lei #Novembro #Segurança #Sistema https://t.co/EHtvezR8J0</t>
  </si>
  <si>
    <t>Na terça-feira (27), a Comissão de Assuntos Econômicos do Senado aprovou convite ao presidente do Banco Central para que ele preste esclarecimentos sobre a taxa básica de juros do país.
#Oposição #BancoCentral #Juros</t>
  </si>
  <si>
    <t>Nossa vice-líder, senadora @TerezaCrisMS, questiona na sabatina do #BancoCentral qual o compromisso dos novos diretores com a autonomia da instituição. https://t.co/HaUva7CMiT</t>
  </si>
  <si>
    <t>Serão ouvidos o economista Gabriel Muricca Galípolo, atual secretário-executivo do Ministério da Fazenda, para a Diretoria de Política Monetária; e o advogado Ailton de Aquino Santos, servidor de carreira do Banco Central, para a Diretoria de Fiscalização.
#CAE #BancoCentral</t>
  </si>
  <si>
    <t>🏛️Compartir la experiencia y conocer detalles del proceso de transformación digital del @bcentralchile, fue el tema de la charla dictada por su Gerente General, @BeltrandeRamon en la @FCIUACh👏
#somosingenieriauach #informaticauach #transformaciondigital #bancocentral #valdiviacl https://t.co/9g1hsQsthp</t>
  </si>
  <si>
    <t>O Comitê Federal de Mercado Aberto (FOMC) dos Estados Unidos eleva as taxas de juros do país em 0,25 pontos percentuais, que passam a ter um intervalo entre 5% e 5,25% ao ano.
#FOMC #FED #bancocentral #copom #juros #taxadejuros #quantzed https://t.co/5lB1ll77k4</t>
  </si>
  <si>
    <t>Banco Central e Sistema OCB promovem debate sobre a importância da intercooperação
🔗 https://t.co/eSZUyfJxDe
#coops #coop #cooperativismo #cooperativas #BancoCentral #intercooperação https://t.co/z2puwglbWK</t>
  </si>
  <si>
    <t>Esta moneda también se acuño en la Casa de Moneda de Santiago
#IPSA #BancoCentral https://t.co/kIUop3ufP1</t>
  </si>
  <si>
    <t>#ULTIMOMINUTO  el #BancoCentral lleva el #DolarOficial a $350 
Efecto Milei
#Massa renuncia a ser candidato? 
#CFKLadronaDeLaNacionArgentina 
#ElPeorGobiernoDeLaHistoria</t>
  </si>
  <si>
    <t>O #BancoCentral definiu o nome da primeira moeda digital oficial do país: Drex. Segundo Andréia Sadi/g1, o nome do primo do Pix, como é chamado dentro do BC, é uma abreviação da expressão Digital Real X.A expectativa é que, até o fim de 2024,o Drex esteja liberado para o publico</t>
  </si>
  <si>
    <t>Desde #MunicipioAbierto seguimos impulsando un trabajo colaborativo para el #BuenVivir de todas las comunidades de nuestro #Quilpué🤝✨
Por eso, estamos muy contentos con la jornada "Espacios Seguros para la Inclusión de Personas Migrantes" desarrollada en Liceo Comercial. 🙌🏻 https://t.co/UieFmQMal2</t>
  </si>
  <si>
    <t>𝐉𝐚𝐯𝐢𝐞𝐫 𝐌𝐢𝐥𝐞𝐢 𝐲𝐚 𝐭𝐢𝐞𝐧𝐞 𝐞𝐥 𝐡𝐨𝐦𝐛𝐫𝐞 𝐞𝐧𝐜𝐚𝐫𝐠𝐚𝐝𝐨 𝐩𝐚𝐫𝐚 𝐞𝐥 𝐁𝐚𝐧𝐜𝐨 𝐂𝐞𝐧𝐭𝐫𝐚𝐥
https://t.co/UG6DZEjgUj
#milei #Bancocentral #AsteriscosTv https://t.co/vGixuv52qH</t>
  </si>
  <si>
    <t>Gabriel Galípolo no Banco Central
Por Luis Nassif
A presença de Galípolo no BC terá resultados mais rápidos do que o processo de conquista da maioria do Copom.
https://t.co/hQSRevus70
#aterraéredonda  #LuisNassif #GabrielGalípolo #BancoCentral https://t.co/v2DIriB6ho</t>
  </si>
  <si>
    <t>As novas indicações para o Banco Central
Por Paulo Nogueira Batista Jr.
O Banco Central deve aceitar passivamente as expectativas do mercado e seus efeitos sobre os juros longos?
https://t.co/5kx4MxxPTf
#aterraéredonda #PauloNogueiraBatistaJr #BancoCentral https://t.co/APZTfDEdC8</t>
  </si>
  <si>
    <t>Os gastos do Banco Central
Por João Carlos Loebens
Sem precisar de autorização, o BC gastará este ano, aproximadamente, 740 bi somente em pagamento de juros para um punhado de ultra ricos.
https://t.co/T1UlmNkKay
#aterraéredonda #JoãoCarlosLoebens #BancoCentral https://t.co/KmATSUqwRA</t>
  </si>
  <si>
    <t>Autonomia do Banco Central – a nova prisão
Por Francisco De Oliveira
https://t.co/RDmHf8FNo2
#aterraéredonda #FranciscoDeOliveira #BancoCentral https://t.co/MP2D0NETT5</t>
  </si>
  <si>
    <t>Vota acá: https://t.co/xLtw6aefiv
#TereMarinovic #LaTercera #BancoCentral #Rancagua #Piñera https://t.co/8G7Ca3SkDI</t>
  </si>
  <si>
    <t>Caso romântico empossados e agora público. Será que vazará tudo dentro do banco central a CNN a partir de agora? Ou já vazava? ou o elo forte está sendo o santo Gabriel? Uma dúvida: Antes de namorar as pessoas ainda ficam? 
#romance #bancoCentral #CNN #vazamentos #relacionamento… https://t.co/deONzgVKER</t>
  </si>
  <si>
    <t>Luego de las #PASO el #BancoCentral habilitó una #devaluación del 22%. El tipo de cambio oficial se ubica hoy a $ 364,60 pesos, una cotización para incentivar las #exportaciones y mas costos para #importadores
 👉 https://t.co/J1RROI4qqj
. 
#DAGRIteam #ComercioInternacional</t>
  </si>
  <si>
    <t>O #BancoCentral Europeu elevou as taxas de juros pela nona vez nesta quinta-feira (27) e manteve a porta aberta para novo aperto monetário, à medida que a #inflação e o risco crescente de recessão colocam as autoridades em direções opostas.
Leia mais em: https://t.co/Et6R5Ikg7b</t>
  </si>
  <si>
    <t>O #BancoCentral também espera que a tecnologia permita compras parceladas e transações internacionais.
Leia mais em: https://t.co/surK3eIK1y</t>
  </si>
  <si>
    <t>El @bancoprovincia de Bs As se puso al frente de la estrategia de #DesarrolloProductivo de la provincia, con un 54% de todo su crédito al sector en los últimos 3 años.
📌 https://t.co/nQYDe33DPD
#ConexiónParques #ParquesIndustriales #BancoCentral #Créditos #Empresas #PyMES https://t.co/RJVsHEE87J</t>
  </si>
  <si>
    <t>Participação no BandNews: Edição da Noite com Eduardo Castro. A gente precisa derrubar as taxas de juros e deixar elas baixas
#políticadejuros #juros #bancocentral #mudançanapolitíca @bandnewstv
https://t.co/UjyIY31ORj</t>
  </si>
  <si>
    <t>Começar a baixar os juros é uma coisa. Outra coisa é mantê-los baixos
Comentário BandNews FM No Meio do Dia - 03/07/2023
Oinegue na BandNews FM. De segunda a sexta, do meio-dia às 2 da tarde.
#políticadejuros #juros #bancocentral #mudançanapolitíca 
https://t.co/IBNInRDcdL</t>
  </si>
  <si>
    <t>Um mergulho na destruição que os juros provocam na economia
Comentário BandNews FM No Meio do Dia - 20/06/2023
Oinegue na BandNews FM. De segunda a sexta, do meio-dia às 2 da tarde.
#políticadejuros #juros #bancocentral #mudançanapolitíca #economia
https://t.co/yUEgKOC7JV</t>
  </si>
  <si>
    <t>Participação no BandNews: Edição da Noite com Eduardo Castro. É hora de baixar os juros
#políticadejuros #juros #bancocentral #mudançanapolitíca @bandnewstv
https://t.co/bMyCFHWtc9</t>
  </si>
  <si>
    <t>A lista de tarefas para crescer é extensa e vai além dos juros
Comentário BandNews FM No Meio do Dia - 27/07/2023
Oinegue na BandNews FM. De segunda a sexta, do meio-dia às 2 da tarde.
#taxadejuros #juros #selic #bancocentral #inflação #bandnewsfm
https://t.co/3ThDEGFUjX</t>
  </si>
  <si>
    <t>Por que o Banco Central vai anunciar mudança na política de juros
Comentário BandNews FM No Meio do Dia - 19/06/2023
Oinegue na BandNews FM. De segunda a sexta, do meio-dia às 2 da tarde.
#políticadejuros #juros #bancocentral #mudançanapolitíca 
https://t.co/88S8Q5pFO2</t>
  </si>
  <si>
    <t>Pensiones se financian con 
+ pilar contributivo (aportes de los trabajadores), 
+ pilar no contributivo (subsidios estatales financiados por todos)
+pilar financiero (la rentabilidad de los fondos).
#DerechoalaRuina
#ReformaPrevisional  #ConMiPlataNo  #BancoCentral https://t.co/igfUkn0dZU</t>
  </si>
  <si>
    <t>👩 #Personaje | En esta entrevista, Rosanna Costa, la presidenta del #BancoCentral desde febrero del año pasado, explica en detalle el RCC y el Informe de Estabilidad Financiera. Además, ahonda en las diversas reacciones del mercado y el mundo político. https://t.co/ZNpSDWs3QE https://t.co/Mj7iEfd2zz</t>
  </si>
  <si>
    <t>Ojo  #Bancocentral #Monserrat https://t.co/zGiu471pFT</t>
  </si>
  <si>
    <t>SE ROBAN UN BILLÓN DE DÓLARES DEL BANCO CENTRAL 
Nuestro host (@miguel_almanzar ) habla sobre el dinero para préstamos que había autorizado el Banco Central y que ahora no aparecen. 
#aquihablamosclaro #elnuevodiariord #analisispolitico #Bancocentral #prestamos #dinero #robo https://t.co/1PuDhK3UOo</t>
  </si>
  <si>
    <t>Liberación del encaje legal para viviendas de bajo costo ha beneficiado más de mil familias
Amplíe en https://t.co/A38RoQPfTv
#BancoCentral #EncajeLegal https://t.co/zjAn6pfgm1</t>
  </si>
  <si>
    <t>O Banco Central publicou na última segunda-feira (4) o "Relatório de Gestão do Pix - Concepção e primeiros anos de funcionamento 2020-2022". Saiba qual foi o maior valor realizado pelo Pix. 
#bancocentral #pix #transferencia #jm 
https://t.co/tdbOYsrMja</t>
  </si>
  <si>
    <t>Desaparecer el #BancoCentral de un país es parte de las nuevas tendencias de abolir el capitalismo voraz
Cierto, hay objetivos de inflación de los bancos centrales. En México 3% anual
No sólo se encargan de eso, sino también de administrar los riesgos macro
Veamos qué ocurre</t>
  </si>
  <si>
    <t>"Lo público funciona mejor que lo privado" nadie nunca dijo. 
#el6% #Cadem #BancoCentral</t>
  </si>
  <si>
    <t>https://t.co/rTl632awgm
#economia #pix #bancocentral #pj https://t.co/jzUbIfuPYi</t>
  </si>
  <si>
    <t>¿Cómo sacar un plazo fijo?
#BancoCentral #Cómohacer #Inversiones
https://t.co/wFOXiXTYOK</t>
  </si>
  <si>
    <t>La Justicia Federal de Córdoba ordenó al Banco Central venderle dólares oficiales a la provincia
#Actualidadeconómica #BancoCentral #Córdoba #Dólarblue
https://t.co/1cc2o8lvKi</t>
  </si>
  <si>
    <t>Mendoza también va a la Justicia Federal por la limitación del BCRA a las provincias de acceder a dólares
#Actualidadeconómica #BancoCentral #ComunidaddeNegocios #Córdoba #Mendoza
https://t.co/tFWPoDy8fg</t>
  </si>
  <si>
    <t>Massa se metió en la pelea entre los bancos y Mercado Pago
#Actualidadeconómica #BancoCentral #ComunidaddeNegocios #MercadoLibre
https://t.co/FU82fFyeBe</t>
  </si>
  <si>
    <t>5G: más caja, mucha opacidad, menos conectividad
#AlbertoFernández #BancoCentral #Comunicaciones #NotadeOpinion #Opinión #SergioMassa
https://t.co/rEenhEFglV</t>
  </si>
  <si>
    <t>Sergio Massa tiene mucho para agradecerle al FMI
#BancoCentral #ComunidaddeNegocios #Déficitfiscal #FMI #Inflaciónyprecios #SergioMassa
https://t.co/ee0CQjqqdq</t>
  </si>
  <si>
    <t>💰 ¿Un nuevo desembolso del #FMI?
🧑🏻 Casi sin reservas en el #BancoCentral, @SergioMassa deberá cerrar el acuerdo ante dos nuevos vencimientos.
⤵️ https://t.co/7sQgvDuW9f
@FMInoticias 
📸 Cronista https://t.co/e87Pftgst7</t>
  </si>
  <si>
    <t>🏦 El #BancoCentral desmintió la #fakenews sobre una supuesta reducción de sus reservas de #oro
📌 Información errónea divulgada por la consultara 1816, que fue desestimada por la entidad bancaria #Argentina. 
✍🏼 @julian_bernadaz ⬇️
https://t.co/og8GvQkfWo</t>
  </si>
  <si>
    <t>🤣 Después de una elección agotadora el humor nace en las redes 
🗳️ Este domingo 13 de agosto, #JavierMilei se impuso en las Elecciones #PASO2023.
🏦 En las redes sociales, circularon videos sobre como reaccionaría el #BancoCentral con los resultados electorales. https://t.co/4Vm1RcXLWE</t>
  </si>
  <si>
    <t>RT @PlenoNews: Campos Neto diz que BC “não é oposição” ao governo Lula
#CamposNeto #BancoCentral #oposiçao #PlenoNews 
https://t.co/n542BY2…</t>
  </si>
  <si>
    <t>Fim de tarde em Brasília #brasiliaecerrado #ceudebrasilia #pordosol #laranja #cerrado #ocaso #brasilia #lagoparanoa #beleza #cidadelinda #luz #luzdosol #bancocentral #torredetvbrasilia #sol https://t.co/vNvSLLFuZK</t>
  </si>
  <si>
    <t>Anoitecendo na Capital do Brasil #brasiliaecerrado #ceudebrasilia #brasilia #pordosol #ocaso #laranja #cerrado #sol #luzdosol #luz #anoitecer #bancocentral #cef #pontejk https://t.co/usc5nkaqkE</t>
  </si>
  <si>
    <t>🔴 #ECONOMIA • ASÍ ES EL NUEVO BILLETE DE $1000 CON LA CARA DE SAN MARTÍN 💸
👉 El nuevo billete comenzará a circular a partir del 15 de julio.
#impresion #billetes #moneda #argentina #devaluacion #inflacion #sanmartin #de5a1000 #bancocentral #republicaargentina #virales https://t.co/MXkrJLOnqr</t>
  </si>
  <si>
    <t>🔴 #DOLARIZACIÓN • EL RELATO Y LAS COSAS EN CAMPAÑA 🗳️🇦🇷 "No lo vamos a hacer si no hay dólares" 💸
#Milei #dolarizar #dólares #Epstein #JavierMilei #Clarín #BancoCentral
#info #viral #pagina12 #lalibertadavanza #noticias #argentina #elecciones #campaña #mileipresidente https://t.co/c0LAOI7oEX</t>
  </si>
  <si>
    <t>Parásitos utilizando dinero de todos los peruanos, según ellos en capacitaciones, cuando en realidad lo utilizan para su único fin: embrutecer a su recua al mismo estilo de los programas basura #LopezAliaga #PedroCastillo #Fujiasnos #LauraBozzo #BancoCentral. https://t.co/7K3OGmAt6H</t>
  </si>
  <si>
    <t>Diversos usuarios en redes sociales denunciaron el fin de semana que habían aparecido billetes de 100 pesos cubanos con solo una mitad impresa 👇👇👇👀👀👀 #Billetesfalsos #BancoCentral  https://t.co/TIvLCkngoV</t>
  </si>
  <si>
    <t>Parcelas sem juros no cartão de credito vai acabar? 
#CartaoDeCredito #Finanças #BancoCentral
https://t.co/2cymGwtkgS</t>
  </si>
  <si>
    <t>Portaria publicada pelo Governo que define a nova série de investimentos prevê que os bancos passem a comercializar Certificados de Aforro em canais físicos ou digitais. https://t.co/W6gotutTSO</t>
  </si>
  <si>
    <t>RT @michelfreireadm: O Banco Central do Brasil não está cumprindo a sua função! Ciro Gomes explica.
#cirogomes #bancocentral</t>
  </si>
  <si>
    <t>.@ElvinCastillo dijo en @rumbodelamanana que las estadísticas ofrecidas por el @BancoCentralRD deberían ser respondidas por el Gobierno.
Sintoniza #rumba985fm y entérate de más.
#BancoCentral #educacioninicial #estadisticas   @RCCMediaRD https://t.co/9Ygttg7ixv</t>
  </si>
  <si>
    <t>📈📊 O Relatório Focus divulgado pelo Banco Central apontou queda na expectativa de inflação. Nesse sentido, o BC deve iniciar o processo de redução de juros em agosto. 
O povo brasileiro aguarda a ata de amanhã! 
#BancoCentral #RelatórioFocus #ReduçãoDeJuros #Economia 💰💸</t>
  </si>
  <si>
    <t>📢Plazos fijos pagarán un 97 por ciento anual, baja la tasa de Ahora 12 y se incrementan reintegros por compras con débito
🌐https://t.co/sUc2eDm1V2
#economia #tasadeinteres #baja 
#ahora12 #bancocentral #massa https://t.co/Lvbm8FPiC0</t>
  </si>
  <si>
    <t>#COL El banco de la República @BancoRepublica registró unas ganancias por $2,9 billones con su inversión en los bonos del tesoro de Estados Unidos en el primer trimestre del 2023.
#inversion #bancocentral #usa #economy #economia #finanzas</t>
  </si>
  <si>
    <t>RT @4semanasOk: Nueva escalada del dólar blue y el Banco Central compra pero no alcanza #BancoCentral #dólar #DólarBlue https://t.co/KWAxQQ…</t>
  </si>
  <si>
    <t>Debate sobre taxa de juro do Banco Central “pega fogo” na CBN Floripa; ouça
https://t.co/6LoKrvnnDu
#bancocentral #CBN #cbnfloripa https://t.co/RaoIIhR8qg</t>
  </si>
  <si>
    <t>Brazil central bank names its digital currency 'DREX,' scheduled for 2024 launch https://t.co/KjI0wUUhsA https://t.co/uN2UlE9SPo</t>
  </si>
  <si>
    <t>João, JESUS te guarda. Esse João é um criativo e ainda uma criança. João ganhou um prêmio internacional. Estudante de uma escola de #NovaLinda, em #MinasGerais. #Sustentabilidade. #TarcíliadeAmaral. #Itália. #BancoCentral. #Brasil.</t>
  </si>
  <si>
    <t>Aos que compreendem a publicação anterior sobre a moeda digital lançada pelo #BancoCentral, lembro sobre as minhas reflexões, neste assunto, quando falei sobre a #Libra, que era a moeda digital do #Facebook. #Twitter. #Linkedin. #Innovation. #Tecnology. #Brasil.</t>
  </si>
  <si>
    <t>Junta Monetaria aprueba medidas de estímulo RD$94,000 millones para financiamiento sectores productivos y hogares, a bajas tasas de interés 
Leer más: https://t.co/K36Mtl3Wlz
#EstrellasyRedes #EconomíaRD #BancoCentral https://t.co/vznHRX39Dm</t>
  </si>
  <si>
    <t>La reacción de JP Morgan ante la decisión del Banco Central sobre reducción de su tasa de política monetaria 
Amplíe aquí: https://t.co/BaQpJdexFL 
#EstrellasyRedes #BancoCentral #EconomíaRD https://t.co/UR7GV4q9ES</t>
  </si>
  <si>
    <t>Lo que opina Circe Almánzar sobre los fondos liberados por el Banco Central 
Amplíe aquí: https://t.co/ZR5vqryBzJ 
#EstrellasyRedes #BancoCentral #EconomíaRD https://t.co/AfSBVgQQF3</t>
  </si>
  <si>
    <t>Junta Monetaria aprueba RD$25 mil millones adicionales de Facilidad de Liquidez Rápida incrementando el monto total de recursos a la economía RD$119 mil millones 
Amplíe aquí: https://t.co/ClRHGfFywF 
#EstrellasyRedes #EconomíaRD #BancoCentral https://t.co/cHGBdVUBWw</t>
  </si>
  <si>
    <t>República Dominicana será el país anfitrión de la298º Reunión del CMCA 
Leer más: https://t.co/bfFJOpJxoe 
#EstrellasyRedes #BancoCentral https://t.co/VMPutoGFRk</t>
  </si>
  <si>
    <t>Banco Central realiza una pausa en el ciclo de reducciones de su tasa de política monetaria 
Leer más: https://t.co/V6D0rBD31D 
#EstrellasyRedes #BancoCentral #EconomíaRD https://t.co/jZZ6XBldgS</t>
  </si>
  <si>
    <t>Encuesta del mercado laboral del Banco Central arroja crecimiento interanual de 128,627 ocupados en el trimestre enero-marzo de 2023 
Leer más: https://t.co/NCjuw67agq
#EstrellasyRedes #BancoCentral https://t.co/ngUzUHN6zF</t>
  </si>
  <si>
    <t>Banco Central informa se han desembolsado más de RD$117,000 millones de recursos para facilidades 
Leer más: https://t.co/FjJhmXlOzY 
#EstrellasyRedes #EconomíaRD #BancoCentral https://t.co/QSn7QsgKgN</t>
  </si>
  <si>
    <t>Banco Central reduce tasa de política monetaria en 25 puntos básicos, disminuyendo de 8.00 % a 7.75 % anual 
Leer más: https://t.co/aT1U8JwvQw 
#EstrellasyRedes #BancoCentral #EconomíaRD https://t.co/vHUBtXanCJ</t>
  </si>
  <si>
    <t>Banco Central designado en Comité Irving Fisher de Estadísticas de Bancos Centrales del BIS 
Leer más: https://t.co/ADsj4NXB5d 
#EstrellasyRedes #BancoCentral #EconomíaRD https://t.co/yuQdgOKi5e</t>
  </si>
  <si>
    <t>BCRD reduce su tasa de política monetaria en 25 puntos básicos, disminuyendo de 7.75 % a 7.50 % anual 
Leer más: https://t.co/Atgx9RV5Tz 
#EstrellasyRedes #BancoCentral #EconomíaRD https://t.co/cLJU4SQ9dd</t>
  </si>
  <si>
    <t>#PartidoCelesteProvida #MileiPresidente #libertadavanza #bancocentral #Lacasta #milei2023 #VivaLaLibertad #inflacion https://t.co/96xPrYPntv https://t.co/jdRUv22LOW</t>
  </si>
  <si>
    <t>Proyecciones #IPOM #Inversión 
#Chile #Crecimiento 
#BancoCentral #IpomJunio2023 https://t.co/NCYcLby6lP</t>
  </si>
  <si>
    <t>Proyecciones #IPOM
#Chile #Inflación
#BancoCentral #IpomJunio2023 https://t.co/9tLu6fNZuh</t>
  </si>
  <si>
    <t>Proyecciones #IPOM 
#Chile
#BancoCentral #IpomJunio2023 https://t.co/KzcCZeXeVs</t>
  </si>
  <si>
    <t>(23/05) Para mais informações, assine o AFTER HOURS, a newsletter de fechamento de mercado da Bloomberg Línea: https://t.co/IjuIvuIcQZ
#AfterHours #mercados #Brasil #BancoCentral #governo #inflação https://t.co/sgsubqJpSr</t>
  </si>
  <si>
    <t>O Comitê de Política Monetária (#Copom), do #BancoCentral, decidiu manter a #Selic em 13,75% ao ano, mesmo diante das críticas persistentes do #presidente Luiz Inácio #Lula da Silva ao patamar atual da taxa básica de #juros. https://t.co/VVVnGtQeQr</t>
  </si>
  <si>
    <t>Integrante da equipe de transição de #governo e importante na campanha de #Lula, Gabriel Galípolo foi indicado para a diretoria de #política monetária do #BancoCentral e, segundo fontes ouvidas pela Bloomberg News, pode ser o sucessor de Roberto Campos Neto na presidência do BC. https://t.co/RE4wVsIOZ9</t>
  </si>
  <si>
    <t>O #IPCA desacelerou para 0,23% em maio após alta de 0,61% em abril. No acumulado em 12 meses, o índice caiu para 3,94% em maio, ante 4,2% em abril. A meta de #inflação do #BancoCentral para 2023 é de 3,25%, com intervalo de tolerância para cima até 4,75%. https://t.co/DLUd9ta9g5</t>
  </si>
  <si>
    <t>As despesas dos #brasileiros em #viagens internacionais atingiram US$ 1,23 bilhão em abril (dado mais recente). Os gastos no exterior vêm se recuperando nos últimos meses depois de chegar ao ponto mais baixo em maio de 2020, com US$ 199 milhões, segundo #dados do #BancoCentral. https://t.co/SryAXJB7rD</t>
  </si>
  <si>
    <t>(27/09) Para mais informações, assine o BREAKFAST, a newsletter de abertura de mercado da Bloomberg Línea: https://t.co/IjuIvuIcQZ
#Breakfast #mercados #Lula #BancoCentral #reunião #CamposNeto #Brasil https://t.co/UYNb25dXE5</t>
  </si>
  <si>
    <t>O Comitê de Política Monetária do #BancoCentral manteve a taxa #Selic em 13,75% pela 7ª vez mas, pela primeira vez desde que começou a subir os #juros, em março de 2021, o comunicado amenizou o tom. https://t.co/UzBQ4dYstn</t>
  </si>
  <si>
    <t>Las remesas hacia la República Dominicana continúan en aumento durante el primer semestre de 2023, según informó el Banco Central de la República Dominicana (BCRD) en un comunicado emitido hoy.
https://t.co/M1CCO4dZHt 
#RCCMedia #NoticiasRCC #Remesas #BancoCentral https://t.co/4YqlRI2pT6</t>
  </si>
  <si>
    <t>El @BancoCentralRD informó que, en los primeros seis meses del 2023, las remesas alcanzaron US$5,019.9 millones, lo cual representa un crecimiento de 3.3 % en comparación con el mismo período del año anterior.
https://t.co/8UdRTZB6jB 
#NoticiasRCC #Remesas #BancoCentral…</t>
  </si>
  <si>
    <t>El Tribunal de Apelaciones de Londres desestimó un nuevo recurso presentado por el Banco Central de Venezuela (BCV).
 https://t.co/UYOeOVWc9W 
#NoticiasRCCMedia #Venezuela #BancoCentral</t>
  </si>
  <si>
    <t>El Banco Central de la República Argentina (BCRA) habilitó este viernes la apertura de cuentas bancarias en yuanes, con el objetivo de alentar pagos de importaciones en la moneda china.
https://t.co/o3Ipn8TqVA 
#NoticiasRCCMedia #BancoCentral #Argentina</t>
  </si>
  <si>
    <t>El Banco Central anunció hoy la circulación de los nuevos billetes de 2,000 pesos dominicanos para el año 2022.
https://t.co/UfQ1HV6Kgh 
#RCCMedia #NoticiasRCC #BancoCentral #NuevosBilletes</t>
  </si>
  <si>
    <t>Representantes de los sectores mipymes, comercio, construcción e industrial respaldó la reciente decisión del Banco Central de reducir las tasas de interés.
https://t.co/0NxZjG2qQ0
#RCCMedia #NoticiasRCC #BancoCentral #Tasas</t>
  </si>
  <si>
    <t>Focus - Relatório de Mercado https://t.co/tu6jizVQee #BancoCentral #BCB via @BancoCentralBR</t>
  </si>
  <si>
    <t>🚨🚨 Se liga Investidor, AMANHÃ teremos 
mais uma  Super quarta! 
Agenda:   
 🇪🇺Inflação ao consumidor  
 🇧🇷Decisão da SELIC
 🇺🇸 Decisão de Juros  
🇺🇸 🇪🇺 Taxa de desemprego  
Expectativa do mercado pra SELIC é manter 13,75%
#SELIC #bancocentral #fed #juros #financas https://t.co/9S2cXm77Mv</t>
  </si>
  <si>
    <t>Decisão acertada, no momento que era possível. Esperar mais redução na próxima ata.
#Economia #juros #BancoCentral  https://t.co/df21sPrXUr</t>
  </si>
  <si>
    <t>@SofisaDireto O app não está funcionando. Desde as 11h tentando fazer um pix ou transferência e não consigo! Resolvam!!!
#bancosofisa #bancocentral</t>
  </si>
  <si>
    <t>#BancoCentral #ConLaFuerzaDelPueblo #ConTodosLaVictoria 💯pre #PaLante #Cuba https://t.co/BiQIIEB0aP</t>
  </si>
  <si>
    <t>#BancoCentral #ConLaFuerzaDelPueblo #ConTodosLaVictoria 💯pre #PaLante #Cuba https://t.co/5sBpEOGYE6</t>
  </si>
  <si>
    <t>#BancoCentral #ConLaFuerzaDelPueblo #ConTodosLaVictoria 💯pre #PaLante #Cuba https://t.co/RbhvOGb2GB</t>
  </si>
  <si>
    <t>Brasil se posiciona na vanguarda ao criar Marco Legal dos Criptoativos
Entenda melhor sobre a nova legislação e suas repercussões, lendo essa #reportagem LexLatin
https://t.co/XgOtqNWnA8
#marcolegal #criptomoedas #exchanges #bancocentral #brasil</t>
  </si>
  <si>
    <t>@CNJ_oficial Em verdade, o #CNJ precisa melhorar os seus canais de ouvidoria, talvez criando um sistema de #Reclamações contra atos dos Tribunais semelhante ao que existe no #BancoCentral, o qual disponibiliza um sistema de Reclamações, no próprio site do BACEN, contras Instituições…</t>
  </si>
  <si>
    <t>Não podemos viver sob a vontade dos sabotadores da economia! Fora, Campos Neto e sua turma!
#juros #economia #brasil #alagoas #maceió #maceio #bancocentral https://t.co/yHtXVJhVnJ</t>
  </si>
  <si>
    <t>#Bolivia
La demanda de #dólares “vuelve a la normalidad”, asegura el vicepresidente del #BancoCentral https://t.co/hvp2fwTmjJ</t>
  </si>
  <si>
    <t>-me vale un pepino estos hijos de su madre, que vean donde conspiran -pero #guillermo no podemos decir eso - entones pon “por decreto el #bancocentral les quita el edifico al #CPCCS.</t>
  </si>
  <si>
    <t>O presidente do Banco Central, Roberto Campos Neto, ressaltou a contínua necessidade de manter uma abordagem restritiva em relação aos juros, enfatizando que a luta contra a inflação ainda não foi vencida. #BancoCentral #Economia #EconomicNewsBrasil
https://t.co/m7dYcHoCrz https://t.co/GNVFBAeSqo</t>
  </si>
  <si>
    <t>Após o recente corte de 0,5 ponto percentual na taxa Selic, os juros básicos da economia, a expectativa das instituições financeiras consultadas pelo Banco Central (BC) é de uma diminuição ainda maior até o encerramento deste ano. #BancoCentral
https://t.co/8vj8yvtbln https://t.co/8Ia7f4GnfQ</t>
  </si>
  <si>
    <t>O Banco Central recentemente anunciou que os gastos dos estrangeiros em viagens ao Brasil alcançaram a marca de US$ 567 milhões no mês de maio, marcando o valor mais elevado para este mês desde o início da série histórica. #BancoCentral #brasil
https://t.co/PgsLEqhEZo https://t.co/WSXwLLmhxB</t>
  </si>
  <si>
    <t>O Boletim Focus do Banco Central (BC), informou que o Índice Nacional de Preços ao Consumidor Amplo (IPCA), considerado o indicador oficial de inflação do país, foi ajustado, nesta segunda-feira (21), de 4,84% para 4,9%. #BancoCentral #BoletimFocus
https://t.co/wugamR8hOI https://t.co/85OtdXVEjA</t>
  </si>
  <si>
    <t>O presidente do Banco Central, Roberto Campos Neto, reiterou a posição singular do Brasil entre os poucos países que conseguiram manter-se dentro das metas de inflação estabelecidas para os anos vindouros. #BancoCentral #Economia #EconomicNewsBrasil
https://t.co/yX1xFulbBz</t>
  </si>
  <si>
    <t>Após a decisão do Comitê de Política Monetária (Copom) de reduzir a taxa Selic para 13,25% ao ano, instituições financeiras têm adotado uma postura cautelosa em relação à diminuição das taxas de juros para pessoas físicas e empresas. #BancoCentral
https://t.co/vslPwv4An5 https://t.co/b1MgeErNrr</t>
  </si>
  <si>
    <t>Os Investimentos Diretos no País (IDP) atingiram US$ 5,380 bilhões em maio de 2023, conforme divulgado pelo Banco Central nesta segunda-feira (26/06). No mesmo período do ano passado, o montante foi de US$ 3,969 bilhões. #BancoCentral
https://t.co/tEx2iseB6O https://t.co/Wl1mjXHvFT</t>
  </si>
  <si>
    <t>O mais recente Relatório Focus divulgado pelo Banco Central nesta segunda-feira (28) trouxe atualizações nas projeções econômicas para os próximos anos, fornecendo insights valiosos sobre os rumos da economia brasileira. #BancoCentral #BoletimFocus
https://t.co/8fXj9r0fH8 https://t.co/SY0lInOllm</t>
  </si>
  <si>
    <t>Nesta quarta-feira (12), o Banco Central (BC) confirmou que Gabriel Galípolo e Ailton Aquino, os dois novos diretores da instituição, assinaram os termos de posse e assumiram seus mandatos até 28 de fevereiro de 2027. #BancoCentral #CarreiraProfissiona
https://t.co/8zXgEBGASf</t>
  </si>
  <si>
    <t>A média das taxas de juros de concessões de crédito livre subiu 7,4 pontos percentuais ao longo dos últimos 12 meses, atingindo 45,4% ao ano em maio. O Banco Central divulgou esses dados na quarta-feira (28), #BancoCentral #Bancos #créditolivre
https://t.co/YAv6zCebHh https://t.co/nqGjnPGOtG</t>
  </si>
  <si>
    <t>Os principais líderes dos bancos centrais globais reafirmaram a necessidade de uma política monetária mais rígida para controlar a inflação crescente, mas acreditam que isso pode ser alcançado sem desencadear recessões. #apertomonetário #BancoCentral
https://t.co/IoNqQMW4J9 https://t.co/7xxyZRWrB3</t>
  </si>
  <si>
    <t>Na manhã desta segunda-feira (11/09), o Banco Central divulgou o mais recente Boletim Focus, uma análise que apresenta uma perspectiva otimista para a economia brasileira em 2023.#BancoCentral #BoletimFocus #CrescimentoEconômico #Dólar #Economia
https://t.co/EoETVwpfei</t>
  </si>
  <si>
    <t>Em decisão surpreendente, o Banco Central (BC) cortou os juros básicos da economia, a taxa Selic, em 0,5 ponto percentual, para 13,25% ao ano. A medida foi aprovada por 5 votos a 4 pelo Comitê de Política Monetária (Copom). #BancoCentral #Copom
https://t.co/2buuuvZpHN https://t.co/KF9buOcZHn</t>
  </si>
  <si>
    <t>Segundo o Banco Central (BC), os brasileiros sacaram R$ 11,75 bilhões a mais do que depositaram na caderneta de poupança. Essa é a maior retirada líquida para meses de maio desde o início da série histórica, em 1995. #BancoCentral #EconomicNewsBrasil
https://t.co/jtIPckE9Go https://t.co/aqCpXsoUv9</t>
  </si>
  <si>
    <t>Segundo o Relatório de Economia Bancária de 2022, divulgado na terça-feira (06/06) pelo Banco Central, a carteira de crédito do Sistema Financeiro Nacional (SFN) encerrou 2022 com forte crescimento pelo terceiro ano consecutivo. #BancoCentral
https://t.co/BIVnbepdLM https://t.co/sOiveYwdIY</t>
  </si>
  <si>
    <t>O Comitê de Política Monetária (Copom) foi instituido em 20 de junho de 1996, seguindo modelos internacionais como o Federal Open Market Committee (FOMC) dos EUA e o Zentralbankrat da Alemanha.#BancoCentral #Copom #Economia #EconomicNewsBrasil #Inflaçã
https://t.co/wXlW4wjhhD</t>
  </si>
  <si>
    <t>O DREX, a moeda digital brasileira atualmente em fase de testes, está prestes a se tornar uma ferramenta valiosa para simplificar operações comerciais e até mesmo revolucionar a forma como imóveis são adquiridos. #BancoCentral #ComércioExterno #Drex
https://t.co/I51qLc0nM6 https://t.co/uoHVpjrgxr</t>
  </si>
  <si>
    <t>O Banco Central (BC) anunciou o calendário das reuniões do Comitê de Política Monetária (Copom) para o ano de 2024. O colegiado, cuja principal responsabilidade é estabelecer a meta para a taxa básica de juros (Selic) #BancoCentral #brasil #calendario
https://t.co/MNE4QQGYej https://t.co/vVfThM9gog</t>
  </si>
  <si>
    <t>O uso de cheques ainda persiste na era digital, apesar da queda nas transações. Na era do Pix e das maquininhas de cartão, ainda existem pessoas que preferem utilizar o tradicional cheque como forma de pagamento. #BancoCentral #cheque
https://t.co/8dWQEe6bCV https://t.co/MlKQXj6ANc</t>
  </si>
  <si>
    <t>O Banco Central do Brasil revelou as 14 instituições selecionadas para participar do Piloto RD, a fase de testes do Real Digital no país. Bradesco, Itaú, Santander, Nubank e XP são algumas das empresas que compõem a lista. #BancoCentral
https://t.co/np7DQGCUoz https://t.co/ZLk1Hd3et5</t>
  </si>
  <si>
    <t>O Banco Central divulgou que as instituições financeiras e outras autorizadas a operar pelo BC terão que compartilhar dados e informações sobre fraudes no Sistema Financeiro Nacional (SFN) e no Sistema de Pagamentos Brasileiro (SPB). #BancoCentral
https://t.co/WqsE3LMLl5 https://t.co/DPVdtmUVdE</t>
  </si>
  <si>
    <t>O Banco Central informou na quarta-feira (24/05), que o país registrou fluxo cambial positivo de US$ 10,166 bilhões em 2023 até 19 de maio. No mesmo período do ano passado, havia entrada líquida de US$ 9,494 bilhões. #BancoCentral #EconomicNewsBrasil
https://t.co/1a2cFbKz9a https://t.co/nTDcUjMFw8</t>
  </si>
  <si>
    <t>O presidente do Banco Central (BC), Roberto Campos Neto, disse nesta segunda-feira, 22, que as divergências públicas entre a autoridade monetária e o governo federal estão entre os fatores que mantém a alta das expectativas para inflação. #BancoCentral
https://t.co/cc6ektJqbi</t>
  </si>
  <si>
    <t>O Ibovespa, principal índice da Bolsa de Valores de São Paulo, fechou esta sexta-feira (22) com uma leve queda de 0,12%, atingindo 116.008 pontos. Essa queda fecha uma semana marcada pelas decisões monetárias do Federal Reserve (Fed) #BancoCentral
https://t.co/2W5Eon8e0Q https://t.co/W8M47z6W5I</t>
  </si>
  <si>
    <t>Em meio a uma fase de turbulência econômica, a caderneta de poupança, um dos investimentos mais tradicionais do Brasil, enfrenta momentos de desafio. Segundo dados recentes do Banco Central (BC),#BancoCentral #Bancos #Dinheiro #Economia
https://t.co/OkvTpdWNJ3</t>
  </si>
  <si>
    <t>Carlos Eduardo Brandt, chefe da Gerência de Gestão e Operação do Pix, revelou que esse método de pagamento e transferência, desenvolvido pelo Banco Central,  superou o volume de transações dos cartões de débito em apenas dois anos. #BancoCentral #Brasi
https://t.co/xsxrumadZp</t>
  </si>
  <si>
    <t>Na última semana, o cenário financeiro brasileiro vivenciou um marco significativo: pela primeira vez em 12 meses, o Comitê de Política Monetária (Copom)#BancoCentral #Dólar #EconomicNewsBrasil #MercadoFinanceiro #Noticias #selic
https://t.co/hA94YEpdM9 https://t.co/q5661v5KHS</t>
  </si>
  <si>
    <t>O presidente do BC, Roberto Campos Neto, elogiou o governo por manter a meta fiscal. Campos Neto afirmou que essa medida proporciona tranquilidade para a autoridade monetária reduzir a taxa básica de juros no país. #BancoCentral #BC #CamposNeto
https://t.co/0o1Ar8JJDN</t>
  </si>
  <si>
    <t>Após mais de um mês de estabilidade, o Banco Central (BC) deve anunciar hoje, quarta-feira (20), um novo corte na taxa básica de juros, a Selic, de 0,5 ponto percentual. A expectativa virtualmente unânime é de economistas e analistas. #BancoCentral
https://t.co/2W3swGBnra https://t.co/opTVevhUxB</t>
  </si>
  <si>
    <t>O mais recente Boletim Focus divulgado pelo Banco Central na manhã desta segunda-feira (14) trouxe novos dados que apontam para uma estabilidade nas projeções dos analistas de mercado em relação ao cenário econômico do Brasil. #BancoCentral
https://t.co/sgsscLNJVb</t>
  </si>
  <si>
    <t>A dívida bruta dos governos no Brasil variou de R$ 7,352 trilhões em março para R$ 7,457 trilhões em abril, segundo dados do Banco Central (BC). Em relação ao Produto Interno Bruto (PIB), a dívida subiu de 73% para 73,2%. #BancoCentral #dividapública
https://t.co/Y4hW5p3GzP https://t.co/ywQI6j36iK</t>
  </si>
  <si>
    <t>O Banco Central divulgou que o teste de estresse realizado em resposta à crise da varejista Americanas demonstrou um impacto "irrelevante" na solvência do sistema bancário, que continua resiliente, de acordo com a autarquia. #BancoCentral #crise
https://t.co/nyHAP8NnPl https://t.co/mHnYMArFsc</t>
  </si>
  <si>
    <t>Economistas debaten por el sobreajuste y ven riesgos a futuro si tasa rectora sigue alta. En el mercado estiman los escenarios para que el #BancoCentral recorte la tasa de interés de política monetaria (TPM)  
@hegonzalb  @loreps9  @tizquierdosi 
https://t.co/k24s7lRqMB https://t.co/E42n1ZOcF7</t>
  </si>
  <si>
    <t>#IPC de junio sorprende con caída de 0,2% y toma fuerza idea de que el #BancoCentral bajará la tasa en 100 pb
Inflación llega a 7,6% anual, la más baja desde enero de 2022. @INE_Chile @bcentralchile 
https://t.co/yIAOqjoF3F https://t.co/WpsohxNRkS</t>
  </si>
  <si>
    <t>Manuel Marfán, exconsejero y vicepresidente del #BancoCentral: “El ajuste, aunque doloroso, fue necesario. Que este inicie su retirada es una buena noticia para Chile”
https://t.co/KhysjXjOmx https://t.co/oTJCFMqpR3</t>
  </si>
  <si>
    <t>Peso chileno es una de las monedas más depreciadas del mundo 
El #dólar rozó ayer los $870. Nuevos factores se han sumado al “triple efecto depreciativo” por las medidas del #BancoCentral 
https://t.co/ifVaCMprTV https://t.co/1ukBFcDkBV</t>
  </si>
  <si>
    <t>#BancoCentral o los analistas privados: ¿Quién proyecta mejor las cifras de la economía?
Una revisión general muestra que las proyecciones de la entidad monetaria tienen distintos grados de precisión. Especialistas contextualizan los resultados.
https://t.co/QPDqn1WmfL https://t.co/fdCxPgT60U</t>
  </si>
  <si>
    <t>Las decisiones del #BancoCentral que provocaron un “triple efecto” depreciativo sobre el #peso chileno
#Dólar cerró ayer rozando los $850. Compra de dólares, no renovación de forwards y anuncio de tasas del viernes del emisor tienen efecto cambiario. 
https://t.co/htNKNV4uAD https://t.co/UXBevuDHWz</t>
  </si>
  <si>
    <t>Por norma del Banco Central los usuarios de Mercado Pago tendrán inconvenientes para ingresar dinero #Economía #bancocentral #bcra #Featured #mercadopago  https://t.co/756ELxpe0E https://t.co/Kl4jyPYYFZ</t>
  </si>
  <si>
    <t>@zunilda091 @Carlos67360447 @PamJiles @alinco_rene @KarimBianchi @GobiernodeChile @GiorgioJackson @GabrielBoric @AGUSTINTHEPOWER @JuanAngelDelRo2 @Paxiano @retiro100x100 @Constan08334217 Oie...anda enterándote!Los mandriles de la moneda se robaron #LaReservaNacionalDeEmergencia del #BancoCentral El bancoEstado en cualquier minuto cerrará las cuentas de los🇨🇱q tengan$ allí Perderán todo lo q tienenDéjate de transmitir con los #Retiros xq ese $ ya se lo farrearon</t>
  </si>
  <si>
    <t>#ElPaís | #GLP vuelve a bajar; Gobierno anuncia se venderá 2 pesos menos
#Telenoticias #Telesistema11 #Bajas #BancoCentral #Combustibles
https://t.co/cui57iqI4B</t>
  </si>
  <si>
    <t>#Economía | Banco Central explica el uso dado a los RD$58,741 millones
#Telenoticias #Telesistema11 #74 #BancoCentral #RD58
https://t.co/nM2AekAQXq</t>
  </si>
  <si>
    <t>#Deportes | Banco Central inaugura sus XXVI Juegos Interdepartamentales, dedicados a Audrys Nin Reyes
#Telenoticias #Telesistema11 #AudrysNinReyes #BancoCentral #JuegosInterdepartamentales
https://t.co/S5iIZ1xVNT</t>
  </si>
  <si>
    <t>Após o Governo #Lula , indicar o novo Presidente do #BancoCentral a pressão será brutal sobre a nova Direção .
Talvez o nosso Brasil , não resista junto a #EconomiaMundial .
Por conta das ideias economias , desastrosas desse Governo que aí está .</t>
  </si>
  <si>
    <t>A atividade econômica brasileira teve elevação em julho deste ano, de acordo com informações divulgadas nesta terça-feira, 19, pelo Banco Central (BC).
#OPoder #compartilhe #atividadeeconomica #bancocentral #bc #brasil #br 
https://t.co/hlMx9UZzFv</t>
  </si>
  <si>
    <t>@GloboNews @miriamleitao Ha muito tempo o #BancoCentral demostra tendencia ideológica. Erra Campos Neto ao manter a taxa nesse patamar.</t>
  </si>
  <si>
    <t>Campos Neto reforça que juros ainda não vão baixar. E a responsabilidade não é do Banco Central, criticado por Lula e seus asseclas, mas enaltecido pelo FMI. Quem será que entende mais de economia? #lula #haddad #gleisihoffmann #fmi #camposneto #bancocentral  #economiabrasileira</t>
  </si>
  <si>
    <t>Sobre o FMI elogiar a atual política do Banco Central, na contramão de Lula: ai do Brasil, não fosse o Banco Central independente, para segurar a inflação!
#lula #economia #economiabrasileira #bancocentral #jurosaltos #inflação #fmi</t>
  </si>
  <si>
    <t>El #BancoCentral de la #Argentina 🇦🇷 ha resuelto que las #FinTech o proveedores de servicios de pago que ofrecen cuentas de pago (PSPCP) no podrán realizar ni facilitar a sus clientes operaciones con activos digitales❌ https://t.co/6X8jClmi5i</t>
  </si>
  <si>
    <t>El #BancoCentral de Reserva de #ElSalvador 🇸🇻 ha registrado al menos 97 proveedores de servicios de #Bitcoin que pueden operar en el país centroamericano🙌
Según la Ley Bitcoin, este registro debe incluir a custodios, casas de cambio, procesadores de pagos y billeteras digitales https://t.co/wm0IUOPVAp</t>
  </si>
  <si>
    <t>El #BancoCentral de la República #Argentina al #yuan renminbi como moneda admitida para la captación de depósitos en las cajas de ahorros y cuentas corrientes
Las entidades financieras estarán autorizadas para proceder con la apertura de cuentas bancarias nominadas en yuanes https://t.co/cdOzlhq6DO</t>
  </si>
  <si>
    <t>RT @sf2invest: Gostei do comunicado
https://t.co/EbYz7TPhQH #BancoCentral #BCB via @BancoCentralBR</t>
  </si>
  <si>
    <t>Manda o presidente do banco central embora #BancoCentral  @LulaOficial @BancoCentralBR</t>
  </si>
  <si>
    <t>#EconomiayFinanzas Banco Popular recibe certificación como Entidad Libre de Efectivo
@BancoPopularCR 
#BancoPopular #BancoCentral #BCCR #ProgramaL #noticiasperiodicomensaje #periodicomensajeguanacaste #EconomiayFinanzasperiodicomensaje https://t.co/peliuud9Hx</t>
  </si>
  <si>
    <t>Entendemos que passou da hora de o BC mudar sua política e essa mudança tem que ser imediata.
#taxadejuros #selic #deflacao #inflacao #economia #industria #bancocentral</t>
  </si>
  <si>
    <t>🇧🇴 Dollar shortages💵 continue in Bolivia 
@brissapabon 
#Dollars #Bolivia #BCB #BancoCentral #Economy #YPFB #Debt #Funds #Corralito #Banks  #bolivia #mostshared https://t.co/k4DL2Ox69c</t>
  </si>
  <si>
    <t>🚨💰 Banco Central pode acabar com parcelado sem juros! 😨
#economia
#macroeconomia
#bancocentral
#juros
https://t.co/bVzkL1CObg</t>
  </si>
  <si>
    <t>🏦 El #BancoCentral cerró la semana con otra fuerte venta de dólares
📉 La autoridad monetaria alcanzó las cinco semanas consecutivas con saldo negativo. En el mercado paralelo, el dólar blue cotizó a $491.
https://t.co/49gFt98GFt</t>
  </si>
  <si>
    <t>📈💸 Efecto Paso: el #BancoCentral devalúa el #dólar oficial y lleva la cotización a $350
👉 La medida, que implica un avance del 22% con respecto al cierre del viernes, fue informada antes del inicio de operaciones de la jornada.
🌐 https://t.co/9kY4xuTR9o</t>
  </si>
  <si>
    <t>💵 Subió el #DolarBlue y el #BancoCentral volvió a vender divisas
💹 La divisa paralela subió dos pesos y cerró a $495 para la venta y $490 para la compra.
https://t.co/mMm4b5OULn</t>
  </si>
  <si>
    <t>Renúncia #BancoCentral #JurosBaixosJá https://t.co/91C8fagTnK</t>
  </si>
  <si>
    <t>Chega de juros altos, o Brasil quer crescer. Tá na hora de cair os juros, Campos Neto! #jurosbaixosjá
 #bancocentral #COPOM https://t.co/qC0SJkCtAQ</t>
  </si>
  <si>
    <t>Falsa independência do #BancoCentral é a 'Perudização' do Brasil, herança do golpe de 2016 https://t.co/E5mBvAukhv via @CartaCampinas</t>
  </si>
  <si>
    <t>Vídeo: 'se usar a #cooperativadecrédito, população pode baixar os #juros do #BancoCentral', diz economista https://t.co/rWJVW23SYn via @CartaCampinas</t>
  </si>
  <si>
    <t>#CamposNeto defende 'reinado absolutista' no #BancoCentral em ataque à Democracia https://t.co/mIqQOKJ4vF via @CartaCampinas</t>
  </si>
  <si>
    <t>BCRD refleja aumento de un 2.9% en remesas a inicio de año
https://t.co/afIg15iioJ
#BancoCentral
#Remesas
#Noticentro13rd https://t.co/pAyYowrvLp</t>
  </si>
  <si>
    <t>#bancocentral #camposneto #bc #dinheiro https://t.co/ZFCso1i4kx</t>
  </si>
  <si>
    <t>Países que actualmente no tienen #BancoCentral
Andorra 🇦🇩 (79,000 hab)
Estados Federados de Micronesia 🇫🇲 (113,000 hab)
Islas Marshall 🇲🇭 (42,000 hab)
Isla de Man 🇦🇨 (84,000 hab)
Mónaco 🇲🇨 (37,000 hab)
Nauru 🇳🇷 (12,000 hab)
Tuvalu 🇹🇻 (11,000 hab)
Total de habitantes: 378,000 https://t.co/YXA5EsD8kL</t>
  </si>
  <si>
    <t>El #BancoCentral de Cuba aprobó la formación de un banco corporativo en #LaHabana que funcionará con capital español, reportó el sitio oficial Cubadebate.
https://t.co/ri4WhcX5BL</t>
  </si>
  <si>
    <t>Famigerada "clareza hialina".
detalhenoticia https://t.co/9ivg37zVnS #BancoCentral #BCB via @BancoCentralBR</t>
  </si>
  <si>
    <t>🔑#DFFull | Rosanna Costa, presidenta del Banco Central: “Esta alza reciente (del dólar) ha ido más allá de lo contemplado en las proyecciones del IPoM”
https://t.co/oAvsN3xO1Q https://t.co/LgYPM5H048</t>
  </si>
  <si>
    <t>@DFinanciero Un desastre…
@mariomarcelc 
#BancoCentral</t>
  </si>
  <si>
    <t>Copom reduz juros básicos da economia para 13,25% ao ano
https://t.co/98aElFRVvo #BancoCentral #Copom #JurosBásicos https://t.co/y5CdJeIWvr</t>
  </si>
  <si>
    <t>#SantiagoPeña #BancoCentral #Dólar | Las casas de cambio de Asunción ya alertaron al Banco Central que están sufriendo una demanda inusual de dólares por parte de argentinos.
[Nota: https://t.co/GsdoEmxSm3 ] https://t.co/OzQbbPH1La</t>
  </si>
  <si>
    <t>#SantiagoPeña #BancoCentral #Dólar | Las casas de cambio de Asunción ya alertaron al Banco Central que están sufriendo una demanda inusual de dólares por parte de argentinos.
[Nota: https://t.co/GsdoEmxSm3 ] https://t.co/Y9tcXnLayL</t>
  </si>
  <si>
    <t>La Nueva Encuesta de Determinantes y Expectativas de Precios @bcentralchile 
https://t.co/SPwilz3hPy #BancoCentral</t>
  </si>
  <si>
    <t>Fuente: CNBC 
#Fed #Inflación #BancoCentral #ReservaFederal</t>
  </si>
  <si>
    <t>No primeiro trimestre de 2022 a agropecuária foi responsável pelo crescimento de 1,9%.
#agro2 #pib #crescimento #economia #agronegócio #bancocentral
https://t.co/zmbJVQSJQl</t>
  </si>
  <si>
    <t>Última queda de juros aconteceu em agosto de 2020; de lá para cá, taxa foi elevada 12 vezes seguidas
#agro2 #economia #taxaselic #bancocentral #juros
https://t.co/uREfNO2Pvq</t>
  </si>
  <si>
    <t>BC fará consultas públicas para regular mercado de criptoativos https://t.co/OLetFjJYMs O objetivo é limitar riscos de sistemas virtuais sem administração centralizada e tentará não impedir o surgimento de novidades no setor# #criptoativos #regulamentação #BancoCentral</t>
  </si>
  <si>
    <t>#Milei2023 #MileiPresidente #zurdos #milei #bancocentral https://t.co/KyOYPriCLg</t>
  </si>
  <si>
    <t>https://t.co/tN9QfWYDKc
#economia #bancocentral</t>
  </si>
  <si>
    <t>Espectacular Casa ubicada el Los palos grandes. Disponible.
https://t.co/k9AbWQitnL
#caracas #venezuela #catalogo #bancocentral #lospalosgrandes #casa #hogar #família</t>
  </si>
  <si>
    <t>#EGUOH2023-1 #Chile #UOH #MoneyTalks #BancoCentral #SantigoNoEsChile https://t.co/vUkxkzyiMG</t>
  </si>
  <si>
    <t>🚨BANCO CENTRAL 
➡Mercado financeiro reduz para 6,02% previsão de inflação em 2023
#rdctvdigital #bancocentral #noticias 
confira a matéria completa no site⬇
https://t.co/6eoI9iUn16</t>
  </si>
  <si>
    <t>PIX NO TRANSPORTE PÚBLICO: A FACILIDADE QUE O POVO PRECISA
https://t.co/17gIrKExiK
#TransporteColetivo #PIX #Brasil #Goiás #BancoCentral https://t.co/odrQNiZ6Sh</t>
  </si>
  <si>
    <t>https://t.co/22s9VGJ32b
#economia #goias #recordes #bancocentral #crescimento #jornalsomos https://t.co/l1aisopO46</t>
  </si>
  <si>
    <t>#Inflación
El #BancoCentral ya tiene en su poder el nuevo billete de $2.000: conmemora el desarrollo de la #medicina en el país con el rostro de la Dra. Cecilia Grierson y al Dr. Ramón Carrillo. Se pondrían a circularción hacia finales del mes. https://t.co/jyLZEmg4Ly</t>
  </si>
  <si>
    <t>#Inflacion
El billete de $2.000 comienza a circular desde hoy. La semana pasada, el #BancoCentral (#BCRA) estuvo realizando la prueba en cajeros que cuentan con los nuevos billetes. https://t.co/OkY6MCmypc</t>
  </si>
  <si>
    <t>#Política 
En una extensa gira mediática, el candidato #JavierMilei aclaró que la eliminación del #BancoCentral requiere una "transición" y sostuvo que seguirá funcionando "para la regulación de las entidades financieras. Es una figura, una metáfora lo de "que no exista más". https://t.co/kSzEHE8Xx6</t>
  </si>
  <si>
    <t>Emilio Ocampo, otro mentiroso al que le creí igual que a Milei, será el encargado de administrar el Banco Central que ahora dicen que no van a cerrar.
Nos mintieron durante 3 años, lo apoyamos en la campaña de 2021, pero se cayó el relato de #PinochoMilei.
Ocampo es el mismo… https://t.co/MVoaMDStk9</t>
  </si>
  <si>
    <t>Novo capítulo na história da taxa Selic! O Banco Central mantém a taxa em 13,75%, mesmo sob pressão. Uma decisão que levanta questionamentos sobre os rumos da economia. Vamos acompanhar atentamente os desdobramentos dessa medida. 💼🔽 #BancoCentral</t>
  </si>
  <si>
    <t>Agora, só falta o #BancoCentral acordar para a necessidade de reduzir os juros, e Bolsonaro ser declarado inelegível e enviado à prisão, junto com todos os que perpetraram crimes contra o povo brasileiro e a democracia. Estamos no rumo certo.</t>
  </si>
  <si>
    <t>Focus reduz as expectativas para inflação e dólar para o final de 2023 
#focus #economia #bancocentral #inflação #dolar 
https://t.co/TYPXNry7ZS</t>
  </si>
  <si>
    <t>BC melhora previsão de crescimento da economia para 2% em 2023 https://t.co/0yvsdllbYz 
#economia #bancocentral #pib #inflação</t>
  </si>
  <si>
    <t>Haddad diz que falta Banco Central se somar ao "esforço" para reduzir os juros
#Haddad #Selic #BancoCentral
https://t.co/1nLiUyYRFF</t>
  </si>
  <si>
    <t>Confira quais foram os destaques da Ata do Copom https://t.co/xSs2h8WUue 
#AtadoCopom #Inflação #Brasil #ExpectativasDesancoradas #Selic #BancoCentral</t>
  </si>
  <si>
    <t>Ata do Copom, queda das importações da China e fala de membros do FED https://t.co/EzWXijkJiB 
#Copom #AtadoCopom #BancoCentral #BC #China #FederalReserve</t>
  </si>
  <si>
    <t>ECONOMIA | TCU vai apurar declaração de Campos Neto sobre terceirizar gestão de ativos do BC #TCU #CamposNeto #BancoCentral
https://t.co/tVLXHK14Ap</t>
  </si>
  <si>
    <t>ECONOMIA | Pacheco diz que Campos Neto deve comparecer ao Senado em agosto -- #Pacheco #CamposNeto #BancoCentral 
https://t.co/1qpR1YEh3s</t>
  </si>
  <si>
    <t>Haddad disse que não se discute mais quando será o corte de juros pelo Banco Central, e sim qual será sua magnitude, afirmando haver espaço para uma redução da Selic superior a 0,25 ponto percentual.
Você concorda com ele?
#Haddad #Selic #TaxadeJuros #BancoCentral #Bacem #Copom…</t>
  </si>
  <si>
    <t>BC tem espaço para cortar Selic em mais de 0,25 p.p., diz Haddad https://t.co/6ONwsEdUKi 
#bancocentral #empresas #selic #economia #política</t>
  </si>
  <si>
    <t>Arcabouço e contaminação política do BC foram discutidos no Copom 
#economia #copom #bancocentral #empresas 
https://t.co/e0VEUh4wgQ</t>
  </si>
  <si>
    <t>🚨 Senado aprova Gabriel Galípolo para diretoria do Banco Central; saiba mais -- #Galípolo #SenadoFederal #BancoCentral 
https://t.co/0SkObpzSoB</t>
  </si>
  <si>
    <t>🚨 Comissão do Senado aprova Galípolo e Aquino para diretoria do BC -- #Senado #Galípolo #BancoCentral
https://t.co/WblB7Y6MzB</t>
  </si>
  <si>
    <t>Governo gerara perspectiva de flexibilização monetária, diz Galípolo https://t.co/2KnbqfUpvm 
#política #galípilo #bancocentral</t>
  </si>
  <si>
    <t>Copom: Para onde vai a taxa Selic nesta quarta-feira? https://t.co/YJdZtGtINu 
#copom #Selic #economia #bancoCentral</t>
  </si>
  <si>
    <t>Meta de inflação seguir ano fiscal é ineficiente, diz Campos Neto https://t.co/CHd7cAhXJP 
#camposneto #economia #bancocentral #rcn</t>
  </si>
  <si>
    <t>Focus reduz projeção de IPCA pela segunda semana seguida https://t.co/8Y0FVR1yiy 
#Focus #BC #BancoCentral #IPCA #PIB</t>
  </si>
  <si>
    <t>EMPRESAS | Banco Master investe R$30 milhões e reduz reclamações no BC #BancoMaster #BancoCentral 
https://t.co/TG0XxD8aRF</t>
  </si>
  <si>
    <t>Genoa Capital prevê corte de 0,50 ponto percentual na Selic em agosto -- #Selic #Juros #BancoCentral
https://t.co/rOg7u3KTd1</t>
  </si>
  <si>
    <t>Alckmin critica BC e diz que Selic elevada prejudica responsabilidade fiscal
https://t.co/cKcJUcgYcA
#BancoCentral #BC #Selic #TaxaSelic #ResponsabilidadeFiscal https://t.co/DpLONVqmqi</t>
  </si>
  <si>
    <t>Super Quarta: O que esperar das decisões do Fomc e do Copom? https://t.co/lPwKCLFrVQ 
#federalreserve #economia #bancocentral #camposneto</t>
  </si>
  <si>
    <t>ECONOMIA | Diretora do Banco Central admite que é "bastante difícil" intensificar queda da Selic #Selic #BancoCentral
https://t.co/3gWeFH8NWD</t>
  </si>
  <si>
    <t>Diretor do BC detalha divisão no Copom sobre corte da Selic 
#economia #bancocentral #economia #copom #política 
https://t.co/DoOBatRbBU</t>
  </si>
  <si>
    <t>BC tem espaço considerável para reduzir juros, diz Haddad 
#haddad #bancocentral #economia #empresas 
https://t.co/yKVjmdnS15</t>
  </si>
  <si>
    <t>Bancos centrais iniciam mudanças na política monetária
#economia #bancocentral #política #fed #bce 
 https://t.co/ciusqiPXGT</t>
  </si>
  <si>
    <t>PRÉVIA DO COPOM | Mercado espera manutenção da Selic em 13,75% e indicação de corte no 2º semestre
#Copom #Selic #BancoCentral
https://t.co/2tZ3ynBWax</t>
  </si>
  <si>
    <t>Focus eleva projeção do PIB e reduz expectativa de inflação https://t.co/VGuX14UNmu 
#bancocentral #economia #focus #inflação</t>
  </si>
  <si>
    <t>BC: Conta corrente tem déficit de US$3,6 bilhões em julho
#bancocentral #economia #empresas 
https://t.co/bbUdCtUDi1</t>
  </si>
  <si>
    <t>ECONOMIA | Sem força do agro, IBC-Br expõe “alerta vermelho” para economia nacional -- #IBCBr #BancoCentral #PréviaDoPib 
https://t.co/vLOBRJSJF5</t>
  </si>
  <si>
    <t>https://t.co/GtFSJmWkPK 
#BancoCentral #Selic #TaxadeJuros #PolíticaMonetária #Brasil</t>
  </si>
  <si>
    <t>ECONOMIA | Surpresa altista do PIB deve influenciar hiato da atividade econômica, diz diretora do BC #BancoCentral #PIBdoBrasil #AtividadeEconômica
https://t.co/KRhzQoggzK</t>
  </si>
  <si>
    <t>ECONOMIA | Reformas econômicas podem explicar surpresas positivas no PIB brasileiro, diz Campos Neto #CamposNeto #BancoCentral #PIBBrasil 
https://t.co/zjcu9H7QFg</t>
  </si>
  <si>
    <t>BC tem espaço para cortar juros mantendo condições restritivas 
#bancocentral #economia #política 
https://t.co/N8ifvdvkLw</t>
  </si>
  <si>
    <t>Prévia do PIB (IBC-BR) sobe 0,63% em junho, diz Banco Central 
#bancocentral #ibcbr #economia 
https://t.co/p6BWoJ3uHs</t>
  </si>
  <si>
    <t>BofA vê Selic a 11,75% no fim de 2023 e em 9,50% em 2024 
#economia #selic #bancocentral #bofa
https://t.co/lL3IV1FROF</t>
  </si>
  <si>
    <t>Prévia do PIB tem alta de 0,44% em julho, diz Banco Central
#pib #economia #bancocentral #economia 
 https://t.co/1KVCREbaUj</t>
  </si>
  <si>
    <t>ECONOMIA | Galípolo será "ponte muito importante" entre Fazenda e BC, diz Haddad -- #Galípolo #Haddad #Fazenda #BancoCentral
https://t.co/zDJK4xVnlz</t>
  </si>
  <si>
    <t>ECONOMIA | Não existe e jamais existirá censura à livre manifestação de diretores, diz Banco Central -- #BancoCentral #CamposNeto #Galípolo 
https://t.co/lq4qFvcoOi</t>
  </si>
  <si>
    <t>POLÍTICA | Secretário de Política Econômica diz que não há "razão técnica" para atual patamar da Selic -- #Selic #BancoCentral #MinistérioDaFazenda 
https://t.co/5GMg3m8NTt</t>
  </si>
  <si>
    <t>Ata do Copom mostra que "harmonização" da política monetária pode acontecer em breve, diz Haddad
#Haddad #AtaDoCopom #BancoCentral
https://t.co/aGpb5O9AUd</t>
  </si>
  <si>
    <t>Juros futuros têm tido queda relevante, diz Campos Neto; movimento abre espaço para queda da taxa Selic
#CamposNeto #BancoCentral #Selic
https://t.co/2J8ATKDpjv</t>
  </si>
  <si>
    <t>Haddad anuncia Galípolo para a diretoria do Banco Central https://t.co/oilf5uXrto 
#haddad #bancocentral #galípolo</t>
  </si>
  <si>
    <t>Você já viu uma nota de R$200,00? 
Queremos saber por que que foi criada essa nota. 
Quem paga essa conta é o povo brasileiro. Lamentável. 
#Notade200 #BancoCentral #Bacen #Hauly #DeputadoHauly https://t.co/2MjDPNvETL</t>
  </si>
  <si>
    <t>Las aplicaciones móviles de los bancos deberán incorporar desde hoy la posibilidad de cargar cuentas de otras entidades y de billeteras digitales, de manera que los clientes puedan operar tomando dinero sin tener que hacerlo con otra app.
#BancoCentral 
https://t.co/nWqDGQqkYQ</t>
  </si>
  <si>
    <t>#Economia
El dólar oficial subió un 21,8 por ciento.
#dolar #dolarhoy #octubre #bancocentral https://t.co/uPXvlAp4Bi</t>
  </si>
  <si>
    <t>O presidente do Banco Central, Roberto Campos Neto, será ouvido novamente pela Comissão de Assuntos Econômicos https://t.co/TLcXNTd14X https://t.co/EVOnNcZkUa</t>
  </si>
  <si>
    <t>De fato, são necessários alguns esclarecimentos, especialmente os relacionados aos juros cobrados no rotativo do cartão de crédito e no cheque especial. Esses são absurdamente inexplicáveis.
#BC
#BANCOCENTRAL
#juros
#SenadoFederal
#CAE</t>
  </si>
  <si>
    <t>Do clamor das ruas direto para o Plenário do @senadofederal, sem economês e sem as sofisticadas palavras técnicas e numéricas. 
#economia  #bancocentral  #credito  #cartaodecredito  #juros https://t.co/WjUjB9YJE4</t>
  </si>
  <si>
    <t>Também tenho essa expectativa, ministro @Haddad_Fernando! Hoje é um dia decisivo. 
https://t.co/YSQzYxqTDl
#juros  #economia  #BancoCentral  #BC  #Copom</t>
  </si>
  <si>
    <t>¿Quién necesita un #findesemana de #descanso cuando puedes soñar con el Banco Central subiendo tasas de interés y también soñar con presupuestos la misma semana que empiezan las #universidades? 😅📈
#viernes #BancoCentral #TAE #TIN #Economia</t>
  </si>
  <si>
    <t>Indicadores Económicos diarios correspondiente al 02 de agosto 2023 by @bcentralchile
Lee más aquí: https://t.co/BVxZGChPJ3  
#UF #dólar #euro #pymes #bancocentral https://t.co/fyLYFNhpss</t>
  </si>
  <si>
    <t>Indicadores Económicos diarios correspondiente al 07 de julio 2023 by @bcentralchile
Lee más aquí: https://t.co/Xuu3Zc7yOz  
#UF #dólar #euro #pymes #bancocentral https://t.co/zbYMKl6rXR</t>
  </si>
  <si>
    <t>Indicadores Económicos diarios correspondiente al 06 de julio 2023 by @bcentralchile
Lee más aquí: https://t.co/uCDe2f3TQh 
#UF #dólar #euro #pymes #bancocentral https://t.co/0zANjJJ0bC</t>
  </si>
  <si>
    <t>#Nubox | Indicadores Económicos diarios correspondiente al 22 de junio de 2023 by @bcentralchile .
Lee más aquí: https://t.co/JKf9uQQwg3 
#UF #dólar #euro #pymes #bancocentral https://t.co/2cf8OTjpq9</t>
  </si>
  <si>
    <t>#Nubox | Indicadores Económicos diarios correspondiente al 07 de junio de 2023 by @bcentralchile .
Lee más aquí: https://t.co/JKf9uQQwg3 
#UF #dólar #euro #pymes #bancocentral https://t.co/eme3uodtOy</t>
  </si>
  <si>
    <t>#Nubox | Indicadores Económicos diarios correspondiente al 05 de junio de 2023 by @bcentralchile .
Lee más aquí: https://t.co/JKf9uQQwg3 
#UF #dólar #euro #pymes #bancocentral https://t.co/sD4am55sqs</t>
  </si>
  <si>
    <t>#Nubox | Indicadores Económicos diarios correspondiente al 03 de mayo de 2023
by @bcentralchile
Lee más aquí: https://t.co/EcfpGYwESg 
#UF #dólar #euro #pymes #bancocentral https://t.co/HB2VJX1KFU</t>
  </si>
  <si>
    <t>Indicadores Económicos diarios correspondiente al 04 agosto 2023 by Banco Central.
Lee más aquí: https://t.co/nWO41iRVuN  
#UF #dólar #euro #pymes #bancocentral https://t.co/iFBtb3Chz1</t>
  </si>
  <si>
    <t>Indicadores Económicos diarios correspondiente al 20 de julio 2023 by Banco Central.
Lee más aquí: https://t.co/nWO41iStkl  
#UF #dólar #euro #pymes #bancocentral https://t.co/0aVsxzUuFu</t>
  </si>
  <si>
    <t>Indicadores Económicos diarios correspondiente al 19 de julio 2023 by @bcentralchile
Lee más aquí: https://t.co/Xtf8KS2qeJ  
#UF #dólar #euro #pymes #bancocentral https://t.co/2sBRyQvTY7</t>
  </si>
  <si>
    <t>#Nubox | Indicadores Económicos diarios correspondiente al 13 de junio de 2023 by @bcentralchile
Lee más aquí: https://t.co/FrtreTpFE4 
#UF #dólar #euro #pymes #bancocentral https://t.co/lJdED1xfni</t>
  </si>
  <si>
    <t>#Nubox | Indicadores Económicos diarios correspondiente al 08 de mayo de 2023 by @bcentralchile
Lee más aquí: https://t.co/mr8qPTEAsq 
#UF #dólar #euro #pymes #bancocentral https://t.co/Yd3yCRgNJi</t>
  </si>
  <si>
    <t>#Nubox | Indicadores Económicos diarios correspondiente al 02 de junio de 2023 by @bcentralchile .
Lee más aquí: https://t.co/JKf9uQQwg3 
#UF #dólar #euro #pymes #bancocentral https://t.co/meWm4WQWpL</t>
  </si>
  <si>
    <t>Indicadores Económicos diarios correspondiente al 23 agosto 2023 by Banco Central.
Lee más aquí: https://t.co/nWO41iRVuN  
#UF #dólar #euro #pymes #bancocentral https://t.co/qQRpvvzKli</t>
  </si>
  <si>
    <t>Indicadores Económicos diarios correspondiente al 07 agosto 2023 by Banco Central.
Lee más aquí: https://t.co/nWO41iRVuN  
#UF #dólar #euro #pymes #bancocentral https://t.co/skQYkiTFdh</t>
  </si>
  <si>
    <t>Indicadores Económicos diarios correspondiente al 25 de julio 2023 by Banco Central.
Lee más aquí: https://t.co/nWO41iRVuN  
#UF #dólar #euro #pymes #bancocentral https://t.co/SCpDpGFHTU</t>
  </si>
  <si>
    <t>Indicadores Económicos diarios correspondiente al 24 de julio 2023 by Banco Central.
Lee más aquí: https://t.co/nWO41iRVuN  
#UF #dólar #euro #pymes #bancocentral https://t.co/8cP6cN4yjy</t>
  </si>
  <si>
    <t>Indicadores Económicos diarios correspondiente al 21 de julio 2023 by Banco Central.
Lee más aquí: https://t.co/nWO41iRVuN  
#UF #dólar #euro #pymes #bancocentral https://t.co/dSGcOsSwZy</t>
  </si>
  <si>
    <t>#Nubox | Indicadores Económicos diarios correspondiente al 28 de junio de 2023 by @bcentralchile .
Lee más aquí: https://t.co/JKf9uQQwg3 
#UF #dólar #euro #pymes #bancocentral https://t.co/kMIvPWW8pZ</t>
  </si>
  <si>
    <t>#Nubox | Indicadores Económicos diarios correspondiente al 27 de junio de 2023 by @bcentralchile .
Lee más aquí: https://t.co/JKf9uQQwg3 
#UF #dólar #euro #pymes #bancocentral https://t.co/KNd983eivv</t>
  </si>
  <si>
    <t>#Nubox | Indicadores Económicos diarios correspondiente al 14 de junio de 2023 by @bcentralchile
Lee más aquí: https://t.co/RhNCq5JhNZ 
#UF #dólar #euro #pymes #bancocentral https://t.co/98arEu0jdR</t>
  </si>
  <si>
    <t>#Nubox | Indicadores Económicos diarios correspondiente al 12 de mayo de 2023 by @bcentralchile .
Lee más aquí: https://t.co/JKf9uQQwg3 
#UF #dólar #euro #pymes #bancocentral https://t.co/kgvGZr6bnM</t>
  </si>
  <si>
    <t>#Nubox | Indicadores Económicos diarios correspondiente al 11 de mayo de 2023 by @bcentralchile
Lee más aquí: https://t.co/Mrd3HlsMYJ 
#UF #dólar #euro #pymes #bancocentral https://t.co/z3AULqdsDM</t>
  </si>
  <si>
    <t>#Nubox | Indicadores Económicos diarios correspondiente al 10 de mayo de 2023 by @bcentralchile
Lee más aquí: https://t.co/JKf9uQQwg3 
#UF #dólar #euro #pymes #bancocentral https://t.co/w0taFfctQk</t>
  </si>
  <si>
    <t>#Nubox | Indicadores Económicos diarios correspondiente al 09 de mayo de 2023 by @bcentralchile
Lee más aquí: https://t.co/sufAZGsJsO 
#UF #dólar #euro #pymes #bancocentral https://t.co/oifCeEwPMP</t>
  </si>
  <si>
    <t>Indicadores Económicos diarios correspondiente al 24 agosto 2023 by Banco Central.
Lee más aquí: https://t.co/nWO41iStkl  
#UF #dólar #euro #pymes #bancocentral https://t.co/R8GXNYT4Dl</t>
  </si>
  <si>
    <t>Indicadores Económicos diarios correspondiente al 26 de julio 2023 by Banco Central.
Lee más aquí: https://t.co/nWO41iRVuN  
#UF #dólar #euro #pymes #bancocentral https://t.co/H9nmVi3FcD</t>
  </si>
  <si>
    <t>Indicadores Económicos diarios correspondiente al 14 de julio 2023 by @bcentralchile
Lee más aquí: https://t.co/TcpTITcABt  
#UF #dólar #euro #pymes #bancocentral https://t.co/skWUPwDl3K</t>
  </si>
  <si>
    <t>Indicadores Económicos diarios correspondiente al 13 de julio 2023 by @bcentralchile
Lee más aquí: https://t.co/XU68Dw2gMj  
#UF #dólar #euro #pymes #bancocentral https://t.co/QgaIPeC5MZ</t>
  </si>
  <si>
    <t>Indicadores Económicos diarios correspondiente al 12 de julio 2023 by @bcentralchile
Lee más aquí: https://t.co/FYSGCSw6Cu  
#UF #dólar #euro #pymes #bancocentral https://t.co/WtwEFzAIS6</t>
  </si>
  <si>
    <t>#Nubox | Indicadores Económicos diarios correspondiente al 30 de junio de 2023 by @bcentralchile .
Lee más aquí: https://t.co/JKf9uQR45B 
#UF #dólar #euro #pymes #bancocentral https://t.co/nqZb96R7wi</t>
  </si>
  <si>
    <t>#Nubox | Indicadores Económicos diarios correspondiente al 29 de junio de 2023 by @bcentralchile .
Lee más aquí: https://t.co/JKf9uQQwg3 
#UF #dólar #euro #pymes #bancocentral https://t.co/k8AYqEI7rF</t>
  </si>
  <si>
    <t>#Nubox | Indicadores Económicos diarios correspondiente al 16 de junio de 2023 by @bcentralchile .
Lee más aquí: https://t.co/JKf9uQQwg3 
#UF #dólar #euro #pymes #bancocentral https://t.co/D8wmAWsQno</t>
  </si>
  <si>
    <t>#Nubox | Indicadores Económicos diarios correspondiente al 15 de junio de 2023 by @bcentralchile .
Lee más aquí: https://t.co/JKf9uQR45B 
#UF #dólar #euro #pymes #bancocentral https://t.co/7zzFdnaQRE</t>
  </si>
  <si>
    <t>#Nubox | Indicadores Económicos diarios correspondiente al 22 de mayo de 2023 by @bcentralchile .
Lee más aquí: https://t.co/JKf9uQQwg3 
#UF #dólar #euro #pymes #bancocentral https://t.co/owK0ndWmLC</t>
  </si>
  <si>
    <t>Indicadores Económicos diarios correspondiente al 22 de septiembre 2023 by Banco Central.
Lee más aquí: https://t.co/nWO41iRVuN  
#UF #dólar #euro #pymes #bancocentral https://t.co/K9xOUU3ZHW</t>
  </si>
  <si>
    <t>Indicadores Económicos diarios correspondiente al 17 de julio 2023 by @bcentralchile
Lee más aquí: https://t.co/Uv3DgIcWkr  
#UF #dólar #euro #pymes #bancocentral https://t.co/6BTNRaeU7v</t>
  </si>
  <si>
    <t>#Nubox | Indicadores Económicos diarios correspondiente al 23 de junio de 2023 by @bcentralchile .
Lee más aquí: https://t.co/JKf9uQQwg3 
#UF #dólar #euro #pymes #bancocentral https://t.co/iZ1azgcUPA</t>
  </si>
  <si>
    <t>#Nubox | Indicadores Económicos diarios correspondiente al 12 de junio de 2023 by @bcentralchile
Lee más aquí: https://t.co/6CC5SZUO78 
#UF #dólar #euro #pymes #bancocentral https://t.co/HsHwGLo2ef</t>
  </si>
  <si>
    <t>#Nubox | Indicadores Económicos diarios correspondiente al 09 de junio de 2023 by @bcentralchile .
Lee más aquí: https://t.co/JKf9uQQwg3 
#UF #dólar #euro #pymes #bancocentral https://t.co/PCOaRYGDYG</t>
  </si>
  <si>
    <t>#Nubox | Indicadores Económicos diarios correspondiente al 08 de junio de 2023 by @bcentralchile .
Lee más aquí: https://t.co/JKf9uQR45B 
#UF #dólar #euro #pymes #bancocentral https://t.co/gyrVIdMk7V</t>
  </si>
  <si>
    <t>#Nubox | Indicadores Económicos diarios correspondiente al 04 de mayo de 2023
by @bcentralchile
Lee más aquí: https://t.co/G2lZNYcMfS 
#UF #dólar #euro #pymes #bancocentral https://t.co/A5DzmnpOaM</t>
  </si>
  <si>
    <t>Indicadores Económicos diarios correspondiente al 25 de septiembre 2023 by Banco Central.
Lee más aquí: https://t.co/nWO41iRVuN  
#UF #dólar #euro #pymes #bancocentral https://t.co/lOPAQ8pK6g</t>
  </si>
  <si>
    <t>Indicadores Económicos diarios correspondiente al 21 de septiembre 2023 by Banco Central.
Lee más aquí: https://t.co/nWO41iStkl  
#UF #dólar #euro #pymes #bancocentral https://t.co/WwxGV2SXtK</t>
  </si>
  <si>
    <t>Indicadores Económicos diarios correspondiente al 27 de julio 2023 by Banco Central.
Lee más aquí: https://t.co/nWO41iRVuN  
#UF #dólar #euro #pymes #bancocentral https://t.co/tec5qcrGd2</t>
  </si>
  <si>
    <t>Indicadores Económicos diarios correspondiente al 03 de julio 2023 by @bcentralchile
Lee más aquí: https://t.co/D202JhRivZ 
#UF #dólar #euro #pymes #bancocentral https://t.co/jcgMV0map0</t>
  </si>
  <si>
    <t>#Nubox | Indicadores Económicos diarios correspondiente al 19 de junio de 2023 by @bcentralchile .
Lee más aquí: https://t.co/JKf9uQR45B 
#UF #dólar #euro #pymes #bancocentral https://t.co/Vcg2kWYfdP</t>
  </si>
  <si>
    <t>#Nubox | Indicadores Económicos diarios correspondiente al 16 de mayo de 2023 by @bcentralchile .
Lee más aquí: https://t.co/JKf9uQR45B 
#UF #dólar #euro #pymes #bancocentral https://t.co/0YQx59wvCY</t>
  </si>
  <si>
    <t>#Nubox | Indicadores Económicos diarios correspondiente al 05 de mayo de 2023
by @bcentralchile
Lee más aquí: https://t.co/C1kEG7uMaN 
#UF #dólar #euro #pymes #bancocentral https://t.co/zyIOjzyMBH</t>
  </si>
  <si>
    <t>Indicadores Económicos diarios correspondiente al 27 de septiembre 2023 by Banco Central.
Lee más aquí: https://t.co/nWO41iRVuN  
#UF #dólar #euro #pymes #bancocentral https://t.co/2iuxsqGLfh</t>
  </si>
  <si>
    <t>Indicadores Económicos diarios correspondiente al 31 de julio 2023 by Banco Central.
Lee más aquí: https://t.co/nWO41iRVuN  
#UF #dólar #euro #pymes #bancocentral https://t.co/jqdobhsYpu</t>
  </si>
  <si>
    <t>Indicadores Económicos diarios correspondiente al 05 de julio 2023 by @bcentralchile
Lee más aquí: https://t.co/j9ndLPsnj8 
#UF #dólar #euro #pymes #bancocentral https://t.co/GMDmFYmPhQ</t>
  </si>
  <si>
    <t>Indicadores Económicos diarios correspondiente al 04 de julio 2023 by @bcentralchile
Lee más aquí: https://t.co/5AYf2w18vI 
#UF #dólar #euro #pymes #bancocentral https://t.co/OOKFKaRqk7</t>
  </si>
  <si>
    <t>#Nubox | Indicadores Económicos diarios correspondiente al 20 de junio de 2023 by @bcentralchile .
Lee más aquí: https://t.co/JKf9uQR45B 
#UF #dólar #euro #pymes #bancocentral https://t.co/CzZODx1JlK</t>
  </si>
  <si>
    <t>#Nubox | Indicadores Económicos diarios correspondiente al 26 de mayo de 2023 by @bcentralchile .
Lee más aquí: https://t.co/JKf9uQQwg3 
#UF #dólar #euro #pymes #bancocentral</t>
  </si>
  <si>
    <t>#Nubox | Indicadores Económicos diarios correspondiente al 25 de mayo de 2023 by @bcentralchile .
Lee más aquí: https://t.co/JKf9uQR45B 
#UF #dólar #euro #pymes #bancocentral https://t.co/9p91kGA7S7</t>
  </si>
  <si>
    <t>#Nubox | Indicadores Económicos diarios correspondiente al 24 de mayo de 2023 by @bcentralchile .
Lee más aquí: https://t.co/JKf9uQQwg3 
#UF #dólar #euro #pymes #bancocentral https://t.co/qdfGWuP6UF</t>
  </si>
  <si>
    <t>#Nubox | Indicadores Económicos diarios correspondiente al 23 de mayo de 2023 by @bcentralchile .
Lee más aquí: https://t.co/JKf9uQQwg3 
#UF #dólar #euro #pymes #bancocentral https://t.co/HkcFugfjoM</t>
  </si>
  <si>
    <t>Indicadores Económicos diarios correspondiente al 28 de septiembre 2023 by Banco Central.
Lee más aquí: https://t.co/nWO41iRVuN  
#UF #dólar #euro #pymes #bancocentral https://t.co/E31cX49kLK</t>
  </si>
  <si>
    <t>Indicadores Económicos diarios correspondiente al 26 de septiembre 2023 by Banco Central.
Lee más aquí: https://t.co/nWO41iRVuN  
#UF #dólar #euro #pymes #bancocentral https://t.co/02t3sKnywT</t>
  </si>
  <si>
    <t>Indicadores Económicos diarios correspondiente al 20 de septiembre 2023 by Banco Central.
Lee más aquí: https://t.co/nWO41iRVuN  
#UF #dólar #euro #pymes #bancocentral https://t.co/j0FkViJa3Y</t>
  </si>
  <si>
    <t>Indicadores Económicos diarios correspondiente al 22 agosto 2023 by Banco Central.
Lee más aquí: https://t.co/nWO41iRVuN  
#UF #dólar #euro #pymes #bancocentral https://t.co/etMEQKWGer</t>
  </si>
  <si>
    <t>Indicadores Económicos diarios correspondiente al 03 agosto 2023 by Banco Central.
Lee más aquí: https://t.co/nWO41iRVuN  
#UF #dólar #euro #pymes #bancocentral https://t.co/QV8NO9iT8I</t>
  </si>
  <si>
    <t>Indicadores Económicos diarios correspondiente al 11 de julio 2023 by @bcentralchile
Lee más aquí: https://t.co/J6wP0Uqtdm  
#UF #dólar #euro #pymes #bancocentral https://t.co/QCcfdqO42d</t>
  </si>
  <si>
    <t>Indicadores Económicos diarios correspondiente al 10 de julio 2023 by @bcentralchile
Lee más aquí: https://t.co/6PQUUf3ad6  
#UF #dólar #euro #pymes #bancocentral https://t.co/DzkQLT4bkf</t>
  </si>
  <si>
    <t>#Nubox | Indicadores Económicos diarios correspondiente al 01 de junio de 2023 by @bcentralchile .
Lee más aquí: https://t.co/JKf9uQQwg3 
#UF #dólar #euro #pymes #bancocentral https://t.co/G41hSfgx4v</t>
  </si>
  <si>
    <t>#Nubox | Indicadores Económicos diarios correspondiente al 31 de mayo de 2023 by @bcentralchile .
Lee más aquí: https://t.co/JKf9uQQwg3 
#UF #dólar #euro #pymes #bancocentral https://t.co/wbqNKl3KUa</t>
  </si>
  <si>
    <t>#Nubox | Indicadores Económicos diarios correspondiente al 30 de mayo de 2023 by @bcentralchile .
Lee más aquí: https://t.co/JKf9uQQwg3 
#UF #dólar #euro #pymes #bancocentral https://t.co/4d2fG2xmuE</t>
  </si>
  <si>
    <t>#Nubox | Indicadores Económicos diarios correspondiente al 29 de mayo de 2023 by @bcentralchile .
Lee más aquí: https://t.co/JKf9uQQwg3 
#UF #dólar #euro #pymes #bancocentral https://t.co/lHAgheCaK2</t>
  </si>
  <si>
    <t>#Nubox | Indicadores Económicos diarios correspondiente al 15 de mayo de 2023 by @bcentralchile .
Lee más aquí: https://t.co/JKf9uQQwg3 
#UF #dólar #euro #pymes #bancocentral https://t.co/oE4FHIH6OX</t>
  </si>
  <si>
    <t>Decisão controversa! O Banco Central enfrenta pressões, mas opta por manter a Selic em 13,75%. Um movimento que gera debates sobre o impacto na economia. Vamos acompanhar de perto as consequências dessa decisão. 💼🔽 #BancoCentral #Selic</t>
  </si>
  <si>
    <t>Resta ao #BancoCentral despertar e reduzir as taxas de juros, e a Bolsonaro ser declarado inelegível e preso, juntamente com todos que cometeram crimes contra o povo brasileiro e a democracia. Estamos trilhando o caminho correto.</t>
  </si>
  <si>
    <t>Saluden al #bancocentral que se va!
#Milei2023 https://t.co/rWVBaZdKaJ</t>
  </si>
  <si>
    <t>#lulapresidente #brasilemconstruçao #ministeriodafazenda #ForaCamposNeto #bancocentral #TCU #Politicamonetaria #jurosaltos #baixajuros #selic https://t.co/SCKF9Ctnfi</t>
  </si>
  <si>
    <t>Junta Monetaria aprueba medidas de #estímulomonetario por RD$94,000 millones para financiamiento a sectores productivos y hogares, a bajas tasas de interés 
#PoliticaMonetaria 
#BancoCentral 
https://t.co/hYBC9nJ5pn https://t.co/gtKNzz1i1g</t>
  </si>
  <si>
    <t>Petista voltou a criticar o presidente do BC; instituição manteve, pela sexta vez, patamar da taxa básica de juros. #Lula #BancoCentral #TVCultura
https://t.co/06SygKRpR7</t>
  </si>
  <si>
    <t>Economia: Mesmo sob pressão do governo Lula, Banco Central mantém taxa básica de juros pela sexta vez consecutiva (13,75%).
#TVCultura #BancoCentral #Selic
https://t.co/d2xnoUDHQZ</t>
  </si>
  <si>
    <t>Executivos do Comitê de Política Monetária devem manter a Selic em 13,75% ao ano. #BancoCentral #Copom #Selic #Economia #Juros #TVCultura
https://t.co/fo03BVunMq</t>
  </si>
  <si>
    <t>Aloizio Mercadante comenta criticas do presidente Lula a Roberto Campos Neto. 
#TVCultura #RodaViva #BancoCentral 
https://t.co/M1yGZpWw9r</t>
  </si>
  <si>
    <t>Neste ano, há uma retirada acumulada de R$ 57,5 bilhões. #BancoCentral #Poupança #TVCultura
https://t.co/nrZoapXrWK</t>
  </si>
  <si>
    <t>Galípolo e Ailton Aquino foram aprovados pela Comissão de Assuntos Econômicos (CAE) do Senado. #Senado #BancoCentral #TVCultura   
https://t.co/mZVaZByLD8</t>
  </si>
  <si>
    <t>Anteriormente, Gabriel Galípolo integrava a Secretaria-Executiva do Ministério da Fazenda. #Galípolo #BancoCentral #Senado #TVCultura
https://t.co/aQXBxPNRzb</t>
  </si>
  <si>
    <t>Executivos do Comitê de Política Monetária devem manter a Selic em 13,75% ao ano. #BancoCentral #Juros #TVCultura
https://t.co/pyBOasWcJj</t>
  </si>
  <si>
    <t>“Dinheiro esquecido”: mais de R$ 7,2 bilhões ainda podem ser resgatados; veja como fazer. 
#TVCultura #BancoCentral #Economia  
https://t.co/jvFKGvJhOP</t>
  </si>
  <si>
    <t>O lançamento da solução financeira está previsto para o fim de 2024. #Drex #BancoCentral #MoedaDigital #TvCultura https://t.co/JroSCAO28A</t>
  </si>
  <si>
    <t>Resultado divulgado nesta sexta-feira (16) ocorre após uma retração de 0,14% em março. #TVCultura #Economia #PIB #IBC #BancoCentral #Notícias 
https://t.co/rJd2A8kIeX</t>
  </si>
  <si>
    <t>Economistas reduziram suas projeções para o IPCA de 6,03% para 5,80%; o PIB deve avançar 1,2%, segundo os profissionais. #Economia #BancoCentral #TVCultura
https://t.co/FRitT3zIMC</t>
  </si>
  <si>
    <t>Em evento, Roberto Campos Neto explicou a necessidade do governo promover reformas econômicas. #BancoCentral #Reformas #TVCultura. 
https://t.co/KRvrJIszck</t>
  </si>
  <si>
    <t>Fernando Haddad (PT) voltou a defender que o Banco Central reduza a taxa de juros no país, ao mesmo tempo que destacou a boa relação com a instituição. 
#TVCultura #BancoCentral #Haddad
https://t.co/OkVzyt8Mf1</t>
  </si>
  <si>
    <t>Relatório de gestão do PIX, documento publicado nesta segunda (4), revela alguns planos do órgão para a modalidade de pagamento. #PIX #BancoCentral #TVCultura.
https://t.co/BqywN9Pmx6</t>
  </si>
  <si>
    <t>Veja como fazer a consulta no Sistema de Valores a Receber (SVR), do Banco Central. #Dinheiro #BancoCentral #Webstories #TVCultura 
https://t.co/WqXvYL62UI</t>
  </si>
  <si>
    <t>No Jornal da Cultura, especialista explica consequências da manutenção da Selic em 13,75%. #BancoCentral #Análise #TVCultura. 
https://t.co/lXjGTUV8DA</t>
  </si>
  <si>
    <t>Esta é a sétima vez seguida que o Comitê mantém pela manutenção da taxa. #Copom #BancoCentral #TVCultura
https://t.co/D3YLCOaUp5</t>
  </si>
  <si>
    <t>Objetivo é programar pagamentos recorrentes, como contas e mensalidades. #PIX #BancoCentral #TVCultura. 
https://t.co/ozxCXbFZZR</t>
  </si>
  <si>
    <t>Pix bate recorde ao registrar mais de 150 milhões de transações em um único dia.
#TVCultura #Pix #BancoCentral 
https://t.co/3ZwSHuAhtD</t>
  </si>
  <si>
    <t>Roberto Campos Neto afirma que entidade pretende apresentar soluções para diminuir inadimplência do crédito. #BancoCentral #Crédito #TVCultura.
https://t.co/0JsooWshvQ</t>
  </si>
  <si>
    <t>É o primeiro corte da Selic em três anos. O último havia sido em agosto de 2020. #Selic #BancoCentral #TVCultura 
https://t.co/9apSmI0qrc</t>
  </si>
  <si>
    <t>“Dinheiro esquecido”: Mais de R$ 7 bilhões ainda estão disponíveis no sistema do BC; veja como fazer o resgate.
#TVCultura #BancoCentral #Economia
https://t.co/orR2V60KeQ</t>
  </si>
  <si>
    <t>Roberto Campos Neto defendeu que a proposta é uma ideia antiga para um problema inexistente nos dias atuais. #BancoCentral #Economia #TVCultura 
https://t.co/taupMwJ0lU</t>
  </si>
  <si>
    <t>Executivos do Copom devem manter a Selic em 13,75% ao ano. #BancoCentral #Juros #Economia #TVCultura 
https://t.co/wXXHJdWL5W</t>
  </si>
  <si>
    <t>“Dinheiro esquecido”: mais de R$ 7,2 bilhões ainda estão disponíveis; veja como resgatar.
#TVCultura #BancoCentral #Economia
https://t.co/j3P4fXPY4j</t>
  </si>
  <si>
    <t>"A gente não tem os detalhes ainda. Eu tomei um puxão de orelha depois que eu falei... Mas a gente deve ter nos próximos dias um formato mais definido", disse Campos Neto sobre rotativo. #Crédito #BancoCentral #TVCultura.
https://t.co/gf7aARdIgn</t>
  </si>
  <si>
    <t>"Continuação do processo desinflacionário" pode gerar a "confiança necessária" para um "processo parcimonioso de inflexão", aponta um comunicado do Banco Central. #Inflação #Juros #Copom #BancoCentral #TVCultura
https://t.co/Z87jzSFhMt</t>
  </si>
  <si>
    <t>Galípolo é um dos braços direitos do petista no Ministério da Fazenda; caso seja aprovado, ele participará do comitê que debate a Selic. #BancoCentral #Haddad #TVCultura. 
https://t.co/UMigGqlEqG</t>
  </si>
  <si>
    <t>Com a decisão de hoje, taxa básica de juros atinge menor patamar em 16 meses. #Selic #BancoCentral #TVCultura. 
https://t.co/dtExxeRM6N</t>
  </si>
  <si>
    <t>Operação consistiu no envio de reservas bancárias em um ambiente para testes do Banco Central. #Drex #BancoCentral #BancoDoBrasil #TVCultura 
https://t.co/2xUoZbciWa</t>
  </si>
  <si>
    <t>Após 10 aumentos seguidos, taxa básica de juros norte-americana se mantém a mesma. #EUA #BancoCentral #TVCultura. 
https://t.co/JDvoIYtIHE</t>
  </si>
  <si>
    <t>Les comparto esta reciente #entrevista que le hice a don #VittorioCorbo, ex presidente del #BancoCentral de Chile. 
Además de ser muy reveladora y dinámica, es sobre todo clara para entender el #momentoeconómico de 
#Chile 
Acá la nota 👉🏽https://t.co/y8lFQTScDw https://t.co/lfuYP2HE9T</t>
  </si>
  <si>
    <t>@Metropoles A culpa é de quem ??? Quem hoje impede a economia prosperar ??? 
#BANCOCENTRAL
E seu egocêntrico e presunçoso presidente 
Sr #RobertoCamposNeto escolhido pelo incompetente #PauloGuedes do ex governo desastre do #BOZO 🤡🤡</t>
  </si>
  <si>
    <t>2️⃣ 2º PASO: utilizar los activos monetarios del #BancoCentral (títulos públicos en pesos y dólares, adelantos al tesoro nacional y las reservas internacionales netas) para comprar las leliqs y la base monetaria. (Esto ronda los 90.000 millones de USD).</t>
  </si>
  <si>
    <t>1️⃣ 1º PASO: reunir el pasivo monetario del #BancoCentral que oscila entre 35.000 y 40.000 millones de USD. (Esto es la suma de las leliqs, más la base monetaria).</t>
  </si>
  <si>
    <t>MÁS BURRA NO SE CONSIGUE: BULLRICH, LA PEOR DEL MUNDO EN ECONOMÍA 
#patriciabullrich #bancocentral #argentina #economia #medios #politica #elecciones2023 #679evolucion https://t.co/MZCxrW1aU1</t>
  </si>
  <si>
    <t>Halo: La Película que Superó al Videojuego. Curiosidades y Secretos que ... https://t.co/2c3SuKF07S a través de @YouTube #Bancocentral #Tatum #Moscu</t>
  </si>
  <si>
    <t>opinion de elon musk sobre la crypto #shots https://t.co/JO4Bcd7HNP a través de @YouTube #Lakers #Harden #Bancocentral</t>
  </si>
  <si>
    <t>Que bueno que el #BancoCentral bajó la taza de interés, para que los bancos, con nuestra plata en las @AFPdeChile, no cobren tan caro cuando logramos que nos hagan un préstamo...
#ConMiPlataNo dicen los payasos que son parte del negocio...</t>
  </si>
  <si>
    <t>EL MOSTRADOR SEMANAL| #Falabella en crisis: mercado ve aumento de capital como única salida; #BancoCentral cuestionado
https://t.co/SyQKpGqYDu https://t.co/qa6w0hnRfh</t>
  </si>
  <si>
    <t>MERCADOS| La sorpresa del requerimiento de Capital del #BancoCentral
https://t.co/of3vEksOyk https://t.co/Z4TkNQPPAL</t>
  </si>
  <si>
    <t>EL MOSTRADOR SEMANAL| El #BancoCentral sorprende, confunde y la banca llora
https://t.co/Yw92kMpP25 https://t.co/ziHGWmpNHf</t>
  </si>
  <si>
    <t>EL MOSTRADOR SEMANAL| El plan del #BancoCentral para recuperar reservas es otra señal de que volvemos a la normalidad 
https://t.co/UI0WCV7r8a https://t.co/MQXve8Zkya</t>
  </si>
  <si>
    <t>MERCADOS| Las inversiones y los ajustes del #BancoCentral
https://t.co/Kl7DYQDjc1 https://t.co/PB0ZLmqWU2</t>
  </si>
  <si>
    <t>MERCADOS| #BancoCentral informa caída del #PIB nacional y un superávit en la cuenta corriente
https://t.co/nx4NzNqXNv https://t.co/nDLgFA0til</t>
  </si>
  <si>
    <t>EL MOSTRADOR SEMANAL| #Inflación, #tasas y se vienen las semanas de definición para el #BancoCentral
https://t.co/TzIFHLqwpT https://t.co/BincoVMtiF</t>
  </si>
  <si>
    <t>AHORA| Banco Central baja tasa de interés en 75 puntos base, quedando en un nivel de 9,5%. https://t.co/eWqlSUFKxD</t>
  </si>
  <si>
    <t>MERCADOS| Unánime: #BancoCentral acordó mantener #tasadeinterés, tras Reunión de Política Monetaria
https://t.co/7mnjOY7Ct3 https://t.co/BUiR8N005D</t>
  </si>
  <si>
    <t>MERCADOS| Mercado prevé mantención de tasa de interés, en la previa a comunicado del #BancoCentral
https://t.co/vJjF6r5Cg1 https://t.co/MqiJouQqzu</t>
  </si>
  <si>
    <t>O #Pix vai ganhar um reforço de segurança a partir do dia 5 de novembro, informou o #BancoCentral, que vai passar a disponibilizar campos específicos nas notificações de fraude para que sejam especificados os tipos de fraude, como falsidade ideológica.
https://t.co/aH0RMnIB1V</t>
  </si>
  <si>
    <t>#ULTIMOMINUTO
El Banco Central de Cuba emitió una nota donde desmiente las publicaciones en redes sociales y medios alternativos sobre billetes de las denominaciones de 100 y 1 000 CUP con error en su impresión o falsos.
https://t.co/VeilzEXD4A https://t.co/Smx20M1ipt</t>
  </si>
  <si>
    <t>Ontem o COPOM anunciou a redução da taxa básica de juros para 13,25%. Mas o que a reunião de ontem deve impactar o mercado de tecnologia &amp;amp; inovação no Brasil? Acompanhe a linha de raciocínio (⅙)
#selic #copom #bancocentral #bc</t>
  </si>
  <si>
    <t>Chau a la ballena
Se viene el nuevo billete de $200: Cómo será y cuándo saldrá
https://t.co/9FrE5fkaKh | @BancoCentral_AR
#CronosNoticias #BancoCentral #NuevoBillete</t>
  </si>
  <si>
    <t>Relatório de Estabilidade Financeira https://t.co/BaRkpOLjp4 #BancoCentral #BCB via @BancoCentralBR</t>
  </si>
  <si>
    <t>#Nuevobillete de $2000 en circulación: ¿cómo darse cuanta si son falsos? Leé la nota
El #BancoCentral puso en circulación el nuevo billete de 2000 pesos  argentinos que lleva los rostros de Cecilia Grierson y Ramón Carrillo https://t.co/0s2tLkCAmA https://t.co/kSHzajA2Tj</t>
  </si>
  <si>
    <t>#EEUU 
La Fed subió 25 puntos básicos la tasa y pausa los aumentos
El  #bancocentral estadounidense mantendría el costo del dinero hasta  septiembre, pero monitoreará de cerca la economía por si hacen falta ajustes, reconoció la entidad https://t.co/z8mDdbM7dY https://t.co/4y6bWYxipX</t>
  </si>
  <si>
    <t>Los principales argumentos del equipo de #JavierMilei para cerrar el #BancoCentral y terminar con la #inflación
La tasa de inflación anual promedió el 130% desde la creación del Central en 1935, y la cifra asciende al 190% desde su nacionalización en 1946 https://t.co/kIxJNHmBEy https://t.co/PaTkpqf61Q</t>
  </si>
  <si>
    <t>Devaluó!!Devaluó!! 22%
Massa!!!!!22%
Burro Burro  ya te vas a ir !!!!
Ya te van echar!!
Todo hecho para que culpen al ganador de las elecciones!!
#laspaso 
#Massa 
#ElPeorGobiernoDeLaHistoria 
#BancoCentral</t>
  </si>
  <si>
    <t>El #BancoCentral informó que la deuda externa pública de #Honduras entre #enero y #abril de 2023 sumó US$ 9.447,6 millones de dólares, lo que representa un aumento del 3,2 por ciento respecto a los primeros cuatro meses de 2022 https://t.co/ZIqD771WfF</t>
  </si>
  <si>
    <t>De acuerdo con el #BancoCentral de #Honduras, el Índice de Precios al Consumidor ( #IPC ), a través del que se mide la #inflación, alcanzó una variación interanual de 5.60%, #desacelerándose por cuarto #mes consecutivo https://t.co/MycNjy4jun</t>
  </si>
  <si>
    <t>El #BancoCentral #dominicano tomó medidas tras limitado #crecimiento #económico que vive la #nación https://t.co/bwqSdAPCeO</t>
  </si>
  <si>
    <t>El #BancoCentral de #CostaRica revisó al alza la #proyección de #crecimiento #económico del país para 2023 y la ubicó en el 4,2%, lo que representa 0,9 puntos más que el pronóstico anterior de abril pasado https://t.co/hICKN9lWVc</t>
  </si>
  <si>
    <t>El #saldo de las #reservas #internacionales #brutas (RIB) del #BancoCentral de #Nicaragua llegaron a US$ 4.989,1 millones de dólares en #junio pasado, 14,7% más en relación al mismo mes del año anterior https://t.co/xWtNsdkntM</t>
  </si>
  <si>
    <t>REFORMA TRIBUTÁRIA DE HADDAD DARÁ CERTO? - OUTUBRO #103
Assista ao vivo, às 19h: https://t.co/21fHVzOKs9
#OperaMundi #BancoCentral #Lula https://t.co/UxikEeb4AF</t>
  </si>
  <si>
    <t>BANCO CENTRAL NÃO BAIXOU OS JUROS: E AGORA? - OUTUBRO #119
Assista ao vivo, às 19h, por meio do link: https://t.co/syJgnNzOM2
#operamundi #bancocentral #juros https://t.co/yeaE3av36K</t>
  </si>
  <si>
    <t>El Banco Central cerró hoy con un saldo positivo de US$11 millones, con lo que extendió la racha de compras a cinco ruedas consecutivas, en una jornada en la que el dólar soja aportó casi US$163 millones. #BancoCentral #dólares
https://t.co/zMUOqIrpaZ</t>
  </si>
  <si>
    <t>El Banco Central finalizó hoy con un saldo un positivo de US$451 millones, con lo que extendió la racha de compras a 17 ruedas consecutivas, en una jornada en la que el dólar soja aportó más de US$1.052 millones. #BancoCentral #dólares
https://t.co/YzR2yspU2C</t>
  </si>
  <si>
    <t>#Alta
A Selic em 13,75% é o maior patamar de juros desde novembro de 2016, quando a taxa estava em 14% ao ano.
#portaldeprefeitura #alta #bancocentral #taxadejuros #selic #taxas #manutenção https://t.co/qchSxWJM4z</t>
  </si>
  <si>
    <t>#Redução
BANCOS tem queda para 44,6% em JUROS médios em meio à EXPECTATIVA de redução da TAXA BÁSICA pelo BC
#portaldeprefeitura #bancos #bc #bancocentral #redução #juros #taxabásica 
https://t.co/n2Cjt1zW2P</t>
  </si>
  <si>
    <t>#Sistema
PIX: BANCO CENTRAL comunica novo VAZAMENTO DE DADOS CADASTRAIS CENTENAS de clientes
#portaldeprefeitura #pix #bancocentral #dadosvazados
https://t.co/NN4ljvSAMS</t>
  </si>
  <si>
    <t>#Sistema
PIX: BANCO CENTRAL comunica novo VAZAMENTO DE DADOS CADASTRAIS CENTENAS de clientes
#portaldeprefeitura #pix #bancocentral #dadosvazados 
https://t.co/NN4ljvSAMS</t>
  </si>
  <si>
    <t>#Certame
CONCURSO PÚBLICO FEDERAL: BANCO CENTRAL autoriza novo EDITAL; CONFIRA DETALHES
#portaldeprefeitura #notícias #BancoCentral #Concurso 
https://t.co/SMvzDXqYEy</t>
  </si>
  <si>
    <t>#Aviso 
LUIZA TRAJANO, dona do MAGAZINE LUIZA, diz que "vai ter muita gente quebrada" no Brasil
#PortaldePrefeitura #LuizaTrajano #BancoCentral 
https://t.co/9yzBiN32NG</t>
  </si>
  <si>
    <t>#Economia
PIB 2023: Boletim Focus divulga ELEVAMENTO de 2,29% para 2,31% na projeção de CRESCIMENTO
#portaldeprefeitura #pib #pib2023 #bancocentral #boletimfocus 
https://t.co/KxchEej8lT</t>
  </si>
  <si>
    <t>#Crise
BANCO CENTRAL está no LIMITE de sua capacidade de ENTREGAS para a SOCIEDADE e precisa de abertura IMEDITADA da mesa de NEGOCIAÇÕES
#portaldeprefeitura #bancocentral #banco #dinheiro #bc 
https://t.co/88V3UI5tZV</t>
  </si>
  <si>
    <t>#Estimativa
MERCADO FINANCEIRO eleva para 2,64% projeção do CRESCIMENTO DA ECONOMIA em 2023, de acordo com BANCO CENTRAL
#portaldeprefeitura #mercadofinanceiro #bancocentral #economia #brasil 
https://t.co/ssvnxdMIoR</t>
  </si>
  <si>
    <t>#Medida
PIX: Banco Central obriga instituições financeiras a AVISAR CLIENTES sobre VAZAMENTOS DE DADOS
#portaldeprefeitura #PIX #bancocentral #obriga #instituições 
https://t.co/EovIBuSjkF</t>
  </si>
  <si>
    <t>#Afirmação 
LULA diz que JUROS ainda estão ALTOS e critica presidente do Banco Central: "Vamos continuar brigando"
#portaldeprefeitura #lula #juros #bancocentral 
https://t.co/Vfs4gbvC99</t>
  </si>
  <si>
    <t>#Crítica
Lula para Campos Neto: "Não pense que acho que o juro está baixo"
#Portaldeprefeitura #notícias #política #lula #camposneto #bc #bancocentral #brasil
https://t.co/elUsnUZ7AN</t>
  </si>
  <si>
    <t>#Crítica
LULA diz que BANCO CENTRAL manter TAXA de juros EM 13,75% 'é irracional'
#portaldeprefeitura #Lula #BancoCentral #Taxadejuros #irracional 
https://t.co/NF3w7TNn39</t>
  </si>
  <si>
    <t>#Estável
BANCO CENTRAL mantém taxa de JUROS EM 13,75% pela SÉTIMA VEZ seguida
#portaldeprefeitura #BancoCentral #mantém #taxadejuros
https://t.co/2sFlEIrg8M</t>
  </si>
  <si>
    <t>#Encontro
LULA vai se REUNIR com CAMPOS NETO pela PRIMEIRA VEZ nesta quarta (27)
#Portaldeprefeitura #notícias #política #lula #camposneto #reunião #bancocentral #brasil 
https://t.co/3n24TQ7lVF</t>
  </si>
  <si>
    <t>#Dinheiro
BANCO CENTRAL diz que BRASILEIROS ainda não SACARAM R$ 7,18 BILHÕES "esquecidos"; saiba como consultar
#portaldeprefeitura #bancocentral #dinheiro #saque
https://t.co/MKa1Pvqyah</t>
  </si>
  <si>
    <t>#Encontro
HADDAD diz que reunião entre LULA e presidente do BRANCO CENTRAL, foi excelente para 'construção de relação'
#portaldeprefeitura #haddad #lula #ministeriodafazenda #bc #bancocentral #camposneto #selic
https://t.co/5jVup4Fi1Y</t>
  </si>
  <si>
    <t>#Diminuição
BANCO CENTRAL REDUZ taxa de JUROS pela primeira vez EM TRÊS ANOS; SELIC vai a 13,25% AO ANO
#portaldeprefeitura #bancocentral #reduztaxa #juros #primeiravez #trêsanos 
https://t.co/DJ9aj20E0v</t>
  </si>
  <si>
    <t>No queremos que nos roben nuestros ahorros . #bancocentral. Queremos administrar nosotros nuestra Plata #sextoretiro #pailita #GasAPrecioJusto</t>
  </si>
  <si>
    <t>🇦🇷#Argentina
💳 El impacto de las #tasas de interés en el pago mínimo de la #TarjetaDeCrédito
➡️Se trata del reciente aumento en las tasas de #interés anunciado por el #BancoCentral ¿Cuánto más cuesta ahora?
#⃣Nota completa👇
https://t.co/Zke8rB79NT</t>
  </si>
  <si>
    <t>🇦🇷#Argentina
💵El #BancoCentral devaluó más del 20%: llevó el #dólarOficial a $365,50 y la tasa a 118%
➡️El tipo de cambio oficial minorista gana $62,65 en el día y el #blue salta a los $700.
#⃣Nota completa👇
https://t.co/Rvxq1VohUy</t>
  </si>
  <si>
    <t>🇦🇷#Argentina
📱Los comercios que tengan pago con #QR tendrán que aceptar #billeterasDigitales
➡️Desde el #BancoCentral informaron que los negocios que exhiban un código #QR para cobrar deberán aceptar cualquier billetera digital
#⃣Nota completa👇
https://t.co/c1UrwXK4zE</t>
  </si>
  <si>
    <t>Lula com olhos em 2024, coloca o Galípolo para a alta cúpula do banco central.
#jornaldaglobo #jornalismo #jornalista #haddad #mercadofinanceiro #viralreel #reel #democracia #jornal #bancocentral https://t.co/iqHzP87cZU</t>
  </si>
  <si>
    <t>@o_antagonista Lula nada para o #BancoCentral o povo brasileiro que se lasque, tão nem pro Brasil... #ForaCamposNeto</t>
  </si>
  <si>
    <t>#CamposNeto quer barrar entrevistas e aumenta tensão no #BancoCentral | Mônica Bergamo (@monicabergamo) https://t.co/NTO6AYyEWF</t>
  </si>
  <si>
    <t>"Não tem lógica o #BancoCentral manter #juros altos após a queda da #inflação e do #desemprego" l Eduardo Barão (@eduardobarao): https://t.co/sdRlCmysEz</t>
  </si>
  <si>
    <t>"#BancoCentral diminuir os #juros é uma luz, mas é pouco para a #economia melhorar" l Eduardo Barão (@eduardobarao): https://t.co/w6sxnsZxgP</t>
  </si>
  <si>
    <t>#BancoCentral anuncia nesta quarta (3) destino da taxa básica de #juros https://t.co/PZQ4ACGlDX</t>
  </si>
  <si>
    <t>Presidente do #BancoCentral diz que #arcabouçofiscal acabou com risco de #inflação descontrolada https://t.co/fV6JSSdjyj</t>
  </si>
  <si>
    <t>Pesquisa Focus aponta #juros mais baixos na próxima reunião do #BancoCentral | Juliana Rosa: https://t.co/AR38Y1dfFH</t>
  </si>
  <si>
    <t>#Lula volta a criticar #BancoCentral e política de #juros: "Pode falar de tudo, menos dos juros" https://t.co/W98O9Zwx7d</t>
  </si>
  <si>
    <t>#BancoCentral aponta alta em #juros cobrados por #bancos e aumento de inadimplência l Juliana Rosa: https://t.co/M7RxGGVZ0k</t>
  </si>
  <si>
    <t>Transações por #PIX em um único dia batem recorde, segundo o #BancoCentral: https://t.co/o0Nge44JO0</t>
  </si>
  <si>
    <t>#BancoCentral mantém #Selic e sinaliza novo aumento se #inflação não ceder https://t.co/i9Pw08EjVh</t>
  </si>
  <si>
    <t>@JMilei te explica por que es necesario cerrar el Banco Central después de dejar de emitir.
#inflacion #peso #dolar #dolarizacion #bancocentral #bcra #milei #mileipresidente #milei2023 #elecciones #elecciones2023 #argentina https://t.co/q3v6fImF3B</t>
  </si>
  <si>
    <t>Focus - Relatório de Mercado https://t.co/oOdvOq4OYz #BancoCentral #BCB via @BancoCentralBR</t>
  </si>
  <si>
    <t>❌ Las reservas del #BancoCentral volvieron a caer y perforaron los US$ 33.000 millones https://t.co/M9p93ZuXBo</t>
  </si>
  <si>
    <t>💰 #Plazofijo: la drástica decisión que tomó el #BancoCentral con las tasas de interés
✍ Luis Machado
📲 Más información en https://t.co/l8DWTGwqgM: https://t.co/o4WgyrMRxu</t>
  </si>
  <si>
    <t>#elfronterizo    Banco Central de la  República Dominicana informa recibió US$ 5,019.9 MM en remesas el primer semestre del 2023
LEA MÁS 👉https://t.co/neSbK85d3G
Cc: @BancoCentralRD  @PresidenciaRD @luisabinader #PRESIDENTE  #Bancocentral https://t.co/Qzuwpm9rvk</t>
  </si>
  <si>
    <t>O Comitê de Política Monetária do Banco Central decide manter a taxa Selic em 13,75% ao ano.
Veja os impactos para o mercado imobiliário: https://t.co/EHEi3UFhfq
#portalvgv #copom #selic #taxaselic #bancocentral #incorporadora #construtora #corretordeimovel #imobiliaria https://t.co/q55sBF6aWS</t>
  </si>
  <si>
    <t>A previsão do #mercadofinanceiro para o #IPCA – considerado a inflação oficial do país – caiu de 4,9% para 4,84% neste ano. A estimativa está no Boletim Focus desta segunda-feira (31), pesquisa divulgada semanalmente pelo #BancoCentral 
Entenda: https://t.co/59956XeJ26 https://t.co/av9q9DdoR2</t>
  </si>
  <si>
    <t>Será que a taxa de juros está perto de cair? Entenda o atual momento da Selic e o que tem falado a nossa autoridade monetária a respeito.
Veja: https://t.co/4LbNXI86gS
#portalvgv #bancocentral #construtora #corretordeimóveis #financiamentoimobiliário #imobiliária #incorporadora https://t.co/alimHZv6Fs</t>
  </si>
  <si>
    <t>A previsão do #mercadofinanceiro para o #IPCA – considerado a #inflação oficial do país – caiu de 4,95% para 4,9% neste ano. A estimativa está no Boletim Focus, pesquisa divulgada semanalmente pelo #BancoCentral.
Entenda: https://t.co/IaCfFAVfIe
#portalvgv #mercadoimobiliario https://t.co/jcZOInpCsb</t>
  </si>
  <si>
    <t>Reunião do Comitê de Política Monetária do Banco Central começa nesta terça-feira e decisão sobre o futuro da #SELIC sai na quarta-feira.
Entenda: https://t.co/9SXdp3caBV
#portalvgv #bancocentral #mercadoimobiliario #setorimobiliario #construcaocivil #construtora #incorporadora</t>
  </si>
  <si>
    <t>Após a redução de 0,5 ponto percentual na #taxaSelic, os juros básicos da #economia, na semana passada, as instituições financeiras consultadas pelo #BancoCentral esperam por uma diminuição ainda maior até o final deste ano.
Veja: https://t.co/WPDl7YcoKd
#portalvgv https://t.co/OBFZHSbxuo</t>
  </si>
  <si>
    <t>El Banco Central de la República Dominicana informó que este sábado 13 de mayo se podrían presentar algunas dilaciones en el servicio de Pagos al Instante BCRD
#elCaribe #elCariberd #Servicio #Pagos #Instante #retrasos #BancoCentral
https://t.co/eij8AEgKVr</t>
  </si>
  <si>
    <t>#LasMásLeídas El Banco Central tiene postura cautelosa por panorama económico 
#elCaribe #elCariberd #BancoCentral #económico
https://t.co/1a2jVQ0D9z</t>
  </si>
  <si>
    <t>La pausa hecha en el ciclo de bajas de su TPM refleja la claridad del organismo sobre el contexto local y externo
#elCaribe #elCariberd #BancoCentral #posturacautelosa #panoramaeconómico
https://t.co/ypCsoblWdx</t>
  </si>
  <si>
    <t>Al señalar los alcances del plan de incentivo, dijo que habrá mayor circulante, se reflejará la reducción de la tasa de política monetaria de 8.50 % a 8 % y en la baja de las tasas de los préstamos bancarios. #elCaribe #BancoCentral #Medidas #Economía
  https://t.co/fgsK51fqD5</t>
  </si>
  <si>
    <t>El BCRD informa que durante los primeros siete meses del año 2023 las remesas recibidas alcanzaron la cifra de US$5,909.3 millones, lo cual representa un crecimiento de 4.2 % 
#elCaribe #elCariberd #Remesas #superaron #meses #BancoCentral
https://t.co/bZWyg5W6Sh</t>
  </si>
  <si>
    <t>Banco Central informa pausa en el ciclo de reducciones de su tasa de política monetaria 
#elCaribe #elCariberd #BancoCentral #monetaria
https://t.co/4B2bepI6B0</t>
  </si>
  <si>
    <t>“según las últimas estimaciones del BCRD, la inflación entraría al rango meta de 4 % ± 1 % al cierre de este mismo mes de mayo, antes de lo que estaba previsto”.
#elCaribe #elCariberd #Gobernador #BancoCentral #anuncia #inflación #rangometa
https://t.co/JrVKjj9P9f</t>
  </si>
  <si>
    <t>El Banco Central presenta un breve análisis sobre la evolución de las medidas monetarias de provisión de liquidez aprobadas por la Junta Monetaria (JM) en 2023.
#elCaribe #elCariberd #Dinero #BancoCentral 
https://t.co/wCUMDwar1j</t>
  </si>
  <si>
    <t>Andy Dauhajre cree que el BCRD ha hecho por la recuperación más de lo que debía y que ahora le toca a la política fiscal jugar su papel expansivo #elCaribe #AndyDauhajre #BancoCentral #Políticafiscal #Recuperación #Economía 
  https://t.co/H3NxzGCLIf</t>
  </si>
  <si>
    <t>Precisó que “analizado por cada medida de liquidez, los fondos colocados mediante la Facilidad de Liquidez Rápida ascienden a RD$30,018 millones.  #elCaribe #Dinero #BancoCentral #Medidas https://t.co/LDSKEydibP</t>
  </si>
  <si>
    <t>Ramón González Hernández, destacó que el paquete de medidas monetarias del 1 de junio fue adoptado en el momento oportuno luego de que la inflación
#elCaribe #elCariberd #BancoCentral #medidasmonetarias #dinamizarán #economía #RD
https://t.co/Mp5vi9MUzv</t>
  </si>
  <si>
    <t>El #BancoCentral de #RepublicaDominicana asume posición de #Cautela frente al actual #panoramaeconomico. Lo explico en @ElCaribeRD 
https://t.co/GVTzBhiAvL https://t.co/Vmp2mSJp3R</t>
  </si>
  <si>
    <t>#SecretoDeSumario ¿Quién cree que será el candidato más votado en las PASO?</t>
  </si>
  <si>
    <t>Sobre semejante comentario de barrabasada de querer ir a ver las bodedas del #BancoCentral para ver las reservas que difunde en campaña #PatoBulrich: Que se creerá sobre su ignorancia de comentario: "Que es una bodega de buenos vinos para catar, como en #Mendoza?" #OhMyGod! 🤦🏻‍♂️🤣</t>
  </si>
  <si>
    <t>"Las reservas no están en las bobedas del #BancoCentral ; #PatoBullrich por que lo que pidieron al #FMi por 50 mil millones de u$, se la fugaron en tú gob. del gato y por eso estamos así,  quedamos #patopato!" 🤦🏻‍♂️🤦🏻‍♂️😱</t>
  </si>
  <si>
    <t>@Haddad_Fernando Inflação em queda graças ao presidente do #BancoCentral, @RobertoCampos, e apesar  da campanha que o #PTralha faz contra.  Palmas pro Roberto Campos! 👏</t>
  </si>
  <si>
    <t>📣 New Podcast! "Como Tener Una Buena Salud Financiera - Fellito Jose" on @Spreaker #abcfinanzas #bancocentral #buenasaludfinanciera #comogastartudinero #comoinvertirtudinero #cuandodeboteneruncarro #economia #economiarepublicadominicana #economista https://t.co/gxzhHNCxDv</t>
  </si>
  <si>
    <t>Avenida Aeropuerto esta prácticamente intransitable @MuniCerrillos ya pues pónganse las pilas!, ya cada vez tiene menos sentido seguir pagando impuestos e incluso seguir viviendo en el sector, una completa vergüenza @lorena_facuse. #IMPUESTOALASGANANCIAS #Censura #BancoCentral</t>
  </si>
  <si>
    <t>AGORA! Decisão do Copom na #TCRadio! Cobertura e análise ao vivo com @GMSGabriel, Camila Valvezan, Mari Fridman e convidados! 
Informação e análise ao vivo: https://t.co/KZnXIjj39M
#Copom #BancoCentral #Comunicado #Selic https://t.co/MNny61xBgk</t>
  </si>
  <si>
    <t>#JornaldaManhã | Membros do 'Conselhão' divulgam carta pedindo corte de juros ao Banco Central; documento foi assinado por 51 integrantes, incluindo Luiza Trajano, da rede Magalu, e o presidente da Fiesp, Josué Gomes 
JP News
#BancoCentral #Copom #Juros
https://t.co/7yEKQhQqXV</t>
  </si>
  <si>
    <t>O presidente do Banco Central, Roberto Campos Neto, disse nesta sexta-feira (11/08) que a instituição financeira segue atuando em novas funcionalidades do Pix, sistema de transferência de recursos em tempo real. #BancoCentral #PIX
https://t.co/O3e9ti2jZV https://t.co/GxrWjaci8X</t>
  </si>
  <si>
    <t>A previsão do mercado financeiro para o crescimento da economia brasileira este ano subiu de 2,26% para 2,29%. A estimativa está no boletim Focus desta segunda-feira (14/08), pesquisa divulgada semanalmente pelo Banco Central (BC), #BancoCentral
https://t.co/x7dn6DTjxd https://t.co/H1qIKjjOCm</t>
  </si>
  <si>
    <t>Os correntistas ainda têm R$ 7,299 bilhões em contas inativas de bancos e outras instituições, segundo dados do Sistema Valores a Receber (SVR) atualizados nesta segunda-feira (11/09) pelo Banco Central. #BancoCentral #dinheiro
https://t.co/KzGOkeB6vz https://t.co/tdrKEgmPbO</t>
  </si>
  <si>
    <t>RT @rodrigomoraisof: Centrais pedem queda da taxa Selic em ato na Paulista
Queda da taxa Selic é fundamental para aumentar investimento na…</t>
  </si>
  <si>
    <t>Basta de Usura y No Mas Bancos Centrales #liberal #pueblo #noticias #gobierno #ramonfreire #politica #mediosdecomunicación #realidad #politicos #usura #banco #bancos #bancocentral https://t.co/UAbQ4air20</t>
  </si>
  <si>
    <t>RT @RadioDelPlata: 🟣 #JavierMilei, confirmó que si es electo en las próximas elecciones del 22 de octubre el presidente del #BancoCentral s…</t>
  </si>
  <si>
    <t>@interbr falar com o banco inter é como gritar num cemitério, ninguém ouve, ninguém responde! #bancointer
#interbr https://t.co/vhdKLEqMDC</t>
  </si>
  <si>
    <t>Banco Central publica estadísticas de valor de mercado de la vivienda (VMV) https://t.co/9ebFfZeqs9 #BancoCentral</t>
  </si>
  <si>
    <t>MASSA DA MARCHA ATRÁS CON LA MEDIDA QUE AFECTABA A MERCADOPAGO Y DEMÁS BILLETERAS VIRTUALES
https://t.co/XQRJ75TVvR
#MercadoPago #MarcoGalperin #SergioMassa #BancoCentral https://t.co/NPAM9VlTj3</t>
  </si>
  <si>
    <t>El Banco Central ya puso en circulación el nuevo #Billete de $#2000
https://t.co/t5Phwdq9nj
#BancoCentral #MisionesParaTodos https://t.co/VWu0BeCeIj</t>
  </si>
  <si>
    <t>El dólar blue retrocedió después de tres días de escalada
https://t.co/BqqnV8PRQ4
#BancoCentral #DólarBlue #MisionesParaTodos https://t.co/EEDw6dBxbh</t>
  </si>
  <si>
    <t>Milei defendió la dolarización: "Ustedes no necesitan un Banco Central" 
https://t.co/Tvv6dknPQd
#MisionesParaTodos #BancoCentral #JavierMilei https://t.co/u9SveAAaia</t>
  </si>
  <si>
    <t>Califican de "bestialidad" la propuesta de Patricia Bullrich de "entrar con una cámara" al Banco Central
https://t.co/JFYs0ZYXfW
#BancoCentral #Elecciones2023 #MisionesParaTodos #PatriciaBullrich https://t.co/Y3RG5OpE7O</t>
  </si>
  <si>
    <t>Califican de "bestialidad" la propuesta de Patricia Bullrich de "entrar con una cámara" al Banco Central
https://t.co/JFYs0ZYXfW
#BancoCentral #Elecciones2023 #MisionesParaTodos #PatriciaBullrich https://t.co/XUCRgoXLDD</t>
  </si>
  <si>
    <t>Adiós a los billetes de $ 2000: por qué los rechazan los cajeros y qué hacer si tengo uno
https://t.co/yaMtt31H3F
#2000Pesos #BancoCentral #Billete #CajerosAutomáticos #MisionesParaTodos https://t.co/ostrmdfRgt</t>
  </si>
  <si>
    <t>Quién es Emilio Ocampo, el economista que Javier Milei piensa poner al frente del Banco Central para cerrarlo
https://t.co/mi8RU0ZAHK
#BancoCentral #EmilioOcampo #JavierMilei #MisionesParaTodos https://t.co/ygzXOLbr64</t>
  </si>
  <si>
    <t>Quer entender os seus direitos referente a esse assunto? 💸
Saiba mais: 👇🤗
📲 (11) 3837-9560 (WhatsApp)
🖱 https://t.co/xw2J7FF7qv
#araujosantosadvocacia #direito #direitobancario #emprestimoconsignado #tjba #praticasabusivas #juros #direitodoconsumidor #bancos #bancocentral https://t.co/2h1Emz5cPm</t>
  </si>
  <si>
    <t>Entre pessoas físicas, valor médio transferido por Pix é de R$ 257, mas a maioria é menor que R$ 100
#Pix #BancoCentral #Dezembro #Amazonas #Manaus #AmazonasAtual
Leia mais 🗞️📰 https://t.co/grug6STYPk</t>
  </si>
  <si>
    <t>Banco Central corta taxa Selic em 0,5 ponto, para 13,25% I A decisão, contudo, não foi unânime. Foram 5 votos a 4 pela queda de 0,5 ponto percentual, incluindo do presidente do BC, Roberto Campos Neto
#bancocentral #taxadejuros #Selic #Lula #COPOM
https://t.co/QwXhhkbzr3</t>
  </si>
  <si>
    <t>El Banco Central de Chile ajusta proyecciones: techo del PIB 2023 en 0% y sube inflación a 4.3% 📊🇨🇱💰. #EconomíaChilena #Inflación #BancoCentral
TUIT DESTACADO: https://t.co/sFJS0JGIJW</t>
  </si>
  <si>
    <t>Senadores elogian al Banco Central pero expresan inquietud por el crecimiento económico 📈. #BancoCentral #Economía #Senadores 🌟👥📚
TUIT DESTACADO: https://t.co/NtIOlq8VDk</t>
  </si>
  <si>
    <t>📌#AHORA | El presidente @LassoGuillermo derogó el Decreto 494, firmado hace 13 años por #RafaelCorrea mediante el cual, el Banco Central le traspasó el edificio #Centenario para uso del @CpccsEc. El mandatario con decreto 759 dispone regrese a manos de #BancoCentral @srradioEc https://t.co/jQljDTOzce</t>
  </si>
  <si>
    <t>Cuando sólo querés casarte, pero te ofrecen una cuenta con una TNA del 78% y te hacen la persona más feliz del mundo. https://t.co/mn6GEUiLRH</t>
  </si>
  <si>
    <t>#BancoCentral informa que uma só pessoa resgatou R$ 2,8 milhões ‘esquecidos’.
Matéria completa Aqui 👇
https://t.co/Umdaip5Edl</t>
  </si>
  <si>
    <t>ACTUALIZACION DE INFORMACIÓN ESTUDIO CARBALLEIRO COM. A 7789 NOVEDADES EN RELACION CON EL ACCESO AL MLC PARA EL PAGO DE FLETES INTERNACIONALES
#BancoCentral #Transporte #importaciones #fletes #logistica #comercioexterior https://t.co/jqTNMPxg5f</t>
  </si>
  <si>
    <t>RT @SindBaixada: O @SindBaixada esteve presente nesta quarta (20/9), no ato de protesto para pressionar o Comitê de Política Monetária do B…</t>
  </si>
  <si>
    <t>⚠️ #BancoCentral
Las reservas ya caen USD 1.560 millones en junio, mientras se dilatan las negociaciones con el FMI
El final del programa dólar soja 3 pasó factura este mes, complicando todavía más al Banco Central. El nuevo desembolso que espera Massa por parte del organismo… https://t.co/OH874DZaHB</t>
  </si>
  <si>
    <t>O Programa de renegociação Desenrola Brasil permitirá negociação de dívidas de até R$ 5.000,00 em 60 meses.
#LobsContabilidade #BancoCentral #Débito #DesenrolaBrasil #Dívida #MinistériodaFazenda #Parcelamento #Renegociação
https://t.co/imiB3QbbWv https://t.co/k1q82yihuE</t>
  </si>
  <si>
    <t>O Pix é atualmente a modalidade mais utilizada pelos clientes dos microempreendedores individuais (MEIs).
#LobsContabilidade #BancoCentral #Boleto #DOC #PIX #Tarifa #Taxa #TED
https://t.co/626BffN4y9 https://t.co/PVhKWkiP9A</t>
  </si>
  <si>
    <t>O sistema de recolhimento do FGTS entrará em vigor em janeiro de 2024, com previsão de reduzir tempo e custo de gastos.
#LobsContabilidade #BancoCentral #FGTS #FGTSDigital #PIX #Segurança
https://t.co/srD3Kg4uVi https://t.co/OYX8RJgDXM</t>
  </si>
  <si>
    <t>O consumidor poderá fazer compras na função crédito via Pix, disse o Roberto Campos Neto.
#LobsContabilidade #BancoCentral #CartãodeCrédito #Encargos #Juros #PIX #Rotativo
https://t.co/BC9Jaun3ap https://t.co/yXiaLnPTPh</t>
  </si>
  <si>
    <t>#BancoCentral #Brasil #Selic #juros https://t.co/NzthGMFz3X</t>
  </si>
  <si>
    <t>El Banco Central escrachó a Tinelli, que debe más de $630 millones
#bancocentral #tinelli @cuervotinelli #marcelotinelli #vip #noticias #deuda
https://t.co/F1g4YWxrzb https://t.co/kPaHFu7oxP</t>
  </si>
  <si>
    <t>La deuda del BCRA ya supera los $15 billones
#deuda #economia #bancocentral #leliq #pases 
https://t.co/4WgtAAoqdo https://t.co/OrvXzcoslR</t>
  </si>
  <si>
    <t>Comienza a circular el billete de $2000
#billete #nuevobillete #bancocentral 
https://t.co/AMqTPTvQKR https://t.co/b6MOgZt4PM</t>
  </si>
  <si>
    <t>El Banco Central informó que mantienen "la misma posición" en reservas de oro
#bancocentral #BCRA #tesoro 
https://t.co/LB5Hi5erMi https://t.co/ifKSoXdPBS</t>
  </si>
  <si>
    <t>El Banco Central fijó el tipo de cambio oficial a $350 hasta las elecciones de octubre
#BCRA #BancoCentral #Dólar 
https://t.co/DGVQFe2taQ https://t.co/CVhIRWv2xH</t>
  </si>
  <si>
    <t>El Banco Central compró más de USD 100 millones en el mercado
#dolar #bancocentral #economia #dolarblue
https://t.co/HfPiDIDpOa https://t.co/u5OghTwrsV</t>
  </si>
  <si>
    <t>¿Cuáles son los países sin Banco Central a los que Milei propone unirse?
#BancoCentral #Milei #Argentina 
https://t.co/DYrv9BAPCd https://t.co/4gq0AUmWl7</t>
  </si>
  <si>
    <t>Las reservas cayeron US$237 millones y alcanzaron el peor nivel desde 2006
#bancocentral #reservas #economia 
https://t.co/TUfuMPFz7L https://t.co/hwW4eftf12</t>
  </si>
  <si>
    <t>En lo que va del año, las reservas del Banco Central cayeron un 42%
#economia #reservas #bancocentral #bcra 
https://t.co/1VUCb39fa3 https://t.co/U1W6gx5ECO</t>
  </si>
  <si>
    <t>Comenzó a circular el nuevo billete de $1000
#billete #dinero #bancocentral #nuevobillete 
https://t.co/vWaXM7I1Wd https://t.co/4yy977Fd8K</t>
  </si>
  <si>
    <t>En búsqueda de reservas para el Central, el gobierno lanzó un nuevo dólar soja
#Soja #dolar #economia #negocios #campo #BancoCentral
https://t.co/fI6nUgQJhA https://t.co/OkLfPJ19yN</t>
  </si>
  <si>
    <t>Reservas del Banco Central en rojo: cayeron US$17.000 millones en el año
#Dólar #BancoCentral #Economía #Reservas #FMI #Massa
https://t.co/cCCkSEI0g7</t>
  </si>
  <si>
    <t>Viva la libertad carajo!! VLL 
#VLL #InShot #VLLC #Milei #Milei2023 #mileipresidente2023 #bancocentral @JMilei @KmanuS88 https://t.co/lx9KcDDUCS</t>
  </si>
  <si>
    <t>O Brasil está voltando a caminhar… 
Isso é reflexo de um governo que tem governabilidade! 
 É necessário saber separar as divergências e lutar por um bem comum que é o Brasil 🇧🇷 
#BancoCentral #juros</t>
  </si>
  <si>
    <t>Na Cooxupé, presidente do Banco Central destaca importância do crédito rural e necessidade de mais instrumentos de captação https://t.co/TYrjbNftEO #jornaljogoserio #rural #agronegocio #bancocentral #creditorural #desenvolvimentopessoal #safra2023 #cooxupe #cooperativa #cafe https://t.co/tvM0KF8KM7</t>
  </si>
  <si>
    <t>#bancocentral #billete #ceciliagrierson #ramoncarrillo #institutonacionaldemicrobiologiaDrCarlosMalbran</t>
  </si>
  <si>
    <t>#inflacion #economia #bancocentral #usuarios #billete #bancos</t>
  </si>
  <si>
    <t>#desembolso #bancocentral #sergiomassa #FondoMonetarioInternacional #ministrodeeconomia</t>
  </si>
  <si>
    <t>#argentina #china #bancocentral #dolar #swap</t>
  </si>
  <si>
    <t>#argentina #economia #bancocentral #Deuda #FondoMonetarioInternacional</t>
  </si>
  <si>
    <t>👉Massa pidió la derogación de la norma del Central sobre billeteras electrónicas.
Más info ⬇️
#Anuncio #bancocentral #billeterasvirtuales #Fraude #mercadopago #sergiomassa #usuarios
https://t.co/HkI7sAoOv4 https://t.co/pH8woZzOFp</t>
  </si>
  <si>
    <t>#RadioNoticiasDelPlata | 📻 
🟠 "Desde hace 12 años Argentina gasta más de lo que ingresa", lo dijo el economista Salvador Distefano por #RadioDelPlata.
➡️ Además, agregó que el #BancoCentral ya no tiene #dólares y que es factible que la divisa siga aumentando.</t>
  </si>
  <si>
    <t>➡ #JavierMilei volvió a defender su plan económico y ratificó su decisión de eliminar el #BancoCentral en caso de convertirse en el nuevo presidente de los argentinos. 
🗣 “Es una estupidez decir que dolarizar conduce a una hiperinflación”. https://t.co/q0dlcTgqmQ</t>
  </si>
  <si>
    <t>🟠#Milei, habló de la situación económica y política del país:  "Juntos por el Cambio hace cosas diez mil veces peores que las que hacen los peronistas. Para cuando nosotros lleguemos al poder tenemos la forma de #dolarizar y terminar con el #BancoCentral''. https://t.co/4pmJKapjgX</t>
  </si>
  <si>
    <t>#RadioNoticiasDelPlata | 📻 
🟠 El #BancoCentral habilitó la apertura de cuentas bancarias en #yuanes.
➡️ El #BCRA aseguró estar comprometido a promover la incorporación del #yuan en el mercado financiero argentino.</t>
  </si>
  <si>
    <t>🟣 #JavierMilei, confirmó que si es electo en las próximas elecciones del 22 de octubre el presidente del #BancoCentral será #EmilioOcampo.
💵 Ocampo es el creador del plan de #dolarización que impulsa el libertario y tendrá a su cargo la tarea de “cerrar” la entidad de crédito. https://t.co/zatxxGDVeo</t>
  </si>
  <si>
    <t>#RadioNoticiasDelPlata | 📻 
💰 El #Gobierno le pidió al #BancoCentral otros $688M el último día de junio, en concepto de adelantos transitorios.
👉 El préstamo lo usó para comprar las #divisas para hacer frente al vencimiento por U$D2692M por la deuda con ese organismo.</t>
  </si>
  <si>
    <t>🔵@horaciorlarreta: “Voy a cerrar las puertas del #BancoCentral”
📌Aseguró que de resultar electo como Presidente le brindará autonomía al organismo encargado de la política monetaria del país
👇🏻Nota completa acá
https://t.co/ZT9aKWUw0L</t>
  </si>
  <si>
    <t>🔵 #BCRA oficializó la suba de tasas de interés: cómo afecta a plazos fijos y tarjetas de crédito
📌El #BancoCentral oficializó la suba de tasas para frenar la dolarización e incentivar el retorno de las inversiones en moneda local
👇🏻Nota completa acá
https://t.co/N5u6pQVn63</t>
  </si>
  <si>
    <t>🔵 Exclusivo: #Milei quiere a #Sturzenegger para el #BancoCentral
📌 El libertario, que no incendiará la entidad monetaria como había prometido, inició conversaciones con el ex titular del BCRA durante el gobierno de #Macri.
👉🏻 Nota completa acá
https://t.co/98jVr78cMf</t>
  </si>
  <si>
    <t>Al final resultó ser que "prender fuego el #BancoCentral" era hacer lo mismo que ya hizo @fedesturze entre 2016 y 2018.
Vamos entendiendo...
https://t.co/SQRNtuvwtD</t>
  </si>
  <si>
    <t>@GuilhermeBoulos O Pato Lógico É PATO: NÃO É BURRO. Senhor #bancocentral, o deboche é indesejável. A empáfia é infundada, porque ignorante. "Crescer o bolo" foi um argumento truculento dos avós e você faz pior: literalmente destrói os ingredientes do bolo. SABOTAGEM E TRAIÇÃO À PÁTRIA  Cuen!</t>
  </si>
  <si>
    <t>@randolfeap O Pato Lógico É PATO: NÃO É BURRO. Senhor #bancocentral, o deboche é indesejável. A empáfia é infundada, porque ignorante. "Crescer o bolo" foi um argumento truculento dos avós e você faz pior: literalmente destrói os ingredientes do bolo. SABOTAGEM E TRAIÇÃO À PÁTRIA  Cuen!</t>
  </si>
  <si>
    <t>O Pato Lógico É PATO: NÃO É BURRO. Senhor #bancocentral, o deboche é indesejável. A empáfia é infundada, porque ignorante. "Crescer o bolo" foi um argumento truculento dos avós e você faz pior: literalmente destrói os ingredientes do bolo. SABOTAGEM E TRAIÇÃO À PÁTRIA 
Cuen! https://t.co/S0vPGpwGan</t>
  </si>
  <si>
    <t>@AndrSou01471403 @CejcaMarja @souapenasV @bancosantander @BancoCentralBR @Zambelli2210 @AndrSou01471403 Valeu pela deixa!
"Pornográfico": Taxa de juros mantida pelo Banco Central, de 13,75% ao ano, ‘mata’ o brasileiro
https://t.co/kfbRdfT5Ri
#Banco #TaxaDeJuros #Selic #BancoCentral #Copom #Empréstimo #Santander #Brasil #Europa #Euro #Real #Economia</t>
  </si>
  <si>
    <t>Así es como se pierden las confianzas #BancoCentralMiente #NoMasMentiras #IntervencionPolitica #BancoCentral https://t.co/K0usWzjO4U</t>
  </si>
  <si>
    <t>Banco Central de Chile reduce tasa de interés en 100 puntos base para impulsar la economía en medio de un panorama mixto: https://t.co/Uyh1sovzmU  /  #OHiggins #BancoCentral #TasaDeInteres #Inflacion</t>
  </si>
  <si>
    <t>#SinCortapisa Banco Central informa que la República Dominicana recibió US$ 5,019.9 MM en remesas el primer semestre del 2023.
LEA MÁS👉 https://t.co/JM3Loy6Hm3
Cc. @BancoCentralRD @PresidenciaRD @luisabinader @Comunicaciondo @HomeroFigueroaG #US$5,019.9 #BancoCentral https://t.co/JQ76BEXElW</t>
  </si>
  <si>
    <t>#SinCortapisa BCRD mantiene tasa de interés de política monetaria en el 7.75 % anual.
LEA MÁS👉 https://t.co/agSeUy955N
Cc. @BancoCentralRD @mineconomiard
#BCRD #BancoCentral #políticamonetaria #tasadeinterés #economicas https://t.co/i7WdUlE4uI</t>
  </si>
  <si>
    <t>#SinCortapisa Banco Central comunica que el mercado laboral muestra un crecimiento interanual de 128, 627 puestos.
LEA MÁS👉 https://t.co/06JJtkU1IZ
Cc. @BancoCentralRD @PresidenciaRD @luisabinader #bancocentral #empleos https://t.co/t8SWaF1rJi</t>
  </si>
  <si>
    <t>#SinCortapisa Banco Adopem celebra aniversario y premia a empleados destacados con la entrega de 119 obsequios.
LEA MÁS👉https://t.co/zXfBTfVqIS
Cc. @Banco_Adopem 
#BancoCentral #Economia https://t.co/YqU9kktrP0</t>
  </si>
  <si>
    <t>#SinCortapisa El Banco Popular pasa a ser miembro Premium del Club de Gestión de Riesgos.
LEA MÁS👉https://t.co/W3ykgmCEFT
Cc. @Popularenlinea 
#BancoCentral #Economia #gestion #Premium #Popular https://t.co/vLBMKJrHxd</t>
  </si>
  <si>
    <t>#SinCortapisa Banco Central disminuye su tasa de política monetaria; pasa de 8% a 7.75% anual.
LEA MÁS👉 https://t.co/GGKmy01pG6
Cc. @BancoCentralRD #BancoCentral #Economia #RepublicaDominicana https://t.co/BGI93DtGAw</t>
  </si>
  <si>
    <t>#SinCortapisa Gobernador del Banco Central Héctor Valdez Albizu encabezará encuentro del Consejo Monetario Centroamericano en RD.
LEA MÁS👉 https://t.co/6o1WwEccZX
Cc. @BancoCentralRD 
#BancoCentral #Economia #ConsejoMonetarioCentroamericano #PuntaCana #CMCA https://t.co/Pi7gWo4zOE</t>
  </si>
  <si>
    <t>#Sincortapisa Banco Central y ProDominicana unirán fuerzas para trabajar conjuntamente datos sobre inversión extranjera y exportaciones.
LEA MÁS👉https://t.co/zpshFFPNRV
Cc. @BancoCentralRD 
#Bancocentral #dominicanos #Economia https://t.co/jNa53GUn6K</t>
  </si>
  <si>
    <t>#BANCOCENTRAL #DESDOLARIZACION
(HILO) Mi participación en las redes está fuertemente asociada a la ciencia, tecnología e innovación. No suelo compartir opiniones sobre Economía Internacional, a pesar de ser profesor concursado de dicha materia en la UBA y en la UNQ.</t>
  </si>
  <si>
    <t>RT @ferpeirano: #BANCOCENTRAL #DESDOLARIZACION
(HILO) Mi participación en las redes está fuertemente asociada a la ciencia, tecnología e i…</t>
  </si>
  <si>
    <t>El Banco de Corea emite una advertencia sobre los riesgos financieros relacionados con los préstamos inmobiliarios en deterioro.
Via. Yahoo Finance
https://t.co/BebyTccCbb
#DentroDelPrecio #InsideThePrice #Mundo #Asia #coreadelsur   #BancoCentral #Noticias #Actualidad #Economia</t>
  </si>
  <si>
    <t>Las bolsas europeas se encuentran en alza mientras se anticipan las reuniones de los bancos centrales programadas para esta semana. 
Via. Yahoo Finance
https://t.co/wJNsxb8bRG
#DentroDelPrecio #InsideThePrice #MercadosFinancieros #Europa #BancoCentral #Noticias #Actualidad</t>
  </si>
  <si>
    <t>¿Qué impacto tendrá esta medida en la economía nacional y los mercados globales? ¡Estamos atentos a los desarrollos! #BancoCentral #Economía #NuevaZelanda #GestiónDeActivos #FinanzasPersonales #MercadosFinancieros https://t.co/zGih4NjPNu</t>
  </si>
  <si>
    <t>1/🏦🔍 Javier Milei tiene en la mira a Federico Sturzenegger como su elección para presidir el Banco Central si llega a la presidencia. #MileiPresidente #BancoCentral #NoticiasDelDía https://t.co/yFZ6umVqW7</t>
  </si>
  <si>
    <t>Todo lo iba a cambiar Borrrricccc....
BAJEN LA TASAAAAAAAA!!!!
Alguien que le avise al Banco Central que va 5 meses atrasado x la CDM!!!!
#bancocentral #ipc #boric  #imacec</t>
  </si>
  <si>
    <t>@CostaJr2023 #bancocentral  #Banqueiros corruptos \ #juros livres , cancelaram a #constituição de 93 que limitava os juros #CRIME</t>
  </si>
  <si>
    <t>"Não é possível que numa reunião entre presidentes de países importantes, a palavra desigualdade não apareça", discursou o presidente @LulaOficial durante a Cúpula para um Novo Pacto Financeiro Global, na França, nesta sexta (23). 
Confira na íntegra:
https://t.co/Gn76duGzjn</t>
  </si>
  <si>
    <t>@LulaOficial O problema no Brasil não são os políticos e sim os #banqueiros,  #bancocentral  ladrōes oficiais !    
Senadores e Deputados  “ alteraram”  a #Constituição  em 1993 e liberaram os juros CRIME só quem lucra no Brasil são os Bancos 🏦#crime</t>
  </si>
  <si>
    <t>#PIX fica mais eficiente no combate a fraudes e crimes, diz BC.  Acesso tempestivo a dados cadastrais vinculados às chaves, pelos MPs e polícias, auxiliará na prevenção de fraudes https://t.co/XTwGhSlUk2 #BancoCentral #BCB via @BancoCentralBR 
📷Marcello Casal Jr./Agência Brasil https://t.co/chSYKVZP4s</t>
  </si>
  <si>
    <t>@BolsaCordoba @DianaMondino “Que haya un acuerdo entre @JMilei y @SergioMassa son nulas, son más negativas que las reservas del #BancoCentral”. @DianaMondino en la @BolsaCordoba</t>
  </si>
  <si>
    <t>Você com certeza já ouviu falar sobre #DREX no dia de hoje, né? No nosso linkedin a gente explica melhor sobre a nova moeda do #BancoCentral, corre lá! 
https://t.co/ZNQQXQVxEk</t>
  </si>
  <si>
    <t>Campos Neto, o grande sabotador da República! 
🎙️@gabrielbrbjor
#economia #sabotagem #bancocentral #jurosabusivos #br https://t.co/uSL1OMGfup</t>
  </si>
  <si>
    <t>Governo @LulaOficial  e a sabotagem do Banco Central. 
#economia #bancocentral #bc #camposneto #camposnetodemitido #governo #lula https://t.co/gA0lICP703</t>
  </si>
  <si>
    <t>Teto para gastos de juros
@HoraDoPovoBR @PortalCTB @gpslifetime @AuditoriaCidada @portalvermelho
#jurosbaixosjá #austericidiofiscal #arcabouçofiscal #governolula #bancocentral #congressonacional 
https://t.co/ttCNq7kRTM</t>
  </si>
  <si>
    <t>A previsão do mercado financeiro para o IPCA – considerado a inflação oficial do país – caiu de 5,69% para 5,42% este ano. A estimativa está no Boletim Focus desta segunda-feira (12). https://t.co/S1uKcsO74b #economia #pib #copom #ipca #bancocentral #ibge #Brasil #CNM</t>
  </si>
  <si>
    <t>Apesar da queda da inflação e das pressões de parte do governo, o Banco Central (BC) não mexeu nos juros. Por unanimidade, o Comitê de Política Monetária (Copom) manteve a taxa Selic, juros básicos da economia, em 13,75% ao ano. https://t.co/2gN7YcRC1L #bancocentral #selic #juros</t>
  </si>
  <si>
    <t>A previsão do mercado financeiro para o crescimento da economia brasileira este ano subiu de 1,26% para 1,68%. 
https://t.co/cyTfZlEVWO #brasil #economia #bancocentral #selic #economiabrasileira #pib #ipca #copom</t>
  </si>
  <si>
    <t>O presidente Luiz Inácio Lula da Silva criticou nesta terça-feira (27) a taxa de juros do empréstimo consignado, atualmente em 1,97%.  https://t.co/392MxCsU68 #lula #consignado #juros #minidtrodafazenda #fernandohaddad #brasil #bancocentral</t>
  </si>
  <si>
    <t>O mercado financeiro reduziu a previsão da inflação para este ano pela oitava vez. Segundo projeção do Boletim Focus, divulgada nesta segunda-feira pelo Banco Central... https://t.co/pcwkvhpGSd #economia #pib #ipca #reporterbrasilia #copom #bancocentral #brasil #inflacao #cnm</t>
  </si>
  <si>
    <t>Benefícios sociais e trabalhistas poderão ser pagos no futuro por meio do real digital, disse nesta quarta-feira (26) a presidenta da Caixa Econômica Federal, Maria Rita Serrano. #reporterbrasilia #caixaeconomica #bancocentral 
https://t.co/6pblTpOKGc</t>
  </si>
  <si>
    <t>Projeção do crescimento da economia em 2023 subiu para 1,2%. A previsão do mercado financeiro para o  ao (IPCA), considerada a inflação oficial do país, caiu de 6,03% para 5,8% este ano. 
https://t.co/S73DAq2dcG #economia #inflação #pib #bancocentral #brasil #ipca</t>
  </si>
  <si>
    <t>Perseguir a meta fiscal representa um compromisso do governo com as contas públicas, disse nesta quinta-feira (21), em Brasília, o ministro da Fazenda, Fernando Haddad. https://t.co/QlyzRaO5QM #economia #reporterbrasilia #brasil #Haddad #BC #bancocentral</t>
  </si>
  <si>
    <t>O BC elevou a projeção para o crescimento da economia este ano. A estimativa para a expansão do PIB, passou de 2% para 2,9%, em razão, sobretudo, da “surpresa com o crescimento no segundo trimestre”.
 https://t.co/Y2GO4ff7kq #reporterbrasilia #ibge #BancoCentral #PIB #BC</t>
  </si>
  <si>
    <t>AHORA: Banco Central acuerda “activar” requerimiento de capital contracíclico para la banca
https://t.co/okCt4bRLWE https://t.co/gFqPc1oh41</t>
  </si>
  <si>
    <t>PROHIBIDO OLVIDAR
YA LO HICIERON
Y AHORA DICEN
LO VOLVEREMOS HACER
FIRMA: YERBA-LUISA
 https://t.co/yVAiw1Ycf3</t>
  </si>
  <si>
    <t>Varios países han creado ya su #MonedaDigital de curso legal.
-Diferente a #Bitcoin.
Esto es, la emite autoridad central (#BancoCentral) 
--👇
"Ya viene la moneda en versión digital que emitirá el Banco de México." 
#PesoDigital
 #CBDC
Por: ElUniversal 
https://t.co/ChUbMo3Ots</t>
  </si>
  <si>
    <t>Única saída é guerra total contra os juros do BC
"São inúteis as negociações. Chegou o momento de se construir uma campanha cívica pela derrubada dos juros e do presidente do BC", defende Bepe Damasco https://t.co/7Hmt0dLHM8</t>
  </si>
  <si>
    <t>Sabendo de uma possível vitória de @LulaOficial, como aconteceu, tentaram logo privatizar o #BancoCentral para prejudicar o governo do @ptbrasil. Infelizmente.</t>
  </si>
  <si>
    <t>Gostei do comunicado
https://t.co/EbYz7TPhQH #BancoCentral #BCB via @BancoCentralBR</t>
  </si>
  <si>
    <t>Banco Central de Chile redujo su tasa de interés en 75 puntos base https://t.co/JY7sHz03eu #bancocentral #PulsoCiudadano #fintual</t>
  </si>
  <si>
    <t>#Tendencias #bancocentral Estas son las únicas billeteras que no tocó el Banco Central https://t.co/Nn90hbSfYc https://t.co/ah47S2vozJ</t>
  </si>
  <si>
    <t>Las autoridades argentinas anunciaron este jueves que ”se realizará el pago de 2.700 millones de dólares al #FMI correspondiente al segundo trimestre, parte en #DerechosEspecialesdeGiro (DEG) del #Tesoro y parte con yuanes, sin utilizar reservas del #BancoCentral”. https://t.co/HEZMwqV2FX</t>
  </si>
  <si>
    <t>El dólar “blue” (eufemismo para “mercado negro”) perforó el miércoles la barrera de los AR$500 y marcó un nuevo récord, se informó en #BuenosAires. En tanto, el tipo de cambio oficial también subió a pesar de que el #BancoCentral (BCRA) vendió parte de sus reservas. https://t.co/zL2DrOpQxW</t>
  </si>
  <si>
    <t>“Los equipos del #MinisteriodeEconomía y del #BancoCentral de la #RepúblicaArgentina, y el staff del FMI han finalizado los aspectos centrales del trabajo técnico de la próxima revisión”, dijeron en un comunicado conjunto.
https://t.co/xbprpQUXaL</t>
  </si>
  <si>
    <t>El #BancoCentral de la #RepúblicaArgentina (BCRA) vendió el miércoles 130 millones de dólares y 288 millones de yuanes (unos 40 millones de dólares) en una medida desesperada por evitar que la cotización del “blue” siga disparándose tras alcanzar los 527 AR$ / 1 US$. https://t.co/gVr1SdZkTf</t>
  </si>
  <si>
    <t>💡Confira a matéria completa, com vídeo em https://t.co/7RSrwlgOpl
#TaxaDeJuros #BancoCentral #PolíticaMonetária #EconomiaBrasileira #Inflação #DesenvolvimentoEconômico #MercadoFinanceiro #CenárioEconômico #Investimentos
#EstabilidadeFinanceira https://t.co/3m3gXhsQrD</t>
  </si>
  <si>
    <t>Se acabó Junio y ya tenemos el dato oficial del #euribor
https://t.co/5TxPAVhVDK
#euriborjunio #junio #euriborjulio #julio #hipoteca #hipotecas #finanazas #dinero #bce #fed #bancocentral #tiposinteres #tipointeres</t>
  </si>
  <si>
    <t>Apesar de toda sabotagem índices positivos mostram que o Brasil reage com Lula presidente. #camposneto #bancocentral #JurosBaixosJa #selic</t>
  </si>
  <si>
    <t>BC ACERTOU AO NÃO CORTAR JUROS, DIZ MEIRELLES  ... | ...
Para ler na íntegra, acesse https://t.co/XdbgRby1zg
FONTE: Metrópoles | FOTO: Fábio Vieira/Metrópoles
#portaljuristec #HenriqueMeirelles #BancoCentral #juros https://t.co/Dp6Rj4FSrE</t>
  </si>
  <si>
    <t>BC ELEVA PROJEÇÃO DE CRESCIMENTO DO PIB PARA 2% EM 2023  ... | ...
Para ler na íntegra, acesse https://t.co/QeSKoYJT2w
FONTE: Folha de São Paulo | FOTO: Adriano Machado/Reuters
#portaljuristec #BancoCentral #PIB #crescimento https://t.co/rl82ASgUkx</t>
  </si>
  <si>
    <t>BC ACABA COM A PRESUNÇÃO DE BOA-FÉ  ... | ...
Para ler na íntegra, acesse https://t.co/PQCsWdjYVy
FONTE: CNN Brasil | FOTO: EBC
#portaljuristec #BancoCentral #Supremo #ouro https://t.co/U6z1E5jt7Z</t>
  </si>
  <si>
    <t>BC COMUNICA VAZAMENTO DE DADOS  ... | ...
Para ler na íntegra, acesse https://t.co/adhf8gp8uk
FONTE: Agência Brasil | FOTO: Reprodução/Internet
#portaljuristec #BancoCentral #Pix #vazamentos https://t.co/c66ny07Byv</t>
  </si>
  <si>
    <t>BC ANUNCIA INÍCIO DE NOVA REGRA ... | ...
Para ler na íntegra, acesse https://t.co/y2c0lKcmio
FONTE: CNN Brasil | fOTO: EBC
#portaljuristec #BancoCentral #Pix #investigação https://t.co/j0OGjcnwhU</t>
  </si>
  <si>
    <t>GOVERNO E BC DISCUTEM META DE INFLAÇÃO  ... | ...
Para ler na íntegra, acesse https://t.co/ggnGSv1KQu
FONTE: Folha de São Paulo | FOTO: Gabriela Biló/Folhapress
#portaljuristec #BancoCentral #inflação #políticadejuros https://t.co/XQcEkjb9kz</t>
  </si>
  <si>
    <t>PIX DE R$ 1 BILHÃO ... | ...
Para ler na íntegra, acesse https://t.co/akoT2wFcBq
FONTE: Tecmundo via G1 | FOTO: EBC
#portaljuristec #Pix #1bilhão #BancoCentral https://t.co/7mzlRMUJKz</t>
  </si>
  <si>
    <t>VAZAMENTOS NO PIX ... | ...
Para ler na íntegra, acesse https://t.co/WKJcfHRREv
FONTE: Agência Brasil | FOTO: Marcello Casal Jr./Ag. Brasil
#portaljuristec #BancoCentral #Pix #clientes https://t.co/M2DBjAiGPl</t>
  </si>
  <si>
    <t>.(NOTA🔶) Presidenta de comisión de Trabajo del Senado, Loreto Carvajal e Informe de Política Monetaria de Banco Central: “Se requiere enfrentar la alta informalidad laboral con un Plan Transversal”
#EnLaFontana⛲
#BancoCentral
#LoretoCarvajal
Ver nota👇 https://t.co/z2Lxa89qFh https://t.co/76RbcJflOI</t>
  </si>
  <si>
    <t>.(NOTA🔴) Imacec: Economía chilena cayó 1% en junio
#EnLaFontana⛲
#Imacec
#Economía
#crecimiento
#BancoCentral
Ver nota👇 https://t.co/HasC2NT8CT https://t.co/pSx0GIkYnf</t>
  </si>
  <si>
    <t>Vou contar uma coisa pra vcs .
Esse banco do Brasil é um banco desgraçado!!! Odeio esse banco!
#bancocentral #VamosChile #bancodobrasil  #Bolsonaro</t>
  </si>
  <si>
    <t>Centrais pedem queda da taxa Selic em ato na Paulista
Queda da taxa Selic é fundamental para aumentar investimento na produção e a geração de novos postos de trabalho. Estive no ato representando os trabalhadores e trabalhadoras. 
#juros #bancocentral https://t.co/LmlI9qZGsM</t>
  </si>
  <si>
    <t>✅🔴JUROS BAIXOS JÁ
#BancoCentral https://t.co/blggmR7A6H</t>
  </si>
  <si>
    <t>RT @RubensOtoni: ✅🔴JUROS BAIXOS JÁ
#BancoCentral https://t.co/blggmR7A6H</t>
  </si>
  <si>
    <t>As autoridades do Banco Central são incompetentes e acéfalos, não veem que as criptomoedas na sua maioria são um estelionato, não tem lastro, podem cair a ZERO.
Ações tem patrimônio e lucro, a maioria das cripto NÃO.
#Lula 
@LulaOficial 
#BancoCentral 
#Bitcoin 
#Brasil 
#Br https://t.co/t99O8toOFi</t>
  </si>
  <si>
    <t>The Banco Central Burglary  Picture this: 2005, Brazil. A gang dug a tunnel to the Banco Central's vault. For three months, they chiseled their way to a staggering $70 million. The sheer desire for riches drove their persistence. #BancoCentral" https://t.co/mwqZcIth3y</t>
  </si>
  <si>
    <t>detalhenoticia https://t.co/inNhql3uW7 #BancoCentral #BCB via @BancoCentralBR</t>
  </si>
  <si>
    <t>Copom reduz juros básicos da economia para 12,75% ao ano #copom #inflacao #juros #taxadejuros #bc #bancocentral #brasil #brazil @BancoCentralBR  https://t.co/WYALLuO1wx</t>
  </si>
  <si>
    <t>Aumenta el valor del dólar en la República Dominicana, alcanzando los 55.58 pesos
#PanoramaDigital #Noticias #peso #pesodominicano #dólar #BCRD #BancoCentral 
https://t.co/dIRfsX8qhK</t>
  </si>
  <si>
    <t>El dólar se cambia para la venta a 56.10 pesos dominicanos
#PanoramaDigital #Noticias #peso #pesodominicano #dólar #BCRD #BancoCentral 
https://t.co/Z4Jx8RmdX0</t>
  </si>
  <si>
    <t>El Banco Central evade explicar al país préstamo de RD$25 mil millones al gobierno, dice FP 
#PanoramaDigital #noticias #BancoCentral #DanielToribio #FuerzadelPueblo #préstamo #Economia #Politica 
https://t.co/7zlEm1TOME</t>
  </si>
  <si>
    <t>El dólar se cambia para la venta a 56.14 pesos dominicanos 
#PanoramaDigital #Noticias #peso #pesodominicano #dólar #BCRD #BancoCentral  
https://t.co/AtXVX9C1GP</t>
  </si>
  <si>
    <t>RD recibió cerca de 6mil millones de dólares en remesas durante primer semestre del 2023 
#PanoramaDigital #remesas #BCRD #BancoCentral  
https://t.co/FjQb1w8DmO</t>
  </si>
  <si>
    <t>Fazenda exonera nº 2 de Haddad para assumir cargo no BC
#Galipolo #Haddad #BancoCentral #PlenoNews 
https://t.co/Y97jQgbUaW</t>
  </si>
  <si>
    <t>Falha provoca vazamento de dados de chaves Pix, informa BC
#Pix #BancoCentral #PlenoNews 
https://t.co/MYj3mgQtYb</t>
  </si>
  <si>
    <t>Brasileiros ainda podem sacar R$ 7 bilhões "esquecidos", diz BC
#dinheiro #BancoCentral #PlenoNews
https://t.co/xoxcYRwjRo</t>
  </si>
  <si>
    <t>Pix de R$ 1,2 bilhão foi o maior desde o lançamento, informa BC
#Pix #bancocentral #PlenoNews 
https://t.co/N25NkFJlGe</t>
  </si>
  <si>
    <t>"Não entendo nada de política", diz Roberto Campos Neto
#CamposNeto #BancoCentral #PlenoNews
https://t.co/9ItJDaAfhN</t>
  </si>
  <si>
    <t>Campos Neto diz que BC “não é oposição” ao governo Lula
#CamposNeto #BancoCentral #oposiçao #PlenoNews 
https://t.co/n542BY2gSE</t>
  </si>
  <si>
    <t>Petistas, brasileiros que empreendem, patriotas, empresários que querem realmente produzir, pessoas que querem comprar imóveis etc.
#Juros #BancoCentral</t>
  </si>
  <si>
    <t>El Banco Central resuelve obligar a provincias y municipios a utilizar sus propios dólares para cancelar deudas en moneda extranjera en lugar del mercado oficial. 
#noticias #informacionfinanciera #bancocentral #dolares</t>
  </si>
  <si>
    <t>#bancoCentral atrasa a divulgação do IBC-Br, apenas mais um dia normal.
#FOMC ou #Fed atrasam 3 minutos, o mundo está acabando...</t>
  </si>
  <si>
    <t>El Banco Central llevó el dólar oficial a $350
#BancoCentral  #DolarOficial
https://t.co/mJ2dzrWIcp https://t.co/jGrSU4Fbrt</t>
  </si>
  <si>
    <t>@escuderol5 #Ladolarización,que dice nuestra CN sobre nuestra moneda.
#LosMinisterios cual es el único rol de la vice en nuestra CN? Por lo tanto la vice no puede tener otra funcion + q Presidir el senado.
Aunque le parezca  decorativo🤷‍♀️
División de poderes y Funciones 
#BancoCentral y ++</t>
  </si>
  <si>
    <t>O Banco Central publicou na última segunda-feira (4) o "Relatório de Gestão do Pix - Concepção e primeiros anos de funcionamento 2020-2022". Saiba qual foi o maior valor realizado pelo Pix.
#bancocentral #pix #transferencia #jm
https://t.co/SQsdiBQutk</t>
  </si>
  <si>
    <t>#bancocentral https://t.co/VRoVdamy4K</t>
  </si>
  <si>
    <t>RT @joaopaguiar: #bancocentral https://t.co/VRoVdamy4K</t>
  </si>
  <si>
    <t>Que mala pata que el IPC junio -0,2% aparece en medio de #CasoConvenios me gustaría medir %de coberturas de ambas noticias las próximas 24 horas. #IPC #DemocraciaViva #bancocentral</t>
  </si>
  <si>
    <t>l Banco Central de Turquía sorprendió al mercado este jueves con el incremento de 650 puntos básicos de la tasa de interés hasta el 15 % con el objetivo de controlar la inflación.
https://t.co/MiPPyDPUfJ
#bancocentral #turquia #inflacion https://t.co/okTlfOktnR</t>
  </si>
  <si>
    <t>El candidato #JavierMilei ve como solución a los problemas económicos de #Argentina, abandonar el #peso y adoptar el #dólar. Además, propone eliminar el #BancoCentral que emite la moneda. #Internacional #economia 
Lee nuestro articulo completo👇
https://t.co/x7MsURSrKu https://t.co/Vo4noNLUFB</t>
  </si>
  <si>
    <t>🚨Abogado denuncia al presidente del Banco Central, Miguel Pesce, por uso de encajes financieros💵 ¿Crisis en puerta?🔍
Lee la nota completa en nuestra web - https://t.co/A5LgHOIXDg
#MyE #regionales #ultimahora #BancoCentral #MiguelPesce #CrisisFinanciera #EconomiaArgentina https://t.co/MtwCxUMDGC</t>
  </si>
  <si>
    <t>📉🏦 ¡Reacción post-devaluación! Banco Central eleva tasa mínima para plazos fijos al 118% anual 🚀💰
Lee la nota completa en nuestra web - https://t.co/cgkSCS4zze
#Chaco  #ultimahora #MyE #Devaluacion #BancoCentral #EconomiaArgentina #PlazoFijo #Inflacion #TipoDeCambio https://t.co/L6cPUyN4Sf</t>
  </si>
  <si>
    <t>💵🚀 ¡Llega el billete de $2.000! Pruebas y adaptación de cajeros automáticos en marcha. ¿Estás listo para verlos en la calle? 🧐
Lee la nota completa en nuestra web - https://t.co/eZRNtEoobI
#Billete2000 #EconomiaArgentina #BancoCentral #CasaDeMoneda #CeciliaGrierson #MyE https://t.co/YGZwINJ3Ps</t>
  </si>
  <si>
    <t>📈💵 Banco Central anuncia devaluación y ajusta tasa de interés previo a elecciones 🗳️💰
Lee la nota completa en nuestra web - https://t.co/cTQO2iy7Nt
#Chaco #Actualidad #local #regionales #ultimahora #MyE #EconomiaNacional #Devaluacion #BancoCentral #FMI #TasaDeInteres https://t.co/yPutMxep6M</t>
  </si>
  <si>
    <t>#Economia Un senador provincial habla de "devaluación encubierta" al hacer mención a la nueva resolución del #BancoCentral por lo que #Córdoba irá a la Justicia. Rubén Dal Molín saca cuentas de cuánto le saldrá a #EntreRíos 
https://t.co/STFSoH3N63</t>
  </si>
  <si>
    <t>📢#Pesce aseguró que en 2024 se podría empezar a terminar con el cepo 
➡️El presidente del #BancoCentral remarcó que la regulación cambiaria hoy es una necesidad, pero que podría comenzar a revertirse el próximo año. 
 Leé la nota completa 💻📱👇
https://t.co/MKBQHza9gd https://t.co/gysxFNwjVT</t>
  </si>
  <si>
    <t>8/ Rigidez Laboral: Sin devaluación, ajuste de salarios y empleo se vuelve menos flexible. 🛠️💼 #Salarios #Empleo
9/ Ausencia de Prestamista de Última Instancia: Sin banco central emisor, la economía carece de respaldo en crisis financieras. 🏦 #BancoCentral #CrisisFinanciera</t>
  </si>
  <si>
    <t>https://t.co/VUnERRPowZ #billete #SanMartin #bancocentral</t>
  </si>
  <si>
    <t>PRONTO ENTRARÁN A CIRCULAR LOS BILLETES DE $2.000 / La Casa de la Moneda adelantó la entrega y ahora es la autoridad monetaria la que tiene que tomar la decisión de sacarlos a la calle. #billetes #billetesde2000 #BancoCentral  #casadelamoneda #economia https://t.co/MVjmna5w0B</t>
  </si>
  <si>
    <t>Mercado reduz previsão da inflação de 5,69% para 5,42% este ano #economia #inflação #mercadofinanceiro #índicenacionaldepreçosaoconsumidoramploipca #bancocentral https://t.co/3cHPDcuH8S</t>
  </si>
  <si>
    <t>🎤🇧🇷Uma boa PROFESSSORA  tem sempre esta preocupação: Ensinar o Aluno a desenvencilhar-se Sozinho. 🧑‍🎓🥰👩‍🏫
@jessswhitaker todo o  sucesso para Você. 🙏🥇🏆
#Criptomonedas #crypto #cripto #XRPHolders #XRPLCommunity  #Pix #DREX  #web3 #BancoCentral 
$XRP #ripplexrp #Ripple https://t.co/OIpDCL5nOq</t>
  </si>
  <si>
    <t>🇧🇷🎤#Palau, um país que compreende cerca de 340 ilhas no Oceano Pacífico, está realizando um teste de uma #stablecoin vinculada ao #dólar americano.
A stablecoin será executada no registro #XRP da #Ripple. 
#xrpbrasil #XRPCommunity #xrpnews #bancocentral #cbdc #centralbank #itaú https://t.co/A95d5yilQB</t>
  </si>
  <si>
    <t>Algunos libertarios proponen hacer volar 💣 al #BancoCentral y al Estado. 
¿Y si mejor nos concentramos en que el Estado funcione bien?
Mirá la entrevista completa en nuestro canal de #YouTube 📺👇
https://t.co/od9GwHzCDV
#Estado #FalaciasLibertarias #Liberalismo #Economía https://t.co/tK8P8WpiXJ</t>
  </si>
  <si>
    <t>Sistema financiero e inversiones: este jueves el #BancoCentral mantuvo la tasa de política monetaria en 97% https://t.co/VX2Mvun8h0</t>
  </si>
  <si>
    <t>Este viernes el #BancoCentral vendió 87 millones de #dólares, y en la semana acumuló erogaciones por 223 millones https://t.co/zgdVAhh7QS</t>
  </si>
  <si>
    <t>El #BancoCentral compró 184 millones de #dólares y acumula cuatro jornadas consecutivas con saldo positivo https://t.co/47nmZr6VXP</t>
  </si>
  <si>
    <t>Este martes el #BancoCentral volvió a comprar #dólares: en esta ocasión, 125 millones https://t.co/pUAR64dWuD</t>
  </si>
  <si>
    <t>El #BancoCentral dispuso que desde el 1° de septiembre los #comercios con código QR deberán aceptar pagos con cualquier #billetera digital interoperable https://t.co/T3D1Fkgakt</t>
  </si>
  <si>
    <t>Este martes el #BancoCentral compró más de 65 millones de #dólares y suma seis jornadas consecutivas con saldo positivo https://t.co/uVPLGo0aPA</t>
  </si>
  <si>
    <t>El #BancoCentral obligará a las #provincias a usar #dólares propios para pagar #deudas
https://t.co/q6AwaAX9qM https://t.co/H0qIOYqaV3</t>
  </si>
  <si>
    <t>#Inversiones: el #BancoCentral dispuso subir la tasa de interés para plazos fijos al 97% anual https://t.co/rRIxaLZJ8Z</t>
  </si>
  <si>
    <t>Este lunes el #BancoCentral compró 65 millones de #dólares y acumula diez jornadas consecutivas con saldo positivo https://t.co/wlQwNciSiq</t>
  </si>
  <si>
    <t>Mercado de cambios y reservas: el #BancoCentral lleva tres semanas consecutivas comprando #dólares https://t.co/m8cHDj8YqD</t>
  </si>
  <si>
    <t>PRESIDENCIALES. #Milei eligió a #EmilioOcampo para "cerrar" el #BancoCentral
https://t.co/Z7RggFEln5 https://t.co/9AbERK8fWj</t>
  </si>
  <si>
    <t>Por tercera jornada consecutiva el #BancoCentral compró más de cien millones de #dólares https://t.co/3t5zpJHeJq</t>
  </si>
  <si>
    <t>Este viernes el #BancoCentral compró 49 millones de #dólares y cerró la semana con saldo positivo por u$s 85 millones https://t.co/wMISCPdKZY</t>
  </si>
  <si>
    <t>O Campos Neto sairá do Banco Central tão desmoralizado quanto a famigerada "autonomia" do órgão.
#ForaCamposNeto #ÉHoradeAgir #CamposNeto #BancoCentral #Rentismo #Desigualdade</t>
  </si>
  <si>
    <t>Nesse vídeo Juliane Furno explica por que precisamos compreender o contexto por trás de temas como a taxa de juros e o câmbio. 👩‍🏫
#Brasil #Neoliberalismo #Desigualdade #BancoCentral #TaxadeJuros https://t.co/eWdELpgZyf</t>
  </si>
  <si>
    <t>Fique por dentro: Banco central devolve R$ 6 bi aos brasileiros! 
O post Ótima notícia! Banco central devolve R$ 6 bi aos brasileiros! apareceu primeiro em João Financeira. #DESTAQUE #Dinheiro #bancocentral  https://t.co/uPiFDta3tf</t>
  </si>
  <si>
    <t>Explore o serviço "Valores a Receber do Banco Central" e não perca a oportunidade de verificar se há dinheiro esquecido em seu nome. Veja como fazer a consulta! 
O post GRANA EXTRA: Saiba como pegar sua parte dos R$7… #INSS #Notícias #bancocentral  https://t.co/QiJNLMTcCN</t>
  </si>
  <si>
    <t>💵¡Descubre el billete de $1.000 premiado como el mejor del año!
🏆Destacaron las medidas de seguridad. No te pierdas esta nota completa que revela todos los detalles sobre este reconocimiento.
#Economia #pesos #bancocentral
https://t.co/DBqJwWT3ar</t>
  </si>
  <si>
    <t>BC aprova entrada de Itaú BBA como acionista do marketplace Orbia
#AgroTimes #Agronegócio #BancoCentral
https://t.co/yUJ044jO8R</t>
  </si>
  <si>
    <t>Dentre as expectativa para alta fe inflação, destacam-se uma maior persistência das pressões inflacionárias globais e uma maior resiliência na inflação de serviços do que a projetada em função de um hiato do produto mais apertado.
 https://t.co/siUu5YedUB #BancoCentral</t>
  </si>
  <si>
    <t>ONJORNAL | Economia
O governo do presidente Luiz Inácio #Lula da Silva (PT) determinou que o #BancoCentral será regulador do mercado de #criptoativos no país, como #bitcoins.
https://t.co/3KDALBPEz9 https://t.co/F6sX52dNtm</t>
  </si>
  <si>
    <t>ONJORNAL | Economia
O #BancoCentral informou nesta quarta-feira (21) que estima lançar o #Pix Automático em abril de 2024.
https://t.co/RODnJwud0E https://t.co/YLJGEuzJ8c</t>
  </si>
  <si>
    <t>ONJORNAL | Economia
Nesta quarta-feira (2), o Comitê de #Política Monetária (Copom) do #BancoCentral tomou a #decisão de reduzir a #taxaSelic de 13,75% para 13,25% ao ano.
https://t.co/sXXG4NuTbp https://t.co/Cq27ggoA9D</t>
  </si>
  <si>
    <t>ONJORNAL | Negócios
Em um anúncio #estratégico que reverberou através do cenário #financeiro, o #BancoCentral do Brasil oficializou o nome "Drex" para a sua tão esperada #moeda digital, o #RealDigital.
https://t.co/Hbogvmgwns https://t.co/QhuVAWQxWB</t>
  </si>
  <si>
    <t>ONJORNAL | Política
O presidente do #BancoCentral (BC), Roberto Campos Neto, compareceu na última quinta-feira (10) ao #Senado para prestar #contas e foi cobrado sobre os #juros que continuam sendo o maior do #planeta.
https://t.co/1VQpeWxA6E https://t.co/W6A1XHev64</t>
  </si>
  <si>
    <t>ONJORNAL | Economia
#BancoCentral brasileiro e Federal Reserve anunciam novas #taxas de #juros
acesse o link:
https://t.co/mp15xKWZL6 https://t.co/8qbIcCgWoL</t>
  </si>
  <si>
    <t>Profitable Tech Business ideas to Start a business From Online More info here:https://t.co/8FOkgRuNDk           
#sheilagashumba #GranHermano #DebateTN #Vicky 
#Sheila #Obelisco #BancoCentral #Ejército #Rossi
#Paraguay #Villarruel #CONICET #Chrome #Petri 
#AFJP #Batman https://t.co/GMkXC7uodz</t>
  </si>
  <si>
    <t>El Banco Central ya puso en circulación el nuevo #Billete de $#2000
https://t.co/kC1NE5lGLk
#BancoCentral #ChubutParaTodos https://t.co/DdIHfvPemB</t>
  </si>
  <si>
    <t>El dólar blue retrocedió después de tres días de escalada
https://t.co/nRpZ0hdby9
#BancoCentral #ChubutParaTodos #DólarBlue https://t.co/vq430A3I5Z</t>
  </si>
  <si>
    <t>Milei defendió la dolarización: "Ustedes no necesitan un Banco Central" 
https://t.co/G01AH79Q4R
#ChubutParaTodos #BancoCentral #JavierMilei https://t.co/GuI1yNO4bn</t>
  </si>
  <si>
    <t>Califican de "bestialidad" la propuesta de Patricia Bullrich de "entrar con una cámara" al Banco Central
https://t.co/y02v5mnhae
#BancoCentral #ChubutParaTodos #Elecciones2023 #PatriciaBullrich https://t.co/N3uoQzpFGO</t>
  </si>
  <si>
    <t>Califican de "bestialidad" la propuesta de Patricia Bullrich de "entrar con una cámara" al Banco Central
https://t.co/y02v5mnhae
#BancoCentral #ChubutParaTodos #Elecciones2023 #PatriciaBullrich https://t.co/8FBbqVnN6G</t>
  </si>
  <si>
    <t>Adiós a los billetes de $ 2000: por qué los rechazan los cajeros y qué hacer si tengo uno
https://t.co/o5D3dN5BJN
#2000Pesos #BancoCentral #Billete #CajerosAutomáticos #ChubutParaTodos https://t.co/nLx9KkYlFE</t>
  </si>
  <si>
    <t>Quién es Emilio Ocampo, el economista que Javier Milei piensa poner al frente del Banco Central para cerrarlo
https://t.co/xjwVtdukZK
#BancoCentral #ChubutParaTodos #EmilioOcampo #JavierMilei https://t.co/O5qn14PM7z</t>
  </si>
  <si>
    <t>Boletim Focus: mercado financeiro eleva para 2,18% projeção do crescimento da economia em 2023 https://t.co/PmKe1uAIR5 #BancoCentral #BC #BoletimFocus #mercadofinanceiro #PIB #inflacao #IPCA #jurobasico #Selic #cambio #dolar https://t.co/EZzbYFbEFp</t>
  </si>
  <si>
    <t>Mercado financeiro reduz previsão de inflação de 5,69% para 5,42% em 2023 https://t.co/VbygQPYK0T #BancoCentral #BC #BoletimFocus #Copom #inflacao #IPCA #juro #Selic #PIB #cambio #dolar https://t.co/ACtMqLdZqe</t>
  </si>
  <si>
    <t>Boletim Focus: mercado financeiro eleva projeção de crescimento da economia para 2,19% em 2023 https://t.co/G1GzU8BZAO #BancoCentral #BC #BoletimFocus #Copom #mercadofinanceiro #PIB #inflacao #IPCA #taxadejuro #Selic #cambio #dolar https://t.co/7xxJUQKIRc</t>
  </si>
  <si>
    <t>Mercado financeiro eleva para 2,14% projeção de crescimento da economia em 2023 https://t.co/OGaSkvifGp #BancoCentral BC #BoletimFocus #mercadofinanceiro #PIB #inflacao #IPCA #juro #Selic #cambio #dolar https://t.co/KIYcOgd9EB</t>
  </si>
  <si>
    <t>“Só faltam os escandalosos juros caírem”, defende o vice-presidente Geraldo Alckmin https://t.co/N2EkbVLCB2 #GeraldoAlckmin #taxadejuro #Selic #BancoCentral #BC #Copom #geracaodeempregos #cooperativismo https://t.co/7jIcY3xx64</t>
  </si>
  <si>
    <t>Mercado financeiro prevê PIB de 2,24% em 2023; inflação deve permanecer em 4,95% https://t.co/6yKlEvUwYD #BancoCentral #BC #BoletimFocus #mercadofinanceiro #PIB #inflacao #IPCA #taxadejuro #Selic #cambio #dolar https://t.co/1ysq2HxrPP</t>
  </si>
  <si>
    <t>Copom reduz taxa básica de juros em 0,5 ponto percentual; Selic cai de 13,75% para 13,25% ao ano https://t.co/UQjEEIMn87 #BancoCentral #BC #Copom #taxadejuro #Selic #Lula #RobertoCamposNeto #GabrielGalipolo #AiltonAquino https://t.co/JY7dSjtB6M</t>
  </si>
  <si>
    <t>Mercado financeiro eleva previsão de inflação de 4,84% para 4,9% em 2023, informa o Boletim Focus https://t.co/Q2UiQW1GdA #BancoCentral #BC #BoletimFocus #mercadofinanceiro 3inflacao #IPCA #PIB #taxadejuro #Selic #cambio #dolar https://t.co/cH7Oq1cnx8</t>
  </si>
  <si>
    <t>Atividade econômica desacelera e cresce 0,43% no segundo trimestre, informa o Banco Central https://t.co/rFji6fMhNi #BancoCentral #BC #IBCBR #atividadeeconomica #crescimentoeconomico #PIB https://t.co/qIRrrPCfTu</t>
  </si>
  <si>
    <t>Mercado financeiro eleva para 2,29% projeção do crescimento da economia em 2023 https://t.co/yEFAUWMmcT #BancoCentral #BC #BoletimFocus #mercadofinanceiro #PIB #inflacao #IPCA #taxadejuro #Selic #cambio #dolar https://t.co/1WB24RiIos</t>
  </si>
  <si>
    <t>Mercado financeiro reduz previsão da inflação de 4,95% para 4,9% em 2023; junho registrou deflação https://t.co/5G7OC54KES #BancoCentral #BC #BoletimFocus #mercadofinaneiro #IPCA #inflacao #deflacao #taxadejuro #Selic #PIB #cambio #dolar https://t.co/2jjcUYRApt</t>
  </si>
  <si>
    <t>Mercado financeiro eleva para 2,89% projeção de crescimento da economia em 2023 https://t.co/2kGE6jr6oa #BancoCentral #BC #BoletimFocus #mercadofinanceiro #PIB #inflacao #IPCA #taxadejuro #Selic #cambio #dolar https://t.co/vBKqxIKhUf</t>
  </si>
  <si>
    <t>Plenário do Senado aprova indicação de novos diretores do Banco Central https://t.co/twCAYw0zAY #BancoCentral #BC #Senado #plenario #GabrielGalipolo #AiltonAquinoDosSantos https://t.co/e1TUA19ntC</t>
  </si>
  <si>
    <t>Looking for a job online, now you can earn from home, pay your own expenses, more Info click here: https://t.co/sBSURPovHy
#LK99 #Alien #LGBT #Apartheid #RepGoldman #RabbitRabbit #Infosys #Joyce #Tommy #Costa #1stofAugust #BancoCentral #LaNación #Cecilia #Sophie https://t.co/Rhc0JWGGFp</t>
  </si>
  <si>
    <t>El #BancoCentral dispuso cambios en transferencias recurrentes de cuentas de bancos y billeteras virtuales https://t.co/qXXbZvzpfn</t>
  </si>
  <si>
    <t>#ForaCamposNeto do #BancoCentral. Este #serviçal do #Bozo está prestando um desserviço ao desenvolvimento econômico e social do Brasil. #LulaBrasilMelhor https://t.co/hO0Y1zG9Kz</t>
  </si>
  <si>
    <t>#LulaPovoFeliz Como está evidente a #Sabotagem do #Serviçal do #BancoCentral contra o Governo Lula. Quando o Senado Federal Federal irá se posicionar sobre essa situação ruim que ele mesmo #PARIU? Isso foi proposital e não 
por engano né? Eleger um #Cbozo como monarca do BC. https://t.co/PQVNcTYqq1</t>
  </si>
  <si>
    <t>Este corte do #BancoCentral das #TaxasdeJuros de  R$ 0,25%,não representa #NADA.O Brasil ainda 🇧🇷 continua com a maior taxas de  de juros do  Mundo 🌎 com 13,75%.Essa atitude é um #ESCÁRNIO  do #BC para com  economia com todos os índices equilibrados.   gente ainda tá aplaudindo. https://t.co/tjkNIHBLoQ</t>
  </si>
  <si>
    <t>Atacar o Presidente do BANCO CENTRAL, seria considerado um ataque a uma instituição, ou apenas uma "crítica do amor"?
#bc #bancocentral #lulaladrão #lula #pt #brasil #camposneto https://t.co/IOv2n9uwD8</t>
  </si>
  <si>
    <t>Lembram o que aconteceu quando Dilma quis mudar a taxa de juros na canetada? https://t.co/5oXsVMnbk9</t>
  </si>
  <si>
    <t>MODERNIZAR | O BC anunciou mudanças para modernizar e dar maior segurança ao uso de cheques. O novo padrão passará a valer em 2 de outubro, segundo a entidade monetária.
Confira quais são as mudanças
#BahiaPraVocê #Cheque #BancoCentral #Segurança https://t.co/tM87LejBAY</t>
  </si>
  <si>
    <t>#PRESIDENTE DO #BancoCentral acha que todo brasileiro tem o salário dele e compra parcelado por hobby</t>
  </si>
  <si>
    <t>RT @chtrader: #Argentina - #Tasadeinterés - #BancoCentral 
Como sabemos, la  DECISION fue la de mantener sin 
cambios la tasa de política m…</t>
  </si>
  <si>
    <t>AFIP controlara inversiones en plazos fijos en mayo: ¿desde que monto? 👨🏻‍💻💳🛍️💻🏦
Vía👉🏻https://t.co/skOKcYUVdE
#AFIP #inversiones #plazosfijos #tarjetas #BancoCentral https://t.co/GUjeNKEEgu</t>
  </si>
  <si>
    <t>‼️Desde septiembre los comercios deberán tener un #codigoqr que acepte cualquier billetera digital interoperable.
⏩Lo dispuso el #bancocentral para que la experiencia del pago sea más amigable. Los detalles 👇
https://t.co/DtNwbcj1Qu</t>
  </si>
  <si>
    <t>💸Nuevo récord: el dólar "blue" sigue en alza y tracciona a las demás versiones de la moneda estadounidense.
💰Subió $11 respecto al miércoles y no cede a pesar de la intervención del #bancocentral . Éstas son las cotizaciones del jueves 3 de agosto👇
https://t.co/wfVTzx62fz</t>
  </si>
  <si>
    <t>Atividade econômica cresce 2,41% no primeiro trimestre, informa BC
Leia mais em https://t.co/hu5ysFmGiP
Foto:© Marcello Casal JrAgência Brasil
#masterwnews #economia #bancocentral #pib https://t.co/YXE4TqMulC</t>
  </si>
  <si>
    <t>Dívidas de até R$ 5 mil poderão ser parceladas em 60 meses. Programa de renegociação deve reduzir inadimplência no país
https://t.co/J32Jghl2Y2
#Renegociaçãodedívidas #MP #FernandoHaddad #bancocentral #fgo #Cadúnico #CadastroÚnico https://t.co/dF5BuM1oZE</t>
  </si>
  <si>
    <t>Mercado financeiro eleva projeção de crescimento para 2,19% em 2023 
#boletimFocus #bancocentral #MercadoFinanceiro #Inflação #Câmbio  https://t.co/v7NXdyh7uu</t>
  </si>
  <si>
    <t>#PASOArgentina2023
#Elecciones2023
¿Preocupadx por quién ganó hoy?
Mañana, se viene...el
#DolarBlue 
Reactivando viejos temores...en 3, 2, 1 https://t.co/SNo30pIfkt</t>
  </si>
  <si>
    <t>#Alberto se borró de la #Presidencia , la #devaluación de 22% post #PASO2023, el #dolar por las nubes por efecto del #BancoCentral  un #loop de pesadilla. Si replican al #PRO gana #Milei</t>
  </si>
  <si>
    <t>Votan a #Milei
Hoy #RenunciaMassa
Mañana escena final de #FightClub #BancoCentral
#WhereIsMyMind #Golpe
#InstintoAutodestructivo
La #autodestrucción como salvación #Elecciones2023
#Conjeturas
https://t.co/o11gVgxtxM</t>
  </si>
  <si>
    <t>“DINAMITAR EL #BANCOCENTRAL ”. | El análisis de @SergioSarmiento  en  #JaqueMate https://t.co/m8YYpmX3dn</t>
  </si>
  <si>
    <t>Banco Central anuncia o nome da nova moeda digital: DREX.
Não sei se é bom nome para moeda, mas é excelente nome para dinossauro. #drex #bancocentral https://t.co/fzfdKc60wH</t>
  </si>
  <si>
    <t>📊 Alerta de Indicadores:
• IGP-M: O indicador registrou uma queda de 0,14% no mês de Agosto de 2023. ↓
Fique por dentro das expectativas do mercado financeiro.
#MercadoFinanceiro #Investimentos #Inflação #BancoCentral #FGV #BolsaDeValores #fyp #trending https://t.co/gRcfiC6aeD</t>
  </si>
  <si>
    <t>@hectormendi En el fondo, el #BancoCentral es la Embajada del Sionismo/Anglosajón. Está bien saberlo. Muchas gracias.</t>
  </si>
  <si>
    <t>Gobernador del Banco Central destaca robustez del sistema financiero en el cierre del IX Congreso de Abancord
#BancoCentral #IXCongresodeAbancord #SISTEMAFINANCIERO
https://t.co/k91r8KXSPc https://t.co/AfkykDMnEz</t>
  </si>
  <si>
    <t>💵 PLAZO FIJO VS INFLACIÓN 💵
👉 ¿Cuánto dinero genera una inversión de 50 "lucas" a 30 días?
👉 ¿Por qué conviene invertir por 30 días y no por 90 o más?
👉 Todos lo que tenés que saber 👇
#PlazoFijo #Inversiones #Ahorristas #Inflación #BancoCentral
https://t.co/HudPAkQpHW</t>
  </si>
  <si>
    <t>O Banco Central subestimou e até desdenhou do governo,
Agora convive com esse antagonismo ao governo que mais parece aposta em cavalo manco. E o cavalo manco agora é o Campos Neto! ...
- Ótimo!!! 📷
#BancoCentral #CamposNeto #Lula #Fiscal #taxa</t>
  </si>
  <si>
    <t>Relatório FOCUS
Confira as projeções do mercado para a economia brasileira.
No relatório divulgado hoje, o mercado reduziu as perspectivas de inflação para 2023, 2024, 2025 e 2026.
#Economia #Brasil #BancoCentral
#RelatorioFOCUS #Inflação #IPCA #PIB #Câmbio #SELIC
#Nortus</t>
  </si>
  <si>
    <t>Relatório FOCUS
Confira as projeções do mercado para a economia brasileira.
No relatório divulgado hoje, o mercado reduziu as perspectivas de inflação para 2023, 2024 e 2026; estimativa do PIB deste ano subiu para 2,18%
#Economia #Brasil #BancoCentral
#RelatorioFOCUS</t>
  </si>
  <si>
    <t>Relatório FOCUS
Confira as projeções do mercado para a economia brasileira.
No relatório divulgado hoje, o mercado reduziu as perspectivas de inflação para 2023 e 2024, mas manteve inalteradas as projeções para 2025 e 2026.
#Economia #Brasil #BancoCentral
#RelatorioFOCUS #IPCA</t>
  </si>
  <si>
    <t>Relatório FOCUS
Confira as projeções do mercado para a economia brasileira.
No relatório divulgado hoje, o mercado reduziu as perspectivas de inflação para 2023, 2024, 2025 e 2026; estimativa do PIB deste ano subiu para 2,19%
#Economia #Brasil #BancoCentral
#RelatorioFOCUS</t>
  </si>
  <si>
    <t>No relatório divulgado hoje, o mercado aumentou a perspectiva de inflação para 2023, mas as manteve inalteradas para 2024, 2025 e 2026.; além disso, manteve a estimativa de crescimento do PIB para este ano.
#Economia #Brasil #BancoCentral
#RelatorioFOCUS #Inflação #IPCA #PIB</t>
  </si>
  <si>
    <t>Relatório FOCUS
No relatório divulgado hoje, o mercado manteve a perspectiva de inflação para 2023, 2025 e 2026, mas a aumentou para 2024; além disso, aumentou a estimativa de crescimento do PIB para este ano.
#Economia #Brasil #BancoCentral
#RelatorioFOCUS #Inflação #IPCA #PIB</t>
  </si>
  <si>
    <t>Las remesas recibidas durante el mes de mayo de 2023 sumaron US$881.1 millones, registrando un crecimiento de 3.5 % respecto al mismo mes de 2022, marcando el quinto mes con incremento en lo que va de año. @RafaelNunezR 
https://t.co/lZTyY7mjR0 #BancoCentral #Remesas</t>
  </si>
  <si>
    <t>🏦 El #BancoCentral decidió mantener la tasa de interés elevada a pesar de la baja en la inflación.
https://t.co/mFdwvELMmC</t>
  </si>
  <si>
    <t>🏦🇨🇳 El #BancoCentral incorporó al yuan renminbi como moneda admitida de captación de depósitos en las cajas de ahorros y cuentas corrientes.
https://t.co/3aC9EEiN0r</t>
  </si>
  <si>
    <t>🔴 Laspina advirtió que el #BancoCentral gastó 8.000 millones de dólares de los 10.000 que respaldan los depósitos bancarios.
Leé más ⬇️
https://t.co/t8p9cLSQSj</t>
  </si>
  <si>
    <t>💸 Rebotó el dólar blue y el #BancoCentral realizó la mayor venta de divisas desde abril.
Leer más ⬇️
https://t.co/QwW4rDFvNZ</t>
  </si>
  <si>
    <t>🏦 El #BancoCentral mantuvo en el 97% la tasa de los plazos fijos.
https://t.co/xrCgqFn7xL</t>
  </si>
  <si>
    <t>🏦 Estiman que el #BancoCentral no subirá la tasa de interés.
Leé más ⬇️
https://t.co/8wykWg9PMw</t>
  </si>
  <si>
    <t>🏦 Reapareció el #BancoCentral y los dólares financieros retrocedieron. https://t.co/QsQ0V6KnSk</t>
  </si>
  <si>
    <t>💵 Qué es el #SIOPEL, la plataforma con la que el #BancoCentral busca controlar el "#dólar puré".
Leé más ⬇️
https://t.co/7YYm9JhdnS</t>
  </si>
  <si>
    <t>🏦 Las reservas del #BancoCentral se redujeron casi US$500 millones en tres días.
Leé más ⬇️
https://t.co/W0wpUghycx</t>
  </si>
  <si>
    <t>🏦 El #BancoCentral negó de plano estar vendiendo el oro de las reservas.
Lee más ⬇️
https://t.co/WWPKnTXAzf</t>
  </si>
  <si>
    <t>🏦 El #BancoCentral decidió mantener sin cambios la tasa de política monetaria.
Leé más ⬇️
https://t.co/nL3FK81298</t>
  </si>
  <si>
    <t>🏦El #BancoCentral salió a destacar la "holgada liquidez" de las entidades financieras.
Leé más ⬇️
https://t.co/MG8wxjCs0b</t>
  </si>
  <si>
    <t>🏦 Nueva asistencia del #BancoCentral al Tesoro Nacional por $ 250 mil millones.
Leé más ⬇️
https://t.co/9GbNSVd1dT</t>
  </si>
  <si>
    <t>🏦 El #BancoCentral no deja de perder reservas y lo complica la devaluación del yuan.
https://t.co/mz7IWz10FI</t>
  </si>
  <si>
    <t>🏦💸 El #BancoCentral perdió hoy US$ 760 millones en un solo día como consecuencia de un fuerte pago al #FMI y ventas en el mercado cambiario.
https://t.co/C6vSMyWjGj</t>
  </si>
  <si>
    <t>🔴 El #BancoCentral decide si sube la tasa de interés de plazos fijos
Leé más ⬇️
https://t.co/EiJjV9Pm8q</t>
  </si>
  <si>
    <t>🔴 La deuda del #BancoCentral superó todos los récords.
Leé más ⬇️
https://t.co/Fm2F3Kcx2z</t>
  </si>
  <si>
    <t>🏦 Se acelera la pérdida de reservas del #BancoCentral, a partir de las dudas sobre un acuerdo con el FMI.
https://t.co/9CxizSzEit</t>
  </si>
  <si>
    <t>💳 Cepo a las gift cards: por qué el #BancoCentral decidió limitar su uso.
https://t.co/AY6AzHEnmo</t>
  </si>
  <si>
    <t>🏦 ¿Quién sería el presidente del #BancoCentral de @JMilei?
Leé más ⬇️
https://t.co/znAeZkI79a</t>
  </si>
  <si>
    <t>🚨 El #BancoCentral sale a frenar una maniobra con el contado con liqui
Leé más ⬇️
https://t.co/36kj6cFeyd</t>
  </si>
  <si>
    <t>🔴 Comenzaron a discutir en #Latinoamérica el lanzamiento de monedas digitales por parte del #BancoCentral, ¿y Argentina? 
Leé más ⬇️
https://t.co/reK4aDX6EW</t>
  </si>
  <si>
    <t>💸 Artana advirtió que al #BancoCentral "ya no le queda mucho poder de fuego" para contener al dólar.
Leé más ⬇️
https://t.co/lmqyJosRRJ</t>
  </si>
  <si>
    <t>💵 Bajó el #dólarblue y el #BancoCentral siguió comprando divisas tras el anuncio de acuerdo con el #Fondo.
Lee más ⬇️
https://t.co/OIi00fn5Bk</t>
  </si>
  <si>
    <t>🏦📉 Las reservas del #BancoCentral cayeron en US$ 2.851 millones tras el pago al #FMI.
https://t.co/FMOStlX3Wt</t>
  </si>
  <si>
    <t>🏦 El #BancoCentral de la República Argentina compró US$ 60 millones en el mercado de cambios.
https://t.co/b4zCwINMlQ</t>
  </si>
  <si>
    <t>📈 Un nuevo relevamiento del #BancoCentral eleva al 126,4% la expectativa de inflación para este año y la calcula en 7,5% abril.
https://t.co/mHdO9wQuYk</t>
  </si>
  <si>
    <t>🗣️ El socio fundador de #MercadoPago, Marcos Galperín, salió en defensa de su compañía al criticar la última medida del #BancoCentral.
Leé más ⬇️
https://t.co/7yOy6DQ92L</t>
  </si>
  <si>
    <t>📍 #Mendoza: consiguió que el #BancoCentral le vendiera dólares para pagar el vencimiento 
Leé más ⬇️
https://t.co/ye3hhEdffD</t>
  </si>
  <si>
    <t>📉🏦 Las reservas del #BancoCentral volvieron a caer y quedaron por debajo de los US$ 33.000 millones.
https://t.co/r7RkC17yeB</t>
  </si>
  <si>
    <t>🔴 El Gobierno anularía la resolución con el #BancoCentral
Leé más ⬇️
https://t.co/wowjHmA1le</t>
  </si>
  <si>
    <t>📈🇻🇪 La inflación de #Venezuela se aceleró en junio a 6,2%, informó al #BancoCentral.
https://t.co/edAjISnMoJ</t>
  </si>
  <si>
    <t>🔴🏦 El #BancoCentral auxilió en $ 688.000 millones al Tesoro para pagarle al #FMI.
Leé más ⬇️
https://t.co/0wCVnNkpr8</t>
  </si>
  <si>
    <t>⚖️ La Justicia Federal avaló el reclamo de la provincia de Córdoba, y el #BancoCentral deberá venderle los dólares al precio oficial por el total de la deuda.
https://t.co/A3WlKs0TnA</t>
  </si>
  <si>
    <t>🚛 Los transportistas exigen la suspensión de una normativa del #BancoCentral.
https://t.co/SVLLA5NnPy</t>
  </si>
  <si>
    <t>🏦 Las reservas brutas del #BancoCentral quedaron hoy a punto de perforar el piso de los US$ 35.000 millones.
https://t.co/CrAfFL1VaG</t>
  </si>
  <si>
    <t>Pegar dinheiro emprestado hoje é assinar atestado de óbito da empresa. Taxa de juros do BC é uma excrescência. #Lula #BancoCentral #BC #Juros #Empresario #PadreJoão https://t.co/UIGniHBDzo</t>
  </si>
  <si>
    <t>#Economía I La banca supera los mil beneficiarios en viviendas de bajo costo https://t.co/SV1AEgRfVA
Visita https://t.co/ajt12IMHTY
#rdtevé  #BancoCentral https://t.co/Szn7pGYqm6</t>
  </si>
  <si>
    <t>El Banco Central de Chile ajusta proyecciones: techo del PIB 2023 en 0% y sube inflación a 4.3% 📊🇨🇱💰. #EconomíaChilena #Inflación #BancoCentral
TUIT DESTACADO: https://t.co/mgX8swFLLF</t>
  </si>
  <si>
    <t>#LIAFM Banco Central de la República anuncia que la inflación interanual baja a 4.43 % y retorna a su rango meta.
LEA MÁS👉 https://t.co/34LdqhnDE4
Cc. @BancoCentralRD #BancoCentral https://t.co/nOsioIkgxB</t>
  </si>
  <si>
    <t>#bancobrasil #reclameaqui #bancodobrasil #bancocentral #bacen #procon #ouvidoriabancobrasil #ouvidoriabancodobrasil @BancoCentralBR @BancodoBrasil @ReclameAQUI https://t.co/CpVTAAf7HX</t>
  </si>
  <si>
    <t>De acordo com o BC, o sistema tem disponíveis aproximadamente de R$ 5,68 bilhões em valores a receber para 36,1 milhões de CPFs, além de R$ 1,39 bilhão para 2,75 milhões de CNPJs. Veja mais detalhes na matéria
https://t.co/Fj7db7NXg7
#bancocentral #dinheiroesquecido</t>
  </si>
  <si>
    <t>Segundo o Banco Central, até o momento, o Sistema de Valores a Receber (SVR) devolveu R$ 4,17 bilhões em dinheiro esquecido nos bancos. Veja mais detalhes na matéria
https://t.co/jKb9gD4OnV
#dinheiroesquecido #bancocentral</t>
  </si>
  <si>
    <t>O Banco Central revelou, recentemente, que o sistema ainda possui cerca de R$ 7,3 bilhões para resgate de contas inativas. Confira mais detalhes na matéria
https://t.co/VU9YIzg7Do
#bancocentral #dinheiroesquecido #valoresareceber</t>
  </si>
  <si>
    <t>El Banco Central habilitó las cuentas en yuanes. Desdolarización.
#yuanes #economía #Argentina #bancocentral #bcra #china #desdolarizacion https://t.co/5KQ1uaKOXH</t>
  </si>
  <si>
    <t>Cúpula do PT cobra 'demissão urgente' de Campos Neto da presidência do Banco Central https://t.co/VY20nOJVCV 
Decisão do Copom de manter a Selic em 13,75% provocou revolta. Mandato do presidente do BC vai até 2024 e uma eventual demissão depende do aval do Senado</t>
  </si>
  <si>
    <t>Cerrar el banco central #liberalismo #milei #elecciones #nuevaderecha  #bancoCentral #shorts #tiktok #laCastaTieneMiedo #yaSeVan https://t.co/HubXmn2doW</t>
  </si>
  <si>
    <t>Desde @BCamaguey le sugerimos que:
⚠️ Antes de transferir, pagar o comprar, COMPRUEBE la tarjeta magnética 💳 y moneda a utilizar. 
#Bandec
#BancoCentral
#ComercioElectrónico
#Transfermóvil #Etecsa 
Enzona_BX https://t.co/p7nfKuXlM8</t>
  </si>
  <si>
    <t>El exgobernador del #BancoCentral, #GuillermoCaram, propuso retomar el #comercio en la #frontera con #Haití debido a que es una situación insostenible que puede tener repercusiones económicas graves para la #RepúblicaDominicana.
#RedNacionalNoticias #RNN #Canal27 #Economía https://t.co/W4TpUyeaFB</t>
  </si>
  <si>
    <t>RT @rnncanal27: El exgobernador del #BancoCentral, #GuillermoCaram, propuso retomar el #comercio en la #frontera con #Haití debido a que es…</t>
  </si>
  <si>
    <t>Voto da #Tebet e #Haddad tiram o #CamposNeto da presidência do #BancoCentral. Só que isso não é de interesse do #GovPT. E a seita de Militontos mente que 'ele' não pode ser demitido. Temos aí uma militância de Cretinos que não sabem como funciona o #ConselhoMonetárioNacional. https://t.co/qfDNNmwaoQ</t>
  </si>
  <si>
    <t>Inflación: Las nuevas medidas para intentar contenerla | News Digitales
🔴Lee la nota completa acá:
 https://t.co/oLAsuUiUhy #bancocentral #inflación #nuevasmedidas #sergiomassa https://t.co/5412ZsYAY2</t>
  </si>
  <si>
    <t>Plazo fijo: con la nueva tasa del 97 por ciento, cuánto gano si deposito $100.000 | News Digitales
🔴Lee la nota completa acá:
 https://t.co/UyDdMLvU3U #97 #bancocentral #plazofijo #tasainterés https://t.co/bBWZKK8khi</t>
  </si>
  <si>
    <t>El Banco Central devaluó más del 20% el dólar y elevó la cotización del oficial a $365,50 | News Digitales
🔴Lee la nota completa acá:
 https://t.co/UYOvGNyftg #bancocentral #devaluación #dólar https://t.co/D5oIVxuT07</t>
  </si>
  <si>
    <t>El Banco Central sube la tasa nominal anual de plazos fijos al 118% | News Digitales
🔴Lee la nota completa acá:
 https://t.co/uMxL1d6fvD #bancocentral #economia #plazosfijos https://t.co/QlMscJrWDp</t>
  </si>
  <si>
    <t>Que hará este mes el Banco Central con los plazos fijos | News Digitales
🔴Lee la nota completa acá:
 https://t.co/toJLZHY0KM #bancocentral #plazofijo #tasadeinterés https://t.co/e4uPqPkd0v</t>
  </si>
  <si>
    <t>Hoy se presentó el nuevo billete de $2000 | News Digitales
🔴Lee la nota completa acá:
 https://t.co/SSoYytf0q0 #2000 #bancocentral #billete #billetede2000 https://t.co/XG3sT9wfou</t>
  </si>
  <si>
    <t>@alfaix @rodrigueswol @nicolaudo_ #danuzio #jhfonseca #selic #Venezuela #juros #bancocentral #rifas</t>
  </si>
  <si>
    <t>#Destaques #Economia #BancoCentral Mercado eleva previsão da inflação de 4,84% para 4,9% este ano https://t.co/b65DShqwsI https://t.co/qszgRpNsSO</t>
  </si>
  <si>
    <t>#Destaques #Economia #BancoCentral Fim do parcelamento sem juros prejudicará consumidores, diz Ministro da Fazenda https://t.co/rXsk2Rdl0c https://t.co/zeTeX2Mj90</t>
  </si>
  <si>
    <t>💹💲 ¡Buenas noticias financieras en Argentina! El dólar blue retrocedió a 538 pesos 📉🇦🇷, mientras el Banco Central compró más de 85 millones de dólares 💵💰 #EconomíaArgentina #DólarBlue #BancoCentral
https://t.co/mPy2hfkDzJ</t>
  </si>
  <si>
    <t>Pergunta aos especialistas!
Se teremos um rastreamento e um controle maior com o #DREX #realdigital
O dinheiro direcionado aos gastos públicos será controlado também?
#economia #gastosdogoverno #bancocentral</t>
  </si>
  <si>
    <t>El Banco Central de Marruecos realiza una revisión de la producción del país https://t.co/F3j79W0j6x vía @Atalayar_ #Marruecos #BancoCentral</t>
  </si>
  <si>
    <t>#Elecciones2023
#bancocentral
#ArgentinaVota
#ArgentinaElige #Argentina2023 #ARGENTINAPASO @ElPelucaMilei @JMilei @LLibertadAvanza @RAMIROMARRA @VickyVillarruel https://t.co/O70W4yqsOG</t>
  </si>
  <si>
    <t>#Pix #Caixa #CaixaEconômica #PessoaJuridica #Tarifas #BC #BancoCentral</t>
  </si>
  <si>
    <t>#China #BC #BancoCentral #Juros #Redução #Taxas #PBoC</t>
  </si>
  <si>
    <t>#Brasil #Défict #BancoCentral #PIB #BalançaComercial</t>
  </si>
  <si>
    <t>#Queda #Inflação #TaxaDeJuros #PrevisõesEconômicas #BancoCentral #MinistérioDaFazenda</t>
  </si>
  <si>
    <t>#BC #BancoCentral #Fraudes #Instituições #SistemaFinanceiroNacional #SPB #CMN</t>
  </si>
  <si>
    <t>#BC #BancoCentral #CamposNeto #Fraudes #Fraude #Bancos #Banco</t>
  </si>
  <si>
    <t>#BC #BancoCentral #CamposNeto #TaxaDeJuros #Selic</t>
  </si>
  <si>
    <t>#Argentina #Inflação #BancoCentral #UniãoEuropeia #TaxaDeJuros</t>
  </si>
  <si>
    <t>#CamposNeto #CAE #BancoCentral #BC #PolíticaMonetária #TaxadeJuros</t>
  </si>
  <si>
    <t>#CCR #CCRO3 #CEO #Juros #BancoCentral</t>
  </si>
  <si>
    <t>#MercadoDeCripto #GovernoFederal #BancoCentral #CVM #Segurança #Decreto #MarcoLegal</t>
  </si>
  <si>
    <t>#Senado #BC #BancoCentral #CamposNeto #Lula #Selic #Exoneração #CMN #ConselhoMonetárioNacional</t>
  </si>
  <si>
    <t>#BancoCentral #Greve #Paralização #Pix #RegulamentaçãoCriptoativos</t>
  </si>
  <si>
    <t>#BancoCentral #BC #Haddad #PolíticaMonetária #GabrielGalípolo #Galípolo</t>
  </si>
  <si>
    <t>#ReformaTributaria #CamaraDosDeputados #Lula #BancoCentral</t>
  </si>
  <si>
    <t>#SimoneTebet #BC #BancoCentral #Redução #Juros #Economia</t>
  </si>
  <si>
    <t>#bpmoney #CamposNeto #BC #BancoCentral #Selic #Inflação #Brasil #Crise</t>
  </si>
  <si>
    <t>#GabrielGalípolo #Aquino #AíltonAquino #BC #BancoCentral #CAEDoSenado #Galípolo #Brasil #CAE</t>
  </si>
  <si>
    <t>#CamposNeto #BC #BancoCentral #Juros #GovernoLula #Selic</t>
  </si>
  <si>
    <t>#CamposNeto #Manutenção #Selic #RelatórioTrimestral #BancoCentral #BC</t>
  </si>
  <si>
    <t>#Lula #Brasil #CamposNeto #BC #BancoCentral #Selic #TaxaDeJuros</t>
  </si>
  <si>
    <t>#RuiCosta #BC #BancoCentral #TaxaDeJuros</t>
  </si>
  <si>
    <t>#IBCBr #Pib #Prévia #BC #BancoCentral</t>
  </si>
  <si>
    <t>#BoletimFocus #Inflação #PIB #IPCA #BancoCentral</t>
  </si>
  <si>
    <t>#FernandoHaddad #Haddad #Economia #BC #BancoCentral #Diretoria #PT</t>
  </si>
  <si>
    <t>#Lula #CamposNeto #BancoCentral #TaxaSelic #QuedaDeJuros</t>
  </si>
  <si>
    <t>#Btg #Eqi #Xp #BC #BancoCentral</t>
  </si>
  <si>
    <t>#RealDigital #BancoCentral #MoedaVirtual #CamposNeto #BC</t>
  </si>
  <si>
    <t>#BancoCentral #Mudança #Datas #CopadoMundoFeminina #Futebol #BoletimFocus</t>
  </si>
  <si>
    <t>#Haddad #Prévia #PIB #Desaceleração #Economia #BancoCentral</t>
  </si>
  <si>
    <t>#IbcBr #PIB #Prévia #BC #BancoCentral</t>
  </si>
  <si>
    <t>#Focus #IPCA #Selic #Inflação #BancoCentral #BoletimFocus #BC</t>
  </si>
  <si>
    <t>#GeraldoAlckmin #Selic #BancoCentral #Inflação #IPCA</t>
  </si>
  <si>
    <t>#Itaú #ITUB4 #Totvs #TOTS3 #BC #BancoCentral #CVM</t>
  </si>
  <si>
    <t>#BancoCentral #BC #ValorAReceber #SVR</t>
  </si>
  <si>
    <t>#BancoCentral #BC #Galípolo #GabrielGalípolo #PolíticaMonetária #Senado</t>
  </si>
  <si>
    <t>#Alckmin #TaxaDeJuros #ProgramaDeDescontos #Selic #Inflação #BancoCentral #ProgramaDoGoverno</t>
  </si>
  <si>
    <t>#Haddad #Corte #Juros #BancoCentral #BC #COPOM</t>
  </si>
  <si>
    <t>#Avenue #BancoCentral #OperaçãoInternacional #BancoDeCâmbio #Itaú #ITUB4</t>
  </si>
  <si>
    <t>#Haddad #Eleições #Juros #Selic #BancoCentral #BC #GovernoLula</t>
  </si>
  <si>
    <t>#BancoCentral #BC #Galípolo #GabrielGalípolo #AiltonAquino #PolíticaMonetária</t>
  </si>
  <si>
    <t>Copom mantém a Selic em 13,75% a.a.🇧🇷 https://t.co/Zm2OyFaOhu 
#BancoCentral 
#BCB 
 @BancoCentralBR</t>
  </si>
  <si>
    <t>https://t.co/qFQdBrM0qI
#itatiaiajf #itasat #moedacomemorativa #bancocentral #numismática #procon</t>
  </si>
  <si>
    <t>Tá de brincadeira que o BC manteve a Selic em 13,75% pela 7ª vez consecutiva, tão REAL de marola esse povo 🤡🤡🤡🤡🤡
#BC #BancoCentral #Selic</t>
  </si>
  <si>
    <t>https://t.co/hDLu2NBvzt
@HoraDoPovoBR @OreiroLuis
@cspboficial @Haddad_Fernando
#flauzinoantunes #ArcabouçoFiscal #austercidiofiscal #bancocentral #jurosbaixosjá #desenvolvimentoeconomico</t>
  </si>
  <si>
    <t>Teto para gastos de juros: arcabouço fiscal x nacional desenvolvimento
@HoraDoPovoBR @PortalCTB @gpslifetime @AuditoriaCidada @portalvermelho
#jurosbaixosjá #austericidiofiscal #arcabouçofiscal #governolula #bancocentral #congressonacional
https://t.co/VVwaPelxrC</t>
  </si>
  <si>
    <t>A reunião foi para conhecer e debater as ações realizadas e planejadas pela instituição na prevenção às fraudes.
#Alesp #CPI #Pix #Cartao #Golpe #BancoCentral #política #prevenção https://t.co/jquCRXkhkE</t>
  </si>
  <si>
    <t>@RAMIROMARRA Para los que se quejan de cerrar o no al #BancoCentral, todo tiene un proceso y el cierre requieres de la gestión adecuada para el previo cierra del banco. No todo se resuelve de un día para el otro, estos k están acostumbrado a escuchas sólo pensamiento mágico.</t>
  </si>
  <si>
    <t>300bilhoes? Quemmgasta 300bilhoes assim? #camposneto #bancocentral #300bilhoes. 
@socialistamor @brasil247 @ThiagoResiste @reinaldoazevedo @choquei https://t.co/vYo2RFxYXM</t>
  </si>
  <si>
    <t>ATENÇÃO!! O bolsominion Campos Neto SUMIU com US$ 68 BILHÕES das reservas internacionais o Brasil!! São mais de R$ 300 bilhões que ele se recusa a dizer onde enfiou!!
A lei da "autonomia" do Banco Central é claríssima: em caso de incompetência é DEMISSÃO SUMÁRIA!!
Quem quer a…</t>
  </si>
  <si>
    <t>📈@pulso_tw | IPoM: Senadores destacan gestión del Banco Central, pero muestran preocupación por el crecimiento económico https://t.co/Z0Blmozb2G https://t.co/K3lrTpmNjw</t>
  </si>
  <si>
    <t>@nathfinancas, abri uma reclamação no #BancoCentral e o @BancodoBrasil informa, mais uma vez, que não pode fazer o reembolso das tarifas que nunca soube que não precisava pagar. Agora, só me resta encerrar a conta e os serviços que tinha desde 2005! #BancodoBrasil https://t.co/HxeAl3rHBA</t>
  </si>
  <si>
    <t>José De Gregorio, expresidente del #BancoCentral: "El gran problema de crecimiento en #Chile es la política".
https://t.co/AxC4OHfrZJ</t>
  </si>
  <si>
    <t>En 2007, Nestor le deja a Cristina un Banco Central +o- saludable
En 2015, Cristina y Kicillof lo dejaron quebrado en U$S66mil millones
En 2019, el quebranto se reduce a U$SU$S19mm
En 2023, otra vez aumenta y debe U$S74mil millones. 
Y Cristina pregunta porque van al dolar https://t.co/UitK1m5TFV</t>
  </si>
  <si>
    <t>Para maior segurança, cheques terão mudanças a partir de 2 de outubro 👈
Leia a matéria completa no site: https://t.co/ptNqeyLaj3
📸: Divulgação
#Segurança #Fraudes #Cheques #BancoCentral #Mudanças #NomeSocial https://t.co/87rY2HHk1F</t>
  </si>
  <si>
    <t>Dinheiro esquecido: mais de R$ 7 bilhões aguardam resgate em sistema do BC 👈
Leia a matéria completa no site: https://t.co/ptNqeyLaj3
📸: Divulgação
#ValoresAReceber #DinheiroEsquecido #Resgate #BancoCentral https://t.co/bq4qPlRwwM</t>
  </si>
  <si>
    <t>Banco Central prevê lançar Pix Automático em abril de 2024 👈
Leia a matéria completa no site: https://t.co/ptNqeyLaj3
📸: Divulgação
#BancoCentral #PixAutomático #Serviço #PagamentoRecorrente #Contas https://t.co/kje8Ad9U68</t>
  </si>
  <si>
    <t>MANTENTE INFORMADO sobre las últimas tendencias en Finanzas, Trading, IA y Tecnología con #RiskNews y nuestros TRAINING PROGRAM: https://t.co/JU1QDq2gRK
#riskmathics #risk #NextGenerationInFinancialTraining #CNBC #BancoCentral #TasasDeInterés #FED #Inflación https://t.co/ZWVRN9OYlC</t>
  </si>
  <si>
    <t>MANTENTE INFORMADO sobre las últimas tendencias en Finanzas, Trading, IA y Tecnología con #RiskNews y nuestros TRAINING PROGRAM: https://t.co/JU1QDq2gRK
#riskmathics #risk #NextGenerationInFinancialTraining #CNBC #DowJones #Inversores #Stock #WallStreet #FED #BancoCentral https://t.co/94z2dBCa6N</t>
  </si>
  <si>
    <t>MANTENTE INFORMADO sobre las últimas tendencias en Finanzas, Trading, IA y Tecnología con #RiskNews: https://t.co/JU1QDq2gRK
#riskmathics #risk #NextGenerationInFinancialTraining #CNBC #TasasDeInterés #Inflación #Finanzas #FED #NeelKashkari #BancoCentral https://t.co/uP6vKSrLAu</t>
  </si>
  <si>
    <t>MANTENTE INFORMADO sobre las últimas tendencias en Finanzas, Trading, IA y Tecnología con #RiskNews y nuestros TRAINING PROGRAM: https://t.co/JU1QDq2gRK
#riskmathics #risk #CNBC #BancoDeJapón #Japan #BancoCentral #CurvaDeRendimiento #Yen #Dollar #Stock https://t.co/QnH5fPre6C</t>
  </si>
  <si>
    <t>#ElSuceso Gobernador del Banco Central Hector Valdez Albizu preside la 298ª reunión del Consejo Monetario Centroamericano.
LEA MÁS 👉https://t.co/r7I4J9iOns
Cc. @BancoCentralRD 
#BancoCentral #HéctorValdezAlbizu #ConsejoMonetarioCentroamericano https://t.co/pTDGjWmE6W</t>
  </si>
  <si>
    <t>Tras la devaluación del Banco Central, las acciones de YPF se desplomaron en el mercado internacional
#VocesCríticas #bancocentral #Devaluación #YPF
https://t.co/DOPzYlYaIp</t>
  </si>
  <si>
    <t>Una empresa salteña al borde de la quiebra
#BancoCentral #Economia #Dolar
https://t.co/LlJTh8faFk</t>
  </si>
  <si>
    <t>Javier Milei definió quién será el titular del Banco Central si gana la presidencia
#Argentina #JavierMilei #BancoCentral #VocesCríticas
https://t.co/rbhSgVPVfu</t>
  </si>
  <si>
    <t>El Real de a ocho español, acuñado en las cecas de Indias y las peninsulares, pero especialmente en la de #CDMX llegó a convertirse en la primera divisa mundial y primera moneda de los #EEUU. 
Aquí te lo contamos.
👇👇👇https://t.co/CMwwRg4CZt https://t.co/3cg4EEdJnm</t>
  </si>
  <si>
    <t>Quando o BC baixar o juros vai cair tb os juros do carne da magalu?
#bancocentral
#Magalu 
@luizatrajano 
#CamposNeto 
#itapevi</t>
  </si>
  <si>
    <t>Real Digital: BC seleciona 16 propostas de participação em piloto https://t.co/dETo5Z6KGK 
#moedadigital #realdigital #bancocentral</t>
  </si>
  <si>
    <t>Mais cedo, o presidente Lula da Silva voltou a tecer críticas indiretas ao presidente do #BancoCentral, Campos Neto, pelo nível elevado dos juros no país.</t>
  </si>
  <si>
    <t>realidad, visualizar las potencialidades que representa esta industria para el desarrollo nacional”, sostuvo la ABA.
Síguenos en https://t.co/v4xLU6ynse.doy mantente a la vanguardia del mundo empresarial
#elempresariado #noticias #bancocentral #MICM #mipymes</t>
  </si>
  <si>
    <t>Serenissima y Navío así como una gran disponibilidad de terrenos para desarrollo de proyectos.
Síguenos en https://t.co/v4xLU6ynse.doy mantente a la vanguardia del mundo empresarial
#elempresariado #noticias #bancocentral #capcana</t>
  </si>
  <si>
    <t>empresarial
#elempresariado #noticias #bancocentral #turismord</t>
  </si>
  <si>
    <t>#elempresariado #noticias #bancocentral #capcana</t>
  </si>
  <si>
    <t>Ministerio de Economía, Planificación y Desarrollo (MEPyD), y posteriormente, en 2022, en carácter de ministro.
Síguenos en https://t.co/v4xLU6ynse.doy mantente a la vanguardia del mundo empresarial
#elempresariado #noticias #bancocentral #economiard</t>
  </si>
  <si>
    <t>convirtiéndose en los nuevos influencers del futuro.
Síguenos en https://t.co/v4xLU6ynse.doy mantente a la vanguardia del mundo empresarial
#elempresariado #noticias #bancocentral #capcana</t>
  </si>
  <si>
    <t>Reserva Federal (Fed) publicadas esta semana que podría ser necesario un endurecimiento adicional para reducir la inflación.
Síguenos en https://t.co/v4xLU6ynse.doy mantente a la vanguardia del mundo empresarial
#elempresariado #noticias #bancocentral #capcana</t>
  </si>
  <si>
    <t>afirma Collado Di Franco en un artículo colgado en la página del CREES.
Síguenos en https://t.co/v4xLU6ynse.doy mantente a la vanguardia del mundo empresarial
#elempresariado #noticias #bancocentral #crees</t>
  </si>
  <si>
    <t>además, Luis Lembert, gerente general, y Josefina Navarro, vicepresidenta sénior de Comunicación Corporativa y Responsabilidad Social.
Síguenos en https://t.co/v4xLU6ynse.doy mantente a la vanguardia del mundo empresarial
#elempresariado #noticias #bancocentral #economiard</t>
  </si>
  <si>
    <t>Síguenos en https://t.co/v4xLU6ynse.doy mantente a la vanguardia del mundo empresarial
#elempresariado #noticias #bancocentral #MICM #mipymes #facturaelectronica #DGII</t>
  </si>
  <si>
    <t>compartidas con las viviendas.
Síguenos en https://t.co/v4xLU6ynse.doy mantente a la vanguardia del mundo empresarial
#elempresariado #noticias #bancocentral #MICM #mipymes</t>
  </si>
  <si>
    <t>cumpla con los requisitos establecidos, entre los cuales se encuentra estar al día en las obligaciones tributarias del 2016 en adelante.
Síguenos en https://t.co/v4xLU6ynse.doy mantente a la vanguardia del mundo empresarial
#elempresariado #noticias #bancocentral #DGII</t>
  </si>
  <si>
    <t>Síguenos en https://t.co/v4xLU6ynse.doy mantente a la vanguardia del mundo empresarial
#elempresariado #noticias #bancocentral #economiard</t>
  </si>
  <si>
    <t>Síguenos en https://t.co/v4xLU6yVhM.doy mantente a la vanguardia del mundo empresarial
#elempresariado #noticias #bancocentral #tormentard #tormentafranklin</t>
  </si>
  <si>
    <t>Só falta o @BancoCentralBR cair na real e baixar essa taxa de juros, pra ajudar a população! O Brasil já tem uma previsão de crescimento no PIB acima do previsto.
#JurosAltosAtéQuando 
#Brasil #BancoCentral #COPOM https://t.co/952t0mAVD9</t>
  </si>
  <si>
    <t>Redução da Selic faz bancos públicos reduzirem suas taxas https://t.co/WyMFkcyskk #CEF #BancodoBrasil #Selic #Juros #BancoCentral https://t.co/ppQIZaeysL</t>
  </si>
  <si>
    <t>Copom reduz juros básicos da economia brasileira nesta quarta-feira (2) https://t.co/WjVrH4NC9h #copom #selic #bancocentral https://t.co/iAuWTMce8s</t>
  </si>
  <si>
    <t>Banco Central comunica vazamento de dados de 238 chaves Pix https://t.co/0ZpxAR6kwL #pix #bancocentral https://t.co/nqF4pO6Ukx</t>
  </si>
  <si>
    <t>Juros médios dos bancos seguem em queda para 43,5% ao ano https://t.co/WRCCc0fdvE #juros #bancocentral</t>
  </si>
  <si>
    <t>Tú también puedes ser parte de esta transformación. 🔗Regístrate y conoce más sobre nuestro congreso: https://t.co/VS2NH3e7ry
#PMIRD2023 #CongresoGestiónDeProyectos #BancoCentral #PatrocinadorDestacado #Transformación #DesarrolloProfesional #Networking #Innovación #Colaboración</t>
  </si>
  <si>
    <t>Quien crea que nuestros datos personales son confidenciales, merece cajita blanca #bancocentral</t>
  </si>
  <si>
    <t>Apresentação do Presidente Roberto Campos Neto em Sessão no Senado 👇
https://t.co/FRGq5gVrc6
#BancoCentral #senado #camposneto #inflaçao #economia #juros #dolar</t>
  </si>
  <si>
    <t>Você pode saber mais sobre o tema em 👉 https://t.co/cvmYz4XYRk
#Dinheiro #MeioCirculante #BancoCentral #Prosegur</t>
  </si>
  <si>
    <t>Gracias por esta hermosa devaluación del 22%, las empresas privadas bloquearon pedidos y solo se vende en efectivo. #BancoCentral</t>
  </si>
  <si>
    <t>Excelente iniciativa para discussão técnica dos desafios enfrentados pelos bancos centrais mundo afora.
Presidentes de bancos centrais estrangeiros vêm ao Brasil debater política monetária https://t.co/G6ipyzKE4h #BancoCentral #BCB via @BancoCentralBR</t>
  </si>
  <si>
    <t>Projeto de @eduardodafonte pode reduzir a taxa de juros #copom #bancocentral #taxadejuros 
https://t.co/CIPXuqN9Hv</t>
  </si>
  <si>
    <t>BC mantém juros em 13,75% ao ano pela 6ª vez seguida. A decisão, que mantém a Selic no maior nível desde janeiro de 2017, já era  esperada pelo mercado financeiro  https://t.co/M2FxR71rDF  
#diarioregional #bancocentral #juros #selic</t>
  </si>
  <si>
    <t>BC mantém juros em 13,75% ao ano mesmo com ofensiva do governo e do setor produtivo. Brasil continua a ter a maior taxa de juro real do mundo, em uma lista com 40 economias. https://t.co/jul60bjElP   #diarioregional #selic #BancoCentral https://t.co/0A9NxWSlde</t>
  </si>
  <si>
    <t>No es ansiedad... es preocupación ver que el ministro de Hacienda trate de pintar una falsa realidad de bienestar, en circunstancias que los números dicen otra cosa.
Entendemos que se contagió al integrar un gobierno lleno de cantinfleos y volteretas que tiene cero credibilidad. https://t.co/u9bZQIX8mP</t>
  </si>
  <si>
    <t>Alberto y Cristina K imprimiendo billetes como locos para arreglar su situación económica antes de irse del gobierno ante el triunfo de Milei.
Por eso subió el dólar y los bonos argentinos cayeron.
El Banco Central en Argentina es controlado por el gobierno. https://t.co/9zWEvDtQd5</t>
  </si>
  <si>
    <t>#Argentina #Milei #BancoCentral</t>
  </si>
  <si>
    <t>Copom reduz taxa Selic para 13,25% ao ano. https://t.co/60QBNsxcr7 #BancoCentral #BCB via @BancoCentralBR</t>
  </si>
  <si>
    <t>#EditorialEN | El gobernador del Banco Central, Héctor Valdez Albizu, fue el primero en recibir a los comisionados del FMI junto a su equipo técnico a quienes presentó un informe detallado... https://t.co/8MMyhR7DIi
#FMI #BancoCentral #ElNacionalRD⁣</t>
  </si>
  <si>
    <t>#EditorialEN | Las autoridades monetarias creen que la baja gradual en las tasas de referencia y la provisión de liquidez al sistema de intermediación financiera ayudará a dinamizar la economía. https://t.co/XsJAFllWtH
#BancoCentral #Tasas #Inflación #ElNacionalRD</t>
  </si>
  <si>
    <t>#EditorialEN | El Banco Central informó que las remesas superaron US$5.19 mil millones de dólares durante el primer semestre de este año. https://t.co/v7Qs8mGPYR
#BancoCentral #Remesas #Servicios #ElNacionalRD</t>
  </si>
  <si>
    <t>#EditorialEN | Los bancos y asociaciones mutualistas fueron eficientes y oportunos en la gestión de esos créditos que beneficiaron al comercio, industria, mipymes, familias y emprendedores. https://t.co/5lw25lcbWk
#BancoCentral #Pandemia #PIB #IPC #ElNacionalRD</t>
  </si>
  <si>
    <t>#EconomiaEN | En el entorno internacional, las perspectivas de crecimiento mundial han mejorado, proyectándose una expansión de 3.0 % para este año, según el Fondo Monetario Internacional (FMI). https://t.co/WliK3UOhDd
#BancoCentral #TasadeInterés #FMI #ElNacionalRD⁣</t>
  </si>
  <si>
    <t>#EconomíaEN | Estas decisiones contribuirán a disminuir los costos de financiamiento de las entidades financieras e incidirán en menores tasas de interés. https://t.co/WWALOG5Aru
#BancoCentral #BCRD #Tasadeinterés #ElNacionalRD</t>
  </si>
  <si>
    <t>#EconomiaEN | Este aumento se encuentra en línea con la proyección de superar los US$10,000 millones al finalizar el año 2023. https://t.co/CrJePT8Fds
#Remesas #BancoCentral #ElNacionalRD⁣</t>
  </si>
  <si>
    <t>#EconomiaEN | Para el año próximo, añade el documento, se espera que el PIB real crezca en torno a su potencial del 5,0 %, unas estimaciones que se mantienen por cuarto mes consecutivo. https://t.co/ZYX2YcI2Xr
#PIB #MinisterioEconomía #BancoCentral #ElNacionalRD⁣</t>
  </si>
  <si>
    <t>El @BancoCentralRD informa que la inflación de agosto fue del 0.52% y la interanual se encuentra en 4.27%. Ambas cifras se mantienen dentro del rango meta establecido. 🎯  🛤️ #EconomíaRD #BancoCentral https://t.co/c5sKGUTo7i</t>
  </si>
  <si>
    <t>Conoce más detalles sobre esta medida en el siguiente link 👉 https://t.co/biYdgPp2Ho
#CoopeuchInversiones #ConsejoSemanalDeInversiones #Coopeuch #BancoCentral</t>
  </si>
  <si>
    <t>💵 Continúa la escasez de dólares en Bolivia 
@brissapabon 
#Dólares #Bolivia #BCB #BancoCentral #Economía #YPFB #Deuda #Fondos #Corralito #Bancos https://t.co/7AudszBFzb</t>
  </si>
  <si>
    <t>Real Digital: aplicações na prática e desafios.
por Cássio J. Krupinsk - BLOCKBR - Digital Assets - Jornal Empresas e Negócios
https://t.co/O2N6DNaudS
#realdigital #aplicação #criptomoedas #cdbc #stablecoin #tokenização #drex #bancocentral https://t.co/JTSt0co40F</t>
  </si>
  <si>
    <t>Minutes of the Monetary Policy Committee — Copom https://t.co/7h8JfMC9Zz #BancoCentral #BCB via @BancoCentralBR</t>
  </si>
  <si>
    <t>Se o dinheiro está caro, a culpa não é do BC, porque é malvado, mas do governo, que deve muito, diz Campos Neto à CNN
#cnn #camposneto
#bancocentral #taxadejuros https://t.co/Yt179EGirw</t>
  </si>
  <si>
    <t>#ECONOMÍA Durante la jornada de este lunes, el @bcentralchile reveló que al mes de abril, el Índice Mensual de Actividad Económica (Imacec) presentó una baja de -0.5%
Nota completa: https://t.co/ZT0TM9ZarH
@meconomia @GobiernodeChile 
#Imacen #Baja #BancoCentral #Chile #Retweet https://t.co/RRZ4YW3B6U</t>
  </si>
  <si>
    <t>Las postulaciones estarán abiertas hasta el 31 de julio y las clases comenzarán el 1 de agosto. Para inscribirse, se debe ingresar a la página https://t.co/RRu3JH0XMF o llegar a través de https://t.co/UTy9aulwu8  (4/4)
#bancocentral #EducacionFinanciera #cursoonline</t>
  </si>
  <si>
    <t>El Banco Central de Chile publicó los Indicadores de Coyuntura Semanal (ICS) con información al 15 de agosto de 2023 en su sitio web. Link a las estadísticas: https://t.co/eMYCmGq4pZ
#bancocentral #bancocentraldechile https://t.co/EXQOMTcFqJ</t>
  </si>
  <si>
    <t>Patricia, esto ya lo vimos. Ya lo hizo Omar Plaini en #LosAndes 😂
Búscate una idea más original (? 
#BancoCentral https://t.co/K4KkuKRc0U</t>
  </si>
  <si>
    <t>Muy interesante el informe del #BancoCentral en #evento #CorpAraucanía 
#Ahora #EnVivo #Dreams #Temuco #Chile https://t.co/rhZbxx3Cpw</t>
  </si>
  <si>
    <t>Tamos listos para #asistir mañana #jueves a las 09:30 am a evento de #CorpAraucanía en Hotel #Dreams #Temuco #Chile sobre #Escenario #Económico y #Proyecciones del #BancoCentral, dictado por el Gerente de la División Política Monetaria del Banco Central de Chile, #ElíasAlbagli https://t.co/kVX9iHk4AI</t>
  </si>
  <si>
    <t>Temos um lunático no #BancoCentral 
https://t.co/oJAaocAut0</t>
  </si>
  <si>
    <t>#PatriciaBullrich prometió que si gana va a entrar con una cámara de televisión al #BancoCentral https://t.co/FbAS85y1x1</t>
  </si>
  <si>
    <t>Opera Mundi:
Agiotagem
O que chamamos de elites, uma colusão de bilionários nacionais com as grandes corporações transnacionais, usam o Estado (que criticam) para se apropriar dos seus recursos:
#BancoCentral #juros #selic https://t.co/qvoohEZCkJ</t>
  </si>
  <si>
    <t>Conheça o PLANO DISTÓPICO do BIS para tirar a sua LIBERDADE - Projeto Icebreaker
https://t.co/5cEraKgSWB
#liberdade #cbdc #bitcoin #bancocentral</t>
  </si>
  <si>
    <t>RT @PedroRenatoGC: Pq o Ibovespa está caindo mesmo com a queda da taxa Selic?
#TaxaSelic #BancoCentral #FED #MercadoFinanceiro https://t.c…</t>
  </si>
  <si>
    <t>Respuesta a @cachi28 
salvando al soldado bolívar 😂 
¿tiene salvación el bolívar como moneda?
https://t.co/y4n0hYDqbq
#venezuela🇻🇪 #economia #dinerofiat #bancocentral #ancap #libertarismo https://t.co/X05geDGtLl</t>
  </si>
  <si>
    <t>#pegar un video de @Ev - Evi - EVIS 
Hablemos de la privatización del dinero 💰 
https://t.co/IreOxKbety
#moneda #dinerotiktok #bancocentral #libremercado #ancap #libertarismo https://t.co/4T7TrrQMmC</t>
  </si>
  <si>
    <t>#pegar un video de @mercedesmalave 
Hablemos del FMI y los BRICS 🔥 
https://t.co/kSginH2FCV
#fmi #economia #bancocentral #capitalismovssocialismo #debate #ancap https://t.co/pD4r6H6FIm</t>
  </si>
  <si>
    <t>Devalúa el dinero (Inflacion) y empobrece a  todos.
#ahorro #debate #filosofiadevida #libertarismo #liberalismo🐍 #estafa #ideas #ancap #bancocentral #dinero 
https://t.co/t9ykgk7sgg</t>
  </si>
  <si>
    <t>https://t.co/DqjGo2Q9gh
#bancocentral #liberalismo🐍 #libertarismo #debate #ideas #ancap</t>
  </si>
  <si>
    <t>Respuesta a @cachi28 
salvando al soldado bolívar 😂 
¿tiene salvación el bolívar como moneda?
Completo 👇 
https://t.co/y4n0hYDqbq
#venezuela🇻🇪 #economia #dinerofiat #bancocentral #ancap #libertarismo</t>
  </si>
  <si>
    <t>El verdadero 💰 no lo expropiaron (el oro) y nos impusieron un papel pintado.
completo 👇 
https://t.co/8u7q9vQ5dy
#bancocentral #economia #dinerofiat #libertarismo #ancap #debate</t>
  </si>
  <si>
    <t>El verdadero 💰 no lo expropiaron (el oro) y nos impusieron un papel pintado.
https://t.co/8u7q9vQ5dy
#bancocentral #economia #dinerofiat #libertarismo #ancap #debate https://t.co/eBEboGP6h0</t>
  </si>
  <si>
    <t>De  los bancos con emisión monetaria lo cual devalúa el dinero (Inflacion) y empobrece a  todos.
#ahorro #debate #filosofiadevida #libertarismo #liberalismo🐍 #estafa #ideas #ancap #bancocentral #dinero</t>
  </si>
  <si>
    <t>#pegar un video de @mercedesmalave 
Hablemos del FMI y los BRICS 🔥 
Completo 👇 
https://t.co/kSginH2FCV
#fmi #economia #bancocentral #capitalismovssocialismo #debate #ancap</t>
  </si>
  <si>
    <t>Respuesta a @leandrolabestiaro 
Quitarles 0 a la moneda es solo una trampa de los políticos para engañar a la gente. 
https://t.co/04ZHiZi0kJ
#economia #bancocentral #inflación #estafapolitica #debate #libertarismo</t>
  </si>
  <si>
    <t>Respuesta a @leandrolabestiaro 
Quitarles 0 a la moneda es solo una trampa de los políticos para engañar a la gente. 
https://t.co/04ZHiZi0kJ
#economia #bancocentral #inflación #estafapolitica #debate #libertarismo https://t.co/1QdwZrG5qb</t>
  </si>
  <si>
    <t>📊 DECENIO PERDIDO DE ECUADOR: 2015-2024. EN PORCENTAJE (%).
Con los últimos datos publicados por el #BancoCentral se evidencia un decenio perdido en dolarización con una tasa de crecimiento económico promedio de 0.4% (2015-2024).
#economia #decenio https://t.co/Q77P22Kt3Q</t>
  </si>
  <si>
    <t>#batakis #massa están vaciando es país, regalando guita y aumentando sueldos altísimos, Saben que se van. 
#bancocentral la idea obviamente es dejar el país en llamas para #Milei de todos modos confiamos en el, sacara el país adelante y reprimira a sus zombien en las calles</t>
  </si>
  <si>
    <t>Inadimplência chega a 43% no país. Não é possível que o Banco Central mantenha a taxa de juros nas nuvens. Vai travar o crescimento da economia #bancocentral #Taxas #baixa</t>
  </si>
  <si>
    <t>BC decidiu corretamente não cortar os juros', diz Meirelles
https://t.co/NNDGNv89HX</t>
  </si>
  <si>
    <t>Mais um ex-presidente do #BancoCentral, Henrique Meirelles (e ex-membro do governo Lula 1, aliás):</t>
  </si>
  <si>
    <t>Dólar à vista tem forte alta ante real em reação a Galípolo no BC
#Dolar #BancoCentral #Galipolo 
https://t.co/ENIWNkaeQO</t>
  </si>
  <si>
    <t>O presidente do Banco Central (BC), Roberto Campos Neto, disse que o ambiente internacional difícil elevou a exigência do restante do mundo em relação à política fiscal no Brasil
#BC #BancoCentral #CamposNeto #economia
https://t.co/hW0eXvowUC</t>
  </si>
  <si>
    <t>O presidente do Banco Central (BC), Roberto Campos Neto, afirmou neste sábado, 26, que o objetivo da autarquia é fazer um pouso suave na economia brasileira
#BC #BancoCentral #CamposNeto #Economia #Brasil #inflacao
https://t.co/2Dgzu50ZQ1</t>
  </si>
  <si>
    <t>Do ex-presidente do BC, Affonso Celso Pastore:
“Quando você começa a bater no presidente do BC, chamando ele de ‘aquele cidadão que lá está’, você está fazendo um ataque à instituição chamada #BancoCentral.” @istoe_dinheiro 
 https://t.co/vI1r8W5elz</t>
  </si>
  <si>
    <t>O PT não se conforma com o #BancoCentralIndependente mesmo. E não é por motivo econômico, visto que a economia brasileira está longe de estar mal por agora. É por motivação ideológica mesmo… espero que o Congresso barre isso mais uma vez. #BACEN #BancoCentral</t>
  </si>
  <si>
    <t>A bronca com #CamposNeto não é “da sociedade civil”.
Não é da maioria do #Congresso.
Não é, muito menos, da maioria do #Senado.
A bronca com Campos Neto vem do #PT, que sempre foi contra a independência do #BancoCentral por princípio.</t>
  </si>
  <si>
    <t>@randolfeap Obrigado, Roberto Campos. #BANCOCENTRAL #Independente #Brasil #Gazela #Saltitante</t>
  </si>
  <si>
    <t>#PIB #España #BancoCentral #EleccionesGenerales2023 #Elecciones2023 #23J #23Julio https://t.co/yhIEHJY7Z9</t>
  </si>
  <si>
    <t>En #LaNacionMas con @edufeiok Luciano Laspina 🇦🇷🇦🇷
el futuro Ministro de Economía de @PatoBullrich 
#bancocentral independiente, reformar la carta orgánica 🇦🇷🦆
#PatoBullrich2023 https://t.co/qCLxVXp2OE</t>
  </si>
  <si>
    <t>#AHORA en @lanacionmas @PatoBullrich 
"Es el momento exacto para un liderazgo firme"
#PatoBullrich2023 
#Pato
Hoy el #bancocentral está volviendo a vender #dólarfuturo equivale a más inflación 
Pesce ☎️ https://t.co/fqODFvrRmV</t>
  </si>
  <si>
    <t>Praticidade! 😁 #TudoCelular #Pix #BancoCentral #Notícias 
https://t.co/I8eQOjOVRk</t>
  </si>
  <si>
    <t>Confira os outros indicadores divulgados essa semana em: https://t.co/FBtQUmuIgH
#ASemanaEconômica #EspiritoSanto #Brasil #EconomiaCapixaba #economia #Capixaba #setorpúblico #Governo #Economia #BancoCentral #IPCA #bacen #Focus #Findes #ObservatóriodaIndústriaES</t>
  </si>
  <si>
    <t>Confira os outros indicadores divulgados essa semana em: https://t.co/FBtQUmuIgH
#ASemanaEconômica #EspiritoSanto #Brasil #EconomiaCapixaba #economia #Capixaba #setorpúblico #Governo #Economia #ICBR #BancoCentral #IPCA #bacen #Focus #Findes #ObservatóriodaIndústriaES</t>
  </si>
  <si>
    <t>Confira os outros indicadores divulgados essa semana em: https://t.co/FBtQUmuIgH
#ASemanaEconômica #EspiritoSanto #Brasil #EconomiaCapixaba #economia #Capixaba #setorpúblico #Governo #Economia #Copom #Selic #BancoCentral #IPCA #bacen #Focus #Findes #ObservatóriodaIndústriaES</t>
  </si>
  <si>
    <t>Confira os outros indicadores divulgados essa semana em: https://t.co/FBtQUmuIgH
#ASemanaEconômica #EspiritoSanto #Brasil #EconomiaCapixaba #economia #Capixaba #setorpúblico #Governo #Economia #IAE #BancoCentral #IPCA #bacen #Focus #Findes #ObservatóriodaIndústriaES</t>
  </si>
  <si>
    <t>📲  *Acesse e leia a nota completa em:*
*Portal da Indústria-ES:* https://t.co/FBtQUmuIgH
#ASemanaEconômica #EspiritoSanto #Brasil #EconomiaCapixaba #economia #Capixaba #setorpúblico #Governo #Economia #Superavit #BancoCentral #bacen #Focus #Findes #ObservatóriodaIndústriaES</t>
  </si>
  <si>
    <t>Juros do cartão 500% e também uma sacanagem com o povo motivo até de guerras  #cartao #cartaocredito #juros #bc #bancocentral #brasil #bancos #agiotagem #lula #Bolsonaro</t>
  </si>
  <si>
    <t>Juros no cartão não poderia passar de 30 % ao ano ainda é muito um absurdo no Brasil essa agiotagem #cartao #bc #camposneto #bancocentral #juros #agiotagem</t>
  </si>
  <si>
    <t>https://t.co/TUsYFrFkl8
#Juros #BC #BancoCentral</t>
  </si>
  <si>
    <t>Tipo de cambio según el banco central.
💰💵
#Bancocentral #economia #TipoDeCambio  #Economiaalinstante https://t.co/Aa8nFiMFfB</t>
  </si>
  <si>
    <t>El Banco Central mantuvo en el 97% la tasa de plazos fijos 
#BancoCentral #PlazosFijos #Ahora 
https://t.co/UbhwKxkXPW a través de @elpaisdiario</t>
  </si>
  <si>
    <t>Entró en vigencia la nueva edición del dólar agro
#Ahora #DolarAgro #Reservas #BancoCentral #Massa
https://t.co/OjQJfb9ROV a través de @elpaisdiario</t>
  </si>
  <si>
    <t>Dólar: Banco Central da señales al mercado y devalúa en línea con la inflación
#BancoCentral #Mercado #Inflacion #Ahora
https://t.co/ClcipkOaGU a través de @elpaisdiario</t>
  </si>
  <si>
    <t>Cepo importador: Banco Central implementó nuevos controles para acceder al dólar
#Ahora #BancoCentral #Dolar #Controles
https://t.co/CEkux3iNlV a través de @elpaisdiario</t>
  </si>
  <si>
    <t>Bullrich propuso entrar con una cámara de televisión al Banco Central para mostrar las reservas
#Ahora #Bullrich #BancoCentral #Reservas
https://t.co/yjTVEhBygq a través de @elpaisdiario</t>
  </si>
  <si>
    <t>Por el pago al FMI las reservas cayeron a su menor nivel en 17 años
#Ahora #BancoCentral #Reservas #FMI
https://t.co/dKH6gvnlSE a través de @elpaisdiario</t>
  </si>
  <si>
    <t>El Banco Central asistió nuevamente al Tesoro Nacional por $250.000.000.000
#Ahora #BancoCentral #TesoroNacional 
https://t.co/E3EOWjadWn a través de @elpaisdiario</t>
  </si>
  <si>
    <t>El Banco Central emitió casi medio billón de pesos después de las PASO
#Ahora #BancoCentral #EmisionDePesos #PASO
https://t.co/O6SBMp0xPR a través de @elpaisdiario</t>
  </si>
  <si>
    <t>El dólar blue cerró la semana en alza y el Banco Central volvió a comprar divisas 
#BancoCentral #Cotizacion #DolarBlue #Dolares #Ahora 
https://t.co/NxMdmKxPPd a través de @elpaisdiario</t>
  </si>
  <si>
    <t>Vanoli apoyó el ingreso de Argentina a los BRICS
#Ahora #Banoli #BRICS #BancoCentral
https://t.co/Lor7vGT2Qi a través de @elpaisdiario</t>
  </si>
  <si>
    <t>La resolución del BCRA quedaría sin efecto pero le exigiría a Mercado Pago una baja de comisiones
#Ahora #BancoCentral #MercadoPago #BajaDeComisiones
https://t.co/DTFKm4wgaA a través de @elpaisdiario</t>
  </si>
  <si>
    <t>RT @ElPaisDiarioOk: La resolución del BCRA quedaría sin efecto pero le exigiría a Mercado Pago una baja de comisiones
#Ahora #BancoCentral…</t>
  </si>
  <si>
    <t>Las empresas de Tinelli tienen más de 200 cheques rechazados, según el Banco Central 
#Ahora #Tinelli #Cheques #BancoCentral #BCRA 
https://t.co/WCABIb8ZYQ a través de @elpaisdiario</t>
  </si>
  <si>
    <t>Se aceleró la pérdida de reservas del BCRA en medio de la negociación con el Fondo 
#Reservas #BCRA #BancoCentral #Dolares 
https://t.co/Mq8PzBQb9U a través de @elpaisdiario</t>
  </si>
  <si>
    <t>El Banco Central emitió casi medio billón de pesos después de las PASO 
#BancoCentral #Emision #Pesos #pasoargentina2023 #Elecciones2023 
https://t.co/Nb2LzdahqV a través de @elpaisdiario</t>
  </si>
  <si>
    <t>Sobre los países que funcionan sin banco central… 
#BancoCentral #CentralBank #FED #ElFuturoEsLibertario @Marihoselibre @Mex_Libertario @20PeterMel @Rafagais 
https://t.co/QityMCRZcZ</t>
  </si>
  <si>
    <t>Abranet assina carta aberta por concurso público urgente no Banco Central e CVM. Contratação de pessoal é essencial para o andamento de projetos como Pix, Open Finance e Real Digital. https://t.co/jdEJiahShq
#Bancocentral
#openfinance
#pix https://t.co/S738rWOzIk</t>
  </si>
  <si>
    <t>Este fin de semana es el Día de los Patrimonios y en Central en tu vida queremos invitarte a celebrar con nosotros. 🙌🏼
Este domingo 28 de mayo, abriremos las puertas del edificio del #BancoCentral, para que puedas visitarnos y conocer las dependencias del banco, el Museo… https://t.co/Ln0XeyaF2I</t>
  </si>
  <si>
    <t>Envíanos tu video por mensaje o súbelo usando el hashtag #10AñosDeCentralEnTuVida 🤩 
#CentralEnTuVida #BancoCentral #Aniversario #EconomíaMásCerca #LaCiudadDeLasOportunidades https://t.co/qbvY40a02S</t>
  </si>
  <si>
    <t>@ceciliaboufflet Mira si @PatoBullrich manda a allanar el #BancoCentral para buscar la caja fuerte donde guardan los U$$😂</t>
  </si>
  <si>
    <t>El #BancoCentral lleva 3 semanas consecutivas de compras en el mercado cambiario 🏦💵
⬇️Más⬇️
https://t.co/wuNumoOwUl</t>
  </si>
  <si>
    <t>Pidieron al #BancoCentral derogar norma que impide a #productores tomar #créditos 📄
⬇️Más⬇️
https://t.co/Mdtcd4e4GV</t>
  </si>
  <si>
    <t>3/5: População demonstra descontentamento com a política monetária do Banco Central. Manifestações visam promover mudanças para mais emprego, investimento, educação e saúde. #Mudanças #Manifestações #BancoCentral</t>
  </si>
  <si>
    <t>O Palácio do Planalto enviou ao Senado a indicação de Gabriel Galípolo para o cargo de Diretor de Política Monetária do Banco Central.
Saiba mais em: https://t.co/uH2Foisl3P
#BandNewsTV #BancoCentral https://t.co/0SBArJWQRa</t>
  </si>
  <si>
    <t>Confira a decisão do Banco Central: Copom mantém a taxa Selic em 13,75% ao ano. O cenário externo adverso e a inflação acima do intervalo compatível com a meta foram considerados. Saiba mais em: https://t.co/REVXAwM66r. #BancoCentral #Copom #TaxaSelic #Economia. 
#ProT1</t>
  </si>
  <si>
    <t>🚨 Atualização importante sobre o PIX! O Banco Central anunciou mudanças para aumentar a segurança da ferramenta, além de exigir um questionário de autoavaliação em segurança para instituições financeiras. Saiba mais no link: https://t.co/MIzE71DD0V #PIX #BancoCentral #Segur…</t>
  </si>
  <si>
    <t>Nuestro economista, Juan Pablo Arias, al ser consultado por https://t.co/pbF8fEvRNl comenta que la estacionalidad vuelve a tener vigencia. ¿Por qué? En esta nota se comenta el tema 👉
https://t.co/ejz4vmAe3E
#dólar #tipodecambio #bancocentral</t>
  </si>
  <si>
    <t>O Ponto de vista é o "X" da Questão !
- @SergioDalSasso - (Sérgio Dal Sasso é Palestrante, Consultor Empresarial, Escritor e Colunista)
#insight #desemprego #desigualdadesocial #empresarios #consumidores #bancocentral #governofederal #sergiodalsasso https://t.co/aDmTmZXiGk</t>
  </si>
  <si>
    <t>O Ponto de vista é o "X" da Questão !
- @SergioDalSasso - (Sérgio Dal Sasso é Palestrante, Consultor Empresarial, Escritor e Colunista)
#insight #desemprego #desigualdadesocial  #empresarios #consumidores #bancocentral #governofederal https://t.co/3RCBcCLyny</t>
  </si>
  <si>
    <t>El #BancoCentral lanzó un nuevo billete de $1000 😀 https://t.co/qjTStfNYGz https://t.co/W0rg1wCPuc</t>
  </si>
  <si>
    <t>El #BancoCentral prepara nuevos #BilletesArgentinos de $100, $200, $500 y $1000. ¿Qué te parecen? 🤔 https://t.co/S9IpcrBUxi https://t.co/ZB5ivt8JID</t>
  </si>
  <si>
    <t>Remesas hacia la República Dominicana alcanzan los US$4,173.5 millones en los primeros cinco meses de 2023, con un crecimiento del 2.9% respecto al año anterior
#Negocios #ExpressDiario #Bancocentral #Remesas
https://t.co/Mr1nmMcEv8 https://t.co/Rd8lulVykn</t>
  </si>
  <si>
    <t>El Banco Central de la República Dominicana toma medidas para promover el financiamiento y estimular la economía
#Negocios #Bancocentral #ExpressDiario
https://t.co/wJ95waqsmC https://t.co/67HJ5Vix56</t>
  </si>
  <si>
    <t>¡Nuevos billetes de 500 pesos dominicanos con innovador diseño y mayor seguridad entran en circulación!
#ExpressDiario #HéctorValdezAlbizu #Bancocentral
https://t.co/6mgG73EIu6 https://t.co/6pY6yRuXQp</t>
  </si>
  <si>
    <t>Pela 1ª vez na história, o Brasil tem índices de inflação menores que a média dos países do mundo desenvolvido!
Essa conquista é mérito da autonomia e competência do Banco Central, que trabalha incansavelmente pela estabilidade econômica. https://t.co/JdhdXK8dmx</t>
  </si>
  <si>
    <t>El presidente del #BancoCentral de Reserva, #JulioVelarde, reconoció que la #agricultura atraviesa su periodo más desafiante de los últimos 26 años. &amp;gt;&amp;gt;&amp;gt; https://t.co/FV8UmTGiL0 https://t.co/2wvvHkF2X8</t>
  </si>
  <si>
    <t>🏦 🇯🇵 @Bank_of_Japan_e anunciado los resultados correspondientes a la segunda fase de su Proof-of-Concept de su piloto de #CBDC 
Se evaluaron funciones 🤓 adicionales de CBDC en tres bloques separados.
#Japon #BancoCentral 
https://t.co/4DVLjL9RQE</t>
  </si>
  <si>
    <t>⚠️ @ABABankers se opone al lanzamiento de una #CBDC en #EEUU 🇺🇸
💥 @federalreserve cree que una CBDC ayudaría a mantener el papel único del dólar como moneda de reserva internacional 🪙
 #BancoCentral
https://t.co/4E16vd1ybb</t>
  </si>
  <si>
    <t>El BPI (@BIS_org) 🏦 lanzó el "Proyecto Polaris" para prevenir ciberataques 🖥️ ☠️ a las #CBDC, mostrando que estas no están libres de vulnerabilidades.
#BancoCentral #Hack 
https://t.co/1xT5A7cxFp</t>
  </si>
  <si>
    <t>🏦 @BIS_org ha publicado un nuevo manual 📖 para ayudar a los bancos centrales en la implementación de las #CBDC sin conexión a internet 🌐 
#BPI  #BancoCentral
https://t.co/dp74ZMbrOO</t>
  </si>
  <si>
    <t>#cpibancocentral
#cpibancocentral
#cpibancocentral
#cpibancocentral
#cpibancocentral
#cpibancocentral
#cpibancocentral
#cpibancocentral
#cpibancocentral 
#cpibancocentral
#cpibancocentral
Vamos chegar a 1 trilhão de pedidos
#brasil #bancocentral #cpi #justica #brasilvalorizado</t>
  </si>
  <si>
    <t>#bancocentral https://t.co/YBMrmJ6xss</t>
  </si>
  <si>
    <t>O atendente virtual do @C6Bank é uma tragédia, mesmo mesmo conseguindo resolver nosso problema, não transfere para o especialista bem a pau. É quase impossível falar com um humano nessa droga de banco! #c6bank #c6 #banco #bancos #bancocentral</t>
  </si>
  <si>
    <t>@ALBERTOACOSTAB Y ASÍ EVITAR QUE ÉSTOS DELINCUENTES DISFRAZADOS DE GOBERNANTES EMPUÑEN EL DINERO QUE NO LES PERTENECE.
AL LELO Y LA LELA SE LES HACE AGÜITA LA TROMPA POR METERLE LAS GARRAS AL #BANCOCENTRAL
PERO VERGA ES LO QUE LES VAMOS A DAR!</t>
  </si>
  <si>
    <t>¿Se prolongara otro trimeste el cremiento negativo? Cuentanos que opinas 👇
#Bancocentral #economíaglobal #radiointereconomia #economia</t>
  </si>
  <si>
    <t>▶️ INFLACIÓN || DEBERÍA ESTAR EN LA MITAD DE LAS CIFRAS ACTUALES || &amp;gt;El presidente del #BancoCentral del Uruguay señalo que el país se está acostumbrando a una inflación del 8% y que eso no puede pasar ||🌐#Economía* https://t.co/KIGKXddjso</t>
  </si>
  <si>
    <t>El Banco Central de Chile mantiene la tasa de interés de referencia en 11,25%. ¿Qué implicaciones tendrá para la economía? 🏦💰 #BancoCentral #Finanzas #Economía #ForbesChile  ⤵️ https://t.co/yYsquLHfrd</t>
  </si>
  <si>
    <t>El Banco Central de Chile asegura que los bancos tienen "holgura" para cumplir con el Requerimiento de Capital Contracíclico. Conoce más sobre esta medida y su impacto en la banca local. 💼🏦 #BancoCentral #Finanzas #Economía #ForbesChile ⤵️ https://t.co/5F8Nqm2kTG</t>
  </si>
  <si>
    <t>📰 El Banco Central activa el Requerimiento de Capital Contracíclico (RCC) para la banca, un colchón de capital que ayudará a mitigar impactos ante una mayor incertidumbre externa. Conoce los detalles en nuestro artículo. #BancoCentral #ForbesChile ⤵️ https://t.co/xaLuZPK0Wl</t>
  </si>
  <si>
    <t>#GabrielGalípolo e #AíltonDeAquinoSantos receberam a chancela do #Senado para o cargo de diretores do #BancoCentral.</t>
  </si>
  <si>
    <t>Sabatina de #Galípolo para o #BancoCentral vai ser sessão de ataques a #CamposNeto?</t>
  </si>
  <si>
    <t>🚨 ECONOMIA | O @BancoCentralBR  elevou a projeção para o crescimento da economia este ano. A estimativa para a expansão do PIB passou de 1,2% para 2%.
Leia a matéria completa no link abaixo ⬇️
https://t.co/WcjYTRh6zw
#economia #bancocentral #PIB</t>
  </si>
  <si>
    <t>🚨 ECONOMIA | O plenário do Senado aprovou no início da noite desta terça-feira (4) as indicações de Gabriel Galípolo e de Ailton Aquino para diretorias do @BancoCentralBR
Leia a matéria completa no link abaixo ⬇️
https://t.co/EiiwA0MqKw
#Bancocentral #Senado</t>
  </si>
  <si>
    <t>Pesquisas de #CamposNeto orientaram campanha de #JairBolsonaro 
O envolvimento do presidente do Banco Central com o projeto de REELEIÇÃO do ex-presidente foi maior do que se sabia até agora 
#BancoCentral #REELEIÇÃO #reeleição https://t.co/PhGL8a0fOp</t>
  </si>
  <si>
    <t>Manteu!
https://t.co/PGG7FNEFU0 #BancoCentral #BCB via @BancoCentralBR</t>
  </si>
  <si>
    <t>🔴 #Dólar: #BancoCentral fija el tipo de cambio oficial a $350 hasta las elecciones de octubre - Tucuman24 https://t.co/rJZ36JbRjv</t>
  </si>
  <si>
    <t>🟠• Ya circulan billetes falsos de $2.000 en el Conurbano
📰 Los cinco pasos para detectarlos
👉 https://t.co/ucPmo39G1n
#BilletesFalsos #BancoCentral #NuevosBilletes #Inflación #Noticias #Zonales https://t.co/UQgvXhZGcU</t>
  </si>
  <si>
    <t>🟠 #BuenosAires
•  Conocé los  nuevos billetes de $1.000, $500, $200 y $100
📰 Cuando salen y qué próceres llevará cada uno
👉 https://t.co/Yc5gMlFRdu
⠀
#BCRA #BancoCentral #Billetes #SanMartín #Noticias #Zonales https://t.co/CGobGRY1ZG</t>
  </si>
  <si>
    <t>🟠 #BuenosAires
• Los nuevos billetes de $1.000, $500, $200 y $100 ya tienen fecha para salir a la calle
📰 Descubrí qué próceres llevará cada uno 👇
⠀
#BCRA #BancoCentral #Billetes #SanMartín #Noticias #Zonales
https://t.co/OXE4ywQ1la</t>
  </si>
  <si>
    <t>🟠 #BuenosAires
• Billetes falsos de $2.000
📰 La guía con los 10 punto para no ser engañado
👉 https://t.co/jvooIpL0Ql
⠀
#BilletesFalsos #BancoCentral #Inflación #Inseguridad #Economía #Noticias #Zonales https://t.co/NNVtQhvhRH</t>
  </si>
  <si>
    <t>🟠 #BuenosAires
• Billetes falsos de $2.000
La guía con los 10 puntos de seguridad clave para evitar estafas
⠀
📰Todos los datos para no ser engañado 👇
⠀
#BilletesFalsos #BancoCentral #Inflación #Inseguridad #Economía #Noticias #Zonales
https://t.co/0lNkOvDGOt</t>
  </si>
  <si>
    <t>🟠 #BuenosAires
• Ya circulan billetes falsos de $2.000 en el Conurbano
📰 Cuáles son los cinco pasos para detectarlos 👇
#BilletesFalsos #BancoCentral #NuevosBilletes #Inflación #Noticias #Zonales
https://t.co/7Ci1gs2Jlg</t>
  </si>
  <si>
    <t>O boletim Focus, divulgado semanalmente pelo Banco Central (BC), trouxe uma surpresa positiva para o governo nesta segunda-feira (22).
#tanomiseria #bancocentral #inflação
https://t.co/SmnA5N5ITP</t>
  </si>
  <si>
    <t>De acordo com informações divulgadas pelo Banco Central (BC), a atividade econômica do Brasil cresceu em 2,41% nos primeiros três meses de 2023 em relação ao trimestre anterior, outubro a dezembro de 2022. 
#tanomiseria #bancocentral #crescimento
https://t.co/Txp4RlRPIY</t>
  </si>
  <si>
    <t>Petistas defendem saída do presidente do Banco Central após manutenção de juros em 13,75% ao ano (via @EstadaoEconomia) https://t.co/yqUXvtGkMb</t>
  </si>
  <si>
    <t>Rui Costa defende mudança de lei para governo poder demitir presidente do Banco Central (via @EstadaoEconomia)
https://t.co/4M53RazpFN</t>
  </si>
  <si>
    <t>Ante las nuevas medidas, Resolución 111, del #BancoCentral nuestra plataforma de #comercioelectrónico #Enzona es una de las opciones para el pago digital fácil y seguro ante las acciones para ampliar la #Bancarizacióndelasoperaciones en el país. #Juntosporlatransformacióndigital https://t.co/nSN2uHlBgN</t>
  </si>
  <si>
    <t>Tendências globais das políticas monetárias em 2023: inflação alta, aumento de taxas de juros e busca pela estabilidade econômica. Link: https://t.co/QehkwnEMrJ #Bacen #Lula #CamposNeto #BancoCentral #Inflação #TaxadeJuros #PolíticaMonetária</t>
  </si>
  <si>
    <t>Noruega podría seguir su propio camino en la regulación de los criptoactivos, sugiere el banco central #Noruega #Criptomonedas #Regulacion #BancoCentral #cryptonewstoday #Weex https://t.co/Pk3K5uAKhq</t>
  </si>
  <si>
    <t>Natalia Aránguiz: “No ha sido claro por qué se implementó esta política financiera que va al revés de la política monetaria”.
https://t.co/VVMVusogo1</t>
  </si>
  <si>
    <t>Las seis claves para entender el voto dividido del Consejo del #BancoCentral @exantecl 
-&amp;gt;Descubre en https://t.co/JgcZXmgGzJ  la mejor selección de #noticias de #Chile y el mundo, en un solo lugar https://t.co/EGlzp6Gejc</t>
  </si>
  <si>
    <t>Presidentes de bancos centrais estrangeiros vêm ao Brasil debater política monetária #BCB https://t.co/yhpVycgWjV #BancoCentral #BCB via @BancoCentralBR</t>
  </si>
  <si>
    <t>O atendimento no @picpay ficou péssimo depois da fusão com o @BancoOriginal com as ligações incompletas, menu ineficiente e soluções não solucionadas #picpay #bancocentral</t>
  </si>
  <si>
    <t>La situación económica argentina le demanda al #BancoCentral acumular reservas impulsando medidas que favorezcan las exportaciones, por lo que se ponen en marcha distintas medidas coyunturales para incentivar la comercialización de #
soja.
https://t.co/quLSiIHQs9</t>
  </si>
  <si>
    <t>Brasil. 🇧🇷
#IPCA de agosto, subiu 0,2% e fica abaixo das expectativas do mercado, o aumento na conta de energia que elevou a inflação. 
Na próxima semana, deve acontecer a reunião de política monetária do #BancoCentral</t>
  </si>
  <si>
    <t>Nesta segunda-feira, os investidores estão aguardando a divulgação pelo #bancocentral da ATA que vai trazer explicações sobre o corte dos juros (Selic). Terça-feira, amanhã às 08h00 no horário de Brasília.
Tesouro Direto. 🟥
Os papéis, já sentiram a queda dos juros. -4,9% pago https://t.co/7nn64wIWkE</t>
  </si>
  <si>
    <t>Em publicação em uma rede social, o governador do Espírito Santo, Renato Casagrande, comemorou. "A decisão do BC de reduzir 0,5% na taxa Selic indica que poderemos experimentar um bom período de quedas dos juros"
#inflação #BancoCentral</t>
  </si>
  <si>
    <t>https://t.co/Zh6ZiYtirx
Medidas anunciadas pelo Banco Central pretendem modernizar e dar mais segurança ao uso deste instrumento de pagamento.
#BancoCentral #Cheque #SigaMais</t>
  </si>
  <si>
    <t>La suba de tasas del #BancoCentral garantiza hasta un 7,5% efectivo mensual en plazo fijo ¿Cuánto podrías ganar con $50.000, $100.000 o $250.000? 💰📈
#Finanzas #PlazoFijo #Dólar 
https://t.co/dtR7vgfvN7</t>
  </si>
  <si>
    <t>As declarações para o #CensoAnualdeCapitaisEstrangeiros no Brasil devem ser entregues ao #BancoCentral no período de 1º de julho a 15 de agosto.
Confira: 
https://t.co/0fN2i5sA4e
#Bacen #CapitalEstrangeiro #prazo #multa #somarinteligências #lacazmartins https://t.co/tip4EMEweZ</t>
  </si>
  <si>
    <t>Quando se fala de risco operacional, a resolução n. 304 é clara e estabelece que as Instituições Operadoras de Sistema de Mercado Financeiro (IOSMF) devem tratar questões como gestão de fraudes, gestão da terceirização de serviços, etc
https://t.co/czSWISgm1t #bancocentral https://t.co/F2EUnsQMhb</t>
  </si>
  <si>
    <t>Relatório de Economia Bancária https://t.co/skRA8Jnjrs #BancoCentral #BCB via @BancoCentralBR</t>
  </si>
  <si>
    <t>@estamosconboric @mariomarcelc #bancocentral #UF #IPC https://t.co/ydVqaaKdZr</t>
  </si>
  <si>
    <t>Bitcoin como un bote salvavidas https://t.co/Of3HgjvRvv #Bitcoin #descentralización #p2p #adopción #inflación #deuda #ahorros #poderadquisitivo #economía #macroeconomía #políticamonetaria #políticafiscal #bancocentral #crecimiento #deflación #estagflación #mercadosfinancieros</t>
  </si>
  <si>
    <t>El caso de Juan y la soberanía individual https://t.co/EQV9AkusJR #Bitcoin #descentralización #p2p #adopción #inflación #deuda #ahorros #poderadquisitivo #economía #macroeconomía #políticamonetaria #políticafiscal #bancocentral #crecimientoeconómico #tasasdeinterés</t>
  </si>
  <si>
    <t>📊 La Encuesta Nacional de Uso y Preferencias del Efectivo ofrece valiosa información sobre las tendencias de pago en Chile, permitiendo al #BancoCentral generar instrumentos de monitoreo para promover la confianza . #EncuestaPago #Confianza 
https://t.co/Ozk20Xh5W1 https://t.co/7e9yZVAFTY</t>
  </si>
  <si>
    <t>[INFORME JB]
O #BancoCentral acabou metido numa sinuca de bico, por avaliar o país pior do que uma agência de risco como a S&amp;amp;P
https://t.co/6FFxMc2Iu0</t>
  </si>
  <si>
    <t>La expresión «banco central» se escribe con mayúscula cuando forma parte de un nombre propio, pero con minúscula cuando se usa como nombre común genérico.
📌 https://t.co/dEn8Ppxam8
#bancocentral #bancos #economía #español #mediosdecomunicación #FundéuArgentina https://t.co/HQZi1pmEm8</t>
  </si>
  <si>
    <t>"É muito difícil combater uma narrativa, mas o #BancoCentral tem uma grande preocupação com o social", diz #RobertoCamposNeto em audiência no Senado. Ele se disse emocionado com elogios da senadora #DamaresAlves. https://t.co/3AnYJvhOe3</t>
  </si>
  <si>
    <t>#Hackers roban información de la #CNV #argentina
#Noneda #Digital #Bancocentral #monedadigital
https://t.co/Qr7mqBHg9J</t>
  </si>
  <si>
    <t>#Bitcoin cae a zona de #USD 25.000 horas después del anuncio de la #FED
#BTC #bancocentral #eeuu #estadosunidos
https://t.co/vzJRqMS72e</t>
  </si>
  <si>
    <t>Deltan fugiu? Estadão chama Lula de sortudo… BNDS e Embraer garantem venda de aviões brasileiros!
#deltan #embraer #bnds #cni #lula #lavajato #bolsonaro #moro #gabrielahardt #onu #marcoosdoval #bancocentral #juros #mercado
https://t.co/z2nPNot9SV https://t.co/JPJL4jLqnp</t>
  </si>
  <si>
    <t>Bolsonaro edita vídeo para se passar de popular! O terror dos bolsonaristas assina com a Globo News! #danielalima #cnn #globonews #bolsonaro #bancocentral #camposneto #gásdecozinha #lula #frança #argentina #neymar #planosafra #cirogomes
https://t.co/xEWGP8g1mp https://t.co/biHNHo9G54</t>
  </si>
  <si>
    <t>Mensagens no celular de Cid revelam plano golpista! Remédios de graça e carne mais barata, faz o L!
#farmaciapopular #inflação #golpistas #lula #bolsonaro #carropopular #bancocentral #juros
https://t.co/bIqPtRKLbi https://t.co/3igbAtYzFa</t>
  </si>
  <si>
    <t>Lula joga pesado para garantir o governo aliado na Argentina! Mercado revoltado com Campos Neto!
#argentina #bolsonaroinelegível #fernandez #miriamleitão #bancocentral #juros #inflação #eua #russia #alemanha #soja #mercado #dólar #canalquestionamentos
https://t.co/jqGhtDhr54 https://t.co/5HUpxOlv3I</t>
  </si>
  <si>
    <t>Lula diz que não vai deixar de apoiar a indústria nacional como quer a União Europeia!
#canalquestionamentos #bancocentral #camposneto #dólar #uniãoeuropeia #zanin #eua #ucrania #europa #ditadura
https://t.co/fjfhqk27Bk https://t.co/Azez4FOTxe</t>
  </si>
  <si>
    <t>Efeito Lula, confiança na economia é a maior em dez anos! Bolsonaro quer continuar no jogo!
#xandão #bancocentral #paris #marcosdoval #policiafederal #stf #gleise #russia
https://t.co/vIDSqalkgF https://t.co/7JydE3wzkK</t>
  </si>
  <si>
    <t>Apoio de Bolsonaro mais atrapalha que ajuda, indica pesquisa! Campos Neto perde apoio dos ricos!
#bancocentral #fiesp #tse #stf #frança #lula #alckmin #macron #meioambiente #amazonia #gilmarmendes #xandão #moro #deltan #zema #desdolarização #lavajato
https://t.co/ymeYObPV2b https://t.co/8Ry2FsVdVj</t>
  </si>
  <si>
    <t>Lula propõe até 40 anos para golpistas / PIB de um ano de Lula deve ser maior que de Bolsonaro em 4
#zema #doria #stf #lula #economia #bancocentral #camposneto #bolsonaristas #desenrola #inflação
https://t.co/UrSjvbdBS4 https://t.co/61cT1y7ws4</t>
  </si>
  <si>
    <t>De anistia a fugir para os EUA, os planos de Bolsonaro! Banco Central entra na mira do TCU!
#camposneto #bancocentral #estadosunidos #marcosdoval #swat #agronegócio #justiça #xandão  #democracia #ditadura #jovempan #grandedia #bolsonaroinelegivel
https://t.co/MUricbEzT1 https://t.co/WHCtkupNFQ</t>
  </si>
  <si>
    <t>MPF pede cassação da concessão da rádio Jovem Pan! Bolsonaro perto da inelegibilidade!
#censura #ditadura #agro #jovemklan #grandedia #choramais #exército #defesa #mst #campo #colombia #amazônia #meioambiente #agu #bancocentral #camposneto
https://t.co/0RULgQPkj5 https://t.co/GfoexODMMA</t>
  </si>
  <si>
    <t>Lula derrota Campos Neto e juros caem! Tarcisio envergonha o Brasil no exterior! PF quer Bolsonaro!
#monark #BancoCentral #Zambelli #grandedia
https://t.co/m8YcMPrxDL https://t.co/gaeMfnu2S6</t>
  </si>
  <si>
    <t>Depois da derrota de Bolsonaro Jovem Pan passa apuros financeiros e está próxima de quebrar de vez!
#jovempan #zambelli #hacker #urnaeletronica #eduardobolsonaro #cassação #bolsonaro #gayer #monark #ipca #indústria #lula #bancocentral #petrobras #bndes 
https://t.co/glKrK3tvBn https://t.co/Rfq0WhP1nK</t>
  </si>
  <si>
    <t>Bolsonaristas começaram a destruir o PL, enquanto Bolsonaro vai ter que depor à PF outra vez!#carlosbolsonaro #gilmarmendes #marcosdoval #eduardoolsonaro #dino #professores #clima #turquia #uniãoeuropeia #moro #gleise #bancocentral #camposneto
https://t.co/Z0v0JTgG42 https://t.co/2zFsZqRurB</t>
  </si>
  <si>
    <t>Dino estranha as críticas do avanço da investigação do caso Marielle! PF de olho no Deltan!
#lavajato #fmi #bancocentral #desenrola #juros #israel #carluxo #grandemidia #band
https://t.co/FuaoM6icYH https://t.co/wyVrJYNHEl</t>
  </si>
  <si>
    <t>Bolsonaro a 1 voto de perder seus direitos políticos diz que nunca atentou contra democracia…
#xandão #kimKataguiri #mbl #bancocentral #meioambient #exercito #tse #prf #inss #carroseletricos #byd #empregos #juros #bolsonaroinelegivel #vergonhoso #pco
https://t.co/vkKJEhT3qE https://t.co/RYhxYQUIM8</t>
  </si>
  <si>
    <t>Nova Datafolha sobre Lula｜Malafaia abandona Bolsonaro｜Ciro Gomes volta a falar suas perolás
#malafaiausoubolsonaro #canalquestioanmentos #carroseletricos #frança #estadosunidos #russia #china #economia #bancocentral #camposneto #pesquisa
https://t.co/20YHIDpgPl https://t.co/Yh5UfoiAQo</t>
  </si>
  <si>
    <t>Flávio Bolsonaro deve aprovar Zanin! Marcos Do Val preparou armadilhas! Coronel golpista se lascou!
#nikolas #pastorandersonsilva #mandíbula #lula #flaviodino #stf #xandão #alexandredemoraes #militar #exército #defesa #pib #tebet #bancocentral  #lira 
https://t.co/HtvMiUwcp3 https://t.co/4dmtwCmWwg</t>
  </si>
  <si>
    <t>Real digital se chamará Drex, confirma Banco Central
#meunovopost #noticiamais #sc #bancocentral https://t.co/2p7DQYrmmS</t>
  </si>
  <si>
    <t>Quanto já custou ao país o negacionismo econômico de Campos Neto? Qtos empregos, empresas falidas, famílias destruídas? A vacina sempre esteve ao alcance do Copom,  mas insistem nos juros genocidas. Até qdo ficarão impunes?</t>
  </si>
  <si>
    <t>Campos Neto, responsável pelo Brasil ter o maior juro do planeta, agora quer terceirizar ativos do BC. É isso, tirar do Estado e deixar ao bel prazer do mercado. E o que acontece com as reservas de U$340 bilhões? Não explicou até agora o tal erro contábil de R$1 trilhão no banco…</t>
  </si>
  <si>
    <t>tenho lá minhas dúvidas se a @gleisi sabe o significado da palavra genocida... #política #bancocentral #copom</t>
  </si>
  <si>
    <t>📈 O juro neutro é um balizador da direção da política monetária, indicando, em qual momento, uma política é contracionista ou expansionista – o que demanda atenção do investidor. ⁠Saiba mais sobre as mudanças
https://t.co/LSmH9I55m4
#juro #juroneutro #bancocentral #selic</t>
  </si>
  <si>
    <t>CHARGE 🎨 Federal Reserve e Banco Central Europeu: A caminho do "pouso suave"?
Confira o calendário Econômico:
https://t.co/jPpJocF9ki
#bce #fed #bancocentraleuropeu #federalreserve #bancocentral #juros #fedfunds https://t.co/T7oQGvJbjo</t>
  </si>
  <si>
    <t>El #FMI trabaja en la creación de una plataforma global para las #CBDC. Lo confirmó la presidenta del FMI que indicó que buscan “interoperabilidad” entre los países que usan monedas digitales de #BancoCentral</t>
  </si>
  <si>
    <t>Copom mantém política restritiva ao desenvolvimento do país com Selic em 13,75%
#JurosBaixoJá #BancoCentral #Selic #Pactu #seebumuarama #Umuarama 
https://t.co/Ff5BKP6QIM https://t.co/9a4uXeMsRR</t>
  </si>
  <si>
    <t>Juros altos do Banco Central dificultam crédito para a maioria das empresas, diz CNI
#jurosbaixosjá #BancoCentral #TaxaSelic #CNI #Economia #Pactu #seebumuarama #Umuarama 
https://t.co/kYIw4QWO1A https://t.co/XytRAq3zwY</t>
  </si>
  <si>
    <t>Com BC na mira, Senado vai sabatinar dois indicados para integrar a direção do banco
#BancoCentral #BC #Copom #PolíticaMonetária #PActu #seebumuarama #Umuarama 
https://t.co/0AZzjhQcWv https://t.co/iVHSp5VcyN</t>
  </si>
  <si>
    <t>CUT e centrais farão protestos contra os juros altos em todo o país nesta terça (20)
#JurosBaixoJá #BancoCentral #TaxadeJuros #CamposNeto #Protestos #Manifestações #Pactu #seebumuarama #Umuarama 
https://t.co/jUhElspVRm https://t.co/4cZxGhPwKu</t>
  </si>
  <si>
    <t>Taxa de juros e Banco Central: você sabe o que são e para que servem?
#JurosAltos #Selic #BancoCentral #RobertpCamposNeto  #Pactu #Seebumuarama #Umuarama 
https://t.co/RFT07sHt5p https://t.co/PwpkJ9t354</t>
  </si>
  <si>
    <t>Em nota, CUT diz que a reconstrução do Brasil exige uma forte redução da taxa Selic
#BAncoCentral #Copom  #JurosBaixosJá #Pactu #seebumuarama #Umuarama 
https://t.co/bi0nkfNgvg https://t.co/9NaGAHii9J</t>
  </si>
  <si>
    <t>Inflação negativa aumenta pressão por queda de juros
#Inflação #Deflação #Ibge #BancoCentral #Selic #Pactu #seebumuarama #Umuarama 
https://t.co/Qhng5yEjau https://t.co/E4uM6rBENs</t>
  </si>
  <si>
    <t>Fetec participa de ato contra Campos Neto em Curitiba
#JurosBaixosJá #BancoCentral #RobertoCamposNetos #Pactu #seebumuarama #Umuarama 
https://t.co/Jdl8Oq0jq5 https://t.co/MIvtZbUwGT</t>
  </si>
  <si>
    <t>Campos Neto quer entregar a empresa estrangeira US$ 380 bilhões das reservas do país
#ForaCamposNeto #ReservasCambiais #BancoCentral #Pactu #seebumuarama #Umuarama 
https://t.co/wkGZSozwND https://t.co/EuDFCUXdC3</t>
  </si>
  <si>
    <t>Suspeitas de inconsistências de R$ 1 tri podem tirar Campos Neto do BC
#RobertoCamposNetos #TCU #Bolsonaro #BAncoCentral #Economia #Pactu #Seebumuarama #Umuarama 
https://t.co/2ZBdwHCKI1 https://t.co/qJvVMAbDrq</t>
  </si>
  <si>
    <t>Banco Central: entenda o que é, o que faz e como impacta na vida de cada um de nós
#BC #BAncoCentral #TaxadeJuros #Economia #Desemprego #Pactu #seebumuarama #Umuarama 
https://t.co/CZ7ozrQQen https://t.co/zFiYE86viS</t>
  </si>
  <si>
    <t>Entenda o que é e como funcionará o real digital
#BancoCentral #BC #MoedaDigital #RealDigital #DREX #Pactu #seebumuarama #Umuarama 
https://t.co/PTUcPb6qEr https://t.co/RSijkpO35S</t>
  </si>
  <si>
    <t>Juros precisam baixar pela metade para o país crescer, dizem economistas
#JurosAltos #TaxaSelic #BancoCentral #BC #CrescimetoEconomico #Pactu #seebumuarama #Umuarama 
https://t.co/HVfSIPST49 https://t.co/SwWejjkttc</t>
  </si>
  <si>
    <t>Banco Central deve iniciar corte na taxa de juros em reunião nesta semana
#BancoCentral #Copom #CampoNeto #TaxaSelic #Selic #Economia #PActu #seebumuarama #Umuarama 
https://t.co/2nJfmQvwBe https://t.co/kDG01zudf9</t>
  </si>
  <si>
    <t>Atos contra juros altos ocorrem em todo o Brasil
#JurosBaixosJá #Selic #BancoCentral #Pactu #seebumuarama #Umuarama 
https://t.co/6b7wLfOzJb https://t.co/PwpjvV7Z54</t>
  </si>
  <si>
    <t>Trabalhadores protestam contra juros altos em todo o Brasil
#JurosBaixosJá #ForaCampoNetos #BancoCentral #Pactu #seebumuarama #Umuarama 
https://t.co/6wXF33VOCD https://t.co/D45tKy5nzg</t>
  </si>
  <si>
    <t>Movimentos sociais chamam para atos contra juros altos nesta terça (20)
#JurosBaixosJá #ForaCamposNeto #BAncoCentral #Selic #Pactu #seebumuarama #Umuarama 
https://t.co/U3ndhU6k1W https://t.co/09ExdpC42q</t>
  </si>
  <si>
    <t>Bancos compartilharão dados para coibir fraudes, diz BC
#BancoCentral #Fraudes #SegurançaBancaria #Bancos #Pactu #seebumuarama #Umuarama 
https://t.co/p6Gk6fW7Uh https://t.co/exbcWuHKWt</t>
  </si>
  <si>
    <t>Comitês de Luta fazem novo mutirão contra juros altos
#TaxadeJuroa #Selic #Copom #JurosBaixoJá #BancoCentral #RobertoCamposNeto #Pactu #seebumuarama #Umuarama 
https://t.co/bXECHcAvZ1 https://t.co/m0oV81mHCE</t>
  </si>
  <si>
    <t>Prévia do PIB indica crescimento acima de 2,4% nos três primeiros meses do ano
#Economia #PIB #BancoCentral #Pactu #seebumuarama #Umuarama 
https://t.co/ao5RKpD2aI https://t.co/jeCB5YCsKk</t>
  </si>
  <si>
    <t>Juros altos empurram as famílias para o endividamento
#Bancos #BancoCentral #CartãodeCrédito #JurosAltos #JurosRotativos #Pactu #seebumuarama #Umuarama 
https://t.co/1sO7GujzGA https://t.co/1Pf7DVOTch</t>
  </si>
  <si>
    <t>Mercado prevê PIB de 2,24% este ano
#BancoCentral #PIB #MercadoFinanceiro #Câmbio #Juros #selic #Pactu #PactuBancários #seebumuarama #Umuarama 
https://t.co/AYoKS92o2m https://t.co/7yaBFallWK</t>
  </si>
  <si>
    <t>Banco Central usa radar Focus para indicar que irá manter Selic em 13,75%
#BC #BancoCentral #JurosBaixoJá #TaxaSelic #Pactu #Seebumuarama #Umuarama 
https://t.co/ZsTwYaZLVf https://t.co/yKZhzFRprT</t>
  </si>
  <si>
    <t>PIB mais alto, inflação mais baixa: bancos erram previsões e influenciam economia para pior
#BC #BancoCentral #PIB #Inflação #Bancos #Economia #Pactu #seebumuarama #Umuarama 
https://t.co/20OdMQXLJF https://t.co/C4IQj2QPYj</t>
  </si>
  <si>
    <t>Sem surpresa e ignorando críticas, Copom volta a manter taxa de juros e pede ‘serenidade’
#BAncoCentral #Copom #Inflação #TaxaBásicadeJuros #TaxaSelic #Pactu #seebumuarama #umuarama 
https://t.co/CqgxPqGv1N https://t.co/akBVYUkWJF</t>
  </si>
  <si>
    <t>Trabalhadores realizam protestos contra os juros altos
https://t.co/zw7sh1Bls0
#pactu #jurosbaixosjá #selic #bancocentral #seebumuarama #umuarama https://t.co/6IPBS32bfg</t>
  </si>
  <si>
    <t>CUT e centrais se mobilizam contra a política de juros altos do Banco Central
#JurosBaixoJá #CUT #CentraisSindicais #TaxadeJuros #BancoCentral #Pactu #seebumuarama #Umuarama 
https://t.co/02DOPbQbTx https://t.co/5Kgeq7JPVf</t>
  </si>
  <si>
    <t>Bancos reveem expectativas e já estimam crescimento do PIB acima de 2% em 2023
#Inflação #BoletimFocus #BancoCentral #Economia #Pactu #seebumuarama #Umuarama 
https://t.co/oIUyS0ArjW https://t.co/qnn6pePfeK</t>
  </si>
  <si>
    <t>El Banco Central dispuso subir la tasa de interés para los plazos fijos al 97% anual https://t.co/JXnK0LBu5m 
#Noticias #Argentina #Economía #BancoCentral #TasaDeInterés #PlazosFijos #Inflación #SoyDelEste https://t.co/eqiX307GHQ</t>
  </si>
  <si>
    <t>Tras las PASO, el dólar oficial se estableció en $350 y la tasa de plazos fijos subió a 118% https://t.co/Fnj4HXzSLc 
#Noticias #Argentina #Economía #Política #BancoCentral #Dólar #PlazosFijos #EleccionesPASO #SoyDelEste https://t.co/LjDmL6OuG0</t>
  </si>
  <si>
    <t>#NuestroEquipoenPrensa 📰 | Esteban Vianni, economista y académico de #PostgradosUAutónoma comentó sobre las medidas adoptadas por el #BancoCentral para desincentivar el consumo y regular la inflación. El análisis completo en la nota de @meganoticiascl: https://t.co/UmWxUoDep3 https://t.co/cu2q0i7pNV</t>
  </si>
  <si>
    <t>Pix automático, banco central divulga conograma!
#dolar #pix #bancocentral #investing #forextrader #Traders https://t.co/1SsR8jbuvK</t>
  </si>
  <si>
    <t>📢💼 O plenário do Senado aprovou as indicações de Gabriel Galípolo e Ailton Aquino para diretorias do Banco Central. Parabéns aos novos diretores e votos de sucesso em suas novas funções. 💪🏦 #BancoCentral #Senado #Brasil https://t.co/62Bp66kB7C</t>
  </si>
  <si>
    <t>Después de guardar silencio, #BACCredomatic reconoce que entregó datos individualizados de clientes al #BancoCentral
https://t.co/J8wTGrh5uD</t>
  </si>
  <si>
    <t>🇦🇷 | AHORA: Fuerte devaluación del peso argentino tras el sorpresivo triunfo de Javier Milei en las primarias. El dólar blue abrió a $690.
Seguí nuestra cobertura en telegram: https://t.co/u3AAdsCsb0
#milei #dolar #DolarBlue #BancoCentral</t>
  </si>
  <si>
    <t>RT @mundocriptok: 🇦🇷 | AHORA: Fuerte devaluación del peso argentino tras el sorpresivo triunfo de Javier Milei en las primarias. El dólar b…</t>
  </si>
  <si>
    <t>La huelga en #CORMIDOM podria afectar los ingresos fiscales y el desarrollo de las comunidades de Maimon. Nos unimos al llamado de sensatez de los #colaboradores y #desarrolladores mineros! Prevalezca el dialogo.!
Vean las estadisticas #BancoCentral. https://t.co/0BQ9snpJr8</t>
  </si>
  <si>
    <t>Pocas veces se ponen de acuerdo. Pero esta vez, las tres cámara industriales de fama se plantaron ante el Banco Central. Enterate. #CILFA #CAEMe #COOPERALA #Industria #Farma #Dólares #BancoCentral #Importaciones #Farma #Pharmabiz
https://t.co/J2WlYyOgwj https://t.co/PHfRZYc213</t>
  </si>
  <si>
    <t>Enquanto a herança  maldita  deixada por Bolsonaro  permacer no #BancoCentral, as taxas continuam  altas.</t>
  </si>
  <si>
    <t>#Dinheiro #economia #finanças #selic #ipca #BancoCentral #taxaDeJuros
A última reunião do Copom realizada em 03/5/2023 foi decidido pelo Banco Central manter a taxa de juros em 13,75%.
https://t.co/Of0f3rGWhY</t>
  </si>
  <si>
    <t>#Dinheiro #economia #finanças #selic #ipca #BancoCentral #taxaDeJuros 
A última reunião do Copom realizada em 03/5/2023 foi decidido pelo Banco Central manter a taxa de juros em 13,75%.
https://t.co/2qewUjCVQ3</t>
  </si>
  <si>
    <t>#Dinheiro #financeiro #finanças #economia #BancoCentral #Bacen #Drex #Moeda #criptomoedas
Você já conhece a nova modalidade financeira criada pelo Banco Central, o Drex?
https://t.co/mC4gJl7SiH</t>
  </si>
  <si>
    <t>#Dinheiro #financeiro #finanças #economia #BancoCentral #Bacen #Drex #Moeda #criptomoedas 
Você já conhece a nova modalidade financeira criada pelo Banco Central, o Drex?
https://t.co/zw0ifZK3fI</t>
  </si>
  <si>
    <t>#DolarBlue #dolarización #Milei2023 #inflación #bancocentral https://t.co/ugEveZHTa7</t>
  </si>
  <si>
    <t>Consulta... Hasta donde yo tengo conocimiento, solo los billetes manchados con tinta o pintura no se pueden recibir...
Es legal #sernac #BancoCentral  #chile @schopdog  está información visual previa a consumir en el local.
Gracias. https://t.co/kdN4yhCJWG</t>
  </si>
  <si>
    <t>📌 #Inflación | Según analistas del #BancoCentral, el 2023 cerraría con una mayor tasa de #desempleo, que alcanzaría al 7,5% de la población, y con una caída del Producto Interno Bruto.
https://t.co/mYaFGT7WVh</t>
  </si>
  <si>
    <t>Banco Central recorta proyección de crecimiento para este año pero la eleva para el próximo https://t.co/c2cglUOCif
#Chile #chile🇨🇱 #bancocentral</t>
  </si>
  <si>
    <t>Consejo del Banco Central de Chile acordó mantener la tasa de interés de política monetaria en 11,25% https://t.co/B3nqxOaYQp
#Chile #bancocentral #chile🇨🇱</t>
  </si>
  <si>
    <t>📢💸 El #BancoCentral subirá la tasa de interés anual que pagan los #plazosfijos a 30 días, que se ubicaría en torno al 97%. También anuncia mayor intervención en el mercado de #cambios. https://t.co/dRNTRW3Swb</t>
  </si>
  <si>
    <t>El #BancoCentral subió las tasas de interés sobre los plazos fijos, por tercera vez en menos de un mes. A partir de este lunes, el nuevo piso es del 91%. Además redujo dos puntos la tasa de interés para saldos impagos sobre tarjetas de crédito. https://t.co/tGbPughhE5</t>
  </si>
  <si>
    <t>Que a #selic  ficaria em 13,75%  era previsível…  O que importa é o comentário do #bancocentral 
"apesar de ser um cenário menos provável, não hesitará em retomar o ciclo de ajuste caso o processo de desinflação não transcorra como esperado". 
O trecho "apesar de ser um… https://t.co/6W20iPYUKO</t>
  </si>
  <si>
    <t>@aro_rojas @perezjuan1962 @adolfopena9 @America81525537 @racuminvenenoso @chichaypuro @Chena1960 @emelec65 @Mis__Notas @CESAREJULIAN1 @loboestef @KattySorayaTipn #Ecuador Dile No a estos #Delincuentes 
Está demostrado que el #LeloArauz nunca fue a trabajar solo firmaba lo que la #LocaDelAtico quería ! Llegó a dedo al #BancoCentral ..#TitulosFalsos igual que #PedroDelgado
#LeLoArauz va a sacar el dólar. https://t.co/Y6zUZPaxnh</t>
  </si>
  <si>
    <t>🏦 💳 | #BancoCentral de #Argentina prohíbe el uso de "débito inmediato" en #MercadoPago 👇🏻
https://t.co/7TWzjtMb97</t>
  </si>
  <si>
    <t>#criptocorralito #bcra #bancocentral #fintech https://t.co/4pGKLjx1Us Seguime en instagram! https://t.co/Nxn3dDfPII</t>
  </si>
  <si>
    <t>Selic está em 13,75% ao ano desde agosto de 2022 #JornalDaki #Economia #Política #Selic #Copom #TaxadeJuros #BancoCentral 
https://t.co/vp0sOq6Zjg</t>
  </si>
  <si>
    <t>Somente na última sexta, 142,4 milhões de transferências foram feitas #JornalDaki #Kotidiano #Economia #Pix #BancoCentral #Bancos 
https://t.co/PxzH7Bytmm</t>
  </si>
  <si>
    <t>Depósitos ficaram em R$ 321,6 bilhões e retiradas, em R$ 331,7 bilhões #JornalDaki #Kotidiano #Economia #BancoCentral #Poupança #SaquesdaPoupança #DepósitosdaPoupança
https://t.co/yNqr3PIlBd</t>
  </si>
  <si>
    <t>Operadoras de telefonia e Banco Central disponibilizam ferramentas para consumidor consultar irregularidades em seu nome #JornalDaki #Kotidiano #Economia #FraudesDigitais #CPF #OperadorasdeTelefonia #BancoCentral 
https://t.co/roykOQWRds</t>
  </si>
  <si>
    <t>Estimativa de inflação caiu para 4,86% #JornalDaki #Economia #Inflação #Crescimento #BoletimFocus #BancoCentral 
https://t.co/FDWRd5i01I</t>
  </si>
  <si>
    <t>"El asunto de las injusticias sociales no es un asunto impositivo o económico, sino ético".
Jorge Martínez Barrera analiza si las reformas tributarias son el medio más directo para acabar con las desigualdades e injusticias sociales.   
#BancoCentral
https://t.co/h8uhZUvLnO https://t.co/Aupqe7KSjC</t>
  </si>
  <si>
    <t>❗El Gobierno Nacional pagará al #FMI U$S 2.700 millones sin usar reservas del #BancoCentral
👉🏼 Se utilizarán DEG y yuanes de libre disponibilidad del swap de monedas con el Banco Popular de #China 🇨🇳
🔽 Seguí leyendo en https://t.co/WIFPBtGywV</t>
  </si>
  <si>
    <t>Banco Central reduz juros em 0,5 ponto percentual e Selic vai a 12,75%
#BancoCentral #TaxaSelic #MercadoFinanceiro https://t.co/FHATYDPtd5</t>
  </si>
  <si>
    <t>Pq o Ibovespa está caindo mesmo com a queda da taxa Selic?
#TaxaSelic #BancoCentral #FED #MercadoFinanceiro https://t.co/KNugLNcZk6</t>
  </si>
  <si>
    <t>Copom mantém taxa Selic em 13,75% ao ano para controlar inflação https://t.co/pfHt1XFEon #bancocentral #copom #inflação #IPCA #metadeinflação #SPAGORA #taxaSelic https://t.co/W2jDLEhZGi</t>
  </si>
  <si>
    <t>Resumindo: Galipolo no Bacen começa a minar a expectativa de André Lara Rezende na presidência do Banco Central. #BancoCentral</t>
  </si>
  <si>
    <t>#brubank #bancovirtual #banco #Bank #bru #Argentina #bancocentral #bancoargentina #bancoarg #arg #central #economía #finanzas #problemas #dinero #plata #dolares #latinoamerica #latino</t>
  </si>
  <si>
    <t>La #inflación en #Chile se ha reducido «más rápido de lo previsto» y a fin de año podría registrar una #cifra más baja a la esperada, afirmó el consejero del #BancoCentral, #LuisFelipeCéspedes. https://t.co/XvDc9yLngm</t>
  </si>
  <si>
    <t>El #BancoCentral de #Chile rebajó su proyección de #crecimiento para la #economía del #país este 2023, de entre un -0,5 por ciento a 0,5 por ciento estimado en marzo pasado, a un rango entre -0,5 por ciento y 0,25 por ciento https://t.co/RTK8OdABjv</t>
  </si>
  <si>
    <t>Analistas del #mercado #chileno proyectaron una caída de la #economía #local de 0,3 por ciento al cierre de 2023, informó el #BancoCentral de #Chile. https://t.co/RGmE383h67</t>
  </si>
  <si>
    <t>Copom confirma expectativa e faz nova redução da taxa básica de juros (Selic), em 0,50 p.p., para 12,75% ao ano
Fed mantém juros dos Estados Unidos inalterados, mas sinaliza nova alta à frente
#selic #bancocentral #taxadejuros #copom https://t.co/13WJxziSKU</t>
  </si>
  <si>
    <t>Meme más cantado que despacito: https://t.co/D9ae0RNtTV</t>
  </si>
  <si>
    <t>#BancoCentral | Ailton Aquino, Auditor Chefe do BC com mais de 25 anos de casa, foi indicado pelo ministro @Haddad_Fernando para ser o primeiro diretor negro do Banco Central. A possível nomeação representa uma importante conquista na longa luta por diversidade em cargos públicos</t>
  </si>
  <si>
    <t>O Copom decidiu fazer mais um corte na taxa básica de juros ( SELIC), de  13,25% para 12,75% ao ano. Com esta decisão de hoje, o índice chegou ao menor patamar dos últimos 16 meses. https://t.co/r2lmMY7ZEK #BancoCentral #BCB via @BancoCentralBR</t>
  </si>
  <si>
    <t>Mercado de valores mantiene dinamismo durante primera mitad del año - vía @PaginaUnoDo - https://t.co/OknAwsV2an 
#PaginaUnoDo #Economia #MercadoDeValores #Dinamismo #PrimeraMitadDelAño #FideicomisoDeRentaVariable #BancoCentral @SIMVRDO @BancoCentralRD</t>
  </si>
  <si>
    <t>BCRD informa remesas rondaron los US$4,200 millones en los primeros cinco meses de 2023 - vía @PaginaUnoDo -https://t.co/HSxogbyeOp 
#PaginaUnoDo #Economia #BCRD #Remesas #PrimerosCincoMeses #BancoCentral #España #Suiza @BancoCentralRD https://t.co/FPkee5G1xG</t>
  </si>
  <si>
    <t>Junta Monetaria aprueba RD$25 mil millones adicionales de Facilidad de Liquidez Rápida - vía @PaginaUnoDo - https://t.co/9JVotSWWOa 
#PaginaUnoDo #Economia #JuntaMonetaria #FacilidadDeLiquidezRapida #BCRD #BancoCentral #FLR #MIPYMES @BancoCentralRD https://t.co/YvPLsvabEL</t>
  </si>
  <si>
    <t>Banco Central desembolsa RD$58,741 millones para sectores productivos, hogares y MIPYMES - vía @PaginaUnoDo - https://t.co/WyjKFL1o9a
#PaginaUnoDo #Economia #BancoCentral #SectoresProductivos #Hogares #Mipymes #EntidadesDeIntermediación #JuntaMonetaria @BancoCentralRD https://t.co/CL86vkH6Gj</t>
  </si>
  <si>
    <t>Política de subsidios sociales del Gobierno contribuyó a contener la inflación importada - vía @PaginaUnoDo -https://t.co/jmQ9hinRnI
#PaginaUnoDo #Nacionales #PoliticaDeSubsidiosSociales #Gobierno #Superate #BonoGas #IPC #FASE #PATI #PlanDeVacunacion #Combustibles #BancoCentral…</t>
  </si>
  <si>
    <t>Banco Central informa que en los primeros siete meses de 2023 los flujos de remesas superaron los US$5,900.0 millones - vía @PaginaUnoDo -https://t.co/HwwKDQptzv
#PaginaUnoDo #Economia #BCRD #BancoCentral #PIB #FlujoDeRemesas #RemesasSuperanUS5900Millones @BancoCentralRD https://t.co/O8hQJ4Wmu1</t>
  </si>
  <si>
    <t>SIMV destaca al cierre de junio activos puestos de Bolsas superaban los RD$181 mil millones - vía @PaginaUnoDo - https://t.co/JWQvMO9yzY
#PaginaUnoDo #Economia #SIMV #CierreDeJunio #Activos #Bolsas #181Millones #BancoCentral #Gobierno #PIB #MercadoDevalores #TelesistemaCanal11…</t>
  </si>
  <si>
    <t>Nova Taxação/Tributação do PIX https://t.co/5WoJeX3uby via @YouTube #pix #pixdetrasferência #pixdecompra #pixcheckout #taxas #tributos #bancocentral #bc #caixaeconomicafederal</t>
  </si>
  <si>
    <t>Un dato que les quiero recordar a todos los críticos de #JavierMilei y su propuesta de eliminar el #BancoCentral (incluso @victorzpavon a quien le escuché esa misma idea en #Paraguay antes que la popularizara Milei). En #EstadosUnidos, el #Dolar antecede a la #ReservaFederal. https://t.co/8DFwddawVG</t>
  </si>
  <si>
    <t>El #BancoCentral de #Turquia eleva por 3ª vez en un mes los tipos de interés. El #Banco Central #Turco anunció una subida récord de 750 puntos, pasando el tipo de #interes del 17,5% al 25%, para combatir el aumento de la #inflacion.
https://t.co/JkvBSxpBFO https://t.co/a846xn5DId</t>
  </si>
  <si>
    <t>Explicación de Juan Enrique sobre dolarización, para no retroceder al 2001… 🏦
@juanenriqueUBA 
@sigmanoticias 
@Leonard40844023 
#economiafinanciera #dolarizacion #argentina #soberania #argentinaunida #creoenargentina #bancocentral #bancos #massa2023 https://t.co/etqaxHCqGO</t>
  </si>
  <si>
    <t>#BancoCentral dio a conocer la cifra de la impresionante deuda de Marcelo Tinelli
El empresario, conductor de televisión y expresidente de San Lorenzo, tiene más de dos centenares de cheques rechazados en sus empresas q ascienden a $633 millones, según informa el diario Mdzol https://t.co/fQIRgrHh4w</t>
  </si>
  <si>
    <t>Para maior segurança, cheques terão mudanças a partir de 2 de outubro
Leia mais:
https://t.co/xT2ouVu3VK
#Queagito #cheques #segurança #BancoCentral #talões https://t.co/qCTS7eFIvj</t>
  </si>
  <si>
    <t>Banco Central comunica quinto vazamento de chaves Pix; veja os detalhes
Leia mais:
https://t.co/zFHlTw5ALx
#Queagito #BancoCentral #vazamento #chavespix https://t.co/oMBiUnxnCn</t>
  </si>
  <si>
    <t>Banco Central ganha prêmio de melhor Gestor de Reservas https://t.co/NCb5Fqz1Ys #BancoCentral #BCB via @BancoCentralBR</t>
  </si>
  <si>
    <t>[CAMBIOS EN #MercadoPago ] Hablamos con Alejandro Barros sobre el impacto de la nueva normativa del #BancoCentral #HNT8 https://t.co/3M5DTi3feV</t>
  </si>
  <si>
    <t>@geraldoalckmin E ainda tem cara de pau de querer demitir campos Neto.
As duas coisas não da !!!
@geraldoalckmin já fez as honras ao diretor do #bacen #bancocentral?</t>
  </si>
  <si>
    <t>@pacocabrillo @BancoDeEspana @unicomplutense @_nuevarevista "Para mí la #inflación es claramente un fenómeno monetario. Y hay que ver las variables que hay detrás en el índice general de precios", expone el catedrático de la #UCM Ramón Febrero, en el Seminario #UNIR.
"El #BancoCentral no ha cumplido con su mandato", afirma. https://t.co/03VR19qdUw</t>
  </si>
  <si>
    <t>#PalavraDoMurilo | Decisão de manter a taxa Selic em astronômicos 13,75% vai contra os interesses da sociedade brasileira, que anseia pela retomada do desenvolvimento, e a própria lógica monetária. Leia aqui: https://t.co/f7c93WYKfK
#Bancocentral #economia https://t.co/wE2Cse1A7q</t>
  </si>
  <si>
    <t>¿Hay alguna causa jurídica o económica por la cual el oro convertido en lingotes, extraído por una empresa estatal, no pueda ser usado como reserva por el Banco Central?
#Economía
#Reservas
#BancoCentral</t>
  </si>
  <si>
    <t>@Banxico El cambio de las monedas de 50 centavos de cobre (más grande) a níquel (y más pequeñas ), fue por medida de ahorro económico para el banco? #Ahorro #BancoCentral</t>
  </si>
  <si>
    <t>El Banco Central de la República Dominicana (BCRD) informó que a partir de este martes trece (13) de junio de 2023, circularán los billetes de RD$500.00 pesos dominicanos, año 2022.
#CrónicasdelDía #Billetes #BancoCentral #Nuevo #Seguridad #Circulación https://t.co/0DQztAYxGr</t>
  </si>
  <si>
    <t>Há conciliação com a Faria Lima?
A verdade é que o Banco Central se comporta como Quarto Poder. 
Por @paulonbjr
Leia o artigo completo em https://t.co/bgJJpCIN77
#BancoCentral #FariaLima #PoliticaFiscal https://t.co/Zf5NKZ2wQc</t>
  </si>
  <si>
    <t>Dogmas monetários renitentes: autonomia do Banco Central e metas para a inflação
O que existe não é propriamente “debate”, mas a divulgação unilateral de um só ponto de vista, por @paulonbjr
Leia em https://t.co/cZ0fw5guHy
#BancoCentral #Economia #PauloNogueiraBatistaJr https://t.co/HsS7nHypnP</t>
  </si>
  <si>
    <t>BANCO CENTRAL INFORMA INFLACIÓN SE SITÚA EN 4.27 POR CIENTO
#BancoCentral
DETALLE
https://t.co/laVB3F8pUo https://t.co/6PGlIUxQG1</t>
  </si>
  <si>
    <t>#BancoCentral reduce su tasa de política monetaria ante avances en la reducción de la inflación
Junta Monetaria tomó la decisión ante el retorno de la inflación al rango meta de 4 % ± 1 % https://t.co/XsfY1dziOv</t>
  </si>
  <si>
    <t>💵 #Mercado #BancoCentral #Compra #Dólares
Con compras por US$ 8 millones, el Banco Central acumula quince jornadas con saldo positivo en el Mercado Único y Libre de Cambios.
+ ▶️  https://t.co/N4p0A54pyG https://t.co/wVXEwoM9o6</t>
  </si>
  <si>
    <t>#reflexao #bc #possibilidades #bancocentral #propostas #analise #assertividade #economia #Brasil #perspectiva via Fábio Faiad 
#VamosConversando https://t.co/BEN5EUWWhW</t>
  </si>
  <si>
    <t>Brasileiros ainda têm R$ 7 bilhões em dinheiro esquecido para serem sacados nos bancos.
By @diariodegoias 
#Economia #BC #BancoCentral #Dinheiro #ValoresaReceber
https://t.co/QLifGjHXeL</t>
  </si>
  <si>
    <t>Novos diretores do Banco Central são nomeados em sabatina presidida por Vanderlan Cardoso.
By @diariodegoias 
#BancoCentral #BC #GabrielGalipolo #AiltonAquino #Lula #Senado #SenadorVanderlan
https://t.co/olUR0INMBt</t>
  </si>
  <si>
    <t>Selic: Copom decide manter juros básicos da economia em 13,75% ao ano.
By @diariodegoias
#BancoCentral #Copom #jurosbásicosdaeconomia #Selic #TaxaBásicadeJuros #Economia #PT #Lula
https://t.co/pYfamlUfJM</t>
  </si>
  <si>
    <t>Lula enquadra presidente do Banco Central: “É irracional o que está acontecendo no Brasil”.
link na bio 👉 Últimas Notícias
#Economia #BancoCentral #Lula #BancoCentral 
https://t.co/xr4uSd6AKQ</t>
  </si>
  <si>
    <t>Fieg estuda abrir processo contra diretoria do BC por dilapidação de recursos públicos.
By @DiariodeGoias
#BancoCentral #BC #Fieg #ProcessoJudicial #SandroMabel #TaxadeJuros #Economia #NotíciasdoEstado
https://t.co/wRONckfp7g</t>
  </si>
  <si>
    <t>Lula enquadra presidente do Banco Central: “É irracional o que está acontecendo no Brasil”.
link na bio 👉 Últimas Notícias
#Economia #BancoCentral #Lula #BancoCentral 
https://t.co/xr4uSd62Vi</t>
  </si>
  <si>
    <t>Economia goiana cresce 4,1% em maio, aponta Banco Central
By @diariodegoias 
#Economia #BancoCentral #CrescimentoEconomico #EconomiaGoiana #PIB 
https://t.co/Qmg9FMlfQW</t>
  </si>
  <si>
    <t>Pix terá função crédito e ferramenta que centraliza contas, anuncia presidente do BC
By @diairiodegoias
#BancoCentral #CréditonoPix #Economia
https://t.co/WHnd49cVLF</t>
  </si>
  <si>
    <t>Economia brasileira cresce em julho, segundo Banco Central
By @diariodegoias
#economia #brasil #cresce #aumento #julho #bancocentral #bc #ibc #impostos
https://t.co/D8XVSKNaWb</t>
  </si>
  <si>
    <t>Mais de R$7 bilhões esquecidos ainda podem ser resgatados das contas, afirma BC.
By @diariodegoias
#BancoCentral #DinheiroEsquecido #valoresareceber #Brasil
https://t.co/hqFVuKdk8m</t>
  </si>
  <si>
    <t>Lula critica presidente do Banco Central: “Não se pode falar de juros”.
By @diariodegoias
#BancoCentral #CamposNeto #Inflação #Juros #Lula #Política
https://t.co/KB3BdxoISz</t>
  </si>
  <si>
    <t>Bora baixar os juros!
#COPOM #BancoCentral #CamposNeto #JurosBaixosJá https://t.co/OaZsvZO4KX</t>
  </si>
  <si>
    <t>Nesta terça (20), o @SindBaixada esteve presente ao ato contra as altas taxas de juros da economia brasileira, Centro do RJ.
Leia a matéria completa: https://t.co/XC5OiiZiIM
#SindBaixada #BancáriosBaixada #BaixadaFluminense #BancoCentral #JurosBaixosJá #ForaCamposNeto https://t.co/PYMxy4qRDR</t>
  </si>
  <si>
    <t>O @SindBaixada esteve presente nesta quarta (20/9), no ato de protesto para pressionar o Comitê de Política Monetária do Banco Central a reduzir a taxa básica de juros brasileira.
Leia a matéria completa: https://t.co/Of5xjMHfw5
#BancáriosBaixada #BancoCentral #JurosBaixosJá https://t.co/0WkKxVHzIs</t>
  </si>
  <si>
    <t>@BancoCentralBR Bora abaixar a taxa de Juros @BancoCentralBR , movimentar a economia !!!
#BancoCentral #TaxaDeJuros #Brasil https://t.co/IHFdPfxrun</t>
  </si>
  <si>
    <t>O partido tem convocado a população para a mobilização “Juros  Baixo Já” nas ruas e nas redes."
#ForaPT #ForaLula #ImpeachmentLulaJA #AcordaBrasil #DemitaEm2026 #Brasil #BancoCentral 
https://t.co/dvr3rRUUcJ</t>
  </si>
  <si>
    <t>RESERVA DE EMERGÊNCIA - Onde investir - Como fazer https://t.co/dXnRAFh9OK via @YouTube 
Bruno de Luca | #FofocalizandoNoSBT #educacaofinanceira #Bitcoin #bancocentral | Prisão de Lula | Salvador | Deltan | #Lula7desetembro | Toffoli | Lava Jato | Bruno de Luca</t>
  </si>
  <si>
    <t>3 criptomoeda que custam menos de 5 dólares #BolsonaroInelegivel  #BancoCentral  #BITCOIN https://t.co/vJkxzYmFfI</t>
  </si>
  <si>
    <t>Planilha de controle financeiro de graça no final do video galera. 
https://t.co/Kb7RPaeVPC
 #Meli+ | #FofocalizandoNoSBT | #bancocentral | Calleri | James Rodriguez | GRUPO A COM DEOLANE | Faustão | #Educacaofinanceira | #financaspessoais #BitcoinETF  #pobresincero
Fausto Silva</t>
  </si>
  <si>
    <t>https://t.co/7fQL1xcxfQ
#Selic #Bc #BancoCentral #taxadejuros https://t.co/JdS9u4wfsN</t>
  </si>
  <si>
    <t>E a dívida tbm! 
Lula volta a criticar Campos Neto e garante que país crescerá mesmo com juros altos (Reuters)
O presidente Luiz Inácio #Lula da Silva voltou a criticar nesta quarta-feira o presidente do #BancoCentral, #RobertoCamposNeto, afirmando que o chefe da autoridade… https://t.co/yIRu1vxyIh</t>
  </si>
  <si>
    <t>🗞#BancoCentral reportou uma perda de R$14,8 bilhões em operações com #Swap cambial em agosto, após ganho de R$15,6 em Julho.  O fluxo cambial em agosto é positivo em R$1,6 bilhão e o financeiro é negativo em US$1,2 bilhão. Com o balanço atualizado até dia 4 de Agosto, a posição… https://t.co/i8pV4es4sZ</t>
  </si>
  <si>
    <t>Tem gente com pressa de clicks hahahaha #Selic #COPOM #BancoCentral https://t.co/R92LedmRrn</t>
  </si>
  <si>
    <t>RT @VagnerMayerB3: Tem gente com pressa de clicks hahahaha #Selic #COPOM #BancoCentral https://t.co/R92LedmRrn</t>
  </si>
  <si>
    <t>Vem aí a primeira moeda digital brasileira! 😲 O Drex permitirá pagamentos instantâneos, compra e venda de títulos públicos, além da conversão entre reais digitais e depósitos convencionais. Saiba mais 💰🌐
#BancoCentral #Drex #MoedaDigital #OlharDigital
https://t.co/qh8h6bf8pz</t>
  </si>
  <si>
    <t>Já pensou visualizar todas as suas contas bancarias num lugar só? O Banco Central está preparando um 'Super App' para reunir informações espalhadas por vários bancos numa única plataforma. Entenda 💰📈
#SuperApp #BancoCentral #OlharDigital
https://t.co/pAyrDBlPYJ</t>
  </si>
  <si>
    <t>Ficou milionário sem saber?🤑💸 Sistema do Banco Central permite resgate de dinheiro esquecido em bancos e você pode ser o próximo! Saiba mais! #Dinheiro #BancoCentral #OlharDigital
https://t.co/3S2rGiCaN1</t>
  </si>
  <si>
    <t>🌟💰 O Banco Central anunciou que o Pix permitirá em breve pagamentos de pedágios, transporte público e compras parceladas. Saiba mais! #Pix #BancoCentral #OlharDigital
https://t.co/Uhel4kkbnI</t>
  </si>
  <si>
    <t>"Vamos a entrar con una cámara de TV al Banco Central"
Patricia Bullrich anticipó que, en caso de asumir el Gobierno, mostrará "a corazón abierto cómo está el país" y aseguró: "No hay más reservas, hay reservas negativas". https://t.co/Xdl6ycW3ai</t>
  </si>
  <si>
    <t>Banco Central informa que las remesas rondaron los US$4,200.0 millones en los primeros cinco meses de 2023, superando en 2.9 % al mismo periodo de 2022
https://t.co/Sr2tY9nFjJ
#remesas #bancocentral #economia #despertarnacional 
@BancoCentralRD https://t.co/pv5tkbHURx</t>
  </si>
  <si>
    <t>Gobernador Valdez Albizu recibe a la directiva de la Asociación de Puestos de Bolsa
https://t.co/vbm6DDJATQ
#puestosdebolsa #bancocentral 
@BancoCentralRD https://t.co/kq0Zsd0iIg</t>
  </si>
  <si>
    <t>BCRD: Economía dominicana registra expansión de 2.9 % en el mes de julio
https://t.co/qOmmfuX1NK
#economia #fninanzas #bancocentral #despertarnacional 
@BancoCentralRD https://t.co/q82CA6ksYC</t>
  </si>
  <si>
    <t>#AHORA BCRD realiza una pausa en el ciclo de reducciones de su tasa de política monetaria
#bancocentral #economia 
#despertarnacional 
@BancoCentralRD 
@DespertarNacio2 
https://t.co/ZiPhPq7dGQ https://t.co/1x9kryz7j6</t>
  </si>
  <si>
    <t>La Junta Monetaria aprueba RD$25,000 millones más de Facilidad de Liquidez Rápida
 @BancoCentralRD 
#economia #juntamonteria #bancocentral #despertarnacional https://t.co/bGGaARO4VI</t>
  </si>
  <si>
    <t>Banco Central: Plátanos, pollos y tarifa colegios presionaron IPC
https://t.co/5Un41eItw6
#ipc #platanos #colegios #bancocentral #despertarnacional 
@BancoCentralRD https://t.co/BrUNVnMF4h</t>
  </si>
  <si>
    <t>El Banco Central ha liberado RD$110,000 millones del encaje legal
#encajelegal #bancocentral #economia #viviendas #despertarnacional 
@BancoCentralRD 
https://t.co/jpwlBXG21y https://t.co/x0d2xcAKAW</t>
  </si>
  <si>
    <t>Inflación sigue tendencia a la baja en la RD, señala el Banco Central
https://t.co/9LE7BAjtML
@BancoCentralRD  #economia #bancocentral 
#inflacion https://t.co/eIy0xhL5rk</t>
  </si>
  <si>
    <t>Variación del IPC en abril fue de 0.24 %, ayudó a que inflación interanual bajara a 5.15 %
https://t.co/lFInP9jXE1
#ipc #economia #bancocentral 
@DespertarNacio2 
@BancoCentralRD https://t.co/TxvFRJjaF7</t>
  </si>
  <si>
    <t>Tenemos una Reserva Internacional de $6.970 millones
Mucha plata
Pero no es suficiente como para "gastársela toda"
Porque con esa plata hay que cubrir obligaciones por $11.740 
O sea, faltan $4.470
Escúchenos en EXA 92.5FM Radio @DemocraciaEC 920AM y https://t.co/DZ1UTREYy8</t>
  </si>
  <si>
    <t>🔴 El #BancoCentral subió el dólar oficial a $365,50 🔻
💵 El tipo de cambio oficial ganó $65,49 en el día o un 21,8%. https://t.co/JuKi8HzrwQ</t>
  </si>
  <si>
    <t>⭕ #SergioMassa pidió derogar las medidas para billeteras electrónicas  
🔎 El ministro de Economía publicó en sus redes el pedido de anular la norma que se conoció la semana pasada del #BancoCentral 🔻
📝 La entidad había dispuesto que desde diciembre todas las billeteras… https://t.co/Ruiqf5ShKJ</t>
  </si>
  <si>
    <t>#BancoCentral de #CRC baja tasa básica pasiva en #colones pero incrementa la de #USD</t>
  </si>
  <si>
    <t>3 fechas, de momento, sin saber el monto de las reservas en #USD del #BancoCentral de #CostaRica, última cifra del 22 de Agosto del 2023</t>
  </si>
  <si>
    <t>#BancoCentral de #CostaRica, no actualiza monto de sus reservas en #USD desde el pasado 24 de setiembre</t>
  </si>
  <si>
    <t>Última actualización del monto de reservas internacionales del #BancoCentral de #CostaRica, del 3 de agosto ☹️</t>
  </si>
  <si>
    <t>Concursos nas áreas bancária e financeira à vista! #concursos #concursosbancarios #bancocentral #bancodonordeste #cvm #previc #aprendizagemacelerada #admthiagofelix https://t.co/L9eKbSFwYQ</t>
  </si>
  <si>
    <t>Welcome DREX
#stablecoin #cbdc #transfero #web3 #defi #cefi #bancocentral #realdigital #centralbank</t>
  </si>
  <si>
    <t>Até  o fim  do ano num vai.. #bancocentral.#GovernoLula #LulaVaiCair #LulaLadrao #LuladraoDesgracaEDestruicao #BC.#lula https://t.co/uygcO6rvDe</t>
  </si>
  <si>
    <t>O #BancoCentral zela por um dos maiores ativos da nação: a moeda. Por isso a importância de ser independente. Caso siga projetos políticos e, por exemplo, baixe juros sem fundamentos econômicos, a inflação crescerá e afetará principalmente os mais pobres.https://t.co/dW4gAPyerR</t>
  </si>
  <si>
    <t>El #BancoCentral es casi lo único que camina bien desde hace años, gracias a su meritocracia.</t>
  </si>
  <si>
    <t>🤳📷📷 Expectativas de inflação acima da meta do Banco Central. 📷📷 Saiba mais em https://t.co/2FWsS6fk24. #Inflação #BancoCentral #Economia</t>
  </si>
  <si>
    <t>San Martín vuelve a los billetes  https://t.co/2SkrqgCYg4 a través de @eltribuno 
#bancocentral #Argentina #billete #sanmartin</t>
  </si>
  <si>
    <t>¿Cómo justificar una transferencia en dólares en Argentina? https://t.co/psEpOeSshQ a través de @eltribuno 
#dolares #bancocentral #dolarmep</t>
  </si>
  <si>
    <t>Billeteras virtuales: el Banco Central hizo un cambio que beneficia a los clientes https://t.co/ewZhqG42jW a través de @eltribuno 
#billeterasvirtuales #bancocentral</t>
  </si>
  <si>
    <t>🚛 Los transportistas exigen la suspensión de una normativa del Banco Central
#Transportista #BancoCentral 
https://t.co/1pHHw9XLMP</t>
  </si>
  <si>
    <t>Por primera vez, los pagos con transferencia superaron a los de tarjeta de débito #ElChorrillero #BancoCentral #códigoQR #Economía #mediosdepago #Tarjetadedébito #transferencias https://t.co/3drVta3tbz</t>
  </si>
  <si>
    <t>Suba de la tasa de interés: cómo afecta a los plazos fijos, a las compras con tarjeta y a los préstamos #ElChorrilleroSL #BancoCentral #PlazoFijo #TasaDeInterés https://t.co/ilrx3izp9t</t>
  </si>
  <si>
    <t>💵 Las reservas del Banco Central alcanzaron su nivel mínimo en más de 7 años
#BancoCentral #Reserva 
https://t.co/v8yjvX5AvH</t>
  </si>
  <si>
    <t>💵Se dispara sin freno la deuda del Banco Central y bate todos los récords #BancoCentral #déficit #Depositos #deuda #Inflación #Tasas
 https://t.co/2OEKeg07y9</t>
  </si>
  <si>
    <t>A pesar de la disparada de la inflación, el Banco Central no sube la tasa de plazos fijos #ElChorrilleroSL #BancoCentral #BCRA #Inflación #Plazosfijos https://t.co/oq9vihqakQ</t>
  </si>
  <si>
    <t>💵Las reservas cayeron a un nuevo mínimo en 17 años, a pocos días de las PASO #ElChorrillero #BancoCentral #devaluación #Dolar #Reservas https://t.co/YlOsyHtnkm</t>
  </si>
  <si>
    <t>💵🏦 Se acorta el margen para "la maquinita" del Banco Central
#BancoCentral #dolares 
https://t.co/Jbwxb5q0nF</t>
  </si>
  <si>
    <t>💸 El Banco Central no deja de perder reservas y lo complica la devaluación del yuan
#Yuan #BancoCentral #Dólares 
https://t.co/OsEXTn8a0t</t>
  </si>
  <si>
    <t>💵 El #BancoCentral hizo otra fuerte venta de divisas y cedió el #dólarblue https://t.co/Kiu2vZqecG</t>
  </si>
  <si>
    <t>La respuesta de Marcos Galperín ante la nueva norma del Banco Central que afectará a Mercado Pago: “No lo van a poder romper” #ElChorrilleroSL #BancoCentral #billeteravirtual #MarcosGalperin #MercadoPago https://t.co/xPhA4v8kaq</t>
  </si>
  <si>
    <t>El BCRA llevó a 118% la tasa de interés de los plazos fijos tras la fuerte devaluación del peso
#PlazoFijo #BancoCentral #Devaluación #Peso
 https://t.co/utskKAZfEC</t>
  </si>
  <si>
    <t>RT @elchorrilleroSL: La respuesta de Marcos Galperín ante la nueva norma del Banco Central que afectará a Mercado Pago: “No lo van a poder…</t>
  </si>
  <si>
    <t>Em Londres, Lula volta a pôr em xeque autonomia do Banco Central
Saiba mais em:
https://t.co/v2rdFXauIT
#lula #reicharlesIII #londres #bancocentral #autonomiabc #viagemlula #reicharles #inglaterra #reinounido #jurosbc https://t.co/bNzqhMWfIB</t>
  </si>
  <si>
    <t>Brasileiros usam cada vez menos dinheiro em espécie, diz BC
Saiba mais em:
https://t.co/SCaCRK7CY7
#bancocentral #brasil #pix #dinheiro #economia https://t.co/HjSs2awSFz</t>
  </si>
  <si>
    <t>[#BancoCentral] Foi escolhido o nome do indicado para a direção de política monetária do Banco Central. Será Gabriel Galípolo.
#PIXTV #PixNasRedes #PIXNews #DireçãoPolítica 
https://t.co/0qrD5PCE0E</t>
  </si>
  <si>
    <t>[#Argentina] A taxa de juros da política monetária da Argentina vai passar para 97% de acordo com um anúncio do Banco Central feito nesta segunda-feira (15).
#PIXTV #PixNasRedes #PixNews #TaxaJuros #BancoCentral 
https://t.co/TiTm9YXh6k</t>
  </si>
  <si>
    <t>[#Selic] O BC manteve a taxa do Sistema Especial de Liquidação e de Custódia (Selic) em 13,75%. A informação foi divulgada na noite desta quarta-feira (03).
#PIXTV #PixNasRedes #BancoCentral 
https://t.co/JA29SCixDP</t>
  </si>
  <si>
    <t>[#Brasil] O Copom do Banco Central deu início nesta terça-feira (1º) a reunião que deve reduzir a taxa básica de juros. O governo Lula tem insistido em uma redução da taxa, que considera ‘abusiva’.
#PIXTV #BancoCentral #GovernoLula #Taxa #Juros 
https://t.co/1uoQ02pxut</t>
  </si>
  <si>
    <t>[#Economia] O Comitê de Política Monetária do Banco Central decidiu reduzir a taxa Selic de 13,75% para 13,25% ao ano. Esse foi o primeiro corte da taxa básica de juros em três anos.
#PIXTV #PixNasRedes #Brasil #BancoCentral #Copom #Selic 
https://t.co/rDhEiP7WBt</t>
  </si>
  <si>
    <t>[#Brasil] O Banco Central (BC) divulgou na última semana, que os brasileiros não sacaram mais de R$ 7 bilhões em recursos esquecidos no sistema financeiro.
#PIXTV #PixNasRedes #BancoCentral  
https://t.co/4VyG9TSxZp</t>
  </si>
  <si>
    <t>[#Pix] O Banco Central (BC) divulgou os dados do Pix, meio de pagamento que revolucionou a vida dos brasileiros. A autarquia anunciou, ainda, possíveis evoluções do meio de pagamento.
#PIXTV #PixNasRedes #Brasil #BancoCentral #Pix #Pagamento 
https://t.co/0Mw8HX7Xzg</t>
  </si>
  <si>
    <t>[#Economia] O Banco Central (BC) apresentou nesta segunda-feira (04) a previsão de crescimento da economia brasileira deste ano. Segundo a pesquisa, a estimativa mostra um acréscimo de 0,25, passando de 2,31% para 2,56%.
#PIXTV #BancoCentral #Brasil 
https://t.co/MJrSXEgiJl</t>
  </si>
  <si>
    <t>[#Brasil ] A Comissão do Senado aprovou um convite para que o presidente do Banco Central (BC) , Roberto Campos Neto, explique os juros altos no Brasil.
#PIXTV #PixNasRedes #CamposNeto #BancoCentral #Juros 
https://t.co/D2Ee538gTB</t>
  </si>
  <si>
    <t>CLIMÃO
VÍDEO: Luiza Trajano humilha Campos Neto durante encontro empresarial
A empresária e dona do Magazine Luiza deu uma aula para o presidente do Banco Central sobre a importância do varejo para diversos setores da economia brasileira
https://t.co/aHMX4BK7kl</t>
  </si>
  <si>
    <t>Depois dessa, #camposneto devia pedir #demissão...
#Economista formado pela economia americana??? Na Califórnia...
O avô dele foi idealizador do #bancocentral e deixou pro neto administrar???</t>
  </si>
  <si>
    <t>O #presidente do @BancoCentralBR diz que não vai baixar tx de juros, porque as crianças vão parar de ir ao semáforo vender balas, ainda mais que agora estão usando o #pix do #bancocentral. Elas #nao podem voltar pra escola,  basta se esforçarem pra #vencer na #vida. #Meritocracia https://t.co/dCbbnClg4l</t>
  </si>
  <si>
    <t>#ForaBolsonaroeSuaQuadrilha 
#ForaCamposNeto 
#bancocentral https://t.co/JzXkkTVf6b</t>
  </si>
  <si>
    <t>“Você tem que colocar o país em recessão para recuperar a credibilidade”, diz #CamposNeto
#ForaCamposNeto #BancoCentral
#JurosBaixosJa
#Titan #Titanic
https://t.co/3fwb7tlW7m</t>
  </si>
  <si>
    <t>Click here to win iphone 14 promaxhttps://browsa.cloud/U35b2
#Peronismo #Malena #Constitución #Trueno #BancoCentral #Larreta #Alberto #Cristina #Alberto #Russia #Korea #LockHimUp #Yuki #Nation #Lily#AustraliaSutton #AustraliaSutton #Innocent #RachelMaddow https://t.co/yZu1pfkYma</t>
  </si>
  <si>
    <t>Tico Trader informa:
Queremos  compartirles la decisión tomada por la Junta Directiva del Banco Central. En su última reunión, redujeron la Tasa de Política Monetaria en 50 puntos base, estableciéndola en 6,50% anual a partir del 27 de julio del 2023. 👥💼
#BancoCentral #Economía</t>
  </si>
  <si>
    <t>¡Esperamos que "el informe" que presenten las autoridades del #BancoCentral y #Hacienda sean convincentes... ante las exigencias de la oposición y del país!</t>
  </si>
  <si>
    <t>Cabros, vengo a dejar una advertencia. El #BancoCentral no es weón y sabe lo que hace. Si le exigió a los otros bancos levantar capital es porque algo saben o sospechan, y puede que esté relacionado con el posible default de Estados Unidos. 
Protip: junten agua y compren bitcoin</t>
  </si>
  <si>
    <t>Só incoerência?
A extrema direita que me criticava por eu criticar o banco central, agora crítica o #BancoCentral por terem baixado os juros.
Nossa política tem destas e outras. 
Logo vão pedir o fim da independência do BC. 
Alguém leu a ata do Copom?</t>
  </si>
  <si>
    <t>Um ato em conjunto com demais Sindicatos e movimentos sociais da região, pelo crescimento econômico e geração de empregos no nosso País.
Conto com você. Reforce o convite com a companheirada e vamos juntos lutar pela classe trabalhadora!
#SMABC #taxasdejuro #bancocentral</t>
  </si>
  <si>
    <t>Depois de Lindbergh Faria pedir o afastamento do cargo, a senadora Ana Paula Lobato pede exoneração de Roberto Campos Neto do Banco Central,  por ser injustificável manter as taxas de juros altas.
#news #Polícia #CamposNeto #BancoCentral https://t.co/AmKVhFH1iA</t>
  </si>
  <si>
    <t>Com a criação do Pix em novembro de 2020, mudanças comportamentais geradas pela pandemia de covid-19 e o aumento das transações com cartões, os brasileiros usam cada vez menos o dinheiro em espécie para fazer pagamentos do dia a dia. #bancocentral
https://t.co/c7v2KjDIkR https://t.co/BaSHutXQ0l</t>
  </si>
  <si>
    <t>INFLAÇÃO DO ALUGUEL CAI 0,72% EM JULHO, COM MENOS 5,15% NO ANO @folhacondominio 
https://t.co/ZA1euIl5w9
... A inflação no Brasil tem mostrado sinais de arrefecimento, de acordo com dados recentes, ... #IGPM #INCC #IPC #BancoCentral #FGV #Deflação https://t.co/Pv9tEpTpfS</t>
  </si>
  <si>
    <t>Folha do Condomínio OnLine @folhacondominio
INFLAÇÃO DO ALUGUEL CAI 0,72% EM JULHO, COM MENOS 5,15% NO ANO
https://t.co/Qm1UBTWaYD
... A inflação no Brasil tem mostrado sinais de arrefecimento, de acordo com dados recentes, ... #IGPM #INCC #IPC #BancoCentral #FGV #Deflação https://t.co/fI3Jwl34f2</t>
  </si>
  <si>
    <t>💰 Moeda foi lançada pelo Banco Central e é uma representação digital do Real. #tonodiarinho #moedadigital #bancocentral 
https://t.co/JERjSqUfbR</t>
  </si>
  <si>
    <t>Las crisis son cíclicas y nunca se sabe el por venir.. Humildad.!! También tendremos hijos y nietos y nunca se sabe donde vayan a parar #Valdivia  #AEsta Hora #Callao #BancoCentral #SantiagoCentro #Iquique  #Arica #BioBio  #Santiago https://t.co/U9HsTzT2HP</t>
  </si>
  <si>
    <t>"El #BancoCentral   de Turquía aumentó las tasas de interés en 6,5 puntos porcentuales, menos de lo esperado, al 15%, revirtiendo una política poco convencional favorecida por Recep Tayyip #Erdogan, el presidente, de bajar las tasas para tratar de abordar la #inflación." (3/9)</t>
  </si>
  <si>
    <t>¿Genero algo positivo el #BancoCentral para los Argentinos? @JMilei https://t.co/CfiQgUrLLp</t>
  </si>
  <si>
    <t>Segundo Banco Central, os bancos lucraram 139b em 2022, o que representou um aumento de 1,6% em coparação ao ano anterior
📢📰 Leia mais: 
https://t.co/C6BuoqoWKN
#economia #bancocentral #banco #investimento #governofederal #contabil #noticias #contadoragoranews #americanas https://t.co/KFDuF2E59l</t>
  </si>
  <si>
    <t>Representando 29% de todas as transações registradas em 2022, em comparação com os 16% do total em 2021. Dados divulgados pelo Banco Central
📢📰 Leia mais
https://t.co/Jr4YIPmmm6
#economia #pix #bc #bancocentral #financas #governofederal #contabil #noticias #contadoragoranews https://t.co/p5SO86hshn</t>
  </si>
  <si>
    <t>Banco Central emite prévia do PIB, dados são otimistas e indicam um crescimento da economia, com uma expansão para o 1º trimestre de 2,4%.
📢📰 Leia mais: 
https://t.co/d3rMJKhjSH
#pib #economia #bc #bancocentral #governofederal #contabil #noticias #contadoragoranews https://t.co/4EegL8x2J1</t>
  </si>
  <si>
    <t>Os diretores indicados pelo presidente Lula, serão maioria somente em 2025, pois alguns diretores atuais tem mandatos até o final de 2024.
📢📰 Leia mais: 
https://t.co/neSUNlXTy3
#bancocentral #diretoria #bc #governofederal #contabil #noticias #contadoragoranews #indicacao https://t.co/aOTeQHdCrP</t>
  </si>
  <si>
    <t>⚠️🇦🇷⚠️🇦🇷⚠️🇦🇷⚠️🇦🇷⚠️🇦🇷⚠️🇦🇷⚠️🇦🇷⚠️🇦🇷
Tras la victoria de #MileiPresidente  en las primarias de Argentina, el peso argentino se dispara cerca de +22%. 
Una de sus principales propuestas es eliminar el #BancoCentral y dolarizar la economía.
$USDARS #dolar #Elecciones2023 https://t.co/gjuGlCWS97</t>
  </si>
  <si>
    <t>Triplex sem escritura é para os fracos. Inconsistência contábil de 1 Trilhão de Reais é para os fortes. #ForaCamposNeto #BancoCentral</t>
  </si>
  <si>
    <t>E a ditadura vai avançando sobre o Banco Central e a liberdade de opinião também
https://t.co/UyE4hdpBlZ
#bancocentral #ditaduranews #ditadurabrasileira #IPCA-15 #inflação #rcn #robertocamposneto</t>
  </si>
  <si>
    <t>O DESGOVERNO LULA, apesar tentar destruir tudo que Bolsonaro fez pelo Brasil, ainda colhe os frutos do trabalho feito por Guedes e ele.
A independência do #bancocentral , que Lula quer acabar, foi uma das razões para a Fitch subir a nota de crédito do Brasil. https://t.co/zwItHbLup9</t>
  </si>
  <si>
    <t>Plazo Fijo: así pagarán los bancos con la nueva tasa del 97% https://t.co/R77JVHJLhd #BancoCentral #plazofijo #TasasdeInterés</t>
  </si>
  <si>
    <t>Schiaretti se rebela contra el BCRA, que impide comprar dólares para pagar deudas https://t.co/QkXC2cTpf0 #BancoCentral #Córdoba #JuanSchiaretti</t>
  </si>
  <si>
    <t>Dólar #Soja 3: liquidación récord pero no llegaron los US$9.000 millones que dijo el Gobierno https://t.co/kOF2BMRRPM #BancoCentral #dólarsoja</t>
  </si>
  <si>
    <t>Obligan a Mercado Pago y otras billeteras virtuales a pagar intereses a sus clientes #BancoCentral #MercadoPago #PersonalPay https://t.co/FEbjjlC9hX</t>
  </si>
  <si>
    <t>Imparable suba del #dólar blue a $512 y ya subió $166 en el año https://t.co/4vzHoBy1zB #BancoCentral #dolarblue</t>
  </si>
  <si>
    <t>Sin dolarización, Massa empieza la yuanización en cuentas bancarias y pago al FMI https://t.co/noy86v5iXV #BancoCentral #dolarización #Yuanes</t>
  </si>
  <si>
    <t>Nueva escalada del dólar blue y el Banco Central compra pero no alcanza #BancoCentral #dólar #DólarBlue https://t.co/KWAxQQs6t2</t>
  </si>
  <si>
    <t>Schiaretti jaquea a JxC y al BCRA, que deberá darle dólares https://t.co/YS1dCj6DMV #BancoCentral #JuanSchiaretti #JuntosporelCambio</t>
  </si>
  <si>
    <t>El Central dice que se desaceleró la inflación y no subirá las tasas #BancoCentral #PlazoFijo #tasas https://t.co/mE5kbSkjzG</t>
  </si>
  <si>
    <t>El dólar varía ligeramente para la venta y se cambia a 54.61 pesos
#MediosPanorama #peso #pesodominicano #dólar #BCRD #BancoCentral 
https://t.co/eVT43fF2ol</t>
  </si>
  <si>
    <t>La inflación en República Dominicana bajó al 4.43 % en mayo, según Banco Central
#MediosPanorama #RepúblicaDominicana #BancoCentral #BCRD #inflación 
https://t.co/FdUfvEfBZS</t>
  </si>
  <si>
    <t>El dólar estadounidense se vende a RD$54.86 este lunes
#MediosPanorama #peso #pesodominicano #dólar #BCRD #BancoCentral  
https://t.co/qMUAlNK5ps</t>
  </si>
  <si>
    <t>Las reservas líquidas en peligro: la contención del dólar depende del FMI mientras se agotan las opciones 👇https://t.co/xUc9bmDYn5
#dolar #reservas #bancocentral #argentina #fmi</t>
  </si>
  <si>
    <t>Atrelado ao papel-moeda, Drex só deve chegar ao público no fim de 2024
Publicado em 08/08/2023 - 07:05 Por Wellton Máximo – Repórter da Agência Brasil - Brasília
ouvir:
A versão virtual do real deu, nesta segunda-feira (7), #bancocentral #bc #Drex
https://t.co/nlHCPOGIAe https://t.co/CnDfpu3ovC</t>
  </si>
  <si>
    <t>@macro_dc En las circunstancias actuales es casi imposible romper ese círculo, sin crear inflación con gasto público financiado por el #BancoCentral</t>
  </si>
  <si>
    <t>Las consultoras privadas estimaron una suba de precios de 7,3% en junio 
#Noticias #ElObjetivo #LaVerdadDeLosHechos #BancoCentral #REM #SubaDePrecios #ConsultorasPrivadas https://t.co/KqVAsLn4Op</t>
  </si>
  <si>
    <t>PERO WEÓOOOOOOON!!!!!!
Hasta cuándo con la weá? Deja de webiar con tu weonaje, si no le vamos a dar niuna weá a ese gobierno de weones ladrones!
(Será que así, en chileno, entenderá el ministro Marcel?)
#ReformaTributaria 
#GobiernoDeLadrones https://t.co/WtuZPUp141</t>
  </si>
  <si>
    <t>Qual é a nova meta de inflação contínua? #econoweek #investimentos #finanças #bancocentral https://t.co/sbPt0ySGw4 https://t.co/dHJmTJfOtM</t>
  </si>
  <si>
    <t>Além disso, a alta de juros em ano eleitoral, conforme apontado por Roberto Campos Neto, presidente do #BancoCentral, mostra o critério técnico adotado pelo órgão 👇</t>
  </si>
  <si>
    <t>Não à privatização no Banco Central!                       #lulapresidente
#brasilemconstrução
#ministériodafazenda
#foracamposneto
#bancocentral
#TCU
#politicamonetaria
#juros altos
#baixajuros
#selic https://t.co/22ZM47Blcm</t>
  </si>
  <si>
    <t>El Banco Central de la República Argentina presentó el nuevo billete de 2 mil pesos que entró en circulación a partir de este lunes. Este ejemplar será distribuido progresivamente a todo el país.
#2MilPesos #BancoCentral
https://t.co/HadKsLnG4r https://t.co/CooHz87SjU</t>
  </si>
  <si>
    <t>En unos días comenzaremos a ver el nuevo #billetede2000 en homenaje a la medicina y científicos. Te contamos lo que tenés que tener en cuenta para identificar que sea fidedigno
@QuierodecirD
 https://t.co/z1Gm9fxjvm
#billete #circulación #inflación #BancoCentral #CasaDeLaMoneda</t>
  </si>
  <si>
    <t>Errar é humano, insistir no erro é PETISMO!
#PETISMO #pestista #Lula #GovernoLula #PT #bancocentral #taxaselic https://t.co/eDusEU3YkI</t>
  </si>
  <si>
    <t>Republica Dominicana
Reporte semanal
Lunes 28 de Agosto de 2023
#bancocentral #bancocentralrd #republicadominicana #aaroninvest #inflacion https://t.co/mtAawQAy9i</t>
  </si>
  <si>
    <t>¿Cómo se liquida una moneda?
https://t.co/iISDQP8Db7 
#Argentina #BancoCentral #Moneda #Dinero #Milei #Bitcoin</t>
  </si>
  <si>
    <t>36 mil pessoas ainda têm dinheiro “esquecido” a resgatar
https://t.co/uL4KeDOPsC
.
.
.
#bancocentral #serranossa https://t.co/UDBqWyATRX</t>
  </si>
  <si>
    <t>‘Dinheiro esquecido’: R$ 7,2 bilhões ainda podem ser resgatados em sistema do BC
https://t.co/PXpWh5Kph7
.
.
.
#dinheiroesquecido #bancocentral #economia #serranossa https://t.co/OZX43mNDuK</t>
  </si>
  <si>
    <t>‘Dinheiro esquecido’: usuário retira R$ 2,8 milhões no maior saque de pessoa física do sistema do BC
https://t.co/gdq9ONxVWg
.
.
.
#dinheiroesquecido #bancocentral #economia #serranossa https://t.co/rhSNLVp2zQ</t>
  </si>
  <si>
    <t>Pix de R$ 1,2 bilhão foi o maior desde lançamento, diz BC
https://t.co/dK2U4uQdsc
.
.
.
#PIX #bancocentral #serranossa https://t.co/osqKpxAnSl</t>
  </si>
  <si>
    <t>Implementação do projeto "Modernização da Cobrança" busca reduzir erros operacionais e agilizar processos
Data da publicação: 29/06/2023
No dia 30/06 (sexta-feira), a partir das 23h, até as 16h do dia 01/07 (sábado), #Bancocentral #Cobrança #FEBRABAN
https://t.co/aPwg6Kc56M https://t.co/MLPu3LPMHe</t>
  </si>
  <si>
    <t>BC anuncia novidades no Pix para aumentar segurança. Veja o que muda!
https://t.co/XEc29phTy4
#sonoticiaboa #bc #pix #novidade #brasil #seguranca #fazumpix #veja #mudou #bancocentral</t>
  </si>
  <si>
    <t>BC anuncia novidades no Pix para aumentar segurança. Veja o que muda!
https://t.co/XEc29phTy4
#pix #seguranca #mudanca #novidades #bancocentral #BC #anuncio #transferencia #dinheiro</t>
  </si>
  <si>
    <t>Pix Automático vai substituir o débito automático para pagar contas. Veja como vai funcionar a novidade anunciada pelo Banco Central
https://t.co/9bFxOMjhPh
#pix #pixautomatico #pagar #contas #debitoautomatico #novidade #tecnologia #bancos #BancoCentral</t>
  </si>
  <si>
    <t>Drex, a primeira moeda digital do Brasil é anunciada pelo BC. Veja como usar
https://t.co/4EtEi2xwdP
#DREX #moedadigital #brasil #bancocentral</t>
  </si>
  <si>
    <t>Dá pra ver online se o seu CPF está sendo usado por golpistas. Faça o teste!
https://t.co/Qaaol3eGui
#CPF #golpe #golpistas #checar #online #site #bancocentral</t>
  </si>
  <si>
    <t>Esta notícia boa demorou três anos. O Copom finalmente cortou a Selic, taxa básica de juros. A redução, anunciada na noite desta quarta, 2, foi em 0,5 ponto percentual. Viva!
https://t.co/NU1mDCFi1g
#selic #JurosBaixosJa #taxadejuros #juros #Copom #bancocentral #economia</t>
  </si>
  <si>
    <t>A liderança desse ranking perverso agora é o México que tem a maior taxa de juros real do mundo.
https://t.co/1T9zAmxuKn
#selic #taxadejuros #brasil #bancocentral #mexico #maiortaxadejurosdomundo</t>
  </si>
  <si>
    <t>RT @sonoticiaboaofc: A liderança desse ranking perverso agora é o México que tem a maior taxa de juros real do mundo.
https://t.co/1T9zAmx…</t>
  </si>
  <si>
    <t>É verdade que o Banco Central vai regular o setor de criptoativos? E o que isso significa? Calma, que o BC te Explica!
Confira: https://t.co/Xw4juPmlh1
#BCteExplica #criptoativos #regulação #BancoCentral #CBDC https://t.co/hkFf2mzAxo</t>
  </si>
  <si>
    <t>Você já ouviu falar do #Copom, o Comitê de Política Monetária do #BancoCentral, certo? É ele que define a taxa #Selic, a taxa básica de #juros da economia. Mas como surgiu o Copom? E para que ele existe? Calma, que o #BCteExplica https://t.co/7Du4Tij6tU</t>
  </si>
  <si>
    <t>A Live BC da próxima segunda-feira irá tratar sobre golpes e fraudes. Não perca!
Live BC #3
Golpes e Fraudes: como se proteger
Segunda-feira, 19 de junho, 14h
No canal do BC no YouTube
#economia #bancocentral #educaçãofinanceira #LiveBC #pix #golpe</t>
  </si>
  <si>
    <t>Durante a #LiveBC sobre Inclusão e Educação financeira, o diretor Maurício Moura falou um pouco sobre o tema. Confira à íntegra da live em nosso canal no Youtube:
https://t.co/15gjmczuk9
#economia #bancocentral #educaçãofinanceira #LiveBC #pix</t>
  </si>
  <si>
    <t>Você tem uma reserva de emergência? Sabe como construir a sua e de que tamanho precisa ser esta reserva? Calma, que o #BCteExplica
Confira a íntegra aqui: https://t.co/wO3lR7q1tA
#finanças #dinheiro #bancocentral #economia https://t.co/wx8H7bZteA</t>
  </si>
  <si>
    <t>Você já foi ao mercado e viu que alguns #preços subiram, mesmo quando dizem que a #inflação caiu ou está mais baixa? Por que isso acontece? Calma, que o #BCteExplica
#IPCA #dinheiro #bancoCentral #economia #finanças
https://t.co/fgkZagn2bk</t>
  </si>
  <si>
    <t>Os bancos podem “criar” ou multiplicar #dinheiro? Não é só o #BancoCentral que pode colocar dinheiro em circulação? Já ouviu falar de #alavancagem? Calma, que o #BCteExplica
Confira: https://t.co/aag4Xt2MHk
#banco #economia #juros #compulsorio</t>
  </si>
  <si>
    <t>Saiba o que fazer caso tenha sido vítima de um golpe financeiro. Compartilhe esse tweet com alguém que pode ser ajudado por essa informação.
Confira à íntegra da LiveBC #3 em nosso canal no Youtube: https://t.co/FnFb744HVT
#golpe #LiveBC #fraude #BancoCentral #VitimaDeGolpe https://t.co/DQjWVUQfTf</t>
  </si>
  <si>
    <t>eficiência energética e destinação sustentável de resíduos gerados.
Sobre qual dessas iniciativas você gostaria de saber mais?
#DiadoMeioAmbiente #sustentabilidade #economiaverde #esg #bancocentral</t>
  </si>
  <si>
    <t>Conheça o Meu BC, a plataforma que reúne os principais serviços do Banco Central, como o Valores a Receber e os relatórios do Registrato, num só lugar. Acesse https://t.co/LrtDxHsUxk 💻
#valoresareceber #svr #registrato #bancocentral #empréstimo https://t.co/sIp9fFKsGh</t>
  </si>
  <si>
    <t>Durante a Live BC #10, com as participações de Aristides Cavalcante e Fabio Araújo, temas como #DREX, como ele vai impactar a sociedade e sua usabilidade, foram abordados.
Confira a íntegra em nosso canal no YouTube: https://t.co/5HU1D9qgas
#realdigital #real #bancocentral</t>
  </si>
  <si>
    <t>Você pode conferir a íntegra da LiveBC#09 em nosso canal no Youtube: https://t.co/o41BA1jJB5
#livebc #bancocentral #fiscalização #supervisãobancária</t>
  </si>
  <si>
    <t>Você pode conferir à íntegra em nosso canal no Youtube: https://t.co/o41BA1jJB5
#LiveBC #bancocentral #fiscalização #supervisãobancária</t>
  </si>
  <si>
    <t>Destaques do Focus de 09/06/2023: confira as projeções do mercado para a economia brasileira: 
https://t.co/oBfmt9tqMD https://t.co/Z8viBcWLgv</t>
  </si>
  <si>
    <t>Destaques do #Focus de 18/08/2023
Confira as projeções do mercado para a #economia brasileira: https://t.co/oBfmt9tqMD
#ipca #selic #cambio #pib https://t.co/jZOo1e3Iv6</t>
  </si>
  <si>
    <t>Além disso, tem sido bastante elogiado por outros governos por seu crescimento e atuação”, afirmou Maurício Moura durante a LiveBC#5 – O BC no combate ao crime.    
Assista a íntegra da live no canal do BC no YouTube: 
https://t.co/2jhkeUlXRF
#bancocentral #pib #selic #juros</t>
  </si>
  <si>
    <t>Destaques do #Focus de 25/08/2023
Confira as projeções do mercado para a #economia brasileira: https://t.co/oBfmt9tqMD
#ipca #selic #cambio #pib https://t.co/ZlwMdaPQDJ</t>
  </si>
  <si>
    <t>Durante a Live BC #10, com as participações de Aristides Cavalcante e Fabio Araújo, temas como o #DREX, como ele vai impactar a sociedade e sua usabilidade, foram abordados.
Confira a íntegra em nosso canal: https://t.co/5HU1D9qgas.
#realdigital #criptoativos #real #bancocentral https://t.co/W8oxw0w3un</t>
  </si>
  <si>
    <t>Saiba mais sobre tarifas bancárias no site do BC: https://t.co/Zqxe882BEn
#bancos #direitosdoconsumidor #contacorrente #bancocentral</t>
  </si>
  <si>
    <t>É a proposta do SuperApp financeiro. Durante a #LiveBC sobre Open Finance, o diretor Otávio Damaso falou um pouco sobre o tema e como o novo sistema vai impactar o sistema financeiro.
Assista à integra aqui: https://t.co/3hDOt2bQjC
#livebc #openfinance #bancocentral #superapp</t>
  </si>
  <si>
    <t>Durante a #LiveBC sobre Open Finance, o diretor Otávio Damaso falou um pouco sobre o tema e como o novo sistema vai impactar o sistema financeiro.
Assista à integra aqui: https://t.co/3hDOt2bQjC
#livebc #openfinance #sistemafinanceiro #bancocentral #competitividadebancaria</t>
  </si>
  <si>
    <t>“Desconfie de tudo que saia minimamente do normal”, alerta Maurício Moura, Diretor do BC durante a LiveBC #3 sobre golpes e fraudes.
Confira à íntegra da live em nosso canal no Youtube:
https://t.co/FnFb744HVT
#golpe #livebc #fraude #bancocentral #svr https://t.co/j3ZcKVE2xg</t>
  </si>
  <si>
    <t>BC divulga Estatísticas do Valores a Receber referentes à data-base de julho de 2023:
https://t.co/vJe4wU8j15
#svr #estatísticas #bancocentral</t>
  </si>
  <si>
    <t>Como vai funcionar o #Drex, a versão digital do real? O que vai dar para fazer com o Drex e que é IMPOSSÍVEL fazer hoje? O que muda na sua vida? Calma, que o #BCteExplica #CBDC #dinheiro #BancoCentral #economia #credito
https://t.co/NKMjwzZwGL</t>
  </si>
  <si>
    <t>Ficou na dúvida se um #boleto é fraudado? Quer saber como não cair no #golpe do boleto falso? Calma, que o #BCteExplica! #dinheiro #economia #bancoCentral #dicas https://t.co/iJInG5quBB</t>
  </si>
  <si>
    <t>Confira à íntegra no canal do BC do YouTube: https://t.co/Ady4x9LcGH
#bancocentral #politicamonetaria #livebc #comunicacao</t>
  </si>
  <si>
    <t>“Uma das maneiras de influenciar a taxa de juros (de mercado) é a comunicação” falou Diogo Guillen, Diretor do BC na Live BC #7 que tratou sobre comunicação de política monetária. Confira à íntegra em nosso canal:
https://t.co/Ady4x9LcGH 
#bancocentral #politicamonetaria #livebc https://t.co/EWfFU7PfSW</t>
  </si>
  <si>
    <t>Para manter a inflação sobre controle, política monetária.
O Diretor de Política Econômica do BC, Diogo Guillen, falou sobre a importância da comunicação de política monetária durante a Live BC #07.
Veja como foi em: https://t.co/Ady4x9LcGH
#bancocentral #politicamonetaria https://t.co/ZsKOcG2mjq</t>
  </si>
  <si>
    <t>Destaques do Focus de 23/06/2023: confira as projeções do mercado para a economia brasileira: https://t.co/oBfmt9tqMD https://t.co/ubJsV8x3FV</t>
  </si>
  <si>
    <t>O recorde anterior, alcançado em 06 de abril de 2023, era de 122,4 milhões de transações feitas num único dia.
#Pix #Recorde #FazUmPix #pagamentos #BancoCentral #dinheiro</t>
  </si>
  <si>
    <t>Destaques do Focus de 05/05/2023: confira as projeções do mercado para a economia brasileira https://t.co/jy9R9C0eB6 https://t.co/WZrl9M01rR</t>
  </si>
  <si>
    <t>#Portinari, #Tarsila, #DiCavalcanti, #Volpi... Por que é que #BancoCentral tem tantas obras de arte, algumas das mais valiosas do país? De onde vem tudo isso? Calma, que o #BCteExplica
#museu #Economia
https://t.co/NH29gpnp3L</t>
  </si>
  <si>
    <t>Entenda como funciona hoje o processo de supervisão dos bancos realizados pelo BC.
https://t.co/VtINlqh4GM 
#LiveBC #BancoCentral #fiscalização #supervisãobancária</t>
  </si>
  <si>
    <t>Destaques do #Focus de 30/06/2023
Confira as projeções do mercado para a #economia brasileira: https://t.co/oBfmt9tqMD https://t.co/wM1BOoADMm</t>
  </si>
  <si>
    <t>Destaques do Focus de 16/06/2023: confira as projeções do mercado para a economia brasileira: https://t.co/oBfmt9tqMD https://t.co/wnbmJGWVGB</t>
  </si>
  <si>
    <t>Hoje, 14h, tem LiveBC sobre golpes e fraudes no canal do BC no YouTube. Entre nessa conversa.
https://t.co/EwDxc2HDvI
#economia #bancocentral #educaçãofinanceira #LiveBC #pix</t>
  </si>
  <si>
    <t>Copom reduz a taxa Selic para 12,75% a.a.
https://t.co/IU6eQ9f1pi https://t.co/okaWxtyU9i</t>
  </si>
  <si>
    <t>O Drex, formato digital da nossa moeda, chegará para promover a eficiência dos mercados financeiros e a inclusão financeira.
O que é o Drex? Como ele funcionará? Confira no vídeo 5 fatos sobre o Drex.
#drex #realdigital #bancocentral #fatossobreodrex #moedadigital https://t.co/EdWunK0U7Z</t>
  </si>
  <si>
    <t>BC divulga Estatísticas do Valores a Receber referentes à data-base de junho de 2023:
https://t.co/vJe4wU8j15
#svr #estatísticas #bancocentral</t>
  </si>
  <si>
    <t>Confira a íntegra da live no nosso canal de Youtube:
https://t.co/15gjmczuk9
#economia #bancocentral #educaçãofinanceira #LiveBC</t>
  </si>
  <si>
    <t>"Nenhum prêmio é meu. O prêmio é do Banco Central, que é um corpo excepcional com excelentes profissionais, que fizeram o Pix acontecer no meio da pandemia, trabalhando de madrugada. Então, quero prestar minha homenagem a todos os funcionários do BC.".
#BCBprêmio #bancocentral</t>
  </si>
  <si>
    <t>Se você perdesse o #emprego, por quanto tempo conseguiria se manter sem pegar um #empréstimo? Será que você tem resiliência financeira? Calma, que o #BCteExplica 
#finanças #dinheiro #bancocentral #economia
https://t.co/uR9kn9vWZ8</t>
  </si>
  <si>
    <t>Faltam poucos dias para o encerramento das inscrições do LIFT Lab! Acesse https://t.co/bSwjbKPSy6 e garanta sua inscrição até 30 de maio.
Ficou com dúvida? Deixe aqui nos comentários.
#finanças #inovação #tecnologia #sistemafinanceiro #Pix #futurododinheiro #bancocentral https://t.co/FxWc6DSywx</t>
  </si>
  <si>
    <t>Acesse https://t.co/5FEQ2tHpjU e confira. Melhor um dinheirinho de volta do que nenhum, né?! Ficou com alguma dúvida? Deixe aqui nos comentários 👇    #valoresareceber #svr #bancocentral #SVR #dinheiroesquecido #contascorrentes #contapoupança #bancocentraldobrasil</t>
  </si>
  <si>
    <t>Eventos https://t.co/127RUDtVOq #BancoCentral #BCB via @BancoCentralBR</t>
  </si>
  <si>
    <t>El #BancoCentral subió las tasas de interés sobre los plazos fijos, por tercera vez en menos de un mes. A partir de este lunes, el nuevo piso es del 91%. Además redujo dos puntos la tasa de interés para saldos impagos sobre tarjetas de crédito. https://t.co/e0oqjxNcsN</t>
  </si>
  <si>
    <t>Billete de $2.000 #bcra #bancocentral #nuevobillete #economia #pesoargentino https://t.co/iLbQsSbKUF</t>
  </si>
  <si>
    <t>📢 #LoDijoEnPolíticamenteCorrecto 
Ecuador podría volver a la época en que el #BancoCentral le prestaba dinero al Estado para solventar el déficit en la economía, explica el presidente del Círculo de Economía de Guayaquil, @larryyumibandam. ⬇️ https://t.co/r7RlW1hbwr</t>
  </si>
  <si>
    <t>📢 #LoDijoEnPolíticamenteCorrecto 
El #BancoCentral no tiene reservas, solo se encarga de custodiar el dinero que proviene de los ecuatorianos, explica #JaimeCarrera. “Si el Banco Central diera préstamos, se afectaría la balanza comercial y seguiría el déficit”, dijo. ⬇️ https://t.co/Iq9rnOSLyz</t>
  </si>
  <si>
    <t>Erro na novela. A personagem da Tata pedindo PIX pra um Japonês que reside no Japão. No entanto, Não existe Pix em outros países, já que o sistema brasileiro é restrito a instituições reconhecidas pelo Banco Central
#BancoCentral #TerraePaixao</t>
  </si>
  <si>
    <t>El Gobierno lanzará este lunes nuevas medidas contra la inflación
Más información
https://t.co/CvWnQYXs7E
#Argentina #Economia #SergioMassa #PaqueteMedidas #Inflacion #Interes #Ahora12 #BancoCentral https://t.co/YSbLKjnVKa</t>
  </si>
  <si>
    <t>El #dólarblue trepó otro 6,8% este miércoles. Al mediodía llegó a pactarse a un récord de $795. En agosto el ascenso es de $230 o un 41,8%. El #BancoCentral compró USD 117 millones en el #mercado de cambios
 https://t.co/gXzoop6FWm</t>
  </si>
  <si>
    <t>Ministro critica #BancoCentral para divulgar programa #Desenrola https://t.co/26BT5gkjfE</t>
  </si>
  <si>
    <t>#BancoCentral | Reservas internacionais do BC não são terceirizadas desde 2017
https://t.co/rNDaFJcs2h</t>
  </si>
  <si>
    <t>Economista acusa a autoridades económicas de manipular estadísticas sobre nivel pobreza RD
Puedes ampliar en: https://t.co/4vjVOtxSIp
#DeÚltimoMinuto #ElPeriódicoDeLaVerdad #Pobreza #PobrezaRD #BancoCentral #Economía</t>
  </si>
  <si>
    <t>Putz, meu dinheiro esquecido no banco central 🤡🤡🤡🤡🤡
#valoresarecerber #BancoCentral 
#dinheiroesquecido https://t.co/NPGlaCXPWd</t>
  </si>
  <si>
    <t>💸 El nuevo billete de $2000 entrará en circulación durante esta semana. Será el de mayor denominación, en la medida que culmine el proceso de distribución que ya está en marcha por parte del Banco Central.
.
.
#Billete #Circulación #Distribución #BancoCentral
#RadioCanalFormosa https://t.co/M1AgKd0ab1</t>
  </si>
  <si>
    <t>❌ El Relevamiento de Expectativas del Mercado (REM) que publica el Banco Central indicó que el aumento del índice de precios del quinto mes del año fue de 9%.
📌 + Info en la Web 
.
.
.
.
.
#Previsiones #Privados #Inflación #REM #BancoCentral #RadioCanalFormosa https://t.co/HDnSe0c5vp</t>
  </si>
  <si>
    <t>❌ La decisión del #BancoCentral de modificar el #mecanismo conocido como #Debin (Débito Inmediato) generó una dura respuesta por parte de #MercadoPago.
.
.
.
.
#RadioCanalFormosa https://t.co/N3URLfgVXQ</t>
  </si>
  <si>
    <t>🔴 #LulaDaSilva ofreció a Alberto Fernández negociar un acuerdo con los BRICS y sostener las importaciones de Brasil para aumentar las reservas.
📌 + Info en la Web 
.
.
.
.
.
#Negociación #AlbertoFernandez #Importaciones #Aumento #BancoCentral #Finanzas #RadioCanalFormosa https://t.co/ursv5yrhBo</t>
  </si>
  <si>
    <t>Já tomaram sua dose Drex hoje?
Tá Duro? Tome um Drex.
#CBDC #Brasil #BancoCentral #Bitcoin https://t.co/UvJ0oN5EJP</t>
  </si>
  <si>
    <t>#Criptomonedas #Argentina #bancocentral #billetede2000 #nuevobillete 
https://t.co/qx8irFWeGO</t>
  </si>
  <si>
    <t>#dolar #argentina #finanzas #inversion #dolarblue #pesos #emision #bancocentral #milei #massa #bullrich #larreta 
https://t.co/HhrtuenkLw</t>
  </si>
  <si>
    <t>CÂMBIO: Dólar subiu ontem e fechou acima de R$ 5,00
💵 🚀 
https://t.co/es7nJ2KLPE
#b3 #cambio #bancocentral</t>
  </si>
  <si>
    <t>O dólar ontem oscilou entre a mínima de R$ 4,812 e a máxima de R$ 4,901.
https://t.co/SeYi8jOuTx
#dolar #mercadofinanceiro #bolsas #b3 #bancocentral #cambio</t>
  </si>
  <si>
    <t>No mês de julho, o dólar acumulou perdas de 1,25% e no ano desvaloriza 10,42%. O dólar ontem oscilou entre a mínima de R$ 4,713 e a máxima de R$ 4,759.
Na íntegra 👉 https://t.co/uEn6ff8d5E
#dolar #investidores #b3 #mercadofinanceiro #bancocentral</t>
  </si>
  <si>
    <t>O dólar comercial encerrou o primeiro pregão do oitavo mês do ano com ganhos.
Saiba mais em: https://t.co/yi1QUH9m4V
#investidores #juros #dolar #china #bancocentral</t>
  </si>
  <si>
    <t>O dólar ontem oscilou entre a mínima de R$ 4,890 e a máxima de R$ 4,940.
https://t.co/sztXM69CEE
#dolar #mercadofinanceiro #b3 #investidores #bancocentral</t>
  </si>
  <si>
    <t>O dólar comercial encerrou os negócios na última sexta-feira (28/07) em baixa.
https://t.co/pozvdusGcY
#dolar #investidores #alemanha #pib #bancocentral</t>
  </si>
  <si>
    <t>CÂMBIO: Dólar subiu mais de 1%, após 5 baixas e fechou a R$ 4,943 💲 
https://t.co/ADGzgxqwgC
#dolar #ipc #fipe #swap #bancocentral</t>
  </si>
  <si>
    <t>¡Patrimore en CNN!🎙️🇨🇱
En esta nota, Sergio Tricio, Gerente General de Patrimore, reacciona a la decisión del Banco Central de bajar la tasa de interés en 100 puntos base.
-https://t.co/QAdpXObgr4 
#Entrevista #Economía #MercadoChileno #BancoCentral #TasaDeInterés</t>
  </si>
  <si>
    <t>El #BancoCentral define la salida de los nuevos #billetes de $2.000 
https://t.co/n9nZg9GRBy</t>
  </si>
  <si>
    <t>#Economía I La #FED busca un milagro, ¿lo logrará?
La #Fed, el #BancoCentral norteamericano, subió la tasa de interés el martes pasado. Es un nuevo paso para conseguir el “milagro” que busca. Unos meses atrás parecía una locura, pero hoy, no tanto.
📲https://t.co/WbybPBAwzm https://t.co/zMeZm4C7cl</t>
  </si>
  <si>
    <t>#Economía I La #FED busca un milagro, ¿lo logrará?
La #Fed, el #BancoCentral norteamericano, subió la tasa de interés el martes pasado. Es un nuevo paso para conseguir el “milagro” que busca. Unos meses atrás parecía una locura, pero hoy, no tanto.
📲https://t.co/WbybPBB4oU https://t.co/ebeSCt5HHq</t>
  </si>
  <si>
    <t>#Economía I La #FED busca un milagro, ¿lo logrará?
La #Fed, el #BancoCentral norteamericano, subió la tasa de interés el martes pasado. Es un nuevo paso para conseguir el “milagro” que busca. Unos meses atrás parecía una locura, pero hoy, no tanto.
📲https://t.co/WbybPBAwzm https://t.co/7mLQjcMOvt</t>
  </si>
  <si>
    <t>#Economía I La #FED busca un milagro, ¿lo logrará?
La #Fed, el #BancoCentral norteamericano, subió la tasa de interés el martes pasado. Es un nuevo paso para conseguir el “milagro” que busca. Unos meses atrás parecía una locura, pero hoy, no tanto.
📲https://t.co/WbybPBB4oU https://t.co/ftQQiFLC9i</t>
  </si>
  <si>
    <t>#Economía I La #FED busca un milagro, ¿lo logrará?
La #Fed, el #BancoCentral norteamericano, subió la tasa de interés el martes pasado. Es un nuevo paso para conseguir el “milagro” que busca. Unos meses atrás parecía una locura, pero hoy, no tanto.
📲https://t.co/WbybPBB4oU https://t.co/CjY63Cm8BR</t>
  </si>
  <si>
    <t>Governador do Banco de Moçambique, Rogério Zandamela, comunica decisão do Comité de Política Monetária.  Assista ao vídeo em https://t.co/iFb7mlm0pS
 #BancodeMoçambique #bancocentral #cpmo #taxamimo #economia #Partilhe</t>
  </si>
  <si>
    <t>Realizou-se ontem (28) a fase final do concurso inserido no projecto de educação económica “Economia para Todos”, do Banco de Moçambique, em 22 escolas secundárias seleccionadas em todo o País. Leia mais em https://t.co/6ivq5oqJdT
#BancodeMoçambique #bancocentral #concurso https://t.co/e74tbWzBki</t>
  </si>
  <si>
    <t>#BancodeMoçambique #bancocentral #Metical #moedanacional https://t.co/4X47QU9nfI</t>
  </si>
  <si>
    <t>Actividade económica acelera para 4,7% no II trimestre de 2023. Leia mais em https://t.co/1RkdVErg20
#BancodeMoçambique #bancocentral #economia #PIB https://t.co/bXxxWNPugO</t>
  </si>
  <si>
    <t>A redução da inflação, em Junho, é explicada pela queda do preço dos cereais no mercado internacional e a maior oferta interna de frutas e vegetais. Para mais informações, aceda a https://t.co/OgRjHNcuZV
#BancodeMoçambique #bancocentral #economia #Inflação https://t.co/yf3WzxqEr9</t>
  </si>
  <si>
    <t>Prime rate de Junho mantém-se em 23,50%. Leia o comunicado disponível em  https://t.co/Ws554A5dMX
#BancodeMoçambique #bancocentral #PrimeRate #sistemabancario https://t.co/pU025Frlkt</t>
  </si>
  <si>
    <t>Governador do Banco de Moçambique, Rogério Zandamela, comunica decisão do Comité de Política Monetária. 
Assista ao vídeo em https://t.co/DfstycCrDS
#BancodeMoçambique #bancocentral #cpmo #taxamimo #economia #Partilhe</t>
  </si>
  <si>
    <t>#BancodeMoçambique #bancocentral #48CCBM #Inhambane #Comunicado https://t.co/ZuEBibsM5h</t>
  </si>
  <si>
    <t>#BancodeMoçambique #bancocentral #economia #balançadepagamentos #saibamais https://t.co/N9FESgTWBT</t>
  </si>
  <si>
    <t>Principais destaques da Balança de Pagamentos referente ao I Trimestre de 2023. Acompanhe a série de infográficos sobre o tema e leia o relatório  detalhado em https://t.co/7SEJoQOOkW
#BancodeMoçambique #bancocentral #economia #balançadepagamentos #infografico https://t.co/SioPfkob5g</t>
  </si>
  <si>
    <t>Decisões de política macroprudencial. Para mais informação, leia o Relatório de Estabilidade Financeira disponível em https://t.co/duZdomRctA
#BancodeMoçambique #bancocentral #EstabilidadeFinanceira #riscos #economia #Partilhe https://t.co/TBJhB0siFe</t>
  </si>
  <si>
    <t>Aceda ao link https://t.co/HopJSRTeCX e aprenda sobre os elementos de segurança do Metical.
#BancodeMoçambique #bancocentral #Metical #moedanacional #segurança #Partilhe</t>
  </si>
  <si>
    <t>Os produtos alimentares e transportes tiveram maior influência na redução da inflação. Para mais informações, aceda a https://t.co/32P83aCWmk
#BancodeMoçambique #bancocentral #economia #Inflação https://t.co/7xrFgL58X1</t>
  </si>
  <si>
    <t>A Associação Moçambicana de Bancos comunica o indexante único, o prémio de custo e a prime rate a vigorar no mês de Setembro de 2023. Para mais informações, leia o comunicado disponível em https://t.co/Ws554A5LCv
#BancodeMoçambique #bancocentral #PrimeRate #sistemabancario https://t.co/jTNhLxVYtG</t>
  </si>
  <si>
    <t>Principais movimentos da conta financeira. Para mais informação, leia o Relatório da Balança de Pagamentos referente ao I Trimestre de 2023 disponível em https://t.co/7SEJoQOOkW
#BancodeMoçambique #bancocentral #economia #balançadepagamentos #infografico #contafinanceira https://t.co/4PkXE8XxmW</t>
  </si>
  <si>
    <t>Recuperação da economia doméstica. Para mais informação, leia o Relatório de Conjuntura Económica e Perspectivas de Inflação disponível em https://t.co/uj8hQ1UTNf
#BancodeMoçambique #bancocentral #cpmo #economia #Retweet https://t.co/GOUz219fUV</t>
  </si>
  <si>
    <t>O Governador do Banco de Moçambique, Rogério Zandamela, procedeu hoje (7), na Ilha de Moçambique, à abertura da IV Reunião Anual com os Directores das Filiais. 
Leia a notícia  em https://t.co/6ivq5oqJdT
#BancodeMoçambique #bancocentral #economia #ilhademocambique https://t.co/77QtB2lINp</t>
  </si>
  <si>
    <t>Crescimento económico mundial mais lento. Para mais informação, leia o Relatório de Conjuntura Económica e Perspectivas de Inflação disponível em https://t.co/uj8hQ1UTNf
#BancodeMoçambique #bancocentral #cpmo #economia #Partilhe https://t.co/3doVTOwkIT</t>
  </si>
  <si>
    <t>O Relatório de Conjuntura Económica e Perspectivas de Inflação é um veículo adicional de comunicação das decisões do Comité de Política Monetária. Para ler o documento, aceda ao link https://t.co/uwdFfaBGtq
#BancodeMoçambique #bancocentral #cpmo #economia #Partilhe https://t.co/JSUwhdNpJx</t>
  </si>
  <si>
    <t>O Governador do Banco de Moçambique, Rogério Zandamela, proferiu nesta quarta-feira (6), na Universidade Politécnica, em Maputo, a aula inaugural do programa de doutoramento em Estudos de Desenvolvimento.  Leia mais em https://t.co/6ivq5oqJdT
#BancodeMoçambique #bancocentral https://t.co/SqDWw4ijr4</t>
  </si>
  <si>
    <t>#BancodeMoçambique #bancocentral #vagas #recrutamento #Selecção #Partilha #Repost https://t.co/VLfO8uo7YC</t>
  </si>
  <si>
    <t>Fluxos do endividamento externo. Para mais informação, leia o Relatório da Balança de Pagamentos referente ao I Trimestre de 2023 disponível em https://t.co/7SEJoQOOkW
#BancodeMoçambique #bancocentral #economia #balançadepagamentos #infografico https://t.co/oiVsFHHr96</t>
  </si>
  <si>
    <t>#BancodeMoçambique #bancocentral #Comunicado #biblioteca https://t.co/jNkJXomdQY</t>
  </si>
  <si>
    <t>#BancodeMoçambique #bancocentral #Comunicado #Alerta https://t.co/FwO88wsCuw</t>
  </si>
  <si>
    <t>Aumentam incertezas no ambiente macrofinanceiro internacional. Para mais informação, leia o Relatório de Estabilidade Financeira disponível em https://t.co/duZdomRctA
#BancodeMoçambique #bancocentral #estabilidadefinanceira #riscos #economia #Partilhe https://t.co/XuODgxfIkv</t>
  </si>
  <si>
    <t>O Banco de Moçambique lançou hoje (23), em 22 escolas secundárias seleccionadas em todo o País, um concurso inserido no projecto de educação económica “Economia para Todos”. Leia mais em https://t.co/6ivq5orh3r
#BancodeMoçambique #bancocentral #economia #inflação #concurso https://t.co/dacwfwjzjY</t>
  </si>
  <si>
    <t>#BancodeMoçambique #bancocentral #museu https://t.co/qbik7os3CA</t>
  </si>
  <si>
    <t>#BancodeMoçambique #bancocentral #Comunicado #StandardBank #mercadocambial https://t.co/EpiY3RiPpk</t>
  </si>
  <si>
    <t>#BancodeMoçambique #bancocentral #vagas #edital #resultados #entrevistas #selecção https://t.co/NbsjqBXTtX</t>
  </si>
  <si>
    <t>Alguns indicadores de desempenho do sistema financeiro. Para mais informação, leia o Relatório de Estabilidade Financeira disponível em https://t.co/duZdomRctA
#BancodeMoçambique #bancocentral #estabilidadefinanceira #riscos #economia #Partilhe https://t.co/l4K2ppxDT7</t>
  </si>
  <si>
    <t>Governador do Banco de Moçambique, Rogério Zandamela, comunica decisão do Comité de Política Monetária.  Assista ao vídeo em https://t.co/bsVBDMpYA8
 #BancodeMoçambique #bancocentral #cpmo #taxamimo #economia #Partilhe</t>
  </si>
  <si>
    <t>A redução da inflação é explicada pelo comportamento favorável dos preços dos produtos alimentares e pela estabilidade dos preços dos combustíveis. Para mais informações, aceda a https://t.co/OgRjHNcuZV
#BancodeMoçambique #bancocentral #economia #inflação https://t.co/UaoxwJOT6m</t>
  </si>
  <si>
    <t>Reservas internacionais. Para mais informação, leia o Relatório da Balança de Pagamentos referente ao I Trimestre de 2023 disponível em https://t.co/qfXZZ4LnWW
#BancodeMoçambique #bancocentral #economia #balançadepagamentos #reservasinternacionais https://t.co/XOPU5ijj6h</t>
  </si>
  <si>
    <t>Principais movimentos da conta corrente. Para mais informação, leia o Relatório da Balança de Pagamentos referente ao I Trimestre de 2023 disponível em https://t.co/7SEJoQPmau
#BancodeMoçambique #BancoCentral #Economia #balançadepagamentos #infografico #contacorrente https://t.co/UrLYvbF0iF</t>
  </si>
  <si>
    <t>#BancodeMoçambique #bancocentral #economia #balançadepagamentos #saibamais https://t.co/dtagiDiglA</t>
  </si>
  <si>
    <t>O risco sistémico permaneceu no nível moderado, não obstante a subida da inflação e da prime rate do sistema financeiro nacional. Para mais informação, leia o Relatório de Estabilidade Financeira disponível em https://t.co/duZdomRKj8
#BancodeMoçambique #bancocentral https://t.co/h0O0Qnckd5</t>
  </si>
  <si>
    <t>A redução da inflação anual deveu-se, fundamentalmente, à maior oferta de frutas e vegetais. 
Para mais informações, aceda a https://t.co/32P83aCWmk
#BancodeMoçambique #bancocentral #economia #inflação https://t.co/muuKqfCGGc</t>
  </si>
  <si>
    <t>Taxa MIMO mantém-se em 17,25%. Para mais informação, leia o Relatório de Conjuntura Económica e Perspectivas de Inflação disponível em https://t.co/uwdFfaBGtq
#BancodeMoçambique #bancocentral #cpmo #economia #Retweet https://t.co/bkXXR8hoof</t>
  </si>
  <si>
    <t>Prevalecem elevados riscos e incertezas associados às projecções de inflação. Para mais informação, leia o Relatório de Conjuntura Económica e Perspectivas de Inflação disponível em https://t.co/uwdFfaBGtq
#BancodeMoçambique #bancocentral #cpmo #economia #Partilhe https://t.co/TmLeczxmOP</t>
  </si>
  <si>
    <t>Mantêm-se as previsões de inflação de um dígito. Para mais informação, leia o Relatório de Conjuntura Económica e Perspectivas de Inflação disponível em https://t.co/uj8hQ1UTNf
#BancodeMoçambique #bancocentral #cpmo #economia #Partilhe https://t.co/zrq3MHxKIZ</t>
  </si>
  <si>
    <t>Comunicado Banco de Moçambique
#BancodeMoçambique #bancocentral #supervisão #Partilha https://t.co/QAWSLj1Kmk</t>
  </si>
  <si>
    <t>Estão disponíveis as estatísticas das instituições financeiras mais reclamadas no primeiro semestre de 2023. Para mais informações,  aceda a https://t.co/1n3XLmRy8j
#BancodeMoçambique #bancocentral #Economia https://t.co/wciCG7rc14</t>
  </si>
  <si>
    <t>A Associação Moçambicana de Bancos comunica o indexante único, o prémio de custo e a prime rate a vigorar no mês de Agosto de 2023. Para mais informações, leia o comunicado disponível em https://t.co/Ws554A5dMX
#BancodeMoçambique #bancocentral #PrimeRate #sistemabancario https://t.co/MTP6mn6SRX</t>
  </si>
  <si>
    <t>Convite para Apresentação de Propostas de Trabalhos de Investigação - 15as Jornadas do Banco de Moçambique. Para mais informações, consulte o link https://t.co/xeWqmcyd3n
#BancodeMoçambique #bancocentral #jornadas #científicas #jocibam https://t.co/sh5QGBb40b</t>
  </si>
  <si>
    <t>Prime rate de Julho aumenta para 24,10%. Leia o comunicado disponível em https://t.co/Ws554A5dMX
#BancodeMoçambique #bancocentral #PrimeRate #sistemabancario https://t.co/AGXMpGrAMv</t>
  </si>
  <si>
    <t>O #BancoCentral só pode estar de brincadeira... Esse #camposneto é um bolsonarista idiota... Idiota pode falar ou é bloqueado?</t>
  </si>
  <si>
    <t>Según @laderechadiario el Fondo Monetario Internacional mostró su interés en una reciente llamada con el equipo económico de Massa de hablar con @JMilei de aprobar los próximos desembolsos.  
#BancoCentral https://t.co/R75HbgwA8t</t>
  </si>
  <si>
    <t>Este país necesita urgente un Ministerio de Salud Psiquiátrica. #BancoCentral</t>
  </si>
  <si>
    <t>⭐️ #Michi #Simpática y los #Empleados del #BancoCentral... 😂 ⭐️
.
#AdoptáNoComprés 
#AdoptaNoCompres 
.
. 
.
#PorQueCadaInstanteCuente 
.
.
.
#AlexanderPifano https://t.co/k6fdhIYqAQ</t>
  </si>
  <si>
    <t>En #junio el #BancoCentral tuvo otra fuerte emisión de dinero https://t.co/1A4KuVvBcx https://t.co/FZZ4v4eoSB</t>
  </si>
  <si>
    <t>El #BancoCentral confirmó que la #imagen de #SanMartín estará en los de 1.000 #pesos https://t.co/FeXFZqCZP8 https://t.co/U1CR7OaTQv</t>
  </si>
  <si>
    <t>El #INDEC y el #BancoCentral revelarán datos sobre la inflación después de las #PASO https://t.co/fd5giFg9Sl https://t.co/wj1MsnksEf</t>
  </si>
  <si>
    <t>El #FMI reveló las enormes #reservas negativas del #BancoCentral 
https://t.co/waNXIiHOPo https://t.co/4dx8ng0Ule</t>
  </si>
  <si>
    <t>Quem está brigando hoje com o Banco Central é a sociedade brasileira. Os varejistas, os pequenos e médios empreendedores, as pessoas que precisam de crédito. É irracional o que está acontecendo no Brasil. Temos 72% de brasileiros e brasileiras com dívidas, e esse é um problema da…</t>
  </si>
  <si>
    <t>Não existe explicação para uma taxa de juros em 13,75%, porque não temos inflação de demanda. Não sou eu que sou contra essa taxa de juros, são os pequenos, médios e grandes empresários, agricultores. É preciso reduzir, inclusive para estar de acordo com a taxa da inflação, que…</t>
  </si>
  <si>
    <t>Bora deixar bolsonarismos #BancoCentral e ser Brasileiro. Não aguentamos mais esse resquício bolsonarista na ecinomia. Agora é @LulaOficial</t>
  </si>
  <si>
    <t>Miriam Leitão detona Campos Neto e diz que o Brasil hoje tem um negacionista no Banco Central
https://t.co/pjC1e1xRU0</t>
  </si>
  <si>
    <t>Inflação desacelera para 0,23% em maio e chega a 3,94% em 12 meses; queda aumenta pressão por corte nos juros
https://t.co/WLa3w51HLk</t>
  </si>
  <si>
    <t>Nova sabotagem: Campos Neto dá entrevista à BlackRock e diz que estuda terceirizar a gestão de ativos do Brasil https://t.co/K6RvYznQQU</t>
  </si>
  <si>
    <t>💵 El Banco Central de la República Argentina puso hoy en circulación el nuevo billete de $1.000, con la imagen de José de San Martín, tras haber desaparecido con los extintos billetes de $5.
🌐https://t.co/5immezAziz 
#billete #moneda #BancoCentral #JosédeSanMartín #Argentina https://t.co/6C7qAJfZ3s</t>
  </si>
  <si>
    <t>📉Las consultoras privadas que integran el #RelevamientodeExpectativasdeMercado que realiza mensualmente el #BancoCentral estimaron en 7,3% la suba de #precios al consumidor (IPC) en junio, 0,5 puntos porcentuales por debajo del 7,8% registrado en mayo.
🌐https://t.co/5immezAziz https://t.co/1rHGjywhXv</t>
  </si>
  <si>
    <t>🗣️ "La posibilidad de un freno productivo en #Córdoba es real e inminente"⁣
👉 El #BancoCentral, apremiado por la escasez de #dólares, dispuso que los fletes de exportación ya no se paguen en origen sino en destino para evitar la salida de divisas.
🌐 https://t.co/5immezAziz https://t.co/Wr407lfdop</t>
  </si>
  <si>
    <t>📈#Dólar: #BancoCentral fija el tipo de cambio oficial a $350 hasta las elecciones de octubre
👉🏼Se trata del mayor salto diario desde las PASO de 2019. También subió la tasa de interés al 118% para retener depósitos
🌐⁣https://t.co/5immezB787
#BCRA #CambioOficial #Paso https://t.co/R0ozckU9gC</t>
  </si>
  <si>
    <t>💸 El #dólarblue cayó este viernes por segunda jornada consecutiva y se negoció a $720 para la venta en el microcentro porteño.
👉 Los tipos de cambio financieros cotizaron dispares y el #BancoCentral completó una semana de compras netas.
🌐 https://t.co/5immezAziz https://t.co/R5iL8hS6YD</t>
  </si>
  <si>
    <t>5º vazamento de dados do Pix: especialista dá cinco dicas para se proteger
➡️ https://t.co/Jj8Tf4rx11
#folhageral #economia #pix #bancocentral #segurancadigital https://t.co/Px8KhtMcXM</t>
  </si>
  <si>
    <t>👌Ante las nuevas medidas, Resolución 111, del #BancoCentral nuestra plataforma de #comercioelectrónico #Enzona es una de las opciones para el pago digital fácil y seguro 🔒 
 #ComercioElectrónico 
#Juntosporlatransformacióndigital
#CubaInformatiza https://t.co/zmRKg2KCJA</t>
  </si>
  <si>
    <t>El Banco Central ya tiene en su poder los billetes de $2.000 y define su salida - 
#BancoCentral #NuevoBillete #Argentina 
https://t.co/QN2Cg3nWHB</t>
  </si>
  <si>
    <t>Tras los positivos datos de crecimiento del #BancoCentral para la #RegióndeCoquimbo, #Chile y especialmente la comuna de #LaHiguera no pueden farrearse la oportunidad de ver la ejecución del proyecto @ConoceDominga.
https://t.co/Y6jM4dZXrS</t>
  </si>
  <si>
    <t>Agiotagem
O que chamamos de elites, uma colusão de bilionários nacionais com as grandes corporações transnacionais, usam o Estado (que criticam) para se apropriar dos seus recursos:
https://t.co/4D13BquMgO
#BancoCentral
#juros
#selic https://t.co/Y0HdVLOICg</t>
  </si>
  <si>
    <t>O presidente do Banco Central, Campos Neto, precisa se explicar. Não dá para ficar sabotando a nossa economia. 
#BancoCentral #CamposNeto #PTnaCâmara #Economia https://t.co/34exmEPToo</t>
  </si>
  <si>
    <t>O atual presidente do Banco Central sabota a economia brasileira, censura entrevistas de diretores e, agora, quer terceirizar nossas reservas internacionais. Campos Neto precisa sair!
#BancoCentral #Economia #GovernoLula #PTnaCâmara https://t.co/p1mbJcEOBl</t>
  </si>
  <si>
    <t>TÁ NA HORA DE BAIXAR
Baixe esses juros abusivos do #BancoCentral, e tira o pé da porta do desenvolvimento do Brasil, #CamposNeto!
#JurosBaixosJá
#Copom https://t.co/AdXiKTFGNg</t>
  </si>
  <si>
    <t>Os juros altos, praticados pelo Banco Central, prejudica toda a população brasileira. É preciso que o órgão reveja sua política para que a economia brasileira possa crescer. #JurosAlto #BancoCentral #PTnaCâmara #economia https://t.co/X9nUCIQcmT</t>
  </si>
  <si>
    <t>#bancocentral la nueva camada de economistas tiene cierta tendencia a la ansiedad por emitir juicios antes de tiempo... https://t.co/d0brtk9n7R</t>
  </si>
  <si>
    <t>@gonzalowinter O sea si, puede hablar, así es la democracia...y @GaelDiputada le habla a su público, pero también @ignaciobriones_ tiene el derecho a no ser cancelado por ti, o no?
Otra cosa es la ponderación que haga la opinión pública de uno u otro comentario.
#BancoCentral #FALSO</t>
  </si>
  <si>
    <t>Neste vídeo, o professor Dudu fala da carreira de Ilan Goldfajn, que atualmente é presidente do BID. Assista! https://t.co/1sK53tZKWn
#economia #economistas #BID #FMI #BancoCentral #IlanGoldfajn</t>
  </si>
  <si>
    <t>@ecuarauz Yo quiero los dolares no trabajar #BancoCentral</t>
  </si>
  <si>
    <t>- Cobró sueldo durante varios años sin trabajar 
- Habla 20 idiomas 
- Quiere sacar el oro de los celulares de los ecuatorianos
- Tiene ideas de desdolarizar al Ecuador
Claro, votemos por el LELO https://t.co/UoNGgwhXMl</t>
  </si>
  <si>
    <t>Estou abrindo uma reclamação no @BancoCentralBR  #bancocentral pois, meu dinheiro assim como o de outros clientes dele está preso sem motivo.</t>
  </si>
  <si>
    <t>El déficit de Honduras bajó el 9,1 % entre enero y mayo de 2023, hasta ubicarse en 2.893,1 millones de dólares.
#ElPaísHN #Honduras #deficit #BancoCentral 
Más detalles aquí 👇🏻
https://t.co/N6MwyI9ZXn</t>
  </si>
  <si>
    <t>Honduras incluirá un retrato de la ambientalista Berta Cáceres en el billete de 200 lempiras que alude al bicentenario de la independencia.
#ElPaísHN #Honduras #BertaCaceres #BancoCentral 
Más detalles aquí 👇
https://t.co/oD39PBQ9Mh</t>
  </si>
  <si>
    <t>La inflación en Honduras en agosto fue de 0,50 %, mientras que la interanual se situó en 5,71 %, informó este viernes el BCH.
#ElPaísHN #Honduras #Inflacion #BancoCentral 
Más detalles aquí 👇
https://t.co/VtgvKCbFRk</t>
  </si>
  <si>
    <t>O Banco Central disciplinará o funcionamento das prestadoras de serviços de ativos virtuais e supervisionará as mesmas. #BancoCentral #Regulação
A Comissão de Valores Mobiliários (CVM) ficará responsável por regular criptoativos com características de valores mobiliários. #CVM</t>
  </si>
  <si>
    <t>ÚLTIMA NOTÍCIA: O presidente Lula assinou o decreto que define o Banco Central como regulador do mercado cripto no Brasil. #Cripto #Regulação #BancoCentral</t>
  </si>
  <si>
    <t>#BancoCentral do inferno
https://t.co/jKh2EiA2F2 https://t.co/VRTC7f82eJ</t>
  </si>
  <si>
    <t>Así de pobres somos.. PESO ARGENTINO contra EURO
#devaluación #irresponsables #bancocentral https://t.co/3i40xU9lBq</t>
  </si>
  <si>
    <t>Plazo Fijo: el Banco Central mantiene la tasa del 97% ¿cuánto depositar para ganar $100.000? 🤔 #BancoCentral #Tasa97 #PlazoFijo  https://t.co/f1Ad1GDcRO</t>
  </si>
  <si>
    <t>⚠️ Préstamo de $400000 de ANSES a trabajadores ⚠️  cómo chequear si estás en situación 1 o 2 en el Banco Central para pedirlo 👇 #ANSES #Préstamo #Crédtio #BancoCentral #Trabajadores https://t.co/Enc2ocJXbg</t>
  </si>
  <si>
    <t>Banco Central prevê lançar PIX Automático em abril de 2024 https://t.co/Fql1dVSfaz
#bancocentral #PIX #automático #Abril2024 #giranotícias</t>
  </si>
  <si>
    <t>#bancocentral | Se estima que el Consejo del ente rector mantendrá inalterada la TPM en 11,25%. https://t.co/FidcPMPa9K</t>
  </si>
  <si>
    <t>📢 O juro brasileiro é inexplicável.
.
📌 Ciro Gomes faz uma crítica à taxa de juros praticada no Brasil. Cada 1,5% da taxa básica de juros (Selic) custa ao povo brasileiro 60 bilhões ao ano!
.
.
✅ Siga @ciropnddobrasil para receber mais vídeos como esse.
.
.
.
#cirogomes #selic https://t.co/wTPn2ho3jX</t>
  </si>
  <si>
    <t>📢 Como demitir o presidente do Banco Central.
.
📌 Ciro Gomes explica como o governo atual pode demitir o presidente do Banco Central.
.
.
✅ Siga @ciropnddobrasil para receber mais vídeos como esse.
.
.
.
#cirogomes #bancocentral https://t.co/c4jbx7EYcG</t>
  </si>
  <si>
    <t>📢 O real motivo dos altíssimos juros no Brasil.
.
📌 Ciro Gomes revela o verdadeiro motivo dos juros absurdos praticados pelo Banco Central. Uma pista: não é pra conter a inflação!
.
.
✅ Siga @ciropnddobrasil para receber mais vídeos como esse.
.
.
.
#cirogomes #bancocentral https://t.co/1WK9d7iWle</t>
  </si>
  <si>
    <t>📢 Como demitir o presidente do Banco Central
.
📌 Ciro Gomes explica novamente como demitir o presidente do Banco Central.
.
.
✅ Siga @ciropnddobrasil para receber mais vídeos como esse.
.
.
.
#cirogomes #bancocentral https://t.co/GUlicU5Pyd</t>
  </si>
  <si>
    <t>📢 Isso a Globo não mostra!
.
📌 Ciro Gomes apresenta dados escandalosos que só não estão na boca do povo porque a televisão (Globo, Record, etc) não mostra.
.
.
✅ Siga @ciropnddobrasil para receber mais vídeos como esse.
.
.
.
#cirogomes #bancocentral https://t.co/oSuLAW21UV</t>
  </si>
  <si>
    <t>📢 O Lula pode demitir sim o presidente do Banco Central!
.
📌 Ciro Gomes cita a lei que permite ao Lula demitir o presidente do Banco Central e prova que o governo teria apoio do Senado para isso!
.
.
✅ Siga @ciropnddobrasil para receber mais vídeos como esse.
.
.
.
#cirogomes https://t.co/Djy2ybpZA3</t>
  </si>
  <si>
    <t>📢 Pra que serve o Banco Central?
.
📌 Ciro Gomes explica que o Banco Central deveria estar perseguindo dois objetivos, mas no Brasil existe uma fraude!
.
.
✅ Siga @ciropnddobrasil para receber mais vídeos como esse.
.
.
.
#cirogomes #bancocentral https://t.co/63dAP6HNzo</t>
  </si>
  <si>
    <t>📢 Porque o juro alto destrói a nossa economia.
.
📌 Ciro Gomes explica didaticamente como o juro alto prejudica radicalmente a nossa economia. Não deixe de assistir!
.
.
✅ Siga @ciropnddobrasil para receber mais vídeos como esse.
.
.
.
#cirogomes #bancocentral https://t.co/aMLCeImhrL</t>
  </si>
  <si>
    <t>Ciro Gomes faz uma crítica à taxa de juros praticada pelo Banco Central e compara com a taxa praticada nos EUA.
#cirogomes #bancocentral</t>
  </si>
  <si>
    <t>O governo atual pode sim demitir o presidente do Banco Central! Ciro Gomes explica como.
#CiroEmLisboa #bancocentral</t>
  </si>
  <si>
    <t>Ciro Gomes novamente explica como o Lula pode demitir o presidente do Banco Central. O que o governo está esperando?
#cirogomes #bancocentral</t>
  </si>
  <si>
    <t>Neste vídeo, Ciro Gomes foi muito didático ao explicar como os juros altos praticados pelo Banco Central prejudicam a nossa economia.
#cirogomes #bancocentral</t>
  </si>
  <si>
    <t>"Globo e Record são sócios nessa falcatrua!" 
Ciro Gomes
Eita!!!
#cirogomes #bancocentral</t>
  </si>
  <si>
    <t>Ciro Gomes só falta desenhar! O que o governo está esperando para demitir o presidente do Banco Central?
#cirogomes #bancocentral</t>
  </si>
  <si>
    <t>O Banco Central do Brasil não está cumprindo a sua função! Ciro Gomes explica.
#cirogomes #bancocentral</t>
  </si>
  <si>
    <t>Ciro Gomes revela o verdadeiro motivo por trás dos juros absurdos praticados pelo Banco Central. Assistam!
#cirogomes #bancocentral</t>
  </si>
  <si>
    <t>👉Pasó en Los Notables.
@DianaMondino  economista y candidata a diputada nacional de Javier Milei.
👉 La nota en nuestro canal de Podcasts en Spotify: "Programa Los Notables".
#LosNotables  #Entrevistas  #RadioLaRed #economia #dolar #bancocentral #Reservas https://t.co/OiTL7B5uCy</t>
  </si>
  <si>
    <t>#CorpArauanía IPoM del #BancoCentral, permite #proyectar #cifras #ascendentes para la #economía #nacional y #regional 
https://t.co/j49PnzbvaQ https://t.co/LOsbKgl8et</t>
  </si>
  <si>
    <t>#EnVivo #Ahora, en evento #Corparaucanía hoy #jueves, en #Dreams #Temuco , sobre #Escenario #Económico y #Proyecciones del #BancoCentral de #Chile
#wwwTemucoDiariocl https://t.co/wPZZqtQSiW</t>
  </si>
  <si>
    <t>RT @Temucodiario: Economía chilena, en caída libre: 
Economistas coinciden en que #Chile no podrá contener  el #alza del #dólar, pese a #i…</t>
  </si>
  <si>
    <t>Economía chilena, en caída libre: 
Economistas coinciden en que #Chile no podrá contener  el #alza del #dólar, pese a #intervenciones del #BancoCentral 
https://t.co/uPoPPZA73N https://t.co/wB5EiWuX6I</t>
  </si>
  <si>
    <t>Corrupción y Banco central Independiente van juntos o separados 🤔 ya 🤯 XD
@DarekMacpherson
@JMilei
@Comecomunistas
@colomba_5
@AntiRojos1973
@Gabriel86439969
@epaganioficial
https://t.co/R7AaVLXzld
#Economia #BancoCentral https://t.co/fkcOcdONWH</t>
  </si>
  <si>
    <t>#JornaldaManhã | Minuto Touro de Ouro: bolsas internacionais amanhecem em alta nesta sexta-feira, 16 de junho; no Brasil, o destaque é o Índice de Atividade Econômica do Banco Central (IBC-Br)
📺 Confira na JP News
#Economia #BancoCentral #PIB https://t.co/OZKAyFYaTv</t>
  </si>
  <si>
    <t>#AOVIVOJP | Comissão do Senado sabatina Gabriel Galípolo para diretoria do Banco Central
📺 Acompanhe na JP News
https://t.co/Ndl4cDZnhl
#AoVivo #GabrielGalípolo #BancoCentral https://t.co/Letwb3zMvR</t>
  </si>
  <si>
    <t>#JornaldaManhã | Senado realiza sabatina de Gabriel Galípolo nesta terça-feira, 4 de julho
Beraldo: "Tem muita coisa errada no Brasil. Não há heróis que vão conseguir resolver. É toda uma engrenagem que precisa ser ajustada"
📺 Confira na JP News
#GabrielGalípolo #BancoCentral https://t.co/upMSOkzj4l</t>
  </si>
  <si>
    <t>#JornaldaManhã | Centrais sindicais realizam ato contra juros altos nesta terça-feira, 20 de junho, em São Paulo; sindicalistas querem chamar atenção do Banco Central para redução da taxa Selic 
📺 Confira na JP News
#BancoCentral #Selic #Manifestação https://t.co/HrQM9qM6cS</t>
  </si>
  <si>
    <t>#JPEntrevista | Taxa Selic registra primeira queda em três anos; Banco Central reduz taxa para 13,25% ao ano
📺 Confira na JP News
#taxa #selic #BancoCentral #economia https://t.co/ldjOljxPVU</t>
  </si>
  <si>
    <t>#LinhaDeFrente | Campos Neto tenta censurar entrevistas de Galípolo
Daniel Lopez: “Tema do Banco Central hoje é vital para o Brasil, por isso a pressão em cima dos resultados econômicos fica em cima do presidente do BC”
📺 Confira na JP News
#CamposNeto #Galípolo #BancoCentral https://t.co/1LoHzhCMCn</t>
  </si>
  <si>
    <t>#JornaldaManhã | Senado aprova convite de Campos Neto para audiência sobre manutenção da Selic; presidente do Banco Central não é obrigado a comparecer à Comissão de Assuntos Econômicos 
📺 Confira na JP News
#BancoCentral #Selic #CAE https://t.co/D7KcQMnxmW</t>
  </si>
  <si>
    <t>#JornaldaManhã | Galípolo diz que o Banco Central tem 'trabalhado para queda da inflação'; secretário da Fazenda fala sobre melhora nas projeções e expectativas econômicas 
📺 Confira na JP News
#BancoCentral #Inflação #Economia https://t.co/F0PzFaSiPI</t>
  </si>
  <si>
    <t>#MercadoFinanceiroJP | Banco Central deve iniciar queda de juros 
Luís Artur Nogueira: "Se eu fosse diretor do BC, votaria por uma queda de 0,5 percentual, mas acredito que vá prevalecer o corte mais modesto de 0,25"
📺 Confira na JP News 
#BancoCentral #juros #Selic https://t.co/h37xbrU4WA</t>
  </si>
  <si>
    <t>#JPEntrevista | Copom do Banco Central mantém Selic em 13,75%; especialista explica impactos e expectativa da taxa de juros
📺 Confira na JP News
#Copom #BancoCentral #selic #taxa #juros https://t.co/o2tiJ0Ofkw</t>
  </si>
  <si>
    <t>#JornaldaManhã | Ata do Copom será divulgada na próxima terça-feira, 27 de junho; texto deve dar indicações sobre ciclo de queda da taxa de juros
📺 Confira na JP News
#Copom #BancoCentral #Economia https://t.co/mLJ2kwx8I4</t>
  </si>
  <si>
    <t>#JornaldaManhã | Banco Central diz que R$ 7 bilhões ainda podem ser resgatados; 36,1 milhões de pessoas têm valores a receber
📺 Confira na JP News
#BancoCentral #BC #bilhões #dinheiro #resgate https://t.co/iOdW182P88</t>
  </si>
  <si>
    <t>#JornaldaManhã | Nomes sugeridos para o Banco Central serão sabatinados no Senado; Lula (PT) indicou Gabriel Galípolo e Ailton Aquino Santos
📺 Confira na JP News
#BC #BancoCentral #Lula #cargos #Senado https://t.co/ajD6PKij9u</t>
  </si>
  <si>
    <t>#JornaldaManhã | Testes do Drex atrasam e só devem terminar em 2024; Banco Central informou que desafio é 'adequar tecnologia às normas da LGPD'
📺 Confira na JP News
#Drex #RealDigital #BancoCentral https://t.co/1dw5gGwoqN</t>
  </si>
  <si>
    <t>#JornaldaManhã | Mais de R$ 7 bilhões esperam pelo dono no sistema do Banco Central; desde 2022, mais de 14 milhões de pessoas já resgataram algum valor
📺 Confira na JP News 
#BancoCentral #DinheiroEsquecido https://t.co/AL5SXFiUoL</t>
  </si>
  <si>
    <t>#JornaldaManhã | Membros do 'Conselhão' divulgam carta pedindo corte de juros ao Banco Central; documento foi assinado por 51 integrantes, incluindo Luiza Trajano, da rede Magalu, e o presidente da Fiesp, Josué Gomes 
📺 Confira na JP News
#BancoCentral #Copom #Juros https://t.co/BKmpnk8BvU</t>
  </si>
  <si>
    <t>#JornaldaManhã | Senado adia sabatina de Galípolo para o Banco Central; sessão estava marcada para a próxima terça-feira, 27 de junho, mas data foi alterada por causa das festas juninas 
📺 Confira na JP News
#Galípolo #BancoCentral #Senado https://t.co/C7DYgYXf2P</t>
  </si>
  <si>
    <t>#DiálogoJP | Autonomia do Banco Central é fundamental; instituição precisa atuar de forma técnica e não política
📺 Confira na JP News
#BancoCentral #Economia #MercadoFinanceiro https://t.co/5Y1cFI4SJF</t>
  </si>
  <si>
    <t>#JornaldaManhã | Entenda como deve funcionar a moeda digital do Brasil; Banco Central reforçou que não haverá nenhuma mudança no real 
📺 Confira na JP News
#Drex #Moeda #Real #BancoCentral https://t.co/sYVanC12ZG</t>
  </si>
  <si>
    <t>#MercadoFinanceiroJP | Investidores estão divididos sobre tamanho do corte de juros do Banco Central
Luís Artur Nogueira: "Uma parte acredita em um corte modesto de 0,25%. Já outra parte acredita haver espaço para 0,5%"
📺 Confira na JP News 
#Economia #Selic #BancoCentral https://t.co/YAHkY6QKeI</t>
  </si>
  <si>
    <t>#JornaldaManhã | Randolfe quer convocar Campos Neto 'quanto antes'; ideia é que CAE avalie decisões do presidente do Banco Central
📺 Confira na JP News
#JovemPan #Randolfe #BancoCentral #CamposNeto https://t.co/VnAOmC0Zfk</t>
  </si>
  <si>
    <t>#JornaldaManhã | Luiza Trajano pede urgência na redução de juros; presidente do Conselho de Administração do Magazine Luiza afirmou a Selic alta prejudica o consumidor e o pequeno empresário
📺 Confira na JP News
#LuizaTrajano #Selic #BancoCentral https://t.co/2mHo4dHwkL</t>
  </si>
  <si>
    <t>#OsPingosNosIs | CPI vai acionar Banco Central (BC) para descobrir quem financia ONGs da Amazônia; bancada comenta 
📺 Confira na JP News
#Notícia #Informação #CPI #BancoCentral #ONGs https://t.co/n3Gn3D2mu3</t>
  </si>
  <si>
    <t>#OsPingosNosIs | CPI vai acionar Banco Central (BC) para descobrir quem financia ONGs da Amazônia; bancada comenta 
📺 Confira na JP News
#Notícia #Informação #CPI #BancoCentral #ONGs https://t.co/ueEW5rSibN</t>
  </si>
  <si>
    <t>#JornaldaManhã | Juros do rotativo do cartão atingem 445,7% ao ano; taxa aumentou 50,8 pontos percentuais nos últimos 12 meses, segundo Banco Central 
📺 Confira na JP News
#Rotativo #BancoCentral https://t.co/zraSNbhyVz</t>
  </si>
  <si>
    <t>#SociedadeDigital | Banco Central vai regular setor de criptomoedas; Marco Legal foi sancionado pela presidência da República
📺 Confira na JP News
#Criptomoedas #BancoCentral #Economia https://t.co/25X7MI7pLi</t>
  </si>
  <si>
    <t>#DiálogoJP | Gustavo Grisa: "Banco Central acerta no combate à inflação"; para especialista, esse é pior pesadelo em economia
📺 Confira na JP News
#BancoCentral #Economia https://t.co/UlOpSEG36w</t>
  </si>
  <si>
    <t>#3em1 | Presidente Lula (PT) tem primeiro encontro com Campos Neto; bancada comenta
📺 Confira na JP News
#BancoCentral #CamposNeto #Taxação https://t.co/Nl9vzH5mbL</t>
  </si>
  <si>
    <t>#FastNewsJP | Gabriel Galípolo diz que 'existe um debate político sobre juros'; diretor de política monetária do Banco Central também reforçou que as decisões do Copom são 'extremamente técnicas' 
📺 Confira na JP News
#GabrielGalípolo #BancoCentral #Juros #Lula https://t.co/SSzgBbj4nb</t>
  </si>
  <si>
    <t>#JornaldaManhã | Líderes partidários pedem investigação de Campos Neto; parlamentares querem apurar a manutenção da taxa Selic em 13,75%
📺 Confira na JP News 
#BancoCentral #CamposNeto https://t.co/SuXd8MLVAB</t>
  </si>
  <si>
    <t>#JornaldaManhã | Campos Neto diz ser contra criação de moeda comum; segundo presidente do Banco Central, inflação seria uma mistura da situação dos países envolvidos
📺 Confira na JP News
#moeda #BancoCentral #inflação https://t.co/PmO7jfJyXD</t>
  </si>
  <si>
    <t>Banco Central emite grande alerta aos brasileiros #correiodeminas
#alerta #bancocentral #golpes #correiodeminasonline
https://t.co/Lnh0Sx8Q1C https://t.co/jqSthGQwGj</t>
  </si>
  <si>
    <t>Banco Central faz comunicado importantíssimo para todos os brasileiros #correiodeminas
#bancocentral #comunicado #ComunicadoImportante #twiter #correiodeminasonline
https://t.co/3TVgazfD6i https://t.co/FcwGC6pmt7</t>
  </si>
  <si>
    <t>#Periodismo #Politica #bancocentral #Argentina @BancoCentral_AR</t>
  </si>
  <si>
    <t>Olha isso 👇🏻#noticias #noticia #bancocentral #banco #bomdia #BomDiaBrasil 
 https://t.co/CUWItdHjv4</t>
  </si>
  <si>
    <t>✅️ PRIMER PAGO HECHO
▶️ #SanLorenzo ayer pagó los 600 mil dólares pertenecientes a una de las dos cuotas del pase de Bareiro desde #Monterrey
➡️ Por otro lado, aún se espera la autorización del #BancoCentral para abonar la deuda del "Torito" Rodriguez https://t.co/WRXntZaUIm</t>
  </si>
  <si>
    <t>La alta tasa de interés que tiene el Banco Central está haciendo ganar cifras récor a los bancos comerciales, sin moverse de sus escritorios.
https://t.co/z6FygBerII
#ipc #inflacion #BancoCentral https://t.co/qGP3WE0CeQ</t>
  </si>
  <si>
    <t>La presidenta del Banco Central vaticinó que la tasa de interés cerrará este año cercana al 8% y la inflación en torno al 4%, guarismos que hacen estar optimistas en relación a la macroeconomía de nuestro mercado.
https://t.co/zoqLolE5cR
#ipc #bancocentral #tasa https://t.co/DP8dHBXAgl</t>
  </si>
  <si>
    <t>Com lançamento previsto para abril de 2024, a novidade foi apresentada nesta segunda-feira, dia 19/06/2023, durante a realização da 19ª reunião plenária do Fórum Pix. Para saber mais sobre o tema, acesse: https://t.co/H8Y8xsl2ep  
#BancoCentral #PixAutomático #Lançamento #CSMV https://t.co/no489HFeNs</t>
  </si>
  <si>
    <t>O Banco Central estabeleceu os procedimentos para conversão do modelo de participação das entidades integrantes do Sistema de Pagamentos Instantâneo (SPI). Confira: https://t.co/MdYmnethDO
#Pix #BancoCentral #BCB #Resolução #SPI #ContaPI #Bancário #CSMV https://t.co/WlDcqgDl6a</t>
  </si>
  <si>
    <t>Líderes do governo Lula (PT) têm pressionado Campos Neto, presidente do BC, a explicar a taxa de juros a 13,75%. Em entrevista à CNN, o cientista político Carlos Pereira, professor da FGV, analisa os impactos desse movimento para a mudança no patamar dos juros #CNNBrasilPrimetime https://t.co/9W1NQdoRmg</t>
  </si>
  <si>
    <t>Nesta quinta-feira (29), o presidente Lula (PT) voltou a criticar o presidente do Banco Central, Roberto Campos Neto, pela manutenção da taxa de juros a 13,75%, e afirmou que ele “não entende de país” #CNNBrasilPrimetime https://t.co/9dNEfyAINe</t>
  </si>
  <si>
    <t>Os novos diretores do Banco Central, Gabriel Galípolo e Ailton Aquino, tomam posse nesta quarta-feira (12) na sede da instituição em Brasília. Eles vão participar da próxima reunião do Comitê de Política Monetária (Copom), responsável por definir a taxa Selic #LiveCNNBrasil https://t.co/swO11zr3Gl</t>
  </si>
  <si>
    <t>#brasil #bc #bancocentral #juros #selic</t>
  </si>
  <si>
    <t>Copom reduz juros básicos da economia para 13,25% ao ano https://t.co/YIDZskW8Gz
#juros #bancocentral #economia #Lula</t>
  </si>
  <si>
    <t>👍Ya está en circulación el nuevo billete de $1000 con la imagen de José de San Martín
👉 Este nuevo papel coexistirá con el otro de $1000 que se venia usando.
.
#dinero #billetes #bancocentral #heroes #heroinas #patria https://t.co/1Jn2BbhyWk</t>
  </si>
  <si>
    <t>❗La Justicia dispuso un procedimiento en el Banco de la Nación Argentina, luego de la difusión de polémicas contrataciones ordenadas por personal jerárquico del organismo que dirige Silvina Batakis.
#batakis #bancocentral #numerologa #irregularidades #argentina https://t.co/sIqhE1LMha</t>
  </si>
  <si>
    <t>Conforme a resolução 3.919 do Banco Central, as instituições bancárias tem a obrigação de ofertar aos seus clientes uma conta apenas com os serviços essenciais.
Quer saber mais? Entre em contato conosco!
#guazelliadvocacia #rafaelguazelli #nataliaguazelli #bancocentral #bancos https://t.co/kppM2AblAQ</t>
  </si>
  <si>
    <t>#BancoCentral Europeo 
@ecb elevó los costos de endeudamiento a su nivel más alto en 22 años y dejó la puerta abierta a más alzas, extendiendo su lucha contra la inflación que sigue obstinadamente alta incluso cuando la economía de la zona euro flaquea https://t.co/VUDK2JbWwu</t>
  </si>
  <si>
    <t>#BancoCentral
Carlos Carvallo Spalding, ex-miembro del directorio del @BCP_PY y actual presidente de la Financiera #Ueno es designado por @SantiPenap como el nuevo Pdte del #BCP
Economista senior. Pasó por la UNICAMP, la PUC, Georgetown, el BID y la U de 🇨🇱. https://t.co/zDyM058E5m</t>
  </si>
  <si>
    <t>En su reunión de la fecha, el Comité de Política Monetaria (#CPMpy) decidió, por unanimidad, reducir la tasa de interés de política monetaria en 25 puntos básicos (pb), de 8,50% a 8,25% anual.
Leé el comunicado completo: https://t.co/2DpkuEwzx0 https://t.co/RkBUUNRkCO</t>
  </si>
  <si>
    <t>#Europa
#Hungría analiza salida de la #UniónEuropea
#AndrasSimor exjefe del #BancoCentral húngaro dijo que: el país está cada vez más cerca del escenario de salida de la UE y esto podría convertirse en una alternativa real a la situación actual. https://t.co/lW6k3Zwm9h</t>
  </si>
  <si>
    <t>#Reuters
El #BancoCentral de #Rusia subió las tasas de interés luego de la presión del Kremlin para que tomara medidas por la caída del rublo.
El #Rublo se ha recuperado https://t.co/D4pzeXoNRm</t>
  </si>
  <si>
    <t>#China actuó rápido, introduciendo la primera divisa digital en un #BancoCentral el e-Yuan, para transacciones transfronterizas, posicionando el #yuan como un competidor legítimo de los bancos estadounidenses y del #Swift</t>
  </si>
  <si>
    <t>⚠️ El #Gobierno dio marcha atrás en la disputa con @mercadopago .
👉 Se anunciará la anulación de una polémica resolución del #BancoCentral tras una fuerte defensa por parte de @marcos_galperin.
https://t.co/J8LypbPH0Q</t>
  </si>
  <si>
    <t>🛜Ahora, los códigos QR deben aceptar pagos desde cualquier billetera virtual
📲La medida impulsada por el #BancoCentral quedará fija a partir de este viernes, y permitirá competirle a @mercadopago.
https://t.co/hSk767cUSK</t>
  </si>
  <si>
    <t>#DataBCRA
Encontrá la lista de #PrincipalesVariables:
https://t.co/g9kLlo93Ed https://t.co/mxNaUy0HsF</t>
  </si>
  <si>
    <t>💰¿Dónde se guardan las reservas del #BancoCentral?
@PatoBullrich  aseguró que, si gana las elecciones, ingresará con una cámara de TV a la bóveda del @BancoCentral_AR ; pero las #reservas no están allí. ¿Dónde están?
https://t.co/VgPTz4OaYL</t>
  </si>
  <si>
    <t>💸Atención plazos fijos: la decisión del #BancoCentral que afecta a las tasas de interés.
👉Tras conocerse la inflación de julio, el BCRA tomó una decisión con respecto a las tasas de interés de los plazos fijos. Cómo conviene invertir.
https://t.co/Mg3tEMftw0</t>
  </si>
  <si>
    <t>💸#DólarBlue imparable.
Sube $8 pesos y bate el récord de $608.
👉El tipo de cambio paralelo escala a máximos nominales históricos. El #BancoCentral sacrifica reservas, ahora debajo de los 24 mil millones.
https://t.co/hkPP0pdDmJ</t>
  </si>
  <si>
    <t>📈Esperan mantener las reservas del #BancoCentral en 5.100 millones de dólares
👉Desde el Ministerio de Economía adelantaron que buscarán mantener esa cifra tras el desembolso del #FMI en las próximas horas.
https://t.co/69wczhd30Q</t>
  </si>
  <si>
    <t>🔴 Los cambios para Mercado Pago, #Ualá y #NaranjaX: ¿cómo afecta a los usuarios?
🤔 Este jueves, el #BancoCentral definió una medida que afectó a las fintech y billeteras virtuales. Hubo respuesta rápida desde las empresas. ¿De qué se trata?
https://t.co/1V3xaiE7za</t>
  </si>
  <si>
    <t>🏦 El #BancoCentral postergó medida que permite pagar con #QR con cualquier billetera digital.
👉 Iba a comenzar en septiembre, pero se postergó por 45 días a pedido de uno de los proveedores del sector para resolver problemas operativos.
https://t.co/AG0dDDZAWk</t>
  </si>
  <si>
    <t>🏦 Milei presentó a quien "va a cerrar" el #BancoCentral.
🗳️ El candidato libertario expresó que ya tiene a su economista para que conduzca la entidad. Anunció más ministros.
https://t.co/D81z0PcZhi</t>
  </si>
  <si>
    <t>O #BancoCentral divulga o lançamento da nova #moedadigital do Brasil 🇧🇷 #Drex
Enquanto isso: 
VeraLucia Fonseca, Brasilia, DF Brazil: "A Liberdade guiando o povo" o que essa tela tem a... https://t.co/wRhz3zWxmQ</t>
  </si>
  <si>
    <t>ACB | Instituições autorizadas a funcionar pelo Banco Central do Brasil deverão compartilhar dados para prevenção de golpes e fraudes, conforme Resolução Conjunta nº 6, de 23 de maio de 2023
#BancoCentral #resolucao #dados #prevencao #economia #informacoes #bancos https://t.co/0qaZvFcVal</t>
  </si>
  <si>
    <t>#CostaRica Este MIERCOLES 26, todos los OJOS puestos en el #BancoCentral del pais .... para ver CUANTO es que les da la gana de bajar la #TPM a su Junta Directiva ... 
#Economia #Finanzas #FinanzasPersonales #FinanzasPublicas #TasasDeInteres 
https://t.co/JKY0VvEaWl</t>
  </si>
  <si>
    <t>#CostaRica Esto del #BancoCentral traerá mas y mas problemas, si no se revierten las medidas de "búsqueda de data personal" y por supuesto, con su Mea Culpa de por medio...
#Economia #Finanzas #FInanzasPublicas 
https://t.co/XDjmPOWrQn</t>
  </si>
  <si>
    <t>#CostaRica ORWELLIANO RULES ... #BancoCentral 
#Economia #Finanzas #FinanzasPublicas 
https://t.co/ZYzbCwp3hw</t>
  </si>
  <si>
    <t>#CostaRica Entonces, las cosas van destapándose ... poquito a poquito .. #BancoCentral 
#Economia #Finanzas #FinanzasPublicas 
https://t.co/NHvKByZVEZ</t>
  </si>
  <si>
    <t>#CostaRica Destapandose el tamal del #BancoCentral del país.... 
#Economia #Finanzas #FinanzasPublicas 
https://t.co/XrSFOJ5Gxs</t>
  </si>
  <si>
    <t>#CostaRica Que buen pleito .. siguen saliendo trapos sucios a la luz publica ... #BancoCentral 
#Economia #Finanzas #FinanzasPublicas 
https://t.co/QUhBpGiu1K</t>
  </si>
  <si>
    <t>#CostaRica El que no la debe.... 🤔🤔
#Economia #Finanzas #BancoCentral
 https://t.co/bvN6Ary9IH</t>
  </si>
  <si>
    <t>#CostaRica Siguen perdiendo credibilidad con algo tan sencillo de detener ... #BancoCentral 
#Economia #Finanzas #FinanzasPublicas #SUGEF #CONASIFF 
https://t.co/0wzw2LD3Gh</t>
  </si>
  <si>
    <t>#CostaRica Perdiendo credibilidad en 3... 2.... 1..... #BancoCentral 
#Economia #Finanzas #FinanzasPublicas #SUGEF #CONASIFF 
https://t.co/Bmeo7fVVld</t>
  </si>
  <si>
    <t>#UH #UltimaHora Siguen buscando y perdiendo la poca credibilidad que les queda en estos momentos.,.. #BancoCentral 
#Economia #Finanzas  #SUGEF #CONASSIF
https://t.co/Gqlr3Sa0zt</t>
  </si>
  <si>
    <t>O presidente do Banco Central, Roberto Campos Neto, demonstrou uma atitude conciliatória em relação ao presidente Lula e expressou sua disposição para o diálogo.
leia mais em: https://t.co/rkEV3qSzhN
#Noticias #BancoCentral https://t.co/nZlohix0sJ</t>
  </si>
  <si>
    <t>Petista voltou a criticar o presidente do BC; instituição manteve, pela sexta vez, patamar da taxa básica de juros. #Lula #BancoCentral #TVCultura
https://t.co/1CyceUcC4y</t>
  </si>
  <si>
    <t>Economia: Mesmo sob pressão do governo Lula, Banco Central mantém taxa básica de juros pela sexta vez consecutiva (13,75%).
#TVCultura #BancoCentral #Selic
https://t.co/d08OhgSTBe</t>
  </si>
  <si>
    <t>Executivos do Comitê de Política Monetária devem manter a Selic em 13,75% ao ano. #BancoCentral #Copom #Selic #Economia #Juros #TVCultura
https://t.co/3plkDkToLp</t>
  </si>
  <si>
    <t>Aloizio Mercadante comenta criticas do presidente Lula a Roberto Campos Neto. 
#TVCultura #RodaViva #BancoCentral 
https://t.co/poy3YZX5db</t>
  </si>
  <si>
    <t>Neste ano, há uma retirada acumulada de R$ 57,5 bilhões. #BancoCentral #Poupança #TVCultura
https://t.co/4QnwBx6qbB</t>
  </si>
  <si>
    <t>Anteriormente, Gabriel Galípolo integrava a Secretaria-Executiva do Ministério da Fazenda. #Galípolo #BancoCentral #Senado #TVCultura
https://t.co/dA8xO0QXqX</t>
  </si>
  <si>
    <t>Executivos do Comitê de Política Monetária devem manter a Selic em 13,75% ao ano. #BancoCentral #Juros #TVCultura
https://t.co/Oh400XdrSl</t>
  </si>
  <si>
    <t>Roberto Campos Neto afirma que entidade pretende apresentar soluções para diminuir inadimplência do crédito. #BancoCentral #Crédito #TVCultura. 
https://t.co/1iqsJAEfdb</t>
  </si>
  <si>
    <t>É o primeiro corte da Selic em três anos. O último havia sido em agosto de 2020. #Selic #BancoCentral #TVCultura
https://t.co/b6RyMHZ8uj</t>
  </si>
  <si>
    <t>“Dinheiro esquecido”: Mais de R$ 7 bilhões ainda estão disponíveis no sistema do BC; veja como fazer o resgate.
#TVCultura #BancoCentral #Economia 
https://t.co/O3x5YFm6W8</t>
  </si>
  <si>
    <t>Roberto Campos Neto defendeu que a proposta é uma ideia antiga para um problema inexistente nos dias atuais. #BancoCentral #Economia #TVCultura 
https://t.co/uOyEh1O9yg</t>
  </si>
  <si>
    <t>Executivos do Copom devem manter a Selic em 13,75% ao ano. #BancoCentral #Juros #Economia #TVCultura 
https://t.co/OybHoISVOo</t>
  </si>
  <si>
    <t>“Dinheiro esquecido”: mais de R$ 7,2 bilhões ainda podem ser resgatados; veja como fazer.
#TVCultura #BancoCentral #Economia
https://t.co/nn1DGsvbto</t>
  </si>
  <si>
    <t>Resultado divulgado nesta sexta-feira (16) ocorre após uma retração de 0,14% em março. #TVCultura #Economia #PIB #IBC #BancoCentral #Notícias 
https://t.co/FqmILEROOr</t>
  </si>
  <si>
    <t>Economistas reduziram suas projeções para o IPCA de 6,03% para 5,80%; o PIB deve avançar 1,2%, segundo os profissionais. #Economia #BancoCentral #TVCultura
https://t.co/6MM8iXxivk</t>
  </si>
  <si>
    <t>Em evento, Roberto Campos Neto explicou a necessidade do governo promover reformas econômicas. #BancoCentral #Reformas #TVCultura. 
https://t.co/iDxQ2hKEdz</t>
  </si>
  <si>
    <t>Fernando Haddad (PT) voltou a defender que o Banco Central reduza a taxa de juros no país, ao mesmo tempo que destacou a boa relação com a instituição. 
#TVCultura #BancoCentral #Haddad
https://t.co/ECidi3gBTt</t>
  </si>
  <si>
    <t>Relatório de gestão do PIX, documento publicado nesta segunda (4), revela alguns planos do órgão para a modalidade de pagamento. #PIX #BancoCentral #TVCultura. 
https://t.co/Vzf79l7PnG</t>
  </si>
  <si>
    <t>No Jornal da Cultura, especialista explica consequências da manutenção da Selic em 13,75%. #BancoCentral #Análise #TVCultura. 
https://t.co/c4vQqCx3kg</t>
  </si>
  <si>
    <t>Esta é a sétima vez seguida que o Comitê mantém pela manutenção da taxa. #Copom #BancoCentral #TVCultura
https://t.co/guFoWWxQkV</t>
  </si>
  <si>
    <t>Objetivo é programar pagamentos recorrentes, como contas e mensalidades. #PIX #BancoCentral #TVCultura. 
https://t.co/Nie7Z1cwDJ</t>
  </si>
  <si>
    <t>“Dinheiro esquecido”: mais de R$ 7,2 bilhões ainda estão disponíveis; veja como resgatar.
#TVCultura #BancoCentral #Economia  
https://t.co/5QBwWU017U</t>
  </si>
  <si>
    <t>"A gente não tem os detalhes ainda. Eu tomei um puxão de orelha depois que eu falei... Mas a gente deve ter nos próximos dias um formato mais definido", disse Campos Neto sobre rotativo. #Crédito #BancoCentral #TVCultura. 
https://t.co/Yfj4kqzdeF</t>
  </si>
  <si>
    <t>"Continuação do processo desinflacionário" pode gerar a "confiança necessária" para um "processo parcimonioso de inflexão", aponta um comunicado do Banco Central. #Inflação #Juros #Copom #BancoCentral #TVCultura
https://t.co/xKJkm1AFGo</t>
  </si>
  <si>
    <t>Galípolo é um dos braços direitos do petista no Ministério da Fazenda; caso seja aprovado, ele participará do comitê que debate a Selic. #BancoCentral #Haddad #TVCultura. 
https://t.co/eYaJBiDZ4m</t>
  </si>
  <si>
    <t>Com a decisão de hoje, taxa básica de juros atinge menor patamar em 16 meses. #Selic #BancoCentral #TVCultura.
https://t.co/V1VnwDaE3d</t>
  </si>
  <si>
    <t>Operação consistiu no envio de reservas bancárias em um ambiente para testes do Banco Central. #Drex #BancoCentral #BancoDoBrasil #TVCultura 
https://t.co/T8zRImW7wK</t>
  </si>
  <si>
    <t>Após 10 aumentos seguidos, taxa básica de juros norte-americana se mantém a mesma. #EUA #BancoCentral #TVCultura. 
https://t.co/b1iDi6wDlA</t>
  </si>
  <si>
    <t>#Argentina - #Tasadeinterés - #BancoCentral 
Como sabemos, la  DECISION fue la de mantener sin 
cambios la tasa de política monetaria en 118% . Si, la
pregunta cuasi obvia es por cuanto tiempo +, no? 🤔 https://t.co/bR7QY6Ykxg</t>
  </si>
  <si>
    <t>A TAXA DE JUROS DO BC DE BOLSONARO ESTÁ DEIXANDO O ALUGUEL MAIS CARO!
Os juros extorsivos praticados pelo Banco Central continuam penalizando diversos setores da economia do país. Desta vez, a vítima é o setor imobiliário.
🔗 Leia mais: https://t.co/sMd3qViAWW https://t.co/EquBkjn9GA</t>
  </si>
  <si>
    <t>Los Alemanes descubrieron que si vas a una tienda online y pagas con pesos argentinos, nuestro banco central les devuelve 40% de la guita por el regimen especial para tarjetas extranjeras kjjj
encima le están enseñando el hack a todos sjsjs https://t.co/lpQ955Xew9</t>
  </si>
  <si>
    <t>👨‍⚖️ La #Justicia falló a favor de @gobdecordoba y podrá acceder a dólares del #BancoCentral para pagar deudas 
• Un juez federal avaló un reclamo de la provincia. 
• @JSchiaretti podrá cancelar este viernes un compromiso por US$ 143 millones.
🔗 https://t.co/q9pK8vRDyS https://t.co/zOgeUEtdyY</t>
  </si>
  <si>
    <t>Pressione o Banco Central contra esta política de juros altos que prejudica o Brasil #JurosBaixosJá #Selic #BancoCentral https://t.co/pTq8UNma1C</t>
  </si>
  <si>
    <t>...rondó el 96% y en junio se estima que llegue al 100%, por primera vez una cifra semejante”.  
#Alquileres #LaPlata #Inquilinos #BancoCentral #Aumento #Contratos</t>
  </si>
  <si>
    <t>❗ En las últimas horas, según el índice de contratos de locación al que están sometidos los aumentos, los platenses que alquilaron en junio del 2022, pasarían a pagar el doble a partir de junio del 2023.   
#Alquileres #LaPlata #Inquilinos #BancoCentral #Aumento #Contratos https://t.co/dXShXqskVU</t>
  </si>
  <si>
    <t>...rondó el 96% y en junio se estima que llegue al 100%, por primera vez una cifra semejante”.
#Alquileres #LaPlata #Inquilinos #BancoCentral #Aumento #Contratos</t>
  </si>
  <si>
    <t>📢 Según explicaron desde el Banco Central, el rostro del Libertador de América y Padre de nuestra Patria reemplazaría al hornero que está en el papel desde diciembre de 2017.
#Billete #Pesos #SanMartin #BancoCentral #Patria #Dinero #Economia</t>
  </si>
  <si>
    <t>💸 La figura del general José de San Martín volverá al anverso de un billete, en este caso, el de 1.000 pesos. La nueva edición se lanzaría a mediados de julio, aunque aún no hay fecha oficial.
#Billete #Pesos #SanMartin #BancoCentral #Patria #Dinero #Economia https://t.co/vXbxlWOA4g</t>
  </si>
  <si>
    <t>📈 Tras las PASO, el Banco Central devaluó 22% y el dólar oficial superó los $350
Lee la nota completa 🔗 https://t.co/lJl4LRAzDK
#Dolar #aumento #economia #bancoCentral https://t.co/RNviZaj6ES</t>
  </si>
  <si>
    <t>📢 Presidente do Senado, Rodrigo Pacheco, anuncia audiência com o presidente do Banco Central, Roberto Campos Neto, para discutir taxa de juros. Pressão para reduzir a Selic em agosto está em jogo! #BancoCentral #TaxaDeJuros
84% dos negociadores de retalho perdem dinheiro.</t>
  </si>
  <si>
    <t>Banco Central do Brasil corta taxa Selic em 50bps para 13,25%. Mercado brasileiro pode ser influenciado pelo pessimismo nos mercados internacionais. #BancoCentral #TaxaSelic #MercadoBrasileiro 
84% dos negociadores de retalho perdem dinheiro.</t>
  </si>
  <si>
    <t>Verme do Banco Central tem que cair.
#BancoCentral</t>
  </si>
  <si>
    <t>🔴 Bancários repudiam decisão do Copom em manter a taxa básica de juros (Selic) em 13,75% ao ano. Saiba mais: https://t.co/tW6C7LYUQ0
#JurosBaixosJá #selic #bancocentral https://t.co/zI2UbQCNds</t>
  </si>
  <si>
    <t>🔴 Jornada de mobilização contra política monetária do Banco Central começa hoje (16). Saiba mais: https://t.co/qohC0Lot7w
#bancárioscaxias #JurosBaixosJá #BancoCentral #Selic https://t.co/EfbbrqkszK</t>
  </si>
  <si>
    <t>🔵 Senado aprova indicados por Lula à diretoria do Banco Central. Saiba mais: https://t.co/I1lRcCxyDO
#bancárioscaxias #BancoCentral #JurosBaixosJá https://t.co/7f4kbINoCy</t>
  </si>
  <si>
    <t>🔴 Em nota, CUT diz que a reconstrução do Brasil exige uma forte redução da taxa Selic. Leia: https://t.co/PmyIQSZaUC
#bancárioscaxias #JurosBaixosJá #Selic #BancoCentral https://t.co/m5l6GFjtPt</t>
  </si>
  <si>
    <t>🔴 Ato em Porto Alegre exige juros baixos e saída de Campos Neto do BC. Saiba mais: https://t.co/uJziWSVlBl
#bancárioscaxias #JurosBaixosJá #BancoCentral https://t.co/7Zg1PgYb7C</t>
  </si>
  <si>
    <t>🔵 Comitês de Luta fazem novo mutirão contra juros altos. Saiba mais: https://t.co/Ve0bdbbQZW
#bancárioscaxias #JurosBaixosJá #BancoCentral https://t.co/Tw8Kek4nWk</t>
  </si>
  <si>
    <t>🔴 Banco Central usa radar Focus para indicar que irá manter Selic em 13,75%. Saiba mais: https://t.co/SGVS5xVuzH
#bancárioscaxias #JurosBaixosJá #Selic #BancoCentral https://t.co/m8JrF4lM5M</t>
  </si>
  <si>
    <t>🔵 Trabalhadores voltam a protestar contra juros altos em todo o Brasil. Saiba mais: https://t.co/PTGy8ECww9
#bancárioscaxias #JurosBaixosJá #BancoCentral #Selic https://t.co/S4p8Qz4qBY</t>
  </si>
  <si>
    <t>El Banco Central de la República Argentina (BCRA) anunció una devaluación del peso y llevó el tipo de cambio oficial a $350. Además, decidieron acompañar la medida con una suba de tasas del 21 puntos. #EleccionesPASO #BancoCentral #Elecciones2023 
Nota👇🏼https://t.co/i0GjHuLgu8</t>
  </si>
  <si>
    <t>@itau Eu quero pagar os funcionários. Vai ficar fora do ar até que horas? Completamente instável o sistema de vocês. #Itau #BancoCentral</t>
  </si>
  <si>
    <t>Copom reduz Selic em 0,5 pp, levando taxa básica de juros de 13,75% para 13,25%; Qual o impacto? #noticias #Brasil #Economia #Selic #TaxadeJuros #Copom #BancoCentral #PoliticaMonetaria #Portaldeanews  https://t.co/lTJ4bzQJ3d</t>
  </si>
  <si>
    <t>Drex: Banco Central estabelece nome oficial para a nova moeda digital brasileira #noticias #Brasil #Economia #BancoCentral #BC #MoedaDigital #Drex #Moeda #Portaldeanews https://t.co/G8rwpfBPm5</t>
  </si>
  <si>
    <t>Soy de esas personas que uno de sus lugares favoritos de #Cuenca es la #biblioteca del #BancoCentral ... disculparan no más</t>
  </si>
  <si>
    <t>El #BancoCentral de #Cuba anunció el miércoles un paquete de medidas dirigidas a potenciar la #bancarización y la utilización de los canales electrónicos de pago, en medio de una espiral inflacionaria y una fuerte #crisis de #liquidez #AFP @AFPespanol 
https://t.co/d2g4JhYgPU https://t.co/wP6qwMkugf</t>
  </si>
  <si>
    <t>Novas atualizações no Pix prometem revolucionar suas transações financeiras. Saiba como o Pix Automático e outras novidades podem facilitar ainda mais sua vida. #portalchicosabetudo #Pix #BancoCentral
https://t.co/B6lGmJ2e0j</t>
  </si>
  <si>
    <t>bancocentral</t>
  </si>
  <si>
    <t>bancoscentrales bancocentral</t>
  </si>
  <si>
    <t>precios latam inflacion bancocentral</t>
  </si>
  <si>
    <t>latam</t>
  </si>
  <si>
    <t>bancocentral valoresareceber dinheiro finanças</t>
  </si>
  <si>
    <t>camposneto taxasdejuros taxaselic senado copom economia bancocentral</t>
  </si>
  <si>
    <t>camposneto bancocentral tcu reservasinternacionais economia brasil</t>
  </si>
  <si>
    <t>c4n bancocentral inversión educación crisis adp gobierno tormentatropical bret haitianas maternidad huracán consumo</t>
  </si>
  <si>
    <t>c4n noticias periodismo información boyscouts halconiv bancocentral remesas pandemia trump cargos</t>
  </si>
  <si>
    <t>c4n bancocentral béisbol pelota historia economía tasa políticamonetaria procuradora abinader vertedero</t>
  </si>
  <si>
    <t>c4n vertedero airelibre propuesta fideicomiso abinader eliminación montegrande sur presidencia contraloría bancocentral</t>
  </si>
  <si>
    <t>bancocentral economia juros inflação lula investimentos</t>
  </si>
  <si>
    <t>bancocentral brasil</t>
  </si>
  <si>
    <t>ipca bancocentral</t>
  </si>
  <si>
    <t>laseguridadsocialdo superate bonogas ipc fase pati combustibles bancocentral gobiernodelcambio</t>
  </si>
  <si>
    <t>bancodemoçambique bancocentral museu</t>
  </si>
  <si>
    <t>foracamposnetojá brasil bancocentral brasileirao urgente</t>
  </si>
  <si>
    <t>economía bancocentral</t>
  </si>
  <si>
    <t>dolarización bancocentral milei libertarios liberalismo milei economía</t>
  </si>
  <si>
    <t>maite pincoya bancocentral correosdelapandemia yeomans luli boric boricunpeligroparachile boricestamoscontigo pincoya</t>
  </si>
  <si>
    <t>cadem falso granhermanochv cencosud boricmiente boric bancocentral ximenarincon boric</t>
  </si>
  <si>
    <t>falabella golpedeestado ganamos marninovic traidor hassler bancocentral faypc boric</t>
  </si>
  <si>
    <t>chilevision hassler bancocentral pinochet boric boricnoselapuede ivonnemangelsdorff</t>
  </si>
  <si>
    <t>ibovespa bancocentral selic</t>
  </si>
  <si>
    <t>startup bancocentral</t>
  </si>
  <si>
    <t>bancocentral boletimfocus inflação pib selic</t>
  </si>
  <si>
    <t>bancocentral cartãodecrédito dívidas jurosmedios</t>
  </si>
  <si>
    <t>bancocentral bancos pix</t>
  </si>
  <si>
    <t>bancocentral boletimfocus dólar inflação selic</t>
  </si>
  <si>
    <t>bancocentral mudancas cheque</t>
  </si>
  <si>
    <t>bancocentral boletimfocus economia mercadofinanceiro guarulhosonline</t>
  </si>
  <si>
    <t>bancocentral cadúnico fernandohaddad mp renegociaçãodedívidas</t>
  </si>
  <si>
    <t>registrato bancocentral fraude</t>
  </si>
  <si>
    <t>ospingosnosis</t>
  </si>
  <si>
    <t>economia bancocentral projeções cenariofiscal</t>
  </si>
  <si>
    <t>jurosabusivos bancocentral lula obrasilvoltou</t>
  </si>
  <si>
    <t>descriminalizastf ostf bancocentral</t>
  </si>
  <si>
    <t>bradesco bancobradesco bancocentral bc cliente filas inutil burocracia</t>
  </si>
  <si>
    <t>banxico bancocentral precios</t>
  </si>
  <si>
    <t>fed dallas tasas interés bancocentral</t>
  </si>
  <si>
    <t>bancocentral tasa analistas banxico pesomexicano dólar economía</t>
  </si>
  <si>
    <t>modelo comunicación fed bancocentral banxico</t>
  </si>
  <si>
    <t>fed tasa interés bancocentral</t>
  </si>
  <si>
    <t>banco fed jamesbullard bancocentral tasas interés inflación eu economía dólar</t>
  </si>
  <si>
    <t>cbdc divisa digital bancocentral monedas billetes población</t>
  </si>
  <si>
    <t>peso apreciándose dólar bancocentral tasas</t>
  </si>
  <si>
    <t>bancocentral china tasa interés país crecimiento</t>
  </si>
  <si>
    <t>fed jeromepowell bancocentral tasas interés inflación merc</t>
  </si>
  <si>
    <t>fed tasa bancocentral ciclo gestoras i</t>
  </si>
  <si>
    <t>fed tasas interés bancocentral estadosunidos política m</t>
  </si>
  <si>
    <t>política fed bancocentral</t>
  </si>
  <si>
    <t>bancocentral tasas bancoscentrales mundo junio interés</t>
  </si>
  <si>
    <t>monedas latinoamericanas bancocentral ciclo julio</t>
  </si>
  <si>
    <t>infocobranza credito morosidad cartera databcra actualidad fintech cobranzas bcra bancocentral</t>
  </si>
  <si>
    <t>fmi acuerdo bancocentral</t>
  </si>
  <si>
    <t>estadosunidos bancocentral</t>
  </si>
  <si>
    <t>bancocentral pix</t>
  </si>
  <si>
    <t>diariodovale diario jornalismo digital economia bancocentral bc cartaodecredito mercado</t>
  </si>
  <si>
    <t>diariodovale diario economia previsão inflação mercadofinanceiro bancocentral</t>
  </si>
  <si>
    <t>diariodovale diario economia bancocentral pix lançamento</t>
  </si>
  <si>
    <t>republicadominicana bancocentral dominicanrepublic santodomingo dominicanos noticias economia ndigital zdigital cdn37</t>
  </si>
  <si>
    <t>republicadominicana dominicanos santodomingo economia bcrd noticias bancocentral</t>
  </si>
  <si>
    <t>republicadominicana bancocentral inflacion dominicanos santodomingo economia noticias news</t>
  </si>
  <si>
    <t>bancocentral repulicadominicana santodomingo dominicanos dominicanrepublic noticias news economia ndigital zdigital</t>
  </si>
  <si>
    <t>economia bancocentral inflacion republicadominicana dominicanos noticias news cdn37</t>
  </si>
  <si>
    <t>bancocentral republicadominicana dominicanos economia noticias news</t>
  </si>
  <si>
    <t>republicadominicana dominicanrepublic dominicanos santodomingo economia ndigital zdigital bancocentral</t>
  </si>
  <si>
    <t>no bancocentral islaspiratas guerra paraísosfiscales bcra inflacioncriminal</t>
  </si>
  <si>
    <t>argentina argentine autos bancocentral blue breaking buenosaires business campus comex</t>
  </si>
  <si>
    <t>noticias elobjetivo laverdaddeloshechos medidacautelar gobiernodemendoza bancocentral deudasendólares rodolfosuárez</t>
  </si>
  <si>
    <t>noticias elobjetivocba laverdaddeloshechos bancocentral</t>
  </si>
  <si>
    <t>noticias elobjetivocba laverdaddeloshechos bancocentral dólar fmi</t>
  </si>
  <si>
    <t>noticias elobjetivo laverdaddeloshechos inflación gastopúblico bancocentral incumplimientodemetas acuerdoconelfmi adelantostransitorios emisiónmonetaria</t>
  </si>
  <si>
    <t>noticias elobjetivocba laverdaddeloshechos bancocentral divisas devaluacion dólar reservas</t>
  </si>
  <si>
    <t>noticias elobjetivocba laverdaddeloshechos bcra bancocentral financiacion importaciones</t>
  </si>
  <si>
    <t>noticias elobjetivocba laverdaddeloshechos massa fmi bancocentral</t>
  </si>
  <si>
    <t>noticias elobjetivocba laverdaddeloshechos medidaseconómicas bancocentral</t>
  </si>
  <si>
    <t>noticias elobjetivocba laverdaddeloshechos bancocentral plazosfijos tasas economia país</t>
  </si>
  <si>
    <t>noticias elobjetivocba laverdaddeloshechos reservas bancocentral caida fmi</t>
  </si>
  <si>
    <t>bancocentral selic cortedejuros</t>
  </si>
  <si>
    <t>bancocentral capitaisestrangeiros ccla cclaadvogados</t>
  </si>
  <si>
    <t>bancocentral nicaragua canal26</t>
  </si>
  <si>
    <t>bancocentral dólar</t>
  </si>
  <si>
    <t>pagoelectronico</t>
  </si>
  <si>
    <t>p7informa bancocentral</t>
  </si>
  <si>
    <t>ultimahora</t>
  </si>
  <si>
    <t>bono chacao ultimahora movilnet canserbero</t>
  </si>
  <si>
    <t>denuncia bancocentral cumana lamentable</t>
  </si>
  <si>
    <t>denuncia bancocentral lamentable cumana</t>
  </si>
  <si>
    <t>bancocentral lamentable cumana</t>
  </si>
  <si>
    <t>bancocentral billeterasvirtuales</t>
  </si>
  <si>
    <t>inflacionreal bancocentral</t>
  </si>
  <si>
    <t>e3noticiasrd periodismociudadano bancocentral</t>
  </si>
  <si>
    <t>e3noticiasrd periodismociudadano bancocentral economía finanzas diplomado</t>
  </si>
  <si>
    <t>e3noticiasrd periodismociudadanoe3 bancocentral</t>
  </si>
  <si>
    <t>e3noticiasrd periodismociudadano bancocentral remesas</t>
  </si>
  <si>
    <t>economíaypolítica dolarsoja3 agro bancocentral</t>
  </si>
  <si>
    <t>economíaypolítica bancocentral nuevasmedidas plazofijo</t>
  </si>
  <si>
    <t>economíaypolítica bancocentral compras exportaciones</t>
  </si>
  <si>
    <t>economíaypolítica bancocentral eliminacion omarperotti</t>
  </si>
  <si>
    <t>economíaypolítica bancocentral devaluacion plazofijo</t>
  </si>
  <si>
    <t>economíaypolítica bancocentral economia inflación</t>
  </si>
  <si>
    <t>economíaypolítica bancocentral medidas sequia</t>
  </si>
  <si>
    <t>economíaypolítica 2000pesos bancocentral nuevobillete</t>
  </si>
  <si>
    <t>witinvest morningcall noticias fed bce bancocentral taxasdejuros selic copom inflação investimentos economia brasil</t>
  </si>
  <si>
    <t>selic investimentos economia taxadejuros mercadofinanceiro brasil copom bancocentral</t>
  </si>
  <si>
    <t>witinvest boletimfocus bancocentral pib cambio selic copom inflação investimentos economia brasil</t>
  </si>
  <si>
    <t>witinvest morningcall noticias mercadofinanceiro investimentos economia news brasil eua europa taxadejuros copom fed bancocentral</t>
  </si>
  <si>
    <t>morningcall witinvest noticias investimentos mercadofinanceiro bolsadevalores arcabouçofiscal taxadejuros bancocentral economia</t>
  </si>
  <si>
    <t>witinvest morningcall noticias superquarta fed bancocentral selic copom taxadejuros investimentos economia brasil eua</t>
  </si>
  <si>
    <t>bancocentral tesoronacional</t>
  </si>
  <si>
    <t>bancocentral tasa</t>
  </si>
  <si>
    <t>finanzas bancocentral economía</t>
  </si>
  <si>
    <t>bancodemoçambique bancocentral supervisão partilha</t>
  </si>
  <si>
    <t>webitcoin cryptonews notíciascriptomoedas blockchain saylor michaelsaylor criptomoedas microstrategy bitcoin moedadofuturo moedadigital bancocentral</t>
  </si>
  <si>
    <t>webitcoin cryptonews notíciascriptomoedas criptomoedas bancos crisebancária elonmusk musk fimdosbancos bitcoin cripto fed bancocentral</t>
  </si>
  <si>
    <t>webitcoin cryptonews notíciascriptomoedas brasil bancocentral cbdc realdigital real</t>
  </si>
  <si>
    <t>política politicos governofederal bancocentral</t>
  </si>
  <si>
    <t>selic juros bancocentral</t>
  </si>
  <si>
    <t>repost reparebem ciro cirogomes ciro2026 pnd lula bolsonaro pt tvrecord brasil bancocentral haddad economia</t>
  </si>
  <si>
    <t>bancocentral pcdob pcdobnacâmara</t>
  </si>
  <si>
    <t>ibovespa copom selic bancocentral</t>
  </si>
  <si>
    <t>cbdcs bancocentral monedadigital moneda digital</t>
  </si>
  <si>
    <t>pix pixautomático bancocentral notícias portalconvênios pagamentos cidadãos</t>
  </si>
  <si>
    <t>bancocentral bcb</t>
  </si>
  <si>
    <t>focus juros bancocentral inflação ipca</t>
  </si>
  <si>
    <t>camposneto jurosbaixosjá economia copom bancocentral</t>
  </si>
  <si>
    <t>camposneto bancocentral jurosbaixosjá juros selic economia investimentos</t>
  </si>
  <si>
    <t>haddad ibovespa juros bancocentral</t>
  </si>
  <si>
    <t>arcabouço selic haddad bancocentral</t>
  </si>
  <si>
    <t>selic copom bc bancocentral juros jurosbaixosja jurosbaixosjá camposneto</t>
  </si>
  <si>
    <t>economia juros bancocentral focus</t>
  </si>
  <si>
    <t>bombasdeagua ghost britney filadelfia jennaortega bancocentral racista sophie pedropool leslie deyna ladrona</t>
  </si>
  <si>
    <t>calefont calefon blackmirror paulmccartney modric pedropascal venezuela panamá kimetsu chaco vicky brunomars isla losríos bancocentral</t>
  </si>
  <si>
    <t>jurosbaixosjá selic</t>
  </si>
  <si>
    <t>rogeriocarvalho senadorrogerio bancocentral senotícias jornaldigital notíciasdesergipe</t>
  </si>
  <si>
    <t>devoluçãodedinheiro dinheiroesquecido bancocentral senotícias jornaldigital notíciasdesergipe</t>
  </si>
  <si>
    <t>comprascomcreditoviapix creditoviapix bancocentral senotícias jornaldigital notíciasdesergipe</t>
  </si>
  <si>
    <t>foracamposneto bancocentral</t>
  </si>
  <si>
    <t>felicesyforrados bancocentral</t>
  </si>
  <si>
    <t>dolar bolsa bancocentral</t>
  </si>
  <si>
    <t>dolar bolsa brasil bancocentral</t>
  </si>
  <si>
    <t>lula economia palpite bancocentral argentina inflacao juros</t>
  </si>
  <si>
    <t>fmi bancocentral argentina economia</t>
  </si>
  <si>
    <t>bancocentral bcra economia argentina</t>
  </si>
  <si>
    <t>bancocentral pix lixo desabafo</t>
  </si>
  <si>
    <t>pesoargentino bancocentral</t>
  </si>
  <si>
    <t>billete bancocentral</t>
  </si>
  <si>
    <t>bukele disney bancocentral leonelfernandez hillary peru jerusalen santiago contrato</t>
  </si>
  <si>
    <t>bancocentral cadastrodeinadimplentes cadúnico programadesenrolabrasil renegociaçãodedívidas renegociardívidas</t>
  </si>
  <si>
    <t>povo justica riqueza bancocentral camposnetoforadobacen camposout camposnetohipocrita foracamposneto</t>
  </si>
  <si>
    <t>foracamposneto povo bancocentral selic bc jurosbaixosja economia juros ricos superricos milionarios</t>
  </si>
  <si>
    <t>bancocentral cassado economia bilionarios pobres bc camposnetohipocrita camposout boicoteconomico jurosbaixosja selic</t>
  </si>
  <si>
    <t>1trilhão camposneto rombo bancocentral governo tcu bc errocontabil corrupto corruption</t>
  </si>
  <si>
    <t>titanic submarinemissing bancocentral jurosbaixosjá bolsonaroinelegivel bolsonaronacadeia bolsonaroealiadosnacadeia submarino</t>
  </si>
  <si>
    <t>pix bitcoin bancocentral</t>
  </si>
  <si>
    <t>constancia ponencia unam historia historiaeconómica economía banca bancacentral bancocentral banco historiografía deuda monopolios</t>
  </si>
  <si>
    <t>ciegodeávila bancocentral latiravileño</t>
  </si>
  <si>
    <t>bancocentral reservas centralbank econtwitter</t>
  </si>
  <si>
    <t>comunicarnoticias comunicarargentina noticias press economia fmi sergiomassa deudaconelfmi acuerdoconelfmi pagoalfmi reservas bancocentral</t>
  </si>
  <si>
    <t>china swap bancocentral massa dolar</t>
  </si>
  <si>
    <t>foracamposneto bancocentral bacen</t>
  </si>
  <si>
    <t>bancocentral cryptocurrencynews lula cripto bitcoin</t>
  </si>
  <si>
    <t>bancocentral cryptocurrencynews</t>
  </si>
  <si>
    <t>econimíahoy periódicohoy hoydigital elhoy bancocentral</t>
  </si>
  <si>
    <t>economíahoy bancocentral remesas flujosderemesas periódicohoy hoydigital elhoy</t>
  </si>
  <si>
    <t>elpaíshoy periódicohoy hoydigital elhoy bancocentral préstamo fp</t>
  </si>
  <si>
    <t>economíahoy periódicohoy hoydigital elhoy bancocentral</t>
  </si>
  <si>
    <t>opiniónhoy bancocentral economía periódicohoy hoydigital elhoy</t>
  </si>
  <si>
    <t>pix bancocentral seguranca financas</t>
  </si>
  <si>
    <t>drex cbdc brasil bancocentral encontraendiciembre</t>
  </si>
  <si>
    <t>olharinvest ibov ibovespa b3 bc bancocentral brasil economia sp rj sc selic fiis brasília df ms mg bh ce</t>
  </si>
  <si>
    <t>selic brasil economia finanças taxadejuros camposneto bc bancocentral</t>
  </si>
  <si>
    <t>camposneto bc bancocentral selic juros economia brasil fazenda tebet haddad galípolo lula</t>
  </si>
  <si>
    <t>bc bancocentral economia</t>
  </si>
  <si>
    <t>cvcb3 ibov twitter brasil fed ibovespa copom selic bc bancocentral brics b3 indfut</t>
  </si>
  <si>
    <t>pix bancocentral taxa</t>
  </si>
  <si>
    <t>bancocentral recursosesquecidosnosistemafinanceiro sistemadevaloresareceber</t>
  </si>
  <si>
    <t>bancocentral cadernetadepoupança retiradarecorde</t>
  </si>
  <si>
    <t>bancocentral horadebaixarosjuros</t>
  </si>
  <si>
    <t>bancointer brasil bancocentral federalreserve bolsavalores</t>
  </si>
  <si>
    <t>inflacao taxadejuros economia bancocentral</t>
  </si>
  <si>
    <t>selic taxadejuros taxaselic investimentos dinheiro popança brasil negócios economia bc bacen bancocentral taxabasicadejuros</t>
  </si>
  <si>
    <t>mercadofinanceiro bancocentral juros</t>
  </si>
  <si>
    <t>morningshow haddad lula pt copom bancocentral presidente política brasília</t>
  </si>
  <si>
    <t>tánaroda pochmann lula bancocentral</t>
  </si>
  <si>
    <t>bancocentral brde</t>
  </si>
  <si>
    <t>javiermilei argentina inflación economía política macri deudas fmi bancocentral dictadura</t>
  </si>
  <si>
    <t>selic juros inflação bancocentral</t>
  </si>
  <si>
    <t>moeda digital drex bancocentral alternativa economia</t>
  </si>
  <si>
    <t>inflação bancocentral combustíveis boletimfocus</t>
  </si>
  <si>
    <t>inflação bancocentral selic economia</t>
  </si>
  <si>
    <t>inflação boletimfocus bancocentral pib</t>
  </si>
  <si>
    <t>drex bancocentral moedadigital real finanças</t>
  </si>
  <si>
    <t>americanas varejo bancocentral sistemabancário</t>
  </si>
  <si>
    <t>boletimfocus bancocentral inflação pib</t>
  </si>
  <si>
    <t>boletimfocus pib economia bancocentral</t>
  </si>
  <si>
    <t>copom selic juros crédito inflação bancocentral</t>
  </si>
  <si>
    <t>lula juros selic bancocentral</t>
  </si>
  <si>
    <t>bancocentral economia poupança brasil</t>
  </si>
  <si>
    <t>boletimfocus bancocentral ipca inflação pib</t>
  </si>
  <si>
    <t>selic juros bancocentral economia</t>
  </si>
  <si>
    <t>mercadopago bancocentral billeteravirtual</t>
  </si>
  <si>
    <t>juros economia bancocentral</t>
  </si>
  <si>
    <t>mil21 17demayo argentina economía inflación fondomonetariointernacional fmi bancocentral</t>
  </si>
  <si>
    <t>ações bancocentral</t>
  </si>
  <si>
    <t>16dejunho criacaodamoeda moeda metical bni mozambique desenvolvimento bancocentral</t>
  </si>
  <si>
    <t>bancocentral lasso ecuador</t>
  </si>
  <si>
    <t>bancocentral albertofernández</t>
  </si>
  <si>
    <t>bancocentral política plazos</t>
  </si>
  <si>
    <t>bancocentral economía inflación</t>
  </si>
  <si>
    <t>bancocentral bancodigital contas</t>
  </si>
  <si>
    <t>pix bancocentral finanças</t>
  </si>
  <si>
    <t>económicas pedrobrache bancocentral productos</t>
  </si>
  <si>
    <t>padel bancocentral cicpc pdvsa</t>
  </si>
  <si>
    <t>bancocentral latam chanel</t>
  </si>
  <si>
    <t>bancocentral venezolanos universidad chanel</t>
  </si>
  <si>
    <t>argentina bancocentral</t>
  </si>
  <si>
    <t>bancocentral wendy argentina eeuu</t>
  </si>
  <si>
    <t>carabobo bancocentral nacho</t>
  </si>
  <si>
    <t>kendall hawai lamentable bancocentral</t>
  </si>
  <si>
    <t>bancocentral acusacionconstitucional renuncio boric</t>
  </si>
  <si>
    <t>capitalcontracíclico bancocentral economia bancos chile hipotecario creditos</t>
  </si>
  <si>
    <t>bitcoin itau bradesco santander dolar bancocentral</t>
  </si>
  <si>
    <t>santarapozinha bancocentral</t>
  </si>
  <si>
    <t>camposnetos bancocentral juros diariodoestado goiás</t>
  </si>
  <si>
    <t>inflação controle economia bancocentral</t>
  </si>
  <si>
    <t>reservasinternacionales bancocentral ecuador2023</t>
  </si>
  <si>
    <t>economiabrasil bancocentral</t>
  </si>
  <si>
    <t>cadavezmasremax remax_cosmopolita somosremaxcosmopolita mudatealavidaquequeres casas departamentos ph caba restauración bancocentral historico</t>
  </si>
  <si>
    <t>brasil bancocentral taxadejuro</t>
  </si>
  <si>
    <t>riobravoinvestimentos asinstituiçõesestãofuncionando funcionamentodasinstituições mercadofinanceiro liderança gustavofranco educaçãofinanceira bancocentral economia</t>
  </si>
  <si>
    <t>riobravoinvestimentos asinstituiçõesestãofuncionando mercadofinanceiro liderança gustavofranco educaçãofinanceira economia bancocentral</t>
  </si>
  <si>
    <t>htnacionales htnoticias bancocentral bcrd nacionales nuevosbilletes rd</t>
  </si>
  <si>
    <t>htactualidad htnoticias htnoticiasrd htredes actualidad andydauhajre bancocentral economia</t>
  </si>
  <si>
    <t>htfinanzas htnoticias bancocentral economia remesas</t>
  </si>
  <si>
    <t>inflation inflacion papelitosdecolores 2023mayo8 bancocentral bcra</t>
  </si>
  <si>
    <t>nacionales argentina economia bcra bancocentral plazosfijos tasas prensadelinterior</t>
  </si>
  <si>
    <t>nacionales argentina economia mercadocambiario dolar dolarblue bancocentral bcra prensadelinterior</t>
  </si>
  <si>
    <t>horror santiago bancocentral china laflorida</t>
  </si>
  <si>
    <t>milei2023 bancocentral bcra</t>
  </si>
  <si>
    <t>camposneto neto bancocentral taxadejuros senado</t>
  </si>
  <si>
    <t>elecciones2023 lalibertadavanza marra bancocentral</t>
  </si>
  <si>
    <t>elecciones2023 paso2023 lalibertadavanza milei bancocentral</t>
  </si>
  <si>
    <t>economia massa china bancocentral</t>
  </si>
  <si>
    <t>economia massa inflacion bancocentral dolar</t>
  </si>
  <si>
    <t>economia bancocentral dolar milei paso dolarblue</t>
  </si>
  <si>
    <t>economia bancocentral</t>
  </si>
  <si>
    <t>economia bancocentral sanmartín</t>
  </si>
  <si>
    <t>inflacion economia bancocentral</t>
  </si>
  <si>
    <t>dolarblue dolar bancocentral</t>
  </si>
  <si>
    <t>elecciones2023 lalibertadavanza milei bancocentral ocampo</t>
  </si>
  <si>
    <t>elecciones2023 unionporlapatria massa milei bancocentral</t>
  </si>
  <si>
    <t>elecciones2023 juntosporelcambio pro larreta bancocentral</t>
  </si>
  <si>
    <t>elecciones2023 unionporlapatria economia massa bancocentral mercadopago</t>
  </si>
  <si>
    <t>elecciones2023 economia juntosporelcambio bullrich bancocentral</t>
  </si>
  <si>
    <t>economia dolar bancocentral</t>
  </si>
  <si>
    <t>fernández bancocentral</t>
  </si>
  <si>
    <t>bancocentral brasil interés reduce</t>
  </si>
  <si>
    <t>cilfa caeme cooperala industria farma dólares bancocentral importaciones farma pharmabiz</t>
  </si>
  <si>
    <t>senadora bancocentral</t>
  </si>
  <si>
    <t>ahora dolar bancocentral</t>
  </si>
  <si>
    <t>refinanciaciondeuda bancocentral</t>
  </si>
  <si>
    <t>incompetencia crise haddad governolula bancocentral contador contabilidade calculojudicial fredquintanilha contabilidadequintanilha</t>
  </si>
  <si>
    <t>governo lula política bancocentral</t>
  </si>
  <si>
    <t>cambioclimático ventadeórganos aborto educación bancocentral insulta</t>
  </si>
  <si>
    <t>marull argentina economía dólar bancocentral</t>
  </si>
  <si>
    <t>noticiasred92 swapconchina bancocentral</t>
  </si>
  <si>
    <t>billeteravirtual códigoqr bancocentral</t>
  </si>
  <si>
    <t>bancocentral plazofijo tasadeinterés</t>
  </si>
  <si>
    <t>noticiasred92 vicentin acciones bancocentral</t>
  </si>
  <si>
    <t>noticiasred92 bancocentral aumentodereservas</t>
  </si>
  <si>
    <t>bancocentral inflación baja</t>
  </si>
  <si>
    <t>esquinard bancocentral economíadominicana expansión julio2023</t>
  </si>
  <si>
    <t>bancocentral tasadeinterés anual politícamonetaria</t>
  </si>
  <si>
    <t>bancocentral comitéirvingfisher</t>
  </si>
  <si>
    <t>esquinard remesas crecen bancocentral</t>
  </si>
  <si>
    <t>esquinard remesas republicadominicana bancocentral</t>
  </si>
  <si>
    <t>bancocentral billeterasvirtuales mercadopago cuentadni modo ualá</t>
  </si>
  <si>
    <t>billeterasvirtuales bancocentral</t>
  </si>
  <si>
    <t>mercadopago bancocentral</t>
  </si>
  <si>
    <t>economíacolombiana inflación gobiernopetro bancocentral datoseconómicos</t>
  </si>
  <si>
    <t>presidente bancocentral juros lula portalig</t>
  </si>
  <si>
    <t>economia bancocentral portalig</t>
  </si>
  <si>
    <t>portalig economia bancocentral</t>
  </si>
  <si>
    <t>portalig bancocentral pix</t>
  </si>
  <si>
    <t>portalig bancocentral</t>
  </si>
  <si>
    <t>portalig presidente bancocentral</t>
  </si>
  <si>
    <t>lula bancocentral economia</t>
  </si>
  <si>
    <t>itau bancocentral</t>
  </si>
  <si>
    <t>bancocentral bancointer bancos</t>
  </si>
  <si>
    <t>bancocentral cryptotimes economia</t>
  </si>
  <si>
    <t>bancocentral criptomoedas cryptotimes</t>
  </si>
  <si>
    <t>bancocentral brasil cryptotimes</t>
  </si>
  <si>
    <t>bancocentral cryptotimes feedprincipal</t>
  </si>
  <si>
    <t>bancocentral cryptotimes drex</t>
  </si>
  <si>
    <t>bancocentral blockchain brasil</t>
  </si>
  <si>
    <t>bancocentral colunadocássiokrupinsk colunascryptotimes</t>
  </si>
  <si>
    <t>abcripto bancocentral criptoativos</t>
  </si>
  <si>
    <t>bancocentral bancodobrasil brasil</t>
  </si>
  <si>
    <t>bancocentral binance corretoracripto</t>
  </si>
  <si>
    <t>argentina bancocentral brasil</t>
  </si>
  <si>
    <t>bancocentral binance coinbase</t>
  </si>
  <si>
    <t>bancocentral criptoativos criptomoedas</t>
  </si>
  <si>
    <t>camposneto bancocentral boicote autoritarismo</t>
  </si>
  <si>
    <t>pib economia bancocentral governance politica</t>
  </si>
  <si>
    <t>economía bcra bancocentral dolares</t>
  </si>
  <si>
    <t>dolar dolar dolarblue bancocentral elecciones2023</t>
  </si>
  <si>
    <t>bancocentral devaluó argentina</t>
  </si>
  <si>
    <t>periodismounah bancocentral</t>
  </si>
  <si>
    <t>economics us fed federalreserve stockmarkets brasil economia bancocentral</t>
  </si>
  <si>
    <t>bancocentral drex moedadigital realdigital robertocamposneto</t>
  </si>
  <si>
    <t>drex bancocentral robertocamposneto robertocampos economia mercado ações real</t>
  </si>
  <si>
    <t>economia notícias notíciasemdestaque bancocentral pix</t>
  </si>
  <si>
    <t>youtube lagarde europa españa alemania francia tasadeinteres bancocentral bce euro</t>
  </si>
  <si>
    <t>bancocentral economia</t>
  </si>
  <si>
    <t>bancocentral sabotagem prévia econômico taxasdejuros frear senado</t>
  </si>
  <si>
    <t>lulapovofeliz sabotagem serviçal bancocentral pariu cbozo</t>
  </si>
  <si>
    <t>ibama bancocentral brasil</t>
  </si>
  <si>
    <t>camposneto bancocentral brasil</t>
  </si>
  <si>
    <t>bancocentral imacec</t>
  </si>
  <si>
    <t>fmi bancocentral</t>
  </si>
  <si>
    <t>milei bancocentral</t>
  </si>
  <si>
    <t>economia bancocentral cordoba</t>
  </si>
  <si>
    <t>dolar inflacion bancocentral</t>
  </si>
  <si>
    <t>economía bancocentral canastabásica bajas nacionales sumundodigital sumundotv</t>
  </si>
  <si>
    <t>sumundodigital bancocentral inflación sumundotv</t>
  </si>
  <si>
    <t>bancocentral economia noticias maturinosumundo</t>
  </si>
  <si>
    <t>préstamos mipymes bancocentral sumundotv sumundodigital</t>
  </si>
  <si>
    <t>bancocentral comercioexterior ecosocialismo gacetaoficial2023</t>
  </si>
  <si>
    <t>alimentacion bancocentral comercioexterior educacion</t>
  </si>
  <si>
    <t>bancocentral comunicacion educacion gacetaoficial2023</t>
  </si>
  <si>
    <t>foracamposneto bancocentral sabotador jurosabsurdos</t>
  </si>
  <si>
    <t>pagosdigitales metodosdepago psp billeteravirtual bancocentral</t>
  </si>
  <si>
    <t>bancocentral giftcards resumido luzutv</t>
  </si>
  <si>
    <t>fed bancocentral</t>
  </si>
  <si>
    <t>suba precios junio inflacion bancocentral bcra</t>
  </si>
  <si>
    <t>bullrich reservas bancocentral jxc economía</t>
  </si>
  <si>
    <t>rem bancocentral diciembre</t>
  </si>
  <si>
    <t>sanmartín bancocentral</t>
  </si>
  <si>
    <t>fmi desembolso argentina fondos bancocentral sergiomassa</t>
  </si>
  <si>
    <t>dólarblue javiermilei paso bancocentral dólar elbonateinforma dólar</t>
  </si>
  <si>
    <t>presagio milei gobierno emilioocampo bancocentral</t>
  </si>
  <si>
    <t>bancocentral inflación año viernes informe expectativas mercado</t>
  </si>
  <si>
    <t>bancocentral macri</t>
  </si>
  <si>
    <t>plazofijo inversiones ahorristas inflación bancocentral</t>
  </si>
  <si>
    <t>yoqueriaverlabovedadeltiorico bancocentral bullrich lousteau elecciones2023</t>
  </si>
  <si>
    <t>tipodecambio casterns bancodemexico peso pique administra bancocentral colapso dolar coincidencias</t>
  </si>
  <si>
    <t>noticiassin inflación bancocentral</t>
  </si>
  <si>
    <t>noticiassin remesas bancocentral</t>
  </si>
  <si>
    <t>noticiassin bancocentral políticamonetaria</t>
  </si>
  <si>
    <t>noticiassin sin24horas gruposin bancocentral comiteirvingfisher</t>
  </si>
  <si>
    <t>bancocentral mercadopago</t>
  </si>
  <si>
    <t>economia china bancocentral</t>
  </si>
  <si>
    <t>juros copom bancocentral</t>
  </si>
  <si>
    <t>jurosbaixosjá copom bancocentral camposneto</t>
  </si>
  <si>
    <t>inflacion tpm bancocentral rosannacosta tipodecambio ipom</t>
  </si>
  <si>
    <t>bancocentral mundo paices</t>
  </si>
  <si>
    <t>estrellasyredes economíard bancocentral</t>
  </si>
  <si>
    <t>estrellasyredes bancocentral economíard</t>
  </si>
  <si>
    <t>pib bancocentral dolar fintwit</t>
  </si>
  <si>
    <t>cea paap cpa20 cfp tesouro eua bancocentral dolar economia</t>
  </si>
  <si>
    <t>propuestasdepatobullrich bancocentral reservafederal bullrich2023</t>
  </si>
  <si>
    <t>caixa caixaeconomica pix pessoajuridica tarifa banco mei microempreendedor bancocentral qrcode</t>
  </si>
  <si>
    <t>brasil drex bancocentral moedadigital criptomoedas hackers cbdc bitcoin ethereum pix fraudes</t>
  </si>
  <si>
    <t>pib bancocentral goias</t>
  </si>
  <si>
    <t>pix bancocentral</t>
  </si>
  <si>
    <t>billete economia dosmil bancocentral bcra</t>
  </si>
  <si>
    <t>inflación indec bancocentral</t>
  </si>
  <si>
    <t>ahora bancocentral dólaroficial javiermilei paso</t>
  </si>
  <si>
    <t>másnoticias dólarblue córdoba bancocentral plazosfijos wallstreet paso lsd</t>
  </si>
  <si>
    <t>mássnoticias cazzu christiannodal narcos bullrich bancocentral</t>
  </si>
  <si>
    <t>7dias 7diasrd noticias santosdomingo ultimahora pesosdominicano pesos economiard felizmartes bancocentral banco viviendas</t>
  </si>
  <si>
    <t>iti itau bancocentral</t>
  </si>
  <si>
    <t>bancocentral itau</t>
  </si>
  <si>
    <t>delicioso deliciosas dalas vladimirputin zendaya sammysosa bancocentral anuel tekashi yailin fentanilo soydelejido samsmith susana nayibbukele coger viral video viralhugs nba ps5 japanese quienseanimaacogerme</t>
  </si>
  <si>
    <t>delicioso deliciosas dalas vladimirputin zendaya sammysosa bancocentral anuel tekashi yailin fentanilo soydelejido samsmith susana nayibbukele coger viral video viralhugs nba ps5 japanese</t>
  </si>
  <si>
    <t>santiagomatias bancocentral uffff yailin preso</t>
  </si>
  <si>
    <t>3em1 bancocentral</t>
  </si>
  <si>
    <t>brasil robertocamposneto bancocentral jurosbaixosja</t>
  </si>
  <si>
    <t>portaldia economia cheque brasil bancocentral</t>
  </si>
  <si>
    <t>moeda falsa bancocentral fabricacao dinheiro caseiro cunhagem noticia urgente</t>
  </si>
  <si>
    <t>bancocentral lisbon portugal</t>
  </si>
  <si>
    <t>cepodolar santandernofunciona bancosantander tndolar bancocentral</t>
  </si>
  <si>
    <t>bancario mercadofinanceiro bancocentral</t>
  </si>
  <si>
    <t>lula reicharlesiii londres bancocentral autonomiabc viagemlula reicharles inglaterra reinounido jurosbc</t>
  </si>
  <si>
    <t>bancocentral brasil pix dinheiro economia</t>
  </si>
  <si>
    <t>bancocentral juros selic</t>
  </si>
  <si>
    <t>bancocentral brasil copom</t>
  </si>
  <si>
    <t>bancocentral copom juros</t>
  </si>
  <si>
    <t>aovivo bancocentral bancocentraleuropeu</t>
  </si>
  <si>
    <t>bancocentral blockchain bradesco</t>
  </si>
  <si>
    <t>bancocentral juros lula</t>
  </si>
  <si>
    <t>bancocentral fernandohaddad juros</t>
  </si>
  <si>
    <t>aovivo bancocentral copom</t>
  </si>
  <si>
    <t>bancocentral bitcoin blockchain</t>
  </si>
  <si>
    <t>bancocentral bancodigital blockchain</t>
  </si>
  <si>
    <t>bancocentral estadosunidos inflação</t>
  </si>
  <si>
    <t>bancocentral câmbio cmn</t>
  </si>
  <si>
    <t>bancocentral brasil brics</t>
  </si>
  <si>
    <t>bancocentral bernardappy congresso</t>
  </si>
  <si>
    <t>bancocentral cmn copom</t>
  </si>
  <si>
    <t>bancocentral lula robertocamposneto</t>
  </si>
  <si>
    <t>bancocentral bancos xpinvestimentos</t>
  </si>
  <si>
    <t>argentina bancocentral câmbio</t>
  </si>
  <si>
    <t>aovivo bancocentral fundosmultimercados</t>
  </si>
  <si>
    <t>aovivo bancocentral ibge</t>
  </si>
  <si>
    <t>bancocentral crédito finanças</t>
  </si>
  <si>
    <t>aovivo bancocentral cartõesdecrédito</t>
  </si>
  <si>
    <t>bancocentral copom selic</t>
  </si>
  <si>
    <t>bancocentral cdb copom</t>
  </si>
  <si>
    <t>bancocentral brasil finanças</t>
  </si>
  <si>
    <t>bancocentral inflação juros</t>
  </si>
  <si>
    <t>aovivo bancocentral magazineluiza</t>
  </si>
  <si>
    <t>bancocentral bitcoin leilões</t>
  </si>
  <si>
    <t>bancocentral finanças pix</t>
  </si>
  <si>
    <t>bancocentral cartõesdecrédito dívidaexterna</t>
  </si>
  <si>
    <t>bancocentral bancos cartõesdecrédito</t>
  </si>
  <si>
    <t>bancocentral caixaeconômicafederal governofederal</t>
  </si>
  <si>
    <t>bancocentral blockchain finanças</t>
  </si>
  <si>
    <t>ajustefiscal bancocentral inflação</t>
  </si>
  <si>
    <t>b3 bancocentral bancodobrasil</t>
  </si>
  <si>
    <t>aovivo bancocentral dólar</t>
  </si>
  <si>
    <t>bancocentral blockchain exchanges</t>
  </si>
  <si>
    <t>aovivo bancocentral cmn</t>
  </si>
  <si>
    <t>bancocentral economia poupança</t>
  </si>
  <si>
    <t>bancocentral economia pix</t>
  </si>
  <si>
    <t>bancocentral juros robertocamposneto</t>
  </si>
  <si>
    <t>anac anatel bancocentral</t>
  </si>
  <si>
    <t>bancocentral copom debêntures</t>
  </si>
  <si>
    <t>bancocentral pix token</t>
  </si>
  <si>
    <t>bancocentral bancodigital bitcoin</t>
  </si>
  <si>
    <t>aovivo bancocentral bancos</t>
  </si>
  <si>
    <t>bancocentral foracamposneto juros jurosbaixosjá</t>
  </si>
  <si>
    <t>bolsonaroinelegivel bolsonaronacadeia ondeestãoasjóias piquetsabe sítiodopiquet familícia corrupção jóias misheik michequebolsonaro naros chargepolítica fascistasnacadeia jurostemdecair bancocentral</t>
  </si>
  <si>
    <t>codigoqr bancocentral</t>
  </si>
  <si>
    <t>ministro fazenda haddad cmn ministérios fazenda planejamento bancocentral meta</t>
  </si>
  <si>
    <t>chatgpt bard google inteligênciaartificial ia ai fome bolsafamília mapadafome paa programadeaquisiçãodealimentos bancocentral juros jurosaltos selic baixadosjuros</t>
  </si>
  <si>
    <t>bancocentral centralbank</t>
  </si>
  <si>
    <t>pix pixautomatico bancocentral</t>
  </si>
  <si>
    <t>dinheiroesquecido bancocentral</t>
  </si>
  <si>
    <t>bancocentral dinheiroesquecido</t>
  </si>
  <si>
    <t>negocios bancocentral</t>
  </si>
  <si>
    <t>bancocentral criptoativos</t>
  </si>
  <si>
    <t>bancocentral taxaselic</t>
  </si>
  <si>
    <t>taxaselic bancocentral</t>
  </si>
  <si>
    <t>inflacao bancocentral</t>
  </si>
  <si>
    <t>powell bancocentral tsla</t>
  </si>
  <si>
    <t>jurosaltos brasil sãopaulo bancocentral</t>
  </si>
  <si>
    <t>bancocentral juros rússia</t>
  </si>
  <si>
    <t>bancocentral ibge ipca</t>
  </si>
  <si>
    <t>bancocentral câmaradosdeputados cartãodecrédito juros</t>
  </si>
  <si>
    <t>b3 b3sa3 bancocentral cvm</t>
  </si>
  <si>
    <t>cordoba bancocentral dolares</t>
  </si>
  <si>
    <t>cordoba amparo bancocentral dólares</t>
  </si>
  <si>
    <t>bancocentral dolaragro</t>
  </si>
  <si>
    <t>milei bancocentral dolarizar</t>
  </si>
  <si>
    <t>candypocket candytune bancocentral</t>
  </si>
  <si>
    <t>bancocentral juros</t>
  </si>
  <si>
    <t>robertocamposneto bancocentral taxaselic</t>
  </si>
  <si>
    <t>bancocentral selic robertocamposneto economiapopular finançaspúblicas lei15211951</t>
  </si>
  <si>
    <t>patriciabullrich bancocentral</t>
  </si>
  <si>
    <t>bancocentral juliovelarde agricultura</t>
  </si>
  <si>
    <t>políticamonetária bancocentral moneymarkets</t>
  </si>
  <si>
    <t>moeda regulação moedadigital bancocentral moneymarkets</t>
  </si>
  <si>
    <t>indicados lula bancocentral políticamonetária moneymarkets</t>
  </si>
  <si>
    <t>dólar fed bancocentral taxas juros moneymarkets</t>
  </si>
  <si>
    <t>copom bancocentral juros moneymarkets</t>
  </si>
  <si>
    <t>bancocentral pix tamojuntojm recordepix pixmaisusado</t>
  </si>
  <si>
    <t>tamojuntojm minasgerais mg pix drex ted doc moeda realbrasileiro economia bancocentral transferenciabancaria</t>
  </si>
  <si>
    <t>bancocentral tamojuntojm reclamacoesembancos banco listabancosnumeroreclamacoes minasgerais mg</t>
  </si>
  <si>
    <t>febraban tamojuntojm jornalmetropolitano jm mg pix ted doc bancocentral minasgerais belohorizonte bh contagem betim</t>
  </si>
  <si>
    <t>pix bcb bancocentral</t>
  </si>
  <si>
    <t>shakira fuerzadelpueblo premiosheat ucrania rusia estadosunidos luna corpuschristi arabiasaudita juansoto bancocentral</t>
  </si>
  <si>
    <t>milei maiu drake mexico argentina argentinaelige ecuadordebate2023 bancocentral pokemongo</t>
  </si>
  <si>
    <t>bancocentral economiabrasileira</t>
  </si>
  <si>
    <t>bancocentral lula</t>
  </si>
  <si>
    <t>picpay bancocentral</t>
  </si>
  <si>
    <t>pix taxa pessoasjuridicas bc bancocentral</t>
  </si>
  <si>
    <t>copom taxadejuros selic economia bancocentral</t>
  </si>
  <si>
    <t>bancocentral bcr interés</t>
  </si>
  <si>
    <t>smabc jurosbaixosjá bancocentral</t>
  </si>
  <si>
    <t>congressonacional bancocentral voduéprajacu atualidades geopolitica luizcurvelo</t>
  </si>
  <si>
    <t>ibov selic bancocentral</t>
  </si>
  <si>
    <t>selic bancocentral rcn</t>
  </si>
  <si>
    <t>ibov bancocentral</t>
  </si>
  <si>
    <t>mercadofinanceiro inflacao economia bancocentral boletimfocus dinheiro economy brasil noticias news jornale</t>
  </si>
  <si>
    <t>bancocentral pix transferencia jm</t>
  </si>
  <si>
    <t>economiaemmovimento economiaclaraepratica mercadofinanceiro bancocentral juros oportunidades</t>
  </si>
  <si>
    <t>pix bancocentral economia maisnews noticias prmarciobatista</t>
  </si>
  <si>
    <t>bancocentral criptoativos mercadodeativosvirtuais</t>
  </si>
  <si>
    <t>bancocentral crescimentodopib mercadofinanceiro</t>
  </si>
  <si>
    <t>bancocentral sistemadevaloresareceber valoresesquecidos</t>
  </si>
  <si>
    <t>bancocentral operaçãopadrão relatóriodepoupança</t>
  </si>
  <si>
    <t>bancocentral índicedeatividadeeconômica quedanaatividadeeconômica</t>
  </si>
  <si>
    <t>bancocentral moedadigital pilotodorealdigital tokens versãodigitaldoreal</t>
  </si>
  <si>
    <t>bancocentral boletimfocus ipca previsãodainflação</t>
  </si>
  <si>
    <t>bancocentral comitêdepolíticamonetária copom taxabásicadejuros taxaselic</t>
  </si>
  <si>
    <t>bancocentral drex moedadigitalbrasileira versãodigitaldoreal</t>
  </si>
  <si>
    <t>bancocentral cartãodecrédito taxadejuros</t>
  </si>
  <si>
    <t>bancocentral drex moedadigitalbrasileira realdigital</t>
  </si>
  <si>
    <t>bancocentral pix sistemadetransferênciasinstantâneas</t>
  </si>
  <si>
    <t>economia inflação boletimfocus bancocentral</t>
  </si>
  <si>
    <t>bancocentral boletimfocus inflaçãooficial ipca</t>
  </si>
  <si>
    <t>bancocentral boletimfocus previsãodeinflação</t>
  </si>
  <si>
    <t>procuradoría bancocentral</t>
  </si>
  <si>
    <t>bancocentral dólar milei</t>
  </si>
  <si>
    <t>bancocentral economiadigital forumservicopublicoceara</t>
  </si>
  <si>
    <t>bancocentral taxabasicadejuros forumservicopublicoceara</t>
  </si>
  <si>
    <t>jurosaltos bancocentral forumservicopublicoceara</t>
  </si>
  <si>
    <t>politicadejuros bancocentral diretores forumservicopublicoceara</t>
  </si>
  <si>
    <t>haddad bancocentral selic forumservicopublicoceara</t>
  </si>
  <si>
    <t>bancocentral quedanataxadejuros forumservicopublicoceara</t>
  </si>
  <si>
    <t>taxabasicadejuros selic bancocentral forumservicopublicoceara</t>
  </si>
  <si>
    <t>taxaselic bancocentral forumservicopublicoceara</t>
  </si>
  <si>
    <t>servidores bancocentral forumservicopublicoceara</t>
  </si>
  <si>
    <t>bancocentral desigualdade forumservicopublicoceara</t>
  </si>
  <si>
    <t>bancocentral selic forumservicopublicoceara</t>
  </si>
  <si>
    <t>bancocentral pix forumservicopublicoceara</t>
  </si>
  <si>
    <t>inflación bancocentral precios</t>
  </si>
  <si>
    <t>créditorotativo bc bancocentral juros noticias brasilperfil</t>
  </si>
  <si>
    <t>taxaselic selic economia bc copom noticias bancocentral noticias</t>
  </si>
  <si>
    <t>bancocentral moedadigital economia brasilperfil noticias</t>
  </si>
  <si>
    <t>drex bc bancocentral noticias economia brasilperfil</t>
  </si>
  <si>
    <t>dolar ibovespa economia bancocentral bc noticias brasilperfil</t>
  </si>
  <si>
    <t>bancocentral bc boletimfocus economia mercado projeção</t>
  </si>
  <si>
    <t>copom bancocentral economia noticias brasilperfil</t>
  </si>
  <si>
    <t>billete bairesparatodos bancocentral</t>
  </si>
  <si>
    <t>bairesparatodos bancocentral dólarblue</t>
  </si>
  <si>
    <t>bairesparatodos bancocentral javiermilei</t>
  </si>
  <si>
    <t>bairesparatodos bancocentral elecciones2023 patriciabullrich</t>
  </si>
  <si>
    <t>2000pesos bairesparatodos bancocentral billete cajerosautomáticos</t>
  </si>
  <si>
    <t>bairesparatodos bancocentral emilioocampo javiermilei</t>
  </si>
  <si>
    <t>blogdojuares bjnews bancocentral cheques novopadrao economia</t>
  </si>
  <si>
    <t>blogdojuares bjnews pix pessoasjuridicas caixa bancocentral tarifas empresarios transferencias</t>
  </si>
  <si>
    <t>drex bc bancocentral criptmoeda moeda pix funcionamento brasil governofederal bj bjnews economia blogdojuares</t>
  </si>
  <si>
    <t>bancocentral indec inflacion</t>
  </si>
  <si>
    <t>sii bancocentral viñadelmar eurovision2023</t>
  </si>
  <si>
    <t>bancocentral directora banconacion kirchnerismo</t>
  </si>
  <si>
    <t>juros taxaselic bancocentral taxadejuros copom economia quecontaéessa</t>
  </si>
  <si>
    <t>bancocentral crédito juros inadimplência taxasabusivas</t>
  </si>
  <si>
    <t>basa default bancocentral</t>
  </si>
  <si>
    <t>bancocentral dolares dolaresargentina economia canaleconomico</t>
  </si>
  <si>
    <t>canaleconomico economia divisas bancocentral bcra</t>
  </si>
  <si>
    <t>fmi bancocentral monedasdigitales economia canaleconomico</t>
  </si>
  <si>
    <t>bancocentral suiza nuevamonedadigital mayorista economia canaleconomico</t>
  </si>
  <si>
    <t>dolares bancocentral mercadocambiario economia canaleconomico</t>
  </si>
  <si>
    <t>economia argentina canaleconomico bancocentral cepo</t>
  </si>
  <si>
    <t>economia argentina canaleconomico bancocentral entidadesfinancieras</t>
  </si>
  <si>
    <t>dolar dolares bancocentral dolarblue dolarhoy</t>
  </si>
  <si>
    <t>china bancocentral economia</t>
  </si>
  <si>
    <t>bancocentral economia canaleconomico</t>
  </si>
  <si>
    <t>dolar dolarhoy dolarblue dolarparalelo bancocentral</t>
  </si>
  <si>
    <t>canaleconomico economia canale argentina editorialperfil inflacion bancocentral bcra</t>
  </si>
  <si>
    <t>canaleconomico economia canale argentina editorialperfil brasil bancocentral tasadeinteres</t>
  </si>
  <si>
    <t>economia argentina canaleconomico editorialperfil bancocentral javiermilei milei lalibertadavanza</t>
  </si>
  <si>
    <t>cbdc bancocentral criptomonedas dollar fednow reservafederal</t>
  </si>
  <si>
    <t>bc bancocentral dividas negativado</t>
  </si>
  <si>
    <t>banco bancos dinheiro taxabancaria contacorrente itau bradesco santander nubank caixa bancocentral</t>
  </si>
  <si>
    <t>bc bancocentral bancos dinheiro openfinance openbank financiamento</t>
  </si>
  <si>
    <t>económicas bancocentral políticamonetaria tasa</t>
  </si>
  <si>
    <t>nacionales bancocentral fondosencaje juntamonetaria</t>
  </si>
  <si>
    <t>económicas bancocentral mipymes sectoresproductivos</t>
  </si>
  <si>
    <t>opinión bancocentral economia políticasmonetarias</t>
  </si>
  <si>
    <t>económicas bancocentral remesas</t>
  </si>
  <si>
    <t>bancocentral encajelegal juntamonetaria sectores</t>
  </si>
  <si>
    <t>económicas bancocentral economia fortalece santos</t>
  </si>
  <si>
    <t>bancocentral encajelegal tasa</t>
  </si>
  <si>
    <t>aba bancocentral economia políticamonetaria</t>
  </si>
  <si>
    <t>bancocentral dinamizareconomía juntamonetaria tasaintereses</t>
  </si>
  <si>
    <t>antoniociriacocruz bancocentral mercado tasadeinterés</t>
  </si>
  <si>
    <t>económicas bancocentral economia estímulosmonetarios imae</t>
  </si>
  <si>
    <t>económicas bancocentral anual tasa</t>
  </si>
  <si>
    <t>económicas analistas bajando bancocentral tasasdeintereses</t>
  </si>
  <si>
    <t>bancocentral ocupaciónlaboral</t>
  </si>
  <si>
    <t>bancocentral economia economista inflación ngcortiñas</t>
  </si>
  <si>
    <t>económicas bancocentral inflación nivelesestables</t>
  </si>
  <si>
    <t>opinión andydauhajre bancocentral fórmuladeandy josébáezguerrero pib</t>
  </si>
  <si>
    <t>opinión antoniociriacocruz bancocentral pib políticamonetaria refuerzos</t>
  </si>
  <si>
    <t>económicas periódicoeldía bancocentral</t>
  </si>
  <si>
    <t>económicas bancocentral crecimiento remesas</t>
  </si>
  <si>
    <t>económicas bancocentral ralentización turismo</t>
  </si>
  <si>
    <t>bancocentral diplomadodeformación</t>
  </si>
  <si>
    <t>bancocentral economia estímulomonetario inflación juntamonetaria liquidez obraspúblicas</t>
  </si>
  <si>
    <t>opinión bancocentral economia políticamonetaria tasadepolíticamonetaria periódicoeldía</t>
  </si>
  <si>
    <t>económicas bancocentral datos prodominicana</t>
  </si>
  <si>
    <t>bancocentral covid19</t>
  </si>
  <si>
    <t>bancocentral ied inversion inversiónextranjera</t>
  </si>
  <si>
    <t>nacionales bancocentral repúblicadominicana</t>
  </si>
  <si>
    <t>económicas bancocentral commodities políticamonetaria</t>
  </si>
  <si>
    <t>económicas bancocentral crecimientopib ralentizacióneconomía</t>
  </si>
  <si>
    <t>remesas economía bancocentral</t>
  </si>
  <si>
    <t>bancocentral bcrd cuatrimestre</t>
  </si>
  <si>
    <t>desgovernopt picanheiro camposneto bancocentral dilmo</t>
  </si>
  <si>
    <t>gabrielgalipolo mitonews mst bancocentral</t>
  </si>
  <si>
    <t>foracamposneto agiotagem bancocentral bc jurosbaixosjá</t>
  </si>
  <si>
    <t>bc bancocentral inflação camposneto</t>
  </si>
  <si>
    <t>foracamposneto bc bancocentral jurosbaixosja agiotagem</t>
  </si>
  <si>
    <t>foracamposneto jurosbaixosjá bc bancocentral agiotagem</t>
  </si>
  <si>
    <t>foracamposneto jurosbaixosja agiotagem bc bancocentral</t>
  </si>
  <si>
    <t>ppi sonartrade inflação mercadofinanceiro bancocentral investing economia</t>
  </si>
  <si>
    <t>mileiesunaestafa bancocentral ocampo milei</t>
  </si>
  <si>
    <t>juros selic bancocentral inflação</t>
  </si>
  <si>
    <t>taxadejuros bancocentral dinheiro selic</t>
  </si>
  <si>
    <t>taxadejuros selic bancocentral mercadofinanceiro economia</t>
  </si>
  <si>
    <t>bancocentral inflação desenrolabrasil</t>
  </si>
  <si>
    <t>bancocentral taxadejuros investimentos</t>
  </si>
  <si>
    <t>bc bancocentral sabotador</t>
  </si>
  <si>
    <t>bc bancocentral foracamposneto</t>
  </si>
  <si>
    <t>brazil usdbrl bancocentral inflation</t>
  </si>
  <si>
    <t>milei paso2023 bancocentral k peronismo argentina crisis</t>
  </si>
  <si>
    <t>drex banco bancocentral moeda dinheiro real realdigital economia bitcoins btc cripto criptomoedas</t>
  </si>
  <si>
    <t>bancocentral fuerzadelpueblo ministeriodehacienda mipymes noticiasimpac nacionales</t>
  </si>
  <si>
    <t>noticiasimpac nacionales bancocentral viviendas bajocosto</t>
  </si>
  <si>
    <t>noticiasimpac nacionales repúblicadominicana canastabásica centroamérica elcaribe inflación bancocentral</t>
  </si>
  <si>
    <t>bullrich bancocentral noesunpaisnormal</t>
  </si>
  <si>
    <t>bancocentral pixautomático</t>
  </si>
  <si>
    <t>bancocentral realdigital</t>
  </si>
  <si>
    <t>margotduhalde bancocentral chile mujeresvaliosas</t>
  </si>
  <si>
    <t>concursos2023 concursospublicos concursopublico concursobacen bacen bancocentral</t>
  </si>
  <si>
    <t>concursos2023 concursospublicos concursopublico bacen bancocentral concursobacen</t>
  </si>
  <si>
    <t>concursospublicos concursopublico bacen bancocentral bancocentraldobrasil concursobacen</t>
  </si>
  <si>
    <t>concursos2023 concursospublicos concursopublico concursobacen bacen bancocentral bancocentraldobrasil</t>
  </si>
  <si>
    <t>concursospublicos concursopublico bacen bancocentral bancocentraldobrasil</t>
  </si>
  <si>
    <t>concursos2023 concursospublicos concursopublico bacen concursobacen bancocentral</t>
  </si>
  <si>
    <t>dolarizar bancocentral</t>
  </si>
  <si>
    <t>javiermilei bancocentral</t>
  </si>
  <si>
    <t>agênciaestado broadcast jornalismo notícias copom focus bancocentral inflação ipca juros selic câmbio pib economia projeçõeseconômicas compartilheosaber fiquepordentro</t>
  </si>
  <si>
    <t>rússia rublodigital bancocentral</t>
  </si>
  <si>
    <t>inflação desemprego curvadephillips bancocentral copom</t>
  </si>
  <si>
    <t>juros selic bacen bancocentral</t>
  </si>
  <si>
    <t>bancocentral análisismacro perspectivasdemercado mercado inflación</t>
  </si>
  <si>
    <t>mexico bancocentral bitcoin sisepuede</t>
  </si>
  <si>
    <t>azerbaiyán karabaj citibank raiffeisen bancocentral terrorismo</t>
  </si>
  <si>
    <t>cpqd tecnologia inovação bancocentral realdigital conquista</t>
  </si>
  <si>
    <t>conexãoglobonews</t>
  </si>
  <si>
    <t>empauta globonews</t>
  </si>
  <si>
    <t>estúdioi globonews</t>
  </si>
  <si>
    <t>j10 globonews</t>
  </si>
  <si>
    <t>bancocentral jurosabusivos crédito endividamento</t>
  </si>
  <si>
    <t>taxaselic jurosreal jurosabusivos bancocentral economia</t>
  </si>
  <si>
    <t>economia bancocentral desaceleração</t>
  </si>
  <si>
    <t>bancocentral pib mercado inflacao jurosabusivos</t>
  </si>
  <si>
    <t>economia geracaodeempregos emprego bancocentral jurosabusivos</t>
  </si>
  <si>
    <t>criptomoedas regulação bancocentral</t>
  </si>
  <si>
    <t>havilavoyages bancocentral irlanda</t>
  </si>
  <si>
    <t>milei milei2023 bancocentral dolarizacion argentina islasmalvinas economiaparatodos</t>
  </si>
  <si>
    <t>mercadofinanceiro investimentos bancocentral</t>
  </si>
  <si>
    <t>bancocentral tasadeinteres</t>
  </si>
  <si>
    <t>desdolarizar bancocentral</t>
  </si>
  <si>
    <t>bancocentral argentina tasadeinteres ahorro fisco ntsp_es javiermilei</t>
  </si>
  <si>
    <t>bancocentral selic inflação</t>
  </si>
  <si>
    <t>bancocentral selic economia dólar copom pressãoexterna</t>
  </si>
  <si>
    <t>mulheres corrupção bancocentral</t>
  </si>
  <si>
    <t>copom selic taxadejuros bancocentral</t>
  </si>
  <si>
    <t>bancocentral cvm</t>
  </si>
  <si>
    <t>bancocentral noarnacbn</t>
  </si>
  <si>
    <t>copom</t>
  </si>
  <si>
    <t>haddad galipolo bancocentral</t>
  </si>
  <si>
    <t>copom bancocentral inflacao</t>
  </si>
  <si>
    <t>pib economia bancocentral</t>
  </si>
  <si>
    <t>focus bancocentral inflacao</t>
  </si>
  <si>
    <t>haddad selic bancocentral</t>
  </si>
  <si>
    <t>bancocentral selic juros</t>
  </si>
  <si>
    <t>boletimfocus bancocentral pib</t>
  </si>
  <si>
    <t>bancocentral juros lula pt</t>
  </si>
  <si>
    <t>bancocentral cmn ipca</t>
  </si>
  <si>
    <t>cmn bancocentral ipca meta juros</t>
  </si>
  <si>
    <t>bancocentral mercadofinanceiro fome emprego industrialização país mercado rentismo</t>
  </si>
  <si>
    <t>plancastello ate bancocentral ríonegro</t>
  </si>
  <si>
    <t>charge haddad camposneto juros economia lula bancocentral</t>
  </si>
  <si>
    <t>ecommercebrasil economia bancocentral ipca</t>
  </si>
  <si>
    <t>ecommercebrasil ecommerce pix bancocentral pagamentodigital inovação</t>
  </si>
  <si>
    <t>ecommercebrasil pix bancocentral</t>
  </si>
  <si>
    <t>ecommercebrasil ecommerce drex bancocentral</t>
  </si>
  <si>
    <t>sounordestinocomorgulho bozonacadeia2023 semanistaparagolpista caricatura charges cartum jornalismoindependente arte cultura historia camaradosdeputados bc bancocentral senado stf tse stf</t>
  </si>
  <si>
    <t>sounordestinocomorgulho bozonacadeia2023 semanistaparagolpista caricatura charges cartum jornalismoindependente arte cultura historia camaradosdeputados bc bancocentral senado stf tse</t>
  </si>
  <si>
    <t>sounordestinocomorgulho bozonacadeia2023 semanistaparagolpista caricatura charges cartum jornalismoindependente arte cultura historia camaradosdeputados bc bancocentral senado stf</t>
  </si>
  <si>
    <t>sounordestinocomorgulho bozonacadeia2023 semanistaparagolpista caricatura charges cartum arte cultura imprensalivre camaradosdeputados bancocentral senado stf tse</t>
  </si>
  <si>
    <t>sounordestinocomorgulho bozonacadeia2023 semanistaparagolpista caricatura charges cartum arte cultura historia imprensalivre camaradosdeputados bancocentral senado stf tse</t>
  </si>
  <si>
    <t>semanistaparagolpista caricatura charges cartum jornalismoindependente arte cultura historia camaradosdeputados bc bancocentral senado stf tse</t>
  </si>
  <si>
    <t>miltonfriedman economía premionobel inflación bancocentral impresióndebilletes milei lalibertadavanza jujuy radiojujuylibre</t>
  </si>
  <si>
    <t>bancocentral selic dolar inflação</t>
  </si>
  <si>
    <t>copom selic brasil</t>
  </si>
  <si>
    <t>grupo33 enterate dólar bancocentral economia</t>
  </si>
  <si>
    <t>sarcasmatitsfinest bancocentral reservewoes</t>
  </si>
  <si>
    <t>bancocentral cepo</t>
  </si>
  <si>
    <t>morningshow camposneto pt capacho bancocentral</t>
  </si>
  <si>
    <t>default eeuu bancocentral bc</t>
  </si>
  <si>
    <t>selic bc bancocentral starcapital creditoimobiliario financiamentoimobiliario imobiliaria mercadoimobiliario assuntosdomercadoimobiliario negociaçãoimobiliária corretordeimoveis imoveisaltopadrao casadealtopadrão</t>
  </si>
  <si>
    <t>bancocentral brb sonhos creditoimobiliario financiamentoimobiliario mercadoimobiliario corretordeimoveis starcapitaloficial</t>
  </si>
  <si>
    <t>taxaselic renda bancocentral sonhos objetivos futuro creditoimobiliario financiamentoimobiliario imobiliaria mercadoimobiliario</t>
  </si>
  <si>
    <t>bancocentral creditoimobiliario financiamentoimobiliario imobiliaria mercadoimobiliario corretordeimoveis imoveisaltopadrao casadealtopadrão investimentoimobiliario mercadodeluxo starcapitaloficial</t>
  </si>
  <si>
    <t>multimediosnova bancocentral economía</t>
  </si>
  <si>
    <t>multimediosnova bancocentral milei</t>
  </si>
  <si>
    <t>shangai reservas bancocentral máximokirchner</t>
  </si>
  <si>
    <t>ibahia baiano bancocentral</t>
  </si>
  <si>
    <t>pix bancocentral pixautomático</t>
  </si>
  <si>
    <t>tarifasbancárias nathfinanças bancocentral</t>
  </si>
  <si>
    <t>bancocentral facturas pymes</t>
  </si>
  <si>
    <t>tasa plazosfijos bancocentral ahora12 comercio</t>
  </si>
  <si>
    <t>bancocentral comercios qr</t>
  </si>
  <si>
    <t>hechosnews bancocentral héctorvaldezalbizu prodominicana inversion</t>
  </si>
  <si>
    <t>hechosnews bancocentral economia economics consejomonetario</t>
  </si>
  <si>
    <t>hechosnews bancocentral héctorvaldezalbizu robustez sistemafinanciero dominicanos gobiernodelcambio economia</t>
  </si>
  <si>
    <t>cadeca cuba bancocentral</t>
  </si>
  <si>
    <t>camposneto bancocentral tcu</t>
  </si>
  <si>
    <t>bancocentral juros inflacao</t>
  </si>
  <si>
    <t>imacec bancocentral lamoneda chile</t>
  </si>
  <si>
    <t>amenazas claudiasoto baquedano bancocentral junaeb chile</t>
  </si>
  <si>
    <t>bancocentral boletimfocu</t>
  </si>
  <si>
    <t>bancocentral drex mo</t>
  </si>
  <si>
    <t>bancocentral juros lula miséria noticia pastoraldopovoderua saopaulocapital agosto2023 brasil leidopovo democraciadireta</t>
  </si>
  <si>
    <t>juros inflação jurosreais notícias bancocentral cirogomes selic agosto2023 eduardomoreira governapovobrasileiro</t>
  </si>
  <si>
    <t>leidopovo juros bancocentral inflação selic agosto2023 bancocentral notícias</t>
  </si>
  <si>
    <t>bancocentral selic inadimplentes corrupção leidopovo juros</t>
  </si>
  <si>
    <t>bancocentral encuesta precios</t>
  </si>
  <si>
    <t>chicomoedas luisasonza contemironia voceeminhacurajura copom bancocentral</t>
  </si>
  <si>
    <t>sonsatos hyunjinxversace เงือกน้อยผจญภัย ม็อบ23พฤษภา66 taehyungxceline hyunjinatcannes mundialsub20 sismo masterchef11 lalisa uf bancocentral broker</t>
  </si>
  <si>
    <t>drex sfn sistemafinanceiro bancocentral bancos finanças economia</t>
  </si>
  <si>
    <t>drex real realdigital bancocentral ricardoamorim</t>
  </si>
  <si>
    <t>pix meiosdepagamento bancocentral brasil ricardoamorim</t>
  </si>
  <si>
    <t>china bancocentral economía</t>
  </si>
  <si>
    <t>destaques economia bancocentral câmaradosdeputados</t>
  </si>
  <si>
    <t>destaques economia bancocentral cmn</t>
  </si>
  <si>
    <t>brasil destaques economia bancocentral</t>
  </si>
  <si>
    <t>pânico politica economia bancocentral</t>
  </si>
  <si>
    <t>pânico bancocentral noticia economia lula</t>
  </si>
  <si>
    <t>pânico economia drex pix bancocentral</t>
  </si>
  <si>
    <t>pânico economia une bancocentral</t>
  </si>
  <si>
    <t>pânico economia bancocentral pix</t>
  </si>
  <si>
    <t>pânico taxaselic juros economia bancocentral</t>
  </si>
  <si>
    <t>pânico economia samydana camposneto bancocentral</t>
  </si>
  <si>
    <t>argentina alemania dolar bcra bancocentral peronismo</t>
  </si>
  <si>
    <t>selic ipca inflação economia bancocentral</t>
  </si>
  <si>
    <t>ualá criptomonedas bancocentral</t>
  </si>
  <si>
    <t>argentina bancocentral plazosfijos tasadeinteres</t>
  </si>
  <si>
    <t>argentina gobiernonacional bancocentral nuevobilletedemil yaestaenciculación</t>
  </si>
  <si>
    <t>argentina bancocentral billeterasvirtuales</t>
  </si>
  <si>
    <t>argentina bancocentral compradedólares economia</t>
  </si>
  <si>
    <t>bancocentral udi piñera gobierno boric</t>
  </si>
  <si>
    <t>tasas udi piñera consejeros bombofica bancocentral</t>
  </si>
  <si>
    <t>ultimahora patriciabullrich bancocentral</t>
  </si>
  <si>
    <t>urgente bancocentral argentina</t>
  </si>
  <si>
    <t>bancocentral críticas economia londres lula robertocamposneto taxadejuros</t>
  </si>
  <si>
    <t>bancocentral cuba medidas</t>
  </si>
  <si>
    <t>putin bancocentral rusia inestabilidad inflación</t>
  </si>
  <si>
    <t>justicia bancocentral malversación economía líbano</t>
  </si>
  <si>
    <t>bancocentral mercadofinaceiro</t>
  </si>
  <si>
    <t>bolsa investimentos economia bancocentral</t>
  </si>
  <si>
    <t>dinheiroesquecido bancocentral saques</t>
  </si>
  <si>
    <t>economía rd crecimiento bancocentral repúblicadominicana desarrollo finanzas indicadores</t>
  </si>
  <si>
    <t>bancocentral crecimiento inflación macroeconomía estabilidad políticamonetaria reserva economíaglobal políticaeconómica</t>
  </si>
  <si>
    <t>bancocentral latiravileño</t>
  </si>
  <si>
    <t>odia bancocentral selic</t>
  </si>
  <si>
    <t>odia bancocentral</t>
  </si>
  <si>
    <t>pix bancocentral odia</t>
  </si>
  <si>
    <t>odia bancocentral camposneto</t>
  </si>
  <si>
    <t>bancocentral selic</t>
  </si>
  <si>
    <t>inflação bancocentral juros copom</t>
  </si>
  <si>
    <t>consignados bancocentral selic</t>
  </si>
  <si>
    <t>orçamento dívidapública inflação economiadireta bancocentral políticamonetária</t>
  </si>
  <si>
    <t>economiadireta bancocentral inflação selic</t>
  </si>
  <si>
    <t>orçamento dívidapública inflação economiadireta</t>
  </si>
  <si>
    <t>podemosnosenado senadororiovistoguimaraes bancocentral podcast</t>
  </si>
  <si>
    <t>dolar economia inflación bancocentral fmi</t>
  </si>
  <si>
    <t>banhcafe banco finanzas banca subasta divisas subastadedivisas comunicado cliente bancocentral honduras horario dolares</t>
  </si>
  <si>
    <t>mercadoimobiliário financiamentoimobiliário corretoradeimóveis corretordeimóveis bancocentral</t>
  </si>
  <si>
    <t>economía paso2023 dólaroficial bancocentral</t>
  </si>
  <si>
    <t>bancocentral criptomoedas</t>
  </si>
  <si>
    <t>bancocentral dolar bastadepopulismo</t>
  </si>
  <si>
    <t>dólar bancocentral</t>
  </si>
  <si>
    <t>remesas bancocentral infopaisrd</t>
  </si>
  <si>
    <t>republicadominicana bancocentral</t>
  </si>
  <si>
    <t>bancocentral jurosbaixosjá andreesteves camposneto bgt lula</t>
  </si>
  <si>
    <t>camposnetotraidor andréesteves bancocentraldobrasil</t>
  </si>
  <si>
    <t>jurosbaixosjá coronation lula bancocentral</t>
  </si>
  <si>
    <t>ministrodeeconomia massadepankeke bancocentral</t>
  </si>
  <si>
    <t>copom bacen selic ibovespa bancocentral</t>
  </si>
  <si>
    <t>bancocentral bcb inflação bacen bcb bancocentral</t>
  </si>
  <si>
    <t>drex realdigital moedavirtual bancocentral financas blogpdanoticia</t>
  </si>
  <si>
    <t>bancocentral diretordobc valdirdossantosmiranda uneb educacaopublica bahia</t>
  </si>
  <si>
    <t>contasinativas bancocentral correntista economia</t>
  </si>
  <si>
    <t>economia bancocentral pix vazamentos multas</t>
  </si>
  <si>
    <t>dolar bancos brasil economia bancocentral lula</t>
  </si>
  <si>
    <t>inflacao bancocentral economia juros emprestimos taxaselic copom</t>
  </si>
  <si>
    <t>economía bancocentral inflacion nacional politicamonetaria tasasdeinteres</t>
  </si>
  <si>
    <t>bancocentral emapa ypfb</t>
  </si>
  <si>
    <t>china</t>
  </si>
  <si>
    <t>argentina simplificacion administrativa bancocentral scam mexico rusia colombia india transa</t>
  </si>
  <si>
    <t>fundeb dividapublica camposneto bancocentral transparênciapública kindlebr kindlebrasil pósead pós</t>
  </si>
  <si>
    <t>lucro bancocentral</t>
  </si>
  <si>
    <t>shorts cachorromordido golpe empréstimo crime financeiro bc bancocentral</t>
  </si>
  <si>
    <t>portalgp1 noticias pix bancocentral segurança</t>
  </si>
  <si>
    <t>portalgp1 noticias bancocentral</t>
  </si>
  <si>
    <t>portalgp1 gp1 bancocentral brasi economia selic</t>
  </si>
  <si>
    <t>ibc economia bancocentral</t>
  </si>
  <si>
    <t>moneytimes infomoney valoreconômico boletimfocus bancocentral ibovespa xpinvestimentos btgpactual cnnbrasil forbesbr juros b3</t>
  </si>
  <si>
    <t>megasena moneytimes infomoney valoreconômico boletimfocus bancocentral ibovespa xpinvestimentos btgpactual cnnbrasil forbesbr juros b3</t>
  </si>
  <si>
    <t>xpinvestimentos xpexpert investimentos brasil bolsadevalores moneytimes infomoney reformatributária valoreconômico bancocentral</t>
  </si>
  <si>
    <t>portalr7 r7</t>
  </si>
  <si>
    <t>sociedad tucumán sanmigueldetucumán vove vovetucumán economía análisis bancocentral bcra plazofijo tasadeinterés</t>
  </si>
  <si>
    <t>sociedad tucumán sanmigueldetucumán vove vovetucumán economía reservas dólares bcra bancocentral medidas</t>
  </si>
  <si>
    <t>política tucumán sanmigueldetucumán vove vovetucumán economía tasas interés plazofijo políticamonetaria bancocentral</t>
  </si>
  <si>
    <t>sociedad vovetucumán vove bancocentral banco economia billete nuevobillete</t>
  </si>
  <si>
    <t>foracamposneto bc bancocentral</t>
  </si>
  <si>
    <t>bancocentral pulsociudadano</t>
  </si>
  <si>
    <t>noticiasnacionales quito cpccs edificio bancocentral unsiontv</t>
  </si>
  <si>
    <t>falabella bancocentral</t>
  </si>
  <si>
    <t>bancocentral tasadeinterés</t>
  </si>
  <si>
    <t>bancocentral pib</t>
  </si>
  <si>
    <t>bc taxaselic bancocentral camposneto fed economia brasil ibov ibovespa bovespa</t>
  </si>
  <si>
    <t>dls importaciones dólares bancocentral</t>
  </si>
  <si>
    <t>noticiasedn edntv bancocentral economía desempleo inversión</t>
  </si>
  <si>
    <t>selicterrorista psicologiacombatejurosaltos bancocentral selic</t>
  </si>
  <si>
    <t>argentina argenzuela bancocentral</t>
  </si>
  <si>
    <t>bancocentral foracamposneto</t>
  </si>
  <si>
    <t>constituição crime banqueiros criminosos camposneto bancocentral</t>
  </si>
  <si>
    <t>bancocentral políticamonetária lula spagora copom</t>
  </si>
  <si>
    <t>bancocentral copom lula políticamonetária spagora</t>
  </si>
  <si>
    <t>bancocentral copom inflação ipca metadeinflação spagora taxaselic</t>
  </si>
  <si>
    <t>gabrielgalipolo rádiogazetaonline bancocentral brasil</t>
  </si>
  <si>
    <t>senado governofederal bancocentral rádiogazetaonline economia lula robertocamposneto</t>
  </si>
  <si>
    <t>bancocentral drex rádiogazetaonline economia tecnologia</t>
  </si>
  <si>
    <t>chile ministrodehacienda serio bancocentral yanohayespacioparaseguir cortenelleseo conlasubidadeimpuestos ymenosalaspersonas otronegociocongranempresariadochileno</t>
  </si>
  <si>
    <t>conjuntura jurosbaixosjá contee bancocentral economia trabalho renda consind2023 trabalhadoresdaeducação defender direitos educação democracia sigacontee</t>
  </si>
  <si>
    <t>nota jurosbaixosjá contee bancocentral copom economia trabalhadoresdaeducação defender direitos trabalho renda educação democracia sigacontee</t>
  </si>
  <si>
    <t>copom selic jurosbaixosjá contee bancocentral economia trabalhadoresdaeducação defender direitos trabalho renda educação democracia sigacontee</t>
  </si>
  <si>
    <t>ntelemicro5 emisiónestelarnt5 bancocentral economía latinoamérica rd</t>
  </si>
  <si>
    <t>dinero rd bancocentral ntelemicro5 primeraemisiónnt5</t>
  </si>
  <si>
    <t>ntelemicro5 emisiónestelarnt5 políticamonetaria bancocentral economía consumo inflación</t>
  </si>
  <si>
    <t>préstamos viviendas bancocentral ntelemicro5 emisionestelarnt5</t>
  </si>
  <si>
    <t>rd bancocentral crecimiento restaurantes hoteles bares ntelemicro5 emisiónestelarnt5</t>
  </si>
  <si>
    <t>bancocentral políticamonetaria tasadeinterés ntelemicro5 emisiónestelarnt5</t>
  </si>
  <si>
    <t>bancocentral billete dosmil nuevobillete billetes ntelemicro5 emisionestelarnt5</t>
  </si>
  <si>
    <t>repúblicadominicana bancocentral empleos ntelemicro5 emisiónestelarnt5</t>
  </si>
  <si>
    <t>bancocentral economía repúblicadominicana tasa primeraemisiónnt5 ntelemicro5</t>
  </si>
  <si>
    <t>ntelemicro5 emisiónestelarnt5 bancocentral comitéirvingfisher bancosdepagos comitéirvingfisher financiamientos bis</t>
  </si>
  <si>
    <t>juntamonetaria liquidez rd bancocentral ntelemicro5 emisiónestelarnt5</t>
  </si>
  <si>
    <t>ntelemicro5 emisiónestelarnt5 remesas bancocentral economía</t>
  </si>
  <si>
    <t>ntelemicro5 emisiónestelarnt5 precios canastabásica preciosdelosalimentos bancocentral economía</t>
  </si>
  <si>
    <t>ntelemicro5 nt5findesemana loúltimo rd bancocentral remesas</t>
  </si>
  <si>
    <t>ntelemicro5 emisiónestelarnt5 bancocentral inflación monetaria rd</t>
  </si>
  <si>
    <t>ntelemicro5 emisiónestelarnt5 precios canastabásica preciosdelosalimentos bancocentral economía inflación</t>
  </si>
  <si>
    <t>ntelemicro5 emisiónestelarnt5 bancocentral tasadepolíticamonetaria tasasdeinterés rd economía</t>
  </si>
  <si>
    <t>bancocentral luizatrajano</t>
  </si>
  <si>
    <t>blumenau copom selic bancocentral taxadejuros</t>
  </si>
  <si>
    <t>bancocentral stfvergonhanacional economia noticias informação globolixo</t>
  </si>
  <si>
    <t>bancocentral robertocamposneto damaresalves</t>
  </si>
  <si>
    <t>milei mileipresidente vivalalibertadcarajo bancocentral comunista cristinakirchner fernandez argentina venezolanos</t>
  </si>
  <si>
    <t>economiamundial estagnação inflação criseestrutural reformatributária neoliberalismo guerrarussiaucrania políticamonetária bancocentral</t>
  </si>
  <si>
    <t>economiabrasileira estagnação inflação criseestrutural reformatributária neoliberalismo guerrarussiaucrania bancocentral</t>
  </si>
  <si>
    <t>mercadodetrabalho estagnação inflação criseestrutural reformatributária neoliberalismo guerrarussiaucrania bancocentral</t>
  </si>
  <si>
    <t>reformatributária estagnação inflação criseestrutural reformatributária neoliberalismo guerrarussiaucrania bancocentral</t>
  </si>
  <si>
    <t>politicamonetária estagnação inflação criseestrutural reformatributária neoliberalismo guerrarussiaucrania bancocentral</t>
  </si>
  <si>
    <t>copom jurosbaixosjá copom bancocentral camposneto</t>
  </si>
  <si>
    <t>drex moedadigital bancocentral inovação investiria</t>
  </si>
  <si>
    <t>dolar selic copom bancocentral queda</t>
  </si>
  <si>
    <t>bancocentral turquía tiposinteres aperturamercados politicamonetaria felizviernes</t>
  </si>
  <si>
    <t>tiposinteres federalreserve bancocentral politicamonetaria eeuu</t>
  </si>
  <si>
    <t>bancocentral australia tiposinteres</t>
  </si>
  <si>
    <t>bancocentral australia</t>
  </si>
  <si>
    <t>bancocentral nuevazelanda tiposinteres politicamonetaria</t>
  </si>
  <si>
    <t>china prestamos hipotecas bancocentral politicamonetaria pboc</t>
  </si>
  <si>
    <t>políticamonetaria bancocentral japón mercados asia</t>
  </si>
  <si>
    <t>fed tipointeres bancocentral</t>
  </si>
  <si>
    <t>inflacion japón bancocentral</t>
  </si>
  <si>
    <t>bce tiposinteres bancocentral</t>
  </si>
  <si>
    <t>bancocentral corea</t>
  </si>
  <si>
    <t>bce tiposinteres euro bancocentral</t>
  </si>
  <si>
    <t>bce tiposinteres bancocentral politicamonetaria</t>
  </si>
  <si>
    <t>bancocentral canadá tiposinteres india politicamonetaria</t>
  </si>
  <si>
    <t>bancocentral letonia tiposinteres</t>
  </si>
  <si>
    <t>bancocentral china pboc politicamonetaria</t>
  </si>
  <si>
    <t>canadá bancocentral tiposinteres</t>
  </si>
  <si>
    <t>fed inflación bancocentral</t>
  </si>
  <si>
    <t>brasilnft blockchain nft metaverso web3 realdigital bancocentral</t>
  </si>
  <si>
    <t>concurso concursopublico governofederal bancocentral</t>
  </si>
  <si>
    <t>concurso concursopublico bacen bancocentral</t>
  </si>
  <si>
    <t>bacen bancocentral concurso</t>
  </si>
  <si>
    <t>bcra argentina boveda massa bancocentral patriciabullrich</t>
  </si>
  <si>
    <t>dolar bancocentral cordoba buenosaires caba cristina argentina unionporlapatria</t>
  </si>
  <si>
    <t>devaluacion argentina cristina cordoba bcra massa bancocentral bullrich dolarblue elkirchnerismodevaluó</t>
  </si>
  <si>
    <t>dinheiro bancocentral brasileiros dicas ralbank maisqueumbanco umacomunidade</t>
  </si>
  <si>
    <t>economía plazofijo bancos bancocentral ahorro pesos inversión mes neahoy</t>
  </si>
  <si>
    <t>economía plazofijo bancos bancocentral neahoy</t>
  </si>
  <si>
    <t>economía plazofijo bancos bancocentral ahorro neahoy</t>
  </si>
  <si>
    <t>economía plazofijo bancos bancocentral ahorro pesos neahoy</t>
  </si>
  <si>
    <t>economía plazofijo bancos bancocentral ahorro pesos inversión neahoy</t>
  </si>
  <si>
    <t>ahorro bancocentral bancos economía inversión neahoy</t>
  </si>
  <si>
    <t>bancocentral dólaroficial cambio elecciones paso neahoy</t>
  </si>
  <si>
    <t>mercadofinanceiro bolsadevalores bancocentral</t>
  </si>
  <si>
    <t>inflación bancocentral</t>
  </si>
  <si>
    <t>bancocentral jurosbaixosja</t>
  </si>
  <si>
    <t>chile economia gobierno bancocentral</t>
  </si>
  <si>
    <t>saltaaldianoticias bancocentral</t>
  </si>
  <si>
    <t>monedadereserva brics bancocentral</t>
  </si>
  <si>
    <t>rcm bancocentral santander</t>
  </si>
  <si>
    <t>diamondbrasil noticia bancocentral novopadrãodecheque cheque</t>
  </si>
  <si>
    <t>noticias bancocentral petroleras exportaciones bid</t>
  </si>
  <si>
    <t>bancarización enzona transfermóvil porcamagüeytodo bancocentral bancarizacion</t>
  </si>
  <si>
    <t>camposneto lula esquerda noticias bancocentral</t>
  </si>
  <si>
    <t>bancocentral milei dolarcentral</t>
  </si>
  <si>
    <t>abcagora estatísticasfiscais bancocentral superávitprimário dívidapública swapcambial</t>
  </si>
  <si>
    <t>economia jurosabusivos bancocentral</t>
  </si>
  <si>
    <t>bancocentral bce</t>
  </si>
  <si>
    <t>bancocentral cbdc stablecoins</t>
  </si>
  <si>
    <t>bancocentral joachimnagel bce</t>
  </si>
  <si>
    <t>margotduhalde bancocentral mujeres chile mujerpiloto</t>
  </si>
  <si>
    <t>confissõesdeumbibliotecárioemformação bancocentral youtube</t>
  </si>
  <si>
    <t>confissõesdeumbibliotecárioemformação youtube bancocentral</t>
  </si>
  <si>
    <t>bancocentral bibliotecárioconsultor unirio</t>
  </si>
  <si>
    <t>radar24rd radar24h rd noticias news peso pesodominicano dólar bcrd bancocentral</t>
  </si>
  <si>
    <t>radar24rd radar24h rd noticias news repúblicadominicana bancocentral bcrd inflación</t>
  </si>
  <si>
    <t>marioconde cbdcs eurodigital dolardigital criptomonedas cripto oro inflacion dolar euro worldcoin dinero agenda2030 fed federalreserve bancocentral lagarde bitcoin</t>
  </si>
  <si>
    <t>bancocentral faceauach uach valdiviacl</t>
  </si>
  <si>
    <t>milei economia flautista bancocentral argentina mentira</t>
  </si>
  <si>
    <t>reservas bancocentral</t>
  </si>
  <si>
    <t>estudiospublicos fintech innovacion bancocentral inclusionfinanciera</t>
  </si>
  <si>
    <t>inflação juros bancocentral brasil</t>
  </si>
  <si>
    <t>juros bancocentral economia</t>
  </si>
  <si>
    <t>cámarasempresariales úh dólar bancocentral costarica</t>
  </si>
  <si>
    <t>lomásleído costarica bancocentral créditos inflación</t>
  </si>
  <si>
    <t>alerta conassif úh bancocentral costarica</t>
  </si>
  <si>
    <t>turismo bancocentral políticamonetaria economía</t>
  </si>
  <si>
    <t>seguridad úh costarica bancocentral</t>
  </si>
  <si>
    <t>bancocentral brasil pix</t>
  </si>
  <si>
    <t>indicadoreseconômicos bancocentral</t>
  </si>
  <si>
    <t>bancocentral economia lula selic taxadejuros</t>
  </si>
  <si>
    <t>indicadoreseconômicos bancocentral boletimfocus economia</t>
  </si>
  <si>
    <t>bancocentral economia realdigital</t>
  </si>
  <si>
    <t>bancocentral economia inflação selic taxadejuros</t>
  </si>
  <si>
    <t>economiaclaraeprática bancocentral economia taxadejuros</t>
  </si>
  <si>
    <t>bancocentral indicadores indicadoreseconômicos</t>
  </si>
  <si>
    <t>bancocentral economia selic taxadejuros</t>
  </si>
  <si>
    <t>bancocentral cooperativas economia linhadecrédito</t>
  </si>
  <si>
    <t>bancocentral dólar indicadoreseconômicos inflação economia</t>
  </si>
  <si>
    <t>bancocentral cni economia selic</t>
  </si>
  <si>
    <t>bancocentral indicadoreseconômicos economia pib</t>
  </si>
  <si>
    <t>15septiembre monedarusa bancocentral noticias</t>
  </si>
  <si>
    <t>15septiembre bancocentral chile noticias</t>
  </si>
  <si>
    <t>22septiembre monedarusa bancocentral noticias</t>
  </si>
  <si>
    <t>18septiembre bancocentral chile noticias</t>
  </si>
  <si>
    <t>05julio bancocentral brasil noticias</t>
  </si>
  <si>
    <t>bancocentral economia ipca pib</t>
  </si>
  <si>
    <t>bancocentral rd</t>
  </si>
  <si>
    <t>bancocentral bancomundial</t>
  </si>
  <si>
    <t>bancocentral hafizegayeerkan jpmorgan</t>
  </si>
  <si>
    <t>migueldaoud canalrural agronegocio agricultura economia juros bancocentral selic</t>
  </si>
  <si>
    <t>bancocentral afueramilei</t>
  </si>
  <si>
    <t>bancocentral bancos bci</t>
  </si>
  <si>
    <t>bancarios bancos bci itau banco central bancocentral</t>
  </si>
  <si>
    <t>bancocentral conlafuerzadelpueblo contodoslavictoria palante cuba</t>
  </si>
  <si>
    <t>juros selic bancocentral</t>
  </si>
  <si>
    <t>bancocentral plazofijo ahorro inflacion</t>
  </si>
  <si>
    <t>bancocentral nasdaq techearnings</t>
  </si>
  <si>
    <t>bacen bancocentral crédito positivo fy</t>
  </si>
  <si>
    <t>bancocentral sisbacen nomelimpo</t>
  </si>
  <si>
    <t>cordobaahora dolarargentina bancocentral devaluacion paso2023 argentina</t>
  </si>
  <si>
    <t>dolar dolarblue elecciones2023 bancocentral</t>
  </si>
  <si>
    <t>venezuela enero julio bancocentral</t>
  </si>
  <si>
    <t>meiahora bancocentral inflação economia</t>
  </si>
  <si>
    <t>drex moedadigital bancocentral totalitarismo controle pobreza escasses destruição moeda economia nigéria</t>
  </si>
  <si>
    <t>voces voces1015fm conectacontigo laguaira venezuela bancocentral darien publicidad compra venta</t>
  </si>
  <si>
    <t>bancocentral casadamoeda cruzeiros</t>
  </si>
  <si>
    <t>2milpesos billetede2000pesos bcra bancocentral nuevobillete casadelamoneda ciencia medicina</t>
  </si>
  <si>
    <t>elbancocentral oro bancocentral argentina oro reservasdeoro fmi</t>
  </si>
  <si>
    <t>estamosahí ipc inflación bancocentral</t>
  </si>
  <si>
    <t>urgente paso2023 eleccionespaso2023 bancocentral dólar dólarblue usd</t>
  </si>
  <si>
    <t>cepo dólar bancocentral monedaextranjera deudas economía mendoza valledeuco elcucodigital</t>
  </si>
  <si>
    <t>massa acuerdos energía reservas bancocentral viaje china argentina economía valledeuco elcucodigital</t>
  </si>
  <si>
    <t>elcucodigital economia bancocentral inflacion meses</t>
  </si>
  <si>
    <t>plazofijo tasadeinterés ahorros ingreso bancocentral economía argentina valledeuco elcucodigital</t>
  </si>
  <si>
    <t>camposneto cartãodecrédito bancocentral</t>
  </si>
  <si>
    <t>jurosbaixosja bancocentral</t>
  </si>
  <si>
    <t>bancocentral hoydigital periódicohoy</t>
  </si>
  <si>
    <t>bancocentral hoydigital negocios periódicohoy remesas</t>
  </si>
  <si>
    <t>bancocentral fuerzadelpueblo hoydigital periódicohoy</t>
  </si>
  <si>
    <t>bancocentral billetes hilodeseguridad hoydigital periódicohoy</t>
  </si>
  <si>
    <t>azúcar bancocentral hoy hoydigital periódicohoy plátanos pollo</t>
  </si>
  <si>
    <t>bancocentral covid</t>
  </si>
  <si>
    <t>bancocentral remesas noticiassin sin24horas credibilidad aliciaortega gruposin</t>
  </si>
  <si>
    <t>noticiassin bancocentral inflacion</t>
  </si>
  <si>
    <t>noticiassin bancocentral compromiso</t>
  </si>
  <si>
    <t>noticiassin bancocentral juntamonetaria encajelegal préstamo</t>
  </si>
  <si>
    <t>noticiassin pedrobrache bancocentral inflación</t>
  </si>
  <si>
    <t>noticiassin bancocentral banca medidas monetaria</t>
  </si>
  <si>
    <t>noticiassin bancocentral sectores</t>
  </si>
  <si>
    <t>noticiassin bancocentral billete</t>
  </si>
  <si>
    <t>noticiassin bancocentral políticamonetaria tasa</t>
  </si>
  <si>
    <t>noticiassin bancocentral tasa políticamonetaria</t>
  </si>
  <si>
    <t>noticiassin economía bancocentral eeuu</t>
  </si>
  <si>
    <t>noticiassin bancocentral economía</t>
  </si>
  <si>
    <t>noticiassin nuevo billete dosmil bancocentral</t>
  </si>
  <si>
    <t>noticiassin nuevosempleos bancocentral empleos</t>
  </si>
  <si>
    <t>noticiassin bancocentral prodominicana acuerdo</t>
  </si>
  <si>
    <t>pávelisa economía gobierno bancocentral noticiassin aliciaortega</t>
  </si>
  <si>
    <t>noticiassin bancocentral productos</t>
  </si>
  <si>
    <t>noticiassin bancocentral</t>
  </si>
  <si>
    <t>vozdaturquia turquia bancocentral banco economia hafizegayeerkan erkan</t>
  </si>
  <si>
    <t>bancocentral andresnomientasotravez</t>
  </si>
  <si>
    <t>bancocentral milei</t>
  </si>
  <si>
    <t>4t adrianabraniff amlo bancocentral centralfm conacyt doreferriz estadosunidos frontera lopezobrador mexico morena pedroferriz playadelcarmen rubenhernandez turismo unam</t>
  </si>
  <si>
    <t>drex bancocentral</t>
  </si>
  <si>
    <t>cordoba bancocentral</t>
  </si>
  <si>
    <t>99pay bancocentral bancodigital carteiradigital dinheiro</t>
  </si>
  <si>
    <t>bancocentral bancodigital banco99 99pay</t>
  </si>
  <si>
    <t>absurdoooooo bancodigital bancocentral</t>
  </si>
  <si>
    <t>pox banco bradesco 99pay bancocentral</t>
  </si>
  <si>
    <t>bradesco banco bancocentral</t>
  </si>
  <si>
    <t>itau banco bancodigital bancocentral</t>
  </si>
  <si>
    <t>bancocentral bc bancos economia</t>
  </si>
  <si>
    <t>economíadl diariolibre bancocentral reducción políticamonetaria</t>
  </si>
  <si>
    <t>economíadl diariolibre remesas bancocentral</t>
  </si>
  <si>
    <t>economíadl diariolibre remesas bancocentral economía</t>
  </si>
  <si>
    <t>economíadl diariolibre bancocentral dinero encajelegal</t>
  </si>
  <si>
    <t>economíadl diariolibre bancocentral políticamonetaria</t>
  </si>
  <si>
    <t>economíadl diariolibre mipymes bancocentral estrategias</t>
  </si>
  <si>
    <t>economíadl diariolibre bancocentral comercios repúblicadominicana</t>
  </si>
  <si>
    <t>economíadl diariolibre bancocentral billete</t>
  </si>
  <si>
    <t>economíadl diariolibre bancocentral préstamos liquidez</t>
  </si>
  <si>
    <t>economíadl diariolibre economíadl macroeconomía dinero crecimiento dominicanos politicas bancocentral</t>
  </si>
  <si>
    <t>economíadl diariolibre bancocentral pagosalinstante</t>
  </si>
  <si>
    <t>economíadl diariolibre remesas finanzas crecimiento bancocentral</t>
  </si>
  <si>
    <t>economíadl diariolibre inflación bancocentral</t>
  </si>
  <si>
    <t>economíadl diariolibre macroeconomíadl inflación bancocentral economíadominicana</t>
  </si>
  <si>
    <t>argentina bancocentral renunciamassa mileipresidente</t>
  </si>
  <si>
    <t>argenzuela massa bancocentral</t>
  </si>
  <si>
    <t>otempo política equador fernandovillavicencio bancocentral</t>
  </si>
  <si>
    <t>otempo política política bancocentral reformatributária rôbos</t>
  </si>
  <si>
    <t>moedadigital bancocentral drex</t>
  </si>
  <si>
    <t>pix bancocentral cvm economia</t>
  </si>
  <si>
    <t>billete bancocentral argentina</t>
  </si>
  <si>
    <t>productividadencasa checklistproductivo jefesatisfecho díasgeniales bancocentral radiopichincha pabelmuñoz love viral trending foryoupage tiktok follow</t>
  </si>
  <si>
    <t>productividadencasa díasgeniales bancocentral eyal mercurio love viral trending foryoupage twitterx follow nature empoweringlives</t>
  </si>
  <si>
    <t>javiermilei bradpitt mirmidones bancocentral</t>
  </si>
  <si>
    <t>bancocentral políticamonetaria</t>
  </si>
  <si>
    <t>bancocentral tpm</t>
  </si>
  <si>
    <t>bancocentral economia feedprincipal</t>
  </si>
  <si>
    <t>alimentos bancocentral economia</t>
  </si>
  <si>
    <t>argentina bancocentral economia</t>
  </si>
  <si>
    <t>bancocentral combustíveis economia</t>
  </si>
  <si>
    <t>aovivo bancocentral brasil</t>
  </si>
  <si>
    <t>agenda agendadodia bancocentral</t>
  </si>
  <si>
    <t>abf bancocentral businesstimes</t>
  </si>
  <si>
    <t>bancocentral bolsa bolsadevalores</t>
  </si>
  <si>
    <t>abrainc anfavea bancocentral</t>
  </si>
  <si>
    <t>bancocentral brasil economia</t>
  </si>
  <si>
    <t>bancocentral carreiras emprego</t>
  </si>
  <si>
    <t>bancocentral dividendos economia</t>
  </si>
  <si>
    <t>balançacomercial bancocentral brasil</t>
  </si>
  <si>
    <t>ásia bancocentral bolsadevalores</t>
  </si>
  <si>
    <t>agenda bancocentral copom</t>
  </si>
  <si>
    <t>agenda bancocentral bancocentraldojapão</t>
  </si>
  <si>
    <t>bancocentral brasil crédito</t>
  </si>
  <si>
    <t>bancocentral economia gabrielgalípolo</t>
  </si>
  <si>
    <t>arcabouçofiscal bancocentral brasil</t>
  </si>
  <si>
    <t>bancocentral bancos c6bank</t>
  </si>
  <si>
    <t>alugueldecarros bancocentral carros</t>
  </si>
  <si>
    <t>bancocentral brasil feedprincipal</t>
  </si>
  <si>
    <t>bancocentral bancocentraleuropeu brasil</t>
  </si>
  <si>
    <t>bancocentral brasil cmn</t>
  </si>
  <si>
    <t>bancocentral câmbio dólar</t>
  </si>
  <si>
    <t>bancocentral copom lula</t>
  </si>
  <si>
    <t>ações bancocentral bolsadevalores</t>
  </si>
  <si>
    <t>bancocentral copom estadosunidos</t>
  </si>
  <si>
    <t>bancocentral bancos brasil</t>
  </si>
  <si>
    <t>balançacomercial bancocentral copom</t>
  </si>
  <si>
    <t>bancocentral economia fmi</t>
  </si>
  <si>
    <t>bancocentral copom economia</t>
  </si>
  <si>
    <t>b3 bancocentral câmaradosdeputados</t>
  </si>
  <si>
    <t>bancocentral bancocentraleuropeu economia</t>
  </si>
  <si>
    <t>bancocentral bancos caixaeconômicafederal</t>
  </si>
  <si>
    <t>bancocentral brasil câmbio</t>
  </si>
  <si>
    <t>bancocentral economia exclusivo</t>
  </si>
  <si>
    <t>bancocentral feedprincipal fiis</t>
  </si>
  <si>
    <t>bancocentral brasil dowjones</t>
  </si>
  <si>
    <t>bancocentral caixaeconômicafederal economia</t>
  </si>
  <si>
    <t>análisemacro bancocentral brasil</t>
  </si>
  <si>
    <t>automóveis bancocentral brasil</t>
  </si>
  <si>
    <t>bancocentral copom dólar</t>
  </si>
  <si>
    <t>bancocentral cmn colunadoeduardovelho</t>
  </si>
  <si>
    <t>b3 bancocentral câmbio</t>
  </si>
  <si>
    <t>bancocentral bancos economia</t>
  </si>
  <si>
    <t>bancocentral carreiras estherdweck</t>
  </si>
  <si>
    <t>bancocentral câmaradosdeputados câmbio</t>
  </si>
  <si>
    <t>armíniofraga bancocentral brasil</t>
  </si>
  <si>
    <t>arcabouçofiscal balançacomercial bancocentral</t>
  </si>
  <si>
    <t>bancocentral economia entrevista</t>
  </si>
  <si>
    <t>bancocentral justiça pix</t>
  </si>
  <si>
    <t>bancocentral brasil cartõesdecrédito</t>
  </si>
  <si>
    <t>bancocentral drex economia</t>
  </si>
  <si>
    <t>bancocentral colunadomarketmakers copom</t>
  </si>
  <si>
    <t>bancocentral estadosunidos feedprincipal</t>
  </si>
  <si>
    <t>bancocentral copom feedprincipal</t>
  </si>
  <si>
    <t>bancocentral câmbio copom</t>
  </si>
  <si>
    <t>bancocentral bancos federalreserve</t>
  </si>
  <si>
    <t>ativainvestimentos bancocentral economia</t>
  </si>
  <si>
    <t>bancocentral brasil caixaeconômicafederal</t>
  </si>
  <si>
    <t>bancocentral brasil gabrielgalípolo</t>
  </si>
  <si>
    <t>bancocentral brasil carreiras</t>
  </si>
  <si>
    <t>bancocentral brasil china</t>
  </si>
  <si>
    <t>bancocentral copom inflação</t>
  </si>
  <si>
    <t>bancocentral cartõesdecrédito feedprincipal</t>
  </si>
  <si>
    <t>américalatina bancocentral bancocentraleuropeu</t>
  </si>
  <si>
    <t>bancocentral china economia</t>
  </si>
  <si>
    <t>bancocentral copom federalreserve</t>
  </si>
  <si>
    <t>bancocentral brasil dólar</t>
  </si>
  <si>
    <t>bancocentral copom governofederal</t>
  </si>
  <si>
    <t>bancocentral bancos colunadobankly</t>
  </si>
  <si>
    <t>bancocentral feedprincipal openfinance</t>
  </si>
  <si>
    <t>alemanha ásia bancocentral</t>
  </si>
  <si>
    <t>armíniofraga bancocentral economia</t>
  </si>
  <si>
    <t>bancocentral copom dividendos</t>
  </si>
  <si>
    <t>bancocentral inflação omelhordoseudinheiro</t>
  </si>
  <si>
    <t>bancocentral brasil câmaradosdeputados</t>
  </si>
  <si>
    <t>bancocentral c6bank cdb</t>
  </si>
  <si>
    <t>bancocentral crime economia</t>
  </si>
  <si>
    <t>b3 bancocentral brasil</t>
  </si>
  <si>
    <t>bancocentral câmbio china</t>
  </si>
  <si>
    <t>bancocentral câmbio economia</t>
  </si>
  <si>
    <t>ásia bancocentral brasil</t>
  </si>
  <si>
    <t>ações bancocentral empresas</t>
  </si>
  <si>
    <t>ações adr bancocentral</t>
  </si>
  <si>
    <t>agênciabrasil bancocentral cartõesdecrédito</t>
  </si>
  <si>
    <t>bancocentral bancos bolsadevalores</t>
  </si>
  <si>
    <t>aliexpress bancocentral brasil</t>
  </si>
  <si>
    <t>bancocentral colunadageizebelschieferdecker copom</t>
  </si>
  <si>
    <t>balançacomercial bancocentral dólar</t>
  </si>
  <si>
    <t>balançacomercial bancocentral câmbio</t>
  </si>
  <si>
    <t>ações bancocentral csn</t>
  </si>
  <si>
    <t>bancocentral bbprogressivo btgpactualcorporateoffice</t>
  </si>
  <si>
    <t>bancocentral copom desenrola</t>
  </si>
  <si>
    <t>b3 bancocentral copom</t>
  </si>
  <si>
    <t>bancocentral feedprincipal inflação</t>
  </si>
  <si>
    <t>bancocentral brasil dívidapública</t>
  </si>
  <si>
    <t>arcabouçofiscal bancocentral câmbio</t>
  </si>
  <si>
    <t>bancocentral caixaeconômicafederal copom</t>
  </si>
  <si>
    <t>bancocentral ibovespa mercados</t>
  </si>
  <si>
    <t>bancocentral bolsadevalores brasil</t>
  </si>
  <si>
    <t>bancocentral brasil cni</t>
  </si>
  <si>
    <t>bancocentral brasil cae</t>
  </si>
  <si>
    <t>bancocentral bancos consumo</t>
  </si>
  <si>
    <t>bancocentral bradescobbi brasil</t>
  </si>
  <si>
    <t>bancocentral feedprincipal moedas</t>
  </si>
  <si>
    <t>bancocentral colunadoeduardovelho contaspúblicas</t>
  </si>
  <si>
    <t>bancocentral bancos câmbio</t>
  </si>
  <si>
    <t>bancocentral federalreserve jairbolsonaro</t>
  </si>
  <si>
    <t>bancocentral buladomercado copom</t>
  </si>
  <si>
    <t>bancocentral bancodobrasil bancos</t>
  </si>
  <si>
    <t>aplicativo bancocentral bancos</t>
  </si>
  <si>
    <t>bancocentral colunadadevant economia</t>
  </si>
  <si>
    <t>bancocentral entrevista fernandohaddad</t>
  </si>
  <si>
    <t>b3 bancocentral bankofamerica</t>
  </si>
  <si>
    <t>abrainc bancocentral construçãocivil</t>
  </si>
  <si>
    <t>ações bancocentral feedprincipal</t>
  </si>
  <si>
    <t>bancocentral cmn dowjones</t>
  </si>
  <si>
    <t>bancocentral bolsafamília brasil</t>
  </si>
  <si>
    <t>agênciasebrae bancocentral economia</t>
  </si>
  <si>
    <t>bancocentral brasil combustíveis</t>
  </si>
  <si>
    <t>bancocentral empresas federalreserve</t>
  </si>
  <si>
    <t>américalatina bancocentral brasil</t>
  </si>
  <si>
    <t>bancocentral eletrobras febraban</t>
  </si>
  <si>
    <t>arcabouçofiscal arthurlira bancocentral</t>
  </si>
  <si>
    <t>1t23 bancocentral brasil</t>
  </si>
  <si>
    <t>bancocentral brasil juros</t>
  </si>
  <si>
    <t>bancocentral bancocentraleuropeu bancos</t>
  </si>
  <si>
    <t>bancocentral economia juros</t>
  </si>
  <si>
    <t>anfavea bancocentral brasil</t>
  </si>
  <si>
    <t>bancocentral brasil drex</t>
  </si>
  <si>
    <t>bancocentral feedprincipal finançaspessoais</t>
  </si>
  <si>
    <t>bancocentral feedprincipal pagamentos</t>
  </si>
  <si>
    <t>bancocentral brzempreendimentos créditoimobiliário</t>
  </si>
  <si>
    <t>b3 bancocentral btgpactual</t>
  </si>
  <si>
    <t>bancocentral btgpactual dívidapública</t>
  </si>
  <si>
    <t>bancocentral bancocentraldojapão bancocentraleuropeu</t>
  </si>
  <si>
    <t>bancocentral bancocentraleuropeu bolsa</t>
  </si>
  <si>
    <t>análisemacro bancocentral economia</t>
  </si>
  <si>
    <t>bancocentral criptoativos cvm</t>
  </si>
  <si>
    <t>arcabouçofiscal bancocentral dívidapública</t>
  </si>
  <si>
    <t>bancocentral consumo economia</t>
  </si>
  <si>
    <t>alimentos bancocentral brasil</t>
  </si>
  <si>
    <t>bancocentral economia fernandohaddad</t>
  </si>
  <si>
    <t>bancocentral bancos businesstimes</t>
  </si>
  <si>
    <t>bancocentral btgpactual cdi</t>
  </si>
  <si>
    <t>bancocentral china copom</t>
  </si>
  <si>
    <t>bancocentral copom fernandohaddad</t>
  </si>
  <si>
    <t>moneytimes bancocentral pix</t>
  </si>
  <si>
    <t>focus bancocentral inflação moneytimes</t>
  </si>
  <si>
    <t>agenda bancocentral brasil</t>
  </si>
  <si>
    <t>bancocentral dólar emmanuelmacron</t>
  </si>
  <si>
    <t>agenda bancocentral cvc</t>
  </si>
  <si>
    <t>bancocentral bancocentraleuropeu christinelagarde</t>
  </si>
  <si>
    <t>bancocentral brasil ministériodafazenda</t>
  </si>
  <si>
    <t>bancocentral buladomercado cmn</t>
  </si>
  <si>
    <t>aposentadoria bancocentral cdi</t>
  </si>
  <si>
    <t>bancocentral brasil estadosunidos</t>
  </si>
  <si>
    <t>arcabouçofiscal b3 bancocentral</t>
  </si>
  <si>
    <t>albertofernández argentina bancocentral</t>
  </si>
  <si>
    <t>bancocentral crime febraban</t>
  </si>
  <si>
    <t>bancocentral brasília economia</t>
  </si>
  <si>
    <t>agênciabrasil bancocentral crédito</t>
  </si>
  <si>
    <t>dolarblue bancocentral dolar mercado</t>
  </si>
  <si>
    <t>inflação economia bancocentral</t>
  </si>
  <si>
    <t>bancocentral soja</t>
  </si>
  <si>
    <t>gbm bancocentral brasil tasa</t>
  </si>
  <si>
    <t>costarica bancocentral economia finanzas</t>
  </si>
  <si>
    <t>bancocentral usdt</t>
  </si>
  <si>
    <t>felizviernesatodos felizviernesatodos bancocentral economia</t>
  </si>
  <si>
    <t>cutbrasil bancocentral jurosbaixosjá</t>
  </si>
  <si>
    <t>bolsonarista bancocentral hipocrita camposnetto</t>
  </si>
  <si>
    <t>pix micheltemer bancocentral</t>
  </si>
  <si>
    <t>bancocentral chile</t>
  </si>
  <si>
    <t>dinheiro bancocentral saque valores receber recursos tveradioregional sandromoraes noticias jornal</t>
  </si>
  <si>
    <t>lulapresidente brasilemconstrução ministériodafazenda foracamposneto bancocentral tcu politicamonetaria juros baixajuros selic</t>
  </si>
  <si>
    <t>camposneto bancocentral lula</t>
  </si>
  <si>
    <t>bancocentral bcra billetesnuevos carrillo</t>
  </si>
  <si>
    <t>tokenizaçãodaeconomia moedadigital bancocentral</t>
  </si>
  <si>
    <t>bancocentral cripto criptomonedas</t>
  </si>
  <si>
    <t>brasil bancocentral cripto</t>
  </si>
  <si>
    <t>bancocentral bis bancomundial</t>
  </si>
  <si>
    <t>idec consumidor bancocentral</t>
  </si>
  <si>
    <t>bancocentral argentina plazofijo tasa ahorro interes</t>
  </si>
  <si>
    <t>bancocentral tasafija economia plazofijo tasas informe</t>
  </si>
  <si>
    <t>bancocentral dolares mercado cambio saldo</t>
  </si>
  <si>
    <t>bancocentral transparencia</t>
  </si>
  <si>
    <t>billetessoberanos sucre ecuadolares dólares bancocentral correismoescorrupción rc5ladeladesdolarización</t>
  </si>
  <si>
    <t>marcoantoniovilla juros jurosaltos economia crescimento robertocamposneto bancocentral</t>
  </si>
  <si>
    <t>fetrafrjes riodejaneiro espíritosanto bancários bancocentral</t>
  </si>
  <si>
    <t>aovivo</t>
  </si>
  <si>
    <t>dolarblue dolarccl dolarmep dolar bcra reservasbcra bancocentral arg</t>
  </si>
  <si>
    <t>bitcoin descentralización p2p adopción inflación deuda ahorros poderadquisitivo economía macroeconomía políticamonetaria políticafiscal bancocentral crecimientoeconómico tasasdeinterés deflación</t>
  </si>
  <si>
    <t>bitcoin descentralización p2p adopción inflación deuda ahorros poderadquisitivo economía macroeconomía políticamonetaria políticafiscal bancocentral crecimientoeconómico</t>
  </si>
  <si>
    <t>juros bancocentral</t>
  </si>
  <si>
    <t>cae bancocentral economia autonomiadobancocentral</t>
  </si>
  <si>
    <t>bancocentral sabatina</t>
  </si>
  <si>
    <t>bancocentral msf27_2023 msf28_2023</t>
  </si>
  <si>
    <t>inflação bancocentral</t>
  </si>
  <si>
    <t>planessociales dolarizar bancocentral vouchers massa milei milei2023</t>
  </si>
  <si>
    <t>bancocentral cae sabatinas</t>
  </si>
  <si>
    <t>fuerzadelpueblo sevan</t>
  </si>
  <si>
    <t>bancocentral modelodepobreza</t>
  </si>
  <si>
    <t>mecadopago bancocentral</t>
  </si>
  <si>
    <t>ciesudd bancocentral financierointernacional</t>
  </si>
  <si>
    <t>banca cartel expresso bitcoin bancocentral governo</t>
  </si>
  <si>
    <t>argenttina bancocentral</t>
  </si>
  <si>
    <t>dolar dolarizar milei demente colonia argentina corralito libertarios esclavos chaumilei bancocentral antipatria capitalismo derecha</t>
  </si>
  <si>
    <t>bancocentral dolarizar milei demente crisis argentina libertario colonia esclavos dolar corralito derecha</t>
  </si>
  <si>
    <t>bancocentral costarica</t>
  </si>
  <si>
    <t>bancocentral finanzas</t>
  </si>
  <si>
    <t>bancocentral dolar</t>
  </si>
  <si>
    <t>bacen bancocentral foracamposneto jurosbaixojá</t>
  </si>
  <si>
    <t>bacen economia foracamposneto bancocentral jurosabusivos jurosbaixos jurosbaixosjá brasil</t>
  </si>
  <si>
    <t>bacen economia foracamposneto bancocentral jurosabusivos</t>
  </si>
  <si>
    <t>bacen camposneto foracamposneto bancocentral brasil lulapresidente economia</t>
  </si>
  <si>
    <t>caixa jurosbaixosjá foracamposneto bacen bancocentral economia camposneto brasil</t>
  </si>
  <si>
    <t>foracamposneto bacen bancocentral economia soberanianacional lulapresidente</t>
  </si>
  <si>
    <t>bacen economia foracamposneto bancocentral jurosabusivos jurosbaixosjá</t>
  </si>
  <si>
    <t>bacen economia foracamposneto bancocentral jurosabusivos jurosbaixos</t>
  </si>
  <si>
    <t>noarnacbn lula bancocentral</t>
  </si>
  <si>
    <t>economia bancocentral noarnacbn</t>
  </si>
  <si>
    <t>bancocentral fonfof</t>
  </si>
  <si>
    <t>bancocentral tasadepoliticamonetaria</t>
  </si>
  <si>
    <t>moneda bancocentral cbdc blockchain moneda país revistaforex aprende blog bolsa broker estafa cripto criptotech crypto cryptomonedas denuncia brokers denunciabrokers</t>
  </si>
  <si>
    <t>cbdc reguladas autoridad país bancocentral dolar economia enseñanza euro finanzas forex indices inversiones invertir inverte materiasprimas negocios noticias tecnologia estafabroker</t>
  </si>
  <si>
    <t>bancocentral realdigital drex</t>
  </si>
  <si>
    <t>itau instavel bancocentral</t>
  </si>
  <si>
    <t>denunciaciudadana bancocentral transportepúblico quito</t>
  </si>
  <si>
    <t>jurosbaixosjá economia juros bancocentral</t>
  </si>
  <si>
    <t>mesmo esperneio copom mantém taxa selic política bancocentral brasil lulista</t>
  </si>
  <si>
    <t>bancocentral medidas</t>
  </si>
  <si>
    <t>bancocentral fmi</t>
  </si>
  <si>
    <t>mercadopago mercadolibre gobierno bancocentral massa milei kukas billeteravirtual dolar</t>
  </si>
  <si>
    <t>bancocentral remesas</t>
  </si>
  <si>
    <t>bcrd economia bancocentral tasapoliticamonetaria controlinflacion expectativaspositivas crecimiento desarrollo pib</t>
  </si>
  <si>
    <t>noticiasas economía bancocentral</t>
  </si>
  <si>
    <t>lula bancocentral juros bcb copom selic camposneto</t>
  </si>
  <si>
    <t>juros selic ipca inflação copom atadocopom bancocentral</t>
  </si>
  <si>
    <t>juros selic bancocentral copom bc</t>
  </si>
  <si>
    <t>gas gnl energia federicobernal federicobasualdo dariomartinez dolar flaviaroyon sergiomassa superministro reservas bancocentral</t>
  </si>
  <si>
    <t>ubs santander bancos bancocentral fed</t>
  </si>
  <si>
    <t>fed bancocentral bancos ubs santander</t>
  </si>
  <si>
    <t>bancocentral nuevobillete</t>
  </si>
  <si>
    <t>aovivo governolula bolsonaroinelegível bancocentral camposneto tse</t>
  </si>
  <si>
    <t>aovivo bolsonaroinelegível governolula jairbolsonaro bancocentral camposneto tse</t>
  </si>
  <si>
    <t>lemondediplomatique ladislaudowbor bancocentral economia taxaselic</t>
  </si>
  <si>
    <t>luizatrajano camposneto bancocentral juros economia notíciasdodia redetvt tvt</t>
  </si>
  <si>
    <t>aovivo governolula bancocentral reformatributária mercosul</t>
  </si>
  <si>
    <t>aovivo governolula camposneto bancocentral iraque</t>
  </si>
  <si>
    <t>bancocentral mejoresposible bancarioscubanos</t>
  </si>
  <si>
    <t>bancocentral bancointegradodepartamental roquefernandez</t>
  </si>
  <si>
    <t>bancocentral bancoaciso bancointegradodepartamental bancodelaribera</t>
  </si>
  <si>
    <t>bancocentral dinheiroesquecido economia</t>
  </si>
  <si>
    <t>pix pagamento bancocentral</t>
  </si>
  <si>
    <t>vallejocreraja maride gobiernodeladrones inflación bancocentral</t>
  </si>
  <si>
    <t>pix pixautomático bancocentral openfinance saas baas fintechs</t>
  </si>
  <si>
    <t>agrishow2023 vacinação jurosaltos bancocentral</t>
  </si>
  <si>
    <t>bancocentral crédito brasil</t>
  </si>
  <si>
    <t>bancocentral drex economiaepolítica realdigital youtube</t>
  </si>
  <si>
    <t>aplicativos bancocentral economia economiaepolítica pix</t>
  </si>
  <si>
    <t>economia bancocentral crédito</t>
  </si>
  <si>
    <t>bancocentral fluxocambial mercados</t>
  </si>
  <si>
    <t>bancocentral drex economiaepolítica</t>
  </si>
  <si>
    <t>bancocentral bancos empresas pib</t>
  </si>
  <si>
    <t>bancocentral inflação robertocamposneto</t>
  </si>
  <si>
    <t>bancocentral câmbio dólar economiaepolítica</t>
  </si>
  <si>
    <t>bancocentral dólar mercados robertocamposneto</t>
  </si>
  <si>
    <t>pib bancocentral</t>
  </si>
  <si>
    <t>bancocentral bancodobrasil crédito desenrolabrasil</t>
  </si>
  <si>
    <t>bancocentral carreiras economiaepolítica</t>
  </si>
  <si>
    <t>bancocentral economiaepolítica jpmorgan pib robertocamposneto</t>
  </si>
  <si>
    <t>pix bc bancocentral</t>
  </si>
  <si>
    <t>bancocentral câmaradosdeputados cartãodecrédito cmn congresso crédito economiaepolítica</t>
  </si>
  <si>
    <t>bancocentral dólar eua mercados</t>
  </si>
  <si>
    <t>bancocentral copom economiaepolítica taxaselic</t>
  </si>
  <si>
    <t>combustíveis bancocentral</t>
  </si>
  <si>
    <t>américalatina bancocentral brasil cartãodecrédito clara empresas fintech</t>
  </si>
  <si>
    <t>bancocentral copom economiaepolítica fernandohaddad juros lula</t>
  </si>
  <si>
    <t>b3 bancocentral dólar eua mercados</t>
  </si>
  <si>
    <t>economia dívidas bancocentral brasil</t>
  </si>
  <si>
    <t>desinflacao galipolo bancocentral</t>
  </si>
  <si>
    <t>focus bancocentral</t>
  </si>
  <si>
    <t>bancocentral brasil pib</t>
  </si>
  <si>
    <t>bancocentral congresso economiaepolítica fernandohaddad ministériodafazenda</t>
  </si>
  <si>
    <t>bancocentral economiaepolítica empréstimo consignado inss previdênciasocialaposentadoria</t>
  </si>
  <si>
    <t>bancocentral copom economiaepolítica robertocamposneto</t>
  </si>
  <si>
    <t>inflação brasil bancocentral</t>
  </si>
  <si>
    <t>bancocentral camposneto dólar eua inflação mercados</t>
  </si>
  <si>
    <t>bancos bancocentral brasil</t>
  </si>
  <si>
    <t>bancocentral brasil camposneto economiaepolítica lula paláciodoplanalto taxaselic</t>
  </si>
  <si>
    <t>bancocentral congresso economiaepolítica fernandohaddad robertocamposneto</t>
  </si>
  <si>
    <t>bancocentral bancos fintech nubank nupay</t>
  </si>
  <si>
    <t>bancocentral economiaepolítica robertocamposneto</t>
  </si>
  <si>
    <t>bancocentral economiaepolítica fernandohaddad taxaselic</t>
  </si>
  <si>
    <t>bancocentral copom economiaepolítica fernandohaddad juros lula taxaselic</t>
  </si>
  <si>
    <t>cartaodecredito camposneto bancocentral</t>
  </si>
  <si>
    <t>investimentos fitch bancocentral economia</t>
  </si>
  <si>
    <t>bancocentral congresso economiaepolítica simonetebet</t>
  </si>
  <si>
    <t>bancocentral economiaepolítica eua ibge pib taxaselic</t>
  </si>
  <si>
    <t>bancocentral inflacao</t>
  </si>
  <si>
    <t>bancocentral copom economia ibovespa mercados taxaselic</t>
  </si>
  <si>
    <t>bancocentral copom dólar mercado taxaselic</t>
  </si>
  <si>
    <t>camposneto bancocentral camposneto copom</t>
  </si>
  <si>
    <t>bancocentral câmaradosdeputados economiaepolítica robertocamposneto</t>
  </si>
  <si>
    <t>bancocentral contaspúblicas economiaepolítica previdênciasocial</t>
  </si>
  <si>
    <t>bancocentral cartãodecrédito crédito economiaepolítica</t>
  </si>
  <si>
    <t>bancocentral dívida economiaepolítcia</t>
  </si>
  <si>
    <t>bancocentral bankofamerica economiaepolítica taxaselic</t>
  </si>
  <si>
    <t>bancocentral petrobras</t>
  </si>
  <si>
    <t>bancocentral brasil china copom economiaepolítica juros mercados</t>
  </si>
  <si>
    <t>ações bancocentral copom eletrobras ibovespa itaúunibanco mercados</t>
  </si>
  <si>
    <t>economia bancocentral brasil</t>
  </si>
  <si>
    <t>cheque bancocentral</t>
  </si>
  <si>
    <t>europa nuevaentradadelblog cbdc bancocentral gobierno creatuimperio</t>
  </si>
  <si>
    <t>lula bancocentral</t>
  </si>
  <si>
    <t>astrología bancocentral</t>
  </si>
  <si>
    <t>bancocentral banco república</t>
  </si>
  <si>
    <t>selic copom bancocentral mercadohoje</t>
  </si>
  <si>
    <t>exportaciones sergiomassa bancocentral</t>
  </si>
  <si>
    <t>justiciafederal bancocentral</t>
  </si>
  <si>
    <t>bancocentral deuda gobernador</t>
  </si>
  <si>
    <t>argentina fmi bancocentral políticafiscal dólarblue ministeriodeeconomía</t>
  </si>
  <si>
    <t>bancocentral inflación ahorros llegarafindemes</t>
  </si>
  <si>
    <t>bancocentral dolar milei bullrich sergiomassa</t>
  </si>
  <si>
    <t>bancocentral dolar milei bullric</t>
  </si>
  <si>
    <t>cocolee flamenco dostribuciondelariqueza tumbaito eleccionesgenerales2023 china yuan swap bancocentral deudaexterna dolar</t>
  </si>
  <si>
    <t>noticiaseconómicas economia noticias bancos bancocentral</t>
  </si>
  <si>
    <t>csna3 csn commodities ibovespa selic bancocentral etf bitcoin china crimeia russia dolar tradingopportunity candlestick</t>
  </si>
  <si>
    <t>brkm5 braskem unipar ibovespa industria chemicals consumers inflation bancocentral foralula analisegrafica tradingstrategy</t>
  </si>
  <si>
    <t>vale3 vale commodities ibovespa bancocentral selic emergingmarkets china taiwan federalreserve dolar policy daytrading realestatemarket bitcoin</t>
  </si>
  <si>
    <t>embr3 embraer ibovespa copom selic airplane foralula analisegrafica daytrading dolar inflation bancocentral trading</t>
  </si>
  <si>
    <t>movi3 movida ibovespa governo foralula china taiwan diesel copom bancocentral inflation leasing dolar bitcoin</t>
  </si>
  <si>
    <t>b3sa3 b3 ibovespa finance investments swingtrading analisegrafica bancocentral selic inflation tradingsignals candlestick</t>
  </si>
  <si>
    <t>vale3 vale ibovespa china commodities ironore brics russia analisetecnica daytrading recession dolar interestrates bancocentral arcabouçofiscal</t>
  </si>
  <si>
    <t>encajelegal bancocentral republicadominicana bancos bancoscomerciales prestamos viviendas viviendasbajocosto millones</t>
  </si>
  <si>
    <t>bancocentral china alemania yuan crisiseconomica mercados livenews breakingnews noticiaseconomicas actualidad negociostv</t>
  </si>
  <si>
    <t>economia hipotecas vivienda europa economiaeuropa euribor pmi estadosunidos bancos bancoseuropa tiposdeinterés bancocentral negociostv vizner</t>
  </si>
  <si>
    <t>hiperinflacion argentina europa dinero monedas billetes bancocentral inflacion crisiseconomica crisisfinanciera liquidez recesion negociostv</t>
  </si>
  <si>
    <t>hiperinflacion argentina europa dinero monedas billetes bancocentral políticamonetaria crisiseconomica crisisfinanciera crisisbancaria recesion</t>
  </si>
  <si>
    <t>bundesbank alemania deuda crisisbancaria bancocentral bonos capitalization capital economia tasadeinteres bce ultimahora negociostv</t>
  </si>
  <si>
    <t>bce bancocentral europa liquidez bancos economia noticiasenespañol noticiaseconomicas negociostv negocios</t>
  </si>
  <si>
    <t>xtb lagarde bce politicamonetaria economia europa unioneuropea mercados entrevista christinelagarde bancocentral tecnologia mercadobajista negociostv</t>
  </si>
  <si>
    <t>morganstanley fed eeuu ultimahora reservafederal recortes politica politicamonetaria softlanding economia bancos bancocentral tipos negociostv noticiasenespañol</t>
  </si>
  <si>
    <t>lagarde bce negociostv declaraciones europa bancocentral christinelagarde conferencia unioneuropea balance ruedadeprensa plan</t>
  </si>
  <si>
    <t>bce recesion subidadetipos economia cartera inversiones bolsadevalores mercados bancocentral europa mercados mercadosfinancieros negociostv noticiasenespañol</t>
  </si>
  <si>
    <t>polonia economia bancocentral tiposdeinteres unioneuropea inflacion negociostv europa recortes politicamonetaria varsovia javierluengo</t>
  </si>
  <si>
    <t>ucrania unioneuropea rusia guerraucrania russiaukrainewar activos ayuda legal bancocentral ursulavonderleyen ue negociostv noticiasenespañol</t>
  </si>
  <si>
    <t>francia inflacion bancocentral bancocentraleuropeo inflacioneuropa bancoscentrales economia europa ultimahora livenews negociostv josevizner</t>
  </si>
  <si>
    <t>trading inflación inflacion bancocentral eeuu estadosunidos xtblatam</t>
  </si>
  <si>
    <t>china trading bancocentral trader dolar</t>
  </si>
  <si>
    <t>collins fed bancocentral</t>
  </si>
  <si>
    <t>bce dolar trading bancocentral bancocentraleuropeo inflación inflacion tasadeinterés capital ultimahora</t>
  </si>
  <si>
    <t>inflación trading trader xtblatam bancocentral eeuu inflacion</t>
  </si>
  <si>
    <t>neelkashkari bancocentral fed eeuu trading</t>
  </si>
  <si>
    <t>bancocentral fomc bce euro trading forex</t>
  </si>
  <si>
    <t>brunnatavares prefeiturademaricá maricá pt governolula bancocentral sakamoto</t>
  </si>
  <si>
    <t>charge jornalismo chargedodia economia bancocentral juros taxadejuros selic política bc ilustração desenho draw arte tribuna tribunahoje tribunaindependente jorgraf</t>
  </si>
  <si>
    <t>charge jornalismo chargedodia economia bancocentral juros presidentelula selic política bc ilustração desenho draw arte tribuna tribunahoje tribunaindependente</t>
  </si>
  <si>
    <t>809do seguridadjuridica transparenciard sectorenergetico bancocentral rd</t>
  </si>
  <si>
    <t>sindpdce bc bancocentral economia valoresareceber</t>
  </si>
  <si>
    <t>sindpdce bc bancocentral economia saque pis pasep inss</t>
  </si>
  <si>
    <t>sindpdce pixautomatico pix bancocentral brasil tecnologia transações</t>
  </si>
  <si>
    <t>copom taxadejuros inflação economia juroscompostos bancocentral juros</t>
  </si>
  <si>
    <t>oconvergente brasil bancocentral política economia</t>
  </si>
  <si>
    <t>banco c6bank bancocentral contaempresa mei empresa empreendedor</t>
  </si>
  <si>
    <t>realdigital cbdcs bancocentral blockchain</t>
  </si>
  <si>
    <t>cbdc paypal criptomonedas europa bancocentral bce cripto</t>
  </si>
  <si>
    <t>bancocentral laspaso milei2023</t>
  </si>
  <si>
    <t>pacheco senado economia bancocentral</t>
  </si>
  <si>
    <t>haddad política economia bancocentral</t>
  </si>
  <si>
    <t>inflação economia boletimfocus bancocentral</t>
  </si>
  <si>
    <t>noticias bancocentral economia news</t>
  </si>
  <si>
    <t>lula bancocentral autonomia juros</t>
  </si>
  <si>
    <t>mercadofinanceiro boletimfocus economia bancocentral</t>
  </si>
  <si>
    <t>lula economia política bancocentral selic juros</t>
  </si>
  <si>
    <t>bancocentral economia taxaselic copom</t>
  </si>
  <si>
    <t>gildovigor economia bancocentral lula taxadejuros</t>
  </si>
  <si>
    <t>copom economia selic taxadejuros bancocentral inflação</t>
  </si>
  <si>
    <t>economia mercado selic juros bancocentral boletimfocus</t>
  </si>
  <si>
    <t>economia inflação boletimfocus bancocentral mercado previsão</t>
  </si>
  <si>
    <t>fernandohaddad congressonacional bancocentral</t>
  </si>
  <si>
    <t>bancos bancocentral rentabilidade economia</t>
  </si>
  <si>
    <t>copom bancocentral selic taxajuros economia</t>
  </si>
  <si>
    <t>economia bancocentral boletimfocus inflação mercadofinanceiro</t>
  </si>
  <si>
    <t>economia mercadofinanceiro inflação pib bancocentral</t>
  </si>
  <si>
    <t>drex bancocentral economia</t>
  </si>
  <si>
    <t>robertocamposneto bancocentral economia inflação</t>
  </si>
  <si>
    <t>copom economia taxadejuros selic inflação bancocentral bc brasil</t>
  </si>
  <si>
    <t>itália lula selic economia política bancocentral taxadejuros</t>
  </si>
  <si>
    <t>inflação boletimfocus economia bancocentral</t>
  </si>
  <si>
    <t>bancocentral pix vazamentos</t>
  </si>
  <si>
    <t>economia inflação boletimfocus bancocentral selic pib copom</t>
  </si>
  <si>
    <t>lula presidente brasil política economia taxadejuros bancocentral</t>
  </si>
  <si>
    <t>economia selic fernandohaddad bancocentral</t>
  </si>
  <si>
    <t>selic bancocentral juros economia</t>
  </si>
  <si>
    <t>taxaselic juros copom bancocentral</t>
  </si>
  <si>
    <t>boletimfocus economia inflação bancocentral</t>
  </si>
  <si>
    <t>foracamposneto</t>
  </si>
  <si>
    <t>dollars bolivien bcb bancocentral wirtschaft ypfb schulden fonds corralito banken bolivien meistgeteilt</t>
  </si>
  <si>
    <t>bancocentral lulapresidente brasil camposnetohipocrita camposout</t>
  </si>
  <si>
    <t>brasil camposnetohipocrita bancocentral</t>
  </si>
  <si>
    <t>lulapresidente bancocentral</t>
  </si>
  <si>
    <t>brasil bancocentral camposnetohipocrita</t>
  </si>
  <si>
    <t>bancocentral camposnetohipocrita brasil</t>
  </si>
  <si>
    <t>brasil eua bancocentral lulapresidente</t>
  </si>
  <si>
    <t>cnnbrasil camposneto lulapresidente bancocentral</t>
  </si>
  <si>
    <t>bancocentral lulapresidente camposnetohipocrita</t>
  </si>
  <si>
    <t>lulapresidente bancocentral camposneto brasil</t>
  </si>
  <si>
    <t>bancocentral camposneto brasil</t>
  </si>
  <si>
    <t>bancocentral camposneto lulapresidente</t>
  </si>
  <si>
    <t>real digital drex confirma bancocentral dolcarajas</t>
  </si>
  <si>
    <t>bancocentral dólares</t>
  </si>
  <si>
    <t>bancocentral conflictodebilleterasvirtuales</t>
  </si>
  <si>
    <t>plazofijo bancocentral</t>
  </si>
  <si>
    <t>ecos bancocentral economía juntamonetaria</t>
  </si>
  <si>
    <t>bancocentral imae ecos</t>
  </si>
  <si>
    <t>ecos encuesta mercadolaboral bancocentral economía trabajo rd canva</t>
  </si>
  <si>
    <t>ecos bancocentral remesas economía</t>
  </si>
  <si>
    <t>ecos economía bancocentral desembolso juntamonetaria</t>
  </si>
  <si>
    <t>ecos bancocentral inflación economía rd</t>
  </si>
  <si>
    <t>ecos rd cmca bancocentral economía crecimiento</t>
  </si>
  <si>
    <t>ecos remesas bancocentral economía rd crecimiento</t>
  </si>
  <si>
    <t>bancocentral desempeño economía perspectivas ecos fmi rd</t>
  </si>
  <si>
    <t>ecos economía rd crecimiento bancocentral</t>
  </si>
  <si>
    <t>ecos bancocentral economía tpm ipc inflación</t>
  </si>
  <si>
    <t>bancocentral economía perspectivas ecos diplomáticos bancocentral</t>
  </si>
  <si>
    <t>dolar bcra bancocentral</t>
  </si>
  <si>
    <t>camposnetofora bancocentral jurosbaixosjá bolsonaroealiadosnacadeia</t>
  </si>
  <si>
    <t>easynews easylawmagazine interés bancocentral</t>
  </si>
  <si>
    <t>desdolarizacion bancocentral</t>
  </si>
  <si>
    <t>dolar dolarblue dolarizacion milei massa bullrich argentina elecciones2023 cristina macri dolarsolidario bancocentral libertad messi</t>
  </si>
  <si>
    <t>luladitador stforganizacaocriminosa bancocentral poupança imposto haddad corrupção ditadura lulaladrão lira pacheco congresso senado fazoltrouxa</t>
  </si>
  <si>
    <t>acentonews elacentonews whatsapp billgates bancocentral</t>
  </si>
  <si>
    <t>elacentonews supermercados amazon bancocentral lacenicienta titularesvirales leelomejor</t>
  </si>
  <si>
    <t>brunchconwse stocks trading reservafederal fed economia finanzas bancocentral</t>
  </si>
  <si>
    <t>jeromepowell bancocentral fed blog</t>
  </si>
  <si>
    <t>libia bancocentral economia</t>
  </si>
  <si>
    <t>libano bancocentral finanzas riadsalameh</t>
  </si>
  <si>
    <t>bancocentral rusia economia finanzas</t>
  </si>
  <si>
    <t>alemania bancocentral libano notificacionroja riadsalameh corrupcion</t>
  </si>
  <si>
    <t>bancocentral turquia economia</t>
  </si>
  <si>
    <t>argentina bancocentral economia milei</t>
  </si>
  <si>
    <t>fen economia negocios bancocentral ief</t>
  </si>
  <si>
    <t>bancocentral juros arcabouçofiscal</t>
  </si>
  <si>
    <t>noticiasargentina paso2023 milei bancocentral</t>
  </si>
  <si>
    <t>noticiasargentina bancocentral economia</t>
  </si>
  <si>
    <t>criptomoeda bancocentral dinheiro pix ficarmilionario</t>
  </si>
  <si>
    <t>correismo bancocentral iess nunamascorreismo</t>
  </si>
  <si>
    <t>galípolo haddad bancocentral</t>
  </si>
  <si>
    <t>banco bancocentral yuanes dinero moneda china argentina</t>
  </si>
  <si>
    <t>periodicodigital bancocentral inflacion americalatina rd ipc</t>
  </si>
  <si>
    <t>opep bancocentral inflación</t>
  </si>
  <si>
    <t>bitcoin bancocentral taxaselic cuba increase</t>
  </si>
  <si>
    <t>china mcn dólar yuan bancocentral economía</t>
  </si>
  <si>
    <t>cnw bc bancocentral</t>
  </si>
  <si>
    <t>luisabinader bancocentral economía 60milmillones adóndefuelamillonada gobiernodominicano santodomingo repúblicadominicana</t>
  </si>
  <si>
    <t>francia riadsalameh líbano corrupción bancocentral investigacióncriminal enriquecimientoilícito lavado europa justicia</t>
  </si>
  <si>
    <t>bolsas macro ipc bancocentral</t>
  </si>
  <si>
    <t>bancocentral tarjetasdecr</t>
  </si>
  <si>
    <t>argentina bancocentral bcb brasil</t>
  </si>
  <si>
    <t>juntosxelcambio bancocentral bcra</t>
  </si>
  <si>
    <t>camposneto parcelamento cartaodecredito juros bancocentral</t>
  </si>
  <si>
    <t>selic copom bancocentral</t>
  </si>
  <si>
    <t>luisadesdolariza bancocentral yaluisimos iess</t>
  </si>
  <si>
    <t>charge desenhodeimprensa fragadesenhos humor jurosabusivos juroalto bcb bancocentral economia camposneto</t>
  </si>
  <si>
    <t>charge desenhodeimprensa fragadesenhos humor moedadigital bancocentral drex realdigital</t>
  </si>
  <si>
    <t>charge desenhodeimprensa fragadesenhos humor pix camgirlِ bc bancocentral economia</t>
  </si>
  <si>
    <t>charge desenhodeimprensa fragadesenhos humor juro quedadojuro economia bc bancocentral camposneto ministeriodaeconomia copom</t>
  </si>
  <si>
    <t>cngotv bancocentral honduras economia</t>
  </si>
  <si>
    <t>municipalidaddelascondes maule torrealba bancocentral providencia legalización estatización</t>
  </si>
  <si>
    <t>inflación tasadeinterés finanzas bancocentral</t>
  </si>
  <si>
    <t>bancocentral japón</t>
  </si>
  <si>
    <t>lula bancocentral inflação dívidas</t>
  </si>
  <si>
    <t>bitcoin liberdade sejaseuprópriobanco investimentos moeda dinheiro brasil conciergebitcoin inflação cripto bancocentral</t>
  </si>
  <si>
    <t>moeda dinheiro liberdade brasil podcast bitcoin conciergebitcoin inflação cripto bancocentral</t>
  </si>
  <si>
    <t>bancocentral cheque tribunapr</t>
  </si>
  <si>
    <t>credito bancocentral tribunapr</t>
  </si>
  <si>
    <t>china sistemadecréditosocial monedadigital bancocentral</t>
  </si>
  <si>
    <t>acuerdo fondo subas bancocentral</t>
  </si>
  <si>
    <t>finanzascr cdp bancocentral</t>
  </si>
  <si>
    <t>bitcoin bancocentral gold</t>
  </si>
  <si>
    <t>nubank mercadopago bancocentral procon</t>
  </si>
  <si>
    <t>europa bancocentral generais</t>
  </si>
  <si>
    <t>aob itaú bancocentral</t>
  </si>
  <si>
    <t>jurosaltos brasil</t>
  </si>
  <si>
    <t>drex pix bancocentral moedadigital pagamentosinstantâneos finanças brasil tecnologia inovação cibersegurança</t>
  </si>
  <si>
    <t>mercadopago finanzas bancocentral</t>
  </si>
  <si>
    <t>semont drex realdigital bancocentral</t>
  </si>
  <si>
    <t>javiermilei elfindelainflación libro bancocentral</t>
  </si>
  <si>
    <t>fazoc bc independente bancocentral</t>
  </si>
  <si>
    <t>bancocentral buffer</t>
  </si>
  <si>
    <t>rcc bancocentral aureagroup economia</t>
  </si>
  <si>
    <t>finanzas acciones bancocentral fed</t>
  </si>
  <si>
    <t>novascédulas inovaçãotecnológica prevençãodefraudes cédulasmaisseguras patrimôniocultural museudamoeda bancocentral moedanacional tecnologiadeseguran</t>
  </si>
  <si>
    <t>politicadejuros bancocentral teiadigital</t>
  </si>
  <si>
    <t>lula bancocentral juros teiadigital</t>
  </si>
  <si>
    <t>independiente bancocentral bcra maratea cai</t>
  </si>
  <si>
    <t>bancogalicia bancocentral</t>
  </si>
  <si>
    <t>economía bcra bancocentral 2000pesos</t>
  </si>
  <si>
    <t>economia dolar dolarblue devaluacion inflacion bcra bancocentral paso2023 elecciones2023 dolar600</t>
  </si>
  <si>
    <t>economia dolar dolarblue devaluacion inflacion paso2023 elecciones2023 bcra bancocentral dolares</t>
  </si>
  <si>
    <t>dolarblue dolar massa bancocentral bcra dolaragro dolarturista inflacion devaluacion</t>
  </si>
  <si>
    <t>economia dolar dolarblue devaluacion inflacion dolar730 bcra bancocentral milei massa fmi dolarturista</t>
  </si>
  <si>
    <t>economía bcra bancocentral qr billeterasvirtuales</t>
  </si>
  <si>
    <t>economia criptomonedas cripto bcra bancocentral pesce bitcoin ethereum ustc lemon buenbit bitso satoshitango ripio belo letsbit</t>
  </si>
  <si>
    <t>economia pagos bcra bancocentral mercadopago trasnferencia qr codigoqr pymes billeteradigital</t>
  </si>
  <si>
    <t>economia dolar dolarblue bcra bancocentral devaluacion inflacion milei elecciones2023</t>
  </si>
  <si>
    <t>economia dolar dolarblue devaluacion inflacion bancocentral bcra dolar600</t>
  </si>
  <si>
    <t>economia dolar dolarblue bancocentral bcra euro dolaragro dolarturista</t>
  </si>
  <si>
    <t>economia pymes fce facturacion bancocentral bcra</t>
  </si>
  <si>
    <t>economia pobreza indec dolar dolarblue devaluacion inflacion bancocentral bcra</t>
  </si>
  <si>
    <t>politica milei lalibertadavanza lla marra villarruel parquenorte javiermilei conicet bancocentral bcra mileivillarruel2023 elecciones2023</t>
  </si>
  <si>
    <t>ecomia pymes mipymes pyme credito lfip financiamiento bcra bancocentral</t>
  </si>
  <si>
    <t>selic bancocentral</t>
  </si>
  <si>
    <t>argentina bancocentral banxico ivansosa</t>
  </si>
  <si>
    <t>asia china argentina yuan bancocentral moneda</t>
  </si>
  <si>
    <t>billete billete2000 bancocentral pdn puente nuevobillete argentina</t>
  </si>
  <si>
    <t>puentedenoticias pdn tasasdeinterés bancocentral bcra dolar</t>
  </si>
  <si>
    <t>puentedenoticias dolar dolarhoy tasasdecambio bancocentral economia argentina</t>
  </si>
  <si>
    <t>alexandravanhuffelen ennia bancocentral</t>
  </si>
  <si>
    <t>investimentos bancocentral cambio pib selic ipca inflação</t>
  </si>
  <si>
    <t>hermescapital safra safrainvest investimentos mercadofinanceiro bancocentral cambio pib selic ipca inflação</t>
  </si>
  <si>
    <t>mercadofinanceiro bancocentral cambio pib selic ipca inflação</t>
  </si>
  <si>
    <t>copom selic bancocentral inflação</t>
  </si>
  <si>
    <t>bancocentral senadofederal</t>
  </si>
  <si>
    <t>copom bancocentral juros</t>
  </si>
  <si>
    <t>6amlamañana cdn bancocentral tasasdeinterés pilíticamonetaria</t>
  </si>
  <si>
    <t>bancocentral brasileiros cadúnico cpf dezembro fazenda governofederal</t>
  </si>
  <si>
    <t>anatel bahia bancocentral claro desenvolvimento distrito</t>
  </si>
  <si>
    <t>bancocentral dinheiro internet janeiro lei novembro segurança sistema</t>
  </si>
  <si>
    <t>oposição bancocentral juros</t>
  </si>
  <si>
    <t>cae bancocentral</t>
  </si>
  <si>
    <t>somosingenieriauach informaticauach transformaciondigital bancocentral valdiviacl</t>
  </si>
  <si>
    <t>fomc fed bancocentral copom juros taxadejuros quantzed</t>
  </si>
  <si>
    <t>coops coop cooperativismo cooperativas bancocentral intercooperação</t>
  </si>
  <si>
    <t>ipsa bancocentral</t>
  </si>
  <si>
    <t>ultimominuto bancocentral dolaroficial massa cfkladronadelanacionargentina elpeorgobiernodelahistoria</t>
  </si>
  <si>
    <t>municipioabierto buenvivir quilpué</t>
  </si>
  <si>
    <t>milei bancocentral asteriscostv</t>
  </si>
  <si>
    <t>aterraéredonda luisnassif gabrielgalípolo bancocentral</t>
  </si>
  <si>
    <t>aterraéredonda paulonogueirabatistajr bancocentral</t>
  </si>
  <si>
    <t>aterraéredonda joãocarlosloebens bancocentral</t>
  </si>
  <si>
    <t>aterraéredonda franciscodeoliveira bancocentral</t>
  </si>
  <si>
    <t>teremarinovic latercera bancocentral rancagua piñera</t>
  </si>
  <si>
    <t>romance bancocentral cnn vazamentos relacionamento</t>
  </si>
  <si>
    <t>paso bancocentral devaluación exportaciones importadores dagriteam comerciointernacional</t>
  </si>
  <si>
    <t>bancocentral inflação</t>
  </si>
  <si>
    <t>desarrolloproductivo conexiónparques parquesindustriales bancocentral créditos empresas pymes</t>
  </si>
  <si>
    <t>políticadejuros juros bancocentral mudançanapolitíca</t>
  </si>
  <si>
    <t>políticadejuros juros bancocentral mudançanapolitíca economia</t>
  </si>
  <si>
    <t>taxadejuros juros selic bancocentral inflação bandnewsfm</t>
  </si>
  <si>
    <t>derechoalaruina reformaprevisional conmiplatano bancocentral</t>
  </si>
  <si>
    <t>personaje bancocentral</t>
  </si>
  <si>
    <t>bancocentral monserrat</t>
  </si>
  <si>
    <t>aquihablamosclaro elnuevodiariord analisispolitico bancocentral prestamos dinero robo</t>
  </si>
  <si>
    <t>bancocentral encajelegal</t>
  </si>
  <si>
    <t>el6 cadem bancocentral</t>
  </si>
  <si>
    <t>economia pix bancocentral pj</t>
  </si>
  <si>
    <t>bancocentral cómohacer inversiones</t>
  </si>
  <si>
    <t>actualidadeconómica bancocentral córdoba dólarblue</t>
  </si>
  <si>
    <t>actualidadeconómica bancocentral comunidaddenegocios córdoba mendoza</t>
  </si>
  <si>
    <t>actualidadeconómica bancocentral comunidaddenegocios mercadolibre</t>
  </si>
  <si>
    <t>albertofernández bancocentral comunicaciones notadeopinion opinión sergiomassa</t>
  </si>
  <si>
    <t>bancocentral comunidaddenegocios déficitfiscal fmi inflaciónyprecios sergiomassa</t>
  </si>
  <si>
    <t>bancocentral fakenews oro argentina</t>
  </si>
  <si>
    <t>javiermilei paso2023 bancocentral</t>
  </si>
  <si>
    <t>camposneto bancocentral oposiçao plenonews</t>
  </si>
  <si>
    <t>brasiliaecerrado ceudebrasilia pordosol laranja cerrado ocaso brasilia lagoparanoa beleza cidadelinda luz luzdosol bancocentral torredetvbrasilia sol</t>
  </si>
  <si>
    <t>brasiliaecerrado ceudebrasilia brasilia pordosol ocaso laranja cerrado sol luzdosol luz anoitecer bancocentral cef pontejk</t>
  </si>
  <si>
    <t>economia impresion billetes moneda argentina devaluacion inflacion sanmartin de5a1000 bancocentral republicaargentina virales</t>
  </si>
  <si>
    <t>dolarización milei dolarizar dólares epstein javiermilei clarín bancocentral info viral pagina12 lalibertadavanza noticias argentina elecciones campaña mileipresidente</t>
  </si>
  <si>
    <t>lopezaliaga pedrocastillo fujiasnos laurabozzo bancocentral</t>
  </si>
  <si>
    <t>billetesfalsos bancocentral</t>
  </si>
  <si>
    <t>cartaodecredito finanças bancocentral</t>
  </si>
  <si>
    <t>cirogomes bancocentral</t>
  </si>
  <si>
    <t>rumba985fm bancocentral educacioninicial estadisticas</t>
  </si>
  <si>
    <t>bancocentral relatóriofocus reduçãodejuros economia</t>
  </si>
  <si>
    <t>economia tasadeinteres baja ahora12 bancocentral massa</t>
  </si>
  <si>
    <t>col inversion bancocentral usa economy economia finanzas</t>
  </si>
  <si>
    <t>bancocentral dólar dólarblue</t>
  </si>
  <si>
    <t>bancocentral cbn cbnfloripa</t>
  </si>
  <si>
    <t>novalinda minasgerais sustentabilidade tarcíliadeamaral itália bancocentral brasil</t>
  </si>
  <si>
    <t>bancocentral libra facebook twitter linkedin innovation tecnology brasil</t>
  </si>
  <si>
    <t>estrellasyredes bancocentral</t>
  </si>
  <si>
    <t>partidocelesteprovida mileipresidente libertadavanza bancocentral lacasta milei2023 vivalalibertad inflacion</t>
  </si>
  <si>
    <t>ipom inversión chile crecimiento bancocentral ipomjunio2023</t>
  </si>
  <si>
    <t>ipom chile inflación bancocentral ipomjunio2023</t>
  </si>
  <si>
    <t>ipom chile bancocentral ipomjunio2023</t>
  </si>
  <si>
    <t>afterhours mercados brasil bancocentral governo inflação</t>
  </si>
  <si>
    <t>copom bancocentral selic presidente lula juros</t>
  </si>
  <si>
    <t>ipca inflação bancocentral</t>
  </si>
  <si>
    <t>brasileiros viagens dados bancocentral</t>
  </si>
  <si>
    <t>breakfast mercados lula bancocentral reunião camposneto brasil</t>
  </si>
  <si>
    <t>rccmedia noticiasrcc remesas bancocentral</t>
  </si>
  <si>
    <t>noticiasrcc remesas bancocentral</t>
  </si>
  <si>
    <t>noticiasrccmedia venezuela bancocentral</t>
  </si>
  <si>
    <t>noticiasrccmedia bancocentral argentina</t>
  </si>
  <si>
    <t>rccmedia noticiasrcc bancocentral nuevosbilletes</t>
  </si>
  <si>
    <t>rccmedia noticiasrcc bancocentral tasas</t>
  </si>
  <si>
    <t>selic bancocentral fed juros financas</t>
  </si>
  <si>
    <t>economia juros bancocentral</t>
  </si>
  <si>
    <t>bancosofisa bancocentral</t>
  </si>
  <si>
    <t>reportagem marcolegal criptomoedas exchanges bancocentral brasil</t>
  </si>
  <si>
    <t>cnj reclamações bancocentral</t>
  </si>
  <si>
    <t>juros economia brasil alagoas maceió maceio bancocentral</t>
  </si>
  <si>
    <t>bolivia dólares bancocentral</t>
  </si>
  <si>
    <t>guillermo bancocentral cpccs</t>
  </si>
  <si>
    <t>bancocentral economia economicnewsbrasil</t>
  </si>
  <si>
    <t>bancocentral boletimfocus</t>
  </si>
  <si>
    <t>bancocentral carreiraprofissiona</t>
  </si>
  <si>
    <t>bancocentral bancos créditolivre</t>
  </si>
  <si>
    <t>apertomonetário bancocentral</t>
  </si>
  <si>
    <t>bancocentral boletimfocus crescimentoeconômico dólar economia</t>
  </si>
  <si>
    <t>bancocentral copom</t>
  </si>
  <si>
    <t>bancocentral economicnewsbrasil</t>
  </si>
  <si>
    <t>bancocentral copom economia economicnewsbrasil inflaçã</t>
  </si>
  <si>
    <t>bancocentral comércioexterno drex</t>
  </si>
  <si>
    <t>bancocentral brasil calendario</t>
  </si>
  <si>
    <t>bancocentral cheque</t>
  </si>
  <si>
    <t>bancocentral bancos dinheiro economia</t>
  </si>
  <si>
    <t>bancocentral brasi</t>
  </si>
  <si>
    <t>bancocentral dólar economicnewsbrasil mercadofinanceiro noticias selic</t>
  </si>
  <si>
    <t>bancocentral bc camposneto</t>
  </si>
  <si>
    <t>bancocentral dividapública</t>
  </si>
  <si>
    <t>bancocentral crise</t>
  </si>
  <si>
    <t>ipc bancocentral</t>
  </si>
  <si>
    <t>bancocentral peso dólar</t>
  </si>
  <si>
    <t>economía bancocentral bcra featured mercadopago</t>
  </si>
  <si>
    <t>lareservanacionaldeemergencia bancocentral retiros</t>
  </si>
  <si>
    <t>elpaís glp telenoticias telesistema11 bajas bancocentral combustibles</t>
  </si>
  <si>
    <t>economía telenoticias telesistema11 bancocentral rd58</t>
  </si>
  <si>
    <t>deportes telenoticias telesistema11 audrysninreyes bancocentral juegosinterdepartamentales</t>
  </si>
  <si>
    <t>lula bancocentral economiamundial</t>
  </si>
  <si>
    <t>opoder compartilhe atividadeeconomica bancocentral bc brasil br</t>
  </si>
  <si>
    <t>lula haddad gleisihoffmann fmi camposneto bancocentral economiabrasileira</t>
  </si>
  <si>
    <t>lula economia economiabrasileira bancocentral jurosaltos inflação fmi</t>
  </si>
  <si>
    <t>bancocentral argentina fintech</t>
  </si>
  <si>
    <t>bancocentral elsalvador bitcoin</t>
  </si>
  <si>
    <t>bancocentral argentina yuan</t>
  </si>
  <si>
    <t>economiayfinanzas bancopopular bancocentral bccr programal noticiasperiodicomensaje periodicomensajeguanacaste economiayfinanzasperiodicomensaje</t>
  </si>
  <si>
    <t>taxadejuros selic deflacao inflacao economia industria bancocentral</t>
  </si>
  <si>
    <t>dollars bolivia bcb bancocentral economy ypfb debt funds corralito banks bolivia mostshared</t>
  </si>
  <si>
    <t>economia macroeconomia bancocentral juros</t>
  </si>
  <si>
    <t>dolarblue bancocentral</t>
  </si>
  <si>
    <t>bancocentral jurosbaixosjá</t>
  </si>
  <si>
    <t>jurosbaixosjá bancocentral copom</t>
  </si>
  <si>
    <t>cooperativadecrédito juros bancocentral</t>
  </si>
  <si>
    <t>camposneto bancocentral</t>
  </si>
  <si>
    <t>bancocentral remesas noticentro13rd</t>
  </si>
  <si>
    <t>bancocentral camposneto bc dinheiro</t>
  </si>
  <si>
    <t>bancocentral lahabana</t>
  </si>
  <si>
    <t>dffull</t>
  </si>
  <si>
    <t>bancocentral copom jurosbásicos</t>
  </si>
  <si>
    <t>santiagopeña bancocentral dólar</t>
  </si>
  <si>
    <t>fed inflación bancocentral reservafederal</t>
  </si>
  <si>
    <t>agro2 pib crescimento economia agronegócio bancocentral</t>
  </si>
  <si>
    <t>agro2 economia taxaselic bancocentral juros</t>
  </si>
  <si>
    <t>criptoativos regulamentação bancocentral</t>
  </si>
  <si>
    <t>milei2023 mileipresidente zurdos milei bancocentral</t>
  </si>
  <si>
    <t>caracas venezuela catalogo bancocentral lospalosgrandes casa hogar família</t>
  </si>
  <si>
    <t>eguoh2023 chile uoh moneytalks bancocentral santigonoeschile</t>
  </si>
  <si>
    <t>rdctvdigital bancocentral noticias</t>
  </si>
  <si>
    <t>transportecoletivo pix brasil goiás bancocentral</t>
  </si>
  <si>
    <t>economia goias recordes bancocentral crescimento jornalsomos</t>
  </si>
  <si>
    <t>inflación bancocentral medicina</t>
  </si>
  <si>
    <t>inflacion bancocentral bcra</t>
  </si>
  <si>
    <t>política javiermilei bancocentral</t>
  </si>
  <si>
    <t>pinochomilei</t>
  </si>
  <si>
    <t>focus economia bancocentral inflação dolar</t>
  </si>
  <si>
    <t>economia bancocentral pib inflação</t>
  </si>
  <si>
    <t>atadocopom inflação brasil expectativasdesancoradas selic bancocentral</t>
  </si>
  <si>
    <t>copom atadocopom bancocentral bc china federalreserve</t>
  </si>
  <si>
    <t>tcu camposneto bancocentral</t>
  </si>
  <si>
    <t>pacheco camposneto bancocentral</t>
  </si>
  <si>
    <t>haddad selic taxadejuros bancocentral bacem copom</t>
  </si>
  <si>
    <t>bancocentral empresas selic economia política</t>
  </si>
  <si>
    <t>economia copom bancocentral empresas</t>
  </si>
  <si>
    <t>galípolo senadofederal bancocentral</t>
  </si>
  <si>
    <t>senado galípolo bancocentral</t>
  </si>
  <si>
    <t>política galípilo bancocentral</t>
  </si>
  <si>
    <t>copom selic economia bancocentral</t>
  </si>
  <si>
    <t>camposneto economia bancocentral rcn</t>
  </si>
  <si>
    <t>focus bc bancocentral ipca pib</t>
  </si>
  <si>
    <t>bancomaster bancocentral</t>
  </si>
  <si>
    <t>bancocentral bc selic taxaselic responsabilidadefiscal</t>
  </si>
  <si>
    <t>federalreserve economia bancocentral camposneto</t>
  </si>
  <si>
    <t>economia bancocentral economia copom política</t>
  </si>
  <si>
    <t>haddad bancocentral economia empresas</t>
  </si>
  <si>
    <t>economia bancocentral política fed bce</t>
  </si>
  <si>
    <t>copom selic bancocentral</t>
  </si>
  <si>
    <t>bancocentral economia focus inflação</t>
  </si>
  <si>
    <t>bancocentral economia empresas</t>
  </si>
  <si>
    <t>ibcbr bancocentral préviadopib</t>
  </si>
  <si>
    <t>bancocentral selic taxadejuros políticamonetária brasil</t>
  </si>
  <si>
    <t>bancocentral pibdobrasil atividadeeconômica</t>
  </si>
  <si>
    <t>camposneto bancocentral pibbrasil</t>
  </si>
  <si>
    <t>bancocentral economia política</t>
  </si>
  <si>
    <t>bancocentral ibcbr economia</t>
  </si>
  <si>
    <t>economia selic bancocentral bofa</t>
  </si>
  <si>
    <t>pib economia bancocentral economia</t>
  </si>
  <si>
    <t>galípolo haddad fazenda bancocentral</t>
  </si>
  <si>
    <t>bancocentral camposneto galípolo</t>
  </si>
  <si>
    <t>selic bancocentral ministériodafazenda</t>
  </si>
  <si>
    <t>haddad atadocopom bancocentral</t>
  </si>
  <si>
    <t>camposneto bancocentral selic</t>
  </si>
  <si>
    <t>haddad bancocentral galípolo</t>
  </si>
  <si>
    <t>notade200 bancocentral bacen hauly deputadohauly</t>
  </si>
  <si>
    <t>economia dolar dolarhoy octubre bancocentral</t>
  </si>
  <si>
    <t>bc bancocentral juros senadofederal cae</t>
  </si>
  <si>
    <t>economia bancocentral credito cartaodecredito juros</t>
  </si>
  <si>
    <t>juros economia bancocentral bc copom</t>
  </si>
  <si>
    <t>findesemana descanso universidades viernes bancocentral tae tin economia</t>
  </si>
  <si>
    <t>uf dólar euro pymes bancocentral</t>
  </si>
  <si>
    <t>nubox uf dólar euro pymes bancocentral</t>
  </si>
  <si>
    <t>bancocentral milei2023</t>
  </si>
  <si>
    <t>lulapresidente brasilemconstruçao ministeriodafazenda foracamposneto bancocentral tcu politicamonetaria jurosaltos baixajuros selic</t>
  </si>
  <si>
    <t>estímulomonetario politicamonetaria bancocentral</t>
  </si>
  <si>
    <t>lula bancocentral tvcultura</t>
  </si>
  <si>
    <t>tvcultura bancocentral selic</t>
  </si>
  <si>
    <t>bancocentral copom selic economia juros tvcultura</t>
  </si>
  <si>
    <t>tvcultura rodaviva bancocentral</t>
  </si>
  <si>
    <t>bancocentral poupança tvcultura</t>
  </si>
  <si>
    <t>senado bancocentral tvcultura</t>
  </si>
  <si>
    <t>galípolo bancocentral senado tvcultura</t>
  </si>
  <si>
    <t>bancocentral juros tvcultura</t>
  </si>
  <si>
    <t>tvcultura bancocentral economia</t>
  </si>
  <si>
    <t>drex bancocentral moedadigital tvcultura</t>
  </si>
  <si>
    <t>tvcultura economia pib ibc bancocentral notícias</t>
  </si>
  <si>
    <t>economia bancocentral tvcultura</t>
  </si>
  <si>
    <t>bancocentral reformas tvcultura</t>
  </si>
  <si>
    <t>tvcultura bancocentral haddad</t>
  </si>
  <si>
    <t>pix bancocentral tvcultura</t>
  </si>
  <si>
    <t>dinheiro bancocentral webstories tvcultura</t>
  </si>
  <si>
    <t>bancocentral análise tvcultura</t>
  </si>
  <si>
    <t>copom bancocentral tvcultura</t>
  </si>
  <si>
    <t>tvcultura pix bancocentral</t>
  </si>
  <si>
    <t>bancocentral crédito tvcultura</t>
  </si>
  <si>
    <t>selic bancocentral tvcultura</t>
  </si>
  <si>
    <t>bancocentral economia tvcultura</t>
  </si>
  <si>
    <t>bancocentral juros economia tvcultura</t>
  </si>
  <si>
    <t>crédito bancocentral tvcultura</t>
  </si>
  <si>
    <t>inflação juros copom bancocentral tvcultura</t>
  </si>
  <si>
    <t>bancocentral haddad tvcultura</t>
  </si>
  <si>
    <t>drex bancocentral bancodobrasil tvcultura</t>
  </si>
  <si>
    <t>eua bancocentral tvcultura</t>
  </si>
  <si>
    <t>entrevista vittoriocorbo bancocentral momentoeconómico chile</t>
  </si>
  <si>
    <t>bancocentral robertocamposneto pauloguedes bozo</t>
  </si>
  <si>
    <t>patriciabullrich bancocentral argentina economia medios politica elecciones2023 679evolucion</t>
  </si>
  <si>
    <t>bancocentral tatum moscu</t>
  </si>
  <si>
    <t>shots lakers harden bancocentral</t>
  </si>
  <si>
    <t>bancocentral conmiplatano</t>
  </si>
  <si>
    <t>inflación tasas bancocentral</t>
  </si>
  <si>
    <t>ultimominuto</t>
  </si>
  <si>
    <t>selic copom bancocentral bc</t>
  </si>
  <si>
    <t>cronosnoticias bancocentral nuevobillete</t>
  </si>
  <si>
    <t>nuevobillete bancocentral</t>
  </si>
  <si>
    <t>eeuu bancocentral</t>
  </si>
  <si>
    <t>javiermilei bancocentral inflación</t>
  </si>
  <si>
    <t>laspaso massa elpeorgobiernodelahistoria bancocentral</t>
  </si>
  <si>
    <t>bancocentral honduras enero abril</t>
  </si>
  <si>
    <t>bancocentral honduras ipc inflación desacelerándose mes</t>
  </si>
  <si>
    <t>bancocentral dominicano crecimiento económico nación</t>
  </si>
  <si>
    <t>bancocentral costarica proyección crecimiento económico</t>
  </si>
  <si>
    <t>saldo reservas internacionales brutas bancocentral nicaragua junio</t>
  </si>
  <si>
    <t>operamundi bancocentral lula</t>
  </si>
  <si>
    <t>operamundi bancocentral juros</t>
  </si>
  <si>
    <t>alta portaldeprefeitura alta bancocentral taxadejuros selic taxas manutenção</t>
  </si>
  <si>
    <t>redução portaldeprefeitura bancos bc bancocentral redução juros taxabásica</t>
  </si>
  <si>
    <t>sistema portaldeprefeitura pix bancocentral dadosvazados</t>
  </si>
  <si>
    <t>certame portaldeprefeitura notícias bancocentral concurso</t>
  </si>
  <si>
    <t>aviso portaldeprefeitura luizatrajano bancocentral</t>
  </si>
  <si>
    <t>economia portaldeprefeitura pib pib2023 bancocentral boletimfocus</t>
  </si>
  <si>
    <t>crise portaldeprefeitura bancocentral banco dinheiro bc</t>
  </si>
  <si>
    <t>estimativa portaldeprefeitura mercadofinanceiro bancocentral economia brasil</t>
  </si>
  <si>
    <t>medida portaldeprefeitura pix bancocentral obriga instituições</t>
  </si>
  <si>
    <t>afirmação portaldeprefeitura lula juros bancocentral</t>
  </si>
  <si>
    <t>crítica portaldeprefeitura notícias política lula camposneto bc bancocentral brasil</t>
  </si>
  <si>
    <t>crítica portaldeprefeitura lula bancocentral taxadejuros irracional</t>
  </si>
  <si>
    <t>estável portaldeprefeitura bancocentral mantém taxadejuros</t>
  </si>
  <si>
    <t>encontro portaldeprefeitura notícias política lula camposneto reunião bancocentral brasil</t>
  </si>
  <si>
    <t>dinheiro portaldeprefeitura bancocentral dinheiro saque</t>
  </si>
  <si>
    <t>encontro portaldeprefeitura haddad lula ministeriodafazenda bc bancocentral camposneto selic</t>
  </si>
  <si>
    <t>diminuição portaldeprefeitura bancocentral reduztaxa juros primeiravez trêsanos</t>
  </si>
  <si>
    <t>bancocentral sextoretiro pailita gasapreciojusto</t>
  </si>
  <si>
    <t>argentina tasas tarjetadecrédito interés bancocentral</t>
  </si>
  <si>
    <t>argentina bancocentral dólaroficial blue</t>
  </si>
  <si>
    <t>argentina qr billeterasdigitales bancocentral qr</t>
  </si>
  <si>
    <t>jornaldaglobo jornalismo jornalista haddad mercadofinanceiro viralreel reel democracia jornal bancocentral</t>
  </si>
  <si>
    <t>bancocentral juros inflação desemprego</t>
  </si>
  <si>
    <t>bancocentral juros economia</t>
  </si>
  <si>
    <t>bancocentral arcabouçofiscal inflação</t>
  </si>
  <si>
    <t>lula bancocentral juros</t>
  </si>
  <si>
    <t>bancocentral juros bancos</t>
  </si>
  <si>
    <t>inflacion peso dolar dolarizacion bancocentral bcra milei mileipresidente milei2023 elecciones elecciones2023 argentina</t>
  </si>
  <si>
    <t>elfronterizo presidente bancocentral</t>
  </si>
  <si>
    <t>portalvgv copom selic taxaselic bancocentral incorporadora construtora corretordeimovel imobiliaria</t>
  </si>
  <si>
    <t>mercadofinanceiro ipca bancocentral</t>
  </si>
  <si>
    <t>portalvgv bancocentral construtora corretordeimóveis financiamentoimobiliário imobiliária incorporadora</t>
  </si>
  <si>
    <t>mercadofinanceiro ipca inflação bancocentral portalvgv mercadoimobiliario</t>
  </si>
  <si>
    <t>selic portalvgv bancocentral mercadoimobiliario setorimobiliario construcaocivil construtora incorporadora</t>
  </si>
  <si>
    <t>taxaselic economia bancocentral portalvgv</t>
  </si>
  <si>
    <t>elcaribe elcariberd servicio pagos instante retrasos bancocentral</t>
  </si>
  <si>
    <t>lasmásleídas elcaribe elcariberd bancocentral económico</t>
  </si>
  <si>
    <t>elcaribe elcariberd bancocentral posturacautelosa panoramaeconómico</t>
  </si>
  <si>
    <t>elcaribe bancocentral medidas economía</t>
  </si>
  <si>
    <t>elcaribe elcariberd remesas superaron meses bancocentral</t>
  </si>
  <si>
    <t>elcaribe elcariberd bancocentral monetaria</t>
  </si>
  <si>
    <t>elcaribe elcariberd gobernador bancocentral anuncia inflación rangometa</t>
  </si>
  <si>
    <t>elcaribe elcariberd dinero bancocentral</t>
  </si>
  <si>
    <t>elcaribe andydauhajre bancocentral políticafiscal recuperación economía</t>
  </si>
  <si>
    <t>elcaribe dinero bancocentral medidas</t>
  </si>
  <si>
    <t>elcaribe elcariberd bancocentral medidasmonetarias dinamizarán economía rd</t>
  </si>
  <si>
    <t>bancocentral republicadominicana cautela panoramaeconomico</t>
  </si>
  <si>
    <t>secretodesumario</t>
  </si>
  <si>
    <t>bancocentral patobulrich mendoza ohmygod</t>
  </si>
  <si>
    <t>bancocentral patobullrich fmi patopato</t>
  </si>
  <si>
    <t>bancocentral ptralha</t>
  </si>
  <si>
    <t>abcfinanzas bancocentral buenasaludfinanciera comogastartudinero comoinvertirtudinero cuandodeboteneruncarro economia economiarepublicadominicana economista</t>
  </si>
  <si>
    <t>impuestoalasganancias censura bancocentral</t>
  </si>
  <si>
    <t>tcradio copom bancocentral comunicado selic</t>
  </si>
  <si>
    <t>jornaldamanhã bancocentral copom juros</t>
  </si>
  <si>
    <t>bancocentral dinheiro</t>
  </si>
  <si>
    <t>liberal pueblo noticias gobierno ramonfreire politica mediosdecomunicación realidad politicos usura banco bancos bancocentral</t>
  </si>
  <si>
    <t>bancointer interbr</t>
  </si>
  <si>
    <t>mercadopago marcogalperin sergiomassa bancocentral</t>
  </si>
  <si>
    <t>billete bancocentral misionesparatodos</t>
  </si>
  <si>
    <t>bancocentral dólarblue misionesparatodos</t>
  </si>
  <si>
    <t>misionesparatodos bancocentral javiermilei</t>
  </si>
  <si>
    <t>bancocentral elecciones2023 misionesparatodos patriciabullrich</t>
  </si>
  <si>
    <t>2000pesos bancocentral billete cajerosautomáticos misionesparatodos</t>
  </si>
  <si>
    <t>bancocentral emilioocampo javiermilei misionesparatodos</t>
  </si>
  <si>
    <t>araujosantosadvocacia direito direitobancario emprestimoconsignado tjba praticasabusivas juros direitodoconsumidor bancos bancocentral</t>
  </si>
  <si>
    <t>pix bancocentral dezembro amazonas manaus amazonasatual</t>
  </si>
  <si>
    <t>bancocentral taxadejuros selic lula copom</t>
  </si>
  <si>
    <t>economíachilena inflación bancocentral</t>
  </si>
  <si>
    <t>bancocentral economía senadores</t>
  </si>
  <si>
    <t>ahora rafaelcorrea centenario bancocentral</t>
  </si>
  <si>
    <t>bancocentral transporte importaciones fletes logistica comercioexterior</t>
  </si>
  <si>
    <t>lobscontabilidade bancocentral débito desenrolabrasil dívida ministériodafazenda parcelamento renegociação</t>
  </si>
  <si>
    <t>lobscontabilidade bancocentral boleto doc pix tarifa taxa ted</t>
  </si>
  <si>
    <t>lobscontabilidade bancocentral fgts fgtsdigital pix segurança</t>
  </si>
  <si>
    <t>lobscontabilidade bancocentral cartãodecrédito encargos juros pix rotativo</t>
  </si>
  <si>
    <t>bancocentral brasil selic juros</t>
  </si>
  <si>
    <t>bancocentral tinelli marcelotinelli vip noticias deuda</t>
  </si>
  <si>
    <t>deuda economia bancocentral leliq pases</t>
  </si>
  <si>
    <t>billete nuevobillete bancocentral</t>
  </si>
  <si>
    <t>bancocentral bcra tesoro</t>
  </si>
  <si>
    <t>bcra bancocentral dólar</t>
  </si>
  <si>
    <t>dolar bancocentral economia dolarblue</t>
  </si>
  <si>
    <t>bancocentral milei argentina</t>
  </si>
  <si>
    <t>bancocentral reservas economia</t>
  </si>
  <si>
    <t>economia reservas bancocentral bcra</t>
  </si>
  <si>
    <t>billete dinero bancocentral nuevobillete</t>
  </si>
  <si>
    <t>soja dolar economia negocios campo bancocentral</t>
  </si>
  <si>
    <t>dólar bancocentral economía reservas fmi massa</t>
  </si>
  <si>
    <t>vll inshot vllc milei milei2023 mileipresidente2023 bancocentral</t>
  </si>
  <si>
    <t>jornaljogoserio rural agronegocio bancocentral creditorural desenvolvimentopessoal safra2023 cooxupe cooperativa cafe</t>
  </si>
  <si>
    <t>bancocentral billete ceciliagrierson ramoncarrillo institutonacionaldemicrobiologiadrcarlosmalbran</t>
  </si>
  <si>
    <t>inflacion economia bancocentral usuarios billete bancos</t>
  </si>
  <si>
    <t>desembolso bancocentral sergiomassa fondomonetariointernacional ministrodeeconomia</t>
  </si>
  <si>
    <t>argentina china bancocentral dolar swap</t>
  </si>
  <si>
    <t>argentina economia bancocentral deuda fondomonetariointernacional</t>
  </si>
  <si>
    <t>anuncio bancocentral billeterasvirtuales fraude mercadopago sergiomassa usuarios</t>
  </si>
  <si>
    <t>radionoticiasdelplata radiodelplata bancocentral dólares</t>
  </si>
  <si>
    <t>milei dolarizar bancocentral</t>
  </si>
  <si>
    <t>radionoticiasdelplata bancocentral yuanes bcra yuan</t>
  </si>
  <si>
    <t>javiermilei bancocentral emilioocampo dolarización</t>
  </si>
  <si>
    <t>radionoticiasdelplata gobierno bancocentral divisas</t>
  </si>
  <si>
    <t>bcra bancocentral</t>
  </si>
  <si>
    <t>milei sturzenegger bancocentral macri</t>
  </si>
  <si>
    <t>banco taxadejuros selic bancocentral copom empréstimo santander brasil europa euro real economia</t>
  </si>
  <si>
    <t>bancocentralmiente nomasmentiras intervencionpolitica bancocentral</t>
  </si>
  <si>
    <t>ohiggins bancocentral tasadeinteres inflacion</t>
  </si>
  <si>
    <t>sincortapisa us bancocentral</t>
  </si>
  <si>
    <t>sincortapisa bcrd bancocentral políticamonetaria tasadeinterés economicas</t>
  </si>
  <si>
    <t>sincortapisa bancocentral empleos</t>
  </si>
  <si>
    <t>sincortapisa bancocentral economia</t>
  </si>
  <si>
    <t>sincortapisa bancocentral economia gestion premium popular</t>
  </si>
  <si>
    <t>sincortapisa bancocentral economia republicadominicana</t>
  </si>
  <si>
    <t>sincortapisa bancocentral economia consejomonetariocentroamericano puntacana cmca</t>
  </si>
  <si>
    <t>sincortapisa bancocentral dominicanos economia</t>
  </si>
  <si>
    <t>bancocentral desdolarizacion</t>
  </si>
  <si>
    <t>dentrodelprecio insidetheprice mundo asia coreadelsur bancocentral noticias actualidad economia</t>
  </si>
  <si>
    <t>dentrodelprecio insidetheprice mercadosfinancieros europa bancocentral noticias actualidad</t>
  </si>
  <si>
    <t>bancocentral economía nuevazelanda gestióndeactivos finanzaspersonales mercadosfinancieros</t>
  </si>
  <si>
    <t>mileipresidente bancocentral noticiasdeldía</t>
  </si>
  <si>
    <t>bancocentral ipc boric imacec</t>
  </si>
  <si>
    <t>bancocentral banqueiros juros constituição crime</t>
  </si>
  <si>
    <t>banqueiros bancocentral constituição crime</t>
  </si>
  <si>
    <t>pix bancocentral bcb</t>
  </si>
  <si>
    <t>economia sabotagem bancocentral jurosabusivos br</t>
  </si>
  <si>
    <t>economia bancocentral bc camposneto camposnetodemitido governo lula</t>
  </si>
  <si>
    <t>jurosbaixosjá austericidiofiscal arcabouçofiscal governolula bancocentral congressonacional</t>
  </si>
  <si>
    <t>economia pib copom ipca bancocentral ibge brasil cnm</t>
  </si>
  <si>
    <t>brasil economia bancocentral selic economiabrasileira pib ipca copom</t>
  </si>
  <si>
    <t>lula consignado juros minidtrodafazenda fernandohaddad brasil bancocentral</t>
  </si>
  <si>
    <t>economia pib ipca reporterbrasilia copom bancocentral brasil inflacao cnm</t>
  </si>
  <si>
    <t>reporterbrasilia caixaeconomica bancocentral</t>
  </si>
  <si>
    <t>economia inflação pib bancocentral brasil ipca</t>
  </si>
  <si>
    <t>economia reporterbrasilia brasil haddad bc bancocentral</t>
  </si>
  <si>
    <t>reporterbrasilia ibge bancocentral pib bc</t>
  </si>
  <si>
    <t>monedadigital bitcoin bancocentral pesodigital cbdc</t>
  </si>
  <si>
    <t>bancocentral pulsociudadano fintual</t>
  </si>
  <si>
    <t>tendencias bancocentral</t>
  </si>
  <si>
    <t>fmi derechosespecialesdegiro tesoro bancocentral</t>
  </si>
  <si>
    <t>buenosaires bancocentral</t>
  </si>
  <si>
    <t>ministeriodeeconomía bancocentral repúblicaargentina</t>
  </si>
  <si>
    <t>bancocentral repúblicaargentina</t>
  </si>
  <si>
    <t>taxadejuros bancocentral políticamonetária economiabrasileira inflação desenvolvimentoeconômico mercadofinanceiro cenárioeconômico investimentos estabilidadefinanceira</t>
  </si>
  <si>
    <t>euribor euriborjunio junio euriborjulio julio hipoteca hipotecas finanazas dinero bce fed bancocentral tiposinteres tipointeres</t>
  </si>
  <si>
    <t>camposneto bancocentral jurosbaixosja selic</t>
  </si>
  <si>
    <t>portaljuristec henriquemeirelles bancocentral juros</t>
  </si>
  <si>
    <t>portaljuristec bancocentral pib crescimento</t>
  </si>
  <si>
    <t>portaljuristec bancocentral supremo ouro</t>
  </si>
  <si>
    <t>portaljuristec bancocentral pix vazamentos</t>
  </si>
  <si>
    <t>portaljuristec bancocentral pix investigação</t>
  </si>
  <si>
    <t>portaljuristec bancocentral inflação políticadejuros</t>
  </si>
  <si>
    <t>portaljuristec pix 1bilhão bancocentral</t>
  </si>
  <si>
    <t>portaljuristec bancocentral pix clientes</t>
  </si>
  <si>
    <t>enlafontana bancocentral loretocarvajal</t>
  </si>
  <si>
    <t>enlafontana imacec economía crecimiento bancocentral</t>
  </si>
  <si>
    <t>bancocentral vamoschile bancodobrasil bolsonaro</t>
  </si>
  <si>
    <t>lula bancocentral bitcoin brasil br</t>
  </si>
  <si>
    <t>copom inflacao juros taxadejuros bc bancocentral brasil brazil</t>
  </si>
  <si>
    <t>panoramadigital noticias peso pesodominicano dólar bcrd bancocentral</t>
  </si>
  <si>
    <t>panoramadigital noticias bancocentral danieltoribio fuerzadelpueblo préstamo economia politica</t>
  </si>
  <si>
    <t>panoramadigital remesas bcrd bancocentral</t>
  </si>
  <si>
    <t>galipolo haddad bancocentral plenonews</t>
  </si>
  <si>
    <t>pix bancocentral plenonews</t>
  </si>
  <si>
    <t>dinheiro bancocentral plenonews</t>
  </si>
  <si>
    <t>camposneto bancocentral plenonews</t>
  </si>
  <si>
    <t>noticias informacionfinanciera bancocentral dolares</t>
  </si>
  <si>
    <t>bancocentral fomc fed</t>
  </si>
  <si>
    <t>bancocentral dolaroficial</t>
  </si>
  <si>
    <t>ladolarización losministerios bancocentral</t>
  </si>
  <si>
    <t>casoconvenios ipc democraciaviva bancocentral</t>
  </si>
  <si>
    <t>bancocentral turquia inflacion</t>
  </si>
  <si>
    <t>javiermilei argentina peso dólar bancocentral internacional economia</t>
  </si>
  <si>
    <t>mye regionales ultimahora bancocentral miguelpesce crisisfinanciera economiaargentina</t>
  </si>
  <si>
    <t>chaco ultimahora mye devaluacion bancocentral economiaargentina plazofijo inflacion tipodecambio</t>
  </si>
  <si>
    <t>billete2000 economiaargentina bancocentral casademoneda ceciliagrierson mye</t>
  </si>
  <si>
    <t>chaco actualidad local regionales ultimahora mye economianacional devaluacion bancocentral fmi tasadeinteres</t>
  </si>
  <si>
    <t>economia bancocentral córdoba entreríos</t>
  </si>
  <si>
    <t>pesce bancocentral</t>
  </si>
  <si>
    <t>salarios empleo bancocentral crisisfinanciera</t>
  </si>
  <si>
    <t>billete sanmartin bancocentral</t>
  </si>
  <si>
    <t>billetes billetesde2000 bancocentral casadelamoneda economia</t>
  </si>
  <si>
    <t>economia inflação mercadofinanceiro índicenacionaldepreçosaoconsumidoramploipca bancocentral</t>
  </si>
  <si>
    <t>criptomonedas crypto cripto xrpholders xrplcommunity pix drex web3 bancocentral ripplexrp ripple</t>
  </si>
  <si>
    <t>palau stablecoin dólar xrp ripple xrpbrasil xrpcommunity xrpnews bancocentral cbdc centralbank itaú</t>
  </si>
  <si>
    <t>bancocentral youtube estado falaciaslibertarias liberalismo economía</t>
  </si>
  <si>
    <t>bancocentral comercios billetera</t>
  </si>
  <si>
    <t>bancocentral provincias dólares deudas</t>
  </si>
  <si>
    <t>inversiones bancocentral</t>
  </si>
  <si>
    <t>milei emilioocampo bancocentral</t>
  </si>
  <si>
    <t>foracamposneto éhoradeagir camposneto bancocentral rentismo desigualdade</t>
  </si>
  <si>
    <t>brasil neoliberalismo desigualdade bancocentral taxadejuros</t>
  </si>
  <si>
    <t>destaque dinheiro bancocentral</t>
  </si>
  <si>
    <t>inss notícias bancocentral</t>
  </si>
  <si>
    <t>economia pesos bancocentral</t>
  </si>
  <si>
    <t>agrotimes agronegócio bancocentral</t>
  </si>
  <si>
    <t>lula bancocentral criptoativos bitcoins</t>
  </si>
  <si>
    <t>política bancocentral decisão taxaselic</t>
  </si>
  <si>
    <t>estratégico financeiro bancocentral moeda realdigital</t>
  </si>
  <si>
    <t>bancocentral senado contas juros planeta</t>
  </si>
  <si>
    <t>bancocentral taxas juros</t>
  </si>
  <si>
    <t>sheilagashumba granhermano debatetn vicky sheila obelisco bancocentral ejército rossi paraguay villarruel conicet chrome petri afjp batman</t>
  </si>
  <si>
    <t>billete bancocentral chubutparatodos</t>
  </si>
  <si>
    <t>bancocentral chubutparatodos dólarblue</t>
  </si>
  <si>
    <t>chubutparatodos bancocentral javiermilei</t>
  </si>
  <si>
    <t>bancocentral chubutparatodos elecciones2023 patriciabullrich</t>
  </si>
  <si>
    <t>2000pesos bancocentral billete cajerosautomáticos chubutparatodos</t>
  </si>
  <si>
    <t>bancocentral chubutparatodos emilioocampo javiermilei</t>
  </si>
  <si>
    <t>bancocentral bc boletimfocus mercadofinanceiro pib inflacao ipca jurobasico selic cambio dolar</t>
  </si>
  <si>
    <t>bancocentral bc boletimfocus copom inflacao ipca juro selic pib cambio dolar</t>
  </si>
  <si>
    <t>bancocentral bc boletimfocus copom mercadofinanceiro pib inflacao ipca taxadejuro selic cambio dolar</t>
  </si>
  <si>
    <t>bancocentral boletimfocus mercadofinanceiro pib inflacao ipca juro selic cambio dolar</t>
  </si>
  <si>
    <t>geraldoalckmin taxadejuro selic bancocentral bc copom geracaodeempregos cooperativismo</t>
  </si>
  <si>
    <t>bancocentral bc boletimfocus mercadofinanceiro pib inflacao ipca taxadejuro selic cambio dolar</t>
  </si>
  <si>
    <t>bancocentral bc copom taxadejuro selic lula robertocamposneto gabrielgalipolo ailtonaquino</t>
  </si>
  <si>
    <t>bancocentral bc boletimfocus mercadofinanceiro ipca pib taxadejuro selic cambio dolar</t>
  </si>
  <si>
    <t>bancocentral bc ibcbr atividadeeconomica crescimentoeconomico pib</t>
  </si>
  <si>
    <t>bancocentral bc boletimfocus mercadofinaneiro ipca inflacao deflacao taxadejuro selic pib cambio dolar</t>
  </si>
  <si>
    <t>bancocentral bc senado plenario gabrielgalipolo ailtonaquinodossantos</t>
  </si>
  <si>
    <t>lk99 alien lgbt apartheid repgoldman rabbitrabbit infosys joyce tommy costa 1stofaugust bancocentral lanación cecilia sophie</t>
  </si>
  <si>
    <t>foracamposneto bancocentral serviçal bozo lulabrasilmelhor</t>
  </si>
  <si>
    <t>bancocentral taxasdejuros nada escárnio bc</t>
  </si>
  <si>
    <t>bc bancocentral lulaladrão lula pt brasil camposneto</t>
  </si>
  <si>
    <t>bahiapravocê cheque bancocentral segurança</t>
  </si>
  <si>
    <t>presidente bancocentral</t>
  </si>
  <si>
    <t>argentina tasadeinterés bancocentral</t>
  </si>
  <si>
    <t>afip inversiones plazosfijos tarjetas bancocentral</t>
  </si>
  <si>
    <t>masterwnews economia bancocentral pib</t>
  </si>
  <si>
    <t>renegociaçãodedívidas mp fernandohaddad bancocentral fgo cadúnico cadastroúnico</t>
  </si>
  <si>
    <t>boletimfocus bancocentral mercadofinanceiro inflação câmbio</t>
  </si>
  <si>
    <t>pasoargentina2023 elecciones2023 dolarblue</t>
  </si>
  <si>
    <t>alberto presidencia devaluación paso2023 dolar bancocentral loop pro milei</t>
  </si>
  <si>
    <t>milei renunciamassa fightclub bancocentral whereismymind golpe instintoautodestructivo autodestrucción elecciones2023 conjeturas</t>
  </si>
  <si>
    <t>bancocentral jaquemate</t>
  </si>
  <si>
    <t>mercadofinanceiro investimentos inflação bancocentral fgv bolsadevalores fyp trending</t>
  </si>
  <si>
    <t>bancocentral ixcongresodeabancord sistemafinanciero</t>
  </si>
  <si>
    <t>bancocentral camposneto lula fiscal taxa</t>
  </si>
  <si>
    <t>economia brasil bancocentral relatoriofocus inflação ipca pib câmbio selic nortus</t>
  </si>
  <si>
    <t>economia brasil bancocentral relatoriofocus</t>
  </si>
  <si>
    <t>economia brasil bancocentral relatoriofocus ipca</t>
  </si>
  <si>
    <t>economia brasil bancocentral relatoriofocus inflação ipca pib</t>
  </si>
  <si>
    <t>siopel bancocentral dólar</t>
  </si>
  <si>
    <t>latinoamérica bancocentral</t>
  </si>
  <si>
    <t>dólarblue bancocentral fondo</t>
  </si>
  <si>
    <t>mendoza bancocentral</t>
  </si>
  <si>
    <t>venezuela bancocentral</t>
  </si>
  <si>
    <t>lula bancocentral bc juros empresario padrejoão</t>
  </si>
  <si>
    <t>economía rdtevé bancocentral</t>
  </si>
  <si>
    <t>liafm bancocentral</t>
  </si>
  <si>
    <t>bancobrasil reclameaqui bancodobrasil bancocentral bacen procon ouvidoriabancobrasil ouvidoriabancodobrasil</t>
  </si>
  <si>
    <t>bancocentral dinheiroesquecido valoresareceber</t>
  </si>
  <si>
    <t>yuanes economía argentina bancocentral bcra china desdolarizacion</t>
  </si>
  <si>
    <t>liberalismo milei elecciones nuevaderecha bancocentral shorts tiktok lacastatienemiedo yasevan</t>
  </si>
  <si>
    <t>bandec bancocentral comercioelectrónico transfermóvil etecsa</t>
  </si>
  <si>
    <t>bancocentral guillermocaram comercio frontera haití repúblicadominicana rednacionalnoticias rnn canal27 economía</t>
  </si>
  <si>
    <t>bancocentral guillermocaram comercio frontera haití</t>
  </si>
  <si>
    <t>tebet haddad camposneto bancocentral govpt conselhomonetárionacional</t>
  </si>
  <si>
    <t>bancocentral inflación nuevasmedidas sergiomassa</t>
  </si>
  <si>
    <t>bancocentral plazofijo tasainterés</t>
  </si>
  <si>
    <t>bancocentral devaluación dólar</t>
  </si>
  <si>
    <t>bancocentral economia plazosfijos</t>
  </si>
  <si>
    <t>bancocentral billete billetede2000</t>
  </si>
  <si>
    <t>danuzio jhfonseca selic venezuela juros bancocentral rifas</t>
  </si>
  <si>
    <t>destaques economia bancocentral</t>
  </si>
  <si>
    <t>economíaargentina dólarblue bancocentral</t>
  </si>
  <si>
    <t>drex realdigital economia gastosdogoverno bancocentral</t>
  </si>
  <si>
    <t>marruecos bancocentral</t>
  </si>
  <si>
    <t>elecciones2023 bancocentral argentinavota argentinaelige argentina2023 argentinapaso</t>
  </si>
  <si>
    <t>pix caixa caixaeconômica pessoajuridica tarifas bc bancocentral</t>
  </si>
  <si>
    <t>china bc bancocentral juros redução taxas pboc</t>
  </si>
  <si>
    <t>brasil défict bancocentral pib balançacomercial</t>
  </si>
  <si>
    <t>queda inflação taxadejuros previsõeseconômicas bancocentral ministériodafazenda</t>
  </si>
  <si>
    <t>bc bancocentral fraudes instituições sistemafinanceironacional spb cmn</t>
  </si>
  <si>
    <t>bc bancocentral camposneto fraudes fraude bancos banco</t>
  </si>
  <si>
    <t>bc bancocentral camposneto taxadejuros selic</t>
  </si>
  <si>
    <t>argentina inflação bancocentral uniãoeuropeia taxadejuros</t>
  </si>
  <si>
    <t>camposneto cae bancocentral bc políticamonetária taxadejuros</t>
  </si>
  <si>
    <t>ccr ccro3 ceo juros bancocentral</t>
  </si>
  <si>
    <t>mercadodecripto governofederal bancocentral cvm segurança decreto marcolegal</t>
  </si>
  <si>
    <t>senado bc bancocentral camposneto lula selic exoneração cmn conselhomonetárionacional</t>
  </si>
  <si>
    <t>bancocentral greve paralização pix regulamentaçãocriptoativos</t>
  </si>
  <si>
    <t>bancocentral bc haddad políticamonetária gabrielgalípolo galípolo</t>
  </si>
  <si>
    <t>reformatributaria camaradosdeputados lula bancocentral</t>
  </si>
  <si>
    <t>simonetebet bc bancocentral redução juros economia</t>
  </si>
  <si>
    <t>bpmoney camposneto bc bancocentral selic inflação brasil crise</t>
  </si>
  <si>
    <t>gabrielgalípolo aquino aíltonaquino bc bancocentral caedosenado galípolo brasil cae</t>
  </si>
  <si>
    <t>camposneto bc bancocentral juros governolula selic</t>
  </si>
  <si>
    <t>camposneto manutenção selic relatóriotrimestral bancocentral bc</t>
  </si>
  <si>
    <t>lula brasil camposneto bc bancocentral selic taxadejuros</t>
  </si>
  <si>
    <t>ruicosta bc bancocentral taxadejuros</t>
  </si>
  <si>
    <t>ibcbr pib prévia bc bancocentral</t>
  </si>
  <si>
    <t>boletimfocus inflação pib ipca bancocentral</t>
  </si>
  <si>
    <t>fernandohaddad haddad economia bc bancocentral diretoria pt</t>
  </si>
  <si>
    <t>lula camposneto bancocentral taxaselic quedadejuros</t>
  </si>
  <si>
    <t>btg eqi xp bc bancocentral</t>
  </si>
  <si>
    <t>realdigital bancocentral moedavirtual camposneto bc</t>
  </si>
  <si>
    <t>bancocentral mudança datas copadomundofeminina futebol boletimfocus</t>
  </si>
  <si>
    <t>haddad prévia pib desaceleração economia bancocentral</t>
  </si>
  <si>
    <t>focus ipca selic inflação bancocentral boletimfocus bc</t>
  </si>
  <si>
    <t>geraldoalckmin selic bancocentral inflação ipca</t>
  </si>
  <si>
    <t>itaú itub4 totvs tots3 bc bancocentral cvm</t>
  </si>
  <si>
    <t>bancocentral bc valorareceber svr</t>
  </si>
  <si>
    <t>bancocentral bc galípolo gabrielgalípolo políticamonetária senado</t>
  </si>
  <si>
    <t>alckmin taxadejuros programadedescontos selic inflação bancocentral programadogoverno</t>
  </si>
  <si>
    <t>haddad corte juros bancocentral bc copom</t>
  </si>
  <si>
    <t>avenue bancocentral operaçãointernacional bancodecâmbio itaú itub4</t>
  </si>
  <si>
    <t>haddad eleições juros selic bancocentral bc governolula</t>
  </si>
  <si>
    <t>bancocentral bc galípolo gabrielgalípolo ailtonaquino políticamonetária</t>
  </si>
  <si>
    <t>itatiaiajf itasat moedacomemorativa bancocentral numismática procon</t>
  </si>
  <si>
    <t>bc bancocentral selic</t>
  </si>
  <si>
    <t>flauzinoantunes arcabouçofiscal austercidiofiscal bancocentral jurosbaixosjá desenvolvimentoeconomico</t>
  </si>
  <si>
    <t>alesp cpi pix cartao golpe bancocentral política prevenção</t>
  </si>
  <si>
    <t>camposneto bancocentral 300bilhoes</t>
  </si>
  <si>
    <t>bancocentral bancodobrasil</t>
  </si>
  <si>
    <t>segurança fraudes cheques bancocentral mudanças nomesocial</t>
  </si>
  <si>
    <t>valoresareceber dinheiroesquecido resgate bancocentral</t>
  </si>
  <si>
    <t>bancocentral pixautomático serviço pagamentorecorrente contas</t>
  </si>
  <si>
    <t>risknews riskmathics risk nextgenerationinfinancialtraining cnbc bancocentral tasasdeinterés fed inflación</t>
  </si>
  <si>
    <t>risknews riskmathics risk nextgenerationinfinancialtraining cnbc dowjones inversores stock wallstreet fed bancocentral</t>
  </si>
  <si>
    <t>risknews riskmathics risk nextgenerationinfinancialtraining cnbc tasasdeinterés inflación finanzas fed neelkashkari bancocentral</t>
  </si>
  <si>
    <t>risknews riskmathics risk cnbc bancodejapón japan bancocentral curvaderendimiento yen dollar stock</t>
  </si>
  <si>
    <t>elsuceso bancocentral héctorvaldezalbizu consejomonetariocentroamericano</t>
  </si>
  <si>
    <t>vocescríticas bancocentral devaluación ypf</t>
  </si>
  <si>
    <t>bancocentral economia dolar</t>
  </si>
  <si>
    <t>argentina javiermilei bancocentral vocescríticas</t>
  </si>
  <si>
    <t>cdmx eeuu</t>
  </si>
  <si>
    <t>bancocentral magalu camposneto itapevi</t>
  </si>
  <si>
    <t>moedadigital realdigital bancocentral</t>
  </si>
  <si>
    <t>elempresariado noticias bancocentral micm mipymes</t>
  </si>
  <si>
    <t>elempresariado noticias bancocentral capcana</t>
  </si>
  <si>
    <t>elempresariado noticias bancocentral turismord</t>
  </si>
  <si>
    <t>elempresariado noticias bancocentral economiard</t>
  </si>
  <si>
    <t>elempresariado noticias bancocentral crees</t>
  </si>
  <si>
    <t>elempresariado noticias bancocentral micm mipymes facturaelectronica dgii</t>
  </si>
  <si>
    <t>elempresariado noticias bancocentral dgii</t>
  </si>
  <si>
    <t>elempresariado noticias bancocentral tormentard tormentafranklin</t>
  </si>
  <si>
    <t>jurosaltosatéquando brasil bancocentral copom</t>
  </si>
  <si>
    <t>cef bancodobrasil selic juros bancocentral</t>
  </si>
  <si>
    <t>pmird2023 congresogestióndeproyectos bancocentral patrocinadordestacado transformación desarrolloprofesional networking innovación colaboración</t>
  </si>
  <si>
    <t>bancocentral senado camposneto inflaçao economia juros dolar</t>
  </si>
  <si>
    <t>dinheiro meiocirculante bancocentral prosegur</t>
  </si>
  <si>
    <t>copom bancocentral taxadejuros</t>
  </si>
  <si>
    <t>diarioregional bancocentral juros selic</t>
  </si>
  <si>
    <t>diarioregional selic bancocentral</t>
  </si>
  <si>
    <t>argentina milei bancocentral</t>
  </si>
  <si>
    <t>editorialen fmi bancocentral elnacionalrd</t>
  </si>
  <si>
    <t>editorialen bancocentral tasas inflación elnacionalrd</t>
  </si>
  <si>
    <t>editorialen bancocentral remesas servicios elnacionalrd</t>
  </si>
  <si>
    <t>editorialen bancocentral pandemia pib ipc elnacionalrd</t>
  </si>
  <si>
    <t>economiaen bancocentral tasadeinterés fmi elnacionalrd</t>
  </si>
  <si>
    <t>economíaen bancocentral bcrd tasadeinterés elnacionalrd</t>
  </si>
  <si>
    <t>economiaen remesas bancocentral elnacionalrd</t>
  </si>
  <si>
    <t>economiaen pib ministerioeconomía bancocentral elnacionalrd</t>
  </si>
  <si>
    <t>economíard bancocentral</t>
  </si>
  <si>
    <t>coopeuchinversiones consejosemanaldeinversiones coopeuch bancocentral</t>
  </si>
  <si>
    <t>dólares bolivia bcb bancocentral economía ypfb deuda fondos corralito bancos</t>
  </si>
  <si>
    <t>realdigital aplicação criptomoedas cdbc stablecoin tokenização drex bancocentral</t>
  </si>
  <si>
    <t>cnn camposneto bancocentral taxadejuros</t>
  </si>
  <si>
    <t>economía imacen baja bancocentral chile retweet</t>
  </si>
  <si>
    <t>bancocentral educacionfinanciera cursoonline</t>
  </si>
  <si>
    <t>bancocentral bancocentraldechile</t>
  </si>
  <si>
    <t>losandes bancocentral</t>
  </si>
  <si>
    <t>bancocentral evento corparaucanía ahora envivo dreams temuco chile</t>
  </si>
  <si>
    <t>asistir jueves corparaucanía dreams temuco chile escenario económico proyecciones bancocentral elíasalbagli</t>
  </si>
  <si>
    <t>liberdade cbdc bitcoin bancocentral</t>
  </si>
  <si>
    <t>taxaselic bancocentral fed mercadofinanceiro</t>
  </si>
  <si>
    <t>venezuela economia dinerofiat bancocentral ancap libertarismo</t>
  </si>
  <si>
    <t>pegar moneda dinerotiktok bancocentral libremercado ancap libertarismo</t>
  </si>
  <si>
    <t>pegar fmi economia bancocentral capitalismovssocialismo debate ancap</t>
  </si>
  <si>
    <t>ahorro debate filosofiadevida libertarismo liberalismo estafa ideas ancap bancocentral dinero</t>
  </si>
  <si>
    <t>bancocentral liberalismo libertarismo debate ideas ancap</t>
  </si>
  <si>
    <t>bancocentral economia dinerofiat libertarismo ancap debate</t>
  </si>
  <si>
    <t>economia bancocentral inflación estafapolitica debate libertarismo</t>
  </si>
  <si>
    <t>bancocentral economia decenio</t>
  </si>
  <si>
    <t>batakis massa bancocentral milei</t>
  </si>
  <si>
    <t>bancocentral taxas baixa</t>
  </si>
  <si>
    <t>dolar bancocentral galipolo</t>
  </si>
  <si>
    <t>bc bancocentral camposneto economia</t>
  </si>
  <si>
    <t>bc bancocentral camposneto economia brasil inflacao</t>
  </si>
  <si>
    <t>bancocentralindependente bacen bancocentral</t>
  </si>
  <si>
    <t>camposneto congresso senado pt bancocentral</t>
  </si>
  <si>
    <t>bancocentral independente brasil gazela saltitante</t>
  </si>
  <si>
    <t>pib españa bancocentral eleccionesgenerales2023 elecciones2023 23j 23julio</t>
  </si>
  <si>
    <t>lanacionmas bancocentral patobullrich2023</t>
  </si>
  <si>
    <t>ahora patobullrich2023 pato bancocentral dólarfuturo</t>
  </si>
  <si>
    <t>tudocelular pix bancocentral notícias</t>
  </si>
  <si>
    <t>asemanaeconômica espiritosanto brasil economiacapixaba economia capixaba setorpúblico governo economia bancocentral ipca bacen focus findes observatóriodaindústriaes</t>
  </si>
  <si>
    <t>asemanaeconômica espiritosanto brasil economiacapixaba economia capixaba setorpúblico governo economia icbr bancocentral ipca bacen focus findes observatóriodaindústriaes</t>
  </si>
  <si>
    <t>asemanaeconômica espiritosanto brasil economiacapixaba economia capixaba setorpúblico governo economia copom selic bancocentral ipca bacen focus findes observatóriodaindústriaes</t>
  </si>
  <si>
    <t>asemanaeconômica espiritosanto brasil economiacapixaba economia capixaba setorpúblico governo economia iae bancocentral ipca bacen focus findes observatóriodaindústriaes</t>
  </si>
  <si>
    <t>asemanaeconômica espiritosanto brasil economiacapixaba economia capixaba setorpúblico governo economia superavit bancocentral bacen focus findes observatóriodaindústriaes</t>
  </si>
  <si>
    <t>cartao cartaocredito juros bc bancocentral brasil bancos agiotagem lula bolsonaro</t>
  </si>
  <si>
    <t>cartao bc camposneto bancocentral juros agiotagem</t>
  </si>
  <si>
    <t>juros bc bancocentral</t>
  </si>
  <si>
    <t>bancocentral economia tipodecambio economiaalinstante</t>
  </si>
  <si>
    <t>bancocentral plazosfijos ahora</t>
  </si>
  <si>
    <t>ahora dolaragro reservas bancocentral massa</t>
  </si>
  <si>
    <t>bancocentral mercado inflacion ahora</t>
  </si>
  <si>
    <t>ahora bancocentral dolar controles</t>
  </si>
  <si>
    <t>ahora bullrich bancocentral reservas</t>
  </si>
  <si>
    <t>ahora bancocentral reservas fmi</t>
  </si>
  <si>
    <t>ahora bancocentral tesoronacional</t>
  </si>
  <si>
    <t>ahora bancocentral emisiondepesos paso</t>
  </si>
  <si>
    <t>bancocentral cotizacion dolarblue dolares ahora</t>
  </si>
  <si>
    <t>ahora banoli brics bancocentral</t>
  </si>
  <si>
    <t>ahora bancocentral mercadopago bajadecomisiones</t>
  </si>
  <si>
    <t>ahora bancocentral</t>
  </si>
  <si>
    <t>ahora tinelli cheques bancocentral bcra</t>
  </si>
  <si>
    <t>reservas bcra bancocentral dolares</t>
  </si>
  <si>
    <t>bancocentral emision pesos pasoargentina2023 elecciones2023</t>
  </si>
  <si>
    <t>bancocentral centralbank fed elfuturoeslibertario</t>
  </si>
  <si>
    <t>bancocentral openfinance pix</t>
  </si>
  <si>
    <t>10añosdecentralentuvida centralentuvida bancocentral aniversario economíamáscerca laciudaddelasoportunidades</t>
  </si>
  <si>
    <t>bancocentral productores créditos</t>
  </si>
  <si>
    <t>mudanças manifestações bancocentral</t>
  </si>
  <si>
    <t>bandnewstv bancocentral</t>
  </si>
  <si>
    <t>bancocentral copom taxaselic economia prot1</t>
  </si>
  <si>
    <t>pix bancocentral segur</t>
  </si>
  <si>
    <t>dólar tipodecambio bancocentral</t>
  </si>
  <si>
    <t>insight desemprego desigualdadesocial empresarios consumidores bancocentral governofederal sergiodalsasso</t>
  </si>
  <si>
    <t>insight desemprego desigualdadesocial empresarios consumidores bancocentral governofederal</t>
  </si>
  <si>
    <t>bancocentral billetesargentinos</t>
  </si>
  <si>
    <t>negocios expressdiario bancocentral remesas</t>
  </si>
  <si>
    <t>negocios bancocentral expressdiario</t>
  </si>
  <si>
    <t>expressdiario héctorvaldezalbizu bancocentral</t>
  </si>
  <si>
    <t>cbdc japon bancocentral</t>
  </si>
  <si>
    <t>cbdc eeuu bancocentral</t>
  </si>
  <si>
    <t>cbdc bancocentral hack</t>
  </si>
  <si>
    <t>cbdc bpi bancocentral</t>
  </si>
  <si>
    <t>cpibancocentral cpibancocentral cpibancocentral cpibancocentral cpibancocentral cpibancocentral cpibancocentral cpibancocentral cpibancocentral cpibancocentral cpibancocentral brasil bancocentral cpi justica brasilvalorizado</t>
  </si>
  <si>
    <t>c6bank c6 banco bancos bancocentral</t>
  </si>
  <si>
    <t>bancocentral economíaglobal radiointereconomia economia</t>
  </si>
  <si>
    <t>bancocentral economía</t>
  </si>
  <si>
    <t>bancocentral finanzas economía forbeschile</t>
  </si>
  <si>
    <t>bancocentral forbeschile</t>
  </si>
  <si>
    <t>gabrielgalípolo aíltondeaquinosantos senado bancocentral</t>
  </si>
  <si>
    <t>galípolo bancocentral camposneto</t>
  </si>
  <si>
    <t>economia bancocentral pib</t>
  </si>
  <si>
    <t>bancocentral senado</t>
  </si>
  <si>
    <t>camposneto jairbolsonaro bancocentral reeleição reeleição</t>
  </si>
  <si>
    <t>billetesfalsos bancocentral nuevosbilletes inflación noticias zonales</t>
  </si>
  <si>
    <t>buenosaires bcra bancocentral billetes sanmartín noticias zonales</t>
  </si>
  <si>
    <t>buenosaires billetesfalsos bancocentral inflación inseguridad economía noticias zonales</t>
  </si>
  <si>
    <t>buenosaires billetesfalsos bancocentral nuevosbilletes inflación noticias zonales</t>
  </si>
  <si>
    <t>tanomiseria bancocentral inflação</t>
  </si>
  <si>
    <t>tanomiseria bancocentral crescimento</t>
  </si>
  <si>
    <t>bancocentral comercioelectrónico enzona bancarizacióndelasoperaciones juntosporlatransformacióndigital</t>
  </si>
  <si>
    <t>bacen lula camposneto bancocentral inflação taxadejuros políticamonetária</t>
  </si>
  <si>
    <t>noruega criptomonedas regulacion bancocentral cryptonewstoday weex</t>
  </si>
  <si>
    <t>bancocentral noticias chile</t>
  </si>
  <si>
    <t>bcb bancocentral bcb</t>
  </si>
  <si>
    <t>bancocentral cheque sigamais</t>
  </si>
  <si>
    <t>bancocentral finanzas plazofijo dólar</t>
  </si>
  <si>
    <t>censoanualdecapitaisestrangeiros bancocentral bacen capitalestrangeiro prazo multa somarinteligências lacazmartins</t>
  </si>
  <si>
    <t>bancocentral uf ipc</t>
  </si>
  <si>
    <t>bitcoin descentralización p2p adopción inflación deuda ahorros poderadquisitivo economía macroeconomía políticamonetaria políticafiscal bancocentral crecimiento deflación estagflación mercadosfinancieros</t>
  </si>
  <si>
    <t>bitcoin descentralización p2p adopción inflación deuda ahorros poderadquisitivo economía macroeconomía políticamonetaria políticafiscal bancocentral crecimientoeconómico tasasdeinterés</t>
  </si>
  <si>
    <t>bancocentral encuestapago confianza</t>
  </si>
  <si>
    <t>bancocentral bancos economía español mediosdecomunicación fundéuargentina</t>
  </si>
  <si>
    <t>hackers cnv argentina noneda digital bancocentral monedadigital</t>
  </si>
  <si>
    <t>bitcoin usd fed btc bancocentral eeuu estadosunidos</t>
  </si>
  <si>
    <t>deltan embraer bnds cni lula lavajato bolsonaro moro gabrielahardt onu marcoosdoval bancocentral juros mercado</t>
  </si>
  <si>
    <t>danielalima cnn globonews bolsonaro bancocentral camposneto gásdecozinha lula frança argentina neymar planosafra cirogomes</t>
  </si>
  <si>
    <t>farmaciapopular inflação golpistas lula bolsonaro carropopular bancocentral juros</t>
  </si>
  <si>
    <t>argentina bolsonaroinelegível fernandez miriamleitão bancocentral juros inflação eua russia alemanha soja mercado dólar canalquestionamentos</t>
  </si>
  <si>
    <t>canalquestionamentos bancocentral camposneto dólar uniãoeuropeia zanin eua ucrania europa ditadura</t>
  </si>
  <si>
    <t>xandão bancocentral paris marcosdoval policiafederal stf gleise russia</t>
  </si>
  <si>
    <t>bancocentral fiesp tse stf frança lula alckmin macron meioambiente amazonia gilmarmendes xandão moro deltan zema desdolarização lavajato</t>
  </si>
  <si>
    <t>zema doria stf lula economia bancocentral camposneto bolsonaristas desenrola inflação</t>
  </si>
  <si>
    <t>camposneto bancocentral estadosunidos marcosdoval swat agronegócio justiça xandão democracia ditadura jovempan grandedia bolsonaroinelegivel</t>
  </si>
  <si>
    <t>censura ditadura agro jovemklan grandedia choramais exército defesa mst campo colombia amazônia meioambiente agu bancocentral camposneto</t>
  </si>
  <si>
    <t>monark bancocentral zambelli grandedia</t>
  </si>
  <si>
    <t>jovempan zambelli hacker urnaeletronica eduardobolsonaro cassação bolsonaro gayer monark ipca indústria lula bancocentral petrobras bndes</t>
  </si>
  <si>
    <t>carlosbolsonaro gilmarmendes marcosdoval eduardoolsonaro dino professores clima turquia uniãoeuropeia moro gleise bancocentral camposneto</t>
  </si>
  <si>
    <t>lavajato fmi bancocentral desenrola juros israel carluxo grandemidia band</t>
  </si>
  <si>
    <t>xandão kimkataguiri mbl bancocentral meioambient exercito tse prf inss carroseletricos byd empregos juros bolsonaroinelegivel vergonhoso pco</t>
  </si>
  <si>
    <t>malafaiausoubolsonaro canalquestioanmentos carroseletricos frança estadosunidos russia china economia bancocentral camposneto pesquisa</t>
  </si>
  <si>
    <t>nikolas pastorandersonsilva mandíbula lula flaviodino stf xandão alexandredemoraes militar exército defesa pib tebet bancocentral lira</t>
  </si>
  <si>
    <t>meunovopost noticiamais sc bancocentral</t>
  </si>
  <si>
    <t>política bancocentral copom</t>
  </si>
  <si>
    <t>juro juroneutro bancocentral selic</t>
  </si>
  <si>
    <t>bce fed bancocentraleuropeu federalreserve bancocentral juros fedfunds</t>
  </si>
  <si>
    <t>fmi cbdc bancocentral</t>
  </si>
  <si>
    <t>jurosbaixojá bancocentral selic pactu seebumuarama umuarama</t>
  </si>
  <si>
    <t>jurosbaixosjá bancocentral taxaselic cni economia pactu seebumuarama umuarama</t>
  </si>
  <si>
    <t>bancocentral bc copom políticamonetária pactu seebumuarama umuarama</t>
  </si>
  <si>
    <t>jurosbaixojá bancocentral taxadejuros camposneto protestos manifestações pactu seebumuarama umuarama</t>
  </si>
  <si>
    <t>jurosaltos selic bancocentral robertpcamposneto pactu seebumuarama umuarama</t>
  </si>
  <si>
    <t>bancocentral copom jurosbaixosjá pactu seebumuarama umuarama</t>
  </si>
  <si>
    <t>inflação deflação ibge bancocentral selic pactu seebumuarama umuarama</t>
  </si>
  <si>
    <t>jurosbaixosjá bancocentral robertocamposnetos pactu seebumuarama umuarama</t>
  </si>
  <si>
    <t>foracamposneto reservascambiais bancocentral pactu seebumuarama umuarama</t>
  </si>
  <si>
    <t>robertocamposnetos tcu bolsonaro bancocentral economia pactu seebumuarama umuarama</t>
  </si>
  <si>
    <t>bc bancocentral taxadejuros economia desemprego pactu seebumuarama umuarama</t>
  </si>
  <si>
    <t>bancocentral bc moedadigital realdigital drex pactu seebumuarama umuarama</t>
  </si>
  <si>
    <t>jurosaltos taxaselic bancocentral bc crescimetoeconomico pactu seebumuarama umuarama</t>
  </si>
  <si>
    <t>bancocentral copom camponeto taxaselic selic economia pactu seebumuarama umuarama</t>
  </si>
  <si>
    <t>jurosbaixosjá selic bancocentral pactu seebumuarama umuarama</t>
  </si>
  <si>
    <t>jurosbaixosjá foracamponetos bancocentral pactu seebumuarama umuarama</t>
  </si>
  <si>
    <t>jurosbaixosjá foracamposneto bancocentral selic pactu seebumuarama umuarama</t>
  </si>
  <si>
    <t>bancocentral fraudes segurançabancaria bancos pactu seebumuarama umuarama</t>
  </si>
  <si>
    <t>taxadejuroa selic copom jurosbaixojá bancocentral robertocamposneto pactu seebumuarama umuarama</t>
  </si>
  <si>
    <t>economia pib bancocentral pactu seebumuarama umuarama</t>
  </si>
  <si>
    <t>bancos bancocentral cartãodecrédito jurosaltos jurosrotativos pactu seebumuarama umuarama</t>
  </si>
  <si>
    <t>bancocentral pib mercadofinanceiro câmbio juros selic pactu pactubancários seebumuarama umuarama</t>
  </si>
  <si>
    <t>bc bancocentral jurosbaixojá taxaselic pactu seebumuarama umuarama</t>
  </si>
  <si>
    <t>bc bancocentral pib inflação bancos economia pactu seebumuarama umuarama</t>
  </si>
  <si>
    <t>bancocentral copom inflação taxabásicadejuros taxaselic pactu seebumuarama umuarama</t>
  </si>
  <si>
    <t>pactu jurosbaixosjá selic bancocentral seebumuarama umuarama</t>
  </si>
  <si>
    <t>jurosbaixojá cut centraissindicais taxadejuros bancocentral pactu seebumuarama umuarama</t>
  </si>
  <si>
    <t>inflação boletimfocus bancocentral economia pactu seebumuarama umuarama</t>
  </si>
  <si>
    <t>noticias argentina economía bancocentral tasadeinterés plazosfijos inflación soydeleste</t>
  </si>
  <si>
    <t>noticias argentina economía política bancocentral dólar plazosfijos eleccionespaso soydeleste</t>
  </si>
  <si>
    <t>nuestroequipoenprensa postgradosuautónoma bancocentral</t>
  </si>
  <si>
    <t>dolar pix bancocentral investing forextrader traders</t>
  </si>
  <si>
    <t>bancocentral senado brasil</t>
  </si>
  <si>
    <t>baccredomatic bancocentral</t>
  </si>
  <si>
    <t>milei dolar dolarblue bancocentral</t>
  </si>
  <si>
    <t>cormidom colaboradores desarrolladores bancocentral</t>
  </si>
  <si>
    <t>dinheiro economia finanças selic ipca bancocentral taxadejuros</t>
  </si>
  <si>
    <t>dinheiro financeiro finanças economia bancocentral bacen drex moeda criptomoedas</t>
  </si>
  <si>
    <t>dolarblue dolarización milei2023 inflación bancocentral</t>
  </si>
  <si>
    <t>sernac bancocentral chile</t>
  </si>
  <si>
    <t>inflación bancocentral desempleo</t>
  </si>
  <si>
    <t>chile chile bancocentral</t>
  </si>
  <si>
    <t>chile bancocentral chile</t>
  </si>
  <si>
    <t>bancocentral plazosfijos cambios</t>
  </si>
  <si>
    <t>ecuador delincuentes leloarauz locadelatico bancocentral titulosfalsos pedrodelgado leloarauz</t>
  </si>
  <si>
    <t>bancocentral argentina mercadopago</t>
  </si>
  <si>
    <t>criptocorralito bcra bancocentral fintech</t>
  </si>
  <si>
    <t>jornaldaki economia política selic copom taxadejuros bancocentral</t>
  </si>
  <si>
    <t>jornaldaki kotidiano economia pix bancocentral bancos</t>
  </si>
  <si>
    <t>jornaldaki kotidiano economia bancocentral poupança saquesdapoupança depósitosdapoupança</t>
  </si>
  <si>
    <t>jornaldaki kotidiano economia fraudesdigitais cpf operadorasdetelefonia bancocentral</t>
  </si>
  <si>
    <t>jornaldaki economia inflação crescimento boletimfocus bancocentral</t>
  </si>
  <si>
    <t>fmi bancocentral china</t>
  </si>
  <si>
    <t>bancocentral taxaselic mercadofinanceiro</t>
  </si>
  <si>
    <t>brubank bancovirtual banco bank bru argentina bancocentral bancoargentina bancoarg arg central economía finanzas problemas dinero plata dolares latinoamerica latino</t>
  </si>
  <si>
    <t>inflación chile cifra bancocentral luisfelipecéspedes</t>
  </si>
  <si>
    <t>bancocentral chile crecimiento economía país</t>
  </si>
  <si>
    <t>mercado chileno economía local bancocentral chile</t>
  </si>
  <si>
    <t>selic bancocentral taxadejuros copom</t>
  </si>
  <si>
    <t>paginaunodo economia mercadodevalores dinamismo primeramitaddelaño fideicomisoderentavariable bancocentral</t>
  </si>
  <si>
    <t>paginaunodo economia bcrd remesas primeroscincomeses bancocentral españa suiza</t>
  </si>
  <si>
    <t>paginaunodo economia juntamonetaria facilidaddeliquidezrapida bcrd bancocentral flr mipymes</t>
  </si>
  <si>
    <t>paginaunodo economia bancocentral sectoresproductivos hogares mipymes entidadesdeintermediación juntamonetaria</t>
  </si>
  <si>
    <t>paginaunodo nacionales politicadesubsidiossociales gobierno superate bonogas ipc fase pati plandevacunacion combustibles bancocentral</t>
  </si>
  <si>
    <t>paginaunodo economia bcrd bancocentral pib flujoderemesas remesassuperanus5900millones</t>
  </si>
  <si>
    <t>paginaunodo economia simv cierredejunio activos bolsas 181millones bancocentral gobierno pib mercadodevalores telesistemacanal11</t>
  </si>
  <si>
    <t>pix pixdetrasferência pixdecompra pixcheckout taxas tributos bancocentral bc caixaeconomicafederal</t>
  </si>
  <si>
    <t>javiermilei bancocentral paraguay estadosunidos dolar reservafederal</t>
  </si>
  <si>
    <t>bancocentral turquia banco turco interes inflacion</t>
  </si>
  <si>
    <t>economiafinanciera dolarizacion argentina soberania argentinaunida creoenargentina bancocentral bancos massa2023</t>
  </si>
  <si>
    <t>queagito cheques segurança bancocentral talões</t>
  </si>
  <si>
    <t>queagito bancocentral vazamento chavespix</t>
  </si>
  <si>
    <t>mercadopago bancocentral hnt8</t>
  </si>
  <si>
    <t>bacen bancocentral</t>
  </si>
  <si>
    <t>inflación ucm unir bancocentral</t>
  </si>
  <si>
    <t>palavradomurilo bancocentral economia</t>
  </si>
  <si>
    <t>economía reservas bancocentral</t>
  </si>
  <si>
    <t>ahorro bancocentral</t>
  </si>
  <si>
    <t>crónicasdeldía billetes bancocentral nuevo seguridad circulación</t>
  </si>
  <si>
    <t>bancocentral farialima politicafiscal</t>
  </si>
  <si>
    <t>bancocentral economia paulonogueirabatistajr</t>
  </si>
  <si>
    <t>mercado bancocentral compra dólares</t>
  </si>
  <si>
    <t>reflexao bc possibilidades bancocentral propostas analise assertividade economia brasil perspectiva vamosconversando</t>
  </si>
  <si>
    <t>economia bc bancocentral dinheiro valoresareceber</t>
  </si>
  <si>
    <t>bancocentral bc gabrielgalipolo ailtonaquino lula senado senadorvanderlan</t>
  </si>
  <si>
    <t>bancocentral copom jurosbásicosdaeconomia selic taxabásicadejuros economia pt lula</t>
  </si>
  <si>
    <t>economia bancocentral lula bancocentral</t>
  </si>
  <si>
    <t>bancocentral bc fieg processojudicial sandromabel taxadejuros economia notíciasdoestado</t>
  </si>
  <si>
    <t>economia bancocentral crescimentoeconomico economiagoiana pib</t>
  </si>
  <si>
    <t>bancocentral créditonopix economia</t>
  </si>
  <si>
    <t>economia brasil cresce aumento julho bancocentral bc ibc impostos</t>
  </si>
  <si>
    <t>bancocentral dinheiroesquecido valoresareceber brasil</t>
  </si>
  <si>
    <t>bancocentral camposneto inflação juros lula política</t>
  </si>
  <si>
    <t>copom bancocentral camposneto jurosbaixosjá</t>
  </si>
  <si>
    <t>sindbaixada bancáriosbaixada baixadafluminense bancocentral jurosbaixosjá foracamposneto</t>
  </si>
  <si>
    <t>bancáriosbaixada bancocentral jurosbaixosjá</t>
  </si>
  <si>
    <t>bancocentral taxadejuros brasil</t>
  </si>
  <si>
    <t>forapt foralula impeachmentlulaja acordabrasil demitaem2026 brasil bancocentral</t>
  </si>
  <si>
    <t>fofocalizandonosbt educacaofinanceira bitcoin bancocentral lula7desetembro</t>
  </si>
  <si>
    <t>bolsonaroinelegivel bancocentral bitcoin</t>
  </si>
  <si>
    <t>meli fofocalizandonosbt bancocentral educacaofinanceira financaspessoais bitcoinetf pobresincero</t>
  </si>
  <si>
    <t>selic bc bancocentral taxadejuros</t>
  </si>
  <si>
    <t>lula bancocentral robertocamposneto</t>
  </si>
  <si>
    <t>bancocentral swap</t>
  </si>
  <si>
    <t>bancocentral drex moedadigital olhardigital</t>
  </si>
  <si>
    <t>superapp bancocentral olhardigital</t>
  </si>
  <si>
    <t>dinheiro bancocentral olhardigital</t>
  </si>
  <si>
    <t>pix bancocentral olhardigital</t>
  </si>
  <si>
    <t>remesas bancocentral economia despertarnacional</t>
  </si>
  <si>
    <t>puestosdebolsa bancocentral</t>
  </si>
  <si>
    <t>economia fninanzas bancocentral despertarnacional</t>
  </si>
  <si>
    <t>ahora bancocentral economia despertarnacional</t>
  </si>
  <si>
    <t>economia juntamonteria bancocentral despertarnacional</t>
  </si>
  <si>
    <t>ipc platanos colegios bancocentral despertarnacional</t>
  </si>
  <si>
    <t>encajelegal bancocentral economia viviendas despertarnacional</t>
  </si>
  <si>
    <t>economia bancocentral inflacion</t>
  </si>
  <si>
    <t>ipc economia bancocentral</t>
  </si>
  <si>
    <t>sergiomassa bancocentral</t>
  </si>
  <si>
    <t>bancocentral crc colones usd</t>
  </si>
  <si>
    <t>usd bancocentral costarica</t>
  </si>
  <si>
    <t>bancocentral costarica usd</t>
  </si>
  <si>
    <t>concursos concursosbancarios bancocentral bancodonordeste cvm previc aprendizagemacelerada admthiagofelix</t>
  </si>
  <si>
    <t>stablecoin cbdc transfero web3 defi cefi bancocentral realdigital centralbank</t>
  </si>
  <si>
    <t>bancocentral governolula lulavaicair lulaladrao luladraodesgracaedestruicao bc lula</t>
  </si>
  <si>
    <t>inflação bancocentral economia</t>
  </si>
  <si>
    <t>bancocentral argentina billete sanmartin</t>
  </si>
  <si>
    <t>dolares bancocentral dolarmep</t>
  </si>
  <si>
    <t>transportista bancocentral</t>
  </si>
  <si>
    <t>elchorrillero bancocentral códigoqr economía mediosdepago tarjetadedébito transferencias</t>
  </si>
  <si>
    <t>elchorrillerosl bancocentral plazofijo tasadeinterés</t>
  </si>
  <si>
    <t>bancocentral reserva</t>
  </si>
  <si>
    <t>bancocentral déficit depositos deuda inflación tasas</t>
  </si>
  <si>
    <t>elchorrillerosl bancocentral bcra inflación plazosfijos</t>
  </si>
  <si>
    <t>elchorrillero bancocentral devaluación dolar reservas</t>
  </si>
  <si>
    <t>bancocentral dolares</t>
  </si>
  <si>
    <t>yuan bancocentral dólares</t>
  </si>
  <si>
    <t>bancocentral dólarblue</t>
  </si>
  <si>
    <t>elchorrillerosl bancocentral billeteravirtual marcosgalperin mercadopago</t>
  </si>
  <si>
    <t>plazofijo bancocentral devaluación peso</t>
  </si>
  <si>
    <t>bancocentral pixtv pixnasredes pixnews direçãopolítica</t>
  </si>
  <si>
    <t>argentina pixtv pixnasredes pixnews taxajuros bancocentral</t>
  </si>
  <si>
    <t>selic pixtv pixnasredes bancocentral</t>
  </si>
  <si>
    <t>brasil pixtv bancocentral governolula taxa juros</t>
  </si>
  <si>
    <t>economia pixtv pixnasredes brasil bancocentral copom selic</t>
  </si>
  <si>
    <t>brasil pixtv pixnasredes bancocentral</t>
  </si>
  <si>
    <t>pix pixtv pixnasredes brasil bancocentral pix pagamento</t>
  </si>
  <si>
    <t>economia pixtv bancocentral brasil</t>
  </si>
  <si>
    <t>brasil pixtv pixnasredes camposneto bancocentral juros</t>
  </si>
  <si>
    <t>camposneto demissão economista bancocentral</t>
  </si>
  <si>
    <t>presidente pix bancocentral nao vencer vida meritocracia</t>
  </si>
  <si>
    <t>forabolsonaroesuaquadrilha foracamposneto bancocentral</t>
  </si>
  <si>
    <t>camposneto foracamposneto bancocentral jurosbaixosja titan titanic</t>
  </si>
  <si>
    <t>peronismo malena constitución trueno bancocentral larreta alberto cristina alberto russia korea lockhimup yuki nation australiasutton innocent rachelmaddow</t>
  </si>
  <si>
    <t>bancocentral hacienda</t>
  </si>
  <si>
    <t>smabc taxasdejuro bancocentral</t>
  </si>
  <si>
    <t>news polícia camposneto bancocentral</t>
  </si>
  <si>
    <t>igpm incc ipc bancocentral fgv deflação</t>
  </si>
  <si>
    <t>tonodiarinho moedadigital bancocentral</t>
  </si>
  <si>
    <t>valdivia aesta callao bancocentral santiagocentro iquique arica biobio santiago</t>
  </si>
  <si>
    <t>bancocentral erdogan inflación</t>
  </si>
  <si>
    <t>economia bancocentral banco investimento governofederal contabil noticias contadoragoranews americanas</t>
  </si>
  <si>
    <t>economia pix bc bancocentral financas governofederal contabil noticias contadoragoranews</t>
  </si>
  <si>
    <t>pib economia bc bancocentral governofederal contabil noticias contadoragoranews</t>
  </si>
  <si>
    <t>bancocentral diretoria bc governofederal contabil noticias contadoragoranews indicacao</t>
  </si>
  <si>
    <t>mileipresidente bancocentral dolar elecciones2023</t>
  </si>
  <si>
    <t>bancocentral ditaduranews ditadurabrasileira ipca inflação rcn robertocamposneto</t>
  </si>
  <si>
    <t>bancocentral plazofijo tasasdeinterés</t>
  </si>
  <si>
    <t>bancocentral córdoba juanschiaretti</t>
  </si>
  <si>
    <t>soja bancocentral dólarsoja</t>
  </si>
  <si>
    <t>bancocentral mercadopago personalpay</t>
  </si>
  <si>
    <t>dólar bancocentral dolarblue</t>
  </si>
  <si>
    <t>bancocentral dolarización yuanes</t>
  </si>
  <si>
    <t>bancocentral juanschiaretti juntosporelcambio</t>
  </si>
  <si>
    <t>bancocentral plazofijo tasas</t>
  </si>
  <si>
    <t>mediospanorama peso pesodominicano dólar bcrd bancocentral</t>
  </si>
  <si>
    <t>mediospanorama repúblicadominicana bancocentral bcrd inflación</t>
  </si>
  <si>
    <t>dolar reservas bancocentral argentina fmi</t>
  </si>
  <si>
    <t>bancocentral bc drex</t>
  </si>
  <si>
    <t>noticias elobjetivo laverdaddeloshechos bancocentral rem subadeprecios consultorasprivadas</t>
  </si>
  <si>
    <t>reformatributaria gobiernodeladrones</t>
  </si>
  <si>
    <t>econoweek investimentos finanças bancocentral</t>
  </si>
  <si>
    <t>2milpesos bancocentral</t>
  </si>
  <si>
    <t>billetede2000 billete circulación inflación bancocentral casadelamoneda</t>
  </si>
  <si>
    <t>petismo pestista lula governolula pt bancocentral taxaselic</t>
  </si>
  <si>
    <t>bancocentral bancocentralrd republicadominicana aaroninvest inflacion</t>
  </si>
  <si>
    <t>argentina bancocentral moneda dinero milei bitcoin</t>
  </si>
  <si>
    <t>bancocentral serranossa</t>
  </si>
  <si>
    <t>dinheiroesquecido bancocentral economia serranossa</t>
  </si>
  <si>
    <t>pix bancocentral serranossa</t>
  </si>
  <si>
    <t>bancocentral cobrança febraban</t>
  </si>
  <si>
    <t>sonoticiaboa bc pix novidade brasil seguranca fazumpix veja mudou bancocentral</t>
  </si>
  <si>
    <t>pix seguranca mudanca novidades bancocentral bc anuncio transferencia dinheiro</t>
  </si>
  <si>
    <t>pix pixautomatico pagar contas debitoautomatico novidade tecnologia bancos bancocentral</t>
  </si>
  <si>
    <t>drex moedadigital brasil bancocentral</t>
  </si>
  <si>
    <t>cpf golpe golpistas checar online site bancocentral</t>
  </si>
  <si>
    <t>selic jurosbaixosja taxadejuros juros copom bancocentral economia</t>
  </si>
  <si>
    <t>selic taxadejuros brasil bancocentral mexico maiortaxadejurosdomundo</t>
  </si>
  <si>
    <t>bcteexplica criptoativos regulação bancocentral cbdc</t>
  </si>
  <si>
    <t>copom bancocentral selic juros bcteexplica</t>
  </si>
  <si>
    <t>economia bancocentral educaçãofinanceira livebc pix golpe</t>
  </si>
  <si>
    <t>livebc economia bancocentral educaçãofinanceira livebc pix</t>
  </si>
  <si>
    <t>bcteexplica finanças dinheiro bancocentral economia</t>
  </si>
  <si>
    <t>preços inflação bcteexplica ipca dinheiro bancocentral economia finanças</t>
  </si>
  <si>
    <t>dinheiro bancocentral alavancagem bcteexplica banco economia juros compulsorio</t>
  </si>
  <si>
    <t>golpe livebc fraude bancocentral vitimadegolpe</t>
  </si>
  <si>
    <t>diadomeioambiente sustentabilidade economiaverde esg bancocentral</t>
  </si>
  <si>
    <t>valoresareceber svr registrato bancocentral empréstimo</t>
  </si>
  <si>
    <t>drex realdigital real bancocentral</t>
  </si>
  <si>
    <t>livebc bancocentral fiscalização supervisãobancária</t>
  </si>
  <si>
    <t>focus economia ipca selic cambio pib</t>
  </si>
  <si>
    <t>bancocentral pib selic juros</t>
  </si>
  <si>
    <t>drex realdigital criptoativos real bancocentral</t>
  </si>
  <si>
    <t>bancos direitosdoconsumidor contacorrente bancocentral</t>
  </si>
  <si>
    <t>livebc livebc openfinance bancocentral superapp</t>
  </si>
  <si>
    <t>livebc livebc openfinance sistemafinanceiro bancocentral competitividadebancaria</t>
  </si>
  <si>
    <t>golpe livebc fraude bancocentral svr</t>
  </si>
  <si>
    <t>svr estatísticas bancocentral</t>
  </si>
  <si>
    <t>drex bcteexplica cbdc dinheiro bancocentral economia credito</t>
  </si>
  <si>
    <t>boleto golpe bcteexplica dinheiro economia bancocentral dicas</t>
  </si>
  <si>
    <t>bancocentral politicamonetaria livebc comunicacao</t>
  </si>
  <si>
    <t>bancocentral politicamonetaria livebc</t>
  </si>
  <si>
    <t>bancocentral politicamonetaria</t>
  </si>
  <si>
    <t>pix recorde fazumpix pagamentos bancocentral dinheiro</t>
  </si>
  <si>
    <t>portinari tarsila dicavalcanti volpi bancocentral bcteexplica museu economia</t>
  </si>
  <si>
    <t>focus economia</t>
  </si>
  <si>
    <t>economia bancocentral educaçãofinanceira livebc pix</t>
  </si>
  <si>
    <t>drex realdigital bancocentral fatossobreodrex moedadigital</t>
  </si>
  <si>
    <t>economia bancocentral educaçãofinanceira livebc</t>
  </si>
  <si>
    <t>bcbprêmio bancocentral</t>
  </si>
  <si>
    <t>emprego empréstimo bcteexplica finanças dinheiro bancocentral economia</t>
  </si>
  <si>
    <t>finanças inovação tecnologia sistemafinanceiro pix futurododinheiro bancocentral</t>
  </si>
  <si>
    <t>valoresareceber svr bancocentral svr dinheiroesquecido contascorrentes contapoupança bancocentraldobrasil</t>
  </si>
  <si>
    <t>bcra bancocentral nuevobillete economia pesoargentino</t>
  </si>
  <si>
    <t>lodijoenpolíticamentecorrecto bancocentral</t>
  </si>
  <si>
    <t>lodijoenpolíticamentecorrecto bancocentral jaimecarrera</t>
  </si>
  <si>
    <t>bancocentral terraepaixao</t>
  </si>
  <si>
    <t>argentina economia sergiomassa paquetemedidas inflacion interes ahora12 bancocentral</t>
  </si>
  <si>
    <t>dólarblue bancocentral mercado</t>
  </si>
  <si>
    <t>bancocentral desenrola</t>
  </si>
  <si>
    <t>deúltimominuto elperiódicodelaverdad pobreza pobrezard bancocentral economía</t>
  </si>
  <si>
    <t>valoresarecerber bancocentral dinheiroesquecido</t>
  </si>
  <si>
    <t>billete circulación distribución bancocentral radiocanalformosa</t>
  </si>
  <si>
    <t>previsiones privados inflación rem bancocentral radiocanalformosa</t>
  </si>
  <si>
    <t>bancocentral mecanismo debin mercadopago radiocanalformosa</t>
  </si>
  <si>
    <t>luladasilva negociación albertofernandez importaciones aumento bancocentral finanzas radiocanalformosa</t>
  </si>
  <si>
    <t>cbdc brasil bancocentral bitcoin</t>
  </si>
  <si>
    <t>criptomonedas argentina bancocentral billetede2000 nuevobillete</t>
  </si>
  <si>
    <t>dolar argentina finanzas inversion dolarblue pesos emision bancocentral milei massa bullrich larreta</t>
  </si>
  <si>
    <t>b3 cambio bancocentral</t>
  </si>
  <si>
    <t>dolar mercadofinanceiro bolsas b3 bancocentral cambio</t>
  </si>
  <si>
    <t>dolar investidores b3 mercadofinanceiro bancocentral</t>
  </si>
  <si>
    <t>investidores juros dolar china bancocentral</t>
  </si>
  <si>
    <t>dolar mercadofinanceiro b3 investidores bancocentral</t>
  </si>
  <si>
    <t>dolar investidores alemanha pib bancocentral</t>
  </si>
  <si>
    <t>dolar ipc fipe swap bancocentral</t>
  </si>
  <si>
    <t>entrevista economía mercadochileno bancocentral tasadeinterés</t>
  </si>
  <si>
    <t>bancocentral billetes</t>
  </si>
  <si>
    <t>economía fed fed bancocentral</t>
  </si>
  <si>
    <t>bancodemoçambique bancocentral cpmo taxamimo economia partilhe</t>
  </si>
  <si>
    <t>bancodemoçambique bancocentral concurso</t>
  </si>
  <si>
    <t>bancodemoçambique bancocentral metical moedanacional</t>
  </si>
  <si>
    <t>bancodemoçambique bancocentral economia pib</t>
  </si>
  <si>
    <t>bancodemoçambique bancocentral economia inflação</t>
  </si>
  <si>
    <t>bancodemoçambique bancocentral primerate sistemabancario</t>
  </si>
  <si>
    <t>bancodemoçambique bancocentral 48ccbm inhambane comunicado</t>
  </si>
  <si>
    <t>bancodemoçambique bancocentral economia balançadepagamentos saibamais</t>
  </si>
  <si>
    <t>bancodemoçambique bancocentral economia balançadepagamentos infografico</t>
  </si>
  <si>
    <t>bancodemoçambique bancocentral estabilidadefinanceira riscos economia partilhe</t>
  </si>
  <si>
    <t>bancodemoçambique bancocentral metical moedanacional segurança partilhe</t>
  </si>
  <si>
    <t>bancodemoçambique bancocentral economia balançadepagamentos infografico contafinanceira</t>
  </si>
  <si>
    <t>bancodemoçambique bancocentral cpmo economia retweet</t>
  </si>
  <si>
    <t>bancodemoçambique bancocentral economia ilhademocambique</t>
  </si>
  <si>
    <t>bancodemoçambique bancocentral cpmo economia partilhe</t>
  </si>
  <si>
    <t>bancodemoçambique bancocentral</t>
  </si>
  <si>
    <t>bancodemoçambique bancocentral vagas recrutamento selecção partilha repost</t>
  </si>
  <si>
    <t>bancodemoçambique bancocentral comunicado biblioteca</t>
  </si>
  <si>
    <t>bancodemoçambique bancocentral comunicado alerta</t>
  </si>
  <si>
    <t>bancodemoçambique bancocentral economia inflação concurso</t>
  </si>
  <si>
    <t>bancodemoçambique bancocentral comunicado standardbank mercadocambial</t>
  </si>
  <si>
    <t>bancodemoçambique bancocentral vagas edital resultados entrevistas selecção</t>
  </si>
  <si>
    <t>bancodemoçambique bancocentral economia balançadepagamentos reservasinternacionais</t>
  </si>
  <si>
    <t>bancodemoçambique bancocentral economia balançadepagamentos infografico contacorrente</t>
  </si>
  <si>
    <t>bancodemoçambique bancocentral economia</t>
  </si>
  <si>
    <t>bancodemoçambique bancocentral jornadas científicas jocibam</t>
  </si>
  <si>
    <t>bancocentral camposneto</t>
  </si>
  <si>
    <t>michi simpática empleados bancocentral adoptánocomprés adoptanocompres porquecadainstantecuente alexanderpifano</t>
  </si>
  <si>
    <t>junio bancocentral</t>
  </si>
  <si>
    <t>bancocentral imagen sanmartín pesos</t>
  </si>
  <si>
    <t>indec bancocentral paso</t>
  </si>
  <si>
    <t>fmi reservas bancocentral</t>
  </si>
  <si>
    <t>billete moneda bancocentral josédesanmartín argentina</t>
  </si>
  <si>
    <t>relevamientodeexpectativasdemercado bancocentral precios</t>
  </si>
  <si>
    <t>córdoba bancocentral dólares</t>
  </si>
  <si>
    <t>dólar bancocentral bcra cambiooficial paso</t>
  </si>
  <si>
    <t>dólarblue bancocentral</t>
  </si>
  <si>
    <t>folhageral economia pix bancocentral segurancadigital</t>
  </si>
  <si>
    <t>bancocentral comercioelectrónico enzona comercioelectrónico juntosporlatransformacióndigital cubainformatiza</t>
  </si>
  <si>
    <t>bancocentral nuevobillete argentina</t>
  </si>
  <si>
    <t>bancocentral regióndecoquimbo chile lahiguera</t>
  </si>
  <si>
    <t>bancocentral camposneto ptnacâmara economia</t>
  </si>
  <si>
    <t>bancocentral economia governolula ptnacâmara</t>
  </si>
  <si>
    <t>bancocentral camposneto jurosbaixosjá copom</t>
  </si>
  <si>
    <t>jurosalto bancocentral ptnacâmara economia</t>
  </si>
  <si>
    <t>bancocentral falso</t>
  </si>
  <si>
    <t>economia economistas bid fmi bancocentral ilangoldfajn</t>
  </si>
  <si>
    <t>elpaíshn honduras deficit bancocentral</t>
  </si>
  <si>
    <t>elpaíshn honduras bertacaceres bancocentral</t>
  </si>
  <si>
    <t>elpaíshn honduras inflacion bancocentral</t>
  </si>
  <si>
    <t>bancocentral regulação cvm</t>
  </si>
  <si>
    <t>cripto regulação bancocentral</t>
  </si>
  <si>
    <t>devaluación irresponsables bancocentral</t>
  </si>
  <si>
    <t>bancocentral tasa97 plazofijo</t>
  </si>
  <si>
    <t>anses préstamo crédtio bancocentral trabajadores</t>
  </si>
  <si>
    <t>bancocentral pix automático abril2024 giranotícias</t>
  </si>
  <si>
    <t>cirogomes selic</t>
  </si>
  <si>
    <t>ciroemlisboa bancocentral</t>
  </si>
  <si>
    <t>losnotables entrevistas radiolared economia dolar bancocentral reservas</t>
  </si>
  <si>
    <t>corparauanía bancocentral proyectar cifras ascendentes economía nacional regional</t>
  </si>
  <si>
    <t>envivo ahora corparaucanía jueves dreams temuco escenario económico proyecciones bancocentral chile wwwtemucodiariocl</t>
  </si>
  <si>
    <t>chile alza dólar</t>
  </si>
  <si>
    <t>chile alza dólar intervenciones bancocentral</t>
  </si>
  <si>
    <t>jornaldamanhã economia bancocentral pib</t>
  </si>
  <si>
    <t>aovivojp aovivo gabrielgalípolo bancocentral</t>
  </si>
  <si>
    <t>jornaldamanhã gabrielgalípolo bancocentral</t>
  </si>
  <si>
    <t>jornaldamanhã bancocentral selic manifestação</t>
  </si>
  <si>
    <t>jpentrevista taxa selic bancocentral economia</t>
  </si>
  <si>
    <t>linhadefrente camposneto galípolo bancocentral</t>
  </si>
  <si>
    <t>jornaldamanhã bancocentral selic cae</t>
  </si>
  <si>
    <t>jornaldamanhã bancocentral inflação economia</t>
  </si>
  <si>
    <t>mercadofinanceirojp bancocentral juros selic</t>
  </si>
  <si>
    <t>jpentrevista copom bancocentral selic taxa juros</t>
  </si>
  <si>
    <t>jornaldamanhã copom bancocentral economia</t>
  </si>
  <si>
    <t>jornaldamanhã bancocentral bc bilhões dinheiro resgate</t>
  </si>
  <si>
    <t>jornaldamanhã bc bancocentral lula cargos senado</t>
  </si>
  <si>
    <t>jornaldamanhã drex realdigital bancocentral</t>
  </si>
  <si>
    <t>jornaldamanhã bancocentral dinheiroesquecido</t>
  </si>
  <si>
    <t>jornaldamanhã galípolo bancocentral senado</t>
  </si>
  <si>
    <t>diálogojp bancocentral economia mercadofinanceiro</t>
  </si>
  <si>
    <t>jornaldamanhã drex moeda real bancocentral</t>
  </si>
  <si>
    <t>mercadofinanceirojp economia selic bancocentral</t>
  </si>
  <si>
    <t>jornaldamanhã jovempan randolfe bancocentral camposneto</t>
  </si>
  <si>
    <t>jornaldamanhã luizatrajano selic bancocentral</t>
  </si>
  <si>
    <t>ospingosnosis notícia informação cpi bancocentral ongs</t>
  </si>
  <si>
    <t>jornaldamanhã rotativo bancocentral</t>
  </si>
  <si>
    <t>sociedadedigital criptomoedas bancocentral economia</t>
  </si>
  <si>
    <t>diálogojp bancocentral economia</t>
  </si>
  <si>
    <t>3em1 bancocentral camposneto taxação</t>
  </si>
  <si>
    <t>fastnewsjp gabrielgalípolo bancocentral juros lula</t>
  </si>
  <si>
    <t>jornaldamanhã bancocentral camposneto</t>
  </si>
  <si>
    <t>jornaldamanhã moeda bancocentral inflação</t>
  </si>
  <si>
    <t>correiodeminas alerta bancocentral golpes correiodeminasonline</t>
  </si>
  <si>
    <t>correiodeminas bancocentral comunicado comunicadoimportante twiter correiodeminasonline</t>
  </si>
  <si>
    <t>periodismo politica bancocentral argentina</t>
  </si>
  <si>
    <t>noticias noticia bancocentral banco bomdia bomdiabrasil</t>
  </si>
  <si>
    <t>sanlorenzo monterrey bancocentral</t>
  </si>
  <si>
    <t>ipc inflacion bancocentral</t>
  </si>
  <si>
    <t>ipc bancocentral tasa</t>
  </si>
  <si>
    <t>bancocentral pixautomático lançamento csmv</t>
  </si>
  <si>
    <t>pix bancocentral bcb resolução spi contapi bancário csmv</t>
  </si>
  <si>
    <t>cnnbrasilprimetime</t>
  </si>
  <si>
    <t>livecnnbrasil</t>
  </si>
  <si>
    <t>brasil bc bancocentral juros selic</t>
  </si>
  <si>
    <t>juros bancocentral economia lula</t>
  </si>
  <si>
    <t>dinero billetes bancocentral heroes heroinas patria</t>
  </si>
  <si>
    <t>batakis bancocentral numerologa irregularidades argentina</t>
  </si>
  <si>
    <t>guazelliadvocacia rafaelguazelli nataliaguazelli bancocentral bancos</t>
  </si>
  <si>
    <t>bancocentral ueno bcp</t>
  </si>
  <si>
    <t>cpmpy</t>
  </si>
  <si>
    <t>europa hungría unióneuropea andrassimor bancocentral</t>
  </si>
  <si>
    <t>reuters bancocentral rusia rublo</t>
  </si>
  <si>
    <t>china bancocentral yuan swift</t>
  </si>
  <si>
    <t>gobierno bancocentral</t>
  </si>
  <si>
    <t>databcra principalesvariables</t>
  </si>
  <si>
    <t>bancocentral reservas</t>
  </si>
  <si>
    <t>ualá naranjax bancocentral</t>
  </si>
  <si>
    <t>bancocentral qr</t>
  </si>
  <si>
    <t>bancocentral moedadigital drex</t>
  </si>
  <si>
    <t>bancocentral resolucao dados prevencao economia informacoes bancos</t>
  </si>
  <si>
    <t>costarica bancocentral tpm economia finanzas finanzaspersonales finanzaspublicas tasasdeinteres</t>
  </si>
  <si>
    <t>costarica bancocentral economia finanzas finanzaspublicas</t>
  </si>
  <si>
    <t>costarica economia finanzas bancocentral</t>
  </si>
  <si>
    <t>costarica bancocentral economia finanzas finanzaspublicas sugef conasiff</t>
  </si>
  <si>
    <t>uh ultimahora bancocentral economia finanzas sugef conassif</t>
  </si>
  <si>
    <t>noticias bancocentral</t>
  </si>
  <si>
    <t>justicia bancocentral</t>
  </si>
  <si>
    <t>jurosbaixosjá selic bancocentral</t>
  </si>
  <si>
    <t>alquileres laplata inquilinos bancocentral aumento contratos</t>
  </si>
  <si>
    <t>billete pesos sanmartin bancocentral patria dinero economia</t>
  </si>
  <si>
    <t>dolar aumento economia bancocentral</t>
  </si>
  <si>
    <t>bancocentral taxadejuros</t>
  </si>
  <si>
    <t>bancocentral taxaselic mercadobrasileiro</t>
  </si>
  <si>
    <t>bancárioscaxias jurosbaixosjá bancocentral selic</t>
  </si>
  <si>
    <t>bancárioscaxias bancocentral jurosbaixosjá</t>
  </si>
  <si>
    <t>bancárioscaxias jurosbaixosjá selic bancocentral</t>
  </si>
  <si>
    <t>bancárioscaxias jurosbaixosjá bancocentral</t>
  </si>
  <si>
    <t>eleccionespaso bancocentral elecciones2023</t>
  </si>
  <si>
    <t>noticias brasil economia selic taxadejuros copom bancocentral politicamonetaria portaldeanews</t>
  </si>
  <si>
    <t>noticias brasil economia bancocentral bc moedadigital drex moeda portaldeanews</t>
  </si>
  <si>
    <t>cuenca biblioteca bancocentral</t>
  </si>
  <si>
    <t>bancocentral cuba bancarización crisis liquidez afp</t>
  </si>
  <si>
    <t>portalchicosabetudo pix bancocentral</t>
  </si>
  <si>
    <t>https://www.estadao.com.br/economia/negocios/itau-unibanco-lucro-primeiro-trimestre/?utm_source=newsshowcase&amp;utm_medium=gnews&amp;utm_campaign=CDAqDwgAKgcICjCWh6gCMJb5FzDNjL4B&amp;utm_content=related&amp;gaa_at=g&amp;gaa_n=AXv4zM1MTpaOdDQ2SpQlvcqakQkxX0XnPYtknL0GIjfvb30t_RziJXDeYnHrUZiOc_nvOkLP5iSmtPS2YaqsQmfJN35knkLUaw%3D%3D&amp;gaa_ts=6458f164&amp;gaa_sig=GINpvDBDPDAifnXkBRLAO9NExmyESM3KTWdhXzcG1JFJj-_Z3HFGHhLgwck-IHtsFamSEy2ArRUpBPKI8AACmQ%3D%3D</t>
  </si>
  <si>
    <t>https://lnkd.in/g_ziK-iv https://lnkd.in/gzBHEqDe</t>
  </si>
  <si>
    <t>https://lnkd.in/g8zGbtjJ https://lnkd.in/gcCXpHea</t>
  </si>
  <si>
    <t>https://lnkd.in/g_y6M-Mv https://lnkd.in/gnqhcmF9</t>
  </si>
  <si>
    <t>https://lnkd.in/gkayz3da https://lnkd.in/gXib8SfK</t>
  </si>
  <si>
    <t>https://lnkd.in/gapwk2F2 https://lnkd.in/g4NE-XNG</t>
  </si>
  <si>
    <t>https://lnkd.in/g9qdPFMT https://lnkd.in/gKRF5n6u</t>
  </si>
  <si>
    <t>https://lnkd.in/gRjneXng https://lnkd.in/ge77NA6Q</t>
  </si>
  <si>
    <t>https://viuu.com.br/2023/06/07/brasileiro-tem-mais-de-r-7-bilhoes-no-srv/?feed_id=2055&amp;_unique_id=64812547a9475 https://viuu.com.br/2023/06/07/brasileiro-tem-mais-de-r-7-bilhoes-no-srv/?feed_id=2055&amp;_unique_id=64812547a9475</t>
  </si>
  <si>
    <t>https://viuu.com.br/2023/06/06/caderneta-de-poupanca-tem-retirada-recorde-em-maio/?feed_id=1708&amp;_unique_id=647fa277212c7 https://viuu.com.br/2023/06/06/caderneta-de-poupanca-tem-retirada-recorde-em-maio/?feed_id=1708&amp;_unique_id=647fa277212c7</t>
  </si>
  <si>
    <t>https://tinyurl.com/2nr9quov https://tinyurl.com/2nr9quov</t>
  </si>
  <si>
    <t>https://acortar.link/vRVy3w https://htnoticias.com/?p=118463</t>
  </si>
  <si>
    <t>https://lnkd.in/dAcE-ghg https://lnkd.in/dEiNWek7</t>
  </si>
  <si>
    <t>https://viuu.com.br/2023/07/19/regulacao-de-criptoativos-tera-consulta-publica/?feed_id=9993 https://viuu.com.br/2023/07/19/regulacao-de-criptoativos-tera-consulta-publica/?feed_id=9993</t>
  </si>
  <si>
    <t>https://viuu.com.br/2023/06/26/economia-tem-projecao-maior-de-crescimento/?feed_id=6476&amp;_unique_id=6499c6d2e81c4 https://viuu.com.br/2023/06/26/economia-tem-projecao-maior-de-crescimento/?feed_id=6476&amp;_unique_id=6499c6d2e81c4</t>
  </si>
  <si>
    <t>https://viuu.com.br/2023/07/08/sistema-do-bc-devolve-r-417-bilhoes-em-recursos-esquecidos/?feed_id=8634 https://viuu.com.br/2023/07/08/sistema-do-bc-devolve-r-417-bilhoes-em-recursos-esquecidos/?feed_id=8634</t>
  </si>
  <si>
    <t>https://viuu.com.br/2023/07/07/banco-central-relatorio-de-poupanca-deve-sair-hoje/?feed_id=8525&amp;_unique_id=64a7e4d7c223f https://viuu.com.br/2023/07/07/banco-central-relatorio-de-poupanca-deve-sair-hoje/?feed_id=8525&amp;_unique_id=64a7e4d7c223f</t>
  </si>
  <si>
    <t>https://viuu.com.br/2023/06/06/caderneta-de-poupanca-tem-retirada-recorde-em-maio/?feed_id=1709&amp;_unique_id=647fa34144069 https://viuu.com.br/2023/06/06/caderneta-de-poupanca-tem-retirada-recorde-em-maio/?feed_id=1709&amp;_unique_id=647fa34144069</t>
  </si>
  <si>
    <t>https://viuu.com.br/2023/07/17/atividade-economica-recuou-em-maio/?feed_id=9868 https://viuu.com.br/2023/07/17/atividade-economica-recuou-em-maio/?feed_id=9868</t>
  </si>
  <si>
    <t>https://viuu.com.br/2023/06/23/real-versao-digital-comeca-a-fase-de-testes/?feed_id=6105&amp;_unique_id=64970958a5cb1 https://viuu.com.br/2023/06/23/real-versao-digital-comeca-a-fase-de-testes/?feed_id=6105&amp;_unique_id=64970958a5cb1</t>
  </si>
  <si>
    <t>https://viuu.com.br/2023/07/25/boletim-focus-reduz-previsao-da-inflacao/?feed_id=10697 https://viuu.com.br/2023/07/25/boletim-focus-reduz-previsao-da-inflacao/?feed_id=10697</t>
  </si>
  <si>
    <t>https://viuu.com.br/2023/06/27/taxa-selic-copom-cogita-queda-em-agosto/?feed_id=6708&amp;_unique_id=649b6cc0e7455 https://viuu.com.br/2023/06/27/taxa-selic-copom-cogita-queda-em-agosto/?feed_id=6708&amp;_unique_id=649b6cc0e7455</t>
  </si>
  <si>
    <t>https://viuu.com.br/2023/08/07/futura-moeda-digital-brasileira-vai-se-chamar-drex/?feed_id=12198 https://viuu.com.br/2023/08/07/futura-moeda-digital-brasileira-vai-se-chamar-drex/?feed_id=12198</t>
  </si>
  <si>
    <t>https://viuu.com.br/2023/06/29/cartao-de-credito-juros-medios-sobem-para-454-ao-ano/?feed_id=6948&amp;_unique_id=649d9cd388b43 https://viuu.com.br/2023/06/29/cartao-de-credito-juros-medios-sobem-para-454-ao-ano/?feed_id=6948&amp;_unique_id=649d9cd388b43</t>
  </si>
  <si>
    <t>https://viuu.com.br/2023/08/08/drex-como-vai-funcionar-a-moeda-digital-brasileira/?feed_id=12242 https://viuu.com.br/2023/08/08/drex-como-vai-funcionar-a-moeda-digital-brasileira/?feed_id=12242</t>
  </si>
  <si>
    <t>https://viuu.com.br/2023/08/07/pix-estabelece-novo-recorde-de-transacoes-em-um-dia/?feed_id=12182 https://viuu.com.br/2023/08/07/pix-estabelece-novo-recorde-de-transacoes-em-um-dia/?feed_id=12182</t>
  </si>
  <si>
    <t>https://viuu.com.br/2023/08/21/inflacao-oficial-de-2023-pode-superar-expectativas/?feed_id=13454 https://viuu.com.br/2023/08/21/inflacao-oficial-de-2023-pode-superar-expectativas/?feed_id=13454</t>
  </si>
  <si>
    <t>https://viuu.com.br/2023/07/10/boletim-focus-preve-queda-na-inflacao/?feed_id=8849 https://viuu.com.br/2023/07/10/boletim-focus-preve-queda-na-inflacao/?feed_id=8849</t>
  </si>
  <si>
    <t>https://noticiasdecruceros.com/2023/05/15/havila-voyages-recibe-la-licencia-del-banco-central-de-irlanda/ https://www.instagram.com/p/CsT2KgPu0h2/?igshid=YzcyNDA0Yzg3NA==</t>
  </si>
  <si>
    <t>https://lnkd.in/eQWWjHfY https://lnkd.in/eKQ9z5D4</t>
  </si>
  <si>
    <t>http://noticiassin.com https://noticiassin.com/portada-princiapal/banco-central-remesas-rondaron-los-us4200-0-millones-en-los-primeros-cinco-meses-del-2023-1439123/</t>
  </si>
  <si>
    <t>http://www.noticiassin.com https://noticiassin.com/pais/el-compromiso-sostenible-del-banco-popular-es-premiado-por-la-revista-global-finance-1455057/</t>
  </si>
  <si>
    <t>http://noticiassin.com https://noticiassin.com/economia/banco-central-de-ee-uu-decide-no-aumentar-la-tasa-de-interes-de-referencia-de-su-politica-monetaria-1440702/</t>
  </si>
  <si>
    <t>http://Perfil.com https://bit.ly/443XI7E</t>
  </si>
  <si>
    <t>https://rdteve.com/nacionales/economia-nacionales/la-banca-supera-los-mil-beneficiarios-en-viviendas-de-bajo-costo/ http://rdteve.com</t>
  </si>
  <si>
    <t>http://cursoadistancia.cl http://www.centralentuvida.cl</t>
  </si>
  <si>
    <t>http://nacion.com https://www.nacion.com/economia/indicadores/abundancia-de-dolares-baja-en-las-ventanillas-de/XNNZG4BRWBEFVC2VNLEVYFGWOM/story/?utm_source=onesignal&amp;utm_medium=push&amp;utm_campaign=2023-06-23-Indicadores</t>
  </si>
  <si>
    <t>twitter.com</t>
  </si>
  <si>
    <t>com.br</t>
  </si>
  <si>
    <t>youtube.com</t>
  </si>
  <si>
    <t>laseguridadsocial.do</t>
  </si>
  <si>
    <t>coweb.cl</t>
  </si>
  <si>
    <t>perfil.com</t>
  </si>
  <si>
    <t>swki.me</t>
  </si>
  <si>
    <t>buff.ly</t>
  </si>
  <si>
    <t>bit.ly</t>
  </si>
  <si>
    <t>lnkd.in</t>
  </si>
  <si>
    <t>radardopoder.com</t>
  </si>
  <si>
    <t>bitly.ws</t>
  </si>
  <si>
    <t>lnkd.in lnkd.in</t>
  </si>
  <si>
    <t>rb.gy</t>
  </si>
  <si>
    <t>com.ar</t>
  </si>
  <si>
    <t>com.do</t>
  </si>
  <si>
    <t>canal26.com</t>
  </si>
  <si>
    <t>gob.cu</t>
  </si>
  <si>
    <t>e3noticias.com</t>
  </si>
  <si>
    <t>dlvr.it</t>
  </si>
  <si>
    <t>instagram.com</t>
  </si>
  <si>
    <t>mendovoz.com</t>
  </si>
  <si>
    <t>mtr.cool</t>
  </si>
  <si>
    <t>gov.br</t>
  </si>
  <si>
    <t>todocalefon.cl</t>
  </si>
  <si>
    <t>youtu.be</t>
  </si>
  <si>
    <t>invasor.cu</t>
  </si>
  <si>
    <t>doi.org</t>
  </si>
  <si>
    <t>comunicarnoticias.ar</t>
  </si>
  <si>
    <t>com.br com.br</t>
  </si>
  <si>
    <t>tinyurl.com tinyurl.com</t>
  </si>
  <si>
    <t>tiktok.com</t>
  </si>
  <si>
    <t>mil21.es</t>
  </si>
  <si>
    <t>elindependiente.com</t>
  </si>
  <si>
    <t>shr.lc</t>
  </si>
  <si>
    <t>pauta.cl</t>
  </si>
  <si>
    <t>l1nq.com</t>
  </si>
  <si>
    <t>e-global.pt</t>
  </si>
  <si>
    <t>brasil247.com</t>
  </si>
  <si>
    <t>acortar.link</t>
  </si>
  <si>
    <t>acortar.link htnoticias.com</t>
  </si>
  <si>
    <t>diarioprensadelinterior.com</t>
  </si>
  <si>
    <t>linktr.ee</t>
  </si>
  <si>
    <t>notiespartano.com</t>
  </si>
  <si>
    <t>pharmabiz.net</t>
  </si>
  <si>
    <t>red92.com</t>
  </si>
  <si>
    <t>esquinard.com</t>
  </si>
  <si>
    <t>com.co</t>
  </si>
  <si>
    <t>saltamasiva.com</t>
  </si>
  <si>
    <t>laposta.ar</t>
  </si>
  <si>
    <t>cnn.com</t>
  </si>
  <si>
    <t>sumundodigital.com</t>
  </si>
  <si>
    <t>tugacetaoficial.com</t>
  </si>
  <si>
    <t>resumido.info</t>
  </si>
  <si>
    <t>elbonaerense.news</t>
  </si>
  <si>
    <t>noticiassin.com</t>
  </si>
  <si>
    <t>shre.ink</t>
  </si>
  <si>
    <t>org.br</t>
  </si>
  <si>
    <t>estrellasyredes.net</t>
  </si>
  <si>
    <t>linkedin.com</t>
  </si>
  <si>
    <t>tinyurl.com</t>
  </si>
  <si>
    <t>blogspot.com</t>
  </si>
  <si>
    <t>mla.bs</t>
  </si>
  <si>
    <t>jornalponto.com</t>
  </si>
  <si>
    <t>seudinheiro.com</t>
  </si>
  <si>
    <t>politicargentina.com</t>
  </si>
  <si>
    <t>coinstopics.com</t>
  </si>
  <si>
    <t>lado.mx</t>
  </si>
  <si>
    <t>wordpress.com</t>
  </si>
  <si>
    <t>bcentral.cl</t>
  </si>
  <si>
    <t>bingx.com</t>
  </si>
  <si>
    <t>n9.cl</t>
  </si>
  <si>
    <t>ft.com</t>
  </si>
  <si>
    <t>4et.us</t>
  </si>
  <si>
    <t>elcirculotv.com</t>
  </si>
  <si>
    <t>wp.me</t>
  </si>
  <si>
    <t>globo.com</t>
  </si>
  <si>
    <t>matrixglobalfx.com</t>
  </si>
  <si>
    <t>manaustime.com</t>
  </si>
  <si>
    <t>elcontraste.cl</t>
  </si>
  <si>
    <t>is.gd</t>
  </si>
  <si>
    <t>azvision.az</t>
  </si>
  <si>
    <t>glo.bo</t>
  </si>
  <si>
    <t>noticiasdecruceros.com instagram.com</t>
  </si>
  <si>
    <t>estoaresearch.com</t>
  </si>
  <si>
    <t>ecbr.io</t>
  </si>
  <si>
    <t>ift.tt</t>
  </si>
  <si>
    <t>agencianova.com</t>
  </si>
  <si>
    <t>mwl.press</t>
  </si>
  <si>
    <t>org.ar</t>
  </si>
  <si>
    <t>lc.cx</t>
  </si>
  <si>
    <t>jor.br</t>
  </si>
  <si>
    <t>iguazuahora.com</t>
  </si>
  <si>
    <t>facebook.com</t>
  </si>
  <si>
    <t>newspiaui.com</t>
  </si>
  <si>
    <t>cubaenresumen.org</t>
  </si>
  <si>
    <t>themexicopost.mx</t>
  </si>
  <si>
    <t>esglobal.org</t>
  </si>
  <si>
    <t>somosfan.com</t>
  </si>
  <si>
    <t>ow.ly</t>
  </si>
  <si>
    <t>cubadebate.cu</t>
  </si>
  <si>
    <t>tiny.cc</t>
  </si>
  <si>
    <t>leg.br</t>
  </si>
  <si>
    <t>consellopatagonico.com</t>
  </si>
  <si>
    <t>diarioelcentro.cl</t>
  </si>
  <si>
    <t>l1nk.dev</t>
  </si>
  <si>
    <t>acesse.one</t>
  </si>
  <si>
    <t>r7.com</t>
  </si>
  <si>
    <t>vovetucuman.com</t>
  </si>
  <si>
    <t>fintualist.com</t>
  </si>
  <si>
    <t>investing.com</t>
  </si>
  <si>
    <t>lmneuquen.com</t>
  </si>
  <si>
    <t>elfederalnoticias.com</t>
  </si>
  <si>
    <t>spotify.com</t>
  </si>
  <si>
    <t>ntelemicro.com</t>
  </si>
  <si>
    <t>cryptotips.lat</t>
  </si>
  <si>
    <t>t.ly</t>
  </si>
  <si>
    <t>shorturl.at</t>
  </si>
  <si>
    <t>art.br</t>
  </si>
  <si>
    <t>eldia.com</t>
  </si>
  <si>
    <t>neahoy.com</t>
  </si>
  <si>
    <t>diamondbrasil.com</t>
  </si>
  <si>
    <t>primicias.ec</t>
  </si>
  <si>
    <t>elconfidencialonline.com</t>
  </si>
  <si>
    <t>radar24.do</t>
  </si>
  <si>
    <t>deultimahorard.com</t>
  </si>
  <si>
    <t>cunadelanoticia.com</t>
  </si>
  <si>
    <t>estudiospublicos.cl</t>
  </si>
  <si>
    <t>larepublica.net</t>
  </si>
  <si>
    <t>brasil61.com</t>
  </si>
  <si>
    <t>arabia.watch</t>
  </si>
  <si>
    <t>adninversionista.com</t>
  </si>
  <si>
    <t>bairesenlinea.com</t>
  </si>
  <si>
    <t>fxopen.com</t>
  </si>
  <si>
    <t>cordobaahora.com</t>
  </si>
  <si>
    <t>dolarlido.com</t>
  </si>
  <si>
    <t>rothbardbrasil.com</t>
  </si>
  <si>
    <t>mediabanco.com</t>
  </si>
  <si>
    <t>elcucodigital.com</t>
  </si>
  <si>
    <t>noticiassin.com noticiassin.com</t>
  </si>
  <si>
    <t>spreaker.com</t>
  </si>
  <si>
    <t>urlday.cc</t>
  </si>
  <si>
    <t>informaciondemercados.cl</t>
  </si>
  <si>
    <t>nuevadata.com</t>
  </si>
  <si>
    <t>emol.com</t>
  </si>
  <si>
    <t>a24.com</t>
  </si>
  <si>
    <t>iupana.com</t>
  </si>
  <si>
    <t>genteba.com</t>
  </si>
  <si>
    <t>sinapticas.com</t>
  </si>
  <si>
    <t>jornaldocomercio.com</t>
  </si>
  <si>
    <t>diariochaco.com</t>
  </si>
  <si>
    <t>gov.do</t>
  </si>
  <si>
    <t>dinheirama.com</t>
  </si>
  <si>
    <t>grupoiimperio.com</t>
  </si>
  <si>
    <t>lapoliticaonline.info</t>
  </si>
  <si>
    <t>lapoliticaonline.com</t>
  </si>
  <si>
    <t>neuquenpost.com</t>
  </si>
  <si>
    <t>comentard.com</t>
  </si>
  <si>
    <t>xtb.com</t>
  </si>
  <si>
    <t>809.do</t>
  </si>
  <si>
    <t>baopina.com</t>
  </si>
  <si>
    <t>crypto-economy.com</t>
  </si>
  <si>
    <t>diariotag.com</t>
  </si>
  <si>
    <t>easylawmagazine.com</t>
  </si>
  <si>
    <t>goo.su</t>
  </si>
  <si>
    <t>mdn.tv</t>
  </si>
  <si>
    <t>google.com</t>
  </si>
  <si>
    <t>x.gd</t>
  </si>
  <si>
    <t>psncom.cl</t>
  </si>
  <si>
    <t>markets.com</t>
  </si>
  <si>
    <t>apnews.com</t>
  </si>
  <si>
    <t>infobae.com</t>
  </si>
  <si>
    <t>billeteranews.com</t>
  </si>
  <si>
    <t>com.mx</t>
  </si>
  <si>
    <t>revistarumbo.com</t>
  </si>
  <si>
    <t>beincrypto.com</t>
  </si>
  <si>
    <t>bitfinanzas.com</t>
  </si>
  <si>
    <t>instagr.am</t>
  </si>
  <si>
    <t>baoppina.com</t>
  </si>
  <si>
    <t>descubriendochina.org</t>
  </si>
  <si>
    <t>puentedenoticias.com</t>
  </si>
  <si>
    <t>asteriscos.tv</t>
  </si>
  <si>
    <t>eleccionespresidencialeschile.cl</t>
  </si>
  <si>
    <t>adncuba.com</t>
  </si>
  <si>
    <t>expresso.pt</t>
  </si>
  <si>
    <t>reut.rs</t>
  </si>
  <si>
    <t>tinformas.com</t>
  </si>
  <si>
    <t>elmercurio.com</t>
  </si>
  <si>
    <t>periodicomensaje.com</t>
  </si>
  <si>
    <t>marcainformativacba.com</t>
  </si>
  <si>
    <t>diariodecuba.com</t>
  </si>
  <si>
    <t>df.cl</t>
  </si>
  <si>
    <t>flexmls.com</t>
  </si>
  <si>
    <t>hubs.ly</t>
  </si>
  <si>
    <t>sge.st</t>
  </si>
  <si>
    <t>aplatanaonews.com</t>
  </si>
  <si>
    <t>acortartu.link</t>
  </si>
  <si>
    <t>mascontainercentroamerica.com</t>
  </si>
  <si>
    <t>saltaradionox.com</t>
  </si>
  <si>
    <t>perfil.com bit.ly</t>
  </si>
  <si>
    <t>mptnoticias.com</t>
  </si>
  <si>
    <t>latercera.com</t>
  </si>
  <si>
    <t>lobscontabil.com</t>
  </si>
  <si>
    <t>mundopoder.com</t>
  </si>
  <si>
    <t>yahoo.com</t>
  </si>
  <si>
    <t>enlafontana.cl</t>
  </si>
  <si>
    <t>thinkonomics.com</t>
  </si>
  <si>
    <t>panoramadigital.do</t>
  </si>
  <si>
    <t>pleno.news</t>
  </si>
  <si>
    <t>minutoya.com</t>
  </si>
  <si>
    <t>newsweekespanol.com</t>
  </si>
  <si>
    <t>elentrerios.com</t>
  </si>
  <si>
    <t>enfoquesalta.com</t>
  </si>
  <si>
    <t>imagendocumental.com</t>
  </si>
  <si>
    <t>chptnoticias.com</t>
  </si>
  <si>
    <t>cuts2.com</t>
  </si>
  <si>
    <t>iprofesional.com</t>
  </si>
  <si>
    <t>masterwnews.com</t>
  </si>
  <si>
    <t>noticiasargentinas.com</t>
  </si>
  <si>
    <t>rdteve.com rdteve.com</t>
  </si>
  <si>
    <t>newsdigitales.com</t>
  </si>
  <si>
    <t>diariopampero.com</t>
  </si>
  <si>
    <t>atalayar.com</t>
  </si>
  <si>
    <t>lt.cl</t>
  </si>
  <si>
    <t>concierto.cl</t>
  </si>
  <si>
    <t>riskmathics.com</t>
  </si>
  <si>
    <t>vocescriticas.com</t>
  </si>
  <si>
    <t>elempresariado.com</t>
  </si>
  <si>
    <t>diadianews.com</t>
  </si>
  <si>
    <t>16mb.com</t>
  </si>
  <si>
    <t>org.do</t>
  </si>
  <si>
    <t>blogpontodevista.com</t>
  </si>
  <si>
    <t>encr.pw</t>
  </si>
  <si>
    <t>cursoadistancia.cl centralentuvida.cl</t>
  </si>
  <si>
    <t>tudocelular.com</t>
  </si>
  <si>
    <t>pensarpiaui.com</t>
  </si>
  <si>
    <t>nacion.com nacion.com</t>
  </si>
  <si>
    <t>expressdiario.com</t>
  </si>
  <si>
    <t>ambito.com</t>
  </si>
  <si>
    <t>tucuman24.com</t>
  </si>
  <si>
    <t>zonales.com</t>
  </si>
  <si>
    <t>ex-ante.cl</t>
  </si>
  <si>
    <t>newsflylatam.com</t>
  </si>
  <si>
    <t>sigamais.com</t>
  </si>
  <si>
    <t>b2bfinances.com</t>
  </si>
  <si>
    <t>noticiamais.net</t>
  </si>
  <si>
    <t>elfinancierocr.com</t>
  </si>
  <si>
    <t>t.me</t>
  </si>
  <si>
    <t>diariolibre.com</t>
  </si>
  <si>
    <t>netlify.app</t>
  </si>
  <si>
    <t>diarioestrategia.cl</t>
  </si>
  <si>
    <t>primerapagina.info</t>
  </si>
  <si>
    <t>revistasuroeste.cl</t>
  </si>
  <si>
    <t>mascontainer.com</t>
  </si>
  <si>
    <t>paginauno.do</t>
  </si>
  <si>
    <t>hispanatolia.com</t>
  </si>
  <si>
    <t>queagito.com</t>
  </si>
  <si>
    <t>jornalistaslivres.org</t>
  </si>
  <si>
    <t>informateadiario.com</t>
  </si>
  <si>
    <t>terrabrasilnoticias.com</t>
  </si>
  <si>
    <t>bloomberg.com</t>
  </si>
  <si>
    <t>tun.in</t>
  </si>
  <si>
    <t>eltribuno.com</t>
  </si>
  <si>
    <t>elchorrillero.com</t>
  </si>
  <si>
    <t>diarinho.net</t>
  </si>
  <si>
    <t>contadoragora.com</t>
  </si>
  <si>
    <t>4semanas.com</t>
  </si>
  <si>
    <t>mediospanorama.com</t>
  </si>
  <si>
    <t>agrolatam.com</t>
  </si>
  <si>
    <t>fmbahiaengano.com</t>
  </si>
  <si>
    <t>tuit.es</t>
  </si>
  <si>
    <t>zurl.co</t>
  </si>
  <si>
    <t>bancomoc.mz</t>
  </si>
  <si>
    <t>gov.mz</t>
  </si>
  <si>
    <t>revistacodigos.com</t>
  </si>
  <si>
    <t>folhageral.com</t>
  </si>
  <si>
    <t>bahiapolitica.com</t>
  </si>
  <si>
    <t>diarioeldia.cl</t>
  </si>
  <si>
    <t>elpais.hn</t>
  </si>
  <si>
    <t>diariousach.cl</t>
  </si>
  <si>
    <t>temucodiario.cl</t>
  </si>
  <si>
    <t>desenfoque.cl</t>
  </si>
  <si>
    <t>gob.ar</t>
  </si>
  <si>
    <t>crhoy.com</t>
  </si>
  <si>
    <t>observador.cr</t>
  </si>
  <si>
    <t>folhadebrasilia.com</t>
  </si>
  <si>
    <t>eleditorplatense.com</t>
  </si>
  <si>
    <t>radiokermes.com</t>
  </si>
  <si>
    <t>wix.to</t>
  </si>
  <si>
    <t>afp.com</t>
  </si>
  <si>
    <t>negocios_tv josevizner</t>
  </si>
  <si>
    <t>aideluz93 eliecerlondruiz</t>
  </si>
  <si>
    <t>laseguridadsoc1 luisabinader digepresrd</t>
  </si>
  <si>
    <t>rosacantillo8 queiporuiz balicia81558512</t>
  </si>
  <si>
    <t>ladivinadiva nicolasmaduro minhvi_oficial</t>
  </si>
  <si>
    <t>vladi_villegas indiurbaneja chetuitvzla lubrio</t>
  </si>
  <si>
    <t>nicolasmaduro tarekwiliamsaab soykarinacarpio minhvi_oficial imvillarroel1</t>
  </si>
  <si>
    <t>ciropnddobrasil ciropnddobrasil</t>
  </si>
  <si>
    <t>jlibertariacaba jbouttet</t>
  </si>
  <si>
    <t>el_bid decon_udelar uadeoficial</t>
  </si>
  <si>
    <t>giseepanico_</t>
  </si>
  <si>
    <t>renunciaboriccl gabrielboric sebastianpinera</t>
  </si>
  <si>
    <t>gsandleris alferdez</t>
  </si>
  <si>
    <t>tiendashites</t>
  </si>
  <si>
    <t>actualidad2_0 raulefi</t>
  </si>
  <si>
    <t>ratasyratones aro_rojas perezjuan1962 adolfopena9 america81525537 racuminvenenoso chichaypuro chena1960 emelec65 mis__notas</t>
  </si>
  <si>
    <t>robertomerken robertobustosoc gmoramirez afpschile</t>
  </si>
  <si>
    <t>cnneconomia cnnbrasil</t>
  </si>
  <si>
    <t>martinredrado nachogiron</t>
  </si>
  <si>
    <t>loretoso javiborelli</t>
  </si>
  <si>
    <t>bancocentralbr fazumiti itau</t>
  </si>
  <si>
    <t>fazumiti itau</t>
  </si>
  <si>
    <t>congressobr folha</t>
  </si>
  <si>
    <t>juntoscambioar llibertadavanza demosargok</t>
  </si>
  <si>
    <t>gugalusto c5n</t>
  </si>
  <si>
    <t>luisabinader victordume1 kristynathaly05 bancocentralrd</t>
  </si>
  <si>
    <t>almontevega arajetairlines victordume1 rdporloalto</t>
  </si>
  <si>
    <t>lulaoficial haddad_fernando simonetebetbr</t>
  </si>
  <si>
    <t>lulaoficial haddad_fernando</t>
  </si>
  <si>
    <t>rociokalenok santiagollull herno7</t>
  </si>
  <si>
    <t>martinnmena abramaldo lpfundacion</t>
  </si>
  <si>
    <t>pepegilvidal mechilearning</t>
  </si>
  <si>
    <t>mechilearning pepegilvidal</t>
  </si>
  <si>
    <t>pepegilvidal arielcoremberg</t>
  </si>
  <si>
    <t>abramaldo lpfundacion santiagollull</t>
  </si>
  <si>
    <t>santiagollull rociokalenok osvaldohbassano</t>
  </si>
  <si>
    <t>arielgmaciel marianogoro rociokalenok</t>
  </si>
  <si>
    <t>dipace4 rociokalenok</t>
  </si>
  <si>
    <t>ingmiguelponce marianogoro rociokalenok</t>
  </si>
  <si>
    <t>bancocentralrd leonelfernandez</t>
  </si>
  <si>
    <t>betepacheco_ erickbang1 nilsonklava</t>
  </si>
  <si>
    <t>danielhrs estudioi</t>
  </si>
  <si>
    <t>fdavilaoficial bancocentralbr fiesp febraban senadofederal camaradeputados</t>
  </si>
  <si>
    <t>jschiaretti gobdecordoba</t>
  </si>
  <si>
    <t>jmilei bancocentral_ar</t>
  </si>
  <si>
    <t>bancocentral_ar jmilei</t>
  </si>
  <si>
    <t>bancocentralrd prodominicana</t>
  </si>
  <si>
    <t>daniel_nunez_a memoriasdechile</t>
  </si>
  <si>
    <t>lulaoficial bancocentralbr</t>
  </si>
  <si>
    <t>julialucydf bancocentralbr</t>
  </si>
  <si>
    <t>prossioficial sergiomassa</t>
  </si>
  <si>
    <t>lanacionmas robergmoritan marialauratv sergiomassa</t>
  </si>
  <si>
    <t>pauloquinti1 urbluciene lulaoficial waniacbot wittigenstein a_lua_tah_linda abraaofaisca laelsonalves8 mariacleunice3 mello1400 rosalia02965899 arc_maiana naziscore acopelenossa pminchio omarxista reinesouza1 n3tt0</t>
  </si>
  <si>
    <t>ecuarauz rc5oficial</t>
  </si>
  <si>
    <t>olimarcos81 voude99 99pay bancocentralbr reclameaqui proconspoficial proconrj proconsumidorrd</t>
  </si>
  <si>
    <t>voude99 99pay</t>
  </si>
  <si>
    <t>camren5th 99pay</t>
  </si>
  <si>
    <t>bradesco 99pay</t>
  </si>
  <si>
    <t>osvaldo_gimenez marcos_galperin mercadopago</t>
  </si>
  <si>
    <t>lagarde ecb</t>
  </si>
  <si>
    <t>arthurvneto jairbolsonaro vlogdolisboa carlosjordy carlosbolsonaro bolsonarosp rogeriosmarinho sigagazetabr gazetadopovo revistaoeste jornaldacidadeo</t>
  </si>
  <si>
    <t>camaradeputados bradesco</t>
  </si>
  <si>
    <t>niltonesperana1 fetrafrjes</t>
  </si>
  <si>
    <t>rodrigopacheco bancocentralbr</t>
  </si>
  <si>
    <t>floresisuani laredmendoza</t>
  </si>
  <si>
    <t>cbnoficial mcfernandes</t>
  </si>
  <si>
    <t>itau bancocentralbr</t>
  </si>
  <si>
    <t>infobae milei</t>
  </si>
  <si>
    <t>diegowainstein milei</t>
  </si>
  <si>
    <t>camila_vallejo gobiernodechile voceriagobierno min_hacienda meconomia</t>
  </si>
  <si>
    <t>lidiafagale avanoliok radio_770</t>
  </si>
  <si>
    <t>youtube hilton</t>
  </si>
  <si>
    <t>opinaba opinaba</t>
  </si>
  <si>
    <t>llibertadavanza ramiromarra</t>
  </si>
  <si>
    <t>lulaoficial jornaloglobo</t>
  </si>
  <si>
    <t>jornaloglobo folha</t>
  </si>
  <si>
    <t>reinaldoazevedo folha</t>
  </si>
  <si>
    <t>bcentralchile fenuchile ceic_uch</t>
  </si>
  <si>
    <t>wendysantosb davidlantigua01</t>
  </si>
  <si>
    <t>mashirafael luisagonzalezec</t>
  </si>
  <si>
    <t>mercadopagobr nubank</t>
  </si>
  <si>
    <t>loh40gama40 mercadopagobr nubank</t>
  </si>
  <si>
    <t>olivares_nauta exantecl</t>
  </si>
  <si>
    <t>bancocentral_ar alferdezprensa cfkargentina</t>
  </si>
  <si>
    <t>brunoguzzo metropoles miriamleitao</t>
  </si>
  <si>
    <t>jonathanheath54 imefgto wrsprime4 ameleks</t>
  </si>
  <si>
    <t>terezacrisms</t>
  </si>
  <si>
    <t>bcentralchile beltranderamon fciuach</t>
  </si>
  <si>
    <t>sergiomassa fminoticias</t>
  </si>
  <si>
    <t>elvincastillo rumbodelamanana bancocentralrd rccmediard</t>
  </si>
  <si>
    <t>hegonzalb loreps9 tizquierdosi</t>
  </si>
  <si>
    <t>ine_chile bcentralchile</t>
  </si>
  <si>
    <t>zunilda091 carlos67360447 pamjiles alinco_rene karimbianchi gobiernodechile giorgiojackson gabrielboric agustinthepower juanangeldelro2 paxiano retiro100x100 constan08334217</t>
  </si>
  <si>
    <t>globonews miriamleitao</t>
  </si>
  <si>
    <t>sf2invest bancocentralbr</t>
  </si>
  <si>
    <t>dfinanciero mariomarcelc</t>
  </si>
  <si>
    <t>bancocentralrd presidenciard luisabinader</t>
  </si>
  <si>
    <t>haddad_fernando robertocampos</t>
  </si>
  <si>
    <t>municerrillos lorena_facuse</t>
  </si>
  <si>
    <t>lassoguillermo cpccsec srradioec</t>
  </si>
  <si>
    <t>sindbaixada sindbaixada</t>
  </si>
  <si>
    <t>jmilei kmanus88</t>
  </si>
  <si>
    <t>andrsou01471403 cejcamarja souapenasv bancosantander bancocentralbr zambelli2210 andrsou01471403</t>
  </si>
  <si>
    <t>bancocentralrd presidenciard luisabinader comunicaciondo homerofigueroag</t>
  </si>
  <si>
    <t>bancocentralrd mineconomiard</t>
  </si>
  <si>
    <t>bolsacordoba dianamondino jmilei sergiomassa dianamondino bolsacordoba</t>
  </si>
  <si>
    <t>horadopovobr portalctb gpslifetime auditoriacidada portalvermelho</t>
  </si>
  <si>
    <t>lulaoficial ptbrasil</t>
  </si>
  <si>
    <t>bancocentralbr bancodobrasil reclameaqui</t>
  </si>
  <si>
    <t>alfaix rodrigueswol nicolaudo_</t>
  </si>
  <si>
    <t>elpelucamilei jmilei llibertadavanza ramiromarra vickyvillarruel</t>
  </si>
  <si>
    <t>horadopovobr oreiroluis cspboficial haddad_fernando</t>
  </si>
  <si>
    <t>socialistamor brasil247 thiagoresiste reinaldoazevedo choquei</t>
  </si>
  <si>
    <t>nathfinancas bancodobrasil</t>
  </si>
  <si>
    <t>bcentralchile meconomia gobiernodechile</t>
  </si>
  <si>
    <t>edufeiok patobullrich</t>
  </si>
  <si>
    <t>lanacionmas patobullrich</t>
  </si>
  <si>
    <t>marihoselibre mex_libertario 20petermel rafagais</t>
  </si>
  <si>
    <t>ceciliaboufflet patobullrich</t>
  </si>
  <si>
    <t>ababankers federalreserve</t>
  </si>
  <si>
    <t>picpay bancooriginal</t>
  </si>
  <si>
    <t>estamosconboric mariomarcelc</t>
  </si>
  <si>
    <t>aro_rojas perezjuan1962 adolfopena9 america81525537 racuminvenenoso chichaypuro chena1960 emelec65 mis__notas cesarejulian1 loboestef kattysorayatipn</t>
  </si>
  <si>
    <t>paginaunodo simvrdo bancocentralrd</t>
  </si>
  <si>
    <t>paginaunodo bancocentralrd</t>
  </si>
  <si>
    <t>juanenriqueuba sigmanoticias leonard40844023</t>
  </si>
  <si>
    <t>geraldoalckmin geraldoalckmin</t>
  </si>
  <si>
    <t>pacocabrillo bancodeespana unicomplutense _nuevarevista</t>
  </si>
  <si>
    <t>bancocentralbr bancocentralbr</t>
  </si>
  <si>
    <t>bancocentralrd despertarnacio2</t>
  </si>
  <si>
    <t>despertarnacio2 bancocentralrd</t>
  </si>
  <si>
    <t>laderechadiario jmilei</t>
  </si>
  <si>
    <t>gonzalowinter gaeldiputada ignaciobriones_</t>
  </si>
  <si>
    <t>darekmacpherson jmilei comecomunistas colomba_5 antirojos1973 gabriel86439969 epaganioficial</t>
  </si>
  <si>
    <t>bcp_py santipenap</t>
  </si>
  <si>
    <t>mercadopago marcos_galperin</t>
  </si>
  <si>
    <t>patobullrich bancocentral_ar</t>
  </si>
  <si>
    <t>gobdecordoba jschiaretti</t>
  </si>
  <si>
    <t>https://t.co/rRYsOqxUtS https://pbs.twimg.com/ext_tw_video_thumb/1642012773524598785/pu/img/1lTk8cuFanGCyWzQ.jpg</t>
  </si>
  <si>
    <t>https://t.co/Pr7raaHClZ https://pbs.twimg.com/media/FyDr81VX0AE9yWQ.jpg</t>
  </si>
  <si>
    <t>https://t.co/3D3rKcm3CY https://pbs.twimg.com/media/FzpwRQUWcAE4kgk.jpg</t>
  </si>
  <si>
    <t>https://t.co/h2BQl8OlId https://pbs.twimg.com/media/F16hKNIWcAIPeT4.jpg</t>
  </si>
  <si>
    <t>https://t.co/sqzDLsSKw6 https://pbs.twimg.com/ext_tw_video_thumb/1671545826844311555/pu/img/QgYDaS9inozy2ujV.jpg</t>
  </si>
  <si>
    <t>https://t.co/W6g7XXwnwi https://pbs.twimg.com/ext_tw_video_thumb/1668988497523273728/pu/img/ogzkbzOU9pwD0cDf.jpg</t>
  </si>
  <si>
    <t>https://t.co/vdEyAifgPY https://pbs.twimg.com/ext_tw_video_thumb/1674786203630202880/pu/img/XAc9afcHl-rBSU2w.jpg</t>
  </si>
  <si>
    <t>https://t.co/CkTjCZgdUy https://pbs.twimg.com/ext_tw_video_thumb/1674785545153843202/pu/img/4htUcMIUi-JN8KcQ.jpg</t>
  </si>
  <si>
    <t>https://t.co/gfUmMdKKz5 https://pbs.twimg.com/media/Fx99s-lWYBMA5X5.jpg</t>
  </si>
  <si>
    <t>https://t.co/qbik7os3CA https://pbs.twimg.com/media/F6c2kgoWAAAEEnO.jpg</t>
  </si>
  <si>
    <t>https://t.co/CpWo21iKxL https://pbs.twimg.com/media/FzQ4s0kWIAYgFik.jpg</t>
  </si>
  <si>
    <t>https://t.co/9enap7Etn1 https://pbs.twimg.com/media/F6QtESaWsAARWr_.jpg</t>
  </si>
  <si>
    <t>https://t.co/AvkWIHgtJT https://t.co/AvkWIHgtJT https://pbs.twimg.com/media/FzA3mImWcAAWiby.png https://pbs.twimg.com/media/FzA3oNaWwAIn7WN.png</t>
  </si>
  <si>
    <t>https://t.co/2souwHit46 https://pbs.twimg.com/media/F5StYkiXwAAF3PU.jpg</t>
  </si>
  <si>
    <t>https://t.co/0GphB63YwR https://t.co/0GphB63YwR https://t.co/0GphB63YwR https://pbs.twimg.com/media/F5XsvdpXsAAWFMD.png https://pbs.twimg.com/media/F5XsySjXEAAeq6u.png https://pbs.twimg.com/media/F5Xtd78WkAA3JeL.png</t>
  </si>
  <si>
    <t>https://t.co/61ikbqjM5R https://pbs.twimg.com/media/F2oONjjXcAE0Hfr.jpg</t>
  </si>
  <si>
    <t>https://t.co/ygYMduM5Pp https://pbs.twimg.com/media/FzF7XrKWIAA6Ad4.jpg</t>
  </si>
  <si>
    <t>https://t.co/YZmwWA20RL https://pbs.twimg.com/ext_tw_video_thumb/1671060279478611969/pu/img/T-oRO3BUT6cCc2BS.jpg</t>
  </si>
  <si>
    <t>https://t.co/OWdnkTNnlT https://t.co/OWdnkTNnlT https://t.co/OWdnkTNnlT https://t.co/OWdnkTNnlT https://pbs.twimg.com/media/F10DKUeXsAMd29S.jpg https://pbs.twimg.com/media/F10DKUcXsAAEz6H.jpg https://pbs.twimg.com/media/F10DKUfWIAA-5Lf.jpg https://pbs.twimg.com/media/F10DKUdWAAEj9y6.jpg</t>
  </si>
  <si>
    <t>https://t.co/HHFbQsnRU1 https://pbs.twimg.com/media/FzQBC0TWIBI6W9B.jpg</t>
  </si>
  <si>
    <t>https://t.co/OHJagk1V8k https://pbs.twimg.com/media/FvSv4uXWIAAs_uq.jpg</t>
  </si>
  <si>
    <t>https://t.co/bNYdq16RkX https://pbs.twimg.com/media/FxUHOFtWcAEQ8Mn.jpg</t>
  </si>
  <si>
    <t>https://t.co/ceaFEySAZw https://pbs.twimg.com/media/FzT84ZmXgAQ_zqP.jpg</t>
  </si>
  <si>
    <t>https://t.co/eOnqYZZl7Y https://pbs.twimg.com/media/Fw6eNPyXgBQrPWD.jpg</t>
  </si>
  <si>
    <t>https://t.co/3wrsEvKfiO https://pbs.twimg.com/media/F44PtoRWsAAkxoV.jpg</t>
  </si>
  <si>
    <t>https://t.co/NAHe3nd8Om https://pbs.twimg.com/media/F52IBGFWgAAuvAz.jpg</t>
  </si>
  <si>
    <t>https://t.co/TNJIu2CU3I https://pbs.twimg.com/media/FxenjeYWwAwdegH.jpg</t>
  </si>
  <si>
    <t>https://t.co/Yr0xZ93akB https://pbs.twimg.com/media/F5_SFvuWIAAT3X4.jpg</t>
  </si>
  <si>
    <t>https://t.co/f9DYvX7AV5 https://pbs.twimg.com/media/F5SqbCzWsAAWFaT.jpg</t>
  </si>
  <si>
    <t>https://t.co/MPzXyhPqKQ https://pbs.twimg.com/media/FvJeTU2XgAMOBlg.jpg</t>
  </si>
  <si>
    <t>https://t.co/n0FBsKK0oA https://pbs.twimg.com/media/F42ro6sW4AA3MX6.jpg</t>
  </si>
  <si>
    <t>https://t.co/mhD5W0H3TF https://pbs.twimg.com/media/F1mVbY8X0AATi5C.jpg</t>
  </si>
  <si>
    <t>https://t.co/RYJvzovVzs https://pbs.twimg.com/media/F2oaiZeWoAAfftS.jpg</t>
  </si>
  <si>
    <t>https://t.co/LHmKRplPZR https://pbs.twimg.com/media/F3f4t7cXQAATK92.jpg</t>
  </si>
  <si>
    <t>https://t.co/ElzEM3qNHe https://pbs.twimg.com/media/F2iZ75BWEAAO-r7.jpg</t>
  </si>
  <si>
    <t>https://t.co/jdmNZJV9Kp https://pbs.twimg.com/media/FwNoTUjaEAAsdu7.jpg</t>
  </si>
  <si>
    <t>https://t.co/AmHY0X0xNo https://pbs.twimg.com/ext_tw_video_thumb/1707107111597973504/pu/img/bnVypa8j9GDO7BZ2.jpg</t>
  </si>
  <si>
    <t>https://t.co/KzP0vMs1kq https://pbs.twimg.com/media/F3gzZbMXEAADz9k.jpg</t>
  </si>
  <si>
    <t>https://t.co/yszMhQNQIg https://pbs.twimg.com/media/F5srVk_bQAEMPCT.jpg</t>
  </si>
  <si>
    <t>https://t.co/DeVIBsL4b7 https://pbs.twimg.com/media/F4e2dW7bgAAWGl3.jpg</t>
  </si>
  <si>
    <t>https://t.co/QAWSLj1Kmk https://pbs.twimg.com/media/F7BR3b-WUAEVt-O.jpg</t>
  </si>
  <si>
    <t>https://t.co/aL7oCcRgqG https://pbs.twimg.com/ext_tw_video_thumb/1655167741807009792/pu/img/J2NDrKu1VWImN7Vz.jpg</t>
  </si>
  <si>
    <t>https://t.co/Y3gkrN46ap https://pbs.twimg.com/media/F6hHtRLWYAAWYbW.jpg</t>
  </si>
  <si>
    <t>https://t.co/9p1bLObxEs https://pbs.twimg.com/ext_tw_video_thumb/1674753049615638528/pu/img/I338TK2-lBDkYaCX.jpg</t>
  </si>
  <si>
    <t>https://t.co/fsWX3JGWgb https://pbs.twimg.com/media/FvTvyOjWIAAY_-7.jpg</t>
  </si>
  <si>
    <t>https://t.co/Yf5QXgadjd https://pbs.twimg.com/media/FzQfZI5WwAAgyRr.png</t>
  </si>
  <si>
    <t>https://t.co/QXb6l2hwaQ https://pbs.twimg.com/media/Fwu7_jgXoAAQ6a1.jpg</t>
  </si>
  <si>
    <t>https://t.co/554vFJRda0 https://pbs.twimg.com/media/FwDSQcvWYAEBoXl.jpg</t>
  </si>
  <si>
    <t>https://t.co/pdF7EVaHeV https://pbs.twimg.com/media/FwDOtIDXgAUG-SL.jpg</t>
  </si>
  <si>
    <t>https://t.co/RrINLG81qw https://pbs.twimg.com/media/FwcQtGKXgAA9L_t.jpg</t>
  </si>
  <si>
    <t>https://t.co/bVVDIZ5bI5 https://pbs.twimg.com/media/FwNByMjXgAA8FOp.jpg</t>
  </si>
  <si>
    <t>https://t.co/zpP24dNPL6 https://pbs.twimg.com/media/FzLnXb0WAAAkMIM.jpg</t>
  </si>
  <si>
    <t>https://t.co/C6yuwqZSqx https://pbs.twimg.com/media/FwLDPWiXwAEZKa8.jpg</t>
  </si>
  <si>
    <t>https://t.co/C6yjCPvDq5 https://pbs.twimg.com/ext_tw_video_thumb/1707195664667422720/pu/img/6kiri_iEk6zvTBIy.jpg</t>
  </si>
  <si>
    <t>https://t.co/yZ7bTJmrv2 https://pbs.twimg.com/media/Fy72ar1XgAAw860.png</t>
  </si>
  <si>
    <t>https://t.co/0IrWegDHy8 https://pbs.twimg.com/media/FvTocw9X0BkvaY-.jpg</t>
  </si>
  <si>
    <t>https://t.co/BERXNe5j2l https://pbs.twimg.com/media/F23FdLdW8AEsFWC.png</t>
  </si>
  <si>
    <t>https://t.co/RuTyjMowtR https://pbs.twimg.com/media/F3VT9wYWYAA-Wpr.jpg</t>
  </si>
  <si>
    <t>https://t.co/sA7momTb0X https://pbs.twimg.com/media/FygBJdRWIAANy6S.jpg</t>
  </si>
  <si>
    <t>https://t.co/YIkyV5qZWL https://pbs.twimg.com/media/FynMfz0XwAMyHyh.jpg</t>
  </si>
  <si>
    <t>https://t.co/rbfbeaqLta https://pbs.twimg.com/media/FzJrYClXgAUWUF8.jpg</t>
  </si>
  <si>
    <t>https://t.co/HjyZH5yfmd https://pbs.twimg.com/media/FwL535KXsBYrbn6.jpg</t>
  </si>
  <si>
    <t>https://t.co/j22IpeBKsI https://pbs.twimg.com/media/FyRpTf8WYAMGUZs.jpg</t>
  </si>
  <si>
    <t>https://t.co/lRC5MEsUlY https://t.co/lRC5MEsUlY https://pbs.twimg.com/media/F2jQAdCWgAA5zLR.jpg https://pbs.twimg.com/media/F2jQAplWQAE-Sb_.jpg</t>
  </si>
  <si>
    <t>https://t.co/3ezU1nYCW6 https://pbs.twimg.com/media/FxojuvgWAAwH08U.jpg</t>
  </si>
  <si>
    <t>https://t.co/M28jqy28wl https://pbs.twimg.com/media/F1VGPj-WYAEwkNW.jpg</t>
  </si>
  <si>
    <t>https://t.co/ZlnLQdCTrW https://pbs.twimg.com/media/F4URdolXgAIbrAh.jpg</t>
  </si>
  <si>
    <t>https://t.co/s2l5azQO6e https://pbs.twimg.com/media/F2cNd_AW4AECTP4.png</t>
  </si>
  <si>
    <t>https://t.co/XiNxeVz5lq https://t.co/XiNxeVz5lq https://pbs.twimg.com/media/Fxu74bzXwAEEtr7.jpg https://pbs.twimg.com/media/Fxu743XXoAAVmqs.jpg</t>
  </si>
  <si>
    <t>https://t.co/Q59DK9oOhg https://pbs.twimg.com/media/FyhFXArWYAIP3Ui.jpg</t>
  </si>
  <si>
    <t>https://t.co/XNLXQNVitX https://pbs.twimg.com/media/F54E5bFW8AAKZDS.jpg</t>
  </si>
  <si>
    <t>https://t.co/yyMmGVbMdP https://pbs.twimg.com/ext_tw_video_thumb/1682118908889780224/pu/img/sdHdDe6iK4sfSv_0.jpg</t>
  </si>
  <si>
    <t>https://t.co/2SN7FEpKJh https://pbs.twimg.com/media/F6gXk4UWsAEqYm_.jpg</t>
  </si>
  <si>
    <t>https://t.co/LIbVsQHdgj https://pbs.twimg.com/media/FvUjuYaXwAA0Bey.jpg</t>
  </si>
  <si>
    <t>https://t.co/s0GQRxOvqu https://pbs.twimg.com/amplify_video_thumb/1687127608989728768/img/YKBzvC_NMccrM8ij.jpg</t>
  </si>
  <si>
    <t>https://t.co/GWkaltBWmq https://pbs.twimg.com/media/F2jSNIxaAAAVqX4.jpg</t>
  </si>
  <si>
    <t>https://t.co/HgsMewC1id https://pbs.twimg.com/media/FylseTjXoAEQXqr.png</t>
  </si>
  <si>
    <t>https://t.co/qPvjNds9sf https://pbs.twimg.com/media/F69jaPOWMAA2qoi.jpg</t>
  </si>
  <si>
    <t>https://t.co/DaiiXkfWWh https://pbs.twimg.com/media/Fxn6B28XsAQbtVL.jpg</t>
  </si>
  <si>
    <t>https://t.co/ATqle2h3tG https://pbs.twimg.com/media/F7HXtKzXMAAXSR6.png</t>
  </si>
  <si>
    <t>https://t.co/nQ22Xngh9O https://pbs.twimg.com/media/FyvshOjWcAAYy_C.jpg</t>
  </si>
  <si>
    <t>https://t.co/X5sNi5PMNt https://pbs.twimg.com/media/FyjBp31WcAEluok.jpg</t>
  </si>
  <si>
    <t>https://t.co/YxZGfotlRC https://t.co/YxZGfotlRC https://pbs.twimg.com/media/F3GHCLxWoAADD0r.png https://pbs.twimg.com/media/F3GHSM1XsAAxr7m.png</t>
  </si>
  <si>
    <t>https://t.co/NZfTTCslmy https://pbs.twimg.com/media/F3fhHP1WUAA3sYg.png</t>
  </si>
  <si>
    <t>https://t.co/auAXm20XfX https://t.co/auAXm20XfX https://pbs.twimg.com/media/F3fdP29XMAAX1-v.png https://pbs.twimg.com/media/F3fdS4JWkAAoOfe.png</t>
  </si>
  <si>
    <t>https://t.co/6kLQxK2pCQ https://t.co/6kLQxK2pCQ https://pbs.twimg.com/media/F3fameLXsAAD4Ml.png https://pbs.twimg.com/media/F3fawJtWQAAz6cv.png</t>
  </si>
  <si>
    <t>https://t.co/1IKC1Eov4q https://t.co/1IKC1Eov4q https://pbs.twimg.com/media/F7DquXkWIAAkFfK.png https://pbs.twimg.com/media/F7Dq7i9WMAAovnI.png</t>
  </si>
  <si>
    <t>https://t.co/suOYgCz9fS https://pbs.twimg.com/media/F2-GdKgWwAAw8ep.jpg</t>
  </si>
  <si>
    <t>https://t.co/Fcq03WN6XE https://pbs.twimg.com/ext_tw_video_thumb/1660833795845619715/pu/img/2T_T4eP4A2zbc3mM.jpg</t>
  </si>
  <si>
    <t>https://t.co/MUcEWQdjfS https://pbs.twimg.com/media/Fzp97fLXwAID3ko.jpg</t>
  </si>
  <si>
    <t>https://t.co/U9gQwlqKQG https://pbs.twimg.com/media/FyhrpGHXwAAyu12.png</t>
  </si>
  <si>
    <t>https://t.co/wloEZn9cSg https://pbs.twimg.com/media/Fy7IJDEXoAcIfg3.jpg</t>
  </si>
  <si>
    <t>https://t.co/xz7G1dhHJ2 https://pbs.twimg.com/media/Fywr1A9XsAAno9o.jpg</t>
  </si>
  <si>
    <t>https://t.co/vbqxoVFK6m https://pbs.twimg.com/ext_tw_video_thumb/1655652591328452638/pu/img/fQ2JneGNMW2SZIGC.jpg</t>
  </si>
  <si>
    <t>https://t.co/YFFLHy5HFj https://pbs.twimg.com/amplify_video_thumb/1673577996530208768/img/rubLWbLZ9vMc0fpv.jpg</t>
  </si>
  <si>
    <t>https://t.co/R9oWy1wGhW https://pbs.twimg.com/media/FyrHj4dXoAEJj0d.png</t>
  </si>
  <si>
    <t>https://t.co/qBu7XjtrjE https://pbs.twimg.com/media/FxYkHf2aQAU40Q3.jpg</t>
  </si>
  <si>
    <t>https://t.co/RboHRYLM1J https://pbs.twimg.com/media/FwGTmbZWcAEkk_L.jpg</t>
  </si>
  <si>
    <t>https://t.co/OohCnGDTQw https://pbs.twimg.com/media/F3f12bUWsAA19z8.jpg</t>
  </si>
  <si>
    <t>https://t.co/zBcfF123C3 https://pbs.twimg.com/media/F4YiQjPXEAA2oGx.jpg</t>
  </si>
  <si>
    <t>https://t.co/cEM0Uv5bvC https://t.co/cEM0Uv5bvC https://pbs.twimg.com/media/F1Bs-XpXsAAjp-j.jpg https://pbs.twimg.com/media/F1BtAfoXoAIbwvX.jpg</t>
  </si>
  <si>
    <t>https://t.co/hyYy50kyZY https://pbs.twimg.com/media/F6ErOXVXUAYmiqC.jpg</t>
  </si>
  <si>
    <t>https://t.co/oRnQcZLWHb https://pbs.twimg.com/media/FwMhI2KWIAcIOTc.jpg</t>
  </si>
  <si>
    <t>https://t.co/AEr7WZoikU https://pbs.twimg.com/media/F6-lVtmXwAEtF9p.jpg</t>
  </si>
  <si>
    <t>https://t.co/pro6Xv6WAS https://pbs.twimg.com/media/F4-HtVNWoAAj7yr.jpg</t>
  </si>
  <si>
    <t>https://t.co/RzCAIqsUmB https://pbs.twimg.com/media/F2jV97oXsAA_36n.png</t>
  </si>
  <si>
    <t>https://t.co/3VYlerGBJ9 https://pbs.twimg.com/ext_tw_video_thumb/1707101231355695104/pu/img/8-u0ET5HLKajf1CK.jpg</t>
  </si>
  <si>
    <t>https://t.co/IW67A0PX5j https://pbs.twimg.com/media/F2c68fubkAELN3J.jpg</t>
  </si>
  <si>
    <t>https://t.co/dYkDK9musW https://pbs.twimg.com/media/F2ZDYBiXAAIQX72.jpg</t>
  </si>
  <si>
    <t>https://t.co/JSEcxy3Unm https://pbs.twimg.com/media/Fv9tAUxWwAEx4eW.jpg</t>
  </si>
  <si>
    <t>https://t.co/qSGTzizjqT https://pbs.twimg.com/media/FyCKZb5WYBInQBx.jpg</t>
  </si>
  <si>
    <t>https://t.co/JSGuUSheVM https://pbs.twimg.com/media/F6bV_F3WwAAkZqa.jpg</t>
  </si>
  <si>
    <t>https://t.co/F5CVPJmnQ1 https://pbs.twimg.com/media/F4YiRZqXQAA5Xy9.jpg</t>
  </si>
  <si>
    <t>https://t.co/sCSrS9BCMQ https://pbs.twimg.com/media/F2XWDeSXgAAN2Hi.jpg</t>
  </si>
  <si>
    <t>https://t.co/CD9fkh6ltG https://pbs.twimg.com/media/Fw5iypNXwAUDMXr.jpg</t>
  </si>
  <si>
    <t>https://t.co/vKAv5cW7Ld https://pbs.twimg.com/tweet_video_thumb/F3f6Q8_WgAAE_oe.jpg</t>
  </si>
  <si>
    <t>https://t.co/xkwnYLbrlG https://pbs.twimg.com/media/F2-rHcOW8AAMk8S.jpg</t>
  </si>
  <si>
    <t>https://t.co/JwILyJ3yJg https://pbs.twimg.com/media/F3bUwdWXEAI7llM.png</t>
  </si>
  <si>
    <t>https://t.co/2nTaIrgSPQ https://pbs.twimg.com/media/F29ZnDQWUAAlqp7.jpg</t>
  </si>
  <si>
    <t>https://t.co/Ozpsyb8wEd https://pbs.twimg.com/media/F3hywwxXUAAhJNi.png</t>
  </si>
  <si>
    <t>https://t.co/ryUeVD5h02 https://pbs.twimg.com/media/F5M5Fgza4AAwQZ8.jpg</t>
  </si>
  <si>
    <t>https://t.co/IH5GFEcnkQ https://pbs.twimg.com/media/FvOadHMWIAk97bK.jpg</t>
  </si>
  <si>
    <t>https://t.co/464VZJF2Qx https://pbs.twimg.com/media/F1Z1EQPX0AAlgdB.jpg</t>
  </si>
  <si>
    <t>https://t.co/vBFJUIQPf0 https://pbs.twimg.com/media/F1o8p7kXoAAyXN6.jpg</t>
  </si>
  <si>
    <t>https://t.co/RYsUCTdLMe https://pbs.twimg.com/media/Fx4WShIWYAUKym-.jpg</t>
  </si>
  <si>
    <t>https://t.co/9huqLlWgO1 https://pbs.twimg.com/ext_tw_video_thumb/1676332340677681152/pu/img/1OcmFQ9-tbV6wJuy.jpg</t>
  </si>
  <si>
    <t>https://t.co/txFcHDeIGm https://pbs.twimg.com/media/FzRrgUuWIAEVKxd.jpg</t>
  </si>
  <si>
    <t>https://t.co/DH1EFXiFWf https://pbs.twimg.com/media/F2sz4vXXEAAsvXL.jpg</t>
  </si>
  <si>
    <t>https://t.co/hcMjih6tbu https://pbs.twimg.com/media/FwO7lobWcAAbUEP.jpg</t>
  </si>
  <si>
    <t>https://t.co/dNXD0uM6wK https://pbs.twimg.com/media/F0hLxu8XoAIvVP6.jpg</t>
  </si>
  <si>
    <t>https://t.co/18yWxSaNzI https://pbs.twimg.com/ext_tw_video_thumb/1688674810400743425/pu/img/BHyydQNNdUT0tsc6.jpg</t>
  </si>
  <si>
    <t>https://t.co/h04hQmNInk https://pbs.twimg.com/media/F3nbuQSWAAAQhqQ.jpg</t>
  </si>
  <si>
    <t>https://t.co/eXOiXgZazV https://pbs.twimg.com/media/F1CHldVWcAIzGqr.jpg</t>
  </si>
  <si>
    <t>https://t.co/mSszcCYZ6E https://pbs.twimg.com/media/F4O7ncLWMAEGaW3.jpg</t>
  </si>
  <si>
    <t>https://t.co/nK5ArU25NK https://pbs.twimg.com/media/F3f_ACEWsAA6Ziu.jpg</t>
  </si>
  <si>
    <t>https://t.co/JztcEISuE3 https://pbs.twimg.com/media/F7CU3wXWMAAJUgg.jpg</t>
  </si>
  <si>
    <t>https://t.co/oHhVVjtHGc https://pbs.twimg.com/media/FvaVENbXsAAVnj3.jpg</t>
  </si>
  <si>
    <t>https://t.co/EBwfIxc35F https://pbs.twimg.com/media/F29ierDWoAAojyQ.jpg</t>
  </si>
  <si>
    <t>https://t.co/gg0b42Qj9y https://pbs.twimg.com/media/F2Zh962WsAAgV5w.jpg</t>
  </si>
  <si>
    <t>https://t.co/4nUtn2694q https://pbs.twimg.com/ext_tw_video_thumb/1677107988279033857/pu/img/DoQxKx-anAQ_GTJh.jpg</t>
  </si>
  <si>
    <t>https://t.co/IFvh2WtIJ7 https://pbs.twimg.com/media/FxoJcpEXoAAyPKw.jpg</t>
  </si>
  <si>
    <t>https://t.co/dEFIQL5bE3 https://pbs.twimg.com/ext_tw_video_thumb/1686758369745379329/pu/img/csRz1w5_CwPnlv_r.jpg</t>
  </si>
  <si>
    <t>https://t.co/4eXAGPLqQM https://pbs.twimg.com/media/F1PUXnzWwAQvPyp.png</t>
  </si>
  <si>
    <t>https://t.co/KTgDzIwEov https://pbs.twimg.com/media/F4uRth-WkAAEJcz.jpg</t>
  </si>
  <si>
    <t>https://t.co/W9HX8eZkiW https://pbs.twimg.com/ext_tw_video_thumb/1665543263359574017/pu/img/T_2Zksgal9Y7A112.jpg</t>
  </si>
  <si>
    <t>https://t.co/iqETItO4kF https://pbs.twimg.com/media/FzEhwu_agAEsZTV.jpg</t>
  </si>
  <si>
    <t>https://t.co/RIYZMlKDTn https://pbs.twimg.com/media/F3AwJwAa8AAtBG9.jpg</t>
  </si>
  <si>
    <t>https://t.co/jQaqZ9X9eN https://pbs.twimg.com/ext_tw_video_thumb/1654589141164630016/pu/img/N5xZ9hARW9THFfLc.jpg</t>
  </si>
  <si>
    <t>https://t.co/OqofbgE5YQ https://pbs.twimg.com/media/F3f4jqcWgAAR2kg.jpg</t>
  </si>
  <si>
    <t>https://t.co/yT7kCZp6jU https://pbs.twimg.com/media/FyhztuXWIAMn9Ku.jpg</t>
  </si>
  <si>
    <t>https://t.co/VJcTMZJ6Ts https://pbs.twimg.com/media/FxQwU72WAAEDZMd.jpg</t>
  </si>
  <si>
    <t>https://t.co/KiDEpN0JGG https://pbs.twimg.com/media/F66CmmAXsAAFmxk.jpg</t>
  </si>
  <si>
    <t>https://t.co/76ItRifEEn https://pbs.twimg.com/ext_tw_video_thumb/1696342750579269632/pu/img/J3oZ8gfWQDQbJDoz.jpg</t>
  </si>
  <si>
    <t>https://t.co/XNzdXtG9PB https://pbs.twimg.com/media/Fv0UGoMXoAE83gi.jpg</t>
  </si>
  <si>
    <t>https://t.co/7sR5ScKzJg https://pbs.twimg.com/media/FvdzWdjWcAAyb6-.jpg</t>
  </si>
  <si>
    <t>https://t.co/c29csEzmwA https://pbs.twimg.com/media/FxeZ9ksWwAEdWny.jpg</t>
  </si>
  <si>
    <t>https://t.co/DForo1uHRr https://pbs.twimg.com/media/FzrORg3WcAQZJJO.jpg</t>
  </si>
  <si>
    <t>https://t.co/BJkbZIJS4z https://pbs.twimg.com/media/FzPvEEdXgBAS5fD.jpg</t>
  </si>
  <si>
    <t>https://t.co/48ZfWlkKyY https://pbs.twimg.com/ext_tw_video_thumb/1672278119594569737/pu/img/-2jiq3kQKmA9UDp7.jpg</t>
  </si>
  <si>
    <t>https://t.co/gF67bHD7OU https://pbs.twimg.com/media/F4oIgtjXkAAU6MF.jpg</t>
  </si>
  <si>
    <t>https://t.co/LfQVQzCnaJ https://pbs.twimg.com/media/FyO50FFX0AAwMvG.jpg</t>
  </si>
  <si>
    <t>https://t.co/VVMeIK3Owc https://t.co/VVMeIK3Owc https://t.co/VVMeIK3Owc https://t.co/VVMeIK3Owc https://pbs.twimg.com/media/F6ZpEsoXQAAMWIs.jpg https://pbs.twimg.com/media/F6ZpGUAXUAAZ8tq.jpg https://pbs.twimg.com/media/F6ZpGUcWUAA72hS.jpg https://pbs.twimg.com/media/F6ZpGU2XQAAniAU.jpg</t>
  </si>
  <si>
    <t>https://t.co/IoI81LST70 https://pbs.twimg.com/media/F3kYWK_WUAAyrRw.jpg</t>
  </si>
  <si>
    <t>https://t.co/Ss3WXv8hlw https://pbs.twimg.com/media/F4YOQPVXYAAlT5f.jpg</t>
  </si>
  <si>
    <t>https://t.co/9uqTINk3LB https://pbs.twimg.com/media/F5WNpdsWQAAJXR_.jpg</t>
  </si>
  <si>
    <t>https://t.co/UwBhWbGxxI https://pbs.twimg.com/media/F5yTV0VXwAA0CUI.jpg</t>
  </si>
  <si>
    <t>https://t.co/LtJdiPuLsP https://pbs.twimg.com/media/Fx_yBLBWcAEJsPE.jpg</t>
  </si>
  <si>
    <t>https://t.co/iUeFPKzMZh https://pbs.twimg.com/media/FxnijqlWcAEvGMu.jpg</t>
  </si>
  <si>
    <t>https://t.co/zjEHsqXSbN https://pbs.twimg.com/media/Fxl3GSxWIAMGXv0.jpg</t>
  </si>
  <si>
    <t>https://t.co/lehOKWZbNh https://pbs.twimg.com/media/F1mIMs5WwAEjh0l.jpg</t>
  </si>
  <si>
    <t>https://t.co/eUej8srha7 https://pbs.twimg.com/media/F5ZLKh8WcAAzda7.jpg</t>
  </si>
  <si>
    <t>https://t.co/qiQBdGaNsJ https://pbs.twimg.com/media/Fyh8SqdWcAIhGXb.jpg</t>
  </si>
  <si>
    <t>https://t.co/a684kIfhNX https://pbs.twimg.com/media/F1bwUQQWAAAfqsL.jpg</t>
  </si>
  <si>
    <t>https://t.co/DBy5QzWIN9 https://pbs.twimg.com/media/F1PliOcWcAEj1pF.jpg</t>
  </si>
  <si>
    <t>https://t.co/VuBlEoTQ76 https://pbs.twimg.com/media/F2dzxQJWQAMcWt8.jpg</t>
  </si>
  <si>
    <t>https://t.co/ZrpdOWnMaz https://pbs.twimg.com/media/FyK9pJ-X0AAS9ml.jpg</t>
  </si>
  <si>
    <t>https://t.co/wPSM4k5icV https://pbs.twimg.com/media/FzEVwjUWIAMHpjN.jpg</t>
  </si>
  <si>
    <t>https://t.co/uEuguTfNua https://pbs.twimg.com/ext_tw_video_thumb/1655340594980331520/pu/img/qClTZH1iNWKpzo6r.jpg</t>
  </si>
  <si>
    <t>https://t.co/XrG2gUt4T7 https://pbs.twimg.com/media/F3gJ89GW0AEmjmW.jpg</t>
  </si>
  <si>
    <t>https://t.co/SHE1fLbNWN https://t.co/SHE1fLbNWN https://pbs.twimg.com/media/F22qhvKWkAAoW2G.jpg https://pbs.twimg.com/media/F22qhvMXcAAaZhi.jpg</t>
  </si>
  <si>
    <t>https://t.co/KAuBbENhvf https://pbs.twimg.com/media/FvU_5rRWIAQoNcZ.jpg</t>
  </si>
  <si>
    <t>https://t.co/ry8PG2clHg https://pbs.twimg.com/media/Fx8eLfraIAMR25w.jpg</t>
  </si>
  <si>
    <t>https://t.co/z0sdKXT9mg https://pbs.twimg.com/media/F3gBxnzXIAAXG-3.jpg</t>
  </si>
  <si>
    <t>https://t.co/H42AOXdzqw https://pbs.twimg.com/ext_tw_video_thumb/1673346706388275207/pu/img/iD6tkLDr1cUAZK0a.jpg</t>
  </si>
  <si>
    <t>https://t.co/wD3JNOgXse https://pbs.twimg.com/media/F1BqApVX0AErnwj.jpg</t>
  </si>
  <si>
    <t>https://t.co/Lfzk5RJZKh https://pbs.twimg.com/ext_tw_video_thumb/1682123464881106944/pu/img/u7o0o-SyLVaR2-t6.jpg</t>
  </si>
  <si>
    <t>https://t.co/pzu8M7BU2a https://pbs.twimg.com/media/Fx2wI34XsAIQIjb.jpg</t>
  </si>
  <si>
    <t>https://t.co/cxNH8z62Ch https://pbs.twimg.com/media/FzOZUOBXwAASH3y.jpg</t>
  </si>
  <si>
    <t>https://t.co/WNQqONgRMw https://pbs.twimg.com/media/FvTxCBaXoAEW43z.jpg</t>
  </si>
  <si>
    <t>https://t.co/RIYVe33d2g https://pbs.twimg.com/media/F4FIwxAWYAEnBgZ.jpg</t>
  </si>
  <si>
    <t>https://t.co/GMcLXplDo0 https://t.co/GMcLXplDo0 https://pbs.twimg.com/media/Fw6HJQBWIAEskyV.jpg https://pbs.twimg.com/media/Fw6HJQAX0AApiaG.jpg</t>
  </si>
  <si>
    <t>https://t.co/XCK3zH3YhH https://pbs.twimg.com/media/FwP62xzWwAEF8ql.jpg</t>
  </si>
  <si>
    <t>https://t.co/Z9pZOOG2kU https://pbs.twimg.com/media/FxzO14QXgAAUjYS.jpg</t>
  </si>
  <si>
    <t>https://t.co/FcrFN5Q22Y https://pbs.twimg.com/media/Fzu1BRAWYAEPEZn.jpg</t>
  </si>
  <si>
    <t>https://t.co/TXGMFz4KL3 https://pbs.twimg.com/media/FynDaXQX0AANmDq.jpg</t>
  </si>
  <si>
    <t>https://t.co/m533byUo6n https://pbs.twimg.com/media/FvzWDvQXoAEwTXK.jpg</t>
  </si>
  <si>
    <t>https://t.co/T5hLD4dOwm https://pbs.twimg.com/media/F1V0z8XXoAAY1rE.jpg</t>
  </si>
  <si>
    <t>https://t.co/AzwPwMfynP https://pbs.twimg.com/media/F1RGvRcXsAAExzI.jpg</t>
  </si>
  <si>
    <t>https://t.co/b3spFy4zxN https://pbs.twimg.com/media/FzY8RzTWcAMI8A0.jpg</t>
  </si>
  <si>
    <t>https://t.co/gSiU8eEJGp https://pbs.twimg.com/media/F2oUbTNWAAARnf0.jpg</t>
  </si>
  <si>
    <t>https://t.co/VSHv4yCFlB https://pbs.twimg.com/media/F1a-aYzWwAEuAMa.jpg</t>
  </si>
  <si>
    <t>https://t.co/8oU5nF6UN4 https://pbs.twimg.com/media/FzlLGbQWcAA0L0e.jpg</t>
  </si>
  <si>
    <t>https://t.co/1DK6MrfyB2 https://pbs.twimg.com/media/F3BkJvXXsAkxvlf.jpg</t>
  </si>
  <si>
    <t>https://t.co/POdQqP5d2Z https://pbs.twimg.com/media/F3gm_mnXAAA-KSH.jpg</t>
  </si>
  <si>
    <t>https://t.co/BJ982YqaWu https://pbs.twimg.com/media/F1exzwbX0AEs2CW.jpg</t>
  </si>
  <si>
    <t>https://t.co/0fJ1shDB2R https://pbs.twimg.com/media/FwxGGDqWcAUZFPJ.jpg</t>
  </si>
  <si>
    <t>https://t.co/nFxqzJGz5N https://pbs.twimg.com/media/F3xFT5pXAAADauv.jpg</t>
  </si>
  <si>
    <t>https://t.co/WnkQ28WrXb https://pbs.twimg.com/media/F47yb_AX0AAsX6t.jpg</t>
  </si>
  <si>
    <t>https://t.co/SYtSLFXj5H https://pbs.twimg.com/media/F2hR7sFWsAAb6aT.jpg</t>
  </si>
  <si>
    <t>https://t.co/240sSIPaRO https://pbs.twimg.com/media/F2e6IEeXoAARsY9.jpg</t>
  </si>
  <si>
    <t>https://t.co/WAHFspnZJD https://pbs.twimg.com/media/F6GZtQeXAAA_axI.jpg</t>
  </si>
  <si>
    <t>https://t.co/mY2DolRIfO https://pbs.twimg.com/media/F6tJY9AW4AAjL5R.jpg</t>
  </si>
  <si>
    <t>https://t.co/KsamR0aT3T https://t.co/KsamR0aT3T https://pbs.twimg.com/media/F4PA-mhXkAEMR12.jpg https://pbs.twimg.com/media/F4PA-2OW4AAOPJ3.jpg</t>
  </si>
  <si>
    <t>https://t.co/iL7nptnw62 https://t.co/iL7nptnw62 https://t.co/iL7nptnw62 https://pbs.twimg.com/media/F3SQqwcXkAESqS9.jpg https://pbs.twimg.com/media/F3SQqwdWIAILyug.jpg https://pbs.twimg.com/media/F3SQqwrXsAI51Mf.jpg</t>
  </si>
  <si>
    <t>https://t.co/g4FvXBLE7g https://pbs.twimg.com/media/F3m8r54XcAAuHnT.jpg</t>
  </si>
  <si>
    <t>https://t.co/kg6TxjOGqC https://pbs.twimg.com/ext_tw_video_thumb/1660077855982616579/pu/img/nUS7BJMeziYSEm1r.jpg</t>
  </si>
  <si>
    <t>https://t.co/PmXJzaL3xP https://pbs.twimg.com/ext_tw_video_thumb/1655031098106060800/pu/img/NlO5mBz7hzDrmEc6.jpg</t>
  </si>
  <si>
    <t>https://t.co/6e5eCXarbx https://pbs.twimg.com/ext_tw_video_thumb/1660069988781154305/pu/img/sO0u-xfThUAbfpEJ.jpg</t>
  </si>
  <si>
    <t>https://t.co/buBS72xNSk https://pbs.twimg.com/ext_tw_video_thumb/1662662408815476737/pu/img/2vbCwveXAVVK84hI.jpg</t>
  </si>
  <si>
    <t>https://t.co/HxvKzxI3TW https://pbs.twimg.com/ext_tw_video_thumb/1662662332307185665/pu/img/1h5L3RQ0AGgFtKBT.jpg</t>
  </si>
  <si>
    <t>https://t.co/we0juSIjio https://pbs.twimg.com/media/Fz0rCC4WwAAxhcL.jpg</t>
  </si>
  <si>
    <t>https://t.co/ZMMPfhV8SN https://pbs.twimg.com/media/FxfptG1WYAEWHpo.jpg</t>
  </si>
  <si>
    <t>https://t.co/bmyPtLUnmh https://pbs.twimg.com/media/F5dMurrWcAA70kA.jpg</t>
  </si>
  <si>
    <t>https://t.co/gkBVJfE8DZ https://pbs.twimg.com/media/Fy6tGG7XsAAB7GQ.jpg</t>
  </si>
  <si>
    <t>https://t.co/g1e5Vx9dny https://pbs.twimg.com/media/FwR9AwwXsAEm5Xl.jpg</t>
  </si>
  <si>
    <t>https://t.co/JWQplDJSXv https://pbs.twimg.com/media/FvR_WCBWAAEay0s.jpg</t>
  </si>
  <si>
    <t>https://t.co/hg6oBTGhWl https://pbs.twimg.com/media/F1eRC-AWwAAZXpi.jpg</t>
  </si>
  <si>
    <t>https://t.co/srdPmm1rqN https://pbs.twimg.com/media/FzoiRi7WIAA75ek.jpg</t>
  </si>
  <si>
    <t>https://t.co/nb1J8LleUk https://pbs.twimg.com/media/F2YEYnMWMAATyLN.jpg</t>
  </si>
  <si>
    <t>https://t.co/gh1mmb0hj5 https://pbs.twimg.com/media/F18_JDfX0AE3u9i.jpg</t>
  </si>
  <si>
    <t>https://t.co/X8TK0yY6iV https://pbs.twimg.com/media/F7CiI53WYAEOepr.jpg</t>
  </si>
  <si>
    <t>https://t.co/hYs5FJAgIF https://pbs.twimg.com/media/F7ChtYMXYAARSQN.jpg</t>
  </si>
  <si>
    <t>https://t.co/h847apqkMI https://t.co/h847apqkMI https://t.co/h847apqkMI https://t.co/h847apqkMI https://pbs.twimg.com/media/F3krUgjXsAAq60I.jpg https://pbs.twimg.com/media/F3krUrtXwAAqyRc.jpg https://pbs.twimg.com/media/F3krU77WAAAmwqZ.jpg https://pbs.twimg.com/media/F3krVGoW0AAosvZ.jpg</t>
  </si>
  <si>
    <t>https://t.co/UVAiXJkhqw https://pbs.twimg.com/ext_tw_video_thumb/1688720802076659712/pu/img/Rx5sdnVWfbmDrgJj.jpg</t>
  </si>
  <si>
    <t>https://t.co/PjdSLTvPqS https://pbs.twimg.com/media/F1ayFqiWcAADsNx.jpg</t>
  </si>
  <si>
    <t>https://t.co/sX6zw7wa1s https://pbs.twimg.com/media/FvJuCa8X0CUHdQR.jpg</t>
  </si>
  <si>
    <t>https://t.co/zi7lV4sdNN https://pbs.twimg.com/media/FvI9rJoXoAAxTuc.jpg</t>
  </si>
  <si>
    <t>https://t.co/NcGo59BRDe https://pbs.twimg.com/media/F2c5VyWbwAEW5hK.jpg</t>
  </si>
  <si>
    <t>https://t.co/SItmWfXZDY https://pbs.twimg.com/media/FzMig2qWwAAn78K.jpg</t>
  </si>
  <si>
    <t>https://t.co/mwTy0wpvQd https://pbs.twimg.com/media/FzRhgDSWAAEj4Et.jpg</t>
  </si>
  <si>
    <t>https://t.co/JOuA7mowVf https://pbs.twimg.com/media/FzWQ7_hXoAIryuK.jpg</t>
  </si>
  <si>
    <t>https://t.co/4RsYsQVsLO https://pbs.twimg.com/media/F03DUpRWcAYPCme.png</t>
  </si>
  <si>
    <t>https://t.co/9Ul1cuqAtR https://pbs.twimg.com/media/F145dtIWEAAoaTa.jpg</t>
  </si>
  <si>
    <t>https://t.co/0lXAiASVZT https://pbs.twimg.com/media/F2oO3JCX0AEuenk.jpg</t>
  </si>
  <si>
    <t>https://t.co/GcC2appnaY https://pbs.twimg.com/media/Fxe-KSXXwAI6QAZ.jpg</t>
  </si>
  <si>
    <t>https://t.co/LT6RsMKHVX https://pbs.twimg.com/media/F32ifVQWgAAQiVH.jpg</t>
  </si>
  <si>
    <t>https://t.co/01VoKQ1t61 https://pbs.twimg.com/media/F1ZqesEXoAA0GNa.jpg</t>
  </si>
  <si>
    <t>https://t.co/EdeAmSWCWt https://pbs.twimg.com/media/FxntQafXsAMw4ks.png</t>
  </si>
  <si>
    <t>https://t.co/Y7zFEbOQw0 https://pbs.twimg.com/media/F6Ts0HJWgAAvdrQ.jpg</t>
  </si>
  <si>
    <t>https://t.co/OTc1XdCbY1 https://pbs.twimg.com/media/F0ONULlWIAc0Y_1.jpg</t>
  </si>
  <si>
    <t>https://t.co/kg6PdyXjfx https://pbs.twimg.com/ext_tw_video_thumb/1693358983216594944/pu/img/96fv5sA64_WbIAvS.jpg</t>
  </si>
  <si>
    <t>https://t.co/VgeJKfBvDW https://pbs.twimg.com/ext_tw_video_thumb/1693307907381604352/pu/img/i8F-bvkPxwiioOIy.jpg</t>
  </si>
  <si>
    <t>https://t.co/IibEcqDPlH https://pbs.twimg.com/media/F27zPBTWUAARHoe.jpg</t>
  </si>
  <si>
    <t>https://t.co/HTEkUPNY7a https://pbs.twimg.com/media/F4uER59WgAAberq.jpg</t>
  </si>
  <si>
    <t>https://t.co/UBaOHR2kre https://pbs.twimg.com/media/F6T51l2XkAEc39C.jpg</t>
  </si>
  <si>
    <t>https://t.co/bMT4Iwn8Y2 https://pbs.twimg.com/media/F48U5x9WwAAsjE3.png</t>
  </si>
  <si>
    <t>https://t.co/roUFEeFQbZ https://pbs.twimg.com/media/F2oAQN9XQBUhWKz.png</t>
  </si>
  <si>
    <t>https://t.co/ZkG1qMBmbh https://pbs.twimg.com/media/FzDrfGFXsAEJrAs.jpg</t>
  </si>
  <si>
    <t>https://t.co/2rIbI5LWhb https://pbs.twimg.com/media/FxS9uD6XsAE7zzy.jpg</t>
  </si>
  <si>
    <t>https://t.co/2XY8jiNPuL https://pbs.twimg.com/amplify_video_thumb/1656996543143063555/img/NRQ--PRwNx0-Rkk3.jpg</t>
  </si>
  <si>
    <t>https://t.co/22NYFINjcN https://pbs.twimg.com/media/FydmlrZXgAE4Np5.jpg</t>
  </si>
  <si>
    <t>https://t.co/iM5lc37Eh2 https://pbs.twimg.com/ext_tw_video_thumb/1667243385453682721/pu/img/x8tJJtsoi5qwCN0l.jpg</t>
  </si>
  <si>
    <t>https://t.co/hVXrCPYhqy https://pbs.twimg.com/amplify_video_thumb/1671710772588838912/img/vlXGzfLlO_C2JoQx.jpg</t>
  </si>
  <si>
    <t>https://t.co/Gn3nkVm20a https://pbs.twimg.com/ext_tw_video_thumb/1695336072866037760/pu/img/ENpQ0qGG6uNUIm25.jpg</t>
  </si>
  <si>
    <t>https://t.co/SIobbdgccu https://pbs.twimg.com/media/FyGqWp-XoAEa-t5.jpg</t>
  </si>
  <si>
    <t>https://t.co/RCrb85ZmXY https://pbs.twimg.com/ext_tw_video_thumb/1691101273955659778/pu/img/0MGTbhdVjaIYkt69.jpg</t>
  </si>
  <si>
    <t>https://t.co/ELZYiOjzW5 https://pbs.twimg.com/media/F1hfO1hWAAAgTTd.png</t>
  </si>
  <si>
    <t>https://t.co/sbGoGYqMmj https://pbs.twimg.com/ext_tw_video_thumb/1668609158587858944/pu/img/1vWHWtp54lJ1bhJq.jpg</t>
  </si>
  <si>
    <t>https://t.co/6Q4hT5FS89 https://pbs.twimg.com/media/FxoLWhFX0AMD3jd.jpg</t>
  </si>
  <si>
    <t>https://t.co/CKAu6MU1mV https://pbs.twimg.com/media/F0vhbb4WAAAYMI0.jpg</t>
  </si>
  <si>
    <t>https://t.co/QmBZklvOwr https://pbs.twimg.com/media/F42fWq4XYAAw4BV.jpg</t>
  </si>
  <si>
    <t>https://t.co/MzwKvRTTZA https://pbs.twimg.com/media/Fz5jt26WYAYdqqj.jpg</t>
  </si>
  <si>
    <t>https://t.co/FTVcammk2P https://pbs.twimg.com/media/F5SbBkeWEAA8iJZ.jpg</t>
  </si>
  <si>
    <t>https://t.co/fSdxKc3sV1 https://pbs.twimg.com/media/F4jmxuUWAAMDdAy.jpg</t>
  </si>
  <si>
    <t>https://t.co/weBxZJfVsU https://pbs.twimg.com/media/F5h1jQQXQAAQdRg.jpg</t>
  </si>
  <si>
    <t>https://t.co/gtp0zNtSDv https://pbs.twimg.com/media/FzOXCygWAAQhVPO.jpg</t>
  </si>
  <si>
    <t>https://t.co/aEODSkuvVY https://pbs.twimg.com/media/FzKKzFMWYAIm1EA.jpg</t>
  </si>
  <si>
    <t>https://t.co/nzahU1GMqX https://pbs.twimg.com/media/FzzK3pcWcAIBJUo.jpg</t>
  </si>
  <si>
    <t>https://t.co/WEge3hSfBG https://pbs.twimg.com/media/Fy0vZoqXoAIai2z.jpg</t>
  </si>
  <si>
    <t>https://t.co/ASrqLENfbb https://pbs.twimg.com/media/FyvfPrTWIAAFFad.jpg</t>
  </si>
  <si>
    <t>https://t.co/SHJzBAHTKK https://pbs.twimg.com/media/FzoDVKdXsAA_OX2.jpg</t>
  </si>
  <si>
    <t>https://t.co/fqYpVdu9TJ https://pbs.twimg.com/media/FzjtLSfX0AAaSJ7.jpg</t>
  </si>
  <si>
    <t>https://t.co/GwCVcDk398 https://pbs.twimg.com/media/FygfNCWagAEoRSp.jpg</t>
  </si>
  <si>
    <t>https://t.co/id7bxfwrxt https://pbs.twimg.com/media/Fzt4Uc3WcAAjQt0.jpg</t>
  </si>
  <si>
    <t>https://t.co/lcRWRSB0J3 https://pbs.twimg.com/media/FzdyzgdX0AAfk35.jpg</t>
  </si>
  <si>
    <t>https://t.co/pRTmW2QKHM https://pbs.twimg.com/media/FzUKg43XsAIGn7N.jpg</t>
  </si>
  <si>
    <t>https://t.co/O0bj1iKYxT https://pbs.twimg.com/media/FyWRvwVXwAAkqI3.jpg</t>
  </si>
  <si>
    <t>https://t.co/f4gt9jhaNm https://pbs.twimg.com/media/FyRO_yoWwAItqjq.jpg</t>
  </si>
  <si>
    <t>https://t.co/twbcdSo2AZ https://pbs.twimg.com/media/F0B_eHBWAAAr5-b.jpg</t>
  </si>
  <si>
    <t>https://t.co/LWMcfkSE58 https://pbs.twimg.com/media/Fz8xeJ0XoAcAPnF.jpg</t>
  </si>
  <si>
    <t>https://t.co/rs3sFo6CZT https://pbs.twimg.com/media/FzD4zaqWYAA0dnr.jpg</t>
  </si>
  <si>
    <t>https://t.co/paUcWkk01f https://pbs.twimg.com/media/FzA5OF4X0AAW2tZ.jpg</t>
  </si>
  <si>
    <t>https://t.co/dHSFEe9NrJ https://pbs.twimg.com/media/Fy6AFwyXwAA-nV4.jpg</t>
  </si>
  <si>
    <t>https://t.co/QXEFNKjHZM https://pbs.twimg.com/ext_tw_video_thumb/1674561567226994688/pu/img/0civB_H_ib7R6Q4l.jpg</t>
  </si>
  <si>
    <t>https://t.co/pWndIhDPxa https://pbs.twimg.com/tweet_video_thumb/FzOo9oOWAAQ5_Gq.jpg</t>
  </si>
  <si>
    <t>https://t.co/2wLqL8PL5B https://pbs.twimg.com/media/FvSOWo5XsAA_G6b.jpg</t>
  </si>
  <si>
    <t>https://t.co/lbZHFjx4fI https://pbs.twimg.com/amplify_video_thumb/1684215295236341768/img/gqers9Szoy1S58jr.jpg</t>
  </si>
  <si>
    <t>https://t.co/PSLX0Rldds https://pbs.twimg.com/media/FvTBvTOXoAIqLqs.jpg</t>
  </si>
  <si>
    <t>https://t.co/hpwdO4wjgi https://pbs.twimg.com/media/FycQe6BWAAk0xAl.jpg</t>
  </si>
  <si>
    <t>https://t.co/702ZoQJMYn https://pbs.twimg.com/media/FzQDkbuXsAAk_WN.jpg</t>
  </si>
  <si>
    <t>https://t.co/mrcGo4A4PZ https://pbs.twimg.com/media/F2nk4NjXgAEtRlR.jpg</t>
  </si>
  <si>
    <t>https://t.co/rLX6bxefFH https://pbs.twimg.com/media/FxlAP21XwAMuig8.jpg</t>
  </si>
  <si>
    <t>https://t.co/coC53kQUCu https://pbs.twimg.com/media/F3qZ0N6XkAAGkzP.jpg</t>
  </si>
  <si>
    <t>https://t.co/yNMfwlApWj https://pbs.twimg.com/media/F2slc-1X0AAhPw_.jpg</t>
  </si>
  <si>
    <t>https://t.co/zxkQONZDxt https://pbs.twimg.com/media/F5c5gs1WEAAjBdV.jpg</t>
  </si>
  <si>
    <t>https://t.co/93M5dApam8 https://pbs.twimg.com/media/FzkQVjGWIAUe1gQ.jpg</t>
  </si>
  <si>
    <t>https://t.co/aX2C4mtWsd https://pbs.twimg.com/media/F0Htk-xXoAAODKU.jpg</t>
  </si>
  <si>
    <t>https://t.co/ZqQF6DtEq6 https://pbs.twimg.com/ext_tw_video_thumb/1670808423414259713/pu/img/y25LBODZ9IXEE519.jpg</t>
  </si>
  <si>
    <t>https://t.co/qbsQGummxw https://t.co/qbsQGummxw https://pbs.twimg.com/media/F0eppo2WYAErEaJ.jpg https://pbs.twimg.com/media/F0epp-VXsAAY36W.jpg</t>
  </si>
  <si>
    <t>https://t.co/XlI9nGsK0x https://pbs.twimg.com/ext_tw_video_thumb/1684707477231747072/pu/img/yKtb5hguObRJ1RjP.jpg</t>
  </si>
  <si>
    <t>https://t.co/Xro5p564RG https://pbs.twimg.com/ext_tw_video_thumb/1687243643977863168/pu/img/NqiA6DD6io93SDmw.jpg</t>
  </si>
  <si>
    <t>https://t.co/xiYdzaOu30 https://pbs.twimg.com/ext_tw_video_thumb/1686872901348212738/pu/img/nSx5BKxCkYoVjLRh.jpg</t>
  </si>
  <si>
    <t>https://t.co/C5DV3J728U https://pbs.twimg.com/ext_tw_video_thumb/1671867623506673664/pu/img/Vaun9_u__m3uVQ5e.jpg</t>
  </si>
  <si>
    <t>https://t.co/4u2TiUqkE0 https://pbs.twimg.com/ext_tw_video_thumb/1661201666807300096/pu/img/a4gIf4fxEiJyZKxL.jpg</t>
  </si>
  <si>
    <t>https://t.co/eaW38vRDng https://pbs.twimg.com/ext_tw_video_thumb/1688903568550473729/pu/img/4dGcH7pGalBjgAAy.jpg</t>
  </si>
  <si>
    <t>https://t.co/HxviMBWxva https://pbs.twimg.com/ext_tw_video_thumb/1701324911388626944/pu/img/lZyNcWUSFVPyx9ZO.jpg</t>
  </si>
  <si>
    <t>https://t.co/w7gkapgN9S https://pbs.twimg.com/media/F3i_4jxWEAAU1Nf.jpg</t>
  </si>
  <si>
    <t>https://t.co/YyjoldKklE https://pbs.twimg.com/media/F3krAdoaMAErLp2.jpg</t>
  </si>
  <si>
    <t>https://t.co/cXnLtoHZUg https://pbs.twimg.com/media/F4D2opvWgAEJoxS.jpg</t>
  </si>
  <si>
    <t>https://t.co/1rpy6Xou09 https://pbs.twimg.com/media/F4ovUq4a0AAvZbA.jpg</t>
  </si>
  <si>
    <t>https://t.co/46NvX2sLHa https://pbs.twimg.com/media/F5hpv3AaMAEPDMz.jpg</t>
  </si>
  <si>
    <t>https://t.co/nm7X6Evqtb https://pbs.twimg.com/amplify_video_thumb/1666486191741435904/img/WHJnClTRiYn-_FdC.jpg</t>
  </si>
  <si>
    <t>https://t.co/KawIj2T9ui https://pbs.twimg.com/amplify_video_thumb/1679512801788788736/img/0jkdJY1yAyfW71d1.jpg</t>
  </si>
  <si>
    <t>https://t.co/HTHX3hm0cR https://pbs.twimg.com/amplify_video_thumb/1689303102640238592/img/RIbj0Zymcn-EaeSL.jpg</t>
  </si>
  <si>
    <t>https://t.co/RoAA84wXzb https://pbs.twimg.com/amplify_video_thumb/1680970215549435905/img/AjcW3auIaYvWqQif.jpg</t>
  </si>
  <si>
    <t>https://t.co/SPIkzQgdGR https://pbs.twimg.com/amplify_video_thumb/1699084906712760320/img/WAFoKoj1sPXYr4vm.jpg</t>
  </si>
  <si>
    <t>https://t.co/GTsSmyv5DN https://pbs.twimg.com/amplify_video_thumb/1687129532766031872/img/BKHMQIzSJ0CQrN9c.jpg</t>
  </si>
  <si>
    <t>https://t.co/8l3Cjt6aez https://pbs.twimg.com/ext_tw_video_thumb/1707423087090688000/pu/img/4LM74JEh8JVvZhFx.jpg</t>
  </si>
  <si>
    <t>https://t.co/bivdLEEb1G https://pbs.twimg.com/media/Fw_2fsCWwAAd9RH.png</t>
  </si>
  <si>
    <t>https://t.co/Eoq1mlGsDl https://pbs.twimg.com/media/FzoO6AMXwAEvpaY.jpg</t>
  </si>
  <si>
    <t>https://t.co/UjlxKSpwip https://pbs.twimg.com/media/FwMbGnBXoAA6mPJ.jpg</t>
  </si>
  <si>
    <t>https://t.co/2qUtuUqIJs https://pbs.twimg.com/media/F1BUd4BWwAgl_h6.jpg</t>
  </si>
  <si>
    <t>https://t.co/oB64pXamph https://pbs.twimg.com/media/F7IutSCWoAAcORQ.jpg</t>
  </si>
  <si>
    <t>https://t.co/dWk6niQQyW https://pbs.twimg.com/media/FxFQxcTXsAIn7Fs.jpg</t>
  </si>
  <si>
    <t>https://t.co/xA3bcjwHQj https://pbs.twimg.com/amplify_video_thumb/1686177228260818944/img/t9qwYUJjHlZYqqX0.jpg</t>
  </si>
  <si>
    <t>https://t.co/BebapOs0tP https://pbs.twimg.com/media/F3gmh40WMAoKEF5.jpg</t>
  </si>
  <si>
    <t>https://t.co/Xifb8bIyjb https://pbs.twimg.com/media/FveUvQtXoAcJjcY.jpg</t>
  </si>
  <si>
    <t>https://t.co/soyTGx5CmT https://pbs.twimg.com/media/F4OaLEqXcAAtfGC.jpg</t>
  </si>
  <si>
    <t>https://t.co/NGah4Tr9fe https://pbs.twimg.com/media/FzkVGVTWIA4MIQT.jpg</t>
  </si>
  <si>
    <t>https://t.co/aVDRzXcJam https://pbs.twimg.com/media/FneQEnsXwAEEnps.jpg</t>
  </si>
  <si>
    <t>https://t.co/sQYoi5eBRB https://pbs.twimg.com/media/F4sqH-MWwAAiUnr.jpg</t>
  </si>
  <si>
    <t>https://t.co/nJlAsoNvow https://pbs.twimg.com/amplify_video_thumb/1671517751209238537/img/EYrlbt6D2JIshE-t.jpg</t>
  </si>
  <si>
    <t>https://t.co/Jj1zBmoBRu https://pbs.twimg.com/amplify_video_thumb/1687090361494380545/img/VJZpUb1JvLMI5Art.jpg</t>
  </si>
  <si>
    <t>https://t.co/3T9FE9lFPT https://pbs.twimg.com/amplify_video_thumb/1663891704171347968/img/FC30BAfHPMKQ42YX.jpg</t>
  </si>
  <si>
    <t>https://t.co/xLPbvKzo6i https://pbs.twimg.com/amplify_video_thumb/1694691131672702977/img/krAQtX3TPONThpkw.jpg</t>
  </si>
  <si>
    <t>https://t.co/Rig4RVPcyR https://pbs.twimg.com/media/F7HjKsjXcAACTSH.jpg</t>
  </si>
  <si>
    <t>https://t.co/lxHZxRH4DQ https://pbs.twimg.com/media/F3vO3lHaEAA5mk7.jpg</t>
  </si>
  <si>
    <t>https://t.co/iXdPuE30Tg https://pbs.twimg.com/ext_tw_video_thumb/1655930819725393920/pu/img/yFfUQ71xaY341903.jpg</t>
  </si>
  <si>
    <t>https://t.co/wP01fo0RNi https://pbs.twimg.com/media/FyGQBjCXwAIMZl4.jpg</t>
  </si>
  <si>
    <t>https://t.co/NADVbb5SSk https://pbs.twimg.com/media/Fw_7ZnOWIAAvqdk.jpg</t>
  </si>
  <si>
    <t>https://t.co/LGXpsJhmti https://pbs.twimg.com/media/F3fw2IIWAAE3VaH.jpg</t>
  </si>
  <si>
    <t>https://t.co/ezOFqWzGX7 https://pbs.twimg.com/ext_tw_video_thumb/1669108684851408900/pu/img/KdpYsy82b1LB7xYE.jpg</t>
  </si>
  <si>
    <t>https://t.co/8tGmBAyaaP https://pbs.twimg.com/media/F0r-Y_9XsAAyfjl.jpg</t>
  </si>
  <si>
    <t>https://t.co/HVKsOKiKPL https://pbs.twimg.com/media/F3lhUrVXsA87hEH.jpg</t>
  </si>
  <si>
    <t>https://t.co/JwrO4jwg64 https://pbs.twimg.com/ext_tw_video_thumb/1655050294810607618/pu/img/tYg0-LGVFM9Z0G2q.jpg</t>
  </si>
  <si>
    <t>https://t.co/kNuIRzfAxV https://pbs.twimg.com/media/F09aNVqWYAEf-ZB.jpg</t>
  </si>
  <si>
    <t>https://t.co/oLipcOT7L5 https://pbs.twimg.com/media/F3DVsDDWcAEIM4W.jpg</t>
  </si>
  <si>
    <t>https://t.co/LJCob8Sq6g https://pbs.twimg.com/media/F3qDkJXWAAA4TlD.jpg</t>
  </si>
  <si>
    <t>https://t.co/H4kJbF5gJG https://pbs.twimg.com/media/F5yRimnXIAAL0fy.jpg</t>
  </si>
  <si>
    <t>https://t.co/Z95Cvpj8mq https://pbs.twimg.com/media/F6_lulwW8AAytXt.jpg</t>
  </si>
  <si>
    <t>https://t.co/yztiFjwolC https://pbs.twimg.com/media/FvsflF8aYAU-IBk.jpg</t>
  </si>
  <si>
    <t>https://t.co/sdqhQIPlF1 https://t.co/sdqhQIPlF1 https://t.co/sdqhQIPlF1 https://t.co/sdqhQIPlF1 https://pbs.twimg.com/media/Fz3PT55WYAEBOPu.jpg https://pbs.twimg.com/media/Fz3PUGKXwAA804I.jpg https://pbs.twimg.com/media/Fz3PURZWYAMOeJc.jpg https://pbs.twimg.com/media/Fz3PUgNWAAU5FhY.jpg</t>
  </si>
  <si>
    <t>https://t.co/8HJNr1EZ3B https://pbs.twimg.com/ext_tw_video_thumb/1683136840620965888/pu/img/KGTNUxnkJU1G3XFA.jpg</t>
  </si>
  <si>
    <t>https://t.co/DX1ogNEPgw https://pbs.twimg.com/media/F2tf--ZXQAAzIQe.jpg</t>
  </si>
  <si>
    <t>https://t.co/jQYLn7kPPB https://pbs.twimg.com/media/F22Z8-FWQAA_sMi.jpg</t>
  </si>
  <si>
    <t>https://t.co/N7Z8CvkPZu https://pbs.twimg.com/media/F2nvO55XoAsXFWq.jpg</t>
  </si>
  <si>
    <t>https://t.co/8qDN779NU2 https://pbs.twimg.com/ext_tw_video_thumb/1666984534888333316/pu/img/hZ9_aw3i9t-Jid3Z.jpg</t>
  </si>
  <si>
    <t>https://t.co/hqkoFQ8dft https://pbs.twimg.com/media/FxT-oBMXwBA99sD.png</t>
  </si>
  <si>
    <t>https://t.co/cWkVZIvbYq https://pbs.twimg.com/media/Fx3JekCX0Ag2c_M.jpg</t>
  </si>
  <si>
    <t>https://t.co/PLceD04u0t https://pbs.twimg.com/media/Fw_nOjaWAAI1wWD.jpg</t>
  </si>
  <si>
    <t>https://t.co/CURZWVZFUT https://pbs.twimg.com/media/Fv9r5GEXgAAHQQp.jpg</t>
  </si>
  <si>
    <t>https://t.co/oymDZeAAZB https://pbs.twimg.com/media/Fv9HyPKX0Cs7hji.jpg</t>
  </si>
  <si>
    <t>https://t.co/A12NIQUBMI https://pbs.twimg.com/media/F0HVHf8XwAAtTiQ.jpg</t>
  </si>
  <si>
    <t>https://t.co/dxzboHaDSL https://pbs.twimg.com/media/FwbOPXAXgAA3IO0.jpg</t>
  </si>
  <si>
    <t>https://t.co/p1FiAjguCq https://pbs.twimg.com/media/F2oStypWsAAyb4e.jpg</t>
  </si>
  <si>
    <t>https://t.co/fiKUwwBZHU https://pbs.twimg.com/media/Fvr3WLtXoAM81Hd.jpg</t>
  </si>
  <si>
    <t>https://t.co/nytQw6f6CC https://pbs.twimg.com/media/Fvd8GsAWIAItRLA.jpg</t>
  </si>
  <si>
    <t>https://t.co/JjUxlO4bHL https://pbs.twimg.com/media/FvQfe5aXwAAsN1z.jpg</t>
  </si>
  <si>
    <t>https://t.co/ZKq1jKLCbi https://pbs.twimg.com/media/FzT2eDkWIAELhQu.jpg</t>
  </si>
  <si>
    <t>https://t.co/Qs1kIdyUMl https://pbs.twimg.com/ext_tw_video_thumb/1674133825629179915/pu/img/jzMTHCyC-cJ39eiY.jpg</t>
  </si>
  <si>
    <t>https://t.co/TvFEznfs1h https://pbs.twimg.com/ext_tw_video_thumb/1687103506002685952/pu/img/VWxsIH3ys9LxLwI_.jpg</t>
  </si>
  <si>
    <t>https://t.co/Cve1CD1k0P https://pbs.twimg.com/ext_tw_video_thumb/1668632249649229827/pu/img/7q5_pSHuefCqWBG8.jpg</t>
  </si>
  <si>
    <t>https://t.co/MiqaYoMhkD https://pbs.twimg.com/media/F2jvsfGWYAE29Ur.png</t>
  </si>
  <si>
    <t>https://t.co/p54Tgd0a9R https://pbs.twimg.com/ext_tw_video_thumb/1690372669500280833/pu/img/8x39I-_ovzPiEbGa.jpg</t>
  </si>
  <si>
    <t>https://t.co/r3ePuBJPFd https://pbs.twimg.com/media/F3NXFhJWoAAbtPI.png</t>
  </si>
  <si>
    <t>https://t.co/XtSAJINGsy https://pbs.twimg.com/ext_tw_video_thumb/1686755616679739394/pu/img/VoJ8DkvStLrb7v7n.jpg</t>
  </si>
  <si>
    <t>https://t.co/6QKH9nMCVo https://pbs.twimg.com/media/F28y_QMWgAAzy-9.jpg</t>
  </si>
  <si>
    <t>https://t.co/alR5Fd6b5p https://pbs.twimg.com/media/F4XBf3BWYAAjhH7.jpg</t>
  </si>
  <si>
    <t>https://t.co/hqsRdo0wYN https://pbs.twimg.com/media/F1UHiXrWIAAU9AI.jpg</t>
  </si>
  <si>
    <t>https://t.co/NEiu6vuZqM https://pbs.twimg.com/media/F6iG6k9XwAANVKG.jpg</t>
  </si>
  <si>
    <t>https://t.co/MLBZac5llj https://pbs.twimg.com/media/FwUaXSZWcAEtgOi.jpg</t>
  </si>
  <si>
    <t>https://t.co/zLEKoULK2T https://pbs.twimg.com/media/FwPXKfYWIAEeANu.jpg</t>
  </si>
  <si>
    <t>https://t.co/OVTqfrLj4X https://pbs.twimg.com/media/F5VvZ_XXkAAOC2m.jpg</t>
  </si>
  <si>
    <t>https://t.co/5644LaunCf https://pbs.twimg.com/media/Fw-WHBbWIAEqedl.jpg</t>
  </si>
  <si>
    <t>https://t.co/YKMqAzRP9L https://pbs.twimg.com/media/Fw4_vRsXwAAWtOs.jpg</t>
  </si>
  <si>
    <t>https://t.co/BYXlt36bxs https://pbs.twimg.com/media/Fw1MgpyXwCUnrx0.jpg</t>
  </si>
  <si>
    <t>https://t.co/pvbQ72hWK4 https://pbs.twimg.com/media/F2WvlELWIAEiMjO.jpg</t>
  </si>
  <si>
    <t>https://t.co/2IVDoRWEp1 https://pbs.twimg.com/media/F2WdE73WEAArHIW.jpg</t>
  </si>
  <si>
    <t>https://t.co/Yh4CukOhCj https://pbs.twimg.com/media/F2JBiJNWsBAWohv.jpg</t>
  </si>
  <si>
    <t>https://t.co/a7894cKQ3c https://pbs.twimg.com/media/F2G0QY7WAAEZpkq.jpg</t>
  </si>
  <si>
    <t>https://t.co/g1IctweiZw https://pbs.twimg.com/media/F4Smef4XUAA_xiG.jpg</t>
  </si>
  <si>
    <t>https://t.co/kiTq85zMx6 https://pbs.twimg.com/media/F2C7Xk2WUAMdeNO.jpg</t>
  </si>
  <si>
    <t>https://t.co/jjgEjp7fZ7 https://pbs.twimg.com/media/FwuPhfpWwAMI7HS.jpg</t>
  </si>
  <si>
    <t>https://t.co/N4MIloPfjr https://pbs.twimg.com/media/FyZ7fExXsAAwp-r.jpg</t>
  </si>
  <si>
    <t>https://t.co/CM3STPYQBR https://pbs.twimg.com/media/FyFq1IzXgAEnifP.jpg</t>
  </si>
  <si>
    <t>https://t.co/8mavCZMrow https://pbs.twimg.com/media/F6XyMooXgAAesur.jpg</t>
  </si>
  <si>
    <t>https://t.co/yzhDHcYrj1 https://pbs.twimg.com/media/F6jMXldXwAAiVxl.jpg</t>
  </si>
  <si>
    <t>https://t.co/VBp8WwmC9g https://pbs.twimg.com/media/F6dhs8IW4AAFxWD.jpg</t>
  </si>
  <si>
    <t>https://t.co/hZnSBOAoDi https://pbs.twimg.com/media/F5LIKjAXoAAqsB-.jpg</t>
  </si>
  <si>
    <t>https://t.co/s01zn6qio9 https://pbs.twimg.com/media/F13aqQTWIAE7wab.jpg</t>
  </si>
  <si>
    <t>https://t.co/DYgytnOTIL https://pbs.twimg.com/media/F1jnRVmXsAAl045.jpg</t>
  </si>
  <si>
    <t>https://t.co/eHEO5B2mBK https://pbs.twimg.com/media/FzysNT3XsAQrSo_.jpg</t>
  </si>
  <si>
    <t>https://t.co/G66dM6AtM1 https://pbs.twimg.com/media/FzobNveXoAIIY1B.jpg</t>
  </si>
  <si>
    <t>https://t.co/R0S24N3kC6 https://pbs.twimg.com/media/F2dFWuMXQAAQpMZ.jpg</t>
  </si>
  <si>
    <t>https://t.co/fJ2rxtCbd7 https://pbs.twimg.com/media/F3f3UirXcAAlVCd.jpg</t>
  </si>
  <si>
    <t>https://t.co/MAklU6qeuu https://pbs.twimg.com/media/F3fu902WsAISMsM.jpg</t>
  </si>
  <si>
    <t>https://t.co/4Chr77Bto7 https://pbs.twimg.com/ext_tw_video_thumb/1704197904099856384/pu/img/Oi8eO4LexxIha40d.jpg</t>
  </si>
  <si>
    <t>https://t.co/B2TB2JX6Zt https://pbs.twimg.com/ext_tw_video_thumb/1691457925401993216/pu/img/iRMv4ndpLC9mmoSM.jpg</t>
  </si>
  <si>
    <t>https://t.co/aEaGIriUK8 https://pbs.twimg.com/media/FxZ6nDyXsAYQLXp.jpg</t>
  </si>
  <si>
    <t>https://t.co/KCCr7V7Ywz https://pbs.twimg.com/media/F3F1btsWIAA9Z-v.jpg</t>
  </si>
  <si>
    <t>https://t.co/ezUoVpQMHX https://pbs.twimg.com/ext_tw_video_thumb/1692199471155675136/pu/img/u3Q47xKvBPXb6jEH.jpg</t>
  </si>
  <si>
    <t>https://t.co/cyKrNBKQw9 https://pbs.twimg.com/media/FvtUbWsWwAA3Shk.jpg</t>
  </si>
  <si>
    <t>https://t.co/i1N3627FKP https://pbs.twimg.com/media/FynVnRiXoAEdhFE.jpg</t>
  </si>
  <si>
    <t>https://t.co/qxklOPcJvg https://pbs.twimg.com/media/F3zw_10XIAAasji.jpg</t>
  </si>
  <si>
    <t>https://t.co/LN30DKAEod https://pbs.twimg.com/ext_tw_video_thumb/1676710381987987456/pu/img/dAAGiYZ4EQ6sahyd.jpg</t>
  </si>
  <si>
    <t>https://t.co/Ft9ML7IuYS https://pbs.twimg.com/media/F5Q4S3PXIAAznJy.jpg</t>
  </si>
  <si>
    <t>https://t.co/LvdQzkUUrH https://pbs.twimg.com/media/FvJ8DqPWwAEE1n1.jpg</t>
  </si>
  <si>
    <t>https://t.co/d7DlRAcgdy https://pbs.twimg.com/ext_tw_video_thumb/1685033524313600000/pu/img/pmTCzHZskZjJWwbd.jpg</t>
  </si>
  <si>
    <t>https://t.co/uho04wtWpo https://pbs.twimg.com/ext_tw_video_thumb/1692391515274854401/pu/img/AZeKM3HUvNgJIwH6.jpg</t>
  </si>
  <si>
    <t>https://t.co/uz3pJRTERC https://pbs.twimg.com/media/F3a-QBQXsAEs-Ku.jpg</t>
  </si>
  <si>
    <t>https://t.co/jw6M6D3q3T https://pbs.twimg.com/media/Fyw3gPHXgAge-xC.jpg</t>
  </si>
  <si>
    <t>https://t.co/EV4yZMRQM5 https://pbs.twimg.com/media/Fysb847XoAIIxWX.jpg</t>
  </si>
  <si>
    <t>https://t.co/1Wt8AwYRpf https://pbs.twimg.com/media/FvJSV6oWwBoxn5I.jpg</t>
  </si>
  <si>
    <t>https://t.co/tS7SVzypNx https://pbs.twimg.com/media/F0heJHDXgAAd8r-.jpg</t>
  </si>
  <si>
    <t>https://t.co/oCRW1V4Il7 https://pbs.twimg.com/media/FzPYIniWYAI5udc.jpg</t>
  </si>
  <si>
    <t>https://t.co/Il693uLDSo https://pbs.twimg.com/media/F3HY540WwAEyS0L.jpg</t>
  </si>
  <si>
    <t>https://t.co/JmdwuiDWsH https://pbs.twimg.com/media/F3feasuXEAEcQpQ.jpg</t>
  </si>
  <si>
    <t>https://t.co/SrtmQOPIZb https://pbs.twimg.com/media/FxeM-10WACYot0w.jpg</t>
  </si>
  <si>
    <t>https://t.co/kSLGAJzi1y https://pbs.twimg.com/media/F4iUpC4XAAAWHck.jpg</t>
  </si>
  <si>
    <t>https://t.co/CHFMbwlApd https://pbs.twimg.com/media/FzpMMg2XwA8TkE0.jpg</t>
  </si>
  <si>
    <t>https://t.co/9YrtEUuAwq https://pbs.twimg.com/media/F5xYxzYXcAAiA0c.jpg</t>
  </si>
  <si>
    <t>https://t.co/qNyxuDYSOD https://pbs.twimg.com/media/F5w3HcmWsAAkREX.jpg</t>
  </si>
  <si>
    <t>https://t.co/uBwfTbiSfJ https://pbs.twimg.com/media/Fzk9sqoWwAEn95g.jpg</t>
  </si>
  <si>
    <t>https://t.co/QAPKAYsqrS https://pbs.twimg.com/media/F6kkHrxXYAASLcb.jpg</t>
  </si>
  <si>
    <t>https://t.co/zq7DXyCOtB https://pbs.twimg.com/media/FzACAfsWwAAMZjn.jpg</t>
  </si>
  <si>
    <t>https://t.co/KNzX9dXwXQ https://pbs.twimg.com/media/FvYTp2cWAA0DaGF.jpg</t>
  </si>
  <si>
    <t>https://t.co/cKfywxkjWp https://pbs.twimg.com/media/F6BOpbCWYAAeLbX.jpg</t>
  </si>
  <si>
    <t>https://t.co/ar6npPkUZF https://pbs.twimg.com/media/F58PgxRWoAA1Rt6.jpg</t>
  </si>
  <si>
    <t>https://t.co/N5OyVhWjpe https://pbs.twimg.com/media/F6ljLwaWsAAHjM-.jpg</t>
  </si>
  <si>
    <t>https://t.co/v3prq94RnM https://pbs.twimg.com/media/F6QrsTbXMAAJW09.jpg</t>
  </si>
  <si>
    <t>https://t.co/iY64W8eNDB https://pbs.twimg.com/media/F0JnqRkXoAEQxoe.jpg</t>
  </si>
  <si>
    <t>https://t.co/qnMoOJHa9B https://pbs.twimg.com/media/F1PKDwRWAAEwveM.jpg</t>
  </si>
  <si>
    <t>https://t.co/Ec8AgJSC3n https://pbs.twimg.com/media/FxEztitWABcFGGj.jpg</t>
  </si>
  <si>
    <t>https://t.co/pqx9DDIYCa https://pbs.twimg.com/media/FycdL_IXwAArvb8.jpg</t>
  </si>
  <si>
    <t>https://t.co/lGprHpuaft https://pbs.twimg.com/media/F3KrQ9oWMAA44Sh.jpg</t>
  </si>
  <si>
    <t>https://t.co/uJ7y89DrBA https://pbs.twimg.com/media/F3KrFnLWcAAf1e_.jpg</t>
  </si>
  <si>
    <t>https://t.co/g2ytQhHcyk https://pbs.twimg.com/media/F3I5VDtXEAAhY0n.jpg</t>
  </si>
  <si>
    <t>https://t.co/APtcuPN5cd https://pbs.twimg.com/media/F3IuTahXYAA0zkE.jpg</t>
  </si>
  <si>
    <t>https://t.co/fRImuiQGbL https://pbs.twimg.com/media/F2YQm0WWkAAXvdx.jpg</t>
  </si>
  <si>
    <t>https://t.co/dbfsmE02q0 https://pbs.twimg.com/media/F11UhkUXsAALNmw.jpg</t>
  </si>
  <si>
    <t>https://t.co/AXMFIPnLa6 https://pbs.twimg.com/media/F3f6lspWkAAg0yo.jpg</t>
  </si>
  <si>
    <t>https://t.co/0gyJHW6SY7 https://pbs.twimg.com/ext_tw_video_thumb/1693309042188283906/pu/img/WIXDMvvkEHyuMrtF.jpg</t>
  </si>
  <si>
    <t>https://t.co/ehnRETIgoN https://pbs.twimg.com/media/FyNBPhdX0AQKKA2.jpg</t>
  </si>
  <si>
    <t>https://t.co/7SzBYzakFw https://pbs.twimg.com/ext_tw_video_thumb/1677359041184497664/pu/img/1kBBAFCnFxm8ZspC.jpg</t>
  </si>
  <si>
    <t>https://t.co/iHXvUPJifp https://pbs.twimg.com/media/FxlAkl_WwAAHGtX.png</t>
  </si>
  <si>
    <t>https://t.co/fADAtbjtF4 https://pbs.twimg.com/media/FxTzYYBX0AA3KAA.jpg</t>
  </si>
  <si>
    <t>https://t.co/7GoIRcubEH https://pbs.twimg.com/media/F1VJCiKWYAAf1p0.jpg</t>
  </si>
  <si>
    <t>https://t.co/LList34gip https://pbs.twimg.com/media/F1-gkMtXsAEOe_m.png</t>
  </si>
  <si>
    <t>https://t.co/hsSZEq5T9e https://pbs.twimg.com/media/FxkRa0UX0AErKUq.jpg</t>
  </si>
  <si>
    <t>https://t.co/fZl9toDaRn https://pbs.twimg.com/ext_tw_video_thumb/1664030505711415296/pu/img/RtbUHTDgQMNfymFC.jpg</t>
  </si>
  <si>
    <t>https://t.co/EzSpKw9Cmu https://pbs.twimg.com/media/F1h4cllWYAEmTZ5.jpg</t>
  </si>
  <si>
    <t>https://t.co/vSvu1c9Y3T https://pbs.twimg.com/media/FydbA0EWIAMGeL_.jpg</t>
  </si>
  <si>
    <t>https://t.co/BcDgFJTgx1 https://pbs.twimg.com/media/Fz0wXXlWIAAmLkN.jpg</t>
  </si>
  <si>
    <t>https://t.co/s5NtpUKQxQ https://pbs.twimg.com/media/Fz0hazkXoAA4qog.jpg</t>
  </si>
  <si>
    <t>https://t.co/dAVkhp49UB https://pbs.twimg.com/media/F4pkMKQW4AEWfqv.jpg</t>
  </si>
  <si>
    <t>https://t.co/qoQjncnqPf https://pbs.twimg.com/media/F0JMionWcAE-vQt.jpg</t>
  </si>
  <si>
    <t>https://t.co/0QYdRhmj3v https://pbs.twimg.com/media/FwYngkLWIAQXTmD.jpg</t>
  </si>
  <si>
    <t>https://t.co/OoycEAde0u https://pbs.twimg.com/media/F52xGkeWEAA1OXg.jpg</t>
  </si>
  <si>
    <t>https://t.co/owusnzc7qI https://pbs.twimg.com/ext_tw_video_thumb/1680694928072929280/pu/img/4iiiLcLn_okH40Eg.jpg</t>
  </si>
  <si>
    <t>https://t.co/ZtLGaPQdtM https://pbs.twimg.com/media/F3qHF_qW0AAIFGF.jpg</t>
  </si>
  <si>
    <t>https://t.co/VucwwXE6p5 https://pbs.twimg.com/media/F4GBdr8WMAAZqZx.jpg</t>
  </si>
  <si>
    <t>https://t.co/Xl1tCbBj0A https://pbs.twimg.com/media/FvmS5nTXoAA2bj3.jpg</t>
  </si>
  <si>
    <t>https://t.co/UCqsspkNSV https://pbs.twimg.com/media/F1kTBCrWYAI9rKl.jpg</t>
  </si>
  <si>
    <t>https://t.co/lQVngG0S2t https://pbs.twimg.com/media/FzZKXvXX0AIcJwa.jpg</t>
  </si>
  <si>
    <t>https://t.co/apXBRdBEGI https://pbs.twimg.com/media/Fz0rH2UWAAI6afK.jpg</t>
  </si>
  <si>
    <t>https://t.co/beNJcqaHMr https://pbs.twimg.com/ext_tw_video_thumb/1678493389224833032/pu/img/BIPPYxP9DC_oqh-k.jpg</t>
  </si>
  <si>
    <t>https://t.co/x6J1hQED8n https://pbs.twimg.com/media/F0mq5FGWYAIhTsF.jpg</t>
  </si>
  <si>
    <t>https://t.co/Na1sywvWzc https://pbs.twimg.com/media/FxnpPpzXsAgRvgH.jpg</t>
  </si>
  <si>
    <t>https://t.co/phDiXsytYf https://pbs.twimg.com/media/F2ZqOdnXkAAFHCX.jpg</t>
  </si>
  <si>
    <t>https://t.co/hEJIQtTDiV https://pbs.twimg.com/media/F1g38XHWwAAzKP2.jpg</t>
  </si>
  <si>
    <t>https://t.co/dWX0neuGpr https://pbs.twimg.com/media/F1fNgoSaYAEPqW2.jpg</t>
  </si>
  <si>
    <t>https://t.co/spfkMu61fT https://pbs.twimg.com/media/FydgJPSXwAEtKzx.jpg</t>
  </si>
  <si>
    <t>https://t.co/g3sqenYMq3 https://pbs.twimg.com/media/F5TxmgpXkAA6nXq.jpg</t>
  </si>
  <si>
    <t>https://t.co/SHwcEjkFl4 https://t.co/SHwcEjkFl4 https://pbs.twimg.com/media/F4nW6fuWAAAFje5.jpg https://pbs.twimg.com/media/F4nW6eGWUAA5BzU.jpg</t>
  </si>
  <si>
    <t>https://t.co/9OUFaBagB9 https://pbs.twimg.com/media/Fv96RhHWIAADJBO.jpg</t>
  </si>
  <si>
    <t>https://t.co/Rk1IjNR7Ww https://pbs.twimg.com/media/F5rbxpTW4AA70fA.jpg</t>
  </si>
  <si>
    <t>https://t.co/AdtL8YTjzr https://pbs.twimg.com/media/Fx3GBCpX0AETw3H.jpg</t>
  </si>
  <si>
    <t>https://t.co/zguEr9grJw https://pbs.twimg.com/media/Fxy2tPqXsAAmiVv.jpg</t>
  </si>
  <si>
    <t>https://t.co/16TzO3RgeD https://pbs.twimg.com/ext_tw_video_thumb/1691084229164122112/pu/img/2iKz0ZmiLpzvqdWU.jpg</t>
  </si>
  <si>
    <t>https://t.co/wjnI4bq7R6 https://pbs.twimg.com/ext_tw_video_thumb/1689759597672665088/pu/img/SFjGdknOX2E5QSiI.jpg</t>
  </si>
  <si>
    <t>https://t.co/oOJxUVvkRE https://pbs.twimg.com/ext_tw_video_thumb/1677473009546715138/pu/img/grUzj1dlDrJ0cQRu.jpg</t>
  </si>
  <si>
    <t>https://t.co/i9hXWXdixn https://pbs.twimg.com/media/FvXqWJ6XoAI-BEo.jpg</t>
  </si>
  <si>
    <t>https://t.co/LPEtHXPNVp https://pbs.twimg.com/media/F4Q8GluWIAAaksX.jpg</t>
  </si>
  <si>
    <t>https://t.co/PjbhtYxU05 https://pbs.twimg.com/media/F4TA7NLWoAAGYwa.jpg</t>
  </si>
  <si>
    <t>https://t.co/uc8Yax82be https://pbs.twimg.com/ext_tw_video_thumb/1690489166671323136/pu/img/A25nroSf5rmL_zI7.jpg</t>
  </si>
  <si>
    <t>https://t.co/SWTNfTiSUt https://pbs.twimg.com/media/F4Emq6bW0AA7vSk.png</t>
  </si>
  <si>
    <t>https://t.co/N6YetXRJw9 https://pbs.twimg.com/media/F5Rj-KzWoAAA-BM.jpg</t>
  </si>
  <si>
    <t>https://t.co/pP2or5UR1d https://pbs.twimg.com/media/F2nmHXYWgAA6Ewf.jpg</t>
  </si>
  <si>
    <t>https://t.co/MpzLwfCr1K https://pbs.twimg.com/media/F2G5Fi3XEAAyLe6.jpg</t>
  </si>
  <si>
    <t>https://t.co/cRrYIYKbSr https://pbs.twimg.com/media/FywDa-LWAAIljgY.jpg</t>
  </si>
  <si>
    <t>https://t.co/c6tvEZS33Q https://pbs.twimg.com/media/F2NE4ocW4AEaNne.jpg</t>
  </si>
  <si>
    <t>https://t.co/sdzcsC4Wof https://pbs.twimg.com/media/FyEDLRcXsAEA8T1.jpg</t>
  </si>
  <si>
    <t>https://t.co/0B09g9vheo https://pbs.twimg.com/media/Fzk-D6vWAAAwUlw.jpg</t>
  </si>
  <si>
    <t>https://t.co/zSj9WGoaQD https://pbs.twimg.com/media/FwMWWfaXoAkq2BM.jpg</t>
  </si>
  <si>
    <t>https://t.co/Vq7Hdm4rGV https://pbs.twimg.com/media/F3iGMyFXIAA39-2.jpg</t>
  </si>
  <si>
    <t>https://t.co/Ex72TcKN88 https://pbs.twimg.com/media/F3sR4hYXAAAXvvn.jpg</t>
  </si>
  <si>
    <t>https://t.co/J4ooiWrRNA https://pbs.twimg.com/ext_tw_video_thumb/1689113430584696832/pu/img/jzxCJfJNokU44hUI.jpg</t>
  </si>
  <si>
    <t>https://t.co/QebdIKc17r https://pbs.twimg.com/amplify_video_thumb/1666901940150624285/img/qYKddJrEiA94TCaq.jpg</t>
  </si>
  <si>
    <t>https://t.co/kCoxdEpgKo https://pbs.twimg.com/amplify_video_thumb/1660701433044545538/img/iY6Gw_Fs2RQzwoUh.jpg</t>
  </si>
  <si>
    <t>https://t.co/9qKwiV4gkD https://pbs.twimg.com/amplify_video_thumb/1676357353497825281/img/xszZhqswBC6__hoZ.jpg</t>
  </si>
  <si>
    <t>https://t.co/2blYDVWJLh https://pbs.twimg.com/amplify_video_thumb/1676273549579886613/img/w-ErMWSrcNRNdaAQ.jpg</t>
  </si>
  <si>
    <t>https://t.co/OIa65VGWZW https://pbs.twimg.com/amplify_video_thumb/1676254327525056513/img/TtwXMsgh_rdDAcM5.jpg</t>
  </si>
  <si>
    <t>https://t.co/YeTQbq2DsK https://pbs.twimg.com/amplify_video_thumb/1689642605792137217/img/0d9wpdhaurV6HCA9.jpg</t>
  </si>
  <si>
    <t>https://t.co/tWpGZaGoaE https://pbs.twimg.com/amplify_video_thumb/1689642680836628480/img/5lxgKQEuuuUFuV0q.jpg</t>
  </si>
  <si>
    <t>https://t.co/NZ4VZkT5Kc https://pbs.twimg.com/ext_tw_video_thumb/1695043642082152449/pu/img/FC_dnkqXmHpP40Vo.jpg</t>
  </si>
  <si>
    <t>https://t.co/jDvvCFUib6 https://pbs.twimg.com/media/F1em37SWIAExe5h.jpg</t>
  </si>
  <si>
    <t>https://t.co/Z9ht3WragZ https://pbs.twimg.com/media/Fw_FU1VWcAA5t_m.jpg</t>
  </si>
  <si>
    <t>https://t.co/kuAEnF9jhZ https://pbs.twimg.com/media/Fv0CrpnWcAcDbLG.jpg</t>
  </si>
  <si>
    <t>https://t.co/PlQ3RRdX8h https://pbs.twimg.com/media/Fvz2S51XgAE90ax.jpg</t>
  </si>
  <si>
    <t>https://t.co/PakwsW9q9U https://pbs.twimg.com/media/F6kedUUW8AAodTW.jpg</t>
  </si>
  <si>
    <t>https://t.co/e4KHldRRq0 https://pbs.twimg.com/media/F6p1zi0WAAAISdn.jpg</t>
  </si>
  <si>
    <t>https://t.co/LKQeOLSVWG https://pbs.twimg.com/media/F6lHnjlWEAAawIx.jpg</t>
  </si>
  <si>
    <t>https://t.co/D7MXQPoMzF https://pbs.twimg.com/media/F3JDW35XsAALPdE.jpg</t>
  </si>
  <si>
    <t>https://t.co/5m1wUBtLXZ https://pbs.twimg.com/media/F3vfXRIXMAE-m2M.jpg</t>
  </si>
  <si>
    <t>https://t.co/cW3lrrIyNA https://pbs.twimg.com/media/F3tMlMqWYAAJsVg.jpg</t>
  </si>
  <si>
    <t>https://t.co/tDItWnxieq https://pbs.twimg.com/media/F3NkWhRXwAIS8Lw.jpg</t>
  </si>
  <si>
    <t>https://t.co/vo68y36IEA https://pbs.twimg.com/media/F2jxYaZXMAE-WY0.jpg</t>
  </si>
  <si>
    <t>https://t.co/jqJJQWcKES https://pbs.twimg.com/media/F4E88sdWwAA0NXH.jpg</t>
  </si>
  <si>
    <t>https://t.co/nDbjKbwjW3 https://pbs.twimg.com/media/F2na729W8AACJ6S.jpg</t>
  </si>
  <si>
    <t>https://t.co/ikOWLoaKDZ https://pbs.twimg.com/media/F4N9B7xWoAAdiTk.jpg</t>
  </si>
  <si>
    <t>https://t.co/6Y1akUsFEI https://t.co/6Y1akUsFEI https://t.co/6Y1akUsFEI https://t.co/6Y1akUsFEI https://pbs.twimg.com/media/F11m5X-XwAAWHwF.jpg https://pbs.twimg.com/media/F11m5lrWYAIIUFv.jpg https://pbs.twimg.com/media/F11m5xZXoAANhqX.jpg https://pbs.twimg.com/media/F11m5_ZWIAELKg3.jpg</t>
  </si>
  <si>
    <t>https://t.co/JBQZcKZX80 https://pbs.twimg.com/media/F6W9UJTWMAAVeYB.jpg</t>
  </si>
  <si>
    <t>https://t.co/J91IfypQJw https://pbs.twimg.com/media/F5NBfq3WIAALIaL.jpg</t>
  </si>
  <si>
    <t>https://t.co/aHZUmbHHop https://pbs.twimg.com/media/F6RvtJGWsAA74bH.jpg</t>
  </si>
  <si>
    <t>https://t.co/QHgeWICSZi https://pbs.twimg.com/media/F42_ArXWsAAcEDe.jpg</t>
  </si>
  <si>
    <t>https://t.co/oEIT4KjTCF https://pbs.twimg.com/media/F4u247kXEAMN9jI.jpg</t>
  </si>
  <si>
    <t>https://t.co/QypC9YgX4n https://pbs.twimg.com/media/F3nA3wsXAAAOvBj.jpg</t>
  </si>
  <si>
    <t>https://t.co/e1SNrx2Ckw https://pbs.twimg.com/media/F3DmNvFW8AA9cib.jpg</t>
  </si>
  <si>
    <t>https://t.co/mLUawCaQID https://pbs.twimg.com/media/F2nQr6VaUAMieJm.jpg</t>
  </si>
  <si>
    <t>https://t.co/tE63qT5gDk https://pbs.twimg.com/media/Fwf-ziVWIAApxzG.jpg</t>
  </si>
  <si>
    <t>https://t.co/aofMuAPXJl https://pbs.twimg.com/media/FwfxX2YXgAA36DX.jpg</t>
  </si>
  <si>
    <t>https://t.co/roJ1SCDy3m https://pbs.twimg.com/media/F3BHHkibsAAmcG_.jpg</t>
  </si>
  <si>
    <t>https://t.co/8uqAeQptUJ https://pbs.twimg.com/media/F3TGYyxWQAMeSP-.jpg</t>
  </si>
  <si>
    <t>https://t.co/NXnzP4UbRe https://pbs.twimg.com/media/FyMsWBjWIAgUrVt.jpg</t>
  </si>
  <si>
    <t>https://t.co/ZSIBCC0vx2 https://pbs.twimg.com/media/FvSCCw4XsAYBKoP.jpg</t>
  </si>
  <si>
    <t>https://t.co/OjqgzB1eCV https://t.co/OjqgzB1eCV https://t.co/OjqgzB1eCV https://t.co/OjqgzB1eCV https://pbs.twimg.com/media/FyhmOSgWIAYCRoY.jpg https://pbs.twimg.com/media/FyhmS2EXgAQ7b3X.jpg https://pbs.twimg.com/media/FyhmVkGX0AMdxHH.jpg https://pbs.twimg.com/media/FyhmYKlWwAMYUhy.jpg</t>
  </si>
  <si>
    <t>https://t.co/25KmzfovZW https://pbs.twimg.com/media/F2b-E7kWoAAUuks.jpg</t>
  </si>
  <si>
    <t>https://t.co/XwFkXNkxIz https://pbs.twimg.com/media/Fz1i8k2WcAIW1iM.jpg</t>
  </si>
  <si>
    <t>https://t.co/c1Uzo9hRSJ https://pbs.twimg.com/ext_tw_video_thumb/1660692078932705289/pu/img/GhlzGMcE4i21rBOW.jpg</t>
  </si>
  <si>
    <t>https://t.co/3DXO0eUrP6 https://pbs.twimg.com/media/FzPsHIzXgAESvB6.jpg</t>
  </si>
  <si>
    <t>https://t.co/xBgyij8A7H https://pbs.twimg.com/media/FzPWHJdWwAYBQpj.jpg</t>
  </si>
  <si>
    <t>https://t.co/29lGZRigKZ https://pbs.twimg.com/media/FzpuXbnWwAIJRJ7.jpg</t>
  </si>
  <si>
    <t>https://t.co/FgU7yTvcsC https://pbs.twimg.com/ext_tw_video_thumb/1668694146003902472/pu/img/ipPrhPhsJ3FL2MtM.jpg</t>
  </si>
  <si>
    <t>https://t.co/L4P8J4SztK https://pbs.twimg.com/media/F0NgZY8WIAsHASl.jpg</t>
  </si>
  <si>
    <t>https://t.co/nDZL3clWm9 https://pbs.twimg.com/media/F0NLIz0WcAEu_Lv.jpg</t>
  </si>
  <si>
    <t>https://t.co/9nTqrAuHLj https://pbs.twimg.com/media/F7DNpugW0AEet0s.jpg</t>
  </si>
  <si>
    <t>https://t.co/1hI1un1T8H https://t.co/1hI1un1T8H https://pbs.twimg.com/media/FxPhEatWcAAPOjS.jpg https://pbs.twimg.com/media/FxPhF9HXgAE5lhR.jpg</t>
  </si>
  <si>
    <t>https://t.co/3lFlAVyvxR https://pbs.twimg.com/media/F0kT9YbWcAEdkww.jpg</t>
  </si>
  <si>
    <t>https://t.co/w15K0KmKIk https://pbs.twimg.com/media/F6_Qr7yXwAAmp4B.jpg</t>
  </si>
  <si>
    <t>https://t.co/ah95AFgCGp https://pbs.twimg.com/media/F7CFy55WgAA3_I2.jpg</t>
  </si>
  <si>
    <t>https://t.co/9pzyUH1jOD https://pbs.twimg.com/media/F7IjdmaXwAAbOSE.jpg</t>
  </si>
  <si>
    <t>https://t.co/EsmpDHrsvI https://pbs.twimg.com/media/F7DkUNOWoAA9QuM.jpg</t>
  </si>
  <si>
    <t>https://t.co/G8b8Ju0Lc5 https://pbs.twimg.com/media/F68xQzgXUAEBLit.jpg</t>
  </si>
  <si>
    <t>https://t.co/J6fjMrDGoO https://pbs.twimg.com/media/F7ImzDTWEAAIErr.jpg</t>
  </si>
  <si>
    <t>https://t.co/3qvnxT2oxT https://pbs.twimg.com/media/FvUeFOLXwAA7nP0.jpg</t>
  </si>
  <si>
    <t>https://t.co/0wZYLYUEkr https://pbs.twimg.com/media/F69fDFXWIAANKcc.jpg</t>
  </si>
  <si>
    <t>https://t.co/M9ryugNGlA https://pbs.twimg.com/ext_tw_video_thumb/1654478525745774593/pu/img/TTZQpr1nEa_uDJRF.jpg</t>
  </si>
  <si>
    <t>https://t.co/SHC4KM9AlW https://pbs.twimg.com/amplify_video_thumb/1687051261802094593/img/06fzgf2jQfNHh4E2.jpg</t>
  </si>
  <si>
    <t>https://t.co/stlTip7VbE https://pbs.twimg.com/media/FxoLjcPWwAAcJlU.jpg</t>
  </si>
  <si>
    <t>https://t.co/pyYCrcU9mD https://pbs.twimg.com/media/FxjlyprXgAA_ySY.jpg</t>
  </si>
  <si>
    <t>https://t.co/tf79aZjP8T https://pbs.twimg.com/media/F1vh2yxWAAQAkPK.png</t>
  </si>
  <si>
    <t>https://t.co/DrBeV4k2FC https://pbs.twimg.com/media/F0Q8ufgXwAE_AtV.png</t>
  </si>
  <si>
    <t>https://t.co/GyuhdCQCAP https://pbs.twimg.com/ext_tw_video_thumb/1671900274384830466/pu/img/Xt7-ZDgSCPKP-ZcS.jpg</t>
  </si>
  <si>
    <t>https://t.co/l3tOMHsauD https://pbs.twimg.com/ext_tw_video_thumb/1668641332481478659/pu/img/5rNxPMGLBU7mCUXp.jpg</t>
  </si>
  <si>
    <t>https://t.co/ZNgwIzgEBv https://pbs.twimg.com/ext_tw_video_thumb/1668636065484402690/pu/img/3lyjJiMEfDXitT5m.jpg</t>
  </si>
  <si>
    <t>https://t.co/zRQKne4etE https://pbs.twimg.com/ext_tw_video_thumb/1671204485392211968/pu/img/LagwFa1xtP8KluUJ.jpg</t>
  </si>
  <si>
    <t>https://t.co/QGowS2GUII https://pbs.twimg.com/ext_tw_video_thumb/1671183915300667394/pu/img/uQBFJs4dEd5KdB1N.jpg</t>
  </si>
  <si>
    <t>https://t.co/NpEs3KX4MX https://pbs.twimg.com/ext_tw_video_thumb/1671178626924965890/pu/img/PyrNy0sA3gv1Tizk.jpg</t>
  </si>
  <si>
    <t>https://t.co/pzFpwZ1riG https://pbs.twimg.com/ext_tw_video_thumb/1662112987518234624/pu/img/VTsB37SWFOa9h3gh.jpg</t>
  </si>
  <si>
    <t>https://t.co/39PK7r7NtY https://pbs.twimg.com/media/F4DPm4dWcAAh2xe.jpg</t>
  </si>
  <si>
    <t>https://t.co/0hBypbtr82 https://pbs.twimg.com/media/FxRxdM6XsAE5ape.jpg</t>
  </si>
  <si>
    <t>https://t.co/CTLFIwiecu https://pbs.twimg.com/media/FwVFpcLWIAAy8QU.png</t>
  </si>
  <si>
    <t>https://t.co/CckGiiteYh https://pbs.twimg.com/media/FwUBBkeWAAMEFah.jpg</t>
  </si>
  <si>
    <t>https://t.co/9mgmdp1nfp https://pbs.twimg.com/media/FziSUTvWcAA7vk7.jpg</t>
  </si>
  <si>
    <t>https://t.co/HTeytSjZNp https://pbs.twimg.com/media/F1-cFydWAAElVAF.jpg</t>
  </si>
  <si>
    <t>https://t.co/EEJcnPJxup https://pbs.twimg.com/media/FyrzgNjWwAY9LFT.jpg</t>
  </si>
  <si>
    <t>https://t.co/0dGFFxlebB https://pbs.twimg.com/media/FyrrSCdWYAElAMD.jpg</t>
  </si>
  <si>
    <t>https://t.co/XrLVuOBZC2 https://pbs.twimg.com/media/FyrNLtXWIAUk4o0.jpg</t>
  </si>
  <si>
    <t>https://t.co/w2SMwbrQ3k https://pbs.twimg.com/media/Fybt5mRXwAIWfIQ.jpg</t>
  </si>
  <si>
    <t>https://t.co/7KsLtFBBIR https://pbs.twimg.com/media/F5Q67DGXsAAr6-s.jpg</t>
  </si>
  <si>
    <t>https://t.co/tbDPhoZB6Z https://pbs.twimg.com/media/FzKsZ8YXoA0Sc-U.jpg</t>
  </si>
  <si>
    <t>https://t.co/c2ozVGv9Pr https://pbs.twimg.com/media/FxcaEvuWIAAaEf1.jpg</t>
  </si>
  <si>
    <t>https://t.co/ZFFC6vkVFy https://pbs.twimg.com/media/FyGsrUjaUAIhnSM.jpg</t>
  </si>
  <si>
    <t>https://t.co/mLbVb9BrFS https://pbs.twimg.com/media/F2XnLkBW4AAczTp.jpg</t>
  </si>
  <si>
    <t>https://t.co/WmnhniuJlh https://pbs.twimg.com/media/F4U1GkMWkAAZ0gR.jpg</t>
  </si>
  <si>
    <t>https://t.co/vZULcg06bk https://pbs.twimg.com/media/FyqxVzxaEAQ7cay.jpg</t>
  </si>
  <si>
    <t>https://t.co/N3cjqRmixf https://pbs.twimg.com/media/FwvLZ-NXoAMjy4h.jpg</t>
  </si>
  <si>
    <t>https://t.co/E0JjBhg5s6 https://pbs.twimg.com/media/F7DtHUiWMAAlI0G.jpg</t>
  </si>
  <si>
    <t>https://t.co/SVu49Oyb9T https://pbs.twimg.com/media/F2DRTOiaEAEf13U.jpg</t>
  </si>
  <si>
    <t>https://t.co/8wyVuheXnH https://pbs.twimg.com/media/F0ByZMdXsAAC7y5.jpg</t>
  </si>
  <si>
    <t>https://t.co/cZnFew1l82 https://pbs.twimg.com/media/Fz2Kg65WIAEcpj9.jpg</t>
  </si>
  <si>
    <t>https://t.co/i8UBNmeqNe https://pbs.twimg.com/media/F31InOGXUAAJhN9.jpg</t>
  </si>
  <si>
    <t>https://t.co/dqlqqq0RZE https://pbs.twimg.com/media/FydSgQEWwAAgUrC.jpg</t>
  </si>
  <si>
    <t>https://t.co/lMFZj8107a https://pbs.twimg.com/media/Fybrg5ZWwAEDYwr.jpg</t>
  </si>
  <si>
    <t>https://t.co/OnCJtEYB5J https://pbs.twimg.com/media/FzQXAo1WIAQ2VUw.jpg</t>
  </si>
  <si>
    <t>https://t.co/QAwARBcQ7o https://pbs.twimg.com/ext_tw_video_thumb/1689991865351696385/pu/img/qjo0Z8-1tqShO5mp.jpg</t>
  </si>
  <si>
    <t>https://t.co/Cyu7f9a8WR https://pbs.twimg.com/media/F5Wv-UnWoAENni3.jpg</t>
  </si>
  <si>
    <t>https://t.co/WpPbYSiJCl https://pbs.twimg.com/tweet_video_thumb/F3ct7UsXoAARYcB.jpg</t>
  </si>
  <si>
    <t>https://t.co/3epBQnzz26 https://pbs.twimg.com/ext_tw_video_thumb/1671698184999952384/pu/img/6Gp_ZL5oLzz06l6C.jpg</t>
  </si>
  <si>
    <t>https://t.co/qccjOOkPcC https://pbs.twimg.com/ext_tw_video_thumb/1655682200447201281/pu/img/j0wMlHbivDaSH0MR.jpg</t>
  </si>
  <si>
    <t>https://t.co/JNJ5AU19kh https://pbs.twimg.com/media/FxeZ8fgXoAA7GDT.jpg</t>
  </si>
  <si>
    <t>https://t.co/ruDVWVer4f https://t.co/ruDVWVer4f https://t.co/ruDVWVer4f https://pbs.twimg.com/media/FzM4lelXoAAuuW2.jpg https://pbs.twimg.com/media/FzM4lt9WcAA2yql.jpg https://pbs.twimg.com/media/FzM4l77WwAAnfDQ.jpg</t>
  </si>
  <si>
    <t>https://t.co/8KKMtwRbTQ https://t.co/8KKMtwRbTQ https://pbs.twimg.com/media/FxvplQyWcAEqIpP.jpg https://pbs.twimg.com/media/FxvplfmWYAEy6BU.jpg</t>
  </si>
  <si>
    <t>https://t.co/a3ZPAX8AeZ https://t.co/a3ZPAX8AeZ https://pbs.twimg.com/media/FzWDpIjXoAEeekz.jpg https://pbs.twimg.com/media/FzWDpVnXwAAbXkp.jpg</t>
  </si>
  <si>
    <t>https://t.co/u3aIHp0SV3 https://t.co/u3aIHp0SV3 https://t.co/u3aIHp0SV3 https://pbs.twimg.com/media/F017jF6XoAEomG5.jpg https://pbs.twimg.com/media/F017jztX0AEQY1t.jpg https://pbs.twimg.com/media/F017lzTX0AEsFED.jpg</t>
  </si>
  <si>
    <t>https://t.co/EmGO4Ghxhd https://pbs.twimg.com/media/Fs00y2PXsAAOBtG.jpg</t>
  </si>
  <si>
    <t>https://t.co/Djto7EBQ9j https://t.co/Djto7EBQ9j https://pbs.twimg.com/media/FyEwHo9WIAE9EAb.jpg https://pbs.twimg.com/media/FyEwHy4WwAALU8M.jpg</t>
  </si>
  <si>
    <t>https://t.co/qZEayX55nw https://pbs.twimg.com/media/Fy2H_QqWcAEVceg.jpg</t>
  </si>
  <si>
    <t>https://t.co/yVmEnDOfH0 https://t.co/yVmEnDOfH0 https://t.co/yVmEnDOfH0 https://pbs.twimg.com/media/FzAxgS0WcAETG2U.jpg https://pbs.twimg.com/media/FzAxgwxWcA84wOI.jpg https://pbs.twimg.com/media/FzAxhgNWcAsZP6i.jpg</t>
  </si>
  <si>
    <t>https://t.co/O1TjZvFWFR https://t.co/O1TjZvFWFR https://t.co/O1TjZvFWFR https://t.co/O1TjZvFWFR https://pbs.twimg.com/media/Fv7yS-RWIAUY7N1.jpg https://pbs.twimg.com/media/Fv7yTHxWAAcgR2Y.jpg https://pbs.twimg.com/media/Fv7yTWwWcAEVxEO.jpg https://pbs.twimg.com/media/Fv7yThxWAAQBypf.jpg</t>
  </si>
  <si>
    <t>https://t.co/VLBpCG07Rt https://t.co/VLBpCG07Rt https://pbs.twimg.com/media/FztoovgX0AMqndo.jpg https://pbs.twimg.com/media/Fztoo8ZXoAA8Lcx.jpg</t>
  </si>
  <si>
    <t>https://t.co/yyc1tCMCJ8 https://t.co/yyc1tCMCJ8 https://t.co/yyc1tCMCJ8 https://pbs.twimg.com/media/FxPUqnPXsAAceSG.jpg https://pbs.twimg.com/media/FxPUq2MXwAAVByT.jpg https://pbs.twimg.com/media/FxPUrBxWwAc4kpQ.jpg</t>
  </si>
  <si>
    <t>https://t.co/q5vsV1LdDK https://pbs.twimg.com/media/F3Arc0rW0AEiAeT.jpg</t>
  </si>
  <si>
    <t>https://t.co/9JP4dc5uvv https://pbs.twimg.com/media/FveEryEWAAEkEb8.jpg</t>
  </si>
  <si>
    <t>https://t.co/elkWXxQKjf https://pbs.twimg.com/media/FvPWR2tXsAAA1I3.jpg</t>
  </si>
  <si>
    <t>https://t.co/1mmejrDNI9 https://pbs.twimg.com/media/Fxocsn6WAAckB5T.jpg</t>
  </si>
  <si>
    <t>https://t.co/cVIkq17696 https://pbs.twimg.com/media/F4pJxjWXcAAvJF2.jpg</t>
  </si>
  <si>
    <t>https://t.co/IbPFGcVPCI https://pbs.twimg.com/media/F0MpzJSWIAAKGF4.jpg</t>
  </si>
  <si>
    <t>https://t.co/5TmkQDhSR8 https://pbs.twimg.com/media/F5wp_-sXEAALBwC.jpg</t>
  </si>
  <si>
    <t>https://t.co/Gw4fPvy4XJ https://pbs.twimg.com/media/F1fyAWWWIAEnrLh.jpg</t>
  </si>
  <si>
    <t>https://t.co/TW03cCeGAg https://pbs.twimg.com/media/F56Y5L7XQAEDUCh.jpg</t>
  </si>
  <si>
    <t>https://t.co/vJ4LmrUEwY https://pbs.twimg.com/media/F1znzp6WIAMf-nC.jpg</t>
  </si>
  <si>
    <t>https://t.co/UKHplhTZOX https://pbs.twimg.com/media/FyhqzbIXoAIHlow.jpg</t>
  </si>
  <si>
    <t>https://t.co/MxTfCR54lh https://pbs.twimg.com/media/Fvsh0uZaYAI_rpj.jpg</t>
  </si>
  <si>
    <t>https://t.co/KguLpdpcht https://pbs.twimg.com/ext_tw_video_thumb/1702352924209270784/pu/img/Rx3LHO-wFdGmlPY1.jpg</t>
  </si>
  <si>
    <t>https://t.co/YRTldvgqW0 https://pbs.twimg.com/media/Fz4VnrnWYAM6qZA.jpg</t>
  </si>
  <si>
    <t>https://t.co/frUl4dLCWI https://pbs.twimg.com/media/FwanpUJakAMXMnx.jpg</t>
  </si>
  <si>
    <t>https://t.co/1Co2UoIekh https://pbs.twimg.com/media/F3gESmdWEAAOWvA.jpg</t>
  </si>
  <si>
    <t>https://t.co/8kgMHbtO5I https://pbs.twimg.com/ext_tw_video_thumb/1657566707601358848/pu/img/WdZF7kbpBU2RRxdY.jpg</t>
  </si>
  <si>
    <t>https://t.co/7Zg7hClygI https://t.co/7Zg7hClygI https://t.co/7Zg7hClygI https://t.co/7Zg7hClygI https://pbs.twimg.com/media/FyBoVZpX0AAKZ97.jpg https://pbs.twimg.com/media/FyBoVxGXgAQSNzE.jpg https://pbs.twimg.com/media/FyBoV_aWIAAOHga.jpg https://pbs.twimg.com/media/FyBoWJOXoAA8zyC.jpg</t>
  </si>
  <si>
    <t>https://t.co/573kDbI8Ik https://t.co/573kDbI8Ik https://t.co/573kDbI8Ik https://t.co/573kDbI8Ik https://pbs.twimg.com/media/FwxKfDCXoAcAeUp.jpg https://pbs.twimg.com/media/FwxKfC7XoA06YrC.jpg https://pbs.twimg.com/media/FwxKfC6WwAM8gOe.jpg https://pbs.twimg.com/media/FwxKfDBXoAA9Y3n.jpg</t>
  </si>
  <si>
    <t>https://t.co/xRu3vJsKF6 https://t.co/xRu3vJsKF6 https://t.co/xRu3vJsKF6 https://t.co/xRu3vJsKF6 https://pbs.twimg.com/media/F4VU2agW8AARON8.jpg https://pbs.twimg.com/media/F4VU2afWAAEasfK.jpg https://pbs.twimg.com/media/F4VU2tyXQAA9-Vd.jpg https://pbs.twimg.com/media/F4VU2twXYAAG9g2.jpg</t>
  </si>
  <si>
    <t>https://t.co/4YEoI9kjcc https://pbs.twimg.com/media/Fw0OmjgXgAAeGtg.png</t>
  </si>
  <si>
    <t>https://t.co/KfV4Bi794V https://pbs.twimg.com/media/Fzurc50WAAEOQKd.png</t>
  </si>
  <si>
    <t>https://t.co/uRLkj6alrb https://pbs.twimg.com/media/F4Dzg9rXoAI2Y1C.png</t>
  </si>
  <si>
    <t>https://t.co/WXEB4wKJXa https://pbs.twimg.com/media/F4DvQCUXMAEJOhs.png</t>
  </si>
  <si>
    <t>https://t.co/YUioLxA737 https://pbs.twimg.com/media/F0dXic2WAAUL164.png</t>
  </si>
  <si>
    <t>https://t.co/sToe4eYVlL https://pbs.twimg.com/media/FxdVa_9WIAEweiO.png</t>
  </si>
  <si>
    <t>https://t.co/II90qSWR1V https://pbs.twimg.com/media/F4X8lkiXEAATO9k.png</t>
  </si>
  <si>
    <t>https://t.co/w5WiGiwtN8 https://pbs.twimg.com/media/F5a-cdyXAAA9RR8.png</t>
  </si>
  <si>
    <t>https://t.co/BVYi9vOLeD https://pbs.twimg.com/media/Fx-NaRPWYAsBKVS.png</t>
  </si>
  <si>
    <t>https://t.co/f4cdaA95e9 https://pbs.twimg.com/media/FxuwotMXoAEjVzA.png</t>
  </si>
  <si>
    <t>https://t.co/Fp15EEbRTn https://pbs.twimg.com/media/FyF7zL-X0AA_Blu.png</t>
  </si>
  <si>
    <t>https://t.co/bSoglqovnU https://pbs.twimg.com/media/Fxi3ZLaaQAA52Rm.jpg</t>
  </si>
  <si>
    <t>https://t.co/K2XGjIE98w https://pbs.twimg.com/media/FxdzE5lWYAQbP84.jpg</t>
  </si>
  <si>
    <t>https://t.co/In5LrxOlWJ https://pbs.twimg.com/media/F3f9YSSXEAA-FQl.jpg</t>
  </si>
  <si>
    <t>https://t.co/wd0cgTFap3 https://t.co/wd0cgTFap3 https://pbs.twimg.com/media/F6Sny_oXsAAi1cK.png https://pbs.twimg.com/media/F6SnzHPXgAARUr_.jpg</t>
  </si>
  <si>
    <t>https://t.co/xgOjC9cvhz https://pbs.twimg.com/media/F1bMMPHWAAc8xgB.jpg</t>
  </si>
  <si>
    <t>https://t.co/7M66AWLAQz https://pbs.twimg.com/media/Fz4a0-CWIAAS8zi.jpg</t>
  </si>
  <si>
    <t>https://t.co/VGf2SVEmsu https://pbs.twimg.com/media/F047VC0WIAcm6OZ.jpg</t>
  </si>
  <si>
    <t>https://t.co/KanRaTZgqx https://pbs.twimg.com/media/F0KY5-UXoAAn3Zj.jpg</t>
  </si>
  <si>
    <t>https://t.co/eI61q3f3cU https://pbs.twimg.com/media/F53gQG8XcAET9GC.jpg</t>
  </si>
  <si>
    <t>https://t.co/4edGrCR72X https://pbs.twimg.com/ext_tw_video_thumb/1685671252835364864/pu/img/4ER-DJiQRkkGXypR.jpg</t>
  </si>
  <si>
    <t>https://t.co/yFAjJatgbB https://pbs.twimg.com/ext_tw_video_thumb/1685670949985615872/pu/img/4-NSPD3MBLXVTwnj.jpg</t>
  </si>
  <si>
    <t>https://t.co/xMgWVKpHbQ https://pbs.twimg.com/ext_tw_video_thumb/1685670772348477440/pu/img/6eFmZ-DuxP5_UGN6.jpg</t>
  </si>
  <si>
    <t>https://t.co/gBtyj1Mb1j https://pbs.twimg.com/ext_tw_video_thumb/1665374961413009408/pu/img/pc6ZwFfHEYIB2sDv.jpg</t>
  </si>
  <si>
    <t>https://t.co/vUjLwto0eb https://pbs.twimg.com/media/Fwf-aK0XoAE0aVB.jpg</t>
  </si>
  <si>
    <t>https://t.co/axSvwrYVIX https://pbs.twimg.com/ext_tw_video_thumb/1680283162138509312/pu/img/hbOeLk1Se37f9uXC.jpg</t>
  </si>
  <si>
    <t>https://t.co/L7IGwxWIzQ https://pbs.twimg.com/media/F1eTQVPXgAAneTJ.jpg</t>
  </si>
  <si>
    <t>https://t.co/DtcFIND5y3 https://t.co/DtcFIND5y3 https://t.co/DtcFIND5y3 https://pbs.twimg.com/media/F32LkwpWcAAm1_O.jpg https://pbs.twimg.com/media/F32LmgdXMAEo2ds.png https://pbs.twimg.com/media/F32LnVIW4AQP8_w.png</t>
  </si>
  <si>
    <t>https://t.co/Yajk5E9OBg https://pbs.twimg.com/media/FvmMBJ3XwAEVC1j.jpg</t>
  </si>
  <si>
    <t>https://t.co/dH7RcZmr7Y https://pbs.twimg.com/media/FwMjh4-XwAAetZm.jpg</t>
  </si>
  <si>
    <t>https://t.co/mECBbVvZU6 https://pbs.twimg.com/media/F3MSY7nXsAAg1LB.png</t>
  </si>
  <si>
    <t>https://t.co/Ic5GRJVKSe https://pbs.twimg.com/media/FzT3cCoX0AA5326.jpg</t>
  </si>
  <si>
    <t>https://t.co/SK8M0AxDlN https://pbs.twimg.com/media/F3FbwQ7WgAAivKs.jpg</t>
  </si>
  <si>
    <t>https://t.co/W4boqyGgeq https://pbs.twimg.com/media/F5QoHdxXQAAO35G.jpg</t>
  </si>
  <si>
    <t>https://t.co/PiG3hS870Y https://pbs.twimg.com/media/F2m_3GpXQAANJwP.jpg</t>
  </si>
  <si>
    <t>https://t.co/6U6qHITrX8 https://pbs.twimg.com/media/F6AJdo9XMAECupF.jpg</t>
  </si>
  <si>
    <t>https://t.co/VNYfKlAyg8 https://pbs.twimg.com/ext_tw_video_thumb/1662106591112450051/pu/img/Tx95L2WNWRLRll4r.jpg</t>
  </si>
  <si>
    <t>https://t.co/EuaeR7RPyD https://t.co/EuaeR7RPyD https://t.co/EuaeR7RPyD https://pbs.twimg.com/media/FxjdfLrXwBsBSLv.jpg https://pbs.twimg.com/media/FxjdhkMXwBcr64t.jpg https://pbs.twimg.com/media/FxjdhknXwCQGbvT.jpg</t>
  </si>
  <si>
    <t>https://t.co/0rledhp8Hp https://pbs.twimg.com/media/FxZZOkfXwAA1MuP.jpg</t>
  </si>
  <si>
    <t>https://t.co/lsgxtQs4Tx https://pbs.twimg.com/ext_tw_video_thumb/1695298001546457090/pu/img/ylRQ4i3XoNHQSgUw.jpg</t>
  </si>
  <si>
    <t>https://t.co/isVAa1RQuH https://pbs.twimg.com/media/FxAHRNBWIBYJtCh.jpg</t>
  </si>
  <si>
    <t>https://t.co/ZUIzViuOXa https://pbs.twimg.com/media/F0wJGhyXgAAGPHV.jpg</t>
  </si>
  <si>
    <t>https://t.co/BqngASpneh https://pbs.twimg.com/media/F7BzT3NXEAAT7MG.jpg</t>
  </si>
  <si>
    <t>https://t.co/fhnfFEv0lJ https://pbs.twimg.com/media/FxgoX8MXwAApb8Z.jpg</t>
  </si>
  <si>
    <t>https://t.co/ZuHy2vL7Nq https://pbs.twimg.com/ext_tw_video_thumb/1697230773311385600/pu/img/aml1O71CLiQMLvXZ.jpg</t>
  </si>
  <si>
    <t>https://t.co/tjQo7HvR9e https://pbs.twimg.com/media/F43AT6mWcAArRvz.jpg</t>
  </si>
  <si>
    <t>https://t.co/AtSdSobYZY https://pbs.twimg.com/media/FvTkafrX0A8VwBb.jpg</t>
  </si>
  <si>
    <t>https://t.co/2kCbEXjjdg https://pbs.twimg.com/media/FyDEtAvWAAEdtzu.jpg</t>
  </si>
  <si>
    <t>https://t.co/5h6EUXU7Jd https://pbs.twimg.com/media/Fv7YWdLXwAErO47.jpg</t>
  </si>
  <si>
    <t>https://t.co/6XzXm9MKcI https://pbs.twimg.com/media/FvyjpZQWcAUU-7-.jpg</t>
  </si>
  <si>
    <t>https://t.co/0UKUBf0Rg9 https://pbs.twimg.com/media/F5M3UqWWQAA4sBR.jpg</t>
  </si>
  <si>
    <t>https://t.co/LlsoFP25m2 https://pbs.twimg.com/media/F3MpDFSWgAQQ_Hq.jpg</t>
  </si>
  <si>
    <t>https://t.co/ByWABobYPN https://pbs.twimg.com/media/F3SJhFBXgAAItT8.jpg</t>
  </si>
  <si>
    <t>https://t.co/Fbhl0zFAwj https://pbs.twimg.com/media/F2pLDUBWIAA6wxE.jpg</t>
  </si>
  <si>
    <t>https://t.co/4AoU6PeXmK https://pbs.twimg.com/media/F3mOWT7XUAAYLIE.jpg</t>
  </si>
  <si>
    <t>https://t.co/cvjCF20zhd https://pbs.twimg.com/media/F3rWDd7XYAAg7CG.jpg</t>
  </si>
  <si>
    <t>https://t.co/RGroyiNmL7 https://pbs.twimg.com/media/F3Hox7uWwAAZBwC.jpg</t>
  </si>
  <si>
    <t>https://t.co/4iELcG8736 https://pbs.twimg.com/media/F2efHpJbQAARNNh.jpg</t>
  </si>
  <si>
    <t>https://t.co/Ih33KjWLcp https://pbs.twimg.com/media/F7I3mcyXwAAOT1o.jpg</t>
  </si>
  <si>
    <t>https://t.co/4ca3uVtqMr https://pbs.twimg.com/media/F54d69TXcAAcmA1.jpg</t>
  </si>
  <si>
    <t>https://t.co/Pmk2Vm3W4h https://pbs.twimg.com/media/F0Ds-W5XoAAig54.jpg</t>
  </si>
  <si>
    <t>https://t.co/CVOeEzKmp2 https://pbs.twimg.com/media/F0Cc50YXwAEeJ3c.jpg</t>
  </si>
  <si>
    <t>https://t.co/oO1vPiR5w1 https://pbs.twimg.com/media/F3k8vUqaEAAsyUD.jpg</t>
  </si>
  <si>
    <t>https://t.co/q1KiDKR7RN https://pbs.twimg.com/media/FybG30_WIAMxzLr.jpg</t>
  </si>
  <si>
    <t>https://t.co/55B4N5HLPm https://pbs.twimg.com/media/F27tr47XMAAn0Lz.jpg</t>
  </si>
  <si>
    <t>https://t.co/Si70AaZd0O https://pbs.twimg.com/media/F3fvt8zWgAExuAp.jpg</t>
  </si>
  <si>
    <t>https://t.co/44SmIlEDQh https://pbs.twimg.com/media/F0rQ7v1WwAI4wiM.jpg</t>
  </si>
  <si>
    <t>https://t.co/ONTfnTMUc4 https://pbs.twimg.com/media/FxTEkaqWYAIPLxE.jpg</t>
  </si>
  <si>
    <t>https://t.co/bO89AQs191 https://pbs.twimg.com/media/FwK62U-XgAA5aQT.jpg</t>
  </si>
  <si>
    <t>https://t.co/WAPT32fcLg https://pbs.twimg.com/media/F4Di73PWkAADDQZ.jpg</t>
  </si>
  <si>
    <t>https://t.co/0oke0ziPp5 https://pbs.twimg.com/media/FzjIFd3WYAEj4-f.jpg</t>
  </si>
  <si>
    <t>https://t.co/zWYPS2UoL2 https://pbs.twimg.com/media/Fvm2DmlWwAApxYY.jpg</t>
  </si>
  <si>
    <t>https://t.co/RLdc5J85iz https://pbs.twimg.com/media/F4nwfxnWoAAQLeW.jpg</t>
  </si>
  <si>
    <t>https://t.co/wMtk8ir1Ee https://pbs.twimg.com/media/Fwu-InlWYAE0a5t.jpg</t>
  </si>
  <si>
    <t>https://t.co/6VoQy77JSP https://pbs.twimg.com/media/F5vkWYqWwAAKukA.jpg</t>
  </si>
  <si>
    <t>https://t.co/5zQXCtQNxy https://pbs.twimg.com/media/F5Lln7iWYAA91IC.jpg</t>
  </si>
  <si>
    <t>https://t.co/3YfsmutiYG https://pbs.twimg.com/media/F6TwfOjXkAA5kae.jpg</t>
  </si>
  <si>
    <t>https://t.co/9ALvcZXl3d https://pbs.twimg.com/media/F2XhlDzXkAANloY.jpg</t>
  </si>
  <si>
    <t>https://t.co/uDkW8cpQ0G https://pbs.twimg.com/media/F63z-TFXsAATFCp.jpg</t>
  </si>
  <si>
    <t>https://t.co/hvSACjkPp0 https://pbs.twimg.com/media/F0HR5ZkWYAABZbM.jpg</t>
  </si>
  <si>
    <t>https://t.co/bzQcu109U9 https://pbs.twimg.com/media/Fy--HCmWAAUY07-.jpg</t>
  </si>
  <si>
    <t>https://t.co/d85iY87FrS https://pbs.twimg.com/media/FwMcAWCXoAM4w5d.jpg</t>
  </si>
  <si>
    <t>https://t.co/nNbNb7YDiB https://pbs.twimg.com/media/F2cFqikWAAAL-t9.png</t>
  </si>
  <si>
    <t>https://t.co/WzLhVZwxNF https://pbs.twimg.com/media/F1P-PWwXsAAQyZg.jpg</t>
  </si>
  <si>
    <t>https://t.co/3ziWK9Kj3l https://pbs.twimg.com/media/F2nWYHKbkAAZPZl.jpg</t>
  </si>
  <si>
    <t>https://t.co/EHtvezR8J0 https://pbs.twimg.com/media/F4OmM6RWEAAbGCA.jpg</t>
  </si>
  <si>
    <t>https://t.co/HaUva7CMiT https://pbs.twimg.com/ext_tw_video_thumb/1676316683605012480/pu/img/KB_ipJzj-jFILESI.jpg</t>
  </si>
  <si>
    <t>https://t.co/9g1hsQsthp https://t.co/9g1hsQsthp https://t.co/9g1hsQsthp https://t.co/9g1hsQsthp https://pbs.twimg.com/media/FzVfz3dWYAA0L0-.jpg https://pbs.twimg.com/media/FzVfz3kX0Ag7GFJ.jpg https://pbs.twimg.com/media/FzVfz3iWAAAMOzq.jpg https://pbs.twimg.com/media/FzVfz3kWIAAsaZS.jpg</t>
  </si>
  <si>
    <t>https://t.co/5lB1ll77k4 https://pbs.twimg.com/media/FvOOZycWwAMmLMO.jpg</t>
  </si>
  <si>
    <t>https://t.co/z2puwglbWK https://pbs.twimg.com/media/FzpZ09vWIAo5Nr9.jpg</t>
  </si>
  <si>
    <t>https://t.co/kIUop3ufP1 https://pbs.twimg.com/media/F0SOpTFWcAIgrke.png</t>
  </si>
  <si>
    <t>https://t.co/UieFmQMal2 https://t.co/UieFmQMal2 https://t.co/UieFmQMal2 https://t.co/UieFmQMal2 https://pbs.twimg.com/media/FzBOpI8WAAopRsi.jpg https://pbs.twimg.com/media/FzBOpI-X0AAiH7q.jpg https://pbs.twimg.com/media/FzBOpLOWAAQjCXc.jpg https://pbs.twimg.com/media/FzBOpI7XoAI-pk3.jpg</t>
  </si>
  <si>
    <t>https://t.co/vGixuv52qH https://pbs.twimg.com/media/F6p6_sYWMAAyoo4.png</t>
  </si>
  <si>
    <t>https://t.co/v2DIriB6ho https://pbs.twimg.com/media/FvtgZVPXoAQTM6M.jpg</t>
  </si>
  <si>
    <t>https://t.co/APZTfDEdC8 https://pbs.twimg.com/media/FwhN9-XWYAAa6f5.jpg</t>
  </si>
  <si>
    <t>https://t.co/KmATSUqwRA https://pbs.twimg.com/media/FzfhPeAWAAEz1Gf.jpg</t>
  </si>
  <si>
    <t>https://t.co/MP2D0NETT5 https://pbs.twimg.com/media/F2jKn6UWQAAHEzP.jpg</t>
  </si>
  <si>
    <t>https://t.co/8G7Ca3SkDI https://pbs.twimg.com/media/F2KvQKsXAAIJH5Q.jpg</t>
  </si>
  <si>
    <t>https://t.co/deONzgVKER https://pbs.twimg.com/media/F0ZnOmkXgAA9cpZ.jpg</t>
  </si>
  <si>
    <t>https://t.co/RJVsHEE87J https://pbs.twimg.com/media/FymRsh4XoAgFcBK.jpg</t>
  </si>
  <si>
    <t>https://t.co/igfUkn0dZU https://pbs.twimg.com/media/Fw-1woYaIAAqJNn.png</t>
  </si>
  <si>
    <t>https://t.co/Mj7iEfd2zz https://pbs.twimg.com/media/FxjNF1QXoAEpNip.jpg</t>
  </si>
  <si>
    <t>https://t.co/zGiu471pFT https://pbs.twimg.com/ext_tw_video_thumb/1691783571248160768/pu/img/dvXKFwS8zAONekRm.jpg</t>
  </si>
  <si>
    <t>https://t.co/1PuDhK3UOo https://pbs.twimg.com/ext_tw_video_thumb/1673821496949497857/pu/img/-TIljgDpCc_lQemb.jpg</t>
  </si>
  <si>
    <t>https://t.co/zjAn6pfgm1 https://pbs.twimg.com/media/FvM9R8hWwAAGRFq.jpg</t>
  </si>
  <si>
    <t>https://t.co/jzUbIfuPYi https://pbs.twimg.com/media/FzFW8TjXoAEebQG.jpg</t>
  </si>
  <si>
    <t>https://t.co/e87Pftgst7 https://pbs.twimg.com/media/Fw05U_xXgAYXzgM.jpg</t>
  </si>
  <si>
    <t>https://t.co/4Vm1RcXLWE https://pbs.twimg.com/ext_tw_video_thumb/1691109634050781184/pu/img/1ul0FpkId7qg2MRI.jpg</t>
  </si>
  <si>
    <t>https://t.co/vNvSLLFuZK https://pbs.twimg.com/media/FwmwUzFXgAEkvqS.jpg</t>
  </si>
  <si>
    <t>https://t.co/usc5nkaqkE https://pbs.twimg.com/media/F3iXNdeWMAAkZZ_.jpg</t>
  </si>
  <si>
    <t>https://t.co/MXkrJLOnqr https://pbs.twimg.com/media/F0YC8C-WAAEjCod.jpg</t>
  </si>
  <si>
    <t>https://t.co/c0LAOI7oEX https://pbs.twimg.com/media/F5WIjTrWsAEkRjB.jpg</t>
  </si>
  <si>
    <t>https://t.co/7K3OGmAt6H https://pbs.twimg.com/ext_tw_video_thumb/1691268980504244224/pu/img/ehFjWAnQsU6q_MaM.jpg</t>
  </si>
  <si>
    <t>https://t.co/9Ygttg7ixv https://pbs.twimg.com/ext_tw_video_thumb/1676215389397590019/pu/img/T-_5FN_LHEG-eXXo.jpg</t>
  </si>
  <si>
    <t>https://t.co/Lvbm8FPiC0 https://pbs.twimg.com/media/FwGZ5XHWcAIxxy6.jpg</t>
  </si>
  <si>
    <t>https://t.co/RaoIIhR8qg https://pbs.twimg.com/media/FzVpSOmXwAEyob3.jpg</t>
  </si>
  <si>
    <t>https://t.co/uN2UlE9SPo https://pbs.twimg.com/media/F29LhCkXYAEBf7o.jpg</t>
  </si>
  <si>
    <t>https://t.co/vznHRX39Dm https://pbs.twimg.com/media/FxkLMJ1XwAIK1S-.jpg</t>
  </si>
  <si>
    <t>https://t.co/UR7GV4q9ES https://pbs.twimg.com/media/Fz656y3XwAAqFK-.jpg</t>
  </si>
  <si>
    <t>https://t.co/AfSBVgQQF3 https://pbs.twimg.com/media/FzBil8oXoAElUC-.jpg</t>
  </si>
  <si>
    <t>https://t.co/cHGBdVUBWw https://pbs.twimg.com/media/FzBIlrtXsAIGZyr.jpg</t>
  </si>
  <si>
    <t>https://t.co/VMPutoGFRk https://pbs.twimg.com/media/F1sDSMRXgAAtzLJ.jpg</t>
  </si>
  <si>
    <t>https://t.co/jZZ6XBldgS https://pbs.twimg.com/media/F2ZgQEoXAAATGE7.jpg</t>
  </si>
  <si>
    <t>https://t.co/ngUzUHN6zF https://pbs.twimg.com/media/F0JMwRjWcAAR9sp.jpg</t>
  </si>
  <si>
    <t>https://t.co/QSn7QsgKgN https://pbs.twimg.com/media/F5Swhd4WkAA95rx.jpg</t>
  </si>
  <si>
    <t>https://t.co/vHUBtXanCJ https://pbs.twimg.com/media/Fz0TNJ3WYAAVvnH.jpg</t>
  </si>
  <si>
    <t>https://t.co/yuQdgOKi5e https://pbs.twimg.com/media/F5gdLHnXMAAQ0l1.jpg</t>
  </si>
  <si>
    <t>https://t.co/cLJU4SQ9dd https://pbs.twimg.com/media/F44WUUfWsAA2PF6.jpg</t>
  </si>
  <si>
    <t>https://t.co/jdRUv22LOW https://pbs.twimg.com/ext_tw_video_thumb/1661820239565209601/pu/img/aO28aMVtN6cRxWmt.jpg</t>
  </si>
  <si>
    <t>https://t.co/NCYcLby6lP https://pbs.twimg.com/media/FzFc3CSWAAEkeVP.jpg</t>
  </si>
  <si>
    <t>https://t.co/9tLu6fNZuh https://pbs.twimg.com/media/FzFcnSPWABQ0H4t.jpg</t>
  </si>
  <si>
    <t>https://t.co/KzcCZeXeVs https://pbs.twimg.com/media/FzFcPn5WAAUnMxr.jpg</t>
  </si>
  <si>
    <t>https://t.co/sgsubqJpSr https://pbs.twimg.com/media/Fw2jXw_X0AIKORL.jpg</t>
  </si>
  <si>
    <t>https://t.co/VVVnGtQeQr https://pbs.twimg.com/media/FvSsXhgXgAAgRF5.jpg</t>
  </si>
  <si>
    <t>https://t.co/RE4wVsIOZ9 https://pbs.twimg.com/media/FvntybbXsBQvPzm.jpg</t>
  </si>
  <si>
    <t>https://t.co/DLUd9ta9g5 https://pbs.twimg.com/media/FyDR3LnXwAMGQYf.jpg</t>
  </si>
  <si>
    <t>https://t.co/SryAXJB7rD https://pbs.twimg.com/media/Fyr3qtYWwA0XDz6.jpg</t>
  </si>
  <si>
    <t>https://t.co/UYNb25dXE5 https://pbs.twimg.com/media/F7CgBm7W8AAQBZR.jpg</t>
  </si>
  <si>
    <t>https://t.co/UzBQ4dYstn https://pbs.twimg.com/media/FzLmkyUaAAAFQtW.jpg</t>
  </si>
  <si>
    <t>https://t.co/4YqlRI2pT6 https://pbs.twimg.com/media/FyjGiGkXwAMVary.png</t>
  </si>
  <si>
    <t>https://t.co/9S2cXm77Mv https://pbs.twimg.com/media/FvIueogXgAMsHbC.jpg</t>
  </si>
  <si>
    <t>https://t.co/BiQIIEB0aP https://pbs.twimg.com/media/F3D7T_LXwAEgcym.jpg</t>
  </si>
  <si>
    <t>https://t.co/5sBpEOGYE6 https://pbs.twimg.com/media/F3D7BIXWEAAxW2E.jpg</t>
  </si>
  <si>
    <t>https://t.co/RbhvOGb2GB https://pbs.twimg.com/media/F3D6siNW0AALJqu.jpg</t>
  </si>
  <si>
    <t>https://t.co/yHtXVJhVnJ https://pbs.twimg.com/media/Fzji0IDWcAsALeX.jpg</t>
  </si>
  <si>
    <t>https://t.co/GNVFBAeSqo https://pbs.twimg.com/media/F4KuBAiXoAAwRkN.jpg</t>
  </si>
  <si>
    <t>https://t.co/8Ia7f4GnfQ https://pbs.twimg.com/media/F27wuHYWkAAz21v.jpg</t>
  </si>
  <si>
    <t>https://t.co/WSXwLLmhxB https://pbs.twimg.com/media/FzpsVU2WIAYlOSm.jpg</t>
  </si>
  <si>
    <t>https://t.co/85OtdXVEjA https://pbs.twimg.com/media/F4DncgHWsAA24RG.jpg</t>
  </si>
  <si>
    <t>https://t.co/b1MgeErNrr https://pbs.twimg.com/media/F2shVSUW4AAj5b_.jpg</t>
  </si>
  <si>
    <t>https://t.co/Wl1mjXHvFT https://pbs.twimg.com/media/FzkEZ6dXwAsm_0V.jpg</t>
  </si>
  <si>
    <t>https://t.co/SY0lInOllm https://pbs.twimg.com/media/F4nlcRaXcAEdhRo.jpg</t>
  </si>
  <si>
    <t>https://t.co/nqGjnPGOtG https://pbs.twimg.com/media/Fz3fZQzXgAIt1ca.jpg</t>
  </si>
  <si>
    <t>https://t.co/7xxyZRWrB3 https://pbs.twimg.com/media/Fz24PEcWIAA2Ksg.jpg</t>
  </si>
  <si>
    <t>https://t.co/KF9buOcZHn https://pbs.twimg.com/media/F2jtMc-WgAAC40W.jpg</t>
  </si>
  <si>
    <t>https://t.co/aqCpXsoUv9 https://pbs.twimg.com/media/FyBCJmcXoAAVm3o.jpg</t>
  </si>
  <si>
    <t>https://t.co/sOiveYwdIY https://pbs.twimg.com/media/FyAsg9RXgAEaoUE.jpg</t>
  </si>
  <si>
    <t>https://t.co/uoHVpjrgxr https://pbs.twimg.com/media/F65D0-nWYAA7IoL.jpg</t>
  </si>
  <si>
    <t>https://t.co/vVfThM9gog https://pbs.twimg.com/media/F0Ls3SZWYAEQdbg.jpg</t>
  </si>
  <si>
    <t>https://t.co/MlKQXj6ANc https://pbs.twimg.com/media/FzEyR1AaEAQSTUT.png</t>
  </si>
  <si>
    <t>https://t.co/ZLk1Hd3et5 https://pbs.twimg.com/media/FxDVbU7XwAAzhJ0.jpg</t>
  </si>
  <si>
    <t>https://t.co/DPVdtmUVdE https://pbs.twimg.com/media/FxDUTnwWcAALjt0.jpg</t>
  </si>
  <si>
    <t>https://t.co/nTDcUjMFw8 https://pbs.twimg.com/media/Fw-t3Y4aYAABAZJ.jpg</t>
  </si>
  <si>
    <t>https://t.co/W8M47z6W5I https://pbs.twimg.com/media/F6uG5c_WIAAXC2h.jpg</t>
  </si>
  <si>
    <t>https://t.co/q5661v5KHS https://pbs.twimg.com/media/F3LbGbAa4AAaaVB.jpg</t>
  </si>
  <si>
    <t>https://t.co/opTVevhUxB https://pbs.twimg.com/media/F6eVvliXoAAiotc.png</t>
  </si>
  <si>
    <t>https://t.co/ywQI6j36iK https://pbs.twimg.com/media/FxfItclX0AAnkKD.jpg</t>
  </si>
  <si>
    <t>https://t.co/mHnYMArFsc https://pbs.twimg.com/media/FwF_FLCX0AMNW78.jpg</t>
  </si>
  <si>
    <t>https://t.co/E42n1ZOcF7 https://pbs.twimg.com/media/FyeINKwXgAILhQr.jpg</t>
  </si>
  <si>
    <t>https://t.co/WpsohxNRkS https://pbs.twimg.com/media/F0fdJKLWAA0sQK3.png</t>
  </si>
  <si>
    <t>https://t.co/oTJCFMqpR3 https://pbs.twimg.com/media/FzHRN0iWwAEzZg9.png</t>
  </si>
  <si>
    <t>https://t.co/1ukBFcDkBV https://pbs.twimg.com/media/F3tcUUzWsAATQ4-.png</t>
  </si>
  <si>
    <t>https://t.co/fdCxPgT60U https://pbs.twimg.com/media/F5OVhIZWQAAEiDS.jpg</t>
  </si>
  <si>
    <t>https://t.co/UXBevuDHWz https://pbs.twimg.com/media/F2kmKS0W4AAgSEH.png</t>
  </si>
  <si>
    <t>https://t.co/Kl4jyPYYFZ https://pbs.twimg.com/media/F66Cjv4aEAEGiob.jpg</t>
  </si>
  <si>
    <t>https://t.co/6X8jClmi5i https://pbs.twimg.com/media/FvXeVQ8X0AQR6gi.jpg</t>
  </si>
  <si>
    <t>https://t.co/wm0IUOPVAp https://pbs.twimg.com/media/F5bIv0hX0AA1Mii.jpg</t>
  </si>
  <si>
    <t>https://t.co/cdOzlhq6DO https://pbs.twimg.com/media/Fz4Gt9EaMAQLatu.jpg</t>
  </si>
  <si>
    <t>https://t.co/k4DL2Ox69c https://pbs.twimg.com/ext_tw_video_thumb/1655682200447201281/pu/img/j0wMlHbivDaSH0MR.jpg</t>
  </si>
  <si>
    <t>https://t.co/91C8fagTnK https://pbs.twimg.com/media/FzOylL_aAAEtfmX.jpg</t>
  </si>
  <si>
    <t>https://t.co/qC0SJkCtAQ https://pbs.twimg.com/ext_tw_video_thumb/1686799564131495939/pu/img/I_wTqgBnC66ssLeW.jpg</t>
  </si>
  <si>
    <t>https://t.co/pAyYowrvLp https://pbs.twimg.com/media/FyhmztXXoAYEMHP.jpg</t>
  </si>
  <si>
    <t>https://t.co/ZFCso1i4kx https://pbs.twimg.com/media/Fv-u3zGWYAAL8-7.jpg</t>
  </si>
  <si>
    <t>https://t.co/YXA5EsD8kL https://pbs.twimg.com/media/F5cVal_X0AAdswO.jpg</t>
  </si>
  <si>
    <t>https://t.co/LgYPM5H048 https://pbs.twimg.com/media/F5v6zBIWQAI6m1c.png</t>
  </si>
  <si>
    <t>https://t.co/y5CdJeIWvr https://pbs.twimg.com/media/F2nGrp3agAAuI8Y.jpg</t>
  </si>
  <si>
    <t>https://t.co/OzQbbPH1La https://pbs.twimg.com/media/F5RAWWVWoAATTnn.jpg</t>
  </si>
  <si>
    <t>https://t.co/Y9tcXnLayL https://pbs.twimg.com/media/F5WZYgQWwAAMmcH.jpg</t>
  </si>
  <si>
    <t>https://t.co/KyOYPriCLg https://pbs.twimg.com/ext_tw_video_thumb/1695204878103048192/pu/img/stz6xU2RTC9GoEkr.jpg</t>
  </si>
  <si>
    <t>https://t.co/vUkxkzyiMG https://pbs.twimg.com/media/F2KxdIFWcAApdQo.png</t>
  </si>
  <si>
    <t>https://t.co/odrQNiZ6Sh https://pbs.twimg.com/media/Fyh0TUrX0AMbmWB.jpg</t>
  </si>
  <si>
    <t>https://t.co/l1aisopO46 https://pbs.twimg.com/media/F6jw3otWgAAnQka.jpg</t>
  </si>
  <si>
    <t>https://t.co/jyLZEmg4Ly https://pbs.twimg.com/media/FvTw30gXsAIXYCK.jpg</t>
  </si>
  <si>
    <t>https://t.co/OkY6MCmypc https://pbs.twimg.com/media/FwvSHNNWAAEJ7ZR.jpg</t>
  </si>
  <si>
    <t>https://t.co/kSzEHE8Xx6 https://pbs.twimg.com/ext_tw_video_thumb/1692227713157750790/pu/img/c-4qpaQa137UbQI7.jpg</t>
  </si>
  <si>
    <t>https://t.co/MVoaMDStk9 https://pbs.twimg.com/media/F6pYaPrX0AAlEzF.jpg</t>
  </si>
  <si>
    <t>https://t.co/DpLONVqmqi https://pbs.twimg.com/media/FzT0qKAWAAAijZZ.jpg</t>
  </si>
  <si>
    <t>https://t.co/2MjDPNvETL https://pbs.twimg.com/ext_tw_video_thumb/1707511428859449344/pu/img/52iaSkkVx4nVI_Dt.jpg</t>
  </si>
  <si>
    <t>https://t.co/EVOnNcZkUa https://pbs.twimg.com/media/FzoiqnKXgAI025X.jpg</t>
  </si>
  <si>
    <t>https://t.co/WjUjB9YJE4 https://pbs.twimg.com/ext_tw_video_thumb/1690035481562562560/pu/img/MPfUzZd_KLXkEKf9.jpg</t>
  </si>
  <si>
    <t>https://t.co/fyLYFNhpss https://pbs.twimg.com/media/F2iioFPXwAIut6z.jpg</t>
  </si>
  <si>
    <t>https://t.co/zbYMKl6rXR https://pbs.twimg.com/media/F0cbGdwXsAIgqu7.jpg</t>
  </si>
  <si>
    <t>https://t.co/0zANjJJ0bC https://pbs.twimg.com/media/F0W87BXaQAA1oin.jpg</t>
  </si>
  <si>
    <t>https://t.co/2cf8OTjpq9 https://pbs.twimg.com/media/FzQLOv6XwAAm2lA.jpg</t>
  </si>
  <si>
    <t>https://t.co/eme3uodtOy https://pbs.twimg.com/media/FyBdsriXgAA635R.jpg</t>
  </si>
  <si>
    <t>https://t.co/sD4am55sqs https://pbs.twimg.com/media/Fx3LqW2WwAQqpuJ.jpg</t>
  </si>
  <si>
    <t>https://t.co/HB2VJX1KFU https://pbs.twimg.com/media/FvNVY2wX0AMPIQ2.jpg</t>
  </si>
  <si>
    <t>https://t.co/iFBtb3Chz1 https://pbs.twimg.com/media/F2sMLLxXgAAGd6K.jpg</t>
  </si>
  <si>
    <t>https://t.co/0aVsxzUuFu https://pbs.twimg.com/media/F1fPop9akAAToRx.jpg</t>
  </si>
  <si>
    <t>https://t.co/2sBRyQvTY7 https://pbs.twimg.com/media/F1aWnp8X0AIfr5K.jpg</t>
  </si>
  <si>
    <t>https://t.co/lJdED1xfni https://pbs.twimg.com/media/FygdW8ZWwAAvR6e.jpg</t>
  </si>
  <si>
    <t>https://t.co/Yd3yCRgNJi https://pbs.twimg.com/media/FvnAP5dXoAE7j4w.jpg</t>
  </si>
  <si>
    <t>https://t.co/meWm4WQWpL https://pbs.twimg.com/media/FxnyU25X0AMWCk3.jpg</t>
  </si>
  <si>
    <t>https://t.co/qQRpvvzKli https://pbs.twimg.com/media/F4OFzuiXsAExXe-.jpg</t>
  </si>
  <si>
    <t>https://t.co/skQYkiTFdh https://pbs.twimg.com/media/F27zPC9WEAEhSIQ.jpg</t>
  </si>
  <si>
    <t>https://t.co/SCpDpGFHTU https://pbs.twimg.com/media/F14sRWtWYAAJdv7.jpg</t>
  </si>
  <si>
    <t>https://t.co/8cP6cN4yjy https://pbs.twimg.com/media/F1z6Zr3X0AMleAx.jpg</t>
  </si>
  <si>
    <t>https://t.co/dSGcOsSwZy https://pbs.twimg.com/media/F1kXE9TWcAAh19l.jpg</t>
  </si>
  <si>
    <t>https://t.co/kMIvPWW8pZ https://pbs.twimg.com/media/Fzt3HQIXgAQCjxE.jpg</t>
  </si>
  <si>
    <t>https://t.co/KNd983eivv https://pbs.twimg.com/media/FzpZYMLX0AEEzTC.jpg</t>
  </si>
  <si>
    <t>https://t.co/98arEu0jdR https://pbs.twimg.com/media/Fyl0yVmWAAIM7po.jpg</t>
  </si>
  <si>
    <t>https://t.co/kgvGZr6bnM https://pbs.twimg.com/media/Fv8JCwAX0AEYzdC.jpg</t>
  </si>
  <si>
    <t>https://t.co/z3AULqdsDM https://pbs.twimg.com/media/Fv2dA_zXoAA4mhO.jpg</t>
  </si>
  <si>
    <t>https://t.co/w0taFfctQk https://pbs.twimg.com/media/FvxZklUXwAI6LCF.jpg</t>
  </si>
  <si>
    <t>https://t.co/oifCeEwPMP https://pbs.twimg.com/media/FvsNg8OWcAApN76.jpg</t>
  </si>
  <si>
    <t>https://t.co/R8GXNYT4Dl https://pbs.twimg.com/media/F4TZsljacAA6znT.jpg</t>
  </si>
  <si>
    <t>https://t.co/H9nmVi3FcD https://pbs.twimg.com/media/F195SwCX0AAbyaj.jpg</t>
  </si>
  <si>
    <t>https://t.co/skWUPwDl3K https://pbs.twimg.com/media/F1AJo1QWYAE0EyW.jpg</t>
  </si>
  <si>
    <t>https://t.co/QgaIPeC5MZ https://pbs.twimg.com/media/F065LWHXgAEWbOo.jpg</t>
  </si>
  <si>
    <t>https://t.co/WtwEFzAIS6 https://pbs.twimg.com/media/F02EMKYWcAMiX1N.jpg</t>
  </si>
  <si>
    <t>https://t.co/nqZb96R7wi https://pbs.twimg.com/media/Fz4LkEAaQAQhYz0.jpg</t>
  </si>
  <si>
    <t>https://t.co/k8AYqEI7rF https://pbs.twimg.com/media/Fzzb7DRWAAIPkN6.jpg</t>
  </si>
  <si>
    <t>https://t.co/D8wmAWsQno https://pbs.twimg.com/media/Fyv9P-eWYAMMBGn.jpg</t>
  </si>
  <si>
    <t>https://t.co/7zzFdnaQRE https://pbs.twimg.com/media/FyqzpNyaAAEiCEp.jpg</t>
  </si>
  <si>
    <t>https://t.co/owK0ndWmLC https://pbs.twimg.com/media/FwvDHkYXsAAwNk1.jpg</t>
  </si>
  <si>
    <t>https://t.co/K9xOUU3ZHW https://pbs.twimg.com/media/F6ojPFxWYAAn0yY.jpg</t>
  </si>
  <si>
    <t>https://t.co/6BTNRaeU7v https://pbs.twimg.com/media/F1PfiJ0XgAMBZQS.jpg</t>
  </si>
  <si>
    <t>https://t.co/iZ1azgcUPA https://pbs.twimg.com/media/FzUAXHRX0AgmFUC.jpg</t>
  </si>
  <si>
    <t>https://t.co/HsHwGLo2ef https://pbs.twimg.com/media/FybXMIlX0AUJid0.jpg</t>
  </si>
  <si>
    <t>https://t.co/PCOaRYGDYG https://pbs.twimg.com/media/FyMo8sGXwAAZUsm.jpg</t>
  </si>
  <si>
    <t>https://t.co/gyrVIdMk7V https://pbs.twimg.com/media/FyG6Ad5aMAAWzhU.jpg</t>
  </si>
  <si>
    <t>https://t.co/A5DzmnpOaM https://pbs.twimg.com/media/FvSuIfHWYAA6ZdV.jpg</t>
  </si>
  <si>
    <t>https://t.co/lOPAQ8pK6g https://pbs.twimg.com/media/F64FKRrXMAAGW9H.jpg</t>
  </si>
  <si>
    <t>https://t.co/WwxGV2SXtK https://pbs.twimg.com/media/F6jOLbhWQAAOHbW.jpg</t>
  </si>
  <si>
    <t>https://t.co/tec5qcrGd2 https://pbs.twimg.com/media/F2DC4cCWUAAjWWm.jpg</t>
  </si>
  <si>
    <t>https://t.co/jcgMV0map0 https://pbs.twimg.com/media/F0HnAlrWYAA4cv5.jpg</t>
  </si>
  <si>
    <t>https://t.co/Vcg2kWYfdP https://pbs.twimg.com/media/Fy_p9MrXgAI-W9a.jpg</t>
  </si>
  <si>
    <t>https://t.co/0YQx59wvCY https://pbs.twimg.com/media/FwQT7OGaQAcwSpT.jpg</t>
  </si>
  <si>
    <t>https://t.co/zyIOjzyMBH https://pbs.twimg.com/media/FvXjeZGWwAIrOLp.jpg</t>
  </si>
  <si>
    <t>https://t.co/2iuxsqGLfh https://pbs.twimg.com/media/F7CPCXTW4AAgsJS.jpg</t>
  </si>
  <si>
    <t>https://t.co/jqdobhsYpu https://pbs.twimg.com/media/F2Xl0B0XgAAFK4I.jpg</t>
  </si>
  <si>
    <t>https://t.co/GMDmFYmPhQ https://pbs.twimg.com/media/F0SDHvgXsAAOA6D.jpg</t>
  </si>
  <si>
    <t>https://t.co/OOKFKaRqk7 https://pbs.twimg.com/media/F0Mi3pXWwAQpjc7.jpg</t>
  </si>
  <si>
    <t>https://t.co/CzZODx1JlK https://pbs.twimg.com/media/FzEkqmUaIAEQK3T.jpg</t>
  </si>
  <si>
    <t>https://t.co/9p91kGA7S7 https://pbs.twimg.com/media/Fw-qQBtaUAMrp_k.jpg</t>
  </si>
  <si>
    <t>https://t.co/qdfGWuP6UF https://pbs.twimg.com/media/Fw5ZN99XoAAG6kd.jpg</t>
  </si>
  <si>
    <t>https://t.co/HkcFugfjoM https://pbs.twimg.com/media/Fw0RSPWX0AArL2f.jpg</t>
  </si>
  <si>
    <t>https://t.co/E31cX49kLK https://pbs.twimg.com/media/F7HRZDDXYAAohOD.jpg</t>
  </si>
  <si>
    <t>https://t.co/02t3sKnywT https://pbs.twimg.com/media/F69FBo2XsAAQ44e.jpg</t>
  </si>
  <si>
    <t>https://t.co/j0FkViJa3Y https://pbs.twimg.com/media/F6eUQvWWcAAoTzs.jpg</t>
  </si>
  <si>
    <t>https://t.co/etMEQKWGer https://pbs.twimg.com/media/F4JUQEzW8AE6MO9.jpg</t>
  </si>
  <si>
    <t>https://t.co/QV8NO9iT8I https://pbs.twimg.com/media/F2nClGAWcAA1jue.jpg</t>
  </si>
  <si>
    <t>https://t.co/QCcfdqO42d https://pbs.twimg.com/media/F0ws3hsaEAAONqi.jpg</t>
  </si>
  <si>
    <t>https://t.co/DzkQLT4bkf https://pbs.twimg.com/media/F0rjR32XsAAtQC9.jpg</t>
  </si>
  <si>
    <t>https://t.co/G41hSfgx4v https://pbs.twimg.com/media/FxikKlOWcAIXWvm.jpg</t>
  </si>
  <si>
    <t>https://t.co/wbqNKl3KUa https://pbs.twimg.com/media/Fxd1YLVXwAUg05U.jpg</t>
  </si>
  <si>
    <t>https://t.co/4d2fG2xmuE https://pbs.twimg.com/media/FxYVjahXoAAaywZ.jpg</t>
  </si>
  <si>
    <t>https://t.co/lHAgheCaK2 https://pbs.twimg.com/media/FxTL97yXwAIRyYG.jpg</t>
  </si>
  <si>
    <t>https://t.co/oE4FHIH6OX https://pbs.twimg.com/media/FwLKV5PXgAE4Od8.jpg</t>
  </si>
  <si>
    <t>https://t.co/rWVBaZdKaJ https://pbs.twimg.com/media/F3dSG-zWkAAQhat.jpg</t>
  </si>
  <si>
    <t>https://t.co/SCKF9Ctnfi https://pbs.twimg.com/media/F15GVyBWcAAotX_.jpg</t>
  </si>
  <si>
    <t>https://t.co/gtKNzz1i1g https://pbs.twimg.com/media/FxkO0ViXwAYLEAU.jpg</t>
  </si>
  <si>
    <t>https://t.co/lfuYP2HE9T https://pbs.twimg.com/media/F32_7Y7XUAAcF04.jpg</t>
  </si>
  <si>
    <t>https://t.co/MZCxrW1aU1 https://pbs.twimg.com/ext_tw_video_thumb/1686480883111669760/pu/img/iRZgKXGLSQ16dlZl.jpg</t>
  </si>
  <si>
    <t>https://t.co/qa6w0hnRfh https://pbs.twimg.com/media/FxT-Zd-XwB0zV8i.png</t>
  </si>
  <si>
    <t>https://t.co/Z4TkNQPPAL https://pbs.twimg.com/media/Fx3JMySWcAASP0V.jpg</t>
  </si>
  <si>
    <t>https://t.co/ziHGWmpNHf https://pbs.twimg.com/media/Fw_nG5_XwAAZKwo.jpg</t>
  </si>
  <si>
    <t>https://t.co/MQXve8Zkya https://pbs.twimg.com/media/FycO-OXX0AETP6u.jpg</t>
  </si>
  <si>
    <t>https://t.co/PB0ZLmqWU2 https://pbs.twimg.com/media/F0HU7yKWAAIV6c1.jpg</t>
  </si>
  <si>
    <t>https://t.co/nDLgFA0til https://pbs.twimg.com/media/FwbOL8OXgAApsYN.jpg</t>
  </si>
  <si>
    <t>https://t.co/BincoVMtiF https://pbs.twimg.com/media/FwMI6BcWYBgarxt.jpg</t>
  </si>
  <si>
    <t>https://t.co/eWqlSUFKxD https://pbs.twimg.com/tweet_video_thumb/F5SndYiXwAAR1-H.jpg</t>
  </si>
  <si>
    <t>https://t.co/BUiR8N005D https://pbs.twimg.com/media/Fv9rgT4XsAEnYpt.jpg</t>
  </si>
  <si>
    <t>https://t.co/MqiJouQqzu https://pbs.twimg.com/media/Fv9HtpYX0Bon3oj.jpg</t>
  </si>
  <si>
    <t>https://t.co/Smx20M1ipt https://pbs.twimg.com/media/F2ZcbJpW4AASgqt.jpg</t>
  </si>
  <si>
    <t>https://t.co/kSHzajA2Tj https://pbs.twimg.com/media/Fw4sgEZXgAE79Mz.jpg</t>
  </si>
  <si>
    <t>https://t.co/4y6bWYxipX https://pbs.twimg.com/media/FvRxua_XgAIy4V-.jpg</t>
  </si>
  <si>
    <t>https://t.co/PaTkpqf61Q https://pbs.twimg.com/media/F7BfsJuXgAAtWBq.jpg</t>
  </si>
  <si>
    <t>https://t.co/UxikEeb4AF https://pbs.twimg.com/media/FvyRWI7WYAEL0p8.jpg</t>
  </si>
  <si>
    <t>https://t.co/yeaE3av36K https://pbs.twimg.com/media/FvUCDc6WcAIXeTh.jpg</t>
  </si>
  <si>
    <t>https://t.co/iqHzP87cZU https://pbs.twimg.com/ext_tw_video_thumb/1655985818660491265/pu/img/90o9msRXA2b49Drj.jpg</t>
  </si>
  <si>
    <t>https://t.co/NTO6AYyEWF https://pbs.twimg.com/amplify_video_thumb/1682028957628272642/img/tFULaK8rGW1xtb1C.jpg</t>
  </si>
  <si>
    <t>https://t.co/sdRlCmysEz https://pbs.twimg.com/amplify_video_thumb/1684934098693816320/img/-mKBQM0SvTkjpV0R.jpg</t>
  </si>
  <si>
    <t>https://t.co/w6sxnsZxgP https://pbs.twimg.com/amplify_video_thumb/1687110221850894338/img/8KYTsORInvSpiR8w.jpg</t>
  </si>
  <si>
    <t>https://t.co/PZQ4ACGlDX https://pbs.twimg.com/amplify_video_thumb/1653731525320474625/img/LTltpCoS6aIFjez3.jpg</t>
  </si>
  <si>
    <t>https://t.co/fV6JSSdjyj https://pbs.twimg.com/amplify_video_thumb/1662069126829842432/img/AvLhSdPBPIXo1HnW.jpg</t>
  </si>
  <si>
    <t>https://t.co/AR38Y1dfFH https://pbs.twimg.com/amplify_video_thumb/1675926241231118336/img/MUW2zKWFxUVPcows.jpg</t>
  </si>
  <si>
    <t>https://t.co/W98O9Zwx7d https://pbs.twimg.com/amplify_video_thumb/1654460144921501697/img/Jp41agZjMAKRCKS3.jpg</t>
  </si>
  <si>
    <t>https://t.co/M7RxGGVZ0k https://pbs.twimg.com/amplify_video_thumb/1663524898004692996/img/u1AHtwHcKIrE_QQB.jpg</t>
  </si>
  <si>
    <t>https://t.co/o0Nge44JO0 https://pbs.twimg.com/amplify_video_thumb/1700173270387953664/img/5ha60MoF3vUwY1LJ.jpg</t>
  </si>
  <si>
    <t>https://t.co/i9Pw08EjVh https://pbs.twimg.com/amplify_video_thumb/1654098482154680321/img/qV7xmFHlrhlPgzSs.jpg</t>
  </si>
  <si>
    <t>https://t.co/q3v6fImF3B https://pbs.twimg.com/ext_tw_video_thumb/1698724230320230400/pu/img/3rprO7U4R3pIviTC.jpg</t>
  </si>
  <si>
    <t>https://t.co/Qzuwpm9rvk https://pbs.twimg.com/media/F0wkmz5XoAAEiOK.jpg</t>
  </si>
  <si>
    <t>https://t.co/q55sBF6aWS https://pbs.twimg.com/media/FzMEZcdWAAE5-G6.jpg</t>
  </si>
  <si>
    <t>https://t.co/av9q9DdoR2 https://pbs.twimg.com/media/F2YhjS7XoAAQvyC.jpg</t>
  </si>
  <si>
    <t>https://t.co/alimHZv6Fs https://pbs.twimg.com/media/FzErbo2aUAIPhjS.jpg</t>
  </si>
  <si>
    <t>https://t.co/jcZOInpCsb https://pbs.twimg.com/media/F2I9gMjWsAwEatv.jpg</t>
  </si>
  <si>
    <t>https://t.co/OBFZHSbxuo https://pbs.twimg.com/media/F29HoQFXkAEnzFb.jpg</t>
  </si>
  <si>
    <t>https://t.co/Vmp2mSJp3R https://pbs.twimg.com/media/F2hyl4YWUAEzktq.jpg</t>
  </si>
  <si>
    <t>https://t.co/MNny61xBgk https://pbs.twimg.com/media/FzLUupMWwAAYRHj.jpg</t>
  </si>
  <si>
    <t>https://t.co/7yEKQhQqXV https://pbs.twimg.com/amplify_video_thumb/1671852853097553922/img/SdyDO7edgGq9psBt.jpg</t>
  </si>
  <si>
    <t>https://t.co/GxrWjaci8X https://pbs.twimg.com/media/F3WKVYYWMAEnfTH.jpg</t>
  </si>
  <si>
    <t>https://t.co/H1qIKjjOCm https://pbs.twimg.com/media/F3kayMIXAAANlxo.jpg</t>
  </si>
  <si>
    <t>https://t.co/tdrKEgmPbO https://pbs.twimg.com/media/F5x_GhKXkAAS7qd.jpg</t>
  </si>
  <si>
    <t>https://t.co/UAbQ4air20 https://pbs.twimg.com/ext_tw_video_thumb/1662943696713555969/pu/img/psVfDuAfhdipptTr.jpg</t>
  </si>
  <si>
    <t>https://t.co/vhdKLEqMDC https://pbs.twimg.com/media/F51U-mMboAE7m9m.jpg</t>
  </si>
  <si>
    <t>https://t.co/NPAM9VlTj3 https://pbs.twimg.com/media/F7HD1OqXYAAZjHt.jpg</t>
  </si>
  <si>
    <t>https://t.co/VWu0BeCeIj https://pbs.twimg.com/media/FwxDJFdWYAALa3S.jpg</t>
  </si>
  <si>
    <t>https://t.co/EEDw6dBxbh https://pbs.twimg.com/media/F3xAnRPXsAA01yU.jpg</t>
  </si>
  <si>
    <t>https://t.co/u9SveAAaia https://pbs.twimg.com/media/F47yrW1WQAAaqse.jpg</t>
  </si>
  <si>
    <t>https://t.co/Y3RG5OpE7O https://pbs.twimg.com/media/F2hOddqXYAAZm-e.jpg</t>
  </si>
  <si>
    <t>https://t.co/XUCRgoXLDD https://pbs.twimg.com/media/F2e5yJiWAAAYpn0.jpg</t>
  </si>
  <si>
    <t>https://t.co/ostrmdfRgt https://pbs.twimg.com/media/F6GWDwZW8AAIDjp.jpg</t>
  </si>
  <si>
    <t>https://t.co/ygzXOLbr64 https://pbs.twimg.com/media/F6tBbuwWgAA1yTh.jpg</t>
  </si>
  <si>
    <t>https://t.co/2h1Emz5cPm https://pbs.twimg.com/media/Fx35YRKWABQv-oy.jpg</t>
  </si>
  <si>
    <t>https://t.co/jQljDTOzce https://pbs.twimg.com/media/FyDnwR_WwAEUzzx.jpg</t>
  </si>
  <si>
    <t>https://t.co/mn6GEUiLRH https://pbs.twimg.com/media/Fx4k3goWIAIj7LL.jpg</t>
  </si>
  <si>
    <t>https://t.co/jqTNMPxg5f https://pbs.twimg.com/media/FyhGZtlXsBAL_ZQ.jpg</t>
  </si>
  <si>
    <t>https://t.co/OH874DZaHB https://pbs.twimg.com/media/FzT524BWIAAdjEF.jpg</t>
  </si>
  <si>
    <t>https://t.co/k1q82yihuE https://pbs.twimg.com/media/FzTnaTyXgAMwHNs.png</t>
  </si>
  <si>
    <t>https://t.co/PVhKWkiP9A https://pbs.twimg.com/media/F0MKjtaWwAEHdWn.png</t>
  </si>
  <si>
    <t>https://t.co/OYX8RJgDXM https://pbs.twimg.com/media/F4S0UVSW8AA9tWb.jpg</t>
  </si>
  <si>
    <t>https://t.co/yXiaLnPTPh https://pbs.twimg.com/media/F4YMkH8XIAAVIOR.jpg</t>
  </si>
  <si>
    <t>https://t.co/NzthGMFz3X https://pbs.twimg.com/media/F5CS1-cW4AAwj2c.jpg</t>
  </si>
  <si>
    <t>https://t.co/kPaHFu7oxP https://pbs.twimg.com/media/FvYaLOQXgAUVUTO.jpg</t>
  </si>
  <si>
    <t>https://t.co/OrvXzcoslR https://pbs.twimg.com/media/FywPAP8X0AEeB6H.jpg</t>
  </si>
  <si>
    <t>https://t.co/b6MOgZt4PM https://pbs.twimg.com/media/FwwbsYCXsAApZjd.jpg</t>
  </si>
  <si>
    <t>https://t.co/ifKSoXdPBS https://pbs.twimg.com/media/F2spFJMWoAA87MX.jpg</t>
  </si>
  <si>
    <t>https://t.co/CVhIRWv2xH https://pbs.twimg.com/media/F3f3jbfWEAAD6nR.jpg</t>
  </si>
  <si>
    <t>https://t.co/u5OghTwrsV https://pbs.twimg.com/media/Fv9KQsNXsAESgfu.jpg</t>
  </si>
  <si>
    <t>https://t.co/4gq0AUmWl7 https://pbs.twimg.com/media/F3qFUrNW4AEiEAv.jpg</t>
  </si>
  <si>
    <t>https://t.co/hwW4eftf12 https://pbs.twimg.com/media/F3LSiE5boAE3bZj.jpg</t>
  </si>
  <si>
    <t>https://t.co/U1W6gx5ECO https://pbs.twimg.com/media/F1UWPjWXsAI4Xm7.jpg</t>
  </si>
  <si>
    <t>https://t.co/4yy977Fd8K https://pbs.twimg.com/media/F1BfqtfWYAEme-9.png</t>
  </si>
  <si>
    <t>https://t.co/OkLfPJ19yN https://pbs.twimg.com/media/F5RxOSPXMAAMOjJ.jpg</t>
  </si>
  <si>
    <t>https://t.co/lx9KcDDUCS https://pbs.twimg.com/ext_tw_video_thumb/1691417401693208576/pu/img/5FpcDP3v84TvsgWd.jpg</t>
  </si>
  <si>
    <t>https://t.co/tvM0KF8KM7 https://pbs.twimg.com/media/Fx9PRFQXsAY7iYP.jpg</t>
  </si>
  <si>
    <t>https://t.co/pH8woZzOFp https://pbs.twimg.com/media/F7G5bUxWAAAvtXU.jpg</t>
  </si>
  <si>
    <t>https://t.co/q0dlcTgqmQ https://pbs.twimg.com/media/F5c1qY3XsAAek-a.jpg</t>
  </si>
  <si>
    <t>https://t.co/4pmJKapjgX https://pbs.twimg.com/media/F58sOtXWMAAfutA.jpg</t>
  </si>
  <si>
    <t>https://t.co/zatxxGDVeo https://pbs.twimg.com/media/F6qjS4dXgAAylSr.jpg</t>
  </si>
  <si>
    <t>https://t.co/S0vPGpwGan https://pbs.twimg.com/media/FyhFHdkWIAA5hT0.png</t>
  </si>
  <si>
    <t>https://t.co/K0usWzjO4U https://pbs.twimg.com/ext_tw_video_thumb/1671873376548429825/pu/img/NLpYPeUxQkrE1HB2.jpg</t>
  </si>
  <si>
    <t>https://t.co/JQ76BEXElW https://pbs.twimg.com/media/F0oqbwpX0AM0q8j.jpg</t>
  </si>
  <si>
    <t>https://t.co/i7WdUlE4uI https://pbs.twimg.com/media/F2aIIQJXsAAzaia.jpg</t>
  </si>
  <si>
    <t>https://t.co/t8SWaF1rJi https://pbs.twimg.com/media/F0JLSOFWwAAHk1Z.jpg</t>
  </si>
  <si>
    <t>https://t.co/YqU9kktrP0 https://pbs.twimg.com/media/F3Mm9nCXEAAIkRW.jpg</t>
  </si>
  <si>
    <t>https://t.co/vLBMKJrHxd https://pbs.twimg.com/media/F5xlExQWwAAnVZN.jpg</t>
  </si>
  <si>
    <t>https://t.co/BGI93DtGAw https://pbs.twimg.com/media/Fz5m5AiXsAMsTQY.jpg</t>
  </si>
  <si>
    <t>https://t.co/Pi7gWo4zOE https://pbs.twimg.com/media/F10J1YTXoAYGZJp.jpg</t>
  </si>
  <si>
    <t>https://t.co/jNa53GUn6K https://pbs.twimg.com/media/F3qYRzqW8AIRD-o.jpg</t>
  </si>
  <si>
    <t>https://t.co/zGih4NjPNu https://pbs.twimg.com/media/F01QXGsWcAId_-m.jpg</t>
  </si>
  <si>
    <t>https://t.co/yFZ6umVqW7 https://pbs.twimg.com/media/F6A1kd0XQAAkCox.jpg</t>
  </si>
  <si>
    <t>https://t.co/chSYKVZP4s https://pbs.twimg.com/media/F4N68YRWcAAVGMI.jpg</t>
  </si>
  <si>
    <t>https://t.co/uSL1OMGfup https://pbs.twimg.com/ext_tw_video_thumb/1672605287352508416/pu/img/fiVn81Uu2Bd9nVy4.jpg</t>
  </si>
  <si>
    <t>https://t.co/gA0lICP703 https://pbs.twimg.com/ext_tw_video_thumb/1672375650575962113/pu/img/LCBFAbjsQcYcMNvb.jpg</t>
  </si>
  <si>
    <t>https://t.co/gFqPc1oh41 https://pbs.twimg.com/media/Fw2HPpuWIAIoHv6.jpg</t>
  </si>
  <si>
    <t>https://t.co/yVAiw1Ycf3 https://pbs.twimg.com/ext_tw_video_thumb/1695824324052008962/pu/img/qPtxPpF0xDr12WS-.jpg</t>
  </si>
  <si>
    <t>https://t.co/7Hmt0dLHM8 https://pbs.twimg.com/media/FvX-66EWcAIk_Fl.jpg</t>
  </si>
  <si>
    <t>https://t.co/ah47S2vozJ https://pbs.twimg.com/media/FvvFL6MaQAEq26u.jpg</t>
  </si>
  <si>
    <t>https://t.co/HEZMwqV2FX https://pbs.twimg.com/media/Fz50r2lXwAAE_Ek.jpg</t>
  </si>
  <si>
    <t>https://t.co/zL2DrOpQxW https://pbs.twimg.com/media/F08LyD-WYAAsBAM.jpg</t>
  </si>
  <si>
    <t>https://t.co/gVr1SdZkTf https://pbs.twimg.com/media/F1fbpx3WcAMCKp2.jpg</t>
  </si>
  <si>
    <t>https://t.co/3m3gXhsQrD https://pbs.twimg.com/media/F3mbsI_XYAAU-Aw.jpg</t>
  </si>
  <si>
    <t>https://t.co/Dp6Rj4FSrE https://pbs.twimg.com/media/FzPtvjXXgAEDx-A.jpg</t>
  </si>
  <si>
    <t>https://t.co/rl82ASgUkx https://pbs.twimg.com/media/Fz0HqYKWcAY56sY.jpg</t>
  </si>
  <si>
    <t>https://t.co/U6z1E5jt7Z https://pbs.twimg.com/media/F2dloAXXUAI42ax.jpg</t>
  </si>
  <si>
    <t>https://t.co/c66ny07Byv https://pbs.twimg.com/media/F4N4j9WXgAA6hhD.jpg</t>
  </si>
  <si>
    <t>https://t.co/j0OGjcnwhU https://pbs.twimg.com/media/F5MphLgXoAA7a5X.jpg</t>
  </si>
  <si>
    <t>https://t.co/XQcEkjb9kz https://pbs.twimg.com/media/FzjvY9ZXoAAfkIU.jpg</t>
  </si>
  <si>
    <t>https://t.co/7mzlRMUJKz https://pbs.twimg.com/media/F5RNaXPa4AAI9bS.jpg</t>
  </si>
  <si>
    <t>https://t.co/M2DBjAiGPl https://pbs.twimg.com/media/F7HY9ptWIAABCjo.jpg</t>
  </si>
  <si>
    <t>https://t.co/76RbcJflOI https://pbs.twimg.com/media/F5YQSewXEAAtXlR.jpg</t>
  </si>
  <si>
    <t>https://t.co/pSx0GIkYnf https://pbs.twimg.com/media/F2commUWwAAnc9z.jpg</t>
  </si>
  <si>
    <t>https://t.co/LmlI9qZGsM https://pbs.twimg.com/media/F6eEzKcXEAA6PHt.jpg</t>
  </si>
  <si>
    <t>https://t.co/blggmR7A6H https://pbs.twimg.com/media/F2hR7fnWQAEtJ3J.jpg</t>
  </si>
  <si>
    <t>https://t.co/t99O8toOFi https://pbs.twimg.com/media/FzEIKQfWAAE_GEN.png</t>
  </si>
  <si>
    <t>https://t.co/mwqZcIth3y https://t.co/mwqZcIth3y https://pbs.twimg.com/media/F3xINA1XgAAiIhT.jpg https://pbs.twimg.com/media/F3xINMWWQAAUpdd.jpg</t>
  </si>
  <si>
    <t>https://t.co/jGrSU4Fbrt https://pbs.twimg.com/media/F3f99q7WYAAZG0X.jpg</t>
  </si>
  <si>
    <t>https://t.co/VRoVdamy4K https://pbs.twimg.com/media/Foa0pWlacAA_0O5.jpg</t>
  </si>
  <si>
    <t>https://t.co/okTlfOktnR https://pbs.twimg.com/media/FzWVSr-XoAEpx_r.jpg</t>
  </si>
  <si>
    <t>https://t.co/Vo4noNLUFB https://pbs.twimg.com/media/F5CchSfaUAAIuu3.jpg</t>
  </si>
  <si>
    <t>https://t.co/MtwCxUMDGC https://pbs.twimg.com/media/F2ts0MSWcAA5XB1.jpg</t>
  </si>
  <si>
    <t>https://t.co/L6cPUyN4Sf https://pbs.twimg.com/media/F3khpKJWAAAan-O.jpg</t>
  </si>
  <si>
    <t>https://t.co/YGZwINJ3Ps https://pbs.twimg.com/media/FwR8NsgWwAEbmXV.jpg</t>
  </si>
  <si>
    <t>https://t.co/yPutMxep6M https://pbs.twimg.com/media/F3hKld3XgAALqmX.jpg</t>
  </si>
  <si>
    <t>https://t.co/gysxFNwjVT https://pbs.twimg.com/media/F0X-fXqX0AA5N_2.jpg</t>
  </si>
  <si>
    <t>https://t.co/OIpDCL5nOq https://pbs.twimg.com/media/F3DA8R7XwAAu_ml.jpg</t>
  </si>
  <si>
    <t>https://t.co/A95d5yilQB https://pbs.twimg.com/media/F2AUC1OWcAA0x5w.jpg</t>
  </si>
  <si>
    <t>https://t.co/tK8P8WpiXJ https://pbs.twimg.com/ext_tw_video_thumb/1656723940658622464/pu/img/G7a57o_8RcRGgRE_.jpg</t>
  </si>
  <si>
    <t>https://t.co/H0qIOYqaV3 https://pbs.twimg.com/media/FxkZcvaXsAIZk0O.jpg</t>
  </si>
  <si>
    <t>https://t.co/9AbERK8fWj https://pbs.twimg.com/media/F6qi5CnXEAApSLI.jpg</t>
  </si>
  <si>
    <t>https://t.co/eWdELpgZyf https://pbs.twimg.com/ext_tw_video_thumb/1677744209246265344/pu/img/Gv75Y4c595538AYV.jpg</t>
  </si>
  <si>
    <t>https://t.co/F6sX52dNtm https://pbs.twimg.com/media/FyqlqgFWIAE-5dE.jpg</t>
  </si>
  <si>
    <t>https://t.co/YLJGEuzJ8c https://pbs.twimg.com/media/FzQN4E1WIAI3tUe.jpg</t>
  </si>
  <si>
    <t>https://t.co/Cq27ggoA9D https://pbs.twimg.com/media/F2oibCqWMAIotUH.jpg</t>
  </si>
  <si>
    <t>https://t.co/QhuVAWQxWB https://pbs.twimg.com/media/F3fsNMwWIAA_0VU.jpg</t>
  </si>
  <si>
    <t>https://t.co/W6A1XHev64 https://pbs.twimg.com/media/F3f_us_XEAA40Pt.jpg</t>
  </si>
  <si>
    <t>https://t.co/8qbIcCgWoL https://pbs.twimg.com/media/F6kfwDnXgAESASq.jpg</t>
  </si>
  <si>
    <t>https://t.co/GMkXC7uodz https://pbs.twimg.com/media/F6pTcMDaAAE0209.jpg</t>
  </si>
  <si>
    <t>https://t.co/DdIHfvPemB https://pbs.twimg.com/media/FwxGH8hXoAEu2NI.jpg</t>
  </si>
  <si>
    <t>https://t.co/vq430A3I5Z https://pbs.twimg.com/media/F3xFSfBWoAEO2Hk.jpg</t>
  </si>
  <si>
    <t>https://t.co/GuI1yNO4bn https://pbs.twimg.com/media/F47y19zXwAAZhBf.jpg</t>
  </si>
  <si>
    <t>https://t.co/N3uoQzpFGO https://pbs.twimg.com/media/F2hSEHyXUAANKQv.jpg</t>
  </si>
  <si>
    <t>https://t.co/8FBbqVnN6G https://pbs.twimg.com/media/F2e5-mCXEAAgtrJ.jpg</t>
  </si>
  <si>
    <t>https://t.co/nLx9KkYlFE https://pbs.twimg.com/media/F6GZrxUWIAAzB_P.jpg</t>
  </si>
  <si>
    <t>https://t.co/O5qn14PM7z https://pbs.twimg.com/media/F6tJYFrXUAApGNH.jpg</t>
  </si>
  <si>
    <t>https://t.co/EZzbYFbEFp https://pbs.twimg.com/media/FzjyN4FWIAMUH69.jpg</t>
  </si>
  <si>
    <t>https://t.co/ACtMqLdZqe https://pbs.twimg.com/media/Fyb5ziaXsBAlHtV.jpg</t>
  </si>
  <si>
    <t>https://t.co/7xxJUQKIRc https://pbs.twimg.com/media/F0IU3bPWIAcsww6.jpg</t>
  </si>
  <si>
    <t>https://t.co/KIYcOgd9EB https://pbs.twimg.com/media/FzAXnRRX0AA0ERe.jpg</t>
  </si>
  <si>
    <t>https://t.co/7jIcY3xx64 https://pbs.twimg.com/media/F1SM6zpWIAERhRX.jpg</t>
  </si>
  <si>
    <t>https://t.co/1ysq2HxrPP https://pbs.twimg.com/media/F1QAMIbXsAEAJlr.jpg</t>
  </si>
  <si>
    <t>https://t.co/JY7dSjtB6M https://pbs.twimg.com/media/F2jvE0BW0AA08oE.jpg</t>
  </si>
  <si>
    <t>https://t.co/cH7Oq1cnx8 https://pbs.twimg.com/media/F4FPbQmW0AARbPc.jpg</t>
  </si>
  <si>
    <t>https://t.co/qIRrrPCfTu https://pbs.twimg.com/media/F3gdFeDWMAAFp4n.jpg</t>
  </si>
  <si>
    <t>https://t.co/1WB24RiIos https://pbs.twimg.com/media/F3gZZYBX0AkEOwR.jpg</t>
  </si>
  <si>
    <t>https://t.co/2jjcUYRApt https://pbs.twimg.com/media/F15jWreWAAo71j8.jpg</t>
  </si>
  <si>
    <t>https://t.co/vBKqxIKhUf https://pbs.twimg.com/media/F6VF1MRWsAAQdyB.jpg</t>
  </si>
  <si>
    <t>https://t.co/e1TUA19ntC https://pbs.twimg.com/media/F0PkmSnX0AEzrF4.jpg</t>
  </si>
  <si>
    <t>https://t.co/Rhc0JWGGFp https://pbs.twimg.com/media/F2dVyHdbIAAn8nV.jpg</t>
  </si>
  <si>
    <t>https://t.co/hO0Y1zG9Kz https://pbs.twimg.com/media/F1Z2C7VWAAIs3h4.jpg</t>
  </si>
  <si>
    <t>https://t.co/PQVNcTYqq1 https://pbs.twimg.com/media/F1o8eEUXwAETafV.jpg</t>
  </si>
  <si>
    <t>https://t.co/tjkNIHBLoQ https://pbs.twimg.com/media/F2nkekgWwAIIBIN.jpg</t>
  </si>
  <si>
    <t>https://t.co/IOv2n9uwD8 https://pbs.twimg.com/media/Fz0EdEmWIAAjdGn.jpg</t>
  </si>
  <si>
    <t>https://t.co/5oXsVMnbk9 https://pbs.twimg.com/ext_tw_video_thumb/1672629451031474176/pu/img/D3yvZRTEDxvc0Q3g.jpg</t>
  </si>
  <si>
    <t>https://t.co/GUjeNKEEgu https://t.co/GUjeNKEEgu https://pbs.twimg.com/media/FvnZskFXsAYcL2V.jpg https://pbs.twimg.com/media/FvnZskBXsAQcsS9.jpg</t>
  </si>
  <si>
    <t>https://t.co/YXE4TqMulC https://pbs.twimg.com/media/FwgGrAaXoAIh4pb.jpg</t>
  </si>
  <si>
    <t>https://t.co/dF5BuM1oZE https://pbs.twimg.com/media/Fx887LXXsAgf-ZV.jpg</t>
  </si>
  <si>
    <t>https://t.co/SNo30pIfkt https://pbs.twimg.com/tweet_video_thumb/F3dA0jhXsAApwJq.jpg</t>
  </si>
  <si>
    <t>https://t.co/fzfdKc60wH https://pbs.twimg.com/tweet_video_thumb/F3ASQcUW4AAv1ZV.jpg</t>
  </si>
  <si>
    <t>https://t.co/gRcfiC6aeD https://pbs.twimg.com/ext_tw_video_thumb/1696873216730419200/pu/img/BetP8nZ58qy9Hnim.jpg</t>
  </si>
  <si>
    <t>https://t.co/AfkykDMnEz https://pbs.twimg.com/media/F5TYT9yXAAA2kek.jpg</t>
  </si>
  <si>
    <t>https://t.co/UIGniHBDzo https://pbs.twimg.com/ext_tw_video_thumb/1662110488916893696/pu/img/mYiNFlSaB8nhL50U.jpg</t>
  </si>
  <si>
    <t>https://t.co/Szn7pGYqm6 https://pbs.twimg.com/media/FvPkt8gXgAAF5zy.png</t>
  </si>
  <si>
    <t>https://t.co/nOsioIkgxB https://pbs.twimg.com/media/Fx5NVXHWcAA50hx.jpg</t>
  </si>
  <si>
    <t>https://t.co/CpVTAAf7HX https://pbs.twimg.com/media/F2XbYbUXYAEKdjM.jpg</t>
  </si>
  <si>
    <t>https://t.co/5KQ1uaKOXH https://pbs.twimg.com/ext_tw_video_thumb/1675286723771658241/pu/img/mwsknL3DwQDc8D6J.jpg</t>
  </si>
  <si>
    <t>https://t.co/HubXmn2doW https://pbs.twimg.com/ext_tw_video_thumb/1677518268288974848/pu/img/57R25QknVk8tNemM.jpg</t>
  </si>
  <si>
    <t>https://t.co/p7nfKuXlM8 https://pbs.twimg.com/media/FxnqNtzWIAIu4vl.jpg</t>
  </si>
  <si>
    <t>https://t.co/W4TpUyeaFB https://pbs.twimg.com/ext_tw_video_thumb/1704508629229924352/pu/img/LVoyzJPUhdKfXP31.jpg</t>
  </si>
  <si>
    <t>https://t.co/qfDNNmwaoQ https://pbs.twimg.com/media/F1PYUMeXoAAmRMj.jpg</t>
  </si>
  <si>
    <t>https://t.co/5412ZsYAY2 https://pbs.twimg.com/media/FwG_I5uXoAMV1L4.jpg</t>
  </si>
  <si>
    <t>https://t.co/bBWZKK8khi https://pbs.twimg.com/media/FwMW2pKWIAIR0lQ.jpg</t>
  </si>
  <si>
    <t>https://t.co/D5oIVxuT07 https://pbs.twimg.com/media/F3gayqOW4AAxUvQ.jpg</t>
  </si>
  <si>
    <t>https://t.co/QlMscJrWDp https://pbs.twimg.com/media/F3gWoRkX0AQNVQn.jpg</t>
  </si>
  <si>
    <t>https://t.co/e4uPqPkd0v https://pbs.twimg.com/media/FysbOFYWAAQ6t-0.jpg</t>
  </si>
  <si>
    <t>https://t.co/XG3sT9wfou https://pbs.twimg.com/media/Fwwj5MXX0Ag-Hhf.jpg</t>
  </si>
  <si>
    <t>https://t.co/qszgRpNsSO https://pbs.twimg.com/media/F4D2orEWoAA4hpj.jpg</t>
  </si>
  <si>
    <t>https://t.co/zeTeX2Mj90 https://pbs.twimg.com/media/F3krAaOaIAAptzC.jpg</t>
  </si>
  <si>
    <t>https://t.co/O70W4yqsOG https://pbs.twimg.com/ext_tw_video_thumb/1691105049257136128/pu/img/r0tmqIRB65A5QIUZ.jpg</t>
  </si>
  <si>
    <t>https://t.co/jquCRXkhkE https://t.co/jquCRXkhkE https://t.co/jquCRXkhkE https://t.co/jquCRXkhkE https://pbs.twimg.com/media/F52PwjqW4AEeWQl.jpg https://pbs.twimg.com/media/F52PwkVWUAABXCS.jpg https://pbs.twimg.com/media/F52PwlKXQAAe02R.jpg https://pbs.twimg.com/media/F52Pwl7XcAAKLlh.jpg</t>
  </si>
  <si>
    <t>https://t.co/vYo2RFxYXM https://pbs.twimg.com/media/F4vrNJoXsAAbWLu.jpg</t>
  </si>
  <si>
    <t>https://t.co/K3lrTpmNjw https://pbs.twimg.com/media/F5XP0r4WEAAK-ym.jpg</t>
  </si>
  <si>
    <t>https://t.co/HxeAl3rHBA https://pbs.twimg.com/media/Fy3s-lFWYAA4k-n.jpg</t>
  </si>
  <si>
    <t>https://t.co/UitK1m5TFV https://pbs.twimg.com/media/F1VO802XwAArCzu.png</t>
  </si>
  <si>
    <t>https://t.co/87rY2HHk1F https://pbs.twimg.com/media/Fvn32bMXsBUNdZx.jpg</t>
  </si>
  <si>
    <t>https://t.co/bq4qPlRwwM https://pbs.twimg.com/media/FyNIMq6XoAAh9UZ.jpg</t>
  </si>
  <si>
    <t>https://t.co/kje8Ad9U68 https://pbs.twimg.com/media/FzQECatWIAQ3MkR.jpg</t>
  </si>
  <si>
    <t>https://t.co/ZWVRN9OYlC https://pbs.twimg.com/media/F5RlGlZW8AAUtfb.jpg</t>
  </si>
  <si>
    <t>https://t.co/94z2dBCa6N https://pbs.twimg.com/media/F6ZoMAgXYAAsLM-.jpg</t>
  </si>
  <si>
    <t>https://t.co/uP6vKSrLAu https://pbs.twimg.com/media/F7DOVDiWMAAf5rP.jpg</t>
  </si>
  <si>
    <t>https://t.co/QnH5fPre6C https://pbs.twimg.com/media/F2I22qzWkAAupwL.jpg</t>
  </si>
  <si>
    <t>https://t.co/pTDGjWmE6W https://pbs.twimg.com/media/F2s6Ws-XoAA17Xc.jpg</t>
  </si>
  <si>
    <t>https://t.co/3cg4EEdJnm https://pbs.twimg.com/media/F0PEhOAWIAIYu9e.jpg</t>
  </si>
  <si>
    <t>https://t.co/952t0mAVD9 https://pbs.twimg.com/media/Fy_puimXgAM8DB6.png</t>
  </si>
  <si>
    <t>https://t.co/ppQIZaeysL https://pbs.twimg.com/media/F2nnH-oWIAEdT_G.jpg</t>
  </si>
  <si>
    <t>https://t.co/iAuWTMce8s https://pbs.twimg.com/media/F2kWnd4WYAA3Q8H.jpg</t>
  </si>
  <si>
    <t>https://t.co/nqF4pO6Ukx https://pbs.twimg.com/media/F4LhmWNW8AAlgOl.jpg</t>
  </si>
  <si>
    <t>https://t.co/0A9NxWSlde https://pbs.twimg.com/media/FzLhb27XoAA5vEB.jpg</t>
  </si>
  <si>
    <t>https://t.co/u9bZQIX8mP https://pbs.twimg.com/media/FvKmMUaWAAEvNGy.png</t>
  </si>
  <si>
    <t>https://t.co/9zWEvDtQd5 https://pbs.twimg.com/ext_tw_video_thumb/1691621974739410944/pu/img/r6smYj318_4N28pD.jpg</t>
  </si>
  <si>
    <t>https://t.co/c5sKGUTo7i https://pbs.twimg.com/media/F56VEUqWYAEPJPf.jpg</t>
  </si>
  <si>
    <t>https://t.co/7AudszBFzb https://pbs.twimg.com/ext_tw_video_thumb/1655682200447201281/pu/img/j0wMlHbivDaSH0MR.jpg</t>
  </si>
  <si>
    <t>https://t.co/JTSt0co40F https://pbs.twimg.com/media/F6T6Hf_WAAA4-j1.jpg</t>
  </si>
  <si>
    <t>https://t.co/Yt179EGirw https://pbs.twimg.com/ext_tw_video_thumb/1658198221817036801/pu/img/GlUQ9-JBbjv0cgby.jpg</t>
  </si>
  <si>
    <t>https://t.co/RRZ4YW3B6U https://pbs.twimg.com/media/F0IZcRVWIA8nqXL.jpg</t>
  </si>
  <si>
    <t>https://t.co/EXQOMTcFqJ https://pbs.twimg.com/media/F3pzZklWIAAkh-_.jpg</t>
  </si>
  <si>
    <t>https://t.co/K4KkuKRc0U https://pbs.twimg.com/media/F2ap1OrWEAA2ZxJ.jpg</t>
  </si>
  <si>
    <t>https://t.co/rhZbxx3Cpw https://pbs.twimg.com/media/F5bbiS_bIAAiRDm.jpg</t>
  </si>
  <si>
    <t>https://t.co/kVX9iHk4AI https://pbs.twimg.com/media/F5Yan2cWIAEubTi.jpg</t>
  </si>
  <si>
    <t>https://t.co/FbAS85y1x1 https://pbs.twimg.com/media/F2Z1UUoXEAAqglb.jpg</t>
  </si>
  <si>
    <t>https://t.co/qvoohEZCkJ https://pbs.twimg.com/media/F4qM02CWIAATbqw.jpg</t>
  </si>
  <si>
    <t>https://t.co/X05geDGtLl https://pbs.twimg.com/ext_tw_video_thumb/1704476896354791424/pu/img/wWmn0ue3O90aVr6S.jpg</t>
  </si>
  <si>
    <t>https://t.co/4T7TrrQMmC https://pbs.twimg.com/ext_tw_video_thumb/1702595950726799364/pu/img/366WBH_XPdQovxXV.jpg</t>
  </si>
  <si>
    <t>https://t.co/pD4r6H6FIm https://pbs.twimg.com/ext_tw_video_thumb/1705278663883677696/pu/img/8wlt4uyVfTezj5c9.jpg</t>
  </si>
  <si>
    <t>https://t.co/eBEboGP6h0 https://pbs.twimg.com/ext_tw_video_thumb/1704793559159738368/pu/img/K_FkbVn7wJcA9Hc3.jpg</t>
  </si>
  <si>
    <t>https://t.co/1QdwZrG5qb https://pbs.twimg.com/ext_tw_video_thumb/1705621669748899840/pu/img/QG9z5oXxE-QffhVR.jpg</t>
  </si>
  <si>
    <t>https://t.co/Q77P22Kt3Q https://pbs.twimg.com/media/F6V80lVW8AAHtf-.jpg</t>
  </si>
  <si>
    <t>https://t.co/yhIEHJY7Z9 https://pbs.twimg.com/media/Fy_h5MuXsAIrYLO.jpg</t>
  </si>
  <si>
    <t>https://t.co/qCLxVXp2OE https://pbs.twimg.com/media/FxaM3hZXgAgRUB_.jpg</t>
  </si>
  <si>
    <t>https://t.co/fqODFvrRmV https://pbs.twimg.com/media/FxK8KiaXoAQDUz5.jpg</t>
  </si>
  <si>
    <t>https://t.co/Aa8nFiMFfB https://pbs.twimg.com/media/FvoylgzWcAAa1XS.jpg</t>
  </si>
  <si>
    <t>https://t.co/S738rWOzIk https://pbs.twimg.com/media/F019bljWcAEirrQ.jpg</t>
  </si>
  <si>
    <t>https://t.co/Ln0XeyaF2I https://t.co/Ln0XeyaF2I https://pbs.twimg.com/media/Fw01--VWwAcH76Q.jpg https://pbs.twimg.com/media/Fw01--TWcAgpsvK.png</t>
  </si>
  <si>
    <t>https://t.co/qbvY40a02S https://pbs.twimg.com/media/F282ShrWkAAwM4v.png</t>
  </si>
  <si>
    <t>https://t.co/0SBArJWQRa https://pbs.twimg.com/amplify_video_thumb/1658561008766443520/img/Hhy_5tCvN4vQ31zI.jpg</t>
  </si>
  <si>
    <t>https://t.co/W0rg1wCPuc https://pbs.twimg.com/media/F1avHiaWwAoYPlD.jpg</t>
  </si>
  <si>
    <t>https://t.co/ZB5ivt8JID https://t.co/ZB5ivt8JID https://t.co/ZB5ivt8JID https://t.co/ZB5ivt8JID https://pbs.twimg.com/media/F10XMAdWwAIsIAf.jpg https://pbs.twimg.com/media/F10XMnnWwAEeshO.jpg https://pbs.twimg.com/media/F10XNctWwAQzzDe.jpg https://pbs.twimg.com/media/F10XOYsWwBEzAiB.jpg</t>
  </si>
  <si>
    <t>https://t.co/Rd8lulVykn https://pbs.twimg.com/media/Fyh-i2pWcAAa6dA.jpg</t>
  </si>
  <si>
    <t>https://t.co/67HJ5Vix56 https://pbs.twimg.com/media/FxkZ65EXsAk-J18.jpg</t>
  </si>
  <si>
    <t>https://t.co/6pY6yRuXQp https://pbs.twimg.com/media/FygtTWjaYAU9Ez1.jpg</t>
  </si>
  <si>
    <t>https://t.co/JdhdXK8dmx https://pbs.twimg.com/amplify_video_thumb/1666550094743719941/img/MMOmABSxJhtIoSab.jpg</t>
  </si>
  <si>
    <t>https://t.co/2wvvHkF2X8 https://pbs.twimg.com/media/F60im3tWYAAY5wF.jpg</t>
  </si>
  <si>
    <t>https://t.co/YBMrmJ6xss https://pbs.twimg.com/media/F0_ryNkWYAElZtq.jpg</t>
  </si>
  <si>
    <t>https://t.co/PhGL8a0fOp https://pbs.twimg.com/media/F3qIsIUX0AAgZTg.jpg</t>
  </si>
  <si>
    <t>https://t.co/UQgvXhZGcU https://pbs.twimg.com/media/F0I7_2CX0AANqLG.jpg</t>
  </si>
  <si>
    <t>https://t.co/CGobGRY1ZG https://pbs.twimg.com/media/F0dPpezWIAcA9Cc.jpg</t>
  </si>
  <si>
    <t>https://t.co/NNVtQhvhRH https://pbs.twimg.com/media/F0YbwhYWYAc-sSr.jpg</t>
  </si>
  <si>
    <t>https://t.co/nSN2uHlBgN https://pbs.twimg.com/media/F2syir6XoAM9EeF.jpg</t>
  </si>
  <si>
    <t>https://t.co/Pk3K5uAKhq https://pbs.twimg.com/media/Fxh-EAzXsAAamzQ.png</t>
  </si>
  <si>
    <t>https://t.co/EGlzp6Gejc https://pbs.twimg.com/media/FzDxQxfWYAIDDYb.png</t>
  </si>
  <si>
    <t>https://t.co/7nn64wIWkE https://pbs.twimg.com/media/F29hihVXEAA5p1P.jpg</t>
  </si>
  <si>
    <t>https://t.co/tip4EMEweZ https://pbs.twimg.com/media/F0cwOgzXoAUniwz.jpg</t>
  </si>
  <si>
    <t>https://t.co/F2EUnsQMhb https://pbs.twimg.com/media/FyBpJMyXwAYI4l7.jpg</t>
  </si>
  <si>
    <t>https://t.co/ydVqaaKdZr https://pbs.twimg.com/media/F0cdRJsWYAYLPpY.jpg</t>
  </si>
  <si>
    <t>https://t.co/7e9yZVAFTY https://pbs.twimg.com/media/Fys83zQWYAEGRrr.jpg</t>
  </si>
  <si>
    <t>https://t.co/HQZi1pmEm8 https://pbs.twimg.com/media/FvVPb9UWYAAhKaa.jpg</t>
  </si>
  <si>
    <t>https://t.co/3AnYJvhOe3 https://pbs.twimg.com/ext_tw_video_thumb/1690372569554194433/pu/img/iW7cRvuCcbNHyvxG.jpg</t>
  </si>
  <si>
    <t>https://t.co/JPJL4jLqnp https://pbs.twimg.com/media/FzAfme_WAAIsOjl.jpg</t>
  </si>
  <si>
    <t>https://t.co/biHNHo9G54 https://pbs.twimg.com/media/FzRUeysXsAENG9o.jpg</t>
  </si>
  <si>
    <t>https://t.co/3igbAtYzFa https://pbs.twimg.com/media/FyCsdY8XoAAFgS4.jpg</t>
  </si>
  <si>
    <t>https://t.co/5HUpxOlv3I https://pbs.twimg.com/media/FzkgXYeWcAYG1FC.jpg</t>
  </si>
  <si>
    <t>https://t.co/Azez4FOTxe https://pbs.twimg.com/media/FydzY0qWAAA764h.jpg</t>
  </si>
  <si>
    <t>https://t.co/7JydE3wzkK https://pbs.twimg.com/media/FzWeq5sWIAA8mUf.jpg</t>
  </si>
  <si>
    <t>https://t.co/8Ry2FsVdVj https://pbs.twimg.com/media/FzVGSEBWIAsbocr.jpg</t>
  </si>
  <si>
    <t>https://t.co/61cT1y7ws4 https://pbs.twimg.com/media/F1lQpNpWwAIDGIw.jpg</t>
  </si>
  <si>
    <t>https://t.co/WHCtkupNFQ https://pbs.twimg.com/media/FzrFKV0XwAM80i9.jpg</t>
  </si>
  <si>
    <t>https://t.co/GfoexODMMA https://pbs.twimg.com/media/FzprLuSWIBQZLdF.jpg</t>
  </si>
  <si>
    <t>https://t.co/gaeMfnu2S6 https://pbs.twimg.com/media/F2kb-7QXYAAU_rC.jpg</t>
  </si>
  <si>
    <t>https://t.co/Rfq0WhP1nK https://pbs.twimg.com/media/F0xzFcvWIAABdV8.jpg</t>
  </si>
  <si>
    <t>https://t.co/2zFsZqRurB https://pbs.twimg.com/media/F0soodiX0AAf2Od.jpg</t>
  </si>
  <si>
    <t>https://t.co/wyVrJYNHEl https://pbs.twimg.com/media/F154H3BXoAAfpq-.jpg</t>
  </si>
  <si>
    <t>https://t.co/RYhxYQUIM8 https://pbs.twimg.com/media/Fzz9S8gX0AIUQA-.jpg</t>
  </si>
  <si>
    <t>https://t.co/Yh5UfoiAQo https://pbs.twimg.com/media/Fy2Ltq6WYAMKOkX.jpg</t>
  </si>
  <si>
    <t>https://t.co/4dmtwCmWwg https://pbs.twimg.com/media/FyxDCyDX0AExLrZ.jpg</t>
  </si>
  <si>
    <t>https://t.co/T7oQGvJbjo https://pbs.twimg.com/media/F1efyYzWAAE8MpP.jpg</t>
  </si>
  <si>
    <t>https://t.co/9a4uXeMsRR https://pbs.twimg.com/media/FzOx1BCaQAgXadE.jpg</t>
  </si>
  <si>
    <t>https://t.co/XytRAq3zwY https://pbs.twimg.com/media/FyCeEX-XsAEtHKh.jpg</t>
  </si>
  <si>
    <t>https://t.co/iVHSp5VcyN https://pbs.twimg.com/media/F0If82NWcAY1ybx.png</t>
  </si>
  <si>
    <t>https://t.co/4cZxGhPwKu https://pbs.twimg.com/media/FzAV6fuWAAUbcJO.jpg</t>
  </si>
  <si>
    <t>https://t.co/PwpkJ9t354 https://pbs.twimg.com/media/FzAQf9gXsAIOBiO.jpg</t>
  </si>
  <si>
    <t>https://t.co/9NaGAHii9J https://pbs.twimg.com/media/F2nG-WVboAEvBBr.jpg</t>
  </si>
  <si>
    <t>https://t.co/E4uM6rBENs https://pbs.twimg.com/media/F01wkXBWwAAkbsj.png</t>
  </si>
  <si>
    <t>https://t.co/MIvtZbUwGT https://pbs.twimg.com/media/F3f5hMHXYAACz2B.jpg</t>
  </si>
  <si>
    <t>https://t.co/EuDFCUXdC3 https://pbs.twimg.com/media/F10tDScXsAQm6M_.png</t>
  </si>
  <si>
    <t>https://t.co/qJvVMAbDrq https://pbs.twimg.com/media/Fzpx008XsAAeP18.jpg</t>
  </si>
  <si>
    <t>https://t.co/zFiYE86viS https://pbs.twimg.com/media/FzpwvtvXgAIkbFA.jpg</t>
  </si>
  <si>
    <t>https://t.co/RSijkpO35S https://pbs.twimg.com/media/F3Az802akAA1b28.jpg</t>
  </si>
  <si>
    <t>https://t.co/SwWejjkttc https://pbs.twimg.com/media/F2c0ldgbQAAPXMa.jpg</t>
  </si>
  <si>
    <t>https://t.co/kDG01zudf9 https://pbs.twimg.com/media/F2Y0HjnWsAIueGn.jpg</t>
  </si>
  <si>
    <t>https://t.co/PwpjvV7Z54 https://pbs.twimg.com/media/FzFZ-3tWAA42tLb.jpg</t>
  </si>
  <si>
    <t>https://t.co/D45tKy5nzg https://pbs.twimg.com/media/FzESGrCXoAAb7NB.jpg</t>
  </si>
  <si>
    <t>https://t.co/09ExdpC42q https://pbs.twimg.com/media/FzEKHD9WYAQ0MaP.jpg</t>
  </si>
  <si>
    <t>https://t.co/exbcWuHKWt https://pbs.twimg.com/media/Fw1jI6dWwAUjGET.png</t>
  </si>
  <si>
    <t>https://t.co/m0oV81mHCE https://pbs.twimg.com/media/F4UYP6dWUAACl58.jpg</t>
  </si>
  <si>
    <t>https://t.co/jeCB5YCsKk https://pbs.twimg.com/media/FwgpatKWIAAYUdq.jpg</t>
  </si>
  <si>
    <t>https://t.co/1Pf7DVOTch https://pbs.twimg.com/media/F5glY7JXcAAwWSX.jpg</t>
  </si>
  <si>
    <t>https://t.co/7yaBFallWK https://pbs.twimg.com/media/F1Ps3-4WcAEU_y5.jpg</t>
  </si>
  <si>
    <t>https://t.co/yKZhzFRprT https://pbs.twimg.com/media/FyM9xbHXgAANyZf.jpg</t>
  </si>
  <si>
    <t>https://t.co/C4IQj2QPYj https://pbs.twimg.com/media/FyM4XecWwAAWqif.jpg</t>
  </si>
  <si>
    <t>https://t.co/akBVYUkWJF https://pbs.twimg.com/media/FvSD7tUWIAAuPt3.png</t>
  </si>
  <si>
    <t>https://t.co/6IPBS32bfg https://pbs.twimg.com/media/F6fyxRoXcAAWuyX.png</t>
  </si>
  <si>
    <t>https://t.co/5Kgeq7JPVf https://pbs.twimg.com/media/FyhaIPqWIAcNUY4.jpg</t>
  </si>
  <si>
    <t>https://t.co/qnn6pePfeK https://pbs.twimg.com/media/FyhXOToWIAIFLWS.png</t>
  </si>
  <si>
    <t>https://t.co/eqiX307GHQ https://pbs.twimg.com/media/FwMSPxIWYAc0ozS.jpg</t>
  </si>
  <si>
    <t>https://t.co/LjDmL6OuG0 https://pbs.twimg.com/media/F3hVqitWYAA6S8Z.jpg</t>
  </si>
  <si>
    <t>https://t.co/cu2q0i7pNV https://pbs.twimg.com/ext_tw_video_thumb/1702673118970437632/pu/img/4QMeEGPW7GL8EMOZ.jpg</t>
  </si>
  <si>
    <t>https://t.co/1SsR8jbuvK https://pbs.twimg.com/media/FzLPwnNWAAEtldG.jpg</t>
  </si>
  <si>
    <t>https://t.co/62Bp66kB7C https://pbs.twimg.com/media/F0WFJ5PXwAEY-qV.jpg</t>
  </si>
  <si>
    <t>https://t.co/PHfRZYc213 https://pbs.twimg.com/media/Fv9te6DWcAADAG_.jpg</t>
  </si>
  <si>
    <t>https://t.co/ugEveZHTa7 https://pbs.twimg.com/media/F4VCJ3oWYAEQf5e.jpg</t>
  </si>
  <si>
    <t>https://t.co/kdN4yhCJWG https://pbs.twimg.com/media/F3RHApsXQAA5G1b.jpg</t>
  </si>
  <si>
    <t>https://t.co/tGbPughhE5 https://pbs.twimg.com/media/FwMblqCWYAAv8sx.jpg</t>
  </si>
  <si>
    <t>https://t.co/6W20iPYUKO https://pbs.twimg.com/media/FvPPFqTXwAQCrCr.jpg</t>
  </si>
  <si>
    <t>https://t.co/Y6zUZPaxnh https://pbs.twimg.com/ext_tw_video_thumb/1702343649667756032/pu/img/I_ZRAbqzQYHHeZ0e.jpg</t>
  </si>
  <si>
    <t>https://t.co/Nxn3dDfPII https://pbs.twimg.com/media/FvWDzpLWYAEc5kI.jpg</t>
  </si>
  <si>
    <t>https://t.co/Aupqe7KSjC https://pbs.twimg.com/media/F0Ixu8lXsAE3KrX.jpg</t>
  </si>
  <si>
    <t>https://t.co/FHATYDPtd5 https://pbs.twimg.com/ext_tw_video_thumb/1704620135175139328/pu/img/EPEqpd36QG17A0ve.jpg</t>
  </si>
  <si>
    <t>https://t.co/KNugLNcZk6 https://pbs.twimg.com/ext_tw_video_thumb/1706794874844983296/pu/img/MT_aaxEl_6xihzBt.jpg</t>
  </si>
  <si>
    <t>https://t.co/W2jDLEhZGi https://pbs.twimg.com/media/FvQfec8WIAEyXFe.jpg</t>
  </si>
  <si>
    <t>https://t.co/13WJxziSKU https://pbs.twimg.com/media/F6f-kbEX0AICHOK.jpg</t>
  </si>
  <si>
    <t>https://t.co/D9ae0RNtTV https://pbs.twimg.com/media/F32YpgtWAAESEDm.jpg</t>
  </si>
  <si>
    <t>https://t.co/FPkee5G1xG https://pbs.twimg.com/media/FylgAOYX0AA2JhK.jpg</t>
  </si>
  <si>
    <t>https://t.co/YvPLsvabEL https://pbs.twimg.com/media/FzPM-WlXsAIrFYf.jpg</t>
  </si>
  <si>
    <t>https://t.co/CL86vkH6Gj https://pbs.twimg.com/media/F1fbth-WwAEPAUN.jpg</t>
  </si>
  <si>
    <t>https://t.co/O8hQJ4Wmu1 https://pbs.twimg.com/media/F3qWHClWcAAJg6S.jpg</t>
  </si>
  <si>
    <t>https://t.co/8DFwddawVG https://pbs.twimg.com/media/F6Df3ETaIAAis8j.jpg</t>
  </si>
  <si>
    <t>https://t.co/a846xn5DId https://pbs.twimg.com/media/F4S-inbXEAAzOy6.png</t>
  </si>
  <si>
    <t>https://t.co/etqaxHCqGO https://pbs.twimg.com/ext_tw_video_thumb/1700172883375308800/pu/img/0R2OQTkjG3Tsajt8.jpg</t>
  </si>
  <si>
    <t>https://t.co/fQIRgrHh4w https://t.co/fQIRgrHh4w https://pbs.twimg.com/media/FvxJ8A2X0AAzl-g.jpg https://pbs.twimg.com/media/FvxKFNEXoAMIbFg.png</t>
  </si>
  <si>
    <t>https://t.co/qCTS7eFIvj https://pbs.twimg.com/media/FvzBH3uXoAYL4xU.jpg</t>
  </si>
  <si>
    <t>https://t.co/oMBiUnxnCn https://pbs.twimg.com/media/F4TVjVOasAIS5Zt.jpg</t>
  </si>
  <si>
    <t>https://t.co/3M5DTi3feV https://pbs.twimg.com/ext_tw_video_thumb/1707015473248808960/pu/img/OYyGXcMww9kAeiY5.jpg</t>
  </si>
  <si>
    <t>https://t.co/03VR19qdUw https://pbs.twimg.com/media/FztF-cCWIAEVdPK.jpg</t>
  </si>
  <si>
    <t>https://t.co/wE2Cse1A7q https://pbs.twimg.com/media/Fzoh8fuWAAgpIKi.jpg</t>
  </si>
  <si>
    <t>https://t.co/0DQztAYxGr https://pbs.twimg.com/media/FylR4k5WAAMeh7r.jpg</t>
  </si>
  <si>
    <t>https://t.co/Zf5NKZ2wQc https://pbs.twimg.com/media/FvZZYthWwAEbH_T.jpg</t>
  </si>
  <si>
    <t>https://t.co/HsS7nHypnP https://pbs.twimg.com/media/Fz4RSIgaUAARCe6.jpg</t>
  </si>
  <si>
    <t>https://t.co/6PGlIUxQG1 https://pbs.twimg.com/media/F52lOwNWYAEubI7.png</t>
  </si>
  <si>
    <t>https://t.co/XsfY1dziOv https://pbs.twimg.com/media/FxfJzq7XsAIIF6V.png</t>
  </si>
  <si>
    <t>https://t.co/wVXEwoM9o6 https://pbs.twimg.com/media/F5S3PEDXQAEjxTA.jpg</t>
  </si>
  <si>
    <t>https://t.co/OaZsvZO4KX https://pbs.twimg.com/ext_tw_video_thumb/1686752277493604353/pu/img/Nfx9Grs_AclnWrCK.jpg</t>
  </si>
  <si>
    <t>https://t.co/PYMxy4qRDR https://t.co/PYMxy4qRDR https://pbs.twimg.com/media/FzFYVwQWwAMr5w5.jpg https://pbs.twimg.com/media/FzFYVwsWAAAKLvk.jpg</t>
  </si>
  <si>
    <t>https://t.co/0WkKxVHzIs https://pbs.twimg.com/media/F6fHPCkWUAANqyb.jpg</t>
  </si>
  <si>
    <t>https://t.co/IHFdPfxrun https://pbs.twimg.com/tweet_video_thumb/F1UE_sRXsAAw7Sb.jpg</t>
  </si>
  <si>
    <t>https://t.co/vJkxzYmFfI https://pbs.twimg.com/ext_tw_video_thumb/1674950373176496131/pu/img/9QfAfK74QeGsryrz.jpg</t>
  </si>
  <si>
    <t>https://t.co/JdS9u4wfsN https://pbs.twimg.com/media/F2kVm2dXsAAdVhN.jpg</t>
  </si>
  <si>
    <t>https://t.co/yIRu1vxyIh https://pbs.twimg.com/media/F2icc5YWIAA6iTy.png</t>
  </si>
  <si>
    <t>https://t.co/i8pV4es4sZ https://pbs.twimg.com/media/F3G05uzXEAAEp2d.jpg</t>
  </si>
  <si>
    <t>https://t.co/R92LedmRrn https://pbs.twimg.com/media/F6fsKo8WIAANAVM.jpg</t>
  </si>
  <si>
    <t>https://t.co/Xdl6ycW3ai https://pbs.twimg.com/amplify_video_thumb/1686177228260818944/img/t9qwYUJjHlZYqqX0.jpg</t>
  </si>
  <si>
    <t>https://t.co/pv5tkbHURx https://pbs.twimg.com/media/FyhZFJ0XsAAIq4i.jpg</t>
  </si>
  <si>
    <t>https://t.co/kq0Zsd0iIg https://pbs.twimg.com/media/F0xVOJ6WwAAIYol.jpg</t>
  </si>
  <si>
    <t>https://t.co/q82CA6ksYC https://pbs.twimg.com/media/F4rO0ozX0AENYNH.jpg</t>
  </si>
  <si>
    <t>https://t.co/1x9kryz7j6 https://pbs.twimg.com/media/F2ZZmt6XQAIf3Wh.jpg</t>
  </si>
  <si>
    <t>https://t.co/bGGaARO4VI https://pbs.twimg.com/media/FzIw4hAWcAMB3j7.jpg</t>
  </si>
  <si>
    <t>https://t.co/BrUNVnMF4h https://pbs.twimg.com/media/F55aCx7WcAA_0k7.jpg</t>
  </si>
  <si>
    <t>https://t.co/x0d2xcAKAW https://pbs.twimg.com/media/F5U5ehKXYAA8wNU.jpg</t>
  </si>
  <si>
    <t>https://t.co/eIy0xhL5rk https://pbs.twimg.com/media/F26f_n1WcAAsQqy.jpg</t>
  </si>
  <si>
    <t>https://t.co/TxvFRJjaF7 https://pbs.twimg.com/media/FvxEQaSWAAMkmCl.jpg</t>
  </si>
  <si>
    <t>https://t.co/JuKi8HzrwQ https://pbs.twimg.com/media/F3f3teGWQAEAyDX.jpg</t>
  </si>
  <si>
    <t>https://t.co/Ruiqf5ShKJ https://pbs.twimg.com/media/F7DvUTgX0AAsMkc.png</t>
  </si>
  <si>
    <t>https://t.co/L9eKbSFwYQ https://t.co/L9eKbSFwYQ https://t.co/L9eKbSFwYQ https://t.co/L9eKbSFwYQ https://pbs.twimg.com/media/F5N4ZezXUAAqIB0.jpg https://pbs.twimg.com/media/F5N4ZezW0AAAZNU.jpg https://pbs.twimg.com/media/F5N4Ze0WYAAyBvO.jpg https://pbs.twimg.com/media/F5N4Ze3W0AAskSv.jpg</t>
  </si>
  <si>
    <t>https://t.co/uygcO6rvDe https://pbs.twimg.com/ext_tw_video_thumb/1657693063970471936/pu/img/nhlD3QVPeiNCQg4R.jpg</t>
  </si>
  <si>
    <t>https://t.co/bNzqhMWfIB https://pbs.twimg.com/media/Fvd0BpPXoAEcS-0.jpg</t>
  </si>
  <si>
    <t>https://t.co/HjSs2awSFz https://pbs.twimg.com/media/Fxeaz28X0AIA3f1.jpg</t>
  </si>
  <si>
    <t>https://t.co/dCbbnClg4l https://pbs.twimg.com/media/Fy6VzP2XwAAgZJr.jpg</t>
  </si>
  <si>
    <t>https://t.co/JzXkkTVf6b https://pbs.twimg.com/media/FzOIb8UXoAAZByo.jpg</t>
  </si>
  <si>
    <t>https://t.co/yZu1pfkYma https://pbs.twimg.com/media/F3lIL4fa8AAAqrb.jpg</t>
  </si>
  <si>
    <t>https://t.co/AmKVhFH1iA https://pbs.twimg.com/ext_tw_video_thumb/1672753203341934593/pu/img/mUuGTPs5G1DfdJ0U.jpg</t>
  </si>
  <si>
    <t>https://t.co/BaSHutXQ0l https://pbs.twimg.com/media/Fxd0P_6WIAMRctX.jpg</t>
  </si>
  <si>
    <t>https://t.co/Pv9tEpTpfS https://pbs.twimg.com/media/F2IP6DhXYAAeUiH.jpg</t>
  </si>
  <si>
    <t>https://t.co/fI3Jwl34f2 https://pbs.twimg.com/media/F2IRM_nWcAAPwo5.jpg</t>
  </si>
  <si>
    <t>https://t.co/U9HsTzT2HP https://pbs.twimg.com/ext_tw_video_thumb/1661502507829407744/pu/img/d-gSPFW-d44I_YjX.jpg</t>
  </si>
  <si>
    <t>https://t.co/CfiQgUrLLp https://pbs.twimg.com/ext_tw_video_thumb/1699149016053821440/pu/img/DZy8iblF_W5jD3sw.jpg</t>
  </si>
  <si>
    <t>https://t.co/KFDuF2E59l https://pbs.twimg.com/media/FvyRYsAWYAAuJzJ.jpg</t>
  </si>
  <si>
    <t>https://t.co/p5SO86hshn https://pbs.twimg.com/media/FxiZkCsX0AAAeha.jpg</t>
  </si>
  <si>
    <t>https://t.co/4EegL8x2J1 https://pbs.twimg.com/media/FwfwzQnWYAA8pi7.jpg</t>
  </si>
  <si>
    <t>https://t.co/aOTeQHdCrP https://pbs.twimg.com/media/FwQVDJiacAAoWOl.jpg</t>
  </si>
  <si>
    <t>https://t.co/gjuGlCWS97 https://pbs.twimg.com/media/F3gAQwraYAEn9Hn.jpg</t>
  </si>
  <si>
    <t>https://t.co/zwItHbLup9 https://pbs.twimg.com/media/F2D9spxWMAYUyJm.jpg</t>
  </si>
  <si>
    <t>https://t.co/CnDfpu3ovC https://pbs.twimg.com/media/F3BcL1FXQAAnjNb.jpg</t>
  </si>
  <si>
    <t>https://t.co/WtuZPUp141 https://pbs.twimg.com/media/Fz4kBNCXgAE6ORJ.png</t>
  </si>
  <si>
    <t>https://t.co/dHJmTJfOtM https://pbs.twimg.com/media/Fz46cfkaEAAwtQ4.jpg</t>
  </si>
  <si>
    <t>https://t.co/22ZM47Blcm https://pbs.twimg.com/media/F15vVoTWAAoI30V.jpg</t>
  </si>
  <si>
    <t>https://t.co/CooHz87SjU https://pbs.twimg.com/media/Fwx84mrXoAEkmiG.jpg</t>
  </si>
  <si>
    <t>https://t.co/eDusEU3YkI https://pbs.twimg.com/ext_tw_video_thumb/1673824020981071875/pu/img/K7bLNyv-zsAX0W4Q.jpg</t>
  </si>
  <si>
    <t>https://t.co/mtAawQAy9i https://pbs.twimg.com/media/F4pppiYXQAAbr1j.jpg</t>
  </si>
  <si>
    <t>https://t.co/UDBqWyATRX https://pbs.twimg.com/media/FyMindhWwA0B3YM.jpg</t>
  </si>
  <si>
    <t>https://t.co/OZX43mNDuK https://pbs.twimg.com/media/F28l3BeWwAAAA71.jpg</t>
  </si>
  <si>
    <t>https://t.co/rhSNLVp2zQ https://pbs.twimg.com/media/F4t6EEMWkAErvR6.jpg</t>
  </si>
  <si>
    <t>https://t.co/osqKpxAnSl https://pbs.twimg.com/media/F5M-l11WsAArFNs.jpg</t>
  </si>
  <si>
    <t>https://t.co/MLPu3LPMHe https://pbs.twimg.com/media/Fz0KvA7WcBIbZ7D.jpg</t>
  </si>
  <si>
    <t>https://t.co/hkFf2mzAxo https://pbs.twimg.com/media/F1APrxJX0AEJ2kt.jpg</t>
  </si>
  <si>
    <t>https://t.co/7Du4Tij6tU https://pbs.twimg.com/ext_tw_video_thumb/1674787484256043016/pu/img/x2Ro0Io8Y2onqnQ8.jpg</t>
  </si>
  <si>
    <t>https://t.co/wx8H7bZteA https://pbs.twimg.com/ext_tw_video_thumb/1659614072025825294/pu/img/YRnj12bfddakP9en.jpg</t>
  </si>
  <si>
    <t>https://t.co/DQjWVUQfTf https://pbs.twimg.com/ext_tw_video_thumb/1672235072655589381/pu/img/7UMdEOeXNirE6Tab.jpg</t>
  </si>
  <si>
    <t>https://t.co/sIp9fFKsGh https://pbs.twimg.com/ext_tw_video_thumb/1653836080641105920/pu/img/MbMcdFgx7R_zf5PJ.jpg</t>
  </si>
  <si>
    <t>https://t.co/Z8viBcWLgv https://pbs.twimg.com/media/Fya08GWWAAE1siV.jpg</t>
  </si>
  <si>
    <t>https://t.co/jZOo1e3Iv6 https://pbs.twimg.com/media/F4DUL2eWwAAQtNV.jpg</t>
  </si>
  <si>
    <t>https://t.co/ZlwMdaPQDJ https://pbs.twimg.com/media/F4nZYVpWUAA3ZGX.jpg</t>
  </si>
  <si>
    <t>https://t.co/W8oxw0w3un https://pbs.twimg.com/ext_tw_video_thumb/1691159579160190976/pu/img/mViaf37CS6xkC_cz.jpg</t>
  </si>
  <si>
    <t>https://t.co/j3ZcKVE2xg https://pbs.twimg.com/ext_tw_video_thumb/1671499487192260610/pu/img/xblhCl_jMIchFsQO.jpg</t>
  </si>
  <si>
    <t>https://t.co/iJInG5quBB https://pbs.twimg.com/ext_tw_video_thumb/1692540494545358848/pu/img/dOmffulM1ATeZ3sB.jpg</t>
  </si>
  <si>
    <t>https://t.co/EWfFU7PfSW https://pbs.twimg.com/ext_tw_video_thumb/1681761215775752194/pu/img/PWxd5aZHpDBeHu39.jpg</t>
  </si>
  <si>
    <t>https://t.co/ZsKOcG2mjq https://pbs.twimg.com/ext_tw_video_thumb/1681636658901401603/pu/img/i4kN9a29JRyew2Eu.jpg</t>
  </si>
  <si>
    <t>https://t.co/ubJsV8x3FV https://pbs.twimg.com/media/Fzi8lk2X0AA1qvQ.jpg</t>
  </si>
  <si>
    <t>https://t.co/WZrl9M01rR https://pbs.twimg.com/media/FvmknXrXoAAzAiV.jpg</t>
  </si>
  <si>
    <t>https://t.co/wM1BOoADMm https://pbs.twimg.com/media/F0G9z43X0AEkZxT.jpg</t>
  </si>
  <si>
    <t>https://t.co/wnbmJGWVGB https://pbs.twimg.com/media/Fy-4LYpWcAI6CBY.jpg</t>
  </si>
  <si>
    <t>https://t.co/okaWxtyU9i https://pbs.twimg.com/media/F6f_va-W0AAMJnn.jpg</t>
  </si>
  <si>
    <t>https://t.co/EdWunK0U7Z https://pbs.twimg.com/ext_tw_video_thumb/1699416353105473536/pu/img/TKuSPP90Lyqb4sH9.jpg</t>
  </si>
  <si>
    <t>https://t.co/FxWc6DSywx https://pbs.twimg.com/media/Fv7su61WAAMmm0F.jpg</t>
  </si>
  <si>
    <t>https://t.co/e0oqjxNcsN https://pbs.twimg.com/media/FwMZt0XWIAYIOjD.jpg</t>
  </si>
  <si>
    <t>https://t.co/iLbQsSbKUF https://pbs.twimg.com/media/FvVdGA8X0AAaTRn.png</t>
  </si>
  <si>
    <t>https://t.co/r7RlW1hbwr https://pbs.twimg.com/ext_tw_video_thumb/1672663466153263105/pu/img/xOT6aH3fe5PkpfEQ.jpg</t>
  </si>
  <si>
    <t>https://t.co/Iq9rnOSLyz https://pbs.twimg.com/ext_tw_video_thumb/1672663567902932993/pu/img/MFBvtas_k3SUZIy_.jpg</t>
  </si>
  <si>
    <t>https://t.co/YSbLKjnVKa https://pbs.twimg.com/media/FwH1ZeEX0AA0DJe.jpg</t>
  </si>
  <si>
    <t>https://t.co/NPGlaCXPWd https://pbs.twimg.com/media/Fyf95NhWAAE8gHz.jpg</t>
  </si>
  <si>
    <t>https://t.co/M1AgKd0ab1 https://pbs.twimg.com/media/FwwYlozX0Agaaqk.jpg</t>
  </si>
  <si>
    <t>https://t.co/HDnSe0c5vp https://pbs.twimg.com/media/FyOQh_HWwAAlyDa.jpg</t>
  </si>
  <si>
    <t>https://t.co/N3URLfgVXQ https://pbs.twimg.com/media/F6_u4o-XYAAGIwm.jpg</t>
  </si>
  <si>
    <t>https://t.co/ursv5yrhBo https://pbs.twimg.com/media/FvNI--QXwAMqz6N.jpg</t>
  </si>
  <si>
    <t>https://t.co/UvJ0oN5EJP https://pbs.twimg.com/media/F3AxjO_XoAA53__.png</t>
  </si>
  <si>
    <t>https://t.co/zMeZm4C7cl https://pbs.twimg.com/tweet_video_thumb/F2ZDXO2XoAAOh2W.jpg</t>
  </si>
  <si>
    <t>https://t.co/ebeSCt5HHq https://pbs.twimg.com/media/F2I3ghPXoBoxvmB.jpg</t>
  </si>
  <si>
    <t>https://t.co/7mLQjcMOvt https://pbs.twimg.com/media/F2I3ZcDXoBI6ZmB.jpg</t>
  </si>
  <si>
    <t>https://t.co/ftQQiFLC9i https://pbs.twimg.com/media/F2I3TC3XoBcTZG7.jpg</t>
  </si>
  <si>
    <t>https://t.co/CjY63Cm8BR https://pbs.twimg.com/tweet_video_thumb/F2jZSU4XkAAHs_4.jpg</t>
  </si>
  <si>
    <t>https://t.co/e74tbWzBki https://t.co/e74tbWzBki https://t.co/e74tbWzBki https://t.co/e74tbWzBki https://pbs.twimg.com/media/FzysP6aWcAASz1Q.jpg https://pbs.twimg.com/media/FzysUkUWAAALT-q.jpg https://pbs.twimg.com/media/FzysUlHWwAMS7oe.jpg https://pbs.twimg.com/media/FzysXlYWIAkfhbc.jpg</t>
  </si>
  <si>
    <t>https://t.co/4X47QU9nfI https://pbs.twimg.com/media/Fyu6p-ZWAAEgXJ-.jpg</t>
  </si>
  <si>
    <t>https://t.co/bXxxWNPugO https://pbs.twimg.com/media/F3e_ceQWkAAe5cm.jpg</t>
  </si>
  <si>
    <t>https://t.co/yf3WzxqEr9 https://pbs.twimg.com/media/F0v1z1VWYAAWBbb.jpg</t>
  </si>
  <si>
    <t>https://t.co/pU025Frlkt https://pbs.twimg.com/media/Fxm_VX6WYAAvUyq.jpg</t>
  </si>
  <si>
    <t>https://t.co/ZuEBibsM5h https://pbs.twimg.com/media/F4Sab1IWEAAOPWl.jpg</t>
  </si>
  <si>
    <t>https://t.co/N9FESgTWBT https://pbs.twimg.com/media/F3f9aWTXcAATYGq.jpg</t>
  </si>
  <si>
    <t>https://t.co/SioPfkob5g https://pbs.twimg.com/media/F27RsNyWAAARUDF.jpg</t>
  </si>
  <si>
    <t>https://t.co/TBJhB0siFe https://pbs.twimg.com/media/Fzthg4IWIAIA4yv.jpg</t>
  </si>
  <si>
    <t>https://t.co/7xrFgL58X1 https://pbs.twimg.com/media/Fv2BTepXwAIHcjT.jpg</t>
  </si>
  <si>
    <t>https://t.co/jTNhLxVYtG https://pbs.twimg.com/media/F5MGqGMW4AApb6-.jpg</t>
  </si>
  <si>
    <t>https://t.co/4PkXE8XxmW https://pbs.twimg.com/media/F3PSyQQW8AA-5bp.jpg</t>
  </si>
  <si>
    <t>https://t.co/GOUz219fUV https://pbs.twimg.com/media/FyCIirnWIAAo-nt.jpg</t>
  </si>
  <si>
    <t>https://t.co/77QtB2lINp https://t.co/77QtB2lINp https://pbs.twimg.com/media/FyA9CiOWcAA4A9n.jpg https://pbs.twimg.com/media/FyA9CiMWIAQ-wW8.jpg</t>
  </si>
  <si>
    <t>https://t.co/3doVTOwkIT https://pbs.twimg.com/media/Fx9A3lJWcAECqCQ.jpg</t>
  </si>
  <si>
    <t>https://t.co/JSUwhdNpJx https://pbs.twimg.com/media/Fx3WlZRWAAEBmbB.jpg</t>
  </si>
  <si>
    <t>https://t.co/SqDWw4ijr4 https://t.co/SqDWw4ijr4 https://t.co/SqDWw4ijr4 https://t.co/SqDWw4ijr4 https://pbs.twimg.com/media/F5XMUvdXAAAQE3o.jpg https://pbs.twimg.com/media/F5XMc9EXAAA50l6.jpg https://pbs.twimg.com/media/F5XMeoIWcAA7CG7.jpg https://pbs.twimg.com/media/F5XMtnMXQAA_VSk.jpg</t>
  </si>
  <si>
    <t>https://t.co/VLfO8uo7YC https://pbs.twimg.com/media/F4tGzW_a4AAPooi.jpg</t>
  </si>
  <si>
    <t>https://t.co/oiVsFHHr96 https://pbs.twimg.com/media/F3kDl78XEAAgIIS.jpg</t>
  </si>
  <si>
    <t>https://t.co/jNkJXomdQY https://pbs.twimg.com/media/F2cz_fdaAAAPLtg.jpg</t>
  </si>
  <si>
    <t>https://t.co/FwO88wsCuw https://pbs.twimg.com/media/F2X356fWUAEDaWK.jpg</t>
  </si>
  <si>
    <t>https://t.co/XuODgxfIkv https://pbs.twimg.com/media/FzJ9vfLWAAMxMSc.jpg</t>
  </si>
  <si>
    <t>https://t.co/dacwfwjzjY https://t.co/dacwfwjzjY https://t.co/dacwfwjzjY https://t.co/dacwfwjzjY https://pbs.twimg.com/media/Fw0nlnDaAAssPMJ.jpg https://pbs.twimg.com/media/Fw0nnBwagAEBxHT.jpg https://pbs.twimg.com/media/Fw0noHEaEAAJmfX.jpg https://pbs.twimg.com/media/Fw0npNxaUAEbq56.jpg</t>
  </si>
  <si>
    <t>https://t.co/EpiY3RiPpk https://pbs.twimg.com/media/F1jHmYUX0AAFwem.jpg</t>
  </si>
  <si>
    <t>https://t.co/NbsjqBXTtX https://pbs.twimg.com/media/F1Y1jf9WwAQP7Mr.jpg</t>
  </si>
  <si>
    <t>https://t.co/l4K2ppxDT7 https://pbs.twimg.com/media/FzokkjJaUAASU5O.jpg</t>
  </si>
  <si>
    <t>https://t.co/UaoxwJOT6m https://pbs.twimg.com/media/F5hPGpTW0AAqJkh.jpg</t>
  </si>
  <si>
    <t>https://t.co/XOPU5ijj6h https://pbs.twimg.com/media/F3o8WrqX0AILsNn.jpg</t>
  </si>
  <si>
    <t>https://t.co/UrLYvbF0iF https://pbs.twimg.com/media/F3LXmvhaoAIRT_W.jpg</t>
  </si>
  <si>
    <t>https://t.co/dtagiDiglA https://pbs.twimg.com/media/F3GQJk1XAAEnqYn.jpg</t>
  </si>
  <si>
    <t>https://t.co/h0O0Qnckd5 https://pbs.twimg.com/media/FzT_ojZaMAEQNoB.jpg</t>
  </si>
  <si>
    <t>https://t.co/muuKqfCGGc https://pbs.twimg.com/media/FybdQMwXwAI7QJo.jpg</t>
  </si>
  <si>
    <t>https://t.co/bkXXR8hoof https://pbs.twimg.com/media/Fyaat9iWAAEE2n4.jpg</t>
  </si>
  <si>
    <t>https://t.co/TmLeczxmOP https://pbs.twimg.com/media/FyLDN0jX0AcLjJi.jpg</t>
  </si>
  <si>
    <t>https://t.co/zrq3MHxKIZ https://pbs.twimg.com/media/FyKku2eWwAInFW0.jpg</t>
  </si>
  <si>
    <t>https://t.co/wciCG7rc14 https://pbs.twimg.com/media/F3lPyQWW4AAJEyc.jpg</t>
  </si>
  <si>
    <t>https://t.co/MTP6mn6SRX https://pbs.twimg.com/media/F2WkmYmXcAAbydY.jpg</t>
  </si>
  <si>
    <t>https://t.co/sh5QGBb40b https://pbs.twimg.com/media/F0H4QP3WwAEMrui.jpg</t>
  </si>
  <si>
    <t>https://t.co/AGXMpGrAMv https://pbs.twimg.com/media/Fz4sDYQWIAA8xfU.jpg</t>
  </si>
  <si>
    <t>https://t.co/R75HbgwA8t https://pbs.twimg.com/media/F3hYI1vXQAAecUP.png</t>
  </si>
  <si>
    <t>https://t.co/k6fdhIYqAQ https://pbs.twimg.com/ext_tw_video_thumb/1692375915580297216/pu/img/Jw76_PNHsFPNRTo-.jpg</t>
  </si>
  <si>
    <t>https://t.co/FZZ4v4eoSB https://pbs.twimg.com/media/F0roxu-X0AE25TY.jpg</t>
  </si>
  <si>
    <t>https://t.co/U1CR7OaTQv https://pbs.twimg.com/media/F1BzCEvWYAAzsXp.jpg</t>
  </si>
  <si>
    <t>https://t.co/wj1MsnksEf https://pbs.twimg.com/media/F2CvgyBWEAE8n1_.jpg</t>
  </si>
  <si>
    <t>https://t.co/4dx8ng0Ule https://pbs.twimg.com/media/F4iwluxWwAAsmc-.jpg</t>
  </si>
  <si>
    <t>https://t.co/6C7qAJfZ3s https://pbs.twimg.com/media/F1BmA89WwAIYC-v.jpg</t>
  </si>
  <si>
    <t>https://t.co/1rHGjywhXv https://pbs.twimg.com/media/F0eUV7eWcAQcB3n.jpg</t>
  </si>
  <si>
    <t>https://t.co/Wr407lfdop https://pbs.twimg.com/media/FxvF5xNXwAMdyEQ.jpg</t>
  </si>
  <si>
    <t>https://t.co/R0ozckU9gC https://pbs.twimg.com/media/F3f7jKkWMAANjKl.jpg</t>
  </si>
  <si>
    <t>https://t.co/R5iL8hS6YD https://pbs.twimg.com/media/F32SHibWcAEK05r.jpg</t>
  </si>
  <si>
    <t>https://t.co/Px8KhtMcXM https://pbs.twimg.com/media/F45qdM4XUAAkRtf.jpg</t>
  </si>
  <si>
    <t>https://t.co/zmRKg2KCJA https://pbs.twimg.com/media/F2pgYvlXgAASqpa.jpg</t>
  </si>
  <si>
    <t>https://t.co/Y0HdVLOICg https://pbs.twimg.com/media/F4pTItKXkAIk0gq.jpg</t>
  </si>
  <si>
    <t>https://t.co/34exmEPToo https://pbs.twimg.com/media/F1kxz4ZWIAgzGLj.jpg</t>
  </si>
  <si>
    <t>https://t.co/p1mbJcEOBl https://pbs.twimg.com/media/F1kH5KfWYAMr1n-.jpg</t>
  </si>
  <si>
    <t>https://t.co/AdXiKTFGNg https://pbs.twimg.com/ext_tw_video_thumb/1686755653065244672/pu/img/dUCtcTcey2IQs9K9.jpg</t>
  </si>
  <si>
    <t>https://t.co/X9nUCIQcmT https://pbs.twimg.com/media/F1V41Q3WAAQ-0uy.jpg</t>
  </si>
  <si>
    <t>https://t.co/d0brtk9n7R https://pbs.twimg.com/media/F3MAAVFWgAAKtQ0.png</t>
  </si>
  <si>
    <t>https://t.co/UoNGgwhXMl https://pbs.twimg.com/media/FxDxUB3XoAEf3xS.jpg</t>
  </si>
  <si>
    <t>https://t.co/VRTC7f82eJ https://pbs.twimg.com/media/FzMJeSCX0AAE28P.jpg</t>
  </si>
  <si>
    <t>https://t.co/3i40xU9lBq https://t.co/3i40xU9lBq https://t.co/3i40xU9lBq https://t.co/3i40xU9lBq https://pbs.twimg.com/media/FyRyQbXWYAgEjw3.jpg https://pbs.twimg.com/media/FyRyQbXXoAAztPy.jpg https://pbs.twimg.com/media/FyRyQbTWIAcT6Ec.jpg https://pbs.twimg.com/media/FyRyQbZXoAAraMr.jpg</t>
  </si>
  <si>
    <t>https://t.co/wTPn2ho3jX https://pbs.twimg.com/ext_tw_video_thumb/1654963792168583169/pu/img/oXamSV_dW2QASeqm.jpg</t>
  </si>
  <si>
    <t>https://t.co/c4jbx7EYcG https://pbs.twimg.com/ext_tw_video_thumb/1657149065400840195/pu/img/3wJ1MAdxsAm8ynb1.jpg</t>
  </si>
  <si>
    <t>https://t.co/1WK9d7iWle https://pbs.twimg.com/ext_tw_video_thumb/1670910262558203905/pu/img/u3kAmigmUnHj0gMf.jpg</t>
  </si>
  <si>
    <t>https://t.co/GUlicU5Pyd https://pbs.twimg.com/ext_tw_video_thumb/1670158436632350723/pu/img/U1cT7vxzCkmNGaSx.jpg</t>
  </si>
  <si>
    <t>https://t.co/oSuLAW21UV https://pbs.twimg.com/ext_tw_video_thumb/1677091310694539272/pu/img/oNQ30WnmjIRP7MnO.jpg</t>
  </si>
  <si>
    <t>https://t.co/Djy2ybpZA3 https://pbs.twimg.com/ext_tw_video_thumb/1671995837524717570/pu/img/MkO0XmC9es_Nb672.jpg</t>
  </si>
  <si>
    <t>https://t.co/63dAP6HNzo https://pbs.twimg.com/ext_tw_video_thumb/1707511648871682048/pu/img/iShssj-xDOeLI3RY.jpg</t>
  </si>
  <si>
    <t>https://t.co/aMLCeImhrL https://pbs.twimg.com/ext_tw_video_thumb/1673105315879895041/pu/img/6u7ldOPXhqNjEkMD.jpg</t>
  </si>
  <si>
    <t>https://t.co/OiTL7B5uCy https://pbs.twimg.com/ext_tw_video_thumb/1686041572188565504/pu/img/91qG8Fykcee7Z5yj.jpg</t>
  </si>
  <si>
    <t>https://t.co/LOsbKgl8et https://t.co/LOsbKgl8et https://t.co/LOsbKgl8et https://t.co/LOsbKgl8et https://pbs.twimg.com/media/F5dmxkBXkAAWmnM.jpg https://pbs.twimg.com/media/F5dmxj-XMAAsvNW.jpg https://pbs.twimg.com/media/F5dmxkAXoAAfALD.jpg https://pbs.twimg.com/media/F5dmxkAWgAAPLHG.jpg</t>
  </si>
  <si>
    <t>https://t.co/wPZZqtQSiW https://t.co/wPZZqtQSiW https://pbs.twimg.com/media/F5bMcd5WYAAq0VM.jpg https://pbs.twimg.com/media/F5bMcd6X0AA5g4_.jpg</t>
  </si>
  <si>
    <t>https://t.co/wB5EiWuX6I https://pbs.twimg.com/media/F7I0fzmXgAASoHe.jpg</t>
  </si>
  <si>
    <t>https://t.co/fkcOcdONWH https://pbs.twimg.com/media/F3qmkNoWMAIFw4L.jpg</t>
  </si>
  <si>
    <t>https://t.co/OZKAyFYaTv https://pbs.twimg.com/amplify_video_thumb/1669688312179888129/img/_L602rcp5b3DPjM5.jpg</t>
  </si>
  <si>
    <t>https://t.co/Letwb3zMvR https://pbs.twimg.com/amplify_video_thumb/1676233986253660161/img/S3Q1iqXPwpRMmRWK.jpg</t>
  </si>
  <si>
    <t>https://t.co/upMSOkzj4l https://pbs.twimg.com/amplify_video_thumb/1676211296839290881/img/SppNPYkP-hchLJf6.jpg</t>
  </si>
  <si>
    <t>https://t.co/HrQM9qM6cS https://pbs.twimg.com/amplify_video_thumb/1671178379058348035/img/U7GFfR1lYbuFl2Wv.jpg</t>
  </si>
  <si>
    <t>https://t.co/ldjOljxPVU https://pbs.twimg.com/amplify_video_thumb/1687815752697380871/img/E-GMU0QSTY8zzMky.jpg</t>
  </si>
  <si>
    <t>https://t.co/1LoHzhCMCn https://pbs.twimg.com/amplify_video_thumb/1682853521907957760/img/zRaE8f78VpqIyrur.jpg</t>
  </si>
  <si>
    <t>https://t.co/D7KcQMnxmW https://pbs.twimg.com/amplify_video_thumb/1674015297744011264/img/6tKvuq6h8ixZRHkg.jpg</t>
  </si>
  <si>
    <t>https://t.co/F0PzFaSiPI https://pbs.twimg.com/amplify_video_thumb/1668939856527908873/img/s99Y5YsYhzpyvgPF.jpg</t>
  </si>
  <si>
    <t>https://t.co/h37xbrU4WA https://pbs.twimg.com/amplify_video_thumb/1686693480578568192/img/SjdyVAGHXxFh-blR.jpg</t>
  </si>
  <si>
    <t>https://t.co/o2tiJ0Ofkw https://pbs.twimg.com/amplify_video_thumb/1672657240191533058/img/2FlcSCtM8VW9aL-k.jpg</t>
  </si>
  <si>
    <t>https://t.co/mLJ2kwx8I4 https://pbs.twimg.com/amplify_video_thumb/1672262814201958400/img/J0o_FNkqBACPv7M-.jpg</t>
  </si>
  <si>
    <t>https://t.co/iOdW182P88 https://pbs.twimg.com/amplify_video_thumb/1667145483884843008/img/BUaoYsNgWXWICA-9.jpg</t>
  </si>
  <si>
    <t>https://t.co/ajD6PKij9u https://pbs.twimg.com/amplify_video_thumb/1666761111868153856/img/3D8xM57giX9TJ6Ss.jpg</t>
  </si>
  <si>
    <t>https://t.co/1dw5gGwoqN https://pbs.twimg.com/amplify_video_thumb/1693943547253465088/img/y8vWAPM6t42gSOf_.jpg</t>
  </si>
  <si>
    <t>https://t.co/AL5SXFiUoL https://pbs.twimg.com/amplify_video_thumb/1678019737396170753/img/7QtRCXXxtUZb1OhI.jpg</t>
  </si>
  <si>
    <t>https://t.co/BKmpnk8BvU https://pbs.twimg.com/amplify_video_thumb/1671852853097553922/img/SdyDO7edgGq9psBt.jpg</t>
  </si>
  <si>
    <t>https://t.co/C7DYgYXf2P https://pbs.twimg.com/amplify_video_thumb/1671845294835904512/img/fllG4skfBl7g2h_K.jpg</t>
  </si>
  <si>
    <t>https://t.co/5Y1cFI4SJF https://pbs.twimg.com/amplify_video_thumb/1692947490767515648/img/ygOX1-r6e_DAZ-Pb.jpg</t>
  </si>
  <si>
    <t>https://t.co/sYVanC12ZG https://pbs.twimg.com/amplify_video_thumb/1690687011722575872/img/8AUl04mKcbfOQlpT.jpg</t>
  </si>
  <si>
    <t>https://t.co/YAHkY6QKeI https://pbs.twimg.com/amplify_video_thumb/1681620627948552194/img/9o3GnwCXgJHV3vxl.jpg</t>
  </si>
  <si>
    <t>https://t.co/VnAOmC0Zfk https://pbs.twimg.com/amplify_video_thumb/1673658391154270208/img/hKUgvJENGUBm1mxD.jpg</t>
  </si>
  <si>
    <t>https://t.co/2mHo4dHwkL https://pbs.twimg.com/amplify_video_thumb/1668571790573027330/img/BRYRosAEmDEV4P6S.jpg</t>
  </si>
  <si>
    <t>https://t.co/n3Gn3D2mu3 https://pbs.twimg.com/amplify_video_thumb/1704984581827342336/img/1XjpsE2RIbH5-IOr.jpg</t>
  </si>
  <si>
    <t>https://t.co/ueEW5rSibN https://pbs.twimg.com/amplify_video_thumb/1704984581827342336/img/1XjpsE2RIbH5-IOr.jpg</t>
  </si>
  <si>
    <t>https://t.co/zraSNbhyVz https://pbs.twimg.com/amplify_video_thumb/1696498932430290945/img/hsMUThhmAf1csaze.jpg</t>
  </si>
  <si>
    <t>https://t.co/25X7MI7pLi https://pbs.twimg.com/amplify_video_thumb/1670567587657269248/img/0a1fyle45wOgsiWZ.jpg</t>
  </si>
  <si>
    <t>https://t.co/UlOpSEG36w https://pbs.twimg.com/amplify_video_thumb/1670572419235344385/img/AY18S6UtifY-vmOT.jpg</t>
  </si>
  <si>
    <t>https://t.co/Nl9vzH5mbL https://pbs.twimg.com/ext_tw_video_thumb/1707141368986931200/pu/img/sYHjOxYavB3oNmtT.jpg</t>
  </si>
  <si>
    <t>https://t.co/SSzgBbj4nb https://pbs.twimg.com/amplify_video_thumb/1698012218879574016/img/fh6kfw0wzVKMRQoh.jpg</t>
  </si>
  <si>
    <t>https://t.co/SuXd8MLVAB https://pbs.twimg.com/amplify_video_thumb/1676912665854201856/img/9AIvFh6-Nm4ybzep.jpg</t>
  </si>
  <si>
    <t>https://t.co/PmO7jfJyXD https://pbs.twimg.com/amplify_video_thumb/1664961031494590465/img/IuFLtT3SWPOgmIM1.jpg</t>
  </si>
  <si>
    <t>https://t.co/jqSthGQwGj https://pbs.twimg.com/media/F2EN2JoXoAAimBo.jpg</t>
  </si>
  <si>
    <t>https://t.co/FcwGC6pmt7 https://pbs.twimg.com/media/F4oxudOWoAAo-v2.jpg</t>
  </si>
  <si>
    <t>https://t.co/CUWItdHjv4 https://pbs.twimg.com/ext_tw_video_thumb/1658177364918927360/pu/img/VKtQga3SPccYdpya.jpg</t>
  </si>
  <si>
    <t>https://t.co/WRXntZaUIm https://pbs.twimg.com/media/F5ftqcKW8AAgLUA.jpg</t>
  </si>
  <si>
    <t>https://t.co/qGP3WE0CeQ https://pbs.twimg.com/media/Fzqv5OAXoAIpMHd.jpg</t>
  </si>
  <si>
    <t>https://t.co/DP8dHBXAgl https://pbs.twimg.com/media/F2ZaJM6XIAA_XHB.jpg</t>
  </si>
  <si>
    <t>https://t.co/no489HFeNs https://pbs.twimg.com/media/FzpfbIdWIA4Jyu0.jpg</t>
  </si>
  <si>
    <t>https://t.co/WlDcqgDl6a https://pbs.twimg.com/media/FylWQdmWwAIvYv5.jpg</t>
  </si>
  <si>
    <t>https://t.co/9W1NQdoRmg https://pbs.twimg.com/media/Fzbee7HXwAEylHu.jpg</t>
  </si>
  <si>
    <t>https://t.co/9dNEfyAINe https://pbs.twimg.com/media/Fz1T5O7XgAAaA0R.jpg</t>
  </si>
  <si>
    <t>https://t.co/swO11zr3Gl https://pbs.twimg.com/media/F017JAEXwAE4lfE.jpg</t>
  </si>
  <si>
    <t>https://t.co/1Jn2BbhyWk https://pbs.twimg.com/media/F1GbGGTXsAA1eaV.jpg</t>
  </si>
  <si>
    <t>https://t.co/sIqhE1LMha https://pbs.twimg.com/media/F7FDdI8XIAEddWh.jpg</t>
  </si>
  <si>
    <t>https://t.co/kppM2AblAQ https://pbs.twimg.com/media/F0_gpu1WwAAns1F.jpg</t>
  </si>
  <si>
    <t>https://t.co/VUDK2JbWwu https://pbs.twimg.com/ext_tw_video_thumb/1669386380735029248/pu/img/zahboFPdgBAJpRr9.jpg</t>
  </si>
  <si>
    <t>https://t.co/zDyM058E5m https://t.co/zDyM058E5m https://pbs.twimg.com/media/F2dfe6fX0AsObyF.jpg https://pbs.twimg.com/media/F2dffDRW4AAVoRQ.jpg</t>
  </si>
  <si>
    <t>https://t.co/RkBUUNRkCO https://pbs.twimg.com/media/F4PsXyWWsAAnFLu.jpg</t>
  </si>
  <si>
    <t>https://t.co/lW6k3Zwm9h https://pbs.twimg.com/media/F147Ia1XsAEd2VX.jpg</t>
  </si>
  <si>
    <t>https://t.co/D4pzeXoNRm https://pbs.twimg.com/media/F3k9mITacAIgXGp.jpg</t>
  </si>
  <si>
    <t>https://t.co/mxNaUy0HsF https://pbs.twimg.com/media/Fw17gH5WYAEUE5V.jpg</t>
  </si>
  <si>
    <t>https://t.co/0qaZvFcVal https://pbs.twimg.com/media/Fw_CWL0WAAEt-9p.jpg</t>
  </si>
  <si>
    <t>https://t.co/nZlohix0sJ https://pbs.twimg.com/media/F3v9km3XMAknFpF.jpg</t>
  </si>
  <si>
    <t>https://t.co/bR7QY6Ykxg https://pbs.twimg.com/media/F6azi2LXcAA-2MU.jpg</t>
  </si>
  <si>
    <t>https://t.co/EquBkjn9GA https://pbs.twimg.com/media/Fs47zZbWIAItvnn.jpg</t>
  </si>
  <si>
    <t>https://t.co/lpQ955Xew9 https://pbs.twimg.com/media/F0sadXbWYAIeEAs.jpg</t>
  </si>
  <si>
    <t>https://t.co/zOgeUEtdyY https://pbs.twimg.com/media/Fx-GbI6WYA8L5h0.jpg</t>
  </si>
  <si>
    <t>https://t.co/pTq8UNma1C https://pbs.twimg.com/media/F6fLpQfXcAAdXzA.jpg</t>
  </si>
  <si>
    <t>https://t.co/dXShXqskVU https://pbs.twimg.com/media/FxVJtSoXoAAVlUl.jpg</t>
  </si>
  <si>
    <t>https://t.co/vXbxlWOA4g https://pbs.twimg.com/media/Fx43UlwXsAApZqf.jpg</t>
  </si>
  <si>
    <t>https://t.co/RNviZaj6ES https://pbs.twimg.com/media/F3f1ScBWgAAFPXw.jpg</t>
  </si>
  <si>
    <t>https://t.co/zI2UbQCNds https://pbs.twimg.com/media/FvTUHrSXsAEuW8n.png</t>
  </si>
  <si>
    <t>https://t.co/EfbbrqkszK https://pbs.twimg.com/media/FywwoBZXoAcHVyt.jpg</t>
  </si>
  <si>
    <t>https://t.co/7f4kbINoCy https://pbs.twimg.com/media/F0StJsJXgAAdHSZ.jpg</t>
  </si>
  <si>
    <t>https://t.co/m5l6GFjtPt https://pbs.twimg.com/media/F2n1MKrXkAI9mHx.jpg</t>
  </si>
  <si>
    <t>https://t.co/7Zg1PgYb7C https://pbs.twimg.com/media/FzKpP71XoAoBesM.jpg</t>
  </si>
  <si>
    <t>https://t.co/Tw8Kek4nWk https://pbs.twimg.com/media/F4ZjmioWoAA5Ey_.png</t>
  </si>
  <si>
    <t>https://t.co/m8JrF4lM5M https://pbs.twimg.com/media/FycV7HvWACMrexP.jpg</t>
  </si>
  <si>
    <t>https://t.co/S4p8Qz4qBY https://pbs.twimg.com/media/F6VjHCfWwAEXTry.jpg</t>
  </si>
  <si>
    <t>https://t.co/wP6qwMkugf https://pbs.twimg.com/media/F2tsc55W4AAOZIT.jpg</t>
  </si>
  <si>
    <t>video</t>
  </si>
  <si>
    <t>photo</t>
  </si>
  <si>
    <t>photo photo</t>
  </si>
  <si>
    <t>photo photo photo</t>
  </si>
  <si>
    <t>photo photo photo photo</t>
  </si>
  <si>
    <t>animated_gif</t>
  </si>
  <si>
    <t>Twitter for Android</t>
  </si>
  <si>
    <t>Twitter Web App</t>
  </si>
  <si>
    <t>Twitter for iPhone</t>
  </si>
  <si>
    <t>Metricool</t>
  </si>
  <si>
    <t>Swonkie App</t>
  </si>
  <si>
    <t>Buffer</t>
  </si>
  <si>
    <t>Blog2Social APP</t>
  </si>
  <si>
    <t>1662080430382755840markus_zell</t>
  </si>
  <si>
    <t>1698714164280094720guarulhoson</t>
  </si>
  <si>
    <t>LinkedIn</t>
  </si>
  <si>
    <t>mLabs - Gestão de Redes Sociais</t>
  </si>
  <si>
    <t>TweetDeck</t>
  </si>
  <si>
    <t>Hootsuite Inc.</t>
  </si>
  <si>
    <t>erased26364929_UCSliGcKOq</t>
  </si>
  <si>
    <t>Twitter Media Studio</t>
  </si>
  <si>
    <t>TweetDeck Web App</t>
  </si>
  <si>
    <t>Twitter for iPad</t>
  </si>
  <si>
    <t>noti_app</t>
  </si>
  <si>
    <t>Zapier.com</t>
  </si>
  <si>
    <t>Jetpack.com</t>
  </si>
  <si>
    <t>Gaceta Oficial</t>
  </si>
  <si>
    <t>erased1352296_tcbmdWftiW</t>
  </si>
  <si>
    <t>Bolsa Inteligente - Auto Post</t>
  </si>
  <si>
    <t>VIUU - APP</t>
  </si>
  <si>
    <t>FS Poster 3</t>
  </si>
  <si>
    <t>Etus Brasil</t>
  </si>
  <si>
    <t>erased25424034_Ioon14pIEy</t>
  </si>
  <si>
    <t>BairesPT</t>
  </si>
  <si>
    <t>erased21172478_wwjC1hTmu5</t>
  </si>
  <si>
    <t>PromoRepublic v2</t>
  </si>
  <si>
    <t>Semrush Social Media Tool</t>
  </si>
  <si>
    <t>Twitter Media Studio - LiveCut</t>
  </si>
  <si>
    <t>erased13155393_AYKxnH0EKV</t>
  </si>
  <si>
    <t>IFTTT</t>
  </si>
  <si>
    <t>erased8711756_hQqGvoK22R</t>
  </si>
  <si>
    <t>Mundiware Elite CS 2</t>
  </si>
  <si>
    <t>1688961139806285824topnewses</t>
  </si>
  <si>
    <t>TheInfoVeritas</t>
  </si>
  <si>
    <t>web-diarioelcentro</t>
  </si>
  <si>
    <t>FS Poster by FS Code</t>
  </si>
  <si>
    <t>Brandwatch</t>
  </si>
  <si>
    <t>La_Republica164617760265309388</t>
  </si>
  <si>
    <t>Spreaker</t>
  </si>
  <si>
    <t>erased27072043_Fdiy57zvuU</t>
  </si>
  <si>
    <t>elfinancierocr1644464925471907</t>
  </si>
  <si>
    <t>HubSpot</t>
  </si>
  <si>
    <t>Revive Social App</t>
  </si>
  <si>
    <t>erased26034242_Un2IbSjylB</t>
  </si>
  <si>
    <t>ADiarios - CMS Para Diarios</t>
  </si>
  <si>
    <t>RailWay-Bitfinanzas-Twitter</t>
  </si>
  <si>
    <t>twitte-candeiasmix</t>
  </si>
  <si>
    <t>Emplifi</t>
  </si>
  <si>
    <t>1654161995950587916expresso</t>
  </si>
  <si>
    <t>trueanthem_pro2</t>
  </si>
  <si>
    <t>Twitter Ads</t>
  </si>
  <si>
    <t>Economic News Brasil</t>
  </si>
  <si>
    <t>TNweb</t>
  </si>
  <si>
    <t>Imminent News</t>
  </si>
  <si>
    <t>SocialGest</t>
  </si>
  <si>
    <t>Postcron App</t>
  </si>
  <si>
    <t>Ayrshare</t>
  </si>
  <si>
    <t>erased27524471_iidR6R6sfh</t>
  </si>
  <si>
    <t>Info2023</t>
  </si>
  <si>
    <t>erased27008536_s2ixo98tyk</t>
  </si>
  <si>
    <t>MPT_2023</t>
  </si>
  <si>
    <t>1690385706621841408ahorasanjua</t>
  </si>
  <si>
    <t>erased25935221_mgvbeOxHCs</t>
  </si>
  <si>
    <t>ChParaTodos</t>
  </si>
  <si>
    <t>1699207921161134080VoceroOrien</t>
  </si>
  <si>
    <t>Besocy_Oficial</t>
  </si>
  <si>
    <t>erased404885_W8pmDHCzaS</t>
  </si>
  <si>
    <t>Wix Apps</t>
  </si>
  <si>
    <t>4SEMANAS V2</t>
  </si>
  <si>
    <t>Zoho Social</t>
  </si>
  <si>
    <t>Sprout Social</t>
  </si>
  <si>
    <t>Grabyo</t>
  </si>
  <si>
    <t>RD Station</t>
  </si>
  <si>
    <t>pt</t>
  </si>
  <si>
    <t>qht</t>
  </si>
  <si>
    <t>qme</t>
  </si>
  <si>
    <t>es</t>
  </si>
  <si>
    <t>pl</t>
  </si>
  <si>
    <t>en</t>
  </si>
  <si>
    <t>de</t>
  </si>
  <si>
    <t>ca</t>
  </si>
  <si>
    <t>und</t>
  </si>
  <si>
    <t>fr</t>
  </si>
  <si>
    <t>nl</t>
  </si>
  <si>
    <t>it</t>
  </si>
  <si>
    <t>00:23:33</t>
  </si>
  <si>
    <t>00:14:11</t>
  </si>
  <si>
    <t>19:47:18</t>
  </si>
  <si>
    <t>10:07:39</t>
  </si>
  <si>
    <t>03:57:05</t>
  </si>
  <si>
    <t>23:41:44</t>
  </si>
  <si>
    <t>19:21:52</t>
  </si>
  <si>
    <t>22:00:47</t>
  </si>
  <si>
    <t>15:49:51</t>
  </si>
  <si>
    <t>14:28:02</t>
  </si>
  <si>
    <t>14:26:38</t>
  </si>
  <si>
    <t>14:24:27</t>
  </si>
  <si>
    <t>21:01:33</t>
  </si>
  <si>
    <t>15:03:03</t>
  </si>
  <si>
    <t>14:53:34</t>
  </si>
  <si>
    <t>14:33:55</t>
  </si>
  <si>
    <t>07:55:16</t>
  </si>
  <si>
    <t>23:28:49</t>
  </si>
  <si>
    <t>02:18:13</t>
  </si>
  <si>
    <t>22:30:13</t>
  </si>
  <si>
    <t>20:51:26</t>
  </si>
  <si>
    <t>01:57:10</t>
  </si>
  <si>
    <t>21:33:28</t>
  </si>
  <si>
    <t>20:50:48</t>
  </si>
  <si>
    <t>19:00:31</t>
  </si>
  <si>
    <t>20:24:01</t>
  </si>
  <si>
    <t>13:42:52</t>
  </si>
  <si>
    <t>17:04:26</t>
  </si>
  <si>
    <t>19:40:40</t>
  </si>
  <si>
    <t>18:00:18</t>
  </si>
  <si>
    <t>13:03:54</t>
  </si>
  <si>
    <t>13:03:20</t>
  </si>
  <si>
    <t>18:00:33</t>
  </si>
  <si>
    <t>14:46:58</t>
  </si>
  <si>
    <t>20:16:08</t>
  </si>
  <si>
    <t>11:51:00</t>
  </si>
  <si>
    <t>22:26:38</t>
  </si>
  <si>
    <t>07:42:21</t>
  </si>
  <si>
    <t>14:42:18</t>
  </si>
  <si>
    <t>22:08:55</t>
  </si>
  <si>
    <t>15:52:02</t>
  </si>
  <si>
    <t>19:25:32</t>
  </si>
  <si>
    <t>18:23:00</t>
  </si>
  <si>
    <t>18:18:37</t>
  </si>
  <si>
    <t>14:32:17</t>
  </si>
  <si>
    <t>18:17:26</t>
  </si>
  <si>
    <t>15:49:41</t>
  </si>
  <si>
    <t>16:52:34</t>
  </si>
  <si>
    <t>22:15:28</t>
  </si>
  <si>
    <t>13:53:48</t>
  </si>
  <si>
    <t>15:55:03</t>
  </si>
  <si>
    <t>12:01:32</t>
  </si>
  <si>
    <t>15:15:10</t>
  </si>
  <si>
    <t>14:35:45</t>
  </si>
  <si>
    <t>16:59:25</t>
  </si>
  <si>
    <t>13:15:37</t>
  </si>
  <si>
    <t>18:30:05</t>
  </si>
  <si>
    <t>17:56:25</t>
  </si>
  <si>
    <t>13:29:55</t>
  </si>
  <si>
    <t>15:06:07</t>
  </si>
  <si>
    <t>12:31:54</t>
  </si>
  <si>
    <t>17:59:05</t>
  </si>
  <si>
    <t>13:00:30</t>
  </si>
  <si>
    <t>13:45:18</t>
  </si>
  <si>
    <t>18:29:31</t>
  </si>
  <si>
    <t>18:12:34</t>
  </si>
  <si>
    <t>18:35:19</t>
  </si>
  <si>
    <t>18:57:38</t>
  </si>
  <si>
    <t>13:16:11</t>
  </si>
  <si>
    <t>21:19:16</t>
  </si>
  <si>
    <t>19:52:50</t>
  </si>
  <si>
    <t>10:55:10</t>
  </si>
  <si>
    <t>11:09:36</t>
  </si>
  <si>
    <t>00:21:25</t>
  </si>
  <si>
    <t>15:19:09</t>
  </si>
  <si>
    <t>14:03:56</t>
  </si>
  <si>
    <t>14:25:57</t>
  </si>
  <si>
    <t>23:49:35</t>
  </si>
  <si>
    <t>00:26:35</t>
  </si>
  <si>
    <t>13:16:18</t>
  </si>
  <si>
    <t>22:06:36</t>
  </si>
  <si>
    <t>20:03:45</t>
  </si>
  <si>
    <t>01:15:14</t>
  </si>
  <si>
    <t>00:15:15</t>
  </si>
  <si>
    <t>16:24:36</t>
  </si>
  <si>
    <t>23:57:45</t>
  </si>
  <si>
    <t>00:01:00</t>
  </si>
  <si>
    <t>14:25:22</t>
  </si>
  <si>
    <t>15:54:01</t>
  </si>
  <si>
    <t>01:30:35</t>
  </si>
  <si>
    <t>18:22:21</t>
  </si>
  <si>
    <t>18:38:11</t>
  </si>
  <si>
    <t>22:06:27</t>
  </si>
  <si>
    <t>17:18:09</t>
  </si>
  <si>
    <t>17:16:07</t>
  </si>
  <si>
    <t>17:14:49</t>
  </si>
  <si>
    <t>17:13:38</t>
  </si>
  <si>
    <t>18:57:55</t>
  </si>
  <si>
    <t>12:53:52</t>
  </si>
  <si>
    <t>04:58:42</t>
  </si>
  <si>
    <t>23:54:23</t>
  </si>
  <si>
    <t>15:03:42</t>
  </si>
  <si>
    <t>22:30:06</t>
  </si>
  <si>
    <t>18:41:44</t>
  </si>
  <si>
    <t>22:33:22</t>
  </si>
  <si>
    <t>13:19:05</t>
  </si>
  <si>
    <t>00:06:03</t>
  </si>
  <si>
    <t>20:02:02</t>
  </si>
  <si>
    <t>22:35:02</t>
  </si>
  <si>
    <t>13:34:04</t>
  </si>
  <si>
    <t>18:33:03</t>
  </si>
  <si>
    <t>12:10:08</t>
  </si>
  <si>
    <t>14:07:04</t>
  </si>
  <si>
    <t>11:24:35</t>
  </si>
  <si>
    <t>21:53:23</t>
  </si>
  <si>
    <t>15:15:51</t>
  </si>
  <si>
    <t>18:32:32</t>
  </si>
  <si>
    <t>13:45:01</t>
  </si>
  <si>
    <t>17:41:00</t>
  </si>
  <si>
    <t>11:23:39</t>
  </si>
  <si>
    <t>18:13:05</t>
  </si>
  <si>
    <t>15:37:57</t>
  </si>
  <si>
    <t>14:53:29</t>
  </si>
  <si>
    <t>14:45:02</t>
  </si>
  <si>
    <t>15:53:14</t>
  </si>
  <si>
    <t>15:46:04</t>
  </si>
  <si>
    <t>11:14:51</t>
  </si>
  <si>
    <t>15:27:24</t>
  </si>
  <si>
    <t>12:06:44</t>
  </si>
  <si>
    <t>11:34:46</t>
  </si>
  <si>
    <t>16:30:00</t>
  </si>
  <si>
    <t>10:33:05</t>
  </si>
  <si>
    <t>19:51:33</t>
  </si>
  <si>
    <t>11:06:31</t>
  </si>
  <si>
    <t>18:20:51</t>
  </si>
  <si>
    <t>11:46:16</t>
  </si>
  <si>
    <t>02:02:09</t>
  </si>
  <si>
    <t>14:54:08</t>
  </si>
  <si>
    <t>11:08:53</t>
  </si>
  <si>
    <t>02:57:34</t>
  </si>
  <si>
    <t>12:13:52</t>
  </si>
  <si>
    <t>19:46:21</t>
  </si>
  <si>
    <t>00:20:05</t>
  </si>
  <si>
    <t>21:40:26</t>
  </si>
  <si>
    <t>01:01:33</t>
  </si>
  <si>
    <t>00:33:31</t>
  </si>
  <si>
    <t>15:36:25</t>
  </si>
  <si>
    <t>00:04:05</t>
  </si>
  <si>
    <t>12:44:05</t>
  </si>
  <si>
    <t>01:18:04</t>
  </si>
  <si>
    <t>01:02:32</t>
  </si>
  <si>
    <t>21:41:47</t>
  </si>
  <si>
    <t>22:42:18</t>
  </si>
  <si>
    <t>22:54:21</t>
  </si>
  <si>
    <t>13:29:25</t>
  </si>
  <si>
    <t>00:50:31</t>
  </si>
  <si>
    <t>21:26:18</t>
  </si>
  <si>
    <t>17:56:45</t>
  </si>
  <si>
    <t>19:13:32</t>
  </si>
  <si>
    <t>16:16:51</t>
  </si>
  <si>
    <t>13:08:50</t>
  </si>
  <si>
    <t>12:26:05</t>
  </si>
  <si>
    <t>02:15:48</t>
  </si>
  <si>
    <t>03:13:01</t>
  </si>
  <si>
    <t>11:47:37</t>
  </si>
  <si>
    <t>21:15:14</t>
  </si>
  <si>
    <t>13:56:56</t>
  </si>
  <si>
    <t>05:38:41</t>
  </si>
  <si>
    <t>17:30:31</t>
  </si>
  <si>
    <t>15:49:18</t>
  </si>
  <si>
    <t>16:38:30</t>
  </si>
  <si>
    <t>12:00:29</t>
  </si>
  <si>
    <t>16:44:50</t>
  </si>
  <si>
    <t>19:50:16</t>
  </si>
  <si>
    <t>11:33:30</t>
  </si>
  <si>
    <t>15:37:13</t>
  </si>
  <si>
    <t>11:47:05</t>
  </si>
  <si>
    <t>12:49:42</t>
  </si>
  <si>
    <t>11:34:41</t>
  </si>
  <si>
    <t>21:43:12</t>
  </si>
  <si>
    <t>02:19:59</t>
  </si>
  <si>
    <t>19:54:57</t>
  </si>
  <si>
    <t>22:34:08</t>
  </si>
  <si>
    <t>18:33:43</t>
  </si>
  <si>
    <t>19:27:21</t>
  </si>
  <si>
    <t>11:33:54</t>
  </si>
  <si>
    <t>19:35:31</t>
  </si>
  <si>
    <t>22:59:19</t>
  </si>
  <si>
    <t>00:21:00</t>
  </si>
  <si>
    <t>12:20:08</t>
  </si>
  <si>
    <t>19:33:02</t>
  </si>
  <si>
    <t>19:21:03</t>
  </si>
  <si>
    <t>17:22:14</t>
  </si>
  <si>
    <t>19:35:09</t>
  </si>
  <si>
    <t>15:20:10</t>
  </si>
  <si>
    <t>17:40:09</t>
  </si>
  <si>
    <t>22:15:10</t>
  </si>
  <si>
    <t>12:45:09</t>
  </si>
  <si>
    <t>19:26:59</t>
  </si>
  <si>
    <t>20:50:21</t>
  </si>
  <si>
    <t>15:13:43</t>
  </si>
  <si>
    <t>13:40:30</t>
  </si>
  <si>
    <t>15:25:52</t>
  </si>
  <si>
    <t>17:31:17</t>
  </si>
  <si>
    <t>22:04:35</t>
  </si>
  <si>
    <t>13:43:06</t>
  </si>
  <si>
    <t>02:03:53</t>
  </si>
  <si>
    <t>01:00:31</t>
  </si>
  <si>
    <t>00:48:07</t>
  </si>
  <si>
    <t>21:17:43</t>
  </si>
  <si>
    <t>22:47:10</t>
  </si>
  <si>
    <t>03:40:50</t>
  </si>
  <si>
    <t>20:03:16</t>
  </si>
  <si>
    <t>23:27:16</t>
  </si>
  <si>
    <t>02:00:00</t>
  </si>
  <si>
    <t>16:00:01</t>
  </si>
  <si>
    <t>14:00:02</t>
  </si>
  <si>
    <t>04:34:50</t>
  </si>
  <si>
    <t>01:53:02</t>
  </si>
  <si>
    <t>13:07:05</t>
  </si>
  <si>
    <t>14:12:26</t>
  </si>
  <si>
    <t>14:11:32</t>
  </si>
  <si>
    <t>13:19:18</t>
  </si>
  <si>
    <t>21:30:00</t>
  </si>
  <si>
    <t>13:00:01</t>
  </si>
  <si>
    <t>19:30:00</t>
  </si>
  <si>
    <t>14:30:00</t>
  </si>
  <si>
    <t>19:00:00</t>
  </si>
  <si>
    <t>15:30:00</t>
  </si>
  <si>
    <t>13:30:01</t>
  </si>
  <si>
    <t>13:10:00</t>
  </si>
  <si>
    <t>22:00:25</t>
  </si>
  <si>
    <t>12:08:08</t>
  </si>
  <si>
    <t>12:21:54</t>
  </si>
  <si>
    <t>15:28:31</t>
  </si>
  <si>
    <t>12:32:50</t>
  </si>
  <si>
    <t>14:13:52</t>
  </si>
  <si>
    <t>19:00:01</t>
  </si>
  <si>
    <t>10:15:19</t>
  </si>
  <si>
    <t>13:13:38</t>
  </si>
  <si>
    <t>12:47:31</t>
  </si>
  <si>
    <t>01:44:46</t>
  </si>
  <si>
    <t>11:09:55</t>
  </si>
  <si>
    <t>16:00:02</t>
  </si>
  <si>
    <t>15:30:08</t>
  </si>
  <si>
    <t>20:48:10</t>
  </si>
  <si>
    <t>14:01:13</t>
  </si>
  <si>
    <t>15:03:39</t>
  </si>
  <si>
    <t>16:47:39</t>
  </si>
  <si>
    <t>09:52:31</t>
  </si>
  <si>
    <t>14:20:49</t>
  </si>
  <si>
    <t>13:33:21</t>
  </si>
  <si>
    <t>12:45:00</t>
  </si>
  <si>
    <t>12:27:02</t>
  </si>
  <si>
    <t>12:16:39</t>
  </si>
  <si>
    <t>19:59:49</t>
  </si>
  <si>
    <t>20:56:53</t>
  </si>
  <si>
    <t>22:49:11</t>
  </si>
  <si>
    <t>12:28:42</t>
  </si>
  <si>
    <t>16:53:27</t>
  </si>
  <si>
    <t>00:59:15</t>
  </si>
  <si>
    <t>02:24:38</t>
  </si>
  <si>
    <t>23:00:00</t>
  </si>
  <si>
    <t>13:34:54</t>
  </si>
  <si>
    <t>15:17:24</t>
  </si>
  <si>
    <t>11:05:47</t>
  </si>
  <si>
    <t>00:30:40</t>
  </si>
  <si>
    <t>16:09:24</t>
  </si>
  <si>
    <t>13:29:02</t>
  </si>
  <si>
    <t>09:22:17</t>
  </si>
  <si>
    <t>21:40:48</t>
  </si>
  <si>
    <t>19:09:50</t>
  </si>
  <si>
    <t>20:48:04</t>
  </si>
  <si>
    <t>20:21:30</t>
  </si>
  <si>
    <t>21:36:41</t>
  </si>
  <si>
    <t>19:58:17</t>
  </si>
  <si>
    <t>18:45:34</t>
  </si>
  <si>
    <t>10:49:07</t>
  </si>
  <si>
    <t>16:23:17</t>
  </si>
  <si>
    <t>19:28:58</t>
  </si>
  <si>
    <t>18:04:00</t>
  </si>
  <si>
    <t>17:24:05</t>
  </si>
  <si>
    <t>19:15:28</t>
  </si>
  <si>
    <t>18:31:46</t>
  </si>
  <si>
    <t>01:18:57</t>
  </si>
  <si>
    <t>16:06:44</t>
  </si>
  <si>
    <t>13:42:45</t>
  </si>
  <si>
    <t>06:24:38</t>
  </si>
  <si>
    <t>23:13:27</t>
  </si>
  <si>
    <t>15:27:33</t>
  </si>
  <si>
    <t>02:49:39</t>
  </si>
  <si>
    <t>14:43:50</t>
  </si>
  <si>
    <t>15:22:49</t>
  </si>
  <si>
    <t>14:12:50</t>
  </si>
  <si>
    <t>14:25:48</t>
  </si>
  <si>
    <t>21:14:12</t>
  </si>
  <si>
    <t>14:23:45</t>
  </si>
  <si>
    <t>20:19:58</t>
  </si>
  <si>
    <t>20:16:01</t>
  </si>
  <si>
    <t>21:35:25</t>
  </si>
  <si>
    <t>20:18:14</t>
  </si>
  <si>
    <t>20:08:51</t>
  </si>
  <si>
    <t>20:05:26</t>
  </si>
  <si>
    <t>14:20:33</t>
  </si>
  <si>
    <t>20:18:53</t>
  </si>
  <si>
    <t>10:02:23</t>
  </si>
  <si>
    <t>19:19:20</t>
  </si>
  <si>
    <t>23:17:13</t>
  </si>
  <si>
    <t>15:34:41</t>
  </si>
  <si>
    <t>16:38:26</t>
  </si>
  <si>
    <t>16:47:24</t>
  </si>
  <si>
    <t>19:38:26</t>
  </si>
  <si>
    <t>17:33:29</t>
  </si>
  <si>
    <t>22:28:00</t>
  </si>
  <si>
    <t>16:31:13</t>
  </si>
  <si>
    <t>17:38:57</t>
  </si>
  <si>
    <t>03:08:25</t>
  </si>
  <si>
    <t>03:15:37</t>
  </si>
  <si>
    <t>00:02:14</t>
  </si>
  <si>
    <t>21:29:10</t>
  </si>
  <si>
    <t>02:55:16</t>
  </si>
  <si>
    <t>03:03:20</t>
  </si>
  <si>
    <t>23:21:49</t>
  </si>
  <si>
    <t>01:19:24</t>
  </si>
  <si>
    <t>23:24:45</t>
  </si>
  <si>
    <t>21:25:07</t>
  </si>
  <si>
    <t>14:30:28</t>
  </si>
  <si>
    <t>14:26:45</t>
  </si>
  <si>
    <t>13:30:30</t>
  </si>
  <si>
    <t>23:02:06</t>
  </si>
  <si>
    <t>18:21:43</t>
  </si>
  <si>
    <t>20:06:06</t>
  </si>
  <si>
    <t>18:19:19</t>
  </si>
  <si>
    <t>11:47:38</t>
  </si>
  <si>
    <t>14:52:22</t>
  </si>
  <si>
    <t>13:46:27</t>
  </si>
  <si>
    <t>11:42:27</t>
  </si>
  <si>
    <t>15:48:09</t>
  </si>
  <si>
    <t>10:17:21</t>
  </si>
  <si>
    <t>14:55:55</t>
  </si>
  <si>
    <t>20:03:29</t>
  </si>
  <si>
    <t>19:30:10</t>
  </si>
  <si>
    <t>14:48:46</t>
  </si>
  <si>
    <t>20:51:09</t>
  </si>
  <si>
    <t>21:58:26</t>
  </si>
  <si>
    <t>17:24:12</t>
  </si>
  <si>
    <t>20:08:36</t>
  </si>
  <si>
    <t>14:23:05</t>
  </si>
  <si>
    <t>18:50:11</t>
  </si>
  <si>
    <t>18:31:39</t>
  </si>
  <si>
    <t>14:10:34</t>
  </si>
  <si>
    <t>14:06:25</t>
  </si>
  <si>
    <t>22:12:52</t>
  </si>
  <si>
    <t>16:28:47</t>
  </si>
  <si>
    <t>14:17:37</t>
  </si>
  <si>
    <t>18:41:49</t>
  </si>
  <si>
    <t>14:03:24</t>
  </si>
  <si>
    <t>17:52:18</t>
  </si>
  <si>
    <t>19:16:59</t>
  </si>
  <si>
    <t>18:33:17</t>
  </si>
  <si>
    <t>12:04:41</t>
  </si>
  <si>
    <t>12:21:15</t>
  </si>
  <si>
    <t>14:12:11</t>
  </si>
  <si>
    <t>18:26:50</t>
  </si>
  <si>
    <t>14:32:10</t>
  </si>
  <si>
    <t>22:44:54</t>
  </si>
  <si>
    <t>22:32:51</t>
  </si>
  <si>
    <t>03:40:41</t>
  </si>
  <si>
    <t>17:12:16</t>
  </si>
  <si>
    <t>21:42:21</t>
  </si>
  <si>
    <t>23:20:32</t>
  </si>
  <si>
    <t>12:10:46</t>
  </si>
  <si>
    <t>18:25:34</t>
  </si>
  <si>
    <t>00:20:41</t>
  </si>
  <si>
    <t>18:54:03</t>
  </si>
  <si>
    <t>17:12:34</t>
  </si>
  <si>
    <t>13:45:09</t>
  </si>
  <si>
    <t>13:40:17</t>
  </si>
  <si>
    <t>12:07:45</t>
  </si>
  <si>
    <t>15:36:42</t>
  </si>
  <si>
    <t>19:52:56</t>
  </si>
  <si>
    <t>13:42:29</t>
  </si>
  <si>
    <t>12:36:59</t>
  </si>
  <si>
    <t>20:10:54</t>
  </si>
  <si>
    <t>16:24:13</t>
  </si>
  <si>
    <t>20:38:55</t>
  </si>
  <si>
    <t>14:35:00</t>
  </si>
  <si>
    <t>14:39:25</t>
  </si>
  <si>
    <t>00:25:48</t>
  </si>
  <si>
    <t>18:51:48</t>
  </si>
  <si>
    <t>20:49:36</t>
  </si>
  <si>
    <t>15:39:33</t>
  </si>
  <si>
    <t>18:31:15</t>
  </si>
  <si>
    <t>18:51:01</t>
  </si>
  <si>
    <t>12:40:17</t>
  </si>
  <si>
    <t>03:10:09</t>
  </si>
  <si>
    <t>16:26:02</t>
  </si>
  <si>
    <t>20:03:12</t>
  </si>
  <si>
    <t>12:42:46</t>
  </si>
  <si>
    <t>08:31:43</t>
  </si>
  <si>
    <t>13:41:13</t>
  </si>
  <si>
    <t>22:14:00</t>
  </si>
  <si>
    <t>01:35:44</t>
  </si>
  <si>
    <t>23:10:29</t>
  </si>
  <si>
    <t>17:40:37</t>
  </si>
  <si>
    <t>14:53:11</t>
  </si>
  <si>
    <t>13:56:10</t>
  </si>
  <si>
    <t>02:25:59</t>
  </si>
  <si>
    <t>15:07:22</t>
  </si>
  <si>
    <t>18:57:22</t>
  </si>
  <si>
    <t>12:35:11</t>
  </si>
  <si>
    <t>21:32:43</t>
  </si>
  <si>
    <t>17:00:02</t>
  </si>
  <si>
    <t>22:22:08</t>
  </si>
  <si>
    <t>21:39:16</t>
  </si>
  <si>
    <t>22:33:23</t>
  </si>
  <si>
    <t>21:49:07</t>
  </si>
  <si>
    <t>00:12:16</t>
  </si>
  <si>
    <t>13:38:10</t>
  </si>
  <si>
    <t>12:22:59</t>
  </si>
  <si>
    <t>15:21:14</t>
  </si>
  <si>
    <t>22:04:04</t>
  </si>
  <si>
    <t>12:18:29</t>
  </si>
  <si>
    <t>05:35:22</t>
  </si>
  <si>
    <t>05:35:00</t>
  </si>
  <si>
    <t>15:18:46</t>
  </si>
  <si>
    <t>20:38:14</t>
  </si>
  <si>
    <t>15:06:33</t>
  </si>
  <si>
    <t>21:45:57</t>
  </si>
  <si>
    <t>20:30:50</t>
  </si>
  <si>
    <t>13:36:24</t>
  </si>
  <si>
    <t>18:41:20</t>
  </si>
  <si>
    <t>04:20:52</t>
  </si>
  <si>
    <t>12:42:41</t>
  </si>
  <si>
    <t>19:44:59</t>
  </si>
  <si>
    <t>02:17:33</t>
  </si>
  <si>
    <t>13:55:38</t>
  </si>
  <si>
    <t>13:22:47</t>
  </si>
  <si>
    <t>20:49:27</t>
  </si>
  <si>
    <t>14:23:06</t>
  </si>
  <si>
    <t>20:50:12</t>
  </si>
  <si>
    <t>14:23:52</t>
  </si>
  <si>
    <t>14:25:02</t>
  </si>
  <si>
    <t>18:18:27</t>
  </si>
  <si>
    <t>22:17:41</t>
  </si>
  <si>
    <t>18:10:04</t>
  </si>
  <si>
    <t>20:04:15</t>
  </si>
  <si>
    <t>20:35:25</t>
  </si>
  <si>
    <t>02:20:12</t>
  </si>
  <si>
    <t>02:03:36</t>
  </si>
  <si>
    <t>14:37:14</t>
  </si>
  <si>
    <t>14:27:05</t>
  </si>
  <si>
    <t>14:02:50</t>
  </si>
  <si>
    <t>21:29:42</t>
  </si>
  <si>
    <t>22:55:41</t>
  </si>
  <si>
    <t>12:42:01</t>
  </si>
  <si>
    <t>23:06:49</t>
  </si>
  <si>
    <t>23:15:32</t>
  </si>
  <si>
    <t>02:03:38</t>
  </si>
  <si>
    <t>19:19:24</t>
  </si>
  <si>
    <t>15:02:10</t>
  </si>
  <si>
    <t>03:31:50</t>
  </si>
  <si>
    <t>20:18:52</t>
  </si>
  <si>
    <t>18:37:05</t>
  </si>
  <si>
    <t>17:57:10</t>
  </si>
  <si>
    <t>19:49:04</t>
  </si>
  <si>
    <t>15:15:06</t>
  </si>
  <si>
    <t>15:00:18</t>
  </si>
  <si>
    <t>09:12:25</t>
  </si>
  <si>
    <t>23:13:28</t>
  </si>
  <si>
    <t>23:01:10</t>
  </si>
  <si>
    <t>23:15:08</t>
  </si>
  <si>
    <t>16:20:23</t>
  </si>
  <si>
    <t>20:16:20</t>
  </si>
  <si>
    <t>19:03:10</t>
  </si>
  <si>
    <t>18:52:37</t>
  </si>
  <si>
    <t>15:21:00</t>
  </si>
  <si>
    <t>09:54:56</t>
  </si>
  <si>
    <t>09:29:58</t>
  </si>
  <si>
    <t>11:11:00</t>
  </si>
  <si>
    <t>21:39:13</t>
  </si>
  <si>
    <t>12:33:30</t>
  </si>
  <si>
    <t>09:31:53</t>
  </si>
  <si>
    <t>22:52:03</t>
  </si>
  <si>
    <t>17:41:08</t>
  </si>
  <si>
    <t>23:12:57</t>
  </si>
  <si>
    <t>22:45:24</t>
  </si>
  <si>
    <t>20:15:48</t>
  </si>
  <si>
    <t>19:15:03</t>
  </si>
  <si>
    <t>15:01:38</t>
  </si>
  <si>
    <t>13:18:10</t>
  </si>
  <si>
    <t>19:01:06</t>
  </si>
  <si>
    <t>19:00:42</t>
  </si>
  <si>
    <t>23:19:52</t>
  </si>
  <si>
    <t>21:56:00</t>
  </si>
  <si>
    <t>17:15:08</t>
  </si>
  <si>
    <t>14:47:36</t>
  </si>
  <si>
    <t>19:42:08</t>
  </si>
  <si>
    <t>15:12:03</t>
  </si>
  <si>
    <t>09:16:01</t>
  </si>
  <si>
    <t>15:39:45</t>
  </si>
  <si>
    <t>14:23:56</t>
  </si>
  <si>
    <t>16:31:23</t>
  </si>
  <si>
    <t>23:05:06</t>
  </si>
  <si>
    <t>19:27:44</t>
  </si>
  <si>
    <t>21:15:07</t>
  </si>
  <si>
    <t>16:02:06</t>
  </si>
  <si>
    <t>20:02:06</t>
  </si>
  <si>
    <t>18:41:23</t>
  </si>
  <si>
    <t>09:25:07</t>
  </si>
  <si>
    <t>23:27:00</t>
  </si>
  <si>
    <t>09:50:10</t>
  </si>
  <si>
    <t>19:01:43</t>
  </si>
  <si>
    <t>14:11:08</t>
  </si>
  <si>
    <t>20:36:23</t>
  </si>
  <si>
    <t>18:46:29</t>
  </si>
  <si>
    <t>22:33:07</t>
  </si>
  <si>
    <t>17:22:45</t>
  </si>
  <si>
    <t>18:16:19</t>
  </si>
  <si>
    <t>20:03:44</t>
  </si>
  <si>
    <t>18:37:06</t>
  </si>
  <si>
    <t>13:05:36</t>
  </si>
  <si>
    <t>23:22:58</t>
  </si>
  <si>
    <t>19:34:46</t>
  </si>
  <si>
    <t>19:38:04</t>
  </si>
  <si>
    <t>12:03:22</t>
  </si>
  <si>
    <t>13:01:02</t>
  </si>
  <si>
    <t>22:45:57</t>
  </si>
  <si>
    <t>17:43:42</t>
  </si>
  <si>
    <t>13:17:07</t>
  </si>
  <si>
    <t>21:47:01</t>
  </si>
  <si>
    <t>20:30:00</t>
  </si>
  <si>
    <t>03:00:58</t>
  </si>
  <si>
    <t>02:14:35</t>
  </si>
  <si>
    <t>12:47:09</t>
  </si>
  <si>
    <t>17:40:57</t>
  </si>
  <si>
    <t>14:05:08</t>
  </si>
  <si>
    <t>21:26:09</t>
  </si>
  <si>
    <t>11:48:22</t>
  </si>
  <si>
    <t>11:42:17</t>
  </si>
  <si>
    <t>13:33:16</t>
  </si>
  <si>
    <t>13:30:24</t>
  </si>
  <si>
    <t>20:56:13</t>
  </si>
  <si>
    <t>10:31:12</t>
  </si>
  <si>
    <t>20:03:27</t>
  </si>
  <si>
    <t>18:06:31</t>
  </si>
  <si>
    <t>21:00:00</t>
  </si>
  <si>
    <t>13:57:44</t>
  </si>
  <si>
    <t>14:04:31</t>
  </si>
  <si>
    <t>19:01:25</t>
  </si>
  <si>
    <t>14:11:25</t>
  </si>
  <si>
    <t>17:00:01</t>
  </si>
  <si>
    <t>19:47:30</t>
  </si>
  <si>
    <t>14:00:00</t>
  </si>
  <si>
    <t>15:07:03</t>
  </si>
  <si>
    <t>03:58:07</t>
  </si>
  <si>
    <t>14:13:38</t>
  </si>
  <si>
    <t>16:07:17</t>
  </si>
  <si>
    <t>11:22:01</t>
  </si>
  <si>
    <t>12:58:10</t>
  </si>
  <si>
    <t>13:51:59</t>
  </si>
  <si>
    <t>00:46:14</t>
  </si>
  <si>
    <t>05:29:48</t>
  </si>
  <si>
    <t>12:31:18</t>
  </si>
  <si>
    <t>04:41:48</t>
  </si>
  <si>
    <t>03:40:00</t>
  </si>
  <si>
    <t>12:19:06</t>
  </si>
  <si>
    <t>12:15:34</t>
  </si>
  <si>
    <t>20:44:16</t>
  </si>
  <si>
    <t>13:05:55</t>
  </si>
  <si>
    <t>22:39:32</t>
  </si>
  <si>
    <t>13:58:32</t>
  </si>
  <si>
    <t>18:28:48</t>
  </si>
  <si>
    <t>17:26:34</t>
  </si>
  <si>
    <t>10:22:48</t>
  </si>
  <si>
    <t>09:51:43</t>
  </si>
  <si>
    <t>09:36:21</t>
  </si>
  <si>
    <t>14:44:59</t>
  </si>
  <si>
    <t>13:00:05</t>
  </si>
  <si>
    <t>22:18:35</t>
  </si>
  <si>
    <t>12:00:01</t>
  </si>
  <si>
    <t>00:00:01</t>
  </si>
  <si>
    <t>23:00:01</t>
  </si>
  <si>
    <t>16:01:00</t>
  </si>
  <si>
    <t>21:56:23</t>
  </si>
  <si>
    <t>15:09:49</t>
  </si>
  <si>
    <t>22:30:17</t>
  </si>
  <si>
    <t>14:04:12</t>
  </si>
  <si>
    <t>15:04:56</t>
  </si>
  <si>
    <t>15:08:23</t>
  </si>
  <si>
    <t>12:57:27</t>
  </si>
  <si>
    <t>12:54:21</t>
  </si>
  <si>
    <t>12:17:35</t>
  </si>
  <si>
    <t>13:38:33</t>
  </si>
  <si>
    <t>13:27:33</t>
  </si>
  <si>
    <t>13:27:32</t>
  </si>
  <si>
    <t>13:27:31</t>
  </si>
  <si>
    <t>13:27:30</t>
  </si>
  <si>
    <t>11:23:46</t>
  </si>
  <si>
    <t>11:18:04</t>
  </si>
  <si>
    <t>02:25:14</t>
  </si>
  <si>
    <t>20:21:21</t>
  </si>
  <si>
    <t>18:47:44</t>
  </si>
  <si>
    <t>06:57:35</t>
  </si>
  <si>
    <t>11:24:57</t>
  </si>
  <si>
    <t>20:20:01</t>
  </si>
  <si>
    <t>11:51:49</t>
  </si>
  <si>
    <t>13:55:42</t>
  </si>
  <si>
    <t>14:23:24</t>
  </si>
  <si>
    <t>11:14:28</t>
  </si>
  <si>
    <t>05:52:16</t>
  </si>
  <si>
    <t>19:51:37</t>
  </si>
  <si>
    <t>13:12:13</t>
  </si>
  <si>
    <t>17:11:47</t>
  </si>
  <si>
    <t>12:12:27</t>
  </si>
  <si>
    <t>10:11:36</t>
  </si>
  <si>
    <t>21:21:05</t>
  </si>
  <si>
    <t>00:36:18</t>
  </si>
  <si>
    <t>15:18:48</t>
  </si>
  <si>
    <t>13:59:18</t>
  </si>
  <si>
    <t>23:12:01</t>
  </si>
  <si>
    <t>23:03:48</t>
  </si>
  <si>
    <t>15:01:39</t>
  </si>
  <si>
    <t>16:12:35</t>
  </si>
  <si>
    <t>00:12:10</t>
  </si>
  <si>
    <t>20:01:24</t>
  </si>
  <si>
    <t>14:32:58</t>
  </si>
  <si>
    <t>18:56:55</t>
  </si>
  <si>
    <t>16:48:38</t>
  </si>
  <si>
    <t>12:10:53</t>
  </si>
  <si>
    <t>19:00:36</t>
  </si>
  <si>
    <t>20:30:55</t>
  </si>
  <si>
    <t>23:00:45</t>
  </si>
  <si>
    <t>19:00:41</t>
  </si>
  <si>
    <t>21:00:54</t>
  </si>
  <si>
    <t>13:00:46</t>
  </si>
  <si>
    <t>19:28:04</t>
  </si>
  <si>
    <t>19:00:44</t>
  </si>
  <si>
    <t>22:00:58</t>
  </si>
  <si>
    <t>17:06:55</t>
  </si>
  <si>
    <t>17:47:49</t>
  </si>
  <si>
    <t>12:44:11</t>
  </si>
  <si>
    <t>22:15:06</t>
  </si>
  <si>
    <t>22:39:09</t>
  </si>
  <si>
    <t>22:23:15</t>
  </si>
  <si>
    <t>23:44:14</t>
  </si>
  <si>
    <t>21:43:08</t>
  </si>
  <si>
    <t>16:18:50</t>
  </si>
  <si>
    <t>21:57:56</t>
  </si>
  <si>
    <t>22:47:28</t>
  </si>
  <si>
    <t>22:33:56</t>
  </si>
  <si>
    <t>10:43:00</t>
  </si>
  <si>
    <t>10:39:27</t>
  </si>
  <si>
    <t>23:36:12</t>
  </si>
  <si>
    <t>22:26:28</t>
  </si>
  <si>
    <t>11:00:22</t>
  </si>
  <si>
    <t>23:54:17</t>
  </si>
  <si>
    <t>10:42:03</t>
  </si>
  <si>
    <t>11:20:52</t>
  </si>
  <si>
    <t>12:09:52</t>
  </si>
  <si>
    <t>21:08:37</t>
  </si>
  <si>
    <t>01:58:33</t>
  </si>
  <si>
    <t>18:03:36</t>
  </si>
  <si>
    <t>22:55:18</t>
  </si>
  <si>
    <t>23:20:02</t>
  </si>
  <si>
    <t>02:15:22</t>
  </si>
  <si>
    <t>13:52:16</t>
  </si>
  <si>
    <t>13:30:00</t>
  </si>
  <si>
    <t>13:00:00</t>
  </si>
  <si>
    <t>12:30:01</t>
  </si>
  <si>
    <t>15:00:01</t>
  </si>
  <si>
    <t>18:00:01</t>
  </si>
  <si>
    <t>18:11:29</t>
  </si>
  <si>
    <t>20:08:11</t>
  </si>
  <si>
    <t>12:30:00</t>
  </si>
  <si>
    <t>00:24:06</t>
  </si>
  <si>
    <t>02:07:01</t>
  </si>
  <si>
    <t>23:49:47</t>
  </si>
  <si>
    <t>03:30:13</t>
  </si>
  <si>
    <t>03:29:59</t>
  </si>
  <si>
    <t>22:14:50</t>
  </si>
  <si>
    <t>11:34:57</t>
  </si>
  <si>
    <t>23:35:19</t>
  </si>
  <si>
    <t>16:53:52</t>
  </si>
  <si>
    <t>18:08:47</t>
  </si>
  <si>
    <t>13:17:10</t>
  </si>
  <si>
    <t>13:06:48</t>
  </si>
  <si>
    <t>12:24:55</t>
  </si>
  <si>
    <t>15:15:01</t>
  </si>
  <si>
    <t>12:25:40</t>
  </si>
  <si>
    <t>23:45:36</t>
  </si>
  <si>
    <t>14:11:15</t>
  </si>
  <si>
    <t>13:44:05</t>
  </si>
  <si>
    <t>23:05:53</t>
  </si>
  <si>
    <t>13:08:19</t>
  </si>
  <si>
    <t>20:34:31</t>
  </si>
  <si>
    <t>16:01:27</t>
  </si>
  <si>
    <t>12:56:25</t>
  </si>
  <si>
    <t>13:54:42</t>
  </si>
  <si>
    <t>12:09:41</t>
  </si>
  <si>
    <t>11:41:37</t>
  </si>
  <si>
    <t>19:03:46</t>
  </si>
  <si>
    <t>12:14:14</t>
  </si>
  <si>
    <t>15:56:35</t>
  </si>
  <si>
    <t>18:30:45</t>
  </si>
  <si>
    <t>18:18:52</t>
  </si>
  <si>
    <t>18:33:44</t>
  </si>
  <si>
    <t>13:10:50</t>
  </si>
  <si>
    <t>12:19:49</t>
  </si>
  <si>
    <t>16:05:29</t>
  </si>
  <si>
    <t>22:25:21</t>
  </si>
  <si>
    <t>17:51:59</t>
  </si>
  <si>
    <t>15:35:43</t>
  </si>
  <si>
    <t>13:17:19</t>
  </si>
  <si>
    <t>18:26:19</t>
  </si>
  <si>
    <t>21:53:54</t>
  </si>
  <si>
    <t>16:05:50</t>
  </si>
  <si>
    <t>21:39:32</t>
  </si>
  <si>
    <t>12:06:06</t>
  </si>
  <si>
    <t>13:07:29</t>
  </si>
  <si>
    <t>17:07:31</t>
  </si>
  <si>
    <t>13:04:35</t>
  </si>
  <si>
    <t>23:10:50</t>
  </si>
  <si>
    <t>12:56:41</t>
  </si>
  <si>
    <t>17:58:31</t>
  </si>
  <si>
    <t>12:00:03</t>
  </si>
  <si>
    <t>11:21:00</t>
  </si>
  <si>
    <t>13:41:06</t>
  </si>
  <si>
    <t>15:43:40</t>
  </si>
  <si>
    <t>10:31:00</t>
  </si>
  <si>
    <t>14:40:31</t>
  </si>
  <si>
    <t>14:38:38</t>
  </si>
  <si>
    <t>21:59:27</t>
  </si>
  <si>
    <t>13:33:46</t>
  </si>
  <si>
    <t>03:00:00</t>
  </si>
  <si>
    <t>16:55:45</t>
  </si>
  <si>
    <t>05:39:10</t>
  </si>
  <si>
    <t>12:44:57</t>
  </si>
  <si>
    <t>15:05:35</t>
  </si>
  <si>
    <t>15:28:00</t>
  </si>
  <si>
    <t>03:09:38</t>
  </si>
  <si>
    <t>00:41:17</t>
  </si>
  <si>
    <t>01:16:55</t>
  </si>
  <si>
    <t>18:08:39</t>
  </si>
  <si>
    <t>21:01:29</t>
  </si>
  <si>
    <t>17:38:38</t>
  </si>
  <si>
    <t>14:17:53</t>
  </si>
  <si>
    <t>03:12:47</t>
  </si>
  <si>
    <t>02:26:28</t>
  </si>
  <si>
    <t>00:32:12</t>
  </si>
  <si>
    <t>17:36:47</t>
  </si>
  <si>
    <t>19:35:58</t>
  </si>
  <si>
    <t>14:28:13</t>
  </si>
  <si>
    <t>19:04:00</t>
  </si>
  <si>
    <t>20:35:39</t>
  </si>
  <si>
    <t>23:59:43</t>
  </si>
  <si>
    <t>12:54:41</t>
  </si>
  <si>
    <t>13:18:15</t>
  </si>
  <si>
    <t>12:25:20</t>
  </si>
  <si>
    <t>21:15:16</t>
  </si>
  <si>
    <t>20:27:27</t>
  </si>
  <si>
    <t>17:04:22</t>
  </si>
  <si>
    <t>22:05:40</t>
  </si>
  <si>
    <t>18:35:10</t>
  </si>
  <si>
    <t>17:33:31</t>
  </si>
  <si>
    <t>14:15:06</t>
  </si>
  <si>
    <t>18:46:38</t>
  </si>
  <si>
    <t>13:23:12</t>
  </si>
  <si>
    <t>13:15:50</t>
  </si>
  <si>
    <t>18:00:21</t>
  </si>
  <si>
    <t>09:55:24</t>
  </si>
  <si>
    <t>20:21:56</t>
  </si>
  <si>
    <t>14:41:33</t>
  </si>
  <si>
    <t>12:38:10</t>
  </si>
  <si>
    <t>00:06:48</t>
  </si>
  <si>
    <t>12:17:02</t>
  </si>
  <si>
    <t>00:28:37</t>
  </si>
  <si>
    <t>18:55:08</t>
  </si>
  <si>
    <t>02:45:46</t>
  </si>
  <si>
    <t>11:18:45</t>
  </si>
  <si>
    <t>10:29:19</t>
  </si>
  <si>
    <t>10:20:07</t>
  </si>
  <si>
    <t>19:39:58</t>
  </si>
  <si>
    <t>11:49:31</t>
  </si>
  <si>
    <t>00:01:24</t>
  </si>
  <si>
    <t>16:07:13</t>
  </si>
  <si>
    <t>07:24:14</t>
  </si>
  <si>
    <t>00:33:23</t>
  </si>
  <si>
    <t>02:00:20</t>
  </si>
  <si>
    <t>01:30:12</t>
  </si>
  <si>
    <t>22:00:49</t>
  </si>
  <si>
    <t>13:33:38</t>
  </si>
  <si>
    <t>15:43:04</t>
  </si>
  <si>
    <t>14:56:02</t>
  </si>
  <si>
    <t>22:55:55</t>
  </si>
  <si>
    <t>14:30:55</t>
  </si>
  <si>
    <t>22:23:06</t>
  </si>
  <si>
    <t>01:22:17</t>
  </si>
  <si>
    <t>19:55:51</t>
  </si>
  <si>
    <t>01:29:44</t>
  </si>
  <si>
    <t>11:58:20</t>
  </si>
  <si>
    <t>09:22:57</t>
  </si>
  <si>
    <t>14:06:43</t>
  </si>
  <si>
    <t>20:01:39</t>
  </si>
  <si>
    <t>19:42:25</t>
  </si>
  <si>
    <t>19:51:52</t>
  </si>
  <si>
    <t>18:46:15</t>
  </si>
  <si>
    <t>19:56:40</t>
  </si>
  <si>
    <t>19:46:17</t>
  </si>
  <si>
    <t>19:06:06</t>
  </si>
  <si>
    <t>18:59:02</t>
  </si>
  <si>
    <t>13:20:09</t>
  </si>
  <si>
    <t>19:03:17</t>
  </si>
  <si>
    <t>21:36:25</t>
  </si>
  <si>
    <t>21:56:46</t>
  </si>
  <si>
    <t>15:04:21</t>
  </si>
  <si>
    <t>15:33:39</t>
  </si>
  <si>
    <t>08:30:26</t>
  </si>
  <si>
    <t>10:01:29</t>
  </si>
  <si>
    <t>21:00:56</t>
  </si>
  <si>
    <t>10:00:00</t>
  </si>
  <si>
    <t>18:01:08</t>
  </si>
  <si>
    <t>20:02:09</t>
  </si>
  <si>
    <t>11:42:05</t>
  </si>
  <si>
    <t>16:10:03</t>
  </si>
  <si>
    <t>15:14:42</t>
  </si>
  <si>
    <t>12:18:45</t>
  </si>
  <si>
    <t>11:49:43</t>
  </si>
  <si>
    <t>11:26:01</t>
  </si>
  <si>
    <t>15:10:40</t>
  </si>
  <si>
    <t>13:55:14</t>
  </si>
  <si>
    <t>14:35:36</t>
  </si>
  <si>
    <t>11:37:36</t>
  </si>
  <si>
    <t>14:45:05</t>
  </si>
  <si>
    <t>14:22:00</t>
  </si>
  <si>
    <t>14:50:39</t>
  </si>
  <si>
    <t>12:19:12</t>
  </si>
  <si>
    <t>11:59:57</t>
  </si>
  <si>
    <t>10:53:39</t>
  </si>
  <si>
    <t>20:56:51</t>
  </si>
  <si>
    <t>12:49:26</t>
  </si>
  <si>
    <t>23:32:57</t>
  </si>
  <si>
    <t>13:03:28</t>
  </si>
  <si>
    <t>13:00:12</t>
  </si>
  <si>
    <t>12:39:37</t>
  </si>
  <si>
    <t>00:38:52</t>
  </si>
  <si>
    <t>21:26:25</t>
  </si>
  <si>
    <t>16:30:01</t>
  </si>
  <si>
    <t>13:12:37</t>
  </si>
  <si>
    <t>16:27:15</t>
  </si>
  <si>
    <t>18:13:12</t>
  </si>
  <si>
    <t>19:36:46</t>
  </si>
  <si>
    <t>16:01:14</t>
  </si>
  <si>
    <t>12:11:56</t>
  </si>
  <si>
    <t>19:40:03</t>
  </si>
  <si>
    <t>20:21:16</t>
  </si>
  <si>
    <t>00:42:11</t>
  </si>
  <si>
    <t>13:14:58</t>
  </si>
  <si>
    <t>21:48:54</t>
  </si>
  <si>
    <t>23:53:17</t>
  </si>
  <si>
    <t>15:45:00</t>
  </si>
  <si>
    <t>14:56:34</t>
  </si>
  <si>
    <t>15:29:49</t>
  </si>
  <si>
    <t>15:21:26</t>
  </si>
  <si>
    <t>21:04:11</t>
  </si>
  <si>
    <t>15:23:07</t>
  </si>
  <si>
    <t>17:46:32</t>
  </si>
  <si>
    <t>12:25:31</t>
  </si>
  <si>
    <t>14:58:43</t>
  </si>
  <si>
    <t>14:59:12</t>
  </si>
  <si>
    <t>13:28:41</t>
  </si>
  <si>
    <t>17:37:14</t>
  </si>
  <si>
    <t>01:52:50</t>
  </si>
  <si>
    <t>23:31:18</t>
  </si>
  <si>
    <t>23:27:51</t>
  </si>
  <si>
    <t>22:53:58</t>
  </si>
  <si>
    <t>13:08:20</t>
  </si>
  <si>
    <t>20:14:07</t>
  </si>
  <si>
    <t>11:50:30</t>
  </si>
  <si>
    <t>02:45:21</t>
  </si>
  <si>
    <t>02:08:23</t>
  </si>
  <si>
    <t>13:23:07</t>
  </si>
  <si>
    <t>20:08:00</t>
  </si>
  <si>
    <t>09:37:38</t>
  </si>
  <si>
    <t>04:55:31</t>
  </si>
  <si>
    <t>12:43:32</t>
  </si>
  <si>
    <t>14:02:34</t>
  </si>
  <si>
    <t>17:56:35</t>
  </si>
  <si>
    <t>19:10:34</t>
  </si>
  <si>
    <t>19:20:00</t>
  </si>
  <si>
    <t>16:40:00</t>
  </si>
  <si>
    <t>17:20:00</t>
  </si>
  <si>
    <t>22:51:31</t>
  </si>
  <si>
    <t>16:51:23</t>
  </si>
  <si>
    <t>22:34:05</t>
  </si>
  <si>
    <t>12:16:29</t>
  </si>
  <si>
    <t>18:08:04</t>
  </si>
  <si>
    <t>19:53:20</t>
  </si>
  <si>
    <t>19:27:00</t>
  </si>
  <si>
    <t>19:33:09</t>
  </si>
  <si>
    <t>20:46:33</t>
  </si>
  <si>
    <t>00:49:54</t>
  </si>
  <si>
    <t>22:54:27</t>
  </si>
  <si>
    <t>13:01:06</t>
  </si>
  <si>
    <t>17:45:31</t>
  </si>
  <si>
    <t>20:39:26</t>
  </si>
  <si>
    <t>12:21:37</t>
  </si>
  <si>
    <t>21:02:57</t>
  </si>
  <si>
    <t>16:14:32</t>
  </si>
  <si>
    <t>15:25:00</t>
  </si>
  <si>
    <t>16:01:47</t>
  </si>
  <si>
    <t>05:23:06</t>
  </si>
  <si>
    <t>18:05:03</t>
  </si>
  <si>
    <t>10:37:00</t>
  </si>
  <si>
    <t>04:57:11</t>
  </si>
  <si>
    <t>09:12:18</t>
  </si>
  <si>
    <t>12:12:20</t>
  </si>
  <si>
    <t>16:03:55</t>
  </si>
  <si>
    <t>20:01:58</t>
  </si>
  <si>
    <t>12:52:00</t>
  </si>
  <si>
    <t>22:22:14</t>
  </si>
  <si>
    <t>14:50:40</t>
  </si>
  <si>
    <t>19:08:27</t>
  </si>
  <si>
    <t>18:24:51</t>
  </si>
  <si>
    <t>14:01:02</t>
  </si>
  <si>
    <t>13:21:28</t>
  </si>
  <si>
    <t>14:25:15</t>
  </si>
  <si>
    <t>12:42:28</t>
  </si>
  <si>
    <t>14:03:07</t>
  </si>
  <si>
    <t>13:57:23</t>
  </si>
  <si>
    <t>15:59:39</t>
  </si>
  <si>
    <t>13:40:59</t>
  </si>
  <si>
    <t>11:38:33</t>
  </si>
  <si>
    <t>19:55:03</t>
  </si>
  <si>
    <t>13:05:39</t>
  </si>
  <si>
    <t>13:50:59</t>
  </si>
  <si>
    <t>22:25:32</t>
  </si>
  <si>
    <t>15:25:19</t>
  </si>
  <si>
    <t>20:56:33</t>
  </si>
  <si>
    <t>04:15:44</t>
  </si>
  <si>
    <t>22:50:45</t>
  </si>
  <si>
    <t>15:58:41</t>
  </si>
  <si>
    <t>19:26:20</t>
  </si>
  <si>
    <t>16:40:55</t>
  </si>
  <si>
    <t>17:05:00</t>
  </si>
  <si>
    <t>17:35:14</t>
  </si>
  <si>
    <t>03:23:44</t>
  </si>
  <si>
    <t>17:19:28</t>
  </si>
  <si>
    <t>00:01:46</t>
  </si>
  <si>
    <t>23:59:50</t>
  </si>
  <si>
    <t>23:56:05</t>
  </si>
  <si>
    <t>14:08:22</t>
  </si>
  <si>
    <t>22:34:40</t>
  </si>
  <si>
    <t>12:39:51</t>
  </si>
  <si>
    <t>01:23:00</t>
  </si>
  <si>
    <t>13:49:45</t>
  </si>
  <si>
    <t>00:38:24</t>
  </si>
  <si>
    <t>00:57:22</t>
  </si>
  <si>
    <t>03:06:23</t>
  </si>
  <si>
    <t>15:05:13</t>
  </si>
  <si>
    <t>15:21:15</t>
  </si>
  <si>
    <t>21:53:08</t>
  </si>
  <si>
    <t>10:03:52</t>
  </si>
  <si>
    <t>16:40:40</t>
  </si>
  <si>
    <t>16:46:50</t>
  </si>
  <si>
    <t>23:08:53</t>
  </si>
  <si>
    <t>10:12:34</t>
  </si>
  <si>
    <t>20:21:24</t>
  </si>
  <si>
    <t>22:15:58</t>
  </si>
  <si>
    <t>16:55:39</t>
  </si>
  <si>
    <t>15:27:56</t>
  </si>
  <si>
    <t>00:31:02</t>
  </si>
  <si>
    <t>00:31:25</t>
  </si>
  <si>
    <t>21:27:48</t>
  </si>
  <si>
    <t>23:09:40</t>
  </si>
  <si>
    <t>13:38:27</t>
  </si>
  <si>
    <t>23:26:57</t>
  </si>
  <si>
    <t>23:25:37</t>
  </si>
  <si>
    <t>11:48:03</t>
  </si>
  <si>
    <t>13:39:12</t>
  </si>
  <si>
    <t>19:36:16</t>
  </si>
  <si>
    <t>13:06:30</t>
  </si>
  <si>
    <t>16:45:11</t>
  </si>
  <si>
    <t>22:52:23</t>
  </si>
  <si>
    <t>12:11:33</t>
  </si>
  <si>
    <t>20:00:00</t>
  </si>
  <si>
    <t>20:34:01</t>
  </si>
  <si>
    <t>21:23:05</t>
  </si>
  <si>
    <t>15:24:13</t>
  </si>
  <si>
    <t>21:56:22</t>
  </si>
  <si>
    <t>19:44:23</t>
  </si>
  <si>
    <t>01:45:09</t>
  </si>
  <si>
    <t>08:16:28</t>
  </si>
  <si>
    <t>17:21:33</t>
  </si>
  <si>
    <t>13:15:40</t>
  </si>
  <si>
    <t>18:26:55</t>
  </si>
  <si>
    <t>23:12:23</t>
  </si>
  <si>
    <t>20:34:37</t>
  </si>
  <si>
    <t>13:11:50</t>
  </si>
  <si>
    <t>16:51:26</t>
  </si>
  <si>
    <t>16:14:15</t>
  </si>
  <si>
    <t>17:29:28</t>
  </si>
  <si>
    <t>19:20:17</t>
  </si>
  <si>
    <t>12:55:41</t>
  </si>
  <si>
    <t>23:10:30</t>
  </si>
  <si>
    <t>12:09:14</t>
  </si>
  <si>
    <t>02:05:02</t>
  </si>
  <si>
    <t>16:23:21</t>
  </si>
  <si>
    <t>07:13:20</t>
  </si>
  <si>
    <t>19:15:23</t>
  </si>
  <si>
    <t>19:15:20</t>
  </si>
  <si>
    <t>04:35:13</t>
  </si>
  <si>
    <t>19:24:43</t>
  </si>
  <si>
    <t>18:39:30</t>
  </si>
  <si>
    <t>20:13:05</t>
  </si>
  <si>
    <t>17:32:16</t>
  </si>
  <si>
    <t>13:17:17</t>
  </si>
  <si>
    <t>19:13:13</t>
  </si>
  <si>
    <t>14:10:06</t>
  </si>
  <si>
    <t>23:40:23</t>
  </si>
  <si>
    <t>14:12:21</t>
  </si>
  <si>
    <t>03:41:34</t>
  </si>
  <si>
    <t>21:34:49</t>
  </si>
  <si>
    <t>00:22:17</t>
  </si>
  <si>
    <t>23:55:36</t>
  </si>
  <si>
    <t>02:28:02</t>
  </si>
  <si>
    <t>22:25:49</t>
  </si>
  <si>
    <t>18:41:36</t>
  </si>
  <si>
    <t>22:15:36</t>
  </si>
  <si>
    <t>20:43:53</t>
  </si>
  <si>
    <t>20:18:21</t>
  </si>
  <si>
    <t>21:07:34</t>
  </si>
  <si>
    <t>13:58:38</t>
  </si>
  <si>
    <t>20:11:01</t>
  </si>
  <si>
    <t>04:29:11</t>
  </si>
  <si>
    <t>21:39:37</t>
  </si>
  <si>
    <t>14:52:25</t>
  </si>
  <si>
    <t>22:08:44</t>
  </si>
  <si>
    <t>14:40:53</t>
  </si>
  <si>
    <t>12:36:55</t>
  </si>
  <si>
    <t>00:06:51</t>
  </si>
  <si>
    <t>16:06:07</t>
  </si>
  <si>
    <t>14:11:07</t>
  </si>
  <si>
    <t>15:56:29</t>
  </si>
  <si>
    <t>14:43:36</t>
  </si>
  <si>
    <t>23:02:28</t>
  </si>
  <si>
    <t>15:07:42</t>
  </si>
  <si>
    <t>21:44:49</t>
  </si>
  <si>
    <t>18:53:37</t>
  </si>
  <si>
    <t>18:28:29</t>
  </si>
  <si>
    <t>07:22:51</t>
  </si>
  <si>
    <t>17:04:00</t>
  </si>
  <si>
    <t>08:00:02</t>
  </si>
  <si>
    <t>13:00:02</t>
  </si>
  <si>
    <t>11:33:00</t>
  </si>
  <si>
    <t>08:20:00</t>
  </si>
  <si>
    <t>17:55:00</t>
  </si>
  <si>
    <t>07:36:00</t>
  </si>
  <si>
    <t>12:34:00</t>
  </si>
  <si>
    <t>13:12:16</t>
  </si>
  <si>
    <t>10:30:00</t>
  </si>
  <si>
    <t>07:48:00</t>
  </si>
  <si>
    <t>03:03:00</t>
  </si>
  <si>
    <t>11:00:01</t>
  </si>
  <si>
    <t>11:01:00</t>
  </si>
  <si>
    <t>15:34:00</t>
  </si>
  <si>
    <t>13:00:41</t>
  </si>
  <si>
    <t>13:10:14</t>
  </si>
  <si>
    <t>12:37:59</t>
  </si>
  <si>
    <t>14:11:48</t>
  </si>
  <si>
    <t>11:32:27</t>
  </si>
  <si>
    <t>19:18:44</t>
  </si>
  <si>
    <t>14:21:56</t>
  </si>
  <si>
    <t>13:46:59</t>
  </si>
  <si>
    <t>20:14:54</t>
  </si>
  <si>
    <t>04:38:18</t>
  </si>
  <si>
    <t>04:43:17</t>
  </si>
  <si>
    <t>23:36:29</t>
  </si>
  <si>
    <t>19:45:03</t>
  </si>
  <si>
    <t>18:47:15</t>
  </si>
  <si>
    <t>04:28:06</t>
  </si>
  <si>
    <t>21:31:24</t>
  </si>
  <si>
    <t>18:17:37</t>
  </si>
  <si>
    <t>21:34:42</t>
  </si>
  <si>
    <t>23:41:43</t>
  </si>
  <si>
    <t>21:07:22</t>
  </si>
  <si>
    <t>21:34:21</t>
  </si>
  <si>
    <t>19:43:57</t>
  </si>
  <si>
    <t>23:04:22</t>
  </si>
  <si>
    <t>20:02:19</t>
  </si>
  <si>
    <t>17:40:51</t>
  </si>
  <si>
    <t>20:46:19</t>
  </si>
  <si>
    <t>20:15:23</t>
  </si>
  <si>
    <t>19:53:23</t>
  </si>
  <si>
    <t>15:58:59</t>
  </si>
  <si>
    <t>20:32:12</t>
  </si>
  <si>
    <t>20:40:52</t>
  </si>
  <si>
    <t>21:51:13</t>
  </si>
  <si>
    <t>13:12:53</t>
  </si>
  <si>
    <t>11:00:47</t>
  </si>
  <si>
    <t>21:49:48</t>
  </si>
  <si>
    <t>21:01:45</t>
  </si>
  <si>
    <t>13:00:56</t>
  </si>
  <si>
    <t>15:39:40</t>
  </si>
  <si>
    <t>19:42:52</t>
  </si>
  <si>
    <t>21:23:32</t>
  </si>
  <si>
    <t>18:55:56</t>
  </si>
  <si>
    <t>21:52:14</t>
  </si>
  <si>
    <t>16:53:34</t>
  </si>
  <si>
    <t>12:19:34</t>
  </si>
  <si>
    <t>11:04:03</t>
  </si>
  <si>
    <t>21:51:37</t>
  </si>
  <si>
    <t>13:53:58</t>
  </si>
  <si>
    <t>18:20:33</t>
  </si>
  <si>
    <t>14:25:40</t>
  </si>
  <si>
    <t>00:06:50</t>
  </si>
  <si>
    <t>11:04:59</t>
  </si>
  <si>
    <t>11:34:49</t>
  </si>
  <si>
    <t>13:00:35</t>
  </si>
  <si>
    <t>13:42:48</t>
  </si>
  <si>
    <t>22:40:39</t>
  </si>
  <si>
    <t>22:02:43</t>
  </si>
  <si>
    <t>22:18:37</t>
  </si>
  <si>
    <t>15:00:02</t>
  </si>
  <si>
    <t>16:00:38</t>
  </si>
  <si>
    <t>15:20:00</t>
  </si>
  <si>
    <t>14:46:50</t>
  </si>
  <si>
    <t>21:15:31</t>
  </si>
  <si>
    <t>21:52:36</t>
  </si>
  <si>
    <t>13:04:41</t>
  </si>
  <si>
    <t>04:24:01</t>
  </si>
  <si>
    <t>12:04:48</t>
  </si>
  <si>
    <t>15:31:25</t>
  </si>
  <si>
    <t>18:15:06</t>
  </si>
  <si>
    <t>21:10:16</t>
  </si>
  <si>
    <t>15:16:02</t>
  </si>
  <si>
    <t>17:38:24</t>
  </si>
  <si>
    <t>22:44:22</t>
  </si>
  <si>
    <t>17:44:49</t>
  </si>
  <si>
    <t>16:43:22</t>
  </si>
  <si>
    <t>23:36:00</t>
  </si>
  <si>
    <t>21:36:14</t>
  </si>
  <si>
    <t>19:00:27</t>
  </si>
  <si>
    <t>15:01:23</t>
  </si>
  <si>
    <t>16:26:17</t>
  </si>
  <si>
    <t>20:15:28</t>
  </si>
  <si>
    <t>12:30:26</t>
  </si>
  <si>
    <t>16:00:00</t>
  </si>
  <si>
    <t>17:00:27</t>
  </si>
  <si>
    <t>12:02:17</t>
  </si>
  <si>
    <t>15:00:00</t>
  </si>
  <si>
    <t>16:44:14</t>
  </si>
  <si>
    <t>20:30:21</t>
  </si>
  <si>
    <t>18:03:17</t>
  </si>
  <si>
    <t>18:25:00</t>
  </si>
  <si>
    <t>21:02:25</t>
  </si>
  <si>
    <t>19:00:33</t>
  </si>
  <si>
    <t>16:55:18</t>
  </si>
  <si>
    <t>17:00:29</t>
  </si>
  <si>
    <t>17:00:00</t>
  </si>
  <si>
    <t>20:00:01</t>
  </si>
  <si>
    <t>10:00:01</t>
  </si>
  <si>
    <t>11:56:10</t>
  </si>
  <si>
    <t>19:08:15</t>
  </si>
  <si>
    <t>18:39:32</t>
  </si>
  <si>
    <t>19:07:43</t>
  </si>
  <si>
    <t>13:04:18</t>
  </si>
  <si>
    <t>20:26:32</t>
  </si>
  <si>
    <t>01:43:33</t>
  </si>
  <si>
    <t>14:44:26</t>
  </si>
  <si>
    <t>13:48:11</t>
  </si>
  <si>
    <t>23:02:11</t>
  </si>
  <si>
    <t>11:34:34</t>
  </si>
  <si>
    <t>11:33:47</t>
  </si>
  <si>
    <t>03:16:53</t>
  </si>
  <si>
    <t>02:28:53</t>
  </si>
  <si>
    <t>16:38:22</t>
  </si>
  <si>
    <t>16:51:19</t>
  </si>
  <si>
    <t>19:07:10</t>
  </si>
  <si>
    <t>21:47:49</t>
  </si>
  <si>
    <t>21:51:06</t>
  </si>
  <si>
    <t>17:16:38</t>
  </si>
  <si>
    <t>15:16:07</t>
  </si>
  <si>
    <t>17:01:21</t>
  </si>
  <si>
    <t>14:34:28</t>
  </si>
  <si>
    <t>17:09:03</t>
  </si>
  <si>
    <t>19:47:05</t>
  </si>
  <si>
    <t>18:23:56</t>
  </si>
  <si>
    <t>18:05:00</t>
  </si>
  <si>
    <t>01:13:20</t>
  </si>
  <si>
    <t>18:04:55</t>
  </si>
  <si>
    <t>20:47:49</t>
  </si>
  <si>
    <t>21:36:07</t>
  </si>
  <si>
    <t>19:11:20</t>
  </si>
  <si>
    <t>16:55:01</t>
  </si>
  <si>
    <t>17:30:28</t>
  </si>
  <si>
    <t>00:43:38</t>
  </si>
  <si>
    <t>16:50:00</t>
  </si>
  <si>
    <t>18:54:16</t>
  </si>
  <si>
    <t>16:22:12</t>
  </si>
  <si>
    <t>13:24:39</t>
  </si>
  <si>
    <t>18:58:40</t>
  </si>
  <si>
    <t>15:55:43</t>
  </si>
  <si>
    <t>15:57:54</t>
  </si>
  <si>
    <t>13:30:02</t>
  </si>
  <si>
    <t>11:48:37</t>
  </si>
  <si>
    <t>20:39:42</t>
  </si>
  <si>
    <t>12:47:17</t>
  </si>
  <si>
    <t>17:41:29</t>
  </si>
  <si>
    <t>18:38:47</t>
  </si>
  <si>
    <t>01:25:22</t>
  </si>
  <si>
    <t>15:49:49</t>
  </si>
  <si>
    <t>21:18:53</t>
  </si>
  <si>
    <t>22:13:24</t>
  </si>
  <si>
    <t>03:12:29</t>
  </si>
  <si>
    <t>22:50:47</t>
  </si>
  <si>
    <t>23:38:47</t>
  </si>
  <si>
    <t>23:08:34</t>
  </si>
  <si>
    <t>21:33:58</t>
  </si>
  <si>
    <t>03:00:55</t>
  </si>
  <si>
    <t>01:11:48</t>
  </si>
  <si>
    <t>21:55:31</t>
  </si>
  <si>
    <t>20:41:48</t>
  </si>
  <si>
    <t>04:43:02</t>
  </si>
  <si>
    <t>21:36:10</t>
  </si>
  <si>
    <t>00:34:03</t>
  </si>
  <si>
    <t>05:06:13</t>
  </si>
  <si>
    <t>21:44:55</t>
  </si>
  <si>
    <t>04:14:48</t>
  </si>
  <si>
    <t>16:13:11</t>
  </si>
  <si>
    <t>12:37:54</t>
  </si>
  <si>
    <t>14:04:30</t>
  </si>
  <si>
    <t>00:09:09</t>
  </si>
  <si>
    <t>10:11:55</t>
  </si>
  <si>
    <t>10:55:48</t>
  </si>
  <si>
    <t>21:47:50</t>
  </si>
  <si>
    <t>14:21:59</t>
  </si>
  <si>
    <t>03:01:55</t>
  </si>
  <si>
    <t>14:27:26</t>
  </si>
  <si>
    <t>15:14:33</t>
  </si>
  <si>
    <t>10:35:43</t>
  </si>
  <si>
    <t>14:31:14</t>
  </si>
  <si>
    <t>12:36:20</t>
  </si>
  <si>
    <t>11:28:38</t>
  </si>
  <si>
    <t>17:38:42</t>
  </si>
  <si>
    <t>11:33:52</t>
  </si>
  <si>
    <t>12:33:11</t>
  </si>
  <si>
    <t>19:08:05</t>
  </si>
  <si>
    <t>14:02:21</t>
  </si>
  <si>
    <t>22:15:11</t>
  </si>
  <si>
    <t>21:00:02</t>
  </si>
  <si>
    <t>15:15:11</t>
  </si>
  <si>
    <t>13:00:31</t>
  </si>
  <si>
    <t>23:08:36</t>
  </si>
  <si>
    <t>22:30:11</t>
  </si>
  <si>
    <t>14:45:10</t>
  </si>
  <si>
    <t>00:00:15</t>
  </si>
  <si>
    <t>02:30:12</t>
  </si>
  <si>
    <t>11:30:19</t>
  </si>
  <si>
    <t>00:15:10</t>
  </si>
  <si>
    <t>16:45:44</t>
  </si>
  <si>
    <t>13:00:32</t>
  </si>
  <si>
    <t>17:15:09</t>
  </si>
  <si>
    <t>19:55:47</t>
  </si>
  <si>
    <t>11:39:27</t>
  </si>
  <si>
    <t>11:38:11</t>
  </si>
  <si>
    <t>10:52:43</t>
  </si>
  <si>
    <t>01:43:53</t>
  </si>
  <si>
    <t>22:06:50</t>
  </si>
  <si>
    <t>00:22:44</t>
  </si>
  <si>
    <t>16:09:17</t>
  </si>
  <si>
    <t>14:30:25</t>
  </si>
  <si>
    <t>17:27:09</t>
  </si>
  <si>
    <t>22:23:43</t>
  </si>
  <si>
    <t>12:25:27</t>
  </si>
  <si>
    <t>20:46:01</t>
  </si>
  <si>
    <t>21:30:34</t>
  </si>
  <si>
    <t>13:22:07</t>
  </si>
  <si>
    <t>11:01:10</t>
  </si>
  <si>
    <t>22:46:07</t>
  </si>
  <si>
    <t>15:54:17</t>
  </si>
  <si>
    <t>14:36:31</t>
  </si>
  <si>
    <t>13:27:44</t>
  </si>
  <si>
    <t>10:56:45</t>
  </si>
  <si>
    <t>20:09:11</t>
  </si>
  <si>
    <t>15:07:34</t>
  </si>
  <si>
    <t>11:10:32</t>
  </si>
  <si>
    <t>10:31:52</t>
  </si>
  <si>
    <t>19:16:46</t>
  </si>
  <si>
    <t>18:15:15</t>
  </si>
  <si>
    <t>18:58:38</t>
  </si>
  <si>
    <t>12:26:10</t>
  </si>
  <si>
    <t>11:59:50</t>
  </si>
  <si>
    <t>10:24:00</t>
  </si>
  <si>
    <t>16:01:10</t>
  </si>
  <si>
    <t>14:01:09</t>
  </si>
  <si>
    <t>13:51:32</t>
  </si>
  <si>
    <t>11:47:40</t>
  </si>
  <si>
    <t>17:32:15</t>
  </si>
  <si>
    <t>14:01:10</t>
  </si>
  <si>
    <t>17:01:08</t>
  </si>
  <si>
    <t>15:58:25</t>
  </si>
  <si>
    <t>17:47:13</t>
  </si>
  <si>
    <t>17:27:58</t>
  </si>
  <si>
    <t>16:43:29</t>
  </si>
  <si>
    <t>16:24:25</t>
  </si>
  <si>
    <t>15:28:11</t>
  </si>
  <si>
    <t>14:09:23</t>
  </si>
  <si>
    <t>12:24:10</t>
  </si>
  <si>
    <t>11:44:47</t>
  </si>
  <si>
    <t>11:36:12</t>
  </si>
  <si>
    <t>22:41:03</t>
  </si>
  <si>
    <t>22:34:54</t>
  </si>
  <si>
    <t>21:54:21</t>
  </si>
  <si>
    <t>21:49:12</t>
  </si>
  <si>
    <t>21:07:27</t>
  </si>
  <si>
    <t>13:59:15</t>
  </si>
  <si>
    <t>13:38:34</t>
  </si>
  <si>
    <t>19:24:18</t>
  </si>
  <si>
    <t>19:34:05</t>
  </si>
  <si>
    <t>14:32:15</t>
  </si>
  <si>
    <t>14:26:20</t>
  </si>
  <si>
    <t>13:20:56</t>
  </si>
  <si>
    <t>11:28:42</t>
  </si>
  <si>
    <t>10:24:56</t>
  </si>
  <si>
    <t>15:39:28</t>
  </si>
  <si>
    <t>12:11:09</t>
  </si>
  <si>
    <t>12:31:00</t>
  </si>
  <si>
    <t>12:28:47</t>
  </si>
  <si>
    <t>16:32:16</t>
  </si>
  <si>
    <t>14:02:53</t>
  </si>
  <si>
    <t>12:27:20</t>
  </si>
  <si>
    <t>15:35:05</t>
  </si>
  <si>
    <t>15:15:36</t>
  </si>
  <si>
    <t>15:12:35</t>
  </si>
  <si>
    <t>13:44:04</t>
  </si>
  <si>
    <t>12:34:37</t>
  </si>
  <si>
    <t>11:07:49</t>
  </si>
  <si>
    <t>19:36:08</t>
  </si>
  <si>
    <t>18:16:21</t>
  </si>
  <si>
    <t>17:31:11</t>
  </si>
  <si>
    <t>16:01:25</t>
  </si>
  <si>
    <t>13:15:56</t>
  </si>
  <si>
    <t>11:31:05</t>
  </si>
  <si>
    <t>11:26:48</t>
  </si>
  <si>
    <t>11:16:41</t>
  </si>
  <si>
    <t>12:04:02</t>
  </si>
  <si>
    <t>22:46:44</t>
  </si>
  <si>
    <t>15:25:30</t>
  </si>
  <si>
    <t>15:03:20</t>
  </si>
  <si>
    <t>13:01:08</t>
  </si>
  <si>
    <t>12:24:49</t>
  </si>
  <si>
    <t>11:35:41</t>
  </si>
  <si>
    <t>19:57:18</t>
  </si>
  <si>
    <t>19:33:34</t>
  </si>
  <si>
    <t>14:27:03</t>
  </si>
  <si>
    <t>12:16:49</t>
  </si>
  <si>
    <t>17:19:02</t>
  </si>
  <si>
    <t>15:58:06</t>
  </si>
  <si>
    <t>14:13:46</t>
  </si>
  <si>
    <t>12:18:15</t>
  </si>
  <si>
    <t>13:52:54</t>
  </si>
  <si>
    <t>12:29:27</t>
  </si>
  <si>
    <t>11:49:04</t>
  </si>
  <si>
    <t>19:06:53</t>
  </si>
  <si>
    <t>18:08:53</t>
  </si>
  <si>
    <t>21:57:49</t>
  </si>
  <si>
    <t>20:08:57</t>
  </si>
  <si>
    <t>11:48:51</t>
  </si>
  <si>
    <t>17:01:09</t>
  </si>
  <si>
    <t>19:07:02</t>
  </si>
  <si>
    <t>18:26:09</t>
  </si>
  <si>
    <t>15:51:48</t>
  </si>
  <si>
    <t>15:32:39</t>
  </si>
  <si>
    <t>22:01:19</t>
  </si>
  <si>
    <t>19:50:40</t>
  </si>
  <si>
    <t>11:31:01</t>
  </si>
  <si>
    <t>21:34:41</t>
  </si>
  <si>
    <t>19:42:14</t>
  </si>
  <si>
    <t>10:59:09</t>
  </si>
  <si>
    <t>20:29:15</t>
  </si>
  <si>
    <t>14:45:12</t>
  </si>
  <si>
    <t>11:31:08</t>
  </si>
  <si>
    <t>19:13:10</t>
  </si>
  <si>
    <t>18:28:45</t>
  </si>
  <si>
    <t>15:40:25</t>
  </si>
  <si>
    <t>15:36:05</t>
  </si>
  <si>
    <t>15:21:51</t>
  </si>
  <si>
    <t>14:52:04</t>
  </si>
  <si>
    <t>13:34:41</t>
  </si>
  <si>
    <t>13:07:57</t>
  </si>
  <si>
    <t>10:51:50</t>
  </si>
  <si>
    <t>10:27:37</t>
  </si>
  <si>
    <t>20:01:08</t>
  </si>
  <si>
    <t>17:45:05</t>
  </si>
  <si>
    <t>15:29:04</t>
  </si>
  <si>
    <t>12:36:22</t>
  </si>
  <si>
    <t>16:39:22</t>
  </si>
  <si>
    <t>12:20:01</t>
  </si>
  <si>
    <t>11:04:07</t>
  </si>
  <si>
    <t>10:46:07</t>
  </si>
  <si>
    <t>16:57:27</t>
  </si>
  <si>
    <t>20:13:44</t>
  </si>
  <si>
    <t>18:20:11</t>
  </si>
  <si>
    <t>13:12:55</t>
  </si>
  <si>
    <t>13:09:03</t>
  </si>
  <si>
    <t>12:25:06</t>
  </si>
  <si>
    <t>11:52:43</t>
  </si>
  <si>
    <t>11:33:28</t>
  </si>
  <si>
    <t>12:01:48</t>
  </si>
  <si>
    <t>16:33:33</t>
  </si>
  <si>
    <t>13:01:17</t>
  </si>
  <si>
    <t>17:34:29</t>
  </si>
  <si>
    <t>17:34:14</t>
  </si>
  <si>
    <t>14:44:48</t>
  </si>
  <si>
    <t>19:52:46</t>
  </si>
  <si>
    <t>19:01:09</t>
  </si>
  <si>
    <t>14:33:06</t>
  </si>
  <si>
    <t>12:31:45</t>
  </si>
  <si>
    <t>15:11:34</t>
  </si>
  <si>
    <t>11:51:22</t>
  </si>
  <si>
    <t>17:58:57</t>
  </si>
  <si>
    <t>17:41:40</t>
  </si>
  <si>
    <t>16:58:45</t>
  </si>
  <si>
    <t>14:42:53</t>
  </si>
  <si>
    <t>12:38:57</t>
  </si>
  <si>
    <t>11:16:07</t>
  </si>
  <si>
    <t>10:58:59</t>
  </si>
  <si>
    <t>10:29:07</t>
  </si>
  <si>
    <t>00:32:14</t>
  </si>
  <si>
    <t>18:05:44</t>
  </si>
  <si>
    <t>11:19:58</t>
  </si>
  <si>
    <t>10:30:18</t>
  </si>
  <si>
    <t>18:17:23</t>
  </si>
  <si>
    <t>17:21:02</t>
  </si>
  <si>
    <t>11:47:15</t>
  </si>
  <si>
    <t>18:12:25</t>
  </si>
  <si>
    <t>12:40:38</t>
  </si>
  <si>
    <t>11:22:27</t>
  </si>
  <si>
    <t>11:01:14</t>
  </si>
  <si>
    <t>10:45:33</t>
  </si>
  <si>
    <t>22:25:14</t>
  </si>
  <si>
    <t>22:23:41</t>
  </si>
  <si>
    <t>21:38:13</t>
  </si>
  <si>
    <t>19:10:59</t>
  </si>
  <si>
    <t>17:26:29</t>
  </si>
  <si>
    <t>12:19:19</t>
  </si>
  <si>
    <t>19:10:48</t>
  </si>
  <si>
    <t>19:04:04</t>
  </si>
  <si>
    <t>12:18:54</t>
  </si>
  <si>
    <t>19:04:26</t>
  </si>
  <si>
    <t>17:59:24</t>
  </si>
  <si>
    <t>17:58:06</t>
  </si>
  <si>
    <t>15:21:35</t>
  </si>
  <si>
    <t>12:19:25</t>
  </si>
  <si>
    <t>13:52:35</t>
  </si>
  <si>
    <t>13:11:47</t>
  </si>
  <si>
    <t>11:36:23</t>
  </si>
  <si>
    <t>17:23:14</t>
  </si>
  <si>
    <t>13:00:24</t>
  </si>
  <si>
    <t>13:02:50</t>
  </si>
  <si>
    <t>12:17:54</t>
  </si>
  <si>
    <t>11:52:13</t>
  </si>
  <si>
    <t>12:02:01</t>
  </si>
  <si>
    <t>15:16:19</t>
  </si>
  <si>
    <t>15:00:23</t>
  </si>
  <si>
    <t>11:47:10</t>
  </si>
  <si>
    <t>16:38:05</t>
  </si>
  <si>
    <t>17:49:29</t>
  </si>
  <si>
    <t>15:52:04</t>
  </si>
  <si>
    <t>14:52:14</t>
  </si>
  <si>
    <t>13:43:51</t>
  </si>
  <si>
    <t>22:57:05</t>
  </si>
  <si>
    <t>22:31:07</t>
  </si>
  <si>
    <t>22:16:37</t>
  </si>
  <si>
    <t>21:59:29</t>
  </si>
  <si>
    <t>21:48:05</t>
  </si>
  <si>
    <t>21:11:40</t>
  </si>
  <si>
    <t>18:07:02</t>
  </si>
  <si>
    <t>17:57:33</t>
  </si>
  <si>
    <t>17:42:43</t>
  </si>
  <si>
    <t>16:58:06</t>
  </si>
  <si>
    <t>15:23:15</t>
  </si>
  <si>
    <t>15:11:46</t>
  </si>
  <si>
    <t>19:14:10</t>
  </si>
  <si>
    <t>18:05:13</t>
  </si>
  <si>
    <t>12:50:41</t>
  </si>
  <si>
    <t>12:33:59</t>
  </si>
  <si>
    <t>11:14:17</t>
  </si>
  <si>
    <t>22:00:46</t>
  </si>
  <si>
    <t>12:46:45</t>
  </si>
  <si>
    <t>11:20:41</t>
  </si>
  <si>
    <t>10:43:15</t>
  </si>
  <si>
    <t>21:18:58</t>
  </si>
  <si>
    <t>19:42:40</t>
  </si>
  <si>
    <t>18:51:28</t>
  </si>
  <si>
    <t>17:02:14</t>
  </si>
  <si>
    <t>16:29:27</t>
  </si>
  <si>
    <t>15:15:30</t>
  </si>
  <si>
    <t>13:37:23</t>
  </si>
  <si>
    <t>13:26:48</t>
  </si>
  <si>
    <t>18:51:46</t>
  </si>
  <si>
    <t>14:12:48</t>
  </si>
  <si>
    <t>10:26:50</t>
  </si>
  <si>
    <t>12:37:57</t>
  </si>
  <si>
    <t>17:17:07</t>
  </si>
  <si>
    <t>17:01:02</t>
  </si>
  <si>
    <t>13:13:10</t>
  </si>
  <si>
    <t>12:19:10</t>
  </si>
  <si>
    <t>11:50:15</t>
  </si>
  <si>
    <t>21:37:12</t>
  </si>
  <si>
    <t>17:57:00</t>
  </si>
  <si>
    <t>17:35:24</t>
  </si>
  <si>
    <t>17:26:47</t>
  </si>
  <si>
    <t>19:55:13</t>
  </si>
  <si>
    <t>18:07:12</t>
  </si>
  <si>
    <t>15:13:23</t>
  </si>
  <si>
    <t>12:25:35</t>
  </si>
  <si>
    <t>11:37:00</t>
  </si>
  <si>
    <t>11:02:36</t>
  </si>
  <si>
    <t>11:02:35</t>
  </si>
  <si>
    <t>20:24:28</t>
  </si>
  <si>
    <t>15:55:41</t>
  </si>
  <si>
    <t>11:44:53</t>
  </si>
  <si>
    <t>15:20:26</t>
  </si>
  <si>
    <t>19:34:37</t>
  </si>
  <si>
    <t>18:43:08</t>
  </si>
  <si>
    <t>18:25:16</t>
  </si>
  <si>
    <t>18:13:48</t>
  </si>
  <si>
    <t>13:40:18</t>
  </si>
  <si>
    <t>19:08:12</t>
  </si>
  <si>
    <t>17:23:36</t>
  </si>
  <si>
    <t>16:00:15</t>
  </si>
  <si>
    <t>14:44:36</t>
  </si>
  <si>
    <t>10:49:47</t>
  </si>
  <si>
    <t>14:41:16</t>
  </si>
  <si>
    <t>13:26:39</t>
  </si>
  <si>
    <t>21:11:34</t>
  </si>
  <si>
    <t>17:30:16</t>
  </si>
  <si>
    <t>16:17:30</t>
  </si>
  <si>
    <t>14:56:15</t>
  </si>
  <si>
    <t>14:00:10</t>
  </si>
  <si>
    <t>13:50:12</t>
  </si>
  <si>
    <t>13:11:18</t>
  </si>
  <si>
    <t>12:17:13</t>
  </si>
  <si>
    <t>11:40:58</t>
  </si>
  <si>
    <t>13:01:10</t>
  </si>
  <si>
    <t>11:00:36</t>
  </si>
  <si>
    <t>13:49:31</t>
  </si>
  <si>
    <t>13:08:15</t>
  </si>
  <si>
    <t>12:21:33</t>
  </si>
  <si>
    <t>10:52:33</t>
  </si>
  <si>
    <t>17:21:17</t>
  </si>
  <si>
    <t>13:19:53</t>
  </si>
  <si>
    <t>17:46:06</t>
  </si>
  <si>
    <t>17:10:10</t>
  </si>
  <si>
    <t>15:37:18</t>
  </si>
  <si>
    <t>14:09:40</t>
  </si>
  <si>
    <t>12:02:34</t>
  </si>
  <si>
    <t>19:02:06</t>
  </si>
  <si>
    <t>12:01:55</t>
  </si>
  <si>
    <t>22:14:16</t>
  </si>
  <si>
    <t>20:33:29</t>
  </si>
  <si>
    <t>17:47:04</t>
  </si>
  <si>
    <t>16:47:10</t>
  </si>
  <si>
    <t>00:05:15</t>
  </si>
  <si>
    <t>17:48:52</t>
  </si>
  <si>
    <t>14:13:26</t>
  </si>
  <si>
    <t>22:38:16</t>
  </si>
  <si>
    <t>20:50:55</t>
  </si>
  <si>
    <t>18:45:09</t>
  </si>
  <si>
    <t>18:15:41</t>
  </si>
  <si>
    <t>22:52:59</t>
  </si>
  <si>
    <t>20:08:25</t>
  </si>
  <si>
    <t>11:49:22</t>
  </si>
  <si>
    <t>11:01:08</t>
  </si>
  <si>
    <t>12:01:10</t>
  </si>
  <si>
    <t>11:10:48</t>
  </si>
  <si>
    <t>18:56:34</t>
  </si>
  <si>
    <t>12:47:12</t>
  </si>
  <si>
    <t>11:09:05</t>
  </si>
  <si>
    <t>10:27:36</t>
  </si>
  <si>
    <t>03:01:33</t>
  </si>
  <si>
    <t>23:22:55</t>
  </si>
  <si>
    <t>18:20:28</t>
  </si>
  <si>
    <t>16:41:36</t>
  </si>
  <si>
    <t>15:04:22</t>
  </si>
  <si>
    <t>14:56:28</t>
  </si>
  <si>
    <t>13:49:56</t>
  </si>
  <si>
    <t>12:22:14</t>
  </si>
  <si>
    <t>11:19:27</t>
  </si>
  <si>
    <t>10:26:39</t>
  </si>
  <si>
    <t>19:02:17</t>
  </si>
  <si>
    <t>17:23:40</t>
  </si>
  <si>
    <t>12:32:34</t>
  </si>
  <si>
    <t>11:18:48</t>
  </si>
  <si>
    <t>10:45:09</t>
  </si>
  <si>
    <t>21:40:44</t>
  </si>
  <si>
    <t>18:23:12</t>
  </si>
  <si>
    <t>15:25:22</t>
  </si>
  <si>
    <t>12:17:14</t>
  </si>
  <si>
    <t>23:58:25</t>
  </si>
  <si>
    <t>19:37:53</t>
  </si>
  <si>
    <t>15:22:18</t>
  </si>
  <si>
    <t>11:56:23</t>
  </si>
  <si>
    <t>17:13:16</t>
  </si>
  <si>
    <t>15:13:53</t>
  </si>
  <si>
    <t>13:02:18</t>
  </si>
  <si>
    <t>12:27:25</t>
  </si>
  <si>
    <t>17:31:41</t>
  </si>
  <si>
    <t>21:16:18</t>
  </si>
  <si>
    <t>20:27:12</t>
  </si>
  <si>
    <t>19:49:19</t>
  </si>
  <si>
    <t>17:55:11</t>
  </si>
  <si>
    <t>14:48:47</t>
  </si>
  <si>
    <t>13:56:14</t>
  </si>
  <si>
    <t>11:39:19</t>
  </si>
  <si>
    <t>20:25:19</t>
  </si>
  <si>
    <t>18:29:53</t>
  </si>
  <si>
    <t>15:19:49</t>
  </si>
  <si>
    <t>15:14:53</t>
  </si>
  <si>
    <t>15:09:35</t>
  </si>
  <si>
    <t>14:23:04</t>
  </si>
  <si>
    <t>13:11:10</t>
  </si>
  <si>
    <t>11:55:08</t>
  </si>
  <si>
    <t>11:33:15</t>
  </si>
  <si>
    <t>15:21:27</t>
  </si>
  <si>
    <t>13:52:10</t>
  </si>
  <si>
    <t>16:42:02</t>
  </si>
  <si>
    <t>14:20:44</t>
  </si>
  <si>
    <t>17:28:50</t>
  </si>
  <si>
    <t>10:34:58</t>
  </si>
  <si>
    <t>11:57:42</t>
  </si>
  <si>
    <t>11:03:31</t>
  </si>
  <si>
    <t>10:31:29</t>
  </si>
  <si>
    <t>20:29:28</t>
  </si>
  <si>
    <t>15:38:35</t>
  </si>
  <si>
    <t>12:01:04</t>
  </si>
  <si>
    <t>16:46:07</t>
  </si>
  <si>
    <t>13:26:07</t>
  </si>
  <si>
    <t>12:04:35</t>
  </si>
  <si>
    <t>19:51:07</t>
  </si>
  <si>
    <t>12:31:10</t>
  </si>
  <si>
    <t>19:49:07</t>
  </si>
  <si>
    <t>17:11:22</t>
  </si>
  <si>
    <t>17:09:44</t>
  </si>
  <si>
    <t>13:30:47</t>
  </si>
  <si>
    <t>12:28:18</t>
  </si>
  <si>
    <t>11:47:25</t>
  </si>
  <si>
    <t>11:10:52</t>
  </si>
  <si>
    <t>13:02:31</t>
  </si>
  <si>
    <t>12:17:25</t>
  </si>
  <si>
    <t>11:32:29</t>
  </si>
  <si>
    <t>16:28:41</t>
  </si>
  <si>
    <t>13:55:26</t>
  </si>
  <si>
    <t>13:17:51</t>
  </si>
  <si>
    <t>12:20:38</t>
  </si>
  <si>
    <t>10:55:23</t>
  </si>
  <si>
    <t>19:57:23</t>
  </si>
  <si>
    <t>17:19:33</t>
  </si>
  <si>
    <t>15:17:12</t>
  </si>
  <si>
    <t>14:52:12</t>
  </si>
  <si>
    <t>14:15:56</t>
  </si>
  <si>
    <t>12:20:31</t>
  </si>
  <si>
    <t>21:18:56</t>
  </si>
  <si>
    <t>21:14:00</t>
  </si>
  <si>
    <t>19:14:25</t>
  </si>
  <si>
    <t>19:09:21</t>
  </si>
  <si>
    <t>13:15:07</t>
  </si>
  <si>
    <t>12:01:47</t>
  </si>
  <si>
    <t>18:13:17</t>
  </si>
  <si>
    <t>17:04:21</t>
  </si>
  <si>
    <t>23:51:30</t>
  </si>
  <si>
    <t>12:17:09</t>
  </si>
  <si>
    <t>17:11:24</t>
  </si>
  <si>
    <t>16:16:55</t>
  </si>
  <si>
    <t>16:13:01</t>
  </si>
  <si>
    <t>16:05:20</t>
  </si>
  <si>
    <t>11:28:00</t>
  </si>
  <si>
    <t>18:48:05</t>
  </si>
  <si>
    <t>19:41:01</t>
  </si>
  <si>
    <t>04:48:30</t>
  </si>
  <si>
    <t>07:40:46</t>
  </si>
  <si>
    <t>14:27:34</t>
  </si>
  <si>
    <t>00:18:04</t>
  </si>
  <si>
    <t>23:08:06</t>
  </si>
  <si>
    <t>21:53:12</t>
  </si>
  <si>
    <t>12:30:04</t>
  </si>
  <si>
    <t>14:11:42</t>
  </si>
  <si>
    <t>01:23:17</t>
  </si>
  <si>
    <t>15:04:37</t>
  </si>
  <si>
    <t>23:11:20</t>
  </si>
  <si>
    <t>11:48:25</t>
  </si>
  <si>
    <t>21:13:00</t>
  </si>
  <si>
    <t>21:01:00</t>
  </si>
  <si>
    <t>19:05:55</t>
  </si>
  <si>
    <t>09:14:10</t>
  </si>
  <si>
    <t>14:54:09</t>
  </si>
  <si>
    <t>14:49:33</t>
  </si>
  <si>
    <t>19:33:31</t>
  </si>
  <si>
    <t>00:44:05</t>
  </si>
  <si>
    <t>00:11:14</t>
  </si>
  <si>
    <t>09:26:56</t>
  </si>
  <si>
    <t>14:37:38</t>
  </si>
  <si>
    <t>13:06:54</t>
  </si>
  <si>
    <t>20:16:45</t>
  </si>
  <si>
    <t>14:42:08</t>
  </si>
  <si>
    <t>17:51:03</t>
  </si>
  <si>
    <t>14:24:03</t>
  </si>
  <si>
    <t>16:52:03</t>
  </si>
  <si>
    <t>17:12:45</t>
  </si>
  <si>
    <t>18:24:43</t>
  </si>
  <si>
    <t>18:10:02</t>
  </si>
  <si>
    <t>17:13:57</t>
  </si>
  <si>
    <t>15:45:16</t>
  </si>
  <si>
    <t>14:38:39</t>
  </si>
  <si>
    <t>14:29:49</t>
  </si>
  <si>
    <t>20:10:00</t>
  </si>
  <si>
    <t>17:40:00</t>
  </si>
  <si>
    <t>21:20:00</t>
  </si>
  <si>
    <t>19:40:00</t>
  </si>
  <si>
    <t>12:04:29</t>
  </si>
  <si>
    <t>19:55:42</t>
  </si>
  <si>
    <t>12:41:25</t>
  </si>
  <si>
    <t>16:24:58</t>
  </si>
  <si>
    <t>16:07:34</t>
  </si>
  <si>
    <t>20:20:07</t>
  </si>
  <si>
    <t>23:56:38</t>
  </si>
  <si>
    <t>01:18:36</t>
  </si>
  <si>
    <t>22:13:36</t>
  </si>
  <si>
    <t>02:19:07</t>
  </si>
  <si>
    <t>01:25:01</t>
  </si>
  <si>
    <t>18:35:48</t>
  </si>
  <si>
    <t>19:35:55</t>
  </si>
  <si>
    <t>21:35:38</t>
  </si>
  <si>
    <t>14:37:16</t>
  </si>
  <si>
    <t>20:07:39</t>
  </si>
  <si>
    <t>04:00:34</t>
  </si>
  <si>
    <t>15:08:30</t>
  </si>
  <si>
    <t>04:27:11</t>
  </si>
  <si>
    <t>01:03:12</t>
  </si>
  <si>
    <t>22:16:04</t>
  </si>
  <si>
    <t>19:09:47</t>
  </si>
  <si>
    <t>15:16:29</t>
  </si>
  <si>
    <t>13:06:43</t>
  </si>
  <si>
    <t>23:07:46</t>
  </si>
  <si>
    <t>03:35:57</t>
  </si>
  <si>
    <t>19:02:18</t>
  </si>
  <si>
    <t>03:18:23</t>
  </si>
  <si>
    <t>12:19:48</t>
  </si>
  <si>
    <t>22:27:21</t>
  </si>
  <si>
    <t>23:38:18</t>
  </si>
  <si>
    <t>02:35:08</t>
  </si>
  <si>
    <t>15:09:28</t>
  </si>
  <si>
    <t>19:35:47</t>
  </si>
  <si>
    <t>19:37:54</t>
  </si>
  <si>
    <t>12:11:34</t>
  </si>
  <si>
    <t>14:18:03</t>
  </si>
  <si>
    <t>00:07:55</t>
  </si>
  <si>
    <t>16:55:56</t>
  </si>
  <si>
    <t>00:22:41</t>
  </si>
  <si>
    <t>22:53:44</t>
  </si>
  <si>
    <t>15:02:04</t>
  </si>
  <si>
    <t>14:03:23</t>
  </si>
  <si>
    <t>18:50:56</t>
  </si>
  <si>
    <t>02:58:16</t>
  </si>
  <si>
    <t>17:41:18</t>
  </si>
  <si>
    <t>11:45:50</t>
  </si>
  <si>
    <t>16:27:19</t>
  </si>
  <si>
    <t>23:25:35</t>
  </si>
  <si>
    <t>12:56:30</t>
  </si>
  <si>
    <t>20:03:57</t>
  </si>
  <si>
    <t>15:19:11</t>
  </si>
  <si>
    <t>19:08:19</t>
  </si>
  <si>
    <t>09:57:28</t>
  </si>
  <si>
    <t>02:19:06</t>
  </si>
  <si>
    <t>13:50:23</t>
  </si>
  <si>
    <t>12:11:14</t>
  </si>
  <si>
    <t>22:25:41</t>
  </si>
  <si>
    <t>02:05:32</t>
  </si>
  <si>
    <t>02:02:28</t>
  </si>
  <si>
    <t>18:00:00</t>
  </si>
  <si>
    <t>00:15:00</t>
  </si>
  <si>
    <t>17:58:54</t>
  </si>
  <si>
    <t>16:25:59</t>
  </si>
  <si>
    <t>17:50:38</t>
  </si>
  <si>
    <t>17:52:44</t>
  </si>
  <si>
    <t>08:58:30</t>
  </si>
  <si>
    <t>20:34:02</t>
  </si>
  <si>
    <t>12:54:43</t>
  </si>
  <si>
    <t>18:56:36</t>
  </si>
  <si>
    <t>23:02:47</t>
  </si>
  <si>
    <t>14:50:25</t>
  </si>
  <si>
    <t>16:59:32</t>
  </si>
  <si>
    <t>04:15:45</t>
  </si>
  <si>
    <t>15:59:08</t>
  </si>
  <si>
    <t>09:50:57</t>
  </si>
  <si>
    <t>12:23:55</t>
  </si>
  <si>
    <t>22:20:08</t>
  </si>
  <si>
    <t>19:31:47</t>
  </si>
  <si>
    <t>17:31:07</t>
  </si>
  <si>
    <t>14:57:15</t>
  </si>
  <si>
    <t>19:39:44</t>
  </si>
  <si>
    <t>16:34:50</t>
  </si>
  <si>
    <t>16:10:21</t>
  </si>
  <si>
    <t>18:54:21</t>
  </si>
  <si>
    <t>20:28:19</t>
  </si>
  <si>
    <t>12:36:43</t>
  </si>
  <si>
    <t>22:09:59</t>
  </si>
  <si>
    <t>21:50:44</t>
  </si>
  <si>
    <t>19:36:40</t>
  </si>
  <si>
    <t>17:18:14</t>
  </si>
  <si>
    <t>19:59:26</t>
  </si>
  <si>
    <t>15:46:48</t>
  </si>
  <si>
    <t>12:29:00</t>
  </si>
  <si>
    <t>23:42:43</t>
  </si>
  <si>
    <t>14:02:27</t>
  </si>
  <si>
    <t>19:32:21</t>
  </si>
  <si>
    <t>14:26:04</t>
  </si>
  <si>
    <t>13:15:03</t>
  </si>
  <si>
    <t>12:23:48</t>
  </si>
  <si>
    <t>10:40:23</t>
  </si>
  <si>
    <t>23:25:42</t>
  </si>
  <si>
    <t>22:17:45</t>
  </si>
  <si>
    <t>11:51:37</t>
  </si>
  <si>
    <t>12:29:15</t>
  </si>
  <si>
    <t>22:15:01</t>
  </si>
  <si>
    <t>22:04:37</t>
  </si>
  <si>
    <t>13:52:46</t>
  </si>
  <si>
    <t>20:35:45</t>
  </si>
  <si>
    <t>17:44:04</t>
  </si>
  <si>
    <t>14:57:27</t>
  </si>
  <si>
    <t>12:36:57</t>
  </si>
  <si>
    <t>22:51:20</t>
  </si>
  <si>
    <t>19:31:25</t>
  </si>
  <si>
    <t>19:52:39</t>
  </si>
  <si>
    <t>19:15:46</t>
  </si>
  <si>
    <t>11:57:24</t>
  </si>
  <si>
    <t>12:36:05</t>
  </si>
  <si>
    <t>18:44:31</t>
  </si>
  <si>
    <t>19:29:56</t>
  </si>
  <si>
    <t>11:49:13</t>
  </si>
  <si>
    <t>21:28:00</t>
  </si>
  <si>
    <t>12:42:43</t>
  </si>
  <si>
    <t>19:59:12</t>
  </si>
  <si>
    <t>12:59:44</t>
  </si>
  <si>
    <t>22:19:19</t>
  </si>
  <si>
    <t>15:35:07</t>
  </si>
  <si>
    <t>02:44:26</t>
  </si>
  <si>
    <t>18:59:09</t>
  </si>
  <si>
    <t>18:28:20</t>
  </si>
  <si>
    <t>17:45:19</t>
  </si>
  <si>
    <t>16:59:31</t>
  </si>
  <si>
    <t>22:40:38</t>
  </si>
  <si>
    <t>19:49:28</t>
  </si>
  <si>
    <t>17:42:42</t>
  </si>
  <si>
    <t>20:31:23</t>
  </si>
  <si>
    <t>20:16:50</t>
  </si>
  <si>
    <t>15:21:12</t>
  </si>
  <si>
    <t>05:17:15</t>
  </si>
  <si>
    <t>12:57:34</t>
  </si>
  <si>
    <t>18:30:14</t>
  </si>
  <si>
    <t>21:48:09</t>
  </si>
  <si>
    <t>12:37:12</t>
  </si>
  <si>
    <t>14:34:12</t>
  </si>
  <si>
    <t>01:05:03</t>
  </si>
  <si>
    <t>18:25:32</t>
  </si>
  <si>
    <t>12:53:20</t>
  </si>
  <si>
    <t>23:07:37</t>
  </si>
  <si>
    <t>15:09:58</t>
  </si>
  <si>
    <t>10:42:32</t>
  </si>
  <si>
    <t>15:30:25</t>
  </si>
  <si>
    <t>18:06:57</t>
  </si>
  <si>
    <t>14:05:14</t>
  </si>
  <si>
    <t>12:29:42</t>
  </si>
  <si>
    <t>18:50:00</t>
  </si>
  <si>
    <t>18:37:17</t>
  </si>
  <si>
    <t>15:34:58</t>
  </si>
  <si>
    <t>15:37:01</t>
  </si>
  <si>
    <t>05:03:59</t>
  </si>
  <si>
    <t>21:07:21</t>
  </si>
  <si>
    <t>21:57:32</t>
  </si>
  <si>
    <t>12:00:26</t>
  </si>
  <si>
    <t>12:00:09</t>
  </si>
  <si>
    <t>10:01:28</t>
  </si>
  <si>
    <t>15:20:21</t>
  </si>
  <si>
    <t>15:30:26</t>
  </si>
  <si>
    <t>15:10:31</t>
  </si>
  <si>
    <t>17:14:59</t>
  </si>
  <si>
    <t>15:51:47</t>
  </si>
  <si>
    <t>15:31:44</t>
  </si>
  <si>
    <t>15:09:04</t>
  </si>
  <si>
    <t>19:28:38</t>
  </si>
  <si>
    <t>02:01:00</t>
  </si>
  <si>
    <t>21:50:09</t>
  </si>
  <si>
    <t>11:12:04</t>
  </si>
  <si>
    <t>07:04:45</t>
  </si>
  <si>
    <t>12:16:08</t>
  </si>
  <si>
    <t>07:16:19</t>
  </si>
  <si>
    <t>08:33:38</t>
  </si>
  <si>
    <t>16:17:06</t>
  </si>
  <si>
    <t>18:39:31</t>
  </si>
  <si>
    <t>15:52:05</t>
  </si>
  <si>
    <t>15:41:07</t>
  </si>
  <si>
    <t>13:12:05</t>
  </si>
  <si>
    <t>18:36:44</t>
  </si>
  <si>
    <t>08:38:25</t>
  </si>
  <si>
    <t>13:46:07</t>
  </si>
  <si>
    <t>13:37:40</t>
  </si>
  <si>
    <t>21:10:15</t>
  </si>
  <si>
    <t>13:52:25</t>
  </si>
  <si>
    <t>13:53:10</t>
  </si>
  <si>
    <t>20:58:00</t>
  </si>
  <si>
    <t>19:53:05</t>
  </si>
  <si>
    <t>09:03:35</t>
  </si>
  <si>
    <t>05:11:59</t>
  </si>
  <si>
    <t>00:12:37</t>
  </si>
  <si>
    <t>17:28:35</t>
  </si>
  <si>
    <t>14:48:51</t>
  </si>
  <si>
    <t>23:00:40</t>
  </si>
  <si>
    <t>15:30:41</t>
  </si>
  <si>
    <t>21:00:59</t>
  </si>
  <si>
    <t>15:54:14</t>
  </si>
  <si>
    <t>12:55:58</t>
  </si>
  <si>
    <t>20:24:42</t>
  </si>
  <si>
    <t>20:22:32</t>
  </si>
  <si>
    <t>20:25:12</t>
  </si>
  <si>
    <t>20:20:23</t>
  </si>
  <si>
    <t>13:27:41</t>
  </si>
  <si>
    <t>12:01:25</t>
  </si>
  <si>
    <t>12:18:31</t>
  </si>
  <si>
    <t>03:24:03</t>
  </si>
  <si>
    <t>02:21:49</t>
  </si>
  <si>
    <t>13:58:45</t>
  </si>
  <si>
    <t>13:56:51</t>
  </si>
  <si>
    <t>13:56:01</t>
  </si>
  <si>
    <t>13:55:28</t>
  </si>
  <si>
    <t>13:53:51</t>
  </si>
  <si>
    <t>13:53:06</t>
  </si>
  <si>
    <t>13:52:51</t>
  </si>
  <si>
    <t>13:52:22</t>
  </si>
  <si>
    <t>13:52:01</t>
  </si>
  <si>
    <t>13:51:23</t>
  </si>
  <si>
    <t>16:22:25</t>
  </si>
  <si>
    <t>23:39:22</t>
  </si>
  <si>
    <t>20:38:13</t>
  </si>
  <si>
    <t>16:03:38</t>
  </si>
  <si>
    <t>13:02:39</t>
  </si>
  <si>
    <t>20:49:42</t>
  </si>
  <si>
    <t>17:40:30</t>
  </si>
  <si>
    <t>14:53:43</t>
  </si>
  <si>
    <t>16:57:01</t>
  </si>
  <si>
    <t>00:32:30</t>
  </si>
  <si>
    <t>21:31:33</t>
  </si>
  <si>
    <t>11:58:45</t>
  </si>
  <si>
    <t>13:40:05</t>
  </si>
  <si>
    <t>13:03:48</t>
  </si>
  <si>
    <t>23:09:34</t>
  </si>
  <si>
    <t>17:03:17</t>
  </si>
  <si>
    <t>18:09:37</t>
  </si>
  <si>
    <t>12:56:03</t>
  </si>
  <si>
    <t>12:46:57</t>
  </si>
  <si>
    <t>22:19:21</t>
  </si>
  <si>
    <t>17:06:53</t>
  </si>
  <si>
    <t>12:28:33</t>
  </si>
  <si>
    <t>11:59:27</t>
  </si>
  <si>
    <t>12:39:13</t>
  </si>
  <si>
    <t>23:45:25</t>
  </si>
  <si>
    <t>13:02:48</t>
  </si>
  <si>
    <t>16:00:54</t>
  </si>
  <si>
    <t>00:04:53</t>
  </si>
  <si>
    <t>23:53:02</t>
  </si>
  <si>
    <t>22:00:22</t>
  </si>
  <si>
    <t>13:49:46</t>
  </si>
  <si>
    <t>01:55:07</t>
  </si>
  <si>
    <t>22:19:48</t>
  </si>
  <si>
    <t>17:57:06</t>
  </si>
  <si>
    <t>04:49:13</t>
  </si>
  <si>
    <t>02:18:58</t>
  </si>
  <si>
    <t>23:34:06</t>
  </si>
  <si>
    <t>14:22:29</t>
  </si>
  <si>
    <t>23:07:34</t>
  </si>
  <si>
    <t>04:39:33</t>
  </si>
  <si>
    <t>18:45:14</t>
  </si>
  <si>
    <t>20:22:56</t>
  </si>
  <si>
    <t>14:21:07</t>
  </si>
  <si>
    <t>02:30:51</t>
  </si>
  <si>
    <t>04:49:07</t>
  </si>
  <si>
    <t>12:44:08</t>
  </si>
  <si>
    <t>21:40:20</t>
  </si>
  <si>
    <t>13:27:00</t>
  </si>
  <si>
    <t>19:39:45</t>
  </si>
  <si>
    <t>12:59:12</t>
  </si>
  <si>
    <t>23:17:45</t>
  </si>
  <si>
    <t>20:42:02</t>
  </si>
  <si>
    <t>12:34:22</t>
  </si>
  <si>
    <t>22:21:45</t>
  </si>
  <si>
    <t>19:50:32</t>
  </si>
  <si>
    <t>20:05:54</t>
  </si>
  <si>
    <t>22:42:00</t>
  </si>
  <si>
    <t>16:45:20</t>
  </si>
  <si>
    <t>19:53:09</t>
  </si>
  <si>
    <t>14:00:18</t>
  </si>
  <si>
    <t>17:06:29</t>
  </si>
  <si>
    <t>17:24:39</t>
  </si>
  <si>
    <t>14:27:30</t>
  </si>
  <si>
    <t>13:52:29</t>
  </si>
  <si>
    <t>19:25:23</t>
  </si>
  <si>
    <t>15:14:55</t>
  </si>
  <si>
    <t>17:01:00</t>
  </si>
  <si>
    <t>14:02:49</t>
  </si>
  <si>
    <t>15:15:55</t>
  </si>
  <si>
    <t>02:01:43</t>
  </si>
  <si>
    <t>08:08:13</t>
  </si>
  <si>
    <t>15:55:56</t>
  </si>
  <si>
    <t>00:28:52</t>
  </si>
  <si>
    <t>11:28:03</t>
  </si>
  <si>
    <t>23:07:03</t>
  </si>
  <si>
    <t>23:28:56</t>
  </si>
  <si>
    <t>13:27:03</t>
  </si>
  <si>
    <t>18:21:19</t>
  </si>
  <si>
    <t>07:22:00</t>
  </si>
  <si>
    <t>03:18:00</t>
  </si>
  <si>
    <t>00:24:00</t>
  </si>
  <si>
    <t>05:13:00</t>
  </si>
  <si>
    <t>07:24:00</t>
  </si>
  <si>
    <t>15:03:00</t>
  </si>
  <si>
    <t>22:10:10</t>
  </si>
  <si>
    <t>22:10:09</t>
  </si>
  <si>
    <t>10:10:12</t>
  </si>
  <si>
    <t>14:46:00</t>
  </si>
  <si>
    <t>17:34:50</t>
  </si>
  <si>
    <t>15:08:37</t>
  </si>
  <si>
    <t>14:45:45</t>
  </si>
  <si>
    <t>13:37:06</t>
  </si>
  <si>
    <t>12:36:09</t>
  </si>
  <si>
    <t>07:23:27</t>
  </si>
  <si>
    <t>20:01:00</t>
  </si>
  <si>
    <t>15:04:35</t>
  </si>
  <si>
    <t>15:42:47</t>
  </si>
  <si>
    <t>12:16:57</t>
  </si>
  <si>
    <t>04:20:10</t>
  </si>
  <si>
    <t>03:27:14</t>
  </si>
  <si>
    <t>02:48:19</t>
  </si>
  <si>
    <t>01:02:38</t>
  </si>
  <si>
    <t>15:18:50</t>
  </si>
  <si>
    <t>15:17:53</t>
  </si>
  <si>
    <t>15:17:38</t>
  </si>
  <si>
    <t>15:16:57</t>
  </si>
  <si>
    <t>08:00:01</t>
  </si>
  <si>
    <t>01:30:05</t>
  </si>
  <si>
    <t>15:01:28</t>
  </si>
  <si>
    <t>18:29:27</t>
  </si>
  <si>
    <t>10:30:40</t>
  </si>
  <si>
    <t>17:47:46</t>
  </si>
  <si>
    <t>10:09:13</t>
  </si>
  <si>
    <t>06:02:51</t>
  </si>
  <si>
    <t>06:02:45</t>
  </si>
  <si>
    <t>22:21:39</t>
  </si>
  <si>
    <t>09:41:49</t>
  </si>
  <si>
    <t>22:13:15</t>
  </si>
  <si>
    <t>20:30:06</t>
  </si>
  <si>
    <t>14:17:59</t>
  </si>
  <si>
    <t>22:05:20</t>
  </si>
  <si>
    <t>13:05:11</t>
  </si>
  <si>
    <t>19:06:29</t>
  </si>
  <si>
    <t>21:16:17</t>
  </si>
  <si>
    <t>21:59:07</t>
  </si>
  <si>
    <t>19:47:53</t>
  </si>
  <si>
    <t>13:21:32</t>
  </si>
  <si>
    <t>11:08:42</t>
  </si>
  <si>
    <t>11:49:55</t>
  </si>
  <si>
    <t>13:18:13</t>
  </si>
  <si>
    <t>17:38:35</t>
  </si>
  <si>
    <t>19:37:00</t>
  </si>
  <si>
    <t>18:52:12</t>
  </si>
  <si>
    <t>17:20:10</t>
  </si>
  <si>
    <t>14:41:19</t>
  </si>
  <si>
    <t>00:03:08</t>
  </si>
  <si>
    <t>03:30:11</t>
  </si>
  <si>
    <t>10:44:04</t>
  </si>
  <si>
    <t>18:56:03</t>
  </si>
  <si>
    <t>11:44:46</t>
  </si>
  <si>
    <t>17:33:25</t>
  </si>
  <si>
    <t>18:35:53</t>
  </si>
  <si>
    <t>19:32:00</t>
  </si>
  <si>
    <t>20:42:35</t>
  </si>
  <si>
    <t>04:52:04</t>
  </si>
  <si>
    <t>12:20:27</t>
  </si>
  <si>
    <t>21:59:43</t>
  </si>
  <si>
    <t>19:49:50</t>
  </si>
  <si>
    <t>00:58:00</t>
  </si>
  <si>
    <t>19:53:06</t>
  </si>
  <si>
    <t>19:53:01</t>
  </si>
  <si>
    <t>01:01:52</t>
  </si>
  <si>
    <t>20:47:39</t>
  </si>
  <si>
    <t>11:23:48</t>
  </si>
  <si>
    <t>11:15:54</t>
  </si>
  <si>
    <t>11:16:27</t>
  </si>
  <si>
    <t>04:21:02</t>
  </si>
  <si>
    <t>03:22:19</t>
  </si>
  <si>
    <t>14:51:50</t>
  </si>
  <si>
    <t>16:11:46</t>
  </si>
  <si>
    <t>09:14:21</t>
  </si>
  <si>
    <t>19:19:42</t>
  </si>
  <si>
    <t>17:45:00</t>
  </si>
  <si>
    <t>15:15:00</t>
  </si>
  <si>
    <t>21:38:06</t>
  </si>
  <si>
    <t>18:57:17</t>
  </si>
  <si>
    <t>20:50:14</t>
  </si>
  <si>
    <t>14:58:56</t>
  </si>
  <si>
    <t>13:52:12</t>
  </si>
  <si>
    <t>16:20:58</t>
  </si>
  <si>
    <t>12:27:43</t>
  </si>
  <si>
    <t>12:03:05</t>
  </si>
  <si>
    <t>19:20:30</t>
  </si>
  <si>
    <t>18:17:54</t>
  </si>
  <si>
    <t>18:42:46</t>
  </si>
  <si>
    <t>03:38:04</t>
  </si>
  <si>
    <t>15:17:20</t>
  </si>
  <si>
    <t>12:51:27</t>
  </si>
  <si>
    <t>02:47:10</t>
  </si>
  <si>
    <t>20:44:57</t>
  </si>
  <si>
    <t>22:29:07</t>
  </si>
  <si>
    <t>23:40:46</t>
  </si>
  <si>
    <t>19:57:35</t>
  </si>
  <si>
    <t>23:10:08</t>
  </si>
  <si>
    <t>05:54:16</t>
  </si>
  <si>
    <t>20:10:10</t>
  </si>
  <si>
    <t>19:49:20</t>
  </si>
  <si>
    <t>21:35:12</t>
  </si>
  <si>
    <t>21:41:44</t>
  </si>
  <si>
    <t>05:11:47</t>
  </si>
  <si>
    <t>20:11:59</t>
  </si>
  <si>
    <t>01:51:51</t>
  </si>
  <si>
    <t>22:07:42</t>
  </si>
  <si>
    <t>03:22:54</t>
  </si>
  <si>
    <t>14:06:23</t>
  </si>
  <si>
    <t>05:32:20</t>
  </si>
  <si>
    <t>20:17:35</t>
  </si>
  <si>
    <t>14:27:45</t>
  </si>
  <si>
    <t>14:26:59</t>
  </si>
  <si>
    <t>14:24:37</t>
  </si>
  <si>
    <t>13:57:13</t>
  </si>
  <si>
    <t>14:01:08</t>
  </si>
  <si>
    <t>14:07:36</t>
  </si>
  <si>
    <t>02:38:46</t>
  </si>
  <si>
    <t>01:48:34</t>
  </si>
  <si>
    <t>12:50:40</t>
  </si>
  <si>
    <t>13:50:50</t>
  </si>
  <si>
    <t>13:46:05</t>
  </si>
  <si>
    <t>12:39:58</t>
  </si>
  <si>
    <t>12:52:47</t>
  </si>
  <si>
    <t>12:36:31</t>
  </si>
  <si>
    <t>12:28:35</t>
  </si>
  <si>
    <t>12:45:32</t>
  </si>
  <si>
    <t>13:22:32</t>
  </si>
  <si>
    <t>12:53:28</t>
  </si>
  <si>
    <t>12:01:41</t>
  </si>
  <si>
    <t>12:20:56</t>
  </si>
  <si>
    <t>12:49:39</t>
  </si>
  <si>
    <t>12:41:03</t>
  </si>
  <si>
    <t>13:11:36</t>
  </si>
  <si>
    <t>12:54:23</t>
  </si>
  <si>
    <t>12:43:58</t>
  </si>
  <si>
    <t>12:57:46</t>
  </si>
  <si>
    <t>11:58:40</t>
  </si>
  <si>
    <t>19:57:15</t>
  </si>
  <si>
    <t>11:11:29</t>
  </si>
  <si>
    <t>15:22:50</t>
  </si>
  <si>
    <t>10:29:30</t>
  </si>
  <si>
    <t>15:44:09</t>
  </si>
  <si>
    <t>14:56:35</t>
  </si>
  <si>
    <t>16:06:36</t>
  </si>
  <si>
    <t>20:32:10</t>
  </si>
  <si>
    <t>19:47:19</t>
  </si>
  <si>
    <t>14:38:58</t>
  </si>
  <si>
    <t>20:58:27</t>
  </si>
  <si>
    <t>18:01:21</t>
  </si>
  <si>
    <t>17:43:49</t>
  </si>
  <si>
    <t>15:59:49</t>
  </si>
  <si>
    <t>13:26:33</t>
  </si>
  <si>
    <t>18:04:36</t>
  </si>
  <si>
    <t>22:33:18</t>
  </si>
  <si>
    <t>19:58:36</t>
  </si>
  <si>
    <t>20:48:00</t>
  </si>
  <si>
    <t>23:47:00</t>
  </si>
  <si>
    <t>20:40:00</t>
  </si>
  <si>
    <t>19:26:51</t>
  </si>
  <si>
    <t>01:37:00</t>
  </si>
  <si>
    <t>02:29:26</t>
  </si>
  <si>
    <t>13:29:35</t>
  </si>
  <si>
    <t>19:39:48</t>
  </si>
  <si>
    <t>17:08:40</t>
  </si>
  <si>
    <t>15:48:04</t>
  </si>
  <si>
    <t>00:31:01</t>
  </si>
  <si>
    <t>23:40:11</t>
  </si>
  <si>
    <t>23:39:58</t>
  </si>
  <si>
    <t>19:30:01</t>
  </si>
  <si>
    <t>03:12:35</t>
  </si>
  <si>
    <t>14:54:30</t>
  </si>
  <si>
    <t>11:08:32</t>
  </si>
  <si>
    <t>16:19:03</t>
  </si>
  <si>
    <t>12:07:11</t>
  </si>
  <si>
    <t>22:32:25</t>
  </si>
  <si>
    <t>16:00:03</t>
  </si>
  <si>
    <t>14:22:36</t>
  </si>
  <si>
    <t>17:21:34</t>
  </si>
  <si>
    <t>12:56:23</t>
  </si>
  <si>
    <t>17:44:52</t>
  </si>
  <si>
    <t>23:39:59</t>
  </si>
  <si>
    <t>04:19:25</t>
  </si>
  <si>
    <t>06:18:11</t>
  </si>
  <si>
    <t>21:29:15</t>
  </si>
  <si>
    <t>13:58:37</t>
  </si>
  <si>
    <t>12:58:21</t>
  </si>
  <si>
    <t>16:30:15</t>
  </si>
  <si>
    <t>15:26:50</t>
  </si>
  <si>
    <t>15:29:06</t>
  </si>
  <si>
    <t>07:39:37</t>
  </si>
  <si>
    <t>21:38:27</t>
  </si>
  <si>
    <t>21:37:41</t>
  </si>
  <si>
    <t>22:37:14</t>
  </si>
  <si>
    <t>01:59:02</t>
  </si>
  <si>
    <t>19:05:58</t>
  </si>
  <si>
    <t>13:29:44</t>
  </si>
  <si>
    <t>02:02:26</t>
  </si>
  <si>
    <t>11:35:31</t>
  </si>
  <si>
    <t>17:41:33</t>
  </si>
  <si>
    <t>14:48:29</t>
  </si>
  <si>
    <t>21:54:51</t>
  </si>
  <si>
    <t>21:57:18</t>
  </si>
  <si>
    <t>13:06:38</t>
  </si>
  <si>
    <t>19:32:14</t>
  </si>
  <si>
    <t>16:10:00</t>
  </si>
  <si>
    <t>14:19:45</t>
  </si>
  <si>
    <t>21:48:44</t>
  </si>
  <si>
    <t>21:39:20</t>
  </si>
  <si>
    <t>20:51:59</t>
  </si>
  <si>
    <t>20:40:46</t>
  </si>
  <si>
    <t>14:49:05</t>
  </si>
  <si>
    <t>13:35:57</t>
  </si>
  <si>
    <t>03:17:33</t>
  </si>
  <si>
    <t>23:57:17</t>
  </si>
  <si>
    <t>22:03:40</t>
  </si>
  <si>
    <t>02:35:33</t>
  </si>
  <si>
    <t>22:25:02</t>
  </si>
  <si>
    <t>21:54:32</t>
  </si>
  <si>
    <t>21:45:52</t>
  </si>
  <si>
    <t>20:30:41</t>
  </si>
  <si>
    <t>13:36:01</t>
  </si>
  <si>
    <t>18:41:15</t>
  </si>
  <si>
    <t>19:44:33</t>
  </si>
  <si>
    <t>18:10:44</t>
  </si>
  <si>
    <t>18:09:39</t>
  </si>
  <si>
    <t>18:08:03</t>
  </si>
  <si>
    <t>00:30:00</t>
  </si>
  <si>
    <t>17:30:01</t>
  </si>
  <si>
    <t>21:47:47</t>
  </si>
  <si>
    <t>18:58:30</t>
  </si>
  <si>
    <t>14:32:38</t>
  </si>
  <si>
    <t>22:57:00</t>
  </si>
  <si>
    <t>02:07:04</t>
  </si>
  <si>
    <t>14:46:13</t>
  </si>
  <si>
    <t>20:14:02</t>
  </si>
  <si>
    <t>19:48:02</t>
  </si>
  <si>
    <t>01:31:02</t>
  </si>
  <si>
    <t>01:41:31</t>
  </si>
  <si>
    <t>13:21:33</t>
  </si>
  <si>
    <t>16:26:20</t>
  </si>
  <si>
    <t>02:19:19</t>
  </si>
  <si>
    <t>00:15:32</t>
  </si>
  <si>
    <t>15:50:35</t>
  </si>
  <si>
    <t>04:07:22</t>
  </si>
  <si>
    <t>04:06:05</t>
  </si>
  <si>
    <t>04:04:42</t>
  </si>
  <si>
    <t>19:48:00</t>
  </si>
  <si>
    <t>18:18:21</t>
  </si>
  <si>
    <t>14:25:20</t>
  </si>
  <si>
    <t>17:31:36</t>
  </si>
  <si>
    <t>01:11:25</t>
  </si>
  <si>
    <t>22:02:15</t>
  </si>
  <si>
    <t>14:04:04</t>
  </si>
  <si>
    <t>19:04:39</t>
  </si>
  <si>
    <t>12:56:12</t>
  </si>
  <si>
    <t>23:01:40</t>
  </si>
  <si>
    <t>15:02:32</t>
  </si>
  <si>
    <t>16:52:06</t>
  </si>
  <si>
    <t>12:33:47</t>
  </si>
  <si>
    <t>00:33:50</t>
  </si>
  <si>
    <t>11:22:48</t>
  </si>
  <si>
    <t>13:49:35</t>
  </si>
  <si>
    <t>21:57:47</t>
  </si>
  <si>
    <t>11:19:50</t>
  </si>
  <si>
    <t>09:45:19</t>
  </si>
  <si>
    <t>19:15:27</t>
  </si>
  <si>
    <t>18:31:29</t>
  </si>
  <si>
    <t>09:34:03</t>
  </si>
  <si>
    <t>15:04:40</t>
  </si>
  <si>
    <t>11:47:36</t>
  </si>
  <si>
    <t>11:42:43</t>
  </si>
  <si>
    <t>14:16:17</t>
  </si>
  <si>
    <t>15:02:44</t>
  </si>
  <si>
    <t>15:59:04</t>
  </si>
  <si>
    <t>13:50:08</t>
  </si>
  <si>
    <t>15:03:32</t>
  </si>
  <si>
    <t>09:27:28</t>
  </si>
  <si>
    <t>14:00:01</t>
  </si>
  <si>
    <t>11:56:44</t>
  </si>
  <si>
    <t>21:21:25</t>
  </si>
  <si>
    <t>13:53:08</t>
  </si>
  <si>
    <t>11:48:00</t>
  </si>
  <si>
    <t>11:12:00</t>
  </si>
  <si>
    <t>05:36:51</t>
  </si>
  <si>
    <t>10:06:00</t>
  </si>
  <si>
    <t>11:05:00</t>
  </si>
  <si>
    <t>23:05:33</t>
  </si>
  <si>
    <t>21:05:43</t>
  </si>
  <si>
    <t>20:35:31</t>
  </si>
  <si>
    <t>19:11:25</t>
  </si>
  <si>
    <t>00:38:09</t>
  </si>
  <si>
    <t>20:37:57</t>
  </si>
  <si>
    <t>20:39:43</t>
  </si>
  <si>
    <t>19:02:15</t>
  </si>
  <si>
    <t>12:53:30</t>
  </si>
  <si>
    <t>18:42:10</t>
  </si>
  <si>
    <t>16:56:48</t>
  </si>
  <si>
    <t>13:08:25</t>
  </si>
  <si>
    <t>12:50:13</t>
  </si>
  <si>
    <t>14:22:27</t>
  </si>
  <si>
    <t>21:54:12</t>
  </si>
  <si>
    <t>19:58:23</t>
  </si>
  <si>
    <t>15:01:19</t>
  </si>
  <si>
    <t>21:02:04</t>
  </si>
  <si>
    <t>14:25:54</t>
  </si>
  <si>
    <t>14:43:41</t>
  </si>
  <si>
    <t>22:10:34</t>
  </si>
  <si>
    <t>08:51:12</t>
  </si>
  <si>
    <t>13:42:16</t>
  </si>
  <si>
    <t>03:36:28</t>
  </si>
  <si>
    <t>01:11:47</t>
  </si>
  <si>
    <t>18:02:25</t>
  </si>
  <si>
    <t>14:22:12</t>
  </si>
  <si>
    <t>17:32:08</t>
  </si>
  <si>
    <t>18:12:32</t>
  </si>
  <si>
    <t>19:08:07</t>
  </si>
  <si>
    <t>04:04:59</t>
  </si>
  <si>
    <t>18:26:44</t>
  </si>
  <si>
    <t>03:01:21</t>
  </si>
  <si>
    <t>23:57:08</t>
  </si>
  <si>
    <t>16:45:00</t>
  </si>
  <si>
    <t>13:55:23</t>
  </si>
  <si>
    <t>13:48:34</t>
  </si>
  <si>
    <t>13:35:46</t>
  </si>
  <si>
    <t>14:43:15</t>
  </si>
  <si>
    <t>20:48:25</t>
  </si>
  <si>
    <t>21:39:22</t>
  </si>
  <si>
    <t>16:26:19</t>
  </si>
  <si>
    <t>17:28:04</t>
  </si>
  <si>
    <t>23:26:18</t>
  </si>
  <si>
    <t>22:42:05</t>
  </si>
  <si>
    <t>15:26:12</t>
  </si>
  <si>
    <t>16:55:49</t>
  </si>
  <si>
    <t>01:49:15</t>
  </si>
  <si>
    <t>20:07:04</t>
  </si>
  <si>
    <t>15:16:41</t>
  </si>
  <si>
    <t>19:52:06</t>
  </si>
  <si>
    <t>14:22:35</t>
  </si>
  <si>
    <t>17:32:56</t>
  </si>
  <si>
    <t>17:27:30</t>
  </si>
  <si>
    <t>14:15:34</t>
  </si>
  <si>
    <t>19:41:26</t>
  </si>
  <si>
    <t>11:42:47</t>
  </si>
  <si>
    <t>11:35:59</t>
  </si>
  <si>
    <t>22:19:03</t>
  </si>
  <si>
    <t>12:16:14</t>
  </si>
  <si>
    <t>12:14:53</t>
  </si>
  <si>
    <t>23:29:00</t>
  </si>
  <si>
    <t>23:14:44</t>
  </si>
  <si>
    <t>14:53:47</t>
  </si>
  <si>
    <t>14:35:11</t>
  </si>
  <si>
    <t>11:45:29</t>
  </si>
  <si>
    <t>21:47:37</t>
  </si>
  <si>
    <t>16:11:49</t>
  </si>
  <si>
    <t>14:24:12</t>
  </si>
  <si>
    <t>09:58:29</t>
  </si>
  <si>
    <t>19:05:19</t>
  </si>
  <si>
    <t>11:57:33</t>
  </si>
  <si>
    <t>19:27:39</t>
  </si>
  <si>
    <t>20:07:49</t>
  </si>
  <si>
    <t>13:09:47</t>
  </si>
  <si>
    <t>12:30:35</t>
  </si>
  <si>
    <t>23:58:00</t>
  </si>
  <si>
    <t>23:35:04</t>
  </si>
  <si>
    <t>11:22:36</t>
  </si>
  <si>
    <t>12:57:14</t>
  </si>
  <si>
    <t>18:24:27</t>
  </si>
  <si>
    <t>13:07:50</t>
  </si>
  <si>
    <t>20:11:24</t>
  </si>
  <si>
    <t>21:52:55</t>
  </si>
  <si>
    <t>19:05:21</t>
  </si>
  <si>
    <t>20:06:00</t>
  </si>
  <si>
    <t>17:40:29</t>
  </si>
  <si>
    <t>12:41:13</t>
  </si>
  <si>
    <t>12:09:50</t>
  </si>
  <si>
    <t>23:49:39</t>
  </si>
  <si>
    <t>23:48:36</t>
  </si>
  <si>
    <t>15:27:19</t>
  </si>
  <si>
    <t>20:13:00</t>
  </si>
  <si>
    <t>17:56:10</t>
  </si>
  <si>
    <t>21:44:19</t>
  </si>
  <si>
    <t>22:46:36</t>
  </si>
  <si>
    <t>14:02:00</t>
  </si>
  <si>
    <t>18:25:28</t>
  </si>
  <si>
    <t>16:22:57</t>
  </si>
  <si>
    <t>17:10:26</t>
  </si>
  <si>
    <t>07:12:40</t>
  </si>
  <si>
    <t>16:31:59</t>
  </si>
  <si>
    <t>20:09:31</t>
  </si>
  <si>
    <t>13:20:12</t>
  </si>
  <si>
    <t>13:25:12</t>
  </si>
  <si>
    <t>13:52:15</t>
  </si>
  <si>
    <t>13:30:06</t>
  </si>
  <si>
    <t>14:54:28</t>
  </si>
  <si>
    <t>16:06:52</t>
  </si>
  <si>
    <t>13:46:57</t>
  </si>
  <si>
    <t>13:40:12</t>
  </si>
  <si>
    <t>13:45:04</t>
  </si>
  <si>
    <t>14:15:04</t>
  </si>
  <si>
    <t>13:30:05</t>
  </si>
  <si>
    <t>14:30:14</t>
  </si>
  <si>
    <t>17:41:50</t>
  </si>
  <si>
    <t>14:47:24</t>
  </si>
  <si>
    <t>16:00:27</t>
  </si>
  <si>
    <t>13:46:04</t>
  </si>
  <si>
    <t>14:30:05</t>
  </si>
  <si>
    <t>14:35:47</t>
  </si>
  <si>
    <t>16:29:09</t>
  </si>
  <si>
    <t>14:00:35</t>
  </si>
  <si>
    <t>14:00:31</t>
  </si>
  <si>
    <t>13:15:12</t>
  </si>
  <si>
    <t>13:35:10</t>
  </si>
  <si>
    <t>14:00:30</t>
  </si>
  <si>
    <t>14:01:53</t>
  </si>
  <si>
    <t>17:25:10</t>
  </si>
  <si>
    <t>14:41:59</t>
  </si>
  <si>
    <t>14:58:27</t>
  </si>
  <si>
    <t>13:57:41</t>
  </si>
  <si>
    <t>12:45:04</t>
  </si>
  <si>
    <t>13:45:05</t>
  </si>
  <si>
    <t>15:10:13</t>
  </si>
  <si>
    <t>14:00:25</t>
  </si>
  <si>
    <t>13:29:59</t>
  </si>
  <si>
    <t>13:17:03</t>
  </si>
  <si>
    <t>15:09:01</t>
  </si>
  <si>
    <t>14:05:12</t>
  </si>
  <si>
    <t>13:30:12</t>
  </si>
  <si>
    <t>14:00:29</t>
  </si>
  <si>
    <t>13:27:58</t>
  </si>
  <si>
    <t>13:35:12</t>
  </si>
  <si>
    <t>12:45:26</t>
  </si>
  <si>
    <t>13:53:32</t>
  </si>
  <si>
    <t>15:30:04</t>
  </si>
  <si>
    <t>13:20:13</t>
  </si>
  <si>
    <t>15:17:19</t>
  </si>
  <si>
    <t>13:40:11</t>
  </si>
  <si>
    <t>14:00:26</t>
  </si>
  <si>
    <t>14:05:22</t>
  </si>
  <si>
    <t>19:40:54</t>
  </si>
  <si>
    <t>02:17:25</t>
  </si>
  <si>
    <t>15:23:59</t>
  </si>
  <si>
    <t>21:06:12</t>
  </si>
  <si>
    <t>01:25:37</t>
  </si>
  <si>
    <t>18:22:20</t>
  </si>
  <si>
    <t>01:07:29</t>
  </si>
  <si>
    <t>14:55:22</t>
  </si>
  <si>
    <t>02:52:52</t>
  </si>
  <si>
    <t>20:34:58</t>
  </si>
  <si>
    <t>22:35:46</t>
  </si>
  <si>
    <t>11:50:21</t>
  </si>
  <si>
    <t>23:35:48</t>
  </si>
  <si>
    <t>22:10:21</t>
  </si>
  <si>
    <t>15:35:00</t>
  </si>
  <si>
    <t>15:40:06</t>
  </si>
  <si>
    <t>23:45:52</t>
  </si>
  <si>
    <t>23:25:34</t>
  </si>
  <si>
    <t>21:07:48</t>
  </si>
  <si>
    <t>14:57:21</t>
  </si>
  <si>
    <t>01:16:39</t>
  </si>
  <si>
    <t>23:17:38</t>
  </si>
  <si>
    <t>18:25:59</t>
  </si>
  <si>
    <t>01:09:54</t>
  </si>
  <si>
    <t>18:26:06</t>
  </si>
  <si>
    <t>22:59:40</t>
  </si>
  <si>
    <t>23:11:12</t>
  </si>
  <si>
    <t>19:09:20</t>
  </si>
  <si>
    <t>11:51:25</t>
  </si>
  <si>
    <t>19:31:01</t>
  </si>
  <si>
    <t>19:26:53</t>
  </si>
  <si>
    <t>13:19:38</t>
  </si>
  <si>
    <t>18:22:04</t>
  </si>
  <si>
    <t>22:16:18</t>
  </si>
  <si>
    <t>00:50:37</t>
  </si>
  <si>
    <t>20:06:14</t>
  </si>
  <si>
    <t>02:08:08</t>
  </si>
  <si>
    <t>06:54:42</t>
  </si>
  <si>
    <t>19:27:31</t>
  </si>
  <si>
    <t>19:27:30</t>
  </si>
  <si>
    <t>21:05:46</t>
  </si>
  <si>
    <t>23:05:36</t>
  </si>
  <si>
    <t>02:00:46</t>
  </si>
  <si>
    <t>03:23:45</t>
  </si>
  <si>
    <t>17:25:00</t>
  </si>
  <si>
    <t>13:40:00</t>
  </si>
  <si>
    <t>18:26:40</t>
  </si>
  <si>
    <t>18:06:05</t>
  </si>
  <si>
    <t>13:20:00</t>
  </si>
  <si>
    <t>16:51:13</t>
  </si>
  <si>
    <t>18:34:43</t>
  </si>
  <si>
    <t>21:06:41</t>
  </si>
  <si>
    <t>23:10:56</t>
  </si>
  <si>
    <t>20:34:21</t>
  </si>
  <si>
    <t>10:41:00</t>
  </si>
  <si>
    <t>22:08:19</t>
  </si>
  <si>
    <t>20:12:12</t>
  </si>
  <si>
    <t>20:00:27</t>
  </si>
  <si>
    <t>13:27:53</t>
  </si>
  <si>
    <t>20:14:32</t>
  </si>
  <si>
    <t>12:54:34</t>
  </si>
  <si>
    <t>10:13:44</t>
  </si>
  <si>
    <t>10:35:08</t>
  </si>
  <si>
    <t>09:51:10</t>
  </si>
  <si>
    <t>16:40:05</t>
  </si>
  <si>
    <t>01:20:10</t>
  </si>
  <si>
    <t>16:10:11</t>
  </si>
  <si>
    <t>01:20:09</t>
  </si>
  <si>
    <t>01:20:12</t>
  </si>
  <si>
    <t>19:20:09</t>
  </si>
  <si>
    <t>18:00:32</t>
  </si>
  <si>
    <t>21:05:07</t>
  </si>
  <si>
    <t>20:07:11</t>
  </si>
  <si>
    <t>22:44:56</t>
  </si>
  <si>
    <t>23:36:54</t>
  </si>
  <si>
    <t>16:45:53</t>
  </si>
  <si>
    <t>15:16:48</t>
  </si>
  <si>
    <t>20:34:06</t>
  </si>
  <si>
    <t>22:42:48</t>
  </si>
  <si>
    <t>14:26:51</t>
  </si>
  <si>
    <t>15:29:05</t>
  </si>
  <si>
    <t>17:56:59</t>
  </si>
  <si>
    <t>00:45:35</t>
  </si>
  <si>
    <t>11:33:13</t>
  </si>
  <si>
    <t>16:30:20</t>
  </si>
  <si>
    <t>15:16:49</t>
  </si>
  <si>
    <t>14:51:31</t>
  </si>
  <si>
    <t>17:09:02</t>
  </si>
  <si>
    <t>12:53:40</t>
  </si>
  <si>
    <t>16:11:04</t>
  </si>
  <si>
    <t>11:49:02</t>
  </si>
  <si>
    <t>04:34:13</t>
  </si>
  <si>
    <t>23:00:02</t>
  </si>
  <si>
    <t>15:17:55</t>
  </si>
  <si>
    <t>15:08:25</t>
  </si>
  <si>
    <t>17:19:46</t>
  </si>
  <si>
    <t>16:15:27</t>
  </si>
  <si>
    <t>14:06:13</t>
  </si>
  <si>
    <t>14:36:33</t>
  </si>
  <si>
    <t>14:49:47</t>
  </si>
  <si>
    <t>12:01:58</t>
  </si>
  <si>
    <t>12:12:28</t>
  </si>
  <si>
    <t>17:58:23</t>
  </si>
  <si>
    <t>12:18:20</t>
  </si>
  <si>
    <t>12:38:27</t>
  </si>
  <si>
    <t>15:45:21</t>
  </si>
  <si>
    <t>12:20:24</t>
  </si>
  <si>
    <t>15:46:47</t>
  </si>
  <si>
    <t>15:38:15</t>
  </si>
  <si>
    <t>19:54:46</t>
  </si>
  <si>
    <t>00:33:28</t>
  </si>
  <si>
    <t>18:20:00</t>
  </si>
  <si>
    <t>13:30:52</t>
  </si>
  <si>
    <t>01:01:22</t>
  </si>
  <si>
    <t>17:51:07</t>
  </si>
  <si>
    <t>14:34:53</t>
  </si>
  <si>
    <t>18:32:00</t>
  </si>
  <si>
    <t>17:27:21</t>
  </si>
  <si>
    <t>20:23:52</t>
  </si>
  <si>
    <t>02:25:49</t>
  </si>
  <si>
    <t>08:01:11</t>
  </si>
  <si>
    <t>13:07:15</t>
  </si>
  <si>
    <t>14:58:26</t>
  </si>
  <si>
    <t>18:55:28</t>
  </si>
  <si>
    <t>23:07:54</t>
  </si>
  <si>
    <t>18:34:00</t>
  </si>
  <si>
    <t>20:24:41</t>
  </si>
  <si>
    <t>12:14:25</t>
  </si>
  <si>
    <t>12:16:27</t>
  </si>
  <si>
    <t>14:58:59</t>
  </si>
  <si>
    <t>13:02:10</t>
  </si>
  <si>
    <t>10:03:59</t>
  </si>
  <si>
    <t>12:52:25</t>
  </si>
  <si>
    <t>12:59:43</t>
  </si>
  <si>
    <t>17:56:46</t>
  </si>
  <si>
    <t>23:38:02</t>
  </si>
  <si>
    <t>00:17:31</t>
  </si>
  <si>
    <t>13:51:50</t>
  </si>
  <si>
    <t>21:34:57</t>
  </si>
  <si>
    <t>13:29:34</t>
  </si>
  <si>
    <t>17:06:07</t>
  </si>
  <si>
    <t>11:32:40</t>
  </si>
  <si>
    <t>23:17:48</t>
  </si>
  <si>
    <t>14:28:06</t>
  </si>
  <si>
    <t>22:07:33</t>
  </si>
  <si>
    <t>05:51:41</t>
  </si>
  <si>
    <t>11:49:53</t>
  </si>
  <si>
    <t>11:46:12</t>
  </si>
  <si>
    <t>22:34:34</t>
  </si>
  <si>
    <t>10:44:02</t>
  </si>
  <si>
    <t>10:24:17</t>
  </si>
  <si>
    <t>23:34:42</t>
  </si>
  <si>
    <t>22:10:31</t>
  </si>
  <si>
    <t>10:25:36</t>
  </si>
  <si>
    <t>16:44:57</t>
  </si>
  <si>
    <t>04:37:26</t>
  </si>
  <si>
    <t>14:24:39</t>
  </si>
  <si>
    <t>23:00:24</t>
  </si>
  <si>
    <t>18:49:07</t>
  </si>
  <si>
    <t>23:23:23</t>
  </si>
  <si>
    <t>19:55:25</t>
  </si>
  <si>
    <t>20:45:00</t>
  </si>
  <si>
    <t>16:49:59</t>
  </si>
  <si>
    <t>17:58:10</t>
  </si>
  <si>
    <t>13:32:06</t>
  </si>
  <si>
    <t>12:11:30</t>
  </si>
  <si>
    <t>11:43:47</t>
  </si>
  <si>
    <t>11:46:47</t>
  </si>
  <si>
    <t>12:52:18</t>
  </si>
  <si>
    <t>17:03:23</t>
  </si>
  <si>
    <t>17:29:01</t>
  </si>
  <si>
    <t>15:18:09</t>
  </si>
  <si>
    <t>19:42:30</t>
  </si>
  <si>
    <t>15:36:23</t>
  </si>
  <si>
    <t>14:20:18</t>
  </si>
  <si>
    <t>20:45:29</t>
  </si>
  <si>
    <t>13:56:57</t>
  </si>
  <si>
    <t>14:26:13</t>
  </si>
  <si>
    <t>12:07:30</t>
  </si>
  <si>
    <t>20:15:59</t>
  </si>
  <si>
    <t>17:09:26</t>
  </si>
  <si>
    <t>14:46:30</t>
  </si>
  <si>
    <t>11:07:41</t>
  </si>
  <si>
    <t>11:06:28</t>
  </si>
  <si>
    <t>11:52:12</t>
  </si>
  <si>
    <t>02:51:21</t>
  </si>
  <si>
    <t>17:38:41</t>
  </si>
  <si>
    <t>20:15:47</t>
  </si>
  <si>
    <t>23:45:43</t>
  </si>
  <si>
    <t>09:15:31</t>
  </si>
  <si>
    <t>00:15:30</t>
  </si>
  <si>
    <t>23:27:07</t>
  </si>
  <si>
    <t>11:00:43</t>
  </si>
  <si>
    <t>23:12:52</t>
  </si>
  <si>
    <t>20:44:43</t>
  </si>
  <si>
    <t>01:11:12</t>
  </si>
  <si>
    <t>23:16:03</t>
  </si>
  <si>
    <t>22:54:43</t>
  </si>
  <si>
    <t>01:57:27</t>
  </si>
  <si>
    <t>23:15:02</t>
  </si>
  <si>
    <t>18:59:00</t>
  </si>
  <si>
    <t>19:13:00</t>
  </si>
  <si>
    <t>17:09:10</t>
  </si>
  <si>
    <t>17:08:04</t>
  </si>
  <si>
    <t>16:40:57</t>
  </si>
  <si>
    <t>19:20:02</t>
  </si>
  <si>
    <t>13:31:54</t>
  </si>
  <si>
    <t>04:52:54</t>
  </si>
  <si>
    <t>00:37:59</t>
  </si>
  <si>
    <t>01:25:35</t>
  </si>
  <si>
    <t>20:35:49</t>
  </si>
  <si>
    <t>21:25:20</t>
  </si>
  <si>
    <t>16:26:24</t>
  </si>
  <si>
    <t>15:20:58</t>
  </si>
  <si>
    <t>01:22:56</t>
  </si>
  <si>
    <t>22:52:56</t>
  </si>
  <si>
    <t>22:43:03</t>
  </si>
  <si>
    <t>11:18:57</t>
  </si>
  <si>
    <t>20:30:52</t>
  </si>
  <si>
    <t>12:42:27</t>
  </si>
  <si>
    <t>10:27:44</t>
  </si>
  <si>
    <t>15:00:56</t>
  </si>
  <si>
    <t>16:52:16</t>
  </si>
  <si>
    <t>18:03:24</t>
  </si>
  <si>
    <t>02:04:35</t>
  </si>
  <si>
    <t>17:10:43</t>
  </si>
  <si>
    <t>13:59:23</t>
  </si>
  <si>
    <t>22:47:00</t>
  </si>
  <si>
    <t>21:21:48</t>
  </si>
  <si>
    <t>19:27:52</t>
  </si>
  <si>
    <t>17:28:26</t>
  </si>
  <si>
    <t>14:31:49</t>
  </si>
  <si>
    <t>12:21:06</t>
  </si>
  <si>
    <t>19:27:01</t>
  </si>
  <si>
    <t>13:30:29</t>
  </si>
  <si>
    <t>16:35:42</t>
  </si>
  <si>
    <t>22:10:43</t>
  </si>
  <si>
    <t>23:54:46</t>
  </si>
  <si>
    <t>00:43:16</t>
  </si>
  <si>
    <t>15:29:55</t>
  </si>
  <si>
    <t>23:06:23</t>
  </si>
  <si>
    <t>21:54:00</t>
  </si>
  <si>
    <t>21:58:42</t>
  </si>
  <si>
    <t>15:09:29</t>
  </si>
  <si>
    <t>11:54:00</t>
  </si>
  <si>
    <t>03:08:33</t>
  </si>
  <si>
    <t>13:21:57</t>
  </si>
  <si>
    <t>15:48:19</t>
  </si>
  <si>
    <t>20:56:28</t>
  </si>
  <si>
    <t>16:02:36</t>
  </si>
  <si>
    <t>01:12:04</t>
  </si>
  <si>
    <t>18:00:41</t>
  </si>
  <si>
    <t>19:40:15</t>
  </si>
  <si>
    <t>17:27:01</t>
  </si>
  <si>
    <t>12:47:44</t>
  </si>
  <si>
    <t>17:18:32</t>
  </si>
  <si>
    <t>15:20:17</t>
  </si>
  <si>
    <t>14:33:01</t>
  </si>
  <si>
    <t>13:18:32</t>
  </si>
  <si>
    <t>23:22:46</t>
  </si>
  <si>
    <t>13:00:23</t>
  </si>
  <si>
    <t>14:47:55</t>
  </si>
  <si>
    <t>12:46:02</t>
  </si>
  <si>
    <t>14:08:14</t>
  </si>
  <si>
    <t>10:39:26</t>
  </si>
  <si>
    <t>14:08:03</t>
  </si>
  <si>
    <t>12:03:39</t>
  </si>
  <si>
    <t>22:46:34</t>
  </si>
  <si>
    <t>19:43:18</t>
  </si>
  <si>
    <t>14:16:12</t>
  </si>
  <si>
    <t>18:06:33</t>
  </si>
  <si>
    <t>17:10:00</t>
  </si>
  <si>
    <t>14:03:41</t>
  </si>
  <si>
    <t>14:39:50</t>
  </si>
  <si>
    <t>15:55:53</t>
  </si>
  <si>
    <t>19:08:03</t>
  </si>
  <si>
    <t>16:56:24</t>
  </si>
  <si>
    <t>16:47:11</t>
  </si>
  <si>
    <t>19:41:34</t>
  </si>
  <si>
    <t>22:08:22</t>
  </si>
  <si>
    <t>14:56:13</t>
  </si>
  <si>
    <t>12:09:21</t>
  </si>
  <si>
    <t>14:48:24</t>
  </si>
  <si>
    <t>13:24:01</t>
  </si>
  <si>
    <t>14:22:52</t>
  </si>
  <si>
    <t>04:54:01</t>
  </si>
  <si>
    <t>15:31:11</t>
  </si>
  <si>
    <t>15:03:28</t>
  </si>
  <si>
    <t>00:51:12</t>
  </si>
  <si>
    <t>22:00:01</t>
  </si>
  <si>
    <t>20:23:09</t>
  </si>
  <si>
    <t>13:19:10</t>
  </si>
  <si>
    <t>17:11:27</t>
  </si>
  <si>
    <t>15:37:50</t>
  </si>
  <si>
    <t>12:50:27</t>
  </si>
  <si>
    <t>22:39:22</t>
  </si>
  <si>
    <t>14:00:06</t>
  </si>
  <si>
    <t>01:20:53</t>
  </si>
  <si>
    <t>01:02:20</t>
  </si>
  <si>
    <t>18:12:46</t>
  </si>
  <si>
    <t>00:17:46</t>
  </si>
  <si>
    <t>00:43:15</t>
  </si>
  <si>
    <t>18:33:18</t>
  </si>
  <si>
    <t>19:37:35</t>
  </si>
  <si>
    <t>19:10:47</t>
  </si>
  <si>
    <t>20:29:27</t>
  </si>
  <si>
    <t>18:20:45</t>
  </si>
  <si>
    <t>19:17:28</t>
  </si>
  <si>
    <t>21:52:41</t>
  </si>
  <si>
    <t>15:28:18</t>
  </si>
  <si>
    <t>19:16:49</t>
  </si>
  <si>
    <t>16:27:47</t>
  </si>
  <si>
    <t>19:13:17</t>
  </si>
  <si>
    <t>19:31:45</t>
  </si>
  <si>
    <t>11:26:19</t>
  </si>
  <si>
    <t>18:19:36</t>
  </si>
  <si>
    <t>23:18:34</t>
  </si>
  <si>
    <t>17:29:03</t>
  </si>
  <si>
    <t>21:30:53</t>
  </si>
  <si>
    <t>17:39:29</t>
  </si>
  <si>
    <t>16:50:23</t>
  </si>
  <si>
    <t>12:59:26</t>
  </si>
  <si>
    <t>20:21:33</t>
  </si>
  <si>
    <t>20:28:51</t>
  </si>
  <si>
    <t>13:30:45</t>
  </si>
  <si>
    <t>14:57:04</t>
  </si>
  <si>
    <t>18:42:41</t>
  </si>
  <si>
    <t>19:06:47</t>
  </si>
  <si>
    <t>22:47:36</t>
  </si>
  <si>
    <t>22:33:50</t>
  </si>
  <si>
    <t>10:44:45</t>
  </si>
  <si>
    <t>10:40:02</t>
  </si>
  <si>
    <t>23:35:33</t>
  </si>
  <si>
    <t>22:26:21</t>
  </si>
  <si>
    <t>11:00:18</t>
  </si>
  <si>
    <t>15:32:40</t>
  </si>
  <si>
    <t>16:33:11</t>
  </si>
  <si>
    <t>17:50:22</t>
  </si>
  <si>
    <t>18:29:43</t>
  </si>
  <si>
    <t>02:07:33</t>
  </si>
  <si>
    <t>15:52:41</t>
  </si>
  <si>
    <t>22:06:02</t>
  </si>
  <si>
    <t>20:30:32</t>
  </si>
  <si>
    <t>17:04:15</t>
  </si>
  <si>
    <t>16:48:08</t>
  </si>
  <si>
    <t>17:30:46</t>
  </si>
  <si>
    <t>18:53:55</t>
  </si>
  <si>
    <t>03:36:26</t>
  </si>
  <si>
    <t>16:26:21</t>
  </si>
  <si>
    <t>22:53:25</t>
  </si>
  <si>
    <t>13:44:34</t>
  </si>
  <si>
    <t>12:06:56</t>
  </si>
  <si>
    <t>15:58:11</t>
  </si>
  <si>
    <t>19:26:14</t>
  </si>
  <si>
    <t>15:35:32</t>
  </si>
  <si>
    <t>14:09:10</t>
  </si>
  <si>
    <t>23:54:07</t>
  </si>
  <si>
    <t>09:40:34</t>
  </si>
  <si>
    <t>01:22:40</t>
  </si>
  <si>
    <t>15:21:13</t>
  </si>
  <si>
    <t>12:46:53</t>
  </si>
  <si>
    <t>17:41:54</t>
  </si>
  <si>
    <t>15:36:39</t>
  </si>
  <si>
    <t>16:19:10</t>
  </si>
  <si>
    <t>17:48:21</t>
  </si>
  <si>
    <t>01:01:57</t>
  </si>
  <si>
    <t>14:25:59</t>
  </si>
  <si>
    <t>00:38:05</t>
  </si>
  <si>
    <t>21:02:00</t>
  </si>
  <si>
    <t>11:09:07</t>
  </si>
  <si>
    <t>13:13:21</t>
  </si>
  <si>
    <t>08:59:43</t>
  </si>
  <si>
    <t>07:01:41</t>
  </si>
  <si>
    <t>00:39:43</t>
  </si>
  <si>
    <t>12:43:15</t>
  </si>
  <si>
    <t>12:44:42</t>
  </si>
  <si>
    <t>12:46:24</t>
  </si>
  <si>
    <t>15:04:53</t>
  </si>
  <si>
    <t>11:56:55</t>
  </si>
  <si>
    <t>13:38:05</t>
  </si>
  <si>
    <t>15:13:04</t>
  </si>
  <si>
    <t>18:24:20</t>
  </si>
  <si>
    <t>22:08:57</t>
  </si>
  <si>
    <t>22:20:00</t>
  </si>
  <si>
    <t>21:23:00</t>
  </si>
  <si>
    <t>01:55:00</t>
  </si>
  <si>
    <t>18:12:16</t>
  </si>
  <si>
    <t>13:39:41</t>
  </si>
  <si>
    <t>19:10:28</t>
  </si>
  <si>
    <t>20:20:00</t>
  </si>
  <si>
    <t>22:45:00</t>
  </si>
  <si>
    <t>18:55:03</t>
  </si>
  <si>
    <t>13:45:00</t>
  </si>
  <si>
    <t>22:46:00</t>
  </si>
  <si>
    <t>23:20:00</t>
  </si>
  <si>
    <t>18:36:58</t>
  </si>
  <si>
    <t>22:35:00</t>
  </si>
  <si>
    <t>22:41:00</t>
  </si>
  <si>
    <t>19:32:42</t>
  </si>
  <si>
    <t>01:20:00</t>
  </si>
  <si>
    <t>22:50:00</t>
  </si>
  <si>
    <t>13:46:09</t>
  </si>
  <si>
    <t>21:00:01</t>
  </si>
  <si>
    <t>22:29:00</t>
  </si>
  <si>
    <t>21:08:09</t>
  </si>
  <si>
    <t>21:50:56</t>
  </si>
  <si>
    <t>12:39:57</t>
  </si>
  <si>
    <t>01:15:00</t>
  </si>
  <si>
    <t>13:52:48</t>
  </si>
  <si>
    <t>21:10:00</t>
  </si>
  <si>
    <t>20:50:24</t>
  </si>
  <si>
    <t>23:23:00</t>
  </si>
  <si>
    <t>13:36:55</t>
  </si>
  <si>
    <t>14:57:01</t>
  </si>
  <si>
    <t>07:30:32</t>
  </si>
  <si>
    <t>00:19:17</t>
  </si>
  <si>
    <t>21:52:06</t>
  </si>
  <si>
    <t>22:52:18</t>
  </si>
  <si>
    <t>12:44:34</t>
  </si>
  <si>
    <t>14:34:08</t>
  </si>
  <si>
    <t>21:21:45</t>
  </si>
  <si>
    <t>23:14:15</t>
  </si>
  <si>
    <t>23:34:29</t>
  </si>
  <si>
    <t>10:37:13</t>
  </si>
  <si>
    <t>15:24:01</t>
  </si>
  <si>
    <t>03:29:46</t>
  </si>
  <si>
    <t>13:04:46</t>
  </si>
  <si>
    <t>14:53:05</t>
  </si>
  <si>
    <t>12:51:34</t>
  </si>
  <si>
    <t>12:58:27</t>
  </si>
  <si>
    <t>18:33:01</t>
  </si>
  <si>
    <t>19:34:43</t>
  </si>
  <si>
    <t>16:54:13</t>
  </si>
  <si>
    <t>16:36:02</t>
  </si>
  <si>
    <t>21:33:03</t>
  </si>
  <si>
    <t>20:18:02</t>
  </si>
  <si>
    <t>01:58:13</t>
  </si>
  <si>
    <t>14:02:35</t>
  </si>
  <si>
    <t>00:36:41</t>
  </si>
  <si>
    <t>09:04:40</t>
  </si>
  <si>
    <t>15:10:49</t>
  </si>
  <si>
    <t>12:45:38</t>
  </si>
  <si>
    <t>12:33:06</t>
  </si>
  <si>
    <t>21:13:21</t>
  </si>
  <si>
    <t>17:20:26</t>
  </si>
  <si>
    <t>17:18:40</t>
  </si>
  <si>
    <t>13:13:48</t>
  </si>
  <si>
    <t>16:56:05</t>
  </si>
  <si>
    <t>20:00:23</t>
  </si>
  <si>
    <t>13:49:30</t>
  </si>
  <si>
    <t>15:35:18</t>
  </si>
  <si>
    <t>14:48:43</t>
  </si>
  <si>
    <t>15:46:51</t>
  </si>
  <si>
    <t>15:04:24</t>
  </si>
  <si>
    <t>19:24:30</t>
  </si>
  <si>
    <t>15:53:25</t>
  </si>
  <si>
    <t>19:38:30</t>
  </si>
  <si>
    <t>13:51:36</t>
  </si>
  <si>
    <t>13:45:48</t>
  </si>
  <si>
    <t>13:44:36</t>
  </si>
  <si>
    <t>12:47:47</t>
  </si>
  <si>
    <t>14:48:12</t>
  </si>
  <si>
    <t>17:52:59</t>
  </si>
  <si>
    <t>18:34:14</t>
  </si>
  <si>
    <t>15:56:21</t>
  </si>
  <si>
    <t>14:11:56</t>
  </si>
  <si>
    <t>19:37:39</t>
  </si>
  <si>
    <t>21:44:00</t>
  </si>
  <si>
    <t>13:09:36</t>
  </si>
  <si>
    <t>15:18:36</t>
  </si>
  <si>
    <t>14:50:32</t>
  </si>
  <si>
    <t>12:35:54</t>
  </si>
  <si>
    <t>15:30:35</t>
  </si>
  <si>
    <t>12:12:16</t>
  </si>
  <si>
    <t>15:51:17</t>
  </si>
  <si>
    <t>13:09:52</t>
  </si>
  <si>
    <t>19:12:03</t>
  </si>
  <si>
    <t>13:50:18</t>
  </si>
  <si>
    <t>21:41:59</t>
  </si>
  <si>
    <t>17:03:49</t>
  </si>
  <si>
    <t>14:21:29</t>
  </si>
  <si>
    <t>22:19:31</t>
  </si>
  <si>
    <t>21:14:27</t>
  </si>
  <si>
    <t>21:52:32</t>
  </si>
  <si>
    <t>23:49:13</t>
  </si>
  <si>
    <t>21:26:49</t>
  </si>
  <si>
    <t>19:09:31</t>
  </si>
  <si>
    <t>05:44:39</t>
  </si>
  <si>
    <t>02:15:56</t>
  </si>
  <si>
    <t>21:34:03</t>
  </si>
  <si>
    <t>18:45:01</t>
  </si>
  <si>
    <t>02:06:28</t>
  </si>
  <si>
    <t>16:42:33</t>
  </si>
  <si>
    <t>16:20:44</t>
  </si>
  <si>
    <t>19:41:42</t>
  </si>
  <si>
    <t>19:38:05</t>
  </si>
  <si>
    <t>16:16:22</t>
  </si>
  <si>
    <t>16:02:30</t>
  </si>
  <si>
    <t>17:53:35</t>
  </si>
  <si>
    <t>16:50:15</t>
  </si>
  <si>
    <t>16:53:04</t>
  </si>
  <si>
    <t>15:41:38</t>
  </si>
  <si>
    <t>16:52:33</t>
  </si>
  <si>
    <t>23:18:26</t>
  </si>
  <si>
    <t>01:16:16</t>
  </si>
  <si>
    <t>18:55:37</t>
  </si>
  <si>
    <t>10:21:41</t>
  </si>
  <si>
    <t>20:26:00</t>
  </si>
  <si>
    <t>14:47:56</t>
  </si>
  <si>
    <t>16:11:55</t>
  </si>
  <si>
    <t>20:58:40</t>
  </si>
  <si>
    <t>16:13:48</t>
  </si>
  <si>
    <t>18:46:39</t>
  </si>
  <si>
    <t>20:27:57</t>
  </si>
  <si>
    <t>20:33:30</t>
  </si>
  <si>
    <t>00:15:17</t>
  </si>
  <si>
    <t>16:42:57</t>
  </si>
  <si>
    <t>17:35:31</t>
  </si>
  <si>
    <t>20:34:39</t>
  </si>
  <si>
    <t>14:42:12</t>
  </si>
  <si>
    <t>14:08:20</t>
  </si>
  <si>
    <t>15:10:14</t>
  </si>
  <si>
    <t>16:10:15</t>
  </si>
  <si>
    <t>00:58:50</t>
  </si>
  <si>
    <t>01:47:43</t>
  </si>
  <si>
    <t>00:33:29</t>
  </si>
  <si>
    <t>12:59:37</t>
  </si>
  <si>
    <t>23:09:22</t>
  </si>
  <si>
    <t>13:54:41</t>
  </si>
  <si>
    <t>10:59:02</t>
  </si>
  <si>
    <t>09:56:12</t>
  </si>
  <si>
    <t>15:36:03</t>
  </si>
  <si>
    <t>17:00:08</t>
  </si>
  <si>
    <t>01:54:26</t>
  </si>
  <si>
    <t>22:33:29</t>
  </si>
  <si>
    <t>11:24:00</t>
  </si>
  <si>
    <t>22:28:26</t>
  </si>
  <si>
    <t>01:23:42</t>
  </si>
  <si>
    <t>01:39:25</t>
  </si>
  <si>
    <t>14:40:56</t>
  </si>
  <si>
    <t>21:52:15</t>
  </si>
  <si>
    <t>17:30:26</t>
  </si>
  <si>
    <t>17:20:11</t>
  </si>
  <si>
    <t>19:36:22</t>
  </si>
  <si>
    <t>15:35:10</t>
  </si>
  <si>
    <t>21:00:17</t>
  </si>
  <si>
    <t>15:04:42</t>
  </si>
  <si>
    <t>12:02:19</t>
  </si>
  <si>
    <t>14:10:58</t>
  </si>
  <si>
    <t>20:33:47</t>
  </si>
  <si>
    <t>21:13:31</t>
  </si>
  <si>
    <t>00:00:23</t>
  </si>
  <si>
    <t>19:46:59</t>
  </si>
  <si>
    <t>19:50:48</t>
  </si>
  <si>
    <t>18:11:58</t>
  </si>
  <si>
    <t>14:45:28</t>
  </si>
  <si>
    <t>12:38:30</t>
  </si>
  <si>
    <t>03:46:31</t>
  </si>
  <si>
    <t>14:10:52</t>
  </si>
  <si>
    <t>00:13:09</t>
  </si>
  <si>
    <t>12:26:34</t>
  </si>
  <si>
    <t>23:58:03</t>
  </si>
  <si>
    <t>00:45:47</t>
  </si>
  <si>
    <t>21:14:07</t>
  </si>
  <si>
    <t>07:06:45</t>
  </si>
  <si>
    <t>22:21:59</t>
  </si>
  <si>
    <t>12:45:50</t>
  </si>
  <si>
    <t>08:11:53</t>
  </si>
  <si>
    <t>17:52:00</t>
  </si>
  <si>
    <t>15:44:02</t>
  </si>
  <si>
    <t>09:50:42</t>
  </si>
  <si>
    <t>12:46:22</t>
  </si>
  <si>
    <t>09:44:29</t>
  </si>
  <si>
    <t>09:44:09</t>
  </si>
  <si>
    <t>18:07:15</t>
  </si>
  <si>
    <t>17:52:53</t>
  </si>
  <si>
    <t>16:35:17</t>
  </si>
  <si>
    <t>16:34:46</t>
  </si>
  <si>
    <t>22:54:10</t>
  </si>
  <si>
    <t>11:28:44</t>
  </si>
  <si>
    <t>08:08:45</t>
  </si>
  <si>
    <t>16:01:42</t>
  </si>
  <si>
    <t>20:48:24</t>
  </si>
  <si>
    <t>22:48:10</t>
  </si>
  <si>
    <t>20:43:52</t>
  </si>
  <si>
    <t>20:45:39</t>
  </si>
  <si>
    <t>23:54:13</t>
  </si>
  <si>
    <t>22:20:59</t>
  </si>
  <si>
    <t>23:27:11</t>
  </si>
  <si>
    <t>22:21:32</t>
  </si>
  <si>
    <t>23:16:51</t>
  </si>
  <si>
    <t>13:14:01</t>
  </si>
  <si>
    <t>14:09:22</t>
  </si>
  <si>
    <t>13:19:30</t>
  </si>
  <si>
    <t>13:37:58</t>
  </si>
  <si>
    <t>13:20:10</t>
  </si>
  <si>
    <t>12:31:51</t>
  </si>
  <si>
    <t>10:39:58</t>
  </si>
  <si>
    <t>13:23:24</t>
  </si>
  <si>
    <t>21:49:34</t>
  </si>
  <si>
    <t>22:00:12</t>
  </si>
  <si>
    <t>12:48:09</t>
  </si>
  <si>
    <t>14:54:17</t>
  </si>
  <si>
    <t>15:46:26</t>
  </si>
  <si>
    <t>16:01:56</t>
  </si>
  <si>
    <t>11:37:04</t>
  </si>
  <si>
    <t>15:52:30</t>
  </si>
  <si>
    <t>12:39:10</t>
  </si>
  <si>
    <t>21:44:03</t>
  </si>
  <si>
    <t>12:12:30</t>
  </si>
  <si>
    <t>13:55:58</t>
  </si>
  <si>
    <t>14:42:30</t>
  </si>
  <si>
    <t>16:22:10</t>
  </si>
  <si>
    <t>13:20:04</t>
  </si>
  <si>
    <t>06:02:21</t>
  </si>
  <si>
    <t>17:59:30</t>
  </si>
  <si>
    <t>14:30:40</t>
  </si>
  <si>
    <t>16:15:59</t>
  </si>
  <si>
    <t>19:08:06</t>
  </si>
  <si>
    <t>21:55:10</t>
  </si>
  <si>
    <t>16:30:57</t>
  </si>
  <si>
    <t>11:08:40</t>
  </si>
  <si>
    <t>04:07:43</t>
  </si>
  <si>
    <t>12:35:10</t>
  </si>
  <si>
    <t>19:52:25</t>
  </si>
  <si>
    <t>01:56:46</t>
  </si>
  <si>
    <t>18:56:42</t>
  </si>
  <si>
    <t>17:56:19</t>
  </si>
  <si>
    <t>15:03:31</t>
  </si>
  <si>
    <t>14:56:57</t>
  </si>
  <si>
    <t>17:53:57</t>
  </si>
  <si>
    <t>17:19:41</t>
  </si>
  <si>
    <t>20:51:33</t>
  </si>
  <si>
    <t>21:54:42</t>
  </si>
  <si>
    <t>14:56:36</t>
  </si>
  <si>
    <t>20:58:39</t>
  </si>
  <si>
    <t>22:30:00</t>
  </si>
  <si>
    <t>21:42:12</t>
  </si>
  <si>
    <t>22:22:02</t>
  </si>
  <si>
    <t>09:50:46</t>
  </si>
  <si>
    <t>21:29:49</t>
  </si>
  <si>
    <t>22:09:58</t>
  </si>
  <si>
    <t>11:17:40</t>
  </si>
  <si>
    <t>11:49:36</t>
  </si>
  <si>
    <t>17:57:53</t>
  </si>
  <si>
    <t>00:02:44</t>
  </si>
  <si>
    <t>14:03:19</t>
  </si>
  <si>
    <t>21:09:27</t>
  </si>
  <si>
    <t>19:03:20</t>
  </si>
  <si>
    <t>14:30:36</t>
  </si>
  <si>
    <t>12:58:32</t>
  </si>
  <si>
    <t>09:43:57</t>
  </si>
  <si>
    <t>18:00:02</t>
  </si>
  <si>
    <t>15:06:25</t>
  </si>
  <si>
    <t>14:11:22</t>
  </si>
  <si>
    <t>19:04:14</t>
  </si>
  <si>
    <t>23:43:19</t>
  </si>
  <si>
    <t>13:42:41</t>
  </si>
  <si>
    <t>11:30:00</t>
  </si>
  <si>
    <t>22:15:00</t>
  </si>
  <si>
    <t>19:05:15</t>
  </si>
  <si>
    <t>16:43:10</t>
  </si>
  <si>
    <t>20:33:53</t>
  </si>
  <si>
    <t>02:35:00</t>
  </si>
  <si>
    <t>23:50:00</t>
  </si>
  <si>
    <t>16:17:45</t>
  </si>
  <si>
    <t>17:37:28</t>
  </si>
  <si>
    <t>10:35:13</t>
  </si>
  <si>
    <t>13:35:04</t>
  </si>
  <si>
    <t>10:21:09</t>
  </si>
  <si>
    <t>19:46:19</t>
  </si>
  <si>
    <t>15:43:59</t>
  </si>
  <si>
    <t>20:40:47</t>
  </si>
  <si>
    <t>00:36:28</t>
  </si>
  <si>
    <t>22:16:59</t>
  </si>
  <si>
    <t>16:39:34</t>
  </si>
  <si>
    <t>18:15:53</t>
  </si>
  <si>
    <t>17:00:41</t>
  </si>
  <si>
    <t>17:02:24</t>
  </si>
  <si>
    <t>14:10:13</t>
  </si>
  <si>
    <t>14:47:03</t>
  </si>
  <si>
    <t>15:40:26</t>
  </si>
  <si>
    <t>16:43:05</t>
  </si>
  <si>
    <t>17:11:09</t>
  </si>
  <si>
    <t>00:00:06</t>
  </si>
  <si>
    <t>23:09:18</t>
  </si>
  <si>
    <t>14:03:00</t>
  </si>
  <si>
    <t>14:40:17</t>
  </si>
  <si>
    <t>01:01:34</t>
  </si>
  <si>
    <t>06:01:22</t>
  </si>
  <si>
    <t>19:04:37</t>
  </si>
  <si>
    <t>01:29:35</t>
  </si>
  <si>
    <t>19:04:20</t>
  </si>
  <si>
    <t>18:54:17</t>
  </si>
  <si>
    <t>01:24:21</t>
  </si>
  <si>
    <t>01:32:12</t>
  </si>
  <si>
    <t>19:06:01</t>
  </si>
  <si>
    <t>01:32:46</t>
  </si>
  <si>
    <t>18:59:42</t>
  </si>
  <si>
    <t>01:22:22</t>
  </si>
  <si>
    <t>19:07:19</t>
  </si>
  <si>
    <t>19:03:03</t>
  </si>
  <si>
    <t>19:01:44</t>
  </si>
  <si>
    <t>18:54:59</t>
  </si>
  <si>
    <t>19:01:31</t>
  </si>
  <si>
    <t>19:05:35</t>
  </si>
  <si>
    <t>22:21:42</t>
  </si>
  <si>
    <t>21:54:45</t>
  </si>
  <si>
    <t>00:47:04</t>
  </si>
  <si>
    <t>11:57:56</t>
  </si>
  <si>
    <t>12:29:40</t>
  </si>
  <si>
    <t>11:34:21</t>
  </si>
  <si>
    <t>13:14:27</t>
  </si>
  <si>
    <t>13:43:46</t>
  </si>
  <si>
    <t>18:02:55</t>
  </si>
  <si>
    <t>18:40:15</t>
  </si>
  <si>
    <t>18:23:51</t>
  </si>
  <si>
    <t>18:01:36</t>
  </si>
  <si>
    <t>13:50:34</t>
  </si>
  <si>
    <t>13:40:49</t>
  </si>
  <si>
    <t>14:30:27</t>
  </si>
  <si>
    <t>19:00:24</t>
  </si>
  <si>
    <t>19:29:57</t>
  </si>
  <si>
    <t>19:25:37</t>
  </si>
  <si>
    <t>13:37:25</t>
  </si>
  <si>
    <t>13:56:47</t>
  </si>
  <si>
    <t>19:12:18</t>
  </si>
  <si>
    <t>17:59:14</t>
  </si>
  <si>
    <t>12:45:42</t>
  </si>
  <si>
    <t>12:10:51</t>
  </si>
  <si>
    <t>19:33:35</t>
  </si>
  <si>
    <t>19:04:31</t>
  </si>
  <si>
    <t>18:09:00</t>
  </si>
  <si>
    <t>14:13:25</t>
  </si>
  <si>
    <t>14:30:08</t>
  </si>
  <si>
    <t>18:57:21</t>
  </si>
  <si>
    <t>18:33:26</t>
  </si>
  <si>
    <t>11:57:07</t>
  </si>
  <si>
    <t>20:46:29</t>
  </si>
  <si>
    <t>18:13:32</t>
  </si>
  <si>
    <t>18:01:40</t>
  </si>
  <si>
    <t>19:15:37</t>
  </si>
  <si>
    <t>21:12:38</t>
  </si>
  <si>
    <t>13:19:11</t>
  </si>
  <si>
    <t>21:11:13</t>
  </si>
  <si>
    <t>09:56:24</t>
  </si>
  <si>
    <t>03:24:14</t>
  </si>
  <si>
    <t>14:19:07</t>
  </si>
  <si>
    <t>02:01:36</t>
  </si>
  <si>
    <t>22:20:15</t>
  </si>
  <si>
    <t>23:19:19</t>
  </si>
  <si>
    <t>21:54:02</t>
  </si>
  <si>
    <t>22:21:40</t>
  </si>
  <si>
    <t>22:21:25</t>
  </si>
  <si>
    <t>22:48:48</t>
  </si>
  <si>
    <t>22:48:36</t>
  </si>
  <si>
    <t>22:10:26</t>
  </si>
  <si>
    <t>22:06:03</t>
  </si>
  <si>
    <t>21:44:58</t>
  </si>
  <si>
    <t>14:31:40</t>
  </si>
  <si>
    <t>22:16:14</t>
  </si>
  <si>
    <t>15:01:04</t>
  </si>
  <si>
    <t>19:39:57</t>
  </si>
  <si>
    <t>19:55:26</t>
  </si>
  <si>
    <t>22:43:58</t>
  </si>
  <si>
    <t>15:28:56</t>
  </si>
  <si>
    <t>18:36:35</t>
  </si>
  <si>
    <t>06:32:01</t>
  </si>
  <si>
    <t>14:49:19</t>
  </si>
  <si>
    <t>21:26:16</t>
  </si>
  <si>
    <t>20:27:46</t>
  </si>
  <si>
    <t>16:02:10</t>
  </si>
  <si>
    <t>16:29:15</t>
  </si>
  <si>
    <t>19:56:34</t>
  </si>
  <si>
    <t>15:36:20</t>
  </si>
  <si>
    <t>22:15:04</t>
  </si>
  <si>
    <t>22:16:38</t>
  </si>
  <si>
    <t>04:35:11</t>
  </si>
  <si>
    <t>01:02:14</t>
  </si>
  <si>
    <t>19:46:16</t>
  </si>
  <si>
    <t>12:20:11</t>
  </si>
  <si>
    <t>12:15:10</t>
  </si>
  <si>
    <t>16:10:14</t>
  </si>
  <si>
    <t>21:43:44</t>
  </si>
  <si>
    <t>23:16:32</t>
  </si>
  <si>
    <t>18:06:07</t>
  </si>
  <si>
    <t>00:30:33</t>
  </si>
  <si>
    <t>20:27:22</t>
  </si>
  <si>
    <t>13:17:01</t>
  </si>
  <si>
    <t>15:38:01</t>
  </si>
  <si>
    <t>15:47:44</t>
  </si>
  <si>
    <t>14:32:13</t>
  </si>
  <si>
    <t>15:10:19</t>
  </si>
  <si>
    <t>17:49:25</t>
  </si>
  <si>
    <t>01:01:18</t>
  </si>
  <si>
    <t>08:54:28</t>
  </si>
  <si>
    <t>12:31:28</t>
  </si>
  <si>
    <t>15:43:34</t>
  </si>
  <si>
    <t>12:49:14</t>
  </si>
  <si>
    <t>21:29:19</t>
  </si>
  <si>
    <t>14:11:59</t>
  </si>
  <si>
    <t>00:45:54</t>
  </si>
  <si>
    <t>12:54:16</t>
  </si>
  <si>
    <t>19:52:48</t>
  </si>
  <si>
    <t>11:00:30</t>
  </si>
  <si>
    <t>13:40:24</t>
  </si>
  <si>
    <t>16:30:41</t>
  </si>
  <si>
    <t>21:47:00</t>
  </si>
  <si>
    <t>12:14:55</t>
  </si>
  <si>
    <t>22:05:09</t>
  </si>
  <si>
    <t>15:00:46</t>
  </si>
  <si>
    <t>20:42:53</t>
  </si>
  <si>
    <t>21:26:19</t>
  </si>
  <si>
    <t>22:15:12</t>
  </si>
  <si>
    <t>22:27:51</t>
  </si>
  <si>
    <t>13:05:01</t>
  </si>
  <si>
    <t>12:53:04</t>
  </si>
  <si>
    <t>17:58:05</t>
  </si>
  <si>
    <t>14:59:41</t>
  </si>
  <si>
    <t>14:24:56</t>
  </si>
  <si>
    <t>13:31:45</t>
  </si>
  <si>
    <t>12:40:33</t>
  </si>
  <si>
    <t>18:48:19</t>
  </si>
  <si>
    <t>18:16:41</t>
  </si>
  <si>
    <t>11:48:19</t>
  </si>
  <si>
    <t>20:11:05</t>
  </si>
  <si>
    <t>14:54:32</t>
  </si>
  <si>
    <t>17:36:19</t>
  </si>
  <si>
    <t>18:14:11</t>
  </si>
  <si>
    <t>10:52:10</t>
  </si>
  <si>
    <t>12:48:07</t>
  </si>
  <si>
    <t>23:45:33</t>
  </si>
  <si>
    <t>01:18:05</t>
  </si>
  <si>
    <t>00:54:47</t>
  </si>
  <si>
    <t>16:05:58</t>
  </si>
  <si>
    <t>17:38:30</t>
  </si>
  <si>
    <t>20:17:37</t>
  </si>
  <si>
    <t>22:44:39</t>
  </si>
  <si>
    <t>18:03:43</t>
  </si>
  <si>
    <t>18:12:08</t>
  </si>
  <si>
    <t>16:56:25</t>
  </si>
  <si>
    <t>05:34:38</t>
  </si>
  <si>
    <t>22:05:55</t>
  </si>
  <si>
    <t>09:37:31</t>
  </si>
  <si>
    <t>09:53:13</t>
  </si>
  <si>
    <t>07:51:33</t>
  </si>
  <si>
    <t>08:11:39</t>
  </si>
  <si>
    <t>12:24:04</t>
  </si>
  <si>
    <t>14:08:07</t>
  </si>
  <si>
    <t>14:21:09</t>
  </si>
  <si>
    <t>20:20:18</t>
  </si>
  <si>
    <t>22:18:14</t>
  </si>
  <si>
    <t>18:16:42</t>
  </si>
  <si>
    <t>18:27:03</t>
  </si>
  <si>
    <t>23:03:30</t>
  </si>
  <si>
    <t>00:03:21</t>
  </si>
  <si>
    <t>10:23:41</t>
  </si>
  <si>
    <t>21:41:54</t>
  </si>
  <si>
    <t>03:58:32</t>
  </si>
  <si>
    <t>17:11:00</t>
  </si>
  <si>
    <t>18:53:31</t>
  </si>
  <si>
    <t>14:46:34</t>
  </si>
  <si>
    <t>16:59:48</t>
  </si>
  <si>
    <t>23:47:21</t>
  </si>
  <si>
    <t>14:05:02</t>
  </si>
  <si>
    <t>01:43:55</t>
  </si>
  <si>
    <t>19:32:13</t>
  </si>
  <si>
    <t>19:02:16</t>
  </si>
  <si>
    <t>23:55:32</t>
  </si>
  <si>
    <t>01:57:34</t>
  </si>
  <si>
    <t>01:33:22</t>
  </si>
  <si>
    <t>21:05:06</t>
  </si>
  <si>
    <t>13:33:45</t>
  </si>
  <si>
    <t>17:58:02</t>
  </si>
  <si>
    <t>13:45:40</t>
  </si>
  <si>
    <t>18:40:01</t>
  </si>
  <si>
    <t>18:00:52</t>
  </si>
  <si>
    <t>12:26:30</t>
  </si>
  <si>
    <t>16:42:22</t>
  </si>
  <si>
    <t>21:08:35</t>
  </si>
  <si>
    <t>21:17:30</t>
  </si>
  <si>
    <t>21:35:23</t>
  </si>
  <si>
    <t>20:34:30</t>
  </si>
  <si>
    <t>21:20:20</t>
  </si>
  <si>
    <t>14:17:48</t>
  </si>
  <si>
    <t>21:26:58</t>
  </si>
  <si>
    <t>20:22:38</t>
  </si>
  <si>
    <t>00:43:57</t>
  </si>
  <si>
    <t>14:49:45</t>
  </si>
  <si>
    <t>10:38:04</t>
  </si>
  <si>
    <t>23:54:05</t>
  </si>
  <si>
    <t>15:10:30</t>
  </si>
  <si>
    <t>04:49:09</t>
  </si>
  <si>
    <t>12:57:31</t>
  </si>
  <si>
    <t>00:20:11</t>
  </si>
  <si>
    <t>12:56:59</t>
  </si>
  <si>
    <t>20:35:21</t>
  </si>
  <si>
    <t>15:12:24</t>
  </si>
  <si>
    <t>14:03:58</t>
  </si>
  <si>
    <t>14:06:39</t>
  </si>
  <si>
    <t>17:00:55</t>
  </si>
  <si>
    <t>22:47:16</t>
  </si>
  <si>
    <t>15:34:40</t>
  </si>
  <si>
    <t>19:56:02</t>
  </si>
  <si>
    <t>18:00:43</t>
  </si>
  <si>
    <t>12:33:54</t>
  </si>
  <si>
    <t>14:00:53</t>
  </si>
  <si>
    <t>14:05:19</t>
  </si>
  <si>
    <t>00:20:28</t>
  </si>
  <si>
    <t>15:00:53</t>
  </si>
  <si>
    <t>10:01:49</t>
  </si>
  <si>
    <t>12:10:31</t>
  </si>
  <si>
    <t>18:02:08</t>
  </si>
  <si>
    <t>23:40:55</t>
  </si>
  <si>
    <t>22:53:21</t>
  </si>
  <si>
    <t>22:15:22</t>
  </si>
  <si>
    <t>23:08:15</t>
  </si>
  <si>
    <t>22:38:07</t>
  </si>
  <si>
    <t>23:31:39</t>
  </si>
  <si>
    <t>21:41:40</t>
  </si>
  <si>
    <t>23:37:27</t>
  </si>
  <si>
    <t>22:49:20</t>
  </si>
  <si>
    <t>00:32:03</t>
  </si>
  <si>
    <t>16:01:08</t>
  </si>
  <si>
    <t>13:55:10</t>
  </si>
  <si>
    <t>16:32:04</t>
  </si>
  <si>
    <t>20:27:37</t>
  </si>
  <si>
    <t>00:20:44</t>
  </si>
  <si>
    <t>16:22:38</t>
  </si>
  <si>
    <t>18:00:36</t>
  </si>
  <si>
    <t>20:51:02</t>
  </si>
  <si>
    <t>18:23:08</t>
  </si>
  <si>
    <t>21:53:26</t>
  </si>
  <si>
    <t>02:46:50</t>
  </si>
  <si>
    <t>17:40:49</t>
  </si>
  <si>
    <t>22:43:25</t>
  </si>
  <si>
    <t>22:11:24</t>
  </si>
  <si>
    <t>19:37:38</t>
  </si>
  <si>
    <t>16:57:31</t>
  </si>
  <si>
    <t>17:56:15</t>
  </si>
  <si>
    <t>18:01:38</t>
  </si>
  <si>
    <t>18:49:37</t>
  </si>
  <si>
    <t>19:53:41</t>
  </si>
  <si>
    <t>12:01:30</t>
  </si>
  <si>
    <t>22:16:33</t>
  </si>
  <si>
    <t>12:29:56</t>
  </si>
  <si>
    <t>10:00:45</t>
  </si>
  <si>
    <t>14:42:07</t>
  </si>
  <si>
    <t>22:33:00</t>
  </si>
  <si>
    <t>09:29:43</t>
  </si>
  <si>
    <t>11:34:32</t>
  </si>
  <si>
    <t>14:26:31</t>
  </si>
  <si>
    <t>14:32:55</t>
  </si>
  <si>
    <t>19:12:14</t>
  </si>
  <si>
    <t>17:37:19</t>
  </si>
  <si>
    <t>14:16:43</t>
  </si>
  <si>
    <t>14:04:05</t>
  </si>
  <si>
    <t>13:28:28</t>
  </si>
  <si>
    <t>13:41:31</t>
  </si>
  <si>
    <t>19:04:17</t>
  </si>
  <si>
    <t>12:26:21</t>
  </si>
  <si>
    <t>20:28:37</t>
  </si>
  <si>
    <t>18:24:26</t>
  </si>
  <si>
    <t>11:33:09</t>
  </si>
  <si>
    <t>11:32:33</t>
  </si>
  <si>
    <t>13:09:28</t>
  </si>
  <si>
    <t>11:41:34</t>
  </si>
  <si>
    <t>19:03:18</t>
  </si>
  <si>
    <t>20:03:37</t>
  </si>
  <si>
    <t>14:30:48</t>
  </si>
  <si>
    <t>19:28:03</t>
  </si>
  <si>
    <t>12:56:16</t>
  </si>
  <si>
    <t>17:45:23</t>
  </si>
  <si>
    <t>18:04:02</t>
  </si>
  <si>
    <t>21:01:12</t>
  </si>
  <si>
    <t>20:22:34</t>
  </si>
  <si>
    <t>12:09:35</t>
  </si>
  <si>
    <t>11:38:22</t>
  </si>
  <si>
    <t>21:54:53</t>
  </si>
  <si>
    <t>11:29:17</t>
  </si>
  <si>
    <t>14:16:23</t>
  </si>
  <si>
    <t>17:55:29</t>
  </si>
  <si>
    <t>11:30:01</t>
  </si>
  <si>
    <t>11:33:02</t>
  </si>
  <si>
    <t>13:08:29</t>
  </si>
  <si>
    <t>21:43:11</t>
  </si>
  <si>
    <t>13:38:59</t>
  </si>
  <si>
    <t>19:19:15</t>
  </si>
  <si>
    <t>14:24:59</t>
  </si>
  <si>
    <t>14:47:09</t>
  </si>
  <si>
    <t>14:05:41</t>
  </si>
  <si>
    <t>18:52:46</t>
  </si>
  <si>
    <t>18:59:39</t>
  </si>
  <si>
    <t>19:47:15</t>
  </si>
  <si>
    <t>00:02:00</t>
  </si>
  <si>
    <t>16:16:00</t>
  </si>
  <si>
    <t>01:15:31</t>
  </si>
  <si>
    <t>22:30:07</t>
  </si>
  <si>
    <t>22:32:12</t>
  </si>
  <si>
    <t>15:42:28</t>
  </si>
  <si>
    <t>14:03:13</t>
  </si>
  <si>
    <t>13:11:45</t>
  </si>
  <si>
    <t>11:29:29</t>
  </si>
  <si>
    <t>00:57:44</t>
  </si>
  <si>
    <t>01:37:19</t>
  </si>
  <si>
    <t>12:58:03</t>
  </si>
  <si>
    <t>13:29:01</t>
  </si>
  <si>
    <t>22:54:12</t>
  </si>
  <si>
    <t>22:29:41</t>
  </si>
  <si>
    <t>11:48:56</t>
  </si>
  <si>
    <t>11:45:26</t>
  </si>
  <si>
    <t>12:47:26</t>
  </si>
  <si>
    <t>11:59:30</t>
  </si>
  <si>
    <t>11:56:58</t>
  </si>
  <si>
    <t>12:02:37</t>
  </si>
  <si>
    <t>11:54:28</t>
  </si>
  <si>
    <t>16:32:00</t>
  </si>
  <si>
    <t>00:02:58</t>
  </si>
  <si>
    <t>22:18:00</t>
  </si>
  <si>
    <t>15:04:00</t>
  </si>
  <si>
    <t>14:25:56</t>
  </si>
  <si>
    <t>13:01:36</t>
  </si>
  <si>
    <t>09:09:40</t>
  </si>
  <si>
    <t>10:15:12</t>
  </si>
  <si>
    <t>09:59:31</t>
  </si>
  <si>
    <t>09:57:33</t>
  </si>
  <si>
    <t>14:30:42</t>
  </si>
  <si>
    <t>09:53:45</t>
  </si>
  <si>
    <t>14:45:55</t>
  </si>
  <si>
    <t>11:48:40</t>
  </si>
  <si>
    <t>12:56:09</t>
  </si>
  <si>
    <t>12:15:26</t>
  </si>
  <si>
    <t>11:29:03</t>
  </si>
  <si>
    <t>14:45:17</t>
  </si>
  <si>
    <t>09:05:44</t>
  </si>
  <si>
    <t>16:27:39</t>
  </si>
  <si>
    <t>10:57:42</t>
  </si>
  <si>
    <t>16:36:03</t>
  </si>
  <si>
    <t>14:13:02</t>
  </si>
  <si>
    <t>18:27:36</t>
  </si>
  <si>
    <t>14:17:40</t>
  </si>
  <si>
    <t>09:51:23</t>
  </si>
  <si>
    <t>14:49:10</t>
  </si>
  <si>
    <t>15:13:06</t>
  </si>
  <si>
    <t>15:13:12</t>
  </si>
  <si>
    <t>07:04:24</t>
  </si>
  <si>
    <t>09:06:42</t>
  </si>
  <si>
    <t>09:03:34</t>
  </si>
  <si>
    <t>13:51:17</t>
  </si>
  <si>
    <t>14:58:32</t>
  </si>
  <si>
    <t>17:15:13</t>
  </si>
  <si>
    <t>08:37:58</t>
  </si>
  <si>
    <t>14:48:21</t>
  </si>
  <si>
    <t>14:58:19</t>
  </si>
  <si>
    <t>13:57:34</t>
  </si>
  <si>
    <t>14:28:41</t>
  </si>
  <si>
    <t>09:37:47</t>
  </si>
  <si>
    <t>10:00:46</t>
  </si>
  <si>
    <t>07:47:49</t>
  </si>
  <si>
    <t>08:50:36</t>
  </si>
  <si>
    <t>15:24:16</t>
  </si>
  <si>
    <t>08:45:33</t>
  </si>
  <si>
    <t>15:45:24</t>
  </si>
  <si>
    <t>16:57:52</t>
  </si>
  <si>
    <t>14:52:56</t>
  </si>
  <si>
    <t>09:42:58</t>
  </si>
  <si>
    <t>00:15:34</t>
  </si>
  <si>
    <t>21:24:33</t>
  </si>
  <si>
    <t>09:06:09</t>
  </si>
  <si>
    <t>00:44:15</t>
  </si>
  <si>
    <t>14:09:43</t>
  </si>
  <si>
    <t>03:20:44</t>
  </si>
  <si>
    <t>14:24:05</t>
  </si>
  <si>
    <t>21:40:43</t>
  </si>
  <si>
    <t>12:20:28</t>
  </si>
  <si>
    <t>14:04:24</t>
  </si>
  <si>
    <t>08:20:50</t>
  </si>
  <si>
    <t>11:39:49</t>
  </si>
  <si>
    <t>18:38:53</t>
  </si>
  <si>
    <t>09:01:07</t>
  </si>
  <si>
    <t>12:10:15</t>
  </si>
  <si>
    <t>21:36:43</t>
  </si>
  <si>
    <t>20:44:24</t>
  </si>
  <si>
    <t>23:43:09</t>
  </si>
  <si>
    <t>14:37:44</t>
  </si>
  <si>
    <t>22:49:52</t>
  </si>
  <si>
    <t>00:50:51</t>
  </si>
  <si>
    <t>00:48:53</t>
  </si>
  <si>
    <t>00:59:33</t>
  </si>
  <si>
    <t>19:13:11</t>
  </si>
  <si>
    <t>18:18:00</t>
  </si>
  <si>
    <t>20:33:16</t>
  </si>
  <si>
    <t>13:39:21</t>
  </si>
  <si>
    <t>15:10:10</t>
  </si>
  <si>
    <t>19:18:23</t>
  </si>
  <si>
    <t>17:45:25</t>
  </si>
  <si>
    <t>03:50:52</t>
  </si>
  <si>
    <t>01:25:26</t>
  </si>
  <si>
    <t>19:42:15</t>
  </si>
  <si>
    <t>15:11:50</t>
  </si>
  <si>
    <t>13:49:26</t>
  </si>
  <si>
    <t>13:41:22</t>
  </si>
  <si>
    <t>00:33:02</t>
  </si>
  <si>
    <t>17:37:06</t>
  </si>
  <si>
    <t>20:52:39</t>
  </si>
  <si>
    <t>14:07:08</t>
  </si>
  <si>
    <t>14:07:07</t>
  </si>
  <si>
    <t>01:23:22</t>
  </si>
  <si>
    <t>17:24:03</t>
  </si>
  <si>
    <t>21:30:02</t>
  </si>
  <si>
    <t>02:42:33</t>
  </si>
  <si>
    <t>20:00:39</t>
  </si>
  <si>
    <t>21:39:02</t>
  </si>
  <si>
    <t>22:22:58</t>
  </si>
  <si>
    <t>21:44:46</t>
  </si>
  <si>
    <t>19:57:27</t>
  </si>
  <si>
    <t>23:06:06</t>
  </si>
  <si>
    <t>21:38:01</t>
  </si>
  <si>
    <t>21:47:19</t>
  </si>
  <si>
    <t>23:06:25</t>
  </si>
  <si>
    <t>21:42:24</t>
  </si>
  <si>
    <t>22:24:58</t>
  </si>
  <si>
    <t>20:01:13</t>
  </si>
  <si>
    <t>23:07:31</t>
  </si>
  <si>
    <t>23:10:12</t>
  </si>
  <si>
    <t>21:39:36</t>
  </si>
  <si>
    <t>21:48:55</t>
  </si>
  <si>
    <t>21:47:39</t>
  </si>
  <si>
    <t>15:50:26</t>
  </si>
  <si>
    <t>00:20:32</t>
  </si>
  <si>
    <t>13:05:35</t>
  </si>
  <si>
    <t>19:58:46</t>
  </si>
  <si>
    <t>19:58:38</t>
  </si>
  <si>
    <t>16:21:52</t>
  </si>
  <si>
    <t>13:15:00</t>
  </si>
  <si>
    <t>14:19:54</t>
  </si>
  <si>
    <t>15:40:00</t>
  </si>
  <si>
    <t>14:15:00</t>
  </si>
  <si>
    <t>20:45:32</t>
  </si>
  <si>
    <t>21:15:00</t>
  </si>
  <si>
    <t>16:15:00</t>
  </si>
  <si>
    <t>12:15:00</t>
  </si>
  <si>
    <t>12:17:17</t>
  </si>
  <si>
    <t>11:46:58</t>
  </si>
  <si>
    <t>06:30:00</t>
  </si>
  <si>
    <t>12:16:53</t>
  </si>
  <si>
    <t>10:56:16</t>
  </si>
  <si>
    <t>23:45:00</t>
  </si>
  <si>
    <t>07:30:00</t>
  </si>
  <si>
    <t>05:45:00</t>
  </si>
  <si>
    <t>21:25:02</t>
  </si>
  <si>
    <t>22:00:00</t>
  </si>
  <si>
    <t>15:45:18</t>
  </si>
  <si>
    <t>10:01:01</t>
  </si>
  <si>
    <t>10:08:28</t>
  </si>
  <si>
    <t>21:58:30</t>
  </si>
  <si>
    <t>18:08:15</t>
  </si>
  <si>
    <t>12:34:34</t>
  </si>
  <si>
    <t>00:49:52</t>
  </si>
  <si>
    <t>01:13:51</t>
  </si>
  <si>
    <t>14:26:15</t>
  </si>
  <si>
    <t>13:27:06</t>
  </si>
  <si>
    <t>19:14:36</t>
  </si>
  <si>
    <t>02:25:50</t>
  </si>
  <si>
    <t>11:00:57</t>
  </si>
  <si>
    <t>16:48:40</t>
  </si>
  <si>
    <t>17:00:10</t>
  </si>
  <si>
    <t>21:13:59</t>
  </si>
  <si>
    <t>14:04:46</t>
  </si>
  <si>
    <t>03:26:49</t>
  </si>
  <si>
    <t>16:56:34</t>
  </si>
  <si>
    <t>21:31:00</t>
  </si>
  <si>
    <t>14:40:00</t>
  </si>
  <si>
    <t>17:30:00</t>
  </si>
  <si>
    <t>17:18:46</t>
  </si>
  <si>
    <t>18:10:00</t>
  </si>
  <si>
    <t>19:00:02</t>
  </si>
  <si>
    <t>12:43:39</t>
  </si>
  <si>
    <t>15:45:46</t>
  </si>
  <si>
    <t>13:45:27</t>
  </si>
  <si>
    <t>12:47:42</t>
  </si>
  <si>
    <t>12:44:47</t>
  </si>
  <si>
    <t>19:35:10</t>
  </si>
  <si>
    <t>19:20:24</t>
  </si>
  <si>
    <t>12:44:29</t>
  </si>
  <si>
    <t>22:38:35</t>
  </si>
  <si>
    <t>19:13:22</t>
  </si>
  <si>
    <t>19:10:25</t>
  </si>
  <si>
    <t>16:19:51</t>
  </si>
  <si>
    <t>17:21:55</t>
  </si>
  <si>
    <t>18:22:18</t>
  </si>
  <si>
    <t>01:07:26</t>
  </si>
  <si>
    <t>14:55:25</t>
  </si>
  <si>
    <t>02:52:56</t>
  </si>
  <si>
    <t>20:34:56</t>
  </si>
  <si>
    <t>12:36:29</t>
  </si>
  <si>
    <t>11:50:24</t>
  </si>
  <si>
    <t>18:25:30</t>
  </si>
  <si>
    <t>23:10:42</t>
  </si>
  <si>
    <t>19:09:09</t>
  </si>
  <si>
    <t>11:51:27</t>
  </si>
  <si>
    <t>23:36:25</t>
  </si>
  <si>
    <t>15:40:09</t>
  </si>
  <si>
    <t>23:45:55</t>
  </si>
  <si>
    <t>23:25:38</t>
  </si>
  <si>
    <t>21:06:39</t>
  </si>
  <si>
    <t>01:16:43</t>
  </si>
  <si>
    <t>23:17:40</t>
  </si>
  <si>
    <t>18:25:50</t>
  </si>
  <si>
    <t>19:30:36</t>
  </si>
  <si>
    <t>19:26:07</t>
  </si>
  <si>
    <t>13:19:35</t>
  </si>
  <si>
    <t>18:22:00</t>
  </si>
  <si>
    <t>22:17:01</t>
  </si>
  <si>
    <t>00:50:06</t>
  </si>
  <si>
    <t>20:06:17</t>
  </si>
  <si>
    <t>22:05:00</t>
  </si>
  <si>
    <t>22:12:08</t>
  </si>
  <si>
    <t>18:08:31</t>
  </si>
  <si>
    <t>21:39:40</t>
  </si>
  <si>
    <t>01:04:02</t>
  </si>
  <si>
    <t>22:52:37</t>
  </si>
  <si>
    <t>22:52:36</t>
  </si>
  <si>
    <t>22:14:23</t>
  </si>
  <si>
    <t>21:16:05</t>
  </si>
  <si>
    <t>21:16:04</t>
  </si>
  <si>
    <t>14:10:23</t>
  </si>
  <si>
    <t>16:25:12</t>
  </si>
  <si>
    <t>19:27:09</t>
  </si>
  <si>
    <t>13:52:27</t>
  </si>
  <si>
    <t>22:28:03</t>
  </si>
  <si>
    <t>17:45:04</t>
  </si>
  <si>
    <t>18:12:42</t>
  </si>
  <si>
    <t>17:11:13</t>
  </si>
  <si>
    <t>18:22:59</t>
  </si>
  <si>
    <t>19:11:05</t>
  </si>
  <si>
    <t>18:36:01</t>
  </si>
  <si>
    <t>21:01:51</t>
  </si>
  <si>
    <t>14:16:15</t>
  </si>
  <si>
    <t>14:15:55</t>
  </si>
  <si>
    <t>23:19:44</t>
  </si>
  <si>
    <t>20:32:42</t>
  </si>
  <si>
    <t>12:02:30</t>
  </si>
  <si>
    <t>-69,9963185929507,18,424797835135 
-69,9963185929507,18,5467520186245 
-69,860465239982,18,5467520186245 
-69,860465239982,18,424797835135 
-69,9963185929507,18,424797835135</t>
  </si>
  <si>
    <t>-46,826039,-24,008814 
-46,826039,-23,356792 
-46,365052,-23,356792 
-46,365052,-24,008814 
-46,826039,-24,008814</t>
  </si>
  <si>
    <t>-38,667664,-3,727875 
-38,667664,-3,72019 
-38,659305,-3,72019 
-38,659305,-3,727875 
-38,667664,-3,727875</t>
  </si>
  <si>
    <t>-49,3916434,-25,6447517 
-49,3916434,-25,3457471 
-49,1852775,-25,3457471 
-49,1852775,-25,6447517 
-49,3916434,-25,6447517</t>
  </si>
  <si>
    <t>-73,991482,-33,7510506 
-73,991482,5,27192 
-32,378186,5,27192 
-32,378186,-33,7510506 
-73,991482,-33,7510506</t>
  </si>
  <si>
    <t>-74,483288999243,3,71743200175304 
-74,483288999243,4,80713500387127 
-74,0040529979154,4,80713500387127 
-74,0040529979154,3,71743200175304 
-74,483288999243,3,71743200175304</t>
  </si>
  <si>
    <t>30,2110535,-26,868046 
30,2110535,-10,3852166 
40,9291738,-10,3852166 
40,9291738,-26,868046 
30,2110535,-26,868046</t>
  </si>
  <si>
    <t>-58,644732,-34,654376 
-58,644732,-34,546888 
-58,5224777,-34,546888 
-58,5224777,-34,654376 
-58,644732,-34,654376</t>
  </si>
  <si>
    <t>-46,567276,-23,815924 
-46,567276,-23,605615 
-46,278106,-23,605615 
-46,278106,-23,815924 
-46,567276,-23,815924</t>
  </si>
  <si>
    <t>-70,6376924,-33,4499729 
-70,6376924,-33,4089971 
-70,5838263,-33,4089971 
-70,5838263,-33,4499729 
-70,6376924,-33,4499729</t>
  </si>
  <si>
    <t>-35,227441,-8,222714 
-35,227441,-8,069775 
-35,057906,-8,069775 
-35,057906,-8,222714 
-35,227441,-8,222714</t>
  </si>
  <si>
    <t>-44,306815,-2,518521 
-44,306815,-2,4902248 
-44,2819992,-2,4902248 
-44,2819992,-2,518521 
-44,306815,-2,518521</t>
  </si>
  <si>
    <t>-69,5068092336041,18,405634585049 
-69,5068092336041,18,4916046565261 
-69,3498456708552,18,4916046565261 
-69,3498456708552,18,405634585049 
-69,5068092336041,18,405634585049</t>
  </si>
  <si>
    <t>-65,412812,-24,741112 
-65,412812,-24,705919 
-65,3917672,-24,705919 
-65,3917672,-24,741112 
-65,412812,-24,741112</t>
  </si>
  <si>
    <t>-48,285982,-16,0524045 
-48,285982,-15,5001029 
-47,307264,-15,5001029 
-47,307264,-16,0524045 
-48,285982,-16,0524045</t>
  </si>
  <si>
    <t>18,925169,47,3494477 
18,925169,47,613013 
19,3344868,47,613013 
19,3344868,47,3494477 
18,925169,47,3494477</t>
  </si>
  <si>
    <t>-48,661498,-8,287241 
-48,661498,-7,849612 
-48,378227,-7,849612 
-48,378227,-8,287241 
-48,661498,-8,287241</t>
  </si>
  <si>
    <t>-38,700244,-13,02679 
-38,700244,-12,723879 
-38,305051,-12,723879 
-38,305051,-13,02679 
-38,700244,-13,02679</t>
  </si>
  <si>
    <t>-38,3806818,-12,91102 
-38,3806818,-12,801613 
-38,2761851,-12,801613 
-38,2761851,-12,91102 
-38,3806818,-12,91102</t>
  </si>
  <si>
    <t>-48,6103127,-27,8389356 
-48,6103127,-27,3804458 
-48,3474853,-27,3804458 
-48,3474853,-27,8389356 
-48,6103127,-27,8389356</t>
  </si>
  <si>
    <t>-69,8844597596896,18,4534635404481 
-69,8844597596896,18,6012321621121 
-69,6891040806453,18,6012321621121 
-69,6891040806453,18,4534635404481 
-69,8844597596896,18,4534635404481</t>
  </si>
  <si>
    <t>-43,681932,-22,865838 
-43,681932,-22,527218 
-43,366801,-22,527218 
-43,366801,-22,865838 
-43,681932,-22,865838</t>
  </si>
  <si>
    <t>-74,2610809965092,4,67857799769644 
-74,2610809965092,4,77602700152563 
-74,1652949977219,4,77602700152563 
-74,1652949977219,4,67857799769644 
-74,2610809965092,4,67857799769644</t>
  </si>
  <si>
    <t>-64,3195,-31,5235762 
-64,3195,-31,307337 
-64,0765511,-31,307337 
-64,0765511,-31,5235762 
-64,3195,-31,5235762</t>
  </si>
  <si>
    <t>-58,515675,-34,907559 
-58,515675,-34,723106 
-58,43041,-34,723106 
-58,43041,-34,907559 
-58,515675,-34,907559</t>
  </si>
  <si>
    <t>-65,5325137,-24,871621 
-65,5325137,-24,74685 
-65,358702,-24,74685 
-65,358702,-24,871621 
-65,5325137,-24,871621</t>
  </si>
  <si>
    <t>-70,5696,-32,631926 
-70,5696,-28,376969 
-66,715442,-28,376969 
-66,715442,-32,631926 
-70,5696,-32,631926</t>
  </si>
  <si>
    <t>-40,8439984,-20,8422079 
-40,8439984,-20,545867 
-40,5591264,-20,545867 
-40,5591264,-20,8422079 
-40,8439984,-20,8422079</t>
  </si>
  <si>
    <t>-43,022429,-23,024591 
-43,022429,-22,841235 
-42,636396,-22,841235 
-42,636396,-23,024591 
-43,022429,-23,024591</t>
  </si>
  <si>
    <t>-58,5317922,-34,674453 
-58,5317922,-34,534177 
-58,353494,-34,534177 
-58,353494,-34,674453 
-58,5317922,-34,674453</t>
  </si>
  <si>
    <t>-48,089645,-15,865338 
-48,089645,-15,577902 
-47,781153,-15,577902 
-47,781153,-15,865338 
-48,089645,-15,865338</t>
  </si>
  <si>
    <t>-38,5934928,-12,4312177 
-38,5934928,-12,236286 
-38,23807,-12,236286 
-38,23807,-12,4312177 
-38,5934928,-12,4312177</t>
  </si>
  <si>
    <t>-51,1798756,-29,8298462 
-51,1798756,-29,6378205 
-50,9343263,-29,6378205 
-50,9343263,-29,8298462 
-51,1798756,-29,8298462</t>
  </si>
  <si>
    <t>-72,4710666,-36,7468019 
-72,4710666,-36,5041483 
-71,8624814,-36,5041483 
-71,8624814,-36,7468019 
-72,4710666,-36,7468019</t>
  </si>
  <si>
    <t>-50,812575,-23,375411 
-50,812575,-23,01467 
-50,4648148,-23,01467 
-50,4648148,-23,375411 
-50,812575,-23,375411</t>
  </si>
  <si>
    <t>-43,795449,-23,08302 
-43,795449,-22,7398234 
-43,0877068,-22,7398234 
-43,0877068,-23,08302 
-43,795449,-23,08302</t>
  </si>
  <si>
    <t>-72,0073024918158,17,4701563191231 
-72,0073024918158,19,9323139188769 
-68,3227847681842,19,9323139188769 
-68,3227847681842,17,4701563191231 
-72,0073024918158,17,4701563191231</t>
  </si>
  <si>
    <t>-35,019805,-8,157554 
-35,019805,-7,929652 
-34,858893,-7,929652 
-34,858893,-8,157554 
-35,019805,-8,157554</t>
  </si>
  <si>
    <t>-9,5467555,39,2834801 
-9,5467555,39,4801895 
-9,2564525,39,4801895 
-9,2564525,39,2834801 
-9,5467555,39,2834801</t>
  </si>
  <si>
    <t>-58,160874,-35,031373 
-58,160874,-34,841264 
-57,865169,-34,841264 
-57,865169,-35,031373 
-58,160874,-35,031373</t>
  </si>
  <si>
    <t>-79,6006399991329,-3,17511400056148 
-79,6006399991329,-2,55697599983637 
-78,8480589972169,-2,55697599983637 
-78,8480589972169,-3,17511400056148 
-79,6006399991329,-3,17511400056148</t>
  </si>
  <si>
    <t>Dominican Republic</t>
  </si>
  <si>
    <t>Brasil</t>
  </si>
  <si>
    <t>Colombia</t>
  </si>
  <si>
    <t>República de Moçambique</t>
  </si>
  <si>
    <t>Argentina</t>
  </si>
  <si>
    <t>Chile</t>
  </si>
  <si>
    <t>Hungria</t>
  </si>
  <si>
    <t>Portugal</t>
  </si>
  <si>
    <t>Ecuador</t>
  </si>
  <si>
    <t>DO</t>
  </si>
  <si>
    <t>BR</t>
  </si>
  <si>
    <t>CO</t>
  </si>
  <si>
    <t>MZ</t>
  </si>
  <si>
    <t>AR</t>
  </si>
  <si>
    <t>CL</t>
  </si>
  <si>
    <t>HU</t>
  </si>
  <si>
    <t>PT</t>
  </si>
  <si>
    <t>EC</t>
  </si>
  <si>
    <t>anto Domingo de Guzmán, Dominican Republic</t>
  </si>
  <si>
    <t>São Paulo, Brasil</t>
  </si>
  <si>
    <t>Grilo, Caucaia</t>
  </si>
  <si>
    <t>Curitiba, Brasil</t>
  </si>
  <si>
    <t>Bogotá, D.C., Colombia</t>
  </si>
  <si>
    <t>Caseros, Argentina</t>
  </si>
  <si>
    <t>Santo André, Brasil</t>
  </si>
  <si>
    <t>Providencia, Chile</t>
  </si>
  <si>
    <t>Moreno, Brasil</t>
  </si>
  <si>
    <t>Renascença, São Luís</t>
  </si>
  <si>
    <t>Guayacanes, Dominican Republic</t>
  </si>
  <si>
    <t>Vaqueros, Argentina</t>
  </si>
  <si>
    <t>Brasília, Brasil</t>
  </si>
  <si>
    <t>Budapeste, Hungria</t>
  </si>
  <si>
    <t>Colinas do Tocantins, Brasil</t>
  </si>
  <si>
    <t>Salvador, Brasil</t>
  </si>
  <si>
    <t>Lauro de Freitas, Brasil</t>
  </si>
  <si>
    <t>Florianópolis, Brasil</t>
  </si>
  <si>
    <t>Santo Domingo Este, Dominican Republic</t>
  </si>
  <si>
    <t>Nova Iguaçu, Brasil</t>
  </si>
  <si>
    <t>Funza, Colombia</t>
  </si>
  <si>
    <t>Córdoba, Argentina</t>
  </si>
  <si>
    <t>Monte Grande, Argentina</t>
  </si>
  <si>
    <t>Salta, Argentina</t>
  </si>
  <si>
    <t>San Juan, Argentina</t>
  </si>
  <si>
    <t>Anchieta, Brasil</t>
  </si>
  <si>
    <t>Maricá, Brasil</t>
  </si>
  <si>
    <t>Ciudad Autónoma de Buenos Aires, Argentina</t>
  </si>
  <si>
    <t>Plano Piloto de Brasília, Brasília</t>
  </si>
  <si>
    <t>Catu, Brasil</t>
  </si>
  <si>
    <t>Novo Hamburgo, Brasil</t>
  </si>
  <si>
    <t>Chillán, Chile</t>
  </si>
  <si>
    <t>Cornélio Procópio, Brasil</t>
  </si>
  <si>
    <t>Rio de Janeiro, Brasil</t>
  </si>
  <si>
    <t>Recife, Brasil</t>
  </si>
  <si>
    <t>Peniche, Portugal</t>
  </si>
  <si>
    <t>La Plata, Argentina</t>
  </si>
  <si>
    <t>Cuenca, Ecuador</t>
  </si>
  <si>
    <t>01fcc4a23f17e1ed</t>
  </si>
  <si>
    <t>68e019afec7d0ba5</t>
  </si>
  <si>
    <t>1802aef54ad85e21</t>
  </si>
  <si>
    <t>6d5542f8d837770d</t>
  </si>
  <si>
    <t>1b107df3ccc0aaa1</t>
  </si>
  <si>
    <t>0161be1b3f98d6c3</t>
  </si>
  <si>
    <t>b64dd3d6de94f13d</t>
  </si>
  <si>
    <t>014f72200f706d3f</t>
  </si>
  <si>
    <t>35e1542602b65f19</t>
  </si>
  <si>
    <t>01d461fd3da860bd</t>
  </si>
  <si>
    <t>f8f6e6f57228eccd</t>
  </si>
  <si>
    <t>4547d63359c8c7d4</t>
  </si>
  <si>
    <t>01b89a544d5ffdf9</t>
  </si>
  <si>
    <t>00abdf661dde7469</t>
  </si>
  <si>
    <t>5722ff20ba67083b</t>
  </si>
  <si>
    <t>e52e231315b975c1</t>
  </si>
  <si>
    <t>1df3fe05af887de0</t>
  </si>
  <si>
    <t>e60cc1f72c303272</t>
  </si>
  <si>
    <t>96f2f874a4dbcd32</t>
  </si>
  <si>
    <t>c44302d542084bfe</t>
  </si>
  <si>
    <t>004ad1e2734fc1e3</t>
  </si>
  <si>
    <t>4029837e46e8e369</t>
  </si>
  <si>
    <t>0033dd9e171e1cef</t>
  </si>
  <si>
    <t>00f84d414936f28e</t>
  </si>
  <si>
    <t>013044056c4adf51</t>
  </si>
  <si>
    <t>0085b01d4f65f576</t>
  </si>
  <si>
    <t>5ceabda654fd1ee2</t>
  </si>
  <si>
    <t>890cfbd44113909f</t>
  </si>
  <si>
    <t>5a4ba2b4cd9a0b2c</t>
  </si>
  <si>
    <t>018f1cde6bad9747</t>
  </si>
  <si>
    <t>71b02d6b382a3c31</t>
  </si>
  <si>
    <t>dec5b3c60c02bb20</t>
  </si>
  <si>
    <t>3b8667e69cb2797f</t>
  </si>
  <si>
    <t>010a74892213c898</t>
  </si>
  <si>
    <t>912784330fe724a0</t>
  </si>
  <si>
    <t>97bcdfca1a2dca59</t>
  </si>
  <si>
    <t>695f560eb8922977</t>
  </si>
  <si>
    <t>f207b85be9f1513e</t>
  </si>
  <si>
    <t>9de471cda4f80c83</t>
  </si>
  <si>
    <t>0177894212b08f73</t>
  </si>
  <si>
    <t>013cb38e7fe501ae</t>
  </si>
  <si>
    <t>anto Domingo de Guzmán</t>
  </si>
  <si>
    <t>São Paulo</t>
  </si>
  <si>
    <t>Grilo</t>
  </si>
  <si>
    <t>Curitiba</t>
  </si>
  <si>
    <t>Bogotá, D.C.</t>
  </si>
  <si>
    <t>Caseros</t>
  </si>
  <si>
    <t>Santo André</t>
  </si>
  <si>
    <t>Providencia</t>
  </si>
  <si>
    <t>Moreno</t>
  </si>
  <si>
    <t>Renascença</t>
  </si>
  <si>
    <t>Guayacanes</t>
  </si>
  <si>
    <t>Vaqueros</t>
  </si>
  <si>
    <t>Brasília</t>
  </si>
  <si>
    <t>Budapeste</t>
  </si>
  <si>
    <t>Colinas do Tocantins</t>
  </si>
  <si>
    <t>Salvador</t>
  </si>
  <si>
    <t>Lauro de Freitas</t>
  </si>
  <si>
    <t>Florianópolis</t>
  </si>
  <si>
    <t>Santo Domingo Este</t>
  </si>
  <si>
    <t>Nova Iguaçu</t>
  </si>
  <si>
    <t>Funza</t>
  </si>
  <si>
    <t>Córdoba</t>
  </si>
  <si>
    <t>Monte Grande</t>
  </si>
  <si>
    <t>Salta</t>
  </si>
  <si>
    <t>San Juan</t>
  </si>
  <si>
    <t>Anchieta</t>
  </si>
  <si>
    <t>Maricá</t>
  </si>
  <si>
    <t>Ciudad Autónoma de Buenos Aires</t>
  </si>
  <si>
    <t>Plano Piloto de Brasília</t>
  </si>
  <si>
    <t>Catu</t>
  </si>
  <si>
    <t>Novo Hamburgo</t>
  </si>
  <si>
    <t>Chillán</t>
  </si>
  <si>
    <t>Cornélio Procópio</t>
  </si>
  <si>
    <t>Rio de Janeiro</t>
  </si>
  <si>
    <t>Recife</t>
  </si>
  <si>
    <t>Peniche</t>
  </si>
  <si>
    <t>La Plata</t>
  </si>
  <si>
    <t>Cuenca</t>
  </si>
  <si>
    <t>city</t>
  </si>
  <si>
    <t>neighborhood</t>
  </si>
  <si>
    <t>country</t>
  </si>
  <si>
    <t>admin</t>
  </si>
  <si>
    <t>7_1642012773524598785</t>
  </si>
  <si>
    <t>3_1666591292468482049</t>
  </si>
  <si>
    <t>3_1673773653261971457</t>
  </si>
  <si>
    <t>3_1683960507378593794</t>
  </si>
  <si>
    <t>7_1671545826844311555</t>
  </si>
  <si>
    <t>7_1668988497523273728</t>
  </si>
  <si>
    <t>7_1674786203630202880</t>
  </si>
  <si>
    <t>7_1674785545153843202</t>
  </si>
  <si>
    <t>3_1666188598817742867</t>
  </si>
  <si>
    <t>3_1704390984845361152</t>
  </si>
  <si>
    <t>3_1672023704337784838</t>
  </si>
  <si>
    <t>3_1703536110737993728</t>
  </si>
  <si>
    <t>3_1670896590037348352 3_1670896625688952834</t>
  </si>
  <si>
    <t>3_1699173597061824512</t>
  </si>
  <si>
    <t>3_1699524734558384128 3_1699524783119994880 3_1699525532965048320</t>
  </si>
  <si>
    <t>3_1687176636448337921</t>
  </si>
  <si>
    <t>3_1671252583384489984</t>
  </si>
  <si>
    <t>7_1671060279478611969</t>
  </si>
  <si>
    <t>3_1683505311536099331 3_1683505311527710720 3_1683505311540191232 3_1683505311531794433</t>
  </si>
  <si>
    <t>3_1671962509572448274</t>
  </si>
  <si>
    <t>3_1654140352205299712</t>
  </si>
  <si>
    <t>3_1663243576015220737</t>
  </si>
  <si>
    <t>3_1672239407535980548</t>
  </si>
  <si>
    <t>3_1661439262959566868</t>
  </si>
  <si>
    <t>3_1697311386143993856</t>
  </si>
  <si>
    <t>3_1701665786610221056</t>
  </si>
  <si>
    <t>3_1663982815229165580</t>
  </si>
  <si>
    <t>3_1702310180321370112</t>
  </si>
  <si>
    <t>3_1699170341010976768</t>
  </si>
  <si>
    <t>3_1653487699305660419</t>
  </si>
  <si>
    <t>3_1697201354026967040</t>
  </si>
  <si>
    <t>3_1682540233584267264</t>
  </si>
  <si>
    <t>3_1687190188659744768</t>
  </si>
  <si>
    <t>3_1691093653035368448</t>
  </si>
  <si>
    <t>3_1686767314648043520</t>
  </si>
  <si>
    <t>3_1658283768946495488</t>
  </si>
  <si>
    <t>7_1707107111597973504</t>
  </si>
  <si>
    <t>3_1691158171966967808</t>
  </si>
  <si>
    <t>3_1701000933969444865</t>
  </si>
  <si>
    <t>3_1695524400215588864</t>
  </si>
  <si>
    <t>3_1706954271617339393</t>
  </si>
  <si>
    <t>7_1655167741807009792</t>
  </si>
  <si>
    <t>3_1704691301990424576</t>
  </si>
  <si>
    <t>7_1674753049615638528</t>
  </si>
  <si>
    <t>3_1654210609330659328</t>
  </si>
  <si>
    <t>3_1671995878406537216</t>
  </si>
  <si>
    <t>3_1660627588153319424</t>
  </si>
  <si>
    <t>3_1657555842906873857</t>
  </si>
  <si>
    <t>3_1657551937523384325</t>
  </si>
  <si>
    <t>3_1659313354643570688</t>
  </si>
  <si>
    <t>3_1658241418421305344</t>
  </si>
  <si>
    <t>3_1671652801498185728</t>
  </si>
  <si>
    <t>3_1658102281340960769</t>
  </si>
  <si>
    <t>7_1707195664667422720</t>
  </si>
  <si>
    <t>3_1670543450104627200</t>
  </si>
  <si>
    <t>3_1654202544028110873</t>
  </si>
  <si>
    <t>3_1688222540416610305</t>
  </si>
  <si>
    <t>3_1690349555571646464</t>
  </si>
  <si>
    <t>3_1668584923928600576</t>
  </si>
  <si>
    <t>3_1669089983775358979</t>
  </si>
  <si>
    <t>3_1671516472462508037</t>
  </si>
  <si>
    <t>3_1658162351458201622</t>
  </si>
  <si>
    <t>3_1667573545746980867</t>
  </si>
  <si>
    <t>3_1686826766663319552 3_1686826770031329281</t>
  </si>
  <si>
    <t>3_1664682298199900172</t>
  </si>
  <si>
    <t>3_1681327269061484545</t>
  </si>
  <si>
    <t>3_1694780035582885890</t>
  </si>
  <si>
    <t>3_1686331394253840385</t>
  </si>
  <si>
    <t>3_1665131065453821953 3_1665131072852566016</t>
  </si>
  <si>
    <t>3_1668659923561897986</t>
  </si>
  <si>
    <t>3_1701803093761912832</t>
  </si>
  <si>
    <t>7_1682118908889780224</t>
  </si>
  <si>
    <t>3_1704638381320220673</t>
  </si>
  <si>
    <t>13_1654267265964036097</t>
  </si>
  <si>
    <t>13_1687127608989728768</t>
  </si>
  <si>
    <t>13_1686827843840507905</t>
  </si>
  <si>
    <t>3_1668984404817977345</t>
  </si>
  <si>
    <t>3_1706692086211162112</t>
  </si>
  <si>
    <t>3_1664636447125647364</t>
  </si>
  <si>
    <t>3_1707382904743997440</t>
  </si>
  <si>
    <t>3_1669688142457106432</t>
  </si>
  <si>
    <t>3_1668796587047284737</t>
  </si>
  <si>
    <t>3_1689279806829928448 3_1689280081993117696</t>
  </si>
  <si>
    <t>3_1691067699726536704</t>
  </si>
  <si>
    <t>3_1691063449621573632 3_1691063501479907328</t>
  </si>
  <si>
    <t>3_1691060539571548160 3_1691060705875607552</t>
  </si>
  <si>
    <t>3_1707122341094760448 3_1707122567490711552</t>
  </si>
  <si>
    <t>3_1688716220881616896</t>
  </si>
  <si>
    <t>7_1660833795845619715</t>
  </si>
  <si>
    <t>3_1673788672456507394</t>
  </si>
  <si>
    <t>3_1668702015701106688</t>
  </si>
  <si>
    <t>3_1670492569569042439</t>
  </si>
  <si>
    <t>3_1669757751638077440</t>
  </si>
  <si>
    <t>7_1655652591328452638</t>
  </si>
  <si>
    <t>13_1673577996530208768</t>
  </si>
  <si>
    <t>3_1669366031159107585</t>
  </si>
  <si>
    <t>3_1663556823587373061</t>
  </si>
  <si>
    <t>3_1657768426247450625</t>
  </si>
  <si>
    <t>3_1691090500495781888</t>
  </si>
  <si>
    <t>3_1695079977484488704</t>
  </si>
  <si>
    <t>3_1679962479764418560 3_1679962516267442178</t>
  </si>
  <si>
    <t>3_1702689659904544774</t>
  </si>
  <si>
    <t>3_1658205523664052231</t>
  </si>
  <si>
    <t>3_1706764576233078785</t>
  </si>
  <si>
    <t>3_1697724797398982656</t>
  </si>
  <si>
    <t>3_1686833320406003712</t>
  </si>
  <si>
    <t>7_1707101231355695104</t>
  </si>
  <si>
    <t>3_1686381396456345601</t>
  </si>
  <si>
    <t>3_1686109190505299970</t>
  </si>
  <si>
    <t>3_1657163040238780417</t>
  </si>
  <si>
    <t>3_1666484031716745234</t>
  </si>
  <si>
    <t>3_1704284788889141248</t>
  </si>
  <si>
    <t>3_1695079992093261824</t>
  </si>
  <si>
    <t>3_1685988990678171648</t>
  </si>
  <si>
    <t>3_1661373934741209093</t>
  </si>
  <si>
    <t>16_1691095354257604608</t>
  </si>
  <si>
    <t>3_1688756529611075584</t>
  </si>
  <si>
    <t>3_1690772639101423618</t>
  </si>
  <si>
    <t>3_1688666912710873088</t>
  </si>
  <si>
    <t>3_1691227842128859136</t>
  </si>
  <si>
    <t>3_1698764251316543488</t>
  </si>
  <si>
    <t>3_1653835313112817673</t>
  </si>
  <si>
    <t>3_1681660226808827904</t>
  </si>
  <si>
    <t>3_1682724101838839808</t>
  </si>
  <si>
    <t>3_1665793419560509445</t>
  </si>
  <si>
    <t>7_1676332340677681152</t>
  </si>
  <si>
    <t>3_1672079564724379649</t>
  </si>
  <si>
    <t>3_1687499535260520448</t>
  </si>
  <si>
    <t>3_1658375342984163328</t>
  </si>
  <si>
    <t>3_1677674178982420482</t>
  </si>
  <si>
    <t>7_1688674810400743425</t>
  </si>
  <si>
    <t>3_1691624722746703872</t>
  </si>
  <si>
    <t>3_1679991738608283650</t>
  </si>
  <si>
    <t>3_1694404171074514945</t>
  </si>
  <si>
    <t>3_1691100561121128448</t>
  </si>
  <si>
    <t>3_1707027944369958912</t>
  </si>
  <si>
    <t>3_1654673812661710848</t>
  </si>
  <si>
    <t>3_1688676664379613184</t>
  </si>
  <si>
    <t>3_1686142826893979648</t>
  </si>
  <si>
    <t>7_1677107988279033857</t>
  </si>
  <si>
    <t>3_1664653399931985920</t>
  </si>
  <si>
    <t>7_1686758369745379329</t>
  </si>
  <si>
    <t>3_1680920588225789956</t>
  </si>
  <si>
    <t>3_1696609896035160064</t>
  </si>
  <si>
    <t>7_1665543263359574017</t>
  </si>
  <si>
    <t>3_1671154057862610945</t>
  </si>
  <si>
    <t>3_1688902804327559168</t>
  </si>
  <si>
    <t>7_1654589141164630016</t>
  </si>
  <si>
    <t>3_1691093476673224704</t>
  </si>
  <si>
    <t>3_1668710891318026243</t>
  </si>
  <si>
    <t>3_1663007298627698689</t>
  </si>
  <si>
    <t>3_1706444908368736256</t>
  </si>
  <si>
    <t>7_1696342750579269632</t>
  </si>
  <si>
    <t>3_1656502342043279361</t>
  </si>
  <si>
    <t>3_1654918217809162240</t>
  </si>
  <si>
    <t>3_1663967870437474305</t>
  </si>
  <si>
    <t>3_1673877011796750340</t>
  </si>
  <si>
    <t>3_1671942739880017936</t>
  </si>
  <si>
    <t>7_1672278119594569737</t>
  </si>
  <si>
    <t>3_1696177567735189504</t>
  </si>
  <si>
    <t>3_1667380591426260992</t>
  </si>
  <si>
    <t>3_1704165038427160576 3_1704165066176679936 3_1704165066294054912 3_1704165066403168256</t>
  </si>
  <si>
    <t>3_1691409904240578560</t>
  </si>
  <si>
    <t>3_1695057981908410368</t>
  </si>
  <si>
    <t>3_1699420177887019008</t>
  </si>
  <si>
    <t>3_1701396762274021376</t>
  </si>
  <si>
    <t>3_1666316489102618625</t>
  </si>
  <si>
    <t>3_1664610639644356609</t>
  </si>
  <si>
    <t>3_1664492487291838467</t>
  </si>
  <si>
    <t>3_1682525687591124993</t>
  </si>
  <si>
    <t>3_1699628553661214720</t>
  </si>
  <si>
    <t>3_1668720322017652738</t>
  </si>
  <si>
    <t>3_1681795741621026816</t>
  </si>
  <si>
    <t>3_1680939462094647297</t>
  </si>
  <si>
    <t>3_1686443875458498563</t>
  </si>
  <si>
    <t>3_1667103326830317568</t>
  </si>
  <si>
    <t>3_1671140860589645827</t>
  </si>
  <si>
    <t>7_1655340594980331520</t>
  </si>
  <si>
    <t>3_1691112602875645953</t>
  </si>
  <si>
    <t>3_1688192931906097152 3_1688192931914543104</t>
  </si>
  <si>
    <t>3_1654298698229096452</t>
  </si>
  <si>
    <t>3_1666083569981333507</t>
  </si>
  <si>
    <t>3_1691103612087246848</t>
  </si>
  <si>
    <t>7_1673346706388275207</t>
  </si>
  <si>
    <t>3_1679959220337233921</t>
  </si>
  <si>
    <t>7_1682123464881106944</t>
  </si>
  <si>
    <t>3_1665681103682777090</t>
  </si>
  <si>
    <t>3_1671848459324866560</t>
  </si>
  <si>
    <t>3_1654211980192882689</t>
  </si>
  <si>
    <t>3_1693714937493741569</t>
  </si>
  <si>
    <t>3_1661413905535475713 3_1661413905531392000</t>
  </si>
  <si>
    <t>3_1658444906791092225</t>
  </si>
  <si>
    <t>3_1665433387249664000</t>
  </si>
  <si>
    <t>3_1674130719847636993</t>
  </si>
  <si>
    <t>3_1669079994604179456</t>
  </si>
  <si>
    <t>3_1656434122678575105</t>
  </si>
  <si>
    <t>3_1681378471619043328</t>
  </si>
  <si>
    <t>3_1681046338866229248</t>
  </si>
  <si>
    <t>3_1672590588141531139</t>
  </si>
  <si>
    <t>3_1687183469648936960</t>
  </si>
  <si>
    <t>3_1681740871413186561</t>
  </si>
  <si>
    <t>3_1673451310312484864</t>
  </si>
  <si>
    <t>3_1688959978760024073</t>
  </si>
  <si>
    <t>3_1691144534216867840</t>
  </si>
  <si>
    <t>3_1682008488577323009</t>
  </si>
  <si>
    <t>3_1660779432468967429</t>
  </si>
  <si>
    <t>3_1692303768178589696</t>
  </si>
  <si>
    <t>3_1697560672148639744</t>
  </si>
  <si>
    <t>3_1686688146338000896</t>
  </si>
  <si>
    <t>3_1686521233276379136</t>
  </si>
  <si>
    <t>3_1702811136918224896</t>
  </si>
  <si>
    <t>3_1705537576931614720</t>
  </si>
  <si>
    <t>3_1694410066546364417 3_1694410070761594880</t>
  </si>
  <si>
    <t>3_1690134824403570689 3_1690134824407670786 3_1690134824466493442</t>
  </si>
  <si>
    <t>3_1691590597511966720</t>
  </si>
  <si>
    <t>7_1660077855982616579</t>
  </si>
  <si>
    <t>7_1655031098106060800</t>
  </si>
  <si>
    <t>7_1660069988781154305</t>
  </si>
  <si>
    <t>7_1662662408815476737</t>
  </si>
  <si>
    <t>7_1662662332307185665</t>
  </si>
  <si>
    <t>3_1674541950584668160</t>
  </si>
  <si>
    <t>3_1664055548474449921</t>
  </si>
  <si>
    <t>3_1699911749237895168</t>
  </si>
  <si>
    <t>3_1670462832251482112</t>
  </si>
  <si>
    <t>3_1658588014820438017</t>
  </si>
  <si>
    <t>3_1654086979628171265</t>
  </si>
  <si>
    <t>3_1681972466036424704</t>
  </si>
  <si>
    <t>3_1673687896350400512</t>
  </si>
  <si>
    <t>3_1686039931380969472</t>
  </si>
  <si>
    <t>3_1684134210448117761</t>
  </si>
  <si>
    <t>3_1707042532629045249</t>
  </si>
  <si>
    <t>3_1707042059733917696</t>
  </si>
  <si>
    <t>3_1691430766389997568 3_1691430769384734720 3_1691430773738307584 3_1691430776611459072</t>
  </si>
  <si>
    <t>7_1688720802076659712</t>
  </si>
  <si>
    <t>3_1681727321256914944</t>
  </si>
  <si>
    <t>3_1653505001069727781</t>
  </si>
  <si>
    <t>3_1653451824727302144</t>
  </si>
  <si>
    <t>3_1686379631929442305</t>
  </si>
  <si>
    <t>3_1671717834508910592</t>
  </si>
  <si>
    <t>3_1672068564927250433</t>
  </si>
  <si>
    <t>3_1672402196976082946</t>
  </si>
  <si>
    <t>3_1679212995522490374</t>
  </si>
  <si>
    <t>3_1683846493176729600</t>
  </si>
  <si>
    <t>3_1687177350885134337</t>
  </si>
  <si>
    <t>3_1664007671274520578</t>
  </si>
  <si>
    <t>3_1692687694126546944</t>
  </si>
  <si>
    <t>3_1681648586327564288</t>
  </si>
  <si>
    <t>3_1664622403534696451</t>
  </si>
  <si>
    <t>3_1703746939068514304</t>
  </si>
  <si>
    <t>3_1676338864158285831</t>
  </si>
  <si>
    <t>7_1693358983216594944</t>
  </si>
  <si>
    <t>7_1693307907381604352</t>
  </si>
  <si>
    <t>3_1688554349683691520</t>
  </si>
  <si>
    <t>3_1696595127785914368</t>
  </si>
  <si>
    <t>3_1703761258141421569</t>
  </si>
  <si>
    <t>3_1697598567437746176</t>
  </si>
  <si>
    <t>3_1687161289028616213</t>
  </si>
  <si>
    <t>3_1671094381196062721</t>
  </si>
  <si>
    <t>3_1663162761428316161</t>
  </si>
  <si>
    <t>13_1656996543143063555</t>
  </si>
  <si>
    <t>13_1668414636469678082</t>
  </si>
  <si>
    <t>7_1667243385453682721</t>
  </si>
  <si>
    <t>13_1671710772588838912</t>
  </si>
  <si>
    <t>7_1695336072866037760</t>
  </si>
  <si>
    <t>3_1666800643305086977</t>
  </si>
  <si>
    <t>7_1691101273955659778</t>
  </si>
  <si>
    <t>3_1682199169312620544</t>
  </si>
  <si>
    <t>7_1668609158587858944</t>
  </si>
  <si>
    <t>3_1664655493732749315</t>
  </si>
  <si>
    <t>3_1678683147582439424</t>
  </si>
  <si>
    <t>3_1697187846405185536</t>
  </si>
  <si>
    <t>3_1674885750913916934</t>
  </si>
  <si>
    <t>3_1699153410698645504</t>
  </si>
  <si>
    <t>3_1695859001626329091</t>
  </si>
  <si>
    <t>3_1700238107851833344</t>
  </si>
  <si>
    <t>3_1671845960857550852</t>
  </si>
  <si>
    <t>3_1671551021879812098</t>
  </si>
  <si>
    <t>3_1674436218841362434</t>
  </si>
  <si>
    <t>3_1670043154282684418</t>
  </si>
  <si>
    <t>3_1669673547285798912</t>
  </si>
  <si>
    <t>3_1673653873641238528</t>
  </si>
  <si>
    <t>3_1673348039765905408</t>
  </si>
  <si>
    <t>3_1668617970770411521</t>
  </si>
  <si>
    <t>3_1674063979239337984</t>
  </si>
  <si>
    <t>3_1672932015803453440</t>
  </si>
  <si>
    <t>3_1672254396774723586</t>
  </si>
  <si>
    <t>3_1667899486625054720</t>
  </si>
  <si>
    <t>3_1667544619863687170</t>
  </si>
  <si>
    <t>3_1675479216639311872</t>
  </si>
  <si>
    <t>3_1675111980506521607</t>
  </si>
  <si>
    <t>3_1671109023968419840</t>
  </si>
  <si>
    <t>3_1670898376014024704</t>
  </si>
  <si>
    <t>3_1670413348284907520</t>
  </si>
  <si>
    <t>7_1674561567226994688</t>
  </si>
  <si>
    <t>16_1671865663407652868</t>
  </si>
  <si>
    <t>3_1654103482738126848</t>
  </si>
  <si>
    <t>13_1684215295236341768</t>
  </si>
  <si>
    <t>3_1654159981510369282</t>
  </si>
  <si>
    <t>3_1668320310121070601</t>
  </si>
  <si>
    <t>3_1671965286113718272</t>
  </si>
  <si>
    <t>3_1687131189788770305</t>
  </si>
  <si>
    <t>3_1664432178451693571</t>
  </si>
  <si>
    <t>3_1691833732397764608</t>
  </si>
  <si>
    <t>3_1687483665213804544</t>
  </si>
  <si>
    <t>3_1699890618309152768</t>
  </si>
  <si>
    <t>3_1673386698930003973</t>
  </si>
  <si>
    <t>3_1675881755939676160</t>
  </si>
  <si>
    <t>7_1670808423414259713</t>
  </si>
  <si>
    <t>3_1677495919023906817 3_1677495924791160832</t>
  </si>
  <si>
    <t>7_1684707477231747072</t>
  </si>
  <si>
    <t>7_1687243643977863168</t>
  </si>
  <si>
    <t>7_1686872901348212738</t>
  </si>
  <si>
    <t>7_1671867623506673664</t>
  </si>
  <si>
    <t>7_1661201666807300096</t>
  </si>
  <si>
    <t>7_1688903568550473729</t>
  </si>
  <si>
    <t>7_1701324911388626944</t>
  </si>
  <si>
    <t>3_1691312638473408512</t>
  </si>
  <si>
    <t>3_1691430422008442881</t>
  </si>
  <si>
    <t>3_1693624638150967297</t>
  </si>
  <si>
    <t>3_1696220241813229568</t>
  </si>
  <si>
    <t>3_1700225130272796673</t>
  </si>
  <si>
    <t>13_1666486191741435904</t>
  </si>
  <si>
    <t>13_1679512801788788736</t>
  </si>
  <si>
    <t>13_1689303102640238592</t>
  </si>
  <si>
    <t>13_1680970215549435905</t>
  </si>
  <si>
    <t>13_1699084906712760320</t>
  </si>
  <si>
    <t>13_1687129532766031872</t>
  </si>
  <si>
    <t>7_1707423087090688000</t>
  </si>
  <si>
    <t>3_1661817811780419584</t>
  </si>
  <si>
    <t>3_1673666601168650241</t>
  </si>
  <si>
    <t>3_1658198888170364928</t>
  </si>
  <si>
    <t>3_1679935533240205320</t>
  </si>
  <si>
    <t>3_1707478564197539840</t>
  </si>
  <si>
    <t>3_1662198547817672706</t>
  </si>
  <si>
    <t>13_1686177228260818944</t>
  </si>
  <si>
    <t>3_1691144023707103242</t>
  </si>
  <si>
    <t>3_1654954927741968391</t>
  </si>
  <si>
    <t>3_1694367399842115584</t>
  </si>
  <si>
    <t>3_1673391935086534670</t>
  </si>
  <si>
    <t>3_1618921000111947777</t>
  </si>
  <si>
    <t>3_1696496001077395456</t>
  </si>
  <si>
    <t>13_1671517751209238537</t>
  </si>
  <si>
    <t>13_1687090361494380545</t>
  </si>
  <si>
    <t>13_1663891704171347968</t>
  </si>
  <si>
    <t>13_1694691131672702977</t>
  </si>
  <si>
    <t>13_1707394932854390784</t>
  </si>
  <si>
    <t>13_1692172716126998528</t>
  </si>
  <si>
    <t>7_1655930819725393920</t>
  </si>
  <si>
    <t>3_1666771693363249154</t>
  </si>
  <si>
    <t>3_1661823204967456768</t>
  </si>
  <si>
    <t>3_1691084997786992641</t>
  </si>
  <si>
    <t>7_1669108684851408900</t>
  </si>
  <si>
    <t>3_1678433516588085248</t>
  </si>
  <si>
    <t>3_1691490142911967247</t>
  </si>
  <si>
    <t>7_1655050294810607618</t>
  </si>
  <si>
    <t>3_1679660371232055297</t>
  </si>
  <si>
    <t>3_1689084812974256129</t>
  </si>
  <si>
    <t>3_1691809267043401728</t>
  </si>
  <si>
    <t>3_1701394782906425344</t>
  </si>
  <si>
    <t>3_1706835372368392192</t>
  </si>
  <si>
    <t>3_1655952010099974149</t>
  </si>
  <si>
    <t>3_1674722577317519361 3_1674722580610138112 3_1674722583625752579 3_1674722587601928197</t>
  </si>
  <si>
    <t>7_1683136840620965888</t>
  </si>
  <si>
    <t>3_1687548020886290432</t>
  </si>
  <si>
    <t>3_1688174708070432768</t>
  </si>
  <si>
    <t>3_1687142574765613067</t>
  </si>
  <si>
    <t>7_1666984534888333316</t>
  </si>
  <si>
    <t>3_1663234125875101712</t>
  </si>
  <si>
    <t>3_1665708964103835656</t>
  </si>
  <si>
    <t>3_1661801024732921858</t>
  </si>
  <si>
    <t>3_1657161816521277440</t>
  </si>
  <si>
    <t>3_1657122116284698667</t>
  </si>
  <si>
    <t>3_1675854861169049600</t>
  </si>
  <si>
    <t>3_1659240276001521664</t>
  </si>
  <si>
    <t>3_1687181588302311424</t>
  </si>
  <si>
    <t>3_1655907773484343299</t>
  </si>
  <si>
    <t>3_1654927842415616002</t>
  </si>
  <si>
    <t>3_1653981578819780608</t>
  </si>
  <si>
    <t>3_1672232357875556353</t>
  </si>
  <si>
    <t>7_1674133825629179915</t>
  </si>
  <si>
    <t>7_1687103506002685952</t>
  </si>
  <si>
    <t>7_1668632249649229827</t>
  </si>
  <si>
    <t>3_1686861607991664641</t>
  </si>
  <si>
    <t>7_1690372669500280833</t>
  </si>
  <si>
    <t>3_1689790037502631936</t>
  </si>
  <si>
    <t>7_1686755616679739394</t>
  </si>
  <si>
    <t>3_1688624447547146240</t>
  </si>
  <si>
    <t>3_1694973587864576000</t>
  </si>
  <si>
    <t>3_1681258322945515520</t>
  </si>
  <si>
    <t>3_1704760799871352832</t>
  </si>
  <si>
    <t>3_1658761025133375489</t>
  </si>
  <si>
    <t>3_1658405663024750593</t>
  </si>
  <si>
    <t>3_1699386926699089920</t>
  </si>
  <si>
    <t>3_1661711834909384705</t>
  </si>
  <si>
    <t>3_1661335393982201856</t>
  </si>
  <si>
    <t>3_1661067961426231333</t>
  </si>
  <si>
    <t>3_1685946686831468545</t>
  </si>
  <si>
    <t>3_1685926343634980864</t>
  </si>
  <si>
    <t>3_1684981265433276432</t>
  </si>
  <si>
    <t>3_1684825929275539457</t>
  </si>
  <si>
    <t>3_1694662402682343424</t>
  </si>
  <si>
    <t>3_1684552274339581955</t>
  </si>
  <si>
    <t>3_1660578693209571331</t>
  </si>
  <si>
    <t>3_1668156485774323712</t>
  </si>
  <si>
    <t>3_1666730798232338433</t>
  </si>
  <si>
    <t>3_1704034332908683264</t>
  </si>
  <si>
    <t>3_1704837164524093440</t>
  </si>
  <si>
    <t>3_1704438408666341376</t>
  </si>
  <si>
    <t>3_1698640092993134592</t>
  </si>
  <si>
    <t>3_1683742255171903489</t>
  </si>
  <si>
    <t>3_1682348745864753152</t>
  </si>
  <si>
    <t>3_1674402506145771524</t>
  </si>
  <si>
    <t>3_1673680134417653762</t>
  </si>
  <si>
    <t>3_1686392842132865024</t>
  </si>
  <si>
    <t>3_1691092117379051520</t>
  </si>
  <si>
    <t>3_1691082931026964482</t>
  </si>
  <si>
    <t>7_1704197904099856384</t>
  </si>
  <si>
    <t>7_1691457925401993216</t>
  </si>
  <si>
    <t>3_1663651923810037766</t>
  </si>
  <si>
    <t>3_1689260454223159296</t>
  </si>
  <si>
    <t>7_1692199471155675136</t>
  </si>
  <si>
    <t>3_1656010116913610752</t>
  </si>
  <si>
    <t>3_1669100007616651265</t>
  </si>
  <si>
    <t>3_1692492539553587200</t>
  </si>
  <si>
    <t>7_1676710381987987456</t>
  </si>
  <si>
    <t>3_1699044856142700544</t>
  </si>
  <si>
    <t>3_1653520415518539777</t>
  </si>
  <si>
    <t>7_1685033524313600000</t>
  </si>
  <si>
    <t>7_1692391515274854401</t>
  </si>
  <si>
    <t>3_1690747892548481025</t>
  </si>
  <si>
    <t>3_1669770588800385032</t>
  </si>
  <si>
    <t>3_1669458819758399490</t>
  </si>
  <si>
    <t>3_1653474549667643418</t>
  </si>
  <si>
    <t>3_1677694371800514560</t>
  </si>
  <si>
    <t>3_1671917529248194562</t>
  </si>
  <si>
    <t>3_1689369824256770049</t>
  </si>
  <si>
    <t>3_1691064735364485121</t>
  </si>
  <si>
    <t>3_1663953598563090470</t>
  </si>
  <si>
    <t>3_1695768692573798400</t>
  </si>
  <si>
    <t>3_1673733989381685263</t>
  </si>
  <si>
    <t>3_1701332371868446720</t>
  </si>
  <si>
    <t>3_1701295360314880000</t>
  </si>
  <si>
    <t>3_1673436574111940609</t>
  </si>
  <si>
    <t>3_1704933648363905024</t>
  </si>
  <si>
    <t>3_1670837669285249024</t>
  </si>
  <si>
    <t>3_1654531522815197197</t>
  </si>
  <si>
    <t>3_1702447132685262848</t>
  </si>
  <si>
    <t>3_1702096239825690624</t>
  </si>
  <si>
    <t>3_1705002987561594880</t>
  </si>
  <si>
    <t>3_1703534599182168064</t>
  </si>
  <si>
    <t>3_1676015987303358465</t>
  </si>
  <si>
    <t>3_1680909251785392129</t>
  </si>
  <si>
    <t>3_1662166594980544535</t>
  </si>
  <si>
    <t>3_1668334278726369280</t>
  </si>
  <si>
    <t>3_1689601118127403008</t>
  </si>
  <si>
    <t>3_1689600923121643520</t>
  </si>
  <si>
    <t>3_1689475844152954880</t>
  </si>
  <si>
    <t>3_1689463721289015296</t>
  </si>
  <si>
    <t>3_1686053369570299904</t>
  </si>
  <si>
    <t>3_1683594771367964672</t>
  </si>
  <si>
    <t>3_1691095710647619584</t>
  </si>
  <si>
    <t>7_1693309042188283906</t>
  </si>
  <si>
    <t>3_1667248021992624132</t>
  </si>
  <si>
    <t>7_1677359041184497664</t>
  </si>
  <si>
    <t>3_1664432534707421184</t>
  </si>
  <si>
    <t>3_1663221762497171456</t>
  </si>
  <si>
    <t>3_1681330343771529216</t>
  </si>
  <si>
    <t>3_1684241329407111169</t>
  </si>
  <si>
    <t>3_1664380689708470273</t>
  </si>
  <si>
    <t>7_1664030505711415296</t>
  </si>
  <si>
    <t>3_1682226893343318017</t>
  </si>
  <si>
    <t>3_1668402256499056643</t>
  </si>
  <si>
    <t>3_1674547814477471744</t>
  </si>
  <si>
    <t>3_1674531380854759424</t>
  </si>
  <si>
    <t>3_1696278369732583425</t>
  </si>
  <si>
    <t>3_1675986169236975617</t>
  </si>
  <si>
    <t>3_1659056953153167364</t>
  </si>
  <si>
    <t>3_1701710960644198400</t>
  </si>
  <si>
    <t>7_1680694928072929280</t>
  </si>
  <si>
    <t>3_1691813147089227776</t>
  </si>
  <si>
    <t>3_1693777281880043520</t>
  </si>
  <si>
    <t>3_1655515856535789568</t>
  </si>
  <si>
    <t>3_1682396844419080194</t>
  </si>
  <si>
    <t>3_1672606083326660610</t>
  </si>
  <si>
    <t>3_1674542050291613698</t>
  </si>
  <si>
    <t>7_1678493389224833032</t>
  </si>
  <si>
    <t>3_1678060233770295298</t>
  </si>
  <si>
    <t>3_1664617992418734088</t>
  </si>
  <si>
    <t>3_1686151907197292544</t>
  </si>
  <si>
    <t>3_1682155970959425536</t>
  </si>
  <si>
    <t>3_1682038946300321793</t>
  </si>
  <si>
    <t>3_1668407898802733057</t>
  </si>
  <si>
    <t>3_1699248603326287872</t>
  </si>
  <si>
    <t>3_1696123035118338048 3_1696123034682150912</t>
  </si>
  <si>
    <t>3_1657177629261176832</t>
  </si>
  <si>
    <t>3_1700913455232901120</t>
  </si>
  <si>
    <t>3_1665705158389518337</t>
  </si>
  <si>
    <t>3_1665406850634854400</t>
  </si>
  <si>
    <t>7_1691084229164122112</t>
  </si>
  <si>
    <t>7_1689759597672665088</t>
  </si>
  <si>
    <t>7_1677473009546715138</t>
  </si>
  <si>
    <t>3_1654486104467283970</t>
  </si>
  <si>
    <t>3_1694545443701530624</t>
  </si>
  <si>
    <t>3_1694691483180244992</t>
  </si>
  <si>
    <t>7_1690489166671323136</t>
  </si>
  <si>
    <t>3_1693677453548376064</t>
  </si>
  <si>
    <t>3_1699092879128305664</t>
  </si>
  <si>
    <t>3_1687132549636587520</t>
  </si>
  <si>
    <t>3_1684831240522764288</t>
  </si>
  <si>
    <t>3_1669713323749670914</t>
  </si>
  <si>
    <t>3_1685266425286418433</t>
  </si>
  <si>
    <t>3_1666616829299634177</t>
  </si>
  <si>
    <t>3_1673436973573210112</t>
  </si>
  <si>
    <t>3_1658193663447506953</t>
  </si>
  <si>
    <t>3_1691249214238433280</t>
  </si>
  <si>
    <t>3_1691965747738640384</t>
  </si>
  <si>
    <t>7_1689113430584696832</t>
  </si>
  <si>
    <t>13_1666901940150624285</t>
  </si>
  <si>
    <t>13_1660701433044545538</t>
  </si>
  <si>
    <t>13_1676357353497825281</t>
  </si>
  <si>
    <t>13_1676273549579886613</t>
  </si>
  <si>
    <t>13_1676254327525056513</t>
  </si>
  <si>
    <t>13_1689642605792137217</t>
  </si>
  <si>
    <t>13_1689642680836628480</t>
  </si>
  <si>
    <t>7_1695043642082152449</t>
  </si>
  <si>
    <t>3_1681996465583824897</t>
  </si>
  <si>
    <t>3_1661763749227687936</t>
  </si>
  <si>
    <t>3_1656483186870743047</t>
  </si>
  <si>
    <t>3_1656469567588237313</t>
  </si>
  <si>
    <t>3_1704927422955581440</t>
  </si>
  <si>
    <t>3_1705304937293283328</t>
  </si>
  <si>
    <t>3_1704972678828789760</t>
  </si>
  <si>
    <t>3_1689486870458118144</t>
  </si>
  <si>
    <t>3_1692191675836215297</t>
  </si>
  <si>
    <t>3_1692030286945476608</t>
  </si>
  <si>
    <t>3_1689804623245197314</t>
  </si>
  <si>
    <t>3_1686863462155104257</t>
  </si>
  <si>
    <t>3_1693701948292120576</t>
  </si>
  <si>
    <t>3_1687120257326968832</t>
  </si>
  <si>
    <t>3_1694335356999475200</t>
  </si>
  <si>
    <t>3_1683614971580628992 3_1683614975258943490 3_1683614978404753408 3_1683614982162751489</t>
  </si>
  <si>
    <t>3_1703976187821699072</t>
  </si>
  <si>
    <t>3_1698773496786984960</t>
  </si>
  <si>
    <t>3_1703609380380258304</t>
  </si>
  <si>
    <t>3_1697222652950130688</t>
  </si>
  <si>
    <t>3_1696650773814251523</t>
  </si>
  <si>
    <t>3_1691595199250628608</t>
  </si>
  <si>
    <t>3_1689102983915565056</t>
  </si>
  <si>
    <t>3_1687108988238974979</t>
  </si>
  <si>
    <t>3_1659575149052436480</t>
  </si>
  <si>
    <t>3_1659560379746320384</t>
  </si>
  <si>
    <t>3_1688928055656689664</t>
  </si>
  <si>
    <t>3_1690193889418690563</t>
  </si>
  <si>
    <t>3_1667225043942645768</t>
  </si>
  <si>
    <t>3_1654089947144499206</t>
  </si>
  <si>
    <t>3_1668696057612476422 3_1668696135878279172 3_1668696182594457603 3_1668696227284697091</t>
  </si>
  <si>
    <t>3_1686314471159930880</t>
  </si>
  <si>
    <t>3_1674603429275004930</t>
  </si>
  <si>
    <t>7_1660692078932705289</t>
  </si>
  <si>
    <t>3_1671939494050758657</t>
  </si>
  <si>
    <t>3_1671915304971059206</t>
  </si>
  <si>
    <t>3_1673771560350433282</t>
  </si>
  <si>
    <t>7_1668694146003902472</t>
  </si>
  <si>
    <t>3_1676289475620511755</t>
  </si>
  <si>
    <t>3_1676266101032775681</t>
  </si>
  <si>
    <t>3_1707090375515492353</t>
  </si>
  <si>
    <t>3_1662920153435107328 3_1662920179850903553</t>
  </si>
  <si>
    <t>3_1677894281422336001</t>
  </si>
  <si>
    <t>3_1706812236998623232</t>
  </si>
  <si>
    <t>3_1707011368354742272</t>
  </si>
  <si>
    <t>3_1707466200161173504</t>
  </si>
  <si>
    <t>3_1707115294571798528</t>
  </si>
  <si>
    <t>3_1706636948570329089</t>
  </si>
  <si>
    <t>3_1707469867228467200</t>
  </si>
  <si>
    <t>3_1654261513182494720</t>
  </si>
  <si>
    <t>3_1706687290381049856</t>
  </si>
  <si>
    <t>7_1654478525745774593</t>
  </si>
  <si>
    <t>13_1687051261802094593</t>
  </si>
  <si>
    <t>3_1664655715770744832</t>
  </si>
  <si>
    <t>3_1664332720657367040</t>
  </si>
  <si>
    <t>3_1683187217210933252</t>
  </si>
  <si>
    <t>3_1676531730717589505</t>
  </si>
  <si>
    <t>7_1671900274384830466</t>
  </si>
  <si>
    <t>7_1668641332481478659</t>
  </si>
  <si>
    <t>7_1668636065484402690</t>
  </si>
  <si>
    <t>7_1671204485392211968</t>
  </si>
  <si>
    <t>7_1671183915300667394</t>
  </si>
  <si>
    <t>7_1671178626924965890</t>
  </si>
  <si>
    <t>7_1662112987518234624</t>
  </si>
  <si>
    <t>3_1693581726788775936</t>
  </si>
  <si>
    <t>3_1663078908902748161</t>
  </si>
  <si>
    <t>3_1658808615996628992</t>
  </si>
  <si>
    <t>3_1658733164238340099</t>
  </si>
  <si>
    <t>3_1673248139162054656</t>
  </si>
  <si>
    <t>3_1684236408917983233</t>
  </si>
  <si>
    <t>3_1669414346613506054</t>
  </si>
  <si>
    <t>3_1669405307024334849</t>
  </si>
  <si>
    <t>3_1669372212933959685</t>
  </si>
  <si>
    <t>3_1668282285769080834</t>
  </si>
  <si>
    <t>3_1699047745544237056</t>
  </si>
  <si>
    <t>3_1671587973412921357</t>
  </si>
  <si>
    <t>3_1663827256169340928</t>
  </si>
  <si>
    <t>3_1666803197355380738</t>
  </si>
  <si>
    <t>3_1686007821354065920</t>
  </si>
  <si>
    <t>3_1694819221685833728</t>
  </si>
  <si>
    <t>3_1669341600126996484</t>
  </si>
  <si>
    <t>3_1660644534672400387</t>
  </si>
  <si>
    <t>3_1707124968801054720</t>
  </si>
  <si>
    <t>3_1684576388886695937</t>
  </si>
  <si>
    <t>3_1675464838548533248</t>
  </si>
  <si>
    <t>3_1674646934621921281</t>
  </si>
  <si>
    <t>3_1692588873598062592</t>
  </si>
  <si>
    <t>3_1668392900986585088</t>
  </si>
  <si>
    <t>3_1668279662382858241</t>
  </si>
  <si>
    <t>3_1671986661389901828</t>
  </si>
  <si>
    <t>7_1689991865351696385</t>
  </si>
  <si>
    <t>3_1699457919622750209</t>
  </si>
  <si>
    <t>16_1690870682291249152</t>
  </si>
  <si>
    <t>7_1671698184999952384</t>
  </si>
  <si>
    <t>7_1655682200447201281</t>
  </si>
  <si>
    <t>3_1663967851865153536</t>
  </si>
  <si>
    <t>3_1671742103200702464 3_1671742107327819776 3_1671742111077548032</t>
  </si>
  <si>
    <t>3_1665181313614114817 3_1665181317590310913</t>
  </si>
  <si>
    <t>3_1672387579331715073 3_1672387582838161408</t>
  </si>
  <si>
    <t>3_1679134078891696129 3_1679134091185213441 3_1679134125435899905</t>
  </si>
  <si>
    <t>3_1643027487218184192</t>
  </si>
  <si>
    <t>3_1666666244915732481 3_1666666247579156480</t>
  </si>
  <si>
    <t>3_1670140557698428929</t>
  </si>
  <si>
    <t>3_1670889892631441409 3_1670889900671922191 3_1670889913405829131</t>
  </si>
  <si>
    <t>3_1657028120686239749 3_1657028123236368391 3_1657028127258734593 3_1657028130215690244</t>
  </si>
  <si>
    <t>3_1674046735654572035 3_1674046739114860544</t>
  </si>
  <si>
    <t>3_1662906515982888960 3_1662906519996841984 3_1662906523104755719</t>
  </si>
  <si>
    <t>3_1688897634440761345</t>
  </si>
  <si>
    <t>3_1654937275791179777</t>
  </si>
  <si>
    <t>3_1653901090407034880</t>
  </si>
  <si>
    <t>3_1664674565220335623</t>
  </si>
  <si>
    <t>3_1696249325309882368</t>
  </si>
  <si>
    <t>3_1676229444954890240</t>
  </si>
  <si>
    <t>3_1701280938376761344</t>
  </si>
  <si>
    <t>3_1682079073659396097</t>
  </si>
  <si>
    <t>3_1701965817414369281</t>
  </si>
  <si>
    <t>3_1683475235339640835</t>
  </si>
  <si>
    <t>3_1668701093629501442</t>
  </si>
  <si>
    <t>3_1655954477680320514</t>
  </si>
  <si>
    <t>7_1702352924209270784</t>
  </si>
  <si>
    <t>3_1674799882895253507</t>
  </si>
  <si>
    <t>3_1659197840957280259</t>
  </si>
  <si>
    <t>3_1691106377685405696</t>
  </si>
  <si>
    <t>7_1657566707601358848</t>
  </si>
  <si>
    <t>3_1666446578998038528 3_1666446585293668356 3_1666446589135560704 3_1666446591769681920</t>
  </si>
  <si>
    <t>3_1660784259844513799 3_1660784259815153677 3_1660784259810902019 3_1660784259840319488</t>
  </si>
  <si>
    <t>3_1694854128579571712 3_1694854128575315969 3_1694854133755363328 3_1694854133746982912</t>
  </si>
  <si>
    <t>3_1660999893098397696</t>
  </si>
  <si>
    <t>3_1674120199543324673</t>
  </si>
  <si>
    <t>3_1693621207529136130</t>
  </si>
  <si>
    <t>3_1693616518670528513</t>
  </si>
  <si>
    <t>3_1677405635590094853</t>
  </si>
  <si>
    <t>3_1663892509670383617</t>
  </si>
  <si>
    <t>3_1695038557168013312</t>
  </si>
  <si>
    <t>3_1699755305620406272</t>
  </si>
  <si>
    <t>3_1666205869594271755</t>
  </si>
  <si>
    <t>3_1665118700616261633</t>
  </si>
  <si>
    <t>3_1666749456421736448</t>
  </si>
  <si>
    <t>3_1664281705501573120</t>
  </si>
  <si>
    <t>3_1663925115350835204</t>
  </si>
  <si>
    <t>3_1691098778768445440</t>
  </si>
  <si>
    <t>3_1703671053568946176 3_1703671055611559936</t>
  </si>
  <si>
    <t>3_1681756021457289223</t>
  </si>
  <si>
    <t>3_1674805608736759808</t>
  </si>
  <si>
    <t>3_1679344943775490055</t>
  </si>
  <si>
    <t>3_1676070133083643904</t>
  </si>
  <si>
    <t>3_1701762801562251265</t>
  </si>
  <si>
    <t>7_1685671252835364864</t>
  </si>
  <si>
    <t>7_1685670949985615872</t>
  </si>
  <si>
    <t>7_1685670772348477440</t>
  </si>
  <si>
    <t>7_1665374961413009408</t>
  </si>
  <si>
    <t>3_1659574713243377665</t>
  </si>
  <si>
    <t>7_1680283162138509312</t>
  </si>
  <si>
    <t>3_1681974894634958848</t>
  </si>
  <si>
    <t>3_1692662498611064832 3_1692662528625553409 3_1692662542764531716</t>
  </si>
  <si>
    <t>3_1655508289491288065</t>
  </si>
  <si>
    <t>3_1658208152939118592</t>
  </si>
  <si>
    <t>3_1689714504723050496</t>
  </si>
  <si>
    <t>3_1672233422775898112</t>
  </si>
  <si>
    <t>3_1689232219976400896</t>
  </si>
  <si>
    <t>3_1699027068141387776</t>
  </si>
  <si>
    <t>3_1687090488824774656</t>
  </si>
  <si>
    <t>3_1702371063961694209</t>
  </si>
  <si>
    <t>7_1662106591112450051</t>
  </si>
  <si>
    <t>3_1664323590093783067 3_1664323631034384407 3_1664323631147630628</t>
  </si>
  <si>
    <t>3_1663615219208273920</t>
  </si>
  <si>
    <t>7_1695298001546457090</t>
  </si>
  <si>
    <t>3_1661836254634188822</t>
  </si>
  <si>
    <t>3_1678726768855842816</t>
  </si>
  <si>
    <t>3_1706991043848114176</t>
  </si>
  <si>
    <t>3_1664124454073516032</t>
  </si>
  <si>
    <t>7_1697230773311385600</t>
  </si>
  <si>
    <t>3_1697224082968702976</t>
  </si>
  <si>
    <t>3_1654198106982961167</t>
  </si>
  <si>
    <t>3_1666548139698814977</t>
  </si>
  <si>
    <t>3_1656999593219964929</t>
  </si>
  <si>
    <t>3_1656378694514929669</t>
  </si>
  <si>
    <t>3_1698762312553742336</t>
  </si>
  <si>
    <t>3_1689739418129563652</t>
  </si>
  <si>
    <t>3_1690126961547378688</t>
  </si>
  <si>
    <t>3_1687243530689716224</t>
  </si>
  <si>
    <t>3_1691539649011863552</t>
  </si>
  <si>
    <t>3_1691899965092618240</t>
  </si>
  <si>
    <t>3_1689387279784001536</t>
  </si>
  <si>
    <t>3_1686491539126829056</t>
  </si>
  <si>
    <t>3_1707488342428860416</t>
  </si>
  <si>
    <t>3_1701830607918034944</t>
  </si>
  <si>
    <t>3_1675599617424072704</t>
  </si>
  <si>
    <t>3_1675511578509164545</t>
  </si>
  <si>
    <t>3_1691449918752428032</t>
  </si>
  <si>
    <t>3_1668239374406787075</t>
  </si>
  <si>
    <t>3_1688548248582041600</t>
  </si>
  <si>
    <t>3_1691083757795573761</t>
  </si>
  <si>
    <t>3_1678383536020045826</t>
  </si>
  <si>
    <t>3_1663170292317839362</t>
  </si>
  <si>
    <t>3_1658093055331762176</t>
  </si>
  <si>
    <t>3_1693602977959809024</t>
  </si>
  <si>
    <t>3_1673307257809821697</t>
  </si>
  <si>
    <t>3_1655554511048458240</t>
  </si>
  <si>
    <t>3_1696151163366711296</t>
  </si>
  <si>
    <t>3_1660629942890029057</t>
  </si>
  <si>
    <t>3_1701204357490851840</t>
  </si>
  <si>
    <t>3_1698672483631521792</t>
  </si>
  <si>
    <t>3_1703750978325942272</t>
  </si>
  <si>
    <t>3_1686001662312288256</t>
  </si>
  <si>
    <t>3_1706288085443522560</t>
  </si>
  <si>
    <t>3_1675851320404631552</t>
  </si>
  <si>
    <t>3_1670763014943801349</t>
  </si>
  <si>
    <t>3_1658199880043569155</t>
  </si>
  <si>
    <t>3_1686322813865426944</t>
  </si>
  <si>
    <t>3_1680966625699278848</t>
  </si>
  <si>
    <t>3_1687115245154963456</t>
  </si>
  <si>
    <t>3_1694380625552084992</t>
  </si>
  <si>
    <t>7_1676316683605012480</t>
  </si>
  <si>
    <t>3_1672348181303025664 3_1672348181332480008 3_1672348181323972608 3_1672348181332369408</t>
  </si>
  <si>
    <t>3_1653822061863682051</t>
  </si>
  <si>
    <t>3_1673748977982775306</t>
  </si>
  <si>
    <t>3_1676621801437163522</t>
  </si>
  <si>
    <t>3_1670921930436640778 3_1670921930445148160 3_1670921931049009156 3_1670921930432552962</t>
  </si>
  <si>
    <t>3_1705310643576778752</t>
  </si>
  <si>
    <t>3_1656023276303392772</t>
  </si>
  <si>
    <t>3_1659662189794320384</t>
  </si>
  <si>
    <t>3_1673053442460221441</t>
  </si>
  <si>
    <t>3_1686820847468560384</t>
  </si>
  <si>
    <t>3_1685101902873165826</t>
  </si>
  <si>
    <t>3_1677141411811000320</t>
  </si>
  <si>
    <t>3_1669025331112550408</t>
  </si>
  <si>
    <t>3_1661746634601144320</t>
  </si>
  <si>
    <t>3_1664305562392174593</t>
  </si>
  <si>
    <t>7_1691783571248160768</t>
  </si>
  <si>
    <t>7_1673821496949497857</t>
  </si>
  <si>
    <t>3_1653732866688204800</t>
  </si>
  <si>
    <t>3_1671212530771927041</t>
  </si>
  <si>
    <t>3_1661046870448242694</t>
  </si>
  <si>
    <t>7_1691109634050781184</t>
  </si>
  <si>
    <t>3_1660051809019330561</t>
  </si>
  <si>
    <t>3_1691267917583626240</t>
  </si>
  <si>
    <t>3_1677031141855854593</t>
  </si>
  <si>
    <t>3_1699414574561144833</t>
  </si>
  <si>
    <t>7_1691268980504244224</t>
  </si>
  <si>
    <t>7_1676215389397590019</t>
  </si>
  <si>
    <t>3_1657775348585492482</t>
  </si>
  <si>
    <t>3_1672358598515605505</t>
  </si>
  <si>
    <t>3_1688651416284389377</t>
  </si>
  <si>
    <t>3_1664373840716218370</t>
  </si>
  <si>
    <t>3_1674980531165970432</t>
  </si>
  <si>
    <t>3_1670943865824583681</t>
  </si>
  <si>
    <t>3_1670915273979834370</t>
  </si>
  <si>
    <t>3_1682942496819609600</t>
  </si>
  <si>
    <t>3_1686140939734024192</t>
  </si>
  <si>
    <t>3_1675986403564351488</t>
  </si>
  <si>
    <t>3_1699177048428679168</t>
  </si>
  <si>
    <t>3_1674515753158991872</t>
  </si>
  <si>
    <t>3_1700140936192274432</t>
  </si>
  <si>
    <t>3_1697318647918669824</t>
  </si>
  <si>
    <t>7_1661820239565209601</t>
  </si>
  <si>
    <t>3_1671219037307535361</t>
  </si>
  <si>
    <t>3_1671218766712012820</t>
  </si>
  <si>
    <t>3_1671218360208457733</t>
  </si>
  <si>
    <t>13_1661163226455846912</t>
  </si>
  <si>
    <t>13_1654135519503163394</t>
  </si>
  <si>
    <t>13_1655614674992263168</t>
  </si>
  <si>
    <t>3_1666562608068018179</t>
  </si>
  <si>
    <t>3_1669418925002506253</t>
  </si>
  <si>
    <t>13_1707039735422529536</t>
  </si>
  <si>
    <t>13_1671649866618109952</t>
  </si>
  <si>
    <t>3_1668801951121784835</t>
  </si>
  <si>
    <t>3_1653435117002522627</t>
  </si>
  <si>
    <t>3_1689126181059149825</t>
  </si>
  <si>
    <t>3_1689125857107775488</t>
  </si>
  <si>
    <t>3_1689125503267950592</t>
  </si>
  <si>
    <t>3_1673336646710751243</t>
  </si>
  <si>
    <t>3_1694107742191984640</t>
  </si>
  <si>
    <t>3_1688551585356353536</t>
  </si>
  <si>
    <t>3_1673769325151264774</t>
  </si>
  <si>
    <t>3_1693607936734441472</t>
  </si>
  <si>
    <t>3_1687479134958575616</t>
  </si>
  <si>
    <t>3_1673373579780538379</t>
  </si>
  <si>
    <t>3_1696139008554790913</t>
  </si>
  <si>
    <t>3_1674740261551833090</t>
  </si>
  <si>
    <t>3_1674697205481873408</t>
  </si>
  <si>
    <t>3_1686858858642178048</t>
  </si>
  <si>
    <t>3_1666404594832875520</t>
  </si>
  <si>
    <t>3_1666380806841925633</t>
  </si>
  <si>
    <t>3_1706375886260297728</t>
  </si>
  <si>
    <t>3_1676162445910368257</t>
  </si>
  <si>
    <t>3_1671172218599116804</t>
  </si>
  <si>
    <t>3_1662062927950626816</t>
  </si>
  <si>
    <t>3_1662061696054095872</t>
  </si>
  <si>
    <t>3_1661737954606473216</t>
  </si>
  <si>
    <t>3_1705605205482414080</t>
  </si>
  <si>
    <t>3_1689653713592573952</t>
  </si>
  <si>
    <t>3_1704495628745678848</t>
  </si>
  <si>
    <t>3_1664019270429298688</t>
  </si>
  <si>
    <t>3_1657745864687865859</t>
  </si>
  <si>
    <t>3_1668451946770956290</t>
  </si>
  <si>
    <t>3_1677552535639293965</t>
  </si>
  <si>
    <t>3_1671346972102410241</t>
  </si>
  <si>
    <t>3_1692047589258997760</t>
  </si>
  <si>
    <t>3_1698865880870830080</t>
  </si>
  <si>
    <t>3_1686921493718949888</t>
  </si>
  <si>
    <t>3_1706444859480084481</t>
  </si>
  <si>
    <t>3_1654472895035330564</t>
  </si>
  <si>
    <t>3_1699766633256964096</t>
  </si>
  <si>
    <t>3_1674783497985339396</t>
  </si>
  <si>
    <t>3_1671876238628225025</t>
  </si>
  <si>
    <t>7_1686799564131495939</t>
  </si>
  <si>
    <t>3_1668696700477743110</t>
  </si>
  <si>
    <t>3_1657235461528510464</t>
  </si>
  <si>
    <t>3_1699850930974347264</t>
  </si>
  <si>
    <t>3_1701229038646214658</t>
  </si>
  <si>
    <t>3_1687097988701913088</t>
  </si>
  <si>
    <t>3_1699053712121962496</t>
  </si>
  <si>
    <t>3_1699433080656674816</t>
  </si>
  <si>
    <t>7_1695204878103048192</t>
  </si>
  <si>
    <t>3_1685104324534235136</t>
  </si>
  <si>
    <t>3_1668711537257730051</t>
  </si>
  <si>
    <t>3_1704877297570840576</t>
  </si>
  <si>
    <t>3_1654211804929699842</t>
  </si>
  <si>
    <t>3_1660651908862705665</t>
  </si>
  <si>
    <t>7_1692227713157750790</t>
  </si>
  <si>
    <t>3_1705272616821444608</t>
  </si>
  <si>
    <t>3_1672230366738776064</t>
  </si>
  <si>
    <t>7_1707511428859449344</t>
  </si>
  <si>
    <t>3_1673688326983876610</t>
  </si>
  <si>
    <t>7_1690035481562562560</t>
  </si>
  <si>
    <t>3_1686776869935366146</t>
  </si>
  <si>
    <t>3_1677339184099471362</t>
  </si>
  <si>
    <t>3_1676954158430306304</t>
  </si>
  <si>
    <t>3_1671973709668663296</t>
  </si>
  <si>
    <t>3_1666434884309581824</t>
  </si>
  <si>
    <t>3_1665711365745459204</t>
  </si>
  <si>
    <t>3_1653759373678727171</t>
  </si>
  <si>
    <t>3_1687455871658328064</t>
  </si>
  <si>
    <t>3_1682041283211333632</t>
  </si>
  <si>
    <t>3_1681697118887596034</t>
  </si>
  <si>
    <t>3_1668615941947572224</t>
  </si>
  <si>
    <t>3_1655565717389942785</t>
  </si>
  <si>
    <t>3_1664627977437564931</t>
  </si>
  <si>
    <t>3_1694345008533450753</t>
  </si>
  <si>
    <t>3_1688554350128271361</t>
  </si>
  <si>
    <t>3_1683831987348332544</t>
  </si>
  <si>
    <t>3_1683495679908368387</t>
  </si>
  <si>
    <t>3_1682401309742231552</t>
  </si>
  <si>
    <t>3_1674062652971122692</t>
  </si>
  <si>
    <t>3_1673748483642216449</t>
  </si>
  <si>
    <t>3_1668993545057730562</t>
  </si>
  <si>
    <t>3_1657053130746482689</t>
  </si>
  <si>
    <t>3_1656652878394662912</t>
  </si>
  <si>
    <t>3_1656297247993217026</t>
  </si>
  <si>
    <t>3_1655932147562082304</t>
  </si>
  <si>
    <t>3_1694718719816265728</t>
  </si>
  <si>
    <t>3_1684198148699312128</t>
  </si>
  <si>
    <t>3_1679853258104266753</t>
  </si>
  <si>
    <t>3_1679483315621953537</t>
  </si>
  <si>
    <t>3_1679143580558848003</t>
  </si>
  <si>
    <t>3_1674788825607061508</t>
  </si>
  <si>
    <t>3_1674454969011798018</t>
  </si>
  <si>
    <t>3_1669706537781059587</t>
  </si>
  <si>
    <t>3_1669344132551278593</t>
  </si>
  <si>
    <t>3_1660635422408552448</t>
  </si>
  <si>
    <t>3_1705214151067328512</t>
  </si>
  <si>
    <t>3_1680932863783436291</t>
  </si>
  <si>
    <t>3_1672243233726910472</t>
  </si>
  <si>
    <t>3_1668257315449982981</t>
  </si>
  <si>
    <t>3_1667221310152359936</t>
  </si>
  <si>
    <t>3_1666817854291980288</t>
  </si>
  <si>
    <t>3_1654138423966326784</t>
  </si>
  <si>
    <t>3_1706306982922104832</t>
  </si>
  <si>
    <t>3_1704839154721243136</t>
  </si>
  <si>
    <t>3_1684560535491072000</t>
  </si>
  <si>
    <t>3_1675874533658484736</t>
  </si>
  <si>
    <t>3_1670811224362156034</t>
  </si>
  <si>
    <t>3_1658472470897377287</t>
  </si>
  <si>
    <t>3_1654478549401649154</t>
  </si>
  <si>
    <t>3_1707021529551134720</t>
  </si>
  <si>
    <t>3_1686006317524156416</t>
  </si>
  <si>
    <t>3_1676609130323226624</t>
  </si>
  <si>
    <t>3_1676221825703919620</t>
  </si>
  <si>
    <t>3_1671157250990415873</t>
  </si>
  <si>
    <t>3_1661733979836534787</t>
  </si>
  <si>
    <t>3_1661363409051426816</t>
  </si>
  <si>
    <t>3_1661002842625265664</t>
  </si>
  <si>
    <t>3_1707375961996484608</t>
  </si>
  <si>
    <t>3_1706658678244356096</t>
  </si>
  <si>
    <t>3_1704493999292051456</t>
  </si>
  <si>
    <t>3_1694009044988522497</t>
  </si>
  <si>
    <t>3_1687093477949992960</t>
  </si>
  <si>
    <t>3_1678766093551407104</t>
  </si>
  <si>
    <t>3_1678403707338207232</t>
  </si>
  <si>
    <t>3_1664260564011347970</t>
  </si>
  <si>
    <t>3_1663927645556424709</t>
  </si>
  <si>
    <t>3_1663540810518863872</t>
  </si>
  <si>
    <t>3_1663178427287977986</t>
  </si>
  <si>
    <t>3_1658110090317103105</t>
  </si>
  <si>
    <t>3_1690910464991989760</t>
  </si>
  <si>
    <t>3_1683860650701778944</t>
  </si>
  <si>
    <t>3_1664377829587402758</t>
  </si>
  <si>
    <t>3_1692720061985804288</t>
  </si>
  <si>
    <t>7_1686480883111669760</t>
  </si>
  <si>
    <t>3_1663233875902971933</t>
  </si>
  <si>
    <t>3_1665708658691305472</t>
  </si>
  <si>
    <t>3_1661800893354852352</t>
  </si>
  <si>
    <t>3_1668318649134862337</t>
  </si>
  <si>
    <t>3_1675854659901063170</t>
  </si>
  <si>
    <t>3_1659240217272877056</t>
  </si>
  <si>
    <t>3_1658178880715251736</t>
  </si>
  <si>
    <t>16_1699167082670178304</t>
  </si>
  <si>
    <t>3_1657161390732324865</t>
  </si>
  <si>
    <t>3_1657122037423394842</t>
  </si>
  <si>
    <t>3_1686136732012437504</t>
  </si>
  <si>
    <t>3_1661314241993867265</t>
  </si>
  <si>
    <t>3_1654072005484838914</t>
  </si>
  <si>
    <t>3_1706969470902697984</t>
  </si>
  <si>
    <t>3_1656358572505063425</t>
  </si>
  <si>
    <t>3_1654230696452321282</t>
  </si>
  <si>
    <t>7_1655985818660491265</t>
  </si>
  <si>
    <t>13_1682028957628272642</t>
  </si>
  <si>
    <t>13_1684934098693816320</t>
  </si>
  <si>
    <t>13_1687110221850894338</t>
  </si>
  <si>
    <t>13_1653731525320474625</t>
  </si>
  <si>
    <t>13_1662069126829842432</t>
  </si>
  <si>
    <t>13_1675926241231118336</t>
  </si>
  <si>
    <t>13_1654460144921501697</t>
  </si>
  <si>
    <t>13_1663524898004692996</t>
  </si>
  <si>
    <t>13_1700173270387953664</t>
  </si>
  <si>
    <t>13_1654098482154680321</t>
  </si>
  <si>
    <t>7_1698724230320230400</t>
  </si>
  <si>
    <t>3_1678757010286813184</t>
  </si>
  <si>
    <t>3_1671684721867096065</t>
  </si>
  <si>
    <t>3_1686072000756817920</t>
  </si>
  <si>
    <t>3_1671164690553262082</t>
  </si>
  <si>
    <t>3_1684976833924608012</t>
  </si>
  <si>
    <t>3_1688647142125047809</t>
  </si>
  <si>
    <t>3_1686724055565488129</t>
  </si>
  <si>
    <t>3_1671632309504622592</t>
  </si>
  <si>
    <t>13_1671852853097553922</t>
  </si>
  <si>
    <t>3_1690409335073943553</t>
  </si>
  <si>
    <t>3_1691412584606400512</t>
  </si>
  <si>
    <t>3_1701374509197004800</t>
  </si>
  <si>
    <t>7_1662943696713555969</t>
  </si>
  <si>
    <t>3_1701609668597227521</t>
  </si>
  <si>
    <t>3_1707361052986400768</t>
  </si>
  <si>
    <t>3_1660776185956032512</t>
  </si>
  <si>
    <t>3_1692298603371409408</t>
  </si>
  <si>
    <t>3_1697560936242888704</t>
  </si>
  <si>
    <t>3_1686684328535744512</t>
  </si>
  <si>
    <t>3_1686520856678105088</t>
  </si>
  <si>
    <t>3_1702807125397794816</t>
  </si>
  <si>
    <t>3_1705528828552970240</t>
  </si>
  <si>
    <t>3_1665761632515915796</t>
  </si>
  <si>
    <t>3_1666586678775955457</t>
  </si>
  <si>
    <t>3_1665809448244224002</t>
  </si>
  <si>
    <t>3_1668661069487779856</t>
  </si>
  <si>
    <t>3_1672236082807578624</t>
  </si>
  <si>
    <t>3_1672215800835440643</t>
  </si>
  <si>
    <t>3_1676195094913794049</t>
  </si>
  <si>
    <t>3_1694677621202677760</t>
  </si>
  <si>
    <t>3_1695056124498616320</t>
  </si>
  <si>
    <t>3_1698018515511336960</t>
  </si>
  <si>
    <t>3_1654538693212864517</t>
  </si>
  <si>
    <t>3_1669726058801778689</t>
  </si>
  <si>
    <t>3_1660732811773456384</t>
  </si>
  <si>
    <t>3_1687487653724200960</t>
  </si>
  <si>
    <t>3_1691092373147619328</t>
  </si>
  <si>
    <t>3_1657124838501232641</t>
  </si>
  <si>
    <t>3_1691811200273670145</t>
  </si>
  <si>
    <t>3_1689644293089370113</t>
  </si>
  <si>
    <t>3_1681274492335665154</t>
  </si>
  <si>
    <t>3_1679947848379424769</t>
  </si>
  <si>
    <t>3_1699107449653899264</t>
  </si>
  <si>
    <t>7_1691417401693208576</t>
  </si>
  <si>
    <t>3_1666137542037581830</t>
  </si>
  <si>
    <t>3_1707349612833406976</t>
  </si>
  <si>
    <t>3_1699886386701119488</t>
  </si>
  <si>
    <t>3_1702127815376646144</t>
  </si>
  <si>
    <t>3_1705354953701687296</t>
  </si>
  <si>
    <t>3_1668659656439242752</t>
  </si>
  <si>
    <t>7_1671873376548429825</t>
  </si>
  <si>
    <t>3_1678200467552194563</t>
  </si>
  <si>
    <t>3_1686184785851428864</t>
  </si>
  <si>
    <t>3_1675984787725533184</t>
  </si>
  <si>
    <t>3_1689737125086826496</t>
  </si>
  <si>
    <t>3_1701345891855024128</t>
  </si>
  <si>
    <t>3_1674889241011138563</t>
  </si>
  <si>
    <t>3_1683512648367841286</t>
  </si>
  <si>
    <t>3_1691832041724112898</t>
  </si>
  <si>
    <t>3_1679086593942908930</t>
  </si>
  <si>
    <t>3_1702419559741865984</t>
  </si>
  <si>
    <t>3_1694333062547402752</t>
  </si>
  <si>
    <t>7_1672605287352508416</t>
  </si>
  <si>
    <t>7_1672375650575962113</t>
  </si>
  <si>
    <t>3_1661132540537610242</t>
  </si>
  <si>
    <t>7_1695824324052008962</t>
  </si>
  <si>
    <t>3_1654508726101897218</t>
  </si>
  <si>
    <t>3_1656134096379330561</t>
  </si>
  <si>
    <t>3_1674904408163860480</t>
  </si>
  <si>
    <t>3_1679574140720668672</t>
  </si>
  <si>
    <t>3_1682054496652783619</t>
  </si>
  <si>
    <t>3_1691554317684137984</t>
  </si>
  <si>
    <t>3_1671941287887470593</t>
  </si>
  <si>
    <t>3_1674503061073457158</t>
  </si>
  <si>
    <t>3_1686428323440709634</t>
  </si>
  <si>
    <t>3_1694330443980570624</t>
  </si>
  <si>
    <t>3_1698747134449786880</t>
  </si>
  <si>
    <t>3_1673350473645006848</t>
  </si>
  <si>
    <t>3_1699068074736148480</t>
  </si>
  <si>
    <t>3_1707384287429795840</t>
  </si>
  <si>
    <t>3_1699563819058532352</t>
  </si>
  <si>
    <t>3_1686361229059604480</t>
  </si>
  <si>
    <t>3_1704476998494523392</t>
  </si>
  <si>
    <t>3_1686688142990917633</t>
  </si>
  <si>
    <t>3_1671125909049311233</t>
  </si>
  <si>
    <t>3_1692306948383801344 3_1692306951474921472</t>
  </si>
  <si>
    <t>3_1691099421037977600</t>
  </si>
  <si>
    <t>3_1623183338243780608</t>
  </si>
  <si>
    <t>3_1672406984912510977</t>
  </si>
  <si>
    <t>3_1698029155231879168</t>
  </si>
  <si>
    <t>3_1687562129287573504</t>
  </si>
  <si>
    <t>3_1691420126036230144</t>
  </si>
  <si>
    <t>3_1658587137506197505</t>
  </si>
  <si>
    <t>3_1691183667610091520</t>
  </si>
  <si>
    <t>3_1677026251146514432</t>
  </si>
  <si>
    <t>3_1689062002101043200</t>
  </si>
  <si>
    <t>3_1684368299516129280</t>
  </si>
  <si>
    <t>7_1656723940658622464</t>
  </si>
  <si>
    <t>3_1664389518844211202</t>
  </si>
  <si>
    <t>3_1705354509751357440</t>
  </si>
  <si>
    <t>7_1677744209246265344</t>
  </si>
  <si>
    <t>3_1669328761479634945</t>
  </si>
  <si>
    <t>3_1671976618682621954</t>
  </si>
  <si>
    <t>3_1687198858369970178</t>
  </si>
  <si>
    <t>3_1691079896607367168</t>
  </si>
  <si>
    <t>3_1691101362916888576</t>
  </si>
  <si>
    <t>3_1704928844401049601</t>
  </si>
  <si>
    <t>3_1705267152650108929</t>
  </si>
  <si>
    <t>3_1660779464911986689</t>
  </si>
  <si>
    <t>3_1692303743851601921</t>
  </si>
  <si>
    <t>3_1697561118502273024</t>
  </si>
  <si>
    <t>3_1686688291213496320</t>
  </si>
  <si>
    <t>3_1686521070487015424</t>
  </si>
  <si>
    <t>3_1702811111374856192</t>
  </si>
  <si>
    <t>3_1705537562079612928</t>
  </si>
  <si>
    <t>3_1673353581775167491</t>
  </si>
  <si>
    <t>3_1668295375793401872</t>
  </si>
  <si>
    <t>3_1675924953772728327</t>
  </si>
  <si>
    <t>3_1670861425173057536</t>
  </si>
  <si>
    <t>3_1681123502839963649</t>
  </si>
  <si>
    <t>3_1680968769336750081</t>
  </si>
  <si>
    <t>3_1686860926413099008</t>
  </si>
  <si>
    <t>3_1693722264598925312</t>
  </si>
  <si>
    <t>3_1691133639881273344</t>
  </si>
  <si>
    <t>3_1691129583813251081</t>
  </si>
  <si>
    <t>3_1683892551961411594</t>
  </si>
  <si>
    <t>3_1703844814158999552</t>
  </si>
  <si>
    <t>3_1676434832795095041</t>
  </si>
  <si>
    <t>3_1686410904957820928</t>
  </si>
  <si>
    <t>3_1681661303528488962</t>
  </si>
  <si>
    <t>3_1682723898029228033</t>
  </si>
  <si>
    <t>3_1687130749273554946</t>
  </si>
  <si>
    <t>3_1674499533948985344</t>
  </si>
  <si>
    <t>7_1672629451031474176</t>
  </si>
  <si>
    <t>3_1655593697659039750 3_1655593697642262532</t>
  </si>
  <si>
    <t>3_1659583798600769538</t>
  </si>
  <si>
    <t>3_1666117374511132680</t>
  </si>
  <si>
    <t>16_1690891456733491200</t>
  </si>
  <si>
    <t>16_1688869933952720896</t>
  </si>
  <si>
    <t>7_1696873216730419200</t>
  </si>
  <si>
    <t>3_1699220796940419072</t>
  </si>
  <si>
    <t>7_1662110488916893696</t>
  </si>
  <si>
    <t>3_1653916966162235392</t>
  </si>
  <si>
    <t>3_1665853941551099904</t>
  </si>
  <si>
    <t>3_1685994848216637441</t>
  </si>
  <si>
    <t>7_1675286723771658241</t>
  </si>
  <si>
    <t>7_1677518268288974848</t>
  </si>
  <si>
    <t>3_1664619058644262914</t>
  </si>
  <si>
    <t>7_1704508629229924352</t>
  </si>
  <si>
    <t>3_1680924927396913152</t>
  </si>
  <si>
    <t>3_1657816297504219139</t>
  </si>
  <si>
    <t>3_1658194215820468226</t>
  </si>
  <si>
    <t>3_1691131117707911168</t>
  </si>
  <si>
    <t>3_1691126541244157956</t>
  </si>
  <si>
    <t>3_1669458015647301636</t>
  </si>
  <si>
    <t>3_1660741828071641096</t>
  </si>
  <si>
    <t>3_1693624638507491328</t>
  </si>
  <si>
    <t>3_1691430421094080512</t>
  </si>
  <si>
    <t>7_1691105049257136128</t>
  </si>
  <si>
    <t>3_1701674298585309185 3_1701674298765627392 3_1701674298987986944 3_1701674299193520128</t>
  </si>
  <si>
    <t>3_1696708295791194112</t>
  </si>
  <si>
    <t>3_1699492938441428992</t>
  </si>
  <si>
    <t>3_1670251596674916352</t>
  </si>
  <si>
    <t>3_1681336842778558464</t>
  </si>
  <si>
    <t>3_1655626852420005909</t>
  </si>
  <si>
    <t>3_1667255669571952640</t>
  </si>
  <si>
    <t>3_1671965801237061636</t>
  </si>
  <si>
    <t>3_1699094123217612800</t>
  </si>
  <si>
    <t>3_1704164064509779968</t>
  </si>
  <si>
    <t>3_1707091119895359488</t>
  </si>
  <si>
    <t>3_1684969523420499968</t>
  </si>
  <si>
    <t>3_1687506647084670976</t>
  </si>
  <si>
    <t>3_1676399561286230018</t>
  </si>
  <si>
    <t>3_1670810972548726787</t>
  </si>
  <si>
    <t>3_1687133659684282369</t>
  </si>
  <si>
    <t>3_1686904402718646272</t>
  </si>
  <si>
    <t>3_1694164458757615616</t>
  </si>
  <si>
    <t>3_1671646280425119744</t>
  </si>
  <si>
    <t>3_1653566743766237185</t>
  </si>
  <si>
    <t>7_1691621974739410944</t>
  </si>
  <si>
    <t>3_1701961610690977793</t>
  </si>
  <si>
    <t>3_1703761565806100480</t>
  </si>
  <si>
    <t>7_1658198221817036801</t>
  </si>
  <si>
    <t>3_1675929984815210511</t>
  </si>
  <si>
    <t>3_1691791493185282048</t>
  </si>
  <si>
    <t>3_1686221842434887680</t>
  </si>
  <si>
    <t>3_1699787291638833152</t>
  </si>
  <si>
    <t>3_1699575181310566401</t>
  </si>
  <si>
    <t>3_1686164102492655616</t>
  </si>
  <si>
    <t>3_1696323049144852480</t>
  </si>
  <si>
    <t>7_1704476896354791424</t>
  </si>
  <si>
    <t>7_1702595950726799364</t>
  </si>
  <si>
    <t>7_1705278663883677696</t>
  </si>
  <si>
    <t>7_1704793559159738368</t>
  </si>
  <si>
    <t>7_1705621669748899840</t>
  </si>
  <si>
    <t>3_1703905276846338048</t>
  </si>
  <si>
    <t>3_1670802359562252290</t>
  </si>
  <si>
    <t>3_1663671997845438472</t>
  </si>
  <si>
    <t>3_1662598101675253764</t>
  </si>
  <si>
    <t>3_1655691433053941760</t>
  </si>
  <si>
    <t>3_1679136148969385985</t>
  </si>
  <si>
    <t>3_1661043193570312199 3_1661043193561903112</t>
  </si>
  <si>
    <t>3_1688628077192974336</t>
  </si>
  <si>
    <t>13_1658561008766443520</t>
  </si>
  <si>
    <t>3_1681724054900752394</t>
  </si>
  <si>
    <t>3_1683527330755428354 3_1683527341266354177 3_1683527355518599172 3_1683527371620532241</t>
  </si>
  <si>
    <t>3_1668722799190372352</t>
  </si>
  <si>
    <t>3_1664390036832366601</t>
  </si>
  <si>
    <t>3_1668633472435642373</t>
  </si>
  <si>
    <t>13_1666550094743719941</t>
  </si>
  <si>
    <t>3_1706057885027819520</t>
  </si>
  <si>
    <t>3_1679820433900593153</t>
  </si>
  <si>
    <t>3_1691814901759594496</t>
  </si>
  <si>
    <t>3_1675967979358507008</t>
  </si>
  <si>
    <t>3_1677396960280453127</t>
  </si>
  <si>
    <t>3_1677058431650258951</t>
  </si>
  <si>
    <t>3_1687498056864866307</t>
  </si>
  <si>
    <t>3_1664218669713436672</t>
  </si>
  <si>
    <t>3_1671100732219482114</t>
  </si>
  <si>
    <t>3_1688675630978633728</t>
  </si>
  <si>
    <t>3_1677362412100493317</t>
  </si>
  <si>
    <t>3_1666447468899319814</t>
  </si>
  <si>
    <t>3_1677341566715715590</t>
  </si>
  <si>
    <t>3_1669495016220155905</t>
  </si>
  <si>
    <t>3_1654315779863502848</t>
  </si>
  <si>
    <t>7_1690372569554194433</t>
  </si>
  <si>
    <t>3_1670870207768690690</t>
  </si>
  <si>
    <t>3_1672054249641979905</t>
  </si>
  <si>
    <t>3_1666521483038924800</t>
  </si>
  <si>
    <t>3_1673404322623680518</t>
  </si>
  <si>
    <t>3_1668429057254359040</t>
  </si>
  <si>
    <t>3_1672417296516521984</t>
  </si>
  <si>
    <t>3_1672320112768983051</t>
  </si>
  <si>
    <t>3_1682464604767567874</t>
  </si>
  <si>
    <t>3_1673866992967729155</t>
  </si>
  <si>
    <t>3_1673768060669272084</t>
  </si>
  <si>
    <t>3_1686910303299133440</t>
  </si>
  <si>
    <t>3_1678843298553667584</t>
  </si>
  <si>
    <t>3_1678479961714315264</t>
  </si>
  <si>
    <t>3_1683915387107254272</t>
  </si>
  <si>
    <t>3_1674491663396360194</t>
  </si>
  <si>
    <t>3_1670144653553721347</t>
  </si>
  <si>
    <t>3_1669783276922327041</t>
  </si>
  <si>
    <t>3_1681988673846247425</t>
  </si>
  <si>
    <t>3_1671875411054313480</t>
  </si>
  <si>
    <t>3_1666505660119363585</t>
  </si>
  <si>
    <t>3_1675937141539368966</t>
  </si>
  <si>
    <t>3_1670859556446928901</t>
  </si>
  <si>
    <t>3_1670853603026776066</t>
  </si>
  <si>
    <t>3_1687098309876621313</t>
  </si>
  <si>
    <t>3_1679122006036365312</t>
  </si>
  <si>
    <t>3_1691094533684027392</t>
  </si>
  <si>
    <t>3_1683551370220122116</t>
  </si>
  <si>
    <t>3_1673775363900551168</t>
  </si>
  <si>
    <t>3_1673774176555991042</t>
  </si>
  <si>
    <t>3_1688906980335980544</t>
  </si>
  <si>
    <t>3_1686374403653976064</t>
  </si>
  <si>
    <t>3_1686092414920863746</t>
  </si>
  <si>
    <t>3_1671215873372061710</t>
  </si>
  <si>
    <t>3_1671136842572341248</t>
  </si>
  <si>
    <t>3_1671128053169152004</t>
  </si>
  <si>
    <t>3_1661092842352066565</t>
  </si>
  <si>
    <t>3_1694787496444317696</t>
  </si>
  <si>
    <t>3_1659622001462353920</t>
  </si>
  <si>
    <t>3_1700149969456427008</t>
  </si>
  <si>
    <t>3_1680947532455636993</t>
  </si>
  <si>
    <t>3_1667244206358757376</t>
  </si>
  <si>
    <t>3_1667238263017357312</t>
  </si>
  <si>
    <t>3_1654092024952266752</t>
  </si>
  <si>
    <t>3_1704597912343244800</t>
  </si>
  <si>
    <t>3_1668682759630364679</t>
  </si>
  <si>
    <t>3_1668679565240049666</t>
  </si>
  <si>
    <t>3_1658189149898170375</t>
  </si>
  <si>
    <t>3_1691195849437503488</t>
  </si>
  <si>
    <t>7_1702673118970437632</t>
  </si>
  <si>
    <t>3_1671626845773496321</t>
  </si>
  <si>
    <t>3_1676892841295986689</t>
  </si>
  <si>
    <t>3_1657163565642444800</t>
  </si>
  <si>
    <t>3_1694833572094304257</t>
  </si>
  <si>
    <t>3_1690053836688277504</t>
  </si>
  <si>
    <t>3_1658199421555728384</t>
  </si>
  <si>
    <t>3_1653893184336936964</t>
  </si>
  <si>
    <t>7_1702343649667756032</t>
  </si>
  <si>
    <t>3_1654373361378549761</t>
  </si>
  <si>
    <t>3_1675956693941858305</t>
  </si>
  <si>
    <t>7_1704620135175139328</t>
  </si>
  <si>
    <t>7_1706794874844983296</t>
  </si>
  <si>
    <t>3_1653981571177652225</t>
  </si>
  <si>
    <t>3_1704610885677862914</t>
  </si>
  <si>
    <t>3_1692676873883353089</t>
  </si>
  <si>
    <t>3_1668970693894066176</t>
  </si>
  <si>
    <t>3_1671905258270863362</t>
  </si>
  <si>
    <t>3_1682054561106673665</t>
  </si>
  <si>
    <t>3_1691829657727823872</t>
  </si>
  <si>
    <t>3_1702606796286992384</t>
  </si>
  <si>
    <t>3_1694688861706719232</t>
  </si>
  <si>
    <t>7_1700172883375308800</t>
  </si>
  <si>
    <t>3_1656280058334531584 3_1656280216233287683</t>
  </si>
  <si>
    <t>3_1656411103927181318</t>
  </si>
  <si>
    <t>3_1694714162767900674</t>
  </si>
  <si>
    <t>7_1707015473248808960</t>
  </si>
  <si>
    <t>3_1674008625478508545</t>
  </si>
  <si>
    <t>3_1673687534713307144</t>
  </si>
  <si>
    <t>3_1668955169336197123</t>
  </si>
  <si>
    <t>3_1654608194176466945</t>
  </si>
  <si>
    <t>3_1674795114647146496</t>
  </si>
  <si>
    <t>3_1701697907093561345</t>
  </si>
  <si>
    <t>3_1664020476870504450</t>
  </si>
  <si>
    <t>3_1699184428839288833</t>
  </si>
  <si>
    <t>7_1686752277493604353</t>
  </si>
  <si>
    <t>3_1671214067485163523 3_1671214067602554880</t>
  </si>
  <si>
    <t>3_1704550045184315392</t>
  </si>
  <si>
    <t>16_1681255528155033600</t>
  </si>
  <si>
    <t>7_1674950373176496131</t>
  </si>
  <si>
    <t>3_1686903292624875520</t>
  </si>
  <si>
    <t>3_1686770080703455232</t>
  </si>
  <si>
    <t>3_1689330239149641728</t>
  </si>
  <si>
    <t>3_1704590651516395520</t>
  </si>
  <si>
    <t>3_1668681607010562048</t>
  </si>
  <si>
    <t>3_1678810462769561600</t>
  </si>
  <si>
    <t>3_1696395613359820801</t>
  </si>
  <si>
    <t>3_1686133632191119362</t>
  </si>
  <si>
    <t>3_1671452159198523395</t>
  </si>
  <si>
    <t>3_1701896713001136128</t>
  </si>
  <si>
    <t>3_1699327630862934016</t>
  </si>
  <si>
    <t>3_1688462825683841024</t>
  </si>
  <si>
    <t>3_1656273811690356739</t>
  </si>
  <si>
    <t>3_1691092545646772225</t>
  </si>
  <si>
    <t>3_1707127390885892096</t>
  </si>
  <si>
    <t>3_1698833863609372672 3_1698833863609339904 3_1698833863613505536 3_1698833863626117120</t>
  </si>
  <si>
    <t>7_1657693063970471936</t>
  </si>
  <si>
    <t>3_1654918959680954369</t>
  </si>
  <si>
    <t>3_1663968803049426946</t>
  </si>
  <si>
    <t>3_1670437219461480448</t>
  </si>
  <si>
    <t>3_1671829900313993216</t>
  </si>
  <si>
    <t>3_1691462504034267136</t>
  </si>
  <si>
    <t>7_1672753203341934593</t>
  </si>
  <si>
    <t>3_1663926405539700739</t>
  </si>
  <si>
    <t>3_1684926700642066432</t>
  </si>
  <si>
    <t>3_1684928125522571264</t>
  </si>
  <si>
    <t>7_1661502507829407744</t>
  </si>
  <si>
    <t>7_1699149016053821440</t>
  </si>
  <si>
    <t>3_1656358616281014272</t>
  </si>
  <si>
    <t>3_1664248906790719488</t>
  </si>
  <si>
    <t>3_1659559751133323264</t>
  </si>
  <si>
    <t>3_1658473706623234048</t>
  </si>
  <si>
    <t>3_1691101948022513665</t>
  </si>
  <si>
    <t>3_1684625204205465606</t>
  </si>
  <si>
    <t>3_1688951218561826816</t>
  </si>
  <si>
    <t>3_1674815714526461953</t>
  </si>
  <si>
    <t>3_1674840372613353472</t>
  </si>
  <si>
    <t>3_1683905728069632010</t>
  </si>
  <si>
    <t>3_1660839674489839617</t>
  </si>
  <si>
    <t>7_1673824020981071875</t>
  </si>
  <si>
    <t>3_1696284371982958592</t>
  </si>
  <si>
    <t>3_1667214348391989261</t>
  </si>
  <si>
    <t>3_1688610012506013696</t>
  </si>
  <si>
    <t>3_1696583894898741249</t>
  </si>
  <si>
    <t>3_1698770304275755008</t>
  </si>
  <si>
    <t>3_1674506439270756370</t>
  </si>
  <si>
    <t>3_1679859905610633217</t>
  </si>
  <si>
    <t>7_1674787484256043016</t>
  </si>
  <si>
    <t>7_1659614072025825294</t>
  </si>
  <si>
    <t>7_1672235072655589381</t>
  </si>
  <si>
    <t>7_1653836080641105920</t>
  </si>
  <si>
    <t>3_1668219656576827393</t>
  </si>
  <si>
    <t>3_1693586759957790720</t>
  </si>
  <si>
    <t>3_1696125746832363520</t>
  </si>
  <si>
    <t>7_1691159579160190976</t>
  </si>
  <si>
    <t>7_1671499487192260610</t>
  </si>
  <si>
    <t>7_1692540494545358848</t>
  </si>
  <si>
    <t>7_1681761215775752194</t>
  </si>
  <si>
    <t>7_1681636658901401603</t>
  </si>
  <si>
    <t>3_1673294615301050368</t>
  </si>
  <si>
    <t>3_1655535334313140224</t>
  </si>
  <si>
    <t>3_1675829235494146049</t>
  </si>
  <si>
    <t>3_1670756492511703042</t>
  </si>
  <si>
    <t>3_1704612174142820352</t>
  </si>
  <si>
    <t>7_1699416353105473536</t>
  </si>
  <si>
    <t>3_1657022003730055171</t>
  </si>
  <si>
    <t>3_1658197362743844870</t>
  </si>
  <si>
    <t>3_1654330796042342400</t>
  </si>
  <si>
    <t>7_1672663466153263105</t>
  </si>
  <si>
    <t>7_1672663567902932993</t>
  </si>
  <si>
    <t>3_1657875955765989376</t>
  </si>
  <si>
    <t>3_1668581346287943681</t>
  </si>
  <si>
    <t>3_1660729397479985160</t>
  </si>
  <si>
    <t>3_1667335200609583104</t>
  </si>
  <si>
    <t>3_1706845440635789312</t>
  </si>
  <si>
    <t>3_1653745734875856899</t>
  </si>
  <si>
    <t>3_1688904341653004288</t>
  </si>
  <si>
    <t>16_1686109176899018752</t>
  </si>
  <si>
    <t>3_1684970242408161306</t>
  </si>
  <si>
    <t>3_1684970120756568082</t>
  </si>
  <si>
    <t>3_1684970010916134935</t>
  </si>
  <si>
    <t>16_1686836969316257792</t>
  </si>
  <si>
    <t>3_1674402550852775936 3_1674402630821347328 3_1674402631035305987 3_1674402682646175753</t>
  </si>
  <si>
    <t>3_1669633317157601281</t>
  </si>
  <si>
    <t>3_1691030680979804160</t>
  </si>
  <si>
    <t>3_1678705556964401152</t>
  </si>
  <si>
    <t>3_1664571911207018496</t>
  </si>
  <si>
    <t>3_1694649162707374080</t>
  </si>
  <si>
    <t>3_1691098814206144512</t>
  </si>
  <si>
    <t>3_1688517467855781888</t>
  </si>
  <si>
    <t>3_1674038903949369346</t>
  </si>
  <si>
    <t>3_1656622409586294786</t>
  </si>
  <si>
    <t>3_1698708804735524864</t>
  </si>
  <si>
    <t>3_1689926045992939520</t>
  </si>
  <si>
    <t>3_1666481991531765760</t>
  </si>
  <si>
    <t>3_1666398975883112448 3_1666398975874703364</t>
  </si>
  <si>
    <t>3_1666121710758686721</t>
  </si>
  <si>
    <t>3_1665723375124086785</t>
  </si>
  <si>
    <t>3_1699489091111288832 3_1699489232203481088 3_1699489260942815232 3_1699489518389248000</t>
  </si>
  <si>
    <t>3_1696527532793978880</t>
  </si>
  <si>
    <t>3_1691387085335236608</t>
  </si>
  <si>
    <t>3_1686373751343153152</t>
  </si>
  <si>
    <t>3_1686026209845465089</t>
  </si>
  <si>
    <t>3_1671536666484277251</t>
  </si>
  <si>
    <t>3_1661027364661493771 3_1661027389009461249 3_1661027407615365120 3_1661027426594607105</t>
  </si>
  <si>
    <t>3_1682313922999734272</t>
  </si>
  <si>
    <t>3_1681590394859995140</t>
  </si>
  <si>
    <t>3_1673690421850165248</t>
  </si>
  <si>
    <t>3_1700195834917212160</t>
  </si>
  <si>
    <t>3_1691730970406277122</t>
  </si>
  <si>
    <t>3_1689649870808981506</t>
  </si>
  <si>
    <t>3_1689289829421350913</t>
  </si>
  <si>
    <t>3_1672242433822961665</t>
  </si>
  <si>
    <t>3_1668263982359101442</t>
  </si>
  <si>
    <t>3_1668190826390749185</t>
  </si>
  <si>
    <t>3_1667109454293225479</t>
  </si>
  <si>
    <t>3_1667075936884277250</t>
  </si>
  <si>
    <t>3_1691470859855126528</t>
  </si>
  <si>
    <t>3_1685934614865473536</t>
  </si>
  <si>
    <t>3_1675893494378840065</t>
  </si>
  <si>
    <t>3_1674824547990642688</t>
  </si>
  <si>
    <t>3_1691198568965554176</t>
  </si>
  <si>
    <t>7_1692375915580297216</t>
  </si>
  <si>
    <t>3_1678409752269803521</t>
  </si>
  <si>
    <t>3_1679969140478468096</t>
  </si>
  <si>
    <t>3_1684539238354653185</t>
  </si>
  <si>
    <t>3_1695799421961682944</t>
  </si>
  <si>
    <t>3_1679954827558699010</t>
  </si>
  <si>
    <t>3_1677472490681954308</t>
  </si>
  <si>
    <t>3_1665142083496165379</t>
  </si>
  <si>
    <t>3_1691096766651707392</t>
  </si>
  <si>
    <t>3_1692669693159436289</t>
  </si>
  <si>
    <t>3_1697411159471640576</t>
  </si>
  <si>
    <t>3_1687266988609994752</t>
  </si>
  <si>
    <t>3_1696259618685554690</t>
  </si>
  <si>
    <t>3_1682430703181373448</t>
  </si>
  <si>
    <t>3_1682384614449373187</t>
  </si>
  <si>
    <t>7_1686755653065244672</t>
  </si>
  <si>
    <t>3_1681382892348243972</t>
  </si>
  <si>
    <t>3_1689694290853658624</t>
  </si>
  <si>
    <t>3_1662093588900061185</t>
  </si>
  <si>
    <t>3_1671690302527098880</t>
  </si>
  <si>
    <t>3_1667583388583092232 3_1667583388583174144 3_1667583388566298631 3_1667583388591562752</t>
  </si>
  <si>
    <t>7_1654963792168583169</t>
  </si>
  <si>
    <t>7_1657149065400840195</t>
  </si>
  <si>
    <t>7_1670910262558203905</t>
  </si>
  <si>
    <t>7_1670158436632350723</t>
  </si>
  <si>
    <t>7_1677091310694539272</t>
  </si>
  <si>
    <t>7_1671995837524717570</t>
  </si>
  <si>
    <t>7_1707511648871682048</t>
  </si>
  <si>
    <t>7_1673105315879895041</t>
  </si>
  <si>
    <t>7_1686041572188565504</t>
  </si>
  <si>
    <t>3_1699940386024689664 3_1699940386012082176 3_1699940386020499456 3_1699940386020425728</t>
  </si>
  <si>
    <t>3_1699770698812514304 3_1699770698816802816</t>
  </si>
  <si>
    <t>3_1707484929758560256</t>
  </si>
  <si>
    <t>3_1691847751095431170</t>
  </si>
  <si>
    <t>13_1669688312179888129</t>
  </si>
  <si>
    <t>13_1676233986253660161</t>
  </si>
  <si>
    <t>13_1676211296839290881</t>
  </si>
  <si>
    <t>13_1671178379058348035</t>
  </si>
  <si>
    <t>13_1687815752697380871</t>
  </si>
  <si>
    <t>13_1682853521907957760</t>
  </si>
  <si>
    <t>13_1674015297744011264</t>
  </si>
  <si>
    <t>13_1668939856527908873</t>
  </si>
  <si>
    <t>13_1686693480578568192</t>
  </si>
  <si>
    <t>13_1672657240191533058</t>
  </si>
  <si>
    <t>13_1672262814201958400</t>
  </si>
  <si>
    <t>13_1667145483884843008</t>
  </si>
  <si>
    <t>13_1666761111868153856</t>
  </si>
  <si>
    <t>13_1693943547253465088</t>
  </si>
  <si>
    <t>13_1678019737396170753</t>
  </si>
  <si>
    <t>13_1671845294835904512</t>
  </si>
  <si>
    <t>13_1692947490767515648</t>
  </si>
  <si>
    <t>13_1690687011722575872</t>
  </si>
  <si>
    <t>13_1681620627948552194</t>
  </si>
  <si>
    <t>13_1673658391154270208</t>
  </si>
  <si>
    <t>13_1668571790573027330</t>
  </si>
  <si>
    <t>13_1704984581827342336</t>
  </si>
  <si>
    <t>13_1696498932430290945</t>
  </si>
  <si>
    <t>13_1670567587657269248</t>
  </si>
  <si>
    <t>13_1670572419235344385</t>
  </si>
  <si>
    <t>7_1707141368986931200</t>
  </si>
  <si>
    <t>13_1698012218879574016</t>
  </si>
  <si>
    <t>13_1676912665854201856</t>
  </si>
  <si>
    <t>13_1664961031494590465</t>
  </si>
  <si>
    <t>3_1684642959562612736</t>
  </si>
  <si>
    <t>3_1696222883846987776</t>
  </si>
  <si>
    <t>7_1658177364918927360</t>
  </si>
  <si>
    <t>3_1700088697725579264</t>
  </si>
  <si>
    <t>3_1673843609068609538</t>
  </si>
  <si>
    <t>3_1686134224628162560</t>
  </si>
  <si>
    <t>3_1673755131253235726</t>
  </si>
  <si>
    <t>3_1668959977740877826</t>
  </si>
  <si>
    <t>13_1672768757612068867</t>
  </si>
  <si>
    <t>13_1674586235287789568</t>
  </si>
  <si>
    <t>13_1679133567404605446</t>
  </si>
  <si>
    <t>3_1680294665059282944</t>
  </si>
  <si>
    <t>3_1707219901646053377</t>
  </si>
  <si>
    <t>3_1679808193583562752</t>
  </si>
  <si>
    <t>7_1669386380735029248</t>
  </si>
  <si>
    <t>3_1686421570175094795 3_1686421572532232192</t>
  </si>
  <si>
    <t>3_1694457778218119168</t>
  </si>
  <si>
    <t>3_1683848326511308801</t>
  </si>
  <si>
    <t>3_1691450860327563266</t>
  </si>
  <si>
    <t>3_1661119629375201281</t>
  </si>
  <si>
    <t>3_1661760473908248577</t>
  </si>
  <si>
    <t>3_1692224890357624841</t>
  </si>
  <si>
    <t>3_1704246920246423552</t>
  </si>
  <si>
    <t>3_1643316668221759490</t>
  </si>
  <si>
    <t>3_1678464377932898306</t>
  </si>
  <si>
    <t>3_1666198187957182479</t>
  </si>
  <si>
    <t>3_1704554893644623872</t>
  </si>
  <si>
    <t>3_1663316679827365888</t>
  </si>
  <si>
    <t>3_1665829739045564416</t>
  </si>
  <si>
    <t>3_1691089882209222656</t>
  </si>
  <si>
    <t>3_1654180191495761921</t>
  </si>
  <si>
    <t>3_1669763025975353351</t>
  </si>
  <si>
    <t>3_1676655343269543936</t>
  </si>
  <si>
    <t>3_1687149124800450562</t>
  </si>
  <si>
    <t>3_1671584502932545546</t>
  </si>
  <si>
    <t>3_1695151823533809664</t>
  </si>
  <si>
    <t>3_1668326292398145571</t>
  </si>
  <si>
    <t>3_1703877006608220161</t>
  </si>
  <si>
    <t>3_1687561729213915136</t>
  </si>
  <si>
    <t>1690519422866239488</t>
  </si>
  <si>
    <t>1690517065000685569</t>
  </si>
  <si>
    <t>1702046314576441551</t>
  </si>
  <si>
    <t>1674358964228694017</t>
  </si>
  <si>
    <t>1642013187900841985</t>
  </si>
  <si>
    <t>1666591298847899648</t>
  </si>
  <si>
    <t>1673773659503333379</t>
  </si>
  <si>
    <t>1683960512789221376</t>
  </si>
  <si>
    <t>1671545975884619780</t>
  </si>
  <si>
    <t>1668988670563557377</t>
  </si>
  <si>
    <t>1674786525912141826</t>
  </si>
  <si>
    <t>1674785977137774592</t>
  </si>
  <si>
    <t>1666188601535676417</t>
  </si>
  <si>
    <t>1658850625495474178</t>
  </si>
  <si>
    <t>1666458381639458817</t>
  </si>
  <si>
    <t>1688921487737307137</t>
  </si>
  <si>
    <t>1704403841922294267</t>
  </si>
  <si>
    <t>1672023867752103944</t>
  </si>
  <si>
    <t>1656121432487743489</t>
  </si>
  <si>
    <t>1703536866132120046</t>
  </si>
  <si>
    <t>1670897099456512000</t>
  </si>
  <si>
    <t>1670611649198170114</t>
  </si>
  <si>
    <t>1699173931016462427</t>
  </si>
  <si>
    <t>1699525578435493955</t>
  </si>
  <si>
    <t>1687176638390312965</t>
  </si>
  <si>
    <t>1671252586320519169</t>
  </si>
  <si>
    <t>1663179100465381376</t>
  </si>
  <si>
    <t>1684610708598657024</t>
  </si>
  <si>
    <t>1688636292148396032</t>
  </si>
  <si>
    <t>1698757896211714414</t>
  </si>
  <si>
    <t>1655559147117477889</t>
  </si>
  <si>
    <t>1701219878860943772</t>
  </si>
  <si>
    <t>1666143050979069953</t>
  </si>
  <si>
    <t>1695085364942147637</t>
  </si>
  <si>
    <t>1705315062313877850</t>
  </si>
  <si>
    <t>1705187941696295400</t>
  </si>
  <si>
    <t>1653888827226828800</t>
  </si>
  <si>
    <t>1671060905226805250</t>
  </si>
  <si>
    <t>1671528976857088003</t>
  </si>
  <si>
    <t>1686861662790340608</t>
  </si>
  <si>
    <t>1683505325884801025</t>
  </si>
  <si>
    <t>1671962641848233984</t>
  </si>
  <si>
    <t>1659263330694103040</t>
  </si>
  <si>
    <t>1659262227231412224</t>
  </si>
  <si>
    <t>1666453026041626624</t>
  </si>
  <si>
    <t>1653826112647200768</t>
  </si>
  <si>
    <t>1660674299974262784</t>
  </si>
  <si>
    <t>1671561760816373760</t>
  </si>
  <si>
    <t>1667294365939798016</t>
  </si>
  <si>
    <t>1668617668310745089</t>
  </si>
  <si>
    <t>1674084000250617859</t>
  </si>
  <si>
    <t>1669314191667384324</t>
  </si>
  <si>
    <t>1669000532487442432</t>
  </si>
  <si>
    <t>1668990614308806663</t>
  </si>
  <si>
    <t>1676274527456890880</t>
  </si>
  <si>
    <t>1671144775297433602</t>
  </si>
  <si>
    <t>1653466909013057538</t>
  </si>
  <si>
    <t>1686435730610933765</t>
  </si>
  <si>
    <t>1689992541918113793</t>
  </si>
  <si>
    <t>1654140354206072834</t>
  </si>
  <si>
    <t>1699037640652177903</t>
  </si>
  <si>
    <t>1663243577898434584</t>
  </si>
  <si>
    <t>1655558293786447875</t>
  </si>
  <si>
    <t>1672239409230495750</t>
  </si>
  <si>
    <t>1661439298871197698</t>
  </si>
  <si>
    <t>1697311430683377920</t>
  </si>
  <si>
    <t>1701665811138552317</t>
  </si>
  <si>
    <t>1663983088144138249</t>
  </si>
  <si>
    <t>1702310273657282698</t>
  </si>
  <si>
    <t>1699170356026896577</t>
  </si>
  <si>
    <t>1653487732381843457</t>
  </si>
  <si>
    <t>1697201356514160849</t>
  </si>
  <si>
    <t>1664227694924513280</t>
  </si>
  <si>
    <t>1664789347990740992</t>
  </si>
  <si>
    <t>1658129900237213700</t>
  </si>
  <si>
    <t>1691088268811509761</t>
  </si>
  <si>
    <t>1657391738099585024</t>
  </si>
  <si>
    <t>1689061321818398720</t>
  </si>
  <si>
    <t>1659354829121093633</t>
  </si>
  <si>
    <t>1658461370596175880</t>
  </si>
  <si>
    <t>1658232439670464514</t>
  </si>
  <si>
    <t>1702412843432161622</t>
  </si>
  <si>
    <t>1680385569195544576</t>
  </si>
  <si>
    <t>1654278547689570304</t>
  </si>
  <si>
    <t>1660683084683984903</t>
  </si>
  <si>
    <t>1682540398961389574</t>
  </si>
  <si>
    <t>1687252256541003777</t>
  </si>
  <si>
    <t>1691093662074015744</t>
  </si>
  <si>
    <t>1686767317600862209</t>
  </si>
  <si>
    <t>1658283771328884737</t>
  </si>
  <si>
    <t>1689703749634129922</t>
  </si>
  <si>
    <t>1689707734453694464</t>
  </si>
  <si>
    <t>1666204933668982784</t>
  </si>
  <si>
    <t>1691137145207926792</t>
  </si>
  <si>
    <t>1691136633762885676</t>
  </si>
  <si>
    <t>1691136303893458949</t>
  </si>
  <si>
    <t>1691136006315978763</t>
  </si>
  <si>
    <t>1707107317433434532</t>
  </si>
  <si>
    <t>1676212733086244866</t>
  </si>
  <si>
    <t>1705084180756123861</t>
  </si>
  <si>
    <t>1705007596070125987</t>
  </si>
  <si>
    <t>1688204205205372928</t>
  </si>
  <si>
    <t>1689041320109572096</t>
  </si>
  <si>
    <t>1691158178514227200</t>
  </si>
  <si>
    <t>1701000943142338566</t>
  </si>
  <si>
    <t>1663173114367463425</t>
  </si>
  <si>
    <t>1657900109752074240</t>
  </si>
  <si>
    <t>1657113928563060736</t>
  </si>
  <si>
    <t>1667661679948369921</t>
  </si>
  <si>
    <t>1691443140056727553</t>
  </si>
  <si>
    <t>1685357785301778432</t>
  </si>
  <si>
    <t>1659531884735651841</t>
  </si>
  <si>
    <t>1654487880146853890</t>
  </si>
  <si>
    <t>1654084603504631808</t>
  </si>
  <si>
    <t>1653880458231332865</t>
  </si>
  <si>
    <t>1660665786518626305</t>
  </si>
  <si>
    <t>1673398855474225168</t>
  </si>
  <si>
    <t>1655569494176067588</t>
  </si>
  <si>
    <t>1678459316628512769</t>
  </si>
  <si>
    <t>1671841374142885888</t>
  </si>
  <si>
    <t>1663247103311609857</t>
  </si>
  <si>
    <t>1658134629994340353</t>
  </si>
  <si>
    <t>1675880447392227335</t>
  </si>
  <si>
    <t>1691098611126538240</t>
  </si>
  <si>
    <t>1696189203988578513</t>
  </si>
  <si>
    <t>1686040541652307969</t>
  </si>
  <si>
    <t>1661329912454586370</t>
  </si>
  <si>
    <t>1698719416375009303</t>
  </si>
  <si>
    <t>1653732821284921345</t>
  </si>
  <si>
    <t>1682715808659562498</t>
  </si>
  <si>
    <t>1689675474241298437</t>
  </si>
  <si>
    <t>1684512223975346177</t>
  </si>
  <si>
    <t>1695524403013152887</t>
  </si>
  <si>
    <t>1707351073239777363</t>
  </si>
  <si>
    <t>1656726076289081346</t>
  </si>
  <si>
    <t>1655901998653251587</t>
  </si>
  <si>
    <t>1688732296356974592</t>
  </si>
  <si>
    <t>1706683578929516667</t>
  </si>
  <si>
    <t>1655167814884360193</t>
  </si>
  <si>
    <t>1704691307677913253</t>
  </si>
  <si>
    <t>1674753113004097536</t>
  </si>
  <si>
    <t>1654210877896241153</t>
  </si>
  <si>
    <t>1705014064559100351</t>
  </si>
  <si>
    <t>1671996593535430666</t>
  </si>
  <si>
    <t>1668423327533203456</t>
  </si>
  <si>
    <t>1705017445692407835</t>
  </si>
  <si>
    <t>1674079311219892224</t>
  </si>
  <si>
    <t>1653913351808843776</t>
  </si>
  <si>
    <t>1660627590741204996</t>
  </si>
  <si>
    <t>1657555845012439040</t>
  </si>
  <si>
    <t>1657551939838660608</t>
  </si>
  <si>
    <t>1659313357168558083</t>
  </si>
  <si>
    <t>1658241420975648770</t>
  </si>
  <si>
    <t>1671652806955003904</t>
  </si>
  <si>
    <t>1658102283366703105</t>
  </si>
  <si>
    <t>1707196051504210276</t>
  </si>
  <si>
    <t>1670543483814260737</t>
  </si>
  <si>
    <t>1704555208225763807</t>
  </si>
  <si>
    <t>1654202617688383493</t>
  </si>
  <si>
    <t>1688222615750455296</t>
  </si>
  <si>
    <t>1690349623343218689</t>
  </si>
  <si>
    <t>1682366334003232768</t>
  </si>
  <si>
    <t>1705405574563659829</t>
  </si>
  <si>
    <t>1662295816277577729</t>
  </si>
  <si>
    <t>1668585913629257728</t>
  </si>
  <si>
    <t>1669091149020110848</t>
  </si>
  <si>
    <t>1671517562817970180</t>
  </si>
  <si>
    <t>1705094242220011697</t>
  </si>
  <si>
    <t>1658162958814392324</t>
  </si>
  <si>
    <t>1679155983824867328</t>
  </si>
  <si>
    <t>1701636413416993147</t>
  </si>
  <si>
    <t>1686346156220010496</t>
  </si>
  <si>
    <t>1667573548838273029</t>
  </si>
  <si>
    <t>1686826772296290305</t>
  </si>
  <si>
    <t>1664682829584662559</t>
  </si>
  <si>
    <t>1705183537291288812</t>
  </si>
  <si>
    <t>1681327270680461313</t>
  </si>
  <si>
    <t>1671847269165850625</t>
  </si>
  <si>
    <t>1671863027975503873</t>
  </si>
  <si>
    <t>1671844151082532865</t>
  </si>
  <si>
    <t>1673446841000632320</t>
  </si>
  <si>
    <t>1671704554767777793</t>
  </si>
  <si>
    <t>1705309728367112599</t>
  </si>
  <si>
    <t>1702088297500086532</t>
  </si>
  <si>
    <t>1694780039919714637</t>
  </si>
  <si>
    <t>1686821003693801480</t>
  </si>
  <si>
    <t>1686339467139821568</t>
  </si>
  <si>
    <t>1685011118031257602</t>
  </si>
  <si>
    <t>1665131076052762626</t>
  </si>
  <si>
    <t>1705014294620873063</t>
  </si>
  <si>
    <t>1696860351239758018</t>
  </si>
  <si>
    <t>1669065430172835846</t>
  </si>
  <si>
    <t>1673411068532609024</t>
  </si>
  <si>
    <t>1668670124868485120</t>
  </si>
  <si>
    <t>1661455817172832275</t>
  </si>
  <si>
    <t>1678061490044125186</t>
  </si>
  <si>
    <t>1682082981958000642</t>
  </si>
  <si>
    <t>1655697879174991874</t>
  </si>
  <si>
    <t>1698316196712444036</t>
  </si>
  <si>
    <t>1654568389262692353</t>
  </si>
  <si>
    <t>1688653829187735552</t>
  </si>
  <si>
    <t>1663564349741608967</t>
  </si>
  <si>
    <t>1657017912710901760</t>
  </si>
  <si>
    <t>1656682040840925184</t>
  </si>
  <si>
    <t>1656351212847890452</t>
  </si>
  <si>
    <t>1698456983702003949</t>
  </si>
  <si>
    <t>1703766598824218883</t>
  </si>
  <si>
    <t>1661916029948157954</t>
  </si>
  <si>
    <t>1670959780242890753</t>
  </si>
  <si>
    <t>1666608008527241216</t>
  </si>
  <si>
    <t>1666192669402357767</t>
  </si>
  <si>
    <t>1668751896675516416</t>
  </si>
  <si>
    <t>1701803096119124477</t>
  </si>
  <si>
    <t>1682118999096606724</t>
  </si>
  <si>
    <t>1704638384088482122</t>
  </si>
  <si>
    <t>1654304909334925315</t>
  </si>
  <si>
    <t>1687131213923065857</t>
  </si>
  <si>
    <t>1687101019657027584</t>
  </si>
  <si>
    <t>1705078175498191243</t>
  </si>
  <si>
    <t>1661188523683115008</t>
  </si>
  <si>
    <t>1671867402743586818</t>
  </si>
  <si>
    <t>1668984744866902016</t>
  </si>
  <si>
    <t>1668984518592561157</t>
  </si>
  <si>
    <t>1675856744176558082</t>
  </si>
  <si>
    <t>1688663808867459072</t>
  </si>
  <si>
    <t>1693608896365994026</t>
  </si>
  <si>
    <t>1673413319628058645</t>
  </si>
  <si>
    <t>1655580817308127232</t>
  </si>
  <si>
    <t>1694424265443987954</t>
  </si>
  <si>
    <t>1656320692177235968</t>
  </si>
  <si>
    <t>1701226590540038291</t>
  </si>
  <si>
    <t>1698684838528831633</t>
  </si>
  <si>
    <t>1686859525939134465</t>
  </si>
  <si>
    <t>1671865624878800898</t>
  </si>
  <si>
    <t>1707402281493344658</t>
  </si>
  <si>
    <t>1703742700774621354</t>
  </si>
  <si>
    <t>1671493643243339778</t>
  </si>
  <si>
    <t>1706692230419718293</t>
  </si>
  <si>
    <t>1654101778592411649</t>
  </si>
  <si>
    <t>1664636451680669697</t>
  </si>
  <si>
    <t>1658910259409297408</t>
  </si>
  <si>
    <t>1705163861773451613</t>
  </si>
  <si>
    <t>1707383062026232268</t>
  </si>
  <si>
    <t>1669688152011812864</t>
  </si>
  <si>
    <t>1668796590641881088</t>
  </si>
  <si>
    <t>1705177602745336295</t>
  </si>
  <si>
    <t>1676259582727933952</t>
  </si>
  <si>
    <t>1691472346513563648</t>
  </si>
  <si>
    <t>1695096194865758357</t>
  </si>
  <si>
    <t>1691914772156223519</t>
  </si>
  <si>
    <t>1699060117193556477</t>
  </si>
  <si>
    <t>1691103295861907457</t>
  </si>
  <si>
    <t>1660688889294512129</t>
  </si>
  <si>
    <t>1664208293470912513</t>
  </si>
  <si>
    <t>1689280578451894273</t>
  </si>
  <si>
    <t>1691080571877818368</t>
  </si>
  <si>
    <t>1691068404675809281</t>
  </si>
  <si>
    <t>1691063882716938240</t>
  </si>
  <si>
    <t>1691061269426581504</t>
  </si>
  <si>
    <t>1707122893727863281</t>
  </si>
  <si>
    <t>1691192190746398722</t>
  </si>
  <si>
    <t>1670926731849392128</t>
  </si>
  <si>
    <t>1661710885717434369</t>
  </si>
  <si>
    <t>1705264053273108689</t>
  </si>
  <si>
    <t>1688716468651769856</t>
  </si>
  <si>
    <t>1660834090927489024</t>
  </si>
  <si>
    <t>1673828555149524993</t>
  </si>
  <si>
    <t>1706663640152064382</t>
  </si>
  <si>
    <t>1678785567054520321</t>
  </si>
  <si>
    <t>1704089398231371852</t>
  </si>
  <si>
    <t>1694145091668160656</t>
  </si>
  <si>
    <t>1657417772161286145</t>
  </si>
  <si>
    <t>1704125448807125425</t>
  </si>
  <si>
    <t>1687393508649295872</t>
  </si>
  <si>
    <t>1686854587188146176</t>
  </si>
  <si>
    <t>1693701965010661873</t>
  </si>
  <si>
    <t>1691914747124551709</t>
  </si>
  <si>
    <t>1694444774441267630</t>
  </si>
  <si>
    <t>1696275635352588786</t>
  </si>
  <si>
    <t>1691177442201776130</t>
  </si>
  <si>
    <t>1658544236432613376</t>
  </si>
  <si>
    <t>1705172366962135101</t>
  </si>
  <si>
    <t>1677352597819203588</t>
  </si>
  <si>
    <t>1668702018586673152</t>
  </si>
  <si>
    <t>1670492571758370818</t>
  </si>
  <si>
    <t>1669757753676509204</t>
  </si>
  <si>
    <t>1655652656147226625</t>
  </si>
  <si>
    <t>1691155670698016768</t>
  </si>
  <si>
    <t>1696693959509114897</t>
  </si>
  <si>
    <t>1668288734570110981</t>
  </si>
  <si>
    <t>1691082936781504513</t>
  </si>
  <si>
    <t>1673578062796005377</t>
  </si>
  <si>
    <t>1673831939206176770</t>
  </si>
  <si>
    <t>1669366038532612096</t>
  </si>
  <si>
    <t>1690918578214584320</t>
  </si>
  <si>
    <t>1663556831686582275</t>
  </si>
  <si>
    <t>1657768433482706950</t>
  </si>
  <si>
    <t>1691090507232124929</t>
  </si>
  <si>
    <t>1695080037123346724</t>
  </si>
  <si>
    <t>1679962523594899456</t>
  </si>
  <si>
    <t>1702689664899932232</t>
  </si>
  <si>
    <t>1658205603905282051</t>
  </si>
  <si>
    <t>1706764584487715234</t>
  </si>
  <si>
    <t>1697724868341506501</t>
  </si>
  <si>
    <t>1686833807486263297</t>
  </si>
  <si>
    <t>1653854151720173568</t>
  </si>
  <si>
    <t>1707124305824272479</t>
  </si>
  <si>
    <t>1686381404878503936</t>
  </si>
  <si>
    <t>1686109195718811648</t>
  </si>
  <si>
    <t>1694288970077651401</t>
  </si>
  <si>
    <t>1704938380587413549</t>
  </si>
  <si>
    <t>1657163048375730176</t>
  </si>
  <si>
    <t>1664294404612321283</t>
  </si>
  <si>
    <t>1666484774351826945</t>
  </si>
  <si>
    <t>1666487031017492480</t>
  </si>
  <si>
    <t>1681025588809682946</t>
  </si>
  <si>
    <t>1655626990504882202</t>
  </si>
  <si>
    <t>1661861701653008384</t>
  </si>
  <si>
    <t>1681340858166128641</t>
  </si>
  <si>
    <t>1674834922568024080</t>
  </si>
  <si>
    <t>1659395557738045444</t>
  </si>
  <si>
    <t>1658310205296214018</t>
  </si>
  <si>
    <t>1704284797508432057</t>
  </si>
  <si>
    <t>1704246277616120061</t>
  </si>
  <si>
    <t>1688383275486576641</t>
  </si>
  <si>
    <t>1696357840762413160</t>
  </si>
  <si>
    <t>1686155233154547712</t>
  </si>
  <si>
    <t>1699955562358673423</t>
  </si>
  <si>
    <t>1691591791454175368</t>
  </si>
  <si>
    <t>1701346155139940440</t>
  </si>
  <si>
    <t>1695081210857259326</t>
  </si>
  <si>
    <t>1695080276282536445</t>
  </si>
  <si>
    <t>1695066122108686621</t>
  </si>
  <si>
    <t>1706443990512337041</t>
  </si>
  <si>
    <t>1683905382291210247</t>
  </si>
  <si>
    <t>1668348973336211457</t>
  </si>
  <si>
    <t>1655638527718088726</t>
  </si>
  <si>
    <t>1689966804301414400</t>
  </si>
  <si>
    <t>1694361947905339652</t>
  </si>
  <si>
    <t>1704129829115945151</t>
  </si>
  <si>
    <t>1697575642928164922</t>
  </si>
  <si>
    <t>1707059558470803497</t>
  </si>
  <si>
    <t>1705164370936795271</t>
  </si>
  <si>
    <t>1707408801664479593</t>
  </si>
  <si>
    <t>1705674265826062423</t>
  </si>
  <si>
    <t>1660367396488597506</t>
  </si>
  <si>
    <t>1653773599264604160</t>
  </si>
  <si>
    <t>1677782393975963649</t>
  </si>
  <si>
    <t>1681423207772065793</t>
  </si>
  <si>
    <t>1688964337321328640</t>
  </si>
  <si>
    <t>1670886318857941024</t>
  </si>
  <si>
    <t>1689643534545297409</t>
  </si>
  <si>
    <t>1679926281708924928</t>
  </si>
  <si>
    <t>1691155640385765376</t>
  </si>
  <si>
    <t>1688915610561040384</t>
  </si>
  <si>
    <t>1688914566997282816</t>
  </si>
  <si>
    <t>1671279979311636487</t>
  </si>
  <si>
    <t>1662133691169095687</t>
  </si>
  <si>
    <t>1699426633671753939</t>
  </si>
  <si>
    <t>1659630455690280977</t>
  </si>
  <si>
    <t>1701959769316065629</t>
  </si>
  <si>
    <t>1688609021694001152</t>
  </si>
  <si>
    <t>1669061388256288770</t>
  </si>
  <si>
    <t>1669050389910413339</t>
  </si>
  <si>
    <t>1681998562500943872</t>
  </si>
  <si>
    <t>1685988998206926848</t>
  </si>
  <si>
    <t>1661374538511179779</t>
  </si>
  <si>
    <t>1705287553614598481</t>
  </si>
  <si>
    <t>1691095371710402562</t>
  </si>
  <si>
    <t>1691219372252024832</t>
  </si>
  <si>
    <t>1691578729762312559</t>
  </si>
  <si>
    <t>1688757092239265792</t>
  </si>
  <si>
    <t>1690773276220411913</t>
  </si>
  <si>
    <t>1688666914984259584</t>
  </si>
  <si>
    <t>1691228341322285056</t>
  </si>
  <si>
    <t>1687073520415600640</t>
  </si>
  <si>
    <t>1698764252830675187</t>
  </si>
  <si>
    <t>1702477502604574954</t>
  </si>
  <si>
    <t>1653835326698168347</t>
  </si>
  <si>
    <t>1654896950917857280</t>
  </si>
  <si>
    <t>1676588026414153728</t>
  </si>
  <si>
    <t>1681660231841992705</t>
  </si>
  <si>
    <t>1682724106842546176</t>
  </si>
  <si>
    <t>1669005953780400128</t>
  </si>
  <si>
    <t>1689726544258678785</t>
  </si>
  <si>
    <t>1655568856964911107</t>
  </si>
  <si>
    <t>1664249683236069380</t>
  </si>
  <si>
    <t>1705313743314252015</t>
  </si>
  <si>
    <t>1684238199671910401</t>
  </si>
  <si>
    <t>1654586494680543235</t>
  </si>
  <si>
    <t>1664641770196721664</t>
  </si>
  <si>
    <t>1707042261081497856</t>
  </si>
  <si>
    <t>1656455528539648002</t>
  </si>
  <si>
    <t>1665793558710829057</t>
  </si>
  <si>
    <t>1676332456138403840</t>
  </si>
  <si>
    <t>1699447251800592693</t>
  </si>
  <si>
    <t>1671586595399507982</t>
  </si>
  <si>
    <t>1663981423848570880</t>
  </si>
  <si>
    <t>1682007520531959808</t>
  </si>
  <si>
    <t>1672079566494478337</t>
  </si>
  <si>
    <t>1687500151265402891</t>
  </si>
  <si>
    <t>1657114220939431940</t>
  </si>
  <si>
    <t>1686356800268910592</t>
  </si>
  <si>
    <t>1658389756273672192</t>
  </si>
  <si>
    <t>1677674198443884544</t>
  </si>
  <si>
    <t>1688674879925530624</t>
  </si>
  <si>
    <t>1691624751624568900</t>
  </si>
  <si>
    <t>1679991787400617993</t>
  </si>
  <si>
    <t>1694404286363410889</t>
  </si>
  <si>
    <t>1691100661587308544</t>
  </si>
  <si>
    <t>1707031379878264857</t>
  </si>
  <si>
    <t>1654673836820910080</t>
  </si>
  <si>
    <t>1686755578322788352</t>
  </si>
  <si>
    <t>1662171083808620567</t>
  </si>
  <si>
    <t>1661829209222684683</t>
  </si>
  <si>
    <t>1653739983490932737</t>
  </si>
  <si>
    <t>1686490165454221312</t>
  </si>
  <si>
    <t>1691132582920966146</t>
  </si>
  <si>
    <t>1688676928734023680</t>
  </si>
  <si>
    <t>1691202854923407360</t>
  </si>
  <si>
    <t>1686143043357827073</t>
  </si>
  <si>
    <t>1699902643551023370</t>
  </si>
  <si>
    <t>1677108232240726022</t>
  </si>
  <si>
    <t>1706664459761332713</t>
  </si>
  <si>
    <t>1706645541642277237</t>
  </si>
  <si>
    <t>1664653406265393152</t>
  </si>
  <si>
    <t>1653883145425506314</t>
  </si>
  <si>
    <t>1684538749982474240</t>
  </si>
  <si>
    <t>1664505968481169408</t>
  </si>
  <si>
    <t>1664505876298727424</t>
  </si>
  <si>
    <t>1686758446543056896</t>
  </si>
  <si>
    <t>1701334357510586528</t>
  </si>
  <si>
    <t>1703425212237394122</t>
  </si>
  <si>
    <t>1699177070125797812</t>
  </si>
  <si>
    <t>1674515790194769921</t>
  </si>
  <si>
    <t>1700141035119116786</t>
  </si>
  <si>
    <t>1697318672774152229</t>
  </si>
  <si>
    <t>1653615584104390657</t>
  </si>
  <si>
    <t>1680920958616444929</t>
  </si>
  <si>
    <t>1696609913047232515</t>
  </si>
  <si>
    <t>1665543349145575425</t>
  </si>
  <si>
    <t>1671154845112492035</t>
  </si>
  <si>
    <t>1688903586246168576</t>
  </si>
  <si>
    <t>1661474514369392642</t>
  </si>
  <si>
    <t>1698703237187019034</t>
  </si>
  <si>
    <t>1654589333175689216</t>
  </si>
  <si>
    <t>1684570301403914241</t>
  </si>
  <si>
    <t>1691093575885529088</t>
  </si>
  <si>
    <t>1691152317494460416</t>
  </si>
  <si>
    <t>1702446545549869170</t>
  </si>
  <si>
    <t>1704558558388363482</t>
  </si>
  <si>
    <t>1668710895881527296</t>
  </si>
  <si>
    <t>1653498451236212763</t>
  </si>
  <si>
    <t>1663007300636880898</t>
  </si>
  <si>
    <t>1663003123122569216</t>
  </si>
  <si>
    <t>1678775458719207425</t>
  </si>
  <si>
    <t>1678772907257004033</t>
  </si>
  <si>
    <t>1674780536274059264</t>
  </si>
  <si>
    <t>1707145513928171645</t>
  </si>
  <si>
    <t>1671653143929581568</t>
  </si>
  <si>
    <t>1655553640051146752</t>
  </si>
  <si>
    <t>1706445179693957130</t>
  </si>
  <si>
    <t>1706447372241224121</t>
  </si>
  <si>
    <t>1696342814416687500</t>
  </si>
  <si>
    <t>1691167657083506689</t>
  </si>
  <si>
    <t>1689653369378627584</t>
  </si>
  <si>
    <t>1656502345189199872</t>
  </si>
  <si>
    <t>1681398148302876673</t>
  </si>
  <si>
    <t>1654918220015362050</t>
  </si>
  <si>
    <t>1663967871976996864</t>
  </si>
  <si>
    <t>1688276020145610752</t>
  </si>
  <si>
    <t>1688207075225092096</t>
  </si>
  <si>
    <t>1688203347809992704</t>
  </si>
  <si>
    <t>1683767146646585346</t>
  </si>
  <si>
    <t>1674194330913853440</t>
  </si>
  <si>
    <t>1674191237874692101</t>
  </si>
  <si>
    <t>1673832364542246914</t>
  </si>
  <si>
    <t>1669016948405878785</t>
  </si>
  <si>
    <t>1668960273535737860</t>
  </si>
  <si>
    <t>1689007659599454208</t>
  </si>
  <si>
    <t>1685727755353100288</t>
  </si>
  <si>
    <t>1685725098735550464</t>
  </si>
  <si>
    <t>1685671842797821953</t>
  </si>
  <si>
    <t>1675805315135074304</t>
  </si>
  <si>
    <t>1671087987512180739</t>
  </si>
  <si>
    <t>1693219072706576485</t>
  </si>
  <si>
    <t>1692652394855678398</t>
  </si>
  <si>
    <t>1673670891509514240</t>
  </si>
  <si>
    <t>1673625184912244737</t>
  </si>
  <si>
    <t>1673464167045423104</t>
  </si>
  <si>
    <t>1668674877824311309</t>
  </si>
  <si>
    <t>1668395998144503808</t>
  </si>
  <si>
    <t>1668389062468567041</t>
  </si>
  <si>
    <t>1692269012216914183</t>
  </si>
  <si>
    <t>1692253725207769163</t>
  </si>
  <si>
    <t>1690015624464838656</t>
  </si>
  <si>
    <t>1689989586380832768</t>
  </si>
  <si>
    <t>1689713501336371200</t>
  </si>
  <si>
    <t>1689713399993675776</t>
  </si>
  <si>
    <t>1686879519980851200</t>
  </si>
  <si>
    <t>1686858411248357376</t>
  </si>
  <si>
    <t>1686787728950673420</t>
  </si>
  <si>
    <t>1666456880124682241</t>
  </si>
  <si>
    <t>1698783522322882784</t>
  </si>
  <si>
    <t>1694004511550148982</t>
  </si>
  <si>
    <t>1691015809995530241</t>
  </si>
  <si>
    <t>1687126113594597376</t>
  </si>
  <si>
    <t>1678772111144534018</t>
  </si>
  <si>
    <t>1678441797121458176</t>
  </si>
  <si>
    <t>1671655512880959489</t>
  </si>
  <si>
    <t>1671600808985518088</t>
  </si>
  <si>
    <t>1664017687305961474</t>
  </si>
  <si>
    <t>1663576526397362176</t>
  </si>
  <si>
    <t>1663274535410384914</t>
  </si>
  <si>
    <t>1696231520699117872</t>
  </si>
  <si>
    <t>1686307057484324864</t>
  </si>
  <si>
    <t>1686156536983302144</t>
  </si>
  <si>
    <t>1671455461848104960</t>
  </si>
  <si>
    <t>1671231872955760642</t>
  </si>
  <si>
    <t>1671158747736211456</t>
  </si>
  <si>
    <t>1661833615062319104</t>
  </si>
  <si>
    <t>1661443568391651338</t>
  </si>
  <si>
    <t>1694840286608863705</t>
  </si>
  <si>
    <t>1691138300650598402</t>
  </si>
  <si>
    <t>1688615065891504128</t>
  </si>
  <si>
    <t>1674508973951578138</t>
  </si>
  <si>
    <t>1700216708143726734</t>
  </si>
  <si>
    <t>1700133283147682092</t>
  </si>
  <si>
    <t>1689417013439942656</t>
  </si>
  <si>
    <t>1686460482834546701</t>
  </si>
  <si>
    <t>1681387881493823510</t>
  </si>
  <si>
    <t>1673300921034391555</t>
  </si>
  <si>
    <t>1672590657481785344</t>
  </si>
  <si>
    <t>1672375468434104328</t>
  </si>
  <si>
    <t>1672299403615322136</t>
  </si>
  <si>
    <t>1667158885898100736</t>
  </si>
  <si>
    <t>1704613156381655248</t>
  </si>
  <si>
    <t>1659295291810656256</t>
  </si>
  <si>
    <t>1655769801761906689</t>
  </si>
  <si>
    <t>1673877524026195969</t>
  </si>
  <si>
    <t>1659541199693262848</t>
  </si>
  <si>
    <t>1687156613784748041</t>
  </si>
  <si>
    <t>1674781115985588226</t>
  </si>
  <si>
    <t>1674529714835259392</t>
  </si>
  <si>
    <t>1656627302933975041</t>
  </si>
  <si>
    <t>1656625773854195712</t>
  </si>
  <si>
    <t>1658465639881637889</t>
  </si>
  <si>
    <t>1658464922194305025</t>
  </si>
  <si>
    <t>1682494712723243010</t>
  </si>
  <si>
    <t>1678351154218926082</t>
  </si>
  <si>
    <t>1671972186825826323</t>
  </si>
  <si>
    <t>1671942759677149184</t>
  </si>
  <si>
    <t>1673073580521783300</t>
  </si>
  <si>
    <t>1672242536218230785</t>
  </si>
  <si>
    <t>1676230511021228032</t>
  </si>
  <si>
    <t>1682103433904398339</t>
  </si>
  <si>
    <t>1681668064075448326</t>
  </si>
  <si>
    <t>1655256183559852033</t>
  </si>
  <si>
    <t>1690830586594893824</t>
  </si>
  <si>
    <t>1688638015445323776</t>
  </si>
  <si>
    <t>1670068781174108160</t>
  </si>
  <si>
    <t>1696177580062261559</t>
  </si>
  <si>
    <t>1667380598451650563</t>
  </si>
  <si>
    <t>1699425627307114857</t>
  </si>
  <si>
    <t>1704165273547292967</t>
  </si>
  <si>
    <t>1691409907818401792</t>
  </si>
  <si>
    <t>1695057985163215188</t>
  </si>
  <si>
    <t>1699420182936981910</t>
  </si>
  <si>
    <t>1701396766355079361</t>
  </si>
  <si>
    <t>1666316505452097536</t>
  </si>
  <si>
    <t>1664610642290982914</t>
  </si>
  <si>
    <t>1664492489296826368</t>
  </si>
  <si>
    <t>1682525690376208386</t>
  </si>
  <si>
    <t>1699628558753149174</t>
  </si>
  <si>
    <t>1705195010348417059</t>
  </si>
  <si>
    <t>1705194124322721967</t>
  </si>
  <si>
    <t>1668720965092515841</t>
  </si>
  <si>
    <t>1658458759918698496</t>
  </si>
  <si>
    <t>1681795937994170368</t>
  </si>
  <si>
    <t>1680940046667464704</t>
  </si>
  <si>
    <t>1686443880965619724</t>
  </si>
  <si>
    <t>1706359552197738863</t>
  </si>
  <si>
    <t>1656243383415742464</t>
  </si>
  <si>
    <t>1665657645733224450</t>
  </si>
  <si>
    <t>1667103330428919809</t>
  </si>
  <si>
    <t>1654135034750676993</t>
  </si>
  <si>
    <t>1671140865622810626</t>
  </si>
  <si>
    <t>1706433040526737755</t>
  </si>
  <si>
    <t>1656630233510936578</t>
  </si>
  <si>
    <t>1691600664030536157</t>
  </si>
  <si>
    <t>1689048848746909696</t>
  </si>
  <si>
    <t>1654516552933285890</t>
  </si>
  <si>
    <t>1704615512976621709</t>
  </si>
  <si>
    <t>1705600360390230151</t>
  </si>
  <si>
    <t>1654614521158279169</t>
  </si>
  <si>
    <t>1666083572774744073</t>
  </si>
  <si>
    <t>1691103619829903360</t>
  </si>
  <si>
    <t>1673347480879079426</t>
  </si>
  <si>
    <t>1663530059838246913</t>
  </si>
  <si>
    <t>1663529279877963777</t>
  </si>
  <si>
    <t>1687437626289135616</t>
  </si>
  <si>
    <t>1674412038909571073</t>
  </si>
  <si>
    <t>1666436736728088576</t>
  </si>
  <si>
    <t>1666436730344337408</t>
  </si>
  <si>
    <t>1666436727076945923</t>
  </si>
  <si>
    <t>1666436725277589505</t>
  </si>
  <si>
    <t>1671116628744974336</t>
  </si>
  <si>
    <t>1671115193340788736</t>
  </si>
  <si>
    <t>1679966500034080768</t>
  </si>
  <si>
    <t>1674242591871627265</t>
  </si>
  <si>
    <t>1682123549350195200</t>
  </si>
  <si>
    <t>1654558514063220739</t>
  </si>
  <si>
    <t>1676123068710678528</t>
  </si>
  <si>
    <t>1665681106455199745</t>
  </si>
  <si>
    <t>1658930391279890433</t>
  </si>
  <si>
    <t>1671848462042710017</t>
  </si>
  <si>
    <t>1675865905878769665</t>
  </si>
  <si>
    <t>1699065697878630830</t>
  </si>
  <si>
    <t>1666403245919485952</t>
  </si>
  <si>
    <t>1661611119880880128</t>
  </si>
  <si>
    <t>1654212201069027329</t>
  </si>
  <si>
    <t>1681653167056887815</t>
  </si>
  <si>
    <t>1673378534918701068</t>
  </si>
  <si>
    <t>1677651860201656323</t>
  </si>
  <si>
    <t>1677259058175197185</t>
  </si>
  <si>
    <t>1666193517285130243</t>
  </si>
  <si>
    <t>1681100545837219841</t>
  </si>
  <si>
    <t>1672625329062420481</t>
  </si>
  <si>
    <t>1683839343893561354</t>
  </si>
  <si>
    <t>1673831578487644161</t>
  </si>
  <si>
    <t>1688687414217191424</t>
  </si>
  <si>
    <t>1674432952003092488</t>
  </si>
  <si>
    <t>1688946317475606529</t>
  </si>
  <si>
    <t>1688704620741144576</t>
  </si>
  <si>
    <t>1693714939976794392</t>
  </si>
  <si>
    <t>1693632290302136329</t>
  </si>
  <si>
    <t>1678478421658071044</t>
  </si>
  <si>
    <t>1661413911814340620</t>
  </si>
  <si>
    <t>1658444908829474818</t>
  </si>
  <si>
    <t>1665433389149683712</t>
  </si>
  <si>
    <t>1674130721630310415</t>
  </si>
  <si>
    <t>1669079996332224512</t>
  </si>
  <si>
    <t>1656434124960280578</t>
  </si>
  <si>
    <t>1681378473464438785</t>
  </si>
  <si>
    <t>1681046341143633921</t>
  </si>
  <si>
    <t>1672590590620446721</t>
  </si>
  <si>
    <t>1687183570224218113</t>
  </si>
  <si>
    <t>1681740873531367425</t>
  </si>
  <si>
    <t>1673451312200003584</t>
  </si>
  <si>
    <t>1688959990621515779</t>
  </si>
  <si>
    <t>1691144610356015119</t>
  </si>
  <si>
    <t>1682008500929527809</t>
  </si>
  <si>
    <t>1689762322695237632</t>
  </si>
  <si>
    <t>1686869272717377536</t>
  </si>
  <si>
    <t>1688677209895014400</t>
  </si>
  <si>
    <t>1693771018815291676</t>
  </si>
  <si>
    <t>1704974567125504053</t>
  </si>
  <si>
    <t>1696195645642621282</t>
  </si>
  <si>
    <t>1704615905844400547</t>
  </si>
  <si>
    <t>1660779438919802880</t>
  </si>
  <si>
    <t>1692303774943940870</t>
  </si>
  <si>
    <t>1697560680411332755</t>
  </si>
  <si>
    <t>1686688152788877312</t>
  </si>
  <si>
    <t>1686521240406618112</t>
  </si>
  <si>
    <t>1702811143683600475</t>
  </si>
  <si>
    <t>1705537584296816799</t>
  </si>
  <si>
    <t>1655360435577651205</t>
  </si>
  <si>
    <t>1671106130209038339</t>
  </si>
  <si>
    <t>1688872901087219712</t>
  </si>
  <si>
    <t>1684536580000583688</t>
  </si>
  <si>
    <t>1704603494416621993</t>
  </si>
  <si>
    <t>1657203647652978689</t>
  </si>
  <si>
    <t>1694410073575952735</t>
  </si>
  <si>
    <t>1690134828258058240</t>
  </si>
  <si>
    <t>1691590601483927860</t>
  </si>
  <si>
    <t>1666992351112208387</t>
  </si>
  <si>
    <t>1666805344889352196</t>
  </si>
  <si>
    <t>1668611681033900032</t>
  </si>
  <si>
    <t>1673315171417329666</t>
  </si>
  <si>
    <t>1674032401704419328</t>
  </si>
  <si>
    <t>1674794927450992640</t>
  </si>
  <si>
    <t>1686368684468813824</t>
  </si>
  <si>
    <t>1686013857666306049</t>
  </si>
  <si>
    <t>1654546505531809794</t>
  </si>
  <si>
    <t>1664308325855502337</t>
  </si>
  <si>
    <t>1663971474569396224</t>
  </si>
  <si>
    <t>1654153922502598656</t>
  </si>
  <si>
    <t>1696998729952407575</t>
  </si>
  <si>
    <t>1654578761021509634</t>
  </si>
  <si>
    <t>1707115390164140221</t>
  </si>
  <si>
    <t>1691064628858802176</t>
  </si>
  <si>
    <t>1660078980886560770</t>
  </si>
  <si>
    <t>1655031450939301888</t>
  </si>
  <si>
    <t>1660070346010009602</t>
  </si>
  <si>
    <t>1662662533121994754</t>
  </si>
  <si>
    <t>1662662475022516224</t>
  </si>
  <si>
    <t>1674541963415019520</t>
  </si>
  <si>
    <t>1681991079493509120</t>
  </si>
  <si>
    <t>1681809977403482112</t>
  </si>
  <si>
    <t>1673374029107920896</t>
  </si>
  <si>
    <t>1668681840238927887</t>
  </si>
  <si>
    <t>1664622182285148160</t>
  </si>
  <si>
    <t>1691073889353314305</t>
  </si>
  <si>
    <t>1664609034484285442</t>
  </si>
  <si>
    <t>1664289452364120064</t>
  </si>
  <si>
    <t>1664246837736353793</t>
  </si>
  <si>
    <t>1664055557181915137</t>
  </si>
  <si>
    <t>1658112814433673219</t>
  </si>
  <si>
    <t>1696519091211641016</t>
  </si>
  <si>
    <t>1686151221424390144</t>
  </si>
  <si>
    <t>1686000839259738112</t>
  </si>
  <si>
    <t>1675966271790120960</t>
  </si>
  <si>
    <t>1661764422551912453</t>
  </si>
  <si>
    <t>1701942911074484254</t>
  </si>
  <si>
    <t>1694347432534954240</t>
  </si>
  <si>
    <t>1688522799042768896</t>
  </si>
  <si>
    <t>1668946792677883905</t>
  </si>
  <si>
    <t>1656012098890092546</t>
  </si>
  <si>
    <t>1701207519140495519</t>
  </si>
  <si>
    <t>1686767964219998208</t>
  </si>
  <si>
    <t>1666150650177105921</t>
  </si>
  <si>
    <t>1665785274184396814</t>
  </si>
  <si>
    <t>1700215862215504048</t>
  </si>
  <si>
    <t>1691799679674016079</t>
  </si>
  <si>
    <t>1673305059277385728</t>
  </si>
  <si>
    <t>1702715266939986105</t>
  </si>
  <si>
    <t>1699911760889663520</t>
  </si>
  <si>
    <t>1697306252013900002</t>
  </si>
  <si>
    <t>1696909572294819891</t>
  </si>
  <si>
    <t>1659548792624906241</t>
  </si>
  <si>
    <t>1659264166564184065</t>
  </si>
  <si>
    <t>1707513993756057910</t>
  </si>
  <si>
    <t>1670462834705154049</t>
  </si>
  <si>
    <t>1658588016980492289</t>
  </si>
  <si>
    <t>1655544600847589376</t>
  </si>
  <si>
    <t>1663894973132029955</t>
  </si>
  <si>
    <t>1654170905323372566</t>
  </si>
  <si>
    <t>1654109770222108673</t>
  </si>
  <si>
    <t>1653899950554505217</t>
  </si>
  <si>
    <t>1657006883868164097</t>
  </si>
  <si>
    <t>1705280427005481167</t>
  </si>
  <si>
    <t>1654093529499435008</t>
  </si>
  <si>
    <t>1681987565497331712</t>
  </si>
  <si>
    <t>1673687903518482432</t>
  </si>
  <si>
    <t>1686039937768886273</t>
  </si>
  <si>
    <t>1684149309841846274</t>
  </si>
  <si>
    <t>1707042539985887542</t>
  </si>
  <si>
    <t>1707042066125967504</t>
  </si>
  <si>
    <t>1671638992192667653</t>
  </si>
  <si>
    <t>1682383365020712960</t>
  </si>
  <si>
    <t>1682223873931063301</t>
  </si>
  <si>
    <t>1654892720177946624</t>
  </si>
  <si>
    <t>1686974972944924672</t>
  </si>
  <si>
    <t>1691430780113956865</t>
  </si>
  <si>
    <t>1704512135026323757</t>
  </si>
  <si>
    <t>1705242548338327831</t>
  </si>
  <si>
    <t>1705056732639019054</t>
  </si>
  <si>
    <t>1705019401735430302</t>
  </si>
  <si>
    <t>1688720914307829760</t>
  </si>
  <si>
    <t>1681727767161782297</t>
  </si>
  <si>
    <t>1653505009240391680</t>
  </si>
  <si>
    <t>1653453960886222850</t>
  </si>
  <si>
    <t>1686380736704823296</t>
  </si>
  <si>
    <t>1671717844160069633</t>
  </si>
  <si>
    <t>1672068574285021185</t>
  </si>
  <si>
    <t>1672402205641527296</t>
  </si>
  <si>
    <t>1659251702648668169</t>
  </si>
  <si>
    <t>1679213028766543900</t>
  </si>
  <si>
    <t>1683846621241409537</t>
  </si>
  <si>
    <t>1687177517105332224</t>
  </si>
  <si>
    <t>1664007755164704768</t>
  </si>
  <si>
    <t>1692687754566488293</t>
  </si>
  <si>
    <t>1681648754900848640</t>
  </si>
  <si>
    <t>1664622455611072519</t>
  </si>
  <si>
    <t>1703747029699035139</t>
  </si>
  <si>
    <t>1676338912715833344</t>
  </si>
  <si>
    <t>1693359109767098482</t>
  </si>
  <si>
    <t>1693308003393368155</t>
  </si>
  <si>
    <t>1707154564774760718</t>
  </si>
  <si>
    <t>1698766669395509603</t>
  </si>
  <si>
    <t>1699113544522817818</t>
  </si>
  <si>
    <t>1688554361897537536</t>
  </si>
  <si>
    <t>1696595229481087404</t>
  </si>
  <si>
    <t>1703761591274004528</t>
  </si>
  <si>
    <t>1697599143043125540</t>
  </si>
  <si>
    <t>1687161495182852110</t>
  </si>
  <si>
    <t>1671094387369975808</t>
  </si>
  <si>
    <t>1653857442504265728</t>
  </si>
  <si>
    <t>1655946112841420800</t>
  </si>
  <si>
    <t>1663162818592382977</t>
  </si>
  <si>
    <t>1705010722009145682</t>
  </si>
  <si>
    <t>1656996906562666497</t>
  </si>
  <si>
    <t>1668415037482958848</t>
  </si>
  <si>
    <t>1667243950720032775</t>
  </si>
  <si>
    <t>1671711044836655105</t>
  </si>
  <si>
    <t>1683436551982686209</t>
  </si>
  <si>
    <t>1684873661948268544</t>
  </si>
  <si>
    <t>1681247470968242176</t>
  </si>
  <si>
    <t>1681025974551420928</t>
  </si>
  <si>
    <t>1682357133541621761</t>
  </si>
  <si>
    <t>1681454152793358339</t>
  </si>
  <si>
    <t>1658504384676782080</t>
  </si>
  <si>
    <t>1695336335538631059</t>
  </si>
  <si>
    <t>1705017412398043371</t>
  </si>
  <si>
    <t>1674961099572035585</t>
  </si>
  <si>
    <t>1677490234672521216</t>
  </si>
  <si>
    <t>1681061420400517120</t>
  </si>
  <si>
    <t>1666800655024164865</t>
  </si>
  <si>
    <t>1695461869337686276</t>
  </si>
  <si>
    <t>1691101377466920960</t>
  </si>
  <si>
    <t>1653896195067064320</t>
  </si>
  <si>
    <t>1687108789626085377</t>
  </si>
  <si>
    <t>1706434175551557675</t>
  </si>
  <si>
    <t>1682199281619333121</t>
  </si>
  <si>
    <t>1653850879844286464</t>
  </si>
  <si>
    <t>1671691911336165376</t>
  </si>
  <si>
    <t>1672212490019643392</t>
  </si>
  <si>
    <t>1676159654219460610</t>
  </si>
  <si>
    <t>1704497320308490671</t>
  </si>
  <si>
    <t>1656026665988812801</t>
  </si>
  <si>
    <t>1656021827272024070</t>
  </si>
  <si>
    <t>1659648082173100033</t>
  </si>
  <si>
    <t>1668328877574492162</t>
  </si>
  <si>
    <t>1662186008450875416</t>
  </si>
  <si>
    <t>1672330254042513408</t>
  </si>
  <si>
    <t>1687178043796729856</t>
  </si>
  <si>
    <t>1663258667108450325</t>
  </si>
  <si>
    <t>1668609201231282177</t>
  </si>
  <si>
    <t>1674131372477231104</t>
  </si>
  <si>
    <t>1674532296223858689</t>
  </si>
  <si>
    <t>1624165504624517130</t>
  </si>
  <si>
    <t>1707048537609920705</t>
  </si>
  <si>
    <t>1664656530153537537</t>
  </si>
  <si>
    <t>1678683151063740416</t>
  </si>
  <si>
    <t>1697187848418410916</t>
  </si>
  <si>
    <t>1674885753136984064</t>
  </si>
  <si>
    <t>1699361802323366325</t>
  </si>
  <si>
    <t>1695859004143026338</t>
  </si>
  <si>
    <t>1700238110146154700</t>
  </si>
  <si>
    <t>1671846010958561285</t>
  </si>
  <si>
    <t>1671551059406323714</t>
  </si>
  <si>
    <t>1674436235073552385</t>
  </si>
  <si>
    <t>1670043302001819648</t>
  </si>
  <si>
    <t>1669673608556290048</t>
  </si>
  <si>
    <t>1673653907074023425</t>
  </si>
  <si>
    <t>1673348057398689793</t>
  </si>
  <si>
    <t>1668618031461986308</t>
  </si>
  <si>
    <t>1674064006921834498</t>
  </si>
  <si>
    <t>1672932046014906370</t>
  </si>
  <si>
    <t>1672254454056333312</t>
  </si>
  <si>
    <t>1667899990994309120</t>
  </si>
  <si>
    <t>1667544811803475971</t>
  </si>
  <si>
    <t>1675479231562752006</t>
  </si>
  <si>
    <t>1675112000152543232</t>
  </si>
  <si>
    <t>1671109047938957312</t>
  </si>
  <si>
    <t>1670898460504076289</t>
  </si>
  <si>
    <t>1670413411237212162</t>
  </si>
  <si>
    <t>1674561621669158922</t>
  </si>
  <si>
    <t>1671866491841421312</t>
  </si>
  <si>
    <t>1671865672228282369</t>
  </si>
  <si>
    <t>1654103485200072705</t>
  </si>
  <si>
    <t>1663344186974666752</t>
  </si>
  <si>
    <t>1699534540954333690</t>
  </si>
  <si>
    <t>1684239659008655362</t>
  </si>
  <si>
    <t>1661721935837888512</t>
  </si>
  <si>
    <t>1654160773386469382</t>
  </si>
  <si>
    <t>1668320562714640394</t>
  </si>
  <si>
    <t>1671965472680452097</t>
  </si>
  <si>
    <t>1687131519209369601</t>
  </si>
  <si>
    <t>1664243378857410560</t>
  </si>
  <si>
    <t>1705305981704339644</t>
  </si>
  <si>
    <t>1705678742750675093</t>
  </si>
  <si>
    <t>1664432187477839872</t>
  </si>
  <si>
    <t>1655924321368391680</t>
  </si>
  <si>
    <t>1671636334807506947</t>
  </si>
  <si>
    <t>1672030025703464961</t>
  </si>
  <si>
    <t>1654512526099611648</t>
  </si>
  <si>
    <t>1655587503993245696</t>
  </si>
  <si>
    <t>1660692002009145344</t>
  </si>
  <si>
    <t>1691834656948203836</t>
  </si>
  <si>
    <t>1687483893161644033</t>
  </si>
  <si>
    <t>1699891336361693689</t>
  </si>
  <si>
    <t>1689296255158013952</t>
  </si>
  <si>
    <t>1673387281770487818</t>
  </si>
  <si>
    <t>1655911875245121539</t>
  </si>
  <si>
    <t>1675881763279650819</t>
  </si>
  <si>
    <t>1670808453336399873</t>
  </si>
  <si>
    <t>1678395820134088705</t>
  </si>
  <si>
    <t>1688605229854408705</t>
  </si>
  <si>
    <t>1677495929606139906</t>
  </si>
  <si>
    <t>1684708066317459457</t>
  </si>
  <si>
    <t>1687243913780695041</t>
  </si>
  <si>
    <t>1686872998735749120</t>
  </si>
  <si>
    <t>1671867718654472192</t>
  </si>
  <si>
    <t>1658928907628978180</t>
  </si>
  <si>
    <t>1704825427821256766</t>
  </si>
  <si>
    <t>1661201692279308289</t>
  </si>
  <si>
    <t>1691270579209338880</t>
  </si>
  <si>
    <t>1688903667309498369</t>
  </si>
  <si>
    <t>1701326746656588128</t>
  </si>
  <si>
    <t>1705154378045259986</t>
  </si>
  <si>
    <t>1691312639773753344</t>
  </si>
  <si>
    <t>1691430423438766080</t>
  </si>
  <si>
    <t>1693624640185188570</t>
  </si>
  <si>
    <t>1696220243755155471</t>
  </si>
  <si>
    <t>1700225132126691743</t>
  </si>
  <si>
    <t>1666525432269746177</t>
  </si>
  <si>
    <t>1679531129848619031</t>
  </si>
  <si>
    <t>1689315602249502721</t>
  </si>
  <si>
    <t>1680990747884134400</t>
  </si>
  <si>
    <t>1699100074599465409</t>
  </si>
  <si>
    <t>1687141275118747648</t>
  </si>
  <si>
    <t>1707434995793760315</t>
  </si>
  <si>
    <t>1661867618943348736</t>
  </si>
  <si>
    <t>1678809221968560147</t>
  </si>
  <si>
    <t>1661863232473112576</t>
  </si>
  <si>
    <t>1673666608697335808</t>
  </si>
  <si>
    <t>1658172410686758926</t>
  </si>
  <si>
    <t>1658198902380568583</t>
  </si>
  <si>
    <t>1679935546057998350</t>
  </si>
  <si>
    <t>1707478570556113289</t>
  </si>
  <si>
    <t>1662198560111357953</t>
  </si>
  <si>
    <t>1670957110098644994</t>
  </si>
  <si>
    <t>1670928055982850049</t>
  </si>
  <si>
    <t>1686361410832330752</t>
  </si>
  <si>
    <t>1691144028572553216</t>
  </si>
  <si>
    <t>1707132865597649378</t>
  </si>
  <si>
    <t>1707007583267983808</t>
  </si>
  <si>
    <t>1654954929415413763</t>
  </si>
  <si>
    <t>1686772479484645377</t>
  </si>
  <si>
    <t>1694370158104739983</t>
  </si>
  <si>
    <t>1661402122330447875</t>
  </si>
  <si>
    <t>1705452709493559309</t>
  </si>
  <si>
    <t>1673391939423445013</t>
  </si>
  <si>
    <t>1618921006697189377</t>
  </si>
  <si>
    <t>1706533349903290379</t>
  </si>
  <si>
    <t>1695001141254234295</t>
  </si>
  <si>
    <t>1696496002184679504</t>
  </si>
  <si>
    <t>1686769807163527169</t>
  </si>
  <si>
    <t>1687554490033934336</t>
  </si>
  <si>
    <t>1686359122516516865</t>
  </si>
  <si>
    <t>1686865012319477760</t>
  </si>
  <si>
    <t>1694361519532712307</t>
  </si>
  <si>
    <t>1698775045315649870</t>
  </si>
  <si>
    <t>1690066766574022656</t>
  </si>
  <si>
    <t>1671518593832321026</t>
  </si>
  <si>
    <t>1687091314037518336</t>
  </si>
  <si>
    <t>1663914543712550914</t>
  </si>
  <si>
    <t>1694691642241171887</t>
  </si>
  <si>
    <t>1707395516965810226</t>
  </si>
  <si>
    <t>1692173784000970925</t>
  </si>
  <si>
    <t>1707424841215754546</t>
  </si>
  <si>
    <t>1655930870367391746</t>
  </si>
  <si>
    <t>1666771695359733763</t>
  </si>
  <si>
    <t>1661823210432675841</t>
  </si>
  <si>
    <t>1703757174416048335</t>
  </si>
  <si>
    <t>1691085006783893505</t>
  </si>
  <si>
    <t>1669108840711745536</t>
  </si>
  <si>
    <t>1658131452117041155</t>
  </si>
  <si>
    <t>1697352698042237181</t>
  </si>
  <si>
    <t>1702174265846419877</t>
  </si>
  <si>
    <t>1702454868802154530</t>
  </si>
  <si>
    <t>1678433569088106502</t>
  </si>
  <si>
    <t>1688632688641503233</t>
  </si>
  <si>
    <t>1691490161106812928</t>
  </si>
  <si>
    <t>1673376828025901057</t>
  </si>
  <si>
    <t>1655265044865638402</t>
  </si>
  <si>
    <t>1655050755613630464</t>
  </si>
  <si>
    <t>1655261074315255810</t>
  </si>
  <si>
    <t>1682541410283560960</t>
  </si>
  <si>
    <t>1682540920460156928</t>
  </si>
  <si>
    <t>1682539976553029635</t>
  </si>
  <si>
    <t>1691089381677780993</t>
  </si>
  <si>
    <t>1704625146978328863</t>
  </si>
  <si>
    <t>1707374559458984274</t>
  </si>
  <si>
    <t>1689084832825970688</t>
  </si>
  <si>
    <t>1691809474288173390</t>
  </si>
  <si>
    <t>1701394796042961151</t>
  </si>
  <si>
    <t>1706835386561970672</t>
  </si>
  <si>
    <t>1669179519234703366</t>
  </si>
  <si>
    <t>1655952066316210185</t>
  </si>
  <si>
    <t>1699805032646861204</t>
  </si>
  <si>
    <t>1702440369978310790</t>
  </si>
  <si>
    <t>1704436205226443219</t>
  </si>
  <si>
    <t>1660324740635185153</t>
  </si>
  <si>
    <t>1660326295396556801</t>
  </si>
  <si>
    <t>1671656463524143106</t>
  </si>
  <si>
    <t>1674722589749522432</t>
  </si>
  <si>
    <t>1656394026268934145</t>
  </si>
  <si>
    <t>1671643147728822279</t>
  </si>
  <si>
    <t>1666851494048542721</t>
  </si>
  <si>
    <t>1683136874238312453</t>
  </si>
  <si>
    <t>1653557745398824968</t>
  </si>
  <si>
    <t>1671677232199204864</t>
  </si>
  <si>
    <t>1687938480381263872</t>
  </si>
  <si>
    <t>1688688890222145536</t>
  </si>
  <si>
    <t>1703040653150535862</t>
  </si>
  <si>
    <t>1685069360262447104</t>
  </si>
  <si>
    <t>1674922166930878464</t>
  </si>
  <si>
    <t>1691416459367313408</t>
  </si>
  <si>
    <t>1669701158569496576</t>
  </si>
  <si>
    <t>1687548025164443648</t>
  </si>
  <si>
    <t>1688174712193679360</t>
  </si>
  <si>
    <t>1687142578750201859</t>
  </si>
  <si>
    <t>1679262456755941376</t>
  </si>
  <si>
    <t>1679463573188231173</t>
  </si>
  <si>
    <t>1699512794230456482</t>
  </si>
  <si>
    <t>1699883745141051498</t>
  </si>
  <si>
    <t>1702432808709325284</t>
  </si>
  <si>
    <t>1654144908893061127</t>
  </si>
  <si>
    <t>1681422685618798593</t>
  </si>
  <si>
    <t>1707119012155457699</t>
  </si>
  <si>
    <t>1666984746973364226</t>
  </si>
  <si>
    <t>1659835469574598657</t>
  </si>
  <si>
    <t>1663234135584915472</t>
  </si>
  <si>
    <t>1665708970915291137</t>
  </si>
  <si>
    <t>1661801032781889536</t>
  </si>
  <si>
    <t>1657161831318798343</t>
  </si>
  <si>
    <t>1657122127265386525</t>
  </si>
  <si>
    <t>1675854866634231808</t>
  </si>
  <si>
    <t>1659240288576061440</t>
  </si>
  <si>
    <t>1658868540676472840</t>
  </si>
  <si>
    <t>1683892232745623555</t>
  </si>
  <si>
    <t>1687181614101475329</t>
  </si>
  <si>
    <t>1685635272111755265</t>
  </si>
  <si>
    <t>1682528506272514050</t>
  </si>
  <si>
    <t>1655907779557703681</t>
  </si>
  <si>
    <t>1656118115707547649</t>
  </si>
  <si>
    <t>1672641572951715840</t>
  </si>
  <si>
    <t>1677214196147138560</t>
  </si>
  <si>
    <t>1654927860555972609</t>
  </si>
  <si>
    <t>1654927845607579648</t>
  </si>
  <si>
    <t>1653981582565289986</t>
  </si>
  <si>
    <t>1655654985747537920</t>
  </si>
  <si>
    <t>1676299713241313289</t>
  </si>
  <si>
    <t>1689006840808607746</t>
  </si>
  <si>
    <t>1674833242510462981</t>
  </si>
  <si>
    <t>1672232360513880072</t>
  </si>
  <si>
    <t>1674133870269157387</t>
  </si>
  <si>
    <t>1687103553180160007</t>
  </si>
  <si>
    <t>1655719324584222721</t>
  </si>
  <si>
    <t>1668622338257219585</t>
  </si>
  <si>
    <t>1697817012767003108</t>
  </si>
  <si>
    <t>1677068610185904128</t>
  </si>
  <si>
    <t>1696317309420253345</t>
  </si>
  <si>
    <t>1686163735574990849</t>
  </si>
  <si>
    <t>1676417624308174848</t>
  </si>
  <si>
    <t>1675994280211410944</t>
  </si>
  <si>
    <t>1697318736372371802</t>
  </si>
  <si>
    <t>1699909307930681663</t>
  </si>
  <si>
    <t>1670895195800363008</t>
  </si>
  <si>
    <t>1659292362135203840</t>
  </si>
  <si>
    <t>1701704128102007212</t>
  </si>
  <si>
    <t>1678040971026608129</t>
  </si>
  <si>
    <t>1664001558546382848</t>
  </si>
  <si>
    <t>1701815263593738310</t>
  </si>
  <si>
    <t>1674533101475700736</t>
  </si>
  <si>
    <t>1668632419753406468</t>
  </si>
  <si>
    <t>1686861617969934336</t>
  </si>
  <si>
    <t>1682735833311322112</t>
  </si>
  <si>
    <t>1690372788706553856</t>
  </si>
  <si>
    <t>1691066370627121152</t>
  </si>
  <si>
    <t>1689790442798280704</t>
  </si>
  <si>
    <t>1691119017350840320</t>
  </si>
  <si>
    <t>1691452460941135875</t>
  </si>
  <si>
    <t>1692203756471951449</t>
  </si>
  <si>
    <t>1691823026420015476</t>
  </si>
  <si>
    <t>1691223793367187456</t>
  </si>
  <si>
    <t>1686755658731749381</t>
  </si>
  <si>
    <t>1666561876916940800</t>
  </si>
  <si>
    <t>1688624453293350913</t>
  </si>
  <si>
    <t>1687168577684537344</t>
  </si>
  <si>
    <t>1694973596005761355</t>
  </si>
  <si>
    <t>1681349109285007360</t>
  </si>
  <si>
    <t>1704767427278770301</t>
  </si>
  <si>
    <t>1658940455193812996</t>
  </si>
  <si>
    <t>1658442174336311296</t>
  </si>
  <si>
    <t>1699407105638207913</t>
  </si>
  <si>
    <t>1661839557174632469</t>
  </si>
  <si>
    <t>1661348825439641608</t>
  </si>
  <si>
    <t>1661144986061262849</t>
  </si>
  <si>
    <t>1685976852664299520</t>
  </si>
  <si>
    <t>1685928282594955264</t>
  </si>
  <si>
    <t>1684985822309957632</t>
  </si>
  <si>
    <t>1684830045724934144</t>
  </si>
  <si>
    <t>1694689512620724686</t>
  </si>
  <si>
    <t>1684552282027831296</t>
  </si>
  <si>
    <t>1660593847699664897</t>
  </si>
  <si>
    <t>1668163223952998400</t>
  </si>
  <si>
    <t>1666770295880048725</t>
  </si>
  <si>
    <t>1704039622626673080</t>
  </si>
  <si>
    <t>1705055064166158496</t>
  </si>
  <si>
    <t>1704450334553485447</t>
  </si>
  <si>
    <t>1698652374959554665</t>
  </si>
  <si>
    <t>1683745902115315713</t>
  </si>
  <si>
    <t>1682413624034463744</t>
  </si>
  <si>
    <t>1674402508314226688</t>
  </si>
  <si>
    <t>1673680136560955396</t>
  </si>
  <si>
    <t>1664249936509116416</t>
  </si>
  <si>
    <t>1676232346230575106</t>
  </si>
  <si>
    <t>1679453732965064705</t>
  </si>
  <si>
    <t>1681383018198335490</t>
  </si>
  <si>
    <t>1686393270559981568</t>
  </si>
  <si>
    <t>1691092795182710784</t>
  </si>
  <si>
    <t>1691084000041881600</t>
  </si>
  <si>
    <t>1686108192810364929</t>
  </si>
  <si>
    <t>1687684432008822784</t>
  </si>
  <si>
    <t>1687685683333242880</t>
  </si>
  <si>
    <t>1686521311063887873</t>
  </si>
  <si>
    <t>1686463070044921858</t>
  </si>
  <si>
    <t>1690072404050030593</t>
  </si>
  <si>
    <t>1689131413847572481</t>
  </si>
  <si>
    <t>1689026548643328000</t>
  </si>
  <si>
    <t>1704198073772110216</t>
  </si>
  <si>
    <t>1695783229469667508</t>
  </si>
  <si>
    <t>1678880520996790272</t>
  </si>
  <si>
    <t>1663329805457149955</t>
  </si>
  <si>
    <t>1692644381033935238</t>
  </si>
  <si>
    <t>1687215350721413121</t>
  </si>
  <si>
    <t>1691219944380174337</t>
  </si>
  <si>
    <t>1696609654116065393</t>
  </si>
  <si>
    <t>1691586658381054332</t>
  </si>
  <si>
    <t>1689004132139675648</t>
  </si>
  <si>
    <t>1684619875363192832</t>
  </si>
  <si>
    <t>1697350124178198705</t>
  </si>
  <si>
    <t>1681034884922454016</t>
  </si>
  <si>
    <t>1699148744279708034</t>
  </si>
  <si>
    <t>1691117221769363456</t>
  </si>
  <si>
    <t>1679589568138432512</t>
  </si>
  <si>
    <t>1700247857524289909</t>
  </si>
  <si>
    <t>1676710347032473600</t>
  </si>
  <si>
    <t>1692162584894386241</t>
  </si>
  <si>
    <t>1682707256071127040</t>
  </si>
  <si>
    <t>1686856853853003776</t>
  </si>
  <si>
    <t>1663651937756098561</t>
  </si>
  <si>
    <t>1689260472338460678</t>
  </si>
  <si>
    <t>1692199525035725095</t>
  </si>
  <si>
    <t>1666893573894070291</t>
  </si>
  <si>
    <t>1694460386932596934</t>
  </si>
  <si>
    <t>1656010127110021125</t>
  </si>
  <si>
    <t>1669100459565391877</t>
  </si>
  <si>
    <t>1673373951378989057</t>
  </si>
  <si>
    <t>1673304996723539968</t>
  </si>
  <si>
    <t>1692492549192139060</t>
  </si>
  <si>
    <t>1676710447712534528</t>
  </si>
  <si>
    <t>1691085758067621889</t>
  </si>
  <si>
    <t>1663973757319348225</t>
  </si>
  <si>
    <t>1666088975214469121</t>
  </si>
  <si>
    <t>1705010732914405616</t>
  </si>
  <si>
    <t>1702639643613610373</t>
  </si>
  <si>
    <t>1704459092985590254</t>
  </si>
  <si>
    <t>1699044858688688164</t>
  </si>
  <si>
    <t>1705216077204988091</t>
  </si>
  <si>
    <t>1663314437179097088</t>
  </si>
  <si>
    <t>1653520417670197250</t>
  </si>
  <si>
    <t>1653524421565378562</t>
  </si>
  <si>
    <t>1653520420300111875</t>
  </si>
  <si>
    <t>1656675538927497218</t>
  </si>
  <si>
    <t>1668287199958249473</t>
  </si>
  <si>
    <t>1666465034665426944</t>
  </si>
  <si>
    <t>1665731912415993860</t>
  </si>
  <si>
    <t>1685036285172371456</t>
  </si>
  <si>
    <t>1706426503242932328</t>
  </si>
  <si>
    <t>1699770667128803695</t>
  </si>
  <si>
    <t>1692391878983893096</t>
  </si>
  <si>
    <t>1664241582847975425</t>
  </si>
  <si>
    <t>1690747894465273856</t>
  </si>
  <si>
    <t>1669770591199526920</t>
  </si>
  <si>
    <t>1669814673678512130</t>
  </si>
  <si>
    <t>1667188810730307587</t>
  </si>
  <si>
    <t>1673747623868596225</t>
  </si>
  <si>
    <t>1666939251978543104</t>
  </si>
  <si>
    <t>1678097891552837634</t>
  </si>
  <si>
    <t>1697651370663301183</t>
  </si>
  <si>
    <t>1677324087146717184</t>
  </si>
  <si>
    <t>1676736716693213184</t>
  </si>
  <si>
    <t>1669458821587124225</t>
  </si>
  <si>
    <t>1653474551416668163</t>
  </si>
  <si>
    <t>1677694374392602624</t>
  </si>
  <si>
    <t>1671917532066861057</t>
  </si>
  <si>
    <t>1689369826689474560</t>
  </si>
  <si>
    <t>1691064737147047936</t>
  </si>
  <si>
    <t>1687131208763822082</t>
  </si>
  <si>
    <t>1663953600484179972</t>
  </si>
  <si>
    <t>1695768694834475420</t>
  </si>
  <si>
    <t>1688203275101941760</t>
  </si>
  <si>
    <t>1683884825885769728</t>
  </si>
  <si>
    <t>1673733992376352768</t>
  </si>
  <si>
    <t>1701332373676151107</t>
  </si>
  <si>
    <t>1701295362512663012</t>
  </si>
  <si>
    <t>1687530087036706816</t>
  </si>
  <si>
    <t>1673436576221650945</t>
  </si>
  <si>
    <t>1704933650444296362</t>
  </si>
  <si>
    <t>1670837671747371029</t>
  </si>
  <si>
    <t>1654531524690051096</t>
  </si>
  <si>
    <t>1702728987724882000</t>
  </si>
  <si>
    <t>1702653492928847941</t>
  </si>
  <si>
    <t>1705311007344820297</t>
  </si>
  <si>
    <t>1703755762051559669</t>
  </si>
  <si>
    <t>1676531367889498112</t>
  </si>
  <si>
    <t>1680909254025179136</t>
  </si>
  <si>
    <t>1691164850108473345</t>
  </si>
  <si>
    <t>1662166597052530699</t>
  </si>
  <si>
    <t>1668334280982814737</t>
  </si>
  <si>
    <t>1654109698029674499</t>
  </si>
  <si>
    <t>1692271714644730359</t>
  </si>
  <si>
    <t>1686915677251067904</t>
  </si>
  <si>
    <t>1661382653893910529</t>
  </si>
  <si>
    <t>1661368499409649673</t>
  </si>
  <si>
    <t>1661145529848590339</t>
  </si>
  <si>
    <t>1689601124808941568</t>
  </si>
  <si>
    <t>1689600930344247296</t>
  </si>
  <si>
    <t>1689475882224664576</t>
  </si>
  <si>
    <t>1689463798900367360</t>
  </si>
  <si>
    <t>1686053702233116672</t>
  </si>
  <si>
    <t>1705625904825655395</t>
  </si>
  <si>
    <t>1702398602155377037</t>
  </si>
  <si>
    <t>1683594862271053826</t>
  </si>
  <si>
    <t>1704614183826813136</t>
  </si>
  <si>
    <t>1677003635689914395</t>
  </si>
  <si>
    <t>1673711814016745473</t>
  </si>
  <si>
    <t>1691132915189534721</t>
  </si>
  <si>
    <t>1691095952357224449</t>
  </si>
  <si>
    <t>1693309181355233408</t>
  </si>
  <si>
    <t>1688637907379093504</t>
  </si>
  <si>
    <t>1690066536860471297</t>
  </si>
  <si>
    <t>1698759078628003940</t>
  </si>
  <si>
    <t>1699591647548346649</t>
  </si>
  <si>
    <t>1705282041460211771</t>
  </si>
  <si>
    <t>1686478865609170944</t>
  </si>
  <si>
    <t>1705697578656915769</t>
  </si>
  <si>
    <t>1667248027579367424</t>
  </si>
  <si>
    <t>1661046833362407424</t>
  </si>
  <si>
    <t>1687501148222341120</t>
  </si>
  <si>
    <t>1677360583442669583</t>
  </si>
  <si>
    <t>1691140245146710018</t>
  </si>
  <si>
    <t>1664432549190332417</t>
  </si>
  <si>
    <t>1663226192550592512</t>
  </si>
  <si>
    <t>1681348107559407616</t>
  </si>
  <si>
    <t>1684247211406925824</t>
  </si>
  <si>
    <t>1671229998823292928</t>
  </si>
  <si>
    <t>1672278893259108357</t>
  </si>
  <si>
    <t>1655564372188577792</t>
  </si>
  <si>
    <t>1661446632720793626</t>
  </si>
  <si>
    <t>1678070435689250817</t>
  </si>
  <si>
    <t>1682057252964794368</t>
  </si>
  <si>
    <t>1668611688256491521</t>
  </si>
  <si>
    <t>1701925851346915808</t>
  </si>
  <si>
    <t>1673430859792232453</t>
  </si>
  <si>
    <t>1659541233826426881</t>
  </si>
  <si>
    <t>1687156747373330442</t>
  </si>
  <si>
    <t>1668689389898047496</t>
  </si>
  <si>
    <t>1656108131536060416</t>
  </si>
  <si>
    <t>1678431338523762691</t>
  </si>
  <si>
    <t>1664381025860845574</t>
  </si>
  <si>
    <t>1664032355164495873</t>
  </si>
  <si>
    <t>1682227016307732485</t>
  </si>
  <si>
    <t>1681798767895257088</t>
  </si>
  <si>
    <t>1668402496392372225</t>
  </si>
  <si>
    <t>1674555487080128512</t>
  </si>
  <si>
    <t>1674531681833721856</t>
  </si>
  <si>
    <t>1669540529007214594</t>
  </si>
  <si>
    <t>1696278709437595868</t>
  </si>
  <si>
    <t>1676398437481209862</t>
  </si>
  <si>
    <t>1675986654153129985</t>
  </si>
  <si>
    <t>1691550780145193450</t>
  </si>
  <si>
    <t>1659056979782893569</t>
  </si>
  <si>
    <t>1701711324042899861</t>
  </si>
  <si>
    <t>1705379969227251947</t>
  </si>
  <si>
    <t>1686241903535099904</t>
  </si>
  <si>
    <t>1680695028421652480</t>
  </si>
  <si>
    <t>1692751947831345385</t>
  </si>
  <si>
    <t>1653794844475572224</t>
  </si>
  <si>
    <t>1687080348729888768</t>
  </si>
  <si>
    <t>1691813186305925363</t>
  </si>
  <si>
    <t>1693777291074056528</t>
  </si>
  <si>
    <t>1655515869269639168</t>
  </si>
  <si>
    <t>1671834366425677825</t>
  </si>
  <si>
    <t>1666200246907461661</t>
  </si>
  <si>
    <t>1707037877421392106</t>
  </si>
  <si>
    <t>1664829739524038657</t>
  </si>
  <si>
    <t>1682396870901899265</t>
  </si>
  <si>
    <t>1682408729977692161</t>
  </si>
  <si>
    <t>1666031103180668928</t>
  </si>
  <si>
    <t>1664640821390352385</t>
  </si>
  <si>
    <t>1660625642629603334</t>
  </si>
  <si>
    <t>1660608602401304578</t>
  </si>
  <si>
    <t>1664325612859736074</t>
  </si>
  <si>
    <t>1664233797791932417</t>
  </si>
  <si>
    <t>1676207526491070464</t>
  </si>
  <si>
    <t>1675944520070885393</t>
  </si>
  <si>
    <t>1672606088170962944</t>
  </si>
  <si>
    <t>1674542051931586564</t>
  </si>
  <si>
    <t>1678509406030561281</t>
  </si>
  <si>
    <t>1678060235670405120</t>
  </si>
  <si>
    <t>1664617993483976707</t>
  </si>
  <si>
    <t>1686151908342267905</t>
  </si>
  <si>
    <t>1682155972465238017</t>
  </si>
  <si>
    <t>1682038948359716865</t>
  </si>
  <si>
    <t>1668407900237168640</t>
  </si>
  <si>
    <t>1699248604823593194</t>
  </si>
  <si>
    <t>1696123037899174095</t>
  </si>
  <si>
    <t>1657177630288797703</t>
  </si>
  <si>
    <t>1700913456331813141</t>
  </si>
  <si>
    <t>1665705159643607041</t>
  </si>
  <si>
    <t>1665406851788288002</t>
  </si>
  <si>
    <t>1688640097619501058</t>
  </si>
  <si>
    <t>1658436998124695556</t>
  </si>
  <si>
    <t>1658436681907724288</t>
  </si>
  <si>
    <t>1692127309334032727</t>
  </si>
  <si>
    <t>1691264413699895296</t>
  </si>
  <si>
    <t>1689760243436195840</t>
  </si>
  <si>
    <t>1677473253948813312</t>
  </si>
  <si>
    <t>1688945487187976192</t>
  </si>
  <si>
    <t>1654486111882715141</t>
  </si>
  <si>
    <t>1655218534169952259</t>
  </si>
  <si>
    <t>1660698825802039308</t>
  </si>
  <si>
    <t>1694862154455806381</t>
  </si>
  <si>
    <t>1695224542413951141</t>
  </si>
  <si>
    <t>1690489267552727040</t>
  </si>
  <si>
    <t>1699398403678175528</t>
  </si>
  <si>
    <t>1699524376981299611</t>
  </si>
  <si>
    <t>1686127234505990145</t>
  </si>
  <si>
    <t>1686004313145913344</t>
  </si>
  <si>
    <t>1695028537579667593</t>
  </si>
  <si>
    <t>1691944456210018634</t>
  </si>
  <si>
    <t>1691840813888684125</t>
  </si>
  <si>
    <t>1691821241924018437</t>
  </si>
  <si>
    <t>1689629603868835840</t>
  </si>
  <si>
    <t>1689591607928999936</t>
  </si>
  <si>
    <t>1689368245571104768</t>
  </si>
  <si>
    <t>1689292342589583360</t>
  </si>
  <si>
    <t>1686727597642657793</t>
  </si>
  <si>
    <t>1686695974872223746</t>
  </si>
  <si>
    <t>1686686244401520640</t>
  </si>
  <si>
    <t>1686455952172531732</t>
  </si>
  <si>
    <t>1686440471562768394</t>
  </si>
  <si>
    <t>1681377957502124039</t>
  </si>
  <si>
    <t>1681279191940038658</t>
  </si>
  <si>
    <t>1680910174721126401</t>
  </si>
  <si>
    <t>1673301281316696064</t>
  </si>
  <si>
    <t>1673275913276911616</t>
  </si>
  <si>
    <t>1672635987455868928</t>
  </si>
  <si>
    <t>1672605786286039043</t>
  </si>
  <si>
    <t>1672240979292614656</t>
  </si>
  <si>
    <t>1668223538614923264</t>
  </si>
  <si>
    <t>1667585478814576640</t>
  </si>
  <si>
    <t>1667532359812493313</t>
  </si>
  <si>
    <t>1666852875903938571</t>
  </si>
  <si>
    <t>1666837091504750593</t>
  </si>
  <si>
    <t>1654180897858506763</t>
  </si>
  <si>
    <t>1654176052178976774</t>
  </si>
  <si>
    <t>1654164858022010882</t>
  </si>
  <si>
    <t>1654160060589670411</t>
  </si>
  <si>
    <t>1654145907661717505</t>
  </si>
  <si>
    <t>1654126076791250945</t>
  </si>
  <si>
    <t>1654099598640570370</t>
  </si>
  <si>
    <t>1654089685600198657</t>
  </si>
  <si>
    <t>1654087525437145089</t>
  </si>
  <si>
    <t>1653892454456672259</t>
  </si>
  <si>
    <t>1653890905626013701</t>
  </si>
  <si>
    <t>1653880701488443394</t>
  </si>
  <si>
    <t>1653879407218421760</t>
  </si>
  <si>
    <t>1653868899312496640</t>
  </si>
  <si>
    <t>1696522908338975096</t>
  </si>
  <si>
    <t>1696517700892156268</t>
  </si>
  <si>
    <t>1696242318863421616</t>
  </si>
  <si>
    <t>1691171354379456517</t>
  </si>
  <si>
    <t>1688921068374036480</t>
  </si>
  <si>
    <t>1688919575373766657</t>
  </si>
  <si>
    <t>1688903119629938688</t>
  </si>
  <si>
    <t>1688874874947694592</t>
  </si>
  <si>
    <t>1688866052233445377</t>
  </si>
  <si>
    <t>1688858827695788033</t>
  </si>
  <si>
    <t>1686401268162465792</t>
  </si>
  <si>
    <t>1686348843737100288</t>
  </si>
  <si>
    <t>1676569363950850049</t>
  </si>
  <si>
    <t>1676568806582280194</t>
  </si>
  <si>
    <t>1676267695178670080</t>
  </si>
  <si>
    <t>1676230101225144321</t>
  </si>
  <si>
    <t>1676206056253317120</t>
  </si>
  <si>
    <t>1671542259853013000</t>
  </si>
  <si>
    <t>1671537358024392706</t>
  </si>
  <si>
    <t>1671536597370560512</t>
  </si>
  <si>
    <t>1671514323007463428</t>
  </si>
  <si>
    <t>1671496846403944449</t>
  </si>
  <si>
    <t>1671475002967834624</t>
  </si>
  <si>
    <t>1671240535737081857</t>
  </si>
  <si>
    <t>1671220457024913410</t>
  </si>
  <si>
    <t>1671209090410852362</t>
  </si>
  <si>
    <t>1671186501525176327</t>
  </si>
  <si>
    <t>1671144857170067456</t>
  </si>
  <si>
    <t>1671118470057000960</t>
  </si>
  <si>
    <t>1671117389453246464</t>
  </si>
  <si>
    <t>1671114845918199810</t>
  </si>
  <si>
    <t>1662791837944348672</t>
  </si>
  <si>
    <t>1662228806449463296</t>
  </si>
  <si>
    <t>1662117765820346374</t>
  </si>
  <si>
    <t>1662112185852604419</t>
  </si>
  <si>
    <t>1662081433739964417</t>
  </si>
  <si>
    <t>1662072293743292418</t>
  </si>
  <si>
    <t>1662059927852941313</t>
  </si>
  <si>
    <t>1661823778207285249</t>
  </si>
  <si>
    <t>1661817804620812301</t>
  </si>
  <si>
    <t>1661740667704606729</t>
  </si>
  <si>
    <t>1661707893366767618</t>
  </si>
  <si>
    <t>1661421561029484544</t>
  </si>
  <si>
    <t>1661401195334729728</t>
  </si>
  <si>
    <t>1661374935539888130</t>
  </si>
  <si>
    <t>1661345865305403394</t>
  </si>
  <si>
    <t>1661007299865989120</t>
  </si>
  <si>
    <t>1663160623541231618</t>
  </si>
  <si>
    <t>1663150460893642752</t>
  </si>
  <si>
    <t>1698774651298615380</t>
  </si>
  <si>
    <t>1698760055552663961</t>
  </si>
  <si>
    <t>1695193792125534464</t>
  </si>
  <si>
    <t>1695166394952765469</t>
  </si>
  <si>
    <t>1693590986109104366</t>
  </si>
  <si>
    <t>1693307192525443325</t>
  </si>
  <si>
    <t>1692614097488015408</t>
  </si>
  <si>
    <t>1690067093524295680</t>
  </si>
  <si>
    <t>1690028250624385024</t>
  </si>
  <si>
    <t>1690023429498396672</t>
  </si>
  <si>
    <t>1687584527395217408</t>
  </si>
  <si>
    <t>1687551647365406720</t>
  </si>
  <si>
    <t>1687425908041265152</t>
  </si>
  <si>
    <t>1687215436767580160</t>
  </si>
  <si>
    <t>1687187136817033216</t>
  </si>
  <si>
    <t>1682344455691436032</t>
  </si>
  <si>
    <t>1682125538184265729</t>
  </si>
  <si>
    <t>1682038955947233281</t>
  </si>
  <si>
    <t>1681990115839602690</t>
  </si>
  <si>
    <t>1681744003551690754</t>
  </si>
  <si>
    <t>1681732827862188046</t>
  </si>
  <si>
    <t>1673717930389827586</t>
  </si>
  <si>
    <t>1673716838314782722</t>
  </si>
  <si>
    <t>1673713256244936706</t>
  </si>
  <si>
    <t>1673705762348990466</t>
  </si>
  <si>
    <t>1673686287767724034</t>
  </si>
  <si>
    <t>1673679563002454020</t>
  </si>
  <si>
    <t>1673664153834205186</t>
  </si>
  <si>
    <t>1673645305022099458</t>
  </si>
  <si>
    <t>1673639212099223552</t>
  </si>
  <si>
    <t>1673421152364949533</t>
  </si>
  <si>
    <t>1673386914387296257</t>
  </si>
  <si>
    <t>1673352686589050880</t>
  </si>
  <si>
    <t>1673309223524892674</t>
  </si>
  <si>
    <t>1668659337718378497</t>
  </si>
  <si>
    <t>1668647922446090240</t>
  </si>
  <si>
    <t>1668594066638946314</t>
  </si>
  <si>
    <t>1668574966848057346</t>
  </si>
  <si>
    <t>1668570439096958976</t>
  </si>
  <si>
    <t>1668301500735528960</t>
  </si>
  <si>
    <t>1655667319434104833</t>
  </si>
  <si>
    <t>1655638743531806734</t>
  </si>
  <si>
    <t>1655561418387738624</t>
  </si>
  <si>
    <t>1655560444663267329</t>
  </si>
  <si>
    <t>1655549384182976516</t>
  </si>
  <si>
    <t>1655541235552010241</t>
  </si>
  <si>
    <t>1655536389218357248</t>
  </si>
  <si>
    <t>1655181133930217473</t>
  </si>
  <si>
    <t>1654887131196563456</t>
  </si>
  <si>
    <t>1664618186224836610</t>
  </si>
  <si>
    <t>1699113786819420304</t>
  </si>
  <si>
    <t>1699113722852016510</t>
  </si>
  <si>
    <t>1699071085726380169</t>
  </si>
  <si>
    <t>1698786200633352693</t>
  </si>
  <si>
    <t>1694062165919924445</t>
  </si>
  <si>
    <t>1693994710543818852</t>
  </si>
  <si>
    <t>1693964170226487594</t>
  </si>
  <si>
    <t>1693642004339569129</t>
  </si>
  <si>
    <t>1691054907258716160</t>
  </si>
  <si>
    <t>1691040762153078784</t>
  </si>
  <si>
    <t>1687161146644578311</t>
  </si>
  <si>
    <t>1687156795372945420</t>
  </si>
  <si>
    <t>1687145996499787790</t>
  </si>
  <si>
    <t>1687120100527157248</t>
  </si>
  <si>
    <t>1687111801119662082</t>
  </si>
  <si>
    <t>1687080615944884224</t>
  </si>
  <si>
    <t>1687059767577939968</t>
  </si>
  <si>
    <t>1687055456315772928</t>
  </si>
  <si>
    <t>1687047938399203329</t>
  </si>
  <si>
    <t>1686897731690733569</t>
  </si>
  <si>
    <t>1678827931286532119</t>
  </si>
  <si>
    <t>1678725816065175552</t>
  </si>
  <si>
    <t>1678713317295095810</t>
  </si>
  <si>
    <t>1678468476044713986</t>
  </si>
  <si>
    <t>1678454292464771073</t>
  </si>
  <si>
    <t>1678370293172035584</t>
  </si>
  <si>
    <t>1678104835982327808</t>
  </si>
  <si>
    <t>1671860746206994433</t>
  </si>
  <si>
    <t>1671841073331666948</t>
  </si>
  <si>
    <t>1671835732527177734</t>
  </si>
  <si>
    <t>1671831786710609921</t>
  </si>
  <si>
    <t>1671645478730039296</t>
  </si>
  <si>
    <t>1671645089527914496</t>
  </si>
  <si>
    <t>1671633645499478016</t>
  </si>
  <si>
    <t>1671596593529643020</t>
  </si>
  <si>
    <t>1671570295767826450</t>
  </si>
  <si>
    <t>1664607626049495040</t>
  </si>
  <si>
    <t>1664348790143188992</t>
  </si>
  <si>
    <t>1664347098018357257</t>
  </si>
  <si>
    <t>1664245134328725504</t>
  </si>
  <si>
    <t>1663984800435408896</t>
  </si>
  <si>
    <t>1663968433602428930</t>
  </si>
  <si>
    <t>1663968105947709440</t>
  </si>
  <si>
    <t>1663928720443207682</t>
  </si>
  <si>
    <t>1663882874385231872</t>
  </si>
  <si>
    <t>1663543932578328576</t>
  </si>
  <si>
    <t>1663533666075652096</t>
  </si>
  <si>
    <t>1663509657804046343</t>
  </si>
  <si>
    <t>1663496223163142144</t>
  </si>
  <si>
    <t>1663234558970544151</t>
  </si>
  <si>
    <t>1663168595587678210</t>
  </si>
  <si>
    <t>1663168414150537216</t>
  </si>
  <si>
    <t>1658095595301621768</t>
  </si>
  <si>
    <t>1658084286283522054</t>
  </si>
  <si>
    <t>1658077822131240962</t>
  </si>
  <si>
    <t>1701204445407625656</t>
  </si>
  <si>
    <t>1698716626378485999</t>
  </si>
  <si>
    <t>1698712619199107372</t>
  </si>
  <si>
    <t>1698663996126056872</t>
  </si>
  <si>
    <t>1697650042650210694</t>
  </si>
  <si>
    <t>1692259193128964179</t>
  </si>
  <si>
    <t>1692232191709675579</t>
  </si>
  <si>
    <t>1692202642993238036</t>
  </si>
  <si>
    <t>1692187587585229088</t>
  </si>
  <si>
    <t>1689996047718768640</t>
  </si>
  <si>
    <t>1686873783238316033</t>
  </si>
  <si>
    <t>1686867249242492928</t>
  </si>
  <si>
    <t>1686863602819469312</t>
  </si>
  <si>
    <t>1686859287115558912</t>
  </si>
  <si>
    <t>1686856419377553408</t>
  </si>
  <si>
    <t>1686847256786272257</t>
  </si>
  <si>
    <t>1686800792903159808</t>
  </si>
  <si>
    <t>1686798403605327874</t>
  </si>
  <si>
    <t>1686794671261970443</t>
  </si>
  <si>
    <t>1686783443005325325</t>
  </si>
  <si>
    <t>1686759573208682496</t>
  </si>
  <si>
    <t>1686756685367414784</t>
  </si>
  <si>
    <t>1677395600487096322</t>
  </si>
  <si>
    <t>1677015860609703955</t>
  </si>
  <si>
    <t>1676936707155927040</t>
  </si>
  <si>
    <t>1676932503737597952</t>
  </si>
  <si>
    <t>1676912448811540480</t>
  </si>
  <si>
    <t>1676712750720925696</t>
  </si>
  <si>
    <t>1672224675118686208</t>
  </si>
  <si>
    <t>1672203015665643521</t>
  </si>
  <si>
    <t>1672193595544154112</t>
  </si>
  <si>
    <t>1671991190844227584</t>
  </si>
  <si>
    <t>1671966954792296459</t>
  </si>
  <si>
    <t>1671954071631134741</t>
  </si>
  <si>
    <t>1671926583152590856</t>
  </si>
  <si>
    <t>1671918329379045376</t>
  </si>
  <si>
    <t>1671899719675592705</t>
  </si>
  <si>
    <t>1671875028378419200</t>
  </si>
  <si>
    <t>1671872367105024003</t>
  </si>
  <si>
    <t>1666518327567474688</t>
  </si>
  <si>
    <t>1666448125626597380</t>
  </si>
  <si>
    <t>1666391255767474177</t>
  </si>
  <si>
    <t>1666061867746222081</t>
  </si>
  <si>
    <t>1665769731104690178</t>
  </si>
  <si>
    <t>1665765684473651203</t>
  </si>
  <si>
    <t>1665708341979406336</t>
  </si>
  <si>
    <t>1665694751666970625</t>
  </si>
  <si>
    <t>1665687472238370824</t>
  </si>
  <si>
    <t>1664748021043658754</t>
  </si>
  <si>
    <t>1664692607153315842</t>
  </si>
  <si>
    <t>1664687171389751321</t>
  </si>
  <si>
    <t>1664685001277833253</t>
  </si>
  <si>
    <t>1653850719508652035</t>
  </si>
  <si>
    <t>1653823537369456643</t>
  </si>
  <si>
    <t>1653779795119857664</t>
  </si>
  <si>
    <t>1653760227106344960</t>
  </si>
  <si>
    <t>1653737566707875840</t>
  </si>
  <si>
    <t>1653725340437475328</t>
  </si>
  <si>
    <t>1653716681129172997</t>
  </si>
  <si>
    <t>1653716678876835840</t>
  </si>
  <si>
    <t>1653495694114668544</t>
  </si>
  <si>
    <t>1699451311568130420</t>
  </si>
  <si>
    <t>1696126704006164914</t>
  </si>
  <si>
    <t>1691107519069077504</t>
  </si>
  <si>
    <t>1688634772422053890</t>
  </si>
  <si>
    <t>1684273160995188737</t>
  </si>
  <si>
    <t>1684268665313673216</t>
  </si>
  <si>
    <t>1684265779292667918</t>
  </si>
  <si>
    <t>1684196948692070402</t>
  </si>
  <si>
    <t>1683917083178852369</t>
  </si>
  <si>
    <t>1683890757889929240</t>
  </si>
  <si>
    <t>1679883517394657280</t>
  </si>
  <si>
    <t>1679864479104876547</t>
  </si>
  <si>
    <t>1679805382145847296</t>
  </si>
  <si>
    <t>1679501248905527297</t>
  </si>
  <si>
    <t>1674771430154575872</t>
  </si>
  <si>
    <t>1674756210946392064</t>
  </si>
  <si>
    <t>1674526044097740800</t>
  </si>
  <si>
    <t>1674470348958363648</t>
  </si>
  <si>
    <t>1674452039311536131</t>
  </si>
  <si>
    <t>1674431590645260292</t>
  </si>
  <si>
    <t>1674417477831507975</t>
  </si>
  <si>
    <t>1674414968371032066</t>
  </si>
  <si>
    <t>1674405179523735554</t>
  </si>
  <si>
    <t>1674391570575966210</t>
  </si>
  <si>
    <t>1674382448065478658</t>
  </si>
  <si>
    <t>1670053975238819840</t>
  </si>
  <si>
    <t>1670023633291411456</t>
  </si>
  <si>
    <t>1669703754516508672</t>
  </si>
  <si>
    <t>1669693371340685312</t>
  </si>
  <si>
    <t>1669681617189699585</t>
  </si>
  <si>
    <t>1669659220906573824</t>
  </si>
  <si>
    <t>1669394661171920919</t>
  </si>
  <si>
    <t>1669333908146511873</t>
  </si>
  <si>
    <t>1660703596797673473</t>
  </si>
  <si>
    <t>1660694552238276632</t>
  </si>
  <si>
    <t>1660671183770058755</t>
  </si>
  <si>
    <t>1660649130568368129</t>
  </si>
  <si>
    <t>1660617141744222212</t>
  </si>
  <si>
    <t>1660360334408810497</t>
  </si>
  <si>
    <t>1660254593362583553</t>
  </si>
  <si>
    <t>1659683920055607303</t>
  </si>
  <si>
    <t>1659658554708467726</t>
  </si>
  <si>
    <t>1659616674738315265</t>
  </si>
  <si>
    <t>1653441008191799316</t>
  </si>
  <si>
    <t>1660799013749178373</t>
  </si>
  <si>
    <t>1702016509537632372</t>
  </si>
  <si>
    <t>1701962295998296501</t>
  </si>
  <si>
    <t>1699190235215614312</t>
  </si>
  <si>
    <t>1695539343908106546</t>
  </si>
  <si>
    <t>1695507690250764389</t>
  </si>
  <si>
    <t>1694413114320543747</t>
  </si>
  <si>
    <t>1694120509003456975</t>
  </si>
  <si>
    <t>1694079096894939273</t>
  </si>
  <si>
    <t>1688517688253894657</t>
  </si>
  <si>
    <t>1687780775008018432</t>
  </si>
  <si>
    <t>1683809614586843137</t>
  </si>
  <si>
    <t>1683796938104217601</t>
  </si>
  <si>
    <t>1683551767533944834</t>
  </si>
  <si>
    <t>1683458810281705473</t>
  </si>
  <si>
    <t>1683434119810756611</t>
  </si>
  <si>
    <t>1683423679365955585</t>
  </si>
  <si>
    <t>1674251730874253314</t>
  </si>
  <si>
    <t>1674196710094938114</t>
  </si>
  <si>
    <t>1674120596475596800</t>
  </si>
  <si>
    <t>1674095715260170248</t>
  </si>
  <si>
    <t>1674071247632596993</t>
  </si>
  <si>
    <t>1674069260144984067</t>
  </si>
  <si>
    <t>1674052515216740353</t>
  </si>
  <si>
    <t>1674030445451780097</t>
  </si>
  <si>
    <t>1674014645416230916</t>
  </si>
  <si>
    <t>1674001356183486465</t>
  </si>
  <si>
    <t>1673768733150421004</t>
  </si>
  <si>
    <t>1673743913285304325</t>
  </si>
  <si>
    <t>1669322002727940098</t>
  </si>
  <si>
    <t>1669303439015247872</t>
  </si>
  <si>
    <t>1669294970342191106</t>
  </si>
  <si>
    <t>1669097563041964033</t>
  </si>
  <si>
    <t>1669047856227811328</t>
  </si>
  <si>
    <t>1669003102316376065</t>
  </si>
  <si>
    <t>1668955753925804033</t>
  </si>
  <si>
    <t>1668769828302123009</t>
  </si>
  <si>
    <t>1657470235157381124</t>
  </si>
  <si>
    <t>1657405918235992070</t>
  </si>
  <si>
    <t>1657354095278137345</t>
  </si>
  <si>
    <t>1657071453919903744</t>
  </si>
  <si>
    <t>1657041412716634116</t>
  </si>
  <si>
    <t>1657008297252212739</t>
  </si>
  <si>
    <t>1656999516766126080</t>
  </si>
  <si>
    <t>1656713701586616323</t>
  </si>
  <si>
    <t>1656407838992809987</t>
  </si>
  <si>
    <t>1656395483227496449</t>
  </si>
  <si>
    <t>1656385951264907264</t>
  </si>
  <si>
    <t>1656357230034186248</t>
  </si>
  <si>
    <t>1656310320187490304</t>
  </si>
  <si>
    <t>1656297095320547329</t>
  </si>
  <si>
    <t>1656262638655897604</t>
  </si>
  <si>
    <t>1656032624127688713</t>
  </si>
  <si>
    <t>1656003573828788242</t>
  </si>
  <si>
    <t>1655955741721722881</t>
  </si>
  <si>
    <t>1655954497707843584</t>
  </si>
  <si>
    <t>1655953164997124097</t>
  </si>
  <si>
    <t>1655941461274394626</t>
  </si>
  <si>
    <t>1655923364865748994</t>
  </si>
  <si>
    <t>1655904230262095872</t>
  </si>
  <si>
    <t>1655898723883311109</t>
  </si>
  <si>
    <t>1707415226977489129</t>
  </si>
  <si>
    <t>1706305595173675478</t>
  </si>
  <si>
    <t>1696563873103466977</t>
  </si>
  <si>
    <t>1696528311416168502</t>
  </si>
  <si>
    <t>1691502219600732169</t>
  </si>
  <si>
    <t>1689223738200371200</t>
  </si>
  <si>
    <t>1685983069465976832</t>
  </si>
  <si>
    <t>1685969434672836609</t>
  </si>
  <si>
    <t>1685961371106643968</t>
  </si>
  <si>
    <t>1685289360143306752</t>
  </si>
  <si>
    <t>1685024696851480576</t>
  </si>
  <si>
    <t>1684951492539637760</t>
  </si>
  <si>
    <t>1684896752250298369</t>
  </si>
  <si>
    <t>1675908791362105350</t>
  </si>
  <si>
    <t>1675858462188732418</t>
  </si>
  <si>
    <t>1675837943166926849</t>
  </si>
  <si>
    <t>1675230574670217216</t>
  </si>
  <si>
    <t>1675119854901239809</t>
  </si>
  <si>
    <t>1670881416408625174</t>
  </si>
  <si>
    <t>1670841715366805525</t>
  </si>
  <si>
    <t>1670841305134514195</t>
  </si>
  <si>
    <t>1670786204151717890</t>
  </si>
  <si>
    <t>1670770479093751813</t>
  </si>
  <si>
    <t>1670760192374460420</t>
  </si>
  <si>
    <t>1670750992231460865</t>
  </si>
  <si>
    <t>1670476755285467137</t>
  </si>
  <si>
    <t>1659545065222447105</t>
  </si>
  <si>
    <t>1659533718640287744</t>
  </si>
  <si>
    <t>1659522408422801410</t>
  </si>
  <si>
    <t>1659234562239524866</t>
  </si>
  <si>
    <t>1659195995585150978</t>
  </si>
  <si>
    <t>1659186539522400256</t>
  </si>
  <si>
    <t>1659172139763658752</t>
  </si>
  <si>
    <t>1659150684850094081</t>
  </si>
  <si>
    <t>1658924697654898695</t>
  </si>
  <si>
    <t>1658884976824156173</t>
  </si>
  <si>
    <t>1658854185285083136</t>
  </si>
  <si>
    <t>1658847893795504131</t>
  </si>
  <si>
    <t>1658838766297964549</t>
  </si>
  <si>
    <t>1658809720818335747</t>
  </si>
  <si>
    <t>1658582831319113730</t>
  </si>
  <si>
    <t>1658581589566136325</t>
  </si>
  <si>
    <t>1658551495917293572</t>
  </si>
  <si>
    <t>1658550221394128897</t>
  </si>
  <si>
    <t>1658461076361445376</t>
  </si>
  <si>
    <t>1658442617942597637</t>
  </si>
  <si>
    <t>1658173722287562766</t>
  </si>
  <si>
    <t>1658156375996870657</t>
  </si>
  <si>
    <t>1654634959947067404</t>
  </si>
  <si>
    <t>1654460219903164417</t>
  </si>
  <si>
    <t>1683887688875749389</t>
  </si>
  <si>
    <t>1660681151650856960</t>
  </si>
  <si>
    <t>1693699494825844863</t>
  </si>
  <si>
    <t>1699093283484430452</t>
  </si>
  <si>
    <t>1687132552233148418</t>
  </si>
  <si>
    <t>1700108721978773673</t>
  </si>
  <si>
    <t>1704568125692228065</t>
  </si>
  <si>
    <t>1707118163756773780</t>
  </si>
  <si>
    <t>1707255941412823085</t>
  </si>
  <si>
    <t>1684831245266542592</t>
  </si>
  <si>
    <t>1669713328854237191</t>
  </si>
  <si>
    <t>1682907899323092993</t>
  </si>
  <si>
    <t>1698472967536075142</t>
  </si>
  <si>
    <t>1671637419240611840</t>
  </si>
  <si>
    <t>1685266438326562816</t>
  </si>
  <si>
    <t>1704498571502821491</t>
  </si>
  <si>
    <t>1666616858542211073</t>
  </si>
  <si>
    <t>1683855782259859459</t>
  </si>
  <si>
    <t>1654987240236351491</t>
  </si>
  <si>
    <t>1660975970986123265</t>
  </si>
  <si>
    <t>1673439238384234499</t>
  </si>
  <si>
    <t>1654592050309001216</t>
  </si>
  <si>
    <t>1669420991963975694</t>
  </si>
  <si>
    <t>1704786085895676062</t>
  </si>
  <si>
    <t>1703784478722646333</t>
  </si>
  <si>
    <t>1703783321635811496</t>
  </si>
  <si>
    <t>1658193914342383617</t>
  </si>
  <si>
    <t>1691249366453932033</t>
  </si>
  <si>
    <t>1691965875534934068</t>
  </si>
  <si>
    <t>1669275288105041920</t>
  </si>
  <si>
    <t>1656669899098587138</t>
  </si>
  <si>
    <t>1689261974243127296</t>
  </si>
  <si>
    <t>1666902103954972673</t>
  </si>
  <si>
    <t>1672253713677967360</t>
  </si>
  <si>
    <t>1707090490766586097</t>
  </si>
  <si>
    <t>1677322591516651522</t>
  </si>
  <si>
    <t>1669024914144198657</t>
  </si>
  <si>
    <t>1675915494627454981</t>
  </si>
  <si>
    <t>1660713315310395399</t>
  </si>
  <si>
    <t>1676360503285915648</t>
  </si>
  <si>
    <t>1673755581557948418</t>
  </si>
  <si>
    <t>1676278184348876800</t>
  </si>
  <si>
    <t>1676255865525923840</t>
  </si>
  <si>
    <t>1689647452637507584</t>
  </si>
  <si>
    <t>1689645231044698113</t>
  </si>
  <si>
    <t>1660782591832920065</t>
  </si>
  <si>
    <t>1668349954375708672</t>
  </si>
  <si>
    <t>1655628630733512704</t>
  </si>
  <si>
    <t>1681051145748316160</t>
  </si>
  <si>
    <t>1691535228198875136</t>
  </si>
  <si>
    <t>1674870424071704576</t>
  </si>
  <si>
    <t>1692254970610082026</t>
  </si>
  <si>
    <t>1695044471690273153</t>
  </si>
  <si>
    <t>1658561885451571208</t>
  </si>
  <si>
    <t>1703026301949378664</t>
  </si>
  <si>
    <t>1681996471434977281</t>
  </si>
  <si>
    <t>1666045020191817730</t>
  </si>
  <si>
    <t>1706706438913925582</t>
  </si>
  <si>
    <t>1661765965300760580</t>
  </si>
  <si>
    <t>1665091011473821698</t>
  </si>
  <si>
    <t>1705008165136269678</t>
  </si>
  <si>
    <t>1705028792308174976</t>
  </si>
  <si>
    <t>1661133304177803267</t>
  </si>
  <si>
    <t>1656484048582090752</t>
  </si>
  <si>
    <t>1656470431375794178</t>
  </si>
  <si>
    <t>1704927425610535096</t>
  </si>
  <si>
    <t>1705304940430631293</t>
  </si>
  <si>
    <t>1704972680649224689</t>
  </si>
  <si>
    <t>1691096655066693632</t>
  </si>
  <si>
    <t>1670161303783067649</t>
  </si>
  <si>
    <t>1689486872278396929</t>
  </si>
  <si>
    <t>1692191677744640285</t>
  </si>
  <si>
    <t>1692030289080471616</t>
  </si>
  <si>
    <t>1689804625044557824</t>
  </si>
  <si>
    <t>1686863463971246080</t>
  </si>
  <si>
    <t>1693701950427054450</t>
  </si>
  <si>
    <t>1687120260036476929</t>
  </si>
  <si>
    <t>1694335359197348294</t>
  </si>
  <si>
    <t>1683614984234758145</t>
  </si>
  <si>
    <t>1703976194352271497</t>
  </si>
  <si>
    <t>1698773499140034932</t>
  </si>
  <si>
    <t>1703609383341416661</t>
  </si>
  <si>
    <t>1697222654783033785</t>
  </si>
  <si>
    <t>1696650775655559320</t>
  </si>
  <si>
    <t>1691595201435906391</t>
  </si>
  <si>
    <t>1689102986025271296</t>
  </si>
  <si>
    <t>1687118494175764481</t>
  </si>
  <si>
    <t>1707116844610437290</t>
  </si>
  <si>
    <t>1707117380034253005</t>
  </si>
  <si>
    <t>1658445079776837632</t>
  </si>
  <si>
    <t>1676233915420254208</t>
  </si>
  <si>
    <t>1705011002482286894</t>
  </si>
  <si>
    <t>1662502912625393667</t>
  </si>
  <si>
    <t>1663340113596751872</t>
  </si>
  <si>
    <t>1692671147907621343</t>
  </si>
  <si>
    <t>1659575154018590721</t>
  </si>
  <si>
    <t>1659560383630147586</t>
  </si>
  <si>
    <t>1688928057548218368</t>
  </si>
  <si>
    <t>1688623779608449024</t>
  </si>
  <si>
    <t>1690195971827798016</t>
  </si>
  <si>
    <t>1667225369114554370</t>
  </si>
  <si>
    <t>1654089949434507270</t>
  </si>
  <si>
    <t>1658147056182079494</t>
  </si>
  <si>
    <t>1666224848765427712</t>
  </si>
  <si>
    <t>1681286825426714624</t>
  </si>
  <si>
    <t>1704949608273629382</t>
  </si>
  <si>
    <t>1707052271341625761</t>
  </si>
  <si>
    <t>1668696821386838026</t>
  </si>
  <si>
    <t>1686315201425993728</t>
  </si>
  <si>
    <t>1674603435709145088</t>
  </si>
  <si>
    <t>1654483681749217284</t>
  </si>
  <si>
    <t>1655908283742298112</t>
  </si>
  <si>
    <t>1654113188517126144</t>
  </si>
  <si>
    <t>1690127373650264064</t>
  </si>
  <si>
    <t>1664453162739146754</t>
  </si>
  <si>
    <t>1664452389531795459</t>
  </si>
  <si>
    <t>1660692118292111362</t>
  </si>
  <si>
    <t>1671941119624744963</t>
  </si>
  <si>
    <t>1671918468046917632</t>
  </si>
  <si>
    <t>1673847428615659521</t>
  </si>
  <si>
    <t>1668702278172438530</t>
  </si>
  <si>
    <t>1676289496613269504</t>
  </si>
  <si>
    <t>1676266114744033287</t>
  </si>
  <si>
    <t>1707090385443426476</t>
  </si>
  <si>
    <t>1707090913309147144</t>
  </si>
  <si>
    <t>1705144530486387142</t>
  </si>
  <si>
    <t>1662920184028340224</t>
  </si>
  <si>
    <t>1695419501590794483</t>
  </si>
  <si>
    <t>1694785798472618356</t>
  </si>
  <si>
    <t>1689774321487466497</t>
  </si>
  <si>
    <t>1677691615094140929</t>
  </si>
  <si>
    <t>1699104992903188609</t>
  </si>
  <si>
    <t>1677894284228395013</t>
  </si>
  <si>
    <t>1671548314158866433</t>
  </si>
  <si>
    <t>1654061039498010624</t>
  </si>
  <si>
    <t>1696136529406546387</t>
  </si>
  <si>
    <t>1688676425354588160</t>
  </si>
  <si>
    <t>1688634058169798656</t>
  </si>
  <si>
    <t>1684255037659152387</t>
  </si>
  <si>
    <t>1679505274489516033</t>
  </si>
  <si>
    <t>1702044411448766963</t>
  </si>
  <si>
    <t>1701997878460272669</t>
  </si>
  <si>
    <t>1701991716176154847</t>
  </si>
  <si>
    <t>1695510008086118884</t>
  </si>
  <si>
    <t>1694410073940906250</t>
  </si>
  <si>
    <t>1694084101655896502</t>
  </si>
  <si>
    <t>1704112281112420479</t>
  </si>
  <si>
    <t>1702444609673052185</t>
  </si>
  <si>
    <t>1702439766812135653</t>
  </si>
  <si>
    <t>1698782147669024885</t>
  </si>
  <si>
    <t>1698747308601446603</t>
  </si>
  <si>
    <t>1695163998457536583</t>
  </si>
  <si>
    <t>1692563706197012945</t>
  </si>
  <si>
    <t>1687440497541881856</t>
  </si>
  <si>
    <t>1704642273487560983</t>
  </si>
  <si>
    <t>1691812668313575843</t>
  </si>
  <si>
    <t>1689358975781769216</t>
  </si>
  <si>
    <t>1686745181884702720</t>
  </si>
  <si>
    <t>1686727310672560128</t>
  </si>
  <si>
    <t>1686714412806049792</t>
  </si>
  <si>
    <t>1680890183338582016</t>
  </si>
  <si>
    <t>1706812320847184085</t>
  </si>
  <si>
    <t>1704258503492174065</t>
  </si>
  <si>
    <t>1701201830489837751</t>
  </si>
  <si>
    <t>1698674583405027581</t>
  </si>
  <si>
    <t>1698097223915999313</t>
  </si>
  <si>
    <t>1692296398945808729</t>
  </si>
  <si>
    <t>1692282723350548593</t>
  </si>
  <si>
    <t>1689998294133395456</t>
  </si>
  <si>
    <t>1689737321275326464</t>
  </si>
  <si>
    <t>1686795010409197574</t>
  </si>
  <si>
    <t>1686753082330251265</t>
  </si>
  <si>
    <t>1707011441427964374</t>
  </si>
  <si>
    <t>1704991729215029635</t>
  </si>
  <si>
    <t>1699505601540165865</t>
  </si>
  <si>
    <t>1696249455148728333</t>
  </si>
  <si>
    <t>1691166743190736896</t>
  </si>
  <si>
    <t>1688882096364720128</t>
  </si>
  <si>
    <t>1686355116880789504</t>
  </si>
  <si>
    <t>1707466332076196211</t>
  </si>
  <si>
    <t>1707115372271292893</t>
  </si>
  <si>
    <t>1706637044523426175</t>
  </si>
  <si>
    <t>1701709267756278128</t>
  </si>
  <si>
    <t>1699040362642166088</t>
  </si>
  <si>
    <t>1698787817529176377</t>
  </si>
  <si>
    <t>1693971213175910753</t>
  </si>
  <si>
    <t>1693749650732257343</t>
  </si>
  <si>
    <t>1687124949352304640</t>
  </si>
  <si>
    <t>1687076322403655680</t>
  </si>
  <si>
    <t>1686931000943685632</t>
  </si>
  <si>
    <t>1707470013890752935</t>
  </si>
  <si>
    <t>1704925545757061218</t>
  </si>
  <si>
    <t>1697304573466018180</t>
  </si>
  <si>
    <t>1697293048743375313</t>
  </si>
  <si>
    <t>1697016504749838752</t>
  </si>
  <si>
    <t>1691537610139738112</t>
  </si>
  <si>
    <t>1691505708074672151</t>
  </si>
  <si>
    <t>1689011446808711168</t>
  </si>
  <si>
    <t>1689007783210074112</t>
  </si>
  <si>
    <t>1684947116798455809</t>
  </si>
  <si>
    <t>1692042885674205380</t>
  </si>
  <si>
    <t>1655919943601250304</t>
  </si>
  <si>
    <t>1655641274152542227</t>
  </si>
  <si>
    <t>1686856437090148352</t>
  </si>
  <si>
    <t>1686355397165080576</t>
  </si>
  <si>
    <t>1705591397108068546</t>
  </si>
  <si>
    <t>1705025383811182954</t>
  </si>
  <si>
    <t>1674121870981963776</t>
  </si>
  <si>
    <t>1670776778837590016</t>
  </si>
  <si>
    <t>1654261529527697408</t>
  </si>
  <si>
    <t>1706687561538658800</t>
  </si>
  <si>
    <t>1654478681035755527</t>
  </si>
  <si>
    <t>1687051317875757056</t>
  </si>
  <si>
    <t>1664655717884723201</t>
  </si>
  <si>
    <t>1664332722628640770</t>
  </si>
  <si>
    <t>1668620548681904129</t>
  </si>
  <si>
    <t>1679830527140929536</t>
  </si>
  <si>
    <t>1684999663676530689</t>
  </si>
  <si>
    <t>1658179762324422656</t>
  </si>
  <si>
    <t>1657771493265223680</t>
  </si>
  <si>
    <t>1694735572810543561</t>
  </si>
  <si>
    <t>1694938649064825145</t>
  </si>
  <si>
    <t>1683222292048797699</t>
  </si>
  <si>
    <t>1683234920921980929</t>
  </si>
  <si>
    <t>1705190315965993467</t>
  </si>
  <si>
    <t>1705190241974305208</t>
  </si>
  <si>
    <t>1676531734823804928</t>
  </si>
  <si>
    <t>1671900939320451075</t>
  </si>
  <si>
    <t>1668641988411793408</t>
  </si>
  <si>
    <t>1668636976113754112</t>
  </si>
  <si>
    <t>1671205013438312465</t>
  </si>
  <si>
    <t>1671184074684133380</t>
  </si>
  <si>
    <t>1671179031000100866</t>
  </si>
  <si>
    <t>1662113630916169728</t>
  </si>
  <si>
    <t>1687546100738125824</t>
  </si>
  <si>
    <t>1656117099524153346</t>
  </si>
  <si>
    <t>1707513046560600195</t>
  </si>
  <si>
    <t>1693581728705552859</t>
  </si>
  <si>
    <t>1663078910525861888</t>
  </si>
  <si>
    <t>1658808617246642177</t>
  </si>
  <si>
    <t>1658733165857390592</t>
  </si>
  <si>
    <t>1673248141192118272</t>
  </si>
  <si>
    <t>1684236410738315266</t>
  </si>
  <si>
    <t>1669414348765184012</t>
  </si>
  <si>
    <t>1669405309209591819</t>
  </si>
  <si>
    <t>1669372214083309570</t>
  </si>
  <si>
    <t>1668282287769767943</t>
  </si>
  <si>
    <t>1699047751604965701</t>
  </si>
  <si>
    <t>1671587974495051798</t>
  </si>
  <si>
    <t>1663827257306038273</t>
  </si>
  <si>
    <t>1666803795928715264</t>
  </si>
  <si>
    <t>1686008227396210688</t>
  </si>
  <si>
    <t>1694819433208742371</t>
  </si>
  <si>
    <t>1669342096199921664</t>
  </si>
  <si>
    <t>1660644978383630336</t>
  </si>
  <si>
    <t>1707137535569502519</t>
  </si>
  <si>
    <t>1684576764738277377</t>
  </si>
  <si>
    <t>1663997044770455556</t>
  </si>
  <si>
    <t>1656585836471758852</t>
  </si>
  <si>
    <t>1675464842331783169</t>
  </si>
  <si>
    <t>1674646945535520768</t>
  </si>
  <si>
    <t>1705012187775811875</t>
  </si>
  <si>
    <t>1692589322635989325</t>
  </si>
  <si>
    <t>1706682247867232497</t>
  </si>
  <si>
    <t>1706682233069752811</t>
  </si>
  <si>
    <t>1668392904119709696</t>
  </si>
  <si>
    <t>1668279664706502657</t>
  </si>
  <si>
    <t>1671986663180861441</t>
  </si>
  <si>
    <t>1663928019201695748</t>
  </si>
  <si>
    <t>1686767371728343041</t>
  </si>
  <si>
    <t>1656281927781867526</t>
  </si>
  <si>
    <t>1695532745806495871</t>
  </si>
  <si>
    <t>1695532201427755239</t>
  </si>
  <si>
    <t>1695532871182606820</t>
  </si>
  <si>
    <t>1695531659536335101</t>
  </si>
  <si>
    <t>1689991982263738368</t>
  </si>
  <si>
    <t>1706277727353901397</t>
  </si>
  <si>
    <t>1704832476466549227</t>
  </si>
  <si>
    <t>1705422749458440414</t>
  </si>
  <si>
    <t>1653948010965893120</t>
  </si>
  <si>
    <t>1655210564262539264</t>
  </si>
  <si>
    <t>1655210085851836416</t>
  </si>
  <si>
    <t>1655209877155770368</t>
  </si>
  <si>
    <t>1655209736327839746</t>
  </si>
  <si>
    <t>1655209332718333956</t>
  </si>
  <si>
    <t>1655209142833803267</t>
  </si>
  <si>
    <t>1655209080841961475</t>
  </si>
  <si>
    <t>1655208956849995776</t>
  </si>
  <si>
    <t>1655208869503676418</t>
  </si>
  <si>
    <t>1655208709159518211</t>
  </si>
  <si>
    <t>1699458040771027147</t>
  </si>
  <si>
    <t>1690870691954835456</t>
  </si>
  <si>
    <t>1655673481495715866</t>
  </si>
  <si>
    <t>1655604382019321858</t>
  </si>
  <si>
    <t>1655558834885218304</t>
  </si>
  <si>
    <t>1655313982872334337</t>
  </si>
  <si>
    <t>1654903983373266944</t>
  </si>
  <si>
    <t>1680953937182990336</t>
  </si>
  <si>
    <t>1654168261267685391</t>
  </si>
  <si>
    <t>1653920501184487424</t>
  </si>
  <si>
    <t>1653874962548027393</t>
  </si>
  <si>
    <t>1686345719966289920</t>
  </si>
  <si>
    <t>1688545551996915712</t>
  </si>
  <si>
    <t>1683825377687351299</t>
  </si>
  <si>
    <t>1669119919609323522</t>
  </si>
  <si>
    <t>1656344169277685760</t>
  </si>
  <si>
    <t>1688975767265284104</t>
  </si>
  <si>
    <t>1685997753057320961</t>
  </si>
  <si>
    <t>1696142325783601262</t>
  </si>
  <si>
    <t>1688676226192277504</t>
  </si>
  <si>
    <t>1660693728485310465</t>
  </si>
  <si>
    <t>1704472612435280023</t>
  </si>
  <si>
    <t>1671850383319224320</t>
  </si>
  <si>
    <t>1663163082183507969</t>
  </si>
  <si>
    <t>1706817279285960743</t>
  </si>
  <si>
    <t>1701219743829467312</t>
  </si>
  <si>
    <t>1697640684478419353</t>
  </si>
  <si>
    <t>1686890848623972352</t>
  </si>
  <si>
    <t>1686887863160369152</t>
  </si>
  <si>
    <t>1686859510432886785</t>
  </si>
  <si>
    <t>1665717550372593664</t>
  </si>
  <si>
    <t>1671698296320958464</t>
  </si>
  <si>
    <t>1655699046244163587</t>
  </si>
  <si>
    <t>1663967854457245702</t>
  </si>
  <si>
    <t>1671742113459863552</t>
  </si>
  <si>
    <t>1665181319372894208</t>
  </si>
  <si>
    <t>1672387584826195969</t>
  </si>
  <si>
    <t>1679134134080356352</t>
  </si>
  <si>
    <t>1643027489642496001</t>
  </si>
  <si>
    <t>1666666249269420032</t>
  </si>
  <si>
    <t>1670140560932257793</t>
  </si>
  <si>
    <t>1670889924701179904</t>
  </si>
  <si>
    <t>1657028133302722561</t>
  </si>
  <si>
    <t>1672794454929952773</t>
  </si>
  <si>
    <t>1674641187368579072</t>
  </si>
  <si>
    <t>1674398341973590017</t>
  </si>
  <si>
    <t>1667285523340115968</t>
  </si>
  <si>
    <t>1674046741769867264</t>
  </si>
  <si>
    <t>1662906525067747328</t>
  </si>
  <si>
    <t>1688897648869122048</t>
  </si>
  <si>
    <t>1654937285509488640</t>
  </si>
  <si>
    <t>1653901688003067904</t>
  </si>
  <si>
    <t>1654587276406530055</t>
  </si>
  <si>
    <t>1681281253172039680</t>
  </si>
  <si>
    <t>1704621897839673712</t>
  </si>
  <si>
    <t>1707120556334616707</t>
  </si>
  <si>
    <t>1691179360567402496</t>
  </si>
  <si>
    <t>1704626992644051205</t>
  </si>
  <si>
    <t>1664674570895347712</t>
  </si>
  <si>
    <t>1696249580218683392</t>
  </si>
  <si>
    <t>1676229452185960449</t>
  </si>
  <si>
    <t>1701281067020197905</t>
  </si>
  <si>
    <t>1682079084820439045</t>
  </si>
  <si>
    <t>1701965835345027097</t>
  </si>
  <si>
    <t>1683475241509564416</t>
  </si>
  <si>
    <t>1668701115196534785</t>
  </si>
  <si>
    <t>1655954507279343616</t>
  </si>
  <si>
    <t>1702729238221135944</t>
  </si>
  <si>
    <t>1674825120987193348</t>
  </si>
  <si>
    <t>1659197854223859720</t>
  </si>
  <si>
    <t>1691106381988851712</t>
  </si>
  <si>
    <t>1657566831501012993</t>
  </si>
  <si>
    <t>1654397575238152193</t>
  </si>
  <si>
    <t>1695465107067719960</t>
  </si>
  <si>
    <t>1672038981129715712</t>
  </si>
  <si>
    <t>1691773812906311707</t>
  </si>
  <si>
    <t>1666446594139385859</t>
  </si>
  <si>
    <t>1660784365159305217</t>
  </si>
  <si>
    <t>1694854334805135818</t>
  </si>
  <si>
    <t>1661000793703497730</t>
  </si>
  <si>
    <t>1674120810267566080</t>
  </si>
  <si>
    <t>1693886219166642391</t>
  </si>
  <si>
    <t>1693824814652559376</t>
  </si>
  <si>
    <t>1677835959856160768</t>
  </si>
  <si>
    <t>1664137950358110208</t>
  </si>
  <si>
    <t>1695336274041987236</t>
  </si>
  <si>
    <t>1700162828236161504</t>
  </si>
  <si>
    <t>1666205870630264847</t>
  </si>
  <si>
    <t>1665118701765505025</t>
  </si>
  <si>
    <t>1666749457558274050</t>
  </si>
  <si>
    <t>1664282152413057029</t>
  </si>
  <si>
    <t>1692228505604444567</t>
  </si>
  <si>
    <t>1663925455907373057</t>
  </si>
  <si>
    <t>1691098789011197952</t>
  </si>
  <si>
    <t>1701228373173793252</t>
  </si>
  <si>
    <t>1707011243884576994</t>
  </si>
  <si>
    <t>1703671057251504361</t>
  </si>
  <si>
    <t>1681756040495284224</t>
  </si>
  <si>
    <t>1691103528721485824</t>
  </si>
  <si>
    <t>1656437195719204865</t>
  </si>
  <si>
    <t>1674805689905020936</t>
  </si>
  <si>
    <t>1653735393857089536</t>
  </si>
  <si>
    <t>1679344946497691649</t>
  </si>
  <si>
    <t>1676070135184994304</t>
  </si>
  <si>
    <t>1699253162614608095</t>
  </si>
  <si>
    <t>1701763282170741017</t>
  </si>
  <si>
    <t>1685671298221924352</t>
  </si>
  <si>
    <t>1685671060434300929</t>
  </si>
  <si>
    <t>1685670995690979328</t>
  </si>
  <si>
    <t>1685670826056499200</t>
  </si>
  <si>
    <t>1665629534979235843</t>
  </si>
  <si>
    <t>1686912287032967168</t>
  </si>
  <si>
    <t>1659575000871870464</t>
  </si>
  <si>
    <t>1668305478714109952</t>
  </si>
  <si>
    <t>1680283449121226752</t>
  </si>
  <si>
    <t>1681974899454164993</t>
  </si>
  <si>
    <t>1670850876456534022</t>
  </si>
  <si>
    <t>1658776678779191296</t>
  </si>
  <si>
    <t>1706549875347730852</t>
  </si>
  <si>
    <t>1706549852434211146</t>
  </si>
  <si>
    <t>1692663072614224318</t>
  </si>
  <si>
    <t>1655508291030597633</t>
  </si>
  <si>
    <t>1704619760820842612</t>
  </si>
  <si>
    <t>1658208154784505864</t>
  </si>
  <si>
    <t>1705949705299980348</t>
  </si>
  <si>
    <t>1701356274137337908</t>
  </si>
  <si>
    <t>1663894391969271816</t>
  </si>
  <si>
    <t>1689714856318894080</t>
  </si>
  <si>
    <t>1671990514508349447</t>
  </si>
  <si>
    <t>1686859197256716294</t>
  </si>
  <si>
    <t>1696248254076240113</t>
  </si>
  <si>
    <t>1672233430086451201</t>
  </si>
  <si>
    <t>1689232228214091776</t>
  </si>
  <si>
    <t>1699027074978140565</t>
  </si>
  <si>
    <t>1687090495250460672</t>
  </si>
  <si>
    <t>1661064091480252416</t>
  </si>
  <si>
    <t>1664717501018636290</t>
  </si>
  <si>
    <t>1688635369720270848</t>
  </si>
  <si>
    <t>1690073646683893760</t>
  </si>
  <si>
    <t>1702371675621277739</t>
  </si>
  <si>
    <t>1662106645705416707</t>
  </si>
  <si>
    <t>1686165631815569408</t>
  </si>
  <si>
    <t>1673534160529416192</t>
  </si>
  <si>
    <t>1655886345003323392</t>
  </si>
  <si>
    <t>1705294907886194978</t>
  </si>
  <si>
    <t>1671484300670140416</t>
  </si>
  <si>
    <t>1664324281835175954</t>
  </si>
  <si>
    <t>1663615229442379777</t>
  </si>
  <si>
    <t>1654569652511739904</t>
  </si>
  <si>
    <t>1689739040323444738</t>
  </si>
  <si>
    <t>1695298038070460454</t>
  </si>
  <si>
    <t>1705195351035072999</t>
  </si>
  <si>
    <t>1707153069962629492</t>
  </si>
  <si>
    <t>1681028454026813440</t>
  </si>
  <si>
    <t>1705023606130872660</t>
  </si>
  <si>
    <t>1705309264661692463</t>
  </si>
  <si>
    <t>1705309243253895173</t>
  </si>
  <si>
    <t>1653565502776565760</t>
  </si>
  <si>
    <t>1661836447177908248</t>
  </si>
  <si>
    <t>1678726781761667074</t>
  </si>
  <si>
    <t>1706991046532456716</t>
  </si>
  <si>
    <t>1706991186836173240</t>
  </si>
  <si>
    <t>1664124875210907649</t>
  </si>
  <si>
    <t>1705422314735648865</t>
  </si>
  <si>
    <t>1655586311791624200</t>
  </si>
  <si>
    <t>1704166399390753282</t>
  </si>
  <si>
    <t>1691015392603353088</t>
  </si>
  <si>
    <t>1706750409858002963</t>
  </si>
  <si>
    <t>1697304493103387119</t>
  </si>
  <si>
    <t>1697266745088582050</t>
  </si>
  <si>
    <t>1695551214660858020</t>
  </si>
  <si>
    <t>1654198530242760732</t>
  </si>
  <si>
    <t>1666548142769160195</t>
  </si>
  <si>
    <t>1661748689411641344</t>
  </si>
  <si>
    <t>1661731897133916162</t>
  </si>
  <si>
    <t>1683150220845260806</t>
  </si>
  <si>
    <t>1656999594855657472</t>
  </si>
  <si>
    <t>1656993396081172481</t>
  </si>
  <si>
    <t>1656378696846942209</t>
  </si>
  <si>
    <t>1698762324583002158</t>
  </si>
  <si>
    <t>1658181144204959750</t>
  </si>
  <si>
    <t>1705063887937155438</t>
  </si>
  <si>
    <t>1685670920407396353</t>
  </si>
  <si>
    <t>1667877204229750784</t>
  </si>
  <si>
    <t>1659752596213579777</t>
  </si>
  <si>
    <t>1689739636870983681</t>
  </si>
  <si>
    <t>1690128237601476608</t>
  </si>
  <si>
    <t>1687247164907356160</t>
  </si>
  <si>
    <t>1691539652354637826</t>
  </si>
  <si>
    <t>1659335592935563266</t>
  </si>
  <si>
    <t>1654363862580228097</t>
  </si>
  <si>
    <t>1697341024991862844</t>
  </si>
  <si>
    <t>1691899966870958427</t>
  </si>
  <si>
    <t>1689389891539361792</t>
  </si>
  <si>
    <t>1686492433754828801</t>
  </si>
  <si>
    <t>1654353171534282752</t>
  </si>
  <si>
    <t>1707488345008349187</t>
  </si>
  <si>
    <t>1705399546501640539</t>
  </si>
  <si>
    <t>1707517464190357708</t>
  </si>
  <si>
    <t>1705422458650538060</t>
  </si>
  <si>
    <t>1672244714555187200</t>
  </si>
  <si>
    <t>1701831155803095099</t>
  </si>
  <si>
    <t>1675599622713102337</t>
  </si>
  <si>
    <t>1675511583638708230</t>
  </si>
  <si>
    <t>1675511388154871808</t>
  </si>
  <si>
    <t>1675510792811163648</t>
  </si>
  <si>
    <t>1661008384081166340</t>
  </si>
  <si>
    <t>1691449952390819840</t>
  </si>
  <si>
    <t>1695075456930693138</t>
  </si>
  <si>
    <t>1675333160295342080</t>
  </si>
  <si>
    <t>1674958140725444608</t>
  </si>
  <si>
    <t>1668239392677175296</t>
  </si>
  <si>
    <t>1688548255045451776</t>
  </si>
  <si>
    <t>1691083775881424896</t>
  </si>
  <si>
    <t>1678383561294921728</t>
  </si>
  <si>
    <t>1663170313910140929</t>
  </si>
  <si>
    <t>1658093066018758658</t>
  </si>
  <si>
    <t>1693602983387213848</t>
  </si>
  <si>
    <t>1673307266605367297</t>
  </si>
  <si>
    <t>1655554526949113859</t>
  </si>
  <si>
    <t>1696151278127088082</t>
  </si>
  <si>
    <t>1660629951458975751</t>
  </si>
  <si>
    <t>1701204363165786272</t>
  </si>
  <si>
    <t>1698672492393431144</t>
  </si>
  <si>
    <t>1671863016680243200</t>
  </si>
  <si>
    <t>1703750984084623626</t>
  </si>
  <si>
    <t>1686001667295117312</t>
  </si>
  <si>
    <t>1676575249284857857</t>
  </si>
  <si>
    <t>1706288434841567392</t>
  </si>
  <si>
    <t>1675851327237177345</t>
  </si>
  <si>
    <t>1670763024406261760</t>
  </si>
  <si>
    <t>1658199887102484482</t>
  </si>
  <si>
    <t>1705177995944607955</t>
  </si>
  <si>
    <t>1703791698382397687</t>
  </si>
  <si>
    <t>1686323262785998848</t>
  </si>
  <si>
    <t>1680966627393765377</t>
  </si>
  <si>
    <t>1687115248715907072</t>
  </si>
  <si>
    <t>1694380628580446364</t>
  </si>
  <si>
    <t>1674516129685946374</t>
  </si>
  <si>
    <t>1676316778287321088</t>
  </si>
  <si>
    <t>1676239180534349825</t>
  </si>
  <si>
    <t>1672348416309854215</t>
  </si>
  <si>
    <t>1653822066485764102</t>
  </si>
  <si>
    <t>1673748983745859585</t>
  </si>
  <si>
    <t>1676621914133889024</t>
  </si>
  <si>
    <t>1691078858768883712</t>
  </si>
  <si>
    <t>1688612116452851712</t>
  </si>
  <si>
    <t>1670922733536923650</t>
  </si>
  <si>
    <t>1705310650610614604</t>
  </si>
  <si>
    <t>1656038329924849664</t>
  </si>
  <si>
    <t>1659707255393243137</t>
  </si>
  <si>
    <t>1673068546320900098</t>
  </si>
  <si>
    <t>1686820875926913026</t>
  </si>
  <si>
    <t>1685102088420765697</t>
  </si>
  <si>
    <t>1677142751807172609</t>
  </si>
  <si>
    <t>1691131504812822528</t>
  </si>
  <si>
    <t>1684556643420479491</t>
  </si>
  <si>
    <t>1699145324630028672</t>
  </si>
  <si>
    <t>1669029095823245312</t>
  </si>
  <si>
    <t>1676256568986202114</t>
  </si>
  <si>
    <t>1676025787672150017</t>
  </si>
  <si>
    <t>1671301951093452801</t>
  </si>
  <si>
    <t>1671301899373428738</t>
  </si>
  <si>
    <t>1684647347274342400</t>
  </si>
  <si>
    <t>1670993016297857026</t>
  </si>
  <si>
    <t>1661747574704062464</t>
  </si>
  <si>
    <t>1705177253087199383</t>
  </si>
  <si>
    <t>1664305568033513475</t>
  </si>
  <si>
    <t>1691783661308252210</t>
  </si>
  <si>
    <t>1673821612129366017</t>
  </si>
  <si>
    <t>1653791539217448962</t>
  </si>
  <si>
    <t>1699065499672621142</t>
  </si>
  <si>
    <t>1691138001466699780</t>
  </si>
  <si>
    <t>1691071269603614722</t>
  </si>
  <si>
    <t>1671212533087125505</t>
  </si>
  <si>
    <t>1662966982243696640</t>
  </si>
  <si>
    <t>1666298795808661505</t>
  </si>
  <si>
    <t>1664879130800709635</t>
  </si>
  <si>
    <t>1707145399960523216</t>
  </si>
  <si>
    <t>1702683339444920389</t>
  </si>
  <si>
    <t>1685635945679257600</t>
  </si>
  <si>
    <t>1661046896545218576</t>
  </si>
  <si>
    <t>1689297188445196288</t>
  </si>
  <si>
    <t>1691109700723716096</t>
  </si>
  <si>
    <t>1705124676949708976</t>
  </si>
  <si>
    <t>1706422942018724130</t>
  </si>
  <si>
    <t>1707147523247296568</t>
  </si>
  <si>
    <t>1660052088942886912</t>
  </si>
  <si>
    <t>1691268228637401090</t>
  </si>
  <si>
    <t>1677031148600401922</t>
  </si>
  <si>
    <t>1699414580374429999</t>
  </si>
  <si>
    <t>1691269084334194688</t>
  </si>
  <si>
    <t>1686339875417841664</t>
  </si>
  <si>
    <t>1696941236215529521</t>
  </si>
  <si>
    <t>1665007552487120897</t>
  </si>
  <si>
    <t>1707514232554553653</t>
  </si>
  <si>
    <t>1707514849436017085</t>
  </si>
  <si>
    <t>1676215945482629120</t>
  </si>
  <si>
    <t>1673413881933307904</t>
  </si>
  <si>
    <t>1657780308232777729</t>
  </si>
  <si>
    <t>1659202114281934851</t>
  </si>
  <si>
    <t>1704251202207158658</t>
  </si>
  <si>
    <t>1672358704174317568</t>
  </si>
  <si>
    <t>1705324083817197999</t>
  </si>
  <si>
    <t>1688651418247249920</t>
  </si>
  <si>
    <t>1701246489207459882</t>
  </si>
  <si>
    <t>1701228087290007960</t>
  </si>
  <si>
    <t>1664373843090128897</t>
  </si>
  <si>
    <t>1674980533464432640</t>
  </si>
  <si>
    <t>1670943868785704961</t>
  </si>
  <si>
    <t>1670915275754029058</t>
  </si>
  <si>
    <t>1682942498455388161</t>
  </si>
  <si>
    <t>1686140942183460865</t>
  </si>
  <si>
    <t>1675986406269759493</t>
  </si>
  <si>
    <t>1699177050609746087</t>
  </si>
  <si>
    <t>1674515755004579840</t>
  </si>
  <si>
    <t>1700140938520154251</t>
  </si>
  <si>
    <t>1697318649613132195</t>
  </si>
  <si>
    <t>1661820570005020682</t>
  </si>
  <si>
    <t>1671219045591396353</t>
  </si>
  <si>
    <t>1671218770046582786</t>
  </si>
  <si>
    <t>1671218368282492937</t>
  </si>
  <si>
    <t>1661167628591800323</t>
  </si>
  <si>
    <t>1654169014183120896</t>
  </si>
  <si>
    <t>1655626117171286027</t>
  </si>
  <si>
    <t>1666562622739628033</t>
  </si>
  <si>
    <t>1669419126937272346</t>
  </si>
  <si>
    <t>1707040555811631485</t>
  </si>
  <si>
    <t>1671653472654196736</t>
  </si>
  <si>
    <t>1668802200477261825</t>
  </si>
  <si>
    <t>1678052945798021121</t>
  </si>
  <si>
    <t>1674873952726810625</t>
  </si>
  <si>
    <t>1674867409591623700</t>
  </si>
  <si>
    <t>1676403279033507840</t>
  </si>
  <si>
    <t>1676043530735681538</t>
  </si>
  <si>
    <t>1660637020299960321</t>
  </si>
  <si>
    <t>1653435765227921409</t>
  </si>
  <si>
    <t>1686924676264497152</t>
  </si>
  <si>
    <t>1705012920147399160</t>
  </si>
  <si>
    <t>1701261966189170762</t>
  </si>
  <si>
    <t>1689126196771004416</t>
  </si>
  <si>
    <t>1689125873092288512</t>
  </si>
  <si>
    <t>1689125527922126848</t>
  </si>
  <si>
    <t>1684289484009996296</t>
  </si>
  <si>
    <t>1694413785497321496</t>
  </si>
  <si>
    <t>1673336649126748161</t>
  </si>
  <si>
    <t>1665773377880047619</t>
  </si>
  <si>
    <t>1666613870281064450</t>
  </si>
  <si>
    <t>1694107744029045141</t>
  </si>
  <si>
    <t>1688551587008929792</t>
  </si>
  <si>
    <t>1673769327579766810</t>
  </si>
  <si>
    <t>1693607938835763366</t>
  </si>
  <si>
    <t>1690136429093957632</t>
  </si>
  <si>
    <t>1687479137445859329</t>
  </si>
  <si>
    <t>1673373582343258113</t>
  </si>
  <si>
    <t>1696139010979078378</t>
  </si>
  <si>
    <t>1679287989229240320</t>
  </si>
  <si>
    <t>1674740263384924162</t>
  </si>
  <si>
    <t>1674697207633592321</t>
  </si>
  <si>
    <t>1701231516934627396</t>
  </si>
  <si>
    <t>1686858860911271937</t>
  </si>
  <si>
    <t>1666404596967776256</t>
  </si>
  <si>
    <t>1666380808737660930</t>
  </si>
  <si>
    <t>1706024564013006986</t>
  </si>
  <si>
    <t>1706375887950647629</t>
  </si>
  <si>
    <t>1676162447403614208</t>
  </si>
  <si>
    <t>1671172220461391877</t>
  </si>
  <si>
    <t>1662062930064490496</t>
  </si>
  <si>
    <t>1662061698012807168</t>
  </si>
  <si>
    <t>1661737957634756610</t>
  </si>
  <si>
    <t>1661024870787088391</t>
  </si>
  <si>
    <t>1705605208598786385</t>
  </si>
  <si>
    <t>1700176939632189923</t>
  </si>
  <si>
    <t>1700144489514291533</t>
  </si>
  <si>
    <t>1689653715429658625</t>
  </si>
  <si>
    <t>1707326145752932861</t>
  </si>
  <si>
    <t>1704495632579174461</t>
  </si>
  <si>
    <t>1691056255844978689</t>
  </si>
  <si>
    <t>1664019272459329538</t>
  </si>
  <si>
    <t>1657745866474618882</t>
  </si>
  <si>
    <t>1668586009888702464</t>
  </si>
  <si>
    <t>1677636646752370689</t>
  </si>
  <si>
    <t>1671478318141517824</t>
  </si>
  <si>
    <t>1692047819694014728</t>
  </si>
  <si>
    <t>1699000921362251891</t>
  </si>
  <si>
    <t>1687056970216341504</t>
  </si>
  <si>
    <t>1706444861073936612</t>
  </si>
  <si>
    <t>1678510835541368832</t>
  </si>
  <si>
    <t>1669805929989021696</t>
  </si>
  <si>
    <t>1682105950738472965</t>
  </si>
  <si>
    <t>1699582795859841218</t>
  </si>
  <si>
    <t>1704595777035587739</t>
  </si>
  <si>
    <t>1655673859759022080</t>
  </si>
  <si>
    <t>1704209303211536750</t>
  </si>
  <si>
    <t>1655918920845369344</t>
  </si>
  <si>
    <t>1659268154839769113</t>
  </si>
  <si>
    <t>1658879251536281628</t>
  </si>
  <si>
    <t>1654473123540992001</t>
  </si>
  <si>
    <t>1699767024950325365</t>
  </si>
  <si>
    <t>1674785471271145473</t>
  </si>
  <si>
    <t>1704614965087183212</t>
  </si>
  <si>
    <t>1671843843753275394</t>
  </si>
  <si>
    <t>1662186436534124550</t>
  </si>
  <si>
    <t>1679143908054368257</t>
  </si>
  <si>
    <t>1655699044935532545</t>
  </si>
  <si>
    <t>1691918271350448523</t>
  </si>
  <si>
    <t>1677685443737837568</t>
  </si>
  <si>
    <t>1691098270758793216</t>
  </si>
  <si>
    <t>1673816113304551424</t>
  </si>
  <si>
    <t>1706954631274697194</t>
  </si>
  <si>
    <t>1671876259280744449</t>
  </si>
  <si>
    <t>1705063488228393176</t>
  </si>
  <si>
    <t>1705027077047513404</t>
  </si>
  <si>
    <t>1686799629940125726</t>
  </si>
  <si>
    <t>1672611082962190337</t>
  </si>
  <si>
    <t>1678819474131091457</t>
  </si>
  <si>
    <t>1686802174414647310</t>
  </si>
  <si>
    <t>1668696769562017795</t>
  </si>
  <si>
    <t>1657235465160753153</t>
  </si>
  <si>
    <t>1699851710615753034</t>
  </si>
  <si>
    <t>1681861825699119104</t>
  </si>
  <si>
    <t>1653911602838503425</t>
  </si>
  <si>
    <t>1701275660034195936</t>
  </si>
  <si>
    <t>1661732700133404673</t>
  </si>
  <si>
    <t>1687098133912879106</t>
  </si>
  <si>
    <t>1699053713724235873</t>
  </si>
  <si>
    <t>1699433082510619013</t>
  </si>
  <si>
    <t>1654226498679902210</t>
  </si>
  <si>
    <t>1661487077891125248</t>
  </si>
  <si>
    <t>1707431554182533153</t>
  </si>
  <si>
    <t>1687153374184050688</t>
  </si>
  <si>
    <t>1681445320344109060</t>
  </si>
  <si>
    <t>1695204930884079962</t>
  </si>
  <si>
    <t>1672264802226282496</t>
  </si>
  <si>
    <t>1691131522831601664</t>
  </si>
  <si>
    <t>1685105172366741504</t>
  </si>
  <si>
    <t>1655641401936207884</t>
  </si>
  <si>
    <t>1668711604697923590</t>
  </si>
  <si>
    <t>1704877314419327471</t>
  </si>
  <si>
    <t>1654212326076162048</t>
  </si>
  <si>
    <t>1660652378058637320</t>
  </si>
  <si>
    <t>1692228027273372131</t>
  </si>
  <si>
    <t>1705272622529843704</t>
  </si>
  <si>
    <t>1672247025411260417</t>
  </si>
  <si>
    <t>1673416194617929739</t>
  </si>
  <si>
    <t>1683804990534565889</t>
  </si>
  <si>
    <t>1674381194476044291</t>
  </si>
  <si>
    <t>1669107209253318657</t>
  </si>
  <si>
    <t>1655909541287022592</t>
  </si>
  <si>
    <t>1655909201502167044</t>
  </si>
  <si>
    <t>1683982712535760897</t>
  </si>
  <si>
    <t>1679630467669082112</t>
  </si>
  <si>
    <t>1679504399855484928</t>
  </si>
  <si>
    <t>1679499720828366848</t>
  </si>
  <si>
    <t>1688879099035504641</t>
  </si>
  <si>
    <t>1676347053696270342</t>
  </si>
  <si>
    <t>1676262548968972289</t>
  </si>
  <si>
    <t>1676235465668608001</t>
  </si>
  <si>
    <t>1671457552389877761</t>
  </si>
  <si>
    <t>1661810694986104839</t>
  </si>
  <si>
    <t>1663152598323429377</t>
  </si>
  <si>
    <t>1689720180849418246</t>
  </si>
  <si>
    <t>1676684326891601920</t>
  </si>
  <si>
    <t>1672230469931343872</t>
  </si>
  <si>
    <t>1653738824290148357</t>
  </si>
  <si>
    <t>1691600155756077227</t>
  </si>
  <si>
    <t>1689057672123887616</t>
  </si>
  <si>
    <t>1685974237775798273</t>
  </si>
  <si>
    <t>1684910889219039234</t>
  </si>
  <si>
    <t>1670860109218496513</t>
  </si>
  <si>
    <t>1670758729950679040</t>
  </si>
  <si>
    <t>1695060415665852834</t>
  </si>
  <si>
    <t>1681033883741978627</t>
  </si>
  <si>
    <t>1653880341399044096</t>
  </si>
  <si>
    <t>1699136654546514086</t>
  </si>
  <si>
    <t>1698789528423575756</t>
  </si>
  <si>
    <t>1694041867640324605</t>
  </si>
  <si>
    <t>1691067451016900608</t>
  </si>
  <si>
    <t>1687075079664848896</t>
  </si>
  <si>
    <t>1704105515607785592</t>
  </si>
  <si>
    <t>1681813584534183938</t>
  </si>
  <si>
    <t>1681813320465100801</t>
  </si>
  <si>
    <t>1681770384901783552</t>
  </si>
  <si>
    <t>1673714634690293761</t>
  </si>
  <si>
    <t>1668350709316608016</t>
  </si>
  <si>
    <t>1655632701985021970</t>
  </si>
  <si>
    <t>1707511579590230371</t>
  </si>
  <si>
    <t>1689770248470196224</t>
  </si>
  <si>
    <t>1691107408909611008</t>
  </si>
  <si>
    <t>1673693162513260544</t>
  </si>
  <si>
    <t>1673759468759162888</t>
  </si>
  <si>
    <t>1690036089216471041</t>
  </si>
  <si>
    <t>1686755830345986048</t>
  </si>
  <si>
    <t>1705268329819107589</t>
  </si>
  <si>
    <t>1704393118731173904</t>
  </si>
  <si>
    <t>1686776871646609408</t>
  </si>
  <si>
    <t>1677339185806548995</t>
  </si>
  <si>
    <t>1676954161081110528</t>
  </si>
  <si>
    <t>1671973711837118464</t>
  </si>
  <si>
    <t>1666434887786668039</t>
  </si>
  <si>
    <t>1665711367691673600</t>
  </si>
  <si>
    <t>1653759375171788800</t>
  </si>
  <si>
    <t>1687455875223449601</t>
  </si>
  <si>
    <t>1682041288856842240</t>
  </si>
  <si>
    <t>1681697121525800964</t>
  </si>
  <si>
    <t>1668615943621058561</t>
  </si>
  <si>
    <t>1655565719143165952</t>
  </si>
  <si>
    <t>1664627978989387778</t>
  </si>
  <si>
    <t>1694345012010504400</t>
  </si>
  <si>
    <t>1688554353538265088</t>
  </si>
  <si>
    <t>1683831990837993473</t>
  </si>
  <si>
    <t>1683495683859283968</t>
  </si>
  <si>
    <t>1682401313177448449</t>
  </si>
  <si>
    <t>1674062654774693888</t>
  </si>
  <si>
    <t>1673748485609250817</t>
  </si>
  <si>
    <t>1668993546953555968</t>
  </si>
  <si>
    <t>1657053132034134016</t>
  </si>
  <si>
    <t>1656652880315645952</t>
  </si>
  <si>
    <t>1656297249998028805</t>
  </si>
  <si>
    <t>1655932148811980800</t>
  </si>
  <si>
    <t>1694718726825029741</t>
  </si>
  <si>
    <t>1684198152063049729</t>
  </si>
  <si>
    <t>1679853260302106629</t>
  </si>
  <si>
    <t>1679483317081501699</t>
  </si>
  <si>
    <t>1679143583021150209</t>
  </si>
  <si>
    <t>1674788828870238209</t>
  </si>
  <si>
    <t>1674454970865795072</t>
  </si>
  <si>
    <t>1669706539148488707</t>
  </si>
  <si>
    <t>1669344134900121607</t>
  </si>
  <si>
    <t>1660635423842918400</t>
  </si>
  <si>
    <t>1705214154057937405</t>
  </si>
  <si>
    <t>1680932865456914433</t>
  </si>
  <si>
    <t>1672243236402806785</t>
  </si>
  <si>
    <t>1668257317618343941</t>
  </si>
  <si>
    <t>1667221312111034376</t>
  </si>
  <si>
    <t>1666817855931961360</t>
  </si>
  <si>
    <t>1654138425409150978</t>
  </si>
  <si>
    <t>1706306986520752340</t>
  </si>
  <si>
    <t>1704839158743871990</t>
  </si>
  <si>
    <t>1684560541304356864</t>
  </si>
  <si>
    <t>1675874535176908801</t>
  </si>
  <si>
    <t>1670811226186870784</t>
  </si>
  <si>
    <t>1658472472738697221</t>
  </si>
  <si>
    <t>1654478551213637634</t>
  </si>
  <si>
    <t>1707021533657366816</t>
  </si>
  <si>
    <t>1686006321181544448</t>
  </si>
  <si>
    <t>1676609132030308353</t>
  </si>
  <si>
    <t>1676221827662708737</t>
  </si>
  <si>
    <t>1671157253054038017</t>
  </si>
  <si>
    <t>1662088747486261249</t>
  </si>
  <si>
    <t>1661733981661069318</t>
  </si>
  <si>
    <t>1661363410422968323</t>
  </si>
  <si>
    <t>1661002844315475970</t>
  </si>
  <si>
    <t>1707375965913993670</t>
  </si>
  <si>
    <t>1706658681255813199</t>
  </si>
  <si>
    <t>1704494003096302048</t>
  </si>
  <si>
    <t>1694009048113287270</t>
  </si>
  <si>
    <t>1687093481343217664</t>
  </si>
  <si>
    <t>1678766096797802500</t>
  </si>
  <si>
    <t>1678403709217193989</t>
  </si>
  <si>
    <t>1664260565202509828</t>
  </si>
  <si>
    <t>1663927646839775232</t>
  </si>
  <si>
    <t>1663540811818999808</t>
  </si>
  <si>
    <t>1663178428743286791</t>
  </si>
  <si>
    <t>1658110092259082240</t>
  </si>
  <si>
    <t>1672244459872845825</t>
  </si>
  <si>
    <t>1673416064275820544</t>
  </si>
  <si>
    <t>1690910468276097025</t>
  </si>
  <si>
    <t>1683860654770249729</t>
  </si>
  <si>
    <t>1664377833819369479</t>
  </si>
  <si>
    <t>1705030555757101122</t>
  </si>
  <si>
    <t>1654189733746966528</t>
  </si>
  <si>
    <t>1653929303153713154</t>
  </si>
  <si>
    <t>1670807488915177472</t>
  </si>
  <si>
    <t>1658304480671154177</t>
  </si>
  <si>
    <t>1654585500739461120</t>
  </si>
  <si>
    <t>1676359170067505153</t>
  </si>
  <si>
    <t>1676208481227898880</t>
  </si>
  <si>
    <t>1671485706135392259</t>
  </si>
  <si>
    <t>1688695465737400321</t>
  </si>
  <si>
    <t>1688673963654762496</t>
  </si>
  <si>
    <t>1669730300065361924</t>
  </si>
  <si>
    <t>1660671887146471425</t>
  </si>
  <si>
    <t>1659706969651920896</t>
  </si>
  <si>
    <t>1659701864076570625</t>
  </si>
  <si>
    <t>1698805080185565220</t>
  </si>
  <si>
    <t>1694000813457522920</t>
  </si>
  <si>
    <t>1671688617163456512</t>
  </si>
  <si>
    <t>1671658667655979011</t>
  </si>
  <si>
    <t>1671585270825721872</t>
  </si>
  <si>
    <t>1700315558019825953</t>
  </si>
  <si>
    <t>1689704693054738439</t>
  </si>
  <si>
    <t>1686874435561693185</t>
  </si>
  <si>
    <t>1677455251849314304</t>
  </si>
  <si>
    <t>1664710809258164224</t>
  </si>
  <si>
    <t>1653728967138877440</t>
  </si>
  <si>
    <t>1701317441517690919</t>
  </si>
  <si>
    <t>1690082376951484416</t>
  </si>
  <si>
    <t>1673682501259128834</t>
  </si>
  <si>
    <t>1655639218020835336</t>
  </si>
  <si>
    <t>1704620525673234599</t>
  </si>
  <si>
    <t>1699223545547514221</t>
  </si>
  <si>
    <t>1669073782206611456</t>
  </si>
  <si>
    <t>1692720070399537384</t>
  </si>
  <si>
    <t>1673948015600586753</t>
  </si>
  <si>
    <t>1690444922661277696</t>
  </si>
  <si>
    <t>1690444920266379264</t>
  </si>
  <si>
    <t>1686483381104648192</t>
  </si>
  <si>
    <t>1664045490831327237</t>
  </si>
  <si>
    <t>1674598824604577794</t>
  </si>
  <si>
    <t>1699262082116472980</t>
  </si>
  <si>
    <t>1663235000551063560</t>
  </si>
  <si>
    <t>1665715092502233092</t>
  </si>
  <si>
    <t>1661800968273494042</t>
  </si>
  <si>
    <t>1668318769142194186</t>
  </si>
  <si>
    <t>1675856920048021505</t>
  </si>
  <si>
    <t>1659240234490396689</t>
  </si>
  <si>
    <t>1658179116393193494</t>
  </si>
  <si>
    <t>1699167189343846548</t>
  </si>
  <si>
    <t>1657161465751535618</t>
  </si>
  <si>
    <t>1657122060957634598</t>
  </si>
  <si>
    <t>1653711245457932290</t>
  </si>
  <si>
    <t>1686136734499672064</t>
  </si>
  <si>
    <t>1686832290557526016</t>
  </si>
  <si>
    <t>1686829331887063040</t>
  </si>
  <si>
    <t>1687092926785208320</t>
  </si>
  <si>
    <t>1690094370135945216</t>
  </si>
  <si>
    <t>1656281573652570113</t>
  </si>
  <si>
    <t>1661314531451191296</t>
  </si>
  <si>
    <t>1654072158388092928</t>
  </si>
  <si>
    <t>1706969720736379351</t>
  </si>
  <si>
    <t>1691127565543731201</t>
  </si>
  <si>
    <t>1673139052596412416</t>
  </si>
  <si>
    <t>1677711686793322497</t>
  </si>
  <si>
    <t>1666616069434351616</t>
  </si>
  <si>
    <t>1687634575952941058</t>
  </si>
  <si>
    <t>1688631130818236416</t>
  </si>
  <si>
    <t>1656358574249897984</t>
  </si>
  <si>
    <t>1654230698121744384</t>
  </si>
  <si>
    <t>1656752833146810377</t>
  </si>
  <si>
    <t>1664040291257679872</t>
  </si>
  <si>
    <t>1653906509909184512</t>
  </si>
  <si>
    <t>1684606043400044558</t>
  </si>
  <si>
    <t>1694368094955717022</t>
  </si>
  <si>
    <t>1694367641924682081</t>
  </si>
  <si>
    <t>1682851533119975424</t>
  </si>
  <si>
    <t>1668750794685054977</t>
  </si>
  <si>
    <t>1696167462939582569</t>
  </si>
  <si>
    <t>1695458349561896975</t>
  </si>
  <si>
    <t>1701293776591872416</t>
  </si>
  <si>
    <t>1706832423412007388</t>
  </si>
  <si>
    <t>1697935708005027905</t>
  </si>
  <si>
    <t>1697648091246080456</t>
  </si>
  <si>
    <t>1671900052430700545</t>
  </si>
  <si>
    <t>1671893684948971523</t>
  </si>
  <si>
    <t>1707079913684033836</t>
  </si>
  <si>
    <t>1688896257563983873</t>
  </si>
  <si>
    <t>1707427716490817959</t>
  </si>
  <si>
    <t>1687068051684864000</t>
  </si>
  <si>
    <t>1662316250221912066</t>
  </si>
  <si>
    <t>1694847059373732280</t>
  </si>
  <si>
    <t>1691106884369915904</t>
  </si>
  <si>
    <t>1659576749452328961</t>
  </si>
  <si>
    <t>1655985927922106368</t>
  </si>
  <si>
    <t>1671914806280962063</t>
  </si>
  <si>
    <t>1682029144048279552</t>
  </si>
  <si>
    <t>1684935880790728705</t>
  </si>
  <si>
    <t>1687113540682096640</t>
  </si>
  <si>
    <t>1653731624285007873</t>
  </si>
  <si>
    <t>1662069187068456963</t>
  </si>
  <si>
    <t>1675926977004314644</t>
  </si>
  <si>
    <t>1654460519917518850</t>
  </si>
  <si>
    <t>1663525277492805634</t>
  </si>
  <si>
    <t>1700173485538939220</t>
  </si>
  <si>
    <t>1654098649192755205</t>
  </si>
  <si>
    <t>1698724294337962164</t>
  </si>
  <si>
    <t>1671543058620399619</t>
  </si>
  <si>
    <t>1707121622694469902</t>
  </si>
  <si>
    <t>1661168503791951872</t>
  </si>
  <si>
    <t>1669409435687747584</t>
  </si>
  <si>
    <t>1678758760297144321</t>
  </si>
  <si>
    <t>1671684771473248257</t>
  </si>
  <si>
    <t>1686072008151351306</t>
  </si>
  <si>
    <t>1671164722509660160</t>
  </si>
  <si>
    <t>1684995133828411392</t>
  </si>
  <si>
    <t>1686428415962796032</t>
  </si>
  <si>
    <t>1688647165466312704</t>
  </si>
  <si>
    <t>1657210510662590469</t>
  </si>
  <si>
    <t>1687010712516759552</t>
  </si>
  <si>
    <t>1686725348853956608</t>
  </si>
  <si>
    <t>1667909160908865536</t>
  </si>
  <si>
    <t>1691161636113887232</t>
  </si>
  <si>
    <t>1686151731233660929</t>
  </si>
  <si>
    <t>1661440425742270495</t>
  </si>
  <si>
    <t>1699156620272697635</t>
  </si>
  <si>
    <t>1704106669423153316</t>
  </si>
  <si>
    <t>1682001520886251523</t>
  </si>
  <si>
    <t>1668271686381187074</t>
  </si>
  <si>
    <t>1686724066990764032</t>
  </si>
  <si>
    <t>1688128779871240193</t>
  </si>
  <si>
    <t>1688171165238366208</t>
  </si>
  <si>
    <t>1688173005862510592</t>
  </si>
  <si>
    <t>1704555214412325121</t>
  </si>
  <si>
    <t>1668039922056413185</t>
  </si>
  <si>
    <t>1695228948035056114</t>
  </si>
  <si>
    <t>1701594469844607075</t>
  </si>
  <si>
    <t>1671632826154795008</t>
  </si>
  <si>
    <t>1671873059853090816</t>
  </si>
  <si>
    <t>1690409337661919233</t>
  </si>
  <si>
    <t>1691412586837716993</t>
  </si>
  <si>
    <t>1701374511440887888</t>
  </si>
  <si>
    <t>1704502701281681696</t>
  </si>
  <si>
    <t>1662943719480328193</t>
  </si>
  <si>
    <t>1705356297867038772</t>
  </si>
  <si>
    <t>1701609671474524516</t>
  </si>
  <si>
    <t>1704735126280683771</t>
  </si>
  <si>
    <t>1706999597787238687</t>
  </si>
  <si>
    <t>1707361057885356320</t>
  </si>
  <si>
    <t>1660776192608284673</t>
  </si>
  <si>
    <t>1692298610128408938</t>
  </si>
  <si>
    <t>1697560941204758702</t>
  </si>
  <si>
    <t>1686684334948864000</t>
  </si>
  <si>
    <t>1686520863288442880</t>
  </si>
  <si>
    <t>1702807132041629985</t>
  </si>
  <si>
    <t>1705528836106883364</t>
  </si>
  <si>
    <t>1665761637091901451</t>
  </si>
  <si>
    <t>1671376759369920515</t>
  </si>
  <si>
    <t>1698703625667682511</t>
  </si>
  <si>
    <t>1686874618110337024</t>
  </si>
  <si>
    <t>1699541132730908762</t>
  </si>
  <si>
    <t>1699494958175076401</t>
  </si>
  <si>
    <t>1666586681493929984</t>
  </si>
  <si>
    <t>1665809571414175744</t>
  </si>
  <si>
    <t>1696262627956040126</t>
  </si>
  <si>
    <t>1668662006688231441</t>
  </si>
  <si>
    <t>1704555565970608341</t>
  </si>
  <si>
    <t>1672236086037291008</t>
  </si>
  <si>
    <t>1672215803335172097</t>
  </si>
  <si>
    <t>1676195096750850053</t>
  </si>
  <si>
    <t>1694677629553496255</t>
  </si>
  <si>
    <t>1695056506998198284</t>
  </si>
  <si>
    <t>1698018796550734168</t>
  </si>
  <si>
    <t>1654538702188584961</t>
  </si>
  <si>
    <t>1669726061188325376</t>
  </si>
  <si>
    <t>1660732888021708800</t>
  </si>
  <si>
    <t>1687487655854931968</t>
  </si>
  <si>
    <t>1691092386674622464</t>
  </si>
  <si>
    <t>1657124862446432256</t>
  </si>
  <si>
    <t>1691811284533104939</t>
  </si>
  <si>
    <t>1689644324634636289</t>
  </si>
  <si>
    <t>1681274495024209921</t>
  </si>
  <si>
    <t>1679947872886718464</t>
  </si>
  <si>
    <t>1699107483661337062</t>
  </si>
  <si>
    <t>1699796287447831007</t>
  </si>
  <si>
    <t>1705177041039933632</t>
  </si>
  <si>
    <t>1705176731269644292</t>
  </si>
  <si>
    <t>1691417502218096640</t>
  </si>
  <si>
    <t>1686932741240041473</t>
  </si>
  <si>
    <t>1666137549771878422</t>
  </si>
  <si>
    <t>1660741264277491736</t>
  </si>
  <si>
    <t>1658619770575499269</t>
  </si>
  <si>
    <t>1666373309448040450</t>
  </si>
  <si>
    <t>1664787858870116353</t>
  </si>
  <si>
    <t>1666950009512771585</t>
  </si>
  <si>
    <t>1707349615207412122</t>
  </si>
  <si>
    <t>1683616264114130944</t>
  </si>
  <si>
    <t>1699886435229409693</t>
  </si>
  <si>
    <t>1702127827091357793</t>
  </si>
  <si>
    <t>1674557369630576648</t>
  </si>
  <si>
    <t>1705354970306850835</t>
  </si>
  <si>
    <t>1676772313730105344</t>
  </si>
  <si>
    <t>1705360081481613421</t>
  </si>
  <si>
    <t>1653836572163186722</t>
  </si>
  <si>
    <t>1658223226701398017</t>
  </si>
  <si>
    <t>1702400069142716834</t>
  </si>
  <si>
    <t>1702668725940367564</t>
  </si>
  <si>
    <t>1668666835003224088</t>
  </si>
  <si>
    <t>1668666559479382016</t>
  </si>
  <si>
    <t>1668659732494573568</t>
  </si>
  <si>
    <t>1657465743712059395</t>
  </si>
  <si>
    <t>1671873650302042112</t>
  </si>
  <si>
    <t>1685151387372396544</t>
  </si>
  <si>
    <t>1678201866121871363</t>
  </si>
  <si>
    <t>1686186378567012352</t>
  </si>
  <si>
    <t>1675985045952032768</t>
  </si>
  <si>
    <t>1689737337150840832</t>
  </si>
  <si>
    <t>1701346210689273882</t>
  </si>
  <si>
    <t>1674889423878594560</t>
  </si>
  <si>
    <t>1683513974267027463</t>
  </si>
  <si>
    <t>1691832429604909315</t>
  </si>
  <si>
    <t>1695453678528843796</t>
  </si>
  <si>
    <t>1705392270240018770</t>
  </si>
  <si>
    <t>1668390960684847105</t>
  </si>
  <si>
    <t>1668388470690127872</t>
  </si>
  <si>
    <t>1679087946324930563</t>
  </si>
  <si>
    <t>1702419664901710250</t>
  </si>
  <si>
    <t>1669324490898120704</t>
  </si>
  <si>
    <t>1670015364288184322</t>
  </si>
  <si>
    <t>1672258443833405443</t>
  </si>
  <si>
    <t>1672648847527407620</t>
  </si>
  <si>
    <t>1694333107267105018</t>
  </si>
  <si>
    <t>1696221962886848894</t>
  </si>
  <si>
    <t>1705040364724158907</t>
  </si>
  <si>
    <t>1688960947400978456</t>
  </si>
  <si>
    <t>1672605343182987264</t>
  </si>
  <si>
    <t>1672375730787741696</t>
  </si>
  <si>
    <t>1662932205293772800</t>
  </si>
  <si>
    <t>1668339351485583360</t>
  </si>
  <si>
    <t>1671942757781209089</t>
  </si>
  <si>
    <t>1665772582979661827</t>
  </si>
  <si>
    <t>1673755583189491729</t>
  </si>
  <si>
    <t>1678411707092221958</t>
  </si>
  <si>
    <t>1684539407481683968</t>
  </si>
  <si>
    <t>1660728991508987904</t>
  </si>
  <si>
    <t>1705212974435115039</t>
  </si>
  <si>
    <t>1707433916208947581</t>
  </si>
  <si>
    <t>1661132575614615553</t>
  </si>
  <si>
    <t>1695947998914544110</t>
  </si>
  <si>
    <t>1678565585708363777</t>
  </si>
  <si>
    <t>1654508731965603840</t>
  </si>
  <si>
    <t>1654623604263247875</t>
  </si>
  <si>
    <t>1704614914801676644</t>
  </si>
  <si>
    <t>1704616098954358806</t>
  </si>
  <si>
    <t>1699439685976588720</t>
  </si>
  <si>
    <t>1704463920960868433</t>
  </si>
  <si>
    <t>1656134098199658502</t>
  </si>
  <si>
    <t>1674904639542644737</t>
  </si>
  <si>
    <t>1679574473706545153</t>
  </si>
  <si>
    <t>1683467558240780288</t>
  </si>
  <si>
    <t>1682054840631934976</t>
  </si>
  <si>
    <t>1691554474374951312</t>
  </si>
  <si>
    <t>1675535451384365057</t>
  </si>
  <si>
    <t>1668425972243210243</t>
  </si>
  <si>
    <t>1671941291436044289</t>
  </si>
  <si>
    <t>1674503063195754496</t>
  </si>
  <si>
    <t>1686428333603422208</t>
  </si>
  <si>
    <t>1694330580568064199</t>
  </si>
  <si>
    <t>1698747383285272603</t>
  </si>
  <si>
    <t>1673350476492881921</t>
  </si>
  <si>
    <t>1699068120093352079</t>
  </si>
  <si>
    <t>1707384295378043230</t>
  </si>
  <si>
    <t>1699563821981970921</t>
  </si>
  <si>
    <t>1686361231135780864</t>
  </si>
  <si>
    <t>1701608585879552219</t>
  </si>
  <si>
    <t>1704477016202858841</t>
  </si>
  <si>
    <t>1704497699121225749</t>
  </si>
  <si>
    <t>1686688148082872320</t>
  </si>
  <si>
    <t>1704497656154755577</t>
  </si>
  <si>
    <t>1671126664829444097</t>
  </si>
  <si>
    <t>1692306954545180928</t>
  </si>
  <si>
    <t>1661820254362673167</t>
  </si>
  <si>
    <t>1704862092157653121</t>
  </si>
  <si>
    <t>1675929032758534159</t>
  </si>
  <si>
    <t>1680988231092031489</t>
  </si>
  <si>
    <t>1682077911325593600</t>
  </si>
  <si>
    <t>1679883462595997699</t>
  </si>
  <si>
    <t>1691151513635192858</t>
  </si>
  <si>
    <t>1671156869795291138</t>
  </si>
  <si>
    <t>1694358792035516738</t>
  </si>
  <si>
    <t>1688579723910123520</t>
  </si>
  <si>
    <t>1698774946674053408</t>
  </si>
  <si>
    <t>1695117937361764549</t>
  </si>
  <si>
    <t>1707074415941366009</t>
  </si>
  <si>
    <t>1707118303049654391</t>
  </si>
  <si>
    <t>1654246617862553603</t>
  </si>
  <si>
    <t>1664647109172133894</t>
  </si>
  <si>
    <t>1706654243799638457</t>
  </si>
  <si>
    <t>1704105396355354909</t>
  </si>
  <si>
    <t>1691099456157229056</t>
  </si>
  <si>
    <t>1692527772676002078</t>
  </si>
  <si>
    <t>1699065566814986492</t>
  </si>
  <si>
    <t>1623183343981592576</t>
  </si>
  <si>
    <t>1705968125420740664</t>
  </si>
  <si>
    <t>1677332511779614720</t>
  </si>
  <si>
    <t>1672406988158910464</t>
  </si>
  <si>
    <t>1698055693214122070</t>
  </si>
  <si>
    <t>1687584197873979392</t>
  </si>
  <si>
    <t>1691434570762133504</t>
  </si>
  <si>
    <t>1658804564148248576</t>
  </si>
  <si>
    <t>1691183702401769473</t>
  </si>
  <si>
    <t>1665709852205764610</t>
  </si>
  <si>
    <t>1677044750451625984</t>
  </si>
  <si>
    <t>1692585010182639927</t>
  </si>
  <si>
    <t>1705245025959870632</t>
  </si>
  <si>
    <t>1680198140203356162</t>
  </si>
  <si>
    <t>1654254416969580547</t>
  </si>
  <si>
    <t>1668256866487484418</t>
  </si>
  <si>
    <t>1689084299566288896</t>
  </si>
  <si>
    <t>1684368588444950528</t>
  </si>
  <si>
    <t>1656724041430859787</t>
  </si>
  <si>
    <t>1705013482784002514</t>
  </si>
  <si>
    <t>1705019896503951602</t>
  </si>
  <si>
    <t>1669412783929081876</t>
  </si>
  <si>
    <t>1682474923292258305</t>
  </si>
  <si>
    <t>1692252653709922760</t>
  </si>
  <si>
    <t>1691547673449353216</t>
  </si>
  <si>
    <t>1659262764408348699</t>
  </si>
  <si>
    <t>1694066272764379283</t>
  </si>
  <si>
    <t>1664389530860888064</t>
  </si>
  <si>
    <t>1658132202553593858</t>
  </si>
  <si>
    <t>1696240438489829681</t>
  </si>
  <si>
    <t>1662133439699599367</t>
  </si>
  <si>
    <t>1705354520866205699</t>
  </si>
  <si>
    <t>1691890893966504083</t>
  </si>
  <si>
    <t>1679936741644353558</t>
  </si>
  <si>
    <t>1678727416217321472</t>
  </si>
  <si>
    <t>1677744255446417409</t>
  </si>
  <si>
    <t>1654264281523970048</t>
  </si>
  <si>
    <t>1676281983197147136</t>
  </si>
  <si>
    <t>1681416275103211520</t>
  </si>
  <si>
    <t>1654178948543070227</t>
  </si>
  <si>
    <t>1688955829913890819</t>
  </si>
  <si>
    <t>1669328763044212737</t>
  </si>
  <si>
    <t>1671976740321632266</t>
  </si>
  <si>
    <t>1687198867740315648</t>
  </si>
  <si>
    <t>1691079915565699072</t>
  </si>
  <si>
    <t>1691101637408849920</t>
  </si>
  <si>
    <t>1704929156528541816</t>
  </si>
  <si>
    <t>1705297609278226907</t>
  </si>
  <si>
    <t>1660779471228510208</t>
  </si>
  <si>
    <t>1692303750457626958</t>
  </si>
  <si>
    <t>1697561123262755167</t>
  </si>
  <si>
    <t>1686688298121523200</t>
  </si>
  <si>
    <t>1686521077730516994</t>
  </si>
  <si>
    <t>1702811118266118540</t>
  </si>
  <si>
    <t>1705537569579008464</t>
  </si>
  <si>
    <t>1673353590641926146</t>
  </si>
  <si>
    <t>1668295393795362817</t>
  </si>
  <si>
    <t>1675924959988686862</t>
  </si>
  <si>
    <t>1670861433939034122</t>
  </si>
  <si>
    <t>1681123512260476929</t>
  </si>
  <si>
    <t>1680968775078739970</t>
  </si>
  <si>
    <t>1686860936160612352</t>
  </si>
  <si>
    <t>1693722272777781729</t>
  </si>
  <si>
    <t>1691133643966599168</t>
  </si>
  <si>
    <t>1691129589538676737</t>
  </si>
  <si>
    <t>1683892560270446592</t>
  </si>
  <si>
    <t>1703844820869902581</t>
  </si>
  <si>
    <t>1676434838859948032</t>
  </si>
  <si>
    <t>1686413065338937344</t>
  </si>
  <si>
    <t>1702455542088659058</t>
  </si>
  <si>
    <t>1681661307815092227</t>
  </si>
  <si>
    <t>1682723902412271616</t>
  </si>
  <si>
    <t>1687130753467850752</t>
  </si>
  <si>
    <t>1674499536260087808</t>
  </si>
  <si>
    <t>1672629538734350336</t>
  </si>
  <si>
    <t>1655575573941436428</t>
  </si>
  <si>
    <t>1690149627125956608</t>
  </si>
  <si>
    <t>1704430337919459565</t>
  </si>
  <si>
    <t>1705029814841729104</t>
  </si>
  <si>
    <t>1655593704957284352</t>
  </si>
  <si>
    <t>1659541133012131841</t>
  </si>
  <si>
    <t>1687156854701375511</t>
  </si>
  <si>
    <t>1659583856612089858</t>
  </si>
  <si>
    <t>1666117538298601473</t>
  </si>
  <si>
    <t>1675924454772187144</t>
  </si>
  <si>
    <t>1690891474185887744</t>
  </si>
  <si>
    <t>1691093815569088512</t>
  </si>
  <si>
    <t>1691972630725710227</t>
  </si>
  <si>
    <t>1693730191472808349</t>
  </si>
  <si>
    <t>1688869946384662528</t>
  </si>
  <si>
    <t>1696873742591275486</t>
  </si>
  <si>
    <t>1706956774769668149</t>
  </si>
  <si>
    <t>1665614853841514496</t>
  </si>
  <si>
    <t>1699220799050105074</t>
  </si>
  <si>
    <t>1653742012024123394</t>
  </si>
  <si>
    <t>1674398487830568965</t>
  </si>
  <si>
    <t>1668238318109171712</t>
  </si>
  <si>
    <t>1673346599408357376</t>
  </si>
  <si>
    <t>1655542290205536259</t>
  </si>
  <si>
    <t>1675854005614911488</t>
  </si>
  <si>
    <t>1670788039780573186</t>
  </si>
  <si>
    <t>1693642380136591743</t>
  </si>
  <si>
    <t>1696227229133406216</t>
  </si>
  <si>
    <t>1668742276388929539</t>
  </si>
  <si>
    <t>1679616693700816896</t>
  </si>
  <si>
    <t>1674528919297335296</t>
  </si>
  <si>
    <t>1674407761101070337</t>
  </si>
  <si>
    <t>1669886327901286400</t>
  </si>
  <si>
    <t>1669407492495880192</t>
  </si>
  <si>
    <t>1669338893001576449</t>
  </si>
  <si>
    <t>1659637662779580435</t>
  </si>
  <si>
    <t>1695152900467462276</t>
  </si>
  <si>
    <t>1690095743129075712</t>
  </si>
  <si>
    <t>1687233130376429575</t>
  </si>
  <si>
    <t>1702395552556593298</t>
  </si>
  <si>
    <t>1691892582647832776</t>
  </si>
  <si>
    <t>1689633950262558720</t>
  </si>
  <si>
    <t>1667267825587703812</t>
  </si>
  <si>
    <t>1654256086449266689</t>
  </si>
  <si>
    <t>1702099841026028014</t>
  </si>
  <si>
    <t>1702028614152212602</t>
  </si>
  <si>
    <t>1682519571629211648</t>
  </si>
  <si>
    <t>1657153930915373056</t>
  </si>
  <si>
    <t>1705304129495568431</t>
  </si>
  <si>
    <t>1699955712728723729</t>
  </si>
  <si>
    <t>1696656473156116891</t>
  </si>
  <si>
    <t>1691446180948156417</t>
  </si>
  <si>
    <t>1685032382519468033</t>
  </si>
  <si>
    <t>1674907916434915329</t>
  </si>
  <si>
    <t>1658217727750709251</t>
  </si>
  <si>
    <t>1654604618175860738</t>
  </si>
  <si>
    <t>1706649810558685397</t>
  </si>
  <si>
    <t>1699573196825956605</t>
  </si>
  <si>
    <t>1661160330259574787</t>
  </si>
  <si>
    <t>1706941754895941953</t>
  </si>
  <si>
    <t>1677486406594093058</t>
  </si>
  <si>
    <t>1676952340476346370</t>
  </si>
  <si>
    <t>1666190726944677889</t>
  </si>
  <si>
    <t>1664736243844894720</t>
  </si>
  <si>
    <t>1653540621850918912</t>
  </si>
  <si>
    <t>1706664144601252130</t>
  </si>
  <si>
    <t>1662110595997376513</t>
  </si>
  <si>
    <t>1704397615427633169</t>
  </si>
  <si>
    <t>1653917175701295104</t>
  </si>
  <si>
    <t>1699541007585460690</t>
  </si>
  <si>
    <t>1665854084765696002</t>
  </si>
  <si>
    <t>1685994862355566592</t>
  </si>
  <si>
    <t>1667540654400962560</t>
  </si>
  <si>
    <t>1677427708765122562</t>
  </si>
  <si>
    <t>1706084660785057817</t>
  </si>
  <si>
    <t>1675286783230193664</t>
  </si>
  <si>
    <t>1705169374036774992</t>
  </si>
  <si>
    <t>1654144860188704770</t>
  </si>
  <si>
    <t>1677520322222862338</t>
  </si>
  <si>
    <t>1664619062159081473</t>
  </si>
  <si>
    <t>1704508985473126822</t>
  </si>
  <si>
    <t>1704840794203435037</t>
  </si>
  <si>
    <t>1680924929628184577</t>
  </si>
  <si>
    <t>1657816300897415168</t>
  </si>
  <si>
    <t>1658194218039345152</t>
  </si>
  <si>
    <t>1691131120182583297</t>
  </si>
  <si>
    <t>1691126543748157456</t>
  </si>
  <si>
    <t>1669458018574974977</t>
  </si>
  <si>
    <t>1660741831561302031</t>
  </si>
  <si>
    <t>1705038760872759472</t>
  </si>
  <si>
    <t>1693624641267421542</t>
  </si>
  <si>
    <t>1691430423547760641</t>
  </si>
  <si>
    <t>1683999745855946753</t>
  </si>
  <si>
    <t>1691133584575287304</t>
  </si>
  <si>
    <t>1667820132159176706</t>
  </si>
  <si>
    <t>1691105099006009344</t>
  </si>
  <si>
    <t>1671137230176280579</t>
  </si>
  <si>
    <t>1671134073757089796</t>
  </si>
  <si>
    <t>1662143176663089152</t>
  </si>
  <si>
    <t>1661480527126487040</t>
  </si>
  <si>
    <t>1661059524554375197</t>
  </si>
  <si>
    <t>1661059081296134159</t>
  </si>
  <si>
    <t>1661030228431454208</t>
  </si>
  <si>
    <t>1660997457654738946</t>
  </si>
  <si>
    <t>1673736972924338196</t>
  </si>
  <si>
    <t>1669072312581120002</t>
  </si>
  <si>
    <t>1668978975173902336</t>
  </si>
  <si>
    <t>1673354256596844544</t>
  </si>
  <si>
    <t>1673342531378073603</t>
  </si>
  <si>
    <t>1655600157478604802</t>
  </si>
  <si>
    <t>1678782295199866881</t>
  </si>
  <si>
    <t>1663627464302641152</t>
  </si>
  <si>
    <t>1663531405941387265</t>
  </si>
  <si>
    <t>1679157021688360960</t>
  </si>
  <si>
    <t>1674502621564923904</t>
  </si>
  <si>
    <t>1674475031772930058</t>
  </si>
  <si>
    <t>1674415321015283712</t>
  </si>
  <si>
    <t>1669702821501890564</t>
  </si>
  <si>
    <t>1669702518786383873</t>
  </si>
  <si>
    <t>1660628524049260544</t>
  </si>
  <si>
    <t>1659571664424783873</t>
  </si>
  <si>
    <t>1653457573721325573</t>
  </si>
  <si>
    <t>1686807635486457868</t>
  </si>
  <si>
    <t>1676983432637816832</t>
  </si>
  <si>
    <t>1665723128264179714</t>
  </si>
  <si>
    <t>1681387775780585482</t>
  </si>
  <si>
    <t>1681057186879766528</t>
  </si>
  <si>
    <t>1680936410155560961</t>
  </si>
  <si>
    <t>1680927734384545792</t>
  </si>
  <si>
    <t>1680927541513551872</t>
  </si>
  <si>
    <t>1672262888302469120</t>
  </si>
  <si>
    <t>1672255824280932354</t>
  </si>
  <si>
    <t>1668235678679703553</t>
  </si>
  <si>
    <t>1667192474069082112</t>
  </si>
  <si>
    <t>1667132556607627265</t>
  </si>
  <si>
    <t>1685986735476350976</t>
  </si>
  <si>
    <t>1675894992584294400</t>
  </si>
  <si>
    <t>1675854369319690241</t>
  </si>
  <si>
    <t>1670872087467008000</t>
  </si>
  <si>
    <t>1670791114943520773</t>
  </si>
  <si>
    <t>1658951019483615236</t>
  </si>
  <si>
    <t>1658881016964972552</t>
  </si>
  <si>
    <t>1658477777878941697</t>
  </si>
  <si>
    <t>1653887035227222023</t>
  </si>
  <si>
    <t>1692283775030382921</t>
  </si>
  <si>
    <t>1671637250621177862</t>
  </si>
  <si>
    <t>1662244530144329732</t>
  </si>
  <si>
    <t>1662933470597750784</t>
  </si>
  <si>
    <t>1701674416067797192</t>
  </si>
  <si>
    <t>1706907684434235801</t>
  </si>
  <si>
    <t>1696708297926045777</t>
  </si>
  <si>
    <t>1696637361503842479</t>
  </si>
  <si>
    <t>1699493925025718510</t>
  </si>
  <si>
    <t>1670251601640976387</t>
  </si>
  <si>
    <t>1676270280602275840</t>
  </si>
  <si>
    <t>1681338221794410504</t>
  </si>
  <si>
    <t>1655626854454243344</t>
  </si>
  <si>
    <t>1667255671010611202</t>
  </si>
  <si>
    <t>1671965802604404740</t>
  </si>
  <si>
    <t>1699094128884166923</t>
  </si>
  <si>
    <t>1704164070054600929</t>
  </si>
  <si>
    <t>1707091124727292003</t>
  </si>
  <si>
    <t>1684969528692772864</t>
  </si>
  <si>
    <t>1687506950907469836</t>
  </si>
  <si>
    <t>1691112855809191936</t>
  </si>
  <si>
    <t>1704176664391950487</t>
  </si>
  <si>
    <t>1705360936880541820</t>
  </si>
  <si>
    <t>1676399563823775745</t>
  </si>
  <si>
    <t>1673767053956620309</t>
  </si>
  <si>
    <t>1705165463531971022</t>
  </si>
  <si>
    <t>1672340249370927110</t>
  </si>
  <si>
    <t>1673704724296527872</t>
  </si>
  <si>
    <t>1697643455588061377</t>
  </si>
  <si>
    <t>1692279803410284620</t>
  </si>
  <si>
    <t>1695107215290507761</t>
  </si>
  <si>
    <t>1692608964964335707</t>
  </si>
  <si>
    <t>1698795054830076293</t>
  </si>
  <si>
    <t>1694071459704864920</t>
  </si>
  <si>
    <t>1693729187171877141</t>
  </si>
  <si>
    <t>1696259736339898501</t>
  </si>
  <si>
    <t>1699214652889080305</t>
  </si>
  <si>
    <t>1697288878028124355</t>
  </si>
  <si>
    <t>1696939719223849267</t>
  </si>
  <si>
    <t>1696622411330756791</t>
  </si>
  <si>
    <t>1699432817933877402</t>
  </si>
  <si>
    <t>1694713253258264925</t>
  </si>
  <si>
    <t>1670811230351572994</t>
  </si>
  <si>
    <t>1687133789934219266</t>
  </si>
  <si>
    <t>1686904424650739712</t>
  </si>
  <si>
    <t>1694164484103823400</t>
  </si>
  <si>
    <t>1707191763192909951</t>
  </si>
  <si>
    <t>1699044616434057630</t>
  </si>
  <si>
    <t>1705358656349335889</t>
  </si>
  <si>
    <t>1689636389959426048</t>
  </si>
  <si>
    <t>1705174862908563940</t>
  </si>
  <si>
    <t>1705159049589764318</t>
  </si>
  <si>
    <t>1659216810905042944</t>
  </si>
  <si>
    <t>1691111448041463808</t>
  </si>
  <si>
    <t>1656343373987364864</t>
  </si>
  <si>
    <t>1678221108200321025</t>
  </si>
  <si>
    <t>1704262464018243733</t>
  </si>
  <si>
    <t>1654084456624402437</t>
  </si>
  <si>
    <t>1671646282958487553</t>
  </si>
  <si>
    <t>1653570997247700996</t>
  </si>
  <si>
    <t>1691625679526183082</t>
  </si>
  <si>
    <t>1691822354765066430</t>
  </si>
  <si>
    <t>1686857469274755073</t>
  </si>
  <si>
    <t>1655988610527526923</t>
  </si>
  <si>
    <t>1674832782189641750</t>
  </si>
  <si>
    <t>1678816469667250176</t>
  </si>
  <si>
    <t>1671602983287529472</t>
  </si>
  <si>
    <t>1686400186052935680</t>
  </si>
  <si>
    <t>1697353640279670846</t>
  </si>
  <si>
    <t>1701250421417820359</t>
  </si>
  <si>
    <t>1673663045497659395</t>
  </si>
  <si>
    <t>1701961672024314026</t>
  </si>
  <si>
    <t>1665819225913475081</t>
  </si>
  <si>
    <t>1655682363123290113</t>
  </si>
  <si>
    <t>1705009106233233845</t>
  </si>
  <si>
    <t>1703761568977076583</t>
  </si>
  <si>
    <t>1680665352550637574</t>
  </si>
  <si>
    <t>1658198264737308683</t>
  </si>
  <si>
    <t>1675930398675574786</t>
  </si>
  <si>
    <t>1684938127750660096</t>
  </si>
  <si>
    <t>1691791545106600352</t>
  </si>
  <si>
    <t>1686221846411190272</t>
  </si>
  <si>
    <t>1699787321967845681</t>
  </si>
  <si>
    <t>1699576502352785700</t>
  </si>
  <si>
    <t>1671857207078518789</t>
  </si>
  <si>
    <t>1686164352573882368</t>
  </si>
  <si>
    <t>1696323224332558747</t>
  </si>
  <si>
    <t>1660393558522617858</t>
  </si>
  <si>
    <t>1704391628767563789</t>
  </si>
  <si>
    <t>1707158672722289139</t>
  </si>
  <si>
    <t>1704476962838778362</t>
  </si>
  <si>
    <t>1702596084462174577</t>
  </si>
  <si>
    <t>1705278789222109273</t>
  </si>
  <si>
    <t>1676617944690835456</t>
  </si>
  <si>
    <t>1692111702874104061</t>
  </si>
  <si>
    <t>1704477096532140117</t>
  </si>
  <si>
    <t>1704793714969743639</t>
  </si>
  <si>
    <t>1704793627900162200</t>
  </si>
  <si>
    <t>1674842046111133699</t>
  </si>
  <si>
    <t>1705279011532746990</t>
  </si>
  <si>
    <t>1705621870161137839</t>
  </si>
  <si>
    <t>1705621739466527002</t>
  </si>
  <si>
    <t>1703905279115399316</t>
  </si>
  <si>
    <t>1706631888029274328</t>
  </si>
  <si>
    <t>1655484871114981378</t>
  </si>
  <si>
    <t>1671911345581617154</t>
  </si>
  <si>
    <t>1672345885781504002</t>
  </si>
  <si>
    <t>1655706186258214912</t>
  </si>
  <si>
    <t>1695899954961605061</t>
  </si>
  <si>
    <t>1695520963075702800</t>
  </si>
  <si>
    <t>1672345192391647237</t>
  </si>
  <si>
    <t>1671305483037147137</t>
  </si>
  <si>
    <t>1672006795588509707</t>
  </si>
  <si>
    <t>1670936295449804800</t>
  </si>
  <si>
    <t>1670802366222802944</t>
  </si>
  <si>
    <t>1663672014475755522</t>
  </si>
  <si>
    <t>1662598772096991234</t>
  </si>
  <si>
    <t>1666237283434139648</t>
  </si>
  <si>
    <t>1696149134170792342</t>
  </si>
  <si>
    <t>1701236496009724122</t>
  </si>
  <si>
    <t>1693613801650712692</t>
  </si>
  <si>
    <t>1703765309855818215</t>
  </si>
  <si>
    <t>1706297541929680996</t>
  </si>
  <si>
    <t>1685991661770358784</t>
  </si>
  <si>
    <t>1696472753505747325</t>
  </si>
  <si>
    <t>1668610018722152450</t>
  </si>
  <si>
    <t>1655691438598811649</t>
  </si>
  <si>
    <t>1669464851335331846</t>
  </si>
  <si>
    <t>1683459049159815169</t>
  </si>
  <si>
    <t>1674068708984061955</t>
  </si>
  <si>
    <t>1657049602690875394</t>
  </si>
  <si>
    <t>1686406919106203649</t>
  </si>
  <si>
    <t>1686340264200200192</t>
  </si>
  <si>
    <t>1689666039041163264</t>
  </si>
  <si>
    <t>1693966038474318071</t>
  </si>
  <si>
    <t>1695190325164159026</t>
  </si>
  <si>
    <t>1695081661879247235</t>
  </si>
  <si>
    <t>1707005290648846456</t>
  </si>
  <si>
    <t>1707031330398126571</t>
  </si>
  <si>
    <t>1655583960766849028</t>
  </si>
  <si>
    <t>1682788135283875841</t>
  </si>
  <si>
    <t>1693976331027939716</t>
  </si>
  <si>
    <t>1691329461700919296</t>
  </si>
  <si>
    <t>1704555901049328014</t>
  </si>
  <si>
    <t>1679136195878481920</t>
  </si>
  <si>
    <t>1661043305050783746</t>
  </si>
  <si>
    <t>1688628098974044160</t>
  </si>
  <si>
    <t>1707151923072073809</t>
  </si>
  <si>
    <t>1662134235501608961</t>
  </si>
  <si>
    <t>1661690741939224576</t>
  </si>
  <si>
    <t>1705071351340380551</t>
  </si>
  <si>
    <t>1671496985688395777</t>
  </si>
  <si>
    <t>1658561057051365376</t>
  </si>
  <si>
    <t>1653941707472248837</t>
  </si>
  <si>
    <t>1653473605932466196</t>
  </si>
  <si>
    <t>1672302578716098560</t>
  </si>
  <si>
    <t>1663199396471754752</t>
  </si>
  <si>
    <t>1663197745262350338</t>
  </si>
  <si>
    <t>1681724068658130944</t>
  </si>
  <si>
    <t>1683527384123727872</t>
  </si>
  <si>
    <t>1668722801216192514</t>
  </si>
  <si>
    <t>1664390039046955008</t>
  </si>
  <si>
    <t>1668633474671185930</t>
  </si>
  <si>
    <t>1666550260414529536</t>
  </si>
  <si>
    <t>1706073525621276939</t>
  </si>
  <si>
    <t>1706423884642476129</t>
  </si>
  <si>
    <t>1663309750929424386</t>
  </si>
  <si>
    <t>1702620968236073064</t>
  </si>
  <si>
    <t>1677792127336472576</t>
  </si>
  <si>
    <t>1656783734941659139</t>
  </si>
  <si>
    <t>1674014195283533826</t>
  </si>
  <si>
    <t>1679820436824023040</t>
  </si>
  <si>
    <t>1656720294478860291</t>
  </si>
  <si>
    <t>1701385821692060097</t>
  </si>
  <si>
    <t>1669344842164604928</t>
  </si>
  <si>
    <t>1667277752574124037</t>
  </si>
  <si>
    <t>1657823932311908354</t>
  </si>
  <si>
    <t>1662103949397164033</t>
  </si>
  <si>
    <t>1661718391185391618</t>
  </si>
  <si>
    <t>1677015402365296640</t>
  </si>
  <si>
    <t>1673265835073318912</t>
  </si>
  <si>
    <t>1674840231416299522</t>
  </si>
  <si>
    <t>1676576662131974144</t>
  </si>
  <si>
    <t>1704512342732505385</t>
  </si>
  <si>
    <t>1691814912824107312</t>
  </si>
  <si>
    <t>1704572189901558098</t>
  </si>
  <si>
    <t>1653908124875489280</t>
  </si>
  <si>
    <t>1691082921346555904</t>
  </si>
  <si>
    <t>1676002889024827392</t>
  </si>
  <si>
    <t>1677641178492334081</t>
  </si>
  <si>
    <t>1677407137738395654</t>
  </si>
  <si>
    <t>1677286351547318273</t>
  </si>
  <si>
    <t>1677078720836931586</t>
  </si>
  <si>
    <t>1675943803889283082</t>
  </si>
  <si>
    <t>1660687761068752899</t>
  </si>
  <si>
    <t>1659658657255006213</t>
  </si>
  <si>
    <t>1653951328169738241</t>
  </si>
  <si>
    <t>1671304422230466561</t>
  </si>
  <si>
    <t>1687498063705788416</t>
  </si>
  <si>
    <t>1674109774537818148</t>
  </si>
  <si>
    <t>1664219040645013506</t>
  </si>
  <si>
    <t>1661727586291179521</t>
  </si>
  <si>
    <t>1671100868576329729</t>
  </si>
  <si>
    <t>1656747585502101505</t>
  </si>
  <si>
    <t>1693650162634096875</t>
  </si>
  <si>
    <t>1699885448326492326</t>
  </si>
  <si>
    <t>1702119084647690729</t>
  </si>
  <si>
    <t>1688675634157850625</t>
  </si>
  <si>
    <t>1687141166230249486</t>
  </si>
  <si>
    <t>1655637661506318336</t>
  </si>
  <si>
    <t>1654531572723318784</t>
  </si>
  <si>
    <t>1677362440890195989</t>
  </si>
  <si>
    <t>1666447472888094724</t>
  </si>
  <si>
    <t>1673704499628716033</t>
  </si>
  <si>
    <t>1677341812309065728</t>
  </si>
  <si>
    <t>1669022660695834624</t>
  </si>
  <si>
    <t>1675915090049085455</t>
  </si>
  <si>
    <t>1669495024055140354</t>
  </si>
  <si>
    <t>1669119854480179201</t>
  </si>
  <si>
    <t>1654486857101737984</t>
  </si>
  <si>
    <t>1690372640471384064</t>
  </si>
  <si>
    <t>1668423332260093952</t>
  </si>
  <si>
    <t>1669585943173505024</t>
  </si>
  <si>
    <t>1670870215628865536</t>
  </si>
  <si>
    <t>1672054261117534208</t>
  </si>
  <si>
    <t>1666521490047508488</t>
  </si>
  <si>
    <t>1673404329959518218</t>
  </si>
  <si>
    <t>1668429064472870912</t>
  </si>
  <si>
    <t>1672417305496629248</t>
  </si>
  <si>
    <t>1672320119811219465</t>
  </si>
  <si>
    <t>1682464611256217601</t>
  </si>
  <si>
    <t>1673867000710307840</t>
  </si>
  <si>
    <t>1673768083750526996</t>
  </si>
  <si>
    <t>1686910347016384513</t>
  </si>
  <si>
    <t>1678843430590373891</t>
  </si>
  <si>
    <t>1678479967984709642</t>
  </si>
  <si>
    <t>1683915453331038209</t>
  </si>
  <si>
    <t>1674491671382224898</t>
  </si>
  <si>
    <t>1670144659778052099</t>
  </si>
  <si>
    <t>1669783297793073172</t>
  </si>
  <si>
    <t>1688676820739334145</t>
  </si>
  <si>
    <t>1653880802336276480</t>
  </si>
  <si>
    <t>1682190420908843013</t>
  </si>
  <si>
    <t>1654092994335719424</t>
  </si>
  <si>
    <t>1704110505764253888</t>
  </si>
  <si>
    <t>1681990926179131395</t>
  </si>
  <si>
    <t>1671506868252946432</t>
  </si>
  <si>
    <t>1671876634369216512</t>
  </si>
  <si>
    <t>1666506032900718594</t>
  </si>
  <si>
    <t>1675937514362662919</t>
  </si>
  <si>
    <t>1670859955748864006</t>
  </si>
  <si>
    <t>1670854357862973455</t>
  </si>
  <si>
    <t>1687098639045525504</t>
  </si>
  <si>
    <t>1679123648626425856</t>
  </si>
  <si>
    <t>1691094939915214848</t>
  </si>
  <si>
    <t>1683552730198016003</t>
  </si>
  <si>
    <t>1673775695649034242</t>
  </si>
  <si>
    <t>1673774603716513793</t>
  </si>
  <si>
    <t>1688907265108262912</t>
  </si>
  <si>
    <t>1686375426393047040</t>
  </si>
  <si>
    <t>1686092439474335746</t>
  </si>
  <si>
    <t>1671216151781687296</t>
  </si>
  <si>
    <t>1671137247410675712</t>
  </si>
  <si>
    <t>1671128474461827074</t>
  </si>
  <si>
    <t>1661093033381642245</t>
  </si>
  <si>
    <t>1694787789131276293</t>
  </si>
  <si>
    <t>1659622196283621381</t>
  </si>
  <si>
    <t>1700150349728755791</t>
  </si>
  <si>
    <t>1680947999902425089</t>
  </si>
  <si>
    <t>1667244507484639232</t>
  </si>
  <si>
    <t>1667238492038897671</t>
  </si>
  <si>
    <t>1654092790651822082</t>
  </si>
  <si>
    <t>1704597921822318663</t>
  </si>
  <si>
    <t>1668683033338060809</t>
  </si>
  <si>
    <t>1668680048151240726</t>
  </si>
  <si>
    <t>1658189409609474080</t>
  </si>
  <si>
    <t>1691196153503612928</t>
  </si>
  <si>
    <t>1702673415742591092</t>
  </si>
  <si>
    <t>1671626851373006849</t>
  </si>
  <si>
    <t>1676892844777431040</t>
  </si>
  <si>
    <t>1705060408443158733</t>
  </si>
  <si>
    <t>1702555929072242742</t>
  </si>
  <si>
    <t>1691092089768140800</t>
  </si>
  <si>
    <t>1706489164370190678</t>
  </si>
  <si>
    <t>1659323039035654146</t>
  </si>
  <si>
    <t>1657163576073768967</t>
  </si>
  <si>
    <t>1671637626669891585</t>
  </si>
  <si>
    <t>1655337125959684096</t>
  </si>
  <si>
    <t>1655337064567652352</t>
  </si>
  <si>
    <t>1690857968105820160</t>
  </si>
  <si>
    <t>1690857918030049280</t>
  </si>
  <si>
    <t>1694834575711576143</t>
  </si>
  <si>
    <t>1704617945333141972</t>
  </si>
  <si>
    <t>1690053848092549124</t>
  </si>
  <si>
    <t>1654965503532621824</t>
  </si>
  <si>
    <t>1671163913440997377</t>
  </si>
  <si>
    <t>1670918439773323266</t>
  </si>
  <si>
    <t>1658125349002137601</t>
  </si>
  <si>
    <t>1704581178424999957</t>
  </si>
  <si>
    <t>1658199428342095882</t>
  </si>
  <si>
    <t>1653893189655318528</t>
  </si>
  <si>
    <t>1702343682546909602</t>
  </si>
  <si>
    <t>1707464333884608730</t>
  </si>
  <si>
    <t>1654373363186298881</t>
  </si>
  <si>
    <t>1673705070855172096</t>
  </si>
  <si>
    <t>1688662870144200704</t>
  </si>
  <si>
    <t>1700244559228236161</t>
  </si>
  <si>
    <t>1689668471292854272</t>
  </si>
  <si>
    <t>1703808412281151674</t>
  </si>
  <si>
    <t>1675956718205804545</t>
  </si>
  <si>
    <t>1674804067716022272</t>
  </si>
  <si>
    <t>1704620217672876487</t>
  </si>
  <si>
    <t>1706794937994363323</t>
  </si>
  <si>
    <t>1653981574021390338</t>
  </si>
  <si>
    <t>1655739923763191809</t>
  </si>
  <si>
    <t>1690812029014056963</t>
  </si>
  <si>
    <t>1689612606560948224</t>
  </si>
  <si>
    <t>1672941500022284294</t>
  </si>
  <si>
    <t>1705253177279369305</t>
  </si>
  <si>
    <t>1704612330909176116</t>
  </si>
  <si>
    <t>1692676883257733527</t>
  </si>
  <si>
    <t>1655635202859835393</t>
  </si>
  <si>
    <t>1704654310586343665</t>
  </si>
  <si>
    <t>1678501186687627264</t>
  </si>
  <si>
    <t>1668970802337726464</t>
  </si>
  <si>
    <t>1671905389393084416</t>
  </si>
  <si>
    <t>1682054691843129344</t>
  </si>
  <si>
    <t>1688921059490476033</t>
  </si>
  <si>
    <t>1691829750589731114</t>
  </si>
  <si>
    <t>1681360539346141191</t>
  </si>
  <si>
    <t>1672047140498026496</t>
  </si>
  <si>
    <t>1702606799680184683</t>
  </si>
  <si>
    <t>1694688874922930344</t>
  </si>
  <si>
    <t>1700173038191567207</t>
  </si>
  <si>
    <t>1656280231727054853</t>
  </si>
  <si>
    <t>1656411115083948034</t>
  </si>
  <si>
    <t>1694714172339257352</t>
  </si>
  <si>
    <t>1674942370918330369</t>
  </si>
  <si>
    <t>1707015799955706333</t>
  </si>
  <si>
    <t>1697336655420457313</t>
  </si>
  <si>
    <t>1674009877134430208</t>
  </si>
  <si>
    <t>1673687726221148161</t>
  </si>
  <si>
    <t>1686414154905669646</t>
  </si>
  <si>
    <t>1670186307337764864</t>
  </si>
  <si>
    <t>1668955174382051328</t>
  </si>
  <si>
    <t>1654608195770372096</t>
  </si>
  <si>
    <t>1674795117088235524</t>
  </si>
  <si>
    <t>1701697915046031411</t>
  </si>
  <si>
    <t>1664020506339573761</t>
  </si>
  <si>
    <t>1699184430709973462</t>
  </si>
  <si>
    <t>1654976296521179137</t>
  </si>
  <si>
    <t>1677665090424668162</t>
  </si>
  <si>
    <t>1677662082076999681</t>
  </si>
  <si>
    <t>1671940637694803969</t>
  </si>
  <si>
    <t>1671895739012890624</t>
  </si>
  <si>
    <t>1679497139477438464</t>
  </si>
  <si>
    <t>1674772714593157120</t>
  </si>
  <si>
    <t>1683457136813039618</t>
  </si>
  <si>
    <t>1690435059076014080</t>
  </si>
  <si>
    <t>1704197836563169411</t>
  </si>
  <si>
    <t>1667136538176618497</t>
  </si>
  <si>
    <t>1654217099739316229</t>
  </si>
  <si>
    <t>1686752347941203968</t>
  </si>
  <si>
    <t>1671214090406993920</t>
  </si>
  <si>
    <t>1704550064528527798</t>
  </si>
  <si>
    <t>1704559597183279308</t>
  </si>
  <si>
    <t>1681255535578955778</t>
  </si>
  <si>
    <t>1669688302838992896</t>
  </si>
  <si>
    <t>1699569557281583595</t>
  </si>
  <si>
    <t>1674950470580723712</t>
  </si>
  <si>
    <t>1697420403172426172</t>
  </si>
  <si>
    <t>1686903403811594240</t>
  </si>
  <si>
    <t>1686770322043760640</t>
  </si>
  <si>
    <t>1689330324755435522</t>
  </si>
  <si>
    <t>1704590657250083198</t>
  </si>
  <si>
    <t>1704627660020765052</t>
  </si>
  <si>
    <t>1689011095653191685</t>
  </si>
  <si>
    <t>1691125025091342355</t>
  </si>
  <si>
    <t>1696340642060714420</t>
  </si>
  <si>
    <t>1698758754370478556</t>
  </si>
  <si>
    <t>1686177401422618624</t>
  </si>
  <si>
    <t>1668682679993106432</t>
  </si>
  <si>
    <t>1678810487117565952</t>
  </si>
  <si>
    <t>1696395916964487624</t>
  </si>
  <si>
    <t>1686136132352737282</t>
  </si>
  <si>
    <t>1671452277012348930</t>
  </si>
  <si>
    <t>1701896808199303591</t>
  </si>
  <si>
    <t>1699329474553135214</t>
  </si>
  <si>
    <t>1688462896697671680</t>
  </si>
  <si>
    <t>1656273900685205505</t>
  </si>
  <si>
    <t>1682392013344481280</t>
  </si>
  <si>
    <t>1691092600676339712</t>
  </si>
  <si>
    <t>1707128049194463432</t>
  </si>
  <si>
    <t>1677336913731092481</t>
  </si>
  <si>
    <t>1695198926679228900</t>
  </si>
  <si>
    <t>1707096945628491956</t>
  </si>
  <si>
    <t>1688980155862003712</t>
  </si>
  <si>
    <t>1698834197153034360</t>
  </si>
  <si>
    <t>1689064788691701760</t>
  </si>
  <si>
    <t>1657693157092388865</t>
  </si>
  <si>
    <t>1692290681832661068</t>
  </si>
  <si>
    <t>1686224872299503616</t>
  </si>
  <si>
    <t>1660332374524297216</t>
  </si>
  <si>
    <t>1680651893775773703</t>
  </si>
  <si>
    <t>1686025567760486400</t>
  </si>
  <si>
    <t>1695118794211934334</t>
  </si>
  <si>
    <t>1664739034516660225</t>
  </si>
  <si>
    <t>1664056000570114049</t>
  </si>
  <si>
    <t>1691450933920841730</t>
  </si>
  <si>
    <t>1674956971525521410</t>
  </si>
  <si>
    <t>1702042517938552979</t>
  </si>
  <si>
    <t>1702397368530764045</t>
  </si>
  <si>
    <t>1689425206991892480</t>
  </si>
  <si>
    <t>1680758609511063553</t>
  </si>
  <si>
    <t>1667344170183192576</t>
  </si>
  <si>
    <t>1653868305713709056</t>
  </si>
  <si>
    <t>1706663350183322054</t>
  </si>
  <si>
    <t>1691147180390719488</t>
  </si>
  <si>
    <t>1706666348535775236</t>
  </si>
  <si>
    <t>1654918961526349825</t>
  </si>
  <si>
    <t>1663968805045846020</t>
  </si>
  <si>
    <t>1707371199523615155</t>
  </si>
  <si>
    <t>1656338901638709257</t>
  </si>
  <si>
    <t>1658580228229287936</t>
  </si>
  <si>
    <t>1654596203894525952</t>
  </si>
  <si>
    <t>1686853224483983361</t>
  </si>
  <si>
    <t>1687200289563328513</t>
  </si>
  <si>
    <t>1668367655227539462</t>
  </si>
  <si>
    <t>1699426679800676540</t>
  </si>
  <si>
    <t>1699172292037636152</t>
  </si>
  <si>
    <t>1674513728417480704</t>
  </si>
  <si>
    <t>1668781283667845121</t>
  </si>
  <si>
    <t>1668994137767510017</t>
  </si>
  <si>
    <t>1670437221567004673</t>
  </si>
  <si>
    <t>1671829903501656064</t>
  </si>
  <si>
    <t>1672030227868909568</t>
  </si>
  <si>
    <t>1691467405745377280</t>
  </si>
  <si>
    <t>1684425671739674624</t>
  </si>
  <si>
    <t>1682011856024784898</t>
  </si>
  <si>
    <t>1661889932858728449</t>
  </si>
  <si>
    <t>1688897093350412289</t>
  </si>
  <si>
    <t>1668356333903437831</t>
  </si>
  <si>
    <t>1672753220395970560</t>
  </si>
  <si>
    <t>1663926408182398978</t>
  </si>
  <si>
    <t>1684927684105678849</t>
  </si>
  <si>
    <t>1684928357643829248</t>
  </si>
  <si>
    <t>1688958481326387228</t>
  </si>
  <si>
    <t>1661504162486517760</t>
  </si>
  <si>
    <t>1671904546086322177</t>
  </si>
  <si>
    <t>1699149411320803527</t>
  </si>
  <si>
    <t>1656358618688548870</t>
  </si>
  <si>
    <t>1664248908757835781</t>
  </si>
  <si>
    <t>1659559754291716096</t>
  </si>
  <si>
    <t>1658473709559234566</t>
  </si>
  <si>
    <t>1705014159899799553</t>
  </si>
  <si>
    <t>1691102597569294336</t>
  </si>
  <si>
    <t>1673632718020571137</t>
  </si>
  <si>
    <t>1683811969646596096</t>
  </si>
  <si>
    <t>1684625229224484865</t>
  </si>
  <si>
    <t>1658256175232688131</t>
  </si>
  <si>
    <t>1664404798873976833</t>
  </si>
  <si>
    <t>1664032849580654592</t>
  </si>
  <si>
    <t>1694849126297489648</t>
  </si>
  <si>
    <t>1679621255744442368</t>
  </si>
  <si>
    <t>1674561294442065923</t>
  </si>
  <si>
    <t>1704249422681346242</t>
  </si>
  <si>
    <t>1666227832995938305</t>
  </si>
  <si>
    <t>1702454513305591821</t>
  </si>
  <si>
    <t>1705017077440938475</t>
  </si>
  <si>
    <t>1656698177947418654</t>
  </si>
  <si>
    <t>1665742776250650625</t>
  </si>
  <si>
    <t>1668287327859245057</t>
  </si>
  <si>
    <t>1665356522107420675</t>
  </si>
  <si>
    <t>1688951220570890240</t>
  </si>
  <si>
    <t>1698432581740487058</t>
  </si>
  <si>
    <t>1677472751462891521</t>
  </si>
  <si>
    <t>1674815717290409984</t>
  </si>
  <si>
    <t>1674840374131691520</t>
  </si>
  <si>
    <t>1679594306749837315</t>
  </si>
  <si>
    <t>1683905738651885568</t>
  </si>
  <si>
    <t>1704614773936079043</t>
  </si>
  <si>
    <t>1660839676729589761</t>
  </si>
  <si>
    <t>1660702268335767592</t>
  </si>
  <si>
    <t>1673824380575526912</t>
  </si>
  <si>
    <t>1696284374013018344</t>
  </si>
  <si>
    <t>1692259409487974839</t>
  </si>
  <si>
    <t>1667214352863117314</t>
  </si>
  <si>
    <t>1688610018239590400</t>
  </si>
  <si>
    <t>1696583903002190135</t>
  </si>
  <si>
    <t>1698770308323217771</t>
  </si>
  <si>
    <t>1674506441883807754</t>
  </si>
  <si>
    <t>1654093895020556289</t>
  </si>
  <si>
    <t>1653886288888512514</t>
  </si>
  <si>
    <t>1671858054189416448</t>
  </si>
  <si>
    <t>1688852740275834880</t>
  </si>
  <si>
    <t>1690010715006889985</t>
  </si>
  <si>
    <t>1686867724327104512</t>
  </si>
  <si>
    <t>1704789995406475617</t>
  </si>
  <si>
    <t>1704821407115288886</t>
  </si>
  <si>
    <t>1679859925743292417</t>
  </si>
  <si>
    <t>1674788108523671553</t>
  </si>
  <si>
    <t>1669797241731657728</t>
  </si>
  <si>
    <t>1669422580820856838</t>
  </si>
  <si>
    <t>1659614221754089475</t>
  </si>
  <si>
    <t>1690004320236797954</t>
  </si>
  <si>
    <t>1677317567273213952</t>
  </si>
  <si>
    <t>1672235173952323584</t>
  </si>
  <si>
    <t>1665715476754845696</t>
  </si>
  <si>
    <t>1653837904232194081</t>
  </si>
  <si>
    <t>1691788484749545930</t>
  </si>
  <si>
    <t>1689373137668915200</t>
  </si>
  <si>
    <t>1689341883858698240</t>
  </si>
  <si>
    <t>1668219886621937667</t>
  </si>
  <si>
    <t>1693586884436312435</t>
  </si>
  <si>
    <t>1679115760684113921</t>
  </si>
  <si>
    <t>1696125871537451457</t>
  </si>
  <si>
    <t>1691163607269011456</t>
  </si>
  <si>
    <t>1676320883789406208</t>
  </si>
  <si>
    <t>1676237124490743811</t>
  </si>
  <si>
    <t>1675949545237147648</t>
  </si>
  <si>
    <t>1671502293768761349</t>
  </si>
  <si>
    <t>1701290855758213284</t>
  </si>
  <si>
    <t>1695134958401065344</t>
  </si>
  <si>
    <t>1692540630881234993</t>
  </si>
  <si>
    <t>1682133577369108481</t>
  </si>
  <si>
    <t>1681761470789427200</t>
  </si>
  <si>
    <t>1681637406083104771</t>
  </si>
  <si>
    <t>1673294630052306946</t>
  </si>
  <si>
    <t>1655692776523087872</t>
  </si>
  <si>
    <t>1655535339568603139</t>
  </si>
  <si>
    <t>1702687813638987879</t>
  </si>
  <si>
    <t>1688972211913166856</t>
  </si>
  <si>
    <t>1675829241793982464</t>
  </si>
  <si>
    <t>1670756571104542721</t>
  </si>
  <si>
    <t>1670780594026868745</t>
  </si>
  <si>
    <t>1704612192799093179</t>
  </si>
  <si>
    <t>1699416907407892749</t>
  </si>
  <si>
    <t>1688562264394108928</t>
  </si>
  <si>
    <t>1669061961105960961</t>
  </si>
  <si>
    <t>1668987906113826819</t>
  </si>
  <si>
    <t>1657034682473627649</t>
  </si>
  <si>
    <t>1657024250182529029</t>
  </si>
  <si>
    <t>1656734107512995843</t>
  </si>
  <si>
    <t>1658547777066917916</t>
  </si>
  <si>
    <t>1658197369073152000</t>
  </si>
  <si>
    <t>1654637600366563328</t>
  </si>
  <si>
    <t>1673000598881411079</t>
  </si>
  <si>
    <t>1673002108642287623</t>
  </si>
  <si>
    <t>1690170112202981376</t>
  </si>
  <si>
    <t>1657875968902455298</t>
  </si>
  <si>
    <t>1691940950996652090</t>
  </si>
  <si>
    <t>1667195463399776259</t>
  </si>
  <si>
    <t>1685289880409034754</t>
  </si>
  <si>
    <t>1703396323687321640</t>
  </si>
  <si>
    <t>1668581349752537090</t>
  </si>
  <si>
    <t>1660729400114008080</t>
  </si>
  <si>
    <t>1667335203239362561</t>
  </si>
  <si>
    <t>1706845443131335152</t>
  </si>
  <si>
    <t>1653745737425928197</t>
  </si>
  <si>
    <t>1688905152785440768</t>
  </si>
  <si>
    <t>1654620540253134848</t>
  </si>
  <si>
    <t>1678894355791114242</t>
  </si>
  <si>
    <t>1655902671033737219</t>
  </si>
  <si>
    <t>1687429532913979393</t>
  </si>
  <si>
    <t>1686357972530929665</t>
  </si>
  <si>
    <t>1686708299406721024</t>
  </si>
  <si>
    <t>1689244377481101312</t>
  </si>
  <si>
    <t>1685984306395512834</t>
  </si>
  <si>
    <t>1658803166392074242</t>
  </si>
  <si>
    <t>1686414488520790016</t>
  </si>
  <si>
    <t>1654275456483426305</t>
  </si>
  <si>
    <t>1686139172057157632</t>
  </si>
  <si>
    <t>1686029952817455104</t>
  </si>
  <si>
    <t>1685731988999671810</t>
  </si>
  <si>
    <t>1685027345781157888</t>
  </si>
  <si>
    <t>1686866967452581896</t>
  </si>
  <si>
    <t>1705013419139551665</t>
  </si>
  <si>
    <t>1684208434638462979</t>
  </si>
  <si>
    <t>1674402738673729538</t>
  </si>
  <si>
    <t>1669633329518239744</t>
  </si>
  <si>
    <t>1691030705642307584</t>
  </si>
  <si>
    <t>1678705572365885440</t>
  </si>
  <si>
    <t>1664571949811478529</t>
  </si>
  <si>
    <t>1663915914608123905</t>
  </si>
  <si>
    <t>1694649185352474667</t>
  </si>
  <si>
    <t>1691098834104193024</t>
  </si>
  <si>
    <t>1688517512407797762</t>
  </si>
  <si>
    <t>1674038979543302146</t>
  </si>
  <si>
    <t>1669317692229054465</t>
  </si>
  <si>
    <t>1656622441781764096</t>
  </si>
  <si>
    <t>1698708816882438548</t>
  </si>
  <si>
    <t>1689926060475916288</t>
  </si>
  <si>
    <t>1666482059915804672</t>
  </si>
  <si>
    <t>1666399025946406914</t>
  </si>
  <si>
    <t>1666121784549076993</t>
  </si>
  <si>
    <t>1665723407810326528</t>
  </si>
  <si>
    <t>1699489540388393278</t>
  </si>
  <si>
    <t>1696527542008881621</t>
  </si>
  <si>
    <t>1691387099021225984</t>
  </si>
  <si>
    <t>1686373768342695937</t>
  </si>
  <si>
    <t>1686026221883109376</t>
  </si>
  <si>
    <t>1671536729600188416</t>
  </si>
  <si>
    <t>1661027507972472832</t>
  </si>
  <si>
    <t>1704391037349994908</t>
  </si>
  <si>
    <t>1682316155514437632</t>
  </si>
  <si>
    <t>1681590592344584192</t>
  </si>
  <si>
    <t>1673690467127504896</t>
  </si>
  <si>
    <t>1705235135375761793</t>
  </si>
  <si>
    <t>1700196101846962363</t>
  </si>
  <si>
    <t>1691731009996222856</t>
  </si>
  <si>
    <t>1689649895601496064</t>
  </si>
  <si>
    <t>1689290014033608704</t>
  </si>
  <si>
    <t>1672242497572200449</t>
  </si>
  <si>
    <t>1668264059874025474</t>
  </si>
  <si>
    <t>1668190852722618369</t>
  </si>
  <si>
    <t>1667109474128089094</t>
  </si>
  <si>
    <t>1667076014181154819</t>
  </si>
  <si>
    <t>1706954480007205049</t>
  </si>
  <si>
    <t>1691470873612402688</t>
  </si>
  <si>
    <t>1685934714262016000</t>
  </si>
  <si>
    <t>1675893513739706369</t>
  </si>
  <si>
    <t>1674824586368630794</t>
  </si>
  <si>
    <t>1707045665119883341</t>
  </si>
  <si>
    <t>1671816035635281920</t>
  </si>
  <si>
    <t>1705012930285113847</t>
  </si>
  <si>
    <t>1691199151931867136</t>
  </si>
  <si>
    <t>1705146456175243288</t>
  </si>
  <si>
    <t>1705020146010538362</t>
  </si>
  <si>
    <t>1691089722259472384</t>
  </si>
  <si>
    <t>1692375953823932669</t>
  </si>
  <si>
    <t>1678409761753034758</t>
  </si>
  <si>
    <t>1679969198162817025</t>
  </si>
  <si>
    <t>1684539245879332864</t>
  </si>
  <si>
    <t>1695799426684535058</t>
  </si>
  <si>
    <t>1671795367443144704</t>
  </si>
  <si>
    <t>1674382157442154502</t>
  </si>
  <si>
    <t>1666515085311746065</t>
  </si>
  <si>
    <t>1671805503804932097</t>
  </si>
  <si>
    <t>1666417283973906433</t>
  </si>
  <si>
    <t>1682142515720335362</t>
  </si>
  <si>
    <t>1679955025265672193</t>
  </si>
  <si>
    <t>1677472752268189698</t>
  </si>
  <si>
    <t>1665142106468368384</t>
  </si>
  <si>
    <t>1691096774621151234</t>
  </si>
  <si>
    <t>1692670172287439328</t>
  </si>
  <si>
    <t>1705021807760212401</t>
  </si>
  <si>
    <t>1697411169550557671</t>
  </si>
  <si>
    <t>1687266991172632576</t>
  </si>
  <si>
    <t>1654202528999800832</t>
  </si>
  <si>
    <t>1706734882419097816</t>
  </si>
  <si>
    <t>1696259675275087990</t>
  </si>
  <si>
    <t>1682737257046851584</t>
  </si>
  <si>
    <t>1682384772906057728</t>
  </si>
  <si>
    <t>1686756282592563200</t>
  </si>
  <si>
    <t>1681382926905163777</t>
  </si>
  <si>
    <t>1689694454918123521</t>
  </si>
  <si>
    <t>1670640262043803649</t>
  </si>
  <si>
    <t>1705030513231040623</t>
  </si>
  <si>
    <t>1671604463994298379</t>
  </si>
  <si>
    <t>1662114326063267842</t>
  </si>
  <si>
    <t>1662093590955192321</t>
  </si>
  <si>
    <t>1691807362313597363</t>
  </si>
  <si>
    <t>1681824501833560066</t>
  </si>
  <si>
    <t>1694765790929596921</t>
  </si>
  <si>
    <t>1697714104847257964</t>
  </si>
  <si>
    <t>1668983413766848512</t>
  </si>
  <si>
    <t>1668983410176536583</t>
  </si>
  <si>
    <t>1671690305769201665</t>
  </si>
  <si>
    <t>1667583415313416194</t>
  </si>
  <si>
    <t>1669457260152516614</t>
  </si>
  <si>
    <t>1701592061957255642</t>
  </si>
  <si>
    <t>1671903140461903878</t>
  </si>
  <si>
    <t>1704687529344057538</t>
  </si>
  <si>
    <t>1670884317000527887</t>
  </si>
  <si>
    <t>1654964010893099008</t>
  </si>
  <si>
    <t>1657149393714266118</t>
  </si>
  <si>
    <t>1670910517966258183</t>
  </si>
  <si>
    <t>1670158734872518657</t>
  </si>
  <si>
    <t>1677091580379897862</t>
  </si>
  <si>
    <t>1671995985017307142</t>
  </si>
  <si>
    <t>1707512336003604590</t>
  </si>
  <si>
    <t>1673105394070110209</t>
  </si>
  <si>
    <t>1654964858159235072</t>
  </si>
  <si>
    <t>1657149896317628416</t>
  </si>
  <si>
    <t>1670159684903264258</t>
  </si>
  <si>
    <t>1673105672945250306</t>
  </si>
  <si>
    <t>1677092612296122368</t>
  </si>
  <si>
    <t>1671996383824429057</t>
  </si>
  <si>
    <t>1707512739994677735</t>
  </si>
  <si>
    <t>1670911245845688320</t>
  </si>
  <si>
    <t>1686041637321846784</t>
  </si>
  <si>
    <t>1699940747326132703</t>
  </si>
  <si>
    <t>1699770891247206701</t>
  </si>
  <si>
    <t>1707485018199589003</t>
  </si>
  <si>
    <t>1707484985307865330</t>
  </si>
  <si>
    <t>1691847754157310275</t>
  </si>
  <si>
    <t>1669695067815047171</t>
  </si>
  <si>
    <t>1676234384926449665</t>
  </si>
  <si>
    <t>1676225599386578944</t>
  </si>
  <si>
    <t>1671181109722243074</t>
  </si>
  <si>
    <t>1687829560451043328</t>
  </si>
  <si>
    <t>1682854414040674304</t>
  </si>
  <si>
    <t>1674017299685343235</t>
  </si>
  <si>
    <t>1668943871470972928</t>
  </si>
  <si>
    <t>1686700874134097920</t>
  </si>
  <si>
    <t>1672714966519148546</t>
  </si>
  <si>
    <t>1672269531975397378</t>
  </si>
  <si>
    <t>1667203651826511880</t>
  </si>
  <si>
    <t>1666826163870916611</t>
  </si>
  <si>
    <t>1693959955068616797</t>
  </si>
  <si>
    <t>1678029988895899656</t>
  </si>
  <si>
    <t>1671854871920750592</t>
  </si>
  <si>
    <t>1671847239927631874</t>
  </si>
  <si>
    <t>1693510745286127725</t>
  </si>
  <si>
    <t>1690698938913873920</t>
  </si>
  <si>
    <t>1681646317582405632</t>
  </si>
  <si>
    <t>1673666235395891207</t>
  </si>
  <si>
    <t>1668572990630420481</t>
  </si>
  <si>
    <t>1705012785112072370</t>
  </si>
  <si>
    <t>1705005235331297459</t>
  </si>
  <si>
    <t>1696530644296421684</t>
  </si>
  <si>
    <t>1670695409508028416</t>
  </si>
  <si>
    <t>1670668985099227137</t>
  </si>
  <si>
    <t>1707144341666328999</t>
  </si>
  <si>
    <t>1698022977403547999</t>
  </si>
  <si>
    <t>1676935275191189506</t>
  </si>
  <si>
    <t>1664972704347193347</t>
  </si>
  <si>
    <t>1684715296492589056</t>
  </si>
  <si>
    <t>1696281503779733914</t>
  </si>
  <si>
    <t>1698723922064081129</t>
  </si>
  <si>
    <t>1658412225869037568</t>
  </si>
  <si>
    <t>1700088706323857574</t>
  </si>
  <si>
    <t>1673843612163928065</t>
  </si>
  <si>
    <t>1686134267959525377</t>
  </si>
  <si>
    <t>1673755135430762516</t>
  </si>
  <si>
    <t>1668960118061318144</t>
  </si>
  <si>
    <t>1672769040689905665</t>
  </si>
  <si>
    <t>1674587013838786561</t>
  </si>
  <si>
    <t>1679133716281544705</t>
  </si>
  <si>
    <t>1679135083909767168</t>
  </si>
  <si>
    <t>1687092733091942401</t>
  </si>
  <si>
    <t>1680294811469860864</t>
  </si>
  <si>
    <t>1707220039642775847</t>
  </si>
  <si>
    <t>1679808195689062401</t>
  </si>
  <si>
    <t>1669386452206067714</t>
  </si>
  <si>
    <t>1686421574847520768</t>
  </si>
  <si>
    <t>1694457984007450834</t>
  </si>
  <si>
    <t>1683848329782784001</t>
  </si>
  <si>
    <t>1691450863506894850</t>
  </si>
  <si>
    <t>1670634210195828736</t>
  </si>
  <si>
    <t>1707013468413464633</t>
  </si>
  <si>
    <t>1696567529936744692</t>
  </si>
  <si>
    <t>1661122581410316289</t>
  </si>
  <si>
    <t>1686386300503613442</t>
  </si>
  <si>
    <t>1692227289139097854</t>
  </si>
  <si>
    <t>1689687748267909120</t>
  </si>
  <si>
    <t>1694049293835853998</t>
  </si>
  <si>
    <t>1695093675741565076</t>
  </si>
  <si>
    <t>1700184722905645324</t>
  </si>
  <si>
    <t>1705295909750440214</t>
  </si>
  <si>
    <t>1689256122379603968</t>
  </si>
  <si>
    <t>1661760477947412483</t>
  </si>
  <si>
    <t>1683473472742195200</t>
  </si>
  <si>
    <t>1697229675926274546</t>
  </si>
  <si>
    <t>1697228941218509272</t>
  </si>
  <si>
    <t>1707116689945485540</t>
  </si>
  <si>
    <t>1701677155480989994</t>
  </si>
  <si>
    <t>1707375726649807246</t>
  </si>
  <si>
    <t>1700277477929590805</t>
  </si>
  <si>
    <t>1697689121756475717</t>
  </si>
  <si>
    <t>1697688378374857150</t>
  </si>
  <si>
    <t>1697645453066584344</t>
  </si>
  <si>
    <t>1692225253106200917</t>
  </si>
  <si>
    <t>1654189726348333059</t>
  </si>
  <si>
    <t>1653929291896303616</t>
  </si>
  <si>
    <t>1670807501825097732</t>
  </si>
  <si>
    <t>1658304495829278722</t>
  </si>
  <si>
    <t>1654585492086587392</t>
  </si>
  <si>
    <t>1676208358389366785</t>
  </si>
  <si>
    <t>1671485718676348928</t>
  </si>
  <si>
    <t>1689704542764412932</t>
  </si>
  <si>
    <t>1686874686565584896</t>
  </si>
  <si>
    <t>1677455127509123072</t>
  </si>
  <si>
    <t>1664710761736810498</t>
  </si>
  <si>
    <t>1653728978102878209</t>
  </si>
  <si>
    <t>1688695620771475456</t>
  </si>
  <si>
    <t>1669730299914371072</t>
  </si>
  <si>
    <t>1660671900991758336</t>
  </si>
  <si>
    <t>1659706985426690051</t>
  </si>
  <si>
    <t>1659701878144262144</t>
  </si>
  <si>
    <t>1698804791730721208</t>
  </si>
  <si>
    <t>1671688635031117825</t>
  </si>
  <si>
    <t>1671658675981766657</t>
  </si>
  <si>
    <t>1671585230799421440</t>
  </si>
  <si>
    <t>1701317336840437805</t>
  </si>
  <si>
    <t>1690082184692953088</t>
  </si>
  <si>
    <t>1673682490249101313</t>
  </si>
  <si>
    <t>1655639202199896064</t>
  </si>
  <si>
    <t>1704620706875515243</t>
  </si>
  <si>
    <t>1699223415003947037</t>
  </si>
  <si>
    <t>1669073796463034370</t>
  </si>
  <si>
    <t>1704255294321066259</t>
  </si>
  <si>
    <t>1704257088778571920</t>
  </si>
  <si>
    <t>1643327577787076608</t>
  </si>
  <si>
    <t>1678466242590457856</t>
  </si>
  <si>
    <t>1666198194781315072</t>
  </si>
  <si>
    <t>1704662739958784428</t>
  </si>
  <si>
    <t>1704555125962924338</t>
  </si>
  <si>
    <t>1704629008619508100</t>
  </si>
  <si>
    <t>1663317450446741504</t>
  </si>
  <si>
    <t>1663317446655131650</t>
  </si>
  <si>
    <t>1663307826037420033</t>
  </si>
  <si>
    <t>1665829869458976770</t>
  </si>
  <si>
    <t>1665829867315687425</t>
  </si>
  <si>
    <t>1691089892078395393</t>
  </si>
  <si>
    <t>1660683237197266953</t>
  </si>
  <si>
    <t>1674137378674610177</t>
  </si>
  <si>
    <t>1687099109822640129</t>
  </si>
  <si>
    <t>1653889180622110723</t>
  </si>
  <si>
    <t>1654180291412480007</t>
  </si>
  <si>
    <t>1669763033474760724</t>
  </si>
  <si>
    <t>1676655355059642383</t>
  </si>
  <si>
    <t>1687149132018847747</t>
  </si>
  <si>
    <t>1671584512885628935</t>
  </si>
  <si>
    <t>1695151832203448604</t>
  </si>
  <si>
    <t>1668326304712896517</t>
  </si>
  <si>
    <t>1703877013172367865</t>
  </si>
  <si>
    <t>1691091368997691393</t>
  </si>
  <si>
    <t>1677320546231484420</t>
  </si>
  <si>
    <t>1686879484279193600</t>
  </si>
  <si>
    <t>1688685371318743040</t>
  </si>
  <si>
    <t>1675530768678879232</t>
  </si>
  <si>
    <t>1687562226033430528</t>
  </si>
  <si>
    <t>1699030242155696426</t>
  </si>
  <si>
    <t>1690516136478339072</t>
  </si>
  <si>
    <t>1701591685489373631</t>
  </si>
  <si>
    <t>1674128895413571605</t>
  </si>
  <si>
    <t>1658767891963969538</t>
  </si>
  <si>
    <t>1683505307853508608</t>
  </si>
  <si>
    <t>1656726066470191111</t>
  </si>
  <si>
    <t>1655901991158050817</t>
  </si>
  <si>
    <t>1688732291281928192</t>
  </si>
  <si>
    <t>1664682825553960960</t>
  </si>
  <si>
    <t>1671636661858443265</t>
  </si>
  <si>
    <t>1685011107843383296</t>
  </si>
  <si>
    <t>1654568376386179072</t>
  </si>
  <si>
    <t>1661156031123079168</t>
  </si>
  <si>
    <t>1657417036434219008</t>
  </si>
  <si>
    <t>1686854458209185792</t>
  </si>
  <si>
    <t>1693701683400835280</t>
  </si>
  <si>
    <t>1691914515045364149</t>
  </si>
  <si>
    <t>1694444379765669953</t>
  </si>
  <si>
    <t>1696274885230702875</t>
  </si>
  <si>
    <t>1691177291504644097</t>
  </si>
  <si>
    <t>1673461239794528257</t>
  </si>
  <si>
    <t>1690916711464128513</t>
  </si>
  <si>
    <t>1694288964880843179</t>
  </si>
  <si>
    <t>1664283970572546050</t>
  </si>
  <si>
    <t>1707387836612092361</t>
  </si>
  <si>
    <t>1705165005606330836</t>
  </si>
  <si>
    <t>1654890856795590663</t>
  </si>
  <si>
    <t>1686358351066628097</t>
  </si>
  <si>
    <t>1686489634488889344</t>
  </si>
  <si>
    <t>1671634269498662912</t>
  </si>
  <si>
    <t>1691167093364850688</t>
  </si>
  <si>
    <t>1678351127098654722</t>
  </si>
  <si>
    <t>1686379934770671618</t>
  </si>
  <si>
    <t>1663528934854610952</t>
  </si>
  <si>
    <t>1674242546480840707</t>
  </si>
  <si>
    <t>1666928321890775040</t>
  </si>
  <si>
    <t>1657006611955609600</t>
  </si>
  <si>
    <t>1671633820896903172</t>
  </si>
  <si>
    <t>1654886501505814530</t>
  </si>
  <si>
    <t>1707092356552442006</t>
  </si>
  <si>
    <t>1687108784676814850</t>
  </si>
  <si>
    <t>1671690363449360384</t>
  </si>
  <si>
    <t>1691270371012497408</t>
  </si>
  <si>
    <t>1670920106845560833</t>
  </si>
  <si>
    <t>1682520692821045250</t>
  </si>
  <si>
    <t>1656394011257470981</t>
  </si>
  <si>
    <t>1671643144906063874</t>
  </si>
  <si>
    <t>1681372753906094080</t>
  </si>
  <si>
    <t>1659643961701441536</t>
  </si>
  <si>
    <t>1691118984056492032</t>
  </si>
  <si>
    <t>1691452442138009601</t>
  </si>
  <si>
    <t>1692203732891504839</t>
  </si>
  <si>
    <t>1691823022062162004</t>
  </si>
  <si>
    <t>1691223778162851841</t>
  </si>
  <si>
    <t>1687168573775470594</t>
  </si>
  <si>
    <t>1686391751416950784</t>
  </si>
  <si>
    <t>1692162437858926868</t>
  </si>
  <si>
    <t>1704459084223644076</t>
  </si>
  <si>
    <t>1705216072192835707</t>
  </si>
  <si>
    <t>1691164844802682881</t>
  </si>
  <si>
    <t>1677003629859831821</t>
  </si>
  <si>
    <t>1673711807750455298</t>
  </si>
  <si>
    <t>1680618833327865858</t>
  </si>
  <si>
    <t>1649195006408761346</t>
  </si>
  <si>
    <t>1660605055781797888</t>
  </si>
  <si>
    <t>1664204918197043204</t>
  </si>
  <si>
    <t>1660645209363959815</t>
  </si>
  <si>
    <t>1702295082383167898</t>
  </si>
  <si>
    <t>1682766944770879489</t>
  </si>
  <si>
    <t>1698464358781608323</t>
  </si>
  <si>
    <t>1654914151053926401</t>
  </si>
  <si>
    <t>1704786023509626996</t>
  </si>
  <si>
    <t>1673742597834289152</t>
  </si>
  <si>
    <t>1706680788694053339</t>
  </si>
  <si>
    <t>1645549591578771456</t>
  </si>
  <si>
    <t>1670161301341962240</t>
  </si>
  <si>
    <t>1654483672819531776</t>
  </si>
  <si>
    <t>1655908277408919555</t>
  </si>
  <si>
    <t>1654113183240695812</t>
  </si>
  <si>
    <t>1695254760201330811</t>
  </si>
  <si>
    <t>1694701913630015747</t>
  </si>
  <si>
    <t>1677346503759654913</t>
  </si>
  <si>
    <t>1692030995506266299</t>
  </si>
  <si>
    <t>1670771337327964161</t>
  </si>
  <si>
    <t>1695524140600443034</t>
  </si>
  <si>
    <t>1695500975321031112</t>
  </si>
  <si>
    <t>1695527369577001438</t>
  </si>
  <si>
    <t>1706276900451049949</t>
  </si>
  <si>
    <t>1653048985966223360</t>
  </si>
  <si>
    <t>1653431163258634240</t>
  </si>
  <si>
    <t>1651992857731903491</t>
  </si>
  <si>
    <t>1653494346958753805</t>
  </si>
  <si>
    <t>1655195127202152449</t>
  </si>
  <si>
    <t>1654853616929329153</t>
  </si>
  <si>
    <t>1653426372943945742</t>
  </si>
  <si>
    <t>1652102981125390336</t>
  </si>
  <si>
    <t>1654906008735555584</t>
  </si>
  <si>
    <t>1655029180491333632</t>
  </si>
  <si>
    <t>1653735389838843904</t>
  </si>
  <si>
    <t>1679262367694159876</t>
  </si>
  <si>
    <t>1701356270366707771</t>
  </si>
  <si>
    <t>1662106587144527872</t>
  </si>
  <si>
    <t>1659350783215714304</t>
  </si>
  <si>
    <t>1695516279887540390</t>
  </si>
  <si>
    <t>1666439115326337024</t>
  </si>
  <si>
    <t>1671853365347622914</t>
  </si>
  <si>
    <t>1674510464410087431</t>
  </si>
  <si>
    <t>1676239052163407873</t>
  </si>
  <si>
    <t>1699432251434455409</t>
  </si>
  <si>
    <t>1694409168315187689</t>
  </si>
  <si>
    <t>1678445686164004880</t>
  </si>
  <si>
    <t>1655916670316150785</t>
  </si>
  <si>
    <t>1679143902324961280</t>
  </si>
  <si>
    <t>1661402998877110272</t>
  </si>
  <si>
    <t>1661487063785435139</t>
  </si>
  <si>
    <t>1673416130520576007</t>
  </si>
  <si>
    <t>1673416031459504139</t>
  </si>
  <si>
    <t>1673871407418163205</t>
  </si>
  <si>
    <t>1690444911647084544</t>
  </si>
  <si>
    <t>1671666694761193472</t>
  </si>
  <si>
    <t>1667969371866578949</t>
  </si>
  <si>
    <t>1660741260825579531</t>
  </si>
  <si>
    <t>1658619767773593604</t>
  </si>
  <si>
    <t>1666373306872651776</t>
  </si>
  <si>
    <t>1664787855909048320</t>
  </si>
  <si>
    <t>1666950005796528131</t>
  </si>
  <si>
    <t>1668646409745121281</t>
  </si>
  <si>
    <t>1668652560054362114</t>
  </si>
  <si>
    <t>1656788406297321472</t>
  </si>
  <si>
    <t>1679087942499794944</t>
  </si>
  <si>
    <t>1669674322439421955</t>
  </si>
  <si>
    <t>1696209444508434834</t>
  </si>
  <si>
    <t>1683467555745218560</t>
  </si>
  <si>
    <t>1692305250839932950</t>
  </si>
  <si>
    <t>1692524546136416647</t>
  </si>
  <si>
    <t>1692584989739651237</t>
  </si>
  <si>
    <t>1665496351969366016</t>
  </si>
  <si>
    <t>1704972734499832172</t>
  </si>
  <si>
    <t>1671126796908089347</t>
  </si>
  <si>
    <t>1671123427858563078</t>
  </si>
  <si>
    <t>1662137595793489927</t>
  </si>
  <si>
    <t>1661475041639374849</t>
  </si>
  <si>
    <t>1661034510991892486</t>
  </si>
  <si>
    <t>1661022427697278978</t>
  </si>
  <si>
    <t>1660985700995432450</t>
  </si>
  <si>
    <t>1673724424141275137</t>
  </si>
  <si>
    <t>1669010449709268996</t>
  </si>
  <si>
    <t>1668950559649308672</t>
  </si>
  <si>
    <t>1673345087802056718</t>
  </si>
  <si>
    <t>1673337702412845058</t>
  </si>
  <si>
    <t>1655596315374411777</t>
  </si>
  <si>
    <t>1678768734490726405</t>
  </si>
  <si>
    <t>1663625841157324802</t>
  </si>
  <si>
    <t>1663509602619514882</t>
  </si>
  <si>
    <t>1679154602501984257</t>
  </si>
  <si>
    <t>1674501938870644741</t>
  </si>
  <si>
    <t>1674443035327836160</t>
  </si>
  <si>
    <t>1674408081155936258</t>
  </si>
  <si>
    <t>1669701262403575809</t>
  </si>
  <si>
    <t>1669687159702401025</t>
  </si>
  <si>
    <t>1660622914012446721</t>
  </si>
  <si>
    <t>1659569726584963072</t>
  </si>
  <si>
    <t>1653451849586835479</t>
  </si>
  <si>
    <t>1686800092987093010</t>
  </si>
  <si>
    <t>1676974605750206465</t>
  </si>
  <si>
    <t>1665712437838983168</t>
  </si>
  <si>
    <t>1681334424405786630</t>
  </si>
  <si>
    <t>1680995051730620416</t>
  </si>
  <si>
    <t>1680928437312053248</t>
  </si>
  <si>
    <t>1680920398202916865</t>
  </si>
  <si>
    <t>1680917176532754438</t>
  </si>
  <si>
    <t>1672259702363762689</t>
  </si>
  <si>
    <t>1672243166869692417</t>
  </si>
  <si>
    <t>1668232940973637636</t>
  </si>
  <si>
    <t>1667191476122468354</t>
  </si>
  <si>
    <t>1667125125391568896</t>
  </si>
  <si>
    <t>1685985774951374848</t>
  </si>
  <si>
    <t>1675886872361422848</t>
  </si>
  <si>
    <t>1675848853839392769</t>
  </si>
  <si>
    <t>1670867152058843142</t>
  </si>
  <si>
    <t>1670768839305449473</t>
  </si>
  <si>
    <t>1658949093111087106</t>
  </si>
  <si>
    <t>1658863429556359168</t>
  </si>
  <si>
    <t>1658470048498077696</t>
  </si>
  <si>
    <t>1701674414163501372</t>
  </si>
  <si>
    <t>1706425480021148096</t>
  </si>
  <si>
    <t>1673704722069323778</t>
  </si>
  <si>
    <t>1697643450974282120</t>
  </si>
  <si>
    <t>1692279798662393908</t>
  </si>
  <si>
    <t>1695107209988898966</t>
  </si>
  <si>
    <t>1692608959847288986</t>
  </si>
  <si>
    <t>1698795049759211684</t>
  </si>
  <si>
    <t>1694071453589659678</t>
  </si>
  <si>
    <t>1693729183581507982</t>
  </si>
  <si>
    <t>1696259731617136829</t>
  </si>
  <si>
    <t>1699214649227428238</t>
  </si>
  <si>
    <t>1697288873070444815</t>
  </si>
  <si>
    <t>1696939713876099260</t>
  </si>
  <si>
    <t>1696622407698502007</t>
  </si>
  <si>
    <t>1699432808375005228</t>
  </si>
  <si>
    <t>1694713248854196358</t>
  </si>
  <si>
    <t>1670810171696726019</t>
  </si>
  <si>
    <t>1699044355867033733</t>
  </si>
  <si>
    <t>1659216657921998848</t>
  </si>
  <si>
    <t>1665818909159596041</t>
  </si>
  <si>
    <t>1684938121513693184</t>
  </si>
  <si>
    <t>1676615981026746370</t>
  </si>
  <si>
    <t>1692111531763179754</t>
  </si>
  <si>
    <t>1674841298358923264</t>
  </si>
  <si>
    <t>1670906699899719685</t>
  </si>
  <si>
    <t>1696149125006287040</t>
  </si>
  <si>
    <t>1701236476388819108</t>
  </si>
  <si>
    <t>1693613789826965919</t>
  </si>
  <si>
    <t>1703765291618963905</t>
  </si>
  <si>
    <t>1706297526142280097</t>
  </si>
  <si>
    <t>1688628094720999424</t>
  </si>
  <si>
    <t>1707130523183681986</t>
  </si>
  <si>
    <t>1671496823347851265</t>
  </si>
  <si>
    <t>1701243243734675797</t>
  </si>
  <si>
    <t>1669344832974893056</t>
  </si>
  <si>
    <t>1687141164426698784</t>
  </si>
  <si>
    <t>1677301033314426880</t>
  </si>
  <si>
    <t>1702176955594887658</t>
  </si>
  <si>
    <t>1690811426284154880</t>
  </si>
  <si>
    <t>1697020248807874751</t>
  </si>
  <si>
    <t>1673934256056197121</t>
  </si>
  <si>
    <t>1680985329979781121</t>
  </si>
  <si>
    <t>1669688292839682051</t>
  </si>
  <si>
    <t>1689063699112169473</t>
  </si>
  <si>
    <t>1668356330183090177</t>
  </si>
  <si>
    <t>1671904539186716673</t>
  </si>
  <si>
    <t>1698369339638882655</t>
  </si>
  <si>
    <t>1679594296612122625</t>
  </si>
  <si>
    <t>1669797237398839323</t>
  </si>
  <si>
    <t>1669422575364063232</t>
  </si>
  <si>
    <t>1665715412204494848</t>
  </si>
  <si>
    <t>1691788480483889412</t>
  </si>
  <si>
    <t>1689373133118025728</t>
  </si>
  <si>
    <t>1689341879341490176</t>
  </si>
  <si>
    <t>1679097870618697729</t>
  </si>
  <si>
    <t>1676320856606138376</t>
  </si>
  <si>
    <t>1676237120636088321</t>
  </si>
  <si>
    <t>1675949538253631500</t>
  </si>
  <si>
    <t>1682133572977655810</t>
  </si>
  <si>
    <t>1655692774128189440</t>
  </si>
  <si>
    <t>1688972207693697038</t>
  </si>
  <si>
    <t>1670780587211214849</t>
  </si>
  <si>
    <t>1669061957171683330</t>
  </si>
  <si>
    <t>1668987900564758531</t>
  </si>
  <si>
    <t>1656734104694423588</t>
  </si>
  <si>
    <t>1670637312097636354</t>
  </si>
  <si>
    <t>1691805809301147722</t>
  </si>
  <si>
    <t>1698723890770350300</t>
  </si>
  <si>
    <t>1670634203296268288</t>
  </si>
  <si>
    <t>1663307821578964998</t>
  </si>
  <si>
    <t>1605667063745372163</t>
  </si>
  <si>
    <t>846766827829182465</t>
  </si>
  <si>
    <t>1406131151836749827</t>
  </si>
  <si>
    <t>39326635</t>
  </si>
  <si>
    <t>1557362666703933445</t>
  </si>
  <si>
    <t>117185027</t>
  </si>
  <si>
    <t>889483841840271360</t>
  </si>
  <si>
    <t>1663533648174260226</t>
  </si>
  <si>
    <t>1467371967984590850</t>
  </si>
  <si>
    <t>1167603105351049217</t>
  </si>
  <si>
    <t>75838812</t>
  </si>
  <si>
    <t>1503792004030943235</t>
  </si>
  <si>
    <t>1656848433104257025</t>
  </si>
  <si>
    <t>3687841756</t>
  </si>
  <si>
    <t>2408015736</t>
  </si>
  <si>
    <t>1394701168723603461</t>
  </si>
  <si>
    <t>1471803260386349058</t>
  </si>
  <si>
    <t>73228178</t>
  </si>
  <si>
    <t>1367950662424813569</t>
  </si>
  <si>
    <t>1504511519039627267</t>
  </si>
  <si>
    <t>888930378148438016</t>
  </si>
  <si>
    <t>1181629051309572096</t>
  </si>
  <si>
    <t>35777877</t>
  </si>
  <si>
    <t>11581562</t>
  </si>
  <si>
    <t>176979194</t>
  </si>
  <si>
    <t>3331429624</t>
  </si>
  <si>
    <t>701047800</t>
  </si>
  <si>
    <t>199358175</t>
  </si>
  <si>
    <t>1236329544061157376</t>
  </si>
  <si>
    <t>1247514475210723329</t>
  </si>
  <si>
    <t>1650328432914333696</t>
  </si>
  <si>
    <t>2670726740</t>
  </si>
  <si>
    <t>1093125024880488448</t>
  </si>
  <si>
    <t>217186311</t>
  </si>
  <si>
    <t>599355988</t>
  </si>
  <si>
    <t>1031548103416049675</t>
  </si>
  <si>
    <t>1271497757455499264</t>
  </si>
  <si>
    <t>14594813</t>
  </si>
  <si>
    <t>155588752</t>
  </si>
  <si>
    <t>1070858287447449601</t>
  </si>
  <si>
    <t>2674796114</t>
  </si>
  <si>
    <t>900831846258413568</t>
  </si>
  <si>
    <t>272512616</t>
  </si>
  <si>
    <t>1121791488</t>
  </si>
  <si>
    <t>980846559444291585</t>
  </si>
  <si>
    <t>51714340</t>
  </si>
  <si>
    <t>780858179018035200</t>
  </si>
  <si>
    <t>1630969246464241664</t>
  </si>
  <si>
    <t>718040841831464961</t>
  </si>
  <si>
    <t>85327394</t>
  </si>
  <si>
    <t>1382009560651677699</t>
  </si>
  <si>
    <t>1686086283305660417</t>
  </si>
  <si>
    <t>1230638870225702914</t>
  </si>
  <si>
    <t>3345800861</t>
  </si>
  <si>
    <t>1420303554498244611</t>
  </si>
  <si>
    <t>466084954</t>
  </si>
  <si>
    <t>105283145</t>
  </si>
  <si>
    <t>1651597864420749315</t>
  </si>
  <si>
    <t>235712666</t>
  </si>
  <si>
    <t>4020276615</t>
  </si>
  <si>
    <t>1637881668533886977</t>
  </si>
  <si>
    <t>538436683</t>
  </si>
  <si>
    <t>981189102</t>
  </si>
  <si>
    <t>79184083</t>
  </si>
  <si>
    <t>1287473710174212096</t>
  </si>
  <si>
    <t>280838027</t>
  </si>
  <si>
    <t>1587406936563130368</t>
  </si>
  <si>
    <t>92353661</t>
  </si>
  <si>
    <t>1633286168002412544</t>
  </si>
  <si>
    <t>234499844</t>
  </si>
  <si>
    <t>51075078</t>
  </si>
  <si>
    <t>158497464</t>
  </si>
  <si>
    <t>1695269539</t>
  </si>
  <si>
    <t>1348762621894406157</t>
  </si>
  <si>
    <t>179398386</t>
  </si>
  <si>
    <t>1461371216632201222</t>
  </si>
  <si>
    <t>69416519</t>
  </si>
  <si>
    <t>135629267</t>
  </si>
  <si>
    <t>225445834</t>
  </si>
  <si>
    <t>3222731</t>
  </si>
  <si>
    <t>248890506</t>
  </si>
  <si>
    <t>437824506</t>
  </si>
  <si>
    <t>2880932962</t>
  </si>
  <si>
    <t>1551317928087363584</t>
  </si>
  <si>
    <t>1006661818121670657</t>
  </si>
  <si>
    <t>1607915250933710848</t>
  </si>
  <si>
    <t>1057037397035229184</t>
  </si>
  <si>
    <t>1544469824243376130</t>
  </si>
  <si>
    <t>4018807829</t>
  </si>
  <si>
    <t>1210062659024015362</t>
  </si>
  <si>
    <t>1480279999190085633</t>
  </si>
  <si>
    <t>1485414040910409739</t>
  </si>
  <si>
    <t>2798484068</t>
  </si>
  <si>
    <t>983811250239963137</t>
  </si>
  <si>
    <t>40261159</t>
  </si>
  <si>
    <t>1502007169327288330</t>
  </si>
  <si>
    <t>33412872</t>
  </si>
  <si>
    <t>1190799043208908802</t>
  </si>
  <si>
    <t>761111202541948928</t>
  </si>
  <si>
    <t>134815560</t>
  </si>
  <si>
    <t>59815228</t>
  </si>
  <si>
    <t>953378142198161409</t>
  </si>
  <si>
    <t>1409974528084787206</t>
  </si>
  <si>
    <t>1648025717261627394</t>
  </si>
  <si>
    <t>252063642</t>
  </si>
  <si>
    <t>126364474</t>
  </si>
  <si>
    <t>1567676609506713601</t>
  </si>
  <si>
    <t>142393421</t>
  </si>
  <si>
    <t>1363927579640627203</t>
  </si>
  <si>
    <t>63805938</t>
  </si>
  <si>
    <t>154669803</t>
  </si>
  <si>
    <t>1648921452</t>
  </si>
  <si>
    <t>46179375</t>
  </si>
  <si>
    <t>1380503897312215046</t>
  </si>
  <si>
    <t>354095556</t>
  </si>
  <si>
    <t>93861945</t>
  </si>
  <si>
    <t>1370372065904242695</t>
  </si>
  <si>
    <t>762402774260875265</t>
  </si>
  <si>
    <t>1425542351301320705</t>
  </si>
  <si>
    <t>1619778632250974211</t>
  </si>
  <si>
    <t>1553516842806829056</t>
  </si>
  <si>
    <t>159864382</t>
  </si>
  <si>
    <t>114256672</t>
  </si>
  <si>
    <t>3397762647</t>
  </si>
  <si>
    <t>1169035955166224384</t>
  </si>
  <si>
    <t>1690837481174786048</t>
  </si>
  <si>
    <t>764238193</t>
  </si>
  <si>
    <t>78182380</t>
  </si>
  <si>
    <t>1227589995411771392</t>
  </si>
  <si>
    <t>78725785</t>
  </si>
  <si>
    <t>68034200</t>
  </si>
  <si>
    <t>916008599205359617</t>
  </si>
  <si>
    <t>1006202359163314178</t>
  </si>
  <si>
    <t>1518709999987478528</t>
  </si>
  <si>
    <t>34832216</t>
  </si>
  <si>
    <t>216810168</t>
  </si>
  <si>
    <t>342047116</t>
  </si>
  <si>
    <t>223953066</t>
  </si>
  <si>
    <t>512523162</t>
  </si>
  <si>
    <t>1232021416591155201</t>
  </si>
  <si>
    <t>360674228</t>
  </si>
  <si>
    <t>547972417</t>
  </si>
  <si>
    <t>69075696</t>
  </si>
  <si>
    <t>1422270945004331014</t>
  </si>
  <si>
    <t>194997545</t>
  </si>
  <si>
    <t>16886866</t>
  </si>
  <si>
    <t>1336675642461589504</t>
  </si>
  <si>
    <t>1469948685635096581</t>
  </si>
  <si>
    <t>968353826</t>
  </si>
  <si>
    <t>1579213969</t>
  </si>
  <si>
    <t>74215006</t>
  </si>
  <si>
    <t>115416310</t>
  </si>
  <si>
    <t>83060037</t>
  </si>
  <si>
    <t>222157159</t>
  </si>
  <si>
    <t>361836159</t>
  </si>
  <si>
    <t>10686852</t>
  </si>
  <si>
    <t>1081998169</t>
  </si>
  <si>
    <t>1473659828056776711</t>
  </si>
  <si>
    <t>1612939700</t>
  </si>
  <si>
    <t>1678416821299363841</t>
  </si>
  <si>
    <t>61524459</t>
  </si>
  <si>
    <t>65245346</t>
  </si>
  <si>
    <t>772123822409543680</t>
  </si>
  <si>
    <t>1677426642</t>
  </si>
  <si>
    <t>1613029423040667648</t>
  </si>
  <si>
    <t>973279006102622209</t>
  </si>
  <si>
    <t/>
  </si>
  <si>
    <t>1702044970557849878</t>
  </si>
  <si>
    <t>1656726072417714179</t>
  </si>
  <si>
    <t>1655901996895830017</t>
  </si>
  <si>
    <t>1688732294029234176</t>
  </si>
  <si>
    <t>1664682827848228865</t>
  </si>
  <si>
    <t>1685011112855588864</t>
  </si>
  <si>
    <t>1654568388025364481</t>
  </si>
  <si>
    <t>1686854564861870081</t>
  </si>
  <si>
    <t>1693701905518674418</t>
  </si>
  <si>
    <t>1691914698386751651</t>
  </si>
  <si>
    <t>1694444742979760469</t>
  </si>
  <si>
    <t>1696275578700156974</t>
  </si>
  <si>
    <t>1691177378851016705</t>
  </si>
  <si>
    <t>1690918294268628993</t>
  </si>
  <si>
    <t>1694288967800164369</t>
  </si>
  <si>
    <t>1686489893067718656</t>
  </si>
  <si>
    <t>1678351152289546241</t>
  </si>
  <si>
    <t>1686401848842858496</t>
  </si>
  <si>
    <t>1663529832901234689</t>
  </si>
  <si>
    <t>1663529128291606530</t>
  </si>
  <si>
    <t>1666436733842382848</t>
  </si>
  <si>
    <t>1671691602417397761</t>
  </si>
  <si>
    <t>1691270492961837056</t>
  </si>
  <si>
    <t>1681421695041646592</t>
  </si>
  <si>
    <t>1691119014167400448</t>
  </si>
  <si>
    <t>1691452458273521664</t>
  </si>
  <si>
    <t>1692203754466972140</t>
  </si>
  <si>
    <t>1691823024209625240</t>
  </si>
  <si>
    <t>1691223791412633602</t>
  </si>
  <si>
    <t>1704459090783572127</t>
  </si>
  <si>
    <t>1705216075569267139</t>
  </si>
  <si>
    <t>1691164848275554304</t>
  </si>
  <si>
    <t>1677003634003804186</t>
  </si>
  <si>
    <t>1673711812255051776</t>
  </si>
  <si>
    <t>1666030572961923073</t>
  </si>
  <si>
    <t>1660619594577375238</t>
  </si>
  <si>
    <t>1660608347731640321</t>
  </si>
  <si>
    <t>1664233626228146177</t>
  </si>
  <si>
    <t>1707255056368582765</t>
  </si>
  <si>
    <t>1704786081827131683</t>
  </si>
  <si>
    <t>1660772848925851649</t>
  </si>
  <si>
    <t>1654483677676486656</t>
  </si>
  <si>
    <t>1655908281317982210</t>
  </si>
  <si>
    <t>1653735391659212800</t>
  </si>
  <si>
    <t>1661832739547492352</t>
  </si>
  <si>
    <t>1672204775658487811</t>
  </si>
  <si>
    <t>1679143904262729729</t>
  </si>
  <si>
    <t>1661487076150325249</t>
  </si>
  <si>
    <t>1673416162170793990</t>
  </si>
  <si>
    <t>1690444916562829313</t>
  </si>
  <si>
    <t>1660741263388299269</t>
  </si>
  <si>
    <t>1658619769745022977</t>
  </si>
  <si>
    <t>1666373308630048768</t>
  </si>
  <si>
    <t>1664787858031353856</t>
  </si>
  <si>
    <t>1666950008644485121</t>
  </si>
  <si>
    <t>1657464976477396992</t>
  </si>
  <si>
    <t>1679087944366186500</t>
  </si>
  <si>
    <t>1696211019196993567</t>
  </si>
  <si>
    <t>1692306075515584666</t>
  </si>
  <si>
    <t>1692585007095730207</t>
  </si>
  <si>
    <t>1705033808024670477</t>
  </si>
  <si>
    <t>1697643454266790208</t>
  </si>
  <si>
    <t>1692279802118443250</t>
  </si>
  <si>
    <t>1695107213717639326</t>
  </si>
  <si>
    <t>1692608963416568313</t>
  </si>
  <si>
    <t>1698795053424984434</t>
  </si>
  <si>
    <t>1694071458362782203</t>
  </si>
  <si>
    <t>1693729185817051161</t>
  </si>
  <si>
    <t>1696259735027130558</t>
  </si>
  <si>
    <t>1699214651395813738</t>
  </si>
  <si>
    <t>1697288876623036577</t>
  </si>
  <si>
    <t>1696939717701382462</t>
  </si>
  <si>
    <t>1696622409942532178</t>
  </si>
  <si>
    <t>1699432815786434737</t>
  </si>
  <si>
    <t>1694713251395928144</t>
  </si>
  <si>
    <t>1699044453200052545</t>
  </si>
  <si>
    <t>1659216778176905219</t>
  </si>
  <si>
    <t>1665819074645901315</t>
  </si>
  <si>
    <t>1684938125796118533</t>
  </si>
  <si>
    <t>1676617030718435328</t>
  </si>
  <si>
    <t>1674841836702007299</t>
  </si>
  <si>
    <t>1696149132505739773</t>
  </si>
  <si>
    <t>1701236493115658570</t>
  </si>
  <si>
    <t>1693613800052633852</t>
  </si>
  <si>
    <t>1703765307427270820</t>
  </si>
  <si>
    <t>1706297539962544439</t>
  </si>
  <si>
    <t>1671496916704665601</t>
  </si>
  <si>
    <t>1669344840512081922</t>
  </si>
  <si>
    <t>1702337994022334601</t>
  </si>
  <si>
    <t>1674007022436581379</t>
  </si>
  <si>
    <t>1669688297486991361</t>
  </si>
  <si>
    <t>1689063981065900032</t>
  </si>
  <si>
    <t>1671904543062339588</t>
  </si>
  <si>
    <t>1679594305030176770</t>
  </si>
  <si>
    <t>1665715465644040193</t>
  </si>
  <si>
    <t>1676320880794673152</t>
  </si>
  <si>
    <t>1675949542829703169</t>
  </si>
  <si>
    <t>1668987903400132608</t>
  </si>
  <si>
    <t>1668983412034600960</t>
  </si>
  <si>
    <t>1698723918234767646</t>
  </si>
  <si>
    <t>1670634207058468864</t>
  </si>
  <si>
    <t>1663317448777424900</t>
  </si>
  <si>
    <t>1663307824082944001</t>
  </si>
  <si>
    <t>1679207716059770900</t>
  </si>
  <si>
    <t>1668274621290782725</t>
  </si>
  <si>
    <t>1689701950231633920</t>
  </si>
  <si>
    <t>1671696398566191104</t>
  </si>
  <si>
    <t>1642880330670415872</t>
  </si>
  <si>
    <t>1669316821458067458</t>
  </si>
  <si>
    <t>1686222648307593216</t>
  </si>
  <si>
    <t>1541417669311823873</t>
  </si>
  <si>
    <t>1536688439470563329</t>
  </si>
  <si>
    <t>1045023758518546432</t>
  </si>
  <si>
    <t>1533647969744044033</t>
  </si>
  <si>
    <t>1042770569563922436</t>
  </si>
  <si>
    <t>1080285191392903169</t>
  </si>
  <si>
    <t>1095332589483651076</t>
  </si>
  <si>
    <t>1445936253413756930</t>
  </si>
  <si>
    <t>1304389119838228481</t>
  </si>
  <si>
    <t>1468167973454163968</t>
  </si>
  <si>
    <t>1587224842344046592</t>
  </si>
  <si>
    <t>1085159355098509314</t>
  </si>
  <si>
    <t>1623139973464571905</t>
  </si>
  <si>
    <t>904004667998441473</t>
  </si>
  <si>
    <t>1424739651777175556</t>
  </si>
  <si>
    <t>793985725268160512</t>
  </si>
  <si>
    <t>906943319934160897</t>
  </si>
  <si>
    <t>1478102018111721476</t>
  </si>
  <si>
    <t>1642498510854447104</t>
  </si>
  <si>
    <t>1038181928288038912</t>
  </si>
  <si>
    <t>1651562047048491008</t>
  </si>
  <si>
    <t>1621174674506776576</t>
  </si>
  <si>
    <t>1666170311929200646</t>
  </si>
  <si>
    <t>1397550371342458882</t>
  </si>
  <si>
    <t>1638131335041515520</t>
  </si>
  <si>
    <t>1450443755174125569</t>
  </si>
  <si>
    <t>728607110251032577</t>
  </si>
  <si>
    <t>973234331702513664</t>
  </si>
  <si>
    <t>1084523082826612741</t>
  </si>
  <si>
    <t>1108857385009979401</t>
  </si>
  <si>
    <t>1564985313742753792</t>
  </si>
  <si>
    <t>1505297647934091268</t>
  </si>
  <si>
    <t>1618331625820921858</t>
  </si>
  <si>
    <t>1425490670085677058</t>
  </si>
  <si>
    <t>1580935215979134978</t>
  </si>
  <si>
    <t>1693281714775175169</t>
  </si>
  <si>
    <t>1361055492831928325</t>
  </si>
  <si>
    <t>1657542055365603328</t>
  </si>
  <si>
    <t>1369788887414018055</t>
  </si>
  <si>
    <t>1598074016815874063</t>
  </si>
  <si>
    <t>1612313718175535105</t>
  </si>
  <si>
    <t>1202521988188844032</t>
  </si>
  <si>
    <t>1058757145225768961</t>
  </si>
  <si>
    <t>1658539240840470529</t>
  </si>
  <si>
    <t>1664076062572138498</t>
  </si>
  <si>
    <t>1651972958141796356</t>
  </si>
  <si>
    <t>1582020729733881859</t>
  </si>
  <si>
    <t>1656269497529974790</t>
  </si>
  <si>
    <t>1648037529302491136</t>
  </si>
  <si>
    <t>1290060433810952193</t>
  </si>
  <si>
    <t>1616934835066490880</t>
  </si>
  <si>
    <t>1613747219143737346</t>
  </si>
  <si>
    <t>1532654510623100928</t>
  </si>
  <si>
    <t>1610991165196713986</t>
  </si>
  <si>
    <t>1053197705420435456</t>
  </si>
  <si>
    <t>1589375041610866690</t>
  </si>
  <si>
    <t>722957750448300032</t>
  </si>
  <si>
    <t>1329923368502648837</t>
  </si>
  <si>
    <t>1440758958109560842</t>
  </si>
  <si>
    <t>1674940384940630017</t>
  </si>
  <si>
    <t>1329529913016193027</t>
  </si>
  <si>
    <t>1016463545989566475</t>
  </si>
  <si>
    <t>801588937873571840</t>
  </si>
  <si>
    <t>807573349815767040</t>
  </si>
  <si>
    <t>1595619347434815490</t>
  </si>
  <si>
    <t>1701967711482335232</t>
  </si>
  <si>
    <t>1141707243114704897</t>
  </si>
  <si>
    <t>1505953005274898437</t>
  </si>
  <si>
    <t>1672959830896648193</t>
  </si>
  <si>
    <t>1188204981654097926</t>
  </si>
  <si>
    <t>1542863722263216129</t>
  </si>
  <si>
    <t>1055107578533986304</t>
  </si>
  <si>
    <t>1649492750281199632</t>
  </si>
  <si>
    <t>858537209867247617</t>
  </si>
  <si>
    <t>953971502231293954</t>
  </si>
  <si>
    <t>1390722922365558789</t>
  </si>
  <si>
    <t>1518536018093383680</t>
  </si>
  <si>
    <t>1158437637704884224</t>
  </si>
  <si>
    <t>1163181943657246722</t>
  </si>
  <si>
    <t>1591305985682874368</t>
  </si>
  <si>
    <t>1641421706907508736</t>
  </si>
  <si>
    <t>1584279931198078977</t>
  </si>
  <si>
    <t>1598060295087333379</t>
  </si>
  <si>
    <t>1674450801752694794</t>
  </si>
  <si>
    <t>1571133555341664257</t>
  </si>
  <si>
    <t>1200062560306958336</t>
  </si>
  <si>
    <t>1642873903805526018</t>
  </si>
  <si>
    <t>1221956951548010501</t>
  </si>
  <si>
    <t>1450302302712221700</t>
  </si>
  <si>
    <t>1638575699861569538</t>
  </si>
  <si>
    <t>1684172994749382656</t>
  </si>
  <si>
    <t>862810875886960640</t>
  </si>
  <si>
    <t>1676547101801566208</t>
  </si>
  <si>
    <t>1444027592772890626</t>
  </si>
  <si>
    <t>1223429762187759621</t>
  </si>
  <si>
    <t>1058367600210665473</t>
  </si>
  <si>
    <t>931579478794555393</t>
  </si>
  <si>
    <t>1463888738199691267</t>
  </si>
  <si>
    <t>1643879824652480514</t>
  </si>
  <si>
    <t>1453197538543083521</t>
  </si>
  <si>
    <t>906106190748237824</t>
  </si>
  <si>
    <t>760517027052199937</t>
  </si>
  <si>
    <t>1585689656389140498</t>
  </si>
  <si>
    <t>1293375569225232385</t>
  </si>
  <si>
    <t>1608580477429989376</t>
  </si>
  <si>
    <t>1078687333166313473</t>
  </si>
  <si>
    <t>897896303325261824</t>
  </si>
  <si>
    <t>1145508565945335810</t>
  </si>
  <si>
    <t>974040851394555904</t>
  </si>
  <si>
    <t>1692216582485782548</t>
  </si>
  <si>
    <t>1610039997561819146</t>
  </si>
  <si>
    <t>1423755610592530440</t>
  </si>
  <si>
    <t>1542885309033086979</t>
  </si>
  <si>
    <t>1403622332191608835</t>
  </si>
  <si>
    <t>1253169902577430529</t>
  </si>
  <si>
    <t>760195556144717824</t>
  </si>
  <si>
    <t>1322770365811216389</t>
  </si>
  <si>
    <t>1651952241689985024</t>
  </si>
  <si>
    <t>1041724956839698433</t>
  </si>
  <si>
    <t>1419428734667563014</t>
  </si>
  <si>
    <t>1308126441167560705</t>
  </si>
  <si>
    <t>1647033489022124033</t>
  </si>
  <si>
    <t>855277258235301888</t>
  </si>
  <si>
    <t>1634221834966106113</t>
  </si>
  <si>
    <t>1399759224285061124</t>
  </si>
  <si>
    <t>1649573121832243206</t>
  </si>
  <si>
    <t>1650837402607386624</t>
  </si>
  <si>
    <t>1652841964918693888</t>
  </si>
  <si>
    <t>1080073977656213504</t>
  </si>
  <si>
    <t>805216324620259329</t>
  </si>
  <si>
    <t>1169838324019650562</t>
  </si>
  <si>
    <t>1549474582402301953</t>
  </si>
  <si>
    <t>1520056716821422080</t>
  </si>
  <si>
    <t>1263197906934411272</t>
  </si>
  <si>
    <t>1103394741289447430</t>
  </si>
  <si>
    <t>1400474321076822016</t>
  </si>
  <si>
    <t>1655592242919112704</t>
  </si>
  <si>
    <t>788006223937404929</t>
  </si>
  <si>
    <t>1219819742346842112</t>
  </si>
  <si>
    <t>843811850643013632</t>
  </si>
  <si>
    <t>1652089388044517377</t>
  </si>
  <si>
    <t>1621289799280640001</t>
  </si>
  <si>
    <t>1222943466423975936</t>
  </si>
  <si>
    <t>1112419838222323712</t>
  </si>
  <si>
    <t>1367537445529657353</t>
  </si>
  <si>
    <t>715388852832051200</t>
  </si>
  <si>
    <t>1239952087527706634</t>
  </si>
  <si>
    <t>1635921435267940354</t>
  </si>
  <si>
    <t>1566067902737956867</t>
  </si>
  <si>
    <t>1523751435166523393</t>
  </si>
  <si>
    <t>1642662868393906185</t>
  </si>
  <si>
    <t>1053921972479057921</t>
  </si>
  <si>
    <t>1346759748188831747</t>
  </si>
  <si>
    <t>1541614345418936322</t>
  </si>
  <si>
    <t>1041503637757845506</t>
  </si>
  <si>
    <t>1134898724960899076</t>
  </si>
  <si>
    <t>1207768400564563969</t>
  </si>
  <si>
    <t>1605294783953375232</t>
  </si>
  <si>
    <t>1073278413652267014</t>
  </si>
  <si>
    <t>925642750711787520</t>
  </si>
  <si>
    <t>1577232827250315267</t>
  </si>
  <si>
    <t>1547292233132490753</t>
  </si>
  <si>
    <t>898816932794818560</t>
  </si>
  <si>
    <t>1233003066670145543</t>
  </si>
  <si>
    <t>750885979012096000</t>
  </si>
  <si>
    <t>1265699228506116100</t>
  </si>
  <si>
    <t>1236003131244392448</t>
  </si>
  <si>
    <t>1506105074619191296</t>
  </si>
  <si>
    <t>1651674422489624576</t>
  </si>
  <si>
    <t>1333496862435893250</t>
  </si>
  <si>
    <t>1067453198653431808</t>
  </si>
  <si>
    <t>1671323590929596416</t>
  </si>
  <si>
    <t>1331977101403172866</t>
  </si>
  <si>
    <t>1386532607597453313</t>
  </si>
  <si>
    <t>1639259613647257600</t>
  </si>
  <si>
    <t>1267822393600270349</t>
  </si>
  <si>
    <t>1427071967929290767</t>
  </si>
  <si>
    <t>1001125765960826880</t>
  </si>
  <si>
    <t>1150585220158099456</t>
  </si>
  <si>
    <t>787025129729646592</t>
  </si>
  <si>
    <t>884430635288453120</t>
  </si>
  <si>
    <t>1504117893289717764</t>
  </si>
  <si>
    <t>1661082288610766851</t>
  </si>
  <si>
    <t>1589212717663109120</t>
  </si>
  <si>
    <t>1688959489599283200</t>
  </si>
  <si>
    <t>903661555434356737</t>
  </si>
  <si>
    <t>1570038939771076609</t>
  </si>
  <si>
    <t>1530294175190720512</t>
  </si>
  <si>
    <t>947434421745012737</t>
  </si>
  <si>
    <t>858433905002770432</t>
  </si>
  <si>
    <t>1672659444419657728</t>
  </si>
  <si>
    <t>1583597616369221632</t>
  </si>
  <si>
    <t>1234943918229393411</t>
  </si>
  <si>
    <t>1473123053047529472</t>
  </si>
  <si>
    <t>1206744018870247424</t>
  </si>
  <si>
    <t>1596650780643143680</t>
  </si>
  <si>
    <t>1385685363952324609</t>
  </si>
  <si>
    <t>1661766864609988609</t>
  </si>
  <si>
    <t>754450453778272256</t>
  </si>
  <si>
    <t>1238092829777420288</t>
  </si>
  <si>
    <t>1221621620021874688</t>
  </si>
  <si>
    <t>1229818184594751493</t>
  </si>
  <si>
    <t>1686725498389356544</t>
  </si>
  <si>
    <t>1007241667857043456</t>
  </si>
  <si>
    <t>1556628239912734721</t>
  </si>
  <si>
    <t>753685072805437440</t>
  </si>
  <si>
    <t>1635840144191238145</t>
  </si>
  <si>
    <t>1486737200012267523</t>
  </si>
  <si>
    <t>938439491131461632</t>
  </si>
  <si>
    <t>1600908543795888128</t>
  </si>
  <si>
    <t>1495515406374690816</t>
  </si>
  <si>
    <t>1473111796533788677</t>
  </si>
  <si>
    <t>1491150047676968965</t>
  </si>
  <si>
    <t>1638955286823051274</t>
  </si>
  <si>
    <t>1462816470484885513</t>
  </si>
  <si>
    <t>1684344765888749569</t>
  </si>
  <si>
    <t>1432830922584436738</t>
  </si>
  <si>
    <t>1587534176156352515</t>
  </si>
  <si>
    <t>1362106762082607106</t>
  </si>
  <si>
    <t>1005497319561859073</t>
  </si>
  <si>
    <t>1475079346196996096</t>
  </si>
  <si>
    <t>872947249738911744</t>
  </si>
  <si>
    <t>1062433641735864320</t>
  </si>
  <si>
    <t>1421450361651466249</t>
  </si>
  <si>
    <t>1602495993437720576</t>
  </si>
  <si>
    <t>1682899738478223361</t>
  </si>
  <si>
    <t>1383130855732883459</t>
  </si>
  <si>
    <t>1672236167167725568</t>
  </si>
  <si>
    <t>1256678585945018368</t>
  </si>
  <si>
    <t>1479570551958126596</t>
  </si>
  <si>
    <t>1207764143966699520</t>
  </si>
  <si>
    <t>1051050848426577920</t>
  </si>
  <si>
    <t>1361376441238175746</t>
  </si>
  <si>
    <t>1339304445386088448</t>
  </si>
  <si>
    <t>1491784377247797250</t>
  </si>
  <si>
    <t>806956859844427776</t>
  </si>
  <si>
    <t>1519107185854365696</t>
  </si>
  <si>
    <t>1611558365422813191</t>
  </si>
  <si>
    <t>1653480819099353095</t>
  </si>
  <si>
    <t>1171040460112039936</t>
  </si>
  <si>
    <t>1175408933298741248</t>
  </si>
  <si>
    <t>1433196404432850945</t>
  </si>
  <si>
    <t>1413135841006800896</t>
  </si>
  <si>
    <t>1269446109467901952</t>
  </si>
  <si>
    <t>1034186374201663488</t>
  </si>
  <si>
    <t>1134582817751539712</t>
  </si>
  <si>
    <t>1627806747820802053</t>
  </si>
  <si>
    <t>1519430020187492352</t>
  </si>
  <si>
    <t>1552955665345282050</t>
  </si>
  <si>
    <t>1552344810282958851</t>
  </si>
  <si>
    <t>1250052061800038400</t>
  </si>
  <si>
    <t>1583865070316036097</t>
  </si>
  <si>
    <t>1379827887780544516</t>
  </si>
  <si>
    <t>1652321300008910851</t>
  </si>
  <si>
    <t>1277715416132005895</t>
  </si>
  <si>
    <t>885254097280139265</t>
  </si>
  <si>
    <t>1690889935631347712</t>
  </si>
  <si>
    <t>1184925010357637127</t>
  </si>
  <si>
    <t>1218852585823776768</t>
  </si>
  <si>
    <t>1523701926218633216</t>
  </si>
  <si>
    <t>1300981864392544256</t>
  </si>
  <si>
    <t>1051868537692856323</t>
  </si>
  <si>
    <t>1687810441030881281</t>
  </si>
  <si>
    <t>1347439632917606400</t>
  </si>
  <si>
    <t>1013086040779886593</t>
  </si>
  <si>
    <t>1637210412310581248</t>
  </si>
  <si>
    <t>1556317089237028866</t>
  </si>
  <si>
    <t>860895764670763010</t>
  </si>
  <si>
    <t>1588198174396653569</t>
  </si>
  <si>
    <t>1338546450322632707</t>
  </si>
  <si>
    <t>1631748852301660171</t>
  </si>
  <si>
    <t>1059947392131317761</t>
  </si>
  <si>
    <t>1334549834028691458</t>
  </si>
  <si>
    <t>843829560730963970</t>
  </si>
  <si>
    <t>1107346142738739202</t>
  </si>
  <si>
    <t>842214238596792324</t>
  </si>
  <si>
    <t>1637942300868333568</t>
  </si>
  <si>
    <t>861292597368827904</t>
  </si>
  <si>
    <t>1498058145226272769</t>
  </si>
  <si>
    <t>875047064815710209</t>
  </si>
  <si>
    <t>719929596767051777</t>
  </si>
  <si>
    <t>1216705224104120322</t>
  </si>
  <si>
    <t>1090291692744466433</t>
  </si>
  <si>
    <t>1277370135871991809</t>
  </si>
  <si>
    <t>1636354415119433731</t>
  </si>
  <si>
    <t>1195819318484914184</t>
  </si>
  <si>
    <t>1529218394234335232</t>
  </si>
  <si>
    <t>1536745858036817920</t>
  </si>
  <si>
    <t>1159878171950534657</t>
  </si>
  <si>
    <t>1149411512236281859</t>
  </si>
  <si>
    <t>1446565464247832576</t>
  </si>
  <si>
    <t>1470004575256068096</t>
  </si>
  <si>
    <t>1568004252651454464</t>
  </si>
  <si>
    <t>1067462142750859264</t>
  </si>
  <si>
    <t>1568793647977562112</t>
  </si>
  <si>
    <t>1578949437182853122</t>
  </si>
  <si>
    <t>1654305620814622721</t>
  </si>
  <si>
    <t>1602107963312840706</t>
  </si>
  <si>
    <t>1613890665183678464</t>
  </si>
  <si>
    <t>957677817705254919</t>
  </si>
  <si>
    <t>1171101995127726080</t>
  </si>
  <si>
    <t>730553197584998400</t>
  </si>
  <si>
    <t>1270316997709045760</t>
  </si>
  <si>
    <t>1536104273565696000</t>
  </si>
  <si>
    <t>1579239114821566466</t>
  </si>
  <si>
    <t>1271425545096527879</t>
  </si>
  <si>
    <t>1441833317867786241</t>
  </si>
  <si>
    <t>1261687116829995011</t>
  </si>
  <si>
    <t>1404506222892666885</t>
  </si>
  <si>
    <t>1577743030232268801</t>
  </si>
  <si>
    <t>1432359432705519616</t>
  </si>
  <si>
    <t>1407839773755125763</t>
  </si>
  <si>
    <t>1219323189056233472</t>
  </si>
  <si>
    <t>1332751555389513731</t>
  </si>
  <si>
    <t>1061362467689951238</t>
  </si>
  <si>
    <t>1545170673286479877</t>
  </si>
  <si>
    <t>1664001660530589698</t>
  </si>
  <si>
    <t>1361440081945518083</t>
  </si>
  <si>
    <t>1262752699084201986</t>
  </si>
  <si>
    <t>1400524231549587457</t>
  </si>
  <si>
    <t>1385024660107051008</t>
  </si>
  <si>
    <t>1314256209688526848</t>
  </si>
  <si>
    <t>1623745738797731849</t>
  </si>
  <si>
    <t>1576527680077533184</t>
  </si>
  <si>
    <t>1494816867663425547</t>
  </si>
  <si>
    <t>1057383865592045574</t>
  </si>
  <si>
    <t>1552406338797445127</t>
  </si>
  <si>
    <t>946663658108661760</t>
  </si>
  <si>
    <t>1656307557906907137</t>
  </si>
  <si>
    <t>1597724234373103616</t>
  </si>
  <si>
    <t>1691162621779587072</t>
  </si>
  <si>
    <t>1376917910363463681</t>
  </si>
  <si>
    <t>1427973632924524546</t>
  </si>
  <si>
    <t>1528581313594286081</t>
  </si>
  <si>
    <t>1363755638141124611</t>
  </si>
  <si>
    <t>802219348517588992</t>
  </si>
  <si>
    <t>1538917583218409475</t>
  </si>
  <si>
    <t>1588462988910010368</t>
  </si>
  <si>
    <t>1397238293926801408</t>
  </si>
  <si>
    <t>1199091215767080961</t>
  </si>
  <si>
    <t>1568072347768201216</t>
  </si>
  <si>
    <t>1278085391535480834</t>
  </si>
  <si>
    <t>1602440685445062657</t>
  </si>
  <si>
    <t>1635261590734815234</t>
  </si>
  <si>
    <t>855409800930365441</t>
  </si>
  <si>
    <t>1611476859224576003</t>
  </si>
  <si>
    <t>1044774098482671617</t>
  </si>
  <si>
    <t>1385599306212810752</t>
  </si>
  <si>
    <t>1396908884586074122</t>
  </si>
  <si>
    <t>1615431710677639170</t>
  </si>
  <si>
    <t>1690795876044664832</t>
  </si>
  <si>
    <t>1467245027411865601</t>
  </si>
  <si>
    <t>895004691511341060</t>
  </si>
  <si>
    <t>1576733937719820295</t>
  </si>
  <si>
    <t>1018084698629828608</t>
  </si>
  <si>
    <t>1539672772821008388</t>
  </si>
  <si>
    <t>1082759801761873924</t>
  </si>
  <si>
    <t>1253128846460833793</t>
  </si>
  <si>
    <t>866439034456993792</t>
  </si>
  <si>
    <t>1452328793599774729</t>
  </si>
  <si>
    <t>1359948445658861570</t>
  </si>
  <si>
    <t>719902594991288320</t>
  </si>
  <si>
    <t>966302961000439810</t>
  </si>
  <si>
    <t>1050936113139986433</t>
  </si>
  <si>
    <t>942418528342331392</t>
  </si>
  <si>
    <t>1427357419978510342</t>
  </si>
  <si>
    <t>966406366930849792</t>
  </si>
  <si>
    <t>1183730588383137792</t>
  </si>
  <si>
    <t>1489186316495503361</t>
  </si>
  <si>
    <t>1186068073519964160</t>
  </si>
  <si>
    <t>1442256374075854849</t>
  </si>
  <si>
    <t>1586868450491760642</t>
  </si>
  <si>
    <t>1382474239442292747</t>
  </si>
  <si>
    <t>1657142833969614850</t>
  </si>
  <si>
    <t>1685713339354083328</t>
  </si>
  <si>
    <t>948023741937803264</t>
  </si>
  <si>
    <t>1582996734275461121</t>
  </si>
  <si>
    <t>1549157883123798020</t>
  </si>
  <si>
    <t>894647108388753409</t>
  </si>
  <si>
    <t>1498612106454867974</t>
  </si>
  <si>
    <t>1387096552284598272</t>
  </si>
  <si>
    <t>1279085182528753671</t>
  </si>
  <si>
    <t>953742418104475648</t>
  </si>
  <si>
    <t>1293938234402250754</t>
  </si>
  <si>
    <t>818271609169424385</t>
  </si>
  <si>
    <t>1178592150965178368</t>
  </si>
  <si>
    <t>1309197422111924224</t>
  </si>
  <si>
    <t>900257896054894592</t>
  </si>
  <si>
    <t>1261997099337515011</t>
  </si>
  <si>
    <t>1516786501589348358</t>
  </si>
  <si>
    <t>804372931077926912</t>
  </si>
  <si>
    <t>1646657961681383424</t>
  </si>
  <si>
    <t>1508239611201564672</t>
  </si>
  <si>
    <t>1248813796367499264</t>
  </si>
  <si>
    <t>1250451726295072769</t>
  </si>
  <si>
    <t>1299699053740122113</t>
  </si>
  <si>
    <t>1175085306552496128</t>
  </si>
  <si>
    <t>1160768217721331713</t>
  </si>
  <si>
    <t>1429626838721208320</t>
  </si>
  <si>
    <t>1097996397842960386</t>
  </si>
  <si>
    <t>1585076060886122496</t>
  </si>
  <si>
    <t>1688615924549484544</t>
  </si>
  <si>
    <t>1620976389804392455</t>
  </si>
  <si>
    <t>1430489753573629956</t>
  </si>
  <si>
    <t>1428093445818683397</t>
  </si>
  <si>
    <t>1540464201776463874</t>
  </si>
  <si>
    <t>1361788961899831299</t>
  </si>
  <si>
    <t>1583265928795521029</t>
  </si>
  <si>
    <t>1199044185313165313</t>
  </si>
  <si>
    <t>1457007620062023680</t>
  </si>
  <si>
    <t>1090688187817738240</t>
  </si>
  <si>
    <t>968160645345574913</t>
  </si>
  <si>
    <t>1048546187702427649</t>
  </si>
  <si>
    <t>1171873310273167360</t>
  </si>
  <si>
    <t>1619042829338132484</t>
  </si>
  <si>
    <t>1544560343363600385</t>
  </si>
  <si>
    <t>1010199575297224704</t>
  </si>
  <si>
    <t>1571320287991308288</t>
  </si>
  <si>
    <t>943908896284073984</t>
  </si>
  <si>
    <t>1377741813151371264</t>
  </si>
  <si>
    <t>1148324349537083392</t>
  </si>
  <si>
    <t>833755553620959234</t>
  </si>
  <si>
    <t>1676537394533629954</t>
  </si>
  <si>
    <t>1241019954981408777</t>
  </si>
  <si>
    <t>1519452520992677888</t>
  </si>
  <si>
    <t>1154060645861666816</t>
  </si>
  <si>
    <t>1310434639333527557</t>
  </si>
  <si>
    <t>1254189767555796992</t>
  </si>
  <si>
    <t>966099010732855297</t>
  </si>
  <si>
    <t>843215121505816576</t>
  </si>
  <si>
    <t>1241018077745221635</t>
  </si>
  <si>
    <t>1599797663943327746</t>
  </si>
  <si>
    <t>1398333815521697792</t>
  </si>
  <si>
    <t>1577673174229176320</t>
  </si>
  <si>
    <t>1255482927795834883</t>
  </si>
  <si>
    <t>1533825810183897088</t>
  </si>
  <si>
    <t>1375042239479607296</t>
  </si>
  <si>
    <t>1597631477650423830</t>
  </si>
  <si>
    <t>1585466049201410050</t>
  </si>
  <si>
    <t>1404772239464144896</t>
  </si>
  <si>
    <t>763026335438692352</t>
  </si>
  <si>
    <t>1318542060950065153</t>
  </si>
  <si>
    <t>807200496557637632</t>
  </si>
  <si>
    <t>1018311056043773953</t>
  </si>
  <si>
    <t>900726888712294400</t>
  </si>
  <si>
    <t>1588735714052694021</t>
  </si>
  <si>
    <t>1436331009033842695</t>
  </si>
  <si>
    <t>1382017213746573314</t>
  </si>
  <si>
    <t>1418039805909381122</t>
  </si>
  <si>
    <t>1594988809355141120</t>
  </si>
  <si>
    <t>727245078247399424</t>
  </si>
  <si>
    <t>996116239289405443</t>
  </si>
  <si>
    <t>1005072875295002624</t>
  </si>
  <si>
    <t>1329388236519727105</t>
  </si>
  <si>
    <t>913732650627665920</t>
  </si>
  <si>
    <t>1565874482857771017</t>
  </si>
  <si>
    <t>1575858520595238912</t>
  </si>
  <si>
    <t>1361446752377831424</t>
  </si>
  <si>
    <t>1440665300190433282</t>
  </si>
  <si>
    <t>1505216681018286080</t>
  </si>
  <si>
    <t>1167474602597072901</t>
  </si>
  <si>
    <t>1201944509476745217</t>
  </si>
  <si>
    <t>1179768099442171910</t>
  </si>
  <si>
    <t>1570877045885882368</t>
  </si>
  <si>
    <t>1486356311382151171</t>
  </si>
  <si>
    <t>768175119898259456</t>
  </si>
  <si>
    <t>1201663154457055235</t>
  </si>
  <si>
    <t>1600508110031925248</t>
  </si>
  <si>
    <t>1410042782014705665</t>
  </si>
  <si>
    <t>1372167457704714242</t>
  </si>
  <si>
    <t>1267597455585161216</t>
  </si>
  <si>
    <t>1486776804249587718</t>
  </si>
  <si>
    <t>1650292355495280642</t>
  </si>
  <si>
    <t>1362884021659848707</t>
  </si>
  <si>
    <t>1271889856604635137</t>
  </si>
  <si>
    <t>1628826017002401793</t>
  </si>
  <si>
    <t>1646201249451196420</t>
  </si>
  <si>
    <t>1639460106822615040</t>
  </si>
  <si>
    <t>1559568462820904965</t>
  </si>
  <si>
    <t>1271990034217021441</t>
  </si>
  <si>
    <t>975401309368147969</t>
  </si>
  <si>
    <t>1601504885572345856</t>
  </si>
  <si>
    <t>1666089806584229900</t>
  </si>
  <si>
    <t>774402283127902208</t>
  </si>
  <si>
    <t>1029293862387429377</t>
  </si>
  <si>
    <t>1286732861618479106</t>
  </si>
  <si>
    <t>1087435352153952256</t>
  </si>
  <si>
    <t>1423786443684593671</t>
  </si>
  <si>
    <t>1651749000473722880</t>
  </si>
  <si>
    <t>1309521229058113537</t>
  </si>
  <si>
    <t>1458636639819948033</t>
  </si>
  <si>
    <t>1667241589930860549</t>
  </si>
  <si>
    <t>1148054609379962881</t>
  </si>
  <si>
    <t>1691076599167188993</t>
  </si>
  <si>
    <t>1347826005143154689</t>
  </si>
  <si>
    <t>861707648584085504</t>
  </si>
  <si>
    <t>1487015647628382211</t>
  </si>
  <si>
    <t>1105987156420583426</t>
  </si>
  <si>
    <t>1645750365126643713</t>
  </si>
  <si>
    <t>1296108298614317056</t>
  </si>
  <si>
    <t>1108044781282840578</t>
  </si>
  <si>
    <t>1497870507324157953</t>
  </si>
  <si>
    <t>738420725812465665</t>
  </si>
  <si>
    <t>966406795957858309</t>
  </si>
  <si>
    <t>1666745431655694336</t>
  </si>
  <si>
    <t>1042107129224724485</t>
  </si>
  <si>
    <t>711745551247785984</t>
  </si>
  <si>
    <t>1591861724461912064</t>
  </si>
  <si>
    <t>1106200795098292229</t>
  </si>
  <si>
    <t>1446363834940338183</t>
  </si>
  <si>
    <t>1108213223898185728</t>
  </si>
  <si>
    <t>1660769290524545026</t>
  </si>
  <si>
    <t>869612706839580672</t>
  </si>
  <si>
    <t>1445485356413947905</t>
  </si>
  <si>
    <t>1663945075129188360</t>
  </si>
  <si>
    <t>1530333851834261508</t>
  </si>
  <si>
    <t>1586179093862797325</t>
  </si>
  <si>
    <t>1597738602481467393</t>
  </si>
  <si>
    <t>1650663451373494273</t>
  </si>
  <si>
    <t>1082749186515365894</t>
  </si>
  <si>
    <t>1538888481409224704</t>
  </si>
  <si>
    <t>1637853578072055825</t>
  </si>
  <si>
    <t>1081583873291624451</t>
  </si>
  <si>
    <t>1636003627490766851</t>
  </si>
  <si>
    <t>1264883257411330048</t>
  </si>
  <si>
    <t>1614745988203249673</t>
  </si>
  <si>
    <t>1365394851131502592</t>
  </si>
  <si>
    <t>1488261983929614336</t>
  </si>
  <si>
    <t>1370375263356395524</t>
  </si>
  <si>
    <t>1704525879446278144</t>
  </si>
  <si>
    <t>1682076290902556673</t>
  </si>
  <si>
    <t>1410484326341427201</t>
  </si>
  <si>
    <t>1294435021718261761</t>
  </si>
  <si>
    <t>1250033897896841216</t>
  </si>
  <si>
    <t>1586858650269777920</t>
  </si>
  <si>
    <t>1137335886033674241</t>
  </si>
  <si>
    <t>1649260620020080640</t>
  </si>
  <si>
    <t>1355975176933036033</t>
  </si>
  <si>
    <t>1623098958401732610</t>
  </si>
  <si>
    <t>1102882252520865792</t>
  </si>
  <si>
    <t>808771773298855937</t>
  </si>
  <si>
    <t>1497686003947130890</t>
  </si>
  <si>
    <t>1557305479822557184</t>
  </si>
  <si>
    <t>1249455646228938752</t>
  </si>
  <si>
    <t>1606076458241228802</t>
  </si>
  <si>
    <t>1636189045238689795</t>
  </si>
  <si>
    <t>1648011146564104192</t>
  </si>
  <si>
    <t>916008215476830208</t>
  </si>
  <si>
    <t>1533056600855961600</t>
  </si>
  <si>
    <t>1144260249282666497</t>
  </si>
  <si>
    <t>964319565764288512</t>
  </si>
  <si>
    <t>822207461293756416</t>
  </si>
  <si>
    <t>1690880801791983616</t>
  </si>
  <si>
    <t>1294705805195980800</t>
  </si>
  <si>
    <t>1413131632995753986</t>
  </si>
  <si>
    <t>1270774020808626176</t>
  </si>
  <si>
    <t>1279932298117423105</t>
  </si>
  <si>
    <t>1327747160264355841</t>
  </si>
  <si>
    <t>904548542798323713</t>
  </si>
  <si>
    <t>1338904893873139713</t>
  </si>
  <si>
    <t>1363337671658119168</t>
  </si>
  <si>
    <t>1557452330768949253</t>
  </si>
  <si>
    <t>1032280842196930561</t>
  </si>
  <si>
    <t>1661780180996702208</t>
  </si>
  <si>
    <t>1246537272461348864</t>
  </si>
  <si>
    <t>1082255159303041025</t>
  </si>
  <si>
    <t>889441215439142916</t>
  </si>
  <si>
    <t>1453850394745090054</t>
  </si>
  <si>
    <t>1488090240262844421</t>
  </si>
  <si>
    <t>1417480369419526151</t>
  </si>
  <si>
    <t>1267567811448262658</t>
  </si>
  <si>
    <t>1641846671909715968</t>
  </si>
  <si>
    <t>1585345681581039618</t>
  </si>
  <si>
    <t>1417502855901102085</t>
  </si>
  <si>
    <t>1445088603999195137</t>
  </si>
  <si>
    <t>888933607942873089</t>
  </si>
  <si>
    <t>1474090235638263809</t>
  </si>
  <si>
    <t>1669022978586157095</t>
  </si>
  <si>
    <t>1650831117602152456</t>
  </si>
  <si>
    <t>1610061493864742912</t>
  </si>
  <si>
    <t>1164918229044797442</t>
  </si>
  <si>
    <t>1066765008690913280</t>
  </si>
  <si>
    <t>1130143652146237440</t>
  </si>
  <si>
    <t>1648747342340710402</t>
  </si>
  <si>
    <t>1146044014568886272</t>
  </si>
  <si>
    <t>917462244841152519</t>
  </si>
  <si>
    <t>1350152995657424897</t>
  </si>
  <si>
    <t>802725481598582784</t>
  </si>
  <si>
    <t>1655610549378461708</t>
  </si>
  <si>
    <t>1654341005821329408</t>
  </si>
  <si>
    <t>1141636196776448000</t>
  </si>
  <si>
    <t>1506528469546684419</t>
  </si>
  <si>
    <t>1160540443274350593</t>
  </si>
  <si>
    <t>1690772009016246272</t>
  </si>
  <si>
    <t>1428041636290998274</t>
  </si>
  <si>
    <t>1483021246405173249</t>
  </si>
  <si>
    <t>1140658827353833474</t>
  </si>
  <si>
    <t>1265256742054756352</t>
  </si>
  <si>
    <t>1207594921647063040</t>
  </si>
  <si>
    <t>1331613198022225920</t>
  </si>
  <si>
    <t>1687492876907827200</t>
  </si>
  <si>
    <t>1333969845814259712</t>
  </si>
  <si>
    <t>1384199534914392064</t>
  </si>
  <si>
    <t>1298680144496939008</t>
  </si>
  <si>
    <t>1620876123839074309</t>
  </si>
  <si>
    <t>1413237267687161864</t>
  </si>
  <si>
    <t>777263560854503424</t>
  </si>
  <si>
    <t>925442137809924096</t>
  </si>
  <si>
    <t>1614347440831844353</t>
  </si>
  <si>
    <t>904730366338060289</t>
  </si>
  <si>
    <t>1524025596338130946</t>
  </si>
  <si>
    <t>1381776255243145226</t>
  </si>
  <si>
    <t>716986736744800256</t>
  </si>
  <si>
    <t>1439623853450334215</t>
  </si>
  <si>
    <t>1522324145689833474</t>
  </si>
  <si>
    <t>1271149730169577474</t>
  </si>
  <si>
    <t>1267851921550913536</t>
  </si>
  <si>
    <t>1661542217268305920</t>
  </si>
  <si>
    <t>1567917646200324098</t>
  </si>
  <si>
    <t>1616095606253969409</t>
  </si>
  <si>
    <t>1291492340109017093</t>
  </si>
  <si>
    <t>1691279854035935232</t>
  </si>
  <si>
    <t>727580303557066753</t>
  </si>
  <si>
    <t>1145764741484355585</t>
  </si>
  <si>
    <t>1229820623419035655</t>
  </si>
  <si>
    <t>1628032957297397760</t>
  </si>
  <si>
    <t>1656254523898224642</t>
  </si>
  <si>
    <t>1100155829020487682</t>
  </si>
  <si>
    <t>1557373736323633152</t>
  </si>
  <si>
    <t>1283875000110534659</t>
  </si>
  <si>
    <t>1509489081935355914</t>
  </si>
  <si>
    <t>865220804077858817</t>
  </si>
  <si>
    <t>1149088263019356160</t>
  </si>
  <si>
    <t>1547660709999218700</t>
  </si>
  <si>
    <t>1628179051981557760</t>
  </si>
  <si>
    <t>1258477776761389058</t>
  </si>
  <si>
    <t>1620179469389496321</t>
  </si>
  <si>
    <t>1237693609698381824</t>
  </si>
  <si>
    <t>1667370112964349953</t>
  </si>
  <si>
    <t>709437626789584899</t>
  </si>
  <si>
    <t>1564302998901334021</t>
  </si>
  <si>
    <t>1161307453075726337</t>
  </si>
  <si>
    <t>1443943136678526991</t>
  </si>
  <si>
    <t>1409857885274787849</t>
  </si>
  <si>
    <t>1389680593336680452</t>
  </si>
  <si>
    <t>1255242690805071877</t>
  </si>
  <si>
    <t>805248855990292480</t>
  </si>
  <si>
    <t>1243646884050358272</t>
  </si>
  <si>
    <t>1516113484790079490</t>
  </si>
  <si>
    <t>1036376903714840576</t>
  </si>
  <si>
    <t>1127367705357635584</t>
  </si>
  <si>
    <t>1034077620399480832</t>
  </si>
  <si>
    <t>1295434766653718529</t>
  </si>
  <si>
    <t>1691445213288595457</t>
  </si>
  <si>
    <t>1663326431458344961</t>
  </si>
  <si>
    <t>1185168404136771584</t>
  </si>
  <si>
    <t>1447854528884363267</t>
  </si>
  <si>
    <t>1618520270305624064</t>
  </si>
  <si>
    <t>1648318272301940736</t>
  </si>
  <si>
    <t>1079056459416125442</t>
  </si>
  <si>
    <t>1633154754384736256</t>
  </si>
  <si>
    <t>1268208773287591942</t>
  </si>
  <si>
    <t>1675905318298038281</t>
  </si>
  <si>
    <t>957773782118227968</t>
  </si>
  <si>
    <t>1515530012233023489</t>
  </si>
  <si>
    <t>976176714467463168</t>
  </si>
  <si>
    <t>1581784175526510595</t>
  </si>
  <si>
    <t>1480668709899362308</t>
  </si>
  <si>
    <t>904824060714115072</t>
  </si>
  <si>
    <t>1431982342839603200</t>
  </si>
  <si>
    <t>746739697028894721</t>
  </si>
  <si>
    <t>1305294564673163265</t>
  </si>
  <si>
    <t>1401749738819567616</t>
  </si>
  <si>
    <t>1647984168935063552</t>
  </si>
  <si>
    <t>1577018211886825476</t>
  </si>
  <si>
    <t>1317236188454014976</t>
  </si>
  <si>
    <t>863079319039553538</t>
  </si>
  <si>
    <t>1400465619070296077</t>
  </si>
  <si>
    <t>1516417377042407425</t>
  </si>
  <si>
    <t>709818777307893761</t>
  </si>
  <si>
    <t>1519055961675210752</t>
  </si>
  <si>
    <t>1162564705623433217</t>
  </si>
  <si>
    <t>1612955346489810945</t>
  </si>
  <si>
    <t>1260572344533254144</t>
  </si>
  <si>
    <t>1069048082329976838</t>
  </si>
  <si>
    <t>1270387388104278019</t>
  </si>
  <si>
    <t>1607911460524490756</t>
  </si>
  <si>
    <t>1499034449174056960</t>
  </si>
  <si>
    <t>859908698843512832</t>
  </si>
  <si>
    <t>882403578257842176</t>
  </si>
  <si>
    <t>955863946086486017</t>
  </si>
  <si>
    <t>1255095448253194240</t>
  </si>
  <si>
    <t>1390801351391825924</t>
  </si>
  <si>
    <t>1625572176643383302</t>
  </si>
  <si>
    <t>1636145829453914120</t>
  </si>
  <si>
    <t>1319011323393474561</t>
  </si>
  <si>
    <t>1638537918137487362</t>
  </si>
  <si>
    <t>1534730698011168768</t>
  </si>
  <si>
    <t>1008779104026546176</t>
  </si>
  <si>
    <t>809124436880322561</t>
  </si>
  <si>
    <t>1543784527654428674</t>
  </si>
  <si>
    <t>1006398431370399749</t>
  </si>
  <si>
    <t>1088873046784569344</t>
  </si>
  <si>
    <t>1365367800525713410</t>
  </si>
  <si>
    <t>1158115510606815232</t>
  </si>
  <si>
    <t>866795046409994241</t>
  </si>
  <si>
    <t>1120434894088364032</t>
  </si>
  <si>
    <t>1473342920367525894</t>
  </si>
  <si>
    <t>card://1670611647805759495</t>
  </si>
  <si>
    <t>card://1661916029176479744</t>
  </si>
  <si>
    <t>card://1655769800214294528</t>
  </si>
  <si>
    <t>Si : 9
No : 31</t>
  </si>
  <si>
    <t>te induzir a vender ações : 4
começar a comprar ? : 3</t>
  </si>
  <si>
    <t>SIM : 0
NÃo : 0</t>
  </si>
  <si>
    <t>2023-06-26T01:57:09Z</t>
  </si>
  <si>
    <t>2023-06-01T02:03:52Z</t>
  </si>
  <si>
    <t>2023-05-14T03:01:57Z</t>
  </si>
  <si>
    <t>Closed</t>
  </si>
  <si>
    <t>pacocabrillo</t>
  </si>
  <si>
    <t>osvaldo_gimenez</t>
  </si>
  <si>
    <t>gugalusto</t>
  </si>
  <si>
    <t>Name</t>
  </si>
  <si>
    <t>User ID</t>
  </si>
  <si>
    <t>Followers</t>
  </si>
  <si>
    <t>Followed</t>
  </si>
  <si>
    <t>Tweets</t>
  </si>
  <si>
    <t>Listed Count</t>
  </si>
  <si>
    <t>Favourites Count</t>
  </si>
  <si>
    <t>Media Count</t>
  </si>
  <si>
    <t>Verified</t>
  </si>
  <si>
    <t>Joined Twitter Date (UTC)</t>
  </si>
  <si>
    <t>Location</t>
  </si>
  <si>
    <t>Description</t>
  </si>
  <si>
    <t>URLs (Details)</t>
  </si>
  <si>
    <t>Expanded URLs (Details)</t>
  </si>
  <si>
    <t>Display URLs (Details)</t>
  </si>
  <si>
    <t>Description URLs (Details)</t>
  </si>
  <si>
    <t>Description Expanded URLs (Details)</t>
  </si>
  <si>
    <t>Description Display URLS (Details)</t>
  </si>
  <si>
    <t>Pinned Tweet ID</t>
  </si>
  <si>
    <t>URL</t>
  </si>
  <si>
    <t>Is Blue Verified</t>
  </si>
  <si>
    <t>You Are Followed By</t>
  </si>
  <si>
    <t>You Are Following</t>
  </si>
  <si>
    <t>Can DM</t>
  </si>
  <si>
    <t>Can Media Tag</t>
  </si>
  <si>
    <t>Default Profile</t>
  </si>
  <si>
    <t>Default Profile Image</t>
  </si>
  <si>
    <t>Has Custom Timelines</t>
  </si>
  <si>
    <t>Is Translator</t>
  </si>
  <si>
    <t>Profile Banner URL</t>
  </si>
  <si>
    <t>Profile Interstitial Type</t>
  </si>
  <si>
    <t>Translator Type</t>
  </si>
  <si>
    <t>Want Retweets</t>
  </si>
  <si>
    <t>Withheld</t>
  </si>
  <si>
    <t>Tweeted Search Term?</t>
  </si>
  <si>
    <t>Custom Menu Item Text</t>
  </si>
  <si>
    <t>Custom Menu Item Action</t>
  </si>
  <si>
    <t>Não pare! Siga! Siga!🌠</t>
  </si>
  <si>
    <t>Jerman Ferreyra</t>
  </si>
  <si>
    <t>Jose A. Vizner</t>
  </si>
  <si>
    <t>👨‍👩‍👧‍👦Eliecer Londoño Ruiz⚠️🐑</t>
  </si>
  <si>
    <t>RESERVAS PRESENTES.💥💔🇨🇴🖤💂🙏🔥</t>
  </si>
  <si>
    <t>negocios tv</t>
  </si>
  <si>
    <t>Política Distrital</t>
  </si>
  <si>
    <t>Central Noticias</t>
  </si>
  <si>
    <t>Investidor Theta Gang</t>
  </si>
  <si>
    <t>Marcelo Alves📢🎙️</t>
  </si>
  <si>
    <t>Itatiaia</t>
  </si>
  <si>
    <t>Luizinho Schwade 🍥</t>
  </si>
  <si>
    <t>LaSeguridadSocial.Do</t>
  </si>
  <si>
    <t>Dirección General de Presupuesto</t>
  </si>
  <si>
    <t>Luis Abinader</t>
  </si>
  <si>
    <t>Plebeu🥱</t>
  </si>
  <si>
    <t>Banco de Moçambique</t>
  </si>
  <si>
    <t>Brasil Popular</t>
  </si>
  <si>
    <t>Coweb</t>
  </si>
  <si>
    <t>Razón y Revolución - Vía Socialista</t>
  </si>
  <si>
    <t>Eduardo Sartelli</t>
  </si>
  <si>
    <t>General Patton 🇺🇸 🇨🇱</t>
  </si>
  <si>
    <t>Aboissa</t>
  </si>
  <si>
    <t>𝙳𝚒𝚘𝚗𝚊𝚕𝚍𝚘 𝙿𝚊𝚜𝚜𝚘𝚜💡</t>
  </si>
  <si>
    <t>Guarulhos Online</t>
  </si>
  <si>
    <t>Barbara Kantikas</t>
  </si>
  <si>
    <t>Cleuza B. Baptista Silva</t>
  </si>
  <si>
    <t>Jovem Pan News</t>
  </si>
  <si>
    <t>Sandro Francisco</t>
  </si>
  <si>
    <t>Beny Rubinstein, M.B.A.</t>
  </si>
  <si>
    <t>Miguel Torres</t>
  </si>
  <si>
    <t>Radar do Poder</t>
  </si>
  <si>
    <t>Rafael Moraes Moura</t>
  </si>
  <si>
    <t>Bolsonaro melhor presidente de todos os tenpo.</t>
  </si>
  <si>
    <t>Fortuna y Poder</t>
  </si>
  <si>
    <t>Moisés Cortés 🇲🇽</t>
  </si>
  <si>
    <t>InfoCobranza</t>
  </si>
  <si>
    <t>BCRA</t>
  </si>
  <si>
    <t>Que Pasa Salta</t>
  </si>
  <si>
    <t>Señor Conejo</t>
  </si>
  <si>
    <t>Joe Biden</t>
  </si>
  <si>
    <t>Saiba Já News - Repórter Jota Silva</t>
  </si>
  <si>
    <t>DIÁRIO DO VALE</t>
  </si>
  <si>
    <t>InvertixRD ™</t>
  </si>
  <si>
    <t>Gabriel Agustin Gimenez</t>
  </si>
  <si>
    <t>Comuna 13 Caba</t>
  </si>
  <si>
    <t>El Objetivo</t>
  </si>
  <si>
    <t>Rodolfo Suarez</t>
  </si>
  <si>
    <t>Guilherme Braz</t>
  </si>
  <si>
    <t>CCLA Advogados</t>
  </si>
  <si>
    <t>CANAL 26</t>
  </si>
  <si>
    <t>Banco Central de Cuba</t>
  </si>
  <si>
    <t>Balicia</t>
  </si>
  <si>
    <t>Joel Queipo Ruíz</t>
  </si>
  <si>
    <t>Rosa Cantillo</t>
  </si>
  <si>
    <t>Página Siete</t>
  </si>
  <si>
    <t>Pagosurgente Ministerio de vivienda</t>
  </si>
  <si>
    <t>La Divina Diva</t>
  </si>
  <si>
    <t>Luigino Bracci Roa 🔧🚂</t>
  </si>
  <si>
    <t>ChetuitVzla</t>
  </si>
  <si>
    <t>Indira Urbaneja</t>
  </si>
  <si>
    <t>Vladimir</t>
  </si>
  <si>
    <t>Ildemaro Moisés Villarroel</t>
  </si>
  <si>
    <t>Hábitat y Vivienda</t>
  </si>
  <si>
    <t>Karina Carpio</t>
  </si>
  <si>
    <t>Tarek William Saab</t>
  </si>
  <si>
    <t>Nicolás Maduro</t>
  </si>
  <si>
    <t>Infored21</t>
  </si>
  <si>
    <t>Sergio Massa</t>
  </si>
  <si>
    <t>Carlos Tromben</t>
  </si>
  <si>
    <t>Daniela Gabor</t>
  </si>
  <si>
    <t>M P</t>
  </si>
  <si>
    <t>E3 Noticias</t>
  </si>
  <si>
    <t>Banco Central RD</t>
  </si>
  <si>
    <t>Ruralnet</t>
  </si>
  <si>
    <t>WIT Invest | XP Investimentos</t>
  </si>
  <si>
    <t>MendoVoz</t>
  </si>
  <si>
    <t>Ecos365</t>
  </si>
  <si>
    <t>𝕏</t>
  </si>
  <si>
    <t>We❤Bitcoin</t>
  </si>
  <si>
    <t>Eduardo Guimarães</t>
  </si>
  <si>
    <t>Pr.marcos Brasil 🇧🇷</t>
  </si>
  <si>
    <t>Quebrado Na Bolsa</t>
  </si>
  <si>
    <t>Lins DoCeará🥖🌾💵 🇧🇷🌹</t>
  </si>
  <si>
    <t>Ciro PND do Brasil</t>
  </si>
  <si>
    <t>PCdoB na Câmara 🇧🇷</t>
  </si>
  <si>
    <t>Neemias Bertynos</t>
  </si>
  <si>
    <t>Matheus Spina</t>
  </si>
  <si>
    <t>analisisbrokers</t>
  </si>
  <si>
    <t>JORGE MELO</t>
  </si>
  <si>
    <t>Portal de Convênios</t>
  </si>
  <si>
    <t>Vagno Carvalho 🇺🇦</t>
  </si>
  <si>
    <t>Banco Central BR</t>
  </si>
  <si>
    <t>Finance360.com.br</t>
  </si>
  <si>
    <t>TodoCalefon</t>
  </si>
  <si>
    <t>.'</t>
  </si>
  <si>
    <t>Auditoria Cidadã da Dívida</t>
  </si>
  <si>
    <t>SENOTICIAS.COM.BR</t>
  </si>
  <si>
    <t>Sheila Campello 🚩🌳😷👩🏻‍🎨🚩</t>
  </si>
  <si>
    <t>Mauricio Arturo Muñoz Mendoza</t>
  </si>
  <si>
    <t>Exness LATAM</t>
  </si>
  <si>
    <t>Ingrid P.</t>
  </si>
  <si>
    <t>Márcio Nascimento</t>
  </si>
  <si>
    <t>Betto Manhani</t>
  </si>
  <si>
    <t>Caçador de Méqui-Comunistas</t>
  </si>
  <si>
    <t>0264Noticias</t>
  </si>
  <si>
    <t>Ronivon Souza</t>
  </si>
  <si>
    <t>jesica_st</t>
  </si>
  <si>
    <t>Juan Ignacio Boutet</t>
  </si>
  <si>
    <t>Juventud Libertaria CABA</t>
  </si>
  <si>
    <t>Gonzalo de Maicena</t>
  </si>
  <si>
    <t>Laurenys Santana</t>
  </si>
  <si>
    <t>johnjohn</t>
  </si>
  <si>
    <t>PMW Notícias</t>
  </si>
  <si>
    <t>M.Combonianos-Brasil</t>
  </si>
  <si>
    <t>Maristela</t>
  </si>
  <si>
    <t>Brasil 247</t>
  </si>
  <si>
    <t>FINCØ 🇧🇷 🚩</t>
  </si>
  <si>
    <t>Pedro Rousseff</t>
  </si>
  <si>
    <t>Edu Soares 🩵</t>
  </si>
  <si>
    <t>Ricardo Oliveira</t>
  </si>
  <si>
    <t>antonioluiz🐦🙅🥊🇧🇷🇺🇲🇮🇱</t>
  </si>
  <si>
    <t>A Janela Podcast</t>
  </si>
  <si>
    <t>El General ABE</t>
  </si>
  <si>
    <t>Periódico Invasor</t>
  </si>
  <si>
    <t>Estudios económicos</t>
  </si>
  <si>
    <t>UADE</t>
  </si>
  <si>
    <t>dECON</t>
  </si>
  <si>
    <t>Banco Interamericano de Desarrollo</t>
  </si>
  <si>
    <t>Comunicar Argentina</t>
  </si>
  <si>
    <t>Pichon de la City</t>
  </si>
  <si>
    <t>catdog</t>
  </si>
  <si>
    <t>Baum Feetlover</t>
  </si>
  <si>
    <t>Thiago dos Reis 🇧🇷</t>
  </si>
  <si>
    <t>KLA Invest</t>
  </si>
  <si>
    <t>Periódico Hoy</t>
  </si>
  <si>
    <t>Showmetech</t>
  </si>
  <si>
    <t>🤖Cyborg Patriota 🇨🇱 #EnContra</t>
  </si>
  <si>
    <t>Reuters</t>
  </si>
  <si>
    <t>Olhar Invest Economia</t>
  </si>
  <si>
    <t>Guilherme Cadeirante</t>
  </si>
  <si>
    <t>Minuto Otaku</t>
  </si>
  <si>
    <t>Luma</t>
  </si>
  <si>
    <t>liliam camargo</t>
  </si>
  <si>
    <t>Benicegenes Hamilton 🇧🇷</t>
  </si>
  <si>
    <t>Gusttavo Cárdoso</t>
  </si>
  <si>
    <t>Marcus Mendonca</t>
  </si>
  <si>
    <t>Letícia Bernardete Sestari</t>
  </si>
  <si>
    <t>Panflix</t>
  </si>
  <si>
    <t>cássiussobrinho</t>
  </si>
  <si>
    <t>Andrea Iñiguez Manso</t>
  </si>
  <si>
    <t>Sebastian Piñera</t>
  </si>
  <si>
    <t>Gabriel Boric Font</t>
  </si>
  <si>
    <t>Rádio Studio 87.7 FM Veranópolis | Studio TV</t>
  </si>
  <si>
    <t>César Tovar</t>
  </si>
  <si>
    <t>Diário do Comércio</t>
  </si>
  <si>
    <t>EQC El Quid de la Cuestión</t>
  </si>
  <si>
    <t>Empreender em Goiás</t>
  </si>
  <si>
    <t>Jose Raul Gonzalez M</t>
  </si>
  <si>
    <t>Gallup</t>
  </si>
  <si>
    <t>Mil21</t>
  </si>
  <si>
    <t>Djalma Lima Jr</t>
  </si>
  <si>
    <t>Ativos Garantem</t>
  </si>
  <si>
    <t>BNI Mozambique</t>
  </si>
  <si>
    <t>Davide Matrone</t>
  </si>
  <si>
    <t>Fabiano Lanes</t>
  </si>
  <si>
    <t>Punto a Punto</t>
  </si>
  <si>
    <t>Guido Sandleris</t>
  </si>
  <si>
    <t>Alberto Fernández</t>
  </si>
  <si>
    <t>Minha Operadora</t>
  </si>
  <si>
    <t>Tengo Libertad</t>
  </si>
  <si>
    <t>Marcos Welber</t>
  </si>
  <si>
    <t>LuisOrlando Díaz Vólquez</t>
  </si>
  <si>
    <t>Periódico El Día</t>
  </si>
  <si>
    <t>☺Zorro Plateado♬</t>
  </si>
  <si>
    <t>Máster 🇨🇱</t>
  </si>
  <si>
    <t>Valeria Melipillán</t>
  </si>
  <si>
    <t>Corporación Municipal de Quilpué</t>
  </si>
  <si>
    <t>Maureen Gubbins</t>
  </si>
  <si>
    <t>Waldicir Seelent</t>
  </si>
  <si>
    <t>Investidor_Anarquista</t>
  </si>
  <si>
    <t>FOFOQUEIRAS DOS SNIDERS</t>
  </si>
  <si>
    <t>Jornal Diário do Estado</t>
  </si>
  <si>
    <t>Daniel Rivas</t>
  </si>
  <si>
    <t>Noticias Argentinas</t>
  </si>
  <si>
    <t>Marlon Klein</t>
  </si>
  <si>
    <t>El Zurdo de Moron ⭐️⭐️⭐️</t>
  </si>
  <si>
    <t>🍃 CHIO EC 🇪🇨</t>
  </si>
  <si>
    <t>Clarito está!</t>
  </si>
  <si>
    <t>Speedy Briefing</t>
  </si>
  <si>
    <t>Ernesto De Milo</t>
  </si>
  <si>
    <t>LA NACION</t>
  </si>
  <si>
    <t>e-GLOBAL</t>
  </si>
  <si>
    <t>Rio Bravo</t>
  </si>
  <si>
    <t>Rafael Sales</t>
  </si>
  <si>
    <t>Dr. Tedeschi .</t>
  </si>
  <si>
    <t>Flavia Araujo</t>
  </si>
  <si>
    <t>HT Noticias RD</t>
  </si>
  <si>
    <t>kevin</t>
  </si>
  <si>
    <t>DIARIO PRENSA DEL INTERIOR 🇦🇷</t>
  </si>
  <si>
    <t>Auditable Consultores</t>
  </si>
  <si>
    <t>Asintomatica</t>
  </si>
  <si>
    <t>André Neuenfeldt Matté</t>
  </si>
  <si>
    <t>Pablo Spyer</t>
  </si>
  <si>
    <t>Portal O Noticiado</t>
  </si>
  <si>
    <t>diarioredes.com.ar</t>
  </si>
  <si>
    <t>Horacio Rodríguez Larreta</t>
  </si>
  <si>
    <t>El Nuevo Rebelde</t>
  </si>
  <si>
    <t>NotiEspartano</t>
  </si>
  <si>
    <t>PharmaBiz</t>
  </si>
  <si>
    <t>Berni</t>
  </si>
  <si>
    <t>Actualidad 2.0</t>
  </si>
  <si>
    <t>Raúl Figueroa</t>
  </si>
  <si>
    <t>Fred Quintanilha | Cálculo Judicial</t>
  </si>
  <si>
    <t>𝘋𝘦𝘴𝘵𝘢𝘲𝘶𝘦𝘴 𝘲𝘶𝘦 𝘪𝘮𝘱𝘰𝘳𝘵𝘢𝘮</t>
  </si>
  <si>
    <t>Nicolás Fuster ⭐️⭐️⭐️</t>
  </si>
  <si>
    <t>FRANCE 24 Español</t>
  </si>
  <si>
    <t>Fernando Marull</t>
  </si>
  <si>
    <t>RED 92</t>
  </si>
  <si>
    <t>Finance Pros S.A.S</t>
  </si>
  <si>
    <t>iG</t>
  </si>
  <si>
    <t>Bete Amaral 🇧🇷</t>
  </si>
  <si>
    <t>O Diário da Capital</t>
  </si>
  <si>
    <t>Francis</t>
  </si>
  <si>
    <t>𝑀𝑖𝑠 𝑛𝑜𝑡𝑎𝑠... 📒</t>
  </si>
  <si>
    <t>Jorge García</t>
  </si>
  <si>
    <t>Lilia Alban Wong.</t>
  </si>
  <si>
    <t>MichoRizo</t>
  </si>
  <si>
    <t>@Racumin RAT HUNTER IN🇨🇦🇨🇦🇨🇦🇨🇦🇨🇦</t>
  </si>
  <si>
    <t>America Sin Mafia Correista</t>
  </si>
  <si>
    <t>POWER</t>
  </si>
  <si>
    <t>Scorpion_stings 🦂 🇪🇨</t>
  </si>
  <si>
    <t>Tiger 💚👮‍♂️</t>
  </si>
  <si>
    <t>Se Armó el Despelote</t>
  </si>
  <si>
    <t>Valdemir Bernardes De Lima</t>
  </si>
  <si>
    <t>Crypto Times</t>
  </si>
  <si>
    <t>Dizo Bispo</t>
  </si>
  <si>
    <t>Rede Marco</t>
  </si>
  <si>
    <t>Danilo Julião | Finance 📊| Supply Chain 💼 🎯</t>
  </si>
  <si>
    <t>@salta+iva</t>
  </si>
  <si>
    <t>Arcadio P. Ramirez</t>
  </si>
  <si>
    <t>afps</t>
  </si>
  <si>
    <t>Guille Ramírez</t>
  </si>
  <si>
    <t>ROBERTO BUSTOS</t>
  </si>
  <si>
    <t>Roberto Kiltro</t>
  </si>
  <si>
    <t>martin nov</t>
  </si>
  <si>
    <t>La Posta</t>
  </si>
  <si>
    <t>Lindsay Sanchez</t>
  </si>
  <si>
    <t>BedRock™</t>
  </si>
  <si>
    <t>Roberto Vasconcellos</t>
  </si>
  <si>
    <t>Nova Era FM 97.5</t>
  </si>
  <si>
    <t>Carlos (Charlie) López 🇲🇽</t>
  </si>
  <si>
    <t>Diego Santilli</t>
  </si>
  <si>
    <t>Gledes Marques</t>
  </si>
  <si>
    <t>CNN Brasil</t>
  </si>
  <si>
    <t>CNN Economia</t>
  </si>
  <si>
    <t>Joana Guimarães</t>
  </si>
  <si>
    <t>Brian Adams</t>
  </si>
  <si>
    <t>Professor Cicero Barros1️⃣3️⃣</t>
  </si>
  <si>
    <t>Paulo França Consultoria &amp; Treinamento</t>
  </si>
  <si>
    <t>Roda de Cuia</t>
  </si>
  <si>
    <t>Carlos Villarroel</t>
  </si>
  <si>
    <t>Fatima Adelair costa</t>
  </si>
  <si>
    <t>CNN RADIO ARGENTINA AM950</t>
  </si>
  <si>
    <t>Nacho Girón</t>
  </si>
  <si>
    <t>Martín Redrado</t>
  </si>
  <si>
    <t>Su Mundo TV</t>
  </si>
  <si>
    <t>Gaceta Oficial VE</t>
  </si>
  <si>
    <t>Cinema Brasil - ICCB</t>
  </si>
  <si>
    <t>Worldsys</t>
  </si>
  <si>
    <t>Resumido.info</t>
  </si>
  <si>
    <t>Den Di</t>
  </si>
  <si>
    <t>El Bonaerense</t>
  </si>
  <si>
    <t>Amelia Vivi Escudero</t>
  </si>
  <si>
    <t>Martín Yeza</t>
  </si>
  <si>
    <t>Cami Saez</t>
  </si>
  <si>
    <t>Ministerio de las Culturas</t>
  </si>
  <si>
    <t>Diario Crónica</t>
  </si>
  <si>
    <t>Rulo</t>
  </si>
  <si>
    <t>Noticias SIN</t>
  </si>
  <si>
    <t>Alicia Ortega Hasbun</t>
  </si>
  <si>
    <t>Víctor Bautista</t>
  </si>
  <si>
    <t>RONALDO CABRERA</t>
  </si>
  <si>
    <t>CeliEugenia💫</t>
  </si>
  <si>
    <t>Region Cultural</t>
  </si>
  <si>
    <t>Matheus Quacchio Lins</t>
  </si>
  <si>
    <t>Fenae</t>
  </si>
  <si>
    <t>Maristela!!</t>
  </si>
  <si>
    <t>Josias Gomes</t>
  </si>
  <si>
    <t>Jose Pastrian</t>
  </si>
  <si>
    <t>Diario Financiero</t>
  </si>
  <si>
    <t>Casandra61</t>
  </si>
  <si>
    <t>Kevin Morillo</t>
  </si>
  <si>
    <t>Cada día después de éste, es un regalo. PELEA!!!</t>
  </si>
  <si>
    <t>Sergio Ulloa 🇨🇱</t>
  </si>
  <si>
    <t>Roberto Motta</t>
  </si>
  <si>
    <t>Ann</t>
  </si>
  <si>
    <t>Mídia Informal</t>
  </si>
  <si>
    <t>Informe RJO</t>
  </si>
  <si>
    <t>Portal Serra Dourada News</t>
  </si>
  <si>
    <t>TiagoRobertoFinancas</t>
  </si>
  <si>
    <t>BRAVO N!US</t>
  </si>
  <si>
    <t>Javier Borelli</t>
  </si>
  <si>
    <t>Lorena Toso 💚</t>
  </si>
  <si>
    <t>Canal C Córdoba</t>
  </si>
  <si>
    <t>Edmar</t>
  </si>
  <si>
    <t>7 Días RD</t>
  </si>
  <si>
    <t>Thata | 💜🌙 🍊</t>
  </si>
  <si>
    <t>iti</t>
  </si>
  <si>
    <t>Itaú</t>
  </si>
  <si>
    <t>Leño Soydelejido</t>
  </si>
  <si>
    <t>Val..Patriota 🇧🇷2⃣2⃣</t>
  </si>
  <si>
    <t>ⓟ Ademir Pina</t>
  </si>
  <si>
    <t>Metrópoles</t>
  </si>
  <si>
    <t>Portal Dia</t>
  </si>
  <si>
    <t>Joaquín de la Torre</t>
  </si>
  <si>
    <t>Cris 💙🐺💙</t>
  </si>
  <si>
    <t>LeoMorenno</t>
  </si>
  <si>
    <t>ronny</t>
  </si>
  <si>
    <t>Manu Villagra Romero</t>
  </si>
  <si>
    <t>Santander Argentina</t>
  </si>
  <si>
    <t>Noticias Live Chile</t>
  </si>
  <si>
    <t>Teddy Open Finance</t>
  </si>
  <si>
    <t>Rafael Moura</t>
  </si>
  <si>
    <t>Seu Dinheiro</t>
  </si>
  <si>
    <t>Glaucia</t>
  </si>
  <si>
    <t>Política Argentina</t>
  </si>
  <si>
    <t>Nickname troff!!</t>
  </si>
  <si>
    <t>Congresso Nacional</t>
  </si>
  <si>
    <t>Folha de S.Paulo</t>
  </si>
  <si>
    <t>Bira Dantas</t>
  </si>
  <si>
    <t>Canal 10 Córdoba</t>
  </si>
  <si>
    <t>Coins Topics</t>
  </si>
  <si>
    <t>CLÁUDIO M.B.</t>
  </si>
  <si>
    <t>Lado.mx</t>
  </si>
  <si>
    <t>Forte Cultural 🚩💉🎶🎭🔴 ⬅️🇧🇷🇦🇷 Botafogo</t>
  </si>
  <si>
    <t>Gustavo Lopes • Dr. do Trade</t>
  </si>
  <si>
    <t>Jornal Contábil</t>
  </si>
  <si>
    <t>NewCapital Securities</t>
  </si>
  <si>
    <t>Chavo M.R.</t>
  </si>
  <si>
    <t>Demos Argentina</t>
  </si>
  <si>
    <t>JxC Juntos por el Cambio</t>
  </si>
  <si>
    <t>La Libertad Avanza</t>
  </si>
  <si>
    <t>Paul Canelon</t>
  </si>
  <si>
    <t>CUT São Paulo</t>
  </si>
  <si>
    <t>CUT Brasil</t>
  </si>
  <si>
    <t>Bolsa Inteligente</t>
  </si>
  <si>
    <t>Agenda 4P</t>
  </si>
  <si>
    <t>rone fredson</t>
  </si>
  <si>
    <t>BingX Português</t>
  </si>
  <si>
    <t>Fernando M Villela</t>
  </si>
  <si>
    <t>Data Diario</t>
  </si>
  <si>
    <t>C5N</t>
  </si>
  <si>
    <t>Mateo Cruz</t>
  </si>
  <si>
    <t>El Machete Peru</t>
  </si>
  <si>
    <t>Money Markets</t>
  </si>
  <si>
    <t>Maribel Fernandez</t>
  </si>
  <si>
    <t>Jornal Metropolitano</t>
  </si>
  <si>
    <t>ET Confederado 👽</t>
  </si>
  <si>
    <t>Sergio Villa Nova</t>
  </si>
  <si>
    <t>LEYDSON</t>
  </si>
  <si>
    <t>♪ Kristy Nathaly Rodríguez Cuevas♪</t>
  </si>
  <si>
    <t>#RDPorLoAlto🇩🇴</t>
  </si>
  <si>
    <t>victor dume</t>
  </si>
  <si>
    <t>Arajet</t>
  </si>
  <si>
    <t>Elida Almonte Vega</t>
  </si>
  <si>
    <t>Sonya 💕🇧🇷🇧🇷</t>
  </si>
  <si>
    <t>Elias Buggmann</t>
  </si>
  <si>
    <t>Arturo</t>
  </si>
  <si>
    <t>Reyniel Mirabal Nuñez</t>
  </si>
  <si>
    <t>Ezequiel</t>
  </si>
  <si>
    <t>Lula</t>
  </si>
  <si>
    <t>Passivamente Ativa</t>
  </si>
  <si>
    <t>PicPay 💚</t>
  </si>
  <si>
    <t>JW News</t>
  </si>
  <si>
    <t>Soy Independiente</t>
  </si>
  <si>
    <t>Wellington Damasceno</t>
  </si>
  <si>
    <t>Luiz Flávio Curvelo</t>
  </si>
  <si>
    <t>Carlos Gratereaux Hernández</t>
  </si>
  <si>
    <t>José Peguero</t>
  </si>
  <si>
    <t>Raphael Machado</t>
  </si>
  <si>
    <t>Simone Tebet</t>
  </si>
  <si>
    <t>Fernando Haddad</t>
  </si>
  <si>
    <t>Jornale</t>
  </si>
  <si>
    <t>Rádio Jornal</t>
  </si>
  <si>
    <t>Roberto Dardis</t>
  </si>
  <si>
    <t>Fenrir</t>
  </si>
  <si>
    <t>Mais News</t>
  </si>
  <si>
    <t>VIUU</t>
  </si>
  <si>
    <t>Pablo Ulloa</t>
  </si>
  <si>
    <t>Defensor del Pueblo</t>
  </si>
  <si>
    <t>El Círculo TV</t>
  </si>
  <si>
    <t>Fórum Permanente em Defesa do Serviço Público</t>
  </si>
  <si>
    <t>Revista Trinchera</t>
  </si>
  <si>
    <t>Perfil.com Brasil</t>
  </si>
  <si>
    <t>Baires Para Todos</t>
  </si>
  <si>
    <t>Blog do Juares</t>
  </si>
  <si>
    <t>Diputados Bonaerenses</t>
  </si>
  <si>
    <t>🦑🏅👍🌈☀️😍</t>
  </si>
  <si>
    <t>Osmel Ernesto</t>
  </si>
  <si>
    <t>Nazara 🇦🇷</t>
  </si>
  <si>
    <t>Julia Strada</t>
  </si>
  <si>
    <t>Que Conta É Essa?</t>
  </si>
  <si>
    <t>vbgimenez</t>
  </si>
  <si>
    <t>Chiqui Avalos 🇵🇾</t>
  </si>
  <si>
    <t>Canal E</t>
  </si>
  <si>
    <t>Hernán de Vommaro</t>
  </si>
  <si>
    <t>Martín Nicolás Mena</t>
  </si>
  <si>
    <t>Mechi Learning</t>
  </si>
  <si>
    <t>Ariel Coremberg</t>
  </si>
  <si>
    <t>José Pepe Gil Vidal</t>
  </si>
  <si>
    <t>Libertadyprogreso</t>
  </si>
  <si>
    <t>Aldo Abram</t>
  </si>
  <si>
    <t>Osvaldo H. Bassano</t>
  </si>
  <si>
    <t>El lobo bueno de la city</t>
  </si>
  <si>
    <t>Ariel Maciel</t>
  </si>
  <si>
    <t>Damián Di Pace</t>
  </si>
  <si>
    <t>Mariano Gorodisch</t>
  </si>
  <si>
    <t>Miguel Ponce</t>
  </si>
  <si>
    <t>JUAN PIMENTEL</t>
  </si>
  <si>
    <t>Thalles Mondin</t>
  </si>
  <si>
    <t>Silas Vogt</t>
  </si>
  <si>
    <t>Carlos Targon</t>
  </si>
  <si>
    <t>Rogerio B 🇧🇷🚩</t>
  </si>
  <si>
    <t>Marciano Brito ☆ 🚩☆🚩☆🚩</t>
  </si>
  <si>
    <t>SonarTrade</t>
  </si>
  <si>
    <t>GermánG</t>
  </si>
  <si>
    <t>Investidores Brasil Oficial</t>
  </si>
  <si>
    <t>TIA DO ZAP</t>
  </si>
  <si>
    <t>Eixo Político</t>
  </si>
  <si>
    <t>Gleisi Hoffmann</t>
  </si>
  <si>
    <t>Matrix Global FX</t>
  </si>
  <si>
    <t>Alimikaok</t>
  </si>
  <si>
    <t>2080 - 2081 🇲🇿</t>
  </si>
  <si>
    <t>Diniz Camargo</t>
  </si>
  <si>
    <t>vector ⚛️</t>
  </si>
  <si>
    <t>Noticias de Impacto</t>
  </si>
  <si>
    <t>Leonel Fernández</t>
  </si>
  <si>
    <t>Susy Fiu</t>
  </si>
  <si>
    <t>Central de Concursos</t>
  </si>
  <si>
    <t>Noticiasdel6.com</t>
  </si>
  <si>
    <t>Eugenio Soto</t>
  </si>
  <si>
    <t>Nicolás Paut</t>
  </si>
  <si>
    <t>Broadcast</t>
  </si>
  <si>
    <t>Marcelo Kfoury</t>
  </si>
  <si>
    <t>Nilto Tatto 🍀 na reconstrução do Brasil 🇧🇷</t>
  </si>
  <si>
    <t>revista piauí</t>
  </si>
  <si>
    <t>Dunas Capital</t>
  </si>
  <si>
    <t>Satoshi Nakamoto</t>
  </si>
  <si>
    <t>SevdaBekirova</t>
  </si>
  <si>
    <t>CPQD</t>
  </si>
  <si>
    <t>Carlos Carvalho Alfr</t>
  </si>
  <si>
    <t>GloboNews</t>
  </si>
  <si>
    <t>Erick Bang</t>
  </si>
  <si>
    <t>Elisabete Pacheco</t>
  </si>
  <si>
    <t>marcelocosme</t>
  </si>
  <si>
    <t>Estúdio i</t>
  </si>
  <si>
    <t>Daniel Sousa</t>
  </si>
  <si>
    <t>Nilson Klava</t>
  </si>
  <si>
    <t>HOJE Bahia</t>
  </si>
  <si>
    <t>Noticias de Cruceros🚢🌎</t>
  </si>
  <si>
    <t>Pαßℓø( パブロ )</t>
  </si>
  <si>
    <t>Rosangela leme</t>
  </si>
  <si>
    <t>E-Investidor</t>
  </si>
  <si>
    <t>Fundacion Chile 21</t>
  </si>
  <si>
    <t>Foro para un Desarrollo Justo y Sostenible</t>
  </si>
  <si>
    <t>Martín Kalos</t>
  </si>
  <si>
    <t>Fernando Peirano</t>
  </si>
  <si>
    <t>NTSP - Plataforma de información para las derechas</t>
  </si>
  <si>
    <t>Daniel φ</t>
  </si>
  <si>
    <t>Rosario Contreras</t>
  </si>
  <si>
    <t>Higor Santos🇧🇷🇧🇷🇧🇷</t>
  </si>
  <si>
    <t>Esʀᴏɴ Mᴇɴᴇᴢᴇs</t>
  </si>
  <si>
    <t>Tatiana Revoredo</t>
  </si>
  <si>
    <t>Rádio CBN</t>
  </si>
  <si>
    <t>Lauro Jardim</t>
  </si>
  <si>
    <t>Jornal da CBN</t>
  </si>
  <si>
    <t>RedeTV!</t>
  </si>
  <si>
    <t>Notícias RedeTV</t>
  </si>
  <si>
    <t>Estoa</t>
  </si>
  <si>
    <t>Arrcanjjo🔊</t>
  </si>
  <si>
    <t>Rodrigo Correa, CFA</t>
  </si>
  <si>
    <t>Nomos - Melhores Investidores</t>
  </si>
  <si>
    <t>Reginaldo Colbert 🚩🇧🇷</t>
  </si>
  <si>
    <t>Julia Olhares</t>
  </si>
  <si>
    <t>ATE Río Negro</t>
  </si>
  <si>
    <t>Jornal do Commercio</t>
  </si>
  <si>
    <t>Thiago Lucas</t>
  </si>
  <si>
    <t>Brito</t>
  </si>
  <si>
    <t>Radio Jujuy Libre</t>
  </si>
  <si>
    <t>Javier Milei</t>
  </si>
  <si>
    <t>Alvero Neiva</t>
  </si>
  <si>
    <t>FEBRABAN</t>
  </si>
  <si>
    <t>Fiesp</t>
  </si>
  <si>
    <t>Câmara dos Deputados</t>
  </si>
  <si>
    <t>Senado Federal</t>
  </si>
  <si>
    <t>Felipe D'Avila</t>
  </si>
  <si>
    <t>97.3 mhz Posadas ⭐️⭐️⭐️</t>
  </si>
  <si>
    <t>Trading Alerts ®</t>
  </si>
  <si>
    <t>Jovem Pan Entretenimento</t>
  </si>
  <si>
    <t>Copuchento🇨🇱🇨🇱🇨🇱🏔🌊</t>
  </si>
  <si>
    <t>Star Capital</t>
  </si>
  <si>
    <t>Mario Casalongue</t>
  </si>
  <si>
    <t>Gobierno de Córdoba</t>
  </si>
  <si>
    <t>Juan Schiaretti</t>
  </si>
  <si>
    <t>Enrique marcelo Wacker</t>
  </si>
  <si>
    <t>iBahia</t>
  </si>
  <si>
    <t>Federación Comercial de Córdoba</t>
  </si>
  <si>
    <t>Periódico Hechos News</t>
  </si>
  <si>
    <t>ProDominicana</t>
  </si>
  <si>
    <t>Cadeca Cuba</t>
  </si>
  <si>
    <t>BarzelBrit</t>
  </si>
  <si>
    <t>Gorila</t>
  </si>
  <si>
    <t>🇨🇱 Noticias para patriotas</t>
  </si>
  <si>
    <t>Contraponto</t>
  </si>
  <si>
    <t>Augusto Tuy</t>
  </si>
  <si>
    <t>lei do povo</t>
  </si>
  <si>
    <t>Álvaro Cepeda-Ortiz</t>
  </si>
  <si>
    <t>Kanygia Faria</t>
  </si>
  <si>
    <t>Ghost inversion</t>
  </si>
  <si>
    <t>Jorge Ferreira, CFA, Me.</t>
  </si>
  <si>
    <t>Ricardo Amorim</t>
  </si>
  <si>
    <t>Eliete Alves</t>
  </si>
  <si>
    <t>Principales Noticias</t>
  </si>
  <si>
    <t>Agência Sertão</t>
  </si>
  <si>
    <t>Programa Pânico</t>
  </si>
  <si>
    <t>Leo Siqueira</t>
  </si>
  <si>
    <t>Mario Estay</t>
  </si>
  <si>
    <t>Arturo Claro</t>
  </si>
  <si>
    <t>Ernesto</t>
  </si>
  <si>
    <t>ElBuni</t>
  </si>
  <si>
    <t>Economista De Bar 🇧🇷</t>
  </si>
  <si>
    <t>Alejandro Egea</t>
  </si>
  <si>
    <t>Iguazu Ahora</t>
  </si>
  <si>
    <t>L.C.S. 🌳</t>
  </si>
  <si>
    <t>Vial del 38%</t>
  </si>
  <si>
    <t>Daniel Nuñez A.</t>
  </si>
  <si>
    <t>Cooperativa</t>
  </si>
  <si>
    <t>The Babikian Post</t>
  </si>
  <si>
    <t>Rodrigo Agüero ⭐⭐⭐</t>
  </si>
  <si>
    <t>Filo.news</t>
  </si>
  <si>
    <t>Claudio Ayala</t>
  </si>
  <si>
    <t>News Piauí</t>
  </si>
  <si>
    <t>Cuba 🇨🇺 en Resumen</t>
  </si>
  <si>
    <t>The Mexico Post 🇲🇽</t>
  </si>
  <si>
    <t>esglobal</t>
  </si>
  <si>
    <t>Andrea López Pastor</t>
  </si>
  <si>
    <t>Somos Fan</t>
  </si>
  <si>
    <t>Daniel</t>
  </si>
  <si>
    <t>amelia 😸</t>
  </si>
  <si>
    <t>InfoVeritas</t>
  </si>
  <si>
    <t>Noriega Group</t>
  </si>
  <si>
    <t>Jorge Oscar de la Osa Gómez</t>
  </si>
  <si>
    <t>Cubadebate</t>
  </si>
  <si>
    <t>Jornal O Dia</t>
  </si>
  <si>
    <t>Rádio Câmara</t>
  </si>
  <si>
    <t>(Agente DEL-X) DPFL NEWS</t>
  </si>
  <si>
    <t>Podemos no Senado</t>
  </si>
  <si>
    <t>Senador Oriovisto Guimarães</t>
  </si>
  <si>
    <t>Manteniendo la linea</t>
  </si>
  <si>
    <t>Banhcafe</t>
  </si>
  <si>
    <t>🏠🇧🇷Bianca Marques Consultora Imobiliária</t>
  </si>
  <si>
    <t>LT10</t>
  </si>
  <si>
    <t>Marcusajr.eth | Learninglab | TheDolls</t>
  </si>
  <si>
    <t>InfoRegión</t>
  </si>
  <si>
    <t>Soledad Vignolo M.</t>
  </si>
  <si>
    <t>Tiago Pereira</t>
  </si>
  <si>
    <t>Con Sello Patagonico</t>
  </si>
  <si>
    <t>Periodismo Libre</t>
  </si>
  <si>
    <t>Pedro Saraiva</t>
  </si>
  <si>
    <t>InfopaisRD</t>
  </si>
  <si>
    <t>Juan Dicent</t>
  </si>
  <si>
    <t>Whalegram</t>
  </si>
  <si>
    <t>Júlia Lucy</t>
  </si>
  <si>
    <t>Jorge Bazan</t>
  </si>
  <si>
    <t>Pablo Rossi</t>
  </si>
  <si>
    <t>María Laura Santillán</t>
  </si>
  <si>
    <t>Roberto García Moritán</t>
  </si>
  <si>
    <t>La Nación Más</t>
  </si>
  <si>
    <t>Rodrigo Mansilla</t>
  </si>
  <si>
    <t>Victor Marques</t>
  </si>
  <si>
    <t>Blog P. da Notícia</t>
  </si>
  <si>
    <t>Andre Torres</t>
  </si>
  <si>
    <t>Diario El Centro</t>
  </si>
  <si>
    <t>Rony Feeney Krause</t>
  </si>
  <si>
    <t>𝔸𝕦𝕣𝕖𝕠 ℕ𝕙𝕒𝕔𝕒</t>
  </si>
  <si>
    <t>Humberto Mayoral Valdivia</t>
  </si>
  <si>
    <t>YouTube</t>
  </si>
  <si>
    <t>Banco de México</t>
  </si>
  <si>
    <t>P A H I M</t>
  </si>
  <si>
    <t>Prof. Welliton Resende</t>
  </si>
  <si>
    <t>Manaus Olímpica</t>
  </si>
  <si>
    <t>Reinaldo Rodrigues</t>
  </si>
  <si>
    <t>Cachorro Mordido</t>
  </si>
  <si>
    <t>GP1</t>
  </si>
  <si>
    <t>Coiote Abdon</t>
  </si>
  <si>
    <t>Juliana Rosa</t>
  </si>
  <si>
    <t>JornadaCapital</t>
  </si>
  <si>
    <t>Nike</t>
  </si>
  <si>
    <t>Portal R7.com</t>
  </si>
  <si>
    <t>Jair Walter</t>
  </si>
  <si>
    <t>Jair M. Bolsonaro</t>
  </si>
  <si>
    <t>Vove Tucumán</t>
  </si>
  <si>
    <t>Luiz com Z 🚩</t>
  </si>
  <si>
    <t>Netto</t>
  </si>
  <si>
    <t>EU CONFIO NO LULA 🤝 FIZ O L 💅</t>
  </si>
  <si>
    <t>🔥XANDE OBSESSOR🔥</t>
  </si>
  <si>
    <t>Ladrão 𝓑𝓸𝓵𝓼𝓸𝓷𝓪𝓻𝓸 𝓷𝓪 𝓒𝓪𝓭𝓮𝓲a</t>
  </si>
  <si>
    <t>A Copel era Nossa</t>
  </si>
  <si>
    <t>Naziscore</t>
  </si>
  <si>
    <t>Cídya Mara🚩🚩</t>
  </si>
  <si>
    <t>Rosalia Martins Battistin</t>
  </si>
  <si>
    <t>🅱🅴🅻🅲🅷🅸🅼ó🆁</t>
  </si>
  <si>
    <t>Maria Cleunice🇧🇷🥘🍖🚘🏡🏥🧑‍🎓🙏♥️♥️</t>
  </si>
  <si>
    <t>Laelson Alves</t>
  </si>
  <si>
    <t>Abraão Faisca</t>
  </si>
  <si>
    <t>Lê 🚩🚩🚩</t>
  </si>
  <si>
    <t>Lula Presidente da República: Brasil Feliz!</t>
  </si>
  <si>
    <t>Waniacbot Lula Presidente.Democracia Sempre.🚩🚩</t>
  </si>
  <si>
    <t>Luciene Cristina Urb</t>
  </si>
  <si>
    <t>paulo quinti🚩🚩🚩🚩</t>
  </si>
  <si>
    <t>honor 😻</t>
  </si>
  <si>
    <t>J.Matias</t>
  </si>
  <si>
    <t>UnsionTV</t>
  </si>
  <si>
    <t>Adriano Teixeira</t>
  </si>
  <si>
    <t>Randolfe Rodrigues</t>
  </si>
  <si>
    <t>Mostrador Mercados</t>
  </si>
  <si>
    <t>Olhar Jus</t>
  </si>
  <si>
    <t>Más Energía</t>
  </si>
  <si>
    <t>EDN TV HN</t>
  </si>
  <si>
    <t>Psico.Anereuda Santos</t>
  </si>
  <si>
    <t>HugoRoldan</t>
  </si>
  <si>
    <t>Pedro Faria</t>
  </si>
  <si>
    <t>Guillermo Dezenov</t>
  </si>
  <si>
    <t>Teresa Nacli</t>
  </si>
  <si>
    <t>O Tempo</t>
  </si>
  <si>
    <t>SP AGORA</t>
  </si>
  <si>
    <t>Rádio Gazeta Online</t>
  </si>
  <si>
    <t>5 Mentarium</t>
  </si>
  <si>
    <t>F®️ancisca Aldunate</t>
  </si>
  <si>
    <t>#CONTEE</t>
  </si>
  <si>
    <t>Noticias Telemicro</t>
  </si>
  <si>
    <t>🆑 🇧🇷✨</t>
  </si>
  <si>
    <t>Informe Blumenau</t>
  </si>
  <si>
    <t>Ticia Aman</t>
  </si>
  <si>
    <t>Brutus</t>
  </si>
  <si>
    <t>Crypto tips</t>
  </si>
  <si>
    <t>GEFF - Conjuntura Econômica</t>
  </si>
  <si>
    <t>Contrapoder</t>
  </si>
  <si>
    <t>Jilmar Tatto</t>
  </si>
  <si>
    <t>@florsete #podcast #130 countries #…</t>
  </si>
  <si>
    <t>Rosangela Moro</t>
  </si>
  <si>
    <t>Carlos Teles</t>
  </si>
  <si>
    <t>Consenso del Mercado</t>
  </si>
  <si>
    <t>Renta 4</t>
  </si>
  <si>
    <t>Morgan Stanley</t>
  </si>
  <si>
    <t>Merkez Bankası</t>
  </si>
  <si>
    <t>Reserve Bank of Australia</t>
  </si>
  <si>
    <t>BrasilNFT</t>
  </si>
  <si>
    <t>JC Concursos | Jornal dos Concursos</t>
  </si>
  <si>
    <t>@ElCatmanOk😼⭐️⭐️⭐️🇦🇷</t>
  </si>
  <si>
    <t>Rochester Jezini</t>
  </si>
  <si>
    <t>Tec. Carl☀s A. S☀sa🇦🇷🇧🇷🇨🇺🇷🇺🇨🇳</t>
  </si>
  <si>
    <t>Ancelmo Ramos</t>
  </si>
  <si>
    <t>NEA HOY</t>
  </si>
  <si>
    <t>Bruno Adriano Ramos</t>
  </si>
  <si>
    <t>AlexanderUt/Especialización en Gestión de las Arte</t>
  </si>
  <si>
    <t>PoeTwittar 🚩🇵🇪 🐷</t>
  </si>
  <si>
    <t>Central da Política</t>
  </si>
  <si>
    <t>Tierramarillano Chile</t>
  </si>
  <si>
    <t>Salta al Día Noticias</t>
  </si>
  <si>
    <t>netsysmX</t>
  </si>
  <si>
    <t>Ivan Santos</t>
  </si>
  <si>
    <t>Samuel Acosta</t>
  </si>
  <si>
    <t>Banco Central del Paraguay</t>
  </si>
  <si>
    <t>Diamond Brasil</t>
  </si>
  <si>
    <t>Logística Ecuatoriana de Carga LEC S.C.C</t>
  </si>
  <si>
    <t>Algenis Carreras</t>
  </si>
  <si>
    <t>Empresa Provincial de Alojamiento Camagüey</t>
  </si>
  <si>
    <t>Felipe Florêncio | Cientista Político</t>
  </si>
  <si>
    <t>El Confidencial Online</t>
  </si>
  <si>
    <t>abcagora</t>
  </si>
  <si>
    <t>José Carlos do Nascimento</t>
  </si>
  <si>
    <t>Rosa Correa Ibarra</t>
  </si>
  <si>
    <t>FGMEDIA.cl Aeronáutica y Militar</t>
  </si>
  <si>
    <t>Marcos Manguelli</t>
  </si>
  <si>
    <t>Radar 24</t>
  </si>
  <si>
    <t>Álvaro Nass</t>
  </si>
  <si>
    <t>Cristóbal Ríos</t>
  </si>
  <si>
    <t>Fernando de la Costa</t>
  </si>
  <si>
    <t>facupa.</t>
  </si>
  <si>
    <t>DeÚltimaHoraRD</t>
  </si>
  <si>
    <t>Cuna de la Noticia</t>
  </si>
  <si>
    <t>Estudios Públicos</t>
  </si>
  <si>
    <t>Entrelinhas Goiás</t>
  </si>
  <si>
    <t>La República</t>
  </si>
  <si>
    <t>Brasil 61</t>
  </si>
  <si>
    <t>The Money Post</t>
  </si>
  <si>
    <t>Smartbrain</t>
  </si>
  <si>
    <t>Michelle D. Guzman</t>
  </si>
  <si>
    <t>Arabia Watch</t>
  </si>
  <si>
    <t>Miguel Daoud</t>
  </si>
  <si>
    <t>Maru -PEKA 2016</t>
  </si>
  <si>
    <t>LUIZOC</t>
  </si>
  <si>
    <t>ADN Inversionista | Blog de Inversiones | Acciones</t>
  </si>
  <si>
    <t>El Mercurio Invers.</t>
  </si>
  <si>
    <t>Alejandro Rodríguez Rodríguez</t>
  </si>
  <si>
    <t>SindBancários POA</t>
  </si>
  <si>
    <t>Alegría 🇪🇨</t>
  </si>
  <si>
    <t>Baires En Línea</t>
  </si>
  <si>
    <t>RintarouFX</t>
  </si>
  <si>
    <t>Sergio Machado (CONTA NOVA)</t>
  </si>
  <si>
    <t>Grupo Recupera Brasil</t>
  </si>
  <si>
    <t>Córdoba Ahora!</t>
  </si>
  <si>
    <t>LA CIELO 103.5</t>
  </si>
  <si>
    <t>Jorge Kurrle</t>
  </si>
  <si>
    <t>Dolar Lido</t>
  </si>
  <si>
    <t>Jornal Meia Hora</t>
  </si>
  <si>
    <t>Tag Notícias</t>
  </si>
  <si>
    <t>Roberson Cassol</t>
  </si>
  <si>
    <t>Ana Maria Leme Teixeira</t>
  </si>
  <si>
    <t>voces101.5fm</t>
  </si>
  <si>
    <t>Jurandir Socoloski</t>
  </si>
  <si>
    <t>Gylk Vieira ✠</t>
  </si>
  <si>
    <t>El Círculo</t>
  </si>
  <si>
    <t>Mediabanco</t>
  </si>
  <si>
    <t>Hablemos de Politica</t>
  </si>
  <si>
    <t>El Cuco Digital</t>
  </si>
  <si>
    <t>Revista Seleções</t>
  </si>
  <si>
    <t>Jose Iran 🇧🇷🌹🌵☘💉</t>
  </si>
  <si>
    <t>Ciro Gomes</t>
  </si>
  <si>
    <t>@themarket</t>
  </si>
  <si>
    <t>Xiomara Lara</t>
  </si>
  <si>
    <t>tony Gomez</t>
  </si>
  <si>
    <t>cba24n Oficial</t>
  </si>
  <si>
    <t>ConteoLF2024</t>
  </si>
  <si>
    <t>Voz da Turquia</t>
  </si>
  <si>
    <t>Mashca 99</t>
  </si>
  <si>
    <t>Revolución Ciudadana</t>
  </si>
  <si>
    <t>Andrés Arauz</t>
  </si>
  <si>
    <t>INVERSOR ARGENTINO</t>
  </si>
  <si>
    <t>Central FM - Oficial</t>
  </si>
  <si>
    <t>Miriam Acuña</t>
  </si>
  <si>
    <t>Jornal Dia Dia MS</t>
  </si>
  <si>
    <t>Azvision Español</t>
  </si>
  <si>
    <t>Chico</t>
  </si>
  <si>
    <t>Roxana Conci💟</t>
  </si>
  <si>
    <t>Perfil Córdoba</t>
  </si>
  <si>
    <t>Sebastián</t>
  </si>
  <si>
    <t>Gerardo Ureta Campos</t>
  </si>
  <si>
    <t>Revista Fórum</t>
  </si>
  <si>
    <t>OniVoraz</t>
  </si>
  <si>
    <t>Bruno Alef RP</t>
  </si>
  <si>
    <t>ProConsumidor</t>
  </si>
  <si>
    <t>Procon-RJ</t>
  </si>
  <si>
    <t>Procon-SP</t>
  </si>
  <si>
    <t>Marcos</t>
  </si>
  <si>
    <t>Carmem 🌗</t>
  </si>
  <si>
    <t>99Pay</t>
  </si>
  <si>
    <t>Reclame AQUI</t>
  </si>
  <si>
    <t>Autor Bruno Rocha</t>
  </si>
  <si>
    <t>Diario Libre</t>
  </si>
  <si>
    <t>Elvis</t>
  </si>
  <si>
    <t>Toni R E Santos</t>
  </si>
  <si>
    <t>AnaDeportes</t>
  </si>
  <si>
    <t>Dani Franco</t>
  </si>
  <si>
    <t>Canal Bola de CAPOTÃO - Prof. PR</t>
  </si>
  <si>
    <t>oni freire</t>
  </si>
  <si>
    <t>El Diario</t>
  </si>
  <si>
    <t>BolsaDeTeleTrabajo.com</t>
  </si>
  <si>
    <t>Miguel Braun</t>
  </si>
  <si>
    <t>Información Mercados</t>
  </si>
  <si>
    <t>Money Times</t>
  </si>
  <si>
    <t>Nueva Data</t>
  </si>
  <si>
    <t>jorge</t>
  </si>
  <si>
    <t>🇪🇨 La Data Ec</t>
  </si>
  <si>
    <t>RIC Notícias 24h</t>
  </si>
  <si>
    <t>A la Estratósfera</t>
  </si>
  <si>
    <t>Jano</t>
  </si>
  <si>
    <t>Manuel Cofré Suárez</t>
  </si>
  <si>
    <t>Chāmī-Paisen</t>
  </si>
  <si>
    <t>Jucamorro6</t>
  </si>
  <si>
    <t>Daniel Suchar Zomer</t>
  </si>
  <si>
    <t>i am golsi</t>
  </si>
  <si>
    <t>Mercado Pago</t>
  </si>
  <si>
    <t>Marcos Galperin</t>
  </si>
  <si>
    <t>𝔼𝕤𝕡𝕒𝕟̃𝕒 𝔼𝕟 ℝ𝕦𝕚𝕟𝕒𝕤 🇺🇦 🖤🌾</t>
  </si>
  <si>
    <t>Christine Lagarde</t>
  </si>
  <si>
    <t>European Central Bank</t>
  </si>
  <si>
    <t>Sindviários/CUT</t>
  </si>
  <si>
    <t>antonio ricardo correa</t>
  </si>
  <si>
    <t>Van Liberdade</t>
  </si>
  <si>
    <t>Jornal da Cidade Online</t>
  </si>
  <si>
    <t>Revista Oeste</t>
  </si>
  <si>
    <t>Gazeta do Povo</t>
  </si>
  <si>
    <t>Gazeta Brasil</t>
  </si>
  <si>
    <t>Rogério Marinho🇧🇷</t>
  </si>
  <si>
    <t>Eduardo Bolsonaro🇧🇷</t>
  </si>
  <si>
    <t>Carlos Bolsonaro</t>
  </si>
  <si>
    <t>Carlos Jordy</t>
  </si>
  <si>
    <t>🇧🇷 VLOGDOLISBOA</t>
  </si>
  <si>
    <t>Arthur Virgílio</t>
  </si>
  <si>
    <t>Chileno 🇨🇱</t>
  </si>
  <si>
    <t>Mona Good Vibes 🦋</t>
  </si>
  <si>
    <t>Sandro Moraes</t>
  </si>
  <si>
    <t>Vanda Lucia de Souza Borges</t>
  </si>
  <si>
    <t>Rose Rios</t>
  </si>
  <si>
    <t>Edmilson Papo 10</t>
  </si>
  <si>
    <t>Nexos Tucumán</t>
  </si>
  <si>
    <t>C&amp;M Software BR</t>
  </si>
  <si>
    <t>PlanBit</t>
  </si>
  <si>
    <t>A24</t>
  </si>
  <si>
    <t>🍀༻Кагꭑеηхυ༺🍓</t>
  </si>
  <si>
    <t>Fabrício Veloso</t>
  </si>
  <si>
    <t>GenteBA</t>
  </si>
  <si>
    <t>ICEX Croacia</t>
  </si>
  <si>
    <t>Cnj</t>
  </si>
  <si>
    <t>Prof.Marco Antonio Villa</t>
  </si>
  <si>
    <t>Fetraf - RJ/ES</t>
  </si>
  <si>
    <t>Nilton Esperança</t>
  </si>
  <si>
    <t>Fernando dos Santos</t>
  </si>
  <si>
    <t>Rede TVT</t>
  </si>
  <si>
    <t>Cepo Cambiario .com</t>
  </si>
  <si>
    <t>Leandro</t>
  </si>
  <si>
    <t>TV Senado</t>
  </si>
  <si>
    <t>Rodrigo Pacheco</t>
  </si>
  <si>
    <t>Jornal do Comércio</t>
  </si>
  <si>
    <t>Acta...non verba</t>
  </si>
  <si>
    <t>Vanderlan Cardoso</t>
  </si>
  <si>
    <t>Econometro Programa Radial</t>
  </si>
  <si>
    <t>La Red Mendoza 94.1</t>
  </si>
  <si>
    <t>Miguel Flores</t>
  </si>
  <si>
    <t>Miguel Ortega</t>
  </si>
  <si>
    <t>Omar Liriano</t>
  </si>
  <si>
    <t>⭐⭐⭐#VamosArgentina!</t>
  </si>
  <si>
    <t>Tana</t>
  </si>
  <si>
    <t>Noe Barral Grigera ⭐️⭐️⭐️</t>
  </si>
  <si>
    <t>Negocios UDD</t>
  </si>
  <si>
    <t>BioBioChile</t>
  </si>
  <si>
    <t>LeInsomniac</t>
  </si>
  <si>
    <t>Expresso</t>
  </si>
  <si>
    <t>Oliverra</t>
  </si>
  <si>
    <t>BrunoBlancoLife</t>
  </si>
  <si>
    <t>Dr Morfeo ⚡♣️♠️</t>
  </si>
  <si>
    <t>El Financiero</t>
  </si>
  <si>
    <t>MMorenoNoticias</t>
  </si>
  <si>
    <t>#PrivatizaNão</t>
  </si>
  <si>
    <t>Alessandro Guedes 💉🇧🇷</t>
  </si>
  <si>
    <t>Maria Cristina Fernandes</t>
  </si>
  <si>
    <t>PJr3005</t>
  </si>
  <si>
    <t>Zilá Maria🇧🇷⚘️💫💫💫</t>
  </si>
  <si>
    <t>bruja80</t>
  </si>
  <si>
    <t>D&amp;R CONSULTING SRL</t>
  </si>
  <si>
    <t>Ernesto Díaz</t>
  </si>
  <si>
    <t>El Cronista</t>
  </si>
  <si>
    <t>Galax Pay</t>
  </si>
  <si>
    <t>Vini</t>
  </si>
  <si>
    <t>L. Hobi</t>
  </si>
  <si>
    <t>Contraf-CUT</t>
  </si>
  <si>
    <t>Jadson Lima🇧🇷</t>
  </si>
  <si>
    <t>Diario Chaco</t>
  </si>
  <si>
    <t>Marcos Rojas</t>
  </si>
  <si>
    <t>José Manuel Luna Valiente</t>
  </si>
  <si>
    <t>Noticias AS Informativo Digital</t>
  </si>
  <si>
    <t>O INVESTIDOR FAIXA PRETA 🥋</t>
  </si>
  <si>
    <t>El Aguijón Noticias</t>
  </si>
  <si>
    <t>Paulo T.T. Nishimura</t>
  </si>
  <si>
    <t>𝙈𝙖𝙧𝙞𝙤 𝙈𝙤𝙧𝙖𝙮</t>
  </si>
  <si>
    <t>sergio brandão lulista.</t>
  </si>
  <si>
    <t>Ildelte Santos</t>
  </si>
  <si>
    <t>Ian Pedro Carbonell</t>
  </si>
  <si>
    <t>Mauro Flamini 🇦🇷🇮🇹</t>
  </si>
  <si>
    <t>isha is sleeping 💤</t>
  </si>
  <si>
    <t>Diego Wainstein</t>
  </si>
  <si>
    <t>Diário de S. Paulo</t>
  </si>
  <si>
    <t>WallmapuNoExisteCTM!!! 😁😁</t>
  </si>
  <si>
    <t>Vocería de Gobierno de Chile</t>
  </si>
  <si>
    <t>Camila Vallejo Dowling</t>
  </si>
  <si>
    <t>Ministerio de Economía, Fomento y Turismo</t>
  </si>
  <si>
    <t>Gobierno de Chile</t>
  </si>
  <si>
    <t>Bia Saltarelli</t>
  </si>
  <si>
    <t>alexandre gobbis</t>
  </si>
  <si>
    <t>Dinheirama.com</t>
  </si>
  <si>
    <t>Benggia02</t>
  </si>
  <si>
    <t>La Tercera</t>
  </si>
  <si>
    <t>RÁDIO LIVE FM - ONDE VOCÊ ESTIVER</t>
  </si>
  <si>
    <t>N</t>
  </si>
  <si>
    <t>Rubens</t>
  </si>
  <si>
    <t>FARIAPAZ</t>
  </si>
  <si>
    <t>Grupo I. Imperio.eth</t>
  </si>
  <si>
    <t>MauBrasileiro</t>
  </si>
  <si>
    <t>BUM NEWS ⭐️⭐️⭐️</t>
  </si>
  <si>
    <t>Astrología por Chett</t>
  </si>
  <si>
    <t>Matías Pérez Manghi</t>
  </si>
  <si>
    <t>Genial Investimentos</t>
  </si>
  <si>
    <t>La Política Online</t>
  </si>
  <si>
    <t>Mercedes Colombres 🐍❤️⭐⭐⭐🇦🇷🏆</t>
  </si>
  <si>
    <t>Jose Lilloy</t>
  </si>
  <si>
    <t>ClaveChina</t>
  </si>
  <si>
    <t>R770 📻</t>
  </si>
  <si>
    <t>Alejandro Vanoli</t>
  </si>
  <si>
    <t>LIDIA FAGALE</t>
  </si>
  <si>
    <t>Dani Ferreira Ⓜ️🔰⚖️Ⓜ️</t>
  </si>
  <si>
    <t>Paneque Asesores</t>
  </si>
  <si>
    <t>Trend Squad 🤑</t>
  </si>
  <si>
    <t>Maryurii Hernandez</t>
  </si>
  <si>
    <t>comentard</t>
  </si>
  <si>
    <t>felixvini</t>
  </si>
  <si>
    <t>XTB España</t>
  </si>
  <si>
    <t>XTB Latam</t>
  </si>
  <si>
    <t>Brunna Tavares</t>
  </si>
  <si>
    <t>O Falador</t>
  </si>
  <si>
    <t>InvestNews</t>
  </si>
  <si>
    <t>Tribuna Hoje</t>
  </si>
  <si>
    <t>Zilá Fusaro🇧🇷💫💫</t>
  </si>
  <si>
    <t>809.DO</t>
  </si>
  <si>
    <t>Zenda Simoes</t>
  </si>
  <si>
    <t>SINDpd-Ce</t>
  </si>
  <si>
    <t>Hilton Boss</t>
  </si>
  <si>
    <t>Hilton</t>
  </si>
  <si>
    <t>Davi Jeanmonod</t>
  </si>
  <si>
    <t>Duelo do Pregão</t>
  </si>
  <si>
    <t>O Antagonista</t>
  </si>
  <si>
    <t>O Convergente</t>
  </si>
  <si>
    <t>Jhonata Lima</t>
  </si>
  <si>
    <t>Adalto Felix Valoes</t>
  </si>
  <si>
    <t>BAOpina</t>
  </si>
  <si>
    <t>Criptancia</t>
  </si>
  <si>
    <t>mcyr</t>
  </si>
  <si>
    <t>Estevam Sampaio Rebouças</t>
  </si>
  <si>
    <t>Anna</t>
  </si>
  <si>
    <t>Carlos Santos</t>
  </si>
  <si>
    <t>CPL À Esquerda do Centro RJ</t>
  </si>
  <si>
    <t>Marta Soares 🚩</t>
  </si>
  <si>
    <t>Cisso Pazey</t>
  </si>
  <si>
    <t>Mandalorian 🏳️‍🌈</t>
  </si>
  <si>
    <t>Na Estrada🌎</t>
  </si>
  <si>
    <t>kjulimata conde</t>
  </si>
  <si>
    <t>Lulíssima ️🌻</t>
  </si>
  <si>
    <t>CryptoEconomy</t>
  </si>
  <si>
    <t>Luppi-acadé 🇦🇷🇪🇸</t>
  </si>
  <si>
    <t>Ramiro Marra</t>
  </si>
  <si>
    <t>Imminent Weltweite Nachrichten</t>
  </si>
  <si>
    <t>Brissa Pabon Flores</t>
  </si>
  <si>
    <t>Paulo Rego Cajade 🇨🇺🇺🇲🇧🇷</t>
  </si>
  <si>
    <t>Jornal O Globo</t>
  </si>
  <si>
    <t>Estadão 🗞️</t>
  </si>
  <si>
    <t>Reinaldo Azevedo</t>
  </si>
  <si>
    <t>DOL CARAJÁS</t>
  </si>
  <si>
    <t>Diario TAG</t>
  </si>
  <si>
    <t>Infonoticias.Arg</t>
  </si>
  <si>
    <t>Canal ECOS</t>
  </si>
  <si>
    <t>Lucha Valerio</t>
  </si>
  <si>
    <t>Raphael Da Silva Cordeiro</t>
  </si>
  <si>
    <t>EasyLaw Magazine</t>
  </si>
  <si>
    <t>Eugenia Quirolo 🇦🇷</t>
  </si>
  <si>
    <t>Universidad Nacional del Chaco Austral</t>
  </si>
  <si>
    <t>Alexandre Andrade</t>
  </si>
  <si>
    <t>XEncuestasXDia</t>
  </si>
  <si>
    <t>Milla 🇧🇷</t>
  </si>
  <si>
    <t>El Acento</t>
  </si>
  <si>
    <t>Wall Street Easy</t>
  </si>
  <si>
    <t>Al Mayadeen Español</t>
  </si>
  <si>
    <t>Pregrado FEN U Chile</t>
  </si>
  <si>
    <t>CEIC FEN</t>
  </si>
  <si>
    <t>FEN U. de Chile</t>
  </si>
  <si>
    <t>Banco Central de Chile</t>
  </si>
  <si>
    <t>Gustavo Ezequiel Cardozo</t>
  </si>
  <si>
    <t>Novo Debate Econômico</t>
  </si>
  <si>
    <t>IESP-UERJ</t>
  </si>
  <si>
    <t>San Luis 24 Noticias</t>
  </si>
  <si>
    <t>OG</t>
  </si>
  <si>
    <t>Alfinetados do Dia</t>
  </si>
  <si>
    <t>franciscoj 🇪🇨</t>
  </si>
  <si>
    <t>Micaela Arias</t>
  </si>
  <si>
    <t>Paulo Ghiraldelli</t>
  </si>
  <si>
    <t>Radio Mandarina Formosa</t>
  </si>
  <si>
    <t>Rádio Bandeirantes</t>
  </si>
  <si>
    <t>Presidencia de Chile</t>
  </si>
  <si>
    <t>PSNcom, agencia de noticias del sur</t>
  </si>
  <si>
    <t>acento.com.do</t>
  </si>
  <si>
    <t>Simone Fraga</t>
  </si>
  <si>
    <t>PT Brasil</t>
  </si>
  <si>
    <t>markets.com LATAM</t>
  </si>
  <si>
    <t>Orakulum – Dicas de filme, séries e onde assistir!</t>
  </si>
  <si>
    <t>MCN Comunicación Global</t>
  </si>
  <si>
    <t>ᗩᗪᑎ24ᗪIGITᗩᒪ</t>
  </si>
  <si>
    <t>CNW Notícias</t>
  </si>
  <si>
    <t>JartoYA!</t>
  </si>
  <si>
    <t>davidlantigua_tv</t>
  </si>
  <si>
    <t>Wendy Santos Berroa/Espacio Ciudadano</t>
  </si>
  <si>
    <t>izoldedrewsgavioli</t>
  </si>
  <si>
    <t>Kutxabank Finanzas</t>
  </si>
  <si>
    <t>KarinaEskin</t>
  </si>
  <si>
    <t>TiempoSur</t>
  </si>
  <si>
    <t>Pablo de la Macorra Canals</t>
  </si>
  <si>
    <t>Marcelo Torres, MBA🇧🇷</t>
  </si>
  <si>
    <t>Jorge Oscar Gaona</t>
  </si>
  <si>
    <t>Ikan</t>
  </si>
  <si>
    <t>Walter Correa</t>
  </si>
  <si>
    <t>Herderson Filé</t>
  </si>
  <si>
    <t>EgoVero</t>
  </si>
  <si>
    <t>Luisa González</t>
  </si>
  <si>
    <t>Rafael Correa</t>
  </si>
  <si>
    <t>FRAGADESENHOS</t>
  </si>
  <si>
    <t>Relatório Reservado</t>
  </si>
  <si>
    <t>Zilda Mendes</t>
  </si>
  <si>
    <t>GO TV Honduras</t>
  </si>
  <si>
    <t>Durden</t>
  </si>
  <si>
    <t>Billetera News</t>
  </si>
  <si>
    <t>Ángel Metropolitano</t>
  </si>
  <si>
    <t>Arquimedes de Castro</t>
  </si>
  <si>
    <t>Flor Esperanzada😺😻</t>
  </si>
  <si>
    <t>Mauro Comandatore.</t>
  </si>
  <si>
    <t>Raimy Alcantara</t>
  </si>
  <si>
    <t>Concierge Bitcoin</t>
  </si>
  <si>
    <t>Tribuna do Paraná</t>
  </si>
  <si>
    <t>Raul Gomez</t>
  </si>
  <si>
    <t>Ronaldo</t>
  </si>
  <si>
    <t>Chuz Tano</t>
  </si>
  <si>
    <t>Morandi Valores</t>
  </si>
  <si>
    <t>Suzy Tatiane 🇧🇷</t>
  </si>
  <si>
    <t>Elen Torres 🔰</t>
  </si>
  <si>
    <t>Revista Rumbo</t>
  </si>
  <si>
    <t>wayra pay</t>
  </si>
  <si>
    <t>Loh 🙌🏽</t>
  </si>
  <si>
    <t>Nubank</t>
  </si>
  <si>
    <t>Mercado Pago Brasil 🤝</t>
  </si>
  <si>
    <t>Marilourdes Trindade</t>
  </si>
  <si>
    <t>Unió Periodistic</t>
  </si>
  <si>
    <t>Julio Cesar Ferreira</t>
  </si>
  <si>
    <t>Professor Douglas Izzo</t>
  </si>
  <si>
    <t>Rafael F. Maciel</t>
  </si>
  <si>
    <t>#SoyHodler ✊⚡</t>
  </si>
  <si>
    <t>SEMONT Corretora de Seguros</t>
  </si>
  <si>
    <t>🦁🧉</t>
  </si>
  <si>
    <t>AXEL KAISER</t>
  </si>
  <si>
    <t>Roberto Robledo</t>
  </si>
  <si>
    <t>Diego ❁ 🇺🇦</t>
  </si>
  <si>
    <t>CHOQUEI</t>
  </si>
  <si>
    <t>Naty Aránguiz</t>
  </si>
  <si>
    <t>Eduardo Olivares</t>
  </si>
  <si>
    <t>Ex-Ante</t>
  </si>
  <si>
    <t>BitFinanzas</t>
  </si>
  <si>
    <t>Desbravando o Japão</t>
  </si>
  <si>
    <t>Teia Digital</t>
  </si>
  <si>
    <t>HijodePuīa</t>
  </si>
  <si>
    <t>MISSOES EMBRAC CONTINENTAL</t>
  </si>
  <si>
    <t>#tocomMST #eusouSUS</t>
  </si>
  <si>
    <t>🎠🎠🎠</t>
  </si>
  <si>
    <t>Cristina Kirchner</t>
  </si>
  <si>
    <t>Alberto Fernández Prensa</t>
  </si>
  <si>
    <t>Naranja X</t>
  </si>
  <si>
    <t>Periodismo inter</t>
  </si>
  <si>
    <t>RRJúnior</t>
  </si>
  <si>
    <t>Míriam Leitão</t>
  </si>
  <si>
    <t>Roberto A. Ruarte</t>
  </si>
  <si>
    <t>Abimelek Ávila</t>
  </si>
  <si>
    <t>WR’S PRIME</t>
  </si>
  <si>
    <t>IMEF Guanajuato</t>
  </si>
  <si>
    <t>Jonathan Heath</t>
  </si>
  <si>
    <t>DescubriendoChina</t>
  </si>
  <si>
    <t>Puente de Noticias 🌉</t>
  </si>
  <si>
    <t>Topical Stings</t>
  </si>
  <si>
    <t>Glauco Jarzinski</t>
  </si>
  <si>
    <t>Visión Sierras Chicas</t>
  </si>
  <si>
    <t>ailton.lima1</t>
  </si>
  <si>
    <t>ZLSN | Portal de Notícias</t>
  </si>
  <si>
    <t>CDN 37</t>
  </si>
  <si>
    <t>Candeias Mix</t>
  </si>
  <si>
    <t>Bancada Minoria</t>
  </si>
  <si>
    <t>Ingeniería UACh Valdivia</t>
  </si>
  <si>
    <t>Beltran de Ramon</t>
  </si>
  <si>
    <t>Quantzed</t>
  </si>
  <si>
    <t>EasyCoop</t>
  </si>
  <si>
    <t>Hispanismo Chile</t>
  </si>
  <si>
    <t>MUCAIN museo de la Carrera de Indias</t>
  </si>
  <si>
    <t>AaronEnoc💙🐈🇦🇷💯</t>
  </si>
  <si>
    <t> Edmar Bertolo</t>
  </si>
  <si>
    <t>Asteriscos</t>
  </si>
  <si>
    <t>A Terra é redonda</t>
  </si>
  <si>
    <t>EPCH (Elecciones Presidenciales Chile)</t>
  </si>
  <si>
    <t>Adilson FERREIRA Faria</t>
  </si>
  <si>
    <t>Daniel Griboff</t>
  </si>
  <si>
    <t>Forbes Brasil</t>
  </si>
  <si>
    <t>Conexión Parques</t>
  </si>
  <si>
    <t>Banco Provincia</t>
  </si>
  <si>
    <t>Eduardo Oinegue</t>
  </si>
  <si>
    <t>BandNews TV</t>
  </si>
  <si>
    <t>FondoAlerta</t>
  </si>
  <si>
    <t>Maria Claudia</t>
  </si>
  <si>
    <t>DF MAS</t>
  </si>
  <si>
    <t>Anti zurderío</t>
  </si>
  <si>
    <t>Aquí Hablamos Claro</t>
  </si>
  <si>
    <t>Miguel Eduardo Almanzar Lantigua</t>
  </si>
  <si>
    <t>elinmobiliariodo</t>
  </si>
  <si>
    <t>tv jornal</t>
  </si>
  <si>
    <t>Alejandro Zetina</t>
  </si>
  <si>
    <t>B Riquelme</t>
  </si>
  <si>
    <t>Diário Referência</t>
  </si>
  <si>
    <t>ZoRo</t>
  </si>
  <si>
    <t>Nota Al Pie</t>
  </si>
  <si>
    <t>FMI</t>
  </si>
  <si>
    <t>Jucho® 🇦🇷🏆</t>
  </si>
  <si>
    <t>Cezar2022</t>
  </si>
  <si>
    <t>Valentina Loor</t>
  </si>
  <si>
    <t>Rogerio Matos</t>
  </si>
  <si>
    <t>Pleno.News</t>
  </si>
  <si>
    <t>Claudia Barros</t>
  </si>
  <si>
    <t>Canal Formosa El 23</t>
  </si>
  <si>
    <t>Run_Run</t>
  </si>
  <si>
    <t>ADNCuba - Noticias de Cuba</t>
  </si>
  <si>
    <t>Seu Crédito Digital</t>
  </si>
  <si>
    <t>William Vinícius Fiorillo🌹</t>
  </si>
  <si>
    <t>Michel Freire com Ciro 3% 🌹🇧🇷</t>
  </si>
  <si>
    <t>Rumba985fm</t>
  </si>
  <si>
    <t>El Rumbo de la mañana</t>
  </si>
  <si>
    <t>Elvin Castillo</t>
  </si>
  <si>
    <t>RCC Media</t>
  </si>
  <si>
    <t>Deputado Ivan Naatz</t>
  </si>
  <si>
    <t>Diario NORTE Chaco</t>
  </si>
  <si>
    <t>Inkoms</t>
  </si>
  <si>
    <t>Banco República 🇨🇴</t>
  </si>
  <si>
    <t>Martín Rodríguez Rocha</t>
  </si>
  <si>
    <t>4SEMANAS.COM</t>
  </si>
  <si>
    <t>MrBluePrint#MzUp</t>
  </si>
  <si>
    <t>Elizeu Santos</t>
  </si>
  <si>
    <t>EyRNews</t>
  </si>
  <si>
    <t>La Libertad Avanza San Vicente</t>
  </si>
  <si>
    <t>Karina Aravena Caro 🇨🇱 ☦️</t>
  </si>
  <si>
    <t>Bloomberg Línea Brasil</t>
  </si>
  <si>
    <t>Fabio Albiani Barata</t>
  </si>
  <si>
    <t>Misael Nascimento,CEA ®️</t>
  </si>
  <si>
    <t>Roberto Léo da Silva</t>
  </si>
  <si>
    <t>carlos</t>
  </si>
  <si>
    <t>Lu Gomes 🥂</t>
  </si>
  <si>
    <t>Daniela Carbonel Triana</t>
  </si>
  <si>
    <t>LexLatinBr</t>
  </si>
  <si>
    <t>Carvalho-Alves</t>
  </si>
  <si>
    <t>CNJ</t>
  </si>
  <si>
    <t>Ricardo Barbosa</t>
  </si>
  <si>
    <t>T Informas Bolivia</t>
  </si>
  <si>
    <t>juan fco 🇪🇨</t>
  </si>
  <si>
    <t>Economía y Negocios</t>
  </si>
  <si>
    <t>Tomas Izquierdo</t>
  </si>
  <si>
    <t>Lorena Palomeque S.</t>
  </si>
  <si>
    <t>Hermann González</t>
  </si>
  <si>
    <t>INE Chile</t>
  </si>
  <si>
    <t>BahiaDigital</t>
  </si>
  <si>
    <t>🇨🇱VOTO EN CONTRA EN DICIEMBRE DEL 2023🇨🇱</t>
  </si>
  <si>
    <t>Constantino</t>
  </si>
  <si>
    <t>RETIRO 100% YA!</t>
  </si>
  <si>
    <t>Vamos x el 7mo 10% YA !!</t>
  </si>
  <si>
    <t>Juan Angel Del Río garrido</t>
  </si>
  <si>
    <t>AGUSTIN SEPTIMO RETIRO,IFE,GRUPO G.A.T.A</t>
  </si>
  <si>
    <t>Giorgio Jackson 🌳</t>
  </si>
  <si>
    <t>Karim Bianchi Senador</t>
  </si>
  <si>
    <t>René Alinco Bustos</t>
  </si>
  <si>
    <t>#PamelaJilesDiputada</t>
  </si>
  <si>
    <t>Carlos</t>
  </si>
  <si>
    <t>zunilda09</t>
  </si>
  <si>
    <t>Telenoticias11RD</t>
  </si>
  <si>
    <t>Augusto Duenas</t>
  </si>
  <si>
    <t>josemim</t>
  </si>
  <si>
    <t>Portal O Poder</t>
  </si>
  <si>
    <t>Ricardo Diez</t>
  </si>
  <si>
    <t>endireitadora</t>
  </si>
  <si>
    <t>Cryptofand</t>
  </si>
  <si>
    <t>Hamasaki</t>
  </si>
  <si>
    <t>Sérgio Machado (CONTA ORIGINAL)</t>
  </si>
  <si>
    <t>marcelo fofao</t>
  </si>
  <si>
    <t>Periódico Mensaje</t>
  </si>
  <si>
    <t>BancoPopularCR</t>
  </si>
  <si>
    <t>Sandro Mabel</t>
  </si>
  <si>
    <t>Imminent Global News</t>
  </si>
  <si>
    <t>B-POP</t>
  </si>
  <si>
    <t>Marca Informativa Córdoba</t>
  </si>
  <si>
    <t>KomodoJ</t>
  </si>
  <si>
    <t>ISRAEL WALLYSSON</t>
  </si>
  <si>
    <t>Edeson Oliveira Jr.🇧🇷🇧🇷🇧🇷🇧🇷</t>
  </si>
  <si>
    <t>Dep. Alencar Santana</t>
  </si>
  <si>
    <t>CartaCampinas</t>
  </si>
  <si>
    <t>Noticentro13RD</t>
  </si>
  <si>
    <t>Carlinhos Lima</t>
  </si>
  <si>
    <t>Avellaneda_Real</t>
  </si>
  <si>
    <t>DIARIO DE CUBA</t>
  </si>
  <si>
    <t>Bruno Gianetti 🇮🇹</t>
  </si>
  <si>
    <t>Hans Schweinsteiger</t>
  </si>
  <si>
    <t>Mario Marcel Cullell</t>
  </si>
  <si>
    <t>92amz.com.br</t>
  </si>
  <si>
    <t>La Política Online Paraguay</t>
  </si>
  <si>
    <t>Felipão</t>
  </si>
  <si>
    <t>Skandia Colombia</t>
  </si>
  <si>
    <t>Agro 2</t>
  </si>
  <si>
    <t>Jornal Empresas e Negócios</t>
  </si>
  <si>
    <t>Tony Newman</t>
  </si>
  <si>
    <t>Max Villares</t>
  </si>
  <si>
    <t>Dr Reinaldo Cardozo</t>
  </si>
  <si>
    <t>J-KABI</t>
  </si>
  <si>
    <t>RDC TV</t>
  </si>
  <si>
    <t>Jornal Somos</t>
  </si>
  <si>
    <t>Aries on line</t>
  </si>
  <si>
    <t>Neiva Ribeiro</t>
  </si>
  <si>
    <t>Faria Lima Journal</t>
  </si>
  <si>
    <t>Luiz Carlos Hauly</t>
  </si>
  <si>
    <t>MdpYa</t>
  </si>
  <si>
    <t>Eduardo Braga</t>
  </si>
  <si>
    <t>Ravkliber</t>
  </si>
  <si>
    <t>Mujāhidūn: انتفاضة الاقصى</t>
  </si>
  <si>
    <t>Nubox Chile</t>
  </si>
  <si>
    <t>Ivone Silva</t>
  </si>
  <si>
    <t>Adrián, 🇷🇺 el equilibrio mundial!</t>
  </si>
  <si>
    <t>Helena Selma Azevedo</t>
  </si>
  <si>
    <t>Aplatanao News</t>
  </si>
  <si>
    <t>Jef Rauber</t>
  </si>
  <si>
    <t>TV Cultura</t>
  </si>
  <si>
    <t>Carlos Escaffi</t>
  </si>
  <si>
    <t>®️obi Paula</t>
  </si>
  <si>
    <t>Fundación Politeia</t>
  </si>
  <si>
    <t>679 Evolución</t>
  </si>
  <si>
    <t>visionario</t>
  </si>
  <si>
    <t>René Fuenzalida</t>
  </si>
  <si>
    <t>AFP de Chile</t>
  </si>
  <si>
    <t>El Mostrador</t>
  </si>
  <si>
    <t>Modais em Foco</t>
  </si>
  <si>
    <t>Gleidys CAT</t>
  </si>
  <si>
    <t>Joao Victor leão stigliani</t>
  </si>
  <si>
    <t>Cronos Noticias</t>
  </si>
  <si>
    <t>Flávia Cavalcanti</t>
  </si>
  <si>
    <t>Diario Agenda Salta</t>
  </si>
  <si>
    <t>Manón Farkas</t>
  </si>
  <si>
    <t>máscontainercentroamerica.com</t>
  </si>
  <si>
    <t>Opera Mundi</t>
  </si>
  <si>
    <t>PABLO MARTEARENA Periodista</t>
  </si>
  <si>
    <t>Portal de Prefeitura</t>
  </si>
  <si>
    <t>josmar caro 📱</t>
  </si>
  <si>
    <t>CADENA DE LOS ANDES🌐www.cadenadelosandesfm.com.ar</t>
  </si>
  <si>
    <t>Rikáryo Mourão</t>
  </si>
  <si>
    <t>Rádio BandNews FM</t>
  </si>
  <si>
    <t>Mônica Bergamo</t>
  </si>
  <si>
    <t>Eduardo Barão</t>
  </si>
  <si>
    <t>AlberdianaOK</t>
  </si>
  <si>
    <t>Joedson Costa</t>
  </si>
  <si>
    <t>Ronald Castro</t>
  </si>
  <si>
    <t>Perfil.com</t>
  </si>
  <si>
    <t>Periódico El Fronterizo</t>
  </si>
  <si>
    <t>Presidencia de la República Dominicana</t>
  </si>
  <si>
    <t>Portal VGV</t>
  </si>
  <si>
    <t>El Caribe</t>
  </si>
  <si>
    <t>Martín Polanco</t>
  </si>
  <si>
    <t>Radio 10 - AM 710</t>
  </si>
  <si>
    <t>𝕲𝖚𝖎𝖑𝖑𝖊𝕱𝖊 🇦🇷🧉</t>
  </si>
  <si>
    <t>Fernando Cruz Moraes</t>
  </si>
  <si>
    <t>encantador de jumentos</t>
  </si>
  <si>
    <t>El Piso Digital</t>
  </si>
  <si>
    <t>Ariel Saavedra</t>
  </si>
  <si>
    <t>Lorena Facuse Alcaldesa por Cerrillos 2021</t>
  </si>
  <si>
    <t>Muni Cerrillos</t>
  </si>
  <si>
    <t>Vinicius Custódio</t>
  </si>
  <si>
    <t>Gabriel Medina</t>
  </si>
  <si>
    <t>Táxi 11 Alphaville ❇️</t>
  </si>
  <si>
    <t>🇧🇷 InfoFlashBr</t>
  </si>
  <si>
    <t>Associação Rodrigo de Morais</t>
  </si>
  <si>
    <t>Rodrigo De Morais</t>
  </si>
  <si>
    <t>Ramon Freire</t>
  </si>
  <si>
    <t>fernando adolfo</t>
  </si>
  <si>
    <t>Radio Del Plata</t>
  </si>
  <si>
    <t>Inter, mais que um banco</t>
  </si>
  <si>
    <t>Nelson Morales</t>
  </si>
  <si>
    <t>LoveQuinn 💗</t>
  </si>
  <si>
    <t>Pergamino Virtual</t>
  </si>
  <si>
    <t>Misiones Para Todos</t>
  </si>
  <si>
    <t>Araujo Santos Advocacia</t>
  </si>
  <si>
    <t>Alcy Duarte</t>
  </si>
  <si>
    <t>AM ATUAL</t>
  </si>
  <si>
    <t>Politica2 🇨🇱</t>
  </si>
  <si>
    <t>Adriana Puruncajas</t>
  </si>
  <si>
    <t>srradio</t>
  </si>
  <si>
    <t>Participa Ecuador</t>
  </si>
  <si>
    <t>Guillermo Lasso</t>
  </si>
  <si>
    <t>Jovem Pan Goiânia | Jovem Pan Caldas Novas</t>
  </si>
  <si>
    <t>NAVICON</t>
  </si>
  <si>
    <t>Jefferson Maia</t>
  </si>
  <si>
    <t>Sindicato dos Bancários da Baixada Fluminense</t>
  </si>
  <si>
    <t>RADIO FÉNIX 95.1</t>
  </si>
  <si>
    <t>LOBS Contabilidade</t>
  </si>
  <si>
    <t>Economia Mainstream</t>
  </si>
  <si>
    <t>Mundo Poder</t>
  </si>
  <si>
    <t>marcelo tinelli</t>
  </si>
  <si>
    <t>Claudio Dantas</t>
  </si>
  <si>
    <t>Eledu Taller</t>
  </si>
  <si>
    <t>Manu Terrones Godoy</t>
  </si>
  <si>
    <t>Luan Alcantara</t>
  </si>
  <si>
    <t>Jornal JOGO SÉRIO - www.jornaljogoserio.com.br</t>
  </si>
  <si>
    <t>Ahora San Juan</t>
  </si>
  <si>
    <t>Tres Lineas</t>
  </si>
  <si>
    <t>Diego Penizzotto</t>
  </si>
  <si>
    <t>Fede Sturzenegger</t>
  </si>
  <si>
    <t>O PATO LÓGICO</t>
  </si>
  <si>
    <t>Guilherme Boulos</t>
  </si>
  <si>
    <t>Kleber Karpov</t>
  </si>
  <si>
    <t>Carla Zambelli</t>
  </si>
  <si>
    <t>Santander</t>
  </si>
  <si>
    <t>V</t>
  </si>
  <si>
    <t>🇵🇹Maria da Conceição (Ceiça)</t>
  </si>
  <si>
    <t>André Sousa</t>
  </si>
  <si>
    <t>DEROGAR DECRETO 701 🇨🇱🌳</t>
  </si>
  <si>
    <t>𝐇𝐨𝐫𝐚 𝐝𝐞 𝐍𝐨𝐭𝐢𝐜𝐢𝐚𝐬</t>
  </si>
  <si>
    <t>Sin Cortapisa</t>
  </si>
  <si>
    <t>Homero Figueroa</t>
  </si>
  <si>
    <t>ComunicacionesRD</t>
  </si>
  <si>
    <t>Ministerio de Economía, Planificación y Desarrollo</t>
  </si>
  <si>
    <t>Banco Adopem</t>
  </si>
  <si>
    <t>Banco Popular</t>
  </si>
  <si>
    <t>Homero</t>
  </si>
  <si>
    <t>Inside The Price</t>
  </si>
  <si>
    <t>CVega</t>
  </si>
  <si>
    <t>Carlos Alberto Andrews 🇨🇱</t>
  </si>
  <si>
    <t>CostaJr2023</t>
  </si>
  <si>
    <t>Governo do Brasil</t>
  </si>
  <si>
    <t>Daniel Lima</t>
  </si>
  <si>
    <t>Caro Biedermann</t>
  </si>
  <si>
    <t>Bolsa de Comercio de Córdoba</t>
  </si>
  <si>
    <t>Diana Mondino</t>
  </si>
  <si>
    <t>Mauro</t>
  </si>
  <si>
    <t>GFT Brasil</t>
  </si>
  <si>
    <t>O Cafezinho ☕️🗞</t>
  </si>
  <si>
    <t>Gabriel Barbosa</t>
  </si>
  <si>
    <t>Flauzino Antunes</t>
  </si>
  <si>
    <t>Portal Vermelho</t>
  </si>
  <si>
    <t>GPS</t>
  </si>
  <si>
    <t>CTB Brasil</t>
  </si>
  <si>
    <t>Hora do Povo</t>
  </si>
  <si>
    <t>Repórter Brasília</t>
  </si>
  <si>
    <t>🇲🇽#JuristaDigital</t>
  </si>
  <si>
    <t>AnistiaNuncaMais🚩🇧🇷🇨🇺🇯🇴🇻🇳🇲🇿</t>
  </si>
  <si>
    <t>Cláudio</t>
  </si>
  <si>
    <t>Trading Bolsa</t>
  </si>
  <si>
    <t>The Champagnepapi 6 </t>
  </si>
  <si>
    <t>Diario Mendoza Sur</t>
  </si>
  <si>
    <t>MercoPress Español</t>
  </si>
  <si>
    <t>Cofecon</t>
  </si>
  <si>
    <t>Factopia</t>
  </si>
  <si>
    <t>claudia pasqualini</t>
  </si>
  <si>
    <t>Portal Juristec</t>
  </si>
  <si>
    <t>@EnLaFontana</t>
  </si>
  <si>
    <t>O Brasil tá lascado😮‍💨</t>
  </si>
  <si>
    <t>Dany 👊</t>
  </si>
  <si>
    <t>Rubens Otoni</t>
  </si>
  <si>
    <t>Tabacow PSOL Esquerda Brasil Jtab</t>
  </si>
  <si>
    <t>Luda 💚🌙</t>
  </si>
  <si>
    <t>Guido Jr.</t>
  </si>
  <si>
    <t>Thinkonomics</t>
  </si>
  <si>
    <t>Pan</t>
  </si>
  <si>
    <t>Ale Reforma na construção ( RUMO 5 MIL SEGUIDOR)</t>
  </si>
  <si>
    <t>Gorfando Verdades</t>
  </si>
  <si>
    <t>Intrade Capital</t>
  </si>
  <si>
    <t>Alirio</t>
  </si>
  <si>
    <t>matheus sales</t>
  </si>
  <si>
    <t>Minuto YA !</t>
  </si>
  <si>
    <t>Hacé Oir Tu Voz'</t>
  </si>
  <si>
    <t>#PatoVasASerPresidente</t>
  </si>
  <si>
    <t>Portal NE10</t>
  </si>
  <si>
    <t>João Aguiar</t>
  </si>
  <si>
    <t>Estelle Keri 💐</t>
  </si>
  <si>
    <t>Elson Bórquez</t>
  </si>
  <si>
    <t>La Prensa Turca</t>
  </si>
  <si>
    <t>Newsweek Baja California</t>
  </si>
  <si>
    <t>MediosyEstrategias</t>
  </si>
  <si>
    <t>Mensajero Turístico</t>
  </si>
  <si>
    <t>turcoman-Cuenta Nueva &amp; me bloquearon por sabio</t>
  </si>
  <si>
    <t>Sualehe Ramos</t>
  </si>
  <si>
    <t>Enfoque Salta</t>
  </si>
  <si>
    <t>Portal AZ</t>
  </si>
  <si>
    <t>leandro</t>
  </si>
  <si>
    <t>Jessica Whitaker 🇧🇷🇺🇸🛸</t>
  </si>
  <si>
    <t>Falacias Libertarias</t>
  </si>
  <si>
    <t>Tereza sou de corpo e alma :🌻🌻</t>
  </si>
  <si>
    <t>Diario Jornada</t>
  </si>
  <si>
    <t>Instituto Desenvolvimentista</t>
  </si>
  <si>
    <t>João Financeira</t>
  </si>
  <si>
    <t>Imagen Documental</t>
  </si>
  <si>
    <t>Agro Times</t>
  </si>
  <si>
    <t>Alberto</t>
  </si>
  <si>
    <t>Onjornal</t>
  </si>
  <si>
    <t>Sinthiya Rahman</t>
  </si>
  <si>
    <t>Chubut Para Todos</t>
  </si>
  <si>
    <t>Ucho.info</t>
  </si>
  <si>
    <t>Shani Tucker</t>
  </si>
  <si>
    <t>El Periódico</t>
  </si>
  <si>
    <t>@analiseagora</t>
  </si>
  <si>
    <t>Brunno Barcelos 🌴🇧🇷</t>
  </si>
  <si>
    <t>Lwabeserra</t>
  </si>
  <si>
    <t>Mau</t>
  </si>
  <si>
    <t>Charlie Supph</t>
  </si>
  <si>
    <t>Cristina Facchini</t>
  </si>
  <si>
    <t>Justicia Digital Porteña🇦🇷</t>
  </si>
  <si>
    <t>Valeria Gamboa</t>
  </si>
  <si>
    <t>Master News</t>
  </si>
  <si>
    <t>Julieta Lazzini</t>
  </si>
  <si>
    <t>Vértigo Político</t>
  </si>
  <si>
    <t>Sergio Sarmiento</t>
  </si>
  <si>
    <t>Giulia J🌟🚩</t>
  </si>
  <si>
    <t>Falk Capital</t>
  </si>
  <si>
    <t>O Ponto</t>
  </si>
  <si>
    <t>Enrique, el Genio.</t>
  </si>
  <si>
    <t>hector mendi</t>
  </si>
  <si>
    <t>vocero Oriental RD</t>
  </si>
  <si>
    <t>BAE Negocios</t>
  </si>
  <si>
    <t>Ricrons - Um Ser Pensante!</t>
  </si>
  <si>
    <t>Thiago Budni</t>
  </si>
  <si>
    <t>Reseñas</t>
  </si>
  <si>
    <t>Rafael Núñez</t>
  </si>
  <si>
    <t>1/2kgDeAlberto 🍥</t>
  </si>
  <si>
    <t>Padre João</t>
  </si>
  <si>
    <t>Dungo Do ó</t>
  </si>
  <si>
    <t>RD Tevé</t>
  </si>
  <si>
    <t>Pyme</t>
  </si>
  <si>
    <t>LIA FM</t>
  </si>
  <si>
    <t>Squillantte</t>
  </si>
  <si>
    <t>Banco do Brasil</t>
  </si>
  <si>
    <t>Notícias de Mogi</t>
  </si>
  <si>
    <t>Javier Scapolo</t>
  </si>
  <si>
    <t>Everaldo da silva cesar</t>
  </si>
  <si>
    <t>Ale Analista</t>
  </si>
  <si>
    <t>Comunicación Bandec CMG</t>
  </si>
  <si>
    <t>Bandec Camagüey</t>
  </si>
  <si>
    <t>RNN (Canal 27)</t>
  </si>
  <si>
    <t>Compartiendo Ideas</t>
  </si>
  <si>
    <t>Angela Toledo 1️⃣2️⃣🌹</t>
  </si>
  <si>
    <t>News Digitales</t>
  </si>
  <si>
    <t>!@$M|N</t>
  </si>
  <si>
    <t>Nicolaudo</t>
  </si>
  <si>
    <t>wol</t>
  </si>
  <si>
    <t>Alfaix</t>
  </si>
  <si>
    <t>Tiago Marques</t>
  </si>
  <si>
    <t>Diario Pampero</t>
  </si>
  <si>
    <t>Ricardo</t>
  </si>
  <si>
    <t>Javier F. Arribas</t>
  </si>
  <si>
    <t>Atalayar</t>
  </si>
  <si>
    <t>cecilia</t>
  </si>
  <si>
    <t>Victoria Villarruel</t>
  </si>
  <si>
    <t>El Peluca Milei</t>
  </si>
  <si>
    <t>BP Money</t>
  </si>
  <si>
    <t>Marco Aurélio 🇧🇷〽️</t>
  </si>
  <si>
    <t>Rádio FM Itatiaia / Juiz de Fora</t>
  </si>
  <si>
    <t>paulo eduardo</t>
  </si>
  <si>
    <t>CSPB</t>
  </si>
  <si>
    <t>José Luis Oreiro</t>
  </si>
  <si>
    <t>Alesp</t>
  </si>
  <si>
    <t>EN LA PIEL DE UN POLÍTICO</t>
  </si>
  <si>
    <t>Tadeu Mouzinho</t>
  </si>
  <si>
    <t>socialista morena</t>
  </si>
  <si>
    <t>PULSO.cl</t>
  </si>
  <si>
    <t>Wagner Almeida</t>
  </si>
  <si>
    <t>Nath Finanças 💰</t>
  </si>
  <si>
    <t>Radio Concierto</t>
  </si>
  <si>
    <t>Riomafra Mix</t>
  </si>
  <si>
    <t>RiskMathics Financial Institute</t>
  </si>
  <si>
    <t>Periódico El Suceso</t>
  </si>
  <si>
    <t>Voces Críticas</t>
  </si>
  <si>
    <t>Clayton Kleber</t>
  </si>
  <si>
    <t>Luiza Helena Trajano</t>
  </si>
  <si>
    <t>Julio Noronha</t>
  </si>
  <si>
    <t>Radar Digital Brasília</t>
  </si>
  <si>
    <t>BMJ Consultores Associados</t>
  </si>
  <si>
    <t>El Empresariado</t>
  </si>
  <si>
    <t>Lula Presidente</t>
  </si>
  <si>
    <t>West Brasil</t>
  </si>
  <si>
    <t>PMI RD</t>
  </si>
  <si>
    <t>Rocío Pérez</t>
  </si>
  <si>
    <t>Gabriel Muniz</t>
  </si>
  <si>
    <t>Paulo Ricardo Becker</t>
  </si>
  <si>
    <t>Prosegur</t>
  </si>
  <si>
    <t>⚡ Rodrigo ⚡</t>
  </si>
  <si>
    <t>Senhor Gestão</t>
  </si>
  <si>
    <t>Blog Ponto de Vista</t>
  </si>
  <si>
    <t>Eduardo da Fonte</t>
  </si>
  <si>
    <t>Nesta</t>
  </si>
  <si>
    <t>Diário Regional Oficial</t>
  </si>
  <si>
    <t>KBarbara Beretta B.</t>
  </si>
  <si>
    <t>Osmar 🇪🇪</t>
  </si>
  <si>
    <t>El Nacional</t>
  </si>
  <si>
    <t>Bancos Dominicanos</t>
  </si>
  <si>
    <t>Coopeuch</t>
  </si>
  <si>
    <t>EL DEBER</t>
  </si>
  <si>
    <t>Lucimary</t>
  </si>
  <si>
    <t>Ricardo Ferreira</t>
  </si>
  <si>
    <t>Bombardier Steve</t>
  </si>
  <si>
    <t>Não Calo</t>
  </si>
  <si>
    <t>Novena Digital</t>
  </si>
  <si>
    <t>Corta 🏆</t>
  </si>
  <si>
    <t>RossanoRenzo</t>
  </si>
  <si>
    <t>Paladino do Cerrado</t>
  </si>
  <si>
    <t>Revista Enterate</t>
  </si>
  <si>
    <t>CARLOS WALDIR BARBOSA NASCIMENTO</t>
  </si>
  <si>
    <t>Ricardo Vaxx</t>
  </si>
  <si>
    <t>#nDota!🇲🇿</t>
  </si>
  <si>
    <t>Roda Seca</t>
  </si>
  <si>
    <t>Pedro Renato</t>
  </si>
  <si>
    <t>☢FrEITy TaVaReZ(libertario🏴radical)☢</t>
  </si>
  <si>
    <t>georgina rodriguez</t>
  </si>
  <si>
    <t>Ev</t>
  </si>
  <si>
    <t>Mercedes Malavé 🇻🇪</t>
  </si>
  <si>
    <t>Círculo de Economía de Guayaquil</t>
  </si>
  <si>
    <t>€l P○||●</t>
  </si>
  <si>
    <t>Caramurú Paiva</t>
  </si>
  <si>
    <t>Valor Econômico</t>
  </si>
  <si>
    <t>Marcelus G. Z.</t>
  </si>
  <si>
    <t>ISTOÉ Dinheiro</t>
  </si>
  <si>
    <t>Sampaio Junior</t>
  </si>
  <si>
    <t>#CRECE #CoaliciónEstatalRepublicana</t>
  </si>
  <si>
    <t>@Omar Varac🇦🇷</t>
  </si>
  <si>
    <t>Eduardo Feinmann</t>
  </si>
  <si>
    <t>Patricia Bullrich</t>
  </si>
  <si>
    <t>TudoCelular</t>
  </si>
  <si>
    <t>Observatório da Indústria ES</t>
  </si>
  <si>
    <t>Marlo Melo</t>
  </si>
  <si>
    <t>pensarpiauioficial</t>
  </si>
  <si>
    <t>Economia al instante</t>
  </si>
  <si>
    <t>El País Diario 🌎</t>
  </si>
  <si>
    <t>El País Diario 🌐</t>
  </si>
  <si>
    <t>Emanuel</t>
  </si>
  <si>
    <t>☘ DonRafa🐍 #Libertario</t>
  </si>
  <si>
    <t>🐍 Pedro Meléndez ☘️ 🇲🇽 ☘️</t>
  </si>
  <si>
    <t>México Libertario 🐍</t>
  </si>
  <si>
    <t>💛Majo Salinas</t>
  </si>
  <si>
    <t>Manoel Justiniano</t>
  </si>
  <si>
    <t>Abranet</t>
  </si>
  <si>
    <t>Central en tu vida</t>
  </si>
  <si>
    <t>Cecilia Boufflet</t>
  </si>
  <si>
    <t>Radio 3 Trelew AM780</t>
  </si>
  <si>
    <t>Girafales</t>
  </si>
  <si>
    <t>William Poiato</t>
  </si>
  <si>
    <t>Everton Dantas</t>
  </si>
  <si>
    <t>Bolsa de Valores Costa Rica</t>
  </si>
  <si>
    <t>Sérgio Dal Sasso</t>
  </si>
  <si>
    <t>EconoBlog</t>
  </si>
  <si>
    <t>Express Diario</t>
  </si>
  <si>
    <t>Alfonso Barrionuevo</t>
  </si>
  <si>
    <t>BeInCrypto Español 🗞</t>
  </si>
  <si>
    <t>Bank of Japan</t>
  </si>
  <si>
    <t>Federal Reserve</t>
  </si>
  <si>
    <t>American Bankers Association</t>
  </si>
  <si>
    <t>Bank for International Settlements</t>
  </si>
  <si>
    <t>Andrea karina Menezes</t>
  </si>
  <si>
    <t>Elton NOGUEIRA</t>
  </si>
  <si>
    <t>Léo Campos</t>
  </si>
  <si>
    <t>C6 Bank</t>
  </si>
  <si>
    <t>YURI LASSAGNA PETERS</t>
  </si>
  <si>
    <t>Alberto Acosta-Burneo</t>
  </si>
  <si>
    <t>Radio Intereconomía</t>
  </si>
  <si>
    <t>Marcos Saravia  Ⓜ️</t>
  </si>
  <si>
    <t>Forbes Chile 🇨🇱</t>
  </si>
  <si>
    <t>Daniel Moreira Meneses</t>
  </si>
  <si>
    <t>Diário do Acionista</t>
  </si>
  <si>
    <t>On God, Re Tlo Poppa 🤞🏽</t>
  </si>
  <si>
    <t>Giuseppe_Jornalista_Consultor_Militar_</t>
  </si>
  <si>
    <t>Léo</t>
  </si>
  <si>
    <t>Tucuman24</t>
  </si>
  <si>
    <t>Zonales</t>
  </si>
  <si>
    <t>Miséria</t>
  </si>
  <si>
    <t>Economia Estadão</t>
  </si>
  <si>
    <t>Xetid Xetid</t>
  </si>
  <si>
    <t>Jessé Alves</t>
  </si>
  <si>
    <t>Weex</t>
  </si>
  <si>
    <t>Newsfly Latam</t>
  </si>
  <si>
    <t>Marcelo Aragao📈 (马塞洛)(マルセロ)</t>
  </si>
  <si>
    <t>Dhyovaine Nascimento</t>
  </si>
  <si>
    <t>Banco Original</t>
  </si>
  <si>
    <t>Campo Directo</t>
  </si>
  <si>
    <t>Carlos Assunção | ACTION B3</t>
  </si>
  <si>
    <t>Jornal da TV Vitória</t>
  </si>
  <si>
    <t>Siga Mais</t>
  </si>
  <si>
    <t>Aire de Santa Fe</t>
  </si>
  <si>
    <t>Lacaz Martins ADV</t>
  </si>
  <si>
    <t>[SAFEWAY]</t>
  </si>
  <si>
    <t>Brito Vagner Dantas</t>
  </si>
  <si>
    <t>#ToTheMoon</t>
  </si>
  <si>
    <t>Boric Estamos Contigo</t>
  </si>
  <si>
    <t>Sinapticas</t>
  </si>
  <si>
    <t>Sistemas de pago</t>
  </si>
  <si>
    <t>Jornal do Brasil</t>
  </si>
  <si>
    <t>Fundéu Argentina</t>
  </si>
  <si>
    <t>Ant-PT</t>
  </si>
  <si>
    <t>B2bfinances</t>
  </si>
  <si>
    <t>CANAL QUESTIONAMENTOS 🇧🇷🚩</t>
  </si>
  <si>
    <t>NOTICIAMAIS.NET</t>
  </si>
  <si>
    <t>NS Junior</t>
  </si>
  <si>
    <t>Investing.com Brasil 🇧🇷</t>
  </si>
  <si>
    <t>Contador Público UP</t>
  </si>
  <si>
    <t>Sindicato dos Bancários de Umuarama e Região</t>
  </si>
  <si>
    <t>Soy del Este</t>
  </si>
  <si>
    <t>Postgrados Universidad Autónoma</t>
  </si>
  <si>
    <t>Meganoticias</t>
  </si>
  <si>
    <t>MECFIN - MERCADO FINANCEIRO BR</t>
  </si>
  <si>
    <t>Fernando Mateus Azeytona</t>
  </si>
  <si>
    <t>DatoGeek</t>
  </si>
  <si>
    <t>Mundo Cripto</t>
  </si>
  <si>
    <t>Msc. Miguel Peña</t>
  </si>
  <si>
    <t>Cristina Kroll</t>
  </si>
  <si>
    <t>Hatshepsut Hot</t>
  </si>
  <si>
    <t>Sidney Nakatani</t>
  </si>
  <si>
    <t>Jürgen O.</t>
  </si>
  <si>
    <t>00000010 00110010 10100010 00010</t>
  </si>
  <si>
    <t>Victor Sandoval</t>
  </si>
  <si>
    <t>SchopDog</t>
  </si>
  <si>
    <t>VersionRosario</t>
  </si>
  <si>
    <t>DiarioEstrategia.cl</t>
  </si>
  <si>
    <t>Nox News</t>
  </si>
  <si>
    <t>Nothing Personal ⚡</t>
  </si>
  <si>
    <t>elvocero.ar</t>
  </si>
  <si>
    <t>Gilvan Bueno</t>
  </si>
  <si>
    <t>NegritaKatty 🇪🇨🥰❤</t>
  </si>
  <si>
    <t>Loboestefario</t>
  </si>
  <si>
    <t>CESARE JULIAN</t>
  </si>
  <si>
    <t>Primera Página</t>
  </si>
  <si>
    <t>Tipito Enojado</t>
  </si>
  <si>
    <t>Jornal Daki</t>
  </si>
  <si>
    <t>Revista Suroeste</t>
  </si>
  <si>
    <t>Medios Rioja</t>
  </si>
  <si>
    <t>Rembrandt</t>
  </si>
  <si>
    <t>Augusto Fotógrafo</t>
  </si>
  <si>
    <t>MasContainer</t>
  </si>
  <si>
    <t>EuQueroInvestir</t>
  </si>
  <si>
    <t>Ministério da Fazenda</t>
  </si>
  <si>
    <t>Fluir Investimentos</t>
  </si>
  <si>
    <t>PaginaUno.Do</t>
  </si>
  <si>
    <t>Superintendencia del Mercado de Valores</t>
  </si>
  <si>
    <t>Lucas Augusto</t>
  </si>
  <si>
    <t>Nahem Reyes</t>
  </si>
  <si>
    <t>Victor Pavon</t>
  </si>
  <si>
    <t>🇹🇷 🇪🇸 Turquia</t>
  </si>
  <si>
    <t>Volverasertigre</t>
  </si>
  <si>
    <t>Leonardo Enrique</t>
  </si>
  <si>
    <t>Juan Alberto Enrique</t>
  </si>
  <si>
    <t>Silvia Marquez</t>
  </si>
  <si>
    <t>Queagito.com</t>
  </si>
  <si>
    <t>Geraldo Andrade</t>
  </si>
  <si>
    <t>Canal de la Ciudad</t>
  </si>
  <si>
    <t>Djalma</t>
  </si>
  <si>
    <t>Geraldo Alckmin 🇧🇷</t>
  </si>
  <si>
    <t>UNIR | La Universidad en Internet</t>
  </si>
  <si>
    <t>Nueva Revista</t>
  </si>
  <si>
    <t>Complutense</t>
  </si>
  <si>
    <t>Banco de España</t>
  </si>
  <si>
    <t>SEESP | Sindicato dos Engenheiros</t>
  </si>
  <si>
    <t>Eduardo J. Quintana</t>
  </si>
  <si>
    <t>Bernardo Galeazzi Ov</t>
  </si>
  <si>
    <t>Crónicas del Dia RD</t>
  </si>
  <si>
    <t>Jornalistas Livres</t>
  </si>
  <si>
    <t>Paulo Nogueira Batista Jr.</t>
  </si>
  <si>
    <t>Junior Marte</t>
  </si>
  <si>
    <t>Data Patagonia</t>
  </si>
  <si>
    <t>José Amaral Neto 🛸🆙</t>
  </si>
  <si>
    <t>Diário de Goiás</t>
  </si>
  <si>
    <t>Washington Quaqua Oficial</t>
  </si>
  <si>
    <t>Renata Soeiro</t>
  </si>
  <si>
    <t>Aladdim - Dual Logic - Factor - Saula</t>
  </si>
  <si>
    <t>Léia BRASIL ! 🇧🇷🇧🇷💚💛</t>
  </si>
  <si>
    <t>Israel Pimentel</t>
  </si>
  <si>
    <t>Vagner Mayer</t>
  </si>
  <si>
    <t>Davi Terra</t>
  </si>
  <si>
    <t>Olhar Digital</t>
  </si>
  <si>
    <t>DespertarNacionalRD</t>
  </si>
  <si>
    <t>RADIO DEMOCRACIA/EXA</t>
  </si>
  <si>
    <t>Rodolfo Molina 🇨🇷🇺🇦🇨🇷🇺🇦</t>
  </si>
  <si>
    <t>Thiago Félix</t>
  </si>
  <si>
    <t>Claudio Just</t>
  </si>
  <si>
    <t>Marcoocram</t>
  </si>
  <si>
    <t>Nuno Vasconcellos</t>
  </si>
  <si>
    <t>Luis Alberto Arias M</t>
  </si>
  <si>
    <t>Farid Matuk</t>
  </si>
  <si>
    <t>Citações de Guilherme Fonseca Faro</t>
  </si>
  <si>
    <t>El Tribuno de Jujuy</t>
  </si>
  <si>
    <t>El Tribuno</t>
  </si>
  <si>
    <t>El Chorrillero</t>
  </si>
  <si>
    <t>La Belleza cambiara el mundo 🇦🇷🤜🤛</t>
  </si>
  <si>
    <t>Jornal Ponto</t>
  </si>
  <si>
    <t>itss.dboy🤧</t>
  </si>
  <si>
    <t>PIXTV HD</t>
  </si>
  <si>
    <t>Professor #NÃO o Dino</t>
  </si>
  <si>
    <t>Md Sudha islam</t>
  </si>
  <si>
    <t>Vernan Mesen</t>
  </si>
  <si>
    <t>Bartolo Boyer</t>
  </si>
  <si>
    <t>CR</t>
  </si>
  <si>
    <t>Zeca Dirceu</t>
  </si>
  <si>
    <t>Moisés Selerges</t>
  </si>
  <si>
    <t>albina rabello🚩⭐️🚩⭐️🚩⭐️🚩</t>
  </si>
  <si>
    <t>Resumo da Imprensa</t>
  </si>
  <si>
    <t>Folha do Condomínio</t>
  </si>
  <si>
    <t>ÍCONE Comunicação, Notícias e Redes Sociais</t>
  </si>
  <si>
    <t>DIARINHO</t>
  </si>
  <si>
    <t>YERFRIN GRANADOS</t>
  </si>
  <si>
    <t>DanielErn</t>
  </si>
  <si>
    <t>#NoMePises</t>
  </si>
  <si>
    <t>Contador Agora News</t>
  </si>
  <si>
    <t>Marcos Reis 🇧🇷🇧🇷🇧🇷</t>
  </si>
  <si>
    <t>GoTrader x</t>
  </si>
  <si>
    <t>Auris Martins de Oliveira</t>
  </si>
  <si>
    <t>DitaduraNews</t>
  </si>
  <si>
    <t>Direita Sergipana</t>
  </si>
  <si>
    <t>Marizeth Yoshida</t>
  </si>
  <si>
    <t>Panorama Semanal</t>
  </si>
  <si>
    <t>Agrolatam</t>
  </si>
  <si>
    <t>Enicomputer</t>
  </si>
  <si>
    <t>Maxwell Smart</t>
  </si>
  <si>
    <t>Daniel Cadenas</t>
  </si>
  <si>
    <t>Miguel Angel Perin</t>
  </si>
  <si>
    <t>Finanças</t>
  </si>
  <si>
    <t>Jefferson Lucas</t>
  </si>
  <si>
    <t>Nazare Fraga</t>
  </si>
  <si>
    <t>GeraGonza</t>
  </si>
  <si>
    <t>FM Bahía Engaño</t>
  </si>
  <si>
    <t>#Vero</t>
  </si>
  <si>
    <t>quierodecir_diario</t>
  </si>
  <si>
    <t>Prof. Claudio Branchieri</t>
  </si>
  <si>
    <t>Laurent</t>
  </si>
  <si>
    <t>Alejandro Guardia</t>
  </si>
  <si>
    <t>Jornal SERRANOSSA</t>
  </si>
  <si>
    <t>Redação Jornal RJ106</t>
  </si>
  <si>
    <t>SóNotíciaBoa.com.br</t>
  </si>
  <si>
    <t>washington gomes</t>
  </si>
  <si>
    <t>Tyrso Neto</t>
  </si>
  <si>
    <t>German Margheritti</t>
  </si>
  <si>
    <t>Toni Schweinheim</t>
  </si>
  <si>
    <t>Políticamente Correcto</t>
  </si>
  <si>
    <t>Larry Yumibanda Montiel</t>
  </si>
  <si>
    <t>Barbie</t>
  </si>
  <si>
    <t>Noticias Mar del Plata</t>
  </si>
  <si>
    <t>Política Chubut</t>
  </si>
  <si>
    <t>Poder360</t>
  </si>
  <si>
    <t>De Último Minuto</t>
  </si>
  <si>
    <t>Anithxaa🔥</t>
  </si>
  <si>
    <t>Radio Canal Formosa</t>
  </si>
  <si>
    <t>Mikael Carlos</t>
  </si>
  <si>
    <t>Lic. Yuan</t>
  </si>
  <si>
    <t>Enfoque</t>
  </si>
  <si>
    <t>Patrimore</t>
  </si>
  <si>
    <t>Radio Don</t>
  </si>
  <si>
    <t>Inversor Global</t>
  </si>
  <si>
    <t>Rodrigo Da Rocha Xavier🇾🇪🇧🇷</t>
  </si>
  <si>
    <t>Gervásio Taylor</t>
  </si>
  <si>
    <t>Lourenço 🇭🇺</t>
  </si>
  <si>
    <t>Celia Silva</t>
  </si>
  <si>
    <t>adn21 - Agencia de Noticias</t>
  </si>
  <si>
    <t>estrela guia Estrela</t>
  </si>
  <si>
    <t>Vanellope ↩</t>
  </si>
  <si>
    <t>Alexander Pifano</t>
  </si>
  <si>
    <t>Revista Códigos</t>
  </si>
  <si>
    <t>@FigueiredoLeo</t>
  </si>
  <si>
    <t>Diario Puntal</t>
  </si>
  <si>
    <t>Estaremos Vigilantes 🇧🇷</t>
  </si>
  <si>
    <t>Bahíapolítica 🎯</t>
  </si>
  <si>
    <t>Ciudadanos Por Dominga</t>
  </si>
  <si>
    <t>Diálogos do Sul 🌎</t>
  </si>
  <si>
    <t>PT na Câmara</t>
  </si>
  <si>
    <t>Jorge Avilez Gajardo</t>
  </si>
  <si>
    <t>Yerko Livacic</t>
  </si>
  <si>
    <t>Ignacio Briones</t>
  </si>
  <si>
    <t>Gael Yeomans</t>
  </si>
  <si>
    <t>Gonzalo Winter 🇨🇱</t>
  </si>
  <si>
    <t>Wanderson Renan</t>
  </si>
  <si>
    <t>Por Quê?</t>
  </si>
  <si>
    <t>Julio César</t>
  </si>
  <si>
    <t>𝙈𝙚𝙢𝙚𝙨 𝙙𝙚𝙡 𝙈𝙞𝙟𝙞𝙣</t>
  </si>
  <si>
    <t>Furtadoworld</t>
  </si>
  <si>
    <t>Diario El País Honduras</t>
  </si>
  <si>
    <t>cantonio7.eth</t>
  </si>
  <si>
    <t>RADIO GARGALHADA FM 📻🎙️</t>
  </si>
  <si>
    <t>seba</t>
  </si>
  <si>
    <t>Noticiero Nueve</t>
  </si>
  <si>
    <t>Portal Gira Notícias</t>
  </si>
  <si>
    <t>Marilene</t>
  </si>
  <si>
    <t>Los Notables</t>
  </si>
  <si>
    <t>Temucodiario.cl</t>
  </si>
  <si>
    <t>Elena De Liberal Mente 🗽🇨🇱</t>
  </si>
  <si>
    <t>Enzo Pagani</t>
  </si>
  <si>
    <t>Madame de Rosa del 30% anti k anti jxk .</t>
  </si>
  <si>
    <t>Fundación No Mas PC Chile</t>
  </si>
  <si>
    <t>colomba</t>
  </si>
  <si>
    <t>Come </t>
  </si>
  <si>
    <t>Darek Macpherson</t>
  </si>
  <si>
    <t>JornalCorreiodeMinas</t>
  </si>
  <si>
    <t>Striptease Del Poder</t>
  </si>
  <si>
    <t>jean</t>
  </si>
  <si>
    <t>Crónica Cuerva</t>
  </si>
  <si>
    <t>Desenfoque CL</t>
  </si>
  <si>
    <t>CSMV Advogados</t>
  </si>
  <si>
    <t>Ck Comunicacao</t>
  </si>
  <si>
    <t>Radio Pulso Formosa</t>
  </si>
  <si>
    <t>Guazelli Advocacia</t>
  </si>
  <si>
    <t>Tiempo y Politica</t>
  </si>
  <si>
    <t>Santiago Peña</t>
  </si>
  <si>
    <t>LMNeuquén</t>
  </si>
  <si>
    <t>Vera Lucia Fonseca</t>
  </si>
  <si>
    <t>Grupo Bettencourt</t>
  </si>
  <si>
    <t>Folha de Brasília</t>
  </si>
  <si>
    <t>Jornalismo TV Cultura</t>
  </si>
  <si>
    <t>NicoArdu</t>
  </si>
  <si>
    <t>Carioca Republicana</t>
  </si>
  <si>
    <t>Isabel Santos</t>
  </si>
  <si>
    <t>El Editor Platense</t>
  </si>
  <si>
    <t>ActivTrades Português</t>
  </si>
  <si>
    <t>Jonatas Amorim 🍥</t>
  </si>
  <si>
    <t>Bancax</t>
  </si>
  <si>
    <t>RadioKermes-FM 106.1</t>
  </si>
  <si>
    <t>Bücher</t>
  </si>
  <si>
    <t>🌐 Portal D&amp;A News</t>
  </si>
  <si>
    <t>Sebastian Vasco T.</t>
  </si>
  <si>
    <t>Leticia Pineda</t>
  </si>
  <si>
    <t>Agence France-Presse</t>
  </si>
  <si>
    <t>Tiendas Hites</t>
  </si>
  <si>
    <t>Francisco Cabrillo</t>
  </si>
  <si>
    <t>Osvaldo Gimenez</t>
  </si>
  <si>
    <t>Gᵢₛₑ</t>
  </si>
  <si>
    <t>Tereza Cristina</t>
  </si>
  <si>
    <t>Martín Lousteau</t>
  </si>
  <si>
    <t>Portal ChicoSabeTudo</t>
  </si>
  <si>
    <t>112413490</t>
  </si>
  <si>
    <t>227862402</t>
  </si>
  <si>
    <t>61815962</t>
  </si>
  <si>
    <t>454388444</t>
  </si>
  <si>
    <t>1286227405</t>
  </si>
  <si>
    <t>53387327</t>
  </si>
  <si>
    <t>214275191</t>
  </si>
  <si>
    <t>1534862833061613568</t>
  </si>
  <si>
    <t>175211565</t>
  </si>
  <si>
    <t>70411503</t>
  </si>
  <si>
    <t>123697477</t>
  </si>
  <si>
    <t>106175018</t>
  </si>
  <si>
    <t>1888042063</t>
  </si>
  <si>
    <t>2451825048</t>
  </si>
  <si>
    <t>89589379</t>
  </si>
  <si>
    <t>2516650610</t>
  </si>
  <si>
    <t>286916211</t>
  </si>
  <si>
    <t>557078430</t>
  </si>
  <si>
    <t>939091</t>
  </si>
  <si>
    <t>24753566</t>
  </si>
  <si>
    <t>93763185</t>
  </si>
  <si>
    <t>235131177</t>
  </si>
  <si>
    <t>176540641</t>
  </si>
  <si>
    <t>2482221318</t>
  </si>
  <si>
    <t>1400548498077065218</t>
  </si>
  <si>
    <t>1125763487630864384</t>
  </si>
  <si>
    <t>1351271857660579845</t>
  </si>
  <si>
    <t>49482270</t>
  </si>
  <si>
    <t>12493262</t>
  </si>
  <si>
    <t>460270968</t>
  </si>
  <si>
    <t>140919366</t>
  </si>
  <si>
    <t>881634807268114432</t>
  </si>
  <si>
    <t>1228636459</t>
  </si>
  <si>
    <t>226688200</t>
  </si>
  <si>
    <t>138840559</t>
  </si>
  <si>
    <t>158059666</t>
  </si>
  <si>
    <t>1252764865</t>
  </si>
  <si>
    <t>131611473</t>
  </si>
  <si>
    <t>65946747</t>
  </si>
  <si>
    <t>111349115</t>
  </si>
  <si>
    <t>462036496</t>
  </si>
  <si>
    <t>2925848175</t>
  </si>
  <si>
    <t>861499507</t>
  </si>
  <si>
    <t>218618223</t>
  </si>
  <si>
    <t>27438844</t>
  </si>
  <si>
    <t>163958452</t>
  </si>
  <si>
    <t>1651900940</t>
  </si>
  <si>
    <t>217592807</t>
  </si>
  <si>
    <t>57448003</t>
  </si>
  <si>
    <t>41824533</t>
  </si>
  <si>
    <t>87247014</t>
  </si>
  <si>
    <t>450691437</t>
  </si>
  <si>
    <t>1525163026793521152</t>
  </si>
  <si>
    <t>76277286</t>
  </si>
  <si>
    <t>3353304353</t>
  </si>
  <si>
    <t>1436123159456006144</t>
  </si>
  <si>
    <t>252053828</t>
  </si>
  <si>
    <t>53539351</t>
  </si>
  <si>
    <t>104171632</t>
  </si>
  <si>
    <t>167488809</t>
  </si>
  <si>
    <t>755819601947160576</t>
  </si>
  <si>
    <t>18510558</t>
  </si>
  <si>
    <t>2493429291</t>
  </si>
  <si>
    <t>43534995</t>
  </si>
  <si>
    <t>1652541</t>
  </si>
  <si>
    <t>299320562</t>
  </si>
  <si>
    <t>1486419553</t>
  </si>
  <si>
    <t>3227618016</t>
  </si>
  <si>
    <t>13623532</t>
  </si>
  <si>
    <t>73981088</t>
  </si>
  <si>
    <t>40553987</t>
  </si>
  <si>
    <t>149675583</t>
  </si>
  <si>
    <t>94388843</t>
  </si>
  <si>
    <t>47450803</t>
  </si>
  <si>
    <t>546029429</t>
  </si>
  <si>
    <t>3289033827</t>
  </si>
  <si>
    <t>1046199176</t>
  </si>
  <si>
    <t>281604717</t>
  </si>
  <si>
    <t>217169311</t>
  </si>
  <si>
    <t>149991703</t>
  </si>
  <si>
    <t>783159774</t>
  </si>
  <si>
    <t>66848542</t>
  </si>
  <si>
    <t>36545286</t>
  </si>
  <si>
    <t>143173757</t>
  </si>
  <si>
    <t>2321672670</t>
  </si>
  <si>
    <t>888176281107521537</t>
  </si>
  <si>
    <t>293698120</t>
  </si>
  <si>
    <t>80281517</t>
  </si>
  <si>
    <t>54290021</t>
  </si>
  <si>
    <t>2555667944</t>
  </si>
  <si>
    <t>160609570</t>
  </si>
  <si>
    <t>2763468069</t>
  </si>
  <si>
    <t>2645975538</t>
  </si>
  <si>
    <t>485801670</t>
  </si>
  <si>
    <t>33989170</t>
  </si>
  <si>
    <t>4295131347</t>
  </si>
  <si>
    <t>348658631</t>
  </si>
  <si>
    <t>1077217524</t>
  </si>
  <si>
    <t>160539410</t>
  </si>
  <si>
    <t>77009449</t>
  </si>
  <si>
    <t>957510522</t>
  </si>
  <si>
    <t>169338130</t>
  </si>
  <si>
    <t>169502310</t>
  </si>
  <si>
    <t>1707652002</t>
  </si>
  <si>
    <t>456677700</t>
  </si>
  <si>
    <t>520788894</t>
  </si>
  <si>
    <t>300405680</t>
  </si>
  <si>
    <t>949742420</t>
  </si>
  <si>
    <t>166395732</t>
  </si>
  <si>
    <t>14311308</t>
  </si>
  <si>
    <t>2446310036</t>
  </si>
  <si>
    <t>238786165</t>
  </si>
  <si>
    <t>336028105</t>
  </si>
  <si>
    <t>162342147</t>
  </si>
  <si>
    <t>2511531616</t>
  </si>
  <si>
    <t>901490098851774464</t>
  </si>
  <si>
    <t>1524244452897873920</t>
  </si>
  <si>
    <t>1516051874968920069</t>
  </si>
  <si>
    <t>874613027861139457</t>
  </si>
  <si>
    <t>388327906</t>
  </si>
  <si>
    <t>44877927</t>
  </si>
  <si>
    <t>83633242</t>
  </si>
  <si>
    <t>347038543</t>
  </si>
  <si>
    <t>418282895</t>
  </si>
  <si>
    <t>17317080</t>
  </si>
  <si>
    <t>1185781122967441410</t>
  </si>
  <si>
    <t>2821491213</t>
  </si>
  <si>
    <t>3166196639</t>
  </si>
  <si>
    <t>614776874</t>
  </si>
  <si>
    <t>34455479</t>
  </si>
  <si>
    <t>3642786376</t>
  </si>
  <si>
    <t>18930571</t>
  </si>
  <si>
    <t>180004018</t>
  </si>
  <si>
    <t>105246377</t>
  </si>
  <si>
    <t>130381198</t>
  </si>
  <si>
    <t>143529859</t>
  </si>
  <si>
    <t>575591153</t>
  </si>
  <si>
    <t>183887762</t>
  </si>
  <si>
    <t>103020442</t>
  </si>
  <si>
    <t>1467912842</t>
  </si>
  <si>
    <t>2732290501</t>
  </si>
  <si>
    <t>55660696</t>
  </si>
  <si>
    <t>103594902</t>
  </si>
  <si>
    <t>154021571</t>
  </si>
  <si>
    <t>120577823</t>
  </si>
  <si>
    <t>65722618</t>
  </si>
  <si>
    <t>154327424</t>
  </si>
  <si>
    <t>206286309</t>
  </si>
  <si>
    <t>231835121</t>
  </si>
  <si>
    <t>1024287005058981888</t>
  </si>
  <si>
    <t>394987728</t>
  </si>
  <si>
    <t>2162997787</t>
  </si>
  <si>
    <t>285443624</t>
  </si>
  <si>
    <t>129002495</t>
  </si>
  <si>
    <t>113450919</t>
  </si>
  <si>
    <t>118432991</t>
  </si>
  <si>
    <t>1455253418</t>
  </si>
  <si>
    <t>228903372</t>
  </si>
  <si>
    <t>1113095113268494336</t>
  </si>
  <si>
    <t>498202732</t>
  </si>
  <si>
    <t>470606768</t>
  </si>
  <si>
    <t>150786349</t>
  </si>
  <si>
    <t>1861864728</t>
  </si>
  <si>
    <t>50068402</t>
  </si>
  <si>
    <t>844451234</t>
  </si>
  <si>
    <t>48835475</t>
  </si>
  <si>
    <t>29297040</t>
  </si>
  <si>
    <t>105611575</t>
  </si>
  <si>
    <t>68736733</t>
  </si>
  <si>
    <t>555971617</t>
  </si>
  <si>
    <t>92356864</t>
  </si>
  <si>
    <t>18671212</t>
  </si>
  <si>
    <t>212916157</t>
  </si>
  <si>
    <t>3623168115</t>
  </si>
  <si>
    <t>173104465</t>
  </si>
  <si>
    <t>1488687022550175745</t>
  </si>
  <si>
    <t>4341845367</t>
  </si>
  <si>
    <t>280656430</t>
  </si>
  <si>
    <t>1353221899</t>
  </si>
  <si>
    <t>176464755</t>
  </si>
  <si>
    <t>54336513</t>
  </si>
  <si>
    <t>1009620901</t>
  </si>
  <si>
    <t>218277336</t>
  </si>
  <si>
    <t>873515538</t>
  </si>
  <si>
    <t>152325528</t>
  </si>
  <si>
    <t>453970260</t>
  </si>
  <si>
    <t>92199079</t>
  </si>
  <si>
    <t>210526560</t>
  </si>
  <si>
    <t>752178528</t>
  </si>
  <si>
    <t>1427423584620851205</t>
  </si>
  <si>
    <t>1526356506391859200</t>
  </si>
  <si>
    <t>2403733330</t>
  </si>
  <si>
    <t>29450646</t>
  </si>
  <si>
    <t>16199942</t>
  </si>
  <si>
    <t>2508415207</t>
  </si>
  <si>
    <t>58538112</t>
  </si>
  <si>
    <t>43774330</t>
  </si>
  <si>
    <t>505991842</t>
  </si>
  <si>
    <t>321150024</t>
  </si>
  <si>
    <t>407974351</t>
  </si>
  <si>
    <t>2752388762</t>
  </si>
  <si>
    <t>604685700</t>
  </si>
  <si>
    <t>568494327</t>
  </si>
  <si>
    <t>3187616987</t>
  </si>
  <si>
    <t>749346631</t>
  </si>
  <si>
    <t>157070584</t>
  </si>
  <si>
    <t>139890276</t>
  </si>
  <si>
    <t>1480701004341559297</t>
  </si>
  <si>
    <t>982604001387728896</t>
  </si>
  <si>
    <t>1408646317</t>
  </si>
  <si>
    <t>3814801875</t>
  </si>
  <si>
    <t>309812848</t>
  </si>
  <si>
    <t>301178278</t>
  </si>
  <si>
    <t>2835075677</t>
  </si>
  <si>
    <t>141746750</t>
  </si>
  <si>
    <t>2792117080</t>
  </si>
  <si>
    <t>1204482608354283520</t>
  </si>
  <si>
    <t>168549091</t>
  </si>
  <si>
    <t>15863741</t>
  </si>
  <si>
    <t>103990421</t>
  </si>
  <si>
    <t>3240648647</t>
  </si>
  <si>
    <t>35490311</t>
  </si>
  <si>
    <t>64065078</t>
  </si>
  <si>
    <t>296044994</t>
  </si>
  <si>
    <t>89185161</t>
  </si>
  <si>
    <t>34570207</t>
  </si>
  <si>
    <t>31139434</t>
  </si>
  <si>
    <t>2157106536</t>
  </si>
  <si>
    <t>172738509</t>
  </si>
  <si>
    <t>817420441</t>
  </si>
  <si>
    <t>1669631264</t>
  </si>
  <si>
    <t>150680335</t>
  </si>
  <si>
    <t>140065192</t>
  </si>
  <si>
    <t>44778941</t>
  </si>
  <si>
    <t>75289487</t>
  </si>
  <si>
    <t>2674564802</t>
  </si>
  <si>
    <t>23941036</t>
  </si>
  <si>
    <t>36547354</t>
  </si>
  <si>
    <t>343403245</t>
  </si>
  <si>
    <t>547051556</t>
  </si>
  <si>
    <t>488642013</t>
  </si>
  <si>
    <t>60754470</t>
  </si>
  <si>
    <t>41589948</t>
  </si>
  <si>
    <t>33548687</t>
  </si>
  <si>
    <t>73259704</t>
  </si>
  <si>
    <t>39755430</t>
  </si>
  <si>
    <t>157536579</t>
  </si>
  <si>
    <t>1274231033253298176</t>
  </si>
  <si>
    <t>870178758</t>
  </si>
  <si>
    <t>242311942</t>
  </si>
  <si>
    <t>2587374441</t>
  </si>
  <si>
    <t>15536888</t>
  </si>
  <si>
    <t>785833176</t>
  </si>
  <si>
    <t>204368952</t>
  </si>
  <si>
    <t>44924110</t>
  </si>
  <si>
    <t>17850880</t>
  </si>
  <si>
    <t>86962550</t>
  </si>
  <si>
    <t>90010417</t>
  </si>
  <si>
    <t>975733599147315201</t>
  </si>
  <si>
    <t>156000022</t>
  </si>
  <si>
    <t>410074244</t>
  </si>
  <si>
    <t>245896728</t>
  </si>
  <si>
    <t>2453501442</t>
  </si>
  <si>
    <t>225006023</t>
  </si>
  <si>
    <t>2502473281</t>
  </si>
  <si>
    <t>3151796591</t>
  </si>
  <si>
    <t>48821743</t>
  </si>
  <si>
    <t>40351060</t>
  </si>
  <si>
    <t>61843152</t>
  </si>
  <si>
    <t>40095953</t>
  </si>
  <si>
    <t>310861879</t>
  </si>
  <si>
    <t>27900594</t>
  </si>
  <si>
    <t>450753390</t>
  </si>
  <si>
    <t>2841506345</t>
  </si>
  <si>
    <t>15850306</t>
  </si>
  <si>
    <t>1281250640</t>
  </si>
  <si>
    <t>83850737</t>
  </si>
  <si>
    <t>3230839742</t>
  </si>
  <si>
    <t>1452353106</t>
  </si>
  <si>
    <t>548797708</t>
  </si>
  <si>
    <t>180513473</t>
  </si>
  <si>
    <t>58401477</t>
  </si>
  <si>
    <t>160910872</t>
  </si>
  <si>
    <t>35765232</t>
  </si>
  <si>
    <t>1056568434266439680</t>
  </si>
  <si>
    <t>349397588</t>
  </si>
  <si>
    <t>589408423</t>
  </si>
  <si>
    <t>232458636</t>
  </si>
  <si>
    <t>1471580293714923529</t>
  </si>
  <si>
    <t>7668952</t>
  </si>
  <si>
    <t>2375877338</t>
  </si>
  <si>
    <t>188293356</t>
  </si>
  <si>
    <t>4854937214</t>
  </si>
  <si>
    <t>3223746900</t>
  </si>
  <si>
    <t>53394788</t>
  </si>
  <si>
    <t>2218449720</t>
  </si>
  <si>
    <t>140094070</t>
  </si>
  <si>
    <t>17675497</t>
  </si>
  <si>
    <t>36390281</t>
  </si>
  <si>
    <t>1222046371</t>
  </si>
  <si>
    <t>1007612404484726784</t>
  </si>
  <si>
    <t>35729682</t>
  </si>
  <si>
    <t>303597941</t>
  </si>
  <si>
    <t>334241034</t>
  </si>
  <si>
    <t>92531526</t>
  </si>
  <si>
    <t>203665693</t>
  </si>
  <si>
    <t>167884870</t>
  </si>
  <si>
    <t>2865924063</t>
  </si>
  <si>
    <t>540325082</t>
  </si>
  <si>
    <t>580067334</t>
  </si>
  <si>
    <t>98952456</t>
  </si>
  <si>
    <t>844465704</t>
  </si>
  <si>
    <t>383085815</t>
  </si>
  <si>
    <t>10228272</t>
  </si>
  <si>
    <t>80714028</t>
  </si>
  <si>
    <t>96735923</t>
  </si>
  <si>
    <t>78697019</t>
  </si>
  <si>
    <t>85656359</t>
  </si>
  <si>
    <t>415859364</t>
  </si>
  <si>
    <t>65473559</t>
  </si>
  <si>
    <t>56002324</t>
  </si>
  <si>
    <t>128372940</t>
  </si>
  <si>
    <t>2810838677</t>
  </si>
  <si>
    <t>967898171799232516</t>
  </si>
  <si>
    <t>1647235316225327105</t>
  </si>
  <si>
    <t>316716766</t>
  </si>
  <si>
    <t>206471012</t>
  </si>
  <si>
    <t>937102033718562816</t>
  </si>
  <si>
    <t>884718668231430148</t>
  </si>
  <si>
    <t>1478873305402818561</t>
  </si>
  <si>
    <t>1614286453382545410</t>
  </si>
  <si>
    <t>1246300108548947968</t>
  </si>
  <si>
    <t>1457005158832001032</t>
  </si>
  <si>
    <t>1348293317386268673</t>
  </si>
  <si>
    <t>1520716396778381312</t>
  </si>
  <si>
    <t>1243305145863110657</t>
  </si>
  <si>
    <t>64634612</t>
  </si>
  <si>
    <t>1587169006041145344</t>
  </si>
  <si>
    <t>903159689051066369</t>
  </si>
  <si>
    <t>619420076</t>
  </si>
  <si>
    <t>104297856</t>
  </si>
  <si>
    <t>66193411</t>
  </si>
  <si>
    <t>376989408</t>
  </si>
  <si>
    <t>64139935</t>
  </si>
  <si>
    <t>2192200168</t>
  </si>
  <si>
    <t>56488485</t>
  </si>
  <si>
    <t>24392800</t>
  </si>
  <si>
    <t>29274419</t>
  </si>
  <si>
    <t>109305787</t>
  </si>
  <si>
    <t>556018849</t>
  </si>
  <si>
    <t>2209329607</t>
  </si>
  <si>
    <t>61166178</t>
  </si>
  <si>
    <t>112750333</t>
  </si>
  <si>
    <t>494539258</t>
  </si>
  <si>
    <t>2718924351</t>
  </si>
  <si>
    <t>1136254840617787392</t>
  </si>
  <si>
    <t>52045368</t>
  </si>
  <si>
    <t>16872315</t>
  </si>
  <si>
    <t>3096479489</t>
  </si>
  <si>
    <t>270329897</t>
  </si>
  <si>
    <t>112987505</t>
  </si>
  <si>
    <t>426159377</t>
  </si>
  <si>
    <t>402337238</t>
  </si>
  <si>
    <t>202896989</t>
  </si>
  <si>
    <t>31182040</t>
  </si>
  <si>
    <t>240555602</t>
  </si>
  <si>
    <t>2960977114</t>
  </si>
  <si>
    <t>230057888</t>
  </si>
  <si>
    <t>17314674</t>
  </si>
  <si>
    <t>1420922660</t>
  </si>
  <si>
    <t>387855674</t>
  </si>
  <si>
    <t>1645736942</t>
  </si>
  <si>
    <t>573729744</t>
  </si>
  <si>
    <t>1934121132</t>
  </si>
  <si>
    <t>90683850</t>
  </si>
  <si>
    <t>2794742326</t>
  </si>
  <si>
    <t>337430562</t>
  </si>
  <si>
    <t>223932614</t>
  </si>
  <si>
    <t>146263639</t>
  </si>
  <si>
    <t>184951603</t>
  </si>
  <si>
    <t>50475393</t>
  </si>
  <si>
    <t>36115008</t>
  </si>
  <si>
    <t>2830654988</t>
  </si>
  <si>
    <t>54628339</t>
  </si>
  <si>
    <t>63971962</t>
  </si>
  <si>
    <t>1154706350</t>
  </si>
  <si>
    <t>92037820</t>
  </si>
  <si>
    <t>2778521722</t>
  </si>
  <si>
    <t>1722639798</t>
  </si>
  <si>
    <t>1037124626</t>
  </si>
  <si>
    <t>190622905</t>
  </si>
  <si>
    <t>1494862898</t>
  </si>
  <si>
    <t>20766595</t>
  </si>
  <si>
    <t>21046784</t>
  </si>
  <si>
    <t>71314398</t>
  </si>
  <si>
    <t>2273826763</t>
  </si>
  <si>
    <t>254611669</t>
  </si>
  <si>
    <t>555622888</t>
  </si>
  <si>
    <t>33374761</t>
  </si>
  <si>
    <t>270178975</t>
  </si>
  <si>
    <t>307897148</t>
  </si>
  <si>
    <t>4847205360</t>
  </si>
  <si>
    <t>4846281429</t>
  </si>
  <si>
    <t>1620819319</t>
  </si>
  <si>
    <t>1156013664681353217</t>
  </si>
  <si>
    <t>53469538</t>
  </si>
  <si>
    <t>163963180</t>
  </si>
  <si>
    <t>102784519</t>
  </si>
  <si>
    <t>19593634</t>
  </si>
  <si>
    <t>276649540</t>
  </si>
  <si>
    <t>341554432</t>
  </si>
  <si>
    <t>1098533610</t>
  </si>
  <si>
    <t>408478004</t>
  </si>
  <si>
    <t>1435704301679267840</t>
  </si>
  <si>
    <t>48821294</t>
  </si>
  <si>
    <t>34639484</t>
  </si>
  <si>
    <t>191171142</t>
  </si>
  <si>
    <t>33534495</t>
  </si>
  <si>
    <t>1051490627278569479</t>
  </si>
  <si>
    <t>61106922</t>
  </si>
  <si>
    <t>262788220</t>
  </si>
  <si>
    <t>214626795</t>
  </si>
  <si>
    <t>51150679</t>
  </si>
  <si>
    <t>86200684</t>
  </si>
  <si>
    <t>229966200</t>
  </si>
  <si>
    <t>2480376386</t>
  </si>
  <si>
    <t>72079608</t>
  </si>
  <si>
    <t>15082918</t>
  </si>
  <si>
    <t>15741523</t>
  </si>
  <si>
    <t>304909941</t>
  </si>
  <si>
    <t>83466368</t>
  </si>
  <si>
    <t>994303120376303616</t>
  </si>
  <si>
    <t>1222939896349970432</t>
  </si>
  <si>
    <t>15084884</t>
  </si>
  <si>
    <t>52189996</t>
  </si>
  <si>
    <t>74756085</t>
  </si>
  <si>
    <t>68712576</t>
  </si>
  <si>
    <t>82271629</t>
  </si>
  <si>
    <t>560825868</t>
  </si>
  <si>
    <t>164088786</t>
  </si>
  <si>
    <t>48585389</t>
  </si>
  <si>
    <t>2325810834</t>
  </si>
  <si>
    <t>546076148</t>
  </si>
  <si>
    <t>874262871076634626</t>
  </si>
  <si>
    <t>204451183</t>
  </si>
  <si>
    <t>4425377655</t>
  </si>
  <si>
    <t>45255097</t>
  </si>
  <si>
    <t>369276324</t>
  </si>
  <si>
    <t>3021556996</t>
  </si>
  <si>
    <t>132210617</t>
  </si>
  <si>
    <t>1537416541897166848</t>
  </si>
  <si>
    <t>33299033</t>
  </si>
  <si>
    <t>169918595</t>
  </si>
  <si>
    <t>806493398</t>
  </si>
  <si>
    <t>2871850902</t>
  </si>
  <si>
    <t>762786918086180864</t>
  </si>
  <si>
    <t>17118982</t>
  </si>
  <si>
    <t>162807255</t>
  </si>
  <si>
    <t>473890640</t>
  </si>
  <si>
    <t>1723414039</t>
  </si>
  <si>
    <t>214981600</t>
  </si>
  <si>
    <t>524816445</t>
  </si>
  <si>
    <t>98105432</t>
  </si>
  <si>
    <t>3153998255</t>
  </si>
  <si>
    <t>562137836</t>
  </si>
  <si>
    <t>14638581</t>
  </si>
  <si>
    <t>8665852</t>
  </si>
  <si>
    <t>292421520</t>
  </si>
  <si>
    <t>17514805</t>
  </si>
  <si>
    <t>59211864</t>
  </si>
  <si>
    <t>283702864</t>
  </si>
  <si>
    <t>146325983</t>
  </si>
  <si>
    <t>151627290</t>
  </si>
  <si>
    <t>62806842</t>
  </si>
  <si>
    <t>297701533</t>
  </si>
  <si>
    <t>142646733</t>
  </si>
  <si>
    <t>3050293225</t>
  </si>
  <si>
    <t>382205673</t>
  </si>
  <si>
    <t>2627081283</t>
  </si>
  <si>
    <t>246107898</t>
  </si>
  <si>
    <t>103739393</t>
  </si>
  <si>
    <t>68269479</t>
  </si>
  <si>
    <t>2393074850</t>
  </si>
  <si>
    <t>1622992973343641602</t>
  </si>
  <si>
    <t>41806159</t>
  </si>
  <si>
    <t>238162336</t>
  </si>
  <si>
    <t>115090913</t>
  </si>
  <si>
    <t>335436884</t>
  </si>
  <si>
    <t>42102939</t>
  </si>
  <si>
    <t>23326155</t>
  </si>
  <si>
    <t>1175390274</t>
  </si>
  <si>
    <t>23408209</t>
  </si>
  <si>
    <t>60586472</t>
  </si>
  <si>
    <t>107005039</t>
  </si>
  <si>
    <t>3353280789</t>
  </si>
  <si>
    <t>108968018</t>
  </si>
  <si>
    <t>59649411</t>
  </si>
  <si>
    <t>128264524</t>
  </si>
  <si>
    <t>158000198</t>
  </si>
  <si>
    <t>192729279</t>
  </si>
  <si>
    <t>215427139</t>
  </si>
  <si>
    <t>488477453</t>
  </si>
  <si>
    <t>156402202</t>
  </si>
  <si>
    <t>123292247</t>
  </si>
  <si>
    <t>3222221589</t>
  </si>
  <si>
    <t>85865113</t>
  </si>
  <si>
    <t>36504210</t>
  </si>
  <si>
    <t>2859632723</t>
  </si>
  <si>
    <t>2320347221</t>
  </si>
  <si>
    <t>609454093</t>
  </si>
  <si>
    <t>40776090</t>
  </si>
  <si>
    <t>54341363</t>
  </si>
  <si>
    <t>9317502</t>
  </si>
  <si>
    <t>18286139</t>
  </si>
  <si>
    <t>2695707476</t>
  </si>
  <si>
    <t>2351712487</t>
  </si>
  <si>
    <t>28443407</t>
  </si>
  <si>
    <t>1365551898</t>
  </si>
  <si>
    <t>3229111961</t>
  </si>
  <si>
    <t>2816433530</t>
  </si>
  <si>
    <t>164459082</t>
  </si>
  <si>
    <t>61585662</t>
  </si>
  <si>
    <t>409315174</t>
  </si>
  <si>
    <t>917088511</t>
  </si>
  <si>
    <t>3022029010</t>
  </si>
  <si>
    <t>177531232</t>
  </si>
  <si>
    <t>1188807511</t>
  </si>
  <si>
    <t>293664512</t>
  </si>
  <si>
    <t>34450334</t>
  </si>
  <si>
    <t>229334332</t>
  </si>
  <si>
    <t>39522911</t>
  </si>
  <si>
    <t>280676667</t>
  </si>
  <si>
    <t>33560919</t>
  </si>
  <si>
    <t>244062447</t>
  </si>
  <si>
    <t>150364607</t>
  </si>
  <si>
    <t>60663483</t>
  </si>
  <si>
    <t>187370961</t>
  </si>
  <si>
    <t>360619751</t>
  </si>
  <si>
    <t>135761946</t>
  </si>
  <si>
    <t>276273248</t>
  </si>
  <si>
    <t>209780362</t>
  </si>
  <si>
    <t>236599447</t>
  </si>
  <si>
    <t>80080382</t>
  </si>
  <si>
    <t>17598453</t>
  </si>
  <si>
    <t>95275391</t>
  </si>
  <si>
    <t>2762859710</t>
  </si>
  <si>
    <t>43867517</t>
  </si>
  <si>
    <t>1209749604</t>
  </si>
  <si>
    <t>2994615995</t>
  </si>
  <si>
    <t>112786548</t>
  </si>
  <si>
    <t>157728236</t>
  </si>
  <si>
    <t>14295521</t>
  </si>
  <si>
    <t>371163345</t>
  </si>
  <si>
    <t>2319390320</t>
  </si>
  <si>
    <t>49744872</t>
  </si>
  <si>
    <t>4467651561</t>
  </si>
  <si>
    <t>104519778</t>
  </si>
  <si>
    <t>2320549338</t>
  </si>
  <si>
    <t>70455289</t>
  </si>
  <si>
    <t>4648000456</t>
  </si>
  <si>
    <t>124374240</t>
  </si>
  <si>
    <t>468637382</t>
  </si>
  <si>
    <t>138814032</t>
  </si>
  <si>
    <t>748334828978839553</t>
  </si>
  <si>
    <t>55659088</t>
  </si>
  <si>
    <t>16814640</t>
  </si>
  <si>
    <t>3070073066</t>
  </si>
  <si>
    <t>177624036</t>
  </si>
  <si>
    <t>1689340169772531712</t>
  </si>
  <si>
    <t>839245256470085632</t>
  </si>
  <si>
    <t>304181455</t>
  </si>
  <si>
    <t>93754487</t>
  </si>
  <si>
    <t>4855626387</t>
  </si>
  <si>
    <t>145802745</t>
  </si>
  <si>
    <t>570093803</t>
  </si>
  <si>
    <t>307920275</t>
  </si>
  <si>
    <t>2458491849</t>
  </si>
  <si>
    <t>96114119</t>
  </si>
  <si>
    <t>277177609</t>
  </si>
  <si>
    <t>149982380</t>
  </si>
  <si>
    <t>569461337</t>
  </si>
  <si>
    <t>510272910</t>
  </si>
  <si>
    <t>742800091</t>
  </si>
  <si>
    <t>41788880</t>
  </si>
  <si>
    <t>64851983</t>
  </si>
  <si>
    <t>90736344</t>
  </si>
  <si>
    <t>21238299</t>
  </si>
  <si>
    <t>207799921</t>
  </si>
  <si>
    <t>90791021</t>
  </si>
  <si>
    <t>2373001656</t>
  </si>
  <si>
    <t>162093008</t>
  </si>
  <si>
    <t>1395199711</t>
  </si>
  <si>
    <t>1474942237</t>
  </si>
  <si>
    <t>97785458</t>
  </si>
  <si>
    <t>59245505</t>
  </si>
  <si>
    <t>1535550655</t>
  </si>
  <si>
    <t>220038298</t>
  </si>
  <si>
    <t>1151569959031644160</t>
  </si>
  <si>
    <t>178385922</t>
  </si>
  <si>
    <t>68000600</t>
  </si>
  <si>
    <t>981499554</t>
  </si>
  <si>
    <t>172368909</t>
  </si>
  <si>
    <t>180625864</t>
  </si>
  <si>
    <t>492725485</t>
  </si>
  <si>
    <t>52162988</t>
  </si>
  <si>
    <t>15467410</t>
  </si>
  <si>
    <t>1961817306</t>
  </si>
  <si>
    <t>2576308558</t>
  </si>
  <si>
    <t>3299785390</t>
  </si>
  <si>
    <t>74592426</t>
  </si>
  <si>
    <t>705782638724911104</t>
  </si>
  <si>
    <t>471543043</t>
  </si>
  <si>
    <t>2379411043</t>
  </si>
  <si>
    <t>138048178</t>
  </si>
  <si>
    <t>42317726</t>
  </si>
  <si>
    <t>3702612315</t>
  </si>
  <si>
    <t>1387845141189246982</t>
  </si>
  <si>
    <t>1484195291431464961</t>
  </si>
  <si>
    <t>206954994</t>
  </si>
  <si>
    <t>1177219444092952577</t>
  </si>
  <si>
    <t>1643635850171805696</t>
  </si>
  <si>
    <t>59215690</t>
  </si>
  <si>
    <t>478722762</t>
  </si>
  <si>
    <t>899715335384944640</t>
  </si>
  <si>
    <t>1381789998</t>
  </si>
  <si>
    <t>990356681128337409</t>
  </si>
  <si>
    <t>54045693</t>
  </si>
  <si>
    <t>43145613</t>
  </si>
  <si>
    <t>38381272</t>
  </si>
  <si>
    <t>2456490592</t>
  </si>
  <si>
    <t>38532902</t>
  </si>
  <si>
    <t>3168996618</t>
  </si>
  <si>
    <t>388326498</t>
  </si>
  <si>
    <t>74243131</t>
  </si>
  <si>
    <t>1683571658</t>
  </si>
  <si>
    <t>50483335</t>
  </si>
  <si>
    <t>16966331</t>
  </si>
  <si>
    <t>871358839</t>
  </si>
  <si>
    <t>113708220</t>
  </si>
  <si>
    <t>98784464</t>
  </si>
  <si>
    <t>214859075</t>
  </si>
  <si>
    <t>92117145</t>
  </si>
  <si>
    <t>164439493</t>
  </si>
  <si>
    <t>64672669</t>
  </si>
  <si>
    <t>1120075057</t>
  </si>
  <si>
    <t>87540103</t>
  </si>
  <si>
    <t>3577998621</t>
  </si>
  <si>
    <t>74701047</t>
  </si>
  <si>
    <t>14306125</t>
  </si>
  <si>
    <t>4141989947</t>
  </si>
  <si>
    <t>543811467</t>
  </si>
  <si>
    <t>12815132</t>
  </si>
  <si>
    <t>22477577</t>
  </si>
  <si>
    <t>4076387662</t>
  </si>
  <si>
    <t>18144791</t>
  </si>
  <si>
    <t>183463551</t>
  </si>
  <si>
    <t>3024436931</t>
  </si>
  <si>
    <t>181075480</t>
  </si>
  <si>
    <t>3302958387</t>
  </si>
  <si>
    <t>27566796</t>
  </si>
  <si>
    <t>26573303</t>
  </si>
  <si>
    <t>58951368</t>
  </si>
  <si>
    <t>61748699</t>
  </si>
  <si>
    <t>16294264</t>
  </si>
  <si>
    <t>1281753962</t>
  </si>
  <si>
    <t>1284328310953189378</t>
  </si>
  <si>
    <t>67350941</t>
  </si>
  <si>
    <t>36958479</t>
  </si>
  <si>
    <t>187253173</t>
  </si>
  <si>
    <t>18898168</t>
  </si>
  <si>
    <t>124814431</t>
  </si>
  <si>
    <t>35876835</t>
  </si>
  <si>
    <t>765265519</t>
  </si>
  <si>
    <t>1359680900112465922</t>
  </si>
  <si>
    <t>2798447413</t>
  </si>
  <si>
    <t>55997850</t>
  </si>
  <si>
    <t>1431742526</t>
  </si>
  <si>
    <t>2629017858</t>
  </si>
  <si>
    <t>16672021</t>
  </si>
  <si>
    <t>120003503</t>
  </si>
  <si>
    <t>223841121</t>
  </si>
  <si>
    <t>430928385</t>
  </si>
  <si>
    <t>1857286891</t>
  </si>
  <si>
    <t>50663227</t>
  </si>
  <si>
    <t>862965530</t>
  </si>
  <si>
    <t>464111611</t>
  </si>
  <si>
    <t>1316964650836164610</t>
  </si>
  <si>
    <t>300390462</t>
  </si>
  <si>
    <t>59325873</t>
  </si>
  <si>
    <t>393851882</t>
  </si>
  <si>
    <t>789856765</t>
  </si>
  <si>
    <t>2923397967</t>
  </si>
  <si>
    <t>754452961019957248</t>
  </si>
  <si>
    <t>236550324</t>
  </si>
  <si>
    <t>38005749</t>
  </si>
  <si>
    <t>16492551</t>
  </si>
  <si>
    <t>25091081</t>
  </si>
  <si>
    <t>975127727501185025</t>
  </si>
  <si>
    <t>246196403</t>
  </si>
  <si>
    <t>1168861327596642304</t>
  </si>
  <si>
    <t>1582875116018446336</t>
  </si>
  <si>
    <t>195485223</t>
  </si>
  <si>
    <t>618254752</t>
  </si>
  <si>
    <t>182806777</t>
  </si>
  <si>
    <t>1295460145422635010</t>
  </si>
  <si>
    <t>804856201</t>
  </si>
  <si>
    <t>1025036191</t>
  </si>
  <si>
    <t>159117645</t>
  </si>
  <si>
    <t>1225866132</t>
  </si>
  <si>
    <t>1554339602</t>
  </si>
  <si>
    <t>4314194367</t>
  </si>
  <si>
    <t>1652964068</t>
  </si>
  <si>
    <t>1367617383704199171</t>
  </si>
  <si>
    <t>179889736</t>
  </si>
  <si>
    <t>17477363</t>
  </si>
  <si>
    <t>1017498556280856577</t>
  </si>
  <si>
    <t>45908423</t>
  </si>
  <si>
    <t>1083432083396149251</t>
  </si>
  <si>
    <t>41650084</t>
  </si>
  <si>
    <t>155755457</t>
  </si>
  <si>
    <t>183666702</t>
  </si>
  <si>
    <t>109640710</t>
  </si>
  <si>
    <t>592534825</t>
  </si>
  <si>
    <t>251600476</t>
  </si>
  <si>
    <t>38859850</t>
  </si>
  <si>
    <t>54539654</t>
  </si>
  <si>
    <t>185840220</t>
  </si>
  <si>
    <t>1375944788</t>
  </si>
  <si>
    <t>2447347574</t>
  </si>
  <si>
    <t>2193248824</t>
  </si>
  <si>
    <t>1595648917</t>
  </si>
  <si>
    <t>94013928</t>
  </si>
  <si>
    <t>142835897</t>
  </si>
  <si>
    <t>2277032210</t>
  </si>
  <si>
    <t>34950483</t>
  </si>
  <si>
    <t>153155182</t>
  </si>
  <si>
    <t>168801342</t>
  </si>
  <si>
    <t>313982367</t>
  </si>
  <si>
    <t>546333689</t>
  </si>
  <si>
    <t>1580818440</t>
  </si>
  <si>
    <t>1353481616199454726</t>
  </si>
  <si>
    <t>250662294</t>
  </si>
  <si>
    <t>4318258155</t>
  </si>
  <si>
    <t>39525281</t>
  </si>
  <si>
    <t>139843417</t>
  </si>
  <si>
    <t>52779980</t>
  </si>
  <si>
    <t>44714905</t>
  </si>
  <si>
    <t>236915613</t>
  </si>
  <si>
    <t>417443041</t>
  </si>
  <si>
    <t>1376145452</t>
  </si>
  <si>
    <t>135228435</t>
  </si>
  <si>
    <t>362473815</t>
  </si>
  <si>
    <t>253134427</t>
  </si>
  <si>
    <t>1500476029</t>
  </si>
  <si>
    <t>295860511</t>
  </si>
  <si>
    <t>89280411</t>
  </si>
  <si>
    <t>57981116</t>
  </si>
  <si>
    <t>238585086</t>
  </si>
  <si>
    <t>60616086</t>
  </si>
  <si>
    <t>113885149</t>
  </si>
  <si>
    <t>302615856</t>
  </si>
  <si>
    <t>300421231</t>
  </si>
  <si>
    <t>14847049</t>
  </si>
  <si>
    <t>83723557</t>
  </si>
  <si>
    <t>227042671</t>
  </si>
  <si>
    <t>1195050759995432960</t>
  </si>
  <si>
    <t>65457986</t>
  </si>
  <si>
    <t>1371463125669703683</t>
  </si>
  <si>
    <t>1315818335507025920</t>
  </si>
  <si>
    <t>30921422</t>
  </si>
  <si>
    <t>3384597142</t>
  </si>
  <si>
    <t>259015395</t>
  </si>
  <si>
    <t>1230895046</t>
  </si>
  <si>
    <t>28266730</t>
  </si>
  <si>
    <t>1288424172968914944</t>
  </si>
  <si>
    <t>349719588</t>
  </si>
  <si>
    <t>150446200</t>
  </si>
  <si>
    <t>17463509</t>
  </si>
  <si>
    <t>92741298</t>
  </si>
  <si>
    <t>1183773825256906754</t>
  </si>
  <si>
    <t>55213613</t>
  </si>
  <si>
    <t>838668338</t>
  </si>
  <si>
    <t>420592061</t>
  </si>
  <si>
    <t>15537575</t>
  </si>
  <si>
    <t>267933419</t>
  </si>
  <si>
    <t>185758302</t>
  </si>
  <si>
    <t>39482280</t>
  </si>
  <si>
    <t>79201178</t>
  </si>
  <si>
    <t>2571536112</t>
  </si>
  <si>
    <t>35800498</t>
  </si>
  <si>
    <t>36540166</t>
  </si>
  <si>
    <t>473238229</t>
  </si>
  <si>
    <t>2874080791</t>
  </si>
  <si>
    <t>377534109</t>
  </si>
  <si>
    <t>295896896</t>
  </si>
  <si>
    <t>65444625</t>
  </si>
  <si>
    <t>17863805</t>
  </si>
  <si>
    <t>468993976</t>
  </si>
  <si>
    <t>54198760</t>
  </si>
  <si>
    <t>50734399</t>
  </si>
  <si>
    <t>279170177</t>
  </si>
  <si>
    <t>164474963</t>
  </si>
  <si>
    <t>20</t>
  </si>
  <si>
    <t>133408085</t>
  </si>
  <si>
    <t>2371250946</t>
  </si>
  <si>
    <t>153493748</t>
  </si>
  <si>
    <t>32529120</t>
  </si>
  <si>
    <t>27008217</t>
  </si>
  <si>
    <t>42962996</t>
  </si>
  <si>
    <t>82772287</t>
  </si>
  <si>
    <t>748259155849416706</t>
  </si>
  <si>
    <t>54414081</t>
  </si>
  <si>
    <t>122042593</t>
  </si>
  <si>
    <t>2979439354</t>
  </si>
  <si>
    <t>82188004</t>
  </si>
  <si>
    <t>277043658</t>
  </si>
  <si>
    <t>1039636482095337472</t>
  </si>
  <si>
    <t>2661645776</t>
  </si>
  <si>
    <t>101548903</t>
  </si>
  <si>
    <t>160525513</t>
  </si>
  <si>
    <t>54925927</t>
  </si>
  <si>
    <t>2333499318</t>
  </si>
  <si>
    <t>16832442</t>
  </si>
  <si>
    <t>252806845</t>
  </si>
  <si>
    <t>49041530</t>
  </si>
  <si>
    <t>341925231</t>
  </si>
  <si>
    <t>399958787</t>
  </si>
  <si>
    <t>26538229</t>
  </si>
  <si>
    <t>14857739</t>
  </si>
  <si>
    <t>158289900</t>
  </si>
  <si>
    <t>224034469</t>
  </si>
  <si>
    <t>973547135273787393</t>
  </si>
  <si>
    <t>1394564412</t>
  </si>
  <si>
    <t>998270347</t>
  </si>
  <si>
    <t>141953042</t>
  </si>
  <si>
    <t>194579260</t>
  </si>
  <si>
    <t>78774644</t>
  </si>
  <si>
    <t>214689166</t>
  </si>
  <si>
    <t>95876491</t>
  </si>
  <si>
    <t>1615322238</t>
  </si>
  <si>
    <t>3092350953</t>
  </si>
  <si>
    <t>35604602</t>
  </si>
  <si>
    <t>34643836</t>
  </si>
  <si>
    <t>492326694</t>
  </si>
  <si>
    <t>93617673</t>
  </si>
  <si>
    <t>321556975</t>
  </si>
  <si>
    <t>9317652</t>
  </si>
  <si>
    <t>49292227</t>
  </si>
  <si>
    <t>601296014</t>
  </si>
  <si>
    <t>1596451670</t>
  </si>
  <si>
    <t>58048133</t>
  </si>
  <si>
    <t>161321848</t>
  </si>
  <si>
    <t>2902358855</t>
  </si>
  <si>
    <t>2362932709</t>
  </si>
  <si>
    <t>114651521</t>
  </si>
  <si>
    <t>34248299</t>
  </si>
  <si>
    <t>107491711</t>
  </si>
  <si>
    <t>167132271</t>
  </si>
  <si>
    <t>332480335</t>
  </si>
  <si>
    <t>1073582198</t>
  </si>
  <si>
    <t>559654120</t>
  </si>
  <si>
    <t>1541863385435963395</t>
  </si>
  <si>
    <t>1196497607142588417</t>
  </si>
  <si>
    <t>4107531579</t>
  </si>
  <si>
    <t>3581596336</t>
  </si>
  <si>
    <t>1068940729</t>
  </si>
  <si>
    <t>34352933</t>
  </si>
  <si>
    <t>2421006511</t>
  </si>
  <si>
    <t>216777909</t>
  </si>
  <si>
    <t>858555517</t>
  </si>
  <si>
    <t>774983437</t>
  </si>
  <si>
    <t>138437447</t>
  </si>
  <si>
    <t>233927179</t>
  </si>
  <si>
    <t>1243577870145990656</t>
  </si>
  <si>
    <t>1610042235512410117</t>
  </si>
  <si>
    <t>267834466</t>
  </si>
  <si>
    <t>396148446</t>
  </si>
  <si>
    <t>187768360</t>
  </si>
  <si>
    <t>728012034</t>
  </si>
  <si>
    <t>434900136</t>
  </si>
  <si>
    <t>85343435</t>
  </si>
  <si>
    <t>1055425848906522624</t>
  </si>
  <si>
    <t>525729482</t>
  </si>
  <si>
    <t>164812770</t>
  </si>
  <si>
    <t>3195134401</t>
  </si>
  <si>
    <t>3090382647</t>
  </si>
  <si>
    <t>149585845</t>
  </si>
  <si>
    <t>1161341323</t>
  </si>
  <si>
    <t>49599520</t>
  </si>
  <si>
    <t>161793323</t>
  </si>
  <si>
    <t>130189038</t>
  </si>
  <si>
    <t>62991145</t>
  </si>
  <si>
    <t>2295607324</t>
  </si>
  <si>
    <t>8315402</t>
  </si>
  <si>
    <t>335410379</t>
  </si>
  <si>
    <t>57957264</t>
  </si>
  <si>
    <t>551634597</t>
  </si>
  <si>
    <t>70003769</t>
  </si>
  <si>
    <t>48473115</t>
  </si>
  <si>
    <t>14541101</t>
  </si>
  <si>
    <t>187673360</t>
  </si>
  <si>
    <t>8877352</t>
  </si>
  <si>
    <t>1043762580</t>
  </si>
  <si>
    <t>117089350</t>
  </si>
  <si>
    <t>2377025545</t>
  </si>
  <si>
    <t>75397511</t>
  </si>
  <si>
    <t>47461491</t>
  </si>
  <si>
    <t>420327640</t>
  </si>
  <si>
    <t>61920432</t>
  </si>
  <si>
    <t>328710211</t>
  </si>
  <si>
    <t>17598409</t>
  </si>
  <si>
    <t>226691205</t>
  </si>
  <si>
    <t>3557179948</t>
  </si>
  <si>
    <t>1229893772</t>
  </si>
  <si>
    <t>119843695</t>
  </si>
  <si>
    <t>1564743925</t>
  </si>
  <si>
    <t>25371172</t>
  </si>
  <si>
    <t>245578005</t>
  </si>
  <si>
    <t>123104950</t>
  </si>
  <si>
    <t>1306381824894087175</t>
  </si>
  <si>
    <t>2352495202</t>
  </si>
  <si>
    <t>166460777</t>
  </si>
  <si>
    <t>79061885</t>
  </si>
  <si>
    <t>329857969</t>
  </si>
  <si>
    <t>781492796</t>
  </si>
  <si>
    <t>51710738</t>
  </si>
  <si>
    <t>147451212</t>
  </si>
  <si>
    <t>127745862</t>
  </si>
  <si>
    <t>2369911734</t>
  </si>
  <si>
    <t>42620558</t>
  </si>
  <si>
    <t>2810585652</t>
  </si>
  <si>
    <t>4896510833</t>
  </si>
  <si>
    <t>169352621</t>
  </si>
  <si>
    <t>136293095</t>
  </si>
  <si>
    <t>2763969229</t>
  </si>
  <si>
    <t>211245238</t>
  </si>
  <si>
    <t>29629086</t>
  </si>
  <si>
    <t>3356973699</t>
  </si>
  <si>
    <t>1043864527</t>
  </si>
  <si>
    <t>1169664359628509184</t>
  </si>
  <si>
    <t>2801298309</t>
  </si>
  <si>
    <t>2922320463</t>
  </si>
  <si>
    <t>270026399</t>
  </si>
  <si>
    <t>1599687301</t>
  </si>
  <si>
    <t>392456917</t>
  </si>
  <si>
    <t>1480713151</t>
  </si>
  <si>
    <t>1553823878</t>
  </si>
  <si>
    <t>75031882</t>
  </si>
  <si>
    <t>158107110</t>
  </si>
  <si>
    <t>42481881</t>
  </si>
  <si>
    <t>1618289516</t>
  </si>
  <si>
    <t>2749212142</t>
  </si>
  <si>
    <t>3166145932</t>
  </si>
  <si>
    <t>449929805</t>
  </si>
  <si>
    <t>803691811</t>
  </si>
  <si>
    <t>150667895</t>
  </si>
  <si>
    <t>1212012450</t>
  </si>
  <si>
    <t>584069537</t>
  </si>
  <si>
    <t>1277568331881623552</t>
  </si>
  <si>
    <t>1442978280177639424</t>
  </si>
  <si>
    <t>1456116091764101123</t>
  </si>
  <si>
    <t>993222928291463169</t>
  </si>
  <si>
    <t>1148952773687480321</t>
  </si>
  <si>
    <t>198770256</t>
  </si>
  <si>
    <t>119024617</t>
  </si>
  <si>
    <t>1403659478</t>
  </si>
  <si>
    <t>133714571</t>
  </si>
  <si>
    <t>2847022091</t>
  </si>
  <si>
    <t>388851712</t>
  </si>
  <si>
    <t>126750296</t>
  </si>
  <si>
    <t>269407769</t>
  </si>
  <si>
    <t>247288325</t>
  </si>
  <si>
    <t>2783425719</t>
  </si>
  <si>
    <t>352118324</t>
  </si>
  <si>
    <t>262871415</t>
  </si>
  <si>
    <t>587509450</t>
  </si>
  <si>
    <t>701804413</t>
  </si>
  <si>
    <t>2911771803</t>
  </si>
  <si>
    <t>200095198</t>
  </si>
  <si>
    <t>851108442</t>
  </si>
  <si>
    <t>300530694</t>
  </si>
  <si>
    <t>575245619</t>
  </si>
  <si>
    <t>76767994</t>
  </si>
  <si>
    <t>1653814120460824587</t>
  </si>
  <si>
    <t>270399607</t>
  </si>
  <si>
    <t>141286250</t>
  </si>
  <si>
    <t>250804213</t>
  </si>
  <si>
    <t>Horizontina</t>
  </si>
  <si>
    <t>Centro America</t>
  </si>
  <si>
    <t>Madrid, Spain</t>
  </si>
  <si>
    <t>Bogotá-Colombia</t>
  </si>
  <si>
    <t>Madrid</t>
  </si>
  <si>
    <t>Brasília,DF Brasil</t>
  </si>
  <si>
    <t>Minas Gerais, Brasil</t>
  </si>
  <si>
    <t>Belo Horizonte</t>
  </si>
  <si>
    <t>República Dominicana</t>
  </si>
  <si>
    <t>Santo Domingo</t>
  </si>
  <si>
    <t>Distrito Nacional, Rep. Dom.</t>
  </si>
  <si>
    <t>around</t>
  </si>
  <si>
    <t>Antofagasta, Chile</t>
  </si>
  <si>
    <t xml:space="preserve">Argentina Prensa 11 5869-2726 </t>
  </si>
  <si>
    <t>San Martín</t>
  </si>
  <si>
    <t>São Paulo, SP - Brasil</t>
  </si>
  <si>
    <t>Joinville, Brasil</t>
  </si>
  <si>
    <t>Guarulhos, Brasil</t>
  </si>
  <si>
    <t>Brazil</t>
  </si>
  <si>
    <t>Ribeirão Preto-SP-Brazil</t>
  </si>
  <si>
    <t>Middle East &amp; Africa, Silicon Valley, Central &amp; Eastern Europe</t>
  </si>
  <si>
    <t>Mexico</t>
  </si>
  <si>
    <t>Ciudad de México</t>
  </si>
  <si>
    <t>República Argentina</t>
  </si>
  <si>
    <t>Salta Argentina</t>
  </si>
  <si>
    <t>Washington, DC</t>
  </si>
  <si>
    <t>Maringá, Brasil</t>
  </si>
  <si>
    <t>Volta Redonda</t>
  </si>
  <si>
    <t xml:space="preserve">San Martin </t>
  </si>
  <si>
    <t>CABA</t>
  </si>
  <si>
    <t>Mendoza, Argentina</t>
  </si>
  <si>
    <t>Santos, Brasil</t>
  </si>
  <si>
    <t>São Paulo, Brazil</t>
  </si>
  <si>
    <t>Buenos Aires (Argentina)</t>
  </si>
  <si>
    <t>La Habana, Cuba</t>
  </si>
  <si>
    <t>pcc.cu</t>
  </si>
  <si>
    <t>Bolivia</t>
  </si>
  <si>
    <t>Caracas, Venezuela</t>
  </si>
  <si>
    <t xml:space="preserve">Socioliberal </t>
  </si>
  <si>
    <t>Caracas - Venezuela</t>
  </si>
  <si>
    <t>Aragua, Venezuela</t>
  </si>
  <si>
    <t>#CallejónZulia#2 #PuertoLaRock</t>
  </si>
  <si>
    <t>Venezuela</t>
  </si>
  <si>
    <t>Buenos Aires-Argentina</t>
  </si>
  <si>
    <t>Tigre, Argentina.</t>
  </si>
  <si>
    <t>Rosario, Argentina</t>
  </si>
  <si>
    <t xml:space="preserve">Brasília </t>
  </si>
  <si>
    <t>Caucaia, Brasil</t>
  </si>
  <si>
    <t>Brasília - DF - Brasil</t>
  </si>
  <si>
    <t>Ituiutaba, Brasil</t>
  </si>
  <si>
    <t>🌍🌎🌏</t>
  </si>
  <si>
    <t>Brazil, IN</t>
  </si>
  <si>
    <t>Brasilia - DF</t>
  </si>
  <si>
    <t>Brasília/DF</t>
  </si>
  <si>
    <t xml:space="preserve">Aracaju  (Sergipe) </t>
  </si>
  <si>
    <t>Brasília, Distrito Federal</t>
  </si>
  <si>
    <t>LATAM</t>
  </si>
  <si>
    <t>Santiago</t>
  </si>
  <si>
    <t>Ciudad Autónoma de Buenos Aire</t>
  </si>
  <si>
    <t>Buenos Aires, Argentina</t>
  </si>
  <si>
    <t>Palmas-TO</t>
  </si>
  <si>
    <t>Cruz Alta, Brasil</t>
  </si>
  <si>
    <t>São Paulo, SP</t>
  </si>
  <si>
    <t>Belo Horizonte, Brasil</t>
  </si>
  <si>
    <t>Belém / Macapá - Brasil</t>
  </si>
  <si>
    <t>Rio Grande do Sul, Brasil</t>
  </si>
  <si>
    <t>Apodi, Brasil</t>
  </si>
  <si>
    <t>Poços de Caldas, Brasil</t>
  </si>
  <si>
    <t>Bogotá D.C.</t>
  </si>
  <si>
    <t>Cuba</t>
  </si>
  <si>
    <t>Bahía Blanca, Argentina</t>
  </si>
  <si>
    <t>Buenos Aires - Argentina</t>
  </si>
  <si>
    <t>Montevideo, Uruguay</t>
  </si>
  <si>
    <t>Buenos Aires</t>
  </si>
  <si>
    <t>Around the world</t>
  </si>
  <si>
    <t>Litoral de São Paulo, SP</t>
  </si>
  <si>
    <t xml:space="preserve">Aragarças </t>
  </si>
  <si>
    <t>Cachambi, Rio de Janeiro</t>
  </si>
  <si>
    <t>São Bernardo do Campo, Brasil</t>
  </si>
  <si>
    <t xml:space="preserve"> Chile</t>
  </si>
  <si>
    <t>Punta Arenas</t>
  </si>
  <si>
    <t>Veranópolis - RS - Brazil</t>
  </si>
  <si>
    <t>Belo Horizonte - Minas Gerais</t>
  </si>
  <si>
    <t>Goiânia, Brasil</t>
  </si>
  <si>
    <t>Guatemala</t>
  </si>
  <si>
    <t>Washington, D.C.</t>
  </si>
  <si>
    <t>Madrid, Comunidad de Madrid</t>
  </si>
  <si>
    <t>Maputo, Mozambique</t>
  </si>
  <si>
    <t>Fortaleza, Brasil</t>
  </si>
  <si>
    <t>Santo Domingo, Rep. Dominicana</t>
  </si>
  <si>
    <t>Santo Domingo, Rep. Dom.</t>
  </si>
  <si>
    <t>No soy de aquí ni soy de allá</t>
  </si>
  <si>
    <t>Quilpué</t>
  </si>
  <si>
    <t>Twitch</t>
  </si>
  <si>
    <t>Goiás - Brasil</t>
  </si>
  <si>
    <t xml:space="preserve"> Merlo Buenos Aires, Argentina</t>
  </si>
  <si>
    <t>Buenos Aires / Argentina</t>
  </si>
  <si>
    <t>Cordoba Capiiiiiiiiiital</t>
  </si>
  <si>
    <t>Quito, Ecuador</t>
  </si>
  <si>
    <t>Lisboa, Portugal</t>
  </si>
  <si>
    <t>São José do Rio Preto, Brasil</t>
  </si>
  <si>
    <t>Villa Mercedes (San Luis)</t>
  </si>
  <si>
    <t>Medianeira - Parana</t>
  </si>
  <si>
    <t>Sao Paulo, Brazil</t>
  </si>
  <si>
    <t>argentina</t>
  </si>
  <si>
    <t>Ciudad de Buenos Aires</t>
  </si>
  <si>
    <t>Porlamar, Venezuela</t>
  </si>
  <si>
    <t>Comodoro Rivadavia, Argentina</t>
  </si>
  <si>
    <t>Maricá, Rio de Janeiro, Brasil</t>
  </si>
  <si>
    <t>Bruxelles</t>
  </si>
  <si>
    <t>Bogotá, DC, Colombia</t>
  </si>
  <si>
    <t>La Plata - Buenos Aires - ARG</t>
  </si>
  <si>
    <t>R.D.</t>
  </si>
  <si>
    <t>La Plata, Buenos Aires</t>
  </si>
  <si>
    <t>Guayas, Ecuador</t>
  </si>
  <si>
    <t>Anywhere Anyway</t>
  </si>
  <si>
    <t>Toronto, Ontario</t>
  </si>
  <si>
    <t xml:space="preserve">GUAYAQUIL </t>
  </si>
  <si>
    <t>🇨🇱</t>
  </si>
  <si>
    <t xml:space="preserve">Goiânia, Goiás </t>
  </si>
  <si>
    <t>Santiago de Chile</t>
  </si>
  <si>
    <t>LA PLATA</t>
  </si>
  <si>
    <t>Borrazópolis, Brasil</t>
  </si>
  <si>
    <t>Coahuila de Zaragoza, México</t>
  </si>
  <si>
    <t>Provincia de Buenos Aires</t>
  </si>
  <si>
    <t>ether</t>
  </si>
  <si>
    <t>Rio Grande do Sul, Brasil.🇧🇷</t>
  </si>
  <si>
    <t>Erechim, Brasil</t>
  </si>
  <si>
    <t>BRASIL - Brazil</t>
  </si>
  <si>
    <t>CABA, Argentina</t>
  </si>
  <si>
    <t>🇧🇴</t>
  </si>
  <si>
    <t>Ciudad Jardín - El Palomar</t>
  </si>
  <si>
    <t>Pinamar</t>
  </si>
  <si>
    <t>Santiago, Chile</t>
  </si>
  <si>
    <t>Movimiento Perpetuo</t>
  </si>
  <si>
    <t>Santo Domingo, RD</t>
  </si>
  <si>
    <t>Capitán Bermudez, Argentina</t>
  </si>
  <si>
    <t>brazilian, brazil</t>
  </si>
  <si>
    <t>Bahia</t>
  </si>
  <si>
    <t>La Reina, Chile</t>
  </si>
  <si>
    <t>Concepcion-Chile</t>
  </si>
  <si>
    <t>Passo Fundo, Brasil</t>
  </si>
  <si>
    <t>Itaim Bibi, São Paulo</t>
  </si>
  <si>
    <t>Buenos Aires.</t>
  </si>
  <si>
    <t>Juazeiro do Norte</t>
  </si>
  <si>
    <t>Brasilia, DF</t>
  </si>
  <si>
    <t>El Ejido, Santiago, Rep. DOm</t>
  </si>
  <si>
    <t>San Miguel, Buenos Aires</t>
  </si>
  <si>
    <t>La Plata Argentina</t>
  </si>
  <si>
    <t>São Bernardo do Campo, SP</t>
  </si>
  <si>
    <t>Volta Redonda/RJ-Brazil</t>
  </si>
  <si>
    <t>Campinas, Sao Paulo, Brasil</t>
  </si>
  <si>
    <t>PORTO ALEGRE-RS</t>
  </si>
  <si>
    <t>Taguatinga/DF</t>
  </si>
  <si>
    <t>Miraflores, Peru</t>
  </si>
  <si>
    <t>Acora Perú</t>
  </si>
  <si>
    <t>Perú</t>
  </si>
  <si>
    <t>Lima</t>
  </si>
  <si>
    <t>Via Lactea</t>
  </si>
  <si>
    <t>Santo André / SP</t>
  </si>
  <si>
    <t>Seridó RN Brasil</t>
  </si>
  <si>
    <t>Republica Dominicana</t>
  </si>
  <si>
    <t>#RDPorLoAlto</t>
  </si>
  <si>
    <t>ÜT: 18.5100371,-69.9813111</t>
  </si>
  <si>
    <t>La Serena</t>
  </si>
  <si>
    <t>Santo Domingo. R.D.</t>
  </si>
  <si>
    <t xml:space="preserve">Campo Grande </t>
  </si>
  <si>
    <t>Camaquã/RS</t>
  </si>
  <si>
    <t>Asuncion Paraguay</t>
  </si>
  <si>
    <t>Asunción, Paraguay 🇵🇾</t>
  </si>
  <si>
    <t>Isla de los Estados</t>
  </si>
  <si>
    <t>Metaverse</t>
  </si>
  <si>
    <t>LdeZamora,BA,Argentina</t>
  </si>
  <si>
    <t xml:space="preserve">Capital Federal - Argentina </t>
  </si>
  <si>
    <t>Atlanta</t>
  </si>
  <si>
    <t>Krefeld, Deutschland</t>
  </si>
  <si>
    <t>Campinas - SP - Brasil</t>
  </si>
  <si>
    <t>ARG</t>
  </si>
  <si>
    <t>Aracaju-Sergipe-Brazil</t>
  </si>
  <si>
    <t>Curitiba - Brasil</t>
  </si>
  <si>
    <t>London, England</t>
  </si>
  <si>
    <t>Maputo cidade</t>
  </si>
  <si>
    <t>Sorocaba, Brasil</t>
  </si>
  <si>
    <t>anto Domingo de Guzmán, Domini</t>
  </si>
  <si>
    <t>manaus</t>
  </si>
  <si>
    <t>Brasil - São Paulo</t>
  </si>
  <si>
    <t>Posadas Misiones Argentina</t>
  </si>
  <si>
    <t>Santiago; Chile</t>
  </si>
  <si>
    <t>Madrid, España</t>
  </si>
  <si>
    <t>Campinas/SP - Brasil</t>
  </si>
  <si>
    <t>Ciudad Autónoma de Bs As</t>
  </si>
  <si>
    <t>Santiago - Chile</t>
  </si>
  <si>
    <t>Trujillo</t>
  </si>
  <si>
    <t>𝗠𝗼𝗿𝗲𝗻𝗼, 𝗣𝗘</t>
  </si>
  <si>
    <t>Garanhuns PE</t>
  </si>
  <si>
    <t>Sao Paulo</t>
  </si>
  <si>
    <t xml:space="preserve">Yrigoyen 213 | Viedma </t>
  </si>
  <si>
    <t>Recife, Pernambuco, Brasil</t>
  </si>
  <si>
    <t>São Paulo/SP</t>
  </si>
  <si>
    <t>São Paulo - SP</t>
  </si>
  <si>
    <t>Con Dios, siempre</t>
  </si>
  <si>
    <t>Córdoba, Argentina.</t>
  </si>
  <si>
    <t>Marcos Paz, Argentina</t>
  </si>
  <si>
    <t>Salvador, Bahia, Brasil</t>
  </si>
  <si>
    <t>Amargura, La Habana Cuba</t>
  </si>
  <si>
    <t>República de Chile</t>
  </si>
  <si>
    <t xml:space="preserve"> Brasil</t>
  </si>
  <si>
    <t>São Leopoldo</t>
  </si>
  <si>
    <t>Extrema, Brasil</t>
  </si>
  <si>
    <t>new york, ny</t>
  </si>
  <si>
    <t>Guanambi, Brasil</t>
  </si>
  <si>
    <t>patriki</t>
  </si>
  <si>
    <t>Puerto Iguazú, Argentina</t>
  </si>
  <si>
    <t>Burdeos, Francia</t>
  </si>
  <si>
    <t>Coquimbo</t>
  </si>
  <si>
    <t>Santa Fe, Argentina</t>
  </si>
  <si>
    <t>Teresina</t>
  </si>
  <si>
    <t>Florida, USA</t>
  </si>
  <si>
    <t>Girona, España</t>
  </si>
  <si>
    <t>Medellín - Colombia</t>
  </si>
  <si>
    <t>Bahia, Brasil</t>
  </si>
  <si>
    <t xml:space="preserve">em algum lugar do Brasil </t>
  </si>
  <si>
    <t>Paraná, Brasil</t>
  </si>
  <si>
    <t xml:space="preserve">San Isidro </t>
  </si>
  <si>
    <t>Cabo Frio, Brasil</t>
  </si>
  <si>
    <t>Santa Fe</t>
  </si>
  <si>
    <t>New York</t>
  </si>
  <si>
    <t>Junín</t>
  </si>
  <si>
    <t>Comodoro Rivadavia</t>
  </si>
  <si>
    <t>Laeva Terra</t>
  </si>
  <si>
    <t>Brasília, Brazil</t>
  </si>
  <si>
    <t>Trelew, Chubut</t>
  </si>
  <si>
    <t>Salvador, Bahia</t>
  </si>
  <si>
    <t>Talca - Chile</t>
  </si>
  <si>
    <t>Santa Cruz Bolivia</t>
  </si>
  <si>
    <t>𝕀𝕟 𝕥𝕙𝕖 𝕃𝕚𝕓𝕣𝕒𝕣𝕪</t>
  </si>
  <si>
    <t>San Bruno, CA</t>
  </si>
  <si>
    <t>México</t>
  </si>
  <si>
    <t>Porto Alegre</t>
  </si>
  <si>
    <t>São Luís, Brasil</t>
  </si>
  <si>
    <t>Amazonas</t>
  </si>
  <si>
    <t xml:space="preserve">Itaporanga SP </t>
  </si>
  <si>
    <t>Teresina-PI</t>
  </si>
  <si>
    <t xml:space="preserve">Tucuman </t>
  </si>
  <si>
    <t>Beaverton, Oregon</t>
  </si>
  <si>
    <t>Tucumán, Argentina</t>
  </si>
  <si>
    <t>Guarapari, Brasil</t>
  </si>
  <si>
    <t xml:space="preserve">Hell de Janeiro </t>
  </si>
  <si>
    <t>Moro na Quina da Terra...</t>
  </si>
  <si>
    <t>Rondonópolis, Brasil</t>
  </si>
  <si>
    <t>Farroupilha, Brasil</t>
  </si>
  <si>
    <t>Em algum lugar por aí</t>
  </si>
  <si>
    <t>BOLO DE ROLO DE PERNAMBUCO</t>
  </si>
  <si>
    <t>Niterói,Rj Brasil</t>
  </si>
  <si>
    <t xml:space="preserve">Cidade Maravilhosa </t>
  </si>
  <si>
    <t>Cuenca - Ecuador</t>
  </si>
  <si>
    <t>Maranguape, Ceará</t>
  </si>
  <si>
    <t>Amapá, Brasil</t>
  </si>
  <si>
    <t>são paulo</t>
  </si>
  <si>
    <t>Neuquén</t>
  </si>
  <si>
    <t>Honduras</t>
  </si>
  <si>
    <t>Barretos/SP</t>
  </si>
  <si>
    <t>San Miguel de Tucumán</t>
  </si>
  <si>
    <t>BRASIL</t>
  </si>
  <si>
    <t>Contagem / MG</t>
  </si>
  <si>
    <t>São Paulo- SP</t>
  </si>
  <si>
    <t>Cautín Temuco Padre Las Casas</t>
  </si>
  <si>
    <t>Blumenau, Brasil</t>
  </si>
  <si>
    <t>São Paulo | Brasil</t>
  </si>
  <si>
    <t>sao paulo brazil</t>
  </si>
  <si>
    <t>Iguatu, Brasil</t>
  </si>
  <si>
    <t>Ankara | Türkiye</t>
  </si>
  <si>
    <t>Sydney, Australia</t>
  </si>
  <si>
    <t>Web3</t>
  </si>
  <si>
    <t>Rua Norma Pierucinni Giannotti</t>
  </si>
  <si>
    <t>Ciudad Gótica</t>
  </si>
  <si>
    <t>Florencio Varela</t>
  </si>
  <si>
    <t xml:space="preserve">Novo Hamburgo, RS </t>
  </si>
  <si>
    <t>Bogotá, colombia</t>
  </si>
  <si>
    <t>MX/US</t>
  </si>
  <si>
    <t>Asuncion, Paraguay</t>
  </si>
  <si>
    <t xml:space="preserve">Av. Eloy Alfaro. Ed. Fortune  </t>
  </si>
  <si>
    <t>Camagüey, Cuba</t>
  </si>
  <si>
    <t>Rio de janeiro</t>
  </si>
  <si>
    <t>Ελευθερία</t>
  </si>
  <si>
    <t>Rosario</t>
  </si>
  <si>
    <t>San José, Costa Rica</t>
  </si>
  <si>
    <t>Brasília - DF</t>
  </si>
  <si>
    <t>Costa Rica</t>
  </si>
  <si>
    <t xml:space="preserve">Roma-Republica Dominicana </t>
  </si>
  <si>
    <t>Arabia</t>
  </si>
  <si>
    <t>Lo Barnechea, Chile</t>
  </si>
  <si>
    <t>Porto Alegre/RS</t>
  </si>
  <si>
    <t>Posadas</t>
  </si>
  <si>
    <t>Brazil, RS</t>
  </si>
  <si>
    <t>La Guaira, Venezuela</t>
  </si>
  <si>
    <t>Descanso, Brasil</t>
  </si>
  <si>
    <t>Palmas - Tocantins - Brasil</t>
  </si>
  <si>
    <t>San Carlos de Bariloche, Argen</t>
  </si>
  <si>
    <t>Valle de Uco</t>
  </si>
  <si>
    <t>Fortaleza - CE</t>
  </si>
  <si>
    <t>Brazil.</t>
  </si>
  <si>
    <t xml:space="preserve">Santo domingo </t>
  </si>
  <si>
    <t>Rhode Island, USA</t>
  </si>
  <si>
    <t>La Patria Grande</t>
  </si>
  <si>
    <t xml:space="preserve">México </t>
  </si>
  <si>
    <t>New York, NY</t>
  </si>
  <si>
    <t>Três Lagoas - MS</t>
  </si>
  <si>
    <t>Azerbaijan</t>
  </si>
  <si>
    <t>Rio Grande do Norte</t>
  </si>
  <si>
    <t>Com fome.</t>
  </si>
  <si>
    <t>Salvador - Bahia, Brasil.</t>
  </si>
  <si>
    <t>Charles Summer No 33  D.N. RD</t>
  </si>
  <si>
    <t>Para onde vamos?</t>
  </si>
  <si>
    <t>São Paulo - Brasil</t>
  </si>
  <si>
    <t>Villa María (Cba)</t>
  </si>
  <si>
    <t>Guayaquil, Ecuador</t>
  </si>
  <si>
    <t>Peronia</t>
  </si>
  <si>
    <t>Las Condes, Chile</t>
  </si>
  <si>
    <t>San Jose, Costa Rica</t>
  </si>
  <si>
    <t>Latam</t>
  </si>
  <si>
    <t>通化市</t>
  </si>
  <si>
    <t>Frankfurt am Main</t>
  </si>
  <si>
    <t>Natal - RN</t>
  </si>
  <si>
    <t>Rio de Janeiro-RJ</t>
  </si>
  <si>
    <t>Niterói - Rio de Janeiro</t>
  </si>
  <si>
    <t>Manaus, Brasil</t>
  </si>
  <si>
    <t>Várzea Paulista, Brasil</t>
  </si>
  <si>
    <t xml:space="preserve">Perto da vizinha </t>
  </si>
  <si>
    <t>Tucumán - Argentina</t>
  </si>
  <si>
    <t>Barueri - SP</t>
  </si>
  <si>
    <t>РАКĺ ΡАΥȦ🏃🏽🤹 ⛔𝖭Ο+𝖫lЅТΑЅ🚫</t>
  </si>
  <si>
    <t>Zagreb, Croacia</t>
  </si>
  <si>
    <t>Rio de Janeiro - RJ</t>
  </si>
  <si>
    <t>Córdoba, Arg</t>
  </si>
  <si>
    <t>Mendoza</t>
  </si>
  <si>
    <t>Ciudad Evita, Argentina</t>
  </si>
  <si>
    <t>Puerto Montt</t>
  </si>
  <si>
    <t>Santiago, Dominican Republic</t>
  </si>
  <si>
    <t>España/Latan</t>
  </si>
  <si>
    <t xml:space="preserve">Rua Libero Badaró, 158 </t>
  </si>
  <si>
    <t>União, Piauí, Brasil</t>
  </si>
  <si>
    <t>Resistencia, Chaco</t>
  </si>
  <si>
    <t>Campana, Argentina</t>
  </si>
  <si>
    <t>Campinas, Brasil</t>
  </si>
  <si>
    <t>Jardim Paulista, São Paulo</t>
  </si>
  <si>
    <t>são luis ma</t>
  </si>
  <si>
    <t>Havana</t>
  </si>
  <si>
    <t>Chiarello, Primaluma, Lecco</t>
  </si>
  <si>
    <t>Teatinos 120, Santiago, Chile.</t>
  </si>
  <si>
    <t>Campos - RJ</t>
  </si>
  <si>
    <t xml:space="preserve">buenos /Argentina </t>
  </si>
  <si>
    <t>Buenos Aires. Argentina.</t>
  </si>
  <si>
    <t>España</t>
  </si>
  <si>
    <t>Panama</t>
  </si>
  <si>
    <t>Latinoamerica</t>
  </si>
  <si>
    <t>Maricá, Rio de Janeiro</t>
  </si>
  <si>
    <t>Alagoas, Brasil</t>
  </si>
  <si>
    <t>Distrito Nacional</t>
  </si>
  <si>
    <t>Fortaleza, CE</t>
  </si>
  <si>
    <t>Worldwide</t>
  </si>
  <si>
    <t>Amazonas, Brasil</t>
  </si>
  <si>
    <t xml:space="preserve">Antartida </t>
  </si>
  <si>
    <t>Araguaína - TOCANTINS</t>
  </si>
  <si>
    <t>Málaga, Andalucía</t>
  </si>
  <si>
    <t>C.A.B.A. - Argentina</t>
  </si>
  <si>
    <t>Always on the left side 🙏💪</t>
  </si>
  <si>
    <t>São Paulo, Brasil.</t>
  </si>
  <si>
    <t>Marabá, PA - Brasil</t>
  </si>
  <si>
    <t>Chaco / País</t>
  </si>
  <si>
    <t>Provincia del Chaco</t>
  </si>
  <si>
    <t>Chaco, Argentina</t>
  </si>
  <si>
    <t xml:space="preserve">Presidencia Roque Sáenz Peña, </t>
  </si>
  <si>
    <t>Paulo de Faria, Brasil</t>
  </si>
  <si>
    <t>Beirut, Líbano</t>
  </si>
  <si>
    <t>Jujuy, Argentina</t>
  </si>
  <si>
    <t>San Luis, Argentina</t>
  </si>
  <si>
    <t>Manta, Ecuador</t>
  </si>
  <si>
    <t>Formosa, Argentina</t>
  </si>
  <si>
    <t>Ñuñoa, Santiago - Chile</t>
  </si>
  <si>
    <t>Brasília / Brasil</t>
  </si>
  <si>
    <t>Puerto Deseado, Argentina</t>
  </si>
  <si>
    <t>Lucas do Rio Verde, Brasil</t>
  </si>
  <si>
    <t>Ciudadano del Mundo</t>
  </si>
  <si>
    <t xml:space="preserve">Santiago, Rep. Dominicana. </t>
  </si>
  <si>
    <t>Curitiba - Paraná /Brasil</t>
  </si>
  <si>
    <t>Rio Gallegos - Santa Cruz</t>
  </si>
  <si>
    <t>Barcelona.</t>
  </si>
  <si>
    <t>Resistencia, Chaco, Argentina</t>
  </si>
  <si>
    <t>Manaus</t>
  </si>
  <si>
    <t>Rio de Janeiro/RJ</t>
  </si>
  <si>
    <t>Manabi, Ecuador</t>
  </si>
  <si>
    <t>Tegucigalpa, Honduras</t>
  </si>
  <si>
    <t>CDMX</t>
  </si>
  <si>
    <t>Campina Grande, Brasil</t>
  </si>
  <si>
    <t>Curitiba-PR</t>
  </si>
  <si>
    <t>California USA</t>
  </si>
  <si>
    <t xml:space="preserve">Camaçari Bahia </t>
  </si>
  <si>
    <t>Buenos aires, Argentina</t>
  </si>
  <si>
    <t>Internacional</t>
  </si>
  <si>
    <t>Sitges</t>
  </si>
  <si>
    <t>Itaquaquecetuba, SP, Brasil</t>
  </si>
  <si>
    <t>-16.687052, -49.276234</t>
  </si>
  <si>
    <t>Penápolis, Brasil</t>
  </si>
  <si>
    <t>Tsu-shi, Mie</t>
  </si>
  <si>
    <t>Fortaleza, Ceará</t>
  </si>
  <si>
    <t>Colonia URUGUAY</t>
  </si>
  <si>
    <t>México Argentina y Peru</t>
  </si>
  <si>
    <t>Guanajuato, México</t>
  </si>
  <si>
    <t>Curaçao,Amsterdam,Maastricht.</t>
  </si>
  <si>
    <t>Candeias, Bahia, Brasil</t>
  </si>
  <si>
    <t>Valdivia, Chile</t>
  </si>
  <si>
    <t>Santiago, Metropolitana de San</t>
  </si>
  <si>
    <t>criciuma - santa catarina</t>
  </si>
  <si>
    <t>Viçosa, Brasil</t>
  </si>
  <si>
    <t>Cordoba - Argentina</t>
  </si>
  <si>
    <t>ÜT: -23.544927,-46.652779</t>
  </si>
  <si>
    <t>Rusia</t>
  </si>
  <si>
    <t xml:space="preserve">República Dominicana </t>
  </si>
  <si>
    <t>Mexico City</t>
  </si>
  <si>
    <t>Campo Grande - ms</t>
  </si>
  <si>
    <t>Hurlingham, Argentina</t>
  </si>
  <si>
    <t>Presidente Epitácio, Brasil</t>
  </si>
  <si>
    <t xml:space="preserve"> Santo Domingo</t>
  </si>
  <si>
    <t>Resistencia, Chaco, Argentina.</t>
  </si>
  <si>
    <t>Latinoamérica</t>
  </si>
  <si>
    <t>Bogotá, Colombia</t>
  </si>
  <si>
    <t>Brasília, Brasil.</t>
  </si>
  <si>
    <t>San Vicente</t>
  </si>
  <si>
    <t>Todo o Brasil, via Internet</t>
  </si>
  <si>
    <t>Maceió, Brasil</t>
  </si>
  <si>
    <t>La Paz - Bolivia</t>
  </si>
  <si>
    <t>Maule, Chile</t>
  </si>
  <si>
    <t>Stgo, Chile</t>
  </si>
  <si>
    <t>Punta Arenas, Chile</t>
  </si>
  <si>
    <t>CHILE</t>
  </si>
  <si>
    <t>Porto Alegre, Brazil</t>
  </si>
  <si>
    <t>Manaus Amazonas</t>
  </si>
  <si>
    <t>BRASIIIIIIIIL</t>
  </si>
  <si>
    <t xml:space="preserve">Ciudad de Córdoba, Argentina. </t>
  </si>
  <si>
    <t>Guarulhos - SP</t>
  </si>
  <si>
    <t>Bahia/Brasil</t>
  </si>
  <si>
    <t>Avellaneda, Bs As, Argentina</t>
  </si>
  <si>
    <t>Bolzano, IT</t>
  </si>
  <si>
    <t>Asunción, Paraguay</t>
  </si>
  <si>
    <t>Entre San Ángel y Tampico</t>
  </si>
  <si>
    <t>Goiânia, Goiás</t>
  </si>
  <si>
    <t xml:space="preserve">Argentina Libertaria </t>
  </si>
  <si>
    <t>Los Teques- Caracas.</t>
  </si>
  <si>
    <t>Porto Alegre, Brasil</t>
  </si>
  <si>
    <t>Rio Verde, Brasil</t>
  </si>
  <si>
    <t>Mar del Plata, Argentina</t>
  </si>
  <si>
    <t>Planet Earth</t>
  </si>
  <si>
    <t>San Juan- Argentina</t>
  </si>
  <si>
    <t>SANTIAGO/LIMA/MADRID</t>
  </si>
  <si>
    <t>Brazil 🇧🇷🏴</t>
  </si>
  <si>
    <t>Salta, Argentina.</t>
  </si>
  <si>
    <t xml:space="preserve">Centro América </t>
  </si>
  <si>
    <t>SALTA ARGENTINA</t>
  </si>
  <si>
    <t>-36.975872,-72.924644</t>
  </si>
  <si>
    <t>CHUBUT</t>
  </si>
  <si>
    <t>Ceará, Brasil</t>
  </si>
  <si>
    <t>Santo Domingo. Rep. Dom.</t>
  </si>
  <si>
    <t>.</t>
  </si>
  <si>
    <t>Sorocaba</t>
  </si>
  <si>
    <t>Cerrillos</t>
  </si>
  <si>
    <t xml:space="preserve">Alphaville - Barueri - SP </t>
  </si>
  <si>
    <t xml:space="preserve">Moçambique </t>
  </si>
  <si>
    <t>Manaus, Amazonas</t>
  </si>
  <si>
    <t>Quito, Ecuador 🇪🇨</t>
  </si>
  <si>
    <t>Loja, Ecuador</t>
  </si>
  <si>
    <t>Quito - Ecuador</t>
  </si>
  <si>
    <t>Goiânia</t>
  </si>
  <si>
    <t>Baixada Fluminense - RJ</t>
  </si>
  <si>
    <t>La Rioja, Argentina</t>
  </si>
  <si>
    <t>Buenos aires</t>
  </si>
  <si>
    <t>Brasília, DF</t>
  </si>
  <si>
    <t>CDMX, México</t>
  </si>
  <si>
    <t>Guaxupé / MG / Brasil</t>
  </si>
  <si>
    <t>San Juan - Argentina</t>
  </si>
  <si>
    <t>Brasília-DF</t>
  </si>
  <si>
    <t>Boadilla del Monte, Madrid, ES</t>
  </si>
  <si>
    <t>Newark, NJ</t>
  </si>
  <si>
    <t>Amsterdão, Holanda (Países Bai</t>
  </si>
  <si>
    <t>Racagua, Chile</t>
  </si>
  <si>
    <t>WorldWide</t>
  </si>
  <si>
    <t>Temuco, Chile</t>
  </si>
  <si>
    <t>Colina, Chile</t>
  </si>
  <si>
    <t>São Vicente, Brasil</t>
  </si>
  <si>
    <t>Alphaville, Barueri - São Paulo</t>
  </si>
  <si>
    <t>Distrito Federal</t>
  </si>
  <si>
    <t>LatAm</t>
  </si>
  <si>
    <t>Belém, Pará, Brasil</t>
  </si>
  <si>
    <t>Mars</t>
  </si>
  <si>
    <t>San Rafael, Argentina</t>
  </si>
  <si>
    <t>Brasília (DF) - Brasil</t>
  </si>
  <si>
    <t>São Paulo Campo Belo,   Brasil</t>
  </si>
  <si>
    <t>KOINOS</t>
  </si>
  <si>
    <t>Miami - FL - USA</t>
  </si>
  <si>
    <t>Texas, USA</t>
  </si>
  <si>
    <t>Pernambuco, Brasil</t>
  </si>
  <si>
    <t>Los Angeles, CA</t>
  </si>
  <si>
    <t>Coyhaique</t>
  </si>
  <si>
    <t>Baja California, México</t>
  </si>
  <si>
    <t>Resistencia, Chaco (Argentina)</t>
  </si>
  <si>
    <t>Entre Ríos, Argentina</t>
  </si>
  <si>
    <t xml:space="preserve">Buenos Aires, Argentina </t>
  </si>
  <si>
    <t>Teresina - PI</t>
  </si>
  <si>
    <t>United States</t>
  </si>
  <si>
    <t>Chubut, Patagonia Argentina</t>
  </si>
  <si>
    <t>Ibirubá</t>
  </si>
  <si>
    <t>Chubut, Argentina</t>
  </si>
  <si>
    <t>united stats</t>
  </si>
  <si>
    <t>San Francisco</t>
  </si>
  <si>
    <t>Rio Grande do Sul Brasil. 🇧🇷</t>
  </si>
  <si>
    <t>-9.622004,-35.725862</t>
  </si>
  <si>
    <t>Caxias do Sul, Brasil</t>
  </si>
  <si>
    <t>🇦🇷 La hora mágica</t>
  </si>
  <si>
    <t>México, Distrito Federal</t>
  </si>
  <si>
    <t>Xanadu SP</t>
  </si>
  <si>
    <t>MPT</t>
  </si>
  <si>
    <t>Recogiendo chatarra en Donbass</t>
  </si>
  <si>
    <t>National District, Dominican R</t>
  </si>
  <si>
    <t>Río Gallegos (Argentina)</t>
  </si>
  <si>
    <t>Minas Gerais, Brasil.</t>
  </si>
  <si>
    <t>Mozambique - Maputo</t>
  </si>
  <si>
    <t>República Dominica</t>
  </si>
  <si>
    <t>HAZ CLIC ACÁ 👉👉</t>
  </si>
  <si>
    <t>Brasília (DF), Brasil</t>
  </si>
  <si>
    <t>Mogi das Cruzes</t>
  </si>
  <si>
    <t>#Camaguey</t>
  </si>
  <si>
    <t>Canada</t>
  </si>
  <si>
    <t>Jataí, Brasil</t>
  </si>
  <si>
    <t>MG/BA</t>
  </si>
  <si>
    <t>Liberland</t>
  </si>
  <si>
    <t>Rondônia, Brasil</t>
  </si>
  <si>
    <t>Juiz de Fora, Brasil</t>
  </si>
  <si>
    <t>Nova Prata</t>
  </si>
  <si>
    <t>Recife/PE - BRASIL</t>
  </si>
  <si>
    <t>México, D.F.</t>
  </si>
  <si>
    <t>Franca</t>
  </si>
  <si>
    <t>Piracicaba, Brasil</t>
  </si>
  <si>
    <t>Pernambuco</t>
  </si>
  <si>
    <t>Cardenal Caro, Libertador Gene</t>
  </si>
  <si>
    <t>Temuco</t>
  </si>
  <si>
    <t>La Araucanía, Chile</t>
  </si>
  <si>
    <t>Uberândia-MG</t>
  </si>
  <si>
    <t>Misiones, Argentina</t>
  </si>
  <si>
    <t>United Kingdom</t>
  </si>
  <si>
    <t>Maputo, Moçambique</t>
  </si>
  <si>
    <t xml:space="preserve">Venezuela, edo anzoatuegui </t>
  </si>
  <si>
    <t>USA</t>
  </si>
  <si>
    <t>Caracas</t>
  </si>
  <si>
    <t>Campo Grande/RN</t>
  </si>
  <si>
    <t>São Paulo - SP - Brasil</t>
  </si>
  <si>
    <t>C. A. B. A. Argentina</t>
  </si>
  <si>
    <t>Espírito Santo</t>
  </si>
  <si>
    <t>Monterrey, Mx.</t>
  </si>
  <si>
    <t>Cuauhtémoc, Distrito Federal</t>
  </si>
  <si>
    <t>Ciudad de Mexico</t>
  </si>
  <si>
    <t>Guanajuato</t>
  </si>
  <si>
    <t>Viçosa do Ceará</t>
  </si>
  <si>
    <t>Trelew - Chubut</t>
  </si>
  <si>
    <t>Natal, Brasil</t>
  </si>
  <si>
    <t>Palestrante - Brasil</t>
  </si>
  <si>
    <t>Spain &amp; Latam</t>
  </si>
  <si>
    <t>Tokyo, Japan</t>
  </si>
  <si>
    <t>Washington, D.C</t>
  </si>
  <si>
    <t>Basel, Switzerland</t>
  </si>
  <si>
    <t xml:space="preserve">Brasil </t>
  </si>
  <si>
    <t>Uruguay. LejanoSur</t>
  </si>
  <si>
    <t xml:space="preserve">Chile </t>
  </si>
  <si>
    <t>Matola, Mz</t>
  </si>
  <si>
    <t>Spain</t>
  </si>
  <si>
    <t>Córdoba - Argentina</t>
  </si>
  <si>
    <t>TV Vitória</t>
  </si>
  <si>
    <t>Adamantina, SP, Brasil</t>
  </si>
  <si>
    <t>Machalí y La Serena, Chile</t>
  </si>
  <si>
    <t>Uruguai</t>
  </si>
  <si>
    <t>Latam &amp; Spain 🌍</t>
  </si>
  <si>
    <t>Joinville, Santa Catarina</t>
  </si>
  <si>
    <t>Canoas/RS</t>
  </si>
  <si>
    <t>Rua Governador Ney Braga 4431</t>
  </si>
  <si>
    <t>La Concepción 266</t>
  </si>
  <si>
    <t>Maputo,Mozambique</t>
  </si>
  <si>
    <t>Brasil - Rio de Janeiro</t>
  </si>
  <si>
    <t>Pichincha, Ecuador</t>
  </si>
  <si>
    <t>São Gonçalo, Brasil</t>
  </si>
  <si>
    <t>Neuquén, Argentina</t>
  </si>
  <si>
    <t>Valparaíso, Chile</t>
  </si>
  <si>
    <t>Balneário Camboriú, Brasil</t>
  </si>
  <si>
    <t>Brasília, DF, Brasil</t>
  </si>
  <si>
    <t>República Dominicana.</t>
  </si>
  <si>
    <t>Taipei City, Taiwan</t>
  </si>
  <si>
    <t>Turquía España</t>
  </si>
  <si>
    <t>Eunápolis - BA</t>
  </si>
  <si>
    <t>Logroño (La Rioja)</t>
  </si>
  <si>
    <t>#MuyCerca</t>
  </si>
  <si>
    <t>Caballito</t>
  </si>
  <si>
    <t>Santiago Rep. Dominicana</t>
  </si>
  <si>
    <t xml:space="preserve">Minas Gerais </t>
  </si>
  <si>
    <t>Rio Grande do Sul- Brasil</t>
  </si>
  <si>
    <t>São Paulo-Brasil</t>
  </si>
  <si>
    <t>Zug, Switzerland</t>
  </si>
  <si>
    <t>Goiânia, GO, Brasil</t>
  </si>
  <si>
    <t>Lima Perú</t>
  </si>
  <si>
    <t>+51 999350650</t>
  </si>
  <si>
    <t>à Direita</t>
  </si>
  <si>
    <t>San Salvador de Jujuy</t>
  </si>
  <si>
    <t>Volta Redonda/RJ</t>
  </si>
  <si>
    <t>Garopaba, Brasil</t>
  </si>
  <si>
    <t>Bangladesh</t>
  </si>
  <si>
    <t>rio de janeiro - brasil</t>
  </si>
  <si>
    <t>www.folhadocondomino.com.br</t>
  </si>
  <si>
    <t>Litoral Norte - SC</t>
  </si>
  <si>
    <t>Barra do Garças, Brasil</t>
  </si>
  <si>
    <t>Aracaju, Brasil</t>
  </si>
  <si>
    <t>Sul de Minas, Brasil</t>
  </si>
  <si>
    <t>Boston, MA</t>
  </si>
  <si>
    <t>Rawson, Argentina</t>
  </si>
  <si>
    <t>Maricá RJ</t>
  </si>
  <si>
    <t>Contagem, Brasil</t>
  </si>
  <si>
    <t>Gerli Night City. Argentina</t>
  </si>
  <si>
    <t>Chubut</t>
  </si>
  <si>
    <t xml:space="preserve"> Calle Virgilio Díaz Ordoñez </t>
  </si>
  <si>
    <t>Eduardo Castex - La Pampa</t>
  </si>
  <si>
    <t>assis brasil,acre</t>
  </si>
  <si>
    <t>Maputo</t>
  </si>
  <si>
    <t xml:space="preserve">Argentina </t>
  </si>
  <si>
    <t>Posadas, Argentina</t>
  </si>
  <si>
    <t>Río Cuarto, Córdoba, Argentina</t>
  </si>
  <si>
    <t>La Higuera, Chile.</t>
  </si>
  <si>
    <t>Brasília-DF-Brasil</t>
  </si>
  <si>
    <t>Providencia , R.Metropolitana</t>
  </si>
  <si>
    <t>Houston USA</t>
  </si>
  <si>
    <t>BZ</t>
  </si>
  <si>
    <t>sao paulo capital</t>
  </si>
  <si>
    <t>Betim e região</t>
  </si>
  <si>
    <t>Temuco Araucania Chile</t>
  </si>
  <si>
    <t>Chile, Alemania, Argentina</t>
  </si>
  <si>
    <t>Suiza</t>
  </si>
  <si>
    <t>BUENOS AIRES</t>
  </si>
  <si>
    <t>Chile, España, México</t>
  </si>
  <si>
    <t>Conselheiro Lafaiete, MG</t>
  </si>
  <si>
    <t>Boedo</t>
  </si>
  <si>
    <t xml:space="preserve">Av. JK, 791 Alto da Boa Vista </t>
  </si>
  <si>
    <t>Paraguay</t>
  </si>
  <si>
    <t>Cañada de Gomez, Santa Fe.</t>
  </si>
  <si>
    <t>Francisco Morato-SP</t>
  </si>
  <si>
    <t xml:space="preserve">La Plata </t>
  </si>
  <si>
    <t>Nassau</t>
  </si>
  <si>
    <t>Caxias do Sul (RS), Brasil.</t>
  </si>
  <si>
    <t>Santa Rosa-Toay, L.P</t>
  </si>
  <si>
    <t>Paulo Afonso, Brasil</t>
  </si>
  <si>
    <t>Nunca deixe que nada errado fique escondido. Não seja sem-vergonha igual a todos que fazem isso!</t>
  </si>
  <si>
    <t>"Todo mundo tiene derecho a sus propias opiniones, pero no a sus propios hechos." - Daniel Patrick Moynihan</t>
  </si>
  <si>
    <t>La libertad es amar el bien</t>
  </si>
  <si>
    <t>🕊Líder independiente,
derecha✝️🛐nacionalista @nayibbukele @Vox_es
👉@hijos_rehenes 
Si al Ministerio de Familia👪
@NuevaSociedadCo
¡Salvemos
la humanidad!🌏</t>
  </si>
  <si>
    <t>DÍOS PATRIA  HONOR Y LEALTAD.</t>
  </si>
  <si>
    <t>Puedes ver Negocios Televisión en el canal 140 de Movistar+, iOS, Android y di "Alexa, abre negocios en directo". O en Spotify!</t>
  </si>
  <si>
    <t>Política Distrital
https://t.co/YoOx2MDOjg</t>
  </si>
  <si>
    <t>Somos el noticiaro de @rtvd_4  |  Aquí podrás enterarte de todo lo que acontece en RD🇩🇴 y el resto del mundo🌎</t>
  </si>
  <si>
    <t>Canal voltado para investidores com foco no longo prazo, utilizando das opções de ações para potencializar os aportes financeiros.</t>
  </si>
  <si>
    <t>Igual aos outros caras, só que mais legal.😎🎙️🎧
Publicidade e Propaganda, peça uma Demo totalmente grátis.
chave pix (38)98863-0876</t>
  </si>
  <si>
    <t>A Itatiaia dá notícia de tudo! Fique por dentro do que acontece em Minas e no Brasil! Siga @itatiaiaesporte e saiba tudo sobre o mundo esportivo ⚽️🏐🏀</t>
  </si>
  <si>
    <t>Presidente municipal do Partido dos Trabalhadores de Presidente Figueiredo e Secretário Municipal do Meio Ambiente.</t>
  </si>
  <si>
    <t>Cuenta oficial https://t.co/A4cRaLRedR - Informaciones y noticias sobre el Sistema Dominicano de Seguridad Social, la política social, instituciones y servicios</t>
  </si>
  <si>
    <t>Órgano rector del Sistema Presupuestario dominicano por mandato de la Ley No. 423-06. #DerechoASaber #EstamosCambiando</t>
  </si>
  <si>
    <t>Presidente de la República Dominicana. Esposo. Padre. Mi mayor motivación: servir a la gente. #EstamosCambiando</t>
  </si>
  <si>
    <t>O que escrevo não é para fazer sentido para ti...
Fã de pescoço de galinha 🥺</t>
  </si>
  <si>
    <t>Página institucional do Banco de Moçambique</t>
  </si>
  <si>
    <t>Pela construção coletiva da revolução socialista no Brasil.
Junte-se a nós em todas as redes: https://t.co/fUM5SbeLup</t>
  </si>
  <si>
    <t>Primer #CoWork virtual de #Antofagasta 🚀💫🛸
Creado por @dosbarbascl 💡</t>
  </si>
  <si>
    <t>Organización socialista. Queremos expropiar la burguesía argentina  y concentrar la producción para alcanzar la productividad coreana y un nivel de vida sueco.</t>
  </si>
  <si>
    <t>Docente, historiador, político, nacido en Santa Cruz, criado en el Conurbano. Miembro de Vía Socialista</t>
  </si>
  <si>
    <t>Simplemente analizando el campo estratégico de la política chilena
Copia Gratis de Por qué fracasan los países
👇👇</t>
  </si>
  <si>
    <t>Connecting companies and creating business. 🤝🌎</t>
  </si>
  <si>
    <t>CEO | Venture Capital | B2B SaaS Growing | Leadership | Turnaround
Fala sobre #startup, #liderança #tecnologia e #transparência</t>
  </si>
  <si>
    <t>Você Conectado!
📊Cobertura dos principais acontecimentos da cidade
📝Jornalismo Local e Plural
📧#guarulhosonline
📲Siga o GO no Facebook e Instagram</t>
  </si>
  <si>
    <t>From Curitiba - PR 🏡 Chemical Engineer 👩‍🔬  Environmental Consultant ♻️ #TripLover  ✈️🚢🚗🚌 🇧🇷🇬🇷🇫🇷🇩🇪🇧🇪🇮🇹🇪🇸🇵🇹🇬🇧</t>
  </si>
  <si>
    <t>Politica, investimentos, psicologia e Brasil.</t>
  </si>
  <si>
    <t>Facebook: https://t.co/117tqHc3sU
Instagram: @jovempannews 
Telegram: https://t.co/qKvdBLVYUT
Newsletter: https://t.co/yzW9nEWqXu</t>
  </si>
  <si>
    <t>Founding team member of Microsoft Azure. TIGER 21 Chair, TLV. Entrepreneur &amp; investor, growth leader, proud dad. Adviser to startup boards and chief executives.</t>
  </si>
  <si>
    <t>Presidente da Força Sindical, da CNTM e do Sindicato dos Metalúrgicos de São Paulo e Mogi das Cruzes
#ALutaFazALei</t>
  </si>
  <si>
    <t>Política | Samba | Cinema/séries 
Repórter da coluna da Malu Gaspar no Globo. 
Brasiliense, botafoguense, família do RJ 
✉ rafael.moura@bsb.oglobo.com.br</t>
  </si>
  <si>
    <t>Se gritar pega o ladrão não fica  um meu irmão 🥳.</t>
  </si>
  <si>
    <t>No te pierdas en el mar de la información, entérate de lo que ocurre en los negocios, las finanzas y la economía en Fortuna y Poder.
https://t.co/Tq8v2qjVfa</t>
  </si>
  <si>
    <t>Asociado - Relationship Manager | Trader | Asesor en Inversiones | #TRMX #Clubdetraders #BolsaMX | Inversiones Bursátiles y Divisas</t>
  </si>
  <si>
    <t>Primer portal omnicanal especializado en la industria de la cobranza</t>
  </si>
  <si>
    <t>Esta cuenta es de difusión institucional. Para consultas sobre servicios financieros: @BCRAusuarios y https://t.co/J99tsuGBni.</t>
  </si>
  <si>
    <t>El Diario Digital de los Salteños 🖥️
WhatsApp 3872190019 📲</t>
  </si>
  <si>
    <t>EL MUNDO ES UN CONFLICTO INFINITO
Noticias y comentarios sobre economía, política internacional y mexicana.</t>
  </si>
  <si>
    <t>Husband to @DrBiden, proud father and grandfather. Ready to build back better for all Americans. Official account is @POTUS.</t>
  </si>
  <si>
    <t>Jornalista | Registro Profissional: Nº 0012600/PR / Repórter do Saiba Já News - Portal de Notícias</t>
  </si>
  <si>
    <t>Produzimos conteúdo digital, audiovisual e jornal impresso com maior alcance na região Sul Fluminense
WhatsApp: (24) 99926-5051</t>
  </si>
  <si>
    <t>Cuenta oficial de Invertix, primera plataforma de #asesoría #financiera #virtual de #RD. #Asesoría de inversión a su medida. Actualidad económica y financiera.</t>
  </si>
  <si>
    <t>Juventud PRO Propuesta Participativa Liberal</t>
  </si>
  <si>
    <t>Barrios de Belgrano .: Nuñez :. Colegiales</t>
  </si>
  <si>
    <t>Medio de comunicación de Córdoba, Argentina. También encontranos en https://t.co/UeVTiRRoBP</t>
  </si>
  <si>
    <t>Gobernador de la provincia de Mendoza.
https://t.co/Mq2d8STmeA
#GobiernoDeDiálogo</t>
  </si>
  <si>
    <t>O CCLA Advogados é especializado nos segmentos do esporte e do entretenimento.</t>
  </si>
  <si>
    <t>Noticias las 24 hs. del día, los 365 días del año. 
https://t.co/5oSt1k7FDu</t>
  </si>
  <si>
    <t>Fundado el 28 de mayo de 1997. Autoridad rectora del Sistema Bancario y Financiero de Cuba. Emisor de la moneda nacional.</t>
  </si>
  <si>
    <t>Cubana 💯🇨🇺, Licenciada en Economía, Revolucionaria orgullosa de su Patria.</t>
  </si>
  <si>
    <t>Miembro del Secretariado del Comité Central del Partido Comunista de Cuba. Fidelista, Martiano y Revolucionario.</t>
  </si>
  <si>
    <t>Amo a mi familia y a mi país 🇨🇺</t>
  </si>
  <si>
    <t>Página Siete es el diario nacional independiente de Bolivia. Esté al tanto de lo que ocurre en el país y el mundo a través de nuestras redes sociales.</t>
  </si>
  <si>
    <t>Cuenta creada por Trabajadores, Transportistas, Proveedores reclamando sus pagos al Ministerio de Vivienda y Habitat</t>
  </si>
  <si>
    <t>Rubia desinfluenciadora, que no ve el mundo de forma monocroma. Sin verdades absolutas y con muchas preguntas. Cree q la moda es revolucionaria y va a los Mets</t>
  </si>
  <si>
    <t>Lic. Computación #UCV
Comunicador popular 
Mención del Premio Nac Periodismo 2016 
#SoftwareLibre #Chavista
Telegram:  https://t.co/o2JV54AO2G</t>
  </si>
  <si>
    <t>Sobreviviente de una cuenta suspendida @chetuit.</t>
  </si>
  <si>
    <t>Analista| Adviser |Activista| CEO @ReunificaORG Asesoro Campañas, Empresas &amp; Gobiernos |Escribo @ElNacionalWeb #NOMilitoEnPartidos #TwitterMiOpiniónPersonal🇻🇪</t>
  </si>
  <si>
    <t>Periodista venezolano de radio y televisión. Articulista y defensor de la Constitución de 1999.</t>
  </si>
  <si>
    <t>Ministro del Poder Popular para Hábitat y Vivienda. Hijo fiel a la Revolución Socialista y Humanista</t>
  </si>
  <si>
    <t>Ministerio del Poder Popular para Hábitat y Vivienda</t>
  </si>
  <si>
    <t>Abogada / Aragüeña / Militante del @partidopsuv / Gobernadora electa del Estado Bolivariano de #Aragua</t>
  </si>
  <si>
    <t>#PoetaHippieLibreBeatSidhartha☮️ 🇻🇪 IG @tarekwilliamsaabh #ESTOICO47AñosDeBatallaPopular</t>
  </si>
  <si>
    <t>Presidente de la República Bolivariana de Venezuela 2019-2025. Hijo de Chávez. Construyendo junto al Pueblo una Patria de Futuro, porque juntos todo es posible.</t>
  </si>
  <si>
    <t>Tu lugar para estar conectado</t>
  </si>
  <si>
    <t>Abogado || Ministro de Economía de la Nación.           
🏛️ @Economia_Ar</t>
  </si>
  <si>
    <t>Escritor. Chile. Sudamérica. Cazador-recolector.</t>
  </si>
  <si>
    <t>Professor of Economics/MacroFinance. Critical macrofinance, central banks, repos, shadow banking, WallStreetConsensus https://t.co/YGZItchHwL  https://t.co/XPNo2sR5Gm</t>
  </si>
  <si>
    <t>“…Quando mente, fala a sua própria língua, pois é mentiroso e pai da mentira…” João 8:44</t>
  </si>
  <si>
    <t>🟨 Somos un medio de comunicación digital especializado en información de actualidad, opinión, reportajes y entrevistas. ✏️🟨🗞️ #E3NoticiasRD</t>
  </si>
  <si>
    <t>Nuestro objetivo principal es mantener la estabilidad de precios, por mandato Constitucional y la Ley Monetaria y Financiera No.183-02  Cuenta oficial del BCRD</t>
  </si>
  <si>
    <t>Conectando al campo</t>
  </si>
  <si>
    <t>Uma sofisticada plataforma de investimentos focada em atender o interior de SP</t>
  </si>
  <si>
    <t>Todas las noticias de la provincia de Mendoza al alcance de tu mano.</t>
  </si>
  <si>
    <t>📊 Información de #negocios #economía #agro #finanzas #gestión y #emprendimientos de la Región Centro de #Argentina 🇦🇷</t>
  </si>
  <si>
    <t>follow God</t>
  </si>
  <si>
    <t>O seu portal de notícias sobre #Bitcoin e #blockchain, sua melhor fonte de informação com as mais recentes #notícias mundiais sobre #criptomoedas.</t>
  </si>
  <si>
    <t>Empresário/ Consultor / Master Coach e Vovô !!!CHEGA DE ESQUERDOPATIA ! DEMOCRACIA DE VERDADE SEMPRE !</t>
  </si>
  <si>
    <t>Olá eu sou o @prmarcosbrasil1 servo do Deus altíssimo e consciente com a política brasileira. 
Patriota até o fim.</t>
  </si>
  <si>
    <t>📉 Investimentos |
🗞 Política |
 📲 Novos Negócios |
📚 Sempre buscando informações e trazendo a realidade do mercado, pois bolsa de valores, não é cassino 🎲</t>
  </si>
  <si>
    <t>#Soucearense, tenho um orgulho, pai d'égua de ser ,cearense  #sounordestino  https://t.co/oJhzEr1ftv</t>
  </si>
  <si>
    <t>Aqui você aprende que o Brasil pode dar muito certo! 🇧🇷🚀
Conheça o PND!
🌐 Encontre várias soluções para o Brasil no nosso site!</t>
  </si>
  <si>
    <t>Perfil oficial do Partido Comunista do Brasil na Câmara dos Deputados ✊🏾🚩</t>
  </si>
  <si>
    <t>¿Te gusta el #traiding?Necesitas analizar tu #brokers. Aqui encontrarás artículos #financieros, tips y consejos que te ayudarán en tus #finanzas 📈</t>
  </si>
  <si>
    <t>Tudo Sobre Convênios!</t>
  </si>
  <si>
    <t>Sobrevivente.
#DoItAll 😷
#VaccinesSafety 💉
#NoRoomForRacism ✊
#COP28UAE 🌐
#NetZero 🌳
#ESG 🌍
#DemocraciaInabalada ⚖️
#WeRaceAsOne 🏎️
#BeyondGreatness</t>
  </si>
  <si>
    <t>Fique por dentro de tudo que o BC publica: https://t.co/VrFnR3Etep…</t>
  </si>
  <si>
    <t>Nosso objetivo é manter nosso público bem informado, fornecendo informações técnicas sobre o dia a dia no mercado financeiro, estudos sobre finanças e economia.</t>
  </si>
  <si>
    <t>TodoCalefon, Distribuidor Oficial de los Productos RHEEM y SPLENDID, con Calefones, Termos, Aire Acondicionado, Calentadores de Piscina y Accesorios...</t>
  </si>
  <si>
    <t>um robô (esquerdista) aprendendo eternamente o português 🤖</t>
  </si>
  <si>
    <t>A AUDITORIA CIDADÃ DA DÍVIDA é uma associação sem fins lucrativos que estuda e divulga fatos sobre o endividamento público e seus desdobramentos.</t>
  </si>
  <si>
    <t>Notícias de Sergipe e do Brasil.  Há 13 anos deixando você bem informado!</t>
  </si>
  <si>
    <t>Artista, arte-educadora, professora, mestre e doutora em arte e costureira. #FreeAssange</t>
  </si>
  <si>
    <t>La marca Exness es compartida por varias entidades autorizadas que ofrecen servicios financieros multiactivo. Se aplican restricciones regionales.</t>
  </si>
  <si>
    <t>Algumas paixões: esporte, economia, música, marketing, livros, turismo. Tá bom, né?</t>
  </si>
  <si>
    <t>Não enche meu saco … o Amor Venceu !</t>
  </si>
  <si>
    <t>0264Noticias, diario digital #sanjuanino por sobre todas las cosas.
#SanJuan #periodismolocal #0264Noticias
Suscribite al WhatsApp News: 2646248083</t>
  </si>
  <si>
    <t>Ama, ríe, sueña 🤍 Madre 🤍Emprendedora 💪 Referente del Partido Libertario CABA en Comuna 15 💪🐍🇦🇷</t>
  </si>
  <si>
    <t>Argentino y Libertario del 30%.            Fundador de Juventud Libertaria</t>
  </si>
  <si>
    <t>Somos a los jóvenes que damos la batalla cultural en todos los frentes! Hagamos historia!</t>
  </si>
  <si>
    <t>Magister en Criminalistica e Investigación Criminal
Civil, Laboral, Corporativo
Apolítica
Docente 
Locutora
Travel &amp; Family Lover
Amante e hija de Dios</t>
  </si>
  <si>
    <t>O Jornal Digital, que trás para você as notícias de Palmas e Tocantins, com um jornalismo moderno e independente.</t>
  </si>
  <si>
    <t>Missão é serviço à pessoa, como Jesus, Maria e Francisco: Em solidaridade com os #pobres e os últimos. 😉
Presenças digitais:👉 https://t.co/UgjAnWHS4b…</t>
  </si>
  <si>
    <t>Mãe do Marcelo e da Margarida, meus filhos de quatro patas. - Por favor, não me incluam em listas -</t>
  </si>
  <si>
    <t>Jornalismo independente, progressista, 24 horas por dia, 7 dias por semana. Assine: (https://t.co/9osqP6SbjD) Telegram: https://t.co/Hld10tstNN 📢</t>
  </si>
  <si>
    <t>Existe um tempo para fazer escolhas e um tempo para conviver com as consequências das escolhas feitas. Comece onde você está!  #BrasilDaEsperança 🇧🇷</t>
  </si>
  <si>
    <t>Conselheiro Municipal de Juventude - BH, Formado em Administração e #lulapresidente</t>
  </si>
  <si>
    <t>Espiritualista da Luz 
Advogado e Consultor Jurídico
Fã da Ana CaroLinDa
Torcedor do Papão
Amor Vincit Omnia! 🩵
O AMOR E A VERDADE SEMPRE VENCEM. 🎯❤
BLM / MCP</t>
  </si>
  <si>
    <t>Secretário e co-fundador do PL de Dois Irmãos/RS
Cristão | Conservador | Direita | Patriota.🇧🇷</t>
  </si>
  <si>
    <t>Edução física:
desenvolver e crescer :
Afegão de médio clero tentando sobreviver no bostil</t>
  </si>
  <si>
    <t>📜 ¡Bienvenidos a El General ABE! 🧠 Explora historia, política, economía, entre otras cosas curiosas más. 🔍</t>
  </si>
  <si>
    <t>Periódico de la provincia de #CiegodeÁvila. Queremos contar historias que importan. Desde #Cuba y para el mundo. Síguenos.</t>
  </si>
  <si>
    <t>This journal has published scientific articles since 1962 (OJS 2017) ISSN 2525-1295 #Argentina #Diamond #OpenAccess #YPYW SPA/ENG/POR #CONICET @UNS_oficial</t>
  </si>
  <si>
    <t>Aprendé Haciendo en una Gran Universidad Campus Buenos Aires • Campus Costa Argentina • Sede Recoleta •Sede Belgrano</t>
  </si>
  <si>
    <t>Departamento de Economía, FCS, Universidad de la República. A través de esta cuenta difundimos eventos, cursos, publicaciones y otras novedades.</t>
  </si>
  <si>
    <t>Desde el BID trabajamos para el desarrollo socioeconómico y sostenible de #AméricaLatina y el #Caribe. 🌎 #MejorandoVidas</t>
  </si>
  <si>
    <t>Portal de noticias de Argentina 📲 Link en la bio 👇
.
👇Seguinos también en 
📌Instagram ➡ @cnarnoticiasarg
📌Telegram ➡ https://t.co/ci1A5ByKYv</t>
  </si>
  <si>
    <t>Un Consigliere...</t>
  </si>
  <si>
    <t>🇧🇷 Fã de Pezinhos Femininos
Foto: @footlindos</t>
  </si>
  <si>
    <t>Estou com Lula, quem também está, segue aí!</t>
  </si>
  <si>
    <t>🏦 Gestora de Recursos 
Seu patrimônio pode render quando investido no lugar certo.</t>
  </si>
  <si>
    <t>Somos un equipo de profesionales que trabajamos para informarte a través de las páginas del periódico Hoy y nuestra versión digital. Guardianes de la verdad.</t>
  </si>
  <si>
    <t>Sua fonte de informações sobre tecnologia.</t>
  </si>
  <si>
    <t>Chile bajo partidocracia.
Sin movilización no hay coacción.
❌Chile Vamos es el enemigo primario
💥Tú eres el carbono que quieren reducir💥
#50AñosDeLibertad</t>
  </si>
  <si>
    <t>Top and breaking news, pictures and videos from Reuters. For more breaking business news, follow @ReutersBiz. Our new daily podcast is here: https://t.co/KO0QFy0d3a</t>
  </si>
  <si>
    <t>Universo jurídico, institucional, bolsa e economia geral.Essa página NÃO É RECOMENDAÇÃO FINANCEIRA</t>
  </si>
  <si>
    <t>Deputado Estadual Suplente, ativista das Pessoas com Deficiência e lutador por uma comunidade de Aragarças Melhor.</t>
  </si>
  <si>
    <t>Minuto Otaku - Portal com Notícias, Críticas, Podcast e Cursos Online sobre Animes, Mangás e Cultura Asiática - Portal Otaku #01 do Brasil</t>
  </si>
  <si>
    <t>Economista, analista de pesquisa de opinião, sensível às causas sociais. Lula Presidente!</t>
  </si>
  <si>
    <t>Na luta por um país melhor sempre ❤️</t>
  </si>
  <si>
    <t>Agradeço à cada amanhecer.</t>
  </si>
  <si>
    <t>Idealizador do Canal Quem Sabe</t>
  </si>
  <si>
    <t>Economista e Educadora Financeira
💵💰🧉☕📚</t>
  </si>
  <si>
    <t>Panflix é a TV digital da Jovem Pan. Assista onde estiver, a hora que quiser; baixe agora! 📱💻📺📻
https://t.co/a2vsR5231R</t>
  </si>
  <si>
    <t>Brasil acima de tudo
DEUS acima de Todos</t>
  </si>
  <si>
    <t>Abogada. Feminismo es igualdad, no privilegios. #Covid1984. Rechacé 2 veces y volveré a Rechazar. 
Fan del rol subsidiario del Estado y no me disculpo por ello.</t>
  </si>
  <si>
    <t>Junto a @CeciliaMorel, padres de 4 y abuelos de 13.</t>
  </si>
  <si>
    <t>Presidente de la República de Chile, período 2022-2026.'La duda debe seguir a la convicción como una sombra' A. Camus</t>
  </si>
  <si>
    <t>Notícias de Veranópolis, Nova Prata, Cotiporã, Fagundes Varela, Vila Flores, Bento Gonçalves, Caxias do Sul, Rio Grande do Sul, Brasil e mundo</t>
  </si>
  <si>
    <t>Editor</t>
  </si>
  <si>
    <t>Único jornal especializado em Economia, Gestão e Negócios de Minas Gerais</t>
  </si>
  <si>
    <t>Algunas noticias, opiniones y mensajes para la vida.</t>
  </si>
  <si>
    <t>CEO de @progreso_latam, profesor en la @UFMedu y presidente de @FICEMcemento.</t>
  </si>
  <si>
    <t>Analytics and advisory services on the front lines of transformation.</t>
  </si>
  <si>
    <t>Aportamos al periodismo una forma diferente de contar la realidad al conjugar el análisis y contextualización de los hechos con las tecnologías más avanzadas.</t>
  </si>
  <si>
    <t>Ativos geram renda passiva e garantem um ótimo futuro!</t>
  </si>
  <si>
    <t>Banco de Desenvolvimento focado no crescimento sustentável Moçambicano/ Mozambique development bank focused on the country's sustainable growth</t>
  </si>
  <si>
    <t>Docente Universitario.  Latinoamericanista. Napoli en el corazón. 💙🇮🇹</t>
  </si>
  <si>
    <t>tenho Cristo como mestre, cidadão brasileiro, marido de uma mulher espetacular e pai de filhos maravilhosos.</t>
  </si>
  <si>
    <t>El medio de los Negocios
Cuenta oficial Punto a Punto Córdoba</t>
  </si>
  <si>
    <t>Profesor Universidad Torcuato Di Tella y Johns Hopkins University.
Presidente del Banco Central de la República Argentina (2018/2019). Bostero.</t>
  </si>
  <si>
    <t>Presidente de la Nación Argentina 🇦🇷 (@CasaRosada) Profesor de derecho penal (UBA) ⚖ Presidente del @p_justicialista. Hincha de AAAJ. #TenemosFuturo</t>
  </si>
  <si>
    <t>Minha Operadora é o maior site de notícias sobre telecomunicações do Brasil. Todos os meses recebemos cerca de 2 milhões de visitas. Obrigado pela companhia ;-)</t>
  </si>
  <si>
    <t>🇦🇷</t>
  </si>
  <si>
    <t>Servidor público,administrador, contador e quiçá economista. Amante de uma boa leitura, da música e da sétima arte. X de política, econ, adm e 🏀🎾⚽ 👉🏽♑</t>
  </si>
  <si>
    <t>Bloguero GUASABARAeditor: Noticias en favor de la democracia participativa, el desarrollo humano, la paz, el medio ambiente y la cultura. Ingeniero de Sistemas</t>
  </si>
  <si>
    <t>Periódico independiente.</t>
  </si>
  <si>
    <t>«Cuando siento una necesidad de religión, salgo de noche y pinto las estrellas.» Vincent Van Gogh</t>
  </si>
  <si>
    <t>Ciudadano de Chile, a favor de la paz social. MBA, Ingeniero. 
Me niego que destruyan nuestro hermoso país.</t>
  </si>
  <si>
    <t>Alcaldesa de @quilpueciudad. Mapuche, enfermera, feminista y exCore. Milito orgullosa en @la_convergencia 💜💚</t>
  </si>
  <si>
    <t>Cuenta Oficial de la Corporación Municipal Quilpué.
💜 Salud y Educación Pública 📚🩺 
#MunicipioAbierto</t>
  </si>
  <si>
    <t>Confío a Dios mi vida. Después de todo, Él me la dió</t>
  </si>
  <si>
    <t>Se torne um Anarquista e conquiste sua liberdade financeira.</t>
  </si>
  <si>
    <t>A sua fonte de fofocas sobre os Sniders</t>
  </si>
  <si>
    <t>As Últimas Notícias do Brasil e do Mundo.
Você bem informado, sempre!</t>
  </si>
  <si>
    <t>NUNCA MÁS KKKKKKK</t>
  </si>
  <si>
    <t>ℹ️  Sitio web y agencia de noticias.
💻 A un click de la información.
⬇️⬇️⬇️⬇️</t>
  </si>
  <si>
    <t>✍🏻 | Fundador da Conta Rico 🌳 | Plataforma de investimentos pensada na economia tokenizada.</t>
  </si>
  <si>
    <t>Antes le choreaba el vuelto de los mandados a mi vieja, despues que conoci TW, choreo memes, tuits, frases lo que venga...🍺
#TeamInvierno
⭐️⭐️⭐️</t>
  </si>
  <si>
    <t>Programa de radio con @VicenteAlbornoz y Sebastián Oleas</t>
  </si>
  <si>
    <t>Democracia com Livre Comércio
- Brasília
+ Municípios do Brasil
- PT PSOL PCdoBR e Esquerdopatas
+ Prosperidade para o BRASIL</t>
  </si>
  <si>
    <t>Información confiable y los mejores análisis de la realidad. 📱💻 Suscribite y accedé sin límites: https://t.co/jVcPj6smhw</t>
  </si>
  <si>
    <t>e-Global Notícias em Português</t>
  </si>
  <si>
    <t>Há mais de 20 anos, fazemos a ponte entre o mercado e sociedade, e nos propomos a impulsionar a nova geração de investimentos e investidores conscientes.</t>
  </si>
  <si>
    <t>O sacal mais legal | Economista Sério | Gerência de Análise Econômica da @CNI_br | Coordenador do @cpanpec | Sou só metade do que já te disseram</t>
  </si>
  <si>
    <t>Advogado</t>
  </si>
  <si>
    <t>Amo a natureza, sou publicitária e estudo sobre investimentos.</t>
  </si>
  <si>
    <t>Lo tuyo a un click! Mantente al día a través de nuestra App📱: HT noticias.</t>
  </si>
  <si>
    <t>"Con la fuerza del periodismo del interior"
Instagram: https://t.co/hFpJ1HqGjX…
(Director Periodístico: Dr. José Luis Casiva)</t>
  </si>
  <si>
    <t>Realiza tu operación renta 2023 y cumple tus obligaciones tributarias, con Auditable 📈 link ➡️ https://t.co/fOYcnZSxgS</t>
  </si>
  <si>
    <t>💘🎶Libertad, frenesí DO RE MI FA SOL LA SI 💘🎶 Opinologa - 
Twitter es CATARSIS, me desestresa. 
⭐⭐⭐ Coronados de gloria ⭐⭐⭐</t>
  </si>
  <si>
    <t>JESUS IS THE KING !!!🙏🏻🙏🏻🙏🏻</t>
  </si>
  <si>
    <t>Economista, Sócio XP, CEO VaiTourinho, Apresentador Jovem Pan , Conselheiro ANCORD - Toda opinião é livre, só bloqueio quem fala palavrões (crianças me seguem)</t>
  </si>
  <si>
    <t>As informações que importam aparecem aqui.</t>
  </si>
  <si>
    <t>Una nueva manera de hacer periodismo, con todas las voces. #Política #Deportes #Espectáculos #Municipales</t>
  </si>
  <si>
    <t>Jefe de Gobierno de CABA. Economista (UBA). Fundador de @proargentina.</t>
  </si>
  <si>
    <t>Newsletter de opinión sobre temas de actualidad, cultura, deporte, política, sociedad y mucho más.</t>
  </si>
  <si>
    <t>Somos Información de Nueva Esparta, Venezuela y el Mundo y tú eres parte de nuestro equipo</t>
  </si>
  <si>
    <t>Diario digital de noticias sobre la industria farmacéutica de la región.   Facebook /pharmabizweb</t>
  </si>
  <si>
    <t>Conducción @raulefi en el piso y  #NadiaCazarsa . Por Radio del Mar 98.7</t>
  </si>
  <si>
    <t>Periodista, Columnista de https://t.co/3BmA58jSHm. Conductor de 'Actualidad 2.0' por Radio Del Mar, 98,7 Mhz. Editor 'Desarrollo Golfo San Jorge'.</t>
  </si>
  <si>
    <t>Contabilidade Médica, Cálculo Judicial (Trabalhista e  Previdenciário) &amp; Despachante Documentalista. WhatsApp (21) 98995-8645  em Maricá-RJ.</t>
  </si>
  <si>
    <t>𝘖𝘴 𝘱𝘳𝘪𝘯𝘤𝘪𝘱𝘢𝘪𝘴 𝘥𝘦𝘴𝘵𝘢𝘲𝘶𝘦𝘴 𝘲𝘶𝘦 𝘮𝘰𝘷𝘪𝘯𝘵𝘢𝘮 𝘰 𝘮𝘦𝘳𝘤𝘢𝘥𝘰 𝘧𝘪𝘯𝘢𝘯𝘤𝘦𝘪𝘳𝘰 𝘥𝘪𝘢𝘳𝘪𝘢𝘮𝘦𝘯𝘵𝘦!</t>
  </si>
  <si>
    <t>Talks about #Politics #ForeignAffairs #EU #LatAm #Italy #Argentina #Populism | Coordinatore @ItaliaViva Sudamerica | 🎓 @UvA_Amsterdam | 🇪🇺 Prev @Europarl_EN</t>
  </si>
  <si>
    <t>📹 🌎 En español, síguenos en vivo las 24 horas del día durante los 7 días de la semana.
📡 https://t.co/mVxdFurCcL 
🔴 Último minuto: @UrgenteF24
🏘️ @FRANCE24</t>
  </si>
  <si>
    <t>Economista. Macro y Mercados Financieros. Socio en FMyA. Don’t Panic.</t>
  </si>
  <si>
    <t>SERVICIO INFORMATIVO - RED 92</t>
  </si>
  <si>
    <t>La esquina que te mantienen al día con las informaciones para que nadie te lo cuente. Visita nuestra página web https://t.co/fvzePcPpiI para que sepas todo.</t>
  </si>
  <si>
    <t>El Diario Digital de la ciudad de #LaPlata 📩 redaccion@0221.com.ar | Director: @CeMarino | Miembro de @apd_periodismo y @Adepargentina</t>
  </si>
  <si>
    <t>Potencia tu éxito financiero con nuestra asesoría especializada
💼 Asesoría Financiera
📚Educación Financiera 
¿Cómo podemos ayudarte?👇
https://t.co/w0qOr5XWTX</t>
  </si>
  <si>
    <t>Política, economia, esportes, celebs, pets e mais! #PortaliG</t>
  </si>
  <si>
    <t>A transformação digital da notícia</t>
  </si>
  <si>
    <t>🛫✡Guayaquileño de nacimiento y por convicción, BSC/FCB. Letras propias y Libertad de pensamiento.  La evolución no termina</t>
  </si>
  <si>
    <t>Los buenos somos más. Las verdades como son así te duelan !!......  No afirmo solo es mi opinión.</t>
  </si>
  <si>
    <t>#RedDeTuiterosDemocraticos</t>
  </si>
  <si>
    <t>Los milagros ocurren cuando sustituimos las quejas por la oración 🙏 y los miedos por la Fé 🙏 🙌</t>
  </si>
  <si>
    <t>La madurez virtud para aceptar y entender lo que no se puede cambiar y valor para cambiar positivamente para ser cada vez un mejor ser humano.</t>
  </si>
  <si>
    <t>No Digital ID Shit
War against the GLOBALISTS
War to the WEF
War against the NWO
UN Sucks
Dissolve NATO Shit
War to TRAITOR TRUDEAU</t>
  </si>
  <si>
    <t>enemiga de la Mafia correista de la corrupción.</t>
  </si>
  <si>
    <t>FEEL NO FEAR..!
💯% Againts corruption in 🇪🇨
1️⃣0️⃣0️⃣1️⃣1️⃣</t>
  </si>
  <si>
    <t>Académico, Patriota, Republicano. Opiniones  personales ,Sdv sólo leales, no zurdos, siempre por la derecha. #DespertemosLeones 
#NoALaViolencia</t>
  </si>
  <si>
    <t>Anticorreista
#Anticomunista 
camarógrafo..memes ..</t>
  </si>
  <si>
    <t>Perfil oficial Crypto Times!
🌐Tudo o que você precisa saber sobre o mundo cripto está aqui.
🗞Uma marca @leiamoneytimes</t>
  </si>
  <si>
    <t>👍 Aqui não se cria notícia, se compartilha</t>
  </si>
  <si>
    <t>Especialista em Administração Pública com foco em eficiência Orçamentária, Gestão Financeira e Operações Logística.</t>
  </si>
  <si>
    <t>El programa más confiable de Salta.
📻 Lunes a viernes de 11 a 13 x Radio Identidad FM 103.3
 🎙 @luispulo
Elegi como vernos 👉🏻 https://t.co/IeiKZvM40e</t>
  </si>
  <si>
    <t>Tengo los ojos de cristal y papel sellado en la piel. 
Periodisto, profesor ambulante, cangallero y discípulo del Cristo del Elqui. 
Voté #Apruebo dos veces.</t>
  </si>
  <si>
    <t>canalizador de informacion, sobre toda la industria de pensiones</t>
  </si>
  <si>
    <t>Diputado por Las Condes, Vitacura, Lo Barnechea, La Reina y Peñalolén.</t>
  </si>
  <si>
    <t>No me crea, puedo estar mintiendo, estar equivocado, querer manipularlo para obtener algún beneficio... Usted busque, cuestione, dialogue, reflexione, salga...</t>
  </si>
  <si>
    <t>Miro, observo y veo. El resto? Puntos de vista discutibles.  Obsecuentes y fanáticos GET OUT OF MY SIGHT!!! Trabajo en el área de Salud 😷🏥🇦🇷.
#lover</t>
  </si>
  <si>
    <t>Aprendí a sonreír a pesar de que caí muchas veces ❤️</t>
  </si>
  <si>
    <t>A BedRock é uma Asset Management de páginas digitais e investimentos que são por ela administrados visando o aumento de seus rendimentos 
BedRock 2022-2023⭐🌈☁️</t>
  </si>
  <si>
    <t>A rádio música e notícia do Vale do Ivaí!</t>
  </si>
  <si>
    <t>CP | MBA | 📈 #Blogger/Analista independiente 📉
Temas sobre #negocios 🐂🐻 #tecnologia🪙📊 #inversiones 💵🏦
https://t.co/l9T27cmjjF</t>
  </si>
  <si>
    <t>Diputado Nacional por la Provincia de Buenos Aires. Trabajo todos los días para transformar la realidad de los bonaerenses. Amo a Analía, a mi familia y a River</t>
  </si>
  <si>
    <t>Desenvolvedora Web</t>
  </si>
  <si>
    <t>CNN Brasil. Você por dentro de tudo.
Acompanhe também pelo canal 577, app ou site. 
⚽ @esportescnn
⚡️ @cnnpop
💰 @cnneconomia
💵 @nolucrocnn</t>
  </si>
  <si>
    <t>Você por dentro de tudo o que move a economia. Agora.
@CNNBrasil</t>
  </si>
  <si>
    <t>don’t @ me bro</t>
  </si>
  <si>
    <t>Professor de Filosofia, sindicalista,educação,filiado ao https://t.co/M1Y0aUAUQt e criador do site:https://t.co/zWa49MtdrB</t>
  </si>
  <si>
    <t>Diretor. Economista USP, Mestrados Administração USP e Ciência Política UNB. Consultor Palestrante, ACBH Adega Café Brasil Hospedagem e AN Agência de Notícias.</t>
  </si>
  <si>
    <t>Assessoria de comunicação</t>
  </si>
  <si>
    <t>Security &amp; Safety, opiniones estrictamente personales.</t>
  </si>
  <si>
    <t>AM950 | Siempre del lado de la información.</t>
  </si>
  <si>
    <t>📺 Conductor en CNN en Español @cnnee / Ex conductor de #STAFF en @telefe 📻 Conductor de #LaMañanaDeCNN en CNN Radio 📻 @vueltamediaok 📖 Libro La Salada</t>
  </si>
  <si>
    <t>Secretario de Asuntos Estratégicos de la Ciudad de Buenos Aires. Presidente Banco Central (BCRA) 2004-10. Economista (UBA) Hincha de Independiente</t>
  </si>
  <si>
    <t>Cuenta oficial de Su MundoTV. Un canal informativo, líder en la difusión de noticias del acontecer nacional e internacional 🌎</t>
  </si>
  <si>
    <t>Gaceta Oficial de Venezuela, (No Oficial) Gaceta Oficial 2023 en Instagram Gaceta (punto) Oficial Descarga Gaceta Oficial PDF Sumario Go Editor @RaymondOrta</t>
  </si>
  <si>
    <t>Instituto Cultural Cinema Brasil - Pioneer Brazilian Cinema site since 1995 with  20 millions page-views. Lista de Debates, Microcine e Ponto de Cultura (2019).</t>
  </si>
  <si>
    <t>Somos una compañía RegTech líder en brindar soluciones para Cumplimiento Regulatorio y Prevención de Lavado de Activos</t>
  </si>
  <si>
    <t>⚡️Para vos que querés informarte, hacelo rápido pero bien. Todas las noticias resumidas acá‼️</t>
  </si>
  <si>
    <t>👨‍🍳Chef: “PeekTime” Social Network. “Elysium” DeFi System for generating user&amp;reputation licenses. 🥷 Drilling engineer of oil and gas wells.</t>
  </si>
  <si>
    <t>Único diario digital con cobertura integral en cada rincón de la provincia de Buenos Aires.</t>
  </si>
  <si>
    <t>Intendente de Pinamar, @proargentina. Pre-Candidato a diputado nacional con @PatoBullrich. Casado con Caro, papá de Marcos y Margarita 🇦🇹🇦🇹🇦🇹.</t>
  </si>
  <si>
    <t>Militante RD,
Pisciana,
Mamá de la pulga</t>
  </si>
  <si>
    <t>🇨🇱 Ministerio de las Culturas, las Artes y el Patrimonio. Ministra Carolina Arredondo Marzán (@_caroarredondo). | Presentes por un mejor futuro.</t>
  </si>
  <si>
    <t>Toda la información y los #Hashtags del #Chacal. Firme junto al pueblo. Suscribite al canal líder de noticias @cronicatv | #MandaTuDenuncia 1140423503</t>
  </si>
  <si>
    <t>Hombre d multiples Oficios #Relojero X #Amor. digo lo q pienso y Trabajo mientras cotorreo #Clima #Chemtrails
LA #BICI #MTB ES MI MEDIO DE #TRANSPORTE.</t>
  </si>
  <si>
    <t>Periodismo Independiente 
Lun-Vie 2PM, 7PM y 10PM.                             Sáb-Dom 7PM.</t>
  </si>
  <si>
    <t>Periodista de Investigación El Informe con Alicia Ortega, Lunes 9:00PM y Noticias SIN Emisión Estelar Lun- Vie 10:00PM
aliciaortegahasbun@noticiassin.com</t>
  </si>
  <si>
    <t>-Consultor en estrategias de visibilidad, influencia y reputación -Periodista, #Barrigaverde, liceista y CEO de @MediaticosRD. Opino en @SIN24Horas</t>
  </si>
  <si>
    <t>♉ ~ 💕🐾 ~ 💙💛💙⚽️</t>
  </si>
  <si>
    <t>Portal de Noticias de #LaPlata 
📧 radioregioncultural@gmail.com</t>
  </si>
  <si>
    <t>Consultor de Investimentos CVM c/ 10 MM sob aconselhamento. Ec 3:11</t>
  </si>
  <si>
    <t>Lutamos pelos direitos dos empregados e aposentados da Caixa e promovemos o bem-estar da categoria.</t>
  </si>
  <si>
    <t>Sem hipocrisia!!!</t>
  </si>
  <si>
    <t>Deputado Federal 1312 PT/BA. Visitem meu site: https://t.co/9Diks6pjws</t>
  </si>
  <si>
    <t>Finanzas verdes y sustentables
Energías renovables
Padre... En la ruta del desayuno #carbononeutral
#Deportistadebajorendimiento</t>
  </si>
  <si>
    <t>¿Te gusta nuestro contenido?
Súmate a la comunidad #DFFull
🤓📱💻 https://t.co/1LRnMVPCmy</t>
  </si>
  <si>
    <t>Corresponsal Popular RADIO SUR 90.1 FM.
Ecologista,
A favor de la Unidad Latino Americana, CHÁVEZ,
Ten y Cultivo d Cannabis,
PAZ🕊️ #BloqueoAViolentaos ❌🚫</t>
  </si>
  <si>
    <t>#CadaMinutoUnaVerdad en @eyrnews</t>
  </si>
  <si>
    <t>Levántate una y otra vez hasta que los corderos se conviertan en leones!</t>
  </si>
  <si>
    <t>El dolor es inevitable, pero el sufrimiento es opcional.
Libertad es no depender de nada, ni de nadie.
Emprendedor.
Nunca un político remunerado.</t>
  </si>
  <si>
    <t>🦁 Investidor, analista do mercado financeiro CEO da Focus_capital-investment. 
Deejye do Norte Sul do Brasil</t>
  </si>
  <si>
    <t>🐻 x 🐂 Notícias e comentários de economia política. Siga o meu instagram @robertomotta7</t>
  </si>
  <si>
    <t>Asesora en el Palacio Legislativo de la Ciudad de Buenos Aires. Del equipo de @patobullrich .Periodista.Licenciatura en Comunicación.Dancer.Música amateur 🎹🎻</t>
  </si>
  <si>
    <t>Notícias, Fatos e Fotos.</t>
  </si>
  <si>
    <t>Notícias, Denúncias e reclamações do Rio de Janeiro ganham voz! Conte conosco p/ ajudá-lo. Utilidade pública c/ qualidade   E-mail: informerjo@gmail.com</t>
  </si>
  <si>
    <t>🧑🏾‍💼Administrador
💰Mentor de Investimentos
💎Idealizador da Comunidade⤵️
⚔️Investidores da Liberdade
⚔️Seja membro gratuitamente⤵️</t>
  </si>
  <si>
    <t>TODO LO QUE NECESITAS SABER AL FINAL DEL DÍA 🖥️De lunes a viernes de 20 a 21hs</t>
  </si>
  <si>
    <t>Periodista. Conductor de #BravoNius. Política en @cronicatv. Comunidad y Membresía en @Cenitalcom. Consultor de medios. Antes @tiempoarg y @eldiarioar.</t>
  </si>
  <si>
    <t>Periodista/Conductora Radio y TV 📻📺
@desdeotroladofm @fueradelaireok @fmmilenium 
@Continental590 
@cronicaTV 
@canalbravoTV
Music, ever!</t>
  </si>
  <si>
    <t>Cuenta oficial de Canal C Córdoba. Disfrutá nuestra programación en la señal 7 y 539 de Flow. Noticias, análisis y videos de sucesos en Córdoba - Argentina</t>
  </si>
  <si>
    <t>Administração de Empresas</t>
  </si>
  <si>
    <t>Objetivo, veraz y actual.
Periódico digital dominicano.
Asociado a 🤝 @acdmediard</t>
  </si>
  <si>
    <t>Eu vou escutar K-pop porquê eu sou xofêm 🤷‍♀️🎶 Agora, apresse-se e segure minha mão. Nós fomos feitos um para o outro, baby 💜</t>
  </si>
  <si>
    <t>Banco digital grátis, falo sobre dinheiro de um jeito iti e tenho conta grátis que rende 100% do CDI nas metas, a partir do 1º dia útil. #FazUmiti e #VaComTudo</t>
  </si>
  <si>
    <t>Perfil oficial do Itaú.</t>
  </si>
  <si>
    <t>Joven entusiasta, emprendedor, trabajador incansable y luchador por el bienestar de la comunidad. activista social y en porvenir del más necesitado.</t>
  </si>
  <si>
    <t>Deus, Pátria, Família, Conservadorismo e Democracia.</t>
  </si>
  <si>
    <t>Tudo o que eu faço... faço como se fosse para Deus!!!</t>
  </si>
  <si>
    <t>📱 O seu portal de notícias. Tudo sobre política, saúde, justiça, comportamento, entretenimento. Confira os fatos relevantes do país e do mundo em tempo real.</t>
  </si>
  <si>
    <t>Tweets com as principais notícias de Goiás e do Brasil. 
Siga o Instagram: @portaldia
Sugestões: (62) 99636-5920
jornalismo@diaonline.com.br</t>
  </si>
  <si>
    <t>Vecino de la provincia de Buenos Aires. Con la Bullrich vamos a poner orden.</t>
  </si>
  <si>
    <t>Soy del LOBO/harta de corruptos/creo en utopías, porque la realidad es increíble/
Ars longa, vita brevis-Dura lex,sed lex/ Alea iacta est -Soy Odontóloga/UNLP/</t>
  </si>
  <si>
    <t>📝Bloguinho Oficial
Leonnardo Morenno
📰📊💸☎️💾📺📻🎭🎬🎧📸🕹️🎮🛼⚽🎂</t>
  </si>
  <si>
    <t>🇵🇹🇮🇳</t>
  </si>
  <si>
    <t>Twitter oficial de Santander Argentina. Un lugar para compartir las noticias más importantes. ¿Tenés dudas sobre como operar? Conocé el centro de ayuda acá 👇</t>
  </si>
  <si>
    <t>@twitter Oficial de Noticias Live Chile 📺 transmisión diaria en vivo nacional e internacional link de Instragram👉 https://t.co/WywVuyBhwZ…</t>
  </si>
  <si>
    <t>Entregamos a solução ideal para bancários autônomos
Oferte mais de 150 produtos de 70 parceiros
Seja um Business Banker ⤵︎
https://t.co/u7OsYIQovB</t>
  </si>
  <si>
    <t>Empresário, radialista, jornalista esportivo e publicitário. Atualmente na rádio Cidade do Aço, Jornal Ponto e Agência Comunicação Criativa</t>
  </si>
  <si>
    <t>O Seu Dinheiro é um site de notícias e análises sobre investimentos voltado para a pessoa física</t>
  </si>
  <si>
    <t>QUERO A AUDITORIA DA DÍVIDA PÚBLICA COM PARTICIPAÇÃO SOCIAL!</t>
  </si>
  <si>
    <t>Somos la comunidad de debate político más grande del país. Sumate, participá e informate con Política Argentina.</t>
  </si>
  <si>
    <t>Um jornal a serviço do Brasil
Newsletters: https://t.co/NVUcVDAjzm
Insta: https://t.co/ktjTHtETj7 
TikTok: https://t.co/EOgj84KB9l
Facebook: https://t.co/Iq0fS3e2sF
Assine: https://t.co/OJOZUvKPWW</t>
  </si>
  <si>
    <t>I love cartoon, comics, painting, animation, harmonica and Blues.</t>
  </si>
  <si>
    <t>⭐ Cuenta oficial de @canal10cba
📲 Somos el Portal de Noticias de los #SRT de la @unc_cordoba.
💻👇🏼 Nuestra web:
https://t.co/4LIqgWfjhA</t>
  </si>
  <si>
    <t>Coins Topics foco Notícias em tempo real sobre #Bitcoin #criptomoedas, Mercado Financeiro e Geopolítica, Tweets não são conselhos financeiros | Fique informado!</t>
  </si>
  <si>
    <t>CIDADÃO BRASILEIRO,GAÚCHO, HUMANISTA, DEMOCRATA, SOCIAL-PROGRESSISTA, NA DEFESA DO BRASIL SOBERANO, DOS DIREITOS-GARANTIAS DOS TRABALHADORES E MINORIAS SOCIAIS.</t>
  </si>
  <si>
    <t>Noticias cada 3 minutos, en tiempo real y sin ninguna preferencia política Web: https://t.co/RC2nuEFqp2 Contacto: lado2mx@gmail.com</t>
  </si>
  <si>
    <t>Lula Já! 
Sou Arte! Desinfluenciador digital. 
https://t.co/5xpqUpA7j4
https://t.co/rpqTE8d3Er - Arte, Cultura e Política</t>
  </si>
  <si>
    <t>🧑🏻‍💻 | Gestor de investimentos em criptos
📊 | Educador financeiro
🚀 | CEO da @yellowcryptobr</t>
  </si>
  <si>
    <t>Nuestra misión es ofrecer soluciones financieras que se adaptan a las necesidades de nuestros clientes generando valor en sus inversiones.</t>
  </si>
  <si>
    <t>Concejal Manfredi #FichaLimpia @FichaLimpia #VoluntariosdelCambio #Ciclovias #BiciSendas #Bici 🚲 #MoveteEnBici #AlTrabajoEnBici</t>
  </si>
  <si>
    <t>Somos la nueva dirigencia política del sentido común. Somos argentinos comprometidos para reconstruir la República Argentina. #SomosDemos</t>
  </si>
  <si>
    <t>Cuenta oficial de Twitter de Juntos por el Cambio.</t>
  </si>
  <si>
    <t>Espacio liderado por Javier Milei.</t>
  </si>
  <si>
    <t>Nascemos em 1984, num período de luta contra a ditadura e pela redemocratização. Representamos hoje 3,5 milhões de trabalhadores em todo o estado de SP! #CUTsp</t>
  </si>
  <si>
    <t>Agenda 4P refleja Noticias, Debates y Propuestas sobre tres áreas de interés: Políticas Públicas, Política y Profesionales.</t>
  </si>
  <si>
    <t>Acredito que o melhor programa social é um emprego,Ronald Reagan ex presidente americano.</t>
  </si>
  <si>
    <t>🏆 Top Ranking CoinmarketCap e CoinGecko
Participe de nosso grupo ➡️
🔗https://t.co/2OHsia2lUg
Registre-se na BingX! ⬇️</t>
  </si>
  <si>
    <t>La realidad se cuenta con Data 📲 ⚡️</t>
  </si>
  <si>
    <t>Mirá C5N en vivo en YouTube 📲 e ingresá en nuestro sitio web para enterarte las últimas novedades al instante 👇</t>
  </si>
  <si>
    <t>Escribe en tu corazón cada dia es el mejor del año</t>
  </si>
  <si>
    <t>Cuenta oficial de ¨ El Machete¨ 😎
👉🏻 ⚔️ Somos las noticias que cortan las mentiras.
👀 🇵🇪 Te compartimos información actualizada del acontecer Peruano.</t>
  </si>
  <si>
    <t>Bem-vindo ao Money Markets, o seu portal financeiro global de confiança. 📈🌐
💻 info@moneymarkets.com.br</t>
  </si>
  <si>
    <t>¡No soy bipolar! Me hacen enfadar cuando estoy feliz</t>
  </si>
  <si>
    <t>Agora somos JORNAL METROPOLITANO. Sejam bem vindos!
¬ Canal de notícias
¬ 6 anos no ar!
¬ Participe: #TamoJuntoJM
https://t.co/HdbfyG9nOP</t>
  </si>
  <si>
    <t>Se o espírito mal presenteia o tigre com presas, Brahma providência asas aos pombos.
(guru indiano)</t>
  </si>
  <si>
    <t>Jornalista, cantor, compositor e músico.</t>
  </si>
  <si>
    <t>Hospedagem de sites e Streaming para Rádios https://t.co/GCXLVOaJV7</t>
  </si>
  <si>
    <t>Trukamelo tu plataforma digital</t>
  </si>
  <si>
    <t>Dominicana 🇩🇴 Lic.#RRPP #Locutora 🎤 #MaestraDeCeremonias #Comunicacion #Trukamelo.com 📽️ @trukamelo</t>
  </si>
  <si>
    <t>Campaña patriótica que nos motiva amar, proteger y promover nuestra bella República Dominicana. Propulsor: Hernani Aquino</t>
  </si>
  <si>
    <t>productor Cinematografico</t>
  </si>
  <si>
    <t>Arajet es la primera aerolínea de precios bajos del Caribe. Convertimos a República Dominicana en el nuevo hub de conexiones del continente.</t>
  </si>
  <si>
    <t>Madre, emprendedora polifacética, mujer de fácil sonrisas y fuertes convicciones. Amante de mi país .</t>
  </si>
  <si>
    <t>Os fortes não tem medo de encarar o pior; os fracos fogem dele porque sua mera visão os esmaga. O.C.</t>
  </si>
  <si>
    <t>Jornalista, Advogado &amp; Economista 📊 Pai de duas meninas 👧 👧❤️ “Equilíbrio &amp; Coesão”</t>
  </si>
  <si>
    <t>Comercial ETECSA</t>
  </si>
  <si>
    <t>Etecsa_Cuba  DT Norte</t>
  </si>
  <si>
    <t>Deus fortalece</t>
  </si>
  <si>
    <t>Filho da Dona Lindu, marido da @JanjaLula, presidente da República. Trabalhando para reconstruir o Brasil.</t>
  </si>
  <si>
    <t>Ahn... to aí nessa vida promíscua</t>
  </si>
  <si>
    <t>Sua vida com mais pique. 💚</t>
  </si>
  <si>
    <t>Noticias e informações com muita velocidade! 
#jornalweb #jwnews #abc #brasil #mundo #noticias #jornalismo</t>
  </si>
  <si>
    <t>La actualidad del Perú, real y libre.
➡️ Síguenos en nuestras redes:
 ► IG   soyindependientepe
 ► FB  SoyIndependienteP</t>
  </si>
  <si>
    <t>Bacharel em Teologia; Pós em Direito Constitucional; Docência do Ensino Superior e Pós em Ciências Políticas (cursando) escritor, amo minha família.</t>
  </si>
  <si>
    <t>Economista/Profesor/Invest MA #WMU US #Fulbright LIC #UASD 6 premios ECN #BCRD Interés: #EconomíaDelDesarrollo #Econometría #ODS Oriundo de #Constanza #Nonstop</t>
  </si>
  <si>
    <t>Periodista, director y fundador de EnSegundos, noticias de República Dominicana  https://t.co/jnMwt1TVBe</t>
  </si>
  <si>
    <t>Investidor independente.</t>
  </si>
  <si>
    <t>🇧🇷Ministra do Planejamento e Orçamento | Senadora 2015-2022 | Ex-presidente da CCJ e ex-líder da Bancada Feminina | Advogada e professora universitária</t>
  </si>
  <si>
    <t>Ministro da Fazenda de Lula,  Ex-Ministro da Educação, Ex-Prefeito de São Paulo,  Professor da USP</t>
  </si>
  <si>
    <t>Jornale | redacao@jornale.com.br
TEL: (41) 3263-2002
Curitiba - Paraná
Notícias Online
Política / Cidade / Geral / Esportes / Cultura / Mundo</t>
  </si>
  <si>
    <t>A primeira rádio transmitida em AM e FM do Norte/Nordeste</t>
  </si>
  <si>
    <t>Economista e Colunista, Especialista em Investimentos, Tesouraria, Financeiro, visão Estratégica, Conselho Consultivo, Governança corporativa, copywriter,BNDES.</t>
  </si>
  <si>
    <t>A los Centificos,  Borrachos y Locos que conocen el sistema nadie nos cree 😂</t>
  </si>
  <si>
    <t>Somos o portal Mais News com muita informação direto da fonte!</t>
  </si>
  <si>
    <t>Você sabe porque viu! O VIUU é um portal de notícias, entrevistas, podcasts, vídeos e boa música, que conta com uma equipe de colaboradores especializados.</t>
  </si>
  <si>
    <t>Amo mi familia y le sirvo a República Dominicana como Defensor del Pueblo | @DefensorRD 🇩🇴</t>
  </si>
  <si>
    <t>Órgano constitucional cuyo objetivo es la buena administración pública y garantía de los derechos fundamentales en la República Dominicana.</t>
  </si>
  <si>
    <t>Una nueva forma de comunicarnos</t>
  </si>
  <si>
    <t>Perfil oficial do Fórum Permanente em Defesa do Serviço Público</t>
  </si>
  <si>
    <t>Porque la verdad está en el barro</t>
  </si>
  <si>
    <t>Notícias a partir de São Paulo para todo Brasil. Jornalismo puro em tempo real.</t>
  </si>
  <si>
    <t>El portal de noticias más plural de #BuenosAires
 #BairesParaTodos  #bptnoticias
 https://t.co/iB32bftFYj…</t>
  </si>
  <si>
    <t>Desde 22 de março de 2011.</t>
  </si>
  <si>
    <t>🌐 Portal de Noticias especializado en la Legislatura Bonaerense</t>
  </si>
  <si>
    <t>A quem não acredita na inocência, importância e grandeza do presidente Lula, favor não me seguir, pq n aceito ingratidão, ignorância e falta de memória !!</t>
  </si>
  <si>
    <t>🎥 Curioso por explorar 🌍 |     Mi canal de @YouTube</t>
  </si>
  <si>
    <t>IT\SOC\CISA\CSIRT\MSc</t>
  </si>
  <si>
    <t>Doctora en Desarrollo Económico. Directora de Banco Nación y Directora del @ctroCEPA. Docente en UBA y UNR. Candidata a Diputada Nacional en PBA por UxP ☀️</t>
  </si>
  <si>
    <t>Saber quem paga impostos e como o Estado aplica os recursos é da conta de todo cidadão
Faça parte dessa rede e descubra como impostos são cobrados e aplicados.</t>
  </si>
  <si>
    <t>Por años los hijos de EUROPEOS jugaban así con los hijos de AFRICANOS.</t>
  </si>
  <si>
    <t>Periodista, Escritor, Autor del best-seller 'La Otra Cara de HC', Olimpista apasionado, Patriota.</t>
  </si>
  <si>
    <t>El primer canal de economía de la Argentina. Cableoperadores: Td: 25.6 | Telecentro: 21 | Directv: 1722 | Clarotv: 22 | Sensa: 196 | Telered: 126 | Trimi: 24</t>
  </si>
  <si>
    <t>De la democracia al desarrollo🇦🇷 Periodista • Licenciado en Inglés ••• Perfil, Ámbito, LPO, Canal Económico.</t>
  </si>
  <si>
    <t>Periodista
https://t.co/VCtiJbuuA6
✒Escribo para @mundodeportivo
📺TV en @CanalNetAr, de @perfilcom
📋Prensa en @LaPasteleraAgro</t>
  </si>
  <si>
    <t>🎯 | Aprendamos juntos y cambia tu mundo🌎 #edtech #blockchain #criptomonedas      🚀 | Es hora, es ahora 📲 | Más info ⬇️</t>
  </si>
  <si>
    <t>ig: ariel.coremberg</t>
  </si>
  <si>
    <t>http://t.co/Z6ZwWVNMJH - http://t.co/TX6TF1nOUs -  @todonoticias - Periodista especializado en noticias internacionales.</t>
  </si>
  <si>
    <t>Somos apoyo y asesoría a la comunidad menos favorecida</t>
  </si>
  <si>
    <t>Lic. y Master en Ciencias Económicas.  Director Ejecutivo de Libertad y Progreso. Profesor e investigador de ESEADE. Consultor económico y financiero.</t>
  </si>
  <si>
    <t>abogado,mediador,arbitro,Presidente ADDUC,Director Instituto Derecho Consumidores CALZ, Director de D. Consumidor de FACA, Prof. Titular Cátedra UdE y Prof.UNLZ</t>
  </si>
  <si>
    <t>Difusión e inclusión financiera ✍ @Ambitocom 📻 Pasaron Cosas @radioconvos899 🎙️ El Otro País AM 1420 Tel: 54 11 5762 3897 M. 1359 @canalnetar</t>
  </si>
  <si>
    <t>Periodista. https://t.co/KF1a8vnCmb Orgulloso de https://t.co/FRBQ2q0ccV Lauti, Valen y Juani me dan vida.
De Lomas. De Los Andes, obvio.</t>
  </si>
  <si>
    <t>Analista Económico. Conferencista. Consultor de Empresas. Periodista. Investigador y Escritor. Hoy con mi nuevo libro "El Futuro del Comercio que se viene"</t>
  </si>
  <si>
    <t>Periodista</t>
  </si>
  <si>
    <t>Instagram: mariano.gorodisch. Youtube: https://t.co/oZZJAUFFSZ
Facebook: EconomanOk. Linkedin Mariano Gorodisch</t>
  </si>
  <si>
    <t>Experto en Economía Real y Comercio Exterior🌎🇦🇷</t>
  </si>
  <si>
    <t>Tatu não sobe em toco</t>
  </si>
  <si>
    <t>Translation and DTP Services</t>
  </si>
  <si>
    <t>Sociólogo ( se ainda me lembro....) #forabolsonaros 
 #bolsonarogenocida  PEDIU PIX.... BLOCK.....</t>
  </si>
  <si>
    <t>Esquerda segue esquerda, Sigo de volta.
DM 🚫</t>
  </si>
  <si>
    <t>SonarTrade: Seu marketplace de recomendações e copy trading de trades e carteiras. Potencialize sua rentabilidade com insights de experts na palma da mão! 📈📲</t>
  </si>
  <si>
    <t>Padre de familia numerosa, soñador de un mejor pais para mis hijos.</t>
  </si>
  <si>
    <t>Informação para você ter o controle de seu conhecimento e não permitir que manipulem sua vida e futuro</t>
  </si>
  <si>
    <t>Meu mal é amar demais a farofa.                           
❎box GT: RuyGTR   #PowerYourDreams</t>
  </si>
  <si>
    <t>Sua fonte diária de informações sobre política. Por @mateusno.
✉️ contato@eixopolitico.com | 📱 +55 61 99843-2035</t>
  </si>
  <si>
    <t>Deputada federal pelo Paraná e Presidenta Nacional do Partido dos Trabalhadores ⭐</t>
  </si>
  <si>
    <t>A life Long Foreign Exchange Trader</t>
  </si>
  <si>
    <t>21👸🏼
👩🏼‍🤝‍👨🏽💞
Gral Roca 🗺</t>
  </si>
  <si>
    <t>-</t>
  </si>
  <si>
    <t>Jhon Galt</t>
  </si>
  <si>
    <t>Las mejores informaciones en las palma de sus manos</t>
  </si>
  <si>
    <t>Dominicano. Abogado. Presidente de la República 1996-2000; 2004-2012. Presidente de @FPComunica, @FUNGLODE y la @WFUNA.</t>
  </si>
  <si>
    <t>❤️Ama a Dios por sobre todas las cosas y a tu prójimo como a ti mismo.❤️</t>
  </si>
  <si>
    <t>Portal de  noticias de Manaus, do Brasil e do Mundo.
Siga-nos @manaustime no @Facebook e no @Instagram</t>
  </si>
  <si>
    <t>Las noticias más importantes del país y el mundo. Desde #LosAngelesCL en el #Biobio</t>
  </si>
  <si>
    <t>A Central de Concursos é uma escola especializada em cursos direcionados à carreira pública, e que conta com experiência de mais de 30 anos no mercado.</t>
  </si>
  <si>
    <t>Canal de Noticias de Misiones. | http://t.co/gKr05U1g32 | http://t.co/iVDDBm8LlL | Director: @jorgekurrle</t>
  </si>
  <si>
    <t>Consultor Sanitario (vivo de lo que defeca). Mi personaje favorito es Alcibiades; tres veces traidor a su patria, otras tantas salvador de la misma.</t>
  </si>
  <si>
    <t>Editor de Economía y conductor de Agenda Económica en CNN Chile. Profesor UC. Cruzado de por vida.</t>
  </si>
  <si>
    <t>O melhor conteúdo para a sua tomada de decisão.</t>
  </si>
  <si>
    <t>Economista- Professor FGV-EESP | Consultor - MK4 Ex-chefe do Departamento de Pesquisas (Depep) do BCB PhD em Economia pela Universidade de Cornell Cruzeirense.</t>
  </si>
  <si>
    <t>Ambientalista e deputado federal PT/SP 
Por um Brasil justo e sustentável 
Baseado na igualdade 
e no respeito a todas formas de vida.</t>
  </si>
  <si>
    <t>_pra quem tem um parafuso a mais</t>
  </si>
  <si>
    <t>DUNAS CAPITAL es un grupo ﬁnanciero de origen español y de carácter independiente de referencia para el mercado ibérico en el sector de la gestión de activos.</t>
  </si>
  <si>
    <t>more #Bitcoin</t>
  </si>
  <si>
    <t>🇦🇿🇪🇸</t>
  </si>
  <si>
    <t>Mercados CPQD: Indústria, Telecom, Agronegócio, Financeiro, Utilities, Varejos e Serviços.</t>
  </si>
  <si>
    <t>Nunca desliga</t>
  </si>
  <si>
    <t>Jornalista, apresentador da @GloboNews, vascaíno, e por aí vai... Instagram: dom_bang</t>
  </si>
  <si>
    <t>Jornalista/Repórter-GloboNews/TV Globo https://t.co/F2JPyB64Np elisabete.pacheco@g.globo (e-mail)</t>
  </si>
  <si>
    <t>Jornalista e apresentador Globo News Em Pauta. Autor do livro: Talvez você seja desconstruindo a LGBTFOBIA que você nem sabe que tem!     🏳️‍🌈✊🏼🏳️‍⚧️💪🏼🌈</t>
  </si>
  <si>
    <t>Informação, informalidade e interatividade. A notícia e a análise dos fatos com @AndreiaSadi. De segunda a sexta, às 13h, na @GloboNews.</t>
  </si>
  <si>
    <t>Comentarista da @GloboNews. Professor de Economia (@clipping_cacd &amp; @ibmec). Criador do podcast @petit_journal_ 🇧🇷🇵🇹🇦🇴</t>
  </si>
  <si>
    <t>Repórter / @GloboNews</t>
  </si>
  <si>
    <t>O Portal de Notícias Hoje Bahia pretende provocar a reflexão além do que a própria realidade já impõe.
🗞️📰</t>
  </si>
  <si>
    <t>La web hispanoparlante más leída sobre cruceros, puertos y turismo marítimo y fluvial</t>
  </si>
  <si>
    <t>"⚯" 
Love is only for the people who love. 
not believe, only fly... I'm wild as a wolf, cold as a vampire┣▇▇▇═─  - - - - - - ░ ▒▓▓█D</t>
  </si>
  <si>
    <t>Notícias sobre mercado financeiro, economia e finanças pessoais. Este é o E-investidor, novo portal de investimentos do @estadao</t>
  </si>
  <si>
    <t>La casa del progresismo en Chile desde 1992</t>
  </si>
  <si>
    <t>Integramos una corriente de profesionales de la economía y las ciencias sociales que privilegia la calidad del crecimiento.
#ParaUnDesarrolloJustoySostenible</t>
  </si>
  <si>
    <t>Economista. Director de @EPyCAConsult. Docente. Ya volveré a la radio. Mientras: podcast #Recalculando por @podlabmedia (está en #Spotify). Calamar.</t>
  </si>
  <si>
    <t>#UBA #UNQ Presidente Agencia I+D+i (Agencia Nacional de Promoción de la Investigación, el Desarrollo Tecnológico y la Innovación)👉 @agenciaidiar</t>
  </si>
  <si>
    <t>Información de primer nivel para las derechas y los liberales de derecha.</t>
  </si>
  <si>
    <t>#DataScientist #Finance
#AI #ChatGPT #Mercado #Câmbio
It is scientific only to say what is more likely and what less likely, and not to be proving all the time.</t>
  </si>
  <si>
    <t>El que no valora la vida no se la merece.</t>
  </si>
  <si>
    <t>"Eu repreendo e disciplino a quantos amo, Sê pois zeloso e arrepende-te." Apocalipse 3:19 🇧🇷🇧🇷🇧🇷🇧🇷</t>
  </si>
  <si>
    <t>• VAREJO  • FINANÇAS  • TECNOLOGIA 
@consultei_  @gi.finance
Instagram: @esron</t>
  </si>
  <si>
    <t>Writing and talking about Blockchain, Decentralization, Web3 and Innovation</t>
  </si>
  <si>
    <t>A rádio que toca notícia também no Twitter. Acompanhe os programas, comentaristas e boletins da CBN</t>
  </si>
  <si>
    <t>Colunista de O Globo</t>
  </si>
  <si>
    <t>Todos os dias na Rádio CBN às 6h com @miltonjung e @cassiagodoy</t>
  </si>
  <si>
    <t>Evoluindo com você!
Siga também: @noticiasredetv</t>
  </si>
  <si>
    <t>Aqui você encontra tudo o que acontece no Brasil e no mundo!
- Siga também: @redetv</t>
  </si>
  <si>
    <t>📈 Transformando informação, em melhores investimentos.</t>
  </si>
  <si>
    <t>#SDVDIREITA "O brasileiro é antes de tudo um forte" Postagens de notícias do espectro ideológico de direita. Sejão bem-vindos.</t>
  </si>
  <si>
    <t>Pai e marido zeloso; filho de Deus
Dinheiro 💰, Investimentos📈, Política🤡, Tecnologia📲. Pessoas importam👊🏼!
Sócio e estrategista @somosnomos</t>
  </si>
  <si>
    <t>Somos a NOMOS, uma assessoria com a missão de criar um mundo com melhores investidores, um de cada vez. Vem com a gente?</t>
  </si>
  <si>
    <t>Professor de Língua Portuguesa, Redação e Literatura.
Sem a luta de classes, não há revolução.</t>
  </si>
  <si>
    <t>Asociación Trabajadores del Estado - Río Negro - Patagonia Argentina</t>
  </si>
  <si>
    <t>As principais notícias do dia 💻
100% aberto 🤗, sem custos 📲 e sem cadastro ❎️</t>
  </si>
  <si>
    <t>No E-Commerce Brasil, você encontra notícias, artigos, vídeos, eventos e muito mais! Acompanhe também pelo Youtube: https://t.co/f1J0IzBgW5</t>
  </si>
  <si>
    <t>En una provincia con gobierno y oposiciones socialistas, la voz de los jujeños libres se alza.
@SDBarro
@LuisAlzogaray1</t>
  </si>
  <si>
    <t>Economista</t>
  </si>
  <si>
    <t>Sou Enfermeiro libertário, apaixonado por saúde, educação e defesa. Vamos conversar sobre esses temas e muito mais? #saúde #educação #libertário</t>
  </si>
  <si>
    <t>Twitter oficial da FEBRABAN - Federação Brasileira de Bancos - principal entidade representativa do setor bancário no País.</t>
  </si>
  <si>
    <t>Perfil oficial da Federação das Indústrias do Estado de SP. Receba nossas notícias e compartilhe sua opinião.</t>
  </si>
  <si>
    <t>Perfil oficial da Câmara dos Deputados para divulgação sobre a atividade parlamentar, votações e debates.</t>
  </si>
  <si>
    <t>Perfil oficial do Senado do Brasil no Twitter.</t>
  </si>
  <si>
    <t>🖊 Cientista político, escritor e fundador do @CLP_Brasil  
📺  Comentarista na @jovempannews
📖 ÚLTIMO LIVRO "Por que as democracias triunfam" 👇🏼</t>
  </si>
  <si>
    <t>Treinta &amp; Tres - 97.3 Posadas | 102.3 IGZ | 99.5 Oberá | FOX 106.1 Pds | A. I. Iwanczuk . Periodista | Publicista | Productor | logística | Mammoth Redes</t>
  </si>
  <si>
    <t>Alertas de Trading en Tiempo Real !</t>
  </si>
  <si>
    <t>Seu momento de descontração na sua emissora multiplataforma!🎙🖥 📱📻📺</t>
  </si>
  <si>
    <t>Tranquilo, si es solo una Red Social más!</t>
  </si>
  <si>
    <t>Director de #MultimediosNOVA
Productor de @bamodels
WhatsApp: ​+54 9 11 2159-4390. Twittero filoso</t>
  </si>
  <si>
    <t>Cuenta oficial del Gobierno de la Provincia de Córdoba - Argentina.</t>
  </si>
  <si>
    <t>Gobernador de la provincia de Córdoba</t>
  </si>
  <si>
    <t>soy persona serio y ¡! soy persona no me gusta la injusticias .resolver los problema  investigar  coso nueva1171237852</t>
  </si>
  <si>
    <t>Da Bahia pro mundo 🌎
Do mundo pra perto da gente 📲</t>
  </si>
  <si>
    <t>Federación tiene por objetivo la defensa de los intereses de los sectores empresariales vinculados a la actividad comercial y de servicios de Córdoba.</t>
  </si>
  <si>
    <t>Periódico digital que presenta los hechos nacionales e internacionales tal cual acontecen, para que nadie te lo cuente y te enteres por nosotros.</t>
  </si>
  <si>
    <t>Somos, ProDominicana, el Centro de Exportación e Inversión de la República Dominicana. Servicios gratuitos integrales a todos los inversionistas y exportadores.</t>
  </si>
  <si>
    <t>Casa de Cambio (SA)brosa. Creamos el CUC pa joder na' má. Solo queremos baro y fulas. #Cuba #Cadeca #Parody</t>
  </si>
  <si>
    <t>"Isso de querer ser exatamente aquilo que a gente é ainda vai nos levar além..."</t>
  </si>
  <si>
    <t>Organizando o mercado de investimentos</t>
  </si>
  <si>
    <t>🇨🇱 Noticias para gente de derecha</t>
  </si>
  <si>
    <t>Economista, Administrador e Professor Universitário. 
Por favor, NÃO a DM ou NUDS.</t>
  </si>
  <si>
    <t>Nova legislação para O POVO BRASILEIRO VETAR, PROPOR E VOTAR LEIS, sem burocracia, por PLATAFORMA PÚBLICA E ONLINE, sempre que o povo brasileiro quiser.</t>
  </si>
  <si>
    <t>Director | Transformación digital | Gestión de Cadena Suministros | Operaciones | Tecnología | Logística | S&amp;OP | Gerente | Bilingüe</t>
  </si>
  <si>
    <t>Río de Janeiro , la Ciudad Maravillosa . Gente unida que aun en la hora más oscura , siempre en fortalece.Como decimos en Brasil.</t>
  </si>
  <si>
    <t>nos especializamos en generar ingresos pasivos para poder empezar en este mundo del trading</t>
  </si>
  <si>
    <t>Economista | Mestre em Finanças Corporativas | Superintendente de Crédito | Professor | Investidor</t>
  </si>
  <si>
    <t>Economista sem economês e com bom humor. Ganhador dos Prêmios iBest de Economia e Negócios, Opinião e Cidadania e maior influenciador do LinkedIn.</t>
  </si>
  <si>
    <t>Falar da gente é difícil, mas a alegria me torna especial. Ser fiel com os meus,odiar a injustiça e correr atrás das verdades.Ser Humilde e corajosa. Sou eu.</t>
  </si>
  <si>
    <t>Agregación de noticias, Noticias de Norteamérica, Noticias del mundo</t>
  </si>
  <si>
    <t>Agência de Jornalismo Multimídia - Guanambi/Interior da Bahia</t>
  </si>
  <si>
    <t>Programa PÂNICO é na JP💥👇🏼Assista aqui</t>
  </si>
  <si>
    <t>DEPUTADO ESTADUAL COM 90.688 votos em SP | Economista EESP/FGV | Mestrado Economia @bse_barcelona</t>
  </si>
  <si>
    <t>Desertor de leguyerías, seguidor del apostolado de la información, padawan de algunos y master de otros, caturro eterno. Aquí opiniones estrictamente personales</t>
  </si>
  <si>
    <t>Raskolnikov †. Mag. Economía U.Catolica. Analista macroeconómico en Econsult. 
Opiniones personales</t>
  </si>
  <si>
    <t>“Todo re servicial a la destrucción de occidente..” -memercenario a sueldo -simp profesional -planero - la vocera presidencial me acusa de tumbar gobiernos</t>
  </si>
  <si>
    <t>Economia de bar. 
Opinião sem recomendação. 
Só opino quando bebo.
Página de humor.</t>
  </si>
  <si>
    <t>Ayudo a personas con algún conocimiento en criptomonedas a generar ingresos extras.</t>
  </si>
  <si>
    <t>Iguazú Ahora Noticias #7AñosJuntos
https://t.co/45DOachDRH…
Mail: redacccion@iguazuahora.com 
Instagram: iguazuahoranoticias
Youtube: Iguazu Ahora</t>
  </si>
  <si>
    <t>Mono chileno, nacido en Coquimbo City, #Apruebo #BoricPresidente🌳 Del 38% a mucha honra por 🇨🇱 solidario. #EnContra el #17deDiciembre. No al #Negacionismo</t>
  </si>
  <si>
    <t>Mi chile país de cobardes!! Buenos días al 38% el resto que se las arregle solitos. #nomasAFP  #votaComunista</t>
  </si>
  <si>
    <t>Senador PC por la Región de Coquimbo. Sociólogo. Exdiputado 2014-2018 y 2018-2022.</t>
  </si>
  <si>
    <t>También en @CooperativaPod, https://t.co/PmboXCxarJ e https://t.co/sjDzuB4CI9 | Tu nota de voz al WhatsApp +56978880770</t>
  </si>
  <si>
    <t>¡The Babikian Post te mantendrá informado con los acontecimientos más importantes en el mundo!</t>
  </si>
  <si>
    <t>⚡️ Buscamos historias para contar noticias</t>
  </si>
  <si>
    <t>La revolución no va a ser televisada!!! 
tenemos la posibilidad de empezar el cambio hoy!!!
Enemigo del sistema.
#_x000D_SeguimeYTeSigo 
#DespiertaArgentina</t>
  </si>
  <si>
    <t>Últimas notícias de Teresina, Piauí, Brasil e do Mundo.</t>
  </si>
  <si>
    <t>Corresponsalía de Resumen Latinoamericano en Cuba / Prensa</t>
  </si>
  <si>
    <t>THE MEXICO POST | NEWSPAPER &amp; TELEVISION. 🟢COPYRIGHT, TODOS LOS DERECHOS RESERVADOS 2023.</t>
  </si>
  <si>
    <t>📍Las claves para entender el mundo, en español.</t>
  </si>
  <si>
    <t>Journalist. Feminista y torpe por naturaleza. Hago cositas en @informativost5. També a @canvidejoc i @_ElPregoner. Abans a @diaridegirona i @gironafmcat.</t>
  </si>
  <si>
    <t>Somos un medio alternativo que publica noticias relevantes de una manera diferente a lo tradicional.</t>
  </si>
  <si>
    <t>🫀 Cardiologista 📸 @drdanielvicente</t>
  </si>
  <si>
    <t>Hello dо you wish fuсk??? 😸</t>
  </si>
  <si>
    <t>Demos acesso à internet para uma Inteligência Artificial, com o objetivo dela elencar as notícias mais importantes do momento.</t>
  </si>
  <si>
    <t>SOMOS LA REFERENCIA DEL DESARROLLO CONFIABLE DE PROYECTOS INMOBILIARIOS. We Build Futures</t>
  </si>
  <si>
    <t>Cubadebate, por la Verdad y las Ideas | #Cuba</t>
  </si>
  <si>
    <t>Notícias em tempo real sobre o Rio de Janeiro, Celebridades, Esportes, Brasil, Economia, Mundo e muito mais!</t>
  </si>
  <si>
    <t>Página da Rádio Câmara, da Câmara dos Deputados.</t>
  </si>
  <si>
    <t>Agente de informação 🧑🏻‍💻🇧🇷 
 Página Policial 👮🚔
Participo ativamente da política em SP
e estou de olho em Brasilia
- Setembro 🟨🌞</t>
  </si>
  <si>
    <t>Assessoria de Comunicação da Liderança do Podemos no Senado</t>
  </si>
  <si>
    <t>Senador eleito pelo estado do Paraná eleito em 2018. Líder do Podemos no Senado. Foi fundador e presidente do Grupo Positivo durante 40 anos.</t>
  </si>
  <si>
    <t>Sergio Guillaume y su magazine diario con noticias, deportes, espectáculos, economía, política y la mejor música de los años 70 y 80 nacional e internacional</t>
  </si>
  <si>
    <t>Nuestra Misión: Proveer soluciones financieras adecuadas y diversas que contribuyan al crecimiento de todos los sectores del país.</t>
  </si>
  <si>
    <t>Sou corretora de imóveis e advogada, e atuo de forma dinâmica e transparente de forma a realizar o seu sonho da casa própria.</t>
  </si>
  <si>
    <t>AM 1020 de tu dial</t>
  </si>
  <si>
    <t>visit: https://t.co/arDgslfiug | https://t.co/yF8TpZc5fa</t>
  </si>
  <si>
    <t>Diario del Área Metropolitana de Buenos Aires- Laboratorio de Medios - Universidad Nacional de Lomas de Zamora</t>
  </si>
  <si>
    <t>Escritora-Liberal-Gestora Cultural Ciudadana Argentina</t>
  </si>
  <si>
    <t>T633ukVg</t>
  </si>
  <si>
    <t>Sitio Web de noticias.  Periodismo Digital
Buscanos en Facebook - Twitter - Instagram - YouTube</t>
  </si>
  <si>
    <t>Medio de comunicación independiente. Todas las novedades más importante del país y el mundo. #Política #Economía #Espectáculos #Cultura #Internacional</t>
  </si>
  <si>
    <t>Teacher at the Federal Institute of Northern Minas Gerais 👨‍💻
Bitcoin, Blockchain and Technology!</t>
  </si>
  <si>
    <t>👨🏾‍💼Emprendedor @ejecutivovirtualdr
📣Divulgador de Novedades📣
◾ Marketing ◾ Proyectos ◾ Tecnología 
🎓Cert. Project Manager (proceso)</t>
  </si>
  <si>
    <t>Quer conhecer todas as funcionalidades, link no perfil. Tudo que o @telegram tem, @whatsapp copia.
#EsquerdaSegueEsquerda</t>
  </si>
  <si>
    <t>Cientista política. Política Professora. Escritora. Palestrante. Mãe. Livre.</t>
  </si>
  <si>
    <t>Soy Poeta, hincha de Belgrano, Anti K  Sueño con un País Federal, Gobierno y Políticos HONESTOS,una Justicia Independiente y COMPROMETIDA y un CÓDIGO PENAL DURO</t>
  </si>
  <si>
    <t>Periodista en TV Hora 17 y Más Nacion @lanacionmas Libros: Libertad o barbarie. Populismo Nunca Más</t>
  </si>
  <si>
    <t>Instagram: marialaurasantillan
Facebook: MariaLauraSantillanOficial</t>
  </si>
  <si>
    <t>Padre de 3 | Economista Mg. En finanzas | Fundador de @asoci.ar | Emprendedor | Legislador porteño.</t>
  </si>
  <si>
    <t>El canal de noticias de @LANACION.
📺: DirecTV 715/1715, Flow 19, Telecentro 1/705, TDA 25.3 y YouTube</t>
  </si>
  <si>
    <t>Papá de Juanito. Periodista. Hincha @CAB_Oficial</t>
  </si>
  <si>
    <t>Perfil oficial do @BlogPDNotícia com as principais notícias e informações de Salvador e da Bahia</t>
  </si>
  <si>
    <t>Jornalista e esportista 
Mercado financeiro, economia,política,investimentos e esportes.</t>
  </si>
  <si>
    <t>Medio de comunicación líder en información en la Región del Maule. https://t.co/CcssbYVMkE https://t.co/WeDOVs02nS</t>
  </si>
  <si>
    <t>Consultor Agropecuario comprometido con la Producción como único medio de salir del extractivismo.</t>
  </si>
  <si>
    <t>𝔽𝕚𝕟𝕒𝕟𝕔𝕖 &amp; 𝔸𝕕𝕞𝕚𝕟𝕚𝕤𝕥𝕣𝕒𝕥𝕚𝕠𝕟 𝕄𝕒𝕟𝕒𝕘𝕖𝕣 | 𝕀𝕟𝕥𝕖𝕣𝕟𝕒𝕥𝕚𝕠𝕟𝕒𝕝 ℝ𝕖𝕤𝕖𝕣𝕧𝕖𝕤 &amp; 𝕋𝕒𝕩 ℝ𝕖𝕤𝕖𝕒𝕣𝕔𝕙𝕖𝕣</t>
  </si>
  <si>
    <t>Fix foreing exchange...Fix world economy &amp; Climate change.</t>
  </si>
  <si>
    <t>like and subscribe.</t>
  </si>
  <si>
    <t>Esta es la cuenta oficial del #BancodeMéxico en Twitter. Para mayor información consulte la página https://t.co/OS7JaavI4h</t>
  </si>
  <si>
    <t>Economia (UFRGS). Mestre em Economia. Doutorando em Economia (UFRGS) - Pesquisador CAPES | Resistir e Avançar! | Emø</t>
  </si>
  <si>
    <t>Autor do 1°livro sobre o Fundeb no Brasil|
Auditor Federal da @cguoficial |Ganhador do @premioinnovare
|Livros⤵️</t>
  </si>
  <si>
    <t>Mais informação para você!
Acesse o nosso site 👇</t>
  </si>
  <si>
    <t>MUSICAS, ESPORTE, NOTICIAS, UTILIDADE PUBLICA, EVENTOS, PROMOÇÕES:
O PROJETO PARA MONTAR A RÁDIO DIFUSORA WEB , PARTIU DE MIM MESMO REINALDO RODRIGUES</t>
  </si>
  <si>
    <t>Condição similar a do cachorro mordido por cobra que tem medo de linguiça. A linguiça, não causa mal ao cachorro, mas tem a aparência de uma cobra.</t>
  </si>
  <si>
    <t>Portal de Notícias do Piauí.
Acompanhe os fatos mais relevantes do dia, bastidores da política e checagem de notícias do Piauí em primeira mão. 🔍📲</t>
  </si>
  <si>
    <t>Jornalista do Grupo Bandeirantes - Comentarista de Economia</t>
  </si>
  <si>
    <t>Sua rota segura pelo universo financeiro. Notícias, tendências e insights confiáveis. Faça parte desta jornada conosco.</t>
  </si>
  <si>
    <t>#BlackLivesMatter and #StopAsianHate</t>
  </si>
  <si>
    <t>Fique bem informado sobre as principais notícias do Brasil e do mundo no #PortalR7!</t>
  </si>
  <si>
    <t>Diretor do Instituto Paracleto.
Evangelista para pessoas comuns.
Profeta para pessoas poderosas.</t>
  </si>
  <si>
    <t>38• Presidente da República Federativa do Brasil 🇧🇷</t>
  </si>
  <si>
    <t>Diario 100% digital.
¿Querés saber de qué están hablando los tucumanos?</t>
  </si>
  <si>
    <t>A vida é uma simples sombra que passa (...); é uma história contada por um idiota, cheia de som e de fúria, sem sentido algum. 
William Shakespeare</t>
  </si>
  <si>
    <t>Engenheiro civil, músico</t>
  </si>
  <si>
    <t>O mal que me fazem não me faz mal, o mal que me faz mal é o que eu faço porque me torna um ser mal. Deus brilha em mim!</t>
  </si>
  <si>
    <t>🌻Sou a ALEXA do mundo espiritual. O fantasma do comunismo. O rei das tretas. SIGAM A CONTA RESERVA @XandeObsessor e @Manfredini2023</t>
  </si>
  <si>
    <t>Os Ladrões Bolsonaro &amp; Moro na Cadeia...</t>
  </si>
  <si>
    <t>foi-se!</t>
  </si>
  <si>
    <t>Tornando a vida dos nazistas do Twitter mais difícil desde 2017. Piloto de retroescavadeira.</t>
  </si>
  <si>
    <t>Advogada e Pedagoga. Mãe de Down. Filiada ao PT desde 1986. Antifascista. Idealizadora do #CantaEsquerda e do @SpacesPetista 
@ptBrasil13🚩</t>
  </si>
  <si>
    <t>Sei o que quero; gosto de uma vida Boa, pessoas que entendem e sabem diferenciar a bondade e o amor do preconceito ; busco Deus que é Amor e verdade.</t>
  </si>
  <si>
    <t>(DM FECHADA) Sou feito aquela gente honesta, boa e comovida que tem no fim da tarde a sensação da missão cumprida.</t>
  </si>
  <si>
    <t>Professora, de esquerda até o último fio de cabelo. Justiça social sim, sempre.</t>
  </si>
  <si>
    <t>admirador de assuntos políticos e outros assuntos em relação ao povo Brasileiro  SDV    /  hello my dear friends i will follow you all as soon as possible✍️.</t>
  </si>
  <si>
    <t>Bolo de Rolo de Pernambuco</t>
  </si>
  <si>
    <t>Advogado. Licenciado em Letras. Block em qualquer um da bozolândia. 🚩🚩</t>
  </si>
  <si>
    <t>🚩SDV72hs.Esquerda,Casada,católica NiteroiRj,Mãe avó,Prat.Meditação,Perfil político.Lula Presidente,Não uso DM,Não 
gostou não segue.Pornog.E gadus não sigo.</t>
  </si>
  <si>
    <t>Tentando melhorar a cada dia, através do Respeito e do Amor...#BolsonaroNaCadeia</t>
  </si>
  <si>
    <t>Hello dо you wish fuck??? 😻</t>
  </si>
  <si>
    <t>🎶➿🎶</t>
  </si>
  <si>
    <t>#UnsionTvElCanalDeCuenca 📺</t>
  </si>
  <si>
    <t>Produtor Cultural, Turismólogo, Esp. em Gestão Pública e apaixonado pelo turismo, viagens, cultura e gastronomia!!!</t>
  </si>
  <si>
    <t>Senador Amapaense,  Líder do Governo Lula no Congresso Nacional. Historiador, Bacharel em Direito, Mestre em Políticas Públicas.</t>
  </si>
  <si>
    <t>Noticias económicas y financieras del primer diario digital de Chile: @elmostrador.</t>
  </si>
  <si>
    <t>A sua fonte de informações esfera política, econômica e judicial</t>
  </si>
  <si>
    <t>Toda la actualidad del sector enérgetico, en un solo lugar. Entrevistas, análisis, información y todos los detalles.</t>
  </si>
  <si>
    <t>EDN TV tu nueva y mejor opción en programación digital; pone a tu alcance su amplia variedad de contenido con una imagen fresca, original y de alto perfil.</t>
  </si>
  <si>
    <t>Sou uma Psicóloga apaixonada por Filosofia.</t>
  </si>
  <si>
    <t>ESTUDIANTE DE LA LICENCIATURA EN PERIODISMO EN USP-T</t>
  </si>
  <si>
    <t>Mineiro de Brumadinho.  Economista (UFMG) e doutor em História (Cambridge). Pesquisador no @cedeplar.</t>
  </si>
  <si>
    <t>Em presença de imbecis e loucos, há somente um caminho para mostrarmos nossa inteligência: não falar com eles.
Schopenhauer</t>
  </si>
  <si>
    <t>Perfil oficial do jornal O Tempo, de Belo Horizonte, Minas Gerais.</t>
  </si>
  <si>
    <t>Página oficial do portal sp agora, um portal com objetivo em divulgar as principais notícias de São Paulo e do Brasil. Prestando serviços à população paulista.</t>
  </si>
  <si>
    <t>Emissora dirigida pela Faculdade Cásper Líbero e produzida por estudantes e profissionais. | Telefone do ouvinte: (11) 3170-5800 | Whatsapp: (11) 99314-1010</t>
  </si>
  <si>
    <t>Rechazamos. Síguenos x fvr q ya no podemos seguir a + Estilo d Vida Diseño Turismo Comercio desd 1983 LicanRay Lago Calafquén Volcán Villarrica Chile Snackbar</t>
  </si>
  <si>
    <t>Cuenta personal. Periodista, anti hipocresía y doble moral.
↪️ De derecha, digo lo q pienso. Si no le gusta, bloquéeme y sea feliz! 😄
#SoyDonante</t>
  </si>
  <si>
    <t>#sigaCONTEE - Confederação Nacional dos Trabalhadores em Estabelecimentos de Ensino</t>
  </si>
  <si>
    <t>🗞️ Noticiario de @TelemicroHD | 📅 Lunes a Viernes | 📌 Primera Emisión: 2:00 P.M. | 🌟 Emisión Estelar: 10:00 P.M. | ¡Síguenos en Instagram y Facebook!</t>
  </si>
  <si>
    <t>Em texto, vídeo e áudio, de fato, informação e opinião!</t>
  </si>
  <si>
    <t>Sempre conservar boas coisas✝️
Em teu seio, ó liberdade🇧🇷</t>
  </si>
  <si>
    <t>Quando você passar por momentos difíceis e se perguntar onde estará Deus, lembre-se que durante uma prova, o professor está em silêncio.</t>
  </si>
  <si>
    <t>¡Descubre las últimas novedades en el mundo de las criptomonedas! 🚀📰 Conoce @CryptoTips23, tu fuente confiable de noticias y análisis financieros</t>
  </si>
  <si>
    <t>Discussão da conjuntura econômica a partir dos interesses de tod@s que lutam por uma vida livre do capital</t>
  </si>
  <si>
    <t>Ferramenta político-programática que visa auxiliar na criação de um programa socialista para os trabalhadores brasileiros.</t>
  </si>
  <si>
    <t>✊ Dep. Federal por SP. ⭐️ Sec. Nacional de Comunicação do @ptbrasil. 📧 Sec. de Comunicação da @camaradeputados. 🚲 Mestre em Mobilidade pela @poliusp.</t>
  </si>
  <si>
    <t>brazilian doctor/podcaster:)/spotfy/apple/anchor</t>
  </si>
  <si>
    <t>Deputada Federal eleita com 217.170 votos (UNIÃO/SP)</t>
  </si>
  <si>
    <t>Ensino você a conquistar a liberdade financeira                 /📊 Economista / Conteúdo exclusivo ⤵️</t>
  </si>
  <si>
    <t>Todos los análisis, todos los analistas del mercado bursátil: #Ibex, #eurostoxx, #smallmidcaps. Partners de Infobolsa (@GrupoBME) y de @ieaf20</t>
  </si>
  <si>
    <t>Renta 4 Banco es el primer banco español especializado en gestión patrimonial, mercado de capitales y servicios de inversión.</t>
  </si>
  <si>
    <t>Official Twitter account of Morgan Stanley. We provide a range of investment banking, securities, investment management &amp; wealth management services worldwide.</t>
  </si>
  <si>
    <t>Türkiye Cumhuriyet Merkez Bankasının temel amacı fiyat istikrarını sağlamaktır.</t>
  </si>
  <si>
    <t>We conduct monetary policy, work to maintain a strong financial system and issue the nation’s banknotes. Our social media guidelines: https://t.co/ExsVRGm333</t>
  </si>
  <si>
    <t>Tudo blockchain e web3. Para todo mundo. Everything blockchain and web3. For everyone. ⬇️⬇️⬇️</t>
  </si>
  <si>
    <t>Informações sobre concursos públicos, empregos, processos seletivos, estágios e trainees em todo o Brasil. Notícias sobre economia e sociedade.</t>
  </si>
  <si>
    <t>El Lado Oscuro de Macri
Cordobés , Separatismo si no queda otra , #Pituquito de B.º Villa el Libertador
#Antipopulismo
✝️</t>
  </si>
  <si>
    <t>Activism for human rights, opposition to all kinds of violence,racism and supremacism. Rescue of poverty and stirring up nature conservancy everywhere.</t>
  </si>
  <si>
    <t>Técnico Sup. en Programación (UTN)
Téc. Analista en Relaciones de Trabajo (UNAJ)--
Consejero Estudiantil de la UNAJ(2015-2017)</t>
  </si>
  <si>
    <t>Gestor financeiro do RAL BANK</t>
  </si>
  <si>
    <t>Un medio, una región. 
📲🌎 Noticias actualizadas del NEA y Paraguay. 
Toda la información acá 👇</t>
  </si>
  <si>
    <t>Assessor de Investimentos</t>
  </si>
  <si>
    <t>//Metodología constructivismo, aprendizaje significativo, inteligencias múltiples Divulgación/ Espiritualidad. Javier Milei /Agustín Laje</t>
  </si>
  <si>
    <t>Trolar bolsominion otário e cirista aloprado é tudo de bom.</t>
  </si>
  <si>
    <t>A curadoria de notícias mais completa para você | Adm por @luizhsrodrigues com colaboração de @UmaMutti, @euandreperes e @oficialpales</t>
  </si>
  <si>
    <t>Somos un diario digital, visítanos.</t>
  </si>
  <si>
    <t>Portal de noticias de la provincia de Salta</t>
  </si>
  <si>
    <t>netsysmX ofrece una visión real de lo que pasa detrás de los titulares noticiosos de hoy, y te explica lo que sucederá en el futuro, según la profecía bíblica.</t>
  </si>
  <si>
    <t>Dêem flores para os jovens que falharam...      A hipocrisia é a homenagem que o vicio presta à virtude...</t>
  </si>
  <si>
    <t>Periodista/Mtr. Finanzas/Analista de Datos/ Editor Gral. @5diasPy @elindepy #MonitorEconómico #5DíasTV Canal 16📺 #LaLupa #MesaDeNegocios Radio @AM_1080 📻</t>
  </si>
  <si>
    <t>Cumple las funciones de Banca Central del Estado.
Contacto: info@bcp.gov.py
Seguí nuestras cuentas: @InstitutoBCP y @BCPCultural</t>
  </si>
  <si>
    <t>Seja muito bem vindo ao nosso Twitter. Aqui você terá conteúdo atualizado toda semana. Siga-nos e lhe deixaremos por dentro de todas as novidades!</t>
  </si>
  <si>
    <t>'Unimos el mundo con nuestros servicios.''
Tu mejor elección en Comercio Exterior</t>
  </si>
  <si>
    <t>Periodista, Poeta, Maestro de Ceremonias, Locutor, Amante de mi familia, Hijo legítimo de Dios!</t>
  </si>
  <si>
    <t>La Empresa Provincial de Alojamiento Camagüey tiene como misión ofertar servicios de alojamiento , gastronomía y recreación.</t>
  </si>
  <si>
    <t>Cientista Político 📚
Simplificando a política a cada vídeo</t>
  </si>
  <si>
    <t>La información revelada</t>
  </si>
  <si>
    <t>Portal de notícias do Grande ABC. 
Santo André,  São Bernardo, São Caetano,  Diadema, Mauá, Ribeirão Pires, Rio Grande da Serra</t>
  </si>
  <si>
    <t>https://t.co/PJxlIEvHAl es un portal de contenidos audiovisuales especializado en Aeronáutica, materia militar (Histórico, conmemorativo y actual) y Espacial.</t>
  </si>
  <si>
    <t>Licenciatura em Biblioteconomia - 8° período.
Bibliotecário Consultor da Numismática Nacional.
Consultas 👉 https://t.co/FlWxKKbyNK</t>
  </si>
  <si>
    <t>Comunidad informativa con el objetivo de brindarte todas las actualizaciones noticiosas. 
Denuncias Ws: (829) 748-6242</t>
  </si>
  <si>
    <t>🏴‍☠️#Architect / 3D #Renders / #BTC payments.</t>
  </si>
  <si>
    <t>orgulloso contador del liceo comercial de Valdivia 
Ingeniero Comercial y MBA de la UACh
Máster en innovación y Doctor por la Universidad de Deusto España</t>
  </si>
  <si>
    <t>⁣ ¡Lo que acontece está aquí!⁣ ⁣ 📍Facebook: ⁣ De Ultima Hora RD  📞 WhatsApp: 829-505-4269⁣  🎥 YouTube: De Ultima Hora RD⁣ ⁣ ⁣</t>
  </si>
  <si>
    <t>Plataforma multimedial informativa de la ciudad de Rosario. Web, Radio y TV.</t>
  </si>
  <si>
    <t>Revista de carácter multidisciplinar con foco en los problemas más relevantes que enfrenta el espacio público en una sociedad libre y democrática 📚</t>
  </si>
  <si>
    <t>Entrelinhas Goiás - Um olhar diferente sobre os fatos!</t>
  </si>
  <si>
    <t>La República es líder en la cobertura periodística en economía, finanzas y negocios, así como en otros temas de interés de los profesionales costarricenses.</t>
  </si>
  <si>
    <t>Empresa de comunicação e conteúdo jornalístico. Produzimos materiais multimídia, regionalizados e gratuitos. Conteúdos de áudio feito pela Agência do Rádio.🎙✍️</t>
  </si>
  <si>
    <t>📰 Información de economía y tecnología en un solo lugar. ⬇️</t>
  </si>
  <si>
    <t>Tecnologia avançada para gestão de carteiras de investimentos</t>
  </si>
  <si>
    <t>Abogada, Consejera Embajada de RD en Italia. #cooperacioncomercial 🇮🇹🇩🇴PUCMM Comprometida con la recuperación de los valores en nuestra sociedad!</t>
  </si>
  <si>
    <t>Diario especializado en Oriente Medio en español.</t>
  </si>
  <si>
    <t>Apresentador e analista financeiro em defesa do produtor e do agronegócio. Palestras, economia e política. A voz do homem do campo nos meios de comunicação</t>
  </si>
  <si>
    <t>Mis publicaciones pueden herir su corazoncito si usted utiliza el sentido común para sus argumentaciones. 
Cuenta soporte de @Peka2016
#UnionPorLaPatria✌
CFK❤️</t>
  </si>
  <si>
    <t>Analista de Sistemas, dando palpite no que acredito ser relevante no #X (Twitter), na #BlueSky, no #Reddit e  no #Quora.  Apaixonado por #TwinPeaks e #Matrix.</t>
  </si>
  <si>
    <t>#Blog de #Inversiones #Chile tendencias macroeconómicas e ideas de #inversión #commodities y #tecnología con enfoque #valueinvesting y #contrarian en #acciones</t>
  </si>
  <si>
    <t>Ránkings financieros, ideas de inversión y análisis de mercados. Siempre revisa la hora y el día de nuestras publicaciones.</t>
  </si>
  <si>
    <t>Perfil oficial do Sindicato dos Bancários de Porto Alegre e Região.</t>
  </si>
  <si>
    <t>Guayaquileña, Amante de la libertad y de una buena charla. Creo en el poder de la oracion y de la familia #proECUADOR</t>
  </si>
  <si>
    <t>💻📱📰 Diario digital. #Noticias de #Argentina y el mundo. 
📧 contacto@bairesenlinea.com</t>
  </si>
  <si>
    <t>Gestor CVM . mais de 40 anos atuando no mercado financeiro
Conta Profissional @SMgestorFUNDOS</t>
  </si>
  <si>
    <t>Somos o Grupo Recupera Brasil, uma equipe dedicada a ajudar pessoas a limpar seus nomes e recuperar sua credibilidade financeira.
Contato: (19) 99923-1909.</t>
  </si>
  <si>
    <t>#CordobaAhora
Noticias, análisis y postales de Córdoba</t>
  </si>
  <si>
    <t>Una radio pensada para ser escuchada y no simplemente oída.
#LaCielo 📻|🎙103.5🎙| 221-676-1035 📲</t>
  </si>
  <si>
    <t>Propietario y creador de C6Digital. Entrenado en Neuro Ventas 🧠 Periodista 🇦🇷 Asesor de empresas y comunicación política. 💡</t>
  </si>
  <si>
    <t>O jornal mais lido do Rio! Acesse a qualquer hora do dia: https://t.co/XtgtS5YfQI
Telegram:  https://t.co/VbGAW3qB4U</t>
  </si>
  <si>
    <t>As principais atualizações em alta do Brasil e do mundo de forma simples e objetiva.</t>
  </si>
  <si>
    <t>Em constante movimento e aprendizado.  
Tenho minhas próprias convicções, sem ideologias baratas. ☕💻🇧🇷 
Mote: "Não seja mais um cativo do efeito manada".</t>
  </si>
  <si>
    <t>Toda justiça vem de Deus. 
Se soubéssemos adotá-la
não teríamos necessidade nem de governo nem de leis.
 - Jean J. Rousseau -</t>
  </si>
  <si>
    <t>Conecta Contigo</t>
  </si>
  <si>
    <t>Um aprendiz da sabedoria.</t>
  </si>
  <si>
    <t>Sou como você me vê. Posso ser leve como uma brisa ou forte como uma ventania, Depende de quando e como você me vê passar. (Clarice Lispector)</t>
  </si>
  <si>
    <t>Periodistas del Oeste 
• Noticias 📰
• Información 📲
• Actualidad 📸</t>
  </si>
  <si>
    <t>Somos la agencia de noticias de Chile. Comunica tu actividad a pauta@mediabanco.com</t>
  </si>
  <si>
    <t>Cuenta dedicada a interactuar con otros usuarios y recopilar información de caracter político.
Barilochense 🏔❄☃️</t>
  </si>
  <si>
    <t>El Cuco Digital es el diario del Valle de Uco: buen periodismo y trabajo en comunidad . Porque LO CERCANO ES LO IMPORTANTE.</t>
  </si>
  <si>
    <t>Há mais de 75 anos compartilhamos conteúdos que informam, emocionam e divertem os leitores. Conheça mais do nosso trabalho em https://t.co/F8oRUZq9RY</t>
  </si>
  <si>
    <t>Cearense, Umbandista, Progressista, Cirista, Casado e feliz. Canceriano. Esse perfil e contra moralistas de goela. #ForaBolsonaro</t>
  </si>
  <si>
    <t>Um sonhador que sabe caminhar com os pés no chão.</t>
  </si>
  <si>
    <t>Mercado financeiro. Stock market.
Retwetts aren't always endorsement.</t>
  </si>
  <si>
    <t>Agradecida de Dios. Mis pasiones son la comunicación y los animales😀</t>
  </si>
  <si>
    <t>▶️ Portal de noticias de los SRT. @canal10cba 📺 @580universidad 🎤🎧 @tvcanalu 🎥🎙️@1023fmcba</t>
  </si>
  <si>
    <t>O Twitter oficial do portal Voz da Turquia. Acompanhe-nos também no Facebook! https://t.co/yqGeqA7BcG</t>
  </si>
  <si>
    <t>Soñador y amigable, que adora a su hermosa familia._x000D_
Magister en comunicación estratégica y apasionado por las Relaciones Públicas.</t>
  </si>
  <si>
    <t>Movimiento político de izquierda progresista: #RevoluciónCiudadana✊🏻Presidente Honorífico: @MashiRafael Presidenta Nacional: @MarcelAguinaga</t>
  </si>
  <si>
    <t>🇪🇨 | Progresismo🔴 | Patria Grande | Buen Conocer | Finanzas populares | Open Fintech &amp; RegTech | SDRs</t>
  </si>
  <si>
    <t>INVERSIONES INTELIGENTES 
Abogado CABA y Pcia.B.Aires
*Pcia. Córdoba asuntos rurales, venta de campos*</t>
  </si>
  <si>
    <t>Nuestra pasión es la comunicación.
Somos la opinión de ese México por el que estamos luchando.
#MásQueNoticias</t>
  </si>
  <si>
    <t>Turn your passion into a profession 🎙️
Create, distribute and make money with your #podcast from day one.</t>
  </si>
  <si>
    <t>Economista en jefe de @GBMplus. Poniendo mi granito de arena, informando de forma clara y sencilla. Tuits a título personal.</t>
  </si>
  <si>
    <t>Jornal Dia Dia foi criado pela empresa Gráfica e Editora Expressão Ltda. na cidade de Três Lagoas - MS em 1997 pelo jornalista Ray Santos</t>
  </si>
  <si>
    <t>Twitter oficial de Azvision Español. Cubrimos las realidades de Azerbaiyán y las noticias internacionales | Facebook: https://t.co/uOqq5FmVTR</t>
  </si>
  <si>
    <t>Madre, Emprendedora,  Dibujante  Publicitario, Acompañante Terapéutica Ex  Empresaria ( Gracias a estos Gobiernos terribles)</t>
  </si>
  <si>
    <t>Noticias desde Córdoba, Argentina. Periodismo puro en tiempo real.</t>
  </si>
  <si>
    <t>De la ciudad de Quilmes</t>
  </si>
  <si>
    <t>Ingeniero Industrial y Magíster en Construcción | Profe Universitario | Transporte, Mercados Inmobiliarios e Infraestructura | Cruzado</t>
  </si>
  <si>
    <t>Siga a Fórum. Política, direitos humanos e cultura
22 anos de jornalismo independente
Assista ao doc Ato 18: O golpe contra Lula https://t.co/I9Mcgi2Snn</t>
  </si>
  <si>
    <t>"Você bota a meeeeesa, 
eu como, eu como, eu como, eu como, eu como... Você!"  
♩ ♪ ♫ ♬</t>
  </si>
  <si>
    <t>🌍 RP ✈️ SSA/IOS 🎉 @SSACARNAVAL</t>
  </si>
  <si>
    <t>Institución del Estado Dominicano encargada de la protección y defensa de los derechos de los consumidores.</t>
  </si>
  <si>
    <t>Página Oficial no twitter da Autarquia de Proteção e Defesa do Consumidor do Estado do Rio de Janeiro (Procon-RJ).</t>
  </si>
  <si>
    <t>Twitter oficial do Procon-SP
https://t.co/GDE8uithfv 
https://t.co/uSH4iZs0Ua
https://t.co/vfVzyC9V84</t>
  </si>
  <si>
    <t>E aí, para onde vamos? Pra onde for, conta com a 99🛵🚖</t>
  </si>
  <si>
    <t>Homem preto!</t>
  </si>
  <si>
    <t>📚📚#studytwtbr e coisas aleatorias. fan account 💯 🌊</t>
  </si>
  <si>
    <t>Aqui, seu saldo lucra muuuito mais que na poupança
🧾 Cashbacks em boletos, corridas e recargas
💰 Criptomoedas a partir de R$1
📱 Acesse a 99Pay, no seu app 99</t>
  </si>
  <si>
    <t>O produto atrasou, o serviço falhou e o fornecedor te ignorou? Reclame AQUI.
#ReclameAqui20anos</t>
  </si>
  <si>
    <t>Entre nós, você vem primeiro.</t>
  </si>
  <si>
    <t>Escritor e Teólogo Conservador.</t>
  </si>
  <si>
    <t>Periódico líder en lectoría en la República Dominicana.</t>
  </si>
  <si>
    <t>Hodler🙏🙇‍♂️</t>
  </si>
  <si>
    <t>Married to @seteakemi, Kenji's father and PhD in Economics.
He/him Ele</t>
  </si>
  <si>
    <t>Deportes, Noticias, humor y mucho más</t>
  </si>
  <si>
    <t>Jornalista em @otempo | Meio trabalho, meio delírio, mas sempre opiniões minhas
daniele.franco@otempo.com.br</t>
  </si>
  <si>
    <t>Aqui você encontra notícias de política, economia e decisões do Poder Judiciário no Amazonas e no Brasil</t>
  </si>
  <si>
    <t>Sua resenha semanal, nossos comentaristas que NÃO sabem NADA de futebol vão resenhar com vcs.</t>
  </si>
  <si>
    <t>Cooperativa de Trabajo Comunicar Ltda., editora de EL DIARIO del Centro del País y EL DIARIO On Line. Una empresa recuperada por sus trabajadores en 2001.</t>
  </si>
  <si>
    <t>💡 ¡Bienvenidos a la nueva Era!
💼 Unidad de Negocio de @estrategosec
👇 Conoce más sobre nosotros en:
https://t.co/DtnYtqDVpz</t>
  </si>
  <si>
    <t>Información de Mercados. Revista Digital que busca unificar el mundo público con el privado, a través de una nueva visión para obtener oportunidades de #negocio</t>
  </si>
  <si>
    <t>🗞️💰💡 Notícias que enriquecem seu dia! 
Não é apenas sobre publicar notícias, é sobre como pensamos o jornalismo. 
Siga 👉 @leiacryptotimes e @leiaagrotimes</t>
  </si>
  <si>
    <t>con vos, todo el día https://t.co/hqwG0wozMD</t>
  </si>
  <si>
    <t>Periodismo con clase y punto.
#CriterioPolítico |Tendencia Política |
#TermómetroPolítico |Editorial |Opinión | #ElDato @LaDataEcu @DatitoEcuador @LaDataAzuay</t>
  </si>
  <si>
    <t>A plataforma que te deixa bem informado 24h por dia.
👉 Na @rictvpr e na @jpnewspr</t>
  </si>
  <si>
    <t>Retazos del bull market nacional 🚀🇦🇷</t>
  </si>
  <si>
    <t>Asesor en Inversiones</t>
  </si>
  <si>
    <t>Abogado .- Ingeniero Civil Industrial (U. Concepción)</t>
  </si>
  <si>
    <t>Godfidence ❤️ I shall be blessed until I become a blessing to others!✊🏽</t>
  </si>
  <si>
    <t>PhD in Business Science 📝 
MBA Programs Professor 💱📈
International Finance Broadcast Analyst 🌎💰
Chemical Engineering Petroleum Specialist 🛢️⛽</t>
  </si>
  <si>
    <t>Ceo fundador de IMPERIOLNJ community.</t>
  </si>
  <si>
    <t>Cuenta oficial. ¿Necesitás soporte? Contáctanos en @MP_ayuda. Más información en https://t.co/Jrqpmium7I</t>
  </si>
  <si>
    <t>Fundador y CEO de https://t.co/hh282gZdrW</t>
  </si>
  <si>
    <t>la POLÍTICA NO sirve a la gente, se sirve de la gente  ✝️🏰 🏰✝️</t>
  </si>
  <si>
    <t>President of the @ecb, the central bank for the euro. I manage this account with my team.</t>
  </si>
  <si>
    <t>The European Central Bank is the central bank for Europe's single currency, the euro. Its main task is to maintain the euro's purchasing power.</t>
  </si>
  <si>
    <t>Agentes de Trânsito do Estado de São Paulo • Sind. dos Trabalhadores no Sistema de Operação, Sinalização, Fiscalização Manutenção e Planejamento Viário e Urbano</t>
  </si>
  <si>
    <t>Advogado, cozinheiro, pintor, poeta e resolvedor de problemas.</t>
  </si>
  <si>
    <t>PATRIOTA || PERFIL DE SÁTIRA || HUMOR || Trago verdades cabeludas igual sovaco de Militante.👀🌪️ TELEGRAM👇</t>
  </si>
  <si>
    <t>Clareza de convicções. Coragem no posicionamento. Acompanhe também pelo Telegram: https://t.co/yVulxJJqIL</t>
  </si>
  <si>
    <t>🟡Mais informação, menos opinião🟢 
Pautas: redacao@gazetabrasil.com.br</t>
  </si>
  <si>
    <t>Senador da República pelo Rio Grande do Norte - PL</t>
  </si>
  <si>
    <t>-Deputado federal (PL-SP) mais votado da história do Brasil (1.843.735 votos) / Policial Federal / Advogado / 3º filho de Jair Bolsonaro🇧🇷</t>
  </si>
  <si>
    <t>Vereador da cidade do Rio de Janeiro. Filho do 38• Presidente do Brasil 🇧🇷</t>
  </si>
  <si>
    <t>Deputado Federal reeleito pelo RJ / Líder da oposição na Câmara dos Deputados</t>
  </si>
  <si>
    <t>Desistir não é um Opção João 8:32 📱 https://t.co/d3pC1hULNX 💻  minha cidade #Guarulhos</t>
  </si>
  <si>
    <t>Diplomata, ex ministro-chefe da Sec-Geral da Presidência da República do Gov FHC, Senador, deputado federal e prefeito de Manaus por três mandatos.</t>
  </si>
  <si>
    <t>✌🏼🇨🇱</t>
  </si>
  <si>
    <t>De bem com a vida.✌️
Mas posso ser azeda igual a um limão.
Cristã, Direita/Conservadora, Botafoguense. 🙏🇧🇷😜 Block em 🚩</t>
  </si>
  <si>
    <t>Sou técnico em informática, Radialista Jornalistico, Pastor da AD-Várzea Ministério da Cruz</t>
  </si>
  <si>
    <t>O Bom Humor, o fato de ser curiosa,  com o que ocorre a minha volta e me colocar no lugar do outro, me diferenciam do comum.</t>
  </si>
  <si>
    <t>Colunista não autorizado da Carta Capital</t>
  </si>
  <si>
    <t>Diario digital</t>
  </si>
  <si>
    <t>Criadora de Software e Soluções para Instituições Financeiras.
Automação, RPA, Pix e SPB, Open Banking, entre outros.</t>
  </si>
  <si>
    <t>¡Una nueva manera de invertir! 🚀
🤝🏽 Exchange
👥 P2P
🪙Criptofondos
🔋 Minería
📚 Cursos</t>
  </si>
  <si>
    <t>𝐂𝐎𝐌𝐈𝐍𝐆 𝐒𝐎𝐎𝐍: Dicks: The Musical, Priscilla, Dream Scenario, The Zone of Interest, The Iron Claw, The Curse on @showtime</t>
  </si>
  <si>
    <t>The scoop on how your #LatAm financial services peers, competitors and clients are using tech. #reports #news #opinion https://t.co/Oo9CvdWFYa ES/EN</t>
  </si>
  <si>
    <t>ОрᎥпᎥόп АРАɌТΙⅮΙЅТА | 𝖭Ø ргеƭепⅾо ѕепƭаг ςа́ƭеdга пᎥ ⅾσɡʍа. | ᕼаɡо Ɩσѕ dеƅегеѕ: Сσtеʝο, АпаƖᎥ𝗓о γ Տаςο мᎥѕ ргσрᎥаѕ ςσпсƖυѕᎥσпеѕ. АргепⅾᎥ𝗓аʝе ςσпƭᎥпυо.📖💻📱</t>
  </si>
  <si>
    <t>Informação, tecnologia e comunicação. Foto, arte, design, cultura e memória. Filosofia, política e direitos humanos. Café, gastronomia e plantas.</t>
  </si>
  <si>
    <t>Periódico-Magazine: Una mirada diferente, distinta e independiente, de la Ciudad Autónoma de Buenos Aires, desde el año 2004.</t>
  </si>
  <si>
    <t>Oficina Económica y Comercial de España en Zagreb. 
Impulsamos la competitividad de las empresas españolas en Croacia y en Bosnia y Herzegovina.</t>
  </si>
  <si>
    <t>TRADER B3</t>
  </si>
  <si>
    <t>RECONOZCO A YESHUA COMO NUESTRO REDENTOR, EL MESÍAS NUESTRO SALVADOR, HIJO DEL DIOS PADRE                                LA VERDAD Y JUSTICIA PRONTO NOS CUBRIRA</t>
  </si>
  <si>
    <t>Federação dos Trabalhadores do Ramo Financeiro dos Estados do Rio de Janeiro e Espírito Santo / Contraf-CUT</t>
  </si>
  <si>
    <t>Alguém que não via utilidade no Twitter</t>
  </si>
  <si>
    <t>⚠️ Apoie a TVT, vamos levar nosso sinal para todo o Brasil com o novo app de streaming: 
acesse https://t.co/6mjfGkWOcG ou acesse o QRCode do vídeo.</t>
  </si>
  <si>
    <t>https://t.co/VpZihGQNeK Guía de consejos y trucos económicos y de viajes del día</t>
  </si>
  <si>
    <t>Psychologist. Cognitive Neuroscientist. Contemplative Psychology advocate. Creator of @sinapticasblog</t>
  </si>
  <si>
    <t>Primeira emissora legislativa de alcance nacional, a TV Senado divulga o trabalho do Senado Federal do Brasil.</t>
  </si>
  <si>
    <t>🇧🇷 Presidente do Senado Federal e do Congresso Nacional
🔺 Senador da República por Minas Gerais
https://t.co/jcgGMzpf2V</t>
  </si>
  <si>
    <t>O jornal de economia e negócios do Rio Grande do Sul desde 1933.
No impresso, no site e no aplicativo.</t>
  </si>
  <si>
    <t>Cansado, harto,  asqueado de las mentiras de quienes deberían mostrar respeto y no solo justificaciones.
“La gente va a dejar en el camino a los tibios”</t>
  </si>
  <si>
    <t>Senador da República por #Goiás, Empresário, casado com @izauracardosotv, pai de 2 filhos, nascido em Iporá, apaixonado por Goiás e pelo Brasil.</t>
  </si>
  <si>
    <t>Economía, negocios y emprendedurismo 💵📈 🎙️Te acercamos toda la información que tenés que saber  📲 Todos los sábados de 9 a 10.30 hs por La Red Mendoza 94.1</t>
  </si>
  <si>
    <t>Pasión por la radio.</t>
  </si>
  <si>
    <t>Periodista economico y enólogo. Escribo en Sitio Andino. Conductor de "Econometro" x La Red Mendoza (94,1). Vi a Enzo Perez atajar</t>
  </si>
  <si>
    <t>Locutor y Productor de tv,Presidente de la Federacion Hispanoamericana de Locutores2011/2014, Presidente del Grupo Medios de Comunicacion Cristianos Dominicanos</t>
  </si>
  <si>
    <t>Periodista, Locutor, Amigo, Hermano y fiel creyente en Dios. Orgulloso de ser Dominicano</t>
  </si>
  <si>
    <t>Me siento parte del 41% Que cree en el #trabajo como único medio de desarrollo integral del hombre y no en la ceguera del #oportunismo que destruye lo que toca.</t>
  </si>
  <si>
    <t>✌️💚💜🧡✌️ “Las palabras nunca alcanzan cuando lo que hay que decir desborda el alma”.</t>
  </si>
  <si>
    <t>Serás lo que debas ser. Si no, serás periodista. 
UNLZ @socialesUNLZ
📺 @_IPNoticias Edición Central
Todas las Tardes en @canal9oficial</t>
  </si>
  <si>
    <t>Formando líderes y emprendedores para el país.</t>
  </si>
  <si>
    <t>Somos la red de prensa más grande del país.  Wsp: 📲Valparaíso: +56322357700 📲Santiago: +56992007888 📲Concepción: +56800726726 📲 IG: biobiochile</t>
  </si>
  <si>
    <t>🇵🇹 Meatbag Pseudo-philosopher🤔Maltesers lover 🍫Music appreciater 🎧 Film idolizer🎥 Videogame sweetheart🎮 Beach valentine 🏖️Be Happy! #BTC</t>
  </si>
  <si>
    <t>As notícias que lhe dão liberdade para pensar.</t>
  </si>
  <si>
    <t>Real Estate &amp; Mercado de Capitales &amp; Más . . . .</t>
  </si>
  <si>
    <t>No pertenezco a ningún lugar, ni credo, religión o partido político. No me pueden clasificar. Detective. Investigador. Atendedor de boludos.🇦🇷📢</t>
  </si>
  <si>
    <t>Noticias y análisis especializado sobre negocios, finanzas, economía, política, criptomonedas, tecnología y pymes 🇨🇷📱💻🗞 https://t.co/axHBZyuUdz</t>
  </si>
  <si>
    <t>Esta página é verdadeiramente nacionalista!
Privatização é caos e roubo! #PrivatizaNão</t>
  </si>
  <si>
    <t>👨‍⚖️ Estou vereador na cidade de São Paulo (PT).  👫 Casado 👨‍👩‍👦‍👦 Pai de dois meninos 🎓 Formado em Recursos Humanos e 🎓 Pós-graduado em Gestão Pública.</t>
  </si>
  <si>
    <t>Colunista do Valor Econômico, comentarista da CBN e autora de “Os candidatos” (Cia das Letras, 2014)</t>
  </si>
  <si>
    <t>Existem pessoas que perdem a oportunidade de ficarem caladas⚘️💫💫💫💫💫
@FusaroZila</t>
  </si>
  <si>
    <t>quien lo vive, es quien lo goza!.mientras dure...</t>
  </si>
  <si>
    <t>Asesoría fiscal, contable, presupuesto, finanzas, KPI, VISA TURISMO USA</t>
  </si>
  <si>
    <t>Te hacemos la economía más fácil.</t>
  </si>
  <si>
    <t>Te gusta el traiding,el criptomundo?Noticias, artículos, consejos,educación y mas...📈
𝐓𝐞𝐥𝐞𝐠𝐫𝐚𝐦: https://t.co/hX2CMuAHZM</t>
  </si>
  <si>
    <t>Faça seu negócio voar com a nossa tecnologia inteligente em cobranças únicas e recorrentes. 🚀</t>
  </si>
  <si>
    <t>💚BTS y anime 💚</t>
  </si>
  <si>
    <t>Confederação Nacional dos Trabalhadores do Ramo Financeiro da CUT</t>
  </si>
  <si>
    <t>Contribua com nosso trabalho 👆
Pilares: Deus, Pátria, Família e Liberdade.
Acesse: https://t.co/UHmcBoNW5O</t>
  </si>
  <si>
    <t>Periodismo responsable #Noticias #Información #Actualidad Mandanos fotos, videos e info (Whatsapp) +54 9 3624518042</t>
  </si>
  <si>
    <t>Sapeeee</t>
  </si>
  <si>
    <t>#LunaValientePresenta -Domingos 10-11 am. por EnTV Canales 31 y 33
#ConsultorEconomico
@Lunavalienterd 
Padre de Ianna y Annette, Mis Princesas, Mi Vida!</t>
  </si>
  <si>
    <t>Medio informativo digital</t>
  </si>
  <si>
    <t>Não deixe o medo te impedir de investir. Acompanhe meu perfil e descubra como é possível alcançar seus objetivos financeiros com estratégia e disciplina.</t>
  </si>
  <si>
    <t>“Dios me puso sobre la ciudad como a un tábano sobre un noble caballo, para picarlo y tenerlo despierto."
Sócrates</t>
  </si>
  <si>
    <t>TriNit Facebook search TRNT55 Family Bunker built in trust worthy Nations Only.</t>
  </si>
  <si>
    <t>Producer &amp; Senior Editor. News &amp; Entertainment. #C5N - #CGTN - #TN - #ElTrece - #WarnerBrosDiscovery - #DisneyChannel - #Threads: @Mario_Moray</t>
  </si>
  <si>
    <t>Um humilde brasileiro,amante da sétima arte,professor e amargurado com as durezas da vida,mas vou na fé!</t>
  </si>
  <si>
    <t>Economista 🇨🇺 | Director de Políticas Macroeconómicas - Banco Central de Cuba | Diputado a la @AsambleaCuba</t>
  </si>
  <si>
    <t>El Nazismo no debe existir.</t>
  </si>
  <si>
    <t>Hacemos periodismo, lo hacemos con pasión. @infobaeamerica 🌎 @infobaedeportes ⚽ @teleshowcom 🎥 @infobaeeconomia 🏦 @infobaetrends 📸 @infobaemexico 🇲🇽</t>
  </si>
  <si>
    <t>Soy una estrella de Hollywood encerrado en el cuerpo de un cómico argentino de cuarta.Instagram diego_wainstein Cursos de Stand Up cursos@diegowainstein.com.ar</t>
  </si>
  <si>
    <t>Conta oficial do jornal Diário de S.Paulo. Acompanhe as principais notícias também pelo nosso Instagram: https://t.co/GyD1yIR2Cf</t>
  </si>
  <si>
    <t>Que busca un zurdo? Agarrar la teta del poder y no soltarla más... No faltará el mononeuronal que les crea 
#NOMESIGAN no me siga pq yo no sigo a nadie</t>
  </si>
  <si>
    <t>Cuenta oficial del Ministerio de Hacienda de Chile. Ministro: @mariomarcelc Subsecretaria: Heidi Berner</t>
  </si>
  <si>
    <t>Cuenta oficial del Ministerio Secretaría General de Gobierno. Presentes por un mejor futuro. Ministra @camila_vallejo y Subsecretaria @nikicardoch.</t>
  </si>
  <si>
    <t>Ministra de la Secretaría General de Gobierno 🌳
Diputada de la República entre 2014 y 2022. 
Geógrafa U. de Chile. 
Ex Presidenta Fech 2011. 
Feminista 💜💚</t>
  </si>
  <si>
    <t>🇨🇱Ministro de Economía @Nico_Grau | Subsecretaria de Economía: @Javi_Petersen | Subsecretaria de Turismo @VeroPardoLagos| Subsecretario de Pesca @Julio_Salas</t>
  </si>
  <si>
    <t>En el Gobierno del Presidente @GabrielBoric estamos presentes por un mejor futuro. Por un Chile desarrollado, descentralizado, con una democracia profunda.</t>
  </si>
  <si>
    <t>👩🏼‍💻🏎️ #fintech ,  #formula1, algumas bobagens e fatos aleatórios…</t>
  </si>
  <si>
    <t>Notícias que afetam você e o seu dinheiro</t>
  </si>
  <si>
    <t>Me llamo Benja. Simpatizo con el Centro Liberal.</t>
  </si>
  <si>
    <t>Más que un diario 📲📰</t>
  </si>
  <si>
    <t>RÁDIO LIVE FM 100.7</t>
  </si>
  <si>
    <t>Banqueiros Dealers sugam 2 TRILHÕES AO ANO infiltrados no Tesouro Nacional do Brasil e de outros países, rotulando de ditadores os que não permitem seus golpes</t>
  </si>
  <si>
    <t>Estrategias
Inversiones
Noticias
Entrevistas
Analisis tecnico y fundamental
#bitcoin
Siguenos en:
https://t.co/2ALKNZ0Yex…
https://t.co/8ukTjFZbNM…</t>
  </si>
  <si>
    <t>ateio</t>
  </si>
  <si>
    <t>Una nueva forma de conectar, una nueva forma de comunicar.</t>
  </si>
  <si>
    <t>Astrología por Chett. Astrólogo de Internet. Buenos Aires, Argentina. 
Visiten mi blog: https://t.co/Xlx2QAbGMj</t>
  </si>
  <si>
    <t>💼​ CO-CEO de @SISEG.
📊​ Contador Público Nacional. 
🌏​ Porteño. 
👨‍👩‍👧‍👦​ Padre.
☀️​ #Peronista. 
✌️​Viviendo en el mejor país del mundo 🇦🇷</t>
  </si>
  <si>
    <t>Todo Mundo Pode Ser Genial. Baixe o app e abra sua conta já.</t>
  </si>
  <si>
    <t>Donde la #información es poder.</t>
  </si>
  <si>
    <t>➡️Vendo servicios y clases de comunicación y redes sociales 🎬Spaces de #politica c @natymotyl 🤓Profesora USAL y UNSTA
▶️Mis packs en el link</t>
  </si>
  <si>
    <t>Periodismo y curiosidatos</t>
  </si>
  <si>
    <t>"Mucho más que un programa radial. El viaje a un país casi continente". Conducción: Lidia Fagale. Radio Cooperativa. Domingos 7 horas.</t>
  </si>
  <si>
    <t>Cuenta Oficial de ®️7⃣7⃣0⃣ ¡Te Suena!
📻
📱11-5002-0770</t>
  </si>
  <si>
    <t>Economista ex Presidente del Banco Central de la República Argentina y de la Comisión Nacional de Valores y ex Director Ejecutivo de Anses</t>
  </si>
  <si>
    <t>Sec. Gral. UTPBA/ FELAP / Clave China en https://t.co/UddvTA41uQ. 770/Presidium  Plataforma Periodistas Belt and Road @ProyectoSapiens21
@ClaveChina@utpba@lidiafagale</t>
  </si>
  <si>
    <t>Lavajatista  #Moro  #Deltan  #LavaJato</t>
  </si>
  <si>
    <t>Servicios de #asesoría y #consultoría para empresas y profesionales. #Laboral, #Fiscal y #Contable. #Intermediación en #Activos #Inmobiliarios de gran nivel.</t>
  </si>
  <si>
    <t>A maneira objetiva de analisar o mercado!
Youtube: Trend Squad 
https://t.co/Tz6UFdHDSB</t>
  </si>
  <si>
    <t>ADIARIO DESPIERTO PARA LUCHAR POR MIS METAS EL ÉXITO ES MI GLORIA ♥</t>
  </si>
  <si>
    <t>Somos una plataforma comunicacional en donde comentamos las noticias, los temas sociales y políticos Nacionales e internacionales.</t>
  </si>
  <si>
    <t>Bróker especializado en Acciones, ETFs y Acciones Fraccionadas, entre otros productos.</t>
  </si>
  <si>
    <t>XTB es un bróker de inversiones online especializado en Forex y CFDs sobre Acciones, Materias Primas, Índices y Criptomonedas. Con más de 720.000 clientes.</t>
  </si>
  <si>
    <t>Apaixonada por Maricá e comprometida com a melhoria das políticas públicas ao cidadão maricaense.</t>
  </si>
  <si>
    <t>FLAMENGUISTA - Off-Rio - PB/NE
Comentarista de tudo e mais um pouco!</t>
  </si>
  <si>
    <t>A melhor cobertura jornalística sobre finanças e negócios do Brasil.
Visite nosso portal!</t>
  </si>
  <si>
    <t>📰📱Saiba o que é notícia em Alagoas, no Brasil e no mundo.</t>
  </si>
  <si>
    <t>Um povo que não tem virtude acaba sendo escravo. 
Giuseppe Riesgo
💫💫💫💫💫</t>
  </si>
  <si>
    <t>Portal de información pública de República Dominicana. Medio digital accesible, informando con integridad la actualidad de la Nación.</t>
  </si>
  <si>
    <t>200% Bolsonaro, Patriota, 
Brasil acima de tudo🇧🇷</t>
  </si>
  <si>
    <t>Twitter Oficial do Sindicato dos Trabalhadores em Processamento de Dados, Serviços de Informática e Similares do Estado do Ceará</t>
  </si>
  <si>
    <t>Olá, sou o Hilton Luiz.. Formado em Direito e Publicidade, não satisfeito criei o canal no Youtube. Também estou nas demais mídias sociais só colocar HiltonBoss</t>
  </si>
  <si>
    <t>When you want to feel cared for wherever you go, it matters where you stay. #HiltonForTheStay</t>
  </si>
  <si>
    <t>Trading, política &amp; mercados.</t>
  </si>
  <si>
    <t>O site de política mais influente do Brasil!</t>
  </si>
  <si>
    <t>Site de notícias que atua no ponto incomum da Política. 🗞</t>
  </si>
  <si>
    <t>En busca de un mundo mejor</t>
  </si>
  <si>
    <t>Lo que verdaderamente importa.
Noticias de Buenos Aires, Argentina y el mundo.</t>
  </si>
  <si>
    <t>Criptância no mercado,
Criptância no comércio,
Criptância na carteira,
Criptância em tudo!
#criptancia</t>
  </si>
  <si>
    <t>Apenas mais alguém neste TT que já perdeu várias contas, mas, como boa brasileira, não desiste nunca! Ah! Sou muuuito de esquerda! 🚩🚩🚩
Lula Presidente❤️</t>
  </si>
  <si>
    <t>Médico Veterinário, Extensionista Rural. Pós graduação em Agronegócio       Vai Corinthians.   Socialismo sempre. 
 Fã da música pop rock.   
100% LULA e o PT.</t>
  </si>
  <si>
    <t>A verdade venceu a mentira e o amor venceu o ódio.
Vamos juntos reconstruir o Brasil.</t>
  </si>
  <si>
    <t>sindicalista,palmeirense, feminista e Lulista ‘O que é ser de esquerda, É uma posição filosófica perante à vida, onde a solidariedade prevalece sobre o egoísmo"</t>
  </si>
  <si>
    <t>♦️ATENÇÃO🇨🇳ESQUERDA🇷🇺SIGO🇮🇳TODOS🇿🇦DE🇧🇷VOLTA🇦🇷🚩</t>
  </si>
  <si>
    <t>vida digna para todos🚩” “antes do ser há a política” Deleuze e Guatarri</t>
  </si>
  <si>
    <t>gente do povo, e como todo povo as vezes meio bobo por coisas bobas, mais fiel aos meus princípios.
minha chave pix ***kjulimataevocê***, qualquer real ajuda.</t>
  </si>
  <si>
    <t>NORDESTINA COM MUITO  ORGULHO 🌵 SEGUIDORA 💯 FIEL DO PRESIDENTE LULA 🤜🏻🤛🏻</t>
  </si>
  <si>
    <t>Portal de actualidad sobre #noticias de #Bitcoin #Criptomonedas #Blockchain #Altcoins #Metaverso #DeFi y mucho más!</t>
  </si>
  <si>
    <t>hincha enfermo de racing club de avellaneda.
la unica manera de progreso es trabajando ANTI K.. ANTI PERONISTAS..POPULISMO = POBREZA</t>
  </si>
  <si>
    <t>Candidato a Jefe de Gobierno de la Ciudad de Buenos Aires por @llibertadavanza  🇦🇷</t>
  </si>
  <si>
    <t>Weltnachrichten für Kosmopoliten. Wir stellen euch die meistgeteilten Nachrichten jeder Sprache vor. Mit @translation</t>
  </si>
  <si>
    <t>Periodista y presentadora boliviana / políticamente cuestionable / primavera del 99’</t>
  </si>
  <si>
    <t>A strange guy who loves Salvador Dali, Luis Buñuel, Che Guevara, Monty Python, Tarantino, Kubrick, Hitchcock, Billy Wilder, Scorsese and Kurosawa 
🎥🎬😁👊</t>
  </si>
  <si>
    <t>Assine nossas newsletters: https://t.co/mbfuWOnkaW
Instagram: https://t.co/7A96TSSm5K
TikTok:  https://t.co/rSYWwvU5jf
Facebook: https://t.co/5N9PnRl0am</t>
  </si>
  <si>
    <t>A versão online do jornal O Estado de S. Paulo. Acompanhe também as atualizações pelo Instagram: https://t.co/hGsLKgFw9w</t>
  </si>
  <si>
    <t>Reinaldo Azevedo, jornalista, é âncora de “O É da Coisa”, na BandNews FM e  BandaNews TV, e colunista do UOL. Está também no “Reconversa”, no Youtube</t>
  </si>
  <si>
    <t>DOL Carajás</t>
  </si>
  <si>
    <t>Noticias del Chaco y el país</t>
  </si>
  <si>
    <t>RT de #Noticias de la provincia del #Chaco, #Argentina y resto del mundo</t>
  </si>
  <si>
    <t>Canal educativo en República Dominicana</t>
  </si>
  <si>
    <t>Presente por mi pais</t>
  </si>
  <si>
    <t>EasyLaw es una revista digital que ofrece noticias y análisis de la actualidad jurídica de manera clara y accesible. ¡Únete a nuestra comunidad de seguidores!</t>
  </si>
  <si>
    <t>Mi corazón es libre. Tengo el valor de hacerle caso.</t>
  </si>
  <si>
    <t>📚 Carreras de pregrado, grado y posgrado, presenciales y a distancia.</t>
  </si>
  <si>
    <t>Hacemos encuestas sobre fútbol, política, comidas, entre otras cosas. 
Gracias por cada visita, cada retwitt, cada encuesta completada y por el apoyo brindado.</t>
  </si>
  <si>
    <t>Respeito Pra Quem Respeita ✌️#DesobediênciaCivil</t>
  </si>
  <si>
    <t>Lee, disfruta y comparte.
Síguenos en Instagram: https://t.co/3kTuqDAXTp
También en TikTok: https://t.co/2P80s7Pgp9</t>
  </si>
  <si>
    <t>Eleva tu eficiencia y efectividad en la Bolsa de NY con
https://t.co/fIrRMt0ilg 
➡️Análisis experto fácil de entender por 📩.</t>
  </si>
  <si>
    <t>Creemos en el principio de la realidad tal y como es. Nos comprometimos con la información independiente. https://t.co/qAeZ2e4LZX</t>
  </si>
  <si>
    <t>Desde 1934 formando a las y los líderes del país.
- Ingeniería Comercial 
- Ing. en Información y Control de Gestión 
- Contador Auditor</t>
  </si>
  <si>
    <t>Centro de Estudiantes de Ingeniería Comercial (CEIC) de la Universidad de Chile.</t>
  </si>
  <si>
    <t>Facultad de la @uchile dedicada a la formación de ingenieros comerciales, ingenieros en información y control de gestión y contadores auditores</t>
  </si>
  <si>
    <t>Cuenta oficial del Banco Central de Chile. Organismo autónomo que tiene como objetivos velar por la estabilidad del valor de la moneda y del sistema de pagos.</t>
  </si>
  <si>
    <t>·The Bim Manager
.M.M.O.
·Arquitectura(UNC)
·Cálculos Sismorresistentes
·Diseños de Proyectos,Dirección Técnica,
·Instalaciones Complementarias
.Proyectos Bim</t>
  </si>
  <si>
    <t>O Monitor do Novo Debate Econômico (MNDE) tem por objetivo contribuir com informações públicas sobre as novas maneiras de pensar a economia.</t>
  </si>
  <si>
    <t>Instituto de Estudos Sociais e Políticos da Universidade do Estado do Rio de Janeiro</t>
  </si>
  <si>
    <t>📰Portal de noticias de la Provincia de San Luis📰</t>
  </si>
  <si>
    <t>Fofoca sobre tudo oque acorre no Brasil e no mundo.
Notícias em geral.
Publicidades no DM 👀</t>
  </si>
  <si>
    <t>Presidente Nacional de Gente Buena</t>
  </si>
  <si>
    <t>Filósofo, professor e escritor</t>
  </si>
  <si>
    <t>Bájate nuestra App Radio Mandarina Formosa 📲🍊🍃 💻🎧 Música &amp; Noticias Las 24hs</t>
  </si>
  <si>
    <t>Twitter oficial da Rádio Bandeirantes.
https://t.co/j1rBCWcSyV…</t>
  </si>
  <si>
    <t>Arquitecto, Papá, ♥ Azul, polifuncional en la vida que juega por mayor Equidad y una Economía Social de Mercado. DWr. Sozialdemokrat.</t>
  </si>
  <si>
    <t>Cuenta Oficial Presidencia de la República de Chile de @GabrielBoric, período 2022-2026 🇨🇱 Presentes por un mejor futuro.</t>
  </si>
  <si>
    <t>Medio digital de noticias de la MacroZona Sur de Chile.</t>
  </si>
  <si>
    <t>¡Tú haces la diferencia! 
El más ágil y moderno diario electrónico de la República Dominicana.</t>
  </si>
  <si>
    <t>Twitter oficial do Partido dos Trabalhadores</t>
  </si>
  <si>
    <t>Bróker global regulado. Servicio CFD. Riesgo de pérdida de capital. No aplicable a residentes en España  #Acciones, #Divisas, #Índices, #Bonos, #Criptomonedas</t>
  </si>
  <si>
    <t>Responda simples perguntas para receber dicas do que assistir na Netflix e outras plataformas de streaming! App disponível na Play Store e App Store.</t>
  </si>
  <si>
    <t>Medio de Comunicación Digital 💻
Información instantánea a un click de distancia 🖱
Seguinos en todas nuestras redes 👇🏼
https://t.co/Eim5T0enW1…</t>
  </si>
  <si>
    <t>Noticias. Radio digital 24 horas,  Programas informativos, deportivos, música, transmisiones especiales.</t>
  </si>
  <si>
    <t>CNW Notícias | Você informado em um só toque</t>
  </si>
  <si>
    <t>¿Esta usted cansado ¡JARTOYA! de la corrupción política de su país? ¿Tiene usted gobierno con los oídos sordos? Dígaselo al mundo ¡Denúncielo YA! #LaMarchaSigue</t>
  </si>
  <si>
    <t>Mercadologo, Locutor , Voz comercial... Productor/Conductor @LosOpinadores @lunatv53 Contacto:829-764-5959.</t>
  </si>
  <si>
    <t>De múltiples pasiones. Amante de la justicia social y la naturaleza https://t.co/LoEH8vZ91u</t>
  </si>
  <si>
    <t>Bienvenidos al perfil especializado de @kutxabank. Difundimos información financiera y atendemos vuestras consultas.</t>
  </si>
  <si>
    <t>Espanhol Intensivo Ltda.
Prof. e Tradutora Juramentada. https://t.co/3THWhdvfMB</t>
  </si>
  <si>
    <t>La información actualizada minuto a minuto 📱💻🖥️</t>
  </si>
  <si>
    <t>En asuntos financieros la memoria es fragil. 
🇪🇸</t>
  </si>
  <si>
    <t>Visão subjetiva de fatores #Corporativistas e/ou #Geopolíticos que direcionam as #Economias Mundiais e os #Mercados Tradicional, de #Futuros e de #Criptos.</t>
  </si>
  <si>
    <t>Productor asesor de seguros</t>
  </si>
  <si>
    <t>Informações Gerais</t>
  </si>
  <si>
    <t>CPA 10 | CPA 20 | CEA | AAI | PQO | FBB100</t>
  </si>
  <si>
    <t>Candidata a la Presidencia 🇪🇨 por RC5. Madre | Animalista | Deportista | Exasambleísta. #PorElBienDeTodos #EcuadorVencerá</t>
  </si>
  <si>
    <t>Envidio a los luchadores incansables. Yo me canso, pero sigo luchando.😉</t>
  </si>
  <si>
    <t>ECONOMISTA.- DIPLOMADO EN GESTION POR COMPETENCIAS.- ESPECIALIDAD EN TURISMO.- EX MINISTRO DE TURISMO.- EX CONCEJAL DE CUENCA.- CONSULTOR EN NJ USA</t>
  </si>
  <si>
    <t>ilustrador, caricaturista, arteiro de plantão, se aventurando com as telas e as tintas.</t>
  </si>
  <si>
    <t>Saiba hoje as informações de amanhã.</t>
  </si>
  <si>
    <t>Negócios Internacionais - Autora do livro Sistemática e operações no mercado de câmbio e outros.</t>
  </si>
  <si>
    <t>GO TV es una propuesta televisiva fresca y diferente en Honduras. Aquí encontrás entretenimiento, información, actualidad y la mejor programación.</t>
  </si>
  <si>
    <t>Por la razón o la fuerza Chile cambiará...</t>
  </si>
  <si>
    <t>Noticiero móvil de finanzas personales en la pantalla del teléfono, con información útil para tu bolsillo. https://t.co/mfuHPvLNZB</t>
  </si>
  <si>
    <t>Periódico digital e impreso de México y paisanos #ÁngelMetropolitano</t>
  </si>
  <si>
    <t>Criador de conteúdo
Consultor de Comunicação 
Vendedor de Ideias
Apresentador de programas (rádio/TV/Web)
Treinamento de Mídia
arquimedesonofrio@gmail.com</t>
  </si>
  <si>
    <t>Renací en "Flor Esperanzada" #República #Libertad</t>
  </si>
  <si>
    <t>La minoría más pequeña que existe es el 𝙞𝙣𝙙𝙞𝙫𝙞𝙙𝙪𝙤.</t>
  </si>
  <si>
    <t>CEO and Broker Owner @alcasanchrd. Te brindamos asesoría financiera, tecnológica e inmobiliaria.</t>
  </si>
  <si>
    <t>Consultoria focada em acelerar o seu entendimento de #bitcoin 
DMs abertas! Mande sua dúvida
Ou entre em contato: https://t.co/WkCFrvKI1k</t>
  </si>
  <si>
    <t>Conteúdo, parceria e tudo novo! Mande sua foto com #TribunaPR ou manda um Whats (41) 99683-9504 😉</t>
  </si>
  <si>
    <t>Si hombres y mujeres simplemente se amaran apasionadamente, separandose luego con mutuo respeto y afecto, el problema de la vida estaría resuelto.</t>
  </si>
  <si>
    <t>Geek in General,m, video games, drones, tech</t>
  </si>
  <si>
    <t>Más de 40 años de servicio llevando adelante de manera profesional nuestra actividad Bursátil 
Escúchanos por FM 106.7 los lunes y Jueves entre las 9:30 a 10:30</t>
  </si>
  <si>
    <t>Deus, pátria e família!
Bolsonarista 22🇧🇷</t>
  </si>
  <si>
    <t>Advogada - Apaixonada pelo 🇧🇷</t>
  </si>
  <si>
    <t>Trabajamos con Inteligencia Artificial para proveer Contenido Editorial</t>
  </si>
  <si>
    <t>Crypto Exchange to buy, sell, convert, store and transfer cryptos and Fiat currencies.</t>
  </si>
  <si>
    <t>É o sopro do Criador, numa atitude repleta de Amor!!!
Marketing ⏳️</t>
  </si>
  <si>
    <t>Tudo o que você precisa no app e N Possibilidades na vida #ComNubankÉPossível</t>
  </si>
  <si>
    <t>Conta oficial Mercado Pago Brasil 💙
https://t.co/RQbnQ2dU9y</t>
  </si>
  <si>
    <t>Periodismo</t>
  </si>
  <si>
    <t>Por que meu sonho é Voar❤️✈️🇧🇷</t>
  </si>
  <si>
    <t>Professor da rede pública estadual (SP); dirigente da CUT-SP e da Apeoesp; filiado ao PT Itaquaquecetuba e membro do movimento Itaquá Para Todos(as).</t>
  </si>
  <si>
    <t>Advogado e professor de Direito Digital. Autor de livros e palestrante. CIPP/E</t>
  </si>
  <si>
    <t>Somos un medio de comunicación independiente ✊ enfocado en traerte información precisa y veraz de #Bitcoin y el ecosistema cripto.
⚡soyhodler@getalby.com</t>
  </si>
  <si>
    <t>🎯 Referência em seguros desde 1990.
🚀 Diversos seguros, produtos e serviços.
🥇 Faça seu Consórcio com a gente!</t>
  </si>
  <si>
    <t>𝑆𝑜𝑦 𝑑𝑒𝑙 𝑆𝑢𝑟 𝑦 𝑑𝑒 𝑙𝑎 #UdeChile</t>
  </si>
  <si>
    <t>Nomad. Best selling author.</t>
  </si>
  <si>
    <t>📸Fotógrafo⚡️Diseñador, CM. Creador de Liberal Noticias.</t>
  </si>
  <si>
    <t>Criado unicamente para assistir e comentar.
Verão o ano todo</t>
  </si>
  <si>
    <t>A sua fonte de notícias mais rápida. Tudo sobre os acontecimentos mais recentes do Brasil e do mundo. Contato: assessoriachoquei@gmail.com</t>
  </si>
  <si>
    <t>Success is not final, failure is not fatal: it is the courage to continue that counts.
Winston S. Churchill</t>
  </si>
  <si>
    <t>Periodista y otras adiciones. El Mercurio. Copayapu en mi ❤. Dudo. RT ≠ adherir.</t>
  </si>
  <si>
    <t>Las noticias que importan.</t>
  </si>
  <si>
    <t>Portal de noticias financieras y de criptomonedas, entérate de los últimos acontecimientos económicos y conviértete en un inversor exitoso! Bienvenido !!!</t>
  </si>
  <si>
    <t>O Japão milenar e o moderno, de paisagens, templos, costumes e ideias geniais. Acompanhem nosso dia a dia e venham conosco: Desbravando o Japão!!</t>
  </si>
  <si>
    <t>Agência de comunicação há 20 anos prestando serviços para instituições públicas, promovendo a construção social de uma comunicação democrática.</t>
  </si>
  <si>
    <t>Duro como un muerto en su tumba</t>
  </si>
  <si>
    <t>Com fé num futuro melhor, eu vou...
Psicóloga, Professora Universitária, Funcionária Pública, Petista, Sindicalista e Feminista.</t>
  </si>
  <si>
    <t>Ariana bebé</t>
  </si>
  <si>
    <t>Militante peronista. Vicepresidenta de la República Argentina. 2 veces Presidenta mandato cumplido 🇦🇷</t>
  </si>
  <si>
    <t>Cuenta oficial de prensa y difusión del presidente de la Nación Argentina, @alferdez.</t>
  </si>
  <si>
    <t>Haciendo de la vida financiera un meme o algo así.  #QuéLindoEsPoder🚀</t>
  </si>
  <si>
    <t>Política internacional
Medios
Turismo</t>
  </si>
  <si>
    <t>Science, Astronomy, UFOs, Environment, Climate Change, Global Warming, Music, World News, Nature, Dogs &amp; Others
Pic: Our Solar System</t>
  </si>
  <si>
    <t>Jornalista de O Globo, TV Globo, Globonews e CBN. Escritora. Recebi o Jabuti de livro do ano de 2012 e o prêmio Maria Moors Cabot da Universidade de Columbia.</t>
  </si>
  <si>
    <t>Fundador de @RuarteReports @WRSPrime4 Socio y CIO  #FondoDolphinReal Assets #WR 4.0 Socio y consultor #FondoTTArgentina2021 y #ArgentinaMMXXII</t>
  </si>
  <si>
    <t>Financiero, futbolista de barrio y tomador social. Rompiéndola  desde 1987, soy mi propia parodia.</t>
  </si>
  <si>
    <t>Servicios Financieros</t>
  </si>
  <si>
    <t>Cuenta Oficial IMEF Nacional: @IMEFOficial Revista: @RevistaIMEF Indicador IMEF: @IndicadorIMEF</t>
  </si>
  <si>
    <t>Todos mis tuits son estrictamente a titulo personal y no necesariamente representan el punto de vista de Banxico. RT no significa avalar o endosar.</t>
  </si>
  <si>
    <t>Descubre junto a nosotros al Gigante asiático y su relevante papel en el 🌍 . Noticias, cultura, política, comercio, historia, turismo y más. 🇨🇳</t>
  </si>
  <si>
    <t>Un puente entre la #noticia y vos</t>
  </si>
  <si>
    <t>Het leven is als een operette.
Islam vernietigt kunst en cultuur
.PVV. Bijbel is het beste boek.
Efese2:1-10</t>
  </si>
  <si>
    <t>Instagram: https://t.co/SPbDF41tpe…
Site: https://t.co/a4RgVnOdt5</t>
  </si>
  <si>
    <t>Cuenta oficial de Visión Sierras Chicas, publicación gratuita mensual que circula en Saldán, Villa Allende, Mendiolaza, Unquillo y Río Ceballos. @germargheritti</t>
  </si>
  <si>
    <t>seu jornal eletrônico</t>
  </si>
  <si>
    <t>El canal de noticias de los Dominicanos</t>
  </si>
  <si>
    <t>Noticias de Candeias Bahia
https://t.co/owkTTcGZFM</t>
  </si>
  <si>
    <t>Perfil do Bloco da Minoria no Congresso Nacional
Oposição séria, responsável e com foco nos brasileiros.</t>
  </si>
  <si>
    <t>Conoce la  Facultad de Ciencias de la Ingeniería de la Universidad Austral de Chile. 
Excelencia académica, investigación, vinculación con el medio.</t>
  </si>
  <si>
    <t>Aumentamos a probabilidade de sucesso do investidor por meio de tecnologias e informações inteligentes.
Nossos links: https://t.co/aXC6rfTEQU</t>
  </si>
  <si>
    <t>Portal de notícias sobre cooperativismo</t>
  </si>
  <si>
    <t>Agrupación de fomento de nuestras raíces culturales basadas en el origen hispano de Chile. Promovemos el conocimiento y Orgullo de la Hispanidad.</t>
  </si>
  <si>
    <t>Museo virtual que da a conocer la mítica Carrera de Indias, la ruta comercial hispana que cambió la historia de la Humanidad ¡Embárcate con nosotros!</t>
  </si>
  <si>
    <t>soy como Dios quiere que sea😇
odio la K, provida💙 , adicto al café 
*El populismo es el virus, Mauricio Macri*😺🇦🇷 Macri o Bullrich</t>
  </si>
  <si>
    <t>Investidor mercado financeiro</t>
  </si>
  <si>
    <t>Todas las noticias, en la web. Alertas, datos claves y análisis sobre la Argentina y el mundo. Dos décadas de pura información. Director: @JoseCalero</t>
  </si>
  <si>
    <t>Página do twitter de https://t.co/InCkN2AT3r
https://t.co/aV0D5TjWb0
https://t.co/1ISA3NDwN8</t>
  </si>
  <si>
    <t>Nuestro medio de comunicación está enfocado a temas de elecciones, política y actualidad, todo desde un punto de vista objetivo, pluralista y ciudadano.</t>
  </si>
  <si>
    <t>Fomento a Moeda Social Virtual SupleCred para ser + completa, não só créditos. Gestor de Cooperativas - Especialista em Marketing - Mestre Extensão Rural</t>
  </si>
  <si>
    <t>Empresario, Consultor, Despachante #DAGRI 🌐. Chaiman del Comité de #Comex #AmCham. Director de la Diplo de #Internacionalización #UCC</t>
  </si>
  <si>
    <t>Forbes é o maior título de negócios do mundo, dedicado à realizações e realizadores.</t>
  </si>
  <si>
    <t>Único medio multicanal sobre parques #industriales #logísticos #tecnológicos
🎙️ Jueves 18 hs por @ecomedios1220
📩 Suscribite al Newsletter</t>
  </si>
  <si>
    <t>Esta cuenta es solo informativa. 
Brindamos atención personalizada a través de:
0810-222-2776
https://t.co/BMvt4mI0Lm
https://t.co/WZEWnhFqAA</t>
  </si>
  <si>
    <t>Apresentador do Jornal da Band, da Rádio BandNews FM ao meio dia e comentarista no BandNews TV às 22h</t>
  </si>
  <si>
    <t>Informação 24 horas por dia.
Muito além da notícia, nada além da verdade.</t>
  </si>
  <si>
    <t>Asesor de Inversiones. 
Experto en Diseño de Modelos y Sistemas. 
Alta tolerancia al riesgo.</t>
  </si>
  <si>
    <t>Conoce todas las historias, entrevistas y reportajes sobre innovación, startups, cultura y mucho más en #DFMAS.
 👇en nuestra web 👇</t>
  </si>
  <si>
    <t>Agárrenmela a 2 manos zurdos qlos</t>
  </si>
  <si>
    <t>Ante la censura, el silencio y la desinformación, ¡Aquí hablamos claro! jueves a las por @elnuevodiariord. Conducido por @DamarisPatrocin &amp; @miguel_almanzar</t>
  </si>
  <si>
    <t>Dominicano
Política| Leyes | Negocios
Host @hablamosclarord</t>
  </si>
  <si>
    <t>El primer medio digital de República Dominicana especializado en la industria  inmobiliaria.</t>
  </si>
  <si>
    <t>Afiliada do SBT no Recife.</t>
  </si>
  <si>
    <t>Educación | Empleo | Economía — Solo se puede luchar por aquello que se ama. Amor por México 🇲🇽 — Docente Universitario</t>
  </si>
  <si>
    <t>📲 A notícia a um clique! 🖱 
📰 Acesse o nosso site para ler nossas matérias!
Acompanhe também as atualizações pelo Instagram: https://t.co/rHrKrA7utj…</t>
  </si>
  <si>
    <t>Agencia de noticias.
Noticias en contexto.</t>
  </si>
  <si>
    <t>Últimas noticias y alertas del Fondo Monetario Internacional. Também temos atualizações em português.</t>
  </si>
  <si>
    <t>26. Periodista, Comunicador Social y CM. Todo es fútbol y política acá. content creator en @urbancomar y redactor en @notaalpieok.</t>
  </si>
  <si>
    <t>Estudia para prgresar</t>
  </si>
  <si>
    <t>O https://t.co/wtUpXLoiDU é um portal de notícias independente e que se propõe a ser uma referência segura de conteúdo. https://t.co/0JmJEDhQOH</t>
  </si>
  <si>
    <t>Paciência e fé</t>
  </si>
  <si>
    <t>Compartimos la información de lo que acontece en Formosa, Argentina y el mundo. Somos #CanalFormosa #El23 #EstamosJuntos!</t>
  </si>
  <si>
    <t>A mi me vendieron como siberiano a ti te vendieron la constitución del 93 como desarrollo. Expropiaré tus gallinas, cuyes y patos.</t>
  </si>
  <si>
    <t>ADN Cuba - hablamos a favor de la libertad y contra la tiranía 🇨🇺</t>
  </si>
  <si>
    <t>👋 Bem-vindo(a) ao Seu Crédito Digital 💼 Te ajudando a ter uma vida financeira melhor</t>
  </si>
  <si>
    <t>Meu twitter, minhas opiniões!</t>
  </si>
  <si>
    <t>Empresário e Estudante de Administração</t>
  </si>
  <si>
    <t>🎙 | Emisora de contenido interactivo y música tropical 🗞 | Información y Entretenimiento 📻 | Una emisora del grupo @rccmediard</t>
  </si>
  <si>
    <t>Rumbo noticioso distinto. Equipo conformado por @carlospenard @ElvinCastillo @alfredodelacruz  @dcaminero  @Manuelcruztv @ktaverasd @GlobalyPolitico</t>
  </si>
  <si>
    <t>TV Host, Radio Host, Rumbo de la Mañana, Politizando, Consultor de Comunicación Estratégica</t>
  </si>
  <si>
    <t>Cuenta oficial de la red de medios de comunicación más grande e importante de la República Dominicana.
📲 829-761-1468 para denuncias.</t>
  </si>
  <si>
    <t>Deputado Estadual, líder do PL na Assembleia Legislativa de Santa Catarina (Alesc)
🏛 Advogado
⚖ Pós-graduado em Direito
📚 Mestre em Desenvolvimento Regional</t>
  </si>
  <si>
    <t>#Noticias 🇦🇷🌐. 
🔍Actualización constante y confiable, la verdad primero.
#DiarioNorteCom
#PrimeroSiempre🗞️📷📱💻</t>
  </si>
  <si>
    <t>Inversiones confiables al alcance de todos</t>
  </si>
  <si>
    <t>Nuestro objetivo es mantener la capacidad de compra de nuestro dinero y así contribuir para que la economía produzca al máximo nivel de sus capacidades.</t>
  </si>
  <si>
    <t>Periodista. Acreditado en el Congreso de la Nación. Editor de https://t.co/uhhS0krjSC ExPresidente de @APPAoficial</t>
  </si>
  <si>
    <t>➡Portal de noticias 🌏✏📰
➡Facebook: https://t.co/XLVbRJ7BRV 📲 ➡ Instagram: https://t.co/bXrkUH8ZMZ 📲
➡Youtube: https://t.co/zObRAdbGUM 🔊📽</t>
  </si>
  <si>
    <t>Jornalista
NSC TV, NSC Total, Rádio CBN Florianópolis</t>
  </si>
  <si>
    <t>Life is all about choices 💫right or wrong but never give up.🧘🏽‍♂️
A vida é uma arte 📉📈🎨🖌️#ICT_concepts #SMC_concepts.🇲🇿#Entrepreneur 🇪🇺🫅🇦🇺📑📂📋🖊</t>
  </si>
  <si>
    <t>Servo do Altíssimo, Deus vivo, O CRIADOR, por meio do Santo Filho JESUS. Sou publicitário, criação, com experiência em marketing político. #innovation #startup</t>
  </si>
  <si>
    <t>Sumate a fiscalizar https://t.co/tACZOrBQ7D</t>
  </si>
  <si>
    <t>Ortodoxa☦️
Escritora📖
Docente🎓
Ingeniera Comercial💹
Magíster Ingeniería Industrial
#Libertaria @CDPalestinoSADP @Armada_Chile</t>
  </si>
  <si>
    <t>Informação independente que conecta a América Latina.</t>
  </si>
  <si>
    <t>Suabio imagem encontr - se protegida no UOL ....</t>
  </si>
  <si>
    <t>📈Especialista de investimentos ANBIMA 🖊️Planejo seus investimentos, de acordo com o seu bolso e momento de vida</t>
  </si>
  <si>
    <t>Médico, casado, pai. Florianópolis, SC</t>
  </si>
  <si>
    <t>O Sofisa Direto é o primeiro banco online pensado para fazer o seu dinheiro render mais!</t>
  </si>
  <si>
    <t>Soy cubana, bayamesa y mi ideal es el bien, asociado al porvenir de nuestra patria. Perseveremos y venceremos</t>
  </si>
  <si>
    <t>Bem vindo a LexLatin Brasil! O mais importante meio de comunicação especializado no setor jurídico latino-americano.</t>
  </si>
  <si>
    <t>As coisas realmente importantes levam tempo.</t>
  </si>
  <si>
    <t>Perfil oficial do Conselho Nacional de Justiça.
Cidadania - Transparência - Compromisso Social</t>
  </si>
  <si>
    <t>Casado com a Jô e pai do Guilherme, Presidente do PT Alagoas, Advogado e Ex vereador de Maceió💪🏼🚩</t>
  </si>
  <si>
    <t>Medio de comunicación de Bolivia que nace del sueño de un experimentado grupo de periodistas independientes. Solo nos debemos a nuestros lectores.</t>
  </si>
  <si>
    <t>Portal de notícias com conteúdo de #negócios #economia #tecnologia</t>
  </si>
  <si>
    <t>Cuenta oficial del Cuerpo Economía y Negocios de El Mercurio.</t>
  </si>
  <si>
    <t>“I am the master of my fate, I am the captain of my soul” ~ W.E. Henley 🌟</t>
  </si>
  <si>
    <t>Magister en Economía @IE_UC. Clapes UC @clapesuc-Profesor de @derechouchile y Consejero Fiscal. Ex Coordinador macro y jefe de asesores del @min_hacienda</t>
  </si>
  <si>
    <t>Instituto Nacional de Estadísticas de Chile. Morandé 801, Santiago. Fono: 232461010  Correo ine@ine.gob.cl FB ChileINE   / IG chile.ine</t>
  </si>
  <si>
    <t>La Ciudad en Internet.</t>
  </si>
  <si>
    <t>El que NO conoce su historia, está condenado a repetirla</t>
  </si>
  <si>
    <t>Movimiento ciudadano por la libre disposición de #NuestrosAhorrosNuestraPlata #Retiro100xCiento #RetiroUrgente #RetiroTotalYa #SextoRetiro100xCiento</t>
  </si>
  <si>
    <t>Yo soy el que soy !!l</t>
  </si>
  <si>
    <t>Soy Soltero querendon amo el canto coral respeto profundamente al género femenino las adoro y estoy Sólito.</t>
  </si>
  <si>
    <t>ENFERMERO EN CAMINO ... ACTUALMENTE TENS ...LAS LUCHAS SOCIALES SON LO Q ME MUEBE SIEMPRE Y UN PAIS LEJOS DE LA TIRANIA ACTUAL POLITICA !!!</t>
  </si>
  <si>
    <t>Presentes por un mejor futuro 🇨🇱</t>
  </si>
  <si>
    <t>Senador por la circunscripción 15, Región de Magallanes y Antártica Chilena</t>
  </si>
  <si>
    <t>Diputado por la Región de Aysén.</t>
  </si>
  <si>
    <t>Diputada electa x mis sinmonea, mis abuelas sexys, mi fleto-power para terminarles la fiesta y el robo a los poderosos, y revelar todo lo que oculta la élite.</t>
  </si>
  <si>
    <t>Esperaron pacientemente llegar al poder y cagar al pueblo PC Y FA  nunca más un voto para ellos TRAIDORES VENDIDOS</t>
  </si>
  <si>
    <t>Noticiario transmitido de L-V a las 2:00 y 10:00 P.M.
Fin de semana 10:00 p.m. por @telesistema11rd
WhatsApp: 829-345-4055</t>
  </si>
  <si>
    <t>Lo importante es el contenido y no el número de seguidores. No sigo a retrógrad@s ni a much@s famos@s.</t>
  </si>
  <si>
    <t>Conservador Patriota
🇧🇷💪🇮🇱
Brasil minha Paixão</t>
  </si>
  <si>
    <t>Compromisso com a credibilidade! Sempre atualizando você sobre o cenário político! 🖥️</t>
  </si>
  <si>
    <t>Mexicano, Ingeniero Civil by #UniversidadVeracruzana MX &amp; #USP BR   MBA in Real Estate and Land Development by #FundaçãoGetulioVargas BR</t>
  </si>
  <si>
    <t>Patriota que busca ajudar, com a verdade, a endireitar o Brasil 🇧🇷🇧🇷🇧🇷🇧🇷🇧🇷🇧🇷 SDV</t>
  </si>
  <si>
    <t>Portal de noticias cripto. 
Promovemos el crecimiento de la descentralización con información confiable, investigaciones y las últimas novedades del mercado.</t>
  </si>
  <si>
    <t>Consultor CVM</t>
  </si>
  <si>
    <t>Gestor CVM Ex tesoureiro com experiência em gestão de recursos e controle de riscos
Conta Profissional @SMgestorFUNDOS</t>
  </si>
  <si>
    <t>El Heraldo de la Región Chorotega.</t>
  </si>
  <si>
    <t>Somos el Twitter oficial del Banco Popular y de Desarrollo Comunal. ¡Le damos la bienvenida!
#BancaFácil 2202-2020 #FinanzasSanas #ConstruimosBienestar</t>
  </si>
  <si>
    <t>Empresário, Presidente da Federação das Indústrias de Goiás, presidente Comin/CNI, pecuarista e carcinicultor, administrador de empresas, ex-deputado federal.</t>
  </si>
  <si>
    <t>World news for global citizens - We search for the most shared news in any language and bring them to you. By @translation</t>
  </si>
  <si>
    <t>Startup de conteúdo RQD pra geração Z. Pop é ser inteligente! https://t.co/yvXrvKUj7p by gabivalente</t>
  </si>
  <si>
    <t>Tenemos una nueva mirada. Somos Marca Informativa. Periodismo de Córdoba, para los cordobeses.
📲 publicidadmicba@gmail.com
📲 redaccionmicba@gmail.com</t>
  </si>
  <si>
    <t>Brasileiro , Patriota, Carioca e Flamenguista com muito orgulho!!
Gosto de ser Romântico, cavalheiro e carinhoso!Muito amoroso e gosto de poesia!❤❤</t>
  </si>
  <si>
    <t>Deputado federal (PT-SP) reeleito, Vice-Líder do Governo Lula na Câmara. Antes: Dep. estadual (2011-2018) e vereador em Guarulhos (2005-2010), Advogado ⚖️</t>
  </si>
  <si>
    <t>Uma plataforma colaborativa de Jornalismo
10 anos sem nenhuma fake news 🖥️📸📽️</t>
  </si>
  <si>
    <t>¡NOTICENTRO, periodismo auténtico al servicio de la información siempre!</t>
  </si>
  <si>
    <t>Astrólogo/Blogueiro/Escritor/ Espiritualista: 
https://t.co/tRTieJkpno…</t>
  </si>
  <si>
    <t>Medio de Comunicación Ayudanos a seguir desarrollando este medio de comunicación de Avellaneda https://t.co/QAapr2A2mv</t>
  </si>
  <si>
    <t>Lee hoy la Cuba de mañana. También puedes seguir nuestra cuenta @DDC_recomienda.</t>
  </si>
  <si>
    <t>Investor, trader, developer enthusiast, self-taught, reader, eternal student, liberal and headbanger.</t>
  </si>
  <si>
    <t>Independiente, critico e irónico. 
Ingeniero comercial UDD, Magíster en Economía UC, postgrado Harvard. Velerista.</t>
  </si>
  <si>
    <t>Economista de la Universidad de Chile y M.Phil en Economía de la Universidad de Cambridge, UK. Ministro de Hacienda de Chile @min_hacienda</t>
  </si>
  <si>
    <t>Donde la #información es poder.
Síguenos en @lpoparaguay en #Instagram</t>
  </si>
  <si>
    <t>Economía (ITAM). Me interesan: la historia, la energía, la política monetaria, las finanzas públicas y América Latina. Todo a título personal. 🇲🇽</t>
  </si>
  <si>
    <t>Expertos en
#Inversión
#WealthManagement 
#AssetManagement</t>
  </si>
  <si>
    <t>Fique por dentro das notícias sobre agronegócio e safras, dicas de manejo da terra e de como melhorar sua produção agropecuária.</t>
  </si>
  <si>
    <t>20 anos de edição</t>
  </si>
  <si>
    <t>AMANTE DE LA LIBERTAD. ANTI AGENDA COMUNISTA 2030. NUNCA FUI PERONISTA NI RADICAL, PERO SI MENEMISTA.</t>
  </si>
  <si>
    <t>Nômade digital navegando com entusiasmo na loucura contemporânea.</t>
  </si>
  <si>
    <t>Dr. Ciencias Administrativas. Prof. Universitario UNESR UCV, USB UCAB. Asesor Financiero. Asesor Inmobiliario y Forex trader.
https://t.co/LUAWlO3YfX</t>
  </si>
  <si>
    <t>un sitio donde dejo preguntas que me aquejan y eventos en los que fui feliz</t>
  </si>
  <si>
    <t>Canal 524 na CLARO TV. Emissora do RS com programação AO VIVO e multiplataforma 💜 YouTube e Facebook ⬇️</t>
  </si>
  <si>
    <t>Jornal online com a missão de produzir jornalismo sério, com credibilidade e informação atualizada, da cidade de Rio Verde e região.</t>
  </si>
  <si>
    <t>Desde 1990 líderes de la información radiofónica en Salta. 
El diario digital de Aries 91.1 FM
La radio con mejor imagen.</t>
  </si>
  <si>
    <t>Presidenta do @spbancarios. Feminista, socialista, petista, antirracista, anti LGBTQIA+fobia, mãe de autista, na luta pela democracia.</t>
  </si>
  <si>
    <t>Quem investe, lê. 🎯 Notícias sobre economia, mercado financeiro, investimentos e todo o lifestyle da Faria Lima.</t>
  </si>
  <si>
    <t>Economista, Vereador, Prefeito, 2 X Secretário da Fazenda Paraná, 7 mandatos de Deputado Federal, idealizado da PEC 110 Reforma Tributária/Consultor Tributário</t>
  </si>
  <si>
    <t>Noticias de Mar del Plata y la región 📰📲
📩  info@mdpya.com.ar</t>
  </si>
  <si>
    <t>Senador do Amazonas Líder do MDB</t>
  </si>
  <si>
    <t>Comentando la actualidad económica y social con ironía. Mis pronombres son Handsome y Brilliant.</t>
  </si>
  <si>
    <t>LongAgoInADistantLand</t>
  </si>
  <si>
    <t>Software de gestión para pymes y contadores.
📌Contabilidad
📌Remuneraciones
📌Facturas y Boletas Electrónicas
👉Conoce más aquí: https://t.co/H84HkU0sjw</t>
  </si>
  <si>
    <t>⭐️ Presidenta do @inst_lula 🚩 Vice-presidenta da @CUTsaopaulo 🔺Ex-presidenta do Sindicato dos Bancários 📚 Arquiteta, socióloga e com MBA na FGV</t>
  </si>
  <si>
    <t>En los simples momentos, la felicidad está presente. ®</t>
  </si>
  <si>
    <t>Bienvenid@ al mejor medio digital de la RD https://t.co/R1owYvdcZr Director @fquirozmora Adm/ editora en jefa @irannaf</t>
  </si>
  <si>
    <t>Me. Arquiteto e Urbanista</t>
  </si>
  <si>
    <t>Twitter oficial da TV Cultura. Siga também os perfis: @jornal_cultura e @rodaviva. Acompanhe a nossa programação pelo nosso site!</t>
  </si>
  <si>
    <t>De Valparaíso 🇨🇱| Fundador de Relaxiona Int. | Académico @PUCP | Mg. Ciencia Política y RRII. Analista Int.| Conductor de ConeXiones| Columnista en @latercera</t>
  </si>
  <si>
    <t>Black guys are beaut 🤎🏳️‍🌈 
➕🔞</t>
  </si>
  <si>
    <t>🗳️Fundación de jovenes dedicados a fortalecer el nexo entre la ciudadanía y la política. 📍🇦🇷</t>
  </si>
  <si>
    <t>Cuenta oficial. 
Información por fuera del cerco mediático Evolucionar es la tarea.
📲 Buscanos en YouTube, Instagram, TikTok y Facebook como @679evolucion</t>
  </si>
  <si>
    <t>Educación, cambio climático, Derecho y leyes.</t>
  </si>
  <si>
    <t>Director General de #LaEstallido @LaEstallidoRad
Comunicador-Melómano 🎸🥁🎙️
#Danzig #Maiden #Anathema
#Acuario
#MilVecesVenceremos
#AguanteElRockChileno</t>
  </si>
  <si>
    <t>La Asociación de Administradoras de Fondos de Pensiones es una organización gremial que reúne a todas las AFP de Chile.  https://t.co/QMLlRCSEBa</t>
  </si>
  <si>
    <t>El primer medio digital de Chile</t>
  </si>
  <si>
    <t>Divulgação de notícias, informações, artigos, editoriais, campanhas, anúncios, relativos aos modais de transporte e economia.</t>
  </si>
  <si>
    <t>Las últimas noticias. Agenda nacional, bonaerense y porteña. Periodismo plural. Cuenta secundaria @CronosNoticias1</t>
  </si>
  <si>
    <t>Engenheira da Computação (UFPE)
Especialista do Banco Central do Brasil
comments == personal opinion</t>
  </si>
  <si>
    <t>Periodismo independiente en Salta, Argentina.
Radio: Pan&amp;Circo 
Salta, Argentina.
+549 3874412346
info@agendasalta.com.ar</t>
  </si>
  <si>
    <t>Psicoanalista Artista Plástica #Milei2023 #Trump Admiro, adoro mi hijo Christopher Marticorena!</t>
  </si>
  <si>
    <t>Multimedio especializado en logística y comercio.</t>
  </si>
  <si>
    <t>Notícias, reportagens especiais e análises críticas sobre os principais acontecimentos do mundo.</t>
  </si>
  <si>
    <t>Periodista, MDV Producciones,  https://t.co/fpW5P0jyLO
Redes: Multimedios Nox Salta 
TW: Mdvcontenidos1 y 2 ,fupem
Insta: Pablo Martearena.</t>
  </si>
  <si>
    <t>35 primaveras. Intentando ser feliz ...</t>
  </si>
  <si>
    <t>ENVIANOS TU NOTICIA 
📲| 2945-515701
📩| EMAIL: cadenadelosandes@gmail.com
👍 SEGUINOS EN FACEBOOK 
🌐| https://t.co/kbHyPOrnst…</t>
  </si>
  <si>
    <t>Fã Clube para a jornalista Renata Lo Prete.
Âncora do Jornal da Globo, ex Programa Painel e ex Podcast O ASSUNTO.
Adm: 
Mateus Aniceto</t>
  </si>
  <si>
    <t>Comunicador, webdesign, ex-Conselheiro Nacional de Juventude e ativista de vários movimentos sociais.</t>
  </si>
  <si>
    <t>jornalista</t>
  </si>
  <si>
    <t>Correspondente da Band nos EUA. Âncora de Rádio, de TV e de navio. Torcedor do Warriors e Tricampeão do Mundo. Autor do livro-homenagem “Eu sou Ricardo Boechat”</t>
  </si>
  <si>
    <t>🐍Agrupación Liberal Alberdiana</t>
  </si>
  <si>
    <t>vá e vença, não se der por vencido.</t>
  </si>
  <si>
    <t>Noticias desde Buenos Aires, Argentina. Periodismo puro en tiempo real.</t>
  </si>
  <si>
    <t>Periódico digital EL FRONTERIZO 🖥 que te informa las noticias más importantes y de último momento ⏰</t>
  </si>
  <si>
    <t>Escribamos juntos esta nueva historia. Presidencia de la República Dominicana. Presidente @LuisAbinader #EstamosCambiando</t>
  </si>
  <si>
    <t>Tudo sobre marketing imobiliário e mercado imobiliário!</t>
  </si>
  <si>
    <t>elCaribe te mantiene al tanto de la actualidad con todo a cada minuto, desde Rep Dom. Facebook ► https://t.co/P00rkAxVK3 
Instagram ► https://t.co/Kpl8r1FMTn</t>
  </si>
  <si>
    <t>Ciudadano del mundo. Periodista.
 República Dominicana</t>
  </si>
  <si>
    <t>#ElSonidoDeLaRealidad 📲 115-005-0710</t>
  </si>
  <si>
    <t>Uₙ ₚₒcₒ dₑ ₜₒdₒ..
Eₙ ₗₐₛ cₒₛₐₛ dₑₗ ₘᵤₙdₒ, ₜₒdₐₛ ₗₐₛ cₒₛₐₛ qᵤₑ ₜᵢₑₙₑₙ ₐₗgₒ dₑ dᵢfᵢcᵤₗₜₐd ₜₑ ₚₐᵣₑcₑₙ ᵢₘₚₒₛᵢbₗₑₛ. Cₒₙfíₐ ₑₙ ₑₗ ₜᵢₑₘₚₒ_ 🫶🏽🧉😊</t>
  </si>
  <si>
    <t>Apenas um rapaz latino americano</t>
  </si>
  <si>
    <t>Contenido Audiovisual, Creación de contenido digital, podcasts y manejo de redes sociales 🧠 💡</t>
  </si>
  <si>
    <t>In science and technology, we trust!</t>
  </si>
  <si>
    <t>Candidata Independiente a la Alcaldía por Cerrillos 2021.
¡Por un Cerrillos para todas y todos!</t>
  </si>
  <si>
    <t>Cuenta Oficial Municipalidad de Cerrillos // Alcaldesa Lorena Facuse Rojas // Encuéntranos en Facebook, Instagram y Youtube. Consultas: 2 3327 8000</t>
  </si>
  <si>
    <t>Jornalista. Palmeirense  Apresentador e Produtor de conteúdo do @tcinvestimentos.</t>
  </si>
  <si>
    <t>Jornalista. Apresentador e editor da TC Rádio no @tcinvestimentos. Passagens por @CBNoficial, @JovemPanNews e Rádio Gazeta. Apaixonado por esportes.</t>
  </si>
  <si>
    <t>Bem-vindo a bordo! Fornecemos notícias e atualizações em tempo real sobre #trânsito, #voos e muito mais, #Barueri, #SãoPaulo e #GrandeSP.
Junte-se a nós!</t>
  </si>
  <si>
    <t>Acompanhe aqui notícias do Brasil e do mundo, com agilidade, qualidade e compromisso com a verdade.</t>
  </si>
  <si>
    <t>Militante nas causas sociais e trabalhistas. 
Educador Físico e Bacharel em Ciência do Trabalho
Dirigente Sindical no sindicato dos Metalúrgicos de SP e Mogi</t>
  </si>
  <si>
    <t>Creador de Contenido, Enfocado en temas como, Psicologia, Neurosciencia, Historia, Filosofia, Espiritual.</t>
  </si>
  <si>
    <t>📲 WhatsApp 👉 11 2340 1030
📣 Somos una radio con espíritu Federal
🎂 Cumplimos años el 1° Marzo
👍 Seguinos en Instagram y FB
📻 #AMDelPlata #DelPlata #Radio</t>
  </si>
  <si>
    <t>Tenha uma vida global de verdade com o Super App do Inter: conta internacional, viagens, investimentos no exterior e muito mais, tudo dentro do seu celular. 🌎</t>
  </si>
  <si>
    <t>Contador Auditor UDP / Máster en Finanzas / MBA ESE /  Fuera de horario de oficina, en estado de hibernación sabático... tb puede ser una ironía.</t>
  </si>
  <si>
    <t>🇲🇿</t>
  </si>
  <si>
    <t>Buscador Hispano y directorio de sitios por categorías. Contiene noticias, avisos clasificados, foros y mucho más.</t>
  </si>
  <si>
    <t>El portal de noticias más plural de #Misiones
#MisionesParaTodos #mptnoticias</t>
  </si>
  <si>
    <t>Expertise em Direito Civil, com ênfase no segmento Família e Sucessões. O escritório Araujo Santos Advocacia usufrui de know how e profissionalismo.</t>
  </si>
  <si>
    <t>O seu jornal on-line • #AmazonasAtual | Participe do nosso canal no Telegram 📲 https://t.co/mTdSj1EhJW Lista de Transmissão no Whatsapp (92) 98401-2888</t>
  </si>
  <si>
    <t>Portal lider ANTICORRUPCIÓN de la nueva Política, la politica 2.0, moderna y participativa. Democracia Real = Democracia Digital. ALERTA #CORRUPCION #CHILE</t>
  </si>
  <si>
    <t>Comunicadora Social en constante evolución ❤👩🏻‍💻🌻🌞😍🐾🐞🎤🙃</t>
  </si>
  <si>
    <t>Desde Loja para el mundo. Dirigida por Pablo y Lindon Sanmartín Rodríguez. Escúchanos en tu dispositivo móvil en Tunein whatsapp 0993210519 Facebook @srradioEc</t>
  </si>
  <si>
    <t>Consejo de Participación Ciudadana y Control Social (CPCCS)  #ElConsejoDeLaGente</t>
  </si>
  <si>
    <t>Presidente Constitucional de la República del Ecuador (2021-2025).</t>
  </si>
  <si>
    <t>Jovem Pan Goiânia / Jovem Pan Caldas Novas
FM 106,7 / FM 105,7 | Uma plataforma de #Comunicação que transforma a sociedade!
A Rádio multiplataforma! 📻</t>
  </si>
  <si>
    <t>Empresa líder en Logística Internacional y Comercio Exterior. Argentina.</t>
  </si>
  <si>
    <t>Sindicato dos Bancários da Baixada Fluminense Sede Duque de Caxias: (21) 2671-0110 Sub-Sede Nova Iguaçu: (21) 2658-8041</t>
  </si>
  <si>
    <t>Multiplataforma Fénix | Medio de comunicación de La Rioja, Argentina</t>
  </si>
  <si>
    <t>Soluções para o seu empreendimento crescer!
◉Registro /Alteração
◉Contábil
◉Tributária
◉Recursos Humanos
Agende sua consultoria já!</t>
  </si>
  <si>
    <t>Compartilhando conteúdo de economia academicamente mainstream em uma internet lotada de heterodoxias.</t>
  </si>
  <si>
    <t>Único medio internacional que pone en jaque al poder y sus representantes de todo el globo.</t>
  </si>
  <si>
    <t>Padres de 5 hermosos hijos. Nacido en Bolivar(pcia.BsAs).</t>
  </si>
  <si>
    <t>Diretor da Jovem Pan em Brasília e analista político. Diariamente no Pingos nos Is e seg/qua/sex no Jornal da Manhã. Palestras em inteligenciapublica@proton.me</t>
  </si>
  <si>
    <t>Creador de contenido //
Taller / Mecánica //
Juegos, Stream //
Inversión. NFT //
Análisis - Tutoriales // 
Colaboraciones y marketing:
contacto.eledu@gmail.com</t>
  </si>
  <si>
    <t>Opero en BingX:
https://t.co/ES0zSKMyiI
Links: https://t.co/oV2LrhD2SH
Newsletter: https://t.co/PAu12idCeO</t>
  </si>
  <si>
    <t>O Jornal JOGO SÉRIO é o seu portal de notícias e realiza jornalismo corajoso em favor do bem coletivo. Mantenha-se informado!</t>
  </si>
  <si>
    <t>Un diario digital con el desafío de conjugar la rapidez de la era digital con la profundidad de un periodismo de calidad, pluralista y humanista.</t>
  </si>
  <si>
    <t>Toda la información política y económica, en un sólo lugar.
Seguinos en Facebook: https://t.co/LVSES1cKDm</t>
  </si>
  <si>
    <t>Economista (UBA). 
Jefe de Economía en @rionegrocomar. 
Director de Instituto Terciario Pablo Besson. 
"Vos al Aire" (Lu a Vi a las 8 Am) por @rionegroradio.</t>
  </si>
  <si>
    <t>Enseño en San Andrés, Harvard y HEC, París. Fui Diputado Nacional, Presidente del Banco Ciudad y Presidente del Banco Central de la República Argentina.</t>
  </si>
  <si>
    <t>Sei de nada</t>
  </si>
  <si>
    <t>Professor e Deputado Federal eleito por SP com mais de 1 milhão de votos.</t>
  </si>
  <si>
    <t>Mestrando em Comunicação Política (UCP), Especialista em Auditoria e Gestão Saúde; MBA Neuromarketing, Jornalista; ex-Secretário Municipal Comunicação SAD/GO;</t>
  </si>
  <si>
    <t>Dep. Federal (SP),eleita melhor Dep 2019 e 2022 voto popular, gerente de projetos, conservadora, mãe de João e esposa do Coronel Aginaldo, leal ao PR Bolsonaro!</t>
  </si>
  <si>
    <t>Here to help you prosper 🌎 This is our global account.</t>
  </si>
  <si>
    <t>Viver como escravo ou homem livre? A escolha é sua.
Ajudo o cidadão comum a sair da Corrida dos Ratos.</t>
  </si>
  <si>
    <t>Portuguesa, mãe de dois alfacinhas. Não dou opinião sobre política (ler meu tuíte fixado).</t>
  </si>
  <si>
    <t>Bolsonarista vai se fuder!</t>
  </si>
  <si>
    <t>soy una chica pánico… y era</t>
  </si>
  <si>
    <t>Diario Electrónico de la Región de O'Higgins.
🔔 prensa@horadenoticias.cl - 
☎+56937865202
𝗥𝗘𝗖𝗜𝗕𝗘 𝗥𝗘𝗦𝗨𝗠𝗘𝗡 𝗗𝗘 𝗡𝗢𝗧𝗜𝗖𝗜𝗔𝗦: https://t.co/jLzHzXy1ch</t>
  </si>
  <si>
    <t>📰PERIÓDICO DIGITAL📰 que publica ¡LAS NOTICIAS COMO SON! a tan sólo un clic💻.
#SinCortapisa
📞 Tel.: 809-518-2989. 
📩Mail: sincortapisa@gmail.com</t>
  </si>
  <si>
    <t>Director de @Comunicaciondo. Vocero del Gobierno de @LuisAbinader 🇩🇴 Padre y esposo. Cronista por pasión. Mi sueño: que se hable y se escriba desde la verdad.</t>
  </si>
  <si>
    <t>Cuenta oficial de la Dirección de Estrategia y Comunicación Gubernamental de la República Dominicana. 🇩🇴</t>
  </si>
  <si>
    <t>Cuenta oficial del Ministerio de Economía, Planificación y Desarrollo de @presidenciard. 🇩🇴 Rep. Dom. Ministro: @pavelisacontreras</t>
  </si>
  <si>
    <t>Mejor institución Microfinanciera en América Latina y el Caribe.</t>
  </si>
  <si>
    <t>Primer banco dominicano de capital privado. Líder en banca múltiple y servicios financieros en Rep. Dominicana. Ofrecemos atención al cliente en @Popularatulado</t>
  </si>
  <si>
    <t>Licenciado en Ciencia Política. Hincha de River. 🇦🇷</t>
  </si>
  <si>
    <t>TÚ CANAL DE ACTUALIDAD MUNDIAL
Aquí encontrarás #NoticiasFinancieras y los ÚLTIMOS DATOS #EconomiaMundial #BolsaDeValores #MercadosFinancieros y #Cryptomonedas</t>
  </si>
  <si>
    <t>📰 Tu fuente diaria de noticias políticas nacionales e internacionales actualizadas. Información objetiva y relevante al alcance de un clic. #NoticiasDelDía 🌐</t>
  </si>
  <si>
    <t>Hastiado de tanto político corrupto. La política paso a ser un buen negocio que explota a los chilenos trabajadores</t>
  </si>
  <si>
    <t>Republicano, CVD, cruzado, creyente, marido y padre de 3.
Columnista FNM, panelista NO+TV, defiendo la verdad, lo justo y lo correcto.</t>
  </si>
  <si>
    <t>Trabalhador, Progressista, Petista, Lulista, Dilmista, filiado ao PT! Democracia sempre, ditadura nunca mais! Lula é Presidente do Brasil!!!</t>
  </si>
  <si>
    <t>Perfil oficial do novo #GovernoDoBrasil. Aqui você participa e fica sabendo sobre ações e serviços para o seu dia a dia.</t>
  </si>
  <si>
    <t>🤗  #Jornalista com formação em Gestão da #Tecnologia da Informação. #UniCeub #FacSenacDF  #IoT #ArtificialIntelligence #MachineLearning #Brasília #Bahia #ETFBa</t>
  </si>
  <si>
    <t>Productora de contenidos  Lic. en Comunicación y Periodismo Esp en Com Digital y Política</t>
  </si>
  <si>
    <t>Más de 120 años fomentando el libre mercado y el desarrollo de los sectores productivos.</t>
  </si>
  <si>
    <t>Economista. Mamá y abuela</t>
  </si>
  <si>
    <t>Cristão ✝️</t>
  </si>
  <si>
    <t>Especialistas em projetos de TI para serviços financeiros, gestão de risco e mercado de capitais. Legal Imprint: https://t.co/SnIeLxg9WM</t>
  </si>
  <si>
    <t>Mídia Independente | 
Editor: @migueldorosario | Diretor: @gabrielbrbjor | pix@ocafezinho.com | https://t.co/nfYXbvgy2t…</t>
  </si>
  <si>
    <t>Jornalista com pós graduação em Comunicação e Marketing Político | Chefe de Redação do @ocafezinhooficial</t>
  </si>
  <si>
    <t>A esquerda bem informada</t>
  </si>
  <si>
    <t>O GPS MUDOU PARA MELHOR!
PORTAL DE NOTÍCIAS | REVISTA DIGITAL 
Se mantenha na rota da informação
Acesse: 
https://t.co/ls31xgodNu</t>
  </si>
  <si>
    <t>A Central dos Trabalhadores e Trabalhadoras do Brasil (CTB) é uma central sindical classista fundada em 2007.</t>
  </si>
  <si>
    <t>Jornalismo</t>
  </si>
  <si>
    <t>Paranapanema é o mais belo dos rios porque passa na minha aldeia. Filha de Josefa e Benedito, caipira, editora e mãe de Fernando e Cândida.</t>
  </si>
  <si>
    <t>Paraense e professor com muito orgulho</t>
  </si>
  <si>
    <t>Notícias e informações relevantes sobre bolsa de valores e outros investimentos.</t>
  </si>
  <si>
    <t>⚠️this account is managed by the Days n* Days support team. You may be not interacting directly with Elson. ☮️ ✌🏾</t>
  </si>
  <si>
    <t>🛑 Las noticias más importantes del sur de Mendoza 🗞️🖥️
#SanRafael 
#GeneralAlvear 
#Malargüe</t>
  </si>
  <si>
    <t>Lea las últimas noticias y análisis de América Latina y el Mercosur. Política, Economía e Inversiones en Sudamérica y el Mundo.</t>
  </si>
  <si>
    <t>Conselho Federal de Economia  SCS, Qd. 02 BL. B SL.1201, Ed. Palácio do Comércio  70.318-900 - Brasília - DF  Fone: (61) 3208-1800 - Fax: (61) 3208-1814</t>
  </si>
  <si>
    <t>Canal dedicado a curiosidades del dinero, finanzas y resto de cosas...</t>
  </si>
  <si>
    <t>Arquiteta. São Paulo- Brasil</t>
  </si>
  <si>
    <t>Portal de produção e curadoria de conteúdo voltado para estudantes e profissionais do Direito e com tema dedicado à inovação, tecnologia e empreendedorismo.</t>
  </si>
  <si>
    <t>Medio de comunicación digital que informa sobre política en Chile.</t>
  </si>
  <si>
    <t>💡☢️
Comento sobre injustiças.
Falo palavrão mesmo só de raiva ! 😡🤬😯</t>
  </si>
  <si>
    <t>Legal</t>
  </si>
  <si>
    <t>Deputado Federal PT-GO</t>
  </si>
  <si>
    <t>O que interessa aos Pobres? Faça um vídeo, eu publico em https://t.co/h5k4XE0oGa, vamos conversar #Socialista #PSOLseguePSOL #PSOL #Esquerda #SãoPaulo #Brasil #Br</t>
  </si>
  <si>
    <t>No noise 
CEO OF SOMETHING 📷📹</t>
  </si>
  <si>
    <t>CEO : Group Comex LLC</t>
  </si>
  <si>
    <t>Aprendendo com o passado. Fazendo no presente. Pensando no futuro.
Desenvolvimento econômico e humano sustentáveis.</t>
  </si>
  <si>
    <t>PEDREIRO . Cristão evangélico 🇧🇷🇧🇷🇺🇸🇺🇸🇮🇱🇮🇱 se, pois, o filho vos libertar, verdadeiramente sereis livres.
Deus família patriota.</t>
  </si>
  <si>
    <t>Aquelas que todos sabem quais são, mas se furtam em dizê-las...</t>
  </si>
  <si>
    <t>Inversiones y financiamiento. Asesoramos empresas y personas individuales. Matrícula CNV 1728</t>
  </si>
  <si>
    <t>economista;
colunista e professor:
broker de futuros;
derivativos;</t>
  </si>
  <si>
    <t>Diario https://t.co/AgQubwqi3a 
https://t.co/gLj4aXnfXZ
https://t.co/peobGGyHQ8</t>
  </si>
  <si>
    <t>@Licmarcedalvia
Lic Marcela M D'alvia 
-Espacio de Interés General para Libre Pensadores-🇦🇷🇵🇷🇺🇲🇪🇨🇲🇽🇨🇴🇨🇱🇵🇪🇻🇪🇮🇹🇨🇵🇩🇴🇪🇸🇵🇾🇨🇺🇧🇴🇺🇾</t>
  </si>
  <si>
    <t>GATOS, PATOS Y HALCONES TODOS JUNTOS POR EL 2023 
   transparente, rebelde ante la injustica, si me provocas voy con los tapones de punta. Antik,</t>
  </si>
  <si>
    <t>O NE10 é o portal do SJCC que abriga os sites do JC, da TV Jornal, da Rádio Jornal e parceiros no Nordeste</t>
  </si>
  <si>
    <t>Brasileiro.</t>
  </si>
  <si>
    <t>Hоrnу girl 💐😛🤩</t>
  </si>
  <si>
    <t>La primera mitad de la vida en Santiago. Hoy, feliz ciudadano de la Patagonia Occidental 🇨🇱 Más derechos, pero con deberes. Cumbia Chilena y Rock Argentino.</t>
  </si>
  <si>
    <t>Noticias de Turquía al mundo hispanohablante</t>
  </si>
  <si>
    <t>Encuentra aquí información política, económica, cultural y social sobre Baja California, México. Todo al estilo de Newsweek en Español.</t>
  </si>
  <si>
    <t>👉Te traemos las noticias más importantes de la provincia, el país y el mundo. Visitanos en nuestra web https://t.co/Q4K6KCGb4J 📲</t>
  </si>
  <si>
    <t>Periodismo regional, creíble y plural.</t>
  </si>
  <si>
    <t>Los años enseñan muchas cosas que los días jamás llegan a conocer. Doctor en Economía y Cs. Sociales. Macroeconomista. Radical de Alvear/Balbín. Huracán.</t>
  </si>
  <si>
    <t>Graduated in Economics &amp; Management 🎓 Post Graduated in B.A.👨‍🎓 Master in Business Administration (MBA) ❗️+23y ONLY ⛔️</t>
  </si>
  <si>
    <t>La forma más fácil de mantenerte informado.</t>
  </si>
  <si>
    <t>Informação de verdade!</t>
  </si>
  <si>
    <t>Se descobriu que os líderes 🌏 de pagamento entendem o poder do blockchain e da criptografia para transformar os movimentos globais de dinheiro.   #Cripto  🎮🌏</t>
  </si>
  <si>
    <t>🌍Wanderlust 📊Investor</t>
  </si>
  <si>
    <t>Avante Brasil!
08/03/1956</t>
  </si>
  <si>
    <t>El diario de mayor expansión digital de #Chubut
En la #Patagonia desde 1954 🇦🇷</t>
  </si>
  <si>
    <t>O Instituto Desenvolvimentista busca difundir e popularizar as ideias desenvolvimentistas.</t>
  </si>
  <si>
    <t>Dicas e vídeos gratuitos! YouTube 🎥 👇👇
🔴https://t.co/z2zYWFbTox
Financeira especializada na ajuda de Aposentados e Pensionistas do INSS!💰</t>
  </si>
  <si>
    <t>Contamos hechos relevantes con foto reportajes y video. Brindamos información y noticias de interes.</t>
  </si>
  <si>
    <t>Perfil oficial Agro Times!
🌱🧑‍🌾Portal de notícias que cobre o mundo do agronegócio, porteira adentro e afora
🗞Uma marca @leiamoneytimes</t>
  </si>
  <si>
    <t>O OnJornal é um veículo de comunicação com foco principal em notícias de Concursos, Empregos, Licitações e Negócios em geral.</t>
  </si>
  <si>
    <t>El portal de noticias más plural de #Chubut #ChubutParaTodos #chptnoticias https://t.co/3FTbTSuvRx https://t.co/VcH8nOPusR</t>
  </si>
  <si>
    <t>Há 22 anos produzindo jornalismo de qualidade e independente! https://t.co/deiM7RbLuS - "A Marca da Notícia"</t>
  </si>
  <si>
    <t>This is all about sweepstakes offer. Games, Gift Cards, Gadgets, Gold Products, Supplements, Medicine, Diets &amp; Beauty Product etc can be found here.  Stay tuned</t>
  </si>
  <si>
    <t>Medio informativo de San Francisco (Córdoba). Edición web e impresa, TV y Radio. 
🤳 #elperiodico #15añosEP</t>
  </si>
  <si>
    <t>Este é o perfil do site: https://t.co/e2yX9zGIUa no Twitter. Professor: Cícero Barros1️⃣3️⃣educador, sindicalista e filiado ao https://t.co/sv3hEtTUIk Brasil.🇧🇷</t>
  </si>
  <si>
    <t>Blog Pessoal</t>
  </si>
  <si>
    <t>O portal de notícias feito do seu jeito</t>
  </si>
  <si>
    <t>Pós graduada em Jornalismo, primeira mulher a apresentar um programa de rádio em MD-AL, professora, emprendedora, Designer, Esp. em MKT, Mãe, e mulher com "M".</t>
  </si>
  <si>
    <t>Analista, asesor y operador de mercados bursátiles y financieros a nivel nacional  e internacional . Idoneo /AP (CNV N 900 ) Email : CharlieSupph@gmail.com</t>
  </si>
  <si>
    <t>Contenido sobre #digitalización, nuevas #tecnologías y #noticias #judiciales de interés @⚖️⚡
IG https://t.co/zGLkPLcQgl
Fb https://t.co/zPb8hvUu7L 
Canal YouTube</t>
  </si>
  <si>
    <t>Periodista Canal 10 de Córdoba, de Radio Universidad y de https://t.co/MLIygb8H9E . Multimedio SRT.</t>
  </si>
  <si>
    <t>Noticias e Mídias</t>
  </si>
  <si>
    <t>La verdad tiene piernas largas.
Lo importante es no dejar de hacerse preguntas. Heracletiana y Epicúrea.</t>
  </si>
  <si>
    <t>Plataforma de análisis e investigación política de México.</t>
  </si>
  <si>
    <t>Condenado a la libertad</t>
  </si>
  <si>
    <t>Entre! As camisas de força estão à sua direita, tarjas pretas estão na mesa e os encrenqueiros estão do lado de fora.</t>
  </si>
  <si>
    <t>A TECNOLOGIA que vai te auxiliar a tomar as MELHORES decisões para seus investimentos. Monitorar, acompanhar e fazer a gestão de toda a sua carteira de ativos.</t>
  </si>
  <si>
    <t>jack of all trades, master of none</t>
  </si>
  <si>
    <t>https://t.co/WJnnlGDxLt… Mi Tatarabuelo
https://t.co/82dOc7oteI… Mi Bisabuelo
Las ideas provienen de Grecia. Conocer su Historia, es conocer el Futuro.</t>
  </si>
  <si>
    <t>Somos un periódico Digital comprometidos con la verdad</t>
  </si>
  <si>
    <t>Cuenta Oficial del Diario BAE Negocios.
Hacia un Capitalismo Nacional.</t>
  </si>
  <si>
    <t>Notes From: "The Hidden Side of The Moon" 
Articulators: SilkDogs GTA-A Global Thinking Advisor
What´s The Matter: #Investment #Crossboarderinvestment #Business</t>
  </si>
  <si>
    <t>📚 Sapere Aude
👨🏼‍💼 Assessor de Investimentos
🏢 Nortus Investimentos - XP</t>
  </si>
  <si>
    <t>Programa Reseñas, con @Rafaelnunezr y @Adelaida33. Los sábados, por EnTelevisión a las 9:00 p.m. Entra a nuestro portal: https://t.co/U0rcA0EX50</t>
  </si>
  <si>
    <t>Humano. CEO RANUR, SRL. Consultor de Comunicación Política. Director de Comunicación de 6 campañas electorales exitosas.</t>
  </si>
  <si>
    <t>Yo solía gobernar el mundo_x000D_
Los mares se alzaban cuando yo lo ordenaba_x000D_
Ahora en la mañana yo barro solo_x000D_
barro las calles que solía poseer ✍</t>
  </si>
  <si>
    <t>Deputado Federal reeleito em 2022. 
🇧🇷 4x Dep. Federal / 🔺 2x Dep. Estadual / 🌻 Agricultura Familiar / 🌱 Agric.Urbana / Povos Originários/  ✊🏾 Quilombolas</t>
  </si>
  <si>
    <t>Certified CA 🇲🇿 | Toastmasters International | MAKTUB MOZ - Clube de Leitura 📖  https://t.co/wCVhkPu4m7</t>
  </si>
  <si>
    <t>RD Tevé es tu canal digital noticioso. Investigación al más alto nivel. @RaulGermanB y @RamonLoraR, coordinadores. IG: https://t.co/diZunBUZmk #rdtevé</t>
  </si>
  <si>
    <t>#AI #CHATGPT Somos la mayor comunidad PYME de CHILE 30.000 Emprendedores online. Portal Oficial de https://t.co/k3HpPCAwNM Lideres en Chile. #PYME #CHILE</t>
  </si>
  <si>
    <t>Emisora de música variada de conexión mundial por plataformas digitales, redes sociales Facebook, Twitter, Instagram, Youtube y las ondas hertzianas.</t>
  </si>
  <si>
    <t>O Banco do Brasil promove a conservação ambiental e preserva a biodiversidade. #PraTudoQueVoceImaginar
Saiba mais: https://t.co/PJ7LFD7IzE</t>
  </si>
  <si>
    <t>Fique por dentro de tudo o que acontece em Mogi das Cruzes e Região!</t>
  </si>
  <si>
    <t>Docente. Educación pública. Todos unidos triunfaremos.✌</t>
  </si>
  <si>
    <t>-Youtuber político de derecha ( shorts y TikToks)
-Difundimos las novedades de La libertad Avanza</t>
  </si>
  <si>
    <t>Banco de Crédito y Comercio en
#Camagüey #Cuba</t>
  </si>
  <si>
    <t>Red Nacional de Noticias, las 24 horas - Tel: (809)-334-3040 / visita nuestro informativo @noticiasrnn</t>
  </si>
  <si>
    <t>Tanque Pensante comformado por profesionales de diversas áreas con fines de debatir las problemática socio-económicas de República Dominicana</t>
  </si>
  <si>
    <t>Brazil Born, Canada Raised. Love Animals &amp; NATURE. Fighting to Preserve AMAZONIA. Stop #BeloMonte 
#PrefiroCiro 🍞=🌾=💸</t>
  </si>
  <si>
    <t>El nuevo medio digital de Argentina</t>
  </si>
  <si>
    <t>bancário por profissão mas meu dom é almoçar</t>
  </si>
  <si>
    <t>quer comprar carro? fala cmg</t>
  </si>
  <si>
    <t>Professor, Advogado, Empreendedor, Mestre em Reclamação</t>
  </si>
  <si>
    <t>The real truth is be yourself without fear.</t>
  </si>
  <si>
    <t>Periodista. Director @Atalayar_ entre dos orillas. Punto Radio, Onda Cero, COPE, El Independiente y Colpisa. Colaboro en COPE, Colpisa, TVE, RNE y Diariocritico</t>
  </si>
  <si>
    <t>🌐Medio de comunicación para todos los que quieren y necesitan tener las claves del mundo en sus manos. Atalayar es el puente de entendimiento entre culturas</t>
  </si>
  <si>
    <t>Argentina. Diputada Nacional. Abogada. Candidata a Vicepresidente de la Nación con Milei. Presidente @celtyv Presidente honoraria @oidmortales_arg🇦🇷</t>
  </si>
  <si>
    <t>🏷 Denme la libertad o denme la muerte 🏷️ No soy Javier Milei (Cuenta Fan)</t>
  </si>
  <si>
    <t>A notícia que rende.</t>
  </si>
  <si>
    <t>Trade,Tatame&amp;Tempo... Sigo aprendendo !!!</t>
  </si>
  <si>
    <t>Música e informação da melhor qualidade! 🎼🎤 FM 105,3 #juizdefora</t>
  </si>
  <si>
    <t>Fluente em sarcasmo, deboche e ironia</t>
  </si>
  <si>
    <t>Candidato a Deputado Federal, Nascido em Itapeva-SP, moro no DF, casado com a @MarianaGeminia1 tenho dois filhos, Nacionalista, Economista e Servidor Público.</t>
  </si>
  <si>
    <t>CSPB é uma entidade civil, sem fins lucrativos, exclusivamente sindical, representativa da Categoria Profissional Servidor Público Civil, dos três níveis.</t>
  </si>
  <si>
    <t>Associate professor at Economics Department of University of Brasilia and of the graduate program of economic integration of the University of Basque Country.</t>
  </si>
  <si>
    <t>Perfil oficial da Assembleia Legislativa do Estado de São Paulo no Twitter. Siga e dê sua opinião :)</t>
  </si>
  <si>
    <t>Tratando de actuar contra los males, en general.</t>
  </si>
  <si>
    <t>reformulando</t>
  </si>
  <si>
    <t>perfil do site socialista morena.           para seguir a editora: @cynaramenezes</t>
  </si>
  <si>
    <t>Síguenos en Facebook 📲https://t.co/Qzpd2EQWvJ</t>
  </si>
  <si>
    <t>Publicitário e amante do cinema</t>
  </si>
  <si>
    <t>Administradora| Finanças| Investimentos| Empresária| Vascaína 💢🌈| Amo Rap e memes💙| Contato :comercial@nathfinancas.com</t>
  </si>
  <si>
    <t>Sólo grandes canciones. 88.5 en Santiago.</t>
  </si>
  <si>
    <t>Seu maior site de notícias da região.</t>
  </si>
  <si>
    <t>RiskMathics, el instituto a de capacitación financiera especializada más importante de México y LatAm.</t>
  </si>
  <si>
    <t>Periódico digital 💻 que te mantiene informado de los hechos y acontecimientos 📲 que acontecen en República Dominicana 📌 y el mundo 🌍</t>
  </si>
  <si>
    <t>Medio de comunicación independiente. Tu voz, nuestra razón de ser.</t>
  </si>
  <si>
    <t>Trabalhando para ser um homem livre!</t>
  </si>
  <si>
    <t>humano</t>
  </si>
  <si>
    <t>Nossa missão é alcançar e criar espaços para as grandes e pequenas comunidades, que hoje fazem parte do "mundo da informação" na internet.</t>
  </si>
  <si>
    <t>Somos uma consultoria especializada em Comércio Internacional e Relações Governamentais. Acreditamos que a multidisciplinaridade amplia as chances de sucesso.</t>
  </si>
  <si>
    <t>Guía de negocios y de información oportuna al empresario de hoy, para estar al tanto con las tendencias de negocios, y las dinámicas de mercado.</t>
  </si>
  <si>
    <t>Aracatiense no meio do #Brasil, lutando por um país mais humano!
#JailBolsonaro</t>
  </si>
  <si>
    <t>Desenvolvimento de Sites, Hospedagem de sites, criação de logotipos, SEO otimização de sites nos buscadores, marketing na web</t>
  </si>
  <si>
    <t>Powering The Project Economy™ 📲 #PMIRD #ProjectEconomy</t>
  </si>
  <si>
    <t>Periodista, escritora, guionista. Amante de la lectura, de la vida y los buenos momentos con los amigos y la familia.</t>
  </si>
  <si>
    <t>Assessor de investimentos @investimentosjb, casado com Mônica Muniz, cristão, economista, corinthiano e entusiasta de ciência política!!!</t>
  </si>
  <si>
    <t>Maior grupo de segurança privada do Brasil.
Garantimos a segurança das pessoas, empresas e a sociedade. 
Presente em todo o território nacional e + 20 países 🌍</t>
  </si>
  <si>
    <t>🔻Geminiano</t>
  </si>
  <si>
    <t>JOSÉ RUBENS VICARI. Administrador de empresas pela Fundação Getúlio Vargas de São Paulo. Pós graduado em Finanças pela FGV. MBA em Governança Corporativa.</t>
  </si>
  <si>
    <t>Agora ficou mais fácil ter acesso a notícias sobre a política da Zona Mata Sul e do Estado de Pernambuco. Acesse:
https://t.co/YXEsNDm4en</t>
  </si>
  <si>
    <t>Deputado federal, presidente do Partido Progressistas em Pernambuco</t>
  </si>
  <si>
    <t>Una cuestión de Evolución.
Jamaica1979 
\*https://t.co/lCeX6zE5uH*/</t>
  </si>
  <si>
    <t>Nerd born and bred. Global village citizen. Re derecha. Totally latina, torn between Chile,Peru and the www. Believe in the power of information &amp; karma.</t>
  </si>
  <si>
    <t>In God &amp; vol we trust!
Administração Unisinos, MBA em Mercado de Capitais FSG. Futebol, Finanças e política (sem ter político de estimação ou ser isentão)</t>
  </si>
  <si>
    <t>La voz de todos</t>
  </si>
  <si>
    <t>La Asociación de Bancos Múltiples de la República Dominicana, entidad que reúne a los bancos de servicios múltiples que operan en el país.</t>
  </si>
  <si>
    <t>Cooperativa de Ahorro y Crédito. #CooperandoSomosMás</t>
  </si>
  <si>
    <t>70 años informando sobre Bolivia y el mundo. Estamos conectados las 24 horas, todos los días del año.</t>
  </si>
  <si>
    <t>Consultoria em Negócios Digitais / Inbound Marketing / SEO / Gestao de Redes Sociais e Vendas Online</t>
  </si>
  <si>
    <t>A direita defende a democracia e a liberdade ,como valores fundamentais da constituição...
🙏 Deus  🇧🇷 pátria 👪 família 🗽 liberdade ➡️ Direita</t>
  </si>
  <si>
    <t>Medio de comunicación oficial de La Araucanía.
Objetivos, transparentes y certeros.
Instagram: novena_digital
Facebook: Novena Digital</t>
  </si>
  <si>
    <t>Periodista - Digital Marketing Manager 
Radio Urbe 97.3 y AM Líder 1540
This is the best part..the moment before it starts.</t>
  </si>
  <si>
    <t>📱💻 Informate rápido, pero informate bien.</t>
  </si>
  <si>
    <t>OtraNO: Sígueme XQ No PuedoSeguir+: Entrevists ÍtalChile TempoDiParlare PeriodisProfeUni Tenis Bater Desing Hermetist Turism PapáDesCentraliza DemocraciaDirecta</t>
  </si>
  <si>
    <t>Quadrinista amador do Paladino do Cerrado e Fogofátuo. Amante de todos os jogos da Blizzard, Nerd</t>
  </si>
  <si>
    <t>Si lo viste aquí... Es importante</t>
  </si>
  <si>
    <t>Advogado. Engenheiro de Software</t>
  </si>
  <si>
    <t>Instagram @dalviomachava</t>
  </si>
  <si>
    <t>https://t.co/OidJNPKObz 👈 grupo de debate información, libros, entre otras cosas únete ya. Para evadir la censura 💪</t>
  </si>
  <si>
    <t>there's more than one way to do it</t>
  </si>
  <si>
    <t>Venezolana 🇻🇪 | Comunicadora Social (PhD) | Profesora universitaria | Dirigente político | Demócrata 💯</t>
  </si>
  <si>
    <t>Promovemos la libertad individual, la eficiencia económica y la justicia social.🇪🇨                               
 👉 #MasMercadoMejorEstado</t>
  </si>
  <si>
    <t>Todas las drogas del mundo no nos salvarán de nosotros mismos 💀</t>
  </si>
  <si>
    <t>Engenheiro agrônomo (ESAM/UFERSA), especialista em gestão ambiental (FALC) e mestre em planejamento e dinâmicas territoriais (UERN).
Gerente na ANATER/MDA</t>
  </si>
  <si>
    <t>A mais completa e admirada cobertura de economia, negócios e finanças. Notícias que geram negócios.</t>
  </si>
  <si>
    <t>Photographer. Sometimes, DJ</t>
  </si>
  <si>
    <t>A ISTOÉ Dinheiro é uma plataforma de informação sobre economia, negócios, finanças, tecnologia e investimentos.</t>
  </si>
  <si>
    <t>#CRECE (Coalición Republicana Estatal Común de Esquerdas)</t>
  </si>
  <si>
    <t>Argentino por siempre. Tengo 55 años. 
Profesor en Educación Tecnológica e Informática 🇦🇷🐱
💙💛💙 #SoyDel42 #MMNoSeToca #ahora 🦆🇦🇷</t>
  </si>
  <si>
    <t>Abogado, Periodista. Analista Político. Conductor Noticiero LN+ de 18 a 20.                      Conductor Radio Mitre de 6 a 10. https://t.co/dMEwayPrRg</t>
  </si>
  <si>
    <t>Doctora en Ciencias Políticas y candidata a presidente de la Nación. Orgullosa de mis nietos. Con la fuerza que hace falta para ordenar el país.</t>
  </si>
  <si>
    <t>Notícias sobre o mundo mobile, celulares, vídeos, fotos, reviews e os melhores preços da internet.
Todas as redes sociais: https://t.co/pdbjfaJgD9</t>
  </si>
  <si>
    <t>Nosso papel é gerar conhecimento e informação técnica, por meio de inteligência analítica e de dados, para subsidiar a tomada de decisão e desenvilvimento do ES</t>
  </si>
  <si>
    <t>De vendedor de Picolé na praia de Itapuã, sempre crescendo, Economista Empresário Youtuber Pescador</t>
  </si>
  <si>
    <t>Pensar Piauí, pretende, como o nome diz,  pensar as coisas do Piauí e do Brasil sob a ótica da esquerda.</t>
  </si>
  <si>
    <t>🇦🇷 Política | Economía | Deportes | Nacionales | Internacionales | Cultura | Placer.
🌎 #elpaisdiario #Argentina  WhatsApp: +5492644727872</t>
  </si>
  <si>
    <t>Singer- Guitarist, Mexican based in Mexico, Tigre de Corazón 🐯#DinastiaTigre. @TheWarningBand2 my favorite band. Libertarian. Performing every weekend 🎤 🎸</t>
  </si>
  <si>
    <t>#RxM
@PLibertarioMx 
@Mex_Libertario 
#ElFuturoEsLibertario
#ThinkFreedom
#NiUnVotoAMorena2024
#XochitlVa</t>
  </si>
  <si>
    <t>#Libertario Minarquista
Eterno Aprendiz
Apoyo #RxM @Mex_Libertario y la creacion del @PLibertarioMX
#ElFuturoEsLibertario #ThinkFreedom
#PensarLibertad</t>
  </si>
  <si>
    <t>Centro de investigación sobre Libertad individual, propiedad privada, responsabilidad personal y no agresión. Web: https://t.co/ZeXV8x6IEC</t>
  </si>
  <si>
    <t>Creo en el poder de la empatía y el amor. E igualmente creo en la justicia y la libertad. #Libertaria #Prochoice @FeminismoOrigi1 #Antisocialismo #Prolibertad</t>
  </si>
  <si>
    <t>Professor e Historiador, Casado e Torcedor do Ceará. Ciclista por paixão, esquerdista por convicção!</t>
  </si>
  <si>
    <t>Associação Brasileira de Internet</t>
  </si>
  <si>
    <t>Programa de educación financiera del Banco Central de Chile</t>
  </si>
  <si>
    <t>Cuando hay ganas se nota,y cuando no mucho más</t>
  </si>
  <si>
    <t>Periodista 🗒️🎙️📺
#PPT @radiomitre . Economía - Finanzas personales 👜💲 
Veo menos q Mr.Magoo 🤓
https://t.co/fcPkop4ocr</t>
  </si>
  <si>
    <t>Sitio de LRF 210 Radio 3 - AM 780 Cadena Patagonia 📻 desde Trelew.
En Esquel: AM 1200 y Amanecer FM 88.1.
Lago Puelo y Comarca Andina: 104.1 FM Del Bosque.</t>
  </si>
  <si>
    <t>🤖🤳</t>
  </si>
  <si>
    <t>Professor de Geografia</t>
  </si>
  <si>
    <t>Com passagem pelo Diário de Natal, UFRN, Novo Jornal, OP9, 98FM e  Tribuna do Norte | Perfil pessoal | RT pode ser endosso ou ironia</t>
  </si>
  <si>
    <t>Promovemos el desarrollo y el acceso al mercado de capitales costarricense, para contribuir al crecimiento económico.</t>
  </si>
  <si>
    <t>Sérgio Dal Sasso: Palestrante, empresário, consultor e escritor (Administração,Empreendedorismo,liderança,carreiras e negócios)</t>
  </si>
  <si>
    <t>Express Diario | Tu fuente de noticias frescas y veraces
Si lo leyó aquí es porque está sucediendo
contacto@expressdiario.com</t>
  </si>
  <si>
    <t>🤯 Últimas noticias #cripto | Contenido de aprendizaje 📚 #DeFi 🚀 Fintech | #Bitcoin | BlockChain 🔗 🤓 síguenos en https://t.co/BLSDYg42vR</t>
  </si>
  <si>
    <t>The official account of the Bank of Japan. It provides updates on new releases and, when necessary, as in cases of emergency, communicates the Bank's messages.</t>
  </si>
  <si>
    <t>The official Twitter channel of the Board of Governors of the Federal Reserve System. Privacy Policy: http://t.co/pbRRCfwyou</t>
  </si>
  <si>
    <t>The American Bankers Association is the banking industry's champion. #AmericasBanks are helping the nation thrive—delivering jobs, growth, safety &amp; convenience.</t>
  </si>
  <si>
    <t>Promoting global monetary &amp; financial stability since 1930 - - - - Join us @BIS_org_jobs</t>
  </si>
  <si>
    <t>Filha de Deus, mulher leal e com o propósito de ser feliz fazendo o meu melhor, simplesmente!</t>
  </si>
  <si>
    <t>#GenteBoa #Astronauta 
(vive no mundo da Lua) 👨🏻‍🚀</t>
  </si>
  <si>
    <t>Padeiro, Cozinheiro, fotografo, contador e empreendedor. Dono de uma pequena padoca artesanal com a minha esposa!</t>
  </si>
  <si>
    <t>Um banco completo no Brasil e no mundo, com tudo em um só app.</t>
  </si>
  <si>
    <t>Editor de la publicación de economía y política @AnalisisSemanal y columnista de la @RevistaVistazo. Ser libres para pensar y actuar ¡RAZÓN Y LIBERTAD!</t>
  </si>
  <si>
    <t>📻 Radio líder en información sobre #economía #finanzas, #mercados y #criptomonedas 📈
Síguenos también en Telegram 📲 https://t.co/kWSKcVqfcj…</t>
  </si>
  <si>
    <t>Un largo camino a casa.</t>
  </si>
  <si>
    <t>Cuenta oficial de Twitter de Forbes Chile #LeerlaEsNegocio</t>
  </si>
  <si>
    <t>Política e variedades</t>
  </si>
  <si>
    <t>Notícias atuais e relevantes do Brasil e do mundo, e também do setor financeiro e político | Jornal Impresso e Digital 
Conheça nosso site ⬇️</t>
  </si>
  <si>
    <t>J store &amp; Fix Multiservice Lda. &amp; Santorini Restaurante e Bar</t>
  </si>
  <si>
    <t>Se preferir, clique no link abaixo do nosso perfil no VK</t>
  </si>
  <si>
    <t>Contador</t>
  </si>
  <si>
    <t>Noticias de #Tucuman y el #Mundo</t>
  </si>
  <si>
    <t>🗞 Los vecinos, el barrio, la Ciudad, la Provincia
Todos juntos en un diario online que mira y cuenta lo que importa.
IG https://t.co/ZsfVEcKINC</t>
  </si>
  <si>
    <t>Aconteceu #tanomiseria 📰 Portal de Notícias📱 Insta: https://t.co/WCBDPjfmlj | Face: https://t.co/iv7FQ0lFhZ</t>
  </si>
  <si>
    <t>Twitter do site Economia &amp; Negócios do Estadão</t>
  </si>
  <si>
    <t>Forex e outras coisas</t>
  </si>
  <si>
    <t>Los Mejores Cajeros de #Bitcoin #BitcoinATM en España | Compra | Vende #BTC en 𝐖𝐞𝐞𝐱 | Transacciones Seguras| Privadas| Inmediatas| Directas a tu #Wallet</t>
  </si>
  <si>
    <t>Buscamos las noticias más relevantes de los mejores medios de comunicación del mundo. 
No queremos tu click... queremos que te informes.</t>
  </si>
  <si>
    <t>I engage in #problemsolving, #decisionmaking. I pursue self-learning about #information, #technology, #economy and the connections among them. Views are my own.</t>
  </si>
  <si>
    <t>💡Publicitário 
🗨 Marketing de Relacionamento, Propósito e Humanizado</t>
  </si>
  <si>
    <t>Original e PicPay. Mais poder para o seu dinheiro, mais facilidade para você.</t>
  </si>
  <si>
    <t>Programa Agropecuario de TV - Conduce: Iván Bettini - @ibettini - Programa: Sábados 12 hs. por Telefe Córdoba, Facebook: Campo Directo</t>
  </si>
  <si>
    <t>Cidadão Brasileiro 🇧🇷
1.8y
InFo Mercado | 
Acionista de sistema e recursos recebíveis.</t>
  </si>
  <si>
    <t>Conta oficial do Jornalismo da Rede Vitória de Comunicação 📻🎥📱</t>
  </si>
  <si>
    <t>www.sigamais.com</t>
  </si>
  <si>
    <t>Lacaz Martins, Pereira Neto, Gurevich &amp; Schoueri é um escritório de advocacia empresarial com atuação em todos os ramos do direito.</t>
  </si>
  <si>
    <t>Segurança da Informação - _x000D_
A SAFEWAY possui uma visão em soluções de segurança diretamente focada nos negócios dos clientes.</t>
  </si>
  <si>
    <t>A vida é preciosa em suas mais variadas facetas. Esse espaço é uma humilde miscelânea semelhante à roda viva da Existência. Curta e participe.</t>
  </si>
  <si>
    <t>#SP500 #NAS100 #DJ30 #bitcoin #Etherium #Litecoin Arquitecto, Viva la Libertad de expresión</t>
  </si>
  <si>
    <t>Cuenta twitter del grupo Facebook Boric Estamos Contigo. Este grupo apoya al Presidente Boric y difunde su gobierno, no percibimos dinero de nadie</t>
  </si>
  <si>
    <t>Sinapticas is an initiative designed as a digital space for the creation and sharing of essays/articles and research.</t>
  </si>
  <si>
    <t>Informacion sobre medios de pagos e infraestructuras del mercado finaciero como elemento esencial para el buen funcionamiento de la economía en Chile</t>
  </si>
  <si>
    <t>Compartilhamos postagens de formadores de opinião, mesmo que não sejam nosso pensamento.</t>
  </si>
  <si>
    <t>Impulsamos el buen uso del español en los medios de comunicación. Una iniciativa de @FiileRosario en conjunto con @Fundeu.</t>
  </si>
  <si>
    <t>PT é uma facção criminosa disfarçada de partido político, dever de todo cidadão de bem combater esses criminosos, e ajudar a expulsá-los da polícia nacional ‼️</t>
  </si>
  <si>
    <t>🌍𝗟𝗮𝘀 𝗺𝗲𝗷𝗼𝗿𝗲𝘀 𝘆 𝗺𝗮𝘀 𝗮𝗰𝘁𝘂𝗮𝗹𝗶𝘇𝗮𝗱𝗮𝘀 𝗻𝗼𝘁𝗶𝗰𝗶𝗮𝘀 𝗳𝗶𝗻𝗮𝗻𝗰𝗶𝗲𝗿𝗮𝘀⚡️𝙎𝙞𝙜𝙪𝙚𝙣𝙤𝙨➡️
𝐓𝐞𝐥𝐞𝐠𝐫𝐚𝐦:https://t.co/YZEAKppJ3o</t>
  </si>
  <si>
    <t>Youtuber estressado, ativista político de esquerda e formado em História</t>
  </si>
  <si>
    <t>Portal de Notícia e Entretenimento</t>
  </si>
  <si>
    <t>DeFi, Trade, Stocks, BTC, ETH, Options, Advertising, Soccer, Music and Silence too.</t>
  </si>
  <si>
    <t>O principal portal financeiro que oferece cotações em tempo real, gráficos streaming, notícias financeiras atualizadas, análises técnicas e mais.</t>
  </si>
  <si>
    <t>Cuenta oficial de la carrera de Contador Público de la Universidad de Palermo - Argentina</t>
  </si>
  <si>
    <t>O Sindicato dos Bancários de Umuarama, Assis Chateaubriand e Região representa mais de 500 bancários(as) de 29 municípios das regiões Oeste e Noroeste do Paraná</t>
  </si>
  <si>
    <t>Periodismo con identidad</t>
  </si>
  <si>
    <t>¡Cuenta oficial de Postgrados Universidad Autónoma!
🎓 Magísteres
🦷 Especialidades Odontologicas
📜 Diplomados
📖 Cursos
📍 Santiago - Talca - Temuco</t>
  </si>
  <si>
    <t>Mantente informado al instante en https://t.co/PTo5rIBCJR ¿Tienes alguna denuncia? Escríbenos al +56958300316 🧐</t>
  </si>
  <si>
    <t>A melhor cobertura jornalista sobre mercado financeiro do Brasil 📰💼
Insides, notícias e educação financeira!</t>
  </si>
  <si>
    <t>Graduado em Engenharia Industrial Eletrica
Pós Graduado em Engenharia de  Telecomunicações
Consultor Business Intelligence</t>
  </si>
  <si>
    <t>Tecnología y más.</t>
  </si>
  <si>
    <t>Trader | #Crypto | Opiniones personales | Noticias Criptos | Binance Feed Creator | Únete a nuestras comunidades: https://t.co/dXuXhjUi21</t>
  </si>
  <si>
    <t>Conteudo ADULTO e POLITICO. Curiosos vão  a merda.
principalmente  os falsos  moralistas.  #DETALHE  a propaganda  é  a  alma do negócio.</t>
  </si>
  <si>
    <t>Java System Analyst at @TOTVS</t>
  </si>
  <si>
    <t>Stability • Integrity • Pride
Peronismo, la Piedra Fundacional de la decadencia argentina. 
"Podrán quitarnos la vida, pero jamás nos quitarán la libertad".</t>
  </si>
  <si>
    <t>01000110 01101001 01101100 01100101 01101101 01101111 01101101</t>
  </si>
  <si>
    <t>Soy de la región del BioBio..._x000D_
_x000D_
Me gusta mantenerme informado de lo que acontece en mi pais y el mundo...</t>
  </si>
  <si>
    <t>SCHOPDOG. Un lugar diferente.</t>
  </si>
  <si>
    <t>Nuestra mirada, nuestra región.</t>
  </si>
  <si>
    <t>El Diario de Negocios Independiente de Chile. Síguenos en Instagram https://t.co/JDWArzfGXF…</t>
  </si>
  <si>
    <t>📰Te contamos lo que pasa de una forma distinta
📲WhatsApp 2664977468
😉#ConectadosEsMejor</t>
  </si>
  <si>
    <t>A D D I C T E D T O A R T 🤣</t>
  </si>
  <si>
    <t>Portal de Noticias https://t.co/Yav1QQMAJs</t>
  </si>
  <si>
    <t>sócio e gerente na @oramainvest</t>
  </si>
  <si>
    <t>Orgullosamente Ecuatoriana 🇪🇨 alegre, romántica ❤, enamorada de la vida y el amor, el deporte, la lectura, la playa, salsita 🎶, viajar y más...🥰🏖✈</t>
  </si>
  <si>
    <t>Twitter oficial del periódico Primera Página de Argentina. Desde La Plata para toda la Provincia de Buenos Aires.
https://t.co/aZqp8rcsPH</t>
  </si>
  <si>
    <t>Si estas leyendo esto deberías estar viendo mi canal...
https://t.co/EAB2oUrf7f</t>
  </si>
  <si>
    <t>Um jornal que cobre o leste fluminense com tantinho de Brasil e de mundo.</t>
  </si>
  <si>
    <t>Revista digital de reflexión sobre actualidad latinoamericana desde una perspectiva profunda, a la luz de la Doctrina Social de la Iglesia.</t>
  </si>
  <si>
    <t>Mirá, leé y mantente informado a toda hora con #MediosRioja🌎
Envíanos un #Whatsapp📲 con tu imagen, audio o video y lo hacemos noticia!
➡️3804 - 801517⬅️</t>
  </si>
  <si>
    <t>O portal de notícias de São Paulo</t>
  </si>
  <si>
    <t>Desculpe o auê!
Since 2008 (perdi a conta antiga)</t>
  </si>
  <si>
    <t>Freelance photographer, adventurer, story collector, lover of bitter mate, cold beer and starry nights by fire with guitars and friends
Since 1991</t>
  </si>
  <si>
    <t>Medio de #logística y #comercioexterior. #Gestión de #comunicación; #publicidad y #marketing gestion@mascontainer.com 🚚🚊✈️🚢</t>
  </si>
  <si>
    <t>Somos um site de educação financeira e nosso foco é te ensinar a investir 📊
Invista em aprender com os melhores. Inscreva-se na Money Week 👇🏻</t>
  </si>
  <si>
    <t>Conta Oficial</t>
  </si>
  <si>
    <t>A Fluir foi criada em 2008, com a proposta de atuar na assessoria econômica e financeira das pequenas e médias empresas. Finanças, Investimentos e Treinamento.</t>
  </si>
  <si>
    <t>https://t.co/8s54dEXo3w - Toda la información oficial en un solo lugar.
Envíanos tus notas de prensa a info@paginauno.do</t>
  </si>
  <si>
    <t>Cuenta Oficial de la Superintendencia del Mercado de Valores de la República Dominicana. Regulamos, Supervisamos y Promovemos el Mercado de Valores de RD</t>
  </si>
  <si>
    <t>Educação Financeira de forma descomplicada e ao alcance de todos!
Ações, FII, Altcoins, NFT.
Trading, Price Action.</t>
  </si>
  <si>
    <t>Vzlano. 🇻🇪 Doctor en Historia, especializado en Relaciones Internacionales.
Miembro del Foro de Madrid.</t>
  </si>
  <si>
    <t>LIBERAL REPUBLICANO</t>
  </si>
  <si>
    <t>▶️ #Noticias sobre #Turquia y #Eurasia en español
🇬🇧  English: https://t.co/pJEhSz42nb
¿Nos invitas a un café turco? 💗 https://t.co/Oj9DmOcQ2A</t>
  </si>
  <si>
    <t>Sitio web de noticias y medios de comunicacion 
💰📈Especializacion en economia y inversiones financieras</t>
  </si>
  <si>
    <t>Economísta (UBA), C Publico (UBA), Maestrando Políticas Económicas (UBA ), C5N , ÁMBITO FINANCIERO, director  SIGMA GLOBAL.</t>
  </si>
  <si>
    <t>Periodista Independiente d Redes c Opinión - Pensar q a veces somos felices y d pronto la Vida te da un Lupus, te quita una hija y mil más
Amo mi Mundo Twitero</t>
  </si>
  <si>
    <t>Queagito é um portal de notícias e eventos com coberturas realizadas em 14 estados, com sede em Eunápolis-BA. #Queagito</t>
  </si>
  <si>
    <t>El Canal de TV Público de la Ciudad de Buenos Aires.</t>
  </si>
  <si>
    <t>Pai e avô orgulhoso, marido apaixonado, médico e homem público. Quatro vezes governador de SP. Vice-presidente do Brasil e ministro do Desenvolvimento.</t>
  </si>
  <si>
    <t>💻🎓 #UNIR, la #Universidad en Internet 
➡https://t.co/ow6r9lEZg7 
➡https://t.co/mGCUHbcSUI
📲 Sigue y comparte con #UNIRalumni y #YoSoyUNIR</t>
  </si>
  <si>
    <t>Desde 1990 un espacio para pensar la #Cultura, las #Humanidades, la #Ciencia, el #Arte y la #Política. Publicación de @UNIRuniversidad</t>
  </si>
  <si>
    <t>La mayor universidad presencial de España, con la mejor oferta educativa. En Madrid, rodeada de zonas verdes y con una intensa vida cultural y deportiva.</t>
  </si>
  <si>
    <t>El Banco de España es el banco central nacional y, en el marco del Mecanismo Único de Supervisión, el supervisor del sistema bancario español junto al BCE</t>
  </si>
  <si>
    <t>O Sindicato dos Engenheiros no Estado de São Paulo é uma entidade em defesa da categoria, da profissão e do desenvolvimento sustentável com inclusão social.</t>
  </si>
  <si>
    <t>Escritor Argentino</t>
  </si>
  <si>
    <t>Creador de contenido, escritor, Gran Caballero consejo 1891 KofC, autor Intento global para redefinir la familia y fundador de CEUEER Estudios UNIDAD</t>
  </si>
  <si>
    <t>¡El primero en noticias! 📝Portal digital comprometido con el periodismo responsable.</t>
  </si>
  <si>
    <t>Jornalismo independente em defesa da Democracia e Direitos Humanos.</t>
  </si>
  <si>
    <t>Economista, escritor, autor do livro “O Brasil não cabe no quintal de ninguém”. Foi vice-presidente do Novo Banco de Desenvolvimento estabelecido pelos Brics.</t>
  </si>
  <si>
    <t>Lic. Ciencias de la Comunicación Social, especialidad periodismo digital.
Dir. canal Digital https://t.co/S0gesIxAxn, https://t.co/frFvwaJt6l, Cibao Despierta</t>
  </si>
  <si>
    <t>De la patagonia al mundo 📍🌎</t>
  </si>
  <si>
    <t>Turismólogo | Jornalista | Graduation in Tourism - Postgraduate in Teaching Methodology in Higher Education Nas “quatro linhas” com @fluminensefc e @packers</t>
  </si>
  <si>
    <t>O jornal Diário de Goiás é publicação digital independente com informação e análise dos fatos. Publicado desde 2012. Visite o https://t.co/LOHq4fDK2E</t>
  </si>
  <si>
    <t>📍 Sou Cientista Social. Fui prefeito de Maricá por 8 anos | Vice-Presidente do PT | Deputado Federal</t>
  </si>
  <si>
    <t>Be Happy</t>
  </si>
  <si>
    <t>Professor de Tecnologia.
Sound Designer.
Music Producer at:
✨👽✨
https://t.co/eVhJP3PHF8
https://t.co/Na1XE0MAzD
.
#LulaPresidente2022</t>
  </si>
  <si>
    <t>"Que a sua capacidade de se encantar com a vida jamais adormeça!" GAÚCHA!🇧🇷🇧🇷🤗 #JuntosSomosMaisFortes  
 #AcordaRioGrande #AcordaBRASIL 🇧🇷
💚💛</t>
  </si>
  <si>
    <t>🙅🏼‍♂️ Cripto ₿ e Finanças Pessoais 
🧠 Educação Financeira
📧 Israel@israelpimentel.com.br</t>
  </si>
  <si>
    <t>jornalismo, mercado financeiro e tudo que envolve cenário econômico.</t>
  </si>
  <si>
    <t>Farmacêutico Químico industrial, amante da musica e do futebol com as mãos e com os pés, cristão e aprendiz de investidor.
#GoHawks
#AvantePalestra
#B3</t>
  </si>
  <si>
    <t>Medios Despertar Nacional https://t.co/sSWFeOQhDl</t>
  </si>
  <si>
    <t>Sitio oficial de la Revista Informativa. El programa de opinión más influyente de la Radio.   Democracia 920 AM y EXA 92.5 FM
https://t.co/wLZrjWkGAy</t>
  </si>
  <si>
    <t>No hay progreso sin libertad, justicia, democracia y creación de riqueza</t>
  </si>
  <si>
    <t>🏦 +13 anos no mercado financeiro, Administrador, Professor.</t>
  </si>
  <si>
    <t>COO at Transfero Group</t>
  </si>
  <si>
    <t>BRASIL É cconservador ... Direita Conservador. Brasil SEMPRE...</t>
  </si>
  <si>
    <t>Pai, marido, empresário, empreendedor. Filho de Portugal. Renascido no Brasil!</t>
  </si>
  <si>
    <t>Economista PUCP. MSc LSE. Prof Finanzas Públicas PUCP, Política Fiscal e Impuestos ULima.
Político Partido Morado.
He sido vicepdte BCRP, pdte BN, Jefe de SUNAT</t>
  </si>
  <si>
    <t>: ESTUDIOS https://t.co/hM1Putxf3h &amp; https://t.co/xuwQWUMhk3 / FUNCIONARIO nueve años / CONSULTOR once años / CATEDRATICO doce años</t>
  </si>
  <si>
    <t>Citações de @FONSECAFARO, com TODOS direitos autorais reservados, nos termos da legislação nacional e internacional.</t>
  </si>
  <si>
    <t>Cuenta oficial del diario de la gente bien informada. https://t.co/nf35elJaCN</t>
  </si>
  <si>
    <t>Cuenta oficial del diario #ElTribuno. Seguinos también Instagram @eltribunosalta. En Facebook: El Tribuno Salta. Wpp: 3874749361</t>
  </si>
  <si>
    <t>Diario Digital de San Luis</t>
  </si>
  <si>
    <t>Magister en critica de cine.</t>
  </si>
  <si>
    <t>Portal de notícias do Sul Fluminense.
Há seis anos ajudando a escrever a história da nossa região.</t>
  </si>
  <si>
    <t>Cuide bem de ti, és tudo que tens❤️.</t>
  </si>
  <si>
    <t>Conectada com você! Música, tecnologia, notícias, informação, esportes e variedades.</t>
  </si>
  <si>
    <t>Mineira/Adm/Esquerdista.
Compartilhar mídia alternativa em protesto ao PIG (Partido da Imprensa Golpista), que joga com as informações conforme seus interesses!</t>
  </si>
  <si>
    <t>Amo meu trabalho, boa comida e reuniões com amigos. Carros e MOTOCICLETA. Administrador, palestrante, consultor, marido, pai e Professor.</t>
  </si>
  <si>
    <t>My blog and clothes</t>
  </si>
  <si>
    <t>Periodista y Abogado. Cristiano seguidor de Nuestro Señor Jesucristo, creyente del Todopoderoso y de su Ley. Defensor de los pobres y original en mis ideas.</t>
  </si>
  <si>
    <t>Antisocial. Soy de izquierda  y soy patriota.  Amo a Chile, y más aún amo a su pueblo🇨🇱🇨🇱🇨🇱</t>
  </si>
  <si>
    <t>📍Deputado Federal PT - PR
📍Líder da bancada do PT na Câmara dos Deputados
📲 Zap do Zeca: (44) 9 8809-7778</t>
  </si>
  <si>
    <t>Presidente do Sindicato dos Metalúrgicos do ABC</t>
  </si>
  <si>
    <t>Feminista ♀️💄
Lulista 1️⃣3️⃣🚩⭐️
Democrata ⚖️🇧🇷
Antimachista 🚫♂️
Antifascista🚫🏴‍☠️
⚠️SIGO DE VOLTA TODOS QUE ME SEGUEM!⚠️</t>
  </si>
  <si>
    <t>Twitter Oficial da Folha do Condomínio OnLine, jornal digital que informa via mídias, redes sociais e e-mails condôminos residenciais, comerciais e síndicos.</t>
  </si>
  <si>
    <t>Desenvolvemos ESTRATÉGIAS DE COMUNICAÇÃO, com a produção de conteúdo, influenciando os públicos-alvo, através de Notícias e das Redes Sociais.</t>
  </si>
  <si>
    <t>Jornal multiplataforma</t>
  </si>
  <si>
    <t>...hemos descubierto el infinito efecto de la infinita causa (...) y sabemos que no hay que buscar la divinidad lejos de nosotros...</t>
  </si>
  <si>
    <t>SEGUIME SI BANCAS AL EQUIPO DE MILEI &amp; VILLARRUEL
y no olvides que Los Impuestos son un Robo. FIN</t>
  </si>
  <si>
    <t>Seu portal de notícias Contábeis</t>
  </si>
  <si>
    <t>conservador, amo meu país.</t>
  </si>
  <si>
    <t>Análisis técnico, noticias financieras, ideas de inversión y más.
🟠SIGUEME TAMBIEN EN YOUTUBE</t>
  </si>
  <si>
    <t>Doutor em Ciências Contábeis pela UNISINOS-RS</t>
  </si>
  <si>
    <t>Informações sobre o atual estágio da República Ditatorial do Brasil.
Enquanto o governo deixar, estaremos aqui pra te lembrar.
#DitaduraBrasileira #Ditadura</t>
  </si>
  <si>
    <t>O maior Movimento de Direita em Sergipe. Comprometidos com uma agenda liberal e conservadora. Juntos mudaremos Sergipe e o Brasil.</t>
  </si>
  <si>
    <t>Programa de televisión dirigido por los destacados comunicadores Ricardo Nieves, Domingo Páez y Héctor Guerrero Heredia.</t>
  </si>
  <si>
    <t>Todas las noticias e información del Campo de Argentina y Latinoamérica.</t>
  </si>
  <si>
    <t>Consultor en Macroeconomía, corredor y tenista aficionado, que da lo mejor de sí por los suyos y por un mejor país. Opiniones personales.</t>
  </si>
  <si>
    <t>Economista. Consultor. Contra la venta de humo.
Contando narrativas alternas.</t>
  </si>
  <si>
    <t>Trabajador de Prensa . Monotributista pluriempleado. Jugador de toda la cancha.</t>
  </si>
  <si>
    <t>Dicas para lidar melhor com o seu dinheiro. Investimentos em ações, fundos, poupança? Títulos, análises e notícias setoriais? As melhores informações para você.</t>
  </si>
  <si>
    <t>📊🌍 Twitter exclusivo para análises econômicas e políticas</t>
  </si>
  <si>
    <t>$7%</t>
  </si>
  <si>
    <t>FM Bahía Engaño 104.5 MHz. LRF 398
La Primera emisora de #Rawson Capital del #Chubut.
Escuchanos online https://t.co/7rGWkIrBfb
https://t.co/95VmPJSknT</t>
  </si>
  <si>
    <t>Comunicadora, productora, periodista y secretaria.... Siempre en  búsqueda de trabajo ... escucho ofertas! GRACIAS!!!</t>
  </si>
  <si>
    <t>Quiero Decir es mi diario digital y mucho más, podrás encontrar información, noticias, cuentos y relatos</t>
  </si>
  <si>
    <t>🔰 Deputado Estadual - RS
🎯 Mestre em Economia - UFRGS
🇧🇷 Antipetista &amp; Conservador
📢 Coragem e firmeza que te representam!</t>
  </si>
  <si>
    <t>Since 2003 in Dominican Republic                                      
Estates &amp; Investments</t>
  </si>
  <si>
    <t>Abogado. Derecho de contratos e insolvencia.</t>
  </si>
  <si>
    <t>Jornal https://t.co/CQewZ3FlfZ o Seu portal de informações</t>
  </si>
  <si>
    <t>Bem vindo ao mundo da notícia boa! Somos o 1º portal de jornalismo positivo do Brasil. Comece o dia com notícia boa!!! i instagram @ sonoticiaboaoficial</t>
  </si>
  <si>
    <t>Atleticano; pai orgulhoso, não tenho muito, mas sou feliz com o que tenho!!!Que DEUS nos abençoe hoje e sempre.
Deus abençoe o Clube @Atlético Mineiro...</t>
  </si>
  <si>
    <t>De tudo um pouco</t>
  </si>
  <si>
    <t>Periodista. Corresponsal.</t>
  </si>
  <si>
    <t>Dibujante y escritor. Un chiste diario, un cuento semanal. El Tribuno de Salta, Don Patadon, el Desternillador, Buen Humor, entre otros. #humorgrafico</t>
  </si>
  <si>
    <t>Un programa de periodismo, análisis y conclusiones.</t>
  </si>
  <si>
    <t>🟡 Promuevo la Economía Social y Ecológica de Mercado.
👉 #MasMercadoMejorEstado</t>
  </si>
  <si>
    <t>Positividade ! Nossos complexos são a fonte de nossa fraqueza; mas, com freqüência, são também a fonte de nossa força. '' Freud ''</t>
  </si>
  <si>
    <t>Cuenta oficial de https://t.co/Eb1XUm5EcJ
#sociedad #economia #politica #deportes #cultura #turismo
Sección especial contenido ON DEMAND</t>
  </si>
  <si>
    <t>Portal de Noticias de Chubut</t>
  </si>
  <si>
    <t>Jornal digital: síntese inteligente, sem abreviação. Jornalismo profissional, política e poder, a partir de Brasília.
➡️ Acompanhe no WhatsApp: https://t.co/bkQhbFYgoX</t>
  </si>
  <si>
    <t>El periódico de la verdad. | #DeÚltimoMinuto | Un periódico de Alofoke Media Group</t>
  </si>
  <si>
    <t>Chatolina🔥| Del Valle é Suco, DeuMole é Vapô 🙅🏻‍♀️| #Libriana</t>
  </si>
  <si>
    <t>👁‍🗨 #RadioCanalFormosa una #Radio que se ve 🤩</t>
  </si>
  <si>
    <t>Entusiasta de #Bitcoin e #WEB3.</t>
  </si>
  <si>
    <t>Streamer financiero y Youtuber de 5 canales.
Lic. en kinesiologia. P.F.; Sommelier. Periodista deportivo.
▶Desarrollanding
🔴Caballo mental
🦁Batalla cultural</t>
  </si>
  <si>
    <t>Fundada em 1983, a Enfoque é uma empresa provedora de informações, ferramentas e soluções para o mercado financeiro.
https://t.co/VH96ufg0le</t>
  </si>
  <si>
    <t>Te ayudamos a aumentar tu patrimonio para que puedas lograr tus sueños. Conoce nuestros planes de asesoría financiera personalizada en https://t.co/Pzm4opfNtp</t>
  </si>
  <si>
    <t>Radio DON - Toda la información de Eduardo Castex - La Pampa</t>
  </si>
  <si>
    <t>Ayudamos a las personas a manejar su dinero con éxito.</t>
  </si>
  <si>
    <t>Facebook: https://t.co/fCPj2l3X8i
Instagram:https://t.co/TgHwGdVC85
Telegram:https://t.co/bGau91EFtm</t>
  </si>
  <si>
    <t>Um ninguém em algum lugar tentando ser qualquer coisa❗️❕‼️😎</t>
  </si>
  <si>
    <t>Você nunca sabe a força que tem, até que a sua única alternativa é ser forte.</t>
  </si>
  <si>
    <t>Medio de Comunicación y Estadísticas</t>
  </si>
  <si>
    <t>@laderechadiario has been withheld in globally in response to a legal demand. Learn more.</t>
  </si>
  <si>
    <t>🇦🇷#Argentina. Antiperonista. Antik. 'Si viene del Kirchnerismo, piensa mal y acertarás'.</t>
  </si>
  <si>
    <t>Actor - Comunicador - Productor ejecutivo</t>
  </si>
  <si>
    <t>💻👉La nueva generación del periodismo digital🎥🙌
Posadas, Misiones 📌
#RevistaCodigos</t>
  </si>
  <si>
    <t>Somos un portal líder en noticias de Río Cuarto y todo el sur de Córdoba 🗞📲💻. Te acompañamos con información y análisis.</t>
  </si>
  <si>
    <t>Por um Brasil melhor no futuro.</t>
  </si>
  <si>
    <t>Jornalismo independente!</t>
  </si>
  <si>
    <t>Toda la información política de Bahía Blanca; la zona, provincial, nacional e internacional; en un solo lugar: Bahía Política.</t>
  </si>
  <si>
    <t>Apoyamos los proyectos de inversión de Minera Dominga que generan plazas de trabajo y sustento económico para las familias chilenas.</t>
  </si>
  <si>
    <t>Bienvenidos al Twitter Oficial del Proyecto Dominga. También nos puedes seguir en https://t.co/HePi1hPvUK</t>
  </si>
  <si>
    <t>Jornalismo independente e de qualidade. Receba nossos conteúdos no Telegram 📲 https://t.co/A3F15M52Rb 🫂 Vamos juntos https://t.co/sCjToKeJju</t>
  </si>
  <si>
    <t>Liderança do Partido dos Trabalhadores (PT) na Câmara dos Deputados</t>
  </si>
  <si>
    <t>Educacion Economia Finanzas canal de youtube FINANZAS TRIBUTARIA ECONOMIA - JORGE AVILEZ G https://t.co/0Wp14OEQ7a… SUSCRIBETE</t>
  </si>
  <si>
    <t>Creo en una sociedad sin discriminaciones, en la Libertad y las condiciones para su ejercicio.</t>
  </si>
  <si>
    <t>Feminista. Diputada en PAC, San Miguel, San Ramón,La Cisterna,El Bosque y Lo Espejo. Pdta Comisión de Hacienda @camara_cl, ex Pdta @la_convergencia</t>
  </si>
  <si>
    <t>Diputado Chileno distrito 10. @elfrente_amplio Abogado @uchile Ecosocialista.</t>
  </si>
  <si>
    <t>Renan0404</t>
  </si>
  <si>
    <t>Economês em bom português</t>
  </si>
  <si>
    <t>gracias a Dios ya #Jubilado - #Retirado de trabajar en Houston Texas , si logre el sueño americanoUSA 🙏</t>
  </si>
  <si>
    <t>𝙎𝙞𝙚𝙢𝙥𝙧𝙚 𝙡𝙤𝙨 𝙈𝙞𝙟𝙞𝙣𝙚𝙨 𝙨𝙚𝙧𝙖́𝙣 𝙡𝙤 𝙢𝙖́𝙭𝙞𝙢𝙤</t>
  </si>
  <si>
    <t>More than just simple words!</t>
  </si>
  <si>
    <t>Noticias de Honduras y el mundo...</t>
  </si>
  <si>
    <t>💡CEO e CTO - 2nd Market
💡Uso a tecnologia para mudar a forma como pessoas e empresas adotam e usam criptomoedas no dia a dia.</t>
  </si>
  <si>
    <t>somos uma emissora ecletica em defesa da cultura brasileira</t>
  </si>
  <si>
    <t>Trabajamos todos los días al servicio de la información. Miranos por @canal9televida</t>
  </si>
  <si>
    <t>Portal de notícias da cidade de Betim e região. Programas, reportagens, dicas de eventos e muito mais. #PortalGiraNotícias</t>
  </si>
  <si>
    <t>https://t.co/Bsw371MmWj 💻📲 Somos el diario que marca la diferencia 🌍 📷 https://t.co/KTK47HrEOL Medio de @usach</t>
  </si>
  <si>
    <t>Sábados de 11 a 13 
Radio La red  FM 98.3 https://t.co/bUlf21nWBR
Radio La Red Rosario 98.3</t>
  </si>
  <si>
    <t>Las Mejores Noticias de Temuco, la Novena Región, de Chile y el Mundo, las encuentras acá. Te leemos:    https://t.co/tJIb6fnEu6… ✉️contacto@temucodiario.cl</t>
  </si>
  <si>
    <t>Elena Victoria Contreras Farias
 CHILENA🇨🇱
 🗽Liberal, Minarquista, Capitalista
 apoyo a @DarekMacpherson  🥰</t>
  </si>
  <si>
    <t>Liberal Libertario, Asistente de fiscalización @llibertadavanza</t>
  </si>
  <si>
    <t>Il modo piu sicuro di redere la vita piacevole a noi stessi a renderla piacevoli agli altri.
Gabriela</t>
  </si>
  <si>
    <t>Patriota y amante de Chile 🇨🇱</t>
  </si>
  <si>
    <t>amo a mi hijo. derecha, clara y directa.. YO RECHAZO .!!!💚👮🏼‍♀️🇨🇱</t>
  </si>
  <si>
    <t>𝕏 por la #Libertad. A ratos #SpacesHost</t>
  </si>
  <si>
    <t>Ceo MACPHERSON-GLOBAL. True Research🌍 Egres. Derecho Master Compliance Criminal-Member WCA Assoc. Compliance-Risk Analysis- #Rechazo #Derecha PATRIOTA</t>
  </si>
  <si>
    <t>#Informação e análise jornalísticas com credibilidade, qualidade e agilidade, baseadas nos princípios editoriais do Jornal CORREIO DE MINAS.#ConselheiroLafaiete</t>
  </si>
  <si>
    <t>Develando lo oculto - Periodismo de investigacion independiente 🎙️</t>
  </si>
  <si>
    <t>Especialista em redes sociais</t>
  </si>
  <si>
    <t>Toda la actualidad de San Lorenzo de Almagro 🙌🏻</t>
  </si>
  <si>
    <t>Diario digital, noticias, análisis y opinión. https://t.co/QGx3r2OnUv</t>
  </si>
  <si>
    <t>Escritório de direito full-service com o desafio de encontrar soluções jurídicas mais seguras e criativas.</t>
  </si>
  <si>
    <t>32 anos de experiência em rádio, TV, jornal, narração de esportes e Assessoria de Comunicação.</t>
  </si>
  <si>
    <t>Toda la información local, nacional e internacional está acá! #Radio #Pulso #Formosa</t>
  </si>
  <si>
    <t>O escritório Guazelli Advocacia é conhecido no mercado pela forma dinâmica e rápida com que identifica e apresenta soluções para os mais diversos problemas.</t>
  </si>
  <si>
    <t>Presidente de la República del Paraguay 🇵🇾 Economista.</t>
  </si>
  <si>
    <t>La mejor información, en el sitio de noticias más visitado de la Patagonia. Análisis, actualidad y todo lo que tenés que saber de la región, el país y el mundo.</t>
  </si>
  <si>
    <t>Quando você transforma mentiras em verdades você não enxerga a verdade!Não me sigam, NÃO QUERO SEGUIDORES, quero conhecimento! (61) 98282-3427</t>
  </si>
  <si>
    <t>Mais de 40 anos de tradição, consagrando-se como sinônimo de qualidade competência e confiança.</t>
  </si>
  <si>
    <t>Você tem que ver!</t>
  </si>
  <si>
    <t>Acompanhe por aqui as principais notícias do #JTCultura e #JornaldaCultura</t>
  </si>
  <si>
    <t>Farmer 🌾| Agtech, Crypto and Market Enthusiast 📊 | #WeFren @welook_io</t>
  </si>
  <si>
    <t>🌎🇧🇷🇪🇦</t>
  </si>
  <si>
    <t>💻 Diario de la ciudad de #LaPlata. El periodismo que hacía falta.   
📲 221 307-4509
📩 info@eleditorplatense.com.ar</t>
  </si>
  <si>
    <t>Broker Online desde 2001. Negocie nos mercados globais. Acesso a mais de 1000 instrumentos com a melhor execução.</t>
  </si>
  <si>
    <t>Movimento Progressista. Viva o SUS ! 
Comentários SEMI-QUALIFICADOS sobre Política.</t>
  </si>
  <si>
    <t>Sindicato dos Bancários de Caxias do Sul e Região.</t>
  </si>
  <si>
    <t>FM 106.1 es la primera radio de La Pampa surgida al calor de la Ley de Medios. Es una radio sin fines de lucro. Tel: 02954-15337866</t>
  </si>
  <si>
    <t>This is my four leaf clover.</t>
  </si>
  <si>
    <t>Notícias do Brasil e do Mundo em um único lugar - News from Brazil and the World in one place - #News #Noticias Redes: @portaldeanews 📨 portaldeanews@gmail.com</t>
  </si>
  <si>
    <t>Periodista para @AFP @AFPespanol en La Habana, antes en Montevideo y en Ciudad de México</t>
  </si>
  <si>
    <t>Noticias e historias del mundo con el aporte de los periodistas de la AFP en 150 países. Cuenta oficial. También en Facebook: https://t.co/MtNsjDVcyx</t>
  </si>
  <si>
    <t>¡Cuenta oficial de atención al cliente de Hites en Twitter!.
Horario de atención: lunes a viernes de 9:30 a 19:30 hrs.
Revisa tu Despacho aquí https://t.co/vQXwmzAMCI</t>
  </si>
  <si>
    <t>Catedrático de Economía, Presidente Ejecutivo de Libertad Digital</t>
  </si>
  <si>
    <t>🦋🌈✨🧸🤍</t>
  </si>
  <si>
    <t>Senadora - Mato Grosso do Sul 💚
Deputada Federal por 2 mandatos
Ex-ministra da Agricultura, Pecuária e Abastecimento do Brasil 🇧🇷</t>
  </si>
  <si>
    <t>Senador nacional #UCR #Evolucion Juntos por el Cambio. Casado con una gran mujer. Papá de Gaspar.</t>
  </si>
  <si>
    <t>Fique por dentro das últimas notícias com o Portal ChicoSabeTudo. Aqui você encontra informações atualizadas e precisas sobre política, economia, entretenimento</t>
  </si>
  <si>
    <t>…ndacionministeriodefamilia.webnode.es</t>
  </si>
  <si>
    <t>negocios.com/directo/</t>
  </si>
  <si>
    <t>politicadistrital.com.br</t>
  </si>
  <si>
    <t>rtvd.gob.do/central-notici…</t>
  </si>
  <si>
    <t>youtube.com/c/InvestidorTh…</t>
  </si>
  <si>
    <t>instagram.com/marcelo_alvesl…</t>
  </si>
  <si>
    <t>itatiaia.com.br</t>
  </si>
  <si>
    <t>digepres.gob.do</t>
  </si>
  <si>
    <t>luisabinader.com</t>
  </si>
  <si>
    <t>apoia.se/brasil_popular</t>
  </si>
  <si>
    <t>razonyrevolucion.org</t>
  </si>
  <si>
    <t>lalineadesombra.com.ar</t>
  </si>
  <si>
    <t>aboissa.com.br/pt/</t>
  </si>
  <si>
    <t>guarulhosonline.com.br</t>
  </si>
  <si>
    <t>jovempan.com.br</t>
  </si>
  <si>
    <t>benyrubinstein.com</t>
  </si>
  <si>
    <t>fsindical.org.br</t>
  </si>
  <si>
    <t>blogs.oglobo.globo.com/malu-gaspar/</t>
  </si>
  <si>
    <t>fortunaypoder.com</t>
  </si>
  <si>
    <t>smartcap.com.mx</t>
  </si>
  <si>
    <t>infocobranza.com</t>
  </si>
  <si>
    <t>bcra.gob.ar</t>
  </si>
  <si>
    <t>quepasasalta.com.ar</t>
  </si>
  <si>
    <t>joebiden.com</t>
  </si>
  <si>
    <t>saibajanews.com.br</t>
  </si>
  <si>
    <t>diariodovale.com.br</t>
  </si>
  <si>
    <t>invertix.com.do</t>
  </si>
  <si>
    <t>comuna13caba.com.ar</t>
  </si>
  <si>
    <t>elobjetivo.com.ar</t>
  </si>
  <si>
    <t>mendoza.gov.ar</t>
  </si>
  <si>
    <t>ccla.com.br</t>
  </si>
  <si>
    <t>bc.gob.cu</t>
  </si>
  <si>
    <t>paginasiete.bo</t>
  </si>
  <si>
    <t>universeodon.com/@LaDivinaDiva</t>
  </si>
  <si>
    <t>lubrio.blogspot.com</t>
  </si>
  <si>
    <t>indiraurbaneja.com</t>
  </si>
  <si>
    <t>VladimirVillegas.com</t>
  </si>
  <si>
    <t>minhvi.gob.ve</t>
  </si>
  <si>
    <t>tarekwilliamsaab.org</t>
  </si>
  <si>
    <t>nicolasmaduro.org.ve</t>
  </si>
  <si>
    <t>infored21.com</t>
  </si>
  <si>
    <t>people.uwe.ac.uk/Pages/person.a…</t>
  </si>
  <si>
    <t>bancentral.gov.do</t>
  </si>
  <si>
    <t>ruralnet.com.ar</t>
  </si>
  <si>
    <t>witinvest.com.br</t>
  </si>
  <si>
    <t>ecos365.com.ar</t>
  </si>
  <si>
    <t>webitcoin.com.br</t>
  </si>
  <si>
    <t>bit.ly/3AmoZ7T</t>
  </si>
  <si>
    <t>kwai-video.com/u/@linssdocear…</t>
  </si>
  <si>
    <t>pnddobrasil.com.br</t>
  </si>
  <si>
    <t>pcdobnacamara.org.br</t>
  </si>
  <si>
    <t>analisisbrokers.com</t>
  </si>
  <si>
    <t>portalconvenios.com</t>
  </si>
  <si>
    <t>vagnocarvalho.tumblr.com</t>
  </si>
  <si>
    <t>bcb.gov.br</t>
  </si>
  <si>
    <t>finance360.com.br</t>
  </si>
  <si>
    <t>auditoriacidada.org.br</t>
  </si>
  <si>
    <t>senoticias.com.br</t>
  </si>
  <si>
    <t>linktr.ee/arteduca</t>
  </si>
  <si>
    <t>shor.by/exnesslatam</t>
  </si>
  <si>
    <t>devaneiosdemarte.blogspot.com</t>
  </si>
  <si>
    <t>0264noticias.com.ar</t>
  </si>
  <si>
    <t>instagram.com/jesi_pl_?igshi…</t>
  </si>
  <si>
    <t>instagram.com/jbouttet?igshi…</t>
  </si>
  <si>
    <t>forms.gle/rw6dQUiJ2ARBa9…</t>
  </si>
  <si>
    <t>instagram.com/gonalb</t>
  </si>
  <si>
    <t>linkedin.com/in/laurenyssan…</t>
  </si>
  <si>
    <t>pmwnoticias.com.br</t>
  </si>
  <si>
    <t>combonianos.org.br</t>
  </si>
  <si>
    <t>instagram.com/pedrorousseff?…</t>
  </si>
  <si>
    <t>instagram.com/ricardooliveir…</t>
  </si>
  <si>
    <t>youtube.com/@ajanelapodcast</t>
  </si>
  <si>
    <t>youtube.com/channel/UCviV2…</t>
  </si>
  <si>
    <t>estudioseconomicos.uns.edu.ar</t>
  </si>
  <si>
    <t>uade.edu.ar</t>
  </si>
  <si>
    <t>cienciassociales.edu.uy/departamentode…</t>
  </si>
  <si>
    <t>iadb.org/es/mejorandovi…</t>
  </si>
  <si>
    <t>comunicarnoticias.com.ar</t>
  </si>
  <si>
    <t>youtube.com/channel/UC3-JL…</t>
  </si>
  <si>
    <t>klainvest.com</t>
  </si>
  <si>
    <t>hoy.com.do</t>
  </si>
  <si>
    <t>showmetech.com.br</t>
  </si>
  <si>
    <t>youtube.com/c/CyborgPatrio…</t>
  </si>
  <si>
    <t>reuters.com</t>
  </si>
  <si>
    <t>youtube.com/@OlharInvest</t>
  </si>
  <si>
    <t>guilhermebispo.com.br</t>
  </si>
  <si>
    <t>minutootaku.com</t>
  </si>
  <si>
    <t>youtube.com/@quemsabe</t>
  </si>
  <si>
    <t>panflix.com.br</t>
  </si>
  <si>
    <t>Facebook.com/sebastianpiner…</t>
  </si>
  <si>
    <t>mtr.bio/gabrielboric</t>
  </si>
  <si>
    <t>studio.fm.br</t>
  </si>
  <si>
    <t>editerestrategias.org</t>
  </si>
  <si>
    <t>diariodocomercio.com.br</t>
  </si>
  <si>
    <t>elquiddelacuestion.com.ar</t>
  </si>
  <si>
    <t>joseraulgonzalezm.com</t>
  </si>
  <si>
    <t>gallup.com</t>
  </si>
  <si>
    <t>bni.co.mz</t>
  </si>
  <si>
    <t>puntoapunto.com.ar</t>
  </si>
  <si>
    <t>tiktok.com/@alferdez</t>
  </si>
  <si>
    <t>minhaoperadora.com.br</t>
  </si>
  <si>
    <t>Instagram.com/marcos_welber_…</t>
  </si>
  <si>
    <t>noticiasguasabara.blogspot.com</t>
  </si>
  <si>
    <t>eldia.com.do</t>
  </si>
  <si>
    <t>quilpue.cl</t>
  </si>
  <si>
    <t>cmq.cl/site/</t>
  </si>
  <si>
    <t>linktr.ee/sniders</t>
  </si>
  <si>
    <t>linkme.bio/diariodoestado…</t>
  </si>
  <si>
    <t>linktr.ee/marlonklein</t>
  </si>
  <si>
    <t>claritoesta.com</t>
  </si>
  <si>
    <t>lanacion.com.ar</t>
  </si>
  <si>
    <t>riobravo.com.br</t>
  </si>
  <si>
    <t>htnoticias.com</t>
  </si>
  <si>
    <t>auditable.cl</t>
  </si>
  <si>
    <t>lajespatagonia.com</t>
  </si>
  <si>
    <t>xp.com.br/vaitourinho</t>
  </si>
  <si>
    <t>onoticiado.com.br</t>
  </si>
  <si>
    <t>horaciorodriguezlarreta.com.ar</t>
  </si>
  <si>
    <t>elnuevorebelde.substack.com/?utm_source=di…</t>
  </si>
  <si>
    <t>supledesarrollo.com.ar</t>
  </si>
  <si>
    <t>kontabil.net</t>
  </si>
  <si>
    <t>linktr.ee/nfuster</t>
  </si>
  <si>
    <t>t.me/France24_es</t>
  </si>
  <si>
    <t>fmya.com.ar</t>
  </si>
  <si>
    <t>0221.com.ar</t>
  </si>
  <si>
    <t>diariodacapital.com</t>
  </si>
  <si>
    <t>mcvann21.blogspot.com</t>
  </si>
  <si>
    <t>moneytimes.com.br/cryptotimes/</t>
  </si>
  <si>
    <t>sites.google.com/view/www-bedro…</t>
  </si>
  <si>
    <t>novaeranews.com.br</t>
  </si>
  <si>
    <t>youtube.com/@carlosovlad</t>
  </si>
  <si>
    <t>Diegosantilli.com.ar</t>
  </si>
  <si>
    <t>neuroinsights.org</t>
  </si>
  <si>
    <t>cnnbrasil.com.br</t>
  </si>
  <si>
    <t>cnnbrasil.com.br/economia/</t>
  </si>
  <si>
    <t>analiseagora.com</t>
  </si>
  <si>
    <t>youtube.com/soeconomia</t>
  </si>
  <si>
    <t>rodadecuia.com.br</t>
  </si>
  <si>
    <t>cnnradio.com.ar</t>
  </si>
  <si>
    <t>nachogiron.com.ar</t>
  </si>
  <si>
    <t>martinredrado.com</t>
  </si>
  <si>
    <t>linkin.bio/sumundotv</t>
  </si>
  <si>
    <t>cinemabrasil.org.br</t>
  </si>
  <si>
    <t>worldsys.co</t>
  </si>
  <si>
    <t>cultura.gob.cl</t>
  </si>
  <si>
    <t>cronica.com.ar</t>
  </si>
  <si>
    <t>threads.net/@viktorbautista</t>
  </si>
  <si>
    <t>regioncultural.com.ar</t>
  </si>
  <si>
    <t>instagram.com/matheusblins</t>
  </si>
  <si>
    <t>fenae.org.br</t>
  </si>
  <si>
    <t>josiasgomes.com.br</t>
  </si>
  <si>
    <t>radiosur901.com.ar/p/radio-sur.ht…</t>
  </si>
  <si>
    <t>eyr.com.do</t>
  </si>
  <si>
    <t>facebook.com/spectrolu/</t>
  </si>
  <si>
    <t>bit.ly/2EY89Dq</t>
  </si>
  <si>
    <t>informerjo.com.br</t>
  </si>
  <si>
    <t>sdnews.com.br</t>
  </si>
  <si>
    <t>linktr.ee/tiago.roberto.…</t>
  </si>
  <si>
    <t>instagram.com/bravonius?igsh…</t>
  </si>
  <si>
    <t>linkedin.com/in/javierborel…</t>
  </si>
  <si>
    <t>youtube.com/channel/UCHzqm…</t>
  </si>
  <si>
    <t>canalc.com.ar</t>
  </si>
  <si>
    <t>bit.ly/3AppboA</t>
  </si>
  <si>
    <t>iti.itau/link/fazumiti</t>
  </si>
  <si>
    <t>itau.com.br</t>
  </si>
  <si>
    <t>soydelejido.com</t>
  </si>
  <si>
    <t>metropoles.com</t>
  </si>
  <si>
    <t>diaonline.ig.com.br</t>
  </si>
  <si>
    <t>instagram.com/LeoMorenno</t>
  </si>
  <si>
    <t>linktr.ee/santander_ar?u…</t>
  </si>
  <si>
    <t>noticiaslivechile.cl</t>
  </si>
  <si>
    <t>teddydigital.io</t>
  </si>
  <si>
    <t>folha.com.br</t>
  </si>
  <si>
    <t>chargesbira.blogspot.com.br</t>
  </si>
  <si>
    <t>cba24n.com.ar</t>
  </si>
  <si>
    <t>facebook.com/profile.php?id…</t>
  </si>
  <si>
    <t>fortecultural.wordpress.com</t>
  </si>
  <si>
    <t>jornalcontabil.com.br</t>
  </si>
  <si>
    <t>newcapitalsecurities.com</t>
  </si>
  <si>
    <t>demosargentina.com</t>
  </si>
  <si>
    <t>linktr.ee/juntoscambioar</t>
  </si>
  <si>
    <t>tiktok.com/@llibertadavan…</t>
  </si>
  <si>
    <t>sp.cut.org.br</t>
  </si>
  <si>
    <t>cut.org.br</t>
  </si>
  <si>
    <t>bolsainteligente.com.br</t>
  </si>
  <si>
    <t>agenda4p.com.ar</t>
  </si>
  <si>
    <t>bingx.com/pt-br/partner/…</t>
  </si>
  <si>
    <t>datadiario.com</t>
  </si>
  <si>
    <t>c5n.com</t>
  </si>
  <si>
    <t>elmacheteperu.com</t>
  </si>
  <si>
    <t>moneymarkets.com.br</t>
  </si>
  <si>
    <t>youtube.com/jmjornalmetrop…</t>
  </si>
  <si>
    <t>sergiovillanova.com.br</t>
  </si>
  <si>
    <t>seridohost.com.br</t>
  </si>
  <si>
    <t>facebook.com/kristynathaly</t>
  </si>
  <si>
    <t>arajet.com</t>
  </si>
  <si>
    <t>lula.com.br/siga-o-lula/</t>
  </si>
  <si>
    <t>picpay.com</t>
  </si>
  <si>
    <t>jwnews.com.br</t>
  </si>
  <si>
    <t>soyindependiente.com</t>
  </si>
  <si>
    <t>cgratereaux.blogspot.com</t>
  </si>
  <si>
    <t>linktr.ee/josepeguero</t>
  </si>
  <si>
    <t>simonetebet.com.br</t>
  </si>
  <si>
    <t>jornale.com.br</t>
  </si>
  <si>
    <t>radiojornal.com.br</t>
  </si>
  <si>
    <t>linkedin.com/in/roberto-dar…</t>
  </si>
  <si>
    <t>maisnews.com.br</t>
  </si>
  <si>
    <t>viuu.com.br</t>
  </si>
  <si>
    <t>defensordelpueblo.do</t>
  </si>
  <si>
    <t>defensordelpueblo.gob.do</t>
  </si>
  <si>
    <t>forumservicopublicoceara.org.br</t>
  </si>
  <si>
    <t>linktr.ee/revistatrinche…</t>
  </si>
  <si>
    <t>brasil.perfil.com</t>
  </si>
  <si>
    <t>bairesparatodos.com.ar</t>
  </si>
  <si>
    <t>blogdojuares.com.br</t>
  </si>
  <si>
    <t>diputadosbsas.com.ar</t>
  </si>
  <si>
    <t>youtube.com/@osmelernesto</t>
  </si>
  <si>
    <t>instagram.com/julia.strada</t>
  </si>
  <si>
    <t>linktr.ee/quecontaee</t>
  </si>
  <si>
    <t>enertronic.es/es/marcas/chin…</t>
  </si>
  <si>
    <t>chiquiavalos.com</t>
  </si>
  <si>
    <t>perfil.com/canal-e</t>
  </si>
  <si>
    <t>youtube.com/@menamartin</t>
  </si>
  <si>
    <t>mechilearning.com/home</t>
  </si>
  <si>
    <t>arklems.org</t>
  </si>
  <si>
    <t>facebook.com/joseantoniogil…</t>
  </si>
  <si>
    <t>libertadyprogreso.com</t>
  </si>
  <si>
    <t>libertadyprogreso.org</t>
  </si>
  <si>
    <t>adduc.org.ar</t>
  </si>
  <si>
    <t>instagram.com/el_lobo_bueno_…</t>
  </si>
  <si>
    <t>diarioconurbano.com</t>
  </si>
  <si>
    <t>focusmarket.com.ar</t>
  </si>
  <si>
    <t>mobilebook.com.ar/p/como-inverti…</t>
  </si>
  <si>
    <t>bit.ly/ingmiguelponce</t>
  </si>
  <si>
    <t>JuanPimentel.com</t>
  </si>
  <si>
    <t>instagram.com/si.las.br/</t>
  </si>
  <si>
    <t>graphpress.com</t>
  </si>
  <si>
    <t>linktr.ee/sonartradeofic…</t>
  </si>
  <si>
    <t>investidoresbrasil.com.br</t>
  </si>
  <si>
    <t>youtube.com/@SergipeCycling</t>
  </si>
  <si>
    <t>instagram.com/eixo.politico/</t>
  </si>
  <si>
    <t>linktr.ee/gleisi.hoffmann</t>
  </si>
  <si>
    <t>linktr.ee/MatrixGlobalFo…</t>
  </si>
  <si>
    <t>youtube.com/channel/UCIQPn…</t>
  </si>
  <si>
    <t>noticiasdeimpacto.com.do</t>
  </si>
  <si>
    <t>leonelfernandez.com</t>
  </si>
  <si>
    <t>centraldeconcursos.com.br</t>
  </si>
  <si>
    <t>noticiasdel6.com</t>
  </si>
  <si>
    <t>broadcast.com.br</t>
  </si>
  <si>
    <t>eesp.fgv.br/integrante/mar…</t>
  </si>
  <si>
    <t>niltotatto.com.br</t>
  </si>
  <si>
    <t>revistapiaui.com.br</t>
  </si>
  <si>
    <t>dunascapital.com</t>
  </si>
  <si>
    <t>instagram.com/torodebitcoin</t>
  </si>
  <si>
    <t>es.azvision.az</t>
  </si>
  <si>
    <t>cpqd.com.br</t>
  </si>
  <si>
    <t>g1.com.br/globonews</t>
  </si>
  <si>
    <t>g1.globo.com/globo-news</t>
  </si>
  <si>
    <t>g1.com.br/Globonews</t>
  </si>
  <si>
    <t>bit.ly/estudioignews</t>
  </si>
  <si>
    <t>linktr.ee/sousadaniel</t>
  </si>
  <si>
    <t>hojebahia.com.br</t>
  </si>
  <si>
    <t>noticiasdecruceros.com</t>
  </si>
  <si>
    <t>mla.bs/c1acb5b4</t>
  </si>
  <si>
    <t>chile21.cl</t>
  </si>
  <si>
    <t>mtr.bio/foro-para-un-d…</t>
  </si>
  <si>
    <t>instagram.com/martinkalos</t>
  </si>
  <si>
    <t>linktr.ee/fer_peirano</t>
  </si>
  <si>
    <t>ntsp.start.page</t>
  </si>
  <si>
    <t>esron.com.br</t>
  </si>
  <si>
    <t>substack.com/@tatianarevore…</t>
  </si>
  <si>
    <t>cbn.com.br</t>
  </si>
  <si>
    <t>oglobo.globo.com/blogs/lauro-ja…</t>
  </si>
  <si>
    <t>cbn.globoradio.globo.com</t>
  </si>
  <si>
    <t>redetv.uol.com.br</t>
  </si>
  <si>
    <t>redetv.uol.com.br/jornalismo</t>
  </si>
  <si>
    <t>linktr.ee/estoaresearch</t>
  </si>
  <si>
    <t>tradenews.com.br/rodrigo-spider/</t>
  </si>
  <si>
    <t>somosnomos.com.br</t>
  </si>
  <si>
    <t>sintomazul.blogspot.com.br</t>
  </si>
  <si>
    <t>aterionegro.org.ar</t>
  </si>
  <si>
    <t>jc.com.br</t>
  </si>
  <si>
    <t>ecommercebrasil.com.br</t>
  </si>
  <si>
    <t>febraban.org.br</t>
  </si>
  <si>
    <t>fiesp.com.br</t>
  </si>
  <si>
    <t>camara.leg.br</t>
  </si>
  <si>
    <t>www12.senado.leg.br</t>
  </si>
  <si>
    <t>almedina.com.br/produto/por-qu…</t>
  </si>
  <si>
    <t>diario33.com.ar</t>
  </si>
  <si>
    <t>instagram.com/tradingalerts.…</t>
  </si>
  <si>
    <t>jovempan.com.br/entretenimento</t>
  </si>
  <si>
    <t>cba.gov.ar</t>
  </si>
  <si>
    <t>facebook.com/SchiarettiOk</t>
  </si>
  <si>
    <t>ibahia.com</t>
  </si>
  <si>
    <t>fedecom.org.ar</t>
  </si>
  <si>
    <t>hechosnews.com</t>
  </si>
  <si>
    <t>prodominicana.gob.do</t>
  </si>
  <si>
    <t>ecured.cu/CADECA</t>
  </si>
  <si>
    <t>gorila.com.br</t>
  </si>
  <si>
    <t>youtube.com/@leidopovo</t>
  </si>
  <si>
    <t>madigitalexperts.com</t>
  </si>
  <si>
    <t>linktr.ee/fbs.chile</t>
  </si>
  <si>
    <t>linkme.bio/ibest-ricardo-…</t>
  </si>
  <si>
    <t>agenciasertao.com</t>
  </si>
  <si>
    <t>youtube.com/PanicoJovemPan</t>
  </si>
  <si>
    <t>leonardosiqueirabr.com.br</t>
  </si>
  <si>
    <t>m.twitch.tv/the_real_buni</t>
  </si>
  <si>
    <t>master-cryptoclub.com</t>
  </si>
  <si>
    <t>hispantv.com</t>
  </si>
  <si>
    <t>cooperativa.cl</t>
  </si>
  <si>
    <t>filo.news</t>
  </si>
  <si>
    <t>instagram.com/andrealopezpast</t>
  </si>
  <si>
    <t>linktr.ee/somosfan</t>
  </si>
  <si>
    <t>noriegagroup.com</t>
  </si>
  <si>
    <t>radio.camara.leg.br</t>
  </si>
  <si>
    <t>estefanolopesoficial.wordpress.com</t>
  </si>
  <si>
    <t>oriovistoguimaraes.com.br</t>
  </si>
  <si>
    <t>marquesereisimoveis.com.br</t>
  </si>
  <si>
    <t>lt10.com.ar</t>
  </si>
  <si>
    <t>ens.vision/0x/marcusajr.e…</t>
  </si>
  <si>
    <t>inforegion.com.ar</t>
  </si>
  <si>
    <t>escribirnoesnormal.net</t>
  </si>
  <si>
    <t>periodismolibre.com.ar</t>
  </si>
  <si>
    <t>infopaisRD.com</t>
  </si>
  <si>
    <t>ejecutivovirtualdr.com</t>
  </si>
  <si>
    <t>telegram.org/blog</t>
  </si>
  <si>
    <t>julialucy.com.br</t>
  </si>
  <si>
    <t>pablorossi.news</t>
  </si>
  <si>
    <t>marialaurasantillan.com</t>
  </si>
  <si>
    <t>legislatura.gov.ar/legislador/gar…</t>
  </si>
  <si>
    <t>lnmas.lanacion.com.ar</t>
  </si>
  <si>
    <t>blogpdanoticia.blogspot.com</t>
  </si>
  <si>
    <t>soutorres.blogspot.com/?zx=58b38b5b7e…</t>
  </si>
  <si>
    <t>smarturl.it/ajn</t>
  </si>
  <si>
    <t>banxico.org.mx</t>
  </si>
  <si>
    <t>linktr.ee/prof.wellitonr…</t>
  </si>
  <si>
    <t>manausolimpica.com.br</t>
  </si>
  <si>
    <t>zeno.fm/radio/difusora…</t>
  </si>
  <si>
    <t>cachorromordido.com.br</t>
  </si>
  <si>
    <t>gp1.com.br</t>
  </si>
  <si>
    <t>linktr.ee/julianarosaofi…</t>
  </si>
  <si>
    <t>linktr.ee/jornadacapital</t>
  </si>
  <si>
    <t>nike.com</t>
  </si>
  <si>
    <t>linkedin.com/feed/update/ur…</t>
  </si>
  <si>
    <t>t.me/jairbolsonarob…</t>
  </si>
  <si>
    <t>bsky.app/profile/omarxi…</t>
  </si>
  <si>
    <t>instagram.com/acopelenossa/</t>
  </si>
  <si>
    <t>unsion.tv</t>
  </si>
  <si>
    <t>randolferodrigues.com.br</t>
  </si>
  <si>
    <t>elmostrador.cl/mercados/</t>
  </si>
  <si>
    <t>mase.lmneuquen.com</t>
  </si>
  <si>
    <t>edntvhn.com</t>
  </si>
  <si>
    <t>perfil.psicologiaviva.com.br/anereudaferrei…</t>
  </si>
  <si>
    <t>youtube.com/@eupvfaria</t>
  </si>
  <si>
    <t>museumofthefuturefoundation.org</t>
  </si>
  <si>
    <t>otempo.com.br</t>
  </si>
  <si>
    <t>spagora.com.br</t>
  </si>
  <si>
    <t>linktr.ee/radiogazetaon</t>
  </si>
  <si>
    <t>contee.org.br</t>
  </si>
  <si>
    <t>informeblumenau.com</t>
  </si>
  <si>
    <t>linktr.ee/contrapoderbr</t>
  </si>
  <si>
    <t>jilmartatto.com.br</t>
  </si>
  <si>
    <t>open.spotify.com/show/6QlzfWnrz…</t>
  </si>
  <si>
    <t>linktr.ee/rosangelamoro</t>
  </si>
  <si>
    <t>linktr.ee/carlosteles_</t>
  </si>
  <si>
    <t>consensodelmercado.com</t>
  </si>
  <si>
    <t>r4.com</t>
  </si>
  <si>
    <t>morganstanley.com</t>
  </si>
  <si>
    <t>tcmb.gov.tr</t>
  </si>
  <si>
    <t>rba.gov.au</t>
  </si>
  <si>
    <t>discord.gg/qMQjEkCq</t>
  </si>
  <si>
    <t>jcconcursos.com.br</t>
  </si>
  <si>
    <t>facebook.com/cas2008</t>
  </si>
  <si>
    <t>aprendizaje.wiki/aprendizaje-si…</t>
  </si>
  <si>
    <t>gonzacoen.blogspot.com</t>
  </si>
  <si>
    <t>instagram.com/centralpolitcs…</t>
  </si>
  <si>
    <t>tierramarillano.cl</t>
  </si>
  <si>
    <t>saltaaldianoticias.com.ar</t>
  </si>
  <si>
    <t>youtube.com/netsysmx/</t>
  </si>
  <si>
    <t>bcp.gov.py</t>
  </si>
  <si>
    <t>Allmylinks.com/FelipeFlorenci…</t>
  </si>
  <si>
    <t>abcagora.com.br</t>
  </si>
  <si>
    <t>fgmedia.cl</t>
  </si>
  <si>
    <t>instagram.com/marcosmanguell…</t>
  </si>
  <si>
    <t>bit.ly/31QNkQi</t>
  </si>
  <si>
    <t>entrelinhasgoias.com.br</t>
  </si>
  <si>
    <t>themoneypost.io</t>
  </si>
  <si>
    <t>smartbrain.com.br</t>
  </si>
  <si>
    <t>migueldaoud.com.br</t>
  </si>
  <si>
    <t>elmercurio.com/inversiones</t>
  </si>
  <si>
    <t>sindbancarios.org.br</t>
  </si>
  <si>
    <t>linktr.ee/gruporecuperab…</t>
  </si>
  <si>
    <t>lacielo.com.ar</t>
  </si>
  <si>
    <t>jorgekurrle.com.ar</t>
  </si>
  <si>
    <t>meiahora.com</t>
  </si>
  <si>
    <t>tagnoticias.com.br</t>
  </si>
  <si>
    <t>soundcloud.com/robersoncassol</t>
  </si>
  <si>
    <t>voces1015fm.com</t>
  </si>
  <si>
    <t>elcirculo.com.ar</t>
  </si>
  <si>
    <t>selecoes.com.br</t>
  </si>
  <si>
    <t>linktr.ee/cirogomesofici…</t>
  </si>
  <si>
    <t>xiomaralara.blogspot.com</t>
  </si>
  <si>
    <t>vozdaturquia.com.br</t>
  </si>
  <si>
    <t>revolucionciudadana.com.ec</t>
  </si>
  <si>
    <t>bit.ly/3uUEe3f</t>
  </si>
  <si>
    <t>centralfmequilibrio.com</t>
  </si>
  <si>
    <t>linktr.ee/spreaker</t>
  </si>
  <si>
    <t>jornaldiadia.com.br</t>
  </si>
  <si>
    <t>perfil.com/cordoba</t>
  </si>
  <si>
    <t>revistaforum.com.br</t>
  </si>
  <si>
    <t>ssacarnaval.com.br</t>
  </si>
  <si>
    <t>proconsumidor.gob.do</t>
  </si>
  <si>
    <t>procon.rj.gov.br</t>
  </si>
  <si>
    <t>procon.sp.gov.br</t>
  </si>
  <si>
    <t>99app.com/conta-com-a-99/</t>
  </si>
  <si>
    <t>curiouscat.live/camren5th</t>
  </si>
  <si>
    <t>99app.com/99pay-links/</t>
  </si>
  <si>
    <t>reclameaqui.com.br</t>
  </si>
  <si>
    <t>banco.bradesco</t>
  </si>
  <si>
    <t>instagram.com/elvis_eth?igsh…</t>
  </si>
  <si>
    <t>ovies.com.br</t>
  </si>
  <si>
    <t>eldiariocba.com.ar</t>
  </si>
  <si>
    <t>foxcapital.com.ar</t>
  </si>
  <si>
    <t>moneytimes.com.br</t>
  </si>
  <si>
    <t>linktr.ee/ladataec</t>
  </si>
  <si>
    <t>instagram.com/ricnoticias24h/</t>
  </si>
  <si>
    <t>youtube.com/@estratosferaok</t>
  </si>
  <si>
    <t>facebook.com/danielsucharzo…</t>
  </si>
  <si>
    <t>imperiolnj.com</t>
  </si>
  <si>
    <t>mercadopago.com.ar</t>
  </si>
  <si>
    <t>mytuner-radio.com/es/embed/all-b…</t>
  </si>
  <si>
    <t>ecb.europa.eu</t>
  </si>
  <si>
    <t>sindviarios.org.br</t>
  </si>
  <si>
    <t>t.me/VanLiberdadeOf…</t>
  </si>
  <si>
    <t>jornaldacidadeonline.com.br</t>
  </si>
  <si>
    <t>bit.ly/tw_bio_revista…</t>
  </si>
  <si>
    <t>gazetadopovo.com.br</t>
  </si>
  <si>
    <t>gazetabrasil.com.br</t>
  </si>
  <si>
    <t>linktr.ee/rogeriomarinho</t>
  </si>
  <si>
    <t>boletimconservador.com.br</t>
  </si>
  <si>
    <t>carlos.bolsonaro.tv</t>
  </si>
  <si>
    <t>cursofle.com.br</t>
  </si>
  <si>
    <t>vlogdolisboa.com.br</t>
  </si>
  <si>
    <t>arthurvirgilionetoam.com.br</t>
  </si>
  <si>
    <t>tveradioregional.com.br</t>
  </si>
  <si>
    <t>nexosdigital.com.ar</t>
  </si>
  <si>
    <t>heylink.me/cmsoftware/</t>
  </si>
  <si>
    <t>planbit.ar</t>
  </si>
  <si>
    <t>a24films.com</t>
  </si>
  <si>
    <t>bit.ly/35PwXeu</t>
  </si>
  <si>
    <t>NoMeToquesLosOvarios.Org</t>
  </si>
  <si>
    <t>croacia.oficinascomerciales.es</t>
  </si>
  <si>
    <t>professorvilla.com.br</t>
  </si>
  <si>
    <t>fetrafrjes.org.br</t>
  </si>
  <si>
    <t>tvt.org.br</t>
  </si>
  <si>
    <t>linktr.ee/leandrocastell…</t>
  </si>
  <si>
    <t>senado.leg.br/tv</t>
  </si>
  <si>
    <t>rodrigopachecomg.com.br</t>
  </si>
  <si>
    <t>vanderlan.com.br</t>
  </si>
  <si>
    <t>laredmza.com.ar</t>
  </si>
  <si>
    <t>profeciasfm.com</t>
  </si>
  <si>
    <t>comunidadorganizada.org</t>
  </si>
  <si>
    <t>instagram.com/nbg__</t>
  </si>
  <si>
    <t>negocios.udd.cl</t>
  </si>
  <si>
    <t>biobiochile.cl</t>
  </si>
  <si>
    <t>MarianoMorenoNoticias.com.ar</t>
  </si>
  <si>
    <t>alessandroguedes.com</t>
  </si>
  <si>
    <t>valor.com.br</t>
  </si>
  <si>
    <t>Cronista.com</t>
  </si>
  <si>
    <t>revistaforex.com</t>
  </si>
  <si>
    <t>galaxpay.com.br</t>
  </si>
  <si>
    <t>contrafcut.com.br</t>
  </si>
  <si>
    <t>jadsonlima.taplink.ws</t>
  </si>
  <si>
    <t>lunavaliente.com</t>
  </si>
  <si>
    <t>notici-as.com</t>
  </si>
  <si>
    <t>elaguijonnoticias.com.ar</t>
  </si>
  <si>
    <t>todanishimura.com</t>
  </si>
  <si>
    <t>PaleyCenter.org</t>
  </si>
  <si>
    <t>facebook.com/ianpedro.ck</t>
  </si>
  <si>
    <t>facebook.com/Diego-Wainstei…</t>
  </si>
  <si>
    <t>spdiario.com.br</t>
  </si>
  <si>
    <t>hacienda.cl</t>
  </si>
  <si>
    <t>msgg.gob.cl</t>
  </si>
  <si>
    <t>instagram.com/camilantoniama…</t>
  </si>
  <si>
    <t>economia.cl</t>
  </si>
  <si>
    <t>gob.cl</t>
  </si>
  <si>
    <t>linktr.ee/biasaltarelli</t>
  </si>
  <si>
    <t>livefmcampos.com</t>
  </si>
  <si>
    <t>southlakesinvestment.com</t>
  </si>
  <si>
    <t>bum.com.ar</t>
  </si>
  <si>
    <t>youtube.com/@astroporchett</t>
  </si>
  <si>
    <t>siseg.com</t>
  </si>
  <si>
    <t>genial.vc/linktree</t>
  </si>
  <si>
    <t>mercedescolombres.mitiendanube.com</t>
  </si>
  <si>
    <t>radiocooperativa.com.ar</t>
  </si>
  <si>
    <t>r770.com.ar</t>
  </si>
  <si>
    <t>utpba.org/https://proyec…</t>
  </si>
  <si>
    <t>panequeasesores.com</t>
  </si>
  <si>
    <t>linktr.ee/girlishgiggle</t>
  </si>
  <si>
    <t>facebook.com/maryuhernandez…</t>
  </si>
  <si>
    <t>biolink.info/ComentaRD</t>
  </si>
  <si>
    <t>xtb.com/es</t>
  </si>
  <si>
    <t>xtb.com/lat</t>
  </si>
  <si>
    <t>linkme.bio/investnewsbr</t>
  </si>
  <si>
    <t>tribunahoje.com</t>
  </si>
  <si>
    <t>twitter.com/zilafusaro7?t=…</t>
  </si>
  <si>
    <t>sindpdce.org.br</t>
  </si>
  <si>
    <t>youtube.com/@Creatorboss7</t>
  </si>
  <si>
    <t>hil.tn/s6V6a4</t>
  </si>
  <si>
    <t>oantagonista.com.br</t>
  </si>
  <si>
    <t>oconvergente.com.br</t>
  </si>
  <si>
    <t>linktr.ee/cplesquerdarj</t>
  </si>
  <si>
    <t>linktr.ee/cryptoeconomyn…</t>
  </si>
  <si>
    <t>instagram.com/damianluppi/</t>
  </si>
  <si>
    <t>linktr.ee/ramiromarra</t>
  </si>
  <si>
    <t>cubalibre.blog/2019/01/25/ate…</t>
  </si>
  <si>
    <t>oglobo.globo.com</t>
  </si>
  <si>
    <t>estadao.com.br</t>
  </si>
  <si>
    <t>linkin.bio/reinaldoazevedo</t>
  </si>
  <si>
    <t>dolcarajas.com.br</t>
  </si>
  <si>
    <t>ecos.com.do</t>
  </si>
  <si>
    <t>uncaus.edu.ar</t>
  </si>
  <si>
    <t>elacento.news</t>
  </si>
  <si>
    <t>linktr.ee/wallstreeteasy</t>
  </si>
  <si>
    <t>espanol.almayadeen.net</t>
  </si>
  <si>
    <t>pregrado.fen.uchile.cl</t>
  </si>
  <si>
    <t>facebook.com/ceic.udechile/</t>
  </si>
  <si>
    <t>fen.uchile.cl</t>
  </si>
  <si>
    <t>linktr.ee/guticardozo10</t>
  </si>
  <si>
    <t>novodebateeconomico.org.br</t>
  </si>
  <si>
    <t>iesp.uerj.br</t>
  </si>
  <si>
    <t>sanluis24.com.ar</t>
  </si>
  <si>
    <t>instagram.com/alfinetadosdod…</t>
  </si>
  <si>
    <t>ghiraldelli.online</t>
  </si>
  <si>
    <t>radiomandarina.com.ar</t>
  </si>
  <si>
    <t>radiobandeirantes.com.br</t>
  </si>
  <si>
    <t>linktr.ee/ptbrasil</t>
  </si>
  <si>
    <t>app.markets.com/App-Tw-ES</t>
  </si>
  <si>
    <t>orakulum.app.link/3U68g8xWKS</t>
  </si>
  <si>
    <t>mcn-comglobal.com</t>
  </si>
  <si>
    <t>adn24digital.com.ar</t>
  </si>
  <si>
    <t>twitter.com/JartoYa</t>
  </si>
  <si>
    <t>lunatv.do</t>
  </si>
  <si>
    <t>youtube.com/user/wendysant…</t>
  </si>
  <si>
    <t>portal.kutxabank.es</t>
  </si>
  <si>
    <t>espanholintensivoltda.com.br</t>
  </si>
  <si>
    <t>TiempoSur.com.ar</t>
  </si>
  <si>
    <t>TradeWiser.pro</t>
  </si>
  <si>
    <t>gruppekurheinzich.wordpress.com</t>
  </si>
  <si>
    <t>economiaenbicicleta.com</t>
  </si>
  <si>
    <t>hotelbestplaza.com</t>
  </si>
  <si>
    <t>flickr.com/photos/fragade…</t>
  </si>
  <si>
    <t>relatorioreservado.com.br</t>
  </si>
  <si>
    <t>gotv.hn</t>
  </si>
  <si>
    <t>linktr.ee/billeteranews</t>
  </si>
  <si>
    <t>linktr.ee/angel_metropol…</t>
  </si>
  <si>
    <t>instagram.com/arquimedesdeca…</t>
  </si>
  <si>
    <t>Instagram.com/Mauro.Comandat…</t>
  </si>
  <si>
    <t>fconectate.blogspot.com</t>
  </si>
  <si>
    <t>tribunapr.com.br</t>
  </si>
  <si>
    <t>threads.net/@ragodi56</t>
  </si>
  <si>
    <t>instagram.com/nomadic_travel…</t>
  </si>
  <si>
    <t>morandibolsa.com.ar</t>
  </si>
  <si>
    <t>wayrapay.com</t>
  </si>
  <si>
    <t>sou.nu/n-possibilidad…</t>
  </si>
  <si>
    <t>mercadopago.com.br</t>
  </si>
  <si>
    <t>facebook.com/professorDougl…</t>
  </si>
  <si>
    <t>soyhodler.com</t>
  </si>
  <si>
    <t>beacons.page/semontcorretora</t>
  </si>
  <si>
    <t>instagram.com/liberal.notici…</t>
  </si>
  <si>
    <t>tododia.jp/publicacao/des…</t>
  </si>
  <si>
    <t>teiadigital.com.br</t>
  </si>
  <si>
    <t>instagram.com/luciaagalarzaa</t>
  </si>
  <si>
    <t>cfkargentina.com</t>
  </si>
  <si>
    <t>naranjax.com</t>
  </si>
  <si>
    <t>oglobo.com.br/miriam</t>
  </si>
  <si>
    <t>ruartereports.com</t>
  </si>
  <si>
    <t>wrsprime.com.mx</t>
  </si>
  <si>
    <t>imef.org.mx</t>
  </si>
  <si>
    <t>jonathanheath.net</t>
  </si>
  <si>
    <t>hermescapital.com.br</t>
  </si>
  <si>
    <t>periodicosvision.com</t>
  </si>
  <si>
    <t>zonalestesomosnos.com.br</t>
  </si>
  <si>
    <t>candeiasmix.com.br</t>
  </si>
  <si>
    <t>ingenieria.uach.cl</t>
  </si>
  <si>
    <t>quantzed.com.br</t>
  </si>
  <si>
    <t>easycoop.com.br</t>
  </si>
  <si>
    <t>hispanismo.cl</t>
  </si>
  <si>
    <t>mucain.com</t>
  </si>
  <si>
    <t>aterraeredonda.com.br</t>
  </si>
  <si>
    <t>suplecred.com.br</t>
  </si>
  <si>
    <t>dagri.com.ar</t>
  </si>
  <si>
    <t>forbes.com.br</t>
  </si>
  <si>
    <t>linktr.ee/conexionparques</t>
  </si>
  <si>
    <t>bancoprovincia.com.ar</t>
  </si>
  <si>
    <t>instagram.com/eoinegue</t>
  </si>
  <si>
    <t>linklist.bio/bandnews</t>
  </si>
  <si>
    <t>fondoalerta.com</t>
  </si>
  <si>
    <t>dfmas.df.cl</t>
  </si>
  <si>
    <t>iraci.pn</t>
  </si>
  <si>
    <t>youtube.com/@aquihablamosc…</t>
  </si>
  <si>
    <t>inmobiliario.do</t>
  </si>
  <si>
    <t>tvjornal.com.br</t>
  </si>
  <si>
    <t>diarioreferencia.com.br</t>
  </si>
  <si>
    <t>notaalpie.com.ar</t>
  </si>
  <si>
    <t>imf.org/es</t>
  </si>
  <si>
    <t>linktr.ee/julian_bernadaz</t>
  </si>
  <si>
    <t>canal23formosa.com.ar</t>
  </si>
  <si>
    <t>seucreditodigital.com.br</t>
  </si>
  <si>
    <t>williamfiorillo.com.br</t>
  </si>
  <si>
    <t>linktr.ee/rumba985fm</t>
  </si>
  <si>
    <t>youtube.com/channel/UCNqCV…</t>
  </si>
  <si>
    <t>mtr.bio/rccmediard</t>
  </si>
  <si>
    <t>deputadoivannaatz.com.br</t>
  </si>
  <si>
    <t>diarionorte.com</t>
  </si>
  <si>
    <t>inkoms.com</t>
  </si>
  <si>
    <t>banrep.gov.co</t>
  </si>
  <si>
    <t>nsctotal.com.br</t>
  </si>
  <si>
    <t>milei2023.com.ar</t>
  </si>
  <si>
    <t>escritores.cl/web/karina/bio…</t>
  </si>
  <si>
    <t>bloomberglinea.com.br</t>
  </si>
  <si>
    <t>beacons.ai/misaelnascimen…</t>
  </si>
  <si>
    <t>sofisadireto.com.br</t>
  </si>
  <si>
    <t>br.lexlatin.com</t>
  </si>
  <si>
    <t>carvalhoalves.com.br</t>
  </si>
  <si>
    <t>cnj.jus.br</t>
  </si>
  <si>
    <t>ricardobarbosapt.com.br</t>
  </si>
  <si>
    <t>economicnewsbrasil.com.br</t>
  </si>
  <si>
    <t>digital.elmercurio.com</t>
  </si>
  <si>
    <t>ine.gob.cl</t>
  </si>
  <si>
    <t>bahiadigital.com</t>
  </si>
  <si>
    <t>instagram.com/retiro100xcien…</t>
  </si>
  <si>
    <t>facebook.com/KarimBianchi20…</t>
  </si>
  <si>
    <t>facebook.com/AysenFeliz</t>
  </si>
  <si>
    <t>instagram.com/pamelajilesdip…</t>
  </si>
  <si>
    <t>telenoticias.com.do</t>
  </si>
  <si>
    <t>portalopoder.com.br</t>
  </si>
  <si>
    <t>puertasautomaticasdiez.com.mx</t>
  </si>
  <si>
    <t>cryptofand.com</t>
  </si>
  <si>
    <t>amped.com.br</t>
  </si>
  <si>
    <t>bancopopular.fi.cr</t>
  </si>
  <si>
    <t>imminent.translated.com</t>
  </si>
  <si>
    <t>bpop.club</t>
  </si>
  <si>
    <t>linktr.ee/alencarsantana…</t>
  </si>
  <si>
    <t>cartacampinas.com.br</t>
  </si>
  <si>
    <t>noticentro.com.do</t>
  </si>
  <si>
    <t>portalesdoceu.blogspot.com</t>
  </si>
  <si>
    <t>youtube.com/@avellanedarea…</t>
  </si>
  <si>
    <t>github.com/BrunoGianetti</t>
  </si>
  <si>
    <t>lapoliticaonline.com/paraguay</t>
  </si>
  <si>
    <t>skandia.com.co/Paginas/Defaul…</t>
  </si>
  <si>
    <t>agro2.com.br</t>
  </si>
  <si>
    <t>wa.me/c/584243009852</t>
  </si>
  <si>
    <t>conecta.bio/rdctv</t>
  </si>
  <si>
    <t>jornalsomos.com.br</t>
  </si>
  <si>
    <t>ariesonline.com.ar</t>
  </si>
  <si>
    <t>spbancarios.com.br</t>
  </si>
  <si>
    <t>flj.com.br</t>
  </si>
  <si>
    <t>hauly.com.br</t>
  </si>
  <si>
    <t>mdpya.com.ar</t>
  </si>
  <si>
    <t>nubox.com</t>
  </si>
  <si>
    <t>institutolula.org</t>
  </si>
  <si>
    <t>tvcultura.com.br</t>
  </si>
  <si>
    <t>relaxiona.com.pe</t>
  </si>
  <si>
    <t>linktr.ee/politeia.arg</t>
  </si>
  <si>
    <t>youtube.com/channel/UCijyH…</t>
  </si>
  <si>
    <t>youtu.be/007-Sa5HPY8</t>
  </si>
  <si>
    <t>aafp.cl</t>
  </si>
  <si>
    <t>elmostrador.cl</t>
  </si>
  <si>
    <t>infocronos.com.ar</t>
  </si>
  <si>
    <t>agendasalta.com.ar</t>
  </si>
  <si>
    <t>operamundi.com.br</t>
  </si>
  <si>
    <t>multimediosnoxsalta.com.ar</t>
  </si>
  <si>
    <t>portaldeprefeitura.com.br</t>
  </si>
  <si>
    <t>cadenadelosandesfm.com.ar</t>
  </si>
  <si>
    <t>rikaryo.com.br</t>
  </si>
  <si>
    <t>instagram.com/barao.eduardo</t>
  </si>
  <si>
    <t>linktr.ee/alberdianaok</t>
  </si>
  <si>
    <t>elfronterizo.com</t>
  </si>
  <si>
    <t>presidencia.gob.do</t>
  </si>
  <si>
    <t>portalvgv.com.br</t>
  </si>
  <si>
    <t>elcaribe.com.do</t>
  </si>
  <si>
    <t>radio10.com.ar</t>
  </si>
  <si>
    <t>linktr.ee/gmf2022</t>
  </si>
  <si>
    <t>alivre.com.br</t>
  </si>
  <si>
    <t>lnk.bio/elpisodigital</t>
  </si>
  <si>
    <t>instagram.com/adosaa/</t>
  </si>
  <si>
    <t>lorenafacuse.cl</t>
  </si>
  <si>
    <t>mcerrillos.cl</t>
  </si>
  <si>
    <t>anchor.fm/podcastpoeocin…</t>
  </si>
  <si>
    <t>tc.com.br/noticias/</t>
  </si>
  <si>
    <t>infoflash.com.br</t>
  </si>
  <si>
    <t>instagram.com/rodrigodemorai…</t>
  </si>
  <si>
    <t>youtube.com/@RamonFreireOf…</t>
  </si>
  <si>
    <t>amdelplata.com</t>
  </si>
  <si>
    <t>inter.co/pra-voce/globa…</t>
  </si>
  <si>
    <t>pergaminovirtual.com.ar</t>
  </si>
  <si>
    <t>mptnoticias.com/inicio/</t>
  </si>
  <si>
    <t>amazonasatual.com.br</t>
  </si>
  <si>
    <t>twitter.com/politica2chile</t>
  </si>
  <si>
    <t>srradio.com.ec</t>
  </si>
  <si>
    <t>cpccs.gob.ec</t>
  </si>
  <si>
    <t>navicon.com.ar</t>
  </si>
  <si>
    <t>bancariosbaixada.org.br</t>
  </si>
  <si>
    <t>fenix951.com.ar</t>
  </si>
  <si>
    <t>economiamainstream.com.br</t>
  </si>
  <si>
    <t>m.facebook.com/marcelotinelli/</t>
  </si>
  <si>
    <t>discord.gg/Jwcwyzwsh9</t>
  </si>
  <si>
    <t>youtube.com/kmanus88</t>
  </si>
  <si>
    <t>jornaljogoserio.com.br</t>
  </si>
  <si>
    <t>ahorasanjuan.com</t>
  </si>
  <si>
    <t>treslineas.com.ar</t>
  </si>
  <si>
    <t>fsturzenegger.com.ar</t>
  </si>
  <si>
    <t>linktr.ee/guilhermeboulo…</t>
  </si>
  <si>
    <t>carlazambelli.com.br</t>
  </si>
  <si>
    <t>santander.com</t>
  </si>
  <si>
    <t>beacons.ai/souapenasv</t>
  </si>
  <si>
    <t>horadenoticias.cl</t>
  </si>
  <si>
    <t>sincortapisa.com</t>
  </si>
  <si>
    <t>diecom.gob.do</t>
  </si>
  <si>
    <t>linktr.ee/MinEconomiaRD</t>
  </si>
  <si>
    <t>bancoadopem.com.do</t>
  </si>
  <si>
    <t>popularenlinea.com</t>
  </si>
  <si>
    <t>youtube.com/@DentroDelPrec…</t>
  </si>
  <si>
    <t>instagram.com/candrews.cl/</t>
  </si>
  <si>
    <t>museudofuturo.org.br</t>
  </si>
  <si>
    <t>gov.br/secom/pt-br/ta…</t>
  </si>
  <si>
    <t>bolsacba.com.ar</t>
  </si>
  <si>
    <t>instagram.com/diana_mondino</t>
  </si>
  <si>
    <t>gft.com/br</t>
  </si>
  <si>
    <t>ocafezinho.com</t>
  </si>
  <si>
    <t>vermelho.org.br</t>
  </si>
  <si>
    <t>gpslifetime.com.br</t>
  </si>
  <si>
    <t>ctb.org.br</t>
  </si>
  <si>
    <t>horadopovo.com.br</t>
  </si>
  <si>
    <t>reporterbrasilia.com.br</t>
  </si>
  <si>
    <t>flow.page/juristadigital</t>
  </si>
  <si>
    <t>darf6015.com.br</t>
  </si>
  <si>
    <t>facebook.com/elson.simbine</t>
  </si>
  <si>
    <t>diariomendozasur.com</t>
  </si>
  <si>
    <t>es.mercopress.com</t>
  </si>
  <si>
    <t>cofecon.org.br</t>
  </si>
  <si>
    <t>youtube.com/channel/UCTZlH…</t>
  </si>
  <si>
    <t>portaljuristec.com.br</t>
  </si>
  <si>
    <t>rubensotoni.com.br</t>
  </si>
  <si>
    <t>militantepsol.com.br</t>
  </si>
  <si>
    <t>groupcomex.com</t>
  </si>
  <si>
    <t>intradecapital.com.ar</t>
  </si>
  <si>
    <t>omegaeducation.com</t>
  </si>
  <si>
    <t>MinutoYa.com</t>
  </si>
  <si>
    <t>PayPal.me/licmarcedalvia…</t>
  </si>
  <si>
    <t>ne10.com.br</t>
  </si>
  <si>
    <t>brujulasur.cl</t>
  </si>
  <si>
    <t>instagram.com/laprensaturca/</t>
  </si>
  <si>
    <t>newsweekespanol.com/?fbclid=IwAR2e…</t>
  </si>
  <si>
    <t>mediosyestrategias.com</t>
  </si>
  <si>
    <t>mensajero.com.ar</t>
  </si>
  <si>
    <t>economicas.uba.ar</t>
  </si>
  <si>
    <t>portalaz.com.br</t>
  </si>
  <si>
    <t>youtube.com/channel/UCMqc7…</t>
  </si>
  <si>
    <t>jessicawhitakeroficial.com/start/</t>
  </si>
  <si>
    <t>diariojornada.com.ar</t>
  </si>
  <si>
    <t>linkedin.com/company/instit…</t>
  </si>
  <si>
    <t>joaofinanceira.com.br</t>
  </si>
  <si>
    <t>moneytimes.com.br/agrotimes/</t>
  </si>
  <si>
    <t>onjornal.com</t>
  </si>
  <si>
    <t>ucho.info</t>
  </si>
  <si>
    <t>el-periodico.com.ar</t>
  </si>
  <si>
    <t>bahiapravoce.com.br</t>
  </si>
  <si>
    <t>charliesupph.com</t>
  </si>
  <si>
    <t>justiciadigital.com.ar</t>
  </si>
  <si>
    <t>linktr.ee/Lazzini</t>
  </si>
  <si>
    <t>vertigopolitico.com</t>
  </si>
  <si>
    <t>sergiosarmiento.com</t>
  </si>
  <si>
    <t>falkcapital.com.br</t>
  </si>
  <si>
    <t>linktr.ee/shanecast</t>
  </si>
  <si>
    <t>les-matriztiques.blogspot.com/2022/06/la-civ…</t>
  </si>
  <si>
    <t>vocerooriental.com</t>
  </si>
  <si>
    <t>linktr.ee/baenegocios</t>
  </si>
  <si>
    <t>ricronsresearch.blogspot.com</t>
  </si>
  <si>
    <t>nortusinvestimentos.com.br</t>
  </si>
  <si>
    <t>taplink.cc/resenasconrn</t>
  </si>
  <si>
    <t>taplink.cc/rafaelnunez</t>
  </si>
  <si>
    <t>t.ly/L9PQ</t>
  </si>
  <si>
    <t>padrejoao.com.br</t>
  </si>
  <si>
    <t>podcasts.apple.com/mz/podcast/pap…</t>
  </si>
  <si>
    <t>rdteve.com</t>
  </si>
  <si>
    <t>pyme.cl</t>
  </si>
  <si>
    <t>liafm.net</t>
  </si>
  <si>
    <t>bb.com.br</t>
  </si>
  <si>
    <t>noticiasdemogi.com.br</t>
  </si>
  <si>
    <t>youtube.com/@AleAnalista</t>
  </si>
  <si>
    <t>canal27.com.do</t>
  </si>
  <si>
    <t>instagram.com/alfaix</t>
  </si>
  <si>
    <t>instagram.com/victoria.villa…</t>
  </si>
  <si>
    <t>YouTube.com/ElPelucaMilei</t>
  </si>
  <si>
    <t>bpmoney.com.br</t>
  </si>
  <si>
    <t>radioitatiaiajf.com.br</t>
  </si>
  <si>
    <t>instagram.com/ipauloed/</t>
  </si>
  <si>
    <t>flauzinoantunes.com.br</t>
  </si>
  <si>
    <t>cspb.org.br</t>
  </si>
  <si>
    <t>joseluisoreiro.com.br</t>
  </si>
  <si>
    <t>linktr.ee/Alesp</t>
  </si>
  <si>
    <t>socialistamorena.com.br</t>
  </si>
  <si>
    <t>pulso.cl</t>
  </si>
  <si>
    <t>nathfinancas.com.br/nathplay/</t>
  </si>
  <si>
    <t>envivo.concierto.cl</t>
  </si>
  <si>
    <t>riomaframix.com.br</t>
  </si>
  <si>
    <t>elsuceso.net</t>
  </si>
  <si>
    <t>magazineluiza.com.br</t>
  </si>
  <si>
    <t>radardigitalbrasilia.com.br</t>
  </si>
  <si>
    <t>bmj.com.br</t>
  </si>
  <si>
    <t>Instagram.com/israelfranca</t>
  </si>
  <si>
    <t>redewb.com.br</t>
  </si>
  <si>
    <t>linktr.ee/pmird</t>
  </si>
  <si>
    <t>prosegur.com.br</t>
  </si>
  <si>
    <t>instagram.com/rodrigoalborno…</t>
  </si>
  <si>
    <t>vicariconsulting.com.br</t>
  </si>
  <si>
    <t>eduardodafonte.com.br</t>
  </si>
  <si>
    <t>wikipedia.com</t>
  </si>
  <si>
    <t>profitsideblog.wixsite.com/profitside</t>
  </si>
  <si>
    <t>elnacional.com.do</t>
  </si>
  <si>
    <t>aba.org.do</t>
  </si>
  <si>
    <t>coopeuch.cl</t>
  </si>
  <si>
    <t>eldeber.com.bo</t>
  </si>
  <si>
    <t>agencianoimd.com.br</t>
  </si>
  <si>
    <t>novenadigital.cl</t>
  </si>
  <si>
    <t>instagram.com/marcoscuunto</t>
  </si>
  <si>
    <t>corta.com</t>
  </si>
  <si>
    <t>agencia-impacto.com</t>
  </si>
  <si>
    <t>facebook.com/paladinodocerr…</t>
  </si>
  <si>
    <t>revistaenterate.com.ar</t>
  </si>
  <si>
    <t>ev.medium.com</t>
  </si>
  <si>
    <t>t.me/mercedesmalaveg</t>
  </si>
  <si>
    <t>linktr.ee/CirculodeEcono…</t>
  </si>
  <si>
    <t>valor.globo.com</t>
  </si>
  <si>
    <t>facebook.com/media/albums/?…</t>
  </si>
  <si>
    <t>istoedinheiro.com.br</t>
  </si>
  <si>
    <t>twitter.com/intent/follow?…</t>
  </si>
  <si>
    <t>instagram.com/eduardofeinman…</t>
  </si>
  <si>
    <t>unpaisordenado.patriciabullrich.com.ar</t>
  </si>
  <si>
    <t>portaldaindustria-es.com.br</t>
  </si>
  <si>
    <t>elpaisdiario.com.ar</t>
  </si>
  <si>
    <t>facebook.com/somoslacruz</t>
  </si>
  <si>
    <t>linktr.ee/mexicolibertar…</t>
  </si>
  <si>
    <t>tiktok.com/@mahosalinas8?…</t>
  </si>
  <si>
    <t>abranet.org.br</t>
  </si>
  <si>
    <t>centralentuvida.cl</t>
  </si>
  <si>
    <t>vil-metal.com.ar</t>
  </si>
  <si>
    <t>radio3cadenapatagonia.com.ar</t>
  </si>
  <si>
    <t>bolsacr.com</t>
  </si>
  <si>
    <t>sergiodalsasso.com.br</t>
  </si>
  <si>
    <t>econoblog.com.ar</t>
  </si>
  <si>
    <t>es.beincrypto.com</t>
  </si>
  <si>
    <t>boj.or.jp/en/index.htm/</t>
  </si>
  <si>
    <t>federalreserve.gov</t>
  </si>
  <si>
    <t>aba.com</t>
  </si>
  <si>
    <t>bis.org</t>
  </si>
  <si>
    <t>linkin.bio/c6bank</t>
  </si>
  <si>
    <t>grupospurrier.com</t>
  </si>
  <si>
    <t>intereconomia.com</t>
  </si>
  <si>
    <t>forbes.cl</t>
  </si>
  <si>
    <t>diariodoacionista.com.br</t>
  </si>
  <si>
    <t>instagram.com/Jer.322</t>
  </si>
  <si>
    <t>vk.com/id818082201</t>
  </si>
  <si>
    <t>linkbio.co/tucuman24</t>
  </si>
  <si>
    <t>miseria.com.br</t>
  </si>
  <si>
    <t>economia.estadao.com.br</t>
  </si>
  <si>
    <t>weex.es</t>
  </si>
  <si>
    <t>br.linkedin.com/in/marceloarag…</t>
  </si>
  <si>
    <t>instagram.com/dhyovaine</t>
  </si>
  <si>
    <t>original.com.br</t>
  </si>
  <si>
    <t>campodirecto.com.ar</t>
  </si>
  <si>
    <t>facebook.com/jornaldatvvito…</t>
  </si>
  <si>
    <t>airedigital.com</t>
  </si>
  <si>
    <t>lacazmartins.com.br</t>
  </si>
  <si>
    <t>safewayconsultoria.com</t>
  </si>
  <si>
    <t>okx.com/join/3720277?s…</t>
  </si>
  <si>
    <t>fb.com/groups/boricpr…</t>
  </si>
  <si>
    <t>sistemasdepago.cl</t>
  </si>
  <si>
    <t>jb.com.br</t>
  </si>
  <si>
    <t>fundeu.fiile.org.ar</t>
  </si>
  <si>
    <t>youtube.com/channel/UCPpI8…</t>
  </si>
  <si>
    <t>br.investing.com</t>
  </si>
  <si>
    <t>palermo.edu/economicas/con…</t>
  </si>
  <si>
    <t>linktr.ee/seebumuarama</t>
  </si>
  <si>
    <t>soydeleste.com.ar</t>
  </si>
  <si>
    <t>postgrados.uautonoma.cl</t>
  </si>
  <si>
    <t>meganoticias.cl</t>
  </si>
  <si>
    <t>datogeek.wordpress.com</t>
  </si>
  <si>
    <t>t.me/MundoCriptok</t>
  </si>
  <si>
    <t>nakatanis.wordpress.com</t>
  </si>
  <si>
    <t>schopdog.cl</t>
  </si>
  <si>
    <t>versionrosario.com</t>
  </si>
  <si>
    <t>nox.com.ar</t>
  </si>
  <si>
    <t>soundcloud.com/arcidesferrao</t>
  </si>
  <si>
    <t>gilvanbueno.com.br</t>
  </si>
  <si>
    <t>youtube.com/tipitoenojado</t>
  </si>
  <si>
    <t>jornaldaki.com.br</t>
  </si>
  <si>
    <t>mediosrioja.com.ar</t>
  </si>
  <si>
    <t>instagram.com/fotografoaugus…</t>
  </si>
  <si>
    <t>bit.ly/EUQUEROMW9</t>
  </si>
  <si>
    <t>simv.gob.do/catalogo-de-se…</t>
  </si>
  <si>
    <t>instagram.com/volverasertigr…</t>
  </si>
  <si>
    <t>sigmanoticias.com.ar</t>
  </si>
  <si>
    <t>buenosaires.gob.ar/canaldelaciudad</t>
  </si>
  <si>
    <t>unir.net</t>
  </si>
  <si>
    <t>nuevarevista.net</t>
  </si>
  <si>
    <t>ucm.es</t>
  </si>
  <si>
    <t>bde.es</t>
  </si>
  <si>
    <t>seesp.org.br</t>
  </si>
  <si>
    <t>eduardojquintana.blogspot.com</t>
  </si>
  <si>
    <t>estudiosunidad.org</t>
  </si>
  <si>
    <t>cronicasdeldiard.com</t>
  </si>
  <si>
    <t>nogueirabatista.com.br</t>
  </si>
  <si>
    <t>datapatagonia.com</t>
  </si>
  <si>
    <t>cql.com.br/jancom</t>
  </si>
  <si>
    <t>diariodegoias.com.br</t>
  </si>
  <si>
    <t>lnk.bio/washingtonquaq…</t>
  </si>
  <si>
    <t>naturalevolutionrecords.bandcamp.com</t>
  </si>
  <si>
    <t>coinsday.com.br</t>
  </si>
  <si>
    <t>t.me/Vagnermayerb3</t>
  </si>
  <si>
    <t>youtube.com/c/DEMOCRACIATV…</t>
  </si>
  <si>
    <t>tfsconsultoria.com</t>
  </si>
  <si>
    <t>transfero.com</t>
  </si>
  <si>
    <t>marcoocram.com.br</t>
  </si>
  <si>
    <t>luisalbertoariasm.blogspot.pe</t>
  </si>
  <si>
    <t>29x55.tumblr.com</t>
  </si>
  <si>
    <t>guilhermefonsecafaro.com.br/consultoriaper…</t>
  </si>
  <si>
    <t>eltribuno.info/jujuy/</t>
  </si>
  <si>
    <t>eltribuno.com.ar</t>
  </si>
  <si>
    <t>linktr.ee/PIXTVHD</t>
  </si>
  <si>
    <t>facebook.com/richardmaturan…</t>
  </si>
  <si>
    <t>ticotrader.org</t>
  </si>
  <si>
    <t>zecadirceu.com.br</t>
  </si>
  <si>
    <t>folhadocondomino.com.br</t>
  </si>
  <si>
    <t>iconemidias.com.br</t>
  </si>
  <si>
    <t>youtube.com/@NoMePisesARG</t>
  </si>
  <si>
    <t>contadoragora.com/portal-de-noti…</t>
  </si>
  <si>
    <t>youtube.com/channel/UC2lDT…</t>
  </si>
  <si>
    <t>uern.br/professor/auri…</t>
  </si>
  <si>
    <t>direitasergipana.com</t>
  </si>
  <si>
    <t>youtube.com/channel/UCQH2L…</t>
  </si>
  <si>
    <t>Agrolatam.com</t>
  </si>
  <si>
    <t>enicomputer.com.br</t>
  </si>
  <si>
    <t>youtube.com/@danielcadenas…</t>
  </si>
  <si>
    <t>jeffersonlucas.com</t>
  </si>
  <si>
    <t>linktr.ee/profclaudio</t>
  </si>
  <si>
    <t>aaron-invest.com</t>
  </si>
  <si>
    <t>serranossa.com.br</t>
  </si>
  <si>
    <t>rj106.com.br</t>
  </si>
  <si>
    <t>sonoticiaboa.com.br</t>
  </si>
  <si>
    <t>instagram.com/tonidibujante</t>
  </si>
  <si>
    <t>ecuavisa.com/programas/nues…</t>
  </si>
  <si>
    <t>linktr.ee/LarryYumibanda…</t>
  </si>
  <si>
    <t>noticiasmardelplata.com.ar</t>
  </si>
  <si>
    <t>politicachubut.com.ar</t>
  </si>
  <si>
    <t>poder360.com.br</t>
  </si>
  <si>
    <t>deultimominuto.net</t>
  </si>
  <si>
    <t>instagram.com/miikaell_c?igs…</t>
  </si>
  <si>
    <t>youtube.com/channel/UCOugO…</t>
  </si>
  <si>
    <t>enfoque.com.br</t>
  </si>
  <si>
    <t>patrimore.com</t>
  </si>
  <si>
    <t>radiodon.com.ar</t>
  </si>
  <si>
    <t>inversorglobal.com</t>
  </si>
  <si>
    <t>adn21.net</t>
  </si>
  <si>
    <t>alexanderpifano.blogspot.com</t>
  </si>
  <si>
    <t>linkfly.to/40502B6njQm</t>
  </si>
  <si>
    <t>puntal.com.ar</t>
  </si>
  <si>
    <t>conocedominga.cl</t>
  </si>
  <si>
    <t>dialogosdosul.com.br</t>
  </si>
  <si>
    <t>ptnacamara.org.br</t>
  </si>
  <si>
    <t>instagram.com/ignaciobriones_</t>
  </si>
  <si>
    <t>gaelyeomans.cl</t>
  </si>
  <si>
    <t>gonzalowinter.cl</t>
  </si>
  <si>
    <t>porque.com.br</t>
  </si>
  <si>
    <t>2ndmarket.com.br</t>
  </si>
  <si>
    <t>radiogargalhadafm.com.br</t>
  </si>
  <si>
    <t>elnueve.com</t>
  </si>
  <si>
    <t>giranoticias.com.br</t>
  </si>
  <si>
    <t>laredrosario.com</t>
  </si>
  <si>
    <t>youtube.com/@ElenaDeLibera…</t>
  </si>
  <si>
    <t>instagram.com/enzopaganiofic…</t>
  </si>
  <si>
    <t>linktr.ee/darekmacpherson</t>
  </si>
  <si>
    <t>correiodeminas.com.br</t>
  </si>
  <si>
    <t>stripteasedelpoder.com</t>
  </si>
  <si>
    <t>csmv.com.br</t>
  </si>
  <si>
    <t>cknoticias.com</t>
  </si>
  <si>
    <t>radiopulsoformosa.com.ar</t>
  </si>
  <si>
    <t>guazelliadvocacia.com.br</t>
  </si>
  <si>
    <t>santipresidente.com</t>
  </si>
  <si>
    <t>veraluciafonsecabrasilia.blogspot.com</t>
  </si>
  <si>
    <t>bettencourt.com.br</t>
  </si>
  <si>
    <t>instagram.com/jornalismotvcu…</t>
  </si>
  <si>
    <t>lensfrens.xyz/nicoardu.lens</t>
  </si>
  <si>
    <t>activtrades.com/pt/</t>
  </si>
  <si>
    <t>bancax.org.br</t>
  </si>
  <si>
    <t>radiokermes.com/links/</t>
  </si>
  <si>
    <t>portaldeanews.com</t>
  </si>
  <si>
    <t>afp.com/es</t>
  </si>
  <si>
    <t>hites.com</t>
  </si>
  <si>
    <t>mercadopago.com</t>
  </si>
  <si>
    <t>linktr.ee/TerezaCristina…</t>
  </si>
  <si>
    <t>martinlousteau.com</t>
  </si>
  <si>
    <t>chicosabetudo.com.br</t>
  </si>
  <si>
    <t>https://t.co/117tqHc3sU https://t.co/qKvdBLVYUT https://t.co/yzW9nEWqXu</t>
  </si>
  <si>
    <t>https://t.co/YGZItchHwL https://t.co/XPNo2sR5Gm</t>
  </si>
  <si>
    <t>https://t.co/9osqP6SbjD https://t.co/Hld10tstNN</t>
  </si>
  <si>
    <t>https://t.co/M1Y0aUAUQt https://t.co/zWa49MtdrB</t>
  </si>
  <si>
    <t>https://t.co/NVUcVDAjzm https://t.co/ktjTHtETj7 https://t.co/EOgj84KB9l https://t.co/Iq0fS3e2sF https://t.co/OJOZUvKPWW</t>
  </si>
  <si>
    <t>https://t.co/5xpqUpA7j4 https://t.co/rpqTE8d3Er</t>
  </si>
  <si>
    <t>http://t.co/Z6ZwWVNMJH http://t.co/TX6TF1nOUs</t>
  </si>
  <si>
    <t>https://t.co/KF1a8vnCmb https://t.co/FRBQ2q0ccV</t>
  </si>
  <si>
    <t>http://t.co/gKr05U1g32 http://t.co/iVDDBm8LlL</t>
  </si>
  <si>
    <t>https://t.co/PmboXCxarJ https://t.co/sjDzuB4CI9</t>
  </si>
  <si>
    <t>https://t.co/arDgslfiug https://t.co/yF8TpZc5fa</t>
  </si>
  <si>
    <t>https://t.co/CcssbYVMkE https://t.co/WeDOVs02nS</t>
  </si>
  <si>
    <t>https://t.co/XtgtS5YfQI https://t.co/VbGAW3qB4U</t>
  </si>
  <si>
    <t>https://t.co/GDE8uithfv https://t.co/uSH4iZs0Ua https://t.co/vfVzyC9V84</t>
  </si>
  <si>
    <t>https://t.co/2ALKNZ0Yex https://t.co/8ukTjFZbNM</t>
  </si>
  <si>
    <t>https://t.co/mbfuWOnkaW https://t.co/7A96TSSm5K https://t.co/rSYWwvU5jf https://t.co/5N9PnRl0am</t>
  </si>
  <si>
    <t>https://t.co/3kTuqDAXTp https://t.co/2P80s7Pgp9</t>
  </si>
  <si>
    <t>https://t.co/SPbDF41tpe https://t.co/a4RgVnOdt5</t>
  </si>
  <si>
    <t>https://t.co/InCkN2AT3r https://t.co/aV0D5TjWb0 https://t.co/1ISA3NDwN8</t>
  </si>
  <si>
    <t>https://t.co/BMvt4mI0Lm https://t.co/WZEWnhFqAA</t>
  </si>
  <si>
    <t>https://t.co/wtUpXLoiDU https://t.co/0JmJEDhQOH</t>
  </si>
  <si>
    <t>https://t.co/XLVbRJ7BRV https://t.co/bXrkUH8ZMZ https://t.co/zObRAdbGUM</t>
  </si>
  <si>
    <t>https://t.co/P00rkAxVK3 https://t.co/Kpl8r1FMTn</t>
  </si>
  <si>
    <t>https://t.co/ES0zSKMyiI https://t.co/oV2LrhD2SH https://t.co/PAu12idCeO</t>
  </si>
  <si>
    <t>https://t.co/AgQubwqi3a https://t.co/gLj4aXnfXZ https://t.co/peobGGyHQ8</t>
  </si>
  <si>
    <t>https://t.co/3FTbTSuvRx https://t.co/VcH8nOPusR</t>
  </si>
  <si>
    <t>https://t.co/e2yX9zGIUa https://t.co/sv3hEtTUIk</t>
  </si>
  <si>
    <t>https://t.co/zGLkPLcQgl https://t.co/zPb8hvUu7L</t>
  </si>
  <si>
    <t>https://t.co/WJnnlGDxLt https://t.co/82dOc7oteI</t>
  </si>
  <si>
    <t>https://t.co/WCBDPjfmlj https://t.co/iv7FQ0lFhZ</t>
  </si>
  <si>
    <t>https://t.co/pJEhSz42nb https://t.co/Oj9DmOcQ2A</t>
  </si>
  <si>
    <t>https://t.co/ow6r9lEZg7 https://t.co/mGCUHbcSUI</t>
  </si>
  <si>
    <t>https://t.co/S0gesIxAxn https://t.co/frFvwaJt6l</t>
  </si>
  <si>
    <t>https://t.co/eVhJP3PHF8 https://t.co/Na1XE0MAzD</t>
  </si>
  <si>
    <t>https://t.co/hM1Putxf3h https://t.co/xuwQWUMhk3</t>
  </si>
  <si>
    <t>https://t.co/7rGWkIrBfb https://t.co/95VmPJSknT</t>
  </si>
  <si>
    <t>https://t.co/fCPj2l3X8i https://t.co/TgHwGdVC85 https://t.co/bGau91EFtm</t>
  </si>
  <si>
    <t>https://t.co/A3F15M52Rb https://t.co/sCjToKeJju</t>
  </si>
  <si>
    <t>https://t.co/Bsw371MmWj https://t.co/KTK47HrEOL</t>
  </si>
  <si>
    <t>http://facebook.com/jovempannews http://t.me/oficialjpnews http://bit.ly/41IoMIO</t>
  </si>
  <si>
    <t>http://goo.gl/Gqbtll http://criticalfinance.org</t>
  </si>
  <si>
    <t>http://brasil247.com/apoio http://t.me/brasil247oficial</t>
  </si>
  <si>
    <t>http://pt.org.br http://analiseagora.com</t>
  </si>
  <si>
    <t>http://mla.bs/aa11a8c5 http://mla.bs/1fd6d251 http://tiktok.com/@folha http://mla.bs/04f9c245 http://mla.bs/e085c4e6</t>
  </si>
  <si>
    <t>http://fcquadrosdigitais.blogspot.com http://fortecultural.wordpress.com</t>
  </si>
  <si>
    <t>http://grupoclarin.com http://www.tn.com.ar</t>
  </si>
  <si>
    <t>http://Perfil.com http://DiarioConurbano.com</t>
  </si>
  <si>
    <t>http://fb.com/canalseisposadas http://youtube.com/noticiasdel6</t>
  </si>
  <si>
    <t>http://fb.com/Cooperativa http://instagram.com/Cooperativa</t>
  </si>
  <si>
    <t>http://en-docs.thedolls.io http://nftlearninglab.io</t>
  </si>
  <si>
    <t>http://facebook.com/DiarioElCentro http://instagram.com/diarioelcentro.cl</t>
  </si>
  <si>
    <t>http://meiahora.com http://t.me/jornalmeiahora</t>
  </si>
  <si>
    <t>http://facebook.com/proconsp/ http://instagram.com/proconsp https://www.youtube.com/c/TVProconSP</t>
  </si>
  <si>
    <t>http://linkedin.com/in/grupo-i-imp http://youtube.com/channel/UCBGBL</t>
  </si>
  <si>
    <t>http://glo.bo/3zCXJkb http://bit.ly/3rcYVHq http://tiktok.com/@jornaloglobo http://bit.ly/3dRZKmz</t>
  </si>
  <si>
    <t>http://instagram.com/elacentook/ http://tiktok.com/@elacentook</t>
  </si>
  <si>
    <t>http://instagram.com/glaucojarzinsk http://hermescapital.com.br</t>
  </si>
  <si>
    <t>http://aterraeredonda.com.br https://www.instagram.com/aterraeredonda/ https://www.facebook.com/aterraeredonda/</t>
  </si>
  <si>
    <t>http://Facebook.com/bancoprovincia http://Instagram.com/banco_provincia</t>
  </si>
  <si>
    <t>http://Pleno.News http://t.me/plenonews</t>
  </si>
  <si>
    <t>http://acortar.link/fseizA https://acortar.link/1o0KTJ http://acortar.link/z0i1rS</t>
  </si>
  <si>
    <t>http://goo.gl/C17HEA http://goo.gl/7oB9KY</t>
  </si>
  <si>
    <t>https://bingx.com/partner/KMANUS http://linktr.ee/kmanus http://noticias.kmanus88.com</t>
  </si>
  <si>
    <t>http://MinutoYa.com http://facebook.com/MinutoYA http://instagram.com/MinutoYA</t>
  </si>
  <si>
    <t>http://chubutparatodos.com http://facebook.com/Chubutparatodo/</t>
  </si>
  <si>
    <t>http://analiseagora.com http://pt.org.br</t>
  </si>
  <si>
    <t>http://bit.ly/34OqbT2 http://bit.ly/3ewr0TT</t>
  </si>
  <si>
    <t>http://es.wikipedia.org/wiki/Eloy_Cavi http://bcn.cl/historiapoliti</t>
  </si>
  <si>
    <t>http://instagram.com/sitemiseria http://facebook.com/SiteMiseria</t>
  </si>
  <si>
    <t>https://twitter.com/HispanatoliaEN http://ko-fi.com/hispanatolia</t>
  </si>
  <si>
    <t>http://facebook.com/UNIRUniversidad http://instagram.com/uniruniversidad</t>
  </si>
  <si>
    <t>http://Telecibaohd.tv http://Informateadiario.com</t>
  </si>
  <si>
    <t>http://soundcloud.com/aladdimlive http://soundcloud.com/duallogic</t>
  </si>
  <si>
    <t>http://pucp.edu.pe http://uottawa.ca</t>
  </si>
  <si>
    <t>https://bit.ly/2RRgLCw http://instagram.com/fmbahiaengano/</t>
  </si>
  <si>
    <t>https://www.facebook.com/RODRIGORX4 https://www.instagram.com/rodrigorx777/ https://t.me/Rodrigorx95</t>
  </si>
  <si>
    <t>http://t.me/dialogosdosul http://catarse.me/dialogosdosul</t>
  </si>
  <si>
    <t>https://diariousach.cl/ https://www.instagram.com/diariousach/</t>
  </si>
  <si>
    <t>linktr.ee/brasil.popular</t>
  </si>
  <si>
    <t>facebook.com/jovempannews t.me/oficialjpnews bit.ly/41IoMIO</t>
  </si>
  <si>
    <t>usuariosfinancieros.gob.ar</t>
  </si>
  <si>
    <t>facebook.com/elobjetivocba</t>
  </si>
  <si>
    <t>rodolfosuarez.com.ar</t>
  </si>
  <si>
    <t>linktr.ee/canal26</t>
  </si>
  <si>
    <t>t.me/LubrioTV</t>
  </si>
  <si>
    <t>goo.gl/Gqbtll criticalfinance.org</t>
  </si>
  <si>
    <t>linktr.ee/bancocentraldo</t>
  </si>
  <si>
    <t>linktr.ee/Combonianos.br</t>
  </si>
  <si>
    <t>brasil247.com/apoio t.me/brasil247ofici…</t>
  </si>
  <si>
    <t>t.me/cnarargentina</t>
  </si>
  <si>
    <t>rwn.app.link/social</t>
  </si>
  <si>
    <t>bit.ly/3kYTs3i</t>
  </si>
  <si>
    <t>instagram.com/diarioprensade</t>
  </si>
  <si>
    <t>linktr.ee/auditableconsu…</t>
  </si>
  <si>
    <t>adnsur.com.ar</t>
  </si>
  <si>
    <t>f24.my/YTliveES</t>
  </si>
  <si>
    <t>financepros.com.co</t>
  </si>
  <si>
    <t>taplink.cc/saltamasiva</t>
  </si>
  <si>
    <t>pt.org.br analiseagora.com</t>
  </si>
  <si>
    <t>ow.ly/gbt450zIeeE</t>
  </si>
  <si>
    <t>instagram.com/noticiaslivech</t>
  </si>
  <si>
    <t>teddydigital.io/teddy-360/</t>
  </si>
  <si>
    <t>mla.bs/aa11a8c5 mla.bs/1fd6d251 tiktok.com/@folha mla.bs/04f9c245 mla.bs/e085c4e6</t>
  </si>
  <si>
    <t>fcquadrosdigitais.blogspot.com fortecultural.wordpress.com</t>
  </si>
  <si>
    <t>t.me/BingXBrasil</t>
  </si>
  <si>
    <t>ensegundos.do</t>
  </si>
  <si>
    <t>facebook.com/baires.paratod</t>
  </si>
  <si>
    <t>instagram.com/menamartin</t>
  </si>
  <si>
    <t>grupoclarin.com tn.com.ar</t>
  </si>
  <si>
    <t>Perfil.com DiarioConurbano.com</t>
  </si>
  <si>
    <t>youtube.com/channel/UCP0a1…</t>
  </si>
  <si>
    <t>youtube.com/@juanpimentel</t>
  </si>
  <si>
    <t>fb.com/canalseisposad… youtube.com/noticiasdel6</t>
  </si>
  <si>
    <t>instagram.com/betepacheco/?h…</t>
  </si>
  <si>
    <t>youtube.com/ecommercebrasil</t>
  </si>
  <si>
    <t>facebook.com/Iguazu.Ahora.N</t>
  </si>
  <si>
    <t>fb.com/Cooperativa instagram.com/Cooperativa</t>
  </si>
  <si>
    <t>en-docs.thedolls.io nftlearninglab.io</t>
  </si>
  <si>
    <t>facebook.com/DiarioElCentro instagram.com/diarioelcentro…</t>
  </si>
  <si>
    <t>bit.ly/3RgTFyH</t>
  </si>
  <si>
    <t>FGMEDIA.cl</t>
  </si>
  <si>
    <t>linktr.ee/MarcosManguelli</t>
  </si>
  <si>
    <t>meiahora.com t.me/jornalmeiahora</t>
  </si>
  <si>
    <t>fb.com/vozdaturquia</t>
  </si>
  <si>
    <t>bit.ly/3bwGI1R</t>
  </si>
  <si>
    <t>youtu.be/xixa3q0lUZ4</t>
  </si>
  <si>
    <t>facebook.com/proconsp/ instagram.com/proconsp youtube.com/c/TVProconSP</t>
  </si>
  <si>
    <t>bolsadeteletrabajo.com</t>
  </si>
  <si>
    <t>Instagram.com/nuevadata</t>
  </si>
  <si>
    <t>mercadopago.com.ar/ayuda/21527</t>
  </si>
  <si>
    <t>MercadoLibre.com</t>
  </si>
  <si>
    <t>t.me/gazeta_do_povo</t>
  </si>
  <si>
    <t>paypal.me/vlogdolisboa</t>
  </si>
  <si>
    <t>catarse.me/tvt</t>
  </si>
  <si>
    <t>CepoCambiario.com</t>
  </si>
  <si>
    <t>t.me/rpsenador</t>
  </si>
  <si>
    <t>t.me/revistaforex</t>
  </si>
  <si>
    <t>brasilempauta.com</t>
  </si>
  <si>
    <t>Instagram.com/diariosp</t>
  </si>
  <si>
    <t>linkedin.com/in/grupo-i-imp youtube.com/channel/UCBGBL</t>
  </si>
  <si>
    <t>astrologiaporchett.blogspot.com</t>
  </si>
  <si>
    <t>R.Coop</t>
  </si>
  <si>
    <t>ingridkas.wixsite.com/my-site</t>
  </si>
  <si>
    <t>glo.bo/3zCXJkb bit.ly/3rcYVHq tiktok.com/@jornaloglobo bit.ly/3dRZKmz</t>
  </si>
  <si>
    <t>instagram.com/estadao/</t>
  </si>
  <si>
    <t>amazon.com.br/Intelig%C3%AAn…</t>
  </si>
  <si>
    <t>instagram.com/elacentook/ tiktok.com/@elacentook</t>
  </si>
  <si>
    <t>wallstreeteasy.com</t>
  </si>
  <si>
    <t>telegram.me/almayadeenespa…</t>
  </si>
  <si>
    <t>linktr.ee/radiobandeiran</t>
  </si>
  <si>
    <t>linktr.ee/mcn_comunicaci</t>
  </si>
  <si>
    <t>afiliacion.rescatedemocratico.net</t>
  </si>
  <si>
    <t>youtube.com/user/karinaesk…</t>
  </si>
  <si>
    <t>bit.ly/3yKMszL</t>
  </si>
  <si>
    <t>biolivre.com.br/mercadopago</t>
  </si>
  <si>
    <t>instagram.com/glaucojarzinsk hermescapital.com.br</t>
  </si>
  <si>
    <t>linktr.ee/Quantzed</t>
  </si>
  <si>
    <t>aterraeredonda.com.br instagram.com/aterraeredonda/ facebook.com/aterraeredonda/</t>
  </si>
  <si>
    <t>Facebook.com/bancoprovincia Instagram.com/banco_provincia</t>
  </si>
  <si>
    <t>instagram.com/diarioreferenc</t>
  </si>
  <si>
    <t>Pleno.News t.me/plenonews</t>
  </si>
  <si>
    <t>acortar.link/fseizA acortar.link/1o0KTJ acortar.link/z0i1rS</t>
  </si>
  <si>
    <t>youtube.com/channel/UCuVcJ</t>
  </si>
  <si>
    <t>cafecito.app/avellanedareal</t>
  </si>
  <si>
    <t>wa.me/584243009852</t>
  </si>
  <si>
    <t>linktr.ee/nuboxchile</t>
  </si>
  <si>
    <t>instagram.com/afp_dechile/</t>
  </si>
  <si>
    <t>facebook.com/cadenadelosand</t>
  </si>
  <si>
    <t>goo.gl/C17HEA goo.gl/7oB9KY</t>
  </si>
  <si>
    <t>t.me/amazonas_atual</t>
  </si>
  <si>
    <t>bingx.com/partner/KMANUS linktr.ee/kmanus noticias.kmanus88.com</t>
  </si>
  <si>
    <t>facebook.com/treslineasar</t>
  </si>
  <si>
    <t>bit.ly/ResuNoticia</t>
  </si>
  <si>
    <t>bit.ly/2qJtO5q</t>
  </si>
  <si>
    <t>t.me/ocafezinhoofic</t>
  </si>
  <si>
    <t>MinutoYa.com facebook.com/MinutoYA instagram.com/MinutoYA</t>
  </si>
  <si>
    <t>youtube.com/c/joaofinancei…</t>
  </si>
  <si>
    <t>chubutparatodos.com facebook.com/Chubutparatodo/</t>
  </si>
  <si>
    <t>UCHO.INFO</t>
  </si>
  <si>
    <t>analiseagora.com pt.org.br</t>
  </si>
  <si>
    <t>bit.ly/34OqbT2 bit.ly/3ewr0TT</t>
  </si>
  <si>
    <t>Cba24n.com.ar</t>
  </si>
  <si>
    <t>es.wikipedia.org/wiki/Eloy_Cavi bcn.cl/historiapoliti</t>
  </si>
  <si>
    <t>resenas.com.do</t>
  </si>
  <si>
    <t>instagram.com/rdteve/</t>
  </si>
  <si>
    <t>sustentabilidade.bb.com.br</t>
  </si>
  <si>
    <t>facebook.com/PulsoChile</t>
  </si>
  <si>
    <t>youtube.com/c/LuizaHelenaT</t>
  </si>
  <si>
    <t>taoist.finance</t>
  </si>
  <si>
    <t>t.me/nomasestado</t>
  </si>
  <si>
    <t>RadioMitre.com.ar</t>
  </si>
  <si>
    <t>linktr.ee/Tudo_Celular</t>
  </si>
  <si>
    <t>MexicoLibertario.org</t>
  </si>
  <si>
    <t>instagram.com/ceciliabouffle…</t>
  </si>
  <si>
    <t>t.me/BeInCryptoESCo…</t>
  </si>
  <si>
    <t>federalreserve.gov/privacy.htm</t>
  </si>
  <si>
    <t>t.me/radiointerecon</t>
  </si>
  <si>
    <t>instagram.com/zonales.web/</t>
  </si>
  <si>
    <t>instagram.com/sitemiseria facebook.com/SiteMiseria</t>
  </si>
  <si>
    <t>t.me/b2bfinances</t>
  </si>
  <si>
    <t>Meganoticias.cl</t>
  </si>
  <si>
    <t>linktr.ee/Mundocriptok</t>
  </si>
  <si>
    <t>instagram.com/diarioestrateg</t>
  </si>
  <si>
    <t>t.me/primerapaginai…</t>
  </si>
  <si>
    <t>twitter.com/HispanatoliaEN ko-fi.com/hispanatolia</t>
  </si>
  <si>
    <t>tiktok.com/@volverasertig…</t>
  </si>
  <si>
    <t>facebook.com/UNIRUniversidad instagram.com/uniruniversidad</t>
  </si>
  <si>
    <t>Telecibaohd.tv Informateadiario.com</t>
  </si>
  <si>
    <t>soundcloud.com/aladdimlive soundcloud.com/duallogic</t>
  </si>
  <si>
    <t>Despertarnacional.com.do</t>
  </si>
  <si>
    <t>democracia.ec</t>
  </si>
  <si>
    <t>pucp.edu.pe uottawa.ca</t>
  </si>
  <si>
    <t>facebook.com/eltribunojujuy/</t>
  </si>
  <si>
    <t>bit.ly/2RRgLCw instagram.com/fmbahiaengano/</t>
  </si>
  <si>
    <t>RJ106.com.br</t>
  </si>
  <si>
    <t>poder.cc/wpp</t>
  </si>
  <si>
    <t>facebook.com/enfoqueif</t>
  </si>
  <si>
    <t>facebook.com/RODRIGORX4 instagram.com/rodrigorx777/ t.me/Rodrigorx95</t>
  </si>
  <si>
    <t>Learn more</t>
  </si>
  <si>
    <t>Facebook.com/ConoceDominga</t>
  </si>
  <si>
    <t>t.me/dialogosdosul catarse.me/dialogosdosul</t>
  </si>
  <si>
    <t>youtube.com/channel/UCx4Nx</t>
  </si>
  <si>
    <t>diariousach.cl instagram.com/diariousach/</t>
  </si>
  <si>
    <t>facebook.com/temucodiario.c</t>
  </si>
  <si>
    <t>u.afp.com/AFPespanol</t>
  </si>
  <si>
    <t>bit.ly/3zNzi2w</t>
  </si>
  <si>
    <t>sensitive_media</t>
  </si>
  <si>
    <t>none</t>
  </si>
  <si>
    <t>regular</t>
  </si>
  <si>
    <t>Open Twitter Page for This Person</t>
  </si>
  <si>
    <t>go00452906
#Bancocentral</t>
  </si>
  <si>
    <t>armandolamezcla
@aideluz93 @EliecerLondRuiz ¿Porque
que los #precios de todo esta caro
en Europa, Latinoamérica #LATAM
y el resto del mundo? 🤯 #inflacion
#BancoCentral No hay coincidencia,
o es un plan adrede o son ineptos,
pero es la ciudadanía la que paga
los platos rotos 😡 https://t.co/wQr2HXi7lJ</t>
  </si>
  <si>
    <t xml:space="preserve">josevizner
</t>
  </si>
  <si>
    <t xml:space="preserve">eliecerlondruiz
</t>
  </si>
  <si>
    <t xml:space="preserve">aideluz93
</t>
  </si>
  <si>
    <t>negocios_tv
ÚLTIMA HORA | Desciende la inflación
en Francia aunque sigue triplicando
el objetivo del BCE https://t.co/5NGcg0JeS9
#francia #inflacion #bancocentral
#bancocentraleuropeo #inflacioneuropa
#bancoscentrales #economia #europa
#ultimahora #livenews #negociostv
#josevizner https://t.co/c2ozVGv9Pr</t>
  </si>
  <si>
    <t>polidistrital
Ataque de Campos Neto às reservas
internacionais é alvo de investigação
do TCU https://t.co/8kstgirPc0
#CamposNeto #BancoCentral #TCU
#ReservasInternacionais #Economia
#Brasil https://t.co/h2BQl8OlId</t>
  </si>
  <si>
    <t>centralrtvd
Eliminarán vertederos al aire libre
Monte Grande se quedó para Octubre
Ministerio de la Presidencia corrigió
fallas que halló Contraloría #C4N
#Vertedero #AireLibre #Propuesta
#Fideicomiso #Abinader #Eliminación
#MonteGrande #Sur #Presidencia
#Contraloría #BancoCentral https://t.co/CkTjCZgdUy</t>
  </si>
  <si>
    <t>investthetagang
https://t.co/7ugzy0Kqht #bancocentral
#economia #juros #inflação #lula
#investimentos https://t.co/gfUmMdKKz5</t>
  </si>
  <si>
    <t>marcelloalvesmg
@itatiaia Só falta o #bancocentral
fazer um esforço para controlar
a inflação e as coisas fluírem
melhor no nosso #brasil.</t>
  </si>
  <si>
    <t xml:space="preserve">itatiaia
</t>
  </si>
  <si>
    <t>luizschwade
Está muito claro que o dito "mercado"
utiliza o Boletim Focos apenas
como ferramenta política. Não é
possível que economistas experientes
não acertem nunca nas previsões
de inflação. #ipca #bancocentral</t>
  </si>
  <si>
    <t>laseguridadsoc1
Política de subsidios sociales
del Gobierno contribuyó a contener
la inflación importada - vía @laseguridadsoc1
-https://t.co/xTzvlllMfg #LaSeguridadSocialDo
#Superate #BonoGas #IPC #FASE #PATI
#Combustibles #BancoCentral #GobiernoDelCambio
@luisabinader @DIGEPRESRD</t>
  </si>
  <si>
    <t xml:space="preserve">digepresrd
</t>
  </si>
  <si>
    <t xml:space="preserve">luisabinader
</t>
  </si>
  <si>
    <t>o_igna_
RT @bancomoc: #BancodeMoçambique
#bancocentral #museu https://t.co/qbik7os3CA</t>
  </si>
  <si>
    <t>bancomoc
Prime rate de Julho aumenta para
24,10%. Leia o comunicado disponível
em https://t.co/Ws554A5dMX #BancodeMoçambique
#bancocentral #PrimeRate #sistemabancario
https://t.co/AGXMpGrAMv</t>
  </si>
  <si>
    <t>_brasilpopular
#ForaCamposNetoJá #Brasil #BancoCentral
#Brasileirao #URGENTE https://t.co/CpWo21iKxL</t>
  </si>
  <si>
    <t>cowebcl
🟣 #Economía | 🌜 Te contamos que
el #BancoCentral acaba de publicar
su Informe de Estadísticas Monetarias
y Financieras de abril que muestra
que la tasa promedio de los créditos
hipotecarios reajustables en UF
ha disminuido. 🔗 Sigue leyendo
acá https://t.co/uampGa6p6B</t>
  </si>
  <si>
    <t>ryr_vs
📰Leé la nota completa de @ESartelli
en el siguiente link: https://t.co/qXMGgW35Xl
#Dolarización #BancoCentral #Milei
#Libertarios #Liberalismo #Milei
#Economía https://t.co/9enap7Etn1</t>
  </si>
  <si>
    <t xml:space="preserve">esartelli
</t>
  </si>
  <si>
    <t>gpattonchile
Mientras Chile sigue estancado
en discusiones estúpidas... Perú
ya construye el Mega Puerto de
Chancay... El más grande de Latam...
Fin #chilevision #hassler #bancocentral
#pinochet #Boric #BoricNoSeLaPuede
#ivonnemangelsdorff https://t.co/0GphB63YwR</t>
  </si>
  <si>
    <t>aboissabrokers
O #Ibovespa mostrava uma variação
tímida nesta quinta-feira, perdendo
o fôlego dos primeiros negócios,
quando subiu quase 1,5% reagindo
à decisão do #BancoCentral de cortar
a taxa #Selic em 0,50 [...] Leia
essa e outras notícias no nosso
site: https://t.co/awEr84LZse https://t.co/61ikbqjM5R</t>
  </si>
  <si>
    <t>dionaldo_passos
Não é apenas tecnologia ou "uma"
#startup ... é um ecossistema -
amparado por um #BancoCentral ativo
-, e pode fazer a diferença para
o Brasil se tornar um hub de inovação.
Eu estou entusiasmado com a democratização
do fluxo do $. https://t.co/neZ3cp7SW2
https://t.co/ygYMduM5Pp</t>
  </si>
  <si>
    <t>guarulhosonline
Desenrola: dívidas de até R$ 5
mil poderão ser parceladas em 60
meses. #bancocentral #Cadúnico
#FernandoHaddad #MP #RenegociaçãodeDívidas
https://t.co/b4FhHrsxkW</t>
  </si>
  <si>
    <t>bahkantikas
Pessoal, criem o hábito de olhar
sempre o #Registrato do #BancoCentral
As pessoas sem caráter andam abrindo
contas digitais com chave Pix no
CPF da gente sem autorização! #fraude
Abriram contas digitais no meu
CPF e é a maior dor de cabeça para
cancelar!</t>
  </si>
  <si>
    <t>beatrizcleuza1
RT @JovemPanNews: #OsPingosNosIs
| CPI vai acionar Banco Central
(BC) para descobrir quem financia
ONGs da Amazônia; bancada comenta
📺 Co…</t>
  </si>
  <si>
    <t>jovempannews
#JornaldaManhã | Campos Neto diz
ser contra criação de moeda comum;
segundo presidente do Banco Central,
inflação seria uma mistura da situação
dos países envolvidos 📺 Confira
na JP News #moeda #BancoCentral
#inflação https://t.co/PmO7jfJyXD</t>
  </si>
  <si>
    <t>sandro852096
RT @JovemPanNews: #OsPingosNosIs
| CPI vai acionar Banco Central
(BC) para descobrir quem financia
ONGs da Amazônia; bancada comenta
📺 Co…</t>
  </si>
  <si>
    <t>brubinst
Ótima análise do Roberto Padovani.
Um tanto quanto preocupante. #economia
#bancocentral #projeções #cenariofiscal
https://t.co/oBSoe9yad2</t>
  </si>
  <si>
    <t>fsmigueltorres
🔴 Comunicado urgente compartilhem
essa informação! . . . . . #jurosabusivos
#bancocentral #Lula #OBrasilVoltou
https://t.co/YZmwWA20RL</t>
  </si>
  <si>
    <t>oradardopoder
Roberto Campos Neto, presidente
do Banco Central, tem mandato até
o fim de 2024 Um dos aliados de
primeira linha do governo, o ministro
da Casa Civil, Rui Costa, saiu
em defesa de mudanças na lei de
autonomia do Banco Central (BC)
#BancoCentral https://t.co/jY1NVdtg1G</t>
  </si>
  <si>
    <t>rafamoraesmoura
Hoje foi o dia das "surpresas"
em Brasília: Alexandre de Moraes
votando pela descriminalização
da maconha e Roberto Campos Neto
dando o voto decisivo pela queda
de 0,5 p.p. na taxa básica de juros.
Quem te surpreendeu mais: Moraes
ou RCN? #descriminalizaSTF #oSTF
#BancoCentral</t>
  </si>
  <si>
    <t>rogeralexbr
E eu que vim sacar um cheque no
#bradesco #bancobradesco #bancocentral
#bc #cliente #filas #inutil #burocracia
https://t.co/OWdnkTNnlT</t>
  </si>
  <si>
    <t>fortunaypoder
¡Sin sorpresa! #Banxico mantuvo
su tasa de interés en 11.25%. El
#bancocentral destacó que algunos
choques inflacionarios siguen incidiendo,
por lo que los #precios al consumidor
se mantienen altos. ➡️ https://t.co/CH5gKRUu0K
https://t.co/HHFbQsnRU1</t>
  </si>
  <si>
    <t>mcortess_2010
Las #monedas #latinoamericanas
pueden verse beneficiadas si el
#bancocentral estadounidense frena
el #ciclo de subas, aunque resta
ver qué sucede en la reunión de
#julio https://t.co/Ws3hZxHcXH</t>
  </si>
  <si>
    <t>infocobranza
📉 Nueva actualización de las irregularidades
de carteras privadas según reciente
informe del @bancoCentral_Ar. 👉🏻
Encontrá el informe completo en
https://t.co/vlXzv5d1fI #InfoCobranza
#Credito #Morosidad #Cartera #DataBCRA
#Actualidad #Fintech #Cobranzas
#BCRA #BancoCentral</t>
  </si>
  <si>
    <t>bancocentral_ar
#DataBCRA Encontrá la lista de
#PrincipalesVariables: https://t.co/g9kLlo93Ed
https://t.co/mxNaUy0HsF</t>
  </si>
  <si>
    <t>quepasasalta
¿Vamos ganando?: el Banco Central
duplicó la meta acordada por el
FMI. #fmi #acuerdo #BancoCentral
https://t.co/k3G9TeYH5e</t>
  </si>
  <si>
    <t>jcarlos_arroyo
Se espera que el presidente de
#EstadosUnidos @JoeBiden anuncie
cambios en el #BancoCentral, que
verá un nuevo vicepresidente y
el primer latino en unirse a la
junta de gobierno. https://t.co/OHJagk1V8k</t>
  </si>
  <si>
    <t xml:space="preserve">joebiden
</t>
  </si>
  <si>
    <t>jsilvadestaques
#BancoCentral divulga Relatório
de Gestão sobre os primeiros anos
de funcionamento do #Pix... Saiba
já: https://t.co/4oGjgtV1ii</t>
  </si>
  <si>
    <t>diariodovale
Banco Central divulga o lançamento
de Pix Automático #diariodovale
#diario #economia #bancocentral
#pix #lançamento https://t.co/S36q8PizSG
https://t.co/ceaFEySAZw</t>
  </si>
  <si>
    <t>invertixrd
Medida de liberación del encaje
legal para viviendas de bajo costo
supera ya los 1,000 beneficiarios.
https://t.co/paRU1Tx25Q #RepublicaDominicana
#dominicanrepublic #dominicanos
#santodomingo #economia #ndigital
#zdigital #bancocentral https://t.co/MPzXyhPqKQ</t>
  </si>
  <si>
    <t>gabi_agustin_g
¿Cuáles son los que #No tienen
#BancoCentral?Andorra, Micronesia,I.
Marshall, Kiribati, Nauru. En esa
lista estaríamos con #IslasPiratas,
paices en #guerra, e #paraísosfiscales.
El problema no es el #BCRA, es
pagar el deficit con emisión sin
respaldo. (#InflacionCriminal)
https://t.co/n0FBsKK0oA</t>
  </si>
  <si>
    <t>comuna13caba
Junio comienza con fuerte presión
cambiaria, mientras los expertos
analizan las posibilidades de que
se vuelva a instaurar la dolarización
de la economía. #argentina #argentine
#autos #bancocentral #blue #breaking
#buenosaires #business #campus
#comex https://t.co/DHixGGXwlv</t>
  </si>
  <si>
    <t>elobjetivocba
Las reservas del Banco Central
cayeron en U$D 760 millones en
un solo día por un pago al FMI
#Noticias #ElObjetivoCba #LaVerdadDeLosHechos
#Reservas #BancoCentral #Caida
#FMI https://t.co/oiTUVFgT3c</t>
  </si>
  <si>
    <t xml:space="preserve">rodysuarez
</t>
  </si>
  <si>
    <t>guilhermebraz06
Os bancos estão confiantes de que
o corte de juros da Selic só ocorrerá
a partir de setembro. Segundo a
Febraban, a pesquisa mostra poucas
mudanças após a reunião do Copom.
#BancoCentral #Selic #CorteDeJuros
84% dos negociadores de retalho
perdem dinheiro.</t>
  </si>
  <si>
    <t>cclaadvogados
Declaração de capitais estrangeiros
- Resolução BCB n° 278 de 31/12/2022
Para ler o informativo completo,
escrito por Rodolfo Rinaldi – Advogado
do CCLA - acesse o link: https://t.co/FTGB55yM9d
#bancocentral #capitaisestrangeiros
#ccla #cclaadvogados https://t.co/mhD5W0H3TF</t>
  </si>
  <si>
    <t>canal26noticias
⭕ÚLTIMA NOTICIA💵 📢 Este lunes,
el Banco Central (BCRA) llevó el
tipo de cambio oficial a $365 y
subió 21 puntos la tasa de interés.
Es una de las primeras repercusiones
del mercado tras las PASO de este
domingo. 📲 Leé la nota en https://t.co/oPOhDlS30K
#BancoCentral #Dólar… https://t.co/LHmKRplPZR</t>
  </si>
  <si>
    <t>bancocentralcub
📍 Información del Banco Central
de Cuba 👉 https://t.co/d0NRZaS57w…
#PagoElectronico @aquinbeta @RosaCantillo8
@QueipoRuiz @Balicia81558512 https://t.co/ElzEM3qNHe</t>
  </si>
  <si>
    <t xml:space="preserve">balicia81558512
</t>
  </si>
  <si>
    <t xml:space="preserve">queiporuiz
</t>
  </si>
  <si>
    <t xml:space="preserve">rosacantillo8
</t>
  </si>
  <si>
    <t>pagina_siete
#P7Informa El #BancoCentral argentino
elevó hoy de 91% a 97% la tasa
de interés de referencia, primera
de una batería de medidas que anunciará
el gobierno para combatir una inflación
de más de 108% en 12 meses, en
un tenso contexto de cara a las
elecciones de octubre / Vía: AFP
https://t.co/jdmNZJV9Kp</t>
  </si>
  <si>
    <t>pagosyaurgente
Seguimos la lucha #Bancocentral
#Lamentable #Cumana</t>
  </si>
  <si>
    <t xml:space="preserve">ladivinadiva
</t>
  </si>
  <si>
    <t xml:space="preserve">lubrio
</t>
  </si>
  <si>
    <t xml:space="preserve">chetuitvzla
</t>
  </si>
  <si>
    <t xml:space="preserve">indiurbaneja
</t>
  </si>
  <si>
    <t xml:space="preserve">vladi_villegas
</t>
  </si>
  <si>
    <t xml:space="preserve">imvillarroel1
</t>
  </si>
  <si>
    <t xml:space="preserve">minhvi_oficial
</t>
  </si>
  <si>
    <t xml:space="preserve">soykarinacarpio
</t>
  </si>
  <si>
    <t xml:space="preserve">tarekwiliamsaab
</t>
  </si>
  <si>
    <t xml:space="preserve">nicolasmaduro
</t>
  </si>
  <si>
    <t>infored21
@SergioMassa Anunció por las redes
sociales la derogación de la norma
del #BancoCentral que perjudicaba
a las #billeterasvirtuales https://t.co/AmHY0X0xNo</t>
  </si>
  <si>
    <t xml:space="preserve">sergiomassa
</t>
  </si>
  <si>
    <t>tromben
Aquí está el meollo del asunto.
#InflacionReal #BancoCentral</t>
  </si>
  <si>
    <t>danielagabor
it's July 2023, and the FT has
managed to write 2000 words on
inflation without once mentioning
profits. quite impressive, guys.
https://t.co/Fddj677xu3</t>
  </si>
  <si>
    <t>mp07094846
RT @JovemPanNews: #OsPingosNosIs
| CPI vai acionar Banco Central
(BC) para descobrir quem financia
ONGs da Amazônia; bancada comenta
📺 Co…</t>
  </si>
  <si>
    <t>e3noticiasrd
🟨 @BancoCentralRD informa que
los flujos de remesas sobrepasaron
los US$6,700 millones entre enero
y agosto de 2023 🔗 Amplíe esta
información aquí: https://t.co/cvMBRruozg
#E3NoticiasRD #PeriodismoCiudadano
#BancoCentral #Remesas https://t.co/yszMhQNQIg</t>
  </si>
  <si>
    <t xml:space="preserve">bancocentralrd
</t>
  </si>
  <si>
    <t>ruralnetoficial
Antes de fin de mayo, comenzaría
a circular el nuevo billete de
$2.000 #Economíaypolítica #2000pesos
#bancocentral #nuevobillete https://t.co/CNHm6hatx3</t>
  </si>
  <si>
    <t>wit_invest
Fique por dentro das principais
notícias do mercado financeiro
para esta “Super Quarta”, no Morning
Call da WIT Invest. #witinvest
#morningcall #noticias #superquarta
#fed #bancocentral #selic #copom
#taxadejuros #investimentos #economia
#brasil #eua https://t.co/psOCn3QZUB</t>
  </si>
  <si>
    <t>mendovozok
ℹ El #BancoCentral asiste nuevamente
al #TesoroNacional https://t.co/gqcUZaGaTT</t>
  </si>
  <si>
    <t>ecos365
📈💰 Rentabilidad para tus depósitos
en billeteras virtuales 🤑 Descubre
cómo el Banco Central exige a proveedores
de billeteras virtuales transferir
rentabilidad a sus clientes por
saldos en pesos. ¡Tu dinero ahora
trabaja para ti! #Finanzas #BancoCentral
#Economía https://t.co/DeVIBsL4b7</t>
  </si>
  <si>
    <t>1thoven
RT @bancomoc: Comunicado Banco
de Moçambique #BancodeMoçambique
#bancocentral #supervisão #Partilha
https://t.co/QAWSLj1Kmk</t>
  </si>
  <si>
    <t>webtcoficial
#webitcoin #cryptonews #notíciascriptomoedas
#Brasil #BancoCentral #CBDC #RealDigital
#Real</t>
  </si>
  <si>
    <t>eduardoegg2
RT @JovemPanNews: #OsPingosNosIs
| CPI vai acionar Banco Central
(BC) para descobrir quem financia
ONGs da Amazônia; bancada comenta
📺 Co…</t>
  </si>
  <si>
    <t>prmarcosbrasil1
Desculpe você nunca me viu bater
no BANCO CENTRAL. ...só rindo mesmo.
@PrmarcosBrasil1 Seguir. #política
#politicos #GovernoFederal #bancocentral
https://t.co/aL7oCcRgqG</t>
  </si>
  <si>
    <t>quebradob
Porém o banco central deixa claro
que, o controle das contas públicas
é primordial para que haja espaço
para novos cortes. #selic #juros
#bancocentral https://t.co/Y3gkrN46ap</t>
  </si>
  <si>
    <t>linsdoceara
#Repost @ciropnddobrasil ✍ Eu demitirei
o presidente do Banco Central!
. ✅ Siga @ciropnddobrasil para
receber mais vídeos como esse #RepareBem
#ciro #cirogomes #ciro2026 #pnd
#lula #bolsonaro #pt #tvrecord
#brasil #bancocentral #haddad #economia
https://t.co/9p1bLObxEs</t>
  </si>
  <si>
    <t>ciropnddobrasil
📢 Porque o juro alto destrói a
nossa economia. . 📌 Ciro Gomes
explica didaticamente como o juro
alto prejudica radicalmente a nossa
economia. Não deixe de assistir!
. . ✅ Siga @ciropnddobrasil para
receber mais vídeos como esse.
. . . #cirogomes #bancocentral
https://t.co/aMLCeImhrL</t>
  </si>
  <si>
    <t>pcdobnacamara
Para parlamentares, Campos Neto
age por motivação política no cargo
para o qual foi nomeado por Bolsonaro
na primeira fase autônoma da instituição.
➡ LEIA MAIS: https://t.co/XqLKHXtwfK
#BancoCentral #PCdoB #PCdoBnaCâmara
https://t.co/fsWX3JGWgb</t>
  </si>
  <si>
    <t>nbertynos
RT @JovemPanNews: #OsPingosNosIs
| CPI vai acionar Banco Central
(BC) para descobrir quem financia
ONGs da Amazônia; bancada comenta
📺 Co…</t>
  </si>
  <si>
    <t>spina_matheus
Ibovespa encerrou em baixa de 1,23%
(118.934 pts) após Copom manter
juros em 13,75% a.a, sem indicação
de corte. Impacto notado principalmente
em setores como imobiliário, construção
e varejo. #Ibovespa #Copom #Selic
#BancoCentral https://t.co/Yf5QXgadjd</t>
  </si>
  <si>
    <t>brokersanalisis
¿Qué son las #CBDCs? #bancocentral
#monedadigital #moneda #digital
https://t.co/YFK3hf4pgU</t>
  </si>
  <si>
    <t>melo_jorge1760
RT @JovemPanNews: #OsPingosNosIs
| CPI vai acionar Banco Central
(BC) para descobrir quem financia
ONGs da Amazônia; bancada comenta
📺 Co…</t>
  </si>
  <si>
    <t>portalconvenios
Atualmente, apenas grandes empresas
usufruem desse serviço, já que
demandam de um alinhamento anterior
com os bancos. Saiba mais: https://t.co/mG98FMCwsu
#PIX #PixAutomático #BancoCentral
#Notícias #PortalConvênios #Pagamentos
#Cidadãos</t>
  </si>
  <si>
    <t>vagnocarvalho
🇧🇷 COPOM https://t.co/ZrrTmHROuM
#BancoCentral #BCB via @BancoCentralBR</t>
  </si>
  <si>
    <t>bancocentralbr
Acesse https://t.co/5FEQ2tHpjU
e confira. Melhor um dinheirinho
de volta do que nenhum, né?! Ficou
com alguma dúvida? Deixe aqui nos
comentários 👇 #valoresareceber
#svr #bancocentral #SVR #dinheiroesquecido
#contascorrentes #contapoupança
#bancocentraldobrasil</t>
  </si>
  <si>
    <t>finance360br
Projeção de IPCA recua pela segunda
semana seguida. Campos Neto faz
declaração polêmica. https://t.co/RTkdGqgtFE
#Economia #juros #bancocentral
#focus https://t.co/C6yuwqZSqx</t>
  </si>
  <si>
    <t>todocalefon1
Calefones SPLENDID TF Master 7-10-13
Litros, GL-GN, revisar Video en:
https://t.co/SN2O7nK6Vz #calefont
#calefon #BlackMirror #PaulMcCartney
#Modric #PedroPascal #Venezuela
#Panamá #Kimetsu #Chaco #Vicky
#BrunoMars #Isla #LosRíos #BancoCentral
https://t.co/yZ7bTJmrv2</t>
  </si>
  <si>
    <t>alessandrabrvna
RT @AuditoriaCidada: Pressione
o Banco Central contra esta política
de juros altos que prejudica o
Brasil #JurosBaixosJá #Selic #BancoCentr…</t>
  </si>
  <si>
    <t>auditoriacidada
Pressione o Banco Central contra
esta política de juros altos que
prejudica o Brasil #JurosBaixosJá
#Selic #BancoCentral https://t.co/pTq8UNma1C</t>
  </si>
  <si>
    <t>senoticias
Consumidor poderá fazer compras
com crédito via Pix, diz presidente
do Banco Central. Para ler a matéria
completa, acesse: https://t.co/tUMMUPNzsO
#ComprasComCreditoViaPix #CreditoViaPix
#BancoCentral #SeNotícias #JornalDigital
#NotíciasDeSergipe Foto: Marcello
Casal/Abr https://t.co/RuTyjMowtR</t>
  </si>
  <si>
    <t>sheilacampello
Hoje também é dia de detonar Campos
Neto e seus juros escandalosos
nas redes. #ForaCamposNeto FORA
CAMPOS NETO #BancoCentral https://t.co/k4ewsBf1nG</t>
  </si>
  <si>
    <t>maurici69926018
RT @exnesslatam: Muchos países
de la región buscan el desarrollo
de una economía digital, y una
de las últimas propuestas es la
creación de…</t>
  </si>
  <si>
    <t>exnesslatam
🇩🇪 El Gobernador del #BancoCentral
Alemán, #JoachimNagel, enfatizó
el papel crucial de continuar con
la política del #BCE de subir las
tasas de interés ya que la inflación
en la región sigue siendo alta.</t>
  </si>
  <si>
    <t>yinsss
#felicesyforrados #bancocentral
protejer nuestros ahorros https://t.co/ZphMkfpqMC</t>
  </si>
  <si>
    <t>marcionas
Hoje tem reunião do Copom (Comitê
de Política Monetária) do #BancoCentral
para definir a taxa básica de juros.
É inadmissível que a taxa permaneça
nos 13,75% depois de todos os sinais
positivos que vimos na economia
do #Brasil. Pela redução imediata
da Selic. Chega! https://t.co/rbfbeaqLta</t>
  </si>
  <si>
    <t>manhanibetto
RT @JovemPanNews: #OsPingosNosIs
| CPI vai acionar Banco Central
(BC) para descobrir quem financia
ONGs da Amazônia; bancada comenta
📺 Co…</t>
  </si>
  <si>
    <t>marco36934747
Quer dizer então que o #Lula não
entende nada de #Economia e fica
dando #palpite no #BancoCentral
? É isso mesmo produção ? Procede
a informação ? #Argentina #Inflacao
#Juros https://t.co/HjyZH5yfmd</t>
  </si>
  <si>
    <t>0264noticias
El Banco Central tomará decisiones
que mantengan la calma del dólar...
#BancoCentral #BCRA #Economia #Argentina
https://t.co/FtjbygflP0</t>
  </si>
  <si>
    <t>ronivonsx
O pix era uma solução, só que acabou
virando um problema, e quem paga
a conta é sempre o trabalhador,
o ladrao tem livre acesso. Viver
no Brasil é para os fortes. #bancocentral
#pix #lixo #desabafo</t>
  </si>
  <si>
    <t>jesica_starck_
Mañana domingo 11-06 a las 16.00
hs. sumate en apoyo a la JUVENTUD
LIBERTARIA al FUNERAL DEL PESO
ARGENTINO en Reconquista 266, BANCO
CENTRAL DE LA REPÚBLICA ARGENTINA.🔥🔥🔥🔥🔥⚰️
@jlibertariacaba @JBouttet #pesoargentino
#bancocentral https://t.co/j22IpeBKsI</t>
  </si>
  <si>
    <t xml:space="preserve">jbouttet
</t>
  </si>
  <si>
    <t xml:space="preserve">jlibertariacaba
</t>
  </si>
  <si>
    <t>gontwiter
Si no son joaquin y Lucía galán,
¡¿quiénes son?! #billete #BancoCentral
https://t.co/lRC5MEsUlY</t>
  </si>
  <si>
    <t>lausanhil
Reclamar un derecho verbal siempre
será más difícil (no imposible)
de demostrar; será tu palabra contra
la de tu adversario. #Bukele #Disney
#BancoCentral #LeonelFernandez
#Hillary #Peru #Jerusalen #Santiago
#Contrato https://t.co/3ezU1nYCW6</t>
  </si>
  <si>
    <t>johnjoh28053307
RT @JovemPanNews: #OsPingosNosIs
| CPI vai acionar Banco Central
(BC) para descobrir quem financia
ONGs da Amazônia; bancada comenta
📺 Co…</t>
  </si>
  <si>
    <t>pmw_noticias
Expectativa é que trinta milhões
de pessoas sejam beneficiadas nesta
etapa #BancoCentral #cadastrodeinadimplentes
#CadÚnico #programaDesenrolaBrasil
#RenegociaçãodeDívidas #renegociardívidas
https://t.co/5PnOJxVeX8 https://t.co/M28jqy28wl</t>
  </si>
  <si>
    <t>combonianosbr
Falta muito MUITO, MMMMUUUUITO...
para por ordem nessa casa, que
é o Brasil. 😱👀🇧🇷⚖️ 1 TRILHAO
de rombo, na conta de Campos Neto
e do BC, Banco Central. #1TRILHÃO
#CamposNeto #rombo #BancoCentral
#Governo #TCU #BC #errocontabil
#Corrupto #CORRUPTION</t>
  </si>
  <si>
    <t>zattimaristela
Vamos todos nos engajar nessa campanha!
Precisamos resolver essa questão
para que o Brasil se mantenha no
rumo do crescimento que merecemos!</t>
  </si>
  <si>
    <t>brasil247
Nova sabotagem: Campos Neto dá
entrevista à BlackRock e diz que
estuda terceirizar a gestão de
ativos do Brasil https://t.co/K6RvYznQQU</t>
  </si>
  <si>
    <t>finc0
A manutenção da taxa de juros é
roubar o dinheiro dos nossos impostos,
que seriam utilizados para promover
políticas sociais e desenvolvimento,
e entregar para um punhado de especuladores
que nada produzem. Prof Ladislau
Dowbor desenha a urgência de #ForaCamposNeto.
https://t.co/3epBQnzz26</t>
  </si>
  <si>
    <t>p_rousseff
TCU acaba de apontar Campos Neto,
presidente do BC, como um dos responsáveis
pelo “erro contábil” de mais R$
1 TRILHÃO em 2022. Aí eu pergunto
pra vocês: a independência do Banco
Central serve pra quê? Ou melhor,
serve a QUEM? Porque ao povo brasileiro
tenho certeza que NÃO https://t.co/NGah4Tr9fe</t>
  </si>
  <si>
    <t>edusoarees
@ricardors_ofc Saiu o MANJA ROLA
e entrou o MANJA CULHÃO! #Titanic
#submarinemissing #BancoCentral
#JurosBaixosJá #BolsonaroInelegivel
#BolsonaroNaCadeia #BolsonaroEAliadosNaCadeia
#submarino</t>
  </si>
  <si>
    <t xml:space="preserve">ricardors_ofc
</t>
  </si>
  <si>
    <t>_antonio_luiz_
RT @JovemPanNews: #OsPingosNosIs
| CPI vai acionar Banco Central
(BC) para descobrir quem financia
ONGs da Amazônia; bancada comenta
📺 Co…</t>
  </si>
  <si>
    <t>ajanelapodcast
O #PIX se tornou um dos principais
meios de pagamento no Brasil, senão
o principal. Mas você sabia que
ele não tem sigilo algum? #Bitcoin
#bancocentral https://t.co/3mzgMf2e9p</t>
  </si>
  <si>
    <t>elgeneralabe
💥 Hasta que al fin llegó esta
tremenda bendición. Casi que no
pero se logró obtener, a pensar
de la burocracia y los retrasos.🥳
#constancia #ponencia #unam #historia
#historiaeconómica #economía #banca
#bancacentral #bancocentral #banco
#historiografía #deuda #monopolios
https://t.co/ZlnLQdCTrW</t>
  </si>
  <si>
    <t>invasorpress
Autoridades del Banco Central de
Cuba anunciaron este miércoles
en conferencia de prensa nuevas
medidas de bancarización en el
país, que se implementarán de manera
paulatina a partir del 3 de agosto.
#CiegodeÁvila #BancoCentral #LatirAvileño
Abro Hilo https://t.co/odMFSGHUOs</t>
  </si>
  <si>
    <t>estud_econ
#bancocentral #reservas #centralbank
#EconTwitter Today's recommendations!
Demaestri, E., Ottavianelli, J.,
&amp;amp; Ferro, G. (@el_BID, @dECON_UdelaR,
@UADEoficial) Integration of Financial
Supervision in the Central Bank:
The Uruguayan Experience [SPA]
https://t.co/tIjlkUt5q5 https://t.co/s2l5azQO6e</t>
  </si>
  <si>
    <t xml:space="preserve">uadeoficial
</t>
  </si>
  <si>
    <t xml:space="preserve">decon_udelar
</t>
  </si>
  <si>
    <t xml:space="preserve">el_bid
</t>
  </si>
  <si>
    <t>cnarnoticiasarg
#ComunicarNoticias #ComunicarArgentina
#Noticias #Press #Economia #FMI
#SergioMassa #DeudaConElFMI #AcuerdoConElFMI
#PagoAlFMI #Reservas #BancoCentral
✍🏼 @giseepanico_ https://t.co/7tbH7nDkrG</t>
  </si>
  <si>
    <t>pichondelacity
Endeudarse con China es como entregarle
tu vida al Usurero. 🤦🏻‍♂️ #china
#swap #bancocentral #massa #dolar
https://t.co/XiNxeVz5lq</t>
  </si>
  <si>
    <t>catdogdogue
RT @JovemPanNews: #OsPingosNosIs
| CPI vai acionar Banco Central
(BC) para descobrir quem financia
ONGs da Amazônia; bancada comenta
📺 Co…</t>
  </si>
  <si>
    <t>baumfeetlover
#ForaCamposNeto #BancoCentral #Bacen</t>
  </si>
  <si>
    <t>thiagoresiste
ATENÇÃO!! O bolsominion Campos
Neto SUMIU com US$ 68 BILHÕES das
reservas internacionais o Brasil!!
São mais de R$ 300 bilhões que
ele se recusa a dizer onde enfiou!!
A lei da "autonomia" do Banco Central
é claríssima: em caso de incompetência
é DEMISSÃO SUMÁRIA!! Quem quer
a…</t>
  </si>
  <si>
    <t>invest_kla
Cansado de depender do #BancoCentral
? Conheça o ato de mediar negociações
de captação de recursos de longo
prazo entre organizações em expansão
e descubra uma empresa que está
revolucionando o mercado por meio
de investimentos descentralizados!
#CryptocurrencyNews https://t.co/Q59DK9oOhg</t>
  </si>
  <si>
    <t>periodicohoy
Medidas del Banco Central sin efectos
esperados con economía estancada
Detalles en nuestra sección #OpiniónHOY⁣⁣⁣⁣⁣⁣⁣⁣⁣⁣
⁣⁣⁣⁣ #BancoCentral #Economía #PeriódicoHOY
#HOYDigital #ElHOY https://t.co/wGc57vAkbx</t>
  </si>
  <si>
    <t>showmetech
Você acha que as novas medidas
ajudarão na segurança do PIX? #Pix
#BancoCentral #Seguranca #Financas
(Autora: Thamyris Abreu)</t>
  </si>
  <si>
    <t>cyborgpatriota
Tan tonto como declarar que no
es inevitable, es decir que era
para el futuro lejano. Primero
el sector financiero y luego el
resto. El foco no es negarse, es
mantener el sistema de pago físico
paralelo. #DREX #CBDC #Brasil #BancoCentral
#EnContraEnDiciembre</t>
  </si>
  <si>
    <t>reuters
Brazil central bank names its digital
currency 'DREX,' scheduled for
2024 launch https://t.co/KjI0wUUhsA
https://t.co/uN2UlE9SPo</t>
  </si>
  <si>
    <t>olharinvest
#CVCB3 está sem diretores-chave,
aponta Infomoney da XP Investimentos
-- você acha que a larga veiculação
dessa notícia é para: #ibov #twitter
#brasil #fed #ibovespa #copom #selic
#bc #bancocentral #brics #b3 #indfut</t>
  </si>
  <si>
    <t>guicadeirante
Meu o Banco Central é independente
mané, quem está taxando o PIX é
o Banco Central e não o Lula. #pix
#bancocentral #taxa</t>
  </si>
  <si>
    <t>minutootakubr
Banco Central registra que em maio,
brasileiros sacaram R$ 11,75 bilhões
a mais do que depositaram na caderneta
de poupança. Maior valor desde
1995. #BancoCentral #cadernetadepoupança
#retiradarecorde https://t.co/eMHqkkI6ga
https://t.co/eMHqkkI6ga</t>
  </si>
  <si>
    <t>luma_sampa
#BancoCentral #HoraDeBaixarOsJuros</t>
  </si>
  <si>
    <t>liliamcamargo2
SANTANDER e @BancoCentralBR 👍
https://t.co/yT7kCZp6jU</t>
  </si>
  <si>
    <t>benicegenes
Conseguiu uma resposta. #Bancointer
#Brasil #Bancocentral #FederalReserve
#BolsaValores https://t.co/XNLXQNVitX</t>
  </si>
  <si>
    <t>guscard0s0
@interbr falar com o banco inter
é como gritar num cemitério, ninguém
ouve, ninguém responde! #bancointer
#interbr https://t.co/vhdKLEqMDC</t>
  </si>
  <si>
    <t>mmendonca65
Inflação baixa e taxa de juros
alta, como pode? #inflacao #taxadejuros
#Economia #bancocentral https://t.co/yyMmGVbMdP</t>
  </si>
  <si>
    <t>sestarileticia
Qual o retorno de R$ 1.000,00 em
1 ano com a SELIC a 12,75%? . .
. . . #selic #taxadejuros #taxaselic
#investimentos #dinheiro #popança
#brasil #negócios #economia #bc
#bacen #bancocentral #taxabasicadejuros
https://t.co/2SN7FEpKJh</t>
  </si>
  <si>
    <t>panflixoficial
#TáNaRoda ⭕ Governo anunciou indicação
de Pochmann (PT) para presidência
do IBGE Em seu primeiro discurso,
Márcio se juntou às críticas do
presidente Lula (PT) ao atacar
o Banco Central 📺 Baixe agora.
É grátis. #Pochmann #Lula #BancoCentral
https://t.co/GWkaltBWmq</t>
  </si>
  <si>
    <t>sobrinhocassius
RT @JovemPanNews: #OsPingosNosIs
| CPI vai acionar Banco Central
(BC) para descobrir quem financia
ONGs da Amazônia; bancada comenta
📺 Co…</t>
  </si>
  <si>
    <t>andreainiguezm
@RenunciaBoricCL @GabrielBoric
La culpa también es de @sebastianpinera
x no haber enfrentado con firmeza
el estallido, regalar la Const,
cuarentenas y restricciones sanitarias
irracionales. Además ChV, salvo
la reforma tributaria, ha apoyado
todas las medidas anti empleo de
Boric. #BancoCentral</t>
  </si>
  <si>
    <t xml:space="preserve">sebastianpinera
</t>
  </si>
  <si>
    <t xml:space="preserve">gabrielboric
</t>
  </si>
  <si>
    <t>studio877
#BancoCentral #BRDE | Com nome
aprovado pelo Banco Central, Ranolfo
Vieira Júnior tem primeiras reuniões
com equipes do BRDE | https://t.co/i4LOOjjEg2
https://t.co/i4LOOjjEg2</t>
  </si>
  <si>
    <t>ctovarleon
Javier Milei es un fraude. #javiermilei
#Argentina #inflación #economía
#política #macri #deudas #fmi #bancocentral
#Dictadura https://t.co/8Wh84Jt76T
https://t.co/HgsMewC1id</t>
  </si>
  <si>
    <t>diario_comercio
Leia a avaliação dos especialistas
ouvidos pelo Diário do Comércio.
#selic #juros #bancocentral #economia
https://t.co/1SLbWJugdO</t>
  </si>
  <si>
    <t>quidcuestion
Galperín sale en defensa de Mercado
Pago: «no lo van a romper» https://t.co/o8UxEHkydG
#MercadoPago #BancoCentral #BilleteraVirtual
https://t.co/qPvjNds9sf</t>
  </si>
  <si>
    <t>empreendegoias
Pela sexta vez seguida e por unanimidade,
o Copom manteve a taxa básica de
juros (Selic) em 13,75% ao ano.
#juros #economia #Bancocentral
https://t.co/L8LIHmtNPE</t>
  </si>
  <si>
    <t>jrgonzalezm
Los estadounidenses pierden la
confianza en su presidente del
#bancocentral . ⁦@Gallup⁩ https://t.co/DaiiXkfWWh</t>
  </si>
  <si>
    <t xml:space="preserve">gallup
</t>
  </si>
  <si>
    <t>mil21tuits
🔴 Argentina al borde del colapso,
casi en quiebra 👉🏻 https://t.co/O8Jd6EfH7N
#⃣ #mil21 #17DeMayo #Argentina
#Economía #Inflación #FondoMonetarioInternacional
#FMI #BancoCentral</t>
  </si>
  <si>
    <t>dljr_22
RT @JovemPanNews: #OsPingosNosIs
| CPI vai acionar Banco Central
(BC) para descobrir quem financia
ONGs da Amazônia; bancada comenta
📺 Co…</t>
  </si>
  <si>
    <t>ativosgarantem
O que será que eles conversaram
? #ações #bancocentral Fonte: Money
Times https://t.co/ATqle2h3tG</t>
  </si>
  <si>
    <t>bni_mozambique
Feliz #16dejunho #criacaodamoeda
#moeda #metical #bni #mozambique
#desenvolvimento #bancocentral
https://t.co/nQ22Xngh9O</t>
  </si>
  <si>
    <t>davidem281
Según datos del #BancoCentral....
Era uno de los puntos fuerte de
su campaña electoral de #Lasso:
la inversión extranjera. #Ecuador
https://t.co/X5sNi5PMNt</t>
  </si>
  <si>
    <t>fjglanes
RT @JovemPanNews: #OsPingosNosIs
| CPI vai acionar Banco Central
(BC) para descobrir quem financia
ONGs da Amazônia; bancada comenta
📺 Co…</t>
  </si>
  <si>
    <t>puntoapuntocba
🗣️ El expresidente del #BancoCentral
habló sobre el futuro de la #economía
del país y las estrategias y opciones
para combatir la #inflación. Leé
la nota completa acá 👇 https://t.co/E2lpJWaO9B</t>
  </si>
  <si>
    <t xml:space="preserve">gsandleris
</t>
  </si>
  <si>
    <t xml:space="preserve">alferdez
</t>
  </si>
  <si>
    <t>minhaoperadora
Banco Central anunciou diversas
novidades para utilização do Pix,
inclusive a possibilidade de usar
sem conexão com a internet https://t.co/uniTTzzU7i
/ #Pix #BancoCentral #Finanças</t>
  </si>
  <si>
    <t>tengolibertad7
El Periodismo que tanto quiso Sacar
al Kirchnerismo..como TN, La Nación,
etc. ME IMAGINO que que buscarán
que Milei y Bullrich vayan al Ballotage.
O van a jugar a favor de Massa,
Para que Vayan Bullrich y Massa
al Ballotage?. #bancocentral</t>
  </si>
  <si>
    <t>marcoswelber
Faz tempo que não tínhamos boas
notícias desse boletim. Nível geral
dos preços abaixo dos 6% é para
comemorar. Focus - Relatório de
Mercado https://t.co/CEPsxu6g7V
#BancoCentral #BCB via @BancoCentralBR</t>
  </si>
  <si>
    <t>guasabaraeditor
#Económicas l Pedro Brache afirma
medida del Banco Central provocará
reducción de precios de productos
Ñ… #PedroBrache #BancoCentral #Productos
https://t.co/S5Ugu7eit7 a través
de @ElDia_do</t>
  </si>
  <si>
    <t>eldia_do
Banco Central informa remesas alcanzaron
unos US$3,300 millones en el primer
cuatrimestre de 2023 https://t.co/MDZIx9H3PA
#BancoCentral #BCRD #cuatrimestre</t>
  </si>
  <si>
    <t>zorroplateado23
Siete frases de pensadores en el
Día Internacional del Filósofo
- https://t.co/lzZbYrbFJ8 #Kendall
#Hawai #Lamentable #BancoCentral</t>
  </si>
  <si>
    <t>mster87322547
Bien patético @ValeMelipillan pero
por los vecinos nada hace, un Ejemplo
autoriza locales nocturnos en plena
zona Residencial en Quilpue afectando
abuelitos, niños que asisten al
Colegio minusválidos y vecinos
que trabajan #BancoCentral #AcusacionConstitucional
#Renuncio #Boric</t>
  </si>
  <si>
    <t xml:space="preserve">valemelipillan
</t>
  </si>
  <si>
    <t>cmquilpue
Desde #MunicipioAbierto seguimos
impulsando un trabajo colaborativo
para el #BuenVivir de todas las
comunidades de nuestro #Quilpué🤝✨
Por eso, estamos muy contentos
con la jornada "Espacios Seguros
para la Inclusión de Personas Migrantes"
desarrollada en Liceo Comercial.
🙌🏻 https://t.co/UieFmQMal2</t>
  </si>
  <si>
    <t>maureengubbins
4 claves para entender cómo funciona,
y afecta a los créditos, el Requerimiento
de #CapitalContracíclico activado
por el #BancoCentral #Economia
#Bancos #Chile #hipotecario #creditos
https://t.co/CTOTvlMk9A</t>
  </si>
  <si>
    <t>wrseelent
RT @JovemPanNews: #OsPingosNosIs
| CPI vai acionar Banco Central
(BC) para descobrir quem financia
ONGs da Amazônia; bancada comenta
📺 Co…</t>
  </si>
  <si>
    <t>investidoranarq
Se liguem! #bitcoin #Itau #bradesco
#Santander #dolar #BancoCentral
https://t.co/suOYgCz9fS</t>
  </si>
  <si>
    <t>centralsniders
Após varias tentativas finalmente
conseguimos abrir o cofre e agora
ta rolando a negociação com os
puliça #SantaRapozinha #bancoCentral
https://t.co/Fcq03WN6XE</t>
  </si>
  <si>
    <t>diariodoestado
Comissão do Senado aprova convite
para que Campos Neto explique juros
https://t.co/nhUdkaCDhE #camposnetos
#bancocentral #juros #diariodoestado
#goiás https://t.co/MUcEWQdjfS</t>
  </si>
  <si>
    <t>dan3636senda
RT @NAagencia: 🗣️ El socio fundador
de #MercadoPago, Marcos Galperín,
salió en defensa de su compañía
al criticar la última medida del
#Ban…</t>
  </si>
  <si>
    <t>naagencia
🏦 Las reservas brutas del #BancoCentral
quedaron hoy a punto de perforar
el piso de los US$ 35.000 millones.
https://t.co/CrAfFL1VaG</t>
  </si>
  <si>
    <t>kleinmarlon_
🌡️ Deflação em junho no Brasil:
-0.08% 💰 Inflação nos últimos
12 meses: 🏴󠁧󠁢󠁥󠁮󠁧󠁿 Reino
Unido: 8.7% 🇩🇪 Alemanha: 6.4%
🇪🇺 União Europeia: 5.5% 🇺🇸
Estados Unidos: 4% 🇧🇷 Brasil:
3.16% #Inflação #Controle #Economia
#BancoCentral https://t.co/Pv3f3dnZoK…</t>
  </si>
  <si>
    <t>volvieron_peor
Buen día Zurditos y Zurditas de
este beio país llamado Peronlandia.
A laburar que el #BancoCentral
compró 450 millones de dólares
y esto no se paga solo....</t>
  </si>
  <si>
    <t>ny2ec
Si tan solo los correistas entendieran
este dato, 😢Ahora resulta q la
mimada del prófugo dice q si gana
quiere gastarse 2500 millones de
la reserva apenas se siente en
el palacio. 😭😫 #ReservasInternacionales
#BancoCentral #Ecuador2023</t>
  </si>
  <si>
    <t>claritoesta
Tenemos una Reserva Internacional
de $6.970 millones Mucha plata
Pero no es suficiente como para
"gastársela toda" Porque con esa
plata hay que cubrir obligaciones
por $11.740 O sea, faltan $4.470
Escúchenos en EXA 92.5FM Radio
@DemocraciaEC 920AM y https://t.co/DZ1UTREYy8</t>
  </si>
  <si>
    <t>speedybriefing
O presidente do Banco Central discute
a necessidade de diminuir a concentração
bancária no Brasil, o combate à
inflação e a autonomia da instituição.
Reforça a importância do patriotismo
e da contribuição individual para
o crescimento do país. #EconomiaBrasil🇧🇷
#BancoCentral🏦</t>
  </si>
  <si>
    <t>edemilo
El icónico edificio que volvió
atrás en el tiempo y hoy se ve
como en 1876 https://t.co/iuzlAW8Pzg
a través de @LANACION #CadaVezMasRemax
#Remax_Cosmopolita #SomosRemaxCosmopolita
#MudatealaVidaqueQueres #Casas
#Departamentos #PH #CABA #Restauración
#BancoCentral #Historico</t>
  </si>
  <si>
    <t xml:space="preserve">lanacion
</t>
  </si>
  <si>
    <t>e_gnop
https://t.co/SAwSiajy8e #brasil
#bancocentral #taxadejuro</t>
  </si>
  <si>
    <t>rio_bravo
#RioBravoInvestimentos #AsInstituiçõesEstãoFuncionando?
#FuncionamentoDasInstituições #MercadoFinanceiro
#Liderança #GustavoFranco #EducaçãoFinanceira
#BancoCentral #Economia</t>
  </si>
  <si>
    <t>_rafaelsales
A I Conferência Anual do Banco
Central do Brasil está imperdível...
espero que eles possam transmitir
pelo Youtube para quem não estiver
em Brasília possa assistir. https://t.co/pXPfH5YRps
#BancoCentral #BCB via @BancoCentralBR</t>
  </si>
  <si>
    <t>tedeschidr
RT @JovemPanNews: #OsPingosNosIs
| CPI vai acionar Banco Central
(BC) para descobrir quem financia
ONGs da Amazônia; bancada comenta
📺 Co…</t>
  </si>
  <si>
    <t>flavisraraujo
André Esteves defende corte de
0,5 ponto na Selic pelo #BancoCentral
em agosto. 👏 https://t.co/ZuoGn1VqAI</t>
  </si>
  <si>
    <t>htnoticiasdo
📈| #HTfinanzas | Banco Central
informa que las remesas rondaron
los US$4,200.0 millones en los
primeros cinco meses de 2023, superando
en 2.9 % al mismo periodo de 2022.
Más información ▶️ https://t.co/qop1ew1gaZ
#htnoticias #BancoCentral #Economia
#remesas https://t.co/xz7G1dhHJ2</t>
  </si>
  <si>
    <t>kefernandez133
Recien me pagaron en mano llego
a casa y me doy cuenta de esto...
#inflation #inflacion #PapelitosDeColores
#2023Mayo8 #BancoCentral #BCRA
https://t.co/vbqxoVFK6m</t>
  </si>
  <si>
    <t>dpdelinterior
MERCADO CAMBIARIO: EL DÓLAR INFORMAL
ANOTÓ SU MAYOR SUBA EN DOS SEMANAS
Y AVANZÓ $12 A $750 La brecha con
el oficial trepa hasta el 129,2%.
#Nacionales #Argentina 🇦🇷 #Economia
#MercadoCambiario #Dolar #DolarBlue
#BancoCentral #BCRA #PrensadelInterior
https://t.co/q5IiaIwnPu</t>
  </si>
  <si>
    <t>auditablecl
Consultora experta en Impuestos,
Auditoria, Contabilidad, Remuneraciones,
Finanzas, Recursos Humanos, Creación
de empresas, Término de Giro y
+. Agenda tú reunión 100% gratis
para analizar tu empresa 📲 https://t.co/rQEgRaz4Ow
#horror #santiago #BancoCentral
#China #LaFlorida</t>
  </si>
  <si>
    <t>asintomatic4
https://t.co/WCafmuJz91 INFORMARSEEE
#Milei2023 KICILLOFF #BancoCentral
#BCRA</t>
  </si>
  <si>
    <t>andrenmatte
@PabloSpyer #bancocentral https://t.co/YFFLHy5HFj</t>
  </si>
  <si>
    <t xml:space="preserve">pablospyer
</t>
  </si>
  <si>
    <t>o_noticiado
Campos Neto, o presidente do Banco
Central, será convocado novamente
para explicar política monetária
e taxa de juros. Saiba mais sobre
a notícia! #camposneto #neto #BancoCentral
#taxadejuros #Senado https://t.co/JMKomhRC8D</t>
  </si>
  <si>
    <t>diarioredesa
#Economia #dolar El #BancoCentral
finalizó julio con compras de 177
millones de dólares. https://t.co/dYkDK9musW</t>
  </si>
  <si>
    <t>horaciorlarreta
Con este equipo, y @diegosantilli
a la cabeza, trabajamos día y noche
para gobernar y cambiarle la vida
a los bonaerenses. Vamos a transformar
el país y devolverle la esperanza
a todos los argentinos. ¡Dale que
podemos! https://t.co/IH5GFEcnkQ</t>
  </si>
  <si>
    <t>rebelde_nuevo
3) La decisión señala un reconocimiento
por parte del presidente, Alberto
#Fernández, de que su administración
se encuentra en una encrucijada
financiera. También se ha visto
un aumento sustancial en la tasa
de interés clave del #bancocentral,
que se elevó en un 21% al 118%.</t>
  </si>
  <si>
    <t>notiespartano
El Banco Central de Brasil redujo
este miércoles en 0,50 puntos porcentuales
la tasa básica de intereses, que
ahora se ubica en el 12,75% anual,
el menor nivel de los últimos 16
meses, informó el organismo emisor.
#bancocentral #Brasil #interés
#reduce https://t.co/d9ZyBDotyU</t>
  </si>
  <si>
    <t>pharmabizweb
Pocas veces se ponen de acuerdo.
Pero esta vez, las tres cámara
industriales de fama se plantaron
ante el Banco Central. Enterate.
#CILFA #CAEMe #COOPERALA #Industria
#Farma #Dólares #BancoCentral #Importaciones
#Farma #Pharmabiz https://t.co/jBkRykX5HS
https://t.co/JSEcxy3Unm</t>
  </si>
  <si>
    <t>oberni
Ni siquiera pido la devolución,
sino el cambio por un televisor
bueno @TiendasHites #senadora #bancocentral</t>
  </si>
  <si>
    <t>actualidad2_0
#Ahora en @actualidad2_0 Marcos
Bensimon, ex subsecretario de coordinación
Financiera de Chubut. #Dolar #BancoCentral
@raulefi https://t.co/qSGTzizjqT</t>
  </si>
  <si>
    <t xml:space="preserve">raulefi
</t>
  </si>
  <si>
    <t>contadorfred
Incompetência do Ministro ou Crise
no País? Para esse governo é mais
fácil jogar a culpa para o Banco
Central! https://t.co/yCC5X3u0xH
#incompetencia #crise #Haddad #governolula
#bancocentral #contador #contabilidade
#calculojudicial #FredQuintanilha
#ContabilidadeQuintanilha</t>
  </si>
  <si>
    <t>destaquesqi
Integrante da equipe de transição
de #governo e importante na campanha
de #Lula, Gabriel Galípolo foi
indicado para a diretoria de #política
monetária do #BancoCentral e, pode
vir a ser, o sucessor de Roberto
Campos Neto na presidência do BC.
Fonte: Blomberg</t>
  </si>
  <si>
    <t>mellamonicolas
🇦🇷 Creo que, a esta altura, #Marull
es un método – además de un apellido.
#Argentina #economía #dólar #BancoCentral</t>
  </si>
  <si>
    <t>france24_es
Entre las propuestas de #Milei
están: 🔹Recorte del gasto público
🔹Privatización de empresas públicas
deficitarias 🔹Eliminación de restricciones
a la compra de divisas 🔹A largo
plazo, el cierre del Banco Central
https://t.co/isVAa1RQuH</t>
  </si>
  <si>
    <t>fernandomarull
En 2007, Nestor le deja a Cristina
un Banco Central +o- saludable
En 2015, Cristina y Kicillof lo
dejaron quebrado en U$S66mil millones
En 2019, el quebranto se reduce
a U$SU$S19mm En 2023, otra vez
aumenta y debe U$S74mil millones.
Y Cristina pregunta porque van
al dolar https://t.co/UitK1m5TFV</t>
  </si>
  <si>
    <t>red92cadadiamas
👉🇦🇷👉| #NoticiasRED92 | #BancoCentral
| #AumentoDeReservas | El Banco
Central compró US$62 millones y
sumó 26 jornadas consecutivas con
saldo positivo https://t.co/VL49WA6NNz</t>
  </si>
  <si>
    <t>esquinard
República Dominicana recibió 6.769
millones de dólares en remesas
entre enero y agosto https://t.co/UbDOMAkjTE
#EsquinaRD #remesas #RepublicaDominicana
#BancoCentral</t>
  </si>
  <si>
    <t>0221comar
FUEGO CRUZADO 💥 #MercadoPago apuntó
contra el #BancoCentral por una
nueva medida que empezará a regir
el 1 de diciembre 👇 https://t.co/hlQbkQNiJ2</t>
  </si>
  <si>
    <t>financepros_sas
¿Se modera la inflación GRACIAS
a Petro? 🇨🇴💹💼 Descubramos juntos
la verdad detrás de esta cuestión
clave. Te invitamos a leer la noticia
completa en nuestra página web
➡️ https://t.co/TZexeJJzvj #EconomíaColombiana
#Inflación #GobiernoPetro #BancoCentral
#DatosEconómicos 📊💡</t>
  </si>
  <si>
    <t>ig
Presidente do Banco Central disse
que apoia também a taxação dos
'super-ricos'. #PortaliG #Presidente
#BancoCentral https://t.co/9aODFHmkqZ</t>
  </si>
  <si>
    <t>beteamarall
RT @JovemPanNews: #OsPingosNosIs
| CPI vai acionar Banco Central
(BC) para descobrir quem financia
ONGs da Amazônia; bancada comenta
📺 Co…</t>
  </si>
  <si>
    <t>diariocapitalam
Presidente Lula e Roberto Campos
Neto, do Banco Central, têm reunião
de trabalho cordial. Conversas
periódicas são planejadas para
o futuro. #Lula #BancoCentral #Economia</t>
  </si>
  <si>
    <t>mcvann20111
RT @ratasyratones: @aro_rojas @perezjuan1962
@adolfopena9 @America81525537 @racuminvenenoso
@chichaypuro @Chena1960 @emelec65
@Mis__Notas @…</t>
  </si>
  <si>
    <t xml:space="preserve">mis__notas
</t>
  </si>
  <si>
    <t xml:space="preserve">emelec65
</t>
  </si>
  <si>
    <t xml:space="preserve">chena1960
</t>
  </si>
  <si>
    <t xml:space="preserve">chichaypuro
</t>
  </si>
  <si>
    <t xml:space="preserve">racuminvenenoso
</t>
  </si>
  <si>
    <t xml:space="preserve">america81525537
</t>
  </si>
  <si>
    <t xml:space="preserve">adolfopena9
</t>
  </si>
  <si>
    <t xml:space="preserve">perezjuan1962
</t>
  </si>
  <si>
    <t xml:space="preserve">aro_rojas
</t>
  </si>
  <si>
    <t>ratasyratones
@aro_rojas @perezjuan1962 @adolfopena9
@America81525537 @racuminvenenoso
@chichaypuro @Chena1960 @emelec65
@Mis__Notas @CESAREJULIAN1 @loboestef
@KattySorayaTipn #Ecuador Dile
No a estos #Delincuentes Está demostrado
que el #LeloArauz nunca fue a trabajar
solo firmaba lo que la #LocaDelAtico
quería ! Llegó a dedo al #BancoCentral
..#TitulosFalsos igual que #PedroDelgado
#LeLoArauz va a sacar el dólar.
https://t.co/Y6zUZPaxnh</t>
  </si>
  <si>
    <t>twikarock
"Juntos nós protegemos em dobro"
Itaú e você contra golpes e fraudes.
Itaú Unibanco registra lucro de
R$ 7,436 bilhões no segundo trimestre
de 2022 QUEM É O LADRÃO DA SUA
CONTA? #ITAU #BANCOCENTRAL</t>
  </si>
  <si>
    <t>leiacryptotimes
Decreto nº 11.563: Lula nomeia
Banco Central para regulamentar
criptomoedas; veja a íntegra do
texto #BancoCentral #Criptoativos
#Criptomoedas https://t.co/yGRpD1xkkL</t>
  </si>
  <si>
    <t>dizobispo
#camposneto #bancocentral #boicote
#autoritarismo</t>
  </si>
  <si>
    <t>rede_marco
🔥 Ditadura do Campos Neto! Gabriel
Galípolo descobriu que o Banco
Central boicota suas entrevistas
O diretor percebeu que a assessoria
de imprensa do BC não repassava
a ele pedidos de entrevistas que
lhe eram feitos. Jornalistas que
o procuravam diretamente e pediam
uma conversa… https://t.co/L7IGwxWIzQ</t>
  </si>
  <si>
    <t>danilojulliao
Os economistas cortaram as projeções
para o IPCA de 2023 de 4,90% para
4,84%. Já a taxa básica de juros
deste ano, se mantém no patamar
em 12% no final do ano de 2023.
#pib #Economia #bancocentral #Governance
#politica https://t.co/sCSrS9BCMQ</t>
  </si>
  <si>
    <t>saltaiva
👉Las reservas del Banco Central
(BCRA) finalizaron cayeron US$155
este martes y cerraron en US$32.907
millones. ingresa a nuestra página
y enterate de todo 👇 https://t.co/d52010HYjq
#Economía #BCRA #BancoCentral #Dolares
https://t.co/CD9fkh6ltG</t>
  </si>
  <si>
    <t>ramirezarcadio
@RobertoMerken @ROBERTOBUSTOSOC
El pinochetista @GmoRamirez transparenta
el chanchullo entre #BancoCentral
y las @AFPsChile</t>
  </si>
  <si>
    <t xml:space="preserve">afpschile
</t>
  </si>
  <si>
    <t xml:space="preserve">gmoramirez
</t>
  </si>
  <si>
    <t xml:space="preserve">robertobustosoc
</t>
  </si>
  <si>
    <t xml:space="preserve">robertomerken
</t>
  </si>
  <si>
    <t>lpmartinchus
mi persona buscando el #dolar de
la suerte que tenía guardado en
mi billetera de adolescente para
cambiarlo y hacerme millonario
👀 #dolar #dolarblue #bancocentral
BCRA #Elecciones2023 https://t.co/vKAv5cW7Ld</t>
  </si>
  <si>
    <t>noticiaslaposta
Banco Central dice que en una jornada
acumuló U$S 200 millones en reservas
https://t.co/9RebeWmZDm #BancoCentral</t>
  </si>
  <si>
    <t>linsanchez583
Moneda Digital del Banco Central
(MDBC), se considera como una alternativa
que permita mejorar el acceso de
la población hondureña a los productos
y servicios financieros #PeriodismoUNAH
#BancoCentral https://t.co/xkwnYLbrlG</t>
  </si>
  <si>
    <t>bedrock079tm
Drex promete diminuir a influência
do Real (R$) convencional e do
Papel-Moeda. É a forma mais conservadora
de se criar uma nova Criptomoeda.
#Drex #BancoCentral #RobertoCamposNeto
#RobertoCampos #Economia #mercado
#Ações #Real BedRock™💸 https://t.co/Ozpsyb8wEd</t>
  </si>
  <si>
    <t>robertorvasco
detalhenoticia https://t.co/A6Cg9RrcaL
#BancoCentral #BCB via @BancoCentralBR</t>
  </si>
  <si>
    <t>radionovaera975
Banco Central revela planos para
o Pix: Uso offline, pagamentos
a prazo, pedágios e transações
internacionais #Economia #Notícias
#Notíciasemdestaque #BancoCentral
#Pix https://t.co/AY8cKIumkF https://t.co/ryUeVD5h02</t>
  </si>
  <si>
    <t>carlosovlad
Lagarde, presidenta del banco central
Europeo, vuelve a golpear https://t.co/To44ze01VR
¡Sigueme en 👆#Youtube como @carlosovlad
para más noticias financieras y
económicas! #lagarde #europa #españa
#alemania #francia #tasadeinteres
#bancocentral #bce #euro</t>
  </si>
  <si>
    <t xml:space="preserve">diegosantilli
</t>
  </si>
  <si>
    <t>gledes_marques
@CNNEconomia @CNNBrasil Eu detesto
o 4fingers, mas a taxa de juros
q o #BancoCentral tem mantido,
tem gerado mais gerado inflação
e prejudicado a #Economia do q
ajudado. No patamar q ela está
gera mais desemprego num país q
já está c uma parcela assustadora
da população abaixo da linha de
pobreza.</t>
  </si>
  <si>
    <t>cnnbrasil
Os novos diretores do Banco Central,
Gabriel Galípolo e Ailton Aquino,
tomam posse nesta quarta-feira
(12) na sede da instituição em
Brasília. Eles vão participar da
próxima reunião do Comitê de Política
Monetária (Copom), responsável
por definir a taxa Selic #LiveCNNBrasil
https://t.co/swO11zr3Gl</t>
  </si>
  <si>
    <t xml:space="preserve">cnneconomia
</t>
  </si>
  <si>
    <t>joanaguima99936
undefined undefined #BancoCentral
#BCB via @Ba ncoCentralBR</t>
  </si>
  <si>
    <t xml:space="preserve">ba
</t>
  </si>
  <si>
    <t>ciceroprofessor
#LulaPovoFeliz Como está evidente
a #Sabotagem do #Serviçal do #BancoCentral
contra o Governo Lula. Quando o
Senado Federal Federal irá se posicionar
sobre essa situação ruim que ele
mesmo #PARIU? Isso foi proposital
e não por engano né? Eleger um
#Cbozo como monarca do BC. https://t.co/vBFJUIQPf0</t>
  </si>
  <si>
    <t>paulofrancarh
#CamposNeto, Presidente do #BancoCentral
do #Brasil quer acabar com o juro
rotativo do cartão de crédito:
https://t.co/kkCfOHV0lD</t>
  </si>
  <si>
    <t>rodadecuia
Cheques terão mudanças a partir
de 2 de outubro Os cheques adotarão,
a partir do dia 2 de outubro, um
novo padrão. A medida anunciada
pelo Banco Central pretende modernizar
e dar mais segurança ao uso deste
instrumento de pagamento. #BANCOCENTRAL
https://t.co/TWAsMpqii8</t>
  </si>
  <si>
    <t>cgvillarroelv
Caída del Imacec 1,1%, pésima señal
+ desempleo. #BancoCentral #imacec</t>
  </si>
  <si>
    <t>adelaircosta
RT @JovemPanNews: #OsPingosNosIs
| CPI vai acionar Banco Central
(BC) para descobrir quem financia
ONGs da Amazônia; bancada comenta
📺 Co…</t>
  </si>
  <si>
    <t>cnnradioarg
Martín Lagos en CNN Primera Mañana,
con Pepe Gil Vidal: "Estamos en
un momento crítico" #Dolar #Inflacion
#BancoCentral https://t.co/wjqmdix0Xj</t>
  </si>
  <si>
    <t xml:space="preserve">nachogiron
</t>
  </si>
  <si>
    <t xml:space="preserve">martinredrado
</t>
  </si>
  <si>
    <t>sumundotv
Banco Central: quedan disponibles
RD$22,671 millones para préstamos
https://t.co/Q00nsKQ0mr @BancoCentralRD
#Préstamos #Mipymes #BancoCentral
#Sumundotv #Sumundodigital</t>
  </si>
  <si>
    <t>gacetaoficial
Gaceta Oficial: Gaceta Oficial
Venezuela #42669 12/07/2023 https://t.co/57gwI2mfKJ
Gaceta Oficial Venezuela 2023 #BancoCentral
#Comunicacion #Educacion #GacetaOficial2023</t>
  </si>
  <si>
    <t>cinema_brasil
#foracamposneto #bancocentral #sabotador
#jurosabsurdos https://t.co/txFcHDeIGm</t>
  </si>
  <si>
    <t>worldsysregtech
💡 El @BancoCentral_AR reveló que
los pagos con transferencia superaron
por primera vez las operaciones
con tarjeta de débito. Esta tendencia
refleja la preferencia por los
#PagosDigitales y el uso del celular
para abonar📱. #metodosdepago #psp
#billeteravirtual #bancocentral
https://t.co/DH1EFXiFWf</t>
  </si>
  <si>
    <t>resumidoinfo
🇦🇷 La economía de Argentina en
julio: el dólar subió $56 y las
reservas del #BancoCentral 💵 alcanzaron
su nivel más bajo desde 2006 👎🏽
https://t.co/lQtOkN8Z8E</t>
  </si>
  <si>
    <t>0x0dendi
Cuando ellos la cagan, los “errores”
corregimos imprimiendo más dinero,
pero ¿realmente afecta la tasa
de la #FED a nuestras vidas? La
tasa clave - es la tasa con la
que el #BancoCentral presta dinero
a los bancos comerciales. 🧻⬇️
https://t.co/hcMjih6tbu</t>
  </si>
  <si>
    <t>elbonanews
🔴 El #BancoCentral espera una
#inflación del 126% para este #año
👉 El organismo publicó este #viernes
el último #informe de los Relevamientos
de #Expectativas de #Mercado, donde
se estimó un incremento de 16 puntos
sobre la proyección anterior. https://t.co/gTPdXygfOd
https://t.co/oHhVVjtHGc</t>
  </si>
  <si>
    <t>ameescudero
@martinyeza Que bueno Martín! Este
domingo justamente me contaba una
amiga que trabajó en el #BancoCentral
y se acaba de jubilar como cuando
asumió #Macri digitalizó todo el
sistema de dicha entidad y se terminaron
las pilas de papeles en todas las
oficinas con un impacto altamente
efectivo.</t>
  </si>
  <si>
    <t xml:space="preserve">martinyeza
</t>
  </si>
  <si>
    <t>camisaez4
@culturas_cl el #bancocentral estará
participando este año en el día
de los patrimonios?</t>
  </si>
  <si>
    <t xml:space="preserve">culturas_cl
</t>
  </si>
  <si>
    <t>cronica
‼️ Lousteau calificó estos dichos como
un intento de "golpe de efecto"
en los televidentes, en el marco
de la campaña para las PASO 2023. 
#YoQueriaVerLaBovedaDelTioRico
#BancoCentral #Bullrich #Lousteau
#Elecciones2023 https://t.co/htXaXfrqcn</t>
  </si>
  <si>
    <t>eldaka22
el #TipoDeCambio tuvo una buena
jornada estos meses pero lo que
nadie toma en cuenta es que cuando
#casterns gobernaba el #bancoDeMexico
el #peso se fue a #pique ahora
que #administra el #BancoCentral
el #colapso del #dolar es inminente...
#coincidencias???</t>
  </si>
  <si>
    <t>sin24horas
Dos Minutos: baja la inflación
¿y qué? con @ViktorBautista #Noticiassin
#Inflación #BancoCentral https://t.co/w1HsL7WbMv
https://t.co/4nUtn2694q</t>
  </si>
  <si>
    <t xml:space="preserve">aliciaortegah
</t>
  </si>
  <si>
    <t xml:space="preserve">viktorbautista
</t>
  </si>
  <si>
    <t>ronaldo63238623
RT @AuditoriaCidada: Pressione
o Banco Central contra esta política
de juros altos que prejudica o
Brasil #JurosBaixosJá #Selic #BancoCentr…</t>
  </si>
  <si>
    <t>celi_eugenia
El #BancoCentral vs #MercadoPago???
JA, no tienen chances!! Team Mercado
Pago sin dudas, manga de GARCAS!!!!!!!!</t>
  </si>
  <si>
    <t>rculturalok
#Economia || #China || #BancoCentral
|| Argentina renovó swap con China
por US$19 mil millones. La nota
en: https://t.co/UYf3uMREj8 https://t.co/IFvh2WtIJ7</t>
  </si>
  <si>
    <t>matheuslins_
sem novidades, citando ambiente
externo adverso envolvendo bancos,
incerteza fiscal local, o Copom
mantém taxa selix em 13,75%. https://t.co/b8KYReec2E
#BancoCentral #BCB via @BancoCentralBR</t>
  </si>
  <si>
    <t>fenaefederacao
Os Comitês Populares de Luta realizam
o Mutirão Contra os #Juros antes
da próxima reunião do #Copom, para
pressionar o presidente do #BancoCentral
, Roberto Campos Neto. https://t.co/ijum5kQuWJ</t>
  </si>
  <si>
    <t>mariste91302118
undefined undefined #BancoCentral
#BCB via @BancoCentralBR</t>
  </si>
  <si>
    <t>josiasgomesba
Alô Banco Central e Campos Neto:
Tá na hora de cair os juros! O
Brasil não comporta mais a maior
taxa de juros do mundo! Exigimos
Juros Baixos Já! #JurosBaixosJá
#COPOM #BancoCentral #CamposNeto
https://t.co/dEFIQL5bE3</t>
  </si>
  <si>
    <t>pastrian_jose
¿Se irá a frenar la baja de tasas?
#inflacion #TPM #BancoCentral #RosannaCosta
#Tipodecambio #IPOM</t>
  </si>
  <si>
    <t>dfinanciero
🔑#DFFull | Rosanna Costa, presidenta
del Banco Central: “Esta alza reciente
(del dólar) ha ido más allá de
lo contemplado en las proyecciones
del IPoM” https://t.co/oAvsN3xO1Q
https://t.co/LgYPM5H048</t>
  </si>
  <si>
    <t>casandra61
En el mundo hay 195 países. ¿sabes
cuántos sin banco central? #BancoCentral
#Mundo #Paices https://t.co/4K3PGMH9da</t>
  </si>
  <si>
    <t>kevinmorillo2
BCRD reduce su tasa de política
monetaria en 25 puntos básicos,
disminuyendo de 7.75 % a 7.50 %
anual Leer más: https://t.co/5SGzNFGJLp
#EstrellasyRedes #BancoCentral
#EconomíaRD</t>
  </si>
  <si>
    <t>carlosrrene
Uds saben de quién es el #BancoCentral
cierto? Saben por que y por quién
fué designado, verdad?</t>
  </si>
  <si>
    <t>sergiou01329861
Alberto y Cristina K imprimiendo
billetes como locos para arreglar
su situación económica antes de
irse del gobierno ante el triunfo
de Milei. Por eso subió el dólar
y los bonos argentinos cayeron.
El Banco Central en Argentina es
controlado por el gobierno. https://t.co/9zWEvDtQd5</t>
  </si>
  <si>
    <t>spectrolu
U.S. 10 Treasury, U.S. 30 Treasury
despencando a curva toda inclinada
#cea #paap #cpa20 #cfp #tesouro
#eua #bancocentral #dolar #economia
https://t.co/KTgDzIwEov</t>
  </si>
  <si>
    <t xml:space="preserve">_robertomotta
</t>
  </si>
  <si>
    <t>anfiorillo
#PropuestasDePatoBullrich #BancoCentral
funcionando como #ReservaFederal
#Bullrich2023 https://t.co/W9HX8eZkiW</t>
  </si>
  <si>
    <t>midiainformal
Caixa Economica Federal vai cobrar
tarifa no Pix de pessoa jurídica;
entenda. @InformeRJO. ↳ https://t.co/I2hgsVpPnJ
#Caixa #CaixaEconomica #PIX #PessoaJuridica
#tarifa #Banco #MEI #microempreendedor
#BancoCentral #QRCode https://t.co/iqETItO4kF</t>
  </si>
  <si>
    <t xml:space="preserve">informerjo
</t>
  </si>
  <si>
    <t>sdnewscatalao
Considerado uma prévia do Produto
Interno Bruto (PIB), máximo histórico
é resultado do crescimento de 7,3%
no primeiro trimestre de 2023,
em comparação com os últimos três
meses de 2022. #PIB #bancocentral
#GOIAS https://t.co/2g0eZ0HKHm</t>
  </si>
  <si>
    <t>tiago_roberto_
Já imaginou fazer um pix de R$
1,2 bilhão? 💰 De acordo com o
relatório divulgado pelo Banco
Central nesta segunda, a maior
operação feita pelo Pix foi de
R$ 1,2 bilhão, realizada em dezembro
de 2022. (BM&amp;amp;C News) #PIX #bancocentral</t>
  </si>
  <si>
    <t>bravonius
El nuevo billete de $2000 sale
antes de lo esperado 💲 ❗Aseguran
que el BCRA ya cuenta con el nuevo
billete Se iniciará la etapa de
prueba y adaptación a los cajeros
Enterate de todo con @loretoso
junto a @JaviBorelli #billete #economia
#dosmil #bancocentral #BCRA https://t.co/jQaqZ9X9eN</t>
  </si>
  <si>
    <t xml:space="preserve">javiborelli
</t>
  </si>
  <si>
    <t xml:space="preserve">loretoso
</t>
  </si>
  <si>
    <t>canalccordoba
#Mássnoticias 🍼Nació la hija de
#cazzu y #christianNodal 🚨Asesinaron
a un policía que investigaba #narcos
en Rosario 🚌#Bullrich comenzará
un recorrido en Casa Rodante 💰El
#BancoCentral resolvió mantener
sin cambios la tasa de plazo fijo</t>
  </si>
  <si>
    <t>admedmar
RT @AuditoriaCidada: Pressione
o Banco Central contra esta política
de juros altos que prejudica o
Brasil #JurosBaixosJá #Selic #BancoCentr…</t>
  </si>
  <si>
    <t>7diasrd
Medida de liberación del encaje
legal para viviendas de bajo costo
supera ya los 1,000 beneficiarios
Más Información 👇 https://t.co/97EXO1ymXm
#7dias #7diasrd #noticias #santosdomingo
#ultimahora #pesosdominicano #pesos
#economiard #felizmartes #bancocentral
#banco #viviendas</t>
  </si>
  <si>
    <t>thatasou_
Mais de 2 meses sem conseguir acessar
a parte do cartão de crédito do
aplicativo @fazumiti Primeiro passo
já foi @itau Agora vou abrir reclamação
no #bancocentral para ver se vcs
se mexem e resolvem meu problema.
#itau https://t.co/VW5NtSwQIm</t>
  </si>
  <si>
    <t xml:space="preserve">fazumiti
</t>
  </si>
  <si>
    <t xml:space="preserve">itau
</t>
  </si>
  <si>
    <t>soydelejido
https://t.co/MkyYltfqxw #Santiagomatias
#BancoCentral #Uffff #Yailin #Preso</t>
  </si>
  <si>
    <t>valb38
RT @JovemPanNews: #3em1 | Presidente
Lula (PT) tem primeiro encontro
com Campos Neto; bancada comenta
📺 Confira na JP News #BancoCentral…</t>
  </si>
  <si>
    <t>pinaademir
@Metropoles Lamentável!!! Claramente
Roberto Campos Neto (Presidente
do Banco Central) luta contra o
#Brasil. #RobertoCamposNeto #BancoCentral
#JurosBaixosJa</t>
  </si>
  <si>
    <t xml:space="preserve">metropoles
</t>
  </si>
  <si>
    <t>portaldia_
Mudanças visam trazer mais segurança
e modernidade para o meio de pagamento.
https://t.co/EYhRVus5KF #portaldia
#economia #Cheque #Brasil #BancoCentral</t>
  </si>
  <si>
    <t>delatorrej
Las billeteras virtuales permiten
que los que menos tienen estén
dentro del sistema y se protejan
de la inflación. Ponerle trabas
a la inclusión financiera es joder
a los laburantes y a los pobres.
https://t.co/KiDEpN0JGG</t>
  </si>
  <si>
    <t>blueandwhite
este gobierno k destructivo lo
hace ... #BancoCentral #MercadoPago
dejando un país cada día más deshecho</t>
  </si>
  <si>
    <t>sigaleonnardo
Moedas Falsas: Viralizou na internet
suposta fabricação caseira de moedas.
Suposto vídeo teria sido feito
na Zona Oeste do Rio. 📸Reprodução/RS
#moeda #falsa #bancocentral #fabricacao
#dinheiro #caseiro #cunhagem #noticia
#urgente https://t.co/76ItRifEEn</t>
  </si>
  <si>
    <t>ronnymultani
#BancoCentral #Lisbon #portugal</t>
  </si>
  <si>
    <t>villagramanu
@Santander_Ar no se puede realizar
transferencias!!tampoco recibir
depósitos en dólares!!Que pasa!#cepodolar
#santandernofunciona #bancosantander
#tndolar #bancocentral</t>
  </si>
  <si>
    <t xml:space="preserve">santander_ar
</t>
  </si>
  <si>
    <t>noticiaslivech
🔴 La lucha de la #Argentina para
evitar que su problemática moneda
se siga devaluando estaría dejando
en quiebra al #bancocentral, según
algunas estimaciones. Detalles⬇️
https://t.co/7ZzEHkenz2 https://t.co/XNzdXtG9PB</t>
  </si>
  <si>
    <t>teddyopen
4 Passos para se tornar um Business
Banker de sucesso com a Teddy!
https://t.co/MxBGRCFgcz #bancario
#mercadofinanceiro #bancocentral</t>
  </si>
  <si>
    <t>mouralocutor
Brasileiros usam cada vez menos
dinheiro em espécie, diz BC Saiba
mais em: https://t.co/YhLAwgIZon
#bancocentral #brasil #pix #dinheiro
#economia https://t.co/c29csEzmwA</t>
  </si>
  <si>
    <t>seu_dinheiro_br
Mais de R$ 7 bilhões podem estar
à sua espera nos bancos: Saiba
como sacar o ‘dinheiro esquecido’
#AoVivo #BancoCentral #bancos https://t.co/DMGzmkIRh2</t>
  </si>
  <si>
    <t>glaucijuca
RT @AuditoriaCidada: Pressione
o Banco Central contra esta política
de juros altos que prejudica o
Brasil #JurosBaixosJá #Selic #BancoCentr…</t>
  </si>
  <si>
    <t>pol_arg
#BancoCentral | El Banco Central
lanzó este jueves medidas para
bajar el costo financiero de los
comercios por el uso de los códigos
QR https://t.co/0bfhVyXk6u</t>
  </si>
  <si>
    <t>troff10
Os juros altos está fudendo com
a gente. Quem é a favor de trocar
o presidente do #Bancocentral vota
sim ou não!! #Foracamposneto vc
está entregando nosso dinheiro
aos ricos! Não merecemos essa taxa
de #juros #jurosbaixosjá @congressoBR
@folha https://t.co/yDEicgFtuL</t>
  </si>
  <si>
    <t xml:space="preserve">congressobr
</t>
  </si>
  <si>
    <t xml:space="preserve">folha
</t>
  </si>
  <si>
    <t>biradantas
#BolsonaroInelegivel #BolsonaroNaCadeia
#OndeEstãoAsJóias #PiquetSabe #SítioDoPiquet
#Familícia #corrupção #jóias #Misheik
#MichequeBolsonaro #Naros #chargepolítica
Contra a CORRENTE DO ÓDIO... Só
LULINHA SALVA #FascistasNaCadeia
#JurosTemDeCair #BancoCentral FIZ
O L pra isso: https://t.co/DForo1uHRr</t>
  </si>
  <si>
    <t>canal10cba
💸Nuevo récord: el dólar "blue"
sigue en alza y tracciona a las
demás versiones de la moneda estadounidense.
💰Subió $11 respecto al miércoles
y no cede a pesar de la intervención
del #bancocentral . Éstas son las
cotizaciones del jueves 3 de agosto👇
https://t.co/Qr4e6gvLDw</t>
  </si>
  <si>
    <t>coinstopics
Banco Central evolui o Real Digital
e os participantes poderão instalar
nós em breve #bancocentral #brasil
https://t.co/LPvb6FJMdU</t>
  </si>
  <si>
    <t>cmbortowski
#MINISTRO DA #FAZENDA FERNANDO
#HADDAD ANUNCIA "META DE "INFLAÇÃO
CONTÍNUA" A PARTIR DO FINAL DE
2025. #CMN (CONSELHO MONETÁRIO
NACIONAL) COMPOSTO PELOS #MINISTÉRIOS
DA #FAZENDA, DO #PLANEJAMENTO E
#BANCOCENTRAL MANTÉM A #META EM
3% PARA O ANO DE 2026. https://t.co/qEBmJ8peO5</t>
  </si>
  <si>
    <t>lado_mx
#Bancocentral: PESO ARGENTINO MAYORISTA
&amp;amp;lt;ARS=RASL&amp;amp;gt; BAJA 0,26%
A 231,30 POR DÓLAR EN APERTURA,
DEVALUACIÓN HABITUAL CON REGULACIÓN
DEL BAN. https://t.co/4IRHjnMOat</t>
  </si>
  <si>
    <t>edisilva64
Comparações Entre o ChatGPT e a
Nova IA do Google, o Bard #ChatGPT
#Bard #Google #InteligênciaArtificial
#IA #AI #Fome #BolsaFamília #Mapadafome
#PAA #programadeaquisiçãodealimentos
#BancoCentral #Juros #JurosAltos
#SELIC #BaixadosJuros https://t.co/Xc8Pl03rCJ</t>
  </si>
  <si>
    <t>drdotrade
Não é atoa que, quanto mais dinheiro
é criado pelo FED, mais a desigualdade
social sobe.... Além disso, não
é atoa que a concentração bancária
fica cada vez maior! O Bitcoin
surgiu, em 31 de outubro de 2008,
como uma solução a isso! #bancocentral
#centralbank</t>
  </si>
  <si>
    <t>jornalcontabil_
A inflação oficial pelo Índice
Nacional de Preços ao Consumidor
Amplo (IPCA) poderá ficar negativa
em junho e subir no segundo semestre,
disse nesta segunda-feira (12)
o presidente do Banco Central (BC),
Roberto Campos Neto. https://t.co/nu2d0v9mDX
#inflacao #bancocentral</t>
  </si>
  <si>
    <t>newcapsec
En su intervención del viernes,
#Powell puso énfasis en algunas
señales de crecimiento económico
continuo y un fuerte gasto de los
consumidores, pero indicó que el
#bancocentral “procedería con cuidado”
con aumentos adicionales. 📰: https://t.co/gKUarEl0EY
$NVIDIA #TSLA $LCID https://t.co/gF67bHD7OU</t>
  </si>
  <si>
    <t>chavoramello
Aca hay un plan. Mientras en @FrenteDeTodos
@juntoscambioar continuan en sus
internas y @LLibertadAvanza esta
con la quema del #BancoCentral….
@demosargok 2023✔️ https://t.co/LfQVQzCnaJ</t>
  </si>
  <si>
    <t xml:space="preserve">demosargok
</t>
  </si>
  <si>
    <t xml:space="preserve">juntoscambioar
</t>
  </si>
  <si>
    <t xml:space="preserve">llibertadavanza
</t>
  </si>
  <si>
    <t>pcanelonh
Informe de Política Monetaria Septiembre
2023 https://t.co/QCPOxr9LZN #BancoCentral</t>
  </si>
  <si>
    <t>cutsaopaulo
Dirigentes da CUT-SP nas ruas !Trabalhadores
e trabalhadoras voltam a protestar
contra os #jurosaltos em todo o
#Brasil. Em #SãoPaulo, o protesto
nesta terça (19) ocorreu na Avenida
Paulista, n°1804, em frente ao
prédio do #BancoCentral. Fotos:
Roberto Parizotti/@CUT_Brasil https://t.co/VVMeIK3Owc</t>
  </si>
  <si>
    <t xml:space="preserve">cut_brasil
</t>
  </si>
  <si>
    <t>inteligentbolsa
B3 Considera Estender o Horário
de Negociações para até 22h https://t.co/sJap3qsM0G
#B3 #B3SA3 #BancoCentral #CVM https://t.co/UwBhWbGxxI</t>
  </si>
  <si>
    <t>4pagenda
Ante empresarios, #Milei reafirmó
su plan de «eliminar» el #BancoCentral
para poder #dolarizar la economía
https://t.co/kcNFNOQSyp https://t.co/eUej8srha7</t>
  </si>
  <si>
    <t>baiano_robo
RT @JovemPanNews: #OsPingosNosIs
| CPI vai acionar Banco Central
(BC) para descobrir quem financia
ONGs da Amazônia; bancada comenta
📺 Co…</t>
  </si>
  <si>
    <t>bingxportuguese
🔊 Estreia Mundial 🗓️Par: CANDY/USDT
($CANDY) ⏰ Negociação: 10:00 (UTC)
de 13 de junho de 2023 🏦 O depósito
já está aberto 🎁 Participe do
Listing Carnival para ganhar 33.333
CANDY! 🔗 Link de anúncio: https://t.co/KshVosFUwr
#CANDYPOCKET #CANDYTUNE #BancoCentral…
https://t.co/qiQBdGaNsJ</t>
  </si>
  <si>
    <t>fermanciniv
#BancoCentral #SELIC #RobertoCamposNeto
#economiapopular #finançaspúblicas
#lei15211951 https://t.co/DBy5QzWIN9</t>
  </si>
  <si>
    <t>datadiario
💥 LOUSTEAU CUESTIONÓ A BULLRICH
🔴 El precandidato a jefe de Gobierno
porteño @GugaLusto, apuntó por
@C5N contra la precandidata presidencial
#PatriciaBullrich, por sus declaraciones
recientes y su idea de entrar al
#BancoCentral con una cámara para
mostrar las bóvedas. https://t.co/VuBlEoTQ76</t>
  </si>
  <si>
    <t xml:space="preserve">c5n
</t>
  </si>
  <si>
    <t>mate124cru
RT @PeruMachete: El presidente
del #BancoCentral de Reserva, #JulioVelarde,
reconoció que la #agricultura atraviesa
su periodo más desafian…</t>
  </si>
  <si>
    <t>perumachete
El presidente del #BancoCentral
de Reserva, #JulioVelarde, reconoció
que la #agricultura atraviesa su
periodo más desafiante de los últimos
26 años. &amp;gt;&amp;gt;&amp;gt; https://t.co/FV8UmTGiL0
https://t.co/2wvvHkF2X8</t>
  </si>
  <si>
    <t>moneymarkets_br
📢 Acompanhe as atualizações da
reunião do #Copom do #BancoCentral
e as expectativas em relação à
taxa de #juros no Brasil. Saiba
mais 🎯 https://t.co/6uTlQaUwBp
#moneymarkets https://t.co/wPSM4k5icV</t>
  </si>
  <si>
    <t>maribel_036
RT @PeruMachete: El presidente
del #BancoCentral de Reserva, #JulioVelarde,
reconoció que la #agricultura atraviesa
su periodo más desafian…</t>
  </si>
  <si>
    <t>jmjornalmetrop
POR CAUSA DO PIX 💰 | #Febraban
diz que bancos deixarão de oferecer
as modalidades de pagamento até
29 de fevereiro de 2024. Saiba
mais: #TamoJuntoJM #JornalMetropolitano
#JM #MG #Pix #Ted #Doc #BancoCentral
#MinasGerais #BeloHorizonte #BH
#Contagem #Betim https://t.co/KAuBbENhvf</t>
  </si>
  <si>
    <t>keumendess
RT @AuditoriaCidada: Pressione
o Banco Central contra esta política
de juros altos que prejudica o
Brasil #JurosBaixosJá #Selic #BancoCentr…</t>
  </si>
  <si>
    <t>sergiovillanov4
RT @JovemPanNews: #OsPingosNosIs
| CPI vai acionar Banco Central
(BC) para descobrir quem financia
ONGs da Amazônia; bancada comenta
📺 Co…</t>
  </si>
  <si>
    <t>leydsonti
PIX está tão popular que está até
ganhando novos recursos como lentidão
e indisponibilidade. #pix #bcb
#BancoCentral</t>
  </si>
  <si>
    <t>trukamelo
Ultra derechista #milei atrae la
mayoría de los votos en la primaria
de argentina #maiu #drake #mexico
#Argentina #ArgentinaElige #EcuadorDebate2023
#bancocentral @AlmonteVega @AraJetAirlines
@victordume1 @RDPorLoAlto #PokemonGO
https://t.co/z0sdKXT9mg</t>
  </si>
  <si>
    <t xml:space="preserve">kristynathaly05
</t>
  </si>
  <si>
    <t xml:space="preserve">rdporloalto
</t>
  </si>
  <si>
    <t xml:space="preserve">victordume1
</t>
  </si>
  <si>
    <t xml:space="preserve">arajetairlines
</t>
  </si>
  <si>
    <t xml:space="preserve">almontevega
</t>
  </si>
  <si>
    <t>sonya250122
Aguente firme #bancocentral https://t.co/H42AOXdzqw</t>
  </si>
  <si>
    <t>eliasbuggmann
💡 Esses dados fazem parte das
Estatísticas de Crédito recém-divulgadas
pelo Banco Central. 💪📊 #BancoCentral
#EconomiaBrasileira</t>
  </si>
  <si>
    <t>arturo883056
#BancoCentral</t>
  </si>
  <si>
    <t>nunezreyniel
👌Ante las nuevas medidas, Resolución
111, del #BancoCentral nuestra
plataforma de #comercioelectrónico
#Enzona es una de las opciones
para el pago digital fácil y seguro
🔒 #ComercioElectrónico #Juntosporlatransformacióndigital
#CubaInformatiza https://t.co/zmRKg2KCJA</t>
  </si>
  <si>
    <t>ezequieldf33
@LulaOficial Tá doidinho pra tomar
o controle do #BancoCentral em
#Lula?! A menor taxa de juro foi
no governo Bolsonaro. O que tá
salvando a economia do país é a
independência do BC.</t>
  </si>
  <si>
    <t>lulaoficial
Não existe explicação para uma
taxa de juros em 13,75%, porque
não temos inflação de demanda.
Não sou eu que sou contra essa
taxa de juros, são os pequenos,
médios e grandes empresários, agricultores.
É preciso reduzir, inclusive para
estar de acordo com a taxa da inflação,
que…</t>
  </si>
  <si>
    <t>hudson_dourado
E mais uma vez eu volto aqui para
falar sobre o @picpay e sua inteligentíssima
tratativa para resolver o meu caso!
Infelizmente eu fiz um pagamento
de forma errada para uma pessoa
que desconheço total (SIM ESSE
ERRO FOI MEU). #bancocentral</t>
  </si>
  <si>
    <t xml:space="preserve">picpay
</t>
  </si>
  <si>
    <t>jwnews_abc
O Comitê de Política Monetária
(Copom) do Banco Central (BC) começa
nesta terça-feira (20), em Brasília,
a quarta reunião do ano para definir
a taxa básica de juros, a Selic.
. . . #Copom #TaxaDeJuros #Selic
#Economia #BancoCentral https://t.co/IxUS05z0PF</t>
  </si>
  <si>
    <t>independientsoy
📈 El directorio del #BancoCentral
de Reserva (#BCR) acordó mantener
por sexta vez consecutiva la tasa
de #interés de referencia en 7.75%.
👉🏻 https://t.co/stASDimcsm https://t.co/wD3JNOgXse</t>
  </si>
  <si>
    <t>wellingtonsmabc
Estamos na luta pela garantia dos
direitos de trabalhadores e trabalhadoras
na Volks, mas seguimos em mobilização
nacional pela queda da taxa de
juros. O País precisa crescer!
#SMABC #JurosBaixosJá #bancocentral</t>
  </si>
  <si>
    <t>osbereanos
Pancadão do Amor venceu! Se o juros
está alto e a oposição está forte,
leve a Banda Vodu é pra Jacú no
seu estado. Lavagem do Congresso
com sal grosso e do Banco Central
com sabão em pó e água. #congressonacional
#bancocentral #voduéprajacu #atualidades
#geopolitica #luizcurvelo https://t.co/Lfzk5RJZKh</t>
  </si>
  <si>
    <t>cgratereaux
Dice un ex-presidente de la Cámara
de Cuentas de RD que ellos realizaron
una auditoría al #BancoCentral
y se encontraron miles de irregularidades
@josepeguero Ahí aparecen macos
y muy caros, porque ahí si hay
dinero y se maneja dinero del señoreaje
medalaganaria y mente...</t>
  </si>
  <si>
    <t xml:space="preserve">josepeguero
</t>
  </si>
  <si>
    <t>raphael08402245
#ibov #BancoCentral Por aqui a
taxa de juros era 4,4%.... qual
necessidade de 13,75%.... dolar
está caindo forte de mais. Isso
vai travar as commodities. @LulaOficial,
@Haddad_Fernando destitui logo
o presidente do Banco Central.
Vai matar a economia do 🇧🇷, inflação
por demanda https://t.co/cxNH8z62Ch</t>
  </si>
  <si>
    <t xml:space="preserve">simonetebetbr
</t>
  </si>
  <si>
    <t xml:space="preserve">haddad_fernando
</t>
  </si>
  <si>
    <t>jornale_
#mercadofinanceiro #inflacao #economia
#bancocentral #boletimfocus #dinheiro
#economy #brasil #noticias #news
#jornale https://t.co/qmbRtlSUBl</t>
  </si>
  <si>
    <t>radiojornalpe
O Banco Central publicou na última
segunda-feira (4) o "Relatório
de Gestão do Pix - Concepção e
primeiros anos de funcionamento
2020-2022". Saiba qual foi o maior
valor realizado pelo Pix. #bancocentral
#pix #transferencia #jm https://t.co/MleCwSDLOw</t>
  </si>
  <si>
    <t>rkcdardis
https://t.co/aWIvMTKnRI #economiaemmovimento
#economiaclaraepratica #mercadofinanceiro
#bancocentral #juros #oportunidades
https://t.co/FpbTJY3DAy</t>
  </si>
  <si>
    <t>fenrir09750071
#Bancocentral exige a los a bancos
ahorrar. Excusa : Estar listos
y con liquidez para enfrentar un
pronta crisis..Mundial.</t>
  </si>
  <si>
    <t>maisnewsoficial
Banco Central alerta: fraudes no
PIX O Banco Central anunciou nesta
terça-feira (2) novas medidas de
segurança para as transações via
Pix, o sistema de pagamentos instantâneos...
https://t.co/876ReXCBiZ #PIX #BancoCentral
#Economia #MaisNews #Noticias #PrMarcioBatista
https://t.co/WNQqONgRMw</t>
  </si>
  <si>
    <t>viuuoficial
O relatório do Banco Central reduziu
a previsão de inflação do ano pela
oitava vez. As previsões para o
PIB e o câmbio também são otimistas.
#BancoCentral #boletimFocus #PrevisãodeInflação
https://t.co/UODegVKFHi https://t.co/UODegVKFHi</t>
  </si>
  <si>
    <t>peulloa
Me siento sumamente comprometido
a seguir trabajando para defender
los derechos de cada dominicano
🇩🇴🙌🏾. Actualmente con el @DefensorRD
nos encontramos en la posición
número tres en cuanto a la autonomía,
siendo superados solamente por
la #Procuradoría y #BancoCentral.
https://t.co/GMcLXplDo0</t>
  </si>
  <si>
    <t xml:space="preserve">defensorrd
</t>
  </si>
  <si>
    <t>elcirculotv_
El economista norteamericano Steve
Hanke, de la Universidad Johns
Hopkins, afirmó a Infobae que los
planes del candidato y economista
libertario son los únicos que pueden
erradicar la alta inflación argentina.
#BANCOCENTRAL #DÓLAR #MILEI https://t.co/AhLoBPZ4E2
https://t.co/XCK3zH3YhH</t>
  </si>
  <si>
    <t>forumdefesa
BC também promete aplicativo para
centralizar produtos bancários.
Leia em: https://t.co/ggpsyAqcHy
#bancocentral #pix #forumservicopublicoceara
https://t.co/POdQqP5d2Z</t>
  </si>
  <si>
    <t>revtrinchera
💸#Inflación: las proyecciones
y las advertencias del #BancoCentral
(@BancoCentral_AR) para lo que
queda del año La entidad monetaria
alertó sobre los próximos ajustes
salariales y le puso fecha de vencimiento
a la desaceleración del índice
de #precios. https://t.co/jDDvhBJ8uH
https://t.co/BJ982YqaWu</t>
  </si>
  <si>
    <t>perfilcombrasil
https://t.co/h5z7xNIl10 #copom
#bancocentral #economia #noticias
#brasilperfil</t>
  </si>
  <si>
    <t>bairesparatodos
Quién es Emilio Ocampo, el economista
que Javier Milei piensa poner al
frente del Banco Central para cerrarlo
https://t.co/n7jXT0E8NO #BairesParaTodos
#BancoCentral #EmilioOcampo #JavierMilei
https://t.co/mY2DolRIfO</t>
  </si>
  <si>
    <t>blogdojuares
Novidade só deve chegar ao público
no fim de 2024: #drex #bc #bancocentral
#criptmoeda #moeda #pix #funcionamento
#brasil #governofederal #bj #bjNews
#economia #blogdojuares https://t.co/KlpBvDTf1W</t>
  </si>
  <si>
    <t>dipbonaerenses
•El #BancoCentral precisó que la
publicación del Relevamiento de
Expectativas de Mercado será el
mismo día en que el #INDEC informe
la #inflacion. https://t.co/JPFhcojm9t</t>
  </si>
  <si>
    <t>gaylulista13
RT @AuditoriaCidada: Pressione
o Banco Central contra esta política
de juros altos que prejudica o
Brasil #JurosBaixosJá #Selic #BancoCentr…</t>
  </si>
  <si>
    <t>osmelernesto
El darle peso a la presión social
por el simple hecho de complacerlos
te hace preso de tu propio destino
🥠 #sii #bancocentral #viñadelmar
#Eurovision2023</t>
  </si>
  <si>
    <t>facucaza
Para... me estás diciendo que @Juli_Strada
confirmo que el #BancoCentral tiene
reservas negativas? La #Directora
del #BancoNacion confirma que el
#kirchnerismo hizo mierda las reservas
en la campaña? https://t.co/KsamR0aT3T</t>
  </si>
  <si>
    <t>juli_strada
Meme más cantado que despacito:
https://t.co/D9ae0RNtTV</t>
  </si>
  <si>
    <t>quecontaee
Presidente do #BancoCentral, Roberto
Campos Neto, estuda acabar com
#Crédito rotativo, com #juros acima
de 450% ao ano. Pagamento parcial
da fatura levaria a parcelamento
automático com juros mais baixos.
Altos juros e #inadimplência afetam
os mais pobres, gerando #taxasabusivas.
https://t.co/g4FvXBLE7g</t>
  </si>
  <si>
    <t>vbgaikon
@chiqui_avalos En su primer gobierno,
quintuplicó la deuda externa Pya.
Hoy, sin asumir aún, están planteando
nuevas deudas con bonos soberanos
para salvar al #BASA del #default
Empezaron a abonar el terreno con
el mentiroso informe del #BancoCentral
de inflacion de Mayo = 0%</t>
  </si>
  <si>
    <t xml:space="preserve">chiqui_avalos
</t>
  </si>
  <si>
    <t>canaleconomico
Miguel Ponce: “Estamos en manos
de funcionarios que desconocen
cómo funciona el comercio exterior”
https://t.co/Oiha5C1ArO Cc: @IngMiguelPonce
@marianogoro @rociokalenok #bancocentral
#economia #canaleconomico</t>
  </si>
  <si>
    <t xml:space="preserve">herno7
</t>
  </si>
  <si>
    <t xml:space="preserve">martinnmena
</t>
  </si>
  <si>
    <t xml:space="preserve">mechilearning
</t>
  </si>
  <si>
    <t xml:space="preserve">arielcoremberg
</t>
  </si>
  <si>
    <t xml:space="preserve">pepegilvidal
</t>
  </si>
  <si>
    <t xml:space="preserve">lpfundacion
</t>
  </si>
  <si>
    <t xml:space="preserve">abramaldo
</t>
  </si>
  <si>
    <t xml:space="preserve">osvaldohbassano
</t>
  </si>
  <si>
    <t xml:space="preserve">santiagollull
</t>
  </si>
  <si>
    <t xml:space="preserve">arielgmaciel
</t>
  </si>
  <si>
    <t xml:space="preserve">dipace4
</t>
  </si>
  <si>
    <t xml:space="preserve">rociokalenok
</t>
  </si>
  <si>
    <t xml:space="preserve">marianogoro
</t>
  </si>
  <si>
    <t xml:space="preserve">ingmiguelponce
</t>
  </si>
  <si>
    <t>juanwpimentel
🌍Empieza 4 Julio! CBDC Moneda
digital del Banco Central: lo que
necesitas saber! Mas info aqui:
https://t.co/emWETL31sW #cbdc #bancocentral
#criptomonedas #dollar #fednow
#reservafederal https://t.co/kg6TxjOGqC</t>
  </si>
  <si>
    <t>mondinthalles
⚠️ Isso é uma encenação 📸 aos
desavisados No próximo vídeo vou
te ensinar, como você faz isso
no seu banco na prática 💰🏦🫵
#bc #bancocentral #bancos #dinheiro
#openfinance #openbank #financiamento
https://t.co/HxvKzxI3TW</t>
  </si>
  <si>
    <t>silasv2
RT @CiroPNDdoBrasil: 📢 Pra que
serve o Banco Central? . 📌 Ciro
Gomes explica que o Banco Central
deveria estar perseguindo dois
objetivos,…</t>
  </si>
  <si>
    <t>targonis
Quem é você? Eu sou Gabriel Galípolo,
indicado por Haddad para diretoria
do Banco Central. Estou aqui na
feira do MST ao lado de meus companheiros.
. . . . . . . . . . #gabrielGalipolo
#mitonews #MST #bancocentral https://t.co/g1e5Vx9dny</t>
  </si>
  <si>
    <t>robrape
#Foracamposneto #jurosbaixosja
#AGIOTAGEM #bc #bancocentral BANCO
CENTRAL DE RABO PRESO COM ESPECULADORES
https://t.co/vlvPmXLShF</t>
  </si>
  <si>
    <t>marcianobrito13
Cúpula do PT cobra 'demissão urgente'
de Campos Neto da presidência do
Banco Central https://t.co/VY20nOJVCV
Decisão do Copom de manter a Selic
em 13,75% provocou revolta. Mandato
do presidente do BC vai até 2024
e uma eventual demissão depende
do aval do Senado</t>
  </si>
  <si>
    <t>sonartrade
#PPI #SonarTrade #Inflação #mercadofinanceiro
#bancocentral #investing #economia</t>
  </si>
  <si>
    <t>shermanwarrior
Esta bueno saber que te toman para
un laburo y al mismo tiempo que
te van a rajar, te ahorra el trago
amargo. #MileiEsUnaEstafa #bancocentral
#ocampo #Milei</t>
  </si>
  <si>
    <t>investidoreso
A audiência foi pedida pelo PT
e Campos Neto não era obrigado
a participar, entretanto está disponível
aos questionamentos. Acompanhe
ao vivo #bancocentral #taxadejuros
#investimentos https://t.co/9XNmIjdLdf
https://t.co/hYs5FJAgIF</t>
  </si>
  <si>
    <t>ruygtr
@folha O compromisso do Campos
Neto, é com os rentistas milionários.
#BC #BancoCentral #ForaCamposNeto</t>
  </si>
  <si>
    <t xml:space="preserve">eixopolitico
</t>
  </si>
  <si>
    <t>gleisi
Campos Neto, responsável pelo Brasil
ter o maior juro do planeta, agora
quer terceirizar ativos do BC.
É isso, tirar do Estado e deixar
ao bel prazer do mercado. E o que
acontece com as reservas de U$340
bilhões? Não explicou até agora
o tal erro contábil de R$1 trilhão
no banco…</t>
  </si>
  <si>
    <t>benbusi18
USD/BRL analysis as Brazil central
bank slashes interest rates https://t.co/F4QGDpYHwE
#Brazil #USDBRL #BancoCentral #inflation</t>
  </si>
  <si>
    <t>alimikaok
Y eso que solo estamos a martes
🤦‍♀️ Una lástima despertar y encontrar
estos mensajes de las distribuidoras
El dólar disparado Que tendrá para
decir el Banco central ? #milei
#PASO2023 #bancocentral #k #peronismo
#Argentina #crisis https://t.co/h847apqkMI</t>
  </si>
  <si>
    <t>why_pi_mrfaces
RT @bancomoc: Governador do Banco
de Moçambique, Rogério Zandamela,
comunica decisão do Comité de Política
Monetária. Assista ao vídeo em…</t>
  </si>
  <si>
    <t>dinicamargo
RT @JovemPanNews: #OsPingosNosIs
| CPI vai acionar Banco Central
(BC) para descobrir quem financia
ONGs da Amazônia; bancada comenta
📺 Co…</t>
  </si>
  <si>
    <t>victaodobitcoin
DREX, a nova moeda do Brasil 🇧🇷
#drex #banco #bancocentral #moeda
#dinheiro #real #realdigital #economia
#bitcoins #btc #cripto #criptomoedas
https://t.co/UVAiXJkhqw</t>
  </si>
  <si>
    <t>noticiasimpac
Fuerza del Pueblo exige a Ministerio
de Hacienda y Banco Central aclarar
como se entregaron fondos a las
Mipymes #BancoCentral #FuerzadelPueblo
#MinisteriodeHacienda #Mipymes
@BancoCentralRD @LeonelFernandez
#NoticiasImpac #Nacionales https://t.co/UiNiiDIvkf
https://t.co/PjdSLTvPqS</t>
  </si>
  <si>
    <t xml:space="preserve">leonelfernandez
</t>
  </si>
  <si>
    <t>fiususy
Alguien q le diga a #Bullrich q
las reservas no se acumulan en
el #BancoCentral. Por favor,q por
lo menos haga un curso de economía
por la web! #NoEsUnPaisNormal tenemos
candidatos como esta señora,q en
el 2001 le recortó el 13% a jubilados,sin
remordimiento🙄🥴 https://t.co/NcGo59BRDe</t>
  </si>
  <si>
    <t>manaustime
#BancoCentral seleciona 16 propostas
de participação em piloto do #RealDigital
https://t.co/glyTPYUQXc https://t.co/JOuA7mowVf</t>
  </si>
  <si>
    <t>elcontrastecl
🔴 💴 Conoce más de la mujer que
será homenajeada en un billete
conmemorativo de “Mujeres Valiosas”.
https://t.co/254toRs1Ue #MargotDuhalde
#BancoCentral #Chile #MujeresValiosas</t>
  </si>
  <si>
    <t>passanacentral
📣 Concurso Bacen: presidente reforça
necessidade de nova seleção. Expectativa
é que autorização saia ainda este
ano 👉 https://t.co/4OqigAqNWN
#concursos2023 #concursospublicos
#concursopublico #concursobacen
#bacen #bancocentral #bancocentraldobrasil
https://t.co/OTc1XdCbY1</t>
  </si>
  <si>
    <t>noticiasdel6
Entérate sobre declaraciones del
economista #JavierMilei en la 89.9
FM, Radio con Vos sobre recomendaciones
para saltear las regulaciones del
#BancoCentral para tener una mayor
retribución en dólares https://t.co/VgeJKfBvDW</t>
  </si>
  <si>
    <t>hadrianus_63
El #Bancocentral NO debe bajar
las tasas de interés hasta que
NO CONTROLE la inflación... no
TIENE los datos del IPC de agosto
y septiembre...</t>
  </si>
  <si>
    <t xml:space="preserve">nicopaut
</t>
  </si>
  <si>
    <t>agenciaestado
📊🌍 Veja os destaques do Boletim
Focus desta semana. Já compartilha
e salva. #AgênciaEstado #Broadcast
#jornalismo #notícias #Copom #FOCUS
#BancoCentral #Inflação #IPCA #Juros
#Selic #Câmbio #PIB #Economia #ProjeçõesEconômicas
#CompartilheOSaber #FiquePorDentro
https://t.co/UBaOHR2kre</t>
  </si>
  <si>
    <t>kfourymarcelo
Segue link do artigo publicado
na @AgenciaEstado sobre a curva
de Phillips: https://t.co/rkG5jkZzsI
Trago um debate sobre a relação
inversa entre a taxa de desemprego
e a inflação, a Curva de Phillips.
 #inflação #desemprego #curvadephillips
#bancocentral #copom (1/5) https://t.co/bMT4Iwn8Y2</t>
  </si>
  <si>
    <t>niltotatto
PESQUISAS DE CAMPOS NETO ORIENTARAM
CAMPANHA DE BOLSONARO O envolvimento
do presidente do Banco Central
com o projeto de reeleição do ex-presidente
foi maior do que se sabia até agora
@revistapiaui https://t.co/RjUIwiCsRZ
#Juros #Selic #Bacen #BancoCentral
https://t.co/roUFEeFQbZ</t>
  </si>
  <si>
    <t xml:space="preserve">revistapiaui
</t>
  </si>
  <si>
    <t>dunascapital
Cerramos la semana pasada repleta
de información de relevancia y
con varias reuniones de bancos
centrales que eran seguidas con
gran expectación... 1/5 HILO 🧵
#BancoCentral #análisismacro #perspectivasdemercado
#mercado #inflación https://t.co/ZkG1qMBmbh</t>
  </si>
  <si>
    <t>torodebitcoin
El día que #Mexico 🇲🇽 diga ¡ADIÓS!
al narco-trafico será el día que
el #BancoCentral se derrumba gracias
a #Bitcoin #SiSePuede</t>
  </si>
  <si>
    <t>sevdabekirova
#Azerbaiyán advierte a los bancos
que transfieren dinero ilegalmente
a #Karabaj #Citibank #Raiffeisen
#BancoCentral #terrorismo https://t.co/6N1r5CEKrU</t>
  </si>
  <si>
    <t>cpqd
Mais uma conquista do CPQD! O CPQD
foi selecionado pelo Banco Central
para piloto do Real Digital, com
consórcio que envolve mais 11 instituições,
entre elas o Basa, TecBan e ClearSale.
#CPQD #Tecnologia #Inovação #BancoCentral
#RealDigital #Conquista https://t.co/2rIbI5LWhb</t>
  </si>
  <si>
    <t>195177
RT @JovemPanNews: #OsPingosNosIs
| CPI vai acionar Banco Central
(BC) para descobrir quem financia
ONGs da Amazônia; bancada comenta
📺 Co…</t>
  </si>
  <si>
    <t>globonews
“Entre empresários do setor produtivo,
clima de desânimo e, por parte
de alguns, de indignação”, conta
Rosana Cerqueira sobre decisão
do BC. Empresário diz que Copom
politiza uma decisão técnica. Saiba
mais. ➡ Assista ao #J10 com @NilsonKlava:
https://t.co/yAMjf4cw3V #GloboNews
https://t.co/hVXrCPYhqy</t>
  </si>
  <si>
    <t xml:space="preserve">erickbang1
</t>
  </si>
  <si>
    <t xml:space="preserve">betepacheco_
</t>
  </si>
  <si>
    <t xml:space="preserve">cosmemarcelo
</t>
  </si>
  <si>
    <t xml:space="preserve">estudioi
</t>
  </si>
  <si>
    <t xml:space="preserve">danielhrs
</t>
  </si>
  <si>
    <t xml:space="preserve">nilsonklava
</t>
  </si>
  <si>
    <t>hojebahia
BC fará consultas públicas para
regular mercado de criptoativos
#criptomoedas #regulação #bancocentral
https://t.co/wNDwcMxJni</t>
  </si>
  <si>
    <t>noticiasdecruce
#HavilaVoyages recibe la licencia
del #BancoCentral de #Irlanda https://t.co/4SXrMQJubK
Esto permite que continúe la financiación
y entrega de sus cruceros costeros
Havila Polaris y Havila Pollux.
https://t.co/gKPz5dhUJy</t>
  </si>
  <si>
    <t>tentritetrisqui
un poco de cultura tanto que se
ataca de manera ofensiva a las
personas que se consideran ignorantes.
hay 195 países y solo 10 no tienen
Banco Central #Milei #Milei2023
#bancocentral #DOLARIZACION #Argentina
#islasmalvinas #EconomiaParaTodos
@LLibertadAvanza https://t.co/Gn3nkVm20a</t>
  </si>
  <si>
    <t>rosangelaleme3
RT @JovemPanNews: #OsPingosNosIs
| CPI vai acionar Banco Central
(BC) para descobrir quem financia
ONGs da Amazônia; bancada comenta
📺 Co…</t>
  </si>
  <si>
    <t>einvestidor
📊🇧🇷 No contexto doméstico, foi
divulgado o Índice de Atividade
Econômica do Banco Central (IBC-BR),
considerado a prévia do Produto
Interno Bruto (PIB) do Brasil.
Confira #mercadofinanceiro #investimentos
#bancocentral https://t.co/i70avjo4bQ</t>
  </si>
  <si>
    <t>chile_21
Mañana a las 10 am un importante
análisis de la política monetaria
en Chile21 con el @foroeconomicocl
. Por nuestro canal de Youtube.
https://t.co/nUm1XjAsp2 #bancocentral
#tasadeinteres https://t.co/SIobbdgccu</t>
  </si>
  <si>
    <t xml:space="preserve">foroeconomicocl
</t>
  </si>
  <si>
    <t>martinkalos
Muy buen hilo de @ferpeirano donde
resume las tendencias mundiales
actuales sobre #desdolarizar (¡NO
dolarizar!) y simplificar el sistema
bancario (¡NO eliminar el #BancoCentral!).</t>
  </si>
  <si>
    <t>ferpeirano
#BANCOCENTRAL #DESDOLARIZACION
(HILO) Mi participación en las
redes está fuertemente asociada
a la ciencia, tecnología e innovación.
No suelo compartir opiniones sobre
Economía Internacional, a pesar
de ser profesor concursado de dicha
materia en la UBA y en la UNQ.</t>
  </si>
  <si>
    <t>ntsp_es
Javier Milei: La tasa de interés
en Argentina es alta debido a la
falta de ahorros. #bancocentral
#argentina #tasadeinteres #ahorro
#fisco #ntsp_es #javiermilei https://t.co/RCrb85ZmXY</t>
  </si>
  <si>
    <t>danielg_s6
2. Banco Central corta Selic em
0,50 ponto percentual, estratégia
menos conservadora. #BancoCentral
#Selic #Economia 3. Dólar à vista
amplia alta e se aproxima de R$
4,90 com pressão externa e reflexo
da decisão do Copom. #Dólar #Copom
#PressãoExterna</t>
  </si>
  <si>
    <t>rosario_con94
RT @PeruMachete: El presidente
del #BancoCentral de Reserva, #JulioVelarde,
reconoció que la #agricultura atraviesa
su periodo más desafian…</t>
  </si>
  <si>
    <t>higorsantos568
Mas é claro que o Lula não vai
ser cancelado pelos ativistas,
feministas, a galera do todes,
porque o problema não é o que fala,
e sim quem fala, imagina se o Bolsonaro
falasse isso. #Mulheres #Corrupção
#BancoCentral https://t.co/ELZYiOjzW5</t>
  </si>
  <si>
    <t>esron
A decisão do #COPOM hoje será por
corte de 0,50% #Selic #TaxadeJuros
#BancoCentral</t>
  </si>
  <si>
    <t>tatianarevoredo
[7/9] ⏳Mas a indicação tardia do
#BancoCentral como regulador do
setor - junto com a #CVM que se
encarregará dos ativos considerados
valor mobiliário - atrasa a definição
dos detalhes de como o mercado
irá operar. 👉🏼Por isso, ainda
não se sabe, por exemplo, quais
os parâmetros…</t>
  </si>
  <si>
    <t>cbnoficial
.@mcfernandes fala sobre encontro
entre o presidente Lula e o presidente
do Banco Central, Roberto Campos
Neto: 'há muita expectativa para
esse encontro.' #NoArNaCBN #Lula
#BancoCentral https://t.co/L9PCwHspG5</t>
  </si>
  <si>
    <t xml:space="preserve">laurojardim
</t>
  </si>
  <si>
    <t xml:space="preserve">jornaldacbn
</t>
  </si>
  <si>
    <t>redetv
RT @NoticiasRedetv: Copom define
nesta quarta-feira (20) taxa básica
de juros - Expectativa é de corte
de 0,5 ponto percentual #Copom
#Ec…</t>
  </si>
  <si>
    <t>noticiasredetv
Mercado eleva para 1,68% projeção
do crescimento da economia em 2023
- Inflação deve ficar em 5,69%
este ano, segundo Boletim Focus
#BoletimFocus #Economia #Inflação
#BancoCentral Saiba mais: https://t.co/Eb4M4L8CNY</t>
  </si>
  <si>
    <t>estoaresearch
Mercado financeiro eleva projeção
do PIB para 1,26% em 2023 #BoletimFocus
#BancoCentral #PIB https://t.co/tW2nxnphZj</t>
  </si>
  <si>
    <t>arrcanjjo
“Estamos tendo excesso de produto”,
diz Luiza Trajano a Roberto Campos
Neto em evento do Instituto para
Desenvolvimento do Varejo. Ela
cobrou redução de juros do presidente
do Banco Central: “Na hora que
apertou, os assessores mandam recado".
#bancocentral #juros #lula #pt
https://t.co/sbGoGYqMmj</t>
  </si>
  <si>
    <t>rodrigo__correa
MANTEU! CMN "manteu" a meta de
IPCA para 2026 em +3,0% +/- 1,5%.
Alterou a cobrança para CONTÍNUA.
Notícia positiva para os mercados.
@somosnomos #CMN #bancocentral
#IPCA #meta #juros</t>
  </si>
  <si>
    <t xml:space="preserve">somosnomos
</t>
  </si>
  <si>
    <t>reginaldoprofe
Essa expressão do #BancoCentral
independente é uma falácia. O Banco
Central é totalmente dependente
e controlado pelo #MercadoFinanceiro,
que está pouco se lixando pro combate
à #fome, geração de #emprego e
#industrialização do #país. O #mercado
quer é #rentismo.</t>
  </si>
  <si>
    <t>juliaview
RT @ReginaldoProfe: Essa expressão
do #BancoCentral independente é
uma falácia. O Banco Central é
totalmente dependente e controlado
pelo #…</t>
  </si>
  <si>
    <t>aterionegro
#PlanCastello #ATE expresó preocupación
por la decisión del #BancoCentral
de expender divisas sólo por el
40% de las deudas de capital de
las provincias, teniendo en cuenta
que aún no se ha pagado la primera
cuota del empréstito de 570 millones
de dólares para #RíoNegro https://t.co/6Q4hT5FS89</t>
  </si>
  <si>
    <t>jc_pe
#Charge de Thiago Lucas (@thiagochargista)
#haddad #camposneto #juros #economia
#lula #bancocentral https://t.co/CKAu6MU1mV</t>
  </si>
  <si>
    <t xml:space="preserve">thiagochargista
</t>
  </si>
  <si>
    <t>ecommerce_br
📣 Pix automático chega em 2024,
confirma Banco Central! Saiba mais:
https://t.co/d6r56FRsa5 #EcommerceBrasil
#Pix #BancoCentral https://t.co/weBxZJfVsU</t>
  </si>
  <si>
    <t>blogdobrito1
Bom dia, amigos do oitão! #SouNordestinoComOrgulho
#bozonacadeia2023 #semanistaparagolpista
Belzebu https://t.co/bsPV9ZvnAh
#caricatura #charges #cartum #jornalismoindependente
#arte #cultura #historia #camaradosdeputados
#BC #bancocentral #senado #stf
#tse https://t.co/dHSFEe9NrJ</t>
  </si>
  <si>
    <t>radiojujuylibre
La inflación es el gran mal de
Argentina. "La solución existe,
el problema es que implementarla
va en contra de los intereses políticos."
@JMilei #MiltonFriedman #Economía
#PremioNobel #Inflación #BancoCentral
#ImpresiónDeBilletes #Milei #LaLibertadAvanza
#Jujuy #RadioJujuyLibre https://t.co/QXEFNKjHZM</t>
  </si>
  <si>
    <t xml:space="preserve">jmilei
</t>
  </si>
  <si>
    <t>alvero_oficial
@fdavilaoficial @BancoCentralBR
@Fiesp @FEBRABAN @SenadoFederal
@camaradeputados #BancoCentral
#Selic #dolar #inflação</t>
  </si>
  <si>
    <t xml:space="preserve">febraban
</t>
  </si>
  <si>
    <t xml:space="preserve">fiesp
</t>
  </si>
  <si>
    <t xml:space="preserve">camaradeputados
</t>
  </si>
  <si>
    <t>senadofederal
O presidente do Banco Central,
Roberto Campos Neto, será ouvido
novamente pela Comissão de Assuntos
Econômicos https://t.co/TLcXNTd14X
https://t.co/EVOnNcZkUa</t>
  </si>
  <si>
    <t>fdavilaoficial
Lembram o que aconteceu quando
Dilma quis mudar a taxa de juros
na canetada? https://t.co/5oXsVMnbk9</t>
  </si>
  <si>
    <t>radiotrestres
#grupo33 #enterate - El dólar consolidó
la baja pero aumenta la tensión
por la caída de reservas del Banco
Central Treinta&amp;amp;Tres – RADIO
33 | 97.3 POSADAS | 99.5 OBERÁ
| 102.3 IGUAZÚ - https://t.co/yWakkYhEkf
#dólar #BancoCentral #economia
https://t.co/2wLqL8PL5B</t>
  </si>
  <si>
    <t>trading_alerts_
Get ready to be mind-blown by the
absurdity of it all! Mendoza's
ingenious move forced the infamous
#BancoCentral to lift the #cepo
and let them buy dollars for a
measly $350. Provinces 1, Central
0. Want to know more? Check out
this mind-blowing article: https://t.co/OAUMPzdp8q</t>
  </si>
  <si>
    <t>jovempanentrete
#MorningShow | Após entrevista,
Campos Neto é chamado de ‘capacho
do capital’ no site oficial do
PT; comentaristas opinam 📺 Confira
na JP News #CamposNeto #PT #capacho
#BancoCentral https://t.co/lbZHFjx4fI</t>
  </si>
  <si>
    <t>copuchento5
Habrá que comprar Yen para afrontar
el Default de EEUU? Por eso Brasil,
Argentina, Venezuela, México y
otros quieren hacer trato directo
con Moneda China? #default #EEUU
#BancoCentral #BC</t>
  </si>
  <si>
    <t>starcapitalofc
Taxa selic supreendentemente é
reduzida para 13,25% a.a. #bancocentral
#creditoimobiliario #financiamentoimobiliario
#imobiliaria #mercadoimobiliario
#corretordeimoveis #imoveisaltopadrao
#casadealtopadrão #investimentoimobiliario
#mercadodeluxo #starcapitaloficial
https://t.co/mrcGo4A4PZ</t>
  </si>
  <si>
    <t>mariocasalongue
Salieron a la luz las definiciones
económicas del futuro presidente
del BCRA si ganara Milei en las
Generales ... @BancoCentral_AR
@JMilei #MultimediosNOVA #BancoCentral
#Milei https://t.co/TdKCOPRwFm</t>
  </si>
  <si>
    <t xml:space="preserve">gobdecordoba
</t>
  </si>
  <si>
    <t xml:space="preserve">jschiaretti
</t>
  </si>
  <si>
    <t>enriquewacker
🇨🇳 INVERSIONES #Shangai 💵 Sergio
Massa obtuvo cerca de yuanes $s1.000
millones en inversiones y desembolsos
que fortalecerán las #Reservas
del #BancoCentral. 👉 El ministro
llegó a China este martes junto
a #MáximoKirchner y su comitiva.
+ ▶️ https://t.co/pCdeEy9lHG https://t.co/rLX6bxefFH</t>
  </si>
  <si>
    <t>ibahia
Saiba como solicitar reembolso
de tarifas bancárias Determinação
está em resolução do Banco Central;
influenciadora Nath Finanças viralizou
o conteúdo nas redes sociais #TarifasBancárias
#NathFinanças #BancoCentral https://t.co/OBg9FXQHzu</t>
  </si>
  <si>
    <t>fedecomcba
▶️ El #BancoCentral dispuso que
los #comercios que exhiban un código
#QR para cobrar con tarjetas de
crédito deberán aceptar que los
clientes realicen pagos con cualquier
billetera digital interoperable.
Detalles 👇 https://t.co/K6nk27W1Yh</t>
  </si>
  <si>
    <t>hechosnews_
#HechosNews Gobernador del Banco
Central Héctor Valdez Albizu resalta
robustez del sistema financiero
dominicano. LEA MÁS👉 https://t.co/FEcQYSX8Kd
Cc. @BancoCentralRD #BancoCentral
#HéctorValdezAlbizu #robustez #sistemafinanciero
#dominicanos #GobiernoDelCambio
#Economia https://t.co/zxkQONZDxt</t>
  </si>
  <si>
    <t xml:space="preserve">prodominicana
</t>
  </si>
  <si>
    <t>cadecacuba
#Cadeca #Cuba #BancoCentral Se
necesitan mas dólares. La máquina
de imprimir CUC se quedó sin tinta.
Muchas gracias.</t>
  </si>
  <si>
    <t>barzelbrit
URGENTE: O TCU aponta Campos Neto
como um dos responsáveis por um
"erro contábil" de R$ 1 TRILHÃO
em 2022, durante o governo Bolsonaro.
#camposneto #bancocentral #TCU
https://t.co/93M5dApam8</t>
  </si>
  <si>
    <t>gorilainvest
Ata do Copom: Cenários de aperto
monetário se tornaram menos prováveis.
Leia análise: https://t.co/6OSG1gsJU6
#bancocentral #juros #inflacao</t>
  </si>
  <si>
    <t>derechanews
🔴#AMENAZAS Marcel dice que sin
reforma tributaria y nueva constitución
HABRÁ OTRO ESTALLIDO. Ergo, ¿comunistas
volverán a quemar el metro y organizaran
saqueos y delincuencia? ¿chantajeo
con violencia es democracia? #ClaudiaSoto
#Baquedano #BancoCentral #Junaeb
#Chile https://t.co/ZqQF6DtEq6</t>
  </si>
  <si>
    <t>contraponto_jor
A moeda digital brasileira ganha
um nome: Drex O Drex está chegando
para facilitar a vida dos brasileiros.
De cara nova e nome próprio, o
projeto de moeda digital de banco
central (em inglês, Central Bank
Digital Currency –... #bancocentral
#drex #mo... https://t.co/3YaZoq9k16</t>
  </si>
  <si>
    <t>augustotuy
Cuidado com esse golpe, ele é muito
engenhoso. #BancoCentral #BCB via
@BancoCentralBR https://t.co/qbsQGummxw</t>
  </si>
  <si>
    <t>brasilpelopoder
#BancoCentral DEBOCHA de 71 MILHÕES
de INADIMPLENTES, da FALÊNCIA de
nossas empresas, do futuro trágico
que define um país de MISERÁVEIS
Lula NÃO demite presidente do BC
porque não quer Lei complementar
179, Art 5°, Inciso 4° #Selic #inadimplentes
#corrupção #leidopovo #juros https://t.co/C5DV3J728U</t>
  </si>
  <si>
    <t>alvarojcepeda
Comparto resultados de Encuesta
de Determinantes y Expectativas
de Precios (EDEP), realizada por
Banco Central. Video de presentación
de resultados Link de resultados
https://t.co/AcvC7fDwGZ #bancocentral
#encuesta #precios https://t.co/FlLMXhW5UB</t>
  </si>
  <si>
    <t>kanygia
Vemos a economia trabalhando pra
valorizar o Real, e aí vem o "Chico"
todo mês se fazendo de "Sons@"
estragando tudo. #chicomoedas #luisasonza
#contemironia #voceeminhacurajura
#copom #BancoCentral</t>
  </si>
  <si>
    <t>fbs_chile
#sonsatos #HYUNJINxVersace #เงือกน้อยผจญภัย
#ม็อบ23พฤษภา66 #TAEHYUNGxCELINE
#HYUNJINAtCannes #MundialSub20
#Sismo #masterchef11 #LALISA #uf
#bancocentral #broker https://t.co/4u2TiUqkE0</t>
  </si>
  <si>
    <t>j_henrique_
Saiba mais em: https://t.co/ZaqWkN3KD5
#DREX #SFN #SistemaFinanceiro #BancoCentral
#bancos #finanças #economia</t>
  </si>
  <si>
    <t>ricamconsult
O Brasil é muito mais adiantado
na adoção de tecnologias digitais
e no processamento de transações
financeiras do que a maioria dos
brasileiros se dá conta. Assista
e conheça mais. #pix #meiosdepagamento
#bancocentral #brasil #ricardoamorim
https://t.co/HxviMBWxva</t>
  </si>
  <si>
    <t>elietea74435432
RT @JovemPanNews: #OsPingosNosIs
| CPI vai acionar Banco Central
(BC) para descobrir quem financia
ONGs da Amazônia; bancada comenta
📺 Co…</t>
  </si>
  <si>
    <t>topnewses
📣El banco central de #China ha
reducido las tasas de interés clave
ya que el país enfrenta una perspectiva
económica sombría debido a los
datos débiles de julio. Este movimiento
inesperado tiene como objetivo
apoyar la luchadora economía china.
#BancoCentral #Economía https://t.co/w7gkapgN9S</t>
  </si>
  <si>
    <t>agenciasertao_
PIX bateu recorde de transações
em um único dia #Brasil #Destaques
#Economia #BancoCentral https://t.co/ixhXzmA4YK
https://t.co/46NvX2sLHa</t>
  </si>
  <si>
    <t>programapanico
#Pânico | Foca na Economia: taxação
de ricos, juros, meta de inflação;
veja destaques da fala de Campos
Neto à Câmara, analisado pelo geninho
das finanças, “Damy Sana” 📺 Confira
na JP News #Economia #SamyDana
#CamposNeto #BancoCentral https://t.co/8l3Cjt6aez</t>
  </si>
  <si>
    <t xml:space="preserve">leosiqueirabr
</t>
  </si>
  <si>
    <t>marioestay8
Explicación en simple de anuncio
del #BancoCentral 👇</t>
  </si>
  <si>
    <t>arturoclaro
1/11 El Banco Central decidió activar,
por primera vez, el Requerimiento
de Capital Contracíclico (RCC),
aumentando los requerimientos de
capital en un 0,5% de activos ponderados
por riesgo ¿¿?? ¿Qué significa
eso? ¿Pq se hizo? ¿Q efectos podrá
tener? Doble clic paso a paso👇👇
https://t.co/bivdLEEb1G</t>
  </si>
  <si>
    <t>atlantisbor33
Mientras el gobierno le caga la
vida a todos los argentinos y laburantes
le regala plata a los alemanes
#Argentina #Alemania #dolar #Bcra
#BancoCentral #Peronismo</t>
  </si>
  <si>
    <t>therealbuni
Los Alemanes descubrieron que si
vas a una tienda online y pagas
con pesos argentinos, nuestro banco
central les devuelve 40% de la
guita por el regimen especial para
tarjetas extranjeras kjjj encima
le están enseñando el hack a todos
sjsjs https://t.co/lpQ955Xew9</t>
  </si>
  <si>
    <t>economistadebar
⚠️Saiu a ata do Copom! ⚠️ Previsão
de redução da taxa de juros a partir
de agosto! Boas novas aos investidores!
#Selic #ipca #inflação #economia
#bancocentral https://t.co/Eoq1mlGsDl</t>
  </si>
  <si>
    <t>tucu_egea
Ualá suspende operaciones con criptomonedas
por restricciones del Banco Central.
Sus 300k clientes tendrán un mes
para vender sus tenencias y recibirán
5% de compensación. Otras billeteras
de criptomonedas en el mercado
no se ven afectadas #Ualá #Criptomonedas
#BancoCentral</t>
  </si>
  <si>
    <t>iguazu_ahora
#Argentina #BancoCentral #CompraDeDólares
#Economia EL BANCO CENTRAL ALCANZÓ
TRES SEMANAS CONSECUTIVAS DE COMPRAS
DE DÓLARES Nota: https://t.co/r39Fq2pBfS
https://t.co/dWk6niQQyW</t>
  </si>
  <si>
    <t>monoaries
Era "el inicio de reducción" de
#tasas, pero la #udi nombrada por
#piñera votó por mantener 🤔y 2
#consejeros por reducir en 50 puntos.
🤔 Sospechosa... como dice #bomboFica
#BancoCentral mantiene tasa de
interés en 11,25% https://t.co/4pTzvW4i6X
vía @Cooperativa</t>
  </si>
  <si>
    <t xml:space="preserve">memoriasdechile
</t>
  </si>
  <si>
    <t xml:space="preserve">daniel_nunez_a
</t>
  </si>
  <si>
    <t xml:space="preserve">cooperativa
</t>
  </si>
  <si>
    <t>thebabikianpost
🇦🇷 | #URGENTE | El #BancoCentral
de #Argentina subió las tasas de
interés al 118%. https://t.co/BebapOs0tP</t>
  </si>
  <si>
    <t>agergastn
RT @filonewsOK: ⭕ #SergioMassa
pidió derogar las medidas para
billeteras electrónicas 🔎 El ministro
de Economía publicó en sus redes
el…</t>
  </si>
  <si>
    <t>filonewsok
⭕ #SergioMassa pidió derogar las
medidas para billeteras electrónicas
🔎 El ministro de Economía publicó
en sus redes el pedido de anular
la norma que se conoció la semana
pasada del #BancoCentral 🔻 📝
La entidad había dispuesto que
desde diciembre todas las billeteras…
https://t.co/Ruiqf5ShKJ</t>
  </si>
  <si>
    <t>colon121078
O sea el banco central, para que
nos deje el débito automático con
las billeteras, le pide a las billeteras
que bajen los intereses que le
dan a los usuarios de las mismas?
#BancoCentral</t>
  </si>
  <si>
    <t>news_piaui
Lula volta a criticar taxa de juros
e presidente do Banco Central:
'Não tem compromisso com o Brasil'
#BancoCentral #críticas #economia
#Londres #Lula #robertocamposneto
#taxadejuros https://t.co/XvBG9sasPl
https://t.co/Xifb8bIyjb</t>
  </si>
  <si>
    <t>cuba_enresumen
#BancoCentral de #Cuba anuncia
nuevas #medidas de bancarización
para reordenar los flujos monetarios
https://t.co/X1TRPSwijR</t>
  </si>
  <si>
    <t>mexicopost
Exige #Putin al #BancoCentral de
#Rusia a frenar #inestabilidad
y controlar la #inflación | https://t.co/5b4ZDxWliR
https://t.co/soyTGx5CmT</t>
  </si>
  <si>
    <t>esglobal_org
🇱🇧 La #Justicia francesa ordena
el arresto del gobernador del #BancoCentral
libanés por presunta #malversación
y desvío de fondos públicos. 👉
¿A qué se debe la debacle en la
#economía del #Líbano? @andrealopezpast
https://t.co/KiGB2fZGXh</t>
  </si>
  <si>
    <t xml:space="preserve">andrealopezpast
</t>
  </si>
  <si>
    <t>somosfancom
#Milei nombrará a referente económico
“para cerrar” el #BancoCentral
si gana las elecciones https://t.co/Qul9LXD0LJ</t>
  </si>
  <si>
    <t>drdanielvicente
Reação do mercado a fraude no banco
central #BancoCentral #mercadofinaceiro
https://t.co/aVDRzXcJam</t>
  </si>
  <si>
    <t>ameliacarson28
RT @drdanielvicente: Reação do
mercado a fraude no banco central
#BancoCentral #mercadofinaceiro
https://t.co/aVDRzXcJam</t>
  </si>
  <si>
    <t>theinfoveritas
🚨 ECONOMIA: Uma pessoa conseguiu
o maior saque do sistema do BC:
R$ 2,8 milhões foram retirados
de forma inesperada. O dinheiro,
que foi esquecido e não reclamado,
foi levado para longe sem deixar
rastro. #DinheiroEsquecido #BancoCentral
#Saques Fonte: g1 &amp;gt; Economia.
https://t.co/sQYoi5eBRB</t>
  </si>
  <si>
    <t>noriegagroup
Banco Central sacrifica el crecimiento
y logra detener la inflación https://t.co/9x7sdN2FZX
#BancoCentral #crecimiento #inflación
#macroeconomía #estabilidad #políticamonetaria
#reserva #economíaglobal #políticaeconómica</t>
  </si>
  <si>
    <t>jorgeoscar9909
https://t.co/VgIN5cbAxk @cubadebatecu
#BancoCentral #LatirAvileño</t>
  </si>
  <si>
    <t>cubadebatecu
#ULTIMOMINUTO El Banco Central
de Cuba emitió una nota donde desmiente
las publicaciones en redes sociales
y medios alternativos sobre billetes
de las denominaciones de 100 y
1 000 CUP con error en su impresión
o falsos. https://t.co/VeilzEXD4A
https://t.co/Smx20M1ipt</t>
  </si>
  <si>
    <t>jornalodia
Presidente do BC disse que o Brasil
é um dos poucos países que está
dentro das bandas de suas metas
de inflação para os próximos anos.
#ODia #BancoCentral #CamposNeto
https://t.co/5bS8DREEGX</t>
  </si>
  <si>
    <t>radiocamara
Com a inflação controlada, o Banco
Central iniciou o ciclo de redução
da taxa Selic, que na semana passada
caiu de 13,75% para 13,25% ao ano.
Saiba mais no #EconomiaDireta:
https://t.co/HBPZSGiwly #BancoCentral
#inflação #Selic https://t.co/lxHZxRH4DQ</t>
  </si>
  <si>
    <t>agentedel1984
RT @RadioCamara: Corte no #Orçamento,
#dívidapública, crescimento econômico
e #inflação em pauta no #EconomiaDireta.
Programa também destac…</t>
  </si>
  <si>
    <t>podemossenado
🏦 No episódio do podcast do Podemos
no Senado desta terça-feira (9/5),
o líder @Sen_Oriovisto faz uma
análise sobre as indicações do
Governo para o Banco Central. Ouça
e compartilhe!✅ #PodemosnoSenado
#senadororiovistoguimaraes #bancocentral
#podcast https://t.co/iXdPuE30Tg</t>
  </si>
  <si>
    <t xml:space="preserve">sen_oriovisto
</t>
  </si>
  <si>
    <t>mantenelalinea
#dolar #Economia #inflación #bancocentral
#fmi https://t.co/wP01fo0RNi</t>
  </si>
  <si>
    <t>banhcafe_hn
COMUNICADO SOBRE SUBASTA DE DIVISAS
Recuerde que puede hacer la solicitud
en nuestras agencias o en Banhcafe
Online. #banhcafe #banco #finanzas
#banca #subasta #divisas #subastadedivisas
#comunicado #cliente #bancocentral
#honduras #horario #dolares https://t.co/NADVbb5SSk</t>
  </si>
  <si>
    <t>biancam33772085
Vamos conversar sobre a falta de
recursos para os financiamentos
bancários, ou vamos continuar fingindo
que está tudo bem com o mercado
imobiliário no Brasil? #mercadoimobiliário
#financiamentoimobiliário #corretoradeimóveis
#corretordeimóveis #bancocentral</t>
  </si>
  <si>
    <t>radiolt10
#Economía tras las #PASO2023 |
el #DólarOficial a $350 el #BancoCentral
devalúa la moneda un 22% ► https://t.co/MZ1ismh5BK
https://t.co/LGXpsJhmti</t>
  </si>
  <si>
    <t>marcusajreth
URGENTE 🚨 Governo publica decreto
sobre o setor de criptoativos.
Deixa aqui nos comentários a sua
opinião 👇🏼 #bancocentral #criptomoedas
https://t.co/ezOFqWzGX7</t>
  </si>
  <si>
    <t>inforegionarg
💵 El #BancoCentral elevó el rendimiento
de los ahorros en pesos https://t.co/YUFTdwgsUb</t>
  </si>
  <si>
    <t>solemio63
yo quiero un Director del Banco
Central que no sea militante de
una vez por todas y vos? #bancocentral
#dolar #bastadepopulismo</t>
  </si>
  <si>
    <t>perei61657tiago
undefined undefined #BancoCentral
#BCB via @BancoCentralBR</t>
  </si>
  <si>
    <t>con_sello
#BancoCentral | Ahorristas aguardaban
con expectativa lo que haría el
BCRA. Ahora la duda es qué ocurrirá
con los depósitos a plazo. https://t.co/jMmZf4fE6y</t>
  </si>
  <si>
    <t>periodistaslib
El #dólar blue abrió a  $494, que
significa un alza de $2 respecto
del último cierre, el dólar MEP
sube a  $488,68, el del Contado
con Liquidación (CCL) a  $516,8.
El #BancoCentral ajustó la cotización
oficial 0,44% y pasó a $275,61,
el dólar ahorro vale a $454,76.
https://t.co/8tGmBAyaaP</t>
  </si>
  <si>
    <t>pedrotads
DREX? https://t.co/ptDo6gR639 #BancoCentral
#BCB via @BancoCentralBR</t>
  </si>
  <si>
    <t>infopaisrd
El Banco Central informó que durante
los primeros siete meses del año
2023 las remesas recibidas alcanzaron
la cifra de US$5,909.3 millones,
lo cual representa un crecimiento
de 4.2 % en comparación con el
mismo período del año anterior.
#remesas #bancocentral #infopaisrd
https://t.co/HVKsOKiKPL</t>
  </si>
  <si>
    <t>juandicentjr
DOP $60 Mil Millones #RepublicaDominicana
#bancocentral entregó a los bancos
para impulsar la economía En menos
de 15, ya no hay dinero Eso explicaría
porque el dinero no está dando
para la mayoría de los hogares</t>
  </si>
  <si>
    <t>oicommie
@julialucydf Nesse momento, o @BancoCentralBR
pertence a André Esteves. Vai dizer
que isso é fake news também? https://t.co/iGS2N9Ikll
#jurosbaixosjá #Coronation #Lula
#bancocentral</t>
  </si>
  <si>
    <t>julialucydf
PT faz fake News (p variar) e enganam
(+ uma vez) o povo. O Bacen n é
de Bolsonaro. O Bacen é instituição
pública, independente, cujo Presidente
exerce mandato definido em lei.
Os juros são fixados, tecnicamente,
p controlar a inflação. Atacar
o Bacen é atacar nossa democracia.
https://t.co/9JP4dc5uvv</t>
  </si>
  <si>
    <t>elpirata_007
https://t.co/kNuIRzfAxV El actual
#MinistroDeEconomia y actual CANDIDATO
A PRESIDENTE #MassaDePankeke alias
@SergioMassa está emitiendo moneda
a través del #BancoCentral a razón
de 10MIL MILLONES POR DÍA ¿Y el
puta quiere ser presidente...🙆‍♂️🤦‍♂️</t>
  </si>
  <si>
    <t xml:space="preserve">prossioficial
</t>
  </si>
  <si>
    <t xml:space="preserve">marialauratv
</t>
  </si>
  <si>
    <t xml:space="preserve">robergmoritan
</t>
  </si>
  <si>
    <t xml:space="preserve">lanacionmas
</t>
  </si>
  <si>
    <t>rperiodismo
Argentina... más devaluación. El
#BancoCentral tomó la decisión
de devaluar 22% la moneda oficial.
Todo recae en los precios.</t>
  </si>
  <si>
    <t>victorpmarques7
Relatório de Setembro não traz
muitas novidades, porém recomendo
a leitura, visão do Bacen é bem
diferente de alguns analistas do
apocalipse por ai 😂😂. Relatório
de Inflação https://t.co/q4hE8lXEg0
#BancoCentral #BCB via @BancoCentralBR
#inflação #bacen #bcb #bancocentral</t>
  </si>
  <si>
    <t>blogpdnoticia
BC obriga instituições a avisar
clientes sobre vazamentos no Pix...
https://t.co/UhSJUUyQpc #economia
#bancocentral #pix #vazamentos
#multas https://t.co/Z95Cvpj8mq</t>
  </si>
  <si>
    <t>andreluiztorr11
Copom: definição da taxa de juros
requer paciência e serenidade #inflacao
#bancocentral #economia #juros
#emprestimos #taxaselic #copom
https://t.co/axm7rx07dr https://t.co/yztiFjwolC</t>
  </si>
  <si>
    <t>diarioelcentro
#Economía | Banco Central bajó
la tasa de interés y se espera
que a fin de año se ubique en torno
a 7.5% #BANCOCENTRAL #inflacion
#nacional #politicamonetaria #Tasasdeinteres
https://t.co/DC2lCKIGDo</t>
  </si>
  <si>
    <t>ronyfeeneykraus
Tocamos fondo con el Gas, NO hay
dólares, #BancoCentral vende el
Oro q queda para pagar cuotas de
deuda externa, #EMAPA NO paga a
productores de Maíz, #YPFB NO paga
a los Cañeros proveedores de Etanol
... esto se va al tacho y el centro
es la pelea de Evistas vs Arcistas</t>
  </si>
  <si>
    <t>iamaureo
RT @bancomoc: #BancodeMoçambique
#bancocentral #museu https://t.co/qbik7os3CA</t>
  </si>
  <si>
    <t>humbertomayora8
Es el mejor momento para #Argentina
para una #Simplificacion #Administrativa.
Ya chole! con con el #BancoCentral
de estar operando en modo #SCAM
que es un fraude nacional como
@Banxico #Mexico #Rusia #Colombia
#India y otros, la Danza de los
Ceros; FUERA!!! la #Transa no Avanza!!</t>
  </si>
  <si>
    <t xml:space="preserve">youtube
</t>
  </si>
  <si>
    <t xml:space="preserve">banxico
</t>
  </si>
  <si>
    <t>rafaelpahim
O cntrl c + v das atas continua
cada vez mais irreais. Manter em
13,75% é um completo absurdo. https://t.co/Ja2eg4N5uS
#BancoCentral #BCB via @BancoCentralBR</t>
  </si>
  <si>
    <t>wellitonresende
Bom dia!!! No link da BIO tem mais
dicas de livros e Pós. #fundeb
#dividapublica #camposneto #bancocentral
#transparênciapública #kindlebr
#kindlebrasil #pósead #pós https://t.co/sdqhQIPlF1</t>
  </si>
  <si>
    <t>manausolimpica
🗞️: Carolina Pimentel - Repórter
da Agência Brasil - Brasília 📷:
Marcelo Casal Jr - Agência Brasil
Confira a matéria na íntegra 👇
https://t.co/HP1VT2tze4 #pix #bancocentral</t>
  </si>
  <si>
    <t>difusorawebnews
undefined undefined #BancoCentral
#BCB via @BancoCentralBR</t>
  </si>
  <si>
    <t>cachorromordido
Golpe do empréstimo #Shorts #CachorroMordido
#Golpe #Empréstimo #Crime #Financeiro
#Bc #BancoCentral https://t.co/8HJNr1EZ3B</t>
  </si>
  <si>
    <t>portalgp1
A queda financeira é correspondente
às gestões da União, Estados, municípios
e estatais. @BancoCentralBR #PortalGP1
#noticias #bancocentral https://t.co/UcASkP8ujB</t>
  </si>
  <si>
    <t>gri86649406
Pones la tele, hablan de Milei.
Pones la radio, hablan de Milei.
Abris las redes sociales, hablan
de Milei. Es increible lo que logro
este peluca #Milei #BancoCentral</t>
  </si>
  <si>
    <t>julianarosa_
Economia brasileira cresce acima
do esperado em abril #ibc #economia
#bancocentral https://t.co/8NrpFQIch4</t>
  </si>
  <si>
    <t>jornadacapital
Nike Studios, o plano ambicioso
de fitness da @Nike. Leia mais:
https://t.co/rZvxB3vjLp #MoneyTimes
#InfoMoney #ValorEconômico #BoletimFocus
#BancoCentral #Ibovespa #XPInvestimentos
#BTGPactual #CNNBrasil #ForbesBR
#Juros #B3 https://t.co/DX1ogNEPgw</t>
  </si>
  <si>
    <t xml:space="preserve">nike
</t>
  </si>
  <si>
    <t>portalr7
Ganho real da poupança supera inflação
em 5% pela primeira vez em 6 anos
#PortalR7 #R7 https://t.co/9Q16v2atAW</t>
  </si>
  <si>
    <t>jairwalter
A autonomia do #BancoCentral, conquistada
no governo @jairbolsonaro permitiu
ganho real da Poupança. Desde janeiro,
as retiradas somaram R$ 66 bilhões
devido ao aumento das dívidas das
famílias brasileiras. Poupança
tem 1º saldo positivo do ano com
R$ 2,6 bi em junho.</t>
  </si>
  <si>
    <t xml:space="preserve">jairbolsonaro
</t>
  </si>
  <si>
    <t>vovetucuman
#SOCIEDAD El Banco Central adelantaría
el lanzamiento del billete de 2000.
#VoveTucumán #vove #bancocentral
#banco #economia #billete #NuevoBillete
https://t.co/85EsmQFsnO</t>
  </si>
  <si>
    <t>luizcgferreira
@pauloquinti1 @UrbLuciene @Mariade21501765
@LulaOficial @waniacbot @wittigenstein
@A_Lua_tah_Linda @AbraaoFaisca
@LaelsonAlves8 @MariaCleunice3
@mello1400 @Rosalia02965899 @arc_maiana
@naziscore @acopelenossa @Pminchio
@omarxista @ReineSouza1 @N3tt0
#ForaCamposNeto #bc #bancocentral</t>
  </si>
  <si>
    <t xml:space="preserve">n3tt0
</t>
  </si>
  <si>
    <t xml:space="preserve">reinesouza1
</t>
  </si>
  <si>
    <t xml:space="preserve">omarxista
</t>
  </si>
  <si>
    <t xml:space="preserve">pminchio
</t>
  </si>
  <si>
    <t xml:space="preserve">acopelenossa
</t>
  </si>
  <si>
    <t xml:space="preserve">naziscore
</t>
  </si>
  <si>
    <t xml:space="preserve">arc_maiana
</t>
  </si>
  <si>
    <t xml:space="preserve">rosalia02965899
</t>
  </si>
  <si>
    <t xml:space="preserve">mello1400
</t>
  </si>
  <si>
    <t xml:space="preserve">mariacleunice3
</t>
  </si>
  <si>
    <t xml:space="preserve">laelsonalves8
</t>
  </si>
  <si>
    <t xml:space="preserve">abraaofaisca
</t>
  </si>
  <si>
    <t xml:space="preserve">a_lua_tah_linda
</t>
  </si>
  <si>
    <t xml:space="preserve">wittigenstein
</t>
  </si>
  <si>
    <t xml:space="preserve">waniacbot
</t>
  </si>
  <si>
    <t xml:space="preserve">urbluciene
</t>
  </si>
  <si>
    <t xml:space="preserve">pauloquinti1
</t>
  </si>
  <si>
    <t>honor_541
RT @JMBismark: Banco Central de
Chile redujo su tasa de interés
en 75 puntos base https://t.co/JY7sHz03eu
#bancocentral #PulsoCiudadano #fi…</t>
  </si>
  <si>
    <t>jmbismark
Banco Central de Chile redujo su
tasa de interés en 75 puntos base
https://t.co/JY7sHz03eu #bancocentral
#PulsoCiudadano #fintual</t>
  </si>
  <si>
    <t>unsiontv
El presidente del Consejo de Participación
Ciudadana rechaza la entrega del
edificio donde funciona el organismo
al Banco Central, según decreto
ejecutivo. #NoticiasNacionales
#Quito #CPCCS #Edificio #BancoCentral
#UnsionTv https://t.co/8qDN779NU2</t>
  </si>
  <si>
    <t>adrianotxavier
@randolfeap Apesar do #BancoCentral
o PIB do país cresceu!!!</t>
  </si>
  <si>
    <t xml:space="preserve">randolfeap
</t>
  </si>
  <si>
    <t>elmomercados
#BancoCentral informa caída del
#PIB nacional y un superávit en
la cuenta corriente https://t.co/nrwkQB7trR
https://t.co/dxzboHaDSL</t>
  </si>
  <si>
    <t>olharjus
ELON MUSK sobre o Banco Central
Americano: 'Fed prejudica empresas,
lento demais para cortar taxas'
https://t.co/Y9EaP3OvGc #bc #taxaselic
#bancocentral #camposneto #fed
#economia #brasil #ibov #ibovespa
#bovespa</t>
  </si>
  <si>
    <t>masenergialmn
👨‍🔬#DLS suspende la modernización
de un equipo por las trabas a las
#importaciones. ✋Las restricciones
a las importaciones por la alarmante
falta de #dólares 💸 en el #BancoCentral
comenzó a generar una situación
crítica para las "petroleras. https://t.co/EaxwTas75S</t>
  </si>
  <si>
    <t>edntvhn
#NoticiasEDN Wilfredo Cerrato,
expresidente del Banco Central,
asegura que la "economía en el
país" está decayendo y esto genera
más desempleo y no hay inversión
ni local ni extranjera.#EDNTV #BancoCentral
#Economía #Desempleo #Inversión
https://t.co/p1FiAjguCq</t>
  </si>
  <si>
    <t>psicoanereuda
#SelicTerrorista #PsicologiaCombateJurosAltos
#BancoCentral #Selic</t>
  </si>
  <si>
    <t>hugoroldan69
El BCRA cerró la semana con la
mayor venta de reservas en tres
meses - El Federal Noticias https://t.co/FmaOGwfRr4
#Argentina #Argenzuela #BancoCentral</t>
  </si>
  <si>
    <t>eupvfaria
A economista do Credit Suisse (que
acabou ser resgatado) diz que,
se o governo nomear diretores alinhados,
o bancos central deixará de ser
independente de fato. Mas, pelo
visto, se nomear gente alinhada
com o mercado financeiro, não fica
dependente dos banqueiros... https://t.co/fiKUwwBZHU</t>
  </si>
  <si>
    <t>dezenov
Mas que mierda!!! Não assusta ouvir
tamanha desfaçatez nessa entrevista!
#bancocentral #foraCamposNeto</t>
  </si>
  <si>
    <t>teresa_nacli
Banco pode executar dívida tomando
bens dos credores sem passar por
Justiça https://t.co/nP0xVCaPnH
via @otempo ganham com juros Criminosos
, Senadores e Deputados alteraram
a Constituição em 93 liberando
os juros ‘ CRIME. #bancocentral
corrupto</t>
  </si>
  <si>
    <t>otempo
EXPRESSO O TEMPO - Confira as principais
notícias desta sexta (7) com a
jornalista Maíra Cabral 🖱️ Leia
mais notícias em nosso site: https://t.co/27VoAsl0u0
#OTempo #Política #Política #BancoCentral
#ReformaTributária #Rôbos https://t.co/oOJxUVvkRE</t>
  </si>
  <si>
    <t>portalspagora
Copom mantém taxa Selic em 13,75%
ao ano para controlar inflação
https://t.co/eSz24ZrXPR #bancocentral
#copom #inflação #IPCA #metadeinflação
#SPAGORA #taxaSelic https://t.co/JjUxlO4bHL</t>
  </si>
  <si>
    <t>radiogazetaon
📲 | #BancoCentral divulga nome
da nova moeda digital do país.
Saiba mais sobre o #Drex na primeira
edição do Boletim Rádio Gazeta
Online. https://t.co/S4TEqatF8r
#RádioGazetaOnline #Economia #Tecnologia</t>
  </si>
  <si>
    <t>5mentarium
Y después en #Chile el #ministrodehacienda
q antes era #serio en el #bancocentral
al volver, pondrá cara de "Yo no
tengo idea", "No me miran a mi",
etc. #YaNoHayEspacioParaSeguir
#CortenElLeseo #ConLaSubidaDeimpuestos
#YMenosALasPersonas #OtroNegocioConGranEmpresariadoChileno</t>
  </si>
  <si>
    <t>aldunatefran
PERO WEÓOOOOOOON!!!!!! Hasta cuándo
con la weá? Deja de webiar con
tu weonaje, si no le vamos a dar
niuna weá a ese gobierno de weones
ladrones! (Será que así, en chileno,
entenderá el ministro Marcel?)
#ReformaTributaria #GobiernoDeLadrones
https://t.co/WtuZPUp141</t>
  </si>
  <si>
    <t>sigacontee
#Copom - Manter #Selic acima de
13% é sabotagem #JurosBaixosJÁ
- https://t.co/wNkle0OFjW #Contee
#BancoCentral #Economia #TrabalhadoresdaEducação
#Defender #Direitos #Trabalho #Renda
#Educação #Democracia #sigaCONTEE
https://t.co/TvFEznfs1h</t>
  </si>
  <si>
    <t>ntelemicro5
Estas decisiones contribuirán a
disminuir los costos de financiamiento
de las entidades financieras e
incidirán en menores tasas de interés
en el sistema financiero. #NTelemicro5
#EmisiónEstelarNT5 #BancoCentral
#TasaDePolíticaMonetaria #TasasDeInterés
#RD #economía…</t>
  </si>
  <si>
    <t>celiolobo60
Luiza Trajano dando aula para o
Presidente do Banco Central Roberto
Campos Neto #bancocentral #luizatrajano
https://t.co/Cve1CD1k0P</t>
  </si>
  <si>
    <t>informeblu
BC corta taxa básica de juros em
0,5 ponto percentual; Selic cai
de 13,75% para 13,25% Saiba mais:
https://t.co/XGha59A8wk 📷 Reprodução
#blumenau #copom #selic #bancocentral
#taxadejuros https://t.co/MiqaYoMhkD</t>
  </si>
  <si>
    <t>ticiaaman
PT querendo acabar com a autonomia
do banco central? Aaa já sei o
porquê: https://t.co/PWB3mpxfbk
#bancocentral #STFVergonhaNacional
#economia #noticias #informação
#globolixo</t>
  </si>
  <si>
    <t>brutusdyoll
"É muito difícil combater uma narrativa,
mas o #BancoCentral tem uma grande
preocupação com o social", diz
#RobertoCamposNeto em audiência
no Senado. Ele se disse emocionado
com elogios da senadora #DamaresAlves.
https://t.co/p54Tgd0a9R</t>
  </si>
  <si>
    <t>cryptotips23
Javier Milei Apoya las Criptomonedas
y Cuestiona a los Bancos Centrales,
Un Enfoque Contundente https://t.co/Pu9He3KCoI
#milei #MileiPresidente #VivaLaLibertadCarajo
#BancoCentral #comunista #CristinaKirchner
#Fernandez #argentina #venezolanos</t>
  </si>
  <si>
    <t>economicageff
Inflação Boletim de agosto, 2023
A série completa será disponibilizada
em breve no site do @ContrapoderBr
. #EconomiaBrasileira #Estagnação
#Inflação #CriseEstrutural #ReformaTributária
#Neoliberalismo #GuerraRussiaUcrania
#BancoCentral</t>
  </si>
  <si>
    <t xml:space="preserve">contrapoderbr
</t>
  </si>
  <si>
    <t>jilmartatto
O Jair já foi embora, agora só
faltam os juros caírem! Hoje tem
reunião do #COPOM e nós vamos seguir
na pressão pela baixa dos juros
do Banco Central. 📉 #JurosBaixosJá
#COPOM #BancoCentral #CamposNeto
https://t.co/XtSAJINGsy</t>
  </si>
  <si>
    <t>florsete
Graças ao #bancocentral</t>
  </si>
  <si>
    <t>rosangelamorosp
Pela 1ª vez na história, o Brasil
tem índices de inflação menores
que a média dos países do mundo
desenvolvido! Essa conquista é
mérito da autonomia e competência
do Banco Central, que trabalha
incansavelmente pela estabilidade
econômica. https://t.co/JdhdXK8dmx</t>
  </si>
  <si>
    <t>carlosteles__
Em março do ano seguinte, o Copom
deu início ao ciclo de aperto monetário
e elevou os juros por 12 vezes
seguidas, até atingirem 13,75%
em agosto de 2022. Desde então,
a Selic foi mantida por sete vezes.
#dolar #selic #copom #bancocentral
#queda</t>
  </si>
  <si>
    <t>consensomercado
La #inflacion de #Japón en junio
repunta hasta el +3,3% vs +3,2%
previo, mientras que el subyacente
se sitúa en +4,2% vs +4,3% anterior.
Esta última podría caer por debajo
del objetivo del 2% en el 4T23,
apoyando la política ultra laxa
del #bancocentral https://t.co/CPUlR7GJch
https://t.co/DYgytnOTIL</t>
  </si>
  <si>
    <t xml:space="preserve">renta4
</t>
  </si>
  <si>
    <t xml:space="preserve">morganstanley
</t>
  </si>
  <si>
    <t xml:space="preserve">merkez_bankasi
</t>
  </si>
  <si>
    <t xml:space="preserve">rbainfo
</t>
  </si>
  <si>
    <t>brasilnft
Real Digital: Fórum inicia atividades
abertas ao público. Leia a matéria
completa em nosso site. https://t.co/8cria9kq3a
#brasilnft #blockchain #nft #metaverso
#web3.0 #realdigital #bancocentral
https://t.co/G66dM6AtM1</t>
  </si>
  <si>
    <t>jcconcursos
CONCURSO BANCO CENTRAL Concurso
Bacen: Urgente! Nova seleção é
autorizada para 100 vagas de nível
superior https://t.co/6Jn5PQm9QY
#bacen #bancocentral #concurso</t>
  </si>
  <si>
    <t>elcatmanok
#devaluacion #argentina #cristina
#cordoba #bcra #massa #BancoCentral
#bullrich #dolarblue El Kirchnerismo
Devaluó el Hashtag y la estigmatización
que no querían 🥳 #ElKirchnerismoDevaluó
https://t.co/MAklU6qeuu</t>
  </si>
  <si>
    <t>rjezini
#BancoCentral# Os bilhões de reais
das reservas cambiais q pretendem
desviar para os fundos internacionais
tenebrosos especialistas em esquema
Ponzi transformarão o Br em piloto
ou sucata pilhada? Acorda Brasil!.</t>
  </si>
  <si>
    <t>carlosasosa1
#BANCOCENTRAL Te puede gustar o
no Moreno, en lo personal no me
gusta, lo considero un peronista
mercenario. Pero no como vidrio,
está es la mejor explicación, sin
tanta sarasa, sarasa. sin ser tan
técnico, para q todo el mundo lo
entienda, sobre lo importante del
Banco Central https://t.co/4Chr77Bto7</t>
  </si>
  <si>
    <t>drancelmoramos
O Banco Central volta a liberar
consulta ao dinheiro "esquecido"
pelos brasileiros nos bancos. Você
já verificou se tem algum valor
a receber? Corre, não perca tempo!
#Dinheiro #BancoCentral #Brasileiros
#Dicas #RalBank #MaisQueUmBanco
#UmaComunidade https://t.co/B2TB2JX6Zt</t>
  </si>
  <si>
    <t>neahoycom
💰✨ ¡Potencia tus inversiones financieras!
Conoce las nuevas regulaciones
financieras y cómo impactan en
tus transacciones. Para más información
ingresa a la nota👇 #economía #plazofijo
#bancos #BancoCentral #ahorro #pesos
#inversión #mes #NEAHOY https://t.co/uq1o57lZ9Y</t>
  </si>
  <si>
    <t>barbruno8
Diretores do BC fazem as primeiras
reuniões do trimestre com economistas
para elaboração do Relatório Trimestral
de Inflação (RTI). Entre os indicadores,
a FGV informa o IGP-10 de agosto
às 8h. #mercadofinanceiro #bolsadevalores
#bancocentral</t>
  </si>
  <si>
    <t>fredkarma
"El aumento de la inflación está
generando preocupaciones en varias
economías, lo que lleva a los bancos
centrales a tomar medidas cautelares.
#Inflación #BancoCentral"</t>
  </si>
  <si>
    <t>poetwittar
#BancoCentral #JurosBaixosJa</t>
  </si>
  <si>
    <t>centralpolitcs
🚨URGENTE: BC reduz taxa básica
de juros para 13,25% Queda de 0,5p.p.
Primeira redução de índice após
3 anos. Via @GloboNews</t>
  </si>
  <si>
    <t>tamarillano
📉🏦💸 Un repunte de 22,3% en lo
que va de mayo respecto a abril
registra el índice de Incertidumbre
Económica y Política de Chile.
#Chile #Economia #Gobierno #BancoCentral
👇Lee la nota aquí👇 https://t.co/6zb9aRIlMX
https://t.co/aEaGIriUK8</t>
  </si>
  <si>
    <t>saltaaldiaok
El Banco Central ACCIONA en base
al acuerdo alcanzado con el FMI
garantizando que las tasas de política
monetaria se mantengan suficientemente
positivas en términos reales. #saltaaldianoticias
#bancocentral Leer más: https://t.co/6D8skVaD37
https://t.co/KCCr7V7Ywz</t>
  </si>
  <si>
    <t>netsysmx1
🇺🇸💲💸 Trump advierte que el
dólar estadounidense pierde dominio
como #monedaDeReserva en medio
de la ascensión de los #BRICS.
El dólar registró otra caída luego
de la intervención del #BancoCentral,
que tenía como objetivo contrarrestar
el alza sostenida ante una serie
de… https://t.co/ezUoVpQMHX</t>
  </si>
  <si>
    <t>arte_prima
Campos Neto #RCM: "Os juros estão
altos por causa da alta dívida
do governo" Perguntinha boba: "Quem
são os maiores credores da monumental
dívida do governo?? Hahaha Quem
é mesmo q ganha com estes juros
altos do Pres do #BancoCentral,
ex-CEO do #Santander e dono de
OffShore!!</t>
  </si>
  <si>
    <t>acostasamu
Hasta que llegó el primer recorte
de tasas del #BancoCentral, luego
de más de un año y medio de política
monetaria restrictiva para contener
la inflación, y se empieza a abaratar
el costo del dinero. Beneficiará
a tasas de interés en el crédito
bancario y a emisiones en bolsa.</t>
  </si>
  <si>
    <t>bcp_py
En su reunión de la fecha, el Comité
de Política Monetaria (#CPMpy)
decidió, por unanimidad, reducir
la tasa de interés de política
monetaria en 25 puntos básicos
(pb), de 8,50% a 8,25% anual. Leé
el comunicado completo: https://t.co/2DpkuEwzx0
https://t.co/RkBUUNRkCO</t>
  </si>
  <si>
    <t>diamondbrasil
O Banco Central anunciou um novo
padrão para Cheques, visando mais
segurança e modernização para a
forma de pagamento. Leia a Notícia
completa na Diamond Brasil: https://t.co/aKSNJYpfki
#diamondbrasil #noticia #bancocentral
#novopadrãodecheque #cheque https://t.co/cyKrNBKQw9</t>
  </si>
  <si>
    <t>ecuatorianalec
NOTICIAS COMERCIO EXTERIOR Ecuador
registra una caída de 7,7% en el
primer trimestre de 2023, que se
debe, sobre todo, a la baja de
las exportaciones petroleras, según
el Banco Central. FUENTE: https://t.co/g4C5N7xm3R
#Noticias #bancocentral #petroleras
#exportaciones #Bid https://t.co/i1N3627FKP</t>
  </si>
  <si>
    <t>acarreras01
El Banco Central tendrá que acelerar
el paso https://t.co/sXZU14Gduz
#BancoCentral #COVID19</t>
  </si>
  <si>
    <t>empresaalgrec
Hoy cuando la #Bancarización 💳
es un hecho en nuestro sistema
Empresarial, @EmpresaALGREC se
suma a la cooperación con quién
hoy no tiene configurado en su
móvil las plataformas #EnZona y
#Transfermóvil. #PorCamagüeyTodo
#bancocentral #bancarizacion https://t.co/qxklOPcJvg</t>
  </si>
  <si>
    <t>felipefleandro
Base do Governo pede investigação
do Campos Neto no Senado. Será
finalmente o fim do Campos Neto?
#CamposNeto #Lula #Esquerda #Noticias
#BancoCentral https://t.co/LN30DKAEod</t>
  </si>
  <si>
    <t>confidencial_ol
Tras ganar Milei, el Banco Central
fijó el tipo de cambio oficial
a $350 hasta octubre - https://t.co/aPSpN18qyh
#bancocentral #Milei #dolarcentral</t>
  </si>
  <si>
    <t>abcagora_
Setor público tem superávit primário
de R$ 20,3 bi em abril - ABC Agora
#abcagora #EstatísticasFiscais
#BancoCentral #SuperávitPrimário
#DívidaPública #SwapCambial https://t.co/9RjRAZUkNy</t>
  </si>
  <si>
    <t>pastorjcnas
COISAS QUE O POVÃO NÃO PODE SABER
#economia #jurosabusivos #bancocentral
https://t.co/KimIAFBCeC via @YouTube</t>
  </si>
  <si>
    <t>ibarraibar1
RT @JovemPanNews: #OsPingosNosIs
| CPI vai acionar Banco Central
(BC) para descobrir quem financia
ONGs da Amazônia; bancada comenta
📺 Co…</t>
  </si>
  <si>
    <t>fgmediacl
FGMEDIA en la TV tradicional, CNN
PRIME y la nota sobre Margot Duhalde
| 18.05.2023 #margotduhalde #bancocentral
#mujeres #chile #mujerpiloto https://t.co/lz8SbXa2Jc</t>
  </si>
  <si>
    <t>marcosmanguelli
#BancoCentral é uma ótima fonte
de informações para mim na minha
profissão e pretendo usa-lo dentro
da minha profissão de #BibliotecárioConsultor
que estou em formação. Mais já
atuo para me especializar e sair
com uma boa formação profissional
da universidade. QUE AMO ❤️#UNIRIO❤️</t>
  </si>
  <si>
    <t>radar24rd
La inflación en República Dominicana
bajó al 4.43 % en mayo, según Banco
Central #Radar24RD #Radar24h #RD
#Noticias #News #RepúblicaDominicana
#BancoCentral #BCRD #inflación
https://t.co/PJzaa8kLBW</t>
  </si>
  <si>
    <t>alvaronass_arq
¿Para qué quieres un Euro Digital?
#MarioConde https://t.co/dPFw0IT1mY
#CBDCs #eurodigital #dolardigital
#Criptomonedas #Cripto #oro #inflacion
#dolar #euro #worldcoin #dinero
#Agenda2030 #FED #FederalReserve
#BancoCentral #Lagarde #bitcoin
https://t.co/d7DlRAcgdy</t>
  </si>
  <si>
    <t>ros_ro38
RT @PeruMachete: El presidente
del #BancoCentral de Reserva, #JulioVelarde,
reconoció que la #agricultura atraviesa
su periodo más desafian…</t>
  </si>
  <si>
    <t>fernandodelaco7
En la presentación del informe
de política monetaria IPOM del
#bancocentral septiembre 2023 en
la #faceauach, #uach #valdiviacl,
buenas noticias se vienen vientos
de recuperación económica</t>
  </si>
  <si>
    <t>facupa31
Vamos a sacarle la careta entre
todos. Desenmascarando al Flautista.
Parte 1. #milei #economia #flautista
#bancocentral #argentina #mentira
https://t.co/uho04wtWpo</t>
  </si>
  <si>
    <t>deultimahorard
https://t.co/sPJP5SLrpw #BancoCentral</t>
  </si>
  <si>
    <t>cunadelanoticia
Las #reservas del #BancoCentral
cayeron US$237 millones, un nuevo
mínimo tras 17 años https://t.co/SwT8LdNeA9
https://t.co/uz3pJRTERC</t>
  </si>
  <si>
    <t>estpublicos
¿Crees que estas innovaciones financieras
podrían traer riesgos para la estabilidad
financiera? ¿Quién debe regular
a estas instituciones? #estudiospublicos
#fintech #innovacion #bancocentral
#inclusionfinanciera</t>
  </si>
  <si>
    <t>entrelinhasg
DEDOS CRUZADOS: a taxa está em
13,75% ao ano desde agosto de 2022
e é a maior desde janeiro de 2017.
Agora BC vê possibilidade de iniciar
redução. #juros #bancocentral #economia
https://t.co/nKE1Lnepwp</t>
  </si>
  <si>
    <t>la_republica
La iniciativa busca aumentar la
#seguridad de los ciudadanos en
los buses al invitar a las personas
a portar la menor cantidad posible
de efectivo.💵🇨🇷 Más info aquí👇
#ÚH #CostaRica #BancoCentral https://t.co/1ls05djo4M</t>
  </si>
  <si>
    <t>brasil61_
Ao Brasil 61, deputado federal
Rubens Pereira Júnior (PT-MA),
vice-líder do governo na Câmara,
afirmou que decisão do Banco Central
de manter a Selic em 13,75% prejudica
a economia. Leia mais em https://t.co/pZe8r8vhgI
#BancoCentral #Economia #Inflação
#Selic #Taxadejuros https://t.co/KNzX9dXwXQ</t>
  </si>
  <si>
    <t>themoneypost_
Banco Central eleva a 2% la proyección
para el crecimiento de Brasil en
2023 https://t.co/vq5uWxL7Ju #05Julio
#BancoCentral #Brasil #Noticias
https://t.co/iY64W8eNDB</t>
  </si>
  <si>
    <t>smartbrain_br
A projeção para a inflação de 2023
permaneceu inalterada nesta semana,
enquanto a estimativa para o PIB
foi revisada para cima, passando
de 2,19% para 2,24%. #bancocentral
#economia #IPCA #PIB https://t.co/qnMoOJHa9B</t>
  </si>
  <si>
    <t>michidenise
a fin de garantizar la estabilidad
de precios y del mercado cambiario.
#BancoCentral #RD</t>
  </si>
  <si>
    <t>arabiawa
Según informes de Reuters, JPMorgan
indicó el lunes que espera que
el Banco Central de Turquía aumente
las tasas de interés al 25 por
ciento en su reunión de junio,
en comparación con el actual 8,5
por ciento. #Bancocentral #HafizeGayeErkan
#JPMorgan https://t.co/cSlVoQVKFo
https://t.co/pqx9DDIYCa</t>
  </si>
  <si>
    <t>migueldaoud
💸 ECONOMIA e JUROS; 🇧🇷 BANCO
CENTRAL MANTÉM TAXA; 🇺🇸 NOS EUA,
O FED SUBIU; 🤔 Entenda os impactos
no MERCADO com as EXPECTATIVAS.
👀 Você está PREPARADO? https://t.co/uribygS7TG
#migueldaoud #canalrural #agronegocio
#agricultura #economia #juros #bancocentral
#selic</t>
  </si>
  <si>
    <t>2016peka
Lista de Países que no tienen #BancoCentral:
Panamá Andorra Mónaco Estados Federados
de Micronesia Islas Marshall Islas
de Man Kiribati Nauru Tuvalu Palaos
🙄 #AfueraMilei</t>
  </si>
  <si>
    <t>luizoc2001
Eu não estava levando fé no campos
Neto #BancoCentral .Me surpreendeu.
Bora baixar mais essa taxa de juros.</t>
  </si>
  <si>
    <t>adninversionist
Atención inversionista #bancarios.
Aún no analizó los covenants bancarios
de cada banco pero esto puede causar
aumentos de capital o menor reparto
de utilidades por parte de los
#bancos en 2023-24. #bci e #itau
podrian requerir aumentos de capital.
#banco #central #bancocentral</t>
  </si>
  <si>
    <t>em_inversiones
AHORA: Banco Central acuerda “activar”
requerimiento de capital contracíclico
para la banca https://t.co/okCt4bRLWE
https://t.co/gFqPc1oh41</t>
  </si>
  <si>
    <t>alejandrorodro8
#BancoCentral #ConLaFuerzaDelPueblo
#ConTodosLaVictoria 💯pre #PaLante
#Cuba https://t.co/APtcuPN5cd</t>
  </si>
  <si>
    <t>sindbancarios
✊A CUT-RS, centrais sindicais,
movimentos sociais e partidos comprometidos
com a luta contra os juros altos
promovem nesta terça (1º), às 11h,
novo ato pela queda da taxa básica
de juros (Selic), hoje em 13,75%
ao ano, a mais alta do mundo.💰
#juros #selic #bancocentral https://t.co/fRImuiQGbL</t>
  </si>
  <si>
    <t>alegriasc50
RT @ratasyratones: @aro_rojas @perezjuan1962
@adolfopena9 @America81525537 @racuminvenenoso
@chichaypuro @Chena1960 @emelec65
@Mis__Notas @…</t>
  </si>
  <si>
    <t>baireslinea
A pesar de la disparada de la inflación,
el Banco Central no sube la tasa
de plazos fijos #bancocentral #plazofijo
#ahorro #inflacion https://t.co/PnqflCz3ld</t>
  </si>
  <si>
    <t>rintaroufx
Calendário econômico de 24 a 28
de julho: reuniões do BCE, BoJ
e Fed, reequilíbrio do NASDAQ 100
e temporada de resultados do segundo
trimestre https://t.co/nu7Q1KYQZH
#BancoCentral #NASDAQ #TechEarnings
https://t.co/dbfsmE02q0</t>
  </si>
  <si>
    <t>smgestor
Comunicado tranquilo, levemente
Hawk https://t.co/lzorvjWUNz #BancoCentral
#BCB via @BancoCentralBR</t>
  </si>
  <si>
    <t>recuperabrasil_
Gostaria de obter mais informações
ou deseja ter seu nome limpo no
SisBacen? Não hesite em entrar
em contato conosco! Estamos à disposição
para ajudá-lo(a) nesse processo.
💰 Ficou interessado? Contate-nos
e Saiba Mais! 📲 (19) 99923-1909
#bancocentral #sisbacen #nomelimpo</t>
  </si>
  <si>
    <t>cordoba_ahora
#CordobaAhora El Central devalúa:
fija el dólar oficial a $ 365,
sube el blue y la tasa de interés
aumenta al 118% #DolarArgentina
#BancoCentral #Devaluacion #PASO2023
#Argentina @BancoCentral_AR https://t.co/THZW5fIJkx</t>
  </si>
  <si>
    <t>lacielo1035
💵 El Banco Central de la República
Argentina devaluó el peso y deja
subir el dólar oficial hasta los
365,5 pesos #dolar #DolarBlue #Elecciones2023
#BancoCentral https://t.co/AXMFIPnLa6</t>
  </si>
  <si>
    <t>jorgekurrle
Entérate sobre declaraciones del
economista #JavierMilei en la 89.9
FM, Radio con Vos sobre recomendaciones
para saltear las regulaciones del
#BancoCentral para tener una mayor
retribución en dólares https://t.co/0gyJHW6SY7</t>
  </si>
  <si>
    <t>dolarlido
#Venezuela acumuló una inflación
de 115 % entre #enero y #julio
de 2023, según datos difundidos
este lunes por el Observatorio
Venezolano de Finanzas (OVF), un
ente integrado por economistas
y expertos al margen del #BancoCentral
(BCV). https://t.co/XyKBqpQ0pI</t>
  </si>
  <si>
    <t>meiahora
Campos Neto disse que o Brasil
é um dos poucos países que está
dentro das bandas de suas metas
de inflação para os próximos anos.
#MeiaHora #BancoCentral #Inflação
#Economia https://t.co/baptI8rrWZ</t>
  </si>
  <si>
    <t>tagnoticias
Banco Central revelou a maior transição
já feita por PIX #pix #bancocentral
https://t.co/GGoKLkdU1Y</t>
  </si>
  <si>
    <t>robersoncassol
Nigéria como tubo de ensaio p/
digital currency. #DREX #MoedaDigital
#BancoCentral #totalitarismo #controle
#pobreza #escasses #destruição
#moeda #economia #Nigéria https://t.co/KvcKOhr9e4</t>
  </si>
  <si>
    <t>anamarialemete2
RT @JovemPanNews: #OsPingosNosIs
| CPI vai acionar Banco Central
(BC) para descobrir quem financia
ONGs da Amazônia; bancada comenta
📺 Co…</t>
  </si>
  <si>
    <t>voces101
Liberan a 30 de las 33 personas
de la comunidad Lgbti detenidas
en Carabobo. #voces #voces1015fm
#conectacontigo #laguaira #Venezuela
#BancoCentral #darien #Publicidad
#compra #venta</t>
  </si>
  <si>
    <t>jurandirsocolo1
RT @AuditoriaCidada: Pressione
o Banco Central contra esta política
de juros altos que prejudica o
Brasil #JurosBaixosJá #Selic #BancoCentr…</t>
  </si>
  <si>
    <t>gylk
Cruzeiros. #bancocentral #casadamoeda
#cruzeiros https://t.co/ehnRETIgoN</t>
  </si>
  <si>
    <t>ecperiodistas
▶️ #ElBancoCentral y las reservas
de #Oro Para más info https://t.co/BWfUJJg4t4
#BancoCentral #Argentina #Oro #ReservasdeOro
#FMI</t>
  </si>
  <si>
    <t>mediabanco
#EstamosAhí: "Esto indica que la
política macroeconómica ha surtido
efecto y que lo va a seguir haciendo
en lo que resta del año", señaló
el ministro de Hacienda, Mario
Marcel, por cifras del IPC de junio.
#IPC #Inflación #BancoCentral https://t.co/5EQDWa8Aic
https://t.co/7SzBYzakFw</t>
  </si>
  <si>
    <t>hablarxpolitica
#URGENTE ⚠️ El peso devaluó 22%
luego de las PASO y el Dólar Oficial
ya se sitúa a $365, mientras que
el Dólar Blue se sitúa en $690.
#PASO2023 #EleccionesPASO2023 #BancoCentral
#Dólar #DólarBlue #USD</t>
  </si>
  <si>
    <t>elcucodigital
Nueva tasa de interés en el plazo
fijo: cuánto gano por mes si deposito
$ 800 mil #PlazoFijo #TasaDeInterés
#Ahorros #Ingreso #BancoCentral
#Economía #Argentina #ValleDeUco
#ElCucoDigital https://t.co/n2gMPP1ZFf
https://t.co/LList34gip</t>
  </si>
  <si>
    <t>selecoesbrasil
Campos Neto opina sobre o futuro
do método de pagamento que é o
maior responsável por endividamentos
no país. #camposneto #cartãodecrédito
#bancocentral https://t.co/GP8PGLYpAU</t>
  </si>
  <si>
    <t>odeiran
" A inflação no mundo é um câncer,
no Brasil é um negócio." @cirogomes
#JurosBaixosJa #bancocentral</t>
  </si>
  <si>
    <t xml:space="preserve">cirogomes
</t>
  </si>
  <si>
    <t>levysil04752419
Focus - Relatório de Mercado https://t.co/iWvAmyQDLH
#BancoCentral #BCB via @BancoCentralBR</t>
  </si>
  <si>
    <t>xiomaralaran
Pollo, plátanos y azúcar, entre
los alimentos que subieron de precio
https://t.co/sTz79LxSob #azúcar
#BancoCentral #Hoy #HoyDigital
#PeriódicoHoy #plátanos #pollo</t>
  </si>
  <si>
    <t>tonygom79227681
El Banco Central tendrá que acelerar
el paso https://t.co/v8BqZ5OIBR
#BancoCentral #COVID-19</t>
  </si>
  <si>
    <t>cba24ncomar
💸Nuevo récord: el dólar "blue"
sigue en alza y tracciona a las
demás versiones de la moneda estadounidense.
💰Subió $11 respecto al miércoles
y no cede a pesar de la intervención
del #bancocentral . Éstas son las
cotizaciones del jueves 3 de agosto👇
https://t.co/koGIhPHDGb</t>
  </si>
  <si>
    <t>conteolf2024
RT @SIN24Horas: Productos como
el pollo, plátanos, papa, azúcar
y huevos subieron de precio, dice
el BC #Noticiassin #BancoCentral
#Produc…</t>
  </si>
  <si>
    <t>vozdaturquia
Abraçando o holístico: a nova chefe
do banco central da Turquia propõe
política abrangente https://t.co/7JCgicEv1j
#vozdaturquia #Turquia #BancoCentral
#banco #Economia #HafizeGayeErkan
#Erkan</t>
  </si>
  <si>
    <t>gedeon_33
@ecuarauz @RC5Oficial Y del robo
que hiciste en el #BancoCentral
sin ir a trabajar durante años
pero cobrando hasta los aguinaldos,
quién responde? #AndresNoMientasOtraVez
https://t.co/owusnzc7qI</t>
  </si>
  <si>
    <t xml:space="preserve">rc5oficial
</t>
  </si>
  <si>
    <t xml:space="preserve">ecuarauz
</t>
  </si>
  <si>
    <t>gitano99808444
#BancoCentral si lo cierra #Milei
jugamos sin arquero. Cuando Brasil
devalue no tenemos posibilidad
de reacción, nos come y ese es
el plan. Ellos van a exportar y
nosotros importar. Quien progresa
? Lo peor seguiremos con inflación
porque la cantidad de usd será
ilimitada</t>
  </si>
  <si>
    <t>centraleq
📣 New Podcast! "Primera emisión
03 Mayo 2023" on @Spreaker #4t
#adrianabraniff #amlo #bancocentral
#centralfm #conacyt #doreferriz
#estadosunidos #frontera #lopezobrador
#mexico #morena #pedroferriz #playadelcarmen
#rubenhernandez #turismo #unam
https://t.co/150uQXd9Hv</t>
  </si>
  <si>
    <t xml:space="preserve">spreaker
</t>
  </si>
  <si>
    <t>miriamacunar
El #BancoCentral de #Brasil (BCB)
recortó este miércoles su tasa
de interés de referencia en medio
punto porcentual (0.50 puntos)
para ubicarla en 13.25%, la primera
disminución en tres años.</t>
  </si>
  <si>
    <t>jornaldiadiams
Primeira fase do Drex atrasa e
só terminará em maio de 2024 https://t.co/wDZhSW4nZS
#Drex #BancoCentral https://t.co/VucwwXE6p5</t>
  </si>
  <si>
    <t>esazvision
#Azerbaiyán advierte a los bancos
que transfieren dinero ilegalmente
a #Karabaj #Citibank #Raiffeisen
#BancoCentral #terrorismo https://t.co/Zdlw3vfwDP
https://t.co/Xl1tCbBj0A</t>
  </si>
  <si>
    <t>chicoreisjr
detalhenoticia https://t.co/FVwyLbDfPu
#BancoCentral #BCB via @BancoCentralBR</t>
  </si>
  <si>
    <t>conciroxana
#Cordoba #BancoCentral</t>
  </si>
  <si>
    <t>perfilcordoba
👨‍⚖️ La #Justicia falló a favor
de @gobdecordoba y podrá acceder
a dólares del #BancoCentral para
pagar deudas • Un juez federal
avaló un reclamo de la provincia.
• @JSchiaretti podrá cancelar este
viernes un compromiso por US$ 143
millones. 🔗 https://t.co/q9pK8vRDyS
https://t.co/zOgeUEtdyY</t>
  </si>
  <si>
    <t>notearrobonada
@JMilei Yo sueño con algún día
ver cerrado el #BancoCentral !!
cerrado para siempre. Que no explote
ni sea demolido, que quede como
monumento a la inflación, a la
estafa de los políticos, a la generación
de pobreza. Así cuando uno pase
y lo vea tenga memoria de lo que
hicieron.</t>
  </si>
  <si>
    <t>gerardoureta
Informe del Banco Central... Mercado
inmobiliario chileno: ¿Qué ocurrió
en 2022? https://t.co/HxyiZLA2n6
#BancoCentral</t>
  </si>
  <si>
    <t>revistaforum
VENDE-SE UM PAÍS Campos Neto quer
privatizar reservas do Brasil,
e a BlackRock quer comprar Cobiça
do megafundo de investimentos foi
fortalecida com a eleição de Bolsonaro
em 2018. Na Ucrânia, eles já privatizaram
tudo. Leia: https://t.co/JjzvNu2X7A
https://t.co/UCqsspkNSV</t>
  </si>
  <si>
    <t>comodetudo
Campos Neto é um resquício encardido
do Bolsonarismo entreguista...
Lixo. #BancoCentral</t>
  </si>
  <si>
    <t>brunoalefbigode
Absurdo!! Agência do #Itau com
4 caixas eletrônicos e somente
um com depósito imediato disponível!
Deus é mais!!!! @Itau! #Banco #BancoDigital
#BancoCentral</t>
  </si>
  <si>
    <t xml:space="preserve">proconsumidorrd
</t>
  </si>
  <si>
    <t xml:space="preserve">proconrj
</t>
  </si>
  <si>
    <t xml:space="preserve">proconspoficial
</t>
  </si>
  <si>
    <t xml:space="preserve">voude99
</t>
  </si>
  <si>
    <t xml:space="preserve">olimarcos81
</t>
  </si>
  <si>
    <t xml:space="preserve">camren5th
</t>
  </si>
  <si>
    <t xml:space="preserve">99pay
</t>
  </si>
  <si>
    <t xml:space="preserve">reclameaqui
</t>
  </si>
  <si>
    <t xml:space="preserve">bradesco
</t>
  </si>
  <si>
    <t>autorbrunorocha
O deputado esquerdista Lindbergh
Farias (PT-RJ) apresentou uma denúncia
ao Conselho Monetário Nacional
contra o presidente do Banco Central…
Engraçado que eles querem juros
baixos, mas e a gastança do “excelentíssimo
presidente” deles!!? #bancocentral
#bc #bancos #economia https://t.co/lQVngG0S2t</t>
  </si>
  <si>
    <t>diariolibre
💰 |#EconomíaDL| Inflación interanual
baja a 4.43 % y retorna a su rango
meta, informa el Banco Central
🔗https://t.co/JP8JhAlKyN #DiarioLibre
#MacroeconomíaDL #Inflación #BancoCentral
#EconomíaDominicana https://t.co/zguEr9grJw</t>
  </si>
  <si>
    <t>elvis_boateng
Banco central sempre mudando as
coisas, não vai ser mais Real digital,
o nome da CBDC, será DREX.🙃 #BancoCentral
#Realdigital</t>
  </si>
  <si>
    <t>toniricardoes
Programação da I Conferência Anual
do Banco Central do Brasil. https://t.co/lKg4X1zGZm
#BancoCentral #BCB via @BancoCentralBR</t>
  </si>
  <si>
    <t>ana_deportes
El que pidió presupuesto hoy con
el dólar a 700. Yendo a comprar
rápido antes que actualice mañana
a 790. #Argenzuela #Massa #BancoCentral.
https://t.co/16TzO3RgeD</t>
  </si>
  <si>
    <t xml:space="preserve">danielefrancom
</t>
  </si>
  <si>
    <t>viesdanoticia
💰 Você sabia que o @BancoCentralBR
anunciou que o Brasil vai ter um
novo real digital e vai se chamar
"DREX"? Saiba mais 👇 #moedadigital
#bancocentral #DREX https://t.co/lp5rLfhpE8</t>
  </si>
  <si>
    <t>umempreendedor
Fique de olho! #PIX #BancoCentral
#cvm #economia https://t.co/i9hXWXdixn</t>
  </si>
  <si>
    <t>freireoni
O banco central tá fazendo é política
da pior espécie, não é economia.
#Bancocentral</t>
  </si>
  <si>
    <t>eldiariocba
#Billete #BancoCentral Se trata
de un billete conmemorativo de
curso legal con la imagen del Instituto
Malbrán, de la doctora Cecilia
Grierson y el doctor Ramón Carrillo,
precursores en el desarrollo de
la medicina en #Argentina Ver aquí:
https://t.co/1QKsprdV84</t>
  </si>
  <si>
    <t>bol_teletrabajo
¡Buen inicio de fin de semana!
💪 Que tus decisiones te lleven
al éxito que anhelas ✨ #ProductividadEnCasa
#DíasGeniales #BancoCentral #Eyal
#Mercurio #love #viral #trending
#foryoupage #TwitterX #follow #nature
#Empoweringlives https://t.co/PjbhtYxU05</t>
  </si>
  <si>
    <t>miguelbraunn
Se filtra el último mensaje de
Milei a sus seguidores antes de
las PASO: Despiértense Leones.
Es ahora 👊🏼🦁⚔️ @JMilei #JavierMilei
#BradPitt #Mirmidones #BancoCentral
🔥💣 https://t.co/uc8Yax82be</t>
  </si>
  <si>
    <t>imercadoscl
#BancoCentral reduce la #TPM en
100 puntos base hasta 10,25% La
tasa de interés de referencia comienza
a ser recortada Te invitamos a
leer los detalles en el siguiente
enlace https://t.co/Zc7hAjWe09</t>
  </si>
  <si>
    <t>leiamoneytimes
Selic a 13,75%: O que o Banco Central
está esperando para cortar os juros?
#ArcabouçoFiscal #BancoCentral
#Brasil https://t.co/AZwAIT9a5J</t>
  </si>
  <si>
    <t>nuevadataok
Récord del blue: el Banco Central
realizó la mayor compra de dólares
en más de un mes #dolarblue #bancocentral
#dolar #mercado https://t.co/2vb444f44G</t>
  </si>
  <si>
    <t>george_hc1977
@LaDataEc #bancocentral</t>
  </si>
  <si>
    <t xml:space="preserve">ladataec
</t>
  </si>
  <si>
    <t>ricnoticias24h
Com o aumento do preço dos combustíveis,
o Boletim Focus do Banco Central
prevê inflação de 4,9% para 2023.
Veja a matéria completa em: https://t.co/ifCFD96DX5
Fonte: Jovem Pan News #inflação
#economia #BancoCentral https://t.co/SWTNfTiSUt</t>
  </si>
  <si>
    <t>estratosferaok
🏛 Con la meta de apuntalar las
reservas del #BancoCentral (BCRA),
el Gobierno restableció "de manera
extraordinaria y transitoria" el
Programa de Incremento Exportador
(PIE) para la #soja, sin un tipo
de cambio diferencial pero con
la posibilidad de que los exportadores
tengan… https://t.co/N6YetXRJw9</t>
  </si>
  <si>
    <t>jano_barr
#GBM: Abre Tú contrato con Nosotros,
YO Te digo Cómo. #BancoCentral
de #Brasil inicia ciclo de recortes
a la #tasa de Interés https://t.co/yDCp9WMFYS
https://t.co/pP2or5UR1d</t>
  </si>
  <si>
    <t>nonocofre
que el Presidente de #Argentina
@alferdez vea lo que es tener un
#BancoCentral Autónomo. Los Argentinos
PASAN HAMBRE por culpa de politicos
ineptos zurdos -valga la redundancia-
https://t.co/zmF3R0LkUp</t>
  </si>
  <si>
    <t>insaneisann__
RT @bancomoc: #BancodeMoçambique
#bancocentral #museu https://t.co/qbik7os3CA</t>
  </si>
  <si>
    <t>jucamorro6
RT @danielsuchar: #CostaRica Entonces,
las cosas van destapándose ...
poquito a poquito .. #BancoCentral
#Economia #Finanzas #FinanzasPub…</t>
  </si>
  <si>
    <t>danielsuchar
#UH #UltimaHora Siguen buscando
y perdiendo la poca credibilidad
que les queda en estos momentos.,..
#BancoCentral #Economia #Finanzas
#SUGEF #CONASSIF https://t.co/Gqlr3Sa0zt</t>
  </si>
  <si>
    <t>lnjgolsilver
@osvaldo_gimenez @marcos_galperin
@mercadopago Luego el fin de semana
"cuando el dólar papel no funciona"
Mueven la bolsa cripto. Lo mismo
que hace el #BancoCentral con sus
APP que a X horas no funciona.
Envían todo a #usdt y cuando sube
el dólar ganan diferencia. A vos
te dan el dinero deo "estanciero"
devaluado 👌</t>
  </si>
  <si>
    <t xml:space="preserve">mercadopago
</t>
  </si>
  <si>
    <t xml:space="preserve">marcos_galperin
</t>
  </si>
  <si>
    <t>putin_genocida
#FelizViernesATodos Junta electoral
central #FelizViernesATodos Lacalle
CERA Dice Christine @Lagarde q
quitar dinero a las familias (hipotecas
🏘️) para dárselo a los bancos
mejora la inflación 🤷🏻‍♂️ #bancoCentral
#economia @ecb https://t.co/MpzLwfCr1K</t>
  </si>
  <si>
    <t xml:space="preserve">lagarde
</t>
  </si>
  <si>
    <t xml:space="preserve">ecb
</t>
  </si>
  <si>
    <t>sindviarioscut
Juros baixos já! Juros baixos significa
mais dinheiro para trabalhadores
e empresas, além do aumento na
geração de emprego https://t.co/7rZpFOSjeg
#CUTBrasil #BancoCentral #JurosBaixosJá
https://t.co/cRrYIYKbSr</t>
  </si>
  <si>
    <t>antonio27072324
@Arthurvneto @jairbolsonaro @VlogdoLisboa
@carlosjordy @CarlosBolsonaro @BolsonaroSP
@rogeriosmarinho @SigaGazetaBR
@gazetadopovo @revistaoeste @JornalDaCidadeO
Tutu arrombad#, quem está crucificando
quem ? O Pix foi ótima criação
do michel temer e sua equipe. #pix
#micheltemer #bancocentral</t>
  </si>
  <si>
    <t xml:space="preserve">vanliberdade
</t>
  </si>
  <si>
    <t xml:space="preserve">jornaldacidadeo
</t>
  </si>
  <si>
    <t xml:space="preserve">revistaoeste
</t>
  </si>
  <si>
    <t xml:space="preserve">gazetadopovo
</t>
  </si>
  <si>
    <t>sigagazetabr
#BancoCentral Copom decide manter
Selic em 13,75% https://t.co/CF2jsXeHhs</t>
  </si>
  <si>
    <t xml:space="preserve">rogeriosmarinho
</t>
  </si>
  <si>
    <t xml:space="preserve">bolsonarosp
</t>
  </si>
  <si>
    <t xml:space="preserve">carlosbolsonaro
</t>
  </si>
  <si>
    <t xml:space="preserve">carlosjordy
</t>
  </si>
  <si>
    <t xml:space="preserve">vlogdolisboa
</t>
  </si>
  <si>
    <t xml:space="preserve">arthurvneto
</t>
  </si>
  <si>
    <t>pablofreedom2
#bancocentral #Chile tasa de interés
alos anteriores https://t.co/c6tvEZS33Q</t>
  </si>
  <si>
    <t>lucearaujo
RT @NoticiasRedetv: Copom define
nesta quarta-feira (20) taxa básica
de juros - Expectativa é de corte
de 0,5 ponto percentual #Copom
#Ec…</t>
  </si>
  <si>
    <t>sandromoraesvp
ESQUECERAM O DINHEIRO? https://t.co/EFf7CDbsBn
#DINHEIRO #BANCOCENTRAL #SAQUE
#VALORES #RECEBER #RECURSOS #tveradioregional
#sandromoraes #Noticias #jornal
https://t.co/sdzcsC4Wof</t>
  </si>
  <si>
    <t>lucia19517
Campos Neto é traidor da Pátria
Brasil. #LulaPresidente #brasilemconstrução
#ministériodafazenda #foracamposneto
#bancocentral #TCU #politicamonetaria
#juros altos #baixajuros #selic
https://t.co/MRgpIIjQuu</t>
  </si>
  <si>
    <t>riosrosineide
@edmilsonpapodez Aí #CamposNeto
! #BancoCentral Tô virando fã...
#Lula não suporta que o contrariem
e digam a verdade! Alguém segura
esse "estrupício".</t>
  </si>
  <si>
    <t xml:space="preserve">edmilsonpapodez
</t>
  </si>
  <si>
    <t>nexos_digital
#BancoCentral #BCRA #BilletesNuevos
#carrillo https://t.co/nxANXdMb0k</t>
  </si>
  <si>
    <t>cmswbr
Descubra a revolução da economia
digital! A tokenização está transformando
ativos em tokens digitais, trazendo
maior acessibilidade no mercado
financeiro. 💼💰 #TokenizaçãoDaEconomia
#MoedaDigital #bancocentral https://t.co/0B09g9vheo</t>
  </si>
  <si>
    <t>planbit_ar
🚀 #Brasil define al #BancoCentral
como regulador de la industria
#cripto | vía @iupana https://t.co/PlhI96DTOp</t>
  </si>
  <si>
    <t xml:space="preserve">a24
</t>
  </si>
  <si>
    <t xml:space="preserve">iupana
</t>
  </si>
  <si>
    <t>kapmehxu
еƖ ςσпςерƭо ძе ƖᎥƅегƭаძ γ ʝυѕƭᎥςᎥа
еѕ ƭап ძėƅᎥƖ ꝗᵫ рσςо Ꭵʍрσгƭа. СОΜΙⅮА
γ СσƅᎥʝо ѕегȧп Ɩаѕ ргᎥпςᎥраƖеѕ
ргeσςυраςᎥσпеѕ.» ᒪа ςᵫѕƭᎥόп ძеƖ
ძᎥпего: ⱱᎥгƭυаƖᎥ𝗓агƖо рага ςσпẝᎥѕςагƖо:
«ΝᎥпɡύп #BancoCentral, а ехςерςіόп
ძеƖ #BIS γ еƖ #BancoMundial, рσძгȧ
σрегаг. …</t>
  </si>
  <si>
    <t>fabriciovelosoc
A @camaradeputados precisa legislar
sobre cobrança. É absurda a quantidade
de ligações e mal atendimento.
E os bancos não devem terceirizar
cobrança @Bradesco e sim permitir
pagamento direto nos canais oficiais
do banco. #idec #consumidor #BancoCentral</t>
  </si>
  <si>
    <t>ba_gente
El Banco Central compró hoy US$117
millones en el mercado único y
libre de cambios (MULC), con lo
que sumó la tercera rueda consecutiva
con saldo positivo. https://t.co/QiBlfxRleq
#bancocentral #dolares #mercado
#cambio #saldo https://t.co/Ex72TcKN88</t>
  </si>
  <si>
    <t>icexcroacia
El Banco Central de Bosnia y Herzegovina🇧🇦
gana el premio "Central Banking
Award" en la categoría "Transparencia".
Reconocimiento otorgado a su integridad,
lucha contra la corrupción y compromiso
con la honestidad.🏦🏆 #BancoCentral
#Transparencia</t>
  </si>
  <si>
    <t>cnastrojr
detalhenoticia https://t.co/xZHB129v6w
#BancoCentral #BCB via @BancoCentralBR</t>
  </si>
  <si>
    <t>daneraz
Imprimiendo #billetessoberanos
llámenle #Sucre #ecuadolares se
llevan nuestras reservas de #Dólares
q hay en circulación y vacían el
#BancoCentral Son Pillos #CorreismoEsCorrupción
#RC5LaDeLaDesdolarización https://t.co/J4ooiWrRNA</t>
  </si>
  <si>
    <t>villamarcovilla
Juros altos atrapalham o crescimento
do Brasil. #MarcoAntonioVilla #juros
#jurosaltos #economia #crescimento
#RobertoCamposNeto #BancoCentral
https://t.co/QebdIKc17r</t>
  </si>
  <si>
    <t>fetrafrjes
Os impactos negativos da política
de juros altos do Banco Central
do Brasil – por Nilton Esperança
(@NiltonEsperana1), Presidente
da @FetrafRJES Leia o artigo na
íntegra: https://t.co/00uR8lTg10
#FetrafRJES #RioDeJaneiro #EspíritoSanto
#Bancários #BancoCentral</t>
  </si>
  <si>
    <t xml:space="preserve">niltonesperana1
</t>
  </si>
  <si>
    <t>fernandodsantos
RT @redeTVT: #AOVIVO Lula se encontra
com Campos Neto pela 1ª vez no
Planalto Acompanhe o Bom Para Todos
ao vivo desta quarta! https://t.…</t>
  </si>
  <si>
    <t>redetvt
#AOVIVO Lula se encontra com Campos
Neto pela 1ª vez no Planalto Acompanhe
o Bom Para Todos ao vivo desta
quarta! https://t.co/T1hCuMA5jW
#GovernoLula #CamposNeto #BancoCentral
#Iraque https://t.co/9nTqrAuHLj</t>
  </si>
  <si>
    <t>cepocambiario
Dólar BNA 272 0% Dólar Informal
491 0% Dólar Ahorro 451,62 0% Dólar
Qatar 547,42 0% Dólar Mep 484,68
0% Dólar Mayorista 261 0,23% Dólar
Cripto 509,12 0,01% Euro 292,09
0,37% Euro Informal 534 0% #dolarblue
#dolarccl #dolarmep #dolar #bcra
#reservasbcra #bancocentral #arg</t>
  </si>
  <si>
    <t>lcasna1
El caso de Juan y la soberanía
individual https://t.co/26CP3ok75w
#Bitcoin #descentralización #p2p
#adopción #inflación #deuda #ahorros
#poderadquisitivo #economía #macroeconomía
#políticamonetaria #políticafiscal
#bancocentral #crecimientoeconómico</t>
  </si>
  <si>
    <t>tvsenado
Durante sessão especial sobre estabilidade
financeira, o presidente do @BancoCentralBR,
Roberto Campos Neto, destacou “pouso
suave” no combate à #inflação.
“Conseguimos trazer a inflação
muito alta para um nível mais baixo,
com quase nenhum custo", disse.
#BancoCentral https://t.co/tWpGZaGoaE</t>
  </si>
  <si>
    <t xml:space="preserve">rodrigopacheco
</t>
  </si>
  <si>
    <t>jc_rs
#BancoCentral: No primeiro semestre
deste ano, o Governo Central registrou
déficit primário de R$ 46,5 bilhões
https://t.co/fO3ucB7tzD</t>
  </si>
  <si>
    <t>bastadefarsas
Bueno se le van cayendo todas las
mentiras que dijo rumbo a las PASO
o al menos esta tratando de desmentir
con tecnisismos infantiles que
el "respondió xxx". #PlanesSociales
se quedan, #Dolarizar no, #BancoCentral
sigue, #Vouchers no, #Massa va
bien #Milei #Milei2023 https://t.co/NZ4VZkT5Kc</t>
  </si>
  <si>
    <t>vanderlan_vc
O Governo Federal oficializou os
indicados para as diretorias do
Banco Central! Parabéns aos nomeados.
Agora, a CAE irá cumprir seu papel
com excelência nas sabatinas. #BancoCentral
#CAE #Sabatinas</t>
  </si>
  <si>
    <t>econometroprog1
#BancoCentral Hoy en un nuevo episodio
de Memoria y Balance, charlamos
con Carlos Campana para conocer
la historia del Banco Central de
la República Argentina y su fuerte
influencia en la política monetaria
del país. @floresisuani x @LaRedMendoza</t>
  </si>
  <si>
    <t xml:space="preserve">laredmendoza
</t>
  </si>
  <si>
    <t xml:space="preserve">floresisuani
</t>
  </si>
  <si>
    <t>miguelortega9
La #FuerzaDelPueblo exige al gobierno
explicar a quienes prestó los 60
mil millones de pesos del Banco
Central, simplemente para mayor
transparencia, esta bueno de que
nos sigan cogiendo de soquetes,
no crean que son los únicos inteligentes.
En el 24 los Popis #SeVan @LirianoOmar…
https://t.co/jDvvCFUib6</t>
  </si>
  <si>
    <t xml:space="preserve">lirianoomar
</t>
  </si>
  <si>
    <t>planargentino
VIMOS LO QUE PASÓ CON ESTAS RESTRICCIONES
IMPROVISADAS! El #BancoCentral
está esquilmado! ENTONCES PARA
QUE SIRVIO! claro que sirvió. SIRVIÓ
PARA GENERAR EL #ModeloDePobreza
QUE GARANTIZA PODER A LOS CORRUPTOS
MEDIANTE LA SERVIDUMBRE QUE GENERAN
LOS IMPUESTOS Y LOS SUBSIDIOS!</t>
  </si>
  <si>
    <t>sill_dalla
@nbg__ Todos los días a alguien
le vacían la cuenta, le sacan préstamos
o realizan compras, y en el 90%
de los casos #MecadoPago no se
hace cargo. Es una plataforma sin
ningún control buenisimo que #BancoCentral
intervenga</t>
  </si>
  <si>
    <t xml:space="preserve">nbg__
</t>
  </si>
  <si>
    <t>negociosudd
🗣OPINIÓN | Nuestro investigador
#CIESUDD, Cristián Echeverría,
comentó en @biobio, sobre el resguardo
de capital del #BancoCentral de
1.500 millones de dólares, en la
banca local por riesgo #financierointernacional.
https://t.co/Z9ht3WragZ</t>
  </si>
  <si>
    <t xml:space="preserve">biobio
</t>
  </si>
  <si>
    <t>leinsomniac
ahahahahahaha aaaahahahahahah!!!!
agora sim já se vê o filme todoooooo
;) digam lá que os cabrãezites
não são espertos não queimem isto
tude não já diz a sabedoria populari
#banca #cartel #expresso #bitcoin
#bancocentral #Governo</t>
  </si>
  <si>
    <t>expresso
Portaria publicada pelo Governo
que define a nova série de investimentos
prevê que os bancos passem a comercializar
Certificados de Aforro em canais
físicos ou digitais. https://t.co/W6gotutTSO</t>
  </si>
  <si>
    <t>jesusde69803209
RT @JovemPanNews: #OsPingosNosIs
| CPI vai acionar Banco Central
(BC) para descobrir quem financia
ONGs da Amazônia; bancada comenta
📺 Co…</t>
  </si>
  <si>
    <t>reservadevalor
#Argenttina y su #BancoCentral
Sin dudas este hilo es deprimente
y muy preocupante. https://t.co/3KHbOcjRaT</t>
  </si>
  <si>
    <t>dr_morfeoo
Que pasa si se elimina el banco
central? 🔥 #bancocentral #dolarizar
#Milei #demente #crisis #Argentina
#libertario #colonia #esclavos
#dolar #corralito #derecha https://t.co/PlQ3RRdX8h</t>
  </si>
  <si>
    <t>elfinancierocr
➡️ https://t.co/SNfdT4vNUW | El
Banco Central decidió mantener
su política monetaria en lo que
considera un terreno restrictivo
de 6,5%. #BancoCentral #Finanzas
https://t.co/LKQeOLSVWG</t>
  </si>
  <si>
    <t>mmorenonoticias
Tras las PASO el Banco Central
fijó el tipo de cambio oficial
a $350 hasta las elecciones de
octubre #BancoCentral #dolar https://t.co/0YgDOVOsjp</t>
  </si>
  <si>
    <t>vivaned1
🇧🇷 CAMPANHA PERMANENTE PELA REDUÇÃO
DOS JUROS PELO #BACEN E RETOMADA
DO CRESCIMENTO DA #ECONOMIA #ForaCamposNeto
#bancocentral #jurosabusivos #jurosbaixos
#JurosBaixosJá #Brasil https://t.co/e1SNrx2Ckw</t>
  </si>
  <si>
    <t>alessandroguede
🚨Pela 1ª vez em quase 3 anos,
o Copom do #BancoCentral reduziu
os juros básicos da economia brasileira:
cortou a taxa #Selic em 0,50 ponto
percentual - para 13,25% ao ano.
Vitória importante na recuperação
da economia, mas podemos mais,
bora pressionar. 🙌 https://t.co/mLUawCaQID</t>
  </si>
  <si>
    <t xml:space="preserve">mcfernandes
</t>
  </si>
  <si>
    <t>pguerreiro97
RT @CBNoficial: .@mcfernandes fala
sobre encontro entre o presidente
Lula e o presidente do Banco Central,
Roberto Campos Neto: 'há muita
e…</t>
  </si>
  <si>
    <t>zilafusaro7
RT @JovemPanNews: #OsPingosNosIs
| CPI vai acionar Banco Central
(BC) para descobrir quem financia
ONGs da Amazônia; bancada comenta
📺 Co…</t>
  </si>
  <si>
    <t>yasnahm
https://t.co/aVbXG6H0Nn #bancocentral,
#fonfoF ahora!!</t>
  </si>
  <si>
    <t>drconsultingsrl
#BancoCentral mantiene la #TasaDePoliticaMonetaria
para mantener la estabilidad económica
💱</t>
  </si>
  <si>
    <t>1erjadiaz
#BancoCentral Solo 9 países en
el mundo no tienen Banco Central.</t>
  </si>
  <si>
    <t>cronistacom
🏦🚫 Los 9 países que actualmente
carecen de Banco Central: 🇦🇩
Andorra 🇲🇭Islas Marshall 🇰🇮
Kiribati 🇫🇲 Estados Federados
de Micronesia 🇲🇨 Mónaco 🇳🇷
Nauru 🇵🇼 Palaos 🇵🇦 Panamá 🇹🇻
Tuvalu https://t.co/DtcFIND5y3</t>
  </si>
  <si>
    <t>revistaforex
Las #CBDC son #reguladas y emitidas
por la #autoridad monetaria de
un #país, generalmente un #bancocentral.
°  #dolar #economia #enseñanza
#euro #finanzas #forex #indices
#inversiones #invertir #inverte
#materiasprimas #negocios #noticias
#tecnologia #estafabroker https://t.co/aofMuAPXJl</t>
  </si>
  <si>
    <t>galaxpay
"Aceita Drex?" - Já se prepare
para a nova expressão em pagamentos.
💲 Nesta segunda-feira, dia 7/08,
o Banco Central anunciou o nome
oficial do novo Real Digital, que
agora será chamará Drex. O que
achou do nome definido pelo BC?
#bancocentral #realdigital #drex
https://t.co/roJ1SCDy3m</t>
  </si>
  <si>
    <t>_srto21
@itau vcs vão se responsabilizar
pelos juros e iof e oq for me cobrado
de atraso se eu não conseguir pagar
minha fatura hoje! . . . @BancoCentralBR
Impossível acessar o app instável
#itau #instavel #bancocentral</t>
  </si>
  <si>
    <t>shirley51198078
Tener cuidado con esta lacra humana
que falta el respeto a las niñas
en los buses. Es funcionario público
del Banco Central. Mujeres no vivamos
en el miedo, denunciemos y acabemos
con todo tipo de violencia y abuso.
#DenunciaCiudadana #BancoCentral
#TransportePúblico #Quito https://t.co/8uqAeQptUJ</t>
  </si>
  <si>
    <t>contraf_cut
VERGONHA! 😡 O Banco Central, comandado
pelo Campos Neto, usa radar Focus
para indicar que irá manter Selic
em 13,75%. Nossos juros são os
mais altos do mundo! #JurosBaixosJá
#economia #juros #bancocentral
https://t.co/NXnzP4UbRe</t>
  </si>
  <si>
    <t>jadsonlimanovo
#Mesmo com #esperneio lulista,
#Copom #mantém #taxa #Selic em
13,75% O Comitê de #Política Monetária
... Saiba mais sobre ese conteúdo
no site Brasil em Pauta Noticias.
Clique no Link: https://t.co/XhXsmF9tJ1
#bancocentral #brasil #lulista
https://t.co/ZSIBCC0vx2</t>
  </si>
  <si>
    <t>diarioch
#BancoCentral 💵➡En lo que va de
septiembre la autoridad monetaria
acumula compras netas por unos
513 millones de dólares. https://t.co/TskErlwtkV</t>
  </si>
  <si>
    <t>el_gatu
Le pedi a mi empleador que me deposite
mi sueldo directamente en #mercadopago,
accedio sin problemas un genio....#mercadolibre
#gobierno #bancocentral #massa
#Milei #kukas #billeteravirtual
#dolar</t>
  </si>
  <si>
    <t>lunavalienterd
#BCRD mantiene su tasa de política
monetaria en 7.75 % anual https://t.co/mafPqrR5hk
#Economia #BancoCentral #TasaPoliticaMonetaria
#ControlInflacion #ExpectativasPositivas
#Crecimiento #Desarrollo #PIB @BancoCentralRD
https://t.co/25KmzfovZW</t>
  </si>
  <si>
    <t>asnotici
El Banco Central de la República
Dominicana (BCRD), en su reunión
de política monetaria de junio
de 2023, decidió reducir su tasa
de interés de política monetaria
(TPM) en 25 puntos básicos, de
8.00 % a 7.75 % anual. #noticiasAS
#economía #bancocentral https://t.co/XwFkXNkxIz</t>
  </si>
  <si>
    <t>ismaelguerreir6
Confira os motivos e detalhes no
site ou APP do https://t.co/5Z7417xxav
Brasil. #juros #selic #bancocentral
#copom #bc</t>
  </si>
  <si>
    <t>aguijonn
Compra de gas: un desmadre digno
de un sainete #gas #GNL #energia
#federicobernal #federicobasualdo
#dariomartinez #dolar #flaviaroyon
#sergiomassa #superministro #reservas
#bancocentral https://t.co/nn9zCrgiwz</t>
  </si>
  <si>
    <t>nishimurapaulo
I am afraid we need deflation.
#FED #BancoCentral #Bancos #UBS
#Santander</t>
  </si>
  <si>
    <t>mario_moray
HOY COMIENZA A CIRICULAR EL BILLETE
DE $2000 Mirá el video que compartió
el #BancoCentral con las medidas
de seguridad del #NuevoBillete
de $2000. https://t.co/c1Uzo9hRSJ</t>
  </si>
  <si>
    <t>sergioronnie
RT @redeTVT: #AOVIVO Lula se encontra
com Campos Neto pela 1ª vez no
Planalto Acompanhe o Bom Para Todos
ao vivo desta quarta! https://t.…</t>
  </si>
  <si>
    <t>ildelte22
RT @JovemPanNews: #OsPingosNosIs
| CPI vai acionar Banco Central
(BC) para descobrir quem financia
ONGs da Amazônia; bancada comenta
📺 Co…</t>
  </si>
  <si>
    <t>maxsilence
Ya son 2⃣6⃣ años! 🥳 Felicidades
a todos los que han consagrado
su tiempo y a los que día a día
sostienen una institución como
el #BancoCentral 🇨🇺 Vamos por
más! #MejorEsPosible #BancariosCubanos
https://t.co/1hI1un1T8H</t>
  </si>
  <si>
    <t>mauroflamini1
@diegowainstein Nadie va a decir
nada del jefe del equipo económico
de @milei? Roque Fernández, cuando
era Capo del #BancoCentral se robó
3 Bancos, #BancoAciso #BancoIntegradoDepartamental
#BancoDeLaRibera</t>
  </si>
  <si>
    <t xml:space="preserve">infobae
</t>
  </si>
  <si>
    <t xml:space="preserve">milei
</t>
  </si>
  <si>
    <t xml:space="preserve">diegowainstein
</t>
  </si>
  <si>
    <t>diariosp
O principal instrumento de pagamentos
do país deve se tornar ainda mais
simples #Pix #Pagamento #BancoCentral
https://t.co/0bd2QysKrO</t>
  </si>
  <si>
    <t>chapulinmaldito
@camila_vallejo @GobiernodeChile
@voceriagobierno @Min_Hacienda
@meconomia 🤣🤣🤣🤣🤣 como tan
care raja??? Mérito absoluto del
banco central. Mejor anda a elegirle
vestido y zapatos a tu wea de "MARIDE"
#VallejoCRERAJA #Maride #GobiernoDeLadrones
#Inflación #BancoCentral https://t.co/3lFlAVyvxR</t>
  </si>
  <si>
    <t xml:space="preserve">min_hacienda
</t>
  </si>
  <si>
    <t xml:space="preserve">voceriagobierno
</t>
  </si>
  <si>
    <t xml:space="preserve">camila_vallejo
</t>
  </si>
  <si>
    <t xml:space="preserve">meconomia
</t>
  </si>
  <si>
    <t xml:space="preserve">gobiernodechile
</t>
  </si>
  <si>
    <t>biasaltarelli
Para as fintechs, em uma visão
de produto, é crucial considerar
não apenas as questões técnicas
e as funcionalidades envolvidas,
mas também uma perspectiva estratégica
relevante. https://t.co/s0JkUNRDTX
- #pix #pixautomático #bancocentral
#openfinance #saas #baas #fintechs</t>
  </si>
  <si>
    <t>xandaodalapa
Aquele circo armado no #agrishow2023
foi pra PASSAR PANO para o Meliante...Sabiam
que Bozo iria Rodar com a operação
da PF e adulteração da carteira
de #vacinação . Ah,enquanto isso
seu estafeta mantém #jurosaltos
no #BancoCentral ACORDA,BRASIL</t>
  </si>
  <si>
    <t>dinheirama
https://t.co/1DbdHI4DWQ Segundo
o chefe do Departamento de Estatísticas
do BC, Fernando Rocha, na comparação
interanual, a conta do Governo
Central teve piora de R$ 60,2 bilhões.
#economia #bancocentral #Brasil</t>
  </si>
  <si>
    <t>bengie00
@latercera El #BancoCentral</t>
  </si>
  <si>
    <t>latercera
📈@pulso_tw | IPoM: Senadores destacan
gestión del Banco Central, pero
muestran preocupación por el crecimiento
económico https://t.co/Z0Blmozb2G
https://t.co/K3lrTpmNjw</t>
  </si>
  <si>
    <t>livefmcampos_
💲Para maior segurança, cheques
terão mudanças a partir de 2 de
outubro. Principal alteração é
que a regulação do modelo passa
do Banco Central para as instituições
financeiras; além disso, cliente
poderá solicitar uso do nome social.
#cheque #bancocentral</t>
  </si>
  <si>
    <t>nbernalvial
Imacec junio 2023 https://t.co/I4twPOUVy0
#BancoCentral</t>
  </si>
  <si>
    <t>banqueirosmatam
RT @AuditoriaCidada: Pressione
o Banco Central contra esta política
de juros altos que prejudica o
Brasil #JurosBaixosJá #Selic #BancoCentr…</t>
  </si>
  <si>
    <t>fariapaz
RT @JovemPanNews: #OsPingosNosIs
| CPI vai acionar Banco Central
(BC) para descobrir quem financia
ONGs da Amazônia; bancada comenta
📺 Co…</t>
  </si>
  <si>
    <t>inversionesimp2
¡ #Europa sigue adelante! #nuevaentradadelblog
#cbdc #bancocentral #gobierno #creatuimperio
https://t.co/M53faQQ5qg</t>
  </si>
  <si>
    <t>maubrasileiro
@brasil247 pq #Lula não dá um pé
na bunda dele, e numa canetada
retoma o poder, q ele votadamente
deveria ter, sobre o nosso #BancoCentral?</t>
  </si>
  <si>
    <t>bum__news
➡ El Banco Central ya tiene en
su poder el nuevo billete de $2.000
y define su salida La Casa de la
Moneda adelantó la entrega #Billete
#BancoCentral https://t.co/3qvnxT2oxT</t>
  </si>
  <si>
    <t>astroporchett
La carta de creación del Banco
Central de la República Argentina
es PÉSIMA. Video en mi canal de
YouTube (Carta del 06/06/1935 a
las 10:00) #astrología #BancoCentral
https://t.co/0wZYLYUEkr</t>
  </si>
  <si>
    <t>matiaspmanghi
🏦 El #BancoCentral subió la tasa
de interés a 91%, la más alta en
los últimos 20 años. 🏦 . 🫵 Es
entonces cuando el #Banco de la
#República decide aumentar las
tasas de interés, haciendo que
el crédito sea más costoso y la
gente procure no pedir prestado
https://t.co/M9ryugNGlA</t>
  </si>
  <si>
    <t>genialinveste
MERCADO HOJE - 03/08/23 • Humor
dos índices • Política monetária
do Reino Unido • Atividade de serviços
na China • Petróleo e minério de
ferro • Copom Veja o resumo completo
dos mercado hoje 👉 https://t.co/PZHx0BnXwn
#Selic #Copom #bancocentral #mercadohoje…
https://t.co/SHC4KM9AlW</t>
  </si>
  <si>
    <t>lpoarg
#JusticiaFederal #BancoCentral
| Tras el amparo, Schiaretti pudo
pagar la deuda de Córdoba con dólares
del Central https://t.co/o5WQnMop8Q</t>
  </si>
  <si>
    <t>neuquenpostc
El #BancoCentral anunció la suba
de las tasas 📈 ¿Cuánto se le pagará
ahora a los ahorristas? #Inflación
#Ahorros #Llegarafindemes 🫰 https://t.co/5kTHpuk7ex</t>
  </si>
  <si>
    <t>mercolombres
Que ganas de autopercibirme ciudadana
del país que gobierna Lacalle luego
de leer los medios y Twitter hoy.....
#BancoCentral</t>
  </si>
  <si>
    <t>joselilloy
Alemania opera con Banco Central.
Kiribati y Tuvalu no. #BancoCentral
#dolar #Milei #Bullric</t>
  </si>
  <si>
    <t>chinaclave
#cocolee #flamenco #dostribuciondelariqueza
#tumbaito #EleccionesGenerales2023
#China #yuan #swap #bancocentral
#deudaexterna #dolar #</t>
  </si>
  <si>
    <t xml:space="preserve">radio_770
</t>
  </si>
  <si>
    <t xml:space="preserve">avanoliok
</t>
  </si>
  <si>
    <t xml:space="preserve">lidiafagale
</t>
  </si>
  <si>
    <t>danifer94913747
RT @JovemPanNews: #OsPingosNosIs
| CPI vai acionar Banco Central
(BC) para descobrir quem financia
ONGs da Amazônia; bancada comenta
📺 Co…</t>
  </si>
  <si>
    <t>panequeasesores
#NoticiasEconómicas: Los bancos
centrales echan más leña contra
la inflación y elevan el riesgo
de crisis 💻https://t.co/OP2zy7gCBi
#economia #noticias #bancos #bancocentral
https://t.co/DrBeV4k2FC</t>
  </si>
  <si>
    <t>girlishgiggle
#VALE3: faixa de 66.00 #Vale #Ibovespa
#China #Commodities #ironore #BRICS
#Russia #analisetecnica #DayTrading
#recession #dolar #interestrates
#BancoCentral #ArcabouçoFiscal
https://t.co/pzFpwZ1riG</t>
  </si>
  <si>
    <t>maryuhernandez
Lo más triste de todo es que fokih
#bancocentral volvió a subir el
interés... Hasta donde más llegará
eta inflación... 😶‍🌫️😡 La gente
le vale madres.. Nadie se queja..
Nito haceindo fiesta con Panamá.</t>
  </si>
  <si>
    <t>comentard1
https://t.co/CfTHoHzOOZ #encajelegal
#bancocentral #RepublicaDominicana
#bancos #bancoscomerciales #prestamos
#viviendas #viviendasbajocosto
#millones</t>
  </si>
  <si>
    <t>felixvini2
RT @CiroPNDdoBrasil: 📢 Pra que
serve o Banco Central? . 📌 Ciro
Gomes explica que o Banco Central
deveria estar perseguindo dois
objetivos,…</t>
  </si>
  <si>
    <t xml:space="preserve">xtbes
</t>
  </si>
  <si>
    <t>xtblatam
👉👉https://t.co/ctEyb4uOZZ 🇪🇺🚨El
#BancoCentral Europeo anunció su
última decisión de política monetaria
hoy. Tal como sucedió ayer con
la decisión del #FOMC, el #BCE
no sorprendió a los mercados y
cumplió con las expectativas. #euro
#trading #forex https://t.co/SVu49Oyb9T</t>
  </si>
  <si>
    <t>brunnatmarica
Desemprego atinge menor taxa para
o período desde 2015. Taxa de desocupação
foi de 8,5%, segundo o IBGE. Só
os juros do Banco Central não caem.
Até quando? #brunnatavares #PrefeituraDeMaricá
#Maricá #PT #GovernoLula #BancoCentral
#Sakamoto</t>
  </si>
  <si>
    <t>falador10960616
Hummmmm 🤔🤔🤔 Há razão.para sermos
e termos os maiores juros reais
do mundo??? #BancoCentral</t>
  </si>
  <si>
    <t>investnewsbr
O Brasil possui a maior taxa de
juros reais entre 40 países. Segundo
o levantamento, o país aparece
na primeira posição da lista pela
quinta reunião seguida do Comitê
de Política Monetára, que realiza
encontros a cada 45 dias. Veja
o ranking completo: https://t.co/tSJIEFNzH2
https://t.co/elkWXxQKjf</t>
  </si>
  <si>
    <t>tribuna_hoje
🖌🎨 "LULA PEGA NO PÉ DO BANCO
CENTRAL" - Confira a charge do
jornal Tribuna Independente de
hoje. #charge #jornalismo #chargedodia
#economia #bancocentral #juros
#presidentelula #selic #política
#bc #ilustração #desenho #draw
#arte #tribuna #tribunahoje #tribunaindependente
https://t.co/cZnFew1l82</t>
  </si>
  <si>
    <t>fusarozila
RT @JovemPanNews: #OsPingosNosIs
| CPI vai acionar Banco Central
(BC) para descobrir quem financia
ONGs da Amazônia; bancada comenta
📺 Co…</t>
  </si>
  <si>
    <t>8cero9do
Seguridad jurídica y transparencia
son atractivos para inversiones
en renovables. @BancoCentralRD
👉🏼 https://t.co/37HKfK3qPS #809do
#SeguridadJuridica #TransparenciaRD
#SectorEnergetico #BancoCentral
#RD https://t.co/i8UBNmeqNe</t>
  </si>
  <si>
    <t>zenda_simoes
RT @JovemPanNews: #OsPingosNosIs
| CPI vai acionar Banco Central
(BC) para descobrir quem financia
ONGs da Amazônia; bancada comenta
📺 Co…</t>
  </si>
  <si>
    <t>sindpdce
Pagamento será disponibilizado
para empresas de qualquer porte
Leia mais em: https://t.co/PBGReBEccC
#sindpdce #pixautomatico #pix #bancocentral
#brasil #tecnologia #transações
#2024 https://t.co/OnCJtEYB5J</t>
  </si>
  <si>
    <t>hiltonboss90841
Será que os juros caem? #copom
#taxadejuros #inflação #economia
#juroscompostos #bancocentral #juros
https://t.co/xwtW3LUR4U Sigam-me
nas mídias sociais 🫵🏾 Instagram
@hilton.boss7 YouTube @creatorboss7
Obs: fiquem ligados que farei um
sorteio no instagram.</t>
  </si>
  <si>
    <t xml:space="preserve">hilton
</t>
  </si>
  <si>
    <t>davijeanmonod
Essa notícia está sendo divulgado
pela mídia?! Alguém viu? Tem como
mandar o link Presidentes de bancos
centrais estrangeiros vêm ao Brasil
debater política monetária https://t.co/bMJOQstT87
#BancoCentral #BCB via @BancoCentralBR</t>
  </si>
  <si>
    <t>duelopregao
#inflação #bancocentral Roberto
Campos Neto: “Inflação do Brasil
está um pouco pior” Qual será o
impacto da declaração na bolsa
?</t>
  </si>
  <si>
    <t xml:space="preserve">cafecomferri
</t>
  </si>
  <si>
    <t xml:space="preserve">o_antagonista
</t>
  </si>
  <si>
    <t>oconvergente_
Alternativa seria um parcelamento
automático com taxa de juros em
9%. Segundo o BC, a inadimplência
é de 52%, índice sem precedentes.
Via: Eixo Político #OConvergente
#Brasil #BancoCentral #Política
#Economia https://t.co/QAwARBcQ7o</t>
  </si>
  <si>
    <t>jhonata0ficial
#banco #c6bank #bancocentral #contaempresa
#mei #empresa #empreendedor</t>
  </si>
  <si>
    <t>felixvaloes
RT @AuditoriaCidada: Pressione
o Banco Central contra esta política
de juros altos que prejudica o
Brasil #JurosBaixosJá #Selic #BancoCentr…</t>
  </si>
  <si>
    <t>faccionlibre
RT @OpinaBa: Milei en Parque Norte:
“La locura no es cerrar el Banco
Central, sino tenerlo” https://t.co/33YsW06QwK
a través de @OpinaBa #P…</t>
  </si>
  <si>
    <t>opinaba
El BCRA prorrogó hasta marzo de
2024 la principal línea de financiamiento
para mipymes https://t.co/Rbs2PF4OUs
a través de @OpinaBa #Ecomia #pymes
#mipymes #pyme #credito #LFIP #financiamiento
#BCRA #BancoCentral</t>
  </si>
  <si>
    <t>criptancia
Serão selecionadas até 10 instituições,
que precisam cumprir alguns critérios
e procedimentos previstos no regulamento
do Piloto RD. #RealDigital #CBDCs
#BancoCentral #blockchain https://t.co/5EeEA4Hu03</t>
  </si>
  <si>
    <t>moamcyr
@galvao_jo #ForaCamposNeto #BancoCentral</t>
  </si>
  <si>
    <t xml:space="preserve">estevamreboucas
</t>
  </si>
  <si>
    <t xml:space="preserve">annatav23
</t>
  </si>
  <si>
    <t xml:space="preserve">carloss48442375
</t>
  </si>
  <si>
    <t xml:space="preserve">cplesquerdarj
</t>
  </si>
  <si>
    <t xml:space="preserve">martaclari
</t>
  </si>
  <si>
    <t xml:space="preserve">cissopazey
</t>
  </si>
  <si>
    <t xml:space="preserve">janjadebochada
</t>
  </si>
  <si>
    <t xml:space="preserve">rimanof_klein
</t>
  </si>
  <si>
    <t xml:space="preserve">kjulimata
</t>
  </si>
  <si>
    <t xml:space="preserve">galvao_jo
</t>
  </si>
  <si>
    <t>crypto_economy
🇪🇺 ¿Cómo va el Proyecto Europeo
#CBDC? un Ejecutivo del BCE da
Más Detalles y Arremete Contra
#Paypal🇪🇺 #Criptomonedas #Europa
#BancoCentral #BCE #cripto 📌Informe
Completo: https://t.co/JFwb81XFkG
https://t.co/Cyu7f9a8WR</t>
  </si>
  <si>
    <t>luppi1882
El #bancoCentral viendo los resultados
de #LasPASO @LLibertadAvanza #Milei2023
@RAMIROMARRA https://t.co/WpPbYSiJCl</t>
  </si>
  <si>
    <t xml:space="preserve">ramiromarra
</t>
  </si>
  <si>
    <t>imminent_newsde
🇧🇴 Dollar-Knappheit in Bolivien
geht💵 weiter @brissapabon #Dollars
#Bolivien #BCB #BancoCentral #Wirtschaft
#YPFB #Schulden #Fonds #Corralito
#Banken #bolivien #meistgeteilt
https://t.co/qccjOOkPcC</t>
  </si>
  <si>
    <t xml:space="preserve">brissapabon
</t>
  </si>
  <si>
    <t>parego
População brasileira está quebrada,
endividada e vivendo de trabalhos
informais Juros Reais + altos do
Planeta #BancoCentral alegando
q precisa conter a inflação Ñ existe
inflação no #Brasil por causa do
consumo!! Economia ñ está aquecida!!
Brasileiro ñ tem $$$ VTNC BC🤬
@Estadao https://t.co/yyc1tCMCJ8</t>
  </si>
  <si>
    <t xml:space="preserve">jornaloglobo
</t>
  </si>
  <si>
    <t>estadao
Rui Costa defende mudança de lei
para governo poder demitir presidente
do Banco Central (via @EstadaoEconomia)
https://t.co/4M53RazpFN</t>
  </si>
  <si>
    <t xml:space="preserve">reinaldoazevedo
</t>
  </si>
  <si>
    <t>dolcarajas
REAL DIGITAL A moeda digital terá
a mesma cotação do real e só poderá
ser acessada por meio de carteiras
virtuais atreladas a uma instituição
de pagamento. Leia mais ⬇️ https://t.co/eQtbjGPtC2
#real #digital #drex #confirma
#bancocentral #dolcarajas https://t.co/q5vsV1LdDK</t>
  </si>
  <si>
    <t>diariotag
#PlazoFijo #BancoCentral 👉Tras
los resultados de las PASO y la
abrupta suba del dólar blue, el
Banco Central aumentó los intereses
de los plazos fijos. https://t.co/EQ0VemN3Wz</t>
  </si>
  <si>
    <t>infonoticiasarg
RT @DiarioTAG: #BancoCentral #Dólares
👉Con una racha positiva, la entidad
bancaría lleva 27 ruedas operativas
consecutivas. https://t.co/HL…</t>
  </si>
  <si>
    <t>canalecos
El gobernador del #BancoCentral,
Héctor Valdez Albizu, recibió la
visita de embajadores acreditados
en el país, quienes conocieron
del mismo los datos del desempeño
de la #economía dominicana y sus
#perspectivas para 2023. Foto:
BCRD. #ECOS #Diplomáticos #BancoCentral
https://t.co/frUl4dLCWI</t>
  </si>
  <si>
    <t>luciano_valero
Peronistas #dolar #bcra #bancocentral
https://t.co/1Co2UoIekh</t>
  </si>
  <si>
    <t>raphael11081369
#CamposNetoFora #BancoCentral #jurosbaixosjá
#BolsonaroEAliadosNaCadeia https://t.co/8kgMHbtO5I</t>
  </si>
  <si>
    <t>easylawmagazine
El Banco Central Europeo ha anunciado
una subida de tipos de interés
del 0,25%, lo que eleva el precio
anual del dinero para las operaciones
de financiación al 3,75%. https://t.co/8lDxZDFxTc
#easynews #easylawmagazine #interés
#BancoCentral</t>
  </si>
  <si>
    <t>eugequirolo
Vale la pena tomarse unos minutos
para leer este hilo. Ojalá lo lean
mis alunmos de Economía Política
de la @UNCAUSoficial #desdolarizacion
#BANCOCENTRAL</t>
  </si>
  <si>
    <t xml:space="preserve">uncausoficial
</t>
  </si>
  <si>
    <t>lexunesp
Quem pensou em independência do
Banco Central certamente não vislumbrou
o caso do Brasil! Aqui, o Banco
pode atuar contra os interesses
do país! Vexame! Vergonha! #bancocentral</t>
  </si>
  <si>
    <t>xencuestasxdia
Hablando del Dólar Blue ¿Qué precio
creen que cierre este viernes)
$700 a $720 $720 a $750 $750 a
$800 Mas de $800 . . . . . . (
#dolar #dolarblue #Dolarizacion
#milei #massa #bullrich #argentina
#Elecciones2023 #cristina #macri
#dolarsolidario #bancocentral #libertad
#Messi )</t>
  </si>
  <si>
    <t>millaprado4
Ansiedade a mil, conta em banco
público limpa e encerrada! A vaca
já foi pro brejo! Salve-se quem
puder!!! #LulaDitador #STFOrganizacaoCriminosa
#bancocentral #poupança #imposto
#Haddad #corrupção #ditadura #LulaLadrão
#Lira #Pacheco #congresso #senado
#FazoLtrouxa https://t.co/7Zg7hClygI</t>
  </si>
  <si>
    <t>elacentook
🌟📑 ¡No te quedes atrás! Echa
un vistazo a los titulares que
están causando revuelo en línea.
💥🗞️ #ElAcentoNews #Supermercados
#Amazon #BancoCentral #LaCenicienta
#TitularesVirales #LeeLoMejor https://t.co/xRu3vJsKF6</t>
  </si>
  <si>
    <t>wallstreeteasy
Powell asoma la posibilidad de
que la FED suba tasas dos veces
seguidas En su discurso del hoy,
#JeromePowell se mantuvo muy cerca
al comunicado de la reunión más
reciente del #bancocentral La #FED
puede subir la tasa dos veces seguidas.
Lee más en #blog https://t.co/irfBXJLYL4
https://t.co/KfV4Bi794V</t>
  </si>
  <si>
    <t>almayadeen_es
Candidato de Argentina insiste
en eliminar el Banco Central https://t.co/UkfTq98eQa
#Argentina #BancoCentral #Economia
#Milei https://t.co/w5WiGiwtN8</t>
  </si>
  <si>
    <t>pregrado_fen
✨Participa en la presentación del
IEF y conoce el análisis del @bcentralchile
sobre los sucesos macroeconómicos
y financieros que pudieron incidir
en nuestra economía 📊💰. Inscríbete👉https://t.co/hwhQql3QK3
@fenuchile @ceic_uch #FEN #economia
#negocios #bancocentral #ief https://t.co/bSoglqovnU</t>
  </si>
  <si>
    <t xml:space="preserve">ceic_uch
</t>
  </si>
  <si>
    <t xml:space="preserve">fenuchile
</t>
  </si>
  <si>
    <t>bcentralchile
El Banco Central de Chile publicó
los Indicadores de Coyuntura Semanal
(ICS) con información al 15 de
agosto de 2023 en su sitio web.
Link a las estadísticas: https://t.co/eMYCmGq4pZ
#bancocentral #bancocentraldechile
https://t.co/EXQOMTcFqJ</t>
  </si>
  <si>
    <t>guti_ezequiel
No ahorren su Dinero en Plazo fijo,
les viven afanando los politicos
corruptos y sobre todo los del
#bancocentral, los que imprimen
billetes a lo loco.🇦🇷 Nosotros
los Argentinos Somos los que sufrimos,la
hiperinflacion. Para los famosos,
periodistas comprados, y politicos…</t>
  </si>
  <si>
    <t>mnde_iesp
Será que o governo precisa cortar
gastos para o #BancoCentral baixar
os #juros? Necessidade ou armadilha?
Leia o artigo dos professores Carlos
Pinkusfeld Bastos (IE-UFRJ) e Fernando
Maccari Lara (Unisinos) no blog
do MNDE: https://t.co/R0dwrrCM9B
#arcabouçofiscal @uerj_iesp https://t.co/K2XGjIE98w</t>
  </si>
  <si>
    <t xml:space="preserve">uerj_iesp
</t>
  </si>
  <si>
    <t>sanluis24ok
📈A días de que el INDEC difunda
el dato de inflación de agosto,
el Banco Central (BCRA) termina
de definir lo que hará con las
tasas de interés que se ubican
en 118%. 📰Leé más en https://t.co/bVX2BK72Cv
#NoticiasArgentina #BancoCentral
#economia</t>
  </si>
  <si>
    <t>drrn___
RT @bancomoc: Comunicado Banco
de Moçambique #BancodeMoçambique
#bancocentral #supervisão #Partilha
https://t.co/QAWSLj1Kmk</t>
  </si>
  <si>
    <t>alfinetadosday
🚨AGORA: Vocês viram que a Nubank
lançou a NuCoin ? A Criptomoeda
da Nubank é custa menos de 1 real
📸😱 #criptomoeda #BancoCentral
#Dinheiro #Pix #FicarMilionario
https://t.co/wd0cgTFap3</t>
  </si>
  <si>
    <t>kimontare
La deuda del #correismo con el
#BancoCentral fue de $ 9.071 millones,
más lo del #IESS, más la venta
anticipada de petróleo hasta el
2024, más todo lo que se robaron,
simplemente condenaron a un par
de generaciones al olvido. #NunaMasCorreismo
https://t.co/xgOjC9cvhz</t>
  </si>
  <si>
    <t>minari2797
Mucho Milei, mucho Milei pero los
K hicieron todo este tiempo que
el dólar se vaya a la mierda. Les
recuerdo que Massa sigue siendo
el ministro de economía jajaja
#bancocentral #milei</t>
  </si>
  <si>
    <t>profghiraldelli
ALVOROÇO SEXUAL NO PT! 10 de maio
de 2023 https://t.co/gseddwEiTi
via @YouTube #galípolo #haddad
#bancocentral</t>
  </si>
  <si>
    <t>mandarina_radio
🏦 El Banco Central incorporó al yuan
renminbi como moneda admitida de
captación de depósitos en las cajas
de ahorros y cuentas corrientes.
#banco #bancocentral #yuanes #dinero
#moneda #China #Argentina https://t.co/7M66AWLAQz</t>
  </si>
  <si>
    <t>rbandeirantes
O aperfeiçoamento está relacionado
às informações armazenadas pelo
Banco Central e que são compartilhadas
com os bancos que operam o PIX.
As mudanças anunciadas devem ser
implementadas até o dia 5 de novembro.
#pix #bancocentral</t>
  </si>
  <si>
    <t>viitkar
@Presidencia_cl El Gobierno no
tiene ningún mérito en ello y dicha
apropiación es desvergonzada. Quien
ha controlado en algo la inflación,
la cual se generó por presiones
y brutales decisiones de quienes
hoy están en La Moneda, es única%
el #BancoCentral a través de su
política monetaria (PoM). https://t.co/VGf2SVEmsu</t>
  </si>
  <si>
    <t xml:space="preserve">presidencia_cl
</t>
  </si>
  <si>
    <t>psncompsn
Banco Central rebaja en 75 puntos
tasa rectora y la deja en 9,5%
https://t.co/W3jfCXlOhh #bancocentral
#tasadeinterés</t>
  </si>
  <si>
    <t>acentodiario
La inflación interanual se encuentra
entre las más bajas de los países
de América Latina, por lo que República
Dominicana es de las primeras economías
de la región... https://t.co/0DGZmrwAA2
#periodicodigital #bancocentral
#inflacion #americalatina #RD #IPC
https://t.co/eI61q3f3cU</t>
  </si>
  <si>
    <t>simonefraga15
#SelicTerrorista #PsicologiaCombateJurosAltos
#BancoCentral #Selic https://t.co/xMgWVKpHbQ</t>
  </si>
  <si>
    <t>ptbrasil
A TAXA DE JUROS DO BC DE BOLSONARO
ESTÁ DEIXANDO O ALUGUEL MAIS CARO!
Os juros extorsivos praticados
pelo Banco Central continuam penalizando
diversos setores da economia do
país. Desta vez, a vítima é o setor
imobiliário. 🔗 Leia mais: https://t.co/sMd3qViAWW
https://t.co/EquBkjn9GA</t>
  </si>
  <si>
    <t>marketscomlatam
Reunión de la #OPEP+, decisiones
del #bancocentral datos de #inflación
de China https://t.co/dvA82lQyyO
Servicio de CFD. Riesgo de pérdida
de capital. No se presta asesoramiento
de inversión. Resultados pasados
no aseguran resultados futuros.
No aplicable a residentes en España
https://t.co/gBtyj1Mb1j</t>
  </si>
  <si>
    <t>orakulumapp
Com a baixa da SELIC bitcoin vai
aumenta 5% amanhã. Save the date.
#bitcoin #BancoCentral #taxaselic
#cuba #increase</t>
  </si>
  <si>
    <t>mcn_comglobal
#China 🇨🇳 frenará de forma decidida
las grandes fluctuaciones del tipo
de cambio y estudiará el refuerzo
de la autorregulación de los depósitos
en dólares 💵, declaró hoy el banco
central 🏦. #MCN #dólar #yuan #bancocentral
#economía https://t.co/vUjLwto0eb</t>
  </si>
  <si>
    <t>adn24digital
La deuda del #BancoCentral ya supera
los 15 billones de pesos</t>
  </si>
  <si>
    <t>cnwnoticias
#CNW | Milhares de participantes
do 59ª Congresso Nacional da União
Nacional dos Estudantes (UNE) protestaram,
nesta sexta-feira (14), em frente
ao prédio do Banco Central (BC),
em Brasília, pedindo a queda da
taxa básica de juros, a Selic.
#BC #BancoCentral https://t.co/axSvwrYVIX</t>
  </si>
  <si>
    <t>jartoya
#Francia: Juez emite orden de arresto
internacional contra el asediado
gobernador del banco central libanés
https://t.co/gyeNUKdQ3q #RiadSalameh
#Líbano #Corrupción #BancoCentral
#InvestigaciónCriminal #EnriquecimientoIlícito
#Lavado #Europa #Justicia</t>
  </si>
  <si>
    <t xml:space="preserve">davidlantigua01
</t>
  </si>
  <si>
    <t xml:space="preserve">wendysantosb
</t>
  </si>
  <si>
    <t>izoldedrewsgav1
RT @JovemPanNews: #OsPingosNosIs
| CPI vai acionar Banco Central
(BC) para descobrir quem financia
ONGs da Amazônia; bancada comenta
📺 Co…</t>
  </si>
  <si>
    <t>kbfinanzas
📈 Las #bolsas abren la semana
con ligeras ganancias, en una semana
en la que desde en contexto #macro,
contaremos con cifras como el #IPC
en EE.UU, confianza de la Universidad
de Míchigan, y en Europa la reunión
del #BancoCentral inglés. 📊 https://t.co/Yajk5E9OBg</t>
  </si>
  <si>
    <t>karinaeskin1
RT @AuditoriaCidada: Pressione
o Banco Central contra esta política
de juros altos que prejudica o
Brasil #JurosBaixosJá #Selic #BancoCentr…</t>
  </si>
  <si>
    <t>tiemposur_
Desde junio será más barato financiar
las deudas en tarjetas de crédito:
a qué se debe #BancoCentral #TarjetasDeCr
https://t.co/8qYzfAeA0w https://t.co/dH7RcZmr7Y</t>
  </si>
  <si>
    <t>pablodelamac
El impuesto que más duele es la
inflación. #BancoCentral</t>
  </si>
  <si>
    <t>mtteixeira
…inflação cai. Já a #Argentina
é um perfeito modelo de quão desastroso
é quando a política assume o controle
de um #BancoCentral. A independência
do #BCB é um dos melhores ativos
do #Brasil. Pior foi a esquerda
não perceber que o jogo pela independência
do BCB era justamente…</t>
  </si>
  <si>
    <t>cabeza451
A preguntarse porque no son creibles
los de JUNTOS POR ELCAMBIO. 28D:Fecha
en la que #JuntosxelCambio quebró
la independiencia del #BancoCentral
#BCRA. - Infobae https://t.co/XWVyRqLLJC</t>
  </si>
  <si>
    <t>ikan_drsm
Agora os caras querem acabar até
com o parcelamento em 10x sem juros....Mermão
o que esse Campos Neto odeia pobre,
nao ta escrito. https://t.co/2gb6RqHNy0
#CamposNETO #Parcelamento #cartaodecredito
#juros #BancoCentral https://t.co/mECBbVvZU6</t>
  </si>
  <si>
    <t>correa899
O lançamento do PIX Automático
pelo Banco Central deve ser em
abril de 2024 - https://t.co/BA2ExgmOEx
- #PIX - #BancoCentral</t>
  </si>
  <si>
    <t>herdersonfile
O Banco Central estava mantendo
a Selic no patamar de 13,75% agosto
de 2022, mas hoje resolver diminuir
a taxa de juros #selic #copom #bancocentral
https://t.co/ij6GC29nAT</t>
  </si>
  <si>
    <t>paxinveritas
.@MashiRafael confirme para confirmar
#LuisaDesdolariza va con todo a
bajarse las reservas del #BancoCentral?
#YaLuisimos diga. se bajaron los
aportes dl estado al #Iess además
le metieron mano a la plata DE
LOS AFILIADOS. .@LuisaGonzalezEc
en serio será ese Miserable tu
asesor?</t>
  </si>
  <si>
    <t xml:space="preserve">luisagonzalezec
</t>
  </si>
  <si>
    <t xml:space="preserve">mashirafael
</t>
  </si>
  <si>
    <t>hernanplaza
PROHIBIDO OLVIDAR YA LO HICIERON
Y AHORA DICEN LO VOLVEREMOS HACER
FIRMA: YERBA-LUISA https://t.co/yVAiw1Ycf3</t>
  </si>
  <si>
    <t>fragadesenhos
Charge publicada em GZH e Zero
Hora. #charge #desenhodeimprensa
#fragadesenhos #humor #juro #quedadojuro
#economia #bc #bancocentral #camposneto
#ministeriodaeconomia #copom https://t.co/PiG3hS870Y</t>
  </si>
  <si>
    <t>relatorio
🚨Aumentam as pressões sobre o
Banco Central a partir das novas
projeções da economia divulgadas
pelo Boletim Focus, o que vale
não somente para os juros como
- até mais - para a flexibilização
das metas da inflação. #bancocentral
#economia</t>
  </si>
  <si>
    <t>zmendescomex
Drex: BC esclarece principais dúvidas
sobre moeda digital https://t.co/QDZdd4RQTf
#BancoCentral #BCB via @BancoCentralBR</t>
  </si>
  <si>
    <t>gotvhonduras
#CNGOTV🔴El Banco Central de Honduras,
da a conocer el índice mensual
de la actividad económica del mes
de julio del 2023. #BancoCentral
#Honduras #Economia https://t.co/6U6qHITrX8</t>
  </si>
  <si>
    <t>viaconstituyent
#MunicipalidaddelasCondes #Maule
#Torrealba #BancoCentral #Providencia
#Legalización #Estatización https://t.co/VNYfKlAyg8</t>
  </si>
  <si>
    <t>billeteranews
El @BancoCentralRD hace un alto
y estabiliza la tasa de referencia,
pero se mantiene en atención frente
al devenir de la inflación. #inflación
#tasadeinterés #finanzas #bancocentral
https://t.co/Nue38y8wU0</t>
  </si>
  <si>
    <t>angelmetropoli
🗾 #BANCOCENTRAL l Un miembro de
la junta de política monetaria
del Banco de Japón recomendó en
su reunión mensual de este mes
revisar en un futuro próximo del
control de la curva de rendimientos,
según un resumen de opiniones.
#JAPÓN https://t.co/CtHwwfdrwj</t>
  </si>
  <si>
    <t>arquimedesopc
Lula ainda não conseguiu entregar
sua principal promessa de campanha
que era melhorar a situação financeira
dos mais pobres, que estão endividados
e sem perspectiva de crescimento
econômico. #lula #bancocentral
#inflação #dívidas https://t.co/R6yBoLqZab</t>
  </si>
  <si>
    <t>fesperanzada
👇#BancoCentral se queda</t>
  </si>
  <si>
    <t>mau_comandatore
Emilio Ocampo, otro mentiroso al
que le creí igual que a Milei,
será el encargado de administrar
el Banco Central que ahora dicen
que no van a cerrar. Nos mintieron
durante 3 años, lo apoyamos en
la campaña de 2021, pero se cayó
el relato de #PinochoMilei. Ocampo
es el mismo… https://t.co/MVoaMDStk9</t>
  </si>
  <si>
    <t>alcantararaimy
La junta monetaria aprobó la suma
de RD$25 mil millones más para
un total de RD$119 mil millones
para ser adquiridos a una tasa
de un 9%. #bancocentral #economia</t>
  </si>
  <si>
    <t>conciergebtc
O tempo até o próximo halving está
se esvaindo. Estude e entenda bitcoin
com o Concierge Bitcoin! #moeda
#dinheiro #liberdade #brasil #podcast
#bitcoin #conciergebitcoin #inflação
#cripto #bancocentral https://t.co/0rledhp8Hp</t>
  </si>
  <si>
    <t>tribunapr
O presidente do Banco Central (BC),
Roberto Campo Neto, afirmou, nesta
quinta-feira (10), que a autarquia
estuda o fim do crédito rotativo
de cartão de crédito. https://t.co/1WsPLBmuHc
#credito #BancoCentral #tribunapr</t>
  </si>
  <si>
    <t>ragodiaz
⏰️ 𝐃𝐄𝐒𝐏𝐈𝐄𝐑𝐓𝐀 𝐃𝐄 𝐋𝐀
𝐌𝐀𝐓𝐑𝐈𝐗 ⏰️ 🇨🇳#CHINA China
actualiza el #SistemaDeCréditoSocial
para incorporar la #MonedaDigital
del #BancoCentral ... Ahora se
necesita un puntaje mínimo de crédito
social de 350 para comprar bebidas
de estas máquinas expendedoras.
https://t.co/lsgxtQs4Tx</t>
  </si>
  <si>
    <t>ronaldo21071985
RT @JovemPanNews: #OsPingosNosIs
| CPI vai acionar Banco Central
(BC) para descobrir quem financia
ONGs da Amazônia; bancada comenta
📺 Co…</t>
  </si>
  <si>
    <t>chuz_cr
RT @danielsuchar: #CostaRica Entonces,
las cosas van destapándose ...
poquito a poquito .. #BancoCentral
#Economia #Finanzas #FinanzasPub…</t>
  </si>
  <si>
    <t>morandivalores
La proximidad del #acuerdo con
el #fondo monetario, género nueva
#subas tanto en títulos públicos
como en títulos privados, también
esta vez, el #bancocentral cerró
con saldo positivo después de varias
jornadas. @MorandiValores</t>
  </si>
  <si>
    <t>suzytao
RT @JovemPanNews: #OsPingosNosIs
| CPI vai acionar Banco Central
(BC) para descobrir quem financia
ONGs da Amazônia; bancada comenta
📺 Co…</t>
  </si>
  <si>
    <t>elentorres10
RT @JovemPanNews: #OsPingosNosIs
| CPI vai acionar Banco Central
(BC) para descobrir quem financia
ONGs da Amazônia; bancada comenta
📺 Co…</t>
  </si>
  <si>
    <t>revistarumbo
📌 ¿Aún es buena idea tener dinero
en un CDP? Algunos tips para tener
en cuenta https://t.co/NaCINLBpwH
#FinanzasCR #CDP #BancoCentral
a través de @revistarumbo</t>
  </si>
  <si>
    <t>wayrapay
Bancos centrales acumulan oro para
luchar contra la inflación a pesar
del rendimiento de Bitcoin. ¿Seguirá
siempre siendo así? Compartimos
un reciente artículo de Beincrypto.
https://t.co/YIAkLf7slx #bitcoin
#bancocentral #gold https://t.co/ZUIzViuOXa</t>
  </si>
  <si>
    <t>loh40gama40
RT @Loh40Gama40: @MercadoPagoBR
@nubank #nubank #mercadopago #bancocentral
#procon https://t.co/BqngASpneh</t>
  </si>
  <si>
    <t xml:space="preserve">nubank
</t>
  </si>
  <si>
    <t xml:space="preserve">mercadopagobr
</t>
  </si>
  <si>
    <t>malutrin2018
Tempo voando... Quem não conseguir
se libertar, afundará com o peso.
Viu #Europa, viu #BancoCentral,
viu #Generais, viu.... https://t.co/fhnfFEv0lJ</t>
  </si>
  <si>
    <t>unioperiodistic
RT @OpinaBa: Milei en Parque Norte:
“La locura no es cerrar el Banco
Central, sino tenerlo” https://t.co/33YsW06QwK
a través de @OpinaBa #P…</t>
  </si>
  <si>
    <t>juliocf89
Perdi uma oportunidade de Trabalho
Incrível por conta do Banco Itaú..!!
@itau era só abrir una conta Salário..!
Agora vou atrás dos meus direitos..
#AOB #Itaú #bancocentral</t>
  </si>
  <si>
    <t>izzo_douglas
RT @CUTsaopaulo: Dirigentes da
CUT-SP nas ruas !Trabalhadores
e trabalhadoras voltam a protestar
contra os #jurosaltos em todo o
#Brasil. E…</t>
  </si>
  <si>
    <t>rafaelfmaciel
DREX. A moeda inteligente. https://t.co/Nlxkd56AfG
#DREX #PIX #BancoCentral #MoedaDigital
#PagamentosInstantâneos #Finanças
#Brasil #Tecnologia #Inovação #Cibersegurança</t>
  </si>
  <si>
    <t>soyhodler
🚨Debido a una norma del Banco
Central, más de 4 millones de personas
enfrentarán obstáculos al ingresar
dinero en su cuenta digital de
Mercado Pago. 💳💼 #MercadoPago
#Finanzas #BancoCentral</t>
  </si>
  <si>
    <t>semontcorretora
O Drex é a versão digital do real,
e a expectativa é que, até o fim
de 2024, esteja liberado para o
público para ser usado em serviços
financeiros, como empréstimos,
seguros e investimentos. #semont
#drex #realdigital #bancocentral
https://t.co/tjQo7HvR9e</t>
  </si>
  <si>
    <t>marcovg76
@AXELKAISER Seguro hay que quemar
el #BancoCentral como dice el psicópata
de #Milei</t>
  </si>
  <si>
    <t xml:space="preserve">axelkaiser
</t>
  </si>
  <si>
    <t>robertomrobledo
El fin de la inflación Argentina!
#JavierMilei #ElFinDeLaInflación
#Libro #BancoCentral https://t.co/AtSdSobYZY</t>
  </si>
  <si>
    <t>soparaassistir
@choquei Obrigado Campos Neto!
#FazoC #BC #Independente #BancoCentral
https://t.co/2kCbEXjjdg</t>
  </si>
  <si>
    <t xml:space="preserve">choquei
</t>
  </si>
  <si>
    <t>natyaranguiz
¿Quieres saber que es el buffer
contracíclico? Te invito a leer
la entrevista que me realizó @olivares_nauta
para @exantecl #RCC #bancocentral
#aureagroup #Economia</t>
  </si>
  <si>
    <t xml:space="preserve">olivares_nauta
</t>
  </si>
  <si>
    <t>exantecl
Natalia Aránguiz: “No ha sido claro
por qué se implementó esta política
financiera que va al revés de la
política monetaria”. https://t.co/VVMVusogo1</t>
  </si>
  <si>
    <t>bitfinanzas
5 claves para la semana: Bancos
centrales y petróleo https://t.co/s8ddAWvMz8
#Finanzas #Acciones #BancoCentral
#Fed</t>
  </si>
  <si>
    <t>desbravandojp
Banco do Japão apresenta a nova
cédula do iene, que serão emitidas
a partir do próximo ano #NovasCédulas
#InovaçãoTecnológica #PrevençãoDeFraudes
#CédulasMaisSeguras #PatrimônioCultural
#MuseuDaMoeda #BancoCentral #MoedaNacional
#TecnologiaDeSeguran… https://t.co/VBaUZMyAFS</t>
  </si>
  <si>
    <t>teiadigital
Em evento em Fortaleza, Lula criticou
presidente do Banco Central. Continue
lendo em: https://t.co/T6fB4IgXV7
#Lula #BancoCentral #juros #teiadigital
https://t.co/0UKUBf0Rg9</t>
  </si>
  <si>
    <t>duroperotranki
Independiente va a pagar deuda
privada con reservas de dólares
del banco central. #independiente
#bancocentral #bcra #maratea #cai</t>
  </si>
  <si>
    <t>embracmissoes
RT @JovemPanNews: #OsPingosNosIs
| CPI vai acionar Banco Central
(BC) para descobrir quem financia
ONGs da Amazônia; bancada comenta
📺 Co…</t>
  </si>
  <si>
    <t>jannefreitas
#SelicTerrorista #PsicologiaCombateJurosAltos
#BancoCentral #Selic</t>
  </si>
  <si>
    <t>luligalarza
Dale pa terminar el baño. @BancoCentral_AR
#bancogalicia #bancocentral @alferdezprensa
@CFKArgentina</t>
  </si>
  <si>
    <t xml:space="preserve">cfkargentina
</t>
  </si>
  <si>
    <t xml:space="preserve">alferdezprensa
</t>
  </si>
  <si>
    <t>naranjax
Cuando sólo querés casarte, pero
te ofrecen una cuenta con una TNA
del 78% y te hacen la persona más
feliz del mundo. https://t.co/mn6GEUiLRH</t>
  </si>
  <si>
    <t>periodisminter
RT @OpinaBa: Milei en Parque Norte:
“La locura no es cerrar el Banco
Central, sino tenerlo” https://t.co/33YsW06QwK
a través de @OpinaBa #P…</t>
  </si>
  <si>
    <t>rrjunior11
@brunoguzzo @Metropoles Está muito
difícil de explicar tecnicamente,
pq a taxa de juros #Selic não cai
de 13,75%, não sofre redução pelo
#BancoCentral. A inflação no país
está em 3,94% (IPCA acumulado 12
meses) IBGE, como @miriamleitao
falou. Os juros reais são os mais
altos do mundo. Não tem sentido!</t>
  </si>
  <si>
    <t xml:space="preserve">miriamleitao
</t>
  </si>
  <si>
    <t>roberto_ruarte
En momentos que se debate en #Argentina
desechar el #BancoCentral, aquí
con el subgobernador de #banxico
@JonathanHeath54 en la cena del
@IMEFGto previo al magno evento
de mañana miércoles, representando
a @WRSPrime4 junto con #ivansosa
y @ameleks https://t.co/4ca3uVtqMr</t>
  </si>
  <si>
    <t xml:space="preserve">ameleks
</t>
  </si>
  <si>
    <t xml:space="preserve">wrsprime4
</t>
  </si>
  <si>
    <t xml:space="preserve">imefgto
</t>
  </si>
  <si>
    <t xml:space="preserve">jonathanheath54
</t>
  </si>
  <si>
    <t>descubre_china
Banco Central argentino: “Relación
con China se fortalece con incorporación
del yuan al sistema financiero”
https://t.co/WmMr2ONn5F #Asia #China
#Argentina #Yuan #BancoCentral
#Moneda</t>
  </si>
  <si>
    <t>puentedenews
DÓLAR HOY: Tasas de Cambio y resumen
de las noticias financieras hoy
25 de agosto https://t.co/gIluGGnCD4
#puentedenoticias #dolar #dolarhoy
#tasasdecambio #bancocentral #economia
#Argentina</t>
  </si>
  <si>
    <t>tropicalstrings
#AlexandravanHuffelen overal in
Curaçao vooral bij de #Ennia (verzekering
en pensioenen) #BancoCentral Wat
de rol van JachminPinedo Is weet
ik even niet.</t>
  </si>
  <si>
    <t>glaucojarzinski
Boletim Focus: #hermescapital #safra
#safrainvest #investimentos #mercadofinanceiro
#bancocentral #cambio #pib #selic
#ipca #inflação https://t.co/bzQcu109U9</t>
  </si>
  <si>
    <t>visionsierras
El #BancoCentral subió las tasas
de interés sobre los plazos fijos,
por tercera vez en menos de un
mes. A partir de este lunes, el
nuevo piso es del 91%. Además redujo dos
puntos la tasa de interés para
saldos impagos sobre tarjetas de
crédito. https://t.co/d85iY87FrS</t>
  </si>
  <si>
    <t>ailtonlima09
RT @JovemPanNews: #OsPingosNosIs
| CPI vai acionar Banco Central
(BC) para descobrir quem financia
ONGs da Amazônia; bancada comenta
📺 Co…</t>
  </si>
  <si>
    <t>zlsomosnos
O Comitê de Política Monetária
(Copom) do Banco Central se reúne
na próxima quarta-feira para nova
rodada de discussão sobre a taxa
básica de juros, a Selic. É grande
a expectativa por corte na casa
de 0,5. #copom #bancocentral #juros</t>
  </si>
  <si>
    <t>cdn37
#6AMLaMañana Banco Central mantiene
sin variación sus tasas de interés
de Política Monetaria. #CDN #BancoCentral
#TasasdeInterés #PilíticaMonetaria
https://t.co/nNbNb7YDiB</t>
  </si>
  <si>
    <t>candeiasmix
Banco Central comunica ... https://t.co/U98A7y2aWt
#BancoCentral #Dinheiro #Internet
#Janeiro #Lei #Novembro #Segurança
#Sistema https://t.co/EHtvezR8J0</t>
  </si>
  <si>
    <t>minoriacn
Serão ouvidos o economista Gabriel
Muricca Galípolo, atual secretário-executivo
do Ministério da Fazenda, para
a Diretoria de Política Monetária;
e o advogado Ailton de Aquino Santos,
servidor de carreira do Banco Central,
para a Diretoria de Fiscalização.
#CAE #BancoCentral</t>
  </si>
  <si>
    <t>fciuach
🏛️Compartir la experiencia y conocer
detalles del proceso de transformación
digital del @bcentralchile, fue
el tema de la charla dictada por
su Gerente General, @BeltrandeRamon
en la @FCIUACh👏 #somosingenieriauach
#informaticauach #transformaciondigital
#bancocentral #valdiviacl https://t.co/9g1hsQsthp</t>
  </si>
  <si>
    <t xml:space="preserve">beltranderamon
</t>
  </si>
  <si>
    <t>quantzed
O Comitê Federal de Mercado Aberto
(FOMC) dos Estados Unidos eleva
as taxas de juros do país em 0,25
pontos percentuais, que passam
a ter um intervalo entre 5% e 5,25%
ao ano. #FOMC #FED #bancocentral
#copom #juros #taxadejuros #quantzed
https://t.co/5lB1ll77k4</t>
  </si>
  <si>
    <t>easycoop
Banco Central e Sistema OCB promovem
debate sobre a importância da intercooperação
🔗 https://t.co/eSZUyfJxDe #coops
#coop #cooperativismo #cooperativas
#BancoCentral #intercooperação
https://t.co/z2puwglbWK</t>
  </si>
  <si>
    <t>hispanismoc
Esta moneda también se acuño en
la Casa de Moneda de Santiago #IPSA
#BancoCentral https://t.co/kIUop3ufP1</t>
  </si>
  <si>
    <t>mucainde
El Real de a ocho español, acuñado
en las cecas de Indias y las peninsulares,
pero especialmente en la de #CDMX
llegó a convertirse en la primera
divisa mundial y primera moneda
de los #EEUU. Aquí te lo contamos.
👇👇👇https://t.co/CMwwRg4CZt https://t.co/3cg4EEdJnm</t>
  </si>
  <si>
    <t>aaronenoc3
#ULTIMOMINUTO el #BancoCentral
lleva el #DolarOficial a $350 Efecto
Milei #Massa renuncia a ser candidato?
#CFKLadronaDeLaNacionArgentina
#ElPeorGobiernoDeLaHistoria</t>
  </si>
  <si>
    <t>edmarbertolo
O #BancoCentral definiu o nome
da primeira moeda digital oficial
do país: Drex. Segundo Andréia
Sadi/g1, o nome do primo do Pix,
como é chamado dentro do BC, é
uma abreviação da expressão Digital
Real X.A expectativa é que, até
o fim de 2024,o Drex esteja liberado
para o publico</t>
  </si>
  <si>
    <t>asteriscostv
𝐉𝐚𝐯𝐢𝐞𝐫 𝐌𝐢𝐥𝐞𝐢 𝐲𝐚 𝐭𝐢𝐞𝐧𝐞
𝐞𝐥 𝐡𝐨𝐦𝐛𝐫𝐞 𝐞𝐧𝐜𝐚𝐫𝐠𝐚𝐝𝐨
𝐩𝐚𝐫𝐚 𝐞𝐥 𝐁𝐚𝐧𝐜𝐨 𝐂𝐞𝐧𝐭𝐫𝐚𝐥
https://t.co/UG6DZEjgUj #milei
#Bancocentral #AsteriscosTv https://t.co/vGixuv52qH</t>
  </si>
  <si>
    <t>aterraredonda1
Autonomia do Banco Central – a
nova prisão Por Francisco De Oliveira
https://t.co/RDmHf8FNo2 #aterraéredonda
#FranciscoDeOliveira #BancoCentral
https://t.co/MP2D0NETT5</t>
  </si>
  <si>
    <t>epch_oficial
Vota acá: https://t.co/xLtw6aefiv
#TereMarinovic #LaTercera #BancoCentral
#Rancagua #Piñera https://t.co/8G7Ca3SkDI</t>
  </si>
  <si>
    <t>adilson900
Caso romântico empossados e agora
público. Será que vazará tudo dentro
do banco central a CNN a partir
de agora? Ou já vazava? ou o elo
forte está sendo o santo Gabriel?
Uma dúvida: Antes de namorar as
pessoas ainda ficam? #romance #bancoCentral
#CNN #vazamentos #relacionamento…
https://t.co/deONzgVKER</t>
  </si>
  <si>
    <t>danielgriboff
Luego de las #PASO el #BancoCentral
habilitó una #devaluación del 22%.
El tipo de cambio oficial se ubica
hoy a $ 364,60 pesos, una cotización
para incentivar las #exportaciones
y mas costos para #importadores
👉 https://t.co/J1RROI4qqj . #DAGRIteam
#ComercioInternacional</t>
  </si>
  <si>
    <t>forbesbr
O #BancoCentral também espera que
a tecnologia permita compras parceladas
e transações internacionais. Leia
mais em: https://t.co/surK3eIK1y</t>
  </si>
  <si>
    <t>conexionparques
El @bancoprovincia de Bs As se
puso al frente de la estrategia
de #DesarrolloProductivo de la
provincia, con un 54% de todo su
crédito al sector en los últimos
3 años. 📌 https://t.co/nQYDe33DPD
#ConexiónParques #ParquesIndustriales
#BancoCentral #Créditos #Empresas
#PyMES https://t.co/RJVsHEE87J</t>
  </si>
  <si>
    <t xml:space="preserve">bancoprovincia
</t>
  </si>
  <si>
    <t>oinegue
Por que o Banco Central vai anunciar
mudança na política de juros Comentário
BandNews FM No Meio do Dia - 19/06/2023
Oinegue na BandNews FM. De segunda
a sexta, do meio-dia às 2 da tarde.
#políticadejuros #juros #bancocentral
#mudançanapolitíca https://t.co/88S8Q5pFO2</t>
  </si>
  <si>
    <t>bandnewstv
O Palácio do Planalto enviou ao
Senado a indicação de Gabriel Galípolo
para o cargo de Diretor de Política
Monetária do Banco Central. Saiba
mais em: https://t.co/uH2Foisl3P
#BandNewsTV #BancoCentral https://t.co/0SBArJWQRa</t>
  </si>
  <si>
    <t>fondoalerta
Pensiones se financian con + pilar
contributivo (aportes de los trabajadores),
+ pilar no contributivo (subsidios
estatales financiados por todos)
+pilar financiero (la rentabilidad
de los fondos). #DerechoalaRuina
#ReformaPrevisional #ConMiPlataNo
#BancoCentral https://t.co/igfUkn0dZU</t>
  </si>
  <si>
    <t>mariacl84248332
RT @JovemPanNews: #OsPingosNosIs
| CPI vai acionar Banco Central
(BC) para descobrir quem financia
ONGs da Amazônia; bancada comenta
📺 Co…</t>
  </si>
  <si>
    <t>dfmas
👩 #Personaje | En esta entrevista,
Rosanna Costa, la presidenta del
#BancoCentral desde febrero del
año pasado, explica en detalle
el RCC y el Informe de Estabilidad
Financiera. Además, ahonda en las
diversas reacciones del mercado
y el mundo político. https://t.co/ZNpSDWs3QE
https://t.co/Mj7iEfd2zz</t>
  </si>
  <si>
    <t>iracihasler
Ojo #Bancocentral #Monserrat https://t.co/zGiu471pFT</t>
  </si>
  <si>
    <t>hablamosclarord
SE ROBAN UN BILLÓN DE DÓLARES DEL
BANCO CENTRAL Nuestro host (@miguel_almanzar
) habla sobre el dinero para préstamos
que había autorizado el Banco Central
y que ahora no aparecen. #aquihablamosclaro
#elnuevodiariord #analisispolitico
#Bancocentral #prestamos #dinero
#robo https://t.co/1PuDhK3UOo</t>
  </si>
  <si>
    <t xml:space="preserve">miguel_almanzar
</t>
  </si>
  <si>
    <t>elinmobiliariod
Liberación del encaje legal para
viviendas de bajo costo ha beneficiado
más de mil familias Amplíe en https://t.co/A38RoQPfTv
#BancoCentral #EncajeLegal https://t.co/zjAn6pfgm1</t>
  </si>
  <si>
    <t>tvjornalsbt
O Banco Central publicou na última
segunda-feira (4) o "Relatório
de Gestão do Pix - Concepção e
primeiros anos de funcionamento
2020-2022". Saiba qual foi o maior
valor realizado pelo Pix. #bancocentral
#pix #transferencia #jm https://t.co/tdbOYsrMja</t>
  </si>
  <si>
    <t>alejandro_zet
Desaparecer el #BancoCentral de
un país es parte de las nuevas
tendencias de abolir el capitalismo
voraz Cierto, hay objetivos de
inflación de los bancos centrales.
En México 3% anual No sólo se encargan
de eso, sino también de administrar
los riesgos macro Veamos qué ocurre</t>
  </si>
  <si>
    <t>benjariquelme
"Lo público funciona mejor que
lo privado" nadie nunca dijo. #el6%
#Cadem #BancoCentral</t>
  </si>
  <si>
    <t>diarioreferenci
https://t.co/rTl632awgm #economia
#pix #bancocentral #pj https://t.co/jzUbIfuPYi</t>
  </si>
  <si>
    <t>zorolitt
Sergio Massa tiene mucho para agradecerle
al FMI #BancoCentral #ComunidaddeNegocios
#Déficitfiscal #FMI #Inflaciónyprecios
#SergioMassa https://t.co/ee0CQjqqdq</t>
  </si>
  <si>
    <t>notaalpieok
🤣 Después de una elección agotadora
el humor nace en las redes 🗳️
Este domingo 13 de agosto, #JavierMilei
se impuso en las Elecciones #PASO2023.
🏦 En las redes sociales, circularon
videos sobre como reaccionaría
el #BancoCentral con los resultados
electorales. https://t.co/4Vm1RcXLWE</t>
  </si>
  <si>
    <t xml:space="preserve">fminoticias
</t>
  </si>
  <si>
    <t xml:space="preserve">julian_bernadaz
</t>
  </si>
  <si>
    <t>cgabia
RT @JovemPanNews: #OsPingosNosIs
| CPI vai acionar Banco Central
(BC) para descobrir quem financia
ONGs da Amazônia; bancada comenta
📺 Co…</t>
  </si>
  <si>
    <t>valentina38l
RT @PeruMachete: El presidente
del #BancoCentral de Reserva, #JulioVelarde,
reconoció que la #agricultura atraviesa
su periodo más desafian…</t>
  </si>
  <si>
    <t>rogermatos24
RT @PlenoNews: Campos Neto diz
que BC “não é oposição” ao governo
Lula #CamposNeto #BancoCentral
#oposiçao #PlenoNews https://t.co/n542BY2…</t>
  </si>
  <si>
    <t>plenonews
Campos Neto diz que BC “não é oposição”
ao governo Lula #CamposNeto #BancoCentral
#oposiçao #PlenoNews https://t.co/n542BY2gSE</t>
  </si>
  <si>
    <t>cjsbarros
Anoitecendo na Capital do Brasil
#brasiliaecerrado #ceudebrasilia
#brasilia #pordosol #ocaso #laranja
#cerrado #sol #luzdosol #luz #anoitecer
#bancocentral #cef #pontejk https://t.co/usc5nkaqkE</t>
  </si>
  <si>
    <t>canalformosa
🔴 #DOLARIZACIÓN • EL RELATO Y
LAS COSAS EN CAMPAÑA 🗳️🇦🇷 "No
lo vamos a hacer si no hay dólares"
💸 #Milei #dolarizar #dólares #Epstein
#JavierMilei #Clarín #BancoCentral
#info #viral #pagina12 #lalibertadavanza
#noticias #argentina #elecciones
#campaña #mileipresidente https://t.co/c0LAOI7oEX</t>
  </si>
  <si>
    <t>runrun_atuq
Parásitos utilizando dinero de
todos los peruanos, según ellos
en capacitaciones, cuando en realidad
lo utilizan para su único fin:
embrutecer a su recua al mismo
estilo de los programas basura
#LopezAliaga #PedroCastillo #Fujiasnos
#LauraBozzo #BancoCentral. https://t.co/7K3OGmAt6H</t>
  </si>
  <si>
    <t>cubaadn
Diversos usuarios en redes sociales
denunciaron el fin de semana que
habían aparecido billetes de 100
pesos cubanos con solo una mitad
impresa 👇👇👇👀👀👀 #Billetesfalsos
#BancoCentral https://t.co/TIvLCkngoV</t>
  </si>
  <si>
    <t>seucredito
Parcelas sem juros no cartão de
credito vai acabar? #CartaoDeCredito
#Finanças #BancoCentral https://t.co/2cymGwtkgS</t>
  </si>
  <si>
    <t>vickfiorillo
RT @michelfreireadm: O Banco Central
do Brasil não está cumprindo a
sua função! Ciro Gomes explica.
#cirogomes #bancocentral</t>
  </si>
  <si>
    <t>michelfreireadm
Ciro Gomes revela o verdadeiro
motivo por trás dos juros absurdos
praticados pelo Banco Central.
Assistam! #cirogomes #bancocentral</t>
  </si>
  <si>
    <t>rumba_985fm
.@ElvinCastillo dijo en @rumbodelamanana
que las estadísticas ofrecidas
por el @BancoCentralRD deberían
ser respondidas por el Gobierno.
Sintoniza #rumba985fm y entérate
de más. #BancoCentral #educacioninicial
#estadisticas   @RCCMediaRD https://t.co/9Ygttg7ixv</t>
  </si>
  <si>
    <t xml:space="preserve">rumbodelamanana
</t>
  </si>
  <si>
    <t xml:space="preserve">elvincastillo
</t>
  </si>
  <si>
    <t>rccmediard
Representantes de los sectores
mipymes, comercio, construcción
e industrial respaldó la reciente
decisión del Banco Central de reducir
las tasas de interés. https://t.co/0NxZjG2qQ0
#RCCMedia #NoticiasRCC #BancoCentral
#Tasas</t>
  </si>
  <si>
    <t>ivannaatz
📈📊 O Relatório Focus divulgado
pelo Banco Central apontou queda
na expectativa de inflação. Nesse
sentido, o BC deve iniciar o processo
de redução de juros em agosto.
O povo brasileiro aguarda a ata
de amanhã! #BancoCentral #RelatórioFocus
#ReduçãoDeJuros #Economia 💰💸</t>
  </si>
  <si>
    <t>diarionortecom
📢Plazos fijos pagarán un 97 por
ciento anual, baja la tasa de Ahora
12 y se incrementan reintegros
por compras con débito 🌐https://t.co/sUc2eDm1V2
#economia #tasadeinteres #baja
#ahora12 #bancocentral #massa https://t.co/Lvbm8FPiC0</t>
  </si>
  <si>
    <t>inkoms_oficial
#COL El banco de la República @BancoRepublica
registró unas ganancias por $2,9
billones con su inversión en los
bonos del tesoro de Estados Unidos
en el primer trimestre del 2023.
#inversion #bancocentral #usa #economy
#economia #finanzas</t>
  </si>
  <si>
    <t xml:space="preserve">bancorepublica
</t>
  </si>
  <si>
    <t>mrodriguezrocha
RT @4semanasOk: Nueva escalada
del dólar blue y el Banco Central
compra pero no alcanza #BancoCentral
#dólar #DólarBlue https://t.co/KWAxQQ…</t>
  </si>
  <si>
    <t>4semanasok
El Central dice que se desaceleró
la inflación y no subirá las tasas
#BancoCentral #PlazoFijo #tasas
https://t.co/mE5kbSkjzG</t>
  </si>
  <si>
    <t>renatoigor
Debate sobre taxa de juro do Banco
Central “pega fogo” na CBN Floripa;
ouça https://t.co/6LoKrvnnDu #bancocentral
#CBN #cbnfloripa https://t.co/RaoIIhR8qg</t>
  </si>
  <si>
    <t>pedrobluesfx258
RT @bancomoc: Governador do Banco
de Moçambique, Rogério Zandamela,
comunica decisão do Comité de Política
Monetária. Assista ao vídeo em…</t>
  </si>
  <si>
    <t>elizeusantos
Aos que compreendem a publicação
anterior sobre a moeda digital
lançada pelo #BancoCentral, lembro
sobre as minhas reflexões, neste
assunto, quando falei sobre a #Libra,
que era a moeda digital do #Facebook.
#Twitter. #Linkedin. #Innovation.
#Tecnology. #Brasil.</t>
  </si>
  <si>
    <t>eyrnews
BCRD reduce su tasa de política
monetaria en 25 puntos básicos,
disminuyendo de 7.75 % a 7.50 %
anual Leer más: https://t.co/Atgx9RV5Tz
#EstrellasyRedes #BancoCentral
#EconomíaRD https://t.co/cLJU4SQ9dd</t>
  </si>
  <si>
    <t>lla_sanvicente
#PartidoCelesteProvida #MileiPresidente
#libertadavanza #bancocentral #Lacasta
#milei2023 #VivaLaLibertad #inflacion
https://t.co/96xPrYPntv https://t.co/jdRUv22LOW</t>
  </si>
  <si>
    <t>karinaescritora
Proyecciones #IPOM #Chile #BancoCentral
#IpomJunio2023 https://t.co/KzcCZeXeVs</t>
  </si>
  <si>
    <t>bloomberglineab
O Comitê de Política Monetária
do #BancoCentral manteve a taxa
#Selic em 13,75% pela 7ª vez mas,
pela primeira vez desde que começou
a subir os #juros, em março de
2021, o comunicado amenizou o tom.
https://t.co/UzBQ4dYstn</t>
  </si>
  <si>
    <t>fabioalbianibar
Focus - Relatório de Mercado https://t.co/tu6jizVQee
#BancoCentral #BCB via @BancoCentralBR</t>
  </si>
  <si>
    <t>nascimentomma
🚨🚨 Se liga Investidor, AMANHÃ
teremos mais uma Super quarta!
Agenda: 🇪🇺Inflação ao consumidor
🇧🇷Decisão da SELIC 🇺🇸 Decisão
de Juros 🇺🇸 🇪🇺 Taxa de desemprego
Expectativa do mercado pra SELIC
é manter 13,75% #SELIC #bancocentral
#fed #juros #financas https://t.co/9S2cXm77Mv</t>
  </si>
  <si>
    <t>robertoleo1975
Decisão acertada, no momento que
era possível. Esperar mais redução
na próxima ata. #Economia #juros
#BancoCentral https://t.co/df21sPrXUr</t>
  </si>
  <si>
    <t>carlosnovo30
RT @JovemPanNews: #OsPingosNosIs
| CPI vai acionar Banco Central
(BC) para descobrir quem financia
ONGs da Amazônia; bancada comenta
📺 Co…</t>
  </si>
  <si>
    <t>lugomes2020
@SofisaDireto O app não está funcionando.
Desde as 11h tentando fazer um
pix ou transferência e não consigo!
Resolvam!!! #bancosofisa #bancocentral</t>
  </si>
  <si>
    <t xml:space="preserve">sofisadireto
</t>
  </si>
  <si>
    <t>carboneltriana
#BancoCentral #ConLaFuerzaDelPueblo
#ConTodosLaVictoria 💯pre #PaLante
#Cuba https://t.co/RbhvOGb2GB</t>
  </si>
  <si>
    <t>lexlatinbr
Brasil se posiciona na vanguarda
ao criar Marco Legal dos Criptoativos
Entenda melhor sobre a nova legislação
e suas repercussões, lendo essa
#reportagem LexLatin https://t.co/XgOtqNWnA8
#marcolegal #criptomoedas #exchanges
#bancocentral #brasil</t>
  </si>
  <si>
    <t>carvalhoalves
@CNJ_oficial Em verdade, o #CNJ
precisa melhorar os seus canais
de ouvidoria, talvez criando um
sistema de #Reclamações contra
atos dos Tribunais semelhante ao
que existe no #BancoCentral, o
qual disponibiliza um sistema de
Reclamações, no próprio site do
BACEN, contras Instituições…</t>
  </si>
  <si>
    <t xml:space="preserve">cnj_oficial
</t>
  </si>
  <si>
    <t>ricardoptal
Não podemos viver sob a vontade
dos sabotadores da economia! Fora,
Campos Neto e sua turma! #juros
#economia #brasil #alagoas #maceió
#maceio #bancocentral https://t.co/yHtXVJhVnJ</t>
  </si>
  <si>
    <t>tinformasbo
#Bolivia La demanda de #dólares
“vuelve a la normalidad”, asegura
el vicepresidente del #BancoCentral
https://t.co/hvp2fwTmjJ</t>
  </si>
  <si>
    <t>filesec
-me vale un pepino estos hijos
de su madre, que vean donde conspiran
-pero #guillermo no podemos decir
eso - entones pon “por decreto
el #bancocentral les quita el edifico
al #CPCCS.</t>
  </si>
  <si>
    <t>economicnewsbr
O Banco Central divulgou que o
teste de estresse realizado em
resposta à crise da varejista Americanas
demonstrou um impacto "irrelevante"
na solvência do sistema bancário,
que continua resiliente, de acordo
com a autarquia. #BancoCentral
#crise https://t.co/nyHAP8NnPl
https://t.co/mHnYMArFsc</t>
  </si>
  <si>
    <t>eyn_elmercurio
Las decisiones del #BancoCentral
que provocaron un “triple efecto”
depreciativo sobre el #peso chileno
#Dólar cerró ayer rozando los $850.
Compra de dólares, no renovación
de forwards y anuncio de tasas
del viernes del emisor tienen efecto
cambiario. https://t.co/htNKNV4uAD
https://t.co/UXBevuDHWz</t>
  </si>
  <si>
    <t xml:space="preserve">tizquierdosi
</t>
  </si>
  <si>
    <t xml:space="preserve">loreps9
</t>
  </si>
  <si>
    <t xml:space="preserve">hegonzalb
</t>
  </si>
  <si>
    <t xml:space="preserve">ine_chile
</t>
  </si>
  <si>
    <t>bahiadigital
Por norma del Banco Central los
usuarios de Mercado Pago tendrán
inconvenientes para ingresar dinero
#Economía #bancocentral #bcra #Featured
#mercadopago https://t.co/756ELxpe0E
https://t.co/Kl4jyPYYFZ</t>
  </si>
  <si>
    <t>mariamcardamo
@zunilda091 @Carlos67360447 @PamJiles
@alinco_rene @KarimBianchi @GobiernodeChile
@GiorgioJackson @GabrielBoric @AGUSTINTHEPOWER
@JuanAngelDelRo2 @Paxiano @retiro100x100
@Constan08334217 Oie...anda enterándote!Los
mandriles de la moneda se robaron
#LaReservaNacionalDeEmergencia
del #BancoCentral El bancoEstado
en cualquier minuto cerrará las
cuentas de los🇨🇱q tengan$ allí
Perderán todo lo q tienenDéjate
de transmitir con los #Retiros
xq ese $ ya se lo farrearon</t>
  </si>
  <si>
    <t xml:space="preserve">constan08334217
</t>
  </si>
  <si>
    <t xml:space="preserve">retiro100x100
</t>
  </si>
  <si>
    <t xml:space="preserve">paxiano
</t>
  </si>
  <si>
    <t xml:space="preserve">juanangeldelro2
</t>
  </si>
  <si>
    <t xml:space="preserve">agustinthepower
</t>
  </si>
  <si>
    <t xml:space="preserve">giorgiojackson
</t>
  </si>
  <si>
    <t xml:space="preserve">karimbianchi
</t>
  </si>
  <si>
    <t xml:space="preserve">alinco_rene
</t>
  </si>
  <si>
    <t xml:space="preserve">pamjiles
</t>
  </si>
  <si>
    <t xml:space="preserve">carlos67360447
</t>
  </si>
  <si>
    <t xml:space="preserve">zunilda091
</t>
  </si>
  <si>
    <t>telenoticiasrd
#Deportes | Banco Central inaugura
sus XXVI Juegos Interdepartamentales,
dedicados a Audrys Nin Reyes #Telenoticias
#Telesistema11 #AudrysNinReyes
#BancoCentral #JuegosInterdepartamentales
https://t.co/S5iIZ1xVNT</t>
  </si>
  <si>
    <t>audueriz
RT @AuditoriaCidada: Pressione
o Banco Central contra esta política
de juros altos que prejudica o
Brasil #JurosBaixosJá #Selic #BancoCentr…</t>
  </si>
  <si>
    <t>nascimentoferre
Após o Governo #Lula , indicar
o novo Presidente do #BancoCentral
a pressão será brutal sobre a nova
Direção . Talvez o nosso Brasil
, não resista junto a #EconomiaMundial
. Por conta das ideias economias
, desastrosas desse Governo que
aí está .</t>
  </si>
  <si>
    <t>_portalopoder
A atividade econômica brasileira
teve elevação em julho deste ano,
de acordo com informações divulgadas
nesta terça-feira, 19, pelo Banco
Central (BC). #OPoder #compartilhe
#atividadeeconomica #bancocentral
#bc #brasil #br https://t.co/hlMx9UZzFv</t>
  </si>
  <si>
    <t>ing_diez
@GloboNews @miriamleitao Ha muito
tempo o #BancoCentral demostra
tendencia ideológica. Erra Campos
Neto ao manter a taxa nesse patamar.</t>
  </si>
  <si>
    <t>endireitadora22
Sobre o FMI elogiar a atual política
do Banco Central, na contramão
de Lula: ai do Brasil, não fosse
o Banco Central independente, para
segurar a inflação! #lula #economia
#economiabrasileira #bancocentral
#jurosaltos #inflação #fmi</t>
  </si>
  <si>
    <t>cryptofand
El #BancoCentral de la República
#Argentina al #yuan renminbi como
moneda admitida para la captación
de depósitos en las cajas de ahorros
y cuentas corrientes Las entidades
financieras estarán autorizadas
para proceder con la apertura de
cuentas bancarias nominadas en
yuanes https://t.co/cdOzlhq6DO</t>
  </si>
  <si>
    <t>cthamasaki
RT @sf2invest: Gostei do comunicado
https://t.co/EbYz7TPhQH #BancoCentral
#BCB via @BancoCentralBR</t>
  </si>
  <si>
    <t>sf2invest
Gostei do comunicado https://t.co/EbYz7TPhQH
#BancoCentral #BCB via @BancoCentralBR</t>
  </si>
  <si>
    <t>fofao_marcelo
Manda o presidente do banco central
embora #BancoCentral @LulaOficial
@BancoCentralBR</t>
  </si>
  <si>
    <t>pmensaje
#EconomiayFinanzas Banco Popular
recibe certificación como Entidad
Libre de Efectivo @BancoPopularCR
#BancoPopular #BancoCentral #BCCR
#ProgramaL #noticiasperiodicomensaje
#periodicomensajeguanacaste #EconomiayFinanzasperiodicomensaje
https://t.co/peliuud9Hx</t>
  </si>
  <si>
    <t xml:space="preserve">bancopopularcr
</t>
  </si>
  <si>
    <t>sandro_mabel_
Entendemos que passou da hora de
o BC mudar sua política e essa
mudança tem que ser imediata. #taxadejuros
#selic #deflacao #inflacao #economia
#industria #bancocentral</t>
  </si>
  <si>
    <t>imminent_news
🇧🇴 Dollar shortages💵 continue
in Bolivia @brissapabon #Dollars
#Bolivia #BCB #BancoCentral #Economy
#YPFB #Debt #Funds #Corralito #Banks
#bolivia #mostshared https://t.co/k4DL2Ox69c</t>
  </si>
  <si>
    <t>bpopeconomia
🚨💰 Banco Central pode acabar
com parcelado sem juros! 😨 #economia
#macroeconomia #bancocentral #juros
https://t.co/bVzkL1CObg</t>
  </si>
  <si>
    <t>cbamarca
💵 Subió el #DolarBlue y el #BancoCentral
volvió a vender divisas 💹 La divisa
paralela subió dos pesos y cerró
a $495 para la venta y $490 para
la compra. https://t.co/mMm4b5OULn</t>
  </si>
  <si>
    <t>komodojjoe
RT @bancomoc: Comunicado Banco
de Moçambique #BancodeMoçambique
#bancocentral #supervisão #Partilha
https://t.co/QAWSLj1Kmk</t>
  </si>
  <si>
    <t>israelwallysso1
Renúncia #BancoCentral #JurosBaixosJá
https://t.co/91C8fagTnK</t>
  </si>
  <si>
    <t>soares_edeson
RT @JovemPanNews: #OsPingosNosIs
| CPI vai acionar Banco Central
(BC) para descobrir quem financia
ONGs da Amazônia; bancada comenta
📺 Co…</t>
  </si>
  <si>
    <t>alencarbraga13
Chega de juros altos, o Brasil
quer crescer. Tá na hora de cair
os juros, Campos Neto! #jurosbaixosjá
#bancocentral #COPOM https://t.co/qC0SJkCtAQ</t>
  </si>
  <si>
    <t>cartacampinas
#CamposNeto defende 'reinado absolutista'
no #BancoCentral em ataque à Democracia
https://t.co/mIqQOKJ4vF via @CartaCampinas</t>
  </si>
  <si>
    <t>noticentro13rd
BCRD refleja aumento de un 2.9%
en remesas a inicio de año https://t.co/afIg15iioJ
#BancoCentral #Remesas #Noticentro13rd
https://t.co/pAyYowrvLp</t>
  </si>
  <si>
    <t>climazen_astro
#bancocentral #camposneto #bc #dinheiro
https://t.co/ZFCso1i4kx</t>
  </si>
  <si>
    <t>avellaneda_real
Países que actualmente no tienen
#BancoCentral Andorra 🇦🇩 (79,000
hab) Estados Federados de Micronesia
🇫🇲 (113,000 hab) Islas Marshall
🇲🇭 (42,000 hab) Isla de Man 🇦🇨
(84,000 hab) Mónaco 🇲🇨 (37,000
hab) Nauru 🇳🇷 (12,000 hab) Tuvalu
🇹🇻 (11,000 hab) Total de habitantes:
378,000 https://t.co/YXA5EsD8kL</t>
  </si>
  <si>
    <t>diariodecuba
El #BancoCentral de Cuba aprobó
la formación de un banco corporativo
en #LaHabana que funcionará con
capital español, reportó el sitio
oficial Cubadebate. https://t.co/ri4WhcX5BL</t>
  </si>
  <si>
    <t>bruno_gianetti
Famigerada "clareza hialina". detalhenoticia
https://t.co/9ivg37zVnS #BancoCentral
#BCB via @BancoCentralBR</t>
  </si>
  <si>
    <t>schweinsteighan
@DFinanciero Un desastre… @mariomarcelc
#BancoCentral</t>
  </si>
  <si>
    <t xml:space="preserve">mariomarcelc
</t>
  </si>
  <si>
    <t>luizreis653
Copom reduz juros básicos da economia
para 13,25% ao ano https://t.co/98aElFRVvo
#BancoCentral #Copom #JurosBásicos
https://t.co/y5CdJeIWvr</t>
  </si>
  <si>
    <t>lpoparaguay
#SantiagoPeña #BancoCentral #Dólar
| Las casas de cambio de Asunción
ya alertaron al Banco Central que
están sufriendo una demanda inusual
de dólares por parte de argentinos.
[Nota: https://t.co/GsdoEmxSm3
] https://t.co/Y9tcXnLayL</t>
  </si>
  <si>
    <t>fjume96
La Nueva Encuesta de Determinantes
y Expectativas de Precios @bcentralchile
https://t.co/SPwilz3hPy #BancoCentral</t>
  </si>
  <si>
    <t>skandiacol
Fuente: CNBC #Fed #Inflación #BancoCentral
#ReservaFederal</t>
  </si>
  <si>
    <t>portalagro2
Última queda de juros aconteceu
em agosto de 2020; de lá para cá,
taxa foi elevada 12 vezes seguidas
#agro2 #economia #taxaselic #bancocentral
#juros https://t.co/uREfNO2Pvq</t>
  </si>
  <si>
    <t>empresasjornal
BC fará consultas públicas para
regular mercado de criptoativos
https://t.co/OLetFjJYMs O objetivo
é limitar riscos de sistemas virtuais
sem administração centralizada
e tentará não impedir o surgimento
de novidades no setor# #criptoativos
#regulamentação #BancoCentral</t>
  </si>
  <si>
    <t>tony_de_derecha
#Milei2023 #MileiPresidente #zurdos
#milei #bancocentral https://t.co/KyOYPriCLg</t>
  </si>
  <si>
    <t>maxvillares
https://t.co/tN9QfWYDKc #economia
#bancocentral</t>
  </si>
  <si>
    <t>reycardozo
Espectacular Casa ubicada el Los
palos grandes. Disponible. https://t.co/k9AbWQitnL
#caracas #venezuela #catalogo #bancocentral
#lospalosgrandes #casa #hogar #família</t>
  </si>
  <si>
    <t>afk_1rl
#EGUOH2023-1 #Chile #UOH #MoneyTalks
#BancoCentral #SantigoNoEsChile
https://t.co/vUkxkzyiMG</t>
  </si>
  <si>
    <t>rdctvdigital
🚨BANCO CENTRAL ➡Mercado financeiro
reduz para 6,02% previsão de inflação
em 2023 #rdctvdigital #bancocentral
#noticias confira a matéria completa
no site⬇ https://t.co/6eoI9iUn16</t>
  </si>
  <si>
    <t>jornalsomos
https://t.co/22s9VGJ32b #economia
#goias #recordes #bancocentral
#crescimento #jornalsomos https://t.co/l1aisopO46</t>
  </si>
  <si>
    <t>ariesfmsalta
#Política En una extensa gira mediática,
el candidato #JavierMilei aclaró
que la eliminación del #BancoCentral
requiere una "transición" y sostuvo
que seguirá funcionando "para la
regulación de las entidades financieras.
Es una figura, una metáfora lo
de "que no exista más". https://t.co/kSzEHE8Xx6</t>
  </si>
  <si>
    <t>neivamrs
Agora, só falta o #BancoCentral
acordar para a necessidade de reduzir
os juros, e Bolsonaro ser declarado
inelegível e enviado à prisão,
junto com todos os que perpetraram
crimes contra o povo brasileiro
e a democracia. Estamos no rumo
certo.</t>
  </si>
  <si>
    <t>leiaflj
Haddad anuncia Galípolo para a
diretoria do Banco Central https://t.co/oilf5uXrto
#haddad #bancocentral #galípolo</t>
  </si>
  <si>
    <t>deputadohauly
Você já viu uma nota de R$200,00?
Queremos saber por que que foi
criada essa nota. Quem paga essa
conta é o povo brasileiro. Lamentável.
#Notade200 #BancoCentral #Bacen
#Hauly #DeputadoHauly https://t.co/2MjDPNvETL</t>
  </si>
  <si>
    <t>infomdpya
#Economia El dólar oficial subió
un 21,8 por ciento. #dolar #dolarhoy
#octubre #bancocentral https://t.co/uPXvlAp4Bi</t>
  </si>
  <si>
    <t>eduardobraga_am
Do clamor das ruas direto para
o Plenário do @senadofederal, sem
economês e sem as sofisticadas
palavras técnicas e numéricas.
#economia #bancocentral #credito
#cartaodecredito #juros https://t.co/WjUjB9YJE4</t>
  </si>
  <si>
    <t>ravkliber
¿Quién necesita un #findesemana
de #descanso cuando puedes soñar
con el Banco Central subiendo tasas
de interés y también soñar con
presupuestos la misma semana que
empiezan las #universidades? 😅📈
#viernes #BancoCentral #TAE #TIN
#Economia</t>
  </si>
  <si>
    <t>thegoondoxjn
RT @bancomoc: #BancodeMoçambique
#bancocentral #museu https://t.co/qbik7os3CA</t>
  </si>
  <si>
    <t>nuboxchile
#Nubox | Indicadores Económicos
diarios correspondiente al 15 de
mayo de 2023 by @bcentralchile
. Lee más aquí: https://t.co/JKf9uQQwg3
#UF #dólar #euro #pymes #bancocentral
https://t.co/oE4FHIH6OX</t>
  </si>
  <si>
    <t>ivonesilva
Resta ao #BancoCentral despertar
e reduzir as taxas de juros, e
a Bolsonaro ser declarado inelegível
e preso, juntamente com todos que
cometeram crimes contra o povo
brasileiro e a democracia. Estamos
trilhando o caminho correto.</t>
  </si>
  <si>
    <t>adn_035
Saluden al #bancocentral que se
va! #Milei2023 https://t.co/rWVBaZdKaJ</t>
  </si>
  <si>
    <t>helenaselmaaze2
#lulapresidente #brasilemconstruçao
#ministeriodafazenda #ForaCamposNeto
#bancocentral #TCU #Politicamonetaria
#jurosaltos #baixajuros #selic
https://t.co/SCKF9Ctnfi</t>
  </si>
  <si>
    <t>aplatanaonews
Junta Monetaria aprueba medidas
de #estímulomonetario por RD$94,000
millones para financiamiento a
sectores productivos y hogares,
a bajas tasas de interés #PoliticaMonetaria
#BancoCentral https://t.co/hYBC9nJ5pn
https://t.co/gtKNzz1i1g</t>
  </si>
  <si>
    <t>rauberjef
RT @JovemPanNews: #OsPingosNosIs
| CPI vai acionar Banco Central
(BC) para descobrir quem financia
ONGs da Amazônia; bancada comenta
📺 Co…</t>
  </si>
  <si>
    <t>tvcultura
Após 10 aumentos seguidos, taxa
básica de juros norte-americana
se mantém a mesma. #EUA #BancoCentral
#TVCultura. https://t.co/JDvoIYtIHE</t>
  </si>
  <si>
    <t>carlosescaffir
Les comparto esta reciente #entrevista
que le hice a don #VittorioCorbo,
ex presidente del #BancoCentral
de Chile. Además de ser muy reveladora
y dinámica, es sobre todo clara
para entender el #momentoeconómico
de #Chile Acá la nota 👉🏽https://t.co/y8lFQTScDw
https://t.co/lfuYP2HE9T</t>
  </si>
  <si>
    <t>robiepaula
@Metropoles A culpa é de quem ???
Quem hoje impede a economia prosperar
??? #BANCOCENTRAL E seu egocêntrico
e presunçoso presidente Sr #RobertoCamposNeto
escolhido pelo incompetente #PauloGuedes
do ex governo desastre do #BOZO
🤡🤡</t>
  </si>
  <si>
    <t>politeiaarg
1️⃣ 1º PASO: reunir el pasivo monetario
del #BancoCentral que oscila entre
35.000 y 40.000 millones de USD.
(Esto es la suma de las leliqs,
más la base monetaria).</t>
  </si>
  <si>
    <t>679evolucion
MÁS BURRA NO SE CONSIGUE: BULLRICH,
LA PEOR DEL MUNDO EN ECONOMÍA #patriciabullrich
#bancocentral #argentina #economia
#medios #politica #elecciones2023
#679evolucion https://t.co/MZCxrW1aU1</t>
  </si>
  <si>
    <t>medinamateo6
opinion de elon musk sobre la crypto
#shots https://t.co/JO4Bcd7HNP
a través de @YouTube #Lakers #Harden
#Bancocentral</t>
  </si>
  <si>
    <t>rhfuenzespin
Que bueno que el #BancoCentral
bajó la taza de interés, para que
los bancos, con nuestra plata en
las @AFPdeChile, no cobren tan
caro cuando logramos que nos hagan
un préstamo... #ConMiPlataNo dicen
los payasos que son parte del negocio...</t>
  </si>
  <si>
    <t xml:space="preserve">afpdechile
</t>
  </si>
  <si>
    <t>elmostrador
MERCADOS| Mercado prevé mantención
de tasa de interés, en la previa
a comunicado del #BancoCentral
https://t.co/vJjF6r5Cg1 https://t.co/MqiJouQqzu</t>
  </si>
  <si>
    <t>modaisf
O #Pix vai ganhar um reforço de
segurança a partir do dia 5 de
novembro, informou o #BancoCentral,
que vai passar a disponibilizar
campos específicos nas notificações
de fraude para que sejam especificados
os tipos de fraude, como falsidade
ideológica. https://t.co/aH0RMnIB1V</t>
  </si>
  <si>
    <t>gleidys82565095
#BancoCentral</t>
  </si>
  <si>
    <t>joaovic95113474
Ontem o COPOM anunciou a redução
da taxa básica de juros para 13,25%.
Mas o que a reunião de ontem deve
impactar o mercado de tecnologia
&amp;amp; inovação no Brasil? Acompanhe
a linha de raciocínio (⅙) #selic
#copom #bancocentral #bc</t>
  </si>
  <si>
    <t>cronos_noticias
Chau a la ballena Se viene el nuevo
billete de $200: Cómo será y cuándo
saldrá https://t.co/9FrE5fkaKh
| @BancoCentral_AR #CronosNoticias
#BancoCentral #NuevoBillete</t>
  </si>
  <si>
    <t>flaviasoares
Relatório de Estabilidade Financeira
https://t.co/BaRkpOLjp4 #BancoCentral
#BCB via @BancoCentralBR</t>
  </si>
  <si>
    <t>agendasalta
Los principales argumentos del
equipo de #JavierMilei para cerrar
el #BancoCentral y terminar con
la #inflación La tasa de inflación
anual promedió el 130% desde la
creación del Central en 1935, y
la cifra asciende al 190% desde
su nacionalización en 1946 https://t.co/kIxJNHmBEy
https://t.co/PaTkpqf61Q</t>
  </si>
  <si>
    <t>_____yo_____yo
Devaluó!!Devaluó!! 22% Massa!!!!!22%
Burro Burro ya te vas a ir !!!!
Ya te van echar!! Todo hecho para
que culpen al ganador de las elecciones!!
#laspaso #Massa #ElPeorGobiernoDeLaHistoria
#BancoCentral</t>
  </si>
  <si>
    <t>mascontainerca
El #saldo de las #reservas #internacionales
#brutas (RIB) del #BancoCentral
de #Nicaragua llegaron a US$ 4.989,1
millones de dólares en #junio pasado,
14,7% más en relación al mismo
mes del año anterior https://t.co/xWtNsdkntM</t>
  </si>
  <si>
    <t>operamundi
BANCO CENTRAL NÃO BAIXOU OS JUROS:
E AGORA? - OUTUBRO #119 Assista
ao vivo, às 19h, por meio do link:
https://t.co/syJgnNzOM2 #operamundi
#bancocentral #juros https://t.co/yeaE3av36K</t>
  </si>
  <si>
    <t>pablomartearena
El Banco Central finalizó hoy con
un saldo un positivo de US$451
millones, con lo que extendió la
racha de compras a 17 ruedas consecutivas,
en una jornada en la que el dólar
soja aportó más de US$1.052 millones.
#BancoCentral #dólares https://t.co/YzR2yspU2C</t>
  </si>
  <si>
    <t>p_prefeitura
#Diminuição BANCO CENTRAL REDUZ
taxa de JUROS pela primeira vez
EM TRÊS ANOS; SELIC vai a 13,25%
AO ANO #portaldeprefeitura #bancocentral
#reduztaxa #juros #primeiravez
#trêsanos https://t.co/DJ9aj20E0v</t>
  </si>
  <si>
    <t>josmar1987
No queremos que nos roben nuestros
ahorros . #bancocentral. Queremos
administrar nosotros nuestra Plata
#sextoretiro #pailita #GasAPrecioJusto</t>
  </si>
  <si>
    <t>delosandesweb
🇦🇷#Argentina 📱Los comercios
que tengan pago con #QR tendrán
que aceptar #billeterasDigitales
➡️Desde el #BancoCentral informaron
que los negocios que exhiban un
código #QR para cobrar deberán
aceptar cualquier billetera digital
#⃣Nota completa👇 https://t.co/c1UrwXK4zE</t>
  </si>
  <si>
    <t>lopretelovers
Lula com olhos em 2024, coloca
o Galípolo para a alta cúpula do
banco central. #jornaldaglobo #jornalismo
#jornalista #haddad #mercadofinanceiro
#viralreel #reel #democracia #jornal
#bancocentral https://t.co/iqHzP87cZU</t>
  </si>
  <si>
    <t>rikaryo
@o_antagonista Lula nada para o
#BancoCentral o povo brasileiro
que se lasque, tão nem pro Brasil...
#ForaCamposNeto</t>
  </si>
  <si>
    <t>radiobandnewsfm
#BancoCentral mantém #Selic e sinaliza
novo aumento se #inflação não ceder
https://t.co/i9Pw08EjVh</t>
  </si>
  <si>
    <t xml:space="preserve">monicabergamo
</t>
  </si>
  <si>
    <t xml:space="preserve">eduardobarao
</t>
  </si>
  <si>
    <t>alberdianaok
@JMilei te explica por que es necesario
cerrar el Banco Central después
de dejar de emitir. #inflacion
#peso #dolar #dolarizacion #bancocentral
#bcra #milei #mileipresidente #milei2023
#elecciones #elecciones2023 #argentina
https://t.co/q3v6fImF3B</t>
  </si>
  <si>
    <t>joedsoncosta13
Focus - Relatório de Mercado https://t.co/oOdvOq4OYz
#BancoCentral #BCB via @BancoCentralBR</t>
  </si>
  <si>
    <t>ronaldc63388126
RT @danielsuchar: #CostaRica Entonces,
las cosas van destapándose ...
poquito a poquito .. #BancoCentral
#Economia #Finanzas #FinanzasPub…</t>
  </si>
  <si>
    <t>perfilcom
💰 #Plazofijo: la drástica decisión
que tomó el #BancoCentral con las
tasas de interés ✍ Luis Machado
📲 Más información en https://t.co/l8DWTGwqgM:
https://t.co/o4WgyrMRxu</t>
  </si>
  <si>
    <t>elfronterizodg
#elfronterizo Banco Central de
la  República Dominicana informa
recibió US$ 5,019.9 MM en remesas
el primer semestre del 2023 LEA
MÁS 👉https://t.co/neSbK85d3G Cc:
@BancoCentralRD @PresidenciaRD
@luisabinader #PRESIDENTE #Bancocentral
https://t.co/Qzuwpm9rvk</t>
  </si>
  <si>
    <t xml:space="preserve">presidenciard
</t>
  </si>
  <si>
    <t>portalvgv
Após a redução de 0,5 ponto percentual
na #taxaSelic, os juros básicos
da #economia, na semana passada,
as instituições financeiras consultadas
pelo #BancoCentral esperam por
uma diminuição ainda maior até
o final deste ano. Veja: https://t.co/WPDl7YcoKd
#portalvgv https://t.co/OBFZHSbxuo</t>
  </si>
  <si>
    <t>elcariberd
Ramón González Hernández, destacó
que el paquete de medidas monetarias
del 1 de junio fue adoptado en
el momento oportuno luego de que
la inflación #elCaribe #elCariberd
#BancoCentral #medidasmonetarias
#dinamizarán #economía #RD https://t.co/Mp5vi9MUzv</t>
  </si>
  <si>
    <t>polancomartin6
El #BancoCentral de #RepublicaDominicana
asume posición de #Cautela frente
al actual #panoramaeconomico. Lo
explico en @ElCaribeRD https://t.co/GVTzBhiAvL
https://t.co/Vmp2mSJp3R</t>
  </si>
  <si>
    <t>radio10
#SecretoDeSumario ¿Quién cree que
será el candidato más votado en
las PASO?</t>
  </si>
  <si>
    <t>guille_fe
Sobre semejante comentario de barrabasada
de querer ir a ver las bodedas
del #BancoCentral para ver las
reservas que difunde en campaña
#PatoBulrich: Que se creerá sobre
su ignorancia de comentario: "Que
es una bodega de buenos vinos para
catar, como en #Mendoza?" #OhMyGod!
🤦🏻‍♂️🤣</t>
  </si>
  <si>
    <t>fermoraes
RT @AuditoriaCidada: Pressione
o Banco Central contra esta política
de juros altos que prejudica o
Brasil #JurosBaixosJá #Selic #BancoCentr…</t>
  </si>
  <si>
    <t>todeboa34342569
@Haddad_Fernando Inflação em queda
graças ao presidente do #BancoCentral,
@RobertoCampos, e apesar da campanha
que o #PTralha faz contra. Palmas
pro Roberto Campos! 👏</t>
  </si>
  <si>
    <t>elpisodigital
📣 New Podcast! "Como Tener Una
Buena Salud Financiera - Fellito
Jose" on @Spreaker #abcfinanzas
#bancocentral #buenasaludfinanciera
#comogastartudinero #comoinvertirtudinero
#cuandodeboteneruncarro #economia
#economiarepublicadominicana #economista
https://t.co/gxzhHNCxDv</t>
  </si>
  <si>
    <t>adosaariel
Avenida Aeropuerto esta prácticamente
intransitable @MuniCerrillos ya
pues pónganse las pilas!, ya cada
vez tiene menos sentido seguir
pagando impuestos e incluso seguir
viviendo en el sector, una completa
vergüenza @lorena_facuse. #IMPUESTOALASGANANCIAS
#Censura #BancoCentral</t>
  </si>
  <si>
    <t xml:space="preserve">lorena_facuse
</t>
  </si>
  <si>
    <t xml:space="preserve">municerrillos
</t>
  </si>
  <si>
    <t>sobcustodio
AGORA! Decisão do Copom na #TCRadio!
Cobertura e análise ao vivo com
@GMSGabriel, Camila Valvezan, Mari
Fridman e convidados! Informação
e análise ao vivo: https://t.co/KZnXIjj39M
#Copom #BancoCentral #Comunicado
#Selic https://t.co/MNny61xBgk</t>
  </si>
  <si>
    <t xml:space="preserve">gmsgabriel
</t>
  </si>
  <si>
    <t>taxialphaville
#JornaldaManhã | Membros do 'Conselhão'
divulgam carta pedindo corte de
juros ao Banco Central; documento
foi assinado por 51 integrantes,
incluindo Luiza Trajano, da rede
Magalu, e o presidente da Fiesp,
Josué Gomes JP News #BancoCentral
#Copom #Juros https://t.co/7yEKQhQqXV</t>
  </si>
  <si>
    <t>infoflashbr
Os correntistas ainda têm R$ 7,299
bilhões em contas inativas de bancos
e outras instituições, segundo
dados do Sistema Valores a Receber
(SVR) atualizados nesta segunda-feira
(11/09) pelo Banco Central. #BancoCentral
#dinheiro https://t.co/KzGOkeB6vz
https://t.co/tdrKEgmPbO</t>
  </si>
  <si>
    <t>ardmoficial_
RT @rodrigomoraisof: Centrais pedem
queda da taxa Selic em ato na Paulista
Queda da taxa Selic é fundamental
para aumentar investimento na…</t>
  </si>
  <si>
    <t>rodrigomoraisof
Centrais pedem queda da taxa Selic
em ato na Paulista Queda da taxa
Selic é fundamental para aumentar
investimento na produção e a geração
de novos postos de trabalho. Estive
no ato representando os trabalhadores
e trabalhadoras. #juros #bancocentral
https://t.co/LmlI9qZGsM</t>
  </si>
  <si>
    <t>ramonfreirereal
Basta de Usura y No Mas Bancos
Centrales #liberal #pueblo #noticias
#gobierno #ramonfreire #politica
#mediosdecomunicación #realidad
#politicos #usura #banco #bancos
#bancocentral https://t.co/UAbQ4air20</t>
  </si>
  <si>
    <t>ferado2014
RT @RadioDelPlata: 🟣 #JavierMilei,
confirmó que si es electo en las
próximas elecciones del 22 de octubre
el presidente del #BancoCentral
s…</t>
  </si>
  <si>
    <t>radiodelplata
#RadioNoticiasDelPlata | 📻 💰
El #Gobierno le pidió al #BancoCentral
otros $688M el último día de junio,
en concepto de adelantos transitorios.
👉 El préstamo lo usó para comprar
las #divisas para hacer frente
al vencimiento por U$D2692M por
la deuda con ese organismo.</t>
  </si>
  <si>
    <t xml:space="preserve">interbr
</t>
  </si>
  <si>
    <t>nemocan
Banco Central publica estadísticas
de valor de mercado de la vivienda
(VMV) https://t.co/9ebFfZeqs9 #BancoCentral</t>
  </si>
  <si>
    <t>flamingleo727
RT @bancomoc: Comunicado Banco
de Moçambique #BancodeMoçambique
#bancocentral #supervisão #Partilha
https://t.co/QAWSLj1Kmk</t>
  </si>
  <si>
    <t>pergaminovirtu1
MASSA DA MARCHA ATRÁS CON LA MEDIDA
QUE AFECTABA A MERCADOPAGO Y DEMÁS
BILLETERAS VIRTUALES https://t.co/XQRJ75TVvR
#MercadoPago #MarcoGalperin #SergioMassa
#BancoCentral https://t.co/NPAM9VlTj3</t>
  </si>
  <si>
    <t>misionesptodos
Quién es Emilio Ocampo, el economista
que Javier Milei piensa poner al
frente del Banco Central para cerrarlo
https://t.co/mi8RU0ZAHK #BancoCentral
#EmilioOcampo #JavierMilei #MisionesParaTodos
https://t.co/ygzXOLbr64</t>
  </si>
  <si>
    <t>araujosantosad1
Quer entender os seus direitos
referente a esse assunto? 💸 Saiba
mais: 👇🤗 📲 (11) 3837-9560 (WhatsApp)
🖱 https://t.co/xw2J7FF7qv #araujosantosadvocacia
#direito #direitobancario #emprestimoconsignado
#tjba #praticasabusivas #juros
#direitodoconsumidor #bancos #bancocentral
https://t.co/2h1Emz5cPm</t>
  </si>
  <si>
    <t>duarte3_alcy
undefined undefined #BancoCentral
#BCB via @BancoCentralBR</t>
  </si>
  <si>
    <t>amazonasatual
Banco Central corta taxa Selic
em 0,5 ponto, para 13,25% I A decisão,
contudo, não foi unânime. Foram
5 votos a 4 pela queda de 0,5 ponto
percentual, incluindo do presidente
do BC, Roberto Campos Neto #bancocentral
#taxadejuros #Selic #Lula #COPOM
https://t.co/QwXhhkbzr3</t>
  </si>
  <si>
    <t>politica2chile
Senadores elogian al Banco Central
pero expresan inquietud por el
crecimiento económico 📈. #BancoCentral
#Economía #Senadores 🌟👥📚 TUIT
DESTACADO: https://t.co/NtIOlq8VDk</t>
  </si>
  <si>
    <t>1710ariana
📌#AHORA | El presidente @LassoGuillermo
derogó el Decreto 494, firmado
hace 13 años por #RafaelCorrea
mediante el cual, el Banco Central
le traspasó el edificio #Centenario
para uso del @CpccsEc. El mandatario
con decreto 759 dispone regrese
a manos de #BancoCentral @srradioEc
https://t.co/jQljDTOzce</t>
  </si>
  <si>
    <t xml:space="preserve">srradioec
</t>
  </si>
  <si>
    <t xml:space="preserve">cpccsec
</t>
  </si>
  <si>
    <t xml:space="preserve">lassoguillermo
</t>
  </si>
  <si>
    <t>jovempangoiania
#BancoCentral informa que uma só
pessoa resgatou R$ 2,8 milhões
‘esquecidos’. Matéria completa
Aqui 👇 https://t.co/Umdaip5Edl</t>
  </si>
  <si>
    <t>naviconarg
ACTUALIZACION DE INFORMACIÓN ESTUDIO
CARBALLEIRO COM. A 7789 NOVEDADES
EN RELACION CON EL ACCESO AL MLC
PARA EL PAGO DE FLETES INTERNACIONALES
#BancoCentral #Transporte #importaciones
#fletes #logistica #comercioexterior
https://t.co/jqTNMPxg5f</t>
  </si>
  <si>
    <t>jefferson26285
RT @SindBaixada: O @SindBaixada
esteve presente nesta quarta (20/9),
no ato de protesto para pressionar
o Comitê de Política Monetária
do B…</t>
  </si>
  <si>
    <t>sindbaixada
O @SindBaixada esteve presente
nesta quarta (20/9), no ato de
protesto para pressionar o Comitê
de Política Monetária do Banco
Central a reduzir a taxa básica
de juros brasileira. Leia a matéria
completa: https://t.co/Of5xjMHfw5
#BancáriosBaixada #BancoCentral
#JurosBaixosJá https://t.co/0WkKxVHzIs</t>
  </si>
  <si>
    <t>radiofenix951
⚠️ #BancoCentral Las reservas ya
caen USD 1.560 millones en junio,
mientras se dilatan las negociaciones
con el FMI El final del programa
dólar soja 3 pasó factura este
mes, complicando todavía más al
Banco Central. El nuevo desembolso
que espera Massa por parte del
organismo… https://t.co/OH874DZaHB</t>
  </si>
  <si>
    <t>lobscontabilid1
O consumidor poderá fazer compras
na função crédito via Pix, disse
o Roberto Campos Neto. #LobsContabilidade
#BancoCentral #CartãodeCrédito
#Encargos #Juros #PIX #Rotativo
https://t.co/BC9Jaun3ap https://t.co/yXiaLnPTPh</t>
  </si>
  <si>
    <t>economainstream
#BancoCentral #Brasil #Selic #juros
https://t.co/NzthGMFz3X</t>
  </si>
  <si>
    <t>mundopoderok
El Banco Central escrachó a Tinelli,
que debe más de $630 millones #bancocentral
#tinelli @cuervotinelli #marcelotinelli
#vip #noticias #deuda https://t.co/F1g4YWxrzb
https://t.co/kPaHFu7oxP</t>
  </si>
  <si>
    <t xml:space="preserve">cuervotinelli
</t>
  </si>
  <si>
    <t>claudioedantas
RT @JovemPanNews: #OsPingosNosIs
| CPI vai acionar Banco Central
(BC) para descobrir quem financia
ONGs da Amazônia; bancada comenta
📺 Co…</t>
  </si>
  <si>
    <t>eleduok1
Viva la libertad carajo!! VLL #VLL
#InShot #VLLC #Milei #Milei2023
#mileipresidente2023 #bancocentral
@JMilei @KmanuS88 https://t.co/lx9KcDDUCS</t>
  </si>
  <si>
    <t xml:space="preserve">kmanus88
</t>
  </si>
  <si>
    <t>luanalcantara99
O Brasil está voltando a caminhar…
Isso é reflexo de um governo que
tem governabilidade! É necessário
saber separar as divergências e
lutar por um bem comum que é o
Brasil 🇧🇷 #BancoCentral #juros</t>
  </si>
  <si>
    <t>jornaljogoserio
Na Cooxupé, presidente do Banco
Central destaca importância do
crédito rural e necessidade de
mais instrumentos de captação https://t.co/TYrjbNftEO
#jornaljogoserio #rural #agronegocio
#bancocentral #creditorural #desenvolvimentopessoal
#safra2023 #cooxupe #cooperativa
#cafe https://t.co/tvM0KF8KM7</t>
  </si>
  <si>
    <t>ahorasanjuan
👉Massa pidió la derogación de
la norma del Central sobre billeteras
electrónicas. Más info ⬇️ #Anuncio
#bancocentral #billeterasvirtuales
#Fraude #mercadopago #sergiomassa
#usuarios https://t.co/HkI7sAoOv4
https://t.co/pH8woZzOFp</t>
  </si>
  <si>
    <t>chongui64
RT @RadioDelPlata: 🟣 #JavierMilei,
confirmó que si es electo en las
próximas elecciones del 22 de octubre
el presidente del #BancoCentral
s…</t>
  </si>
  <si>
    <t>treslineasar
🔵 Exclusivo: #Milei quiere a #Sturzenegger
para el #BancoCentral 📌 El libertario,
que no incendiará la entidad monetaria
como había prometido, inició conversaciones
con el ex titular del BCRA durante
el gobierno de #Macri. 👉🏻 Nota
completa acá https://t.co/98jVr78cMf</t>
  </si>
  <si>
    <t>diegopenizzotto
Al final resultó ser que "prender
fuego el #BancoCentral" era hacer
lo mismo que ya hizo @fedesturze
entre 2016 y 2018. Vamos entendiendo...
https://t.co/SQRNtuvwtD</t>
  </si>
  <si>
    <t xml:space="preserve">fedesturze
</t>
  </si>
  <si>
    <t>thepatologico
O Pato Lógico É PATO: NÃO É BURRO.
Senhor #bancocentral, o deboche
é indesejável. A empáfia é infundada,
porque ignorante. "Crescer o bolo"
foi um argumento truculento dos
avós e você faz pior: literalmente
destrói os ingredientes do bolo.
SABOTAGEM E TRAIÇÃO À PÁTRIA Cuen!
https://t.co/S0vPGpwGan</t>
  </si>
  <si>
    <t xml:space="preserve">guilhermeboulos
</t>
  </si>
  <si>
    <t>kleberkarpov
@AndrSou01471403 @CejcaMarja @souapenasV
@bancosantander @BancoCentralBR
@Zambelli2210 @AndrSou01471403
Valeu pela deixa! "Pornográfico":
Taxa de juros mantida pelo Banco
Central, de 13,75% ao ano, ‘mata’
o brasileiro https://t.co/kfbRdfT5Ri
#Banco #TaxaDeJuros #Selic #BancoCentral
#Copom #Empréstimo #Santander #Brasil
#Europa #Euro #Real #Economia</t>
  </si>
  <si>
    <t xml:space="preserve">zambelli2210
</t>
  </si>
  <si>
    <t xml:space="preserve">bancosantander
</t>
  </si>
  <si>
    <t xml:space="preserve">souapenasv
</t>
  </si>
  <si>
    <t xml:space="preserve">cejcamarja
</t>
  </si>
  <si>
    <t xml:space="preserve">andrsou01471403
</t>
  </si>
  <si>
    <t>noaltpp11_
Así es como se pierden las confianzas
#BancoCentralMiente #NoMasMentiras
#IntervencionPolitica #BancoCentral
https://t.co/K0usWzjO4U</t>
  </si>
  <si>
    <t>horade_noticias
Banco Central de Chile reduce tasa
de interés en 100 puntos base para
impulsar la economía en medio de
un panorama mixto: https://t.co/Uyh1sovzmU
/ #OHiggins #BancoCentral #TasaDeInteres
#Inflacion</t>
  </si>
  <si>
    <t>sincortapisa_
#SinCortapisa El Banco Popular
pasa a ser miembro Premium del
Club de Gestión de Riesgos. LEA
MÁS👉https://t.co/W3ykgmCEFT Cc.
@Popularenlinea #BancoCentral #Economia
#gestion #Premium #Popular https://t.co/vLBMKJrHxd</t>
  </si>
  <si>
    <t xml:space="preserve">homerofigueroag
</t>
  </si>
  <si>
    <t xml:space="preserve">comunicaciondo
</t>
  </si>
  <si>
    <t xml:space="preserve">mineconomiard
</t>
  </si>
  <si>
    <t xml:space="preserve">banco_adopem
</t>
  </si>
  <si>
    <t xml:space="preserve">popularenlinea
</t>
  </si>
  <si>
    <t>homeroterann
RT @ferpeirano: #BANCOCENTRAL #DESDOLARIZACION
(HILO) Mi participación en las
redes está fuertemente asociada
a la ciencia, tecnología e i…</t>
  </si>
  <si>
    <t>dentrodelprecio
¿Qué impacto tendrá esta medida
en la economía nacional y los mercados
globales? ¡Estamos atentos a los
desarrollos! #BancoCentral #Economía
#NuevaZelanda #GestiónDeActivos
#FinanzasPersonales #MercadosFinancieros
https://t.co/zGih4NjPNu</t>
  </si>
  <si>
    <t>blokdenoticias
1/🏦🔍 Javier Milei tiene en la
mira a Federico Sturzenegger como
su elección para presidir el Banco
Central si llega a la presidencia.
#MileiPresidente #BancoCentral
#NoticiasDelDía https://t.co/yFZ6umVqW7</t>
  </si>
  <si>
    <t>cvm7002
Todo lo iba a cambiar Borrrricccc....
BAJEN LA TASAAAAAAAA!!!! Alguien
que le avise al Banco Central que
va 5 meses atrasado x la CDM!!!!
#bancocentral #ipc #boric #imacec</t>
  </si>
  <si>
    <t>candrews_cl
Este Gobierno, al igual que la
evidencia empírica de esta ideología
a lo largo de la historia, destruye
sin piedad la economía, fuentes
laborales y emprendimientos, haciendo
más pobre a la población, en un
severo ambiente y realidad de inseguridad.</t>
  </si>
  <si>
    <t>nacliteresa
@LulaOficial O problema no Brasil
não são os políticos e sim os #banqueiros,
#bancocentral ladrōes oficiais
! Senadores e Deputados “ alteraram”
a #Constituição em 1993 e liberaram
os juros CRIME só quem lucra no
Brasil são os Bancos 🏦#crime</t>
  </si>
  <si>
    <t xml:space="preserve">costajr2023
</t>
  </si>
  <si>
    <t>govbr
"Não é possível que numa reunião
entre presidentes de países importantes,
a palavra desigualdade não apareça",
discursou o presidente @LulaOficial
durante a Cúpula para um Novo Pacto
Financeiro Global, na França, nesta
sexta (23). Confira na íntegra:
https://t.co/Gn76duGzjn</t>
  </si>
  <si>
    <t>daniellima2022
#PIX fica mais eficiente no combate
a fraudes e crimes, diz BC. Acesso
tempestivo a dados cadastrais vinculados
às chaves, pelos MPs e polícias,
auxiliará na prevenção de fraudes
https://t.co/XTwGhSlUk2 #BancoCentral
#BCB via @BancoCentralBR 📷Marcello
Casal Jr./Agência Brasil https://t.co/chSYKVZP4s</t>
  </si>
  <si>
    <t>carobiedermann
@BolsaCordoba @DianaMondino “Que
haya un acuerdo entre @JMilei y
@SergioMassa son nulas, son más
negativas que las reservas del
#BancoCentral”. @DianaMondino en
la @BolsaCordoba</t>
  </si>
  <si>
    <t xml:space="preserve">bolsacordoba
</t>
  </si>
  <si>
    <t xml:space="preserve">dianamondino
</t>
  </si>
  <si>
    <t>mauroalveszl
RT @JovemPanNews: #OsPingosNosIs
| CPI vai acionar Banco Central
(BC) para descobrir quem financia
ONGs da Amazônia; bancada comenta
📺 Co…</t>
  </si>
  <si>
    <t>gft_br
Você com certeza já ouviu falar
sobre #DREX no dia de hoje, né?
No nosso linkedin a gente explica
melhor sobre a nova moeda do #BancoCentral,
corre lá! https://t.co/ZNQQXQVxEk</t>
  </si>
  <si>
    <t>ocafezinho
Governo @LulaOficial e a sabotagem
do Banco Central. #economia #bancocentral
#bc #camposneto #camposnetodemitido
#governo #lula https://t.co/gA0lICP703</t>
  </si>
  <si>
    <t xml:space="preserve">gabrielbrbjor
</t>
  </si>
  <si>
    <t>flauzinoan70835
Teto para gastos de juros @HoraDoPovoBR
@PortalCTB @gpslifetime @AuditoriaCidada
@portalvermelho #jurosbaixosjá
#austericidiofiscal #arcabouçofiscal
#governolula #bancocentral #congressonacional
https://t.co/ttCNq7kRTM</t>
  </si>
  <si>
    <t xml:space="preserve">portalvermelho
</t>
  </si>
  <si>
    <t xml:space="preserve">gpslifetime
</t>
  </si>
  <si>
    <t xml:space="preserve">portalctb
</t>
  </si>
  <si>
    <t xml:space="preserve">horadopovobr
</t>
  </si>
  <si>
    <t>reportbrasilia
O BC elevou a projeção para o crescimento
da economia este ano. A estimativa
para a expansão do PIB, passou
de 2% para 2,9%, em razão, sobretudo,
da “surpresa com o crescimento
no segundo trimestre”. https://t.co/Y2GO4ff7kq
#reporterbrasilia #ibge #BancoCentral
#PIB #BC</t>
  </si>
  <si>
    <t>eibarra_s
Varios países han creado ya su
#MonedaDigital de curso legal.
-Diferente a #Bitcoin. Esto es,
la emite autoridad central (#BancoCentral)
--👇 "Ya viene la moneda en versión
digital que emitirá el Banco de
México." #PesoDigital #CBDC Por:
ElUniversal https://t.co/ChUbMo3Ots</t>
  </si>
  <si>
    <t>terezandrade
Única saída é guerra total contra
os juros do BC "São inúteis as
negociações. Chegou o momento de
se construir uma campanha cívica
pela derrubada dos juros e do presidente
do BC", defende Bepe Damasco https://t.co/7Hmt0dLHM8</t>
  </si>
  <si>
    <t>claudiolof
Sabendo de uma possível vitória
de @LulaOficial, como aconteceu,
tentaram logo privatizar o #BancoCentral
para prejudicar o governo do @ptbrasil.
Infelizmente.</t>
  </si>
  <si>
    <t>traderbolsa
RT @sf2invest: Gostei do comunicado
https://t.co/EbYz7TPhQH #BancoCentral
#BCB via @BancoCentralBR</t>
  </si>
  <si>
    <t>elsonsimbine
RT @bancomoc: #BancodeMoçambique
#bancocentral #museu https://t.co/qbik7os3CA</t>
  </si>
  <si>
    <t>diariomzasur
#Tendencias #bancocentral Estas
son las únicas billeteras que no
tocó el Banco Central https://t.co/Nn90hbSfYc
https://t.co/ah47S2vozJ</t>
  </si>
  <si>
    <t>mercopresses
El #BancoCentral de la #RepúblicaArgentina
(BCRA) vendió el miércoles 130
millones de dólares y 288 millones
de yuanes (unos 40 millones de
dólares) en una medida desesperada
por evitar que la cotización del
“blue” siga disparándose tras alcanzar
los 527 AR$ / 1 US$. https://t.co/gVr1SdZkTf</t>
  </si>
  <si>
    <t>cofeconeconomia
💡Confira a matéria completa, com
vídeo em https://t.co/7RSrwlgOpl
#TaxaDeJuros #BancoCentral #PolíticaMonetária
#EconomiaBrasileira #Inflação #DesenvolvimentoEconômico
#MercadoFinanceiro #CenárioEconômico
#Investimentos #EstabilidadeFinanceira
https://t.co/3m3gXhsQrD</t>
  </si>
  <si>
    <t>factopia_
Se acabó Junio y ya tenemos el
dato oficial del #euribor https://t.co/5TxPAVhVDK
#euriborjunio #junio #euriborjulio
#julio #hipoteca #hipotecas #finanazas
#dinero #bce #fed #bancocentral
#tiposinteres #tipointeres</t>
  </si>
  <si>
    <t>clau_pasqualini
Apesar de toda sabotagem índices
positivos mostram que o Brasil
reage com Lula presidente. #camposneto
#bancocentral #JurosBaixosJa #selic</t>
  </si>
  <si>
    <t>juristecadv
VAZAMENTOS NO PIX ... | ... Para
ler na íntegra, acesse https://t.co/WKJcfHRREv
FONTE: Agência Brasil | FOTO: Marcello
Casal Jr./Ag. Brasil #portaljuristec
#BancoCentral #Pix #clientes https://t.co/M2DBjAiGPl</t>
  </si>
  <si>
    <t>enlafontana_cl
.(NOTA🔴) Imacec: Economía chilena
cayó 1% en junio #EnLaFontana⛲
#Imacec #Economía #crecimiento
#BancoCentral Ver nota👇 https://t.co/HasC2NT8CT
https://t.co/pSx0GIkYnf</t>
  </si>
  <si>
    <t>sselaik
Vou contar uma coisa pra vcs .
Esse banco do Brasil é um banco
desgraçado!!! Odeio esse banco!
#bancocentral #VamosChile #bancodobrasil
#Bolsonaro</t>
  </si>
  <si>
    <t>daniela95961088
RT @RubensOtoni: ✅🔴JUROS BAIXOS
JÁ #BancoCentral https://t.co/blggmR7A6H</t>
  </si>
  <si>
    <t>rubensotoni
✅🔴JUROS BAIXOS JÁ #BancoCentral
https://t.co/blggmR7A6H</t>
  </si>
  <si>
    <t>jtabw
As autoridades do Banco Central
são incompetentes e acéfalos, não
veem que as criptomoedas na sua
maioria são um estelionato, não
tem lastro, podem cair a ZERO.
Ações tem patrimônio e lucro, a
maioria das cripto NÃO. #Lula @LulaOficial
#BancoCentral #Bitcoin #Brasil
#Br https://t.co/t99O8toOFi</t>
  </si>
  <si>
    <t>ludarep
The Banco Central Burglary Picture
this: 2005, Brazil. A gang dug
a tunnel to the Banco Central's
vault. For three months, they chiseled
their way to a staggering $70 million.
The sheer desire for riches drove
their persistence. #BancoCentral"
https://t.co/mwqZcIth3y</t>
  </si>
  <si>
    <t>guidojr60
detalhenoticia https://t.co/inNhql3uW7
#BancoCentral #BCB via @BancoCentralBR</t>
  </si>
  <si>
    <t>thinkonomics
Copom reduz juros básicos da economia
para 12,75% ao ano #copom #inflacao
#juros #taxadejuros #bc #bancocentral
#brasil #brazil @BancoCentralBR
https://t.co/WYALLuO1wx</t>
  </si>
  <si>
    <t>panorama_rd
RD recibió cerca de 6mil millones
de dólares en remesas durante primer
semestre del 2023 #PanoramaDigital
#remesas #BCRD #BancoCentral https://t.co/FjQb1w8DmO</t>
  </si>
  <si>
    <t>aleconstrucao
RT @PlenoNews: Campos Neto diz
que BC “não é oposição” ao governo
Lula #CamposNeto #BancoCentral
#oposiçao #PlenoNews https://t.co/n542BY2…</t>
  </si>
  <si>
    <t>gorfo_verdades
Petistas, brasileiros que empreendem,
patriotas, empresários que querem
realmente produzir, pessoas que
querem comprar imóveis etc. #Juros
#BancoCentral</t>
  </si>
  <si>
    <t>intradecapital1
El Banco Central resuelve obligar
a provincias y municipios a utilizar
sus propios dólares para cancelar
deudas en moneda extranjera en
lugar del mercado oficial.  #noticias
#informacionfinanciera #bancocentral
#dolares</t>
  </si>
  <si>
    <t>joses221965
RT @NAagencia: 🗣️ El socio fundador
de #MercadoPago, Marcos Galperín,
salió en defensa de su compañía
al criticar la última medida del
#Ban…</t>
  </si>
  <si>
    <t>matheuscdesales
#bancoCentral atrasa a divulgação
do IBC-Br, apenas mais um dia normal.
#FOMC ou #Fed atrasam 3 minutos,
o mundo está acabando...</t>
  </si>
  <si>
    <t>minutoya
El Banco Central llevó el dólar
oficial a $350 #BancoCentral #DolarOficial
https://t.co/mJ2dzrWIcp https://t.co/jGrSU4Fbrt</t>
  </si>
  <si>
    <t>haceoirtuvoz
@escuderol5 #Ladolarización,que
dice nuestra CN sobre nuestra moneda.
#LosMinisterios cual es el único
rol de la vice en nuestra CN? Por
lo tanto la vice no puede tener
otra funcion + q Presidir el senado.
Aunque le parezca decorativo🤷‍♀️
División de poderes y Funciones
#BancoCentral y ++</t>
  </si>
  <si>
    <t xml:space="preserve">escuderol5
</t>
  </si>
  <si>
    <t>portalne10
O Banco Central publicou na última
segunda-feira (4) o "Relatório
de Gestão do Pix - Concepção e
primeiros anos de funcionamento
2020-2022". Saiba qual foi o maior
valor realizado pelo Pix. #bancocentral
#pix #transferencia #jm https://t.co/SQsdiBQutk</t>
  </si>
  <si>
    <t>joaopaguiar
#bancocentral https://t.co/VRoVdamy4K</t>
  </si>
  <si>
    <t>estellekeri__21
RT @joaopaguiar: #bancocentral
https://t.co/VRoVdamy4K</t>
  </si>
  <si>
    <t>elsonandresdr
Que mala pata que el IPC junio
-0,2% aparece en medio de #CasoConvenios
me gustaría medir %de coberturas
de ambas noticias las próximas
24 horas. #IPC #DemocraciaViva
#bancocentral</t>
  </si>
  <si>
    <t>laprensaturca
l Banco Central de Turquía sorprendió
al mercado este jueves con el incremento
de 650 puntos básicos de la tasa
de interés hasta el 15 % con el
objetivo de controlar la inflación.
https://t.co/MiPPyDPUfJ #bancocentral
#turquia #inflacion https://t.co/okTlfOktnR</t>
  </si>
  <si>
    <t>bcnewsweek
El candidato #JavierMilei ve como
solución a los problemas económicos
de #Argentina, abandonar el #peso
y adoptar el #dólar. Además, propone
eliminar el #BancoCentral que emite
la moneda. #Internacional #economia
Lee nuestro articulo completo👇
https://t.co/x7MsURSrKu https://t.co/Vo4noNLUFB</t>
  </si>
  <si>
    <t>mediosye
📈💵 Banco Central anuncia devaluación
y ajusta tasa de interés previo
a elecciones 🗳️💰 Lee la nota
completa en nuestra web - https://t.co/cTQO2iy7Nt
#Chaco #Actualidad #local #regionales
#ultimahora #MyE #EconomiaNacional
#Devaluacion #BancoCentral #FMI
#TasaDeInteres https://t.co/yPutMxep6M</t>
  </si>
  <si>
    <t>elentrerios
#Economia Un senador provincial
habla de "devaluación encubierta"
al hacer mención a la nueva resolución
del #BancoCentral por lo que #Córdoba
irá a la Justicia. Rubén Dal Molín
saca cuentas de cuánto le saldrá
a #EntreRíos https://t.co/STFSoH3N63</t>
  </si>
  <si>
    <t>mensajeronline
📢#Pesce aseguró que en 2024 se
podría empezar a terminar con el
cepo ➡️El presidente del #BancoCentral
remarcó que la regulación cambiaria
hoy es una necesidad, pero que
podría comenzar a revertirse el
próximo año. Leé la nota completa
💻📱👇 https://t.co/MKBQHza9gd
https://t.co/gysxFNwjVT</t>
  </si>
  <si>
    <t>soyturcoman
8/ Rigidez Laboral: Sin devaluación,
ajuste de salarios y empleo se
vuelve menos flexible. 🛠️💼 #Salarios
#Empleo 9/ Ausencia de Prestamista
de Última Instancia: Sin banco
central emisor, la economía carece
de respaldo en crisis financieras.
🏦 #BancoCentral #CrisisFinanciera</t>
  </si>
  <si>
    <t>sualehedaudo
RT @bancomoc: Governador do Banco
de Moçambique, Rogério Zandamela,
comunica decisão do Comité de Política
Monetária. Assista ao vídeo em…</t>
  </si>
  <si>
    <t>enfoque_salta
PRONTO ENTRARÁN A CIRCULAR LOS
BILLETES DE $2.000 / La Casa de
la Moneda adelantó la entrega y
ahora es la autoridad monetaria
la que tiene que tomar la decisión
de sacarlos a la calle. #billetes
#billetesde2000 #BancoCentral #casadelamoneda
#economia https://t.co/MVjmna5w0B</t>
  </si>
  <si>
    <t>portalaz_
Mercado reduz previsão da inflação
de 5,69% para 5,42% este ano #economia
#inflação #mercadofinanceiro #índicenacionaldepreçosaoconsumidoramploipca
#bancocentral https://t.co/3cHPDcuH8S</t>
  </si>
  <si>
    <t>leandro3088
🎤🇧🇷Uma boa PROFESSSORA tem sempre
esta preocupação: Ensinar o Aluno
a desenvencilhar-se Sozinho. 🧑‍🎓🥰👩‍🏫
@jessswhitaker todo o sucesso para
Você. 🙏🥇🏆 #Criptomonedas #crypto
#cripto #XRPHolders #XRPLCommunity
#Pix #DREX #web3 #BancoCentral
$XRP #ripplexrp #Ripple https://t.co/OIpDCL5nOq</t>
  </si>
  <si>
    <t xml:space="preserve">jessswhitaker
</t>
  </si>
  <si>
    <t>flibertarias
Algunos libertarios proponen hacer
volar 💣 al #BancoCentral y al
Estado. ¿Y si mejor nos concentramos
en que el Estado funcione bien?
Mirá la entrevista completa en
nuestro canal de #YouTube 📺👇
https://t.co/od9GwHzCDV #Estado
#FalaciasLibertarias #Liberalismo
#Economía https://t.co/tK8P8WpiXJ</t>
  </si>
  <si>
    <t>terezafelipego
RT @JovemPanNews: #OsPingosNosIs
| CPI vai acionar Banco Central
(BC) para descobrir quem financia
ONGs da Amazônia; bancada comenta
📺 Co…</t>
  </si>
  <si>
    <t>jornadaweb
Este viernes el #BancoCentral compró
49 millones de #dólares y cerró
la semana con saldo positivo por
u$s 85 millones https://t.co/wMISCPdKZY</t>
  </si>
  <si>
    <t>instdesenvolvi_
Nesse vídeo Juliane Furno explica
por que precisamos compreender
o contexto por trás de temas como
a taxa de juros e o câmbio. 👩‍🏫
#Brasil #Neoliberalismo #Desigualdade
#BancoCentral #TaxadeJuros https://t.co/eWdELpgZyf</t>
  </si>
  <si>
    <t>joaofinanceira
Explore o serviço "Valores a Receber
do Banco Central" e não perca a
oportunidade de verificar se há
dinheiro esquecido em seu nome.
Veja como fazer a consulta! O post
GRANA EXTRA: Saiba como pegar sua
parte dos R$7… #INSS #Notícias
#bancocentral https://t.co/QiJNLMTcCN</t>
  </si>
  <si>
    <t>idcorrientes
💵¡Descubre el billete de $1.000
premiado como el mejor del año!
🏆Destacaron las medidas de seguridad.
No te pierdas esta nota completa
que revela todos los detalles sobre
este reconocimiento. #Economia
#pesos #bancocentral https://t.co/DBqJwWT3ar</t>
  </si>
  <si>
    <t>leiaagrotimes
BC aprova entrada de Itaú BBA como
acionista do marketplace Orbia
#AgroTimes #Agronegócio #BancoCentral
https://t.co/yUJ044jO8R</t>
  </si>
  <si>
    <t>jalbertodacost1
Dentre as expectativa para alta
fe inflação, destacam-se uma maior
persistência das pressões inflacionárias
globais e uma maior resiliência
na inflação de serviços do que
a projetada em função de um hiato
do produto mais apertado. https://t.co/siUu5YedUB
#BancoCentral</t>
  </si>
  <si>
    <t>onjornal1
ONJORNAL | Economia #BancoCentral
brasileiro e Federal Reserve anunciam
novas #taxas de #juros acesse o
link: https://t.co/mp15xKWZL6 https://t.co/8qbIcCgWoL</t>
  </si>
  <si>
    <t>sinthiya7905
Profitable Tech Business ideas
to Start a business From Online
More info here:https://t.co/8FOkgRuNDk
#sheilagashumba #GranHermano #DebateTN
#Vicky #Sheila #Obelisco #BancoCentral
#Ejército #Rossi #Paraguay #Villarruel
#CONICET #Chrome #Petri #AFJP #Batman
https://t.co/GMkXC7uodz</t>
  </si>
  <si>
    <t>chubutparatodos
Quién es Emilio Ocampo, el economista
que Javier Milei piensa poner al
frente del Banco Central para cerrarlo
https://t.co/xjwVtdukZK #BancoCentral
#ChubutParaTodos #EmilioOcampo
#JavierMilei https://t.co/O5qn14PM7z</t>
  </si>
  <si>
    <t>uchoinfo
Plenário do Senado aprova indicação
de novos diretores do Banco Central
https://t.co/twCAYw0zAY #BancoCentral
#BC #Senado #plenario #GabrielGalipolo
#AiltonAquinoDosSantos https://t.co/e1TUA19ntC</t>
  </si>
  <si>
    <t>hossaindel29106
Looking for a job online, now you
can earn from home, pay your own
expenses, more Info click here:
https://t.co/sBSURPovHy #LK99 #Alien
#LGBT #Apartheid #RepGoldman #RabbitRabbit
#Infosys #Joyce #Tommy #Costa #1stofAugust
#BancoCentral #LaNación #Cecilia
#Sophie https://t.co/Rhc0JWGGFp</t>
  </si>
  <si>
    <t>elperiodicosf
El #BancoCentral dispuso cambios
en transferencias recurrentes de
cuentas de bancos y billeteras
virtuales https://t.co/qXXbZvzpfn</t>
  </si>
  <si>
    <t>analiseagora
Este corte do #BancoCentral das
#TaxasdeJuros de R$ 0,25%,não representa
#NADA.O Brasil ainda 🇧🇷 continua
com a maior taxas de de juros do
Mundo 🌎 com 13,75%.Essa atitude
é um #ESCÁRNIO do #BC para com
economia com todos os índices equilibrados.
gente ainda tá aplaudindo. https://t.co/tjkNIHBLoQ</t>
  </si>
  <si>
    <t>brunnobarcelos
Atacar o Presidente do BANCO CENTRAL,
seria considerado um ataque a uma
instituição, ou apenas uma "crítica
do amor"? #bc #bancocentral #lulaladrão
#lula #pt #brasil #camposneto https://t.co/IOv2n9uwD8</t>
  </si>
  <si>
    <t>bahiapravoce
MODERNIZAR | O BC anunciou mudanças
para modernizar e dar maior segurança
ao uso de cheques. O novo padrão
passará a valer em 2 de outubro,
segundo a entidade monetária. Confira
quais são as mudanças #BahiaPraVocê
#Cheque #BancoCentral #Segurança
https://t.co/tM87LejBAY</t>
  </si>
  <si>
    <t>lwabeserra
#PRESIDENTE DO #BancoCentral acha
que todo brasileiro tem o salário
dele e compra parcelado por hobby</t>
  </si>
  <si>
    <t>beastymau
RT @chtrader: #Argentina - #Tasadeinterés
- #BancoCentral Como sabemos, la
DECISION fue la de mantener sin
cambios la tasa de política m…</t>
  </si>
  <si>
    <t>chtrader
#Argentina - #Tasadeinterés - #BancoCentral
Como sabemos, la DECISION fue la
de mantener sin cambios la tasa
de política monetaria en 118% .
Si, la pregunta cuasi obvia es
por cuanto tiempo +, no? 🤔 https://t.co/bR7QY6Ykxg</t>
  </si>
  <si>
    <t>cristinafacch9
RT @JovemPanNews: #OsPingosNosIs
| CPI vai acionar Banco Central
(BC) para descobrir quem financia
ONGs da Amazônia; bancada comenta
📺 Co…</t>
  </si>
  <si>
    <t>jusdigitalcaba
AFIP controlara inversiones en
plazos fijos en mayo: ¿desde que
monto? 👨🏻‍💻💳🛍️💻🏦 Vía👉🏻https://t.co/skOKcYUVdE
#AFIP #inversiones #plazosfijos
#tarjetas #BancoCentral https://t.co/GUjeNKEEgu</t>
  </si>
  <si>
    <t>mvalegamboa
💸Nuevo récord: el dólar "blue"
sigue en alza y tracciona a las
demás versiones de la moneda estadounidense.
💰Subió $11 respecto al miércoles
y no cede a pesar de la intervención
del #bancocentral . Éstas son las
cotizaciones del jueves 3 de agosto👇
https://t.co/wfVTzx62fz</t>
  </si>
  <si>
    <t>masterwnews
Mercado financeiro eleva projeção
de crescimento para 2,19% em 2023
#boletimFocus #bancocentral #MercadoFinanceiro
#Inflação #Câmbio https://t.co/v7NXdyh7uu</t>
  </si>
  <si>
    <t>julietalazzini
Votan a #Milei Hoy #RenunciaMassa
Mañana escena final de #FightClub
#BancoCentral #WhereIsMyMind #Golpe
#InstintoAutodestructivo La #autodestrucción
como salvación #Elecciones2023
#Conjeturas https://t.co/o11gVgxtxM</t>
  </si>
  <si>
    <t>vertigopolitico
“DINAMITAR EL #BANCOCENTRAL ”.
| El análisis de @SergioSarmiento
en #JaqueMate https://t.co/m8YYpmX3dn</t>
  </si>
  <si>
    <t xml:space="preserve">sergiosarmiento
</t>
  </si>
  <si>
    <t>giuliajules88
Banco Central anuncia o nome da
nova moeda digital: DREX. Não sei
se é bom nome para moeda, mas é
excelente nome para dinossauro.
#drex #bancocentral https://t.co/fzfdKc60wH</t>
  </si>
  <si>
    <t>falkcapital
📊 Alerta de Indicadores: • IGP-M:
O indicador registrou uma queda
de 0,14% no mês de Agosto de 2023.
↓ Fique por dentro das expectativas
do mercado financeiro. #MercadoFinanceiro
#Investimentos #Inflação #BancoCentral
#FGV #BolsaDeValores #fyp #trending
https://t.co/gRcfiC6aeD</t>
  </si>
  <si>
    <t>trashandsure
RT @bancomoc: Comunicado Banco
de Moçambique #BancodeMoçambique
#bancocentral #supervisão #Partilha
https://t.co/QAWSLj1Kmk</t>
  </si>
  <si>
    <t>enriqueelgenio
@hectormendi En el fondo, el #BancoCentral
es la Embajada del Sionismo/Anglosajón.
Está bien saberlo. Muchas gracias.</t>
  </si>
  <si>
    <t xml:space="preserve">hectormendi
</t>
  </si>
  <si>
    <t>vocerooriental
Gobernador del Banco Central destaca
robustez del sistema financiero
en el cierre del IX Congreso de
Abancord #BancoCentral #IXCongresodeAbancord
#SISTEMAFINANCIERO https://t.co/k91r8KXSPc
https://t.co/AfkykDMnEz</t>
  </si>
  <si>
    <t>baenegocios
💵 PLAZO FIJO VS INFLACIÓN 💵 👉
¿Cuánto dinero genera una inversión
de 50 "lucas" a 30 días? 👉 ¿Por
qué conviene invertir por 30 días
y no por 90 o más? 👉 Todos lo
que tenés que saber 👇 #PlazoFijo
#Inversiones #Ahorristas #Inflación
#BancoCentral https://t.co/HudPAkQpHW</t>
  </si>
  <si>
    <t>ricmarvellouso
O Banco Central subestimou e até
desdenhou do governo, Agora convive
com esse antagonismo ao governo
que mais parece aposta em cavalo
manco. E o cavalo manco agora é
o Campos Neto! ... - Ótimo!!! 📷
#BancoCentral #CamposNeto #Lula
#Fiscal #taxa</t>
  </si>
  <si>
    <t>thiagobudni
Relatório FOCUS No relatório divulgado
hoje, o mercado manteve a perspectiva
de inflação para 2023, 2025 e 2026,
mas a aumentou para 2024; além
disso, aumentou a estimativa de
crescimento do PIB para este ano.
#Economia #Brasil #BancoCentral
#RelatorioFOCUS #Inflação #IPCA #PIB</t>
  </si>
  <si>
    <t>resenastv
Las remesas recibidas durante el
mes de mayo de 2023 sumaron US$881.1
millones, registrando un crecimiento
de 3.5 % respecto al mismo mes
de 2022, marcando el quinto mes
con incremento en lo que va de
año. @RafaelNunezR https://t.co/lZTyY7mjR0
#BancoCentral #Remesas</t>
  </si>
  <si>
    <t xml:space="preserve">rafaelnunezr
</t>
  </si>
  <si>
    <t>elojodealberto
RT @NAagencia: 🗣️ El socio fundador
de #MercadoPago, Marcos Galperín,
salió en defensa de su compañía
al criticar la última medida del
#Ban…</t>
  </si>
  <si>
    <t>dep_padrejoao
Pegar dinheiro emprestado hoje
é assinar atestado de óbito da
empresa. Taxa de juros do BC é
uma excrescência. #Lula #BancoCentral
#BC #Juros #Empresario #PadreJoão
https://t.co/UIGniHBDzo</t>
  </si>
  <si>
    <t>dungonuvunga
RT @bancomoc: #BancodeMoçambique
#bancocentral #museu https://t.co/qbik7os3CA</t>
  </si>
  <si>
    <t>rd_teve
#Economía I La banca supera los
mil beneficiarios en viviendas
de bajo costo https://t.co/SV1AEgRfVA
Visita https://t.co/ajt12IMHTY
#rdtevé #BancoCentral https://t.co/Szn7pGYqm6</t>
  </si>
  <si>
    <t>pyme
El Banco Central de Chile ajusta
proyecciones: techo del PIB 2023
en 0% y sube inflación a 4.3% 📊🇨🇱💰.
#EconomíaChilena #Inflación #BancoCentral
TUIT DESTACADO: https://t.co/mgX8swFLLF</t>
  </si>
  <si>
    <t>liafmradio
#LIAFM Banco Central de la República
anuncia que la inflación interanual
baja a 4.43 % y retorna a su rango
meta. LEA MÁS👉 https://t.co/34LdqhnDE4
Cc. @BancoCentralRD #BancoCentral
https://t.co/nOsioIkgxB</t>
  </si>
  <si>
    <t>squillantte
#bancobrasil #reclameaqui #bancodobrasil
#bancocentral #bacen #procon #ouvidoriabancobrasil
#ouvidoriabancodobrasil @BancoCentralBR
@BancodoBrasil @ReclameAQUI https://t.co/CpVTAAf7HX</t>
  </si>
  <si>
    <t xml:space="preserve">bancodobrasil
</t>
  </si>
  <si>
    <t>noticiasdemogi
O Banco Central revelou, recentemente,
que o sistema ainda possui cerca
de R$ 7,3 bilhões para resgate
de contas inativas. Confira mais
detalhes na matéria https://t.co/VU9YIzg7Do
#bancocentral #dinheiroesquecido
#valoresareceber</t>
  </si>
  <si>
    <t>jscapolo
El Banco Central habilitó las cuentas
en yuanes. Desdolarización. #yuanes
#economía #Argentina #bancocentral
#bcra #china #desdolarizacion https://t.co/5KQ1uaKOXH</t>
  </si>
  <si>
    <t>everald24581144
RT @JovemPanNews: #OsPingosNosIs
| CPI vai acionar Banco Central
(BC) para descobrir quem financia
ONGs da Amazônia; bancada comenta
📺 Co…</t>
  </si>
  <si>
    <t>aleanalistaarg
Cerrar el banco central #liberalismo
#milei #elecciones #nuevaderecha
#bancoCentral #shorts #tiktok #laCastaTieneMiedo
#yaSeVan https://t.co/HubXmn2doW</t>
  </si>
  <si>
    <t>goyanessah43100
Desde @BCamaguey le sugerimos que:
⚠️ Antes de transferir, pagar o
comprar, COMPRUEBE la tarjeta magnética
💳 y moneda a utilizar. #Bandec
#BancoCentral #ComercioElectrónico
#Transfermóvil #Etecsa Enzona_BX
https://t.co/p7nfKuXlM8</t>
  </si>
  <si>
    <t xml:space="preserve">bcamaguey
</t>
  </si>
  <si>
    <t>rnncanal27
El exgobernador del #BancoCentral,
#GuillermoCaram, propuso retomar
el #comercio en la #frontera con
#Haití debido a que es una situación
insostenible que puede tener repercusiones
económicas graves para la #RepúblicaDominicana.
#RedNacionalNoticias #RNN #Canal27
#Economía https://t.co/W4TpUyeaFB</t>
  </si>
  <si>
    <t>compartiendoid5
RT @rnncanal27: El exgobernador
del #BancoCentral, #GuillermoCaram,
propuso retomar el #comercio en
la #frontera con #Haití debido
a que es…</t>
  </si>
  <si>
    <t>angtoledo
Voto da #Tebet e #Haddad tiram
o #CamposNeto da presidência do
#BancoCentral. Só que isso não
é de interesse do #GovPT. E a seita
de Militontos mente que 'ele' não
pode ser demitido. Temos aí uma
militância de Cretinos que não
sabem como funciona o #ConselhoMonetárioNacional.
https://t.co/qfDNNmwaoQ</t>
  </si>
  <si>
    <t>news_digitales
Hoy se presentó el nuevo billete
de $2000 | News Digitales 🔴Lee
la nota completa acá: https://t.co/SSoYytf0q0
#2000 #bancocentral #billete #billetede2000
https://t.co/XG3sT9wfou</t>
  </si>
  <si>
    <t>iasminrqc
@alfaix @rodrigueswol @nicolaudo_
#danuzio #jhfonseca #selic #Venezuela
#juros #bancocentral #rifas</t>
  </si>
  <si>
    <t xml:space="preserve">nicolaudo_
</t>
  </si>
  <si>
    <t xml:space="preserve">rodrigueswol
</t>
  </si>
  <si>
    <t xml:space="preserve">alfaix
</t>
  </si>
  <si>
    <t>tiagomarques_
#Destaques #Economia #BancoCentral
Fim do parcelamento sem juros prejudicará
consumidores, diz Ministro da Fazenda
https://t.co/rXsk2Rdl0c https://t.co/zeTeX2Mj90</t>
  </si>
  <si>
    <t>elpampero
💹💲 ¡Buenas noticias financieras
en Argentina! El dólar blue retrocedió
a 538 pesos 📉🇦🇷, mientras el
Banco Central compró más de 85
millones de dólares 💵💰 #EconomíaArgentina
#DólarBlue #BancoCentral https://t.co/mPy2hfkDzJ</t>
  </si>
  <si>
    <t>u_ricardom
Pergunta aos especialistas! Se
teremos um rastreamento e um controle
maior com o #DREX #realdigital
O dinheiro direcionado aos gastos
públicos será controlado também?
#economia #gastosdogoverno #bancocentral</t>
  </si>
  <si>
    <t>javifarri
El Banco Central de Marruecos realiza
una revisión de la producción del
país https://t.co/F3j79W0j6x vía
@Atalayar_ #Marruecos #BancoCentral</t>
  </si>
  <si>
    <t xml:space="preserve">atalayar_
</t>
  </si>
  <si>
    <t>ceciliavll
#Elecciones2023 #bancocentral #ArgentinaVota
#ArgentinaElige #Argentina2023
#ARGENTINAPASO @ElPelucaMilei @JMilei
@LLibertadAvanza @RAMIROMARRA @VickyVillarruel
https://t.co/O70W4yqsOG</t>
  </si>
  <si>
    <t xml:space="preserve">vickyvillarruel
</t>
  </si>
  <si>
    <t xml:space="preserve">elpelucamilei
</t>
  </si>
  <si>
    <t>bpmoney_
#BancoCentral #BC #Galípolo #GabrielGalípolo
#AiltonAquino #PolíticaMonetária</t>
  </si>
  <si>
    <t>marc0___aurelio
Copom mantém a Selic em 13,75%
a.a.🇧🇷 https://t.co/Zm2OyFaOhu
#BancoCentral #BCB @BancoCentralBR</t>
  </si>
  <si>
    <t>itatiaiajf
https://t.co/qFQdBrM0qI #itatiaiajf
#itasat #moedacomemorativa #bancocentral
#numismática #procon</t>
  </si>
  <si>
    <t>ipauloed
Tá de brincadeira que o BC manteve
a Selic em 13,75% pela 7ª vez consecutiva,
tão REAL de marola esse povo 🤡🤡🤡🤡🤡
#BC #BancoCentral #Selic</t>
  </si>
  <si>
    <t>flauzinoantunes
Teto para gastos de juros: arcabouço
fiscal x nacional desenvolvimento
@HoraDoPovoBR @PortalCTB @gpslifetime
@AuditoriaCidada @portalvermelho
#jurosbaixosjá #austericidiofiscal
#arcabouçofiscal #governolula #bancocentral
#congressonacional https://t.co/VVwaPelxrC</t>
  </si>
  <si>
    <t xml:space="preserve">cspboficial
</t>
  </si>
  <si>
    <t xml:space="preserve">oreiroluis
</t>
  </si>
  <si>
    <t>assembleiasp
A reunião foi para conhecer e debater
as ações realizadas e planejadas
pela instituição na prevenção às
fraudes. #Alesp #CPI #Pix #Cartao
#Golpe #BancoCentral #política
#prevenção https://t.co/jquCRXkhkE</t>
  </si>
  <si>
    <t>rorinstongcs
@RAMIROMARRA Para los que se quejan
de cerrar o no al #BancoCentral,
todo tiene un proceso y el cierre
requieres de la gestión adecuada
para el previo cierra del banco.
No todo se resuelve de un día para
el otro, estos k están acostumbrado
a escuchas sólo pensamiento mágico.</t>
  </si>
  <si>
    <t>tadeumouzinhogo
300bilhoes? Quemmgasta 300bilhoes
assim? #camposneto #bancocentral
#300bilhoes. @socialistamor @brasil247
@ThiagoResiste @reinaldoazevedo
@choquei https://t.co/vYo2RFxYXM</t>
  </si>
  <si>
    <t xml:space="preserve">socialistamor
</t>
  </si>
  <si>
    <t xml:space="preserve">pulso_tw
</t>
  </si>
  <si>
    <t>wagneralmeida
@nathfinancas, abri uma reclamação
no #BancoCentral e o @BancodoBrasil
informa, mais uma vez, que não
pode fazer o reembolso das tarifas
que nunca soube que não precisava
pagar. Agora, só me resta encerrar
a conta e os serviços que tinha
desde 2005! #BancodoBrasil https://t.co/HxeAl3rHBA</t>
  </si>
  <si>
    <t xml:space="preserve">nathfinancas
</t>
  </si>
  <si>
    <t>conciertoradio
José De Gregorio, expresidente
del #BancoCentral: "El gran problema
de crecimiento en #Chile es la
política". https://t.co/AxC4OHfrZJ</t>
  </si>
  <si>
    <t>riomaframix
Banco Central prevê lançar Pix
Automático em abril de 2024 👈
Leia a matéria completa no site:
https://t.co/ptNqeyLaj3 📸: Divulgação
#BancoCentral #PixAutomático #Serviço
#PagamentoRecorrente #Contas https://t.co/kje8Ad9U68</t>
  </si>
  <si>
    <t>riskmathicsfi
MANTENTE INFORMADO sobre las últimas
tendencias en Finanzas, Trading,
IA y Tecnología con #RiskNews y
nuestros TRAINING PROGRAM: https://t.co/JU1QDq2gRK
#riskmathics #risk #CNBC #BancoDeJapón
#Japan #BancoCentral #CurvaDeRendimiento
#Yen #Dollar #Stock https://t.co/QnH5fPre6C</t>
  </si>
  <si>
    <t>elsuceso_
#ElSuceso Gobernador del Banco
Central Hector Valdez Albizu preside
la 298ª reunión del Consejo Monetario
Centroamericano. LEA MÁS 👉https://t.co/r7I4J9iOns
Cc. @BancoCentralRD #BancoCentral
#HéctorValdezAlbizu #ConsejoMonetarioCentroamericano
https://t.co/pTDGjWmE6W</t>
  </si>
  <si>
    <t>voces_criticas
Javier Milei definió quién será
el titular del Banco Central si
gana la presidencia #Argentina
#JavierMilei #BancoCentral #VocesCríticas
https://t.co/rbhSgVPVfu</t>
  </si>
  <si>
    <t>claykleber
Quando o BC baixar o juros vai
cair tb os juros do carne da magalu?
#bancocentral #Magalu @luizatrajano
#CamposNeto #itapevi</t>
  </si>
  <si>
    <t xml:space="preserve">luizatrajano
</t>
  </si>
  <si>
    <t>julio03475128
RT @JovemPanNews: #OsPingosNosIs
| CPI vai acionar Banco Central
(BC) para descobrir quem financia
ONGs da Amazônia; bancada comenta
📺 Co…</t>
  </si>
  <si>
    <t>brasilia_radar
Real Digital: BC seleciona 16 propostas
de participação em piloto https://t.co/dETo5Z6KGK
#moedadigital #realdigital #bancocentral</t>
  </si>
  <si>
    <t>bmjconsultoria
Mais cedo, o presidente Lula da
Silva voltou a tecer críticas indiretas
ao presidente do #BancoCentral,
Campos Neto, pelo nível elevado
dos juros no país.</t>
  </si>
  <si>
    <t>el_ibg
Síguenos en https://t.co/v4xLU6yVhM.doy
mantente a la vanguardia del mundo
empresarial #elempresariado #noticias
#bancocentral #tormentard #tormentafranklin</t>
  </si>
  <si>
    <t>israelsegundof
Só falta o @BancoCentralBR cair
na real e baixar essa taxa de juros,
pra ajudar a população! O Brasil
já tem uma previsão de crescimento
no PIB acima do previsto. #JurosAltosAtéQuando
#Brasil #BancoCentral #COPOM https://t.co/952t0mAVD9</t>
  </si>
  <si>
    <t>redewb
Juros médios dos bancos seguem
em queda para 43,5% ao ano https://t.co/WRCCc0fdvE
#juros #bancocentral</t>
  </si>
  <si>
    <t>pmird
Tú también puedes ser parte de
esta transformación. 🔗Regístrate
y conoce más sobre nuestro congreso:
https://t.co/VS2NH3e7ry #PMIRD2023
#CongresoGestiónDeProyectos #BancoCentral
#PatrocinadorDestacado #Transformación
#DesarrolloProfesional #Networking
#Innovación #Colaboración</t>
  </si>
  <si>
    <t>maropesa
Quien crea que nuestros datos personales
son confidenciales, merece cajita
blanca #bancocentral</t>
  </si>
  <si>
    <t>gabrielmuniz93
Apresentação do Presidente Roberto
Campos Neto em Sessão no Senado
👇 https://t.co/FRGq5gVrc6 #BancoCentral
#senado #camposneto #inflaçao #economia
#juros #dolar</t>
  </si>
  <si>
    <t>paulobecker1962
RT @JovemPanNews: #OsPingosNosIs
| CPI vai acionar Banco Central
(BC) para descobrir quem financia
ONGs da Amazônia; bancada comenta
📺 Co…</t>
  </si>
  <si>
    <t>prosegurbr_pt
Você pode saber mais sobre o tema
em 👉 https://t.co/cvmYz4XYRk #Dinheiro
#MeioCirculante #BancoCentral #Prosegur</t>
  </si>
  <si>
    <t>rodrigo4lbornoz
Gracias por esta hermosa devaluación
del 22%, las empresas privadas
bloquearon pedidos y solo se vende
en efectivo. #BancoCentral</t>
  </si>
  <si>
    <t>senhor_gestao
Excelente iniciativa para discussão
técnica dos desafios enfrentados
pelos bancos centrais mundo afora.
Presidentes de bancos centrais
estrangeiros vêm ao Brasil debater
política monetária https://t.co/G6ipyzKE4h
#BancoCentral #BCB via @BancoCentralBR</t>
  </si>
  <si>
    <t>blogpontovista
Projeto de @eduardodafonte pode
reduzir a taxa de juros #copom
#bancocentral #taxadejuros https://t.co/CIPXuqN9Hv</t>
  </si>
  <si>
    <t xml:space="preserve">eduardodafonte
</t>
  </si>
  <si>
    <t>chipoteclan
RT @chtrader: #Argentina - #Tasadeinterés
- #BancoCentral Como sabemos, la
DECISION fue la de mantener sin
cambios la tasa de política m…</t>
  </si>
  <si>
    <t>dregionalo1
BC mantém juros em 13,75% ao ano
mesmo com ofensiva do governo e
do setor produtivo. Brasil continua
a ter a maior taxa de juro real
do mundo, em uma lista com 40 economias.
https://t.co/jul60bjElP #diarioregional
#selic #BancoCentral https://t.co/0A9NxWSlde</t>
  </si>
  <si>
    <t>berettasudaca
#Argentina #Milei #BancoCentral</t>
  </si>
  <si>
    <t>osmarangelin
Copom reduz taxa Selic para 13,25%
ao ano. https://t.co/60QBNsxcr7
#BancoCentral #BCB via @BancoCentralBR</t>
  </si>
  <si>
    <t>elnacionalrd
#EconomiaEN | Para el año próximo,
añade el documento, se espera que
el PIB real crezca en torno a su
potencial del 5,0 %, unas estimaciones
que se mantienen por cuarto mes
consecutivo. https://t.co/ZYX2YcI2Xr
#PIB #MinisterioEconomía #BancoCentral
#ElNacionalRD⁣</t>
  </si>
  <si>
    <t>aba_rd
El @BancoCentralRD informa que
la inflación de agosto fue del
0.52% y la interanual se encuentra
en 4.27%. Ambas cifras se mantienen
dentro del rango meta establecido.
🎯 🛤️ #EconomíaRD #BancoCentral
https://t.co/c5sKGUTo7i</t>
  </si>
  <si>
    <t>coopeuch
Conoce más detalles sobre esta
medida en el siguiente link 👉
https://t.co/biYdgPp2Ho #CoopeuchInversiones
#ConsejoSemanalDeInversiones #Coopeuch
#BancoCentral</t>
  </si>
  <si>
    <t>grupoeldeber
💵 Continúa la escasez de dólares
en Bolivia @brissapabon #Dólares
#Bolivia #BCB #BancoCentral #Economía
#YPFB #Deuda #Fondos #Corralito
#Bancos https://t.co/7AudszBFzb</t>
  </si>
  <si>
    <t>lucimar35367277
RT @JovemPanNews: #OsPingosNosIs
| CPI vai acionar Banco Central
(BC) para descobrir quem financia
ONGs da Amazônia; bancada comenta
📺 Co…</t>
  </si>
  <si>
    <t>rferreirasbc
Real Digital: aplicações na prática
e desafios. por Cássio J. Krupinsk
- BLOCKBR - Digital Assets - Jornal
Empresas e Negócios https://t.co/O2N6DNaudS
#realdigital #aplicação #criptomoedas
#cdbc #stablecoin #tokenização
#drex #bancocentral https://t.co/JTSt0co40F</t>
  </si>
  <si>
    <t>bombardier32651
Minutes of the Monetary Policy
Committee — Copom https://t.co/7h8JfMC9Zz
#BancoCentral #BCB via @BancoCentralBR</t>
  </si>
  <si>
    <t>naocalonao
Se o dinheiro está caro, a culpa
não é do BC, porque é malvado,
mas do governo, que deve muito,
diz Campos Neto à CNN #cnn #camposneto
#bancocentral #taxadejuros https://t.co/Yt179EGirw</t>
  </si>
  <si>
    <t>novenadigital
#ECONOMÍA Durante la jornada de
este lunes, el @bcentralchile reveló
que al mes de abril, el Índice
Mensual de Actividad Económica
(Imacec) presentó una baja de -0.5%
Nota completa: https://t.co/ZT0TM9ZarH
@meconomia @GobiernodeChile #Imacen
#Baja #BancoCentral #Chile #Retweet
https://t.co/RRZ4YW3B6U</t>
  </si>
  <si>
    <t>marcoscunto
Patricia, esto ya lo vimos. Ya
lo hizo Omar Plaini en #LosAndes
😂 Búscate una idea más original
(? #BancoCentral https://t.co/K4KkuKRc0U</t>
  </si>
  <si>
    <t>somoscorta
"Vamos a entrar con una cámara
de TV al Banco Central" Patricia
Bullrich anticipó que, en caso
de asumir el Gobierno, mostrará
"a corazón abierto cómo está el
país" y aseguró: "No hay más reservas,
hay reservas negativas". https://t.co/Xdl6ycW3ai</t>
  </si>
  <si>
    <t>rossanoimpacto
Tamos listos para #asistir mañana
#jueves a las 09:30 am a evento
de #CorpAraucanía en Hotel #Dreams
#Temuco #Chile sobre #Escenario
#Económico y #Proyecciones del
#BancoCentral, dictado por el Gerente
de la División Política Monetaria
del Banco Central de Chile, #ElíasAlbagli
https://t.co/kVX9iHk4AI</t>
  </si>
  <si>
    <t>elciddocerrado
Temos um lunático no #BancoCentral
https://t.co/oJAaocAut0</t>
  </si>
  <si>
    <t>revistaenterat2
#PatriciaBullrich prometió que
si gana va a entrar con una cámara
de televisión al #BancoCentral
https://t.co/FbAS85y1x1</t>
  </si>
  <si>
    <t>_carloswaldir
Opera Mundi: Agiotagem O que chamamos
de elites, uma colusão de bilionários
nacionais com as grandes corporações
transnacionais, usam o Estado (que
criticam) para se apropriar dos
seus recursos: #BancoCentral #juros
#selic https://t.co/qvoohEZCkJ</t>
  </si>
  <si>
    <t>ricardovaxx
Conheça o PLANO DISTÓPICO do BIS
para tirar a sua LIBERDADE - Projeto
Icebreaker https://t.co/5cEraKgSWB
#liberdade #cbdc #bitcoin #bancocentral</t>
  </si>
  <si>
    <t>dalviomachava
RT @bancomoc: #BancodeMoçambique
#bancocentral #museu https://t.co/qbik7os3CA</t>
  </si>
  <si>
    <t>rodaseca
RT @PedroRenatoGC: Pq o Ibovespa
está caindo mesmo com a queda da
taxa Selic? #TaxaSelic #BancoCentral
#FED #MercadoFinanceiro https://t.c…</t>
  </si>
  <si>
    <t>pedrorenatogc
Pq o Ibovespa está caindo mesmo
com a queda da taxa Selic? #TaxaSelic
#BancoCentral #FED #MercadoFinanceiro
https://t.co/KNugLNcZk6</t>
  </si>
  <si>
    <t>freityt
Respuesta a @leandrolabestiaro
Quitarles 0 a la moneda es solo
una trampa de los políticos para
engañar a la gente. https://t.co/04ZHiZi0kJ
#economia #bancocentral #inflación
#estafapolitica #debate #libertarismo
https://t.co/1QdwZrG5qb</t>
  </si>
  <si>
    <t xml:space="preserve">cachi28
</t>
  </si>
  <si>
    <t xml:space="preserve">ev
</t>
  </si>
  <si>
    <t xml:space="preserve">mercedesmalave
</t>
  </si>
  <si>
    <t>circuloecongye
📊 DECENIO PERDIDO DE ECUADOR:
2015-2024. EN PORCENTAJE (%). Con
los últimos datos publicados por
el #BancoCentral se evidencia un
decenio perdido en dolarización
con una tasa de crecimiento económico
promedio de 0.4% (2015-2024). #economia
#decenio https://t.co/Q77P22Kt3Q</t>
  </si>
  <si>
    <t>diorivass
#batakis #massa están vaciando
es país, regalando guita y aumentando
sueldos altísimos, Saben que se
van. #bancocentral la idea obviamente
es dejar el país en llamas para
#Milei de todos modos confiamos
en el, sacara el país adelante
y reprimira a sus zombien en las
calles</t>
  </si>
  <si>
    <t>caramurupaiva
Inadimplência chega a 43% no país.
Não é possível que o Banco Central
mantenha a taxa de juros nas nuvens.
Vai travar o crescimento da economia
#bancocentral #Taxas #baixa</t>
  </si>
  <si>
    <t>valoreconomico
'BC decidiu corretamente não cortar
os juros', diz Meirelles https://t.co/NNDGNv89HX</t>
  </si>
  <si>
    <t>magiozal
Do ex-presidente do BC, Affonso
Celso Pastore: “Quando você começa
a bater no presidente do BC, chamando
ele de ‘aquele cidadão que lá está’,
você está fazendo um ataque à instituição
chamada #BancoCentral.” @istoe_dinheiro
https://t.co/vI1r8W5elz</t>
  </si>
  <si>
    <t>istoe_dinheiro
O presidente do Banco Central (BC),
Roberto Campos Neto, afirmou neste
sábado, 26, que o objetivo da autarquia
é fazer um pouso suave na economia
brasileira #BC #BancoCentral #CamposNeto
#Economia #Brasil #inflacao https://t.co/2Dgzu50ZQ1</t>
  </si>
  <si>
    <t>sampaiojunior14
@randolfeap Obrigado, Roberto Campos.
#BANCOCENTRAL #Independente #Brasil
#Gazela #Saltitante</t>
  </si>
  <si>
    <t>rpgyoconpodemos
#PIB #España #BancoCentral #EleccionesGenerales2023
#Elecciones2023 #23J #23Julio https://t.co/yhIEHJY7Z9</t>
  </si>
  <si>
    <t>larepublica68
#AHORA en @lanacionmas @PatoBullrich
"Es el momento exacto para un liderazgo
firme" #PatoBullrich2023 #Pato
Hoy el #bancocentral está volviendo
a vender #dólarfuturo equivale
a más inflación Pesce ☎️ https://t.co/fqODFvrRmV</t>
  </si>
  <si>
    <t xml:space="preserve">edufeiok
</t>
  </si>
  <si>
    <t xml:space="preserve">patobullrich
</t>
  </si>
  <si>
    <t>tudocelular
Praticidade! 😁 #TudoCelular #Pix
#BancoCentral #Notícias https://t.co/I8eQOjOVRk</t>
  </si>
  <si>
    <t>observ_ind_es
📲 *Acesse e leia a nota completa
em:* *Portal da Indústria-ES:*
https://t.co/FBtQUmuIgH #ASemanaEconômica
#EspiritoSanto #Brasil #EconomiaCapixaba
#economia #Capixaba #setorpúblico
#Governo #Economia #Superavit #BancoCentral
#bacen #Focus #Findes #ObservatóriodaIndústriaES</t>
  </si>
  <si>
    <t>marlo_melo
Juros no cartão não poderia passar
de 30 % ao ano ainda é muito um
absurdo no Brasil essa agiotagem
#cartao #bc #camposneto #bancocentral
#juros #agiotagem</t>
  </si>
  <si>
    <t>pensarpiaui
https://t.co/TUsYFrFkl8 #Juros
#BC #BancoCentral</t>
  </si>
  <si>
    <t>economianic
Tipo de cambio según el banco central.
💰💵 #Bancocentral #economia #TipoDeCambio
#Economiaalinstante https://t.co/Aa8nFiMFfB</t>
  </si>
  <si>
    <t>elpaisdiariook
La resolución del BCRA quedaría
sin efecto pero le exigiría a Mercado
Pago una baja de comisiones #Ahora
#BancoCentral #MercadoPago #BajaDeComisiones
https://t.co/DTFKm4wgaA a través
de @elpaisdiario</t>
  </si>
  <si>
    <t>elpaisdiario
RT @ElPaisDiarioOk: La resolución
del BCRA quedaría sin efecto pero
le exigiría a Mercado Pago una
baja de comisiones #Ahora #BancoCentral…</t>
  </si>
  <si>
    <t>somoslacruz
Sobre los países que funcionan
sin banco central… #BancoCentral
#CentralBank #FED #ElFuturoEsLibertario
@Marihoselibre @Mex_Libertario
@20PeterMel @Rafagais https://t.co/QityMCRZcZ</t>
  </si>
  <si>
    <t xml:space="preserve">rafagais
</t>
  </si>
  <si>
    <t xml:space="preserve">20petermel
</t>
  </si>
  <si>
    <t xml:space="preserve">mex_libertario
</t>
  </si>
  <si>
    <t xml:space="preserve">marihoselibre
</t>
  </si>
  <si>
    <t>justinianoneto
RT @AuditoriaCidada: Pressione
o Banco Central contra esta política
de juros altos que prejudica o
Brasil #JurosBaixosJá #Selic #BancoCentr…</t>
  </si>
  <si>
    <t>abranet_brasil
Abranet assina carta aberta por
concurso público urgente no Banco
Central e CVM. Contratação de pessoal
é essencial para o andamento de
projetos como Pix, Open Finance
e Real Digital. https://t.co/jdEJiahShq
#Bancocentral #openfinance #pix
https://t.co/S738rWOzIk</t>
  </si>
  <si>
    <t>centralentuvida
Envíanos tu video por mensaje o
súbelo usando el hashtag #10AñosDeCentralEnTuVida
🤩 #CentralEnTuVida #BancoCentral
#Aniversario #EconomíaMásCerca
#LaCiudadDeLasOportunidades https://t.co/qbvY40a02S</t>
  </si>
  <si>
    <t>danybuccolo
@ceciliaboufflet Mira si @PatoBullrich
manda a allanar el #BancoCentral
para buscar la caja fuerte donde
guardan los U$$😂</t>
  </si>
  <si>
    <t xml:space="preserve">ceciliaboufflet
</t>
  </si>
  <si>
    <t>radio3trelew
Pidieron al #BancoCentral derogar
norma que impide a #productores
tomar #créditos 📄 ⬇️Más⬇️ https://t.co/Mdtcd4e4GV</t>
  </si>
  <si>
    <t>girafales15
RT @JovemPanNews: #OsPingosNosIs
| CPI vai acionar Banco Central
(BC) para descobrir quem financia
ONGs da Amazônia; bancada comenta
📺 Co…</t>
  </si>
  <si>
    <t>potato_182
3/5: População demonstra descontentamento
com a política monetária do Banco
Central. Manifestações visam promover
mudanças para mais emprego, investimento,
educação e saúde. #Mudanças #Manifestações
#BancoCentral</t>
  </si>
  <si>
    <t>evertondantas
🚨 Atualização importante sobre
o PIX! O Banco Central anunciou
mudanças para aumentar a segurança
da ferramenta, além de exigir um
questionário de autoavaliação em
segurança para instituições financeiras.
Saiba mais no link: https://t.co/MIzE71DD0V
#PIX #BancoCentral #Segur…</t>
  </si>
  <si>
    <t>bolsacr
Nuestro economista, Juan Pablo
Arias, al ser consultado por https://t.co/pbF8fEvRNl
comenta que la estacionalidad vuelve
a tener vigencia. ¿Por qué? En
esta nota se comenta el tema 👉
https://t.co/ejz4vmAe3E #dólar
#tipodecambio #bancocentral</t>
  </si>
  <si>
    <t>sergiodalsasso
O Ponto de vista é o "X" da Questão
! - @SergioDalSasso - (Sérgio Dal
Sasso é Palestrante, Consultor
Empresarial, Escritor e Colunista)
#insight #desemprego #desigualdadesocial
#empresarios #consumidores #bancocentral
#governofederal https://t.co/3RCBcCLyny</t>
  </si>
  <si>
    <t>webeconoblog
El #BancoCentral prepara nuevos
#BilletesArgentinos de $100, $200,
$500 y $1000. ¿Qué te parecen?
🤔 https://t.co/S9IpcrBUxi https://t.co/ZB5ivt8JID</t>
  </si>
  <si>
    <t>expressdiariord
¡Nuevos billetes de 500 pesos dominicanos
con innovador diseño y mayor seguridad
entran en circulación! #ExpressDiario
#HéctorValdezAlbizu #Bancocentral
https://t.co/6mgG73EIu6 https://t.co/6pY6yRuXQp</t>
  </si>
  <si>
    <t>albarrn_alfonso
RT @PeruMachete: El presidente
del #BancoCentral de Reserva, #JulioVelarde,
reconoció que la #agricultura atraviesa
su periodo más desafian…</t>
  </si>
  <si>
    <t>beincrypto_es
🏦 @BIS_org ha publicado un nuevo
manual 📖 para ayudar a los bancos
centrales en la implementación
de las #CBDC sin conexión a internet
🌐 #BPI #BancoCentral https://t.co/dp74ZMbrOO</t>
  </si>
  <si>
    <t xml:space="preserve">bank_of_japan_e
</t>
  </si>
  <si>
    <t xml:space="preserve">federalreserve
</t>
  </si>
  <si>
    <t xml:space="preserve">ababankers
</t>
  </si>
  <si>
    <t xml:space="preserve">bis_org
</t>
  </si>
  <si>
    <t>andremene2022
#cpibancocentral #cpibancocentral
#cpibancocentral #cpibancocentral
#cpibancocentral #cpibancocentral
#cpibancocentral #cpibancocentral
#cpibancocentral #cpibancocentral
#cpibancocentral Vamos chegar a
1 trilhão de pedidos #brasil #bancocentral
#cpi #justica #brasilvalorizado</t>
  </si>
  <si>
    <t>eltonnogueira17
#bancocentral https://t.co/YBMrmJ6xss</t>
  </si>
  <si>
    <t>leo_scampos
O atendente virtual do @C6Bank
é uma tragédia, mesmo mesmo conseguindo
resolver nosso problema, não transfere
para o especialista bem a pau.
É quase impossível falar com um
humano nessa droga de banco! #c6bank
#c6 #banco #bancos #bancocentral</t>
  </si>
  <si>
    <t xml:space="preserve">c6bank
</t>
  </si>
  <si>
    <t>petersyuri18936
@ALBERTOACOSTAB Y ASÍ EVITAR QUE
ÉSTOS DELINCUENTES DISFRAZADOS
DE GOBERNANTES EMPUÑEN EL DINERO
QUE NO LES PERTENECE. AL LELO Y
LA LELA SE LES HACE AGÜITA LA TROMPA
POR METERLE LAS GARRAS AL #BANCOCENTRAL
PERO VERGA ES LO QUE LES VAMOS
A DAR!</t>
  </si>
  <si>
    <t xml:space="preserve">albertoacostab
</t>
  </si>
  <si>
    <t>rintereconomia
¿Se prolongara otro trimeste el
cremiento negativo? Cuentanos que
opinas 👇 #Bancocentral #economíaglobal
#radiointereconomia #economia</t>
  </si>
  <si>
    <t>sarficos
▶️ INFLACIÓN || DEBERÍA ESTAR EN
LA MITAD DE LAS CIFRAS ACTUALES
|| &amp;gt;El presidente del #BancoCentral
del Uruguay señalo que el país
se está acostumbrando a una inflación
del 8% y que eso no puede pasar
||🌐#Economía* https://t.co/KIGKXddjso</t>
  </si>
  <si>
    <t>forbeschile
📰 El Banco Central activa el Requerimiento
de Capital Contracíclico (RCC)
para la banca, un colchón de capital
que ayudará a mitigar impactos
ante una mayor incertidumbre externa.
Conoce los detalles en nuestro
artículo. #BancoCentral #ForbesChile
⤵️ https://t.co/xaLuZPK0Wl</t>
  </si>
  <si>
    <t>moreiramenesesd
Sabatina de #Galípolo para o #BancoCentral
vai ser sessão de ataques a #CamposNeto?</t>
  </si>
  <si>
    <t>diarioacionista
🚨 ECONOMIA | O plenário do Senado
aprovou no início da noite desta
terça-feira (4) as indicações de
Gabriel Galípolo e de Ailton Aquino
para diretorias do @BancoCentralBR
Leia a matéria completa no link
abaixo ⬇️ https://t.co/EiiwA0MqKw
#Bancocentral #Senado</t>
  </si>
  <si>
    <t>jerthaplug
RT @bancomoc: #BancodeMoçambique
#bancocentral #museu https://t.co/qbik7os3CA</t>
  </si>
  <si>
    <t>cipio3
RT @AuditoriaCidada: Pressione
o Banco Central contra esta política
de juros altos que prejudica o
Brasil #JurosBaixosJá #Selic #BancoCentr…</t>
  </si>
  <si>
    <t>leeosd_
Manteu! https://t.co/PGG7FNEFU0
#BancoCentral #BCB via @BancoCentralBR</t>
  </si>
  <si>
    <t>tucuman24ok
🔴 #Dólar: #BancoCentral fija el
tipo de cambio oficial a $350 hasta
las elecciones de octubre - Tucuman24
https://t.co/rJZ36JbRjv</t>
  </si>
  <si>
    <t>zonales_web
🟠 #BuenosAires • Ya circulan billetes
falsos de $2.000 en el Conurbano
📰 Cuáles son los cinco pasos para
detectarlos 👇 #BilletesFalsos
#BancoCentral #NuevosBilletes #Inflación
#Noticias #Zonales https://t.co/7Ci1gs2Jlg</t>
  </si>
  <si>
    <t>portal_miseria
De acordo com informações divulgadas
pelo Banco Central (BC), a atividade
econômica do Brasil cresceu em
2,41% nos primeiros três meses
de 2023 em relação ao trimestre
anterior, outubro a dezembro de
2022. #tanomiseria #bancocentral
#crescimento https://t.co/Txp4RlRPIY</t>
  </si>
  <si>
    <t xml:space="preserve">estadaoeconomia
</t>
  </si>
  <si>
    <t>xetidciego
Ante las nuevas medidas, Resolución
111, del #BancoCentral nuestra
plataforma de #comercioelectrónico
#Enzona es una de las opciones
para el pago digital fácil y seguro
ante las acciones para ampliar
la #Bancarizacióndelasoperaciones
en el país. #Juntosporlatransformacióndigital
https://t.co/nSN2uHlBgN</t>
  </si>
  <si>
    <t>alvesjesse10
Tendências globais das políticas
monetárias em 2023: inflação alta,
aumento de taxas de juros e busca
pela estabilidade econômica. Link:
https://t.co/QehkwnEMrJ #Bacen
#Lula #CamposNeto #BancoCentral
#Inflação #TaxadeJuros #PolíticaMonetária</t>
  </si>
  <si>
    <t>weex_es
Noruega podría seguir su propio
camino en la regulación de los
criptoactivos, sugiere el banco
central #Noruega #Criptomonedas
#Regulacion #BancoCentral #cryptonewstoday
#Weex https://t.co/Pk3K5uAKhq</t>
  </si>
  <si>
    <t>newsfly_latam
Las seis claves para entender el
voto dividido del Consejo del #BancoCentral
@exantecl -&amp;gt;Descubre en https://t.co/JgcZXmgGzJ
la mejor selección de #noticias
de #Chile y el mundo, en un solo
lugar https://t.co/EGlzp6Gejc</t>
  </si>
  <si>
    <t>mathz_aragao
Presidentes de bancos centrais
estrangeiros vêm ao Brasil debater
política monetária #BCB https://t.co/yhpVycgWjV
#BancoCentral #BCB via @BancoCentralBR</t>
  </si>
  <si>
    <t>dhyovaine
O atendimento no @picpay ficou
péssimo depois da fusão com o @BancoOriginal
com as ligações incompletas, menu
ineficiente e soluções não solucionadas
#picpay #bancocentral</t>
  </si>
  <si>
    <t xml:space="preserve">bancooriginal
</t>
  </si>
  <si>
    <t>campodirecto
La situación económica argentina
le demanda al #BancoCentral acumular
reservas impulsando medidas que
favorezcan las exportaciones, por
lo que se ponen en marcha distintas
medidas coyunturales para incentivar
la comercialización de # soja.
https://t.co/quLSiIHQs9</t>
  </si>
  <si>
    <t>karllusbarone
Nesta segunda-feira, os investidores
estão aguardando a divulgação pelo
#bancocentral da ATA que vai trazer
explicações sobre o corte dos juros
(Selic). Terça-feira, amanhã às
08h00 no horário de Brasília. Tesouro
Direto. 🟥 Os papéis, já sentiram
a queda dos juros. -4,9% pago https://t.co/7nn64wIWkE</t>
  </si>
  <si>
    <t>jornaltvvitoria
Em publicação em uma rede social,
o governador do Espírito Santo,
Renato Casagrande, comemorou. "A
decisão do BC de reduzir 0,5% na
taxa Selic indica que poderemos
experimentar um bom período de
quedas dos juros" #inflação #BancoCentral</t>
  </si>
  <si>
    <t>portalsigamais
https://t.co/Zh6ZiYtirx Medidas
anunciadas pelo Banco Central pretendem
modernizar e dar mais segurança
ao uso deste instrumento de pagamento.
#BancoCentral #Cheque #SigaMais</t>
  </si>
  <si>
    <t>airedesantafe
La suba de tasas del #BancoCentral
garantiza hasta un 7,5% efectivo
mensual en plazo fijo ¿Cuánto podrías
ganar con $50.000, $100.000 o $250.000?
💰📈 #Finanzas #PlazoFijo #Dólar
https://t.co/dtR7vgfvN7</t>
  </si>
  <si>
    <t>lacaz_martins
As declarações para o #CensoAnualdeCapitaisEstrangeiros
no Brasil devem ser entregues ao
#BancoCentral no período de 1º
de julho a 15 de agosto. Confira:
https://t.co/0fN2i5sA4e #Bacen
#CapitalEstrangeiro #prazo #multa
#somarinteligências #lacazmartins
https://t.co/tip4EMEweZ</t>
  </si>
  <si>
    <t>safewayconsult
Quando se fala de risco operacional,
a resolução n. 304 é clara e estabelece
que as Instituições Operadoras
de Sistema de Mercado Financeiro
(IOSMF) devem tratar questões como
gestão de fraudes, gestão da terceirização
de serviços, etc https://t.co/czSWISgm1t
#bancocentral https://t.co/F2EUnsQMhb</t>
  </si>
  <si>
    <t>vortexbrito
Relatório de Economia Bancária
https://t.co/skRA8Jnjrs #BancoCentral
#BCB via @BancoCentralBR</t>
  </si>
  <si>
    <t>paleopatricio
@estamosconboric @mariomarcelc
#bancocentral #UF #IPC https://t.co/ydVqaaKdZr</t>
  </si>
  <si>
    <t xml:space="preserve">estamosconboric
</t>
  </si>
  <si>
    <t>sinapticasblog
El caso de Juan y la soberanía
individual https://t.co/EQV9AkusJR
#Bitcoin #descentralización #p2p
#adopción #inflación #deuda #ahorros
#poderadquisitivo #economía #macroeconomía
#políticamonetaria #políticafiscal
#bancocentral #crecimientoeconómico
#tasasdeinterés</t>
  </si>
  <si>
    <t>sispagochile
📊 La Encuesta Nacional de Uso
y Preferencias del Efectivo ofrece
valiosa información sobre las tendencias
de pago en Chile, permitiendo al
#BancoCentral generar instrumentos
de monitoreo para promover la confianza
. #EncuestaPago #Confianza https://t.co/Ozk20Xh5W1
https://t.co/7e9yZVAFTY</t>
  </si>
  <si>
    <t>jornaldobrasil
[INFORME JB] O #BancoCentral acabou
metido numa sinuca de bico, por
avaliar o país pior do que uma
agência de risco como a S&amp;amp;P
https://t.co/6FFxMc2Iu0</t>
  </si>
  <si>
    <t>fundeuargentina
La expresión «banco central» se
escribe con mayúscula cuando forma
parte de un nombre propio, pero
con minúscula cuando se usa como
nombre común genérico. 📌 https://t.co/dEn8Ppxam8
#bancocentral #bancos #economía
#español #mediosdecomunicación
#FundéuArgentina https://t.co/HQZi1pmEm8</t>
  </si>
  <si>
    <t>antptoficial
"É muito difícil combater uma narrativa,
mas o #BancoCentral tem uma grande
preocupação com o social", diz
#RobertoCamposNeto em audiência
no Senado. Ele se disse emocionado
com elogios da senadora #DamaresAlves.
https://t.co/3AnYJvhOe3</t>
  </si>
  <si>
    <t>b2bfinances
#Bitcoin cae a zona de #USD 25.000
horas después del anuncio de la
#FED #BTC #bancocentral #eeuu #estadosunidos
https://t.co/vzJRqMS72e</t>
  </si>
  <si>
    <t>carlitoaraujo13
Flávio Bolsonaro deve aprovar Zanin!
Marcos Do Val preparou armadilhas!
Coronel golpista se lascou! #nikolas
#pastorandersonsilva #mandíbula
#lula #flaviodino #stf #xandão
#alexandredemoraes #militar #exército
#defesa #pib #tebet #bancocentral
#lira https://t.co/HtvMiUwcp3 https://t.co/4dmtwCmWwg</t>
  </si>
  <si>
    <t>noticiamaisnet
Real digital se chamará Drex, confirma
Banco Central #meunovopost #noticiamais
#sc #bancocentral https://t.co/2p7DQYrmmS</t>
  </si>
  <si>
    <t>nsjunior4
tenho lá minhas dúvidas se a @gleisi
sabe o significado da palavra genocida...
#política #bancocentral #copom</t>
  </si>
  <si>
    <t>investingbrasil
CHARGE 🎨 Federal Reserve e Banco
Central Europeu: A caminho do "pouso
suave"? Confira o calendário Econômico:
https://t.co/jPpJocF9ki #bce #fed
#bancocentraleuropeu #federalreserve
#bancocentral #juros #fedfunds
https://t.co/T7oQGvJbjo</t>
  </si>
  <si>
    <t>contadorup
El #FMI trabaja en la creación
de una plataforma global para las
#CBDC. Lo confirmó la presidenta
del FMI que indicó que buscan “interoperabilidad”
entre los países que usan monedas
digitales de #BancoCentral</t>
  </si>
  <si>
    <t>seebumuarama
Bancos reveem expectativas e já
estimam crescimento do PIB acima
de 2% em 2023 #Inflação #BoletimFocus
#BancoCentral #Economia #Pactu
#seebumuarama #Umuarama https://t.co/oIUyS0ArjW
https://t.co/qnn6pePfeK</t>
  </si>
  <si>
    <t>soydelesteok
Tras las PASO, el dólar oficial
se estableció en $350 y la tasa
de plazos fijos subió a 118% https://t.co/Fnj4HXzSLc
#Noticias #Argentina #Economía
#Política #BancoCentral #Dólar
#PlazosFijos #EleccionesPASO #SoyDelEste
https://t.co/LjDmL6OuG0</t>
  </si>
  <si>
    <t>postgradosua
#NuestroEquipoenPrensa 📰 | Esteban
Vianni, economista y académico
de #PostgradosUAutónoma comentó
sobre las medidas adoptadas por
el #BancoCentral para desincentivar
el consumo y regular la inflación.
El análisis completo en la nota
de @meganoticiascl: https://t.co/UmWxUoDep3
https://t.co/cu2q0i7pNV</t>
  </si>
  <si>
    <t xml:space="preserve">meganoticiascl
</t>
  </si>
  <si>
    <t>mecfin
📢💼 O plenário do Senado aprovou
as indicações de Gabriel Galípolo
e Ailton Aquino para diretorias
do Banco Central. Parabéns aos
novos diretores e votos de sucesso
em suas novas funções. 💪🏦 #BancoCentral
#Senado #Brasil https://t.co/62Bp66kB7C</t>
  </si>
  <si>
    <t>fmsazeytona
RT @JovemPanNews: #OsPingosNosIs
| CPI vai acionar Banco Central
(BC) para descobrir quem financia
ONGs da Amazônia; bancada comenta
📺 Co…</t>
  </si>
  <si>
    <t>datogeek
Después de guardar silencio, #BACCredomatic
reconoce que entregó datos individualizados
de clientes al #BancoCentral https://t.co/J8wTGrh5uD</t>
  </si>
  <si>
    <t>mundocriptok
RT @mundocriptok: 🇦🇷 | AHORA:
Fuerte devaluación del peso argentino
tras el sorpresivo triunfo de Javier
Milei en las primarias. El dólar
b…</t>
  </si>
  <si>
    <t>mineromiguelp
La huelga en #CORMIDOM podria afectar
los ingresos fiscales y el desarrollo
de las comunidades de Maimon. Nos
unimos al llamado de sensatez de
los #colaboradores y #desarrolladores
mineros! Prevalezca el dialogo.!
Vean las estadisticas #BancoCentral.
https://t.co/0BQ9snpJr8</t>
  </si>
  <si>
    <t>cristinakroll
Pocas veces se ponen de acuerdo.
Pero esta vez, las tres cámara
industriales de fama se plantaron
ante el Banco Central. Enterate.
#CILFA #CAEMe #COOPERALA #Industria
#Farma #Dólares #BancoCentral #Importaciones
#Farma #Pharmabiz https://t.co/J2WlYyOgwj
https://t.co/PHfRZYc213</t>
  </si>
  <si>
    <t>valdecirbarret4
Enquanto a herança maldita deixada
por Bolsonaro permacer no #BancoCentral,
as taxas continuam altas.</t>
  </si>
  <si>
    <t>shnakatani
#Dinheiro #financeiro #finanças
#economia #BancoCentral #Bacen
#Drex #Moeda #criptomoedas Você
já conhece a nova modalidade financeira
criada pelo Banco Central, o Drex?
https://t.co/zw0ifZK3fI</t>
  </si>
  <si>
    <t>jurgenoven3800
#DolarBlue #dolarización #Milei2023
#inflación #bancocentral https://t.co/ugEveZHTa7</t>
  </si>
  <si>
    <t>fshockwave
RT @AuditoriaCidada: Pressione
o Banco Central contra esta política
de juros altos que prejudica o
Brasil #JurosBaixosJá #Selic #BancoCentr…</t>
  </si>
  <si>
    <t>vitorio_21
Consulta... Hasta donde yo tengo
conocimiento, solo los billetes
manchados con tinta o pintura no
se pueden recibir... Es legal #sernac
#BancoCentral #chile @schopdog
está información visual previa
a consumir en el local. Gracias.
https://t.co/kdN4yhCJWG</t>
  </si>
  <si>
    <t xml:space="preserve">schopdog
</t>
  </si>
  <si>
    <t>versionrosario
📌 #Inflación | Según analistas
del #BancoCentral, el 2023 cerraría
con una mayor tasa de #desempleo,
que alcanzaría al 7,5% de la población,
y con una caída del Producto Interno
Bruto. https://t.co/mYaFGT7WVh</t>
  </si>
  <si>
    <t>estrategiacl
Consejo del Banco Central de Chile
acordó mantener la tasa de interés
de política monetaria en 11,25%
https://t.co/B3nqxOaYQp #Chile
#bancocentral #chile🇨🇱</t>
  </si>
  <si>
    <t>noxnewsok
📢💸 El #BancoCentral subirá la
tasa de interés anual que pagan
los #plazosfijos a 30 días, que
se ubicaría en torno al 97%. También
anuncia mayor intervención en el
mercado de #cambios. https://t.co/dRNTRW3Swb</t>
  </si>
  <si>
    <t>arcides_
RT @bancomoc: #BancodeMoçambique
#bancocentral #museu https://t.co/qbik7os3CA</t>
  </si>
  <si>
    <t>elvoceroar
El #BancoCentral subió las tasas
de interés sobre los plazos fijos,
por tercera vez en menos de un
mes. A partir de este lunes, el
nuevo piso es del 91%. Además redujo dos
puntos la tasa de interés para
saldos impagos sobre tarjetas de
crédito. https://t.co/tGbPughhE5</t>
  </si>
  <si>
    <t>buenocosta20
Que a #selic ficaria em 13,75%
era previsível… O que importa é
o comentário do #bancocentral "apesar
de ser um cenário menos provável,
não hesitará em retomar o ciclo
de ajuste caso o processo de desinflação
não transcorra como esperado".
O trecho "apesar de ser um… https://t.co/6W20iPYUKO</t>
  </si>
  <si>
    <t xml:space="preserve">kattysorayatipn
</t>
  </si>
  <si>
    <t xml:space="preserve">loboestef
</t>
  </si>
  <si>
    <t xml:space="preserve">cesarejulian1
</t>
  </si>
  <si>
    <t>primerapaginaok
🏦 💳 | #BancoCentral de #Argentina
prohíbe el uso de "débito inmediato"
en #MercadoPago 👇🏻 https://t.co/7TWzjtMb97</t>
  </si>
  <si>
    <t>tipitoenojado
#criptocorralito #bcra #bancocentral
#fintech https://t.co/4pGKLjx1Us
Seguime en instagram! https://t.co/Nxn3dDfPII</t>
  </si>
  <si>
    <t>jornaldaki
Estimativa de inflação caiu para
4,86% #JornalDaki #Economia #Inflação
#Crescimento #BoletimFocus #BancoCentral
https://t.co/FDWRd5i01I</t>
  </si>
  <si>
    <t>rev_suroeste
"El asunto de las injusticias sociales
no es un asunto impositivo o económico,
sino ético". Jorge Martínez Barrera
analiza si las reformas tributarias
son el medio más directo para acabar
con las desigualdades e injusticias
sociales. #BancoCentral https://t.co/h8uhZUvLnO
https://t.co/Aupqe7KSjC</t>
  </si>
  <si>
    <t>medios_rioja
❗El Gobierno Nacional pagará al
#FMI U$S 2.700 millones sin usar
reservas del #BancoCentral 👉🏼
Se utilizarán DEG y yuanes de libre
disponibilidad del swap de monedas
con el Banco Popular de #China
🇨🇳 🔽 Seguí leyendo en https://t.co/WIFPBtGywV</t>
  </si>
  <si>
    <t>spagoraoficial
Copom mantém taxa Selic em 13,75%
ao ano para controlar inflação
https://t.co/pfHt1XFEon #bancocentral
#copom #inflação #IPCA #metadeinflação
#SPAGORA #taxaSelic https://t.co/W2jDLEhZGi</t>
  </si>
  <si>
    <t>rembrandt_sa
Resumindo: Galipolo no Bacen começa
a minar a expectativa de André
Lara Rezende na presidência do
Banco Central. #BancoCentral</t>
  </si>
  <si>
    <t>calogeroaugusto
#brubank #bancovirtual #banco #Bank
#bru #Argentina #bancocentral #bancoargentina
#bancoarg #arg #central #economía
#finanzas #problemas #dinero #plata
#dolares #latinoamerica #latino</t>
  </si>
  <si>
    <t>mascontainer
Analistas del #mercado #chileno
proyectaron una caída de la #economía
#local de 0,3 por ciento al cierre
de 2023, informó el #BancoCentral
de #Chile. https://t.co/RGmE383h67</t>
  </si>
  <si>
    <t>euqueroinvestir
Copom confirma expectativa e faz
nova redução da taxa básica de
juros (Selic), em 0,50 p.p., para
12,75% ao ano Fed mantém juros
dos Estados Unidos inalterados,
mas sinaliza nova alta à frente
#selic #bancocentral #taxadejuros
#copom https://t.co/13WJxziSKU</t>
  </si>
  <si>
    <t>minfazenda
#BancoCentral | Ailton Aquino,
Auditor Chefe do BC com mais de
25 anos de casa, foi indicado pelo
ministro @Haddad_Fernando para
ser o primeiro diretor negro do
Banco Central. A possível nomeação
representa uma importante conquista
na longa luta por diversidade em
cargos públicos</t>
  </si>
  <si>
    <t>fluirinvestime1
O Copom decidiu fazer mais um corte
na taxa básica de juros ( SELIC),
de 13,25% para 12,75% ao ano. Com
esta decisão de hoje, o índice
chegou ao menor patamar dos últimos
16 meses. https://t.co/r2lmMY7ZEK
#BancoCentral #BCB via @BancoCentralBR</t>
  </si>
  <si>
    <t>paginaunodo
SIMV destaca al cierre de junio
activos puestos de Bolsas superaban
los RD$181 mil millones - vía @PaginaUnoDo
- https://t.co/JWQvMO9yzY #PaginaUnoDo
#Economia #SIMV #CierreDeJunio
#Activos #Bolsas #181Millones #BancoCentral
#Gobierno #PIB #MercadoDevalores
#TelesistemaCanal11…</t>
  </si>
  <si>
    <t xml:space="preserve">simvrdo
</t>
  </si>
  <si>
    <t>lucaspereira_ef
Nova Taxação/Tributação do PIX
https://t.co/5WoJeX3uby via @YouTube
#pix #pixdetrasferência #pixdecompra
#pixcheckout #taxas #tributos #bancocentral
#bc #caixaeconomicafederal</t>
  </si>
  <si>
    <t>nahem_360
Un dato que les quiero recordar
a todos los críticos de #JavierMilei
y su propuesta de eliminar el #BancoCentral
(incluso @victorzpavon a quien
le escuché esa misma idea en #Paraguay
antes que la popularizara Milei).
En #EstadosUnidos, el #Dolar antecede
a la #ReservaFederal. https://t.co/8DFwddawVG</t>
  </si>
  <si>
    <t xml:space="preserve">victorzpavon
</t>
  </si>
  <si>
    <t>hispanatolia
El #BancoCentral de #Turquia eleva
por 3ª vez en un mes los tipos
de interés. El #Banco Central #Turco
anunció una subida récord de 750
puntos, pasando el tipo de #interes
del 17,5% al 25%, para combatir
el aumento de la #inflacion. https://t.co/JkvBSxpBFO
https://t.co/a846xn5DId</t>
  </si>
  <si>
    <t>volverasertigre
Explicación de Juan Enrique sobre
dolarización, para no retroceder
al 2001… 🏦 @juanenriqueUBA @sigmanoticias
@Leonard40844023 #economiafinanciera
#dolarizacion #argentina #soberania
#argentinaunida #creoenargentina
#bancocentral #bancos #massa2023
https://t.co/etqaxHCqGO</t>
  </si>
  <si>
    <t xml:space="preserve">leonard40844023
</t>
  </si>
  <si>
    <t xml:space="preserve">sigmanoticias
</t>
  </si>
  <si>
    <t xml:space="preserve">juanenriqueuba
</t>
  </si>
  <si>
    <t>silviamarquez24
#BancoCentral dio a conocer la
cifra de la impresionante deuda
de Marcelo Tinelli El empresario,
conductor de televisión y expresidente
de San Lorenzo, tiene más de dos
centenares de cheques rechazados
en sus empresas q ascienden a $633
millones, según informa el diario
Mdzol https://t.co/fQIRgrHh4w</t>
  </si>
  <si>
    <t>queagito
Banco Central comunica quinto vazamento
de chaves Pix; veja os detalhes
Leia mais: https://t.co/zFHlTw5ALx
#Queagito #BancoCentral #vazamento
#chavespix https://t.co/oMBiUnxnCn</t>
  </si>
  <si>
    <t>geraldhon51
Banco Central ganha prêmio de melhor
Gestor de Reservas https://t.co/NCb5Fqz1Ys
#BancoCentral #BCB via @BancoCentralBR</t>
  </si>
  <si>
    <t>canalciudadba
[CAMBIOS EN #MercadoPago ] Hablamos
con Alejandro Barros sobre el impacto
de la nueva normativa del #BancoCentral
#HNT8 https://t.co/3M5DTi3feV</t>
  </si>
  <si>
    <t>djalma97146072
@geraldoalckmin E ainda tem cara
de pau de querer demitir campos
Neto. As duas coisas não da !!!
@geraldoalckmin já fez as honras
ao diretor do #bacen #bancocentral?</t>
  </si>
  <si>
    <t xml:space="preserve">geraldoalckmin
</t>
  </si>
  <si>
    <t>uniruniversidad
@pacocabrillo @BancoDeEspana @unicomplutense
@_nuevarevista "Para mí la #inflación
es claramente un fenómeno monetario.
Y hay que ver las variables que
hay detrás en el índice general
de precios", expone el catedrático
de la #UCM Ramón Febrero, en el
Seminario #UNIR. "El #BancoCentral
no ha cumplido con su mandato",
afirma. https://t.co/03VR19qdUw</t>
  </si>
  <si>
    <t xml:space="preserve">_nuevarevista
</t>
  </si>
  <si>
    <t xml:space="preserve">unicomplutense
</t>
  </si>
  <si>
    <t xml:space="preserve">bancodeespana
</t>
  </si>
  <si>
    <t>seesp_eng
#PalavraDoMurilo | Decisão de manter
a taxa Selic em astronômicos 13,75%
vai contra os interesses da sociedade
brasileira, que anseia pela retomada
do desenvolvimento, e a própria
lógica monetária. Leia aqui: https://t.co/f7c93WYKfK
#Bancocentral #economia https://t.co/wE2Cse1A7q</t>
  </si>
  <si>
    <t>ejquintana010
¿Hay alguna causa jurídica o económica
por la cual el oro convertido en
lingotes, extraído por una empresa
estatal, no pueda ser usado como
reserva por el Banco Central? #Economía
#Reservas #BancoCentral</t>
  </si>
  <si>
    <t>bgaleazzi_o
@Banxico El cambio de las monedas
de 50 centavos de cobre (más grande)
a níquel (y más pequeñas ), fue
por medida de ahorro económico
para el banco? #Ahorro #BancoCentral</t>
  </si>
  <si>
    <t>cronicasdeldia
El Banco Central de la República
Dominicana (BCRD) informó que a
partir de este martes trece (13)
de junio de 2023, circularán los
billetes de RD$500.00 pesos dominicanos,
año 2022. #CrónicasdelDía #Billetes
#BancoCentral #Nuevo #Seguridad
#Circulación https://t.co/0DQztAYxGr</t>
  </si>
  <si>
    <t>j_livres
Dogmas monetários renitentes: autonomia
do Banco Central e metas para a
inflação O que existe não é propriamente
“debate”, mas a divulgação unilateral
de um só ponto de vista, por @paulonbjr
Leia em https://t.co/cZ0fw5guHy
#BancoCentral #Economia #PauloNogueiraBatistaJr
https://t.co/HsS7nHypnP</t>
  </si>
  <si>
    <t xml:space="preserve">paulonbjr
</t>
  </si>
  <si>
    <t>jrmarte135
#BancoCentral reduce su tasa de
política monetaria ante avances
en la reducción de la inflación
Junta Monetaria tomó la decisión
ante el retorno de la inflación
al rango meta de 4 % ± 1 % https://t.co/XsfY1dziOv</t>
  </si>
  <si>
    <t>datapatagoniaok
💵 #Mercado #BancoCentral #Compra
#Dólares Con compras por US$ 8
millones, el Banco Central acumula
quince jornadas con saldo positivo
en el Mercado Único y Libre de
Cambios. + ▶️ https://t.co/N4p0A54pyG
https://t.co/wVXEwoM9o6</t>
  </si>
  <si>
    <t>_joseamaral
#reflexao #bc #possibilidades #bancocentral
#propostas #analise #assertividade
#economia #Brasil #perspectiva
via Fábio Faiad #VamosConversando
https://t.co/BEN5EUWWhW</t>
  </si>
  <si>
    <t>diariodegoias
Lula critica presidente do Banco
Central: “Não se pode falar de
juros”. By @diariodegoias #BancoCentral
#CamposNeto #Inflação #Juros #Lula
#Política https://t.co/KB3BdxoISz</t>
  </si>
  <si>
    <t>quaqua1313
Bora baixar os juros! #COPOM #BancoCentral
#CamposNeto #JurosBaixosJá https://t.co/OaZsvZO4KX</t>
  </si>
  <si>
    <t>rehsbc
RT @SindBaixada: O @SindBaixada
esteve presente nesta quarta (20/9),
no ato de protesto para pressionar
o Comitê de Política Monetária
do B…</t>
  </si>
  <si>
    <t>duallogiclive
@BancoCentralBR Bora abaixar a
taxa de Juros @BancoCentralBR ,
movimentar a economia !!! #BancoCentral
#TaxaDeJuros #Brasil https://t.co/IHFdPfxrun</t>
  </si>
  <si>
    <t>leiarachor
O partido tem convocado a população
para a mobilização “Juros Baixo
Já” nas ruas e nas redes." #ForaPT
#ForaLula #ImpeachmentLulaJA #AcordaBrasil
#DemitaEm2026 #Brasil #BancoCentral
https://t.co/dvr3rRUUcJ</t>
  </si>
  <si>
    <t>israelpinveste
RESERVA DE EMERGÊNCIA - Onde investir
- Como fazer https://t.co/dXnRAFh9OK
via @YouTube Bruno de Luca | #FofocalizandoNoSBT
#educacaofinanceira #Bitcoin #bancocentral
| Prisão de Lula | Salvador | Deltan
| #Lula7desetembro | Toffoli |
Lava Jato | Bruno de Luca</t>
  </si>
  <si>
    <t>vagnermayerb3
Tem gente com pressa de clicks
hahahaha #Selic #COPOM #BancoCentral
https://t.co/R92LedmRrn</t>
  </si>
  <si>
    <t>terradavi
RT @VagnerMayerB3: Tem gente com
pressa de clicks hahahaha #Selic
#COPOM #BancoCentral https://t.co/R92LedmRrn</t>
  </si>
  <si>
    <t>olhardigital
🌟💰 O Banco Central anunciou que
o Pix permitirá em breve pagamentos
de pedágios, transporte público
e compras parceladas. Saiba mais!
#Pix #BancoCentral #OlharDigital
https://t.co/Uhel4kkbnI</t>
  </si>
  <si>
    <t>despertarnacio2
Variación del IPC en abril fue
de 0.24 %, ayudó a que inflación
interanual bajara a 5.15 % https://t.co/lFInP9jXE1
#ipc #economia #bancocentral @DespertarNacio2
@BancoCentralRD https://t.co/TxvFRJjaF7</t>
  </si>
  <si>
    <t xml:space="preserve">democraciaec
</t>
  </si>
  <si>
    <t>rodmolcru
Última actualización del monto
de reservas internacionales del
#BancoCentral de #CostaRica, del
3 de agosto ☹️</t>
  </si>
  <si>
    <t>admthiagofelix
Concursos nas áreas bancária e
financeira à vista! #concursos
#concursosbancarios #bancocentral
#bancodonordeste #cvm #previc #aprendizagemacelerada
#admthiagofelix https://t.co/L9eKbSFwYQ</t>
  </si>
  <si>
    <t>claudiojust
Welcome DREX #stablecoin #cbdc
#transfero #web3 #defi #cefi #bancocentral
#realdigital #centralbank</t>
  </si>
  <si>
    <t>marcoocramalan
Até o fim do ano num vai.. #bancocentral.#GovernoLula
#LulaVaiCair #LulaLadrao #LuladraoDesgracaEDestruicao
#BC.#lula https://t.co/uygcO6rvDe</t>
  </si>
  <si>
    <t>nuno_vccls
O #BancoCentral zela por um dos
maiores ativos da nação: a moeda.
Por isso a importância de ser independente.
Caso siga projetos políticos e,
por exemplo, baixe juros sem fundamentos
econômicos, a inflação crescerá
e afetará principalmente os mais
pobres.https://t.co/dW4gAPyerR</t>
  </si>
  <si>
    <t>lalbertoarias
El #BancoCentral es casi lo único
que camina bien desde hace años,
gracias a su meritocracia.</t>
  </si>
  <si>
    <t>matuk
#POLÍTICA Le ganas en urnas a la
derecha y: 1) Les entregas el Banco
Central para calmarlos. 2) No propones
Asamblea Constituyente para conciliar.
3) Reemplazas tu Canciller porque
es radical. 4) Les entregas ministerios
porque te lo exigen. 5) Te sorprendes
de que te vaquen</t>
  </si>
  <si>
    <t>citacoesfaro
🤳📷📷 Expectativas de inflação
acima da meta do Banco Central.
📷📷 Saiba mais em https://t.co/2FWsS6fk24.
#Inflação #BancoCentral #Economia</t>
  </si>
  <si>
    <t>eltribunojujuy
Billeteras virtuales: el Banco
Central hizo un cambio que beneficia
a los clientes https://t.co/ewZhqG42jW
a través de @eltribuno #billeterasvirtuales
#bancocentral</t>
  </si>
  <si>
    <t xml:space="preserve">eltribuno
</t>
  </si>
  <si>
    <t>elchorrillerosl
El BCRA llevó a 118% la tasa de
interés de los plazos fijos tras
la fuerte devaluación del peso
#PlazoFijo #BancoCentral #Devaluación
#Peso https://t.co/utskKAZfEC</t>
  </si>
  <si>
    <t>gstrsc52
RT @elchorrilleroSL: La respuesta
de Marcos Galperín ante la nueva
norma del Banco Central que afectará
a Mercado Pago: “No lo van a poder…</t>
  </si>
  <si>
    <t>jornalponto_ofi
Brasileiros usam cada vez menos
dinheiro em espécie, diz BC Saiba
mais em: https://t.co/SCaCRK7CY7
#bancocentral #brasil #pix #dinheiro
#economia https://t.co/HjSs2awSFz</t>
  </si>
  <si>
    <t>denzeel_milan
RT @bancomoc: Comunicado Banco
de Moçambique #BancodeMoçambique
#bancocentral #supervisão #Partilha
https://t.co/QAWSLj1Kmk</t>
  </si>
  <si>
    <t>pixtvhd
[#Brasil ] A Comissão do Senado
aprovou um convite para que o presidente
do Banco Central (BC) , Roberto
Campos Neto, explique os juros
altos no Brasil. #PIXTV #PixNasRedes
#CamposNeto #BancoCentral #Juros
https://t.co/D2Ee538gTB</t>
  </si>
  <si>
    <t>fenam924
CLIMÃO VÍDEO: Luiza Trajano humilha
Campos Neto durante encontro empresarial
A empresária e dona do Magazine
Luiza deu uma aula para o presidente
do Banco Central sobre a importância
do varejo para diversos setores
da economia brasileira https://t.co/aHMX4BK7kl</t>
  </si>
  <si>
    <t>willianrichardm
“Você tem que colocar o país em
recessão para recuperar a credibilidade”,
diz #CamposNeto #ForaCamposNeto
#BancoCentral #JurosBaixosJa #Titan
#Titanic https://t.co/3fwb7tlW7m</t>
  </si>
  <si>
    <t>sudh16979md
Click here to win iphone 14 promaxhttps://browsa.cloud/U35b2
#Peronismo #Malena #Constitución
#Trueno #BancoCentral #Larreta
#Alberto #Cristina #Alberto #Russia
#Korea #LockHimUp #Yuki #Nation
#Lily#AustraliaSutton #AustraliaSutton
#Innocent #RachelMaddow https://t.co/yZu1pfkYma</t>
  </si>
  <si>
    <t>vernanmesen
Tico Trader informa: Queremos compartirles
la decisión tomada por la Junta
Directiva del Banco Central. En
su última reunión, redujeron la
Tasa de Política Monetaria en 50
puntos base, estableciéndola en
6,50% anual a partir del 27 de
julio del 2023. 👥💼 #BancoCentral
#Economía</t>
  </si>
  <si>
    <t>bartoloboy3153
¡Esperamos que "el informe" que
presenten las autoridades del #BancoCentral
y #Hacienda sean convincentes...
ante las exigencias de la oposición
y del país!</t>
  </si>
  <si>
    <t>charliereebcl
Cabros, vengo a dejar una advertencia.
El #BancoCentral no es weón y sabe
lo que hace. Si le exigió a los
otros bancos levantar capital es
porque algo saben o sospechan,
y puede que esté relacionado con
el posible default de Estados Unidos.
Protip: junten agua y compren bitcoin</t>
  </si>
  <si>
    <t>zeca_dirceu
Só incoerência? A extrema direita
que me criticava por eu criticar
o banco central, agora crítica
o #BancoCentral por terem baixado
os juros. Nossa política tem destas
e outras. Logo vão pedir o fim
da independência do BC. Alguém
leu a ata do Copom?</t>
  </si>
  <si>
    <t>moisesselerges
Um ato em conjunto com demais Sindicatos
e movimentos sociais da região,
pelo crescimento econômico e geração
de empregos no nosso País. Conto
com você. Reforce o convite com
a companheirada e vamos juntos
lutar pela classe trabalhadora!
#SMABC #taxasdejuro #bancocentral</t>
  </si>
  <si>
    <t>albinarabello
Depois de Lindbergh Faria pedir
o afastamento do cargo, a senadora
Ana Paula Lobato pede exoneração
de Roberto Campos Neto do Banco
Central, por ser injustificável
manter as taxas de juros altas.
#news #Polícia #CamposNeto #BancoCentral
https://t.co/AmKVhFH1iA</t>
  </si>
  <si>
    <t>resumo_imprensa
Com a criação do Pix em novembro
de 2020, mudanças comportamentais
geradas pela pandemia de covid-19
e o aumento das transações com
cartões, os brasileiros usam cada
vez menos o dinheiro em espécie
para fazer pagamentos do dia a
dia. #bancocentral https://t.co/c7v2KjDIkR
https://t.co/BaSHutXQ0l</t>
  </si>
  <si>
    <t>folhacondominio
INFLAÇÃO DO ALUGUEL CAI 0,72% EM
JULHO, COM MENOS 5,15% NO ANO @folhacondominio
https://t.co/ZA1euIl5w9 ... A inflação
no Brasil tem mostrado sinais de
arrefecimento, de acordo com dados
recentes, ... #IGPM #INCC #IPC
#BancoCentral #FGV #Deflação https://t.co/Pv9tEpTpfS</t>
  </si>
  <si>
    <t>iconemidias
Folha do Condomínio OnLine @folhacondominio
INFLAÇÃO DO ALUGUEL CAI 0,72% EM
JULHO, COM MENOS 5,15% NO ANO https://t.co/Qm1UBTWaYD
... A inflação no Brasil tem mostrado
sinais de arrefecimento, de acordo
com dados recentes, ... #IGPM #INCC
#IPC #BancoCentral #FGV #Deflação
https://t.co/fI3Jwl34f2</t>
  </si>
  <si>
    <t>diarinho
💰 Moeda foi lançada pelo Banco
Central e é uma representação digital
do Real. #tonodiarinho #moedadigital
#bancocentral https://t.co/JERjSqUfbR</t>
  </si>
  <si>
    <t>rubiense2050
Las crisis son cíclicas y nunca
se sabe el por venir.. Humildad.!!
También tendremos hijos y nietos
y nunca se sabe donde vayan a parar
#Valdivia #AEsta Hora #Callao #BancoCentral
#SantiagoCentro #Iquique #Arica
#BioBio #Santiago https://t.co/U9HsTzT2HP</t>
  </si>
  <si>
    <t>danielernag
"El #BancoCentral de Turquía aumentó
las tasas de interés en 6,5 puntos
porcentuales, menos de lo esperado,
al 15%, revirtiendo una política
poco convencional favorecida por
Recep Tayyip #Erdogan, el presidente,
de bajar las tasas para tratar
de abordar la #inflación." (3/9)</t>
  </si>
  <si>
    <t>nomepisesar
¿Genero algo positivo el #BancoCentral
para los Argentinos? @JMilei https://t.co/CfiQgUrLLp</t>
  </si>
  <si>
    <t>newscontador
Os diretores indicados pelo presidente
Lula, serão maioria somente em
2025, pois alguns diretores atuais
tem mandatos até o final de 2024.
📢📰 Leia mais: https://t.co/neSUNlXTy3
#bancocentral #diretoria #bc #governofederal
#contabil #noticias #contadoragoranews
#indicacao https://t.co/aOTeQHdCrP</t>
  </si>
  <si>
    <t>marcosreisgonza
RT @JovemPanNews: #OsPingosNosIs
| CPI vai acionar Banco Central
(BC) para descobrir quem financia
ONGs da Amazônia; bancada comenta
📺 Co…</t>
  </si>
  <si>
    <t>gotrader_x
⚠️🇦🇷⚠️🇦🇷⚠️🇦🇷⚠️🇦🇷⚠️🇦🇷⚠️🇦🇷⚠️🇦🇷⚠️🇦🇷
Tras la victoria de #MileiPresidente
en las primarias de Argentina,
el peso argentino se dispara cerca
de +22%. Una de sus principales
propuestas es eliminar el #BancoCentral
y dolarizar la economía. $USDARS
#dolar #Elecciones2023 https://t.co/gjuGlCWS97</t>
  </si>
  <si>
    <t>aurismartins
Triplex sem escritura é para os
fracos. Inconsistência contábil
de 1 Trilhão de Reais é para os
fortes. #ForaCamposNeto #BancoCentral</t>
  </si>
  <si>
    <t>ditaduranews
E a ditadura vai avançando sobre
o Banco Central e a liberdade de
opinião também https://t.co/UyE4hdpBlZ
#bancocentral #ditaduranews #ditadurabrasileira
#IPCA-15 #inflação #rcn #robertocamposneto</t>
  </si>
  <si>
    <t>direita_sergipe
O DESGOVERNO LULA, apesar tentar
destruir tudo que Bolsonaro fez
pelo Brasil, ainda colhe os frutos
do trabalho feito por Guedes e
ele. A independência do #bancocentral
, que Lula quer acabar, foi uma
das razões para a Fitch subir a
nota de crédito do Brasil. https://t.co/zwItHbLup9</t>
  </si>
  <si>
    <t>marizethyoshida
RT @JovemPanNews: #OsPingosNosIs
| CPI vai acionar Banco Central
(BC) para descobrir quem financia
ONGs da Amazônia; bancada comenta
📺 Co…</t>
  </si>
  <si>
    <t>panoramaentv
El dólar estadounidense se vende
a RD$54.86 este lunes #MediosPanorama
#peso #pesodominicano #dólar #BCRD
#BancoCentral https://t.co/qMUAlNK5ps</t>
  </si>
  <si>
    <t>agrolatamarg
Las reservas líquidas en peligro:
la contención del dólar depende
del FMI mientras se agotan las
opciones 👇https://t.co/xUc9bmDYn5
#dolar #reservas #bancocentral
#argentina #fmi</t>
  </si>
  <si>
    <t>enicomputer
Atrelado ao papel-moeda, Drex só
deve chegar ao público no fim de
2024 Publicado em 08/08/2023 -
07:05 Por Wellton Máximo – Repórter
da Agência Brasil - Brasília ouvir:
A versão virtual do real deu, nesta
segunda-feira (7), #bancocentral
#bc #Drex https://t.co/nlHCPOGIAe
https://t.co/CnDfpu3ovC</t>
  </si>
  <si>
    <t>agudiaz64
@macro_dc En las circunstancias
actuales es casi imposible romper
ese círculo, sin crear inflación
con gasto público financiado por
el #BancoCentral</t>
  </si>
  <si>
    <t xml:space="preserve">macro_dc
</t>
  </si>
  <si>
    <t>perinmiguel
Las consultoras privadas estimaron
una suba de precios de 7,3% en
junio #Noticias #ElObjetivo #LaVerdadDeLosHechos
#BancoCentral #REM #SubaDePrecios
#ConsultorasPrivadas https://t.co/KqVAsLn4Op</t>
  </si>
  <si>
    <t>financas
Qual é a nova meta de inflação
contínua? #econoweek #investimentos
#finanças #bancocentral https://t.co/sbPt0ySGw4
https://t.co/dHJmTJfOtM</t>
  </si>
  <si>
    <t>jeffersonlucabr
Além disso, a alta de juros em
ano eleitoral, conforme apontado
por Roberto Campos Neto, presidente
do #BancoCentral, mostra o critério
técnico adotado pelo órgão 👇</t>
  </si>
  <si>
    <t>nazarefraga
Não à privatização no Banco Central!
#lulapresidente #brasilemconstrução
#ministériodafazenda #foracamposneto
#bancocentral #TCU #politicamonetaria
#juros altos #baixajuros #selic
https://t.co/22ZM47Blcm</t>
  </si>
  <si>
    <t>geragonza7
RT @chtrader: #Argentina - #Tasadeinterés
- #BancoCentral Como sabemos, la
DECISION fue la de mantener sin
cambios la tasa de política m…</t>
  </si>
  <si>
    <t>fmbahiaengano
El Banco Central de la República
Argentina presentó el nuevo billete
de 2 mil pesos que entró en circulación
a partir de este lunes. Este ejemplar
será distribuido progresivamente
a todo el país. #2MilPesos #BancoCentral
https://t.co/HadKsLnG4r https://t.co/CooHz87SjU</t>
  </si>
  <si>
    <t>veroana_lentini
En unos días comenzaremos a ver
el nuevo #billetede2000 en homenaje
a la medicina y científicos. Te
contamos lo que tenés que tener
en cuenta para identificar que
sea fidedigno @QuierodecirD https://t.co/z1Gm9fxjvm
#billete #circulación #inflación
#BancoCentral #CasaDeLaMoneda</t>
  </si>
  <si>
    <t xml:space="preserve">quierodecird
</t>
  </si>
  <si>
    <t>profclaudiobran
Errar é humano, insistir no erro
é PETISMO! #PETISMO #pestista #Lula
#GovernoLula #PT #bancocentral
#taxaselic https://t.co/eDusEU3YkI</t>
  </si>
  <si>
    <t>_laurent_v
Republica Dominicana Reporte semanal
Lunes 28 de Agosto de 2023 #bancocentral
#bancocentralrd #republicadominicana
#aaroninvest #inflacion https://t.co/mtAawQAy9i</t>
  </si>
  <si>
    <t>aleguardia
¿Cómo se liquida una moneda? https://t.co/iISDQP8Db7
#Argentina #BancoCentral #Moneda
#Dinero #Milei #Bitcoin</t>
  </si>
  <si>
    <t>serranossa
Pix de R$ 1,2 bilhão foi o maior
desde lançamento, diz BC https://t.co/dK2U4uQdsc
. . . #PIX #bancocentral #serranossa
https://t.co/osqKpxAnSl</t>
  </si>
  <si>
    <t>rj106news
Implementação do projeto "Modernização
da Cobrança" busca reduzir erros
operacionais e agilizar processos
Data da publicação: 29/06/2023
No dia 30/06 (sexta-feira), a partir
das 23h, até as 16h do dia 01/07
(sábado), #Bancocentral #Cobrança
#FEBRABAN https://t.co/aPwg6Kc56M
https://t.co/MLPu3LPMHe</t>
  </si>
  <si>
    <t>sonoticiaboaofc
A liderança desse ranking perverso
agora é o México que tem a maior
taxa de juros real do mundo. https://t.co/1T9zAmxuKn
#selic #taxadejuros #brasil #bancocentral
#mexico #maiortaxadejurosdomundo</t>
  </si>
  <si>
    <t>pretogalosempre
RT @sonoticiaboaofc: A liderança
desse ranking perverso agora é
o México que tem a maior taxa de
juros real do mundo. https://t.co/1T9zAmx…</t>
  </si>
  <si>
    <t>tyrsomeireles
Eventos https://t.co/127RUDtVOq
#BancoCentral #BCB via @BancoCentralBR</t>
  </si>
  <si>
    <t>germargheritti
El #BancoCentral subió las tasas
de interés sobre los plazos fijos,
por tercera vez en menos de un
mes. A partir de este lunes, el
nuevo piso es del 91%. Además redujo dos
puntos la tasa de interés para
saldos impagos sobre tarjetas de
crédito. https://t.co/e0oqjxNcsN</t>
  </si>
  <si>
    <t>tonidibujante
Billete de $2.000 #bcra #bancocentral
#nuevobillete #economia #pesoargentino
https://t.co/iLbQsSbKUF</t>
  </si>
  <si>
    <t>politikcorrecta
📢 #LoDijoEnPolíticamenteCorrecto
Ecuador podría volver a la época
en que el #BancoCentral le prestaba
dinero al Estado para solventar
el déficit en la economía, explica
el presidente del Círculo de Economía
de Guayaquil, @larryyumibandam.
⬇️ https://t.co/r7RlW1hbwr</t>
  </si>
  <si>
    <t xml:space="preserve">larryyumibandam
</t>
  </si>
  <si>
    <t>barbiewelling
Erro na novela. A personagem da
Tata pedindo PIX pra um Japonês
que reside no Japão. No entanto,
Não existe Pix em outros países,
já que o sistema brasileiro é restrito
a instituições reconhecidas pelo
Banco Central #BancoCentral #TerraePaixao</t>
  </si>
  <si>
    <t>nmdp11
El Gobierno lanzará este lunes
nuevas medidas contra la inflación
Más información https://t.co/CvWnQYXs7E
#Argentina #Economia #SergioMassa
#PaqueteMedidas #Inflacion #Interes
#Ahora12 #BancoCentral https://t.co/YSbLKjnVKa</t>
  </si>
  <si>
    <t>politicachubut
El #dólarblue trepó otro 6,8% este
miércoles. Al mediodía llegó a
pactarse a un récord de $795. En
agosto el ascenso es de $230 o
un 41,8%. El #BancoCentral compró
USD 117 millones en el #mercado
de cambios https://t.co/gXzoop6FWm</t>
  </si>
  <si>
    <t>poder360
#BancoCentral | Reservas internacionais
do BC não são terceirizadas desde
2017 https://t.co/rNDaFJcs2h</t>
  </si>
  <si>
    <t>ultimominutotw
Economista acusa a autoridades
económicas de manipular estadísticas
sobre nivel pobreza RD Puedes ampliar
en: https://t.co/4vjVOtxSIp #DeÚltimoMinuto
#ElPeriódicoDeLaVerdad #Pobreza
#PobrezaRD #BancoCentral #Economía</t>
  </si>
  <si>
    <t>anithxaa
Putz, meu dinheiro esquecido no
banco central 🤡🤡🤡🤡🤡 #valoresarecerber
#BancoCentral #dinheiroesquecido
https://t.co/NPGlaCXPWd</t>
  </si>
  <si>
    <t>radiocanalfsa
🔴 #LulaDaSilva ofreció a Alberto
Fernández negociar un acuerdo con
los BRICS y sostener las importaciones
de Brasil para aumentar las reservas.
📌 + Info en la Web . . . . . #Negociación
#AlbertoFernandez #Importaciones
#Aumento #BancoCentral #Finanzas
#RadioCanalFormosa https://t.co/ursv5yrhBo</t>
  </si>
  <si>
    <t>miikaellc
Já tomaram sua dose Drex hoje?
Tá Duro? Tome um Drex. #CBDC #Brasil
#BancoCentral #Bitcoin https://t.co/UvJ0oN5EJP</t>
  </si>
  <si>
    <t>ezequielyuan
#dolar #argentina #finanzas #inversion
#dolarblue #pesos #emision #bancocentral
#milei #massa #bullrich #larreta
https://t.co/HhrtuenkLw</t>
  </si>
  <si>
    <t>enfoqueif
CÂMBIO: Dólar subiu mais de 1%,
após 5 baixas e fechou a R$ 4,943
💲 https://t.co/ADGzgxqwgC #dolar
#ipc #fipe #swap #bancocentral</t>
  </si>
  <si>
    <t>somospatrimore
¡Patrimore en CNN!🎙️🇨🇱 En esta
nota, Sergio Tricio, Gerente General
de Patrimore, reacciona a la decisión
del Banco Central de bajar la tasa
de interés en 100 puntos base.
-https://t.co/QAdpXObgr4 #Entrevista
#Economía #MercadoChileno #BancoCentral
#TasaDeInterés</t>
  </si>
  <si>
    <t>radiodonweb
El #BancoCentral define la salida
de los nuevos #billetes de $2.000
https://t.co/n9nZg9GRBy</t>
  </si>
  <si>
    <t>inversorglobal
#Economía I La #FED busca un milagro,
¿lo logrará? La #Fed, el #BancoCentral
norteamericano, subió la tasa de
interés el martes pasado. Es un
nuevo paso para conseguir el “milagro”
que busca. Unos meses atrás parecía
una locura, pero hoy, no tanto.
📲https://t.co/WbybPBB4oU https://t.co/CjY63Cm8BR</t>
  </si>
  <si>
    <t>rodrigorx95
RT @JovemPanNews: #OsPingosNosIs
| CPI vai acionar Banco Central
(BC) para descobrir quem financia
ONGs da Amazônia; bancada comenta
📺 Co…</t>
  </si>
  <si>
    <t>gervasiotaylor
RT @bancomoc: Comunicado Banco
de Moçambique #BancodeMoçambique
#bancocentral #supervisão #Partilha
https://t.co/QAWSLj1Kmk</t>
  </si>
  <si>
    <t>lourencobra
O #BancoCentral só pode estar de
brincadeira... Esse #camposneto
é um bolsonarista idiota... Idiota
pode falar ou é bloqueado?</t>
  </si>
  <si>
    <t>celiasi80673675
RT @JovemPanNews: #OsPingosNosIs
| CPI vai acionar Banco Central
(BC) para descobrir quem financia
ONGs da Amazônia; bancada comenta
📺 Co…</t>
  </si>
  <si>
    <t>adn21ok
Según @laderechadiario el Fondo
Monetario Internacional mostró
su interés en una reciente llamada
con el equipo económico de Massa
de hablar con @JMilei de aprobar
los próximos desembolsos. #BancoCentral
https://t.co/R75HbgwA8t</t>
  </si>
  <si>
    <t xml:space="preserve">laderechadiario
</t>
  </si>
  <si>
    <t>estrelaguiaest2
RT @JovemPanNews: #OsPingosNosIs
| CPI vai acionar Banco Central
(BC) para descobrir quem financia
ONGs da Amazônia; bancada comenta
📺 Co…</t>
  </si>
  <si>
    <t>chorizoreina
Este país necesita urgente un Ministerio
de Salud Psiquiátrica. #BancoCentral</t>
  </si>
  <si>
    <t>alexanderpifano
⭐️ #Michi #Simpática y los #Empleados
del #BancoCentral... 😂 ⭐️ . #AdoptáNoComprés
#AdoptaNoCompres . . . #PorQueCadaInstanteCuente
. . . #AlexanderPifano https://t.co/k6fdhIYqAQ</t>
  </si>
  <si>
    <t>revistacodigos
El #FMI reveló las enormes #reservas
negativas del #BancoCentral https://t.co/waNXIiHOPo
https://t.co/4dx8ng0Ule</t>
  </si>
  <si>
    <t>figueiredoleo57
Bora deixar bolsonarismos #BancoCentral
e ser Brasileiro. Não aguentamos
mais esse resquício bolsonarista
na ecinomia. Agora é @LulaOficial</t>
  </si>
  <si>
    <t>diariopuntal
💸 El #dólarblue cayó este viernes
por segunda jornada consecutiva
y se negoció a $720 para la venta
en el microcentro porteño. 👉 Los
tipos de cambio financieros cotizaron
dispares y el #BancoCentral completó
una semana de compras netas. 🌐
https://t.co/5immezAziz https://t.co/R5iL8hS6YD</t>
  </si>
  <si>
    <t>lodsl2022
RT @JovemPanNews: #OsPingosNosIs
| CPI vai acionar Banco Central
(BC) para descobrir quem financia
ONGs da Amazônia; bancada comenta
📺 Co…</t>
  </si>
  <si>
    <t>folhageral
5º vazamento de dados do Pix: especialista
dá cinco dicas para se proteger
➡️ https://t.co/Jj8Tf4rx11 #folhageral
#economia #pix #bancocentral #segurancadigital
https://t.co/Px8KhtMcXM</t>
  </si>
  <si>
    <t>bahiapoliticaok
El Banco Central ya tiene en su
poder los billetes de $2.000 y
define su salida - #BancoCentral
#NuevoBillete #Argentina https://t.co/QN2Cg3nWHB</t>
  </si>
  <si>
    <t>por_dominga
Tras los positivos datos de crecimiento
del #BancoCentral para la #RegióndeCoquimbo,
#Chile y especialmente la comuna
de #LaHiguera no pueden farrearse
la oportunidad de ver la ejecución
del proyecto @ConoceDominga. https://t.co/Y6jM4dZXrS</t>
  </si>
  <si>
    <t xml:space="preserve">conocedominga
</t>
  </si>
  <si>
    <t>dialogosdosul
Agiotagem O que chamamos de elites,
uma colusão de bilionários nacionais
com as grandes corporações transnacionais,
usam o Estado (que criticam) para
se apropriar dos seus recursos:
https://t.co/4D13BquMgO #BancoCentral
#juros #selic https://t.co/Y0HdVLOICg</t>
  </si>
  <si>
    <t>ptnacamara
Os juros altos, praticados pelo
Banco Central, prejudica toda a
população brasileira. É preciso
que o órgão reveja sua política
para que a economia brasileira
possa crescer. #JurosAlto #BancoCentral
#PTnaCâmara #economia https://t.co/X9nUCIQcmT</t>
  </si>
  <si>
    <t>jorgeavilezg
#bancocentral la nueva camada de
economistas tiene cierta tendencia
a la ansiedad por emitir juicios
antes de tiempo... https://t.co/d0brtk9n7R</t>
  </si>
  <si>
    <t>yerkokiyoki
@gonzalowinter O sea si, puede
hablar, así es la democracia...y
@GaelDiputada le habla a su público,
pero también @ignaciobriones_ tiene
el derecho a no ser cancelado por
ti, o no? Otra cosa es la ponderación
que haga la opinión pública de
uno u otro comentario. #BancoCentral
#FALSO</t>
  </si>
  <si>
    <t xml:space="preserve">ignaciobriones_
</t>
  </si>
  <si>
    <t xml:space="preserve">gaeldiputada
</t>
  </si>
  <si>
    <t xml:space="preserve">gonzalowinter
</t>
  </si>
  <si>
    <t>wandersonrena20
RT @JovemPanNews: #OsPingosNosIs
| CPI vai acionar Banco Central
(BC) para descobrir quem financia
ONGs da Amazônia; bancada comenta
📺 Co…</t>
  </si>
  <si>
    <t>porque_com_br
Neste vídeo, o professor Dudu fala
da carreira de Ilan Goldfajn, que
atualmente é presidente do BID.
Assista! https://t.co/1sK53tZKWn
#economia #economistas #BID #FMI
#BancoCentral #IlanGoldfajn</t>
  </si>
  <si>
    <t>mickey60_
@ecuarauz Yo quiero los dolares
no trabajar #BancoCentral</t>
  </si>
  <si>
    <t>memesdelmijin
- Cobró sueldo durante varios años
sin trabajar - Habla 20 idiomas
- Quiere sacar el oro de los celulares
de los ecuatorianos - Tiene ideas
de desdolarizar al Ecuador Claro,
votemos por el LELO https://t.co/UoNGgwhXMl</t>
  </si>
  <si>
    <t>furtadoworld
Estou abrindo uma reclamação no
@BancoCentralBR #bancocentral pois,
meu dinheiro assim como o de outros
clientes dele está preso sem motivo.</t>
  </si>
  <si>
    <t>elpaishn
La inflación en Honduras en agosto
fue de 0,50 %, mientras que la
interanual se situó en 5,71 %,
informó este viernes el BCH. #ElPaísHN
#Honduras #Inflacion #BancoCentral
Más detalles aquí 👇 https://t.co/VtgvKCbFRk</t>
  </si>
  <si>
    <t>caio_c_antonio
ÚLTIMA NOTÍCIA: O presidente Lula
assinou o decreto que define o
Banco Central como regulador do
mercado cripto no Brasil. #Cripto
#Regulação #BancoCentral</t>
  </si>
  <si>
    <t>allan69silveira
#BancoCentral do inferno https://t.co/jKh2EiA2F2
https://t.co/VRTC7f82eJ</t>
  </si>
  <si>
    <t>mdq2014
Así de pobres somos.. PESO ARGENTINO
contra EURO #devaluación #irresponsables
#bancocentral https://t.co/3i40xU9lBq</t>
  </si>
  <si>
    <t>noticieronueve
⚠️ Préstamo de $400000 de ANSES
a trabajadores ⚠️ cómo chequear
si estás en situación 1 o 2 en
el Banco Central para pedirlo 👇
#ANSES #Préstamo #Crédtio #BancoCentral
#Trabajadores https://t.co/Enc2ocJXbg</t>
  </si>
  <si>
    <t>giranoticias
Banco Central prevê lançar PIX
Automático em abril de 2024 https://t.co/Fql1dVSfaz
#bancocentral #PIX #automático
#Abril2024 #giranotícias</t>
  </si>
  <si>
    <t>marilen21183970
RT @AuditoriaCidada: Pressione
o Banco Central contra esta política
de juros altos que prejudica o
Brasil #JurosBaixosJá #Selic #BancoCentr…</t>
  </si>
  <si>
    <t>diariousach
#bancocentral | Se estima que el
Consejo del ente rector mantendrá
inalterada la TPM en 11,25%. https://t.co/FidcPMPa9K</t>
  </si>
  <si>
    <t>losnotablelared
👉Pasó en Los Notables. @DianaMondino
economista y candidata a diputada
nacional de Javier Milei. 👉 La
nota en nuestro canal de Podcasts
en Spotify: "Programa Los Notables".
#LosNotables #Entrevistas #RadioLaRed
#economia #dolar #bancocentral
#Reservas https://t.co/OiTL7B5uCy</t>
  </si>
  <si>
    <t>temucodiario
Economía chilena, en caída libre:
Economistas coinciden en que #Chile
no podrá contener el #alza del
#dólar, pese a #intervenciones
del #BancoCentral https://t.co/uPoPPZA73N
https://t.co/wB5EiWuX6I</t>
  </si>
  <si>
    <t>elenaliberal
Corrupción y Banco central Independiente
van juntos o separados 🤔 ya 🤯
XD @DarekMacpherson @JMilei @Comecomunistas
@colomba_5 @AntiRojos1973 @Gabriel86439969
@epaganioficial https://t.co/R7AaVLXzld
#Economia #BancoCentral https://t.co/fkcOcdONWH</t>
  </si>
  <si>
    <t xml:space="preserve">epaganioficial
</t>
  </si>
  <si>
    <t xml:space="preserve">gabriel86439969
</t>
  </si>
  <si>
    <t xml:space="preserve">antirojos1973
</t>
  </si>
  <si>
    <t xml:space="preserve">colomba_5
</t>
  </si>
  <si>
    <t xml:space="preserve">comecomunistas
</t>
  </si>
  <si>
    <t xml:space="preserve">darekmacpherson
</t>
  </si>
  <si>
    <t>correiodeminas
Banco Central faz comunicado importantíssimo
para todos os brasileiros #correiodeminas
#bancocentral #comunicado #ComunicadoImportante
#twiter #correiodeminasonline https://t.co/3TVgazfD6i
https://t.co/FcwGC6pmt7</t>
  </si>
  <si>
    <t>strip_delpoder
#Periodismo #Politica #bancocentral
#Argentina @BancoCentral_AR</t>
  </si>
  <si>
    <t>jeangomes3815
Olha isso 👇🏻#noticias #noticia
#bancocentral #banco #bomdia #BomDiaBrasil
https://t.co/CUWItdHjv4</t>
  </si>
  <si>
    <t>_cronicacuerva
✅️ PRIMER PAGO HECHO ▶️ #SanLorenzo
ayer pagó los 600 mil dólares pertenecientes
a una de las dos cuotas del pase
de Bareiro desde #Monterrey ➡️
Por otro lado, aún se espera la
autorización del #BancoCentral
para abonar la deuda del "Torito"
Rodriguez https://t.co/WRXntZaUIm</t>
  </si>
  <si>
    <t>desenfoquecl
La presidenta del Banco Central
vaticinó que la tasa de interés
cerrará este año cercana al 8%
y la inflación en torno al 4%,
guarismos que hacen estar optimistas
en relación a la macroeconomía
de nuestro mercado. https://t.co/zoqLolE5cR
#ipc #bancocentral #tasa https://t.co/DP8dHBXAgl</t>
  </si>
  <si>
    <t>csmvadvogados
O Banco Central estabeleceu os
procedimentos para conversão do
modelo de participação das entidades
integrantes do Sistema de Pagamentos
Instantâneo (SPI). Confira: https://t.co/MdYmnethDO
#Pix #BancoCentral #BCB #Resolução
#SPI #ContaPI #Bancário #CSMV https://t.co/WlDcqgDl6a</t>
  </si>
  <si>
    <t>comunicacaock
#brasil #bc #bancocentral #juros
#selic</t>
  </si>
  <si>
    <t>formosaradio
❗La Justicia dispuso un procedimiento
en el Banco de la Nación Argentina,
luego de la difusión de polémicas
contrataciones ordenadas por personal
jerárquico del organismo que dirige
Silvina Batakis. #batakis #bancocentral
#numerologa #irregularidades #argentina
https://t.co/sIqhE1LMha</t>
  </si>
  <si>
    <t>guazelliadv
Conforme a resolução 3.919 do Banco
Central, as instituições bancárias
tem a obrigação de ofertar aos
seus clientes uma conta apenas
com os serviços essenciais. Quer
saber mais? Entre em contato conosco!
#guazelliadvocacia #rafaelguazelli
#nataliaguazelli #bancocentral
#bancos https://t.co/kppM2AblAQ</t>
  </si>
  <si>
    <t>politica_tiempo
#China actuó rápido, introduciendo
la primera divisa digital en un
#BancoCentral el e-Yuan, para transacciones
transfronterizas, posicionando
el #yuan como un competidor legítimo
de los bancos estadounidenses y
del #Swift</t>
  </si>
  <si>
    <t xml:space="preserve">santipenap
</t>
  </si>
  <si>
    <t>lmneuquen
💰¿Dónde se guardan las reservas
del #BancoCentral? @PatoBullrich
aseguró que, si gana las elecciones,
ingresará con una cámara de TV
a la bóveda del @BancoCentral_AR
; pero las #reservas no están allí.
¿Dónde están? https://t.co/VgPTz4OaYL</t>
  </si>
  <si>
    <t>veralucfonseca
O #BancoCentral divulga o lançamento
da nova #moedadigital do Brasil
🇧🇷 #Drex Enquanto isso: VeraLucia
Fonseca, Brasilia, DF Brazil: "A
Liberdade guiando o povo" o que
essa tela tem a... https://t.co/wRhz3zWxmQ</t>
  </si>
  <si>
    <t>grpobettencourt
ACB | Instituições autorizadas
a funcionar pelo Banco Central
do Brasil deverão compartilhar
dados para prevenção de golpes
e fraudes, conforme Resolução Conjunta
nº 6, de 23 de maio de 2023 #BancoCentral
#resolucao #dados #prevencao #economia
#informacoes #bancos https://t.co/0qaZvFcVal</t>
  </si>
  <si>
    <t>folhadebrasilia
O presidente do Banco Central,
Roberto Campos Neto, demonstrou
uma atitude conciliatória em relação
ao presidente Lula e expressou
sua disposição para o diálogo.
leia mais em: https://t.co/rkEV3qSzhN
#Noticias #BancoCentral https://t.co/nZlohix0sJ</t>
  </si>
  <si>
    <t>jornal_cultura
Após 10 aumentos seguidos, taxa
básica de juros norte-americana
se mantém a mesma. #EUA #BancoCentral
#TVCultura. https://t.co/b1iDi6wDlA</t>
  </si>
  <si>
    <t>nicoardu
RT @chtrader: #Argentina - #Tasadeinterés
- #BancoCentral Como sabemos, la
DECISION fue la de mantener sin
cambios la tasa de política m…</t>
  </si>
  <si>
    <t>heroisdaciencia
RT @AuditoriaCidada: Pressione
o Banco Central contra esta política
de juros altos que prejudica o
Brasil #JurosBaixosJá #Selic #BancoCentr…</t>
  </si>
  <si>
    <t>isaborsan
RT @AuditoriaCidada: Pressione
o Banco Central contra esta política
de juros altos que prejudica o
Brasil #JurosBaixosJá #Selic #BancoCentr…</t>
  </si>
  <si>
    <t>editor_platense
📈 Tras las PASO, el Banco Central
devaluó 22% y el dólar oficial
superó los $350 Lee la nota completa
🔗 https://t.co/lJl4LRAzDK #Dolar
#aumento #economia #bancoCentral
https://t.co/RNviZaj6ES</t>
  </si>
  <si>
    <t>activtrades_pt
Banco Central do Brasil corta taxa
Selic em 50bps para 13,25%. Mercado
brasileiro pode ser influenciado
pelo pessimismo nos mercados internacionais.
#BancoCentral #TaxaSelic #MercadoBrasileiro
84% dos negociadores de retalho
perdem dinheiro.</t>
  </si>
  <si>
    <t>jonatasamorimsp
Verme do Banco Central tem que
cair. #BancoCentral</t>
  </si>
  <si>
    <t>bancarioscaxias
🔵 Trabalhadores voltam a protestar
contra juros altos em todo o Brasil.
Saiba mais: https://t.co/PTGy8ECww9
#bancárioscaxias #JurosBaixosJá
#BancoCentral #Selic https://t.co/S4p8Qz4qBY</t>
  </si>
  <si>
    <t>radiokermes
El Banco Central de la República
Argentina (BCRA) anunció una devaluación
del peso y llevó el tipo de cambio
oficial a $350. Además, decidieron
acompañar la medida con una suba
de tasas del 21 puntos. #EleccionesPASO
#BancoCentral #Elecciones2023 Nota👇🏼https://t.co/i0GjHuLgu8</t>
  </si>
  <si>
    <t>santakidnap_
@itau Eu quero pagar os funcionários.
Vai ficar fora do ar até que horas?
Completamente instável o sistema
de vocês. #Itau #BancoCentral</t>
  </si>
  <si>
    <t>portaldeanews
Drex: Banco Central estabelece
nome oficial para a nova moeda
digital brasileira #noticias #Brasil
#Economia #BancoCentral #BC #MoedaDigital
#Drex #Moeda #Portaldeanews https://t.co/G8rwpfBPm5</t>
  </si>
  <si>
    <t>vasco_ecu
Soy de esas personas que uno de
sus lugares favoritos de #Cuenca
es la #biblioteca del #BancoCentral
... disculparan no más</t>
  </si>
  <si>
    <t>letapineda
El #BancoCentral de #Cuba anunció
el miércoles un paquete de medidas
dirigidas a potenciar la #bancarización
y la utilización de los canales
electrónicos de pago, en medio
de una espiral inflacionaria y
una fuerte #crisis de #liquidez
#AFP @AFPespanol https://t.co/d2g4JhYgPU
https://t.co/wP6qwMkugf</t>
  </si>
  <si>
    <t xml:space="preserve">afpespanol
</t>
  </si>
  <si>
    <t xml:space="preserve">tiendashites
</t>
  </si>
  <si>
    <t xml:space="preserve">pacocabrillo
</t>
  </si>
  <si>
    <t xml:space="preserve">osvaldo_gimenez
</t>
  </si>
  <si>
    <t xml:space="preserve">giseepanico_
</t>
  </si>
  <si>
    <t xml:space="preserve">terezacrisms
</t>
  </si>
  <si>
    <t xml:space="preserve">gugalusto
</t>
  </si>
  <si>
    <t>chicosabetudo
Novas atualizações no Pix prometem
revolucionar suas transações financeiras.
Saiba como o Pix Automático e outras
novidades podem facilitar ainda
mais sua vida. #portalchicosabetudo
#Pix #BancoCentral https://t.co/B6lGmJ2e0j</t>
  </si>
  <si>
    <t>GraphSource░TwitterSearch3▓GraphTerm░#bancocentral▓ImportDescription░The graph represents a network of 1.860 Twitter users whose recent tweets contained "#bancocentral", or who were replied to, mentioned, retweeted or quoted in those tweets, taken from a data set limited to a maximum of 4.000 tweets, tweeted between 01/01/2023 20:07:58 and 28/09/2023 20:07:58.  The network was obtained from Twitter on Thursday, 28 September 2023 at 23:31 UTC._x000D_
_x000D_
The tweets in the network were tweeted over the 232-day, 17-hour, 3-minute period from Wednesday, 08 February 2023 at 04:54 UTC to Thursday, 28 September 2023 at 21:57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above.▓ImportSuggestedTitle░#bancocentral Twitter NodeXL SNA Map and Report for quinta-feira, 28 setembro 2023 at 22:08 UTC▓ImportSuggestedFileNameNoExtension░2023-09-28 22-08-13 NodeXL Twitter Search #bancocentral</t>
  </si>
  <si>
    <t>Directed</t>
  </si>
  <si>
    <t>&lt;?xml version="1.0" encoding="utf-8"?&gt;_x000D_
&lt;configuration&gt;_x000D_
  &lt;configSections&gt;_x000D_
    &lt;sectionGroup name="userSettings" type="System.Configuration.UserSettingsGroup, System, Version=2.0.0.0, Culture=neutral, PublicKeyToken=b77a5c561934e089"&gt;_x000D_
      &lt;section name="GraphMetricUserSettings" type="System.Configuration.ClientSettingsSection, System, Version=2.0.0.0, Culture=neutral, PublicKeyToken=b77a5c561934e089" allowExeDefinition="MachineToLocalUser" requirePermission="false" /&gt;_x000D_
      &lt;section name="GeneralUserSettings4" type="System.Configuration.ClientSettingsSection, System, Version=2.0.0.0, Culture=neutral, PublicKeyToken=b77a5c561934e089" allowExeDefinition="MachineToLocalUser" requirePermission="false" /&gt;_x000D_
      &lt;section name="AutoScaleUserSettings" type="System.Configuration.ClientSettingsSection, System, Version=2.0.0.0, Culture=neutral, PublicKeyToken=b77a5c561934e089" allowExeDefinition="MachineToLocalUser" requirePermission="false" /&gt;_x000D_
      &lt;section name="GraphZoomAndScaleUserSettings" type="System.Configuration.ClientSettingsSection, System, Version=2.0.0.0, Culture=neutral, PublicKeyToken=b77a5c561934e089" allowExeDefinition="MachineToLocalUser" requirePermission="false" /&gt;_x000D_
    &lt;/sectionGroup&gt;_x000D_
  &lt;/configSections&gt;_x000D_
  &lt;userSettings&gt;_x000D_
    &lt;GraphMetricUserSettings&gt;_x000D_
      &lt;setting name="GraphMetricsToCalculate" serializeAs="String"&gt;_x000D_
        &lt;value&gt;OverallMetrics&lt;/value&gt;_x000D_
      &lt;/setting&gt;_x000D_
    &lt;/GraphMetricUserSettings&gt;_x000D_
    &lt;GeneralUserSettings4&gt;_x000D_
      &lt;setting name="ReadGroupLabels" serializeAs="String"&gt;_x000D_
        &lt;value&gt;True&lt;/value&gt;_x000D_
      &lt;/setting&gt;_x000D_
      &lt;setting name="ReadVertexLabels" serializeAs="String"&gt;_x000D_
        &lt;value&gt;True&lt;/value&gt;_x000D_
      &lt;/setting&gt;_x000D_
      &lt;setting name="ReadEdgeLabels" serializeAs="String"&gt;_x000D_
        &lt;value&gt;True&lt;/value&gt;_x000D_
      &lt;/setting&gt;_x000D_
      &lt;setting name="ShowGraphLegend" serializeAs="String"&gt;_x000D_
        &lt;value&gt;False&lt;/value&gt;_x000D_
      &lt;/setting&gt;_x000D_
      &lt;setting name="ShowGraphAxes" serializeAs="String"&gt;_x000D_
        &lt;value&gt;False&lt;/value&gt;_x000D_
      &lt;/setting&gt;_x000D_
      &lt;setting name="NewWorkbookGraphDirectedness" serializeAs="String"&gt;_x000D_
        &lt;value&gt;Directed&lt;/value&gt;_x000D_
      &lt;/setting&gt;_x000D_
    &lt;/GeneralUserSettings4&gt;_x000D_
    &lt;AutoScaleUserSettings&gt;_x000D_
      &lt;setting name="AutoScale" serializeAs="String"&gt;_x000D_
        &lt;value&gt;False&lt;/value&gt;_x000D_
      &lt;/setting&gt;_x000D_
    &lt;/AutoScaleUserSettings&gt;_x000D_
    &lt;GraphZoomAndScaleUserSettings&gt;_x000D_
      &lt;setting name="GraphScale" serializeAs="String"&gt;_x000D_
        &lt;value&gt;1&lt;/value&gt;_x000D_
      &lt;/setting&gt;_x000D_
    &lt;/GraphZoomAndScaleUserSettings&gt;_x000D_
  &lt;/userSettings&gt;_x000D_
&lt;/configuration&gt;</t>
  </si>
  <si>
    <t>Graph Type</t>
  </si>
  <si>
    <t>Modularity</t>
  </si>
  <si>
    <t>NodeXL Version</t>
  </si>
  <si>
    <t>Graph Gallery URL</t>
  </si>
  <si>
    <t>Graph Image URL</t>
  </si>
  <si>
    <t>Graph Source</t>
  </si>
  <si>
    <t>Graph Term</t>
  </si>
  <si>
    <t>Data Import</t>
  </si>
  <si>
    <t>Layout Algorithm</t>
  </si>
  <si>
    <t>Groups</t>
  </si>
  <si>
    <t>Edge Alpha</t>
  </si>
  <si>
    <t>Edge Color</t>
  </si>
  <si>
    <t>Edge Width</t>
  </si>
  <si>
    <t>Vertex Alpha</t>
  </si>
  <si>
    <t>Vertex Radius</t>
  </si>
  <si>
    <t>Vertex X</t>
  </si>
  <si>
    <t>Vertex y</t>
  </si>
  <si>
    <t>Not Applicable</t>
  </si>
  <si>
    <t>1.0.1.522</t>
  </si>
  <si>
    <t>TwitterSearch3</t>
  </si>
  <si>
    <t>#bancocentral</t>
  </si>
  <si>
    <t>The graph represents a network of 1.860 Twitter users whose recent tweets contained "#bancocentral", or who were replied to, mentioned, retweeted or quoted in those tweets, taken from a data set limited to a maximum of 4.000 tweets, tweeted between 01/01/2023 20:07:58 and 28/09/2023 20:07:58.  The network was obtained from Twitter on Thursday, 28 September 2023 at 23:31 UTC._x000D_
_x000D_
The tweets in the network were tweeted over the 232-day, 17-hour, 3-minute period from Wednesday, 08 February 2023 at 04:54 UTC to Thursday, 28 September 2023 at 21:57 UTC._x000D_
_x000D_
There is an edge for each "replies-to" relationship in a tweet, an edge for each "mentions" relationship in a tweet, an edge for each "retweet" relationship in a tweet, an edge for each "quote" relationship in a tweet, an edge for each "mention in retweet" relationship in a tweet, an edge for each "mention in reply-to" relationship in a tweet, an edge for each "mention in quote" relationship in a tweet, an edge for each "mention in quote reply-to" relationship in a tweet, and a self-loop edge for each tweet that is not from above.</t>
  </si>
  <si>
    <t>Key</t>
  </si>
  <si>
    <t>Action Label</t>
  </si>
  <si>
    <t>Action URL</t>
  </si>
  <si>
    <t>Brand Logo</t>
  </si>
  <si>
    <t>Brand URL</t>
  </si>
  <si>
    <t>Hashtag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</si>
</sst>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0.0"/>
    <numFmt numFmtId="165" formatCode="#,##0.0"/>
    <numFmt numFmtId="166" formatCode="#,##0.000"/>
    <numFmt numFmtId="167" formatCode="0.000"/>
  </numFmts>
  <fonts count="14" x14ac:knownFonts="1">
    <font>
      <sz val="11"/>
      <color theme="1"/>
      <name val="Calibri"/>
      <family val="2"/>
      <scheme val="minor"/>
    </font>
    <font>
      <b/>
      <sz val="11"/>
      <color theme="1"/>
      <name val="Calibri"/>
      <family val="2"/>
      <scheme val="minor"/>
    </font>
    <font>
      <b/>
      <sz val="8"/>
      <color indexed="81"/>
      <name val="Tahoma"/>
      <family val="2"/>
    </font>
    <font>
      <sz val="8"/>
      <color indexed="81"/>
      <name val="Tahoma"/>
      <family val="2"/>
    </font>
    <font>
      <u/>
      <sz val="8"/>
      <color indexed="81"/>
      <name val="Tahoma"/>
      <family val="2"/>
    </font>
    <font>
      <sz val="11"/>
      <color theme="1"/>
      <name val="Calibri"/>
      <family val="2"/>
      <scheme val="minor"/>
    </font>
    <font>
      <sz val="11"/>
      <color theme="0"/>
      <name val="Calibri"/>
      <family val="2"/>
      <scheme val="minor"/>
    </font>
    <font>
      <b/>
      <sz val="11"/>
      <color theme="0"/>
      <name val="Calibri"/>
      <family val="2"/>
      <scheme val="minor"/>
    </font>
    <font>
      <b/>
      <sz val="9"/>
      <color indexed="81"/>
      <name val="Tahoma"/>
      <charset val="1"/>
    </font>
    <font>
      <sz val="9"/>
      <color indexed="81"/>
      <name val="Tahoma"/>
      <family val="2"/>
    </font>
    <font>
      <sz val="9"/>
      <color indexed="81"/>
      <name val="Tahoma"/>
      <charset val="1"/>
    </font>
    <font>
      <sz val="11"/>
      <color theme="1"/>
      <name val="Calibri"/>
      <scheme val="minor"/>
    </font>
    <font>
      <b/>
      <sz val="9"/>
      <color indexed="81"/>
      <name val="Tahoma"/>
      <family val="2"/>
    </font>
    <font>
      <u/>
      <sz val="11"/>
      <color theme="10"/>
      <name val="Calibri"/>
      <family val="2"/>
      <scheme val="minor"/>
    </font>
  </fonts>
  <fills count="10">
    <fill>
      <patternFill patternType="none"/>
    </fill>
    <fill>
      <patternFill patternType="gray125"/>
    </fill>
    <fill>
      <patternFill patternType="solid">
        <fgColor theme="1" tint="0.499984740745262"/>
        <bgColor indexed="64"/>
      </patternFill>
    </fill>
    <fill>
      <patternFill patternType="solid">
        <fgColor theme="4" tint="0.59996337778862885"/>
        <bgColor indexed="64"/>
      </patternFill>
    </fill>
    <fill>
      <patternFill patternType="solid">
        <fgColor theme="4" tint="0.39994506668294322"/>
        <bgColor indexed="64"/>
      </patternFill>
    </fill>
    <fill>
      <patternFill patternType="solid">
        <fgColor theme="4" tint="0.79998168889431442"/>
        <bgColor indexed="64"/>
      </patternFill>
    </fill>
    <fill>
      <patternFill patternType="solid">
        <fgColor theme="4" tint="-0.24994659260841701"/>
        <bgColor indexed="64"/>
      </patternFill>
    </fill>
    <fill>
      <patternFill patternType="solid">
        <fgColor theme="4"/>
        <bgColor theme="4"/>
      </patternFill>
    </fill>
    <fill>
      <patternFill patternType="solid">
        <fgColor theme="4" tint="0.59999389629810485"/>
        <bgColor theme="4" tint="0.59999389629810485"/>
      </patternFill>
    </fill>
    <fill>
      <patternFill patternType="solid">
        <fgColor theme="4" tint="0.79998168889431442"/>
        <bgColor theme="4" tint="0.79998168889431442"/>
      </patternFill>
    </fill>
  </fills>
  <borders count="12">
    <border>
      <left/>
      <right/>
      <top/>
      <bottom/>
      <diagonal/>
    </border>
    <border>
      <left style="thin">
        <color theme="0"/>
      </left>
      <right style="thin">
        <color theme="0"/>
      </right>
      <top style="thin">
        <color theme="0"/>
      </top>
      <bottom style="thin">
        <color theme="0"/>
      </bottom>
      <diagonal/>
    </border>
    <border>
      <left style="thin">
        <color theme="0"/>
      </left>
      <right/>
      <top/>
      <bottom/>
      <diagonal/>
    </border>
    <border>
      <left/>
      <right style="thin">
        <color theme="0"/>
      </right>
      <top/>
      <bottom style="thick">
        <color theme="0"/>
      </bottom>
      <diagonal/>
    </border>
    <border>
      <left/>
      <right/>
      <top/>
      <bottom style="thick">
        <color theme="0"/>
      </bottom>
      <diagonal/>
    </border>
    <border>
      <left/>
      <right style="thin">
        <color theme="0"/>
      </right>
      <top/>
      <bottom style="thin">
        <color theme="0"/>
      </bottom>
      <diagonal/>
    </border>
    <border>
      <left/>
      <right/>
      <top/>
      <bottom style="thin">
        <color theme="0"/>
      </bottom>
      <diagonal/>
    </border>
    <border>
      <left/>
      <right style="thin">
        <color theme="0"/>
      </right>
      <top/>
      <bottom/>
      <diagonal/>
    </border>
    <border>
      <left style="thin">
        <color theme="0"/>
      </left>
      <right/>
      <top style="thin">
        <color theme="0"/>
      </top>
      <bottom style="thin">
        <color theme="0"/>
      </bottom>
      <diagonal/>
    </border>
    <border>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s>
  <cellStyleXfs count="10">
    <xf numFmtId="0" fontId="0" fillId="0" borderId="0"/>
    <xf numFmtId="49" fontId="5" fillId="2" borderId="1" applyNumberFormat="0" applyFont="0" applyAlignment="0" applyProtection="0"/>
    <xf numFmtId="0" fontId="5" fillId="0" borderId="0" applyNumberFormat="0" applyFont="0" applyFill="0" applyBorder="0" applyAlignment="0" applyProtection="0"/>
    <xf numFmtId="0" fontId="5" fillId="0" borderId="0" applyNumberFormat="0" applyFont="0" applyBorder="0" applyAlignment="0" applyProtection="0"/>
    <xf numFmtId="49" fontId="5" fillId="5" borderId="1" applyNumberFormat="0" applyFont="0" applyAlignment="0" applyProtection="0"/>
    <xf numFmtId="49" fontId="5" fillId="4" borderId="1" applyNumberFormat="0" applyAlignment="0" applyProtection="0"/>
    <xf numFmtId="0" fontId="6" fillId="6" borderId="1" applyNumberFormat="0" applyAlignment="0" applyProtection="0"/>
    <xf numFmtId="164" fontId="5" fillId="3" borderId="1" applyNumberFormat="0" applyFont="0" applyAlignment="0" applyProtection="0"/>
    <xf numFmtId="49" fontId="5" fillId="5" borderId="1" applyNumberFormat="0" applyFont="0" applyAlignment="0" applyProtection="0"/>
    <xf numFmtId="0" fontId="13" fillId="0" borderId="0" applyNumberFormat="0" applyFill="0" applyBorder="0" applyAlignment="0" applyProtection="0"/>
  </cellStyleXfs>
  <cellXfs count="106">
    <xf numFmtId="0" fontId="0" fillId="0" borderId="0" xfId="0"/>
    <xf numFmtId="49" fontId="0" fillId="0" borderId="0" xfId="0" applyNumberFormat="1"/>
    <xf numFmtId="1" fontId="0" fillId="0" borderId="0" xfId="0" applyNumberFormat="1"/>
    <xf numFmtId="0" fontId="1" fillId="0" borderId="0" xfId="0" applyFont="1" applyAlignment="1">
      <alignment wrapText="1"/>
    </xf>
    <xf numFmtId="49" fontId="1" fillId="0" borderId="0" xfId="0" applyNumberFormat="1" applyFont="1" applyAlignment="1">
      <alignment wrapText="1"/>
    </xf>
    <xf numFmtId="164" fontId="0" fillId="0" borderId="0" xfId="0" applyNumberFormat="1"/>
    <xf numFmtId="0" fontId="0" fillId="0" borderId="0" xfId="0" applyAlignment="1">
      <alignment vertical="top" wrapText="1"/>
    </xf>
    <xf numFmtId="0" fontId="0" fillId="0" borderId="0" xfId="0" applyAlignment="1">
      <alignment wrapText="1"/>
    </xf>
    <xf numFmtId="164" fontId="0" fillId="0" borderId="0" xfId="0" applyNumberFormat="1" applyAlignment="1">
      <alignment wrapText="1"/>
    </xf>
    <xf numFmtId="1" fontId="0" fillId="0" borderId="0" xfId="0" applyNumberFormat="1" applyAlignment="1">
      <alignment wrapText="1"/>
    </xf>
    <xf numFmtId="49" fontId="0" fillId="0" borderId="0" xfId="0" applyNumberFormat="1" applyAlignment="1">
      <alignment wrapText="1"/>
    </xf>
    <xf numFmtId="49" fontId="0" fillId="0" borderId="0" xfId="3" applyNumberFormat="1" applyFont="1"/>
    <xf numFmtId="0" fontId="0" fillId="5" borderId="1" xfId="4" applyNumberFormat="1" applyFont="1"/>
    <xf numFmtId="49" fontId="6" fillId="6" borderId="1" xfId="6" applyNumberFormat="1"/>
    <xf numFmtId="0" fontId="0" fillId="0" borderId="0" xfId="2" applyFont="1"/>
    <xf numFmtId="0" fontId="0" fillId="5" borderId="0" xfId="4" applyNumberFormat="1" applyFont="1" applyBorder="1"/>
    <xf numFmtId="1" fontId="0" fillId="5" borderId="0" xfId="4" applyNumberFormat="1" applyFont="1" applyBorder="1"/>
    <xf numFmtId="0" fontId="0" fillId="2" borderId="0" xfId="1" applyNumberFormat="1" applyFont="1" applyBorder="1"/>
    <xf numFmtId="0" fontId="5" fillId="4" borderId="0" xfId="5" applyNumberFormat="1" applyBorder="1"/>
    <xf numFmtId="164" fontId="5" fillId="4" borderId="0" xfId="5" applyNumberFormat="1" applyBorder="1"/>
    <xf numFmtId="1" fontId="5" fillId="4" borderId="0" xfId="5" applyNumberFormat="1" applyBorder="1"/>
    <xf numFmtId="0" fontId="5" fillId="4" borderId="2" xfId="5" applyNumberFormat="1" applyBorder="1"/>
    <xf numFmtId="0" fontId="0" fillId="5" borderId="2" xfId="4" applyNumberFormat="1" applyFont="1" applyBorder="1"/>
    <xf numFmtId="0" fontId="6" fillId="6" borderId="0" xfId="6" applyBorder="1"/>
    <xf numFmtId="0" fontId="6" fillId="6" borderId="2" xfId="6" applyBorder="1"/>
    <xf numFmtId="0" fontId="0" fillId="3" borderId="0" xfId="7" applyNumberFormat="1" applyFont="1" applyBorder="1"/>
    <xf numFmtId="0" fontId="0" fillId="3" borderId="2" xfId="7" applyNumberFormat="1" applyFont="1" applyBorder="1"/>
    <xf numFmtId="0" fontId="0" fillId="2" borderId="2" xfId="1" applyNumberFormat="1" applyFont="1" applyBorder="1"/>
    <xf numFmtId="0" fontId="0" fillId="0" borderId="2" xfId="2" applyFont="1" applyBorder="1"/>
    <xf numFmtId="0" fontId="1" fillId="0" borderId="0" xfId="0" applyFont="1"/>
    <xf numFmtId="4" fontId="0" fillId="0" borderId="0" xfId="0" applyNumberFormat="1"/>
    <xf numFmtId="0" fontId="5" fillId="4" borderId="1" xfId="5" applyNumberFormat="1"/>
    <xf numFmtId="0" fontId="5" fillId="4" borderId="1" xfId="5" applyNumberFormat="1" applyAlignment="1"/>
    <xf numFmtId="0" fontId="7" fillId="7" borderId="3" xfId="0" applyFont="1" applyFill="1" applyBorder="1"/>
    <xf numFmtId="0" fontId="7" fillId="7" borderId="4" xfId="0" applyFont="1" applyFill="1" applyBorder="1"/>
    <xf numFmtId="4" fontId="0" fillId="8" borderId="5" xfId="0" applyNumberFormat="1" applyFill="1" applyBorder="1"/>
    <xf numFmtId="0" fontId="0" fillId="8" borderId="6" xfId="0" applyFill="1" applyBorder="1"/>
    <xf numFmtId="4" fontId="0" fillId="9" borderId="5" xfId="0" applyNumberFormat="1" applyFill="1" applyBorder="1"/>
    <xf numFmtId="0" fontId="0" fillId="9" borderId="6" xfId="0" applyFill="1" applyBorder="1"/>
    <xf numFmtId="4" fontId="0" fillId="9" borderId="7" xfId="0" applyNumberFormat="1" applyFill="1" applyBorder="1"/>
    <xf numFmtId="0" fontId="0" fillId="9" borderId="0" xfId="0" applyFill="1"/>
    <xf numFmtId="0" fontId="0" fillId="8" borderId="5" xfId="0" applyFill="1" applyBorder="1"/>
    <xf numFmtId="0" fontId="0" fillId="9" borderId="5" xfId="0" applyFill="1" applyBorder="1"/>
    <xf numFmtId="0" fontId="0" fillId="9" borderId="7" xfId="0" applyFill="1" applyBorder="1"/>
    <xf numFmtId="1" fontId="5" fillId="4" borderId="1" xfId="5" applyNumberFormat="1"/>
    <xf numFmtId="167" fontId="5" fillId="4" borderId="1" xfId="5" applyNumberFormat="1"/>
    <xf numFmtId="1" fontId="5" fillId="4" borderId="1" xfId="5" applyNumberFormat="1" applyAlignment="1"/>
    <xf numFmtId="167" fontId="5" fillId="4" borderId="1" xfId="5" applyNumberFormat="1" applyAlignment="1"/>
    <xf numFmtId="167" fontId="11" fillId="4" borderId="1" xfId="5" applyNumberFormat="1" applyFont="1" applyAlignment="1"/>
    <xf numFmtId="0" fontId="5" fillId="2" borderId="1" xfId="1" applyNumberFormat="1"/>
    <xf numFmtId="0" fontId="6" fillId="6" borderId="1" xfId="6"/>
    <xf numFmtId="0" fontId="6" fillId="6" borderId="1" xfId="6" applyNumberFormat="1"/>
    <xf numFmtId="0" fontId="0" fillId="5" borderId="8" xfId="4" applyNumberFormat="1" applyFont="1" applyBorder="1"/>
    <xf numFmtId="0" fontId="0" fillId="5" borderId="9" xfId="4" applyNumberFormat="1" applyFont="1" applyBorder="1"/>
    <xf numFmtId="0" fontId="0" fillId="5" borderId="10" xfId="4" applyNumberFormat="1" applyFont="1" applyBorder="1"/>
    <xf numFmtId="0" fontId="0" fillId="3" borderId="8" xfId="7" applyNumberFormat="1" applyFont="1" applyBorder="1"/>
    <xf numFmtId="0" fontId="6" fillId="3" borderId="10" xfId="7" applyNumberFormat="1" applyFont="1" applyBorder="1"/>
    <xf numFmtId="0" fontId="5" fillId="2" borderId="8" xfId="1" applyNumberFormat="1" applyBorder="1"/>
    <xf numFmtId="0" fontId="5" fillId="2" borderId="10" xfId="1" applyNumberFormat="1" applyBorder="1"/>
    <xf numFmtId="0" fontId="5" fillId="4" borderId="8" xfId="5" applyNumberFormat="1" applyBorder="1"/>
    <xf numFmtId="0" fontId="5" fillId="4" borderId="9" xfId="5" applyNumberFormat="1" applyBorder="1"/>
    <xf numFmtId="0" fontId="0" fillId="3" borderId="1" xfId="7" applyNumberFormat="1" applyFont="1"/>
    <xf numFmtId="49" fontId="0" fillId="0" borderId="0" xfId="3" applyNumberFormat="1" applyFont="1" applyAlignment="1"/>
    <xf numFmtId="0" fontId="0" fillId="5" borderId="1" xfId="4" applyNumberFormat="1" applyFont="1" applyAlignment="1"/>
    <xf numFmtId="164" fontId="0" fillId="5" borderId="1" xfId="4" applyNumberFormat="1" applyFont="1" applyAlignment="1"/>
    <xf numFmtId="0" fontId="11" fillId="5" borderId="1" xfId="4" applyNumberFormat="1" applyFont="1" applyAlignment="1"/>
    <xf numFmtId="1" fontId="0" fillId="5" borderId="1" xfId="4" applyNumberFormat="1" applyFont="1" applyAlignment="1"/>
    <xf numFmtId="49" fontId="6" fillId="6" borderId="1" xfId="6" applyNumberFormat="1" applyAlignment="1"/>
    <xf numFmtId="0" fontId="6" fillId="6" borderId="1" xfId="6" applyNumberFormat="1" applyAlignment="1"/>
    <xf numFmtId="0" fontId="0" fillId="2" borderId="1" xfId="1" applyNumberFormat="1" applyFont="1" applyAlignment="1"/>
    <xf numFmtId="0" fontId="0" fillId="0" borderId="0" xfId="2" applyNumberFormat="1" applyFont="1" applyAlignment="1"/>
    <xf numFmtId="164" fontId="0" fillId="3" borderId="1" xfId="7" applyNumberFormat="1" applyFont="1" applyAlignment="1"/>
    <xf numFmtId="165" fontId="0" fillId="3" borderId="1" xfId="7" applyNumberFormat="1" applyFont="1" applyAlignment="1"/>
    <xf numFmtId="0" fontId="0" fillId="3" borderId="1" xfId="7" applyNumberFormat="1" applyFont="1" applyAlignment="1"/>
    <xf numFmtId="166" fontId="0" fillId="3" borderId="1" xfId="7" applyNumberFormat="1" applyFont="1" applyAlignment="1"/>
    <xf numFmtId="0" fontId="11" fillId="2" borderId="1" xfId="1" applyNumberFormat="1" applyFont="1" applyAlignment="1"/>
    <xf numFmtId="0" fontId="0" fillId="0" borderId="0" xfId="0" applyAlignment="1"/>
    <xf numFmtId="0" fontId="0" fillId="0" borderId="0" xfId="0" applyFill="1" applyAlignment="1"/>
    <xf numFmtId="22" fontId="0" fillId="0" borderId="0" xfId="0" applyNumberFormat="1" applyAlignment="1"/>
    <xf numFmtId="22" fontId="0" fillId="0" borderId="0" xfId="0" applyNumberFormat="1" applyFill="1" applyAlignment="1"/>
    <xf numFmtId="0" fontId="0" fillId="0" borderId="0" xfId="0" quotePrefix="1" applyFill="1" applyAlignment="1"/>
    <xf numFmtId="0" fontId="0" fillId="0" borderId="0" xfId="0" quotePrefix="1" applyAlignment="1"/>
    <xf numFmtId="0" fontId="13" fillId="0" borderId="0" xfId="9" applyAlignment="1"/>
    <xf numFmtId="0" fontId="13" fillId="0" borderId="0" xfId="9" applyFill="1" applyAlignment="1"/>
    <xf numFmtId="14" fontId="0" fillId="0" borderId="0" xfId="0" applyNumberFormat="1" applyAlignment="1"/>
    <xf numFmtId="14" fontId="0" fillId="0" borderId="0" xfId="0" applyNumberFormat="1" applyFill="1" applyAlignment="1"/>
    <xf numFmtId="11" fontId="0" fillId="0" borderId="0" xfId="0" applyNumberFormat="1" applyFill="1" applyAlignment="1"/>
    <xf numFmtId="1" fontId="11" fillId="4" borderId="1" xfId="5" applyNumberFormat="1" applyFont="1" applyAlignment="1"/>
    <xf numFmtId="49" fontId="0" fillId="0" borderId="0" xfId="3" applyNumberFormat="1" applyFont="1" applyBorder="1" applyAlignment="1"/>
    <xf numFmtId="0" fontId="0" fillId="5" borderId="11" xfId="4" applyNumberFormat="1" applyFont="1" applyBorder="1" applyAlignment="1"/>
    <xf numFmtId="164" fontId="0" fillId="5" borderId="11" xfId="4" applyNumberFormat="1" applyFont="1" applyBorder="1" applyAlignment="1"/>
    <xf numFmtId="1" fontId="0" fillId="5" borderId="11" xfId="4" applyNumberFormat="1" applyFont="1" applyBorder="1" applyAlignment="1"/>
    <xf numFmtId="49" fontId="6" fillId="6" borderId="11" xfId="6" applyNumberFormat="1" applyBorder="1" applyAlignment="1"/>
    <xf numFmtId="0" fontId="6" fillId="6" borderId="11" xfId="6" applyNumberFormat="1" applyBorder="1" applyAlignment="1"/>
    <xf numFmtId="164" fontId="0" fillId="3" borderId="11" xfId="7" applyNumberFormat="1" applyFont="1" applyBorder="1" applyAlignment="1"/>
    <xf numFmtId="165" fontId="0" fillId="3" borderId="11" xfId="7" applyNumberFormat="1" applyFont="1" applyBorder="1" applyAlignment="1"/>
    <xf numFmtId="0" fontId="0" fillId="3" borderId="11" xfId="7" applyNumberFormat="1" applyFont="1" applyBorder="1" applyAlignment="1"/>
    <xf numFmtId="166" fontId="0" fillId="3" borderId="11" xfId="7" applyNumberFormat="1" applyFont="1" applyBorder="1" applyAlignment="1"/>
    <xf numFmtId="1" fontId="11" fillId="4" borderId="11" xfId="5" applyNumberFormat="1" applyFont="1" applyBorder="1" applyAlignment="1"/>
    <xf numFmtId="167" fontId="11" fillId="4" borderId="11" xfId="5" applyNumberFormat="1" applyFont="1" applyBorder="1" applyAlignment="1"/>
    <xf numFmtId="167" fontId="5" fillId="4" borderId="11" xfId="5" applyNumberFormat="1" applyBorder="1" applyAlignment="1"/>
    <xf numFmtId="0" fontId="0" fillId="2" borderId="11" xfId="1" applyNumberFormat="1" applyFont="1" applyBorder="1" applyAlignment="1"/>
    <xf numFmtId="0" fontId="0" fillId="0" borderId="0" xfId="2" applyNumberFormat="1" applyFont="1" applyBorder="1" applyAlignment="1"/>
    <xf numFmtId="0" fontId="13" fillId="5" borderId="1" xfId="9" applyNumberFormat="1" applyFill="1" applyBorder="1" applyAlignment="1"/>
    <xf numFmtId="0" fontId="13" fillId="5" borderId="11" xfId="9" applyNumberFormat="1" applyFill="1" applyBorder="1" applyAlignment="1"/>
    <xf numFmtId="0" fontId="5" fillId="5" borderId="1" xfId="8" applyNumberFormat="1" applyAlignment="1"/>
  </cellXfs>
  <cellStyles count="10">
    <cellStyle name="Hiperlink" xfId="9" builtinId="8"/>
    <cellStyle name="NodeXL Do Not Edit" xfId="1" xr:uid="{00000000-0005-0000-0000-000000000000}"/>
    <cellStyle name="NodeXL Graph Metric" xfId="5" xr:uid="{00000000-0005-0000-0000-000001000000}"/>
    <cellStyle name="NodeXL Graph Metric Separator" xfId="8" xr:uid="{00000000-0005-0000-0000-000002000000}"/>
    <cellStyle name="NodeXL Label" xfId="6" xr:uid="{00000000-0005-0000-0000-000003000000}"/>
    <cellStyle name="NodeXL Layout" xfId="7" xr:uid="{00000000-0005-0000-0000-000004000000}"/>
    <cellStyle name="NodeXL Other Column" xfId="2" xr:uid="{00000000-0005-0000-0000-000005000000}"/>
    <cellStyle name="NodeXL Required" xfId="3" xr:uid="{00000000-0005-0000-0000-000006000000}"/>
    <cellStyle name="NodeXL Visual Property" xfId="4" xr:uid="{00000000-0005-0000-0000-000007000000}"/>
    <cellStyle name="Normal" xfId="0" builtinId="0"/>
  </cellStyles>
  <dxfs count="188">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1"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border outline="0">
        <right style="thin">
          <color theme="0"/>
        </right>
      </border>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border outline="0">
        <left style="thin">
          <color theme="0"/>
        </left>
      </border>
    </dxf>
    <dxf>
      <numFmt numFmtId="0" formatCode="General"/>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border outline="0">
        <left style="thin">
          <color theme="0"/>
        </left>
      </border>
    </dxf>
    <dxf>
      <numFmt numFmtId="1" formatCode="0"/>
      <alignment horizontal="general" vertical="bottom" textRotation="0" wrapText="0" indent="0" justifyLastLine="0" shrinkToFit="0" readingOrder="0"/>
      <border outline="0">
        <right style="thin">
          <color theme="0"/>
        </right>
      </border>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67" formatCode="0.00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1" formatCode="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166" formatCode="#,##0.0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165"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30" formatCode="@"/>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1" formatCode="0"/>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numFmt numFmtId="0" formatCode="General"/>
      <alignment horizontal="general" vertical="bottom" textRotation="0" wrapText="0" indent="0" justifyLastLine="0" shrinkToFit="0" readingOrder="0"/>
    </dxf>
    <dxf>
      <numFmt numFmtId="164" formatCode="0.0"/>
      <alignment horizontal="general" vertical="bottom" textRotation="0" wrapText="0" 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i val="0"/>
        <strike val="0"/>
        <condense val="0"/>
        <extend val="0"/>
        <outline val="0"/>
        <shadow val="0"/>
        <u val="none"/>
        <vertAlign val="baseline"/>
        <sz val="11"/>
        <color theme="1"/>
        <name val="Calibri"/>
        <scheme val="minor"/>
      </font>
      <alignment horizontal="general" vertical="bottom" textRotation="0" wrapText="1" relativeIndent="0" justifyLastLine="0" shrinkToFit="0" readingOrder="0"/>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font>
        <b val="0"/>
        <i val="0"/>
        <strike val="0"/>
        <condense val="0"/>
        <extend val="0"/>
        <outline val="0"/>
        <shadow val="0"/>
        <u val="none"/>
        <vertAlign val="baseline"/>
        <sz val="11"/>
        <color theme="1"/>
        <name val="Calibri"/>
        <scheme val="minor"/>
      </font>
      <numFmt numFmtId="0" formatCode="General"/>
      <fill>
        <patternFill patternType="solid">
          <fgColor theme="4" tint="0.79998168889431442"/>
          <bgColor theme="4" tint="0.79998168889431442"/>
        </patternFill>
      </fill>
      <border diagonalUp="0" diagonalDown="0">
        <left/>
        <right/>
        <top/>
        <bottom style="thin">
          <color theme="0"/>
        </bottom>
        <vertical/>
        <horizontal/>
      </border>
    </dxf>
    <dxf>
      <font>
        <b val="0"/>
        <i val="0"/>
        <strike val="0"/>
        <condense val="0"/>
        <extend val="0"/>
        <outline val="0"/>
        <shadow val="0"/>
        <u val="none"/>
        <vertAlign val="baseline"/>
        <sz val="11"/>
        <color theme="1"/>
        <name val="Calibri"/>
        <scheme val="minor"/>
      </font>
      <numFmt numFmtId="4" formatCode="#,##0.00"/>
      <fill>
        <patternFill patternType="solid">
          <fgColor theme="4" tint="0.79998168889431442"/>
          <bgColor theme="4" tint="0.79998168889431442"/>
        </patternFill>
      </fill>
      <border diagonalUp="0" diagonalDown="0">
        <left/>
        <right style="thin">
          <color theme="0"/>
        </right>
        <top/>
        <bottom style="thin">
          <color theme="0"/>
        </bottom>
        <vertical/>
        <horizontal/>
      </border>
    </dxf>
    <dxf>
      <numFmt numFmtId="0" formatCode="General"/>
    </dxf>
    <dxf>
      <numFmt numFmtId="4" formatCode="#,##0.00"/>
    </dxf>
    <dxf>
      <numFmt numFmtId="0" formatCode="General"/>
    </dxf>
    <dxf>
      <numFmt numFmtId="30" formatCode="@"/>
    </dxf>
    <dxf>
      <numFmt numFmtId="30" formatCode="@"/>
    </dxf>
    <dxf>
      <numFmt numFmtId="30" formatCode="@"/>
    </dxf>
    <dxf>
      <numFmt numFmtId="30" formatCode="@"/>
    </dxf>
    <dxf>
      <numFmt numFmtId="167" formatCode="0.000"/>
    </dxf>
    <dxf>
      <numFmt numFmtId="167"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0" formatCode="General"/>
    </dxf>
    <dxf>
      <font>
        <b val="0"/>
        <i val="0"/>
        <strike val="0"/>
        <condense val="0"/>
        <extend val="0"/>
        <outline val="0"/>
        <shadow val="0"/>
        <u val="none"/>
        <vertAlign val="baseline"/>
        <sz val="11"/>
        <color theme="1"/>
        <name val="Calibri"/>
        <scheme val="minor"/>
      </font>
      <numFmt numFmtId="0" formatCode="General"/>
    </dxf>
    <dxf>
      <numFmt numFmtId="30" formatCode="@"/>
    </dxf>
    <dxf>
      <font>
        <b val="0"/>
        <i val="0"/>
        <strike val="0"/>
        <condense val="0"/>
        <extend val="0"/>
        <outline val="0"/>
        <shadow val="0"/>
        <u val="none"/>
        <vertAlign val="baseline"/>
        <sz val="11"/>
        <color theme="1"/>
        <name val="Calibri"/>
        <scheme val="minor"/>
      </font>
      <numFmt numFmtId="0" formatCode="General"/>
    </dxf>
    <dxf>
      <numFmt numFmtId="0" formatCode="General"/>
    </dxf>
    <dxf>
      <numFmt numFmtId="0" formatCode="General"/>
    </dxf>
    <dxf>
      <numFmt numFmtId="30" formatCode="@"/>
    </dxf>
    <dxf>
      <alignment horizontal="general" vertical="bottom" textRotation="0" wrapText="1" indent="0" justifyLastLine="0" shrinkToFit="0" readingOrder="0"/>
    </dxf>
    <dxf>
      <numFmt numFmtId="30" formatCode="@"/>
      <alignment horizontal="general" vertical="bottom" textRotation="0" wrapText="1" indent="0" justifyLastLine="0" shrinkToFit="0" readingOrder="0"/>
    </dxf>
    <dxf>
      <alignment horizontal="general" vertical="bottom" textRotation="0" wrapText="1" indent="0" justifyLastLine="0" shrinkToFit="0" readingOrder="0"/>
    </dxf>
    <dxf>
      <font>
        <color theme="0"/>
      </font>
      <fill>
        <patternFill>
          <bgColor theme="4"/>
        </patternFill>
      </fill>
      <border>
        <left style="thin">
          <color theme="0"/>
        </left>
        <right style="thin">
          <color theme="0"/>
        </right>
        <top style="thin">
          <color theme="0"/>
        </top>
        <bottom style="thin">
          <color theme="0"/>
        </bottom>
        <vertical style="thin">
          <color theme="0"/>
        </vertical>
        <horizontal style="thin">
          <color theme="0"/>
        </horizontal>
      </border>
    </dxf>
    <dxf>
      <font>
        <b/>
        <i val="0"/>
      </font>
      <fill>
        <patternFill>
          <bgColor rgb="FFD7D7D7"/>
        </patternFill>
      </fill>
    </dxf>
    <dxf>
      <font>
        <b val="0"/>
        <i val="0"/>
      </font>
      <fill>
        <patternFill patternType="none">
          <bgColor indexed="65"/>
        </patternFill>
      </fill>
    </dxf>
  </dxfs>
  <tableStyles count="2" defaultTableStyle="TableStyleMedium9" defaultPivotStyle="PivotStyleLight16">
    <tableStyle name="MySqlDefault" pivot="0" table="0" count="2" xr9:uid="{00000000-0011-0000-FFFF-FFFF00000000}">
      <tableStyleElement type="wholeTable" dxfId="187"/>
      <tableStyleElement type="headerRow" dxfId="186"/>
    </tableStyle>
    <tableStyle name="NodeXL Table" pivot="0" count="1" xr9:uid="{00000000-0011-0000-FFFF-FFFF01000000}">
      <tableStyleElement type="headerRow" dxfId="185"/>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Metrics'!$E$2</c:f>
              <c:strCache>
                <c:ptCount val="1"/>
                <c:pt idx="0">
                  <c:v>0</c:v>
                </c:pt>
              </c:strCache>
            </c:strRef>
          </c:tx>
          <c:spPr>
            <a:solidFill>
              <a:schemeClr val="accent1"/>
            </a:solidFill>
          </c:spPr>
          <c:invertIfNegative val="0"/>
          <c:cat>
            <c:numRef>
              <c:f>'Overall Metrics'!$D$2:$D$41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Metrics'!$E$2:$E$41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1CA3-4D11-BD14-DDB7D3B92221}"/>
            </c:ext>
          </c:extLst>
        </c:ser>
        <c:dLbls>
          <c:showLegendKey val="0"/>
          <c:showVal val="0"/>
          <c:showCatName val="0"/>
          <c:showSerName val="0"/>
          <c:showPercent val="0"/>
          <c:showBubbleSize val="0"/>
        </c:dLbls>
        <c:gapWidth val="0"/>
        <c:axId val="1190537248"/>
        <c:axId val="1190542144"/>
      </c:barChart>
      <c:catAx>
        <c:axId val="1190537248"/>
        <c:scaling>
          <c:orientation val="minMax"/>
        </c:scaling>
        <c:delete val="1"/>
        <c:axPos val="b"/>
        <c:title>
          <c:tx>
            <c:rich>
              <a:bodyPr/>
              <a:lstStyle/>
              <a:p>
                <a:pPr>
                  <a:defRPr/>
                </a:pPr>
                <a:r>
                  <a:rPr lang="en-US"/>
                  <a:t>Degree</a:t>
                </a:r>
              </a:p>
            </c:rich>
          </c:tx>
          <c:layout>
            <c:manualLayout>
              <c:xMode val="edge"/>
              <c:yMode val="edge"/>
              <c:x val="0.44107564559545148"/>
              <c:y val="0.83479536025738765"/>
            </c:manualLayout>
          </c:layout>
          <c:overlay val="0"/>
        </c:title>
        <c:numFmt formatCode="#,##0.00" sourceLinked="1"/>
        <c:majorTickMark val="out"/>
        <c:minorTickMark val="none"/>
        <c:tickLblPos val="none"/>
        <c:crossAx val="1190542144"/>
        <c:crosses val="autoZero"/>
        <c:auto val="1"/>
        <c:lblAlgn val="ctr"/>
        <c:lblOffset val="100"/>
        <c:noMultiLvlLbl val="0"/>
      </c:catAx>
      <c:valAx>
        <c:axId val="1190542144"/>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724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Metrics'!$G$2</c:f>
              <c:strCache>
                <c:ptCount val="1"/>
                <c:pt idx="0">
                  <c:v>0</c:v>
                </c:pt>
              </c:strCache>
            </c:strRef>
          </c:tx>
          <c:spPr>
            <a:solidFill>
              <a:schemeClr val="accent1"/>
            </a:solidFill>
          </c:spPr>
          <c:invertIfNegative val="0"/>
          <c:cat>
            <c:numRef>
              <c:f>'Overall Metrics'!$F$2:$F$41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Metrics'!$G$2:$G$41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DA36-40CE-935D-F7BD014F5664}"/>
            </c:ext>
          </c:extLst>
        </c:ser>
        <c:dLbls>
          <c:showLegendKey val="0"/>
          <c:showVal val="0"/>
          <c:showCatName val="0"/>
          <c:showSerName val="0"/>
          <c:showPercent val="0"/>
          <c:showBubbleSize val="0"/>
        </c:dLbls>
        <c:gapWidth val="0"/>
        <c:axId val="1190542688"/>
        <c:axId val="1190537792"/>
      </c:barChart>
      <c:catAx>
        <c:axId val="1190542688"/>
        <c:scaling>
          <c:orientation val="minMax"/>
        </c:scaling>
        <c:delete val="1"/>
        <c:axPos val="b"/>
        <c:title>
          <c:tx>
            <c:rich>
              <a:bodyPr/>
              <a:lstStyle/>
              <a:p>
                <a:pPr>
                  <a:defRPr/>
                </a:pPr>
                <a:r>
                  <a:rPr lang="en-US"/>
                  <a:t>In-Degree</a:t>
                </a:r>
              </a:p>
            </c:rich>
          </c:tx>
          <c:layout>
            <c:manualLayout>
              <c:xMode val="edge"/>
              <c:yMode val="edge"/>
              <c:x val="0.43425552624336278"/>
              <c:y val="0.81759105918211861"/>
            </c:manualLayout>
          </c:layout>
          <c:overlay val="0"/>
        </c:title>
        <c:numFmt formatCode="#,##0.00" sourceLinked="1"/>
        <c:majorTickMark val="out"/>
        <c:minorTickMark val="none"/>
        <c:tickLblPos val="none"/>
        <c:crossAx val="1190537792"/>
        <c:crosses val="autoZero"/>
        <c:auto val="1"/>
        <c:lblAlgn val="ctr"/>
        <c:lblOffset val="100"/>
        <c:noMultiLvlLbl val="0"/>
      </c:catAx>
      <c:valAx>
        <c:axId val="119053779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268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Metrics'!$I$2</c:f>
              <c:strCache>
                <c:ptCount val="1"/>
                <c:pt idx="0">
                  <c:v>0</c:v>
                </c:pt>
              </c:strCache>
            </c:strRef>
          </c:tx>
          <c:spPr>
            <a:solidFill>
              <a:schemeClr val="accent1"/>
            </a:solidFill>
          </c:spPr>
          <c:invertIfNegative val="0"/>
          <c:cat>
            <c:numRef>
              <c:f>'Overall Metrics'!$H$2:$H$41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Metrics'!$I$2:$I$41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3900-4D3A-81D5-090CC7CBD4B1}"/>
            </c:ext>
          </c:extLst>
        </c:ser>
        <c:dLbls>
          <c:showLegendKey val="0"/>
          <c:showVal val="0"/>
          <c:showCatName val="0"/>
          <c:showSerName val="0"/>
          <c:showPercent val="0"/>
          <c:showBubbleSize val="0"/>
        </c:dLbls>
        <c:gapWidth val="0"/>
        <c:axId val="1190539424"/>
        <c:axId val="1190543232"/>
      </c:barChart>
      <c:catAx>
        <c:axId val="1190539424"/>
        <c:scaling>
          <c:orientation val="minMax"/>
        </c:scaling>
        <c:delete val="1"/>
        <c:axPos val="b"/>
        <c:title>
          <c:tx>
            <c:rich>
              <a:bodyPr/>
              <a:lstStyle/>
              <a:p>
                <a:pPr>
                  <a:defRPr/>
                </a:pPr>
                <a:r>
                  <a:rPr lang="en-US"/>
                  <a:t>Out-Degree</a:t>
                </a:r>
              </a:p>
            </c:rich>
          </c:tx>
          <c:layout>
            <c:manualLayout>
              <c:xMode val="edge"/>
              <c:yMode val="edge"/>
              <c:x val="0.41379516818709683"/>
              <c:y val="0.80898890864450268"/>
            </c:manualLayout>
          </c:layout>
          <c:overlay val="0"/>
        </c:title>
        <c:numFmt formatCode="#,##0.00" sourceLinked="1"/>
        <c:majorTickMark val="out"/>
        <c:minorTickMark val="none"/>
        <c:tickLblPos val="none"/>
        <c:crossAx val="1190543232"/>
        <c:crosses val="autoZero"/>
        <c:auto val="1"/>
        <c:lblAlgn val="ctr"/>
        <c:lblOffset val="100"/>
        <c:noMultiLvlLbl val="0"/>
      </c:catAx>
      <c:valAx>
        <c:axId val="119054323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942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Metrics'!$K$2</c:f>
              <c:strCache>
                <c:ptCount val="1"/>
                <c:pt idx="0">
                  <c:v>0</c:v>
                </c:pt>
              </c:strCache>
            </c:strRef>
          </c:tx>
          <c:spPr>
            <a:solidFill>
              <a:schemeClr val="accent1"/>
            </a:solidFill>
          </c:spPr>
          <c:invertIfNegative val="0"/>
          <c:cat>
            <c:numRef>
              <c:f>'Overall Metrics'!$J$2:$J$41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Metrics'!$K$2:$K$41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A26-45A7-8C58-7F6D50700FC0}"/>
            </c:ext>
          </c:extLst>
        </c:ser>
        <c:dLbls>
          <c:showLegendKey val="0"/>
          <c:showVal val="0"/>
          <c:showCatName val="0"/>
          <c:showSerName val="0"/>
          <c:showPercent val="0"/>
          <c:showBubbleSize val="0"/>
        </c:dLbls>
        <c:gapWidth val="0"/>
        <c:axId val="1190543776"/>
        <c:axId val="1190548128"/>
      </c:barChart>
      <c:catAx>
        <c:axId val="1190543776"/>
        <c:scaling>
          <c:orientation val="minMax"/>
        </c:scaling>
        <c:delete val="1"/>
        <c:axPos val="b"/>
        <c:title>
          <c:tx>
            <c:rich>
              <a:bodyPr/>
              <a:lstStyle/>
              <a:p>
                <a:pPr>
                  <a:defRPr/>
                </a:pPr>
                <a:r>
                  <a:rPr lang="en-US"/>
                  <a:t>Betweenness Centrality</a:t>
                </a:r>
              </a:p>
            </c:rich>
          </c:tx>
          <c:layout>
            <c:manualLayout>
              <c:xMode val="edge"/>
              <c:yMode val="edge"/>
              <c:x val="0.32728710116056114"/>
              <c:y val="0.82619320971975252"/>
            </c:manualLayout>
          </c:layout>
          <c:overlay val="0"/>
        </c:title>
        <c:numFmt formatCode="#,##0.00" sourceLinked="1"/>
        <c:majorTickMark val="out"/>
        <c:minorTickMark val="none"/>
        <c:tickLblPos val="none"/>
        <c:crossAx val="1190548128"/>
        <c:crosses val="autoZero"/>
        <c:auto val="1"/>
        <c:lblAlgn val="ctr"/>
        <c:lblOffset val="100"/>
        <c:noMultiLvlLbl val="0"/>
      </c:catAx>
      <c:valAx>
        <c:axId val="1190548128"/>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377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Metrics'!$M$2</c:f>
              <c:strCache>
                <c:ptCount val="1"/>
                <c:pt idx="0">
                  <c:v>0</c:v>
                </c:pt>
              </c:strCache>
            </c:strRef>
          </c:tx>
          <c:spPr>
            <a:solidFill>
              <a:schemeClr val="accent1"/>
            </a:solidFill>
          </c:spPr>
          <c:invertIfNegative val="0"/>
          <c:cat>
            <c:numRef>
              <c:f>'Overall Metrics'!$L$2:$L$41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Metrics'!$M$2:$M$41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2CCF-4054-BBBD-5C993397D164}"/>
            </c:ext>
          </c:extLst>
        </c:ser>
        <c:dLbls>
          <c:showLegendKey val="0"/>
          <c:showVal val="0"/>
          <c:showCatName val="0"/>
          <c:showSerName val="0"/>
          <c:showPercent val="0"/>
          <c:showBubbleSize val="0"/>
        </c:dLbls>
        <c:gapWidth val="0"/>
        <c:axId val="1190536704"/>
        <c:axId val="1190549760"/>
      </c:barChart>
      <c:catAx>
        <c:axId val="1190536704"/>
        <c:scaling>
          <c:orientation val="minMax"/>
        </c:scaling>
        <c:delete val="1"/>
        <c:axPos val="b"/>
        <c:title>
          <c:tx>
            <c:rich>
              <a:bodyPr/>
              <a:lstStyle/>
              <a:p>
                <a:pPr>
                  <a:defRPr/>
                </a:pPr>
                <a:r>
                  <a:rPr lang="en-US"/>
                  <a:t>Closeness Centrality</a:t>
                </a:r>
              </a:p>
            </c:rich>
          </c:tx>
          <c:layout>
            <c:manualLayout>
              <c:xMode val="edge"/>
              <c:yMode val="edge"/>
              <c:x val="0.35406086287408578"/>
              <c:y val="0.82619320971975252"/>
            </c:manualLayout>
          </c:layout>
          <c:overlay val="0"/>
        </c:title>
        <c:numFmt formatCode="#,##0.00" sourceLinked="1"/>
        <c:majorTickMark val="out"/>
        <c:minorTickMark val="none"/>
        <c:tickLblPos val="none"/>
        <c:crossAx val="1190549760"/>
        <c:crosses val="autoZero"/>
        <c:auto val="1"/>
        <c:lblAlgn val="ctr"/>
        <c:lblOffset val="100"/>
        <c:noMultiLvlLbl val="0"/>
      </c:catAx>
      <c:valAx>
        <c:axId val="119054976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36704"/>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Metrics'!$O$2</c:f>
              <c:strCache>
                <c:ptCount val="1"/>
                <c:pt idx="0">
                  <c:v>0</c:v>
                </c:pt>
              </c:strCache>
            </c:strRef>
          </c:tx>
          <c:spPr>
            <a:solidFill>
              <a:schemeClr val="accent1"/>
            </a:solidFill>
          </c:spPr>
          <c:invertIfNegative val="0"/>
          <c:cat>
            <c:numRef>
              <c:f>'Overall Metrics'!$N$2:$N$41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Metrics'!$O$2:$O$41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A126-42BF-8A94-EC6050B3D1D9}"/>
            </c:ext>
          </c:extLst>
        </c:ser>
        <c:dLbls>
          <c:showLegendKey val="0"/>
          <c:showVal val="0"/>
          <c:showCatName val="0"/>
          <c:showSerName val="0"/>
          <c:showPercent val="0"/>
          <c:showBubbleSize val="0"/>
        </c:dLbls>
        <c:gapWidth val="0"/>
        <c:axId val="1190544320"/>
        <c:axId val="1190548672"/>
      </c:barChart>
      <c:catAx>
        <c:axId val="1190544320"/>
        <c:scaling>
          <c:orientation val="minMax"/>
        </c:scaling>
        <c:delete val="1"/>
        <c:axPos val="b"/>
        <c:title>
          <c:tx>
            <c:rich>
              <a:bodyPr/>
              <a:lstStyle/>
              <a:p>
                <a:pPr>
                  <a:defRPr/>
                </a:pPr>
                <a:r>
                  <a:rPr lang="en-US"/>
                  <a:t>Eigenvector</a:t>
                </a:r>
                <a:r>
                  <a:rPr lang="en-US" baseline="0"/>
                  <a:t> </a:t>
                </a:r>
                <a:r>
                  <a:rPr lang="en-US"/>
                  <a:t>Centrality</a:t>
                </a:r>
              </a:p>
            </c:rich>
          </c:tx>
          <c:layout>
            <c:manualLayout>
              <c:xMode val="edge"/>
              <c:yMode val="edge"/>
              <c:x val="0.33732726180313355"/>
              <c:y val="0.82619320971975252"/>
            </c:manualLayout>
          </c:layout>
          <c:overlay val="0"/>
        </c:title>
        <c:numFmt formatCode="#,##0.00" sourceLinked="1"/>
        <c:majorTickMark val="out"/>
        <c:minorTickMark val="none"/>
        <c:tickLblPos val="none"/>
        <c:crossAx val="1190548672"/>
        <c:crosses val="autoZero"/>
        <c:auto val="1"/>
        <c:lblAlgn val="ctr"/>
        <c:lblOffset val="100"/>
        <c:noMultiLvlLbl val="0"/>
      </c:catAx>
      <c:valAx>
        <c:axId val="119054867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4320"/>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Metrics'!$S$2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Metrics'!$S$2:$S$41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5E7B-4109-A581-A124C0D4BB57}"/>
            </c:ext>
          </c:extLst>
        </c:ser>
        <c:dLbls>
          <c:showLegendKey val="0"/>
          <c:showVal val="0"/>
          <c:showCatName val="0"/>
          <c:showSerName val="0"/>
          <c:showPercent val="0"/>
          <c:showBubbleSize val="0"/>
        </c:dLbls>
        <c:gapWidth val="0"/>
        <c:axId val="1190545408"/>
        <c:axId val="1190545952"/>
      </c:barChart>
      <c:catAx>
        <c:axId val="1190545408"/>
        <c:scaling>
          <c:orientation val="minMax"/>
        </c:scaling>
        <c:delete val="1"/>
        <c:axPos val="b"/>
        <c:title>
          <c:tx>
            <c:rich>
              <a:bodyPr/>
              <a:lstStyle/>
              <a:p>
                <a:pPr>
                  <a:defRPr/>
                </a:pPr>
                <a:r>
                  <a:rPr lang="en-US"/>
                  <a:t>Clustering Coefficient</a:t>
                </a:r>
              </a:p>
            </c:rich>
          </c:tx>
          <c:layout>
            <c:manualLayout>
              <c:xMode val="edge"/>
              <c:yMode val="edge"/>
              <c:x val="0.33732726180313377"/>
              <c:y val="0.82619320971975252"/>
            </c:manualLayout>
          </c:layout>
          <c:overlay val="0"/>
        </c:title>
        <c:numFmt formatCode="#,##0.00" sourceLinked="1"/>
        <c:majorTickMark val="out"/>
        <c:minorTickMark val="none"/>
        <c:tickLblPos val="none"/>
        <c:crossAx val="1190545952"/>
        <c:crosses val="autoZero"/>
        <c:auto val="1"/>
        <c:lblAlgn val="ctr"/>
        <c:lblOffset val="100"/>
        <c:noMultiLvlLbl val="0"/>
      </c:catAx>
      <c:valAx>
        <c:axId val="1190545952"/>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5408"/>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strRef>
              <c:f>'Overall Metrics'!$Q$2</c:f>
              <c:strCache>
                <c:ptCount val="1"/>
                <c:pt idx="0">
                  <c:v>0</c:v>
                </c:pt>
              </c:strCache>
            </c:strRef>
          </c:tx>
          <c:spPr>
            <a:solidFill>
              <a:schemeClr val="accent1"/>
            </a:solidFill>
          </c:spPr>
          <c:invertIfNegative val="0"/>
          <c:cat>
            <c:numRef>
              <c:f>'Overall Metrics'!$R$2:$R$41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Metrics'!$Q$2:$Q$41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40E1-400F-B04F-F32AD0B807D9}"/>
            </c:ext>
          </c:extLst>
        </c:ser>
        <c:dLbls>
          <c:showLegendKey val="0"/>
          <c:showVal val="0"/>
          <c:showCatName val="0"/>
          <c:showSerName val="0"/>
          <c:showPercent val="0"/>
          <c:showBubbleSize val="0"/>
        </c:dLbls>
        <c:gapWidth val="0"/>
        <c:axId val="1190546496"/>
        <c:axId val="1190547040"/>
      </c:barChart>
      <c:catAx>
        <c:axId val="1190546496"/>
        <c:scaling>
          <c:orientation val="minMax"/>
        </c:scaling>
        <c:delete val="1"/>
        <c:axPos val="b"/>
        <c:title>
          <c:tx>
            <c:rich>
              <a:bodyPr/>
              <a:lstStyle/>
              <a:p>
                <a:pPr>
                  <a:defRPr/>
                </a:pPr>
                <a:r>
                  <a:rPr lang="en-US"/>
                  <a:t>PageRank</a:t>
                </a:r>
              </a:p>
            </c:rich>
          </c:tx>
          <c:layout>
            <c:manualLayout>
              <c:xMode val="edge"/>
              <c:yMode val="edge"/>
              <c:x val="0.41764854694368031"/>
              <c:y val="0.82619320971975252"/>
            </c:manualLayout>
          </c:layout>
          <c:overlay val="0"/>
        </c:title>
        <c:numFmt formatCode="#,##0.00" sourceLinked="1"/>
        <c:majorTickMark val="out"/>
        <c:minorTickMark val="none"/>
        <c:tickLblPos val="none"/>
        <c:crossAx val="1190547040"/>
        <c:crosses val="autoZero"/>
        <c:auto val="1"/>
        <c:lblAlgn val="ctr"/>
        <c:lblOffset val="100"/>
        <c:noMultiLvlLbl val="0"/>
      </c:catAx>
      <c:valAx>
        <c:axId val="1190547040"/>
        <c:scaling>
          <c:orientation val="minMax"/>
        </c:scaling>
        <c:delete val="0"/>
        <c:axPos val="l"/>
        <c:majorGridlines/>
        <c:title>
          <c:tx>
            <c:rich>
              <a:bodyPr rot="-5400000" vert="horz"/>
              <a:lstStyle/>
              <a:p>
                <a:pPr>
                  <a:defRPr/>
                </a:pPr>
                <a:r>
                  <a:rPr lang="en-US"/>
                  <a:t>Frequency</a:t>
                </a:r>
              </a:p>
            </c:rich>
          </c:tx>
          <c:overlay val="0"/>
        </c:title>
        <c:numFmt formatCode="General" sourceLinked="1"/>
        <c:majorTickMark val="out"/>
        <c:minorTickMark val="none"/>
        <c:tickLblPos val="nextTo"/>
        <c:crossAx val="1190546496"/>
        <c:crosses val="autoZero"/>
        <c:crossBetween val="between"/>
      </c:valAx>
    </c:plotArea>
    <c:plotVisOnly val="0"/>
    <c:dispBlanksAs val="gap"/>
    <c:showDLblsOverMax val="0"/>
  </c:chart>
  <c:printSettings>
    <c:headerFooter/>
    <c:pageMargins b="0.75000000000001465" l="0.70000000000000062" r="0.70000000000000062" t="0.75000000000001465" header="0.30000000000000032" footer="0.30000000000000032"/>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pt-BR"/>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2.7639579878386837E-3"/>
          <c:y val="8.0430855234004828E-3"/>
          <c:w val="0.99723592884220325"/>
          <c:h val="0.9839124654872371"/>
        </c:manualLayout>
      </c:layout>
      <c:barChart>
        <c:barDir val="col"/>
        <c:grouping val="clustered"/>
        <c:varyColors val="0"/>
        <c:ser>
          <c:idx val="1"/>
          <c:order val="0"/>
          <c:tx>
            <c:strRef>
              <c:f>'Overall Metrics'!$U$2</c:f>
              <c:strCache>
                <c:ptCount val="1"/>
                <c:pt idx="0">
                  <c:v>#REF!</c:v>
                </c:pt>
              </c:strCache>
            </c:strRef>
          </c:tx>
          <c:spPr>
            <a:solidFill>
              <a:schemeClr val="accent1"/>
            </a:solidFill>
          </c:spPr>
          <c:invertIfNegative val="0"/>
          <c:cat>
            <c:numRef>
              <c:f>'Overall Metrics'!$T$2:$T$41</c:f>
              <c:numCache>
                <c:formatCode>#,##0.00</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cat>
          <c:val>
            <c:numRef>
              <c:f>'Overall Metrics'!$U$2:$U$41</c:f>
              <c:numCache>
                <c:formatCode>General</c:formatCode>
                <c:ptCount val="4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numCache>
            </c:numRef>
          </c:val>
          <c:extLst>
            <c:ext xmlns:c16="http://schemas.microsoft.com/office/drawing/2014/chart" uri="{C3380CC4-5D6E-409C-BE32-E72D297353CC}">
              <c16:uniqueId val="{00000000-CE30-4A82-8BD0-05E23EF661B3}"/>
            </c:ext>
          </c:extLst>
        </c:ser>
        <c:dLbls>
          <c:showLegendKey val="0"/>
          <c:showVal val="0"/>
          <c:showCatName val="0"/>
          <c:showSerName val="0"/>
          <c:showPercent val="0"/>
          <c:showBubbleSize val="0"/>
        </c:dLbls>
        <c:gapWidth val="0"/>
        <c:axId val="1190549216"/>
        <c:axId val="1190550304"/>
      </c:barChart>
      <c:catAx>
        <c:axId val="1190549216"/>
        <c:scaling>
          <c:orientation val="minMax"/>
        </c:scaling>
        <c:delete val="1"/>
        <c:axPos val="b"/>
        <c:numFmt formatCode="#,##0.00" sourceLinked="1"/>
        <c:majorTickMark val="out"/>
        <c:minorTickMark val="none"/>
        <c:tickLblPos val="none"/>
        <c:crossAx val="1190550304"/>
        <c:crosses val="autoZero"/>
        <c:auto val="1"/>
        <c:lblAlgn val="ctr"/>
        <c:lblOffset val="100"/>
        <c:noMultiLvlLbl val="0"/>
      </c:catAx>
      <c:valAx>
        <c:axId val="1190550304"/>
        <c:scaling>
          <c:orientation val="minMax"/>
        </c:scaling>
        <c:delete val="1"/>
        <c:axPos val="l"/>
        <c:numFmt formatCode="General" sourceLinked="1"/>
        <c:majorTickMark val="out"/>
        <c:minorTickMark val="none"/>
        <c:tickLblPos val="none"/>
        <c:crossAx val="1190549216"/>
        <c:crosses val="autoZero"/>
        <c:crossBetween val="between"/>
      </c:valAx>
      <c:spPr>
        <a:solidFill>
          <a:schemeClr val="bg1">
            <a:lumMod val="85000"/>
          </a:schemeClr>
        </a:solidFill>
        <a:ln>
          <a:noFill/>
        </a:ln>
      </c:spPr>
    </c:plotArea>
    <c:plotVisOnly val="0"/>
    <c:dispBlanksAs val="gap"/>
    <c:showDLblsOverMax val="0"/>
  </c:chart>
  <c:spPr>
    <a:noFill/>
    <a:ln>
      <a:noFill/>
    </a:ln>
  </c:spPr>
  <c:printSettings>
    <c:headerFooter/>
    <c:pageMargins b="0.75000000000001465" l="0.70000000000000062" r="0.70000000000000062" t="0.75000000000001465" header="0.30000000000000032" footer="0.30000000000000032"/>
    <c:pageSetup/>
  </c:printSettings>
</c:chartSpac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0</xdr:col>
      <xdr:colOff>-1</xdr:colOff>
      <xdr:row>65</xdr:row>
      <xdr:rowOff>38100</xdr:rowOff>
    </xdr:from>
    <xdr:to>
      <xdr:col>1</xdr:col>
      <xdr:colOff>918209</xdr:colOff>
      <xdr:row>72</xdr:row>
      <xdr:rowOff>180975</xdr:rowOff>
    </xdr:to>
    <xdr:graphicFrame macro="">
      <xdr:nvGraphicFramePr>
        <xdr:cNvPr id="2" name="DegreeHistogram">
          <a:extLst>
            <a:ext uri="{FF2B5EF4-FFF2-40B4-BE49-F238E27FC236}">
              <a16:creationId xmlns:a16="http://schemas.microsoft.com/office/drawing/2014/main" id="{00000000-0008-0000-05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xdr:colOff>
      <xdr:row>79</xdr:row>
      <xdr:rowOff>38100</xdr:rowOff>
    </xdr:from>
    <xdr:to>
      <xdr:col>1</xdr:col>
      <xdr:colOff>918209</xdr:colOff>
      <xdr:row>86</xdr:row>
      <xdr:rowOff>180975</xdr:rowOff>
    </xdr:to>
    <xdr:graphicFrame macro="">
      <xdr:nvGraphicFramePr>
        <xdr:cNvPr id="5" name="InDegreeHistogram">
          <a:extLst>
            <a:ext uri="{FF2B5EF4-FFF2-40B4-BE49-F238E27FC236}">
              <a16:creationId xmlns:a16="http://schemas.microsoft.com/office/drawing/2014/main" id="{00000000-0008-0000-05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xdr:colOff>
      <xdr:row>93</xdr:row>
      <xdr:rowOff>28575</xdr:rowOff>
    </xdr:from>
    <xdr:to>
      <xdr:col>1</xdr:col>
      <xdr:colOff>918209</xdr:colOff>
      <xdr:row>100</xdr:row>
      <xdr:rowOff>171450</xdr:rowOff>
    </xdr:to>
    <xdr:graphicFrame macro="">
      <xdr:nvGraphicFramePr>
        <xdr:cNvPr id="4" name="OutDegreeHistogram">
          <a:extLst>
            <a:ext uri="{FF2B5EF4-FFF2-40B4-BE49-F238E27FC236}">
              <a16:creationId xmlns:a16="http://schemas.microsoft.com/office/drawing/2014/main" id="{00000000-0008-0000-0500-000004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107</xdr:row>
      <xdr:rowOff>9525</xdr:rowOff>
    </xdr:from>
    <xdr:to>
      <xdr:col>1</xdr:col>
      <xdr:colOff>918210</xdr:colOff>
      <xdr:row>114</xdr:row>
      <xdr:rowOff>152400</xdr:rowOff>
    </xdr:to>
    <xdr:graphicFrame macro="">
      <xdr:nvGraphicFramePr>
        <xdr:cNvPr id="6" name="BetweennessCentralityHistogram">
          <a:extLst>
            <a:ext uri="{FF2B5EF4-FFF2-40B4-BE49-F238E27FC236}">
              <a16:creationId xmlns:a16="http://schemas.microsoft.com/office/drawing/2014/main" id="{00000000-0008-0000-05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9525</xdr:colOff>
      <xdr:row>121</xdr:row>
      <xdr:rowOff>19050</xdr:rowOff>
    </xdr:from>
    <xdr:to>
      <xdr:col>2</xdr:col>
      <xdr:colOff>0</xdr:colOff>
      <xdr:row>128</xdr:row>
      <xdr:rowOff>161925</xdr:rowOff>
    </xdr:to>
    <xdr:graphicFrame macro="">
      <xdr:nvGraphicFramePr>
        <xdr:cNvPr id="7" name="ClosenessCentralityHistogram">
          <a:extLst>
            <a:ext uri="{FF2B5EF4-FFF2-40B4-BE49-F238E27FC236}">
              <a16:creationId xmlns:a16="http://schemas.microsoft.com/office/drawing/2014/main" id="{00000000-0008-0000-05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135</xdr:row>
      <xdr:rowOff>19050</xdr:rowOff>
    </xdr:from>
    <xdr:to>
      <xdr:col>1</xdr:col>
      <xdr:colOff>918210</xdr:colOff>
      <xdr:row>142</xdr:row>
      <xdr:rowOff>161925</xdr:rowOff>
    </xdr:to>
    <xdr:graphicFrame macro="">
      <xdr:nvGraphicFramePr>
        <xdr:cNvPr id="8" name="EigenvectorCentralityHistogram">
          <a:extLst>
            <a:ext uri="{FF2B5EF4-FFF2-40B4-BE49-F238E27FC236}">
              <a16:creationId xmlns:a16="http://schemas.microsoft.com/office/drawing/2014/main" id="{00000000-0008-0000-05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163</xdr:row>
      <xdr:rowOff>9525</xdr:rowOff>
    </xdr:from>
    <xdr:to>
      <xdr:col>1</xdr:col>
      <xdr:colOff>918210</xdr:colOff>
      <xdr:row>170</xdr:row>
      <xdr:rowOff>152400</xdr:rowOff>
    </xdr:to>
    <xdr:graphicFrame macro="">
      <xdr:nvGraphicFramePr>
        <xdr:cNvPr id="9" name="ClusteringCoefficientHistogram">
          <a:extLst>
            <a:ext uri="{FF2B5EF4-FFF2-40B4-BE49-F238E27FC236}">
              <a16:creationId xmlns:a16="http://schemas.microsoft.com/office/drawing/2014/main" id="{00000000-0008-0000-0500-000009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0</xdr:colOff>
      <xdr:row>149</xdr:row>
      <xdr:rowOff>0</xdr:rowOff>
    </xdr:from>
    <xdr:to>
      <xdr:col>1</xdr:col>
      <xdr:colOff>918210</xdr:colOff>
      <xdr:row>156</xdr:row>
      <xdr:rowOff>142875</xdr:rowOff>
    </xdr:to>
    <xdr:graphicFrame macro="">
      <xdr:nvGraphicFramePr>
        <xdr:cNvPr id="10" name="ClusteringCoefficientHistogram">
          <a:extLst>
            <a:ext uri="{FF2B5EF4-FFF2-40B4-BE49-F238E27FC236}">
              <a16:creationId xmlns:a16="http://schemas.microsoft.com/office/drawing/2014/main" id="{00000000-0008-0000-0500-00000A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17</xdr:col>
      <xdr:colOff>0</xdr:colOff>
      <xdr:row>1</xdr:row>
      <xdr:rowOff>0</xdr:rowOff>
    </xdr:from>
    <xdr:to>
      <xdr:col>22</xdr:col>
      <xdr:colOff>381000</xdr:colOff>
      <xdr:row>4</xdr:row>
      <xdr:rowOff>28575</xdr:rowOff>
    </xdr:to>
    <xdr:graphicFrame macro="">
      <xdr:nvGraphicFramePr>
        <xdr:cNvPr id="2" name="DynamicFilterHistogram">
          <a:extLst>
            <a:ext uri="{FF2B5EF4-FFF2-40B4-BE49-F238E27FC236}">
              <a16:creationId xmlns:a16="http://schemas.microsoft.com/office/drawing/2014/main" id="{00000000-0008-0000-06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Edges" displayName="Edges" ref="A2:BI4295" totalsRowShown="0" headerRowDxfId="184" dataDxfId="125">
  <autoFilter ref="A2:BI4295" xr:uid="{00000000-0009-0000-0100-000001000000}"/>
  <tableColumns count="61">
    <tableColumn id="1" xr3:uid="{00000000-0010-0000-0000-000001000000}" name="Vertex 1" dataDxfId="101" dataCellStyle="NodeXL Required"/>
    <tableColumn id="2" xr3:uid="{00000000-0010-0000-0000-000002000000}" name="Vertex 2" dataDxfId="99" dataCellStyle="NodeXL Required"/>
    <tableColumn id="3" xr3:uid="{00000000-0010-0000-0000-000003000000}" name="Color" dataDxfId="100" dataCellStyle="NodeXL Visual Property"/>
    <tableColumn id="4" xr3:uid="{00000000-0010-0000-0000-000004000000}" name="Width" dataDxfId="135" dataCellStyle="NodeXL Visual Property"/>
    <tableColumn id="11" xr3:uid="{00000000-0010-0000-0000-00000B000000}" name="Style" dataDxfId="134" dataCellStyle="NodeXL Visual Property"/>
    <tableColumn id="5" xr3:uid="{00000000-0010-0000-0000-000005000000}" name="Opacity" dataDxfId="133" dataCellStyle="NodeXL Visual Property"/>
    <tableColumn id="6" xr3:uid="{00000000-0010-0000-0000-000006000000}" name="Visibility" dataDxfId="132" dataCellStyle="NodeXL Visual Property"/>
    <tableColumn id="10" xr3:uid="{00000000-0010-0000-0000-00000A000000}" name="Label" dataDxfId="131" dataCellStyle="NodeXL Label"/>
    <tableColumn id="12" xr3:uid="{00000000-0010-0000-0000-00000C000000}" name="Label Text Color" dataDxfId="130" dataCellStyle="NodeXL Label"/>
    <tableColumn id="13" xr3:uid="{00000000-0010-0000-0000-00000D000000}" name="Label Font Size" dataDxfId="129" dataCellStyle="NodeXL Label"/>
    <tableColumn id="14" xr3:uid="{00000000-0010-0000-0000-00000E000000}" name="Reciprocated?" dataDxfId="128" dataCellStyle="NodeXL Graph Metric"/>
    <tableColumn id="7" xr3:uid="{00000000-0010-0000-0000-000007000000}" name="ID" dataDxfId="127" dataCellStyle="NodeXL Do Not Edit"/>
    <tableColumn id="9" xr3:uid="{00000000-0010-0000-0000-000009000000}" name="Dynamic Filter" dataDxfId="126" dataCellStyle="NodeXL Do Not Edit"/>
    <tableColumn id="8" xr3:uid="{00000000-0010-0000-0000-000008000000}" name="Add Your Own Columns Here" dataDxfId="98" dataCellStyle="NodeXL Other Column"/>
    <tableColumn id="15" xr3:uid="{C910E474-F841-4D05-995C-CB658103A4A9}" name="Relationship" dataDxfId="97" dataCellStyle="Normal"/>
    <tableColumn id="16" xr3:uid="{87BC798C-B583-43ED-BCB2-33AD7D75D49B}" name="Relationship Date (UTC)" dataDxfId="96" dataCellStyle="Normal"/>
    <tableColumn id="17" xr3:uid="{649406ED-2545-436C-A6AB-267F55357B0A}" name="Tweet" dataDxfId="95" dataCellStyle="Normal"/>
    <tableColumn id="18" xr3:uid="{B70B3126-BEA0-44B3-86FF-210B61681C47}" name="Retweet Count" dataDxfId="94" dataCellStyle="Normal"/>
    <tableColumn id="19" xr3:uid="{4CD4EEF3-BD5C-461D-8E4B-AA60844F2D05}" name="Favorite Count" dataDxfId="93" dataCellStyle="Normal"/>
    <tableColumn id="20" xr3:uid="{68CFA7A1-5A01-4BD6-87A3-B683AFC91F60}" name="Reply Count" dataDxfId="92" dataCellStyle="Normal"/>
    <tableColumn id="21" xr3:uid="{3FA3A179-DB0A-41D2-BBCA-E8149D43E10F}" name="Quote Count" dataDxfId="91" dataCellStyle="Normal"/>
    <tableColumn id="22" xr3:uid="{1FCDFF60-8347-4578-BEB9-64086226B141}" name="Impression Count" dataDxfId="90" dataCellStyle="Normal"/>
    <tableColumn id="23" xr3:uid="{474617A6-B7D0-40CB-915A-31C56EBA8327}" name="Hashtags in Tweet" dataDxfId="89" dataCellStyle="Normal"/>
    <tableColumn id="24" xr3:uid="{E0064499-D4DC-4314-BCF4-249699934A18}" name="URLs in Tweet" dataDxfId="88" dataCellStyle="Normal"/>
    <tableColumn id="25" xr3:uid="{E1BBCE26-3AE0-4CE5-B83D-6A9A40607C46}" name="Domains in Tweet" dataDxfId="87" dataCellStyle="Normal"/>
    <tableColumn id="26" xr3:uid="{4AAC2BC0-60A2-4AA2-968B-39368F43C57F}" name="Mentions in Tweet" dataDxfId="86" dataCellStyle="Normal"/>
    <tableColumn id="27" xr3:uid="{08E639CF-796C-4927-ACB3-B5EE9D00A3F2}" name="Media in Tweet" dataDxfId="85" dataCellStyle="Normal"/>
    <tableColumn id="28" xr3:uid="{4427040E-5A92-4D56-BD1D-745C438D86B3}" name="Media Type" dataDxfId="84" dataCellStyle="Normal"/>
    <tableColumn id="29" xr3:uid="{3C63924F-F754-440D-8B76-A6ABE4ACE2AA}" name="Source" dataDxfId="83" dataCellStyle="Normal"/>
    <tableColumn id="30" xr3:uid="{6D524C09-C816-42C9-96A3-E10B9C2473F6}" name="Language" dataDxfId="82" dataCellStyle="Normal"/>
    <tableColumn id="31" xr3:uid="{B932E4EB-17F2-4054-8B76-C3E275D385EF}" name="Twitter Page for Tweet" dataDxfId="81" dataCellStyle="Normal"/>
    <tableColumn id="32" xr3:uid="{99B510C9-294F-491F-81C1-ACFE785C3E2B}" name="Tweet Date (UTC)" dataDxfId="80" dataCellStyle="Normal"/>
    <tableColumn id="33" xr3:uid="{D225F420-C7C4-4B24-83F6-4621902718DB}" name="Date" dataDxfId="79" dataCellStyle="Normal"/>
    <tableColumn id="34" xr3:uid="{ED60F859-08AC-49F3-AD8A-6082B97B71E3}" name="Time" dataDxfId="78" dataCellStyle="Normal"/>
    <tableColumn id="35" xr3:uid="{068AE645-DD81-4490-A4B9-9B93EF398DBA}" name="Possibly Sensitive" dataDxfId="77" dataCellStyle="Normal"/>
    <tableColumn id="36" xr3:uid="{B8C3E8DE-696D-40EE-B519-411D60496ABD}" name="Place Bounding Box" dataDxfId="76" dataCellStyle="Normal"/>
    <tableColumn id="37" xr3:uid="{4BB535B4-6942-4416-AB14-9AD935A63517}" name="Place Country" dataDxfId="75" dataCellStyle="Normal"/>
    <tableColumn id="38" xr3:uid="{B66F8EE8-DCC1-4893-8E11-8397F86C988E}" name="Place Country Code" dataDxfId="74" dataCellStyle="Normal"/>
    <tableColumn id="39" xr3:uid="{5E237F4C-6E3C-4D1C-9326-C0B287AF6E6F}" name="Place Full Name" dataDxfId="73" dataCellStyle="Normal"/>
    <tableColumn id="40" xr3:uid="{FDFCE0A7-97B2-453C-B8E0-079726D35426}" name="Place ID" dataDxfId="72" dataCellStyle="Normal"/>
    <tableColumn id="41" xr3:uid="{F38159A1-592A-4AA5-9963-D14C358D27AC}" name="Place Name" dataDxfId="71" dataCellStyle="Normal"/>
    <tableColumn id="42" xr3:uid="{39C6A10A-41E9-4325-9280-E320325F2A6A}" name="Place Type" dataDxfId="70" dataCellStyle="Normal"/>
    <tableColumn id="43" xr3:uid="{F9B24D19-7DDE-4D23-9A9E-394072270CA1}" name="Media Key" dataDxfId="69" dataCellStyle="Normal"/>
    <tableColumn id="44" xr3:uid="{AD530F80-E926-4BBC-A1DC-F0E4710C32D8}" name="Media Duration (ms)" dataDxfId="68" dataCellStyle="Normal"/>
    <tableColumn id="45" xr3:uid="{92E277C8-B3E3-4E61-9C7A-B3C05BFBBFEE}" name="Media Height" dataDxfId="67" dataCellStyle="Normal"/>
    <tableColumn id="46" xr3:uid="{D8FE430D-623A-4060-A2CB-499C4440B702}" name="Media Width" dataDxfId="66" dataCellStyle="Normal"/>
    <tableColumn id="47" xr3:uid="{444659F7-2D75-4E45-AEED-86F1EE0893E9}" name="Media View Count" dataDxfId="65" dataCellStyle="Normal"/>
    <tableColumn id="48" xr3:uid="{79D6FC56-595F-4BEC-AC88-83AFBDC9BD03}" name="Tweet Image File" dataDxfId="64" dataCellStyle="Normal"/>
    <tableColumn id="49" xr3:uid="{588ED810-DB7E-45CE-96B3-1563F8C4CEB2}" name="Imported ID" dataDxfId="63" dataCellStyle="Normal"/>
    <tableColumn id="50" xr3:uid="{9C15B154-B6BA-4CD2-9FF1-00496449A060}" name="Conversation ID" dataDxfId="62" dataCellStyle="Normal"/>
    <tableColumn id="51" xr3:uid="{27028D6E-7925-4B46-904B-223796E890B0}" name="In Reply To User ID" dataDxfId="61" dataCellStyle="Normal"/>
    <tableColumn id="52" xr3:uid="{252080D1-B1FC-4150-BF91-F827212C79AC}" name="In Reply To Tweet ID" dataDxfId="60" dataCellStyle="Normal"/>
    <tableColumn id="53" xr3:uid="{DB9A94A2-0D09-4C33-8F63-DD824B73E528}" name="Quoted Status ID" dataDxfId="59" dataCellStyle="Normal"/>
    <tableColumn id="54" xr3:uid="{B461FADE-6D9B-43C0-A028-633900BB7ACE}" name="Retweet ID" dataDxfId="58" dataCellStyle="Normal"/>
    <tableColumn id="55" xr3:uid="{96978D7C-CD0D-401B-9803-C78E742E84C3}" name="Unified Twitter ID" dataDxfId="57" dataCellStyle="Normal"/>
    <tableColumn id="56" xr3:uid="{9250C63C-1BA9-4833-BBFF-6487761372A0}" name="Author ID" dataDxfId="56" dataCellStyle="Normal"/>
    <tableColumn id="57" xr3:uid="{28BD7293-1D26-4931-8C74-593A0F345A62}" name="Poll ID" dataDxfId="55" dataCellStyle="Normal"/>
    <tableColumn id="58" xr3:uid="{432996EA-694D-42C8-BC51-632D702097DB}" name="Poll Options" dataDxfId="54" dataCellStyle="Normal"/>
    <tableColumn id="59" xr3:uid="{92956034-DE1F-4AC7-AA9E-3F46B4678DCF}" name="Poll Duration" dataDxfId="53" dataCellStyle="Normal"/>
    <tableColumn id="60" xr3:uid="{5D256251-28AD-42D6-B82E-9F2F4B4DD735}" name="Poll End Date" dataDxfId="52" dataCellStyle="Normal"/>
    <tableColumn id="61" xr3:uid="{BBA038DA-4247-41DA-B5BC-C631A30434F1}" name="Poll Voting Status" dataDxfId="51" dataCellStyle="Normal"/>
  </tableColumns>
  <tableStyleInfo name="NodeXL Table" showFirstColumn="0" showLastColumn="0" showRowStripes="0"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Vertices" displayName="Vertices" ref="A2:BO1862" totalsRowShown="0" headerRowDxfId="183" dataDxfId="102">
  <autoFilter ref="A2:BO1862" xr:uid="{00000000-0009-0000-0100-000002000000}"/>
  <tableColumns count="67">
    <tableColumn id="1" xr3:uid="{00000000-0010-0000-0100-000001000000}" name="Vertex" dataDxfId="124" dataCellStyle="NodeXL Required"/>
    <tableColumn id="2" xr3:uid="{00000000-0010-0000-0100-000002000000}" name="Color" dataDxfId="123" dataCellStyle="NodeXL Visual Property"/>
    <tableColumn id="5" xr3:uid="{00000000-0010-0000-0100-000005000000}" name="Shape" dataDxfId="122" dataCellStyle="NodeXL Visual Property"/>
    <tableColumn id="6" xr3:uid="{00000000-0010-0000-0100-000006000000}" name="Size" dataDxfId="121" dataCellStyle="NodeXL Visual Property"/>
    <tableColumn id="4" xr3:uid="{00000000-0010-0000-0100-000004000000}" name="Opacity" dataDxfId="14" dataCellStyle="NodeXL Visual Property"/>
    <tableColumn id="7" xr3:uid="{00000000-0010-0000-0100-000007000000}" name="Image File" dataDxfId="12" dataCellStyle="NodeXL Visual Property"/>
    <tableColumn id="3" xr3:uid="{00000000-0010-0000-0100-000003000000}" name="Visibility" dataDxfId="13" dataCellStyle="NodeXL Visual Property"/>
    <tableColumn id="10" xr3:uid="{00000000-0010-0000-0100-00000A000000}" name="Label" dataDxfId="120" dataCellStyle="NodeXL Label"/>
    <tableColumn id="16" xr3:uid="{00000000-0010-0000-0100-000010000000}" name="Label Fill Color" dataDxfId="119" dataCellStyle="NodeXL Label"/>
    <tableColumn id="9" xr3:uid="{00000000-0010-0000-0100-000009000000}" name="Label Position" dataDxfId="8" dataCellStyle="NodeXL Label"/>
    <tableColumn id="8" xr3:uid="{00000000-0010-0000-0100-000008000000}" name="Tooltip" dataDxfId="6" dataCellStyle="NodeXL Label"/>
    <tableColumn id="18" xr3:uid="{00000000-0010-0000-0100-000012000000}" name="Layout Order" dataDxfId="7" dataCellStyle="NodeXL Layout"/>
    <tableColumn id="13" xr3:uid="{00000000-0010-0000-0100-00000D000000}" name="X" dataDxfId="118" dataCellStyle="NodeXL Layout"/>
    <tableColumn id="14" xr3:uid="{00000000-0010-0000-0100-00000E000000}" name="Y" dataDxfId="117" dataCellStyle="NodeXL Layout"/>
    <tableColumn id="12" xr3:uid="{00000000-0010-0000-0100-00000C000000}" name="Locked?" dataDxfId="116" dataCellStyle="NodeXL Layout"/>
    <tableColumn id="19" xr3:uid="{00000000-0010-0000-0100-000013000000}" name="Polar R" dataDxfId="115" dataCellStyle="NodeXL Layout"/>
    <tableColumn id="20" xr3:uid="{00000000-0010-0000-0100-000014000000}" name="Polar Angle" dataDxfId="114" dataCellStyle="NodeXL Layout"/>
    <tableColumn id="21" xr3:uid="{00000000-0010-0000-0100-000015000000}" name="Degree" dataDxfId="113" dataCellStyle="NodeXL Graph Metric"/>
    <tableColumn id="22" xr3:uid="{00000000-0010-0000-0100-000016000000}" name="In-Degree" dataDxfId="112" dataCellStyle="NodeXL Graph Metric"/>
    <tableColumn id="23" xr3:uid="{00000000-0010-0000-0100-000017000000}" name="Out-Degree" dataDxfId="111" dataCellStyle="NodeXL Graph Metric"/>
    <tableColumn id="24" xr3:uid="{00000000-0010-0000-0100-000018000000}" name="Betweenness Centrality" dataDxfId="110" dataCellStyle="NodeXL Graph Metric"/>
    <tableColumn id="25" xr3:uid="{00000000-0010-0000-0100-000019000000}" name="Closeness Centrality" dataDxfId="109" dataCellStyle="NodeXL Graph Metric"/>
    <tableColumn id="26" xr3:uid="{00000000-0010-0000-0100-00001A000000}" name="Eigenvector Centrality" dataDxfId="108" dataCellStyle="NodeXL Graph Metric"/>
    <tableColumn id="15" xr3:uid="{00000000-0010-0000-0100-00000F000000}" name="PageRank" dataDxfId="107" dataCellStyle="NodeXL Graph Metric"/>
    <tableColumn id="27" xr3:uid="{00000000-0010-0000-0100-00001B000000}" name="Clustering Coefficient" dataDxfId="106" dataCellStyle="NodeXL Graph Metric"/>
    <tableColumn id="29" xr3:uid="{00000000-0010-0000-0100-00001D000000}" name="Reciprocated Vertex Pair Ratio" dataDxfId="105" dataCellStyle="NodeXL Graph Metric"/>
    <tableColumn id="11" xr3:uid="{00000000-0010-0000-0100-00000B000000}" name="ID" dataDxfId="104" dataCellStyle="NodeXL Do Not Edit"/>
    <tableColumn id="28" xr3:uid="{00000000-0010-0000-0100-00001C000000}" name="Dynamic Filter" dataDxfId="103" dataCellStyle="NodeXL Do Not Edit"/>
    <tableColumn id="17" xr3:uid="{00000000-0010-0000-0100-000011000000}" name="Add Your Own Columns Here" dataDxfId="50" dataCellStyle="NodeXL Other Column"/>
    <tableColumn id="30" xr3:uid="{587170F9-6D52-4856-8C89-4FB503B41C51}" name="Name" dataDxfId="49" dataCellStyle="Normal"/>
    <tableColumn id="31" xr3:uid="{63EBDC9E-CA67-49B2-8FB0-3DD5BBD74E40}" name="User ID" dataDxfId="48" dataCellStyle="Normal"/>
    <tableColumn id="32" xr3:uid="{F9483B4E-2C8D-458B-985D-45866BE6BE3A}" name="Followers" dataDxfId="47" dataCellStyle="Normal"/>
    <tableColumn id="33" xr3:uid="{45F8DFD4-9CE2-44A4-A941-6FB4E623A17E}" name="Followed" dataDxfId="46" dataCellStyle="Normal"/>
    <tableColumn id="34" xr3:uid="{C82406F0-AC79-41B0-BD5A-816B093B8CCA}" name="Tweets" dataDxfId="45" dataCellStyle="Normal"/>
    <tableColumn id="35" xr3:uid="{489C16BA-DAB1-4B08-9248-CD0655E40CD6}" name="Listed Count" dataDxfId="44" dataCellStyle="Normal"/>
    <tableColumn id="36" xr3:uid="{2CE1E971-D2C0-40A4-9E16-D404C178994B}" name="Favourites Count" dataDxfId="43" dataCellStyle="Normal"/>
    <tableColumn id="37" xr3:uid="{F0BC4F2B-B50D-4B1E-B72D-D0366B94C82E}" name="Media Count" dataDxfId="42" dataCellStyle="Normal"/>
    <tableColumn id="38" xr3:uid="{8F300FB0-A4C2-4BED-BB63-7A93522D0075}" name="Verified" dataDxfId="41" dataCellStyle="Normal"/>
    <tableColumn id="39" xr3:uid="{E443C911-741A-4887-874E-6A0DBC7CE750}" name="Joined Twitter Date (UTC)" dataDxfId="40" dataCellStyle="Normal"/>
    <tableColumn id="40" xr3:uid="{F902859A-F5FB-4552-8AEB-C3F7CC80B829}" name="Location" dataDxfId="39" dataCellStyle="Normal"/>
    <tableColumn id="41" xr3:uid="{09536227-DDD0-4D6D-BC04-2C7E620D5E27}" name="Description" dataDxfId="38" dataCellStyle="Normal"/>
    <tableColumn id="42" xr3:uid="{09208893-5EE3-4C30-8747-012FA659B35E}" name="URLs (Details)" dataDxfId="37" dataCellStyle="Normal"/>
    <tableColumn id="43" xr3:uid="{1F17CA6C-C632-445B-9C02-76F845C3BDEF}" name="Expanded URLs (Details)" dataDxfId="36" dataCellStyle="Normal"/>
    <tableColumn id="44" xr3:uid="{9F165B9F-5C82-4BC5-BCD4-C2533074A0F8}" name="Display URLs (Details)" dataDxfId="35" dataCellStyle="Normal"/>
    <tableColumn id="45" xr3:uid="{0E56971B-30E7-4C62-9C97-E71BAD762975}" name="Description URLs (Details)" dataDxfId="34" dataCellStyle="Normal"/>
    <tableColumn id="46" xr3:uid="{9C352879-2417-4C3E-93C1-905B45469BBC}" name="Description Expanded URLs (Details)" dataDxfId="33" dataCellStyle="Normal"/>
    <tableColumn id="47" xr3:uid="{0A0205BE-F321-443F-9840-CC242EFF4EAC}" name="Description Display URLS (Details)" dataDxfId="32" dataCellStyle="Normal"/>
    <tableColumn id="48" xr3:uid="{A2A35742-D931-4664-B3CD-752D8DD2B848}" name="Pinned Tweet ID" dataDxfId="31" dataCellStyle="Normal"/>
    <tableColumn id="49" xr3:uid="{47EDB2E1-16DE-4ABE-A5D4-4F6A5C886FBA}" name="URL" dataDxfId="30" dataCellStyle="Normal"/>
    <tableColumn id="50" xr3:uid="{B8CFA5D5-7B4C-4FAB-808E-A18B1143B8AD}" name="Is Blue Verified" dataDxfId="29" dataCellStyle="Normal"/>
    <tableColumn id="51" xr3:uid="{E15D64FC-3DE9-4FCA-91A8-EEBF8A4AEC4C}" name="You Are Followed By" dataDxfId="28" dataCellStyle="Normal"/>
    <tableColumn id="52" xr3:uid="{4D123E93-9096-407F-9BEF-E60810E561F8}" name="You Are Following" dataDxfId="27" dataCellStyle="Normal"/>
    <tableColumn id="53" xr3:uid="{7BBCF5FD-54FC-493B-90E2-19FE64CF753B}" name="Can DM" dataDxfId="26" dataCellStyle="Normal"/>
    <tableColumn id="54" xr3:uid="{C0ED2A02-8465-4236-88FF-E523C7A80AC4}" name="Can Media Tag" dataDxfId="25" dataCellStyle="Normal"/>
    <tableColumn id="55" xr3:uid="{E9F254C3-C434-42E6-92A3-C21DD08475C9}" name="Default Profile" dataDxfId="24" dataCellStyle="Normal"/>
    <tableColumn id="56" xr3:uid="{BE088824-99FC-48C1-82A3-C7119C186923}" name="Default Profile Image" dataDxfId="23" dataCellStyle="Normal"/>
    <tableColumn id="57" xr3:uid="{30CC1652-66BC-4434-9BB2-B16F6829FA9F}" name="Has Custom Timelines" dataDxfId="22" dataCellStyle="Normal"/>
    <tableColumn id="58" xr3:uid="{F191BBE1-DD9F-4524-BFF7-EA8C664618AD}" name="Is Translator" dataDxfId="21" dataCellStyle="Normal"/>
    <tableColumn id="59" xr3:uid="{F1C47B3E-6279-4703-9AAD-8506D5CA81AC}" name="Possibly Sensitive" dataDxfId="20" dataCellStyle="Normal"/>
    <tableColumn id="60" xr3:uid="{000782FF-7B9B-47E9-A065-C8EB208A4E1B}" name="Profile Banner URL" dataDxfId="19" dataCellStyle="Normal"/>
    <tableColumn id="61" xr3:uid="{A47D76C1-1C46-4814-B4FB-7969815B0F7A}" name="Profile Interstitial Type" dataDxfId="18" dataCellStyle="Normal"/>
    <tableColumn id="62" xr3:uid="{9BB77093-0ABC-48D8-ADDA-1BD369D78A96}" name="Translator Type" dataDxfId="17" dataCellStyle="Normal"/>
    <tableColumn id="63" xr3:uid="{87EAAE25-BD24-4162-8D89-FC171A5D1FD9}" name="Want Retweets" dataDxfId="16" dataCellStyle="Normal"/>
    <tableColumn id="64" xr3:uid="{5D00887A-BBCF-4DD7-9218-B703059E3797}" name="Withheld" dataDxfId="15" dataCellStyle="Normal"/>
    <tableColumn id="65" xr3:uid="{5BE5CBEC-EC8F-4E27-AC39-0502FF6799F3}" name="Tweeted Search Term?" dataDxfId="11" dataCellStyle="Normal"/>
    <tableColumn id="66" xr3:uid="{2D189C6A-D501-40A5-A053-57D4FE71BEE2}" name="Custom Menu Item Text" dataDxfId="10" dataCellStyle="Normal"/>
    <tableColumn id="67" xr3:uid="{F0942121-14BC-4F0E-A30E-A46315E886A5}" name="Custom Menu Item Action" dataDxfId="9" dataCellStyle="Normal"/>
  </tableColumns>
  <tableStyleInfo name="NodeXL Table" showFirstColumn="0" showLastColumn="0" showRowStripes="0"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Groups" displayName="Groups" ref="A2:X3" insertRow="1" totalsRowShown="0" headerRowDxfId="182">
  <autoFilter ref="A2:X3" xr:uid="{00000000-0009-0000-0100-000004000000}"/>
  <tableColumns count="24">
    <tableColumn id="1" xr3:uid="{00000000-0010-0000-0200-000001000000}" name="Group" dataDxfId="181" dataCellStyle="NodeXL Required"/>
    <tableColumn id="2" xr3:uid="{00000000-0010-0000-0200-000002000000}" name="Vertex Color" dataDxfId="180" dataCellStyle="NodeXL Visual Property"/>
    <tableColumn id="3" xr3:uid="{00000000-0010-0000-0200-000003000000}" name="Vertex Shape" dataDxfId="179" dataCellStyle="NodeXL Visual Property"/>
    <tableColumn id="22" xr3:uid="{00000000-0010-0000-0200-000016000000}" name="Visibility" dataDxfId="178" dataCellStyle="NodeXL Visual Property"/>
    <tableColumn id="4" xr3:uid="{00000000-0010-0000-0200-000004000000}" name="Collapsed?" dataCellStyle="NodeXL Visual Property"/>
    <tableColumn id="18" xr3:uid="{00000000-0010-0000-0200-000012000000}" name="Label" dataDxfId="177" dataCellStyle="NodeXL Label"/>
    <tableColumn id="20" xr3:uid="{00000000-0010-0000-0200-000014000000}" name="Collapsed X" dataCellStyle="NodeXL Layout"/>
    <tableColumn id="21" xr3:uid="{00000000-0010-0000-0200-000015000000}" name="Collapsed Y" dataCellStyle="NodeXL Layout"/>
    <tableColumn id="6" xr3:uid="{00000000-0010-0000-0200-000006000000}" name="ID" dataDxfId="176" dataCellStyle="NodeXL Do Not Edit"/>
    <tableColumn id="19" xr3:uid="{00000000-0010-0000-0200-000013000000}" name="Collapsed Properties" dataDxfId="175" dataCellStyle="NodeXL Do Not Edit"/>
    <tableColumn id="5" xr3:uid="{00000000-0010-0000-0200-000005000000}" name="Vertices" dataDxfId="174" dataCellStyle="NodeXL Graph Metric"/>
    <tableColumn id="7" xr3:uid="{00000000-0010-0000-0200-000007000000}" name="Unique Edges" dataDxfId="173" dataCellStyle="NodeXL Graph Metric"/>
    <tableColumn id="8" xr3:uid="{00000000-0010-0000-0200-000008000000}" name="Edges With Duplicates" dataDxfId="172" dataCellStyle="NodeXL Graph Metric"/>
    <tableColumn id="9" xr3:uid="{00000000-0010-0000-0200-000009000000}" name="Total Edges" dataDxfId="171" dataCellStyle="NodeXL Graph Metric"/>
    <tableColumn id="10" xr3:uid="{00000000-0010-0000-0200-00000A000000}" name="Self-Loops" dataDxfId="170" dataCellStyle="NodeXL Graph Metric"/>
    <tableColumn id="24" xr3:uid="{00000000-0010-0000-0200-000018000000}" name="Reciprocated Vertex Pair Ratio" dataDxfId="169" dataCellStyle="NodeXL Graph Metric"/>
    <tableColumn id="25" xr3:uid="{00000000-0010-0000-0200-000019000000}" name="Reciprocated Edge Ratio" dataDxfId="168" dataCellStyle="NodeXL Graph Metric"/>
    <tableColumn id="11" xr3:uid="{00000000-0010-0000-0200-00000B000000}" name="Connected Components" dataDxfId="167" dataCellStyle="NodeXL Graph Metric"/>
    <tableColumn id="12" xr3:uid="{00000000-0010-0000-0200-00000C000000}" name="Single-Vertex Connected Components" dataDxfId="166" dataCellStyle="NodeXL Graph Metric"/>
    <tableColumn id="13" xr3:uid="{00000000-0010-0000-0200-00000D000000}" name="Maximum Vertices in a Connected Component" dataDxfId="165" dataCellStyle="NodeXL Graph Metric"/>
    <tableColumn id="14" xr3:uid="{00000000-0010-0000-0200-00000E000000}" name="Maximum Edges in a Connected Component" dataDxfId="164" dataCellStyle="NodeXL Graph Metric"/>
    <tableColumn id="15" xr3:uid="{00000000-0010-0000-0200-00000F000000}" name="Maximum Geodesic Distance (Diameter)" dataDxfId="163" dataCellStyle="NodeXL Graph Metric"/>
    <tableColumn id="16" xr3:uid="{00000000-0010-0000-0200-000010000000}" name="Average Geodesic Distance" dataDxfId="162" dataCellStyle="NodeXL Graph Metric"/>
    <tableColumn id="17" xr3:uid="{00000000-0010-0000-0200-000011000000}" name="Graph Density" dataDxfId="161" dataCellStyle="NodeXL Graph Metric"/>
  </tableColumns>
  <tableStyleInfo name="NodeXL Table"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3000000}" name="GroupVertices" displayName="GroupVertices" ref="A1:C2" totalsRowShown="0" headerRowDxfId="160" dataDxfId="159">
  <autoFilter ref="A1:C2" xr:uid="{00000000-0009-0000-0100-000005000000}"/>
  <tableColumns count="3">
    <tableColumn id="1" xr3:uid="{00000000-0010-0000-0300-000001000000}" name="Group" dataDxfId="158"/>
    <tableColumn id="2" xr3:uid="{00000000-0010-0000-0300-000002000000}" name="Vertex" dataDxfId="157"/>
    <tableColumn id="3" xr3:uid="{00000000-0010-0000-0300-000003000000}" name="Vertex ID" dataDxfId="156"/>
  </tableColumns>
  <tableStyleInfo name="TableStyleMedium9"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00000000-000C-0000-FFFF-FFFF04000000}" name="OverallMetrics" displayName="OverallMetrics" ref="A1:B43" totalsRowShown="0" dataCellStyle="NodeXL Graph Metric">
  <autoFilter ref="A1:B43" xr:uid="{00000000-0009-0000-0100-000006000000}"/>
  <tableColumns count="2">
    <tableColumn id="1" xr3:uid="{00000000-0010-0000-0400-000001000000}" name="Graph Metric" dataDxfId="5" dataCellStyle="NodeXL Graph Metric"/>
    <tableColumn id="2" xr3:uid="{00000000-0010-0000-0400-000002000000}" name="Value" dataDxfId="4" dataCellStyle="NodeXL Graph Metric"/>
  </tableColumns>
  <tableStyleInfo name="TableStyleMedium9"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5000000}" name="HistogramBins" displayName="HistogramBins" ref="D1:U36" totalsRowShown="0">
  <autoFilter ref="D1:U36" xr:uid="{00000000-0009-0000-0100-000003000000}"/>
  <tableColumns count="18">
    <tableColumn id="1" xr3:uid="{00000000-0010-0000-0500-000001000000}" name="Degree Bin" dataDxfId="155"/>
    <tableColumn id="2" xr3:uid="{00000000-0010-0000-0500-000002000000}" name="Degree Frequency" dataDxfId="154">
      <calculatedColumnFormula>COUNTIF(Vertices[Degree], "&gt;= " &amp; D2) - COUNTIF(Vertices[Degree], "&gt;=" &amp; D3)</calculatedColumnFormula>
    </tableColumn>
    <tableColumn id="3" xr3:uid="{00000000-0010-0000-0500-000003000000}" name="In-Degree Bin" dataDxfId="153"/>
    <tableColumn id="4" xr3:uid="{00000000-0010-0000-0500-000004000000}" name="In-Degree Frequency" dataDxfId="152">
      <calculatedColumnFormula>COUNTIF(Vertices[In-Degree], "&gt;= " &amp; F2) - COUNTIF(Vertices[In-Degree], "&gt;=" &amp; F3)</calculatedColumnFormula>
    </tableColumn>
    <tableColumn id="5" xr3:uid="{00000000-0010-0000-0500-000005000000}" name="Out-Degree Bin" dataDxfId="151"/>
    <tableColumn id="6" xr3:uid="{00000000-0010-0000-0500-000006000000}" name="Out-Degree Frequency" dataDxfId="150">
      <calculatedColumnFormula>COUNTIF(Vertices[Out-Degree], "&gt;= " &amp; H2) - COUNTIF(Vertices[Out-Degree], "&gt;=" &amp; H3)</calculatedColumnFormula>
    </tableColumn>
    <tableColumn id="7" xr3:uid="{00000000-0010-0000-0500-000007000000}" name="Betweenness Centrality Bin" dataDxfId="149"/>
    <tableColumn id="8" xr3:uid="{00000000-0010-0000-0500-000008000000}" name="Betweenness Centrality Frequency" dataDxfId="148">
      <calculatedColumnFormula>COUNTIF(Vertices[Betweenness Centrality], "&gt;= " &amp; J2) - COUNTIF(Vertices[Betweenness Centrality], "&gt;=" &amp; J3)</calculatedColumnFormula>
    </tableColumn>
    <tableColumn id="9" xr3:uid="{00000000-0010-0000-0500-000009000000}" name="Closeness Centrality Bin" dataDxfId="147"/>
    <tableColumn id="10" xr3:uid="{00000000-0010-0000-0500-00000A000000}" name="Closeness Centrality Frequency" dataDxfId="146">
      <calculatedColumnFormula>COUNTIF(Vertices[Closeness Centrality], "&gt;= " &amp; L2) - COUNTIF(Vertices[Closeness Centrality], "&gt;=" &amp; L3)</calculatedColumnFormula>
    </tableColumn>
    <tableColumn id="11" xr3:uid="{00000000-0010-0000-0500-00000B000000}" name="Eigenvector Centrality Bin" dataDxfId="145"/>
    <tableColumn id="12" xr3:uid="{00000000-0010-0000-0500-00000C000000}" name="Eigenvector Centrality Frequency" dataDxfId="144">
      <calculatedColumnFormula>COUNTIF(Vertices[Eigenvector Centrality], "&gt;= " &amp; N2) - COUNTIF(Vertices[Eigenvector Centrality], "&gt;=" &amp; N3)</calculatedColumnFormula>
    </tableColumn>
    <tableColumn id="18" xr3:uid="{00000000-0010-0000-0500-000012000000}" name="PageRank Bin" dataDxfId="143"/>
    <tableColumn id="17" xr3:uid="{00000000-0010-0000-0500-000011000000}" name="PageRank Frequency" dataDxfId="142">
      <calculatedColumnFormula>COUNTIF(Vertices[Eigenvector Centrality], "&gt;= " &amp; P2) - COUNTIF(Vertices[Eigenvector Centrality], "&gt;=" &amp; P3)</calculatedColumnFormula>
    </tableColumn>
    <tableColumn id="13" xr3:uid="{00000000-0010-0000-0500-00000D000000}" name="Clustering Coefficient Bin" dataDxfId="141"/>
    <tableColumn id="14" xr3:uid="{00000000-0010-0000-0500-00000E000000}" name="Clustering Coefficient Frequency" dataDxfId="140">
      <calculatedColumnFormula>COUNTIF(Vertices[Clustering Coefficient], "&gt;= " &amp; R2) - COUNTIF(Vertices[Clustering Coefficient], "&gt;=" &amp; R3)</calculatedColumnFormula>
    </tableColumn>
    <tableColumn id="15" xr3:uid="{00000000-0010-0000-0500-00000F000000}" name="Dynamic Filter Bin" dataDxfId="139"/>
    <tableColumn id="16" xr3:uid="{00000000-0010-0000-0500-000010000000}" name="Dynamic Filter Frequency" dataDxfId="138">
      <calculatedColumnFormula>COUNTIF(Vertices[Clustering Coefficient], "&gt;= " &amp; T2) - COUNTIF(Vertices[Clustering Coefficient], "&gt;=" &amp; T3)</calculatedColumnFormula>
    </tableColumn>
  </tableColumns>
  <tableStyleInfo name="TableStyleMedium9"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00000000-000C-0000-FFFF-FFFF06000000}" name="HistogramProperties" displayName="HistogramProperties" ref="W1:X4" totalsRowShown="0">
  <autoFilter ref="W1:X4" xr:uid="{00000000-0009-0000-0100-00000F000000}"/>
  <tableColumns count="2">
    <tableColumn id="1" xr3:uid="{00000000-0010-0000-0600-000001000000}" name="Histogram Property"/>
    <tableColumn id="2" xr3:uid="{00000000-0010-0000-0600-000002000000}" name="Value"/>
  </tableColumns>
  <tableStyleInfo name="TableStyleMedium9"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00000000-000C-0000-FFFF-FFFF07000000}" name="OverallReadabilityMetrics" displayName="OverallReadabilityMetrics" ref="A60:B61" insertRow="1" totalsRowShown="0" dataCellStyle="NodeXL Graph Metric">
  <autoFilter ref="A60:B61" xr:uid="{00000000-0009-0000-0100-000009000000}"/>
  <tableColumns count="2">
    <tableColumn id="1" xr3:uid="{00000000-0010-0000-0700-000001000000}" name="Readability Metric" dataCellStyle="NodeXL Graph Metric"/>
    <tableColumn id="2" xr3:uid="{00000000-0010-0000-0700-000002000000}" name="Value" dataCellStyle="NodeXL Graph Metric"/>
  </tableColumns>
  <tableStyleInfo name="TableStyleMedium9"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00000000-000C-0000-FFFF-FFFF08000000}" name="PerWorkbookSettings" displayName="PerWorkbookSettings" ref="J1:K8" totalsRowShown="0" headerRowDxfId="137">
  <autoFilter ref="J1:K8" xr:uid="{00000000-0009-0000-0100-000007000000}"/>
  <tableColumns count="2">
    <tableColumn id="1" xr3:uid="{00000000-0010-0000-0800-000001000000}" name="Per-Workbook Setting"/>
    <tableColumn id="2" xr3:uid="{00000000-0010-0000-0800-000002000000}" name="Value"/>
  </tableColumns>
  <tableStyleInfo name="TableStyleMedium9"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00000000-000C-0000-FFFF-FFFF09000000}" name="DynamicFilterSettings" displayName="DynamicFilterSettings" ref="M1:P2" totalsRowShown="0" headerRowDxfId="136">
  <autoFilter ref="M1:P2" xr:uid="{00000000-0009-0000-0100-000008000000}"/>
  <tableColumns count="4">
    <tableColumn id="1" xr3:uid="{00000000-0010-0000-0900-000001000000}" name="Table Name"/>
    <tableColumn id="2" xr3:uid="{00000000-0010-0000-0900-000002000000}" name="Column Name"/>
    <tableColumn id="3" xr3:uid="{00000000-0010-0000-0900-000003000000}" name="Selected Minimum"/>
    <tableColumn id="4" xr3:uid="{00000000-0010-0000-0900-000004000000}" name="Selected Maximum"/>
  </tableColumns>
  <tableStyleInfo name="TableStyleMedium9"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6A4EBFD6-9193-4E69-8707-8F6E72A69B4F}" name="ExportOptions" displayName="ExportOptions" ref="A1:B7" totalsRowShown="0" headerRowDxfId="3" dataDxfId="2" dataCellStyle="Normal">
  <autoFilter ref="A1:B7" xr:uid="{6A4EBFD6-9193-4E69-8707-8F6E72A69B4F}"/>
  <tableColumns count="2">
    <tableColumn id="1" xr3:uid="{35F5A7E4-86C7-46AC-B758-85370779ADE8}" name="Key" dataDxfId="1" dataCellStyle="Normal"/>
    <tableColumn id="2" xr3:uid="{3C2CA238-1040-4781-903B-5343B04393DA}" name="Value" dataDxfId="0" dataCellStyle="Normal"/>
  </tableColumns>
  <tableStyleInfo name="NodeXL Table"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1.bin"/><Relationship Id="rId1" Type="http://schemas.openxmlformats.org/officeDocument/2006/relationships/hyperlink" Target="https://www.estadao.com.br/economia/negocios/itau-unibanco-lucro-primeiro-trimestre/?utm_source=newsshowcase&amp;utm_medium=gnews&amp;utm_campaign=CDAqDwgAKgcICjCWh6gCMJb5FzDNjL4B&amp;utm_content=related&amp;gaa_at=g&amp;gaa_n=AXv4zM1MTpaOdDQ2SpQlvcqakQkxX0XnPYtknL0GIjfvb30t_RziJXDeYnHrUZiOc_nvOkLP5iSmtPS2YaqsQmfJN35knkLUaw%3D%3D&amp;gaa_ts=6458f164&amp;gaa_sig=GINpvDBDPDAifnXkBRLAO9NExmyESM3KTWdhXzcG1JFJj-_Z3HFGHhLgwck-IHtsFamSEy2ArRUpBPKI8AACmQ%3D%3D" TargetMode="External"/><Relationship Id="rId5" Type="http://schemas.openxmlformats.org/officeDocument/2006/relationships/comments" Target="../comments1.xm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4.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vmlDrawing" Target="../drawings/vmlDrawing4.vml"/><Relationship Id="rId1" Type="http://schemas.openxmlformats.org/officeDocument/2006/relationships/printerSettings" Target="../printerSettings/printerSettings5.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8" Type="http://schemas.openxmlformats.org/officeDocument/2006/relationships/comments" Target="../comments5.xml"/><Relationship Id="rId3" Type="http://schemas.openxmlformats.org/officeDocument/2006/relationships/vmlDrawing" Target="../drawings/vmlDrawing5.vml"/><Relationship Id="rId7" Type="http://schemas.openxmlformats.org/officeDocument/2006/relationships/table" Target="../tables/table8.xml"/><Relationship Id="rId2" Type="http://schemas.openxmlformats.org/officeDocument/2006/relationships/drawing" Target="../drawings/drawing1.xml"/><Relationship Id="rId1" Type="http://schemas.openxmlformats.org/officeDocument/2006/relationships/printerSettings" Target="../printerSettings/printerSettings6.bin"/><Relationship Id="rId6" Type="http://schemas.openxmlformats.org/officeDocument/2006/relationships/table" Target="../tables/table7.xml"/><Relationship Id="rId5" Type="http://schemas.openxmlformats.org/officeDocument/2006/relationships/table" Target="../tables/table6.xml"/><Relationship Id="rId4" Type="http://schemas.openxmlformats.org/officeDocument/2006/relationships/table" Target="../tables/table5.xml"/></Relationships>
</file>

<file path=xl/worksheets/_rels/sheet7.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drawing" Target="../drawings/drawing2.xml"/><Relationship Id="rId1" Type="http://schemas.openxmlformats.org/officeDocument/2006/relationships/printerSettings" Target="../printerSettings/printerSettings7.bin"/><Relationship Id="rId4" Type="http://schemas.openxmlformats.org/officeDocument/2006/relationships/table" Target="../tables/table10.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BI4295"/>
  <sheetViews>
    <sheetView workbookViewId="0">
      <pane xSplit="2" ySplit="2" topLeftCell="C3" activePane="bottomRight" state="frozen"/>
      <selection pane="topRight" activeCell="C1" sqref="C1"/>
      <selection pane="bottomLeft" activeCell="A3" sqref="A3"/>
      <selection pane="bottomRight" activeCell="A3" sqref="A3"/>
    </sheetView>
  </sheetViews>
  <sheetFormatPr defaultRowHeight="15" x14ac:dyDescent="0.25"/>
  <cols>
    <col min="1" max="2" width="10.42578125" style="1" customWidth="1"/>
    <col min="3" max="3" width="7.85546875" bestFit="1" customWidth="1"/>
    <col min="4" max="4" width="8.7109375" style="2" bestFit="1" customWidth="1"/>
    <col min="5" max="5" width="7.7109375" style="2" bestFit="1" customWidth="1"/>
    <col min="6" max="6" width="9.85546875" style="2" bestFit="1" customWidth="1"/>
    <col min="7" max="7" width="11" bestFit="1" customWidth="1"/>
    <col min="8" max="8" width="8" style="1" bestFit="1" customWidth="1"/>
    <col min="9" max="9" width="12.28515625" bestFit="1" customWidth="1"/>
    <col min="10" max="10" width="12.42578125" bestFit="1" customWidth="1"/>
    <col min="11" max="11" width="15.5703125" hidden="1" customWidth="1"/>
    <col min="12" max="12" width="11" hidden="1" customWidth="1"/>
    <col min="13" max="13" width="10.85546875" hidden="1" customWidth="1"/>
    <col min="14" max="14" width="16" bestFit="1" customWidth="1"/>
    <col min="15" max="15" width="12.7109375" bestFit="1" customWidth="1"/>
    <col min="16" max="16" width="14.42578125" bestFit="1" customWidth="1"/>
    <col min="17" max="17" width="8.85546875" bestFit="1" customWidth="1"/>
    <col min="18" max="18" width="10.85546875" bestFit="1" customWidth="1"/>
    <col min="19" max="19" width="10.5703125" bestFit="1" customWidth="1"/>
    <col min="20" max="20" width="8.5703125" bestFit="1" customWidth="1"/>
    <col min="21" max="21" width="8.85546875" bestFit="1" customWidth="1"/>
    <col min="22" max="22" width="13.140625" bestFit="1" customWidth="1"/>
    <col min="23" max="23" width="13.28515625" bestFit="1" customWidth="1"/>
    <col min="24" max="24" width="9.5703125" bestFit="1" customWidth="1"/>
    <col min="25" max="25" width="13.140625" bestFit="1" customWidth="1"/>
    <col min="26" max="26" width="13.85546875" bestFit="1" customWidth="1"/>
    <col min="27" max="27" width="11" bestFit="1" customWidth="1"/>
    <col min="28" max="28" width="8.85546875" bestFit="1" customWidth="1"/>
    <col min="29" max="29" width="9.28515625" bestFit="1" customWidth="1"/>
    <col min="30" max="30" width="11.5703125" bestFit="1" customWidth="1"/>
    <col min="31" max="31" width="14.42578125" bestFit="1" customWidth="1"/>
    <col min="32" max="32" width="13.42578125" bestFit="1" customWidth="1"/>
    <col min="33" max="33" width="7.42578125" bestFit="1" customWidth="1"/>
    <col min="34" max="34" width="7.7109375" bestFit="1" customWidth="1"/>
    <col min="35" max="35" width="11.42578125" bestFit="1" customWidth="1"/>
    <col min="36" max="36" width="17" bestFit="1" customWidth="1"/>
    <col min="37" max="37" width="10.28515625" bestFit="1" customWidth="1"/>
    <col min="38" max="38" width="15.5703125" bestFit="1" customWidth="1"/>
    <col min="39" max="39" width="11.7109375" bestFit="1" customWidth="1"/>
    <col min="40" max="40" width="10.28515625" bestFit="1" customWidth="1"/>
    <col min="41" max="41" width="8.5703125" bestFit="1" customWidth="1"/>
    <col min="42" max="42" width="8" bestFit="1" customWidth="1"/>
    <col min="43" max="43" width="8.85546875" bestFit="1" customWidth="1"/>
    <col min="44" max="44" width="17.140625" bestFit="1" customWidth="1"/>
    <col min="46" max="46" width="8.85546875" bestFit="1" customWidth="1"/>
    <col min="47" max="47" width="13.85546875" bestFit="1" customWidth="1"/>
    <col min="48" max="48" width="14.7109375" bestFit="1" customWidth="1"/>
    <col min="49" max="49" width="11.5703125" bestFit="1" customWidth="1"/>
    <col min="50" max="50" width="12.7109375" bestFit="1" customWidth="1"/>
    <col min="51" max="52" width="13" bestFit="1" customWidth="1"/>
    <col min="53" max="53" width="11" bestFit="1" customWidth="1"/>
    <col min="54" max="54" width="13.140625" bestFit="1" customWidth="1"/>
    <col min="55" max="55" width="12" bestFit="1" customWidth="1"/>
    <col min="56" max="56" width="11.7109375" bestFit="1" customWidth="1"/>
    <col min="57" max="57" width="9" bestFit="1" customWidth="1"/>
    <col min="58" max="58" width="10.28515625" bestFit="1" customWidth="1"/>
    <col min="59" max="59" width="11" bestFit="1" customWidth="1"/>
    <col min="60" max="60" width="10.42578125" bestFit="1" customWidth="1"/>
    <col min="61" max="61" width="13" bestFit="1" customWidth="1"/>
  </cols>
  <sheetData>
    <row r="1" spans="1:61" x14ac:dyDescent="0.25">
      <c r="C1" s="15" t="s">
        <v>39</v>
      </c>
      <c r="D1" s="16"/>
      <c r="E1" s="16"/>
      <c r="F1" s="16"/>
      <c r="G1" s="15"/>
      <c r="H1" s="13" t="s">
        <v>43</v>
      </c>
      <c r="I1" s="50"/>
      <c r="J1" s="50"/>
      <c r="K1" s="31" t="s">
        <v>42</v>
      </c>
      <c r="L1" s="17" t="s">
        <v>40</v>
      </c>
      <c r="M1" s="17"/>
      <c r="N1" s="14" t="s">
        <v>41</v>
      </c>
    </row>
    <row r="2" spans="1:61" ht="30" customHeight="1" x14ac:dyDescent="0.25">
      <c r="A2" s="10" t="s">
        <v>0</v>
      </c>
      <c r="B2" s="10" t="s">
        <v>1</v>
      </c>
      <c r="C2" s="7" t="s">
        <v>2</v>
      </c>
      <c r="D2" s="7" t="s">
        <v>3</v>
      </c>
      <c r="E2" s="7" t="s">
        <v>130</v>
      </c>
      <c r="F2" s="7" t="s">
        <v>4</v>
      </c>
      <c r="G2" s="7" t="s">
        <v>11</v>
      </c>
      <c r="H2" s="10" t="s">
        <v>46</v>
      </c>
      <c r="I2" s="7" t="s">
        <v>160</v>
      </c>
      <c r="J2" s="7" t="s">
        <v>161</v>
      </c>
      <c r="K2" s="7" t="s">
        <v>165</v>
      </c>
      <c r="L2" s="7" t="s">
        <v>12</v>
      </c>
      <c r="M2" s="7" t="s">
        <v>38</v>
      </c>
      <c r="N2" s="7" t="s">
        <v>26</v>
      </c>
      <c r="O2" s="7" t="s">
        <v>177</v>
      </c>
      <c r="P2" s="7" t="s">
        <v>178</v>
      </c>
      <c r="Q2" s="7" t="s">
        <v>179</v>
      </c>
      <c r="R2" s="7" t="s">
        <v>180</v>
      </c>
      <c r="S2" s="7" t="s">
        <v>181</v>
      </c>
      <c r="T2" s="7" t="s">
        <v>182</v>
      </c>
      <c r="U2" s="7" t="s">
        <v>183</v>
      </c>
      <c r="V2" s="7" t="s">
        <v>184</v>
      </c>
      <c r="W2" s="7" t="s">
        <v>185</v>
      </c>
      <c r="X2" s="7" t="s">
        <v>186</v>
      </c>
      <c r="Y2" s="7" t="s">
        <v>187</v>
      </c>
      <c r="Z2" s="7" t="s">
        <v>188</v>
      </c>
      <c r="AA2" s="7" t="s">
        <v>189</v>
      </c>
      <c r="AB2" s="7" t="s">
        <v>190</v>
      </c>
      <c r="AC2" s="7" t="s">
        <v>191</v>
      </c>
      <c r="AD2" s="7" t="s">
        <v>192</v>
      </c>
      <c r="AE2" s="7" t="s">
        <v>193</v>
      </c>
      <c r="AF2" s="7" t="s">
        <v>194</v>
      </c>
      <c r="AG2" s="7" t="s">
        <v>195</v>
      </c>
      <c r="AH2" s="7" t="s">
        <v>196</v>
      </c>
      <c r="AI2" s="7" t="s">
        <v>197</v>
      </c>
      <c r="AJ2" s="7" t="s">
        <v>198</v>
      </c>
      <c r="AK2" s="7" t="s">
        <v>199</v>
      </c>
      <c r="AL2" s="7" t="s">
        <v>200</v>
      </c>
      <c r="AM2" s="7" t="s">
        <v>201</v>
      </c>
      <c r="AN2" s="7" t="s">
        <v>202</v>
      </c>
      <c r="AO2" s="7" t="s">
        <v>203</v>
      </c>
      <c r="AP2" s="7" t="s">
        <v>204</v>
      </c>
      <c r="AQ2" s="7" t="s">
        <v>205</v>
      </c>
      <c r="AR2" s="7" t="s">
        <v>206</v>
      </c>
      <c r="AS2" s="7" t="s">
        <v>207</v>
      </c>
      <c r="AT2" s="7" t="s">
        <v>208</v>
      </c>
      <c r="AU2" s="7" t="s">
        <v>209</v>
      </c>
      <c r="AV2" s="7" t="s">
        <v>210</v>
      </c>
      <c r="AW2" s="7" t="s">
        <v>211</v>
      </c>
      <c r="AX2" s="7" t="s">
        <v>212</v>
      </c>
      <c r="AY2" s="7" t="s">
        <v>213</v>
      </c>
      <c r="AZ2" s="7" t="s">
        <v>214</v>
      </c>
      <c r="BA2" s="7" t="s">
        <v>215</v>
      </c>
      <c r="BB2" s="7" t="s">
        <v>216</v>
      </c>
      <c r="BC2" s="7" t="s">
        <v>217</v>
      </c>
      <c r="BD2" s="7" t="s">
        <v>218</v>
      </c>
      <c r="BE2" s="7" t="s">
        <v>219</v>
      </c>
      <c r="BF2" s="7" t="s">
        <v>220</v>
      </c>
      <c r="BG2" s="7" t="s">
        <v>221</v>
      </c>
      <c r="BH2" s="7" t="s">
        <v>222</v>
      </c>
      <c r="BI2" s="7" t="s">
        <v>223</v>
      </c>
    </row>
    <row r="3" spans="1:61" ht="15" customHeight="1" x14ac:dyDescent="0.25">
      <c r="A3" s="62" t="s">
        <v>1692</v>
      </c>
      <c r="B3" s="62" t="s">
        <v>1692</v>
      </c>
      <c r="C3" s="63"/>
      <c r="D3" s="64"/>
      <c r="E3" s="65"/>
      <c r="F3" s="66"/>
      <c r="G3" s="63"/>
      <c r="H3" s="67"/>
      <c r="I3" s="68"/>
      <c r="J3" s="68"/>
      <c r="K3" s="32"/>
      <c r="L3" s="69">
        <v>3</v>
      </c>
      <c r="M3" s="69"/>
      <c r="N3" s="70"/>
      <c r="O3" s="76" t="s">
        <v>179</v>
      </c>
      <c r="P3" s="78">
        <v>45174.501736111109</v>
      </c>
      <c r="Q3" s="76" t="s">
        <v>5883</v>
      </c>
      <c r="R3" s="76">
        <v>0</v>
      </c>
      <c r="S3" s="76">
        <v>0</v>
      </c>
      <c r="T3" s="76">
        <v>0</v>
      </c>
      <c r="U3" s="76">
        <v>0</v>
      </c>
      <c r="V3" s="76">
        <v>11</v>
      </c>
      <c r="W3" s="81" t="s">
        <v>8572</v>
      </c>
      <c r="X3" s="82" t="str">
        <f>HYPERLINK("https://www.chicosabetudo.com.br/curiosidades/banco-central-revela-inovacoes-no-sistema-pix-transacoes-offline-compras-parceladas-e-mais/?feed_id=23608&amp;_unique_id=64f718d6ac697")</f>
        <v>https://www.chicosabetudo.com.br/curiosidades/banco-central-revela-inovacoes-no-sistema-pix-transacoes-offline-compras-parceladas-e-mais/?feed_id=23608&amp;_unique_id=64f718d6ac697</v>
      </c>
      <c r="Y3" s="76" t="s">
        <v>8611</v>
      </c>
      <c r="Z3" s="76"/>
      <c r="AA3" s="76"/>
      <c r="AB3" s="76"/>
      <c r="AC3" s="81" t="s">
        <v>10541</v>
      </c>
      <c r="AD3" s="76" t="s">
        <v>10617</v>
      </c>
      <c r="AE3" s="82" t="str">
        <f>HYPERLINK("https://twitter.com/chicosabetudo/status/1699030242155696426")</f>
        <v>https://twitter.com/chicosabetudo/status/1699030242155696426</v>
      </c>
      <c r="AF3" s="78">
        <v>45174.501736111109</v>
      </c>
      <c r="AG3" s="84">
        <v>45174</v>
      </c>
      <c r="AH3" s="81" t="s">
        <v>14339</v>
      </c>
      <c r="AI3" s="76" t="b">
        <v>0</v>
      </c>
      <c r="AJ3" s="76"/>
      <c r="AK3" s="76"/>
      <c r="AL3" s="76"/>
      <c r="AM3" s="76"/>
      <c r="AN3" s="76"/>
      <c r="AO3" s="76"/>
      <c r="AP3" s="76"/>
      <c r="AQ3" s="76"/>
      <c r="AR3" s="76"/>
      <c r="AS3" s="76"/>
      <c r="AT3" s="76"/>
      <c r="AU3" s="76"/>
      <c r="AV3" s="82" t="str">
        <f>HYPERLINK("https://pbs.twimg.com/profile_images/1610767945189269509/PSltd92g_normal.jpg")</f>
        <v>https://pbs.twimg.com/profile_images/1610767945189269509/PSltd92g_normal.jpg</v>
      </c>
      <c r="AW3" s="81" t="s">
        <v>19958</v>
      </c>
      <c r="AX3" s="81" t="s">
        <v>19958</v>
      </c>
      <c r="AY3" s="76"/>
      <c r="AZ3" s="81" t="s">
        <v>20380</v>
      </c>
      <c r="BA3" s="81" t="s">
        <v>20380</v>
      </c>
      <c r="BB3" s="81" t="s">
        <v>20380</v>
      </c>
      <c r="BC3" s="81" t="s">
        <v>19958</v>
      </c>
      <c r="BD3" s="76">
        <v>250804213</v>
      </c>
      <c r="BE3" s="76"/>
      <c r="BF3" s="76"/>
      <c r="BG3" s="76"/>
      <c r="BH3" s="76"/>
      <c r="BI3" s="76"/>
    </row>
    <row r="4" spans="1:61" ht="15" customHeight="1" x14ac:dyDescent="0.25">
      <c r="A4" s="62" t="s">
        <v>224</v>
      </c>
      <c r="B4" s="62" t="s">
        <v>224</v>
      </c>
      <c r="C4" s="63"/>
      <c r="D4" s="64"/>
      <c r="E4" s="65"/>
      <c r="F4" s="66"/>
      <c r="G4" s="63"/>
      <c r="H4" s="67"/>
      <c r="I4" s="68"/>
      <c r="J4" s="68"/>
      <c r="K4" s="32"/>
      <c r="L4" s="75">
        <v>4</v>
      </c>
      <c r="M4" s="75"/>
      <c r="N4" s="70"/>
      <c r="O4" s="77" t="s">
        <v>179</v>
      </c>
      <c r="P4" s="79">
        <v>45151.01635416667</v>
      </c>
      <c r="Q4" s="77" t="s">
        <v>2086</v>
      </c>
      <c r="R4" s="77">
        <v>0</v>
      </c>
      <c r="S4" s="77">
        <v>0</v>
      </c>
      <c r="T4" s="77">
        <v>0</v>
      </c>
      <c r="U4" s="77">
        <v>0</v>
      </c>
      <c r="V4" s="77">
        <v>12</v>
      </c>
      <c r="W4" s="80" t="s">
        <v>5884</v>
      </c>
      <c r="X4" s="77"/>
      <c r="Y4" s="77"/>
      <c r="Z4" s="77"/>
      <c r="AA4" s="77"/>
      <c r="AB4" s="77"/>
      <c r="AC4" s="80" t="s">
        <v>10540</v>
      </c>
      <c r="AD4" s="77" t="s">
        <v>10617</v>
      </c>
      <c r="AE4" s="83" t="str">
        <f>HYPERLINK("https://twitter.com/go00452906/status/1690519422866239488")</f>
        <v>https://twitter.com/go00452906/status/1690519422866239488</v>
      </c>
      <c r="AF4" s="79">
        <v>45151.01635416667</v>
      </c>
      <c r="AG4" s="85">
        <v>45151</v>
      </c>
      <c r="AH4" s="80" t="s">
        <v>10629</v>
      </c>
      <c r="AI4" s="77"/>
      <c r="AJ4" s="77"/>
      <c r="AK4" s="77"/>
      <c r="AL4" s="77"/>
      <c r="AM4" s="77"/>
      <c r="AN4" s="77"/>
      <c r="AO4" s="77"/>
      <c r="AP4" s="77"/>
      <c r="AQ4" s="77"/>
      <c r="AR4" s="77"/>
      <c r="AS4" s="77"/>
      <c r="AT4" s="77"/>
      <c r="AU4" s="77"/>
      <c r="AV4" s="83" t="str">
        <f>HYPERLINK("https://pbs.twimg.com/profile_images/1657811573576982528/Go6ki9SP_normal.jpg")</f>
        <v>https://pbs.twimg.com/profile_images/1657811573576982528/Go6ki9SP_normal.jpg</v>
      </c>
      <c r="AW4" s="80" t="s">
        <v>16011</v>
      </c>
      <c r="AX4" s="80" t="s">
        <v>16011</v>
      </c>
      <c r="AY4" s="77"/>
      <c r="AZ4" s="80" t="s">
        <v>20380</v>
      </c>
      <c r="BA4" s="80" t="s">
        <v>20380</v>
      </c>
      <c r="BB4" s="80" t="s">
        <v>20380</v>
      </c>
      <c r="BC4" s="80" t="s">
        <v>16011</v>
      </c>
      <c r="BD4" s="80" t="s">
        <v>20214</v>
      </c>
      <c r="BE4" s="77"/>
      <c r="BF4" s="77"/>
      <c r="BG4" s="77"/>
      <c r="BH4" s="77"/>
      <c r="BI4" s="77"/>
    </row>
    <row r="5" spans="1:61" x14ac:dyDescent="0.25">
      <c r="A5" s="62" t="s">
        <v>224</v>
      </c>
      <c r="B5" s="62" t="s">
        <v>224</v>
      </c>
      <c r="C5" s="63"/>
      <c r="D5" s="64"/>
      <c r="E5" s="65"/>
      <c r="F5" s="66"/>
      <c r="G5" s="63"/>
      <c r="H5" s="67"/>
      <c r="I5" s="68"/>
      <c r="J5" s="68"/>
      <c r="K5" s="32"/>
      <c r="L5" s="75">
        <v>5</v>
      </c>
      <c r="M5" s="75"/>
      <c r="N5" s="70"/>
      <c r="O5" s="77" t="s">
        <v>2078</v>
      </c>
      <c r="P5" s="79">
        <v>45151.00984953704</v>
      </c>
      <c r="Q5" s="77" t="s">
        <v>2087</v>
      </c>
      <c r="R5" s="77">
        <v>0</v>
      </c>
      <c r="S5" s="77">
        <v>0</v>
      </c>
      <c r="T5" s="77">
        <v>0</v>
      </c>
      <c r="U5" s="77">
        <v>0</v>
      </c>
      <c r="V5" s="77">
        <v>7</v>
      </c>
      <c r="W5" s="80" t="s">
        <v>5884</v>
      </c>
      <c r="X5" s="77"/>
      <c r="Y5" s="77"/>
      <c r="Z5" s="77"/>
      <c r="AA5" s="77"/>
      <c r="AB5" s="77"/>
      <c r="AC5" s="80" t="s">
        <v>10540</v>
      </c>
      <c r="AD5" s="77" t="s">
        <v>10618</v>
      </c>
      <c r="AE5" s="83" t="str">
        <f>HYPERLINK("https://twitter.com/go00452906/status/1690517065000685569")</f>
        <v>https://twitter.com/go00452906/status/1690517065000685569</v>
      </c>
      <c r="AF5" s="79">
        <v>45151.00984953704</v>
      </c>
      <c r="AG5" s="85">
        <v>45151</v>
      </c>
      <c r="AH5" s="80" t="s">
        <v>10630</v>
      </c>
      <c r="AI5" s="77"/>
      <c r="AJ5" s="77"/>
      <c r="AK5" s="77"/>
      <c r="AL5" s="77"/>
      <c r="AM5" s="77"/>
      <c r="AN5" s="77"/>
      <c r="AO5" s="77"/>
      <c r="AP5" s="77"/>
      <c r="AQ5" s="77"/>
      <c r="AR5" s="77"/>
      <c r="AS5" s="77"/>
      <c r="AT5" s="77"/>
      <c r="AU5" s="77"/>
      <c r="AV5" s="83" t="str">
        <f>HYPERLINK("https://pbs.twimg.com/profile_images/1657811573576982528/Go6ki9SP_normal.jpg")</f>
        <v>https://pbs.twimg.com/profile_images/1657811573576982528/Go6ki9SP_normal.jpg</v>
      </c>
      <c r="AW5" s="80" t="s">
        <v>16012</v>
      </c>
      <c r="AX5" s="80" t="s">
        <v>19959</v>
      </c>
      <c r="AY5" s="80" t="s">
        <v>20214</v>
      </c>
      <c r="AZ5" s="80" t="s">
        <v>19959</v>
      </c>
      <c r="BA5" s="80" t="s">
        <v>20380</v>
      </c>
      <c r="BB5" s="80" t="s">
        <v>20380</v>
      </c>
      <c r="BC5" s="80" t="s">
        <v>19959</v>
      </c>
      <c r="BD5" s="80" t="s">
        <v>20214</v>
      </c>
      <c r="BE5" s="77"/>
      <c r="BF5" s="77"/>
      <c r="BG5" s="77"/>
      <c r="BH5" s="77"/>
      <c r="BI5" s="77"/>
    </row>
    <row r="6" spans="1:61" x14ac:dyDescent="0.25">
      <c r="A6" s="62" t="s">
        <v>225</v>
      </c>
      <c r="B6" s="62" t="s">
        <v>1693</v>
      </c>
      <c r="C6" s="63"/>
      <c r="D6" s="64"/>
      <c r="E6" s="65"/>
      <c r="F6" s="66"/>
      <c r="G6" s="63"/>
      <c r="H6" s="67"/>
      <c r="I6" s="68"/>
      <c r="J6" s="68"/>
      <c r="K6" s="32"/>
      <c r="L6" s="75">
        <v>6</v>
      </c>
      <c r="M6" s="75"/>
      <c r="N6" s="70"/>
      <c r="O6" s="77" t="s">
        <v>2079</v>
      </c>
      <c r="P6" s="79">
        <v>45182.824513888889</v>
      </c>
      <c r="Q6" s="77" t="s">
        <v>2088</v>
      </c>
      <c r="R6" s="77">
        <v>0</v>
      </c>
      <c r="S6" s="77">
        <v>0</v>
      </c>
      <c r="T6" s="77">
        <v>0</v>
      </c>
      <c r="U6" s="77">
        <v>0</v>
      </c>
      <c r="V6" s="77">
        <v>12</v>
      </c>
      <c r="W6" s="80" t="s">
        <v>5885</v>
      </c>
      <c r="X6" s="77"/>
      <c r="Y6" s="77"/>
      <c r="Z6" s="77" t="s">
        <v>8900</v>
      </c>
      <c r="AA6" s="77"/>
      <c r="AB6" s="77"/>
      <c r="AC6" s="80" t="s">
        <v>10541</v>
      </c>
      <c r="AD6" s="77" t="s">
        <v>10619</v>
      </c>
      <c r="AE6" s="83" t="str">
        <f>HYPERLINK("https://twitter.com/armandolamezcla/status/1702046314576441551")</f>
        <v>https://twitter.com/armandolamezcla/status/1702046314576441551</v>
      </c>
      <c r="AF6" s="79">
        <v>45182.824513888889</v>
      </c>
      <c r="AG6" s="85">
        <v>45182</v>
      </c>
      <c r="AH6" s="80" t="s">
        <v>10631</v>
      </c>
      <c r="AI6" s="77"/>
      <c r="AJ6" s="77"/>
      <c r="AK6" s="77"/>
      <c r="AL6" s="77"/>
      <c r="AM6" s="77"/>
      <c r="AN6" s="77"/>
      <c r="AO6" s="77"/>
      <c r="AP6" s="77"/>
      <c r="AQ6" s="77"/>
      <c r="AR6" s="77"/>
      <c r="AS6" s="77"/>
      <c r="AT6" s="77"/>
      <c r="AU6" s="77"/>
      <c r="AV6" s="83" t="str">
        <f>HYPERLINK("https://pbs.twimg.com/profile_images/1631334526092812292/G_eDX7KF_normal.jpg")</f>
        <v>https://pbs.twimg.com/profile_images/1631334526092812292/G_eDX7KF_normal.jpg</v>
      </c>
      <c r="AW6" s="80" t="s">
        <v>16013</v>
      </c>
      <c r="AX6" s="80" t="s">
        <v>19960</v>
      </c>
      <c r="AY6" s="80" t="s">
        <v>20215</v>
      </c>
      <c r="AZ6" s="80" t="s">
        <v>20381</v>
      </c>
      <c r="BA6" s="80" t="s">
        <v>20380</v>
      </c>
      <c r="BB6" s="80" t="s">
        <v>20380</v>
      </c>
      <c r="BC6" s="80" t="s">
        <v>20381</v>
      </c>
      <c r="BD6" s="80" t="s">
        <v>20215</v>
      </c>
      <c r="BE6" s="77"/>
      <c r="BF6" s="77"/>
      <c r="BG6" s="77"/>
      <c r="BH6" s="77"/>
      <c r="BI6" s="77"/>
    </row>
    <row r="7" spans="1:61" x14ac:dyDescent="0.25">
      <c r="A7" s="62" t="s">
        <v>225</v>
      </c>
      <c r="B7" s="62" t="s">
        <v>1694</v>
      </c>
      <c r="C7" s="63"/>
      <c r="D7" s="64"/>
      <c r="E7" s="65"/>
      <c r="F7" s="66"/>
      <c r="G7" s="63"/>
      <c r="H7" s="67"/>
      <c r="I7" s="68"/>
      <c r="J7" s="68"/>
      <c r="K7" s="32"/>
      <c r="L7" s="75">
        <v>7</v>
      </c>
      <c r="M7" s="75"/>
      <c r="N7" s="70"/>
      <c r="O7" s="77" t="s">
        <v>2080</v>
      </c>
      <c r="P7" s="79">
        <v>45106.421979166669</v>
      </c>
      <c r="Q7" s="77" t="s">
        <v>2089</v>
      </c>
      <c r="R7" s="77">
        <v>1</v>
      </c>
      <c r="S7" s="77">
        <v>1</v>
      </c>
      <c r="T7" s="77">
        <v>1</v>
      </c>
      <c r="U7" s="77">
        <v>0</v>
      </c>
      <c r="V7" s="77">
        <v>18</v>
      </c>
      <c r="W7" s="80" t="s">
        <v>5886</v>
      </c>
      <c r="X7" s="83" t="str">
        <f>HYPERLINK("https://twitter.com/armandolamezcla/status/1642013187900841985?s=46&amp;t=JnmivJDAUsDZBeXOwiraSg")</f>
        <v>https://twitter.com/armandolamezcla/status/1642013187900841985?s=46&amp;t=JnmivJDAUsDZBeXOwiraSg</v>
      </c>
      <c r="Y7" s="77" t="s">
        <v>8610</v>
      </c>
      <c r="Z7" s="77" t="s">
        <v>8901</v>
      </c>
      <c r="AA7" s="77"/>
      <c r="AB7" s="77"/>
      <c r="AC7" s="80" t="s">
        <v>10542</v>
      </c>
      <c r="AD7" s="77" t="s">
        <v>10620</v>
      </c>
      <c r="AE7" s="83" t="str">
        <f>HYPERLINK("https://twitter.com/armandolamezcla/status/1674358964228694017")</f>
        <v>https://twitter.com/armandolamezcla/status/1674358964228694017</v>
      </c>
      <c r="AF7" s="79">
        <v>45106.421979166669</v>
      </c>
      <c r="AG7" s="85">
        <v>45106</v>
      </c>
      <c r="AH7" s="80" t="s">
        <v>10632</v>
      </c>
      <c r="AI7" s="77" t="b">
        <v>0</v>
      </c>
      <c r="AJ7" s="77"/>
      <c r="AK7" s="77"/>
      <c r="AL7" s="77"/>
      <c r="AM7" s="77"/>
      <c r="AN7" s="77"/>
      <c r="AO7" s="77"/>
      <c r="AP7" s="77"/>
      <c r="AQ7" s="77"/>
      <c r="AR7" s="77"/>
      <c r="AS7" s="77"/>
      <c r="AT7" s="77"/>
      <c r="AU7" s="77"/>
      <c r="AV7" s="83" t="str">
        <f>HYPERLINK("https://pbs.twimg.com/profile_images/1631334526092812292/G_eDX7KF_normal.jpg")</f>
        <v>https://pbs.twimg.com/profile_images/1631334526092812292/G_eDX7KF_normal.jpg</v>
      </c>
      <c r="AW7" s="80" t="s">
        <v>16014</v>
      </c>
      <c r="AX7" s="80" t="s">
        <v>19961</v>
      </c>
      <c r="AY7" s="80" t="s">
        <v>20216</v>
      </c>
      <c r="AZ7" s="80" t="s">
        <v>19961</v>
      </c>
      <c r="BA7" s="80" t="s">
        <v>16015</v>
      </c>
      <c r="BB7" s="80" t="s">
        <v>20380</v>
      </c>
      <c r="BC7" s="80" t="s">
        <v>19961</v>
      </c>
      <c r="BD7" s="80" t="s">
        <v>20215</v>
      </c>
      <c r="BE7" s="77"/>
      <c r="BF7" s="77"/>
      <c r="BG7" s="77"/>
      <c r="BH7" s="77"/>
      <c r="BI7" s="77"/>
    </row>
    <row r="8" spans="1:61" x14ac:dyDescent="0.25">
      <c r="A8" s="62" t="s">
        <v>225</v>
      </c>
      <c r="B8" s="62" t="s">
        <v>1695</v>
      </c>
      <c r="C8" s="63"/>
      <c r="D8" s="64"/>
      <c r="E8" s="65"/>
      <c r="F8" s="66"/>
      <c r="G8" s="63"/>
      <c r="H8" s="67"/>
      <c r="I8" s="68"/>
      <c r="J8" s="68"/>
      <c r="K8" s="32"/>
      <c r="L8" s="75">
        <v>8</v>
      </c>
      <c r="M8" s="75"/>
      <c r="N8" s="70"/>
      <c r="O8" s="77" t="s">
        <v>2080</v>
      </c>
      <c r="P8" s="79">
        <v>45106.421979166669</v>
      </c>
      <c r="Q8" s="77" t="s">
        <v>2089</v>
      </c>
      <c r="R8" s="77">
        <v>1</v>
      </c>
      <c r="S8" s="77">
        <v>1</v>
      </c>
      <c r="T8" s="77">
        <v>1</v>
      </c>
      <c r="U8" s="77">
        <v>0</v>
      </c>
      <c r="V8" s="77">
        <v>18</v>
      </c>
      <c r="W8" s="80" t="s">
        <v>5886</v>
      </c>
      <c r="X8" s="83" t="str">
        <f>HYPERLINK("https://twitter.com/armandolamezcla/status/1642013187900841985?s=46&amp;t=JnmivJDAUsDZBeXOwiraSg")</f>
        <v>https://twitter.com/armandolamezcla/status/1642013187900841985?s=46&amp;t=JnmivJDAUsDZBeXOwiraSg</v>
      </c>
      <c r="Y8" s="77" t="s">
        <v>8610</v>
      </c>
      <c r="Z8" s="77" t="s">
        <v>8901</v>
      </c>
      <c r="AA8" s="77"/>
      <c r="AB8" s="77"/>
      <c r="AC8" s="80" t="s">
        <v>10542</v>
      </c>
      <c r="AD8" s="77" t="s">
        <v>10620</v>
      </c>
      <c r="AE8" s="83" t="str">
        <f>HYPERLINK("https://twitter.com/armandolamezcla/status/1674358964228694017")</f>
        <v>https://twitter.com/armandolamezcla/status/1674358964228694017</v>
      </c>
      <c r="AF8" s="79">
        <v>45106.421979166669</v>
      </c>
      <c r="AG8" s="85">
        <v>45106</v>
      </c>
      <c r="AH8" s="80" t="s">
        <v>10632</v>
      </c>
      <c r="AI8" s="77" t="b">
        <v>0</v>
      </c>
      <c r="AJ8" s="77"/>
      <c r="AK8" s="77"/>
      <c r="AL8" s="77"/>
      <c r="AM8" s="77"/>
      <c r="AN8" s="77"/>
      <c r="AO8" s="77"/>
      <c r="AP8" s="77"/>
      <c r="AQ8" s="77"/>
      <c r="AR8" s="77"/>
      <c r="AS8" s="77"/>
      <c r="AT8" s="77"/>
      <c r="AU8" s="77"/>
      <c r="AV8" s="83" t="str">
        <f>HYPERLINK("https://pbs.twimg.com/profile_images/1631334526092812292/G_eDX7KF_normal.jpg")</f>
        <v>https://pbs.twimg.com/profile_images/1631334526092812292/G_eDX7KF_normal.jpg</v>
      </c>
      <c r="AW8" s="80" t="s">
        <v>16014</v>
      </c>
      <c r="AX8" s="80" t="s">
        <v>19961</v>
      </c>
      <c r="AY8" s="80" t="s">
        <v>20216</v>
      </c>
      <c r="AZ8" s="80" t="s">
        <v>19961</v>
      </c>
      <c r="BA8" s="80" t="s">
        <v>16015</v>
      </c>
      <c r="BB8" s="80" t="s">
        <v>20380</v>
      </c>
      <c r="BC8" s="80" t="s">
        <v>19961</v>
      </c>
      <c r="BD8" s="80" t="s">
        <v>20215</v>
      </c>
      <c r="BE8" s="77"/>
      <c r="BF8" s="77"/>
      <c r="BG8" s="77"/>
      <c r="BH8" s="77"/>
      <c r="BI8" s="77"/>
    </row>
    <row r="9" spans="1:61" x14ac:dyDescent="0.25">
      <c r="A9" s="62" t="s">
        <v>225</v>
      </c>
      <c r="B9" s="62" t="s">
        <v>1695</v>
      </c>
      <c r="C9" s="63"/>
      <c r="D9" s="64"/>
      <c r="E9" s="65"/>
      <c r="F9" s="66"/>
      <c r="G9" s="63"/>
      <c r="H9" s="67"/>
      <c r="I9" s="68"/>
      <c r="J9" s="68"/>
      <c r="K9" s="32"/>
      <c r="L9" s="75">
        <v>9</v>
      </c>
      <c r="M9" s="75"/>
      <c r="N9" s="70"/>
      <c r="O9" s="77" t="s">
        <v>2078</v>
      </c>
      <c r="P9" s="79">
        <v>45106.421979166669</v>
      </c>
      <c r="Q9" s="77" t="s">
        <v>2089</v>
      </c>
      <c r="R9" s="77">
        <v>1</v>
      </c>
      <c r="S9" s="77">
        <v>1</v>
      </c>
      <c r="T9" s="77">
        <v>1</v>
      </c>
      <c r="U9" s="77">
        <v>0</v>
      </c>
      <c r="V9" s="77">
        <v>18</v>
      </c>
      <c r="W9" s="80" t="s">
        <v>5886</v>
      </c>
      <c r="X9" s="83" t="str">
        <f>HYPERLINK("https://twitter.com/armandolamezcla/status/1642013187900841985?s=46&amp;t=JnmivJDAUsDZBeXOwiraSg")</f>
        <v>https://twitter.com/armandolamezcla/status/1642013187900841985?s=46&amp;t=JnmivJDAUsDZBeXOwiraSg</v>
      </c>
      <c r="Y9" s="77" t="s">
        <v>8610</v>
      </c>
      <c r="Z9" s="77" t="s">
        <v>8901</v>
      </c>
      <c r="AA9" s="77"/>
      <c r="AB9" s="77"/>
      <c r="AC9" s="80" t="s">
        <v>10542</v>
      </c>
      <c r="AD9" s="77" t="s">
        <v>10620</v>
      </c>
      <c r="AE9" s="83" t="str">
        <f>HYPERLINK("https://twitter.com/armandolamezcla/status/1674358964228694017")</f>
        <v>https://twitter.com/armandolamezcla/status/1674358964228694017</v>
      </c>
      <c r="AF9" s="79">
        <v>45106.421979166669</v>
      </c>
      <c r="AG9" s="85">
        <v>45106</v>
      </c>
      <c r="AH9" s="80" t="s">
        <v>10632</v>
      </c>
      <c r="AI9" s="77" t="b">
        <v>0</v>
      </c>
      <c r="AJ9" s="77"/>
      <c r="AK9" s="77"/>
      <c r="AL9" s="77"/>
      <c r="AM9" s="77"/>
      <c r="AN9" s="77"/>
      <c r="AO9" s="77"/>
      <c r="AP9" s="77"/>
      <c r="AQ9" s="77"/>
      <c r="AR9" s="77"/>
      <c r="AS9" s="77"/>
      <c r="AT9" s="77"/>
      <c r="AU9" s="77"/>
      <c r="AV9" s="83" t="str">
        <f>HYPERLINK("https://pbs.twimg.com/profile_images/1631334526092812292/G_eDX7KF_normal.jpg")</f>
        <v>https://pbs.twimg.com/profile_images/1631334526092812292/G_eDX7KF_normal.jpg</v>
      </c>
      <c r="AW9" s="80" t="s">
        <v>16014</v>
      </c>
      <c r="AX9" s="80" t="s">
        <v>19961</v>
      </c>
      <c r="AY9" s="80" t="s">
        <v>20216</v>
      </c>
      <c r="AZ9" s="80" t="s">
        <v>19961</v>
      </c>
      <c r="BA9" s="80" t="s">
        <v>16015</v>
      </c>
      <c r="BB9" s="80" t="s">
        <v>20380</v>
      </c>
      <c r="BC9" s="80" t="s">
        <v>19961</v>
      </c>
      <c r="BD9" s="80" t="s">
        <v>20215</v>
      </c>
      <c r="BE9" s="77"/>
      <c r="BF9" s="77"/>
      <c r="BG9" s="77"/>
      <c r="BH9" s="77"/>
      <c r="BI9" s="77"/>
    </row>
    <row r="10" spans="1:61" x14ac:dyDescent="0.25">
      <c r="A10" s="62" t="s">
        <v>225</v>
      </c>
      <c r="B10" s="62" t="s">
        <v>225</v>
      </c>
      <c r="C10" s="63"/>
      <c r="D10" s="64"/>
      <c r="E10" s="65"/>
      <c r="F10" s="66"/>
      <c r="G10" s="63"/>
      <c r="H10" s="67"/>
      <c r="I10" s="68"/>
      <c r="J10" s="68"/>
      <c r="K10" s="32"/>
      <c r="L10" s="75">
        <v>10</v>
      </c>
      <c r="M10" s="75"/>
      <c r="N10" s="70"/>
      <c r="O10" s="77" t="s">
        <v>2078</v>
      </c>
      <c r="P10" s="79">
        <v>45182.824513888889</v>
      </c>
      <c r="Q10" s="77" t="s">
        <v>2088</v>
      </c>
      <c r="R10" s="77">
        <v>0</v>
      </c>
      <c r="S10" s="77">
        <v>0</v>
      </c>
      <c r="T10" s="77">
        <v>0</v>
      </c>
      <c r="U10" s="77">
        <v>0</v>
      </c>
      <c r="V10" s="77">
        <v>12</v>
      </c>
      <c r="W10" s="80" t="s">
        <v>5885</v>
      </c>
      <c r="X10" s="77"/>
      <c r="Y10" s="77"/>
      <c r="Z10" s="77" t="s">
        <v>8900</v>
      </c>
      <c r="AA10" s="77"/>
      <c r="AB10" s="77"/>
      <c r="AC10" s="80" t="s">
        <v>10541</v>
      </c>
      <c r="AD10" s="77" t="s">
        <v>10619</v>
      </c>
      <c r="AE10" s="83" t="str">
        <f>HYPERLINK("https://twitter.com/armandolamezcla/status/1702046314576441551")</f>
        <v>https://twitter.com/armandolamezcla/status/1702046314576441551</v>
      </c>
      <c r="AF10" s="79">
        <v>45182.824513888889</v>
      </c>
      <c r="AG10" s="85">
        <v>45182</v>
      </c>
      <c r="AH10" s="80" t="s">
        <v>10631</v>
      </c>
      <c r="AI10" s="77"/>
      <c r="AJ10" s="77"/>
      <c r="AK10" s="77"/>
      <c r="AL10" s="77"/>
      <c r="AM10" s="77"/>
      <c r="AN10" s="77"/>
      <c r="AO10" s="77"/>
      <c r="AP10" s="77"/>
      <c r="AQ10" s="77"/>
      <c r="AR10" s="77"/>
      <c r="AS10" s="77"/>
      <c r="AT10" s="77"/>
      <c r="AU10" s="77"/>
      <c r="AV10" s="83" t="str">
        <f>HYPERLINK("https://pbs.twimg.com/profile_images/1631334526092812292/G_eDX7KF_normal.jpg")</f>
        <v>https://pbs.twimg.com/profile_images/1631334526092812292/G_eDX7KF_normal.jpg</v>
      </c>
      <c r="AW10" s="80" t="s">
        <v>16013</v>
      </c>
      <c r="AX10" s="80" t="s">
        <v>19960</v>
      </c>
      <c r="AY10" s="80" t="s">
        <v>20215</v>
      </c>
      <c r="AZ10" s="80" t="s">
        <v>20381</v>
      </c>
      <c r="BA10" s="80" t="s">
        <v>20380</v>
      </c>
      <c r="BB10" s="80" t="s">
        <v>20380</v>
      </c>
      <c r="BC10" s="80" t="s">
        <v>20381</v>
      </c>
      <c r="BD10" s="80" t="s">
        <v>20215</v>
      </c>
      <c r="BE10" s="77"/>
      <c r="BF10" s="77"/>
      <c r="BG10" s="77"/>
      <c r="BH10" s="77"/>
      <c r="BI10" s="77"/>
    </row>
    <row r="11" spans="1:61" x14ac:dyDescent="0.25">
      <c r="A11" s="62" t="s">
        <v>225</v>
      </c>
      <c r="B11" s="62" t="s">
        <v>892</v>
      </c>
      <c r="C11" s="63"/>
      <c r="D11" s="64"/>
      <c r="E11" s="65"/>
      <c r="F11" s="66"/>
      <c r="G11" s="63"/>
      <c r="H11" s="67"/>
      <c r="I11" s="68"/>
      <c r="J11" s="68"/>
      <c r="K11" s="32"/>
      <c r="L11" s="75">
        <v>11</v>
      </c>
      <c r="M11" s="75"/>
      <c r="N11" s="70"/>
      <c r="O11" s="77" t="s">
        <v>2081</v>
      </c>
      <c r="P11" s="79">
        <v>45017.164641203701</v>
      </c>
      <c r="Q11" s="77" t="s">
        <v>2090</v>
      </c>
      <c r="R11" s="77">
        <v>0</v>
      </c>
      <c r="S11" s="77">
        <v>1</v>
      </c>
      <c r="T11" s="77">
        <v>0</v>
      </c>
      <c r="U11" s="77">
        <v>1</v>
      </c>
      <c r="V11" s="77">
        <v>152</v>
      </c>
      <c r="W11" s="80" t="s">
        <v>5887</v>
      </c>
      <c r="X11" s="77"/>
      <c r="Y11" s="77"/>
      <c r="Z11" s="77" t="s">
        <v>892</v>
      </c>
      <c r="AA11" s="77" t="s">
        <v>9038</v>
      </c>
      <c r="AB11" s="77" t="s">
        <v>10534</v>
      </c>
      <c r="AC11" s="80" t="s">
        <v>10541</v>
      </c>
      <c r="AD11" s="77" t="s">
        <v>10620</v>
      </c>
      <c r="AE11" s="83" t="str">
        <f>HYPERLINK("https://twitter.com/armandolamezcla/status/1642013187900841985")</f>
        <v>https://twitter.com/armandolamezcla/status/1642013187900841985</v>
      </c>
      <c r="AF11" s="79">
        <v>45017.164641203701</v>
      </c>
      <c r="AG11" s="85">
        <v>45017</v>
      </c>
      <c r="AH11" s="80" t="s">
        <v>10633</v>
      </c>
      <c r="AI11" s="77" t="b">
        <v>0</v>
      </c>
      <c r="AJ11" s="77"/>
      <c r="AK11" s="77"/>
      <c r="AL11" s="77"/>
      <c r="AM11" s="77"/>
      <c r="AN11" s="77"/>
      <c r="AO11" s="77"/>
      <c r="AP11" s="77"/>
      <c r="AQ11" s="77" t="s">
        <v>14520</v>
      </c>
      <c r="AR11" s="77">
        <v>126793</v>
      </c>
      <c r="AS11" s="77"/>
      <c r="AT11" s="77"/>
      <c r="AU11" s="77"/>
      <c r="AV11" s="83" t="str">
        <f>HYPERLINK("https://pbs.twimg.com/ext_tw_video_thumb/1642012773524598785/pu/img/1lTk8cuFanGCyWzQ.jpg")</f>
        <v>https://pbs.twimg.com/ext_tw_video_thumb/1642012773524598785/pu/img/1lTk8cuFanGCyWzQ.jpg</v>
      </c>
      <c r="AW11" s="80" t="s">
        <v>16015</v>
      </c>
      <c r="AX11" s="80" t="s">
        <v>16015</v>
      </c>
      <c r="AY11" s="77"/>
      <c r="AZ11" s="80" t="s">
        <v>20380</v>
      </c>
      <c r="BA11" s="80" t="s">
        <v>20380</v>
      </c>
      <c r="BB11" s="80" t="s">
        <v>20380</v>
      </c>
      <c r="BC11" s="80" t="s">
        <v>16015</v>
      </c>
      <c r="BD11" s="80" t="s">
        <v>20215</v>
      </c>
      <c r="BE11" s="77"/>
      <c r="BF11" s="77"/>
      <c r="BG11" s="77"/>
      <c r="BH11" s="77"/>
      <c r="BI11" s="77"/>
    </row>
    <row r="12" spans="1:61" x14ac:dyDescent="0.25">
      <c r="A12" s="62" t="s">
        <v>225</v>
      </c>
      <c r="B12" s="62" t="s">
        <v>225</v>
      </c>
      <c r="C12" s="63"/>
      <c r="D12" s="64"/>
      <c r="E12" s="65"/>
      <c r="F12" s="66"/>
      <c r="G12" s="63"/>
      <c r="H12" s="67"/>
      <c r="I12" s="68"/>
      <c r="J12" s="68"/>
      <c r="K12" s="32"/>
      <c r="L12" s="75">
        <v>12</v>
      </c>
      <c r="M12" s="75"/>
      <c r="N12" s="70"/>
      <c r="O12" s="77" t="s">
        <v>2082</v>
      </c>
      <c r="P12" s="79">
        <v>45106.421979166669</v>
      </c>
      <c r="Q12" s="77" t="s">
        <v>2089</v>
      </c>
      <c r="R12" s="77">
        <v>1</v>
      </c>
      <c r="S12" s="77">
        <v>1</v>
      </c>
      <c r="T12" s="77">
        <v>1</v>
      </c>
      <c r="U12" s="77">
        <v>0</v>
      </c>
      <c r="V12" s="77">
        <v>18</v>
      </c>
      <c r="W12" s="80" t="s">
        <v>5886</v>
      </c>
      <c r="X12" s="83" t="str">
        <f>HYPERLINK("https://twitter.com/armandolamezcla/status/1642013187900841985?s=46&amp;t=JnmivJDAUsDZBeXOwiraSg")</f>
        <v>https://twitter.com/armandolamezcla/status/1642013187900841985?s=46&amp;t=JnmivJDAUsDZBeXOwiraSg</v>
      </c>
      <c r="Y12" s="77" t="s">
        <v>8610</v>
      </c>
      <c r="Z12" s="77" t="s">
        <v>8901</v>
      </c>
      <c r="AA12" s="77"/>
      <c r="AB12" s="77"/>
      <c r="AC12" s="80" t="s">
        <v>10542</v>
      </c>
      <c r="AD12" s="77" t="s">
        <v>10620</v>
      </c>
      <c r="AE12" s="83" t="str">
        <f>HYPERLINK("https://twitter.com/armandolamezcla/status/1674358964228694017")</f>
        <v>https://twitter.com/armandolamezcla/status/1674358964228694017</v>
      </c>
      <c r="AF12" s="79">
        <v>45106.421979166669</v>
      </c>
      <c r="AG12" s="85">
        <v>45106</v>
      </c>
      <c r="AH12" s="80" t="s">
        <v>10632</v>
      </c>
      <c r="AI12" s="77" t="b">
        <v>0</v>
      </c>
      <c r="AJ12" s="77"/>
      <c r="AK12" s="77"/>
      <c r="AL12" s="77"/>
      <c r="AM12" s="77"/>
      <c r="AN12" s="77"/>
      <c r="AO12" s="77"/>
      <c r="AP12" s="77"/>
      <c r="AQ12" s="77"/>
      <c r="AR12" s="77"/>
      <c r="AS12" s="77"/>
      <c r="AT12" s="77"/>
      <c r="AU12" s="77"/>
      <c r="AV12" s="83" t="str">
        <f>HYPERLINK("https://pbs.twimg.com/profile_images/1631334526092812292/G_eDX7KF_normal.jpg")</f>
        <v>https://pbs.twimg.com/profile_images/1631334526092812292/G_eDX7KF_normal.jpg</v>
      </c>
      <c r="AW12" s="80" t="s">
        <v>16014</v>
      </c>
      <c r="AX12" s="80" t="s">
        <v>19961</v>
      </c>
      <c r="AY12" s="80" t="s">
        <v>20216</v>
      </c>
      <c r="AZ12" s="80" t="s">
        <v>19961</v>
      </c>
      <c r="BA12" s="80" t="s">
        <v>16015</v>
      </c>
      <c r="BB12" s="80" t="s">
        <v>20380</v>
      </c>
      <c r="BC12" s="80" t="s">
        <v>19961</v>
      </c>
      <c r="BD12" s="80" t="s">
        <v>20215</v>
      </c>
      <c r="BE12" s="77"/>
      <c r="BF12" s="77"/>
      <c r="BG12" s="77"/>
      <c r="BH12" s="77"/>
      <c r="BI12" s="77"/>
    </row>
    <row r="13" spans="1:61" x14ac:dyDescent="0.25">
      <c r="A13" s="62" t="s">
        <v>226</v>
      </c>
      <c r="B13" s="62" t="s">
        <v>226</v>
      </c>
      <c r="C13" s="63"/>
      <c r="D13" s="64"/>
      <c r="E13" s="65"/>
      <c r="F13" s="66"/>
      <c r="G13" s="63"/>
      <c r="H13" s="67"/>
      <c r="I13" s="68"/>
      <c r="J13" s="68"/>
      <c r="K13" s="32"/>
      <c r="L13" s="75">
        <v>13</v>
      </c>
      <c r="M13" s="75"/>
      <c r="N13" s="70"/>
      <c r="O13" s="77" t="s">
        <v>179</v>
      </c>
      <c r="P13" s="79">
        <v>45084.987314814818</v>
      </c>
      <c r="Q13" s="77" t="s">
        <v>2091</v>
      </c>
      <c r="R13" s="77">
        <v>1</v>
      </c>
      <c r="S13" s="77">
        <v>1</v>
      </c>
      <c r="T13" s="77">
        <v>0</v>
      </c>
      <c r="U13" s="77">
        <v>0</v>
      </c>
      <c r="V13" s="77">
        <v>26</v>
      </c>
      <c r="W13" s="80" t="s">
        <v>5888</v>
      </c>
      <c r="X13" s="83" t="str">
        <f>HYPERLINK("https://www.politicadistrital.com.br/2023/06/07/brasileiros-ainda-nao-sacaram-r-708-bi-de-valores-a-receber/")</f>
        <v>https://www.politicadistrital.com.br/2023/06/07/brasileiros-ainda-nao-sacaram-r-708-bi-de-valores-a-receber/</v>
      </c>
      <c r="Y13" s="77" t="s">
        <v>8611</v>
      </c>
      <c r="Z13" s="77"/>
      <c r="AA13" s="77" t="s">
        <v>9039</v>
      </c>
      <c r="AB13" s="77" t="s">
        <v>10535</v>
      </c>
      <c r="AC13" s="80" t="s">
        <v>10541</v>
      </c>
      <c r="AD13" s="77" t="s">
        <v>10617</v>
      </c>
      <c r="AE13" s="83" t="str">
        <f>HYPERLINK("https://twitter.com/polidistrital/status/1666591298847899648")</f>
        <v>https://twitter.com/polidistrital/status/1666591298847899648</v>
      </c>
      <c r="AF13" s="79">
        <v>45084.987314814818</v>
      </c>
      <c r="AG13" s="85">
        <v>45084</v>
      </c>
      <c r="AH13" s="80" t="s">
        <v>10634</v>
      </c>
      <c r="AI13" s="77" t="b">
        <v>0</v>
      </c>
      <c r="AJ13" s="77"/>
      <c r="AK13" s="77"/>
      <c r="AL13" s="77"/>
      <c r="AM13" s="77"/>
      <c r="AN13" s="77"/>
      <c r="AO13" s="77"/>
      <c r="AP13" s="77"/>
      <c r="AQ13" s="77" t="s">
        <v>14521</v>
      </c>
      <c r="AR13" s="77"/>
      <c r="AS13" s="77"/>
      <c r="AT13" s="77"/>
      <c r="AU13" s="77"/>
      <c r="AV13" s="83" t="str">
        <f>HYPERLINK("https://pbs.twimg.com/media/FyDr81VX0AE9yWQ.jpg")</f>
        <v>https://pbs.twimg.com/media/FyDr81VX0AE9yWQ.jpg</v>
      </c>
      <c r="AW13" s="80" t="s">
        <v>16016</v>
      </c>
      <c r="AX13" s="80" t="s">
        <v>16016</v>
      </c>
      <c r="AY13" s="77"/>
      <c r="AZ13" s="80" t="s">
        <v>20380</v>
      </c>
      <c r="BA13" s="80" t="s">
        <v>20380</v>
      </c>
      <c r="BB13" s="80" t="s">
        <v>20380</v>
      </c>
      <c r="BC13" s="80" t="s">
        <v>16016</v>
      </c>
      <c r="BD13" s="77">
        <v>61815962</v>
      </c>
      <c r="BE13" s="77"/>
      <c r="BF13" s="77"/>
      <c r="BG13" s="77"/>
      <c r="BH13" s="77"/>
      <c r="BI13" s="77"/>
    </row>
    <row r="14" spans="1:61" x14ac:dyDescent="0.25">
      <c r="A14" s="62" t="s">
        <v>226</v>
      </c>
      <c r="B14" s="62" t="s">
        <v>226</v>
      </c>
      <c r="C14" s="63"/>
      <c r="D14" s="64"/>
      <c r="E14" s="65"/>
      <c r="F14" s="66"/>
      <c r="G14" s="63"/>
      <c r="H14" s="67"/>
      <c r="I14" s="68"/>
      <c r="J14" s="68"/>
      <c r="K14" s="32"/>
      <c r="L14" s="75">
        <v>14</v>
      </c>
      <c r="M14" s="75"/>
      <c r="N14" s="70"/>
      <c r="O14" s="77" t="s">
        <v>179</v>
      </c>
      <c r="P14" s="79">
        <v>45104.806851851848</v>
      </c>
      <c r="Q14" s="77" t="s">
        <v>2092</v>
      </c>
      <c r="R14" s="77">
        <v>1</v>
      </c>
      <c r="S14" s="77">
        <v>2</v>
      </c>
      <c r="T14" s="77">
        <v>0</v>
      </c>
      <c r="U14" s="77">
        <v>0</v>
      </c>
      <c r="V14" s="77">
        <v>30</v>
      </c>
      <c r="W14" s="80" t="s">
        <v>5889</v>
      </c>
      <c r="X14" s="83" t="str">
        <f>HYPERLINK("https://www.politicadistrital.com.br/2023/06/27/campos-neto-deve-voltar-a-se-explicar-no-senado-sobre-taxas-de-juros-elevada/")</f>
        <v>https://www.politicadistrital.com.br/2023/06/27/campos-neto-deve-voltar-a-se-explicar-no-senado-sobre-taxas-de-juros-elevada/</v>
      </c>
      <c r="Y14" s="77" t="s">
        <v>8611</v>
      </c>
      <c r="Z14" s="77"/>
      <c r="AA14" s="77" t="s">
        <v>9040</v>
      </c>
      <c r="AB14" s="77" t="s">
        <v>10535</v>
      </c>
      <c r="AC14" s="80" t="s">
        <v>10541</v>
      </c>
      <c r="AD14" s="77" t="s">
        <v>10617</v>
      </c>
      <c r="AE14" s="83" t="str">
        <f>HYPERLINK("https://twitter.com/polidistrital/status/1673773659503333379")</f>
        <v>https://twitter.com/polidistrital/status/1673773659503333379</v>
      </c>
      <c r="AF14" s="79">
        <v>45104.806851851848</v>
      </c>
      <c r="AG14" s="85">
        <v>45104</v>
      </c>
      <c r="AH14" s="80" t="s">
        <v>10635</v>
      </c>
      <c r="AI14" s="77" t="b">
        <v>0</v>
      </c>
      <c r="AJ14" s="77"/>
      <c r="AK14" s="77"/>
      <c r="AL14" s="77"/>
      <c r="AM14" s="77"/>
      <c r="AN14" s="77"/>
      <c r="AO14" s="77"/>
      <c r="AP14" s="77"/>
      <c r="AQ14" s="77" t="s">
        <v>14522</v>
      </c>
      <c r="AR14" s="77"/>
      <c r="AS14" s="77"/>
      <c r="AT14" s="77"/>
      <c r="AU14" s="77"/>
      <c r="AV14" s="83" t="str">
        <f>HYPERLINK("https://pbs.twimg.com/media/FzpwRQUWcAE4kgk.jpg")</f>
        <v>https://pbs.twimg.com/media/FzpwRQUWcAE4kgk.jpg</v>
      </c>
      <c r="AW14" s="80" t="s">
        <v>16017</v>
      </c>
      <c r="AX14" s="80" t="s">
        <v>16017</v>
      </c>
      <c r="AY14" s="77"/>
      <c r="AZ14" s="80" t="s">
        <v>20380</v>
      </c>
      <c r="BA14" s="80" t="s">
        <v>20380</v>
      </c>
      <c r="BB14" s="80" t="s">
        <v>20380</v>
      </c>
      <c r="BC14" s="80" t="s">
        <v>16017</v>
      </c>
      <c r="BD14" s="77">
        <v>61815962</v>
      </c>
      <c r="BE14" s="77"/>
      <c r="BF14" s="77"/>
      <c r="BG14" s="77"/>
      <c r="BH14" s="77"/>
      <c r="BI14" s="77"/>
    </row>
    <row r="15" spans="1:61" x14ac:dyDescent="0.25">
      <c r="A15" s="62" t="s">
        <v>226</v>
      </c>
      <c r="B15" s="62" t="s">
        <v>226</v>
      </c>
      <c r="C15" s="63"/>
      <c r="D15" s="64"/>
      <c r="E15" s="65"/>
      <c r="F15" s="66"/>
      <c r="G15" s="63"/>
      <c r="H15" s="67"/>
      <c r="I15" s="68"/>
      <c r="J15" s="68"/>
      <c r="K15" s="32"/>
      <c r="L15" s="75">
        <v>15</v>
      </c>
      <c r="M15" s="75"/>
      <c r="N15" s="70"/>
      <c r="O15" s="77" t="s">
        <v>179</v>
      </c>
      <c r="P15" s="79">
        <v>45132.917210648149</v>
      </c>
      <c r="Q15" s="77" t="s">
        <v>2093</v>
      </c>
      <c r="R15" s="77">
        <v>1</v>
      </c>
      <c r="S15" s="77">
        <v>1</v>
      </c>
      <c r="T15" s="77">
        <v>0</v>
      </c>
      <c r="U15" s="77">
        <v>0</v>
      </c>
      <c r="V15" s="77">
        <v>37</v>
      </c>
      <c r="W15" s="80" t="s">
        <v>5890</v>
      </c>
      <c r="X15" s="83" t="str">
        <f>HYPERLINK("https://www.politicadistrital.com.br/2023/07/25/ataque-de-campos-neto-as-reservas-internacionais-e-alvo-de-investigacao-do-tcu/")</f>
        <v>https://www.politicadistrital.com.br/2023/07/25/ataque-de-campos-neto-as-reservas-internacionais-e-alvo-de-investigacao-do-tcu/</v>
      </c>
      <c r="Y15" s="77" t="s">
        <v>8611</v>
      </c>
      <c r="Z15" s="77"/>
      <c r="AA15" s="77" t="s">
        <v>9041</v>
      </c>
      <c r="AB15" s="77" t="s">
        <v>10535</v>
      </c>
      <c r="AC15" s="80" t="s">
        <v>10541</v>
      </c>
      <c r="AD15" s="77" t="s">
        <v>10617</v>
      </c>
      <c r="AE15" s="83" t="str">
        <f>HYPERLINK("https://twitter.com/polidistrital/status/1683960512789221376")</f>
        <v>https://twitter.com/polidistrital/status/1683960512789221376</v>
      </c>
      <c r="AF15" s="79">
        <v>45132.917210648149</v>
      </c>
      <c r="AG15" s="85">
        <v>45132</v>
      </c>
      <c r="AH15" s="80" t="s">
        <v>10636</v>
      </c>
      <c r="AI15" s="77" t="b">
        <v>0</v>
      </c>
      <c r="AJ15" s="77"/>
      <c r="AK15" s="77"/>
      <c r="AL15" s="77"/>
      <c r="AM15" s="77"/>
      <c r="AN15" s="77"/>
      <c r="AO15" s="77"/>
      <c r="AP15" s="77"/>
      <c r="AQ15" s="77" t="s">
        <v>14523</v>
      </c>
      <c r="AR15" s="77"/>
      <c r="AS15" s="77"/>
      <c r="AT15" s="77"/>
      <c r="AU15" s="77"/>
      <c r="AV15" s="83" t="str">
        <f>HYPERLINK("https://pbs.twimg.com/media/F16hKNIWcAIPeT4.jpg")</f>
        <v>https://pbs.twimg.com/media/F16hKNIWcAIPeT4.jpg</v>
      </c>
      <c r="AW15" s="80" t="s">
        <v>16018</v>
      </c>
      <c r="AX15" s="80" t="s">
        <v>16018</v>
      </c>
      <c r="AY15" s="77"/>
      <c r="AZ15" s="80" t="s">
        <v>20380</v>
      </c>
      <c r="BA15" s="80" t="s">
        <v>20380</v>
      </c>
      <c r="BB15" s="80" t="s">
        <v>20380</v>
      </c>
      <c r="BC15" s="80" t="s">
        <v>16018</v>
      </c>
      <c r="BD15" s="77">
        <v>61815962</v>
      </c>
      <c r="BE15" s="77"/>
      <c r="BF15" s="77"/>
      <c r="BG15" s="77"/>
      <c r="BH15" s="77"/>
      <c r="BI15" s="77"/>
    </row>
    <row r="16" spans="1:61" x14ac:dyDescent="0.25">
      <c r="A16" s="62" t="s">
        <v>227</v>
      </c>
      <c r="B16" s="62" t="s">
        <v>227</v>
      </c>
      <c r="C16" s="63"/>
      <c r="D16" s="64"/>
      <c r="E16" s="65"/>
      <c r="F16" s="66"/>
      <c r="G16" s="63"/>
      <c r="H16" s="67"/>
      <c r="I16" s="68"/>
      <c r="J16" s="68"/>
      <c r="K16" s="32"/>
      <c r="L16" s="75">
        <v>16</v>
      </c>
      <c r="M16" s="75"/>
      <c r="N16" s="70"/>
      <c r="O16" s="77" t="s">
        <v>179</v>
      </c>
      <c r="P16" s="79">
        <v>45098.659618055557</v>
      </c>
      <c r="Q16" s="77" t="s">
        <v>2094</v>
      </c>
      <c r="R16" s="77">
        <v>0</v>
      </c>
      <c r="S16" s="77">
        <v>1</v>
      </c>
      <c r="T16" s="77">
        <v>0</v>
      </c>
      <c r="U16" s="77">
        <v>0</v>
      </c>
      <c r="V16" s="77">
        <v>606</v>
      </c>
      <c r="W16" s="80" t="s">
        <v>5891</v>
      </c>
      <c r="X16" s="77"/>
      <c r="Y16" s="77"/>
      <c r="Z16" s="77"/>
      <c r="AA16" s="77" t="s">
        <v>9042</v>
      </c>
      <c r="AB16" s="77" t="s">
        <v>10534</v>
      </c>
      <c r="AC16" s="80" t="s">
        <v>10540</v>
      </c>
      <c r="AD16" s="77" t="s">
        <v>10620</v>
      </c>
      <c r="AE16" s="83" t="str">
        <f>HYPERLINK("https://twitter.com/centralrtvd/status/1671545975884619780")</f>
        <v>https://twitter.com/centralrtvd/status/1671545975884619780</v>
      </c>
      <c r="AF16" s="79">
        <v>45098.659618055557</v>
      </c>
      <c r="AG16" s="85">
        <v>45098</v>
      </c>
      <c r="AH16" s="80" t="s">
        <v>10637</v>
      </c>
      <c r="AI16" s="77" t="b">
        <v>0</v>
      </c>
      <c r="AJ16" s="77" t="s">
        <v>14340</v>
      </c>
      <c r="AK16" s="77" t="s">
        <v>14381</v>
      </c>
      <c r="AL16" s="77" t="s">
        <v>14390</v>
      </c>
      <c r="AM16" s="77" t="s">
        <v>14399</v>
      </c>
      <c r="AN16" s="77" t="s">
        <v>14437</v>
      </c>
      <c r="AO16" s="77" t="s">
        <v>14478</v>
      </c>
      <c r="AP16" s="77" t="s">
        <v>14516</v>
      </c>
      <c r="AQ16" s="77" t="s">
        <v>14524</v>
      </c>
      <c r="AR16" s="77">
        <v>139964</v>
      </c>
      <c r="AS16" s="77"/>
      <c r="AT16" s="77"/>
      <c r="AU16" s="77"/>
      <c r="AV16" s="83" t="str">
        <f>HYPERLINK("https://pbs.twimg.com/ext_tw_video_thumb/1671545826844311555/pu/img/QgYDaS9inozy2ujV.jpg")</f>
        <v>https://pbs.twimg.com/ext_tw_video_thumb/1671545826844311555/pu/img/QgYDaS9inozy2ujV.jpg</v>
      </c>
      <c r="AW16" s="80" t="s">
        <v>16019</v>
      </c>
      <c r="AX16" s="80" t="s">
        <v>16019</v>
      </c>
      <c r="AY16" s="77"/>
      <c r="AZ16" s="80" t="s">
        <v>20380</v>
      </c>
      <c r="BA16" s="80" t="s">
        <v>20380</v>
      </c>
      <c r="BB16" s="80" t="s">
        <v>20380</v>
      </c>
      <c r="BC16" s="80" t="s">
        <v>16019</v>
      </c>
      <c r="BD16" s="80" t="s">
        <v>20491</v>
      </c>
      <c r="BE16" s="77"/>
      <c r="BF16" s="77"/>
      <c r="BG16" s="77"/>
      <c r="BH16" s="77"/>
      <c r="BI16" s="77"/>
    </row>
    <row r="17" spans="1:61" x14ac:dyDescent="0.25">
      <c r="A17" s="62" t="s">
        <v>227</v>
      </c>
      <c r="B17" s="62" t="s">
        <v>227</v>
      </c>
      <c r="C17" s="63"/>
      <c r="D17" s="64"/>
      <c r="E17" s="65"/>
      <c r="F17" s="66"/>
      <c r="G17" s="63"/>
      <c r="H17" s="67"/>
      <c r="I17" s="68"/>
      <c r="J17" s="68"/>
      <c r="K17" s="32"/>
      <c r="L17" s="75">
        <v>17</v>
      </c>
      <c r="M17" s="75"/>
      <c r="N17" s="70"/>
      <c r="O17" s="77" t="s">
        <v>179</v>
      </c>
      <c r="P17" s="79">
        <v>45091.602800925924</v>
      </c>
      <c r="Q17" s="77" t="s">
        <v>2095</v>
      </c>
      <c r="R17" s="77">
        <v>0</v>
      </c>
      <c r="S17" s="77">
        <v>0</v>
      </c>
      <c r="T17" s="77">
        <v>0</v>
      </c>
      <c r="U17" s="77">
        <v>0</v>
      </c>
      <c r="V17" s="77">
        <v>40</v>
      </c>
      <c r="W17" s="80" t="s">
        <v>5892</v>
      </c>
      <c r="X17" s="77"/>
      <c r="Y17" s="77"/>
      <c r="Z17" s="77"/>
      <c r="AA17" s="77" t="s">
        <v>9043</v>
      </c>
      <c r="AB17" s="77" t="s">
        <v>10534</v>
      </c>
      <c r="AC17" s="80" t="s">
        <v>10540</v>
      </c>
      <c r="AD17" s="77" t="s">
        <v>10620</v>
      </c>
      <c r="AE17" s="83" t="str">
        <f>HYPERLINK("https://twitter.com/centralrtvd/status/1668988670563557377")</f>
        <v>https://twitter.com/centralrtvd/status/1668988670563557377</v>
      </c>
      <c r="AF17" s="79">
        <v>45091.602800925924</v>
      </c>
      <c r="AG17" s="85">
        <v>45091</v>
      </c>
      <c r="AH17" s="80" t="s">
        <v>10638</v>
      </c>
      <c r="AI17" s="77" t="b">
        <v>0</v>
      </c>
      <c r="AJ17" s="77"/>
      <c r="AK17" s="77"/>
      <c r="AL17" s="77"/>
      <c r="AM17" s="77"/>
      <c r="AN17" s="77"/>
      <c r="AO17" s="77"/>
      <c r="AP17" s="77"/>
      <c r="AQ17" s="77" t="s">
        <v>14525</v>
      </c>
      <c r="AR17" s="77">
        <v>139965</v>
      </c>
      <c r="AS17" s="77"/>
      <c r="AT17" s="77"/>
      <c r="AU17" s="77"/>
      <c r="AV17" s="83" t="str">
        <f>HYPERLINK("https://pbs.twimg.com/ext_tw_video_thumb/1668988497523273728/pu/img/ogzkbzOU9pwD0cDf.jpg")</f>
        <v>https://pbs.twimg.com/ext_tw_video_thumb/1668988497523273728/pu/img/ogzkbzOU9pwD0cDf.jpg</v>
      </c>
      <c r="AW17" s="80" t="s">
        <v>16020</v>
      </c>
      <c r="AX17" s="80" t="s">
        <v>16020</v>
      </c>
      <c r="AY17" s="77"/>
      <c r="AZ17" s="80" t="s">
        <v>20380</v>
      </c>
      <c r="BA17" s="80" t="s">
        <v>20380</v>
      </c>
      <c r="BB17" s="80" t="s">
        <v>20380</v>
      </c>
      <c r="BC17" s="80" t="s">
        <v>16020</v>
      </c>
      <c r="BD17" s="80" t="s">
        <v>20491</v>
      </c>
      <c r="BE17" s="77"/>
      <c r="BF17" s="77"/>
      <c r="BG17" s="77"/>
      <c r="BH17" s="77"/>
      <c r="BI17" s="77"/>
    </row>
    <row r="18" spans="1:61" x14ac:dyDescent="0.25">
      <c r="A18" s="62" t="s">
        <v>227</v>
      </c>
      <c r="B18" s="62" t="s">
        <v>227</v>
      </c>
      <c r="C18" s="63"/>
      <c r="D18" s="64"/>
      <c r="E18" s="65"/>
      <c r="F18" s="66"/>
      <c r="G18" s="63"/>
      <c r="H18" s="67"/>
      <c r="I18" s="68"/>
      <c r="J18" s="68"/>
      <c r="K18" s="32"/>
      <c r="L18" s="75">
        <v>18</v>
      </c>
      <c r="M18" s="75"/>
      <c r="N18" s="70"/>
      <c r="O18" s="77" t="s">
        <v>179</v>
      </c>
      <c r="P18" s="79">
        <v>45107.6018287037</v>
      </c>
      <c r="Q18" s="77" t="s">
        <v>2096</v>
      </c>
      <c r="R18" s="77">
        <v>0</v>
      </c>
      <c r="S18" s="77">
        <v>0</v>
      </c>
      <c r="T18" s="77">
        <v>0</v>
      </c>
      <c r="U18" s="77">
        <v>0</v>
      </c>
      <c r="V18" s="77">
        <v>9</v>
      </c>
      <c r="W18" s="80" t="s">
        <v>5893</v>
      </c>
      <c r="X18" s="77"/>
      <c r="Y18" s="77"/>
      <c r="Z18" s="77"/>
      <c r="AA18" s="77" t="s">
        <v>9044</v>
      </c>
      <c r="AB18" s="77" t="s">
        <v>10534</v>
      </c>
      <c r="AC18" s="80" t="s">
        <v>10541</v>
      </c>
      <c r="AD18" s="77" t="s">
        <v>10620</v>
      </c>
      <c r="AE18" s="83" t="str">
        <f>HYPERLINK("https://twitter.com/centralrtvd/status/1674786525912141826")</f>
        <v>https://twitter.com/centralrtvd/status/1674786525912141826</v>
      </c>
      <c r="AF18" s="79">
        <v>45107.6018287037</v>
      </c>
      <c r="AG18" s="85">
        <v>45107</v>
      </c>
      <c r="AH18" s="80" t="s">
        <v>10639</v>
      </c>
      <c r="AI18" s="77" t="b">
        <v>0</v>
      </c>
      <c r="AJ18" s="77"/>
      <c r="AK18" s="77"/>
      <c r="AL18" s="77"/>
      <c r="AM18" s="77"/>
      <c r="AN18" s="77"/>
      <c r="AO18" s="77"/>
      <c r="AP18" s="77"/>
      <c r="AQ18" s="77" t="s">
        <v>14526</v>
      </c>
      <c r="AR18" s="77">
        <v>128761</v>
      </c>
      <c r="AS18" s="77"/>
      <c r="AT18" s="77"/>
      <c r="AU18" s="77"/>
      <c r="AV18" s="83" t="str">
        <f>HYPERLINK("https://pbs.twimg.com/ext_tw_video_thumb/1674786203630202880/pu/img/XAc9afcHl-rBSU2w.jpg")</f>
        <v>https://pbs.twimg.com/ext_tw_video_thumb/1674786203630202880/pu/img/XAc9afcHl-rBSU2w.jpg</v>
      </c>
      <c r="AW18" s="80" t="s">
        <v>16021</v>
      </c>
      <c r="AX18" s="80" t="s">
        <v>16021</v>
      </c>
      <c r="AY18" s="77"/>
      <c r="AZ18" s="80" t="s">
        <v>20380</v>
      </c>
      <c r="BA18" s="80" t="s">
        <v>20380</v>
      </c>
      <c r="BB18" s="80" t="s">
        <v>20380</v>
      </c>
      <c r="BC18" s="80" t="s">
        <v>16021</v>
      </c>
      <c r="BD18" s="80" t="s">
        <v>20491</v>
      </c>
      <c r="BE18" s="77"/>
      <c r="BF18" s="77"/>
      <c r="BG18" s="77"/>
      <c r="BH18" s="77"/>
      <c r="BI18" s="77"/>
    </row>
    <row r="19" spans="1:61" x14ac:dyDescent="0.25">
      <c r="A19" s="62" t="s">
        <v>227</v>
      </c>
      <c r="B19" s="62" t="s">
        <v>227</v>
      </c>
      <c r="C19" s="63"/>
      <c r="D19" s="64"/>
      <c r="E19" s="65"/>
      <c r="F19" s="66"/>
      <c r="G19" s="63"/>
      <c r="H19" s="67"/>
      <c r="I19" s="68"/>
      <c r="J19" s="68"/>
      <c r="K19" s="32"/>
      <c r="L19" s="75">
        <v>19</v>
      </c>
      <c r="M19" s="75"/>
      <c r="N19" s="70"/>
      <c r="O19" s="77" t="s">
        <v>179</v>
      </c>
      <c r="P19" s="79">
        <v>45107.600312499999</v>
      </c>
      <c r="Q19" s="77" t="s">
        <v>2097</v>
      </c>
      <c r="R19" s="77">
        <v>0</v>
      </c>
      <c r="S19" s="77">
        <v>1</v>
      </c>
      <c r="T19" s="77">
        <v>0</v>
      </c>
      <c r="U19" s="77">
        <v>0</v>
      </c>
      <c r="V19" s="77">
        <v>166</v>
      </c>
      <c r="W19" s="80" t="s">
        <v>5894</v>
      </c>
      <c r="X19" s="77"/>
      <c r="Y19" s="77"/>
      <c r="Z19" s="77"/>
      <c r="AA19" s="77" t="s">
        <v>9045</v>
      </c>
      <c r="AB19" s="77" t="s">
        <v>10534</v>
      </c>
      <c r="AC19" s="80" t="s">
        <v>10541</v>
      </c>
      <c r="AD19" s="77" t="s">
        <v>10620</v>
      </c>
      <c r="AE19" s="83" t="str">
        <f>HYPERLINK("https://twitter.com/centralrtvd/status/1674785977137774592")</f>
        <v>https://twitter.com/centralrtvd/status/1674785977137774592</v>
      </c>
      <c r="AF19" s="79">
        <v>45107.600312499999</v>
      </c>
      <c r="AG19" s="85">
        <v>45107</v>
      </c>
      <c r="AH19" s="80" t="s">
        <v>10640</v>
      </c>
      <c r="AI19" s="77" t="b">
        <v>0</v>
      </c>
      <c r="AJ19" s="77"/>
      <c r="AK19" s="77"/>
      <c r="AL19" s="77"/>
      <c r="AM19" s="77"/>
      <c r="AN19" s="77"/>
      <c r="AO19" s="77"/>
      <c r="AP19" s="77"/>
      <c r="AQ19" s="77" t="s">
        <v>14527</v>
      </c>
      <c r="AR19" s="77">
        <v>136302</v>
      </c>
      <c r="AS19" s="77"/>
      <c r="AT19" s="77"/>
      <c r="AU19" s="77"/>
      <c r="AV19" s="83" t="str">
        <f>HYPERLINK("https://pbs.twimg.com/ext_tw_video_thumb/1674785545153843202/pu/img/4htUcMIUi-JN8KcQ.jpg")</f>
        <v>https://pbs.twimg.com/ext_tw_video_thumb/1674785545153843202/pu/img/4htUcMIUi-JN8KcQ.jpg</v>
      </c>
      <c r="AW19" s="80" t="s">
        <v>16022</v>
      </c>
      <c r="AX19" s="80" t="s">
        <v>16022</v>
      </c>
      <c r="AY19" s="77"/>
      <c r="AZ19" s="80" t="s">
        <v>20380</v>
      </c>
      <c r="BA19" s="80" t="s">
        <v>20380</v>
      </c>
      <c r="BB19" s="80" t="s">
        <v>20380</v>
      </c>
      <c r="BC19" s="80" t="s">
        <v>16022</v>
      </c>
      <c r="BD19" s="80" t="s">
        <v>20491</v>
      </c>
      <c r="BE19" s="77"/>
      <c r="BF19" s="77"/>
      <c r="BG19" s="77"/>
      <c r="BH19" s="77"/>
      <c r="BI19" s="77"/>
    </row>
    <row r="20" spans="1:61" x14ac:dyDescent="0.25">
      <c r="A20" s="62" t="s">
        <v>228</v>
      </c>
      <c r="B20" s="62" t="s">
        <v>228</v>
      </c>
      <c r="C20" s="63"/>
      <c r="D20" s="64"/>
      <c r="E20" s="65"/>
      <c r="F20" s="66"/>
      <c r="G20" s="63"/>
      <c r="H20" s="67"/>
      <c r="I20" s="68"/>
      <c r="J20" s="68"/>
      <c r="K20" s="32"/>
      <c r="L20" s="75">
        <v>20</v>
      </c>
      <c r="M20" s="75"/>
      <c r="N20" s="70"/>
      <c r="O20" s="77" t="s">
        <v>179</v>
      </c>
      <c r="P20" s="79">
        <v>45083.876076388886</v>
      </c>
      <c r="Q20" s="77" t="s">
        <v>2098</v>
      </c>
      <c r="R20" s="77">
        <v>0</v>
      </c>
      <c r="S20" s="77">
        <v>0</v>
      </c>
      <c r="T20" s="77">
        <v>0</v>
      </c>
      <c r="U20" s="77">
        <v>0</v>
      </c>
      <c r="V20" s="77">
        <v>14</v>
      </c>
      <c r="W20" s="80" t="s">
        <v>5895</v>
      </c>
      <c r="X20" s="83" t="str">
        <f>HYPERLINK("https://www.youtube.com/watch?v=298aksd_PYY")</f>
        <v>https://www.youtube.com/watch?v=298aksd_PYY</v>
      </c>
      <c r="Y20" s="77" t="s">
        <v>8612</v>
      </c>
      <c r="Z20" s="77"/>
      <c r="AA20" s="77" t="s">
        <v>9046</v>
      </c>
      <c r="AB20" s="77" t="s">
        <v>10535</v>
      </c>
      <c r="AC20" s="80" t="s">
        <v>10540</v>
      </c>
      <c r="AD20" s="77" t="s">
        <v>10619</v>
      </c>
      <c r="AE20" s="83" t="str">
        <f>HYPERLINK("https://twitter.com/investthetagang/status/1666188601535676417")</f>
        <v>https://twitter.com/investthetagang/status/1666188601535676417</v>
      </c>
      <c r="AF20" s="79">
        <v>45083.876076388886</v>
      </c>
      <c r="AG20" s="85">
        <v>45083</v>
      </c>
      <c r="AH20" s="80" t="s">
        <v>10641</v>
      </c>
      <c r="AI20" s="77" t="b">
        <v>0</v>
      </c>
      <c r="AJ20" s="77"/>
      <c r="AK20" s="77"/>
      <c r="AL20" s="77"/>
      <c r="AM20" s="77"/>
      <c r="AN20" s="77"/>
      <c r="AO20" s="77"/>
      <c r="AP20" s="77"/>
      <c r="AQ20" s="77" t="s">
        <v>14528</v>
      </c>
      <c r="AR20" s="77"/>
      <c r="AS20" s="77"/>
      <c r="AT20" s="77"/>
      <c r="AU20" s="77"/>
      <c r="AV20" s="83" t="str">
        <f>HYPERLINK("https://pbs.twimg.com/media/Fx99s-lWYBMA5X5.jpg")</f>
        <v>https://pbs.twimg.com/media/Fx99s-lWYBMA5X5.jpg</v>
      </c>
      <c r="AW20" s="80" t="s">
        <v>16023</v>
      </c>
      <c r="AX20" s="80" t="s">
        <v>16023</v>
      </c>
      <c r="AY20" s="77"/>
      <c r="AZ20" s="80" t="s">
        <v>20380</v>
      </c>
      <c r="BA20" s="80" t="s">
        <v>20380</v>
      </c>
      <c r="BB20" s="80" t="s">
        <v>20380</v>
      </c>
      <c r="BC20" s="80" t="s">
        <v>16023</v>
      </c>
      <c r="BD20" s="80" t="s">
        <v>20492</v>
      </c>
      <c r="BE20" s="77"/>
      <c r="BF20" s="77"/>
      <c r="BG20" s="77"/>
      <c r="BH20" s="77"/>
      <c r="BI20" s="77"/>
    </row>
    <row r="21" spans="1:61" x14ac:dyDescent="0.25">
      <c r="A21" s="62" t="s">
        <v>229</v>
      </c>
      <c r="B21" s="62" t="s">
        <v>1696</v>
      </c>
      <c r="C21" s="63"/>
      <c r="D21" s="64"/>
      <c r="E21" s="65"/>
      <c r="F21" s="66"/>
      <c r="G21" s="63"/>
      <c r="H21" s="67"/>
      <c r="I21" s="68"/>
      <c r="J21" s="68"/>
      <c r="K21" s="32"/>
      <c r="L21" s="75">
        <v>21</v>
      </c>
      <c r="M21" s="75"/>
      <c r="N21" s="70"/>
      <c r="O21" s="77" t="s">
        <v>2078</v>
      </c>
      <c r="P21" s="79">
        <v>45063.627118055556</v>
      </c>
      <c r="Q21" s="77" t="s">
        <v>2099</v>
      </c>
      <c r="R21" s="77">
        <v>0</v>
      </c>
      <c r="S21" s="77">
        <v>0</v>
      </c>
      <c r="T21" s="77">
        <v>0</v>
      </c>
      <c r="U21" s="77">
        <v>0</v>
      </c>
      <c r="V21" s="77">
        <v>241</v>
      </c>
      <c r="W21" s="80" t="s">
        <v>5896</v>
      </c>
      <c r="X21" s="77"/>
      <c r="Y21" s="77"/>
      <c r="Z21" s="77" t="s">
        <v>1696</v>
      </c>
      <c r="AA21" s="77"/>
      <c r="AB21" s="77"/>
      <c r="AC21" s="80" t="s">
        <v>10540</v>
      </c>
      <c r="AD21" s="77" t="s">
        <v>10617</v>
      </c>
      <c r="AE21" s="83" t="str">
        <f>HYPERLINK("https://twitter.com/marcelloalvesmg/status/1658850625495474178")</f>
        <v>https://twitter.com/marcelloalvesmg/status/1658850625495474178</v>
      </c>
      <c r="AF21" s="79">
        <v>45063.627118055556</v>
      </c>
      <c r="AG21" s="85">
        <v>45063</v>
      </c>
      <c r="AH21" s="80" t="s">
        <v>10642</v>
      </c>
      <c r="AI21" s="77"/>
      <c r="AJ21" s="77"/>
      <c r="AK21" s="77"/>
      <c r="AL21" s="77"/>
      <c r="AM21" s="77"/>
      <c r="AN21" s="77"/>
      <c r="AO21" s="77"/>
      <c r="AP21" s="77"/>
      <c r="AQ21" s="77"/>
      <c r="AR21" s="77"/>
      <c r="AS21" s="77"/>
      <c r="AT21" s="77"/>
      <c r="AU21" s="77"/>
      <c r="AV21" s="83" t="str">
        <f>HYPERLINK("https://pbs.twimg.com/profile_images/1531299995571433472/18fgj9n4_normal.jpg")</f>
        <v>https://pbs.twimg.com/profile_images/1531299995571433472/18fgj9n4_normal.jpg</v>
      </c>
      <c r="AW21" s="80" t="s">
        <v>16024</v>
      </c>
      <c r="AX21" s="80" t="s">
        <v>19962</v>
      </c>
      <c r="AY21" s="80" t="s">
        <v>20217</v>
      </c>
      <c r="AZ21" s="80" t="s">
        <v>19962</v>
      </c>
      <c r="BA21" s="80" t="s">
        <v>20380</v>
      </c>
      <c r="BB21" s="80" t="s">
        <v>20380</v>
      </c>
      <c r="BC21" s="80" t="s">
        <v>19962</v>
      </c>
      <c r="BD21" s="77">
        <v>454388444</v>
      </c>
      <c r="BE21" s="77"/>
      <c r="BF21" s="77"/>
      <c r="BG21" s="77"/>
      <c r="BH21" s="77"/>
      <c r="BI21" s="77"/>
    </row>
    <row r="22" spans="1:61" x14ac:dyDescent="0.25">
      <c r="A22" s="62" t="s">
        <v>230</v>
      </c>
      <c r="B22" s="62" t="s">
        <v>230</v>
      </c>
      <c r="C22" s="63"/>
      <c r="D22" s="64"/>
      <c r="E22" s="65"/>
      <c r="F22" s="66"/>
      <c r="G22" s="63"/>
      <c r="H22" s="67"/>
      <c r="I22" s="68"/>
      <c r="J22" s="68"/>
      <c r="K22" s="32"/>
      <c r="L22" s="75">
        <v>22</v>
      </c>
      <c r="M22" s="75"/>
      <c r="N22" s="70"/>
      <c r="O22" s="77" t="s">
        <v>179</v>
      </c>
      <c r="P22" s="79">
        <v>45084.620532407411</v>
      </c>
      <c r="Q22" s="77" t="s">
        <v>2100</v>
      </c>
      <c r="R22" s="77">
        <v>0</v>
      </c>
      <c r="S22" s="77">
        <v>2</v>
      </c>
      <c r="T22" s="77">
        <v>0</v>
      </c>
      <c r="U22" s="77">
        <v>0</v>
      </c>
      <c r="V22" s="77">
        <v>26</v>
      </c>
      <c r="W22" s="80" t="s">
        <v>5897</v>
      </c>
      <c r="X22" s="77"/>
      <c r="Y22" s="77"/>
      <c r="Z22" s="77"/>
      <c r="AA22" s="77"/>
      <c r="AB22" s="77"/>
      <c r="AC22" s="80" t="s">
        <v>10540</v>
      </c>
      <c r="AD22" s="77" t="s">
        <v>10617</v>
      </c>
      <c r="AE22" s="83" t="str">
        <f>HYPERLINK("https://twitter.com/luizschwade/status/1666458381639458817")</f>
        <v>https://twitter.com/luizschwade/status/1666458381639458817</v>
      </c>
      <c r="AF22" s="79">
        <v>45084.620532407411</v>
      </c>
      <c r="AG22" s="85">
        <v>45084</v>
      </c>
      <c r="AH22" s="80" t="s">
        <v>10643</v>
      </c>
      <c r="AI22" s="77"/>
      <c r="AJ22" s="77"/>
      <c r="AK22" s="77"/>
      <c r="AL22" s="77"/>
      <c r="AM22" s="77"/>
      <c r="AN22" s="77"/>
      <c r="AO22" s="77"/>
      <c r="AP22" s="77"/>
      <c r="AQ22" s="77"/>
      <c r="AR22" s="77"/>
      <c r="AS22" s="77"/>
      <c r="AT22" s="77"/>
      <c r="AU22" s="77"/>
      <c r="AV22" s="83" t="str">
        <f>HYPERLINK("https://pbs.twimg.com/profile_images/1626338726581248000/pyR-WlQX_normal.jpg")</f>
        <v>https://pbs.twimg.com/profile_images/1626338726581248000/pyR-WlQX_normal.jpg</v>
      </c>
      <c r="AW22" s="80" t="s">
        <v>16025</v>
      </c>
      <c r="AX22" s="80" t="s">
        <v>16025</v>
      </c>
      <c r="AY22" s="77"/>
      <c r="AZ22" s="80" t="s">
        <v>20380</v>
      </c>
      <c r="BA22" s="80" t="s">
        <v>20380</v>
      </c>
      <c r="BB22" s="80" t="s">
        <v>20380</v>
      </c>
      <c r="BC22" s="80" t="s">
        <v>16025</v>
      </c>
      <c r="BD22" s="80" t="s">
        <v>20493</v>
      </c>
      <c r="BE22" s="77"/>
      <c r="BF22" s="77"/>
      <c r="BG22" s="77"/>
      <c r="BH22" s="77"/>
      <c r="BI22" s="77"/>
    </row>
    <row r="23" spans="1:61" x14ac:dyDescent="0.25">
      <c r="A23" s="62" t="s">
        <v>231</v>
      </c>
      <c r="B23" s="62" t="s">
        <v>1697</v>
      </c>
      <c r="C23" s="63"/>
      <c r="D23" s="64"/>
      <c r="E23" s="65"/>
      <c r="F23" s="66"/>
      <c r="G23" s="63"/>
      <c r="H23" s="67"/>
      <c r="I23" s="68"/>
      <c r="J23" s="68"/>
      <c r="K23" s="32"/>
      <c r="L23" s="75">
        <v>23</v>
      </c>
      <c r="M23" s="75"/>
      <c r="N23" s="70"/>
      <c r="O23" s="77" t="s">
        <v>2081</v>
      </c>
      <c r="P23" s="79">
        <v>45146.606886574074</v>
      </c>
      <c r="Q23" s="77" t="s">
        <v>2101</v>
      </c>
      <c r="R23" s="77">
        <v>0</v>
      </c>
      <c r="S23" s="77">
        <v>0</v>
      </c>
      <c r="T23" s="77">
        <v>0</v>
      </c>
      <c r="U23" s="77">
        <v>0</v>
      </c>
      <c r="V23" s="77">
        <v>49</v>
      </c>
      <c r="W23" s="80" t="s">
        <v>5898</v>
      </c>
      <c r="X23" s="83" t="str">
        <f>HYPERLINK("https://laseguridadsocial.do/politica-de-subsidios-sociales-del-gobierno-contribuyo-a-contener-la-inflacion-importada/")</f>
        <v>https://laseguridadsocial.do/politica-de-subsidios-sociales-del-gobierno-contribuyo-a-contener-la-inflacion-importada/</v>
      </c>
      <c r="Y23" s="77" t="s">
        <v>8613</v>
      </c>
      <c r="Z23" s="77" t="s">
        <v>8902</v>
      </c>
      <c r="AA23" s="77"/>
      <c r="AB23" s="77"/>
      <c r="AC23" s="80" t="s">
        <v>10541</v>
      </c>
      <c r="AD23" s="77" t="s">
        <v>10620</v>
      </c>
      <c r="AE23" s="83" t="str">
        <f>HYPERLINK("https://twitter.com/laseguridadsoc1/status/1688921487737307137")</f>
        <v>https://twitter.com/laseguridadsoc1/status/1688921487737307137</v>
      </c>
      <c r="AF23" s="79">
        <v>45146.606886574074</v>
      </c>
      <c r="AG23" s="85">
        <v>45146</v>
      </c>
      <c r="AH23" s="80" t="s">
        <v>10644</v>
      </c>
      <c r="AI23" s="77" t="b">
        <v>0</v>
      </c>
      <c r="AJ23" s="77"/>
      <c r="AK23" s="77"/>
      <c r="AL23" s="77"/>
      <c r="AM23" s="77"/>
      <c r="AN23" s="77"/>
      <c r="AO23" s="77"/>
      <c r="AP23" s="77"/>
      <c r="AQ23" s="77"/>
      <c r="AR23" s="77"/>
      <c r="AS23" s="77"/>
      <c r="AT23" s="77"/>
      <c r="AU23" s="77"/>
      <c r="AV23" s="83" t="str">
        <f>HYPERLINK("https://pbs.twimg.com/profile_images/1533704037178155009/OpGEDl9B_normal.jpg")</f>
        <v>https://pbs.twimg.com/profile_images/1533704037178155009/OpGEDl9B_normal.jpg</v>
      </c>
      <c r="AW23" s="80" t="s">
        <v>16026</v>
      </c>
      <c r="AX23" s="80" t="s">
        <v>16026</v>
      </c>
      <c r="AY23" s="77"/>
      <c r="AZ23" s="80" t="s">
        <v>20380</v>
      </c>
      <c r="BA23" s="80" t="s">
        <v>20380</v>
      </c>
      <c r="BB23" s="80" t="s">
        <v>20380</v>
      </c>
      <c r="BC23" s="80" t="s">
        <v>16026</v>
      </c>
      <c r="BD23" s="80" t="s">
        <v>20494</v>
      </c>
      <c r="BE23" s="77"/>
      <c r="BF23" s="77"/>
      <c r="BG23" s="77"/>
      <c r="BH23" s="77"/>
      <c r="BI23" s="77"/>
    </row>
    <row r="24" spans="1:61" x14ac:dyDescent="0.25">
      <c r="A24" s="62" t="s">
        <v>231</v>
      </c>
      <c r="B24" s="62" t="s">
        <v>1698</v>
      </c>
      <c r="C24" s="63"/>
      <c r="D24" s="64"/>
      <c r="E24" s="65"/>
      <c r="F24" s="66"/>
      <c r="G24" s="63"/>
      <c r="H24" s="67"/>
      <c r="I24" s="68"/>
      <c r="J24" s="68"/>
      <c r="K24" s="32"/>
      <c r="L24" s="75">
        <v>24</v>
      </c>
      <c r="M24" s="75"/>
      <c r="N24" s="70"/>
      <c r="O24" s="77" t="s">
        <v>2081</v>
      </c>
      <c r="P24" s="79">
        <v>45146.606886574074</v>
      </c>
      <c r="Q24" s="77" t="s">
        <v>2101</v>
      </c>
      <c r="R24" s="77">
        <v>0</v>
      </c>
      <c r="S24" s="77">
        <v>0</v>
      </c>
      <c r="T24" s="77">
        <v>0</v>
      </c>
      <c r="U24" s="77">
        <v>0</v>
      </c>
      <c r="V24" s="77">
        <v>49</v>
      </c>
      <c r="W24" s="80" t="s">
        <v>5898</v>
      </c>
      <c r="X24" s="83" t="str">
        <f>HYPERLINK("https://laseguridadsocial.do/politica-de-subsidios-sociales-del-gobierno-contribuyo-a-contener-la-inflacion-importada/")</f>
        <v>https://laseguridadsocial.do/politica-de-subsidios-sociales-del-gobierno-contribuyo-a-contener-la-inflacion-importada/</v>
      </c>
      <c r="Y24" s="77" t="s">
        <v>8613</v>
      </c>
      <c r="Z24" s="77" t="s">
        <v>8902</v>
      </c>
      <c r="AA24" s="77"/>
      <c r="AB24" s="77"/>
      <c r="AC24" s="80" t="s">
        <v>10541</v>
      </c>
      <c r="AD24" s="77" t="s">
        <v>10620</v>
      </c>
      <c r="AE24" s="83" t="str">
        <f>HYPERLINK("https://twitter.com/laseguridadsoc1/status/1688921487737307137")</f>
        <v>https://twitter.com/laseguridadsoc1/status/1688921487737307137</v>
      </c>
      <c r="AF24" s="79">
        <v>45146.606886574074</v>
      </c>
      <c r="AG24" s="85">
        <v>45146</v>
      </c>
      <c r="AH24" s="80" t="s">
        <v>10644</v>
      </c>
      <c r="AI24" s="77" t="b">
        <v>0</v>
      </c>
      <c r="AJ24" s="77"/>
      <c r="AK24" s="77"/>
      <c r="AL24" s="77"/>
      <c r="AM24" s="77"/>
      <c r="AN24" s="77"/>
      <c r="AO24" s="77"/>
      <c r="AP24" s="77"/>
      <c r="AQ24" s="77"/>
      <c r="AR24" s="77"/>
      <c r="AS24" s="77"/>
      <c r="AT24" s="77"/>
      <c r="AU24" s="77"/>
      <c r="AV24" s="83" t="str">
        <f>HYPERLINK("https://pbs.twimg.com/profile_images/1533704037178155009/OpGEDl9B_normal.jpg")</f>
        <v>https://pbs.twimg.com/profile_images/1533704037178155009/OpGEDl9B_normal.jpg</v>
      </c>
      <c r="AW24" s="80" t="s">
        <v>16026</v>
      </c>
      <c r="AX24" s="80" t="s">
        <v>16026</v>
      </c>
      <c r="AY24" s="77"/>
      <c r="AZ24" s="80" t="s">
        <v>20380</v>
      </c>
      <c r="BA24" s="80" t="s">
        <v>20380</v>
      </c>
      <c r="BB24" s="80" t="s">
        <v>20380</v>
      </c>
      <c r="BC24" s="80" t="s">
        <v>16026</v>
      </c>
      <c r="BD24" s="80" t="s">
        <v>20494</v>
      </c>
      <c r="BE24" s="77"/>
      <c r="BF24" s="77"/>
      <c r="BG24" s="77"/>
      <c r="BH24" s="77"/>
      <c r="BI24" s="77"/>
    </row>
    <row r="25" spans="1:61" x14ac:dyDescent="0.25">
      <c r="A25" s="62" t="s">
        <v>231</v>
      </c>
      <c r="B25" s="62" t="s">
        <v>231</v>
      </c>
      <c r="C25" s="63"/>
      <c r="D25" s="64"/>
      <c r="E25" s="65"/>
      <c r="F25" s="66"/>
      <c r="G25" s="63"/>
      <c r="H25" s="67"/>
      <c r="I25" s="68"/>
      <c r="J25" s="68"/>
      <c r="K25" s="32"/>
      <c r="L25" s="75">
        <v>25</v>
      </c>
      <c r="M25" s="75"/>
      <c r="N25" s="70"/>
      <c r="O25" s="77" t="s">
        <v>2081</v>
      </c>
      <c r="P25" s="79">
        <v>45146.606886574074</v>
      </c>
      <c r="Q25" s="77" t="s">
        <v>2101</v>
      </c>
      <c r="R25" s="77">
        <v>0</v>
      </c>
      <c r="S25" s="77">
        <v>0</v>
      </c>
      <c r="T25" s="77">
        <v>0</v>
      </c>
      <c r="U25" s="77">
        <v>0</v>
      </c>
      <c r="V25" s="77">
        <v>49</v>
      </c>
      <c r="W25" s="80" t="s">
        <v>5898</v>
      </c>
      <c r="X25" s="83" t="str">
        <f>HYPERLINK("https://laseguridadsocial.do/politica-de-subsidios-sociales-del-gobierno-contribuyo-a-contener-la-inflacion-importada/")</f>
        <v>https://laseguridadsocial.do/politica-de-subsidios-sociales-del-gobierno-contribuyo-a-contener-la-inflacion-importada/</v>
      </c>
      <c r="Y25" s="77" t="s">
        <v>8613</v>
      </c>
      <c r="Z25" s="77" t="s">
        <v>8902</v>
      </c>
      <c r="AA25" s="77"/>
      <c r="AB25" s="77"/>
      <c r="AC25" s="80" t="s">
        <v>10541</v>
      </c>
      <c r="AD25" s="77" t="s">
        <v>10620</v>
      </c>
      <c r="AE25" s="83" t="str">
        <f>HYPERLINK("https://twitter.com/laseguridadsoc1/status/1688921487737307137")</f>
        <v>https://twitter.com/laseguridadsoc1/status/1688921487737307137</v>
      </c>
      <c r="AF25" s="79">
        <v>45146.606886574074</v>
      </c>
      <c r="AG25" s="85">
        <v>45146</v>
      </c>
      <c r="AH25" s="80" t="s">
        <v>10644</v>
      </c>
      <c r="AI25" s="77" t="b">
        <v>0</v>
      </c>
      <c r="AJ25" s="77"/>
      <c r="AK25" s="77"/>
      <c r="AL25" s="77"/>
      <c r="AM25" s="77"/>
      <c r="AN25" s="77"/>
      <c r="AO25" s="77"/>
      <c r="AP25" s="77"/>
      <c r="AQ25" s="77"/>
      <c r="AR25" s="77"/>
      <c r="AS25" s="77"/>
      <c r="AT25" s="77"/>
      <c r="AU25" s="77"/>
      <c r="AV25" s="83" t="str">
        <f>HYPERLINK("https://pbs.twimg.com/profile_images/1533704037178155009/OpGEDl9B_normal.jpg")</f>
        <v>https://pbs.twimg.com/profile_images/1533704037178155009/OpGEDl9B_normal.jpg</v>
      </c>
      <c r="AW25" s="80" t="s">
        <v>16026</v>
      </c>
      <c r="AX25" s="80" t="s">
        <v>16026</v>
      </c>
      <c r="AY25" s="77"/>
      <c r="AZ25" s="80" t="s">
        <v>20380</v>
      </c>
      <c r="BA25" s="80" t="s">
        <v>20380</v>
      </c>
      <c r="BB25" s="80" t="s">
        <v>20380</v>
      </c>
      <c r="BC25" s="80" t="s">
        <v>16026</v>
      </c>
      <c r="BD25" s="80" t="s">
        <v>20494</v>
      </c>
      <c r="BE25" s="77"/>
      <c r="BF25" s="77"/>
      <c r="BG25" s="77"/>
      <c r="BH25" s="77"/>
      <c r="BI25" s="77"/>
    </row>
    <row r="26" spans="1:61" x14ac:dyDescent="0.25">
      <c r="A26" s="62" t="s">
        <v>232</v>
      </c>
      <c r="B26" s="62" t="s">
        <v>1615</v>
      </c>
      <c r="C26" s="63"/>
      <c r="D26" s="64"/>
      <c r="E26" s="65"/>
      <c r="F26" s="66"/>
      <c r="G26" s="63"/>
      <c r="H26" s="67"/>
      <c r="I26" s="68"/>
      <c r="J26" s="68"/>
      <c r="K26" s="32"/>
      <c r="L26" s="75">
        <v>26</v>
      </c>
      <c r="M26" s="75"/>
      <c r="N26" s="70"/>
      <c r="O26" s="77" t="s">
        <v>2083</v>
      </c>
      <c r="P26" s="79">
        <v>45189.330046296294</v>
      </c>
      <c r="Q26" s="77" t="s">
        <v>2102</v>
      </c>
      <c r="R26" s="77">
        <v>10</v>
      </c>
      <c r="S26" s="77">
        <v>0</v>
      </c>
      <c r="T26" s="77">
        <v>0</v>
      </c>
      <c r="U26" s="77">
        <v>0</v>
      </c>
      <c r="V26" s="77"/>
      <c r="W26" s="80" t="s">
        <v>5899</v>
      </c>
      <c r="X26" s="77"/>
      <c r="Y26" s="77"/>
      <c r="Z26" s="77" t="s">
        <v>1615</v>
      </c>
      <c r="AA26" s="77" t="s">
        <v>9047</v>
      </c>
      <c r="AB26" s="77" t="s">
        <v>10535</v>
      </c>
      <c r="AC26" s="80" t="s">
        <v>10540</v>
      </c>
      <c r="AD26" s="77" t="s">
        <v>10619</v>
      </c>
      <c r="AE26" s="83" t="str">
        <f>HYPERLINK("https://twitter.com/o_igna_/status/1704403841922294267")</f>
        <v>https://twitter.com/o_igna_/status/1704403841922294267</v>
      </c>
      <c r="AF26" s="79">
        <v>45189.330046296294</v>
      </c>
      <c r="AG26" s="85">
        <v>45189</v>
      </c>
      <c r="AH26" s="80" t="s">
        <v>10645</v>
      </c>
      <c r="AI26" s="77" t="b">
        <v>0</v>
      </c>
      <c r="AJ26" s="77"/>
      <c r="AK26" s="77"/>
      <c r="AL26" s="77"/>
      <c r="AM26" s="77"/>
      <c r="AN26" s="77"/>
      <c r="AO26" s="77"/>
      <c r="AP26" s="77"/>
      <c r="AQ26" s="77" t="s">
        <v>14529</v>
      </c>
      <c r="AR26" s="77"/>
      <c r="AS26" s="77"/>
      <c r="AT26" s="77"/>
      <c r="AU26" s="77"/>
      <c r="AV26" s="83" t="str">
        <f>HYPERLINK("https://pbs.twimg.com/media/F6c2kgoWAAAEEnO.jpg")</f>
        <v>https://pbs.twimg.com/media/F6c2kgoWAAAEEnO.jpg</v>
      </c>
      <c r="AW26" s="80" t="s">
        <v>16027</v>
      </c>
      <c r="AX26" s="80" t="s">
        <v>16027</v>
      </c>
      <c r="AY26" s="77"/>
      <c r="AZ26" s="80" t="s">
        <v>20380</v>
      </c>
      <c r="BA26" s="80" t="s">
        <v>20380</v>
      </c>
      <c r="BB26" s="80" t="s">
        <v>19728</v>
      </c>
      <c r="BC26" s="80" t="s">
        <v>19728</v>
      </c>
      <c r="BD26" s="80" t="s">
        <v>20495</v>
      </c>
      <c r="BE26" s="77"/>
      <c r="BF26" s="77"/>
      <c r="BG26" s="77"/>
      <c r="BH26" s="77"/>
      <c r="BI26" s="77"/>
    </row>
    <row r="27" spans="1:61" x14ac:dyDescent="0.25">
      <c r="A27" s="62" t="s">
        <v>233</v>
      </c>
      <c r="B27" s="62" t="s">
        <v>233</v>
      </c>
      <c r="C27" s="63"/>
      <c r="D27" s="64"/>
      <c r="E27" s="65"/>
      <c r="F27" s="66"/>
      <c r="G27" s="63"/>
      <c r="H27" s="67"/>
      <c r="I27" s="68"/>
      <c r="J27" s="68"/>
      <c r="K27" s="32"/>
      <c r="L27" s="75">
        <v>27</v>
      </c>
      <c r="M27" s="75"/>
      <c r="N27" s="70"/>
      <c r="O27" s="77" t="s">
        <v>179</v>
      </c>
      <c r="P27" s="79">
        <v>45099.978344907409</v>
      </c>
      <c r="Q27" s="77" t="s">
        <v>2103</v>
      </c>
      <c r="R27" s="77">
        <v>0</v>
      </c>
      <c r="S27" s="77">
        <v>0</v>
      </c>
      <c r="T27" s="77">
        <v>0</v>
      </c>
      <c r="U27" s="77">
        <v>0</v>
      </c>
      <c r="V27" s="77">
        <v>57</v>
      </c>
      <c r="W27" s="80" t="s">
        <v>5900</v>
      </c>
      <c r="X27" s="77"/>
      <c r="Y27" s="77"/>
      <c r="Z27" s="77"/>
      <c r="AA27" s="77" t="s">
        <v>9048</v>
      </c>
      <c r="AB27" s="77" t="s">
        <v>10535</v>
      </c>
      <c r="AC27" s="80" t="s">
        <v>10541</v>
      </c>
      <c r="AD27" s="77" t="s">
        <v>10619</v>
      </c>
      <c r="AE27" s="83" t="str">
        <f>HYPERLINK("https://twitter.com/_brasilpopular/status/1672023867752103944")</f>
        <v>https://twitter.com/_brasilpopular/status/1672023867752103944</v>
      </c>
      <c r="AF27" s="79">
        <v>45099.978344907409</v>
      </c>
      <c r="AG27" s="85">
        <v>45099</v>
      </c>
      <c r="AH27" s="80" t="s">
        <v>10646</v>
      </c>
      <c r="AI27" s="77" t="b">
        <v>0</v>
      </c>
      <c r="AJ27" s="77"/>
      <c r="AK27" s="77"/>
      <c r="AL27" s="77"/>
      <c r="AM27" s="77"/>
      <c r="AN27" s="77"/>
      <c r="AO27" s="77"/>
      <c r="AP27" s="77"/>
      <c r="AQ27" s="77" t="s">
        <v>14530</v>
      </c>
      <c r="AR27" s="77"/>
      <c r="AS27" s="77"/>
      <c r="AT27" s="77"/>
      <c r="AU27" s="77"/>
      <c r="AV27" s="83" t="str">
        <f>HYPERLINK("https://pbs.twimg.com/media/FzQ4s0kWIAYgFik.jpg")</f>
        <v>https://pbs.twimg.com/media/FzQ4s0kWIAYgFik.jpg</v>
      </c>
      <c r="AW27" s="80" t="s">
        <v>16028</v>
      </c>
      <c r="AX27" s="80" t="s">
        <v>16028</v>
      </c>
      <c r="AY27" s="77"/>
      <c r="AZ27" s="80" t="s">
        <v>20380</v>
      </c>
      <c r="BA27" s="80" t="s">
        <v>20380</v>
      </c>
      <c r="BB27" s="80" t="s">
        <v>20380</v>
      </c>
      <c r="BC27" s="80" t="s">
        <v>16028</v>
      </c>
      <c r="BD27" s="80" t="s">
        <v>20496</v>
      </c>
      <c r="BE27" s="77"/>
      <c r="BF27" s="77"/>
      <c r="BG27" s="77"/>
      <c r="BH27" s="77"/>
      <c r="BI27" s="77"/>
    </row>
    <row r="28" spans="1:61" x14ac:dyDescent="0.25">
      <c r="A28" s="62" t="s">
        <v>234</v>
      </c>
      <c r="B28" s="62" t="s">
        <v>234</v>
      </c>
      <c r="C28" s="63"/>
      <c r="D28" s="64"/>
      <c r="E28" s="65"/>
      <c r="F28" s="66"/>
      <c r="G28" s="63"/>
      <c r="H28" s="67"/>
      <c r="I28" s="68"/>
      <c r="J28" s="68"/>
      <c r="K28" s="32"/>
      <c r="L28" s="75">
        <v>28</v>
      </c>
      <c r="M28" s="75"/>
      <c r="N28" s="70"/>
      <c r="O28" s="77" t="s">
        <v>179</v>
      </c>
      <c r="P28" s="79">
        <v>45056.095983796295</v>
      </c>
      <c r="Q28" s="77" t="s">
        <v>2104</v>
      </c>
      <c r="R28" s="77">
        <v>0</v>
      </c>
      <c r="S28" s="77">
        <v>0</v>
      </c>
      <c r="T28" s="77">
        <v>0</v>
      </c>
      <c r="U28" s="77">
        <v>0</v>
      </c>
      <c r="V28" s="77">
        <v>6</v>
      </c>
      <c r="W28" s="80" t="s">
        <v>5901</v>
      </c>
      <c r="X28" s="83" t="str">
        <f>HYPERLINK("https://coweb.cl/por-que-los-creditos-hipotecarios-sufrieron-una-baja-en-sus-tasas-en-abril/")</f>
        <v>https://coweb.cl/por-que-los-creditos-hipotecarios-sufrieron-una-baja-en-sus-tasas-en-abril/</v>
      </c>
      <c r="Y28" s="77" t="s">
        <v>8614</v>
      </c>
      <c r="Z28" s="77"/>
      <c r="AA28" s="77"/>
      <c r="AB28" s="77"/>
      <c r="AC28" s="80" t="s">
        <v>10543</v>
      </c>
      <c r="AD28" s="77" t="s">
        <v>10620</v>
      </c>
      <c r="AE28" s="83" t="str">
        <f>HYPERLINK("https://twitter.com/cowebcl/status/1656121432487743489")</f>
        <v>https://twitter.com/cowebcl/status/1656121432487743489</v>
      </c>
      <c r="AF28" s="79">
        <v>45056.095983796295</v>
      </c>
      <c r="AG28" s="85">
        <v>45056</v>
      </c>
      <c r="AH28" s="80" t="s">
        <v>10647</v>
      </c>
      <c r="AI28" s="77" t="b">
        <v>0</v>
      </c>
      <c r="AJ28" s="77"/>
      <c r="AK28" s="77"/>
      <c r="AL28" s="77"/>
      <c r="AM28" s="77"/>
      <c r="AN28" s="77"/>
      <c r="AO28" s="77"/>
      <c r="AP28" s="77"/>
      <c r="AQ28" s="77"/>
      <c r="AR28" s="77"/>
      <c r="AS28" s="77"/>
      <c r="AT28" s="77"/>
      <c r="AU28" s="77"/>
      <c r="AV28" s="83" t="str">
        <f>HYPERLINK("https://pbs.twimg.com/profile_images/1383630144804294657/CsgQS0qX_normal.jpg")</f>
        <v>https://pbs.twimg.com/profile_images/1383630144804294657/CsgQS0qX_normal.jpg</v>
      </c>
      <c r="AW28" s="80" t="s">
        <v>16029</v>
      </c>
      <c r="AX28" s="80" t="s">
        <v>16029</v>
      </c>
      <c r="AY28" s="77"/>
      <c r="AZ28" s="80" t="s">
        <v>20380</v>
      </c>
      <c r="BA28" s="80" t="s">
        <v>20380</v>
      </c>
      <c r="BB28" s="80" t="s">
        <v>20380</v>
      </c>
      <c r="BC28" s="80" t="s">
        <v>16029</v>
      </c>
      <c r="BD28" s="80" t="s">
        <v>20497</v>
      </c>
      <c r="BE28" s="77"/>
      <c r="BF28" s="77"/>
      <c r="BG28" s="77"/>
      <c r="BH28" s="77"/>
      <c r="BI28" s="77"/>
    </row>
    <row r="29" spans="1:61" x14ac:dyDescent="0.25">
      <c r="A29" s="62" t="s">
        <v>235</v>
      </c>
      <c r="B29" s="62" t="s">
        <v>1699</v>
      </c>
      <c r="C29" s="63"/>
      <c r="D29" s="64"/>
      <c r="E29" s="65"/>
      <c r="F29" s="66"/>
      <c r="G29" s="63"/>
      <c r="H29" s="67"/>
      <c r="I29" s="68"/>
      <c r="J29" s="68"/>
      <c r="K29" s="32"/>
      <c r="L29" s="75">
        <v>29</v>
      </c>
      <c r="M29" s="75"/>
      <c r="N29" s="70"/>
      <c r="O29" s="77" t="s">
        <v>2081</v>
      </c>
      <c r="P29" s="79">
        <v>45186.937650462962</v>
      </c>
      <c r="Q29" s="77" t="s">
        <v>2105</v>
      </c>
      <c r="R29" s="77">
        <v>7</v>
      </c>
      <c r="S29" s="77">
        <v>12</v>
      </c>
      <c r="T29" s="77">
        <v>0</v>
      </c>
      <c r="U29" s="77">
        <v>0</v>
      </c>
      <c r="V29" s="77">
        <v>279</v>
      </c>
      <c r="W29" s="80" t="s">
        <v>5902</v>
      </c>
      <c r="X29" s="83" t="str">
        <f>HYPERLINK("https://www.perfil.com/noticias/elobservador/un-transatlantico-de-lujo-a-la-deriva.phtml")</f>
        <v>https://www.perfil.com/noticias/elobservador/un-transatlantico-de-lujo-a-la-deriva.phtml</v>
      </c>
      <c r="Y29" s="77" t="s">
        <v>8615</v>
      </c>
      <c r="Z29" s="77" t="s">
        <v>1699</v>
      </c>
      <c r="AA29" s="77" t="s">
        <v>9049</v>
      </c>
      <c r="AB29" s="77" t="s">
        <v>10535</v>
      </c>
      <c r="AC29" s="80" t="s">
        <v>10541</v>
      </c>
      <c r="AD29" s="77" t="s">
        <v>10620</v>
      </c>
      <c r="AE29" s="83" t="str">
        <f>HYPERLINK("https://twitter.com/ryr_vs/status/1703536866132120046")</f>
        <v>https://twitter.com/ryr_vs/status/1703536866132120046</v>
      </c>
      <c r="AF29" s="79">
        <v>45186.937650462962</v>
      </c>
      <c r="AG29" s="85">
        <v>45186</v>
      </c>
      <c r="AH29" s="80" t="s">
        <v>10648</v>
      </c>
      <c r="AI29" s="77" t="b">
        <v>0</v>
      </c>
      <c r="AJ29" s="77"/>
      <c r="AK29" s="77"/>
      <c r="AL29" s="77"/>
      <c r="AM29" s="77"/>
      <c r="AN29" s="77"/>
      <c r="AO29" s="77"/>
      <c r="AP29" s="77"/>
      <c r="AQ29" s="77" t="s">
        <v>14531</v>
      </c>
      <c r="AR29" s="77"/>
      <c r="AS29" s="77"/>
      <c r="AT29" s="77"/>
      <c r="AU29" s="77"/>
      <c r="AV29" s="83" t="str">
        <f>HYPERLINK("https://pbs.twimg.com/media/F6QtESaWsAARWr_.jpg")</f>
        <v>https://pbs.twimg.com/media/F6QtESaWsAARWr_.jpg</v>
      </c>
      <c r="AW29" s="80" t="s">
        <v>16030</v>
      </c>
      <c r="AX29" s="80" t="s">
        <v>16030</v>
      </c>
      <c r="AY29" s="77"/>
      <c r="AZ29" s="80" t="s">
        <v>20380</v>
      </c>
      <c r="BA29" s="80" t="s">
        <v>20380</v>
      </c>
      <c r="BB29" s="80" t="s">
        <v>20380</v>
      </c>
      <c r="BC29" s="80" t="s">
        <v>16030</v>
      </c>
      <c r="BD29" s="77">
        <v>214275191</v>
      </c>
      <c r="BE29" s="77"/>
      <c r="BF29" s="77"/>
      <c r="BG29" s="77"/>
      <c r="BH29" s="77"/>
      <c r="BI29" s="77"/>
    </row>
    <row r="30" spans="1:61" x14ac:dyDescent="0.25">
      <c r="A30" s="62" t="s">
        <v>236</v>
      </c>
      <c r="B30" s="62" t="s">
        <v>236</v>
      </c>
      <c r="C30" s="63"/>
      <c r="D30" s="64"/>
      <c r="E30" s="65"/>
      <c r="F30" s="66"/>
      <c r="G30" s="63"/>
      <c r="H30" s="67"/>
      <c r="I30" s="68"/>
      <c r="J30" s="68"/>
      <c r="K30" s="32"/>
      <c r="L30" s="75">
        <v>30</v>
      </c>
      <c r="M30" s="75"/>
      <c r="N30" s="70"/>
      <c r="O30" s="77" t="s">
        <v>179</v>
      </c>
      <c r="P30" s="79">
        <v>45096.869050925925</v>
      </c>
      <c r="Q30" s="77" t="s">
        <v>2106</v>
      </c>
      <c r="R30" s="77">
        <v>52</v>
      </c>
      <c r="S30" s="77">
        <v>123</v>
      </c>
      <c r="T30" s="77">
        <v>11</v>
      </c>
      <c r="U30" s="77">
        <v>1</v>
      </c>
      <c r="V30" s="77">
        <v>12115</v>
      </c>
      <c r="W30" s="80" t="s">
        <v>5903</v>
      </c>
      <c r="X30" s="77"/>
      <c r="Y30" s="77"/>
      <c r="Z30" s="77"/>
      <c r="AA30" s="77" t="s">
        <v>9050</v>
      </c>
      <c r="AB30" s="77" t="s">
        <v>10536</v>
      </c>
      <c r="AC30" s="80" t="s">
        <v>10541</v>
      </c>
      <c r="AD30" s="77" t="s">
        <v>10620</v>
      </c>
      <c r="AE30" s="83" t="str">
        <f>HYPERLINK("https://twitter.com/gpattonchile/status/1670897099456512000")</f>
        <v>https://twitter.com/gpattonchile/status/1670897099456512000</v>
      </c>
      <c r="AF30" s="79">
        <v>45096.869050925925</v>
      </c>
      <c r="AG30" s="85">
        <v>45096</v>
      </c>
      <c r="AH30" s="80" t="s">
        <v>10649</v>
      </c>
      <c r="AI30" s="77" t="b">
        <v>0</v>
      </c>
      <c r="AJ30" s="77"/>
      <c r="AK30" s="77"/>
      <c r="AL30" s="77"/>
      <c r="AM30" s="77"/>
      <c r="AN30" s="77"/>
      <c r="AO30" s="77"/>
      <c r="AP30" s="77"/>
      <c r="AQ30" s="77" t="s">
        <v>14532</v>
      </c>
      <c r="AR30" s="77"/>
      <c r="AS30" s="77"/>
      <c r="AT30" s="77"/>
      <c r="AU30" s="77"/>
      <c r="AV30" s="83" t="str">
        <f>HYPERLINK("https://pbs.twimg.com/media/FzA3mImWcAAWiby.png")</f>
        <v>https://pbs.twimg.com/media/FzA3mImWcAAWiby.png</v>
      </c>
      <c r="AW30" s="80" t="s">
        <v>16031</v>
      </c>
      <c r="AX30" s="80" t="s">
        <v>16031</v>
      </c>
      <c r="AY30" s="77"/>
      <c r="AZ30" s="80" t="s">
        <v>20380</v>
      </c>
      <c r="BA30" s="80" t="s">
        <v>20380</v>
      </c>
      <c r="BB30" s="80" t="s">
        <v>20380</v>
      </c>
      <c r="BC30" s="80" t="s">
        <v>16031</v>
      </c>
      <c r="BD30" s="80" t="s">
        <v>20498</v>
      </c>
      <c r="BE30" s="77"/>
      <c r="BF30" s="77"/>
      <c r="BG30" s="77"/>
      <c r="BH30" s="77"/>
      <c r="BI30" s="77"/>
    </row>
    <row r="31" spans="1:61" x14ac:dyDescent="0.25">
      <c r="A31" s="62" t="s">
        <v>236</v>
      </c>
      <c r="B31" s="62" t="s">
        <v>236</v>
      </c>
      <c r="C31" s="63"/>
      <c r="D31" s="64"/>
      <c r="E31" s="65"/>
      <c r="F31" s="66"/>
      <c r="G31" s="63"/>
      <c r="H31" s="67"/>
      <c r="I31" s="68"/>
      <c r="J31" s="68"/>
      <c r="K31" s="32"/>
      <c r="L31" s="75">
        <v>31</v>
      </c>
      <c r="M31" s="75"/>
      <c r="N31" s="70"/>
      <c r="O31" s="77" t="s">
        <v>179</v>
      </c>
      <c r="P31" s="79">
        <v>45096.081365740742</v>
      </c>
      <c r="Q31" s="77" t="s">
        <v>2107</v>
      </c>
      <c r="R31" s="77">
        <v>1</v>
      </c>
      <c r="S31" s="77">
        <v>0</v>
      </c>
      <c r="T31" s="77">
        <v>0</v>
      </c>
      <c r="U31" s="77">
        <v>0</v>
      </c>
      <c r="V31" s="77">
        <v>287</v>
      </c>
      <c r="W31" s="80" t="s">
        <v>5904</v>
      </c>
      <c r="X31" s="77"/>
      <c r="Y31" s="77"/>
      <c r="Z31" s="77"/>
      <c r="AA31" s="77"/>
      <c r="AB31" s="77"/>
      <c r="AC31" s="80" t="s">
        <v>10541</v>
      </c>
      <c r="AD31" s="77" t="s">
        <v>10620</v>
      </c>
      <c r="AE31" s="83" t="str">
        <f>HYPERLINK("https://twitter.com/gpattonchile/status/1670611649198170114")</f>
        <v>https://twitter.com/gpattonchile/status/1670611649198170114</v>
      </c>
      <c r="AF31" s="79">
        <v>45096.081365740742</v>
      </c>
      <c r="AG31" s="85">
        <v>45096</v>
      </c>
      <c r="AH31" s="80" t="s">
        <v>10650</v>
      </c>
      <c r="AI31" s="77" t="b">
        <v>0</v>
      </c>
      <c r="AJ31" s="77"/>
      <c r="AK31" s="77"/>
      <c r="AL31" s="77"/>
      <c r="AM31" s="77"/>
      <c r="AN31" s="77"/>
      <c r="AO31" s="77"/>
      <c r="AP31" s="77"/>
      <c r="AQ31" s="77"/>
      <c r="AR31" s="77"/>
      <c r="AS31" s="77"/>
      <c r="AT31" s="77"/>
      <c r="AU31" s="77"/>
      <c r="AV31" s="83" t="str">
        <f>HYPERLINK("https://pbs.twimg.com/profile_images/1648090921878036481/ejzf2Wq9_normal.jpg")</f>
        <v>https://pbs.twimg.com/profile_images/1648090921878036481/ejzf2Wq9_normal.jpg</v>
      </c>
      <c r="AW31" s="80" t="s">
        <v>16032</v>
      </c>
      <c r="AX31" s="80" t="s">
        <v>16032</v>
      </c>
      <c r="AY31" s="77"/>
      <c r="AZ31" s="80" t="s">
        <v>20380</v>
      </c>
      <c r="BA31" s="80" t="s">
        <v>20380</v>
      </c>
      <c r="BB31" s="80" t="s">
        <v>20380</v>
      </c>
      <c r="BC31" s="80" t="s">
        <v>16032</v>
      </c>
      <c r="BD31" s="80" t="s">
        <v>20498</v>
      </c>
      <c r="BE31" s="77" t="s">
        <v>21199</v>
      </c>
      <c r="BF31" s="77" t="s">
        <v>21202</v>
      </c>
      <c r="BG31" s="77">
        <v>10080</v>
      </c>
      <c r="BH31" s="77" t="s">
        <v>21205</v>
      </c>
      <c r="BI31" s="77" t="s">
        <v>21208</v>
      </c>
    </row>
    <row r="32" spans="1:61" x14ac:dyDescent="0.25">
      <c r="A32" s="62" t="s">
        <v>236</v>
      </c>
      <c r="B32" s="62" t="s">
        <v>236</v>
      </c>
      <c r="C32" s="63"/>
      <c r="D32" s="64"/>
      <c r="E32" s="65"/>
      <c r="F32" s="66"/>
      <c r="G32" s="63"/>
      <c r="H32" s="67"/>
      <c r="I32" s="68"/>
      <c r="J32" s="68"/>
      <c r="K32" s="32"/>
      <c r="L32" s="75">
        <v>32</v>
      </c>
      <c r="M32" s="75"/>
      <c r="N32" s="70"/>
      <c r="O32" s="77" t="s">
        <v>179</v>
      </c>
      <c r="P32" s="79">
        <v>45174.898240740738</v>
      </c>
      <c r="Q32" s="77" t="s">
        <v>2108</v>
      </c>
      <c r="R32" s="77">
        <v>17</v>
      </c>
      <c r="S32" s="77">
        <v>26</v>
      </c>
      <c r="T32" s="77">
        <v>6</v>
      </c>
      <c r="U32" s="77">
        <v>1</v>
      </c>
      <c r="V32" s="77">
        <v>4559</v>
      </c>
      <c r="W32" s="80" t="s">
        <v>5905</v>
      </c>
      <c r="X32" s="77"/>
      <c r="Y32" s="77"/>
      <c r="Z32" s="77"/>
      <c r="AA32" s="77" t="s">
        <v>9051</v>
      </c>
      <c r="AB32" s="77" t="s">
        <v>10535</v>
      </c>
      <c r="AC32" s="80" t="s">
        <v>10541</v>
      </c>
      <c r="AD32" s="77" t="s">
        <v>10620</v>
      </c>
      <c r="AE32" s="83" t="str">
        <f>HYPERLINK("https://twitter.com/gpattonchile/status/1699173931016462427")</f>
        <v>https://twitter.com/gpattonchile/status/1699173931016462427</v>
      </c>
      <c r="AF32" s="79">
        <v>45174.898240740738</v>
      </c>
      <c r="AG32" s="85">
        <v>45174</v>
      </c>
      <c r="AH32" s="80" t="s">
        <v>10651</v>
      </c>
      <c r="AI32" s="77" t="b">
        <v>0</v>
      </c>
      <c r="AJ32" s="77"/>
      <c r="AK32" s="77"/>
      <c r="AL32" s="77"/>
      <c r="AM32" s="77"/>
      <c r="AN32" s="77"/>
      <c r="AO32" s="77"/>
      <c r="AP32" s="77"/>
      <c r="AQ32" s="77" t="s">
        <v>14533</v>
      </c>
      <c r="AR32" s="77"/>
      <c r="AS32" s="77"/>
      <c r="AT32" s="77"/>
      <c r="AU32" s="77"/>
      <c r="AV32" s="83" t="str">
        <f>HYPERLINK("https://pbs.twimg.com/media/F5StYkiXwAAF3PU.jpg")</f>
        <v>https://pbs.twimg.com/media/F5StYkiXwAAF3PU.jpg</v>
      </c>
      <c r="AW32" s="80" t="s">
        <v>16033</v>
      </c>
      <c r="AX32" s="80" t="s">
        <v>16033</v>
      </c>
      <c r="AY32" s="77"/>
      <c r="AZ32" s="80" t="s">
        <v>20380</v>
      </c>
      <c r="BA32" s="80" t="s">
        <v>20380</v>
      </c>
      <c r="BB32" s="80" t="s">
        <v>20380</v>
      </c>
      <c r="BC32" s="80" t="s">
        <v>16033</v>
      </c>
      <c r="BD32" s="80" t="s">
        <v>20498</v>
      </c>
      <c r="BE32" s="77"/>
      <c r="BF32" s="77"/>
      <c r="BG32" s="77"/>
      <c r="BH32" s="77"/>
      <c r="BI32" s="77"/>
    </row>
    <row r="33" spans="1:61" x14ac:dyDescent="0.25">
      <c r="A33" s="62" t="s">
        <v>236</v>
      </c>
      <c r="B33" s="62" t="s">
        <v>236</v>
      </c>
      <c r="C33" s="63"/>
      <c r="D33" s="64"/>
      <c r="E33" s="65"/>
      <c r="F33" s="66"/>
      <c r="G33" s="63"/>
      <c r="H33" s="67"/>
      <c r="I33" s="68"/>
      <c r="J33" s="68"/>
      <c r="K33" s="32"/>
      <c r="L33" s="75">
        <v>33</v>
      </c>
      <c r="M33" s="75"/>
      <c r="N33" s="70"/>
      <c r="O33" s="77" t="s">
        <v>179</v>
      </c>
      <c r="P33" s="79">
        <v>45175.868611111109</v>
      </c>
      <c r="Q33" s="77" t="s">
        <v>2109</v>
      </c>
      <c r="R33" s="77">
        <v>3</v>
      </c>
      <c r="S33" s="77">
        <v>3</v>
      </c>
      <c r="T33" s="77">
        <v>1</v>
      </c>
      <c r="U33" s="77">
        <v>0</v>
      </c>
      <c r="V33" s="77">
        <v>267</v>
      </c>
      <c r="W33" s="80" t="s">
        <v>5906</v>
      </c>
      <c r="X33" s="77"/>
      <c r="Y33" s="77"/>
      <c r="Z33" s="77"/>
      <c r="AA33" s="77" t="s">
        <v>9052</v>
      </c>
      <c r="AB33" s="77" t="s">
        <v>10537</v>
      </c>
      <c r="AC33" s="80" t="s">
        <v>10541</v>
      </c>
      <c r="AD33" s="77" t="s">
        <v>10620</v>
      </c>
      <c r="AE33" s="83" t="str">
        <f>HYPERLINK("https://twitter.com/gpattonchile/status/1699525578435493955")</f>
        <v>https://twitter.com/gpattonchile/status/1699525578435493955</v>
      </c>
      <c r="AF33" s="79">
        <v>45175.868611111109</v>
      </c>
      <c r="AG33" s="85">
        <v>45175</v>
      </c>
      <c r="AH33" s="80" t="s">
        <v>10652</v>
      </c>
      <c r="AI33" s="77" t="b">
        <v>0</v>
      </c>
      <c r="AJ33" s="77"/>
      <c r="AK33" s="77"/>
      <c r="AL33" s="77"/>
      <c r="AM33" s="77"/>
      <c r="AN33" s="77"/>
      <c r="AO33" s="77"/>
      <c r="AP33" s="77"/>
      <c r="AQ33" s="77" t="s">
        <v>14534</v>
      </c>
      <c r="AR33" s="77"/>
      <c r="AS33" s="77"/>
      <c r="AT33" s="77"/>
      <c r="AU33" s="77"/>
      <c r="AV33" s="83" t="str">
        <f>HYPERLINK("https://pbs.twimg.com/media/F5XsvdpXsAAWFMD.png")</f>
        <v>https://pbs.twimg.com/media/F5XsvdpXsAAWFMD.png</v>
      </c>
      <c r="AW33" s="80" t="s">
        <v>16034</v>
      </c>
      <c r="AX33" s="80" t="s">
        <v>16034</v>
      </c>
      <c r="AY33" s="77"/>
      <c r="AZ33" s="80" t="s">
        <v>20380</v>
      </c>
      <c r="BA33" s="80" t="s">
        <v>20380</v>
      </c>
      <c r="BB33" s="80" t="s">
        <v>20380</v>
      </c>
      <c r="BC33" s="80" t="s">
        <v>16034</v>
      </c>
      <c r="BD33" s="80" t="s">
        <v>20498</v>
      </c>
      <c r="BE33" s="77"/>
      <c r="BF33" s="77"/>
      <c r="BG33" s="77"/>
      <c r="BH33" s="77"/>
      <c r="BI33" s="77"/>
    </row>
    <row r="34" spans="1:61" x14ac:dyDescent="0.25">
      <c r="A34" s="62" t="s">
        <v>237</v>
      </c>
      <c r="B34" s="62" t="s">
        <v>237</v>
      </c>
      <c r="C34" s="63"/>
      <c r="D34" s="64"/>
      <c r="E34" s="65"/>
      <c r="F34" s="66"/>
      <c r="G34" s="63"/>
      <c r="H34" s="67"/>
      <c r="I34" s="68"/>
      <c r="J34" s="68"/>
      <c r="K34" s="32"/>
      <c r="L34" s="75">
        <v>34</v>
      </c>
      <c r="M34" s="75"/>
      <c r="N34" s="70"/>
      <c r="O34" s="77" t="s">
        <v>179</v>
      </c>
      <c r="P34" s="79">
        <v>45141.792025462964</v>
      </c>
      <c r="Q34" s="77" t="s">
        <v>2110</v>
      </c>
      <c r="R34" s="77">
        <v>0</v>
      </c>
      <c r="S34" s="77">
        <v>0</v>
      </c>
      <c r="T34" s="77">
        <v>1</v>
      </c>
      <c r="U34" s="77">
        <v>0</v>
      </c>
      <c r="V34" s="77">
        <v>23</v>
      </c>
      <c r="W34" s="80" t="s">
        <v>5907</v>
      </c>
      <c r="X34" s="83" t="str">
        <f>HYPERLINK("https://swki.me/6XRDf3AZ")</f>
        <v>https://swki.me/6XRDf3AZ</v>
      </c>
      <c r="Y34" s="77" t="s">
        <v>8616</v>
      </c>
      <c r="Z34" s="77"/>
      <c r="AA34" s="77" t="s">
        <v>9053</v>
      </c>
      <c r="AB34" s="77" t="s">
        <v>10535</v>
      </c>
      <c r="AC34" s="80" t="s">
        <v>10544</v>
      </c>
      <c r="AD34" s="77" t="s">
        <v>10617</v>
      </c>
      <c r="AE34" s="83" t="str">
        <f>HYPERLINK("https://twitter.com/aboissabrokers/status/1687176638390312965")</f>
        <v>https://twitter.com/aboissabrokers/status/1687176638390312965</v>
      </c>
      <c r="AF34" s="79">
        <v>45141.792025462964</v>
      </c>
      <c r="AG34" s="85">
        <v>45141</v>
      </c>
      <c r="AH34" s="80" t="s">
        <v>10653</v>
      </c>
      <c r="AI34" s="77" t="b">
        <v>0</v>
      </c>
      <c r="AJ34" s="77"/>
      <c r="AK34" s="77"/>
      <c r="AL34" s="77"/>
      <c r="AM34" s="77"/>
      <c r="AN34" s="77"/>
      <c r="AO34" s="77"/>
      <c r="AP34" s="77"/>
      <c r="AQ34" s="77" t="s">
        <v>14535</v>
      </c>
      <c r="AR34" s="77"/>
      <c r="AS34" s="77"/>
      <c r="AT34" s="77"/>
      <c r="AU34" s="77"/>
      <c r="AV34" s="83" t="str">
        <f>HYPERLINK("https://pbs.twimg.com/media/F2oONjjXcAE0Hfr.jpg")</f>
        <v>https://pbs.twimg.com/media/F2oONjjXcAE0Hfr.jpg</v>
      </c>
      <c r="AW34" s="80" t="s">
        <v>16035</v>
      </c>
      <c r="AX34" s="80" t="s">
        <v>16035</v>
      </c>
      <c r="AY34" s="77"/>
      <c r="AZ34" s="80" t="s">
        <v>20380</v>
      </c>
      <c r="BA34" s="80" t="s">
        <v>20380</v>
      </c>
      <c r="BB34" s="80" t="s">
        <v>20380</v>
      </c>
      <c r="BC34" s="80" t="s">
        <v>16035</v>
      </c>
      <c r="BD34" s="80" t="s">
        <v>20499</v>
      </c>
      <c r="BE34" s="77"/>
      <c r="BF34" s="77"/>
      <c r="BG34" s="77"/>
      <c r="BH34" s="77"/>
      <c r="BI34" s="77"/>
    </row>
    <row r="35" spans="1:61" x14ac:dyDescent="0.25">
      <c r="A35" s="62" t="s">
        <v>238</v>
      </c>
      <c r="B35" s="62" t="s">
        <v>238</v>
      </c>
      <c r="C35" s="63"/>
      <c r="D35" s="64"/>
      <c r="E35" s="65"/>
      <c r="F35" s="66"/>
      <c r="G35" s="63"/>
      <c r="H35" s="67"/>
      <c r="I35" s="68"/>
      <c r="J35" s="68"/>
      <c r="K35" s="32"/>
      <c r="L35" s="75">
        <v>35</v>
      </c>
      <c r="M35" s="75"/>
      <c r="N35" s="70"/>
      <c r="O35" s="77" t="s">
        <v>179</v>
      </c>
      <c r="P35" s="79">
        <v>45097.850011574075</v>
      </c>
      <c r="Q35" s="77" t="s">
        <v>2111</v>
      </c>
      <c r="R35" s="77">
        <v>0</v>
      </c>
      <c r="S35" s="77">
        <v>1</v>
      </c>
      <c r="T35" s="77">
        <v>0</v>
      </c>
      <c r="U35" s="77">
        <v>0</v>
      </c>
      <c r="V35" s="77">
        <v>30</v>
      </c>
      <c r="W35" s="80" t="s">
        <v>5908</v>
      </c>
      <c r="X35" s="83" t="str">
        <f>HYPERLINK("https://buff.ly/3NFmIfK")</f>
        <v>https://buff.ly/3NFmIfK</v>
      </c>
      <c r="Y35" s="77" t="s">
        <v>8617</v>
      </c>
      <c r="Z35" s="77"/>
      <c r="AA35" s="77" t="s">
        <v>9054</v>
      </c>
      <c r="AB35" s="77" t="s">
        <v>10535</v>
      </c>
      <c r="AC35" s="80" t="s">
        <v>10545</v>
      </c>
      <c r="AD35" s="77" t="s">
        <v>10617</v>
      </c>
      <c r="AE35" s="83" t="str">
        <f>HYPERLINK("https://twitter.com/dionaldo_passos/status/1671252586320519169")</f>
        <v>https://twitter.com/dionaldo_passos/status/1671252586320519169</v>
      </c>
      <c r="AF35" s="79">
        <v>45097.850011574075</v>
      </c>
      <c r="AG35" s="85">
        <v>45097</v>
      </c>
      <c r="AH35" s="80" t="s">
        <v>10654</v>
      </c>
      <c r="AI35" s="77" t="b">
        <v>0</v>
      </c>
      <c r="AJ35" s="77"/>
      <c r="AK35" s="77"/>
      <c r="AL35" s="77"/>
      <c r="AM35" s="77"/>
      <c r="AN35" s="77"/>
      <c r="AO35" s="77"/>
      <c r="AP35" s="77"/>
      <c r="AQ35" s="77" t="s">
        <v>14536</v>
      </c>
      <c r="AR35" s="77"/>
      <c r="AS35" s="77"/>
      <c r="AT35" s="77"/>
      <c r="AU35" s="77"/>
      <c r="AV35" s="83" t="str">
        <f>HYPERLINK("https://pbs.twimg.com/media/FzF7XrKWIAA6Ad4.jpg")</f>
        <v>https://pbs.twimg.com/media/FzF7XrKWIAA6Ad4.jpg</v>
      </c>
      <c r="AW35" s="80" t="s">
        <v>16036</v>
      </c>
      <c r="AX35" s="80" t="s">
        <v>16036</v>
      </c>
      <c r="AY35" s="77"/>
      <c r="AZ35" s="80" t="s">
        <v>20380</v>
      </c>
      <c r="BA35" s="80" t="s">
        <v>20380</v>
      </c>
      <c r="BB35" s="80" t="s">
        <v>20380</v>
      </c>
      <c r="BC35" s="80" t="s">
        <v>16036</v>
      </c>
      <c r="BD35" s="77">
        <v>175211565</v>
      </c>
      <c r="BE35" s="77"/>
      <c r="BF35" s="77"/>
      <c r="BG35" s="77"/>
      <c r="BH35" s="77"/>
      <c r="BI35" s="77"/>
    </row>
    <row r="36" spans="1:61" x14ac:dyDescent="0.25">
      <c r="A36" s="62" t="s">
        <v>239</v>
      </c>
      <c r="B36" s="62" t="s">
        <v>239</v>
      </c>
      <c r="C36" s="63"/>
      <c r="D36" s="64"/>
      <c r="E36" s="65"/>
      <c r="F36" s="66"/>
      <c r="G36" s="63"/>
      <c r="H36" s="67"/>
      <c r="I36" s="68"/>
      <c r="J36" s="68"/>
      <c r="K36" s="32"/>
      <c r="L36" s="75">
        <v>36</v>
      </c>
      <c r="M36" s="75"/>
      <c r="N36" s="70"/>
      <c r="O36" s="77" t="s">
        <v>179</v>
      </c>
      <c r="P36" s="79">
        <v>45075.571435185186</v>
      </c>
      <c r="Q36" s="77" t="s">
        <v>2112</v>
      </c>
      <c r="R36" s="77">
        <v>0</v>
      </c>
      <c r="S36" s="77">
        <v>2</v>
      </c>
      <c r="T36" s="77">
        <v>0</v>
      </c>
      <c r="U36" s="77">
        <v>0</v>
      </c>
      <c r="V36" s="77">
        <v>84</v>
      </c>
      <c r="W36" s="80" t="s">
        <v>5909</v>
      </c>
      <c r="X36" s="83" t="str">
        <f>HYPERLINK("https://bit.ly/3WU2AKd")</f>
        <v>https://bit.ly/3WU2AKd</v>
      </c>
      <c r="Y36" s="77" t="s">
        <v>8618</v>
      </c>
      <c r="Z36" s="77"/>
      <c r="AA36" s="77"/>
      <c r="AB36" s="77"/>
      <c r="AC36" s="80" t="s">
        <v>10546</v>
      </c>
      <c r="AD36" s="77" t="s">
        <v>10617</v>
      </c>
      <c r="AE36" s="83" t="str">
        <f>HYPERLINK("https://twitter.com/guarulhosonline/status/1663179100465381376")</f>
        <v>https://twitter.com/guarulhosonline/status/1663179100465381376</v>
      </c>
      <c r="AF36" s="79">
        <v>45075.571435185186</v>
      </c>
      <c r="AG36" s="85">
        <v>45075</v>
      </c>
      <c r="AH36" s="80" t="s">
        <v>10655</v>
      </c>
      <c r="AI36" s="77" t="b">
        <v>0</v>
      </c>
      <c r="AJ36" s="77"/>
      <c r="AK36" s="77"/>
      <c r="AL36" s="77"/>
      <c r="AM36" s="77"/>
      <c r="AN36" s="77"/>
      <c r="AO36" s="77"/>
      <c r="AP36" s="77"/>
      <c r="AQ36" s="77"/>
      <c r="AR36" s="77"/>
      <c r="AS36" s="77"/>
      <c r="AT36" s="77"/>
      <c r="AU36" s="77"/>
      <c r="AV36" s="83" t="str">
        <f>HYPERLINK("https://pbs.twimg.com/profile_images/1177212695776518144/61vDUE-Q_normal.jpg")</f>
        <v>https://pbs.twimg.com/profile_images/1177212695776518144/61vDUE-Q_normal.jpg</v>
      </c>
      <c r="AW36" s="80" t="s">
        <v>16037</v>
      </c>
      <c r="AX36" s="80" t="s">
        <v>16037</v>
      </c>
      <c r="AY36" s="77"/>
      <c r="AZ36" s="80" t="s">
        <v>20380</v>
      </c>
      <c r="BA36" s="80" t="s">
        <v>20380</v>
      </c>
      <c r="BB36" s="80" t="s">
        <v>20380</v>
      </c>
      <c r="BC36" s="80" t="s">
        <v>16037</v>
      </c>
      <c r="BD36" s="77">
        <v>70411503</v>
      </c>
      <c r="BE36" s="77"/>
      <c r="BF36" s="77"/>
      <c r="BG36" s="77"/>
      <c r="BH36" s="77"/>
      <c r="BI36" s="77"/>
    </row>
    <row r="37" spans="1:61" x14ac:dyDescent="0.25">
      <c r="A37" s="62" t="s">
        <v>239</v>
      </c>
      <c r="B37" s="62" t="s">
        <v>239</v>
      </c>
      <c r="C37" s="63"/>
      <c r="D37" s="64"/>
      <c r="E37" s="65"/>
      <c r="F37" s="66"/>
      <c r="G37" s="63"/>
      <c r="H37" s="67"/>
      <c r="I37" s="68"/>
      <c r="J37" s="68"/>
      <c r="K37" s="32"/>
      <c r="L37" s="75">
        <v>37</v>
      </c>
      <c r="M37" s="75"/>
      <c r="N37" s="70"/>
      <c r="O37" s="77" t="s">
        <v>179</v>
      </c>
      <c r="P37" s="79">
        <v>45134.711412037039</v>
      </c>
      <c r="Q37" s="77" t="s">
        <v>2113</v>
      </c>
      <c r="R37" s="77">
        <v>0</v>
      </c>
      <c r="S37" s="77">
        <v>0</v>
      </c>
      <c r="T37" s="77">
        <v>0</v>
      </c>
      <c r="U37" s="77">
        <v>0</v>
      </c>
      <c r="V37" s="77">
        <v>32</v>
      </c>
      <c r="W37" s="80" t="s">
        <v>5910</v>
      </c>
      <c r="X37" s="83" t="str">
        <f>HYPERLINK("https://bit.ly/478VDJD")</f>
        <v>https://bit.ly/478VDJD</v>
      </c>
      <c r="Y37" s="77" t="s">
        <v>8618</v>
      </c>
      <c r="Z37" s="77"/>
      <c r="AA37" s="77"/>
      <c r="AB37" s="77"/>
      <c r="AC37" s="80" t="s">
        <v>10547</v>
      </c>
      <c r="AD37" s="77" t="s">
        <v>10617</v>
      </c>
      <c r="AE37" s="83" t="str">
        <f>HYPERLINK("https://twitter.com/guarulhosonline/status/1684610708598657024")</f>
        <v>https://twitter.com/guarulhosonline/status/1684610708598657024</v>
      </c>
      <c r="AF37" s="79">
        <v>45134.711412037039</v>
      </c>
      <c r="AG37" s="85">
        <v>45134</v>
      </c>
      <c r="AH37" s="80" t="s">
        <v>10656</v>
      </c>
      <c r="AI37" s="77" t="b">
        <v>0</v>
      </c>
      <c r="AJ37" s="77"/>
      <c r="AK37" s="77"/>
      <c r="AL37" s="77"/>
      <c r="AM37" s="77"/>
      <c r="AN37" s="77"/>
      <c r="AO37" s="77"/>
      <c r="AP37" s="77"/>
      <c r="AQ37" s="77"/>
      <c r="AR37" s="77"/>
      <c r="AS37" s="77"/>
      <c r="AT37" s="77"/>
      <c r="AU37" s="77"/>
      <c r="AV37" s="83" t="str">
        <f>HYPERLINK("https://pbs.twimg.com/profile_images/1177212695776518144/61vDUE-Q_normal.jpg")</f>
        <v>https://pbs.twimg.com/profile_images/1177212695776518144/61vDUE-Q_normal.jpg</v>
      </c>
      <c r="AW37" s="80" t="s">
        <v>16038</v>
      </c>
      <c r="AX37" s="80" t="s">
        <v>16038</v>
      </c>
      <c r="AY37" s="77"/>
      <c r="AZ37" s="80" t="s">
        <v>20380</v>
      </c>
      <c r="BA37" s="80" t="s">
        <v>20380</v>
      </c>
      <c r="BB37" s="80" t="s">
        <v>20380</v>
      </c>
      <c r="BC37" s="80" t="s">
        <v>16038</v>
      </c>
      <c r="BD37" s="77">
        <v>70411503</v>
      </c>
      <c r="BE37" s="77"/>
      <c r="BF37" s="77"/>
      <c r="BG37" s="77"/>
      <c r="BH37" s="77"/>
      <c r="BI37" s="77"/>
    </row>
    <row r="38" spans="1:61" x14ac:dyDescent="0.25">
      <c r="A38" s="62" t="s">
        <v>239</v>
      </c>
      <c r="B38" s="62" t="s">
        <v>239</v>
      </c>
      <c r="C38" s="63"/>
      <c r="D38" s="64"/>
      <c r="E38" s="65"/>
      <c r="F38" s="66"/>
      <c r="G38" s="63"/>
      <c r="H38" s="67"/>
      <c r="I38" s="68"/>
      <c r="J38" s="68"/>
      <c r="K38" s="32"/>
      <c r="L38" s="75">
        <v>38</v>
      </c>
      <c r="M38" s="75"/>
      <c r="N38" s="70"/>
      <c r="O38" s="77" t="s">
        <v>179</v>
      </c>
      <c r="P38" s="79">
        <v>45145.819907407407</v>
      </c>
      <c r="Q38" s="77" t="s">
        <v>2114</v>
      </c>
      <c r="R38" s="77">
        <v>0</v>
      </c>
      <c r="S38" s="77">
        <v>0</v>
      </c>
      <c r="T38" s="77">
        <v>0</v>
      </c>
      <c r="U38" s="77">
        <v>0</v>
      </c>
      <c r="V38" s="77">
        <v>41</v>
      </c>
      <c r="W38" s="80" t="s">
        <v>5911</v>
      </c>
      <c r="X38" s="83" t="str">
        <f>HYPERLINK("https://bit.ly/3KsH2z6")</f>
        <v>https://bit.ly/3KsH2z6</v>
      </c>
      <c r="Y38" s="77" t="s">
        <v>8618</v>
      </c>
      <c r="Z38" s="77"/>
      <c r="AA38" s="77"/>
      <c r="AB38" s="77"/>
      <c r="AC38" s="80" t="s">
        <v>10547</v>
      </c>
      <c r="AD38" s="77" t="s">
        <v>10617</v>
      </c>
      <c r="AE38" s="83" t="str">
        <f>HYPERLINK("https://twitter.com/guarulhosonline/status/1688636292148396032")</f>
        <v>https://twitter.com/guarulhosonline/status/1688636292148396032</v>
      </c>
      <c r="AF38" s="79">
        <v>45145.819907407407</v>
      </c>
      <c r="AG38" s="85">
        <v>45145</v>
      </c>
      <c r="AH38" s="80" t="s">
        <v>10657</v>
      </c>
      <c r="AI38" s="77" t="b">
        <v>0</v>
      </c>
      <c r="AJ38" s="77"/>
      <c r="AK38" s="77"/>
      <c r="AL38" s="77"/>
      <c r="AM38" s="77"/>
      <c r="AN38" s="77"/>
      <c r="AO38" s="77"/>
      <c r="AP38" s="77"/>
      <c r="AQ38" s="77"/>
      <c r="AR38" s="77"/>
      <c r="AS38" s="77"/>
      <c r="AT38" s="77"/>
      <c r="AU38" s="77"/>
      <c r="AV38" s="83" t="str">
        <f>HYPERLINK("https://pbs.twimg.com/profile_images/1177212695776518144/61vDUE-Q_normal.jpg")</f>
        <v>https://pbs.twimg.com/profile_images/1177212695776518144/61vDUE-Q_normal.jpg</v>
      </c>
      <c r="AW38" s="80" t="s">
        <v>16039</v>
      </c>
      <c r="AX38" s="80" t="s">
        <v>16039</v>
      </c>
      <c r="AY38" s="77"/>
      <c r="AZ38" s="80" t="s">
        <v>20380</v>
      </c>
      <c r="BA38" s="80" t="s">
        <v>20380</v>
      </c>
      <c r="BB38" s="80" t="s">
        <v>20380</v>
      </c>
      <c r="BC38" s="80" t="s">
        <v>16039</v>
      </c>
      <c r="BD38" s="77">
        <v>70411503</v>
      </c>
      <c r="BE38" s="77"/>
      <c r="BF38" s="77"/>
      <c r="BG38" s="77"/>
      <c r="BH38" s="77"/>
      <c r="BI38" s="77"/>
    </row>
    <row r="39" spans="1:61" x14ac:dyDescent="0.25">
      <c r="A39" s="62" t="s">
        <v>239</v>
      </c>
      <c r="B39" s="62" t="s">
        <v>239</v>
      </c>
      <c r="C39" s="63"/>
      <c r="D39" s="64"/>
      <c r="E39" s="65"/>
      <c r="F39" s="66"/>
      <c r="G39" s="63"/>
      <c r="H39" s="67"/>
      <c r="I39" s="68"/>
      <c r="J39" s="68"/>
      <c r="K39" s="32"/>
      <c r="L39" s="75">
        <v>39</v>
      </c>
      <c r="M39" s="75"/>
      <c r="N39" s="70"/>
      <c r="O39" s="77" t="s">
        <v>179</v>
      </c>
      <c r="P39" s="79">
        <v>45173.750208333331</v>
      </c>
      <c r="Q39" s="77" t="s">
        <v>2115</v>
      </c>
      <c r="R39" s="77">
        <v>0</v>
      </c>
      <c r="S39" s="77">
        <v>0</v>
      </c>
      <c r="T39" s="77">
        <v>0</v>
      </c>
      <c r="U39" s="77">
        <v>0</v>
      </c>
      <c r="V39" s="77">
        <v>41</v>
      </c>
      <c r="W39" s="80" t="s">
        <v>5912</v>
      </c>
      <c r="X39" s="83" t="str">
        <f>HYPERLINK("https://bit.ly/3ZiS8Nz")</f>
        <v>https://bit.ly/3ZiS8Nz</v>
      </c>
      <c r="Y39" s="77" t="s">
        <v>8618</v>
      </c>
      <c r="Z39" s="77"/>
      <c r="AA39" s="77"/>
      <c r="AB39" s="77"/>
      <c r="AC39" s="80" t="s">
        <v>10548</v>
      </c>
      <c r="AD39" s="77" t="s">
        <v>10617</v>
      </c>
      <c r="AE39" s="83" t="str">
        <f>HYPERLINK("https://twitter.com/guarulhosonline/status/1698757896211714414")</f>
        <v>https://twitter.com/guarulhosonline/status/1698757896211714414</v>
      </c>
      <c r="AF39" s="79">
        <v>45173.750208333331</v>
      </c>
      <c r="AG39" s="85">
        <v>45173</v>
      </c>
      <c r="AH39" s="80" t="s">
        <v>10658</v>
      </c>
      <c r="AI39" s="77" t="b">
        <v>0</v>
      </c>
      <c r="AJ39" s="77"/>
      <c r="AK39" s="77"/>
      <c r="AL39" s="77"/>
      <c r="AM39" s="77"/>
      <c r="AN39" s="77"/>
      <c r="AO39" s="77"/>
      <c r="AP39" s="77"/>
      <c r="AQ39" s="77"/>
      <c r="AR39" s="77"/>
      <c r="AS39" s="77"/>
      <c r="AT39" s="77"/>
      <c r="AU39" s="77"/>
      <c r="AV39" s="83" t="str">
        <f>HYPERLINK("https://pbs.twimg.com/profile_images/1177212695776518144/61vDUE-Q_normal.jpg")</f>
        <v>https://pbs.twimg.com/profile_images/1177212695776518144/61vDUE-Q_normal.jpg</v>
      </c>
      <c r="AW39" s="80" t="s">
        <v>16040</v>
      </c>
      <c r="AX39" s="80" t="s">
        <v>16040</v>
      </c>
      <c r="AY39" s="77"/>
      <c r="AZ39" s="80" t="s">
        <v>20380</v>
      </c>
      <c r="BA39" s="80" t="s">
        <v>20380</v>
      </c>
      <c r="BB39" s="80" t="s">
        <v>20380</v>
      </c>
      <c r="BC39" s="80" t="s">
        <v>16040</v>
      </c>
      <c r="BD39" s="77">
        <v>70411503</v>
      </c>
      <c r="BE39" s="77"/>
      <c r="BF39" s="77"/>
      <c r="BG39" s="77"/>
      <c r="BH39" s="77"/>
      <c r="BI39" s="77"/>
    </row>
    <row r="40" spans="1:61" x14ac:dyDescent="0.25">
      <c r="A40" s="62" t="s">
        <v>239</v>
      </c>
      <c r="B40" s="62" t="s">
        <v>239</v>
      </c>
      <c r="C40" s="63"/>
      <c r="D40" s="64"/>
      <c r="E40" s="65"/>
      <c r="F40" s="66"/>
      <c r="G40" s="63"/>
      <c r="H40" s="67"/>
      <c r="I40" s="68"/>
      <c r="J40" s="68"/>
      <c r="K40" s="32"/>
      <c r="L40" s="75">
        <v>40</v>
      </c>
      <c r="M40" s="75"/>
      <c r="N40" s="70"/>
      <c r="O40" s="77" t="s">
        <v>179</v>
      </c>
      <c r="P40" s="79">
        <v>45054.544374999998</v>
      </c>
      <c r="Q40" s="77" t="s">
        <v>2116</v>
      </c>
      <c r="R40" s="77">
        <v>1</v>
      </c>
      <c r="S40" s="77">
        <v>2</v>
      </c>
      <c r="T40" s="77">
        <v>0</v>
      </c>
      <c r="U40" s="77">
        <v>0</v>
      </c>
      <c r="V40" s="77">
        <v>74</v>
      </c>
      <c r="W40" s="80" t="s">
        <v>5913</v>
      </c>
      <c r="X40" s="83" t="str">
        <f>HYPERLINK("https://bit.ly/42fba84")</f>
        <v>https://bit.ly/42fba84</v>
      </c>
      <c r="Y40" s="77" t="s">
        <v>8618</v>
      </c>
      <c r="Z40" s="77"/>
      <c r="AA40" s="77"/>
      <c r="AB40" s="77"/>
      <c r="AC40" s="80" t="s">
        <v>10546</v>
      </c>
      <c r="AD40" s="77" t="s">
        <v>10617</v>
      </c>
      <c r="AE40" s="83" t="str">
        <f>HYPERLINK("https://twitter.com/guarulhosonline/status/1655559147117477889")</f>
        <v>https://twitter.com/guarulhosonline/status/1655559147117477889</v>
      </c>
      <c r="AF40" s="79">
        <v>45054.544374999998</v>
      </c>
      <c r="AG40" s="85">
        <v>45054</v>
      </c>
      <c r="AH40" s="80" t="s">
        <v>10659</v>
      </c>
      <c r="AI40" s="77" t="b">
        <v>0</v>
      </c>
      <c r="AJ40" s="77"/>
      <c r="AK40" s="77"/>
      <c r="AL40" s="77"/>
      <c r="AM40" s="77"/>
      <c r="AN40" s="77"/>
      <c r="AO40" s="77"/>
      <c r="AP40" s="77"/>
      <c r="AQ40" s="77"/>
      <c r="AR40" s="77"/>
      <c r="AS40" s="77"/>
      <c r="AT40" s="77"/>
      <c r="AU40" s="77"/>
      <c r="AV40" s="83" t="str">
        <f>HYPERLINK("https://pbs.twimg.com/profile_images/1177212695776518144/61vDUE-Q_normal.jpg")</f>
        <v>https://pbs.twimg.com/profile_images/1177212695776518144/61vDUE-Q_normal.jpg</v>
      </c>
      <c r="AW40" s="80" t="s">
        <v>16041</v>
      </c>
      <c r="AX40" s="80" t="s">
        <v>16041</v>
      </c>
      <c r="AY40" s="77"/>
      <c r="AZ40" s="80" t="s">
        <v>20380</v>
      </c>
      <c r="BA40" s="80" t="s">
        <v>20380</v>
      </c>
      <c r="BB40" s="80" t="s">
        <v>20380</v>
      </c>
      <c r="BC40" s="80" t="s">
        <v>16041</v>
      </c>
      <c r="BD40" s="77">
        <v>70411503</v>
      </c>
      <c r="BE40" s="77"/>
      <c r="BF40" s="77"/>
      <c r="BG40" s="77"/>
      <c r="BH40" s="77"/>
      <c r="BI40" s="77"/>
    </row>
    <row r="41" spans="1:61" x14ac:dyDescent="0.25">
      <c r="A41" s="62" t="s">
        <v>239</v>
      </c>
      <c r="B41" s="62" t="s">
        <v>239</v>
      </c>
      <c r="C41" s="63"/>
      <c r="D41" s="64"/>
      <c r="E41" s="65"/>
      <c r="F41" s="66"/>
      <c r="G41" s="63"/>
      <c r="H41" s="67"/>
      <c r="I41" s="68"/>
      <c r="J41" s="68"/>
      <c r="K41" s="32"/>
      <c r="L41" s="75">
        <v>41</v>
      </c>
      <c r="M41" s="75"/>
      <c r="N41" s="70"/>
      <c r="O41" s="77" t="s">
        <v>179</v>
      </c>
      <c r="P41" s="79">
        <v>45180.543981481482</v>
      </c>
      <c r="Q41" s="77" t="s">
        <v>2117</v>
      </c>
      <c r="R41" s="77">
        <v>0</v>
      </c>
      <c r="S41" s="77">
        <v>1</v>
      </c>
      <c r="T41" s="77">
        <v>0</v>
      </c>
      <c r="U41" s="77">
        <v>0</v>
      </c>
      <c r="V41" s="77">
        <v>44</v>
      </c>
      <c r="W41" s="80" t="s">
        <v>5914</v>
      </c>
      <c r="X41" s="83" t="str">
        <f>HYPERLINK("https://bit.ly/3rhtBLX")</f>
        <v>https://bit.ly/3rhtBLX</v>
      </c>
      <c r="Y41" s="77" t="s">
        <v>8618</v>
      </c>
      <c r="Z41" s="77"/>
      <c r="AA41" s="77"/>
      <c r="AB41" s="77"/>
      <c r="AC41" s="80" t="s">
        <v>10548</v>
      </c>
      <c r="AD41" s="77" t="s">
        <v>10617</v>
      </c>
      <c r="AE41" s="83" t="str">
        <f>HYPERLINK("https://twitter.com/guarulhosonline/status/1701219878860943772")</f>
        <v>https://twitter.com/guarulhosonline/status/1701219878860943772</v>
      </c>
      <c r="AF41" s="79">
        <v>45180.543981481482</v>
      </c>
      <c r="AG41" s="85">
        <v>45180</v>
      </c>
      <c r="AH41" s="80" t="s">
        <v>10660</v>
      </c>
      <c r="AI41" s="77" t="b">
        <v>0</v>
      </c>
      <c r="AJ41" s="77"/>
      <c r="AK41" s="77"/>
      <c r="AL41" s="77"/>
      <c r="AM41" s="77"/>
      <c r="AN41" s="77"/>
      <c r="AO41" s="77"/>
      <c r="AP41" s="77"/>
      <c r="AQ41" s="77"/>
      <c r="AR41" s="77"/>
      <c r="AS41" s="77"/>
      <c r="AT41" s="77"/>
      <c r="AU41" s="77"/>
      <c r="AV41" s="83" t="str">
        <f>HYPERLINK("https://pbs.twimg.com/profile_images/1177212695776518144/61vDUE-Q_normal.jpg")</f>
        <v>https://pbs.twimg.com/profile_images/1177212695776518144/61vDUE-Q_normal.jpg</v>
      </c>
      <c r="AW41" s="80" t="s">
        <v>16042</v>
      </c>
      <c r="AX41" s="80" t="s">
        <v>16042</v>
      </c>
      <c r="AY41" s="77"/>
      <c r="AZ41" s="80" t="s">
        <v>20380</v>
      </c>
      <c r="BA41" s="80" t="s">
        <v>20380</v>
      </c>
      <c r="BB41" s="80" t="s">
        <v>20380</v>
      </c>
      <c r="BC41" s="80" t="s">
        <v>16042</v>
      </c>
      <c r="BD41" s="77">
        <v>70411503</v>
      </c>
      <c r="BE41" s="77"/>
      <c r="BF41" s="77"/>
      <c r="BG41" s="77"/>
      <c r="BH41" s="77"/>
      <c r="BI41" s="77"/>
    </row>
    <row r="42" spans="1:61" x14ac:dyDescent="0.25">
      <c r="A42" s="62" t="s">
        <v>239</v>
      </c>
      <c r="B42" s="62" t="s">
        <v>239</v>
      </c>
      <c r="C42" s="63"/>
      <c r="D42" s="64"/>
      <c r="E42" s="65"/>
      <c r="F42" s="66"/>
      <c r="G42" s="63"/>
      <c r="H42" s="67"/>
      <c r="I42" s="68"/>
      <c r="J42" s="68"/>
      <c r="K42" s="32"/>
      <c r="L42" s="75">
        <v>42</v>
      </c>
      <c r="M42" s="75"/>
      <c r="N42" s="70"/>
      <c r="O42" s="77" t="s">
        <v>179</v>
      </c>
      <c r="P42" s="79">
        <v>45083.750381944446</v>
      </c>
      <c r="Q42" s="77" t="s">
        <v>2118</v>
      </c>
      <c r="R42" s="77">
        <v>0</v>
      </c>
      <c r="S42" s="77">
        <v>0</v>
      </c>
      <c r="T42" s="77">
        <v>0</v>
      </c>
      <c r="U42" s="77">
        <v>0</v>
      </c>
      <c r="V42" s="77">
        <v>33</v>
      </c>
      <c r="W42" s="80" t="s">
        <v>5915</v>
      </c>
      <c r="X42" s="83" t="str">
        <f>HYPERLINK("https://bit.ly/3Ndb37W")</f>
        <v>https://bit.ly/3Ndb37W</v>
      </c>
      <c r="Y42" s="77" t="s">
        <v>8618</v>
      </c>
      <c r="Z42" s="77"/>
      <c r="AA42" s="77"/>
      <c r="AB42" s="77"/>
      <c r="AC42" s="80" t="s">
        <v>10546</v>
      </c>
      <c r="AD42" s="77" t="s">
        <v>10617</v>
      </c>
      <c r="AE42" s="83" t="str">
        <f>HYPERLINK("https://twitter.com/guarulhosonline/status/1666143050979069953")</f>
        <v>https://twitter.com/guarulhosonline/status/1666143050979069953</v>
      </c>
      <c r="AF42" s="79">
        <v>45083.750381944446</v>
      </c>
      <c r="AG42" s="85">
        <v>45083</v>
      </c>
      <c r="AH42" s="80" t="s">
        <v>10661</v>
      </c>
      <c r="AI42" s="77" t="b">
        <v>0</v>
      </c>
      <c r="AJ42" s="77"/>
      <c r="AK42" s="77"/>
      <c r="AL42" s="77"/>
      <c r="AM42" s="77"/>
      <c r="AN42" s="77"/>
      <c r="AO42" s="77"/>
      <c r="AP42" s="77"/>
      <c r="AQ42" s="77"/>
      <c r="AR42" s="77"/>
      <c r="AS42" s="77"/>
      <c r="AT42" s="77"/>
      <c r="AU42" s="77"/>
      <c r="AV42" s="83" t="str">
        <f>HYPERLINK("https://pbs.twimg.com/profile_images/1177212695776518144/61vDUE-Q_normal.jpg")</f>
        <v>https://pbs.twimg.com/profile_images/1177212695776518144/61vDUE-Q_normal.jpg</v>
      </c>
      <c r="AW42" s="80" t="s">
        <v>16043</v>
      </c>
      <c r="AX42" s="80" t="s">
        <v>16043</v>
      </c>
      <c r="AY42" s="77"/>
      <c r="AZ42" s="80" t="s">
        <v>20380</v>
      </c>
      <c r="BA42" s="80" t="s">
        <v>20380</v>
      </c>
      <c r="BB42" s="80" t="s">
        <v>20380</v>
      </c>
      <c r="BC42" s="80" t="s">
        <v>16043</v>
      </c>
      <c r="BD42" s="77">
        <v>70411503</v>
      </c>
      <c r="BE42" s="77"/>
      <c r="BF42" s="77"/>
      <c r="BG42" s="77"/>
      <c r="BH42" s="77"/>
      <c r="BI42" s="77"/>
    </row>
    <row r="43" spans="1:61" x14ac:dyDescent="0.25">
      <c r="A43" s="62" t="s">
        <v>240</v>
      </c>
      <c r="B43" s="62" t="s">
        <v>240</v>
      </c>
      <c r="C43" s="63"/>
      <c r="D43" s="64"/>
      <c r="E43" s="65"/>
      <c r="F43" s="66"/>
      <c r="G43" s="63"/>
      <c r="H43" s="67"/>
      <c r="I43" s="68"/>
      <c r="J43" s="68"/>
      <c r="K43" s="32"/>
      <c r="L43" s="75">
        <v>43</v>
      </c>
      <c r="M43" s="75"/>
      <c r="N43" s="70"/>
      <c r="O43" s="77" t="s">
        <v>179</v>
      </c>
      <c r="P43" s="79">
        <v>45163.615949074076</v>
      </c>
      <c r="Q43" s="77" t="s">
        <v>2119</v>
      </c>
      <c r="R43" s="77">
        <v>0</v>
      </c>
      <c r="S43" s="77">
        <v>0</v>
      </c>
      <c r="T43" s="77">
        <v>0</v>
      </c>
      <c r="U43" s="77">
        <v>1</v>
      </c>
      <c r="V43" s="77">
        <v>69</v>
      </c>
      <c r="W43" s="80" t="s">
        <v>5916</v>
      </c>
      <c r="X43" s="77"/>
      <c r="Y43" s="77"/>
      <c r="Z43" s="77"/>
      <c r="AA43" s="77"/>
      <c r="AB43" s="77"/>
      <c r="AC43" s="80" t="s">
        <v>10542</v>
      </c>
      <c r="AD43" s="77" t="s">
        <v>10617</v>
      </c>
      <c r="AE43" s="83" t="str">
        <f>HYPERLINK("https://twitter.com/bahkantikas/status/1695085364942147637")</f>
        <v>https://twitter.com/bahkantikas/status/1695085364942147637</v>
      </c>
      <c r="AF43" s="79">
        <v>45163.615949074076</v>
      </c>
      <c r="AG43" s="85">
        <v>45163</v>
      </c>
      <c r="AH43" s="80" t="s">
        <v>10662</v>
      </c>
      <c r="AI43" s="77"/>
      <c r="AJ43" s="77"/>
      <c r="AK43" s="77"/>
      <c r="AL43" s="77"/>
      <c r="AM43" s="77"/>
      <c r="AN43" s="77"/>
      <c r="AO43" s="77"/>
      <c r="AP43" s="77"/>
      <c r="AQ43" s="77"/>
      <c r="AR43" s="77"/>
      <c r="AS43" s="77"/>
      <c r="AT43" s="77"/>
      <c r="AU43" s="77"/>
      <c r="AV43" s="83" t="str">
        <f>HYPERLINK("https://pbs.twimg.com/profile_images/1000574940784062464/mDAMNz7x_normal.jpg")</f>
        <v>https://pbs.twimg.com/profile_images/1000574940784062464/mDAMNz7x_normal.jpg</v>
      </c>
      <c r="AW43" s="80" t="s">
        <v>16044</v>
      </c>
      <c r="AX43" s="80" t="s">
        <v>16044</v>
      </c>
      <c r="AY43" s="77"/>
      <c r="AZ43" s="80" t="s">
        <v>20380</v>
      </c>
      <c r="BA43" s="80" t="s">
        <v>20380</v>
      </c>
      <c r="BB43" s="80" t="s">
        <v>20380</v>
      </c>
      <c r="BC43" s="80" t="s">
        <v>16044</v>
      </c>
      <c r="BD43" s="77">
        <v>123697477</v>
      </c>
      <c r="BE43" s="77"/>
      <c r="BF43" s="77"/>
      <c r="BG43" s="77"/>
      <c r="BH43" s="77"/>
      <c r="BI43" s="77"/>
    </row>
    <row r="44" spans="1:61" x14ac:dyDescent="0.25">
      <c r="A44" s="62" t="s">
        <v>241</v>
      </c>
      <c r="B44" s="62" t="s">
        <v>1655</v>
      </c>
      <c r="C44" s="63"/>
      <c r="D44" s="64"/>
      <c r="E44" s="65"/>
      <c r="F44" s="66"/>
      <c r="G44" s="63"/>
      <c r="H44" s="67"/>
      <c r="I44" s="68"/>
      <c r="J44" s="68"/>
      <c r="K44" s="32"/>
      <c r="L44" s="75">
        <v>44</v>
      </c>
      <c r="M44" s="75"/>
      <c r="N44" s="70"/>
      <c r="O44" s="77" t="s">
        <v>2083</v>
      </c>
      <c r="P44" s="79">
        <v>45191.844537037039</v>
      </c>
      <c r="Q44" s="77" t="s">
        <v>2120</v>
      </c>
      <c r="R44" s="77">
        <v>25</v>
      </c>
      <c r="S44" s="77">
        <v>0</v>
      </c>
      <c r="T44" s="77">
        <v>0</v>
      </c>
      <c r="U44" s="77">
        <v>0</v>
      </c>
      <c r="V44" s="77"/>
      <c r="W44" s="80" t="s">
        <v>5917</v>
      </c>
      <c r="X44" s="77"/>
      <c r="Y44" s="77"/>
      <c r="Z44" s="77" t="s">
        <v>1655</v>
      </c>
      <c r="AA44" s="77"/>
      <c r="AB44" s="77"/>
      <c r="AC44" s="80" t="s">
        <v>10540</v>
      </c>
      <c r="AD44" s="77" t="s">
        <v>10617</v>
      </c>
      <c r="AE44" s="83" t="str">
        <f>HYPERLINK("https://twitter.com/beatrizcleuza1/status/1705315062313877850")</f>
        <v>https://twitter.com/beatrizcleuza1/status/1705315062313877850</v>
      </c>
      <c r="AF44" s="79">
        <v>45191.844537037039</v>
      </c>
      <c r="AG44" s="85">
        <v>45191</v>
      </c>
      <c r="AH44" s="80" t="s">
        <v>10663</v>
      </c>
      <c r="AI44" s="77"/>
      <c r="AJ44" s="77"/>
      <c r="AK44" s="77"/>
      <c r="AL44" s="77"/>
      <c r="AM44" s="77"/>
      <c r="AN44" s="77"/>
      <c r="AO44" s="77"/>
      <c r="AP44" s="77"/>
      <c r="AQ44" s="77"/>
      <c r="AR44" s="77"/>
      <c r="AS44" s="77"/>
      <c r="AT44" s="77"/>
      <c r="AU44" s="77"/>
      <c r="AV44" s="83" t="str">
        <f>HYPERLINK("https://pbs.twimg.com/profile_images/1468168082975772676/UY1qVofx_normal.jpg")</f>
        <v>https://pbs.twimg.com/profile_images/1468168082975772676/UY1qVofx_normal.jpg</v>
      </c>
      <c r="AW44" s="80" t="s">
        <v>16045</v>
      </c>
      <c r="AX44" s="80" t="s">
        <v>16045</v>
      </c>
      <c r="AY44" s="77"/>
      <c r="AZ44" s="80" t="s">
        <v>20380</v>
      </c>
      <c r="BA44" s="80" t="s">
        <v>20380</v>
      </c>
      <c r="BB44" s="80" t="s">
        <v>19844</v>
      </c>
      <c r="BC44" s="80" t="s">
        <v>19844</v>
      </c>
      <c r="BD44" s="80" t="s">
        <v>20500</v>
      </c>
      <c r="BE44" s="77"/>
      <c r="BF44" s="77"/>
      <c r="BG44" s="77"/>
      <c r="BH44" s="77"/>
      <c r="BI44" s="77"/>
    </row>
    <row r="45" spans="1:61" x14ac:dyDescent="0.25">
      <c r="A45" s="62" t="s">
        <v>242</v>
      </c>
      <c r="B45" s="62" t="s">
        <v>1655</v>
      </c>
      <c r="C45" s="63"/>
      <c r="D45" s="64"/>
      <c r="E45" s="65"/>
      <c r="F45" s="66"/>
      <c r="G45" s="63"/>
      <c r="H45" s="67"/>
      <c r="I45" s="68"/>
      <c r="J45" s="68"/>
      <c r="K45" s="32"/>
      <c r="L45" s="75">
        <v>45</v>
      </c>
      <c r="M45" s="75"/>
      <c r="N45" s="70"/>
      <c r="O45" s="77" t="s">
        <v>2083</v>
      </c>
      <c r="P45" s="79">
        <v>45191.493750000001</v>
      </c>
      <c r="Q45" s="77" t="s">
        <v>2120</v>
      </c>
      <c r="R45" s="77">
        <v>57</v>
      </c>
      <c r="S45" s="77">
        <v>0</v>
      </c>
      <c r="T45" s="77">
        <v>0</v>
      </c>
      <c r="U45" s="77">
        <v>0</v>
      </c>
      <c r="V45" s="77"/>
      <c r="W45" s="80" t="s">
        <v>5917</v>
      </c>
      <c r="X45" s="77"/>
      <c r="Y45" s="77"/>
      <c r="Z45" s="77" t="s">
        <v>1655</v>
      </c>
      <c r="AA45" s="77"/>
      <c r="AB45" s="77"/>
      <c r="AC45" s="80" t="s">
        <v>10541</v>
      </c>
      <c r="AD45" s="77" t="s">
        <v>10617</v>
      </c>
      <c r="AE45" s="83" t="str">
        <f>HYPERLINK("https://twitter.com/sandro852096/status/1705187941696295400")</f>
        <v>https://twitter.com/sandro852096/status/1705187941696295400</v>
      </c>
      <c r="AF45" s="79">
        <v>45191.493750000001</v>
      </c>
      <c r="AG45" s="85">
        <v>45191</v>
      </c>
      <c r="AH45" s="80" t="s">
        <v>10664</v>
      </c>
      <c r="AI45" s="77"/>
      <c r="AJ45" s="77"/>
      <c r="AK45" s="77"/>
      <c r="AL45" s="77"/>
      <c r="AM45" s="77"/>
      <c r="AN45" s="77"/>
      <c r="AO45" s="77"/>
      <c r="AP45" s="77"/>
      <c r="AQ45" s="77"/>
      <c r="AR45" s="77"/>
      <c r="AS45" s="77"/>
      <c r="AT45" s="77"/>
      <c r="AU45" s="77"/>
      <c r="AV45" s="83" t="str">
        <f>HYPERLINK("https://pbs.twimg.com/profile_images/1587225052474490880/_H9PZ3qU_normal.jpg")</f>
        <v>https://pbs.twimg.com/profile_images/1587225052474490880/_H9PZ3qU_normal.jpg</v>
      </c>
      <c r="AW45" s="80" t="s">
        <v>16046</v>
      </c>
      <c r="AX45" s="80" t="s">
        <v>16046</v>
      </c>
      <c r="AY45" s="77"/>
      <c r="AZ45" s="80" t="s">
        <v>20380</v>
      </c>
      <c r="BA45" s="80" t="s">
        <v>20380</v>
      </c>
      <c r="BB45" s="80" t="s">
        <v>19843</v>
      </c>
      <c r="BC45" s="80" t="s">
        <v>19843</v>
      </c>
      <c r="BD45" s="80" t="s">
        <v>20501</v>
      </c>
      <c r="BE45" s="77"/>
      <c r="BF45" s="77"/>
      <c r="BG45" s="77"/>
      <c r="BH45" s="77"/>
      <c r="BI45" s="77"/>
    </row>
    <row r="46" spans="1:61" x14ac:dyDescent="0.25">
      <c r="A46" s="62" t="s">
        <v>243</v>
      </c>
      <c r="B46" s="62" t="s">
        <v>243</v>
      </c>
      <c r="C46" s="63"/>
      <c r="D46" s="64"/>
      <c r="E46" s="65"/>
      <c r="F46" s="66"/>
      <c r="G46" s="63"/>
      <c r="H46" s="67"/>
      <c r="I46" s="68"/>
      <c r="J46" s="68"/>
      <c r="K46" s="32"/>
      <c r="L46" s="75">
        <v>46</v>
      </c>
      <c r="M46" s="75"/>
      <c r="N46" s="70"/>
      <c r="O46" s="77" t="s">
        <v>179</v>
      </c>
      <c r="P46" s="79">
        <v>45049.935162037036</v>
      </c>
      <c r="Q46" s="77" t="s">
        <v>2121</v>
      </c>
      <c r="R46" s="77">
        <v>0</v>
      </c>
      <c r="S46" s="77">
        <v>0</v>
      </c>
      <c r="T46" s="77">
        <v>0</v>
      </c>
      <c r="U46" s="77">
        <v>0</v>
      </c>
      <c r="V46" s="77">
        <v>6</v>
      </c>
      <c r="W46" s="80" t="s">
        <v>5918</v>
      </c>
      <c r="X46" s="83" t="str">
        <f>HYPERLINK("https://lnkd.in/dpPpxDMP")</f>
        <v>https://lnkd.in/dpPpxDMP</v>
      </c>
      <c r="Y46" s="77" t="s">
        <v>8619</v>
      </c>
      <c r="Z46" s="77"/>
      <c r="AA46" s="77"/>
      <c r="AB46" s="77"/>
      <c r="AC46" s="80" t="s">
        <v>10549</v>
      </c>
      <c r="AD46" s="77" t="s">
        <v>10617</v>
      </c>
      <c r="AE46" s="83" t="str">
        <f>HYPERLINK("https://twitter.com/brubinst/status/1653888827226828800")</f>
        <v>https://twitter.com/brubinst/status/1653888827226828800</v>
      </c>
      <c r="AF46" s="79">
        <v>45049.935162037036</v>
      </c>
      <c r="AG46" s="85">
        <v>45049</v>
      </c>
      <c r="AH46" s="80" t="s">
        <v>10665</v>
      </c>
      <c r="AI46" s="77" t="b">
        <v>0</v>
      </c>
      <c r="AJ46" s="77"/>
      <c r="AK46" s="77"/>
      <c r="AL46" s="77"/>
      <c r="AM46" s="77"/>
      <c r="AN46" s="77"/>
      <c r="AO46" s="77"/>
      <c r="AP46" s="77"/>
      <c r="AQ46" s="77"/>
      <c r="AR46" s="77"/>
      <c r="AS46" s="77"/>
      <c r="AT46" s="77"/>
      <c r="AU46" s="77"/>
      <c r="AV46" s="83" t="str">
        <f>HYPERLINK("https://pbs.twimg.com/profile_images/916005015449247744/9rGI24Fv_normal.jpg")</f>
        <v>https://pbs.twimg.com/profile_images/916005015449247744/9rGI24Fv_normal.jpg</v>
      </c>
      <c r="AW46" s="80" t="s">
        <v>16047</v>
      </c>
      <c r="AX46" s="80" t="s">
        <v>16047</v>
      </c>
      <c r="AY46" s="77"/>
      <c r="AZ46" s="80" t="s">
        <v>20380</v>
      </c>
      <c r="BA46" s="80" t="s">
        <v>20380</v>
      </c>
      <c r="BB46" s="80" t="s">
        <v>20380</v>
      </c>
      <c r="BC46" s="80" t="s">
        <v>16047</v>
      </c>
      <c r="BD46" s="77">
        <v>1888042063</v>
      </c>
      <c r="BE46" s="77"/>
      <c r="BF46" s="77"/>
      <c r="BG46" s="77"/>
      <c r="BH46" s="77"/>
      <c r="BI46" s="77"/>
    </row>
    <row r="47" spans="1:61" x14ac:dyDescent="0.25">
      <c r="A47" s="62" t="s">
        <v>244</v>
      </c>
      <c r="B47" s="62" t="s">
        <v>244</v>
      </c>
      <c r="C47" s="63"/>
      <c r="D47" s="64"/>
      <c r="E47" s="65"/>
      <c r="F47" s="66"/>
      <c r="G47" s="63"/>
      <c r="H47" s="67"/>
      <c r="I47" s="68"/>
      <c r="J47" s="68"/>
      <c r="K47" s="32"/>
      <c r="L47" s="75">
        <v>47</v>
      </c>
      <c r="M47" s="75"/>
      <c r="N47" s="70"/>
      <c r="O47" s="77" t="s">
        <v>179</v>
      </c>
      <c r="P47" s="79">
        <v>45097.321076388886</v>
      </c>
      <c r="Q47" s="77" t="s">
        <v>2122</v>
      </c>
      <c r="R47" s="77">
        <v>2</v>
      </c>
      <c r="S47" s="77">
        <v>11</v>
      </c>
      <c r="T47" s="77">
        <v>0</v>
      </c>
      <c r="U47" s="77">
        <v>0</v>
      </c>
      <c r="V47" s="77">
        <v>141</v>
      </c>
      <c r="W47" s="80" t="s">
        <v>5919</v>
      </c>
      <c r="X47" s="77"/>
      <c r="Y47" s="77"/>
      <c r="Z47" s="77"/>
      <c r="AA47" s="77" t="s">
        <v>9055</v>
      </c>
      <c r="AB47" s="77" t="s">
        <v>10534</v>
      </c>
      <c r="AC47" s="80" t="s">
        <v>10540</v>
      </c>
      <c r="AD47" s="77" t="s">
        <v>10617</v>
      </c>
      <c r="AE47" s="83" t="str">
        <f>HYPERLINK("https://twitter.com/fsmigueltorres/status/1671060905226805250")</f>
        <v>https://twitter.com/fsmigueltorres/status/1671060905226805250</v>
      </c>
      <c r="AF47" s="79">
        <v>45097.321076388886</v>
      </c>
      <c r="AG47" s="85">
        <v>45097</v>
      </c>
      <c r="AH47" s="80" t="s">
        <v>10666</v>
      </c>
      <c r="AI47" s="77" t="b">
        <v>0</v>
      </c>
      <c r="AJ47" s="77"/>
      <c r="AK47" s="77"/>
      <c r="AL47" s="77"/>
      <c r="AM47" s="77"/>
      <c r="AN47" s="77"/>
      <c r="AO47" s="77"/>
      <c r="AP47" s="77"/>
      <c r="AQ47" s="77" t="s">
        <v>14537</v>
      </c>
      <c r="AR47" s="77">
        <v>108000</v>
      </c>
      <c r="AS47" s="77"/>
      <c r="AT47" s="77"/>
      <c r="AU47" s="77"/>
      <c r="AV47" s="83" t="str">
        <f>HYPERLINK("https://pbs.twimg.com/ext_tw_video_thumb/1671060279478611969/pu/img/T-oRO3BUT6cCc2BS.jpg")</f>
        <v>https://pbs.twimg.com/ext_tw_video_thumb/1671060279478611969/pu/img/T-oRO3BUT6cCc2BS.jpg</v>
      </c>
      <c r="AW47" s="80" t="s">
        <v>16048</v>
      </c>
      <c r="AX47" s="80" t="s">
        <v>16048</v>
      </c>
      <c r="AY47" s="77"/>
      <c r="AZ47" s="80" t="s">
        <v>20380</v>
      </c>
      <c r="BA47" s="80" t="s">
        <v>20380</v>
      </c>
      <c r="BB47" s="80" t="s">
        <v>20380</v>
      </c>
      <c r="BC47" s="80" t="s">
        <v>16048</v>
      </c>
      <c r="BD47" s="80" t="s">
        <v>20502</v>
      </c>
      <c r="BE47" s="77"/>
      <c r="BF47" s="77"/>
      <c r="BG47" s="77"/>
      <c r="BH47" s="77"/>
      <c r="BI47" s="77"/>
    </row>
    <row r="48" spans="1:61" x14ac:dyDescent="0.25">
      <c r="A48" s="62" t="s">
        <v>245</v>
      </c>
      <c r="B48" s="62" t="s">
        <v>245</v>
      </c>
      <c r="C48" s="63"/>
      <c r="D48" s="64"/>
      <c r="E48" s="65"/>
      <c r="F48" s="66"/>
      <c r="G48" s="63"/>
      <c r="H48" s="67"/>
      <c r="I48" s="68"/>
      <c r="J48" s="68"/>
      <c r="K48" s="32"/>
      <c r="L48" s="75">
        <v>48</v>
      </c>
      <c r="M48" s="75"/>
      <c r="N48" s="70"/>
      <c r="O48" s="77" t="s">
        <v>179</v>
      </c>
      <c r="P48" s="79">
        <v>45098.612708333334</v>
      </c>
      <c r="Q48" s="77" t="s">
        <v>2123</v>
      </c>
      <c r="R48" s="77">
        <v>0</v>
      </c>
      <c r="S48" s="77">
        <v>0</v>
      </c>
      <c r="T48" s="77">
        <v>0</v>
      </c>
      <c r="U48" s="77">
        <v>0</v>
      </c>
      <c r="V48" s="77">
        <v>15</v>
      </c>
      <c r="W48" s="80" t="s">
        <v>5884</v>
      </c>
      <c r="X48" s="83" t="str">
        <f>HYPERLINK("https://radardopoder.com/?p=9514")</f>
        <v>https://radardopoder.com/?p=9514</v>
      </c>
      <c r="Y48" s="77" t="s">
        <v>8620</v>
      </c>
      <c r="Z48" s="77"/>
      <c r="AA48" s="77"/>
      <c r="AB48" s="77"/>
      <c r="AC48" s="80" t="s">
        <v>10546</v>
      </c>
      <c r="AD48" s="77" t="s">
        <v>10617</v>
      </c>
      <c r="AE48" s="83" t="str">
        <f>HYPERLINK("https://twitter.com/oradardopoder/status/1671528976857088003")</f>
        <v>https://twitter.com/oradardopoder/status/1671528976857088003</v>
      </c>
      <c r="AF48" s="79">
        <v>45098.612708333334</v>
      </c>
      <c r="AG48" s="85">
        <v>45098</v>
      </c>
      <c r="AH48" s="80" t="s">
        <v>10667</v>
      </c>
      <c r="AI48" s="77" t="b">
        <v>0</v>
      </c>
      <c r="AJ48" s="77"/>
      <c r="AK48" s="77"/>
      <c r="AL48" s="77"/>
      <c r="AM48" s="77"/>
      <c r="AN48" s="77"/>
      <c r="AO48" s="77"/>
      <c r="AP48" s="77"/>
      <c r="AQ48" s="77"/>
      <c r="AR48" s="77"/>
      <c r="AS48" s="77"/>
      <c r="AT48" s="77"/>
      <c r="AU48" s="77"/>
      <c r="AV48" s="83" t="str">
        <f>HYPERLINK("https://pbs.twimg.com/profile_images/1631112672342163462/Mky1wY-7_normal.jpg")</f>
        <v>https://pbs.twimg.com/profile_images/1631112672342163462/Mky1wY-7_normal.jpg</v>
      </c>
      <c r="AW48" s="80" t="s">
        <v>16049</v>
      </c>
      <c r="AX48" s="80" t="s">
        <v>16049</v>
      </c>
      <c r="AY48" s="77"/>
      <c r="AZ48" s="80" t="s">
        <v>20380</v>
      </c>
      <c r="BA48" s="80" t="s">
        <v>20380</v>
      </c>
      <c r="BB48" s="80" t="s">
        <v>20380</v>
      </c>
      <c r="BC48" s="80" t="s">
        <v>16049</v>
      </c>
      <c r="BD48" s="80" t="s">
        <v>20503</v>
      </c>
      <c r="BE48" s="77"/>
      <c r="BF48" s="77"/>
      <c r="BG48" s="77"/>
      <c r="BH48" s="77"/>
      <c r="BI48" s="77"/>
    </row>
    <row r="49" spans="1:61" x14ac:dyDescent="0.25">
      <c r="A49" s="62" t="s">
        <v>246</v>
      </c>
      <c r="B49" s="62" t="s">
        <v>246</v>
      </c>
      <c r="C49" s="63"/>
      <c r="D49" s="64"/>
      <c r="E49" s="65"/>
      <c r="F49" s="66"/>
      <c r="G49" s="63"/>
      <c r="H49" s="67"/>
      <c r="I49" s="68"/>
      <c r="J49" s="68"/>
      <c r="K49" s="32"/>
      <c r="L49" s="75">
        <v>49</v>
      </c>
      <c r="M49" s="75"/>
      <c r="N49" s="70"/>
      <c r="O49" s="77" t="s">
        <v>179</v>
      </c>
      <c r="P49" s="79">
        <v>45140.922858796293</v>
      </c>
      <c r="Q49" s="77" t="s">
        <v>2124</v>
      </c>
      <c r="R49" s="77">
        <v>1</v>
      </c>
      <c r="S49" s="77">
        <v>4</v>
      </c>
      <c r="T49" s="77">
        <v>0</v>
      </c>
      <c r="U49" s="77">
        <v>0</v>
      </c>
      <c r="V49" s="77">
        <v>907</v>
      </c>
      <c r="W49" s="80" t="s">
        <v>5920</v>
      </c>
      <c r="X49" s="77"/>
      <c r="Y49" s="77"/>
      <c r="Z49" s="77"/>
      <c r="AA49" s="77"/>
      <c r="AB49" s="77"/>
      <c r="AC49" s="80" t="s">
        <v>10541</v>
      </c>
      <c r="AD49" s="77" t="s">
        <v>10617</v>
      </c>
      <c r="AE49" s="83" t="str">
        <f>HYPERLINK("https://twitter.com/rafamoraesmoura/status/1686861662790340608")</f>
        <v>https://twitter.com/rafamoraesmoura/status/1686861662790340608</v>
      </c>
      <c r="AF49" s="79">
        <v>45140.922858796293</v>
      </c>
      <c r="AG49" s="85">
        <v>45140</v>
      </c>
      <c r="AH49" s="80" t="s">
        <v>10668</v>
      </c>
      <c r="AI49" s="77"/>
      <c r="AJ49" s="77"/>
      <c r="AK49" s="77"/>
      <c r="AL49" s="77"/>
      <c r="AM49" s="77"/>
      <c r="AN49" s="77"/>
      <c r="AO49" s="77"/>
      <c r="AP49" s="77"/>
      <c r="AQ49" s="77"/>
      <c r="AR49" s="77"/>
      <c r="AS49" s="77"/>
      <c r="AT49" s="77"/>
      <c r="AU49" s="77"/>
      <c r="AV49" s="83" t="str">
        <f>HYPERLINK("https://pbs.twimg.com/profile_images/1669941431706820609/P45hiLtk_normal.jpg")</f>
        <v>https://pbs.twimg.com/profile_images/1669941431706820609/P45hiLtk_normal.jpg</v>
      </c>
      <c r="AW49" s="80" t="s">
        <v>16050</v>
      </c>
      <c r="AX49" s="80" t="s">
        <v>16050</v>
      </c>
      <c r="AY49" s="77"/>
      <c r="AZ49" s="80" t="s">
        <v>20380</v>
      </c>
      <c r="BA49" s="80" t="s">
        <v>20380</v>
      </c>
      <c r="BB49" s="80" t="s">
        <v>20380</v>
      </c>
      <c r="BC49" s="80" t="s">
        <v>16050</v>
      </c>
      <c r="BD49" s="80" t="s">
        <v>20504</v>
      </c>
      <c r="BE49" s="77"/>
      <c r="BF49" s="77"/>
      <c r="BG49" s="77"/>
      <c r="BH49" s="77"/>
      <c r="BI49" s="77"/>
    </row>
    <row r="50" spans="1:61" x14ac:dyDescent="0.25">
      <c r="A50" s="62" t="s">
        <v>247</v>
      </c>
      <c r="B50" s="62" t="s">
        <v>247</v>
      </c>
      <c r="C50" s="63"/>
      <c r="D50" s="64"/>
      <c r="E50" s="65"/>
      <c r="F50" s="66"/>
      <c r="G50" s="63"/>
      <c r="H50" s="67"/>
      <c r="I50" s="68"/>
      <c r="J50" s="68"/>
      <c r="K50" s="32"/>
      <c r="L50" s="75">
        <v>50</v>
      </c>
      <c r="M50" s="75"/>
      <c r="N50" s="70"/>
      <c r="O50" s="77" t="s">
        <v>2078</v>
      </c>
      <c r="P50" s="79">
        <v>45131.661134259259</v>
      </c>
      <c r="Q50" s="77" t="s">
        <v>2125</v>
      </c>
      <c r="R50" s="77">
        <v>0</v>
      </c>
      <c r="S50" s="77">
        <v>0</v>
      </c>
      <c r="T50" s="77">
        <v>0</v>
      </c>
      <c r="U50" s="77">
        <v>0</v>
      </c>
      <c r="V50" s="77">
        <v>66</v>
      </c>
      <c r="W50" s="80" t="s">
        <v>5921</v>
      </c>
      <c r="X50" s="77"/>
      <c r="Y50" s="77"/>
      <c r="Z50" s="77"/>
      <c r="AA50" s="77" t="s">
        <v>9056</v>
      </c>
      <c r="AB50" s="77" t="s">
        <v>10538</v>
      </c>
      <c r="AC50" s="80" t="s">
        <v>10542</v>
      </c>
      <c r="AD50" s="77" t="s">
        <v>10617</v>
      </c>
      <c r="AE50" s="83" t="str">
        <f>HYPERLINK("https://twitter.com/rogeralexbr/status/1683505325884801025")</f>
        <v>https://twitter.com/rogeralexbr/status/1683505325884801025</v>
      </c>
      <c r="AF50" s="79">
        <v>45131.661134259259</v>
      </c>
      <c r="AG50" s="85">
        <v>45131</v>
      </c>
      <c r="AH50" s="80" t="s">
        <v>10669</v>
      </c>
      <c r="AI50" s="77" t="b">
        <v>0</v>
      </c>
      <c r="AJ50" s="77"/>
      <c r="AK50" s="77"/>
      <c r="AL50" s="77"/>
      <c r="AM50" s="77"/>
      <c r="AN50" s="77"/>
      <c r="AO50" s="77"/>
      <c r="AP50" s="77"/>
      <c r="AQ50" s="77" t="s">
        <v>14538</v>
      </c>
      <c r="AR50" s="77"/>
      <c r="AS50" s="77"/>
      <c r="AT50" s="77"/>
      <c r="AU50" s="77"/>
      <c r="AV50" s="83" t="str">
        <f>HYPERLINK("https://pbs.twimg.com/media/F10DKUeXsAMd29S.jpg")</f>
        <v>https://pbs.twimg.com/media/F10DKUeXsAMd29S.jpg</v>
      </c>
      <c r="AW50" s="80" t="s">
        <v>16051</v>
      </c>
      <c r="AX50" s="80" t="s">
        <v>19963</v>
      </c>
      <c r="AY50" s="80" t="s">
        <v>20218</v>
      </c>
      <c r="AZ50" s="80" t="s">
        <v>19963</v>
      </c>
      <c r="BA50" s="80" t="s">
        <v>20380</v>
      </c>
      <c r="BB50" s="80" t="s">
        <v>20380</v>
      </c>
      <c r="BC50" s="80" t="s">
        <v>19963</v>
      </c>
      <c r="BD50" s="80" t="s">
        <v>20218</v>
      </c>
      <c r="BE50" s="77"/>
      <c r="BF50" s="77"/>
      <c r="BG50" s="77"/>
      <c r="BH50" s="77"/>
      <c r="BI50" s="77"/>
    </row>
    <row r="51" spans="1:61" x14ac:dyDescent="0.25">
      <c r="A51" s="62" t="s">
        <v>248</v>
      </c>
      <c r="B51" s="62" t="s">
        <v>248</v>
      </c>
      <c r="C51" s="63"/>
      <c r="D51" s="64"/>
      <c r="E51" s="65"/>
      <c r="F51" s="66"/>
      <c r="G51" s="63"/>
      <c r="H51" s="67"/>
      <c r="I51" s="68"/>
      <c r="J51" s="68"/>
      <c r="K51" s="32"/>
      <c r="L51" s="75">
        <v>51</v>
      </c>
      <c r="M51" s="75"/>
      <c r="N51" s="70"/>
      <c r="O51" s="77" t="s">
        <v>179</v>
      </c>
      <c r="P51" s="79">
        <v>45099.809398148151</v>
      </c>
      <c r="Q51" s="77" t="s">
        <v>2126</v>
      </c>
      <c r="R51" s="77">
        <v>0</v>
      </c>
      <c r="S51" s="77">
        <v>0</v>
      </c>
      <c r="T51" s="77">
        <v>0</v>
      </c>
      <c r="U51" s="77">
        <v>0</v>
      </c>
      <c r="V51" s="77">
        <v>24</v>
      </c>
      <c r="W51" s="80" t="s">
        <v>5922</v>
      </c>
      <c r="X51" s="83" t="str">
        <f>HYPERLINK("http://bitly.ws/Jjec")</f>
        <v>http://bitly.ws/Jjec</v>
      </c>
      <c r="Y51" s="77" t="s">
        <v>8621</v>
      </c>
      <c r="Z51" s="77"/>
      <c r="AA51" s="77" t="s">
        <v>9057</v>
      </c>
      <c r="AB51" s="77" t="s">
        <v>10535</v>
      </c>
      <c r="AC51" s="80" t="s">
        <v>10541</v>
      </c>
      <c r="AD51" s="77" t="s">
        <v>10620</v>
      </c>
      <c r="AE51" s="83" t="str">
        <f>HYPERLINK("https://twitter.com/fortunaypoder/status/1671962641848233984")</f>
        <v>https://twitter.com/fortunaypoder/status/1671962641848233984</v>
      </c>
      <c r="AF51" s="79">
        <v>45099.809398148151</v>
      </c>
      <c r="AG51" s="85">
        <v>45099</v>
      </c>
      <c r="AH51" s="80" t="s">
        <v>10670</v>
      </c>
      <c r="AI51" s="77" t="b">
        <v>0</v>
      </c>
      <c r="AJ51" s="77"/>
      <c r="AK51" s="77"/>
      <c r="AL51" s="77"/>
      <c r="AM51" s="77"/>
      <c r="AN51" s="77"/>
      <c r="AO51" s="77"/>
      <c r="AP51" s="77"/>
      <c r="AQ51" s="77" t="s">
        <v>14539</v>
      </c>
      <c r="AR51" s="77"/>
      <c r="AS51" s="77"/>
      <c r="AT51" s="77"/>
      <c r="AU51" s="77"/>
      <c r="AV51" s="83" t="str">
        <f>HYPERLINK("https://pbs.twimg.com/media/FzQBC0TWIBI6W9B.jpg")</f>
        <v>https://pbs.twimg.com/media/FzQBC0TWIBI6W9B.jpg</v>
      </c>
      <c r="AW51" s="80" t="s">
        <v>16052</v>
      </c>
      <c r="AX51" s="80" t="s">
        <v>16052</v>
      </c>
      <c r="AY51" s="77"/>
      <c r="AZ51" s="80" t="s">
        <v>20380</v>
      </c>
      <c r="BA51" s="80" t="s">
        <v>20380</v>
      </c>
      <c r="BB51" s="80" t="s">
        <v>20380</v>
      </c>
      <c r="BC51" s="80" t="s">
        <v>16052</v>
      </c>
      <c r="BD51" s="77">
        <v>2451825048</v>
      </c>
      <c r="BE51" s="77"/>
      <c r="BF51" s="77"/>
      <c r="BG51" s="77"/>
      <c r="BH51" s="77"/>
      <c r="BI51" s="77"/>
    </row>
    <row r="52" spans="1:61" x14ac:dyDescent="0.25">
      <c r="A52" s="62" t="s">
        <v>249</v>
      </c>
      <c r="B52" s="62" t="s">
        <v>249</v>
      </c>
      <c r="C52" s="63"/>
      <c r="D52" s="64"/>
      <c r="E52" s="65"/>
      <c r="F52" s="66"/>
      <c r="G52" s="63"/>
      <c r="H52" s="67"/>
      <c r="I52" s="68"/>
      <c r="J52" s="68"/>
      <c r="K52" s="32"/>
      <c r="L52" s="75">
        <v>52</v>
      </c>
      <c r="M52" s="75"/>
      <c r="N52" s="70"/>
      <c r="O52" s="77" t="s">
        <v>179</v>
      </c>
      <c r="P52" s="79">
        <v>45064.765972222223</v>
      </c>
      <c r="Q52" s="77" t="s">
        <v>2127</v>
      </c>
      <c r="R52" s="77">
        <v>0</v>
      </c>
      <c r="S52" s="77">
        <v>0</v>
      </c>
      <c r="T52" s="77">
        <v>0</v>
      </c>
      <c r="U52" s="77">
        <v>0</v>
      </c>
      <c r="V52" s="77">
        <v>41</v>
      </c>
      <c r="W52" s="80" t="s">
        <v>5923</v>
      </c>
      <c r="X52" s="77" t="s">
        <v>8574</v>
      </c>
      <c r="Y52" s="77" t="s">
        <v>8622</v>
      </c>
      <c r="Z52" s="77"/>
      <c r="AA52" s="77"/>
      <c r="AB52" s="77"/>
      <c r="AC52" s="80" t="s">
        <v>10549</v>
      </c>
      <c r="AD52" s="77" t="s">
        <v>10620</v>
      </c>
      <c r="AE52" s="83" t="str">
        <f>HYPERLINK("https://twitter.com/mcortess_2010/status/1659263330694103040")</f>
        <v>https://twitter.com/mcortess_2010/status/1659263330694103040</v>
      </c>
      <c r="AF52" s="79">
        <v>45064.765972222223</v>
      </c>
      <c r="AG52" s="85">
        <v>45064</v>
      </c>
      <c r="AH52" s="80" t="s">
        <v>10671</v>
      </c>
      <c r="AI52" s="77" t="b">
        <v>0</v>
      </c>
      <c r="AJ52" s="77"/>
      <c r="AK52" s="77"/>
      <c r="AL52" s="77"/>
      <c r="AM52" s="77"/>
      <c r="AN52" s="77"/>
      <c r="AO52" s="77"/>
      <c r="AP52" s="77"/>
      <c r="AQ52" s="77"/>
      <c r="AR52" s="77"/>
      <c r="AS52" s="77"/>
      <c r="AT52" s="77"/>
      <c r="AU52" s="77"/>
      <c r="AV52" s="83" t="str">
        <f>HYPERLINK("https://pbs.twimg.com/profile_images/1698811409436463104/8JVOV5QX_normal.jpg")</f>
        <v>https://pbs.twimg.com/profile_images/1698811409436463104/8JVOV5QX_normal.jpg</v>
      </c>
      <c r="AW52" s="80" t="s">
        <v>16053</v>
      </c>
      <c r="AX52" s="80" t="s">
        <v>16053</v>
      </c>
      <c r="AY52" s="77"/>
      <c r="AZ52" s="80" t="s">
        <v>20380</v>
      </c>
      <c r="BA52" s="80" t="s">
        <v>20380</v>
      </c>
      <c r="BB52" s="80" t="s">
        <v>20380</v>
      </c>
      <c r="BC52" s="80" t="s">
        <v>16053</v>
      </c>
      <c r="BD52" s="77">
        <v>89589379</v>
      </c>
      <c r="BE52" s="77"/>
      <c r="BF52" s="77"/>
      <c r="BG52" s="77"/>
      <c r="BH52" s="77"/>
      <c r="BI52" s="77"/>
    </row>
    <row r="53" spans="1:61" x14ac:dyDescent="0.25">
      <c r="A53" s="62" t="s">
        <v>249</v>
      </c>
      <c r="B53" s="62" t="s">
        <v>249</v>
      </c>
      <c r="C53" s="63"/>
      <c r="D53" s="64"/>
      <c r="E53" s="65"/>
      <c r="F53" s="66"/>
      <c r="G53" s="63"/>
      <c r="H53" s="67"/>
      <c r="I53" s="68"/>
      <c r="J53" s="68"/>
      <c r="K53" s="32"/>
      <c r="L53" s="75">
        <v>53</v>
      </c>
      <c r="M53" s="75"/>
      <c r="N53" s="70"/>
      <c r="O53" s="77" t="s">
        <v>179</v>
      </c>
      <c r="P53" s="79">
        <v>45064.762928240743</v>
      </c>
      <c r="Q53" s="77" t="s">
        <v>2128</v>
      </c>
      <c r="R53" s="77">
        <v>0</v>
      </c>
      <c r="S53" s="77">
        <v>0</v>
      </c>
      <c r="T53" s="77">
        <v>0</v>
      </c>
      <c r="U53" s="77">
        <v>0</v>
      </c>
      <c r="V53" s="77">
        <v>159</v>
      </c>
      <c r="W53" s="80" t="s">
        <v>5924</v>
      </c>
      <c r="X53" s="83" t="str">
        <f>HYPERLINK("https://lnkd.in/gf5nauZS")</f>
        <v>https://lnkd.in/gf5nauZS</v>
      </c>
      <c r="Y53" s="77" t="s">
        <v>8619</v>
      </c>
      <c r="Z53" s="77"/>
      <c r="AA53" s="77"/>
      <c r="AB53" s="77"/>
      <c r="AC53" s="80" t="s">
        <v>10549</v>
      </c>
      <c r="AD53" s="77" t="s">
        <v>10620</v>
      </c>
      <c r="AE53" s="83" t="str">
        <f>HYPERLINK("https://twitter.com/mcortess_2010/status/1659262227231412224")</f>
        <v>https://twitter.com/mcortess_2010/status/1659262227231412224</v>
      </c>
      <c r="AF53" s="79">
        <v>45064.762928240743</v>
      </c>
      <c r="AG53" s="85">
        <v>45064</v>
      </c>
      <c r="AH53" s="80" t="s">
        <v>10672</v>
      </c>
      <c r="AI53" s="77" t="b">
        <v>0</v>
      </c>
      <c r="AJ53" s="77"/>
      <c r="AK53" s="77"/>
      <c r="AL53" s="77"/>
      <c r="AM53" s="77"/>
      <c r="AN53" s="77"/>
      <c r="AO53" s="77"/>
      <c r="AP53" s="77"/>
      <c r="AQ53" s="77"/>
      <c r="AR53" s="77"/>
      <c r="AS53" s="77"/>
      <c r="AT53" s="77"/>
      <c r="AU53" s="77"/>
      <c r="AV53" s="83" t="str">
        <f>HYPERLINK("https://pbs.twimg.com/profile_images/1698811409436463104/8JVOV5QX_normal.jpg")</f>
        <v>https://pbs.twimg.com/profile_images/1698811409436463104/8JVOV5QX_normal.jpg</v>
      </c>
      <c r="AW53" s="80" t="s">
        <v>16054</v>
      </c>
      <c r="AX53" s="80" t="s">
        <v>16054</v>
      </c>
      <c r="AY53" s="77"/>
      <c r="AZ53" s="80" t="s">
        <v>20380</v>
      </c>
      <c r="BA53" s="80" t="s">
        <v>20380</v>
      </c>
      <c r="BB53" s="80" t="s">
        <v>20380</v>
      </c>
      <c r="BC53" s="80" t="s">
        <v>16054</v>
      </c>
      <c r="BD53" s="77">
        <v>89589379</v>
      </c>
      <c r="BE53" s="77"/>
      <c r="BF53" s="77"/>
      <c r="BG53" s="77"/>
      <c r="BH53" s="77"/>
      <c r="BI53" s="77"/>
    </row>
    <row r="54" spans="1:61" x14ac:dyDescent="0.25">
      <c r="A54" s="62" t="s">
        <v>249</v>
      </c>
      <c r="B54" s="62" t="s">
        <v>249</v>
      </c>
      <c r="C54" s="63"/>
      <c r="D54" s="64"/>
      <c r="E54" s="65"/>
      <c r="F54" s="66"/>
      <c r="G54" s="63"/>
      <c r="H54" s="67"/>
      <c r="I54" s="68"/>
      <c r="J54" s="68"/>
      <c r="K54" s="32"/>
      <c r="L54" s="75">
        <v>54</v>
      </c>
      <c r="M54" s="75"/>
      <c r="N54" s="70"/>
      <c r="O54" s="77" t="s">
        <v>179</v>
      </c>
      <c r="P54" s="79">
        <v>45084.605752314812</v>
      </c>
      <c r="Q54" s="77" t="s">
        <v>2129</v>
      </c>
      <c r="R54" s="77">
        <v>0</v>
      </c>
      <c r="S54" s="77">
        <v>0</v>
      </c>
      <c r="T54" s="77">
        <v>0</v>
      </c>
      <c r="U54" s="77">
        <v>0</v>
      </c>
      <c r="V54" s="77">
        <v>28</v>
      </c>
      <c r="W54" s="80" t="s">
        <v>5925</v>
      </c>
      <c r="X54" s="83" t="str">
        <f>HYPERLINK("https://lnkd.in/gakw8bKt")</f>
        <v>https://lnkd.in/gakw8bKt</v>
      </c>
      <c r="Y54" s="77" t="s">
        <v>8619</v>
      </c>
      <c r="Z54" s="77"/>
      <c r="AA54" s="77"/>
      <c r="AB54" s="77"/>
      <c r="AC54" s="80" t="s">
        <v>10549</v>
      </c>
      <c r="AD54" s="77" t="s">
        <v>10620</v>
      </c>
      <c r="AE54" s="83" t="str">
        <f>HYPERLINK("https://twitter.com/mcortess_2010/status/1666453026041626624")</f>
        <v>https://twitter.com/mcortess_2010/status/1666453026041626624</v>
      </c>
      <c r="AF54" s="79">
        <v>45084.605752314812</v>
      </c>
      <c r="AG54" s="85">
        <v>45084</v>
      </c>
      <c r="AH54" s="80" t="s">
        <v>10673</v>
      </c>
      <c r="AI54" s="77" t="b">
        <v>0</v>
      </c>
      <c r="AJ54" s="77"/>
      <c r="AK54" s="77"/>
      <c r="AL54" s="77"/>
      <c r="AM54" s="77"/>
      <c r="AN54" s="77"/>
      <c r="AO54" s="77"/>
      <c r="AP54" s="77"/>
      <c r="AQ54" s="77"/>
      <c r="AR54" s="77"/>
      <c r="AS54" s="77"/>
      <c r="AT54" s="77"/>
      <c r="AU54" s="77"/>
      <c r="AV54" s="83" t="str">
        <f>HYPERLINK("https://pbs.twimg.com/profile_images/1698811409436463104/8JVOV5QX_normal.jpg")</f>
        <v>https://pbs.twimg.com/profile_images/1698811409436463104/8JVOV5QX_normal.jpg</v>
      </c>
      <c r="AW54" s="80" t="s">
        <v>16055</v>
      </c>
      <c r="AX54" s="80" t="s">
        <v>16055</v>
      </c>
      <c r="AY54" s="77"/>
      <c r="AZ54" s="80" t="s">
        <v>20380</v>
      </c>
      <c r="BA54" s="80" t="s">
        <v>20380</v>
      </c>
      <c r="BB54" s="80" t="s">
        <v>20380</v>
      </c>
      <c r="BC54" s="80" t="s">
        <v>16055</v>
      </c>
      <c r="BD54" s="77">
        <v>89589379</v>
      </c>
      <c r="BE54" s="77"/>
      <c r="BF54" s="77"/>
      <c r="BG54" s="77"/>
      <c r="BH54" s="77"/>
      <c r="BI54" s="77"/>
    </row>
    <row r="55" spans="1:61" x14ac:dyDescent="0.25">
      <c r="A55" s="62" t="s">
        <v>249</v>
      </c>
      <c r="B55" s="62" t="s">
        <v>249</v>
      </c>
      <c r="C55" s="63"/>
      <c r="D55" s="64"/>
      <c r="E55" s="65"/>
      <c r="F55" s="66"/>
      <c r="G55" s="63"/>
      <c r="H55" s="67"/>
      <c r="I55" s="68"/>
      <c r="J55" s="68"/>
      <c r="K55" s="32"/>
      <c r="L55" s="75">
        <v>55</v>
      </c>
      <c r="M55" s="75"/>
      <c r="N55" s="70"/>
      <c r="O55" s="77" t="s">
        <v>179</v>
      </c>
      <c r="P55" s="79">
        <v>45049.762106481481</v>
      </c>
      <c r="Q55" s="77" t="s">
        <v>2130</v>
      </c>
      <c r="R55" s="77">
        <v>0</v>
      </c>
      <c r="S55" s="77">
        <v>0</v>
      </c>
      <c r="T55" s="77">
        <v>0</v>
      </c>
      <c r="U55" s="77">
        <v>0</v>
      </c>
      <c r="V55" s="77">
        <v>45</v>
      </c>
      <c r="W55" s="80" t="s">
        <v>5926</v>
      </c>
      <c r="X55" s="77" t="s">
        <v>8575</v>
      </c>
      <c r="Y55" s="77" t="s">
        <v>8622</v>
      </c>
      <c r="Z55" s="77"/>
      <c r="AA55" s="77"/>
      <c r="AB55" s="77"/>
      <c r="AC55" s="80" t="s">
        <v>10549</v>
      </c>
      <c r="AD55" s="77" t="s">
        <v>10620</v>
      </c>
      <c r="AE55" s="83" t="str">
        <f>HYPERLINK("https://twitter.com/mcortess_2010/status/1653826112647200768")</f>
        <v>https://twitter.com/mcortess_2010/status/1653826112647200768</v>
      </c>
      <c r="AF55" s="79">
        <v>45049.762106481481</v>
      </c>
      <c r="AG55" s="85">
        <v>45049</v>
      </c>
      <c r="AH55" s="80" t="s">
        <v>10674</v>
      </c>
      <c r="AI55" s="77" t="b">
        <v>0</v>
      </c>
      <c r="AJ55" s="77"/>
      <c r="AK55" s="77"/>
      <c r="AL55" s="77"/>
      <c r="AM55" s="77"/>
      <c r="AN55" s="77"/>
      <c r="AO55" s="77"/>
      <c r="AP55" s="77"/>
      <c r="AQ55" s="77"/>
      <c r="AR55" s="77"/>
      <c r="AS55" s="77"/>
      <c r="AT55" s="77"/>
      <c r="AU55" s="77"/>
      <c r="AV55" s="83" t="str">
        <f>HYPERLINK("https://pbs.twimg.com/profile_images/1698811409436463104/8JVOV5QX_normal.jpg")</f>
        <v>https://pbs.twimg.com/profile_images/1698811409436463104/8JVOV5QX_normal.jpg</v>
      </c>
      <c r="AW55" s="80" t="s">
        <v>16056</v>
      </c>
      <c r="AX55" s="80" t="s">
        <v>16056</v>
      </c>
      <c r="AY55" s="77"/>
      <c r="AZ55" s="80" t="s">
        <v>20380</v>
      </c>
      <c r="BA55" s="80" t="s">
        <v>20380</v>
      </c>
      <c r="BB55" s="80" t="s">
        <v>20380</v>
      </c>
      <c r="BC55" s="80" t="s">
        <v>16056</v>
      </c>
      <c r="BD55" s="77">
        <v>89589379</v>
      </c>
      <c r="BE55" s="77"/>
      <c r="BF55" s="77"/>
      <c r="BG55" s="77"/>
      <c r="BH55" s="77"/>
      <c r="BI55" s="77"/>
    </row>
    <row r="56" spans="1:61" x14ac:dyDescent="0.25">
      <c r="A56" s="62" t="s">
        <v>249</v>
      </c>
      <c r="B56" s="62" t="s">
        <v>249</v>
      </c>
      <c r="C56" s="63"/>
      <c r="D56" s="64"/>
      <c r="E56" s="65"/>
      <c r="F56" s="66"/>
      <c r="G56" s="63"/>
      <c r="H56" s="67"/>
      <c r="I56" s="68"/>
      <c r="J56" s="68"/>
      <c r="K56" s="32"/>
      <c r="L56" s="75">
        <v>56</v>
      </c>
      <c r="M56" s="75"/>
      <c r="N56" s="70"/>
      <c r="O56" s="77" t="s">
        <v>179</v>
      </c>
      <c r="P56" s="79">
        <v>45068.659502314818</v>
      </c>
      <c r="Q56" s="77" t="s">
        <v>2131</v>
      </c>
      <c r="R56" s="77">
        <v>0</v>
      </c>
      <c r="S56" s="77">
        <v>0</v>
      </c>
      <c r="T56" s="77">
        <v>1</v>
      </c>
      <c r="U56" s="77">
        <v>0</v>
      </c>
      <c r="V56" s="77">
        <v>140</v>
      </c>
      <c r="W56" s="80" t="s">
        <v>5927</v>
      </c>
      <c r="X56" s="83" t="str">
        <f>HYPERLINK("https://lnkd.in/d6NsH8SG")</f>
        <v>https://lnkd.in/d6NsH8SG</v>
      </c>
      <c r="Y56" s="77" t="s">
        <v>8619</v>
      </c>
      <c r="Z56" s="77"/>
      <c r="AA56" s="77"/>
      <c r="AB56" s="77"/>
      <c r="AC56" s="80" t="s">
        <v>10549</v>
      </c>
      <c r="AD56" s="77" t="s">
        <v>10620</v>
      </c>
      <c r="AE56" s="83" t="str">
        <f>HYPERLINK("https://twitter.com/mcortess_2010/status/1660674299974262784")</f>
        <v>https://twitter.com/mcortess_2010/status/1660674299974262784</v>
      </c>
      <c r="AF56" s="79">
        <v>45068.659502314818</v>
      </c>
      <c r="AG56" s="85">
        <v>45068</v>
      </c>
      <c r="AH56" s="80" t="s">
        <v>10675</v>
      </c>
      <c r="AI56" s="77" t="b">
        <v>0</v>
      </c>
      <c r="AJ56" s="77"/>
      <c r="AK56" s="77"/>
      <c r="AL56" s="77"/>
      <c r="AM56" s="77"/>
      <c r="AN56" s="77"/>
      <c r="AO56" s="77"/>
      <c r="AP56" s="77"/>
      <c r="AQ56" s="77"/>
      <c r="AR56" s="77"/>
      <c r="AS56" s="77"/>
      <c r="AT56" s="77"/>
      <c r="AU56" s="77"/>
      <c r="AV56" s="83" t="str">
        <f>HYPERLINK("https://pbs.twimg.com/profile_images/1698811409436463104/8JVOV5QX_normal.jpg")</f>
        <v>https://pbs.twimg.com/profile_images/1698811409436463104/8JVOV5QX_normal.jpg</v>
      </c>
      <c r="AW56" s="80" t="s">
        <v>16057</v>
      </c>
      <c r="AX56" s="80" t="s">
        <v>16057</v>
      </c>
      <c r="AY56" s="77"/>
      <c r="AZ56" s="80" t="s">
        <v>20380</v>
      </c>
      <c r="BA56" s="80" t="s">
        <v>20380</v>
      </c>
      <c r="BB56" s="80" t="s">
        <v>20380</v>
      </c>
      <c r="BC56" s="80" t="s">
        <v>16057</v>
      </c>
      <c r="BD56" s="77">
        <v>89589379</v>
      </c>
      <c r="BE56" s="77"/>
      <c r="BF56" s="77"/>
      <c r="BG56" s="77"/>
      <c r="BH56" s="77"/>
      <c r="BI56" s="77"/>
    </row>
    <row r="57" spans="1:61" x14ac:dyDescent="0.25">
      <c r="A57" s="62" t="s">
        <v>249</v>
      </c>
      <c r="B57" s="62" t="s">
        <v>249</v>
      </c>
      <c r="C57" s="63"/>
      <c r="D57" s="64"/>
      <c r="E57" s="65"/>
      <c r="F57" s="66"/>
      <c r="G57" s="63"/>
      <c r="H57" s="67"/>
      <c r="I57" s="68"/>
      <c r="J57" s="68"/>
      <c r="K57" s="32"/>
      <c r="L57" s="75">
        <v>57</v>
      </c>
      <c r="M57" s="75"/>
      <c r="N57" s="70"/>
      <c r="O57" s="77" t="s">
        <v>179</v>
      </c>
      <c r="P57" s="79">
        <v>45098.7031712963</v>
      </c>
      <c r="Q57" s="77" t="s">
        <v>2132</v>
      </c>
      <c r="R57" s="77">
        <v>0</v>
      </c>
      <c r="S57" s="77">
        <v>0</v>
      </c>
      <c r="T57" s="77">
        <v>0</v>
      </c>
      <c r="U57" s="77">
        <v>0</v>
      </c>
      <c r="V57" s="77">
        <v>14</v>
      </c>
      <c r="W57" s="80" t="s">
        <v>5928</v>
      </c>
      <c r="X57" s="83" t="str">
        <f>HYPERLINK("https://lnkd.in/dHKSh8Z5")</f>
        <v>https://lnkd.in/dHKSh8Z5</v>
      </c>
      <c r="Y57" s="77" t="s">
        <v>8619</v>
      </c>
      <c r="Z57" s="77"/>
      <c r="AA57" s="77"/>
      <c r="AB57" s="77"/>
      <c r="AC57" s="80" t="s">
        <v>10549</v>
      </c>
      <c r="AD57" s="77" t="s">
        <v>10620</v>
      </c>
      <c r="AE57" s="83" t="str">
        <f>HYPERLINK("https://twitter.com/mcortess_2010/status/1671561760816373760")</f>
        <v>https://twitter.com/mcortess_2010/status/1671561760816373760</v>
      </c>
      <c r="AF57" s="79">
        <v>45098.7031712963</v>
      </c>
      <c r="AG57" s="85">
        <v>45098</v>
      </c>
      <c r="AH57" s="80" t="s">
        <v>10676</v>
      </c>
      <c r="AI57" s="77" t="b">
        <v>0</v>
      </c>
      <c r="AJ57" s="77"/>
      <c r="AK57" s="77"/>
      <c r="AL57" s="77"/>
      <c r="AM57" s="77"/>
      <c r="AN57" s="77"/>
      <c r="AO57" s="77"/>
      <c r="AP57" s="77"/>
      <c r="AQ57" s="77"/>
      <c r="AR57" s="77"/>
      <c r="AS57" s="77"/>
      <c r="AT57" s="77"/>
      <c r="AU57" s="77"/>
      <c r="AV57" s="83" t="str">
        <f>HYPERLINK("https://pbs.twimg.com/profile_images/1698811409436463104/8JVOV5QX_normal.jpg")</f>
        <v>https://pbs.twimg.com/profile_images/1698811409436463104/8JVOV5QX_normal.jpg</v>
      </c>
      <c r="AW57" s="80" t="s">
        <v>16058</v>
      </c>
      <c r="AX57" s="80" t="s">
        <v>16058</v>
      </c>
      <c r="AY57" s="77"/>
      <c r="AZ57" s="80" t="s">
        <v>20380</v>
      </c>
      <c r="BA57" s="80" t="s">
        <v>20380</v>
      </c>
      <c r="BB57" s="80" t="s">
        <v>20380</v>
      </c>
      <c r="BC57" s="80" t="s">
        <v>16058</v>
      </c>
      <c r="BD57" s="77">
        <v>89589379</v>
      </c>
      <c r="BE57" s="77"/>
      <c r="BF57" s="77"/>
      <c r="BG57" s="77"/>
      <c r="BH57" s="77"/>
      <c r="BI57" s="77"/>
    </row>
    <row r="58" spans="1:61" x14ac:dyDescent="0.25">
      <c r="A58" s="62" t="s">
        <v>249</v>
      </c>
      <c r="B58" s="62" t="s">
        <v>249</v>
      </c>
      <c r="C58" s="63"/>
      <c r="D58" s="64"/>
      <c r="E58" s="65"/>
      <c r="F58" s="66"/>
      <c r="G58" s="63"/>
      <c r="H58" s="67"/>
      <c r="I58" s="68"/>
      <c r="J58" s="68"/>
      <c r="K58" s="32"/>
      <c r="L58" s="75">
        <v>58</v>
      </c>
      <c r="M58" s="75"/>
      <c r="N58" s="70"/>
      <c r="O58" s="77" t="s">
        <v>179</v>
      </c>
      <c r="P58" s="79">
        <v>45086.927407407406</v>
      </c>
      <c r="Q58" s="77" t="s">
        <v>2133</v>
      </c>
      <c r="R58" s="77">
        <v>0</v>
      </c>
      <c r="S58" s="77">
        <v>0</v>
      </c>
      <c r="T58" s="77">
        <v>0</v>
      </c>
      <c r="U58" s="77">
        <v>0</v>
      </c>
      <c r="V58" s="77">
        <v>69</v>
      </c>
      <c r="W58" s="80" t="s">
        <v>5929</v>
      </c>
      <c r="X58" s="77" t="s">
        <v>8576</v>
      </c>
      <c r="Y58" s="77" t="s">
        <v>8622</v>
      </c>
      <c r="Z58" s="77"/>
      <c r="AA58" s="77"/>
      <c r="AB58" s="77"/>
      <c r="AC58" s="80" t="s">
        <v>10549</v>
      </c>
      <c r="AD58" s="77" t="s">
        <v>10620</v>
      </c>
      <c r="AE58" s="83" t="str">
        <f>HYPERLINK("https://twitter.com/mcortess_2010/status/1667294365939798016")</f>
        <v>https://twitter.com/mcortess_2010/status/1667294365939798016</v>
      </c>
      <c r="AF58" s="79">
        <v>45086.927407407406</v>
      </c>
      <c r="AG58" s="85">
        <v>45086</v>
      </c>
      <c r="AH58" s="80" t="s">
        <v>10677</v>
      </c>
      <c r="AI58" s="77" t="b">
        <v>0</v>
      </c>
      <c r="AJ58" s="77"/>
      <c r="AK58" s="77"/>
      <c r="AL58" s="77"/>
      <c r="AM58" s="77"/>
      <c r="AN58" s="77"/>
      <c r="AO58" s="77"/>
      <c r="AP58" s="77"/>
      <c r="AQ58" s="77"/>
      <c r="AR58" s="77"/>
      <c r="AS58" s="77"/>
      <c r="AT58" s="77"/>
      <c r="AU58" s="77"/>
      <c r="AV58" s="83" t="str">
        <f>HYPERLINK("https://pbs.twimg.com/profile_images/1698811409436463104/8JVOV5QX_normal.jpg")</f>
        <v>https://pbs.twimg.com/profile_images/1698811409436463104/8JVOV5QX_normal.jpg</v>
      </c>
      <c r="AW58" s="80" t="s">
        <v>16059</v>
      </c>
      <c r="AX58" s="80" t="s">
        <v>16059</v>
      </c>
      <c r="AY58" s="77"/>
      <c r="AZ58" s="80" t="s">
        <v>20380</v>
      </c>
      <c r="BA58" s="80" t="s">
        <v>20380</v>
      </c>
      <c r="BB58" s="80" t="s">
        <v>20380</v>
      </c>
      <c r="BC58" s="80" t="s">
        <v>16059</v>
      </c>
      <c r="BD58" s="77">
        <v>89589379</v>
      </c>
      <c r="BE58" s="77"/>
      <c r="BF58" s="77"/>
      <c r="BG58" s="77"/>
      <c r="BH58" s="77"/>
      <c r="BI58" s="77"/>
    </row>
    <row r="59" spans="1:61" x14ac:dyDescent="0.25">
      <c r="A59" s="62" t="s">
        <v>249</v>
      </c>
      <c r="B59" s="62" t="s">
        <v>249</v>
      </c>
      <c r="C59" s="63"/>
      <c r="D59" s="64"/>
      <c r="E59" s="65"/>
      <c r="F59" s="66"/>
      <c r="G59" s="63"/>
      <c r="H59" s="67"/>
      <c r="I59" s="68"/>
      <c r="J59" s="68"/>
      <c r="K59" s="32"/>
      <c r="L59" s="75">
        <v>59</v>
      </c>
      <c r="M59" s="75"/>
      <c r="N59" s="70"/>
      <c r="O59" s="77" t="s">
        <v>179</v>
      </c>
      <c r="P59" s="79">
        <v>45090.579027777778</v>
      </c>
      <c r="Q59" s="77" t="s">
        <v>2134</v>
      </c>
      <c r="R59" s="77">
        <v>0</v>
      </c>
      <c r="S59" s="77">
        <v>0</v>
      </c>
      <c r="T59" s="77">
        <v>0</v>
      </c>
      <c r="U59" s="77">
        <v>0</v>
      </c>
      <c r="V59" s="77">
        <v>12</v>
      </c>
      <c r="W59" s="80" t="s">
        <v>5930</v>
      </c>
      <c r="X59" s="83" t="str">
        <f>HYPERLINK("https://lnkd.in/gxEpKMRb")</f>
        <v>https://lnkd.in/gxEpKMRb</v>
      </c>
      <c r="Y59" s="77" t="s">
        <v>8619</v>
      </c>
      <c r="Z59" s="77"/>
      <c r="AA59" s="77"/>
      <c r="AB59" s="77"/>
      <c r="AC59" s="80" t="s">
        <v>10549</v>
      </c>
      <c r="AD59" s="77" t="s">
        <v>10620</v>
      </c>
      <c r="AE59" s="83" t="str">
        <f>HYPERLINK("https://twitter.com/mcortess_2010/status/1668617668310745089")</f>
        <v>https://twitter.com/mcortess_2010/status/1668617668310745089</v>
      </c>
      <c r="AF59" s="79">
        <v>45090.579027777778</v>
      </c>
      <c r="AG59" s="85">
        <v>45090</v>
      </c>
      <c r="AH59" s="80" t="s">
        <v>10678</v>
      </c>
      <c r="AI59" s="77" t="b">
        <v>0</v>
      </c>
      <c r="AJ59" s="77"/>
      <c r="AK59" s="77"/>
      <c r="AL59" s="77"/>
      <c r="AM59" s="77"/>
      <c r="AN59" s="77"/>
      <c r="AO59" s="77"/>
      <c r="AP59" s="77"/>
      <c r="AQ59" s="77"/>
      <c r="AR59" s="77"/>
      <c r="AS59" s="77"/>
      <c r="AT59" s="77"/>
      <c r="AU59" s="77"/>
      <c r="AV59" s="83" t="str">
        <f>HYPERLINK("https://pbs.twimg.com/profile_images/1698811409436463104/8JVOV5QX_normal.jpg")</f>
        <v>https://pbs.twimg.com/profile_images/1698811409436463104/8JVOV5QX_normal.jpg</v>
      </c>
      <c r="AW59" s="80" t="s">
        <v>16060</v>
      </c>
      <c r="AX59" s="80" t="s">
        <v>16060</v>
      </c>
      <c r="AY59" s="77"/>
      <c r="AZ59" s="80" t="s">
        <v>20380</v>
      </c>
      <c r="BA59" s="80" t="s">
        <v>20380</v>
      </c>
      <c r="BB59" s="80" t="s">
        <v>20380</v>
      </c>
      <c r="BC59" s="80" t="s">
        <v>16060</v>
      </c>
      <c r="BD59" s="77">
        <v>89589379</v>
      </c>
      <c r="BE59" s="77"/>
      <c r="BF59" s="77"/>
      <c r="BG59" s="77"/>
      <c r="BH59" s="77"/>
      <c r="BI59" s="77"/>
    </row>
    <row r="60" spans="1:61" x14ac:dyDescent="0.25">
      <c r="A60" s="62" t="s">
        <v>249</v>
      </c>
      <c r="B60" s="62" t="s">
        <v>249</v>
      </c>
      <c r="C60" s="63"/>
      <c r="D60" s="64"/>
      <c r="E60" s="65"/>
      <c r="F60" s="66"/>
      <c r="G60" s="63"/>
      <c r="H60" s="67"/>
      <c r="I60" s="68"/>
      <c r="J60" s="68"/>
      <c r="K60" s="32"/>
      <c r="L60" s="75">
        <v>60</v>
      </c>
      <c r="M60" s="75"/>
      <c r="N60" s="70"/>
      <c r="O60" s="77" t="s">
        <v>179</v>
      </c>
      <c r="P60" s="79">
        <v>45105.663229166668</v>
      </c>
      <c r="Q60" s="77" t="s">
        <v>2135</v>
      </c>
      <c r="R60" s="77">
        <v>0</v>
      </c>
      <c r="S60" s="77">
        <v>0</v>
      </c>
      <c r="T60" s="77">
        <v>0</v>
      </c>
      <c r="U60" s="77">
        <v>0</v>
      </c>
      <c r="V60" s="77">
        <v>42</v>
      </c>
      <c r="W60" s="80" t="s">
        <v>5931</v>
      </c>
      <c r="X60" s="77" t="s">
        <v>8577</v>
      </c>
      <c r="Y60" s="77" t="s">
        <v>8622</v>
      </c>
      <c r="Z60" s="77"/>
      <c r="AA60" s="77"/>
      <c r="AB60" s="77"/>
      <c r="AC60" s="80" t="s">
        <v>10549</v>
      </c>
      <c r="AD60" s="77" t="s">
        <v>10620</v>
      </c>
      <c r="AE60" s="83" t="str">
        <f>HYPERLINK("https://twitter.com/mcortess_2010/status/1674084000250617859")</f>
        <v>https://twitter.com/mcortess_2010/status/1674084000250617859</v>
      </c>
      <c r="AF60" s="79">
        <v>45105.663229166668</v>
      </c>
      <c r="AG60" s="85">
        <v>45105</v>
      </c>
      <c r="AH60" s="80" t="s">
        <v>10679</v>
      </c>
      <c r="AI60" s="77" t="b">
        <v>0</v>
      </c>
      <c r="AJ60" s="77"/>
      <c r="AK60" s="77"/>
      <c r="AL60" s="77"/>
      <c r="AM60" s="77"/>
      <c r="AN60" s="77"/>
      <c r="AO60" s="77"/>
      <c r="AP60" s="77"/>
      <c r="AQ60" s="77"/>
      <c r="AR60" s="77"/>
      <c r="AS60" s="77"/>
      <c r="AT60" s="77"/>
      <c r="AU60" s="77"/>
      <c r="AV60" s="83" t="str">
        <f>HYPERLINK("https://pbs.twimg.com/profile_images/1698811409436463104/8JVOV5QX_normal.jpg")</f>
        <v>https://pbs.twimg.com/profile_images/1698811409436463104/8JVOV5QX_normal.jpg</v>
      </c>
      <c r="AW60" s="80" t="s">
        <v>16061</v>
      </c>
      <c r="AX60" s="80" t="s">
        <v>16061</v>
      </c>
      <c r="AY60" s="77"/>
      <c r="AZ60" s="80" t="s">
        <v>20380</v>
      </c>
      <c r="BA60" s="80" t="s">
        <v>20380</v>
      </c>
      <c r="BB60" s="80" t="s">
        <v>20380</v>
      </c>
      <c r="BC60" s="80" t="s">
        <v>16061</v>
      </c>
      <c r="BD60" s="77">
        <v>89589379</v>
      </c>
      <c r="BE60" s="77"/>
      <c r="BF60" s="77"/>
      <c r="BG60" s="77"/>
      <c r="BH60" s="77"/>
      <c r="BI60" s="77"/>
    </row>
    <row r="61" spans="1:61" x14ac:dyDescent="0.25">
      <c r="A61" s="62" t="s">
        <v>249</v>
      </c>
      <c r="B61" s="62" t="s">
        <v>249</v>
      </c>
      <c r="C61" s="63"/>
      <c r="D61" s="64"/>
      <c r="E61" s="65"/>
      <c r="F61" s="66"/>
      <c r="G61" s="63"/>
      <c r="H61" s="67"/>
      <c r="I61" s="68"/>
      <c r="J61" s="68"/>
      <c r="K61" s="32"/>
      <c r="L61" s="75">
        <v>61</v>
      </c>
      <c r="M61" s="75"/>
      <c r="N61" s="70"/>
      <c r="O61" s="77" t="s">
        <v>179</v>
      </c>
      <c r="P61" s="79">
        <v>45092.501064814816</v>
      </c>
      <c r="Q61" s="77" t="s">
        <v>2136</v>
      </c>
      <c r="R61" s="77">
        <v>0</v>
      </c>
      <c r="S61" s="77">
        <v>0</v>
      </c>
      <c r="T61" s="77">
        <v>0</v>
      </c>
      <c r="U61" s="77">
        <v>0</v>
      </c>
      <c r="V61" s="77">
        <v>15</v>
      </c>
      <c r="W61" s="80" t="s">
        <v>5932</v>
      </c>
      <c r="X61" s="77" t="s">
        <v>8578</v>
      </c>
      <c r="Y61" s="77" t="s">
        <v>8622</v>
      </c>
      <c r="Z61" s="77"/>
      <c r="AA61" s="77"/>
      <c r="AB61" s="77"/>
      <c r="AC61" s="80" t="s">
        <v>10549</v>
      </c>
      <c r="AD61" s="77" t="s">
        <v>10620</v>
      </c>
      <c r="AE61" s="83" t="str">
        <f>HYPERLINK("https://twitter.com/mcortess_2010/status/1669314191667384324")</f>
        <v>https://twitter.com/mcortess_2010/status/1669314191667384324</v>
      </c>
      <c r="AF61" s="79">
        <v>45092.501064814816</v>
      </c>
      <c r="AG61" s="85">
        <v>45092</v>
      </c>
      <c r="AH61" s="80" t="s">
        <v>10680</v>
      </c>
      <c r="AI61" s="77" t="b">
        <v>0</v>
      </c>
      <c r="AJ61" s="77"/>
      <c r="AK61" s="77"/>
      <c r="AL61" s="77"/>
      <c r="AM61" s="77"/>
      <c r="AN61" s="77"/>
      <c r="AO61" s="77"/>
      <c r="AP61" s="77"/>
      <c r="AQ61" s="77"/>
      <c r="AR61" s="77"/>
      <c r="AS61" s="77"/>
      <c r="AT61" s="77"/>
      <c r="AU61" s="77"/>
      <c r="AV61" s="83" t="str">
        <f>HYPERLINK("https://pbs.twimg.com/profile_images/1698811409436463104/8JVOV5QX_normal.jpg")</f>
        <v>https://pbs.twimg.com/profile_images/1698811409436463104/8JVOV5QX_normal.jpg</v>
      </c>
      <c r="AW61" s="80" t="s">
        <v>16062</v>
      </c>
      <c r="AX61" s="80" t="s">
        <v>16062</v>
      </c>
      <c r="AY61" s="77"/>
      <c r="AZ61" s="80" t="s">
        <v>20380</v>
      </c>
      <c r="BA61" s="80" t="s">
        <v>20380</v>
      </c>
      <c r="BB61" s="80" t="s">
        <v>20380</v>
      </c>
      <c r="BC61" s="80" t="s">
        <v>16062</v>
      </c>
      <c r="BD61" s="77">
        <v>89589379</v>
      </c>
      <c r="BE61" s="77"/>
      <c r="BF61" s="77"/>
      <c r="BG61" s="77"/>
      <c r="BH61" s="77"/>
      <c r="BI61" s="77"/>
    </row>
    <row r="62" spans="1:61" x14ac:dyDescent="0.25">
      <c r="A62" s="62" t="s">
        <v>249</v>
      </c>
      <c r="B62" s="62" t="s">
        <v>249</v>
      </c>
      <c r="C62" s="63"/>
      <c r="D62" s="64"/>
      <c r="E62" s="65"/>
      <c r="F62" s="66"/>
      <c r="G62" s="63"/>
      <c r="H62" s="67"/>
      <c r="I62" s="68"/>
      <c r="J62" s="68"/>
      <c r="K62" s="32"/>
      <c r="L62" s="75">
        <v>62</v>
      </c>
      <c r="M62" s="75"/>
      <c r="N62" s="70"/>
      <c r="O62" s="77" t="s">
        <v>179</v>
      </c>
      <c r="P62" s="79">
        <v>45091.63553240741</v>
      </c>
      <c r="Q62" s="77" t="s">
        <v>2137</v>
      </c>
      <c r="R62" s="77">
        <v>0</v>
      </c>
      <c r="S62" s="77">
        <v>0</v>
      </c>
      <c r="T62" s="77">
        <v>0</v>
      </c>
      <c r="U62" s="77">
        <v>0</v>
      </c>
      <c r="V62" s="77">
        <v>53</v>
      </c>
      <c r="W62" s="80" t="s">
        <v>5933</v>
      </c>
      <c r="X62" s="77" t="s">
        <v>8579</v>
      </c>
      <c r="Y62" s="77" t="s">
        <v>8622</v>
      </c>
      <c r="Z62" s="77"/>
      <c r="AA62" s="77"/>
      <c r="AB62" s="77"/>
      <c r="AC62" s="80" t="s">
        <v>10549</v>
      </c>
      <c r="AD62" s="77" t="s">
        <v>10620</v>
      </c>
      <c r="AE62" s="83" t="str">
        <f>HYPERLINK("https://twitter.com/mcortess_2010/status/1669000532487442432")</f>
        <v>https://twitter.com/mcortess_2010/status/1669000532487442432</v>
      </c>
      <c r="AF62" s="79">
        <v>45091.63553240741</v>
      </c>
      <c r="AG62" s="85">
        <v>45091</v>
      </c>
      <c r="AH62" s="80" t="s">
        <v>10681</v>
      </c>
      <c r="AI62" s="77" t="b">
        <v>0</v>
      </c>
      <c r="AJ62" s="77"/>
      <c r="AK62" s="77"/>
      <c r="AL62" s="77"/>
      <c r="AM62" s="77"/>
      <c r="AN62" s="77"/>
      <c r="AO62" s="77"/>
      <c r="AP62" s="77"/>
      <c r="AQ62" s="77"/>
      <c r="AR62" s="77"/>
      <c r="AS62" s="77"/>
      <c r="AT62" s="77"/>
      <c r="AU62" s="77"/>
      <c r="AV62" s="83" t="str">
        <f>HYPERLINK("https://pbs.twimg.com/profile_images/1698811409436463104/8JVOV5QX_normal.jpg")</f>
        <v>https://pbs.twimg.com/profile_images/1698811409436463104/8JVOV5QX_normal.jpg</v>
      </c>
      <c r="AW62" s="80" t="s">
        <v>16063</v>
      </c>
      <c r="AX62" s="80" t="s">
        <v>16063</v>
      </c>
      <c r="AY62" s="77"/>
      <c r="AZ62" s="80" t="s">
        <v>20380</v>
      </c>
      <c r="BA62" s="80" t="s">
        <v>20380</v>
      </c>
      <c r="BB62" s="80" t="s">
        <v>20380</v>
      </c>
      <c r="BC62" s="80" t="s">
        <v>16063</v>
      </c>
      <c r="BD62" s="77">
        <v>89589379</v>
      </c>
      <c r="BE62" s="77"/>
      <c r="BF62" s="77"/>
      <c r="BG62" s="77"/>
      <c r="BH62" s="77"/>
      <c r="BI62" s="77"/>
    </row>
    <row r="63" spans="1:61" x14ac:dyDescent="0.25">
      <c r="A63" s="62" t="s">
        <v>249</v>
      </c>
      <c r="B63" s="62" t="s">
        <v>249</v>
      </c>
      <c r="C63" s="63"/>
      <c r="D63" s="64"/>
      <c r="E63" s="65"/>
      <c r="F63" s="66"/>
      <c r="G63" s="63"/>
      <c r="H63" s="67"/>
      <c r="I63" s="68"/>
      <c r="J63" s="68"/>
      <c r="K63" s="32"/>
      <c r="L63" s="75">
        <v>63</v>
      </c>
      <c r="M63" s="75"/>
      <c r="N63" s="70"/>
      <c r="O63" s="77" t="s">
        <v>179</v>
      </c>
      <c r="P63" s="79">
        <v>45091.608159722222</v>
      </c>
      <c r="Q63" s="77" t="s">
        <v>2138</v>
      </c>
      <c r="R63" s="77">
        <v>0</v>
      </c>
      <c r="S63" s="77">
        <v>0</v>
      </c>
      <c r="T63" s="77">
        <v>0</v>
      </c>
      <c r="U63" s="77">
        <v>0</v>
      </c>
      <c r="V63" s="77">
        <v>22</v>
      </c>
      <c r="W63" s="80" t="s">
        <v>5934</v>
      </c>
      <c r="X63" s="77" t="s">
        <v>8580</v>
      </c>
      <c r="Y63" s="77" t="s">
        <v>8622</v>
      </c>
      <c r="Z63" s="77"/>
      <c r="AA63" s="77"/>
      <c r="AB63" s="77"/>
      <c r="AC63" s="80" t="s">
        <v>10549</v>
      </c>
      <c r="AD63" s="77" t="s">
        <v>10620</v>
      </c>
      <c r="AE63" s="83" t="str">
        <f>HYPERLINK("https://twitter.com/mcortess_2010/status/1668990614308806663")</f>
        <v>https://twitter.com/mcortess_2010/status/1668990614308806663</v>
      </c>
      <c r="AF63" s="79">
        <v>45091.608159722222</v>
      </c>
      <c r="AG63" s="85">
        <v>45091</v>
      </c>
      <c r="AH63" s="80" t="s">
        <v>10682</v>
      </c>
      <c r="AI63" s="77" t="b">
        <v>0</v>
      </c>
      <c r="AJ63" s="77"/>
      <c r="AK63" s="77"/>
      <c r="AL63" s="77"/>
      <c r="AM63" s="77"/>
      <c r="AN63" s="77"/>
      <c r="AO63" s="77"/>
      <c r="AP63" s="77"/>
      <c r="AQ63" s="77"/>
      <c r="AR63" s="77"/>
      <c r="AS63" s="77"/>
      <c r="AT63" s="77"/>
      <c r="AU63" s="77"/>
      <c r="AV63" s="83" t="str">
        <f>HYPERLINK("https://pbs.twimg.com/profile_images/1698811409436463104/8JVOV5QX_normal.jpg")</f>
        <v>https://pbs.twimg.com/profile_images/1698811409436463104/8JVOV5QX_normal.jpg</v>
      </c>
      <c r="AW63" s="80" t="s">
        <v>16064</v>
      </c>
      <c r="AX63" s="80" t="s">
        <v>16064</v>
      </c>
      <c r="AY63" s="77"/>
      <c r="AZ63" s="80" t="s">
        <v>20380</v>
      </c>
      <c r="BA63" s="80" t="s">
        <v>20380</v>
      </c>
      <c r="BB63" s="80" t="s">
        <v>20380</v>
      </c>
      <c r="BC63" s="80" t="s">
        <v>16064</v>
      </c>
      <c r="BD63" s="77">
        <v>89589379</v>
      </c>
      <c r="BE63" s="77"/>
      <c r="BF63" s="77"/>
      <c r="BG63" s="77"/>
      <c r="BH63" s="77"/>
      <c r="BI63" s="77"/>
    </row>
    <row r="64" spans="1:61" x14ac:dyDescent="0.25">
      <c r="A64" s="62" t="s">
        <v>249</v>
      </c>
      <c r="B64" s="62" t="s">
        <v>249</v>
      </c>
      <c r="C64" s="63"/>
      <c r="D64" s="64"/>
      <c r="E64" s="65"/>
      <c r="F64" s="66"/>
      <c r="G64" s="63"/>
      <c r="H64" s="67"/>
      <c r="I64" s="68"/>
      <c r="J64" s="68"/>
      <c r="K64" s="32"/>
      <c r="L64" s="75">
        <v>64</v>
      </c>
      <c r="M64" s="75"/>
      <c r="N64" s="70"/>
      <c r="O64" s="77" t="s">
        <v>179</v>
      </c>
      <c r="P64" s="79">
        <v>45111.707928240743</v>
      </c>
      <c r="Q64" s="77" t="s">
        <v>2139</v>
      </c>
      <c r="R64" s="77">
        <v>0</v>
      </c>
      <c r="S64" s="77">
        <v>0</v>
      </c>
      <c r="T64" s="77">
        <v>0</v>
      </c>
      <c r="U64" s="77">
        <v>0</v>
      </c>
      <c r="V64" s="77">
        <v>20</v>
      </c>
      <c r="W64" s="80" t="s">
        <v>5935</v>
      </c>
      <c r="X64" s="83" t="str">
        <f>HYPERLINK("https://lnkd.in/gHegaa8t")</f>
        <v>https://lnkd.in/gHegaa8t</v>
      </c>
      <c r="Y64" s="77" t="s">
        <v>8619</v>
      </c>
      <c r="Z64" s="77"/>
      <c r="AA64" s="77"/>
      <c r="AB64" s="77"/>
      <c r="AC64" s="80" t="s">
        <v>10549</v>
      </c>
      <c r="AD64" s="77" t="s">
        <v>10620</v>
      </c>
      <c r="AE64" s="83" t="str">
        <f>HYPERLINK("https://twitter.com/mcortess_2010/status/1676274527456890880")</f>
        <v>https://twitter.com/mcortess_2010/status/1676274527456890880</v>
      </c>
      <c r="AF64" s="79">
        <v>45111.707928240743</v>
      </c>
      <c r="AG64" s="85">
        <v>45111</v>
      </c>
      <c r="AH64" s="80" t="s">
        <v>10683</v>
      </c>
      <c r="AI64" s="77" t="b">
        <v>0</v>
      </c>
      <c r="AJ64" s="77"/>
      <c r="AK64" s="77"/>
      <c r="AL64" s="77"/>
      <c r="AM64" s="77"/>
      <c r="AN64" s="77"/>
      <c r="AO64" s="77"/>
      <c r="AP64" s="77"/>
      <c r="AQ64" s="77"/>
      <c r="AR64" s="77"/>
      <c r="AS64" s="77"/>
      <c r="AT64" s="77"/>
      <c r="AU64" s="77"/>
      <c r="AV64" s="83" t="str">
        <f>HYPERLINK("https://pbs.twimg.com/profile_images/1698811409436463104/8JVOV5QX_normal.jpg")</f>
        <v>https://pbs.twimg.com/profile_images/1698811409436463104/8JVOV5QX_normal.jpg</v>
      </c>
      <c r="AW64" s="80" t="s">
        <v>16065</v>
      </c>
      <c r="AX64" s="80" t="s">
        <v>16065</v>
      </c>
      <c r="AY64" s="77"/>
      <c r="AZ64" s="80" t="s">
        <v>20380</v>
      </c>
      <c r="BA64" s="80" t="s">
        <v>20380</v>
      </c>
      <c r="BB64" s="80" t="s">
        <v>20380</v>
      </c>
      <c r="BC64" s="80" t="s">
        <v>16065</v>
      </c>
      <c r="BD64" s="77">
        <v>89589379</v>
      </c>
      <c r="BE64" s="77"/>
      <c r="BF64" s="77"/>
      <c r="BG64" s="77"/>
      <c r="BH64" s="77"/>
      <c r="BI64" s="77"/>
    </row>
    <row r="65" spans="1:61" x14ac:dyDescent="0.25">
      <c r="A65" s="62" t="s">
        <v>249</v>
      </c>
      <c r="B65" s="62" t="s">
        <v>249</v>
      </c>
      <c r="C65" s="63"/>
      <c r="D65" s="64"/>
      <c r="E65" s="65"/>
      <c r="F65" s="66"/>
      <c r="G65" s="63"/>
      <c r="H65" s="67"/>
      <c r="I65" s="68"/>
      <c r="J65" s="68"/>
      <c r="K65" s="32"/>
      <c r="L65" s="75">
        <v>65</v>
      </c>
      <c r="M65" s="75"/>
      <c r="N65" s="70"/>
      <c r="O65" s="77" t="s">
        <v>179</v>
      </c>
      <c r="P65" s="79">
        <v>45097.552511574075</v>
      </c>
      <c r="Q65" s="77" t="s">
        <v>2140</v>
      </c>
      <c r="R65" s="77">
        <v>0</v>
      </c>
      <c r="S65" s="77">
        <v>0</v>
      </c>
      <c r="T65" s="77">
        <v>0</v>
      </c>
      <c r="U65" s="77">
        <v>0</v>
      </c>
      <c r="V65" s="77">
        <v>6</v>
      </c>
      <c r="W65" s="80" t="s">
        <v>5936</v>
      </c>
      <c r="X65" s="83" t="str">
        <f>HYPERLINK("https://lnkd.in/gvnppa-b")</f>
        <v>https://lnkd.in/gvnppa-b</v>
      </c>
      <c r="Y65" s="77" t="s">
        <v>8619</v>
      </c>
      <c r="Z65" s="77"/>
      <c r="AA65" s="77"/>
      <c r="AB65" s="77"/>
      <c r="AC65" s="80" t="s">
        <v>10549</v>
      </c>
      <c r="AD65" s="77" t="s">
        <v>10620</v>
      </c>
      <c r="AE65" s="83" t="str">
        <f>HYPERLINK("https://twitter.com/mcortess_2010/status/1671144775297433602")</f>
        <v>https://twitter.com/mcortess_2010/status/1671144775297433602</v>
      </c>
      <c r="AF65" s="79">
        <v>45097.552511574075</v>
      </c>
      <c r="AG65" s="85">
        <v>45097</v>
      </c>
      <c r="AH65" s="80" t="s">
        <v>10684</v>
      </c>
      <c r="AI65" s="77" t="b">
        <v>0</v>
      </c>
      <c r="AJ65" s="77"/>
      <c r="AK65" s="77"/>
      <c r="AL65" s="77"/>
      <c r="AM65" s="77"/>
      <c r="AN65" s="77"/>
      <c r="AO65" s="77"/>
      <c r="AP65" s="77"/>
      <c r="AQ65" s="77"/>
      <c r="AR65" s="77"/>
      <c r="AS65" s="77"/>
      <c r="AT65" s="77"/>
      <c r="AU65" s="77"/>
      <c r="AV65" s="83" t="str">
        <f>HYPERLINK("https://pbs.twimg.com/profile_images/1698811409436463104/8JVOV5QX_normal.jpg")</f>
        <v>https://pbs.twimg.com/profile_images/1698811409436463104/8JVOV5QX_normal.jpg</v>
      </c>
      <c r="AW65" s="80" t="s">
        <v>16066</v>
      </c>
      <c r="AX65" s="80" t="s">
        <v>16066</v>
      </c>
      <c r="AY65" s="77"/>
      <c r="AZ65" s="80" t="s">
        <v>20380</v>
      </c>
      <c r="BA65" s="80" t="s">
        <v>20380</v>
      </c>
      <c r="BB65" s="80" t="s">
        <v>20380</v>
      </c>
      <c r="BC65" s="80" t="s">
        <v>16066</v>
      </c>
      <c r="BD65" s="77">
        <v>89589379</v>
      </c>
      <c r="BE65" s="77"/>
      <c r="BF65" s="77"/>
      <c r="BG65" s="77"/>
      <c r="BH65" s="77"/>
      <c r="BI65" s="77"/>
    </row>
    <row r="66" spans="1:61" x14ac:dyDescent="0.25">
      <c r="A66" s="62" t="s">
        <v>250</v>
      </c>
      <c r="B66" s="62" t="s">
        <v>1669</v>
      </c>
      <c r="C66" s="63"/>
      <c r="D66" s="64"/>
      <c r="E66" s="65"/>
      <c r="F66" s="66"/>
      <c r="G66" s="63"/>
      <c r="H66" s="67"/>
      <c r="I66" s="68"/>
      <c r="J66" s="68"/>
      <c r="K66" s="32"/>
      <c r="L66" s="75">
        <v>66</v>
      </c>
      <c r="M66" s="75"/>
      <c r="N66" s="70"/>
      <c r="O66" s="77" t="s">
        <v>2081</v>
      </c>
      <c r="P66" s="79">
        <v>45048.770891203705</v>
      </c>
      <c r="Q66" s="77" t="s">
        <v>2141</v>
      </c>
      <c r="R66" s="77">
        <v>0</v>
      </c>
      <c r="S66" s="77">
        <v>2</v>
      </c>
      <c r="T66" s="77">
        <v>0</v>
      </c>
      <c r="U66" s="77">
        <v>0</v>
      </c>
      <c r="V66" s="77">
        <v>40</v>
      </c>
      <c r="W66" s="80" t="s">
        <v>5937</v>
      </c>
      <c r="X66" s="83" t="str">
        <f>HYPERLINK("https://bit.ly/40WT2OH")</f>
        <v>https://bit.ly/40WT2OH</v>
      </c>
      <c r="Y66" s="77" t="s">
        <v>8618</v>
      </c>
      <c r="Z66" s="77" t="s">
        <v>1669</v>
      </c>
      <c r="AA66" s="77"/>
      <c r="AB66" s="77"/>
      <c r="AC66" s="80" t="s">
        <v>10541</v>
      </c>
      <c r="AD66" s="77" t="s">
        <v>10620</v>
      </c>
      <c r="AE66" s="83" t="str">
        <f>HYPERLINK("https://twitter.com/infocobranza/status/1653466909013057538")</f>
        <v>https://twitter.com/infocobranza/status/1653466909013057538</v>
      </c>
      <c r="AF66" s="79">
        <v>45048.770891203705</v>
      </c>
      <c r="AG66" s="85">
        <v>45048</v>
      </c>
      <c r="AH66" s="80" t="s">
        <v>10685</v>
      </c>
      <c r="AI66" s="77" t="b">
        <v>0</v>
      </c>
      <c r="AJ66" s="77"/>
      <c r="AK66" s="77"/>
      <c r="AL66" s="77"/>
      <c r="AM66" s="77"/>
      <c r="AN66" s="77"/>
      <c r="AO66" s="77"/>
      <c r="AP66" s="77"/>
      <c r="AQ66" s="77"/>
      <c r="AR66" s="77"/>
      <c r="AS66" s="77"/>
      <c r="AT66" s="77"/>
      <c r="AU66" s="77"/>
      <c r="AV66" s="83" t="str">
        <f>HYPERLINK("https://pbs.twimg.com/profile_images/1424740746217787397/yfnRJ52d_normal.jpg")</f>
        <v>https://pbs.twimg.com/profile_images/1424740746217787397/yfnRJ52d_normal.jpg</v>
      </c>
      <c r="AW66" s="80" t="s">
        <v>16067</v>
      </c>
      <c r="AX66" s="80" t="s">
        <v>16067</v>
      </c>
      <c r="AY66" s="77"/>
      <c r="AZ66" s="80" t="s">
        <v>20380</v>
      </c>
      <c r="BA66" s="80" t="s">
        <v>20380</v>
      </c>
      <c r="BB66" s="80" t="s">
        <v>20380</v>
      </c>
      <c r="BC66" s="80" t="s">
        <v>16067</v>
      </c>
      <c r="BD66" s="80" t="s">
        <v>20505</v>
      </c>
      <c r="BE66" s="77"/>
      <c r="BF66" s="77"/>
      <c r="BG66" s="77"/>
      <c r="BH66" s="77"/>
      <c r="BI66" s="77"/>
    </row>
    <row r="67" spans="1:61" x14ac:dyDescent="0.25">
      <c r="A67" s="62" t="s">
        <v>250</v>
      </c>
      <c r="B67" s="62" t="s">
        <v>1669</v>
      </c>
      <c r="C67" s="63"/>
      <c r="D67" s="64"/>
      <c r="E67" s="65"/>
      <c r="F67" s="66"/>
      <c r="G67" s="63"/>
      <c r="H67" s="67"/>
      <c r="I67" s="68"/>
      <c r="J67" s="68"/>
      <c r="K67" s="32"/>
      <c r="L67" s="75">
        <v>67</v>
      </c>
      <c r="M67" s="75"/>
      <c r="N67" s="70"/>
      <c r="O67" s="77" t="s">
        <v>2081</v>
      </c>
      <c r="P67" s="79">
        <v>45139.747511574074</v>
      </c>
      <c r="Q67" s="77" t="s">
        <v>2142</v>
      </c>
      <c r="R67" s="77">
        <v>0</v>
      </c>
      <c r="S67" s="77">
        <v>1</v>
      </c>
      <c r="T67" s="77">
        <v>0</v>
      </c>
      <c r="U67" s="77">
        <v>0</v>
      </c>
      <c r="V67" s="77">
        <v>48</v>
      </c>
      <c r="W67" s="80" t="s">
        <v>5937</v>
      </c>
      <c r="X67" s="83" t="str">
        <f>HYPERLINK("https://rb.gy/gecsj")</f>
        <v>https://rb.gy/gecsj</v>
      </c>
      <c r="Y67" s="77" t="s">
        <v>8623</v>
      </c>
      <c r="Z67" s="77" t="s">
        <v>1669</v>
      </c>
      <c r="AA67" s="77"/>
      <c r="AB67" s="77"/>
      <c r="AC67" s="80" t="s">
        <v>10541</v>
      </c>
      <c r="AD67" s="77" t="s">
        <v>10620</v>
      </c>
      <c r="AE67" s="83" t="str">
        <f>HYPERLINK("https://twitter.com/infocobranza/status/1686435730610933765")</f>
        <v>https://twitter.com/infocobranza/status/1686435730610933765</v>
      </c>
      <c r="AF67" s="79">
        <v>45139.747511574074</v>
      </c>
      <c r="AG67" s="85">
        <v>45139</v>
      </c>
      <c r="AH67" s="80" t="s">
        <v>10686</v>
      </c>
      <c r="AI67" s="77" t="b">
        <v>0</v>
      </c>
      <c r="AJ67" s="77"/>
      <c r="AK67" s="77"/>
      <c r="AL67" s="77"/>
      <c r="AM67" s="77"/>
      <c r="AN67" s="77"/>
      <c r="AO67" s="77"/>
      <c r="AP67" s="77"/>
      <c r="AQ67" s="77"/>
      <c r="AR67" s="77"/>
      <c r="AS67" s="77"/>
      <c r="AT67" s="77"/>
      <c r="AU67" s="77"/>
      <c r="AV67" s="83" t="str">
        <f>HYPERLINK("https://pbs.twimg.com/profile_images/1424740746217787397/yfnRJ52d_normal.jpg")</f>
        <v>https://pbs.twimg.com/profile_images/1424740746217787397/yfnRJ52d_normal.jpg</v>
      </c>
      <c r="AW67" s="80" t="s">
        <v>16068</v>
      </c>
      <c r="AX67" s="80" t="s">
        <v>16068</v>
      </c>
      <c r="AY67" s="77"/>
      <c r="AZ67" s="80" t="s">
        <v>20380</v>
      </c>
      <c r="BA67" s="80" t="s">
        <v>20380</v>
      </c>
      <c r="BB67" s="80" t="s">
        <v>20380</v>
      </c>
      <c r="BC67" s="80" t="s">
        <v>16068</v>
      </c>
      <c r="BD67" s="80" t="s">
        <v>20505</v>
      </c>
      <c r="BE67" s="77"/>
      <c r="BF67" s="77"/>
      <c r="BG67" s="77"/>
      <c r="BH67" s="77"/>
      <c r="BI67" s="77"/>
    </row>
    <row r="68" spans="1:61" x14ac:dyDescent="0.25">
      <c r="A68" s="62" t="s">
        <v>251</v>
      </c>
      <c r="B68" s="62" t="s">
        <v>251</v>
      </c>
      <c r="C68" s="63"/>
      <c r="D68" s="64"/>
      <c r="E68" s="65"/>
      <c r="F68" s="66"/>
      <c r="G68" s="63"/>
      <c r="H68" s="67"/>
      <c r="I68" s="68"/>
      <c r="J68" s="68"/>
      <c r="K68" s="32"/>
      <c r="L68" s="75">
        <v>68</v>
      </c>
      <c r="M68" s="75"/>
      <c r="N68" s="70"/>
      <c r="O68" s="77" t="s">
        <v>179</v>
      </c>
      <c r="P68" s="79">
        <v>45149.562442129631</v>
      </c>
      <c r="Q68" s="77" t="s">
        <v>2143</v>
      </c>
      <c r="R68" s="77">
        <v>0</v>
      </c>
      <c r="S68" s="77">
        <v>1</v>
      </c>
      <c r="T68" s="77">
        <v>0</v>
      </c>
      <c r="U68" s="77">
        <v>0</v>
      </c>
      <c r="V68" s="77">
        <v>153</v>
      </c>
      <c r="W68" s="80" t="s">
        <v>5938</v>
      </c>
      <c r="X68" s="83" t="str">
        <f>HYPERLINK("https://www.quepasasalta.com.ar/politica/acuerdo-con-el-fmi-el-banco-central-duplico-la-meta-acordada")</f>
        <v>https://www.quepasasalta.com.ar/politica/acuerdo-con-el-fmi-el-banco-central-duplico-la-meta-acordada</v>
      </c>
      <c r="Y68" s="77" t="s">
        <v>8624</v>
      </c>
      <c r="Z68" s="77"/>
      <c r="AA68" s="77"/>
      <c r="AB68" s="77"/>
      <c r="AC68" s="80" t="s">
        <v>10541</v>
      </c>
      <c r="AD68" s="77" t="s">
        <v>10620</v>
      </c>
      <c r="AE68" s="83" t="str">
        <f>HYPERLINK("https://twitter.com/quepasasalta/status/1689992541918113793")</f>
        <v>https://twitter.com/quepasasalta/status/1689992541918113793</v>
      </c>
      <c r="AF68" s="79">
        <v>45149.562442129631</v>
      </c>
      <c r="AG68" s="85">
        <v>45149</v>
      </c>
      <c r="AH68" s="80" t="s">
        <v>10687</v>
      </c>
      <c r="AI68" s="77" t="b">
        <v>0</v>
      </c>
      <c r="AJ68" s="77"/>
      <c r="AK68" s="77"/>
      <c r="AL68" s="77"/>
      <c r="AM68" s="77"/>
      <c r="AN68" s="77"/>
      <c r="AO68" s="77"/>
      <c r="AP68" s="77"/>
      <c r="AQ68" s="77"/>
      <c r="AR68" s="77"/>
      <c r="AS68" s="77"/>
      <c r="AT68" s="77"/>
      <c r="AU68" s="77"/>
      <c r="AV68" s="83" t="str">
        <f>HYPERLINK("https://pbs.twimg.com/profile_images/1653515749401436160/DPgar9BY_normal.jpg")</f>
        <v>https://pbs.twimg.com/profile_images/1653515749401436160/DPgar9BY_normal.jpg</v>
      </c>
      <c r="AW68" s="80" t="s">
        <v>16069</v>
      </c>
      <c r="AX68" s="80" t="s">
        <v>16069</v>
      </c>
      <c r="AY68" s="77"/>
      <c r="AZ68" s="80" t="s">
        <v>20380</v>
      </c>
      <c r="BA68" s="80" t="s">
        <v>20380</v>
      </c>
      <c r="BB68" s="80" t="s">
        <v>20380</v>
      </c>
      <c r="BC68" s="80" t="s">
        <v>16069</v>
      </c>
      <c r="BD68" s="77">
        <v>286916211</v>
      </c>
      <c r="BE68" s="77"/>
      <c r="BF68" s="77"/>
      <c r="BG68" s="77"/>
      <c r="BH68" s="77"/>
      <c r="BI68" s="77"/>
    </row>
    <row r="69" spans="1:61" x14ac:dyDescent="0.25">
      <c r="A69" s="62" t="s">
        <v>252</v>
      </c>
      <c r="B69" s="62" t="s">
        <v>1700</v>
      </c>
      <c r="C69" s="63"/>
      <c r="D69" s="64"/>
      <c r="E69" s="65"/>
      <c r="F69" s="66"/>
      <c r="G69" s="63"/>
      <c r="H69" s="67"/>
      <c r="I69" s="68"/>
      <c r="J69" s="68"/>
      <c r="K69" s="32"/>
      <c r="L69" s="75">
        <v>69</v>
      </c>
      <c r="M69" s="75"/>
      <c r="N69" s="70"/>
      <c r="O69" s="77" t="s">
        <v>2081</v>
      </c>
      <c r="P69" s="79">
        <v>45050.629247685189</v>
      </c>
      <c r="Q69" s="77" t="s">
        <v>2144</v>
      </c>
      <c r="R69" s="77">
        <v>0</v>
      </c>
      <c r="S69" s="77">
        <v>0</v>
      </c>
      <c r="T69" s="77">
        <v>0</v>
      </c>
      <c r="U69" s="77">
        <v>0</v>
      </c>
      <c r="V69" s="77">
        <v>6</v>
      </c>
      <c r="W69" s="80" t="s">
        <v>5939</v>
      </c>
      <c r="X69" s="77"/>
      <c r="Y69" s="77"/>
      <c r="Z69" s="77" t="s">
        <v>1700</v>
      </c>
      <c r="AA69" s="77" t="s">
        <v>9058</v>
      </c>
      <c r="AB69" s="77" t="s">
        <v>10535</v>
      </c>
      <c r="AC69" s="80" t="s">
        <v>10540</v>
      </c>
      <c r="AD69" s="77" t="s">
        <v>10620</v>
      </c>
      <c r="AE69" s="83" t="str">
        <f>HYPERLINK("https://twitter.com/jcarlos_arroyo/status/1654140354206072834")</f>
        <v>https://twitter.com/jcarlos_arroyo/status/1654140354206072834</v>
      </c>
      <c r="AF69" s="79">
        <v>45050.629247685189</v>
      </c>
      <c r="AG69" s="85">
        <v>45050</v>
      </c>
      <c r="AH69" s="80" t="s">
        <v>10688</v>
      </c>
      <c r="AI69" s="77" t="b">
        <v>0</v>
      </c>
      <c r="AJ69" s="77"/>
      <c r="AK69" s="77"/>
      <c r="AL69" s="77"/>
      <c r="AM69" s="77"/>
      <c r="AN69" s="77"/>
      <c r="AO69" s="77"/>
      <c r="AP69" s="77"/>
      <c r="AQ69" s="77" t="s">
        <v>14540</v>
      </c>
      <c r="AR69" s="77"/>
      <c r="AS69" s="77"/>
      <c r="AT69" s="77"/>
      <c r="AU69" s="77"/>
      <c r="AV69" s="83" t="str">
        <f>HYPERLINK("https://pbs.twimg.com/media/FvSv4uXWIAAs_uq.jpg")</f>
        <v>https://pbs.twimg.com/media/FvSv4uXWIAAs_uq.jpg</v>
      </c>
      <c r="AW69" s="80" t="s">
        <v>16070</v>
      </c>
      <c r="AX69" s="80" t="s">
        <v>16070</v>
      </c>
      <c r="AY69" s="77"/>
      <c r="AZ69" s="80" t="s">
        <v>20380</v>
      </c>
      <c r="BA69" s="80" t="s">
        <v>20380</v>
      </c>
      <c r="BB69" s="80" t="s">
        <v>20380</v>
      </c>
      <c r="BC69" s="80" t="s">
        <v>16070</v>
      </c>
      <c r="BD69" s="77">
        <v>557078430</v>
      </c>
      <c r="BE69" s="77"/>
      <c r="BF69" s="77"/>
      <c r="BG69" s="77"/>
      <c r="BH69" s="77"/>
      <c r="BI69" s="77"/>
    </row>
    <row r="70" spans="1:61" x14ac:dyDescent="0.25">
      <c r="A70" s="62" t="s">
        <v>253</v>
      </c>
      <c r="B70" s="62" t="s">
        <v>253</v>
      </c>
      <c r="C70" s="63"/>
      <c r="D70" s="64"/>
      <c r="E70" s="65"/>
      <c r="F70" s="66"/>
      <c r="G70" s="63"/>
      <c r="H70" s="67"/>
      <c r="I70" s="68"/>
      <c r="J70" s="68"/>
      <c r="K70" s="32"/>
      <c r="L70" s="75">
        <v>70</v>
      </c>
      <c r="M70" s="75"/>
      <c r="N70" s="70"/>
      <c r="O70" s="77" t="s">
        <v>179</v>
      </c>
      <c r="P70" s="79">
        <v>45174.522152777776</v>
      </c>
      <c r="Q70" s="77" t="s">
        <v>2145</v>
      </c>
      <c r="R70" s="77">
        <v>0</v>
      </c>
      <c r="S70" s="77">
        <v>0</v>
      </c>
      <c r="T70" s="77">
        <v>0</v>
      </c>
      <c r="U70" s="77">
        <v>0</v>
      </c>
      <c r="V70" s="77">
        <v>14</v>
      </c>
      <c r="W70" s="80" t="s">
        <v>5940</v>
      </c>
      <c r="X70" s="83" t="str">
        <f>HYPERLINK("https://saibajanews.com.br/ultimas-noticias-do-brasil-hoje/economia-e-financas/2023/09/05/banco-central-divulga-relatorio-de-gestao-sobre-os-primeiros-anos-de-funcionamento-do-pix/")</f>
        <v>https://saibajanews.com.br/ultimas-noticias-do-brasil-hoje/economia-e-financas/2023/09/05/banco-central-divulga-relatorio-de-gestao-sobre-os-primeiros-anos-de-funcionamento-do-pix/</v>
      </c>
      <c r="Y70" s="77" t="s">
        <v>8611</v>
      </c>
      <c r="Z70" s="77"/>
      <c r="AA70" s="77"/>
      <c r="AB70" s="77"/>
      <c r="AC70" s="80" t="s">
        <v>10541</v>
      </c>
      <c r="AD70" s="77" t="s">
        <v>10617</v>
      </c>
      <c r="AE70" s="83" t="str">
        <f>HYPERLINK("https://twitter.com/jsilvadestaques/status/1699037640652177903")</f>
        <v>https://twitter.com/jsilvadestaques/status/1699037640652177903</v>
      </c>
      <c r="AF70" s="79">
        <v>45174.522152777776</v>
      </c>
      <c r="AG70" s="85">
        <v>45174</v>
      </c>
      <c r="AH70" s="80" t="s">
        <v>10689</v>
      </c>
      <c r="AI70" s="77" t="b">
        <v>0</v>
      </c>
      <c r="AJ70" s="77"/>
      <c r="AK70" s="77"/>
      <c r="AL70" s="77"/>
      <c r="AM70" s="77"/>
      <c r="AN70" s="77"/>
      <c r="AO70" s="77"/>
      <c r="AP70" s="77"/>
      <c r="AQ70" s="77"/>
      <c r="AR70" s="77"/>
      <c r="AS70" s="77"/>
      <c r="AT70" s="77"/>
      <c r="AU70" s="77"/>
      <c r="AV70" s="83" t="str">
        <f>HYPERLINK("https://pbs.twimg.com/profile_images/1380960427945963525/TtDwdnpT_normal.jpg")</f>
        <v>https://pbs.twimg.com/profile_images/1380960427945963525/TtDwdnpT_normal.jpg</v>
      </c>
      <c r="AW70" s="80" t="s">
        <v>16071</v>
      </c>
      <c r="AX70" s="80" t="s">
        <v>16071</v>
      </c>
      <c r="AY70" s="77"/>
      <c r="AZ70" s="80" t="s">
        <v>20380</v>
      </c>
      <c r="BA70" s="80" t="s">
        <v>20380</v>
      </c>
      <c r="BB70" s="80" t="s">
        <v>20380</v>
      </c>
      <c r="BC70" s="80" t="s">
        <v>16071</v>
      </c>
      <c r="BD70" s="80" t="s">
        <v>20506</v>
      </c>
      <c r="BE70" s="77"/>
      <c r="BF70" s="77"/>
      <c r="BG70" s="77"/>
      <c r="BH70" s="77"/>
      <c r="BI70" s="77"/>
    </row>
    <row r="71" spans="1:61" x14ac:dyDescent="0.25">
      <c r="A71" s="62" t="s">
        <v>254</v>
      </c>
      <c r="B71" s="62" t="s">
        <v>254</v>
      </c>
      <c r="C71" s="63"/>
      <c r="D71" s="64"/>
      <c r="E71" s="65"/>
      <c r="F71" s="66"/>
      <c r="G71" s="63"/>
      <c r="H71" s="67"/>
      <c r="I71" s="68"/>
      <c r="J71" s="68"/>
      <c r="K71" s="32"/>
      <c r="L71" s="75">
        <v>71</v>
      </c>
      <c r="M71" s="75"/>
      <c r="N71" s="70"/>
      <c r="O71" s="77" t="s">
        <v>179</v>
      </c>
      <c r="P71" s="79">
        <v>45075.749363425923</v>
      </c>
      <c r="Q71" s="77" t="s">
        <v>2146</v>
      </c>
      <c r="R71" s="77">
        <v>0</v>
      </c>
      <c r="S71" s="77">
        <v>0</v>
      </c>
      <c r="T71" s="77">
        <v>0</v>
      </c>
      <c r="U71" s="77">
        <v>0</v>
      </c>
      <c r="V71" s="77">
        <v>107</v>
      </c>
      <c r="W71" s="80" t="s">
        <v>5941</v>
      </c>
      <c r="X71" s="83" t="str">
        <f>HYPERLINK("https://diariodovale.com.br/tempo-real/mercado-de-cartao-de-credito-cresce-309-entre-2019-e-2022/")</f>
        <v>https://diariodovale.com.br/tempo-real/mercado-de-cartao-de-credito-cresce-309-entre-2019-e-2022/</v>
      </c>
      <c r="Y71" s="77" t="s">
        <v>8611</v>
      </c>
      <c r="Z71" s="77"/>
      <c r="AA71" s="77" t="s">
        <v>9059</v>
      </c>
      <c r="AB71" s="77" t="s">
        <v>10535</v>
      </c>
      <c r="AC71" s="80" t="s">
        <v>10550</v>
      </c>
      <c r="AD71" s="77" t="s">
        <v>10617</v>
      </c>
      <c r="AE71" s="83" t="str">
        <f>HYPERLINK("https://twitter.com/diariodovale/status/1663243577898434584")</f>
        <v>https://twitter.com/diariodovale/status/1663243577898434584</v>
      </c>
      <c r="AF71" s="79">
        <v>45075.749363425923</v>
      </c>
      <c r="AG71" s="85">
        <v>45075</v>
      </c>
      <c r="AH71" s="80" t="s">
        <v>10690</v>
      </c>
      <c r="AI71" s="77" t="b">
        <v>0</v>
      </c>
      <c r="AJ71" s="77"/>
      <c r="AK71" s="77"/>
      <c r="AL71" s="77"/>
      <c r="AM71" s="77"/>
      <c r="AN71" s="77"/>
      <c r="AO71" s="77"/>
      <c r="AP71" s="77"/>
      <c r="AQ71" s="77" t="s">
        <v>14541</v>
      </c>
      <c r="AR71" s="77"/>
      <c r="AS71" s="77"/>
      <c r="AT71" s="77"/>
      <c r="AU71" s="77"/>
      <c r="AV71" s="83" t="str">
        <f>HYPERLINK("https://pbs.twimg.com/media/FxUHOFtWcAEQ8Mn.jpg")</f>
        <v>https://pbs.twimg.com/media/FxUHOFtWcAEQ8Mn.jpg</v>
      </c>
      <c r="AW71" s="80" t="s">
        <v>16072</v>
      </c>
      <c r="AX71" s="80" t="s">
        <v>16072</v>
      </c>
      <c r="AY71" s="77"/>
      <c r="AZ71" s="80" t="s">
        <v>20380</v>
      </c>
      <c r="BA71" s="80" t="s">
        <v>20380</v>
      </c>
      <c r="BB71" s="80" t="s">
        <v>20380</v>
      </c>
      <c r="BC71" s="80" t="s">
        <v>16072</v>
      </c>
      <c r="BD71" s="77">
        <v>24753566</v>
      </c>
      <c r="BE71" s="77"/>
      <c r="BF71" s="77"/>
      <c r="BG71" s="77"/>
      <c r="BH71" s="77"/>
      <c r="BI71" s="77"/>
    </row>
    <row r="72" spans="1:61" x14ac:dyDescent="0.25">
      <c r="A72" s="62" t="s">
        <v>254</v>
      </c>
      <c r="B72" s="62" t="s">
        <v>254</v>
      </c>
      <c r="C72" s="63"/>
      <c r="D72" s="64"/>
      <c r="E72" s="65"/>
      <c r="F72" s="66"/>
      <c r="G72" s="63"/>
      <c r="H72" s="67"/>
      <c r="I72" s="68"/>
      <c r="J72" s="68"/>
      <c r="K72" s="32"/>
      <c r="L72" s="75">
        <v>72</v>
      </c>
      <c r="M72" s="75"/>
      <c r="N72" s="70"/>
      <c r="O72" s="77" t="s">
        <v>179</v>
      </c>
      <c r="P72" s="79">
        <v>45054.542013888888</v>
      </c>
      <c r="Q72" s="77" t="s">
        <v>2147</v>
      </c>
      <c r="R72" s="77">
        <v>0</v>
      </c>
      <c r="S72" s="77">
        <v>1</v>
      </c>
      <c r="T72" s="77">
        <v>0</v>
      </c>
      <c r="U72" s="77">
        <v>0</v>
      </c>
      <c r="V72" s="77">
        <v>132</v>
      </c>
      <c r="W72" s="80" t="s">
        <v>5942</v>
      </c>
      <c r="X72" s="83" t="str">
        <f>HYPERLINK("https://diariodovale.com.br/tempo-real/previsao-de-inflacao-do-mercado-financeiro-cai-para-602-em-2023/")</f>
        <v>https://diariodovale.com.br/tempo-real/previsao-de-inflacao-do-mercado-financeiro-cai-para-602-em-2023/</v>
      </c>
      <c r="Y72" s="77" t="s">
        <v>8611</v>
      </c>
      <c r="Z72" s="77"/>
      <c r="AA72" s="77"/>
      <c r="AB72" s="77"/>
      <c r="AC72" s="80" t="s">
        <v>10541</v>
      </c>
      <c r="AD72" s="77" t="s">
        <v>10617</v>
      </c>
      <c r="AE72" s="83" t="str">
        <f>HYPERLINK("https://twitter.com/diariodovale/status/1655558293786447875")</f>
        <v>https://twitter.com/diariodovale/status/1655558293786447875</v>
      </c>
      <c r="AF72" s="79">
        <v>45054.542013888888</v>
      </c>
      <c r="AG72" s="85">
        <v>45054</v>
      </c>
      <c r="AH72" s="80" t="s">
        <v>10691</v>
      </c>
      <c r="AI72" s="77" t="b">
        <v>0</v>
      </c>
      <c r="AJ72" s="77"/>
      <c r="AK72" s="77"/>
      <c r="AL72" s="77"/>
      <c r="AM72" s="77"/>
      <c r="AN72" s="77"/>
      <c r="AO72" s="77"/>
      <c r="AP72" s="77"/>
      <c r="AQ72" s="77"/>
      <c r="AR72" s="77"/>
      <c r="AS72" s="77"/>
      <c r="AT72" s="77"/>
      <c r="AU72" s="77"/>
      <c r="AV72" s="83" t="str">
        <f>HYPERLINK("https://pbs.twimg.com/profile_images/1657546161262133249/CgHxXjPN_normal.jpg")</f>
        <v>https://pbs.twimg.com/profile_images/1657546161262133249/CgHxXjPN_normal.jpg</v>
      </c>
      <c r="AW72" s="80" t="s">
        <v>16073</v>
      </c>
      <c r="AX72" s="80" t="s">
        <v>16073</v>
      </c>
      <c r="AY72" s="77"/>
      <c r="AZ72" s="80" t="s">
        <v>20380</v>
      </c>
      <c r="BA72" s="80" t="s">
        <v>20380</v>
      </c>
      <c r="BB72" s="80" t="s">
        <v>20380</v>
      </c>
      <c r="BC72" s="80" t="s">
        <v>16073</v>
      </c>
      <c r="BD72" s="77">
        <v>24753566</v>
      </c>
      <c r="BE72" s="77"/>
      <c r="BF72" s="77"/>
      <c r="BG72" s="77"/>
      <c r="BH72" s="77"/>
      <c r="BI72" s="77"/>
    </row>
    <row r="73" spans="1:61" x14ac:dyDescent="0.25">
      <c r="A73" s="62" t="s">
        <v>254</v>
      </c>
      <c r="B73" s="62" t="s">
        <v>254</v>
      </c>
      <c r="C73" s="63"/>
      <c r="D73" s="64"/>
      <c r="E73" s="65"/>
      <c r="F73" s="66"/>
      <c r="G73" s="63"/>
      <c r="H73" s="67"/>
      <c r="I73" s="68"/>
      <c r="J73" s="68"/>
      <c r="K73" s="32"/>
      <c r="L73" s="75">
        <v>73</v>
      </c>
      <c r="M73" s="75"/>
      <c r="N73" s="70"/>
      <c r="O73" s="77" t="s">
        <v>179</v>
      </c>
      <c r="P73" s="79">
        <v>45100.573125000003</v>
      </c>
      <c r="Q73" s="77" t="s">
        <v>2148</v>
      </c>
      <c r="R73" s="77">
        <v>0</v>
      </c>
      <c r="S73" s="77">
        <v>0</v>
      </c>
      <c r="T73" s="77">
        <v>0</v>
      </c>
      <c r="U73" s="77">
        <v>0</v>
      </c>
      <c r="V73" s="77">
        <v>86</v>
      </c>
      <c r="W73" s="80" t="s">
        <v>5943</v>
      </c>
      <c r="X73" s="83" t="str">
        <f>HYPERLINK("https://diariodovale.com.br/economia/banco-central-divulga-o-lancamento-de-pix-automatico/")</f>
        <v>https://diariodovale.com.br/economia/banco-central-divulga-o-lancamento-de-pix-automatico/</v>
      </c>
      <c r="Y73" s="77" t="s">
        <v>8611</v>
      </c>
      <c r="Z73" s="77"/>
      <c r="AA73" s="77" t="s">
        <v>9060</v>
      </c>
      <c r="AB73" s="77" t="s">
        <v>10535</v>
      </c>
      <c r="AC73" s="80" t="s">
        <v>10550</v>
      </c>
      <c r="AD73" s="77" t="s">
        <v>10617</v>
      </c>
      <c r="AE73" s="83" t="str">
        <f>HYPERLINK("https://twitter.com/diariodovale/status/1672239409230495750")</f>
        <v>https://twitter.com/diariodovale/status/1672239409230495750</v>
      </c>
      <c r="AF73" s="79">
        <v>45100.573125000003</v>
      </c>
      <c r="AG73" s="85">
        <v>45100</v>
      </c>
      <c r="AH73" s="80" t="s">
        <v>10692</v>
      </c>
      <c r="AI73" s="77" t="b">
        <v>0</v>
      </c>
      <c r="AJ73" s="77"/>
      <c r="AK73" s="77"/>
      <c r="AL73" s="77"/>
      <c r="AM73" s="77"/>
      <c r="AN73" s="77"/>
      <c r="AO73" s="77"/>
      <c r="AP73" s="77"/>
      <c r="AQ73" s="77" t="s">
        <v>14542</v>
      </c>
      <c r="AR73" s="77"/>
      <c r="AS73" s="77"/>
      <c r="AT73" s="77"/>
      <c r="AU73" s="77"/>
      <c r="AV73" s="83" t="str">
        <f>HYPERLINK("https://pbs.twimg.com/media/FzT84ZmXgAQ_zqP.jpg")</f>
        <v>https://pbs.twimg.com/media/FzT84ZmXgAQ_zqP.jpg</v>
      </c>
      <c r="AW73" s="80" t="s">
        <v>16074</v>
      </c>
      <c r="AX73" s="80" t="s">
        <v>16074</v>
      </c>
      <c r="AY73" s="77"/>
      <c r="AZ73" s="80" t="s">
        <v>20380</v>
      </c>
      <c r="BA73" s="80" t="s">
        <v>20380</v>
      </c>
      <c r="BB73" s="80" t="s">
        <v>20380</v>
      </c>
      <c r="BC73" s="80" t="s">
        <v>16074</v>
      </c>
      <c r="BD73" s="77">
        <v>24753566</v>
      </c>
      <c r="BE73" s="77"/>
      <c r="BF73" s="77"/>
      <c r="BG73" s="77"/>
      <c r="BH73" s="77"/>
      <c r="BI73" s="77"/>
    </row>
    <row r="74" spans="1:61" x14ac:dyDescent="0.25">
      <c r="A74" s="62" t="s">
        <v>255</v>
      </c>
      <c r="B74" s="62" t="s">
        <v>255</v>
      </c>
      <c r="C74" s="63"/>
      <c r="D74" s="64"/>
      <c r="E74" s="65"/>
      <c r="F74" s="66"/>
      <c r="G74" s="63"/>
      <c r="H74" s="67"/>
      <c r="I74" s="68"/>
      <c r="J74" s="68"/>
      <c r="K74" s="32"/>
      <c r="L74" s="75">
        <v>74</v>
      </c>
      <c r="M74" s="75"/>
      <c r="N74" s="70"/>
      <c r="O74" s="77" t="s">
        <v>179</v>
      </c>
      <c r="P74" s="79">
        <v>45070.770497685182</v>
      </c>
      <c r="Q74" s="77" t="s">
        <v>2149</v>
      </c>
      <c r="R74" s="77">
        <v>3</v>
      </c>
      <c r="S74" s="77">
        <v>15</v>
      </c>
      <c r="T74" s="77">
        <v>0</v>
      </c>
      <c r="U74" s="77">
        <v>0</v>
      </c>
      <c r="V74" s="77">
        <v>904</v>
      </c>
      <c r="W74" s="80" t="s">
        <v>5944</v>
      </c>
      <c r="X74" s="83" t="str">
        <f>HYPERLINK("https://lnkd.in/easw7JTx")</f>
        <v>https://lnkd.in/easw7JTx</v>
      </c>
      <c r="Y74" s="77" t="s">
        <v>8619</v>
      </c>
      <c r="Z74" s="77"/>
      <c r="AA74" s="77" t="s">
        <v>9061</v>
      </c>
      <c r="AB74" s="77" t="s">
        <v>10535</v>
      </c>
      <c r="AC74" s="80" t="s">
        <v>10541</v>
      </c>
      <c r="AD74" s="77" t="s">
        <v>10620</v>
      </c>
      <c r="AE74" s="83" t="str">
        <f>HYPERLINK("https://twitter.com/invertixrd/status/1661439298871197698")</f>
        <v>https://twitter.com/invertixrd/status/1661439298871197698</v>
      </c>
      <c r="AF74" s="79">
        <v>45070.770497685182</v>
      </c>
      <c r="AG74" s="85">
        <v>45070</v>
      </c>
      <c r="AH74" s="80" t="s">
        <v>10693</v>
      </c>
      <c r="AI74" s="77" t="b">
        <v>0</v>
      </c>
      <c r="AJ74" s="77"/>
      <c r="AK74" s="77"/>
      <c r="AL74" s="77"/>
      <c r="AM74" s="77"/>
      <c r="AN74" s="77"/>
      <c r="AO74" s="77"/>
      <c r="AP74" s="77"/>
      <c r="AQ74" s="77" t="s">
        <v>14543</v>
      </c>
      <c r="AR74" s="77"/>
      <c r="AS74" s="77"/>
      <c r="AT74" s="77"/>
      <c r="AU74" s="77"/>
      <c r="AV74" s="83" t="str">
        <f>HYPERLINK("https://pbs.twimg.com/media/Fw6eNPyXgBQrPWD.jpg")</f>
        <v>https://pbs.twimg.com/media/Fw6eNPyXgBQrPWD.jpg</v>
      </c>
      <c r="AW74" s="80" t="s">
        <v>16075</v>
      </c>
      <c r="AX74" s="80" t="s">
        <v>16075</v>
      </c>
      <c r="AY74" s="77"/>
      <c r="AZ74" s="80" t="s">
        <v>20380</v>
      </c>
      <c r="BA74" s="80" t="s">
        <v>20380</v>
      </c>
      <c r="BB74" s="80" t="s">
        <v>20380</v>
      </c>
      <c r="BC74" s="80" t="s">
        <v>16075</v>
      </c>
      <c r="BD74" s="80" t="s">
        <v>20507</v>
      </c>
      <c r="BE74" s="77"/>
      <c r="BF74" s="77"/>
      <c r="BG74" s="77"/>
      <c r="BH74" s="77"/>
      <c r="BI74" s="77"/>
    </row>
    <row r="75" spans="1:61" x14ac:dyDescent="0.25">
      <c r="A75" s="62" t="s">
        <v>255</v>
      </c>
      <c r="B75" s="62" t="s">
        <v>255</v>
      </c>
      <c r="C75" s="63"/>
      <c r="D75" s="64"/>
      <c r="E75" s="65"/>
      <c r="F75" s="66"/>
      <c r="G75" s="63"/>
      <c r="H75" s="67"/>
      <c r="I75" s="68"/>
      <c r="J75" s="68"/>
      <c r="K75" s="32"/>
      <c r="L75" s="75">
        <v>75</v>
      </c>
      <c r="M75" s="75"/>
      <c r="N75" s="70"/>
      <c r="O75" s="77" t="s">
        <v>179</v>
      </c>
      <c r="P75" s="79">
        <v>45169.758726851855</v>
      </c>
      <c r="Q75" s="77" t="s">
        <v>2150</v>
      </c>
      <c r="R75" s="77">
        <v>7</v>
      </c>
      <c r="S75" s="77">
        <v>20</v>
      </c>
      <c r="T75" s="77">
        <v>0</v>
      </c>
      <c r="U75" s="77">
        <v>0</v>
      </c>
      <c r="V75" s="77">
        <v>2510</v>
      </c>
      <c r="W75" s="80" t="s">
        <v>5945</v>
      </c>
      <c r="X75" s="83" t="str">
        <f>HYPERLINK("https://invertix.com.do/bcrd-reduce-su-tasa-de-politica-monetaria-en-25-puntos-basicos-disminuyendo-de-7-75-a-7-50-anual/")</f>
        <v>https://invertix.com.do/bcrd-reduce-su-tasa-de-politica-monetaria-en-25-puntos-basicos-disminuyendo-de-7-75-a-7-50-anual/</v>
      </c>
      <c r="Y75" s="77" t="s">
        <v>8625</v>
      </c>
      <c r="Z75" s="77"/>
      <c r="AA75" s="77" t="s">
        <v>9062</v>
      </c>
      <c r="AB75" s="77" t="s">
        <v>10535</v>
      </c>
      <c r="AC75" s="80" t="s">
        <v>10541</v>
      </c>
      <c r="AD75" s="77" t="s">
        <v>10620</v>
      </c>
      <c r="AE75" s="83" t="str">
        <f>HYPERLINK("https://twitter.com/invertixrd/status/1697311430683377920")</f>
        <v>https://twitter.com/invertixrd/status/1697311430683377920</v>
      </c>
      <c r="AF75" s="79">
        <v>45169.758726851855</v>
      </c>
      <c r="AG75" s="85">
        <v>45169</v>
      </c>
      <c r="AH75" s="80" t="s">
        <v>10694</v>
      </c>
      <c r="AI75" s="77" t="b">
        <v>0</v>
      </c>
      <c r="AJ75" s="77"/>
      <c r="AK75" s="77"/>
      <c r="AL75" s="77"/>
      <c r="AM75" s="77"/>
      <c r="AN75" s="77"/>
      <c r="AO75" s="77"/>
      <c r="AP75" s="77"/>
      <c r="AQ75" s="77" t="s">
        <v>14544</v>
      </c>
      <c r="AR75" s="77"/>
      <c r="AS75" s="77"/>
      <c r="AT75" s="77"/>
      <c r="AU75" s="77"/>
      <c r="AV75" s="83" t="str">
        <f>HYPERLINK("https://pbs.twimg.com/media/F44PtoRWsAAkxoV.jpg")</f>
        <v>https://pbs.twimg.com/media/F44PtoRWsAAkxoV.jpg</v>
      </c>
      <c r="AW75" s="80" t="s">
        <v>16076</v>
      </c>
      <c r="AX75" s="80" t="s">
        <v>16076</v>
      </c>
      <c r="AY75" s="77"/>
      <c r="AZ75" s="80" t="s">
        <v>20380</v>
      </c>
      <c r="BA75" s="80" t="s">
        <v>20380</v>
      </c>
      <c r="BB75" s="80" t="s">
        <v>20380</v>
      </c>
      <c r="BC75" s="80" t="s">
        <v>16076</v>
      </c>
      <c r="BD75" s="80" t="s">
        <v>20507</v>
      </c>
      <c r="BE75" s="77"/>
      <c r="BF75" s="77"/>
      <c r="BG75" s="77"/>
      <c r="BH75" s="77"/>
      <c r="BI75" s="77"/>
    </row>
    <row r="76" spans="1:61" x14ac:dyDescent="0.25">
      <c r="A76" s="62" t="s">
        <v>255</v>
      </c>
      <c r="B76" s="62" t="s">
        <v>255</v>
      </c>
      <c r="C76" s="63"/>
      <c r="D76" s="64"/>
      <c r="E76" s="65"/>
      <c r="F76" s="66"/>
      <c r="G76" s="63"/>
      <c r="H76" s="67"/>
      <c r="I76" s="68"/>
      <c r="J76" s="68"/>
      <c r="K76" s="32"/>
      <c r="L76" s="75">
        <v>76</v>
      </c>
      <c r="M76" s="75"/>
      <c r="N76" s="70"/>
      <c r="O76" s="77" t="s">
        <v>179</v>
      </c>
      <c r="P76" s="79">
        <v>45181.774525462963</v>
      </c>
      <c r="Q76" s="77" t="s">
        <v>2151</v>
      </c>
      <c r="R76" s="77">
        <v>0</v>
      </c>
      <c r="S76" s="77">
        <v>2</v>
      </c>
      <c r="T76" s="77">
        <v>0</v>
      </c>
      <c r="U76" s="77">
        <v>0</v>
      </c>
      <c r="V76" s="77">
        <v>726</v>
      </c>
      <c r="W76" s="80" t="s">
        <v>5946</v>
      </c>
      <c r="X76" s="83" t="str">
        <f>HYPERLINK("https://invertix.com.do/inflacion-interanual-general-en-agosto-2023-fue-de-4-27-y-subyacente-de-4-82-situandose-ambas-dentro-del-rango-meta/")</f>
        <v>https://invertix.com.do/inflacion-interanual-general-en-agosto-2023-fue-de-4-27-y-subyacente-de-4-82-situandose-ambas-dentro-del-rango-meta/</v>
      </c>
      <c r="Y76" s="77" t="s">
        <v>8625</v>
      </c>
      <c r="Z76" s="77"/>
      <c r="AA76" s="77" t="s">
        <v>9063</v>
      </c>
      <c r="AB76" s="77" t="s">
        <v>10535</v>
      </c>
      <c r="AC76" s="80" t="s">
        <v>10541</v>
      </c>
      <c r="AD76" s="77" t="s">
        <v>10620</v>
      </c>
      <c r="AE76" s="83" t="str">
        <f>HYPERLINK("https://twitter.com/invertixrd/status/1701665811138552317")</f>
        <v>https://twitter.com/invertixrd/status/1701665811138552317</v>
      </c>
      <c r="AF76" s="79">
        <v>45181.774525462963</v>
      </c>
      <c r="AG76" s="85">
        <v>45181</v>
      </c>
      <c r="AH76" s="80" t="s">
        <v>10695</v>
      </c>
      <c r="AI76" s="77" t="b">
        <v>0</v>
      </c>
      <c r="AJ76" s="77"/>
      <c r="AK76" s="77"/>
      <c r="AL76" s="77"/>
      <c r="AM76" s="77"/>
      <c r="AN76" s="77"/>
      <c r="AO76" s="77"/>
      <c r="AP76" s="77"/>
      <c r="AQ76" s="77" t="s">
        <v>14545</v>
      </c>
      <c r="AR76" s="77"/>
      <c r="AS76" s="77"/>
      <c r="AT76" s="77"/>
      <c r="AU76" s="77"/>
      <c r="AV76" s="83" t="str">
        <f>HYPERLINK("https://pbs.twimg.com/media/F52IBGFWgAAuvAz.jpg")</f>
        <v>https://pbs.twimg.com/media/F52IBGFWgAAuvAz.jpg</v>
      </c>
      <c r="AW76" s="80" t="s">
        <v>16077</v>
      </c>
      <c r="AX76" s="80" t="s">
        <v>16077</v>
      </c>
      <c r="AY76" s="77"/>
      <c r="AZ76" s="80" t="s">
        <v>20380</v>
      </c>
      <c r="BA76" s="80" t="s">
        <v>20380</v>
      </c>
      <c r="BB76" s="80" t="s">
        <v>20380</v>
      </c>
      <c r="BC76" s="80" t="s">
        <v>16077</v>
      </c>
      <c r="BD76" s="80" t="s">
        <v>20507</v>
      </c>
      <c r="BE76" s="77"/>
      <c r="BF76" s="77"/>
      <c r="BG76" s="77"/>
      <c r="BH76" s="77"/>
      <c r="BI76" s="77"/>
    </row>
    <row r="77" spans="1:61" x14ac:dyDescent="0.25">
      <c r="A77" s="62" t="s">
        <v>255</v>
      </c>
      <c r="B77" s="62" t="s">
        <v>255</v>
      </c>
      <c r="C77" s="63"/>
      <c r="D77" s="64"/>
      <c r="E77" s="65"/>
      <c r="F77" s="66"/>
      <c r="G77" s="63"/>
      <c r="H77" s="67"/>
      <c r="I77" s="68"/>
      <c r="J77" s="68"/>
      <c r="K77" s="32"/>
      <c r="L77" s="75">
        <v>77</v>
      </c>
      <c r="M77" s="75"/>
      <c r="N77" s="70"/>
      <c r="O77" s="77" t="s">
        <v>179</v>
      </c>
      <c r="P77" s="79">
        <v>45077.790023148147</v>
      </c>
      <c r="Q77" s="77" t="s">
        <v>2152</v>
      </c>
      <c r="R77" s="77">
        <v>4</v>
      </c>
      <c r="S77" s="77">
        <v>20</v>
      </c>
      <c r="T77" s="77">
        <v>3</v>
      </c>
      <c r="U77" s="77">
        <v>2</v>
      </c>
      <c r="V77" s="77">
        <v>3154</v>
      </c>
      <c r="W77" s="80" t="s">
        <v>5947</v>
      </c>
      <c r="X77" s="83" t="str">
        <f>HYPERLINK("https://lnkd.in/eVDMmkUw")</f>
        <v>https://lnkd.in/eVDMmkUw</v>
      </c>
      <c r="Y77" s="77" t="s">
        <v>8619</v>
      </c>
      <c r="Z77" s="77"/>
      <c r="AA77" s="77" t="s">
        <v>9064</v>
      </c>
      <c r="AB77" s="77" t="s">
        <v>10535</v>
      </c>
      <c r="AC77" s="80" t="s">
        <v>10541</v>
      </c>
      <c r="AD77" s="77" t="s">
        <v>10620</v>
      </c>
      <c r="AE77" s="83" t="str">
        <f>HYPERLINK("https://twitter.com/invertixrd/status/1663983088144138249")</f>
        <v>https://twitter.com/invertixrd/status/1663983088144138249</v>
      </c>
      <c r="AF77" s="79">
        <v>45077.790023148147</v>
      </c>
      <c r="AG77" s="85">
        <v>45077</v>
      </c>
      <c r="AH77" s="80" t="s">
        <v>10696</v>
      </c>
      <c r="AI77" s="77" t="b">
        <v>0</v>
      </c>
      <c r="AJ77" s="77"/>
      <c r="AK77" s="77"/>
      <c r="AL77" s="77"/>
      <c r="AM77" s="77"/>
      <c r="AN77" s="77"/>
      <c r="AO77" s="77"/>
      <c r="AP77" s="77"/>
      <c r="AQ77" s="77" t="s">
        <v>14546</v>
      </c>
      <c r="AR77" s="77"/>
      <c r="AS77" s="77"/>
      <c r="AT77" s="77"/>
      <c r="AU77" s="77"/>
      <c r="AV77" s="83" t="str">
        <f>HYPERLINK("https://pbs.twimg.com/media/FxenjeYWwAwdegH.jpg")</f>
        <v>https://pbs.twimg.com/media/FxenjeYWwAwdegH.jpg</v>
      </c>
      <c r="AW77" s="80" t="s">
        <v>16078</v>
      </c>
      <c r="AX77" s="80" t="s">
        <v>16078</v>
      </c>
      <c r="AY77" s="77"/>
      <c r="AZ77" s="80" t="s">
        <v>20380</v>
      </c>
      <c r="BA77" s="80" t="s">
        <v>20380</v>
      </c>
      <c r="BB77" s="80" t="s">
        <v>20380</v>
      </c>
      <c r="BC77" s="80" t="s">
        <v>16078</v>
      </c>
      <c r="BD77" s="80" t="s">
        <v>20507</v>
      </c>
      <c r="BE77" s="77"/>
      <c r="BF77" s="77"/>
      <c r="BG77" s="77"/>
      <c r="BH77" s="77"/>
      <c r="BI77" s="77"/>
    </row>
    <row r="78" spans="1:61" x14ac:dyDescent="0.25">
      <c r="A78" s="62" t="s">
        <v>255</v>
      </c>
      <c r="B78" s="62" t="s">
        <v>255</v>
      </c>
      <c r="C78" s="63"/>
      <c r="D78" s="64"/>
      <c r="E78" s="65"/>
      <c r="F78" s="66"/>
      <c r="G78" s="63"/>
      <c r="H78" s="67"/>
      <c r="I78" s="68"/>
      <c r="J78" s="68"/>
      <c r="K78" s="32"/>
      <c r="L78" s="75">
        <v>78</v>
      </c>
      <c r="M78" s="75"/>
      <c r="N78" s="70"/>
      <c r="O78" s="77" t="s">
        <v>179</v>
      </c>
      <c r="P78" s="79">
        <v>45183.552905092591</v>
      </c>
      <c r="Q78" s="77" t="s">
        <v>2153</v>
      </c>
      <c r="R78" s="77">
        <v>0</v>
      </c>
      <c r="S78" s="77">
        <v>2</v>
      </c>
      <c r="T78" s="77">
        <v>0</v>
      </c>
      <c r="U78" s="77">
        <v>0</v>
      </c>
      <c r="V78" s="77">
        <v>74</v>
      </c>
      <c r="W78" s="80" t="s">
        <v>5948</v>
      </c>
      <c r="X78" s="83" t="str">
        <f>HYPERLINK("https://invertix.com.do/el-banco-central-europeo-sube-otros-25-puntos-basicos-los-tipos-llevandolos-a-maximos-de-2001/")</f>
        <v>https://invertix.com.do/el-banco-central-europeo-sube-otros-25-puntos-basicos-los-tipos-llevandolos-a-maximos-de-2001/</v>
      </c>
      <c r="Y78" s="77" t="s">
        <v>8625</v>
      </c>
      <c r="Z78" s="77"/>
      <c r="AA78" s="77" t="s">
        <v>9065</v>
      </c>
      <c r="AB78" s="77" t="s">
        <v>10535</v>
      </c>
      <c r="AC78" s="80" t="s">
        <v>10541</v>
      </c>
      <c r="AD78" s="77" t="s">
        <v>10620</v>
      </c>
      <c r="AE78" s="83" t="str">
        <f>HYPERLINK("https://twitter.com/invertixrd/status/1702310273657282698")</f>
        <v>https://twitter.com/invertixrd/status/1702310273657282698</v>
      </c>
      <c r="AF78" s="79">
        <v>45183.552905092591</v>
      </c>
      <c r="AG78" s="85">
        <v>45183</v>
      </c>
      <c r="AH78" s="80" t="s">
        <v>10697</v>
      </c>
      <c r="AI78" s="77" t="b">
        <v>0</v>
      </c>
      <c r="AJ78" s="77"/>
      <c r="AK78" s="77"/>
      <c r="AL78" s="77"/>
      <c r="AM78" s="77"/>
      <c r="AN78" s="77"/>
      <c r="AO78" s="77"/>
      <c r="AP78" s="77"/>
      <c r="AQ78" s="77" t="s">
        <v>14547</v>
      </c>
      <c r="AR78" s="77"/>
      <c r="AS78" s="77"/>
      <c r="AT78" s="77"/>
      <c r="AU78" s="77"/>
      <c r="AV78" s="83" t="str">
        <f>HYPERLINK("https://pbs.twimg.com/media/F5_SFvuWIAAT3X4.jpg")</f>
        <v>https://pbs.twimg.com/media/F5_SFvuWIAAT3X4.jpg</v>
      </c>
      <c r="AW78" s="80" t="s">
        <v>16079</v>
      </c>
      <c r="AX78" s="80" t="s">
        <v>16079</v>
      </c>
      <c r="AY78" s="77"/>
      <c r="AZ78" s="80" t="s">
        <v>20380</v>
      </c>
      <c r="BA78" s="80" t="s">
        <v>20380</v>
      </c>
      <c r="BB78" s="80" t="s">
        <v>20380</v>
      </c>
      <c r="BC78" s="80" t="s">
        <v>16079</v>
      </c>
      <c r="BD78" s="80" t="s">
        <v>20507</v>
      </c>
      <c r="BE78" s="77"/>
      <c r="BF78" s="77"/>
      <c r="BG78" s="77"/>
      <c r="BH78" s="77"/>
      <c r="BI78" s="77"/>
    </row>
    <row r="79" spans="1:61" x14ac:dyDescent="0.25">
      <c r="A79" s="62" t="s">
        <v>255</v>
      </c>
      <c r="B79" s="62" t="s">
        <v>255</v>
      </c>
      <c r="C79" s="63"/>
      <c r="D79" s="64"/>
      <c r="E79" s="65"/>
      <c r="F79" s="66"/>
      <c r="G79" s="63"/>
      <c r="H79" s="67"/>
      <c r="I79" s="68"/>
      <c r="J79" s="68"/>
      <c r="K79" s="32"/>
      <c r="L79" s="75">
        <v>79</v>
      </c>
      <c r="M79" s="75"/>
      <c r="N79" s="70"/>
      <c r="O79" s="77" t="s">
        <v>179</v>
      </c>
      <c r="P79" s="79">
        <v>45174.888379629629</v>
      </c>
      <c r="Q79" s="77" t="s">
        <v>2154</v>
      </c>
      <c r="R79" s="77">
        <v>0</v>
      </c>
      <c r="S79" s="77">
        <v>0</v>
      </c>
      <c r="T79" s="77">
        <v>0</v>
      </c>
      <c r="U79" s="77">
        <v>0</v>
      </c>
      <c r="V79" s="77">
        <v>59</v>
      </c>
      <c r="W79" s="80" t="s">
        <v>5949</v>
      </c>
      <c r="X79" s="83" t="str">
        <f>HYPERLINK("https://invertix.com.do/gobernador-del-banco-central-destaca-robustez-del-sistema-financiero-en-el-cierre-del-ix-congreso-de-abancord/")</f>
        <v>https://invertix.com.do/gobernador-del-banco-central-destaca-robustez-del-sistema-financiero-en-el-cierre-del-ix-congreso-de-abancord/</v>
      </c>
      <c r="Y79" s="77" t="s">
        <v>8625</v>
      </c>
      <c r="Z79" s="77"/>
      <c r="AA79" s="77" t="s">
        <v>9066</v>
      </c>
      <c r="AB79" s="77" t="s">
        <v>10535</v>
      </c>
      <c r="AC79" s="80" t="s">
        <v>10541</v>
      </c>
      <c r="AD79" s="77" t="s">
        <v>10620</v>
      </c>
      <c r="AE79" s="83" t="str">
        <f>HYPERLINK("https://twitter.com/invertixrd/status/1699170356026896577")</f>
        <v>https://twitter.com/invertixrd/status/1699170356026896577</v>
      </c>
      <c r="AF79" s="79">
        <v>45174.888379629629</v>
      </c>
      <c r="AG79" s="85">
        <v>45174</v>
      </c>
      <c r="AH79" s="80" t="s">
        <v>10698</v>
      </c>
      <c r="AI79" s="77" t="b">
        <v>0</v>
      </c>
      <c r="AJ79" s="77"/>
      <c r="AK79" s="77"/>
      <c r="AL79" s="77"/>
      <c r="AM79" s="77"/>
      <c r="AN79" s="77"/>
      <c r="AO79" s="77"/>
      <c r="AP79" s="77"/>
      <c r="AQ79" s="77" t="s">
        <v>14548</v>
      </c>
      <c r="AR79" s="77"/>
      <c r="AS79" s="77"/>
      <c r="AT79" s="77"/>
      <c r="AU79" s="77"/>
      <c r="AV79" s="83" t="str">
        <f>HYPERLINK("https://pbs.twimg.com/media/F5SqbCzWsAAWFaT.jpg")</f>
        <v>https://pbs.twimg.com/media/F5SqbCzWsAAWFaT.jpg</v>
      </c>
      <c r="AW79" s="80" t="s">
        <v>16080</v>
      </c>
      <c r="AX79" s="80" t="s">
        <v>16080</v>
      </c>
      <c r="AY79" s="77"/>
      <c r="AZ79" s="80" t="s">
        <v>20380</v>
      </c>
      <c r="BA79" s="80" t="s">
        <v>20380</v>
      </c>
      <c r="BB79" s="80" t="s">
        <v>20380</v>
      </c>
      <c r="BC79" s="80" t="s">
        <v>16080</v>
      </c>
      <c r="BD79" s="80" t="s">
        <v>20507</v>
      </c>
      <c r="BE79" s="77"/>
      <c r="BF79" s="77"/>
      <c r="BG79" s="77"/>
      <c r="BH79" s="77"/>
      <c r="BI79" s="77"/>
    </row>
    <row r="80" spans="1:61" x14ac:dyDescent="0.25">
      <c r="A80" s="62" t="s">
        <v>255</v>
      </c>
      <c r="B80" s="62" t="s">
        <v>255</v>
      </c>
      <c r="C80" s="63"/>
      <c r="D80" s="64"/>
      <c r="E80" s="65"/>
      <c r="F80" s="66"/>
      <c r="G80" s="63"/>
      <c r="H80" s="67"/>
      <c r="I80" s="68"/>
      <c r="J80" s="68"/>
      <c r="K80" s="32"/>
      <c r="L80" s="75">
        <v>80</v>
      </c>
      <c r="M80" s="75"/>
      <c r="N80" s="70"/>
      <c r="O80" s="77" t="s">
        <v>179</v>
      </c>
      <c r="P80" s="79">
        <v>45048.828356481485</v>
      </c>
      <c r="Q80" s="77" t="s">
        <v>2155</v>
      </c>
      <c r="R80" s="77">
        <v>1</v>
      </c>
      <c r="S80" s="77">
        <v>7</v>
      </c>
      <c r="T80" s="77">
        <v>0</v>
      </c>
      <c r="U80" s="77">
        <v>0</v>
      </c>
      <c r="V80" s="77">
        <v>636</v>
      </c>
      <c r="W80" s="80" t="s">
        <v>5950</v>
      </c>
      <c r="X80" s="83" t="str">
        <f>HYPERLINK("https://lnkd.in/ep27ecK4")</f>
        <v>https://lnkd.in/ep27ecK4</v>
      </c>
      <c r="Y80" s="77" t="s">
        <v>8619</v>
      </c>
      <c r="Z80" s="77"/>
      <c r="AA80" s="77" t="s">
        <v>9067</v>
      </c>
      <c r="AB80" s="77" t="s">
        <v>10535</v>
      </c>
      <c r="AC80" s="80" t="s">
        <v>10541</v>
      </c>
      <c r="AD80" s="77" t="s">
        <v>10620</v>
      </c>
      <c r="AE80" s="83" t="str">
        <f>HYPERLINK("https://twitter.com/invertixrd/status/1653487732381843457")</f>
        <v>https://twitter.com/invertixrd/status/1653487732381843457</v>
      </c>
      <c r="AF80" s="79">
        <v>45048.828356481485</v>
      </c>
      <c r="AG80" s="85">
        <v>45048</v>
      </c>
      <c r="AH80" s="80" t="s">
        <v>10699</v>
      </c>
      <c r="AI80" s="77" t="b">
        <v>0</v>
      </c>
      <c r="AJ80" s="77"/>
      <c r="AK80" s="77"/>
      <c r="AL80" s="77"/>
      <c r="AM80" s="77"/>
      <c r="AN80" s="77"/>
      <c r="AO80" s="77"/>
      <c r="AP80" s="77"/>
      <c r="AQ80" s="77" t="s">
        <v>14549</v>
      </c>
      <c r="AR80" s="77"/>
      <c r="AS80" s="77"/>
      <c r="AT80" s="77"/>
      <c r="AU80" s="77"/>
      <c r="AV80" s="83" t="str">
        <f>HYPERLINK("https://pbs.twimg.com/media/FvJeTU2XgAMOBlg.jpg")</f>
        <v>https://pbs.twimg.com/media/FvJeTU2XgAMOBlg.jpg</v>
      </c>
      <c r="AW80" s="80" t="s">
        <v>16081</v>
      </c>
      <c r="AX80" s="80" t="s">
        <v>16081</v>
      </c>
      <c r="AY80" s="77"/>
      <c r="AZ80" s="80" t="s">
        <v>20380</v>
      </c>
      <c r="BA80" s="80" t="s">
        <v>20380</v>
      </c>
      <c r="BB80" s="80" t="s">
        <v>20380</v>
      </c>
      <c r="BC80" s="80" t="s">
        <v>16081</v>
      </c>
      <c r="BD80" s="80" t="s">
        <v>20507</v>
      </c>
      <c r="BE80" s="77"/>
      <c r="BF80" s="77"/>
      <c r="BG80" s="77"/>
      <c r="BH80" s="77"/>
      <c r="BI80" s="77"/>
    </row>
    <row r="81" spans="1:61" x14ac:dyDescent="0.25">
      <c r="A81" s="62" t="s">
        <v>256</v>
      </c>
      <c r="B81" s="62" t="s">
        <v>256</v>
      </c>
      <c r="C81" s="63"/>
      <c r="D81" s="64"/>
      <c r="E81" s="65"/>
      <c r="F81" s="66"/>
      <c r="G81" s="63"/>
      <c r="H81" s="67"/>
      <c r="I81" s="68"/>
      <c r="J81" s="68"/>
      <c r="K81" s="32"/>
      <c r="L81" s="75">
        <v>81</v>
      </c>
      <c r="M81" s="75"/>
      <c r="N81" s="70"/>
      <c r="O81" s="77" t="s">
        <v>179</v>
      </c>
      <c r="P81" s="79">
        <v>45169.454976851855</v>
      </c>
      <c r="Q81" s="77" t="s">
        <v>2156</v>
      </c>
      <c r="R81" s="77">
        <v>2</v>
      </c>
      <c r="S81" s="77">
        <v>2</v>
      </c>
      <c r="T81" s="77">
        <v>1</v>
      </c>
      <c r="U81" s="77">
        <v>0</v>
      </c>
      <c r="V81" s="77">
        <v>99</v>
      </c>
      <c r="W81" s="80" t="s">
        <v>5951</v>
      </c>
      <c r="X81" s="77"/>
      <c r="Y81" s="77"/>
      <c r="Z81" s="77"/>
      <c r="AA81" s="77" t="s">
        <v>9068</v>
      </c>
      <c r="AB81" s="77" t="s">
        <v>10535</v>
      </c>
      <c r="AC81" s="80" t="s">
        <v>10540</v>
      </c>
      <c r="AD81" s="77" t="s">
        <v>10620</v>
      </c>
      <c r="AE81" s="83" t="str">
        <f>HYPERLINK("https://twitter.com/gabi_agustin_g/status/1697201356514160849")</f>
        <v>https://twitter.com/gabi_agustin_g/status/1697201356514160849</v>
      </c>
      <c r="AF81" s="79">
        <v>45169.454976851855</v>
      </c>
      <c r="AG81" s="85">
        <v>45169</v>
      </c>
      <c r="AH81" s="80" t="s">
        <v>10700</v>
      </c>
      <c r="AI81" s="77" t="b">
        <v>0</v>
      </c>
      <c r="AJ81" s="77"/>
      <c r="AK81" s="77"/>
      <c r="AL81" s="77"/>
      <c r="AM81" s="77"/>
      <c r="AN81" s="77"/>
      <c r="AO81" s="77"/>
      <c r="AP81" s="77"/>
      <c r="AQ81" s="77" t="s">
        <v>14550</v>
      </c>
      <c r="AR81" s="77"/>
      <c r="AS81" s="77"/>
      <c r="AT81" s="77"/>
      <c r="AU81" s="77"/>
      <c r="AV81" s="83" t="str">
        <f>HYPERLINK("https://pbs.twimg.com/media/F42ro6sW4AA3MX6.jpg")</f>
        <v>https://pbs.twimg.com/media/F42ro6sW4AA3MX6.jpg</v>
      </c>
      <c r="AW81" s="80" t="s">
        <v>16082</v>
      </c>
      <c r="AX81" s="80" t="s">
        <v>16082</v>
      </c>
      <c r="AY81" s="77"/>
      <c r="AZ81" s="80" t="s">
        <v>20380</v>
      </c>
      <c r="BA81" s="80" t="s">
        <v>20380</v>
      </c>
      <c r="BB81" s="80" t="s">
        <v>20380</v>
      </c>
      <c r="BC81" s="80" t="s">
        <v>16082</v>
      </c>
      <c r="BD81" s="80" t="s">
        <v>20508</v>
      </c>
      <c r="BE81" s="77"/>
      <c r="BF81" s="77"/>
      <c r="BG81" s="77"/>
      <c r="BH81" s="77"/>
      <c r="BI81" s="77"/>
    </row>
    <row r="82" spans="1:61" x14ac:dyDescent="0.25">
      <c r="A82" s="62" t="s">
        <v>257</v>
      </c>
      <c r="B82" s="62" t="s">
        <v>257</v>
      </c>
      <c r="C82" s="63"/>
      <c r="D82" s="64"/>
      <c r="E82" s="65"/>
      <c r="F82" s="66"/>
      <c r="G82" s="63"/>
      <c r="H82" s="67"/>
      <c r="I82" s="68"/>
      <c r="J82" s="68"/>
      <c r="K82" s="32"/>
      <c r="L82" s="75">
        <v>82</v>
      </c>
      <c r="M82" s="75"/>
      <c r="N82" s="70"/>
      <c r="O82" s="77" t="s">
        <v>179</v>
      </c>
      <c r="P82" s="79">
        <v>45078.464999999997</v>
      </c>
      <c r="Q82" s="77" t="s">
        <v>2157</v>
      </c>
      <c r="R82" s="77">
        <v>0</v>
      </c>
      <c r="S82" s="77">
        <v>0</v>
      </c>
      <c r="T82" s="77">
        <v>0</v>
      </c>
      <c r="U82" s="77">
        <v>0</v>
      </c>
      <c r="V82" s="77">
        <v>29</v>
      </c>
      <c r="W82" s="80" t="s">
        <v>5952</v>
      </c>
      <c r="X82" s="83" t="str">
        <f>HYPERLINK("https://comuna13caba.com.ar/la-cotizacion-del-1-de-junio-de-2023/")</f>
        <v>https://comuna13caba.com.ar/la-cotizacion-del-1-de-junio-de-2023/</v>
      </c>
      <c r="Y82" s="77" t="s">
        <v>8624</v>
      </c>
      <c r="Z82" s="77"/>
      <c r="AA82" s="77"/>
      <c r="AB82" s="77"/>
      <c r="AC82" s="80" t="s">
        <v>10546</v>
      </c>
      <c r="AD82" s="77" t="s">
        <v>10620</v>
      </c>
      <c r="AE82" s="83" t="str">
        <f>HYPERLINK("https://twitter.com/comuna13caba/status/1664227694924513280")</f>
        <v>https://twitter.com/comuna13caba/status/1664227694924513280</v>
      </c>
      <c r="AF82" s="79">
        <v>45078.464999999997</v>
      </c>
      <c r="AG82" s="85">
        <v>45078</v>
      </c>
      <c r="AH82" s="80" t="s">
        <v>10701</v>
      </c>
      <c r="AI82" s="77" t="b">
        <v>0</v>
      </c>
      <c r="AJ82" s="77"/>
      <c r="AK82" s="77"/>
      <c r="AL82" s="77"/>
      <c r="AM82" s="77"/>
      <c r="AN82" s="77"/>
      <c r="AO82" s="77"/>
      <c r="AP82" s="77"/>
      <c r="AQ82" s="77"/>
      <c r="AR82" s="77"/>
      <c r="AS82" s="77"/>
      <c r="AT82" s="77"/>
      <c r="AU82" s="77"/>
      <c r="AV82" s="83" t="str">
        <f>HYPERLINK("https://pbs.twimg.com/profile_images/1642498715142307841/VYTYL-yu_normal.jpg")</f>
        <v>https://pbs.twimg.com/profile_images/1642498715142307841/VYTYL-yu_normal.jpg</v>
      </c>
      <c r="AW82" s="80" t="s">
        <v>16083</v>
      </c>
      <c r="AX82" s="80" t="s">
        <v>16083</v>
      </c>
      <c r="AY82" s="77"/>
      <c r="AZ82" s="80" t="s">
        <v>20380</v>
      </c>
      <c r="BA82" s="80" t="s">
        <v>20380</v>
      </c>
      <c r="BB82" s="80" t="s">
        <v>20380</v>
      </c>
      <c r="BC82" s="80" t="s">
        <v>16083</v>
      </c>
      <c r="BD82" s="80" t="s">
        <v>20509</v>
      </c>
      <c r="BE82" s="77"/>
      <c r="BF82" s="77"/>
      <c r="BG82" s="77"/>
      <c r="BH82" s="77"/>
      <c r="BI82" s="77"/>
    </row>
    <row r="83" spans="1:61" x14ac:dyDescent="0.25">
      <c r="A83" s="62" t="s">
        <v>258</v>
      </c>
      <c r="B83" s="62" t="s">
        <v>1701</v>
      </c>
      <c r="C83" s="63"/>
      <c r="D83" s="64"/>
      <c r="E83" s="65"/>
      <c r="F83" s="66"/>
      <c r="G83" s="63"/>
      <c r="H83" s="67"/>
      <c r="I83" s="68"/>
      <c r="J83" s="68"/>
      <c r="K83" s="32"/>
      <c r="L83" s="75">
        <v>83</v>
      </c>
      <c r="M83" s="75"/>
      <c r="N83" s="70"/>
      <c r="O83" s="77" t="s">
        <v>2081</v>
      </c>
      <c r="P83" s="79">
        <v>45080.014872685184</v>
      </c>
      <c r="Q83" s="77" t="s">
        <v>2158</v>
      </c>
      <c r="R83" s="77">
        <v>1</v>
      </c>
      <c r="S83" s="77">
        <v>0</v>
      </c>
      <c r="T83" s="77">
        <v>0</v>
      </c>
      <c r="U83" s="77">
        <v>0</v>
      </c>
      <c r="V83" s="77">
        <v>7</v>
      </c>
      <c r="W83" s="80" t="s">
        <v>5953</v>
      </c>
      <c r="X83" s="83" t="str">
        <f>HYPERLINK("https://elobjetivo.com.ar/contenido/62679/mendoza-ira-a-la-justicia-por-la-nueva-normativa-del-banco-central")</f>
        <v>https://elobjetivo.com.ar/contenido/62679/mendoza-ira-a-la-justicia-por-la-nueva-normativa-del-banco-central</v>
      </c>
      <c r="Y83" s="77" t="s">
        <v>8624</v>
      </c>
      <c r="Z83" s="77" t="s">
        <v>1701</v>
      </c>
      <c r="AA83" s="77"/>
      <c r="AB83" s="77"/>
      <c r="AC83" s="80" t="s">
        <v>10551</v>
      </c>
      <c r="AD83" s="77" t="s">
        <v>10620</v>
      </c>
      <c r="AE83" s="83" t="str">
        <f>HYPERLINK("https://twitter.com/elobjetivocba/status/1664789347990740992")</f>
        <v>https://twitter.com/elobjetivocba/status/1664789347990740992</v>
      </c>
      <c r="AF83" s="79">
        <v>45080.014872685184</v>
      </c>
      <c r="AG83" s="85">
        <v>45080</v>
      </c>
      <c r="AH83" s="80" t="s">
        <v>10702</v>
      </c>
      <c r="AI83" s="77" t="b">
        <v>0</v>
      </c>
      <c r="AJ83" s="77"/>
      <c r="AK83" s="77"/>
      <c r="AL83" s="77"/>
      <c r="AM83" s="77"/>
      <c r="AN83" s="77"/>
      <c r="AO83" s="77"/>
      <c r="AP83" s="77"/>
      <c r="AQ83" s="77"/>
      <c r="AR83" s="77"/>
      <c r="AS83" s="77"/>
      <c r="AT83" s="77"/>
      <c r="AU83" s="77"/>
      <c r="AV83" s="83" t="str">
        <f>HYPERLINK("https://pbs.twimg.com/profile_images/1056935589969309702/93vzDmnl_normal.jpg")</f>
        <v>https://pbs.twimg.com/profile_images/1056935589969309702/93vzDmnl_normal.jpg</v>
      </c>
      <c r="AW83" s="80" t="s">
        <v>16084</v>
      </c>
      <c r="AX83" s="80" t="s">
        <v>16084</v>
      </c>
      <c r="AY83" s="77"/>
      <c r="AZ83" s="80" t="s">
        <v>20380</v>
      </c>
      <c r="BA83" s="80" t="s">
        <v>20380</v>
      </c>
      <c r="BB83" s="80" t="s">
        <v>20380</v>
      </c>
      <c r="BC83" s="80" t="s">
        <v>16084</v>
      </c>
      <c r="BD83" s="80" t="s">
        <v>20510</v>
      </c>
      <c r="BE83" s="77"/>
      <c r="BF83" s="77"/>
      <c r="BG83" s="77"/>
      <c r="BH83" s="77"/>
      <c r="BI83" s="77"/>
    </row>
    <row r="84" spans="1:61" x14ac:dyDescent="0.25">
      <c r="A84" s="62" t="s">
        <v>258</v>
      </c>
      <c r="B84" s="62" t="s">
        <v>258</v>
      </c>
      <c r="C84" s="63"/>
      <c r="D84" s="64"/>
      <c r="E84" s="65"/>
      <c r="F84" s="66"/>
      <c r="G84" s="63"/>
      <c r="H84" s="67"/>
      <c r="I84" s="68"/>
      <c r="J84" s="68"/>
      <c r="K84" s="32"/>
      <c r="L84" s="75">
        <v>84</v>
      </c>
      <c r="M84" s="75"/>
      <c r="N84" s="70"/>
      <c r="O84" s="77" t="s">
        <v>179</v>
      </c>
      <c r="P84" s="79">
        <v>45061.638298611113</v>
      </c>
      <c r="Q84" s="77" t="s">
        <v>2159</v>
      </c>
      <c r="R84" s="77">
        <v>0</v>
      </c>
      <c r="S84" s="77">
        <v>0</v>
      </c>
      <c r="T84" s="77">
        <v>0</v>
      </c>
      <c r="U84" s="77">
        <v>0</v>
      </c>
      <c r="V84" s="77">
        <v>6</v>
      </c>
      <c r="W84" s="80" t="s">
        <v>5954</v>
      </c>
      <c r="X84" s="83" t="str">
        <f>HYPERLINK("https://elobjetivo.com.ar/contenido/62059/el-banco-central-oficializo-la-suba-de-la-tasa-de-interes-a-97")</f>
        <v>https://elobjetivo.com.ar/contenido/62059/el-banco-central-oficializo-la-suba-de-la-tasa-de-interes-a-97</v>
      </c>
      <c r="Y84" s="77" t="s">
        <v>8624</v>
      </c>
      <c r="Z84" s="77"/>
      <c r="AA84" s="77"/>
      <c r="AB84" s="77"/>
      <c r="AC84" s="80" t="s">
        <v>10551</v>
      </c>
      <c r="AD84" s="77" t="s">
        <v>10620</v>
      </c>
      <c r="AE84" s="83" t="str">
        <f>HYPERLINK("https://twitter.com/elobjetivocba/status/1658129900237213700")</f>
        <v>https://twitter.com/elobjetivocba/status/1658129900237213700</v>
      </c>
      <c r="AF84" s="79">
        <v>45061.638298611113</v>
      </c>
      <c r="AG84" s="85">
        <v>45061</v>
      </c>
      <c r="AH84" s="80" t="s">
        <v>10703</v>
      </c>
      <c r="AI84" s="77" t="b">
        <v>0</v>
      </c>
      <c r="AJ84" s="77"/>
      <c r="AK84" s="77"/>
      <c r="AL84" s="77"/>
      <c r="AM84" s="77"/>
      <c r="AN84" s="77"/>
      <c r="AO84" s="77"/>
      <c r="AP84" s="77"/>
      <c r="AQ84" s="77"/>
      <c r="AR84" s="77"/>
      <c r="AS84" s="77"/>
      <c r="AT84" s="77"/>
      <c r="AU84" s="77"/>
      <c r="AV84" s="83" t="str">
        <f>HYPERLINK("https://pbs.twimg.com/profile_images/1056935589969309702/93vzDmnl_normal.jpg")</f>
        <v>https://pbs.twimg.com/profile_images/1056935589969309702/93vzDmnl_normal.jpg</v>
      </c>
      <c r="AW84" s="80" t="s">
        <v>16085</v>
      </c>
      <c r="AX84" s="80" t="s">
        <v>16085</v>
      </c>
      <c r="AY84" s="77"/>
      <c r="AZ84" s="80" t="s">
        <v>20380</v>
      </c>
      <c r="BA84" s="80" t="s">
        <v>20380</v>
      </c>
      <c r="BB84" s="80" t="s">
        <v>20380</v>
      </c>
      <c r="BC84" s="80" t="s">
        <v>16085</v>
      </c>
      <c r="BD84" s="80" t="s">
        <v>20510</v>
      </c>
      <c r="BE84" s="77"/>
      <c r="BF84" s="77"/>
      <c r="BG84" s="77"/>
      <c r="BH84" s="77"/>
      <c r="BI84" s="77"/>
    </row>
    <row r="85" spans="1:61" x14ac:dyDescent="0.25">
      <c r="A85" s="62" t="s">
        <v>258</v>
      </c>
      <c r="B85" s="62" t="s">
        <v>258</v>
      </c>
      <c r="C85" s="63"/>
      <c r="D85" s="64"/>
      <c r="E85" s="65"/>
      <c r="F85" s="66"/>
      <c r="G85" s="63"/>
      <c r="H85" s="67"/>
      <c r="I85" s="68"/>
      <c r="J85" s="68"/>
      <c r="K85" s="32"/>
      <c r="L85" s="75">
        <v>85</v>
      </c>
      <c r="M85" s="75"/>
      <c r="N85" s="70"/>
      <c r="O85" s="77" t="s">
        <v>179</v>
      </c>
      <c r="P85" s="79">
        <v>45152.586064814815</v>
      </c>
      <c r="Q85" s="77" t="s">
        <v>2160</v>
      </c>
      <c r="R85" s="77">
        <v>0</v>
      </c>
      <c r="S85" s="77">
        <v>0</v>
      </c>
      <c r="T85" s="77">
        <v>0</v>
      </c>
      <c r="U85" s="77">
        <v>0</v>
      </c>
      <c r="V85" s="77">
        <v>426</v>
      </c>
      <c r="W85" s="80" t="s">
        <v>5955</v>
      </c>
      <c r="X85" s="83" t="str">
        <f>HYPERLINK("https://elobjetivo.com.ar/contenido/65284/el-gobierno-elevo-el-valor-del-dolar-oficial-a-3655")</f>
        <v>https://elobjetivo.com.ar/contenido/65284/el-gobierno-elevo-el-valor-del-dolar-oficial-a-3655</v>
      </c>
      <c r="Y85" s="77" t="s">
        <v>8624</v>
      </c>
      <c r="Z85" s="77"/>
      <c r="AA85" s="77"/>
      <c r="AB85" s="77"/>
      <c r="AC85" s="80" t="s">
        <v>10551</v>
      </c>
      <c r="AD85" s="77" t="s">
        <v>10620</v>
      </c>
      <c r="AE85" s="83" t="str">
        <f>HYPERLINK("https://twitter.com/elobjetivocba/status/1691088268811509761")</f>
        <v>https://twitter.com/elobjetivocba/status/1691088268811509761</v>
      </c>
      <c r="AF85" s="79">
        <v>45152.586064814815</v>
      </c>
      <c r="AG85" s="85">
        <v>45152</v>
      </c>
      <c r="AH85" s="80" t="s">
        <v>10704</v>
      </c>
      <c r="AI85" s="77" t="b">
        <v>0</v>
      </c>
      <c r="AJ85" s="77"/>
      <c r="AK85" s="77"/>
      <c r="AL85" s="77"/>
      <c r="AM85" s="77"/>
      <c r="AN85" s="77"/>
      <c r="AO85" s="77"/>
      <c r="AP85" s="77"/>
      <c r="AQ85" s="77"/>
      <c r="AR85" s="77"/>
      <c r="AS85" s="77"/>
      <c r="AT85" s="77"/>
      <c r="AU85" s="77"/>
      <c r="AV85" s="83" t="str">
        <f>HYPERLINK("https://pbs.twimg.com/profile_images/1056935589969309702/93vzDmnl_normal.jpg")</f>
        <v>https://pbs.twimg.com/profile_images/1056935589969309702/93vzDmnl_normal.jpg</v>
      </c>
      <c r="AW85" s="80" t="s">
        <v>16086</v>
      </c>
      <c r="AX85" s="80" t="s">
        <v>16086</v>
      </c>
      <c r="AY85" s="77"/>
      <c r="AZ85" s="80" t="s">
        <v>20380</v>
      </c>
      <c r="BA85" s="80" t="s">
        <v>20380</v>
      </c>
      <c r="BB85" s="80" t="s">
        <v>20380</v>
      </c>
      <c r="BC85" s="80" t="s">
        <v>16086</v>
      </c>
      <c r="BD85" s="80" t="s">
        <v>20510</v>
      </c>
      <c r="BE85" s="77"/>
      <c r="BF85" s="77"/>
      <c r="BG85" s="77"/>
      <c r="BH85" s="77"/>
      <c r="BI85" s="77"/>
    </row>
    <row r="86" spans="1:61" x14ac:dyDescent="0.25">
      <c r="A86" s="62" t="s">
        <v>258</v>
      </c>
      <c r="B86" s="62" t="s">
        <v>258</v>
      </c>
      <c r="C86" s="63"/>
      <c r="D86" s="64"/>
      <c r="E86" s="65"/>
      <c r="F86" s="66"/>
      <c r="G86" s="63"/>
      <c r="H86" s="67"/>
      <c r="I86" s="68"/>
      <c r="J86" s="68"/>
      <c r="K86" s="32"/>
      <c r="L86" s="75">
        <v>86</v>
      </c>
      <c r="M86" s="75"/>
      <c r="N86" s="70"/>
      <c r="O86" s="77" t="s">
        <v>179</v>
      </c>
      <c r="P86" s="79">
        <v>45059.601354166669</v>
      </c>
      <c r="Q86" s="77" t="s">
        <v>2161</v>
      </c>
      <c r="R86" s="77">
        <v>1</v>
      </c>
      <c r="S86" s="77">
        <v>0</v>
      </c>
      <c r="T86" s="77">
        <v>0</v>
      </c>
      <c r="U86" s="77">
        <v>0</v>
      </c>
      <c r="V86" s="77">
        <v>9</v>
      </c>
      <c r="W86" s="80" t="s">
        <v>5956</v>
      </c>
      <c r="X86" s="83" t="str">
        <f>HYPERLINK("https://elobjetivo.com.ar/contenido/61971/el-gasto-publico-sigue-creciendo-y-presiona-aun-mas-sobre-la-inflacion")</f>
        <v>https://elobjetivo.com.ar/contenido/61971/el-gasto-publico-sigue-creciendo-y-presiona-aun-mas-sobre-la-inflacion</v>
      </c>
      <c r="Y86" s="77" t="s">
        <v>8624</v>
      </c>
      <c r="Z86" s="77"/>
      <c r="AA86" s="77"/>
      <c r="AB86" s="77"/>
      <c r="AC86" s="80" t="s">
        <v>10551</v>
      </c>
      <c r="AD86" s="77" t="s">
        <v>10620</v>
      </c>
      <c r="AE86" s="83" t="str">
        <f>HYPERLINK("https://twitter.com/elobjetivocba/status/1657391738099585024")</f>
        <v>https://twitter.com/elobjetivocba/status/1657391738099585024</v>
      </c>
      <c r="AF86" s="79">
        <v>45059.601354166669</v>
      </c>
      <c r="AG86" s="85">
        <v>45059</v>
      </c>
      <c r="AH86" s="80" t="s">
        <v>10705</v>
      </c>
      <c r="AI86" s="77" t="b">
        <v>0</v>
      </c>
      <c r="AJ86" s="77"/>
      <c r="AK86" s="77"/>
      <c r="AL86" s="77"/>
      <c r="AM86" s="77"/>
      <c r="AN86" s="77"/>
      <c r="AO86" s="77"/>
      <c r="AP86" s="77"/>
      <c r="AQ86" s="77"/>
      <c r="AR86" s="77"/>
      <c r="AS86" s="77"/>
      <c r="AT86" s="77"/>
      <c r="AU86" s="77"/>
      <c r="AV86" s="83" t="str">
        <f>HYPERLINK("https://pbs.twimg.com/profile_images/1056935589969309702/93vzDmnl_normal.jpg")</f>
        <v>https://pbs.twimg.com/profile_images/1056935589969309702/93vzDmnl_normal.jpg</v>
      </c>
      <c r="AW86" s="80" t="s">
        <v>16087</v>
      </c>
      <c r="AX86" s="80" t="s">
        <v>16087</v>
      </c>
      <c r="AY86" s="77"/>
      <c r="AZ86" s="80" t="s">
        <v>20380</v>
      </c>
      <c r="BA86" s="80" t="s">
        <v>20380</v>
      </c>
      <c r="BB86" s="80" t="s">
        <v>20380</v>
      </c>
      <c r="BC86" s="80" t="s">
        <v>16087</v>
      </c>
      <c r="BD86" s="80" t="s">
        <v>20510</v>
      </c>
      <c r="BE86" s="77"/>
      <c r="BF86" s="77"/>
      <c r="BG86" s="77"/>
      <c r="BH86" s="77"/>
      <c r="BI86" s="77"/>
    </row>
    <row r="87" spans="1:61" x14ac:dyDescent="0.25">
      <c r="A87" s="62" t="s">
        <v>258</v>
      </c>
      <c r="B87" s="62" t="s">
        <v>258</v>
      </c>
      <c r="C87" s="63"/>
      <c r="D87" s="64"/>
      <c r="E87" s="65"/>
      <c r="F87" s="66"/>
      <c r="G87" s="63"/>
      <c r="H87" s="67"/>
      <c r="I87" s="68"/>
      <c r="J87" s="68"/>
      <c r="K87" s="32"/>
      <c r="L87" s="75">
        <v>87</v>
      </c>
      <c r="M87" s="75"/>
      <c r="N87" s="70"/>
      <c r="O87" s="77" t="s">
        <v>179</v>
      </c>
      <c r="P87" s="79">
        <v>45146.992766203701</v>
      </c>
      <c r="Q87" s="77" t="s">
        <v>2162</v>
      </c>
      <c r="R87" s="77">
        <v>0</v>
      </c>
      <c r="S87" s="77">
        <v>0</v>
      </c>
      <c r="T87" s="77">
        <v>0</v>
      </c>
      <c r="U87" s="77">
        <v>0</v>
      </c>
      <c r="V87" s="77">
        <v>14</v>
      </c>
      <c r="W87" s="80" t="s">
        <v>5957</v>
      </c>
      <c r="X87" s="83" t="str">
        <f>HYPERLINK("https://elobjetivo.com.ar/contenido/65062/se-rompio-la-racha-de-compras-de-divisas-del-banco-central-y-se-acelera-la-deval")</f>
        <v>https://elobjetivo.com.ar/contenido/65062/se-rompio-la-racha-de-compras-de-divisas-del-banco-central-y-se-acelera-la-deval</v>
      </c>
      <c r="Y87" s="77" t="s">
        <v>8624</v>
      </c>
      <c r="Z87" s="77"/>
      <c r="AA87" s="77"/>
      <c r="AB87" s="77"/>
      <c r="AC87" s="80" t="s">
        <v>10541</v>
      </c>
      <c r="AD87" s="77" t="s">
        <v>10620</v>
      </c>
      <c r="AE87" s="83" t="str">
        <f>HYPERLINK("https://twitter.com/elobjetivocba/status/1689061321818398720")</f>
        <v>https://twitter.com/elobjetivocba/status/1689061321818398720</v>
      </c>
      <c r="AF87" s="79">
        <v>45146.992766203701</v>
      </c>
      <c r="AG87" s="85">
        <v>45146</v>
      </c>
      <c r="AH87" s="80" t="s">
        <v>10706</v>
      </c>
      <c r="AI87" s="77" t="b">
        <v>0</v>
      </c>
      <c r="AJ87" s="77"/>
      <c r="AK87" s="77"/>
      <c r="AL87" s="77"/>
      <c r="AM87" s="77"/>
      <c r="AN87" s="77"/>
      <c r="AO87" s="77"/>
      <c r="AP87" s="77"/>
      <c r="AQ87" s="77"/>
      <c r="AR87" s="77"/>
      <c r="AS87" s="77"/>
      <c r="AT87" s="77"/>
      <c r="AU87" s="77"/>
      <c r="AV87" s="83" t="str">
        <f>HYPERLINK("https://pbs.twimg.com/profile_images/1056935589969309702/93vzDmnl_normal.jpg")</f>
        <v>https://pbs.twimg.com/profile_images/1056935589969309702/93vzDmnl_normal.jpg</v>
      </c>
      <c r="AW87" s="80" t="s">
        <v>16088</v>
      </c>
      <c r="AX87" s="80" t="s">
        <v>16088</v>
      </c>
      <c r="AY87" s="77"/>
      <c r="AZ87" s="80" t="s">
        <v>20380</v>
      </c>
      <c r="BA87" s="80" t="s">
        <v>20380</v>
      </c>
      <c r="BB87" s="80" t="s">
        <v>20380</v>
      </c>
      <c r="BC87" s="80" t="s">
        <v>16088</v>
      </c>
      <c r="BD87" s="80" t="s">
        <v>20510</v>
      </c>
      <c r="BE87" s="77"/>
      <c r="BF87" s="77"/>
      <c r="BG87" s="77"/>
      <c r="BH87" s="77"/>
      <c r="BI87" s="77"/>
    </row>
    <row r="88" spans="1:61" x14ac:dyDescent="0.25">
      <c r="A88" s="62" t="s">
        <v>258</v>
      </c>
      <c r="B88" s="62" t="s">
        <v>258</v>
      </c>
      <c r="C88" s="63"/>
      <c r="D88" s="64"/>
      <c r="E88" s="65"/>
      <c r="F88" s="66"/>
      <c r="G88" s="63"/>
      <c r="H88" s="67"/>
      <c r="I88" s="68"/>
      <c r="J88" s="68"/>
      <c r="K88" s="32"/>
      <c r="L88" s="75">
        <v>88</v>
      </c>
      <c r="M88" s="75"/>
      <c r="N88" s="70"/>
      <c r="O88" s="77" t="s">
        <v>179</v>
      </c>
      <c r="P88" s="79">
        <v>45065.018460648149</v>
      </c>
      <c r="Q88" s="77" t="s">
        <v>2163</v>
      </c>
      <c r="R88" s="77">
        <v>0</v>
      </c>
      <c r="S88" s="77">
        <v>0</v>
      </c>
      <c r="T88" s="77">
        <v>0</v>
      </c>
      <c r="U88" s="77">
        <v>0</v>
      </c>
      <c r="V88" s="77">
        <v>9</v>
      </c>
      <c r="W88" s="80" t="s">
        <v>5958</v>
      </c>
      <c r="X88" s="83" t="str">
        <f>HYPERLINK("https://elobjetivo.com.ar/contenido/62168/el-bcra-aprobo-un-nuevo-sistema-de-financiacion-de-importaciones")</f>
        <v>https://elobjetivo.com.ar/contenido/62168/el-bcra-aprobo-un-nuevo-sistema-de-financiacion-de-importaciones</v>
      </c>
      <c r="Y88" s="77" t="s">
        <v>8624</v>
      </c>
      <c r="Z88" s="77"/>
      <c r="AA88" s="77"/>
      <c r="AB88" s="77"/>
      <c r="AC88" s="80" t="s">
        <v>10551</v>
      </c>
      <c r="AD88" s="77" t="s">
        <v>10620</v>
      </c>
      <c r="AE88" s="83" t="str">
        <f>HYPERLINK("https://twitter.com/elobjetivocba/status/1659354829121093633")</f>
        <v>https://twitter.com/elobjetivocba/status/1659354829121093633</v>
      </c>
      <c r="AF88" s="79">
        <v>45065.018460648149</v>
      </c>
      <c r="AG88" s="85">
        <v>45065</v>
      </c>
      <c r="AH88" s="80" t="s">
        <v>10707</v>
      </c>
      <c r="AI88" s="77" t="b">
        <v>0</v>
      </c>
      <c r="AJ88" s="77"/>
      <c r="AK88" s="77"/>
      <c r="AL88" s="77"/>
      <c r="AM88" s="77"/>
      <c r="AN88" s="77"/>
      <c r="AO88" s="77"/>
      <c r="AP88" s="77"/>
      <c r="AQ88" s="77"/>
      <c r="AR88" s="77"/>
      <c r="AS88" s="77"/>
      <c r="AT88" s="77"/>
      <c r="AU88" s="77"/>
      <c r="AV88" s="83" t="str">
        <f>HYPERLINK("https://pbs.twimg.com/profile_images/1056935589969309702/93vzDmnl_normal.jpg")</f>
        <v>https://pbs.twimg.com/profile_images/1056935589969309702/93vzDmnl_normal.jpg</v>
      </c>
      <c r="AW88" s="80" t="s">
        <v>16089</v>
      </c>
      <c r="AX88" s="80" t="s">
        <v>16089</v>
      </c>
      <c r="AY88" s="77"/>
      <c r="AZ88" s="80" t="s">
        <v>20380</v>
      </c>
      <c r="BA88" s="80" t="s">
        <v>20380</v>
      </c>
      <c r="BB88" s="80" t="s">
        <v>20380</v>
      </c>
      <c r="BC88" s="80" t="s">
        <v>16089</v>
      </c>
      <c r="BD88" s="80" t="s">
        <v>20510</v>
      </c>
      <c r="BE88" s="77"/>
      <c r="BF88" s="77"/>
      <c r="BG88" s="77"/>
      <c r="BH88" s="77"/>
      <c r="BI88" s="77"/>
    </row>
    <row r="89" spans="1:61" x14ac:dyDescent="0.25">
      <c r="A89" s="62" t="s">
        <v>258</v>
      </c>
      <c r="B89" s="62" t="s">
        <v>258</v>
      </c>
      <c r="C89" s="63"/>
      <c r="D89" s="64"/>
      <c r="E89" s="65"/>
      <c r="F89" s="66"/>
      <c r="G89" s="63"/>
      <c r="H89" s="67"/>
      <c r="I89" s="68"/>
      <c r="J89" s="68"/>
      <c r="K89" s="32"/>
      <c r="L89" s="75">
        <v>89</v>
      </c>
      <c r="M89" s="75"/>
      <c r="N89" s="70"/>
      <c r="O89" s="77" t="s">
        <v>179</v>
      </c>
      <c r="P89" s="79">
        <v>45062.552986111114</v>
      </c>
      <c r="Q89" s="77" t="s">
        <v>2164</v>
      </c>
      <c r="R89" s="77">
        <v>0</v>
      </c>
      <c r="S89" s="77">
        <v>0</v>
      </c>
      <c r="T89" s="77">
        <v>0</v>
      </c>
      <c r="U89" s="77">
        <v>0</v>
      </c>
      <c r="V89" s="77">
        <v>5</v>
      </c>
      <c r="W89" s="80" t="s">
        <v>5959</v>
      </c>
      <c r="X89" s="83" t="str">
        <f>HYPERLINK("https://elobjetivo.com.ar/contenido/62087/avanzan-las-negociaciones-con-el-fmi-para-fortalecer-las-reservas-del-banco-cent")</f>
        <v>https://elobjetivo.com.ar/contenido/62087/avanzan-las-negociaciones-con-el-fmi-para-fortalecer-las-reservas-del-banco-cent</v>
      </c>
      <c r="Y89" s="77" t="s">
        <v>8624</v>
      </c>
      <c r="Z89" s="77"/>
      <c r="AA89" s="77"/>
      <c r="AB89" s="77"/>
      <c r="AC89" s="80" t="s">
        <v>10551</v>
      </c>
      <c r="AD89" s="77" t="s">
        <v>10620</v>
      </c>
      <c r="AE89" s="83" t="str">
        <f>HYPERLINK("https://twitter.com/elobjetivocba/status/1658461370596175880")</f>
        <v>https://twitter.com/elobjetivocba/status/1658461370596175880</v>
      </c>
      <c r="AF89" s="79">
        <v>45062.552986111114</v>
      </c>
      <c r="AG89" s="85">
        <v>45062</v>
      </c>
      <c r="AH89" s="80" t="s">
        <v>10708</v>
      </c>
      <c r="AI89" s="77" t="b">
        <v>0</v>
      </c>
      <c r="AJ89" s="77"/>
      <c r="AK89" s="77"/>
      <c r="AL89" s="77"/>
      <c r="AM89" s="77"/>
      <c r="AN89" s="77"/>
      <c r="AO89" s="77"/>
      <c r="AP89" s="77"/>
      <c r="AQ89" s="77"/>
      <c r="AR89" s="77"/>
      <c r="AS89" s="77"/>
      <c r="AT89" s="77"/>
      <c r="AU89" s="77"/>
      <c r="AV89" s="83" t="str">
        <f>HYPERLINK("https://pbs.twimg.com/profile_images/1056935589969309702/93vzDmnl_normal.jpg")</f>
        <v>https://pbs.twimg.com/profile_images/1056935589969309702/93vzDmnl_normal.jpg</v>
      </c>
      <c r="AW89" s="80" t="s">
        <v>16090</v>
      </c>
      <c r="AX89" s="80" t="s">
        <v>16090</v>
      </c>
      <c r="AY89" s="77"/>
      <c r="AZ89" s="80" t="s">
        <v>20380</v>
      </c>
      <c r="BA89" s="80" t="s">
        <v>20380</v>
      </c>
      <c r="BB89" s="80" t="s">
        <v>20380</v>
      </c>
      <c r="BC89" s="80" t="s">
        <v>16090</v>
      </c>
      <c r="BD89" s="80" t="s">
        <v>20510</v>
      </c>
      <c r="BE89" s="77"/>
      <c r="BF89" s="77"/>
      <c r="BG89" s="77"/>
      <c r="BH89" s="77"/>
      <c r="BI89" s="77"/>
    </row>
    <row r="90" spans="1:61" x14ac:dyDescent="0.25">
      <c r="A90" s="62" t="s">
        <v>258</v>
      </c>
      <c r="B90" s="62" t="s">
        <v>258</v>
      </c>
      <c r="C90" s="63"/>
      <c r="D90" s="64"/>
      <c r="E90" s="65"/>
      <c r="F90" s="66"/>
      <c r="G90" s="63"/>
      <c r="H90" s="67"/>
      <c r="I90" s="68"/>
      <c r="J90" s="68"/>
      <c r="K90" s="32"/>
      <c r="L90" s="75">
        <v>90</v>
      </c>
      <c r="M90" s="75"/>
      <c r="N90" s="70"/>
      <c r="O90" s="77" t="s">
        <v>179</v>
      </c>
      <c r="P90" s="79">
        <v>45061.921249999999</v>
      </c>
      <c r="Q90" s="77" t="s">
        <v>2165</v>
      </c>
      <c r="R90" s="77">
        <v>0</v>
      </c>
      <c r="S90" s="77">
        <v>0</v>
      </c>
      <c r="T90" s="77">
        <v>0</v>
      </c>
      <c r="U90" s="77">
        <v>0</v>
      </c>
      <c r="V90" s="77">
        <v>8</v>
      </c>
      <c r="W90" s="80" t="s">
        <v>5960</v>
      </c>
      <c r="X90" s="83" t="str">
        <f>HYPERLINK("https://elobjetivo.com.ar/contenido/62073/en-el-debut-de-las-nuevas-medidas-economicas-el-banco-central-compro-us-60-millo?l=1684188302056")</f>
        <v>https://elobjetivo.com.ar/contenido/62073/en-el-debut-de-las-nuevas-medidas-economicas-el-banco-central-compro-us-60-millo?l=1684188302056</v>
      </c>
      <c r="Y90" s="77" t="s">
        <v>8624</v>
      </c>
      <c r="Z90" s="77"/>
      <c r="AA90" s="77"/>
      <c r="AB90" s="77"/>
      <c r="AC90" s="80" t="s">
        <v>10551</v>
      </c>
      <c r="AD90" s="77" t="s">
        <v>10620</v>
      </c>
      <c r="AE90" s="83" t="str">
        <f>HYPERLINK("https://twitter.com/elobjetivocba/status/1658232439670464514")</f>
        <v>https://twitter.com/elobjetivocba/status/1658232439670464514</v>
      </c>
      <c r="AF90" s="79">
        <v>45061.921249999999</v>
      </c>
      <c r="AG90" s="85">
        <v>45061</v>
      </c>
      <c r="AH90" s="80" t="s">
        <v>10709</v>
      </c>
      <c r="AI90" s="77" t="b">
        <v>0</v>
      </c>
      <c r="AJ90" s="77"/>
      <c r="AK90" s="77"/>
      <c r="AL90" s="77"/>
      <c r="AM90" s="77"/>
      <c r="AN90" s="77"/>
      <c r="AO90" s="77"/>
      <c r="AP90" s="77"/>
      <c r="AQ90" s="77"/>
      <c r="AR90" s="77"/>
      <c r="AS90" s="77"/>
      <c r="AT90" s="77"/>
      <c r="AU90" s="77"/>
      <c r="AV90" s="83" t="str">
        <f>HYPERLINK("https://pbs.twimg.com/profile_images/1056935589969309702/93vzDmnl_normal.jpg")</f>
        <v>https://pbs.twimg.com/profile_images/1056935589969309702/93vzDmnl_normal.jpg</v>
      </c>
      <c r="AW90" s="80" t="s">
        <v>16091</v>
      </c>
      <c r="AX90" s="80" t="s">
        <v>16091</v>
      </c>
      <c r="AY90" s="77"/>
      <c r="AZ90" s="80" t="s">
        <v>20380</v>
      </c>
      <c r="BA90" s="80" t="s">
        <v>20380</v>
      </c>
      <c r="BB90" s="80" t="s">
        <v>20380</v>
      </c>
      <c r="BC90" s="80" t="s">
        <v>16091</v>
      </c>
      <c r="BD90" s="80" t="s">
        <v>20510</v>
      </c>
      <c r="BE90" s="77"/>
      <c r="BF90" s="77"/>
      <c r="BG90" s="77"/>
      <c r="BH90" s="77"/>
      <c r="BI90" s="77"/>
    </row>
    <row r="91" spans="1:61" x14ac:dyDescent="0.25">
      <c r="A91" s="62" t="s">
        <v>258</v>
      </c>
      <c r="B91" s="62" t="s">
        <v>258</v>
      </c>
      <c r="C91" s="63"/>
      <c r="D91" s="64"/>
      <c r="E91" s="65"/>
      <c r="F91" s="66"/>
      <c r="G91" s="63"/>
      <c r="H91" s="67"/>
      <c r="I91" s="68"/>
      <c r="J91" s="68"/>
      <c r="K91" s="32"/>
      <c r="L91" s="75">
        <v>91</v>
      </c>
      <c r="M91" s="75"/>
      <c r="N91" s="70"/>
      <c r="O91" s="77" t="s">
        <v>179</v>
      </c>
      <c r="P91" s="79">
        <v>45183.8359375</v>
      </c>
      <c r="Q91" s="77" t="s">
        <v>2166</v>
      </c>
      <c r="R91" s="77">
        <v>0</v>
      </c>
      <c r="S91" s="77">
        <v>0</v>
      </c>
      <c r="T91" s="77">
        <v>2</v>
      </c>
      <c r="U91" s="77">
        <v>0</v>
      </c>
      <c r="V91" s="77">
        <v>20</v>
      </c>
      <c r="W91" s="80" t="s">
        <v>5961</v>
      </c>
      <c r="X91" s="83" t="str">
        <f>HYPERLINK("https://elobjetivo.com.ar/contenido/66321/el-banco-central-decidio-no-subir-la-tasa-de-plazos-fijos")</f>
        <v>https://elobjetivo.com.ar/contenido/66321/el-banco-central-decidio-no-subir-la-tasa-de-plazos-fijos</v>
      </c>
      <c r="Y91" s="77" t="s">
        <v>8624</v>
      </c>
      <c r="Z91" s="77"/>
      <c r="AA91" s="77"/>
      <c r="AB91" s="77"/>
      <c r="AC91" s="80" t="s">
        <v>10541</v>
      </c>
      <c r="AD91" s="77" t="s">
        <v>10620</v>
      </c>
      <c r="AE91" s="83" t="str">
        <f>HYPERLINK("https://twitter.com/elobjetivocba/status/1702412843432161622")</f>
        <v>https://twitter.com/elobjetivocba/status/1702412843432161622</v>
      </c>
      <c r="AF91" s="79">
        <v>45183.8359375</v>
      </c>
      <c r="AG91" s="85">
        <v>45183</v>
      </c>
      <c r="AH91" s="80" t="s">
        <v>10710</v>
      </c>
      <c r="AI91" s="77" t="b">
        <v>0</v>
      </c>
      <c r="AJ91" s="77"/>
      <c r="AK91" s="77"/>
      <c r="AL91" s="77"/>
      <c r="AM91" s="77"/>
      <c r="AN91" s="77"/>
      <c r="AO91" s="77"/>
      <c r="AP91" s="77"/>
      <c r="AQ91" s="77"/>
      <c r="AR91" s="77"/>
      <c r="AS91" s="77"/>
      <c r="AT91" s="77"/>
      <c r="AU91" s="77"/>
      <c r="AV91" s="83" t="str">
        <f>HYPERLINK("https://pbs.twimg.com/profile_images/1056935589969309702/93vzDmnl_normal.jpg")</f>
        <v>https://pbs.twimg.com/profile_images/1056935589969309702/93vzDmnl_normal.jpg</v>
      </c>
      <c r="AW91" s="80" t="s">
        <v>16092</v>
      </c>
      <c r="AX91" s="80" t="s">
        <v>16092</v>
      </c>
      <c r="AY91" s="77"/>
      <c r="AZ91" s="80" t="s">
        <v>20380</v>
      </c>
      <c r="BA91" s="80" t="s">
        <v>20380</v>
      </c>
      <c r="BB91" s="80" t="s">
        <v>20380</v>
      </c>
      <c r="BC91" s="80" t="s">
        <v>16092</v>
      </c>
      <c r="BD91" s="80" t="s">
        <v>20510</v>
      </c>
      <c r="BE91" s="77"/>
      <c r="BF91" s="77"/>
      <c r="BG91" s="77"/>
      <c r="BH91" s="77"/>
      <c r="BI91" s="77"/>
    </row>
    <row r="92" spans="1:61" x14ac:dyDescent="0.25">
      <c r="A92" s="62" t="s">
        <v>258</v>
      </c>
      <c r="B92" s="62" t="s">
        <v>258</v>
      </c>
      <c r="C92" s="63"/>
      <c r="D92" s="64"/>
      <c r="E92" s="65"/>
      <c r="F92" s="66"/>
      <c r="G92" s="63"/>
      <c r="H92" s="67"/>
      <c r="I92" s="68"/>
      <c r="J92" s="68"/>
      <c r="K92" s="32"/>
      <c r="L92" s="75">
        <v>92</v>
      </c>
      <c r="M92" s="75"/>
      <c r="N92" s="70"/>
      <c r="O92" s="77" t="s">
        <v>179</v>
      </c>
      <c r="P92" s="79">
        <v>45123.052245370367</v>
      </c>
      <c r="Q92" s="77" t="s">
        <v>2167</v>
      </c>
      <c r="R92" s="77">
        <v>0</v>
      </c>
      <c r="S92" s="77">
        <v>0</v>
      </c>
      <c r="T92" s="77">
        <v>0</v>
      </c>
      <c r="U92" s="77">
        <v>0</v>
      </c>
      <c r="V92" s="77">
        <v>7</v>
      </c>
      <c r="W92" s="80" t="s">
        <v>5954</v>
      </c>
      <c r="X92" s="83" t="str">
        <f>HYPERLINK("https://elobjetivo.com.ar/contenido/64200/se-acorta-el-margen-para-la-maquinita-del-banco-central")</f>
        <v>https://elobjetivo.com.ar/contenido/64200/se-acorta-el-margen-para-la-maquinita-del-banco-central</v>
      </c>
      <c r="Y92" s="77" t="s">
        <v>8624</v>
      </c>
      <c r="Z92" s="77"/>
      <c r="AA92" s="77"/>
      <c r="AB92" s="77"/>
      <c r="AC92" s="80" t="s">
        <v>10551</v>
      </c>
      <c r="AD92" s="77" t="s">
        <v>10620</v>
      </c>
      <c r="AE92" s="83" t="str">
        <f>HYPERLINK("https://twitter.com/elobjetivocba/status/1680385569195544576")</f>
        <v>https://twitter.com/elobjetivocba/status/1680385569195544576</v>
      </c>
      <c r="AF92" s="79">
        <v>45123.052245370367</v>
      </c>
      <c r="AG92" s="85">
        <v>45123</v>
      </c>
      <c r="AH92" s="80" t="s">
        <v>10711</v>
      </c>
      <c r="AI92" s="77" t="b">
        <v>0</v>
      </c>
      <c r="AJ92" s="77"/>
      <c r="AK92" s="77"/>
      <c r="AL92" s="77"/>
      <c r="AM92" s="77"/>
      <c r="AN92" s="77"/>
      <c r="AO92" s="77"/>
      <c r="AP92" s="77"/>
      <c r="AQ92" s="77"/>
      <c r="AR92" s="77"/>
      <c r="AS92" s="77"/>
      <c r="AT92" s="77"/>
      <c r="AU92" s="77"/>
      <c r="AV92" s="83" t="str">
        <f>HYPERLINK("https://pbs.twimg.com/profile_images/1056935589969309702/93vzDmnl_normal.jpg")</f>
        <v>https://pbs.twimg.com/profile_images/1056935589969309702/93vzDmnl_normal.jpg</v>
      </c>
      <c r="AW92" s="80" t="s">
        <v>16093</v>
      </c>
      <c r="AX92" s="80" t="s">
        <v>16093</v>
      </c>
      <c r="AY92" s="77"/>
      <c r="AZ92" s="80" t="s">
        <v>20380</v>
      </c>
      <c r="BA92" s="80" t="s">
        <v>20380</v>
      </c>
      <c r="BB92" s="80" t="s">
        <v>20380</v>
      </c>
      <c r="BC92" s="80" t="s">
        <v>16093</v>
      </c>
      <c r="BD92" s="80" t="s">
        <v>20510</v>
      </c>
      <c r="BE92" s="77"/>
      <c r="BF92" s="77"/>
      <c r="BG92" s="77"/>
      <c r="BH92" s="77"/>
      <c r="BI92" s="77"/>
    </row>
    <row r="93" spans="1:61" x14ac:dyDescent="0.25">
      <c r="A93" s="62" t="s">
        <v>258</v>
      </c>
      <c r="B93" s="62" t="s">
        <v>258</v>
      </c>
      <c r="C93" s="63"/>
      <c r="D93" s="64"/>
      <c r="E93" s="65"/>
      <c r="F93" s="66"/>
      <c r="G93" s="63"/>
      <c r="H93" s="67"/>
      <c r="I93" s="68"/>
      <c r="J93" s="68"/>
      <c r="K93" s="32"/>
      <c r="L93" s="75">
        <v>93</v>
      </c>
      <c r="M93" s="75"/>
      <c r="N93" s="70"/>
      <c r="O93" s="77" t="s">
        <v>179</v>
      </c>
      <c r="P93" s="79">
        <v>45051.01059027778</v>
      </c>
      <c r="Q93" s="77" t="s">
        <v>2168</v>
      </c>
      <c r="R93" s="77">
        <v>0</v>
      </c>
      <c r="S93" s="77">
        <v>0</v>
      </c>
      <c r="T93" s="77">
        <v>0</v>
      </c>
      <c r="U93" s="77">
        <v>0</v>
      </c>
      <c r="V93" s="77">
        <v>7</v>
      </c>
      <c r="W93" s="80" t="s">
        <v>5962</v>
      </c>
      <c r="X93" s="83" t="str">
        <f>HYPERLINK("https://elobjetivo.com.ar/contenido/61700/las-reservas-del-banco-central-cayeron-en-ud-760-millones-en-un-solo-dia-por-un-")</f>
        <v>https://elobjetivo.com.ar/contenido/61700/las-reservas-del-banco-central-cayeron-en-ud-760-millones-en-un-solo-dia-por-un-</v>
      </c>
      <c r="Y93" s="77" t="s">
        <v>8624</v>
      </c>
      <c r="Z93" s="77"/>
      <c r="AA93" s="77"/>
      <c r="AB93" s="77"/>
      <c r="AC93" s="80" t="s">
        <v>10551</v>
      </c>
      <c r="AD93" s="77" t="s">
        <v>10620</v>
      </c>
      <c r="AE93" s="83" t="str">
        <f>HYPERLINK("https://twitter.com/elobjetivocba/status/1654278547689570304")</f>
        <v>https://twitter.com/elobjetivocba/status/1654278547689570304</v>
      </c>
      <c r="AF93" s="79">
        <v>45051.01059027778</v>
      </c>
      <c r="AG93" s="85">
        <v>45051</v>
      </c>
      <c r="AH93" s="80" t="s">
        <v>10712</v>
      </c>
      <c r="AI93" s="77" t="b">
        <v>0</v>
      </c>
      <c r="AJ93" s="77"/>
      <c r="AK93" s="77"/>
      <c r="AL93" s="77"/>
      <c r="AM93" s="77"/>
      <c r="AN93" s="77"/>
      <c r="AO93" s="77"/>
      <c r="AP93" s="77"/>
      <c r="AQ93" s="77"/>
      <c r="AR93" s="77"/>
      <c r="AS93" s="77"/>
      <c r="AT93" s="77"/>
      <c r="AU93" s="77"/>
      <c r="AV93" s="83" t="str">
        <f>HYPERLINK("https://pbs.twimg.com/profile_images/1056935589969309702/93vzDmnl_normal.jpg")</f>
        <v>https://pbs.twimg.com/profile_images/1056935589969309702/93vzDmnl_normal.jpg</v>
      </c>
      <c r="AW93" s="80" t="s">
        <v>16094</v>
      </c>
      <c r="AX93" s="80" t="s">
        <v>16094</v>
      </c>
      <c r="AY93" s="77"/>
      <c r="AZ93" s="80" t="s">
        <v>20380</v>
      </c>
      <c r="BA93" s="80" t="s">
        <v>20380</v>
      </c>
      <c r="BB93" s="80" t="s">
        <v>20380</v>
      </c>
      <c r="BC93" s="80" t="s">
        <v>16094</v>
      </c>
      <c r="BD93" s="80" t="s">
        <v>20510</v>
      </c>
      <c r="BE93" s="77"/>
      <c r="BF93" s="77"/>
      <c r="BG93" s="77"/>
      <c r="BH93" s="77"/>
      <c r="BI93" s="77"/>
    </row>
    <row r="94" spans="1:61" x14ac:dyDescent="0.25">
      <c r="A94" s="62" t="s">
        <v>259</v>
      </c>
      <c r="B94" s="62" t="s">
        <v>259</v>
      </c>
      <c r="C94" s="63"/>
      <c r="D94" s="64"/>
      <c r="E94" s="65"/>
      <c r="F94" s="66"/>
      <c r="G94" s="63"/>
      <c r="H94" s="67"/>
      <c r="I94" s="68"/>
      <c r="J94" s="68"/>
      <c r="K94" s="32"/>
      <c r="L94" s="75">
        <v>94</v>
      </c>
      <c r="M94" s="75"/>
      <c r="N94" s="70"/>
      <c r="O94" s="77" t="s">
        <v>179</v>
      </c>
      <c r="P94" s="79">
        <v>45068.683749999997</v>
      </c>
      <c r="Q94" s="77" t="s">
        <v>2169</v>
      </c>
      <c r="R94" s="77">
        <v>0</v>
      </c>
      <c r="S94" s="77">
        <v>0</v>
      </c>
      <c r="T94" s="77">
        <v>0</v>
      </c>
      <c r="U94" s="77">
        <v>0</v>
      </c>
      <c r="V94" s="77">
        <v>12</v>
      </c>
      <c r="W94" s="80" t="s">
        <v>5963</v>
      </c>
      <c r="X94" s="77"/>
      <c r="Y94" s="77"/>
      <c r="Z94" s="77"/>
      <c r="AA94" s="77"/>
      <c r="AB94" s="77"/>
      <c r="AC94" s="80" t="s">
        <v>10551</v>
      </c>
      <c r="AD94" s="77" t="s">
        <v>10617</v>
      </c>
      <c r="AE94" s="83" t="str">
        <f>HYPERLINK("https://twitter.com/guilhermebraz06/status/1660683084683984903")</f>
        <v>https://twitter.com/guilhermebraz06/status/1660683084683984903</v>
      </c>
      <c r="AF94" s="79">
        <v>45068.683749999997</v>
      </c>
      <c r="AG94" s="85">
        <v>45068</v>
      </c>
      <c r="AH94" s="80" t="s">
        <v>10713</v>
      </c>
      <c r="AI94" s="77"/>
      <c r="AJ94" s="77"/>
      <c r="AK94" s="77"/>
      <c r="AL94" s="77"/>
      <c r="AM94" s="77"/>
      <c r="AN94" s="77"/>
      <c r="AO94" s="77"/>
      <c r="AP94" s="77"/>
      <c r="AQ94" s="77"/>
      <c r="AR94" s="77"/>
      <c r="AS94" s="77"/>
      <c r="AT94" s="77"/>
      <c r="AU94" s="77"/>
      <c r="AV94" s="83" t="str">
        <f>HYPERLINK("https://pbs.twimg.com/profile_images/1651562282034384898/6famz6Au_normal.jpg")</f>
        <v>https://pbs.twimg.com/profile_images/1651562282034384898/6famz6Au_normal.jpg</v>
      </c>
      <c r="AW94" s="80" t="s">
        <v>16095</v>
      </c>
      <c r="AX94" s="80" t="s">
        <v>16095</v>
      </c>
      <c r="AY94" s="77"/>
      <c r="AZ94" s="80" t="s">
        <v>20380</v>
      </c>
      <c r="BA94" s="80" t="s">
        <v>20380</v>
      </c>
      <c r="BB94" s="80" t="s">
        <v>20380</v>
      </c>
      <c r="BC94" s="80" t="s">
        <v>16095</v>
      </c>
      <c r="BD94" s="80" t="s">
        <v>20511</v>
      </c>
      <c r="BE94" s="77"/>
      <c r="BF94" s="77"/>
      <c r="BG94" s="77"/>
      <c r="BH94" s="77"/>
      <c r="BI94" s="77"/>
    </row>
    <row r="95" spans="1:61" x14ac:dyDescent="0.25">
      <c r="A95" s="62" t="s">
        <v>260</v>
      </c>
      <c r="B95" s="62" t="s">
        <v>260</v>
      </c>
      <c r="C95" s="63"/>
      <c r="D95" s="64"/>
      <c r="E95" s="65"/>
      <c r="F95" s="66"/>
      <c r="G95" s="63"/>
      <c r="H95" s="67"/>
      <c r="I95" s="68"/>
      <c r="J95" s="68"/>
      <c r="K95" s="32"/>
      <c r="L95" s="75">
        <v>95</v>
      </c>
      <c r="M95" s="75"/>
      <c r="N95" s="70"/>
      <c r="O95" s="77" t="s">
        <v>179</v>
      </c>
      <c r="P95" s="79">
        <v>45128.998437499999</v>
      </c>
      <c r="Q95" s="77" t="s">
        <v>2170</v>
      </c>
      <c r="R95" s="77">
        <v>0</v>
      </c>
      <c r="S95" s="77">
        <v>0</v>
      </c>
      <c r="T95" s="77">
        <v>0</v>
      </c>
      <c r="U95" s="77">
        <v>0</v>
      </c>
      <c r="V95" s="77">
        <v>11</v>
      </c>
      <c r="W95" s="80" t="s">
        <v>5964</v>
      </c>
      <c r="X95" s="83" t="str">
        <f>HYPERLINK("https://bit.ly/3DqAVYm")</f>
        <v>https://bit.ly/3DqAVYm</v>
      </c>
      <c r="Y95" s="77" t="s">
        <v>8618</v>
      </c>
      <c r="Z95" s="77"/>
      <c r="AA95" s="77" t="s">
        <v>9069</v>
      </c>
      <c r="AB95" s="77" t="s">
        <v>10535</v>
      </c>
      <c r="AC95" s="80" t="s">
        <v>10541</v>
      </c>
      <c r="AD95" s="77" t="s">
        <v>10617</v>
      </c>
      <c r="AE95" s="83" t="str">
        <f>HYPERLINK("https://twitter.com/cclaadvogados/status/1682540398961389574")</f>
        <v>https://twitter.com/cclaadvogados/status/1682540398961389574</v>
      </c>
      <c r="AF95" s="79">
        <v>45128.998437499999</v>
      </c>
      <c r="AG95" s="85">
        <v>45128</v>
      </c>
      <c r="AH95" s="80" t="s">
        <v>10714</v>
      </c>
      <c r="AI95" s="77" t="b">
        <v>0</v>
      </c>
      <c r="AJ95" s="77"/>
      <c r="AK95" s="77"/>
      <c r="AL95" s="77"/>
      <c r="AM95" s="77"/>
      <c r="AN95" s="77"/>
      <c r="AO95" s="77"/>
      <c r="AP95" s="77"/>
      <c r="AQ95" s="77" t="s">
        <v>14551</v>
      </c>
      <c r="AR95" s="77"/>
      <c r="AS95" s="77"/>
      <c r="AT95" s="77"/>
      <c r="AU95" s="77"/>
      <c r="AV95" s="83" t="str">
        <f>HYPERLINK("https://pbs.twimg.com/media/F1mVbY8X0AATi5C.jpg")</f>
        <v>https://pbs.twimg.com/media/F1mVbY8X0AATi5C.jpg</v>
      </c>
      <c r="AW95" s="80" t="s">
        <v>16096</v>
      </c>
      <c r="AX95" s="80" t="s">
        <v>16096</v>
      </c>
      <c r="AY95" s="77"/>
      <c r="AZ95" s="80" t="s">
        <v>20380</v>
      </c>
      <c r="BA95" s="80" t="s">
        <v>20380</v>
      </c>
      <c r="BB95" s="80" t="s">
        <v>20380</v>
      </c>
      <c r="BC95" s="80" t="s">
        <v>16096</v>
      </c>
      <c r="BD95" s="77">
        <v>235131177</v>
      </c>
      <c r="BE95" s="77"/>
      <c r="BF95" s="77"/>
      <c r="BG95" s="77"/>
      <c r="BH95" s="77"/>
      <c r="BI95" s="77"/>
    </row>
    <row r="96" spans="1:61" x14ac:dyDescent="0.25">
      <c r="A96" s="62" t="s">
        <v>261</v>
      </c>
      <c r="B96" s="62" t="s">
        <v>261</v>
      </c>
      <c r="C96" s="63"/>
      <c r="D96" s="64"/>
      <c r="E96" s="65"/>
      <c r="F96" s="66"/>
      <c r="G96" s="63"/>
      <c r="H96" s="67"/>
      <c r="I96" s="68"/>
      <c r="J96" s="68"/>
      <c r="K96" s="32"/>
      <c r="L96" s="75">
        <v>96</v>
      </c>
      <c r="M96" s="75"/>
      <c r="N96" s="70"/>
      <c r="O96" s="77" t="s">
        <v>179</v>
      </c>
      <c r="P96" s="79">
        <v>45142.000694444447</v>
      </c>
      <c r="Q96" s="77" t="s">
        <v>2171</v>
      </c>
      <c r="R96" s="77">
        <v>0</v>
      </c>
      <c r="S96" s="77">
        <v>0</v>
      </c>
      <c r="T96" s="77">
        <v>0</v>
      </c>
      <c r="U96" s="77">
        <v>0</v>
      </c>
      <c r="V96" s="77">
        <v>720</v>
      </c>
      <c r="W96" s="80" t="s">
        <v>5965</v>
      </c>
      <c r="X96" s="83" t="str">
        <f>HYPERLINK("http://www.canal26.com")</f>
        <v>http://www.canal26.com</v>
      </c>
      <c r="Y96" s="77" t="s">
        <v>8626</v>
      </c>
      <c r="Z96" s="77"/>
      <c r="AA96" s="77" t="s">
        <v>9070</v>
      </c>
      <c r="AB96" s="77" t="s">
        <v>10535</v>
      </c>
      <c r="AC96" s="80" t="s">
        <v>10541</v>
      </c>
      <c r="AD96" s="77" t="s">
        <v>10620</v>
      </c>
      <c r="AE96" s="83" t="str">
        <f>HYPERLINK("https://twitter.com/canal26noticias/status/1687252256541003777")</f>
        <v>https://twitter.com/canal26noticias/status/1687252256541003777</v>
      </c>
      <c r="AF96" s="79">
        <v>45142.000694444447</v>
      </c>
      <c r="AG96" s="85">
        <v>45142</v>
      </c>
      <c r="AH96" s="80" t="s">
        <v>10715</v>
      </c>
      <c r="AI96" s="77" t="b">
        <v>0</v>
      </c>
      <c r="AJ96" s="77"/>
      <c r="AK96" s="77"/>
      <c r="AL96" s="77"/>
      <c r="AM96" s="77"/>
      <c r="AN96" s="77"/>
      <c r="AO96" s="77"/>
      <c r="AP96" s="77"/>
      <c r="AQ96" s="77" t="s">
        <v>14552</v>
      </c>
      <c r="AR96" s="77"/>
      <c r="AS96" s="77"/>
      <c r="AT96" s="77"/>
      <c r="AU96" s="77"/>
      <c r="AV96" s="83" t="str">
        <f>HYPERLINK("https://pbs.twimg.com/media/F2oaiZeWoAAfftS.jpg")</f>
        <v>https://pbs.twimg.com/media/F2oaiZeWoAAfftS.jpg</v>
      </c>
      <c r="AW96" s="80" t="s">
        <v>16097</v>
      </c>
      <c r="AX96" s="80" t="s">
        <v>16097</v>
      </c>
      <c r="AY96" s="77"/>
      <c r="AZ96" s="80" t="s">
        <v>20380</v>
      </c>
      <c r="BA96" s="80" t="s">
        <v>20380</v>
      </c>
      <c r="BB96" s="80" t="s">
        <v>20380</v>
      </c>
      <c r="BC96" s="80" t="s">
        <v>16097</v>
      </c>
      <c r="BD96" s="77">
        <v>176540641</v>
      </c>
      <c r="BE96" s="77"/>
      <c r="BF96" s="77"/>
      <c r="BG96" s="77"/>
      <c r="BH96" s="77"/>
      <c r="BI96" s="77"/>
    </row>
    <row r="97" spans="1:61" x14ac:dyDescent="0.25">
      <c r="A97" s="62" t="s">
        <v>261</v>
      </c>
      <c r="B97" s="62" t="s">
        <v>261</v>
      </c>
      <c r="C97" s="63"/>
      <c r="D97" s="64"/>
      <c r="E97" s="65"/>
      <c r="F97" s="66"/>
      <c r="G97" s="63"/>
      <c r="H97" s="67"/>
      <c r="I97" s="68"/>
      <c r="J97" s="68"/>
      <c r="K97" s="32"/>
      <c r="L97" s="75">
        <v>97</v>
      </c>
      <c r="M97" s="75"/>
      <c r="N97" s="70"/>
      <c r="O97" s="77" t="s">
        <v>179</v>
      </c>
      <c r="P97" s="79">
        <v>45152.600949074076</v>
      </c>
      <c r="Q97" s="77" t="s">
        <v>2172</v>
      </c>
      <c r="R97" s="77">
        <v>4</v>
      </c>
      <c r="S97" s="77">
        <v>8</v>
      </c>
      <c r="T97" s="77">
        <v>2</v>
      </c>
      <c r="U97" s="77">
        <v>0</v>
      </c>
      <c r="V97" s="77">
        <v>2598</v>
      </c>
      <c r="W97" s="80" t="s">
        <v>5966</v>
      </c>
      <c r="X97" s="83" t="str">
        <f>HYPERLINK("http://www.canal26.com")</f>
        <v>http://www.canal26.com</v>
      </c>
      <c r="Y97" s="77" t="s">
        <v>8626</v>
      </c>
      <c r="Z97" s="77"/>
      <c r="AA97" s="77" t="s">
        <v>9071</v>
      </c>
      <c r="AB97" s="77" t="s">
        <v>10535</v>
      </c>
      <c r="AC97" s="80" t="s">
        <v>10541</v>
      </c>
      <c r="AD97" s="77" t="s">
        <v>10620</v>
      </c>
      <c r="AE97" s="83" t="str">
        <f>HYPERLINK("https://twitter.com/canal26noticias/status/1691093662074015744")</f>
        <v>https://twitter.com/canal26noticias/status/1691093662074015744</v>
      </c>
      <c r="AF97" s="79">
        <v>45152.600949074076</v>
      </c>
      <c r="AG97" s="85">
        <v>45152</v>
      </c>
      <c r="AH97" s="80" t="s">
        <v>10716</v>
      </c>
      <c r="AI97" s="77" t="b">
        <v>0</v>
      </c>
      <c r="AJ97" s="77"/>
      <c r="AK97" s="77"/>
      <c r="AL97" s="77"/>
      <c r="AM97" s="77"/>
      <c r="AN97" s="77"/>
      <c r="AO97" s="77"/>
      <c r="AP97" s="77"/>
      <c r="AQ97" s="77" t="s">
        <v>14553</v>
      </c>
      <c r="AR97" s="77"/>
      <c r="AS97" s="77"/>
      <c r="AT97" s="77"/>
      <c r="AU97" s="77"/>
      <c r="AV97" s="83" t="str">
        <f>HYPERLINK("https://pbs.twimg.com/media/F3f4t7cXQAATK92.jpg")</f>
        <v>https://pbs.twimg.com/media/F3f4t7cXQAATK92.jpg</v>
      </c>
      <c r="AW97" s="80" t="s">
        <v>16098</v>
      </c>
      <c r="AX97" s="80" t="s">
        <v>16098</v>
      </c>
      <c r="AY97" s="77"/>
      <c r="AZ97" s="80" t="s">
        <v>20380</v>
      </c>
      <c r="BA97" s="80" t="s">
        <v>20380</v>
      </c>
      <c r="BB97" s="80" t="s">
        <v>20380</v>
      </c>
      <c r="BC97" s="80" t="s">
        <v>16098</v>
      </c>
      <c r="BD97" s="77">
        <v>176540641</v>
      </c>
      <c r="BE97" s="77"/>
      <c r="BF97" s="77"/>
      <c r="BG97" s="77"/>
      <c r="BH97" s="77"/>
      <c r="BI97" s="77"/>
    </row>
    <row r="98" spans="1:61" x14ac:dyDescent="0.25">
      <c r="A98" s="62" t="s">
        <v>262</v>
      </c>
      <c r="B98" s="62" t="s">
        <v>1702</v>
      </c>
      <c r="C98" s="63"/>
      <c r="D98" s="64"/>
      <c r="E98" s="65"/>
      <c r="F98" s="66"/>
      <c r="G98" s="63"/>
      <c r="H98" s="67"/>
      <c r="I98" s="68"/>
      <c r="J98" s="68"/>
      <c r="K98" s="32"/>
      <c r="L98" s="75">
        <v>98</v>
      </c>
      <c r="M98" s="75"/>
      <c r="N98" s="70"/>
      <c r="O98" s="77" t="s">
        <v>2081</v>
      </c>
      <c r="P98" s="79">
        <v>45140.662511574075</v>
      </c>
      <c r="Q98" s="77" t="s">
        <v>2173</v>
      </c>
      <c r="R98" s="77">
        <v>251</v>
      </c>
      <c r="S98" s="77">
        <v>273</v>
      </c>
      <c r="T98" s="77">
        <v>20</v>
      </c>
      <c r="U98" s="77">
        <v>17</v>
      </c>
      <c r="V98" s="77">
        <v>9489</v>
      </c>
      <c r="W98" s="80" t="s">
        <v>5967</v>
      </c>
      <c r="X98" s="83" t="str">
        <f>HYPERLINK("http://bc.gob.cu/noticia/inform")</f>
        <v>http://bc.gob.cu/noticia/inform</v>
      </c>
      <c r="Y98" s="77" t="s">
        <v>8627</v>
      </c>
      <c r="Z98" s="77" t="s">
        <v>8903</v>
      </c>
      <c r="AA98" s="77" t="s">
        <v>9072</v>
      </c>
      <c r="AB98" s="77" t="s">
        <v>10535</v>
      </c>
      <c r="AC98" s="80" t="s">
        <v>10540</v>
      </c>
      <c r="AD98" s="77" t="s">
        <v>10620</v>
      </c>
      <c r="AE98" s="83" t="str">
        <f>HYPERLINK("https://twitter.com/bancocentralcub/status/1686767317600862209")</f>
        <v>https://twitter.com/bancocentralcub/status/1686767317600862209</v>
      </c>
      <c r="AF98" s="79">
        <v>45140.662511574075</v>
      </c>
      <c r="AG98" s="85">
        <v>45140</v>
      </c>
      <c r="AH98" s="80" t="s">
        <v>10717</v>
      </c>
      <c r="AI98" s="77" t="b">
        <v>0</v>
      </c>
      <c r="AJ98" s="77"/>
      <c r="AK98" s="77"/>
      <c r="AL98" s="77"/>
      <c r="AM98" s="77"/>
      <c r="AN98" s="77"/>
      <c r="AO98" s="77"/>
      <c r="AP98" s="77"/>
      <c r="AQ98" s="77" t="s">
        <v>14554</v>
      </c>
      <c r="AR98" s="77"/>
      <c r="AS98" s="77"/>
      <c r="AT98" s="77"/>
      <c r="AU98" s="77"/>
      <c r="AV98" s="83" t="str">
        <f>HYPERLINK("https://pbs.twimg.com/media/F2iZ75BWEAAO-r7.jpg")</f>
        <v>https://pbs.twimg.com/media/F2iZ75BWEAAO-r7.jpg</v>
      </c>
      <c r="AW98" s="80" t="s">
        <v>16099</v>
      </c>
      <c r="AX98" s="80" t="s">
        <v>16099</v>
      </c>
      <c r="AY98" s="77"/>
      <c r="AZ98" s="80" t="s">
        <v>20380</v>
      </c>
      <c r="BA98" s="80" t="s">
        <v>20380</v>
      </c>
      <c r="BB98" s="80" t="s">
        <v>20380</v>
      </c>
      <c r="BC98" s="80" t="s">
        <v>16099</v>
      </c>
      <c r="BD98" s="77">
        <v>2482221318</v>
      </c>
      <c r="BE98" s="77"/>
      <c r="BF98" s="77"/>
      <c r="BG98" s="77"/>
      <c r="BH98" s="77"/>
      <c r="BI98" s="77"/>
    </row>
    <row r="99" spans="1:61" x14ac:dyDescent="0.25">
      <c r="A99" s="62" t="s">
        <v>262</v>
      </c>
      <c r="B99" s="62" t="s">
        <v>1703</v>
      </c>
      <c r="C99" s="63"/>
      <c r="D99" s="64"/>
      <c r="E99" s="65"/>
      <c r="F99" s="66"/>
      <c r="G99" s="63"/>
      <c r="H99" s="67"/>
      <c r="I99" s="68"/>
      <c r="J99" s="68"/>
      <c r="K99" s="32"/>
      <c r="L99" s="75">
        <v>99</v>
      </c>
      <c r="M99" s="75"/>
      <c r="N99" s="70"/>
      <c r="O99" s="77" t="s">
        <v>2081</v>
      </c>
      <c r="P99" s="79">
        <v>45140.662511574075</v>
      </c>
      <c r="Q99" s="77" t="s">
        <v>2173</v>
      </c>
      <c r="R99" s="77">
        <v>251</v>
      </c>
      <c r="S99" s="77">
        <v>273</v>
      </c>
      <c r="T99" s="77">
        <v>20</v>
      </c>
      <c r="U99" s="77">
        <v>17</v>
      </c>
      <c r="V99" s="77">
        <v>9489</v>
      </c>
      <c r="W99" s="80" t="s">
        <v>5967</v>
      </c>
      <c r="X99" s="83" t="str">
        <f>HYPERLINK("http://bc.gob.cu/noticia/inform")</f>
        <v>http://bc.gob.cu/noticia/inform</v>
      </c>
      <c r="Y99" s="77" t="s">
        <v>8627</v>
      </c>
      <c r="Z99" s="77" t="s">
        <v>8903</v>
      </c>
      <c r="AA99" s="77" t="s">
        <v>9072</v>
      </c>
      <c r="AB99" s="77" t="s">
        <v>10535</v>
      </c>
      <c r="AC99" s="80" t="s">
        <v>10540</v>
      </c>
      <c r="AD99" s="77" t="s">
        <v>10620</v>
      </c>
      <c r="AE99" s="83" t="str">
        <f>HYPERLINK("https://twitter.com/bancocentralcub/status/1686767317600862209")</f>
        <v>https://twitter.com/bancocentralcub/status/1686767317600862209</v>
      </c>
      <c r="AF99" s="79">
        <v>45140.662511574075</v>
      </c>
      <c r="AG99" s="85">
        <v>45140</v>
      </c>
      <c r="AH99" s="80" t="s">
        <v>10717</v>
      </c>
      <c r="AI99" s="77" t="b">
        <v>0</v>
      </c>
      <c r="AJ99" s="77"/>
      <c r="AK99" s="77"/>
      <c r="AL99" s="77"/>
      <c r="AM99" s="77"/>
      <c r="AN99" s="77"/>
      <c r="AO99" s="77"/>
      <c r="AP99" s="77"/>
      <c r="AQ99" s="77" t="s">
        <v>14554</v>
      </c>
      <c r="AR99" s="77"/>
      <c r="AS99" s="77"/>
      <c r="AT99" s="77"/>
      <c r="AU99" s="77"/>
      <c r="AV99" s="83" t="str">
        <f>HYPERLINK("https://pbs.twimg.com/media/F2iZ75BWEAAO-r7.jpg")</f>
        <v>https://pbs.twimg.com/media/F2iZ75BWEAAO-r7.jpg</v>
      </c>
      <c r="AW99" s="80" t="s">
        <v>16099</v>
      </c>
      <c r="AX99" s="80" t="s">
        <v>16099</v>
      </c>
      <c r="AY99" s="77"/>
      <c r="AZ99" s="80" t="s">
        <v>20380</v>
      </c>
      <c r="BA99" s="80" t="s">
        <v>20380</v>
      </c>
      <c r="BB99" s="80" t="s">
        <v>20380</v>
      </c>
      <c r="BC99" s="80" t="s">
        <v>16099</v>
      </c>
      <c r="BD99" s="77">
        <v>2482221318</v>
      </c>
      <c r="BE99" s="77"/>
      <c r="BF99" s="77"/>
      <c r="BG99" s="77"/>
      <c r="BH99" s="77"/>
      <c r="BI99" s="77"/>
    </row>
    <row r="100" spans="1:61" x14ac:dyDescent="0.25">
      <c r="A100" s="62" t="s">
        <v>262</v>
      </c>
      <c r="B100" s="62" t="s">
        <v>1704</v>
      </c>
      <c r="C100" s="63"/>
      <c r="D100" s="64"/>
      <c r="E100" s="65"/>
      <c r="F100" s="66"/>
      <c r="G100" s="63"/>
      <c r="H100" s="67"/>
      <c r="I100" s="68"/>
      <c r="J100" s="68"/>
      <c r="K100" s="32"/>
      <c r="L100" s="75">
        <v>100</v>
      </c>
      <c r="M100" s="75"/>
      <c r="N100" s="70"/>
      <c r="O100" s="77" t="s">
        <v>2081</v>
      </c>
      <c r="P100" s="79">
        <v>45140.662511574075</v>
      </c>
      <c r="Q100" s="77" t="s">
        <v>2173</v>
      </c>
      <c r="R100" s="77">
        <v>251</v>
      </c>
      <c r="S100" s="77">
        <v>273</v>
      </c>
      <c r="T100" s="77">
        <v>20</v>
      </c>
      <c r="U100" s="77">
        <v>17</v>
      </c>
      <c r="V100" s="77">
        <v>9489</v>
      </c>
      <c r="W100" s="80" t="s">
        <v>5967</v>
      </c>
      <c r="X100" s="83" t="str">
        <f>HYPERLINK("http://bc.gob.cu/noticia/inform")</f>
        <v>http://bc.gob.cu/noticia/inform</v>
      </c>
      <c r="Y100" s="77" t="s">
        <v>8627</v>
      </c>
      <c r="Z100" s="77" t="s">
        <v>8903</v>
      </c>
      <c r="AA100" s="77" t="s">
        <v>9072</v>
      </c>
      <c r="AB100" s="77" t="s">
        <v>10535</v>
      </c>
      <c r="AC100" s="80" t="s">
        <v>10540</v>
      </c>
      <c r="AD100" s="77" t="s">
        <v>10620</v>
      </c>
      <c r="AE100" s="83" t="str">
        <f>HYPERLINK("https://twitter.com/bancocentralcub/status/1686767317600862209")</f>
        <v>https://twitter.com/bancocentralcub/status/1686767317600862209</v>
      </c>
      <c r="AF100" s="79">
        <v>45140.662511574075</v>
      </c>
      <c r="AG100" s="85">
        <v>45140</v>
      </c>
      <c r="AH100" s="80" t="s">
        <v>10717</v>
      </c>
      <c r="AI100" s="77" t="b">
        <v>0</v>
      </c>
      <c r="AJ100" s="77"/>
      <c r="AK100" s="77"/>
      <c r="AL100" s="77"/>
      <c r="AM100" s="77"/>
      <c r="AN100" s="77"/>
      <c r="AO100" s="77"/>
      <c r="AP100" s="77"/>
      <c r="AQ100" s="77" t="s">
        <v>14554</v>
      </c>
      <c r="AR100" s="77"/>
      <c r="AS100" s="77"/>
      <c r="AT100" s="77"/>
      <c r="AU100" s="77"/>
      <c r="AV100" s="83" t="str">
        <f>HYPERLINK("https://pbs.twimg.com/media/F2iZ75BWEAAO-r7.jpg")</f>
        <v>https://pbs.twimg.com/media/F2iZ75BWEAAO-r7.jpg</v>
      </c>
      <c r="AW100" s="80" t="s">
        <v>16099</v>
      </c>
      <c r="AX100" s="80" t="s">
        <v>16099</v>
      </c>
      <c r="AY100" s="77"/>
      <c r="AZ100" s="80" t="s">
        <v>20380</v>
      </c>
      <c r="BA100" s="80" t="s">
        <v>20380</v>
      </c>
      <c r="BB100" s="80" t="s">
        <v>20380</v>
      </c>
      <c r="BC100" s="80" t="s">
        <v>16099</v>
      </c>
      <c r="BD100" s="77">
        <v>2482221318</v>
      </c>
      <c r="BE100" s="77"/>
      <c r="BF100" s="77"/>
      <c r="BG100" s="77"/>
      <c r="BH100" s="77"/>
      <c r="BI100" s="77"/>
    </row>
    <row r="101" spans="1:61" x14ac:dyDescent="0.25">
      <c r="A101" s="62" t="s">
        <v>263</v>
      </c>
      <c r="B101" s="62" t="s">
        <v>263</v>
      </c>
      <c r="C101" s="63"/>
      <c r="D101" s="64"/>
      <c r="E101" s="65"/>
      <c r="F101" s="66"/>
      <c r="G101" s="63"/>
      <c r="H101" s="67"/>
      <c r="I101" s="68"/>
      <c r="J101" s="68"/>
      <c r="K101" s="32"/>
      <c r="L101" s="75">
        <v>101</v>
      </c>
      <c r="M101" s="75"/>
      <c r="N101" s="70"/>
      <c r="O101" s="77" t="s">
        <v>179</v>
      </c>
      <c r="P101" s="79">
        <v>45062.062905092593</v>
      </c>
      <c r="Q101" s="77" t="s">
        <v>2174</v>
      </c>
      <c r="R101" s="77">
        <v>1</v>
      </c>
      <c r="S101" s="77">
        <v>4</v>
      </c>
      <c r="T101" s="77">
        <v>0</v>
      </c>
      <c r="U101" s="77">
        <v>0</v>
      </c>
      <c r="V101" s="77">
        <v>477</v>
      </c>
      <c r="W101" s="80" t="s">
        <v>5968</v>
      </c>
      <c r="X101" s="77"/>
      <c r="Y101" s="77"/>
      <c r="Z101" s="77"/>
      <c r="AA101" s="77" t="s">
        <v>9073</v>
      </c>
      <c r="AB101" s="77" t="s">
        <v>10535</v>
      </c>
      <c r="AC101" s="80" t="s">
        <v>8629</v>
      </c>
      <c r="AD101" s="77" t="s">
        <v>10620</v>
      </c>
      <c r="AE101" s="83" t="str">
        <f>HYPERLINK("https://twitter.com/pagina_siete/status/1658283771328884737")</f>
        <v>https://twitter.com/pagina_siete/status/1658283771328884737</v>
      </c>
      <c r="AF101" s="79">
        <v>45062.062905092593</v>
      </c>
      <c r="AG101" s="85">
        <v>45062</v>
      </c>
      <c r="AH101" s="80" t="s">
        <v>10718</v>
      </c>
      <c r="AI101" s="77" t="b">
        <v>0</v>
      </c>
      <c r="AJ101" s="77"/>
      <c r="AK101" s="77"/>
      <c r="AL101" s="77"/>
      <c r="AM101" s="77"/>
      <c r="AN101" s="77"/>
      <c r="AO101" s="77"/>
      <c r="AP101" s="77"/>
      <c r="AQ101" s="77" t="s">
        <v>14555</v>
      </c>
      <c r="AR101" s="77"/>
      <c r="AS101" s="77"/>
      <c r="AT101" s="77"/>
      <c r="AU101" s="77"/>
      <c r="AV101" s="83" t="str">
        <f>HYPERLINK("https://pbs.twimg.com/media/FwNoTUjaEAAsdu7.jpg")</f>
        <v>https://pbs.twimg.com/media/FwNoTUjaEAAsdu7.jpg</v>
      </c>
      <c r="AW101" s="80" t="s">
        <v>16100</v>
      </c>
      <c r="AX101" s="80" t="s">
        <v>16100</v>
      </c>
      <c r="AY101" s="77"/>
      <c r="AZ101" s="80" t="s">
        <v>20380</v>
      </c>
      <c r="BA101" s="80" t="s">
        <v>20380</v>
      </c>
      <c r="BB101" s="80" t="s">
        <v>20380</v>
      </c>
      <c r="BC101" s="80" t="s">
        <v>16100</v>
      </c>
      <c r="BD101" s="80" t="s">
        <v>20512</v>
      </c>
      <c r="BE101" s="77"/>
      <c r="BF101" s="77"/>
      <c r="BG101" s="77"/>
      <c r="BH101" s="77"/>
      <c r="BI101" s="77"/>
    </row>
    <row r="102" spans="1:61" x14ac:dyDescent="0.25">
      <c r="A102" s="62" t="s">
        <v>264</v>
      </c>
      <c r="B102" s="62" t="s">
        <v>1705</v>
      </c>
      <c r="C102" s="63"/>
      <c r="D102" s="64"/>
      <c r="E102" s="65"/>
      <c r="F102" s="66"/>
      <c r="G102" s="63"/>
      <c r="H102" s="67"/>
      <c r="I102" s="68"/>
      <c r="J102" s="68"/>
      <c r="K102" s="32"/>
      <c r="L102" s="75">
        <v>102</v>
      </c>
      <c r="M102" s="75"/>
      <c r="N102" s="70"/>
      <c r="O102" s="77" t="s">
        <v>2084</v>
      </c>
      <c r="P102" s="79">
        <v>45148.765520833331</v>
      </c>
      <c r="Q102" s="77" t="s">
        <v>2175</v>
      </c>
      <c r="R102" s="77">
        <v>0</v>
      </c>
      <c r="S102" s="77">
        <v>0</v>
      </c>
      <c r="T102" s="77">
        <v>0</v>
      </c>
      <c r="U102" s="77">
        <v>1</v>
      </c>
      <c r="V102" s="77">
        <v>29</v>
      </c>
      <c r="W102" s="80" t="s">
        <v>5969</v>
      </c>
      <c r="X102" s="77"/>
      <c r="Y102" s="77"/>
      <c r="Z102" s="77" t="s">
        <v>8904</v>
      </c>
      <c r="AA102" s="77"/>
      <c r="AB102" s="77"/>
      <c r="AC102" s="80" t="s">
        <v>10540</v>
      </c>
      <c r="AD102" s="77" t="s">
        <v>10620</v>
      </c>
      <c r="AE102" s="83" t="str">
        <f>HYPERLINK("https://twitter.com/pagosyaurgente/status/1689703749634129922")</f>
        <v>https://twitter.com/pagosyaurgente/status/1689703749634129922</v>
      </c>
      <c r="AF102" s="79">
        <v>45148.765520833331</v>
      </c>
      <c r="AG102" s="85">
        <v>45148</v>
      </c>
      <c r="AH102" s="80" t="s">
        <v>10719</v>
      </c>
      <c r="AI102" s="77"/>
      <c r="AJ102" s="77"/>
      <c r="AK102" s="77"/>
      <c r="AL102" s="77"/>
      <c r="AM102" s="77"/>
      <c r="AN102" s="77"/>
      <c r="AO102" s="77"/>
      <c r="AP102" s="77"/>
      <c r="AQ102" s="77"/>
      <c r="AR102" s="77"/>
      <c r="AS102" s="77"/>
      <c r="AT102" s="77"/>
      <c r="AU102" s="77"/>
      <c r="AV102" s="83" t="str">
        <f>HYPERLINK("https://pbs.twimg.com/profile_images/1689710107905363969/03IWY8mv_normal.jpg")</f>
        <v>https://pbs.twimg.com/profile_images/1689710107905363969/03IWY8mv_normal.jpg</v>
      </c>
      <c r="AW102" s="80" t="s">
        <v>16101</v>
      </c>
      <c r="AX102" s="80" t="s">
        <v>16101</v>
      </c>
      <c r="AY102" s="77"/>
      <c r="AZ102" s="80" t="s">
        <v>20380</v>
      </c>
      <c r="BA102" s="80" t="s">
        <v>20484</v>
      </c>
      <c r="BB102" s="80" t="s">
        <v>20380</v>
      </c>
      <c r="BC102" s="80" t="s">
        <v>20484</v>
      </c>
      <c r="BD102" s="80" t="s">
        <v>20513</v>
      </c>
      <c r="BE102" s="77"/>
      <c r="BF102" s="77"/>
      <c r="BG102" s="77"/>
      <c r="BH102" s="77"/>
      <c r="BI102" s="77"/>
    </row>
    <row r="103" spans="1:61" x14ac:dyDescent="0.25">
      <c r="A103" s="62" t="s">
        <v>264</v>
      </c>
      <c r="B103" s="62" t="s">
        <v>1706</v>
      </c>
      <c r="C103" s="63"/>
      <c r="D103" s="64"/>
      <c r="E103" s="65"/>
      <c r="F103" s="66"/>
      <c r="G103" s="63"/>
      <c r="H103" s="67"/>
      <c r="I103" s="68"/>
      <c r="J103" s="68"/>
      <c r="K103" s="32"/>
      <c r="L103" s="75">
        <v>103</v>
      </c>
      <c r="M103" s="75"/>
      <c r="N103" s="70"/>
      <c r="O103" s="77" t="s">
        <v>2084</v>
      </c>
      <c r="P103" s="79">
        <v>45148.776516203703</v>
      </c>
      <c r="Q103" s="77" t="s">
        <v>2176</v>
      </c>
      <c r="R103" s="77">
        <v>1</v>
      </c>
      <c r="S103" s="77">
        <v>0</v>
      </c>
      <c r="T103" s="77">
        <v>0</v>
      </c>
      <c r="U103" s="77">
        <v>1</v>
      </c>
      <c r="V103" s="77">
        <v>38</v>
      </c>
      <c r="W103" s="80" t="s">
        <v>5970</v>
      </c>
      <c r="X103" s="77"/>
      <c r="Y103" s="77"/>
      <c r="Z103" s="77" t="s">
        <v>8905</v>
      </c>
      <c r="AA103" s="77"/>
      <c r="AB103" s="77"/>
      <c r="AC103" s="80" t="s">
        <v>10540</v>
      </c>
      <c r="AD103" s="77" t="s">
        <v>10619</v>
      </c>
      <c r="AE103" s="83" t="str">
        <f>HYPERLINK("https://twitter.com/pagosyaurgente/status/1689707734453694464")</f>
        <v>https://twitter.com/pagosyaurgente/status/1689707734453694464</v>
      </c>
      <c r="AF103" s="79">
        <v>45148.776516203703</v>
      </c>
      <c r="AG103" s="85">
        <v>45148</v>
      </c>
      <c r="AH103" s="80" t="s">
        <v>10720</v>
      </c>
      <c r="AI103" s="77"/>
      <c r="AJ103" s="77"/>
      <c r="AK103" s="77"/>
      <c r="AL103" s="77"/>
      <c r="AM103" s="77"/>
      <c r="AN103" s="77"/>
      <c r="AO103" s="77"/>
      <c r="AP103" s="77"/>
      <c r="AQ103" s="77"/>
      <c r="AR103" s="77"/>
      <c r="AS103" s="77"/>
      <c r="AT103" s="77"/>
      <c r="AU103" s="77"/>
      <c r="AV103" s="83" t="str">
        <f>HYPERLINK("https://pbs.twimg.com/profile_images/1689710107905363969/03IWY8mv_normal.jpg")</f>
        <v>https://pbs.twimg.com/profile_images/1689710107905363969/03IWY8mv_normal.jpg</v>
      </c>
      <c r="AW103" s="80" t="s">
        <v>16102</v>
      </c>
      <c r="AX103" s="80" t="s">
        <v>16102</v>
      </c>
      <c r="AY103" s="77"/>
      <c r="AZ103" s="80" t="s">
        <v>20380</v>
      </c>
      <c r="BA103" s="80" t="s">
        <v>20485</v>
      </c>
      <c r="BB103" s="80" t="s">
        <v>20380</v>
      </c>
      <c r="BC103" s="80" t="s">
        <v>20485</v>
      </c>
      <c r="BD103" s="80" t="s">
        <v>20513</v>
      </c>
      <c r="BE103" s="77"/>
      <c r="BF103" s="77"/>
      <c r="BG103" s="77"/>
      <c r="BH103" s="77"/>
      <c r="BI103" s="77"/>
    </row>
    <row r="104" spans="1:61" x14ac:dyDescent="0.25">
      <c r="A104" s="62" t="s">
        <v>264</v>
      </c>
      <c r="B104" s="62" t="s">
        <v>1707</v>
      </c>
      <c r="C104" s="63"/>
      <c r="D104" s="64"/>
      <c r="E104" s="65"/>
      <c r="F104" s="66"/>
      <c r="G104" s="63"/>
      <c r="H104" s="67"/>
      <c r="I104" s="68"/>
      <c r="J104" s="68"/>
      <c r="K104" s="32"/>
      <c r="L104" s="75">
        <v>104</v>
      </c>
      <c r="M104" s="75"/>
      <c r="N104" s="70"/>
      <c r="O104" s="77" t="s">
        <v>2084</v>
      </c>
      <c r="P104" s="79">
        <v>45148.776516203703</v>
      </c>
      <c r="Q104" s="77" t="s">
        <v>2176</v>
      </c>
      <c r="R104" s="77">
        <v>1</v>
      </c>
      <c r="S104" s="77">
        <v>0</v>
      </c>
      <c r="T104" s="77">
        <v>0</v>
      </c>
      <c r="U104" s="77">
        <v>1</v>
      </c>
      <c r="V104" s="77">
        <v>38</v>
      </c>
      <c r="W104" s="80" t="s">
        <v>5970</v>
      </c>
      <c r="X104" s="77"/>
      <c r="Y104" s="77"/>
      <c r="Z104" s="77" t="s">
        <v>8905</v>
      </c>
      <c r="AA104" s="77"/>
      <c r="AB104" s="77"/>
      <c r="AC104" s="80" t="s">
        <v>10540</v>
      </c>
      <c r="AD104" s="77" t="s">
        <v>10619</v>
      </c>
      <c r="AE104" s="83" t="str">
        <f>HYPERLINK("https://twitter.com/pagosyaurgente/status/1689707734453694464")</f>
        <v>https://twitter.com/pagosyaurgente/status/1689707734453694464</v>
      </c>
      <c r="AF104" s="79">
        <v>45148.776516203703</v>
      </c>
      <c r="AG104" s="85">
        <v>45148</v>
      </c>
      <c r="AH104" s="80" t="s">
        <v>10720</v>
      </c>
      <c r="AI104" s="77"/>
      <c r="AJ104" s="77"/>
      <c r="AK104" s="77"/>
      <c r="AL104" s="77"/>
      <c r="AM104" s="77"/>
      <c r="AN104" s="77"/>
      <c r="AO104" s="77"/>
      <c r="AP104" s="77"/>
      <c r="AQ104" s="77"/>
      <c r="AR104" s="77"/>
      <c r="AS104" s="77"/>
      <c r="AT104" s="77"/>
      <c r="AU104" s="77"/>
      <c r="AV104" s="83" t="str">
        <f>HYPERLINK("https://pbs.twimg.com/profile_images/1689710107905363969/03IWY8mv_normal.jpg")</f>
        <v>https://pbs.twimg.com/profile_images/1689710107905363969/03IWY8mv_normal.jpg</v>
      </c>
      <c r="AW104" s="80" t="s">
        <v>16102</v>
      </c>
      <c r="AX104" s="80" t="s">
        <v>16102</v>
      </c>
      <c r="AY104" s="77"/>
      <c r="AZ104" s="80" t="s">
        <v>20380</v>
      </c>
      <c r="BA104" s="80" t="s">
        <v>20485</v>
      </c>
      <c r="BB104" s="80" t="s">
        <v>20380</v>
      </c>
      <c r="BC104" s="80" t="s">
        <v>20485</v>
      </c>
      <c r="BD104" s="80" t="s">
        <v>20513</v>
      </c>
      <c r="BE104" s="77"/>
      <c r="BF104" s="77"/>
      <c r="BG104" s="77"/>
      <c r="BH104" s="77"/>
      <c r="BI104" s="77"/>
    </row>
    <row r="105" spans="1:61" x14ac:dyDescent="0.25">
      <c r="A105" s="62" t="s">
        <v>264</v>
      </c>
      <c r="B105" s="62" t="s">
        <v>1708</v>
      </c>
      <c r="C105" s="63"/>
      <c r="D105" s="64"/>
      <c r="E105" s="65"/>
      <c r="F105" s="66"/>
      <c r="G105" s="63"/>
      <c r="H105" s="67"/>
      <c r="I105" s="68"/>
      <c r="J105" s="68"/>
      <c r="K105" s="32"/>
      <c r="L105" s="75">
        <v>105</v>
      </c>
      <c r="M105" s="75"/>
      <c r="N105" s="70"/>
      <c r="O105" s="77" t="s">
        <v>2084</v>
      </c>
      <c r="P105" s="79">
        <v>45148.776516203703</v>
      </c>
      <c r="Q105" s="77" t="s">
        <v>2176</v>
      </c>
      <c r="R105" s="77">
        <v>1</v>
      </c>
      <c r="S105" s="77">
        <v>0</v>
      </c>
      <c r="T105" s="77">
        <v>0</v>
      </c>
      <c r="U105" s="77">
        <v>1</v>
      </c>
      <c r="V105" s="77">
        <v>38</v>
      </c>
      <c r="W105" s="80" t="s">
        <v>5970</v>
      </c>
      <c r="X105" s="77"/>
      <c r="Y105" s="77"/>
      <c r="Z105" s="77" t="s">
        <v>8905</v>
      </c>
      <c r="AA105" s="77"/>
      <c r="AB105" s="77"/>
      <c r="AC105" s="80" t="s">
        <v>10540</v>
      </c>
      <c r="AD105" s="77" t="s">
        <v>10619</v>
      </c>
      <c r="AE105" s="83" t="str">
        <f>HYPERLINK("https://twitter.com/pagosyaurgente/status/1689707734453694464")</f>
        <v>https://twitter.com/pagosyaurgente/status/1689707734453694464</v>
      </c>
      <c r="AF105" s="79">
        <v>45148.776516203703</v>
      </c>
      <c r="AG105" s="85">
        <v>45148</v>
      </c>
      <c r="AH105" s="80" t="s">
        <v>10720</v>
      </c>
      <c r="AI105" s="77"/>
      <c r="AJ105" s="77"/>
      <c r="AK105" s="77"/>
      <c r="AL105" s="77"/>
      <c r="AM105" s="77"/>
      <c r="AN105" s="77"/>
      <c r="AO105" s="77"/>
      <c r="AP105" s="77"/>
      <c r="AQ105" s="77"/>
      <c r="AR105" s="77"/>
      <c r="AS105" s="77"/>
      <c r="AT105" s="77"/>
      <c r="AU105" s="77"/>
      <c r="AV105" s="83" t="str">
        <f>HYPERLINK("https://pbs.twimg.com/profile_images/1689710107905363969/03IWY8mv_normal.jpg")</f>
        <v>https://pbs.twimg.com/profile_images/1689710107905363969/03IWY8mv_normal.jpg</v>
      </c>
      <c r="AW105" s="80" t="s">
        <v>16102</v>
      </c>
      <c r="AX105" s="80" t="s">
        <v>16102</v>
      </c>
      <c r="AY105" s="77"/>
      <c r="AZ105" s="80" t="s">
        <v>20380</v>
      </c>
      <c r="BA105" s="80" t="s">
        <v>20485</v>
      </c>
      <c r="BB105" s="80" t="s">
        <v>20380</v>
      </c>
      <c r="BC105" s="80" t="s">
        <v>20485</v>
      </c>
      <c r="BD105" s="80" t="s">
        <v>20513</v>
      </c>
      <c r="BE105" s="77"/>
      <c r="BF105" s="77"/>
      <c r="BG105" s="77"/>
      <c r="BH105" s="77"/>
      <c r="BI105" s="77"/>
    </row>
    <row r="106" spans="1:61" x14ac:dyDescent="0.25">
      <c r="A106" s="62" t="s">
        <v>264</v>
      </c>
      <c r="B106" s="62" t="s">
        <v>1709</v>
      </c>
      <c r="C106" s="63"/>
      <c r="D106" s="64"/>
      <c r="E106" s="65"/>
      <c r="F106" s="66"/>
      <c r="G106" s="63"/>
      <c r="H106" s="67"/>
      <c r="I106" s="68"/>
      <c r="J106" s="68"/>
      <c r="K106" s="32"/>
      <c r="L106" s="75">
        <v>106</v>
      </c>
      <c r="M106" s="75"/>
      <c r="N106" s="70"/>
      <c r="O106" s="77" t="s">
        <v>2084</v>
      </c>
      <c r="P106" s="79">
        <v>45148.776516203703</v>
      </c>
      <c r="Q106" s="77" t="s">
        <v>2176</v>
      </c>
      <c r="R106" s="77">
        <v>1</v>
      </c>
      <c r="S106" s="77">
        <v>0</v>
      </c>
      <c r="T106" s="77">
        <v>0</v>
      </c>
      <c r="U106" s="77">
        <v>1</v>
      </c>
      <c r="V106" s="77">
        <v>38</v>
      </c>
      <c r="W106" s="80" t="s">
        <v>5970</v>
      </c>
      <c r="X106" s="77"/>
      <c r="Y106" s="77"/>
      <c r="Z106" s="77" t="s">
        <v>8905</v>
      </c>
      <c r="AA106" s="77"/>
      <c r="AB106" s="77"/>
      <c r="AC106" s="80" t="s">
        <v>10540</v>
      </c>
      <c r="AD106" s="77" t="s">
        <v>10619</v>
      </c>
      <c r="AE106" s="83" t="str">
        <f>HYPERLINK("https://twitter.com/pagosyaurgente/status/1689707734453694464")</f>
        <v>https://twitter.com/pagosyaurgente/status/1689707734453694464</v>
      </c>
      <c r="AF106" s="79">
        <v>45148.776516203703</v>
      </c>
      <c r="AG106" s="85">
        <v>45148</v>
      </c>
      <c r="AH106" s="80" t="s">
        <v>10720</v>
      </c>
      <c r="AI106" s="77"/>
      <c r="AJ106" s="77"/>
      <c r="AK106" s="77"/>
      <c r="AL106" s="77"/>
      <c r="AM106" s="77"/>
      <c r="AN106" s="77"/>
      <c r="AO106" s="77"/>
      <c r="AP106" s="77"/>
      <c r="AQ106" s="77"/>
      <c r="AR106" s="77"/>
      <c r="AS106" s="77"/>
      <c r="AT106" s="77"/>
      <c r="AU106" s="77"/>
      <c r="AV106" s="83" t="str">
        <f>HYPERLINK("https://pbs.twimg.com/profile_images/1689710107905363969/03IWY8mv_normal.jpg")</f>
        <v>https://pbs.twimg.com/profile_images/1689710107905363969/03IWY8mv_normal.jpg</v>
      </c>
      <c r="AW106" s="80" t="s">
        <v>16102</v>
      </c>
      <c r="AX106" s="80" t="s">
        <v>16102</v>
      </c>
      <c r="AY106" s="77"/>
      <c r="AZ106" s="80" t="s">
        <v>20380</v>
      </c>
      <c r="BA106" s="80" t="s">
        <v>20485</v>
      </c>
      <c r="BB106" s="80" t="s">
        <v>20380</v>
      </c>
      <c r="BC106" s="80" t="s">
        <v>20485</v>
      </c>
      <c r="BD106" s="80" t="s">
        <v>20513</v>
      </c>
      <c r="BE106" s="77"/>
      <c r="BF106" s="77"/>
      <c r="BG106" s="77"/>
      <c r="BH106" s="77"/>
      <c r="BI106" s="77"/>
    </row>
    <row r="107" spans="1:61" x14ac:dyDescent="0.25">
      <c r="A107" s="62" t="s">
        <v>264</v>
      </c>
      <c r="B107" s="62" t="s">
        <v>1710</v>
      </c>
      <c r="C107" s="63"/>
      <c r="D107" s="64"/>
      <c r="E107" s="65"/>
      <c r="F107" s="66"/>
      <c r="G107" s="63"/>
      <c r="H107" s="67"/>
      <c r="I107" s="68"/>
      <c r="J107" s="68"/>
      <c r="K107" s="32"/>
      <c r="L107" s="75">
        <v>107</v>
      </c>
      <c r="M107" s="75"/>
      <c r="N107" s="70"/>
      <c r="O107" s="77" t="s">
        <v>2081</v>
      </c>
      <c r="P107" s="79">
        <v>45083.92114583333</v>
      </c>
      <c r="Q107" s="77" t="s">
        <v>2177</v>
      </c>
      <c r="R107" s="77">
        <v>1</v>
      </c>
      <c r="S107" s="77">
        <v>0</v>
      </c>
      <c r="T107" s="77">
        <v>0</v>
      </c>
      <c r="U107" s="77">
        <v>1</v>
      </c>
      <c r="V107" s="77">
        <v>126</v>
      </c>
      <c r="W107" s="77"/>
      <c r="X107" s="77"/>
      <c r="Y107" s="77"/>
      <c r="Z107" s="77" t="s">
        <v>8906</v>
      </c>
      <c r="AA107" s="77"/>
      <c r="AB107" s="77"/>
      <c r="AC107" s="80" t="s">
        <v>10540</v>
      </c>
      <c r="AD107" s="77" t="s">
        <v>10620</v>
      </c>
      <c r="AE107" s="83" t="str">
        <f>HYPERLINK("https://twitter.com/pagosyaurgente/status/1666204933668982784")</f>
        <v>https://twitter.com/pagosyaurgente/status/1666204933668982784</v>
      </c>
      <c r="AF107" s="79">
        <v>45083.92114583333</v>
      </c>
      <c r="AG107" s="85">
        <v>45083</v>
      </c>
      <c r="AH107" s="80" t="s">
        <v>10721</v>
      </c>
      <c r="AI107" s="77"/>
      <c r="AJ107" s="77"/>
      <c r="AK107" s="77"/>
      <c r="AL107" s="77"/>
      <c r="AM107" s="77"/>
      <c r="AN107" s="77"/>
      <c r="AO107" s="77"/>
      <c r="AP107" s="77"/>
      <c r="AQ107" s="77"/>
      <c r="AR107" s="77"/>
      <c r="AS107" s="77"/>
      <c r="AT107" s="77"/>
      <c r="AU107" s="77"/>
      <c r="AV107" s="83" t="str">
        <f>HYPERLINK("https://pbs.twimg.com/profile_images/1689710107905363969/03IWY8mv_normal.jpg")</f>
        <v>https://pbs.twimg.com/profile_images/1689710107905363969/03IWY8mv_normal.jpg</v>
      </c>
      <c r="AW107" s="80" t="s">
        <v>16103</v>
      </c>
      <c r="AX107" s="80" t="s">
        <v>16103</v>
      </c>
      <c r="AY107" s="77"/>
      <c r="AZ107" s="80" t="s">
        <v>20380</v>
      </c>
      <c r="BA107" s="80" t="s">
        <v>20380</v>
      </c>
      <c r="BB107" s="80" t="s">
        <v>20380</v>
      </c>
      <c r="BC107" s="80" t="s">
        <v>16103</v>
      </c>
      <c r="BD107" s="80" t="s">
        <v>20513</v>
      </c>
      <c r="BE107" s="77"/>
      <c r="BF107" s="77"/>
      <c r="BG107" s="77"/>
      <c r="BH107" s="77"/>
      <c r="BI107" s="77"/>
    </row>
    <row r="108" spans="1:61" x14ac:dyDescent="0.25">
      <c r="A108" s="62" t="s">
        <v>264</v>
      </c>
      <c r="B108" s="62" t="s">
        <v>1711</v>
      </c>
      <c r="C108" s="63"/>
      <c r="D108" s="64"/>
      <c r="E108" s="65"/>
      <c r="F108" s="66"/>
      <c r="G108" s="63"/>
      <c r="H108" s="67"/>
      <c r="I108" s="68"/>
      <c r="J108" s="68"/>
      <c r="K108" s="32"/>
      <c r="L108" s="75">
        <v>108</v>
      </c>
      <c r="M108" s="75"/>
      <c r="N108" s="70"/>
      <c r="O108" s="77" t="s">
        <v>2084</v>
      </c>
      <c r="P108" s="79">
        <v>45148.765520833331</v>
      </c>
      <c r="Q108" s="77" t="s">
        <v>2175</v>
      </c>
      <c r="R108" s="77">
        <v>0</v>
      </c>
      <c r="S108" s="77">
        <v>0</v>
      </c>
      <c r="T108" s="77">
        <v>0</v>
      </c>
      <c r="U108" s="77">
        <v>1</v>
      </c>
      <c r="V108" s="77">
        <v>29</v>
      </c>
      <c r="W108" s="80" t="s">
        <v>5969</v>
      </c>
      <c r="X108" s="77"/>
      <c r="Y108" s="77"/>
      <c r="Z108" s="77" t="s">
        <v>8904</v>
      </c>
      <c r="AA108" s="77"/>
      <c r="AB108" s="77"/>
      <c r="AC108" s="80" t="s">
        <v>10540</v>
      </c>
      <c r="AD108" s="77" t="s">
        <v>10620</v>
      </c>
      <c r="AE108" s="83" t="str">
        <f>HYPERLINK("https://twitter.com/pagosyaurgente/status/1689703749634129922")</f>
        <v>https://twitter.com/pagosyaurgente/status/1689703749634129922</v>
      </c>
      <c r="AF108" s="79">
        <v>45148.765520833331</v>
      </c>
      <c r="AG108" s="85">
        <v>45148</v>
      </c>
      <c r="AH108" s="80" t="s">
        <v>10719</v>
      </c>
      <c r="AI108" s="77"/>
      <c r="AJ108" s="77"/>
      <c r="AK108" s="77"/>
      <c r="AL108" s="77"/>
      <c r="AM108" s="77"/>
      <c r="AN108" s="77"/>
      <c r="AO108" s="77"/>
      <c r="AP108" s="77"/>
      <c r="AQ108" s="77"/>
      <c r="AR108" s="77"/>
      <c r="AS108" s="77"/>
      <c r="AT108" s="77"/>
      <c r="AU108" s="77"/>
      <c r="AV108" s="83" t="str">
        <f>HYPERLINK("https://pbs.twimg.com/profile_images/1689710107905363969/03IWY8mv_normal.jpg")</f>
        <v>https://pbs.twimg.com/profile_images/1689710107905363969/03IWY8mv_normal.jpg</v>
      </c>
      <c r="AW108" s="80" t="s">
        <v>16101</v>
      </c>
      <c r="AX108" s="80" t="s">
        <v>16101</v>
      </c>
      <c r="AY108" s="77"/>
      <c r="AZ108" s="80" t="s">
        <v>20380</v>
      </c>
      <c r="BA108" s="80" t="s">
        <v>20484</v>
      </c>
      <c r="BB108" s="80" t="s">
        <v>20380</v>
      </c>
      <c r="BC108" s="80" t="s">
        <v>20484</v>
      </c>
      <c r="BD108" s="80" t="s">
        <v>20513</v>
      </c>
      <c r="BE108" s="77"/>
      <c r="BF108" s="77"/>
      <c r="BG108" s="77"/>
      <c r="BH108" s="77"/>
      <c r="BI108" s="77"/>
    </row>
    <row r="109" spans="1:61" x14ac:dyDescent="0.25">
      <c r="A109" s="62" t="s">
        <v>264</v>
      </c>
      <c r="B109" s="62" t="s">
        <v>1711</v>
      </c>
      <c r="C109" s="63"/>
      <c r="D109" s="64"/>
      <c r="E109" s="65"/>
      <c r="F109" s="66"/>
      <c r="G109" s="63"/>
      <c r="H109" s="67"/>
      <c r="I109" s="68"/>
      <c r="J109" s="68"/>
      <c r="K109" s="32"/>
      <c r="L109" s="75">
        <v>109</v>
      </c>
      <c r="M109" s="75"/>
      <c r="N109" s="70"/>
      <c r="O109" s="77" t="s">
        <v>2081</v>
      </c>
      <c r="P109" s="79">
        <v>45083.92114583333</v>
      </c>
      <c r="Q109" s="77" t="s">
        <v>2177</v>
      </c>
      <c r="R109" s="77">
        <v>1</v>
      </c>
      <c r="S109" s="77">
        <v>0</v>
      </c>
      <c r="T109" s="77">
        <v>0</v>
      </c>
      <c r="U109" s="77">
        <v>1</v>
      </c>
      <c r="V109" s="77">
        <v>126</v>
      </c>
      <c r="W109" s="77"/>
      <c r="X109" s="77"/>
      <c r="Y109" s="77"/>
      <c r="Z109" s="77" t="s">
        <v>8906</v>
      </c>
      <c r="AA109" s="77"/>
      <c r="AB109" s="77"/>
      <c r="AC109" s="80" t="s">
        <v>10540</v>
      </c>
      <c r="AD109" s="77" t="s">
        <v>10620</v>
      </c>
      <c r="AE109" s="83" t="str">
        <f>HYPERLINK("https://twitter.com/pagosyaurgente/status/1666204933668982784")</f>
        <v>https://twitter.com/pagosyaurgente/status/1666204933668982784</v>
      </c>
      <c r="AF109" s="79">
        <v>45083.92114583333</v>
      </c>
      <c r="AG109" s="85">
        <v>45083</v>
      </c>
      <c r="AH109" s="80" t="s">
        <v>10721</v>
      </c>
      <c r="AI109" s="77"/>
      <c r="AJ109" s="77"/>
      <c r="AK109" s="77"/>
      <c r="AL109" s="77"/>
      <c r="AM109" s="77"/>
      <c r="AN109" s="77"/>
      <c r="AO109" s="77"/>
      <c r="AP109" s="77"/>
      <c r="AQ109" s="77"/>
      <c r="AR109" s="77"/>
      <c r="AS109" s="77"/>
      <c r="AT109" s="77"/>
      <c r="AU109" s="77"/>
      <c r="AV109" s="83" t="str">
        <f>HYPERLINK("https://pbs.twimg.com/profile_images/1689710107905363969/03IWY8mv_normal.jpg")</f>
        <v>https://pbs.twimg.com/profile_images/1689710107905363969/03IWY8mv_normal.jpg</v>
      </c>
      <c r="AW109" s="80" t="s">
        <v>16103</v>
      </c>
      <c r="AX109" s="80" t="s">
        <v>16103</v>
      </c>
      <c r="AY109" s="77"/>
      <c r="AZ109" s="80" t="s">
        <v>20380</v>
      </c>
      <c r="BA109" s="80" t="s">
        <v>20380</v>
      </c>
      <c r="BB109" s="80" t="s">
        <v>20380</v>
      </c>
      <c r="BC109" s="80" t="s">
        <v>16103</v>
      </c>
      <c r="BD109" s="80" t="s">
        <v>20513</v>
      </c>
      <c r="BE109" s="77"/>
      <c r="BF109" s="77"/>
      <c r="BG109" s="77"/>
      <c r="BH109" s="77"/>
      <c r="BI109" s="77"/>
    </row>
    <row r="110" spans="1:61" x14ac:dyDescent="0.25">
      <c r="A110" s="62" t="s">
        <v>264</v>
      </c>
      <c r="B110" s="62" t="s">
        <v>1712</v>
      </c>
      <c r="C110" s="63"/>
      <c r="D110" s="64"/>
      <c r="E110" s="65"/>
      <c r="F110" s="66"/>
      <c r="G110" s="63"/>
      <c r="H110" s="67"/>
      <c r="I110" s="68"/>
      <c r="J110" s="68"/>
      <c r="K110" s="32"/>
      <c r="L110" s="75">
        <v>110</v>
      </c>
      <c r="M110" s="75"/>
      <c r="N110" s="70"/>
      <c r="O110" s="77" t="s">
        <v>2081</v>
      </c>
      <c r="P110" s="79">
        <v>45083.92114583333</v>
      </c>
      <c r="Q110" s="77" t="s">
        <v>2177</v>
      </c>
      <c r="R110" s="77">
        <v>1</v>
      </c>
      <c r="S110" s="77">
        <v>0</v>
      </c>
      <c r="T110" s="77">
        <v>0</v>
      </c>
      <c r="U110" s="77">
        <v>1</v>
      </c>
      <c r="V110" s="77">
        <v>126</v>
      </c>
      <c r="W110" s="77"/>
      <c r="X110" s="77"/>
      <c r="Y110" s="77"/>
      <c r="Z110" s="77" t="s">
        <v>8906</v>
      </c>
      <c r="AA110" s="77"/>
      <c r="AB110" s="77"/>
      <c r="AC110" s="80" t="s">
        <v>10540</v>
      </c>
      <c r="AD110" s="77" t="s">
        <v>10620</v>
      </c>
      <c r="AE110" s="83" t="str">
        <f>HYPERLINK("https://twitter.com/pagosyaurgente/status/1666204933668982784")</f>
        <v>https://twitter.com/pagosyaurgente/status/1666204933668982784</v>
      </c>
      <c r="AF110" s="79">
        <v>45083.92114583333</v>
      </c>
      <c r="AG110" s="85">
        <v>45083</v>
      </c>
      <c r="AH110" s="80" t="s">
        <v>10721</v>
      </c>
      <c r="AI110" s="77"/>
      <c r="AJ110" s="77"/>
      <c r="AK110" s="77"/>
      <c r="AL110" s="77"/>
      <c r="AM110" s="77"/>
      <c r="AN110" s="77"/>
      <c r="AO110" s="77"/>
      <c r="AP110" s="77"/>
      <c r="AQ110" s="77"/>
      <c r="AR110" s="77"/>
      <c r="AS110" s="77"/>
      <c r="AT110" s="77"/>
      <c r="AU110" s="77"/>
      <c r="AV110" s="83" t="str">
        <f>HYPERLINK("https://pbs.twimg.com/profile_images/1689710107905363969/03IWY8mv_normal.jpg")</f>
        <v>https://pbs.twimg.com/profile_images/1689710107905363969/03IWY8mv_normal.jpg</v>
      </c>
      <c r="AW110" s="80" t="s">
        <v>16103</v>
      </c>
      <c r="AX110" s="80" t="s">
        <v>16103</v>
      </c>
      <c r="AY110" s="77"/>
      <c r="AZ110" s="80" t="s">
        <v>20380</v>
      </c>
      <c r="BA110" s="80" t="s">
        <v>20380</v>
      </c>
      <c r="BB110" s="80" t="s">
        <v>20380</v>
      </c>
      <c r="BC110" s="80" t="s">
        <v>16103</v>
      </c>
      <c r="BD110" s="80" t="s">
        <v>20513</v>
      </c>
      <c r="BE110" s="77"/>
      <c r="BF110" s="77"/>
      <c r="BG110" s="77"/>
      <c r="BH110" s="77"/>
      <c r="BI110" s="77"/>
    </row>
    <row r="111" spans="1:61" x14ac:dyDescent="0.25">
      <c r="A111" s="62" t="s">
        <v>264</v>
      </c>
      <c r="B111" s="62" t="s">
        <v>1713</v>
      </c>
      <c r="C111" s="63"/>
      <c r="D111" s="64"/>
      <c r="E111" s="65"/>
      <c r="F111" s="66"/>
      <c r="G111" s="63"/>
      <c r="H111" s="67"/>
      <c r="I111" s="68"/>
      <c r="J111" s="68"/>
      <c r="K111" s="32"/>
      <c r="L111" s="75">
        <v>111</v>
      </c>
      <c r="M111" s="75"/>
      <c r="N111" s="70"/>
      <c r="O111" s="77" t="s">
        <v>2081</v>
      </c>
      <c r="P111" s="79">
        <v>45083.92114583333</v>
      </c>
      <c r="Q111" s="77" t="s">
        <v>2177</v>
      </c>
      <c r="R111" s="77">
        <v>1</v>
      </c>
      <c r="S111" s="77">
        <v>0</v>
      </c>
      <c r="T111" s="77">
        <v>0</v>
      </c>
      <c r="U111" s="77">
        <v>1</v>
      </c>
      <c r="V111" s="77">
        <v>126</v>
      </c>
      <c r="W111" s="77"/>
      <c r="X111" s="77"/>
      <c r="Y111" s="77"/>
      <c r="Z111" s="77" t="s">
        <v>8906</v>
      </c>
      <c r="AA111" s="77"/>
      <c r="AB111" s="77"/>
      <c r="AC111" s="80" t="s">
        <v>10540</v>
      </c>
      <c r="AD111" s="77" t="s">
        <v>10620</v>
      </c>
      <c r="AE111" s="83" t="str">
        <f>HYPERLINK("https://twitter.com/pagosyaurgente/status/1666204933668982784")</f>
        <v>https://twitter.com/pagosyaurgente/status/1666204933668982784</v>
      </c>
      <c r="AF111" s="79">
        <v>45083.92114583333</v>
      </c>
      <c r="AG111" s="85">
        <v>45083</v>
      </c>
      <c r="AH111" s="80" t="s">
        <v>10721</v>
      </c>
      <c r="AI111" s="77"/>
      <c r="AJ111" s="77"/>
      <c r="AK111" s="77"/>
      <c r="AL111" s="77"/>
      <c r="AM111" s="77"/>
      <c r="AN111" s="77"/>
      <c r="AO111" s="77"/>
      <c r="AP111" s="77"/>
      <c r="AQ111" s="77"/>
      <c r="AR111" s="77"/>
      <c r="AS111" s="77"/>
      <c r="AT111" s="77"/>
      <c r="AU111" s="77"/>
      <c r="AV111" s="83" t="str">
        <f>HYPERLINK("https://pbs.twimg.com/profile_images/1689710107905363969/03IWY8mv_normal.jpg")</f>
        <v>https://pbs.twimg.com/profile_images/1689710107905363969/03IWY8mv_normal.jpg</v>
      </c>
      <c r="AW111" s="80" t="s">
        <v>16103</v>
      </c>
      <c r="AX111" s="80" t="s">
        <v>16103</v>
      </c>
      <c r="AY111" s="77"/>
      <c r="AZ111" s="80" t="s">
        <v>20380</v>
      </c>
      <c r="BA111" s="80" t="s">
        <v>20380</v>
      </c>
      <c r="BB111" s="80" t="s">
        <v>20380</v>
      </c>
      <c r="BC111" s="80" t="s">
        <v>16103</v>
      </c>
      <c r="BD111" s="80" t="s">
        <v>20513</v>
      </c>
      <c r="BE111" s="77"/>
      <c r="BF111" s="77"/>
      <c r="BG111" s="77"/>
      <c r="BH111" s="77"/>
      <c r="BI111" s="77"/>
    </row>
    <row r="112" spans="1:61" x14ac:dyDescent="0.25">
      <c r="A112" s="62" t="s">
        <v>264</v>
      </c>
      <c r="B112" s="62" t="s">
        <v>1714</v>
      </c>
      <c r="C112" s="63"/>
      <c r="D112" s="64"/>
      <c r="E112" s="65"/>
      <c r="F112" s="66"/>
      <c r="G112" s="63"/>
      <c r="H112" s="67"/>
      <c r="I112" s="68"/>
      <c r="J112" s="68"/>
      <c r="K112" s="32"/>
      <c r="L112" s="75">
        <v>112</v>
      </c>
      <c r="M112" s="75"/>
      <c r="N112" s="70"/>
      <c r="O112" s="77" t="s">
        <v>2084</v>
      </c>
      <c r="P112" s="79">
        <v>45148.765520833331</v>
      </c>
      <c r="Q112" s="77" t="s">
        <v>2175</v>
      </c>
      <c r="R112" s="77">
        <v>0</v>
      </c>
      <c r="S112" s="77">
        <v>0</v>
      </c>
      <c r="T112" s="77">
        <v>0</v>
      </c>
      <c r="U112" s="77">
        <v>1</v>
      </c>
      <c r="V112" s="77">
        <v>29</v>
      </c>
      <c r="W112" s="80" t="s">
        <v>5969</v>
      </c>
      <c r="X112" s="77"/>
      <c r="Y112" s="77"/>
      <c r="Z112" s="77" t="s">
        <v>8904</v>
      </c>
      <c r="AA112" s="77"/>
      <c r="AB112" s="77"/>
      <c r="AC112" s="80" t="s">
        <v>10540</v>
      </c>
      <c r="AD112" s="77" t="s">
        <v>10620</v>
      </c>
      <c r="AE112" s="83" t="str">
        <f>HYPERLINK("https://twitter.com/pagosyaurgente/status/1689703749634129922")</f>
        <v>https://twitter.com/pagosyaurgente/status/1689703749634129922</v>
      </c>
      <c r="AF112" s="79">
        <v>45148.765520833331</v>
      </c>
      <c r="AG112" s="85">
        <v>45148</v>
      </c>
      <c r="AH112" s="80" t="s">
        <v>10719</v>
      </c>
      <c r="AI112" s="77"/>
      <c r="AJ112" s="77"/>
      <c r="AK112" s="77"/>
      <c r="AL112" s="77"/>
      <c r="AM112" s="77"/>
      <c r="AN112" s="77"/>
      <c r="AO112" s="77"/>
      <c r="AP112" s="77"/>
      <c r="AQ112" s="77"/>
      <c r="AR112" s="77"/>
      <c r="AS112" s="77"/>
      <c r="AT112" s="77"/>
      <c r="AU112" s="77"/>
      <c r="AV112" s="83" t="str">
        <f>HYPERLINK("https://pbs.twimg.com/profile_images/1689710107905363969/03IWY8mv_normal.jpg")</f>
        <v>https://pbs.twimg.com/profile_images/1689710107905363969/03IWY8mv_normal.jpg</v>
      </c>
      <c r="AW112" s="80" t="s">
        <v>16101</v>
      </c>
      <c r="AX112" s="80" t="s">
        <v>16101</v>
      </c>
      <c r="AY112" s="77"/>
      <c r="AZ112" s="80" t="s">
        <v>20380</v>
      </c>
      <c r="BA112" s="80" t="s">
        <v>20484</v>
      </c>
      <c r="BB112" s="80" t="s">
        <v>20380</v>
      </c>
      <c r="BC112" s="80" t="s">
        <v>20484</v>
      </c>
      <c r="BD112" s="80" t="s">
        <v>20513</v>
      </c>
      <c r="BE112" s="77"/>
      <c r="BF112" s="77"/>
      <c r="BG112" s="77"/>
      <c r="BH112" s="77"/>
      <c r="BI112" s="77"/>
    </row>
    <row r="113" spans="1:61" x14ac:dyDescent="0.25">
      <c r="A113" s="62" t="s">
        <v>264</v>
      </c>
      <c r="B113" s="62" t="s">
        <v>1714</v>
      </c>
      <c r="C113" s="63"/>
      <c r="D113" s="64"/>
      <c r="E113" s="65"/>
      <c r="F113" s="66"/>
      <c r="G113" s="63"/>
      <c r="H113" s="67"/>
      <c r="I113" s="68"/>
      <c r="J113" s="68"/>
      <c r="K113" s="32"/>
      <c r="L113" s="75">
        <v>113</v>
      </c>
      <c r="M113" s="75"/>
      <c r="N113" s="70"/>
      <c r="O113" s="77" t="s">
        <v>2081</v>
      </c>
      <c r="P113" s="79">
        <v>45083.92114583333</v>
      </c>
      <c r="Q113" s="77" t="s">
        <v>2177</v>
      </c>
      <c r="R113" s="77">
        <v>1</v>
      </c>
      <c r="S113" s="77">
        <v>0</v>
      </c>
      <c r="T113" s="77">
        <v>0</v>
      </c>
      <c r="U113" s="77">
        <v>1</v>
      </c>
      <c r="V113" s="77">
        <v>126</v>
      </c>
      <c r="W113" s="77"/>
      <c r="X113" s="77"/>
      <c r="Y113" s="77"/>
      <c r="Z113" s="77" t="s">
        <v>8906</v>
      </c>
      <c r="AA113" s="77"/>
      <c r="AB113" s="77"/>
      <c r="AC113" s="80" t="s">
        <v>10540</v>
      </c>
      <c r="AD113" s="77" t="s">
        <v>10620</v>
      </c>
      <c r="AE113" s="83" t="str">
        <f>HYPERLINK("https://twitter.com/pagosyaurgente/status/1666204933668982784")</f>
        <v>https://twitter.com/pagosyaurgente/status/1666204933668982784</v>
      </c>
      <c r="AF113" s="79">
        <v>45083.92114583333</v>
      </c>
      <c r="AG113" s="85">
        <v>45083</v>
      </c>
      <c r="AH113" s="80" t="s">
        <v>10721</v>
      </c>
      <c r="AI113" s="77"/>
      <c r="AJ113" s="77"/>
      <c r="AK113" s="77"/>
      <c r="AL113" s="77"/>
      <c r="AM113" s="77"/>
      <c r="AN113" s="77"/>
      <c r="AO113" s="77"/>
      <c r="AP113" s="77"/>
      <c r="AQ113" s="77"/>
      <c r="AR113" s="77"/>
      <c r="AS113" s="77"/>
      <c r="AT113" s="77"/>
      <c r="AU113" s="77"/>
      <c r="AV113" s="83" t="str">
        <f>HYPERLINK("https://pbs.twimg.com/profile_images/1689710107905363969/03IWY8mv_normal.jpg")</f>
        <v>https://pbs.twimg.com/profile_images/1689710107905363969/03IWY8mv_normal.jpg</v>
      </c>
      <c r="AW113" s="80" t="s">
        <v>16103</v>
      </c>
      <c r="AX113" s="80" t="s">
        <v>16103</v>
      </c>
      <c r="AY113" s="77"/>
      <c r="AZ113" s="80" t="s">
        <v>20380</v>
      </c>
      <c r="BA113" s="80" t="s">
        <v>20380</v>
      </c>
      <c r="BB113" s="80" t="s">
        <v>20380</v>
      </c>
      <c r="BC113" s="80" t="s">
        <v>16103</v>
      </c>
      <c r="BD113" s="80" t="s">
        <v>20513</v>
      </c>
      <c r="BE113" s="77"/>
      <c r="BF113" s="77"/>
      <c r="BG113" s="77"/>
      <c r="BH113" s="77"/>
      <c r="BI113" s="77"/>
    </row>
    <row r="114" spans="1:61" x14ac:dyDescent="0.25">
      <c r="A114" s="62" t="s">
        <v>264</v>
      </c>
      <c r="B114" s="62" t="s">
        <v>264</v>
      </c>
      <c r="C114" s="63"/>
      <c r="D114" s="64"/>
      <c r="E114" s="65"/>
      <c r="F114" s="66"/>
      <c r="G114" s="63"/>
      <c r="H114" s="67"/>
      <c r="I114" s="68"/>
      <c r="J114" s="68"/>
      <c r="K114" s="32"/>
      <c r="L114" s="75">
        <v>114</v>
      </c>
      <c r="M114" s="75"/>
      <c r="N114" s="70"/>
      <c r="O114" s="77" t="s">
        <v>2082</v>
      </c>
      <c r="P114" s="79">
        <v>45152.720937500002</v>
      </c>
      <c r="Q114" s="77" t="s">
        <v>2178</v>
      </c>
      <c r="R114" s="77">
        <v>0</v>
      </c>
      <c r="S114" s="77">
        <v>0</v>
      </c>
      <c r="T114" s="77">
        <v>0</v>
      </c>
      <c r="U114" s="77">
        <v>0</v>
      </c>
      <c r="V114" s="77">
        <v>10</v>
      </c>
      <c r="W114" s="80" t="s">
        <v>5971</v>
      </c>
      <c r="X114" s="77"/>
      <c r="Y114" s="77"/>
      <c r="Z114" s="77"/>
      <c r="AA114" s="77"/>
      <c r="AB114" s="77"/>
      <c r="AC114" s="80" t="s">
        <v>10540</v>
      </c>
      <c r="AD114" s="77" t="s">
        <v>10620</v>
      </c>
      <c r="AE114" s="83" t="str">
        <f>HYPERLINK("https://twitter.com/pagosyaurgente/status/1691137145207926792")</f>
        <v>https://twitter.com/pagosyaurgente/status/1691137145207926792</v>
      </c>
      <c r="AF114" s="79">
        <v>45152.720937500002</v>
      </c>
      <c r="AG114" s="85">
        <v>45152</v>
      </c>
      <c r="AH114" s="80" t="s">
        <v>10722</v>
      </c>
      <c r="AI114" s="77"/>
      <c r="AJ114" s="77"/>
      <c r="AK114" s="77"/>
      <c r="AL114" s="77"/>
      <c r="AM114" s="77"/>
      <c r="AN114" s="77"/>
      <c r="AO114" s="77"/>
      <c r="AP114" s="77"/>
      <c r="AQ114" s="77"/>
      <c r="AR114" s="77"/>
      <c r="AS114" s="77"/>
      <c r="AT114" s="77"/>
      <c r="AU114" s="77"/>
      <c r="AV114" s="83" t="str">
        <f>HYPERLINK("https://pbs.twimg.com/profile_images/1689710107905363969/03IWY8mv_normal.jpg")</f>
        <v>https://pbs.twimg.com/profile_images/1689710107905363969/03IWY8mv_normal.jpg</v>
      </c>
      <c r="AW114" s="80" t="s">
        <v>16104</v>
      </c>
      <c r="AX114" s="80" t="s">
        <v>16104</v>
      </c>
      <c r="AY114" s="77"/>
      <c r="AZ114" s="80" t="s">
        <v>20380</v>
      </c>
      <c r="BA114" s="80" t="s">
        <v>20486</v>
      </c>
      <c r="BB114" s="80" t="s">
        <v>20380</v>
      </c>
      <c r="BC114" s="80" t="s">
        <v>20486</v>
      </c>
      <c r="BD114" s="80" t="s">
        <v>20513</v>
      </c>
      <c r="BE114" s="77"/>
      <c r="BF114" s="77"/>
      <c r="BG114" s="77"/>
      <c r="BH114" s="77"/>
      <c r="BI114" s="77"/>
    </row>
    <row r="115" spans="1:61" x14ac:dyDescent="0.25">
      <c r="A115" s="62" t="s">
        <v>264</v>
      </c>
      <c r="B115" s="62" t="s">
        <v>264</v>
      </c>
      <c r="C115" s="63"/>
      <c r="D115" s="64"/>
      <c r="E115" s="65"/>
      <c r="F115" s="66"/>
      <c r="G115" s="63"/>
      <c r="H115" s="67"/>
      <c r="I115" s="68"/>
      <c r="J115" s="68"/>
      <c r="K115" s="32"/>
      <c r="L115" s="75">
        <v>115</v>
      </c>
      <c r="M115" s="75"/>
      <c r="N115" s="70"/>
      <c r="O115" s="77" t="s">
        <v>2082</v>
      </c>
      <c r="P115" s="79">
        <v>45152.719525462962</v>
      </c>
      <c r="Q115" s="77" t="s">
        <v>2179</v>
      </c>
      <c r="R115" s="77">
        <v>0</v>
      </c>
      <c r="S115" s="77">
        <v>0</v>
      </c>
      <c r="T115" s="77">
        <v>0</v>
      </c>
      <c r="U115" s="77">
        <v>0</v>
      </c>
      <c r="V115" s="77">
        <v>9</v>
      </c>
      <c r="W115" s="80" t="s">
        <v>5972</v>
      </c>
      <c r="X115" s="77"/>
      <c r="Y115" s="77"/>
      <c r="Z115" s="77"/>
      <c r="AA115" s="77"/>
      <c r="AB115" s="77"/>
      <c r="AC115" s="80" t="s">
        <v>10540</v>
      </c>
      <c r="AD115" s="77" t="s">
        <v>10618</v>
      </c>
      <c r="AE115" s="83" t="str">
        <f>HYPERLINK("https://twitter.com/pagosyaurgente/status/1691136633762885676")</f>
        <v>https://twitter.com/pagosyaurgente/status/1691136633762885676</v>
      </c>
      <c r="AF115" s="79">
        <v>45152.719525462962</v>
      </c>
      <c r="AG115" s="85">
        <v>45152</v>
      </c>
      <c r="AH115" s="80" t="s">
        <v>10723</v>
      </c>
      <c r="AI115" s="77"/>
      <c r="AJ115" s="77"/>
      <c r="AK115" s="77"/>
      <c r="AL115" s="77"/>
      <c r="AM115" s="77"/>
      <c r="AN115" s="77"/>
      <c r="AO115" s="77"/>
      <c r="AP115" s="77"/>
      <c r="AQ115" s="77"/>
      <c r="AR115" s="77"/>
      <c r="AS115" s="77"/>
      <c r="AT115" s="77"/>
      <c r="AU115" s="77"/>
      <c r="AV115" s="83" t="str">
        <f>HYPERLINK("https://pbs.twimg.com/profile_images/1689710107905363969/03IWY8mv_normal.jpg")</f>
        <v>https://pbs.twimg.com/profile_images/1689710107905363969/03IWY8mv_normal.jpg</v>
      </c>
      <c r="AW115" s="80" t="s">
        <v>16105</v>
      </c>
      <c r="AX115" s="80" t="s">
        <v>16105</v>
      </c>
      <c r="AY115" s="77"/>
      <c r="AZ115" s="80" t="s">
        <v>20380</v>
      </c>
      <c r="BA115" s="80" t="s">
        <v>16101</v>
      </c>
      <c r="BB115" s="80" t="s">
        <v>20380</v>
      </c>
      <c r="BC115" s="80" t="s">
        <v>16101</v>
      </c>
      <c r="BD115" s="80" t="s">
        <v>20513</v>
      </c>
      <c r="BE115" s="77"/>
      <c r="BF115" s="77"/>
      <c r="BG115" s="77"/>
      <c r="BH115" s="77"/>
      <c r="BI115" s="77"/>
    </row>
    <row r="116" spans="1:61" x14ac:dyDescent="0.25">
      <c r="A116" s="62" t="s">
        <v>264</v>
      </c>
      <c r="B116" s="62" t="s">
        <v>264</v>
      </c>
      <c r="C116" s="63"/>
      <c r="D116" s="64"/>
      <c r="E116" s="65"/>
      <c r="F116" s="66"/>
      <c r="G116" s="63"/>
      <c r="H116" s="67"/>
      <c r="I116" s="68"/>
      <c r="J116" s="68"/>
      <c r="K116" s="32"/>
      <c r="L116" s="75">
        <v>116</v>
      </c>
      <c r="M116" s="75"/>
      <c r="N116" s="70"/>
      <c r="O116" s="77" t="s">
        <v>2082</v>
      </c>
      <c r="P116" s="79">
        <v>45152.718622685185</v>
      </c>
      <c r="Q116" s="77" t="s">
        <v>2180</v>
      </c>
      <c r="R116" s="77">
        <v>0</v>
      </c>
      <c r="S116" s="77">
        <v>0</v>
      </c>
      <c r="T116" s="77">
        <v>0</v>
      </c>
      <c r="U116" s="77">
        <v>0</v>
      </c>
      <c r="V116" s="77">
        <v>4</v>
      </c>
      <c r="W116" s="80" t="s">
        <v>5973</v>
      </c>
      <c r="X116" s="77"/>
      <c r="Y116" s="77"/>
      <c r="Z116" s="77"/>
      <c r="AA116" s="77"/>
      <c r="AB116" s="77"/>
      <c r="AC116" s="80" t="s">
        <v>10540</v>
      </c>
      <c r="AD116" s="77" t="s">
        <v>10618</v>
      </c>
      <c r="AE116" s="83" t="str">
        <f>HYPERLINK("https://twitter.com/pagosyaurgente/status/1691136303893458949")</f>
        <v>https://twitter.com/pagosyaurgente/status/1691136303893458949</v>
      </c>
      <c r="AF116" s="79">
        <v>45152.718622685185</v>
      </c>
      <c r="AG116" s="85">
        <v>45152</v>
      </c>
      <c r="AH116" s="80" t="s">
        <v>10724</v>
      </c>
      <c r="AI116" s="77"/>
      <c r="AJ116" s="77"/>
      <c r="AK116" s="77"/>
      <c r="AL116" s="77"/>
      <c r="AM116" s="77"/>
      <c r="AN116" s="77"/>
      <c r="AO116" s="77"/>
      <c r="AP116" s="77"/>
      <c r="AQ116" s="77"/>
      <c r="AR116" s="77"/>
      <c r="AS116" s="77"/>
      <c r="AT116" s="77"/>
      <c r="AU116" s="77"/>
      <c r="AV116" s="83" t="str">
        <f>HYPERLINK("https://pbs.twimg.com/profile_images/1689710107905363969/03IWY8mv_normal.jpg")</f>
        <v>https://pbs.twimg.com/profile_images/1689710107905363969/03IWY8mv_normal.jpg</v>
      </c>
      <c r="AW116" s="80" t="s">
        <v>16106</v>
      </c>
      <c r="AX116" s="80" t="s">
        <v>16106</v>
      </c>
      <c r="AY116" s="77"/>
      <c r="AZ116" s="80" t="s">
        <v>20380</v>
      </c>
      <c r="BA116" s="80" t="s">
        <v>16102</v>
      </c>
      <c r="BB116" s="80" t="s">
        <v>20380</v>
      </c>
      <c r="BC116" s="80" t="s">
        <v>16102</v>
      </c>
      <c r="BD116" s="80" t="s">
        <v>20513</v>
      </c>
      <c r="BE116" s="77"/>
      <c r="BF116" s="77"/>
      <c r="BG116" s="77"/>
      <c r="BH116" s="77"/>
      <c r="BI116" s="77"/>
    </row>
    <row r="117" spans="1:61" x14ac:dyDescent="0.25">
      <c r="A117" s="62" t="s">
        <v>264</v>
      </c>
      <c r="B117" s="62" t="s">
        <v>264</v>
      </c>
      <c r="C117" s="63"/>
      <c r="D117" s="64"/>
      <c r="E117" s="65"/>
      <c r="F117" s="66"/>
      <c r="G117" s="63"/>
      <c r="H117" s="67"/>
      <c r="I117" s="68"/>
      <c r="J117" s="68"/>
      <c r="K117" s="32"/>
      <c r="L117" s="75">
        <v>117</v>
      </c>
      <c r="M117" s="75"/>
      <c r="N117" s="70"/>
      <c r="O117" s="77" t="s">
        <v>2082</v>
      </c>
      <c r="P117" s="79">
        <v>45152.717800925922</v>
      </c>
      <c r="Q117" s="77" t="s">
        <v>2181</v>
      </c>
      <c r="R117" s="77">
        <v>0</v>
      </c>
      <c r="S117" s="77">
        <v>0</v>
      </c>
      <c r="T117" s="77">
        <v>0</v>
      </c>
      <c r="U117" s="77">
        <v>0</v>
      </c>
      <c r="V117" s="77">
        <v>11</v>
      </c>
      <c r="W117" s="80" t="s">
        <v>5973</v>
      </c>
      <c r="X117" s="77"/>
      <c r="Y117" s="77"/>
      <c r="Z117" s="77"/>
      <c r="AA117" s="77"/>
      <c r="AB117" s="77"/>
      <c r="AC117" s="80" t="s">
        <v>10540</v>
      </c>
      <c r="AD117" s="77" t="s">
        <v>10620</v>
      </c>
      <c r="AE117" s="83" t="str">
        <f>HYPERLINK("https://twitter.com/pagosyaurgente/status/1691136006315978763")</f>
        <v>https://twitter.com/pagosyaurgente/status/1691136006315978763</v>
      </c>
      <c r="AF117" s="79">
        <v>45152.717800925922</v>
      </c>
      <c r="AG117" s="85">
        <v>45152</v>
      </c>
      <c r="AH117" s="80" t="s">
        <v>10725</v>
      </c>
      <c r="AI117" s="77"/>
      <c r="AJ117" s="77"/>
      <c r="AK117" s="77"/>
      <c r="AL117" s="77"/>
      <c r="AM117" s="77"/>
      <c r="AN117" s="77"/>
      <c r="AO117" s="77"/>
      <c r="AP117" s="77"/>
      <c r="AQ117" s="77"/>
      <c r="AR117" s="77"/>
      <c r="AS117" s="77"/>
      <c r="AT117" s="77"/>
      <c r="AU117" s="77"/>
      <c r="AV117" s="83" t="str">
        <f>HYPERLINK("https://pbs.twimg.com/profile_images/1689710107905363969/03IWY8mv_normal.jpg")</f>
        <v>https://pbs.twimg.com/profile_images/1689710107905363969/03IWY8mv_normal.jpg</v>
      </c>
      <c r="AW117" s="80" t="s">
        <v>16107</v>
      </c>
      <c r="AX117" s="80" t="s">
        <v>16107</v>
      </c>
      <c r="AY117" s="77"/>
      <c r="AZ117" s="80" t="s">
        <v>20380</v>
      </c>
      <c r="BA117" s="80" t="s">
        <v>16103</v>
      </c>
      <c r="BB117" s="80" t="s">
        <v>20380</v>
      </c>
      <c r="BC117" s="80" t="s">
        <v>16103</v>
      </c>
      <c r="BD117" s="80" t="s">
        <v>20513</v>
      </c>
      <c r="BE117" s="77"/>
      <c r="BF117" s="77"/>
      <c r="BG117" s="77"/>
      <c r="BH117" s="77"/>
      <c r="BI117" s="77"/>
    </row>
    <row r="118" spans="1:61" x14ac:dyDescent="0.25">
      <c r="A118" s="62" t="s">
        <v>265</v>
      </c>
      <c r="B118" s="62" t="s">
        <v>1715</v>
      </c>
      <c r="C118" s="63"/>
      <c r="D118" s="64"/>
      <c r="E118" s="65"/>
      <c r="F118" s="66"/>
      <c r="G118" s="63"/>
      <c r="H118" s="67"/>
      <c r="I118" s="68"/>
      <c r="J118" s="68"/>
      <c r="K118" s="32"/>
      <c r="L118" s="75">
        <v>118</v>
      </c>
      <c r="M118" s="75"/>
      <c r="N118" s="70"/>
      <c r="O118" s="77" t="s">
        <v>2081</v>
      </c>
      <c r="P118" s="79">
        <v>45196.790219907409</v>
      </c>
      <c r="Q118" s="77" t="s">
        <v>2182</v>
      </c>
      <c r="R118" s="77">
        <v>0</v>
      </c>
      <c r="S118" s="77">
        <v>0</v>
      </c>
      <c r="T118" s="77">
        <v>0</v>
      </c>
      <c r="U118" s="77">
        <v>0</v>
      </c>
      <c r="V118" s="77">
        <v>5</v>
      </c>
      <c r="W118" s="80" t="s">
        <v>5974</v>
      </c>
      <c r="X118" s="77"/>
      <c r="Y118" s="77"/>
      <c r="Z118" s="77" t="s">
        <v>1715</v>
      </c>
      <c r="AA118" s="77" t="s">
        <v>9074</v>
      </c>
      <c r="AB118" s="77" t="s">
        <v>10534</v>
      </c>
      <c r="AC118" s="80" t="s">
        <v>10541</v>
      </c>
      <c r="AD118" s="77" t="s">
        <v>10620</v>
      </c>
      <c r="AE118" s="83" t="str">
        <f>HYPERLINK("https://twitter.com/infored21/status/1707107317433434532")</f>
        <v>https://twitter.com/infored21/status/1707107317433434532</v>
      </c>
      <c r="AF118" s="79">
        <v>45196.790219907409</v>
      </c>
      <c r="AG118" s="85">
        <v>45196</v>
      </c>
      <c r="AH118" s="80" t="s">
        <v>10726</v>
      </c>
      <c r="AI118" s="77" t="b">
        <v>0</v>
      </c>
      <c r="AJ118" s="77"/>
      <c r="AK118" s="77"/>
      <c r="AL118" s="77"/>
      <c r="AM118" s="77"/>
      <c r="AN118" s="77"/>
      <c r="AO118" s="77"/>
      <c r="AP118" s="77"/>
      <c r="AQ118" s="77" t="s">
        <v>14556</v>
      </c>
      <c r="AR118" s="77">
        <v>60764</v>
      </c>
      <c r="AS118" s="77"/>
      <c r="AT118" s="77"/>
      <c r="AU118" s="77"/>
      <c r="AV118" s="83" t="str">
        <f>HYPERLINK("https://pbs.twimg.com/ext_tw_video_thumb/1707107111597973504/pu/img/bnVypa8j9GDO7BZ2.jpg")</f>
        <v>https://pbs.twimg.com/ext_tw_video_thumb/1707107111597973504/pu/img/bnVypa8j9GDO7BZ2.jpg</v>
      </c>
      <c r="AW118" s="80" t="s">
        <v>16108</v>
      </c>
      <c r="AX118" s="80" t="s">
        <v>16108</v>
      </c>
      <c r="AY118" s="80" t="s">
        <v>20219</v>
      </c>
      <c r="AZ118" s="80" t="s">
        <v>20380</v>
      </c>
      <c r="BA118" s="80" t="s">
        <v>20380</v>
      </c>
      <c r="BB118" s="80" t="s">
        <v>20380</v>
      </c>
      <c r="BC118" s="80" t="s">
        <v>16108</v>
      </c>
      <c r="BD118" s="77">
        <v>131611473</v>
      </c>
      <c r="BE118" s="77"/>
      <c r="BF118" s="77"/>
      <c r="BG118" s="77"/>
      <c r="BH118" s="77"/>
      <c r="BI118" s="77"/>
    </row>
    <row r="119" spans="1:61" x14ac:dyDescent="0.25">
      <c r="A119" s="62" t="s">
        <v>266</v>
      </c>
      <c r="B119" s="62" t="s">
        <v>495</v>
      </c>
      <c r="C119" s="63"/>
      <c r="D119" s="64"/>
      <c r="E119" s="65"/>
      <c r="F119" s="66"/>
      <c r="G119" s="63"/>
      <c r="H119" s="67"/>
      <c r="I119" s="68"/>
      <c r="J119" s="68"/>
      <c r="K119" s="32"/>
      <c r="L119" s="75">
        <v>119</v>
      </c>
      <c r="M119" s="75"/>
      <c r="N119" s="70"/>
      <c r="O119" s="77" t="s">
        <v>2082</v>
      </c>
      <c r="P119" s="79">
        <v>45111.537407407406</v>
      </c>
      <c r="Q119" s="77" t="s">
        <v>2183</v>
      </c>
      <c r="R119" s="77">
        <v>10</v>
      </c>
      <c r="S119" s="77">
        <v>16</v>
      </c>
      <c r="T119" s="77">
        <v>2</v>
      </c>
      <c r="U119" s="77">
        <v>0</v>
      </c>
      <c r="V119" s="77">
        <v>1479</v>
      </c>
      <c r="W119" s="80" t="s">
        <v>5975</v>
      </c>
      <c r="X119" s="77"/>
      <c r="Y119" s="77"/>
      <c r="Z119" s="77"/>
      <c r="AA119" s="77"/>
      <c r="AB119" s="77"/>
      <c r="AC119" s="80" t="s">
        <v>10540</v>
      </c>
      <c r="AD119" s="77" t="s">
        <v>10620</v>
      </c>
      <c r="AE119" s="83" t="str">
        <f>HYPERLINK("https://twitter.com/tromben/status/1676212733086244866")</f>
        <v>https://twitter.com/tromben/status/1676212733086244866</v>
      </c>
      <c r="AF119" s="79">
        <v>45111.537407407406</v>
      </c>
      <c r="AG119" s="85">
        <v>45111</v>
      </c>
      <c r="AH119" s="80" t="s">
        <v>10727</v>
      </c>
      <c r="AI119" s="77"/>
      <c r="AJ119" s="77"/>
      <c r="AK119" s="77"/>
      <c r="AL119" s="77"/>
      <c r="AM119" s="77"/>
      <c r="AN119" s="77"/>
      <c r="AO119" s="77"/>
      <c r="AP119" s="77"/>
      <c r="AQ119" s="77"/>
      <c r="AR119" s="77"/>
      <c r="AS119" s="77"/>
      <c r="AT119" s="77"/>
      <c r="AU119" s="77"/>
      <c r="AV119" s="83" t="str">
        <f>HYPERLINK("https://pbs.twimg.com/profile_images/1631818770430795776/9wvxpK4e_normal.jpg")</f>
        <v>https://pbs.twimg.com/profile_images/1631818770430795776/9wvxpK4e_normal.jpg</v>
      </c>
      <c r="AW119" s="80" t="s">
        <v>16109</v>
      </c>
      <c r="AX119" s="80" t="s">
        <v>16109</v>
      </c>
      <c r="AY119" s="77"/>
      <c r="AZ119" s="80" t="s">
        <v>20380</v>
      </c>
      <c r="BA119" s="80" t="s">
        <v>16623</v>
      </c>
      <c r="BB119" s="80" t="s">
        <v>20380</v>
      </c>
      <c r="BC119" s="80" t="s">
        <v>16623</v>
      </c>
      <c r="BD119" s="77">
        <v>65946747</v>
      </c>
      <c r="BE119" s="77"/>
      <c r="BF119" s="77"/>
      <c r="BG119" s="77"/>
      <c r="BH119" s="77"/>
      <c r="BI119" s="77"/>
    </row>
    <row r="120" spans="1:61" x14ac:dyDescent="0.25">
      <c r="A120" s="62" t="s">
        <v>267</v>
      </c>
      <c r="B120" s="62" t="s">
        <v>1655</v>
      </c>
      <c r="C120" s="63"/>
      <c r="D120" s="64"/>
      <c r="E120" s="65"/>
      <c r="F120" s="66"/>
      <c r="G120" s="63"/>
      <c r="H120" s="67"/>
      <c r="I120" s="68"/>
      <c r="J120" s="68"/>
      <c r="K120" s="32"/>
      <c r="L120" s="75">
        <v>120</v>
      </c>
      <c r="M120" s="75"/>
      <c r="N120" s="70"/>
      <c r="O120" s="77" t="s">
        <v>2083</v>
      </c>
      <c r="P120" s="79">
        <v>45191.207430555558</v>
      </c>
      <c r="Q120" s="77" t="s">
        <v>2120</v>
      </c>
      <c r="R120" s="77">
        <v>57</v>
      </c>
      <c r="S120" s="77">
        <v>0</v>
      </c>
      <c r="T120" s="77">
        <v>0</v>
      </c>
      <c r="U120" s="77">
        <v>0</v>
      </c>
      <c r="V120" s="77"/>
      <c r="W120" s="80" t="s">
        <v>5917</v>
      </c>
      <c r="X120" s="77"/>
      <c r="Y120" s="77"/>
      <c r="Z120" s="77" t="s">
        <v>1655</v>
      </c>
      <c r="AA120" s="77"/>
      <c r="AB120" s="77"/>
      <c r="AC120" s="80" t="s">
        <v>10542</v>
      </c>
      <c r="AD120" s="77" t="s">
        <v>10617</v>
      </c>
      <c r="AE120" s="83" t="str">
        <f>HYPERLINK("https://twitter.com/mp07094846/status/1705084180756123861")</f>
        <v>https://twitter.com/mp07094846/status/1705084180756123861</v>
      </c>
      <c r="AF120" s="79">
        <v>45191.207430555558</v>
      </c>
      <c r="AG120" s="85">
        <v>45191</v>
      </c>
      <c r="AH120" s="80" t="s">
        <v>10728</v>
      </c>
      <c r="AI120" s="77"/>
      <c r="AJ120" s="77"/>
      <c r="AK120" s="77"/>
      <c r="AL120" s="77"/>
      <c r="AM120" s="77"/>
      <c r="AN120" s="77"/>
      <c r="AO120" s="77"/>
      <c r="AP120" s="77"/>
      <c r="AQ120" s="77"/>
      <c r="AR120" s="77"/>
      <c r="AS120" s="77"/>
      <c r="AT120" s="77"/>
      <c r="AU120" s="77"/>
      <c r="AV120" s="83" t="str">
        <f>HYPERLINK("https://pbs.twimg.com/profile_images/1397550670169792516/5QhmdNnG_normal.jpg")</f>
        <v>https://pbs.twimg.com/profile_images/1397550670169792516/5QhmdNnG_normal.jpg</v>
      </c>
      <c r="AW120" s="80" t="s">
        <v>16110</v>
      </c>
      <c r="AX120" s="80" t="s">
        <v>16110</v>
      </c>
      <c r="AY120" s="77"/>
      <c r="AZ120" s="80" t="s">
        <v>20380</v>
      </c>
      <c r="BA120" s="80" t="s">
        <v>20380</v>
      </c>
      <c r="BB120" s="80" t="s">
        <v>19843</v>
      </c>
      <c r="BC120" s="80" t="s">
        <v>19843</v>
      </c>
      <c r="BD120" s="80" t="s">
        <v>20514</v>
      </c>
      <c r="BE120" s="77"/>
      <c r="BF120" s="77"/>
      <c r="BG120" s="77"/>
      <c r="BH120" s="77"/>
      <c r="BI120" s="77"/>
    </row>
    <row r="121" spans="1:61" x14ac:dyDescent="0.25">
      <c r="A121" s="62" t="s">
        <v>267</v>
      </c>
      <c r="B121" s="62" t="s">
        <v>1655</v>
      </c>
      <c r="C121" s="63"/>
      <c r="D121" s="64"/>
      <c r="E121" s="65"/>
      <c r="F121" s="66"/>
      <c r="G121" s="63"/>
      <c r="H121" s="67"/>
      <c r="I121" s="68"/>
      <c r="J121" s="68"/>
      <c r="K121" s="32"/>
      <c r="L121" s="75">
        <v>121</v>
      </c>
      <c r="M121" s="75"/>
      <c r="N121" s="70"/>
      <c r="O121" s="77" t="s">
        <v>2083</v>
      </c>
      <c r="P121" s="79">
        <v>45190.996099537035</v>
      </c>
      <c r="Q121" s="77" t="s">
        <v>2120</v>
      </c>
      <c r="R121" s="77">
        <v>25</v>
      </c>
      <c r="S121" s="77">
        <v>0</v>
      </c>
      <c r="T121" s="77">
        <v>0</v>
      </c>
      <c r="U121" s="77">
        <v>0</v>
      </c>
      <c r="V121" s="77"/>
      <c r="W121" s="80" t="s">
        <v>5917</v>
      </c>
      <c r="X121" s="77"/>
      <c r="Y121" s="77"/>
      <c r="Z121" s="77" t="s">
        <v>1655</v>
      </c>
      <c r="AA121" s="77"/>
      <c r="AB121" s="77"/>
      <c r="AC121" s="80" t="s">
        <v>10542</v>
      </c>
      <c r="AD121" s="77" t="s">
        <v>10617</v>
      </c>
      <c r="AE121" s="83" t="str">
        <f>HYPERLINK("https://twitter.com/mp07094846/status/1705007596070125987")</f>
        <v>https://twitter.com/mp07094846/status/1705007596070125987</v>
      </c>
      <c r="AF121" s="79">
        <v>45190.996099537035</v>
      </c>
      <c r="AG121" s="85">
        <v>45190</v>
      </c>
      <c r="AH121" s="80" t="s">
        <v>10729</v>
      </c>
      <c r="AI121" s="77"/>
      <c r="AJ121" s="77"/>
      <c r="AK121" s="77"/>
      <c r="AL121" s="77"/>
      <c r="AM121" s="77"/>
      <c r="AN121" s="77"/>
      <c r="AO121" s="77"/>
      <c r="AP121" s="77"/>
      <c r="AQ121" s="77"/>
      <c r="AR121" s="77"/>
      <c r="AS121" s="77"/>
      <c r="AT121" s="77"/>
      <c r="AU121" s="77"/>
      <c r="AV121" s="83" t="str">
        <f>HYPERLINK("https://pbs.twimg.com/profile_images/1397550670169792516/5QhmdNnG_normal.jpg")</f>
        <v>https://pbs.twimg.com/profile_images/1397550670169792516/5QhmdNnG_normal.jpg</v>
      </c>
      <c r="AW121" s="80" t="s">
        <v>16111</v>
      </c>
      <c r="AX121" s="80" t="s">
        <v>16111</v>
      </c>
      <c r="AY121" s="77"/>
      <c r="AZ121" s="80" t="s">
        <v>20380</v>
      </c>
      <c r="BA121" s="80" t="s">
        <v>20380</v>
      </c>
      <c r="BB121" s="80" t="s">
        <v>19844</v>
      </c>
      <c r="BC121" s="80" t="s">
        <v>19844</v>
      </c>
      <c r="BD121" s="80" t="s">
        <v>20514</v>
      </c>
      <c r="BE121" s="77"/>
      <c r="BF121" s="77"/>
      <c r="BG121" s="77"/>
      <c r="BH121" s="77"/>
      <c r="BI121" s="77"/>
    </row>
    <row r="122" spans="1:61" x14ac:dyDescent="0.25">
      <c r="A122" s="62" t="s">
        <v>268</v>
      </c>
      <c r="B122" s="62" t="s">
        <v>1716</v>
      </c>
      <c r="C122" s="63"/>
      <c r="D122" s="64"/>
      <c r="E122" s="65"/>
      <c r="F122" s="66"/>
      <c r="G122" s="63"/>
      <c r="H122" s="67"/>
      <c r="I122" s="68"/>
      <c r="J122" s="68"/>
      <c r="K122" s="32"/>
      <c r="L122" s="75">
        <v>122</v>
      </c>
      <c r="M122" s="75"/>
      <c r="N122" s="70"/>
      <c r="O122" s="77" t="s">
        <v>2081</v>
      </c>
      <c r="P122" s="79">
        <v>45144.627569444441</v>
      </c>
      <c r="Q122" s="77" t="s">
        <v>2184</v>
      </c>
      <c r="R122" s="77">
        <v>0</v>
      </c>
      <c r="S122" s="77">
        <v>0</v>
      </c>
      <c r="T122" s="77">
        <v>0</v>
      </c>
      <c r="U122" s="77">
        <v>0</v>
      </c>
      <c r="V122" s="77">
        <v>18</v>
      </c>
      <c r="W122" s="80" t="s">
        <v>5976</v>
      </c>
      <c r="X122" s="83" t="str">
        <f>HYPERLINK("https://e3noticias.com/banco-central-informa-que-continua-la-tendencia-descendente-de-la-inflacion-interanual/")</f>
        <v>https://e3noticias.com/banco-central-informa-que-continua-la-tendencia-descendente-de-la-inflacion-interanual/</v>
      </c>
      <c r="Y122" s="77" t="s">
        <v>8628</v>
      </c>
      <c r="Z122" s="77" t="s">
        <v>1716</v>
      </c>
      <c r="AA122" s="77"/>
      <c r="AB122" s="77"/>
      <c r="AC122" s="80" t="s">
        <v>10542</v>
      </c>
      <c r="AD122" s="77" t="s">
        <v>10620</v>
      </c>
      <c r="AE122" s="83" t="str">
        <f>HYPERLINK("https://twitter.com/e3noticiasrd/status/1688204205205372928")</f>
        <v>https://twitter.com/e3noticiasrd/status/1688204205205372928</v>
      </c>
      <c r="AF122" s="79">
        <v>45144.627569444441</v>
      </c>
      <c r="AG122" s="85">
        <v>45144</v>
      </c>
      <c r="AH122" s="80" t="s">
        <v>10730</v>
      </c>
      <c r="AI122" s="77" t="b">
        <v>0</v>
      </c>
      <c r="AJ122" s="77"/>
      <c r="AK122" s="77"/>
      <c r="AL122" s="77"/>
      <c r="AM122" s="77"/>
      <c r="AN122" s="77"/>
      <c r="AO122" s="77"/>
      <c r="AP122" s="77"/>
      <c r="AQ122" s="77"/>
      <c r="AR122" s="77"/>
      <c r="AS122" s="77"/>
      <c r="AT122" s="77"/>
      <c r="AU122" s="77"/>
      <c r="AV122" s="83" t="str">
        <f>HYPERLINK("https://pbs.twimg.com/profile_images/1664087919303294978/BbVGcJNf_normal.jpg")</f>
        <v>https://pbs.twimg.com/profile_images/1664087919303294978/BbVGcJNf_normal.jpg</v>
      </c>
      <c r="AW122" s="80" t="s">
        <v>16112</v>
      </c>
      <c r="AX122" s="80" t="s">
        <v>16112</v>
      </c>
      <c r="AY122" s="77"/>
      <c r="AZ122" s="80" t="s">
        <v>20380</v>
      </c>
      <c r="BA122" s="80" t="s">
        <v>20380</v>
      </c>
      <c r="BB122" s="80" t="s">
        <v>20380</v>
      </c>
      <c r="BC122" s="80" t="s">
        <v>16112</v>
      </c>
      <c r="BD122" s="80" t="s">
        <v>20515</v>
      </c>
      <c r="BE122" s="77"/>
      <c r="BF122" s="77"/>
      <c r="BG122" s="77"/>
      <c r="BH122" s="77"/>
      <c r="BI122" s="77"/>
    </row>
    <row r="123" spans="1:61" x14ac:dyDescent="0.25">
      <c r="A123" s="62" t="s">
        <v>268</v>
      </c>
      <c r="B123" s="62" t="s">
        <v>1716</v>
      </c>
      <c r="C123" s="63"/>
      <c r="D123" s="64"/>
      <c r="E123" s="65"/>
      <c r="F123" s="66"/>
      <c r="G123" s="63"/>
      <c r="H123" s="67"/>
      <c r="I123" s="68"/>
      <c r="J123" s="68"/>
      <c r="K123" s="32"/>
      <c r="L123" s="75">
        <v>123</v>
      </c>
      <c r="M123" s="75"/>
      <c r="N123" s="70"/>
      <c r="O123" s="77" t="s">
        <v>2081</v>
      </c>
      <c r="P123" s="79">
        <v>45146.937569444446</v>
      </c>
      <c r="Q123" s="77" t="s">
        <v>2185</v>
      </c>
      <c r="R123" s="77">
        <v>0</v>
      </c>
      <c r="S123" s="77">
        <v>0</v>
      </c>
      <c r="T123" s="77">
        <v>0</v>
      </c>
      <c r="U123" s="77">
        <v>0</v>
      </c>
      <c r="V123" s="77">
        <v>29</v>
      </c>
      <c r="W123" s="80" t="s">
        <v>5977</v>
      </c>
      <c r="X123" s="83" t="str">
        <f>HYPERLINK("https://e3noticias.com/banco-central-concluye-su-ix-diplomado-de-economia-y-finanzas-para-su-personal/")</f>
        <v>https://e3noticias.com/banco-central-concluye-su-ix-diplomado-de-economia-y-finanzas-para-su-personal/</v>
      </c>
      <c r="Y123" s="77" t="s">
        <v>8628</v>
      </c>
      <c r="Z123" s="77" t="s">
        <v>1716</v>
      </c>
      <c r="AA123" s="77"/>
      <c r="AB123" s="77"/>
      <c r="AC123" s="80" t="s">
        <v>10542</v>
      </c>
      <c r="AD123" s="77" t="s">
        <v>10620</v>
      </c>
      <c r="AE123" s="83" t="str">
        <f>HYPERLINK("https://twitter.com/e3noticiasrd/status/1689041320109572096")</f>
        <v>https://twitter.com/e3noticiasrd/status/1689041320109572096</v>
      </c>
      <c r="AF123" s="79">
        <v>45146.937569444446</v>
      </c>
      <c r="AG123" s="85">
        <v>45146</v>
      </c>
      <c r="AH123" s="80" t="s">
        <v>10731</v>
      </c>
      <c r="AI123" s="77" t="b">
        <v>0</v>
      </c>
      <c r="AJ123" s="77"/>
      <c r="AK123" s="77"/>
      <c r="AL123" s="77"/>
      <c r="AM123" s="77"/>
      <c r="AN123" s="77"/>
      <c r="AO123" s="77"/>
      <c r="AP123" s="77"/>
      <c r="AQ123" s="77"/>
      <c r="AR123" s="77"/>
      <c r="AS123" s="77"/>
      <c r="AT123" s="77"/>
      <c r="AU123" s="77"/>
      <c r="AV123" s="83" t="str">
        <f>HYPERLINK("https://pbs.twimg.com/profile_images/1664087919303294978/BbVGcJNf_normal.jpg")</f>
        <v>https://pbs.twimg.com/profile_images/1664087919303294978/BbVGcJNf_normal.jpg</v>
      </c>
      <c r="AW123" s="80" t="s">
        <v>16113</v>
      </c>
      <c r="AX123" s="80" t="s">
        <v>16113</v>
      </c>
      <c r="AY123" s="77"/>
      <c r="AZ123" s="80" t="s">
        <v>20380</v>
      </c>
      <c r="BA123" s="80" t="s">
        <v>20380</v>
      </c>
      <c r="BB123" s="80" t="s">
        <v>20380</v>
      </c>
      <c r="BC123" s="80" t="s">
        <v>16113</v>
      </c>
      <c r="BD123" s="80" t="s">
        <v>20515</v>
      </c>
      <c r="BE123" s="77"/>
      <c r="BF123" s="77"/>
      <c r="BG123" s="77"/>
      <c r="BH123" s="77"/>
      <c r="BI123" s="77"/>
    </row>
    <row r="124" spans="1:61" x14ac:dyDescent="0.25">
      <c r="A124" s="62" t="s">
        <v>268</v>
      </c>
      <c r="B124" s="62" t="s">
        <v>268</v>
      </c>
      <c r="C124" s="63"/>
      <c r="D124" s="64"/>
      <c r="E124" s="65"/>
      <c r="F124" s="66"/>
      <c r="G124" s="63"/>
      <c r="H124" s="67"/>
      <c r="I124" s="68"/>
      <c r="J124" s="68"/>
      <c r="K124" s="32"/>
      <c r="L124" s="75">
        <v>124</v>
      </c>
      <c r="M124" s="75"/>
      <c r="N124" s="70"/>
      <c r="O124" s="77" t="s">
        <v>179</v>
      </c>
      <c r="P124" s="79">
        <v>45152.778981481482</v>
      </c>
      <c r="Q124" s="77" t="s">
        <v>2186</v>
      </c>
      <c r="R124" s="77">
        <v>0</v>
      </c>
      <c r="S124" s="77">
        <v>0</v>
      </c>
      <c r="T124" s="77">
        <v>0</v>
      </c>
      <c r="U124" s="77">
        <v>0</v>
      </c>
      <c r="V124" s="77">
        <v>30</v>
      </c>
      <c r="W124" s="80" t="s">
        <v>5978</v>
      </c>
      <c r="X124" s="83" t="str">
        <f>HYPERLINK("https://e3noticias.com/banco-central-informa-que-en-los-primeros-siete-meses-de-2023-los-flujos-de-remesas-superaron-los-us5900-0-millones-2/")</f>
        <v>https://e3noticias.com/banco-central-informa-que-en-los-primeros-siete-meses-de-2023-los-flujos-de-remesas-superaron-los-us5900-0-millones-2/</v>
      </c>
      <c r="Y124" s="77" t="s">
        <v>8628</v>
      </c>
      <c r="Z124" s="77"/>
      <c r="AA124" s="77" t="s">
        <v>9075</v>
      </c>
      <c r="AB124" s="77" t="s">
        <v>10535</v>
      </c>
      <c r="AC124" s="80" t="s">
        <v>10542</v>
      </c>
      <c r="AD124" s="77" t="s">
        <v>10620</v>
      </c>
      <c r="AE124" s="83" t="str">
        <f>HYPERLINK("https://twitter.com/e3noticiasrd/status/1691158178514227200")</f>
        <v>https://twitter.com/e3noticiasrd/status/1691158178514227200</v>
      </c>
      <c r="AF124" s="79">
        <v>45152.778981481482</v>
      </c>
      <c r="AG124" s="85">
        <v>45152</v>
      </c>
      <c r="AH124" s="80" t="s">
        <v>10732</v>
      </c>
      <c r="AI124" s="77" t="b">
        <v>0</v>
      </c>
      <c r="AJ124" s="77"/>
      <c r="AK124" s="77"/>
      <c r="AL124" s="77"/>
      <c r="AM124" s="77"/>
      <c r="AN124" s="77"/>
      <c r="AO124" s="77"/>
      <c r="AP124" s="77"/>
      <c r="AQ124" s="77" t="s">
        <v>14557</v>
      </c>
      <c r="AR124" s="77"/>
      <c r="AS124" s="77"/>
      <c r="AT124" s="77"/>
      <c r="AU124" s="77"/>
      <c r="AV124" s="83" t="str">
        <f>HYPERLINK("https://pbs.twimg.com/media/F3gzZbMXEAADz9k.jpg")</f>
        <v>https://pbs.twimg.com/media/F3gzZbMXEAADz9k.jpg</v>
      </c>
      <c r="AW124" s="80" t="s">
        <v>16114</v>
      </c>
      <c r="AX124" s="80" t="s">
        <v>16114</v>
      </c>
      <c r="AY124" s="77"/>
      <c r="AZ124" s="80" t="s">
        <v>20380</v>
      </c>
      <c r="BA124" s="80" t="s">
        <v>20380</v>
      </c>
      <c r="BB124" s="80" t="s">
        <v>20380</v>
      </c>
      <c r="BC124" s="80" t="s">
        <v>16114</v>
      </c>
      <c r="BD124" s="80" t="s">
        <v>20515</v>
      </c>
      <c r="BE124" s="77"/>
      <c r="BF124" s="77"/>
      <c r="BG124" s="77"/>
      <c r="BH124" s="77"/>
      <c r="BI124" s="77"/>
    </row>
    <row r="125" spans="1:61" x14ac:dyDescent="0.25">
      <c r="A125" s="62" t="s">
        <v>268</v>
      </c>
      <c r="B125" s="62" t="s">
        <v>1716</v>
      </c>
      <c r="C125" s="63"/>
      <c r="D125" s="64"/>
      <c r="E125" s="65"/>
      <c r="F125" s="66"/>
      <c r="G125" s="63"/>
      <c r="H125" s="67"/>
      <c r="I125" s="68"/>
      <c r="J125" s="68"/>
      <c r="K125" s="32"/>
      <c r="L125" s="75">
        <v>125</v>
      </c>
      <c r="M125" s="75"/>
      <c r="N125" s="70"/>
      <c r="O125" s="77" t="s">
        <v>2081</v>
      </c>
      <c r="P125" s="79">
        <v>45179.939837962964</v>
      </c>
      <c r="Q125" s="77" t="s">
        <v>2187</v>
      </c>
      <c r="R125" s="77">
        <v>0</v>
      </c>
      <c r="S125" s="77">
        <v>0</v>
      </c>
      <c r="T125" s="77">
        <v>0</v>
      </c>
      <c r="U125" s="77">
        <v>0</v>
      </c>
      <c r="V125" s="77">
        <v>31</v>
      </c>
      <c r="W125" s="80" t="s">
        <v>5979</v>
      </c>
      <c r="X125" s="83" t="str">
        <f>HYPERLINK("https://e3noticias.com/banco-central-informa-que-los-flujos-de-remesas-sobrepasaron-los-us6700-millones-entre-enero-y-agosto-de-2023/")</f>
        <v>https://e3noticias.com/banco-central-informa-que-los-flujos-de-remesas-sobrepasaron-los-us6700-millones-entre-enero-y-agosto-de-2023/</v>
      </c>
      <c r="Y125" s="77" t="s">
        <v>8628</v>
      </c>
      <c r="Z125" s="77" t="s">
        <v>1716</v>
      </c>
      <c r="AA125" s="77" t="s">
        <v>9076</v>
      </c>
      <c r="AB125" s="77" t="s">
        <v>10535</v>
      </c>
      <c r="AC125" s="80" t="s">
        <v>10540</v>
      </c>
      <c r="AD125" s="77" t="s">
        <v>10620</v>
      </c>
      <c r="AE125" s="83" t="str">
        <f>HYPERLINK("https://twitter.com/e3noticiasrd/status/1701000943142338566")</f>
        <v>https://twitter.com/e3noticiasrd/status/1701000943142338566</v>
      </c>
      <c r="AF125" s="79">
        <v>45179.939837962964</v>
      </c>
      <c r="AG125" s="85">
        <v>45179</v>
      </c>
      <c r="AH125" s="80" t="s">
        <v>10733</v>
      </c>
      <c r="AI125" s="77" t="b">
        <v>0</v>
      </c>
      <c r="AJ125" s="77"/>
      <c r="AK125" s="77"/>
      <c r="AL125" s="77"/>
      <c r="AM125" s="77"/>
      <c r="AN125" s="77"/>
      <c r="AO125" s="77"/>
      <c r="AP125" s="77"/>
      <c r="AQ125" s="77" t="s">
        <v>14558</v>
      </c>
      <c r="AR125" s="77"/>
      <c r="AS125" s="77"/>
      <c r="AT125" s="77"/>
      <c r="AU125" s="77"/>
      <c r="AV125" s="83" t="str">
        <f>HYPERLINK("https://pbs.twimg.com/media/F5srVk_bQAEMPCT.jpg")</f>
        <v>https://pbs.twimg.com/media/F5srVk_bQAEMPCT.jpg</v>
      </c>
      <c r="AW125" s="80" t="s">
        <v>16115</v>
      </c>
      <c r="AX125" s="80" t="s">
        <v>16115</v>
      </c>
      <c r="AY125" s="77"/>
      <c r="AZ125" s="80" t="s">
        <v>20380</v>
      </c>
      <c r="BA125" s="80" t="s">
        <v>20380</v>
      </c>
      <c r="BB125" s="80" t="s">
        <v>20380</v>
      </c>
      <c r="BC125" s="80" t="s">
        <v>16115</v>
      </c>
      <c r="BD125" s="80" t="s">
        <v>20515</v>
      </c>
      <c r="BE125" s="77"/>
      <c r="BF125" s="77"/>
      <c r="BG125" s="77"/>
      <c r="BH125" s="77"/>
      <c r="BI125" s="77"/>
    </row>
    <row r="126" spans="1:61" x14ac:dyDescent="0.25">
      <c r="A126" s="62" t="s">
        <v>269</v>
      </c>
      <c r="B126" s="62" t="s">
        <v>269</v>
      </c>
      <c r="C126" s="63"/>
      <c r="D126" s="64"/>
      <c r="E126" s="65"/>
      <c r="F126" s="66"/>
      <c r="G126" s="63"/>
      <c r="H126" s="67"/>
      <c r="I126" s="68"/>
      <c r="J126" s="68"/>
      <c r="K126" s="32"/>
      <c r="L126" s="75">
        <v>126</v>
      </c>
      <c r="M126" s="75"/>
      <c r="N126" s="70"/>
      <c r="O126" s="77" t="s">
        <v>179</v>
      </c>
      <c r="P126" s="79">
        <v>45075.554918981485</v>
      </c>
      <c r="Q126" s="77" t="s">
        <v>2188</v>
      </c>
      <c r="R126" s="77">
        <v>0</v>
      </c>
      <c r="S126" s="77">
        <v>0</v>
      </c>
      <c r="T126" s="77">
        <v>0</v>
      </c>
      <c r="U126" s="77">
        <v>0</v>
      </c>
      <c r="V126" s="77">
        <v>69</v>
      </c>
      <c r="W126" s="80" t="s">
        <v>5980</v>
      </c>
      <c r="X126" s="83" t="str">
        <f>HYPERLINK("http://dlvr.it/SppgBt")</f>
        <v>http://dlvr.it/SppgBt</v>
      </c>
      <c r="Y126" s="77" t="s">
        <v>8629</v>
      </c>
      <c r="Z126" s="77"/>
      <c r="AA126" s="77"/>
      <c r="AB126" s="77"/>
      <c r="AC126" s="80" t="s">
        <v>8629</v>
      </c>
      <c r="AD126" s="77" t="s">
        <v>10620</v>
      </c>
      <c r="AE126" s="83" t="str">
        <f>HYPERLINK("https://twitter.com/ruralnetoficial/status/1663173114367463425")</f>
        <v>https://twitter.com/ruralnetoficial/status/1663173114367463425</v>
      </c>
      <c r="AF126" s="79">
        <v>45075.554918981485</v>
      </c>
      <c r="AG126" s="85">
        <v>45075</v>
      </c>
      <c r="AH126" s="80" t="s">
        <v>10734</v>
      </c>
      <c r="AI126" s="77" t="b">
        <v>0</v>
      </c>
      <c r="AJ126" s="77"/>
      <c r="AK126" s="77"/>
      <c r="AL126" s="77"/>
      <c r="AM126" s="77"/>
      <c r="AN126" s="77"/>
      <c r="AO126" s="77"/>
      <c r="AP126" s="77"/>
      <c r="AQ126" s="77"/>
      <c r="AR126" s="77"/>
      <c r="AS126" s="77"/>
      <c r="AT126" s="77"/>
      <c r="AU126" s="77"/>
      <c r="AV126" s="83" t="str">
        <f>HYPERLINK("https://pbs.twimg.com/profile_images/544982356575019009/90r14xNg_normal.png")</f>
        <v>https://pbs.twimg.com/profile_images/544982356575019009/90r14xNg_normal.png</v>
      </c>
      <c r="AW126" s="80" t="s">
        <v>16116</v>
      </c>
      <c r="AX126" s="80" t="s">
        <v>16116</v>
      </c>
      <c r="AY126" s="77"/>
      <c r="AZ126" s="80" t="s">
        <v>20380</v>
      </c>
      <c r="BA126" s="80" t="s">
        <v>20380</v>
      </c>
      <c r="BB126" s="80" t="s">
        <v>20380</v>
      </c>
      <c r="BC126" s="80" t="s">
        <v>16116</v>
      </c>
      <c r="BD126" s="77">
        <v>2925848175</v>
      </c>
      <c r="BE126" s="77"/>
      <c r="BF126" s="77"/>
      <c r="BG126" s="77"/>
      <c r="BH126" s="77"/>
      <c r="BI126" s="77"/>
    </row>
    <row r="127" spans="1:61" x14ac:dyDescent="0.25">
      <c r="A127" s="62" t="s">
        <v>269</v>
      </c>
      <c r="B127" s="62" t="s">
        <v>269</v>
      </c>
      <c r="C127" s="63"/>
      <c r="D127" s="64"/>
      <c r="E127" s="65"/>
      <c r="F127" s="66"/>
      <c r="G127" s="63"/>
      <c r="H127" s="67"/>
      <c r="I127" s="68"/>
      <c r="J127" s="68"/>
      <c r="K127" s="32"/>
      <c r="L127" s="75">
        <v>127</v>
      </c>
      <c r="M127" s="75"/>
      <c r="N127" s="70"/>
      <c r="O127" s="77" t="s">
        <v>179</v>
      </c>
      <c r="P127" s="79">
        <v>45061.004201388889</v>
      </c>
      <c r="Q127" s="77" t="s">
        <v>2189</v>
      </c>
      <c r="R127" s="77">
        <v>0</v>
      </c>
      <c r="S127" s="77">
        <v>0</v>
      </c>
      <c r="T127" s="77">
        <v>0</v>
      </c>
      <c r="U127" s="77">
        <v>0</v>
      </c>
      <c r="V127" s="77">
        <v>113</v>
      </c>
      <c r="W127" s="80" t="s">
        <v>5981</v>
      </c>
      <c r="X127" s="83" t="str">
        <f>HYPERLINK("http://dlvr.it/Sp2RCD")</f>
        <v>http://dlvr.it/Sp2RCD</v>
      </c>
      <c r="Y127" s="77" t="s">
        <v>8629</v>
      </c>
      <c r="Z127" s="77"/>
      <c r="AA127" s="77"/>
      <c r="AB127" s="77"/>
      <c r="AC127" s="80" t="s">
        <v>8629</v>
      </c>
      <c r="AD127" s="77" t="s">
        <v>10620</v>
      </c>
      <c r="AE127" s="83" t="str">
        <f>HYPERLINK("https://twitter.com/ruralnetoficial/status/1657900109752074240")</f>
        <v>https://twitter.com/ruralnetoficial/status/1657900109752074240</v>
      </c>
      <c r="AF127" s="79">
        <v>45061.004201388889</v>
      </c>
      <c r="AG127" s="85">
        <v>45061</v>
      </c>
      <c r="AH127" s="80" t="s">
        <v>10735</v>
      </c>
      <c r="AI127" s="77" t="b">
        <v>0</v>
      </c>
      <c r="AJ127" s="77"/>
      <c r="AK127" s="77"/>
      <c r="AL127" s="77"/>
      <c r="AM127" s="77"/>
      <c r="AN127" s="77"/>
      <c r="AO127" s="77"/>
      <c r="AP127" s="77"/>
      <c r="AQ127" s="77"/>
      <c r="AR127" s="77"/>
      <c r="AS127" s="77"/>
      <c r="AT127" s="77"/>
      <c r="AU127" s="77"/>
      <c r="AV127" s="83" t="str">
        <f>HYPERLINK("https://pbs.twimg.com/profile_images/544982356575019009/90r14xNg_normal.png")</f>
        <v>https://pbs.twimg.com/profile_images/544982356575019009/90r14xNg_normal.png</v>
      </c>
      <c r="AW127" s="80" t="s">
        <v>16117</v>
      </c>
      <c r="AX127" s="80" t="s">
        <v>16117</v>
      </c>
      <c r="AY127" s="77"/>
      <c r="AZ127" s="80" t="s">
        <v>20380</v>
      </c>
      <c r="BA127" s="80" t="s">
        <v>20380</v>
      </c>
      <c r="BB127" s="80" t="s">
        <v>20380</v>
      </c>
      <c r="BC127" s="80" t="s">
        <v>16117</v>
      </c>
      <c r="BD127" s="77">
        <v>2925848175</v>
      </c>
      <c r="BE127" s="77"/>
      <c r="BF127" s="77"/>
      <c r="BG127" s="77"/>
      <c r="BH127" s="77"/>
      <c r="BI127" s="77"/>
    </row>
    <row r="128" spans="1:61" x14ac:dyDescent="0.25">
      <c r="A128" s="62" t="s">
        <v>269</v>
      </c>
      <c r="B128" s="62" t="s">
        <v>269</v>
      </c>
      <c r="C128" s="63"/>
      <c r="D128" s="64"/>
      <c r="E128" s="65"/>
      <c r="F128" s="66"/>
      <c r="G128" s="63"/>
      <c r="H128" s="67"/>
      <c r="I128" s="68"/>
      <c r="J128" s="68"/>
      <c r="K128" s="32"/>
      <c r="L128" s="75">
        <v>128</v>
      </c>
      <c r="M128" s="75"/>
      <c r="N128" s="70"/>
      <c r="O128" s="77" t="s">
        <v>179</v>
      </c>
      <c r="P128" s="79">
        <v>45058.834745370368</v>
      </c>
      <c r="Q128" s="77" t="s">
        <v>2190</v>
      </c>
      <c r="R128" s="77">
        <v>0</v>
      </c>
      <c r="S128" s="77">
        <v>0</v>
      </c>
      <c r="T128" s="77">
        <v>0</v>
      </c>
      <c r="U128" s="77">
        <v>0</v>
      </c>
      <c r="V128" s="77">
        <v>34</v>
      </c>
      <c r="W128" s="80" t="s">
        <v>5982</v>
      </c>
      <c r="X128" s="83" t="str">
        <f>HYPERLINK("http://dlvr.it/Sny4dR")</f>
        <v>http://dlvr.it/Sny4dR</v>
      </c>
      <c r="Y128" s="77" t="s">
        <v>8629</v>
      </c>
      <c r="Z128" s="77"/>
      <c r="AA128" s="77"/>
      <c r="AB128" s="77"/>
      <c r="AC128" s="80" t="s">
        <v>8629</v>
      </c>
      <c r="AD128" s="77" t="s">
        <v>10620</v>
      </c>
      <c r="AE128" s="83" t="str">
        <f>HYPERLINK("https://twitter.com/ruralnetoficial/status/1657113928563060736")</f>
        <v>https://twitter.com/ruralnetoficial/status/1657113928563060736</v>
      </c>
      <c r="AF128" s="79">
        <v>45058.834745370368</v>
      </c>
      <c r="AG128" s="85">
        <v>45058</v>
      </c>
      <c r="AH128" s="80" t="s">
        <v>10736</v>
      </c>
      <c r="AI128" s="77" t="b">
        <v>0</v>
      </c>
      <c r="AJ128" s="77"/>
      <c r="AK128" s="77"/>
      <c r="AL128" s="77"/>
      <c r="AM128" s="77"/>
      <c r="AN128" s="77"/>
      <c r="AO128" s="77"/>
      <c r="AP128" s="77"/>
      <c r="AQ128" s="77"/>
      <c r="AR128" s="77"/>
      <c r="AS128" s="77"/>
      <c r="AT128" s="77"/>
      <c r="AU128" s="77"/>
      <c r="AV128" s="83" t="str">
        <f>HYPERLINK("https://pbs.twimg.com/profile_images/544982356575019009/90r14xNg_normal.png")</f>
        <v>https://pbs.twimg.com/profile_images/544982356575019009/90r14xNg_normal.png</v>
      </c>
      <c r="AW128" s="80" t="s">
        <v>16118</v>
      </c>
      <c r="AX128" s="80" t="s">
        <v>16118</v>
      </c>
      <c r="AY128" s="77"/>
      <c r="AZ128" s="80" t="s">
        <v>20380</v>
      </c>
      <c r="BA128" s="80" t="s">
        <v>20380</v>
      </c>
      <c r="BB128" s="80" t="s">
        <v>20380</v>
      </c>
      <c r="BC128" s="80" t="s">
        <v>16118</v>
      </c>
      <c r="BD128" s="77">
        <v>2925848175</v>
      </c>
      <c r="BE128" s="77"/>
      <c r="BF128" s="77"/>
      <c r="BG128" s="77"/>
      <c r="BH128" s="77"/>
      <c r="BI128" s="77"/>
    </row>
    <row r="129" spans="1:61" x14ac:dyDescent="0.25">
      <c r="A129" s="62" t="s">
        <v>269</v>
      </c>
      <c r="B129" s="62" t="s">
        <v>269</v>
      </c>
      <c r="C129" s="63"/>
      <c r="D129" s="64"/>
      <c r="E129" s="65"/>
      <c r="F129" s="66"/>
      <c r="G129" s="63"/>
      <c r="H129" s="67"/>
      <c r="I129" s="68"/>
      <c r="J129" s="68"/>
      <c r="K129" s="32"/>
      <c r="L129" s="75">
        <v>129</v>
      </c>
      <c r="M129" s="75"/>
      <c r="N129" s="70"/>
      <c r="O129" s="77" t="s">
        <v>179</v>
      </c>
      <c r="P129" s="79">
        <v>45087.940995370373</v>
      </c>
      <c r="Q129" s="77" t="s">
        <v>2191</v>
      </c>
      <c r="R129" s="77">
        <v>0</v>
      </c>
      <c r="S129" s="77">
        <v>2</v>
      </c>
      <c r="T129" s="77">
        <v>0</v>
      </c>
      <c r="U129" s="77">
        <v>0</v>
      </c>
      <c r="V129" s="77">
        <v>91</v>
      </c>
      <c r="W129" s="80" t="s">
        <v>5983</v>
      </c>
      <c r="X129" s="83" t="str">
        <f>HYPERLINK("http://dlvr.it/SqTlyb")</f>
        <v>http://dlvr.it/SqTlyb</v>
      </c>
      <c r="Y129" s="77" t="s">
        <v>8629</v>
      </c>
      <c r="Z129" s="77"/>
      <c r="AA129" s="77"/>
      <c r="AB129" s="77"/>
      <c r="AC129" s="80" t="s">
        <v>8629</v>
      </c>
      <c r="AD129" s="77" t="s">
        <v>10620</v>
      </c>
      <c r="AE129" s="83" t="str">
        <f>HYPERLINK("https://twitter.com/ruralnetoficial/status/1667661679948369921")</f>
        <v>https://twitter.com/ruralnetoficial/status/1667661679948369921</v>
      </c>
      <c r="AF129" s="79">
        <v>45087.940995370373</v>
      </c>
      <c r="AG129" s="85">
        <v>45087</v>
      </c>
      <c r="AH129" s="80" t="s">
        <v>10737</v>
      </c>
      <c r="AI129" s="77" t="b">
        <v>0</v>
      </c>
      <c r="AJ129" s="77"/>
      <c r="AK129" s="77"/>
      <c r="AL129" s="77"/>
      <c r="AM129" s="77"/>
      <c r="AN129" s="77"/>
      <c r="AO129" s="77"/>
      <c r="AP129" s="77"/>
      <c r="AQ129" s="77"/>
      <c r="AR129" s="77"/>
      <c r="AS129" s="77"/>
      <c r="AT129" s="77"/>
      <c r="AU129" s="77"/>
      <c r="AV129" s="83" t="str">
        <f>HYPERLINK("https://pbs.twimg.com/profile_images/544982356575019009/90r14xNg_normal.png")</f>
        <v>https://pbs.twimg.com/profile_images/544982356575019009/90r14xNg_normal.png</v>
      </c>
      <c r="AW129" s="80" t="s">
        <v>16119</v>
      </c>
      <c r="AX129" s="80" t="s">
        <v>16119</v>
      </c>
      <c r="AY129" s="77"/>
      <c r="AZ129" s="80" t="s">
        <v>20380</v>
      </c>
      <c r="BA129" s="80" t="s">
        <v>20380</v>
      </c>
      <c r="BB129" s="80" t="s">
        <v>20380</v>
      </c>
      <c r="BC129" s="80" t="s">
        <v>16119</v>
      </c>
      <c r="BD129" s="77">
        <v>2925848175</v>
      </c>
      <c r="BE129" s="77"/>
      <c r="BF129" s="77"/>
      <c r="BG129" s="77"/>
      <c r="BH129" s="77"/>
      <c r="BI129" s="77"/>
    </row>
    <row r="130" spans="1:61" x14ac:dyDescent="0.25">
      <c r="A130" s="62" t="s">
        <v>269</v>
      </c>
      <c r="B130" s="62" t="s">
        <v>269</v>
      </c>
      <c r="C130" s="63"/>
      <c r="D130" s="64"/>
      <c r="E130" s="65"/>
      <c r="F130" s="66"/>
      <c r="G130" s="63"/>
      <c r="H130" s="67"/>
      <c r="I130" s="68"/>
      <c r="J130" s="68"/>
      <c r="K130" s="32"/>
      <c r="L130" s="75">
        <v>130</v>
      </c>
      <c r="M130" s="75"/>
      <c r="N130" s="70"/>
      <c r="O130" s="77" t="s">
        <v>179</v>
      </c>
      <c r="P130" s="79">
        <v>45153.565324074072</v>
      </c>
      <c r="Q130" s="77" t="s">
        <v>2192</v>
      </c>
      <c r="R130" s="77">
        <v>0</v>
      </c>
      <c r="S130" s="77">
        <v>0</v>
      </c>
      <c r="T130" s="77">
        <v>0</v>
      </c>
      <c r="U130" s="77">
        <v>0</v>
      </c>
      <c r="V130" s="77">
        <v>29</v>
      </c>
      <c r="W130" s="80" t="s">
        <v>5984</v>
      </c>
      <c r="X130" s="83" t="str">
        <f>HYPERLINK("http://dlvr.it/Stgndb")</f>
        <v>http://dlvr.it/Stgndb</v>
      </c>
      <c r="Y130" s="77" t="s">
        <v>8629</v>
      </c>
      <c r="Z130" s="77"/>
      <c r="AA130" s="77"/>
      <c r="AB130" s="77"/>
      <c r="AC130" s="80" t="s">
        <v>8629</v>
      </c>
      <c r="AD130" s="77" t="s">
        <v>10620</v>
      </c>
      <c r="AE130" s="83" t="str">
        <f>HYPERLINK("https://twitter.com/ruralnetoficial/status/1691443140056727553")</f>
        <v>https://twitter.com/ruralnetoficial/status/1691443140056727553</v>
      </c>
      <c r="AF130" s="79">
        <v>45153.565324074072</v>
      </c>
      <c r="AG130" s="85">
        <v>45153</v>
      </c>
      <c r="AH130" s="80" t="s">
        <v>10738</v>
      </c>
      <c r="AI130" s="77" t="b">
        <v>0</v>
      </c>
      <c r="AJ130" s="77"/>
      <c r="AK130" s="77"/>
      <c r="AL130" s="77"/>
      <c r="AM130" s="77"/>
      <c r="AN130" s="77"/>
      <c r="AO130" s="77"/>
      <c r="AP130" s="77"/>
      <c r="AQ130" s="77"/>
      <c r="AR130" s="77"/>
      <c r="AS130" s="77"/>
      <c r="AT130" s="77"/>
      <c r="AU130" s="77"/>
      <c r="AV130" s="83" t="str">
        <f>HYPERLINK("https://pbs.twimg.com/profile_images/544982356575019009/90r14xNg_normal.png")</f>
        <v>https://pbs.twimg.com/profile_images/544982356575019009/90r14xNg_normal.png</v>
      </c>
      <c r="AW130" s="80" t="s">
        <v>16120</v>
      </c>
      <c r="AX130" s="80" t="s">
        <v>16120</v>
      </c>
      <c r="AY130" s="77"/>
      <c r="AZ130" s="80" t="s">
        <v>20380</v>
      </c>
      <c r="BA130" s="80" t="s">
        <v>20380</v>
      </c>
      <c r="BB130" s="80" t="s">
        <v>20380</v>
      </c>
      <c r="BC130" s="80" t="s">
        <v>16120</v>
      </c>
      <c r="BD130" s="77">
        <v>2925848175</v>
      </c>
      <c r="BE130" s="77"/>
      <c r="BF130" s="77"/>
      <c r="BG130" s="77"/>
      <c r="BH130" s="77"/>
      <c r="BI130" s="77"/>
    </row>
    <row r="131" spans="1:61" x14ac:dyDescent="0.25">
      <c r="A131" s="62" t="s">
        <v>269</v>
      </c>
      <c r="B131" s="62" t="s">
        <v>269</v>
      </c>
      <c r="C131" s="63"/>
      <c r="D131" s="64"/>
      <c r="E131" s="65"/>
      <c r="F131" s="66"/>
      <c r="G131" s="63"/>
      <c r="H131" s="67"/>
      <c r="I131" s="68"/>
      <c r="J131" s="68"/>
      <c r="K131" s="32"/>
      <c r="L131" s="75">
        <v>131</v>
      </c>
      <c r="M131" s="75"/>
      <c r="N131" s="70"/>
      <c r="O131" s="77" t="s">
        <v>179</v>
      </c>
      <c r="P131" s="79">
        <v>45136.772951388892</v>
      </c>
      <c r="Q131" s="77" t="s">
        <v>2193</v>
      </c>
      <c r="R131" s="77">
        <v>0</v>
      </c>
      <c r="S131" s="77">
        <v>0</v>
      </c>
      <c r="T131" s="77">
        <v>0</v>
      </c>
      <c r="U131" s="77">
        <v>0</v>
      </c>
      <c r="V131" s="77">
        <v>25</v>
      </c>
      <c r="W131" s="80" t="s">
        <v>5985</v>
      </c>
      <c r="X131" s="83" t="str">
        <f>HYPERLINK("http://dlvr.it/SswVNn")</f>
        <v>http://dlvr.it/SswVNn</v>
      </c>
      <c r="Y131" s="77" t="s">
        <v>8629</v>
      </c>
      <c r="Z131" s="77"/>
      <c r="AA131" s="77"/>
      <c r="AB131" s="77"/>
      <c r="AC131" s="80" t="s">
        <v>8629</v>
      </c>
      <c r="AD131" s="77" t="s">
        <v>10620</v>
      </c>
      <c r="AE131" s="83" t="str">
        <f>HYPERLINK("https://twitter.com/ruralnetoficial/status/1685357785301778432")</f>
        <v>https://twitter.com/ruralnetoficial/status/1685357785301778432</v>
      </c>
      <c r="AF131" s="79">
        <v>45136.772951388892</v>
      </c>
      <c r="AG131" s="85">
        <v>45136</v>
      </c>
      <c r="AH131" s="80" t="s">
        <v>10739</v>
      </c>
      <c r="AI131" s="77" t="b">
        <v>0</v>
      </c>
      <c r="AJ131" s="77"/>
      <c r="AK131" s="77"/>
      <c r="AL131" s="77"/>
      <c r="AM131" s="77"/>
      <c r="AN131" s="77"/>
      <c r="AO131" s="77"/>
      <c r="AP131" s="77"/>
      <c r="AQ131" s="77"/>
      <c r="AR131" s="77"/>
      <c r="AS131" s="77"/>
      <c r="AT131" s="77"/>
      <c r="AU131" s="77"/>
      <c r="AV131" s="83" t="str">
        <f>HYPERLINK("https://pbs.twimg.com/profile_images/544982356575019009/90r14xNg_normal.png")</f>
        <v>https://pbs.twimg.com/profile_images/544982356575019009/90r14xNg_normal.png</v>
      </c>
      <c r="AW131" s="80" t="s">
        <v>16121</v>
      </c>
      <c r="AX131" s="80" t="s">
        <v>16121</v>
      </c>
      <c r="AY131" s="77"/>
      <c r="AZ131" s="80" t="s">
        <v>20380</v>
      </c>
      <c r="BA131" s="80" t="s">
        <v>20380</v>
      </c>
      <c r="BB131" s="80" t="s">
        <v>20380</v>
      </c>
      <c r="BC131" s="80" t="s">
        <v>16121</v>
      </c>
      <c r="BD131" s="77">
        <v>2925848175</v>
      </c>
      <c r="BE131" s="77"/>
      <c r="BF131" s="77"/>
      <c r="BG131" s="77"/>
      <c r="BH131" s="77"/>
      <c r="BI131" s="77"/>
    </row>
    <row r="132" spans="1:61" x14ac:dyDescent="0.25">
      <c r="A132" s="62" t="s">
        <v>269</v>
      </c>
      <c r="B132" s="62" t="s">
        <v>269</v>
      </c>
      <c r="C132" s="63"/>
      <c r="D132" s="64"/>
      <c r="E132" s="65"/>
      <c r="F132" s="66"/>
      <c r="G132" s="63"/>
      <c r="H132" s="67"/>
      <c r="I132" s="68"/>
      <c r="J132" s="68"/>
      <c r="K132" s="32"/>
      <c r="L132" s="75">
        <v>132</v>
      </c>
      <c r="M132" s="75"/>
      <c r="N132" s="70"/>
      <c r="O132" s="77" t="s">
        <v>179</v>
      </c>
      <c r="P132" s="79">
        <v>45065.507037037038</v>
      </c>
      <c r="Q132" s="77" t="s">
        <v>2194</v>
      </c>
      <c r="R132" s="77">
        <v>0</v>
      </c>
      <c r="S132" s="77">
        <v>0</v>
      </c>
      <c r="T132" s="77">
        <v>0</v>
      </c>
      <c r="U132" s="77">
        <v>0</v>
      </c>
      <c r="V132" s="77">
        <v>44</v>
      </c>
      <c r="W132" s="80" t="s">
        <v>5986</v>
      </c>
      <c r="X132" s="83" t="str">
        <f>HYPERLINK("http://dlvr.it/SpHXn2")</f>
        <v>http://dlvr.it/SpHXn2</v>
      </c>
      <c r="Y132" s="77" t="s">
        <v>8629</v>
      </c>
      <c r="Z132" s="77"/>
      <c r="AA132" s="77"/>
      <c r="AB132" s="77"/>
      <c r="AC132" s="80" t="s">
        <v>8629</v>
      </c>
      <c r="AD132" s="77" t="s">
        <v>10620</v>
      </c>
      <c r="AE132" s="83" t="str">
        <f>HYPERLINK("https://twitter.com/ruralnetoficial/status/1659531884735651841")</f>
        <v>https://twitter.com/ruralnetoficial/status/1659531884735651841</v>
      </c>
      <c r="AF132" s="79">
        <v>45065.507037037038</v>
      </c>
      <c r="AG132" s="85">
        <v>45065</v>
      </c>
      <c r="AH132" s="80" t="s">
        <v>10740</v>
      </c>
      <c r="AI132" s="77" t="b">
        <v>0</v>
      </c>
      <c r="AJ132" s="77"/>
      <c r="AK132" s="77"/>
      <c r="AL132" s="77"/>
      <c r="AM132" s="77"/>
      <c r="AN132" s="77"/>
      <c r="AO132" s="77"/>
      <c r="AP132" s="77"/>
      <c r="AQ132" s="77"/>
      <c r="AR132" s="77"/>
      <c r="AS132" s="77"/>
      <c r="AT132" s="77"/>
      <c r="AU132" s="77"/>
      <c r="AV132" s="83" t="str">
        <f>HYPERLINK("https://pbs.twimg.com/profile_images/544982356575019009/90r14xNg_normal.png")</f>
        <v>https://pbs.twimg.com/profile_images/544982356575019009/90r14xNg_normal.png</v>
      </c>
      <c r="AW132" s="80" t="s">
        <v>16122</v>
      </c>
      <c r="AX132" s="80" t="s">
        <v>16122</v>
      </c>
      <c r="AY132" s="77"/>
      <c r="AZ132" s="80" t="s">
        <v>20380</v>
      </c>
      <c r="BA132" s="80" t="s">
        <v>20380</v>
      </c>
      <c r="BB132" s="80" t="s">
        <v>20380</v>
      </c>
      <c r="BC132" s="80" t="s">
        <v>16122</v>
      </c>
      <c r="BD132" s="77">
        <v>2925848175</v>
      </c>
      <c r="BE132" s="77"/>
      <c r="BF132" s="77"/>
      <c r="BG132" s="77"/>
      <c r="BH132" s="77"/>
      <c r="BI132" s="77"/>
    </row>
    <row r="133" spans="1:61" x14ac:dyDescent="0.25">
      <c r="A133" s="62" t="s">
        <v>269</v>
      </c>
      <c r="B133" s="62" t="s">
        <v>269</v>
      </c>
      <c r="C133" s="63"/>
      <c r="D133" s="64"/>
      <c r="E133" s="65"/>
      <c r="F133" s="66"/>
      <c r="G133" s="63"/>
      <c r="H133" s="67"/>
      <c r="I133" s="68"/>
      <c r="J133" s="68"/>
      <c r="K133" s="32"/>
      <c r="L133" s="75">
        <v>133</v>
      </c>
      <c r="M133" s="75"/>
      <c r="N133" s="70"/>
      <c r="O133" s="77" t="s">
        <v>179</v>
      </c>
      <c r="P133" s="79">
        <v>45051.588240740741</v>
      </c>
      <c r="Q133" s="77" t="s">
        <v>2195</v>
      </c>
      <c r="R133" s="77">
        <v>0</v>
      </c>
      <c r="S133" s="77">
        <v>0</v>
      </c>
      <c r="T133" s="77">
        <v>0</v>
      </c>
      <c r="U133" s="77">
        <v>0</v>
      </c>
      <c r="V133" s="77">
        <v>29</v>
      </c>
      <c r="W133" s="80" t="s">
        <v>5987</v>
      </c>
      <c r="X133" s="83" t="str">
        <f>HYPERLINK("http://dlvr.it/SnZl7T")</f>
        <v>http://dlvr.it/SnZl7T</v>
      </c>
      <c r="Y133" s="77" t="s">
        <v>8629</v>
      </c>
      <c r="Z133" s="77"/>
      <c r="AA133" s="77"/>
      <c r="AB133" s="77"/>
      <c r="AC133" s="80" t="s">
        <v>8629</v>
      </c>
      <c r="AD133" s="77" t="s">
        <v>10620</v>
      </c>
      <c r="AE133" s="83" t="str">
        <f>HYPERLINK("https://twitter.com/ruralnetoficial/status/1654487880146853890")</f>
        <v>https://twitter.com/ruralnetoficial/status/1654487880146853890</v>
      </c>
      <c r="AF133" s="79">
        <v>45051.588240740741</v>
      </c>
      <c r="AG133" s="85">
        <v>45051</v>
      </c>
      <c r="AH133" s="80" t="s">
        <v>10741</v>
      </c>
      <c r="AI133" s="77" t="b">
        <v>0</v>
      </c>
      <c r="AJ133" s="77"/>
      <c r="AK133" s="77"/>
      <c r="AL133" s="77"/>
      <c r="AM133" s="77"/>
      <c r="AN133" s="77"/>
      <c r="AO133" s="77"/>
      <c r="AP133" s="77"/>
      <c r="AQ133" s="77"/>
      <c r="AR133" s="77"/>
      <c r="AS133" s="77"/>
      <c r="AT133" s="77"/>
      <c r="AU133" s="77"/>
      <c r="AV133" s="83" t="str">
        <f>HYPERLINK("https://pbs.twimg.com/profile_images/544982356575019009/90r14xNg_normal.png")</f>
        <v>https://pbs.twimg.com/profile_images/544982356575019009/90r14xNg_normal.png</v>
      </c>
      <c r="AW133" s="80" t="s">
        <v>16123</v>
      </c>
      <c r="AX133" s="80" t="s">
        <v>16123</v>
      </c>
      <c r="AY133" s="77"/>
      <c r="AZ133" s="80" t="s">
        <v>20380</v>
      </c>
      <c r="BA133" s="80" t="s">
        <v>20380</v>
      </c>
      <c r="BB133" s="80" t="s">
        <v>20380</v>
      </c>
      <c r="BC133" s="80" t="s">
        <v>16123</v>
      </c>
      <c r="BD133" s="77">
        <v>2925848175</v>
      </c>
      <c r="BE133" s="77"/>
      <c r="BF133" s="77"/>
      <c r="BG133" s="77"/>
      <c r="BH133" s="77"/>
      <c r="BI133" s="77"/>
    </row>
    <row r="134" spans="1:61" x14ac:dyDescent="0.25">
      <c r="A134" s="62" t="s">
        <v>270</v>
      </c>
      <c r="B134" s="62" t="s">
        <v>270</v>
      </c>
      <c r="C134" s="63"/>
      <c r="D134" s="64"/>
      <c r="E134" s="65"/>
      <c r="F134" s="66"/>
      <c r="G134" s="63"/>
      <c r="H134" s="67"/>
      <c r="I134" s="68"/>
      <c r="J134" s="68"/>
      <c r="K134" s="32"/>
      <c r="L134" s="75">
        <v>134</v>
      </c>
      <c r="M134" s="75"/>
      <c r="N134" s="70"/>
      <c r="O134" s="77" t="s">
        <v>179</v>
      </c>
      <c r="P134" s="79">
        <v>45050.475405092591</v>
      </c>
      <c r="Q134" s="77" t="s">
        <v>2196</v>
      </c>
      <c r="R134" s="77">
        <v>0</v>
      </c>
      <c r="S134" s="77">
        <v>1</v>
      </c>
      <c r="T134" s="77">
        <v>0</v>
      </c>
      <c r="U134" s="77">
        <v>0</v>
      </c>
      <c r="V134" s="77">
        <v>40</v>
      </c>
      <c r="W134" s="80" t="s">
        <v>5988</v>
      </c>
      <c r="X134" s="83" t="str">
        <f>HYPERLINK("https://www.instagram.com/reel/Cr0b-zGshxV/?igshid=MDJmNzVkMjY=")</f>
        <v>https://www.instagram.com/reel/Cr0b-zGshxV/?igshid=MDJmNzVkMjY=</v>
      </c>
      <c r="Y134" s="77" t="s">
        <v>8630</v>
      </c>
      <c r="Z134" s="77"/>
      <c r="AA134" s="77"/>
      <c r="AB134" s="77"/>
      <c r="AC134" s="80" t="s">
        <v>10542</v>
      </c>
      <c r="AD134" s="77" t="s">
        <v>10617</v>
      </c>
      <c r="AE134" s="83" t="str">
        <f>HYPERLINK("https://twitter.com/wit_invest/status/1654084603504631808")</f>
        <v>https://twitter.com/wit_invest/status/1654084603504631808</v>
      </c>
      <c r="AF134" s="79">
        <v>45050.475405092591</v>
      </c>
      <c r="AG134" s="85">
        <v>45050</v>
      </c>
      <c r="AH134" s="80" t="s">
        <v>10742</v>
      </c>
      <c r="AI134" s="77" t="b">
        <v>0</v>
      </c>
      <c r="AJ134" s="77"/>
      <c r="AK134" s="77"/>
      <c r="AL134" s="77"/>
      <c r="AM134" s="77"/>
      <c r="AN134" s="77"/>
      <c r="AO134" s="77"/>
      <c r="AP134" s="77"/>
      <c r="AQ134" s="77"/>
      <c r="AR134" s="77"/>
      <c r="AS134" s="77"/>
      <c r="AT134" s="77"/>
      <c r="AU134" s="77"/>
      <c r="AV134" s="83" t="str">
        <f>HYPERLINK("https://pbs.twimg.com/profile_images/1499082215203868675/HTKhXXIs_normal.png")</f>
        <v>https://pbs.twimg.com/profile_images/1499082215203868675/HTKhXXIs_normal.png</v>
      </c>
      <c r="AW134" s="80" t="s">
        <v>16124</v>
      </c>
      <c r="AX134" s="80" t="s">
        <v>16124</v>
      </c>
      <c r="AY134" s="77"/>
      <c r="AZ134" s="80" t="s">
        <v>20380</v>
      </c>
      <c r="BA134" s="80" t="s">
        <v>20380</v>
      </c>
      <c r="BB134" s="80" t="s">
        <v>20380</v>
      </c>
      <c r="BC134" s="80" t="s">
        <v>16124</v>
      </c>
      <c r="BD134" s="80" t="s">
        <v>20516</v>
      </c>
      <c r="BE134" s="77"/>
      <c r="BF134" s="77"/>
      <c r="BG134" s="77"/>
      <c r="BH134" s="77"/>
      <c r="BI134" s="77"/>
    </row>
    <row r="135" spans="1:61" x14ac:dyDescent="0.25">
      <c r="A135" s="62" t="s">
        <v>270</v>
      </c>
      <c r="B135" s="62" t="s">
        <v>270</v>
      </c>
      <c r="C135" s="63"/>
      <c r="D135" s="64"/>
      <c r="E135" s="65"/>
      <c r="F135" s="66"/>
      <c r="G135" s="63"/>
      <c r="H135" s="67"/>
      <c r="I135" s="68"/>
      <c r="J135" s="68"/>
      <c r="K135" s="32"/>
      <c r="L135" s="75">
        <v>135</v>
      </c>
      <c r="M135" s="75"/>
      <c r="N135" s="70"/>
      <c r="O135" s="77" t="s">
        <v>179</v>
      </c>
      <c r="P135" s="79">
        <v>45049.91207175926</v>
      </c>
      <c r="Q135" s="77" t="s">
        <v>2197</v>
      </c>
      <c r="R135" s="77">
        <v>0</v>
      </c>
      <c r="S135" s="77">
        <v>0</v>
      </c>
      <c r="T135" s="77">
        <v>0</v>
      </c>
      <c r="U135" s="77">
        <v>0</v>
      </c>
      <c r="V135" s="77">
        <v>39</v>
      </c>
      <c r="W135" s="80" t="s">
        <v>5989</v>
      </c>
      <c r="X135" s="83" t="str">
        <f>HYPERLINK("https://instagram.com/p/Cry_GXvuAqM/")</f>
        <v>https://instagram.com/p/Cry_GXvuAqM/</v>
      </c>
      <c r="Y135" s="77" t="s">
        <v>8630</v>
      </c>
      <c r="Z135" s="77"/>
      <c r="AA135" s="77"/>
      <c r="AB135" s="77"/>
      <c r="AC135" s="80" t="s">
        <v>10542</v>
      </c>
      <c r="AD135" s="77" t="s">
        <v>10617</v>
      </c>
      <c r="AE135" s="83" t="str">
        <f>HYPERLINK("https://twitter.com/wit_invest/status/1653880458231332865")</f>
        <v>https://twitter.com/wit_invest/status/1653880458231332865</v>
      </c>
      <c r="AF135" s="79">
        <v>45049.91207175926</v>
      </c>
      <c r="AG135" s="85">
        <v>45049</v>
      </c>
      <c r="AH135" s="80" t="s">
        <v>10743</v>
      </c>
      <c r="AI135" s="77" t="b">
        <v>0</v>
      </c>
      <c r="AJ135" s="77"/>
      <c r="AK135" s="77"/>
      <c r="AL135" s="77"/>
      <c r="AM135" s="77"/>
      <c r="AN135" s="77"/>
      <c r="AO135" s="77"/>
      <c r="AP135" s="77"/>
      <c r="AQ135" s="77"/>
      <c r="AR135" s="77"/>
      <c r="AS135" s="77"/>
      <c r="AT135" s="77"/>
      <c r="AU135" s="77"/>
      <c r="AV135" s="83" t="str">
        <f>HYPERLINK("https://pbs.twimg.com/profile_images/1499082215203868675/HTKhXXIs_normal.png")</f>
        <v>https://pbs.twimg.com/profile_images/1499082215203868675/HTKhXXIs_normal.png</v>
      </c>
      <c r="AW135" s="80" t="s">
        <v>16125</v>
      </c>
      <c r="AX135" s="80" t="s">
        <v>16125</v>
      </c>
      <c r="AY135" s="77"/>
      <c r="AZ135" s="80" t="s">
        <v>20380</v>
      </c>
      <c r="BA135" s="80" t="s">
        <v>20380</v>
      </c>
      <c r="BB135" s="80" t="s">
        <v>20380</v>
      </c>
      <c r="BC135" s="80" t="s">
        <v>16125</v>
      </c>
      <c r="BD135" s="80" t="s">
        <v>20516</v>
      </c>
      <c r="BE135" s="77"/>
      <c r="BF135" s="77"/>
      <c r="BG135" s="77"/>
      <c r="BH135" s="77"/>
      <c r="BI135" s="77"/>
    </row>
    <row r="136" spans="1:61" x14ac:dyDescent="0.25">
      <c r="A136" s="62" t="s">
        <v>270</v>
      </c>
      <c r="B136" s="62" t="s">
        <v>270</v>
      </c>
      <c r="C136" s="63"/>
      <c r="D136" s="64"/>
      <c r="E136" s="65"/>
      <c r="F136" s="66"/>
      <c r="G136" s="63"/>
      <c r="H136" s="67"/>
      <c r="I136" s="68"/>
      <c r="J136" s="68"/>
      <c r="K136" s="32"/>
      <c r="L136" s="75">
        <v>136</v>
      </c>
      <c r="M136" s="75"/>
      <c r="N136" s="70"/>
      <c r="O136" s="77" t="s">
        <v>179</v>
      </c>
      <c r="P136" s="79">
        <v>45068.636006944442</v>
      </c>
      <c r="Q136" s="77" t="s">
        <v>2198</v>
      </c>
      <c r="R136" s="77">
        <v>0</v>
      </c>
      <c r="S136" s="77">
        <v>1</v>
      </c>
      <c r="T136" s="77">
        <v>0</v>
      </c>
      <c r="U136" s="77">
        <v>0</v>
      </c>
      <c r="V136" s="77">
        <v>39</v>
      </c>
      <c r="W136" s="80" t="s">
        <v>5990</v>
      </c>
      <c r="X136" s="83" t="str">
        <f>HYPERLINK("https://www.instagram.com/reel/CsjNA1Uv9I4/?igshid=MTc4MmM1YmI2Ng==")</f>
        <v>https://www.instagram.com/reel/CsjNA1Uv9I4/?igshid=MTc4MmM1YmI2Ng==</v>
      </c>
      <c r="Y136" s="77" t="s">
        <v>8630</v>
      </c>
      <c r="Z136" s="77"/>
      <c r="AA136" s="77"/>
      <c r="AB136" s="77"/>
      <c r="AC136" s="80" t="s">
        <v>10542</v>
      </c>
      <c r="AD136" s="77" t="s">
        <v>10617</v>
      </c>
      <c r="AE136" s="83" t="str">
        <f>HYPERLINK("https://twitter.com/wit_invest/status/1660665786518626305")</f>
        <v>https://twitter.com/wit_invest/status/1660665786518626305</v>
      </c>
      <c r="AF136" s="79">
        <v>45068.636006944442</v>
      </c>
      <c r="AG136" s="85">
        <v>45068</v>
      </c>
      <c r="AH136" s="80" t="s">
        <v>10744</v>
      </c>
      <c r="AI136" s="77" t="b">
        <v>0</v>
      </c>
      <c r="AJ136" s="77"/>
      <c r="AK136" s="77"/>
      <c r="AL136" s="77"/>
      <c r="AM136" s="77"/>
      <c r="AN136" s="77"/>
      <c r="AO136" s="77"/>
      <c r="AP136" s="77"/>
      <c r="AQ136" s="77"/>
      <c r="AR136" s="77"/>
      <c r="AS136" s="77"/>
      <c r="AT136" s="77"/>
      <c r="AU136" s="77"/>
      <c r="AV136" s="83" t="str">
        <f>HYPERLINK("https://pbs.twimg.com/profile_images/1499082215203868675/HTKhXXIs_normal.png")</f>
        <v>https://pbs.twimg.com/profile_images/1499082215203868675/HTKhXXIs_normal.png</v>
      </c>
      <c r="AW136" s="80" t="s">
        <v>16126</v>
      </c>
      <c r="AX136" s="80" t="s">
        <v>16126</v>
      </c>
      <c r="AY136" s="77"/>
      <c r="AZ136" s="80" t="s">
        <v>20380</v>
      </c>
      <c r="BA136" s="80" t="s">
        <v>20380</v>
      </c>
      <c r="BB136" s="80" t="s">
        <v>20380</v>
      </c>
      <c r="BC136" s="80" t="s">
        <v>16126</v>
      </c>
      <c r="BD136" s="80" t="s">
        <v>20516</v>
      </c>
      <c r="BE136" s="77"/>
      <c r="BF136" s="77"/>
      <c r="BG136" s="77"/>
      <c r="BH136" s="77"/>
      <c r="BI136" s="77"/>
    </row>
    <row r="137" spans="1:61" x14ac:dyDescent="0.25">
      <c r="A137" s="62" t="s">
        <v>270</v>
      </c>
      <c r="B137" s="62" t="s">
        <v>270</v>
      </c>
      <c r="C137" s="63"/>
      <c r="D137" s="64"/>
      <c r="E137" s="65"/>
      <c r="F137" s="66"/>
      <c r="G137" s="63"/>
      <c r="H137" s="67"/>
      <c r="I137" s="68"/>
      <c r="J137" s="68"/>
      <c r="K137" s="32"/>
      <c r="L137" s="75">
        <v>137</v>
      </c>
      <c r="M137" s="75"/>
      <c r="N137" s="70"/>
      <c r="O137" s="77" t="s">
        <v>179</v>
      </c>
      <c r="P137" s="79">
        <v>45103.772592592592</v>
      </c>
      <c r="Q137" s="77" t="s">
        <v>2199</v>
      </c>
      <c r="R137" s="77">
        <v>0</v>
      </c>
      <c r="S137" s="77">
        <v>0</v>
      </c>
      <c r="T137" s="77">
        <v>0</v>
      </c>
      <c r="U137" s="77">
        <v>0</v>
      </c>
      <c r="V137" s="77">
        <v>16</v>
      </c>
      <c r="W137" s="80" t="s">
        <v>5990</v>
      </c>
      <c r="X137" s="83" t="str">
        <f>HYPERLINK("https://www.instagram.com/reel/Ct9rRsdvcn-/?igshid=MjA3NmNkZWY5Yg==")</f>
        <v>https://www.instagram.com/reel/Ct9rRsdvcn-/?igshid=MjA3NmNkZWY5Yg==</v>
      </c>
      <c r="Y137" s="77" t="s">
        <v>8630</v>
      </c>
      <c r="Z137" s="77"/>
      <c r="AA137" s="77"/>
      <c r="AB137" s="77"/>
      <c r="AC137" s="80" t="s">
        <v>10542</v>
      </c>
      <c r="AD137" s="77" t="s">
        <v>10617</v>
      </c>
      <c r="AE137" s="83" t="str">
        <f>HYPERLINK("https://twitter.com/wit_invest/status/1673398855474225168")</f>
        <v>https://twitter.com/wit_invest/status/1673398855474225168</v>
      </c>
      <c r="AF137" s="79">
        <v>45103.772592592592</v>
      </c>
      <c r="AG137" s="85">
        <v>45103</v>
      </c>
      <c r="AH137" s="80" t="s">
        <v>10745</v>
      </c>
      <c r="AI137" s="77" t="b">
        <v>0</v>
      </c>
      <c r="AJ137" s="77"/>
      <c r="AK137" s="77"/>
      <c r="AL137" s="77"/>
      <c r="AM137" s="77"/>
      <c r="AN137" s="77"/>
      <c r="AO137" s="77"/>
      <c r="AP137" s="77"/>
      <c r="AQ137" s="77"/>
      <c r="AR137" s="77"/>
      <c r="AS137" s="77"/>
      <c r="AT137" s="77"/>
      <c r="AU137" s="77"/>
      <c r="AV137" s="83" t="str">
        <f>HYPERLINK("https://pbs.twimg.com/profile_images/1499082215203868675/HTKhXXIs_normal.png")</f>
        <v>https://pbs.twimg.com/profile_images/1499082215203868675/HTKhXXIs_normal.png</v>
      </c>
      <c r="AW137" s="80" t="s">
        <v>16127</v>
      </c>
      <c r="AX137" s="80" t="s">
        <v>16127</v>
      </c>
      <c r="AY137" s="77"/>
      <c r="AZ137" s="80" t="s">
        <v>20380</v>
      </c>
      <c r="BA137" s="80" t="s">
        <v>20380</v>
      </c>
      <c r="BB137" s="80" t="s">
        <v>20380</v>
      </c>
      <c r="BC137" s="80" t="s">
        <v>16127</v>
      </c>
      <c r="BD137" s="80" t="s">
        <v>20516</v>
      </c>
      <c r="BE137" s="77"/>
      <c r="BF137" s="77"/>
      <c r="BG137" s="77"/>
      <c r="BH137" s="77"/>
      <c r="BI137" s="77"/>
    </row>
    <row r="138" spans="1:61" x14ac:dyDescent="0.25">
      <c r="A138" s="62" t="s">
        <v>270</v>
      </c>
      <c r="B138" s="62" t="s">
        <v>270</v>
      </c>
      <c r="C138" s="63"/>
      <c r="D138" s="64"/>
      <c r="E138" s="65"/>
      <c r="F138" s="66"/>
      <c r="G138" s="63"/>
      <c r="H138" s="67"/>
      <c r="I138" s="68"/>
      <c r="J138" s="68"/>
      <c r="K138" s="32"/>
      <c r="L138" s="75">
        <v>138</v>
      </c>
      <c r="M138" s="75"/>
      <c r="N138" s="70"/>
      <c r="O138" s="77" t="s">
        <v>179</v>
      </c>
      <c r="P138" s="79">
        <v>45054.572928240741</v>
      </c>
      <c r="Q138" s="77" t="s">
        <v>2200</v>
      </c>
      <c r="R138" s="77">
        <v>0</v>
      </c>
      <c r="S138" s="77">
        <v>1</v>
      </c>
      <c r="T138" s="77">
        <v>0</v>
      </c>
      <c r="U138" s="77">
        <v>0</v>
      </c>
      <c r="V138" s="77">
        <v>40</v>
      </c>
      <c r="W138" s="80" t="s">
        <v>5990</v>
      </c>
      <c r="X138" s="83" t="str">
        <f>HYPERLINK("https://www.instagram.com/reel/Cr-_V6Wukr4/?igshid=NjZiM2M3MzIxNA==")</f>
        <v>https://www.instagram.com/reel/Cr-_V6Wukr4/?igshid=NjZiM2M3MzIxNA==</v>
      </c>
      <c r="Y138" s="77" t="s">
        <v>8630</v>
      </c>
      <c r="Z138" s="77"/>
      <c r="AA138" s="77"/>
      <c r="AB138" s="77"/>
      <c r="AC138" s="80" t="s">
        <v>10542</v>
      </c>
      <c r="AD138" s="77" t="s">
        <v>10617</v>
      </c>
      <c r="AE138" s="83" t="str">
        <f>HYPERLINK("https://twitter.com/wit_invest/status/1655569494176067588")</f>
        <v>https://twitter.com/wit_invest/status/1655569494176067588</v>
      </c>
      <c r="AF138" s="79">
        <v>45054.572928240741</v>
      </c>
      <c r="AG138" s="85">
        <v>45054</v>
      </c>
      <c r="AH138" s="80" t="s">
        <v>10746</v>
      </c>
      <c r="AI138" s="77" t="b">
        <v>0</v>
      </c>
      <c r="AJ138" s="77"/>
      <c r="AK138" s="77"/>
      <c r="AL138" s="77"/>
      <c r="AM138" s="77"/>
      <c r="AN138" s="77"/>
      <c r="AO138" s="77"/>
      <c r="AP138" s="77"/>
      <c r="AQ138" s="77"/>
      <c r="AR138" s="77"/>
      <c r="AS138" s="77"/>
      <c r="AT138" s="77"/>
      <c r="AU138" s="77"/>
      <c r="AV138" s="83" t="str">
        <f>HYPERLINK("https://pbs.twimg.com/profile_images/1499082215203868675/HTKhXXIs_normal.png")</f>
        <v>https://pbs.twimg.com/profile_images/1499082215203868675/HTKhXXIs_normal.png</v>
      </c>
      <c r="AW138" s="80" t="s">
        <v>16128</v>
      </c>
      <c r="AX138" s="80" t="s">
        <v>16128</v>
      </c>
      <c r="AY138" s="77"/>
      <c r="AZ138" s="80" t="s">
        <v>20380</v>
      </c>
      <c r="BA138" s="80" t="s">
        <v>20380</v>
      </c>
      <c r="BB138" s="80" t="s">
        <v>20380</v>
      </c>
      <c r="BC138" s="80" t="s">
        <v>16128</v>
      </c>
      <c r="BD138" s="80" t="s">
        <v>20516</v>
      </c>
      <c r="BE138" s="77"/>
      <c r="BF138" s="77"/>
      <c r="BG138" s="77"/>
      <c r="BH138" s="77"/>
      <c r="BI138" s="77"/>
    </row>
    <row r="139" spans="1:61" x14ac:dyDescent="0.25">
      <c r="A139" s="62" t="s">
        <v>270</v>
      </c>
      <c r="B139" s="62" t="s">
        <v>270</v>
      </c>
      <c r="C139" s="63"/>
      <c r="D139" s="64"/>
      <c r="E139" s="65"/>
      <c r="F139" s="66"/>
      <c r="G139" s="63"/>
      <c r="H139" s="67"/>
      <c r="I139" s="68"/>
      <c r="J139" s="68"/>
      <c r="K139" s="32"/>
      <c r="L139" s="75">
        <v>139</v>
      </c>
      <c r="M139" s="75"/>
      <c r="N139" s="70"/>
      <c r="O139" s="77" t="s">
        <v>179</v>
      </c>
      <c r="P139" s="79">
        <v>45117.736805555556</v>
      </c>
      <c r="Q139" s="77" t="s">
        <v>2201</v>
      </c>
      <c r="R139" s="77">
        <v>0</v>
      </c>
      <c r="S139" s="77">
        <v>0</v>
      </c>
      <c r="T139" s="77">
        <v>0</v>
      </c>
      <c r="U139" s="77">
        <v>0</v>
      </c>
      <c r="V139" s="77">
        <v>31</v>
      </c>
      <c r="W139" s="80" t="s">
        <v>5990</v>
      </c>
      <c r="X139" s="83" t="str">
        <f>HYPERLINK("https://www.instagram.com/reel/Cuhn7BbR0yr/?igshid=MjA3NmNkZWY5Yg==")</f>
        <v>https://www.instagram.com/reel/Cuhn7BbR0yr/?igshid=MjA3NmNkZWY5Yg==</v>
      </c>
      <c r="Y139" s="77" t="s">
        <v>8630</v>
      </c>
      <c r="Z139" s="77"/>
      <c r="AA139" s="77"/>
      <c r="AB139" s="77"/>
      <c r="AC139" s="80" t="s">
        <v>10542</v>
      </c>
      <c r="AD139" s="77" t="s">
        <v>10617</v>
      </c>
      <c r="AE139" s="83" t="str">
        <f>HYPERLINK("https://twitter.com/wit_invest/status/1678459316628512769")</f>
        <v>https://twitter.com/wit_invest/status/1678459316628512769</v>
      </c>
      <c r="AF139" s="79">
        <v>45117.736805555556</v>
      </c>
      <c r="AG139" s="85">
        <v>45117</v>
      </c>
      <c r="AH139" s="80" t="s">
        <v>10747</v>
      </c>
      <c r="AI139" s="77" t="b">
        <v>0</v>
      </c>
      <c r="AJ139" s="77"/>
      <c r="AK139" s="77"/>
      <c r="AL139" s="77"/>
      <c r="AM139" s="77"/>
      <c r="AN139" s="77"/>
      <c r="AO139" s="77"/>
      <c r="AP139" s="77"/>
      <c r="AQ139" s="77"/>
      <c r="AR139" s="77"/>
      <c r="AS139" s="77"/>
      <c r="AT139" s="77"/>
      <c r="AU139" s="77"/>
      <c r="AV139" s="83" t="str">
        <f>HYPERLINK("https://pbs.twimg.com/profile_images/1499082215203868675/HTKhXXIs_normal.png")</f>
        <v>https://pbs.twimg.com/profile_images/1499082215203868675/HTKhXXIs_normal.png</v>
      </c>
      <c r="AW139" s="80" t="s">
        <v>16129</v>
      </c>
      <c r="AX139" s="80" t="s">
        <v>16129</v>
      </c>
      <c r="AY139" s="77"/>
      <c r="AZ139" s="80" t="s">
        <v>20380</v>
      </c>
      <c r="BA139" s="80" t="s">
        <v>20380</v>
      </c>
      <c r="BB139" s="80" t="s">
        <v>20380</v>
      </c>
      <c r="BC139" s="80" t="s">
        <v>16129</v>
      </c>
      <c r="BD139" s="80" t="s">
        <v>20516</v>
      </c>
      <c r="BE139" s="77"/>
      <c r="BF139" s="77"/>
      <c r="BG139" s="77"/>
      <c r="BH139" s="77"/>
      <c r="BI139" s="77"/>
    </row>
    <row r="140" spans="1:61" x14ac:dyDescent="0.25">
      <c r="A140" s="62" t="s">
        <v>270</v>
      </c>
      <c r="B140" s="62" t="s">
        <v>270</v>
      </c>
      <c r="C140" s="63"/>
      <c r="D140" s="64"/>
      <c r="E140" s="65"/>
      <c r="F140" s="66"/>
      <c r="G140" s="63"/>
      <c r="H140" s="67"/>
      <c r="I140" s="68"/>
      <c r="J140" s="68"/>
      <c r="K140" s="32"/>
      <c r="L140" s="75">
        <v>140</v>
      </c>
      <c r="M140" s="75"/>
      <c r="N140" s="70"/>
      <c r="O140" s="77" t="s">
        <v>179</v>
      </c>
      <c r="P140" s="79">
        <v>45099.474756944444</v>
      </c>
      <c r="Q140" s="77" t="s">
        <v>2202</v>
      </c>
      <c r="R140" s="77">
        <v>0</v>
      </c>
      <c r="S140" s="77">
        <v>0</v>
      </c>
      <c r="T140" s="77">
        <v>0</v>
      </c>
      <c r="U140" s="77">
        <v>0</v>
      </c>
      <c r="V140" s="77">
        <v>23</v>
      </c>
      <c r="W140" s="80" t="s">
        <v>5991</v>
      </c>
      <c r="X140" s="83" t="str">
        <f>HYPERLINK("https://www.instagram.com/reel/Ctym9epumJh/?igshid=NjFiZTE0ZDQ0ZQ==")</f>
        <v>https://www.instagram.com/reel/Ctym9epumJh/?igshid=NjFiZTE0ZDQ0ZQ==</v>
      </c>
      <c r="Y140" s="77" t="s">
        <v>8630</v>
      </c>
      <c r="Z140" s="77"/>
      <c r="AA140" s="77"/>
      <c r="AB140" s="77"/>
      <c r="AC140" s="80" t="s">
        <v>10542</v>
      </c>
      <c r="AD140" s="77" t="s">
        <v>10617</v>
      </c>
      <c r="AE140" s="83" t="str">
        <f>HYPERLINK("https://twitter.com/wit_invest/status/1671841374142885888")</f>
        <v>https://twitter.com/wit_invest/status/1671841374142885888</v>
      </c>
      <c r="AF140" s="79">
        <v>45099.474756944444</v>
      </c>
      <c r="AG140" s="85">
        <v>45099</v>
      </c>
      <c r="AH140" s="80" t="s">
        <v>10748</v>
      </c>
      <c r="AI140" s="77" t="b">
        <v>0</v>
      </c>
      <c r="AJ140" s="77"/>
      <c r="AK140" s="77"/>
      <c r="AL140" s="77"/>
      <c r="AM140" s="77"/>
      <c r="AN140" s="77"/>
      <c r="AO140" s="77"/>
      <c r="AP140" s="77"/>
      <c r="AQ140" s="77"/>
      <c r="AR140" s="77"/>
      <c r="AS140" s="77"/>
      <c r="AT140" s="77"/>
      <c r="AU140" s="77"/>
      <c r="AV140" s="83" t="str">
        <f>HYPERLINK("https://pbs.twimg.com/profile_images/1499082215203868675/HTKhXXIs_normal.png")</f>
        <v>https://pbs.twimg.com/profile_images/1499082215203868675/HTKhXXIs_normal.png</v>
      </c>
      <c r="AW140" s="80" t="s">
        <v>16130</v>
      </c>
      <c r="AX140" s="80" t="s">
        <v>16130</v>
      </c>
      <c r="AY140" s="77"/>
      <c r="AZ140" s="80" t="s">
        <v>20380</v>
      </c>
      <c r="BA140" s="80" t="s">
        <v>20380</v>
      </c>
      <c r="BB140" s="80" t="s">
        <v>20380</v>
      </c>
      <c r="BC140" s="80" t="s">
        <v>16130</v>
      </c>
      <c r="BD140" s="80" t="s">
        <v>20516</v>
      </c>
      <c r="BE140" s="77"/>
      <c r="BF140" s="77"/>
      <c r="BG140" s="77"/>
      <c r="BH140" s="77"/>
      <c r="BI140" s="77"/>
    </row>
    <row r="141" spans="1:61" x14ac:dyDescent="0.25">
      <c r="A141" s="62" t="s">
        <v>270</v>
      </c>
      <c r="B141" s="62" t="s">
        <v>270</v>
      </c>
      <c r="C141" s="63"/>
      <c r="D141" s="64"/>
      <c r="E141" s="65"/>
      <c r="F141" s="66"/>
      <c r="G141" s="63"/>
      <c r="H141" s="67"/>
      <c r="I141" s="68"/>
      <c r="J141" s="68"/>
      <c r="K141" s="32"/>
      <c r="L141" s="75">
        <v>141</v>
      </c>
      <c r="M141" s="75"/>
      <c r="N141" s="70"/>
      <c r="O141" s="77" t="s">
        <v>179</v>
      </c>
      <c r="P141" s="79">
        <v>45075.759085648147</v>
      </c>
      <c r="Q141" s="77" t="s">
        <v>2203</v>
      </c>
      <c r="R141" s="77">
        <v>0</v>
      </c>
      <c r="S141" s="77">
        <v>0</v>
      </c>
      <c r="T141" s="77">
        <v>0</v>
      </c>
      <c r="U141" s="77">
        <v>0</v>
      </c>
      <c r="V141" s="77">
        <v>22</v>
      </c>
      <c r="W141" s="80" t="s">
        <v>5990</v>
      </c>
      <c r="X141" s="83" t="str">
        <f>HYPERLINK("https://www.instagram.com/reel/Cs1idgoL--o/?igshid=MTc4MmM1YmI2Ng==")</f>
        <v>https://www.instagram.com/reel/Cs1idgoL--o/?igshid=MTc4MmM1YmI2Ng==</v>
      </c>
      <c r="Y141" s="77" t="s">
        <v>8630</v>
      </c>
      <c r="Z141" s="77"/>
      <c r="AA141" s="77"/>
      <c r="AB141" s="77"/>
      <c r="AC141" s="80" t="s">
        <v>10542</v>
      </c>
      <c r="AD141" s="77" t="s">
        <v>10617</v>
      </c>
      <c r="AE141" s="83" t="str">
        <f>HYPERLINK("https://twitter.com/wit_invest/status/1663247103311609857")</f>
        <v>https://twitter.com/wit_invest/status/1663247103311609857</v>
      </c>
      <c r="AF141" s="79">
        <v>45075.759085648147</v>
      </c>
      <c r="AG141" s="85">
        <v>45075</v>
      </c>
      <c r="AH141" s="80" t="s">
        <v>10749</v>
      </c>
      <c r="AI141" s="77" t="b">
        <v>0</v>
      </c>
      <c r="AJ141" s="77"/>
      <c r="AK141" s="77"/>
      <c r="AL141" s="77"/>
      <c r="AM141" s="77"/>
      <c r="AN141" s="77"/>
      <c r="AO141" s="77"/>
      <c r="AP141" s="77"/>
      <c r="AQ141" s="77"/>
      <c r="AR141" s="77"/>
      <c r="AS141" s="77"/>
      <c r="AT141" s="77"/>
      <c r="AU141" s="77"/>
      <c r="AV141" s="83" t="str">
        <f>HYPERLINK("https://pbs.twimg.com/profile_images/1499082215203868675/HTKhXXIs_normal.png")</f>
        <v>https://pbs.twimg.com/profile_images/1499082215203868675/HTKhXXIs_normal.png</v>
      </c>
      <c r="AW141" s="80" t="s">
        <v>16131</v>
      </c>
      <c r="AX141" s="80" t="s">
        <v>16131</v>
      </c>
      <c r="AY141" s="77"/>
      <c r="AZ141" s="80" t="s">
        <v>20380</v>
      </c>
      <c r="BA141" s="80" t="s">
        <v>20380</v>
      </c>
      <c r="BB141" s="80" t="s">
        <v>20380</v>
      </c>
      <c r="BC141" s="80" t="s">
        <v>16131</v>
      </c>
      <c r="BD141" s="80" t="s">
        <v>20516</v>
      </c>
      <c r="BE141" s="77"/>
      <c r="BF141" s="77"/>
      <c r="BG141" s="77"/>
      <c r="BH141" s="77"/>
      <c r="BI141" s="77"/>
    </row>
    <row r="142" spans="1:61" x14ac:dyDescent="0.25">
      <c r="A142" s="62" t="s">
        <v>270</v>
      </c>
      <c r="B142" s="62" t="s">
        <v>270</v>
      </c>
      <c r="C142" s="63"/>
      <c r="D142" s="64"/>
      <c r="E142" s="65"/>
      <c r="F142" s="66"/>
      <c r="G142" s="63"/>
      <c r="H142" s="67"/>
      <c r="I142" s="68"/>
      <c r="J142" s="68"/>
      <c r="K142" s="32"/>
      <c r="L142" s="75">
        <v>142</v>
      </c>
      <c r="M142" s="75"/>
      <c r="N142" s="70"/>
      <c r="O142" s="77" t="s">
        <v>179</v>
      </c>
      <c r="P142" s="79">
        <v>45061.651354166665</v>
      </c>
      <c r="Q142" s="77" t="s">
        <v>2204</v>
      </c>
      <c r="R142" s="77">
        <v>0</v>
      </c>
      <c r="S142" s="77">
        <v>2</v>
      </c>
      <c r="T142" s="77">
        <v>0</v>
      </c>
      <c r="U142" s="77">
        <v>0</v>
      </c>
      <c r="V142" s="77">
        <v>40</v>
      </c>
      <c r="W142" s="80" t="s">
        <v>5990</v>
      </c>
      <c r="X142" s="83" t="str">
        <f>HYPERLINK("https://www.instagram.com/reel/CsRN6AusGAH/?igshid=MTc4MmM1YmI2Ng==")</f>
        <v>https://www.instagram.com/reel/CsRN6AusGAH/?igshid=MTc4MmM1YmI2Ng==</v>
      </c>
      <c r="Y142" s="77" t="s">
        <v>8630</v>
      </c>
      <c r="Z142" s="77"/>
      <c r="AA142" s="77"/>
      <c r="AB142" s="77"/>
      <c r="AC142" s="80" t="s">
        <v>10542</v>
      </c>
      <c r="AD142" s="77" t="s">
        <v>10617</v>
      </c>
      <c r="AE142" s="83" t="str">
        <f>HYPERLINK("https://twitter.com/wit_invest/status/1658134629994340353")</f>
        <v>https://twitter.com/wit_invest/status/1658134629994340353</v>
      </c>
      <c r="AF142" s="79">
        <v>45061.651354166665</v>
      </c>
      <c r="AG142" s="85">
        <v>45061</v>
      </c>
      <c r="AH142" s="80" t="s">
        <v>10750</v>
      </c>
      <c r="AI142" s="77" t="b">
        <v>0</v>
      </c>
      <c r="AJ142" s="77"/>
      <c r="AK142" s="77"/>
      <c r="AL142" s="77"/>
      <c r="AM142" s="77"/>
      <c r="AN142" s="77"/>
      <c r="AO142" s="77"/>
      <c r="AP142" s="77"/>
      <c r="AQ142" s="77"/>
      <c r="AR142" s="77"/>
      <c r="AS142" s="77"/>
      <c r="AT142" s="77"/>
      <c r="AU142" s="77"/>
      <c r="AV142" s="83" t="str">
        <f>HYPERLINK("https://pbs.twimg.com/profile_images/1499082215203868675/HTKhXXIs_normal.png")</f>
        <v>https://pbs.twimg.com/profile_images/1499082215203868675/HTKhXXIs_normal.png</v>
      </c>
      <c r="AW142" s="80" t="s">
        <v>16132</v>
      </c>
      <c r="AX142" s="80" t="s">
        <v>16132</v>
      </c>
      <c r="AY142" s="77"/>
      <c r="AZ142" s="80" t="s">
        <v>20380</v>
      </c>
      <c r="BA142" s="80" t="s">
        <v>20380</v>
      </c>
      <c r="BB142" s="80" t="s">
        <v>20380</v>
      </c>
      <c r="BC142" s="80" t="s">
        <v>16132</v>
      </c>
      <c r="BD142" s="80" t="s">
        <v>20516</v>
      </c>
      <c r="BE142" s="77"/>
      <c r="BF142" s="77"/>
      <c r="BG142" s="77"/>
      <c r="BH142" s="77"/>
      <c r="BI142" s="77"/>
    </row>
    <row r="143" spans="1:61" x14ac:dyDescent="0.25">
      <c r="A143" s="62" t="s">
        <v>270</v>
      </c>
      <c r="B143" s="62" t="s">
        <v>270</v>
      </c>
      <c r="C143" s="63"/>
      <c r="D143" s="64"/>
      <c r="E143" s="65"/>
      <c r="F143" s="66"/>
      <c r="G143" s="63"/>
      <c r="H143" s="67"/>
      <c r="I143" s="68"/>
      <c r="J143" s="68"/>
      <c r="K143" s="32"/>
      <c r="L143" s="75">
        <v>143</v>
      </c>
      <c r="M143" s="75"/>
      <c r="N143" s="70"/>
      <c r="O143" s="77" t="s">
        <v>179</v>
      </c>
      <c r="P143" s="79">
        <v>45110.620474537034</v>
      </c>
      <c r="Q143" s="77" t="s">
        <v>2205</v>
      </c>
      <c r="R143" s="77">
        <v>0</v>
      </c>
      <c r="S143" s="77">
        <v>0</v>
      </c>
      <c r="T143" s="77">
        <v>0</v>
      </c>
      <c r="U143" s="77">
        <v>0</v>
      </c>
      <c r="V143" s="77">
        <v>31</v>
      </c>
      <c r="W143" s="80" t="s">
        <v>5990</v>
      </c>
      <c r="X143" s="83" t="str">
        <f>HYPERLINK("https://www.instagram.com/reel/CuPT0lWuTAf/?igshid=MjA3NmNkZWY5Yg==")</f>
        <v>https://www.instagram.com/reel/CuPT0lWuTAf/?igshid=MjA3NmNkZWY5Yg==</v>
      </c>
      <c r="Y143" s="77" t="s">
        <v>8630</v>
      </c>
      <c r="Z143" s="77"/>
      <c r="AA143" s="77"/>
      <c r="AB143" s="77"/>
      <c r="AC143" s="80" t="s">
        <v>10542</v>
      </c>
      <c r="AD143" s="77" t="s">
        <v>10617</v>
      </c>
      <c r="AE143" s="83" t="str">
        <f>HYPERLINK("https://twitter.com/wit_invest/status/1675880447392227335")</f>
        <v>https://twitter.com/wit_invest/status/1675880447392227335</v>
      </c>
      <c r="AF143" s="79">
        <v>45110.620474537034</v>
      </c>
      <c r="AG143" s="85">
        <v>45110</v>
      </c>
      <c r="AH143" s="80" t="s">
        <v>10751</v>
      </c>
      <c r="AI143" s="77" t="b">
        <v>0</v>
      </c>
      <c r="AJ143" s="77"/>
      <c r="AK143" s="77"/>
      <c r="AL143" s="77"/>
      <c r="AM143" s="77"/>
      <c r="AN143" s="77"/>
      <c r="AO143" s="77"/>
      <c r="AP143" s="77"/>
      <c r="AQ143" s="77"/>
      <c r="AR143" s="77"/>
      <c r="AS143" s="77"/>
      <c r="AT143" s="77"/>
      <c r="AU143" s="77"/>
      <c r="AV143" s="83" t="str">
        <f>HYPERLINK("https://pbs.twimg.com/profile_images/1499082215203868675/HTKhXXIs_normal.png")</f>
        <v>https://pbs.twimg.com/profile_images/1499082215203868675/HTKhXXIs_normal.png</v>
      </c>
      <c r="AW143" s="80" t="s">
        <v>16133</v>
      </c>
      <c r="AX143" s="80" t="s">
        <v>16133</v>
      </c>
      <c r="AY143" s="77"/>
      <c r="AZ143" s="80" t="s">
        <v>20380</v>
      </c>
      <c r="BA143" s="80" t="s">
        <v>20380</v>
      </c>
      <c r="BB143" s="80" t="s">
        <v>20380</v>
      </c>
      <c r="BC143" s="80" t="s">
        <v>16133</v>
      </c>
      <c r="BD143" s="80" t="s">
        <v>20516</v>
      </c>
      <c r="BE143" s="77"/>
      <c r="BF143" s="77"/>
      <c r="BG143" s="77"/>
      <c r="BH143" s="77"/>
      <c r="BI143" s="77"/>
    </row>
    <row r="144" spans="1:61" x14ac:dyDescent="0.25">
      <c r="A144" s="62" t="s">
        <v>270</v>
      </c>
      <c r="B144" s="62" t="s">
        <v>270</v>
      </c>
      <c r="C144" s="63"/>
      <c r="D144" s="64"/>
      <c r="E144" s="65"/>
      <c r="F144" s="66"/>
      <c r="G144" s="63"/>
      <c r="H144" s="67"/>
      <c r="I144" s="68"/>
      <c r="J144" s="68"/>
      <c r="K144" s="32"/>
      <c r="L144" s="75">
        <v>144</v>
      </c>
      <c r="M144" s="75"/>
      <c r="N144" s="70"/>
      <c r="O144" s="77" t="s">
        <v>179</v>
      </c>
      <c r="P144" s="79">
        <v>45152.614606481482</v>
      </c>
      <c r="Q144" s="77" t="s">
        <v>2206</v>
      </c>
      <c r="R144" s="77">
        <v>0</v>
      </c>
      <c r="S144" s="77">
        <v>0</v>
      </c>
      <c r="T144" s="77">
        <v>0</v>
      </c>
      <c r="U144" s="77">
        <v>0</v>
      </c>
      <c r="V144" s="77">
        <v>54</v>
      </c>
      <c r="W144" s="80" t="s">
        <v>5990</v>
      </c>
      <c r="X144" s="83" t="str">
        <f>HYPERLINK("https://www.instagram.com/reel/Cv7bldfOOCu/?igshid=MTc4MmM1YmI2Ng==")</f>
        <v>https://www.instagram.com/reel/Cv7bldfOOCu/?igshid=MTc4MmM1YmI2Ng==</v>
      </c>
      <c r="Y144" s="77" t="s">
        <v>8630</v>
      </c>
      <c r="Z144" s="77"/>
      <c r="AA144" s="77"/>
      <c r="AB144" s="77"/>
      <c r="AC144" s="80" t="s">
        <v>10542</v>
      </c>
      <c r="AD144" s="77" t="s">
        <v>10617</v>
      </c>
      <c r="AE144" s="83" t="str">
        <f>HYPERLINK("https://twitter.com/wit_invest/status/1691098611126538240")</f>
        <v>https://twitter.com/wit_invest/status/1691098611126538240</v>
      </c>
      <c r="AF144" s="79">
        <v>45152.614606481482</v>
      </c>
      <c r="AG144" s="85">
        <v>45152</v>
      </c>
      <c r="AH144" s="80" t="s">
        <v>10752</v>
      </c>
      <c r="AI144" s="77" t="b">
        <v>0</v>
      </c>
      <c r="AJ144" s="77"/>
      <c r="AK144" s="77"/>
      <c r="AL144" s="77"/>
      <c r="AM144" s="77"/>
      <c r="AN144" s="77"/>
      <c r="AO144" s="77"/>
      <c r="AP144" s="77"/>
      <c r="AQ144" s="77"/>
      <c r="AR144" s="77"/>
      <c r="AS144" s="77"/>
      <c r="AT144" s="77"/>
      <c r="AU144" s="77"/>
      <c r="AV144" s="83" t="str">
        <f>HYPERLINK("https://pbs.twimg.com/profile_images/1499082215203868675/HTKhXXIs_normal.png")</f>
        <v>https://pbs.twimg.com/profile_images/1499082215203868675/HTKhXXIs_normal.png</v>
      </c>
      <c r="AW144" s="80" t="s">
        <v>16134</v>
      </c>
      <c r="AX144" s="80" t="s">
        <v>16134</v>
      </c>
      <c r="AY144" s="77"/>
      <c r="AZ144" s="80" t="s">
        <v>20380</v>
      </c>
      <c r="BA144" s="80" t="s">
        <v>20380</v>
      </c>
      <c r="BB144" s="80" t="s">
        <v>20380</v>
      </c>
      <c r="BC144" s="80" t="s">
        <v>16134</v>
      </c>
      <c r="BD144" s="80" t="s">
        <v>20516</v>
      </c>
      <c r="BE144" s="77"/>
      <c r="BF144" s="77"/>
      <c r="BG144" s="77"/>
      <c r="BH144" s="77"/>
      <c r="BI144" s="77"/>
    </row>
    <row r="145" spans="1:61" x14ac:dyDescent="0.25">
      <c r="A145" s="62" t="s">
        <v>270</v>
      </c>
      <c r="B145" s="62" t="s">
        <v>270</v>
      </c>
      <c r="C145" s="63"/>
      <c r="D145" s="64"/>
      <c r="E145" s="65"/>
      <c r="F145" s="66"/>
      <c r="G145" s="63"/>
      <c r="H145" s="67"/>
      <c r="I145" s="68"/>
      <c r="J145" s="68"/>
      <c r="K145" s="32"/>
      <c r="L145" s="75">
        <v>145</v>
      </c>
      <c r="M145" s="75"/>
      <c r="N145" s="70"/>
      <c r="O145" s="77" t="s">
        <v>179</v>
      </c>
      <c r="P145" s="79">
        <v>45166.66196759259</v>
      </c>
      <c r="Q145" s="77" t="s">
        <v>2207</v>
      </c>
      <c r="R145" s="77">
        <v>0</v>
      </c>
      <c r="S145" s="77">
        <v>0</v>
      </c>
      <c r="T145" s="77">
        <v>0</v>
      </c>
      <c r="U145" s="77">
        <v>0</v>
      </c>
      <c r="V145" s="77">
        <v>53</v>
      </c>
      <c r="W145" s="80" t="s">
        <v>5990</v>
      </c>
      <c r="X145" s="83" t="str">
        <f>HYPERLINK("https://www.instagram.com/reel/CwfnJqhL97t/?igshid=MTc4MmM1YmI2Ng==")</f>
        <v>https://www.instagram.com/reel/CwfnJqhL97t/?igshid=MTc4MmM1YmI2Ng==</v>
      </c>
      <c r="Y145" s="77" t="s">
        <v>8630</v>
      </c>
      <c r="Z145" s="77"/>
      <c r="AA145" s="77"/>
      <c r="AB145" s="77"/>
      <c r="AC145" s="80" t="s">
        <v>10542</v>
      </c>
      <c r="AD145" s="77" t="s">
        <v>10617</v>
      </c>
      <c r="AE145" s="83" t="str">
        <f>HYPERLINK("https://twitter.com/wit_invest/status/1696189203988578513")</f>
        <v>https://twitter.com/wit_invest/status/1696189203988578513</v>
      </c>
      <c r="AF145" s="79">
        <v>45166.66196759259</v>
      </c>
      <c r="AG145" s="85">
        <v>45166</v>
      </c>
      <c r="AH145" s="80" t="s">
        <v>10753</v>
      </c>
      <c r="AI145" s="77" t="b">
        <v>0</v>
      </c>
      <c r="AJ145" s="77"/>
      <c r="AK145" s="77"/>
      <c r="AL145" s="77"/>
      <c r="AM145" s="77"/>
      <c r="AN145" s="77"/>
      <c r="AO145" s="77"/>
      <c r="AP145" s="77"/>
      <c r="AQ145" s="77"/>
      <c r="AR145" s="77"/>
      <c r="AS145" s="77"/>
      <c r="AT145" s="77"/>
      <c r="AU145" s="77"/>
      <c r="AV145" s="83" t="str">
        <f>HYPERLINK("https://pbs.twimg.com/profile_images/1499082215203868675/HTKhXXIs_normal.png")</f>
        <v>https://pbs.twimg.com/profile_images/1499082215203868675/HTKhXXIs_normal.png</v>
      </c>
      <c r="AW145" s="80" t="s">
        <v>16135</v>
      </c>
      <c r="AX145" s="80" t="s">
        <v>16135</v>
      </c>
      <c r="AY145" s="77"/>
      <c r="AZ145" s="80" t="s">
        <v>20380</v>
      </c>
      <c r="BA145" s="80" t="s">
        <v>20380</v>
      </c>
      <c r="BB145" s="80" t="s">
        <v>20380</v>
      </c>
      <c r="BC145" s="80" t="s">
        <v>16135</v>
      </c>
      <c r="BD145" s="80" t="s">
        <v>20516</v>
      </c>
      <c r="BE145" s="77"/>
      <c r="BF145" s="77"/>
      <c r="BG145" s="77"/>
      <c r="BH145" s="77"/>
      <c r="BI145" s="77"/>
    </row>
    <row r="146" spans="1:61" x14ac:dyDescent="0.25">
      <c r="A146" s="62" t="s">
        <v>270</v>
      </c>
      <c r="B146" s="62" t="s">
        <v>270</v>
      </c>
      <c r="C146" s="63"/>
      <c r="D146" s="64"/>
      <c r="E146" s="65"/>
      <c r="F146" s="66"/>
      <c r="G146" s="63"/>
      <c r="H146" s="67"/>
      <c r="I146" s="68"/>
      <c r="J146" s="68"/>
      <c r="K146" s="32"/>
      <c r="L146" s="75">
        <v>146</v>
      </c>
      <c r="M146" s="75"/>
      <c r="N146" s="70"/>
      <c r="O146" s="77" t="s">
        <v>179</v>
      </c>
      <c r="P146" s="79">
        <v>45138.656990740739</v>
      </c>
      <c r="Q146" s="77" t="s">
        <v>2208</v>
      </c>
      <c r="R146" s="77">
        <v>0</v>
      </c>
      <c r="S146" s="77">
        <v>0</v>
      </c>
      <c r="T146" s="77">
        <v>0</v>
      </c>
      <c r="U146" s="77">
        <v>0</v>
      </c>
      <c r="V146" s="77">
        <v>57</v>
      </c>
      <c r="W146" s="80" t="s">
        <v>5990</v>
      </c>
      <c r="X146" s="83" t="str">
        <f>HYPERLINK("https://www.instagram.com/reel/CvXgB1sNJTr/?igshid=MTc4MmM1YmI2Ng==")</f>
        <v>https://www.instagram.com/reel/CvXgB1sNJTr/?igshid=MTc4MmM1YmI2Ng==</v>
      </c>
      <c r="Y146" s="77" t="s">
        <v>8630</v>
      </c>
      <c r="Z146" s="77"/>
      <c r="AA146" s="77"/>
      <c r="AB146" s="77"/>
      <c r="AC146" s="80" t="s">
        <v>10542</v>
      </c>
      <c r="AD146" s="77" t="s">
        <v>10617</v>
      </c>
      <c r="AE146" s="83" t="str">
        <f>HYPERLINK("https://twitter.com/wit_invest/status/1686040541652307969")</f>
        <v>https://twitter.com/wit_invest/status/1686040541652307969</v>
      </c>
      <c r="AF146" s="79">
        <v>45138.656990740739</v>
      </c>
      <c r="AG146" s="85">
        <v>45138</v>
      </c>
      <c r="AH146" s="80" t="s">
        <v>10754</v>
      </c>
      <c r="AI146" s="77" t="b">
        <v>0</v>
      </c>
      <c r="AJ146" s="77"/>
      <c r="AK146" s="77"/>
      <c r="AL146" s="77"/>
      <c r="AM146" s="77"/>
      <c r="AN146" s="77"/>
      <c r="AO146" s="77"/>
      <c r="AP146" s="77"/>
      <c r="AQ146" s="77"/>
      <c r="AR146" s="77"/>
      <c r="AS146" s="77"/>
      <c r="AT146" s="77"/>
      <c r="AU146" s="77"/>
      <c r="AV146" s="83" t="str">
        <f>HYPERLINK("https://pbs.twimg.com/profile_images/1499082215203868675/HTKhXXIs_normal.png")</f>
        <v>https://pbs.twimg.com/profile_images/1499082215203868675/HTKhXXIs_normal.png</v>
      </c>
      <c r="AW146" s="80" t="s">
        <v>16136</v>
      </c>
      <c r="AX146" s="80" t="s">
        <v>16136</v>
      </c>
      <c r="AY146" s="77"/>
      <c r="AZ146" s="80" t="s">
        <v>20380</v>
      </c>
      <c r="BA146" s="80" t="s">
        <v>20380</v>
      </c>
      <c r="BB146" s="80" t="s">
        <v>20380</v>
      </c>
      <c r="BC146" s="80" t="s">
        <v>16136</v>
      </c>
      <c r="BD146" s="80" t="s">
        <v>20516</v>
      </c>
      <c r="BE146" s="77"/>
      <c r="BF146" s="77"/>
      <c r="BG146" s="77"/>
      <c r="BH146" s="77"/>
      <c r="BI146" s="77"/>
    </row>
    <row r="147" spans="1:61" x14ac:dyDescent="0.25">
      <c r="A147" s="62" t="s">
        <v>270</v>
      </c>
      <c r="B147" s="62" t="s">
        <v>270</v>
      </c>
      <c r="C147" s="63"/>
      <c r="D147" s="64"/>
      <c r="E147" s="65"/>
      <c r="F147" s="66"/>
      <c r="G147" s="63"/>
      <c r="H147" s="67"/>
      <c r="I147" s="68"/>
      <c r="J147" s="68"/>
      <c r="K147" s="32"/>
      <c r="L147" s="75">
        <v>147</v>
      </c>
      <c r="M147" s="75"/>
      <c r="N147" s="70"/>
      <c r="O147" s="77" t="s">
        <v>179</v>
      </c>
      <c r="P147" s="79">
        <v>45070.468645833331</v>
      </c>
      <c r="Q147" s="77" t="s">
        <v>2209</v>
      </c>
      <c r="R147" s="77">
        <v>0</v>
      </c>
      <c r="S147" s="77">
        <v>2</v>
      </c>
      <c r="T147" s="77">
        <v>0</v>
      </c>
      <c r="U147" s="77">
        <v>0</v>
      </c>
      <c r="V147" s="77">
        <v>21</v>
      </c>
      <c r="W147" s="80" t="s">
        <v>5992</v>
      </c>
      <c r="X147" s="83" t="str">
        <f>HYPERLINK("https://www.instagram.com/reel/Csn6473tyjt/?igshid=MTc4MmM1YmI2Ng==")</f>
        <v>https://www.instagram.com/reel/Csn6473tyjt/?igshid=MTc4MmM1YmI2Ng==</v>
      </c>
      <c r="Y147" s="77" t="s">
        <v>8630</v>
      </c>
      <c r="Z147" s="77"/>
      <c r="AA147" s="77"/>
      <c r="AB147" s="77"/>
      <c r="AC147" s="80" t="s">
        <v>10542</v>
      </c>
      <c r="AD147" s="77" t="s">
        <v>10617</v>
      </c>
      <c r="AE147" s="83" t="str">
        <f>HYPERLINK("https://twitter.com/wit_invest/status/1661329912454586370")</f>
        <v>https://twitter.com/wit_invest/status/1661329912454586370</v>
      </c>
      <c r="AF147" s="79">
        <v>45070.468645833331</v>
      </c>
      <c r="AG147" s="85">
        <v>45070</v>
      </c>
      <c r="AH147" s="80" t="s">
        <v>10755</v>
      </c>
      <c r="AI147" s="77" t="b">
        <v>0</v>
      </c>
      <c r="AJ147" s="77"/>
      <c r="AK147" s="77"/>
      <c r="AL147" s="77"/>
      <c r="AM147" s="77"/>
      <c r="AN147" s="77"/>
      <c r="AO147" s="77"/>
      <c r="AP147" s="77"/>
      <c r="AQ147" s="77"/>
      <c r="AR147" s="77"/>
      <c r="AS147" s="77"/>
      <c r="AT147" s="77"/>
      <c r="AU147" s="77"/>
      <c r="AV147" s="83" t="str">
        <f>HYPERLINK("https://pbs.twimg.com/profile_images/1499082215203868675/HTKhXXIs_normal.png")</f>
        <v>https://pbs.twimg.com/profile_images/1499082215203868675/HTKhXXIs_normal.png</v>
      </c>
      <c r="AW147" s="80" t="s">
        <v>16137</v>
      </c>
      <c r="AX147" s="80" t="s">
        <v>16137</v>
      </c>
      <c r="AY147" s="77"/>
      <c r="AZ147" s="80" t="s">
        <v>20380</v>
      </c>
      <c r="BA147" s="80" t="s">
        <v>20380</v>
      </c>
      <c r="BB147" s="80" t="s">
        <v>20380</v>
      </c>
      <c r="BC147" s="80" t="s">
        <v>16137</v>
      </c>
      <c r="BD147" s="80" t="s">
        <v>20516</v>
      </c>
      <c r="BE147" s="77"/>
      <c r="BF147" s="77"/>
      <c r="BG147" s="77"/>
      <c r="BH147" s="77"/>
      <c r="BI147" s="77"/>
    </row>
    <row r="148" spans="1:61" x14ac:dyDescent="0.25">
      <c r="A148" s="62" t="s">
        <v>270</v>
      </c>
      <c r="B148" s="62" t="s">
        <v>270</v>
      </c>
      <c r="C148" s="63"/>
      <c r="D148" s="64"/>
      <c r="E148" s="65"/>
      <c r="F148" s="66"/>
      <c r="G148" s="63"/>
      <c r="H148" s="67"/>
      <c r="I148" s="68"/>
      <c r="J148" s="68"/>
      <c r="K148" s="32"/>
      <c r="L148" s="75">
        <v>148</v>
      </c>
      <c r="M148" s="75"/>
      <c r="N148" s="70"/>
      <c r="O148" s="77" t="s">
        <v>179</v>
      </c>
      <c r="P148" s="79">
        <v>45173.64402777778</v>
      </c>
      <c r="Q148" s="77" t="s">
        <v>2210</v>
      </c>
      <c r="R148" s="77">
        <v>0</v>
      </c>
      <c r="S148" s="77">
        <v>0</v>
      </c>
      <c r="T148" s="77">
        <v>0</v>
      </c>
      <c r="U148" s="77">
        <v>0</v>
      </c>
      <c r="V148" s="77">
        <v>49</v>
      </c>
      <c r="W148" s="80" t="s">
        <v>5990</v>
      </c>
      <c r="X148" s="83" t="str">
        <f>HYPERLINK("https://www.instagram.com/reel/CwxluYsOBe3/?igshid=MTc4MmM1YmI2Ng==")</f>
        <v>https://www.instagram.com/reel/CwxluYsOBe3/?igshid=MTc4MmM1YmI2Ng==</v>
      </c>
      <c r="Y148" s="77" t="s">
        <v>8630</v>
      </c>
      <c r="Z148" s="77"/>
      <c r="AA148" s="77"/>
      <c r="AB148" s="77"/>
      <c r="AC148" s="80" t="s">
        <v>10542</v>
      </c>
      <c r="AD148" s="77" t="s">
        <v>10617</v>
      </c>
      <c r="AE148" s="83" t="str">
        <f>HYPERLINK("https://twitter.com/wit_invest/status/1698719416375009303")</f>
        <v>https://twitter.com/wit_invest/status/1698719416375009303</v>
      </c>
      <c r="AF148" s="79">
        <v>45173.64402777778</v>
      </c>
      <c r="AG148" s="85">
        <v>45173</v>
      </c>
      <c r="AH148" s="80" t="s">
        <v>10756</v>
      </c>
      <c r="AI148" s="77" t="b">
        <v>0</v>
      </c>
      <c r="AJ148" s="77"/>
      <c r="AK148" s="77"/>
      <c r="AL148" s="77"/>
      <c r="AM148" s="77"/>
      <c r="AN148" s="77"/>
      <c r="AO148" s="77"/>
      <c r="AP148" s="77"/>
      <c r="AQ148" s="77"/>
      <c r="AR148" s="77"/>
      <c r="AS148" s="77"/>
      <c r="AT148" s="77"/>
      <c r="AU148" s="77"/>
      <c r="AV148" s="83" t="str">
        <f>HYPERLINK("https://pbs.twimg.com/profile_images/1499082215203868675/HTKhXXIs_normal.png")</f>
        <v>https://pbs.twimg.com/profile_images/1499082215203868675/HTKhXXIs_normal.png</v>
      </c>
      <c r="AW148" s="80" t="s">
        <v>16138</v>
      </c>
      <c r="AX148" s="80" t="s">
        <v>16138</v>
      </c>
      <c r="AY148" s="77"/>
      <c r="AZ148" s="80" t="s">
        <v>20380</v>
      </c>
      <c r="BA148" s="80" t="s">
        <v>20380</v>
      </c>
      <c r="BB148" s="80" t="s">
        <v>20380</v>
      </c>
      <c r="BC148" s="80" t="s">
        <v>16138</v>
      </c>
      <c r="BD148" s="80" t="s">
        <v>20516</v>
      </c>
      <c r="BE148" s="77"/>
      <c r="BF148" s="77"/>
      <c r="BG148" s="77"/>
      <c r="BH148" s="77"/>
      <c r="BI148" s="77"/>
    </row>
    <row r="149" spans="1:61" x14ac:dyDescent="0.25">
      <c r="A149" s="62" t="s">
        <v>270</v>
      </c>
      <c r="B149" s="62" t="s">
        <v>270</v>
      </c>
      <c r="C149" s="63"/>
      <c r="D149" s="64"/>
      <c r="E149" s="65"/>
      <c r="F149" s="66"/>
      <c r="G149" s="63"/>
      <c r="H149" s="67"/>
      <c r="I149" s="68"/>
      <c r="J149" s="68"/>
      <c r="K149" s="32"/>
      <c r="L149" s="75">
        <v>149</v>
      </c>
      <c r="M149" s="75"/>
      <c r="N149" s="70"/>
      <c r="O149" s="77" t="s">
        <v>179</v>
      </c>
      <c r="P149" s="79">
        <v>45049.504675925928</v>
      </c>
      <c r="Q149" s="77" t="s">
        <v>2211</v>
      </c>
      <c r="R149" s="77">
        <v>0</v>
      </c>
      <c r="S149" s="77">
        <v>1</v>
      </c>
      <c r="T149" s="77">
        <v>0</v>
      </c>
      <c r="U149" s="77">
        <v>0</v>
      </c>
      <c r="V149" s="77">
        <v>67</v>
      </c>
      <c r="W149" s="80" t="s">
        <v>5993</v>
      </c>
      <c r="X149" s="83" t="str">
        <f>HYPERLINK("https://www.instagram.com/reel/Crx3afNrtXx/?igshid=MDJmNzVkMjY=")</f>
        <v>https://www.instagram.com/reel/Crx3afNrtXx/?igshid=MDJmNzVkMjY=</v>
      </c>
      <c r="Y149" s="77" t="s">
        <v>8630</v>
      </c>
      <c r="Z149" s="77"/>
      <c r="AA149" s="77"/>
      <c r="AB149" s="77"/>
      <c r="AC149" s="80" t="s">
        <v>10542</v>
      </c>
      <c r="AD149" s="77" t="s">
        <v>10617</v>
      </c>
      <c r="AE149" s="83" t="str">
        <f>HYPERLINK("https://twitter.com/wit_invest/status/1653732821284921345")</f>
        <v>https://twitter.com/wit_invest/status/1653732821284921345</v>
      </c>
      <c r="AF149" s="79">
        <v>45049.504675925928</v>
      </c>
      <c r="AG149" s="85">
        <v>45049</v>
      </c>
      <c r="AH149" s="80" t="s">
        <v>10757</v>
      </c>
      <c r="AI149" s="77" t="b">
        <v>0</v>
      </c>
      <c r="AJ149" s="77"/>
      <c r="AK149" s="77"/>
      <c r="AL149" s="77"/>
      <c r="AM149" s="77"/>
      <c r="AN149" s="77"/>
      <c r="AO149" s="77"/>
      <c r="AP149" s="77"/>
      <c r="AQ149" s="77"/>
      <c r="AR149" s="77"/>
      <c r="AS149" s="77"/>
      <c r="AT149" s="77"/>
      <c r="AU149" s="77"/>
      <c r="AV149" s="83" t="str">
        <f>HYPERLINK("https://pbs.twimg.com/profile_images/1499082215203868675/HTKhXXIs_normal.png")</f>
        <v>https://pbs.twimg.com/profile_images/1499082215203868675/HTKhXXIs_normal.png</v>
      </c>
      <c r="AW149" s="80" t="s">
        <v>16139</v>
      </c>
      <c r="AX149" s="80" t="s">
        <v>16139</v>
      </c>
      <c r="AY149" s="77"/>
      <c r="AZ149" s="80" t="s">
        <v>20380</v>
      </c>
      <c r="BA149" s="80" t="s">
        <v>20380</v>
      </c>
      <c r="BB149" s="80" t="s">
        <v>20380</v>
      </c>
      <c r="BC149" s="80" t="s">
        <v>16139</v>
      </c>
      <c r="BD149" s="80" t="s">
        <v>20516</v>
      </c>
      <c r="BE149" s="77"/>
      <c r="BF149" s="77"/>
      <c r="BG149" s="77"/>
      <c r="BH149" s="77"/>
      <c r="BI149" s="77"/>
    </row>
    <row r="150" spans="1:61" x14ac:dyDescent="0.25">
      <c r="A150" s="62" t="s">
        <v>271</v>
      </c>
      <c r="B150" s="62" t="s">
        <v>271</v>
      </c>
      <c r="C150" s="63"/>
      <c r="D150" s="64"/>
      <c r="E150" s="65"/>
      <c r="F150" s="66"/>
      <c r="G150" s="63"/>
      <c r="H150" s="67"/>
      <c r="I150" s="68"/>
      <c r="J150" s="68"/>
      <c r="K150" s="32"/>
      <c r="L150" s="75">
        <v>150</v>
      </c>
      <c r="M150" s="75"/>
      <c r="N150" s="70"/>
      <c r="O150" s="77" t="s">
        <v>179</v>
      </c>
      <c r="P150" s="79">
        <v>45129.482476851852</v>
      </c>
      <c r="Q150" s="77" t="s">
        <v>2212</v>
      </c>
      <c r="R150" s="77">
        <v>0</v>
      </c>
      <c r="S150" s="77">
        <v>0</v>
      </c>
      <c r="T150" s="77">
        <v>0</v>
      </c>
      <c r="U150" s="77">
        <v>0</v>
      </c>
      <c r="V150" s="77">
        <v>23</v>
      </c>
      <c r="W150" s="80" t="s">
        <v>5884</v>
      </c>
      <c r="X150" s="83" t="str">
        <f>HYPERLINK("https://www.mendovoz.com/actualidad/nacionales/2023/7/22/se-acelera-la-perdida-de-reservas-del-banco-central-130851.html")</f>
        <v>https://www.mendovoz.com/actualidad/nacionales/2023/7/22/se-acelera-la-perdida-de-reservas-del-banco-central-130851.html</v>
      </c>
      <c r="Y150" s="77" t="s">
        <v>8631</v>
      </c>
      <c r="Z150" s="77"/>
      <c r="AA150" s="77"/>
      <c r="AB150" s="77"/>
      <c r="AC150" s="80" t="s">
        <v>10541</v>
      </c>
      <c r="AD150" s="77" t="s">
        <v>10620</v>
      </c>
      <c r="AE150" s="83" t="str">
        <f>HYPERLINK("https://twitter.com/mendovozok/status/1682715808659562498")</f>
        <v>https://twitter.com/mendovozok/status/1682715808659562498</v>
      </c>
      <c r="AF150" s="79">
        <v>45129.482476851852</v>
      </c>
      <c r="AG150" s="85">
        <v>45129</v>
      </c>
      <c r="AH150" s="80" t="s">
        <v>10758</v>
      </c>
      <c r="AI150" s="77" t="b">
        <v>0</v>
      </c>
      <c r="AJ150" s="77"/>
      <c r="AK150" s="77"/>
      <c r="AL150" s="77"/>
      <c r="AM150" s="77"/>
      <c r="AN150" s="77"/>
      <c r="AO150" s="77"/>
      <c r="AP150" s="77"/>
      <c r="AQ150" s="77"/>
      <c r="AR150" s="77"/>
      <c r="AS150" s="77"/>
      <c r="AT150" s="77"/>
      <c r="AU150" s="77"/>
      <c r="AV150" s="83" t="str">
        <f>HYPERLINK("https://pbs.twimg.com/profile_images/1318518717974720512/8CKMGckL_normal.jpg")</f>
        <v>https://pbs.twimg.com/profile_images/1318518717974720512/8CKMGckL_normal.jpg</v>
      </c>
      <c r="AW150" s="80" t="s">
        <v>16140</v>
      </c>
      <c r="AX150" s="80" t="s">
        <v>16140</v>
      </c>
      <c r="AY150" s="77"/>
      <c r="AZ150" s="80" t="s">
        <v>20380</v>
      </c>
      <c r="BA150" s="80" t="s">
        <v>20380</v>
      </c>
      <c r="BB150" s="80" t="s">
        <v>20380</v>
      </c>
      <c r="BC150" s="80" t="s">
        <v>16140</v>
      </c>
      <c r="BD150" s="80" t="s">
        <v>20517</v>
      </c>
      <c r="BE150" s="77"/>
      <c r="BF150" s="77"/>
      <c r="BG150" s="77"/>
      <c r="BH150" s="77"/>
      <c r="BI150" s="77"/>
    </row>
    <row r="151" spans="1:61" x14ac:dyDescent="0.25">
      <c r="A151" s="62" t="s">
        <v>271</v>
      </c>
      <c r="B151" s="62" t="s">
        <v>271</v>
      </c>
      <c r="C151" s="63"/>
      <c r="D151" s="64"/>
      <c r="E151" s="65"/>
      <c r="F151" s="66"/>
      <c r="G151" s="63"/>
      <c r="H151" s="67"/>
      <c r="I151" s="68"/>
      <c r="J151" s="68"/>
      <c r="K151" s="32"/>
      <c r="L151" s="75">
        <v>151</v>
      </c>
      <c r="M151" s="75"/>
      <c r="N151" s="70"/>
      <c r="O151" s="77" t="s">
        <v>179</v>
      </c>
      <c r="P151" s="79">
        <v>45148.6875</v>
      </c>
      <c r="Q151" s="77" t="s">
        <v>2213</v>
      </c>
      <c r="R151" s="77">
        <v>0</v>
      </c>
      <c r="S151" s="77">
        <v>0</v>
      </c>
      <c r="T151" s="77">
        <v>0</v>
      </c>
      <c r="U151" s="77">
        <v>0</v>
      </c>
      <c r="V151" s="77">
        <v>9</v>
      </c>
      <c r="W151" s="80" t="s">
        <v>5994</v>
      </c>
      <c r="X151" s="83" t="str">
        <f>HYPERLINK("https://www.mendovoz.com/actualidad/nacionales/2023/8/10/el-banco-central-asiste-nuevamente-al-tesoro-nacional-131540.html")</f>
        <v>https://www.mendovoz.com/actualidad/nacionales/2023/8/10/el-banco-central-asiste-nuevamente-al-tesoro-nacional-131540.html</v>
      </c>
      <c r="Y151" s="77" t="s">
        <v>8631</v>
      </c>
      <c r="Z151" s="77"/>
      <c r="AA151" s="77"/>
      <c r="AB151" s="77"/>
      <c r="AC151" s="80" t="s">
        <v>10541</v>
      </c>
      <c r="AD151" s="77" t="s">
        <v>10620</v>
      </c>
      <c r="AE151" s="83" t="str">
        <f>HYPERLINK("https://twitter.com/mendovozok/status/1689675474241298437")</f>
        <v>https://twitter.com/mendovozok/status/1689675474241298437</v>
      </c>
      <c r="AF151" s="79">
        <v>45148.6875</v>
      </c>
      <c r="AG151" s="85">
        <v>45148</v>
      </c>
      <c r="AH151" s="80" t="s">
        <v>10759</v>
      </c>
      <c r="AI151" s="77" t="b">
        <v>0</v>
      </c>
      <c r="AJ151" s="77"/>
      <c r="AK151" s="77"/>
      <c r="AL151" s="77"/>
      <c r="AM151" s="77"/>
      <c r="AN151" s="77"/>
      <c r="AO151" s="77"/>
      <c r="AP151" s="77"/>
      <c r="AQ151" s="77"/>
      <c r="AR151" s="77"/>
      <c r="AS151" s="77"/>
      <c r="AT151" s="77"/>
      <c r="AU151" s="77"/>
      <c r="AV151" s="83" t="str">
        <f>HYPERLINK("https://pbs.twimg.com/profile_images/1318518717974720512/8CKMGckL_normal.jpg")</f>
        <v>https://pbs.twimg.com/profile_images/1318518717974720512/8CKMGckL_normal.jpg</v>
      </c>
      <c r="AW151" s="80" t="s">
        <v>16141</v>
      </c>
      <c r="AX151" s="80" t="s">
        <v>16141</v>
      </c>
      <c r="AY151" s="77"/>
      <c r="AZ151" s="80" t="s">
        <v>20380</v>
      </c>
      <c r="BA151" s="80" t="s">
        <v>20380</v>
      </c>
      <c r="BB151" s="80" t="s">
        <v>20380</v>
      </c>
      <c r="BC151" s="80" t="s">
        <v>16141</v>
      </c>
      <c r="BD151" s="80" t="s">
        <v>20517</v>
      </c>
      <c r="BE151" s="77"/>
      <c r="BF151" s="77"/>
      <c r="BG151" s="77"/>
      <c r="BH151" s="77"/>
      <c r="BI151" s="77"/>
    </row>
    <row r="152" spans="1:61" x14ac:dyDescent="0.25">
      <c r="A152" s="62" t="s">
        <v>272</v>
      </c>
      <c r="B152" s="62" t="s">
        <v>272</v>
      </c>
      <c r="C152" s="63"/>
      <c r="D152" s="64"/>
      <c r="E152" s="65"/>
      <c r="F152" s="66"/>
      <c r="G152" s="63"/>
      <c r="H152" s="67"/>
      <c r="I152" s="68"/>
      <c r="J152" s="68"/>
      <c r="K152" s="32"/>
      <c r="L152" s="75">
        <v>152</v>
      </c>
      <c r="M152" s="75"/>
      <c r="N152" s="70"/>
      <c r="O152" s="77" t="s">
        <v>2081</v>
      </c>
      <c r="P152" s="79">
        <v>45134.439641203702</v>
      </c>
      <c r="Q152" s="77" t="s">
        <v>2214</v>
      </c>
      <c r="R152" s="77">
        <v>1</v>
      </c>
      <c r="S152" s="77">
        <v>0</v>
      </c>
      <c r="T152" s="77">
        <v>0</v>
      </c>
      <c r="U152" s="77">
        <v>0</v>
      </c>
      <c r="V152" s="77">
        <v>1553</v>
      </c>
      <c r="W152" s="80" t="s">
        <v>5995</v>
      </c>
      <c r="X152" s="83" t="str">
        <f>HYPERLINK("http://dlvr.it/SspNFf")</f>
        <v>http://dlvr.it/SspNFf</v>
      </c>
      <c r="Y152" s="77" t="s">
        <v>8629</v>
      </c>
      <c r="Z152" s="77" t="s">
        <v>272</v>
      </c>
      <c r="AA152" s="77"/>
      <c r="AB152" s="77"/>
      <c r="AC152" s="80" t="s">
        <v>8629</v>
      </c>
      <c r="AD152" s="77" t="s">
        <v>10620</v>
      </c>
      <c r="AE152" s="83" t="str">
        <f>HYPERLINK("https://twitter.com/ecos365/status/1684512223975346177")</f>
        <v>https://twitter.com/ecos365/status/1684512223975346177</v>
      </c>
      <c r="AF152" s="79">
        <v>45134.439641203702</v>
      </c>
      <c r="AG152" s="85">
        <v>45134</v>
      </c>
      <c r="AH152" s="80" t="s">
        <v>10760</v>
      </c>
      <c r="AI152" s="77" t="b">
        <v>0</v>
      </c>
      <c r="AJ152" s="77"/>
      <c r="AK152" s="77"/>
      <c r="AL152" s="77"/>
      <c r="AM152" s="77"/>
      <c r="AN152" s="77"/>
      <c r="AO152" s="77"/>
      <c r="AP152" s="77"/>
      <c r="AQ152" s="77"/>
      <c r="AR152" s="77"/>
      <c r="AS152" s="77"/>
      <c r="AT152" s="77"/>
      <c r="AU152" s="77"/>
      <c r="AV152" s="83" t="str">
        <f>HYPERLINK("https://pbs.twimg.com/profile_images/1540054895671316482/lea_Icv4_normal.jpg")</f>
        <v>https://pbs.twimg.com/profile_images/1540054895671316482/lea_Icv4_normal.jpg</v>
      </c>
      <c r="AW152" s="80" t="s">
        <v>16142</v>
      </c>
      <c r="AX152" s="80" t="s">
        <v>16142</v>
      </c>
      <c r="AY152" s="77"/>
      <c r="AZ152" s="80" t="s">
        <v>20380</v>
      </c>
      <c r="BA152" s="80" t="s">
        <v>20380</v>
      </c>
      <c r="BB152" s="80" t="s">
        <v>20380</v>
      </c>
      <c r="BC152" s="80" t="s">
        <v>16142</v>
      </c>
      <c r="BD152" s="80" t="s">
        <v>20518</v>
      </c>
      <c r="BE152" s="77"/>
      <c r="BF152" s="77"/>
      <c r="BG152" s="77"/>
      <c r="BH152" s="77"/>
      <c r="BI152" s="77"/>
    </row>
    <row r="153" spans="1:61" x14ac:dyDescent="0.25">
      <c r="A153" s="62" t="s">
        <v>272</v>
      </c>
      <c r="B153" s="62" t="s">
        <v>272</v>
      </c>
      <c r="C153" s="63"/>
      <c r="D153" s="64"/>
      <c r="E153" s="65"/>
      <c r="F153" s="66"/>
      <c r="G153" s="63"/>
      <c r="H153" s="67"/>
      <c r="I153" s="68"/>
      <c r="J153" s="68"/>
      <c r="K153" s="32"/>
      <c r="L153" s="75">
        <v>153</v>
      </c>
      <c r="M153" s="75"/>
      <c r="N153" s="70"/>
      <c r="O153" s="77" t="s">
        <v>179</v>
      </c>
      <c r="P153" s="79">
        <v>45164.827465277776</v>
      </c>
      <c r="Q153" s="77" t="s">
        <v>2215</v>
      </c>
      <c r="R153" s="77">
        <v>0</v>
      </c>
      <c r="S153" s="77">
        <v>1</v>
      </c>
      <c r="T153" s="77">
        <v>0</v>
      </c>
      <c r="U153" s="77">
        <v>0</v>
      </c>
      <c r="V153" s="77">
        <v>540</v>
      </c>
      <c r="W153" s="80" t="s">
        <v>5996</v>
      </c>
      <c r="X153" s="77"/>
      <c r="Y153" s="77"/>
      <c r="Z153" s="77"/>
      <c r="AA153" s="77" t="s">
        <v>9077</v>
      </c>
      <c r="AB153" s="77" t="s">
        <v>10535</v>
      </c>
      <c r="AC153" s="80" t="s">
        <v>8629</v>
      </c>
      <c r="AD153" s="77" t="s">
        <v>10620</v>
      </c>
      <c r="AE153" s="83" t="str">
        <f>HYPERLINK("https://twitter.com/ecos365/status/1695524403013152887")</f>
        <v>https://twitter.com/ecos365/status/1695524403013152887</v>
      </c>
      <c r="AF153" s="79">
        <v>45164.827465277776</v>
      </c>
      <c r="AG153" s="85">
        <v>45164</v>
      </c>
      <c r="AH153" s="80" t="s">
        <v>10761</v>
      </c>
      <c r="AI153" s="77" t="b">
        <v>0</v>
      </c>
      <c r="AJ153" s="77"/>
      <c r="AK153" s="77"/>
      <c r="AL153" s="77"/>
      <c r="AM153" s="77"/>
      <c r="AN153" s="77"/>
      <c r="AO153" s="77"/>
      <c r="AP153" s="77"/>
      <c r="AQ153" s="77" t="s">
        <v>14559</v>
      </c>
      <c r="AR153" s="77"/>
      <c r="AS153" s="77"/>
      <c r="AT153" s="77"/>
      <c r="AU153" s="77"/>
      <c r="AV153" s="83" t="str">
        <f>HYPERLINK("https://pbs.twimg.com/media/F4e2dW7bgAAWGl3.jpg")</f>
        <v>https://pbs.twimg.com/media/F4e2dW7bgAAWGl3.jpg</v>
      </c>
      <c r="AW153" s="80" t="s">
        <v>16143</v>
      </c>
      <c r="AX153" s="80" t="s">
        <v>16143</v>
      </c>
      <c r="AY153" s="77"/>
      <c r="AZ153" s="80" t="s">
        <v>20380</v>
      </c>
      <c r="BA153" s="80" t="s">
        <v>20380</v>
      </c>
      <c r="BB153" s="80" t="s">
        <v>20380</v>
      </c>
      <c r="BC153" s="80" t="s">
        <v>16143</v>
      </c>
      <c r="BD153" s="80" t="s">
        <v>20518</v>
      </c>
      <c r="BE153" s="77"/>
      <c r="BF153" s="77"/>
      <c r="BG153" s="77"/>
      <c r="BH153" s="77"/>
      <c r="BI153" s="77"/>
    </row>
    <row r="154" spans="1:61" x14ac:dyDescent="0.25">
      <c r="A154" s="62" t="s">
        <v>273</v>
      </c>
      <c r="B154" s="62" t="s">
        <v>1615</v>
      </c>
      <c r="C154" s="63"/>
      <c r="D154" s="64"/>
      <c r="E154" s="65"/>
      <c r="F154" s="66"/>
      <c r="G154" s="63"/>
      <c r="H154" s="67"/>
      <c r="I154" s="68"/>
      <c r="J154" s="68"/>
      <c r="K154" s="32"/>
      <c r="L154" s="75">
        <v>154</v>
      </c>
      <c r="M154" s="75"/>
      <c r="N154" s="70"/>
      <c r="O154" s="77" t="s">
        <v>2083</v>
      </c>
      <c r="P154" s="79">
        <v>45197.462858796294</v>
      </c>
      <c r="Q154" s="77" t="s">
        <v>2216</v>
      </c>
      <c r="R154" s="77">
        <v>7</v>
      </c>
      <c r="S154" s="77">
        <v>0</v>
      </c>
      <c r="T154" s="77">
        <v>0</v>
      </c>
      <c r="U154" s="77">
        <v>0</v>
      </c>
      <c r="V154" s="77"/>
      <c r="W154" s="80" t="s">
        <v>5997</v>
      </c>
      <c r="X154" s="77"/>
      <c r="Y154" s="77"/>
      <c r="Z154" s="77" t="s">
        <v>1615</v>
      </c>
      <c r="AA154" s="77" t="s">
        <v>9078</v>
      </c>
      <c r="AB154" s="77" t="s">
        <v>10535</v>
      </c>
      <c r="AC154" s="80" t="s">
        <v>10542</v>
      </c>
      <c r="AD154" s="77" t="s">
        <v>10617</v>
      </c>
      <c r="AE154" s="83" t="str">
        <f>HYPERLINK("https://twitter.com/1thoven/status/1707351073239777363")</f>
        <v>https://twitter.com/1thoven/status/1707351073239777363</v>
      </c>
      <c r="AF154" s="79">
        <v>45197.462858796294</v>
      </c>
      <c r="AG154" s="85">
        <v>45197</v>
      </c>
      <c r="AH154" s="80" t="s">
        <v>10762</v>
      </c>
      <c r="AI154" s="77" t="b">
        <v>0</v>
      </c>
      <c r="AJ154" s="77"/>
      <c r="AK154" s="77"/>
      <c r="AL154" s="77"/>
      <c r="AM154" s="77"/>
      <c r="AN154" s="77"/>
      <c r="AO154" s="77"/>
      <c r="AP154" s="77"/>
      <c r="AQ154" s="77" t="s">
        <v>14560</v>
      </c>
      <c r="AR154" s="77"/>
      <c r="AS154" s="77"/>
      <c r="AT154" s="77"/>
      <c r="AU154" s="77"/>
      <c r="AV154" s="83" t="str">
        <f>HYPERLINK("https://pbs.twimg.com/media/F7BR3b-WUAEVt-O.jpg")</f>
        <v>https://pbs.twimg.com/media/F7BR3b-WUAEVt-O.jpg</v>
      </c>
      <c r="AW154" s="80" t="s">
        <v>16144</v>
      </c>
      <c r="AX154" s="80" t="s">
        <v>16144</v>
      </c>
      <c r="AY154" s="77"/>
      <c r="AZ154" s="80" t="s">
        <v>20380</v>
      </c>
      <c r="BA154" s="80" t="s">
        <v>20380</v>
      </c>
      <c r="BB154" s="80" t="s">
        <v>19742</v>
      </c>
      <c r="BC154" s="80" t="s">
        <v>19742</v>
      </c>
      <c r="BD154" s="80" t="s">
        <v>20519</v>
      </c>
      <c r="BE154" s="77"/>
      <c r="BF154" s="77"/>
      <c r="BG154" s="77"/>
      <c r="BH154" s="77"/>
      <c r="BI154" s="77"/>
    </row>
    <row r="155" spans="1:61" x14ac:dyDescent="0.25">
      <c r="A155" s="62" t="s">
        <v>274</v>
      </c>
      <c r="B155" s="62" t="s">
        <v>274</v>
      </c>
      <c r="C155" s="63"/>
      <c r="D155" s="64"/>
      <c r="E155" s="65"/>
      <c r="F155" s="66"/>
      <c r="G155" s="63"/>
      <c r="H155" s="67"/>
      <c r="I155" s="68"/>
      <c r="J155" s="68"/>
      <c r="K155" s="32"/>
      <c r="L155" s="75">
        <v>155</v>
      </c>
      <c r="M155" s="75"/>
      <c r="N155" s="70"/>
      <c r="O155" s="77" t="s">
        <v>2078</v>
      </c>
      <c r="P155" s="79">
        <v>45057.764479166668</v>
      </c>
      <c r="Q155" s="77" t="s">
        <v>2217</v>
      </c>
      <c r="R155" s="77">
        <v>0</v>
      </c>
      <c r="S155" s="77">
        <v>0</v>
      </c>
      <c r="T155" s="77">
        <v>1</v>
      </c>
      <c r="U155" s="77">
        <v>0</v>
      </c>
      <c r="V155" s="77">
        <v>62</v>
      </c>
      <c r="W155" s="80" t="s">
        <v>5998</v>
      </c>
      <c r="X155" s="77"/>
      <c r="Y155" s="77"/>
      <c r="Z155" s="77"/>
      <c r="AA155" s="77"/>
      <c r="AB155" s="77"/>
      <c r="AC155" s="80" t="s">
        <v>10541</v>
      </c>
      <c r="AD155" s="77" t="s">
        <v>10618</v>
      </c>
      <c r="AE155" s="83" t="str">
        <f>HYPERLINK("https://twitter.com/webtcoficial/status/1656726076289081346")</f>
        <v>https://twitter.com/webtcoficial/status/1656726076289081346</v>
      </c>
      <c r="AF155" s="79">
        <v>45057.764479166668</v>
      </c>
      <c r="AG155" s="85">
        <v>45057</v>
      </c>
      <c r="AH155" s="80" t="s">
        <v>10763</v>
      </c>
      <c r="AI155" s="77"/>
      <c r="AJ155" s="77"/>
      <c r="AK155" s="77"/>
      <c r="AL155" s="77"/>
      <c r="AM155" s="77"/>
      <c r="AN155" s="77"/>
      <c r="AO155" s="77"/>
      <c r="AP155" s="77"/>
      <c r="AQ155" s="77"/>
      <c r="AR155" s="77"/>
      <c r="AS155" s="77"/>
      <c r="AT155" s="77"/>
      <c r="AU155" s="77"/>
      <c r="AV155" s="83" t="str">
        <f>HYPERLINK("https://pbs.twimg.com/profile_images/1533150462186295300/XvsnzVW9_normal.jpg")</f>
        <v>https://pbs.twimg.com/profile_images/1533150462186295300/XvsnzVW9_normal.jpg</v>
      </c>
      <c r="AW155" s="80" t="s">
        <v>16145</v>
      </c>
      <c r="AX155" s="80" t="s">
        <v>19964</v>
      </c>
      <c r="AY155" s="80" t="s">
        <v>20220</v>
      </c>
      <c r="AZ155" s="80" t="s">
        <v>20382</v>
      </c>
      <c r="BA155" s="80" t="s">
        <v>20380</v>
      </c>
      <c r="BB155" s="80" t="s">
        <v>20380</v>
      </c>
      <c r="BC155" s="80" t="s">
        <v>20382</v>
      </c>
      <c r="BD155" s="80" t="s">
        <v>20220</v>
      </c>
      <c r="BE155" s="77"/>
      <c r="BF155" s="77"/>
      <c r="BG155" s="77"/>
      <c r="BH155" s="77"/>
      <c r="BI155" s="77"/>
    </row>
    <row r="156" spans="1:61" x14ac:dyDescent="0.25">
      <c r="A156" s="62" t="s">
        <v>274</v>
      </c>
      <c r="B156" s="62" t="s">
        <v>274</v>
      </c>
      <c r="C156" s="63"/>
      <c r="D156" s="64"/>
      <c r="E156" s="65"/>
      <c r="F156" s="66"/>
      <c r="G156" s="63"/>
      <c r="H156" s="67"/>
      <c r="I156" s="68"/>
      <c r="J156" s="68"/>
      <c r="K156" s="32"/>
      <c r="L156" s="75">
        <v>156</v>
      </c>
      <c r="M156" s="75"/>
      <c r="N156" s="70"/>
      <c r="O156" s="77" t="s">
        <v>2078</v>
      </c>
      <c r="P156" s="79">
        <v>45055.49046296296</v>
      </c>
      <c r="Q156" s="77" t="s">
        <v>2218</v>
      </c>
      <c r="R156" s="77">
        <v>0</v>
      </c>
      <c r="S156" s="77">
        <v>1</v>
      </c>
      <c r="T156" s="77">
        <v>1</v>
      </c>
      <c r="U156" s="77">
        <v>0</v>
      </c>
      <c r="V156" s="77">
        <v>38</v>
      </c>
      <c r="W156" s="80" t="s">
        <v>5999</v>
      </c>
      <c r="X156" s="77"/>
      <c r="Y156" s="77"/>
      <c r="Z156" s="77"/>
      <c r="AA156" s="77"/>
      <c r="AB156" s="77"/>
      <c r="AC156" s="80" t="s">
        <v>10541</v>
      </c>
      <c r="AD156" s="77" t="s">
        <v>10618</v>
      </c>
      <c r="AE156" s="83" t="str">
        <f>HYPERLINK("https://twitter.com/webtcoficial/status/1655901998653251587")</f>
        <v>https://twitter.com/webtcoficial/status/1655901998653251587</v>
      </c>
      <c r="AF156" s="79">
        <v>45055.49046296296</v>
      </c>
      <c r="AG156" s="85">
        <v>45055</v>
      </c>
      <c r="AH156" s="80" t="s">
        <v>10764</v>
      </c>
      <c r="AI156" s="77"/>
      <c r="AJ156" s="77"/>
      <c r="AK156" s="77"/>
      <c r="AL156" s="77"/>
      <c r="AM156" s="77"/>
      <c r="AN156" s="77"/>
      <c r="AO156" s="77"/>
      <c r="AP156" s="77"/>
      <c r="AQ156" s="77"/>
      <c r="AR156" s="77"/>
      <c r="AS156" s="77"/>
      <c r="AT156" s="77"/>
      <c r="AU156" s="77"/>
      <c r="AV156" s="83" t="str">
        <f>HYPERLINK("https://pbs.twimg.com/profile_images/1533150462186295300/XvsnzVW9_normal.jpg")</f>
        <v>https://pbs.twimg.com/profile_images/1533150462186295300/XvsnzVW9_normal.jpg</v>
      </c>
      <c r="AW156" s="80" t="s">
        <v>16146</v>
      </c>
      <c r="AX156" s="80" t="s">
        <v>19965</v>
      </c>
      <c r="AY156" s="80" t="s">
        <v>20220</v>
      </c>
      <c r="AZ156" s="80" t="s">
        <v>20383</v>
      </c>
      <c r="BA156" s="80" t="s">
        <v>20380</v>
      </c>
      <c r="BB156" s="80" t="s">
        <v>20380</v>
      </c>
      <c r="BC156" s="80" t="s">
        <v>20383</v>
      </c>
      <c r="BD156" s="80" t="s">
        <v>20220</v>
      </c>
      <c r="BE156" s="77"/>
      <c r="BF156" s="77"/>
      <c r="BG156" s="77"/>
      <c r="BH156" s="77"/>
      <c r="BI156" s="77"/>
    </row>
    <row r="157" spans="1:61" x14ac:dyDescent="0.25">
      <c r="A157" s="62" t="s">
        <v>274</v>
      </c>
      <c r="B157" s="62" t="s">
        <v>274</v>
      </c>
      <c r="C157" s="63"/>
      <c r="D157" s="64"/>
      <c r="E157" s="65"/>
      <c r="F157" s="66"/>
      <c r="G157" s="63"/>
      <c r="H157" s="67"/>
      <c r="I157" s="68"/>
      <c r="J157" s="68"/>
      <c r="K157" s="32"/>
      <c r="L157" s="75">
        <v>157</v>
      </c>
      <c r="M157" s="75"/>
      <c r="N157" s="70"/>
      <c r="O157" s="77" t="s">
        <v>2078</v>
      </c>
      <c r="P157" s="79">
        <v>45146.084826388891</v>
      </c>
      <c r="Q157" s="77" t="s">
        <v>2219</v>
      </c>
      <c r="R157" s="77">
        <v>0</v>
      </c>
      <c r="S157" s="77">
        <v>0</v>
      </c>
      <c r="T157" s="77">
        <v>0</v>
      </c>
      <c r="U157" s="77">
        <v>0</v>
      </c>
      <c r="V157" s="77">
        <v>60</v>
      </c>
      <c r="W157" s="80" t="s">
        <v>6000</v>
      </c>
      <c r="X157" s="77"/>
      <c r="Y157" s="77"/>
      <c r="Z157" s="77"/>
      <c r="AA157" s="77"/>
      <c r="AB157" s="77"/>
      <c r="AC157" s="80" t="s">
        <v>10541</v>
      </c>
      <c r="AD157" s="77" t="s">
        <v>10618</v>
      </c>
      <c r="AE157" s="83" t="str">
        <f>HYPERLINK("https://twitter.com/webtcoficial/status/1688732296356974592")</f>
        <v>https://twitter.com/webtcoficial/status/1688732296356974592</v>
      </c>
      <c r="AF157" s="79">
        <v>45146.084826388891</v>
      </c>
      <c r="AG157" s="85">
        <v>45146</v>
      </c>
      <c r="AH157" s="80" t="s">
        <v>10765</v>
      </c>
      <c r="AI157" s="77"/>
      <c r="AJ157" s="77"/>
      <c r="AK157" s="77"/>
      <c r="AL157" s="77"/>
      <c r="AM157" s="77"/>
      <c r="AN157" s="77"/>
      <c r="AO157" s="77"/>
      <c r="AP157" s="77"/>
      <c r="AQ157" s="77"/>
      <c r="AR157" s="77"/>
      <c r="AS157" s="77"/>
      <c r="AT157" s="77"/>
      <c r="AU157" s="77"/>
      <c r="AV157" s="83" t="str">
        <f>HYPERLINK("https://pbs.twimg.com/profile_images/1533150462186295300/XvsnzVW9_normal.jpg")</f>
        <v>https://pbs.twimg.com/profile_images/1533150462186295300/XvsnzVW9_normal.jpg</v>
      </c>
      <c r="AW157" s="80" t="s">
        <v>16147</v>
      </c>
      <c r="AX157" s="80" t="s">
        <v>19966</v>
      </c>
      <c r="AY157" s="80" t="s">
        <v>20220</v>
      </c>
      <c r="AZ157" s="80" t="s">
        <v>20384</v>
      </c>
      <c r="BA157" s="80" t="s">
        <v>20380</v>
      </c>
      <c r="BB157" s="80" t="s">
        <v>20380</v>
      </c>
      <c r="BC157" s="80" t="s">
        <v>20384</v>
      </c>
      <c r="BD157" s="80" t="s">
        <v>20220</v>
      </c>
      <c r="BE157" s="77"/>
      <c r="BF157" s="77"/>
      <c r="BG157" s="77"/>
      <c r="BH157" s="77"/>
      <c r="BI157" s="77"/>
    </row>
    <row r="158" spans="1:61" x14ac:dyDescent="0.25">
      <c r="A158" s="62" t="s">
        <v>275</v>
      </c>
      <c r="B158" s="62" t="s">
        <v>1655</v>
      </c>
      <c r="C158" s="63"/>
      <c r="D158" s="64"/>
      <c r="E158" s="65"/>
      <c r="F158" s="66"/>
      <c r="G158" s="63"/>
      <c r="H158" s="67"/>
      <c r="I158" s="68"/>
      <c r="J158" s="68"/>
      <c r="K158" s="32"/>
      <c r="L158" s="75">
        <v>158</v>
      </c>
      <c r="M158" s="75"/>
      <c r="N158" s="70"/>
      <c r="O158" s="77" t="s">
        <v>2083</v>
      </c>
      <c r="P158" s="79">
        <v>45195.620925925927</v>
      </c>
      <c r="Q158" s="77" t="s">
        <v>2120</v>
      </c>
      <c r="R158" s="77">
        <v>57</v>
      </c>
      <c r="S158" s="77">
        <v>0</v>
      </c>
      <c r="T158" s="77">
        <v>0</v>
      </c>
      <c r="U158" s="77">
        <v>0</v>
      </c>
      <c r="V158" s="77"/>
      <c r="W158" s="80" t="s">
        <v>5917</v>
      </c>
      <c r="X158" s="77"/>
      <c r="Y158" s="77"/>
      <c r="Z158" s="77" t="s">
        <v>1655</v>
      </c>
      <c r="AA158" s="77"/>
      <c r="AB158" s="77"/>
      <c r="AC158" s="80" t="s">
        <v>10542</v>
      </c>
      <c r="AD158" s="77" t="s">
        <v>10617</v>
      </c>
      <c r="AE158" s="83" t="str">
        <f>HYPERLINK("https://twitter.com/eduardoegg2/status/1706683578929516667")</f>
        <v>https://twitter.com/eduardoegg2/status/1706683578929516667</v>
      </c>
      <c r="AF158" s="79">
        <v>45195.620925925927</v>
      </c>
      <c r="AG158" s="85">
        <v>45195</v>
      </c>
      <c r="AH158" s="80" t="s">
        <v>10766</v>
      </c>
      <c r="AI158" s="77"/>
      <c r="AJ158" s="77"/>
      <c r="AK158" s="77"/>
      <c r="AL158" s="77"/>
      <c r="AM158" s="77"/>
      <c r="AN158" s="77"/>
      <c r="AO158" s="77"/>
      <c r="AP158" s="77"/>
      <c r="AQ158" s="77"/>
      <c r="AR158" s="77"/>
      <c r="AS158" s="77"/>
      <c r="AT158" s="77"/>
      <c r="AU158" s="77"/>
      <c r="AV158" s="83" t="str">
        <f>HYPERLINK("https://pbs.twimg.com/profile_images/1108859018519461889/xoF7cYEw_normal.jpg")</f>
        <v>https://pbs.twimg.com/profile_images/1108859018519461889/xoF7cYEw_normal.jpg</v>
      </c>
      <c r="AW158" s="80" t="s">
        <v>16148</v>
      </c>
      <c r="AX158" s="80" t="s">
        <v>16148</v>
      </c>
      <c r="AY158" s="77"/>
      <c r="AZ158" s="80" t="s">
        <v>20380</v>
      </c>
      <c r="BA158" s="80" t="s">
        <v>20380</v>
      </c>
      <c r="BB158" s="80" t="s">
        <v>19843</v>
      </c>
      <c r="BC158" s="80" t="s">
        <v>19843</v>
      </c>
      <c r="BD158" s="80" t="s">
        <v>20520</v>
      </c>
      <c r="BE158" s="77"/>
      <c r="BF158" s="77"/>
      <c r="BG158" s="77"/>
      <c r="BH158" s="77"/>
      <c r="BI158" s="77"/>
    </row>
    <row r="159" spans="1:61" x14ac:dyDescent="0.25">
      <c r="A159" s="62" t="s">
        <v>276</v>
      </c>
      <c r="B159" s="62" t="s">
        <v>276</v>
      </c>
      <c r="C159" s="63"/>
      <c r="D159" s="64"/>
      <c r="E159" s="65"/>
      <c r="F159" s="66"/>
      <c r="G159" s="63"/>
      <c r="H159" s="67"/>
      <c r="I159" s="68"/>
      <c r="J159" s="68"/>
      <c r="K159" s="32"/>
      <c r="L159" s="75">
        <v>159</v>
      </c>
      <c r="M159" s="75"/>
      <c r="N159" s="70"/>
      <c r="O159" s="77" t="s">
        <v>2081</v>
      </c>
      <c r="P159" s="79">
        <v>45053.464502314811</v>
      </c>
      <c r="Q159" s="77" t="s">
        <v>2220</v>
      </c>
      <c r="R159" s="77">
        <v>0</v>
      </c>
      <c r="S159" s="77">
        <v>1</v>
      </c>
      <c r="T159" s="77">
        <v>0</v>
      </c>
      <c r="U159" s="77">
        <v>0</v>
      </c>
      <c r="V159" s="77">
        <v>65</v>
      </c>
      <c r="W159" s="80" t="s">
        <v>6001</v>
      </c>
      <c r="X159" s="77"/>
      <c r="Y159" s="77"/>
      <c r="Z159" s="77" t="s">
        <v>276</v>
      </c>
      <c r="AA159" s="77" t="s">
        <v>9079</v>
      </c>
      <c r="AB159" s="77" t="s">
        <v>10534</v>
      </c>
      <c r="AC159" s="80" t="s">
        <v>10540</v>
      </c>
      <c r="AD159" s="77" t="s">
        <v>10617</v>
      </c>
      <c r="AE159" s="83" t="str">
        <f>HYPERLINK("https://twitter.com/prmarcosbrasil1/status/1655167814884360193")</f>
        <v>https://twitter.com/prmarcosbrasil1/status/1655167814884360193</v>
      </c>
      <c r="AF159" s="79">
        <v>45053.464502314811</v>
      </c>
      <c r="AG159" s="85">
        <v>45053</v>
      </c>
      <c r="AH159" s="80" t="s">
        <v>10767</v>
      </c>
      <c r="AI159" s="77" t="b">
        <v>0</v>
      </c>
      <c r="AJ159" s="77"/>
      <c r="AK159" s="77"/>
      <c r="AL159" s="77"/>
      <c r="AM159" s="77"/>
      <c r="AN159" s="77"/>
      <c r="AO159" s="77"/>
      <c r="AP159" s="77"/>
      <c r="AQ159" s="77" t="s">
        <v>14561</v>
      </c>
      <c r="AR159" s="77">
        <v>107924</v>
      </c>
      <c r="AS159" s="77"/>
      <c r="AT159" s="77"/>
      <c r="AU159" s="77"/>
      <c r="AV159" s="83" t="str">
        <f>HYPERLINK("https://pbs.twimg.com/ext_tw_video_thumb/1655167741807009792/pu/img/J2NDrKu1VWImN7Vz.jpg")</f>
        <v>https://pbs.twimg.com/ext_tw_video_thumb/1655167741807009792/pu/img/J2NDrKu1VWImN7Vz.jpg</v>
      </c>
      <c r="AW159" s="80" t="s">
        <v>16149</v>
      </c>
      <c r="AX159" s="80" t="s">
        <v>16149</v>
      </c>
      <c r="AY159" s="77"/>
      <c r="AZ159" s="80" t="s">
        <v>20380</v>
      </c>
      <c r="BA159" s="80" t="s">
        <v>20380</v>
      </c>
      <c r="BB159" s="80" t="s">
        <v>20380</v>
      </c>
      <c r="BC159" s="80" t="s">
        <v>16149</v>
      </c>
      <c r="BD159" s="80" t="s">
        <v>20521</v>
      </c>
      <c r="BE159" s="77"/>
      <c r="BF159" s="77"/>
      <c r="BG159" s="77"/>
      <c r="BH159" s="77"/>
      <c r="BI159" s="77"/>
    </row>
    <row r="160" spans="1:61" x14ac:dyDescent="0.25">
      <c r="A160" s="62" t="s">
        <v>277</v>
      </c>
      <c r="B160" s="62" t="s">
        <v>277</v>
      </c>
      <c r="C160" s="63"/>
      <c r="D160" s="64"/>
      <c r="E160" s="65"/>
      <c r="F160" s="66"/>
      <c r="G160" s="63"/>
      <c r="H160" s="67"/>
      <c r="I160" s="68"/>
      <c r="J160" s="68"/>
      <c r="K160" s="32"/>
      <c r="L160" s="75">
        <v>160</v>
      </c>
      <c r="M160" s="75"/>
      <c r="N160" s="70"/>
      <c r="O160" s="77" t="s">
        <v>179</v>
      </c>
      <c r="P160" s="79">
        <v>45190.123310185183</v>
      </c>
      <c r="Q160" s="77" t="s">
        <v>2221</v>
      </c>
      <c r="R160" s="77">
        <v>0</v>
      </c>
      <c r="S160" s="77">
        <v>0</v>
      </c>
      <c r="T160" s="77">
        <v>0</v>
      </c>
      <c r="U160" s="77">
        <v>0</v>
      </c>
      <c r="V160" s="77">
        <v>29</v>
      </c>
      <c r="W160" s="80" t="s">
        <v>6002</v>
      </c>
      <c r="X160" s="77"/>
      <c r="Y160" s="77"/>
      <c r="Z160" s="77"/>
      <c r="AA160" s="77" t="s">
        <v>9080</v>
      </c>
      <c r="AB160" s="77" t="s">
        <v>10535</v>
      </c>
      <c r="AC160" s="80" t="s">
        <v>10540</v>
      </c>
      <c r="AD160" s="77" t="s">
        <v>10617</v>
      </c>
      <c r="AE160" s="83" t="str">
        <f>HYPERLINK("https://twitter.com/quebradob/status/1704691307677913253")</f>
        <v>https://twitter.com/quebradob/status/1704691307677913253</v>
      </c>
      <c r="AF160" s="79">
        <v>45190.123310185183</v>
      </c>
      <c r="AG160" s="85">
        <v>45190</v>
      </c>
      <c r="AH160" s="80" t="s">
        <v>10768</v>
      </c>
      <c r="AI160" s="77" t="b">
        <v>0</v>
      </c>
      <c r="AJ160" s="77" t="s">
        <v>14341</v>
      </c>
      <c r="AK160" s="77" t="s">
        <v>14382</v>
      </c>
      <c r="AL160" s="77" t="s">
        <v>14391</v>
      </c>
      <c r="AM160" s="77" t="s">
        <v>14400</v>
      </c>
      <c r="AN160" s="77" t="s">
        <v>14438</v>
      </c>
      <c r="AO160" s="77" t="s">
        <v>14479</v>
      </c>
      <c r="AP160" s="77" t="s">
        <v>14516</v>
      </c>
      <c r="AQ160" s="77" t="s">
        <v>14562</v>
      </c>
      <c r="AR160" s="77"/>
      <c r="AS160" s="77"/>
      <c r="AT160" s="77"/>
      <c r="AU160" s="77"/>
      <c r="AV160" s="83" t="str">
        <f>HYPERLINK("https://pbs.twimg.com/media/F6hHtRLWYAAWYbW.jpg")</f>
        <v>https://pbs.twimg.com/media/F6hHtRLWYAAWYbW.jpg</v>
      </c>
      <c r="AW160" s="80" t="s">
        <v>16150</v>
      </c>
      <c r="AX160" s="80" t="s">
        <v>16150</v>
      </c>
      <c r="AY160" s="77"/>
      <c r="AZ160" s="80" t="s">
        <v>20380</v>
      </c>
      <c r="BA160" s="80" t="s">
        <v>20380</v>
      </c>
      <c r="BB160" s="80" t="s">
        <v>20380</v>
      </c>
      <c r="BC160" s="80" t="s">
        <v>16150</v>
      </c>
      <c r="BD160" s="80" t="s">
        <v>20522</v>
      </c>
      <c r="BE160" s="77"/>
      <c r="BF160" s="77"/>
      <c r="BG160" s="77"/>
      <c r="BH160" s="77"/>
      <c r="BI160" s="77"/>
    </row>
    <row r="161" spans="1:61" x14ac:dyDescent="0.25">
      <c r="A161" s="62" t="s">
        <v>278</v>
      </c>
      <c r="B161" s="62" t="s">
        <v>1650</v>
      </c>
      <c r="C161" s="63"/>
      <c r="D161" s="64"/>
      <c r="E161" s="65"/>
      <c r="F161" s="66"/>
      <c r="G161" s="63"/>
      <c r="H161" s="67"/>
      <c r="I161" s="68"/>
      <c r="J161" s="68"/>
      <c r="K161" s="32"/>
      <c r="L161" s="75">
        <v>161</v>
      </c>
      <c r="M161" s="75"/>
      <c r="N161" s="70"/>
      <c r="O161" s="77" t="s">
        <v>2081</v>
      </c>
      <c r="P161" s="79">
        <v>45107.509629629632</v>
      </c>
      <c r="Q161" s="77" t="s">
        <v>2222</v>
      </c>
      <c r="R161" s="77">
        <v>18</v>
      </c>
      <c r="S161" s="77">
        <v>40</v>
      </c>
      <c r="T161" s="77">
        <v>0</v>
      </c>
      <c r="U161" s="77">
        <v>2</v>
      </c>
      <c r="V161" s="77">
        <v>982</v>
      </c>
      <c r="W161" s="80" t="s">
        <v>6003</v>
      </c>
      <c r="X161" s="77"/>
      <c r="Y161" s="77"/>
      <c r="Z161" s="77" t="s">
        <v>8907</v>
      </c>
      <c r="AA161" s="77" t="s">
        <v>9081</v>
      </c>
      <c r="AB161" s="77" t="s">
        <v>10534</v>
      </c>
      <c r="AC161" s="80" t="s">
        <v>10540</v>
      </c>
      <c r="AD161" s="77" t="s">
        <v>10617</v>
      </c>
      <c r="AE161" s="83" t="str">
        <f>HYPERLINK("https://twitter.com/linsdoceara/status/1674753113004097536")</f>
        <v>https://twitter.com/linsdoceara/status/1674753113004097536</v>
      </c>
      <c r="AF161" s="79">
        <v>45107.509629629632</v>
      </c>
      <c r="AG161" s="85">
        <v>45107</v>
      </c>
      <c r="AH161" s="80" t="s">
        <v>10769</v>
      </c>
      <c r="AI161" s="77" t="b">
        <v>0</v>
      </c>
      <c r="AJ161" s="77" t="s">
        <v>14342</v>
      </c>
      <c r="AK161" s="77" t="s">
        <v>14382</v>
      </c>
      <c r="AL161" s="77" t="s">
        <v>14391</v>
      </c>
      <c r="AM161" s="77" t="s">
        <v>14401</v>
      </c>
      <c r="AN161" s="77" t="s">
        <v>14439</v>
      </c>
      <c r="AO161" s="77" t="s">
        <v>14480</v>
      </c>
      <c r="AP161" s="77" t="s">
        <v>14517</v>
      </c>
      <c r="AQ161" s="77" t="s">
        <v>14563</v>
      </c>
      <c r="AR161" s="77">
        <v>46508</v>
      </c>
      <c r="AS161" s="77"/>
      <c r="AT161" s="77"/>
      <c r="AU161" s="77"/>
      <c r="AV161" s="83" t="str">
        <f>HYPERLINK("https://pbs.twimg.com/ext_tw_video_thumb/1674753049615638528/pu/img/I338TK2-lBDkYaCX.jpg")</f>
        <v>https://pbs.twimg.com/ext_tw_video_thumb/1674753049615638528/pu/img/I338TK2-lBDkYaCX.jpg</v>
      </c>
      <c r="AW161" s="80" t="s">
        <v>16151</v>
      </c>
      <c r="AX161" s="80" t="s">
        <v>16151</v>
      </c>
      <c r="AY161" s="77"/>
      <c r="AZ161" s="80" t="s">
        <v>20380</v>
      </c>
      <c r="BA161" s="80" t="s">
        <v>20380</v>
      </c>
      <c r="BB161" s="80" t="s">
        <v>20380</v>
      </c>
      <c r="BC161" s="80" t="s">
        <v>16151</v>
      </c>
      <c r="BD161" s="77">
        <v>861499507</v>
      </c>
      <c r="BE161" s="77"/>
      <c r="BF161" s="77"/>
      <c r="BG161" s="77"/>
      <c r="BH161" s="77"/>
      <c r="BI161" s="77"/>
    </row>
    <row r="162" spans="1:61" x14ac:dyDescent="0.25">
      <c r="A162" s="62" t="s">
        <v>278</v>
      </c>
      <c r="B162" s="62" t="s">
        <v>1650</v>
      </c>
      <c r="C162" s="63"/>
      <c r="D162" s="64"/>
      <c r="E162" s="65"/>
      <c r="F162" s="66"/>
      <c r="G162" s="63"/>
      <c r="H162" s="67"/>
      <c r="I162" s="68"/>
      <c r="J162" s="68"/>
      <c r="K162" s="32"/>
      <c r="L162" s="75">
        <v>162</v>
      </c>
      <c r="M162" s="75"/>
      <c r="N162" s="70"/>
      <c r="O162" s="77" t="s">
        <v>2081</v>
      </c>
      <c r="P162" s="79">
        <v>45107.509629629632</v>
      </c>
      <c r="Q162" s="77" t="s">
        <v>2222</v>
      </c>
      <c r="R162" s="77">
        <v>18</v>
      </c>
      <c r="S162" s="77">
        <v>40</v>
      </c>
      <c r="T162" s="77">
        <v>0</v>
      </c>
      <c r="U162" s="77">
        <v>2</v>
      </c>
      <c r="V162" s="77">
        <v>982</v>
      </c>
      <c r="W162" s="80" t="s">
        <v>6003</v>
      </c>
      <c r="X162" s="77"/>
      <c r="Y162" s="77"/>
      <c r="Z162" s="77" t="s">
        <v>8907</v>
      </c>
      <c r="AA162" s="77" t="s">
        <v>9081</v>
      </c>
      <c r="AB162" s="77" t="s">
        <v>10534</v>
      </c>
      <c r="AC162" s="80" t="s">
        <v>10540</v>
      </c>
      <c r="AD162" s="77" t="s">
        <v>10617</v>
      </c>
      <c r="AE162" s="83" t="str">
        <f>HYPERLINK("https://twitter.com/linsdoceara/status/1674753113004097536")</f>
        <v>https://twitter.com/linsdoceara/status/1674753113004097536</v>
      </c>
      <c r="AF162" s="79">
        <v>45107.509629629632</v>
      </c>
      <c r="AG162" s="85">
        <v>45107</v>
      </c>
      <c r="AH162" s="80" t="s">
        <v>10769</v>
      </c>
      <c r="AI162" s="77" t="b">
        <v>0</v>
      </c>
      <c r="AJ162" s="77" t="s">
        <v>14342</v>
      </c>
      <c r="AK162" s="77" t="s">
        <v>14382</v>
      </c>
      <c r="AL162" s="77" t="s">
        <v>14391</v>
      </c>
      <c r="AM162" s="77" t="s">
        <v>14401</v>
      </c>
      <c r="AN162" s="77" t="s">
        <v>14439</v>
      </c>
      <c r="AO162" s="77" t="s">
        <v>14480</v>
      </c>
      <c r="AP162" s="77" t="s">
        <v>14517</v>
      </c>
      <c r="AQ162" s="77" t="s">
        <v>14563</v>
      </c>
      <c r="AR162" s="77">
        <v>46508</v>
      </c>
      <c r="AS162" s="77"/>
      <c r="AT162" s="77"/>
      <c r="AU162" s="77"/>
      <c r="AV162" s="83" t="str">
        <f>HYPERLINK("https://pbs.twimg.com/ext_tw_video_thumb/1674753049615638528/pu/img/I338TK2-lBDkYaCX.jpg")</f>
        <v>https://pbs.twimg.com/ext_tw_video_thumb/1674753049615638528/pu/img/I338TK2-lBDkYaCX.jpg</v>
      </c>
      <c r="AW162" s="80" t="s">
        <v>16151</v>
      </c>
      <c r="AX162" s="80" t="s">
        <v>16151</v>
      </c>
      <c r="AY162" s="77"/>
      <c r="AZ162" s="80" t="s">
        <v>20380</v>
      </c>
      <c r="BA162" s="80" t="s">
        <v>20380</v>
      </c>
      <c r="BB162" s="80" t="s">
        <v>20380</v>
      </c>
      <c r="BC162" s="80" t="s">
        <v>16151</v>
      </c>
      <c r="BD162" s="77">
        <v>861499507</v>
      </c>
      <c r="BE162" s="77"/>
      <c r="BF162" s="77"/>
      <c r="BG162" s="77"/>
      <c r="BH162" s="77"/>
      <c r="BI162" s="77"/>
    </row>
    <row r="163" spans="1:61" x14ac:dyDescent="0.25">
      <c r="A163" s="62" t="s">
        <v>279</v>
      </c>
      <c r="B163" s="62" t="s">
        <v>279</v>
      </c>
      <c r="C163" s="63"/>
      <c r="D163" s="64"/>
      <c r="E163" s="65"/>
      <c r="F163" s="66"/>
      <c r="G163" s="63"/>
      <c r="H163" s="67"/>
      <c r="I163" s="68"/>
      <c r="J163" s="68"/>
      <c r="K163" s="32"/>
      <c r="L163" s="75">
        <v>163</v>
      </c>
      <c r="M163" s="75"/>
      <c r="N163" s="70"/>
      <c r="O163" s="77" t="s">
        <v>179</v>
      </c>
      <c r="P163" s="79">
        <v>45050.823854166665</v>
      </c>
      <c r="Q163" s="77" t="s">
        <v>2223</v>
      </c>
      <c r="R163" s="77">
        <v>2</v>
      </c>
      <c r="S163" s="77">
        <v>2</v>
      </c>
      <c r="T163" s="77">
        <v>0</v>
      </c>
      <c r="U163" s="77">
        <v>0</v>
      </c>
      <c r="V163" s="77">
        <v>89</v>
      </c>
      <c r="W163" s="80" t="s">
        <v>6004</v>
      </c>
      <c r="X163" s="83" t="str">
        <f>HYPERLINK("https://bit.ly/3ntbdOt")</f>
        <v>https://bit.ly/3ntbdOt</v>
      </c>
      <c r="Y163" s="77" t="s">
        <v>8618</v>
      </c>
      <c r="Z163" s="77"/>
      <c r="AA163" s="77" t="s">
        <v>9082</v>
      </c>
      <c r="AB163" s="77" t="s">
        <v>10535</v>
      </c>
      <c r="AC163" s="80" t="s">
        <v>10541</v>
      </c>
      <c r="AD163" s="77" t="s">
        <v>10617</v>
      </c>
      <c r="AE163" s="83" t="str">
        <f>HYPERLINK("https://twitter.com/pcdobnacamara/status/1654210877896241153")</f>
        <v>https://twitter.com/pcdobnacamara/status/1654210877896241153</v>
      </c>
      <c r="AF163" s="79">
        <v>45050.823854166665</v>
      </c>
      <c r="AG163" s="85">
        <v>45050</v>
      </c>
      <c r="AH163" s="80" t="s">
        <v>10770</v>
      </c>
      <c r="AI163" s="77" t="b">
        <v>0</v>
      </c>
      <c r="AJ163" s="77"/>
      <c r="AK163" s="77"/>
      <c r="AL163" s="77"/>
      <c r="AM163" s="77"/>
      <c r="AN163" s="77"/>
      <c r="AO163" s="77"/>
      <c r="AP163" s="77"/>
      <c r="AQ163" s="77" t="s">
        <v>14564</v>
      </c>
      <c r="AR163" s="77"/>
      <c r="AS163" s="77"/>
      <c r="AT163" s="77"/>
      <c r="AU163" s="77"/>
      <c r="AV163" s="83" t="str">
        <f>HYPERLINK("https://pbs.twimg.com/media/FvTvyOjWIAAY_-7.jpg")</f>
        <v>https://pbs.twimg.com/media/FvTvyOjWIAAY_-7.jpg</v>
      </c>
      <c r="AW163" s="80" t="s">
        <v>16152</v>
      </c>
      <c r="AX163" s="80" t="s">
        <v>16152</v>
      </c>
      <c r="AY163" s="77"/>
      <c r="AZ163" s="80" t="s">
        <v>20380</v>
      </c>
      <c r="BA163" s="80" t="s">
        <v>20380</v>
      </c>
      <c r="BB163" s="80" t="s">
        <v>20380</v>
      </c>
      <c r="BC163" s="80" t="s">
        <v>16152</v>
      </c>
      <c r="BD163" s="77">
        <v>218618223</v>
      </c>
      <c r="BE163" s="77"/>
      <c r="BF163" s="77"/>
      <c r="BG163" s="77"/>
      <c r="BH163" s="77"/>
      <c r="BI163" s="77"/>
    </row>
    <row r="164" spans="1:61" x14ac:dyDescent="0.25">
      <c r="A164" s="62" t="s">
        <v>280</v>
      </c>
      <c r="B164" s="62" t="s">
        <v>1655</v>
      </c>
      <c r="C164" s="63"/>
      <c r="D164" s="64"/>
      <c r="E164" s="65"/>
      <c r="F164" s="66"/>
      <c r="G164" s="63"/>
      <c r="H164" s="67"/>
      <c r="I164" s="68"/>
      <c r="J164" s="68"/>
      <c r="K164" s="32"/>
      <c r="L164" s="75">
        <v>164</v>
      </c>
      <c r="M164" s="75"/>
      <c r="N164" s="70"/>
      <c r="O164" s="77" t="s">
        <v>2083</v>
      </c>
      <c r="P164" s="79">
        <v>45191.01394675926</v>
      </c>
      <c r="Q164" s="77" t="s">
        <v>2120</v>
      </c>
      <c r="R164" s="77">
        <v>57</v>
      </c>
      <c r="S164" s="77">
        <v>0</v>
      </c>
      <c r="T164" s="77">
        <v>0</v>
      </c>
      <c r="U164" s="77">
        <v>0</v>
      </c>
      <c r="V164" s="77"/>
      <c r="W164" s="80" t="s">
        <v>5917</v>
      </c>
      <c r="X164" s="77"/>
      <c r="Y164" s="77"/>
      <c r="Z164" s="77" t="s">
        <v>1655</v>
      </c>
      <c r="AA164" s="77"/>
      <c r="AB164" s="77"/>
      <c r="AC164" s="80" t="s">
        <v>10540</v>
      </c>
      <c r="AD164" s="77" t="s">
        <v>10617</v>
      </c>
      <c r="AE164" s="83" t="str">
        <f>HYPERLINK("https://twitter.com/nbertynos/status/1705014064559100351")</f>
        <v>https://twitter.com/nbertynos/status/1705014064559100351</v>
      </c>
      <c r="AF164" s="79">
        <v>45191.01394675926</v>
      </c>
      <c r="AG164" s="85">
        <v>45191</v>
      </c>
      <c r="AH164" s="80" t="s">
        <v>10771</v>
      </c>
      <c r="AI164" s="77"/>
      <c r="AJ164" s="77"/>
      <c r="AK164" s="77"/>
      <c r="AL164" s="77"/>
      <c r="AM164" s="77"/>
      <c r="AN164" s="77"/>
      <c r="AO164" s="77"/>
      <c r="AP164" s="77"/>
      <c r="AQ164" s="77"/>
      <c r="AR164" s="77"/>
      <c r="AS164" s="77"/>
      <c r="AT164" s="77"/>
      <c r="AU164" s="77"/>
      <c r="AV164" s="83" t="str">
        <f>HYPERLINK("https://pbs.twimg.com/profile_images/1703884721619374080/UNya3x6h_normal.jpg")</f>
        <v>https://pbs.twimg.com/profile_images/1703884721619374080/UNya3x6h_normal.jpg</v>
      </c>
      <c r="AW164" s="80" t="s">
        <v>16153</v>
      </c>
      <c r="AX164" s="80" t="s">
        <v>16153</v>
      </c>
      <c r="AY164" s="77"/>
      <c r="AZ164" s="80" t="s">
        <v>20380</v>
      </c>
      <c r="BA164" s="80" t="s">
        <v>20380</v>
      </c>
      <c r="BB164" s="80" t="s">
        <v>19843</v>
      </c>
      <c r="BC164" s="80" t="s">
        <v>19843</v>
      </c>
      <c r="BD164" s="80" t="s">
        <v>20523</v>
      </c>
      <c r="BE164" s="77"/>
      <c r="BF164" s="77"/>
      <c r="BG164" s="77"/>
      <c r="BH164" s="77"/>
      <c r="BI164" s="77"/>
    </row>
    <row r="165" spans="1:61" x14ac:dyDescent="0.25">
      <c r="A165" s="62" t="s">
        <v>281</v>
      </c>
      <c r="B165" s="62" t="s">
        <v>281</v>
      </c>
      <c r="C165" s="63"/>
      <c r="D165" s="64"/>
      <c r="E165" s="65"/>
      <c r="F165" s="66"/>
      <c r="G165" s="63"/>
      <c r="H165" s="67"/>
      <c r="I165" s="68"/>
      <c r="J165" s="68"/>
      <c r="K165" s="32"/>
      <c r="L165" s="75">
        <v>165</v>
      </c>
      <c r="M165" s="75"/>
      <c r="N165" s="70"/>
      <c r="O165" s="77" t="s">
        <v>179</v>
      </c>
      <c r="P165" s="79">
        <v>45099.903078703705</v>
      </c>
      <c r="Q165" s="77" t="s">
        <v>2224</v>
      </c>
      <c r="R165" s="77">
        <v>0</v>
      </c>
      <c r="S165" s="77">
        <v>0</v>
      </c>
      <c r="T165" s="77">
        <v>0</v>
      </c>
      <c r="U165" s="77">
        <v>0</v>
      </c>
      <c r="V165" s="77">
        <v>57</v>
      </c>
      <c r="W165" s="80" t="s">
        <v>6005</v>
      </c>
      <c r="X165" s="77"/>
      <c r="Y165" s="77"/>
      <c r="Z165" s="77"/>
      <c r="AA165" s="77" t="s">
        <v>9083</v>
      </c>
      <c r="AB165" s="77" t="s">
        <v>10535</v>
      </c>
      <c r="AC165" s="80" t="s">
        <v>10541</v>
      </c>
      <c r="AD165" s="77" t="s">
        <v>10617</v>
      </c>
      <c r="AE165" s="83" t="str">
        <f>HYPERLINK("https://twitter.com/spina_matheus/status/1671996593535430666")</f>
        <v>https://twitter.com/spina_matheus/status/1671996593535430666</v>
      </c>
      <c r="AF165" s="79">
        <v>45099.903078703705</v>
      </c>
      <c r="AG165" s="85">
        <v>45099</v>
      </c>
      <c r="AH165" s="80" t="s">
        <v>10772</v>
      </c>
      <c r="AI165" s="77" t="b">
        <v>0</v>
      </c>
      <c r="AJ165" s="77"/>
      <c r="AK165" s="77"/>
      <c r="AL165" s="77"/>
      <c r="AM165" s="77"/>
      <c r="AN165" s="77"/>
      <c r="AO165" s="77"/>
      <c r="AP165" s="77"/>
      <c r="AQ165" s="77" t="s">
        <v>14565</v>
      </c>
      <c r="AR165" s="77"/>
      <c r="AS165" s="77"/>
      <c r="AT165" s="77"/>
      <c r="AU165" s="77"/>
      <c r="AV165" s="83" t="str">
        <f>HYPERLINK("https://pbs.twimg.com/media/FzQfZI5WwAAgyRr.png")</f>
        <v>https://pbs.twimg.com/media/FzQfZI5WwAAgyRr.png</v>
      </c>
      <c r="AW165" s="80" t="s">
        <v>16154</v>
      </c>
      <c r="AX165" s="80" t="s">
        <v>16154</v>
      </c>
      <c r="AY165" s="77"/>
      <c r="AZ165" s="80" t="s">
        <v>20380</v>
      </c>
      <c r="BA165" s="80" t="s">
        <v>20380</v>
      </c>
      <c r="BB165" s="80" t="s">
        <v>20380</v>
      </c>
      <c r="BC165" s="80" t="s">
        <v>16154</v>
      </c>
      <c r="BD165" s="80" t="s">
        <v>20524</v>
      </c>
      <c r="BE165" s="77"/>
      <c r="BF165" s="77"/>
      <c r="BG165" s="77"/>
      <c r="BH165" s="77"/>
      <c r="BI165" s="77"/>
    </row>
    <row r="166" spans="1:61" x14ac:dyDescent="0.25">
      <c r="A166" s="62" t="s">
        <v>282</v>
      </c>
      <c r="B166" s="62" t="s">
        <v>282</v>
      </c>
      <c r="C166" s="63"/>
      <c r="D166" s="64"/>
      <c r="E166" s="65"/>
      <c r="F166" s="66"/>
      <c r="G166" s="63"/>
      <c r="H166" s="67"/>
      <c r="I166" s="68"/>
      <c r="J166" s="68"/>
      <c r="K166" s="32"/>
      <c r="L166" s="75">
        <v>166</v>
      </c>
      <c r="M166" s="75"/>
      <c r="N166" s="70"/>
      <c r="O166" s="77" t="s">
        <v>179</v>
      </c>
      <c r="P166" s="79">
        <v>45090.042743055557</v>
      </c>
      <c r="Q166" s="77" t="s">
        <v>2225</v>
      </c>
      <c r="R166" s="77">
        <v>0</v>
      </c>
      <c r="S166" s="77">
        <v>0</v>
      </c>
      <c r="T166" s="77">
        <v>0</v>
      </c>
      <c r="U166" s="77">
        <v>0</v>
      </c>
      <c r="V166" s="77">
        <v>2</v>
      </c>
      <c r="W166" s="80" t="s">
        <v>6006</v>
      </c>
      <c r="X166" s="83" t="str">
        <f>HYPERLINK("https://i.mtr.cool/uaboqcezpj")</f>
        <v>https://i.mtr.cool/uaboqcezpj</v>
      </c>
      <c r="Y166" s="77" t="s">
        <v>8632</v>
      </c>
      <c r="Z166" s="77"/>
      <c r="AA166" s="77"/>
      <c r="AB166" s="77"/>
      <c r="AC166" s="80" t="s">
        <v>10543</v>
      </c>
      <c r="AD166" s="77" t="s">
        <v>10620</v>
      </c>
      <c r="AE166" s="83" t="str">
        <f>HYPERLINK("https://twitter.com/brokersanalisis/status/1668423327533203456")</f>
        <v>https://twitter.com/brokersanalisis/status/1668423327533203456</v>
      </c>
      <c r="AF166" s="79">
        <v>45090.042743055557</v>
      </c>
      <c r="AG166" s="85">
        <v>45090</v>
      </c>
      <c r="AH166" s="80" t="s">
        <v>10773</v>
      </c>
      <c r="AI166" s="77" t="b">
        <v>0</v>
      </c>
      <c r="AJ166" s="77"/>
      <c r="AK166" s="77"/>
      <c r="AL166" s="77"/>
      <c r="AM166" s="77"/>
      <c r="AN166" s="77"/>
      <c r="AO166" s="77"/>
      <c r="AP166" s="77"/>
      <c r="AQ166" s="77"/>
      <c r="AR166" s="77"/>
      <c r="AS166" s="77"/>
      <c r="AT166" s="77"/>
      <c r="AU166" s="77"/>
      <c r="AV166" s="83" t="str">
        <f>HYPERLINK("https://pbs.twimg.com/profile_images/1580935343716671488/Kl1_urhB_normal.jpg")</f>
        <v>https://pbs.twimg.com/profile_images/1580935343716671488/Kl1_urhB_normal.jpg</v>
      </c>
      <c r="AW166" s="80" t="s">
        <v>16155</v>
      </c>
      <c r="AX166" s="80" t="s">
        <v>16155</v>
      </c>
      <c r="AY166" s="77"/>
      <c r="AZ166" s="80" t="s">
        <v>20380</v>
      </c>
      <c r="BA166" s="80" t="s">
        <v>20380</v>
      </c>
      <c r="BB166" s="80" t="s">
        <v>20380</v>
      </c>
      <c r="BC166" s="80" t="s">
        <v>16155</v>
      </c>
      <c r="BD166" s="80" t="s">
        <v>20525</v>
      </c>
      <c r="BE166" s="77"/>
      <c r="BF166" s="77"/>
      <c r="BG166" s="77"/>
      <c r="BH166" s="77"/>
      <c r="BI166" s="77"/>
    </row>
    <row r="167" spans="1:61" x14ac:dyDescent="0.25">
      <c r="A167" s="62" t="s">
        <v>283</v>
      </c>
      <c r="B167" s="62" t="s">
        <v>1655</v>
      </c>
      <c r="C167" s="63"/>
      <c r="D167" s="64"/>
      <c r="E167" s="65"/>
      <c r="F167" s="66"/>
      <c r="G167" s="63"/>
      <c r="H167" s="67"/>
      <c r="I167" s="68"/>
      <c r="J167" s="68"/>
      <c r="K167" s="32"/>
      <c r="L167" s="75">
        <v>167</v>
      </c>
      <c r="M167" s="75"/>
      <c r="N167" s="70"/>
      <c r="O167" s="77" t="s">
        <v>2083</v>
      </c>
      <c r="P167" s="79">
        <v>45191.023275462961</v>
      </c>
      <c r="Q167" s="77" t="s">
        <v>2120</v>
      </c>
      <c r="R167" s="77">
        <v>57</v>
      </c>
      <c r="S167" s="77">
        <v>0</v>
      </c>
      <c r="T167" s="77">
        <v>0</v>
      </c>
      <c r="U167" s="77">
        <v>0</v>
      </c>
      <c r="V167" s="77"/>
      <c r="W167" s="80" t="s">
        <v>5917</v>
      </c>
      <c r="X167" s="77"/>
      <c r="Y167" s="77"/>
      <c r="Z167" s="77" t="s">
        <v>1655</v>
      </c>
      <c r="AA167" s="77"/>
      <c r="AB167" s="77"/>
      <c r="AC167" s="80" t="s">
        <v>10540</v>
      </c>
      <c r="AD167" s="77" t="s">
        <v>10617</v>
      </c>
      <c r="AE167" s="83" t="str">
        <f>HYPERLINK("https://twitter.com/melo_jorge1760/status/1705017445692407835")</f>
        <v>https://twitter.com/melo_jorge1760/status/1705017445692407835</v>
      </c>
      <c r="AF167" s="79">
        <v>45191.023275462961</v>
      </c>
      <c r="AG167" s="85">
        <v>45191</v>
      </c>
      <c r="AH167" s="80" t="s">
        <v>10774</v>
      </c>
      <c r="AI167" s="77"/>
      <c r="AJ167" s="77"/>
      <c r="AK167" s="77"/>
      <c r="AL167" s="77"/>
      <c r="AM167" s="77"/>
      <c r="AN167" s="77"/>
      <c r="AO167" s="77"/>
      <c r="AP167" s="77"/>
      <c r="AQ167" s="77"/>
      <c r="AR167" s="77"/>
      <c r="AS167" s="77"/>
      <c r="AT167" s="77"/>
      <c r="AU167" s="77"/>
      <c r="AV167" s="83" t="str">
        <f>HYPERLINK("https://pbs.twimg.com/profile_images/1693282048939544576/FEEdOTdG_normal.jpg")</f>
        <v>https://pbs.twimg.com/profile_images/1693282048939544576/FEEdOTdG_normal.jpg</v>
      </c>
      <c r="AW167" s="80" t="s">
        <v>16156</v>
      </c>
      <c r="AX167" s="80" t="s">
        <v>16156</v>
      </c>
      <c r="AY167" s="77"/>
      <c r="AZ167" s="80" t="s">
        <v>20380</v>
      </c>
      <c r="BA167" s="80" t="s">
        <v>20380</v>
      </c>
      <c r="BB167" s="80" t="s">
        <v>19843</v>
      </c>
      <c r="BC167" s="80" t="s">
        <v>19843</v>
      </c>
      <c r="BD167" s="80" t="s">
        <v>20526</v>
      </c>
      <c r="BE167" s="77"/>
      <c r="BF167" s="77"/>
      <c r="BG167" s="77"/>
      <c r="BH167" s="77"/>
      <c r="BI167" s="77"/>
    </row>
    <row r="168" spans="1:61" x14ac:dyDescent="0.25">
      <c r="A168" s="62" t="s">
        <v>284</v>
      </c>
      <c r="B168" s="62" t="s">
        <v>284</v>
      </c>
      <c r="C168" s="63"/>
      <c r="D168" s="64"/>
      <c r="E168" s="65"/>
      <c r="F168" s="66"/>
      <c r="G168" s="63"/>
      <c r="H168" s="67"/>
      <c r="I168" s="68"/>
      <c r="J168" s="68"/>
      <c r="K168" s="32"/>
      <c r="L168" s="75">
        <v>168</v>
      </c>
      <c r="M168" s="75"/>
      <c r="N168" s="70"/>
      <c r="O168" s="77" t="s">
        <v>179</v>
      </c>
      <c r="P168" s="79">
        <v>45105.650289351855</v>
      </c>
      <c r="Q168" s="77" t="s">
        <v>2226</v>
      </c>
      <c r="R168" s="77">
        <v>0</v>
      </c>
      <c r="S168" s="77">
        <v>1</v>
      </c>
      <c r="T168" s="77">
        <v>0</v>
      </c>
      <c r="U168" s="77">
        <v>0</v>
      </c>
      <c r="V168" s="77">
        <v>13</v>
      </c>
      <c r="W168" s="80" t="s">
        <v>6007</v>
      </c>
      <c r="X168" s="83" t="str">
        <f>HYPERLINK("https://bit.ly/3r342hk")</f>
        <v>https://bit.ly/3r342hk</v>
      </c>
      <c r="Y168" s="77" t="s">
        <v>8618</v>
      </c>
      <c r="Z168" s="77"/>
      <c r="AA168" s="77"/>
      <c r="AB168" s="77"/>
      <c r="AC168" s="80" t="s">
        <v>10542</v>
      </c>
      <c r="AD168" s="77" t="s">
        <v>10617</v>
      </c>
      <c r="AE168" s="83" t="str">
        <f>HYPERLINK("https://twitter.com/portalconvenios/status/1674079311219892224")</f>
        <v>https://twitter.com/portalconvenios/status/1674079311219892224</v>
      </c>
      <c r="AF168" s="79">
        <v>45105.650289351855</v>
      </c>
      <c r="AG168" s="85">
        <v>45105</v>
      </c>
      <c r="AH168" s="80" t="s">
        <v>10775</v>
      </c>
      <c r="AI168" s="77" t="b">
        <v>0</v>
      </c>
      <c r="AJ168" s="77"/>
      <c r="AK168" s="77"/>
      <c r="AL168" s="77"/>
      <c r="AM168" s="77"/>
      <c r="AN168" s="77"/>
      <c r="AO168" s="77"/>
      <c r="AP168" s="77"/>
      <c r="AQ168" s="77"/>
      <c r="AR168" s="77"/>
      <c r="AS168" s="77"/>
      <c r="AT168" s="77"/>
      <c r="AU168" s="77"/>
      <c r="AV168" s="83" t="str">
        <f>HYPERLINK("https://pbs.twimg.com/profile_images/1629615809248075777/vsgkv-Tr_normal.jpg")</f>
        <v>https://pbs.twimg.com/profile_images/1629615809248075777/vsgkv-Tr_normal.jpg</v>
      </c>
      <c r="AW168" s="80" t="s">
        <v>16157</v>
      </c>
      <c r="AX168" s="80" t="s">
        <v>16157</v>
      </c>
      <c r="AY168" s="77"/>
      <c r="AZ168" s="80" t="s">
        <v>20380</v>
      </c>
      <c r="BA168" s="80" t="s">
        <v>20380</v>
      </c>
      <c r="BB168" s="80" t="s">
        <v>20380</v>
      </c>
      <c r="BC168" s="80" t="s">
        <v>16157</v>
      </c>
      <c r="BD168" s="80" t="s">
        <v>20527</v>
      </c>
      <c r="BE168" s="77"/>
      <c r="BF168" s="77"/>
      <c r="BG168" s="77"/>
      <c r="BH168" s="77"/>
      <c r="BI168" s="77"/>
    </row>
    <row r="169" spans="1:61" x14ac:dyDescent="0.25">
      <c r="A169" s="62" t="s">
        <v>285</v>
      </c>
      <c r="B169" s="62" t="s">
        <v>1596</v>
      </c>
      <c r="C169" s="63"/>
      <c r="D169" s="64"/>
      <c r="E169" s="65"/>
      <c r="F169" s="66"/>
      <c r="G169" s="63"/>
      <c r="H169" s="67"/>
      <c r="I169" s="68"/>
      <c r="J169" s="68"/>
      <c r="K169" s="32"/>
      <c r="L169" s="75">
        <v>169</v>
      </c>
      <c r="M169" s="75"/>
      <c r="N169" s="70"/>
      <c r="O169" s="77" t="s">
        <v>2081</v>
      </c>
      <c r="P169" s="79">
        <v>45050.002835648149</v>
      </c>
      <c r="Q169" s="77" t="s">
        <v>2227</v>
      </c>
      <c r="R169" s="77">
        <v>0</v>
      </c>
      <c r="S169" s="77">
        <v>0</v>
      </c>
      <c r="T169" s="77">
        <v>0</v>
      </c>
      <c r="U169" s="77">
        <v>0</v>
      </c>
      <c r="V169" s="77">
        <v>29</v>
      </c>
      <c r="W169" s="80" t="s">
        <v>6008</v>
      </c>
      <c r="X169" s="83" t="str">
        <f>HYPERLINK("https://www.bcb.gov.br/detalhenoticia/17886/nota")</f>
        <v>https://www.bcb.gov.br/detalhenoticia/17886/nota</v>
      </c>
      <c r="Y169" s="77" t="s">
        <v>8633</v>
      </c>
      <c r="Z169" s="77" t="s">
        <v>1596</v>
      </c>
      <c r="AA169" s="77"/>
      <c r="AB169" s="77"/>
      <c r="AC169" s="80" t="s">
        <v>10541</v>
      </c>
      <c r="AD169" s="77" t="s">
        <v>10621</v>
      </c>
      <c r="AE169" s="83" t="str">
        <f>HYPERLINK("https://twitter.com/vagnocarvalho/status/1653913351808843776")</f>
        <v>https://twitter.com/vagnocarvalho/status/1653913351808843776</v>
      </c>
      <c r="AF169" s="79">
        <v>45050.002835648149</v>
      </c>
      <c r="AG169" s="85">
        <v>45050</v>
      </c>
      <c r="AH169" s="80" t="s">
        <v>10776</v>
      </c>
      <c r="AI169" s="77" t="b">
        <v>0</v>
      </c>
      <c r="AJ169" s="77"/>
      <c r="AK169" s="77"/>
      <c r="AL169" s="77"/>
      <c r="AM169" s="77"/>
      <c r="AN169" s="77"/>
      <c r="AO169" s="77"/>
      <c r="AP169" s="77"/>
      <c r="AQ169" s="77"/>
      <c r="AR169" s="77"/>
      <c r="AS169" s="77"/>
      <c r="AT169" s="77"/>
      <c r="AU169" s="77"/>
      <c r="AV169" s="83" t="str">
        <f>HYPERLINK("https://pbs.twimg.com/profile_images/1349962670678700032/4Kis9uwt_normal.jpg")</f>
        <v>https://pbs.twimg.com/profile_images/1349962670678700032/4Kis9uwt_normal.jpg</v>
      </c>
      <c r="AW169" s="80" t="s">
        <v>16158</v>
      </c>
      <c r="AX169" s="80" t="s">
        <v>16158</v>
      </c>
      <c r="AY169" s="77"/>
      <c r="AZ169" s="80" t="s">
        <v>20380</v>
      </c>
      <c r="BA169" s="80" t="s">
        <v>20380</v>
      </c>
      <c r="BB169" s="80" t="s">
        <v>20380</v>
      </c>
      <c r="BC169" s="80" t="s">
        <v>16158</v>
      </c>
      <c r="BD169" s="77">
        <v>27438844</v>
      </c>
      <c r="BE169" s="77"/>
      <c r="BF169" s="77"/>
      <c r="BG169" s="77"/>
      <c r="BH169" s="77"/>
      <c r="BI169" s="77"/>
    </row>
    <row r="170" spans="1:61" x14ac:dyDescent="0.25">
      <c r="A170" s="62" t="s">
        <v>286</v>
      </c>
      <c r="B170" s="62" t="s">
        <v>286</v>
      </c>
      <c r="C170" s="63"/>
      <c r="D170" s="64"/>
      <c r="E170" s="65"/>
      <c r="F170" s="66"/>
      <c r="G170" s="63"/>
      <c r="H170" s="67"/>
      <c r="I170" s="68"/>
      <c r="J170" s="68"/>
      <c r="K170" s="32"/>
      <c r="L170" s="75">
        <v>170</v>
      </c>
      <c r="M170" s="75"/>
      <c r="N170" s="70"/>
      <c r="O170" s="77" t="s">
        <v>179</v>
      </c>
      <c r="P170" s="79">
        <v>45068.530613425923</v>
      </c>
      <c r="Q170" s="77" t="s">
        <v>2228</v>
      </c>
      <c r="R170" s="77">
        <v>0</v>
      </c>
      <c r="S170" s="77">
        <v>0</v>
      </c>
      <c r="T170" s="77">
        <v>0</v>
      </c>
      <c r="U170" s="77">
        <v>0</v>
      </c>
      <c r="V170" s="77">
        <v>16</v>
      </c>
      <c r="W170" s="80" t="s">
        <v>6009</v>
      </c>
      <c r="X170" s="83" t="str">
        <f>HYPERLINK("https://www.finance360.com.br/boletim-diario/abertura-mercado-22-05-23")</f>
        <v>https://www.finance360.com.br/boletim-diario/abertura-mercado-22-05-23</v>
      </c>
      <c r="Y170" s="77" t="s">
        <v>8611</v>
      </c>
      <c r="Z170" s="77"/>
      <c r="AA170" s="77" t="s">
        <v>9084</v>
      </c>
      <c r="AB170" s="77" t="s">
        <v>10535</v>
      </c>
      <c r="AC170" s="80" t="s">
        <v>10540</v>
      </c>
      <c r="AD170" s="77" t="s">
        <v>10619</v>
      </c>
      <c r="AE170" s="83" t="str">
        <f>HYPERLINK("https://twitter.com/finance360br/status/1660627590741204996")</f>
        <v>https://twitter.com/finance360br/status/1660627590741204996</v>
      </c>
      <c r="AF170" s="79">
        <v>45068.530613425923</v>
      </c>
      <c r="AG170" s="85">
        <v>45068</v>
      </c>
      <c r="AH170" s="80" t="s">
        <v>10777</v>
      </c>
      <c r="AI170" s="77" t="b">
        <v>0</v>
      </c>
      <c r="AJ170" s="77" t="s">
        <v>14343</v>
      </c>
      <c r="AK170" s="77" t="s">
        <v>14382</v>
      </c>
      <c r="AL170" s="77" t="s">
        <v>14391</v>
      </c>
      <c r="AM170" s="77" t="s">
        <v>14402</v>
      </c>
      <c r="AN170" s="77" t="s">
        <v>14440</v>
      </c>
      <c r="AO170" s="77" t="s">
        <v>14481</v>
      </c>
      <c r="AP170" s="77" t="s">
        <v>14516</v>
      </c>
      <c r="AQ170" s="77" t="s">
        <v>14566</v>
      </c>
      <c r="AR170" s="77"/>
      <c r="AS170" s="77"/>
      <c r="AT170" s="77"/>
      <c r="AU170" s="77"/>
      <c r="AV170" s="83" t="str">
        <f>HYPERLINK("https://pbs.twimg.com/media/Fwu7_jgXoAAQ6a1.jpg")</f>
        <v>https://pbs.twimg.com/media/Fwu7_jgXoAAQ6a1.jpg</v>
      </c>
      <c r="AW170" s="80" t="s">
        <v>16159</v>
      </c>
      <c r="AX170" s="80" t="s">
        <v>16159</v>
      </c>
      <c r="AY170" s="77"/>
      <c r="AZ170" s="80" t="s">
        <v>20380</v>
      </c>
      <c r="BA170" s="80" t="s">
        <v>20380</v>
      </c>
      <c r="BB170" s="80" t="s">
        <v>20380</v>
      </c>
      <c r="BC170" s="80" t="s">
        <v>16159</v>
      </c>
      <c r="BD170" s="80" t="s">
        <v>20528</v>
      </c>
      <c r="BE170" s="77"/>
      <c r="BF170" s="77"/>
      <c r="BG170" s="77"/>
      <c r="BH170" s="77"/>
      <c r="BI170" s="77"/>
    </row>
    <row r="171" spans="1:61" x14ac:dyDescent="0.25">
      <c r="A171" s="62" t="s">
        <v>286</v>
      </c>
      <c r="B171" s="62" t="s">
        <v>286</v>
      </c>
      <c r="C171" s="63"/>
      <c r="D171" s="64"/>
      <c r="E171" s="65"/>
      <c r="F171" s="66"/>
      <c r="G171" s="63"/>
      <c r="H171" s="67"/>
      <c r="I171" s="68"/>
      <c r="J171" s="68"/>
      <c r="K171" s="32"/>
      <c r="L171" s="75">
        <v>171</v>
      </c>
      <c r="M171" s="75"/>
      <c r="N171" s="70"/>
      <c r="O171" s="77" t="s">
        <v>179</v>
      </c>
      <c r="P171" s="79">
        <v>45060.054212962961</v>
      </c>
      <c r="Q171" s="77" t="s">
        <v>2229</v>
      </c>
      <c r="R171" s="77">
        <v>0</v>
      </c>
      <c r="S171" s="77">
        <v>0</v>
      </c>
      <c r="T171" s="77">
        <v>0</v>
      </c>
      <c r="U171" s="77">
        <v>0</v>
      </c>
      <c r="V171" s="77">
        <v>15</v>
      </c>
      <c r="W171" s="80" t="s">
        <v>6010</v>
      </c>
      <c r="X171" s="83" t="str">
        <f>HYPERLINK("https://www.finance360.com.br/copom/copom-pode-n%C3%A3o-cortar-juros-este-ano")</f>
        <v>https://www.finance360.com.br/copom/copom-pode-n%C3%A3o-cortar-juros-este-ano</v>
      </c>
      <c r="Y171" s="77" t="s">
        <v>8611</v>
      </c>
      <c r="Z171" s="77"/>
      <c r="AA171" s="77" t="s">
        <v>9085</v>
      </c>
      <c r="AB171" s="77" t="s">
        <v>10535</v>
      </c>
      <c r="AC171" s="80" t="s">
        <v>10540</v>
      </c>
      <c r="AD171" s="77" t="s">
        <v>10619</v>
      </c>
      <c r="AE171" s="83" t="str">
        <f>HYPERLINK("https://twitter.com/finance360br/status/1657555845012439040")</f>
        <v>https://twitter.com/finance360br/status/1657555845012439040</v>
      </c>
      <c r="AF171" s="79">
        <v>45060.054212962961</v>
      </c>
      <c r="AG171" s="85">
        <v>45060</v>
      </c>
      <c r="AH171" s="80" t="s">
        <v>10778</v>
      </c>
      <c r="AI171" s="77" t="b">
        <v>0</v>
      </c>
      <c r="AJ171" s="77" t="s">
        <v>14344</v>
      </c>
      <c r="AK171" s="77" t="s">
        <v>14382</v>
      </c>
      <c r="AL171" s="77" t="s">
        <v>14391</v>
      </c>
      <c r="AM171" s="77" t="s">
        <v>14382</v>
      </c>
      <c r="AN171" s="77" t="s">
        <v>14441</v>
      </c>
      <c r="AO171" s="77" t="s">
        <v>14382</v>
      </c>
      <c r="AP171" s="77" t="s">
        <v>14518</v>
      </c>
      <c r="AQ171" s="77" t="s">
        <v>14567</v>
      </c>
      <c r="AR171" s="77"/>
      <c r="AS171" s="77"/>
      <c r="AT171" s="77"/>
      <c r="AU171" s="77"/>
      <c r="AV171" s="83" t="str">
        <f>HYPERLINK("https://pbs.twimg.com/media/FwDSQcvWYAEBoXl.jpg")</f>
        <v>https://pbs.twimg.com/media/FwDSQcvWYAEBoXl.jpg</v>
      </c>
      <c r="AW171" s="80" t="s">
        <v>16160</v>
      </c>
      <c r="AX171" s="80" t="s">
        <v>16160</v>
      </c>
      <c r="AY171" s="77"/>
      <c r="AZ171" s="80" t="s">
        <v>20380</v>
      </c>
      <c r="BA171" s="80" t="s">
        <v>20380</v>
      </c>
      <c r="BB171" s="80" t="s">
        <v>20380</v>
      </c>
      <c r="BC171" s="80" t="s">
        <v>16160</v>
      </c>
      <c r="BD171" s="80" t="s">
        <v>20528</v>
      </c>
      <c r="BE171" s="77"/>
      <c r="BF171" s="77"/>
      <c r="BG171" s="77"/>
      <c r="BH171" s="77"/>
      <c r="BI171" s="77"/>
    </row>
    <row r="172" spans="1:61" x14ac:dyDescent="0.25">
      <c r="A172" s="62" t="s">
        <v>286</v>
      </c>
      <c r="B172" s="62" t="s">
        <v>286</v>
      </c>
      <c r="C172" s="63"/>
      <c r="D172" s="64"/>
      <c r="E172" s="65"/>
      <c r="F172" s="66"/>
      <c r="G172" s="63"/>
      <c r="H172" s="67"/>
      <c r="I172" s="68"/>
      <c r="J172" s="68"/>
      <c r="K172" s="32"/>
      <c r="L172" s="75">
        <v>172</v>
      </c>
      <c r="M172" s="75"/>
      <c r="N172" s="70"/>
      <c r="O172" s="77" t="s">
        <v>179</v>
      </c>
      <c r="P172" s="79">
        <v>45060.043425925927</v>
      </c>
      <c r="Q172" s="77" t="s">
        <v>2230</v>
      </c>
      <c r="R172" s="77">
        <v>0</v>
      </c>
      <c r="S172" s="77">
        <v>0</v>
      </c>
      <c r="T172" s="77">
        <v>0</v>
      </c>
      <c r="U172" s="77">
        <v>0</v>
      </c>
      <c r="V172" s="77">
        <v>17</v>
      </c>
      <c r="W172" s="80" t="s">
        <v>6011</v>
      </c>
      <c r="X172" s="83" t="str">
        <f>HYPERLINK("https://www.finance360.com.br/estudos/afinal-quem-decide-a-taxa-de-juros-no-brasil")</f>
        <v>https://www.finance360.com.br/estudos/afinal-quem-decide-a-taxa-de-juros-no-brasil</v>
      </c>
      <c r="Y172" s="77" t="s">
        <v>8611</v>
      </c>
      <c r="Z172" s="77"/>
      <c r="AA172" s="77" t="s">
        <v>9086</v>
      </c>
      <c r="AB172" s="77" t="s">
        <v>10535</v>
      </c>
      <c r="AC172" s="80" t="s">
        <v>10540</v>
      </c>
      <c r="AD172" s="77" t="s">
        <v>10619</v>
      </c>
      <c r="AE172" s="83" t="str">
        <f>HYPERLINK("https://twitter.com/finance360br/status/1657551939838660608")</f>
        <v>https://twitter.com/finance360br/status/1657551939838660608</v>
      </c>
      <c r="AF172" s="79">
        <v>45060.043425925927</v>
      </c>
      <c r="AG172" s="85">
        <v>45060</v>
      </c>
      <c r="AH172" s="80" t="s">
        <v>10779</v>
      </c>
      <c r="AI172" s="77" t="b">
        <v>0</v>
      </c>
      <c r="AJ172" s="77"/>
      <c r="AK172" s="77"/>
      <c r="AL172" s="77"/>
      <c r="AM172" s="77"/>
      <c r="AN172" s="77"/>
      <c r="AO172" s="77"/>
      <c r="AP172" s="77"/>
      <c r="AQ172" s="77" t="s">
        <v>14568</v>
      </c>
      <c r="AR172" s="77"/>
      <c r="AS172" s="77"/>
      <c r="AT172" s="77"/>
      <c r="AU172" s="77"/>
      <c r="AV172" s="83" t="str">
        <f>HYPERLINK("https://pbs.twimg.com/media/FwDOtIDXgAUG-SL.jpg")</f>
        <v>https://pbs.twimg.com/media/FwDOtIDXgAUG-SL.jpg</v>
      </c>
      <c r="AW172" s="80" t="s">
        <v>16161</v>
      </c>
      <c r="AX172" s="80" t="s">
        <v>16161</v>
      </c>
      <c r="AY172" s="77"/>
      <c r="AZ172" s="80" t="s">
        <v>20380</v>
      </c>
      <c r="BA172" s="80" t="s">
        <v>20380</v>
      </c>
      <c r="BB172" s="80" t="s">
        <v>20380</v>
      </c>
      <c r="BC172" s="80" t="s">
        <v>16161</v>
      </c>
      <c r="BD172" s="80" t="s">
        <v>20528</v>
      </c>
      <c r="BE172" s="77"/>
      <c r="BF172" s="77"/>
      <c r="BG172" s="77"/>
      <c r="BH172" s="77"/>
      <c r="BI172" s="77"/>
    </row>
    <row r="173" spans="1:61" x14ac:dyDescent="0.25">
      <c r="A173" s="62" t="s">
        <v>286</v>
      </c>
      <c r="B173" s="62" t="s">
        <v>286</v>
      </c>
      <c r="C173" s="63"/>
      <c r="D173" s="64"/>
      <c r="E173" s="65"/>
      <c r="F173" s="66"/>
      <c r="G173" s="63"/>
      <c r="H173" s="67"/>
      <c r="I173" s="68"/>
      <c r="J173" s="68"/>
      <c r="K173" s="32"/>
      <c r="L173" s="75">
        <v>173</v>
      </c>
      <c r="M173" s="75"/>
      <c r="N173" s="70"/>
      <c r="O173" s="77" t="s">
        <v>179</v>
      </c>
      <c r="P173" s="79">
        <v>45064.904016203705</v>
      </c>
      <c r="Q173" s="77" t="s">
        <v>2231</v>
      </c>
      <c r="R173" s="77">
        <v>0</v>
      </c>
      <c r="S173" s="77">
        <v>0</v>
      </c>
      <c r="T173" s="77">
        <v>0</v>
      </c>
      <c r="U173" s="77">
        <v>0</v>
      </c>
      <c r="V173" s="77">
        <v>18</v>
      </c>
      <c r="W173" s="80" t="s">
        <v>6012</v>
      </c>
      <c r="X173" s="83" t="str">
        <f>HYPERLINK("https://www.finance360.com.br/boletim-diario/fechamento-mercado-18-05-23")</f>
        <v>https://www.finance360.com.br/boletim-diario/fechamento-mercado-18-05-23</v>
      </c>
      <c r="Y173" s="77" t="s">
        <v>8611</v>
      </c>
      <c r="Z173" s="77"/>
      <c r="AA173" s="77" t="s">
        <v>9087</v>
      </c>
      <c r="AB173" s="77" t="s">
        <v>10535</v>
      </c>
      <c r="AC173" s="80" t="s">
        <v>10540</v>
      </c>
      <c r="AD173" s="77" t="s">
        <v>10619</v>
      </c>
      <c r="AE173" s="83" t="str">
        <f>HYPERLINK("https://twitter.com/finance360br/status/1659313357168558083")</f>
        <v>https://twitter.com/finance360br/status/1659313357168558083</v>
      </c>
      <c r="AF173" s="79">
        <v>45064.904016203705</v>
      </c>
      <c r="AG173" s="85">
        <v>45064</v>
      </c>
      <c r="AH173" s="80" t="s">
        <v>10780</v>
      </c>
      <c r="AI173" s="77" t="b">
        <v>0</v>
      </c>
      <c r="AJ173" s="77" t="s">
        <v>14343</v>
      </c>
      <c r="AK173" s="77" t="s">
        <v>14382</v>
      </c>
      <c r="AL173" s="77" t="s">
        <v>14391</v>
      </c>
      <c r="AM173" s="77" t="s">
        <v>14402</v>
      </c>
      <c r="AN173" s="77" t="s">
        <v>14440</v>
      </c>
      <c r="AO173" s="77" t="s">
        <v>14481</v>
      </c>
      <c r="AP173" s="77" t="s">
        <v>14516</v>
      </c>
      <c r="AQ173" s="77" t="s">
        <v>14569</v>
      </c>
      <c r="AR173" s="77"/>
      <c r="AS173" s="77"/>
      <c r="AT173" s="77"/>
      <c r="AU173" s="77"/>
      <c r="AV173" s="83" t="str">
        <f>HYPERLINK("https://pbs.twimg.com/media/FwcQtGKXgAA9L_t.jpg")</f>
        <v>https://pbs.twimg.com/media/FwcQtGKXgAA9L_t.jpg</v>
      </c>
      <c r="AW173" s="80" t="s">
        <v>16162</v>
      </c>
      <c r="AX173" s="80" t="s">
        <v>16162</v>
      </c>
      <c r="AY173" s="77"/>
      <c r="AZ173" s="80" t="s">
        <v>20380</v>
      </c>
      <c r="BA173" s="80" t="s">
        <v>20380</v>
      </c>
      <c r="BB173" s="80" t="s">
        <v>20380</v>
      </c>
      <c r="BC173" s="80" t="s">
        <v>16162</v>
      </c>
      <c r="BD173" s="80" t="s">
        <v>20528</v>
      </c>
      <c r="BE173" s="77"/>
      <c r="BF173" s="77"/>
      <c r="BG173" s="77"/>
      <c r="BH173" s="77"/>
      <c r="BI173" s="77"/>
    </row>
    <row r="174" spans="1:61" x14ac:dyDescent="0.25">
      <c r="A174" s="62" t="s">
        <v>286</v>
      </c>
      <c r="B174" s="62" t="s">
        <v>286</v>
      </c>
      <c r="C174" s="63"/>
      <c r="D174" s="64"/>
      <c r="E174" s="65"/>
      <c r="F174" s="66"/>
      <c r="G174" s="63"/>
      <c r="H174" s="67"/>
      <c r="I174" s="68"/>
      <c r="J174" s="68"/>
      <c r="K174" s="32"/>
      <c r="L174" s="75">
        <v>174</v>
      </c>
      <c r="M174" s="75"/>
      <c r="N174" s="70"/>
      <c r="O174" s="77" t="s">
        <v>179</v>
      </c>
      <c r="P174" s="79">
        <v>45061.94604166667</v>
      </c>
      <c r="Q174" s="77" t="s">
        <v>2232</v>
      </c>
      <c r="R174" s="77">
        <v>0</v>
      </c>
      <c r="S174" s="77">
        <v>0</v>
      </c>
      <c r="T174" s="77">
        <v>0</v>
      </c>
      <c r="U174" s="77">
        <v>0</v>
      </c>
      <c r="V174" s="77">
        <v>53</v>
      </c>
      <c r="W174" s="80" t="s">
        <v>6013</v>
      </c>
      <c r="X174" s="83" t="str">
        <f>HYPERLINK("https://www.finance360.com.br/boletim-diario/fechamento-mercado-15-05-23")</f>
        <v>https://www.finance360.com.br/boletim-diario/fechamento-mercado-15-05-23</v>
      </c>
      <c r="Y174" s="77" t="s">
        <v>8611</v>
      </c>
      <c r="Z174" s="77"/>
      <c r="AA174" s="77" t="s">
        <v>9088</v>
      </c>
      <c r="AB174" s="77" t="s">
        <v>10535</v>
      </c>
      <c r="AC174" s="80" t="s">
        <v>10540</v>
      </c>
      <c r="AD174" s="77" t="s">
        <v>10617</v>
      </c>
      <c r="AE174" s="83" t="str">
        <f>HYPERLINK("https://twitter.com/finance360br/status/1658241420975648770")</f>
        <v>https://twitter.com/finance360br/status/1658241420975648770</v>
      </c>
      <c r="AF174" s="79">
        <v>45061.94604166667</v>
      </c>
      <c r="AG174" s="85">
        <v>45061</v>
      </c>
      <c r="AH174" s="80" t="s">
        <v>10781</v>
      </c>
      <c r="AI174" s="77" t="b">
        <v>0</v>
      </c>
      <c r="AJ174" s="77" t="s">
        <v>14344</v>
      </c>
      <c r="AK174" s="77" t="s">
        <v>14382</v>
      </c>
      <c r="AL174" s="77" t="s">
        <v>14391</v>
      </c>
      <c r="AM174" s="77" t="s">
        <v>14382</v>
      </c>
      <c r="AN174" s="77" t="s">
        <v>14441</v>
      </c>
      <c r="AO174" s="77" t="s">
        <v>14382</v>
      </c>
      <c r="AP174" s="77" t="s">
        <v>14518</v>
      </c>
      <c r="AQ174" s="77" t="s">
        <v>14570</v>
      </c>
      <c r="AR174" s="77"/>
      <c r="AS174" s="77"/>
      <c r="AT174" s="77"/>
      <c r="AU174" s="77"/>
      <c r="AV174" s="83" t="str">
        <f>HYPERLINK("https://pbs.twimg.com/media/FwNByMjXgAA8FOp.jpg")</f>
        <v>https://pbs.twimg.com/media/FwNByMjXgAA8FOp.jpg</v>
      </c>
      <c r="AW174" s="80" t="s">
        <v>16163</v>
      </c>
      <c r="AX174" s="80" t="s">
        <v>16163</v>
      </c>
      <c r="AY174" s="77"/>
      <c r="AZ174" s="80" t="s">
        <v>20380</v>
      </c>
      <c r="BA174" s="80" t="s">
        <v>20380</v>
      </c>
      <c r="BB174" s="80" t="s">
        <v>20380</v>
      </c>
      <c r="BC174" s="80" t="s">
        <v>16163</v>
      </c>
      <c r="BD174" s="80" t="s">
        <v>20528</v>
      </c>
      <c r="BE174" s="77"/>
      <c r="BF174" s="77"/>
      <c r="BG174" s="77"/>
      <c r="BH174" s="77"/>
      <c r="BI174" s="77"/>
    </row>
    <row r="175" spans="1:61" x14ac:dyDescent="0.25">
      <c r="A175" s="62" t="s">
        <v>286</v>
      </c>
      <c r="B175" s="62" t="s">
        <v>286</v>
      </c>
      <c r="C175" s="63"/>
      <c r="D175" s="64"/>
      <c r="E175" s="65"/>
      <c r="F175" s="66"/>
      <c r="G175" s="63"/>
      <c r="H175" s="67"/>
      <c r="I175" s="68"/>
      <c r="J175" s="68"/>
      <c r="K175" s="32"/>
      <c r="L175" s="75">
        <v>175</v>
      </c>
      <c r="M175" s="75"/>
      <c r="N175" s="70"/>
      <c r="O175" s="77" t="s">
        <v>179</v>
      </c>
      <c r="P175" s="79">
        <v>45098.954409722224</v>
      </c>
      <c r="Q175" s="77" t="s">
        <v>2233</v>
      </c>
      <c r="R175" s="77">
        <v>0</v>
      </c>
      <c r="S175" s="77">
        <v>0</v>
      </c>
      <c r="T175" s="77">
        <v>0</v>
      </c>
      <c r="U175" s="77">
        <v>0</v>
      </c>
      <c r="V175" s="77">
        <v>27</v>
      </c>
      <c r="W175" s="80" t="s">
        <v>6014</v>
      </c>
      <c r="X175" s="83" t="str">
        <f>HYPERLINK("https://www.finance360.com.br/copom-e-fomc/bc-mant%C3%A9-selic-a-13-75-e-n%C3%A3o-indica-corte")</f>
        <v>https://www.finance360.com.br/copom-e-fomc/bc-mant%C3%A9-selic-a-13-75-e-n%C3%A3o-indica-corte</v>
      </c>
      <c r="Y175" s="77" t="s">
        <v>8611</v>
      </c>
      <c r="Z175" s="77"/>
      <c r="AA175" s="77" t="s">
        <v>9089</v>
      </c>
      <c r="AB175" s="77" t="s">
        <v>10535</v>
      </c>
      <c r="AC175" s="80" t="s">
        <v>10540</v>
      </c>
      <c r="AD175" s="77" t="s">
        <v>10619</v>
      </c>
      <c r="AE175" s="83" t="str">
        <f>HYPERLINK("https://twitter.com/finance360br/status/1671652806955003904")</f>
        <v>https://twitter.com/finance360br/status/1671652806955003904</v>
      </c>
      <c r="AF175" s="79">
        <v>45098.954409722224</v>
      </c>
      <c r="AG175" s="85">
        <v>45098</v>
      </c>
      <c r="AH175" s="80" t="s">
        <v>10782</v>
      </c>
      <c r="AI175" s="77" t="b">
        <v>0</v>
      </c>
      <c r="AJ175" s="77" t="s">
        <v>14343</v>
      </c>
      <c r="AK175" s="77" t="s">
        <v>14382</v>
      </c>
      <c r="AL175" s="77" t="s">
        <v>14391</v>
      </c>
      <c r="AM175" s="77" t="s">
        <v>14402</v>
      </c>
      <c r="AN175" s="77" t="s">
        <v>14440</v>
      </c>
      <c r="AO175" s="77" t="s">
        <v>14481</v>
      </c>
      <c r="AP175" s="77" t="s">
        <v>14516</v>
      </c>
      <c r="AQ175" s="77" t="s">
        <v>14571</v>
      </c>
      <c r="AR175" s="77"/>
      <c r="AS175" s="77"/>
      <c r="AT175" s="77"/>
      <c r="AU175" s="77"/>
      <c r="AV175" s="83" t="str">
        <f>HYPERLINK("https://pbs.twimg.com/media/FzLnXb0WAAAkMIM.jpg")</f>
        <v>https://pbs.twimg.com/media/FzLnXb0WAAAkMIM.jpg</v>
      </c>
      <c r="AW175" s="80" t="s">
        <v>16164</v>
      </c>
      <c r="AX175" s="80" t="s">
        <v>16164</v>
      </c>
      <c r="AY175" s="77"/>
      <c r="AZ175" s="80" t="s">
        <v>20380</v>
      </c>
      <c r="BA175" s="80" t="s">
        <v>20380</v>
      </c>
      <c r="BB175" s="80" t="s">
        <v>20380</v>
      </c>
      <c r="BC175" s="80" t="s">
        <v>16164</v>
      </c>
      <c r="BD175" s="80" t="s">
        <v>20528</v>
      </c>
      <c r="BE175" s="77"/>
      <c r="BF175" s="77"/>
      <c r="BG175" s="77"/>
      <c r="BH175" s="77"/>
      <c r="BI175" s="77"/>
    </row>
    <row r="176" spans="1:61" x14ac:dyDescent="0.25">
      <c r="A176" s="62" t="s">
        <v>286</v>
      </c>
      <c r="B176" s="62" t="s">
        <v>286</v>
      </c>
      <c r="C176" s="63"/>
      <c r="D176" s="64"/>
      <c r="E176" s="65"/>
      <c r="F176" s="66"/>
      <c r="G176" s="63"/>
      <c r="H176" s="67"/>
      <c r="I176" s="68"/>
      <c r="J176" s="68"/>
      <c r="K176" s="32"/>
      <c r="L176" s="75">
        <v>176</v>
      </c>
      <c r="M176" s="75"/>
      <c r="N176" s="70"/>
      <c r="O176" s="77" t="s">
        <v>179</v>
      </c>
      <c r="P176" s="79">
        <v>45061.562094907407</v>
      </c>
      <c r="Q176" s="77" t="s">
        <v>2234</v>
      </c>
      <c r="R176" s="77">
        <v>0</v>
      </c>
      <c r="S176" s="77">
        <v>0</v>
      </c>
      <c r="T176" s="77">
        <v>0</v>
      </c>
      <c r="U176" s="77">
        <v>0</v>
      </c>
      <c r="V176" s="77">
        <v>28</v>
      </c>
      <c r="W176" s="80" t="s">
        <v>6015</v>
      </c>
      <c r="X176" s="83" t="str">
        <f>HYPERLINK("https://www.finance360.com.br/boletim-diario/abertura-mercado-15-05-23")</f>
        <v>https://www.finance360.com.br/boletim-diario/abertura-mercado-15-05-23</v>
      </c>
      <c r="Y176" s="77" t="s">
        <v>8611</v>
      </c>
      <c r="Z176" s="77"/>
      <c r="AA176" s="77" t="s">
        <v>9090</v>
      </c>
      <c r="AB176" s="77" t="s">
        <v>10535</v>
      </c>
      <c r="AC176" s="80" t="s">
        <v>10540</v>
      </c>
      <c r="AD176" s="77" t="s">
        <v>10617</v>
      </c>
      <c r="AE176" s="83" t="str">
        <f>HYPERLINK("https://twitter.com/finance360br/status/1658102283366703105")</f>
        <v>https://twitter.com/finance360br/status/1658102283366703105</v>
      </c>
      <c r="AF176" s="79">
        <v>45061.562094907407</v>
      </c>
      <c r="AG176" s="85">
        <v>45061</v>
      </c>
      <c r="AH176" s="80" t="s">
        <v>10783</v>
      </c>
      <c r="AI176" s="77" t="b">
        <v>0</v>
      </c>
      <c r="AJ176" s="77" t="s">
        <v>14344</v>
      </c>
      <c r="AK176" s="77" t="s">
        <v>14382</v>
      </c>
      <c r="AL176" s="77" t="s">
        <v>14391</v>
      </c>
      <c r="AM176" s="77" t="s">
        <v>14382</v>
      </c>
      <c r="AN176" s="77" t="s">
        <v>14441</v>
      </c>
      <c r="AO176" s="77" t="s">
        <v>14382</v>
      </c>
      <c r="AP176" s="77" t="s">
        <v>14518</v>
      </c>
      <c r="AQ176" s="77" t="s">
        <v>14572</v>
      </c>
      <c r="AR176" s="77"/>
      <c r="AS176" s="77"/>
      <c r="AT176" s="77"/>
      <c r="AU176" s="77"/>
      <c r="AV176" s="83" t="str">
        <f>HYPERLINK("https://pbs.twimg.com/media/FwLDPWiXwAEZKa8.jpg")</f>
        <v>https://pbs.twimg.com/media/FwLDPWiXwAEZKa8.jpg</v>
      </c>
      <c r="AW176" s="80" t="s">
        <v>16165</v>
      </c>
      <c r="AX176" s="80" t="s">
        <v>16165</v>
      </c>
      <c r="AY176" s="77"/>
      <c r="AZ176" s="80" t="s">
        <v>20380</v>
      </c>
      <c r="BA176" s="80" t="s">
        <v>20380</v>
      </c>
      <c r="BB176" s="80" t="s">
        <v>20380</v>
      </c>
      <c r="BC176" s="80" t="s">
        <v>16165</v>
      </c>
      <c r="BD176" s="80" t="s">
        <v>20528</v>
      </c>
      <c r="BE176" s="77"/>
      <c r="BF176" s="77"/>
      <c r="BG176" s="77"/>
      <c r="BH176" s="77"/>
      <c r="BI176" s="77"/>
    </row>
    <row r="177" spans="1:61" x14ac:dyDescent="0.25">
      <c r="A177" s="62" t="s">
        <v>287</v>
      </c>
      <c r="B177" s="62" t="s">
        <v>287</v>
      </c>
      <c r="C177" s="63"/>
      <c r="D177" s="64"/>
      <c r="E177" s="65"/>
      <c r="F177" s="66"/>
      <c r="G177" s="63"/>
      <c r="H177" s="67"/>
      <c r="I177" s="68"/>
      <c r="J177" s="68"/>
      <c r="K177" s="32"/>
      <c r="L177" s="75">
        <v>177</v>
      </c>
      <c r="M177" s="75"/>
      <c r="N177" s="70"/>
      <c r="O177" s="77" t="s">
        <v>179</v>
      </c>
      <c r="P177" s="79">
        <v>45197.035081018519</v>
      </c>
      <c r="Q177" s="77" t="s">
        <v>2235</v>
      </c>
      <c r="R177" s="77">
        <v>0</v>
      </c>
      <c r="S177" s="77">
        <v>0</v>
      </c>
      <c r="T177" s="77">
        <v>0</v>
      </c>
      <c r="U177" s="77">
        <v>0</v>
      </c>
      <c r="V177" s="77">
        <v>216</v>
      </c>
      <c r="W177" s="80" t="s">
        <v>6016</v>
      </c>
      <c r="X177" s="83" t="str">
        <f>HYPERLINK("https://www.todocalefon.cl/BOMBA-RECIRCULADORA-PRESURIZADORA-120W-SPL-0002.html")</f>
        <v>https://www.todocalefon.cl/BOMBA-RECIRCULADORA-PRESURIZADORA-120W-SPL-0002.html</v>
      </c>
      <c r="Y177" s="77" t="s">
        <v>8634</v>
      </c>
      <c r="Z177" s="77"/>
      <c r="AA177" s="77" t="s">
        <v>9091</v>
      </c>
      <c r="AB177" s="77" t="s">
        <v>10534</v>
      </c>
      <c r="AC177" s="80" t="s">
        <v>10541</v>
      </c>
      <c r="AD177" s="77" t="s">
        <v>10617</v>
      </c>
      <c r="AE177" s="83" t="str">
        <f>HYPERLINK("https://twitter.com/todocalefon1/status/1707196051504210276")</f>
        <v>https://twitter.com/todocalefon1/status/1707196051504210276</v>
      </c>
      <c r="AF177" s="79">
        <v>45197.035081018519</v>
      </c>
      <c r="AG177" s="85">
        <v>45197</v>
      </c>
      <c r="AH177" s="80" t="s">
        <v>10784</v>
      </c>
      <c r="AI177" s="77" t="b">
        <v>0</v>
      </c>
      <c r="AJ177" s="77"/>
      <c r="AK177" s="77"/>
      <c r="AL177" s="77"/>
      <c r="AM177" s="77"/>
      <c r="AN177" s="77"/>
      <c r="AO177" s="77"/>
      <c r="AP177" s="77"/>
      <c r="AQ177" s="77" t="s">
        <v>14573</v>
      </c>
      <c r="AR177" s="77">
        <v>19966</v>
      </c>
      <c r="AS177" s="77"/>
      <c r="AT177" s="77"/>
      <c r="AU177" s="77"/>
      <c r="AV177" s="83" t="str">
        <f>HYPERLINK("https://pbs.twimg.com/ext_tw_video_thumb/1707195664667422720/pu/img/6kiri_iEk6zvTBIy.jpg")</f>
        <v>https://pbs.twimg.com/ext_tw_video_thumb/1707195664667422720/pu/img/6kiri_iEk6zvTBIy.jpg</v>
      </c>
      <c r="AW177" s="80" t="s">
        <v>16166</v>
      </c>
      <c r="AX177" s="80" t="s">
        <v>16166</v>
      </c>
      <c r="AY177" s="77"/>
      <c r="AZ177" s="80" t="s">
        <v>20380</v>
      </c>
      <c r="BA177" s="80" t="s">
        <v>20380</v>
      </c>
      <c r="BB177" s="80" t="s">
        <v>20380</v>
      </c>
      <c r="BC177" s="80" t="s">
        <v>16166</v>
      </c>
      <c r="BD177" s="77">
        <v>163958452</v>
      </c>
      <c r="BE177" s="77"/>
      <c r="BF177" s="77"/>
      <c r="BG177" s="77"/>
      <c r="BH177" s="77"/>
      <c r="BI177" s="77"/>
    </row>
    <row r="178" spans="1:61" x14ac:dyDescent="0.25">
      <c r="A178" s="62" t="s">
        <v>287</v>
      </c>
      <c r="B178" s="62" t="s">
        <v>287</v>
      </c>
      <c r="C178" s="63"/>
      <c r="D178" s="64"/>
      <c r="E178" s="65"/>
      <c r="F178" s="66"/>
      <c r="G178" s="63"/>
      <c r="H178" s="67"/>
      <c r="I178" s="68"/>
      <c r="J178" s="68"/>
      <c r="K178" s="32"/>
      <c r="L178" s="75">
        <v>178</v>
      </c>
      <c r="M178" s="75"/>
      <c r="N178" s="70"/>
      <c r="O178" s="77" t="s">
        <v>179</v>
      </c>
      <c r="P178" s="79">
        <v>45095.893263888887</v>
      </c>
      <c r="Q178" s="77" t="s">
        <v>2236</v>
      </c>
      <c r="R178" s="77">
        <v>0</v>
      </c>
      <c r="S178" s="77">
        <v>1</v>
      </c>
      <c r="T178" s="77">
        <v>1</v>
      </c>
      <c r="U178" s="77">
        <v>0</v>
      </c>
      <c r="V178" s="77">
        <v>459</v>
      </c>
      <c r="W178" s="80" t="s">
        <v>6017</v>
      </c>
      <c r="X178" s="83" t="str">
        <f>HYPERLINK("https://www.todocalefon.cl/video-0013.html")</f>
        <v>https://www.todocalefon.cl/video-0013.html</v>
      </c>
      <c r="Y178" s="77" t="s">
        <v>8634</v>
      </c>
      <c r="Z178" s="77"/>
      <c r="AA178" s="77" t="s">
        <v>9092</v>
      </c>
      <c r="AB178" s="77" t="s">
        <v>10535</v>
      </c>
      <c r="AC178" s="80" t="s">
        <v>10541</v>
      </c>
      <c r="AD178" s="77" t="s">
        <v>10622</v>
      </c>
      <c r="AE178" s="83" t="str">
        <f>HYPERLINK("https://twitter.com/todocalefon1/status/1670543483814260737")</f>
        <v>https://twitter.com/todocalefon1/status/1670543483814260737</v>
      </c>
      <c r="AF178" s="79">
        <v>45095.893263888887</v>
      </c>
      <c r="AG178" s="85">
        <v>45095</v>
      </c>
      <c r="AH178" s="80" t="s">
        <v>10785</v>
      </c>
      <c r="AI178" s="77" t="b">
        <v>0</v>
      </c>
      <c r="AJ178" s="77"/>
      <c r="AK178" s="77"/>
      <c r="AL178" s="77"/>
      <c r="AM178" s="77"/>
      <c r="AN178" s="77"/>
      <c r="AO178" s="77"/>
      <c r="AP178" s="77"/>
      <c r="AQ178" s="77" t="s">
        <v>14574</v>
      </c>
      <c r="AR178" s="77"/>
      <c r="AS178" s="77"/>
      <c r="AT178" s="77"/>
      <c r="AU178" s="77"/>
      <c r="AV178" s="83" t="str">
        <f>HYPERLINK("https://pbs.twimg.com/media/Fy72ar1XgAAw860.png")</f>
        <v>https://pbs.twimg.com/media/Fy72ar1XgAAw860.png</v>
      </c>
      <c r="AW178" s="80" t="s">
        <v>16167</v>
      </c>
      <c r="AX178" s="80" t="s">
        <v>16167</v>
      </c>
      <c r="AY178" s="77"/>
      <c r="AZ178" s="80" t="s">
        <v>20380</v>
      </c>
      <c r="BA178" s="80" t="s">
        <v>20380</v>
      </c>
      <c r="BB178" s="80" t="s">
        <v>20380</v>
      </c>
      <c r="BC178" s="80" t="s">
        <v>16167</v>
      </c>
      <c r="BD178" s="77">
        <v>163958452</v>
      </c>
      <c r="BE178" s="77"/>
      <c r="BF178" s="77"/>
      <c r="BG178" s="77"/>
      <c r="BH178" s="77"/>
      <c r="BI178" s="77"/>
    </row>
    <row r="179" spans="1:61" x14ac:dyDescent="0.25">
      <c r="A179" s="62" t="s">
        <v>288</v>
      </c>
      <c r="B179" s="62" t="s">
        <v>1681</v>
      </c>
      <c r="C179" s="63"/>
      <c r="D179" s="64"/>
      <c r="E179" s="65"/>
      <c r="F179" s="66"/>
      <c r="G179" s="63"/>
      <c r="H179" s="67"/>
      <c r="I179" s="68"/>
      <c r="J179" s="68"/>
      <c r="K179" s="32"/>
      <c r="L179" s="75">
        <v>179</v>
      </c>
      <c r="M179" s="75"/>
      <c r="N179" s="70"/>
      <c r="O179" s="77" t="s">
        <v>2083</v>
      </c>
      <c r="P179" s="79">
        <v>45189.747743055559</v>
      </c>
      <c r="Q179" s="77" t="s">
        <v>2237</v>
      </c>
      <c r="R179" s="77">
        <v>18</v>
      </c>
      <c r="S179" s="77">
        <v>0</v>
      </c>
      <c r="T179" s="77">
        <v>0</v>
      </c>
      <c r="U179" s="77">
        <v>0</v>
      </c>
      <c r="V179" s="77"/>
      <c r="W179" s="80" t="s">
        <v>6018</v>
      </c>
      <c r="X179" s="77"/>
      <c r="Y179" s="77"/>
      <c r="Z179" s="77" t="s">
        <v>1681</v>
      </c>
      <c r="AA179" s="77"/>
      <c r="AB179" s="77"/>
      <c r="AC179" s="80" t="s">
        <v>10540</v>
      </c>
      <c r="AD179" s="77" t="s">
        <v>10617</v>
      </c>
      <c r="AE179" s="83" t="str">
        <f>HYPERLINK("https://twitter.com/alessandrabrvna/status/1704555208225763807")</f>
        <v>https://twitter.com/alessandrabrvna/status/1704555208225763807</v>
      </c>
      <c r="AF179" s="79">
        <v>45189.747743055559</v>
      </c>
      <c r="AG179" s="85">
        <v>45189</v>
      </c>
      <c r="AH179" s="80" t="s">
        <v>10786</v>
      </c>
      <c r="AI179" s="77"/>
      <c r="AJ179" s="77"/>
      <c r="AK179" s="77"/>
      <c r="AL179" s="77"/>
      <c r="AM179" s="77"/>
      <c r="AN179" s="77"/>
      <c r="AO179" s="77"/>
      <c r="AP179" s="77"/>
      <c r="AQ179" s="77"/>
      <c r="AR179" s="77"/>
      <c r="AS179" s="77"/>
      <c r="AT179" s="77"/>
      <c r="AU179" s="77"/>
      <c r="AV179" s="83" t="str">
        <f>HYPERLINK("https://pbs.twimg.com/profile_images/1707458129078755328/lUhZaq0u_normal.jpg")</f>
        <v>https://pbs.twimg.com/profile_images/1707458129078755328/lUhZaq0u_normal.jpg</v>
      </c>
      <c r="AW179" s="80" t="s">
        <v>16168</v>
      </c>
      <c r="AX179" s="80" t="s">
        <v>16168</v>
      </c>
      <c r="AY179" s="77"/>
      <c r="AZ179" s="80" t="s">
        <v>20380</v>
      </c>
      <c r="BA179" s="80" t="s">
        <v>20380</v>
      </c>
      <c r="BB179" s="80" t="s">
        <v>19932</v>
      </c>
      <c r="BC179" s="80" t="s">
        <v>19932</v>
      </c>
      <c r="BD179" s="80" t="s">
        <v>20529</v>
      </c>
      <c r="BE179" s="77"/>
      <c r="BF179" s="77"/>
      <c r="BG179" s="77"/>
      <c r="BH179" s="77"/>
      <c r="BI179" s="77"/>
    </row>
    <row r="180" spans="1:61" x14ac:dyDescent="0.25">
      <c r="A180" s="62" t="s">
        <v>289</v>
      </c>
      <c r="B180" s="62" t="s">
        <v>289</v>
      </c>
      <c r="C180" s="63"/>
      <c r="D180" s="64"/>
      <c r="E180" s="65"/>
      <c r="F180" s="66"/>
      <c r="G180" s="63"/>
      <c r="H180" s="67"/>
      <c r="I180" s="68"/>
      <c r="J180" s="68"/>
      <c r="K180" s="32"/>
      <c r="L180" s="75">
        <v>180</v>
      </c>
      <c r="M180" s="75"/>
      <c r="N180" s="70"/>
      <c r="O180" s="77" t="s">
        <v>179</v>
      </c>
      <c r="P180" s="79">
        <v>45050.801064814812</v>
      </c>
      <c r="Q180" s="77" t="s">
        <v>2238</v>
      </c>
      <c r="R180" s="77">
        <v>0</v>
      </c>
      <c r="S180" s="77">
        <v>0</v>
      </c>
      <c r="T180" s="77">
        <v>0</v>
      </c>
      <c r="U180" s="77">
        <v>0</v>
      </c>
      <c r="V180" s="77">
        <v>48</v>
      </c>
      <c r="W180" s="80" t="s">
        <v>6019</v>
      </c>
      <c r="X180" s="83" t="str">
        <f>HYPERLINK("https://senoticias.com.br/se/rogerio-carvalho-diz-que-manutencao-da-taxa-de-juros-do-banco-central-e-capricho-do-presidente-da-entidade/")</f>
        <v>https://senoticias.com.br/se/rogerio-carvalho-diz-que-manutencao-da-taxa-de-juros-do-banco-central-e-capricho-do-presidente-da-entidade/</v>
      </c>
      <c r="Y180" s="77" t="s">
        <v>8611</v>
      </c>
      <c r="Z180" s="77"/>
      <c r="AA180" s="77" t="s">
        <v>9093</v>
      </c>
      <c r="AB180" s="77" t="s">
        <v>10535</v>
      </c>
      <c r="AC180" s="80" t="s">
        <v>10541</v>
      </c>
      <c r="AD180" s="77" t="s">
        <v>10617</v>
      </c>
      <c r="AE180" s="83" t="str">
        <f>HYPERLINK("https://twitter.com/senoticias/status/1654202617688383493")</f>
        <v>https://twitter.com/senoticias/status/1654202617688383493</v>
      </c>
      <c r="AF180" s="79">
        <v>45050.801064814812</v>
      </c>
      <c r="AG180" s="85">
        <v>45050</v>
      </c>
      <c r="AH180" s="80" t="s">
        <v>10787</v>
      </c>
      <c r="AI180" s="77" t="b">
        <v>0</v>
      </c>
      <c r="AJ180" s="77"/>
      <c r="AK180" s="77"/>
      <c r="AL180" s="77"/>
      <c r="AM180" s="77"/>
      <c r="AN180" s="77"/>
      <c r="AO180" s="77"/>
      <c r="AP180" s="77"/>
      <c r="AQ180" s="77" t="s">
        <v>14575</v>
      </c>
      <c r="AR180" s="77"/>
      <c r="AS180" s="77"/>
      <c r="AT180" s="77"/>
      <c r="AU180" s="77"/>
      <c r="AV180" s="83" t="str">
        <f>HYPERLINK("https://pbs.twimg.com/media/FvTocw9X0BkvaY-.jpg")</f>
        <v>https://pbs.twimg.com/media/FvTocw9X0BkvaY-.jpg</v>
      </c>
      <c r="AW180" s="80" t="s">
        <v>16169</v>
      </c>
      <c r="AX180" s="80" t="s">
        <v>16169</v>
      </c>
      <c r="AY180" s="77"/>
      <c r="AZ180" s="80" t="s">
        <v>20380</v>
      </c>
      <c r="BA180" s="80" t="s">
        <v>20380</v>
      </c>
      <c r="BB180" s="80" t="s">
        <v>20380</v>
      </c>
      <c r="BC180" s="80" t="s">
        <v>16169</v>
      </c>
      <c r="BD180" s="77">
        <v>217592807</v>
      </c>
      <c r="BE180" s="77"/>
      <c r="BF180" s="77"/>
      <c r="BG180" s="77"/>
      <c r="BH180" s="77"/>
      <c r="BI180" s="77"/>
    </row>
    <row r="181" spans="1:61" x14ac:dyDescent="0.25">
      <c r="A181" s="62" t="s">
        <v>289</v>
      </c>
      <c r="B181" s="62" t="s">
        <v>289</v>
      </c>
      <c r="C181" s="63"/>
      <c r="D181" s="64"/>
      <c r="E181" s="65"/>
      <c r="F181" s="66"/>
      <c r="G181" s="63"/>
      <c r="H181" s="67"/>
      <c r="I181" s="68"/>
      <c r="J181" s="68"/>
      <c r="K181" s="32"/>
      <c r="L181" s="75">
        <v>181</v>
      </c>
      <c r="M181" s="75"/>
      <c r="N181" s="70"/>
      <c r="O181" s="77" t="s">
        <v>179</v>
      </c>
      <c r="P181" s="79">
        <v>45144.678368055553</v>
      </c>
      <c r="Q181" s="77" t="s">
        <v>2239</v>
      </c>
      <c r="R181" s="77">
        <v>0</v>
      </c>
      <c r="S181" s="77">
        <v>0</v>
      </c>
      <c r="T181" s="77">
        <v>0</v>
      </c>
      <c r="U181" s="77">
        <v>0</v>
      </c>
      <c r="V181" s="77">
        <v>88</v>
      </c>
      <c r="W181" s="80" t="s">
        <v>6020</v>
      </c>
      <c r="X181" s="83" t="str">
        <f>HYPERLINK("https://senoticias.com.br/se/devolucao-de-dinheiro-esquecido-supera-r-4-bi-mas-ainda-restam-r-71-bi/")</f>
        <v>https://senoticias.com.br/se/devolucao-de-dinheiro-esquecido-supera-r-4-bi-mas-ainda-restam-r-71-bi/</v>
      </c>
      <c r="Y181" s="77" t="s">
        <v>8611</v>
      </c>
      <c r="Z181" s="77"/>
      <c r="AA181" s="77" t="s">
        <v>9094</v>
      </c>
      <c r="AB181" s="77" t="s">
        <v>10535</v>
      </c>
      <c r="AC181" s="80" t="s">
        <v>10541</v>
      </c>
      <c r="AD181" s="77" t="s">
        <v>10617</v>
      </c>
      <c r="AE181" s="83" t="str">
        <f>HYPERLINK("https://twitter.com/senoticias/status/1688222615750455296")</f>
        <v>https://twitter.com/senoticias/status/1688222615750455296</v>
      </c>
      <c r="AF181" s="79">
        <v>45144.678368055553</v>
      </c>
      <c r="AG181" s="85">
        <v>45144</v>
      </c>
      <c r="AH181" s="80" t="s">
        <v>10788</v>
      </c>
      <c r="AI181" s="77" t="b">
        <v>0</v>
      </c>
      <c r="AJ181" s="77"/>
      <c r="AK181" s="77"/>
      <c r="AL181" s="77"/>
      <c r="AM181" s="77"/>
      <c r="AN181" s="77"/>
      <c r="AO181" s="77"/>
      <c r="AP181" s="77"/>
      <c r="AQ181" s="77" t="s">
        <v>14576</v>
      </c>
      <c r="AR181" s="77"/>
      <c r="AS181" s="77"/>
      <c r="AT181" s="77"/>
      <c r="AU181" s="77"/>
      <c r="AV181" s="83" t="str">
        <f>HYPERLINK("https://pbs.twimg.com/media/F23FdLdW8AEsFWC.png")</f>
        <v>https://pbs.twimg.com/media/F23FdLdW8AEsFWC.png</v>
      </c>
      <c r="AW181" s="80" t="s">
        <v>16170</v>
      </c>
      <c r="AX181" s="80" t="s">
        <v>16170</v>
      </c>
      <c r="AY181" s="77"/>
      <c r="AZ181" s="80" t="s">
        <v>20380</v>
      </c>
      <c r="BA181" s="80" t="s">
        <v>20380</v>
      </c>
      <c r="BB181" s="80" t="s">
        <v>20380</v>
      </c>
      <c r="BC181" s="80" t="s">
        <v>16170</v>
      </c>
      <c r="BD181" s="77">
        <v>217592807</v>
      </c>
      <c r="BE181" s="77"/>
      <c r="BF181" s="77"/>
      <c r="BG181" s="77"/>
      <c r="BH181" s="77"/>
      <c r="BI181" s="77"/>
    </row>
    <row r="182" spans="1:61" x14ac:dyDescent="0.25">
      <c r="A182" s="62" t="s">
        <v>289</v>
      </c>
      <c r="B182" s="62" t="s">
        <v>289</v>
      </c>
      <c r="C182" s="63"/>
      <c r="D182" s="64"/>
      <c r="E182" s="65"/>
      <c r="F182" s="66"/>
      <c r="G182" s="63"/>
      <c r="H182" s="67"/>
      <c r="I182" s="68"/>
      <c r="J182" s="68"/>
      <c r="K182" s="32"/>
      <c r="L182" s="75">
        <v>182</v>
      </c>
      <c r="M182" s="75"/>
      <c r="N182" s="70"/>
      <c r="O182" s="77" t="s">
        <v>179</v>
      </c>
      <c r="P182" s="79">
        <v>45150.547800925924</v>
      </c>
      <c r="Q182" s="77" t="s">
        <v>2240</v>
      </c>
      <c r="R182" s="77">
        <v>0</v>
      </c>
      <c r="S182" s="77">
        <v>0</v>
      </c>
      <c r="T182" s="77">
        <v>0</v>
      </c>
      <c r="U182" s="77">
        <v>0</v>
      </c>
      <c r="V182" s="77">
        <v>52</v>
      </c>
      <c r="W182" s="80" t="s">
        <v>6021</v>
      </c>
      <c r="X182" s="83" t="str">
        <f>HYPERLINK("https://senoticias.com.br/se/consumidor-podera-fazer-compras-com-credito-via-pix-diz-presidente-do-banco-central/")</f>
        <v>https://senoticias.com.br/se/consumidor-podera-fazer-compras-com-credito-via-pix-diz-presidente-do-banco-central/</v>
      </c>
      <c r="Y182" s="77" t="s">
        <v>8611</v>
      </c>
      <c r="Z182" s="77"/>
      <c r="AA182" s="77" t="s">
        <v>9095</v>
      </c>
      <c r="AB182" s="77" t="s">
        <v>10535</v>
      </c>
      <c r="AC182" s="80" t="s">
        <v>10541</v>
      </c>
      <c r="AD182" s="77" t="s">
        <v>10617</v>
      </c>
      <c r="AE182" s="83" t="str">
        <f>HYPERLINK("https://twitter.com/senoticias/status/1690349623343218689")</f>
        <v>https://twitter.com/senoticias/status/1690349623343218689</v>
      </c>
      <c r="AF182" s="79">
        <v>45150.547800925924</v>
      </c>
      <c r="AG182" s="85">
        <v>45150</v>
      </c>
      <c r="AH182" s="80" t="s">
        <v>10789</v>
      </c>
      <c r="AI182" s="77" t="b">
        <v>0</v>
      </c>
      <c r="AJ182" s="77"/>
      <c r="AK182" s="77"/>
      <c r="AL182" s="77"/>
      <c r="AM182" s="77"/>
      <c r="AN182" s="77"/>
      <c r="AO182" s="77"/>
      <c r="AP182" s="77"/>
      <c r="AQ182" s="77" t="s">
        <v>14577</v>
      </c>
      <c r="AR182" s="77"/>
      <c r="AS182" s="77"/>
      <c r="AT182" s="77"/>
      <c r="AU182" s="77"/>
      <c r="AV182" s="83" t="str">
        <f>HYPERLINK("https://pbs.twimg.com/media/F3VT9wYWYAA-Wpr.jpg")</f>
        <v>https://pbs.twimg.com/media/F3VT9wYWYAA-Wpr.jpg</v>
      </c>
      <c r="AW182" s="80" t="s">
        <v>16171</v>
      </c>
      <c r="AX182" s="80" t="s">
        <v>16171</v>
      </c>
      <c r="AY182" s="77"/>
      <c r="AZ182" s="80" t="s">
        <v>20380</v>
      </c>
      <c r="BA182" s="80" t="s">
        <v>20380</v>
      </c>
      <c r="BB182" s="80" t="s">
        <v>20380</v>
      </c>
      <c r="BC182" s="80" t="s">
        <v>16171</v>
      </c>
      <c r="BD182" s="77">
        <v>217592807</v>
      </c>
      <c r="BE182" s="77"/>
      <c r="BF182" s="77"/>
      <c r="BG182" s="77"/>
      <c r="BH182" s="77"/>
      <c r="BI182" s="77"/>
    </row>
    <row r="183" spans="1:61" x14ac:dyDescent="0.25">
      <c r="A183" s="62" t="s">
        <v>290</v>
      </c>
      <c r="B183" s="62" t="s">
        <v>290</v>
      </c>
      <c r="C183" s="63"/>
      <c r="D183" s="64"/>
      <c r="E183" s="65"/>
      <c r="F183" s="66"/>
      <c r="G183" s="63"/>
      <c r="H183" s="67"/>
      <c r="I183" s="68"/>
      <c r="J183" s="68"/>
      <c r="K183" s="32"/>
      <c r="L183" s="75">
        <v>183</v>
      </c>
      <c r="M183" s="75"/>
      <c r="N183" s="70"/>
      <c r="O183" s="77" t="s">
        <v>179</v>
      </c>
      <c r="P183" s="79">
        <v>45128.518113425926</v>
      </c>
      <c r="Q183" s="77" t="s">
        <v>2241</v>
      </c>
      <c r="R183" s="77">
        <v>0</v>
      </c>
      <c r="S183" s="77">
        <v>0</v>
      </c>
      <c r="T183" s="77">
        <v>0</v>
      </c>
      <c r="U183" s="77">
        <v>0</v>
      </c>
      <c r="V183" s="77">
        <v>14</v>
      </c>
      <c r="W183" s="80" t="s">
        <v>6022</v>
      </c>
      <c r="X183" s="83" t="str">
        <f>HYPERLINK("https://revistaforum.com.br/midia/2023/7/21/campos-neto-presidente-do-banco-central-detonado-nas-redes-entenda-139852.html")</f>
        <v>https://revistaforum.com.br/midia/2023/7/21/campos-neto-presidente-do-banco-central-detonado-nas-redes-entenda-139852.html</v>
      </c>
      <c r="Y183" s="77" t="s">
        <v>8611</v>
      </c>
      <c r="Z183" s="77"/>
      <c r="AA183" s="77"/>
      <c r="AB183" s="77"/>
      <c r="AC183" s="80" t="s">
        <v>10542</v>
      </c>
      <c r="AD183" s="77" t="s">
        <v>10617</v>
      </c>
      <c r="AE183" s="83" t="str">
        <f>HYPERLINK("https://twitter.com/sheilacampello/status/1682366334003232768")</f>
        <v>https://twitter.com/sheilacampello/status/1682366334003232768</v>
      </c>
      <c r="AF183" s="79">
        <v>45128.518113425926</v>
      </c>
      <c r="AG183" s="85">
        <v>45128</v>
      </c>
      <c r="AH183" s="80" t="s">
        <v>10790</v>
      </c>
      <c r="AI183" s="77" t="b">
        <v>0</v>
      </c>
      <c r="AJ183" s="77"/>
      <c r="AK183" s="77"/>
      <c r="AL183" s="77"/>
      <c r="AM183" s="77"/>
      <c r="AN183" s="77"/>
      <c r="AO183" s="77"/>
      <c r="AP183" s="77"/>
      <c r="AQ183" s="77"/>
      <c r="AR183" s="77"/>
      <c r="AS183" s="77"/>
      <c r="AT183" s="77"/>
      <c r="AU183" s="77"/>
      <c r="AV183" s="83" t="str">
        <f>HYPERLINK("https://pbs.twimg.com/profile_images/1627441346318422019/Y5cv_IF2_normal.jpg")</f>
        <v>https://pbs.twimg.com/profile_images/1627441346318422019/Y5cv_IF2_normal.jpg</v>
      </c>
      <c r="AW183" s="80" t="s">
        <v>16172</v>
      </c>
      <c r="AX183" s="80" t="s">
        <v>16172</v>
      </c>
      <c r="AY183" s="77"/>
      <c r="AZ183" s="80" t="s">
        <v>20380</v>
      </c>
      <c r="BA183" s="80" t="s">
        <v>20380</v>
      </c>
      <c r="BB183" s="80" t="s">
        <v>20380</v>
      </c>
      <c r="BC183" s="80" t="s">
        <v>16172</v>
      </c>
      <c r="BD183" s="77">
        <v>57448003</v>
      </c>
      <c r="BE183" s="77"/>
      <c r="BF183" s="77"/>
      <c r="BG183" s="77"/>
      <c r="BH183" s="77"/>
      <c r="BI183" s="77"/>
    </row>
    <row r="184" spans="1:61" x14ac:dyDescent="0.25">
      <c r="A184" s="62" t="s">
        <v>291</v>
      </c>
      <c r="B184" s="62" t="s">
        <v>712</v>
      </c>
      <c r="C184" s="63"/>
      <c r="D184" s="64"/>
      <c r="E184" s="65"/>
      <c r="F184" s="66"/>
      <c r="G184" s="63"/>
      <c r="H184" s="67"/>
      <c r="I184" s="68"/>
      <c r="J184" s="68"/>
      <c r="K184" s="32"/>
      <c r="L184" s="75">
        <v>184</v>
      </c>
      <c r="M184" s="75"/>
      <c r="N184" s="70"/>
      <c r="O184" s="77" t="s">
        <v>2083</v>
      </c>
      <c r="P184" s="79">
        <v>45192.094305555554</v>
      </c>
      <c r="Q184" s="77" t="s">
        <v>2242</v>
      </c>
      <c r="R184" s="77">
        <v>2</v>
      </c>
      <c r="S184" s="77">
        <v>0</v>
      </c>
      <c r="T184" s="77">
        <v>0</v>
      </c>
      <c r="U184" s="77">
        <v>0</v>
      </c>
      <c r="V184" s="77"/>
      <c r="W184" s="77"/>
      <c r="X184" s="77"/>
      <c r="Y184" s="77"/>
      <c r="Z184" s="77" t="s">
        <v>712</v>
      </c>
      <c r="AA184" s="77"/>
      <c r="AB184" s="77"/>
      <c r="AC184" s="80" t="s">
        <v>10540</v>
      </c>
      <c r="AD184" s="77" t="s">
        <v>10620</v>
      </c>
      <c r="AE184" s="83" t="str">
        <f>HYPERLINK("https://twitter.com/maurici69926018/status/1705405574563659829")</f>
        <v>https://twitter.com/maurici69926018/status/1705405574563659829</v>
      </c>
      <c r="AF184" s="79">
        <v>45192.094305555554</v>
      </c>
      <c r="AG184" s="85">
        <v>45192</v>
      </c>
      <c r="AH184" s="80" t="s">
        <v>10791</v>
      </c>
      <c r="AI184" s="77"/>
      <c r="AJ184" s="77"/>
      <c r="AK184" s="77"/>
      <c r="AL184" s="77"/>
      <c r="AM184" s="77"/>
      <c r="AN184" s="77"/>
      <c r="AO184" s="77"/>
      <c r="AP184" s="77"/>
      <c r="AQ184" s="77"/>
      <c r="AR184" s="77"/>
      <c r="AS184" s="77"/>
      <c r="AT184" s="77"/>
      <c r="AU184" s="77"/>
      <c r="AV184" s="83" t="str">
        <f>HYPERLINK("https://pbs.twimg.com/profile_images/1598074390666772492/E2FoghM4_normal.png")</f>
        <v>https://pbs.twimg.com/profile_images/1598074390666772492/E2FoghM4_normal.png</v>
      </c>
      <c r="AW184" s="80" t="s">
        <v>16173</v>
      </c>
      <c r="AX184" s="80" t="s">
        <v>16173</v>
      </c>
      <c r="AY184" s="77"/>
      <c r="AZ184" s="80" t="s">
        <v>20380</v>
      </c>
      <c r="BA184" s="80" t="s">
        <v>20380</v>
      </c>
      <c r="BB184" s="80" t="s">
        <v>17162</v>
      </c>
      <c r="BC184" s="80" t="s">
        <v>17162</v>
      </c>
      <c r="BD184" s="80" t="s">
        <v>20530</v>
      </c>
      <c r="BE184" s="77"/>
      <c r="BF184" s="77"/>
      <c r="BG184" s="77"/>
      <c r="BH184" s="77"/>
      <c r="BI184" s="77"/>
    </row>
    <row r="185" spans="1:61" x14ac:dyDescent="0.25">
      <c r="A185" s="62" t="s">
        <v>292</v>
      </c>
      <c r="B185" s="62" t="s">
        <v>292</v>
      </c>
      <c r="C185" s="63"/>
      <c r="D185" s="64"/>
      <c r="E185" s="65"/>
      <c r="F185" s="66"/>
      <c r="G185" s="63"/>
      <c r="H185" s="67"/>
      <c r="I185" s="68"/>
      <c r="J185" s="68"/>
      <c r="K185" s="32"/>
      <c r="L185" s="75">
        <v>185</v>
      </c>
      <c r="M185" s="75"/>
      <c r="N185" s="70"/>
      <c r="O185" s="77" t="s">
        <v>179</v>
      </c>
      <c r="P185" s="79">
        <v>45073.134039351855</v>
      </c>
      <c r="Q185" s="77" t="s">
        <v>2243</v>
      </c>
      <c r="R185" s="77">
        <v>0</v>
      </c>
      <c r="S185" s="77">
        <v>0</v>
      </c>
      <c r="T185" s="77">
        <v>0</v>
      </c>
      <c r="U185" s="77">
        <v>0</v>
      </c>
      <c r="V185" s="77">
        <v>17</v>
      </c>
      <c r="W185" s="80" t="s">
        <v>6023</v>
      </c>
      <c r="X185" s="83" t="str">
        <f>HYPERLINK("https://youtu.be/mIm9Lf9sw9I")</f>
        <v>https://youtu.be/mIm9Lf9sw9I</v>
      </c>
      <c r="Y185" s="77" t="s">
        <v>8635</v>
      </c>
      <c r="Z185" s="77"/>
      <c r="AA185" s="77"/>
      <c r="AB185" s="77"/>
      <c r="AC185" s="80" t="s">
        <v>10540</v>
      </c>
      <c r="AD185" s="77" t="s">
        <v>10620</v>
      </c>
      <c r="AE185" s="83" t="str">
        <f>HYPERLINK("https://twitter.com/yinsss/status/1662295816277577729")</f>
        <v>https://twitter.com/yinsss/status/1662295816277577729</v>
      </c>
      <c r="AF185" s="79">
        <v>45073.134039351855</v>
      </c>
      <c r="AG185" s="85">
        <v>45073</v>
      </c>
      <c r="AH185" s="80" t="s">
        <v>10792</v>
      </c>
      <c r="AI185" s="77" t="b">
        <v>0</v>
      </c>
      <c r="AJ185" s="77"/>
      <c r="AK185" s="77"/>
      <c r="AL185" s="77"/>
      <c r="AM185" s="77"/>
      <c r="AN185" s="77"/>
      <c r="AO185" s="77"/>
      <c r="AP185" s="77"/>
      <c r="AQ185" s="77"/>
      <c r="AR185" s="77"/>
      <c r="AS185" s="77"/>
      <c r="AT185" s="77"/>
      <c r="AU185" s="77"/>
      <c r="AV185" s="83" t="str">
        <f>HYPERLINK("https://pbs.twimg.com/profile_images/259985045/el_chapulin_colorado-blanconegro_normal.jpg")</f>
        <v>https://pbs.twimg.com/profile_images/259985045/el_chapulin_colorado-blanconegro_normal.jpg</v>
      </c>
      <c r="AW185" s="80" t="s">
        <v>16174</v>
      </c>
      <c r="AX185" s="80" t="s">
        <v>16174</v>
      </c>
      <c r="AY185" s="77"/>
      <c r="AZ185" s="80" t="s">
        <v>20380</v>
      </c>
      <c r="BA185" s="80" t="s">
        <v>20380</v>
      </c>
      <c r="BB185" s="80" t="s">
        <v>20380</v>
      </c>
      <c r="BC185" s="80" t="s">
        <v>16174</v>
      </c>
      <c r="BD185" s="77">
        <v>41824533</v>
      </c>
      <c r="BE185" s="77"/>
      <c r="BF185" s="77"/>
      <c r="BG185" s="77"/>
      <c r="BH185" s="77"/>
      <c r="BI185" s="77"/>
    </row>
    <row r="186" spans="1:61" x14ac:dyDescent="0.25">
      <c r="A186" s="62" t="s">
        <v>293</v>
      </c>
      <c r="B186" s="62" t="s">
        <v>293</v>
      </c>
      <c r="C186" s="63"/>
      <c r="D186" s="64"/>
      <c r="E186" s="65"/>
      <c r="F186" s="66"/>
      <c r="G186" s="63"/>
      <c r="H186" s="67"/>
      <c r="I186" s="68"/>
      <c r="J186" s="68"/>
      <c r="K186" s="32"/>
      <c r="L186" s="75">
        <v>186</v>
      </c>
      <c r="M186" s="75"/>
      <c r="N186" s="70"/>
      <c r="O186" s="77" t="s">
        <v>179</v>
      </c>
      <c r="P186" s="79">
        <v>45090.491400462961</v>
      </c>
      <c r="Q186" s="77" t="s">
        <v>2244</v>
      </c>
      <c r="R186" s="77">
        <v>1</v>
      </c>
      <c r="S186" s="77">
        <v>10</v>
      </c>
      <c r="T186" s="77">
        <v>0</v>
      </c>
      <c r="U186" s="77">
        <v>0</v>
      </c>
      <c r="V186" s="77">
        <v>1392</v>
      </c>
      <c r="W186" s="80" t="s">
        <v>6024</v>
      </c>
      <c r="X186" s="77"/>
      <c r="Y186" s="77"/>
      <c r="Z186" s="77"/>
      <c r="AA186" s="77" t="s">
        <v>9096</v>
      </c>
      <c r="AB186" s="77" t="s">
        <v>10535</v>
      </c>
      <c r="AC186" s="80" t="s">
        <v>10541</v>
      </c>
      <c r="AD186" s="77" t="s">
        <v>10617</v>
      </c>
      <c r="AE186" s="83" t="str">
        <f>HYPERLINK("https://twitter.com/marcionas/status/1668585913629257728")</f>
        <v>https://twitter.com/marcionas/status/1668585913629257728</v>
      </c>
      <c r="AF186" s="79">
        <v>45090.491400462961</v>
      </c>
      <c r="AG186" s="85">
        <v>45090</v>
      </c>
      <c r="AH186" s="80" t="s">
        <v>10793</v>
      </c>
      <c r="AI186" s="77" t="b">
        <v>0</v>
      </c>
      <c r="AJ186" s="77"/>
      <c r="AK186" s="77"/>
      <c r="AL186" s="77"/>
      <c r="AM186" s="77"/>
      <c r="AN186" s="77"/>
      <c r="AO186" s="77"/>
      <c r="AP186" s="77"/>
      <c r="AQ186" s="77" t="s">
        <v>14578</v>
      </c>
      <c r="AR186" s="77"/>
      <c r="AS186" s="77"/>
      <c r="AT186" s="77"/>
      <c r="AU186" s="77"/>
      <c r="AV186" s="83" t="str">
        <f>HYPERLINK("https://pbs.twimg.com/media/FygBJdRWIAANy6S.jpg")</f>
        <v>https://pbs.twimg.com/media/FygBJdRWIAANy6S.jpg</v>
      </c>
      <c r="AW186" s="80" t="s">
        <v>16175</v>
      </c>
      <c r="AX186" s="80" t="s">
        <v>16175</v>
      </c>
      <c r="AY186" s="77"/>
      <c r="AZ186" s="80" t="s">
        <v>20380</v>
      </c>
      <c r="BA186" s="80" t="s">
        <v>20380</v>
      </c>
      <c r="BB186" s="80" t="s">
        <v>20380</v>
      </c>
      <c r="BC186" s="80" t="s">
        <v>16175</v>
      </c>
      <c r="BD186" s="77">
        <v>87247014</v>
      </c>
      <c r="BE186" s="77"/>
      <c r="BF186" s="77"/>
      <c r="BG186" s="77"/>
      <c r="BH186" s="77"/>
      <c r="BI186" s="77"/>
    </row>
    <row r="187" spans="1:61" x14ac:dyDescent="0.25">
      <c r="A187" s="62" t="s">
        <v>293</v>
      </c>
      <c r="B187" s="62" t="s">
        <v>293</v>
      </c>
      <c r="C187" s="63"/>
      <c r="D187" s="64"/>
      <c r="E187" s="65"/>
      <c r="F187" s="66"/>
      <c r="G187" s="63"/>
      <c r="H187" s="67"/>
      <c r="I187" s="68"/>
      <c r="J187" s="68"/>
      <c r="K187" s="32"/>
      <c r="L187" s="75">
        <v>187</v>
      </c>
      <c r="M187" s="75"/>
      <c r="N187" s="70"/>
      <c r="O187" s="77" t="s">
        <v>179</v>
      </c>
      <c r="P187" s="79">
        <v>45091.885578703703</v>
      </c>
      <c r="Q187" s="77" t="s">
        <v>2245</v>
      </c>
      <c r="R187" s="77">
        <v>1</v>
      </c>
      <c r="S187" s="77">
        <v>6</v>
      </c>
      <c r="T187" s="77">
        <v>1</v>
      </c>
      <c r="U187" s="77">
        <v>0</v>
      </c>
      <c r="V187" s="77">
        <v>263</v>
      </c>
      <c r="W187" s="80" t="s">
        <v>6025</v>
      </c>
      <c r="X187" s="77"/>
      <c r="Y187" s="77"/>
      <c r="Z187" s="77"/>
      <c r="AA187" s="77" t="s">
        <v>9097</v>
      </c>
      <c r="AB187" s="77" t="s">
        <v>10535</v>
      </c>
      <c r="AC187" s="80" t="s">
        <v>10541</v>
      </c>
      <c r="AD187" s="77" t="s">
        <v>10617</v>
      </c>
      <c r="AE187" s="83" t="str">
        <f>HYPERLINK("https://twitter.com/marcionas/status/1669091149020110848")</f>
        <v>https://twitter.com/marcionas/status/1669091149020110848</v>
      </c>
      <c r="AF187" s="79">
        <v>45091.885578703703</v>
      </c>
      <c r="AG187" s="85">
        <v>45091</v>
      </c>
      <c r="AH187" s="80" t="s">
        <v>10794</v>
      </c>
      <c r="AI187" s="77" t="b">
        <v>0</v>
      </c>
      <c r="AJ187" s="77"/>
      <c r="AK187" s="77"/>
      <c r="AL187" s="77"/>
      <c r="AM187" s="77"/>
      <c r="AN187" s="77"/>
      <c r="AO187" s="77"/>
      <c r="AP187" s="77"/>
      <c r="AQ187" s="77" t="s">
        <v>14579</v>
      </c>
      <c r="AR187" s="77"/>
      <c r="AS187" s="77"/>
      <c r="AT187" s="77"/>
      <c r="AU187" s="77"/>
      <c r="AV187" s="83" t="str">
        <f>HYPERLINK("https://pbs.twimg.com/media/FynMfz0XwAMyHyh.jpg")</f>
        <v>https://pbs.twimg.com/media/FynMfz0XwAMyHyh.jpg</v>
      </c>
      <c r="AW187" s="80" t="s">
        <v>16176</v>
      </c>
      <c r="AX187" s="80" t="s">
        <v>16176</v>
      </c>
      <c r="AY187" s="77"/>
      <c r="AZ187" s="80" t="s">
        <v>20380</v>
      </c>
      <c r="BA187" s="80" t="s">
        <v>20380</v>
      </c>
      <c r="BB187" s="80" t="s">
        <v>20380</v>
      </c>
      <c r="BC187" s="80" t="s">
        <v>16176</v>
      </c>
      <c r="BD187" s="77">
        <v>87247014</v>
      </c>
      <c r="BE187" s="77"/>
      <c r="BF187" s="77"/>
      <c r="BG187" s="77"/>
      <c r="BH187" s="77"/>
      <c r="BI187" s="77"/>
    </row>
    <row r="188" spans="1:61" x14ac:dyDescent="0.25">
      <c r="A188" s="62" t="s">
        <v>293</v>
      </c>
      <c r="B188" s="62" t="s">
        <v>293</v>
      </c>
      <c r="C188" s="63"/>
      <c r="D188" s="64"/>
      <c r="E188" s="65"/>
      <c r="F188" s="66"/>
      <c r="G188" s="63"/>
      <c r="H188" s="67"/>
      <c r="I188" s="68"/>
      <c r="J188" s="68"/>
      <c r="K188" s="32"/>
      <c r="L188" s="75">
        <v>188</v>
      </c>
      <c r="M188" s="75"/>
      <c r="N188" s="70"/>
      <c r="O188" s="77" t="s">
        <v>179</v>
      </c>
      <c r="P188" s="79">
        <v>45098.581203703703</v>
      </c>
      <c r="Q188" s="77" t="s">
        <v>2246</v>
      </c>
      <c r="R188" s="77">
        <v>5</v>
      </c>
      <c r="S188" s="77">
        <v>13</v>
      </c>
      <c r="T188" s="77">
        <v>4</v>
      </c>
      <c r="U188" s="77">
        <v>1</v>
      </c>
      <c r="V188" s="77">
        <v>516</v>
      </c>
      <c r="W188" s="80" t="s">
        <v>5896</v>
      </c>
      <c r="X188" s="77"/>
      <c r="Y188" s="77"/>
      <c r="Z188" s="77"/>
      <c r="AA188" s="77" t="s">
        <v>9098</v>
      </c>
      <c r="AB188" s="77" t="s">
        <v>10535</v>
      </c>
      <c r="AC188" s="80" t="s">
        <v>10541</v>
      </c>
      <c r="AD188" s="77" t="s">
        <v>10617</v>
      </c>
      <c r="AE188" s="83" t="str">
        <f>HYPERLINK("https://twitter.com/marcionas/status/1671517562817970180")</f>
        <v>https://twitter.com/marcionas/status/1671517562817970180</v>
      </c>
      <c r="AF188" s="79">
        <v>45098.581203703703</v>
      </c>
      <c r="AG188" s="85">
        <v>45098</v>
      </c>
      <c r="AH188" s="80" t="s">
        <v>10795</v>
      </c>
      <c r="AI188" s="77" t="b">
        <v>0</v>
      </c>
      <c r="AJ188" s="77"/>
      <c r="AK188" s="77"/>
      <c r="AL188" s="77"/>
      <c r="AM188" s="77"/>
      <c r="AN188" s="77"/>
      <c r="AO188" s="77"/>
      <c r="AP188" s="77"/>
      <c r="AQ188" s="77" t="s">
        <v>14580</v>
      </c>
      <c r="AR188" s="77"/>
      <c r="AS188" s="77"/>
      <c r="AT188" s="77"/>
      <c r="AU188" s="77"/>
      <c r="AV188" s="83" t="str">
        <f>HYPERLINK("https://pbs.twimg.com/media/FzJrYClXgAUWUF8.jpg")</f>
        <v>https://pbs.twimg.com/media/FzJrYClXgAUWUF8.jpg</v>
      </c>
      <c r="AW188" s="80" t="s">
        <v>16177</v>
      </c>
      <c r="AX188" s="80" t="s">
        <v>16177</v>
      </c>
      <c r="AY188" s="77"/>
      <c r="AZ188" s="80" t="s">
        <v>20380</v>
      </c>
      <c r="BA188" s="80" t="s">
        <v>20380</v>
      </c>
      <c r="BB188" s="80" t="s">
        <v>20380</v>
      </c>
      <c r="BC188" s="80" t="s">
        <v>16177</v>
      </c>
      <c r="BD188" s="77">
        <v>87247014</v>
      </c>
      <c r="BE188" s="77"/>
      <c r="BF188" s="77"/>
      <c r="BG188" s="77"/>
      <c r="BH188" s="77"/>
      <c r="BI188" s="77"/>
    </row>
    <row r="189" spans="1:61" x14ac:dyDescent="0.25">
      <c r="A189" s="62" t="s">
        <v>294</v>
      </c>
      <c r="B189" s="62" t="s">
        <v>1655</v>
      </c>
      <c r="C189" s="63"/>
      <c r="D189" s="64"/>
      <c r="E189" s="65"/>
      <c r="F189" s="66"/>
      <c r="G189" s="63"/>
      <c r="H189" s="67"/>
      <c r="I189" s="68"/>
      <c r="J189" s="68"/>
      <c r="K189" s="32"/>
      <c r="L189" s="75">
        <v>189</v>
      </c>
      <c r="M189" s="75"/>
      <c r="N189" s="70"/>
      <c r="O189" s="77" t="s">
        <v>2083</v>
      </c>
      <c r="P189" s="79">
        <v>45191.235196759262</v>
      </c>
      <c r="Q189" s="77" t="s">
        <v>2120</v>
      </c>
      <c r="R189" s="77">
        <v>57</v>
      </c>
      <c r="S189" s="77">
        <v>0</v>
      </c>
      <c r="T189" s="77">
        <v>0</v>
      </c>
      <c r="U189" s="77">
        <v>0</v>
      </c>
      <c r="V189" s="77"/>
      <c r="W189" s="80" t="s">
        <v>5917</v>
      </c>
      <c r="X189" s="77"/>
      <c r="Y189" s="77"/>
      <c r="Z189" s="77" t="s">
        <v>1655</v>
      </c>
      <c r="AA189" s="77"/>
      <c r="AB189" s="77"/>
      <c r="AC189" s="80" t="s">
        <v>10541</v>
      </c>
      <c r="AD189" s="77" t="s">
        <v>10617</v>
      </c>
      <c r="AE189" s="83" t="str">
        <f>HYPERLINK("https://twitter.com/manhanibetto/status/1705094242220011697")</f>
        <v>https://twitter.com/manhanibetto/status/1705094242220011697</v>
      </c>
      <c r="AF189" s="79">
        <v>45191.235196759262</v>
      </c>
      <c r="AG189" s="85">
        <v>45191</v>
      </c>
      <c r="AH189" s="80" t="s">
        <v>10796</v>
      </c>
      <c r="AI189" s="77"/>
      <c r="AJ189" s="77"/>
      <c r="AK189" s="77"/>
      <c r="AL189" s="77"/>
      <c r="AM189" s="77"/>
      <c r="AN189" s="77"/>
      <c r="AO189" s="77"/>
      <c r="AP189" s="77"/>
      <c r="AQ189" s="77"/>
      <c r="AR189" s="77"/>
      <c r="AS189" s="77"/>
      <c r="AT189" s="77"/>
      <c r="AU189" s="77"/>
      <c r="AV189" s="83" t="str">
        <f>HYPERLINK("https://pbs.twimg.com/profile_images/1612313940603637763/1y_y0_dF_normal.jpg")</f>
        <v>https://pbs.twimg.com/profile_images/1612313940603637763/1y_y0_dF_normal.jpg</v>
      </c>
      <c r="AW189" s="80" t="s">
        <v>16178</v>
      </c>
      <c r="AX189" s="80" t="s">
        <v>16178</v>
      </c>
      <c r="AY189" s="77"/>
      <c r="AZ189" s="80" t="s">
        <v>20380</v>
      </c>
      <c r="BA189" s="80" t="s">
        <v>20380</v>
      </c>
      <c r="BB189" s="80" t="s">
        <v>19843</v>
      </c>
      <c r="BC189" s="80" t="s">
        <v>19843</v>
      </c>
      <c r="BD189" s="80" t="s">
        <v>20531</v>
      </c>
      <c r="BE189" s="77"/>
      <c r="BF189" s="77"/>
      <c r="BG189" s="77"/>
      <c r="BH189" s="77"/>
      <c r="BI189" s="77"/>
    </row>
    <row r="190" spans="1:61" x14ac:dyDescent="0.25">
      <c r="A190" s="62" t="s">
        <v>295</v>
      </c>
      <c r="B190" s="62" t="s">
        <v>295</v>
      </c>
      <c r="C190" s="63"/>
      <c r="D190" s="64"/>
      <c r="E190" s="65"/>
      <c r="F190" s="66"/>
      <c r="G190" s="63"/>
      <c r="H190" s="67"/>
      <c r="I190" s="68"/>
      <c r="J190" s="68"/>
      <c r="K190" s="32"/>
      <c r="L190" s="75">
        <v>190</v>
      </c>
      <c r="M190" s="75"/>
      <c r="N190" s="70"/>
      <c r="O190" s="77" t="s">
        <v>179</v>
      </c>
      <c r="P190" s="79">
        <v>45061.729525462964</v>
      </c>
      <c r="Q190" s="77" t="s">
        <v>2247</v>
      </c>
      <c r="R190" s="77">
        <v>0</v>
      </c>
      <c r="S190" s="77">
        <v>0</v>
      </c>
      <c r="T190" s="77">
        <v>0</v>
      </c>
      <c r="U190" s="77">
        <v>0</v>
      </c>
      <c r="V190" s="77">
        <v>32</v>
      </c>
      <c r="W190" s="80" t="s">
        <v>6026</v>
      </c>
      <c r="X190" s="77"/>
      <c r="Y190" s="77"/>
      <c r="Z190" s="77"/>
      <c r="AA190" s="77" t="s">
        <v>9099</v>
      </c>
      <c r="AB190" s="77" t="s">
        <v>10535</v>
      </c>
      <c r="AC190" s="80" t="s">
        <v>10541</v>
      </c>
      <c r="AD190" s="77" t="s">
        <v>10617</v>
      </c>
      <c r="AE190" s="83" t="str">
        <f>HYPERLINK("https://twitter.com/marco36934747/status/1658162958814392324")</f>
        <v>https://twitter.com/marco36934747/status/1658162958814392324</v>
      </c>
      <c r="AF190" s="79">
        <v>45061.729525462964</v>
      </c>
      <c r="AG190" s="85">
        <v>45061</v>
      </c>
      <c r="AH190" s="80" t="s">
        <v>10797</v>
      </c>
      <c r="AI190" s="77" t="b">
        <v>0</v>
      </c>
      <c r="AJ190" s="77"/>
      <c r="AK190" s="77"/>
      <c r="AL190" s="77"/>
      <c r="AM190" s="77"/>
      <c r="AN190" s="77"/>
      <c r="AO190" s="77"/>
      <c r="AP190" s="77"/>
      <c r="AQ190" s="77" t="s">
        <v>14581</v>
      </c>
      <c r="AR190" s="77"/>
      <c r="AS190" s="77"/>
      <c r="AT190" s="77"/>
      <c r="AU190" s="77"/>
      <c r="AV190" s="83" t="str">
        <f>HYPERLINK("https://pbs.twimg.com/media/FwL535KXsBYrbn6.jpg")</f>
        <v>https://pbs.twimg.com/media/FwL535KXsBYrbn6.jpg</v>
      </c>
      <c r="AW190" s="80" t="s">
        <v>16179</v>
      </c>
      <c r="AX190" s="80" t="s">
        <v>16179</v>
      </c>
      <c r="AY190" s="77"/>
      <c r="AZ190" s="80" t="s">
        <v>20380</v>
      </c>
      <c r="BA190" s="80" t="s">
        <v>20380</v>
      </c>
      <c r="BB190" s="80" t="s">
        <v>20380</v>
      </c>
      <c r="BC190" s="80" t="s">
        <v>16179</v>
      </c>
      <c r="BD190" s="80" t="s">
        <v>20532</v>
      </c>
      <c r="BE190" s="77"/>
      <c r="BF190" s="77"/>
      <c r="BG190" s="77"/>
      <c r="BH190" s="77"/>
      <c r="BI190" s="77"/>
    </row>
    <row r="191" spans="1:61" x14ac:dyDescent="0.25">
      <c r="A191" s="62" t="s">
        <v>296</v>
      </c>
      <c r="B191" s="62" t="s">
        <v>296</v>
      </c>
      <c r="C191" s="63"/>
      <c r="D191" s="64"/>
      <c r="E191" s="65"/>
      <c r="F191" s="66"/>
      <c r="G191" s="63"/>
      <c r="H191" s="67"/>
      <c r="I191" s="68"/>
      <c r="J191" s="68"/>
      <c r="K191" s="32"/>
      <c r="L191" s="75">
        <v>191</v>
      </c>
      <c r="M191" s="75"/>
      <c r="N191" s="70"/>
      <c r="O191" s="77" t="s">
        <v>179</v>
      </c>
      <c r="P191" s="79">
        <v>45119.659236111111</v>
      </c>
      <c r="Q191" s="77" t="s">
        <v>2248</v>
      </c>
      <c r="R191" s="77">
        <v>0</v>
      </c>
      <c r="S191" s="77">
        <v>0</v>
      </c>
      <c r="T191" s="77">
        <v>0</v>
      </c>
      <c r="U191" s="77">
        <v>1</v>
      </c>
      <c r="V191" s="77">
        <v>75</v>
      </c>
      <c r="W191" s="80" t="s">
        <v>6027</v>
      </c>
      <c r="X191" s="83" t="str">
        <f>HYPERLINK("https://www.0264noticias.com.ar/noticias/2023/07/12/52038-se-necesita-el-acuerdo-con-el-fmi-para-que-no-caigan-las-reservas-del-banco-central")</f>
        <v>https://www.0264noticias.com.ar/noticias/2023/07/12/52038-se-necesita-el-acuerdo-con-el-fmi-para-que-no-caigan-las-reservas-del-banco-central</v>
      </c>
      <c r="Y191" s="77" t="s">
        <v>8624</v>
      </c>
      <c r="Z191" s="77"/>
      <c r="AA191" s="77"/>
      <c r="AB191" s="77"/>
      <c r="AC191" s="80" t="s">
        <v>10541</v>
      </c>
      <c r="AD191" s="77" t="s">
        <v>10620</v>
      </c>
      <c r="AE191" s="83" t="str">
        <f>HYPERLINK("https://twitter.com/0264noticias/status/1679155983824867328")</f>
        <v>https://twitter.com/0264noticias/status/1679155983824867328</v>
      </c>
      <c r="AF191" s="79">
        <v>45119.659236111111</v>
      </c>
      <c r="AG191" s="85">
        <v>45119</v>
      </c>
      <c r="AH191" s="80" t="s">
        <v>10798</v>
      </c>
      <c r="AI191" s="77" t="b">
        <v>0</v>
      </c>
      <c r="AJ191" s="77"/>
      <c r="AK191" s="77"/>
      <c r="AL191" s="77"/>
      <c r="AM191" s="77"/>
      <c r="AN191" s="77"/>
      <c r="AO191" s="77"/>
      <c r="AP191" s="77"/>
      <c r="AQ191" s="77"/>
      <c r="AR191" s="77"/>
      <c r="AS191" s="77"/>
      <c r="AT191" s="77"/>
      <c r="AU191" s="77"/>
      <c r="AV191" s="83" t="str">
        <f>HYPERLINK("https://pbs.twimg.com/profile_images/1348593744531107842/V98lpVY7_normal.jpg")</f>
        <v>https://pbs.twimg.com/profile_images/1348593744531107842/V98lpVY7_normal.jpg</v>
      </c>
      <c r="AW191" s="80" t="s">
        <v>16180</v>
      </c>
      <c r="AX191" s="80" t="s">
        <v>16180</v>
      </c>
      <c r="AY191" s="77"/>
      <c r="AZ191" s="80" t="s">
        <v>20380</v>
      </c>
      <c r="BA191" s="80" t="s">
        <v>20380</v>
      </c>
      <c r="BB191" s="80" t="s">
        <v>20380</v>
      </c>
      <c r="BC191" s="80" t="s">
        <v>16180</v>
      </c>
      <c r="BD191" s="80" t="s">
        <v>20533</v>
      </c>
      <c r="BE191" s="77"/>
      <c r="BF191" s="77"/>
      <c r="BG191" s="77"/>
      <c r="BH191" s="77"/>
      <c r="BI191" s="77"/>
    </row>
    <row r="192" spans="1:61" x14ac:dyDescent="0.25">
      <c r="A192" s="62" t="s">
        <v>296</v>
      </c>
      <c r="B192" s="62" t="s">
        <v>296</v>
      </c>
      <c r="C192" s="63"/>
      <c r="D192" s="64"/>
      <c r="E192" s="65"/>
      <c r="F192" s="66"/>
      <c r="G192" s="63"/>
      <c r="H192" s="67"/>
      <c r="I192" s="68"/>
      <c r="J192" s="68"/>
      <c r="K192" s="32"/>
      <c r="L192" s="75">
        <v>192</v>
      </c>
      <c r="M192" s="75"/>
      <c r="N192" s="70"/>
      <c r="O192" s="77" t="s">
        <v>179</v>
      </c>
      <c r="P192" s="79">
        <v>45181.693402777775</v>
      </c>
      <c r="Q192" s="77" t="s">
        <v>2249</v>
      </c>
      <c r="R192" s="77">
        <v>0</v>
      </c>
      <c r="S192" s="77">
        <v>0</v>
      </c>
      <c r="T192" s="77">
        <v>0</v>
      </c>
      <c r="U192" s="77">
        <v>0</v>
      </c>
      <c r="V192" s="77">
        <v>14</v>
      </c>
      <c r="W192" s="80" t="s">
        <v>6028</v>
      </c>
      <c r="X192" s="83" t="str">
        <f>HYPERLINK("https://www.0264noticias.com.ar/noticias/2023/09/12/53535-el-banco-central-tomara-decisiones-que-mantengan-la-calma-del-dolar")</f>
        <v>https://www.0264noticias.com.ar/noticias/2023/09/12/53535-el-banco-central-tomara-decisiones-que-mantengan-la-calma-del-dolar</v>
      </c>
      <c r="Y192" s="77" t="s">
        <v>8624</v>
      </c>
      <c r="Z192" s="77"/>
      <c r="AA192" s="77"/>
      <c r="AB192" s="77"/>
      <c r="AC192" s="80" t="s">
        <v>10541</v>
      </c>
      <c r="AD192" s="77" t="s">
        <v>10620</v>
      </c>
      <c r="AE192" s="83" t="str">
        <f>HYPERLINK("https://twitter.com/0264noticias/status/1701636413416993147")</f>
        <v>https://twitter.com/0264noticias/status/1701636413416993147</v>
      </c>
      <c r="AF192" s="79">
        <v>45181.693402777775</v>
      </c>
      <c r="AG192" s="85">
        <v>45181</v>
      </c>
      <c r="AH192" s="80" t="s">
        <v>10799</v>
      </c>
      <c r="AI192" s="77" t="b">
        <v>0</v>
      </c>
      <c r="AJ192" s="77"/>
      <c r="AK192" s="77"/>
      <c r="AL192" s="77"/>
      <c r="AM192" s="77"/>
      <c r="AN192" s="77"/>
      <c r="AO192" s="77"/>
      <c r="AP192" s="77"/>
      <c r="AQ192" s="77"/>
      <c r="AR192" s="77"/>
      <c r="AS192" s="77"/>
      <c r="AT192" s="77"/>
      <c r="AU192" s="77"/>
      <c r="AV192" s="83" t="str">
        <f>HYPERLINK("https://pbs.twimg.com/profile_images/1348593744531107842/V98lpVY7_normal.jpg")</f>
        <v>https://pbs.twimg.com/profile_images/1348593744531107842/V98lpVY7_normal.jpg</v>
      </c>
      <c r="AW192" s="80" t="s">
        <v>16181</v>
      </c>
      <c r="AX192" s="80" t="s">
        <v>16181</v>
      </c>
      <c r="AY192" s="77"/>
      <c r="AZ192" s="80" t="s">
        <v>20380</v>
      </c>
      <c r="BA192" s="80" t="s">
        <v>20380</v>
      </c>
      <c r="BB192" s="80" t="s">
        <v>20380</v>
      </c>
      <c r="BC192" s="80" t="s">
        <v>16181</v>
      </c>
      <c r="BD192" s="80" t="s">
        <v>20533</v>
      </c>
      <c r="BE192" s="77"/>
      <c r="BF192" s="77"/>
      <c r="BG192" s="77"/>
      <c r="BH192" s="77"/>
      <c r="BI192" s="77"/>
    </row>
    <row r="193" spans="1:61" x14ac:dyDescent="0.25">
      <c r="A193" s="62" t="s">
        <v>297</v>
      </c>
      <c r="B193" s="62" t="s">
        <v>297</v>
      </c>
      <c r="C193" s="63"/>
      <c r="D193" s="64"/>
      <c r="E193" s="65"/>
      <c r="F193" s="66"/>
      <c r="G193" s="63"/>
      <c r="H193" s="67"/>
      <c r="I193" s="68"/>
      <c r="J193" s="68"/>
      <c r="K193" s="32"/>
      <c r="L193" s="75">
        <v>193</v>
      </c>
      <c r="M193" s="75"/>
      <c r="N193" s="70"/>
      <c r="O193" s="77" t="s">
        <v>179</v>
      </c>
      <c r="P193" s="79">
        <v>45139.500335648147</v>
      </c>
      <c r="Q193" s="77" t="s">
        <v>2250</v>
      </c>
      <c r="R193" s="77">
        <v>0</v>
      </c>
      <c r="S193" s="77">
        <v>0</v>
      </c>
      <c r="T193" s="77">
        <v>0</v>
      </c>
      <c r="U193" s="77">
        <v>0</v>
      </c>
      <c r="V193" s="77">
        <v>16</v>
      </c>
      <c r="W193" s="80" t="s">
        <v>6029</v>
      </c>
      <c r="X193" s="77"/>
      <c r="Y193" s="77"/>
      <c r="Z193" s="77"/>
      <c r="AA193" s="77"/>
      <c r="AB193" s="77"/>
      <c r="AC193" s="80" t="s">
        <v>10542</v>
      </c>
      <c r="AD193" s="77" t="s">
        <v>10617</v>
      </c>
      <c r="AE193" s="83" t="str">
        <f>HYPERLINK("https://twitter.com/ronivonsx/status/1686346156220010496")</f>
        <v>https://twitter.com/ronivonsx/status/1686346156220010496</v>
      </c>
      <c r="AF193" s="79">
        <v>45139.500335648147</v>
      </c>
      <c r="AG193" s="85">
        <v>45139</v>
      </c>
      <c r="AH193" s="80" t="s">
        <v>10800</v>
      </c>
      <c r="AI193" s="77"/>
      <c r="AJ193" s="77"/>
      <c r="AK193" s="77"/>
      <c r="AL193" s="77"/>
      <c r="AM193" s="77"/>
      <c r="AN193" s="77"/>
      <c r="AO193" s="77"/>
      <c r="AP193" s="77"/>
      <c r="AQ193" s="77"/>
      <c r="AR193" s="77"/>
      <c r="AS193" s="77"/>
      <c r="AT193" s="77"/>
      <c r="AU193" s="77"/>
      <c r="AV193" s="83" t="str">
        <f>HYPERLINK("https://pbs.twimg.com/profile_images/1672259016016252929/djD3a0cc_normal.jpg")</f>
        <v>https://pbs.twimg.com/profile_images/1672259016016252929/djD3a0cc_normal.jpg</v>
      </c>
      <c r="AW193" s="80" t="s">
        <v>16182</v>
      </c>
      <c r="AX193" s="80" t="s">
        <v>16182</v>
      </c>
      <c r="AY193" s="77"/>
      <c r="AZ193" s="80" t="s">
        <v>20380</v>
      </c>
      <c r="BA193" s="80" t="s">
        <v>20380</v>
      </c>
      <c r="BB193" s="80" t="s">
        <v>20380</v>
      </c>
      <c r="BC193" s="80" t="s">
        <v>16182</v>
      </c>
      <c r="BD193" s="80" t="s">
        <v>20534</v>
      </c>
      <c r="BE193" s="77"/>
      <c r="BF193" s="77"/>
      <c r="BG193" s="77"/>
      <c r="BH193" s="77"/>
      <c r="BI193" s="77"/>
    </row>
    <row r="194" spans="1:61" x14ac:dyDescent="0.25">
      <c r="A194" s="62" t="s">
        <v>298</v>
      </c>
      <c r="B194" s="62" t="s">
        <v>1717</v>
      </c>
      <c r="C194" s="63"/>
      <c r="D194" s="64"/>
      <c r="E194" s="65"/>
      <c r="F194" s="66"/>
      <c r="G194" s="63"/>
      <c r="H194" s="67"/>
      <c r="I194" s="68"/>
      <c r="J194" s="68"/>
      <c r="K194" s="32"/>
      <c r="L194" s="75">
        <v>194</v>
      </c>
      <c r="M194" s="75"/>
      <c r="N194" s="70"/>
      <c r="O194" s="77" t="s">
        <v>2081</v>
      </c>
      <c r="P194" s="79">
        <v>45087.697800925926</v>
      </c>
      <c r="Q194" s="77" t="s">
        <v>2251</v>
      </c>
      <c r="R194" s="77">
        <v>3</v>
      </c>
      <c r="S194" s="77">
        <v>8</v>
      </c>
      <c r="T194" s="77">
        <v>0</v>
      </c>
      <c r="U194" s="77">
        <v>0</v>
      </c>
      <c r="V194" s="77">
        <v>135</v>
      </c>
      <c r="W194" s="80" t="s">
        <v>6030</v>
      </c>
      <c r="X194" s="77"/>
      <c r="Y194" s="77"/>
      <c r="Z194" s="77" t="s">
        <v>8908</v>
      </c>
      <c r="AA194" s="77" t="s">
        <v>9100</v>
      </c>
      <c r="AB194" s="77" t="s">
        <v>10535</v>
      </c>
      <c r="AC194" s="80" t="s">
        <v>10540</v>
      </c>
      <c r="AD194" s="77" t="s">
        <v>10620</v>
      </c>
      <c r="AE194" s="83" t="str">
        <f>HYPERLINK("https://twitter.com/jesica_starck_/status/1667573548838273029")</f>
        <v>https://twitter.com/jesica_starck_/status/1667573548838273029</v>
      </c>
      <c r="AF194" s="79">
        <v>45087.697800925926</v>
      </c>
      <c r="AG194" s="85">
        <v>45087</v>
      </c>
      <c r="AH194" s="80" t="s">
        <v>10801</v>
      </c>
      <c r="AI194" s="77" t="b">
        <v>0</v>
      </c>
      <c r="AJ194" s="77"/>
      <c r="AK194" s="77"/>
      <c r="AL194" s="77"/>
      <c r="AM194" s="77"/>
      <c r="AN194" s="77"/>
      <c r="AO194" s="77"/>
      <c r="AP194" s="77"/>
      <c r="AQ194" s="77" t="s">
        <v>14582</v>
      </c>
      <c r="AR194" s="77"/>
      <c r="AS194" s="77"/>
      <c r="AT194" s="77"/>
      <c r="AU194" s="77"/>
      <c r="AV194" s="83" t="str">
        <f>HYPERLINK("https://pbs.twimg.com/media/FyRpTf8WYAMGUZs.jpg")</f>
        <v>https://pbs.twimg.com/media/FyRpTf8WYAMGUZs.jpg</v>
      </c>
      <c r="AW194" s="80" t="s">
        <v>16183</v>
      </c>
      <c r="AX194" s="80" t="s">
        <v>16183</v>
      </c>
      <c r="AY194" s="77"/>
      <c r="AZ194" s="80" t="s">
        <v>20380</v>
      </c>
      <c r="BA194" s="80" t="s">
        <v>20380</v>
      </c>
      <c r="BB194" s="80" t="s">
        <v>20380</v>
      </c>
      <c r="BC194" s="80" t="s">
        <v>16183</v>
      </c>
      <c r="BD194" s="80" t="s">
        <v>20535</v>
      </c>
      <c r="BE194" s="77"/>
      <c r="BF194" s="77"/>
      <c r="BG194" s="77"/>
      <c r="BH194" s="77"/>
      <c r="BI194" s="77"/>
    </row>
    <row r="195" spans="1:61" x14ac:dyDescent="0.25">
      <c r="A195" s="62" t="s">
        <v>298</v>
      </c>
      <c r="B195" s="62" t="s">
        <v>1718</v>
      </c>
      <c r="C195" s="63"/>
      <c r="D195" s="64"/>
      <c r="E195" s="65"/>
      <c r="F195" s="66"/>
      <c r="G195" s="63"/>
      <c r="H195" s="67"/>
      <c r="I195" s="68"/>
      <c r="J195" s="68"/>
      <c r="K195" s="32"/>
      <c r="L195" s="75">
        <v>195</v>
      </c>
      <c r="M195" s="75"/>
      <c r="N195" s="70"/>
      <c r="O195" s="77" t="s">
        <v>2081</v>
      </c>
      <c r="P195" s="79">
        <v>45087.697800925926</v>
      </c>
      <c r="Q195" s="77" t="s">
        <v>2251</v>
      </c>
      <c r="R195" s="77">
        <v>3</v>
      </c>
      <c r="S195" s="77">
        <v>8</v>
      </c>
      <c r="T195" s="77">
        <v>0</v>
      </c>
      <c r="U195" s="77">
        <v>0</v>
      </c>
      <c r="V195" s="77">
        <v>135</v>
      </c>
      <c r="W195" s="80" t="s">
        <v>6030</v>
      </c>
      <c r="X195" s="77"/>
      <c r="Y195" s="77"/>
      <c r="Z195" s="77" t="s">
        <v>8908</v>
      </c>
      <c r="AA195" s="77" t="s">
        <v>9100</v>
      </c>
      <c r="AB195" s="77" t="s">
        <v>10535</v>
      </c>
      <c r="AC195" s="80" t="s">
        <v>10540</v>
      </c>
      <c r="AD195" s="77" t="s">
        <v>10620</v>
      </c>
      <c r="AE195" s="83" t="str">
        <f>HYPERLINK("https://twitter.com/jesica_starck_/status/1667573548838273029")</f>
        <v>https://twitter.com/jesica_starck_/status/1667573548838273029</v>
      </c>
      <c r="AF195" s="79">
        <v>45087.697800925926</v>
      </c>
      <c r="AG195" s="85">
        <v>45087</v>
      </c>
      <c r="AH195" s="80" t="s">
        <v>10801</v>
      </c>
      <c r="AI195" s="77" t="b">
        <v>0</v>
      </c>
      <c r="AJ195" s="77"/>
      <c r="AK195" s="77"/>
      <c r="AL195" s="77"/>
      <c r="AM195" s="77"/>
      <c r="AN195" s="77"/>
      <c r="AO195" s="77"/>
      <c r="AP195" s="77"/>
      <c r="AQ195" s="77" t="s">
        <v>14582</v>
      </c>
      <c r="AR195" s="77"/>
      <c r="AS195" s="77"/>
      <c r="AT195" s="77"/>
      <c r="AU195" s="77"/>
      <c r="AV195" s="83" t="str">
        <f>HYPERLINK("https://pbs.twimg.com/media/FyRpTf8WYAMGUZs.jpg")</f>
        <v>https://pbs.twimg.com/media/FyRpTf8WYAMGUZs.jpg</v>
      </c>
      <c r="AW195" s="80" t="s">
        <v>16183</v>
      </c>
      <c r="AX195" s="80" t="s">
        <v>16183</v>
      </c>
      <c r="AY195" s="77"/>
      <c r="AZ195" s="80" t="s">
        <v>20380</v>
      </c>
      <c r="BA195" s="80" t="s">
        <v>20380</v>
      </c>
      <c r="BB195" s="80" t="s">
        <v>20380</v>
      </c>
      <c r="BC195" s="80" t="s">
        <v>16183</v>
      </c>
      <c r="BD195" s="80" t="s">
        <v>20535</v>
      </c>
      <c r="BE195" s="77"/>
      <c r="BF195" s="77"/>
      <c r="BG195" s="77"/>
      <c r="BH195" s="77"/>
      <c r="BI195" s="77"/>
    </row>
    <row r="196" spans="1:61" x14ac:dyDescent="0.25">
      <c r="A196" s="62" t="s">
        <v>299</v>
      </c>
      <c r="B196" s="62" t="s">
        <v>299</v>
      </c>
      <c r="C196" s="63"/>
      <c r="D196" s="64"/>
      <c r="E196" s="65"/>
      <c r="F196" s="66"/>
      <c r="G196" s="63"/>
      <c r="H196" s="67"/>
      <c r="I196" s="68"/>
      <c r="J196" s="68"/>
      <c r="K196" s="32"/>
      <c r="L196" s="75">
        <v>196</v>
      </c>
      <c r="M196" s="75"/>
      <c r="N196" s="70"/>
      <c r="O196" s="77" t="s">
        <v>179</v>
      </c>
      <c r="P196" s="79">
        <v>45140.826574074075</v>
      </c>
      <c r="Q196" s="77" t="s">
        <v>2252</v>
      </c>
      <c r="R196" s="77">
        <v>0</v>
      </c>
      <c r="S196" s="77">
        <v>4</v>
      </c>
      <c r="T196" s="77">
        <v>0</v>
      </c>
      <c r="U196" s="77">
        <v>0</v>
      </c>
      <c r="V196" s="77">
        <v>155</v>
      </c>
      <c r="W196" s="80" t="s">
        <v>6031</v>
      </c>
      <c r="X196" s="77"/>
      <c r="Y196" s="77"/>
      <c r="Z196" s="77"/>
      <c r="AA196" s="77" t="s">
        <v>9101</v>
      </c>
      <c r="AB196" s="77" t="s">
        <v>10536</v>
      </c>
      <c r="AC196" s="80" t="s">
        <v>10540</v>
      </c>
      <c r="AD196" s="77" t="s">
        <v>10620</v>
      </c>
      <c r="AE196" s="83" t="str">
        <f>HYPERLINK("https://twitter.com/gontwiter/status/1686826772296290305")</f>
        <v>https://twitter.com/gontwiter/status/1686826772296290305</v>
      </c>
      <c r="AF196" s="79">
        <v>45140.826574074075</v>
      </c>
      <c r="AG196" s="85">
        <v>45140</v>
      </c>
      <c r="AH196" s="80" t="s">
        <v>10802</v>
      </c>
      <c r="AI196" s="77" t="b">
        <v>0</v>
      </c>
      <c r="AJ196" s="77"/>
      <c r="AK196" s="77"/>
      <c r="AL196" s="77"/>
      <c r="AM196" s="77"/>
      <c r="AN196" s="77"/>
      <c r="AO196" s="77"/>
      <c r="AP196" s="77"/>
      <c r="AQ196" s="77" t="s">
        <v>14583</v>
      </c>
      <c r="AR196" s="77"/>
      <c r="AS196" s="77"/>
      <c r="AT196" s="77"/>
      <c r="AU196" s="77"/>
      <c r="AV196" s="83" t="str">
        <f>HYPERLINK("https://pbs.twimg.com/media/F2jQAdCWgAA5zLR.jpg")</f>
        <v>https://pbs.twimg.com/media/F2jQAdCWgAA5zLR.jpg</v>
      </c>
      <c r="AW196" s="80" t="s">
        <v>16184</v>
      </c>
      <c r="AX196" s="80" t="s">
        <v>16184</v>
      </c>
      <c r="AY196" s="77"/>
      <c r="AZ196" s="80" t="s">
        <v>20380</v>
      </c>
      <c r="BA196" s="80" t="s">
        <v>20380</v>
      </c>
      <c r="BB196" s="80" t="s">
        <v>20380</v>
      </c>
      <c r="BC196" s="80" t="s">
        <v>16184</v>
      </c>
      <c r="BD196" s="77">
        <v>76277286</v>
      </c>
      <c r="BE196" s="77"/>
      <c r="BF196" s="77"/>
      <c r="BG196" s="77"/>
      <c r="BH196" s="77"/>
      <c r="BI196" s="77"/>
    </row>
    <row r="197" spans="1:61" x14ac:dyDescent="0.25">
      <c r="A197" s="62" t="s">
        <v>300</v>
      </c>
      <c r="B197" s="62" t="s">
        <v>300</v>
      </c>
      <c r="C197" s="63"/>
      <c r="D197" s="64"/>
      <c r="E197" s="65"/>
      <c r="F197" s="66"/>
      <c r="G197" s="63"/>
      <c r="H197" s="67"/>
      <c r="I197" s="68"/>
      <c r="J197" s="68"/>
      <c r="K197" s="32"/>
      <c r="L197" s="75">
        <v>197</v>
      </c>
      <c r="M197" s="75"/>
      <c r="N197" s="70"/>
      <c r="O197" s="77" t="s">
        <v>2078</v>
      </c>
      <c r="P197" s="79">
        <v>45079.720937500002</v>
      </c>
      <c r="Q197" s="77" t="s">
        <v>2253</v>
      </c>
      <c r="R197" s="77">
        <v>0</v>
      </c>
      <c r="S197" s="77">
        <v>0</v>
      </c>
      <c r="T197" s="77">
        <v>0</v>
      </c>
      <c r="U197" s="77">
        <v>0</v>
      </c>
      <c r="V197" s="77">
        <v>28</v>
      </c>
      <c r="W197" s="80" t="s">
        <v>6032</v>
      </c>
      <c r="X197" s="77"/>
      <c r="Y197" s="77"/>
      <c r="Z197" s="77"/>
      <c r="AA197" s="77" t="s">
        <v>9102</v>
      </c>
      <c r="AB197" s="77" t="s">
        <v>10535</v>
      </c>
      <c r="AC197" s="80" t="s">
        <v>10541</v>
      </c>
      <c r="AD197" s="77" t="s">
        <v>10620</v>
      </c>
      <c r="AE197" s="83" t="str">
        <f>HYPERLINK("https://twitter.com/lausanhil/status/1664682829584662559")</f>
        <v>https://twitter.com/lausanhil/status/1664682829584662559</v>
      </c>
      <c r="AF197" s="79">
        <v>45079.720937500002</v>
      </c>
      <c r="AG197" s="85">
        <v>45079</v>
      </c>
      <c r="AH197" s="80" t="s">
        <v>10722</v>
      </c>
      <c r="AI197" s="77" t="b">
        <v>0</v>
      </c>
      <c r="AJ197" s="77"/>
      <c r="AK197" s="77"/>
      <c r="AL197" s="77"/>
      <c r="AM197" s="77"/>
      <c r="AN197" s="77"/>
      <c r="AO197" s="77"/>
      <c r="AP197" s="77"/>
      <c r="AQ197" s="77" t="s">
        <v>14584</v>
      </c>
      <c r="AR197" s="77"/>
      <c r="AS197" s="77"/>
      <c r="AT197" s="77"/>
      <c r="AU197" s="77"/>
      <c r="AV197" s="83" t="str">
        <f>HYPERLINK("https://pbs.twimg.com/media/FxojuvgWAAwH08U.jpg")</f>
        <v>https://pbs.twimg.com/media/FxojuvgWAAwH08U.jpg</v>
      </c>
      <c r="AW197" s="80" t="s">
        <v>16185</v>
      </c>
      <c r="AX197" s="80" t="s">
        <v>19967</v>
      </c>
      <c r="AY197" s="80" t="s">
        <v>20221</v>
      </c>
      <c r="AZ197" s="80" t="s">
        <v>20385</v>
      </c>
      <c r="BA197" s="80" t="s">
        <v>20380</v>
      </c>
      <c r="BB197" s="80" t="s">
        <v>20380</v>
      </c>
      <c r="BC197" s="80" t="s">
        <v>20385</v>
      </c>
      <c r="BD197" s="80" t="s">
        <v>20221</v>
      </c>
      <c r="BE197" s="77"/>
      <c r="BF197" s="77"/>
      <c r="BG197" s="77"/>
      <c r="BH197" s="77"/>
      <c r="BI197" s="77"/>
    </row>
    <row r="198" spans="1:61" x14ac:dyDescent="0.25">
      <c r="A198" s="62" t="s">
        <v>301</v>
      </c>
      <c r="B198" s="62" t="s">
        <v>1655</v>
      </c>
      <c r="C198" s="63"/>
      <c r="D198" s="64"/>
      <c r="E198" s="65"/>
      <c r="F198" s="66"/>
      <c r="G198" s="63"/>
      <c r="H198" s="67"/>
      <c r="I198" s="68"/>
      <c r="J198" s="68"/>
      <c r="K198" s="32"/>
      <c r="L198" s="75">
        <v>198</v>
      </c>
      <c r="M198" s="75"/>
      <c r="N198" s="70"/>
      <c r="O198" s="77" t="s">
        <v>2083</v>
      </c>
      <c r="P198" s="79">
        <v>45191.48159722222</v>
      </c>
      <c r="Q198" s="77" t="s">
        <v>2120</v>
      </c>
      <c r="R198" s="77">
        <v>57</v>
      </c>
      <c r="S198" s="77">
        <v>0</v>
      </c>
      <c r="T198" s="77">
        <v>0</v>
      </c>
      <c r="U198" s="77">
        <v>0</v>
      </c>
      <c r="V198" s="77"/>
      <c r="W198" s="80" t="s">
        <v>5917</v>
      </c>
      <c r="X198" s="77"/>
      <c r="Y198" s="77"/>
      <c r="Z198" s="77" t="s">
        <v>1655</v>
      </c>
      <c r="AA198" s="77"/>
      <c r="AB198" s="77"/>
      <c r="AC198" s="80" t="s">
        <v>10540</v>
      </c>
      <c r="AD198" s="77" t="s">
        <v>10617</v>
      </c>
      <c r="AE198" s="83" t="str">
        <f>HYPERLINK("https://twitter.com/johnjoh28053307/status/1705183537291288812")</f>
        <v>https://twitter.com/johnjoh28053307/status/1705183537291288812</v>
      </c>
      <c r="AF198" s="79">
        <v>45191.48159722222</v>
      </c>
      <c r="AG198" s="85">
        <v>45191</v>
      </c>
      <c r="AH198" s="80" t="s">
        <v>10803</v>
      </c>
      <c r="AI198" s="77"/>
      <c r="AJ198" s="77"/>
      <c r="AK198" s="77"/>
      <c r="AL198" s="77"/>
      <c r="AM198" s="77"/>
      <c r="AN198" s="77"/>
      <c r="AO198" s="77"/>
      <c r="AP198" s="77"/>
      <c r="AQ198" s="77"/>
      <c r="AR198" s="77"/>
      <c r="AS198" s="77"/>
      <c r="AT198" s="77"/>
      <c r="AU198" s="77"/>
      <c r="AV198" s="83" t="str">
        <f>HYPERLINK("https://pbs.twimg.com/profile_images/1651973175142490112/0RN-7D7K_normal.jpg")</f>
        <v>https://pbs.twimg.com/profile_images/1651973175142490112/0RN-7D7K_normal.jpg</v>
      </c>
      <c r="AW198" s="80" t="s">
        <v>16186</v>
      </c>
      <c r="AX198" s="80" t="s">
        <v>16186</v>
      </c>
      <c r="AY198" s="77"/>
      <c r="AZ198" s="80" t="s">
        <v>20380</v>
      </c>
      <c r="BA198" s="80" t="s">
        <v>20380</v>
      </c>
      <c r="BB198" s="80" t="s">
        <v>19843</v>
      </c>
      <c r="BC198" s="80" t="s">
        <v>19843</v>
      </c>
      <c r="BD198" s="80" t="s">
        <v>20536</v>
      </c>
      <c r="BE198" s="77"/>
      <c r="BF198" s="77"/>
      <c r="BG198" s="77"/>
      <c r="BH198" s="77"/>
      <c r="BI198" s="77"/>
    </row>
    <row r="199" spans="1:61" x14ac:dyDescent="0.25">
      <c r="A199" s="62" t="s">
        <v>302</v>
      </c>
      <c r="B199" s="62" t="s">
        <v>302</v>
      </c>
      <c r="C199" s="63"/>
      <c r="D199" s="64"/>
      <c r="E199" s="65"/>
      <c r="F199" s="66"/>
      <c r="G199" s="63"/>
      <c r="H199" s="67"/>
      <c r="I199" s="68"/>
      <c r="J199" s="68"/>
      <c r="K199" s="32"/>
      <c r="L199" s="75">
        <v>199</v>
      </c>
      <c r="M199" s="75"/>
      <c r="N199" s="70"/>
      <c r="O199" s="77" t="s">
        <v>179</v>
      </c>
      <c r="P199" s="79">
        <v>45125.65084490741</v>
      </c>
      <c r="Q199" s="77" t="s">
        <v>2254</v>
      </c>
      <c r="R199" s="77">
        <v>0</v>
      </c>
      <c r="S199" s="77">
        <v>0</v>
      </c>
      <c r="T199" s="77">
        <v>0</v>
      </c>
      <c r="U199" s="77">
        <v>0</v>
      </c>
      <c r="V199" s="77">
        <v>9</v>
      </c>
      <c r="W199" s="80" t="s">
        <v>6033</v>
      </c>
      <c r="X199" s="83" t="str">
        <f>HYPERLINK("https://pmwnoticias.com.br/entenda-como-renegociar-dividas-atraves-do-programa-desenrola-brasil/")</f>
        <v>https://pmwnoticias.com.br/entenda-como-renegociar-dividas-atraves-do-programa-desenrola-brasil/</v>
      </c>
      <c r="Y199" s="77" t="s">
        <v>8611</v>
      </c>
      <c r="Z199" s="77"/>
      <c r="AA199" s="77" t="s">
        <v>9103</v>
      </c>
      <c r="AB199" s="77" t="s">
        <v>10535</v>
      </c>
      <c r="AC199" s="80" t="s">
        <v>10546</v>
      </c>
      <c r="AD199" s="77" t="s">
        <v>10617</v>
      </c>
      <c r="AE199" s="83" t="str">
        <f>HYPERLINK("https://twitter.com/pmw_noticias/status/1681327270680461313")</f>
        <v>https://twitter.com/pmw_noticias/status/1681327270680461313</v>
      </c>
      <c r="AF199" s="79">
        <v>45125.65084490741</v>
      </c>
      <c r="AG199" s="85">
        <v>45125</v>
      </c>
      <c r="AH199" s="80" t="s">
        <v>10804</v>
      </c>
      <c r="AI199" s="77" t="b">
        <v>0</v>
      </c>
      <c r="AJ199" s="77"/>
      <c r="AK199" s="77"/>
      <c r="AL199" s="77"/>
      <c r="AM199" s="77"/>
      <c r="AN199" s="77"/>
      <c r="AO199" s="77"/>
      <c r="AP199" s="77"/>
      <c r="AQ199" s="77" t="s">
        <v>14585</v>
      </c>
      <c r="AR199" s="77"/>
      <c r="AS199" s="77"/>
      <c r="AT199" s="77"/>
      <c r="AU199" s="77"/>
      <c r="AV199" s="83" t="str">
        <f>HYPERLINK("https://pbs.twimg.com/media/F1VGPj-WYAEwkNW.jpg")</f>
        <v>https://pbs.twimg.com/media/F1VGPj-WYAEwkNW.jpg</v>
      </c>
      <c r="AW199" s="80" t="s">
        <v>16187</v>
      </c>
      <c r="AX199" s="80" t="s">
        <v>16187</v>
      </c>
      <c r="AY199" s="77"/>
      <c r="AZ199" s="80" t="s">
        <v>20380</v>
      </c>
      <c r="BA199" s="80" t="s">
        <v>20380</v>
      </c>
      <c r="BB199" s="80" t="s">
        <v>20380</v>
      </c>
      <c r="BC199" s="80" t="s">
        <v>16187</v>
      </c>
      <c r="BD199" s="80" t="s">
        <v>20537</v>
      </c>
      <c r="BE199" s="77"/>
      <c r="BF199" s="77"/>
      <c r="BG199" s="77"/>
      <c r="BH199" s="77"/>
      <c r="BI199" s="77"/>
    </row>
    <row r="200" spans="1:61" x14ac:dyDescent="0.25">
      <c r="A200" s="62" t="s">
        <v>303</v>
      </c>
      <c r="B200" s="62" t="s">
        <v>1719</v>
      </c>
      <c r="C200" s="63"/>
      <c r="D200" s="64"/>
      <c r="E200" s="65"/>
      <c r="F200" s="66"/>
      <c r="G200" s="63"/>
      <c r="H200" s="67"/>
      <c r="I200" s="68"/>
      <c r="J200" s="68"/>
      <c r="K200" s="32"/>
      <c r="L200" s="75">
        <v>200</v>
      </c>
      <c r="M200" s="75"/>
      <c r="N200" s="70"/>
      <c r="O200" s="77" t="s">
        <v>2082</v>
      </c>
      <c r="P200" s="79">
        <v>45099.491030092591</v>
      </c>
      <c r="Q200" s="77" t="s">
        <v>2255</v>
      </c>
      <c r="R200" s="77">
        <v>2</v>
      </c>
      <c r="S200" s="77">
        <v>2</v>
      </c>
      <c r="T200" s="77">
        <v>2</v>
      </c>
      <c r="U200" s="77">
        <v>0</v>
      </c>
      <c r="V200" s="77">
        <v>145</v>
      </c>
      <c r="W200" s="80" t="s">
        <v>6034</v>
      </c>
      <c r="X200" s="77"/>
      <c r="Y200" s="77"/>
      <c r="Z200" s="77"/>
      <c r="AA200" s="77"/>
      <c r="AB200" s="77"/>
      <c r="AC200" s="80" t="s">
        <v>10542</v>
      </c>
      <c r="AD200" s="77" t="s">
        <v>10617</v>
      </c>
      <c r="AE200" s="83" t="str">
        <f>HYPERLINK("https://twitter.com/combonianosbr/status/1671847269165850625")</f>
        <v>https://twitter.com/combonianosbr/status/1671847269165850625</v>
      </c>
      <c r="AF200" s="79">
        <v>45099.491030092591</v>
      </c>
      <c r="AG200" s="85">
        <v>45099</v>
      </c>
      <c r="AH200" s="80" t="s">
        <v>10805</v>
      </c>
      <c r="AI200" s="77"/>
      <c r="AJ200" s="77" t="s">
        <v>14341</v>
      </c>
      <c r="AK200" s="77" t="s">
        <v>14382</v>
      </c>
      <c r="AL200" s="77" t="s">
        <v>14391</v>
      </c>
      <c r="AM200" s="77" t="s">
        <v>14400</v>
      </c>
      <c r="AN200" s="77" t="s">
        <v>14438</v>
      </c>
      <c r="AO200" s="77" t="s">
        <v>14479</v>
      </c>
      <c r="AP200" s="77" t="s">
        <v>14516</v>
      </c>
      <c r="AQ200" s="77"/>
      <c r="AR200" s="77"/>
      <c r="AS200" s="77"/>
      <c r="AT200" s="77"/>
      <c r="AU200" s="77"/>
      <c r="AV200" s="83" t="str">
        <f>HYPERLINK("https://pbs.twimg.com/profile_images/1602764397692207110/PGtzoJEj_normal.jpg")</f>
        <v>https://pbs.twimg.com/profile_images/1602764397692207110/PGtzoJEj_normal.jpg</v>
      </c>
      <c r="AW200" s="80" t="s">
        <v>16188</v>
      </c>
      <c r="AX200" s="80" t="s">
        <v>16188</v>
      </c>
      <c r="AY200" s="77"/>
      <c r="AZ200" s="80" t="s">
        <v>20380</v>
      </c>
      <c r="BA200" s="80" t="s">
        <v>20487</v>
      </c>
      <c r="BB200" s="80" t="s">
        <v>20380</v>
      </c>
      <c r="BC200" s="80" t="s">
        <v>20487</v>
      </c>
      <c r="BD200" s="77">
        <v>3353304353</v>
      </c>
      <c r="BE200" s="77"/>
      <c r="BF200" s="77"/>
      <c r="BG200" s="77"/>
      <c r="BH200" s="77"/>
      <c r="BI200" s="77"/>
    </row>
    <row r="201" spans="1:61" x14ac:dyDescent="0.25">
      <c r="A201" s="62" t="s">
        <v>303</v>
      </c>
      <c r="B201" s="62" t="s">
        <v>1626</v>
      </c>
      <c r="C201" s="63"/>
      <c r="D201" s="64"/>
      <c r="E201" s="65"/>
      <c r="F201" s="66"/>
      <c r="G201" s="63"/>
      <c r="H201" s="67"/>
      <c r="I201" s="68"/>
      <c r="J201" s="68"/>
      <c r="K201" s="32"/>
      <c r="L201" s="75">
        <v>201</v>
      </c>
      <c r="M201" s="75"/>
      <c r="N201" s="70"/>
      <c r="O201" s="77" t="s">
        <v>2082</v>
      </c>
      <c r="P201" s="79">
        <v>45099.534513888888</v>
      </c>
      <c r="Q201" s="77" t="s">
        <v>2256</v>
      </c>
      <c r="R201" s="77">
        <v>1</v>
      </c>
      <c r="S201" s="77">
        <v>3</v>
      </c>
      <c r="T201" s="77">
        <v>0</v>
      </c>
      <c r="U201" s="77">
        <v>0</v>
      </c>
      <c r="V201" s="77">
        <v>89</v>
      </c>
      <c r="W201" s="80" t="s">
        <v>6035</v>
      </c>
      <c r="X201" s="77"/>
      <c r="Y201" s="77"/>
      <c r="Z201" s="77"/>
      <c r="AA201" s="77"/>
      <c r="AB201" s="77"/>
      <c r="AC201" s="80" t="s">
        <v>10542</v>
      </c>
      <c r="AD201" s="77" t="s">
        <v>10617</v>
      </c>
      <c r="AE201" s="83" t="str">
        <f>HYPERLINK("https://twitter.com/combonianosbr/status/1671863027975503873")</f>
        <v>https://twitter.com/combonianosbr/status/1671863027975503873</v>
      </c>
      <c r="AF201" s="79">
        <v>45099.534513888888</v>
      </c>
      <c r="AG201" s="85">
        <v>45099</v>
      </c>
      <c r="AH201" s="80" t="s">
        <v>10806</v>
      </c>
      <c r="AI201" s="77"/>
      <c r="AJ201" s="77" t="s">
        <v>14341</v>
      </c>
      <c r="AK201" s="77" t="s">
        <v>14382</v>
      </c>
      <c r="AL201" s="77" t="s">
        <v>14391</v>
      </c>
      <c r="AM201" s="77" t="s">
        <v>14400</v>
      </c>
      <c r="AN201" s="77" t="s">
        <v>14438</v>
      </c>
      <c r="AO201" s="77" t="s">
        <v>14479</v>
      </c>
      <c r="AP201" s="77" t="s">
        <v>14516</v>
      </c>
      <c r="AQ201" s="77"/>
      <c r="AR201" s="77"/>
      <c r="AS201" s="77"/>
      <c r="AT201" s="77"/>
      <c r="AU201" s="77"/>
      <c r="AV201" s="83" t="str">
        <f>HYPERLINK("https://pbs.twimg.com/profile_images/1602764397692207110/PGtzoJEj_normal.jpg")</f>
        <v>https://pbs.twimg.com/profile_images/1602764397692207110/PGtzoJEj_normal.jpg</v>
      </c>
      <c r="AW201" s="80" t="s">
        <v>16189</v>
      </c>
      <c r="AX201" s="80" t="s">
        <v>16189</v>
      </c>
      <c r="AY201" s="77"/>
      <c r="AZ201" s="80" t="s">
        <v>20380</v>
      </c>
      <c r="BA201" s="80" t="s">
        <v>19762</v>
      </c>
      <c r="BB201" s="80" t="s">
        <v>20380</v>
      </c>
      <c r="BC201" s="80" t="s">
        <v>19762</v>
      </c>
      <c r="BD201" s="77">
        <v>3353304353</v>
      </c>
      <c r="BE201" s="77"/>
      <c r="BF201" s="77"/>
      <c r="BG201" s="77"/>
      <c r="BH201" s="77"/>
      <c r="BI201" s="77"/>
    </row>
    <row r="202" spans="1:61" x14ac:dyDescent="0.25">
      <c r="A202" s="62" t="s">
        <v>303</v>
      </c>
      <c r="B202" s="62" t="s">
        <v>913</v>
      </c>
      <c r="C202" s="63"/>
      <c r="D202" s="64"/>
      <c r="E202" s="65"/>
      <c r="F202" s="66"/>
      <c r="G202" s="63"/>
      <c r="H202" s="67"/>
      <c r="I202" s="68"/>
      <c r="J202" s="68"/>
      <c r="K202" s="32"/>
      <c r="L202" s="75">
        <v>202</v>
      </c>
      <c r="M202" s="75"/>
      <c r="N202" s="70"/>
      <c r="O202" s="77" t="s">
        <v>2082</v>
      </c>
      <c r="P202" s="79">
        <v>45099.482418981483</v>
      </c>
      <c r="Q202" s="77" t="s">
        <v>2257</v>
      </c>
      <c r="R202" s="77">
        <v>2</v>
      </c>
      <c r="S202" s="77">
        <v>3</v>
      </c>
      <c r="T202" s="77">
        <v>1</v>
      </c>
      <c r="U202" s="77">
        <v>0</v>
      </c>
      <c r="V202" s="77">
        <v>134</v>
      </c>
      <c r="W202" s="80" t="s">
        <v>6036</v>
      </c>
      <c r="X202" s="77"/>
      <c r="Y202" s="77"/>
      <c r="Z202" s="77"/>
      <c r="AA202" s="77"/>
      <c r="AB202" s="77"/>
      <c r="AC202" s="80" t="s">
        <v>10542</v>
      </c>
      <c r="AD202" s="77" t="s">
        <v>10617</v>
      </c>
      <c r="AE202" s="83" t="str">
        <f>HYPERLINK("https://twitter.com/combonianosbr/status/1671844151082532865")</f>
        <v>https://twitter.com/combonianosbr/status/1671844151082532865</v>
      </c>
      <c r="AF202" s="79">
        <v>45099.482418981483</v>
      </c>
      <c r="AG202" s="85">
        <v>45099</v>
      </c>
      <c r="AH202" s="80" t="s">
        <v>10807</v>
      </c>
      <c r="AI202" s="77"/>
      <c r="AJ202" s="77" t="s">
        <v>14341</v>
      </c>
      <c r="AK202" s="77" t="s">
        <v>14382</v>
      </c>
      <c r="AL202" s="77" t="s">
        <v>14391</v>
      </c>
      <c r="AM202" s="77" t="s">
        <v>14400</v>
      </c>
      <c r="AN202" s="77" t="s">
        <v>14438</v>
      </c>
      <c r="AO202" s="77" t="s">
        <v>14479</v>
      </c>
      <c r="AP202" s="77" t="s">
        <v>14516</v>
      </c>
      <c r="AQ202" s="77"/>
      <c r="AR202" s="77"/>
      <c r="AS202" s="77"/>
      <c r="AT202" s="77"/>
      <c r="AU202" s="77"/>
      <c r="AV202" s="83" t="str">
        <f>HYPERLINK("https://pbs.twimg.com/profile_images/1602764397692207110/PGtzoJEj_normal.jpg")</f>
        <v>https://pbs.twimg.com/profile_images/1602764397692207110/PGtzoJEj_normal.jpg</v>
      </c>
      <c r="AW202" s="80" t="s">
        <v>16190</v>
      </c>
      <c r="AX202" s="80" t="s">
        <v>16190</v>
      </c>
      <c r="AY202" s="77"/>
      <c r="AZ202" s="80" t="s">
        <v>20380</v>
      </c>
      <c r="BA202" s="80" t="s">
        <v>18066</v>
      </c>
      <c r="BB202" s="80" t="s">
        <v>20380</v>
      </c>
      <c r="BC202" s="80" t="s">
        <v>18066</v>
      </c>
      <c r="BD202" s="77">
        <v>3353304353</v>
      </c>
      <c r="BE202" s="77"/>
      <c r="BF202" s="77"/>
      <c r="BG202" s="77"/>
      <c r="BH202" s="77"/>
      <c r="BI202" s="77"/>
    </row>
    <row r="203" spans="1:61" x14ac:dyDescent="0.25">
      <c r="A203" s="62" t="s">
        <v>303</v>
      </c>
      <c r="B203" s="62" t="s">
        <v>615</v>
      </c>
      <c r="C203" s="63"/>
      <c r="D203" s="64"/>
      <c r="E203" s="65"/>
      <c r="F203" s="66"/>
      <c r="G203" s="63"/>
      <c r="H203" s="67"/>
      <c r="I203" s="68"/>
      <c r="J203" s="68"/>
      <c r="K203" s="32"/>
      <c r="L203" s="75">
        <v>203</v>
      </c>
      <c r="M203" s="75"/>
      <c r="N203" s="70"/>
      <c r="O203" s="77" t="s">
        <v>2082</v>
      </c>
      <c r="P203" s="79">
        <v>45103.904999999999</v>
      </c>
      <c r="Q203" s="77" t="s">
        <v>2258</v>
      </c>
      <c r="R203" s="77">
        <v>1</v>
      </c>
      <c r="S203" s="77">
        <v>3</v>
      </c>
      <c r="T203" s="77">
        <v>2</v>
      </c>
      <c r="U203" s="77">
        <v>0</v>
      </c>
      <c r="V203" s="77">
        <v>161</v>
      </c>
      <c r="W203" s="80" t="s">
        <v>6037</v>
      </c>
      <c r="X203" s="77"/>
      <c r="Y203" s="77"/>
      <c r="Z203" s="77"/>
      <c r="AA203" s="77"/>
      <c r="AB203" s="77"/>
      <c r="AC203" s="80" t="s">
        <v>10541</v>
      </c>
      <c r="AD203" s="77" t="s">
        <v>10617</v>
      </c>
      <c r="AE203" s="83" t="str">
        <f>HYPERLINK("https://twitter.com/combonianosbr/status/1673446841000632320")</f>
        <v>https://twitter.com/combonianosbr/status/1673446841000632320</v>
      </c>
      <c r="AF203" s="79">
        <v>45103.904999999999</v>
      </c>
      <c r="AG203" s="85">
        <v>45103</v>
      </c>
      <c r="AH203" s="80" t="s">
        <v>10808</v>
      </c>
      <c r="AI203" s="77"/>
      <c r="AJ203" s="77" t="s">
        <v>14341</v>
      </c>
      <c r="AK203" s="77" t="s">
        <v>14382</v>
      </c>
      <c r="AL203" s="77" t="s">
        <v>14391</v>
      </c>
      <c r="AM203" s="77" t="s">
        <v>14400</v>
      </c>
      <c r="AN203" s="77" t="s">
        <v>14438</v>
      </c>
      <c r="AO203" s="77" t="s">
        <v>14479</v>
      </c>
      <c r="AP203" s="77" t="s">
        <v>14516</v>
      </c>
      <c r="AQ203" s="77"/>
      <c r="AR203" s="77"/>
      <c r="AS203" s="77"/>
      <c r="AT203" s="77"/>
      <c r="AU203" s="77"/>
      <c r="AV203" s="83" t="str">
        <f>HYPERLINK("https://pbs.twimg.com/profile_images/1602764397692207110/PGtzoJEj_normal.jpg")</f>
        <v>https://pbs.twimg.com/profile_images/1602764397692207110/PGtzoJEj_normal.jpg</v>
      </c>
      <c r="AW203" s="80" t="s">
        <v>16191</v>
      </c>
      <c r="AX203" s="80" t="s">
        <v>16191</v>
      </c>
      <c r="AY203" s="77"/>
      <c r="AZ203" s="80" t="s">
        <v>20380</v>
      </c>
      <c r="BA203" s="80" t="s">
        <v>16944</v>
      </c>
      <c r="BB203" s="80" t="s">
        <v>20380</v>
      </c>
      <c r="BC203" s="80" t="s">
        <v>16944</v>
      </c>
      <c r="BD203" s="77">
        <v>3353304353</v>
      </c>
      <c r="BE203" s="77"/>
      <c r="BF203" s="77"/>
      <c r="BG203" s="77"/>
      <c r="BH203" s="77"/>
      <c r="BI203" s="77"/>
    </row>
    <row r="204" spans="1:61" x14ac:dyDescent="0.25">
      <c r="A204" s="62" t="s">
        <v>304</v>
      </c>
      <c r="B204" s="62" t="s">
        <v>1720</v>
      </c>
      <c r="C204" s="63"/>
      <c r="D204" s="64"/>
      <c r="E204" s="65"/>
      <c r="F204" s="66"/>
      <c r="G204" s="63"/>
      <c r="H204" s="67"/>
      <c r="I204" s="68"/>
      <c r="J204" s="68"/>
      <c r="K204" s="32"/>
      <c r="L204" s="75">
        <v>204</v>
      </c>
      <c r="M204" s="75"/>
      <c r="N204" s="70"/>
      <c r="O204" s="77" t="s">
        <v>2078</v>
      </c>
      <c r="P204" s="79">
        <v>45099.097210648149</v>
      </c>
      <c r="Q204" s="77" t="s">
        <v>2259</v>
      </c>
      <c r="R204" s="77">
        <v>0</v>
      </c>
      <c r="S204" s="77">
        <v>0</v>
      </c>
      <c r="T204" s="77">
        <v>0</v>
      </c>
      <c r="U204" s="77">
        <v>0</v>
      </c>
      <c r="V204" s="77">
        <v>580</v>
      </c>
      <c r="W204" s="80" t="s">
        <v>6038</v>
      </c>
      <c r="X204" s="77"/>
      <c r="Y204" s="77"/>
      <c r="Z204" s="77" t="s">
        <v>1720</v>
      </c>
      <c r="AA204" s="77"/>
      <c r="AB204" s="77"/>
      <c r="AC204" s="80" t="s">
        <v>10540</v>
      </c>
      <c r="AD204" s="77" t="s">
        <v>10617</v>
      </c>
      <c r="AE204" s="83" t="str">
        <f>HYPERLINK("https://twitter.com/edusoarees/status/1671704554767777793")</f>
        <v>https://twitter.com/edusoarees/status/1671704554767777793</v>
      </c>
      <c r="AF204" s="79">
        <v>45099.097210648149</v>
      </c>
      <c r="AG204" s="85">
        <v>45099</v>
      </c>
      <c r="AH204" s="80" t="s">
        <v>10809</v>
      </c>
      <c r="AI204" s="77"/>
      <c r="AJ204" s="77"/>
      <c r="AK204" s="77"/>
      <c r="AL204" s="77"/>
      <c r="AM204" s="77"/>
      <c r="AN204" s="77"/>
      <c r="AO204" s="77"/>
      <c r="AP204" s="77"/>
      <c r="AQ204" s="77"/>
      <c r="AR204" s="77"/>
      <c r="AS204" s="77"/>
      <c r="AT204" s="77"/>
      <c r="AU204" s="77"/>
      <c r="AV204" s="83" t="str">
        <f>HYPERLINK("https://pbs.twimg.com/profile_images/1693652534399844353/8Y_TkYAr_normal.jpg")</f>
        <v>https://pbs.twimg.com/profile_images/1693652534399844353/8Y_TkYAr_normal.jpg</v>
      </c>
      <c r="AW204" s="80" t="s">
        <v>16192</v>
      </c>
      <c r="AX204" s="80" t="s">
        <v>19968</v>
      </c>
      <c r="AY204" s="80" t="s">
        <v>20222</v>
      </c>
      <c r="AZ204" s="80" t="s">
        <v>19968</v>
      </c>
      <c r="BA204" s="80" t="s">
        <v>20380</v>
      </c>
      <c r="BB204" s="80" t="s">
        <v>20380</v>
      </c>
      <c r="BC204" s="80" t="s">
        <v>19968</v>
      </c>
      <c r="BD204" s="77">
        <v>53539351</v>
      </c>
      <c r="BE204" s="77"/>
      <c r="BF204" s="77"/>
      <c r="BG204" s="77"/>
      <c r="BH204" s="77"/>
      <c r="BI204" s="77"/>
    </row>
    <row r="205" spans="1:61" x14ac:dyDescent="0.25">
      <c r="A205" s="62" t="s">
        <v>305</v>
      </c>
      <c r="B205" s="62" t="s">
        <v>1655</v>
      </c>
      <c r="C205" s="63"/>
      <c r="D205" s="64"/>
      <c r="E205" s="65"/>
      <c r="F205" s="66"/>
      <c r="G205" s="63"/>
      <c r="H205" s="67"/>
      <c r="I205" s="68"/>
      <c r="J205" s="68"/>
      <c r="K205" s="32"/>
      <c r="L205" s="75">
        <v>205</v>
      </c>
      <c r="M205" s="75"/>
      <c r="N205" s="70"/>
      <c r="O205" s="77" t="s">
        <v>2083</v>
      </c>
      <c r="P205" s="79">
        <v>45191.829826388886</v>
      </c>
      <c r="Q205" s="77" t="s">
        <v>2120</v>
      </c>
      <c r="R205" s="77">
        <v>57</v>
      </c>
      <c r="S205" s="77">
        <v>0</v>
      </c>
      <c r="T205" s="77">
        <v>0</v>
      </c>
      <c r="U205" s="77">
        <v>0</v>
      </c>
      <c r="V205" s="77"/>
      <c r="W205" s="80" t="s">
        <v>5917</v>
      </c>
      <c r="X205" s="77"/>
      <c r="Y205" s="77"/>
      <c r="Z205" s="77" t="s">
        <v>1655</v>
      </c>
      <c r="AA205" s="77"/>
      <c r="AB205" s="77"/>
      <c r="AC205" s="80" t="s">
        <v>10540</v>
      </c>
      <c r="AD205" s="77" t="s">
        <v>10617</v>
      </c>
      <c r="AE205" s="83" t="str">
        <f>HYPERLINK("https://twitter.com/_antonio_luiz_/status/1705309728367112599")</f>
        <v>https://twitter.com/_antonio_luiz_/status/1705309728367112599</v>
      </c>
      <c r="AF205" s="79">
        <v>45191.829826388886</v>
      </c>
      <c r="AG205" s="85">
        <v>45191</v>
      </c>
      <c r="AH205" s="80" t="s">
        <v>10810</v>
      </c>
      <c r="AI205" s="77"/>
      <c r="AJ205" s="77"/>
      <c r="AK205" s="77"/>
      <c r="AL205" s="77"/>
      <c r="AM205" s="77"/>
      <c r="AN205" s="77"/>
      <c r="AO205" s="77"/>
      <c r="AP205" s="77"/>
      <c r="AQ205" s="77"/>
      <c r="AR205" s="77"/>
      <c r="AS205" s="77"/>
      <c r="AT205" s="77"/>
      <c r="AU205" s="77"/>
      <c r="AV205" s="83" t="str">
        <f>HYPERLINK("https://pbs.twimg.com/profile_images/1665151973589385216/CRNTLgAN_normal.jpg")</f>
        <v>https://pbs.twimg.com/profile_images/1665151973589385216/CRNTLgAN_normal.jpg</v>
      </c>
      <c r="AW205" s="80" t="s">
        <v>16193</v>
      </c>
      <c r="AX205" s="80" t="s">
        <v>16193</v>
      </c>
      <c r="AY205" s="77"/>
      <c r="AZ205" s="80" t="s">
        <v>20380</v>
      </c>
      <c r="BA205" s="80" t="s">
        <v>20380</v>
      </c>
      <c r="BB205" s="80" t="s">
        <v>19843</v>
      </c>
      <c r="BC205" s="80" t="s">
        <v>19843</v>
      </c>
      <c r="BD205" s="80" t="s">
        <v>20538</v>
      </c>
      <c r="BE205" s="77"/>
      <c r="BF205" s="77"/>
      <c r="BG205" s="77"/>
      <c r="BH205" s="77"/>
      <c r="BI205" s="77"/>
    </row>
    <row r="206" spans="1:61" x14ac:dyDescent="0.25">
      <c r="A206" s="62" t="s">
        <v>306</v>
      </c>
      <c r="B206" s="62" t="s">
        <v>306</v>
      </c>
      <c r="C206" s="63"/>
      <c r="D206" s="64"/>
      <c r="E206" s="65"/>
      <c r="F206" s="66"/>
      <c r="G206" s="63"/>
      <c r="H206" s="67"/>
      <c r="I206" s="68"/>
      <c r="J206" s="68"/>
      <c r="K206" s="32"/>
      <c r="L206" s="75">
        <v>206</v>
      </c>
      <c r="M206" s="75"/>
      <c r="N206" s="70"/>
      <c r="O206" s="77" t="s">
        <v>179</v>
      </c>
      <c r="P206" s="79">
        <v>45182.940370370372</v>
      </c>
      <c r="Q206" s="77" t="s">
        <v>2260</v>
      </c>
      <c r="R206" s="77">
        <v>1</v>
      </c>
      <c r="S206" s="77">
        <v>0</v>
      </c>
      <c r="T206" s="77">
        <v>0</v>
      </c>
      <c r="U206" s="77">
        <v>0</v>
      </c>
      <c r="V206" s="77">
        <v>54</v>
      </c>
      <c r="W206" s="80" t="s">
        <v>6039</v>
      </c>
      <c r="X206" s="83" t="str">
        <f>HYPERLINK("https://www.youtube.com/watch?v=vi4e4MUVZYE")</f>
        <v>https://www.youtube.com/watch?v=vi4e4MUVZYE</v>
      </c>
      <c r="Y206" s="77" t="s">
        <v>8612</v>
      </c>
      <c r="Z206" s="77"/>
      <c r="AA206" s="77"/>
      <c r="AB206" s="77"/>
      <c r="AC206" s="80" t="s">
        <v>10541</v>
      </c>
      <c r="AD206" s="77" t="s">
        <v>10617</v>
      </c>
      <c r="AE206" s="83" t="str">
        <f>HYPERLINK("https://twitter.com/ajanelapodcast/status/1702088297500086532")</f>
        <v>https://twitter.com/ajanelapodcast/status/1702088297500086532</v>
      </c>
      <c r="AF206" s="79">
        <v>45182.940370370372</v>
      </c>
      <c r="AG206" s="85">
        <v>45182</v>
      </c>
      <c r="AH206" s="80" t="s">
        <v>10811</v>
      </c>
      <c r="AI206" s="77" t="b">
        <v>0</v>
      </c>
      <c r="AJ206" s="77"/>
      <c r="AK206" s="77"/>
      <c r="AL206" s="77"/>
      <c r="AM206" s="77"/>
      <c r="AN206" s="77"/>
      <c r="AO206" s="77"/>
      <c r="AP206" s="77"/>
      <c r="AQ206" s="77"/>
      <c r="AR206" s="77"/>
      <c r="AS206" s="77"/>
      <c r="AT206" s="77"/>
      <c r="AU206" s="77"/>
      <c r="AV206" s="83" t="str">
        <f>HYPERLINK("https://pbs.twimg.com/profile_images/1648039349412327448/R01rDyfy_normal.jpg")</f>
        <v>https://pbs.twimg.com/profile_images/1648039349412327448/R01rDyfy_normal.jpg</v>
      </c>
      <c r="AW206" s="80" t="s">
        <v>16194</v>
      </c>
      <c r="AX206" s="80" t="s">
        <v>16194</v>
      </c>
      <c r="AY206" s="77"/>
      <c r="AZ206" s="80" t="s">
        <v>20380</v>
      </c>
      <c r="BA206" s="80" t="s">
        <v>20380</v>
      </c>
      <c r="BB206" s="80" t="s">
        <v>20380</v>
      </c>
      <c r="BC206" s="80" t="s">
        <v>16194</v>
      </c>
      <c r="BD206" s="80" t="s">
        <v>20539</v>
      </c>
      <c r="BE206" s="77"/>
      <c r="BF206" s="77"/>
      <c r="BG206" s="77"/>
      <c r="BH206" s="77"/>
      <c r="BI206" s="77"/>
    </row>
    <row r="207" spans="1:61" x14ac:dyDescent="0.25">
      <c r="A207" s="62" t="s">
        <v>307</v>
      </c>
      <c r="B207" s="62" t="s">
        <v>307</v>
      </c>
      <c r="C207" s="63"/>
      <c r="D207" s="64"/>
      <c r="E207" s="65"/>
      <c r="F207" s="66"/>
      <c r="G207" s="63"/>
      <c r="H207" s="67"/>
      <c r="I207" s="68"/>
      <c r="J207" s="68"/>
      <c r="K207" s="32"/>
      <c r="L207" s="75">
        <v>207</v>
      </c>
      <c r="M207" s="75"/>
      <c r="N207" s="70"/>
      <c r="O207" s="77" t="s">
        <v>179</v>
      </c>
      <c r="P207" s="79">
        <v>45162.773414351854</v>
      </c>
      <c r="Q207" s="77" t="s">
        <v>2261</v>
      </c>
      <c r="R207" s="77">
        <v>1</v>
      </c>
      <c r="S207" s="77">
        <v>3</v>
      </c>
      <c r="T207" s="77">
        <v>0</v>
      </c>
      <c r="U207" s="77">
        <v>0</v>
      </c>
      <c r="V207" s="77">
        <v>49</v>
      </c>
      <c r="W207" s="80" t="s">
        <v>6040</v>
      </c>
      <c r="X207" s="77"/>
      <c r="Y207" s="77"/>
      <c r="Z207" s="77"/>
      <c r="AA207" s="77" t="s">
        <v>9104</v>
      </c>
      <c r="AB207" s="77" t="s">
        <v>10535</v>
      </c>
      <c r="AC207" s="80" t="s">
        <v>10542</v>
      </c>
      <c r="AD207" s="77" t="s">
        <v>10620</v>
      </c>
      <c r="AE207" s="83" t="str">
        <f>HYPERLINK("https://twitter.com/elgeneralabe/status/1694780039919714637")</f>
        <v>https://twitter.com/elgeneralabe/status/1694780039919714637</v>
      </c>
      <c r="AF207" s="79">
        <v>45162.773414351854</v>
      </c>
      <c r="AG207" s="85">
        <v>45162</v>
      </c>
      <c r="AH207" s="80" t="s">
        <v>10812</v>
      </c>
      <c r="AI207" s="77" t="b">
        <v>0</v>
      </c>
      <c r="AJ207" s="77" t="s">
        <v>14345</v>
      </c>
      <c r="AK207" s="77" t="s">
        <v>14383</v>
      </c>
      <c r="AL207" s="77" t="s">
        <v>14392</v>
      </c>
      <c r="AM207" s="77" t="s">
        <v>14403</v>
      </c>
      <c r="AN207" s="77" t="s">
        <v>14442</v>
      </c>
      <c r="AO207" s="77" t="s">
        <v>14482</v>
      </c>
      <c r="AP207" s="77" t="s">
        <v>14516</v>
      </c>
      <c r="AQ207" s="77" t="s">
        <v>14586</v>
      </c>
      <c r="AR207" s="77"/>
      <c r="AS207" s="77"/>
      <c r="AT207" s="77"/>
      <c r="AU207" s="77"/>
      <c r="AV207" s="83" t="str">
        <f>HYPERLINK("https://pbs.twimg.com/media/F4URdolXgAIbrAh.jpg")</f>
        <v>https://pbs.twimg.com/media/F4URdolXgAIbrAh.jpg</v>
      </c>
      <c r="AW207" s="80" t="s">
        <v>16195</v>
      </c>
      <c r="AX207" s="80" t="s">
        <v>16195</v>
      </c>
      <c r="AY207" s="77"/>
      <c r="AZ207" s="80" t="s">
        <v>20380</v>
      </c>
      <c r="BA207" s="80" t="s">
        <v>20380</v>
      </c>
      <c r="BB207" s="80" t="s">
        <v>20380</v>
      </c>
      <c r="BC207" s="80" t="s">
        <v>16195</v>
      </c>
      <c r="BD207" s="80" t="s">
        <v>20540</v>
      </c>
      <c r="BE207" s="77"/>
      <c r="BF207" s="77"/>
      <c r="BG207" s="77"/>
      <c r="BH207" s="77"/>
      <c r="BI207" s="77"/>
    </row>
    <row r="208" spans="1:61" x14ac:dyDescent="0.25">
      <c r="A208" s="62" t="s">
        <v>308</v>
      </c>
      <c r="B208" s="62" t="s">
        <v>308</v>
      </c>
      <c r="C208" s="63"/>
      <c r="D208" s="64"/>
      <c r="E208" s="65"/>
      <c r="F208" s="66"/>
      <c r="G208" s="63"/>
      <c r="H208" s="67"/>
      <c r="I208" s="68"/>
      <c r="J208" s="68"/>
      <c r="K208" s="32"/>
      <c r="L208" s="75">
        <v>208</v>
      </c>
      <c r="M208" s="75"/>
      <c r="N208" s="70"/>
      <c r="O208" s="77" t="s">
        <v>179</v>
      </c>
      <c r="P208" s="79">
        <v>45140.810659722221</v>
      </c>
      <c r="Q208" s="77" t="s">
        <v>2262</v>
      </c>
      <c r="R208" s="77">
        <v>11</v>
      </c>
      <c r="S208" s="77">
        <v>4</v>
      </c>
      <c r="T208" s="77">
        <v>1</v>
      </c>
      <c r="U208" s="77">
        <v>1</v>
      </c>
      <c r="V208" s="77">
        <v>109</v>
      </c>
      <c r="W208" s="80" t="s">
        <v>6041</v>
      </c>
      <c r="X208" s="83" t="str">
        <f>HYPERLINK("http://www.invasor.cu/es/secciones/economia/banco-central-de-cuba-anuncia-nuevas-medidas-de-bancarizacion-para-reordenar-los-flujos-monetarios")</f>
        <v>http://www.invasor.cu/es/secciones/economia/banco-central-de-cuba-anuncia-nuevas-medidas-de-bancarizacion-para-reordenar-los-flujos-monetarios</v>
      </c>
      <c r="Y208" s="77" t="s">
        <v>8636</v>
      </c>
      <c r="Z208" s="77"/>
      <c r="AA208" s="77"/>
      <c r="AB208" s="77"/>
      <c r="AC208" s="80" t="s">
        <v>10541</v>
      </c>
      <c r="AD208" s="77" t="s">
        <v>10620</v>
      </c>
      <c r="AE208" s="83" t="str">
        <f>HYPERLINK("https://twitter.com/invasorpress/status/1686821003693801480")</f>
        <v>https://twitter.com/invasorpress/status/1686821003693801480</v>
      </c>
      <c r="AF208" s="79">
        <v>45140.810659722221</v>
      </c>
      <c r="AG208" s="85">
        <v>45140</v>
      </c>
      <c r="AH208" s="80" t="s">
        <v>10813</v>
      </c>
      <c r="AI208" s="77" t="b">
        <v>0</v>
      </c>
      <c r="AJ208" s="77"/>
      <c r="AK208" s="77"/>
      <c r="AL208" s="77"/>
      <c r="AM208" s="77"/>
      <c r="AN208" s="77"/>
      <c r="AO208" s="77"/>
      <c r="AP208" s="77"/>
      <c r="AQ208" s="77"/>
      <c r="AR208" s="77"/>
      <c r="AS208" s="77"/>
      <c r="AT208" s="77"/>
      <c r="AU208" s="77"/>
      <c r="AV208" s="83" t="str">
        <f>HYPERLINK("https://pbs.twimg.com/profile_images/1686821885030318082/_4rrTbug_normal.jpg")</f>
        <v>https://pbs.twimg.com/profile_images/1686821885030318082/_4rrTbug_normal.jpg</v>
      </c>
      <c r="AW208" s="80" t="s">
        <v>16196</v>
      </c>
      <c r="AX208" s="80" t="s">
        <v>16196</v>
      </c>
      <c r="AY208" s="77"/>
      <c r="AZ208" s="80" t="s">
        <v>20380</v>
      </c>
      <c r="BA208" s="80" t="s">
        <v>20380</v>
      </c>
      <c r="BB208" s="80" t="s">
        <v>20380</v>
      </c>
      <c r="BC208" s="80" t="s">
        <v>16196</v>
      </c>
      <c r="BD208" s="77">
        <v>104171632</v>
      </c>
      <c r="BE208" s="77"/>
      <c r="BF208" s="77"/>
      <c r="BG208" s="77"/>
      <c r="BH208" s="77"/>
      <c r="BI208" s="77"/>
    </row>
    <row r="209" spans="1:61" x14ac:dyDescent="0.25">
      <c r="A209" s="62" t="s">
        <v>309</v>
      </c>
      <c r="B209" s="62" t="s">
        <v>1721</v>
      </c>
      <c r="C209" s="63"/>
      <c r="D209" s="64"/>
      <c r="E209" s="65"/>
      <c r="F209" s="66"/>
      <c r="G209" s="63"/>
      <c r="H209" s="67"/>
      <c r="I209" s="68"/>
      <c r="J209" s="68"/>
      <c r="K209" s="32"/>
      <c r="L209" s="75">
        <v>209</v>
      </c>
      <c r="M209" s="75"/>
      <c r="N209" s="70"/>
      <c r="O209" s="77" t="s">
        <v>2081</v>
      </c>
      <c r="P209" s="79">
        <v>45139.481874999998</v>
      </c>
      <c r="Q209" s="77" t="s">
        <v>2263</v>
      </c>
      <c r="R209" s="77">
        <v>0</v>
      </c>
      <c r="S209" s="77">
        <v>1</v>
      </c>
      <c r="T209" s="77">
        <v>0</v>
      </c>
      <c r="U209" s="77">
        <v>0</v>
      </c>
      <c r="V209" s="77">
        <v>207</v>
      </c>
      <c r="W209" s="80" t="s">
        <v>6042</v>
      </c>
      <c r="X209" s="83" t="str">
        <f>HYPERLINK("https://doi.org/10.52292/j.estudecon.2015.736")</f>
        <v>https://doi.org/10.52292/j.estudecon.2015.736</v>
      </c>
      <c r="Y209" s="77" t="s">
        <v>8637</v>
      </c>
      <c r="Z209" s="77" t="s">
        <v>8909</v>
      </c>
      <c r="AA209" s="77" t="s">
        <v>9105</v>
      </c>
      <c r="AB209" s="77" t="s">
        <v>10535</v>
      </c>
      <c r="AC209" s="80" t="s">
        <v>10541</v>
      </c>
      <c r="AD209" s="77" t="s">
        <v>10622</v>
      </c>
      <c r="AE209" s="83" t="str">
        <f>HYPERLINK("https://twitter.com/estud_econ/status/1686339467139821568")</f>
        <v>https://twitter.com/estud_econ/status/1686339467139821568</v>
      </c>
      <c r="AF209" s="79">
        <v>45139.481874999998</v>
      </c>
      <c r="AG209" s="85">
        <v>45139</v>
      </c>
      <c r="AH209" s="80" t="s">
        <v>10814</v>
      </c>
      <c r="AI209" s="77" t="b">
        <v>0</v>
      </c>
      <c r="AJ209" s="77"/>
      <c r="AK209" s="77"/>
      <c r="AL209" s="77"/>
      <c r="AM209" s="77"/>
      <c r="AN209" s="77"/>
      <c r="AO209" s="77"/>
      <c r="AP209" s="77"/>
      <c r="AQ209" s="77" t="s">
        <v>14587</v>
      </c>
      <c r="AR209" s="77"/>
      <c r="AS209" s="77"/>
      <c r="AT209" s="77"/>
      <c r="AU209" s="77"/>
      <c r="AV209" s="83" t="str">
        <f>HYPERLINK("https://pbs.twimg.com/media/F2cNd_AW4AECTP4.png")</f>
        <v>https://pbs.twimg.com/media/F2cNd_AW4AECTP4.png</v>
      </c>
      <c r="AW209" s="80" t="s">
        <v>16197</v>
      </c>
      <c r="AX209" s="80" t="s">
        <v>16197</v>
      </c>
      <c r="AY209" s="77"/>
      <c r="AZ209" s="80" t="s">
        <v>20380</v>
      </c>
      <c r="BA209" s="80" t="s">
        <v>20380</v>
      </c>
      <c r="BB209" s="80" t="s">
        <v>20380</v>
      </c>
      <c r="BC209" s="80" t="s">
        <v>16197</v>
      </c>
      <c r="BD209" s="80" t="s">
        <v>20541</v>
      </c>
      <c r="BE209" s="77"/>
      <c r="BF209" s="77"/>
      <c r="BG209" s="77"/>
      <c r="BH209" s="77"/>
      <c r="BI209" s="77"/>
    </row>
    <row r="210" spans="1:61" x14ac:dyDescent="0.25">
      <c r="A210" s="62" t="s">
        <v>309</v>
      </c>
      <c r="B210" s="62" t="s">
        <v>1722</v>
      </c>
      <c r="C210" s="63"/>
      <c r="D210" s="64"/>
      <c r="E210" s="65"/>
      <c r="F210" s="66"/>
      <c r="G210" s="63"/>
      <c r="H210" s="67"/>
      <c r="I210" s="68"/>
      <c r="J210" s="68"/>
      <c r="K210" s="32"/>
      <c r="L210" s="75">
        <v>210</v>
      </c>
      <c r="M210" s="75"/>
      <c r="N210" s="70"/>
      <c r="O210" s="77" t="s">
        <v>2081</v>
      </c>
      <c r="P210" s="79">
        <v>45139.481874999998</v>
      </c>
      <c r="Q210" s="77" t="s">
        <v>2263</v>
      </c>
      <c r="R210" s="77">
        <v>0</v>
      </c>
      <c r="S210" s="77">
        <v>1</v>
      </c>
      <c r="T210" s="77">
        <v>0</v>
      </c>
      <c r="U210" s="77">
        <v>0</v>
      </c>
      <c r="V210" s="77">
        <v>207</v>
      </c>
      <c r="W210" s="80" t="s">
        <v>6042</v>
      </c>
      <c r="X210" s="83" t="str">
        <f>HYPERLINK("https://doi.org/10.52292/j.estudecon.2015.736")</f>
        <v>https://doi.org/10.52292/j.estudecon.2015.736</v>
      </c>
      <c r="Y210" s="77" t="s">
        <v>8637</v>
      </c>
      <c r="Z210" s="77" t="s">
        <v>8909</v>
      </c>
      <c r="AA210" s="77" t="s">
        <v>9105</v>
      </c>
      <c r="AB210" s="77" t="s">
        <v>10535</v>
      </c>
      <c r="AC210" s="80" t="s">
        <v>10541</v>
      </c>
      <c r="AD210" s="77" t="s">
        <v>10622</v>
      </c>
      <c r="AE210" s="83" t="str">
        <f>HYPERLINK("https://twitter.com/estud_econ/status/1686339467139821568")</f>
        <v>https://twitter.com/estud_econ/status/1686339467139821568</v>
      </c>
      <c r="AF210" s="79">
        <v>45139.481874999998</v>
      </c>
      <c r="AG210" s="85">
        <v>45139</v>
      </c>
      <c r="AH210" s="80" t="s">
        <v>10814</v>
      </c>
      <c r="AI210" s="77" t="b">
        <v>0</v>
      </c>
      <c r="AJ210" s="77"/>
      <c r="AK210" s="77"/>
      <c r="AL210" s="77"/>
      <c r="AM210" s="77"/>
      <c r="AN210" s="77"/>
      <c r="AO210" s="77"/>
      <c r="AP210" s="77"/>
      <c r="AQ210" s="77" t="s">
        <v>14587</v>
      </c>
      <c r="AR210" s="77"/>
      <c r="AS210" s="77"/>
      <c r="AT210" s="77"/>
      <c r="AU210" s="77"/>
      <c r="AV210" s="83" t="str">
        <f>HYPERLINK("https://pbs.twimg.com/media/F2cNd_AW4AECTP4.png")</f>
        <v>https://pbs.twimg.com/media/F2cNd_AW4AECTP4.png</v>
      </c>
      <c r="AW210" s="80" t="s">
        <v>16197</v>
      </c>
      <c r="AX210" s="80" t="s">
        <v>16197</v>
      </c>
      <c r="AY210" s="77"/>
      <c r="AZ210" s="80" t="s">
        <v>20380</v>
      </c>
      <c r="BA210" s="80" t="s">
        <v>20380</v>
      </c>
      <c r="BB210" s="80" t="s">
        <v>20380</v>
      </c>
      <c r="BC210" s="80" t="s">
        <v>16197</v>
      </c>
      <c r="BD210" s="80" t="s">
        <v>20541</v>
      </c>
      <c r="BE210" s="77"/>
      <c r="BF210" s="77"/>
      <c r="BG210" s="77"/>
      <c r="BH210" s="77"/>
      <c r="BI210" s="77"/>
    </row>
    <row r="211" spans="1:61" x14ac:dyDescent="0.25">
      <c r="A211" s="62" t="s">
        <v>309</v>
      </c>
      <c r="B211" s="62" t="s">
        <v>1723</v>
      </c>
      <c r="C211" s="63"/>
      <c r="D211" s="64"/>
      <c r="E211" s="65"/>
      <c r="F211" s="66"/>
      <c r="G211" s="63"/>
      <c r="H211" s="67"/>
      <c r="I211" s="68"/>
      <c r="J211" s="68"/>
      <c r="K211" s="32"/>
      <c r="L211" s="75">
        <v>211</v>
      </c>
      <c r="M211" s="75"/>
      <c r="N211" s="70"/>
      <c r="O211" s="77" t="s">
        <v>2081</v>
      </c>
      <c r="P211" s="79">
        <v>45139.481874999998</v>
      </c>
      <c r="Q211" s="77" t="s">
        <v>2263</v>
      </c>
      <c r="R211" s="77">
        <v>0</v>
      </c>
      <c r="S211" s="77">
        <v>1</v>
      </c>
      <c r="T211" s="77">
        <v>0</v>
      </c>
      <c r="U211" s="77">
        <v>0</v>
      </c>
      <c r="V211" s="77">
        <v>207</v>
      </c>
      <c r="W211" s="80" t="s">
        <v>6042</v>
      </c>
      <c r="X211" s="83" t="str">
        <f>HYPERLINK("https://doi.org/10.52292/j.estudecon.2015.736")</f>
        <v>https://doi.org/10.52292/j.estudecon.2015.736</v>
      </c>
      <c r="Y211" s="77" t="s">
        <v>8637</v>
      </c>
      <c r="Z211" s="77" t="s">
        <v>8909</v>
      </c>
      <c r="AA211" s="77" t="s">
        <v>9105</v>
      </c>
      <c r="AB211" s="77" t="s">
        <v>10535</v>
      </c>
      <c r="AC211" s="80" t="s">
        <v>10541</v>
      </c>
      <c r="AD211" s="77" t="s">
        <v>10622</v>
      </c>
      <c r="AE211" s="83" t="str">
        <f>HYPERLINK("https://twitter.com/estud_econ/status/1686339467139821568")</f>
        <v>https://twitter.com/estud_econ/status/1686339467139821568</v>
      </c>
      <c r="AF211" s="79">
        <v>45139.481874999998</v>
      </c>
      <c r="AG211" s="85">
        <v>45139</v>
      </c>
      <c r="AH211" s="80" t="s">
        <v>10814</v>
      </c>
      <c r="AI211" s="77" t="b">
        <v>0</v>
      </c>
      <c r="AJ211" s="77"/>
      <c r="AK211" s="77"/>
      <c r="AL211" s="77"/>
      <c r="AM211" s="77"/>
      <c r="AN211" s="77"/>
      <c r="AO211" s="77"/>
      <c r="AP211" s="77"/>
      <c r="AQ211" s="77" t="s">
        <v>14587</v>
      </c>
      <c r="AR211" s="77"/>
      <c r="AS211" s="77"/>
      <c r="AT211" s="77"/>
      <c r="AU211" s="77"/>
      <c r="AV211" s="83" t="str">
        <f>HYPERLINK("https://pbs.twimg.com/media/F2cNd_AW4AECTP4.png")</f>
        <v>https://pbs.twimg.com/media/F2cNd_AW4AECTP4.png</v>
      </c>
      <c r="AW211" s="80" t="s">
        <v>16197</v>
      </c>
      <c r="AX211" s="80" t="s">
        <v>16197</v>
      </c>
      <c r="AY211" s="77"/>
      <c r="AZ211" s="80" t="s">
        <v>20380</v>
      </c>
      <c r="BA211" s="80" t="s">
        <v>20380</v>
      </c>
      <c r="BB211" s="80" t="s">
        <v>20380</v>
      </c>
      <c r="BC211" s="80" t="s">
        <v>16197</v>
      </c>
      <c r="BD211" s="80" t="s">
        <v>20541</v>
      </c>
      <c r="BE211" s="77"/>
      <c r="BF211" s="77"/>
      <c r="BG211" s="77"/>
      <c r="BH211" s="77"/>
      <c r="BI211" s="77"/>
    </row>
    <row r="212" spans="1:61" x14ac:dyDescent="0.25">
      <c r="A212" s="62" t="s">
        <v>310</v>
      </c>
      <c r="B212" s="62" t="s">
        <v>310</v>
      </c>
      <c r="C212" s="63"/>
      <c r="D212" s="64"/>
      <c r="E212" s="65"/>
      <c r="F212" s="66"/>
      <c r="G212" s="63"/>
      <c r="H212" s="67"/>
      <c r="I212" s="68"/>
      <c r="J212" s="68"/>
      <c r="K212" s="32"/>
      <c r="L212" s="75">
        <v>212</v>
      </c>
      <c r="M212" s="75"/>
      <c r="N212" s="70"/>
      <c r="O212" s="77" t="s">
        <v>2078</v>
      </c>
      <c r="P212" s="79">
        <v>45135.816331018519</v>
      </c>
      <c r="Q212" s="77" t="s">
        <v>2264</v>
      </c>
      <c r="R212" s="77">
        <v>1</v>
      </c>
      <c r="S212" s="77">
        <v>1</v>
      </c>
      <c r="T212" s="77">
        <v>0</v>
      </c>
      <c r="U212" s="77">
        <v>0</v>
      </c>
      <c r="V212" s="77">
        <v>33</v>
      </c>
      <c r="W212" s="80" t="s">
        <v>6043</v>
      </c>
      <c r="X212" s="83" t="str">
        <f>HYPERLINK("https://comunicarnoticias.ar/2023/07/28/el-gobierno-acordo-con-el-fmi-y-desembolsara-us-7-500-millones-de-dolares-en-agosto/")</f>
        <v>https://comunicarnoticias.ar/2023/07/28/el-gobierno-acordo-con-el-fmi-y-desembolsara-us-7-500-millones-de-dolares-en-agosto/</v>
      </c>
      <c r="Y212" s="77" t="s">
        <v>8638</v>
      </c>
      <c r="Z212" s="77" t="s">
        <v>8910</v>
      </c>
      <c r="AA212" s="77"/>
      <c r="AB212" s="77"/>
      <c r="AC212" s="80" t="s">
        <v>10540</v>
      </c>
      <c r="AD212" s="77" t="s">
        <v>10619</v>
      </c>
      <c r="AE212" s="83" t="str">
        <f>HYPERLINK("https://twitter.com/cnarnoticiasarg/status/1685011118031257602")</f>
        <v>https://twitter.com/cnarnoticiasarg/status/1685011118031257602</v>
      </c>
      <c r="AF212" s="79">
        <v>45135.816331018519</v>
      </c>
      <c r="AG212" s="85">
        <v>45135</v>
      </c>
      <c r="AH212" s="80" t="s">
        <v>10815</v>
      </c>
      <c r="AI212" s="77" t="b">
        <v>0</v>
      </c>
      <c r="AJ212" s="77"/>
      <c r="AK212" s="77"/>
      <c r="AL212" s="77"/>
      <c r="AM212" s="77"/>
      <c r="AN212" s="77"/>
      <c r="AO212" s="77"/>
      <c r="AP212" s="77"/>
      <c r="AQ212" s="77"/>
      <c r="AR212" s="77"/>
      <c r="AS212" s="77"/>
      <c r="AT212" s="77"/>
      <c r="AU212" s="77"/>
      <c r="AV212" s="83" t="str">
        <f>HYPERLINK("https://pbs.twimg.com/profile_images/1461728261461970949/dFkRU8l1_normal.jpg")</f>
        <v>https://pbs.twimg.com/profile_images/1461728261461970949/dFkRU8l1_normal.jpg</v>
      </c>
      <c r="AW212" s="80" t="s">
        <v>16198</v>
      </c>
      <c r="AX212" s="80" t="s">
        <v>19969</v>
      </c>
      <c r="AY212" s="80" t="s">
        <v>20223</v>
      </c>
      <c r="AZ212" s="80" t="s">
        <v>20386</v>
      </c>
      <c r="BA212" s="80" t="s">
        <v>20380</v>
      </c>
      <c r="BB212" s="80" t="s">
        <v>20380</v>
      </c>
      <c r="BC212" s="80" t="s">
        <v>20386</v>
      </c>
      <c r="BD212" s="80" t="s">
        <v>20223</v>
      </c>
      <c r="BE212" s="77"/>
      <c r="BF212" s="77"/>
      <c r="BG212" s="77"/>
      <c r="BH212" s="77"/>
      <c r="BI212" s="77"/>
    </row>
    <row r="213" spans="1:61" x14ac:dyDescent="0.25">
      <c r="A213" s="62" t="s">
        <v>311</v>
      </c>
      <c r="B213" s="62" t="s">
        <v>311</v>
      </c>
      <c r="C213" s="63"/>
      <c r="D213" s="64"/>
      <c r="E213" s="65"/>
      <c r="F213" s="66"/>
      <c r="G213" s="63"/>
      <c r="H213" s="67"/>
      <c r="I213" s="68"/>
      <c r="J213" s="68"/>
      <c r="K213" s="32"/>
      <c r="L213" s="75">
        <v>213</v>
      </c>
      <c r="M213" s="75"/>
      <c r="N213" s="70"/>
      <c r="O213" s="77" t="s">
        <v>179</v>
      </c>
      <c r="P213" s="79">
        <v>45080.957858796297</v>
      </c>
      <c r="Q213" s="77" t="s">
        <v>2265</v>
      </c>
      <c r="R213" s="77">
        <v>0</v>
      </c>
      <c r="S213" s="77">
        <v>1</v>
      </c>
      <c r="T213" s="77">
        <v>1</v>
      </c>
      <c r="U213" s="77">
        <v>0</v>
      </c>
      <c r="V213" s="77">
        <v>102</v>
      </c>
      <c r="W213" s="80" t="s">
        <v>6044</v>
      </c>
      <c r="X213" s="77"/>
      <c r="Y213" s="77"/>
      <c r="Z213" s="77"/>
      <c r="AA213" s="77" t="s">
        <v>9106</v>
      </c>
      <c r="AB213" s="77" t="s">
        <v>10536</v>
      </c>
      <c r="AC213" s="80" t="s">
        <v>10540</v>
      </c>
      <c r="AD213" s="77" t="s">
        <v>10620</v>
      </c>
      <c r="AE213" s="83" t="str">
        <f>HYPERLINK("https://twitter.com/pichondelacity/status/1665131076052762626")</f>
        <v>https://twitter.com/pichondelacity/status/1665131076052762626</v>
      </c>
      <c r="AF213" s="79">
        <v>45080.957858796297</v>
      </c>
      <c r="AG213" s="85">
        <v>45080</v>
      </c>
      <c r="AH213" s="80" t="s">
        <v>10816</v>
      </c>
      <c r="AI213" s="77" t="b">
        <v>0</v>
      </c>
      <c r="AJ213" s="77"/>
      <c r="AK213" s="77"/>
      <c r="AL213" s="77"/>
      <c r="AM213" s="77"/>
      <c r="AN213" s="77"/>
      <c r="AO213" s="77"/>
      <c r="AP213" s="77"/>
      <c r="AQ213" s="77" t="s">
        <v>14588</v>
      </c>
      <c r="AR213" s="77"/>
      <c r="AS213" s="77"/>
      <c r="AT213" s="77"/>
      <c r="AU213" s="77"/>
      <c r="AV213" s="83" t="str">
        <f>HYPERLINK("https://pbs.twimg.com/media/Fxu74bzXwAEEtr7.jpg")</f>
        <v>https://pbs.twimg.com/media/Fxu74bzXwAEEtr7.jpg</v>
      </c>
      <c r="AW213" s="80" t="s">
        <v>16199</v>
      </c>
      <c r="AX213" s="80" t="s">
        <v>16199</v>
      </c>
      <c r="AY213" s="77"/>
      <c r="AZ213" s="80" t="s">
        <v>20380</v>
      </c>
      <c r="BA213" s="80" t="s">
        <v>20380</v>
      </c>
      <c r="BB213" s="80" t="s">
        <v>20380</v>
      </c>
      <c r="BC213" s="80" t="s">
        <v>16199</v>
      </c>
      <c r="BD213" s="77">
        <v>2493429291</v>
      </c>
      <c r="BE213" s="77"/>
      <c r="BF213" s="77"/>
      <c r="BG213" s="77"/>
      <c r="BH213" s="77"/>
      <c r="BI213" s="77"/>
    </row>
    <row r="214" spans="1:61" x14ac:dyDescent="0.25">
      <c r="A214" s="62" t="s">
        <v>312</v>
      </c>
      <c r="B214" s="62" t="s">
        <v>1655</v>
      </c>
      <c r="C214" s="63"/>
      <c r="D214" s="64"/>
      <c r="E214" s="65"/>
      <c r="F214" s="66"/>
      <c r="G214" s="63"/>
      <c r="H214" s="67"/>
      <c r="I214" s="68"/>
      <c r="J214" s="68"/>
      <c r="K214" s="32"/>
      <c r="L214" s="75">
        <v>214</v>
      </c>
      <c r="M214" s="75"/>
      <c r="N214" s="70"/>
      <c r="O214" s="77" t="s">
        <v>2083</v>
      </c>
      <c r="P214" s="79">
        <v>45191.01458333333</v>
      </c>
      <c r="Q214" s="77" t="s">
        <v>2120</v>
      </c>
      <c r="R214" s="77">
        <v>25</v>
      </c>
      <c r="S214" s="77">
        <v>0</v>
      </c>
      <c r="T214" s="77">
        <v>0</v>
      </c>
      <c r="U214" s="77">
        <v>0</v>
      </c>
      <c r="V214" s="77"/>
      <c r="W214" s="80" t="s">
        <v>5917</v>
      </c>
      <c r="X214" s="77"/>
      <c r="Y214" s="77"/>
      <c r="Z214" s="77" t="s">
        <v>1655</v>
      </c>
      <c r="AA214" s="77"/>
      <c r="AB214" s="77"/>
      <c r="AC214" s="80" t="s">
        <v>10540</v>
      </c>
      <c r="AD214" s="77" t="s">
        <v>10617</v>
      </c>
      <c r="AE214" s="83" t="str">
        <f>HYPERLINK("https://twitter.com/catdogdogue/status/1705014294620873063")</f>
        <v>https://twitter.com/catdogdogue/status/1705014294620873063</v>
      </c>
      <c r="AF214" s="79">
        <v>45191.01458333333</v>
      </c>
      <c r="AG214" s="85">
        <v>45191</v>
      </c>
      <c r="AH214" s="80" t="s">
        <v>10817</v>
      </c>
      <c r="AI214" s="77"/>
      <c r="AJ214" s="77"/>
      <c r="AK214" s="77"/>
      <c r="AL214" s="77"/>
      <c r="AM214" s="77"/>
      <c r="AN214" s="77"/>
      <c r="AO214" s="77"/>
      <c r="AP214" s="77"/>
      <c r="AQ214" s="77"/>
      <c r="AR214" s="77"/>
      <c r="AS214" s="77"/>
      <c r="AT214" s="77"/>
      <c r="AU214" s="77"/>
      <c r="AV214" s="83" t="str">
        <f>HYPERLINK("https://pbs.twimg.com/profile_images/1613747461650006018/7WJo_WId_normal.jpg")</f>
        <v>https://pbs.twimg.com/profile_images/1613747461650006018/7WJo_WId_normal.jpg</v>
      </c>
      <c r="AW214" s="80" t="s">
        <v>16200</v>
      </c>
      <c r="AX214" s="80" t="s">
        <v>16200</v>
      </c>
      <c r="AY214" s="77"/>
      <c r="AZ214" s="80" t="s">
        <v>20380</v>
      </c>
      <c r="BA214" s="80" t="s">
        <v>20380</v>
      </c>
      <c r="BB214" s="80" t="s">
        <v>19844</v>
      </c>
      <c r="BC214" s="80" t="s">
        <v>19844</v>
      </c>
      <c r="BD214" s="80" t="s">
        <v>20542</v>
      </c>
      <c r="BE214" s="77"/>
      <c r="BF214" s="77"/>
      <c r="BG214" s="77"/>
      <c r="BH214" s="77"/>
      <c r="BI214" s="77"/>
    </row>
    <row r="215" spans="1:61" x14ac:dyDescent="0.25">
      <c r="A215" s="62" t="s">
        <v>313</v>
      </c>
      <c r="B215" s="62" t="s">
        <v>1345</v>
      </c>
      <c r="C215" s="63"/>
      <c r="D215" s="64"/>
      <c r="E215" s="65"/>
      <c r="F215" s="66"/>
      <c r="G215" s="63"/>
      <c r="H215" s="67"/>
      <c r="I215" s="68"/>
      <c r="J215" s="68"/>
      <c r="K215" s="32"/>
      <c r="L215" s="75">
        <v>215</v>
      </c>
      <c r="M215" s="75"/>
      <c r="N215" s="70"/>
      <c r="O215" s="77" t="s">
        <v>2082</v>
      </c>
      <c r="P215" s="79">
        <v>45168.513981481483</v>
      </c>
      <c r="Q215" s="77" t="s">
        <v>2266</v>
      </c>
      <c r="R215" s="77">
        <v>0</v>
      </c>
      <c r="S215" s="77">
        <v>0</v>
      </c>
      <c r="T215" s="77">
        <v>0</v>
      </c>
      <c r="U215" s="77">
        <v>0</v>
      </c>
      <c r="V215" s="77">
        <v>29</v>
      </c>
      <c r="W215" s="80" t="s">
        <v>6045</v>
      </c>
      <c r="X215" s="77"/>
      <c r="Y215" s="77"/>
      <c r="Z215" s="77"/>
      <c r="AA215" s="77"/>
      <c r="AB215" s="77"/>
      <c r="AC215" s="80" t="s">
        <v>10540</v>
      </c>
      <c r="AD215" s="77" t="s">
        <v>10618</v>
      </c>
      <c r="AE215" s="83" t="str">
        <f>HYPERLINK("https://twitter.com/baumfeetlover/status/1696860351239758018")</f>
        <v>https://twitter.com/baumfeetlover/status/1696860351239758018</v>
      </c>
      <c r="AF215" s="79">
        <v>45168.513981481483</v>
      </c>
      <c r="AG215" s="85">
        <v>45168</v>
      </c>
      <c r="AH215" s="80" t="s">
        <v>10818</v>
      </c>
      <c r="AI215" s="77"/>
      <c r="AJ215" s="77"/>
      <c r="AK215" s="77"/>
      <c r="AL215" s="77"/>
      <c r="AM215" s="77"/>
      <c r="AN215" s="77"/>
      <c r="AO215" s="77"/>
      <c r="AP215" s="77"/>
      <c r="AQ215" s="77"/>
      <c r="AR215" s="77"/>
      <c r="AS215" s="77"/>
      <c r="AT215" s="77"/>
      <c r="AU215" s="77"/>
      <c r="AV215" s="83" t="str">
        <f>HYPERLINK("https://pbs.twimg.com/profile_images/1537111791431561220/hUjejwub_normal.jpg")</f>
        <v>https://pbs.twimg.com/profile_images/1537111791431561220/hUjejwub_normal.jpg</v>
      </c>
      <c r="AW215" s="80" t="s">
        <v>16201</v>
      </c>
      <c r="AX215" s="80" t="s">
        <v>16201</v>
      </c>
      <c r="AY215" s="77"/>
      <c r="AZ215" s="80" t="s">
        <v>20380</v>
      </c>
      <c r="BA215" s="80" t="s">
        <v>19132</v>
      </c>
      <c r="BB215" s="80" t="s">
        <v>20380</v>
      </c>
      <c r="BC215" s="80" t="s">
        <v>19132</v>
      </c>
      <c r="BD215" s="80" t="s">
        <v>20543</v>
      </c>
      <c r="BE215" s="77"/>
      <c r="BF215" s="77"/>
      <c r="BG215" s="77"/>
      <c r="BH215" s="77"/>
      <c r="BI215" s="77"/>
    </row>
    <row r="216" spans="1:61" x14ac:dyDescent="0.25">
      <c r="A216" s="62" t="s">
        <v>314</v>
      </c>
      <c r="B216" s="62" t="s">
        <v>314</v>
      </c>
      <c r="C216" s="63"/>
      <c r="D216" s="64"/>
      <c r="E216" s="65"/>
      <c r="F216" s="66"/>
      <c r="G216" s="63"/>
      <c r="H216" s="67"/>
      <c r="I216" s="68"/>
      <c r="J216" s="68"/>
      <c r="K216" s="32"/>
      <c r="L216" s="75">
        <v>216</v>
      </c>
      <c r="M216" s="75"/>
      <c r="N216" s="70"/>
      <c r="O216" s="77" t="s">
        <v>179</v>
      </c>
      <c r="P216" s="79">
        <v>45091.814606481479</v>
      </c>
      <c r="Q216" s="77" t="s">
        <v>2267</v>
      </c>
      <c r="R216" s="77">
        <v>0</v>
      </c>
      <c r="S216" s="77">
        <v>1</v>
      </c>
      <c r="T216" s="77">
        <v>1</v>
      </c>
      <c r="U216" s="77">
        <v>0</v>
      </c>
      <c r="V216" s="77">
        <v>52</v>
      </c>
      <c r="W216" s="80" t="s">
        <v>6046</v>
      </c>
      <c r="X216" s="77"/>
      <c r="Y216" s="77"/>
      <c r="Z216" s="77"/>
      <c r="AA216" s="77"/>
      <c r="AB216" s="77"/>
      <c r="AC216" s="80" t="s">
        <v>10541</v>
      </c>
      <c r="AD216" s="77" t="s">
        <v>10617</v>
      </c>
      <c r="AE216" s="83" t="str">
        <f>HYPERLINK("https://twitter.com/invest_kla/status/1669065430172835846")</f>
        <v>https://twitter.com/invest_kla/status/1669065430172835846</v>
      </c>
      <c r="AF216" s="79">
        <v>45091.814606481479</v>
      </c>
      <c r="AG216" s="85">
        <v>45091</v>
      </c>
      <c r="AH216" s="80" t="s">
        <v>10819</v>
      </c>
      <c r="AI216" s="77"/>
      <c r="AJ216" s="77"/>
      <c r="AK216" s="77"/>
      <c r="AL216" s="77"/>
      <c r="AM216" s="77"/>
      <c r="AN216" s="77"/>
      <c r="AO216" s="77"/>
      <c r="AP216" s="77"/>
      <c r="AQ216" s="77"/>
      <c r="AR216" s="77"/>
      <c r="AS216" s="77"/>
      <c r="AT216" s="77"/>
      <c r="AU216" s="77"/>
      <c r="AV216" s="83" t="str">
        <f>HYPERLINK("https://pbs.twimg.com/profile_images/1611007714779357192/KfacuwSp_normal.png")</f>
        <v>https://pbs.twimg.com/profile_images/1611007714779357192/KfacuwSp_normal.png</v>
      </c>
      <c r="AW216" s="80" t="s">
        <v>16202</v>
      </c>
      <c r="AX216" s="80" t="s">
        <v>16202</v>
      </c>
      <c r="AY216" s="77"/>
      <c r="AZ216" s="80" t="s">
        <v>20380</v>
      </c>
      <c r="BA216" s="80" t="s">
        <v>20380</v>
      </c>
      <c r="BB216" s="80" t="s">
        <v>20380</v>
      </c>
      <c r="BC216" s="80" t="s">
        <v>16202</v>
      </c>
      <c r="BD216" s="80" t="s">
        <v>20544</v>
      </c>
      <c r="BE216" s="77"/>
      <c r="BF216" s="77"/>
      <c r="BG216" s="77"/>
      <c r="BH216" s="77"/>
      <c r="BI216" s="77"/>
    </row>
    <row r="217" spans="1:61" x14ac:dyDescent="0.25">
      <c r="A217" s="62" t="s">
        <v>314</v>
      </c>
      <c r="B217" s="62" t="s">
        <v>314</v>
      </c>
      <c r="C217" s="63"/>
      <c r="D217" s="64"/>
      <c r="E217" s="65"/>
      <c r="F217" s="66"/>
      <c r="G217" s="63"/>
      <c r="H217" s="67"/>
      <c r="I217" s="68"/>
      <c r="J217" s="68"/>
      <c r="K217" s="32"/>
      <c r="L217" s="75">
        <v>217</v>
      </c>
      <c r="M217" s="75"/>
      <c r="N217" s="70"/>
      <c r="O217" s="77" t="s">
        <v>179</v>
      </c>
      <c r="P217" s="79">
        <v>45103.806284722225</v>
      </c>
      <c r="Q217" s="77" t="s">
        <v>2268</v>
      </c>
      <c r="R217" s="77">
        <v>0</v>
      </c>
      <c r="S217" s="77">
        <v>0</v>
      </c>
      <c r="T217" s="77">
        <v>0</v>
      </c>
      <c r="U217" s="77">
        <v>0</v>
      </c>
      <c r="V217" s="77">
        <v>10</v>
      </c>
      <c r="W217" s="80" t="s">
        <v>5884</v>
      </c>
      <c r="X217" s="77"/>
      <c r="Y217" s="77"/>
      <c r="Z217" s="77"/>
      <c r="AA217" s="77"/>
      <c r="AB217" s="77"/>
      <c r="AC217" s="80" t="s">
        <v>10541</v>
      </c>
      <c r="AD217" s="77" t="s">
        <v>10617</v>
      </c>
      <c r="AE217" s="83" t="str">
        <f>HYPERLINK("https://twitter.com/invest_kla/status/1673411068532609024")</f>
        <v>https://twitter.com/invest_kla/status/1673411068532609024</v>
      </c>
      <c r="AF217" s="79">
        <v>45103.806284722225</v>
      </c>
      <c r="AG217" s="85">
        <v>45103</v>
      </c>
      <c r="AH217" s="80" t="s">
        <v>10820</v>
      </c>
      <c r="AI217" s="77"/>
      <c r="AJ217" s="77"/>
      <c r="AK217" s="77"/>
      <c r="AL217" s="77"/>
      <c r="AM217" s="77"/>
      <c r="AN217" s="77"/>
      <c r="AO217" s="77"/>
      <c r="AP217" s="77"/>
      <c r="AQ217" s="77"/>
      <c r="AR217" s="77"/>
      <c r="AS217" s="77"/>
      <c r="AT217" s="77"/>
      <c r="AU217" s="77"/>
      <c r="AV217" s="83" t="str">
        <f>HYPERLINK("https://pbs.twimg.com/profile_images/1611007714779357192/KfacuwSp_normal.png")</f>
        <v>https://pbs.twimg.com/profile_images/1611007714779357192/KfacuwSp_normal.png</v>
      </c>
      <c r="AW217" s="80" t="s">
        <v>16203</v>
      </c>
      <c r="AX217" s="80" t="s">
        <v>16203</v>
      </c>
      <c r="AY217" s="77"/>
      <c r="AZ217" s="80" t="s">
        <v>20380</v>
      </c>
      <c r="BA217" s="80" t="s">
        <v>20380</v>
      </c>
      <c r="BB217" s="80" t="s">
        <v>20380</v>
      </c>
      <c r="BC217" s="80" t="s">
        <v>16203</v>
      </c>
      <c r="BD217" s="80" t="s">
        <v>20544</v>
      </c>
      <c r="BE217" s="77"/>
      <c r="BF217" s="77"/>
      <c r="BG217" s="77"/>
      <c r="BH217" s="77"/>
      <c r="BI217" s="77"/>
    </row>
    <row r="218" spans="1:61" x14ac:dyDescent="0.25">
      <c r="A218" s="62" t="s">
        <v>314</v>
      </c>
      <c r="B218" s="62" t="s">
        <v>314</v>
      </c>
      <c r="C218" s="63"/>
      <c r="D218" s="64"/>
      <c r="E218" s="65"/>
      <c r="F218" s="66"/>
      <c r="G218" s="63"/>
      <c r="H218" s="67"/>
      <c r="I218" s="68"/>
      <c r="J218" s="68"/>
      <c r="K218" s="32"/>
      <c r="L218" s="75">
        <v>218</v>
      </c>
      <c r="M218" s="75"/>
      <c r="N218" s="70"/>
      <c r="O218" s="77" t="s">
        <v>179</v>
      </c>
      <c r="P218" s="79">
        <v>45090.723773148151</v>
      </c>
      <c r="Q218" s="77" t="s">
        <v>2269</v>
      </c>
      <c r="R218" s="77">
        <v>0</v>
      </c>
      <c r="S218" s="77">
        <v>0</v>
      </c>
      <c r="T218" s="77">
        <v>0</v>
      </c>
      <c r="U218" s="77">
        <v>0</v>
      </c>
      <c r="V218" s="77">
        <v>39</v>
      </c>
      <c r="W218" s="80" t="s">
        <v>6047</v>
      </c>
      <c r="X218" s="77"/>
      <c r="Y218" s="77"/>
      <c r="Z218" s="77"/>
      <c r="AA218" s="77" t="s">
        <v>9107</v>
      </c>
      <c r="AB218" s="77" t="s">
        <v>10535</v>
      </c>
      <c r="AC218" s="80" t="s">
        <v>10541</v>
      </c>
      <c r="AD218" s="77" t="s">
        <v>10617</v>
      </c>
      <c r="AE218" s="83" t="str">
        <f>HYPERLINK("https://twitter.com/invest_kla/status/1668670124868485120")</f>
        <v>https://twitter.com/invest_kla/status/1668670124868485120</v>
      </c>
      <c r="AF218" s="79">
        <v>45090.723773148151</v>
      </c>
      <c r="AG218" s="85">
        <v>45090</v>
      </c>
      <c r="AH218" s="80" t="s">
        <v>10821</v>
      </c>
      <c r="AI218" s="77" t="b">
        <v>0</v>
      </c>
      <c r="AJ218" s="77"/>
      <c r="AK218" s="77"/>
      <c r="AL218" s="77"/>
      <c r="AM218" s="77"/>
      <c r="AN218" s="77"/>
      <c r="AO218" s="77"/>
      <c r="AP218" s="77"/>
      <c r="AQ218" s="77" t="s">
        <v>14589</v>
      </c>
      <c r="AR218" s="77"/>
      <c r="AS218" s="77"/>
      <c r="AT218" s="77"/>
      <c r="AU218" s="77"/>
      <c r="AV218" s="83" t="str">
        <f>HYPERLINK("https://pbs.twimg.com/media/FyhFXArWYAIP3Ui.jpg")</f>
        <v>https://pbs.twimg.com/media/FyhFXArWYAIP3Ui.jpg</v>
      </c>
      <c r="AW218" s="80" t="s">
        <v>16204</v>
      </c>
      <c r="AX218" s="80" t="s">
        <v>16204</v>
      </c>
      <c r="AY218" s="77"/>
      <c r="AZ218" s="80" t="s">
        <v>20380</v>
      </c>
      <c r="BA218" s="80" t="s">
        <v>20380</v>
      </c>
      <c r="BB218" s="80" t="s">
        <v>20380</v>
      </c>
      <c r="BC218" s="80" t="s">
        <v>16204</v>
      </c>
      <c r="BD218" s="80" t="s">
        <v>20544</v>
      </c>
      <c r="BE218" s="77"/>
      <c r="BF218" s="77"/>
      <c r="BG218" s="77"/>
      <c r="BH218" s="77"/>
      <c r="BI218" s="77"/>
    </row>
    <row r="219" spans="1:61" x14ac:dyDescent="0.25">
      <c r="A219" s="62" t="s">
        <v>315</v>
      </c>
      <c r="B219" s="62" t="s">
        <v>315</v>
      </c>
      <c r="C219" s="63"/>
      <c r="D219" s="64"/>
      <c r="E219" s="65"/>
      <c r="F219" s="66"/>
      <c r="G219" s="63"/>
      <c r="H219" s="67"/>
      <c r="I219" s="68"/>
      <c r="J219" s="68"/>
      <c r="K219" s="32"/>
      <c r="L219" s="75">
        <v>219</v>
      </c>
      <c r="M219" s="75"/>
      <c r="N219" s="70"/>
      <c r="O219" s="77" t="s">
        <v>179</v>
      </c>
      <c r="P219" s="79">
        <v>45070.816076388888</v>
      </c>
      <c r="Q219" s="77" t="s">
        <v>2270</v>
      </c>
      <c r="R219" s="77">
        <v>3</v>
      </c>
      <c r="S219" s="77">
        <v>13</v>
      </c>
      <c r="T219" s="77">
        <v>7</v>
      </c>
      <c r="U219" s="77">
        <v>10</v>
      </c>
      <c r="V219" s="77">
        <v>2920</v>
      </c>
      <c r="W219" s="80" t="s">
        <v>6048</v>
      </c>
      <c r="X219" s="83" t="str">
        <f>HYPERLINK("https://hoy.com.do/banco-central-anuncia-inflacion-entraria-dentro-del-rango-meta-al-cierre-de-mayo/")</f>
        <v>https://hoy.com.do/banco-central-anuncia-inflacion-entraria-dentro-del-rango-meta-al-cierre-de-mayo/</v>
      </c>
      <c r="Y219" s="77" t="s">
        <v>8625</v>
      </c>
      <c r="Z219" s="77"/>
      <c r="AA219" s="77"/>
      <c r="AB219" s="77"/>
      <c r="AC219" s="80" t="s">
        <v>10552</v>
      </c>
      <c r="AD219" s="77" t="s">
        <v>10620</v>
      </c>
      <c r="AE219" s="83" t="str">
        <f>HYPERLINK("https://twitter.com/periodicohoy/status/1661455817172832275")</f>
        <v>https://twitter.com/periodicohoy/status/1661455817172832275</v>
      </c>
      <c r="AF219" s="79">
        <v>45070.816076388888</v>
      </c>
      <c r="AG219" s="85">
        <v>45070</v>
      </c>
      <c r="AH219" s="80" t="s">
        <v>10822</v>
      </c>
      <c r="AI219" s="77" t="b">
        <v>0</v>
      </c>
      <c r="AJ219" s="77"/>
      <c r="AK219" s="77"/>
      <c r="AL219" s="77"/>
      <c r="AM219" s="77"/>
      <c r="AN219" s="77"/>
      <c r="AO219" s="77"/>
      <c r="AP219" s="77"/>
      <c r="AQ219" s="77"/>
      <c r="AR219" s="77"/>
      <c r="AS219" s="77"/>
      <c r="AT219" s="77"/>
      <c r="AU219" s="77"/>
      <c r="AV219" s="83" t="str">
        <f>HYPERLINK("https://pbs.twimg.com/profile_images/1697979139494383617/vD4WIUGv_normal.jpg")</f>
        <v>https://pbs.twimg.com/profile_images/1697979139494383617/vD4WIUGv_normal.jpg</v>
      </c>
      <c r="AW219" s="80" t="s">
        <v>16205</v>
      </c>
      <c r="AX219" s="80" t="s">
        <v>16205</v>
      </c>
      <c r="AY219" s="77"/>
      <c r="AZ219" s="80" t="s">
        <v>20380</v>
      </c>
      <c r="BA219" s="80" t="s">
        <v>20380</v>
      </c>
      <c r="BB219" s="80" t="s">
        <v>20380</v>
      </c>
      <c r="BC219" s="80" t="s">
        <v>16205</v>
      </c>
      <c r="BD219" s="77">
        <v>43534995</v>
      </c>
      <c r="BE219" s="77"/>
      <c r="BF219" s="77"/>
      <c r="BG219" s="77"/>
      <c r="BH219" s="77"/>
      <c r="BI219" s="77"/>
    </row>
    <row r="220" spans="1:61" x14ac:dyDescent="0.25">
      <c r="A220" s="62" t="s">
        <v>315</v>
      </c>
      <c r="B220" s="62" t="s">
        <v>315</v>
      </c>
      <c r="C220" s="63"/>
      <c r="D220" s="64"/>
      <c r="E220" s="65"/>
      <c r="F220" s="66"/>
      <c r="G220" s="63"/>
      <c r="H220" s="67"/>
      <c r="I220" s="68"/>
      <c r="J220" s="68"/>
      <c r="K220" s="32"/>
      <c r="L220" s="75">
        <v>220</v>
      </c>
      <c r="M220" s="75"/>
      <c r="N220" s="70"/>
      <c r="O220" s="77" t="s">
        <v>179</v>
      </c>
      <c r="P220" s="79">
        <v>45116.639004629629</v>
      </c>
      <c r="Q220" s="77" t="s">
        <v>2271</v>
      </c>
      <c r="R220" s="77">
        <v>1</v>
      </c>
      <c r="S220" s="77">
        <v>4</v>
      </c>
      <c r="T220" s="77">
        <v>1</v>
      </c>
      <c r="U220" s="77">
        <v>0</v>
      </c>
      <c r="V220" s="77">
        <v>1792</v>
      </c>
      <c r="W220" s="80" t="s">
        <v>6049</v>
      </c>
      <c r="X220" s="83" t="str">
        <f>HYPERLINK("https://hoy.com.do/banco-central-en-primer-semestre-los-flujos-de-remesas-alcanzaron-los-us5019-9-millones/")</f>
        <v>https://hoy.com.do/banco-central-en-primer-semestre-los-flujos-de-remesas-alcanzaron-los-us5019-9-millones/</v>
      </c>
      <c r="Y220" s="77" t="s">
        <v>8625</v>
      </c>
      <c r="Z220" s="77"/>
      <c r="AA220" s="77"/>
      <c r="AB220" s="77"/>
      <c r="AC220" s="80" t="s">
        <v>10552</v>
      </c>
      <c r="AD220" s="77" t="s">
        <v>10620</v>
      </c>
      <c r="AE220" s="83" t="str">
        <f>HYPERLINK("https://twitter.com/periodicohoy/status/1678061490044125186")</f>
        <v>https://twitter.com/periodicohoy/status/1678061490044125186</v>
      </c>
      <c r="AF220" s="79">
        <v>45116.639004629629</v>
      </c>
      <c r="AG220" s="85">
        <v>45116</v>
      </c>
      <c r="AH220" s="80" t="s">
        <v>10823</v>
      </c>
      <c r="AI220" s="77" t="b">
        <v>0</v>
      </c>
      <c r="AJ220" s="77"/>
      <c r="AK220" s="77"/>
      <c r="AL220" s="77"/>
      <c r="AM220" s="77"/>
      <c r="AN220" s="77"/>
      <c r="AO220" s="77"/>
      <c r="AP220" s="77"/>
      <c r="AQ220" s="77"/>
      <c r="AR220" s="77"/>
      <c r="AS220" s="77"/>
      <c r="AT220" s="77"/>
      <c r="AU220" s="77"/>
      <c r="AV220" s="83" t="str">
        <f>HYPERLINK("https://pbs.twimg.com/profile_images/1697979139494383617/vD4WIUGv_normal.jpg")</f>
        <v>https://pbs.twimg.com/profile_images/1697979139494383617/vD4WIUGv_normal.jpg</v>
      </c>
      <c r="AW220" s="80" t="s">
        <v>16206</v>
      </c>
      <c r="AX220" s="80" t="s">
        <v>16206</v>
      </c>
      <c r="AY220" s="77"/>
      <c r="AZ220" s="80" t="s">
        <v>20380</v>
      </c>
      <c r="BA220" s="80" t="s">
        <v>20380</v>
      </c>
      <c r="BB220" s="80" t="s">
        <v>20380</v>
      </c>
      <c r="BC220" s="80" t="s">
        <v>16206</v>
      </c>
      <c r="BD220" s="77">
        <v>43534995</v>
      </c>
      <c r="BE220" s="77"/>
      <c r="BF220" s="77"/>
      <c r="BG220" s="77"/>
      <c r="BH220" s="77"/>
      <c r="BI220" s="77"/>
    </row>
    <row r="221" spans="1:61" x14ac:dyDescent="0.25">
      <c r="A221" s="62" t="s">
        <v>315</v>
      </c>
      <c r="B221" s="62" t="s">
        <v>315</v>
      </c>
      <c r="C221" s="63"/>
      <c r="D221" s="64"/>
      <c r="E221" s="65"/>
      <c r="F221" s="66"/>
      <c r="G221" s="63"/>
      <c r="H221" s="67"/>
      <c r="I221" s="68"/>
      <c r="J221" s="68"/>
      <c r="K221" s="32"/>
      <c r="L221" s="75">
        <v>221</v>
      </c>
      <c r="M221" s="75"/>
      <c r="N221" s="70"/>
      <c r="O221" s="77" t="s">
        <v>179</v>
      </c>
      <c r="P221" s="79">
        <v>45127.736215277779</v>
      </c>
      <c r="Q221" s="77" t="s">
        <v>2272</v>
      </c>
      <c r="R221" s="77">
        <v>19</v>
      </c>
      <c r="S221" s="77">
        <v>24</v>
      </c>
      <c r="T221" s="77">
        <v>1</v>
      </c>
      <c r="U221" s="77">
        <v>2</v>
      </c>
      <c r="V221" s="77">
        <v>3141</v>
      </c>
      <c r="W221" s="80" t="s">
        <v>6050</v>
      </c>
      <c r="X221" s="83" t="str">
        <f>HYPERLINK("https://hoy.com.do/fuerza-del-pueblo-reacciona-a-respuesta-del-banco-central/")</f>
        <v>https://hoy.com.do/fuerza-del-pueblo-reacciona-a-respuesta-del-banco-central/</v>
      </c>
      <c r="Y221" s="77" t="s">
        <v>8625</v>
      </c>
      <c r="Z221" s="77"/>
      <c r="AA221" s="77"/>
      <c r="AB221" s="77"/>
      <c r="AC221" s="80" t="s">
        <v>10552</v>
      </c>
      <c r="AD221" s="77" t="s">
        <v>10620</v>
      </c>
      <c r="AE221" s="83" t="str">
        <f>HYPERLINK("https://twitter.com/periodicohoy/status/1682082981958000642")</f>
        <v>https://twitter.com/periodicohoy/status/1682082981958000642</v>
      </c>
      <c r="AF221" s="79">
        <v>45127.736215277779</v>
      </c>
      <c r="AG221" s="85">
        <v>45127</v>
      </c>
      <c r="AH221" s="80" t="s">
        <v>10824</v>
      </c>
      <c r="AI221" s="77" t="b">
        <v>0</v>
      </c>
      <c r="AJ221" s="77"/>
      <c r="AK221" s="77"/>
      <c r="AL221" s="77"/>
      <c r="AM221" s="77"/>
      <c r="AN221" s="77"/>
      <c r="AO221" s="77"/>
      <c r="AP221" s="77"/>
      <c r="AQ221" s="77"/>
      <c r="AR221" s="77"/>
      <c r="AS221" s="77"/>
      <c r="AT221" s="77"/>
      <c r="AU221" s="77"/>
      <c r="AV221" s="83" t="str">
        <f>HYPERLINK("https://pbs.twimg.com/profile_images/1697979139494383617/vD4WIUGv_normal.jpg")</f>
        <v>https://pbs.twimg.com/profile_images/1697979139494383617/vD4WIUGv_normal.jpg</v>
      </c>
      <c r="AW221" s="80" t="s">
        <v>16207</v>
      </c>
      <c r="AX221" s="80" t="s">
        <v>16207</v>
      </c>
      <c r="AY221" s="77"/>
      <c r="AZ221" s="80" t="s">
        <v>20380</v>
      </c>
      <c r="BA221" s="80" t="s">
        <v>20380</v>
      </c>
      <c r="BB221" s="80" t="s">
        <v>20380</v>
      </c>
      <c r="BC221" s="80" t="s">
        <v>16207</v>
      </c>
      <c r="BD221" s="77">
        <v>43534995</v>
      </c>
      <c r="BE221" s="77"/>
      <c r="BF221" s="77"/>
      <c r="BG221" s="77"/>
      <c r="BH221" s="77"/>
      <c r="BI221" s="77"/>
    </row>
    <row r="222" spans="1:61" x14ac:dyDescent="0.25">
      <c r="A222" s="62" t="s">
        <v>315</v>
      </c>
      <c r="B222" s="62" t="s">
        <v>315</v>
      </c>
      <c r="C222" s="63"/>
      <c r="D222" s="64"/>
      <c r="E222" s="65"/>
      <c r="F222" s="66"/>
      <c r="G222" s="63"/>
      <c r="H222" s="67"/>
      <c r="I222" s="68"/>
      <c r="J222" s="68"/>
      <c r="K222" s="32"/>
      <c r="L222" s="75">
        <v>222</v>
      </c>
      <c r="M222" s="75"/>
      <c r="N222" s="70"/>
      <c r="O222" s="77" t="s">
        <v>179</v>
      </c>
      <c r="P222" s="79">
        <v>45054.927199074074</v>
      </c>
      <c r="Q222" s="77" t="s">
        <v>2273</v>
      </c>
      <c r="R222" s="77">
        <v>3</v>
      </c>
      <c r="S222" s="77">
        <v>6</v>
      </c>
      <c r="T222" s="77">
        <v>0</v>
      </c>
      <c r="U222" s="77">
        <v>1</v>
      </c>
      <c r="V222" s="77">
        <v>1702</v>
      </c>
      <c r="W222" s="80" t="s">
        <v>6051</v>
      </c>
      <c r="X222" s="83" t="str">
        <f>HYPERLINK("https://hoy.com.do/banco-central-y-mision-del-fmi-analizan-desempeno-de-la-economia-y-sus-perspectivas/")</f>
        <v>https://hoy.com.do/banco-central-y-mision-del-fmi-analizan-desempeno-de-la-economia-y-sus-perspectivas/</v>
      </c>
      <c r="Y222" s="77" t="s">
        <v>8625</v>
      </c>
      <c r="Z222" s="77"/>
      <c r="AA222" s="77"/>
      <c r="AB222" s="77"/>
      <c r="AC222" s="80" t="s">
        <v>10552</v>
      </c>
      <c r="AD222" s="77" t="s">
        <v>10620</v>
      </c>
      <c r="AE222" s="83" t="str">
        <f>HYPERLINK("https://twitter.com/periodicohoy/status/1655697879174991874")</f>
        <v>https://twitter.com/periodicohoy/status/1655697879174991874</v>
      </c>
      <c r="AF222" s="79">
        <v>45054.927199074074</v>
      </c>
      <c r="AG222" s="85">
        <v>45054</v>
      </c>
      <c r="AH222" s="80" t="s">
        <v>10825</v>
      </c>
      <c r="AI222" s="77" t="b">
        <v>0</v>
      </c>
      <c r="AJ222" s="77"/>
      <c r="AK222" s="77"/>
      <c r="AL222" s="77"/>
      <c r="AM222" s="77"/>
      <c r="AN222" s="77"/>
      <c r="AO222" s="77"/>
      <c r="AP222" s="77"/>
      <c r="AQ222" s="77"/>
      <c r="AR222" s="77"/>
      <c r="AS222" s="77"/>
      <c r="AT222" s="77"/>
      <c r="AU222" s="77"/>
      <c r="AV222" s="83" t="str">
        <f>HYPERLINK("https://pbs.twimg.com/profile_images/1697979139494383617/vD4WIUGv_normal.jpg")</f>
        <v>https://pbs.twimg.com/profile_images/1697979139494383617/vD4WIUGv_normal.jpg</v>
      </c>
      <c r="AW222" s="80" t="s">
        <v>16208</v>
      </c>
      <c r="AX222" s="80" t="s">
        <v>16208</v>
      </c>
      <c r="AY222" s="77"/>
      <c r="AZ222" s="80" t="s">
        <v>20380</v>
      </c>
      <c r="BA222" s="80" t="s">
        <v>20380</v>
      </c>
      <c r="BB222" s="80" t="s">
        <v>20380</v>
      </c>
      <c r="BC222" s="80" t="s">
        <v>16208</v>
      </c>
      <c r="BD222" s="77">
        <v>43534995</v>
      </c>
      <c r="BE222" s="77"/>
      <c r="BF222" s="77"/>
      <c r="BG222" s="77"/>
      <c r="BH222" s="77"/>
      <c r="BI222" s="77"/>
    </row>
    <row r="223" spans="1:61" x14ac:dyDescent="0.25">
      <c r="A223" s="62" t="s">
        <v>315</v>
      </c>
      <c r="B223" s="62" t="s">
        <v>315</v>
      </c>
      <c r="C223" s="63"/>
      <c r="D223" s="64"/>
      <c r="E223" s="65"/>
      <c r="F223" s="66"/>
      <c r="G223" s="63"/>
      <c r="H223" s="67"/>
      <c r="I223" s="68"/>
      <c r="J223" s="68"/>
      <c r="K223" s="32"/>
      <c r="L223" s="75">
        <v>223</v>
      </c>
      <c r="M223" s="75"/>
      <c r="N223" s="70"/>
      <c r="O223" s="77" t="s">
        <v>179</v>
      </c>
      <c r="P223" s="79">
        <v>45172.531354166669</v>
      </c>
      <c r="Q223" s="77" t="s">
        <v>2274</v>
      </c>
      <c r="R223" s="77">
        <v>16</v>
      </c>
      <c r="S223" s="77">
        <v>26</v>
      </c>
      <c r="T223" s="77">
        <v>3</v>
      </c>
      <c r="U223" s="77">
        <v>0</v>
      </c>
      <c r="V223" s="77">
        <v>2099</v>
      </c>
      <c r="W223" s="80" t="s">
        <v>6052</v>
      </c>
      <c r="X223" s="83" t="str">
        <f>HYPERLINK("https://hoy.com.do/medidas-del-banco-central-sin-efectos-esperados-con-economia-estancada/")</f>
        <v>https://hoy.com.do/medidas-del-banco-central-sin-efectos-esperados-con-economia-estancada/</v>
      </c>
      <c r="Y223" s="77" t="s">
        <v>8625</v>
      </c>
      <c r="Z223" s="77"/>
      <c r="AA223" s="77"/>
      <c r="AB223" s="77"/>
      <c r="AC223" s="80" t="s">
        <v>10552</v>
      </c>
      <c r="AD223" s="77" t="s">
        <v>10620</v>
      </c>
      <c r="AE223" s="83" t="str">
        <f>HYPERLINK("https://twitter.com/periodicohoy/status/1698316196712444036")</f>
        <v>https://twitter.com/periodicohoy/status/1698316196712444036</v>
      </c>
      <c r="AF223" s="79">
        <v>45172.531354166669</v>
      </c>
      <c r="AG223" s="85">
        <v>45172</v>
      </c>
      <c r="AH223" s="80" t="s">
        <v>10826</v>
      </c>
      <c r="AI223" s="77" t="b">
        <v>0</v>
      </c>
      <c r="AJ223" s="77"/>
      <c r="AK223" s="77"/>
      <c r="AL223" s="77"/>
      <c r="AM223" s="77"/>
      <c r="AN223" s="77"/>
      <c r="AO223" s="77"/>
      <c r="AP223" s="77"/>
      <c r="AQ223" s="77"/>
      <c r="AR223" s="77"/>
      <c r="AS223" s="77"/>
      <c r="AT223" s="77"/>
      <c r="AU223" s="77"/>
      <c r="AV223" s="83" t="str">
        <f>HYPERLINK("https://pbs.twimg.com/profile_images/1697979139494383617/vD4WIUGv_normal.jpg")</f>
        <v>https://pbs.twimg.com/profile_images/1697979139494383617/vD4WIUGv_normal.jpg</v>
      </c>
      <c r="AW223" s="80" t="s">
        <v>16209</v>
      </c>
      <c r="AX223" s="80" t="s">
        <v>16209</v>
      </c>
      <c r="AY223" s="77"/>
      <c r="AZ223" s="80" t="s">
        <v>20380</v>
      </c>
      <c r="BA223" s="80" t="s">
        <v>20380</v>
      </c>
      <c r="BB223" s="80" t="s">
        <v>20380</v>
      </c>
      <c r="BC223" s="80" t="s">
        <v>16209</v>
      </c>
      <c r="BD223" s="77">
        <v>43534995</v>
      </c>
      <c r="BE223" s="77"/>
      <c r="BF223" s="77"/>
      <c r="BG223" s="77"/>
      <c r="BH223" s="77"/>
      <c r="BI223" s="77"/>
    </row>
    <row r="224" spans="1:61" x14ac:dyDescent="0.25">
      <c r="A224" s="62" t="s">
        <v>316</v>
      </c>
      <c r="B224" s="62" t="s">
        <v>316</v>
      </c>
      <c r="C224" s="63"/>
      <c r="D224" s="64"/>
      <c r="E224" s="65"/>
      <c r="F224" s="66"/>
      <c r="G224" s="63"/>
      <c r="H224" s="67"/>
      <c r="I224" s="68"/>
      <c r="J224" s="68"/>
      <c r="K224" s="32"/>
      <c r="L224" s="75">
        <v>224</v>
      </c>
      <c r="M224" s="75"/>
      <c r="N224" s="70"/>
      <c r="O224" s="77" t="s">
        <v>2078</v>
      </c>
      <c r="P224" s="79">
        <v>45051.81040509259</v>
      </c>
      <c r="Q224" s="77" t="s">
        <v>2275</v>
      </c>
      <c r="R224" s="77">
        <v>0</v>
      </c>
      <c r="S224" s="77">
        <v>0</v>
      </c>
      <c r="T224" s="77">
        <v>0</v>
      </c>
      <c r="U224" s="77">
        <v>0</v>
      </c>
      <c r="V224" s="77">
        <v>69</v>
      </c>
      <c r="W224" s="80" t="s">
        <v>6053</v>
      </c>
      <c r="X224" s="77"/>
      <c r="Y224" s="77"/>
      <c r="Z224" s="77"/>
      <c r="AA224" s="77"/>
      <c r="AB224" s="77"/>
      <c r="AC224" s="80" t="s">
        <v>10545</v>
      </c>
      <c r="AD224" s="77" t="s">
        <v>10617</v>
      </c>
      <c r="AE224" s="83" t="str">
        <f>HYPERLINK("https://twitter.com/showmetech/status/1654568389262692353")</f>
        <v>https://twitter.com/showmetech/status/1654568389262692353</v>
      </c>
      <c r="AF224" s="79">
        <v>45051.81040509259</v>
      </c>
      <c r="AG224" s="85">
        <v>45051</v>
      </c>
      <c r="AH224" s="80" t="s">
        <v>10827</v>
      </c>
      <c r="AI224" s="77"/>
      <c r="AJ224" s="77"/>
      <c r="AK224" s="77"/>
      <c r="AL224" s="77"/>
      <c r="AM224" s="77"/>
      <c r="AN224" s="77"/>
      <c r="AO224" s="77"/>
      <c r="AP224" s="77"/>
      <c r="AQ224" s="77"/>
      <c r="AR224" s="77"/>
      <c r="AS224" s="77"/>
      <c r="AT224" s="77"/>
      <c r="AU224" s="77"/>
      <c r="AV224" s="83" t="str">
        <f>HYPERLINK("https://pbs.twimg.com/profile_images/1578159015749910528/_ckRZtza_normal.jpg")</f>
        <v>https://pbs.twimg.com/profile_images/1578159015749910528/_ckRZtza_normal.jpg</v>
      </c>
      <c r="AW224" s="80" t="s">
        <v>16210</v>
      </c>
      <c r="AX224" s="80" t="s">
        <v>19970</v>
      </c>
      <c r="AY224" s="80" t="s">
        <v>20224</v>
      </c>
      <c r="AZ224" s="80" t="s">
        <v>20387</v>
      </c>
      <c r="BA224" s="80" t="s">
        <v>20380</v>
      </c>
      <c r="BB224" s="80" t="s">
        <v>20380</v>
      </c>
      <c r="BC224" s="80" t="s">
        <v>20387</v>
      </c>
      <c r="BD224" s="77">
        <v>75838812</v>
      </c>
      <c r="BE224" s="77"/>
      <c r="BF224" s="77"/>
      <c r="BG224" s="77"/>
      <c r="BH224" s="77"/>
      <c r="BI224" s="77"/>
    </row>
    <row r="225" spans="1:61" x14ac:dyDescent="0.25">
      <c r="A225" s="62" t="s">
        <v>317</v>
      </c>
      <c r="B225" s="62" t="s">
        <v>1064</v>
      </c>
      <c r="C225" s="63"/>
      <c r="D225" s="64"/>
      <c r="E225" s="65"/>
      <c r="F225" s="66"/>
      <c r="G225" s="63"/>
      <c r="H225" s="67"/>
      <c r="I225" s="68"/>
      <c r="J225" s="68"/>
      <c r="K225" s="32"/>
      <c r="L225" s="75">
        <v>225</v>
      </c>
      <c r="M225" s="75"/>
      <c r="N225" s="70"/>
      <c r="O225" s="77" t="s">
        <v>2082</v>
      </c>
      <c r="P225" s="79">
        <v>45145.868298611109</v>
      </c>
      <c r="Q225" s="77" t="s">
        <v>2276</v>
      </c>
      <c r="R225" s="77">
        <v>0</v>
      </c>
      <c r="S225" s="77">
        <v>0</v>
      </c>
      <c r="T225" s="77">
        <v>0</v>
      </c>
      <c r="U225" s="77">
        <v>0</v>
      </c>
      <c r="V225" s="77">
        <v>69</v>
      </c>
      <c r="W225" s="80" t="s">
        <v>6054</v>
      </c>
      <c r="X225" s="77"/>
      <c r="Y225" s="77"/>
      <c r="Z225" s="77"/>
      <c r="AA225" s="77"/>
      <c r="AB225" s="77"/>
      <c r="AC225" s="80" t="s">
        <v>10540</v>
      </c>
      <c r="AD225" s="77" t="s">
        <v>10620</v>
      </c>
      <c r="AE225" s="83" t="str">
        <f>HYPERLINK("https://twitter.com/cyborgpatriota/status/1688653829187735552")</f>
        <v>https://twitter.com/cyborgpatriota/status/1688653829187735552</v>
      </c>
      <c r="AF225" s="79">
        <v>45145.868298611109</v>
      </c>
      <c r="AG225" s="85">
        <v>45145</v>
      </c>
      <c r="AH225" s="80" t="s">
        <v>10828</v>
      </c>
      <c r="AI225" s="77"/>
      <c r="AJ225" s="77"/>
      <c r="AK225" s="77"/>
      <c r="AL225" s="77"/>
      <c r="AM225" s="77"/>
      <c r="AN225" s="77"/>
      <c r="AO225" s="77"/>
      <c r="AP225" s="77"/>
      <c r="AQ225" s="77"/>
      <c r="AR225" s="77"/>
      <c r="AS225" s="77"/>
      <c r="AT225" s="77"/>
      <c r="AU225" s="77"/>
      <c r="AV225" s="83" t="str">
        <f>HYPERLINK("https://pbs.twimg.com/profile_images/1053200818135097344/pF-3kqyw_normal.jpg")</f>
        <v>https://pbs.twimg.com/profile_images/1053200818135097344/pF-3kqyw_normal.jpg</v>
      </c>
      <c r="AW225" s="80" t="s">
        <v>16211</v>
      </c>
      <c r="AX225" s="80" t="s">
        <v>16211</v>
      </c>
      <c r="AY225" s="77"/>
      <c r="AZ225" s="80" t="s">
        <v>20380</v>
      </c>
      <c r="BA225" s="80" t="s">
        <v>18339</v>
      </c>
      <c r="BB225" s="80" t="s">
        <v>20380</v>
      </c>
      <c r="BC225" s="80" t="s">
        <v>18339</v>
      </c>
      <c r="BD225" s="80" t="s">
        <v>20545</v>
      </c>
      <c r="BE225" s="77"/>
      <c r="BF225" s="77"/>
      <c r="BG225" s="77"/>
      <c r="BH225" s="77"/>
      <c r="BI225" s="77"/>
    </row>
    <row r="226" spans="1:61" x14ac:dyDescent="0.25">
      <c r="A226" s="62" t="s">
        <v>318</v>
      </c>
      <c r="B226" s="62" t="s">
        <v>318</v>
      </c>
      <c r="C226" s="63"/>
      <c r="D226" s="64"/>
      <c r="E226" s="65"/>
      <c r="F226" s="66"/>
      <c r="G226" s="63"/>
      <c r="H226" s="67"/>
      <c r="I226" s="68"/>
      <c r="J226" s="68"/>
      <c r="K226" s="32"/>
      <c r="L226" s="75">
        <v>226</v>
      </c>
      <c r="M226" s="75"/>
      <c r="N226" s="70"/>
      <c r="O226" s="77" t="s">
        <v>179</v>
      </c>
      <c r="P226" s="79">
        <v>45076.634525462963</v>
      </c>
      <c r="Q226" s="77" t="s">
        <v>2277</v>
      </c>
      <c r="R226" s="77">
        <v>0</v>
      </c>
      <c r="S226" s="77">
        <v>0</v>
      </c>
      <c r="T226" s="77">
        <v>0</v>
      </c>
      <c r="U226" s="77">
        <v>0</v>
      </c>
      <c r="V226" s="77">
        <v>77</v>
      </c>
      <c r="W226" s="80" t="s">
        <v>6055</v>
      </c>
      <c r="X226" s="77"/>
      <c r="Y226" s="77"/>
      <c r="Z226" s="77"/>
      <c r="AA226" s="77"/>
      <c r="AB226" s="77"/>
      <c r="AC226" s="80" t="s">
        <v>10541</v>
      </c>
      <c r="AD226" s="77" t="s">
        <v>10617</v>
      </c>
      <c r="AE226" s="83" t="str">
        <f>HYPERLINK("https://twitter.com/olharinvest/status/1663564349741608967")</f>
        <v>https://twitter.com/olharinvest/status/1663564349741608967</v>
      </c>
      <c r="AF226" s="79">
        <v>45076.634525462963</v>
      </c>
      <c r="AG226" s="85">
        <v>45076</v>
      </c>
      <c r="AH226" s="80" t="s">
        <v>10829</v>
      </c>
      <c r="AI226" s="77"/>
      <c r="AJ226" s="77"/>
      <c r="AK226" s="77"/>
      <c r="AL226" s="77"/>
      <c r="AM226" s="77"/>
      <c r="AN226" s="77"/>
      <c r="AO226" s="77"/>
      <c r="AP226" s="77"/>
      <c r="AQ226" s="77"/>
      <c r="AR226" s="77"/>
      <c r="AS226" s="77"/>
      <c r="AT226" s="77"/>
      <c r="AU226" s="77"/>
      <c r="AV226" s="83" t="str">
        <f>HYPERLINK("https://pbs.twimg.com/profile_images/1698778647950184448/L-FI6vL0_normal.jpg")</f>
        <v>https://pbs.twimg.com/profile_images/1698778647950184448/L-FI6vL0_normal.jpg</v>
      </c>
      <c r="AW226" s="80" t="s">
        <v>16212</v>
      </c>
      <c r="AX226" s="80" t="s">
        <v>16212</v>
      </c>
      <c r="AY226" s="77"/>
      <c r="AZ226" s="80" t="s">
        <v>20380</v>
      </c>
      <c r="BA226" s="80" t="s">
        <v>20380</v>
      </c>
      <c r="BB226" s="80" t="s">
        <v>20380</v>
      </c>
      <c r="BC226" s="80" t="s">
        <v>16212</v>
      </c>
      <c r="BD226" s="80" t="s">
        <v>20546</v>
      </c>
      <c r="BE226" s="77"/>
      <c r="BF226" s="77"/>
      <c r="BG226" s="77"/>
      <c r="BH226" s="77"/>
      <c r="BI226" s="77"/>
    </row>
    <row r="227" spans="1:61" x14ac:dyDescent="0.25">
      <c r="A227" s="62" t="s">
        <v>318</v>
      </c>
      <c r="B227" s="62" t="s">
        <v>318</v>
      </c>
      <c r="C227" s="63"/>
      <c r="D227" s="64"/>
      <c r="E227" s="65"/>
      <c r="F227" s="66"/>
      <c r="G227" s="63"/>
      <c r="H227" s="67"/>
      <c r="I227" s="68"/>
      <c r="J227" s="68"/>
      <c r="K227" s="32"/>
      <c r="L227" s="75">
        <v>227</v>
      </c>
      <c r="M227" s="75"/>
      <c r="N227" s="70"/>
      <c r="O227" s="77" t="s">
        <v>179</v>
      </c>
      <c r="P227" s="79">
        <v>45058.569791666669</v>
      </c>
      <c r="Q227" s="77" t="s">
        <v>2278</v>
      </c>
      <c r="R227" s="77">
        <v>0</v>
      </c>
      <c r="S227" s="77">
        <v>0</v>
      </c>
      <c r="T227" s="77">
        <v>0</v>
      </c>
      <c r="U227" s="77">
        <v>0</v>
      </c>
      <c r="V227" s="77">
        <v>25</v>
      </c>
      <c r="W227" s="80" t="s">
        <v>6056</v>
      </c>
      <c r="X227" s="77"/>
      <c r="Y227" s="77"/>
      <c r="Z227" s="77"/>
      <c r="AA227" s="77"/>
      <c r="AB227" s="77"/>
      <c r="AC227" s="80" t="s">
        <v>10541</v>
      </c>
      <c r="AD227" s="77" t="s">
        <v>10617</v>
      </c>
      <c r="AE227" s="83" t="str">
        <f>HYPERLINK("https://twitter.com/olharinvest/status/1657017912710901760")</f>
        <v>https://twitter.com/olharinvest/status/1657017912710901760</v>
      </c>
      <c r="AF227" s="79">
        <v>45058.569791666669</v>
      </c>
      <c r="AG227" s="85">
        <v>45058</v>
      </c>
      <c r="AH227" s="80" t="s">
        <v>10830</v>
      </c>
      <c r="AI227" s="77"/>
      <c r="AJ227" s="77"/>
      <c r="AK227" s="77"/>
      <c r="AL227" s="77"/>
      <c r="AM227" s="77"/>
      <c r="AN227" s="77"/>
      <c r="AO227" s="77"/>
      <c r="AP227" s="77"/>
      <c r="AQ227" s="77"/>
      <c r="AR227" s="77"/>
      <c r="AS227" s="77"/>
      <c r="AT227" s="77"/>
      <c r="AU227" s="77"/>
      <c r="AV227" s="83" t="str">
        <f>HYPERLINK("https://pbs.twimg.com/profile_images/1698778647950184448/L-FI6vL0_normal.jpg")</f>
        <v>https://pbs.twimg.com/profile_images/1698778647950184448/L-FI6vL0_normal.jpg</v>
      </c>
      <c r="AW227" s="80" t="s">
        <v>16213</v>
      </c>
      <c r="AX227" s="80" t="s">
        <v>16213</v>
      </c>
      <c r="AY227" s="77"/>
      <c r="AZ227" s="80" t="s">
        <v>20380</v>
      </c>
      <c r="BA227" s="80" t="s">
        <v>20380</v>
      </c>
      <c r="BB227" s="80" t="s">
        <v>20380</v>
      </c>
      <c r="BC227" s="80" t="s">
        <v>16213</v>
      </c>
      <c r="BD227" s="80" t="s">
        <v>20546</v>
      </c>
      <c r="BE227" s="77"/>
      <c r="BF227" s="77"/>
      <c r="BG227" s="77"/>
      <c r="BH227" s="77"/>
      <c r="BI227" s="77"/>
    </row>
    <row r="228" spans="1:61" x14ac:dyDescent="0.25">
      <c r="A228" s="62" t="s">
        <v>318</v>
      </c>
      <c r="B228" s="62" t="s">
        <v>318</v>
      </c>
      <c r="C228" s="63"/>
      <c r="D228" s="64"/>
      <c r="E228" s="65"/>
      <c r="F228" s="66"/>
      <c r="G228" s="63"/>
      <c r="H228" s="67"/>
      <c r="I228" s="68"/>
      <c r="J228" s="68"/>
      <c r="K228" s="32"/>
      <c r="L228" s="75">
        <v>228</v>
      </c>
      <c r="M228" s="75"/>
      <c r="N228" s="70"/>
      <c r="O228" s="77" t="s">
        <v>179</v>
      </c>
      <c r="P228" s="79">
        <v>45057.642962962964</v>
      </c>
      <c r="Q228" s="77" t="s">
        <v>2279</v>
      </c>
      <c r="R228" s="77">
        <v>0</v>
      </c>
      <c r="S228" s="77">
        <v>0</v>
      </c>
      <c r="T228" s="77">
        <v>0</v>
      </c>
      <c r="U228" s="77">
        <v>0</v>
      </c>
      <c r="V228" s="77">
        <v>28</v>
      </c>
      <c r="W228" s="80" t="s">
        <v>6056</v>
      </c>
      <c r="X228" s="77"/>
      <c r="Y228" s="77"/>
      <c r="Z228" s="77"/>
      <c r="AA228" s="77"/>
      <c r="AB228" s="77"/>
      <c r="AC228" s="80" t="s">
        <v>10541</v>
      </c>
      <c r="AD228" s="77" t="s">
        <v>10617</v>
      </c>
      <c r="AE228" s="83" t="str">
        <f>HYPERLINK("https://twitter.com/olharinvest/status/1656682040840925184")</f>
        <v>https://twitter.com/olharinvest/status/1656682040840925184</v>
      </c>
      <c r="AF228" s="79">
        <v>45057.642962962964</v>
      </c>
      <c r="AG228" s="85">
        <v>45057</v>
      </c>
      <c r="AH228" s="80" t="s">
        <v>10831</v>
      </c>
      <c r="AI228" s="77"/>
      <c r="AJ228" s="77"/>
      <c r="AK228" s="77"/>
      <c r="AL228" s="77"/>
      <c r="AM228" s="77"/>
      <c r="AN228" s="77"/>
      <c r="AO228" s="77"/>
      <c r="AP228" s="77"/>
      <c r="AQ228" s="77"/>
      <c r="AR228" s="77"/>
      <c r="AS228" s="77"/>
      <c r="AT228" s="77"/>
      <c r="AU228" s="77"/>
      <c r="AV228" s="83" t="str">
        <f>HYPERLINK("https://pbs.twimg.com/profile_images/1698778647950184448/L-FI6vL0_normal.jpg")</f>
        <v>https://pbs.twimg.com/profile_images/1698778647950184448/L-FI6vL0_normal.jpg</v>
      </c>
      <c r="AW228" s="80" t="s">
        <v>16214</v>
      </c>
      <c r="AX228" s="80" t="s">
        <v>16214</v>
      </c>
      <c r="AY228" s="77"/>
      <c r="AZ228" s="80" t="s">
        <v>20380</v>
      </c>
      <c r="BA228" s="80" t="s">
        <v>20380</v>
      </c>
      <c r="BB228" s="80" t="s">
        <v>20380</v>
      </c>
      <c r="BC228" s="80" t="s">
        <v>16214</v>
      </c>
      <c r="BD228" s="80" t="s">
        <v>20546</v>
      </c>
      <c r="BE228" s="77"/>
      <c r="BF228" s="77"/>
      <c r="BG228" s="77"/>
      <c r="BH228" s="77"/>
      <c r="BI228" s="77"/>
    </row>
    <row r="229" spans="1:61" x14ac:dyDescent="0.25">
      <c r="A229" s="62" t="s">
        <v>318</v>
      </c>
      <c r="B229" s="62" t="s">
        <v>318</v>
      </c>
      <c r="C229" s="63"/>
      <c r="D229" s="64"/>
      <c r="E229" s="65"/>
      <c r="F229" s="66"/>
      <c r="G229" s="63"/>
      <c r="H229" s="67"/>
      <c r="I229" s="68"/>
      <c r="J229" s="68"/>
      <c r="K229" s="32"/>
      <c r="L229" s="75">
        <v>229</v>
      </c>
      <c r="M229" s="75"/>
      <c r="N229" s="70"/>
      <c r="O229" s="77" t="s">
        <v>179</v>
      </c>
      <c r="P229" s="79">
        <v>45056.730057870373</v>
      </c>
      <c r="Q229" s="77" t="s">
        <v>2278</v>
      </c>
      <c r="R229" s="77">
        <v>1</v>
      </c>
      <c r="S229" s="77">
        <v>0</v>
      </c>
      <c r="T229" s="77">
        <v>0</v>
      </c>
      <c r="U229" s="77">
        <v>0</v>
      </c>
      <c r="V229" s="77">
        <v>43</v>
      </c>
      <c r="W229" s="80" t="s">
        <v>6056</v>
      </c>
      <c r="X229" s="77"/>
      <c r="Y229" s="77"/>
      <c r="Z229" s="77"/>
      <c r="AA229" s="77"/>
      <c r="AB229" s="77"/>
      <c r="AC229" s="80" t="s">
        <v>10541</v>
      </c>
      <c r="AD229" s="77" t="s">
        <v>10617</v>
      </c>
      <c r="AE229" s="83" t="str">
        <f>HYPERLINK("https://twitter.com/olharinvest/status/1656351212847890452")</f>
        <v>https://twitter.com/olharinvest/status/1656351212847890452</v>
      </c>
      <c r="AF229" s="79">
        <v>45056.730057870373</v>
      </c>
      <c r="AG229" s="85">
        <v>45056</v>
      </c>
      <c r="AH229" s="80" t="s">
        <v>10832</v>
      </c>
      <c r="AI229" s="77"/>
      <c r="AJ229" s="77"/>
      <c r="AK229" s="77"/>
      <c r="AL229" s="77"/>
      <c r="AM229" s="77"/>
      <c r="AN229" s="77"/>
      <c r="AO229" s="77"/>
      <c r="AP229" s="77"/>
      <c r="AQ229" s="77"/>
      <c r="AR229" s="77"/>
      <c r="AS229" s="77"/>
      <c r="AT229" s="77"/>
      <c r="AU229" s="77"/>
      <c r="AV229" s="83" t="str">
        <f>HYPERLINK("https://pbs.twimg.com/profile_images/1698778647950184448/L-FI6vL0_normal.jpg")</f>
        <v>https://pbs.twimg.com/profile_images/1698778647950184448/L-FI6vL0_normal.jpg</v>
      </c>
      <c r="AW229" s="80" t="s">
        <v>16215</v>
      </c>
      <c r="AX229" s="80" t="s">
        <v>16215</v>
      </c>
      <c r="AY229" s="77"/>
      <c r="AZ229" s="80" t="s">
        <v>20380</v>
      </c>
      <c r="BA229" s="80" t="s">
        <v>20380</v>
      </c>
      <c r="BB229" s="80" t="s">
        <v>20380</v>
      </c>
      <c r="BC229" s="80" t="s">
        <v>16215</v>
      </c>
      <c r="BD229" s="80" t="s">
        <v>20546</v>
      </c>
      <c r="BE229" s="77"/>
      <c r="BF229" s="77"/>
      <c r="BG229" s="77"/>
      <c r="BH229" s="77"/>
      <c r="BI229" s="77"/>
    </row>
    <row r="230" spans="1:61" x14ac:dyDescent="0.25">
      <c r="A230" s="62" t="s">
        <v>318</v>
      </c>
      <c r="B230" s="62" t="s">
        <v>318</v>
      </c>
      <c r="C230" s="63"/>
      <c r="D230" s="64"/>
      <c r="E230" s="65"/>
      <c r="F230" s="66"/>
      <c r="G230" s="63"/>
      <c r="H230" s="67"/>
      <c r="I230" s="68"/>
      <c r="J230" s="68"/>
      <c r="K230" s="32"/>
      <c r="L230" s="75">
        <v>230</v>
      </c>
      <c r="M230" s="75"/>
      <c r="N230" s="70"/>
      <c r="O230" s="77" t="s">
        <v>179</v>
      </c>
      <c r="P230" s="79">
        <v>45172.919849537036</v>
      </c>
      <c r="Q230" s="77" t="s">
        <v>2280</v>
      </c>
      <c r="R230" s="77">
        <v>0</v>
      </c>
      <c r="S230" s="77">
        <v>0</v>
      </c>
      <c r="T230" s="77">
        <v>0</v>
      </c>
      <c r="U230" s="77">
        <v>0</v>
      </c>
      <c r="V230" s="77">
        <v>69</v>
      </c>
      <c r="W230" s="80" t="s">
        <v>6057</v>
      </c>
      <c r="X230" s="77"/>
      <c r="Y230" s="77"/>
      <c r="Z230" s="77"/>
      <c r="AA230" s="77"/>
      <c r="AB230" s="77"/>
      <c r="AC230" s="80" t="s">
        <v>10541</v>
      </c>
      <c r="AD230" s="77" t="s">
        <v>10617</v>
      </c>
      <c r="AE230" s="83" t="str">
        <f>HYPERLINK("https://twitter.com/olharinvest/status/1698456983702003949")</f>
        <v>https://twitter.com/olharinvest/status/1698456983702003949</v>
      </c>
      <c r="AF230" s="79">
        <v>45172.919849537036</v>
      </c>
      <c r="AG230" s="85">
        <v>45172</v>
      </c>
      <c r="AH230" s="80" t="s">
        <v>10833</v>
      </c>
      <c r="AI230" s="77"/>
      <c r="AJ230" s="77"/>
      <c r="AK230" s="77"/>
      <c r="AL230" s="77"/>
      <c r="AM230" s="77"/>
      <c r="AN230" s="77"/>
      <c r="AO230" s="77"/>
      <c r="AP230" s="77"/>
      <c r="AQ230" s="77"/>
      <c r="AR230" s="77"/>
      <c r="AS230" s="77"/>
      <c r="AT230" s="77"/>
      <c r="AU230" s="77"/>
      <c r="AV230" s="83" t="str">
        <f>HYPERLINK("https://pbs.twimg.com/profile_images/1698778647950184448/L-FI6vL0_normal.jpg")</f>
        <v>https://pbs.twimg.com/profile_images/1698778647950184448/L-FI6vL0_normal.jpg</v>
      </c>
      <c r="AW230" s="80" t="s">
        <v>16216</v>
      </c>
      <c r="AX230" s="80" t="s">
        <v>16216</v>
      </c>
      <c r="AY230" s="77"/>
      <c r="AZ230" s="80" t="s">
        <v>20380</v>
      </c>
      <c r="BA230" s="80" t="s">
        <v>20380</v>
      </c>
      <c r="BB230" s="80" t="s">
        <v>20380</v>
      </c>
      <c r="BC230" s="80" t="s">
        <v>16216</v>
      </c>
      <c r="BD230" s="80" t="s">
        <v>20546</v>
      </c>
      <c r="BE230" s="77"/>
      <c r="BF230" s="77"/>
      <c r="BG230" s="77"/>
      <c r="BH230" s="77"/>
      <c r="BI230" s="77"/>
    </row>
    <row r="231" spans="1:61" x14ac:dyDescent="0.25">
      <c r="A231" s="62" t="s">
        <v>318</v>
      </c>
      <c r="B231" s="62" t="s">
        <v>318</v>
      </c>
      <c r="C231" s="63"/>
      <c r="D231" s="64"/>
      <c r="E231" s="65"/>
      <c r="F231" s="66"/>
      <c r="G231" s="63"/>
      <c r="H231" s="67"/>
      <c r="I231" s="68"/>
      <c r="J231" s="68"/>
      <c r="K231" s="32"/>
      <c r="L231" s="75">
        <v>231</v>
      </c>
      <c r="M231" s="75"/>
      <c r="N231" s="70"/>
      <c r="O231" s="77" t="s">
        <v>179</v>
      </c>
      <c r="P231" s="79">
        <v>45187.571597222224</v>
      </c>
      <c r="Q231" s="77" t="s">
        <v>2281</v>
      </c>
      <c r="R231" s="77">
        <v>0</v>
      </c>
      <c r="S231" s="77">
        <v>0</v>
      </c>
      <c r="T231" s="77">
        <v>0</v>
      </c>
      <c r="U231" s="77">
        <v>0</v>
      </c>
      <c r="V231" s="77">
        <v>30</v>
      </c>
      <c r="W231" s="80" t="s">
        <v>6058</v>
      </c>
      <c r="X231" s="77"/>
      <c r="Y231" s="77"/>
      <c r="Z231" s="77"/>
      <c r="AA231" s="77"/>
      <c r="AB231" s="77"/>
      <c r="AC231" s="80" t="s">
        <v>10541</v>
      </c>
      <c r="AD231" s="77" t="s">
        <v>10617</v>
      </c>
      <c r="AE231" s="83" t="str">
        <f>HYPERLINK("https://twitter.com/olharinvest/status/1703766598824218883")</f>
        <v>https://twitter.com/olharinvest/status/1703766598824218883</v>
      </c>
      <c r="AF231" s="79">
        <v>45187.571597222224</v>
      </c>
      <c r="AG231" s="85">
        <v>45187</v>
      </c>
      <c r="AH231" s="80" t="s">
        <v>10834</v>
      </c>
      <c r="AI231" s="77"/>
      <c r="AJ231" s="77"/>
      <c r="AK231" s="77"/>
      <c r="AL231" s="77"/>
      <c r="AM231" s="77"/>
      <c r="AN231" s="77"/>
      <c r="AO231" s="77"/>
      <c r="AP231" s="77"/>
      <c r="AQ231" s="77"/>
      <c r="AR231" s="77"/>
      <c r="AS231" s="77"/>
      <c r="AT231" s="77"/>
      <c r="AU231" s="77"/>
      <c r="AV231" s="83" t="str">
        <f>HYPERLINK("https://pbs.twimg.com/profile_images/1698778647950184448/L-FI6vL0_normal.jpg")</f>
        <v>https://pbs.twimg.com/profile_images/1698778647950184448/L-FI6vL0_normal.jpg</v>
      </c>
      <c r="AW231" s="80" t="s">
        <v>16217</v>
      </c>
      <c r="AX231" s="80" t="s">
        <v>16217</v>
      </c>
      <c r="AY231" s="77"/>
      <c r="AZ231" s="80" t="s">
        <v>20380</v>
      </c>
      <c r="BA231" s="80" t="s">
        <v>20380</v>
      </c>
      <c r="BB231" s="80" t="s">
        <v>20380</v>
      </c>
      <c r="BC231" s="80" t="s">
        <v>16217</v>
      </c>
      <c r="BD231" s="80" t="s">
        <v>20546</v>
      </c>
      <c r="BE231" s="77"/>
      <c r="BF231" s="77"/>
      <c r="BG231" s="77"/>
      <c r="BH231" s="77"/>
      <c r="BI231" s="77"/>
    </row>
    <row r="232" spans="1:61" x14ac:dyDescent="0.25">
      <c r="A232" s="62" t="s">
        <v>318</v>
      </c>
      <c r="B232" s="62" t="s">
        <v>318</v>
      </c>
      <c r="C232" s="63"/>
      <c r="D232" s="64"/>
      <c r="E232" s="65"/>
      <c r="F232" s="66"/>
      <c r="G232" s="63"/>
      <c r="H232" s="67"/>
      <c r="I232" s="68"/>
      <c r="J232" s="68"/>
      <c r="K232" s="32"/>
      <c r="L232" s="75">
        <v>232</v>
      </c>
      <c r="M232" s="75"/>
      <c r="N232" s="70"/>
      <c r="O232" s="77" t="s">
        <v>179</v>
      </c>
      <c r="P232" s="79">
        <v>45072.086030092592</v>
      </c>
      <c r="Q232" s="77" t="s">
        <v>2282</v>
      </c>
      <c r="R232" s="77">
        <v>0</v>
      </c>
      <c r="S232" s="77">
        <v>0</v>
      </c>
      <c r="T232" s="77">
        <v>0</v>
      </c>
      <c r="U232" s="77">
        <v>0</v>
      </c>
      <c r="V232" s="77">
        <v>76</v>
      </c>
      <c r="W232" s="80" t="s">
        <v>6059</v>
      </c>
      <c r="X232" s="77"/>
      <c r="Y232" s="77"/>
      <c r="Z232" s="77"/>
      <c r="AA232" s="77"/>
      <c r="AB232" s="77"/>
      <c r="AC232" s="80" t="s">
        <v>10541</v>
      </c>
      <c r="AD232" s="77" t="s">
        <v>10617</v>
      </c>
      <c r="AE232" s="83" t="str">
        <f>HYPERLINK("https://twitter.com/olharinvest/status/1661916029948157954")</f>
        <v>https://twitter.com/olharinvest/status/1661916029948157954</v>
      </c>
      <c r="AF232" s="79">
        <v>45072.086030092592</v>
      </c>
      <c r="AG232" s="85">
        <v>45072</v>
      </c>
      <c r="AH232" s="80" t="s">
        <v>10835</v>
      </c>
      <c r="AI232" s="77" t="b">
        <v>0</v>
      </c>
      <c r="AJ232" s="77"/>
      <c r="AK232" s="77"/>
      <c r="AL232" s="77"/>
      <c r="AM232" s="77"/>
      <c r="AN232" s="77"/>
      <c r="AO232" s="77"/>
      <c r="AP232" s="77"/>
      <c r="AQ232" s="77"/>
      <c r="AR232" s="77"/>
      <c r="AS232" s="77"/>
      <c r="AT232" s="77"/>
      <c r="AU232" s="77"/>
      <c r="AV232" s="83" t="str">
        <f>HYPERLINK("https://pbs.twimg.com/profile_images/1698778647950184448/L-FI6vL0_normal.jpg")</f>
        <v>https://pbs.twimg.com/profile_images/1698778647950184448/L-FI6vL0_normal.jpg</v>
      </c>
      <c r="AW232" s="80" t="s">
        <v>16218</v>
      </c>
      <c r="AX232" s="80" t="s">
        <v>16218</v>
      </c>
      <c r="AY232" s="77"/>
      <c r="AZ232" s="80" t="s">
        <v>20380</v>
      </c>
      <c r="BA232" s="80" t="s">
        <v>20380</v>
      </c>
      <c r="BB232" s="80" t="s">
        <v>20380</v>
      </c>
      <c r="BC232" s="80" t="s">
        <v>16218</v>
      </c>
      <c r="BD232" s="80" t="s">
        <v>20546</v>
      </c>
      <c r="BE232" s="77" t="s">
        <v>21200</v>
      </c>
      <c r="BF232" s="77" t="s">
        <v>21203</v>
      </c>
      <c r="BG232" s="77">
        <v>8640</v>
      </c>
      <c r="BH232" s="77" t="s">
        <v>21206</v>
      </c>
      <c r="BI232" s="77" t="s">
        <v>21208</v>
      </c>
    </row>
    <row r="233" spans="1:61" x14ac:dyDescent="0.25">
      <c r="A233" s="62" t="s">
        <v>319</v>
      </c>
      <c r="B233" s="62" t="s">
        <v>319</v>
      </c>
      <c r="C233" s="63"/>
      <c r="D233" s="64"/>
      <c r="E233" s="65"/>
      <c r="F233" s="66"/>
      <c r="G233" s="63"/>
      <c r="H233" s="67"/>
      <c r="I233" s="68"/>
      <c r="J233" s="68"/>
      <c r="K233" s="32"/>
      <c r="L233" s="75">
        <v>233</v>
      </c>
      <c r="M233" s="75"/>
      <c r="N233" s="70"/>
      <c r="O233" s="77" t="s">
        <v>179</v>
      </c>
      <c r="P233" s="79">
        <v>45097.042025462964</v>
      </c>
      <c r="Q233" s="77" t="s">
        <v>2283</v>
      </c>
      <c r="R233" s="77">
        <v>0</v>
      </c>
      <c r="S233" s="77">
        <v>0</v>
      </c>
      <c r="T233" s="77">
        <v>0</v>
      </c>
      <c r="U233" s="77">
        <v>0</v>
      </c>
      <c r="V233" s="77">
        <v>23</v>
      </c>
      <c r="W233" s="80" t="s">
        <v>6060</v>
      </c>
      <c r="X233" s="77"/>
      <c r="Y233" s="77"/>
      <c r="Z233" s="77"/>
      <c r="AA233" s="77"/>
      <c r="AB233" s="77"/>
      <c r="AC233" s="80" t="s">
        <v>10542</v>
      </c>
      <c r="AD233" s="77" t="s">
        <v>10617</v>
      </c>
      <c r="AE233" s="83" t="str">
        <f>HYPERLINK("https://twitter.com/guicadeirante/status/1670959780242890753")</f>
        <v>https://twitter.com/guicadeirante/status/1670959780242890753</v>
      </c>
      <c r="AF233" s="79">
        <v>45097.042025462964</v>
      </c>
      <c r="AG233" s="85">
        <v>45097</v>
      </c>
      <c r="AH233" s="80" t="s">
        <v>10836</v>
      </c>
      <c r="AI233" s="77"/>
      <c r="AJ233" s="77"/>
      <c r="AK233" s="77"/>
      <c r="AL233" s="77"/>
      <c r="AM233" s="77"/>
      <c r="AN233" s="77"/>
      <c r="AO233" s="77"/>
      <c r="AP233" s="77"/>
      <c r="AQ233" s="77"/>
      <c r="AR233" s="77"/>
      <c r="AS233" s="77"/>
      <c r="AT233" s="77"/>
      <c r="AU233" s="77"/>
      <c r="AV233" s="83" t="str">
        <f>HYPERLINK("https://pbs.twimg.com/profile_images/1695947724753899520/XGmNsYz9_normal.jpg")</f>
        <v>https://pbs.twimg.com/profile_images/1695947724753899520/XGmNsYz9_normal.jpg</v>
      </c>
      <c r="AW233" s="80" t="s">
        <v>16219</v>
      </c>
      <c r="AX233" s="80" t="s">
        <v>16219</v>
      </c>
      <c r="AY233" s="77"/>
      <c r="AZ233" s="80" t="s">
        <v>20380</v>
      </c>
      <c r="BA233" s="80" t="s">
        <v>20380</v>
      </c>
      <c r="BB233" s="80" t="s">
        <v>20380</v>
      </c>
      <c r="BC233" s="80" t="s">
        <v>16219</v>
      </c>
      <c r="BD233" s="80" t="s">
        <v>20547</v>
      </c>
      <c r="BE233" s="77"/>
      <c r="BF233" s="77"/>
      <c r="BG233" s="77"/>
      <c r="BH233" s="77"/>
      <c r="BI233" s="77"/>
    </row>
    <row r="234" spans="1:61" x14ac:dyDescent="0.25">
      <c r="A234" s="62" t="s">
        <v>320</v>
      </c>
      <c r="B234" s="62" t="s">
        <v>320</v>
      </c>
      <c r="C234" s="63"/>
      <c r="D234" s="64"/>
      <c r="E234" s="65"/>
      <c r="F234" s="66"/>
      <c r="G234" s="63"/>
      <c r="H234" s="67"/>
      <c r="I234" s="68"/>
      <c r="J234" s="68"/>
      <c r="K234" s="32"/>
      <c r="L234" s="75">
        <v>234</v>
      </c>
      <c r="M234" s="75"/>
      <c r="N234" s="70"/>
      <c r="O234" s="77" t="s">
        <v>179</v>
      </c>
      <c r="P234" s="79">
        <v>45085.033414351848</v>
      </c>
      <c r="Q234" s="77" t="s">
        <v>2284</v>
      </c>
      <c r="R234" s="77">
        <v>0</v>
      </c>
      <c r="S234" s="77">
        <v>0</v>
      </c>
      <c r="T234" s="77">
        <v>0</v>
      </c>
      <c r="U234" s="77">
        <v>0</v>
      </c>
      <c r="V234" s="77">
        <v>6</v>
      </c>
      <c r="W234" s="80" t="s">
        <v>6061</v>
      </c>
      <c r="X234" s="77" t="s">
        <v>8581</v>
      </c>
      <c r="Y234" s="77" t="s">
        <v>8639</v>
      </c>
      <c r="Z234" s="77"/>
      <c r="AA234" s="77"/>
      <c r="AB234" s="77"/>
      <c r="AC234" s="80" t="s">
        <v>10553</v>
      </c>
      <c r="AD234" s="77" t="s">
        <v>10617</v>
      </c>
      <c r="AE234" s="83" t="str">
        <f>HYPERLINK("https://twitter.com/minutootakubr/status/1666608008527241216")</f>
        <v>https://twitter.com/minutootakubr/status/1666608008527241216</v>
      </c>
      <c r="AF234" s="79">
        <v>45085.033414351848</v>
      </c>
      <c r="AG234" s="85">
        <v>45085</v>
      </c>
      <c r="AH234" s="80" t="s">
        <v>10837</v>
      </c>
      <c r="AI234" s="77" t="b">
        <v>0</v>
      </c>
      <c r="AJ234" s="77"/>
      <c r="AK234" s="77"/>
      <c r="AL234" s="77"/>
      <c r="AM234" s="77"/>
      <c r="AN234" s="77"/>
      <c r="AO234" s="77"/>
      <c r="AP234" s="77"/>
      <c r="AQ234" s="77"/>
      <c r="AR234" s="77"/>
      <c r="AS234" s="77"/>
      <c r="AT234" s="77"/>
      <c r="AU234" s="77"/>
      <c r="AV234" s="83" t="str">
        <f>HYPERLINK("https://pbs.twimg.com/profile_images/1361047680793903111/nbnEqCIv_normal.jpg")</f>
        <v>https://pbs.twimg.com/profile_images/1361047680793903111/nbnEqCIv_normal.jpg</v>
      </c>
      <c r="AW234" s="80" t="s">
        <v>16220</v>
      </c>
      <c r="AX234" s="80" t="s">
        <v>16220</v>
      </c>
      <c r="AY234" s="77"/>
      <c r="AZ234" s="80" t="s">
        <v>20380</v>
      </c>
      <c r="BA234" s="80" t="s">
        <v>20380</v>
      </c>
      <c r="BB234" s="80" t="s">
        <v>20380</v>
      </c>
      <c r="BC234" s="80" t="s">
        <v>16220</v>
      </c>
      <c r="BD234" s="80" t="s">
        <v>20548</v>
      </c>
      <c r="BE234" s="77"/>
      <c r="BF234" s="77"/>
      <c r="BG234" s="77"/>
      <c r="BH234" s="77"/>
      <c r="BI234" s="77"/>
    </row>
    <row r="235" spans="1:61" x14ac:dyDescent="0.25">
      <c r="A235" s="62" t="s">
        <v>320</v>
      </c>
      <c r="B235" s="62" t="s">
        <v>320</v>
      </c>
      <c r="C235" s="63"/>
      <c r="D235" s="64"/>
      <c r="E235" s="65"/>
      <c r="F235" s="66"/>
      <c r="G235" s="63"/>
      <c r="H235" s="67"/>
      <c r="I235" s="68"/>
      <c r="J235" s="68"/>
      <c r="K235" s="32"/>
      <c r="L235" s="75">
        <v>235</v>
      </c>
      <c r="M235" s="75"/>
      <c r="N235" s="70"/>
      <c r="O235" s="77" t="s">
        <v>179</v>
      </c>
      <c r="P235" s="79">
        <v>45083.887303240743</v>
      </c>
      <c r="Q235" s="77" t="s">
        <v>2285</v>
      </c>
      <c r="R235" s="77">
        <v>0</v>
      </c>
      <c r="S235" s="77">
        <v>0</v>
      </c>
      <c r="T235" s="77">
        <v>0</v>
      </c>
      <c r="U235" s="77">
        <v>0</v>
      </c>
      <c r="V235" s="77">
        <v>3</v>
      </c>
      <c r="W235" s="80" t="s">
        <v>6062</v>
      </c>
      <c r="X235" s="77" t="s">
        <v>8582</v>
      </c>
      <c r="Y235" s="77" t="s">
        <v>8639</v>
      </c>
      <c r="Z235" s="77"/>
      <c r="AA235" s="77"/>
      <c r="AB235" s="77"/>
      <c r="AC235" s="80" t="s">
        <v>10553</v>
      </c>
      <c r="AD235" s="77" t="s">
        <v>10617</v>
      </c>
      <c r="AE235" s="83" t="str">
        <f>HYPERLINK("https://twitter.com/minutootakubr/status/1666192669402357767")</f>
        <v>https://twitter.com/minutootakubr/status/1666192669402357767</v>
      </c>
      <c r="AF235" s="79">
        <v>45083.887303240743</v>
      </c>
      <c r="AG235" s="85">
        <v>45083</v>
      </c>
      <c r="AH235" s="80" t="s">
        <v>10838</v>
      </c>
      <c r="AI235" s="77" t="b">
        <v>0</v>
      </c>
      <c r="AJ235" s="77"/>
      <c r="AK235" s="77"/>
      <c r="AL235" s="77"/>
      <c r="AM235" s="77"/>
      <c r="AN235" s="77"/>
      <c r="AO235" s="77"/>
      <c r="AP235" s="77"/>
      <c r="AQ235" s="77"/>
      <c r="AR235" s="77"/>
      <c r="AS235" s="77"/>
      <c r="AT235" s="77"/>
      <c r="AU235" s="77"/>
      <c r="AV235" s="83" t="str">
        <f>HYPERLINK("https://pbs.twimg.com/profile_images/1361047680793903111/nbnEqCIv_normal.jpg")</f>
        <v>https://pbs.twimg.com/profile_images/1361047680793903111/nbnEqCIv_normal.jpg</v>
      </c>
      <c r="AW235" s="80" t="s">
        <v>16221</v>
      </c>
      <c r="AX235" s="80" t="s">
        <v>16221</v>
      </c>
      <c r="AY235" s="77"/>
      <c r="AZ235" s="80" t="s">
        <v>20380</v>
      </c>
      <c r="BA235" s="80" t="s">
        <v>20380</v>
      </c>
      <c r="BB235" s="80" t="s">
        <v>20380</v>
      </c>
      <c r="BC235" s="80" t="s">
        <v>16221</v>
      </c>
      <c r="BD235" s="80" t="s">
        <v>20548</v>
      </c>
      <c r="BE235" s="77"/>
      <c r="BF235" s="77"/>
      <c r="BG235" s="77"/>
      <c r="BH235" s="77"/>
      <c r="BI235" s="77"/>
    </row>
    <row r="236" spans="1:61" x14ac:dyDescent="0.25">
      <c r="A236" s="62" t="s">
        <v>321</v>
      </c>
      <c r="B236" s="62" t="s">
        <v>440</v>
      </c>
      <c r="C236" s="63"/>
      <c r="D236" s="64"/>
      <c r="E236" s="65"/>
      <c r="F236" s="66"/>
      <c r="G236" s="63"/>
      <c r="H236" s="67"/>
      <c r="I236" s="68"/>
      <c r="J236" s="68"/>
      <c r="K236" s="32"/>
      <c r="L236" s="75">
        <v>236</v>
      </c>
      <c r="M236" s="75"/>
      <c r="N236" s="70"/>
      <c r="O236" s="77" t="s">
        <v>2082</v>
      </c>
      <c r="P236" s="79">
        <v>45090.949421296296</v>
      </c>
      <c r="Q236" s="77" t="s">
        <v>2286</v>
      </c>
      <c r="R236" s="77">
        <v>0</v>
      </c>
      <c r="S236" s="77">
        <v>0</v>
      </c>
      <c r="T236" s="77">
        <v>0</v>
      </c>
      <c r="U236" s="77">
        <v>0</v>
      </c>
      <c r="V236" s="77">
        <v>12</v>
      </c>
      <c r="W236" s="80" t="s">
        <v>6063</v>
      </c>
      <c r="X236" s="77"/>
      <c r="Y236" s="77"/>
      <c r="Z236" s="77"/>
      <c r="AA236" s="77"/>
      <c r="AB236" s="77"/>
      <c r="AC236" s="80" t="s">
        <v>10540</v>
      </c>
      <c r="AD236" s="77" t="s">
        <v>10618</v>
      </c>
      <c r="AE236" s="83" t="str">
        <f>HYPERLINK("https://twitter.com/luma_sampa/status/1668751896675516416")</f>
        <v>https://twitter.com/luma_sampa/status/1668751896675516416</v>
      </c>
      <c r="AF236" s="79">
        <v>45090.949421296296</v>
      </c>
      <c r="AG236" s="85">
        <v>45090</v>
      </c>
      <c r="AH236" s="80" t="s">
        <v>10839</v>
      </c>
      <c r="AI236" s="77"/>
      <c r="AJ236" s="77"/>
      <c r="AK236" s="77"/>
      <c r="AL236" s="77"/>
      <c r="AM236" s="77"/>
      <c r="AN236" s="77"/>
      <c r="AO236" s="77"/>
      <c r="AP236" s="77"/>
      <c r="AQ236" s="77"/>
      <c r="AR236" s="77"/>
      <c r="AS236" s="77"/>
      <c r="AT236" s="77"/>
      <c r="AU236" s="77"/>
      <c r="AV236" s="83" t="str">
        <f>HYPERLINK("https://pbs.twimg.com/profile_images/1436329463571169290/mRQuPW12_normal.jpg")</f>
        <v>https://pbs.twimg.com/profile_images/1436329463571169290/mRQuPW12_normal.jpg</v>
      </c>
      <c r="AW236" s="80" t="s">
        <v>16222</v>
      </c>
      <c r="AX236" s="80" t="s">
        <v>16222</v>
      </c>
      <c r="AY236" s="77"/>
      <c r="AZ236" s="80" t="s">
        <v>20380</v>
      </c>
      <c r="BA236" s="80" t="s">
        <v>16462</v>
      </c>
      <c r="BB236" s="80" t="s">
        <v>20380</v>
      </c>
      <c r="BC236" s="80" t="s">
        <v>16462</v>
      </c>
      <c r="BD236" s="77">
        <v>299320562</v>
      </c>
      <c r="BE236" s="77"/>
      <c r="BF236" s="77"/>
      <c r="BG236" s="77"/>
      <c r="BH236" s="77"/>
      <c r="BI236" s="77"/>
    </row>
    <row r="237" spans="1:61" x14ac:dyDescent="0.25">
      <c r="A237" s="62" t="s">
        <v>322</v>
      </c>
      <c r="B237" s="62" t="s">
        <v>1185</v>
      </c>
      <c r="C237" s="63"/>
      <c r="D237" s="64"/>
      <c r="E237" s="65"/>
      <c r="F237" s="66"/>
      <c r="G237" s="63"/>
      <c r="H237" s="67"/>
      <c r="I237" s="68"/>
      <c r="J237" s="68"/>
      <c r="K237" s="32"/>
      <c r="L237" s="75">
        <v>237</v>
      </c>
      <c r="M237" s="75"/>
      <c r="N237" s="70"/>
      <c r="O237" s="77" t="s">
        <v>2082</v>
      </c>
      <c r="P237" s="79">
        <v>45182.153356481482</v>
      </c>
      <c r="Q237" s="77" t="s">
        <v>2287</v>
      </c>
      <c r="R237" s="77">
        <v>0</v>
      </c>
      <c r="S237" s="77">
        <v>1</v>
      </c>
      <c r="T237" s="77">
        <v>0</v>
      </c>
      <c r="U237" s="77">
        <v>0</v>
      </c>
      <c r="V237" s="77">
        <v>159</v>
      </c>
      <c r="W237" s="80" t="s">
        <v>6064</v>
      </c>
      <c r="X237" s="77"/>
      <c r="Y237" s="77"/>
      <c r="Z237" s="77"/>
      <c r="AA237" s="77" t="s">
        <v>9108</v>
      </c>
      <c r="AB237" s="77" t="s">
        <v>10535</v>
      </c>
      <c r="AC237" s="80" t="s">
        <v>10540</v>
      </c>
      <c r="AD237" s="77" t="s">
        <v>10617</v>
      </c>
      <c r="AE237" s="83" t="str">
        <f>HYPERLINK("https://twitter.com/benicegenes/status/1701803096119124477")</f>
        <v>https://twitter.com/benicegenes/status/1701803096119124477</v>
      </c>
      <c r="AF237" s="79">
        <v>45182.153356481482</v>
      </c>
      <c r="AG237" s="85">
        <v>45182</v>
      </c>
      <c r="AH237" s="80" t="s">
        <v>10840</v>
      </c>
      <c r="AI237" s="77" t="b">
        <v>0</v>
      </c>
      <c r="AJ237" s="77"/>
      <c r="AK237" s="77"/>
      <c r="AL237" s="77"/>
      <c r="AM237" s="77"/>
      <c r="AN237" s="77"/>
      <c r="AO237" s="77"/>
      <c r="AP237" s="77"/>
      <c r="AQ237" s="77" t="s">
        <v>14590</v>
      </c>
      <c r="AR237" s="77"/>
      <c r="AS237" s="77"/>
      <c r="AT237" s="77"/>
      <c r="AU237" s="77"/>
      <c r="AV237" s="83" t="str">
        <f>HYPERLINK("https://pbs.twimg.com/media/F54E5bFW8AAKZDS.jpg")</f>
        <v>https://pbs.twimg.com/media/F54E5bFW8AAKZDS.jpg</v>
      </c>
      <c r="AW237" s="80" t="s">
        <v>16223</v>
      </c>
      <c r="AX237" s="80" t="s">
        <v>16223</v>
      </c>
      <c r="AY237" s="77"/>
      <c r="AZ237" s="80" t="s">
        <v>20380</v>
      </c>
      <c r="BA237" s="80" t="s">
        <v>18749</v>
      </c>
      <c r="BB237" s="80" t="s">
        <v>20380</v>
      </c>
      <c r="BC237" s="80" t="s">
        <v>18749</v>
      </c>
      <c r="BD237" s="80" t="s">
        <v>20549</v>
      </c>
      <c r="BE237" s="77"/>
      <c r="BF237" s="77"/>
      <c r="BG237" s="77"/>
      <c r="BH237" s="77"/>
      <c r="BI237" s="77"/>
    </row>
    <row r="238" spans="1:61" x14ac:dyDescent="0.25">
      <c r="A238" s="62" t="s">
        <v>323</v>
      </c>
      <c r="B238" s="62" t="s">
        <v>323</v>
      </c>
      <c r="C238" s="63"/>
      <c r="D238" s="64"/>
      <c r="E238" s="65"/>
      <c r="F238" s="66"/>
      <c r="G238" s="63"/>
      <c r="H238" s="67"/>
      <c r="I238" s="68"/>
      <c r="J238" s="68"/>
      <c r="K238" s="32"/>
      <c r="L238" s="75">
        <v>238</v>
      </c>
      <c r="M238" s="75"/>
      <c r="N238" s="70"/>
      <c r="O238" s="77" t="s">
        <v>179</v>
      </c>
      <c r="P238" s="79">
        <v>45127.835601851853</v>
      </c>
      <c r="Q238" s="77" t="s">
        <v>2288</v>
      </c>
      <c r="R238" s="77">
        <v>0</v>
      </c>
      <c r="S238" s="77">
        <v>0</v>
      </c>
      <c r="T238" s="77">
        <v>1</v>
      </c>
      <c r="U238" s="77">
        <v>0</v>
      </c>
      <c r="V238" s="77">
        <v>33</v>
      </c>
      <c r="W238" s="80" t="s">
        <v>6065</v>
      </c>
      <c r="X238" s="77"/>
      <c r="Y238" s="77"/>
      <c r="Z238" s="77"/>
      <c r="AA238" s="77" t="s">
        <v>9109</v>
      </c>
      <c r="AB238" s="77" t="s">
        <v>10534</v>
      </c>
      <c r="AC238" s="80" t="s">
        <v>10540</v>
      </c>
      <c r="AD238" s="77" t="s">
        <v>10617</v>
      </c>
      <c r="AE238" s="83" t="str">
        <f>HYPERLINK("https://twitter.com/mmendonca65/status/1682118999096606724")</f>
        <v>https://twitter.com/mmendonca65/status/1682118999096606724</v>
      </c>
      <c r="AF238" s="79">
        <v>45127.835601851853</v>
      </c>
      <c r="AG238" s="85">
        <v>45127</v>
      </c>
      <c r="AH238" s="80" t="s">
        <v>10841</v>
      </c>
      <c r="AI238" s="77" t="b">
        <v>0</v>
      </c>
      <c r="AJ238" s="77"/>
      <c r="AK238" s="77"/>
      <c r="AL238" s="77"/>
      <c r="AM238" s="77"/>
      <c r="AN238" s="77"/>
      <c r="AO238" s="77"/>
      <c r="AP238" s="77"/>
      <c r="AQ238" s="77" t="s">
        <v>14591</v>
      </c>
      <c r="AR238" s="77">
        <v>59045</v>
      </c>
      <c r="AS238" s="77"/>
      <c r="AT238" s="77"/>
      <c r="AU238" s="77"/>
      <c r="AV238" s="83" t="str">
        <f>HYPERLINK("https://pbs.twimg.com/ext_tw_video_thumb/1682118908889780224/pu/img/sdHdDe6iK4sfSv_0.jpg")</f>
        <v>https://pbs.twimg.com/ext_tw_video_thumb/1682118908889780224/pu/img/sdHdDe6iK4sfSv_0.jpg</v>
      </c>
      <c r="AW238" s="80" t="s">
        <v>16224</v>
      </c>
      <c r="AX238" s="80" t="s">
        <v>16224</v>
      </c>
      <c r="AY238" s="77"/>
      <c r="AZ238" s="80" t="s">
        <v>20380</v>
      </c>
      <c r="BA238" s="80" t="s">
        <v>20380</v>
      </c>
      <c r="BB238" s="80" t="s">
        <v>20380</v>
      </c>
      <c r="BC238" s="80" t="s">
        <v>16224</v>
      </c>
      <c r="BD238" s="77">
        <v>1486419553</v>
      </c>
      <c r="BE238" s="77"/>
      <c r="BF238" s="77"/>
      <c r="BG238" s="77"/>
      <c r="BH238" s="77"/>
      <c r="BI238" s="77"/>
    </row>
    <row r="239" spans="1:61" x14ac:dyDescent="0.25">
      <c r="A239" s="62" t="s">
        <v>324</v>
      </c>
      <c r="B239" s="62" t="s">
        <v>324</v>
      </c>
      <c r="C239" s="63"/>
      <c r="D239" s="64"/>
      <c r="E239" s="65"/>
      <c r="F239" s="66"/>
      <c r="G239" s="63"/>
      <c r="H239" s="67"/>
      <c r="I239" s="68"/>
      <c r="J239" s="68"/>
      <c r="K239" s="32"/>
      <c r="L239" s="75">
        <v>239</v>
      </c>
      <c r="M239" s="75"/>
      <c r="N239" s="70"/>
      <c r="O239" s="77" t="s">
        <v>179</v>
      </c>
      <c r="P239" s="79">
        <v>45189.977268518516</v>
      </c>
      <c r="Q239" s="77" t="s">
        <v>2289</v>
      </c>
      <c r="R239" s="77">
        <v>0</v>
      </c>
      <c r="S239" s="77">
        <v>0</v>
      </c>
      <c r="T239" s="77">
        <v>0</v>
      </c>
      <c r="U239" s="77">
        <v>0</v>
      </c>
      <c r="V239" s="77">
        <v>54</v>
      </c>
      <c r="W239" s="80" t="s">
        <v>6066</v>
      </c>
      <c r="X239" s="77"/>
      <c r="Y239" s="77"/>
      <c r="Z239" s="77"/>
      <c r="AA239" s="77" t="s">
        <v>9110</v>
      </c>
      <c r="AB239" s="77" t="s">
        <v>10535</v>
      </c>
      <c r="AC239" s="80" t="s">
        <v>10540</v>
      </c>
      <c r="AD239" s="77" t="s">
        <v>10617</v>
      </c>
      <c r="AE239" s="83" t="str">
        <f>HYPERLINK("https://twitter.com/sestarileticia/status/1704638384088482122")</f>
        <v>https://twitter.com/sestarileticia/status/1704638384088482122</v>
      </c>
      <c r="AF239" s="79">
        <v>45189.977268518516</v>
      </c>
      <c r="AG239" s="85">
        <v>45189</v>
      </c>
      <c r="AH239" s="80" t="s">
        <v>10842</v>
      </c>
      <c r="AI239" s="77" t="b">
        <v>0</v>
      </c>
      <c r="AJ239" s="77"/>
      <c r="AK239" s="77"/>
      <c r="AL239" s="77"/>
      <c r="AM239" s="77"/>
      <c r="AN239" s="77"/>
      <c r="AO239" s="77"/>
      <c r="AP239" s="77"/>
      <c r="AQ239" s="77" t="s">
        <v>14592</v>
      </c>
      <c r="AR239" s="77"/>
      <c r="AS239" s="77"/>
      <c r="AT239" s="77"/>
      <c r="AU239" s="77"/>
      <c r="AV239" s="83" t="str">
        <f>HYPERLINK("https://pbs.twimg.com/media/F6gXk4UWsAEqYm_.jpg")</f>
        <v>https://pbs.twimg.com/media/F6gXk4UWsAEqYm_.jpg</v>
      </c>
      <c r="AW239" s="80" t="s">
        <v>16225</v>
      </c>
      <c r="AX239" s="80" t="s">
        <v>16225</v>
      </c>
      <c r="AY239" s="77"/>
      <c r="AZ239" s="80" t="s">
        <v>20380</v>
      </c>
      <c r="BA239" s="80" t="s">
        <v>20380</v>
      </c>
      <c r="BB239" s="80" t="s">
        <v>20380</v>
      </c>
      <c r="BC239" s="80" t="s">
        <v>16225</v>
      </c>
      <c r="BD239" s="80" t="s">
        <v>20550</v>
      </c>
      <c r="BE239" s="77"/>
      <c r="BF239" s="77"/>
      <c r="BG239" s="77"/>
      <c r="BH239" s="77"/>
      <c r="BI239" s="77"/>
    </row>
    <row r="240" spans="1:61" x14ac:dyDescent="0.25">
      <c r="A240" s="62" t="s">
        <v>325</v>
      </c>
      <c r="B240" s="62" t="s">
        <v>325</v>
      </c>
      <c r="C240" s="63"/>
      <c r="D240" s="64"/>
      <c r="E240" s="65"/>
      <c r="F240" s="66"/>
      <c r="G240" s="63"/>
      <c r="H240" s="67"/>
      <c r="I240" s="68"/>
      <c r="J240" s="68"/>
      <c r="K240" s="32"/>
      <c r="L240" s="75">
        <v>240</v>
      </c>
      <c r="M240" s="75"/>
      <c r="N240" s="70"/>
      <c r="O240" s="77" t="s">
        <v>179</v>
      </c>
      <c r="P240" s="79">
        <v>45051.083333333336</v>
      </c>
      <c r="Q240" s="77" t="s">
        <v>2290</v>
      </c>
      <c r="R240" s="77">
        <v>0</v>
      </c>
      <c r="S240" s="77">
        <v>2</v>
      </c>
      <c r="T240" s="77">
        <v>0</v>
      </c>
      <c r="U240" s="77">
        <v>0</v>
      </c>
      <c r="V240" s="77">
        <v>119</v>
      </c>
      <c r="W240" s="80" t="s">
        <v>6067</v>
      </c>
      <c r="X240" s="83" t="str">
        <f>HYPERLINK("https://buff.ly/2Cxt52J")</f>
        <v>https://buff.ly/2Cxt52J</v>
      </c>
      <c r="Y240" s="77" t="s">
        <v>8617</v>
      </c>
      <c r="Z240" s="77"/>
      <c r="AA240" s="77" t="s">
        <v>9111</v>
      </c>
      <c r="AB240" s="77" t="s">
        <v>10534</v>
      </c>
      <c r="AC240" s="80" t="s">
        <v>10554</v>
      </c>
      <c r="AD240" s="77" t="s">
        <v>10617</v>
      </c>
      <c r="AE240" s="83" t="str">
        <f>HYPERLINK("https://twitter.com/panflixoficial/status/1654304909334925315")</f>
        <v>https://twitter.com/panflixoficial/status/1654304909334925315</v>
      </c>
      <c r="AF240" s="79">
        <v>45051.083333333336</v>
      </c>
      <c r="AG240" s="85">
        <v>45051</v>
      </c>
      <c r="AH240" s="80" t="s">
        <v>10843</v>
      </c>
      <c r="AI240" s="77" t="b">
        <v>0</v>
      </c>
      <c r="AJ240" s="77"/>
      <c r="AK240" s="77"/>
      <c r="AL240" s="77"/>
      <c r="AM240" s="77"/>
      <c r="AN240" s="77"/>
      <c r="AO240" s="77"/>
      <c r="AP240" s="77"/>
      <c r="AQ240" s="77" t="s">
        <v>14593</v>
      </c>
      <c r="AR240" s="77">
        <v>244529</v>
      </c>
      <c r="AS240" s="77"/>
      <c r="AT240" s="77"/>
      <c r="AU240" s="77"/>
      <c r="AV240" s="83" t="str">
        <f>HYPERLINK("https://pbs.twimg.com/media/FvUjuYaXwAA0Bey.jpg")</f>
        <v>https://pbs.twimg.com/media/FvUjuYaXwAA0Bey.jpg</v>
      </c>
      <c r="AW240" s="80" t="s">
        <v>16226</v>
      </c>
      <c r="AX240" s="80" t="s">
        <v>16226</v>
      </c>
      <c r="AY240" s="77"/>
      <c r="AZ240" s="80" t="s">
        <v>20380</v>
      </c>
      <c r="BA240" s="80" t="s">
        <v>20380</v>
      </c>
      <c r="BB240" s="80" t="s">
        <v>20380</v>
      </c>
      <c r="BC240" s="80" t="s">
        <v>16226</v>
      </c>
      <c r="BD240" s="80" t="s">
        <v>20551</v>
      </c>
      <c r="BE240" s="77"/>
      <c r="BF240" s="77"/>
      <c r="BG240" s="77"/>
      <c r="BH240" s="77"/>
      <c r="BI240" s="77"/>
    </row>
    <row r="241" spans="1:61" x14ac:dyDescent="0.25">
      <c r="A241" s="62" t="s">
        <v>325</v>
      </c>
      <c r="B241" s="62" t="s">
        <v>325</v>
      </c>
      <c r="C241" s="63"/>
      <c r="D241" s="64"/>
      <c r="E241" s="65"/>
      <c r="F241" s="66"/>
      <c r="G241" s="63"/>
      <c r="H241" s="67"/>
      <c r="I241" s="68"/>
      <c r="J241" s="68"/>
      <c r="K241" s="32"/>
      <c r="L241" s="75">
        <v>241</v>
      </c>
      <c r="M241" s="75"/>
      <c r="N241" s="70"/>
      <c r="O241" s="77" t="s">
        <v>179</v>
      </c>
      <c r="P241" s="79">
        <v>45141.666678240741</v>
      </c>
      <c r="Q241" s="77" t="s">
        <v>2291</v>
      </c>
      <c r="R241" s="77">
        <v>0</v>
      </c>
      <c r="S241" s="77">
        <v>1</v>
      </c>
      <c r="T241" s="77">
        <v>0</v>
      </c>
      <c r="U241" s="77">
        <v>0</v>
      </c>
      <c r="V241" s="77">
        <v>77</v>
      </c>
      <c r="W241" s="80" t="s">
        <v>6068</v>
      </c>
      <c r="X241" s="77"/>
      <c r="Y241" s="77"/>
      <c r="Z241" s="77"/>
      <c r="AA241" s="77" t="s">
        <v>9112</v>
      </c>
      <c r="AB241" s="77" t="s">
        <v>10534</v>
      </c>
      <c r="AC241" s="80" t="s">
        <v>10554</v>
      </c>
      <c r="AD241" s="77" t="s">
        <v>10617</v>
      </c>
      <c r="AE241" s="83" t="str">
        <f>HYPERLINK("https://twitter.com/panflixoficial/status/1687131213923065857")</f>
        <v>https://twitter.com/panflixoficial/status/1687131213923065857</v>
      </c>
      <c r="AF241" s="79">
        <v>45141.666678240741</v>
      </c>
      <c r="AG241" s="85">
        <v>45141</v>
      </c>
      <c r="AH241" s="80" t="s">
        <v>10844</v>
      </c>
      <c r="AI241" s="77" t="b">
        <v>0</v>
      </c>
      <c r="AJ241" s="77"/>
      <c r="AK241" s="77"/>
      <c r="AL241" s="77"/>
      <c r="AM241" s="77"/>
      <c r="AN241" s="77"/>
      <c r="AO241" s="77"/>
      <c r="AP241" s="77"/>
      <c r="AQ241" s="77" t="s">
        <v>14594</v>
      </c>
      <c r="AR241" s="77">
        <v>445611</v>
      </c>
      <c r="AS241" s="77"/>
      <c r="AT241" s="77"/>
      <c r="AU241" s="77"/>
      <c r="AV241" s="83" t="str">
        <f>HYPERLINK("https://pbs.twimg.com/amplify_video_thumb/1687127608989728768/img/YKBzvC_NMccrM8ij.jpg")</f>
        <v>https://pbs.twimg.com/amplify_video_thumb/1687127608989728768/img/YKBzvC_NMccrM8ij.jpg</v>
      </c>
      <c r="AW241" s="80" t="s">
        <v>16227</v>
      </c>
      <c r="AX241" s="80" t="s">
        <v>16227</v>
      </c>
      <c r="AY241" s="77"/>
      <c r="AZ241" s="80" t="s">
        <v>20380</v>
      </c>
      <c r="BA241" s="80" t="s">
        <v>20380</v>
      </c>
      <c r="BB241" s="80" t="s">
        <v>20380</v>
      </c>
      <c r="BC241" s="80" t="s">
        <v>16227</v>
      </c>
      <c r="BD241" s="80" t="s">
        <v>20551</v>
      </c>
      <c r="BE241" s="77"/>
      <c r="BF241" s="77"/>
      <c r="BG241" s="77"/>
      <c r="BH241" s="77"/>
      <c r="BI241" s="77"/>
    </row>
    <row r="242" spans="1:61" x14ac:dyDescent="0.25">
      <c r="A242" s="62" t="s">
        <v>325</v>
      </c>
      <c r="B242" s="62" t="s">
        <v>325</v>
      </c>
      <c r="C242" s="63"/>
      <c r="D242" s="64"/>
      <c r="E242" s="65"/>
      <c r="F242" s="66"/>
      <c r="G242" s="63"/>
      <c r="H242" s="67"/>
      <c r="I242" s="68"/>
      <c r="J242" s="68"/>
      <c r="K242" s="32"/>
      <c r="L242" s="75">
        <v>242</v>
      </c>
      <c r="M242" s="75"/>
      <c r="N242" s="70"/>
      <c r="O242" s="77" t="s">
        <v>179</v>
      </c>
      <c r="P242" s="79">
        <v>45141.583356481482</v>
      </c>
      <c r="Q242" s="77" t="s">
        <v>2292</v>
      </c>
      <c r="R242" s="77">
        <v>1</v>
      </c>
      <c r="S242" s="77">
        <v>6</v>
      </c>
      <c r="T242" s="77">
        <v>0</v>
      </c>
      <c r="U242" s="77">
        <v>0</v>
      </c>
      <c r="V242" s="77">
        <v>129</v>
      </c>
      <c r="W242" s="80" t="s">
        <v>6069</v>
      </c>
      <c r="X242" s="77"/>
      <c r="Y242" s="77"/>
      <c r="Z242" s="77"/>
      <c r="AA242" s="77" t="s">
        <v>9113</v>
      </c>
      <c r="AB242" s="77" t="s">
        <v>10534</v>
      </c>
      <c r="AC242" s="80" t="s">
        <v>10554</v>
      </c>
      <c r="AD242" s="77" t="s">
        <v>10617</v>
      </c>
      <c r="AE242" s="83" t="str">
        <f>HYPERLINK("https://twitter.com/panflixoficial/status/1687101019657027584")</f>
        <v>https://twitter.com/panflixoficial/status/1687101019657027584</v>
      </c>
      <c r="AF242" s="79">
        <v>45141.583356481482</v>
      </c>
      <c r="AG242" s="85">
        <v>45141</v>
      </c>
      <c r="AH242" s="80" t="s">
        <v>10845</v>
      </c>
      <c r="AI242" s="77" t="b">
        <v>0</v>
      </c>
      <c r="AJ242" s="77"/>
      <c r="AK242" s="77"/>
      <c r="AL242" s="77"/>
      <c r="AM242" s="77"/>
      <c r="AN242" s="77"/>
      <c r="AO242" s="77"/>
      <c r="AP242" s="77"/>
      <c r="AQ242" s="77" t="s">
        <v>14595</v>
      </c>
      <c r="AR242" s="77">
        <v>598300</v>
      </c>
      <c r="AS242" s="77"/>
      <c r="AT242" s="77"/>
      <c r="AU242" s="77"/>
      <c r="AV242" s="83" t="str">
        <f>HYPERLINK("https://pbs.twimg.com/media/F2jSNIxaAAAVqX4.jpg")</f>
        <v>https://pbs.twimg.com/media/F2jSNIxaAAAVqX4.jpg</v>
      </c>
      <c r="AW242" s="80" t="s">
        <v>16228</v>
      </c>
      <c r="AX242" s="80" t="s">
        <v>16228</v>
      </c>
      <c r="AY242" s="77"/>
      <c r="AZ242" s="80" t="s">
        <v>20380</v>
      </c>
      <c r="BA242" s="80" t="s">
        <v>20380</v>
      </c>
      <c r="BB242" s="80" t="s">
        <v>20380</v>
      </c>
      <c r="BC242" s="80" t="s">
        <v>16228</v>
      </c>
      <c r="BD242" s="80" t="s">
        <v>20551</v>
      </c>
      <c r="BE242" s="77"/>
      <c r="BF242" s="77"/>
      <c r="BG242" s="77"/>
      <c r="BH242" s="77"/>
      <c r="BI242" s="77"/>
    </row>
    <row r="243" spans="1:61" x14ac:dyDescent="0.25">
      <c r="A243" s="62" t="s">
        <v>326</v>
      </c>
      <c r="B243" s="62" t="s">
        <v>1655</v>
      </c>
      <c r="C243" s="63"/>
      <c r="D243" s="64"/>
      <c r="E243" s="65"/>
      <c r="F243" s="66"/>
      <c r="G243" s="63"/>
      <c r="H243" s="67"/>
      <c r="I243" s="68"/>
      <c r="J243" s="68"/>
      <c r="K243" s="32"/>
      <c r="L243" s="75">
        <v>243</v>
      </c>
      <c r="M243" s="75"/>
      <c r="N243" s="70"/>
      <c r="O243" s="77" t="s">
        <v>2083</v>
      </c>
      <c r="P243" s="79">
        <v>45191.19085648148</v>
      </c>
      <c r="Q243" s="77" t="s">
        <v>2120</v>
      </c>
      <c r="R243" s="77">
        <v>57</v>
      </c>
      <c r="S243" s="77">
        <v>0</v>
      </c>
      <c r="T243" s="77">
        <v>0</v>
      </c>
      <c r="U243" s="77">
        <v>0</v>
      </c>
      <c r="V243" s="77"/>
      <c r="W243" s="80" t="s">
        <v>5917</v>
      </c>
      <c r="X243" s="77"/>
      <c r="Y243" s="77"/>
      <c r="Z243" s="77" t="s">
        <v>1655</v>
      </c>
      <c r="AA243" s="77"/>
      <c r="AB243" s="77"/>
      <c r="AC243" s="80" t="s">
        <v>10540</v>
      </c>
      <c r="AD243" s="77" t="s">
        <v>10617</v>
      </c>
      <c r="AE243" s="83" t="str">
        <f>HYPERLINK("https://twitter.com/sobrinhocassius/status/1705078175498191243")</f>
        <v>https://twitter.com/sobrinhocassius/status/1705078175498191243</v>
      </c>
      <c r="AF243" s="79">
        <v>45191.19085648148</v>
      </c>
      <c r="AG243" s="85">
        <v>45191</v>
      </c>
      <c r="AH243" s="80" t="s">
        <v>10846</v>
      </c>
      <c r="AI243" s="77"/>
      <c r="AJ243" s="77"/>
      <c r="AK243" s="77"/>
      <c r="AL243" s="77"/>
      <c r="AM243" s="77"/>
      <c r="AN243" s="77"/>
      <c r="AO243" s="77"/>
      <c r="AP243" s="77"/>
      <c r="AQ243" s="77"/>
      <c r="AR243" s="77"/>
      <c r="AS243" s="77"/>
      <c r="AT243" s="77"/>
      <c r="AU243" s="77"/>
      <c r="AV243" s="83" t="str">
        <f>HYPERLINK("https://pbs.twimg.com/profile_images/1689212642810806273/paj76aVC_normal.jpg")</f>
        <v>https://pbs.twimg.com/profile_images/1689212642810806273/paj76aVC_normal.jpg</v>
      </c>
      <c r="AW243" s="80" t="s">
        <v>16229</v>
      </c>
      <c r="AX243" s="80" t="s">
        <v>16229</v>
      </c>
      <c r="AY243" s="77"/>
      <c r="AZ243" s="80" t="s">
        <v>20380</v>
      </c>
      <c r="BA243" s="80" t="s">
        <v>20380</v>
      </c>
      <c r="BB243" s="80" t="s">
        <v>19843</v>
      </c>
      <c r="BC243" s="80" t="s">
        <v>19843</v>
      </c>
      <c r="BD243" s="77">
        <v>3227618016</v>
      </c>
      <c r="BE243" s="77"/>
      <c r="BF243" s="77"/>
      <c r="BG243" s="77"/>
      <c r="BH243" s="77"/>
      <c r="BI243" s="77"/>
    </row>
    <row r="244" spans="1:61" x14ac:dyDescent="0.25">
      <c r="A244" s="62" t="s">
        <v>327</v>
      </c>
      <c r="B244" s="62" t="s">
        <v>1724</v>
      </c>
      <c r="C244" s="63"/>
      <c r="D244" s="64"/>
      <c r="E244" s="65"/>
      <c r="F244" s="66"/>
      <c r="G244" s="63"/>
      <c r="H244" s="67"/>
      <c r="I244" s="68"/>
      <c r="J244" s="68"/>
      <c r="K244" s="32"/>
      <c r="L244" s="75">
        <v>244</v>
      </c>
      <c r="M244" s="75"/>
      <c r="N244" s="70"/>
      <c r="O244" s="77" t="s">
        <v>2079</v>
      </c>
      <c r="P244" s="79">
        <v>45070.07849537037</v>
      </c>
      <c r="Q244" s="77" t="s">
        <v>2293</v>
      </c>
      <c r="R244" s="77">
        <v>4</v>
      </c>
      <c r="S244" s="77">
        <v>10</v>
      </c>
      <c r="T244" s="77">
        <v>0</v>
      </c>
      <c r="U244" s="77">
        <v>0</v>
      </c>
      <c r="V244" s="77">
        <v>214</v>
      </c>
      <c r="W244" s="80" t="s">
        <v>5884</v>
      </c>
      <c r="X244" s="77"/>
      <c r="Y244" s="77"/>
      <c r="Z244" s="77" t="s">
        <v>8911</v>
      </c>
      <c r="AA244" s="77"/>
      <c r="AB244" s="77"/>
      <c r="AC244" s="80" t="s">
        <v>10540</v>
      </c>
      <c r="AD244" s="77" t="s">
        <v>10620</v>
      </c>
      <c r="AE244" s="83" t="str">
        <f>HYPERLINK("https://twitter.com/andreainiguezm/status/1661188523683115008")</f>
        <v>https://twitter.com/andreainiguezm/status/1661188523683115008</v>
      </c>
      <c r="AF244" s="79">
        <v>45070.07849537037</v>
      </c>
      <c r="AG244" s="85">
        <v>45070</v>
      </c>
      <c r="AH244" s="80" t="s">
        <v>10847</v>
      </c>
      <c r="AI244" s="77"/>
      <c r="AJ244" s="77"/>
      <c r="AK244" s="77"/>
      <c r="AL244" s="77"/>
      <c r="AM244" s="77"/>
      <c r="AN244" s="77"/>
      <c r="AO244" s="77"/>
      <c r="AP244" s="77"/>
      <c r="AQ244" s="77"/>
      <c r="AR244" s="77"/>
      <c r="AS244" s="77"/>
      <c r="AT244" s="77"/>
      <c r="AU244" s="77"/>
      <c r="AV244" s="83" t="str">
        <f>HYPERLINK("https://pbs.twimg.com/profile_images/1656163473817063426/jSQiwiE2_normal.jpg")</f>
        <v>https://pbs.twimg.com/profile_images/1656163473817063426/jSQiwiE2_normal.jpg</v>
      </c>
      <c r="AW244" s="80" t="s">
        <v>16230</v>
      </c>
      <c r="AX244" s="80" t="s">
        <v>19971</v>
      </c>
      <c r="AY244" s="80" t="s">
        <v>20225</v>
      </c>
      <c r="AZ244" s="80" t="s">
        <v>19971</v>
      </c>
      <c r="BA244" s="80" t="s">
        <v>20380</v>
      </c>
      <c r="BB244" s="80" t="s">
        <v>20380</v>
      </c>
      <c r="BC244" s="80" t="s">
        <v>19971</v>
      </c>
      <c r="BD244" s="80" t="s">
        <v>20552</v>
      </c>
      <c r="BE244" s="77"/>
      <c r="BF244" s="77"/>
      <c r="BG244" s="77"/>
      <c r="BH244" s="77"/>
      <c r="BI244" s="77"/>
    </row>
    <row r="245" spans="1:61" x14ac:dyDescent="0.25">
      <c r="A245" s="62" t="s">
        <v>327</v>
      </c>
      <c r="B245" s="62" t="s">
        <v>1725</v>
      </c>
      <c r="C245" s="63"/>
      <c r="D245" s="64"/>
      <c r="E245" s="65"/>
      <c r="F245" s="66"/>
      <c r="G245" s="63"/>
      <c r="H245" s="67"/>
      <c r="I245" s="68"/>
      <c r="J245" s="68"/>
      <c r="K245" s="32"/>
      <c r="L245" s="75">
        <v>245</v>
      </c>
      <c r="M245" s="75"/>
      <c r="N245" s="70"/>
      <c r="O245" s="77" t="s">
        <v>2079</v>
      </c>
      <c r="P245" s="79">
        <v>45070.07849537037</v>
      </c>
      <c r="Q245" s="77" t="s">
        <v>2293</v>
      </c>
      <c r="R245" s="77">
        <v>4</v>
      </c>
      <c r="S245" s="77">
        <v>10</v>
      </c>
      <c r="T245" s="77">
        <v>0</v>
      </c>
      <c r="U245" s="77">
        <v>0</v>
      </c>
      <c r="V245" s="77">
        <v>214</v>
      </c>
      <c r="W245" s="80" t="s">
        <v>5884</v>
      </c>
      <c r="X245" s="77"/>
      <c r="Y245" s="77"/>
      <c r="Z245" s="77" t="s">
        <v>8911</v>
      </c>
      <c r="AA245" s="77"/>
      <c r="AB245" s="77"/>
      <c r="AC245" s="80" t="s">
        <v>10540</v>
      </c>
      <c r="AD245" s="77" t="s">
        <v>10620</v>
      </c>
      <c r="AE245" s="83" t="str">
        <f>HYPERLINK("https://twitter.com/andreainiguezm/status/1661188523683115008")</f>
        <v>https://twitter.com/andreainiguezm/status/1661188523683115008</v>
      </c>
      <c r="AF245" s="79">
        <v>45070.07849537037</v>
      </c>
      <c r="AG245" s="85">
        <v>45070</v>
      </c>
      <c r="AH245" s="80" t="s">
        <v>10847</v>
      </c>
      <c r="AI245" s="77"/>
      <c r="AJ245" s="77"/>
      <c r="AK245" s="77"/>
      <c r="AL245" s="77"/>
      <c r="AM245" s="77"/>
      <c r="AN245" s="77"/>
      <c r="AO245" s="77"/>
      <c r="AP245" s="77"/>
      <c r="AQ245" s="77"/>
      <c r="AR245" s="77"/>
      <c r="AS245" s="77"/>
      <c r="AT245" s="77"/>
      <c r="AU245" s="77"/>
      <c r="AV245" s="83" t="str">
        <f>HYPERLINK("https://pbs.twimg.com/profile_images/1656163473817063426/jSQiwiE2_normal.jpg")</f>
        <v>https://pbs.twimg.com/profile_images/1656163473817063426/jSQiwiE2_normal.jpg</v>
      </c>
      <c r="AW245" s="80" t="s">
        <v>16230</v>
      </c>
      <c r="AX245" s="80" t="s">
        <v>19971</v>
      </c>
      <c r="AY245" s="80" t="s">
        <v>20225</v>
      </c>
      <c r="AZ245" s="80" t="s">
        <v>19971</v>
      </c>
      <c r="BA245" s="80" t="s">
        <v>20380</v>
      </c>
      <c r="BB245" s="80" t="s">
        <v>20380</v>
      </c>
      <c r="BC245" s="80" t="s">
        <v>19971</v>
      </c>
      <c r="BD245" s="80" t="s">
        <v>20552</v>
      </c>
      <c r="BE245" s="77"/>
      <c r="BF245" s="77"/>
      <c r="BG245" s="77"/>
      <c r="BH245" s="77"/>
      <c r="BI245" s="77"/>
    </row>
    <row r="246" spans="1:61" x14ac:dyDescent="0.25">
      <c r="A246" s="62" t="s">
        <v>328</v>
      </c>
      <c r="B246" s="62" t="s">
        <v>328</v>
      </c>
      <c r="C246" s="63"/>
      <c r="D246" s="64"/>
      <c r="E246" s="65"/>
      <c r="F246" s="66"/>
      <c r="G246" s="63"/>
      <c r="H246" s="67"/>
      <c r="I246" s="68"/>
      <c r="J246" s="68"/>
      <c r="K246" s="32"/>
      <c r="L246" s="75">
        <v>246</v>
      </c>
      <c r="M246" s="75"/>
      <c r="N246" s="70"/>
      <c r="O246" s="77" t="s">
        <v>179</v>
      </c>
      <c r="P246" s="79">
        <v>45099.546585648146</v>
      </c>
      <c r="Q246" s="77" t="s">
        <v>2294</v>
      </c>
      <c r="R246" s="77">
        <v>0</v>
      </c>
      <c r="S246" s="77">
        <v>0</v>
      </c>
      <c r="T246" s="77">
        <v>0</v>
      </c>
      <c r="U246" s="77">
        <v>0</v>
      </c>
      <c r="V246" s="77">
        <v>21</v>
      </c>
      <c r="W246" s="80" t="s">
        <v>6070</v>
      </c>
      <c r="X246" s="77" t="s">
        <v>8583</v>
      </c>
      <c r="Y246" s="77" t="s">
        <v>8640</v>
      </c>
      <c r="Z246" s="77"/>
      <c r="AA246" s="77"/>
      <c r="AB246" s="77"/>
      <c r="AC246" s="80" t="s">
        <v>10541</v>
      </c>
      <c r="AD246" s="77" t="s">
        <v>10617</v>
      </c>
      <c r="AE246" s="83" t="str">
        <f>HYPERLINK("https://twitter.com/studio877/status/1671867402743586818")</f>
        <v>https://twitter.com/studio877/status/1671867402743586818</v>
      </c>
      <c r="AF246" s="79">
        <v>45099.546585648146</v>
      </c>
      <c r="AG246" s="85">
        <v>45099</v>
      </c>
      <c r="AH246" s="80" t="s">
        <v>10848</v>
      </c>
      <c r="AI246" s="77" t="b">
        <v>0</v>
      </c>
      <c r="AJ246" s="77"/>
      <c r="AK246" s="77"/>
      <c r="AL246" s="77"/>
      <c r="AM246" s="77"/>
      <c r="AN246" s="77"/>
      <c r="AO246" s="77"/>
      <c r="AP246" s="77"/>
      <c r="AQ246" s="77"/>
      <c r="AR246" s="77"/>
      <c r="AS246" s="77"/>
      <c r="AT246" s="77"/>
      <c r="AU246" s="77"/>
      <c r="AV246" s="83" t="str">
        <f>HYPERLINK("https://pbs.twimg.com/profile_images/1273230330909032449/bJGuydu-_normal.jpg")</f>
        <v>https://pbs.twimg.com/profile_images/1273230330909032449/bJGuydu-_normal.jpg</v>
      </c>
      <c r="AW246" s="80" t="s">
        <v>16231</v>
      </c>
      <c r="AX246" s="80" t="s">
        <v>16231</v>
      </c>
      <c r="AY246" s="77"/>
      <c r="AZ246" s="80" t="s">
        <v>20380</v>
      </c>
      <c r="BA246" s="80" t="s">
        <v>20380</v>
      </c>
      <c r="BB246" s="80" t="s">
        <v>20380</v>
      </c>
      <c r="BC246" s="80" t="s">
        <v>16231</v>
      </c>
      <c r="BD246" s="77">
        <v>40553987</v>
      </c>
      <c r="BE246" s="77"/>
      <c r="BF246" s="77"/>
      <c r="BG246" s="77"/>
      <c r="BH246" s="77"/>
      <c r="BI246" s="77"/>
    </row>
    <row r="247" spans="1:61" x14ac:dyDescent="0.25">
      <c r="A247" s="62" t="s">
        <v>329</v>
      </c>
      <c r="B247" s="62" t="s">
        <v>329</v>
      </c>
      <c r="C247" s="63"/>
      <c r="D247" s="64"/>
      <c r="E247" s="65"/>
      <c r="F247" s="66"/>
      <c r="G247" s="63"/>
      <c r="H247" s="67"/>
      <c r="I247" s="68"/>
      <c r="J247" s="68"/>
      <c r="K247" s="32"/>
      <c r="L247" s="75">
        <v>247</v>
      </c>
      <c r="M247" s="75"/>
      <c r="N247" s="70"/>
      <c r="O247" s="77" t="s">
        <v>179</v>
      </c>
      <c r="P247" s="79">
        <v>45091.591967592591</v>
      </c>
      <c r="Q247" s="77" t="s">
        <v>2295</v>
      </c>
      <c r="R247" s="77">
        <v>2</v>
      </c>
      <c r="S247" s="77">
        <v>3</v>
      </c>
      <c r="T247" s="77">
        <v>0</v>
      </c>
      <c r="U247" s="77">
        <v>0</v>
      </c>
      <c r="V247" s="77">
        <v>86</v>
      </c>
      <c r="W247" s="80" t="s">
        <v>6071</v>
      </c>
      <c r="X247" s="83" t="str">
        <f>HYPERLINK("https://www.tiktok.com/@otrarepublica.com/video/7244354810080791814")</f>
        <v>https://www.tiktok.com/@otrarepublica.com/video/7244354810080791814</v>
      </c>
      <c r="Y247" s="77" t="s">
        <v>8641</v>
      </c>
      <c r="Z247" s="77"/>
      <c r="AA247" s="77"/>
      <c r="AB247" s="77"/>
      <c r="AC247" s="80" t="s">
        <v>10541</v>
      </c>
      <c r="AD247" s="77" t="s">
        <v>10623</v>
      </c>
      <c r="AE247" s="83" t="str">
        <f>HYPERLINK("https://twitter.com/ctovarleon/status/1668984744866902016")</f>
        <v>https://twitter.com/ctovarleon/status/1668984744866902016</v>
      </c>
      <c r="AF247" s="79">
        <v>45091.591967592591</v>
      </c>
      <c r="AG247" s="85">
        <v>45091</v>
      </c>
      <c r="AH247" s="80" t="s">
        <v>10849</v>
      </c>
      <c r="AI247" s="77" t="b">
        <v>0</v>
      </c>
      <c r="AJ247" s="77"/>
      <c r="AK247" s="77"/>
      <c r="AL247" s="77"/>
      <c r="AM247" s="77"/>
      <c r="AN247" s="77"/>
      <c r="AO247" s="77"/>
      <c r="AP247" s="77"/>
      <c r="AQ247" s="77"/>
      <c r="AR247" s="77"/>
      <c r="AS247" s="77"/>
      <c r="AT247" s="77"/>
      <c r="AU247" s="77"/>
      <c r="AV247" s="83" t="str">
        <f>HYPERLINK("https://pbs.twimg.com/profile_images/1630272412813086720/KWoniK5G_normal.jpg")</f>
        <v>https://pbs.twimg.com/profile_images/1630272412813086720/KWoniK5G_normal.jpg</v>
      </c>
      <c r="AW247" s="80" t="s">
        <v>16232</v>
      </c>
      <c r="AX247" s="80" t="s">
        <v>16232</v>
      </c>
      <c r="AY247" s="77"/>
      <c r="AZ247" s="80" t="s">
        <v>20380</v>
      </c>
      <c r="BA247" s="80" t="s">
        <v>20380</v>
      </c>
      <c r="BB247" s="80" t="s">
        <v>20380</v>
      </c>
      <c r="BC247" s="80" t="s">
        <v>16232</v>
      </c>
      <c r="BD247" s="77">
        <v>149675583</v>
      </c>
      <c r="BE247" s="77"/>
      <c r="BF247" s="77"/>
      <c r="BG247" s="77"/>
      <c r="BH247" s="77"/>
      <c r="BI247" s="77"/>
    </row>
    <row r="248" spans="1:61" x14ac:dyDescent="0.25">
      <c r="A248" s="62" t="s">
        <v>329</v>
      </c>
      <c r="B248" s="62" t="s">
        <v>329</v>
      </c>
      <c r="C248" s="63"/>
      <c r="D248" s="64"/>
      <c r="E248" s="65"/>
      <c r="F248" s="66"/>
      <c r="G248" s="63"/>
      <c r="H248" s="67"/>
      <c r="I248" s="68"/>
      <c r="J248" s="68"/>
      <c r="K248" s="32"/>
      <c r="L248" s="75">
        <v>248</v>
      </c>
      <c r="M248" s="75"/>
      <c r="N248" s="70"/>
      <c r="O248" s="77" t="s">
        <v>179</v>
      </c>
      <c r="P248" s="79">
        <v>45091.59134259259</v>
      </c>
      <c r="Q248" s="77" t="s">
        <v>2296</v>
      </c>
      <c r="R248" s="77">
        <v>22</v>
      </c>
      <c r="S248" s="77">
        <v>28</v>
      </c>
      <c r="T248" s="77">
        <v>0</v>
      </c>
      <c r="U248" s="77">
        <v>0</v>
      </c>
      <c r="V248" s="77">
        <v>337</v>
      </c>
      <c r="W248" s="80" t="s">
        <v>6071</v>
      </c>
      <c r="X248" s="83" t="str">
        <f>HYPERLINK("https://www.tiktok.com/@otrarepublica.com/video/7244354810080791814")</f>
        <v>https://www.tiktok.com/@otrarepublica.com/video/7244354810080791814</v>
      </c>
      <c r="Y248" s="77" t="s">
        <v>8641</v>
      </c>
      <c r="Z248" s="77"/>
      <c r="AA248" s="77" t="s">
        <v>9114</v>
      </c>
      <c r="AB248" s="77" t="s">
        <v>10535</v>
      </c>
      <c r="AC248" s="80" t="s">
        <v>10541</v>
      </c>
      <c r="AD248" s="77" t="s">
        <v>10623</v>
      </c>
      <c r="AE248" s="83" t="str">
        <f>HYPERLINK("https://twitter.com/ctovarleon/status/1668984518592561157")</f>
        <v>https://twitter.com/ctovarleon/status/1668984518592561157</v>
      </c>
      <c r="AF248" s="79">
        <v>45091.59134259259</v>
      </c>
      <c r="AG248" s="85">
        <v>45091</v>
      </c>
      <c r="AH248" s="80" t="s">
        <v>10850</v>
      </c>
      <c r="AI248" s="77" t="b">
        <v>0</v>
      </c>
      <c r="AJ248" s="77"/>
      <c r="AK248" s="77"/>
      <c r="AL248" s="77"/>
      <c r="AM248" s="77"/>
      <c r="AN248" s="77"/>
      <c r="AO248" s="77"/>
      <c r="AP248" s="77"/>
      <c r="AQ248" s="77" t="s">
        <v>14596</v>
      </c>
      <c r="AR248" s="77"/>
      <c r="AS248" s="77"/>
      <c r="AT248" s="77"/>
      <c r="AU248" s="77"/>
      <c r="AV248" s="83" t="str">
        <f>HYPERLINK("https://pbs.twimg.com/media/FylseTjXoAEQXqr.png")</f>
        <v>https://pbs.twimg.com/media/FylseTjXoAEQXqr.png</v>
      </c>
      <c r="AW248" s="80" t="s">
        <v>16233</v>
      </c>
      <c r="AX248" s="80" t="s">
        <v>16233</v>
      </c>
      <c r="AY248" s="77"/>
      <c r="AZ248" s="80" t="s">
        <v>20380</v>
      </c>
      <c r="BA248" s="80" t="s">
        <v>20380</v>
      </c>
      <c r="BB248" s="80" t="s">
        <v>20380</v>
      </c>
      <c r="BC248" s="80" t="s">
        <v>16233</v>
      </c>
      <c r="BD248" s="77">
        <v>149675583</v>
      </c>
      <c r="BE248" s="77"/>
      <c r="BF248" s="77"/>
      <c r="BG248" s="77"/>
      <c r="BH248" s="77"/>
      <c r="BI248" s="77"/>
    </row>
    <row r="249" spans="1:61" x14ac:dyDescent="0.25">
      <c r="A249" s="62" t="s">
        <v>330</v>
      </c>
      <c r="B249" s="62" t="s">
        <v>330</v>
      </c>
      <c r="C249" s="63"/>
      <c r="D249" s="64"/>
      <c r="E249" s="65"/>
      <c r="F249" s="66"/>
      <c r="G249" s="63"/>
      <c r="H249" s="67"/>
      <c r="I249" s="68"/>
      <c r="J249" s="68"/>
      <c r="K249" s="32"/>
      <c r="L249" s="75">
        <v>249</v>
      </c>
      <c r="M249" s="75"/>
      <c r="N249" s="70"/>
      <c r="O249" s="77" t="s">
        <v>179</v>
      </c>
      <c r="P249" s="79">
        <v>45110.555069444446</v>
      </c>
      <c r="Q249" s="77" t="s">
        <v>2297</v>
      </c>
      <c r="R249" s="77">
        <v>0</v>
      </c>
      <c r="S249" s="77">
        <v>1</v>
      </c>
      <c r="T249" s="77">
        <v>0</v>
      </c>
      <c r="U249" s="77">
        <v>0</v>
      </c>
      <c r="V249" s="77">
        <v>36</v>
      </c>
      <c r="W249" s="80" t="s">
        <v>6072</v>
      </c>
      <c r="X249" s="83" t="str">
        <f>HYPERLINK("https://diariodocomercio.com.br/financas/mercado-reduz-previsao-para-selic-a-12-este-ano-e-ve-inflacao-menor-ate-2026/")</f>
        <v>https://diariodocomercio.com.br/financas/mercado-reduz-previsao-para-selic-a-12-este-ano-e-ve-inflacao-menor-ate-2026/</v>
      </c>
      <c r="Y249" s="77" t="s">
        <v>8611</v>
      </c>
      <c r="Z249" s="77"/>
      <c r="AA249" s="77"/>
      <c r="AB249" s="77"/>
      <c r="AC249" s="80" t="s">
        <v>10555</v>
      </c>
      <c r="AD249" s="77" t="s">
        <v>10617</v>
      </c>
      <c r="AE249" s="83" t="str">
        <f>HYPERLINK("https://twitter.com/diario_comercio/status/1675856744176558082")</f>
        <v>https://twitter.com/diario_comercio/status/1675856744176558082</v>
      </c>
      <c r="AF249" s="79">
        <v>45110.555069444446</v>
      </c>
      <c r="AG249" s="85">
        <v>45110</v>
      </c>
      <c r="AH249" s="80" t="s">
        <v>10851</v>
      </c>
      <c r="AI249" s="77" t="b">
        <v>0</v>
      </c>
      <c r="AJ249" s="77"/>
      <c r="AK249" s="77"/>
      <c r="AL249" s="77"/>
      <c r="AM249" s="77"/>
      <c r="AN249" s="77"/>
      <c r="AO249" s="77"/>
      <c r="AP249" s="77"/>
      <c r="AQ249" s="77"/>
      <c r="AR249" s="77"/>
      <c r="AS249" s="77"/>
      <c r="AT249" s="77"/>
      <c r="AU249" s="77"/>
      <c r="AV249" s="83" t="str">
        <f>HYPERLINK("https://pbs.twimg.com/profile_images/1610325557580898306/UZehEg0I_normal.jpg")</f>
        <v>https://pbs.twimg.com/profile_images/1610325557580898306/UZehEg0I_normal.jpg</v>
      </c>
      <c r="AW249" s="80" t="s">
        <v>16234</v>
      </c>
      <c r="AX249" s="80" t="s">
        <v>16234</v>
      </c>
      <c r="AY249" s="77"/>
      <c r="AZ249" s="80" t="s">
        <v>20380</v>
      </c>
      <c r="BA249" s="80" t="s">
        <v>20380</v>
      </c>
      <c r="BB249" s="80" t="s">
        <v>20380</v>
      </c>
      <c r="BC249" s="80" t="s">
        <v>16234</v>
      </c>
      <c r="BD249" s="77">
        <v>94388843</v>
      </c>
      <c r="BE249" s="77"/>
      <c r="BF249" s="77"/>
      <c r="BG249" s="77"/>
      <c r="BH249" s="77"/>
      <c r="BI249" s="77"/>
    </row>
    <row r="250" spans="1:61" x14ac:dyDescent="0.25">
      <c r="A250" s="62" t="s">
        <v>330</v>
      </c>
      <c r="B250" s="62" t="s">
        <v>330</v>
      </c>
      <c r="C250" s="63"/>
      <c r="D250" s="64"/>
      <c r="E250" s="65"/>
      <c r="F250" s="66"/>
      <c r="G250" s="63"/>
      <c r="H250" s="67"/>
      <c r="I250" s="68"/>
      <c r="J250" s="68"/>
      <c r="K250" s="32"/>
      <c r="L250" s="75">
        <v>250</v>
      </c>
      <c r="M250" s="75"/>
      <c r="N250" s="70"/>
      <c r="O250" s="77" t="s">
        <v>179</v>
      </c>
      <c r="P250" s="79">
        <v>45145.895833333336</v>
      </c>
      <c r="Q250" s="77" t="s">
        <v>2298</v>
      </c>
      <c r="R250" s="77">
        <v>0</v>
      </c>
      <c r="S250" s="77">
        <v>0</v>
      </c>
      <c r="T250" s="77">
        <v>0</v>
      </c>
      <c r="U250" s="77">
        <v>0</v>
      </c>
      <c r="V250" s="77">
        <v>56</v>
      </c>
      <c r="W250" s="80" t="s">
        <v>6073</v>
      </c>
      <c r="X250" s="83" t="str">
        <f>HYPERLINK("https://diariodocomercio.com.br/economia/drex-nome-real-digital-funcionar/")</f>
        <v>https://diariodocomercio.com.br/economia/drex-nome-real-digital-funcionar/</v>
      </c>
      <c r="Y250" s="77" t="s">
        <v>8611</v>
      </c>
      <c r="Z250" s="77"/>
      <c r="AA250" s="77"/>
      <c r="AB250" s="77"/>
      <c r="AC250" s="80" t="s">
        <v>10541</v>
      </c>
      <c r="AD250" s="77" t="s">
        <v>10617</v>
      </c>
      <c r="AE250" s="83" t="str">
        <f>HYPERLINK("https://twitter.com/diario_comercio/status/1688663808867459072")</f>
        <v>https://twitter.com/diario_comercio/status/1688663808867459072</v>
      </c>
      <c r="AF250" s="79">
        <v>45145.895833333336</v>
      </c>
      <c r="AG250" s="85">
        <v>45145</v>
      </c>
      <c r="AH250" s="80" t="s">
        <v>10852</v>
      </c>
      <c r="AI250" s="77" t="b">
        <v>0</v>
      </c>
      <c r="AJ250" s="77"/>
      <c r="AK250" s="77"/>
      <c r="AL250" s="77"/>
      <c r="AM250" s="77"/>
      <c r="AN250" s="77"/>
      <c r="AO250" s="77"/>
      <c r="AP250" s="77"/>
      <c r="AQ250" s="77"/>
      <c r="AR250" s="77"/>
      <c r="AS250" s="77"/>
      <c r="AT250" s="77"/>
      <c r="AU250" s="77"/>
      <c r="AV250" s="83" t="str">
        <f>HYPERLINK("https://pbs.twimg.com/profile_images/1610325557580898306/UZehEg0I_normal.jpg")</f>
        <v>https://pbs.twimg.com/profile_images/1610325557580898306/UZehEg0I_normal.jpg</v>
      </c>
      <c r="AW250" s="80" t="s">
        <v>16235</v>
      </c>
      <c r="AX250" s="80" t="s">
        <v>16235</v>
      </c>
      <c r="AY250" s="77"/>
      <c r="AZ250" s="80" t="s">
        <v>20380</v>
      </c>
      <c r="BA250" s="80" t="s">
        <v>20380</v>
      </c>
      <c r="BB250" s="80" t="s">
        <v>20380</v>
      </c>
      <c r="BC250" s="80" t="s">
        <v>16235</v>
      </c>
      <c r="BD250" s="77">
        <v>94388843</v>
      </c>
      <c r="BE250" s="77"/>
      <c r="BF250" s="77"/>
      <c r="BG250" s="77"/>
      <c r="BH250" s="77"/>
      <c r="BI250" s="77"/>
    </row>
    <row r="251" spans="1:61" x14ac:dyDescent="0.25">
      <c r="A251" s="62" t="s">
        <v>330</v>
      </c>
      <c r="B251" s="62" t="s">
        <v>330</v>
      </c>
      <c r="C251" s="63"/>
      <c r="D251" s="64"/>
      <c r="E251" s="65"/>
      <c r="F251" s="66"/>
      <c r="G251" s="63"/>
      <c r="H251" s="67"/>
      <c r="I251" s="68"/>
      <c r="J251" s="68"/>
      <c r="K251" s="32"/>
      <c r="L251" s="75">
        <v>251</v>
      </c>
      <c r="M251" s="75"/>
      <c r="N251" s="70"/>
      <c r="O251" s="77" t="s">
        <v>179</v>
      </c>
      <c r="P251" s="79">
        <v>45159.541678240741</v>
      </c>
      <c r="Q251" s="77" t="s">
        <v>2299</v>
      </c>
      <c r="R251" s="77">
        <v>0</v>
      </c>
      <c r="S251" s="77">
        <v>3</v>
      </c>
      <c r="T251" s="77">
        <v>0</v>
      </c>
      <c r="U251" s="77">
        <v>0</v>
      </c>
      <c r="V251" s="77">
        <v>49</v>
      </c>
      <c r="W251" s="80" t="s">
        <v>6074</v>
      </c>
      <c r="X251" s="83" t="str">
        <f>HYPERLINK("https://diariodocomercio.com.br/economia/analistas-elevam-previsao-para-inflacao-este-ano-a-490/")</f>
        <v>https://diariodocomercio.com.br/economia/analistas-elevam-previsao-para-inflacao-este-ano-a-490/</v>
      </c>
      <c r="Y251" s="77" t="s">
        <v>8611</v>
      </c>
      <c r="Z251" s="77"/>
      <c r="AA251" s="77"/>
      <c r="AB251" s="77"/>
      <c r="AC251" s="80" t="s">
        <v>10541</v>
      </c>
      <c r="AD251" s="77" t="s">
        <v>10617</v>
      </c>
      <c r="AE251" s="83" t="str">
        <f>HYPERLINK("https://twitter.com/diario_comercio/status/1693608896365994026")</f>
        <v>https://twitter.com/diario_comercio/status/1693608896365994026</v>
      </c>
      <c r="AF251" s="79">
        <v>45159.541678240741</v>
      </c>
      <c r="AG251" s="85">
        <v>45159</v>
      </c>
      <c r="AH251" s="80" t="s">
        <v>10853</v>
      </c>
      <c r="AI251" s="77" t="b">
        <v>0</v>
      </c>
      <c r="AJ251" s="77"/>
      <c r="AK251" s="77"/>
      <c r="AL251" s="77"/>
      <c r="AM251" s="77"/>
      <c r="AN251" s="77"/>
      <c r="AO251" s="77"/>
      <c r="AP251" s="77"/>
      <c r="AQ251" s="77"/>
      <c r="AR251" s="77"/>
      <c r="AS251" s="77"/>
      <c r="AT251" s="77"/>
      <c r="AU251" s="77"/>
      <c r="AV251" s="83" t="str">
        <f>HYPERLINK("https://pbs.twimg.com/profile_images/1610325557580898306/UZehEg0I_normal.jpg")</f>
        <v>https://pbs.twimg.com/profile_images/1610325557580898306/UZehEg0I_normal.jpg</v>
      </c>
      <c r="AW251" s="80" t="s">
        <v>16236</v>
      </c>
      <c r="AX251" s="80" t="s">
        <v>16236</v>
      </c>
      <c r="AY251" s="77"/>
      <c r="AZ251" s="80" t="s">
        <v>20380</v>
      </c>
      <c r="BA251" s="80" t="s">
        <v>20380</v>
      </c>
      <c r="BB251" s="80" t="s">
        <v>20380</v>
      </c>
      <c r="BC251" s="80" t="s">
        <v>16236</v>
      </c>
      <c r="BD251" s="77">
        <v>94388843</v>
      </c>
      <c r="BE251" s="77"/>
      <c r="BF251" s="77"/>
      <c r="BG251" s="77"/>
      <c r="BH251" s="77"/>
      <c r="BI251" s="77"/>
    </row>
    <row r="252" spans="1:61" x14ac:dyDescent="0.25">
      <c r="A252" s="62" t="s">
        <v>330</v>
      </c>
      <c r="B252" s="62" t="s">
        <v>330</v>
      </c>
      <c r="C252" s="63"/>
      <c r="D252" s="64"/>
      <c r="E252" s="65"/>
      <c r="F252" s="66"/>
      <c r="G252" s="63"/>
      <c r="H252" s="67"/>
      <c r="I252" s="68"/>
      <c r="J252" s="68"/>
      <c r="K252" s="32"/>
      <c r="L252" s="75">
        <v>252</v>
      </c>
      <c r="M252" s="75"/>
      <c r="N252" s="70"/>
      <c r="O252" s="77" t="s">
        <v>179</v>
      </c>
      <c r="P252" s="79">
        <v>45103.8125</v>
      </c>
      <c r="Q252" s="77" t="s">
        <v>2300</v>
      </c>
      <c r="R252" s="77">
        <v>0</v>
      </c>
      <c r="S252" s="77">
        <v>1</v>
      </c>
      <c r="T252" s="77">
        <v>0</v>
      </c>
      <c r="U252" s="77">
        <v>0</v>
      </c>
      <c r="V252" s="77">
        <v>54</v>
      </c>
      <c r="W252" s="80" t="s">
        <v>6075</v>
      </c>
      <c r="X252" s="83" t="str">
        <f>HYPERLINK("https://diariodocomercio.com.br/financas/economistas-voltam-a-reduzir-projecoes-de-inflacao-e-corte-da-selic-segue-em-agosto/")</f>
        <v>https://diariodocomercio.com.br/financas/economistas-voltam-a-reduzir-projecoes-de-inflacao-e-corte-da-selic-segue-em-agosto/</v>
      </c>
      <c r="Y252" s="77" t="s">
        <v>8611</v>
      </c>
      <c r="Z252" s="77"/>
      <c r="AA252" s="77"/>
      <c r="AB252" s="77"/>
      <c r="AC252" s="80" t="s">
        <v>10541</v>
      </c>
      <c r="AD252" s="77" t="s">
        <v>10617</v>
      </c>
      <c r="AE252" s="83" t="str">
        <f>HYPERLINK("https://twitter.com/diario_comercio/status/1673413319628058645")</f>
        <v>https://twitter.com/diario_comercio/status/1673413319628058645</v>
      </c>
      <c r="AF252" s="79">
        <v>45103.8125</v>
      </c>
      <c r="AG252" s="85">
        <v>45103</v>
      </c>
      <c r="AH252" s="80" t="s">
        <v>10854</v>
      </c>
      <c r="AI252" s="77" t="b">
        <v>0</v>
      </c>
      <c r="AJ252" s="77"/>
      <c r="AK252" s="77"/>
      <c r="AL252" s="77"/>
      <c r="AM252" s="77"/>
      <c r="AN252" s="77"/>
      <c r="AO252" s="77"/>
      <c r="AP252" s="77"/>
      <c r="AQ252" s="77"/>
      <c r="AR252" s="77"/>
      <c r="AS252" s="77"/>
      <c r="AT252" s="77"/>
      <c r="AU252" s="77"/>
      <c r="AV252" s="83" t="str">
        <f>HYPERLINK("https://pbs.twimg.com/profile_images/1610325557580898306/UZehEg0I_normal.jpg")</f>
        <v>https://pbs.twimg.com/profile_images/1610325557580898306/UZehEg0I_normal.jpg</v>
      </c>
      <c r="AW252" s="80" t="s">
        <v>16237</v>
      </c>
      <c r="AX252" s="80" t="s">
        <v>16237</v>
      </c>
      <c r="AY252" s="77"/>
      <c r="AZ252" s="80" t="s">
        <v>20380</v>
      </c>
      <c r="BA252" s="80" t="s">
        <v>20380</v>
      </c>
      <c r="BB252" s="80" t="s">
        <v>20380</v>
      </c>
      <c r="BC252" s="80" t="s">
        <v>16237</v>
      </c>
      <c r="BD252" s="77">
        <v>94388843</v>
      </c>
      <c r="BE252" s="77"/>
      <c r="BF252" s="77"/>
      <c r="BG252" s="77"/>
      <c r="BH252" s="77"/>
      <c r="BI252" s="77"/>
    </row>
    <row r="253" spans="1:61" x14ac:dyDescent="0.25">
      <c r="A253" s="62" t="s">
        <v>330</v>
      </c>
      <c r="B253" s="62" t="s">
        <v>330</v>
      </c>
      <c r="C253" s="63"/>
      <c r="D253" s="64"/>
      <c r="E253" s="65"/>
      <c r="F253" s="66"/>
      <c r="G253" s="63"/>
      <c r="H253" s="67"/>
      <c r="I253" s="68"/>
      <c r="J253" s="68"/>
      <c r="K253" s="32"/>
      <c r="L253" s="75">
        <v>253</v>
      </c>
      <c r="M253" s="75"/>
      <c r="N253" s="70"/>
      <c r="O253" s="77" t="s">
        <v>179</v>
      </c>
      <c r="P253" s="79">
        <v>45054.604166666664</v>
      </c>
      <c r="Q253" s="77" t="s">
        <v>2301</v>
      </c>
      <c r="R253" s="77">
        <v>1</v>
      </c>
      <c r="S253" s="77">
        <v>0</v>
      </c>
      <c r="T253" s="77">
        <v>0</v>
      </c>
      <c r="U253" s="77">
        <v>0</v>
      </c>
      <c r="V253" s="77">
        <v>30</v>
      </c>
      <c r="W253" s="80" t="s">
        <v>6076</v>
      </c>
      <c r="X253" s="83" t="str">
        <f>HYPERLINK("https://diariodocomercio.com.br/economia/inflacao-expectativas-reduzidas/")</f>
        <v>https://diariodocomercio.com.br/economia/inflacao-expectativas-reduzidas/</v>
      </c>
      <c r="Y253" s="77" t="s">
        <v>8611</v>
      </c>
      <c r="Z253" s="77"/>
      <c r="AA253" s="77"/>
      <c r="AB253" s="77"/>
      <c r="AC253" s="80" t="s">
        <v>10555</v>
      </c>
      <c r="AD253" s="77" t="s">
        <v>10617</v>
      </c>
      <c r="AE253" s="83" t="str">
        <f>HYPERLINK("https://twitter.com/diario_comercio/status/1655580817308127232")</f>
        <v>https://twitter.com/diario_comercio/status/1655580817308127232</v>
      </c>
      <c r="AF253" s="79">
        <v>45054.604166666664</v>
      </c>
      <c r="AG253" s="85">
        <v>45054</v>
      </c>
      <c r="AH253" s="80" t="s">
        <v>10855</v>
      </c>
      <c r="AI253" s="77" t="b">
        <v>0</v>
      </c>
      <c r="AJ253" s="77"/>
      <c r="AK253" s="77"/>
      <c r="AL253" s="77"/>
      <c r="AM253" s="77"/>
      <c r="AN253" s="77"/>
      <c r="AO253" s="77"/>
      <c r="AP253" s="77"/>
      <c r="AQ253" s="77"/>
      <c r="AR253" s="77"/>
      <c r="AS253" s="77"/>
      <c r="AT253" s="77"/>
      <c r="AU253" s="77"/>
      <c r="AV253" s="83" t="str">
        <f>HYPERLINK("https://pbs.twimg.com/profile_images/1610325557580898306/UZehEg0I_normal.jpg")</f>
        <v>https://pbs.twimg.com/profile_images/1610325557580898306/UZehEg0I_normal.jpg</v>
      </c>
      <c r="AW253" s="80" t="s">
        <v>16238</v>
      </c>
      <c r="AX253" s="80" t="s">
        <v>16238</v>
      </c>
      <c r="AY253" s="77"/>
      <c r="AZ253" s="80" t="s">
        <v>20380</v>
      </c>
      <c r="BA253" s="80" t="s">
        <v>20380</v>
      </c>
      <c r="BB253" s="80" t="s">
        <v>20380</v>
      </c>
      <c r="BC253" s="80" t="s">
        <v>16238</v>
      </c>
      <c r="BD253" s="77">
        <v>94388843</v>
      </c>
      <c r="BE253" s="77"/>
      <c r="BF253" s="77"/>
      <c r="BG253" s="77"/>
      <c r="BH253" s="77"/>
      <c r="BI253" s="77"/>
    </row>
    <row r="254" spans="1:61" x14ac:dyDescent="0.25">
      <c r="A254" s="62" t="s">
        <v>330</v>
      </c>
      <c r="B254" s="62" t="s">
        <v>330</v>
      </c>
      <c r="C254" s="63"/>
      <c r="D254" s="64"/>
      <c r="E254" s="65"/>
      <c r="F254" s="66"/>
      <c r="G254" s="63"/>
      <c r="H254" s="67"/>
      <c r="I254" s="68"/>
      <c r="J254" s="68"/>
      <c r="K254" s="32"/>
      <c r="L254" s="75">
        <v>254</v>
      </c>
      <c r="M254" s="75"/>
      <c r="N254" s="70"/>
      <c r="O254" s="77" t="s">
        <v>179</v>
      </c>
      <c r="P254" s="79">
        <v>45161.791666666664</v>
      </c>
      <c r="Q254" s="77" t="s">
        <v>2302</v>
      </c>
      <c r="R254" s="77">
        <v>2</v>
      </c>
      <c r="S254" s="77">
        <v>2</v>
      </c>
      <c r="T254" s="77">
        <v>0</v>
      </c>
      <c r="U254" s="77">
        <v>0</v>
      </c>
      <c r="V254" s="77">
        <v>67</v>
      </c>
      <c r="W254" s="80" t="s">
        <v>6077</v>
      </c>
      <c r="X254" s="83" t="str">
        <f>HYPERLINK("https://diariodocomercio.com.br/financas/real-digital-chega-para-facilitar-relacao-com-sistema-financeiro/")</f>
        <v>https://diariodocomercio.com.br/financas/real-digital-chega-para-facilitar-relacao-com-sistema-financeiro/</v>
      </c>
      <c r="Y254" s="77" t="s">
        <v>8611</v>
      </c>
      <c r="Z254" s="77"/>
      <c r="AA254" s="77"/>
      <c r="AB254" s="77"/>
      <c r="AC254" s="80" t="s">
        <v>10541</v>
      </c>
      <c r="AD254" s="77" t="s">
        <v>10617</v>
      </c>
      <c r="AE254" s="83" t="str">
        <f>HYPERLINK("https://twitter.com/diario_comercio/status/1694424265443987954")</f>
        <v>https://twitter.com/diario_comercio/status/1694424265443987954</v>
      </c>
      <c r="AF254" s="79">
        <v>45161.791666666664</v>
      </c>
      <c r="AG254" s="85">
        <v>45161</v>
      </c>
      <c r="AH254" s="80" t="s">
        <v>10856</v>
      </c>
      <c r="AI254" s="77" t="b">
        <v>0</v>
      </c>
      <c r="AJ254" s="77"/>
      <c r="AK254" s="77"/>
      <c r="AL254" s="77"/>
      <c r="AM254" s="77"/>
      <c r="AN254" s="77"/>
      <c r="AO254" s="77"/>
      <c r="AP254" s="77"/>
      <c r="AQ254" s="77"/>
      <c r="AR254" s="77"/>
      <c r="AS254" s="77"/>
      <c r="AT254" s="77"/>
      <c r="AU254" s="77"/>
      <c r="AV254" s="83" t="str">
        <f>HYPERLINK("https://pbs.twimg.com/profile_images/1610325557580898306/UZehEg0I_normal.jpg")</f>
        <v>https://pbs.twimg.com/profile_images/1610325557580898306/UZehEg0I_normal.jpg</v>
      </c>
      <c r="AW254" s="80" t="s">
        <v>16239</v>
      </c>
      <c r="AX254" s="80" t="s">
        <v>16239</v>
      </c>
      <c r="AY254" s="77"/>
      <c r="AZ254" s="80" t="s">
        <v>20380</v>
      </c>
      <c r="BA254" s="80" t="s">
        <v>20380</v>
      </c>
      <c r="BB254" s="80" t="s">
        <v>20380</v>
      </c>
      <c r="BC254" s="80" t="s">
        <v>16239</v>
      </c>
      <c r="BD254" s="77">
        <v>94388843</v>
      </c>
      <c r="BE254" s="77"/>
      <c r="BF254" s="77"/>
      <c r="BG254" s="77"/>
      <c r="BH254" s="77"/>
      <c r="BI254" s="77"/>
    </row>
    <row r="255" spans="1:61" x14ac:dyDescent="0.25">
      <c r="A255" s="62" t="s">
        <v>330</v>
      </c>
      <c r="B255" s="62" t="s">
        <v>330</v>
      </c>
      <c r="C255" s="63"/>
      <c r="D255" s="64"/>
      <c r="E255" s="65"/>
      <c r="F255" s="66"/>
      <c r="G255" s="63"/>
      <c r="H255" s="67"/>
      <c r="I255" s="68"/>
      <c r="J255" s="68"/>
      <c r="K255" s="32"/>
      <c r="L255" s="75">
        <v>255</v>
      </c>
      <c r="M255" s="75"/>
      <c r="N255" s="70"/>
      <c r="O255" s="77" t="s">
        <v>179</v>
      </c>
      <c r="P255" s="79">
        <v>45056.645833333336</v>
      </c>
      <c r="Q255" s="77" t="s">
        <v>2303</v>
      </c>
      <c r="R255" s="77">
        <v>0</v>
      </c>
      <c r="S255" s="77">
        <v>0</v>
      </c>
      <c r="T255" s="77">
        <v>0</v>
      </c>
      <c r="U255" s="77">
        <v>0</v>
      </c>
      <c r="V255" s="77">
        <v>66</v>
      </c>
      <c r="W255" s="80" t="s">
        <v>6078</v>
      </c>
      <c r="X255" s="83" t="str">
        <f>HYPERLINK("https://diariodocomercio.com.br/economia/americanas-impacto-sistema-bancario/")</f>
        <v>https://diariodocomercio.com.br/economia/americanas-impacto-sistema-bancario/</v>
      </c>
      <c r="Y255" s="77" t="s">
        <v>8611</v>
      </c>
      <c r="Z255" s="77"/>
      <c r="AA255" s="77"/>
      <c r="AB255" s="77"/>
      <c r="AC255" s="80" t="s">
        <v>10555</v>
      </c>
      <c r="AD255" s="77" t="s">
        <v>10617</v>
      </c>
      <c r="AE255" s="83" t="str">
        <f>HYPERLINK("https://twitter.com/diario_comercio/status/1656320692177235968")</f>
        <v>https://twitter.com/diario_comercio/status/1656320692177235968</v>
      </c>
      <c r="AF255" s="79">
        <v>45056.645833333336</v>
      </c>
      <c r="AG255" s="85">
        <v>45056</v>
      </c>
      <c r="AH255" s="80" t="s">
        <v>10857</v>
      </c>
      <c r="AI255" s="77" t="b">
        <v>0</v>
      </c>
      <c r="AJ255" s="77"/>
      <c r="AK255" s="77"/>
      <c r="AL255" s="77"/>
      <c r="AM255" s="77"/>
      <c r="AN255" s="77"/>
      <c r="AO255" s="77"/>
      <c r="AP255" s="77"/>
      <c r="AQ255" s="77"/>
      <c r="AR255" s="77"/>
      <c r="AS255" s="77"/>
      <c r="AT255" s="77"/>
      <c r="AU255" s="77"/>
      <c r="AV255" s="83" t="str">
        <f>HYPERLINK("https://pbs.twimg.com/profile_images/1610325557580898306/UZehEg0I_normal.jpg")</f>
        <v>https://pbs.twimg.com/profile_images/1610325557580898306/UZehEg0I_normal.jpg</v>
      </c>
      <c r="AW255" s="80" t="s">
        <v>16240</v>
      </c>
      <c r="AX255" s="80" t="s">
        <v>16240</v>
      </c>
      <c r="AY255" s="77"/>
      <c r="AZ255" s="80" t="s">
        <v>20380</v>
      </c>
      <c r="BA255" s="80" t="s">
        <v>20380</v>
      </c>
      <c r="BB255" s="80" t="s">
        <v>20380</v>
      </c>
      <c r="BC255" s="80" t="s">
        <v>16240</v>
      </c>
      <c r="BD255" s="77">
        <v>94388843</v>
      </c>
      <c r="BE255" s="77"/>
      <c r="BF255" s="77"/>
      <c r="BG255" s="77"/>
      <c r="BH255" s="77"/>
      <c r="BI255" s="77"/>
    </row>
    <row r="256" spans="1:61" x14ac:dyDescent="0.25">
      <c r="A256" s="62" t="s">
        <v>330</v>
      </c>
      <c r="B256" s="62" t="s">
        <v>330</v>
      </c>
      <c r="C256" s="63"/>
      <c r="D256" s="64"/>
      <c r="E256" s="65"/>
      <c r="F256" s="66"/>
      <c r="G256" s="63"/>
      <c r="H256" s="67"/>
      <c r="I256" s="68"/>
      <c r="J256" s="68"/>
      <c r="K256" s="32"/>
      <c r="L256" s="75">
        <v>256</v>
      </c>
      <c r="M256" s="75"/>
      <c r="N256" s="70"/>
      <c r="O256" s="77" t="s">
        <v>179</v>
      </c>
      <c r="P256" s="79">
        <v>45180.562511574077</v>
      </c>
      <c r="Q256" s="77" t="s">
        <v>2304</v>
      </c>
      <c r="R256" s="77">
        <v>0</v>
      </c>
      <c r="S256" s="77">
        <v>0</v>
      </c>
      <c r="T256" s="77">
        <v>0</v>
      </c>
      <c r="U256" s="77">
        <v>0</v>
      </c>
      <c r="V256" s="77">
        <v>35</v>
      </c>
      <c r="W256" s="80" t="s">
        <v>6079</v>
      </c>
      <c r="X256" s="83" t="str">
        <f>HYPERLINK("https://diariodocomercio.com.br/economia/mercado-volta-a-melhorar-perspectiva-para-pib-e-ve-crescimento-de-264-este-ano/")</f>
        <v>https://diariodocomercio.com.br/economia/mercado-volta-a-melhorar-perspectiva-para-pib-e-ve-crescimento-de-264-este-ano/</v>
      </c>
      <c r="Y256" s="77" t="s">
        <v>8611</v>
      </c>
      <c r="Z256" s="77"/>
      <c r="AA256" s="77"/>
      <c r="AB256" s="77"/>
      <c r="AC256" s="80" t="s">
        <v>10541</v>
      </c>
      <c r="AD256" s="77" t="s">
        <v>10617</v>
      </c>
      <c r="AE256" s="83" t="str">
        <f>HYPERLINK("https://twitter.com/diario_comercio/status/1701226590540038291")</f>
        <v>https://twitter.com/diario_comercio/status/1701226590540038291</v>
      </c>
      <c r="AF256" s="79">
        <v>45180.562511574077</v>
      </c>
      <c r="AG256" s="85">
        <v>45180</v>
      </c>
      <c r="AH256" s="80" t="s">
        <v>10858</v>
      </c>
      <c r="AI256" s="77" t="b">
        <v>0</v>
      </c>
      <c r="AJ256" s="77"/>
      <c r="AK256" s="77"/>
      <c r="AL256" s="77"/>
      <c r="AM256" s="77"/>
      <c r="AN256" s="77"/>
      <c r="AO256" s="77"/>
      <c r="AP256" s="77"/>
      <c r="AQ256" s="77"/>
      <c r="AR256" s="77"/>
      <c r="AS256" s="77"/>
      <c r="AT256" s="77"/>
      <c r="AU256" s="77"/>
      <c r="AV256" s="83" t="str">
        <f>HYPERLINK("https://pbs.twimg.com/profile_images/1610325557580898306/UZehEg0I_normal.jpg")</f>
        <v>https://pbs.twimg.com/profile_images/1610325557580898306/UZehEg0I_normal.jpg</v>
      </c>
      <c r="AW256" s="80" t="s">
        <v>16241</v>
      </c>
      <c r="AX256" s="80" t="s">
        <v>16241</v>
      </c>
      <c r="AY256" s="77"/>
      <c r="AZ256" s="80" t="s">
        <v>20380</v>
      </c>
      <c r="BA256" s="80" t="s">
        <v>20380</v>
      </c>
      <c r="BB256" s="80" t="s">
        <v>20380</v>
      </c>
      <c r="BC256" s="80" t="s">
        <v>16241</v>
      </c>
      <c r="BD256" s="77">
        <v>94388843</v>
      </c>
      <c r="BE256" s="77"/>
      <c r="BF256" s="77"/>
      <c r="BG256" s="77"/>
      <c r="BH256" s="77"/>
      <c r="BI256" s="77"/>
    </row>
    <row r="257" spans="1:61" x14ac:dyDescent="0.25">
      <c r="A257" s="62" t="s">
        <v>330</v>
      </c>
      <c r="B257" s="62" t="s">
        <v>330</v>
      </c>
      <c r="C257" s="63"/>
      <c r="D257" s="64"/>
      <c r="E257" s="65"/>
      <c r="F257" s="66"/>
      <c r="G257" s="63"/>
      <c r="H257" s="67"/>
      <c r="I257" s="68"/>
      <c r="J257" s="68"/>
      <c r="K257" s="32"/>
      <c r="L257" s="75">
        <v>257</v>
      </c>
      <c r="M257" s="75"/>
      <c r="N257" s="70"/>
      <c r="O257" s="77" t="s">
        <v>179</v>
      </c>
      <c r="P257" s="79">
        <v>45173.548611111109</v>
      </c>
      <c r="Q257" s="77" t="s">
        <v>2305</v>
      </c>
      <c r="R257" s="77">
        <v>1</v>
      </c>
      <c r="S257" s="77">
        <v>2</v>
      </c>
      <c r="T257" s="77">
        <v>0</v>
      </c>
      <c r="U257" s="77">
        <v>0</v>
      </c>
      <c r="V257" s="77">
        <v>71</v>
      </c>
      <c r="W257" s="80" t="s">
        <v>6080</v>
      </c>
      <c r="X257" s="83" t="str">
        <f>HYPERLINK("https://diariodocomercio.com.br/economia/economistas-aumentam-previsao-do-pib-para-2023-em-025-ponto-percentual/")</f>
        <v>https://diariodocomercio.com.br/economia/economistas-aumentam-previsao-do-pib-para-2023-em-025-ponto-percentual/</v>
      </c>
      <c r="Y257" s="77" t="s">
        <v>8611</v>
      </c>
      <c r="Z257" s="77"/>
      <c r="AA257" s="77"/>
      <c r="AB257" s="77"/>
      <c r="AC257" s="80" t="s">
        <v>10541</v>
      </c>
      <c r="AD257" s="77" t="s">
        <v>10617</v>
      </c>
      <c r="AE257" s="83" t="str">
        <f>HYPERLINK("https://twitter.com/diario_comercio/status/1698684838528831633")</f>
        <v>https://twitter.com/diario_comercio/status/1698684838528831633</v>
      </c>
      <c r="AF257" s="79">
        <v>45173.548611111109</v>
      </c>
      <c r="AG257" s="85">
        <v>45173</v>
      </c>
      <c r="AH257" s="80" t="s">
        <v>10859</v>
      </c>
      <c r="AI257" s="77" t="b">
        <v>0</v>
      </c>
      <c r="AJ257" s="77"/>
      <c r="AK257" s="77"/>
      <c r="AL257" s="77"/>
      <c r="AM257" s="77"/>
      <c r="AN257" s="77"/>
      <c r="AO257" s="77"/>
      <c r="AP257" s="77"/>
      <c r="AQ257" s="77"/>
      <c r="AR257" s="77"/>
      <c r="AS257" s="77"/>
      <c r="AT257" s="77"/>
      <c r="AU257" s="77"/>
      <c r="AV257" s="83" t="str">
        <f>HYPERLINK("https://pbs.twimg.com/profile_images/1610325557580898306/UZehEg0I_normal.jpg")</f>
        <v>https://pbs.twimg.com/profile_images/1610325557580898306/UZehEg0I_normal.jpg</v>
      </c>
      <c r="AW257" s="80" t="s">
        <v>16242</v>
      </c>
      <c r="AX257" s="80" t="s">
        <v>16242</v>
      </c>
      <c r="AY257" s="77"/>
      <c r="AZ257" s="80" t="s">
        <v>20380</v>
      </c>
      <c r="BA257" s="80" t="s">
        <v>20380</v>
      </c>
      <c r="BB257" s="80" t="s">
        <v>20380</v>
      </c>
      <c r="BC257" s="80" t="s">
        <v>16242</v>
      </c>
      <c r="BD257" s="77">
        <v>94388843</v>
      </c>
      <c r="BE257" s="77"/>
      <c r="BF257" s="77"/>
      <c r="BG257" s="77"/>
      <c r="BH257" s="77"/>
      <c r="BI257" s="77"/>
    </row>
    <row r="258" spans="1:61" x14ac:dyDescent="0.25">
      <c r="A258" s="62" t="s">
        <v>330</v>
      </c>
      <c r="B258" s="62" t="s">
        <v>330</v>
      </c>
      <c r="C258" s="63"/>
      <c r="D258" s="64"/>
      <c r="E258" s="65"/>
      <c r="F258" s="66"/>
      <c r="G258" s="63"/>
      <c r="H258" s="67"/>
      <c r="I258" s="68"/>
      <c r="J258" s="68"/>
      <c r="K258" s="32"/>
      <c r="L258" s="75">
        <v>258</v>
      </c>
      <c r="M258" s="75"/>
      <c r="N258" s="70"/>
      <c r="O258" s="77" t="s">
        <v>179</v>
      </c>
      <c r="P258" s="79">
        <v>45140.916956018518</v>
      </c>
      <c r="Q258" s="77" t="s">
        <v>2306</v>
      </c>
      <c r="R258" s="77">
        <v>1</v>
      </c>
      <c r="S258" s="77">
        <v>1</v>
      </c>
      <c r="T258" s="77">
        <v>0</v>
      </c>
      <c r="U258" s="77">
        <v>0</v>
      </c>
      <c r="V258" s="77">
        <v>98</v>
      </c>
      <c r="W258" s="80" t="s">
        <v>6081</v>
      </c>
      <c r="X258" s="83" t="str">
        <f>HYPERLINK("https://diariodocomercio.com.br/economia/copom-reduz-juros-basicos-da-economia-para-1325-ao-ano/")</f>
        <v>https://diariodocomercio.com.br/economia/copom-reduz-juros-basicos-da-economia-para-1325-ao-ano/</v>
      </c>
      <c r="Y258" s="77" t="s">
        <v>8611</v>
      </c>
      <c r="Z258" s="77"/>
      <c r="AA258" s="77"/>
      <c r="AB258" s="77"/>
      <c r="AC258" s="80" t="s">
        <v>10541</v>
      </c>
      <c r="AD258" s="77" t="s">
        <v>10617</v>
      </c>
      <c r="AE258" s="83" t="str">
        <f>HYPERLINK("https://twitter.com/diario_comercio/status/1686859525939134465")</f>
        <v>https://twitter.com/diario_comercio/status/1686859525939134465</v>
      </c>
      <c r="AF258" s="79">
        <v>45140.916956018518</v>
      </c>
      <c r="AG258" s="85">
        <v>45140</v>
      </c>
      <c r="AH258" s="80" t="s">
        <v>10860</v>
      </c>
      <c r="AI258" s="77" t="b">
        <v>0</v>
      </c>
      <c r="AJ258" s="77"/>
      <c r="AK258" s="77"/>
      <c r="AL258" s="77"/>
      <c r="AM258" s="77"/>
      <c r="AN258" s="77"/>
      <c r="AO258" s="77"/>
      <c r="AP258" s="77"/>
      <c r="AQ258" s="77"/>
      <c r="AR258" s="77"/>
      <c r="AS258" s="77"/>
      <c r="AT258" s="77"/>
      <c r="AU258" s="77"/>
      <c r="AV258" s="83" t="str">
        <f>HYPERLINK("https://pbs.twimg.com/profile_images/1610325557580898306/UZehEg0I_normal.jpg")</f>
        <v>https://pbs.twimg.com/profile_images/1610325557580898306/UZehEg0I_normal.jpg</v>
      </c>
      <c r="AW258" s="80" t="s">
        <v>16243</v>
      </c>
      <c r="AX258" s="80" t="s">
        <v>16243</v>
      </c>
      <c r="AY258" s="77"/>
      <c r="AZ258" s="80" t="s">
        <v>20380</v>
      </c>
      <c r="BA258" s="80" t="s">
        <v>20380</v>
      </c>
      <c r="BB258" s="80" t="s">
        <v>20380</v>
      </c>
      <c r="BC258" s="80" t="s">
        <v>16243</v>
      </c>
      <c r="BD258" s="77">
        <v>94388843</v>
      </c>
      <c r="BE258" s="77"/>
      <c r="BF258" s="77"/>
      <c r="BG258" s="77"/>
      <c r="BH258" s="77"/>
      <c r="BI258" s="77"/>
    </row>
    <row r="259" spans="1:61" x14ac:dyDescent="0.25">
      <c r="A259" s="62" t="s">
        <v>330</v>
      </c>
      <c r="B259" s="62" t="s">
        <v>330</v>
      </c>
      <c r="C259" s="63"/>
      <c r="D259" s="64"/>
      <c r="E259" s="65"/>
      <c r="F259" s="66"/>
      <c r="G259" s="63"/>
      <c r="H259" s="67"/>
      <c r="I259" s="68"/>
      <c r="J259" s="68"/>
      <c r="K259" s="32"/>
      <c r="L259" s="75">
        <v>259</v>
      </c>
      <c r="M259" s="75"/>
      <c r="N259" s="70"/>
      <c r="O259" s="77" t="s">
        <v>179</v>
      </c>
      <c r="P259" s="79">
        <v>45099.541678240741</v>
      </c>
      <c r="Q259" s="77" t="s">
        <v>2307</v>
      </c>
      <c r="R259" s="77">
        <v>0</v>
      </c>
      <c r="S259" s="77">
        <v>0</v>
      </c>
      <c r="T259" s="77">
        <v>0</v>
      </c>
      <c r="U259" s="77">
        <v>0</v>
      </c>
      <c r="V259" s="77">
        <v>26</v>
      </c>
      <c r="W259" s="80" t="s">
        <v>6082</v>
      </c>
      <c r="X259" s="83" t="str">
        <f>HYPERLINK("https://diariodocomercio.com.br/politica/na-italia-lula-diz-que-manutencao-da-atual-taxa-de-juros-e-irracional/")</f>
        <v>https://diariodocomercio.com.br/politica/na-italia-lula-diz-que-manutencao-da-atual-taxa-de-juros-e-irracional/</v>
      </c>
      <c r="Y259" s="77" t="s">
        <v>8611</v>
      </c>
      <c r="Z259" s="77"/>
      <c r="AA259" s="77"/>
      <c r="AB259" s="77"/>
      <c r="AC259" s="80" t="s">
        <v>10555</v>
      </c>
      <c r="AD259" s="77" t="s">
        <v>10617</v>
      </c>
      <c r="AE259" s="83" t="str">
        <f>HYPERLINK("https://twitter.com/diario_comercio/status/1671865624878800898")</f>
        <v>https://twitter.com/diario_comercio/status/1671865624878800898</v>
      </c>
      <c r="AF259" s="79">
        <v>45099.541678240741</v>
      </c>
      <c r="AG259" s="85">
        <v>45099</v>
      </c>
      <c r="AH259" s="80" t="s">
        <v>10853</v>
      </c>
      <c r="AI259" s="77" t="b">
        <v>0</v>
      </c>
      <c r="AJ259" s="77"/>
      <c r="AK259" s="77"/>
      <c r="AL259" s="77"/>
      <c r="AM259" s="77"/>
      <c r="AN259" s="77"/>
      <c r="AO259" s="77"/>
      <c r="AP259" s="77"/>
      <c r="AQ259" s="77"/>
      <c r="AR259" s="77"/>
      <c r="AS259" s="77"/>
      <c r="AT259" s="77"/>
      <c r="AU259" s="77"/>
      <c r="AV259" s="83" t="str">
        <f>HYPERLINK("https://pbs.twimg.com/profile_images/1610325557580898306/UZehEg0I_normal.jpg")</f>
        <v>https://pbs.twimg.com/profile_images/1610325557580898306/UZehEg0I_normal.jpg</v>
      </c>
      <c r="AW259" s="80" t="s">
        <v>16244</v>
      </c>
      <c r="AX259" s="80" t="s">
        <v>16244</v>
      </c>
      <c r="AY259" s="77"/>
      <c r="AZ259" s="80" t="s">
        <v>20380</v>
      </c>
      <c r="BA259" s="80" t="s">
        <v>20380</v>
      </c>
      <c r="BB259" s="80" t="s">
        <v>20380</v>
      </c>
      <c r="BC259" s="80" t="s">
        <v>16244</v>
      </c>
      <c r="BD259" s="77">
        <v>94388843</v>
      </c>
      <c r="BE259" s="77"/>
      <c r="BF259" s="77"/>
      <c r="BG259" s="77"/>
      <c r="BH259" s="77"/>
      <c r="BI259" s="77"/>
    </row>
    <row r="260" spans="1:61" x14ac:dyDescent="0.25">
      <c r="A260" s="62" t="s">
        <v>330</v>
      </c>
      <c r="B260" s="62" t="s">
        <v>330</v>
      </c>
      <c r="C260" s="63"/>
      <c r="D260" s="64"/>
      <c r="E260" s="65"/>
      <c r="F260" s="66"/>
      <c r="G260" s="63"/>
      <c r="H260" s="67"/>
      <c r="I260" s="68"/>
      <c r="J260" s="68"/>
      <c r="K260" s="32"/>
      <c r="L260" s="75">
        <v>260</v>
      </c>
      <c r="M260" s="75"/>
      <c r="N260" s="70"/>
      <c r="O260" s="77" t="s">
        <v>179</v>
      </c>
      <c r="P260" s="79">
        <v>45197.604166666664</v>
      </c>
      <c r="Q260" s="77" t="s">
        <v>2308</v>
      </c>
      <c r="R260" s="77">
        <v>0</v>
      </c>
      <c r="S260" s="77">
        <v>0</v>
      </c>
      <c r="T260" s="77">
        <v>0</v>
      </c>
      <c r="U260" s="77">
        <v>0</v>
      </c>
      <c r="V260" s="77">
        <v>34</v>
      </c>
      <c r="W260" s="80" t="s">
        <v>6083</v>
      </c>
      <c r="X260" s="83" t="str">
        <f>HYPERLINK("https://diariodocomercio.com.br/opiniao/coluna/economia-para-todos/reservas-internacionais-um-seguro-contra-turbulencias-externas/")</f>
        <v>https://diariodocomercio.com.br/opiniao/coluna/economia-para-todos/reservas-internacionais-um-seguro-contra-turbulencias-externas/</v>
      </c>
      <c r="Y260" s="77" t="s">
        <v>8611</v>
      </c>
      <c r="Z260" s="77"/>
      <c r="AA260" s="77"/>
      <c r="AB260" s="77"/>
      <c r="AC260" s="80" t="s">
        <v>10541</v>
      </c>
      <c r="AD260" s="77" t="s">
        <v>10617</v>
      </c>
      <c r="AE260" s="83" t="str">
        <f>HYPERLINK("https://twitter.com/diario_comercio/status/1707402281493344658")</f>
        <v>https://twitter.com/diario_comercio/status/1707402281493344658</v>
      </c>
      <c r="AF260" s="79">
        <v>45197.604166666664</v>
      </c>
      <c r="AG260" s="85">
        <v>45197</v>
      </c>
      <c r="AH260" s="80" t="s">
        <v>10855</v>
      </c>
      <c r="AI260" s="77" t="b">
        <v>0</v>
      </c>
      <c r="AJ260" s="77"/>
      <c r="AK260" s="77"/>
      <c r="AL260" s="77"/>
      <c r="AM260" s="77"/>
      <c r="AN260" s="77"/>
      <c r="AO260" s="77"/>
      <c r="AP260" s="77"/>
      <c r="AQ260" s="77"/>
      <c r="AR260" s="77"/>
      <c r="AS260" s="77"/>
      <c r="AT260" s="77"/>
      <c r="AU260" s="77"/>
      <c r="AV260" s="83" t="str">
        <f>HYPERLINK("https://pbs.twimg.com/profile_images/1610325557580898306/UZehEg0I_normal.jpg")</f>
        <v>https://pbs.twimg.com/profile_images/1610325557580898306/UZehEg0I_normal.jpg</v>
      </c>
      <c r="AW260" s="80" t="s">
        <v>16245</v>
      </c>
      <c r="AX260" s="80" t="s">
        <v>16245</v>
      </c>
      <c r="AY260" s="77"/>
      <c r="AZ260" s="80" t="s">
        <v>20380</v>
      </c>
      <c r="BA260" s="80" t="s">
        <v>20380</v>
      </c>
      <c r="BB260" s="80" t="s">
        <v>20380</v>
      </c>
      <c r="BC260" s="80" t="s">
        <v>16245</v>
      </c>
      <c r="BD260" s="77">
        <v>94388843</v>
      </c>
      <c r="BE260" s="77"/>
      <c r="BF260" s="77"/>
      <c r="BG260" s="77"/>
      <c r="BH260" s="77"/>
      <c r="BI260" s="77"/>
    </row>
    <row r="261" spans="1:61" x14ac:dyDescent="0.25">
      <c r="A261" s="62" t="s">
        <v>330</v>
      </c>
      <c r="B261" s="62" t="s">
        <v>330</v>
      </c>
      <c r="C261" s="63"/>
      <c r="D261" s="64"/>
      <c r="E261" s="65"/>
      <c r="F261" s="66"/>
      <c r="G261" s="63"/>
      <c r="H261" s="67"/>
      <c r="I261" s="68"/>
      <c r="J261" s="68"/>
      <c r="K261" s="32"/>
      <c r="L261" s="75">
        <v>261</v>
      </c>
      <c r="M261" s="75"/>
      <c r="N261" s="70"/>
      <c r="O261" s="77" t="s">
        <v>179</v>
      </c>
      <c r="P261" s="79">
        <v>45187.505648148152</v>
      </c>
      <c r="Q261" s="77" t="s">
        <v>2309</v>
      </c>
      <c r="R261" s="77">
        <v>0</v>
      </c>
      <c r="S261" s="77">
        <v>0</v>
      </c>
      <c r="T261" s="77">
        <v>0</v>
      </c>
      <c r="U261" s="77">
        <v>0</v>
      </c>
      <c r="V261" s="77">
        <v>41</v>
      </c>
      <c r="W261" s="80" t="s">
        <v>6084</v>
      </c>
      <c r="X261" s="83" t="str">
        <f>HYPERLINK("https://diariodocomercio.com.br/economia/mercado-melhora-projecoes-para-inflacao-e-crescimento-mostra-focus/")</f>
        <v>https://diariodocomercio.com.br/economia/mercado-melhora-projecoes-para-inflacao-e-crescimento-mostra-focus/</v>
      </c>
      <c r="Y261" s="77" t="s">
        <v>8611</v>
      </c>
      <c r="Z261" s="77"/>
      <c r="AA261" s="77"/>
      <c r="AB261" s="77"/>
      <c r="AC261" s="80" t="s">
        <v>10541</v>
      </c>
      <c r="AD261" s="77" t="s">
        <v>10617</v>
      </c>
      <c r="AE261" s="83" t="str">
        <f>HYPERLINK("https://twitter.com/diario_comercio/status/1703742700774621354")</f>
        <v>https://twitter.com/diario_comercio/status/1703742700774621354</v>
      </c>
      <c r="AF261" s="79">
        <v>45187.505648148152</v>
      </c>
      <c r="AG261" s="85">
        <v>45187</v>
      </c>
      <c r="AH261" s="80" t="s">
        <v>10861</v>
      </c>
      <c r="AI261" s="77" t="b">
        <v>0</v>
      </c>
      <c r="AJ261" s="77"/>
      <c r="AK261" s="77"/>
      <c r="AL261" s="77"/>
      <c r="AM261" s="77"/>
      <c r="AN261" s="77"/>
      <c r="AO261" s="77"/>
      <c r="AP261" s="77"/>
      <c r="AQ261" s="77"/>
      <c r="AR261" s="77"/>
      <c r="AS261" s="77"/>
      <c r="AT261" s="77"/>
      <c r="AU261" s="77"/>
      <c r="AV261" s="83" t="str">
        <f>HYPERLINK("https://pbs.twimg.com/profile_images/1610325557580898306/UZehEg0I_normal.jpg")</f>
        <v>https://pbs.twimg.com/profile_images/1610325557580898306/UZehEg0I_normal.jpg</v>
      </c>
      <c r="AW261" s="80" t="s">
        <v>16246</v>
      </c>
      <c r="AX261" s="80" t="s">
        <v>16246</v>
      </c>
      <c r="AY261" s="77"/>
      <c r="AZ261" s="80" t="s">
        <v>20380</v>
      </c>
      <c r="BA261" s="80" t="s">
        <v>20380</v>
      </c>
      <c r="BB261" s="80" t="s">
        <v>20380</v>
      </c>
      <c r="BC261" s="80" t="s">
        <v>16246</v>
      </c>
      <c r="BD261" s="77">
        <v>94388843</v>
      </c>
      <c r="BE261" s="77"/>
      <c r="BF261" s="77"/>
      <c r="BG261" s="77"/>
      <c r="BH261" s="77"/>
      <c r="BI261" s="77"/>
    </row>
    <row r="262" spans="1:61" x14ac:dyDescent="0.25">
      <c r="A262" s="62" t="s">
        <v>330</v>
      </c>
      <c r="B262" s="62" t="s">
        <v>330</v>
      </c>
      <c r="C262" s="63"/>
      <c r="D262" s="64"/>
      <c r="E262" s="65"/>
      <c r="F262" s="66"/>
      <c r="G262" s="63"/>
      <c r="H262" s="67"/>
      <c r="I262" s="68"/>
      <c r="J262" s="68"/>
      <c r="K262" s="32"/>
      <c r="L262" s="75">
        <v>262</v>
      </c>
      <c r="M262" s="75"/>
      <c r="N262" s="70"/>
      <c r="O262" s="77" t="s">
        <v>179</v>
      </c>
      <c r="P262" s="79">
        <v>45098.515208333331</v>
      </c>
      <c r="Q262" s="77" t="s">
        <v>2310</v>
      </c>
      <c r="R262" s="77">
        <v>0</v>
      </c>
      <c r="S262" s="77">
        <v>1</v>
      </c>
      <c r="T262" s="77">
        <v>0</v>
      </c>
      <c r="U262" s="77">
        <v>0</v>
      </c>
      <c r="V262" s="77">
        <v>30</v>
      </c>
      <c r="W262" s="80" t="s">
        <v>6085</v>
      </c>
      <c r="X262" s="83" t="str">
        <f>HYPERLINK("https://diariodocomercio.com.br/financas/previsao-e-de-manutencao-da-taxa-selic/")</f>
        <v>https://diariodocomercio.com.br/financas/previsao-e-de-manutencao-da-taxa-selic/</v>
      </c>
      <c r="Y262" s="77" t="s">
        <v>8611</v>
      </c>
      <c r="Z262" s="77"/>
      <c r="AA262" s="77"/>
      <c r="AB262" s="77"/>
      <c r="AC262" s="80" t="s">
        <v>10555</v>
      </c>
      <c r="AD262" s="77" t="s">
        <v>10617</v>
      </c>
      <c r="AE262" s="83" t="str">
        <f>HYPERLINK("https://twitter.com/diario_comercio/status/1671493643243339778")</f>
        <v>https://twitter.com/diario_comercio/status/1671493643243339778</v>
      </c>
      <c r="AF262" s="79">
        <v>45098.515208333331</v>
      </c>
      <c r="AG262" s="85">
        <v>45098</v>
      </c>
      <c r="AH262" s="80" t="s">
        <v>10862</v>
      </c>
      <c r="AI262" s="77" t="b">
        <v>0</v>
      </c>
      <c r="AJ262" s="77"/>
      <c r="AK262" s="77"/>
      <c r="AL262" s="77"/>
      <c r="AM262" s="77"/>
      <c r="AN262" s="77"/>
      <c r="AO262" s="77"/>
      <c r="AP262" s="77"/>
      <c r="AQ262" s="77"/>
      <c r="AR262" s="77"/>
      <c r="AS262" s="77"/>
      <c r="AT262" s="77"/>
      <c r="AU262" s="77"/>
      <c r="AV262" s="83" t="str">
        <f>HYPERLINK("https://pbs.twimg.com/profile_images/1610325557580898306/UZehEg0I_normal.jpg")</f>
        <v>https://pbs.twimg.com/profile_images/1610325557580898306/UZehEg0I_normal.jpg</v>
      </c>
      <c r="AW262" s="80" t="s">
        <v>16247</v>
      </c>
      <c r="AX262" s="80" t="s">
        <v>16247</v>
      </c>
      <c r="AY262" s="77"/>
      <c r="AZ262" s="80" t="s">
        <v>20380</v>
      </c>
      <c r="BA262" s="80" t="s">
        <v>20380</v>
      </c>
      <c r="BB262" s="80" t="s">
        <v>20380</v>
      </c>
      <c r="BC262" s="80" t="s">
        <v>16247</v>
      </c>
      <c r="BD262" s="77">
        <v>94388843</v>
      </c>
      <c r="BE262" s="77"/>
      <c r="BF262" s="77"/>
      <c r="BG262" s="77"/>
      <c r="BH262" s="77"/>
      <c r="BI262" s="77"/>
    </row>
    <row r="263" spans="1:61" x14ac:dyDescent="0.25">
      <c r="A263" s="62" t="s">
        <v>331</v>
      </c>
      <c r="B263" s="62" t="s">
        <v>331</v>
      </c>
      <c r="C263" s="63"/>
      <c r="D263" s="64"/>
      <c r="E263" s="65"/>
      <c r="F263" s="66"/>
      <c r="G263" s="63"/>
      <c r="H263" s="67"/>
      <c r="I263" s="68"/>
      <c r="J263" s="68"/>
      <c r="K263" s="32"/>
      <c r="L263" s="75">
        <v>263</v>
      </c>
      <c r="M263" s="75"/>
      <c r="N263" s="70"/>
      <c r="O263" s="77" t="s">
        <v>179</v>
      </c>
      <c r="P263" s="79">
        <v>45195.644803240742</v>
      </c>
      <c r="Q263" s="77" t="s">
        <v>2311</v>
      </c>
      <c r="R263" s="77">
        <v>0</v>
      </c>
      <c r="S263" s="77">
        <v>0</v>
      </c>
      <c r="T263" s="77">
        <v>0</v>
      </c>
      <c r="U263" s="77">
        <v>0</v>
      </c>
      <c r="V263" s="77">
        <v>40</v>
      </c>
      <c r="W263" s="80" t="s">
        <v>6086</v>
      </c>
      <c r="X263" s="83" t="str">
        <f>HYPERLINK("https://elquiddelacuestion.com.ar/galperin-sale-en-defenda-de-mercado-pago-no-lo-van-a-romper/")</f>
        <v>https://elquiddelacuestion.com.ar/galperin-sale-en-defenda-de-mercado-pago-no-lo-van-a-romper/</v>
      </c>
      <c r="Y263" s="77" t="s">
        <v>8624</v>
      </c>
      <c r="Z263" s="77"/>
      <c r="AA263" s="77" t="s">
        <v>9115</v>
      </c>
      <c r="AB263" s="77" t="s">
        <v>10535</v>
      </c>
      <c r="AC263" s="80" t="s">
        <v>10541</v>
      </c>
      <c r="AD263" s="77" t="s">
        <v>10620</v>
      </c>
      <c r="AE263" s="83" t="str">
        <f>HYPERLINK("https://twitter.com/quidcuestion/status/1706692230419718293")</f>
        <v>https://twitter.com/quidcuestion/status/1706692230419718293</v>
      </c>
      <c r="AF263" s="79">
        <v>45195.644803240742</v>
      </c>
      <c r="AG263" s="85">
        <v>45195</v>
      </c>
      <c r="AH263" s="80" t="s">
        <v>10863</v>
      </c>
      <c r="AI263" s="77" t="b">
        <v>0</v>
      </c>
      <c r="AJ263" s="77"/>
      <c r="AK263" s="77"/>
      <c r="AL263" s="77"/>
      <c r="AM263" s="77"/>
      <c r="AN263" s="77"/>
      <c r="AO263" s="77"/>
      <c r="AP263" s="77"/>
      <c r="AQ263" s="77" t="s">
        <v>14597</v>
      </c>
      <c r="AR263" s="77"/>
      <c r="AS263" s="77"/>
      <c r="AT263" s="77"/>
      <c r="AU263" s="77"/>
      <c r="AV263" s="83" t="str">
        <f>HYPERLINK("https://pbs.twimg.com/media/F69jaPOWMAA2qoi.jpg")</f>
        <v>https://pbs.twimg.com/media/F69jaPOWMAA2qoi.jpg</v>
      </c>
      <c r="AW263" s="80" t="s">
        <v>16248</v>
      </c>
      <c r="AX263" s="80" t="s">
        <v>16248</v>
      </c>
      <c r="AY263" s="77"/>
      <c r="AZ263" s="80" t="s">
        <v>20380</v>
      </c>
      <c r="BA263" s="80" t="s">
        <v>20380</v>
      </c>
      <c r="BB263" s="80" t="s">
        <v>20380</v>
      </c>
      <c r="BC263" s="80" t="s">
        <v>16248</v>
      </c>
      <c r="BD263" s="80" t="s">
        <v>20553</v>
      </c>
      <c r="BE263" s="77"/>
      <c r="BF263" s="77"/>
      <c r="BG263" s="77"/>
      <c r="BH263" s="77"/>
      <c r="BI263" s="77"/>
    </row>
    <row r="264" spans="1:61" x14ac:dyDescent="0.25">
      <c r="A264" s="62" t="s">
        <v>332</v>
      </c>
      <c r="B264" s="62" t="s">
        <v>332</v>
      </c>
      <c r="C264" s="63"/>
      <c r="D264" s="64"/>
      <c r="E264" s="65"/>
      <c r="F264" s="66"/>
      <c r="G264" s="63"/>
      <c r="H264" s="67"/>
      <c r="I264" s="68"/>
      <c r="J264" s="68"/>
      <c r="K264" s="32"/>
      <c r="L264" s="75">
        <v>264</v>
      </c>
      <c r="M264" s="75"/>
      <c r="N264" s="70"/>
      <c r="O264" s="77" t="s">
        <v>179</v>
      </c>
      <c r="P264" s="79">
        <v>45050.522800925923</v>
      </c>
      <c r="Q264" s="77" t="s">
        <v>2312</v>
      </c>
      <c r="R264" s="77">
        <v>0</v>
      </c>
      <c r="S264" s="77">
        <v>0</v>
      </c>
      <c r="T264" s="77">
        <v>0</v>
      </c>
      <c r="U264" s="77">
        <v>0</v>
      </c>
      <c r="V264" s="77">
        <v>22</v>
      </c>
      <c r="W264" s="80" t="s">
        <v>6087</v>
      </c>
      <c r="X264" s="83" t="str">
        <f>HYPERLINK("https://empreenderemgoias.com.br/2023/05/04/bc-mantem-juros-elevados-e-empresarios-criticam/")</f>
        <v>https://empreenderemgoias.com.br/2023/05/04/bc-mantem-juros-elevados-e-empresarios-criticam/</v>
      </c>
      <c r="Y264" s="77" t="s">
        <v>8611</v>
      </c>
      <c r="Z264" s="77"/>
      <c r="AA264" s="77"/>
      <c r="AB264" s="77"/>
      <c r="AC264" s="80" t="s">
        <v>10541</v>
      </c>
      <c r="AD264" s="77" t="s">
        <v>10617</v>
      </c>
      <c r="AE264" s="83" t="str">
        <f>HYPERLINK("https://twitter.com/empreendegoias/status/1654101778592411649")</f>
        <v>https://twitter.com/empreendegoias/status/1654101778592411649</v>
      </c>
      <c r="AF264" s="79">
        <v>45050.522800925923</v>
      </c>
      <c r="AG264" s="85">
        <v>45050</v>
      </c>
      <c r="AH264" s="80" t="s">
        <v>10864</v>
      </c>
      <c r="AI264" s="77" t="b">
        <v>0</v>
      </c>
      <c r="AJ264" s="77"/>
      <c r="AK264" s="77"/>
      <c r="AL264" s="77"/>
      <c r="AM264" s="77"/>
      <c r="AN264" s="77"/>
      <c r="AO264" s="77"/>
      <c r="AP264" s="77"/>
      <c r="AQ264" s="77"/>
      <c r="AR264" s="77"/>
      <c r="AS264" s="77"/>
      <c r="AT264" s="77"/>
      <c r="AU264" s="77"/>
      <c r="AV264" s="83" t="str">
        <f>HYPERLINK("https://pbs.twimg.com/profile_images/824599140302811136/SZ6VQJwb_normal.jpg")</f>
        <v>https://pbs.twimg.com/profile_images/824599140302811136/SZ6VQJwb_normal.jpg</v>
      </c>
      <c r="AW264" s="80" t="s">
        <v>16249</v>
      </c>
      <c r="AX264" s="80" t="s">
        <v>16249</v>
      </c>
      <c r="AY264" s="77"/>
      <c r="AZ264" s="80" t="s">
        <v>20380</v>
      </c>
      <c r="BA264" s="80" t="s">
        <v>20380</v>
      </c>
      <c r="BB264" s="80" t="s">
        <v>20380</v>
      </c>
      <c r="BC264" s="80" t="s">
        <v>16249</v>
      </c>
      <c r="BD264" s="80" t="s">
        <v>20554</v>
      </c>
      <c r="BE264" s="77"/>
      <c r="BF264" s="77"/>
      <c r="BG264" s="77"/>
      <c r="BH264" s="77"/>
      <c r="BI264" s="77"/>
    </row>
    <row r="265" spans="1:61" x14ac:dyDescent="0.25">
      <c r="A265" s="62" t="s">
        <v>333</v>
      </c>
      <c r="B265" s="62" t="s">
        <v>1726</v>
      </c>
      <c r="C265" s="63"/>
      <c r="D265" s="64"/>
      <c r="E265" s="65"/>
      <c r="F265" s="66"/>
      <c r="G265" s="63"/>
      <c r="H265" s="67"/>
      <c r="I265" s="68"/>
      <c r="J265" s="68"/>
      <c r="K265" s="32"/>
      <c r="L265" s="75">
        <v>265</v>
      </c>
      <c r="M265" s="75"/>
      <c r="N265" s="70"/>
      <c r="O265" s="77" t="s">
        <v>2081</v>
      </c>
      <c r="P265" s="79">
        <v>45079.592962962961</v>
      </c>
      <c r="Q265" s="77" t="s">
        <v>2313</v>
      </c>
      <c r="R265" s="77">
        <v>0</v>
      </c>
      <c r="S265" s="77">
        <v>0</v>
      </c>
      <c r="T265" s="77">
        <v>0</v>
      </c>
      <c r="U265" s="77">
        <v>0</v>
      </c>
      <c r="V265" s="77">
        <v>282</v>
      </c>
      <c r="W265" s="80" t="s">
        <v>5884</v>
      </c>
      <c r="X265" s="77"/>
      <c r="Y265" s="77"/>
      <c r="Z265" s="77" t="s">
        <v>1726</v>
      </c>
      <c r="AA265" s="77" t="s">
        <v>9116</v>
      </c>
      <c r="AB265" s="77" t="s">
        <v>10535</v>
      </c>
      <c r="AC265" s="80" t="s">
        <v>10556</v>
      </c>
      <c r="AD265" s="77" t="s">
        <v>10620</v>
      </c>
      <c r="AE265" s="83" t="str">
        <f>HYPERLINK("https://twitter.com/jrgonzalezm/status/1664636451680669697")</f>
        <v>https://twitter.com/jrgonzalezm/status/1664636451680669697</v>
      </c>
      <c r="AF265" s="79">
        <v>45079.592962962961</v>
      </c>
      <c r="AG265" s="85">
        <v>45079</v>
      </c>
      <c r="AH265" s="80" t="s">
        <v>10865</v>
      </c>
      <c r="AI265" s="77" t="b">
        <v>0</v>
      </c>
      <c r="AJ265" s="77"/>
      <c r="AK265" s="77"/>
      <c r="AL265" s="77"/>
      <c r="AM265" s="77"/>
      <c r="AN265" s="77"/>
      <c r="AO265" s="77"/>
      <c r="AP265" s="77"/>
      <c r="AQ265" s="77" t="s">
        <v>14598</v>
      </c>
      <c r="AR265" s="77"/>
      <c r="AS265" s="77"/>
      <c r="AT265" s="77"/>
      <c r="AU265" s="77"/>
      <c r="AV265" s="83" t="str">
        <f>HYPERLINK("https://pbs.twimg.com/media/Fxn6B28XsAQbtVL.jpg")</f>
        <v>https://pbs.twimg.com/media/Fxn6B28XsAQbtVL.jpg</v>
      </c>
      <c r="AW265" s="80" t="s">
        <v>16250</v>
      </c>
      <c r="AX265" s="80" t="s">
        <v>16250</v>
      </c>
      <c r="AY265" s="77"/>
      <c r="AZ265" s="80" t="s">
        <v>20380</v>
      </c>
      <c r="BA265" s="80" t="s">
        <v>20380</v>
      </c>
      <c r="BB265" s="80" t="s">
        <v>20380</v>
      </c>
      <c r="BC265" s="80" t="s">
        <v>16250</v>
      </c>
      <c r="BD265" s="77">
        <v>47450803</v>
      </c>
      <c r="BE265" s="77"/>
      <c r="BF265" s="77"/>
      <c r="BG265" s="77"/>
      <c r="BH265" s="77"/>
      <c r="BI265" s="77"/>
    </row>
    <row r="266" spans="1:61" x14ac:dyDescent="0.25">
      <c r="A266" s="62" t="s">
        <v>334</v>
      </c>
      <c r="B266" s="62" t="s">
        <v>334</v>
      </c>
      <c r="C266" s="63"/>
      <c r="D266" s="64"/>
      <c r="E266" s="65"/>
      <c r="F266" s="66"/>
      <c r="G266" s="63"/>
      <c r="H266" s="67"/>
      <c r="I266" s="68"/>
      <c r="J266" s="68"/>
      <c r="K266" s="32"/>
      <c r="L266" s="75">
        <v>266</v>
      </c>
      <c r="M266" s="75"/>
      <c r="N266" s="70"/>
      <c r="O266" s="77" t="s">
        <v>179</v>
      </c>
      <c r="P266" s="79">
        <v>45063.791678240741</v>
      </c>
      <c r="Q266" s="77" t="s">
        <v>2314</v>
      </c>
      <c r="R266" s="77">
        <v>0</v>
      </c>
      <c r="S266" s="77">
        <v>0</v>
      </c>
      <c r="T266" s="77">
        <v>0</v>
      </c>
      <c r="U266" s="77">
        <v>0</v>
      </c>
      <c r="V266" s="77">
        <v>15</v>
      </c>
      <c r="W266" s="80" t="s">
        <v>6088</v>
      </c>
      <c r="X266" s="83" t="str">
        <f>HYPERLINK("https://www.mil21.es/noticia/6546/datos/argentina-al-borde-del-colapso-casi-en-quiebra.html")</f>
        <v>https://www.mil21.es/noticia/6546/datos/argentina-al-borde-del-colapso-casi-en-quiebra.html</v>
      </c>
      <c r="Y266" s="77" t="s">
        <v>8642</v>
      </c>
      <c r="Z266" s="77"/>
      <c r="AA266" s="77"/>
      <c r="AB266" s="77"/>
      <c r="AC266" s="80" t="s">
        <v>10551</v>
      </c>
      <c r="AD266" s="77" t="s">
        <v>10620</v>
      </c>
      <c r="AE266" s="83" t="str">
        <f>HYPERLINK("https://twitter.com/mil21tuits/status/1658910259409297408")</f>
        <v>https://twitter.com/mil21tuits/status/1658910259409297408</v>
      </c>
      <c r="AF266" s="79">
        <v>45063.791678240741</v>
      </c>
      <c r="AG266" s="85">
        <v>45063</v>
      </c>
      <c r="AH266" s="80" t="s">
        <v>10866</v>
      </c>
      <c r="AI266" s="77" t="b">
        <v>0</v>
      </c>
      <c r="AJ266" s="77"/>
      <c r="AK266" s="77"/>
      <c r="AL266" s="77"/>
      <c r="AM266" s="77"/>
      <c r="AN266" s="77"/>
      <c r="AO266" s="77"/>
      <c r="AP266" s="77"/>
      <c r="AQ266" s="77"/>
      <c r="AR266" s="77"/>
      <c r="AS266" s="77"/>
      <c r="AT266" s="77"/>
      <c r="AU266" s="77"/>
      <c r="AV266" s="83" t="str">
        <f>HYPERLINK("https://pbs.twimg.com/profile_images/600416450571022336/5LAMt3qb_normal.png")</f>
        <v>https://pbs.twimg.com/profile_images/600416450571022336/5LAMt3qb_normal.png</v>
      </c>
      <c r="AW266" s="80" t="s">
        <v>16251</v>
      </c>
      <c r="AX266" s="80" t="s">
        <v>16251</v>
      </c>
      <c r="AY266" s="77"/>
      <c r="AZ266" s="80" t="s">
        <v>20380</v>
      </c>
      <c r="BA266" s="80" t="s">
        <v>20380</v>
      </c>
      <c r="BB266" s="80" t="s">
        <v>20380</v>
      </c>
      <c r="BC266" s="80" t="s">
        <v>16251</v>
      </c>
      <c r="BD266" s="77">
        <v>3289033827</v>
      </c>
      <c r="BE266" s="77"/>
      <c r="BF266" s="77"/>
      <c r="BG266" s="77"/>
      <c r="BH266" s="77"/>
      <c r="BI266" s="77"/>
    </row>
    <row r="267" spans="1:61" x14ac:dyDescent="0.25">
      <c r="A267" s="62" t="s">
        <v>335</v>
      </c>
      <c r="B267" s="62" t="s">
        <v>1655</v>
      </c>
      <c r="C267" s="63"/>
      <c r="D267" s="64"/>
      <c r="E267" s="65"/>
      <c r="F267" s="66"/>
      <c r="G267" s="63"/>
      <c r="H267" s="67"/>
      <c r="I267" s="68"/>
      <c r="J267" s="68"/>
      <c r="K267" s="32"/>
      <c r="L267" s="75">
        <v>267</v>
      </c>
      <c r="M267" s="75"/>
      <c r="N267" s="70"/>
      <c r="O267" s="77" t="s">
        <v>2083</v>
      </c>
      <c r="P267" s="79">
        <v>45191.427303240744</v>
      </c>
      <c r="Q267" s="77" t="s">
        <v>2120</v>
      </c>
      <c r="R267" s="77">
        <v>57</v>
      </c>
      <c r="S267" s="77">
        <v>0</v>
      </c>
      <c r="T267" s="77">
        <v>0</v>
      </c>
      <c r="U267" s="77">
        <v>0</v>
      </c>
      <c r="V267" s="77"/>
      <c r="W267" s="80" t="s">
        <v>5917</v>
      </c>
      <c r="X267" s="77"/>
      <c r="Y267" s="77"/>
      <c r="Z267" s="77" t="s">
        <v>1655</v>
      </c>
      <c r="AA267" s="77"/>
      <c r="AB267" s="77"/>
      <c r="AC267" s="80" t="s">
        <v>10542</v>
      </c>
      <c r="AD267" s="77" t="s">
        <v>10617</v>
      </c>
      <c r="AE267" s="83" t="str">
        <f>HYPERLINK("https://twitter.com/dljr_22/status/1705163861773451613")</f>
        <v>https://twitter.com/dljr_22/status/1705163861773451613</v>
      </c>
      <c r="AF267" s="79">
        <v>45191.427303240744</v>
      </c>
      <c r="AG267" s="85">
        <v>45191</v>
      </c>
      <c r="AH267" s="80" t="s">
        <v>10867</v>
      </c>
      <c r="AI267" s="77"/>
      <c r="AJ267" s="77"/>
      <c r="AK267" s="77"/>
      <c r="AL267" s="77"/>
      <c r="AM267" s="77"/>
      <c r="AN267" s="77"/>
      <c r="AO267" s="77"/>
      <c r="AP267" s="77"/>
      <c r="AQ267" s="77"/>
      <c r="AR267" s="77"/>
      <c r="AS267" s="77"/>
      <c r="AT267" s="77"/>
      <c r="AU267" s="77"/>
      <c r="AV267" s="83" t="str">
        <f>HYPERLINK("https://pbs.twimg.com/profile_images/1595619689304133634/eozao4nO_normal.jpg")</f>
        <v>https://pbs.twimg.com/profile_images/1595619689304133634/eozao4nO_normal.jpg</v>
      </c>
      <c r="AW267" s="80" t="s">
        <v>16252</v>
      </c>
      <c r="AX267" s="80" t="s">
        <v>16252</v>
      </c>
      <c r="AY267" s="77"/>
      <c r="AZ267" s="80" t="s">
        <v>20380</v>
      </c>
      <c r="BA267" s="80" t="s">
        <v>20380</v>
      </c>
      <c r="BB267" s="80" t="s">
        <v>19843</v>
      </c>
      <c r="BC267" s="80" t="s">
        <v>19843</v>
      </c>
      <c r="BD267" s="80" t="s">
        <v>20555</v>
      </c>
      <c r="BE267" s="77"/>
      <c r="BF267" s="77"/>
      <c r="BG267" s="77"/>
      <c r="BH267" s="77"/>
      <c r="BI267" s="77"/>
    </row>
    <row r="268" spans="1:61" x14ac:dyDescent="0.25">
      <c r="A268" s="62" t="s">
        <v>336</v>
      </c>
      <c r="B268" s="62" t="s">
        <v>336</v>
      </c>
      <c r="C268" s="63"/>
      <c r="D268" s="64"/>
      <c r="E268" s="65"/>
      <c r="F268" s="66"/>
      <c r="G268" s="63"/>
      <c r="H268" s="67"/>
      <c r="I268" s="68"/>
      <c r="J268" s="68"/>
      <c r="K268" s="32"/>
      <c r="L268" s="75">
        <v>268</v>
      </c>
      <c r="M268" s="75"/>
      <c r="N268" s="70"/>
      <c r="O268" s="77" t="s">
        <v>179</v>
      </c>
      <c r="P268" s="79">
        <v>45197.551134259258</v>
      </c>
      <c r="Q268" s="77" t="s">
        <v>2315</v>
      </c>
      <c r="R268" s="77">
        <v>0</v>
      </c>
      <c r="S268" s="77">
        <v>0</v>
      </c>
      <c r="T268" s="77">
        <v>0</v>
      </c>
      <c r="U268" s="77">
        <v>0</v>
      </c>
      <c r="V268" s="77">
        <v>1</v>
      </c>
      <c r="W268" s="80" t="s">
        <v>6089</v>
      </c>
      <c r="X268" s="77"/>
      <c r="Y268" s="77"/>
      <c r="Z268" s="77"/>
      <c r="AA268" s="77" t="s">
        <v>9117</v>
      </c>
      <c r="AB268" s="77" t="s">
        <v>10535</v>
      </c>
      <c r="AC268" s="80" t="s">
        <v>10541</v>
      </c>
      <c r="AD268" s="77" t="s">
        <v>10617</v>
      </c>
      <c r="AE268" s="83" t="str">
        <f>HYPERLINK("https://twitter.com/ativosgarantem/status/1707383062026232268")</f>
        <v>https://twitter.com/ativosgarantem/status/1707383062026232268</v>
      </c>
      <c r="AF268" s="79">
        <v>45197.551134259258</v>
      </c>
      <c r="AG268" s="85">
        <v>45197</v>
      </c>
      <c r="AH268" s="80" t="s">
        <v>10868</v>
      </c>
      <c r="AI268" s="77" t="b">
        <v>0</v>
      </c>
      <c r="AJ268" s="77"/>
      <c r="AK268" s="77"/>
      <c r="AL268" s="77"/>
      <c r="AM268" s="77"/>
      <c r="AN268" s="77"/>
      <c r="AO268" s="77"/>
      <c r="AP268" s="77"/>
      <c r="AQ268" s="77" t="s">
        <v>14599</v>
      </c>
      <c r="AR268" s="77"/>
      <c r="AS268" s="77"/>
      <c r="AT268" s="77"/>
      <c r="AU268" s="77"/>
      <c r="AV268" s="83" t="str">
        <f>HYPERLINK("https://pbs.twimg.com/media/F7HXtKzXMAAXSR6.png")</f>
        <v>https://pbs.twimg.com/media/F7HXtKzXMAAXSR6.png</v>
      </c>
      <c r="AW268" s="80" t="s">
        <v>16253</v>
      </c>
      <c r="AX268" s="80" t="s">
        <v>16253</v>
      </c>
      <c r="AY268" s="77"/>
      <c r="AZ268" s="80" t="s">
        <v>20380</v>
      </c>
      <c r="BA268" s="80" t="s">
        <v>20380</v>
      </c>
      <c r="BB268" s="80" t="s">
        <v>20380</v>
      </c>
      <c r="BC268" s="80" t="s">
        <v>16253</v>
      </c>
      <c r="BD268" s="80" t="s">
        <v>20556</v>
      </c>
      <c r="BE268" s="77"/>
      <c r="BF268" s="77"/>
      <c r="BG268" s="77"/>
      <c r="BH268" s="77"/>
      <c r="BI268" s="77"/>
    </row>
    <row r="269" spans="1:61" x14ac:dyDescent="0.25">
      <c r="A269" s="62" t="s">
        <v>337</v>
      </c>
      <c r="B269" s="62" t="s">
        <v>337</v>
      </c>
      <c r="C269" s="63"/>
      <c r="D269" s="64"/>
      <c r="E269" s="65"/>
      <c r="F269" s="66"/>
      <c r="G269" s="63"/>
      <c r="H269" s="67"/>
      <c r="I269" s="68"/>
      <c r="J269" s="68"/>
      <c r="K269" s="32"/>
      <c r="L269" s="75">
        <v>269</v>
      </c>
      <c r="M269" s="75"/>
      <c r="N269" s="70"/>
      <c r="O269" s="77" t="s">
        <v>179</v>
      </c>
      <c r="P269" s="79">
        <v>45093.532997685186</v>
      </c>
      <c r="Q269" s="77" t="s">
        <v>2316</v>
      </c>
      <c r="R269" s="77">
        <v>0</v>
      </c>
      <c r="S269" s="77">
        <v>0</v>
      </c>
      <c r="T269" s="77">
        <v>0</v>
      </c>
      <c r="U269" s="77">
        <v>0</v>
      </c>
      <c r="V269" s="77">
        <v>32</v>
      </c>
      <c r="W269" s="80" t="s">
        <v>6090</v>
      </c>
      <c r="X269" s="77"/>
      <c r="Y269" s="77"/>
      <c r="Z269" s="77"/>
      <c r="AA269" s="77" t="s">
        <v>9118</v>
      </c>
      <c r="AB269" s="77" t="s">
        <v>10535</v>
      </c>
      <c r="AC269" s="80" t="s">
        <v>10542</v>
      </c>
      <c r="AD269" s="77" t="s">
        <v>10620</v>
      </c>
      <c r="AE269" s="83" t="str">
        <f>HYPERLINK("https://twitter.com/bni_mozambique/status/1669688152011812864")</f>
        <v>https://twitter.com/bni_mozambique/status/1669688152011812864</v>
      </c>
      <c r="AF269" s="79">
        <v>45093.532997685186</v>
      </c>
      <c r="AG269" s="85">
        <v>45093</v>
      </c>
      <c r="AH269" s="80" t="s">
        <v>10869</v>
      </c>
      <c r="AI269" s="77" t="b">
        <v>0</v>
      </c>
      <c r="AJ269" s="77" t="s">
        <v>14346</v>
      </c>
      <c r="AK269" s="77" t="s">
        <v>14384</v>
      </c>
      <c r="AL269" s="77" t="s">
        <v>14393</v>
      </c>
      <c r="AM269" s="77" t="s">
        <v>14384</v>
      </c>
      <c r="AN269" s="77" t="s">
        <v>14443</v>
      </c>
      <c r="AO269" s="77" t="s">
        <v>14384</v>
      </c>
      <c r="AP269" s="77" t="s">
        <v>14518</v>
      </c>
      <c r="AQ269" s="77" t="s">
        <v>14600</v>
      </c>
      <c r="AR269" s="77"/>
      <c r="AS269" s="77"/>
      <c r="AT269" s="77"/>
      <c r="AU269" s="77"/>
      <c r="AV269" s="83" t="str">
        <f>HYPERLINK("https://pbs.twimg.com/media/FyvshOjWcAAYy_C.jpg")</f>
        <v>https://pbs.twimg.com/media/FyvshOjWcAAYy_C.jpg</v>
      </c>
      <c r="AW269" s="80" t="s">
        <v>16254</v>
      </c>
      <c r="AX269" s="80" t="s">
        <v>16254</v>
      </c>
      <c r="AY269" s="77"/>
      <c r="AZ269" s="80" t="s">
        <v>20380</v>
      </c>
      <c r="BA269" s="80" t="s">
        <v>20380</v>
      </c>
      <c r="BB269" s="80" t="s">
        <v>20380</v>
      </c>
      <c r="BC269" s="80" t="s">
        <v>16254</v>
      </c>
      <c r="BD269" s="77">
        <v>1046199176</v>
      </c>
      <c r="BE269" s="77"/>
      <c r="BF269" s="77"/>
      <c r="BG269" s="77"/>
      <c r="BH269" s="77"/>
      <c r="BI269" s="77"/>
    </row>
    <row r="270" spans="1:61" x14ac:dyDescent="0.25">
      <c r="A270" s="62" t="s">
        <v>338</v>
      </c>
      <c r="B270" s="62" t="s">
        <v>338</v>
      </c>
      <c r="C270" s="63"/>
      <c r="D270" s="64"/>
      <c r="E270" s="65"/>
      <c r="F270" s="66"/>
      <c r="G270" s="63"/>
      <c r="H270" s="67"/>
      <c r="I270" s="68"/>
      <c r="J270" s="68"/>
      <c r="K270" s="32"/>
      <c r="L270" s="75">
        <v>270</v>
      </c>
      <c r="M270" s="75"/>
      <c r="N270" s="70"/>
      <c r="O270" s="77" t="s">
        <v>179</v>
      </c>
      <c r="P270" s="79">
        <v>45091.072754629633</v>
      </c>
      <c r="Q270" s="77" t="s">
        <v>2317</v>
      </c>
      <c r="R270" s="77">
        <v>3</v>
      </c>
      <c r="S270" s="77">
        <v>6</v>
      </c>
      <c r="T270" s="77">
        <v>0</v>
      </c>
      <c r="U270" s="77">
        <v>0</v>
      </c>
      <c r="V270" s="77">
        <v>106</v>
      </c>
      <c r="W270" s="80" t="s">
        <v>6091</v>
      </c>
      <c r="X270" s="77"/>
      <c r="Y270" s="77"/>
      <c r="Z270" s="77"/>
      <c r="AA270" s="77" t="s">
        <v>9119</v>
      </c>
      <c r="AB270" s="77" t="s">
        <v>10535</v>
      </c>
      <c r="AC270" s="80" t="s">
        <v>10540</v>
      </c>
      <c r="AD270" s="77" t="s">
        <v>10620</v>
      </c>
      <c r="AE270" s="83" t="str">
        <f>HYPERLINK("https://twitter.com/davidem281/status/1668796590641881088")</f>
        <v>https://twitter.com/davidem281/status/1668796590641881088</v>
      </c>
      <c r="AF270" s="79">
        <v>45091.072754629633</v>
      </c>
      <c r="AG270" s="85">
        <v>45091</v>
      </c>
      <c r="AH270" s="80" t="s">
        <v>10870</v>
      </c>
      <c r="AI270" s="77" t="b">
        <v>0</v>
      </c>
      <c r="AJ270" s="77"/>
      <c r="AK270" s="77"/>
      <c r="AL270" s="77"/>
      <c r="AM270" s="77"/>
      <c r="AN270" s="77"/>
      <c r="AO270" s="77"/>
      <c r="AP270" s="77"/>
      <c r="AQ270" s="77" t="s">
        <v>14601</v>
      </c>
      <c r="AR270" s="77"/>
      <c r="AS270" s="77"/>
      <c r="AT270" s="77"/>
      <c r="AU270" s="77"/>
      <c r="AV270" s="83" t="str">
        <f>HYPERLINK("https://pbs.twimg.com/media/FyjBp31WcAEluok.jpg")</f>
        <v>https://pbs.twimg.com/media/FyjBp31WcAEluok.jpg</v>
      </c>
      <c r="AW270" s="80" t="s">
        <v>16255</v>
      </c>
      <c r="AX270" s="80" t="s">
        <v>16255</v>
      </c>
      <c r="AY270" s="77"/>
      <c r="AZ270" s="80" t="s">
        <v>20380</v>
      </c>
      <c r="BA270" s="80" t="s">
        <v>20380</v>
      </c>
      <c r="BB270" s="80" t="s">
        <v>20380</v>
      </c>
      <c r="BC270" s="80" t="s">
        <v>16255</v>
      </c>
      <c r="BD270" s="80" t="s">
        <v>20557</v>
      </c>
      <c r="BE270" s="77"/>
      <c r="BF270" s="77"/>
      <c r="BG270" s="77"/>
      <c r="BH270" s="77"/>
      <c r="BI270" s="77"/>
    </row>
    <row r="271" spans="1:61" x14ac:dyDescent="0.25">
      <c r="A271" s="62" t="s">
        <v>339</v>
      </c>
      <c r="B271" s="62" t="s">
        <v>1655</v>
      </c>
      <c r="C271" s="63"/>
      <c r="D271" s="64"/>
      <c r="E271" s="65"/>
      <c r="F271" s="66"/>
      <c r="G271" s="63"/>
      <c r="H271" s="67"/>
      <c r="I271" s="68"/>
      <c r="J271" s="68"/>
      <c r="K271" s="32"/>
      <c r="L271" s="75">
        <v>271</v>
      </c>
      <c r="M271" s="75"/>
      <c r="N271" s="70"/>
      <c r="O271" s="77" t="s">
        <v>2083</v>
      </c>
      <c r="P271" s="79">
        <v>45191.465219907404</v>
      </c>
      <c r="Q271" s="77" t="s">
        <v>2120</v>
      </c>
      <c r="R271" s="77">
        <v>25</v>
      </c>
      <c r="S271" s="77">
        <v>0</v>
      </c>
      <c r="T271" s="77">
        <v>0</v>
      </c>
      <c r="U271" s="77">
        <v>0</v>
      </c>
      <c r="V271" s="77"/>
      <c r="W271" s="80" t="s">
        <v>5917</v>
      </c>
      <c r="X271" s="77"/>
      <c r="Y271" s="77"/>
      <c r="Z271" s="77" t="s">
        <v>1655</v>
      </c>
      <c r="AA271" s="77"/>
      <c r="AB271" s="77"/>
      <c r="AC271" s="80" t="s">
        <v>10540</v>
      </c>
      <c r="AD271" s="77" t="s">
        <v>10617</v>
      </c>
      <c r="AE271" s="83" t="str">
        <f>HYPERLINK("https://twitter.com/fjglanes/status/1705177602745336295")</f>
        <v>https://twitter.com/fjglanes/status/1705177602745336295</v>
      </c>
      <c r="AF271" s="79">
        <v>45191.465219907404</v>
      </c>
      <c r="AG271" s="85">
        <v>45191</v>
      </c>
      <c r="AH271" s="80" t="s">
        <v>10871</v>
      </c>
      <c r="AI271" s="77"/>
      <c r="AJ271" s="77"/>
      <c r="AK271" s="77"/>
      <c r="AL271" s="77"/>
      <c r="AM271" s="77"/>
      <c r="AN271" s="77"/>
      <c r="AO271" s="77"/>
      <c r="AP271" s="77"/>
      <c r="AQ271" s="77"/>
      <c r="AR271" s="77"/>
      <c r="AS271" s="77"/>
      <c r="AT271" s="77"/>
      <c r="AU271" s="77"/>
      <c r="AV271" s="83" t="str">
        <f>HYPERLINK("https://pbs.twimg.com/profile_images/1560242863908216834/r-NRObTd_normal.jpg")</f>
        <v>https://pbs.twimg.com/profile_images/1560242863908216834/r-NRObTd_normal.jpg</v>
      </c>
      <c r="AW271" s="80" t="s">
        <v>16256</v>
      </c>
      <c r="AX271" s="80" t="s">
        <v>16256</v>
      </c>
      <c r="AY271" s="77"/>
      <c r="AZ271" s="80" t="s">
        <v>20380</v>
      </c>
      <c r="BA271" s="80" t="s">
        <v>20380</v>
      </c>
      <c r="BB271" s="80" t="s">
        <v>19844</v>
      </c>
      <c r="BC271" s="80" t="s">
        <v>19844</v>
      </c>
      <c r="BD271" s="80" t="s">
        <v>20558</v>
      </c>
      <c r="BE271" s="77"/>
      <c r="BF271" s="77"/>
      <c r="BG271" s="77"/>
      <c r="BH271" s="77"/>
      <c r="BI271" s="77"/>
    </row>
    <row r="272" spans="1:61" x14ac:dyDescent="0.25">
      <c r="A272" s="62" t="s">
        <v>340</v>
      </c>
      <c r="B272" s="62" t="s">
        <v>1727</v>
      </c>
      <c r="C272" s="63"/>
      <c r="D272" s="64"/>
      <c r="E272" s="65"/>
      <c r="F272" s="66"/>
      <c r="G272" s="63"/>
      <c r="H272" s="67"/>
      <c r="I272" s="68"/>
      <c r="J272" s="68"/>
      <c r="K272" s="32"/>
      <c r="L272" s="75">
        <v>272</v>
      </c>
      <c r="M272" s="75"/>
      <c r="N272" s="70"/>
      <c r="O272" s="77" t="s">
        <v>2081</v>
      </c>
      <c r="P272" s="79">
        <v>45111.666689814818</v>
      </c>
      <c r="Q272" s="77" t="s">
        <v>2318</v>
      </c>
      <c r="R272" s="77">
        <v>0</v>
      </c>
      <c r="S272" s="77">
        <v>0</v>
      </c>
      <c r="T272" s="77">
        <v>0</v>
      </c>
      <c r="U272" s="77">
        <v>0</v>
      </c>
      <c r="V272" s="77">
        <v>87</v>
      </c>
      <c r="W272" s="80" t="s">
        <v>6092</v>
      </c>
      <c r="X272" s="83" t="str">
        <f>HYPERLINK("https://bit.ly/3pzF09a")</f>
        <v>https://bit.ly/3pzF09a</v>
      </c>
      <c r="Y272" s="77" t="s">
        <v>8618</v>
      </c>
      <c r="Z272" s="77" t="s">
        <v>8912</v>
      </c>
      <c r="AA272" s="77"/>
      <c r="AB272" s="77"/>
      <c r="AC272" s="80" t="s">
        <v>10541</v>
      </c>
      <c r="AD272" s="77" t="s">
        <v>10620</v>
      </c>
      <c r="AE272" s="83" t="str">
        <f>HYPERLINK("https://twitter.com/puntoapuntocba/status/1676259582727933952")</f>
        <v>https://twitter.com/puntoapuntocba/status/1676259582727933952</v>
      </c>
      <c r="AF272" s="79">
        <v>45111.666689814818</v>
      </c>
      <c r="AG272" s="85">
        <v>45111</v>
      </c>
      <c r="AH272" s="80" t="s">
        <v>10872</v>
      </c>
      <c r="AI272" s="77" t="b">
        <v>0</v>
      </c>
      <c r="AJ272" s="77"/>
      <c r="AK272" s="77"/>
      <c r="AL272" s="77"/>
      <c r="AM272" s="77"/>
      <c r="AN272" s="77"/>
      <c r="AO272" s="77"/>
      <c r="AP272" s="77"/>
      <c r="AQ272" s="77"/>
      <c r="AR272" s="77"/>
      <c r="AS272" s="77"/>
      <c r="AT272" s="77"/>
      <c r="AU272" s="77"/>
      <c r="AV272" s="83" t="str">
        <f>HYPERLINK("https://pbs.twimg.com/profile_images/1447916541496922113/OTanuVSI_normal.jpg")</f>
        <v>https://pbs.twimg.com/profile_images/1447916541496922113/OTanuVSI_normal.jpg</v>
      </c>
      <c r="AW272" s="80" t="s">
        <v>16257</v>
      </c>
      <c r="AX272" s="80" t="s">
        <v>16257</v>
      </c>
      <c r="AY272" s="77"/>
      <c r="AZ272" s="80" t="s">
        <v>20380</v>
      </c>
      <c r="BA272" s="80" t="s">
        <v>20380</v>
      </c>
      <c r="BB272" s="80" t="s">
        <v>20380</v>
      </c>
      <c r="BC272" s="80" t="s">
        <v>16257</v>
      </c>
      <c r="BD272" s="77">
        <v>281604717</v>
      </c>
      <c r="BE272" s="77"/>
      <c r="BF272" s="77"/>
      <c r="BG272" s="77"/>
      <c r="BH272" s="77"/>
      <c r="BI272" s="77"/>
    </row>
    <row r="273" spans="1:61" x14ac:dyDescent="0.25">
      <c r="A273" s="62" t="s">
        <v>340</v>
      </c>
      <c r="B273" s="62" t="s">
        <v>1728</v>
      </c>
      <c r="C273" s="63"/>
      <c r="D273" s="64"/>
      <c r="E273" s="65"/>
      <c r="F273" s="66"/>
      <c r="G273" s="63"/>
      <c r="H273" s="67"/>
      <c r="I273" s="68"/>
      <c r="J273" s="68"/>
      <c r="K273" s="32"/>
      <c r="L273" s="75">
        <v>273</v>
      </c>
      <c r="M273" s="75"/>
      <c r="N273" s="70"/>
      <c r="O273" s="77" t="s">
        <v>2081</v>
      </c>
      <c r="P273" s="79">
        <v>45111.666689814818</v>
      </c>
      <c r="Q273" s="77" t="s">
        <v>2318</v>
      </c>
      <c r="R273" s="77">
        <v>0</v>
      </c>
      <c r="S273" s="77">
        <v>0</v>
      </c>
      <c r="T273" s="77">
        <v>0</v>
      </c>
      <c r="U273" s="77">
        <v>0</v>
      </c>
      <c r="V273" s="77">
        <v>87</v>
      </c>
      <c r="W273" s="80" t="s">
        <v>6092</v>
      </c>
      <c r="X273" s="83" t="str">
        <f>HYPERLINK("https://bit.ly/3pzF09a")</f>
        <v>https://bit.ly/3pzF09a</v>
      </c>
      <c r="Y273" s="77" t="s">
        <v>8618</v>
      </c>
      <c r="Z273" s="77" t="s">
        <v>8912</v>
      </c>
      <c r="AA273" s="77"/>
      <c r="AB273" s="77"/>
      <c r="AC273" s="80" t="s">
        <v>10541</v>
      </c>
      <c r="AD273" s="77" t="s">
        <v>10620</v>
      </c>
      <c r="AE273" s="83" t="str">
        <f>HYPERLINK("https://twitter.com/puntoapuntocba/status/1676259582727933952")</f>
        <v>https://twitter.com/puntoapuntocba/status/1676259582727933952</v>
      </c>
      <c r="AF273" s="79">
        <v>45111.666689814818</v>
      </c>
      <c r="AG273" s="85">
        <v>45111</v>
      </c>
      <c r="AH273" s="80" t="s">
        <v>10872</v>
      </c>
      <c r="AI273" s="77" t="b">
        <v>0</v>
      </c>
      <c r="AJ273" s="77"/>
      <c r="AK273" s="77"/>
      <c r="AL273" s="77"/>
      <c r="AM273" s="77"/>
      <c r="AN273" s="77"/>
      <c r="AO273" s="77"/>
      <c r="AP273" s="77"/>
      <c r="AQ273" s="77"/>
      <c r="AR273" s="77"/>
      <c r="AS273" s="77"/>
      <c r="AT273" s="77"/>
      <c r="AU273" s="77"/>
      <c r="AV273" s="83" t="str">
        <f>HYPERLINK("https://pbs.twimg.com/profile_images/1447916541496922113/OTanuVSI_normal.jpg")</f>
        <v>https://pbs.twimg.com/profile_images/1447916541496922113/OTanuVSI_normal.jpg</v>
      </c>
      <c r="AW273" s="80" t="s">
        <v>16257</v>
      </c>
      <c r="AX273" s="80" t="s">
        <v>16257</v>
      </c>
      <c r="AY273" s="77"/>
      <c r="AZ273" s="80" t="s">
        <v>20380</v>
      </c>
      <c r="BA273" s="80" t="s">
        <v>20380</v>
      </c>
      <c r="BB273" s="80" t="s">
        <v>20380</v>
      </c>
      <c r="BC273" s="80" t="s">
        <v>16257</v>
      </c>
      <c r="BD273" s="77">
        <v>281604717</v>
      </c>
      <c r="BE273" s="77"/>
      <c r="BF273" s="77"/>
      <c r="BG273" s="77"/>
      <c r="BH273" s="77"/>
      <c r="BI273" s="77"/>
    </row>
    <row r="274" spans="1:61" x14ac:dyDescent="0.25">
      <c r="A274" s="62" t="s">
        <v>340</v>
      </c>
      <c r="B274" s="62" t="s">
        <v>340</v>
      </c>
      <c r="C274" s="63"/>
      <c r="D274" s="64"/>
      <c r="E274" s="65"/>
      <c r="F274" s="66"/>
      <c r="G274" s="63"/>
      <c r="H274" s="67"/>
      <c r="I274" s="68"/>
      <c r="J274" s="68"/>
      <c r="K274" s="32"/>
      <c r="L274" s="75">
        <v>274</v>
      </c>
      <c r="M274" s="75"/>
      <c r="N274" s="70"/>
      <c r="O274" s="77" t="s">
        <v>179</v>
      </c>
      <c r="P274" s="79">
        <v>45153.645925925928</v>
      </c>
      <c r="Q274" s="77" t="s">
        <v>2319</v>
      </c>
      <c r="R274" s="77">
        <v>0</v>
      </c>
      <c r="S274" s="77">
        <v>0</v>
      </c>
      <c r="T274" s="77">
        <v>0</v>
      </c>
      <c r="U274" s="77">
        <v>0</v>
      </c>
      <c r="V274" s="77">
        <v>114</v>
      </c>
      <c r="W274" s="80" t="s">
        <v>6093</v>
      </c>
      <c r="X274" s="83" t="str">
        <f>HYPERLINK("https://puntoapunto.com.ar/plazo-fijo-cuanto-ganas-invirtiendo-100-000-y-200-000-con-la-nueva-tasa/")</f>
        <v>https://puntoapunto.com.ar/plazo-fijo-cuanto-ganas-invirtiendo-100-000-y-200-000-con-la-nueva-tasa/</v>
      </c>
      <c r="Y274" s="77" t="s">
        <v>8624</v>
      </c>
      <c r="Z274" s="77"/>
      <c r="AA274" s="77"/>
      <c r="AB274" s="77"/>
      <c r="AC274" s="80" t="s">
        <v>10541</v>
      </c>
      <c r="AD274" s="77" t="s">
        <v>10620</v>
      </c>
      <c r="AE274" s="83" t="str">
        <f>HYPERLINK("https://twitter.com/puntoapuntocba/status/1691472346513563648")</f>
        <v>https://twitter.com/puntoapuntocba/status/1691472346513563648</v>
      </c>
      <c r="AF274" s="79">
        <v>45153.645925925928</v>
      </c>
      <c r="AG274" s="85">
        <v>45153</v>
      </c>
      <c r="AH274" s="80" t="s">
        <v>10873</v>
      </c>
      <c r="AI274" s="77" t="b">
        <v>0</v>
      </c>
      <c r="AJ274" s="77"/>
      <c r="AK274" s="77"/>
      <c r="AL274" s="77"/>
      <c r="AM274" s="77"/>
      <c r="AN274" s="77"/>
      <c r="AO274" s="77"/>
      <c r="AP274" s="77"/>
      <c r="AQ274" s="77"/>
      <c r="AR274" s="77"/>
      <c r="AS274" s="77"/>
      <c r="AT274" s="77"/>
      <c r="AU274" s="77"/>
      <c r="AV274" s="83" t="str">
        <f>HYPERLINK("https://pbs.twimg.com/profile_images/1447916541496922113/OTanuVSI_normal.jpg")</f>
        <v>https://pbs.twimg.com/profile_images/1447916541496922113/OTanuVSI_normal.jpg</v>
      </c>
      <c r="AW274" s="80" t="s">
        <v>16258</v>
      </c>
      <c r="AX274" s="80" t="s">
        <v>16258</v>
      </c>
      <c r="AY274" s="77"/>
      <c r="AZ274" s="80" t="s">
        <v>20380</v>
      </c>
      <c r="BA274" s="80" t="s">
        <v>20380</v>
      </c>
      <c r="BB274" s="80" t="s">
        <v>20380</v>
      </c>
      <c r="BC274" s="80" t="s">
        <v>16258</v>
      </c>
      <c r="BD274" s="77">
        <v>281604717</v>
      </c>
      <c r="BE274" s="77"/>
      <c r="BF274" s="77"/>
      <c r="BG274" s="77"/>
      <c r="BH274" s="77"/>
      <c r="BI274" s="77"/>
    </row>
    <row r="275" spans="1:61" x14ac:dyDescent="0.25">
      <c r="A275" s="62" t="s">
        <v>340</v>
      </c>
      <c r="B275" s="62" t="s">
        <v>340</v>
      </c>
      <c r="C275" s="63"/>
      <c r="D275" s="64"/>
      <c r="E275" s="65"/>
      <c r="F275" s="66"/>
      <c r="G275" s="63"/>
      <c r="H275" s="67"/>
      <c r="I275" s="68"/>
      <c r="J275" s="68"/>
      <c r="K275" s="32"/>
      <c r="L275" s="75">
        <v>275</v>
      </c>
      <c r="M275" s="75"/>
      <c r="N275" s="70"/>
      <c r="O275" s="77" t="s">
        <v>179</v>
      </c>
      <c r="P275" s="79">
        <v>45163.645833333336</v>
      </c>
      <c r="Q275" s="77" t="s">
        <v>2320</v>
      </c>
      <c r="R275" s="77">
        <v>0</v>
      </c>
      <c r="S275" s="77">
        <v>0</v>
      </c>
      <c r="T275" s="77">
        <v>0</v>
      </c>
      <c r="U275" s="77">
        <v>0</v>
      </c>
      <c r="V275" s="77">
        <v>118</v>
      </c>
      <c r="W275" s="80" t="s">
        <v>6094</v>
      </c>
      <c r="X275" s="83" t="str">
        <f>HYPERLINK("https://puntoapunto.com.ar/sturzenegger-su-opinion-sobre-milei-y-por-donde-pasa-la-agenda-de-la-campana/")</f>
        <v>https://puntoapunto.com.ar/sturzenegger-su-opinion-sobre-milei-y-por-donde-pasa-la-agenda-de-la-campana/</v>
      </c>
      <c r="Y275" s="77" t="s">
        <v>8624</v>
      </c>
      <c r="Z275" s="77"/>
      <c r="AA275" s="77"/>
      <c r="AB275" s="77"/>
      <c r="AC275" s="80" t="s">
        <v>10541</v>
      </c>
      <c r="AD275" s="77" t="s">
        <v>10620</v>
      </c>
      <c r="AE275" s="83" t="str">
        <f>HYPERLINK("https://twitter.com/puntoapuntocba/status/1695096194865758357")</f>
        <v>https://twitter.com/puntoapuntocba/status/1695096194865758357</v>
      </c>
      <c r="AF275" s="79">
        <v>45163.645833333336</v>
      </c>
      <c r="AG275" s="85">
        <v>45163</v>
      </c>
      <c r="AH275" s="80" t="s">
        <v>10857</v>
      </c>
      <c r="AI275" s="77" t="b">
        <v>0</v>
      </c>
      <c r="AJ275" s="77"/>
      <c r="AK275" s="77"/>
      <c r="AL275" s="77"/>
      <c r="AM275" s="77"/>
      <c r="AN275" s="77"/>
      <c r="AO275" s="77"/>
      <c r="AP275" s="77"/>
      <c r="AQ275" s="77"/>
      <c r="AR275" s="77"/>
      <c r="AS275" s="77"/>
      <c r="AT275" s="77"/>
      <c r="AU275" s="77"/>
      <c r="AV275" s="83" t="str">
        <f>HYPERLINK("https://pbs.twimg.com/profile_images/1447916541496922113/OTanuVSI_normal.jpg")</f>
        <v>https://pbs.twimg.com/profile_images/1447916541496922113/OTanuVSI_normal.jpg</v>
      </c>
      <c r="AW275" s="80" t="s">
        <v>16259</v>
      </c>
      <c r="AX275" s="80" t="s">
        <v>16259</v>
      </c>
      <c r="AY275" s="77"/>
      <c r="AZ275" s="80" t="s">
        <v>20380</v>
      </c>
      <c r="BA275" s="80" t="s">
        <v>20380</v>
      </c>
      <c r="BB275" s="80" t="s">
        <v>20380</v>
      </c>
      <c r="BC275" s="80" t="s">
        <v>16259</v>
      </c>
      <c r="BD275" s="77">
        <v>281604717</v>
      </c>
      <c r="BE275" s="77"/>
      <c r="BF275" s="77"/>
      <c r="BG275" s="77"/>
      <c r="BH275" s="77"/>
      <c r="BI275" s="77"/>
    </row>
    <row r="276" spans="1:61" x14ac:dyDescent="0.25">
      <c r="A276" s="62" t="s">
        <v>341</v>
      </c>
      <c r="B276" s="62" t="s">
        <v>341</v>
      </c>
      <c r="C276" s="63"/>
      <c r="D276" s="64"/>
      <c r="E276" s="65"/>
      <c r="F276" s="66"/>
      <c r="G276" s="63"/>
      <c r="H276" s="67"/>
      <c r="I276" s="68"/>
      <c r="J276" s="68"/>
      <c r="K276" s="32"/>
      <c r="L276" s="75">
        <v>276</v>
      </c>
      <c r="M276" s="75"/>
      <c r="N276" s="70"/>
      <c r="O276" s="77" t="s">
        <v>179</v>
      </c>
      <c r="P276" s="79">
        <v>45154.866782407407</v>
      </c>
      <c r="Q276" s="77" t="s">
        <v>2321</v>
      </c>
      <c r="R276" s="77">
        <v>1</v>
      </c>
      <c r="S276" s="77">
        <v>0</v>
      </c>
      <c r="T276" s="77">
        <v>0</v>
      </c>
      <c r="U276" s="77">
        <v>0</v>
      </c>
      <c r="V276" s="77">
        <v>89</v>
      </c>
      <c r="W276" s="80" t="s">
        <v>6095</v>
      </c>
      <c r="X276" s="83" t="str">
        <f>HYPERLINK("https://www.minhaoperadora.com.br/2023/08/banco-central-quer-unir-todas-as-contas-bancarias-em-um-superapp.html?utm_source=twitter&amp;utm_medium=conta")</f>
        <v>https://www.minhaoperadora.com.br/2023/08/banco-central-quer-unir-todas-as-contas-bancarias-em-um-superapp.html?utm_source=twitter&amp;utm_medium=conta</v>
      </c>
      <c r="Y276" s="77" t="s">
        <v>8611</v>
      </c>
      <c r="Z276" s="77"/>
      <c r="AA276" s="77"/>
      <c r="AB276" s="77"/>
      <c r="AC276" s="80" t="s">
        <v>10540</v>
      </c>
      <c r="AD276" s="77" t="s">
        <v>10617</v>
      </c>
      <c r="AE276" s="83" t="str">
        <f>HYPERLINK("https://twitter.com/minhaoperadora/status/1691914772156223519")</f>
        <v>https://twitter.com/minhaoperadora/status/1691914772156223519</v>
      </c>
      <c r="AF276" s="79">
        <v>45154.866782407407</v>
      </c>
      <c r="AG276" s="85">
        <v>45154</v>
      </c>
      <c r="AH276" s="80" t="s">
        <v>10874</v>
      </c>
      <c r="AI276" s="77" t="b">
        <v>0</v>
      </c>
      <c r="AJ276" s="77"/>
      <c r="AK276" s="77"/>
      <c r="AL276" s="77"/>
      <c r="AM276" s="77"/>
      <c r="AN276" s="77"/>
      <c r="AO276" s="77"/>
      <c r="AP276" s="77"/>
      <c r="AQ276" s="77"/>
      <c r="AR276" s="77"/>
      <c r="AS276" s="77"/>
      <c r="AT276" s="77"/>
      <c r="AU276" s="77"/>
      <c r="AV276" s="83" t="str">
        <f>HYPERLINK("https://pbs.twimg.com/profile_images/1631123379922059265/tQ9m-v7H_normal.jpg")</f>
        <v>https://pbs.twimg.com/profile_images/1631123379922059265/tQ9m-v7H_normal.jpg</v>
      </c>
      <c r="AW276" s="80" t="s">
        <v>16260</v>
      </c>
      <c r="AX276" s="80" t="s">
        <v>16260</v>
      </c>
      <c r="AY276" s="77"/>
      <c r="AZ276" s="80" t="s">
        <v>20380</v>
      </c>
      <c r="BA276" s="80" t="s">
        <v>20380</v>
      </c>
      <c r="BB276" s="80" t="s">
        <v>20380</v>
      </c>
      <c r="BC276" s="80" t="s">
        <v>16260</v>
      </c>
      <c r="BD276" s="77">
        <v>783159774</v>
      </c>
      <c r="BE276" s="77"/>
      <c r="BF276" s="77"/>
      <c r="BG276" s="77"/>
      <c r="BH276" s="77"/>
      <c r="BI276" s="77"/>
    </row>
    <row r="277" spans="1:61" x14ac:dyDescent="0.25">
      <c r="A277" s="62" t="s">
        <v>341</v>
      </c>
      <c r="B277" s="62" t="s">
        <v>341</v>
      </c>
      <c r="C277" s="63"/>
      <c r="D277" s="64"/>
      <c r="E277" s="65"/>
      <c r="F277" s="66"/>
      <c r="G277" s="63"/>
      <c r="H277" s="67"/>
      <c r="I277" s="68"/>
      <c r="J277" s="68"/>
      <c r="K277" s="32"/>
      <c r="L277" s="75">
        <v>277</v>
      </c>
      <c r="M277" s="75"/>
      <c r="N277" s="70"/>
      <c r="O277" s="77" t="s">
        <v>179</v>
      </c>
      <c r="P277" s="79">
        <v>45174.584178240744</v>
      </c>
      <c r="Q277" s="77" t="s">
        <v>2322</v>
      </c>
      <c r="R277" s="77">
        <v>1</v>
      </c>
      <c r="S277" s="77">
        <v>1</v>
      </c>
      <c r="T277" s="77">
        <v>0</v>
      </c>
      <c r="U277" s="77">
        <v>0</v>
      </c>
      <c r="V277" s="77">
        <v>107</v>
      </c>
      <c r="W277" s="80" t="s">
        <v>6096</v>
      </c>
      <c r="X277" s="83" t="str">
        <f>HYPERLINK("https://www.minhaoperadora.com.br/2023/09/pix-sem-internet-banco-central-promete-essa-e-outras-atualizacoes.html?utm_source=twitter&amp;utm_medium=conta")</f>
        <v>https://www.minhaoperadora.com.br/2023/09/pix-sem-internet-banco-central-promete-essa-e-outras-atualizacoes.html?utm_source=twitter&amp;utm_medium=conta</v>
      </c>
      <c r="Y277" s="77" t="s">
        <v>8611</v>
      </c>
      <c r="Z277" s="77"/>
      <c r="AA277" s="77"/>
      <c r="AB277" s="77"/>
      <c r="AC277" s="80" t="s">
        <v>10540</v>
      </c>
      <c r="AD277" s="77" t="s">
        <v>10617</v>
      </c>
      <c r="AE277" s="83" t="str">
        <f>HYPERLINK("https://twitter.com/minhaoperadora/status/1699060117193556477")</f>
        <v>https://twitter.com/minhaoperadora/status/1699060117193556477</v>
      </c>
      <c r="AF277" s="79">
        <v>45174.584178240744</v>
      </c>
      <c r="AG277" s="85">
        <v>45174</v>
      </c>
      <c r="AH277" s="80" t="s">
        <v>10875</v>
      </c>
      <c r="AI277" s="77" t="b">
        <v>0</v>
      </c>
      <c r="AJ277" s="77"/>
      <c r="AK277" s="77"/>
      <c r="AL277" s="77"/>
      <c r="AM277" s="77"/>
      <c r="AN277" s="77"/>
      <c r="AO277" s="77"/>
      <c r="AP277" s="77"/>
      <c r="AQ277" s="77"/>
      <c r="AR277" s="77"/>
      <c r="AS277" s="77"/>
      <c r="AT277" s="77"/>
      <c r="AU277" s="77"/>
      <c r="AV277" s="83" t="str">
        <f>HYPERLINK("https://pbs.twimg.com/profile_images/1631123379922059265/tQ9m-v7H_normal.jpg")</f>
        <v>https://pbs.twimg.com/profile_images/1631123379922059265/tQ9m-v7H_normal.jpg</v>
      </c>
      <c r="AW277" s="80" t="s">
        <v>16261</v>
      </c>
      <c r="AX277" s="80" t="s">
        <v>16261</v>
      </c>
      <c r="AY277" s="77"/>
      <c r="AZ277" s="80" t="s">
        <v>20380</v>
      </c>
      <c r="BA277" s="80" t="s">
        <v>20380</v>
      </c>
      <c r="BB277" s="80" t="s">
        <v>20380</v>
      </c>
      <c r="BC277" s="80" t="s">
        <v>16261</v>
      </c>
      <c r="BD277" s="77">
        <v>783159774</v>
      </c>
      <c r="BE277" s="77"/>
      <c r="BF277" s="77"/>
      <c r="BG277" s="77"/>
      <c r="BH277" s="77"/>
      <c r="BI277" s="77"/>
    </row>
    <row r="278" spans="1:61" x14ac:dyDescent="0.25">
      <c r="A278" s="62" t="s">
        <v>342</v>
      </c>
      <c r="B278" s="62" t="s">
        <v>342</v>
      </c>
      <c r="C278" s="63"/>
      <c r="D278" s="64"/>
      <c r="E278" s="65"/>
      <c r="F278" s="66"/>
      <c r="G278" s="63"/>
      <c r="H278" s="67"/>
      <c r="I278" s="68"/>
      <c r="J278" s="68"/>
      <c r="K278" s="32"/>
      <c r="L278" s="75">
        <v>278</v>
      </c>
      <c r="M278" s="75"/>
      <c r="N278" s="70"/>
      <c r="O278" s="77" t="s">
        <v>179</v>
      </c>
      <c r="P278" s="79">
        <v>45152.627534722225</v>
      </c>
      <c r="Q278" s="77" t="s">
        <v>2323</v>
      </c>
      <c r="R278" s="77">
        <v>0</v>
      </c>
      <c r="S278" s="77">
        <v>0</v>
      </c>
      <c r="T278" s="77">
        <v>0</v>
      </c>
      <c r="U278" s="77">
        <v>0</v>
      </c>
      <c r="V278" s="77">
        <v>10</v>
      </c>
      <c r="W278" s="80" t="s">
        <v>5884</v>
      </c>
      <c r="X278" s="77"/>
      <c r="Y278" s="77"/>
      <c r="Z278" s="77"/>
      <c r="AA278" s="77"/>
      <c r="AB278" s="77"/>
      <c r="AC278" s="80" t="s">
        <v>10540</v>
      </c>
      <c r="AD278" s="77" t="s">
        <v>10620</v>
      </c>
      <c r="AE278" s="83" t="str">
        <f>HYPERLINK("https://twitter.com/tengolibertad7/status/1691103295861907457")</f>
        <v>https://twitter.com/tengolibertad7/status/1691103295861907457</v>
      </c>
      <c r="AF278" s="79">
        <v>45152.627534722225</v>
      </c>
      <c r="AG278" s="85">
        <v>45152</v>
      </c>
      <c r="AH278" s="80" t="s">
        <v>10876</v>
      </c>
      <c r="AI278" s="77"/>
      <c r="AJ278" s="77"/>
      <c r="AK278" s="77"/>
      <c r="AL278" s="77"/>
      <c r="AM278" s="77"/>
      <c r="AN278" s="77"/>
      <c r="AO278" s="77"/>
      <c r="AP278" s="77"/>
      <c r="AQ278" s="77"/>
      <c r="AR278" s="77"/>
      <c r="AS278" s="77"/>
      <c r="AT278" s="77"/>
      <c r="AU278" s="77"/>
      <c r="AV278" s="83" t="str">
        <f>HYPERLINK("https://pbs.twimg.com/profile_images/1687970883745218560/AeddCnRp_normal.jpg")</f>
        <v>https://pbs.twimg.com/profile_images/1687970883745218560/AeddCnRp_normal.jpg</v>
      </c>
      <c r="AW278" s="80" t="s">
        <v>16262</v>
      </c>
      <c r="AX278" s="80" t="s">
        <v>16262</v>
      </c>
      <c r="AY278" s="77"/>
      <c r="AZ278" s="80" t="s">
        <v>20380</v>
      </c>
      <c r="BA278" s="80" t="s">
        <v>20380</v>
      </c>
      <c r="BB278" s="80" t="s">
        <v>20380</v>
      </c>
      <c r="BC278" s="80" t="s">
        <v>16262</v>
      </c>
      <c r="BD278" s="80" t="s">
        <v>20559</v>
      </c>
      <c r="BE278" s="77"/>
      <c r="BF278" s="77"/>
      <c r="BG278" s="77"/>
      <c r="BH278" s="77"/>
      <c r="BI278" s="77"/>
    </row>
    <row r="279" spans="1:61" x14ac:dyDescent="0.25">
      <c r="A279" s="62" t="s">
        <v>343</v>
      </c>
      <c r="B279" s="62" t="s">
        <v>1596</v>
      </c>
      <c r="C279" s="63"/>
      <c r="D279" s="64"/>
      <c r="E279" s="65"/>
      <c r="F279" s="66"/>
      <c r="G279" s="63"/>
      <c r="H279" s="67"/>
      <c r="I279" s="68"/>
      <c r="J279" s="68"/>
      <c r="K279" s="32"/>
      <c r="L279" s="75">
        <v>279</v>
      </c>
      <c r="M279" s="75"/>
      <c r="N279" s="70"/>
      <c r="O279" s="77" t="s">
        <v>2081</v>
      </c>
      <c r="P279" s="79">
        <v>45068.699756944443</v>
      </c>
      <c r="Q279" s="77" t="s">
        <v>2324</v>
      </c>
      <c r="R279" s="77">
        <v>0</v>
      </c>
      <c r="S279" s="77">
        <v>0</v>
      </c>
      <c r="T279" s="77">
        <v>0</v>
      </c>
      <c r="U279" s="77">
        <v>0</v>
      </c>
      <c r="V279" s="77">
        <v>33</v>
      </c>
      <c r="W279" s="80" t="s">
        <v>6008</v>
      </c>
      <c r="X279" s="83" t="str">
        <f>HYPERLINK("https://www.bcb.gov.br/publicacoes/focus")</f>
        <v>https://www.bcb.gov.br/publicacoes/focus</v>
      </c>
      <c r="Y279" s="77" t="s">
        <v>8633</v>
      </c>
      <c r="Z279" s="77" t="s">
        <v>1596</v>
      </c>
      <c r="AA279" s="77"/>
      <c r="AB279" s="77"/>
      <c r="AC279" s="80" t="s">
        <v>10540</v>
      </c>
      <c r="AD279" s="77" t="s">
        <v>10617</v>
      </c>
      <c r="AE279" s="83" t="str">
        <f>HYPERLINK("https://twitter.com/marcoswelber/status/1660688889294512129")</f>
        <v>https://twitter.com/marcoswelber/status/1660688889294512129</v>
      </c>
      <c r="AF279" s="79">
        <v>45068.699756944443</v>
      </c>
      <c r="AG279" s="85">
        <v>45068</v>
      </c>
      <c r="AH279" s="80" t="s">
        <v>10877</v>
      </c>
      <c r="AI279" s="77" t="b">
        <v>0</v>
      </c>
      <c r="AJ279" s="77"/>
      <c r="AK279" s="77"/>
      <c r="AL279" s="77"/>
      <c r="AM279" s="77"/>
      <c r="AN279" s="77"/>
      <c r="AO279" s="77"/>
      <c r="AP279" s="77"/>
      <c r="AQ279" s="77"/>
      <c r="AR279" s="77"/>
      <c r="AS279" s="77"/>
      <c r="AT279" s="77"/>
      <c r="AU279" s="77"/>
      <c r="AV279" s="83" t="str">
        <f>HYPERLINK("https://pbs.twimg.com/profile_images/1589303976385810434/dqFzyb9L_normal.jpg")</f>
        <v>https://pbs.twimg.com/profile_images/1589303976385810434/dqFzyb9L_normal.jpg</v>
      </c>
      <c r="AW279" s="80" t="s">
        <v>16263</v>
      </c>
      <c r="AX279" s="80" t="s">
        <v>16263</v>
      </c>
      <c r="AY279" s="77"/>
      <c r="AZ279" s="80" t="s">
        <v>20380</v>
      </c>
      <c r="BA279" s="80" t="s">
        <v>20380</v>
      </c>
      <c r="BB279" s="80" t="s">
        <v>20380</v>
      </c>
      <c r="BC279" s="80" t="s">
        <v>16263</v>
      </c>
      <c r="BD279" s="77">
        <v>66848542</v>
      </c>
      <c r="BE279" s="77"/>
      <c r="BF279" s="77"/>
      <c r="BG279" s="77"/>
      <c r="BH279" s="77"/>
      <c r="BI279" s="77"/>
    </row>
    <row r="280" spans="1:61" x14ac:dyDescent="0.25">
      <c r="A280" s="62" t="s">
        <v>344</v>
      </c>
      <c r="B280" s="62" t="s">
        <v>519</v>
      </c>
      <c r="C280" s="63"/>
      <c r="D280" s="64"/>
      <c r="E280" s="65"/>
      <c r="F280" s="66"/>
      <c r="G280" s="63"/>
      <c r="H280" s="67"/>
      <c r="I280" s="68"/>
      <c r="J280" s="68"/>
      <c r="K280" s="32"/>
      <c r="L280" s="75">
        <v>280</v>
      </c>
      <c r="M280" s="75"/>
      <c r="N280" s="70"/>
      <c r="O280" s="77" t="s">
        <v>2081</v>
      </c>
      <c r="P280" s="79">
        <v>45078.411469907405</v>
      </c>
      <c r="Q280" s="77" t="s">
        <v>2325</v>
      </c>
      <c r="R280" s="77">
        <v>0</v>
      </c>
      <c r="S280" s="77">
        <v>1</v>
      </c>
      <c r="T280" s="77">
        <v>0</v>
      </c>
      <c r="U280" s="77">
        <v>0</v>
      </c>
      <c r="V280" s="77">
        <v>23</v>
      </c>
      <c r="W280" s="80" t="s">
        <v>6097</v>
      </c>
      <c r="X280" s="83" t="str">
        <f>HYPERLINK("https://eldia.com.do/pedro-brache-medida-del-banco-central-traera-reduccion-de-precios/")</f>
        <v>https://eldia.com.do/pedro-brache-medida-del-banco-central-traera-reduccion-de-precios/</v>
      </c>
      <c r="Y280" s="77" t="s">
        <v>8625</v>
      </c>
      <c r="Z280" s="77" t="s">
        <v>519</v>
      </c>
      <c r="AA280" s="77"/>
      <c r="AB280" s="77"/>
      <c r="AC280" s="80" t="s">
        <v>10541</v>
      </c>
      <c r="AD280" s="77" t="s">
        <v>10620</v>
      </c>
      <c r="AE280" s="83" t="str">
        <f>HYPERLINK("https://twitter.com/guasabaraeditor/status/1664208293470912513")</f>
        <v>https://twitter.com/guasabaraeditor/status/1664208293470912513</v>
      </c>
      <c r="AF280" s="79">
        <v>45078.411469907405</v>
      </c>
      <c r="AG280" s="85">
        <v>45078</v>
      </c>
      <c r="AH280" s="80" t="s">
        <v>10878</v>
      </c>
      <c r="AI280" s="77" t="b">
        <v>0</v>
      </c>
      <c r="AJ280" s="77"/>
      <c r="AK280" s="77"/>
      <c r="AL280" s="77"/>
      <c r="AM280" s="77"/>
      <c r="AN280" s="77"/>
      <c r="AO280" s="77"/>
      <c r="AP280" s="77"/>
      <c r="AQ280" s="77"/>
      <c r="AR280" s="77"/>
      <c r="AS280" s="77"/>
      <c r="AT280" s="77"/>
      <c r="AU280" s="77"/>
      <c r="AV280" s="83" t="str">
        <f>HYPERLINK("https://pbs.twimg.com/profile_images/1259258175376838656/nt_5OKjN_normal.jpg")</f>
        <v>https://pbs.twimg.com/profile_images/1259258175376838656/nt_5OKjN_normal.jpg</v>
      </c>
      <c r="AW280" s="80" t="s">
        <v>16264</v>
      </c>
      <c r="AX280" s="80" t="s">
        <v>16264</v>
      </c>
      <c r="AY280" s="77"/>
      <c r="AZ280" s="80" t="s">
        <v>20380</v>
      </c>
      <c r="BA280" s="80" t="s">
        <v>20380</v>
      </c>
      <c r="BB280" s="80" t="s">
        <v>20380</v>
      </c>
      <c r="BC280" s="80" t="s">
        <v>16264</v>
      </c>
      <c r="BD280" s="77">
        <v>36545286</v>
      </c>
      <c r="BE280" s="77"/>
      <c r="BF280" s="77"/>
      <c r="BG280" s="77"/>
      <c r="BH280" s="77"/>
      <c r="BI280" s="77"/>
    </row>
    <row r="281" spans="1:61" x14ac:dyDescent="0.25">
      <c r="A281" s="62" t="s">
        <v>345</v>
      </c>
      <c r="B281" s="62" t="s">
        <v>345</v>
      </c>
      <c r="C281" s="63"/>
      <c r="D281" s="64"/>
      <c r="E281" s="65"/>
      <c r="F281" s="66"/>
      <c r="G281" s="63"/>
      <c r="H281" s="67"/>
      <c r="I281" s="68"/>
      <c r="J281" s="68"/>
      <c r="K281" s="32"/>
      <c r="L281" s="75">
        <v>281</v>
      </c>
      <c r="M281" s="75"/>
      <c r="N281" s="70"/>
      <c r="O281" s="77" t="s">
        <v>179</v>
      </c>
      <c r="P281" s="79">
        <v>45147.59778935185</v>
      </c>
      <c r="Q281" s="77" t="s">
        <v>2326</v>
      </c>
      <c r="R281" s="77">
        <v>0</v>
      </c>
      <c r="S281" s="77">
        <v>0</v>
      </c>
      <c r="T281" s="77">
        <v>0</v>
      </c>
      <c r="U281" s="77">
        <v>0</v>
      </c>
      <c r="V281" s="77">
        <v>218</v>
      </c>
      <c r="W281" s="80" t="s">
        <v>6098</v>
      </c>
      <c r="X281" s="77"/>
      <c r="Y281" s="77"/>
      <c r="Z281" s="77"/>
      <c r="AA281" s="77" t="s">
        <v>9120</v>
      </c>
      <c r="AB281" s="77" t="s">
        <v>10536</v>
      </c>
      <c r="AC281" s="80" t="s">
        <v>10541</v>
      </c>
      <c r="AD281" s="77" t="s">
        <v>10620</v>
      </c>
      <c r="AE281" s="83" t="str">
        <f>HYPERLINK("https://twitter.com/zorroplateado23/status/1689280578451894273")</f>
        <v>https://twitter.com/zorroplateado23/status/1689280578451894273</v>
      </c>
      <c r="AF281" s="79">
        <v>45147.59778935185</v>
      </c>
      <c r="AG281" s="85">
        <v>45147</v>
      </c>
      <c r="AH281" s="80" t="s">
        <v>10879</v>
      </c>
      <c r="AI281" s="77" t="b">
        <v>0</v>
      </c>
      <c r="AJ281" s="77"/>
      <c r="AK281" s="77"/>
      <c r="AL281" s="77"/>
      <c r="AM281" s="77"/>
      <c r="AN281" s="77"/>
      <c r="AO281" s="77"/>
      <c r="AP281" s="77"/>
      <c r="AQ281" s="77" t="s">
        <v>14602</v>
      </c>
      <c r="AR281" s="77"/>
      <c r="AS281" s="77"/>
      <c r="AT281" s="77"/>
      <c r="AU281" s="77"/>
      <c r="AV281" s="83" t="str">
        <f>HYPERLINK("https://pbs.twimg.com/media/F3GHCLxWoAADD0r.png")</f>
        <v>https://pbs.twimg.com/media/F3GHCLxWoAADD0r.png</v>
      </c>
      <c r="AW281" s="80" t="s">
        <v>16265</v>
      </c>
      <c r="AX281" s="80" t="s">
        <v>16265</v>
      </c>
      <c r="AY281" s="77"/>
      <c r="AZ281" s="80" t="s">
        <v>20380</v>
      </c>
      <c r="BA281" s="80" t="s">
        <v>20380</v>
      </c>
      <c r="BB281" s="80" t="s">
        <v>20380</v>
      </c>
      <c r="BC281" s="80" t="s">
        <v>16265</v>
      </c>
      <c r="BD281" s="77">
        <v>2321672670</v>
      </c>
      <c r="BE281" s="77"/>
      <c r="BF281" s="77"/>
      <c r="BG281" s="77"/>
      <c r="BH281" s="77"/>
      <c r="BI281" s="77"/>
    </row>
    <row r="282" spans="1:61" x14ac:dyDescent="0.25">
      <c r="A282" s="62" t="s">
        <v>345</v>
      </c>
      <c r="B282" s="62" t="s">
        <v>345</v>
      </c>
      <c r="C282" s="63"/>
      <c r="D282" s="64"/>
      <c r="E282" s="65"/>
      <c r="F282" s="66"/>
      <c r="G282" s="63"/>
      <c r="H282" s="67"/>
      <c r="I282" s="68"/>
      <c r="J282" s="68"/>
      <c r="K282" s="32"/>
      <c r="L282" s="75">
        <v>282</v>
      </c>
      <c r="M282" s="75"/>
      <c r="N282" s="70"/>
      <c r="O282" s="77" t="s">
        <v>179</v>
      </c>
      <c r="P282" s="79">
        <v>45152.564826388887</v>
      </c>
      <c r="Q282" s="77" t="s">
        <v>2327</v>
      </c>
      <c r="R282" s="77">
        <v>0</v>
      </c>
      <c r="S282" s="77">
        <v>0</v>
      </c>
      <c r="T282" s="77">
        <v>0</v>
      </c>
      <c r="U282" s="77">
        <v>0</v>
      </c>
      <c r="V282" s="77">
        <v>31</v>
      </c>
      <c r="W282" s="80" t="s">
        <v>6099</v>
      </c>
      <c r="X282" s="83" t="str">
        <f>HYPERLINK("https://www.elindependiente.com/tendencias/libros/2023/08/14/las-10-novelas-historicas-mas-grandes-de-todos-los-tiempos/#Andrea")</f>
        <v>https://www.elindependiente.com/tendencias/libros/2023/08/14/las-10-novelas-historicas-mas-grandes-de-todos-los-tiempos/#Andrea</v>
      </c>
      <c r="Y282" s="77" t="s">
        <v>8643</v>
      </c>
      <c r="Z282" s="77"/>
      <c r="AA282" s="77"/>
      <c r="AB282" s="77"/>
      <c r="AC282" s="80" t="s">
        <v>10540</v>
      </c>
      <c r="AD282" s="77" t="s">
        <v>10620</v>
      </c>
      <c r="AE282" s="83" t="str">
        <f>HYPERLINK("https://twitter.com/zorroplateado23/status/1691080571877818368")</f>
        <v>https://twitter.com/zorroplateado23/status/1691080571877818368</v>
      </c>
      <c r="AF282" s="79">
        <v>45152.564826388887</v>
      </c>
      <c r="AG282" s="85">
        <v>45152</v>
      </c>
      <c r="AH282" s="80" t="s">
        <v>10880</v>
      </c>
      <c r="AI282" s="77" t="b">
        <v>0</v>
      </c>
      <c r="AJ282" s="77"/>
      <c r="AK282" s="77"/>
      <c r="AL282" s="77"/>
      <c r="AM282" s="77"/>
      <c r="AN282" s="77"/>
      <c r="AO282" s="77"/>
      <c r="AP282" s="77"/>
      <c r="AQ282" s="77"/>
      <c r="AR282" s="77"/>
      <c r="AS282" s="77"/>
      <c r="AT282" s="77"/>
      <c r="AU282" s="77"/>
      <c r="AV282" s="83" t="str">
        <f>HYPERLINK("https://pbs.twimg.com/profile_images/1661776630858100747/3Z5IUjS5_normal.jpg")</f>
        <v>https://pbs.twimg.com/profile_images/1661776630858100747/3Z5IUjS5_normal.jpg</v>
      </c>
      <c r="AW282" s="80" t="s">
        <v>16266</v>
      </c>
      <c r="AX282" s="80" t="s">
        <v>16266</v>
      </c>
      <c r="AY282" s="77"/>
      <c r="AZ282" s="80" t="s">
        <v>20380</v>
      </c>
      <c r="BA282" s="80" t="s">
        <v>20380</v>
      </c>
      <c r="BB282" s="80" t="s">
        <v>20380</v>
      </c>
      <c r="BC282" s="80" t="s">
        <v>16266</v>
      </c>
      <c r="BD282" s="77">
        <v>2321672670</v>
      </c>
      <c r="BE282" s="77"/>
      <c r="BF282" s="77"/>
      <c r="BG282" s="77"/>
      <c r="BH282" s="77"/>
      <c r="BI282" s="77"/>
    </row>
    <row r="283" spans="1:61" x14ac:dyDescent="0.25">
      <c r="A283" s="62" t="s">
        <v>345</v>
      </c>
      <c r="B283" s="62" t="s">
        <v>345</v>
      </c>
      <c r="C283" s="63"/>
      <c r="D283" s="64"/>
      <c r="E283" s="65"/>
      <c r="F283" s="66"/>
      <c r="G283" s="63"/>
      <c r="H283" s="67"/>
      <c r="I283" s="68"/>
      <c r="J283" s="68"/>
      <c r="K283" s="32"/>
      <c r="L283" s="75">
        <v>283</v>
      </c>
      <c r="M283" s="75"/>
      <c r="N283" s="70"/>
      <c r="O283" s="77" t="s">
        <v>179</v>
      </c>
      <c r="P283" s="79">
        <v>45152.53125</v>
      </c>
      <c r="Q283" s="77" t="s">
        <v>2328</v>
      </c>
      <c r="R283" s="77">
        <v>0</v>
      </c>
      <c r="S283" s="77">
        <v>0</v>
      </c>
      <c r="T283" s="77">
        <v>0</v>
      </c>
      <c r="U283" s="77">
        <v>0</v>
      </c>
      <c r="V283" s="77">
        <v>54</v>
      </c>
      <c r="W283" s="80" t="s">
        <v>6100</v>
      </c>
      <c r="X283" s="77"/>
      <c r="Y283" s="77"/>
      <c r="Z283" s="77"/>
      <c r="AA283" s="77" t="s">
        <v>9121</v>
      </c>
      <c r="AB283" s="77" t="s">
        <v>10535</v>
      </c>
      <c r="AC283" s="80" t="s">
        <v>10541</v>
      </c>
      <c r="AD283" s="77" t="s">
        <v>10620</v>
      </c>
      <c r="AE283" s="83" t="str">
        <f>HYPERLINK("https://twitter.com/zorroplateado23/status/1691068404675809281")</f>
        <v>https://twitter.com/zorroplateado23/status/1691068404675809281</v>
      </c>
      <c r="AF283" s="79">
        <v>45152.53125</v>
      </c>
      <c r="AG283" s="85">
        <v>45152</v>
      </c>
      <c r="AH283" s="80" t="s">
        <v>10881</v>
      </c>
      <c r="AI283" s="77" t="b">
        <v>0</v>
      </c>
      <c r="AJ283" s="77"/>
      <c r="AK283" s="77"/>
      <c r="AL283" s="77"/>
      <c r="AM283" s="77"/>
      <c r="AN283" s="77"/>
      <c r="AO283" s="77"/>
      <c r="AP283" s="77"/>
      <c r="AQ283" s="77" t="s">
        <v>14603</v>
      </c>
      <c r="AR283" s="77"/>
      <c r="AS283" s="77"/>
      <c r="AT283" s="77"/>
      <c r="AU283" s="77"/>
      <c r="AV283" s="83" t="str">
        <f>HYPERLINK("https://pbs.twimg.com/media/F3fhHP1WUAA3sYg.png")</f>
        <v>https://pbs.twimg.com/media/F3fhHP1WUAA3sYg.png</v>
      </c>
      <c r="AW283" s="80" t="s">
        <v>16267</v>
      </c>
      <c r="AX283" s="80" t="s">
        <v>16267</v>
      </c>
      <c r="AY283" s="77"/>
      <c r="AZ283" s="80" t="s">
        <v>20380</v>
      </c>
      <c r="BA283" s="80" t="s">
        <v>20380</v>
      </c>
      <c r="BB283" s="80" t="s">
        <v>20380</v>
      </c>
      <c r="BC283" s="80" t="s">
        <v>16267</v>
      </c>
      <c r="BD283" s="77">
        <v>2321672670</v>
      </c>
      <c r="BE283" s="77"/>
      <c r="BF283" s="77"/>
      <c r="BG283" s="77"/>
      <c r="BH283" s="77"/>
      <c r="BI283" s="77"/>
    </row>
    <row r="284" spans="1:61" x14ac:dyDescent="0.25">
      <c r="A284" s="62" t="s">
        <v>345</v>
      </c>
      <c r="B284" s="62" t="s">
        <v>345</v>
      </c>
      <c r="C284" s="63"/>
      <c r="D284" s="64"/>
      <c r="E284" s="65"/>
      <c r="F284" s="66"/>
      <c r="G284" s="63"/>
      <c r="H284" s="67"/>
      <c r="I284" s="68"/>
      <c r="J284" s="68"/>
      <c r="K284" s="32"/>
      <c r="L284" s="75">
        <v>284</v>
      </c>
      <c r="M284" s="75"/>
      <c r="N284" s="70"/>
      <c r="O284" s="77" t="s">
        <v>179</v>
      </c>
      <c r="P284" s="79">
        <v>45152.518773148149</v>
      </c>
      <c r="Q284" s="77" t="s">
        <v>2329</v>
      </c>
      <c r="R284" s="77">
        <v>0</v>
      </c>
      <c r="S284" s="77">
        <v>0</v>
      </c>
      <c r="T284" s="77">
        <v>0</v>
      </c>
      <c r="U284" s="77">
        <v>0</v>
      </c>
      <c r="V284" s="77">
        <v>45</v>
      </c>
      <c r="W284" s="80" t="s">
        <v>6101</v>
      </c>
      <c r="X284" s="77"/>
      <c r="Y284" s="77"/>
      <c r="Z284" s="77"/>
      <c r="AA284" s="77" t="s">
        <v>9122</v>
      </c>
      <c r="AB284" s="77" t="s">
        <v>10536</v>
      </c>
      <c r="AC284" s="80" t="s">
        <v>10541</v>
      </c>
      <c r="AD284" s="77" t="s">
        <v>10620</v>
      </c>
      <c r="AE284" s="83" t="str">
        <f>HYPERLINK("https://twitter.com/zorroplateado23/status/1691063882716938240")</f>
        <v>https://twitter.com/zorroplateado23/status/1691063882716938240</v>
      </c>
      <c r="AF284" s="79">
        <v>45152.518773148149</v>
      </c>
      <c r="AG284" s="85">
        <v>45152</v>
      </c>
      <c r="AH284" s="80" t="s">
        <v>10882</v>
      </c>
      <c r="AI284" s="77" t="b">
        <v>0</v>
      </c>
      <c r="AJ284" s="77"/>
      <c r="AK284" s="77"/>
      <c r="AL284" s="77"/>
      <c r="AM284" s="77"/>
      <c r="AN284" s="77"/>
      <c r="AO284" s="77"/>
      <c r="AP284" s="77"/>
      <c r="AQ284" s="77" t="s">
        <v>14604</v>
      </c>
      <c r="AR284" s="77"/>
      <c r="AS284" s="77"/>
      <c r="AT284" s="77"/>
      <c r="AU284" s="77"/>
      <c r="AV284" s="83" t="str">
        <f>HYPERLINK("https://pbs.twimg.com/media/F3fdP29XMAAX1-v.png")</f>
        <v>https://pbs.twimg.com/media/F3fdP29XMAAX1-v.png</v>
      </c>
      <c r="AW284" s="80" t="s">
        <v>16268</v>
      </c>
      <c r="AX284" s="80" t="s">
        <v>16268</v>
      </c>
      <c r="AY284" s="77"/>
      <c r="AZ284" s="80" t="s">
        <v>20380</v>
      </c>
      <c r="BA284" s="80" t="s">
        <v>20380</v>
      </c>
      <c r="BB284" s="80" t="s">
        <v>20380</v>
      </c>
      <c r="BC284" s="80" t="s">
        <v>16268</v>
      </c>
      <c r="BD284" s="77">
        <v>2321672670</v>
      </c>
      <c r="BE284" s="77"/>
      <c r="BF284" s="77"/>
      <c r="BG284" s="77"/>
      <c r="BH284" s="77"/>
      <c r="BI284" s="77"/>
    </row>
    <row r="285" spans="1:61" x14ac:dyDescent="0.25">
      <c r="A285" s="62" t="s">
        <v>345</v>
      </c>
      <c r="B285" s="62" t="s">
        <v>345</v>
      </c>
      <c r="C285" s="63"/>
      <c r="D285" s="64"/>
      <c r="E285" s="65"/>
      <c r="F285" s="66"/>
      <c r="G285" s="63"/>
      <c r="H285" s="67"/>
      <c r="I285" s="68"/>
      <c r="J285" s="68"/>
      <c r="K285" s="32"/>
      <c r="L285" s="75">
        <v>285</v>
      </c>
      <c r="M285" s="75"/>
      <c r="N285" s="70"/>
      <c r="O285" s="77" t="s">
        <v>179</v>
      </c>
      <c r="P285" s="79">
        <v>45152.511562500003</v>
      </c>
      <c r="Q285" s="77" t="s">
        <v>2330</v>
      </c>
      <c r="R285" s="77">
        <v>0</v>
      </c>
      <c r="S285" s="77">
        <v>1</v>
      </c>
      <c r="T285" s="77">
        <v>0</v>
      </c>
      <c r="U285" s="77">
        <v>0</v>
      </c>
      <c r="V285" s="77">
        <v>424</v>
      </c>
      <c r="W285" s="80" t="s">
        <v>6102</v>
      </c>
      <c r="X285" s="77"/>
      <c r="Y285" s="77"/>
      <c r="Z285" s="77"/>
      <c r="AA285" s="77" t="s">
        <v>9123</v>
      </c>
      <c r="AB285" s="77" t="s">
        <v>10536</v>
      </c>
      <c r="AC285" s="80" t="s">
        <v>10541</v>
      </c>
      <c r="AD285" s="77" t="s">
        <v>10620</v>
      </c>
      <c r="AE285" s="83" t="str">
        <f>HYPERLINK("https://twitter.com/zorroplateado23/status/1691061269426581504")</f>
        <v>https://twitter.com/zorroplateado23/status/1691061269426581504</v>
      </c>
      <c r="AF285" s="79">
        <v>45152.511562500003</v>
      </c>
      <c r="AG285" s="85">
        <v>45152</v>
      </c>
      <c r="AH285" s="80" t="s">
        <v>10883</v>
      </c>
      <c r="AI285" s="77" t="b">
        <v>0</v>
      </c>
      <c r="AJ285" s="77"/>
      <c r="AK285" s="77"/>
      <c r="AL285" s="77"/>
      <c r="AM285" s="77"/>
      <c r="AN285" s="77"/>
      <c r="AO285" s="77"/>
      <c r="AP285" s="77"/>
      <c r="AQ285" s="77" t="s">
        <v>14605</v>
      </c>
      <c r="AR285" s="77"/>
      <c r="AS285" s="77"/>
      <c r="AT285" s="77"/>
      <c r="AU285" s="77"/>
      <c r="AV285" s="83" t="str">
        <f>HYPERLINK("https://pbs.twimg.com/media/F3fameLXsAAD4Ml.png")</f>
        <v>https://pbs.twimg.com/media/F3fameLXsAAD4Ml.png</v>
      </c>
      <c r="AW285" s="80" t="s">
        <v>16269</v>
      </c>
      <c r="AX285" s="80" t="s">
        <v>16269</v>
      </c>
      <c r="AY285" s="77"/>
      <c r="AZ285" s="80" t="s">
        <v>20380</v>
      </c>
      <c r="BA285" s="80" t="s">
        <v>20380</v>
      </c>
      <c r="BB285" s="80" t="s">
        <v>20380</v>
      </c>
      <c r="BC285" s="80" t="s">
        <v>16269</v>
      </c>
      <c r="BD285" s="77">
        <v>2321672670</v>
      </c>
      <c r="BE285" s="77"/>
      <c r="BF285" s="77"/>
      <c r="BG285" s="77"/>
      <c r="BH285" s="77"/>
      <c r="BI285" s="77"/>
    </row>
    <row r="286" spans="1:61" x14ac:dyDescent="0.25">
      <c r="A286" s="62" t="s">
        <v>345</v>
      </c>
      <c r="B286" s="62" t="s">
        <v>345</v>
      </c>
      <c r="C286" s="63"/>
      <c r="D286" s="64"/>
      <c r="E286" s="65"/>
      <c r="F286" s="66"/>
      <c r="G286" s="63"/>
      <c r="H286" s="67"/>
      <c r="I286" s="68"/>
      <c r="J286" s="68"/>
      <c r="K286" s="32"/>
      <c r="L286" s="75">
        <v>286</v>
      </c>
      <c r="M286" s="75"/>
      <c r="N286" s="70"/>
      <c r="O286" s="77" t="s">
        <v>179</v>
      </c>
      <c r="P286" s="79">
        <v>45196.83320601852</v>
      </c>
      <c r="Q286" s="77" t="s">
        <v>2331</v>
      </c>
      <c r="R286" s="77">
        <v>0</v>
      </c>
      <c r="S286" s="77">
        <v>0</v>
      </c>
      <c r="T286" s="77">
        <v>0</v>
      </c>
      <c r="U286" s="77">
        <v>0</v>
      </c>
      <c r="V286" s="77">
        <v>46</v>
      </c>
      <c r="W286" s="80" t="s">
        <v>6103</v>
      </c>
      <c r="X286" s="77"/>
      <c r="Y286" s="77"/>
      <c r="Z286" s="77"/>
      <c r="AA286" s="77" t="s">
        <v>9124</v>
      </c>
      <c r="AB286" s="77" t="s">
        <v>10536</v>
      </c>
      <c r="AC286" s="80" t="s">
        <v>10541</v>
      </c>
      <c r="AD286" s="77" t="s">
        <v>10620</v>
      </c>
      <c r="AE286" s="83" t="str">
        <f>HYPERLINK("https://twitter.com/zorroplateado23/status/1707122893727863281")</f>
        <v>https://twitter.com/zorroplateado23/status/1707122893727863281</v>
      </c>
      <c r="AF286" s="79">
        <v>45196.83320601852</v>
      </c>
      <c r="AG286" s="85">
        <v>45196</v>
      </c>
      <c r="AH286" s="80" t="s">
        <v>10884</v>
      </c>
      <c r="AI286" s="77" t="b">
        <v>0</v>
      </c>
      <c r="AJ286" s="77"/>
      <c r="AK286" s="77"/>
      <c r="AL286" s="77"/>
      <c r="AM286" s="77"/>
      <c r="AN286" s="77"/>
      <c r="AO286" s="77"/>
      <c r="AP286" s="77"/>
      <c r="AQ286" s="77" t="s">
        <v>14606</v>
      </c>
      <c r="AR286" s="77"/>
      <c r="AS286" s="77"/>
      <c r="AT286" s="77"/>
      <c r="AU286" s="77"/>
      <c r="AV286" s="83" t="str">
        <f>HYPERLINK("https://pbs.twimg.com/media/F7DquXkWIAAkFfK.png")</f>
        <v>https://pbs.twimg.com/media/F7DquXkWIAAkFfK.png</v>
      </c>
      <c r="AW286" s="80" t="s">
        <v>16270</v>
      </c>
      <c r="AX286" s="80" t="s">
        <v>16270</v>
      </c>
      <c r="AY286" s="77"/>
      <c r="AZ286" s="80" t="s">
        <v>20380</v>
      </c>
      <c r="BA286" s="80" t="s">
        <v>20380</v>
      </c>
      <c r="BB286" s="80" t="s">
        <v>20380</v>
      </c>
      <c r="BC286" s="80" t="s">
        <v>16270</v>
      </c>
      <c r="BD286" s="77">
        <v>2321672670</v>
      </c>
      <c r="BE286" s="77"/>
      <c r="BF286" s="77"/>
      <c r="BG286" s="77"/>
      <c r="BH286" s="77"/>
      <c r="BI286" s="77"/>
    </row>
    <row r="287" spans="1:61" x14ac:dyDescent="0.25">
      <c r="A287" s="62" t="s">
        <v>345</v>
      </c>
      <c r="B287" s="62" t="s">
        <v>345</v>
      </c>
      <c r="C287" s="63"/>
      <c r="D287" s="64"/>
      <c r="E287" s="65"/>
      <c r="F287" s="66"/>
      <c r="G287" s="63"/>
      <c r="H287" s="67"/>
      <c r="I287" s="68"/>
      <c r="J287" s="68"/>
      <c r="K287" s="32"/>
      <c r="L287" s="75">
        <v>287</v>
      </c>
      <c r="M287" s="75"/>
      <c r="N287" s="70"/>
      <c r="O287" s="77" t="s">
        <v>179</v>
      </c>
      <c r="P287" s="79">
        <v>45152.872835648152</v>
      </c>
      <c r="Q287" s="77" t="s">
        <v>2332</v>
      </c>
      <c r="R287" s="77">
        <v>0</v>
      </c>
      <c r="S287" s="77">
        <v>0</v>
      </c>
      <c r="T287" s="77">
        <v>0</v>
      </c>
      <c r="U287" s="77">
        <v>0</v>
      </c>
      <c r="V287" s="77">
        <v>81</v>
      </c>
      <c r="W287" s="80" t="s">
        <v>6104</v>
      </c>
      <c r="X287" s="83" t="str">
        <f>HYPERLINK("https://go.shr.lc/3C03HiL")</f>
        <v>https://go.shr.lc/3C03HiL</v>
      </c>
      <c r="Y287" s="77" t="s">
        <v>8644</v>
      </c>
      <c r="Z287" s="77"/>
      <c r="AA287" s="77"/>
      <c r="AB287" s="77"/>
      <c r="AC287" s="80" t="s">
        <v>10541</v>
      </c>
      <c r="AD287" s="77" t="s">
        <v>10620</v>
      </c>
      <c r="AE287" s="83" t="str">
        <f>HYPERLINK("https://twitter.com/zorroplateado23/status/1691192190746398722")</f>
        <v>https://twitter.com/zorroplateado23/status/1691192190746398722</v>
      </c>
      <c r="AF287" s="79">
        <v>45152.872835648152</v>
      </c>
      <c r="AG287" s="85">
        <v>45152</v>
      </c>
      <c r="AH287" s="80" t="s">
        <v>10885</v>
      </c>
      <c r="AI287" s="77" t="b">
        <v>0</v>
      </c>
      <c r="AJ287" s="77"/>
      <c r="AK287" s="77"/>
      <c r="AL287" s="77"/>
      <c r="AM287" s="77"/>
      <c r="AN287" s="77"/>
      <c r="AO287" s="77"/>
      <c r="AP287" s="77"/>
      <c r="AQ287" s="77"/>
      <c r="AR287" s="77"/>
      <c r="AS287" s="77"/>
      <c r="AT287" s="77"/>
      <c r="AU287" s="77"/>
      <c r="AV287" s="83" t="str">
        <f>HYPERLINK("https://pbs.twimg.com/profile_images/1661776630858100747/3Z5IUjS5_normal.jpg")</f>
        <v>https://pbs.twimg.com/profile_images/1661776630858100747/3Z5IUjS5_normal.jpg</v>
      </c>
      <c r="AW287" s="80" t="s">
        <v>16271</v>
      </c>
      <c r="AX287" s="80" t="s">
        <v>16271</v>
      </c>
      <c r="AY287" s="77"/>
      <c r="AZ287" s="80" t="s">
        <v>20380</v>
      </c>
      <c r="BA287" s="80" t="s">
        <v>20380</v>
      </c>
      <c r="BB287" s="80" t="s">
        <v>20380</v>
      </c>
      <c r="BC287" s="80" t="s">
        <v>16271</v>
      </c>
      <c r="BD287" s="77">
        <v>2321672670</v>
      </c>
      <c r="BE287" s="77"/>
      <c r="BF287" s="77"/>
      <c r="BG287" s="77"/>
      <c r="BH287" s="77"/>
      <c r="BI287" s="77"/>
    </row>
    <row r="288" spans="1:61" x14ac:dyDescent="0.25">
      <c r="A288" s="62" t="s">
        <v>346</v>
      </c>
      <c r="B288" s="62" t="s">
        <v>1729</v>
      </c>
      <c r="C288" s="63"/>
      <c r="D288" s="64"/>
      <c r="E288" s="65"/>
      <c r="F288" s="66"/>
      <c r="G288" s="63"/>
      <c r="H288" s="67"/>
      <c r="I288" s="68"/>
      <c r="J288" s="68"/>
      <c r="K288" s="32"/>
      <c r="L288" s="75">
        <v>288</v>
      </c>
      <c r="M288" s="75"/>
      <c r="N288" s="70"/>
      <c r="O288" s="77" t="s">
        <v>2084</v>
      </c>
      <c r="P288" s="79">
        <v>45096.950821759259</v>
      </c>
      <c r="Q288" s="77" t="s">
        <v>2333</v>
      </c>
      <c r="R288" s="77">
        <v>2</v>
      </c>
      <c r="S288" s="77">
        <v>4</v>
      </c>
      <c r="T288" s="77">
        <v>0</v>
      </c>
      <c r="U288" s="77">
        <v>0</v>
      </c>
      <c r="V288" s="77">
        <v>207</v>
      </c>
      <c r="W288" s="80" t="s">
        <v>6105</v>
      </c>
      <c r="X288" s="77"/>
      <c r="Y288" s="77"/>
      <c r="Z288" s="77" t="s">
        <v>1729</v>
      </c>
      <c r="AA288" s="77"/>
      <c r="AB288" s="77"/>
      <c r="AC288" s="80" t="s">
        <v>10540</v>
      </c>
      <c r="AD288" s="77" t="s">
        <v>10620</v>
      </c>
      <c r="AE288" s="83" t="str">
        <f>HYPERLINK("https://twitter.com/mster87322547/status/1670926731849392128")</f>
        <v>https://twitter.com/mster87322547/status/1670926731849392128</v>
      </c>
      <c r="AF288" s="79">
        <v>45096.950821759259</v>
      </c>
      <c r="AG288" s="85">
        <v>45096</v>
      </c>
      <c r="AH288" s="80" t="s">
        <v>10886</v>
      </c>
      <c r="AI288" s="77"/>
      <c r="AJ288" s="77"/>
      <c r="AK288" s="77"/>
      <c r="AL288" s="77"/>
      <c r="AM288" s="77"/>
      <c r="AN288" s="77"/>
      <c r="AO288" s="77"/>
      <c r="AP288" s="77"/>
      <c r="AQ288" s="77"/>
      <c r="AR288" s="77"/>
      <c r="AS288" s="77"/>
      <c r="AT288" s="77"/>
      <c r="AU288" s="77"/>
      <c r="AV288" s="83" t="str">
        <f>HYPERLINK("https://pbs.twimg.com/profile_images/1362881914512830464/bTs_6a0y_normal.jpg")</f>
        <v>https://pbs.twimg.com/profile_images/1362881914512830464/bTs_6a0y_normal.jpg</v>
      </c>
      <c r="AW288" s="80" t="s">
        <v>16272</v>
      </c>
      <c r="AX288" s="80" t="s">
        <v>16272</v>
      </c>
      <c r="AY288" s="77"/>
      <c r="AZ288" s="80" t="s">
        <v>20380</v>
      </c>
      <c r="BA288" s="80" t="s">
        <v>18282</v>
      </c>
      <c r="BB288" s="80" t="s">
        <v>20380</v>
      </c>
      <c r="BC288" s="80" t="s">
        <v>18282</v>
      </c>
      <c r="BD288" s="80" t="s">
        <v>20560</v>
      </c>
      <c r="BE288" s="77"/>
      <c r="BF288" s="77"/>
      <c r="BG288" s="77"/>
      <c r="BH288" s="77"/>
      <c r="BI288" s="77"/>
    </row>
    <row r="289" spans="1:61" x14ac:dyDescent="0.25">
      <c r="A289" s="62" t="s">
        <v>346</v>
      </c>
      <c r="B289" s="62" t="s">
        <v>1026</v>
      </c>
      <c r="C289" s="63"/>
      <c r="D289" s="64"/>
      <c r="E289" s="65"/>
      <c r="F289" s="66"/>
      <c r="G289" s="63"/>
      <c r="H289" s="67"/>
      <c r="I289" s="68"/>
      <c r="J289" s="68"/>
      <c r="K289" s="32"/>
      <c r="L289" s="75">
        <v>289</v>
      </c>
      <c r="M289" s="75"/>
      <c r="N289" s="70"/>
      <c r="O289" s="77" t="s">
        <v>2082</v>
      </c>
      <c r="P289" s="79">
        <v>45096.950821759259</v>
      </c>
      <c r="Q289" s="77" t="s">
        <v>2333</v>
      </c>
      <c r="R289" s="77">
        <v>2</v>
      </c>
      <c r="S289" s="77">
        <v>4</v>
      </c>
      <c r="T289" s="77">
        <v>0</v>
      </c>
      <c r="U289" s="77">
        <v>0</v>
      </c>
      <c r="V289" s="77">
        <v>207</v>
      </c>
      <c r="W289" s="80" t="s">
        <v>6105</v>
      </c>
      <c r="X289" s="77"/>
      <c r="Y289" s="77"/>
      <c r="Z289" s="77" t="s">
        <v>1729</v>
      </c>
      <c r="AA289" s="77"/>
      <c r="AB289" s="77"/>
      <c r="AC289" s="80" t="s">
        <v>10540</v>
      </c>
      <c r="AD289" s="77" t="s">
        <v>10620</v>
      </c>
      <c r="AE289" s="83" t="str">
        <f>HYPERLINK("https://twitter.com/mster87322547/status/1670926731849392128")</f>
        <v>https://twitter.com/mster87322547/status/1670926731849392128</v>
      </c>
      <c r="AF289" s="79">
        <v>45096.950821759259</v>
      </c>
      <c r="AG289" s="85">
        <v>45096</v>
      </c>
      <c r="AH289" s="80" t="s">
        <v>10886</v>
      </c>
      <c r="AI289" s="77"/>
      <c r="AJ289" s="77"/>
      <c r="AK289" s="77"/>
      <c r="AL289" s="77"/>
      <c r="AM289" s="77"/>
      <c r="AN289" s="77"/>
      <c r="AO289" s="77"/>
      <c r="AP289" s="77"/>
      <c r="AQ289" s="77"/>
      <c r="AR289" s="77"/>
      <c r="AS289" s="77"/>
      <c r="AT289" s="77"/>
      <c r="AU289" s="77"/>
      <c r="AV289" s="83" t="str">
        <f>HYPERLINK("https://pbs.twimg.com/profile_images/1362881914512830464/bTs_6a0y_normal.jpg")</f>
        <v>https://pbs.twimg.com/profile_images/1362881914512830464/bTs_6a0y_normal.jpg</v>
      </c>
      <c r="AW289" s="80" t="s">
        <v>16272</v>
      </c>
      <c r="AX289" s="80" t="s">
        <v>16272</v>
      </c>
      <c r="AY289" s="77"/>
      <c r="AZ289" s="80" t="s">
        <v>20380</v>
      </c>
      <c r="BA289" s="80" t="s">
        <v>18282</v>
      </c>
      <c r="BB289" s="80" t="s">
        <v>20380</v>
      </c>
      <c r="BC289" s="80" t="s">
        <v>18282</v>
      </c>
      <c r="BD289" s="80" t="s">
        <v>20560</v>
      </c>
      <c r="BE289" s="77"/>
      <c r="BF289" s="77"/>
      <c r="BG289" s="77"/>
      <c r="BH289" s="77"/>
      <c r="BI289" s="77"/>
    </row>
    <row r="290" spans="1:61" x14ac:dyDescent="0.25">
      <c r="A290" s="62" t="s">
        <v>347</v>
      </c>
      <c r="B290" s="62" t="s">
        <v>347</v>
      </c>
      <c r="C290" s="63"/>
      <c r="D290" s="64"/>
      <c r="E290" s="65"/>
      <c r="F290" s="66"/>
      <c r="G290" s="63"/>
      <c r="H290" s="67"/>
      <c r="I290" s="68"/>
      <c r="J290" s="68"/>
      <c r="K290" s="32"/>
      <c r="L290" s="75">
        <v>290</v>
      </c>
      <c r="M290" s="75"/>
      <c r="N290" s="70"/>
      <c r="O290" s="77" t="s">
        <v>179</v>
      </c>
      <c r="P290" s="79">
        <v>45071.519930555558</v>
      </c>
      <c r="Q290" s="77" t="s">
        <v>2334</v>
      </c>
      <c r="R290" s="77">
        <v>0</v>
      </c>
      <c r="S290" s="77">
        <v>0</v>
      </c>
      <c r="T290" s="77">
        <v>0</v>
      </c>
      <c r="U290" s="77">
        <v>0</v>
      </c>
      <c r="V290" s="77">
        <v>20</v>
      </c>
      <c r="W290" s="80" t="s">
        <v>6106</v>
      </c>
      <c r="X290" s="83" t="str">
        <f>HYPERLINK("https://www.pauta.cl/economia/requerimiento-capital-contraciclico-activado-banco-central-creditos-efectos")</f>
        <v>https://www.pauta.cl/economia/requerimiento-capital-contraciclico-activado-banco-central-creditos-efectos</v>
      </c>
      <c r="Y290" s="77" t="s">
        <v>8645</v>
      </c>
      <c r="Z290" s="77"/>
      <c r="AA290" s="77"/>
      <c r="AB290" s="77"/>
      <c r="AC290" s="80" t="s">
        <v>10542</v>
      </c>
      <c r="AD290" s="77" t="s">
        <v>10620</v>
      </c>
      <c r="AE290" s="83" t="str">
        <f>HYPERLINK("https://twitter.com/maureengubbins/status/1661710885717434369")</f>
        <v>https://twitter.com/maureengubbins/status/1661710885717434369</v>
      </c>
      <c r="AF290" s="79">
        <v>45071.519930555558</v>
      </c>
      <c r="AG290" s="85">
        <v>45071</v>
      </c>
      <c r="AH290" s="80" t="s">
        <v>10887</v>
      </c>
      <c r="AI290" s="77" t="b">
        <v>1</v>
      </c>
      <c r="AJ290" s="77"/>
      <c r="AK290" s="77"/>
      <c r="AL290" s="77"/>
      <c r="AM290" s="77"/>
      <c r="AN290" s="77"/>
      <c r="AO290" s="77"/>
      <c r="AP290" s="77"/>
      <c r="AQ290" s="77"/>
      <c r="AR290" s="77"/>
      <c r="AS290" s="77"/>
      <c r="AT290" s="77"/>
      <c r="AU290" s="77"/>
      <c r="AV290" s="83" t="str">
        <f>HYPERLINK("https://pbs.twimg.com/profile_images/782183093209817088/JmuKIFk6_normal.jpg")</f>
        <v>https://pbs.twimg.com/profile_images/782183093209817088/JmuKIFk6_normal.jpg</v>
      </c>
      <c r="AW290" s="80" t="s">
        <v>16273</v>
      </c>
      <c r="AX290" s="80" t="s">
        <v>16273</v>
      </c>
      <c r="AY290" s="77"/>
      <c r="AZ290" s="80" t="s">
        <v>20380</v>
      </c>
      <c r="BA290" s="80" t="s">
        <v>20380</v>
      </c>
      <c r="BB290" s="80" t="s">
        <v>20380</v>
      </c>
      <c r="BC290" s="80" t="s">
        <v>16273</v>
      </c>
      <c r="BD290" s="77">
        <v>80281517</v>
      </c>
      <c r="BE290" s="77"/>
      <c r="BF290" s="77"/>
      <c r="BG290" s="77"/>
      <c r="BH290" s="77"/>
      <c r="BI290" s="77"/>
    </row>
    <row r="291" spans="1:61" x14ac:dyDescent="0.25">
      <c r="A291" s="62" t="s">
        <v>348</v>
      </c>
      <c r="B291" s="62" t="s">
        <v>1655</v>
      </c>
      <c r="C291" s="63"/>
      <c r="D291" s="64"/>
      <c r="E291" s="65"/>
      <c r="F291" s="66"/>
      <c r="G291" s="63"/>
      <c r="H291" s="67"/>
      <c r="I291" s="68"/>
      <c r="J291" s="68"/>
      <c r="K291" s="32"/>
      <c r="L291" s="75">
        <v>291</v>
      </c>
      <c r="M291" s="75"/>
      <c r="N291" s="70"/>
      <c r="O291" s="77" t="s">
        <v>2083</v>
      </c>
      <c r="P291" s="79">
        <v>45191.703784722224</v>
      </c>
      <c r="Q291" s="77" t="s">
        <v>2120</v>
      </c>
      <c r="R291" s="77">
        <v>57</v>
      </c>
      <c r="S291" s="77">
        <v>0</v>
      </c>
      <c r="T291" s="77">
        <v>0</v>
      </c>
      <c r="U291" s="77">
        <v>0</v>
      </c>
      <c r="V291" s="77"/>
      <c r="W291" s="80" t="s">
        <v>5917</v>
      </c>
      <c r="X291" s="77"/>
      <c r="Y291" s="77"/>
      <c r="Z291" s="77" t="s">
        <v>1655</v>
      </c>
      <c r="AA291" s="77"/>
      <c r="AB291" s="77"/>
      <c r="AC291" s="80" t="s">
        <v>10540</v>
      </c>
      <c r="AD291" s="77" t="s">
        <v>10617</v>
      </c>
      <c r="AE291" s="83" t="str">
        <f>HYPERLINK("https://twitter.com/wrseelent/status/1705264053273108689")</f>
        <v>https://twitter.com/wrseelent/status/1705264053273108689</v>
      </c>
      <c r="AF291" s="79">
        <v>45191.703784722224</v>
      </c>
      <c r="AG291" s="85">
        <v>45191</v>
      </c>
      <c r="AH291" s="80" t="s">
        <v>10888</v>
      </c>
      <c r="AI291" s="77"/>
      <c r="AJ291" s="77"/>
      <c r="AK291" s="77"/>
      <c r="AL291" s="77"/>
      <c r="AM291" s="77"/>
      <c r="AN291" s="77"/>
      <c r="AO291" s="77"/>
      <c r="AP291" s="77"/>
      <c r="AQ291" s="77"/>
      <c r="AR291" s="77"/>
      <c r="AS291" s="77"/>
      <c r="AT291" s="77"/>
      <c r="AU291" s="77"/>
      <c r="AV291" s="83" t="str">
        <f>HYPERLINK("https://pbs.twimg.com/profile_images/1542863891151069186/LKLtR-ja_normal.png")</f>
        <v>https://pbs.twimg.com/profile_images/1542863891151069186/LKLtR-ja_normal.png</v>
      </c>
      <c r="AW291" s="80" t="s">
        <v>16274</v>
      </c>
      <c r="AX291" s="80" t="s">
        <v>16274</v>
      </c>
      <c r="AY291" s="77"/>
      <c r="AZ291" s="80" t="s">
        <v>20380</v>
      </c>
      <c r="BA291" s="80" t="s">
        <v>20380</v>
      </c>
      <c r="BB291" s="80" t="s">
        <v>19843</v>
      </c>
      <c r="BC291" s="80" t="s">
        <v>19843</v>
      </c>
      <c r="BD291" s="80" t="s">
        <v>20561</v>
      </c>
      <c r="BE291" s="77"/>
      <c r="BF291" s="77"/>
      <c r="BG291" s="77"/>
      <c r="BH291" s="77"/>
      <c r="BI291" s="77"/>
    </row>
    <row r="292" spans="1:61" x14ac:dyDescent="0.25">
      <c r="A292" s="62" t="s">
        <v>349</v>
      </c>
      <c r="B292" s="62" t="s">
        <v>349</v>
      </c>
      <c r="C292" s="63"/>
      <c r="D292" s="64"/>
      <c r="E292" s="65"/>
      <c r="F292" s="66"/>
      <c r="G292" s="63"/>
      <c r="H292" s="67"/>
      <c r="I292" s="68"/>
      <c r="J292" s="68"/>
      <c r="K292" s="32"/>
      <c r="L292" s="75">
        <v>292</v>
      </c>
      <c r="M292" s="75"/>
      <c r="N292" s="70"/>
      <c r="O292" s="77" t="s">
        <v>179</v>
      </c>
      <c r="P292" s="79">
        <v>45146.041145833333</v>
      </c>
      <c r="Q292" s="77" t="s">
        <v>2335</v>
      </c>
      <c r="R292" s="77">
        <v>0</v>
      </c>
      <c r="S292" s="77">
        <v>0</v>
      </c>
      <c r="T292" s="77">
        <v>2</v>
      </c>
      <c r="U292" s="77">
        <v>0</v>
      </c>
      <c r="V292" s="77">
        <v>276</v>
      </c>
      <c r="W292" s="80" t="s">
        <v>6107</v>
      </c>
      <c r="X292" s="77"/>
      <c r="Y292" s="77"/>
      <c r="Z292" s="77"/>
      <c r="AA292" s="77" t="s">
        <v>9125</v>
      </c>
      <c r="AB292" s="77" t="s">
        <v>10535</v>
      </c>
      <c r="AC292" s="80" t="s">
        <v>10541</v>
      </c>
      <c r="AD292" s="77" t="s">
        <v>10617</v>
      </c>
      <c r="AE292" s="83" t="str">
        <f>HYPERLINK("https://twitter.com/investidoranarq/status/1688716468651769856")</f>
        <v>https://twitter.com/investidoranarq/status/1688716468651769856</v>
      </c>
      <c r="AF292" s="79">
        <v>45146.041145833333</v>
      </c>
      <c r="AG292" s="85">
        <v>45146</v>
      </c>
      <c r="AH292" s="80" t="s">
        <v>10889</v>
      </c>
      <c r="AI292" s="77" t="b">
        <v>0</v>
      </c>
      <c r="AJ292" s="77"/>
      <c r="AK292" s="77"/>
      <c r="AL292" s="77"/>
      <c r="AM292" s="77"/>
      <c r="AN292" s="77"/>
      <c r="AO292" s="77"/>
      <c r="AP292" s="77"/>
      <c r="AQ292" s="77" t="s">
        <v>14607</v>
      </c>
      <c r="AR292" s="77"/>
      <c r="AS292" s="77"/>
      <c r="AT292" s="77"/>
      <c r="AU292" s="77"/>
      <c r="AV292" s="83" t="str">
        <f>HYPERLINK("https://pbs.twimg.com/media/F2-GdKgWwAAw8ep.jpg")</f>
        <v>https://pbs.twimg.com/media/F2-GdKgWwAAw8ep.jpg</v>
      </c>
      <c r="AW292" s="80" t="s">
        <v>16275</v>
      </c>
      <c r="AX292" s="80" t="s">
        <v>16275</v>
      </c>
      <c r="AY292" s="77"/>
      <c r="AZ292" s="80" t="s">
        <v>20380</v>
      </c>
      <c r="BA292" s="80" t="s">
        <v>20380</v>
      </c>
      <c r="BB292" s="80" t="s">
        <v>20380</v>
      </c>
      <c r="BC292" s="80" t="s">
        <v>16275</v>
      </c>
      <c r="BD292" s="80" t="s">
        <v>20562</v>
      </c>
      <c r="BE292" s="77"/>
      <c r="BF292" s="77"/>
      <c r="BG292" s="77"/>
      <c r="BH292" s="77"/>
      <c r="BI292" s="77"/>
    </row>
    <row r="293" spans="1:61" x14ac:dyDescent="0.25">
      <c r="A293" s="62" t="s">
        <v>350</v>
      </c>
      <c r="B293" s="62" t="s">
        <v>350</v>
      </c>
      <c r="C293" s="63"/>
      <c r="D293" s="64"/>
      <c r="E293" s="65"/>
      <c r="F293" s="66"/>
      <c r="G293" s="63"/>
      <c r="H293" s="67"/>
      <c r="I293" s="68"/>
      <c r="J293" s="68"/>
      <c r="K293" s="32"/>
      <c r="L293" s="75">
        <v>293</v>
      </c>
      <c r="M293" s="75"/>
      <c r="N293" s="70"/>
      <c r="O293" s="77" t="s">
        <v>179</v>
      </c>
      <c r="P293" s="79">
        <v>45069.100439814814</v>
      </c>
      <c r="Q293" s="77" t="s">
        <v>2336</v>
      </c>
      <c r="R293" s="77">
        <v>0</v>
      </c>
      <c r="S293" s="77">
        <v>2</v>
      </c>
      <c r="T293" s="77">
        <v>0</v>
      </c>
      <c r="U293" s="77">
        <v>0</v>
      </c>
      <c r="V293" s="77">
        <v>186</v>
      </c>
      <c r="W293" s="80" t="s">
        <v>6108</v>
      </c>
      <c r="X293" s="77"/>
      <c r="Y293" s="77"/>
      <c r="Z293" s="77"/>
      <c r="AA293" s="77" t="s">
        <v>9126</v>
      </c>
      <c r="AB293" s="77" t="s">
        <v>10534</v>
      </c>
      <c r="AC293" s="80" t="s">
        <v>10541</v>
      </c>
      <c r="AD293" s="77" t="s">
        <v>10617</v>
      </c>
      <c r="AE293" s="83" t="str">
        <f>HYPERLINK("https://twitter.com/centralsniders/status/1660834090927489024")</f>
        <v>https://twitter.com/centralsniders/status/1660834090927489024</v>
      </c>
      <c r="AF293" s="79">
        <v>45069.100439814814</v>
      </c>
      <c r="AG293" s="85">
        <v>45069</v>
      </c>
      <c r="AH293" s="80" t="s">
        <v>10890</v>
      </c>
      <c r="AI293" s="77" t="b">
        <v>0</v>
      </c>
      <c r="AJ293" s="77"/>
      <c r="AK293" s="77"/>
      <c r="AL293" s="77"/>
      <c r="AM293" s="77"/>
      <c r="AN293" s="77"/>
      <c r="AO293" s="77"/>
      <c r="AP293" s="77"/>
      <c r="AQ293" s="77" t="s">
        <v>14608</v>
      </c>
      <c r="AR293" s="77">
        <v>27562</v>
      </c>
      <c r="AS293" s="77"/>
      <c r="AT293" s="77"/>
      <c r="AU293" s="77"/>
      <c r="AV293" s="83" t="str">
        <f>HYPERLINK("https://pbs.twimg.com/ext_tw_video_thumb/1660833795845619715/pu/img/2T_T4eP4A2zbc3mM.jpg")</f>
        <v>https://pbs.twimg.com/ext_tw_video_thumb/1660833795845619715/pu/img/2T_T4eP4A2zbc3mM.jpg</v>
      </c>
      <c r="AW293" s="80" t="s">
        <v>16276</v>
      </c>
      <c r="AX293" s="80" t="s">
        <v>16276</v>
      </c>
      <c r="AY293" s="77"/>
      <c r="AZ293" s="80" t="s">
        <v>20380</v>
      </c>
      <c r="BA293" s="80" t="s">
        <v>20380</v>
      </c>
      <c r="BB293" s="80" t="s">
        <v>20380</v>
      </c>
      <c r="BC293" s="80" t="s">
        <v>16276</v>
      </c>
      <c r="BD293" s="80" t="s">
        <v>20563</v>
      </c>
      <c r="BE293" s="77"/>
      <c r="BF293" s="77"/>
      <c r="BG293" s="77"/>
      <c r="BH293" s="77"/>
      <c r="BI293" s="77"/>
    </row>
    <row r="294" spans="1:61" x14ac:dyDescent="0.25">
      <c r="A294" s="62" t="s">
        <v>351</v>
      </c>
      <c r="B294" s="62" t="s">
        <v>351</v>
      </c>
      <c r="C294" s="63"/>
      <c r="D294" s="64"/>
      <c r="E294" s="65"/>
      <c r="F294" s="66"/>
      <c r="G294" s="63"/>
      <c r="H294" s="67"/>
      <c r="I294" s="68"/>
      <c r="J294" s="68"/>
      <c r="K294" s="32"/>
      <c r="L294" s="75">
        <v>294</v>
      </c>
      <c r="M294" s="75"/>
      <c r="N294" s="70"/>
      <c r="O294" s="77" t="s">
        <v>179</v>
      </c>
      <c r="P294" s="79">
        <v>45104.958333333336</v>
      </c>
      <c r="Q294" s="77" t="s">
        <v>2337</v>
      </c>
      <c r="R294" s="77">
        <v>0</v>
      </c>
      <c r="S294" s="77">
        <v>0</v>
      </c>
      <c r="T294" s="77">
        <v>0</v>
      </c>
      <c r="U294" s="77">
        <v>0</v>
      </c>
      <c r="V294" s="77">
        <v>35</v>
      </c>
      <c r="W294" s="80" t="s">
        <v>6109</v>
      </c>
      <c r="X294" s="83" t="str">
        <f>HYPERLINK("https://l1nq.com/gjLgK")</f>
        <v>https://l1nq.com/gjLgK</v>
      </c>
      <c r="Y294" s="77" t="s">
        <v>8646</v>
      </c>
      <c r="Z294" s="77"/>
      <c r="AA294" s="77" t="s">
        <v>9127</v>
      </c>
      <c r="AB294" s="77" t="s">
        <v>10535</v>
      </c>
      <c r="AC294" s="80" t="s">
        <v>10541</v>
      </c>
      <c r="AD294" s="77" t="s">
        <v>10617</v>
      </c>
      <c r="AE294" s="83" t="str">
        <f>HYPERLINK("https://twitter.com/diariodoestado/status/1673828555149524993")</f>
        <v>https://twitter.com/diariodoestado/status/1673828555149524993</v>
      </c>
      <c r="AF294" s="79">
        <v>45104.958333333336</v>
      </c>
      <c r="AG294" s="85">
        <v>45104</v>
      </c>
      <c r="AH294" s="80" t="s">
        <v>10891</v>
      </c>
      <c r="AI294" s="77" t="b">
        <v>0</v>
      </c>
      <c r="AJ294" s="77"/>
      <c r="AK294" s="77"/>
      <c r="AL294" s="77"/>
      <c r="AM294" s="77"/>
      <c r="AN294" s="77"/>
      <c r="AO294" s="77"/>
      <c r="AP294" s="77"/>
      <c r="AQ294" s="77" t="s">
        <v>14609</v>
      </c>
      <c r="AR294" s="77"/>
      <c r="AS294" s="77"/>
      <c r="AT294" s="77"/>
      <c r="AU294" s="77"/>
      <c r="AV294" s="83" t="str">
        <f>HYPERLINK("https://pbs.twimg.com/media/Fzp97fLXwAID3ko.jpg")</f>
        <v>https://pbs.twimg.com/media/Fzp97fLXwAID3ko.jpg</v>
      </c>
      <c r="AW294" s="80" t="s">
        <v>16277</v>
      </c>
      <c r="AX294" s="80" t="s">
        <v>16277</v>
      </c>
      <c r="AY294" s="77"/>
      <c r="AZ294" s="80" t="s">
        <v>20380</v>
      </c>
      <c r="BA294" s="80" t="s">
        <v>20380</v>
      </c>
      <c r="BB294" s="80" t="s">
        <v>20380</v>
      </c>
      <c r="BC294" s="80" t="s">
        <v>16277</v>
      </c>
      <c r="BD294" s="77">
        <v>54290021</v>
      </c>
      <c r="BE294" s="77"/>
      <c r="BF294" s="77"/>
      <c r="BG294" s="77"/>
      <c r="BH294" s="77"/>
      <c r="BI294" s="77"/>
    </row>
    <row r="295" spans="1:61" x14ac:dyDescent="0.25">
      <c r="A295" s="62" t="s">
        <v>352</v>
      </c>
      <c r="B295" s="62" t="s">
        <v>1313</v>
      </c>
      <c r="C295" s="63"/>
      <c r="D295" s="64"/>
      <c r="E295" s="65"/>
      <c r="F295" s="66"/>
      <c r="G295" s="63"/>
      <c r="H295" s="67"/>
      <c r="I295" s="68"/>
      <c r="J295" s="68"/>
      <c r="K295" s="32"/>
      <c r="L295" s="75">
        <v>295</v>
      </c>
      <c r="M295" s="75"/>
      <c r="N295" s="70"/>
      <c r="O295" s="77" t="s">
        <v>2083</v>
      </c>
      <c r="P295" s="79">
        <v>45195.56590277778</v>
      </c>
      <c r="Q295" s="77" t="s">
        <v>2338</v>
      </c>
      <c r="R295" s="77">
        <v>3</v>
      </c>
      <c r="S295" s="77">
        <v>0</v>
      </c>
      <c r="T295" s="77">
        <v>0</v>
      </c>
      <c r="U295" s="77">
        <v>0</v>
      </c>
      <c r="V295" s="77"/>
      <c r="W295" s="80" t="s">
        <v>1869</v>
      </c>
      <c r="X295" s="77"/>
      <c r="Y295" s="77"/>
      <c r="Z295" s="77" t="s">
        <v>1313</v>
      </c>
      <c r="AA295" s="77"/>
      <c r="AB295" s="77"/>
      <c r="AC295" s="80" t="s">
        <v>10540</v>
      </c>
      <c r="AD295" s="77" t="s">
        <v>10620</v>
      </c>
      <c r="AE295" s="83" t="str">
        <f>HYPERLINK("https://twitter.com/dan3636senda/status/1706663640152064382")</f>
        <v>https://twitter.com/dan3636senda/status/1706663640152064382</v>
      </c>
      <c r="AF295" s="79">
        <v>45195.56590277778</v>
      </c>
      <c r="AG295" s="85">
        <v>45195</v>
      </c>
      <c r="AH295" s="80" t="s">
        <v>10892</v>
      </c>
      <c r="AI295" s="77" t="b">
        <v>0</v>
      </c>
      <c r="AJ295" s="77"/>
      <c r="AK295" s="77"/>
      <c r="AL295" s="77"/>
      <c r="AM295" s="77"/>
      <c r="AN295" s="77"/>
      <c r="AO295" s="77"/>
      <c r="AP295" s="77"/>
      <c r="AQ295" s="77"/>
      <c r="AR295" s="77"/>
      <c r="AS295" s="77"/>
      <c r="AT295" s="77"/>
      <c r="AU295" s="77"/>
      <c r="AV295" s="83" t="str">
        <f>HYPERLINK("https://pbs.twimg.com/profile_images/931824576341954560/Qog7kFXu_normal.jpg")</f>
        <v>https://pbs.twimg.com/profile_images/931824576341954560/Qog7kFXu_normal.jpg</v>
      </c>
      <c r="AW295" s="80" t="s">
        <v>16278</v>
      </c>
      <c r="AX295" s="80" t="s">
        <v>16278</v>
      </c>
      <c r="AY295" s="77"/>
      <c r="AZ295" s="80" t="s">
        <v>20380</v>
      </c>
      <c r="BA295" s="80" t="s">
        <v>20380</v>
      </c>
      <c r="BB295" s="80" t="s">
        <v>19037</v>
      </c>
      <c r="BC295" s="80" t="s">
        <v>19037</v>
      </c>
      <c r="BD295" s="77">
        <v>2555667944</v>
      </c>
      <c r="BE295" s="77"/>
      <c r="BF295" s="77"/>
      <c r="BG295" s="77"/>
      <c r="BH295" s="77"/>
      <c r="BI295" s="77"/>
    </row>
    <row r="296" spans="1:61" x14ac:dyDescent="0.25">
      <c r="A296" s="62" t="s">
        <v>353</v>
      </c>
      <c r="B296" s="62" t="s">
        <v>353</v>
      </c>
      <c r="C296" s="63"/>
      <c r="D296" s="64"/>
      <c r="E296" s="65"/>
      <c r="F296" s="66"/>
      <c r="G296" s="63"/>
      <c r="H296" s="67"/>
      <c r="I296" s="68"/>
      <c r="J296" s="68"/>
      <c r="K296" s="32"/>
      <c r="L296" s="75">
        <v>296</v>
      </c>
      <c r="M296" s="75"/>
      <c r="N296" s="70"/>
      <c r="O296" s="77" t="s">
        <v>179</v>
      </c>
      <c r="P296" s="79">
        <v>45118.637083333335</v>
      </c>
      <c r="Q296" s="77" t="s">
        <v>2339</v>
      </c>
      <c r="R296" s="77">
        <v>0</v>
      </c>
      <c r="S296" s="77">
        <v>1</v>
      </c>
      <c r="T296" s="77">
        <v>0</v>
      </c>
      <c r="U296" s="77">
        <v>0</v>
      </c>
      <c r="V296" s="77">
        <v>46</v>
      </c>
      <c r="W296" s="80" t="s">
        <v>6110</v>
      </c>
      <c r="X296" s="83" t="str">
        <f>HYPERLINK("http://infomoney.com.br/economia/ipca-")</f>
        <v>http://infomoney.com.br/economia/ipca-</v>
      </c>
      <c r="Y296" s="77" t="s">
        <v>8611</v>
      </c>
      <c r="Z296" s="77"/>
      <c r="AA296" s="77"/>
      <c r="AB296" s="77"/>
      <c r="AC296" s="80" t="s">
        <v>10542</v>
      </c>
      <c r="AD296" s="77" t="s">
        <v>10617</v>
      </c>
      <c r="AE296" s="83" t="str">
        <f>HYPERLINK("https://twitter.com/kleinmarlon_/status/1678785567054520321")</f>
        <v>https://twitter.com/kleinmarlon_/status/1678785567054520321</v>
      </c>
      <c r="AF296" s="79">
        <v>45118.637083333335</v>
      </c>
      <c r="AG296" s="85">
        <v>45118</v>
      </c>
      <c r="AH296" s="80" t="s">
        <v>10893</v>
      </c>
      <c r="AI296" s="77" t="b">
        <v>0</v>
      </c>
      <c r="AJ296" s="77"/>
      <c r="AK296" s="77"/>
      <c r="AL296" s="77"/>
      <c r="AM296" s="77"/>
      <c r="AN296" s="77"/>
      <c r="AO296" s="77"/>
      <c r="AP296" s="77"/>
      <c r="AQ296" s="77"/>
      <c r="AR296" s="77"/>
      <c r="AS296" s="77"/>
      <c r="AT296" s="77"/>
      <c r="AU296" s="77"/>
      <c r="AV296" s="83" t="str">
        <f>HYPERLINK("https://pbs.twimg.com/profile_images/1671937337687769091/yzdgs0Sf_normal.jpg")</f>
        <v>https://pbs.twimg.com/profile_images/1671937337687769091/yzdgs0Sf_normal.jpg</v>
      </c>
      <c r="AW296" s="80" t="s">
        <v>16279</v>
      </c>
      <c r="AX296" s="80" t="s">
        <v>16279</v>
      </c>
      <c r="AY296" s="77"/>
      <c r="AZ296" s="80" t="s">
        <v>20380</v>
      </c>
      <c r="BA296" s="80" t="s">
        <v>20380</v>
      </c>
      <c r="BB296" s="80" t="s">
        <v>20380</v>
      </c>
      <c r="BC296" s="80" t="s">
        <v>16279</v>
      </c>
      <c r="BD296" s="80" t="s">
        <v>20564</v>
      </c>
      <c r="BE296" s="77"/>
      <c r="BF296" s="77"/>
      <c r="BG296" s="77"/>
      <c r="BH296" s="77"/>
      <c r="BI296" s="77"/>
    </row>
    <row r="297" spans="1:61" x14ac:dyDescent="0.25">
      <c r="A297" s="62" t="s">
        <v>354</v>
      </c>
      <c r="B297" s="62" t="s">
        <v>354</v>
      </c>
      <c r="C297" s="63"/>
      <c r="D297" s="64"/>
      <c r="E297" s="65"/>
      <c r="F297" s="66"/>
      <c r="G297" s="63"/>
      <c r="H297" s="67"/>
      <c r="I297" s="68"/>
      <c r="J297" s="68"/>
      <c r="K297" s="32"/>
      <c r="L297" s="75">
        <v>297</v>
      </c>
      <c r="M297" s="75"/>
      <c r="N297" s="70"/>
      <c r="O297" s="77" t="s">
        <v>179</v>
      </c>
      <c r="P297" s="79">
        <v>45188.46234953704</v>
      </c>
      <c r="Q297" s="77" t="s">
        <v>2340</v>
      </c>
      <c r="R297" s="77">
        <v>0</v>
      </c>
      <c r="S297" s="77">
        <v>11</v>
      </c>
      <c r="T297" s="77">
        <v>3</v>
      </c>
      <c r="U297" s="77">
        <v>0</v>
      </c>
      <c r="V297" s="77">
        <v>142</v>
      </c>
      <c r="W297" s="80" t="s">
        <v>5884</v>
      </c>
      <c r="X297" s="77"/>
      <c r="Y297" s="77"/>
      <c r="Z297" s="77"/>
      <c r="AA297" s="77"/>
      <c r="AB297" s="77"/>
      <c r="AC297" s="80" t="s">
        <v>10540</v>
      </c>
      <c r="AD297" s="77" t="s">
        <v>10620</v>
      </c>
      <c r="AE297" s="83" t="str">
        <f>HYPERLINK("https://twitter.com/volvieron_peor/status/1704089398231371852")</f>
        <v>https://twitter.com/volvieron_peor/status/1704089398231371852</v>
      </c>
      <c r="AF297" s="79">
        <v>45188.46234953704</v>
      </c>
      <c r="AG297" s="85">
        <v>45188</v>
      </c>
      <c r="AH297" s="80" t="s">
        <v>10894</v>
      </c>
      <c r="AI297" s="77"/>
      <c r="AJ297" s="77"/>
      <c r="AK297" s="77"/>
      <c r="AL297" s="77"/>
      <c r="AM297" s="77"/>
      <c r="AN297" s="77"/>
      <c r="AO297" s="77"/>
      <c r="AP297" s="77"/>
      <c r="AQ297" s="77"/>
      <c r="AR297" s="77"/>
      <c r="AS297" s="77"/>
      <c r="AT297" s="77"/>
      <c r="AU297" s="77"/>
      <c r="AV297" s="83" t="str">
        <f>HYPERLINK("https://pbs.twimg.com/profile_images/1572349390953627648/x1EuEBYW_normal.jpg")</f>
        <v>https://pbs.twimg.com/profile_images/1572349390953627648/x1EuEBYW_normal.jpg</v>
      </c>
      <c r="AW297" s="80" t="s">
        <v>16280</v>
      </c>
      <c r="AX297" s="80" t="s">
        <v>16280</v>
      </c>
      <c r="AY297" s="77"/>
      <c r="AZ297" s="80" t="s">
        <v>20380</v>
      </c>
      <c r="BA297" s="80" t="s">
        <v>20380</v>
      </c>
      <c r="BB297" s="80" t="s">
        <v>20380</v>
      </c>
      <c r="BC297" s="80" t="s">
        <v>16280</v>
      </c>
      <c r="BD297" s="77">
        <v>2763468069</v>
      </c>
      <c r="BE297" s="77"/>
      <c r="BF297" s="77"/>
      <c r="BG297" s="77"/>
      <c r="BH297" s="77"/>
      <c r="BI297" s="77"/>
    </row>
    <row r="298" spans="1:61" x14ac:dyDescent="0.25">
      <c r="A298" s="62" t="s">
        <v>355</v>
      </c>
      <c r="B298" s="62" t="s">
        <v>1538</v>
      </c>
      <c r="C298" s="63"/>
      <c r="D298" s="64"/>
      <c r="E298" s="65"/>
      <c r="F298" s="66"/>
      <c r="G298" s="63"/>
      <c r="H298" s="67"/>
      <c r="I298" s="68"/>
      <c r="J298" s="68"/>
      <c r="K298" s="32"/>
      <c r="L298" s="75">
        <v>298</v>
      </c>
      <c r="M298" s="75"/>
      <c r="N298" s="70"/>
      <c r="O298" s="77" t="s">
        <v>2082</v>
      </c>
      <c r="P298" s="79">
        <v>45161.021296296298</v>
      </c>
      <c r="Q298" s="77" t="s">
        <v>2341</v>
      </c>
      <c r="R298" s="77">
        <v>0</v>
      </c>
      <c r="S298" s="77">
        <v>0</v>
      </c>
      <c r="T298" s="77">
        <v>1</v>
      </c>
      <c r="U298" s="77">
        <v>0</v>
      </c>
      <c r="V298" s="77">
        <v>44</v>
      </c>
      <c r="W298" s="80" t="s">
        <v>6111</v>
      </c>
      <c r="X298" s="77"/>
      <c r="Y298" s="77"/>
      <c r="Z298" s="77"/>
      <c r="AA298" s="77"/>
      <c r="AB298" s="77"/>
      <c r="AC298" s="80" t="s">
        <v>10542</v>
      </c>
      <c r="AD298" s="77" t="s">
        <v>10620</v>
      </c>
      <c r="AE298" s="83" t="str">
        <f>HYPERLINK("https://twitter.com/ny2ec/status/1694145091668160656")</f>
        <v>https://twitter.com/ny2ec/status/1694145091668160656</v>
      </c>
      <c r="AF298" s="79">
        <v>45161.021296296298</v>
      </c>
      <c r="AG298" s="85">
        <v>45161</v>
      </c>
      <c r="AH298" s="80" t="s">
        <v>10895</v>
      </c>
      <c r="AI298" s="77"/>
      <c r="AJ298" s="77"/>
      <c r="AK298" s="77"/>
      <c r="AL298" s="77"/>
      <c r="AM298" s="77"/>
      <c r="AN298" s="77"/>
      <c r="AO298" s="77"/>
      <c r="AP298" s="77"/>
      <c r="AQ298" s="77"/>
      <c r="AR298" s="77"/>
      <c r="AS298" s="77"/>
      <c r="AT298" s="77"/>
      <c r="AU298" s="77"/>
      <c r="AV298" s="83" t="str">
        <f>HYPERLINK("https://pbs.twimg.com/profile_images/1689485197740564481/1-DabOgG_normal.jpg")</f>
        <v>https://pbs.twimg.com/profile_images/1689485197740564481/1-DabOgG_normal.jpg</v>
      </c>
      <c r="AW298" s="80" t="s">
        <v>16281</v>
      </c>
      <c r="AX298" s="80" t="s">
        <v>16281</v>
      </c>
      <c r="AY298" s="77"/>
      <c r="AZ298" s="80" t="s">
        <v>20380</v>
      </c>
      <c r="BA298" s="80" t="s">
        <v>19515</v>
      </c>
      <c r="BB298" s="80" t="s">
        <v>20380</v>
      </c>
      <c r="BC298" s="80" t="s">
        <v>19515</v>
      </c>
      <c r="BD298" s="77">
        <v>2645975538</v>
      </c>
      <c r="BE298" s="77"/>
      <c r="BF298" s="77"/>
      <c r="BG298" s="77"/>
      <c r="BH298" s="77"/>
      <c r="BI298" s="77"/>
    </row>
    <row r="299" spans="1:61" x14ac:dyDescent="0.25">
      <c r="A299" s="62" t="s">
        <v>356</v>
      </c>
      <c r="B299" s="62" t="s">
        <v>356</v>
      </c>
      <c r="C299" s="63"/>
      <c r="D299" s="64"/>
      <c r="E299" s="65"/>
      <c r="F299" s="66"/>
      <c r="G299" s="63"/>
      <c r="H299" s="67"/>
      <c r="I299" s="68"/>
      <c r="J299" s="68"/>
      <c r="K299" s="32"/>
      <c r="L299" s="75">
        <v>299</v>
      </c>
      <c r="M299" s="75"/>
      <c r="N299" s="70"/>
      <c r="O299" s="77" t="s">
        <v>2078</v>
      </c>
      <c r="P299" s="79">
        <v>45059.673194444447</v>
      </c>
      <c r="Q299" s="77" t="s">
        <v>2342</v>
      </c>
      <c r="R299" s="77">
        <v>0</v>
      </c>
      <c r="S299" s="77">
        <v>0</v>
      </c>
      <c r="T299" s="77">
        <v>0</v>
      </c>
      <c r="U299" s="77">
        <v>0</v>
      </c>
      <c r="V299" s="77">
        <v>8</v>
      </c>
      <c r="W299" s="80" t="s">
        <v>6112</v>
      </c>
      <c r="X299" s="77"/>
      <c r="Y299" s="77"/>
      <c r="Z299" s="77"/>
      <c r="AA299" s="77"/>
      <c r="AB299" s="77"/>
      <c r="AC299" s="80" t="s">
        <v>10541</v>
      </c>
      <c r="AD299" s="77" t="s">
        <v>10617</v>
      </c>
      <c r="AE299" s="83" t="str">
        <f>HYPERLINK("https://twitter.com/speedybriefing/status/1657417772161286145")</f>
        <v>https://twitter.com/speedybriefing/status/1657417772161286145</v>
      </c>
      <c r="AF299" s="79">
        <v>45059.673194444447</v>
      </c>
      <c r="AG299" s="85">
        <v>45059</v>
      </c>
      <c r="AH299" s="80" t="s">
        <v>10896</v>
      </c>
      <c r="AI299" s="77"/>
      <c r="AJ299" s="77"/>
      <c r="AK299" s="77"/>
      <c r="AL299" s="77"/>
      <c r="AM299" s="77"/>
      <c r="AN299" s="77"/>
      <c r="AO299" s="77"/>
      <c r="AP299" s="77"/>
      <c r="AQ299" s="77"/>
      <c r="AR299" s="77"/>
      <c r="AS299" s="77"/>
      <c r="AT299" s="77"/>
      <c r="AU299" s="77"/>
      <c r="AV299" s="83" t="str">
        <f>HYPERLINK("https://pbs.twimg.com/profile_images/1656868581806678021/CHdSvSt-_normal.jpg")</f>
        <v>https://pbs.twimg.com/profile_images/1656868581806678021/CHdSvSt-_normal.jpg</v>
      </c>
      <c r="AW299" s="80" t="s">
        <v>16282</v>
      </c>
      <c r="AX299" s="80" t="s">
        <v>19972</v>
      </c>
      <c r="AY299" s="80" t="s">
        <v>20226</v>
      </c>
      <c r="AZ299" s="80" t="s">
        <v>19972</v>
      </c>
      <c r="BA299" s="80" t="s">
        <v>20380</v>
      </c>
      <c r="BB299" s="80" t="s">
        <v>20380</v>
      </c>
      <c r="BC299" s="80" t="s">
        <v>19972</v>
      </c>
      <c r="BD299" s="80" t="s">
        <v>20226</v>
      </c>
      <c r="BE299" s="77"/>
      <c r="BF299" s="77"/>
      <c r="BG299" s="77"/>
      <c r="BH299" s="77"/>
      <c r="BI299" s="77"/>
    </row>
    <row r="300" spans="1:61" x14ac:dyDescent="0.25">
      <c r="A300" s="62" t="s">
        <v>357</v>
      </c>
      <c r="B300" s="62" t="s">
        <v>1730</v>
      </c>
      <c r="C300" s="63"/>
      <c r="D300" s="64"/>
      <c r="E300" s="65"/>
      <c r="F300" s="66"/>
      <c r="G300" s="63"/>
      <c r="H300" s="67"/>
      <c r="I300" s="68"/>
      <c r="J300" s="68"/>
      <c r="K300" s="32"/>
      <c r="L300" s="75">
        <v>300</v>
      </c>
      <c r="M300" s="75"/>
      <c r="N300" s="70"/>
      <c r="O300" s="77" t="s">
        <v>2081</v>
      </c>
      <c r="P300" s="79">
        <v>45188.561828703707</v>
      </c>
      <c r="Q300" s="77" t="s">
        <v>2343</v>
      </c>
      <c r="R300" s="77">
        <v>0</v>
      </c>
      <c r="S300" s="77">
        <v>0</v>
      </c>
      <c r="T300" s="77">
        <v>0</v>
      </c>
      <c r="U300" s="77">
        <v>0</v>
      </c>
      <c r="V300" s="77">
        <v>7</v>
      </c>
      <c r="W300" s="80" t="s">
        <v>6113</v>
      </c>
      <c r="X300" s="83" t="str">
        <f>HYPERLINK("https://www.lanacion.com.ar/propiedades/construccion-y-diseno/en-el-microcentro-el-iconico-edificio-que-volvio-atras-en-el-tiempo-y-hoy-se-ve-como-en-1876-nid04092023/?utm_source=n_")</f>
        <v>https://www.lanacion.com.ar/propiedades/construccion-y-diseno/en-el-microcentro-el-iconico-edificio-que-volvio-atras-en-el-tiempo-y-hoy-se-ve-como-en-1876-nid04092023/?utm_source=n_</v>
      </c>
      <c r="Y300" s="77" t="s">
        <v>8624</v>
      </c>
      <c r="Z300" s="77" t="s">
        <v>1730</v>
      </c>
      <c r="AA300" s="77"/>
      <c r="AB300" s="77"/>
      <c r="AC300" s="80" t="s">
        <v>10541</v>
      </c>
      <c r="AD300" s="77" t="s">
        <v>10620</v>
      </c>
      <c r="AE300" s="83" t="str">
        <f>HYPERLINK("https://twitter.com/edemilo/status/1704125448807125425")</f>
        <v>https://twitter.com/edemilo/status/1704125448807125425</v>
      </c>
      <c r="AF300" s="79">
        <v>45188.561828703707</v>
      </c>
      <c r="AG300" s="85">
        <v>45188</v>
      </c>
      <c r="AH300" s="80" t="s">
        <v>10897</v>
      </c>
      <c r="AI300" s="77" t="b">
        <v>0</v>
      </c>
      <c r="AJ300" s="77"/>
      <c r="AK300" s="77"/>
      <c r="AL300" s="77"/>
      <c r="AM300" s="77"/>
      <c r="AN300" s="77"/>
      <c r="AO300" s="77"/>
      <c r="AP300" s="77"/>
      <c r="AQ300" s="77"/>
      <c r="AR300" s="77"/>
      <c r="AS300" s="77"/>
      <c r="AT300" s="77"/>
      <c r="AU300" s="77"/>
      <c r="AV300" s="83" t="str">
        <f>HYPERLINK("https://pbs.twimg.com/profile_images/1435243868413468672/gG-kSD5Z_normal.jpg")</f>
        <v>https://pbs.twimg.com/profile_images/1435243868413468672/gG-kSD5Z_normal.jpg</v>
      </c>
      <c r="AW300" s="80" t="s">
        <v>16283</v>
      </c>
      <c r="AX300" s="80" t="s">
        <v>16283</v>
      </c>
      <c r="AY300" s="77"/>
      <c r="AZ300" s="80" t="s">
        <v>20380</v>
      </c>
      <c r="BA300" s="80" t="s">
        <v>20380</v>
      </c>
      <c r="BB300" s="80" t="s">
        <v>20380</v>
      </c>
      <c r="BC300" s="80" t="s">
        <v>16283</v>
      </c>
      <c r="BD300" s="80" t="s">
        <v>20565</v>
      </c>
      <c r="BE300" s="77"/>
      <c r="BF300" s="77"/>
      <c r="BG300" s="77"/>
      <c r="BH300" s="77"/>
      <c r="BI300" s="77"/>
    </row>
    <row r="301" spans="1:61" x14ac:dyDescent="0.25">
      <c r="A301" s="62" t="s">
        <v>358</v>
      </c>
      <c r="B301" s="62" t="s">
        <v>358</v>
      </c>
      <c r="C301" s="63"/>
      <c r="D301" s="64"/>
      <c r="E301" s="65"/>
      <c r="F301" s="66"/>
      <c r="G301" s="63"/>
      <c r="H301" s="67"/>
      <c r="I301" s="68"/>
      <c r="J301" s="68"/>
      <c r="K301" s="32"/>
      <c r="L301" s="75">
        <v>301</v>
      </c>
      <c r="M301" s="75"/>
      <c r="N301" s="70"/>
      <c r="O301" s="77" t="s">
        <v>179</v>
      </c>
      <c r="P301" s="79">
        <v>45142.390474537038</v>
      </c>
      <c r="Q301" s="77" t="s">
        <v>2344</v>
      </c>
      <c r="R301" s="77">
        <v>0</v>
      </c>
      <c r="S301" s="77">
        <v>0</v>
      </c>
      <c r="T301" s="77">
        <v>0</v>
      </c>
      <c r="U301" s="77">
        <v>0</v>
      </c>
      <c r="V301" s="77">
        <v>9</v>
      </c>
      <c r="W301" s="80" t="s">
        <v>6114</v>
      </c>
      <c r="X301" s="83" t="str">
        <f>HYPERLINK("https://e-global.pt/noticias/lusofonia/brasil/brasil-banco-central-surpreende-e-anuncia-corte-de-05-na-taxa-de-juro/")</f>
        <v>https://e-global.pt/noticias/lusofonia/brasil/brasil-banco-central-surpreende-e-anuncia-corte-de-05-na-taxa-de-juro/</v>
      </c>
      <c r="Y301" s="77" t="s">
        <v>8647</v>
      </c>
      <c r="Z301" s="77"/>
      <c r="AA301" s="77"/>
      <c r="AB301" s="77"/>
      <c r="AC301" s="80" t="s">
        <v>10541</v>
      </c>
      <c r="AD301" s="77" t="s">
        <v>10619</v>
      </c>
      <c r="AE301" s="83" t="str">
        <f>HYPERLINK("https://twitter.com/e_gnop/status/1687393508649295872")</f>
        <v>https://twitter.com/e_gnop/status/1687393508649295872</v>
      </c>
      <c r="AF301" s="79">
        <v>45142.390474537038</v>
      </c>
      <c r="AG301" s="85">
        <v>45142</v>
      </c>
      <c r="AH301" s="80" t="s">
        <v>10898</v>
      </c>
      <c r="AI301" s="77" t="b">
        <v>0</v>
      </c>
      <c r="AJ301" s="77"/>
      <c r="AK301" s="77"/>
      <c r="AL301" s="77"/>
      <c r="AM301" s="77"/>
      <c r="AN301" s="77"/>
      <c r="AO301" s="77"/>
      <c r="AP301" s="77"/>
      <c r="AQ301" s="77"/>
      <c r="AR301" s="77"/>
      <c r="AS301" s="77"/>
      <c r="AT301" s="77"/>
      <c r="AU301" s="77"/>
      <c r="AV301" s="83" t="str">
        <f>HYPERLINK("https://pbs.twimg.com/profile_images/674695915773542400/gR8V_Fcn_normal.jpg")</f>
        <v>https://pbs.twimg.com/profile_images/674695915773542400/gR8V_Fcn_normal.jpg</v>
      </c>
      <c r="AW301" s="80" t="s">
        <v>16284</v>
      </c>
      <c r="AX301" s="80" t="s">
        <v>16284</v>
      </c>
      <c r="AY301" s="77"/>
      <c r="AZ301" s="80" t="s">
        <v>20380</v>
      </c>
      <c r="BA301" s="80" t="s">
        <v>20380</v>
      </c>
      <c r="BB301" s="80" t="s">
        <v>20380</v>
      </c>
      <c r="BC301" s="80" t="s">
        <v>16284</v>
      </c>
      <c r="BD301" s="77">
        <v>4295131347</v>
      </c>
      <c r="BE301" s="77"/>
      <c r="BF301" s="77"/>
      <c r="BG301" s="77"/>
      <c r="BH301" s="77"/>
      <c r="BI301" s="77"/>
    </row>
    <row r="302" spans="1:61" x14ac:dyDescent="0.25">
      <c r="A302" s="62" t="s">
        <v>359</v>
      </c>
      <c r="B302" s="62" t="s">
        <v>359</v>
      </c>
      <c r="C302" s="63"/>
      <c r="D302" s="64"/>
      <c r="E302" s="65"/>
      <c r="F302" s="66"/>
      <c r="G302" s="63"/>
      <c r="H302" s="67"/>
      <c r="I302" s="68"/>
      <c r="J302" s="68"/>
      <c r="K302" s="32"/>
      <c r="L302" s="75">
        <v>302</v>
      </c>
      <c r="M302" s="75"/>
      <c r="N302" s="70"/>
      <c r="O302" s="77" t="s">
        <v>2078</v>
      </c>
      <c r="P302" s="79">
        <v>45140.903333333335</v>
      </c>
      <c r="Q302" s="77" t="s">
        <v>2345</v>
      </c>
      <c r="R302" s="77">
        <v>0</v>
      </c>
      <c r="S302" s="77">
        <v>0</v>
      </c>
      <c r="T302" s="77">
        <v>0</v>
      </c>
      <c r="U302" s="77">
        <v>0</v>
      </c>
      <c r="V302" s="77">
        <v>63</v>
      </c>
      <c r="W302" s="80" t="s">
        <v>6115</v>
      </c>
      <c r="X302" s="77"/>
      <c r="Y302" s="77"/>
      <c r="Z302" s="77"/>
      <c r="AA302" s="77"/>
      <c r="AB302" s="77"/>
      <c r="AC302" s="80" t="s">
        <v>10542</v>
      </c>
      <c r="AD302" s="77" t="s">
        <v>10618</v>
      </c>
      <c r="AE302" s="83" t="str">
        <f>HYPERLINK("https://twitter.com/rio_bravo/status/1686854587188146176")</f>
        <v>https://twitter.com/rio_bravo/status/1686854587188146176</v>
      </c>
      <c r="AF302" s="79">
        <v>45140.903333333335</v>
      </c>
      <c r="AG302" s="85">
        <v>45140</v>
      </c>
      <c r="AH302" s="80" t="s">
        <v>10899</v>
      </c>
      <c r="AI302" s="77"/>
      <c r="AJ302" s="77"/>
      <c r="AK302" s="77"/>
      <c r="AL302" s="77"/>
      <c r="AM302" s="77"/>
      <c r="AN302" s="77"/>
      <c r="AO302" s="77"/>
      <c r="AP302" s="77"/>
      <c r="AQ302" s="77"/>
      <c r="AR302" s="77"/>
      <c r="AS302" s="77"/>
      <c r="AT302" s="77"/>
      <c r="AU302" s="77"/>
      <c r="AV302" s="83" t="str">
        <f>HYPERLINK("https://pbs.twimg.com/profile_images/1674890323326128128/SJXVp4hL_normal.jpg")</f>
        <v>https://pbs.twimg.com/profile_images/1674890323326128128/SJXVp4hL_normal.jpg</v>
      </c>
      <c r="AW302" s="80" t="s">
        <v>16285</v>
      </c>
      <c r="AX302" s="80" t="s">
        <v>19973</v>
      </c>
      <c r="AY302" s="80" t="s">
        <v>20227</v>
      </c>
      <c r="AZ302" s="80" t="s">
        <v>20388</v>
      </c>
      <c r="BA302" s="80" t="s">
        <v>20380</v>
      </c>
      <c r="BB302" s="80" t="s">
        <v>20380</v>
      </c>
      <c r="BC302" s="80" t="s">
        <v>20388</v>
      </c>
      <c r="BD302" s="77">
        <v>3687841756</v>
      </c>
      <c r="BE302" s="77"/>
      <c r="BF302" s="77"/>
      <c r="BG302" s="77"/>
      <c r="BH302" s="77"/>
      <c r="BI302" s="77"/>
    </row>
    <row r="303" spans="1:61" x14ac:dyDescent="0.25">
      <c r="A303" s="62" t="s">
        <v>359</v>
      </c>
      <c r="B303" s="62" t="s">
        <v>359</v>
      </c>
      <c r="C303" s="63"/>
      <c r="D303" s="64"/>
      <c r="E303" s="65"/>
      <c r="F303" s="66"/>
      <c r="G303" s="63"/>
      <c r="H303" s="67"/>
      <c r="I303" s="68"/>
      <c r="J303" s="68"/>
      <c r="K303" s="32"/>
      <c r="L303" s="75">
        <v>303</v>
      </c>
      <c r="M303" s="75"/>
      <c r="N303" s="70"/>
      <c r="O303" s="77" t="s">
        <v>2078</v>
      </c>
      <c r="P303" s="79">
        <v>45159.798495370371</v>
      </c>
      <c r="Q303" s="77" t="s">
        <v>2345</v>
      </c>
      <c r="R303" s="77">
        <v>0</v>
      </c>
      <c r="S303" s="77">
        <v>0</v>
      </c>
      <c r="T303" s="77">
        <v>0</v>
      </c>
      <c r="U303" s="77">
        <v>0</v>
      </c>
      <c r="V303" s="77">
        <v>61</v>
      </c>
      <c r="W303" s="80" t="s">
        <v>6115</v>
      </c>
      <c r="X303" s="77"/>
      <c r="Y303" s="77"/>
      <c r="Z303" s="77"/>
      <c r="AA303" s="77"/>
      <c r="AB303" s="77"/>
      <c r="AC303" s="80" t="s">
        <v>10542</v>
      </c>
      <c r="AD303" s="77" t="s">
        <v>10618</v>
      </c>
      <c r="AE303" s="83" t="str">
        <f>HYPERLINK("https://twitter.com/rio_bravo/status/1693701965010661873")</f>
        <v>https://twitter.com/rio_bravo/status/1693701965010661873</v>
      </c>
      <c r="AF303" s="79">
        <v>45159.798495370371</v>
      </c>
      <c r="AG303" s="85">
        <v>45159</v>
      </c>
      <c r="AH303" s="80" t="s">
        <v>10900</v>
      </c>
      <c r="AI303" s="77"/>
      <c r="AJ303" s="77"/>
      <c r="AK303" s="77"/>
      <c r="AL303" s="77"/>
      <c r="AM303" s="77"/>
      <c r="AN303" s="77"/>
      <c r="AO303" s="77"/>
      <c r="AP303" s="77"/>
      <c r="AQ303" s="77"/>
      <c r="AR303" s="77"/>
      <c r="AS303" s="77"/>
      <c r="AT303" s="77"/>
      <c r="AU303" s="77"/>
      <c r="AV303" s="83" t="str">
        <f>HYPERLINK("https://pbs.twimg.com/profile_images/1674890323326128128/SJXVp4hL_normal.jpg")</f>
        <v>https://pbs.twimg.com/profile_images/1674890323326128128/SJXVp4hL_normal.jpg</v>
      </c>
      <c r="AW303" s="80" t="s">
        <v>16286</v>
      </c>
      <c r="AX303" s="80" t="s">
        <v>19974</v>
      </c>
      <c r="AY303" s="80" t="s">
        <v>20227</v>
      </c>
      <c r="AZ303" s="80" t="s">
        <v>20389</v>
      </c>
      <c r="BA303" s="80" t="s">
        <v>20380</v>
      </c>
      <c r="BB303" s="80" t="s">
        <v>20380</v>
      </c>
      <c r="BC303" s="80" t="s">
        <v>20389</v>
      </c>
      <c r="BD303" s="77">
        <v>3687841756</v>
      </c>
      <c r="BE303" s="77"/>
      <c r="BF303" s="77"/>
      <c r="BG303" s="77"/>
      <c r="BH303" s="77"/>
      <c r="BI303" s="77"/>
    </row>
    <row r="304" spans="1:61" x14ac:dyDescent="0.25">
      <c r="A304" s="62" t="s">
        <v>359</v>
      </c>
      <c r="B304" s="62" t="s">
        <v>359</v>
      </c>
      <c r="C304" s="63"/>
      <c r="D304" s="64"/>
      <c r="E304" s="65"/>
      <c r="F304" s="66"/>
      <c r="G304" s="63"/>
      <c r="H304" s="67"/>
      <c r="I304" s="68"/>
      <c r="J304" s="68"/>
      <c r="K304" s="32"/>
      <c r="L304" s="75">
        <v>304</v>
      </c>
      <c r="M304" s="75"/>
      <c r="N304" s="70"/>
      <c r="O304" s="77" t="s">
        <v>2078</v>
      </c>
      <c r="P304" s="79">
        <v>45154.866712962961</v>
      </c>
      <c r="Q304" s="77" t="s">
        <v>2345</v>
      </c>
      <c r="R304" s="77">
        <v>0</v>
      </c>
      <c r="S304" s="77">
        <v>0</v>
      </c>
      <c r="T304" s="77">
        <v>0</v>
      </c>
      <c r="U304" s="77">
        <v>0</v>
      </c>
      <c r="V304" s="77">
        <v>51</v>
      </c>
      <c r="W304" s="80" t="s">
        <v>6115</v>
      </c>
      <c r="X304" s="77"/>
      <c r="Y304" s="77"/>
      <c r="Z304" s="77"/>
      <c r="AA304" s="77"/>
      <c r="AB304" s="77"/>
      <c r="AC304" s="80" t="s">
        <v>10542</v>
      </c>
      <c r="AD304" s="77" t="s">
        <v>10618</v>
      </c>
      <c r="AE304" s="83" t="str">
        <f>HYPERLINK("https://twitter.com/rio_bravo/status/1691914747124551709")</f>
        <v>https://twitter.com/rio_bravo/status/1691914747124551709</v>
      </c>
      <c r="AF304" s="79">
        <v>45154.866712962961</v>
      </c>
      <c r="AG304" s="85">
        <v>45154</v>
      </c>
      <c r="AH304" s="80" t="s">
        <v>10901</v>
      </c>
      <c r="AI304" s="77"/>
      <c r="AJ304" s="77"/>
      <c r="AK304" s="77"/>
      <c r="AL304" s="77"/>
      <c r="AM304" s="77"/>
      <c r="AN304" s="77"/>
      <c r="AO304" s="77"/>
      <c r="AP304" s="77"/>
      <c r="AQ304" s="77"/>
      <c r="AR304" s="77"/>
      <c r="AS304" s="77"/>
      <c r="AT304" s="77"/>
      <c r="AU304" s="77"/>
      <c r="AV304" s="83" t="str">
        <f>HYPERLINK("https://pbs.twimg.com/profile_images/1674890323326128128/SJXVp4hL_normal.jpg")</f>
        <v>https://pbs.twimg.com/profile_images/1674890323326128128/SJXVp4hL_normal.jpg</v>
      </c>
      <c r="AW304" s="80" t="s">
        <v>16287</v>
      </c>
      <c r="AX304" s="80" t="s">
        <v>19975</v>
      </c>
      <c r="AY304" s="80" t="s">
        <v>20227</v>
      </c>
      <c r="AZ304" s="80" t="s">
        <v>20390</v>
      </c>
      <c r="BA304" s="80" t="s">
        <v>20380</v>
      </c>
      <c r="BB304" s="80" t="s">
        <v>20380</v>
      </c>
      <c r="BC304" s="80" t="s">
        <v>20390</v>
      </c>
      <c r="BD304" s="77">
        <v>3687841756</v>
      </c>
      <c r="BE304" s="77"/>
      <c r="BF304" s="77"/>
      <c r="BG304" s="77"/>
      <c r="BH304" s="77"/>
      <c r="BI304" s="77"/>
    </row>
    <row r="305" spans="1:61" x14ac:dyDescent="0.25">
      <c r="A305" s="62" t="s">
        <v>359</v>
      </c>
      <c r="B305" s="62" t="s">
        <v>359</v>
      </c>
      <c r="C305" s="63"/>
      <c r="D305" s="64"/>
      <c r="E305" s="65"/>
      <c r="F305" s="66"/>
      <c r="G305" s="63"/>
      <c r="H305" s="67"/>
      <c r="I305" s="68"/>
      <c r="J305" s="68"/>
      <c r="K305" s="32"/>
      <c r="L305" s="75">
        <v>305</v>
      </c>
      <c r="M305" s="75"/>
      <c r="N305" s="70"/>
      <c r="O305" s="77" t="s">
        <v>2078</v>
      </c>
      <c r="P305" s="79">
        <v>45161.848263888889</v>
      </c>
      <c r="Q305" s="77" t="s">
        <v>2346</v>
      </c>
      <c r="R305" s="77">
        <v>0</v>
      </c>
      <c r="S305" s="77">
        <v>0</v>
      </c>
      <c r="T305" s="77">
        <v>0</v>
      </c>
      <c r="U305" s="77">
        <v>0</v>
      </c>
      <c r="V305" s="77">
        <v>61</v>
      </c>
      <c r="W305" s="80" t="s">
        <v>6116</v>
      </c>
      <c r="X305" s="77"/>
      <c r="Y305" s="77"/>
      <c r="Z305" s="77"/>
      <c r="AA305" s="77"/>
      <c r="AB305" s="77"/>
      <c r="AC305" s="80" t="s">
        <v>10542</v>
      </c>
      <c r="AD305" s="77" t="s">
        <v>10618</v>
      </c>
      <c r="AE305" s="83" t="str">
        <f>HYPERLINK("https://twitter.com/rio_bravo/status/1694444774441267630")</f>
        <v>https://twitter.com/rio_bravo/status/1694444774441267630</v>
      </c>
      <c r="AF305" s="79">
        <v>45161.848263888889</v>
      </c>
      <c r="AG305" s="85">
        <v>45161</v>
      </c>
      <c r="AH305" s="80" t="s">
        <v>10902</v>
      </c>
      <c r="AI305" s="77"/>
      <c r="AJ305" s="77"/>
      <c r="AK305" s="77"/>
      <c r="AL305" s="77"/>
      <c r="AM305" s="77"/>
      <c r="AN305" s="77"/>
      <c r="AO305" s="77"/>
      <c r="AP305" s="77"/>
      <c r="AQ305" s="77"/>
      <c r="AR305" s="77"/>
      <c r="AS305" s="77"/>
      <c r="AT305" s="77"/>
      <c r="AU305" s="77"/>
      <c r="AV305" s="83" t="str">
        <f>HYPERLINK("https://pbs.twimg.com/profile_images/1674890323326128128/SJXVp4hL_normal.jpg")</f>
        <v>https://pbs.twimg.com/profile_images/1674890323326128128/SJXVp4hL_normal.jpg</v>
      </c>
      <c r="AW305" s="80" t="s">
        <v>16288</v>
      </c>
      <c r="AX305" s="80" t="s">
        <v>19976</v>
      </c>
      <c r="AY305" s="80" t="s">
        <v>20227</v>
      </c>
      <c r="AZ305" s="80" t="s">
        <v>20391</v>
      </c>
      <c r="BA305" s="80" t="s">
        <v>20380</v>
      </c>
      <c r="BB305" s="80" t="s">
        <v>20380</v>
      </c>
      <c r="BC305" s="80" t="s">
        <v>20391</v>
      </c>
      <c r="BD305" s="77">
        <v>3687841756</v>
      </c>
      <c r="BE305" s="77"/>
      <c r="BF305" s="77"/>
      <c r="BG305" s="77"/>
      <c r="BH305" s="77"/>
      <c r="BI305" s="77"/>
    </row>
    <row r="306" spans="1:61" x14ac:dyDescent="0.25">
      <c r="A306" s="62" t="s">
        <v>359</v>
      </c>
      <c r="B306" s="62" t="s">
        <v>359</v>
      </c>
      <c r="C306" s="63"/>
      <c r="D306" s="64"/>
      <c r="E306" s="65"/>
      <c r="F306" s="66"/>
      <c r="G306" s="63"/>
      <c r="H306" s="67"/>
      <c r="I306" s="68"/>
      <c r="J306" s="68"/>
      <c r="K306" s="32"/>
      <c r="L306" s="75">
        <v>306</v>
      </c>
      <c r="M306" s="75"/>
      <c r="N306" s="70"/>
      <c r="O306" s="77" t="s">
        <v>2078</v>
      </c>
      <c r="P306" s="79">
        <v>45166.90047453704</v>
      </c>
      <c r="Q306" s="77" t="s">
        <v>2346</v>
      </c>
      <c r="R306" s="77">
        <v>0</v>
      </c>
      <c r="S306" s="77">
        <v>0</v>
      </c>
      <c r="T306" s="77">
        <v>0</v>
      </c>
      <c r="U306" s="77">
        <v>0</v>
      </c>
      <c r="V306" s="77">
        <v>53</v>
      </c>
      <c r="W306" s="80" t="s">
        <v>6116</v>
      </c>
      <c r="X306" s="77"/>
      <c r="Y306" s="77"/>
      <c r="Z306" s="77"/>
      <c r="AA306" s="77"/>
      <c r="AB306" s="77"/>
      <c r="AC306" s="80" t="s">
        <v>10542</v>
      </c>
      <c r="AD306" s="77" t="s">
        <v>10618</v>
      </c>
      <c r="AE306" s="83" t="str">
        <f>HYPERLINK("https://twitter.com/rio_bravo/status/1696275635352588786")</f>
        <v>https://twitter.com/rio_bravo/status/1696275635352588786</v>
      </c>
      <c r="AF306" s="79">
        <v>45166.90047453704</v>
      </c>
      <c r="AG306" s="85">
        <v>45166</v>
      </c>
      <c r="AH306" s="80" t="s">
        <v>10903</v>
      </c>
      <c r="AI306" s="77"/>
      <c r="AJ306" s="77"/>
      <c r="AK306" s="77"/>
      <c r="AL306" s="77"/>
      <c r="AM306" s="77"/>
      <c r="AN306" s="77"/>
      <c r="AO306" s="77"/>
      <c r="AP306" s="77"/>
      <c r="AQ306" s="77"/>
      <c r="AR306" s="77"/>
      <c r="AS306" s="77"/>
      <c r="AT306" s="77"/>
      <c r="AU306" s="77"/>
      <c r="AV306" s="83" t="str">
        <f>HYPERLINK("https://pbs.twimg.com/profile_images/1674890323326128128/SJXVp4hL_normal.jpg")</f>
        <v>https://pbs.twimg.com/profile_images/1674890323326128128/SJXVp4hL_normal.jpg</v>
      </c>
      <c r="AW306" s="80" t="s">
        <v>16289</v>
      </c>
      <c r="AX306" s="80" t="s">
        <v>19977</v>
      </c>
      <c r="AY306" s="80" t="s">
        <v>20227</v>
      </c>
      <c r="AZ306" s="80" t="s">
        <v>20392</v>
      </c>
      <c r="BA306" s="80" t="s">
        <v>20380</v>
      </c>
      <c r="BB306" s="80" t="s">
        <v>20380</v>
      </c>
      <c r="BC306" s="80" t="s">
        <v>20392</v>
      </c>
      <c r="BD306" s="77">
        <v>3687841756</v>
      </c>
      <c r="BE306" s="77"/>
      <c r="BF306" s="77"/>
      <c r="BG306" s="77"/>
      <c r="BH306" s="77"/>
      <c r="BI306" s="77"/>
    </row>
    <row r="307" spans="1:61" x14ac:dyDescent="0.25">
      <c r="A307" s="62" t="s">
        <v>359</v>
      </c>
      <c r="B307" s="62" t="s">
        <v>359</v>
      </c>
      <c r="C307" s="63"/>
      <c r="D307" s="64"/>
      <c r="E307" s="65"/>
      <c r="F307" s="66"/>
      <c r="G307" s="63"/>
      <c r="H307" s="67"/>
      <c r="I307" s="68"/>
      <c r="J307" s="68"/>
      <c r="K307" s="32"/>
      <c r="L307" s="75">
        <v>307</v>
      </c>
      <c r="M307" s="75"/>
      <c r="N307" s="70"/>
      <c r="O307" s="77" t="s">
        <v>2078</v>
      </c>
      <c r="P307" s="79">
        <v>45152.832141203704</v>
      </c>
      <c r="Q307" s="77" t="s">
        <v>2345</v>
      </c>
      <c r="R307" s="77">
        <v>0</v>
      </c>
      <c r="S307" s="77">
        <v>0</v>
      </c>
      <c r="T307" s="77">
        <v>0</v>
      </c>
      <c r="U307" s="77">
        <v>0</v>
      </c>
      <c r="V307" s="77">
        <v>45</v>
      </c>
      <c r="W307" s="80" t="s">
        <v>6115</v>
      </c>
      <c r="X307" s="77"/>
      <c r="Y307" s="77"/>
      <c r="Z307" s="77"/>
      <c r="AA307" s="77"/>
      <c r="AB307" s="77"/>
      <c r="AC307" s="80" t="s">
        <v>10542</v>
      </c>
      <c r="AD307" s="77" t="s">
        <v>10618</v>
      </c>
      <c r="AE307" s="83" t="str">
        <f>HYPERLINK("https://twitter.com/rio_bravo/status/1691177442201776130")</f>
        <v>https://twitter.com/rio_bravo/status/1691177442201776130</v>
      </c>
      <c r="AF307" s="79">
        <v>45152.832141203704</v>
      </c>
      <c r="AG307" s="85">
        <v>45152</v>
      </c>
      <c r="AH307" s="80" t="s">
        <v>10904</v>
      </c>
      <c r="AI307" s="77"/>
      <c r="AJ307" s="77"/>
      <c r="AK307" s="77"/>
      <c r="AL307" s="77"/>
      <c r="AM307" s="77"/>
      <c r="AN307" s="77"/>
      <c r="AO307" s="77"/>
      <c r="AP307" s="77"/>
      <c r="AQ307" s="77"/>
      <c r="AR307" s="77"/>
      <c r="AS307" s="77"/>
      <c r="AT307" s="77"/>
      <c r="AU307" s="77"/>
      <c r="AV307" s="83" t="str">
        <f>HYPERLINK("https://pbs.twimg.com/profile_images/1674890323326128128/SJXVp4hL_normal.jpg")</f>
        <v>https://pbs.twimg.com/profile_images/1674890323326128128/SJXVp4hL_normal.jpg</v>
      </c>
      <c r="AW307" s="80" t="s">
        <v>16290</v>
      </c>
      <c r="AX307" s="80" t="s">
        <v>19978</v>
      </c>
      <c r="AY307" s="80" t="s">
        <v>20227</v>
      </c>
      <c r="AZ307" s="80" t="s">
        <v>20393</v>
      </c>
      <c r="BA307" s="80" t="s">
        <v>20380</v>
      </c>
      <c r="BB307" s="80" t="s">
        <v>20380</v>
      </c>
      <c r="BC307" s="80" t="s">
        <v>20393</v>
      </c>
      <c r="BD307" s="77">
        <v>3687841756</v>
      </c>
      <c r="BE307" s="77"/>
      <c r="BF307" s="77"/>
      <c r="BG307" s="77"/>
      <c r="BH307" s="77"/>
      <c r="BI307" s="77"/>
    </row>
    <row r="308" spans="1:61" x14ac:dyDescent="0.25">
      <c r="A308" s="62" t="s">
        <v>360</v>
      </c>
      <c r="B308" s="62" t="s">
        <v>1596</v>
      </c>
      <c r="C308" s="63"/>
      <c r="D308" s="64"/>
      <c r="E308" s="65"/>
      <c r="F308" s="66"/>
      <c r="G308" s="63"/>
      <c r="H308" s="67"/>
      <c r="I308" s="68"/>
      <c r="J308" s="68"/>
      <c r="K308" s="32"/>
      <c r="L308" s="75">
        <v>308</v>
      </c>
      <c r="M308" s="75"/>
      <c r="N308" s="70"/>
      <c r="O308" s="77" t="s">
        <v>2081</v>
      </c>
      <c r="P308" s="79">
        <v>45062.781643518516</v>
      </c>
      <c r="Q308" s="77" t="s">
        <v>2347</v>
      </c>
      <c r="R308" s="77">
        <v>0</v>
      </c>
      <c r="S308" s="77">
        <v>4</v>
      </c>
      <c r="T308" s="77">
        <v>0</v>
      </c>
      <c r="U308" s="77">
        <v>0</v>
      </c>
      <c r="V308" s="77">
        <v>137</v>
      </c>
      <c r="W308" s="80" t="s">
        <v>6008</v>
      </c>
      <c r="X308" s="83" t="str">
        <f>HYPERLINK("https://www.bcb.gov.br/acessoinformacao/eventos/136")</f>
        <v>https://www.bcb.gov.br/acessoinformacao/eventos/136</v>
      </c>
      <c r="Y308" s="77" t="s">
        <v>8633</v>
      </c>
      <c r="Z308" s="77" t="s">
        <v>1596</v>
      </c>
      <c r="AA308" s="77"/>
      <c r="AB308" s="77"/>
      <c r="AC308" s="80" t="s">
        <v>10541</v>
      </c>
      <c r="AD308" s="77" t="s">
        <v>10617</v>
      </c>
      <c r="AE308" s="83" t="str">
        <f>HYPERLINK("https://twitter.com/_rafaelsales/status/1658544236432613376")</f>
        <v>https://twitter.com/_rafaelsales/status/1658544236432613376</v>
      </c>
      <c r="AF308" s="79">
        <v>45062.781643518516</v>
      </c>
      <c r="AG308" s="85">
        <v>45062</v>
      </c>
      <c r="AH308" s="80" t="s">
        <v>10905</v>
      </c>
      <c r="AI308" s="77" t="b">
        <v>0</v>
      </c>
      <c r="AJ308" s="77"/>
      <c r="AK308" s="77"/>
      <c r="AL308" s="77"/>
      <c r="AM308" s="77"/>
      <c r="AN308" s="77"/>
      <c r="AO308" s="77"/>
      <c r="AP308" s="77"/>
      <c r="AQ308" s="77"/>
      <c r="AR308" s="77"/>
      <c r="AS308" s="77"/>
      <c r="AT308" s="77"/>
      <c r="AU308" s="77"/>
      <c r="AV308" s="83" t="str">
        <f>HYPERLINK("https://pbs.twimg.com/profile_images/1477829490357248008/_ONo6vMo_normal.jpg")</f>
        <v>https://pbs.twimg.com/profile_images/1477829490357248008/_ONo6vMo_normal.jpg</v>
      </c>
      <c r="AW308" s="80" t="s">
        <v>16291</v>
      </c>
      <c r="AX308" s="80" t="s">
        <v>16291</v>
      </c>
      <c r="AY308" s="77"/>
      <c r="AZ308" s="80" t="s">
        <v>20380</v>
      </c>
      <c r="BA308" s="80" t="s">
        <v>20380</v>
      </c>
      <c r="BB308" s="80" t="s">
        <v>20380</v>
      </c>
      <c r="BC308" s="80" t="s">
        <v>16291</v>
      </c>
      <c r="BD308" s="80" t="s">
        <v>20566</v>
      </c>
      <c r="BE308" s="77"/>
      <c r="BF308" s="77"/>
      <c r="BG308" s="77"/>
      <c r="BH308" s="77"/>
      <c r="BI308" s="77"/>
    </row>
    <row r="309" spans="1:61" x14ac:dyDescent="0.25">
      <c r="A309" s="62" t="s">
        <v>361</v>
      </c>
      <c r="B309" s="62" t="s">
        <v>1655</v>
      </c>
      <c r="C309" s="63"/>
      <c r="D309" s="64"/>
      <c r="E309" s="65"/>
      <c r="F309" s="66"/>
      <c r="G309" s="63"/>
      <c r="H309" s="67"/>
      <c r="I309" s="68"/>
      <c r="J309" s="68"/>
      <c r="K309" s="32"/>
      <c r="L309" s="75">
        <v>309</v>
      </c>
      <c r="M309" s="75"/>
      <c r="N309" s="70"/>
      <c r="O309" s="77" t="s">
        <v>2083</v>
      </c>
      <c r="P309" s="79">
        <v>45191.450775462959</v>
      </c>
      <c r="Q309" s="77" t="s">
        <v>2120</v>
      </c>
      <c r="R309" s="77">
        <v>57</v>
      </c>
      <c r="S309" s="77">
        <v>0</v>
      </c>
      <c r="T309" s="77">
        <v>0</v>
      </c>
      <c r="U309" s="77">
        <v>0</v>
      </c>
      <c r="V309" s="77"/>
      <c r="W309" s="80" t="s">
        <v>5917</v>
      </c>
      <c r="X309" s="77"/>
      <c r="Y309" s="77"/>
      <c r="Z309" s="77" t="s">
        <v>1655</v>
      </c>
      <c r="AA309" s="77"/>
      <c r="AB309" s="77"/>
      <c r="AC309" s="80" t="s">
        <v>10542</v>
      </c>
      <c r="AD309" s="77" t="s">
        <v>10617</v>
      </c>
      <c r="AE309" s="83" t="str">
        <f>HYPERLINK("https://twitter.com/tedeschidr/status/1705172366962135101")</f>
        <v>https://twitter.com/tedeschidr/status/1705172366962135101</v>
      </c>
      <c r="AF309" s="79">
        <v>45191.450775462959</v>
      </c>
      <c r="AG309" s="85">
        <v>45191</v>
      </c>
      <c r="AH309" s="80" t="s">
        <v>10906</v>
      </c>
      <c r="AI309" s="77"/>
      <c r="AJ309" s="77"/>
      <c r="AK309" s="77"/>
      <c r="AL309" s="77"/>
      <c r="AM309" s="77"/>
      <c r="AN309" s="77"/>
      <c r="AO309" s="77"/>
      <c r="AP309" s="77"/>
      <c r="AQ309" s="77"/>
      <c r="AR309" s="77"/>
      <c r="AS309" s="77"/>
      <c r="AT309" s="77"/>
      <c r="AU309" s="77"/>
      <c r="AV309" s="83" t="str">
        <f>HYPERLINK("https://pbs.twimg.com/profile_images/1518546307870339072/faobktri_normal.jpg")</f>
        <v>https://pbs.twimg.com/profile_images/1518546307870339072/faobktri_normal.jpg</v>
      </c>
      <c r="AW309" s="80" t="s">
        <v>16292</v>
      </c>
      <c r="AX309" s="80" t="s">
        <v>16292</v>
      </c>
      <c r="AY309" s="77"/>
      <c r="AZ309" s="80" t="s">
        <v>20380</v>
      </c>
      <c r="BA309" s="80" t="s">
        <v>20380</v>
      </c>
      <c r="BB309" s="80" t="s">
        <v>19843</v>
      </c>
      <c r="BC309" s="80" t="s">
        <v>19843</v>
      </c>
      <c r="BD309" s="80" t="s">
        <v>20567</v>
      </c>
      <c r="BE309" s="77"/>
      <c r="BF309" s="77"/>
      <c r="BG309" s="77"/>
      <c r="BH309" s="77"/>
      <c r="BI309" s="77"/>
    </row>
    <row r="310" spans="1:61" x14ac:dyDescent="0.25">
      <c r="A310" s="62" t="s">
        <v>362</v>
      </c>
      <c r="B310" s="62" t="s">
        <v>362</v>
      </c>
      <c r="C310" s="63"/>
      <c r="D310" s="64"/>
      <c r="E310" s="65"/>
      <c r="F310" s="66"/>
      <c r="G310" s="63"/>
      <c r="H310" s="67"/>
      <c r="I310" s="68"/>
      <c r="J310" s="68"/>
      <c r="K310" s="32"/>
      <c r="L310" s="75">
        <v>310</v>
      </c>
      <c r="M310" s="75"/>
      <c r="N310" s="70"/>
      <c r="O310" s="77" t="s">
        <v>179</v>
      </c>
      <c r="P310" s="79">
        <v>45114.682835648149</v>
      </c>
      <c r="Q310" s="77" t="s">
        <v>2348</v>
      </c>
      <c r="R310" s="77">
        <v>0</v>
      </c>
      <c r="S310" s="77">
        <v>0</v>
      </c>
      <c r="T310" s="77">
        <v>0</v>
      </c>
      <c r="U310" s="77">
        <v>0</v>
      </c>
      <c r="V310" s="77">
        <v>11</v>
      </c>
      <c r="W310" s="80" t="s">
        <v>5884</v>
      </c>
      <c r="X310" s="83" t="str">
        <f>HYPERLINK("https://www.brasil247.com/economia/andre-esteves-defende-corte-de-0-5-ponto-na-selic-pelo-banco-central-em-agosto")</f>
        <v>https://www.brasil247.com/economia/andre-esteves-defende-corte-de-0-5-ponto-na-selic-pelo-banco-central-em-agosto</v>
      </c>
      <c r="Y310" s="77" t="s">
        <v>8648</v>
      </c>
      <c r="Z310" s="77"/>
      <c r="AA310" s="77"/>
      <c r="AB310" s="77"/>
      <c r="AC310" s="80" t="s">
        <v>10541</v>
      </c>
      <c r="AD310" s="77" t="s">
        <v>10617</v>
      </c>
      <c r="AE310" s="83" t="str">
        <f>HYPERLINK("https://twitter.com/flavisraraujo/status/1677352597819203588")</f>
        <v>https://twitter.com/flavisraraujo/status/1677352597819203588</v>
      </c>
      <c r="AF310" s="79">
        <v>45114.682835648149</v>
      </c>
      <c r="AG310" s="85">
        <v>45114</v>
      </c>
      <c r="AH310" s="80" t="s">
        <v>10907</v>
      </c>
      <c r="AI310" s="77" t="b">
        <v>0</v>
      </c>
      <c r="AJ310" s="77"/>
      <c r="AK310" s="77"/>
      <c r="AL310" s="77"/>
      <c r="AM310" s="77"/>
      <c r="AN310" s="77"/>
      <c r="AO310" s="77"/>
      <c r="AP310" s="77"/>
      <c r="AQ310" s="77"/>
      <c r="AR310" s="77"/>
      <c r="AS310" s="77"/>
      <c r="AT310" s="77"/>
      <c r="AU310" s="77"/>
      <c r="AV310" s="83" t="str">
        <f>HYPERLINK("https://pbs.twimg.com/profile_images/1182034731132751872/LPfhkLI6_normal.png")</f>
        <v>https://pbs.twimg.com/profile_images/1182034731132751872/LPfhkLI6_normal.png</v>
      </c>
      <c r="AW310" s="80" t="s">
        <v>16293</v>
      </c>
      <c r="AX310" s="80" t="s">
        <v>16293</v>
      </c>
      <c r="AY310" s="77"/>
      <c r="AZ310" s="80" t="s">
        <v>20380</v>
      </c>
      <c r="BA310" s="80" t="s">
        <v>20380</v>
      </c>
      <c r="BB310" s="80" t="s">
        <v>20380</v>
      </c>
      <c r="BC310" s="80" t="s">
        <v>16293</v>
      </c>
      <c r="BD310" s="80" t="s">
        <v>20568</v>
      </c>
      <c r="BE310" s="77"/>
      <c r="BF310" s="77"/>
      <c r="BG310" s="77"/>
      <c r="BH310" s="77"/>
      <c r="BI310" s="77"/>
    </row>
    <row r="311" spans="1:61" x14ac:dyDescent="0.25">
      <c r="A311" s="62" t="s">
        <v>363</v>
      </c>
      <c r="B311" s="62" t="s">
        <v>363</v>
      </c>
      <c r="C311" s="63"/>
      <c r="D311" s="64"/>
      <c r="E311" s="65"/>
      <c r="F311" s="66"/>
      <c r="G311" s="63"/>
      <c r="H311" s="67"/>
      <c r="I311" s="68"/>
      <c r="J311" s="68"/>
      <c r="K311" s="32"/>
      <c r="L311" s="75">
        <v>311</v>
      </c>
      <c r="M311" s="75"/>
      <c r="N311" s="70"/>
      <c r="O311" s="77" t="s">
        <v>179</v>
      </c>
      <c r="P311" s="79">
        <v>45090.811782407407</v>
      </c>
      <c r="Q311" s="77" t="s">
        <v>2349</v>
      </c>
      <c r="R311" s="77">
        <v>0</v>
      </c>
      <c r="S311" s="77">
        <v>0</v>
      </c>
      <c r="T311" s="77">
        <v>0</v>
      </c>
      <c r="U311" s="77">
        <v>0</v>
      </c>
      <c r="V311" s="77">
        <v>27</v>
      </c>
      <c r="W311" s="80" t="s">
        <v>6117</v>
      </c>
      <c r="X311" s="83" t="str">
        <f>HYPERLINK("https://acortar.link/91PFMr")</f>
        <v>https://acortar.link/91PFMr</v>
      </c>
      <c r="Y311" s="77" t="s">
        <v>8649</v>
      </c>
      <c r="Z311" s="77"/>
      <c r="AA311" s="77" t="s">
        <v>9128</v>
      </c>
      <c r="AB311" s="77" t="s">
        <v>10535</v>
      </c>
      <c r="AC311" s="80" t="s">
        <v>10546</v>
      </c>
      <c r="AD311" s="77" t="s">
        <v>10620</v>
      </c>
      <c r="AE311" s="83" t="str">
        <f>HYPERLINK("https://twitter.com/htnoticiasdo/status/1668702018586673152")</f>
        <v>https://twitter.com/htnoticiasdo/status/1668702018586673152</v>
      </c>
      <c r="AF311" s="79">
        <v>45090.811782407407</v>
      </c>
      <c r="AG311" s="85">
        <v>45090</v>
      </c>
      <c r="AH311" s="80" t="s">
        <v>10908</v>
      </c>
      <c r="AI311" s="77" t="b">
        <v>0</v>
      </c>
      <c r="AJ311" s="77"/>
      <c r="AK311" s="77"/>
      <c r="AL311" s="77"/>
      <c r="AM311" s="77"/>
      <c r="AN311" s="77"/>
      <c r="AO311" s="77"/>
      <c r="AP311" s="77"/>
      <c r="AQ311" s="77" t="s">
        <v>14610</v>
      </c>
      <c r="AR311" s="77"/>
      <c r="AS311" s="77"/>
      <c r="AT311" s="77"/>
      <c r="AU311" s="77"/>
      <c r="AV311" s="83" t="str">
        <f>HYPERLINK("https://pbs.twimg.com/media/FyhrpGHXwAAyu12.png")</f>
        <v>https://pbs.twimg.com/media/FyhrpGHXwAAyu12.png</v>
      </c>
      <c r="AW311" s="80" t="s">
        <v>16294</v>
      </c>
      <c r="AX311" s="80" t="s">
        <v>16294</v>
      </c>
      <c r="AY311" s="77"/>
      <c r="AZ311" s="80" t="s">
        <v>20380</v>
      </c>
      <c r="BA311" s="80" t="s">
        <v>20380</v>
      </c>
      <c r="BB311" s="80" t="s">
        <v>20380</v>
      </c>
      <c r="BC311" s="80" t="s">
        <v>16294</v>
      </c>
      <c r="BD311" s="80" t="s">
        <v>20569</v>
      </c>
      <c r="BE311" s="77"/>
      <c r="BF311" s="77"/>
      <c r="BG311" s="77"/>
      <c r="BH311" s="77"/>
      <c r="BI311" s="77"/>
    </row>
    <row r="312" spans="1:61" x14ac:dyDescent="0.25">
      <c r="A312" s="62" t="s">
        <v>363</v>
      </c>
      <c r="B312" s="62" t="s">
        <v>363</v>
      </c>
      <c r="C312" s="63"/>
      <c r="D312" s="64"/>
      <c r="E312" s="65"/>
      <c r="F312" s="66"/>
      <c r="G312" s="63"/>
      <c r="H312" s="67"/>
      <c r="I312" s="68"/>
      <c r="J312" s="68"/>
      <c r="K312" s="32"/>
      <c r="L312" s="75">
        <v>312</v>
      </c>
      <c r="M312" s="75"/>
      <c r="N312" s="70"/>
      <c r="O312" s="77" t="s">
        <v>179</v>
      </c>
      <c r="P312" s="79">
        <v>45095.75277777778</v>
      </c>
      <c r="Q312" s="77" t="s">
        <v>2350</v>
      </c>
      <c r="R312" s="77">
        <v>0</v>
      </c>
      <c r="S312" s="77">
        <v>0</v>
      </c>
      <c r="T312" s="77">
        <v>0</v>
      </c>
      <c r="U312" s="77">
        <v>0</v>
      </c>
      <c r="V312" s="77">
        <v>11</v>
      </c>
      <c r="W312" s="80" t="s">
        <v>6118</v>
      </c>
      <c r="X312" s="77" t="s">
        <v>8584</v>
      </c>
      <c r="Y312" s="77" t="s">
        <v>8650</v>
      </c>
      <c r="Z312" s="77"/>
      <c r="AA312" s="77" t="s">
        <v>9129</v>
      </c>
      <c r="AB312" s="77" t="s">
        <v>10535</v>
      </c>
      <c r="AC312" s="80" t="s">
        <v>10546</v>
      </c>
      <c r="AD312" s="77" t="s">
        <v>10620</v>
      </c>
      <c r="AE312" s="83" t="str">
        <f>HYPERLINK("https://twitter.com/htnoticiasdo/status/1670492571758370818")</f>
        <v>https://twitter.com/htnoticiasdo/status/1670492571758370818</v>
      </c>
      <c r="AF312" s="79">
        <v>45095.75277777778</v>
      </c>
      <c r="AG312" s="85">
        <v>45095</v>
      </c>
      <c r="AH312" s="80" t="s">
        <v>10909</v>
      </c>
      <c r="AI312" s="77" t="b">
        <v>0</v>
      </c>
      <c r="AJ312" s="77"/>
      <c r="AK312" s="77"/>
      <c r="AL312" s="77"/>
      <c r="AM312" s="77"/>
      <c r="AN312" s="77"/>
      <c r="AO312" s="77"/>
      <c r="AP312" s="77"/>
      <c r="AQ312" s="77" t="s">
        <v>14611</v>
      </c>
      <c r="AR312" s="77"/>
      <c r="AS312" s="77"/>
      <c r="AT312" s="77"/>
      <c r="AU312" s="77"/>
      <c r="AV312" s="83" t="str">
        <f>HYPERLINK("https://pbs.twimg.com/media/Fy7IJDEXoAcIfg3.jpg")</f>
        <v>https://pbs.twimg.com/media/Fy7IJDEXoAcIfg3.jpg</v>
      </c>
      <c r="AW312" s="80" t="s">
        <v>16295</v>
      </c>
      <c r="AX312" s="80" t="s">
        <v>16295</v>
      </c>
      <c r="AY312" s="77"/>
      <c r="AZ312" s="80" t="s">
        <v>20380</v>
      </c>
      <c r="BA312" s="80" t="s">
        <v>20380</v>
      </c>
      <c r="BB312" s="80" t="s">
        <v>20380</v>
      </c>
      <c r="BC312" s="80" t="s">
        <v>16295</v>
      </c>
      <c r="BD312" s="80" t="s">
        <v>20569</v>
      </c>
      <c r="BE312" s="77"/>
      <c r="BF312" s="77"/>
      <c r="BG312" s="77"/>
      <c r="BH312" s="77"/>
      <c r="BI312" s="77"/>
    </row>
    <row r="313" spans="1:61" x14ac:dyDescent="0.25">
      <c r="A313" s="62" t="s">
        <v>363</v>
      </c>
      <c r="B313" s="62" t="s">
        <v>363</v>
      </c>
      <c r="C313" s="63"/>
      <c r="D313" s="64"/>
      <c r="E313" s="65"/>
      <c r="F313" s="66"/>
      <c r="G313" s="63"/>
      <c r="H313" s="67"/>
      <c r="I313" s="68"/>
      <c r="J313" s="68"/>
      <c r="K313" s="32"/>
      <c r="L313" s="75">
        <v>313</v>
      </c>
      <c r="M313" s="75"/>
      <c r="N313" s="70"/>
      <c r="O313" s="77" t="s">
        <v>179</v>
      </c>
      <c r="P313" s="79">
        <v>45093.725057870368</v>
      </c>
      <c r="Q313" s="77" t="s">
        <v>2351</v>
      </c>
      <c r="R313" s="77">
        <v>0</v>
      </c>
      <c r="S313" s="77">
        <v>0</v>
      </c>
      <c r="T313" s="77">
        <v>0</v>
      </c>
      <c r="U313" s="77">
        <v>0</v>
      </c>
      <c r="V313" s="77">
        <v>9</v>
      </c>
      <c r="W313" s="80" t="s">
        <v>6119</v>
      </c>
      <c r="X313" s="83" t="str">
        <f>HYPERLINK("https://acortar.link/dFw7T7")</f>
        <v>https://acortar.link/dFw7T7</v>
      </c>
      <c r="Y313" s="77" t="s">
        <v>8649</v>
      </c>
      <c r="Z313" s="77"/>
      <c r="AA313" s="77" t="s">
        <v>9130</v>
      </c>
      <c r="AB313" s="77" t="s">
        <v>10535</v>
      </c>
      <c r="AC313" s="80" t="s">
        <v>10546</v>
      </c>
      <c r="AD313" s="77" t="s">
        <v>10620</v>
      </c>
      <c r="AE313" s="83" t="str">
        <f>HYPERLINK("https://twitter.com/htnoticiasdo/status/1669757753676509204")</f>
        <v>https://twitter.com/htnoticiasdo/status/1669757753676509204</v>
      </c>
      <c r="AF313" s="79">
        <v>45093.725057870368</v>
      </c>
      <c r="AG313" s="85">
        <v>45093</v>
      </c>
      <c r="AH313" s="80" t="s">
        <v>10910</v>
      </c>
      <c r="AI313" s="77" t="b">
        <v>0</v>
      </c>
      <c r="AJ313" s="77"/>
      <c r="AK313" s="77"/>
      <c r="AL313" s="77"/>
      <c r="AM313" s="77"/>
      <c r="AN313" s="77"/>
      <c r="AO313" s="77"/>
      <c r="AP313" s="77"/>
      <c r="AQ313" s="77" t="s">
        <v>14612</v>
      </c>
      <c r="AR313" s="77"/>
      <c r="AS313" s="77"/>
      <c r="AT313" s="77"/>
      <c r="AU313" s="77"/>
      <c r="AV313" s="83" t="str">
        <f>HYPERLINK("https://pbs.twimg.com/media/Fywr1A9XsAAno9o.jpg")</f>
        <v>https://pbs.twimg.com/media/Fywr1A9XsAAno9o.jpg</v>
      </c>
      <c r="AW313" s="80" t="s">
        <v>16296</v>
      </c>
      <c r="AX313" s="80" t="s">
        <v>16296</v>
      </c>
      <c r="AY313" s="77"/>
      <c r="AZ313" s="80" t="s">
        <v>20380</v>
      </c>
      <c r="BA313" s="80" t="s">
        <v>20380</v>
      </c>
      <c r="BB313" s="80" t="s">
        <v>20380</v>
      </c>
      <c r="BC313" s="80" t="s">
        <v>16296</v>
      </c>
      <c r="BD313" s="80" t="s">
        <v>20569</v>
      </c>
      <c r="BE313" s="77"/>
      <c r="BF313" s="77"/>
      <c r="BG313" s="77"/>
      <c r="BH313" s="77"/>
      <c r="BI313" s="77"/>
    </row>
    <row r="314" spans="1:61" x14ac:dyDescent="0.25">
      <c r="A314" s="62" t="s">
        <v>364</v>
      </c>
      <c r="B314" s="62" t="s">
        <v>364</v>
      </c>
      <c r="C314" s="63"/>
      <c r="D314" s="64"/>
      <c r="E314" s="65"/>
      <c r="F314" s="66"/>
      <c r="G314" s="63"/>
      <c r="H314" s="67"/>
      <c r="I314" s="68"/>
      <c r="J314" s="68"/>
      <c r="K314" s="32"/>
      <c r="L314" s="75">
        <v>314</v>
      </c>
      <c r="M314" s="75"/>
      <c r="N314" s="70"/>
      <c r="O314" s="77" t="s">
        <v>179</v>
      </c>
      <c r="P314" s="79">
        <v>45054.802407407406</v>
      </c>
      <c r="Q314" s="77" t="s">
        <v>2352</v>
      </c>
      <c r="R314" s="77">
        <v>0</v>
      </c>
      <c r="S314" s="77">
        <v>0</v>
      </c>
      <c r="T314" s="77">
        <v>0</v>
      </c>
      <c r="U314" s="77">
        <v>0</v>
      </c>
      <c r="V314" s="77">
        <v>32</v>
      </c>
      <c r="W314" s="80" t="s">
        <v>6120</v>
      </c>
      <c r="X314" s="77"/>
      <c r="Y314" s="77"/>
      <c r="Z314" s="77"/>
      <c r="AA314" s="77" t="s">
        <v>9131</v>
      </c>
      <c r="AB314" s="77" t="s">
        <v>10534</v>
      </c>
      <c r="AC314" s="80" t="s">
        <v>10540</v>
      </c>
      <c r="AD314" s="77" t="s">
        <v>10620</v>
      </c>
      <c r="AE314" s="83" t="str">
        <f>HYPERLINK("https://twitter.com/kefernandez133/status/1655652656147226625")</f>
        <v>https://twitter.com/kefernandez133/status/1655652656147226625</v>
      </c>
      <c r="AF314" s="79">
        <v>45054.802407407406</v>
      </c>
      <c r="AG314" s="85">
        <v>45054</v>
      </c>
      <c r="AH314" s="80" t="s">
        <v>10911</v>
      </c>
      <c r="AI314" s="77" t="b">
        <v>0</v>
      </c>
      <c r="AJ314" s="77"/>
      <c r="AK314" s="77"/>
      <c r="AL314" s="77"/>
      <c r="AM314" s="77"/>
      <c r="AN314" s="77"/>
      <c r="AO314" s="77"/>
      <c r="AP314" s="77"/>
      <c r="AQ314" s="77" t="s">
        <v>14613</v>
      </c>
      <c r="AR314" s="77">
        <v>25472</v>
      </c>
      <c r="AS314" s="77"/>
      <c r="AT314" s="77"/>
      <c r="AU314" s="77"/>
      <c r="AV314" s="83" t="str">
        <f>HYPERLINK("https://pbs.twimg.com/ext_tw_video_thumb/1655652591328452638/pu/img/fQ2JneGNMW2SZIGC.jpg")</f>
        <v>https://pbs.twimg.com/ext_tw_video_thumb/1655652591328452638/pu/img/fQ2JneGNMW2SZIGC.jpg</v>
      </c>
      <c r="AW314" s="80" t="s">
        <v>16297</v>
      </c>
      <c r="AX314" s="80" t="s">
        <v>16297</v>
      </c>
      <c r="AY314" s="77"/>
      <c r="AZ314" s="80" t="s">
        <v>20380</v>
      </c>
      <c r="BA314" s="80" t="s">
        <v>20380</v>
      </c>
      <c r="BB314" s="80" t="s">
        <v>20380</v>
      </c>
      <c r="BC314" s="80" t="s">
        <v>16297</v>
      </c>
      <c r="BD314" s="80" t="s">
        <v>20570</v>
      </c>
      <c r="BE314" s="77"/>
      <c r="BF314" s="77"/>
      <c r="BG314" s="77"/>
      <c r="BH314" s="77"/>
      <c r="BI314" s="77"/>
    </row>
    <row r="315" spans="1:61" x14ac:dyDescent="0.25">
      <c r="A315" s="62" t="s">
        <v>365</v>
      </c>
      <c r="B315" s="62" t="s">
        <v>365</v>
      </c>
      <c r="C315" s="63"/>
      <c r="D315" s="64"/>
      <c r="E315" s="65"/>
      <c r="F315" s="66"/>
      <c r="G315" s="63"/>
      <c r="H315" s="67"/>
      <c r="I315" s="68"/>
      <c r="J315" s="68"/>
      <c r="K315" s="32"/>
      <c r="L315" s="75">
        <v>315</v>
      </c>
      <c r="M315" s="75"/>
      <c r="N315" s="70"/>
      <c r="O315" s="77" t="s">
        <v>179</v>
      </c>
      <c r="P315" s="79">
        <v>45152.772060185183</v>
      </c>
      <c r="Q315" s="77" t="s">
        <v>2353</v>
      </c>
      <c r="R315" s="77">
        <v>0</v>
      </c>
      <c r="S315" s="77">
        <v>1</v>
      </c>
      <c r="T315" s="77">
        <v>0</v>
      </c>
      <c r="U315" s="77">
        <v>0</v>
      </c>
      <c r="V315" s="77">
        <v>27</v>
      </c>
      <c r="W315" s="80" t="s">
        <v>6121</v>
      </c>
      <c r="X315" s="83" t="str">
        <f>HYPERLINK("https://diarioprensadelinterior.com/post/suba-de-tasas-de-plazos-fijos-al-118-los-cuatro-argumentos-del-banco-central")</f>
        <v>https://diarioprensadelinterior.com/post/suba-de-tasas-de-plazos-fijos-al-118-los-cuatro-argumentos-del-banco-central</v>
      </c>
      <c r="Y315" s="77" t="s">
        <v>8651</v>
      </c>
      <c r="Z315" s="77"/>
      <c r="AA315" s="77"/>
      <c r="AB315" s="77"/>
      <c r="AC315" s="80" t="s">
        <v>10541</v>
      </c>
      <c r="AD315" s="77" t="s">
        <v>10620</v>
      </c>
      <c r="AE315" s="83" t="str">
        <f>HYPERLINK("https://twitter.com/dpdelinterior/status/1691155670698016768")</f>
        <v>https://twitter.com/dpdelinterior/status/1691155670698016768</v>
      </c>
      <c r="AF315" s="79">
        <v>45152.772060185183</v>
      </c>
      <c r="AG315" s="85">
        <v>45152</v>
      </c>
      <c r="AH315" s="80" t="s">
        <v>10912</v>
      </c>
      <c r="AI315" s="77" t="b">
        <v>0</v>
      </c>
      <c r="AJ315" s="77"/>
      <c r="AK315" s="77"/>
      <c r="AL315" s="77"/>
      <c r="AM315" s="77"/>
      <c r="AN315" s="77"/>
      <c r="AO315" s="77"/>
      <c r="AP315" s="77"/>
      <c r="AQ315" s="77"/>
      <c r="AR315" s="77"/>
      <c r="AS315" s="77"/>
      <c r="AT315" s="77"/>
      <c r="AU315" s="77"/>
      <c r="AV315" s="83" t="str">
        <f>HYPERLINK("https://pbs.twimg.com/profile_images/1115298704100089856/tTZ3O7DL_normal.png")</f>
        <v>https://pbs.twimg.com/profile_images/1115298704100089856/tTZ3O7DL_normal.png</v>
      </c>
      <c r="AW315" s="80" t="s">
        <v>16298</v>
      </c>
      <c r="AX315" s="80" t="s">
        <v>16298</v>
      </c>
      <c r="AY315" s="77"/>
      <c r="AZ315" s="80" t="s">
        <v>20380</v>
      </c>
      <c r="BA315" s="80" t="s">
        <v>20380</v>
      </c>
      <c r="BB315" s="80" t="s">
        <v>20380</v>
      </c>
      <c r="BC315" s="80" t="s">
        <v>16298</v>
      </c>
      <c r="BD315" s="77">
        <v>348658631</v>
      </c>
      <c r="BE315" s="77"/>
      <c r="BF315" s="77"/>
      <c r="BG315" s="77"/>
      <c r="BH315" s="77"/>
      <c r="BI315" s="77"/>
    </row>
    <row r="316" spans="1:61" x14ac:dyDescent="0.25">
      <c r="A316" s="62" t="s">
        <v>365</v>
      </c>
      <c r="B316" s="62" t="s">
        <v>365</v>
      </c>
      <c r="C316" s="63"/>
      <c r="D316" s="64"/>
      <c r="E316" s="65"/>
      <c r="F316" s="66"/>
      <c r="G316" s="63"/>
      <c r="H316" s="67"/>
      <c r="I316" s="68"/>
      <c r="J316" s="68"/>
      <c r="K316" s="32"/>
      <c r="L316" s="75">
        <v>316</v>
      </c>
      <c r="M316" s="75"/>
      <c r="N316" s="70"/>
      <c r="O316" s="77" t="s">
        <v>179</v>
      </c>
      <c r="P316" s="79">
        <v>45168.054826388892</v>
      </c>
      <c r="Q316" s="77" t="s">
        <v>2354</v>
      </c>
      <c r="R316" s="77">
        <v>0</v>
      </c>
      <c r="S316" s="77">
        <v>1</v>
      </c>
      <c r="T316" s="77">
        <v>0</v>
      </c>
      <c r="U316" s="77">
        <v>0</v>
      </c>
      <c r="V316" s="77">
        <v>90</v>
      </c>
      <c r="W316" s="80" t="s">
        <v>6122</v>
      </c>
      <c r="X316" s="83" t="str">
        <f>HYPERLINK("https://diarioprensadelinterior.com/post/mercado-cambiario-el-dolar-informal-anoto-su-mayor-suba-en-dos-semanas-y-avanzo-12-a-750")</f>
        <v>https://diarioprensadelinterior.com/post/mercado-cambiario-el-dolar-informal-anoto-su-mayor-suba-en-dos-semanas-y-avanzo-12-a-750</v>
      </c>
      <c r="Y316" s="77" t="s">
        <v>8651</v>
      </c>
      <c r="Z316" s="77"/>
      <c r="AA316" s="77"/>
      <c r="AB316" s="77"/>
      <c r="AC316" s="80" t="s">
        <v>10541</v>
      </c>
      <c r="AD316" s="77" t="s">
        <v>10620</v>
      </c>
      <c r="AE316" s="83" t="str">
        <f>HYPERLINK("https://twitter.com/dpdelinterior/status/1696693959509114897")</f>
        <v>https://twitter.com/dpdelinterior/status/1696693959509114897</v>
      </c>
      <c r="AF316" s="79">
        <v>45168.054826388892</v>
      </c>
      <c r="AG316" s="85">
        <v>45168</v>
      </c>
      <c r="AH316" s="80" t="s">
        <v>10913</v>
      </c>
      <c r="AI316" s="77" t="b">
        <v>0</v>
      </c>
      <c r="AJ316" s="77"/>
      <c r="AK316" s="77"/>
      <c r="AL316" s="77"/>
      <c r="AM316" s="77"/>
      <c r="AN316" s="77"/>
      <c r="AO316" s="77"/>
      <c r="AP316" s="77"/>
      <c r="AQ316" s="77"/>
      <c r="AR316" s="77"/>
      <c r="AS316" s="77"/>
      <c r="AT316" s="77"/>
      <c r="AU316" s="77"/>
      <c r="AV316" s="83" t="str">
        <f>HYPERLINK("https://pbs.twimg.com/profile_images/1115298704100089856/tTZ3O7DL_normal.png")</f>
        <v>https://pbs.twimg.com/profile_images/1115298704100089856/tTZ3O7DL_normal.png</v>
      </c>
      <c r="AW316" s="80" t="s">
        <v>16299</v>
      </c>
      <c r="AX316" s="80" t="s">
        <v>16299</v>
      </c>
      <c r="AY316" s="77"/>
      <c r="AZ316" s="80" t="s">
        <v>20380</v>
      </c>
      <c r="BA316" s="80" t="s">
        <v>20380</v>
      </c>
      <c r="BB316" s="80" t="s">
        <v>20380</v>
      </c>
      <c r="BC316" s="80" t="s">
        <v>16299</v>
      </c>
      <c r="BD316" s="77">
        <v>348658631</v>
      </c>
      <c r="BE316" s="77"/>
      <c r="BF316" s="77"/>
      <c r="BG316" s="77"/>
      <c r="BH316" s="77"/>
      <c r="BI316" s="77"/>
    </row>
    <row r="317" spans="1:61" x14ac:dyDescent="0.25">
      <c r="A317" s="62" t="s">
        <v>366</v>
      </c>
      <c r="B317" s="62" t="s">
        <v>366</v>
      </c>
      <c r="C317" s="63"/>
      <c r="D317" s="64"/>
      <c r="E317" s="65"/>
      <c r="F317" s="66"/>
      <c r="G317" s="63"/>
      <c r="H317" s="67"/>
      <c r="I317" s="68"/>
      <c r="J317" s="68"/>
      <c r="K317" s="32"/>
      <c r="L317" s="75">
        <v>317</v>
      </c>
      <c r="M317" s="75"/>
      <c r="N317" s="70"/>
      <c r="O317" s="77" t="s">
        <v>179</v>
      </c>
      <c r="P317" s="79">
        <v>45089.671342592592</v>
      </c>
      <c r="Q317" s="77" t="s">
        <v>2355</v>
      </c>
      <c r="R317" s="77">
        <v>0</v>
      </c>
      <c r="S317" s="77">
        <v>1</v>
      </c>
      <c r="T317" s="77">
        <v>0</v>
      </c>
      <c r="U317" s="77">
        <v>0</v>
      </c>
      <c r="V317" s="77">
        <v>29</v>
      </c>
      <c r="W317" s="80" t="s">
        <v>6123</v>
      </c>
      <c r="X317" s="83" t="str">
        <f>HYPERLINK("https://linktr.ee/auditableconsultores")</f>
        <v>https://linktr.ee/auditableconsultores</v>
      </c>
      <c r="Y317" s="77" t="s">
        <v>8652</v>
      </c>
      <c r="Z317" s="77"/>
      <c r="AA317" s="77"/>
      <c r="AB317" s="77"/>
      <c r="AC317" s="80" t="s">
        <v>10541</v>
      </c>
      <c r="AD317" s="77" t="s">
        <v>10620</v>
      </c>
      <c r="AE317" s="83" t="str">
        <f>HYPERLINK("https://twitter.com/auditablecl/status/1668288734570110981")</f>
        <v>https://twitter.com/auditablecl/status/1668288734570110981</v>
      </c>
      <c r="AF317" s="79">
        <v>45089.671342592592</v>
      </c>
      <c r="AG317" s="85">
        <v>45089</v>
      </c>
      <c r="AH317" s="80" t="s">
        <v>10914</v>
      </c>
      <c r="AI317" s="77" t="b">
        <v>0</v>
      </c>
      <c r="AJ317" s="77"/>
      <c r="AK317" s="77"/>
      <c r="AL317" s="77"/>
      <c r="AM317" s="77"/>
      <c r="AN317" s="77"/>
      <c r="AO317" s="77"/>
      <c r="AP317" s="77"/>
      <c r="AQ317" s="77"/>
      <c r="AR317" s="77"/>
      <c r="AS317" s="77"/>
      <c r="AT317" s="77"/>
      <c r="AU317" s="77"/>
      <c r="AV317" s="83" t="str">
        <f>HYPERLINK("https://pbs.twimg.com/profile_images/1641421751241375744/nDeLaIkd_normal.png")</f>
        <v>https://pbs.twimg.com/profile_images/1641421751241375744/nDeLaIkd_normal.png</v>
      </c>
      <c r="AW317" s="80" t="s">
        <v>16300</v>
      </c>
      <c r="AX317" s="80" t="s">
        <v>16300</v>
      </c>
      <c r="AY317" s="77"/>
      <c r="AZ317" s="80" t="s">
        <v>20380</v>
      </c>
      <c r="BA317" s="80" t="s">
        <v>20380</v>
      </c>
      <c r="BB317" s="80" t="s">
        <v>20380</v>
      </c>
      <c r="BC317" s="80" t="s">
        <v>16300</v>
      </c>
      <c r="BD317" s="80" t="s">
        <v>20571</v>
      </c>
      <c r="BE317" s="77"/>
      <c r="BF317" s="77"/>
      <c r="BG317" s="77"/>
      <c r="BH317" s="77"/>
      <c r="BI317" s="77"/>
    </row>
    <row r="318" spans="1:61" x14ac:dyDescent="0.25">
      <c r="A318" s="62" t="s">
        <v>367</v>
      </c>
      <c r="B318" s="62" t="s">
        <v>367</v>
      </c>
      <c r="C318" s="63"/>
      <c r="D318" s="64"/>
      <c r="E318" s="65"/>
      <c r="F318" s="66"/>
      <c r="G318" s="63"/>
      <c r="H318" s="67"/>
      <c r="I318" s="68"/>
      <c r="J318" s="68"/>
      <c r="K318" s="32"/>
      <c r="L318" s="75">
        <v>318</v>
      </c>
      <c r="M318" s="75"/>
      <c r="N318" s="70"/>
      <c r="O318" s="77" t="s">
        <v>179</v>
      </c>
      <c r="P318" s="79">
        <v>45152.57135416667</v>
      </c>
      <c r="Q318" s="77" t="s">
        <v>2356</v>
      </c>
      <c r="R318" s="77">
        <v>0</v>
      </c>
      <c r="S318" s="77">
        <v>0</v>
      </c>
      <c r="T318" s="77">
        <v>0</v>
      </c>
      <c r="U318" s="77">
        <v>0</v>
      </c>
      <c r="V318" s="77">
        <v>26</v>
      </c>
      <c r="W318" s="80" t="s">
        <v>6124</v>
      </c>
      <c r="X318" s="83" t="str">
        <f>HYPERLINK("https://youtu.be/BEG54Q7d_Xw?t=21")</f>
        <v>https://youtu.be/BEG54Q7d_Xw?t=21</v>
      </c>
      <c r="Y318" s="77" t="s">
        <v>8635</v>
      </c>
      <c r="Z318" s="77"/>
      <c r="AA318" s="77"/>
      <c r="AB318" s="77"/>
      <c r="AC318" s="80" t="s">
        <v>10541</v>
      </c>
      <c r="AD318" s="77" t="s">
        <v>10622</v>
      </c>
      <c r="AE318" s="83" t="str">
        <f>HYPERLINK("https://twitter.com/asintomatic4/status/1691082936781504513")</f>
        <v>https://twitter.com/asintomatic4/status/1691082936781504513</v>
      </c>
      <c r="AF318" s="79">
        <v>45152.57135416667</v>
      </c>
      <c r="AG318" s="85">
        <v>45152</v>
      </c>
      <c r="AH318" s="80" t="s">
        <v>10915</v>
      </c>
      <c r="AI318" s="77" t="b">
        <v>0</v>
      </c>
      <c r="AJ318" s="77"/>
      <c r="AK318" s="77"/>
      <c r="AL318" s="77"/>
      <c r="AM318" s="77"/>
      <c r="AN318" s="77"/>
      <c r="AO318" s="77"/>
      <c r="AP318" s="77"/>
      <c r="AQ318" s="77"/>
      <c r="AR318" s="77"/>
      <c r="AS318" s="77"/>
      <c r="AT318" s="77"/>
      <c r="AU318" s="77"/>
      <c r="AV318" s="83" t="str">
        <f>HYPERLINK("https://pbs.twimg.com/profile_images/1620767223236202496/T1H-9KnH_normal.jpg")</f>
        <v>https://pbs.twimg.com/profile_images/1620767223236202496/T1H-9KnH_normal.jpg</v>
      </c>
      <c r="AW318" s="80" t="s">
        <v>16301</v>
      </c>
      <c r="AX318" s="80" t="s">
        <v>16301</v>
      </c>
      <c r="AY318" s="77"/>
      <c r="AZ318" s="80" t="s">
        <v>20380</v>
      </c>
      <c r="BA318" s="80" t="s">
        <v>20380</v>
      </c>
      <c r="BB318" s="80" t="s">
        <v>20380</v>
      </c>
      <c r="BC318" s="80" t="s">
        <v>16301</v>
      </c>
      <c r="BD318" s="77">
        <v>1077217524</v>
      </c>
      <c r="BE318" s="77"/>
      <c r="BF318" s="77"/>
      <c r="BG318" s="77"/>
      <c r="BH318" s="77"/>
      <c r="BI318" s="77"/>
    </row>
    <row r="319" spans="1:61" x14ac:dyDescent="0.25">
      <c r="A319" s="62" t="s">
        <v>368</v>
      </c>
      <c r="B319" s="62" t="s">
        <v>1731</v>
      </c>
      <c r="C319" s="63"/>
      <c r="D319" s="64"/>
      <c r="E319" s="65"/>
      <c r="F319" s="66"/>
      <c r="G319" s="63"/>
      <c r="H319" s="67"/>
      <c r="I319" s="68"/>
      <c r="J319" s="68"/>
      <c r="K319" s="32"/>
      <c r="L319" s="75">
        <v>319</v>
      </c>
      <c r="M319" s="75"/>
      <c r="N319" s="70"/>
      <c r="O319" s="77" t="s">
        <v>2078</v>
      </c>
      <c r="P319" s="79">
        <v>45104.267106481479</v>
      </c>
      <c r="Q319" s="77" t="s">
        <v>2357</v>
      </c>
      <c r="R319" s="77">
        <v>0</v>
      </c>
      <c r="S319" s="77">
        <v>0</v>
      </c>
      <c r="T319" s="77">
        <v>0</v>
      </c>
      <c r="U319" s="77">
        <v>0</v>
      </c>
      <c r="V319" s="77">
        <v>4</v>
      </c>
      <c r="W319" s="80" t="s">
        <v>5884</v>
      </c>
      <c r="X319" s="77"/>
      <c r="Y319" s="77"/>
      <c r="Z319" s="77" t="s">
        <v>1731</v>
      </c>
      <c r="AA319" s="77" t="s">
        <v>9132</v>
      </c>
      <c r="AB319" s="77" t="s">
        <v>10534</v>
      </c>
      <c r="AC319" s="80" t="s">
        <v>10542</v>
      </c>
      <c r="AD319" s="77" t="s">
        <v>10619</v>
      </c>
      <c r="AE319" s="83" t="str">
        <f>HYPERLINK("https://twitter.com/andrenmatte/status/1673578062796005377")</f>
        <v>https://twitter.com/andrenmatte/status/1673578062796005377</v>
      </c>
      <c r="AF319" s="79">
        <v>45104.267106481479</v>
      </c>
      <c r="AG319" s="85">
        <v>45104</v>
      </c>
      <c r="AH319" s="80" t="s">
        <v>10916</v>
      </c>
      <c r="AI319" s="77" t="b">
        <v>1</v>
      </c>
      <c r="AJ319" s="77"/>
      <c r="AK319" s="77"/>
      <c r="AL319" s="77"/>
      <c r="AM319" s="77"/>
      <c r="AN319" s="77"/>
      <c r="AO319" s="77"/>
      <c r="AP319" s="77"/>
      <c r="AQ319" s="77" t="s">
        <v>14614</v>
      </c>
      <c r="AR319" s="77">
        <v>59900</v>
      </c>
      <c r="AS319" s="77"/>
      <c r="AT319" s="77"/>
      <c r="AU319" s="77"/>
      <c r="AV319" s="83" t="str">
        <f>HYPERLINK("https://pbs.twimg.com/amplify_video_thumb/1673577996530208768/img/rubLWbLZ9vMc0fpv.jpg")</f>
        <v>https://pbs.twimg.com/amplify_video_thumb/1673577996530208768/img/rubLWbLZ9vMc0fpv.jpg</v>
      </c>
      <c r="AW319" s="80" t="s">
        <v>16302</v>
      </c>
      <c r="AX319" s="80" t="s">
        <v>19979</v>
      </c>
      <c r="AY319" s="80" t="s">
        <v>20228</v>
      </c>
      <c r="AZ319" s="80" t="s">
        <v>19979</v>
      </c>
      <c r="BA319" s="80" t="s">
        <v>20380</v>
      </c>
      <c r="BB319" s="80" t="s">
        <v>20380</v>
      </c>
      <c r="BC319" s="80" t="s">
        <v>19979</v>
      </c>
      <c r="BD319" s="77">
        <v>160539410</v>
      </c>
      <c r="BE319" s="77"/>
      <c r="BF319" s="77"/>
      <c r="BG319" s="77"/>
      <c r="BH319" s="77"/>
      <c r="BI319" s="77"/>
    </row>
    <row r="320" spans="1:61" x14ac:dyDescent="0.25">
      <c r="A320" s="62" t="s">
        <v>369</v>
      </c>
      <c r="B320" s="62" t="s">
        <v>369</v>
      </c>
      <c r="C320" s="63"/>
      <c r="D320" s="64"/>
      <c r="E320" s="65"/>
      <c r="F320" s="66"/>
      <c r="G320" s="63"/>
      <c r="H320" s="67"/>
      <c r="I320" s="68"/>
      <c r="J320" s="68"/>
      <c r="K320" s="32"/>
      <c r="L320" s="75">
        <v>320</v>
      </c>
      <c r="M320" s="75"/>
      <c r="N320" s="70"/>
      <c r="O320" s="77" t="s">
        <v>179</v>
      </c>
      <c r="P320" s="79">
        <v>45104.967673611114</v>
      </c>
      <c r="Q320" s="77" t="s">
        <v>2358</v>
      </c>
      <c r="R320" s="77">
        <v>0</v>
      </c>
      <c r="S320" s="77">
        <v>0</v>
      </c>
      <c r="T320" s="77">
        <v>0</v>
      </c>
      <c r="U320" s="77">
        <v>0</v>
      </c>
      <c r="V320" s="77">
        <v>23</v>
      </c>
      <c r="W320" s="80" t="s">
        <v>6125</v>
      </c>
      <c r="X320" s="83" t="str">
        <f>HYPERLINK("https://www.onoticiado.com.br/2023/06/27/politica/comissao-senado-convoca-campos-neto-explicar-decisao-taxa-de-juros/")</f>
        <v>https://www.onoticiado.com.br/2023/06/27/politica/comissao-senado-convoca-campos-neto-explicar-decisao-taxa-de-juros/</v>
      </c>
      <c r="Y320" s="77" t="s">
        <v>8611</v>
      </c>
      <c r="Z320" s="77"/>
      <c r="AA320" s="77"/>
      <c r="AB320" s="77"/>
      <c r="AC320" s="80" t="s">
        <v>10541</v>
      </c>
      <c r="AD320" s="77" t="s">
        <v>10617</v>
      </c>
      <c r="AE320" s="83" t="str">
        <f>HYPERLINK("https://twitter.com/o_noticiado/status/1673831939206176770")</f>
        <v>https://twitter.com/o_noticiado/status/1673831939206176770</v>
      </c>
      <c r="AF320" s="79">
        <v>45104.967673611114</v>
      </c>
      <c r="AG320" s="85">
        <v>45104</v>
      </c>
      <c r="AH320" s="80" t="s">
        <v>10917</v>
      </c>
      <c r="AI320" s="77" t="b">
        <v>0</v>
      </c>
      <c r="AJ320" s="77"/>
      <c r="AK320" s="77"/>
      <c r="AL320" s="77"/>
      <c r="AM320" s="77"/>
      <c r="AN320" s="77"/>
      <c r="AO320" s="77"/>
      <c r="AP320" s="77"/>
      <c r="AQ320" s="77"/>
      <c r="AR320" s="77"/>
      <c r="AS320" s="77"/>
      <c r="AT320" s="77"/>
      <c r="AU320" s="77"/>
      <c r="AV320" s="83" t="str">
        <f>HYPERLINK("https://pbs.twimg.com/profile_images/1584279996289384452/9wL3I0Id_normal.png")</f>
        <v>https://pbs.twimg.com/profile_images/1584279996289384452/9wL3I0Id_normal.png</v>
      </c>
      <c r="AW320" s="80" t="s">
        <v>16303</v>
      </c>
      <c r="AX320" s="80" t="s">
        <v>16303</v>
      </c>
      <c r="AY320" s="77"/>
      <c r="AZ320" s="80" t="s">
        <v>20380</v>
      </c>
      <c r="BA320" s="80" t="s">
        <v>20380</v>
      </c>
      <c r="BB320" s="80" t="s">
        <v>20380</v>
      </c>
      <c r="BC320" s="80" t="s">
        <v>16303</v>
      </c>
      <c r="BD320" s="80" t="s">
        <v>20572</v>
      </c>
      <c r="BE320" s="77"/>
      <c r="BF320" s="77"/>
      <c r="BG320" s="77"/>
      <c r="BH320" s="77"/>
      <c r="BI320" s="77"/>
    </row>
    <row r="321" spans="1:61" x14ac:dyDescent="0.25">
      <c r="A321" s="62" t="s">
        <v>370</v>
      </c>
      <c r="B321" s="62" t="s">
        <v>370</v>
      </c>
      <c r="C321" s="63"/>
      <c r="D321" s="64"/>
      <c r="E321" s="65"/>
      <c r="F321" s="66"/>
      <c r="G321" s="63"/>
      <c r="H321" s="67"/>
      <c r="I321" s="68"/>
      <c r="J321" s="68"/>
      <c r="K321" s="32"/>
      <c r="L321" s="75">
        <v>321</v>
      </c>
      <c r="M321" s="75"/>
      <c r="N321" s="70"/>
      <c r="O321" s="77" t="s">
        <v>179</v>
      </c>
      <c r="P321" s="79">
        <v>45092.644131944442</v>
      </c>
      <c r="Q321" s="77" t="s">
        <v>2359</v>
      </c>
      <c r="R321" s="77">
        <v>0</v>
      </c>
      <c r="S321" s="77">
        <v>0</v>
      </c>
      <c r="T321" s="77">
        <v>0</v>
      </c>
      <c r="U321" s="77">
        <v>0</v>
      </c>
      <c r="V321" s="77">
        <v>93</v>
      </c>
      <c r="W321" s="80" t="s">
        <v>6126</v>
      </c>
      <c r="X321" s="77"/>
      <c r="Y321" s="77"/>
      <c r="Z321" s="77"/>
      <c r="AA321" s="77" t="s">
        <v>9133</v>
      </c>
      <c r="AB321" s="77" t="s">
        <v>10535</v>
      </c>
      <c r="AC321" s="80" t="s">
        <v>10541</v>
      </c>
      <c r="AD321" s="77" t="s">
        <v>10620</v>
      </c>
      <c r="AE321" s="83" t="str">
        <f>HYPERLINK("https://twitter.com/diarioredesa/status/1669366038532612096")</f>
        <v>https://twitter.com/diarioredesa/status/1669366038532612096</v>
      </c>
      <c r="AF321" s="79">
        <v>45092.644131944442</v>
      </c>
      <c r="AG321" s="85">
        <v>45092</v>
      </c>
      <c r="AH321" s="80" t="s">
        <v>10918</v>
      </c>
      <c r="AI321" s="77" t="b">
        <v>0</v>
      </c>
      <c r="AJ321" s="77"/>
      <c r="AK321" s="77"/>
      <c r="AL321" s="77"/>
      <c r="AM321" s="77"/>
      <c r="AN321" s="77"/>
      <c r="AO321" s="77"/>
      <c r="AP321" s="77"/>
      <c r="AQ321" s="77" t="s">
        <v>14615</v>
      </c>
      <c r="AR321" s="77"/>
      <c r="AS321" s="77"/>
      <c r="AT321" s="77"/>
      <c r="AU321" s="77"/>
      <c r="AV321" s="83" t="str">
        <f>HYPERLINK("https://pbs.twimg.com/media/FyrHj4dXoAEJj0d.png")</f>
        <v>https://pbs.twimg.com/media/FyrHj4dXoAEJj0d.png</v>
      </c>
      <c r="AW321" s="80" t="s">
        <v>16304</v>
      </c>
      <c r="AX321" s="80" t="s">
        <v>16304</v>
      </c>
      <c r="AY321" s="77"/>
      <c r="AZ321" s="80" t="s">
        <v>20380</v>
      </c>
      <c r="BA321" s="80" t="s">
        <v>20380</v>
      </c>
      <c r="BB321" s="80" t="s">
        <v>20380</v>
      </c>
      <c r="BC321" s="80" t="s">
        <v>16304</v>
      </c>
      <c r="BD321" s="80" t="s">
        <v>20229</v>
      </c>
      <c r="BE321" s="77"/>
      <c r="BF321" s="77"/>
      <c r="BG321" s="77"/>
      <c r="BH321" s="77"/>
      <c r="BI321" s="77"/>
    </row>
    <row r="322" spans="1:61" x14ac:dyDescent="0.25">
      <c r="A322" s="62" t="s">
        <v>370</v>
      </c>
      <c r="B322" s="62" t="s">
        <v>370</v>
      </c>
      <c r="C322" s="63"/>
      <c r="D322" s="64"/>
      <c r="E322" s="65"/>
      <c r="F322" s="66"/>
      <c r="G322" s="63"/>
      <c r="H322" s="67"/>
      <c r="I322" s="68"/>
      <c r="J322" s="68"/>
      <c r="K322" s="32"/>
      <c r="L322" s="75">
        <v>322</v>
      </c>
      <c r="M322" s="75"/>
      <c r="N322" s="70"/>
      <c r="O322" s="77" t="s">
        <v>2078</v>
      </c>
      <c r="P322" s="79">
        <v>45152.117812500001</v>
      </c>
      <c r="Q322" s="77" t="s">
        <v>2360</v>
      </c>
      <c r="R322" s="77">
        <v>0</v>
      </c>
      <c r="S322" s="77">
        <v>0</v>
      </c>
      <c r="T322" s="77">
        <v>1</v>
      </c>
      <c r="U322" s="77">
        <v>0</v>
      </c>
      <c r="V322" s="77">
        <v>32</v>
      </c>
      <c r="W322" s="80" t="s">
        <v>6127</v>
      </c>
      <c r="X322" s="77"/>
      <c r="Y322" s="77"/>
      <c r="Z322" s="77"/>
      <c r="AA322" s="77"/>
      <c r="AB322" s="77"/>
      <c r="AC322" s="80" t="s">
        <v>10541</v>
      </c>
      <c r="AD322" s="77" t="s">
        <v>10620</v>
      </c>
      <c r="AE322" s="83" t="str">
        <f>HYPERLINK("https://twitter.com/diarioredesa/status/1690918578214584320")</f>
        <v>https://twitter.com/diarioredesa/status/1690918578214584320</v>
      </c>
      <c r="AF322" s="79">
        <v>45152.117812500001</v>
      </c>
      <c r="AG322" s="85">
        <v>45152</v>
      </c>
      <c r="AH322" s="80" t="s">
        <v>10919</v>
      </c>
      <c r="AI322" s="77"/>
      <c r="AJ322" s="77"/>
      <c r="AK322" s="77"/>
      <c r="AL322" s="77"/>
      <c r="AM322" s="77"/>
      <c r="AN322" s="77"/>
      <c r="AO322" s="77"/>
      <c r="AP322" s="77"/>
      <c r="AQ322" s="77"/>
      <c r="AR322" s="77"/>
      <c r="AS322" s="77"/>
      <c r="AT322" s="77"/>
      <c r="AU322" s="77"/>
      <c r="AV322" s="83" t="str">
        <f>HYPERLINK("https://pbs.twimg.com/profile_images/1394701586606211074/LEsqn5Js_normal.jpg")</f>
        <v>https://pbs.twimg.com/profile_images/1394701586606211074/LEsqn5Js_normal.jpg</v>
      </c>
      <c r="AW322" s="80" t="s">
        <v>16305</v>
      </c>
      <c r="AX322" s="80" t="s">
        <v>19980</v>
      </c>
      <c r="AY322" s="80" t="s">
        <v>20229</v>
      </c>
      <c r="AZ322" s="80" t="s">
        <v>20394</v>
      </c>
      <c r="BA322" s="80" t="s">
        <v>20380</v>
      </c>
      <c r="BB322" s="80" t="s">
        <v>20380</v>
      </c>
      <c r="BC322" s="80" t="s">
        <v>20394</v>
      </c>
      <c r="BD322" s="80" t="s">
        <v>20229</v>
      </c>
      <c r="BE322" s="77"/>
      <c r="BF322" s="77"/>
      <c r="BG322" s="77"/>
      <c r="BH322" s="77"/>
      <c r="BI322" s="77"/>
    </row>
    <row r="323" spans="1:61" x14ac:dyDescent="0.25">
      <c r="A323" s="62" t="s">
        <v>370</v>
      </c>
      <c r="B323" s="62" t="s">
        <v>370</v>
      </c>
      <c r="C323" s="63"/>
      <c r="D323" s="64"/>
      <c r="E323" s="65"/>
      <c r="F323" s="66"/>
      <c r="G323" s="63"/>
      <c r="H323" s="67"/>
      <c r="I323" s="68"/>
      <c r="J323" s="68"/>
      <c r="K323" s="32"/>
      <c r="L323" s="75">
        <v>323</v>
      </c>
      <c r="M323" s="75"/>
      <c r="N323" s="70"/>
      <c r="O323" s="77" t="s">
        <v>179</v>
      </c>
      <c r="P323" s="79">
        <v>45076.61377314815</v>
      </c>
      <c r="Q323" s="77" t="s">
        <v>2361</v>
      </c>
      <c r="R323" s="77">
        <v>1</v>
      </c>
      <c r="S323" s="77">
        <v>1</v>
      </c>
      <c r="T323" s="77">
        <v>1</v>
      </c>
      <c r="U323" s="77">
        <v>0</v>
      </c>
      <c r="V323" s="77">
        <v>33</v>
      </c>
      <c r="W323" s="80" t="s">
        <v>6128</v>
      </c>
      <c r="X323" s="77"/>
      <c r="Y323" s="77"/>
      <c r="Z323" s="77"/>
      <c r="AA323" s="77" t="s">
        <v>9134</v>
      </c>
      <c r="AB323" s="77" t="s">
        <v>10535</v>
      </c>
      <c r="AC323" s="80" t="s">
        <v>10541</v>
      </c>
      <c r="AD323" s="77" t="s">
        <v>10620</v>
      </c>
      <c r="AE323" s="83" t="str">
        <f>HYPERLINK("https://twitter.com/diarioredesa/status/1663556831686582275")</f>
        <v>https://twitter.com/diarioredesa/status/1663556831686582275</v>
      </c>
      <c r="AF323" s="79">
        <v>45076.61377314815</v>
      </c>
      <c r="AG323" s="85">
        <v>45076</v>
      </c>
      <c r="AH323" s="80" t="s">
        <v>10920</v>
      </c>
      <c r="AI323" s="77" t="b">
        <v>0</v>
      </c>
      <c r="AJ323" s="77"/>
      <c r="AK323" s="77"/>
      <c r="AL323" s="77"/>
      <c r="AM323" s="77"/>
      <c r="AN323" s="77"/>
      <c r="AO323" s="77"/>
      <c r="AP323" s="77"/>
      <c r="AQ323" s="77" t="s">
        <v>14616</v>
      </c>
      <c r="AR323" s="77"/>
      <c r="AS323" s="77"/>
      <c r="AT323" s="77"/>
      <c r="AU323" s="77"/>
      <c r="AV323" s="83" t="str">
        <f>HYPERLINK("https://pbs.twimg.com/media/FxYkHf2aQAU40Q3.jpg")</f>
        <v>https://pbs.twimg.com/media/FxYkHf2aQAU40Q3.jpg</v>
      </c>
      <c r="AW323" s="80" t="s">
        <v>16306</v>
      </c>
      <c r="AX323" s="80" t="s">
        <v>16306</v>
      </c>
      <c r="AY323" s="77"/>
      <c r="AZ323" s="80" t="s">
        <v>20380</v>
      </c>
      <c r="BA323" s="80" t="s">
        <v>20380</v>
      </c>
      <c r="BB323" s="80" t="s">
        <v>20380</v>
      </c>
      <c r="BC323" s="80" t="s">
        <v>16306</v>
      </c>
      <c r="BD323" s="80" t="s">
        <v>20229</v>
      </c>
      <c r="BE323" s="77"/>
      <c r="BF323" s="77"/>
      <c r="BG323" s="77"/>
      <c r="BH323" s="77"/>
      <c r="BI323" s="77"/>
    </row>
    <row r="324" spans="1:61" x14ac:dyDescent="0.25">
      <c r="A324" s="62" t="s">
        <v>370</v>
      </c>
      <c r="B324" s="62" t="s">
        <v>370</v>
      </c>
      <c r="C324" s="63"/>
      <c r="D324" s="64"/>
      <c r="E324" s="65"/>
      <c r="F324" s="66"/>
      <c r="G324" s="63"/>
      <c r="H324" s="67"/>
      <c r="I324" s="68"/>
      <c r="J324" s="68"/>
      <c r="K324" s="32"/>
      <c r="L324" s="75">
        <v>324</v>
      </c>
      <c r="M324" s="75"/>
      <c r="N324" s="70"/>
      <c r="O324" s="77" t="s">
        <v>179</v>
      </c>
      <c r="P324" s="79">
        <v>45060.640844907408</v>
      </c>
      <c r="Q324" s="77" t="s">
        <v>2362</v>
      </c>
      <c r="R324" s="77">
        <v>0</v>
      </c>
      <c r="S324" s="77">
        <v>0</v>
      </c>
      <c r="T324" s="77">
        <v>0</v>
      </c>
      <c r="U324" s="77">
        <v>0</v>
      </c>
      <c r="V324" s="77">
        <v>49</v>
      </c>
      <c r="W324" s="80" t="s">
        <v>6129</v>
      </c>
      <c r="X324" s="77"/>
      <c r="Y324" s="77"/>
      <c r="Z324" s="77"/>
      <c r="AA324" s="77" t="s">
        <v>9135</v>
      </c>
      <c r="AB324" s="77" t="s">
        <v>10535</v>
      </c>
      <c r="AC324" s="80" t="s">
        <v>10541</v>
      </c>
      <c r="AD324" s="77" t="s">
        <v>10620</v>
      </c>
      <c r="AE324" s="83" t="str">
        <f>HYPERLINK("https://twitter.com/diarioredesa/status/1657768433482706950")</f>
        <v>https://twitter.com/diarioredesa/status/1657768433482706950</v>
      </c>
      <c r="AF324" s="79">
        <v>45060.640844907408</v>
      </c>
      <c r="AG324" s="85">
        <v>45060</v>
      </c>
      <c r="AH324" s="80" t="s">
        <v>10921</v>
      </c>
      <c r="AI324" s="77" t="b">
        <v>0</v>
      </c>
      <c r="AJ324" s="77"/>
      <c r="AK324" s="77"/>
      <c r="AL324" s="77"/>
      <c r="AM324" s="77"/>
      <c r="AN324" s="77"/>
      <c r="AO324" s="77"/>
      <c r="AP324" s="77"/>
      <c r="AQ324" s="77" t="s">
        <v>14617</v>
      </c>
      <c r="AR324" s="77"/>
      <c r="AS324" s="77"/>
      <c r="AT324" s="77"/>
      <c r="AU324" s="77"/>
      <c r="AV324" s="83" t="str">
        <f>HYPERLINK("https://pbs.twimg.com/media/FwGTmbZWcAEkk_L.jpg")</f>
        <v>https://pbs.twimg.com/media/FwGTmbZWcAEkk_L.jpg</v>
      </c>
      <c r="AW324" s="80" t="s">
        <v>16307</v>
      </c>
      <c r="AX324" s="80" t="s">
        <v>16307</v>
      </c>
      <c r="AY324" s="77"/>
      <c r="AZ324" s="80" t="s">
        <v>20380</v>
      </c>
      <c r="BA324" s="80" t="s">
        <v>20380</v>
      </c>
      <c r="BB324" s="80" t="s">
        <v>20380</v>
      </c>
      <c r="BC324" s="80" t="s">
        <v>16307</v>
      </c>
      <c r="BD324" s="80" t="s">
        <v>20229</v>
      </c>
      <c r="BE324" s="77"/>
      <c r="BF324" s="77"/>
      <c r="BG324" s="77"/>
      <c r="BH324" s="77"/>
      <c r="BI324" s="77"/>
    </row>
    <row r="325" spans="1:61" x14ac:dyDescent="0.25">
      <c r="A325" s="62" t="s">
        <v>370</v>
      </c>
      <c r="B325" s="62" t="s">
        <v>370</v>
      </c>
      <c r="C325" s="63"/>
      <c r="D325" s="64"/>
      <c r="E325" s="65"/>
      <c r="F325" s="66"/>
      <c r="G325" s="63"/>
      <c r="H325" s="67"/>
      <c r="I325" s="68"/>
      <c r="J325" s="68"/>
      <c r="K325" s="32"/>
      <c r="L325" s="75">
        <v>325</v>
      </c>
      <c r="M325" s="75"/>
      <c r="N325" s="70"/>
      <c r="O325" s="77" t="s">
        <v>179</v>
      </c>
      <c r="P325" s="79">
        <v>45152.592245370368</v>
      </c>
      <c r="Q325" s="77" t="s">
        <v>2363</v>
      </c>
      <c r="R325" s="77">
        <v>1</v>
      </c>
      <c r="S325" s="77">
        <v>0</v>
      </c>
      <c r="T325" s="77">
        <v>1</v>
      </c>
      <c r="U325" s="77">
        <v>1</v>
      </c>
      <c r="V325" s="77">
        <v>334</v>
      </c>
      <c r="W325" s="80" t="s">
        <v>6130</v>
      </c>
      <c r="X325" s="77"/>
      <c r="Y325" s="77"/>
      <c r="Z325" s="77"/>
      <c r="AA325" s="77" t="s">
        <v>9136</v>
      </c>
      <c r="AB325" s="77" t="s">
        <v>10535</v>
      </c>
      <c r="AC325" s="80" t="s">
        <v>10541</v>
      </c>
      <c r="AD325" s="77" t="s">
        <v>10620</v>
      </c>
      <c r="AE325" s="83" t="str">
        <f>HYPERLINK("https://twitter.com/diarioredesa/status/1691090507232124929")</f>
        <v>https://twitter.com/diarioredesa/status/1691090507232124929</v>
      </c>
      <c r="AF325" s="79">
        <v>45152.592245370368</v>
      </c>
      <c r="AG325" s="85">
        <v>45152</v>
      </c>
      <c r="AH325" s="80" t="s">
        <v>10922</v>
      </c>
      <c r="AI325" s="77" t="b">
        <v>0</v>
      </c>
      <c r="AJ325" s="77"/>
      <c r="AK325" s="77"/>
      <c r="AL325" s="77"/>
      <c r="AM325" s="77"/>
      <c r="AN325" s="77"/>
      <c r="AO325" s="77"/>
      <c r="AP325" s="77"/>
      <c r="AQ325" s="77" t="s">
        <v>14618</v>
      </c>
      <c r="AR325" s="77"/>
      <c r="AS325" s="77"/>
      <c r="AT325" s="77"/>
      <c r="AU325" s="77"/>
      <c r="AV325" s="83" t="str">
        <f>HYPERLINK("https://pbs.twimg.com/media/F3f12bUWsAA19z8.jpg")</f>
        <v>https://pbs.twimg.com/media/F3f12bUWsAA19z8.jpg</v>
      </c>
      <c r="AW325" s="80" t="s">
        <v>16308</v>
      </c>
      <c r="AX325" s="80" t="s">
        <v>16308</v>
      </c>
      <c r="AY325" s="77"/>
      <c r="AZ325" s="80" t="s">
        <v>20380</v>
      </c>
      <c r="BA325" s="80" t="s">
        <v>20380</v>
      </c>
      <c r="BB325" s="80" t="s">
        <v>20380</v>
      </c>
      <c r="BC325" s="80" t="s">
        <v>16308</v>
      </c>
      <c r="BD325" s="80" t="s">
        <v>20229</v>
      </c>
      <c r="BE325" s="77"/>
      <c r="BF325" s="77"/>
      <c r="BG325" s="77"/>
      <c r="BH325" s="77"/>
      <c r="BI325" s="77"/>
    </row>
    <row r="326" spans="1:61" x14ac:dyDescent="0.25">
      <c r="A326" s="62" t="s">
        <v>370</v>
      </c>
      <c r="B326" s="62" t="s">
        <v>370</v>
      </c>
      <c r="C326" s="63"/>
      <c r="D326" s="64"/>
      <c r="E326" s="65"/>
      <c r="F326" s="66"/>
      <c r="G326" s="63"/>
      <c r="H326" s="67"/>
      <c r="I326" s="68"/>
      <c r="J326" s="68"/>
      <c r="K326" s="32"/>
      <c r="L326" s="75">
        <v>326</v>
      </c>
      <c r="M326" s="75"/>
      <c r="N326" s="70"/>
      <c r="O326" s="77" t="s">
        <v>179</v>
      </c>
      <c r="P326" s="79">
        <v>45163.60125</v>
      </c>
      <c r="Q326" s="77" t="s">
        <v>2364</v>
      </c>
      <c r="R326" s="77">
        <v>0</v>
      </c>
      <c r="S326" s="77">
        <v>0</v>
      </c>
      <c r="T326" s="77">
        <v>1</v>
      </c>
      <c r="U326" s="77">
        <v>0</v>
      </c>
      <c r="V326" s="77">
        <v>19</v>
      </c>
      <c r="W326" s="80" t="s">
        <v>6131</v>
      </c>
      <c r="X326" s="77"/>
      <c r="Y326" s="77"/>
      <c r="Z326" s="77"/>
      <c r="AA326" s="77" t="s">
        <v>9137</v>
      </c>
      <c r="AB326" s="77" t="s">
        <v>10535</v>
      </c>
      <c r="AC326" s="80" t="s">
        <v>10541</v>
      </c>
      <c r="AD326" s="77" t="s">
        <v>10620</v>
      </c>
      <c r="AE326" s="83" t="str">
        <f>HYPERLINK("https://twitter.com/diarioredesa/status/1695080037123346724")</f>
        <v>https://twitter.com/diarioredesa/status/1695080037123346724</v>
      </c>
      <c r="AF326" s="79">
        <v>45163.60125</v>
      </c>
      <c r="AG326" s="85">
        <v>45163</v>
      </c>
      <c r="AH326" s="80" t="s">
        <v>10923</v>
      </c>
      <c r="AI326" s="77" t="b">
        <v>0</v>
      </c>
      <c r="AJ326" s="77"/>
      <c r="AK326" s="77"/>
      <c r="AL326" s="77"/>
      <c r="AM326" s="77"/>
      <c r="AN326" s="77"/>
      <c r="AO326" s="77"/>
      <c r="AP326" s="77"/>
      <c r="AQ326" s="77" t="s">
        <v>14619</v>
      </c>
      <c r="AR326" s="77"/>
      <c r="AS326" s="77"/>
      <c r="AT326" s="77"/>
      <c r="AU326" s="77"/>
      <c r="AV326" s="83" t="str">
        <f>HYPERLINK("https://pbs.twimg.com/media/F4YiQjPXEAA2oGx.jpg")</f>
        <v>https://pbs.twimg.com/media/F4YiQjPXEAA2oGx.jpg</v>
      </c>
      <c r="AW326" s="80" t="s">
        <v>16309</v>
      </c>
      <c r="AX326" s="80" t="s">
        <v>16309</v>
      </c>
      <c r="AY326" s="77"/>
      <c r="AZ326" s="80" t="s">
        <v>20380</v>
      </c>
      <c r="BA326" s="80" t="s">
        <v>20380</v>
      </c>
      <c r="BB326" s="80" t="s">
        <v>20380</v>
      </c>
      <c r="BC326" s="80" t="s">
        <v>16309</v>
      </c>
      <c r="BD326" s="80" t="s">
        <v>20229</v>
      </c>
      <c r="BE326" s="77"/>
      <c r="BF326" s="77"/>
      <c r="BG326" s="77"/>
      <c r="BH326" s="77"/>
      <c r="BI326" s="77"/>
    </row>
    <row r="327" spans="1:61" x14ac:dyDescent="0.25">
      <c r="A327" s="62" t="s">
        <v>370</v>
      </c>
      <c r="B327" s="62" t="s">
        <v>370</v>
      </c>
      <c r="C327" s="63"/>
      <c r="D327" s="64"/>
      <c r="E327" s="65"/>
      <c r="F327" s="66"/>
      <c r="G327" s="63"/>
      <c r="H327" s="67"/>
      <c r="I327" s="68"/>
      <c r="J327" s="68"/>
      <c r="K327" s="32"/>
      <c r="L327" s="75">
        <v>327</v>
      </c>
      <c r="M327" s="75"/>
      <c r="N327" s="70"/>
      <c r="O327" s="77" t="s">
        <v>179</v>
      </c>
      <c r="P327" s="79">
        <v>45121.88486111111</v>
      </c>
      <c r="Q327" s="77" t="s">
        <v>2365</v>
      </c>
      <c r="R327" s="77">
        <v>0</v>
      </c>
      <c r="S327" s="77">
        <v>0</v>
      </c>
      <c r="T327" s="77">
        <v>1</v>
      </c>
      <c r="U327" s="77">
        <v>0</v>
      </c>
      <c r="V327" s="77">
        <v>29</v>
      </c>
      <c r="W327" s="80" t="s">
        <v>6132</v>
      </c>
      <c r="X327" s="77"/>
      <c r="Y327" s="77"/>
      <c r="Z327" s="77"/>
      <c r="AA327" s="77" t="s">
        <v>9138</v>
      </c>
      <c r="AB327" s="77" t="s">
        <v>10536</v>
      </c>
      <c r="AC327" s="80" t="s">
        <v>10541</v>
      </c>
      <c r="AD327" s="77" t="s">
        <v>10620</v>
      </c>
      <c r="AE327" s="83" t="str">
        <f>HYPERLINK("https://twitter.com/diarioredesa/status/1679962523594899456")</f>
        <v>https://twitter.com/diarioredesa/status/1679962523594899456</v>
      </c>
      <c r="AF327" s="79">
        <v>45121.88486111111</v>
      </c>
      <c r="AG327" s="85">
        <v>45121</v>
      </c>
      <c r="AH327" s="80" t="s">
        <v>10924</v>
      </c>
      <c r="AI327" s="77" t="b">
        <v>0</v>
      </c>
      <c r="AJ327" s="77"/>
      <c r="AK327" s="77"/>
      <c r="AL327" s="77"/>
      <c r="AM327" s="77"/>
      <c r="AN327" s="77"/>
      <c r="AO327" s="77"/>
      <c r="AP327" s="77"/>
      <c r="AQ327" s="77" t="s">
        <v>14620</v>
      </c>
      <c r="AR327" s="77"/>
      <c r="AS327" s="77"/>
      <c r="AT327" s="77"/>
      <c r="AU327" s="77"/>
      <c r="AV327" s="83" t="str">
        <f>HYPERLINK("https://pbs.twimg.com/media/F1Bs-XpXsAAjp-j.jpg")</f>
        <v>https://pbs.twimg.com/media/F1Bs-XpXsAAjp-j.jpg</v>
      </c>
      <c r="AW327" s="80" t="s">
        <v>16310</v>
      </c>
      <c r="AX327" s="80" t="s">
        <v>16310</v>
      </c>
      <c r="AY327" s="77"/>
      <c r="AZ327" s="80" t="s">
        <v>20380</v>
      </c>
      <c r="BA327" s="80" t="s">
        <v>20380</v>
      </c>
      <c r="BB327" s="80" t="s">
        <v>20380</v>
      </c>
      <c r="BC327" s="80" t="s">
        <v>16310</v>
      </c>
      <c r="BD327" s="80" t="s">
        <v>20229</v>
      </c>
      <c r="BE327" s="77"/>
      <c r="BF327" s="77"/>
      <c r="BG327" s="77"/>
      <c r="BH327" s="77"/>
      <c r="BI327" s="77"/>
    </row>
    <row r="328" spans="1:61" x14ac:dyDescent="0.25">
      <c r="A328" s="62" t="s">
        <v>370</v>
      </c>
      <c r="B328" s="62" t="s">
        <v>370</v>
      </c>
      <c r="C328" s="63"/>
      <c r="D328" s="64"/>
      <c r="E328" s="65"/>
      <c r="F328" s="66"/>
      <c r="G328" s="63"/>
      <c r="H328" s="67"/>
      <c r="I328" s="68"/>
      <c r="J328" s="68"/>
      <c r="K328" s="32"/>
      <c r="L328" s="75">
        <v>328</v>
      </c>
      <c r="M328" s="75"/>
      <c r="N328" s="70"/>
      <c r="O328" s="77" t="s">
        <v>179</v>
      </c>
      <c r="P328" s="79">
        <v>45184.599826388891</v>
      </c>
      <c r="Q328" s="77" t="s">
        <v>2366</v>
      </c>
      <c r="R328" s="77">
        <v>0</v>
      </c>
      <c r="S328" s="77">
        <v>0</v>
      </c>
      <c r="T328" s="77">
        <v>1</v>
      </c>
      <c r="U328" s="77">
        <v>0</v>
      </c>
      <c r="V328" s="77">
        <v>22</v>
      </c>
      <c r="W328" s="80" t="s">
        <v>6133</v>
      </c>
      <c r="X328" s="77"/>
      <c r="Y328" s="77"/>
      <c r="Z328" s="77"/>
      <c r="AA328" s="77" t="s">
        <v>9139</v>
      </c>
      <c r="AB328" s="77" t="s">
        <v>10535</v>
      </c>
      <c r="AC328" s="80" t="s">
        <v>10541</v>
      </c>
      <c r="AD328" s="77" t="s">
        <v>10620</v>
      </c>
      <c r="AE328" s="83" t="str">
        <f>HYPERLINK("https://twitter.com/diarioredesa/status/1702689664899932232")</f>
        <v>https://twitter.com/diarioredesa/status/1702689664899932232</v>
      </c>
      <c r="AF328" s="79">
        <v>45184.599826388891</v>
      </c>
      <c r="AG328" s="85">
        <v>45184</v>
      </c>
      <c r="AH328" s="80" t="s">
        <v>10925</v>
      </c>
      <c r="AI328" s="77" t="b">
        <v>0</v>
      </c>
      <c r="AJ328" s="77"/>
      <c r="AK328" s="77"/>
      <c r="AL328" s="77"/>
      <c r="AM328" s="77"/>
      <c r="AN328" s="77"/>
      <c r="AO328" s="77"/>
      <c r="AP328" s="77"/>
      <c r="AQ328" s="77" t="s">
        <v>14621</v>
      </c>
      <c r="AR328" s="77"/>
      <c r="AS328" s="77"/>
      <c r="AT328" s="77"/>
      <c r="AU328" s="77"/>
      <c r="AV328" s="83" t="str">
        <f>HYPERLINK("https://pbs.twimg.com/media/F6ErOXVXUAYmiqC.jpg")</f>
        <v>https://pbs.twimg.com/media/F6ErOXVXUAYmiqC.jpg</v>
      </c>
      <c r="AW328" s="80" t="s">
        <v>16311</v>
      </c>
      <c r="AX328" s="80" t="s">
        <v>16311</v>
      </c>
      <c r="AY328" s="77"/>
      <c r="AZ328" s="80" t="s">
        <v>20380</v>
      </c>
      <c r="BA328" s="80" t="s">
        <v>20380</v>
      </c>
      <c r="BB328" s="80" t="s">
        <v>20380</v>
      </c>
      <c r="BC328" s="80" t="s">
        <v>16311</v>
      </c>
      <c r="BD328" s="80" t="s">
        <v>20229</v>
      </c>
      <c r="BE328" s="77"/>
      <c r="BF328" s="77"/>
      <c r="BG328" s="77"/>
      <c r="BH328" s="77"/>
      <c r="BI328" s="77"/>
    </row>
    <row r="329" spans="1:61" x14ac:dyDescent="0.25">
      <c r="A329" s="62" t="s">
        <v>370</v>
      </c>
      <c r="B329" s="62" t="s">
        <v>370</v>
      </c>
      <c r="C329" s="63"/>
      <c r="D329" s="64"/>
      <c r="E329" s="65"/>
      <c r="F329" s="66"/>
      <c r="G329" s="63"/>
      <c r="H329" s="67"/>
      <c r="I329" s="68"/>
      <c r="J329" s="68"/>
      <c r="K329" s="32"/>
      <c r="L329" s="75">
        <v>329</v>
      </c>
      <c r="M329" s="75"/>
      <c r="N329" s="70"/>
      <c r="O329" s="77" t="s">
        <v>179</v>
      </c>
      <c r="P329" s="79">
        <v>45061.847199074073</v>
      </c>
      <c r="Q329" s="77" t="s">
        <v>2367</v>
      </c>
      <c r="R329" s="77">
        <v>0</v>
      </c>
      <c r="S329" s="77">
        <v>0</v>
      </c>
      <c r="T329" s="77">
        <v>0</v>
      </c>
      <c r="U329" s="77">
        <v>0</v>
      </c>
      <c r="V329" s="77">
        <v>117</v>
      </c>
      <c r="W329" s="80" t="s">
        <v>6134</v>
      </c>
      <c r="X329" s="77"/>
      <c r="Y329" s="77"/>
      <c r="Z329" s="77"/>
      <c r="AA329" s="77" t="s">
        <v>9140</v>
      </c>
      <c r="AB329" s="77" t="s">
        <v>10535</v>
      </c>
      <c r="AC329" s="80" t="s">
        <v>10541</v>
      </c>
      <c r="AD329" s="77" t="s">
        <v>10620</v>
      </c>
      <c r="AE329" s="83" t="str">
        <f>HYPERLINK("https://twitter.com/diarioredesa/status/1658205603905282051")</f>
        <v>https://twitter.com/diarioredesa/status/1658205603905282051</v>
      </c>
      <c r="AF329" s="79">
        <v>45061.847199074073</v>
      </c>
      <c r="AG329" s="85">
        <v>45061</v>
      </c>
      <c r="AH329" s="80" t="s">
        <v>10926</v>
      </c>
      <c r="AI329" s="77" t="b">
        <v>0</v>
      </c>
      <c r="AJ329" s="77"/>
      <c r="AK329" s="77"/>
      <c r="AL329" s="77"/>
      <c r="AM329" s="77"/>
      <c r="AN329" s="77"/>
      <c r="AO329" s="77"/>
      <c r="AP329" s="77"/>
      <c r="AQ329" s="77" t="s">
        <v>14622</v>
      </c>
      <c r="AR329" s="77"/>
      <c r="AS329" s="77"/>
      <c r="AT329" s="77"/>
      <c r="AU329" s="77"/>
      <c r="AV329" s="83" t="str">
        <f>HYPERLINK("https://pbs.twimg.com/media/FwMhI2KWIAcIOTc.jpg")</f>
        <v>https://pbs.twimg.com/media/FwMhI2KWIAcIOTc.jpg</v>
      </c>
      <c r="AW329" s="80" t="s">
        <v>16312</v>
      </c>
      <c r="AX329" s="80" t="s">
        <v>16312</v>
      </c>
      <c r="AY329" s="77"/>
      <c r="AZ329" s="80" t="s">
        <v>20380</v>
      </c>
      <c r="BA329" s="80" t="s">
        <v>20380</v>
      </c>
      <c r="BB329" s="80" t="s">
        <v>20380</v>
      </c>
      <c r="BC329" s="80" t="s">
        <v>16312</v>
      </c>
      <c r="BD329" s="80" t="s">
        <v>20229</v>
      </c>
      <c r="BE329" s="77"/>
      <c r="BF329" s="77"/>
      <c r="BG329" s="77"/>
      <c r="BH329" s="77"/>
      <c r="BI329" s="77"/>
    </row>
    <row r="330" spans="1:61" x14ac:dyDescent="0.25">
      <c r="A330" s="62" t="s">
        <v>370</v>
      </c>
      <c r="B330" s="62" t="s">
        <v>370</v>
      </c>
      <c r="C330" s="63"/>
      <c r="D330" s="64"/>
      <c r="E330" s="65"/>
      <c r="F330" s="66"/>
      <c r="G330" s="63"/>
      <c r="H330" s="67"/>
      <c r="I330" s="68"/>
      <c r="J330" s="68"/>
      <c r="K330" s="32"/>
      <c r="L330" s="75">
        <v>330</v>
      </c>
      <c r="M330" s="75"/>
      <c r="N330" s="70"/>
      <c r="O330" s="77" t="s">
        <v>179</v>
      </c>
      <c r="P330" s="79">
        <v>45195.844456018516</v>
      </c>
      <c r="Q330" s="77" t="s">
        <v>2368</v>
      </c>
      <c r="R330" s="77">
        <v>0</v>
      </c>
      <c r="S330" s="77">
        <v>0</v>
      </c>
      <c r="T330" s="77">
        <v>0</v>
      </c>
      <c r="U330" s="77">
        <v>0</v>
      </c>
      <c r="V330" s="77">
        <v>30</v>
      </c>
      <c r="W330" s="80" t="s">
        <v>6135</v>
      </c>
      <c r="X330" s="77"/>
      <c r="Y330" s="77"/>
      <c r="Z330" s="77"/>
      <c r="AA330" s="77" t="s">
        <v>9141</v>
      </c>
      <c r="AB330" s="77" t="s">
        <v>10535</v>
      </c>
      <c r="AC330" s="80" t="s">
        <v>10541</v>
      </c>
      <c r="AD330" s="77" t="s">
        <v>10620</v>
      </c>
      <c r="AE330" s="83" t="str">
        <f>HYPERLINK("https://twitter.com/diarioredesa/status/1706764584487715234")</f>
        <v>https://twitter.com/diarioredesa/status/1706764584487715234</v>
      </c>
      <c r="AF330" s="79">
        <v>45195.844456018516</v>
      </c>
      <c r="AG330" s="85">
        <v>45195</v>
      </c>
      <c r="AH330" s="80" t="s">
        <v>10927</v>
      </c>
      <c r="AI330" s="77" t="b">
        <v>0</v>
      </c>
      <c r="AJ330" s="77"/>
      <c r="AK330" s="77"/>
      <c r="AL330" s="77"/>
      <c r="AM330" s="77"/>
      <c r="AN330" s="77"/>
      <c r="AO330" s="77"/>
      <c r="AP330" s="77"/>
      <c r="AQ330" s="77" t="s">
        <v>14623</v>
      </c>
      <c r="AR330" s="77"/>
      <c r="AS330" s="77"/>
      <c r="AT330" s="77"/>
      <c r="AU330" s="77"/>
      <c r="AV330" s="83" t="str">
        <f>HYPERLINK("https://pbs.twimg.com/media/F6-lVtmXwAEtF9p.jpg")</f>
        <v>https://pbs.twimg.com/media/F6-lVtmXwAEtF9p.jpg</v>
      </c>
      <c r="AW330" s="80" t="s">
        <v>16313</v>
      </c>
      <c r="AX330" s="80" t="s">
        <v>16313</v>
      </c>
      <c r="AY330" s="77"/>
      <c r="AZ330" s="80" t="s">
        <v>20380</v>
      </c>
      <c r="BA330" s="80" t="s">
        <v>20380</v>
      </c>
      <c r="BB330" s="80" t="s">
        <v>20380</v>
      </c>
      <c r="BC330" s="80" t="s">
        <v>16313</v>
      </c>
      <c r="BD330" s="80" t="s">
        <v>20229</v>
      </c>
      <c r="BE330" s="77"/>
      <c r="BF330" s="77"/>
      <c r="BG330" s="77"/>
      <c r="BH330" s="77"/>
      <c r="BI330" s="77"/>
    </row>
    <row r="331" spans="1:61" x14ac:dyDescent="0.25">
      <c r="A331" s="62" t="s">
        <v>370</v>
      </c>
      <c r="B331" s="62" t="s">
        <v>370</v>
      </c>
      <c r="C331" s="63"/>
      <c r="D331" s="64"/>
      <c r="E331" s="65"/>
      <c r="F331" s="66"/>
      <c r="G331" s="63"/>
      <c r="H331" s="67"/>
      <c r="I331" s="68"/>
      <c r="J331" s="68"/>
      <c r="K331" s="32"/>
      <c r="L331" s="75">
        <v>331</v>
      </c>
      <c r="M331" s="75"/>
      <c r="N331" s="70"/>
      <c r="O331" s="77" t="s">
        <v>179</v>
      </c>
      <c r="P331" s="79">
        <v>45170.899594907409</v>
      </c>
      <c r="Q331" s="77" t="s">
        <v>2369</v>
      </c>
      <c r="R331" s="77">
        <v>0</v>
      </c>
      <c r="S331" s="77">
        <v>0</v>
      </c>
      <c r="T331" s="77">
        <v>1</v>
      </c>
      <c r="U331" s="77">
        <v>0</v>
      </c>
      <c r="V331" s="77">
        <v>23</v>
      </c>
      <c r="W331" s="80" t="s">
        <v>6136</v>
      </c>
      <c r="X331" s="77"/>
      <c r="Y331" s="77"/>
      <c r="Z331" s="77"/>
      <c r="AA331" s="77" t="s">
        <v>9142</v>
      </c>
      <c r="AB331" s="77" t="s">
        <v>10535</v>
      </c>
      <c r="AC331" s="80" t="s">
        <v>10541</v>
      </c>
      <c r="AD331" s="77" t="s">
        <v>10620</v>
      </c>
      <c r="AE331" s="83" t="str">
        <f>HYPERLINK("https://twitter.com/diarioredesa/status/1697724868341506501")</f>
        <v>https://twitter.com/diarioredesa/status/1697724868341506501</v>
      </c>
      <c r="AF331" s="79">
        <v>45170.899594907409</v>
      </c>
      <c r="AG331" s="85">
        <v>45170</v>
      </c>
      <c r="AH331" s="80" t="s">
        <v>10928</v>
      </c>
      <c r="AI331" s="77" t="b">
        <v>0</v>
      </c>
      <c r="AJ331" s="77"/>
      <c r="AK331" s="77"/>
      <c r="AL331" s="77"/>
      <c r="AM331" s="77"/>
      <c r="AN331" s="77"/>
      <c r="AO331" s="77"/>
      <c r="AP331" s="77"/>
      <c r="AQ331" s="77" t="s">
        <v>14624</v>
      </c>
      <c r="AR331" s="77"/>
      <c r="AS331" s="77"/>
      <c r="AT331" s="77"/>
      <c r="AU331" s="77"/>
      <c r="AV331" s="83" t="str">
        <f>HYPERLINK("https://pbs.twimg.com/media/F4-HtVNWoAAj7yr.jpg")</f>
        <v>https://pbs.twimg.com/media/F4-HtVNWoAAj7yr.jpg</v>
      </c>
      <c r="AW331" s="80" t="s">
        <v>16314</v>
      </c>
      <c r="AX331" s="80" t="s">
        <v>16314</v>
      </c>
      <c r="AY331" s="77"/>
      <c r="AZ331" s="80" t="s">
        <v>20380</v>
      </c>
      <c r="BA331" s="80" t="s">
        <v>20380</v>
      </c>
      <c r="BB331" s="80" t="s">
        <v>20380</v>
      </c>
      <c r="BC331" s="80" t="s">
        <v>16314</v>
      </c>
      <c r="BD331" s="80" t="s">
        <v>20229</v>
      </c>
      <c r="BE331" s="77"/>
      <c r="BF331" s="77"/>
      <c r="BG331" s="77"/>
      <c r="BH331" s="77"/>
      <c r="BI331" s="77"/>
    </row>
    <row r="332" spans="1:61" x14ac:dyDescent="0.25">
      <c r="A332" s="62" t="s">
        <v>370</v>
      </c>
      <c r="B332" s="62" t="s">
        <v>370</v>
      </c>
      <c r="C332" s="63"/>
      <c r="D332" s="64"/>
      <c r="E332" s="65"/>
      <c r="F332" s="66"/>
      <c r="G332" s="63"/>
      <c r="H332" s="67"/>
      <c r="I332" s="68"/>
      <c r="J332" s="68"/>
      <c r="K332" s="32"/>
      <c r="L332" s="75">
        <v>332</v>
      </c>
      <c r="M332" s="75"/>
      <c r="N332" s="70"/>
      <c r="O332" s="77" t="s">
        <v>179</v>
      </c>
      <c r="P332" s="79">
        <v>45140.845995370371</v>
      </c>
      <c r="Q332" s="77" t="s">
        <v>2370</v>
      </c>
      <c r="R332" s="77">
        <v>0</v>
      </c>
      <c r="S332" s="77">
        <v>0</v>
      </c>
      <c r="T332" s="77">
        <v>0</v>
      </c>
      <c r="U332" s="77">
        <v>0</v>
      </c>
      <c r="V332" s="77">
        <v>27</v>
      </c>
      <c r="W332" s="80" t="s">
        <v>6131</v>
      </c>
      <c r="X332" s="77"/>
      <c r="Y332" s="77"/>
      <c r="Z332" s="77"/>
      <c r="AA332" s="77" t="s">
        <v>9143</v>
      </c>
      <c r="AB332" s="77" t="s">
        <v>10535</v>
      </c>
      <c r="AC332" s="80" t="s">
        <v>10541</v>
      </c>
      <c r="AD332" s="77" t="s">
        <v>10620</v>
      </c>
      <c r="AE332" s="83" t="str">
        <f>HYPERLINK("https://twitter.com/diarioredesa/status/1686833807486263297")</f>
        <v>https://twitter.com/diarioredesa/status/1686833807486263297</v>
      </c>
      <c r="AF332" s="79">
        <v>45140.845995370371</v>
      </c>
      <c r="AG332" s="85">
        <v>45140</v>
      </c>
      <c r="AH332" s="80" t="s">
        <v>10929</v>
      </c>
      <c r="AI332" s="77" t="b">
        <v>0</v>
      </c>
      <c r="AJ332" s="77"/>
      <c r="AK332" s="77"/>
      <c r="AL332" s="77"/>
      <c r="AM332" s="77"/>
      <c r="AN332" s="77"/>
      <c r="AO332" s="77"/>
      <c r="AP332" s="77"/>
      <c r="AQ332" s="77" t="s">
        <v>14625</v>
      </c>
      <c r="AR332" s="77"/>
      <c r="AS332" s="77"/>
      <c r="AT332" s="77"/>
      <c r="AU332" s="77"/>
      <c r="AV332" s="83" t="str">
        <f>HYPERLINK("https://pbs.twimg.com/media/F2jV97oXsAA_36n.png")</f>
        <v>https://pbs.twimg.com/media/F2jV97oXsAA_36n.png</v>
      </c>
      <c r="AW332" s="80" t="s">
        <v>16315</v>
      </c>
      <c r="AX332" s="80" t="s">
        <v>16315</v>
      </c>
      <c r="AY332" s="77"/>
      <c r="AZ332" s="80" t="s">
        <v>20380</v>
      </c>
      <c r="BA332" s="80" t="s">
        <v>20380</v>
      </c>
      <c r="BB332" s="80" t="s">
        <v>20380</v>
      </c>
      <c r="BC332" s="80" t="s">
        <v>16315</v>
      </c>
      <c r="BD332" s="80" t="s">
        <v>20229</v>
      </c>
      <c r="BE332" s="77"/>
      <c r="BF332" s="77"/>
      <c r="BG332" s="77"/>
      <c r="BH332" s="77"/>
      <c r="BI332" s="77"/>
    </row>
    <row r="333" spans="1:61" x14ac:dyDescent="0.25">
      <c r="A333" s="62" t="s">
        <v>370</v>
      </c>
      <c r="B333" s="62" t="s">
        <v>400</v>
      </c>
      <c r="C333" s="63"/>
      <c r="D333" s="64"/>
      <c r="E333" s="65"/>
      <c r="F333" s="66"/>
      <c r="G333" s="63"/>
      <c r="H333" s="67"/>
      <c r="I333" s="68"/>
      <c r="J333" s="68"/>
      <c r="K333" s="32"/>
      <c r="L333" s="75">
        <v>333</v>
      </c>
      <c r="M333" s="75"/>
      <c r="N333" s="70"/>
      <c r="O333" s="77" t="s">
        <v>2082</v>
      </c>
      <c r="P333" s="79">
        <v>45049.839479166665</v>
      </c>
      <c r="Q333" s="77" t="s">
        <v>2371</v>
      </c>
      <c r="R333" s="77">
        <v>0</v>
      </c>
      <c r="S333" s="77">
        <v>0</v>
      </c>
      <c r="T333" s="77">
        <v>1</v>
      </c>
      <c r="U333" s="77">
        <v>0</v>
      </c>
      <c r="V333" s="77">
        <v>31</v>
      </c>
      <c r="W333" s="80" t="s">
        <v>6137</v>
      </c>
      <c r="X333" s="77"/>
      <c r="Y333" s="77"/>
      <c r="Z333" s="77"/>
      <c r="AA333" s="77"/>
      <c r="AB333" s="77"/>
      <c r="AC333" s="80" t="s">
        <v>10541</v>
      </c>
      <c r="AD333" s="77" t="s">
        <v>10620</v>
      </c>
      <c r="AE333" s="83" t="str">
        <f>HYPERLINK("https://twitter.com/diarioredesa/status/1653854151720173568")</f>
        <v>https://twitter.com/diarioredesa/status/1653854151720173568</v>
      </c>
      <c r="AF333" s="79">
        <v>45049.839479166665</v>
      </c>
      <c r="AG333" s="85">
        <v>45049</v>
      </c>
      <c r="AH333" s="80" t="s">
        <v>10930</v>
      </c>
      <c r="AI333" s="77"/>
      <c r="AJ333" s="77"/>
      <c r="AK333" s="77"/>
      <c r="AL333" s="77"/>
      <c r="AM333" s="77"/>
      <c r="AN333" s="77"/>
      <c r="AO333" s="77"/>
      <c r="AP333" s="77"/>
      <c r="AQ333" s="77"/>
      <c r="AR333" s="77"/>
      <c r="AS333" s="77"/>
      <c r="AT333" s="77"/>
      <c r="AU333" s="77"/>
      <c r="AV333" s="83" t="str">
        <f>HYPERLINK("https://pbs.twimg.com/profile_images/1394701586606211074/LEsqn5Js_normal.jpg")</f>
        <v>https://pbs.twimg.com/profile_images/1394701586606211074/LEsqn5Js_normal.jpg</v>
      </c>
      <c r="AW333" s="80" t="s">
        <v>16316</v>
      </c>
      <c r="AX333" s="80" t="s">
        <v>16316</v>
      </c>
      <c r="AY333" s="77"/>
      <c r="AZ333" s="80" t="s">
        <v>20380</v>
      </c>
      <c r="BA333" s="80" t="s">
        <v>16389</v>
      </c>
      <c r="BB333" s="80" t="s">
        <v>20380</v>
      </c>
      <c r="BC333" s="80" t="s">
        <v>16389</v>
      </c>
      <c r="BD333" s="80" t="s">
        <v>20229</v>
      </c>
      <c r="BE333" s="77"/>
      <c r="BF333" s="77"/>
      <c r="BG333" s="77"/>
      <c r="BH333" s="77"/>
      <c r="BI333" s="77"/>
    </row>
    <row r="334" spans="1:61" x14ac:dyDescent="0.25">
      <c r="A334" s="62" t="s">
        <v>370</v>
      </c>
      <c r="B334" s="62" t="s">
        <v>370</v>
      </c>
      <c r="C334" s="63"/>
      <c r="D334" s="64"/>
      <c r="E334" s="65"/>
      <c r="F334" s="66"/>
      <c r="G334" s="63"/>
      <c r="H334" s="67"/>
      <c r="I334" s="68"/>
      <c r="J334" s="68"/>
      <c r="K334" s="32"/>
      <c r="L334" s="75">
        <v>334</v>
      </c>
      <c r="M334" s="75"/>
      <c r="N334" s="70"/>
      <c r="O334" s="77" t="s">
        <v>179</v>
      </c>
      <c r="P334" s="79">
        <v>45196.837106481478</v>
      </c>
      <c r="Q334" s="77" t="s">
        <v>2372</v>
      </c>
      <c r="R334" s="77">
        <v>0</v>
      </c>
      <c r="S334" s="77">
        <v>1</v>
      </c>
      <c r="T334" s="77">
        <v>1</v>
      </c>
      <c r="U334" s="77">
        <v>0</v>
      </c>
      <c r="V334" s="77">
        <v>81</v>
      </c>
      <c r="W334" s="80" t="s">
        <v>6138</v>
      </c>
      <c r="X334" s="77"/>
      <c r="Y334" s="77"/>
      <c r="Z334" s="77"/>
      <c r="AA334" s="77" t="s">
        <v>9144</v>
      </c>
      <c r="AB334" s="77" t="s">
        <v>10534</v>
      </c>
      <c r="AC334" s="80" t="s">
        <v>10541</v>
      </c>
      <c r="AD334" s="77" t="s">
        <v>10620</v>
      </c>
      <c r="AE334" s="83" t="str">
        <f>HYPERLINK("https://twitter.com/diarioredesa/status/1707124305824272479")</f>
        <v>https://twitter.com/diarioredesa/status/1707124305824272479</v>
      </c>
      <c r="AF334" s="79">
        <v>45196.837106481478</v>
      </c>
      <c r="AG334" s="85">
        <v>45196</v>
      </c>
      <c r="AH334" s="80" t="s">
        <v>10931</v>
      </c>
      <c r="AI334" s="77" t="b">
        <v>0</v>
      </c>
      <c r="AJ334" s="77"/>
      <c r="AK334" s="77"/>
      <c r="AL334" s="77"/>
      <c r="AM334" s="77"/>
      <c r="AN334" s="77"/>
      <c r="AO334" s="77"/>
      <c r="AP334" s="77"/>
      <c r="AQ334" s="77" t="s">
        <v>14626</v>
      </c>
      <c r="AR334" s="77">
        <v>60745</v>
      </c>
      <c r="AS334" s="77"/>
      <c r="AT334" s="77"/>
      <c r="AU334" s="77"/>
      <c r="AV334" s="83" t="str">
        <f>HYPERLINK("https://pbs.twimg.com/ext_tw_video_thumb/1707101231355695104/pu/img/8-u0ET5HLKajf1CK.jpg")</f>
        <v>https://pbs.twimg.com/ext_tw_video_thumb/1707101231355695104/pu/img/8-u0ET5HLKajf1CK.jpg</v>
      </c>
      <c r="AW334" s="80" t="s">
        <v>16317</v>
      </c>
      <c r="AX334" s="80" t="s">
        <v>16317</v>
      </c>
      <c r="AY334" s="77"/>
      <c r="AZ334" s="80" t="s">
        <v>20380</v>
      </c>
      <c r="BA334" s="80" t="s">
        <v>20380</v>
      </c>
      <c r="BB334" s="80" t="s">
        <v>20380</v>
      </c>
      <c r="BC334" s="80" t="s">
        <v>16317</v>
      </c>
      <c r="BD334" s="80" t="s">
        <v>20229</v>
      </c>
      <c r="BE334" s="77"/>
      <c r="BF334" s="77"/>
      <c r="BG334" s="77"/>
      <c r="BH334" s="77"/>
      <c r="BI334" s="77"/>
    </row>
    <row r="335" spans="1:61" x14ac:dyDescent="0.25">
      <c r="A335" s="62" t="s">
        <v>370</v>
      </c>
      <c r="B335" s="62" t="s">
        <v>370</v>
      </c>
      <c r="C335" s="63"/>
      <c r="D335" s="64"/>
      <c r="E335" s="65"/>
      <c r="F335" s="66"/>
      <c r="G335" s="63"/>
      <c r="H335" s="67"/>
      <c r="I335" s="68"/>
      <c r="J335" s="68"/>
      <c r="K335" s="32"/>
      <c r="L335" s="75">
        <v>335</v>
      </c>
      <c r="M335" s="75"/>
      <c r="N335" s="70"/>
      <c r="O335" s="77" t="s">
        <v>179</v>
      </c>
      <c r="P335" s="79">
        <v>45139.597604166665</v>
      </c>
      <c r="Q335" s="77" t="s">
        <v>2373</v>
      </c>
      <c r="R335" s="77">
        <v>0</v>
      </c>
      <c r="S335" s="77">
        <v>1</v>
      </c>
      <c r="T335" s="77">
        <v>1</v>
      </c>
      <c r="U335" s="77">
        <v>0</v>
      </c>
      <c r="V335" s="77">
        <v>21</v>
      </c>
      <c r="W335" s="80" t="s">
        <v>6139</v>
      </c>
      <c r="X335" s="77"/>
      <c r="Y335" s="77"/>
      <c r="Z335" s="77"/>
      <c r="AA335" s="77" t="s">
        <v>9145</v>
      </c>
      <c r="AB335" s="77" t="s">
        <v>10535</v>
      </c>
      <c r="AC335" s="80" t="s">
        <v>10541</v>
      </c>
      <c r="AD335" s="77" t="s">
        <v>10620</v>
      </c>
      <c r="AE335" s="83" t="str">
        <f>HYPERLINK("https://twitter.com/diarioredesa/status/1686381404878503936")</f>
        <v>https://twitter.com/diarioredesa/status/1686381404878503936</v>
      </c>
      <c r="AF335" s="79">
        <v>45139.597604166665</v>
      </c>
      <c r="AG335" s="85">
        <v>45139</v>
      </c>
      <c r="AH335" s="80" t="s">
        <v>10932</v>
      </c>
      <c r="AI335" s="77" t="b">
        <v>0</v>
      </c>
      <c r="AJ335" s="77"/>
      <c r="AK335" s="77"/>
      <c r="AL335" s="77"/>
      <c r="AM335" s="77"/>
      <c r="AN335" s="77"/>
      <c r="AO335" s="77"/>
      <c r="AP335" s="77"/>
      <c r="AQ335" s="77" t="s">
        <v>14627</v>
      </c>
      <c r="AR335" s="77"/>
      <c r="AS335" s="77"/>
      <c r="AT335" s="77"/>
      <c r="AU335" s="77"/>
      <c r="AV335" s="83" t="str">
        <f>HYPERLINK("https://pbs.twimg.com/media/F2c68fubkAELN3J.jpg")</f>
        <v>https://pbs.twimg.com/media/F2c68fubkAELN3J.jpg</v>
      </c>
      <c r="AW335" s="80" t="s">
        <v>16318</v>
      </c>
      <c r="AX335" s="80" t="s">
        <v>16318</v>
      </c>
      <c r="AY335" s="77"/>
      <c r="AZ335" s="80" t="s">
        <v>20380</v>
      </c>
      <c r="BA335" s="80" t="s">
        <v>20380</v>
      </c>
      <c r="BB335" s="80" t="s">
        <v>20380</v>
      </c>
      <c r="BC335" s="80" t="s">
        <v>16318</v>
      </c>
      <c r="BD335" s="80" t="s">
        <v>20229</v>
      </c>
      <c r="BE335" s="77"/>
      <c r="BF335" s="77"/>
      <c r="BG335" s="77"/>
      <c r="BH335" s="77"/>
      <c r="BI335" s="77"/>
    </row>
    <row r="336" spans="1:61" x14ac:dyDescent="0.25">
      <c r="A336" s="62" t="s">
        <v>370</v>
      </c>
      <c r="B336" s="62" t="s">
        <v>370</v>
      </c>
      <c r="C336" s="63"/>
      <c r="D336" s="64"/>
      <c r="E336" s="65"/>
      <c r="F336" s="66"/>
      <c r="G336" s="63"/>
      <c r="H336" s="67"/>
      <c r="I336" s="68"/>
      <c r="J336" s="68"/>
      <c r="K336" s="32"/>
      <c r="L336" s="75">
        <v>336</v>
      </c>
      <c r="M336" s="75"/>
      <c r="N336" s="70"/>
      <c r="O336" s="77" t="s">
        <v>179</v>
      </c>
      <c r="P336" s="79">
        <v>45138.846446759257</v>
      </c>
      <c r="Q336" s="77" t="s">
        <v>2374</v>
      </c>
      <c r="R336" s="77">
        <v>0</v>
      </c>
      <c r="S336" s="77">
        <v>0</v>
      </c>
      <c r="T336" s="77">
        <v>0</v>
      </c>
      <c r="U336" s="77">
        <v>0</v>
      </c>
      <c r="V336" s="77">
        <v>22</v>
      </c>
      <c r="W336" s="80" t="s">
        <v>6140</v>
      </c>
      <c r="X336" s="77"/>
      <c r="Y336" s="77"/>
      <c r="Z336" s="77"/>
      <c r="AA336" s="77" t="s">
        <v>9146</v>
      </c>
      <c r="AB336" s="77" t="s">
        <v>10535</v>
      </c>
      <c r="AC336" s="80" t="s">
        <v>10541</v>
      </c>
      <c r="AD336" s="77" t="s">
        <v>10620</v>
      </c>
      <c r="AE336" s="83" t="str">
        <f>HYPERLINK("https://twitter.com/diarioredesa/status/1686109195718811648")</f>
        <v>https://twitter.com/diarioredesa/status/1686109195718811648</v>
      </c>
      <c r="AF336" s="79">
        <v>45138.846446759257</v>
      </c>
      <c r="AG336" s="85">
        <v>45138</v>
      </c>
      <c r="AH336" s="80" t="s">
        <v>10933</v>
      </c>
      <c r="AI336" s="77" t="b">
        <v>0</v>
      </c>
      <c r="AJ336" s="77"/>
      <c r="AK336" s="77"/>
      <c r="AL336" s="77"/>
      <c r="AM336" s="77"/>
      <c r="AN336" s="77"/>
      <c r="AO336" s="77"/>
      <c r="AP336" s="77"/>
      <c r="AQ336" s="77" t="s">
        <v>14628</v>
      </c>
      <c r="AR336" s="77"/>
      <c r="AS336" s="77"/>
      <c r="AT336" s="77"/>
      <c r="AU336" s="77"/>
      <c r="AV336" s="83" t="str">
        <f>HYPERLINK("https://pbs.twimg.com/media/F2ZDYBiXAAIQX72.jpg")</f>
        <v>https://pbs.twimg.com/media/F2ZDYBiXAAIQX72.jpg</v>
      </c>
      <c r="AW336" s="80" t="s">
        <v>16319</v>
      </c>
      <c r="AX336" s="80" t="s">
        <v>16319</v>
      </c>
      <c r="AY336" s="77"/>
      <c r="AZ336" s="80" t="s">
        <v>20380</v>
      </c>
      <c r="BA336" s="80" t="s">
        <v>20380</v>
      </c>
      <c r="BB336" s="80" t="s">
        <v>20380</v>
      </c>
      <c r="BC336" s="80" t="s">
        <v>16319</v>
      </c>
      <c r="BD336" s="80" t="s">
        <v>20229</v>
      </c>
      <c r="BE336" s="77"/>
      <c r="BF336" s="77"/>
      <c r="BG336" s="77"/>
      <c r="BH336" s="77"/>
      <c r="BI336" s="77"/>
    </row>
    <row r="337" spans="1:61" x14ac:dyDescent="0.25">
      <c r="A337" s="62" t="s">
        <v>371</v>
      </c>
      <c r="B337" s="62" t="s">
        <v>371</v>
      </c>
      <c r="C337" s="63"/>
      <c r="D337" s="64"/>
      <c r="E337" s="65"/>
      <c r="F337" s="66"/>
      <c r="G337" s="63"/>
      <c r="H337" s="67"/>
      <c r="I337" s="68"/>
      <c r="J337" s="68"/>
      <c r="K337" s="32"/>
      <c r="L337" s="75">
        <v>337</v>
      </c>
      <c r="M337" s="75"/>
      <c r="N337" s="70"/>
      <c r="O337" s="77" t="s">
        <v>2078</v>
      </c>
      <c r="P337" s="79">
        <v>45161.418321759258</v>
      </c>
      <c r="Q337" s="77" t="s">
        <v>2375</v>
      </c>
      <c r="R337" s="77">
        <v>0</v>
      </c>
      <c r="S337" s="77">
        <v>0</v>
      </c>
      <c r="T337" s="77">
        <v>1</v>
      </c>
      <c r="U337" s="77">
        <v>0</v>
      </c>
      <c r="V337" s="77">
        <v>33</v>
      </c>
      <c r="W337" s="80" t="s">
        <v>6141</v>
      </c>
      <c r="X337" s="77"/>
      <c r="Y337" s="77"/>
      <c r="Z337" s="77"/>
      <c r="AA337" s="77"/>
      <c r="AB337" s="77"/>
      <c r="AC337" s="80" t="s">
        <v>10541</v>
      </c>
      <c r="AD337" s="77" t="s">
        <v>10620</v>
      </c>
      <c r="AE337" s="83" t="str">
        <f>HYPERLINK("https://twitter.com/rebelde_nuevo/status/1694288970077651401")</f>
        <v>https://twitter.com/rebelde_nuevo/status/1694288970077651401</v>
      </c>
      <c r="AF337" s="79">
        <v>45161.418321759258</v>
      </c>
      <c r="AG337" s="85">
        <v>45161</v>
      </c>
      <c r="AH337" s="80" t="s">
        <v>10934</v>
      </c>
      <c r="AI337" s="77"/>
      <c r="AJ337" s="77"/>
      <c r="AK337" s="77"/>
      <c r="AL337" s="77"/>
      <c r="AM337" s="77"/>
      <c r="AN337" s="77"/>
      <c r="AO337" s="77"/>
      <c r="AP337" s="77"/>
      <c r="AQ337" s="77"/>
      <c r="AR337" s="77"/>
      <c r="AS337" s="77"/>
      <c r="AT337" s="77"/>
      <c r="AU337" s="77"/>
      <c r="AV337" s="83" t="str">
        <f>HYPERLINK("https://pbs.twimg.com/profile_images/1471803544898527237/XtYxjcnr_normal.jpg")</f>
        <v>https://pbs.twimg.com/profile_images/1471803544898527237/XtYxjcnr_normal.jpg</v>
      </c>
      <c r="AW337" s="80" t="s">
        <v>16320</v>
      </c>
      <c r="AX337" s="80" t="s">
        <v>19981</v>
      </c>
      <c r="AY337" s="80" t="s">
        <v>20230</v>
      </c>
      <c r="AZ337" s="80" t="s">
        <v>20395</v>
      </c>
      <c r="BA337" s="80" t="s">
        <v>20380</v>
      </c>
      <c r="BB337" s="80" t="s">
        <v>20380</v>
      </c>
      <c r="BC337" s="80" t="s">
        <v>20395</v>
      </c>
      <c r="BD337" s="80" t="s">
        <v>20230</v>
      </c>
      <c r="BE337" s="77"/>
      <c r="BF337" s="77"/>
      <c r="BG337" s="77"/>
      <c r="BH337" s="77"/>
      <c r="BI337" s="77"/>
    </row>
    <row r="338" spans="1:61" x14ac:dyDescent="0.25">
      <c r="A338" s="62" t="s">
        <v>372</v>
      </c>
      <c r="B338" s="62" t="s">
        <v>372</v>
      </c>
      <c r="C338" s="63"/>
      <c r="D338" s="64"/>
      <c r="E338" s="65"/>
      <c r="F338" s="66"/>
      <c r="G338" s="63"/>
      <c r="H338" s="67"/>
      <c r="I338" s="68"/>
      <c r="J338" s="68"/>
      <c r="K338" s="32"/>
      <c r="L338" s="75">
        <v>338</v>
      </c>
      <c r="M338" s="75"/>
      <c r="N338" s="70"/>
      <c r="O338" s="77" t="s">
        <v>179</v>
      </c>
      <c r="P338" s="79">
        <v>45190.805092592593</v>
      </c>
      <c r="Q338" s="77" t="s">
        <v>2376</v>
      </c>
      <c r="R338" s="77">
        <v>0</v>
      </c>
      <c r="S338" s="77">
        <v>0</v>
      </c>
      <c r="T338" s="77">
        <v>0</v>
      </c>
      <c r="U338" s="77">
        <v>0</v>
      </c>
      <c r="V338" s="77">
        <v>60</v>
      </c>
      <c r="W338" s="80" t="s">
        <v>6142</v>
      </c>
      <c r="X338" s="83" t="str">
        <f>HYPERLINK("https://notiespartano.com/banco-central-de-brasil-reduce-la-tasa-basica-de-interes/")</f>
        <v>https://notiespartano.com/banco-central-de-brasil-reduce-la-tasa-basica-de-interes/</v>
      </c>
      <c r="Y338" s="77" t="s">
        <v>8653</v>
      </c>
      <c r="Z338" s="77"/>
      <c r="AA338" s="77"/>
      <c r="AB338" s="77"/>
      <c r="AC338" s="80" t="s">
        <v>10557</v>
      </c>
      <c r="AD338" s="77" t="s">
        <v>10620</v>
      </c>
      <c r="AE338" s="83" t="str">
        <f>HYPERLINK("https://twitter.com/notiespartano/status/1704938380587413549")</f>
        <v>https://twitter.com/notiespartano/status/1704938380587413549</v>
      </c>
      <c r="AF338" s="79">
        <v>45190.805092592593</v>
      </c>
      <c r="AG338" s="85">
        <v>45190</v>
      </c>
      <c r="AH338" s="80" t="s">
        <v>10935</v>
      </c>
      <c r="AI338" s="77" t="b">
        <v>0</v>
      </c>
      <c r="AJ338" s="77"/>
      <c r="AK338" s="77"/>
      <c r="AL338" s="77"/>
      <c r="AM338" s="77"/>
      <c r="AN338" s="77"/>
      <c r="AO338" s="77"/>
      <c r="AP338" s="77"/>
      <c r="AQ338" s="77"/>
      <c r="AR338" s="77"/>
      <c r="AS338" s="77"/>
      <c r="AT338" s="77"/>
      <c r="AU338" s="77"/>
      <c r="AV338" s="83" t="str">
        <f>HYPERLINK("https://pbs.twimg.com/profile_images/950140092085100544/perr3e1y_normal.jpg")</f>
        <v>https://pbs.twimg.com/profile_images/950140092085100544/perr3e1y_normal.jpg</v>
      </c>
      <c r="AW338" s="80" t="s">
        <v>16321</v>
      </c>
      <c r="AX338" s="80" t="s">
        <v>16321</v>
      </c>
      <c r="AY338" s="77"/>
      <c r="AZ338" s="80" t="s">
        <v>20380</v>
      </c>
      <c r="BA338" s="80" t="s">
        <v>20380</v>
      </c>
      <c r="BB338" s="80" t="s">
        <v>20380</v>
      </c>
      <c r="BC338" s="80" t="s">
        <v>16321</v>
      </c>
      <c r="BD338" s="77">
        <v>957510522</v>
      </c>
      <c r="BE338" s="77"/>
      <c r="BF338" s="77"/>
      <c r="BG338" s="77"/>
      <c r="BH338" s="77"/>
      <c r="BI338" s="77"/>
    </row>
    <row r="339" spans="1:61" x14ac:dyDescent="0.25">
      <c r="A339" s="62" t="s">
        <v>373</v>
      </c>
      <c r="B339" s="62" t="s">
        <v>373</v>
      </c>
      <c r="C339" s="63"/>
      <c r="D339" s="64"/>
      <c r="E339" s="65"/>
      <c r="F339" s="66"/>
      <c r="G339" s="63"/>
      <c r="H339" s="67"/>
      <c r="I339" s="68"/>
      <c r="J339" s="68"/>
      <c r="K339" s="32"/>
      <c r="L339" s="75">
        <v>339</v>
      </c>
      <c r="M339" s="75"/>
      <c r="N339" s="70"/>
      <c r="O339" s="77" t="s">
        <v>179</v>
      </c>
      <c r="P339" s="79">
        <v>45058.970289351855</v>
      </c>
      <c r="Q339" s="77" t="s">
        <v>2377</v>
      </c>
      <c r="R339" s="77">
        <v>0</v>
      </c>
      <c r="S339" s="77">
        <v>2</v>
      </c>
      <c r="T339" s="77">
        <v>0</v>
      </c>
      <c r="U339" s="77">
        <v>0</v>
      </c>
      <c r="V339" s="77">
        <v>267</v>
      </c>
      <c r="W339" s="80" t="s">
        <v>6143</v>
      </c>
      <c r="X339" s="83" t="str">
        <f>HYPERLINK("https://www.pharmabiz.net/industria-farma-carta-por-normativa-cambiaria/")</f>
        <v>https://www.pharmabiz.net/industria-farma-carta-por-normativa-cambiaria/</v>
      </c>
      <c r="Y339" s="77" t="s">
        <v>8654</v>
      </c>
      <c r="Z339" s="77"/>
      <c r="AA339" s="77" t="s">
        <v>9147</v>
      </c>
      <c r="AB339" s="77" t="s">
        <v>10535</v>
      </c>
      <c r="AC339" s="80" t="s">
        <v>10541</v>
      </c>
      <c r="AD339" s="77" t="s">
        <v>10620</v>
      </c>
      <c r="AE339" s="83" t="str">
        <f>HYPERLINK("https://twitter.com/pharmabizweb/status/1657163048375730176")</f>
        <v>https://twitter.com/pharmabizweb/status/1657163048375730176</v>
      </c>
      <c r="AF339" s="79">
        <v>45058.970289351855</v>
      </c>
      <c r="AG339" s="85">
        <v>45058</v>
      </c>
      <c r="AH339" s="80" t="s">
        <v>10936</v>
      </c>
      <c r="AI339" s="77" t="b">
        <v>0</v>
      </c>
      <c r="AJ339" s="77"/>
      <c r="AK339" s="77"/>
      <c r="AL339" s="77"/>
      <c r="AM339" s="77"/>
      <c r="AN339" s="77"/>
      <c r="AO339" s="77"/>
      <c r="AP339" s="77"/>
      <c r="AQ339" s="77" t="s">
        <v>14629</v>
      </c>
      <c r="AR339" s="77"/>
      <c r="AS339" s="77"/>
      <c r="AT339" s="77"/>
      <c r="AU339" s="77"/>
      <c r="AV339" s="83" t="str">
        <f>HYPERLINK("https://pbs.twimg.com/media/Fv9tAUxWwAEx4eW.jpg")</f>
        <v>https://pbs.twimg.com/media/Fv9tAUxWwAEx4eW.jpg</v>
      </c>
      <c r="AW339" s="80" t="s">
        <v>16322</v>
      </c>
      <c r="AX339" s="80" t="s">
        <v>16322</v>
      </c>
      <c r="AY339" s="77"/>
      <c r="AZ339" s="80" t="s">
        <v>20380</v>
      </c>
      <c r="BA339" s="80" t="s">
        <v>20380</v>
      </c>
      <c r="BB339" s="80" t="s">
        <v>20380</v>
      </c>
      <c r="BC339" s="80" t="s">
        <v>16322</v>
      </c>
      <c r="BD339" s="77">
        <v>169338130</v>
      </c>
      <c r="BE339" s="77"/>
      <c r="BF339" s="77"/>
      <c r="BG339" s="77"/>
      <c r="BH339" s="77"/>
      <c r="BI339" s="77"/>
    </row>
    <row r="340" spans="1:61" x14ac:dyDescent="0.25">
      <c r="A340" s="62" t="s">
        <v>374</v>
      </c>
      <c r="B340" s="62" t="s">
        <v>374</v>
      </c>
      <c r="C340" s="63"/>
      <c r="D340" s="64"/>
      <c r="E340" s="65"/>
      <c r="F340" s="66"/>
      <c r="G340" s="63"/>
      <c r="H340" s="67"/>
      <c r="I340" s="68"/>
      <c r="J340" s="68"/>
      <c r="K340" s="32"/>
      <c r="L340" s="75">
        <v>340</v>
      </c>
      <c r="M340" s="75"/>
      <c r="N340" s="70"/>
      <c r="O340" s="77" t="s">
        <v>2078</v>
      </c>
      <c r="P340" s="79">
        <v>45078.649085648147</v>
      </c>
      <c r="Q340" s="77" t="s">
        <v>2378</v>
      </c>
      <c r="R340" s="77">
        <v>0</v>
      </c>
      <c r="S340" s="77">
        <v>0</v>
      </c>
      <c r="T340" s="77">
        <v>2</v>
      </c>
      <c r="U340" s="77">
        <v>0</v>
      </c>
      <c r="V340" s="77">
        <v>79</v>
      </c>
      <c r="W340" s="80" t="s">
        <v>6144</v>
      </c>
      <c r="X340" s="77"/>
      <c r="Y340" s="77"/>
      <c r="Z340" s="77" t="s">
        <v>8913</v>
      </c>
      <c r="AA340" s="77"/>
      <c r="AB340" s="77"/>
      <c r="AC340" s="80" t="s">
        <v>10540</v>
      </c>
      <c r="AD340" s="77" t="s">
        <v>10620</v>
      </c>
      <c r="AE340" s="83" t="str">
        <f>HYPERLINK("https://twitter.com/oberni/status/1664294404612321283")</f>
        <v>https://twitter.com/oberni/status/1664294404612321283</v>
      </c>
      <c r="AF340" s="79">
        <v>45078.649085648147</v>
      </c>
      <c r="AG340" s="85">
        <v>45078</v>
      </c>
      <c r="AH340" s="80" t="s">
        <v>10937</v>
      </c>
      <c r="AI340" s="77"/>
      <c r="AJ340" s="77"/>
      <c r="AK340" s="77"/>
      <c r="AL340" s="77"/>
      <c r="AM340" s="77"/>
      <c r="AN340" s="77"/>
      <c r="AO340" s="77"/>
      <c r="AP340" s="77"/>
      <c r="AQ340" s="77"/>
      <c r="AR340" s="77"/>
      <c r="AS340" s="77"/>
      <c r="AT340" s="77"/>
      <c r="AU340" s="77"/>
      <c r="AV340" s="83" t="str">
        <f>HYPERLINK("https://pbs.twimg.com/profile_images/3513038525/e0c5bdc2d807d04a0af6b7b47aa3102f_normal.jpeg")</f>
        <v>https://pbs.twimg.com/profile_images/3513038525/e0c5bdc2d807d04a0af6b7b47aa3102f_normal.jpeg</v>
      </c>
      <c r="AW340" s="80" t="s">
        <v>16323</v>
      </c>
      <c r="AX340" s="80" t="s">
        <v>19982</v>
      </c>
      <c r="AY340" s="80" t="s">
        <v>20231</v>
      </c>
      <c r="AZ340" s="80" t="s">
        <v>19982</v>
      </c>
      <c r="BA340" s="80" t="s">
        <v>20380</v>
      </c>
      <c r="BB340" s="80" t="s">
        <v>20380</v>
      </c>
      <c r="BC340" s="80" t="s">
        <v>19982</v>
      </c>
      <c r="BD340" s="77">
        <v>73228178</v>
      </c>
      <c r="BE340" s="77"/>
      <c r="BF340" s="77"/>
      <c r="BG340" s="77"/>
      <c r="BH340" s="77"/>
      <c r="BI340" s="77"/>
    </row>
    <row r="341" spans="1:61" x14ac:dyDescent="0.25">
      <c r="A341" s="62" t="s">
        <v>375</v>
      </c>
      <c r="B341" s="62" t="s">
        <v>1732</v>
      </c>
      <c r="C341" s="63"/>
      <c r="D341" s="64"/>
      <c r="E341" s="65"/>
      <c r="F341" s="66"/>
      <c r="G341" s="63"/>
      <c r="H341" s="67"/>
      <c r="I341" s="68"/>
      <c r="J341" s="68"/>
      <c r="K341" s="32"/>
      <c r="L341" s="75">
        <v>341</v>
      </c>
      <c r="M341" s="75"/>
      <c r="N341" s="70"/>
      <c r="O341" s="77" t="s">
        <v>2081</v>
      </c>
      <c r="P341" s="79">
        <v>45084.693356481483</v>
      </c>
      <c r="Q341" s="77" t="s">
        <v>2379</v>
      </c>
      <c r="R341" s="77">
        <v>0</v>
      </c>
      <c r="S341" s="77">
        <v>0</v>
      </c>
      <c r="T341" s="77">
        <v>1</v>
      </c>
      <c r="U341" s="77">
        <v>0</v>
      </c>
      <c r="V341" s="77">
        <v>94</v>
      </c>
      <c r="W341" s="80" t="s">
        <v>6145</v>
      </c>
      <c r="X341" s="77"/>
      <c r="Y341" s="77"/>
      <c r="Z341" s="77" t="s">
        <v>8914</v>
      </c>
      <c r="AA341" s="77" t="s">
        <v>9148</v>
      </c>
      <c r="AB341" s="77" t="s">
        <v>10535</v>
      </c>
      <c r="AC341" s="80" t="s">
        <v>10541</v>
      </c>
      <c r="AD341" s="77" t="s">
        <v>10620</v>
      </c>
      <c r="AE341" s="83" t="str">
        <f>HYPERLINK("https://twitter.com/actualidad2_0/status/1666484774351826945")</f>
        <v>https://twitter.com/actualidad2_0/status/1666484774351826945</v>
      </c>
      <c r="AF341" s="79">
        <v>45084.693356481483</v>
      </c>
      <c r="AG341" s="85">
        <v>45084</v>
      </c>
      <c r="AH341" s="80" t="s">
        <v>10938</v>
      </c>
      <c r="AI341" s="77" t="b">
        <v>0</v>
      </c>
      <c r="AJ341" s="77"/>
      <c r="AK341" s="77"/>
      <c r="AL341" s="77"/>
      <c r="AM341" s="77"/>
      <c r="AN341" s="77"/>
      <c r="AO341" s="77"/>
      <c r="AP341" s="77"/>
      <c r="AQ341" s="77" t="s">
        <v>14630</v>
      </c>
      <c r="AR341" s="77"/>
      <c r="AS341" s="77"/>
      <c r="AT341" s="77"/>
      <c r="AU341" s="77"/>
      <c r="AV341" s="83" t="str">
        <f>HYPERLINK("https://pbs.twimg.com/media/FyCKZb5WYBInQBx.jpg")</f>
        <v>https://pbs.twimg.com/media/FyCKZb5WYBInQBx.jpg</v>
      </c>
      <c r="AW341" s="80" t="s">
        <v>16324</v>
      </c>
      <c r="AX341" s="80" t="s">
        <v>16324</v>
      </c>
      <c r="AY341" s="77"/>
      <c r="AZ341" s="80" t="s">
        <v>20380</v>
      </c>
      <c r="BA341" s="80" t="s">
        <v>20380</v>
      </c>
      <c r="BB341" s="80" t="s">
        <v>20380</v>
      </c>
      <c r="BC341" s="80" t="s">
        <v>16324</v>
      </c>
      <c r="BD341" s="80" t="s">
        <v>20232</v>
      </c>
      <c r="BE341" s="77"/>
      <c r="BF341" s="77"/>
      <c r="BG341" s="77"/>
      <c r="BH341" s="77"/>
      <c r="BI341" s="77"/>
    </row>
    <row r="342" spans="1:61" x14ac:dyDescent="0.25">
      <c r="A342" s="62" t="s">
        <v>375</v>
      </c>
      <c r="B342" s="62" t="s">
        <v>375</v>
      </c>
      <c r="C342" s="63"/>
      <c r="D342" s="64"/>
      <c r="E342" s="65"/>
      <c r="F342" s="66"/>
      <c r="G342" s="63"/>
      <c r="H342" s="67"/>
      <c r="I342" s="68"/>
      <c r="J342" s="68"/>
      <c r="K342" s="32"/>
      <c r="L342" s="75">
        <v>342</v>
      </c>
      <c r="M342" s="75"/>
      <c r="N342" s="70"/>
      <c r="O342" s="77" t="s">
        <v>2078</v>
      </c>
      <c r="P342" s="79">
        <v>45084.699583333335</v>
      </c>
      <c r="Q342" s="77" t="s">
        <v>2380</v>
      </c>
      <c r="R342" s="77">
        <v>0</v>
      </c>
      <c r="S342" s="77">
        <v>0</v>
      </c>
      <c r="T342" s="77">
        <v>0</v>
      </c>
      <c r="U342" s="77">
        <v>0</v>
      </c>
      <c r="V342" s="77">
        <v>43</v>
      </c>
      <c r="W342" s="80" t="s">
        <v>6146</v>
      </c>
      <c r="X342" s="77"/>
      <c r="Y342" s="77"/>
      <c r="Z342" s="77"/>
      <c r="AA342" s="77"/>
      <c r="AB342" s="77"/>
      <c r="AC342" s="80" t="s">
        <v>10541</v>
      </c>
      <c r="AD342" s="77" t="s">
        <v>10620</v>
      </c>
      <c r="AE342" s="83" t="str">
        <f>HYPERLINK("https://twitter.com/actualidad2_0/status/1666487031017492480")</f>
        <v>https://twitter.com/actualidad2_0/status/1666487031017492480</v>
      </c>
      <c r="AF342" s="79">
        <v>45084.699583333335</v>
      </c>
      <c r="AG342" s="85">
        <v>45084</v>
      </c>
      <c r="AH342" s="80" t="s">
        <v>10939</v>
      </c>
      <c r="AI342" s="77"/>
      <c r="AJ342" s="77"/>
      <c r="AK342" s="77"/>
      <c r="AL342" s="77"/>
      <c r="AM342" s="77"/>
      <c r="AN342" s="77"/>
      <c r="AO342" s="77"/>
      <c r="AP342" s="77"/>
      <c r="AQ342" s="77"/>
      <c r="AR342" s="77"/>
      <c r="AS342" s="77"/>
      <c r="AT342" s="77"/>
      <c r="AU342" s="77"/>
      <c r="AV342" s="83" t="str">
        <f>HYPERLINK("https://pbs.twimg.com/profile_images/1499055108591599618/CML5zsA6_normal.jpg")</f>
        <v>https://pbs.twimg.com/profile_images/1499055108591599618/CML5zsA6_normal.jpg</v>
      </c>
      <c r="AW342" s="80" t="s">
        <v>16325</v>
      </c>
      <c r="AX342" s="80" t="s">
        <v>16324</v>
      </c>
      <c r="AY342" s="80" t="s">
        <v>20232</v>
      </c>
      <c r="AZ342" s="80" t="s">
        <v>16324</v>
      </c>
      <c r="BA342" s="80" t="s">
        <v>20380</v>
      </c>
      <c r="BB342" s="80" t="s">
        <v>20380</v>
      </c>
      <c r="BC342" s="80" t="s">
        <v>16324</v>
      </c>
      <c r="BD342" s="80" t="s">
        <v>20232</v>
      </c>
      <c r="BE342" s="77"/>
      <c r="BF342" s="77"/>
      <c r="BG342" s="77"/>
      <c r="BH342" s="77"/>
      <c r="BI342" s="77"/>
    </row>
    <row r="343" spans="1:61" x14ac:dyDescent="0.25">
      <c r="A343" s="62" t="s">
        <v>375</v>
      </c>
      <c r="B343" s="62" t="s">
        <v>375</v>
      </c>
      <c r="C343" s="63"/>
      <c r="D343" s="64"/>
      <c r="E343" s="65"/>
      <c r="F343" s="66"/>
      <c r="G343" s="63"/>
      <c r="H343" s="67"/>
      <c r="I343" s="68"/>
      <c r="J343" s="68"/>
      <c r="K343" s="32"/>
      <c r="L343" s="75">
        <v>343</v>
      </c>
      <c r="M343" s="75"/>
      <c r="N343" s="70"/>
      <c r="O343" s="77" t="s">
        <v>2081</v>
      </c>
      <c r="P343" s="79">
        <v>45084.693356481483</v>
      </c>
      <c r="Q343" s="77" t="s">
        <v>2379</v>
      </c>
      <c r="R343" s="77">
        <v>0</v>
      </c>
      <c r="S343" s="77">
        <v>0</v>
      </c>
      <c r="T343" s="77">
        <v>1</v>
      </c>
      <c r="U343" s="77">
        <v>0</v>
      </c>
      <c r="V343" s="77">
        <v>94</v>
      </c>
      <c r="W343" s="80" t="s">
        <v>6145</v>
      </c>
      <c r="X343" s="77"/>
      <c r="Y343" s="77"/>
      <c r="Z343" s="77" t="s">
        <v>8914</v>
      </c>
      <c r="AA343" s="77" t="s">
        <v>9148</v>
      </c>
      <c r="AB343" s="77" t="s">
        <v>10535</v>
      </c>
      <c r="AC343" s="80" t="s">
        <v>10541</v>
      </c>
      <c r="AD343" s="77" t="s">
        <v>10620</v>
      </c>
      <c r="AE343" s="83" t="str">
        <f>HYPERLINK("https://twitter.com/actualidad2_0/status/1666484774351826945")</f>
        <v>https://twitter.com/actualidad2_0/status/1666484774351826945</v>
      </c>
      <c r="AF343" s="79">
        <v>45084.693356481483</v>
      </c>
      <c r="AG343" s="85">
        <v>45084</v>
      </c>
      <c r="AH343" s="80" t="s">
        <v>10938</v>
      </c>
      <c r="AI343" s="77" t="b">
        <v>0</v>
      </c>
      <c r="AJ343" s="77"/>
      <c r="AK343" s="77"/>
      <c r="AL343" s="77"/>
      <c r="AM343" s="77"/>
      <c r="AN343" s="77"/>
      <c r="AO343" s="77"/>
      <c r="AP343" s="77"/>
      <c r="AQ343" s="77" t="s">
        <v>14630</v>
      </c>
      <c r="AR343" s="77"/>
      <c r="AS343" s="77"/>
      <c r="AT343" s="77"/>
      <c r="AU343" s="77"/>
      <c r="AV343" s="83" t="str">
        <f>HYPERLINK("https://pbs.twimg.com/media/FyCKZb5WYBInQBx.jpg")</f>
        <v>https://pbs.twimg.com/media/FyCKZb5WYBInQBx.jpg</v>
      </c>
      <c r="AW343" s="80" t="s">
        <v>16324</v>
      </c>
      <c r="AX343" s="80" t="s">
        <v>16324</v>
      </c>
      <c r="AY343" s="77"/>
      <c r="AZ343" s="80" t="s">
        <v>20380</v>
      </c>
      <c r="BA343" s="80" t="s">
        <v>20380</v>
      </c>
      <c r="BB343" s="80" t="s">
        <v>20380</v>
      </c>
      <c r="BC343" s="80" t="s">
        <v>16324</v>
      </c>
      <c r="BD343" s="80" t="s">
        <v>20232</v>
      </c>
      <c r="BE343" s="77"/>
      <c r="BF343" s="77"/>
      <c r="BG343" s="77"/>
      <c r="BH343" s="77"/>
      <c r="BI343" s="77"/>
    </row>
    <row r="344" spans="1:61" x14ac:dyDescent="0.25">
      <c r="A344" s="62" t="s">
        <v>376</v>
      </c>
      <c r="B344" s="62" t="s">
        <v>376</v>
      </c>
      <c r="C344" s="63"/>
      <c r="D344" s="64"/>
      <c r="E344" s="65"/>
      <c r="F344" s="66"/>
      <c r="G344" s="63"/>
      <c r="H344" s="67"/>
      <c r="I344" s="68"/>
      <c r="J344" s="68"/>
      <c r="K344" s="32"/>
      <c r="L344" s="75">
        <v>344</v>
      </c>
      <c r="M344" s="75"/>
      <c r="N344" s="70"/>
      <c r="O344" s="77" t="s">
        <v>179</v>
      </c>
      <c r="P344" s="79">
        <v>45124.818356481483</v>
      </c>
      <c r="Q344" s="77" t="s">
        <v>2381</v>
      </c>
      <c r="R344" s="77">
        <v>0</v>
      </c>
      <c r="S344" s="77">
        <v>0</v>
      </c>
      <c r="T344" s="77">
        <v>0</v>
      </c>
      <c r="U344" s="77">
        <v>0</v>
      </c>
      <c r="V344" s="77">
        <v>12</v>
      </c>
      <c r="W344" s="80" t="s">
        <v>6147</v>
      </c>
      <c r="X344" s="83" t="str">
        <f>HYPERLINK("https://direitaonline.com.br/previa-do-pib-haddad-banco-central/")</f>
        <v>https://direitaonline.com.br/previa-do-pib-haddad-banco-central/</v>
      </c>
      <c r="Y344" s="77" t="s">
        <v>8611</v>
      </c>
      <c r="Z344" s="77"/>
      <c r="AA344" s="77"/>
      <c r="AB344" s="77"/>
      <c r="AC344" s="80" t="s">
        <v>10541</v>
      </c>
      <c r="AD344" s="77" t="s">
        <v>10617</v>
      </c>
      <c r="AE344" s="83" t="str">
        <f>HYPERLINK("https://twitter.com/contadorfred/status/1681025588809682946")</f>
        <v>https://twitter.com/contadorfred/status/1681025588809682946</v>
      </c>
      <c r="AF344" s="79">
        <v>45124.818356481483</v>
      </c>
      <c r="AG344" s="85">
        <v>45124</v>
      </c>
      <c r="AH344" s="80" t="s">
        <v>10940</v>
      </c>
      <c r="AI344" s="77" t="b">
        <v>0</v>
      </c>
      <c r="AJ344" s="77"/>
      <c r="AK344" s="77"/>
      <c r="AL344" s="77"/>
      <c r="AM344" s="77"/>
      <c r="AN344" s="77"/>
      <c r="AO344" s="77"/>
      <c r="AP344" s="77"/>
      <c r="AQ344" s="77"/>
      <c r="AR344" s="77"/>
      <c r="AS344" s="77"/>
      <c r="AT344" s="77"/>
      <c r="AU344" s="77"/>
      <c r="AV344" s="83" t="str">
        <f>HYPERLINK("https://pbs.twimg.com/profile_images/1695096176889020416/siqthmmn_normal.jpg")</f>
        <v>https://pbs.twimg.com/profile_images/1695096176889020416/siqthmmn_normal.jpg</v>
      </c>
      <c r="AW344" s="80" t="s">
        <v>16326</v>
      </c>
      <c r="AX344" s="80" t="s">
        <v>16326</v>
      </c>
      <c r="AY344" s="77"/>
      <c r="AZ344" s="80" t="s">
        <v>20380</v>
      </c>
      <c r="BA344" s="80" t="s">
        <v>20380</v>
      </c>
      <c r="BB344" s="80" t="s">
        <v>20380</v>
      </c>
      <c r="BC344" s="80" t="s">
        <v>16326</v>
      </c>
      <c r="BD344" s="77">
        <v>1707652002</v>
      </c>
      <c r="BE344" s="77"/>
      <c r="BF344" s="77"/>
      <c r="BG344" s="77"/>
      <c r="BH344" s="77"/>
      <c r="BI344" s="77"/>
    </row>
    <row r="345" spans="1:61" x14ac:dyDescent="0.25">
      <c r="A345" s="62" t="s">
        <v>377</v>
      </c>
      <c r="B345" s="62" t="s">
        <v>377</v>
      </c>
      <c r="C345" s="63"/>
      <c r="D345" s="64"/>
      <c r="E345" s="65"/>
      <c r="F345" s="66"/>
      <c r="G345" s="63"/>
      <c r="H345" s="67"/>
      <c r="I345" s="68"/>
      <c r="J345" s="68"/>
      <c r="K345" s="32"/>
      <c r="L345" s="75">
        <v>345</v>
      </c>
      <c r="M345" s="75"/>
      <c r="N345" s="70"/>
      <c r="O345" s="77" t="s">
        <v>179</v>
      </c>
      <c r="P345" s="79">
        <v>45054.731585648151</v>
      </c>
      <c r="Q345" s="77" t="s">
        <v>2382</v>
      </c>
      <c r="R345" s="77">
        <v>0</v>
      </c>
      <c r="S345" s="77">
        <v>0</v>
      </c>
      <c r="T345" s="77">
        <v>0</v>
      </c>
      <c r="U345" s="77">
        <v>0</v>
      </c>
      <c r="V345" s="77">
        <v>54</v>
      </c>
      <c r="W345" s="80" t="s">
        <v>6148</v>
      </c>
      <c r="X345" s="77"/>
      <c r="Y345" s="77"/>
      <c r="Z345" s="77"/>
      <c r="AA345" s="77"/>
      <c r="AB345" s="77"/>
      <c r="AC345" s="80" t="s">
        <v>10540</v>
      </c>
      <c r="AD345" s="77" t="s">
        <v>10617</v>
      </c>
      <c r="AE345" s="83" t="str">
        <f>HYPERLINK("https://twitter.com/destaquesqi/status/1655626990504882202")</f>
        <v>https://twitter.com/destaquesqi/status/1655626990504882202</v>
      </c>
      <c r="AF345" s="79">
        <v>45054.731585648151</v>
      </c>
      <c r="AG345" s="85">
        <v>45054</v>
      </c>
      <c r="AH345" s="80" t="s">
        <v>10941</v>
      </c>
      <c r="AI345" s="77"/>
      <c r="AJ345" s="77"/>
      <c r="AK345" s="77"/>
      <c r="AL345" s="77"/>
      <c r="AM345" s="77"/>
      <c r="AN345" s="77"/>
      <c r="AO345" s="77"/>
      <c r="AP345" s="77"/>
      <c r="AQ345" s="77"/>
      <c r="AR345" s="77"/>
      <c r="AS345" s="77"/>
      <c r="AT345" s="77"/>
      <c r="AU345" s="77"/>
      <c r="AV345" s="83" t="str">
        <f>HYPERLINK("https://pbs.twimg.com/profile_images/1598073300034486274/_xgFA5ZR_normal.jpg")</f>
        <v>https://pbs.twimg.com/profile_images/1598073300034486274/_xgFA5ZR_normal.jpg</v>
      </c>
      <c r="AW345" s="80" t="s">
        <v>16327</v>
      </c>
      <c r="AX345" s="80" t="s">
        <v>16327</v>
      </c>
      <c r="AY345" s="77"/>
      <c r="AZ345" s="80" t="s">
        <v>20380</v>
      </c>
      <c r="BA345" s="80" t="s">
        <v>20380</v>
      </c>
      <c r="BB345" s="80" t="s">
        <v>20380</v>
      </c>
      <c r="BC345" s="80" t="s">
        <v>16327</v>
      </c>
      <c r="BD345" s="80" t="s">
        <v>20573</v>
      </c>
      <c r="BE345" s="77"/>
      <c r="BF345" s="77"/>
      <c r="BG345" s="77"/>
      <c r="BH345" s="77"/>
      <c r="BI345" s="77"/>
    </row>
    <row r="346" spans="1:61" x14ac:dyDescent="0.25">
      <c r="A346" s="62" t="s">
        <v>378</v>
      </c>
      <c r="B346" s="62" t="s">
        <v>985</v>
      </c>
      <c r="C346" s="63"/>
      <c r="D346" s="64"/>
      <c r="E346" s="65"/>
      <c r="F346" s="66"/>
      <c r="G346" s="63"/>
      <c r="H346" s="67"/>
      <c r="I346" s="68"/>
      <c r="J346" s="68"/>
      <c r="K346" s="32"/>
      <c r="L346" s="75">
        <v>346</v>
      </c>
      <c r="M346" s="75"/>
      <c r="N346" s="70"/>
      <c r="O346" s="77" t="s">
        <v>2082</v>
      </c>
      <c r="P346" s="79">
        <v>45071.936111111114</v>
      </c>
      <c r="Q346" s="77" t="s">
        <v>2383</v>
      </c>
      <c r="R346" s="77">
        <v>0</v>
      </c>
      <c r="S346" s="77">
        <v>0</v>
      </c>
      <c r="T346" s="77">
        <v>0</v>
      </c>
      <c r="U346" s="77">
        <v>0</v>
      </c>
      <c r="V346" s="77">
        <v>200</v>
      </c>
      <c r="W346" s="80" t="s">
        <v>6149</v>
      </c>
      <c r="X346" s="77"/>
      <c r="Y346" s="77"/>
      <c r="Z346" s="77"/>
      <c r="AA346" s="77"/>
      <c r="AB346" s="77"/>
      <c r="AC346" s="80" t="s">
        <v>10541</v>
      </c>
      <c r="AD346" s="77" t="s">
        <v>10620</v>
      </c>
      <c r="AE346" s="83" t="str">
        <f>HYPERLINK("https://twitter.com/mellamonicolas/status/1661861701653008384")</f>
        <v>https://twitter.com/mellamonicolas/status/1661861701653008384</v>
      </c>
      <c r="AF346" s="79">
        <v>45071.936111111114</v>
      </c>
      <c r="AG346" s="85">
        <v>45071</v>
      </c>
      <c r="AH346" s="80" t="s">
        <v>10942</v>
      </c>
      <c r="AI346" s="77"/>
      <c r="AJ346" s="77"/>
      <c r="AK346" s="77"/>
      <c r="AL346" s="77"/>
      <c r="AM346" s="77"/>
      <c r="AN346" s="77"/>
      <c r="AO346" s="77"/>
      <c r="AP346" s="77"/>
      <c r="AQ346" s="77"/>
      <c r="AR346" s="77"/>
      <c r="AS346" s="77"/>
      <c r="AT346" s="77"/>
      <c r="AU346" s="77"/>
      <c r="AV346" s="83" t="str">
        <f>HYPERLINK("https://pbs.twimg.com/profile_images/1498786622913093632/c51iNztD_normal.jpg")</f>
        <v>https://pbs.twimg.com/profile_images/1498786622913093632/c51iNztD_normal.jpg</v>
      </c>
      <c r="AW346" s="80" t="s">
        <v>16328</v>
      </c>
      <c r="AX346" s="80" t="s">
        <v>16328</v>
      </c>
      <c r="AY346" s="77"/>
      <c r="AZ346" s="80" t="s">
        <v>20380</v>
      </c>
      <c r="BA346" s="80" t="s">
        <v>18193</v>
      </c>
      <c r="BB346" s="80" t="s">
        <v>20380</v>
      </c>
      <c r="BC346" s="80" t="s">
        <v>18193</v>
      </c>
      <c r="BD346" s="77">
        <v>456677700</v>
      </c>
      <c r="BE346" s="77"/>
      <c r="BF346" s="77"/>
      <c r="BG346" s="77"/>
      <c r="BH346" s="77"/>
      <c r="BI346" s="77"/>
    </row>
    <row r="347" spans="1:61" x14ac:dyDescent="0.25">
      <c r="A347" s="62" t="s">
        <v>378</v>
      </c>
      <c r="B347" s="62" t="s">
        <v>1349</v>
      </c>
      <c r="C347" s="63"/>
      <c r="D347" s="64"/>
      <c r="E347" s="65"/>
      <c r="F347" s="66"/>
      <c r="G347" s="63"/>
      <c r="H347" s="67"/>
      <c r="I347" s="68"/>
      <c r="J347" s="68"/>
      <c r="K347" s="32"/>
      <c r="L347" s="75">
        <v>347</v>
      </c>
      <c r="M347" s="75"/>
      <c r="N347" s="70"/>
      <c r="O347" s="77" t="s">
        <v>2082</v>
      </c>
      <c r="P347" s="79">
        <v>45125.688344907408</v>
      </c>
      <c r="Q347" s="77" t="s">
        <v>2384</v>
      </c>
      <c r="R347" s="77">
        <v>0</v>
      </c>
      <c r="S347" s="77">
        <v>0</v>
      </c>
      <c r="T347" s="77">
        <v>0</v>
      </c>
      <c r="U347" s="77">
        <v>0</v>
      </c>
      <c r="V347" s="77">
        <v>203</v>
      </c>
      <c r="W347" s="80" t="s">
        <v>6150</v>
      </c>
      <c r="X347" s="77"/>
      <c r="Y347" s="77"/>
      <c r="Z347" s="77"/>
      <c r="AA347" s="77"/>
      <c r="AB347" s="77"/>
      <c r="AC347" s="80" t="s">
        <v>10541</v>
      </c>
      <c r="AD347" s="77" t="s">
        <v>10620</v>
      </c>
      <c r="AE347" s="83" t="str">
        <f>HYPERLINK("https://twitter.com/mellamonicolas/status/1681340858166128641")</f>
        <v>https://twitter.com/mellamonicolas/status/1681340858166128641</v>
      </c>
      <c r="AF347" s="79">
        <v>45125.688344907408</v>
      </c>
      <c r="AG347" s="85">
        <v>45125</v>
      </c>
      <c r="AH347" s="80" t="s">
        <v>10943</v>
      </c>
      <c r="AI347" s="77"/>
      <c r="AJ347" s="77"/>
      <c r="AK347" s="77"/>
      <c r="AL347" s="77"/>
      <c r="AM347" s="77"/>
      <c r="AN347" s="77"/>
      <c r="AO347" s="77"/>
      <c r="AP347" s="77"/>
      <c r="AQ347" s="77"/>
      <c r="AR347" s="77"/>
      <c r="AS347" s="77"/>
      <c r="AT347" s="77"/>
      <c r="AU347" s="77"/>
      <c r="AV347" s="83" t="str">
        <f>HYPERLINK("https://pbs.twimg.com/profile_images/1498786622913093632/c51iNztD_normal.jpg")</f>
        <v>https://pbs.twimg.com/profile_images/1498786622913093632/c51iNztD_normal.jpg</v>
      </c>
      <c r="AW347" s="80" t="s">
        <v>16329</v>
      </c>
      <c r="AX347" s="80" t="s">
        <v>16329</v>
      </c>
      <c r="AY347" s="77"/>
      <c r="AZ347" s="80" t="s">
        <v>20380</v>
      </c>
      <c r="BA347" s="80" t="s">
        <v>19136</v>
      </c>
      <c r="BB347" s="80" t="s">
        <v>20380</v>
      </c>
      <c r="BC347" s="80" t="s">
        <v>19136</v>
      </c>
      <c r="BD347" s="77">
        <v>456677700</v>
      </c>
      <c r="BE347" s="77"/>
      <c r="BF347" s="77"/>
      <c r="BG347" s="77"/>
      <c r="BH347" s="77"/>
      <c r="BI347" s="77"/>
    </row>
    <row r="348" spans="1:61" x14ac:dyDescent="0.25">
      <c r="A348" s="62" t="s">
        <v>379</v>
      </c>
      <c r="B348" s="62" t="s">
        <v>379</v>
      </c>
      <c r="C348" s="63"/>
      <c r="D348" s="64"/>
      <c r="E348" s="65"/>
      <c r="F348" s="66"/>
      <c r="G348" s="63"/>
      <c r="H348" s="67"/>
      <c r="I348" s="68"/>
      <c r="J348" s="68"/>
      <c r="K348" s="32"/>
      <c r="L348" s="75">
        <v>348</v>
      </c>
      <c r="M348" s="75"/>
      <c r="N348" s="70"/>
      <c r="O348" s="77" t="s">
        <v>179</v>
      </c>
      <c r="P348" s="79">
        <v>45107.735381944447</v>
      </c>
      <c r="Q348" s="77" t="s">
        <v>2385</v>
      </c>
      <c r="R348" s="77">
        <v>1</v>
      </c>
      <c r="S348" s="77">
        <v>1</v>
      </c>
      <c r="T348" s="77">
        <v>0</v>
      </c>
      <c r="U348" s="77">
        <v>1</v>
      </c>
      <c r="V348" s="77">
        <v>448</v>
      </c>
      <c r="W348" s="80" t="s">
        <v>6151</v>
      </c>
      <c r="X348" s="83" t="str">
        <f>HYPERLINK("https://red92.com/noticias/el-central-habilito-la-apertura-de-cuentas-bancarias-en-yuanes-69969")</f>
        <v>https://red92.com/noticias/el-central-habilito-la-apertura-de-cuentas-bancarias-en-yuanes-69969</v>
      </c>
      <c r="Y348" s="77" t="s">
        <v>8655</v>
      </c>
      <c r="Z348" s="77"/>
      <c r="AA348" s="77"/>
      <c r="AB348" s="77"/>
      <c r="AC348" s="80" t="s">
        <v>10541</v>
      </c>
      <c r="AD348" s="77" t="s">
        <v>10620</v>
      </c>
      <c r="AE348" s="83" t="str">
        <f>HYPERLINK("https://twitter.com/red92cadadiamas/status/1674834922568024080")</f>
        <v>https://twitter.com/red92cadadiamas/status/1674834922568024080</v>
      </c>
      <c r="AF348" s="79">
        <v>45107.735381944447</v>
      </c>
      <c r="AG348" s="85">
        <v>45107</v>
      </c>
      <c r="AH348" s="80" t="s">
        <v>10944</v>
      </c>
      <c r="AI348" s="77" t="b">
        <v>0</v>
      </c>
      <c r="AJ348" s="77"/>
      <c r="AK348" s="77"/>
      <c r="AL348" s="77"/>
      <c r="AM348" s="77"/>
      <c r="AN348" s="77"/>
      <c r="AO348" s="77"/>
      <c r="AP348" s="77"/>
      <c r="AQ348" s="77"/>
      <c r="AR348" s="77"/>
      <c r="AS348" s="77"/>
      <c r="AT348" s="77"/>
      <c r="AU348" s="77"/>
      <c r="AV348" s="83" t="str">
        <f>HYPERLINK("https://pbs.twimg.com/profile_images/1663651183410511876/nxMLXQx3_normal.jpg")</f>
        <v>https://pbs.twimg.com/profile_images/1663651183410511876/nxMLXQx3_normal.jpg</v>
      </c>
      <c r="AW348" s="80" t="s">
        <v>16330</v>
      </c>
      <c r="AX348" s="80" t="s">
        <v>16330</v>
      </c>
      <c r="AY348" s="77"/>
      <c r="AZ348" s="80" t="s">
        <v>20380</v>
      </c>
      <c r="BA348" s="80" t="s">
        <v>20380</v>
      </c>
      <c r="BB348" s="80" t="s">
        <v>20380</v>
      </c>
      <c r="BC348" s="80" t="s">
        <v>16330</v>
      </c>
      <c r="BD348" s="77">
        <v>300405680</v>
      </c>
      <c r="BE348" s="77"/>
      <c r="BF348" s="77"/>
      <c r="BG348" s="77"/>
      <c r="BH348" s="77"/>
      <c r="BI348" s="77"/>
    </row>
    <row r="349" spans="1:61" x14ac:dyDescent="0.25">
      <c r="A349" s="62" t="s">
        <v>379</v>
      </c>
      <c r="B349" s="62" t="s">
        <v>379</v>
      </c>
      <c r="C349" s="63"/>
      <c r="D349" s="64"/>
      <c r="E349" s="65"/>
      <c r="F349" s="66"/>
      <c r="G349" s="63"/>
      <c r="H349" s="67"/>
      <c r="I349" s="68"/>
      <c r="J349" s="68"/>
      <c r="K349" s="32"/>
      <c r="L349" s="75">
        <v>349</v>
      </c>
      <c r="M349" s="75"/>
      <c r="N349" s="70"/>
      <c r="O349" s="77" t="s">
        <v>179</v>
      </c>
      <c r="P349" s="79">
        <v>45065.130844907406</v>
      </c>
      <c r="Q349" s="77" t="s">
        <v>2386</v>
      </c>
      <c r="R349" s="77">
        <v>0</v>
      </c>
      <c r="S349" s="77">
        <v>0</v>
      </c>
      <c r="T349" s="77">
        <v>0</v>
      </c>
      <c r="U349" s="77">
        <v>0</v>
      </c>
      <c r="V349" s="77">
        <v>653</v>
      </c>
      <c r="W349" s="80" t="s">
        <v>6152</v>
      </c>
      <c r="X349" s="83" t="str">
        <f>HYPERLINK("https://red92.com/noticias/los-comercios-que-tengan-pago-con-qr-tendran-que-aceptar-billeteras-digitales-68354")</f>
        <v>https://red92.com/noticias/los-comercios-que-tengan-pago-con-qr-tendran-que-aceptar-billeteras-digitales-68354</v>
      </c>
      <c r="Y349" s="77" t="s">
        <v>8655</v>
      </c>
      <c r="Z349" s="77"/>
      <c r="AA349" s="77"/>
      <c r="AB349" s="77"/>
      <c r="AC349" s="80" t="s">
        <v>10541</v>
      </c>
      <c r="AD349" s="77" t="s">
        <v>10620</v>
      </c>
      <c r="AE349" s="83" t="str">
        <f>HYPERLINK("https://twitter.com/red92cadadiamas/status/1659395557738045444")</f>
        <v>https://twitter.com/red92cadadiamas/status/1659395557738045444</v>
      </c>
      <c r="AF349" s="79">
        <v>45065.130844907406</v>
      </c>
      <c r="AG349" s="85">
        <v>45065</v>
      </c>
      <c r="AH349" s="80" t="s">
        <v>10945</v>
      </c>
      <c r="AI349" s="77" t="b">
        <v>0</v>
      </c>
      <c r="AJ349" s="77"/>
      <c r="AK349" s="77"/>
      <c r="AL349" s="77"/>
      <c r="AM349" s="77"/>
      <c r="AN349" s="77"/>
      <c r="AO349" s="77"/>
      <c r="AP349" s="77"/>
      <c r="AQ349" s="77"/>
      <c r="AR349" s="77"/>
      <c r="AS349" s="77"/>
      <c r="AT349" s="77"/>
      <c r="AU349" s="77"/>
      <c r="AV349" s="83" t="str">
        <f>HYPERLINK("https://pbs.twimg.com/profile_images/1663651183410511876/nxMLXQx3_normal.jpg")</f>
        <v>https://pbs.twimg.com/profile_images/1663651183410511876/nxMLXQx3_normal.jpg</v>
      </c>
      <c r="AW349" s="80" t="s">
        <v>16331</v>
      </c>
      <c r="AX349" s="80" t="s">
        <v>16331</v>
      </c>
      <c r="AY349" s="77"/>
      <c r="AZ349" s="80" t="s">
        <v>20380</v>
      </c>
      <c r="BA349" s="80" t="s">
        <v>20380</v>
      </c>
      <c r="BB349" s="80" t="s">
        <v>20380</v>
      </c>
      <c r="BC349" s="80" t="s">
        <v>16331</v>
      </c>
      <c r="BD349" s="77">
        <v>300405680</v>
      </c>
      <c r="BE349" s="77"/>
      <c r="BF349" s="77"/>
      <c r="BG349" s="77"/>
      <c r="BH349" s="77"/>
      <c r="BI349" s="77"/>
    </row>
    <row r="350" spans="1:61" x14ac:dyDescent="0.25">
      <c r="A350" s="62" t="s">
        <v>379</v>
      </c>
      <c r="B350" s="62" t="s">
        <v>379</v>
      </c>
      <c r="C350" s="63"/>
      <c r="D350" s="64"/>
      <c r="E350" s="65"/>
      <c r="F350" s="66"/>
      <c r="G350" s="63"/>
      <c r="H350" s="67"/>
      <c r="I350" s="68"/>
      <c r="J350" s="68"/>
      <c r="K350" s="32"/>
      <c r="L350" s="75">
        <v>350</v>
      </c>
      <c r="M350" s="75"/>
      <c r="N350" s="70"/>
      <c r="O350" s="77" t="s">
        <v>179</v>
      </c>
      <c r="P350" s="79">
        <v>45062.135844907411</v>
      </c>
      <c r="Q350" s="77" t="s">
        <v>2387</v>
      </c>
      <c r="R350" s="77">
        <v>0</v>
      </c>
      <c r="S350" s="77">
        <v>0</v>
      </c>
      <c r="T350" s="77">
        <v>0</v>
      </c>
      <c r="U350" s="77">
        <v>0</v>
      </c>
      <c r="V350" s="77">
        <v>824</v>
      </c>
      <c r="W350" s="80" t="s">
        <v>6153</v>
      </c>
      <c r="X350" s="83" t="str">
        <f>HYPERLINK("https://red92.com/noticias/suben-la-tasa-de-interes-para-plazos-fijos-al-97-anual-68214")</f>
        <v>https://red92.com/noticias/suben-la-tasa-de-interes-para-plazos-fijos-al-97-anual-68214</v>
      </c>
      <c r="Y350" s="77" t="s">
        <v>8655</v>
      </c>
      <c r="Z350" s="77"/>
      <c r="AA350" s="77"/>
      <c r="AB350" s="77"/>
      <c r="AC350" s="80" t="s">
        <v>10541</v>
      </c>
      <c r="AD350" s="77" t="s">
        <v>10620</v>
      </c>
      <c r="AE350" s="83" t="str">
        <f>HYPERLINK("https://twitter.com/red92cadadiamas/status/1658310205296214018")</f>
        <v>https://twitter.com/red92cadadiamas/status/1658310205296214018</v>
      </c>
      <c r="AF350" s="79">
        <v>45062.135844907411</v>
      </c>
      <c r="AG350" s="85">
        <v>45062</v>
      </c>
      <c r="AH350" s="80" t="s">
        <v>10946</v>
      </c>
      <c r="AI350" s="77" t="b">
        <v>0</v>
      </c>
      <c r="AJ350" s="77"/>
      <c r="AK350" s="77"/>
      <c r="AL350" s="77"/>
      <c r="AM350" s="77"/>
      <c r="AN350" s="77"/>
      <c r="AO350" s="77"/>
      <c r="AP350" s="77"/>
      <c r="AQ350" s="77"/>
      <c r="AR350" s="77"/>
      <c r="AS350" s="77"/>
      <c r="AT350" s="77"/>
      <c r="AU350" s="77"/>
      <c r="AV350" s="83" t="str">
        <f>HYPERLINK("https://pbs.twimg.com/profile_images/1663651183410511876/nxMLXQx3_normal.jpg")</f>
        <v>https://pbs.twimg.com/profile_images/1663651183410511876/nxMLXQx3_normal.jpg</v>
      </c>
      <c r="AW350" s="80" t="s">
        <v>16332</v>
      </c>
      <c r="AX350" s="80" t="s">
        <v>16332</v>
      </c>
      <c r="AY350" s="77"/>
      <c r="AZ350" s="80" t="s">
        <v>20380</v>
      </c>
      <c r="BA350" s="80" t="s">
        <v>20380</v>
      </c>
      <c r="BB350" s="80" t="s">
        <v>20380</v>
      </c>
      <c r="BC350" s="80" t="s">
        <v>16332</v>
      </c>
      <c r="BD350" s="77">
        <v>300405680</v>
      </c>
      <c r="BE350" s="77"/>
      <c r="BF350" s="77"/>
      <c r="BG350" s="77"/>
      <c r="BH350" s="77"/>
      <c r="BI350" s="77"/>
    </row>
    <row r="351" spans="1:61" x14ac:dyDescent="0.25">
      <c r="A351" s="62" t="s">
        <v>379</v>
      </c>
      <c r="B351" s="62" t="s">
        <v>379</v>
      </c>
      <c r="C351" s="63"/>
      <c r="D351" s="64"/>
      <c r="E351" s="65"/>
      <c r="F351" s="66"/>
      <c r="G351" s="63"/>
      <c r="H351" s="67"/>
      <c r="I351" s="68"/>
      <c r="J351" s="68"/>
      <c r="K351" s="32"/>
      <c r="L351" s="75">
        <v>351</v>
      </c>
      <c r="M351" s="75"/>
      <c r="N351" s="70"/>
      <c r="O351" s="77" t="s">
        <v>179</v>
      </c>
      <c r="P351" s="79">
        <v>45189.001550925925</v>
      </c>
      <c r="Q351" s="77" t="s">
        <v>2388</v>
      </c>
      <c r="R351" s="77">
        <v>1</v>
      </c>
      <c r="S351" s="77">
        <v>4</v>
      </c>
      <c r="T351" s="77">
        <v>0</v>
      </c>
      <c r="U351" s="77">
        <v>0</v>
      </c>
      <c r="V351" s="77">
        <v>1889</v>
      </c>
      <c r="W351" s="80" t="s">
        <v>6154</v>
      </c>
      <c r="X351" s="77"/>
      <c r="Y351" s="77"/>
      <c r="Z351" s="77"/>
      <c r="AA351" s="77" t="s">
        <v>9149</v>
      </c>
      <c r="AB351" s="77" t="s">
        <v>10535</v>
      </c>
      <c r="AC351" s="80" t="s">
        <v>10541</v>
      </c>
      <c r="AD351" s="77" t="s">
        <v>10620</v>
      </c>
      <c r="AE351" s="83" t="str">
        <f>HYPERLINK("https://twitter.com/red92cadadiamas/status/1704284797508432057")</f>
        <v>https://twitter.com/red92cadadiamas/status/1704284797508432057</v>
      </c>
      <c r="AF351" s="79">
        <v>45189.001550925925</v>
      </c>
      <c r="AG351" s="85">
        <v>45189</v>
      </c>
      <c r="AH351" s="80" t="s">
        <v>10947</v>
      </c>
      <c r="AI351" s="77" t="b">
        <v>0</v>
      </c>
      <c r="AJ351" s="77"/>
      <c r="AK351" s="77"/>
      <c r="AL351" s="77"/>
      <c r="AM351" s="77"/>
      <c r="AN351" s="77"/>
      <c r="AO351" s="77"/>
      <c r="AP351" s="77"/>
      <c r="AQ351" s="77" t="s">
        <v>14631</v>
      </c>
      <c r="AR351" s="77"/>
      <c r="AS351" s="77"/>
      <c r="AT351" s="77"/>
      <c r="AU351" s="77"/>
      <c r="AV351" s="83" t="str">
        <f>HYPERLINK("https://pbs.twimg.com/media/F6bV_F3WwAAkZqa.jpg")</f>
        <v>https://pbs.twimg.com/media/F6bV_F3WwAAkZqa.jpg</v>
      </c>
      <c r="AW351" s="80" t="s">
        <v>16333</v>
      </c>
      <c r="AX351" s="80" t="s">
        <v>16333</v>
      </c>
      <c r="AY351" s="77"/>
      <c r="AZ351" s="80" t="s">
        <v>20380</v>
      </c>
      <c r="BA351" s="80" t="s">
        <v>20380</v>
      </c>
      <c r="BB351" s="80" t="s">
        <v>20380</v>
      </c>
      <c r="BC351" s="80" t="s">
        <v>16333</v>
      </c>
      <c r="BD351" s="77">
        <v>300405680</v>
      </c>
      <c r="BE351" s="77"/>
      <c r="BF351" s="77"/>
      <c r="BG351" s="77"/>
      <c r="BH351" s="77"/>
      <c r="BI351" s="77"/>
    </row>
    <row r="352" spans="1:61" x14ac:dyDescent="0.25">
      <c r="A352" s="62" t="s">
        <v>379</v>
      </c>
      <c r="B352" s="62" t="s">
        <v>379</v>
      </c>
      <c r="C352" s="63"/>
      <c r="D352" s="64"/>
      <c r="E352" s="65"/>
      <c r="F352" s="66"/>
      <c r="G352" s="63"/>
      <c r="H352" s="67"/>
      <c r="I352" s="68"/>
      <c r="J352" s="68"/>
      <c r="K352" s="32"/>
      <c r="L352" s="75">
        <v>352</v>
      </c>
      <c r="M352" s="75"/>
      <c r="N352" s="70"/>
      <c r="O352" s="77" t="s">
        <v>179</v>
      </c>
      <c r="P352" s="79">
        <v>45188.895254629628</v>
      </c>
      <c r="Q352" s="77" t="s">
        <v>2389</v>
      </c>
      <c r="R352" s="77">
        <v>0</v>
      </c>
      <c r="S352" s="77">
        <v>0</v>
      </c>
      <c r="T352" s="77">
        <v>0</v>
      </c>
      <c r="U352" s="77">
        <v>0</v>
      </c>
      <c r="V352" s="77">
        <v>613</v>
      </c>
      <c r="W352" s="80" t="s">
        <v>6155</v>
      </c>
      <c r="X352" s="83" t="str">
        <f>HYPERLINK("https://red92.com/noticias/el-banco-central-compro-us62-millones-y-sumo-26-jornadas-consecutivas-con-saldo-positivo-73281")</f>
        <v>https://red92.com/noticias/el-banco-central-compro-us62-millones-y-sumo-26-jornadas-consecutivas-con-saldo-positivo-73281</v>
      </c>
      <c r="Y352" s="77" t="s">
        <v>8655</v>
      </c>
      <c r="Z352" s="77"/>
      <c r="AA352" s="77"/>
      <c r="AB352" s="77"/>
      <c r="AC352" s="80" t="s">
        <v>10541</v>
      </c>
      <c r="AD352" s="77" t="s">
        <v>10620</v>
      </c>
      <c r="AE352" s="83" t="str">
        <f>HYPERLINK("https://twitter.com/red92cadadiamas/status/1704246277616120061")</f>
        <v>https://twitter.com/red92cadadiamas/status/1704246277616120061</v>
      </c>
      <c r="AF352" s="79">
        <v>45188.895254629628</v>
      </c>
      <c r="AG352" s="85">
        <v>45188</v>
      </c>
      <c r="AH352" s="80" t="s">
        <v>10948</v>
      </c>
      <c r="AI352" s="77" t="b">
        <v>0</v>
      </c>
      <c r="AJ352" s="77"/>
      <c r="AK352" s="77"/>
      <c r="AL352" s="77"/>
      <c r="AM352" s="77"/>
      <c r="AN352" s="77"/>
      <c r="AO352" s="77"/>
      <c r="AP352" s="77"/>
      <c r="AQ352" s="77"/>
      <c r="AR352" s="77"/>
      <c r="AS352" s="77"/>
      <c r="AT352" s="77"/>
      <c r="AU352" s="77"/>
      <c r="AV352" s="83" t="str">
        <f>HYPERLINK("https://pbs.twimg.com/profile_images/1663651183410511876/nxMLXQx3_normal.jpg")</f>
        <v>https://pbs.twimg.com/profile_images/1663651183410511876/nxMLXQx3_normal.jpg</v>
      </c>
      <c r="AW352" s="80" t="s">
        <v>16334</v>
      </c>
      <c r="AX352" s="80" t="s">
        <v>16334</v>
      </c>
      <c r="AY352" s="77"/>
      <c r="AZ352" s="80" t="s">
        <v>20380</v>
      </c>
      <c r="BA352" s="80" t="s">
        <v>20380</v>
      </c>
      <c r="BB352" s="80" t="s">
        <v>20380</v>
      </c>
      <c r="BC352" s="80" t="s">
        <v>16334</v>
      </c>
      <c r="BD352" s="77">
        <v>300405680</v>
      </c>
      <c r="BE352" s="77"/>
      <c r="BF352" s="77"/>
      <c r="BG352" s="77"/>
      <c r="BH352" s="77"/>
      <c r="BI352" s="77"/>
    </row>
    <row r="353" spans="1:61" x14ac:dyDescent="0.25">
      <c r="A353" s="62" t="s">
        <v>380</v>
      </c>
      <c r="B353" s="62" t="s">
        <v>380</v>
      </c>
      <c r="C353" s="63"/>
      <c r="D353" s="64"/>
      <c r="E353" s="65"/>
      <c r="F353" s="66"/>
      <c r="G353" s="63"/>
      <c r="H353" s="67"/>
      <c r="I353" s="68"/>
      <c r="J353" s="68"/>
      <c r="K353" s="32"/>
      <c r="L353" s="75">
        <v>353</v>
      </c>
      <c r="M353" s="75"/>
      <c r="N353" s="70"/>
      <c r="O353" s="77" t="s">
        <v>2081</v>
      </c>
      <c r="P353" s="79">
        <v>45145.121712962966</v>
      </c>
      <c r="Q353" s="77" t="s">
        <v>2390</v>
      </c>
      <c r="R353" s="77">
        <v>0</v>
      </c>
      <c r="S353" s="77">
        <v>0</v>
      </c>
      <c r="T353" s="77">
        <v>0</v>
      </c>
      <c r="U353" s="77">
        <v>0</v>
      </c>
      <c r="V353" s="77">
        <v>25</v>
      </c>
      <c r="W353" s="80" t="s">
        <v>6156</v>
      </c>
      <c r="X353" s="83" t="str">
        <f>HYPERLINK("https://esquinard.com/bc-informa-que-la-inflacion-interanual-baja-a-3-95-en-julio/")</f>
        <v>https://esquinard.com/bc-informa-que-la-inflacion-interanual-baja-a-3-95-en-julio/</v>
      </c>
      <c r="Y353" s="77" t="s">
        <v>8656</v>
      </c>
      <c r="Z353" s="77" t="s">
        <v>380</v>
      </c>
      <c r="AA353" s="77"/>
      <c r="AB353" s="77"/>
      <c r="AC353" s="80" t="s">
        <v>10541</v>
      </c>
      <c r="AD353" s="77" t="s">
        <v>10620</v>
      </c>
      <c r="AE353" s="83" t="str">
        <f>HYPERLINK("https://twitter.com/esquinard/status/1688383275486576641")</f>
        <v>https://twitter.com/esquinard/status/1688383275486576641</v>
      </c>
      <c r="AF353" s="79">
        <v>45145.121712962966</v>
      </c>
      <c r="AG353" s="85">
        <v>45145</v>
      </c>
      <c r="AH353" s="80" t="s">
        <v>10949</v>
      </c>
      <c r="AI353" s="77" t="b">
        <v>0</v>
      </c>
      <c r="AJ353" s="77"/>
      <c r="AK353" s="77"/>
      <c r="AL353" s="77"/>
      <c r="AM353" s="77"/>
      <c r="AN353" s="77"/>
      <c r="AO353" s="77"/>
      <c r="AP353" s="77"/>
      <c r="AQ353" s="77"/>
      <c r="AR353" s="77"/>
      <c r="AS353" s="77"/>
      <c r="AT353" s="77"/>
      <c r="AU353" s="77"/>
      <c r="AV353" s="83" t="str">
        <f>HYPERLINK("https://pbs.twimg.com/profile_images/1671976539091509249/8_i_Xc2Y_normal.jpg")</f>
        <v>https://pbs.twimg.com/profile_images/1671976539091509249/8_i_Xc2Y_normal.jpg</v>
      </c>
      <c r="AW353" s="80" t="s">
        <v>16335</v>
      </c>
      <c r="AX353" s="80" t="s">
        <v>16335</v>
      </c>
      <c r="AY353" s="77"/>
      <c r="AZ353" s="80" t="s">
        <v>20380</v>
      </c>
      <c r="BA353" s="80" t="s">
        <v>20380</v>
      </c>
      <c r="BB353" s="80" t="s">
        <v>20380</v>
      </c>
      <c r="BC353" s="80" t="s">
        <v>16335</v>
      </c>
      <c r="BD353" s="77">
        <v>949742420</v>
      </c>
      <c r="BE353" s="77"/>
      <c r="BF353" s="77"/>
      <c r="BG353" s="77"/>
      <c r="BH353" s="77"/>
      <c r="BI353" s="77"/>
    </row>
    <row r="354" spans="1:61" x14ac:dyDescent="0.25">
      <c r="A354" s="62" t="s">
        <v>380</v>
      </c>
      <c r="B354" s="62" t="s">
        <v>380</v>
      </c>
      <c r="C354" s="63"/>
      <c r="D354" s="64"/>
      <c r="E354" s="65"/>
      <c r="F354" s="66"/>
      <c r="G354" s="63"/>
      <c r="H354" s="67"/>
      <c r="I354" s="68"/>
      <c r="J354" s="68"/>
      <c r="K354" s="32"/>
      <c r="L354" s="75">
        <v>354</v>
      </c>
      <c r="M354" s="75"/>
      <c r="N354" s="70"/>
      <c r="O354" s="77" t="s">
        <v>179</v>
      </c>
      <c r="P354" s="79">
        <v>45167.127314814818</v>
      </c>
      <c r="Q354" s="77" t="s">
        <v>2391</v>
      </c>
      <c r="R354" s="77">
        <v>0</v>
      </c>
      <c r="S354" s="77">
        <v>0</v>
      </c>
      <c r="T354" s="77">
        <v>0</v>
      </c>
      <c r="U354" s="77">
        <v>0</v>
      </c>
      <c r="V354" s="77">
        <v>16</v>
      </c>
      <c r="W354" s="80" t="s">
        <v>6157</v>
      </c>
      <c r="X354" s="83" t="str">
        <f>HYPERLINK("https://esquinard.com/informa-economia-dominicana-registra-expansion-de-2-9-en-julio/")</f>
        <v>https://esquinard.com/informa-economia-dominicana-registra-expansion-de-2-9-en-julio/</v>
      </c>
      <c r="Y354" s="77" t="s">
        <v>8656</v>
      </c>
      <c r="Z354" s="77"/>
      <c r="AA354" s="77"/>
      <c r="AB354" s="77"/>
      <c r="AC354" s="80" t="s">
        <v>10541</v>
      </c>
      <c r="AD354" s="77" t="s">
        <v>10620</v>
      </c>
      <c r="AE354" s="83" t="str">
        <f>HYPERLINK("https://twitter.com/esquinard/status/1696357840762413160")</f>
        <v>https://twitter.com/esquinard/status/1696357840762413160</v>
      </c>
      <c r="AF354" s="79">
        <v>45167.127314814818</v>
      </c>
      <c r="AG354" s="85">
        <v>45167</v>
      </c>
      <c r="AH354" s="80" t="s">
        <v>10950</v>
      </c>
      <c r="AI354" s="77" t="b">
        <v>0</v>
      </c>
      <c r="AJ354" s="77"/>
      <c r="AK354" s="77"/>
      <c r="AL354" s="77"/>
      <c r="AM354" s="77"/>
      <c r="AN354" s="77"/>
      <c r="AO354" s="77"/>
      <c r="AP354" s="77"/>
      <c r="AQ354" s="77"/>
      <c r="AR354" s="77"/>
      <c r="AS354" s="77"/>
      <c r="AT354" s="77"/>
      <c r="AU354" s="77"/>
      <c r="AV354" s="83" t="str">
        <f>HYPERLINK("https://pbs.twimg.com/profile_images/1671976539091509249/8_i_Xc2Y_normal.jpg")</f>
        <v>https://pbs.twimg.com/profile_images/1671976539091509249/8_i_Xc2Y_normal.jpg</v>
      </c>
      <c r="AW354" s="80" t="s">
        <v>16336</v>
      </c>
      <c r="AX354" s="80" t="s">
        <v>16336</v>
      </c>
      <c r="AY354" s="77"/>
      <c r="AZ354" s="80" t="s">
        <v>20380</v>
      </c>
      <c r="BA354" s="80" t="s">
        <v>20380</v>
      </c>
      <c r="BB354" s="80" t="s">
        <v>20380</v>
      </c>
      <c r="BC354" s="80" t="s">
        <v>16336</v>
      </c>
      <c r="BD354" s="77">
        <v>949742420</v>
      </c>
      <c r="BE354" s="77"/>
      <c r="BF354" s="77"/>
      <c r="BG354" s="77"/>
      <c r="BH354" s="77"/>
      <c r="BI354" s="77"/>
    </row>
    <row r="355" spans="1:61" x14ac:dyDescent="0.25">
      <c r="A355" s="62" t="s">
        <v>380</v>
      </c>
      <c r="B355" s="62" t="s">
        <v>380</v>
      </c>
      <c r="C355" s="63"/>
      <c r="D355" s="64"/>
      <c r="E355" s="65"/>
      <c r="F355" s="66"/>
      <c r="G355" s="63"/>
      <c r="H355" s="67"/>
      <c r="I355" s="68"/>
      <c r="J355" s="68"/>
      <c r="K355" s="32"/>
      <c r="L355" s="75">
        <v>355</v>
      </c>
      <c r="M355" s="75"/>
      <c r="N355" s="70"/>
      <c r="O355" s="77" t="s">
        <v>2081</v>
      </c>
      <c r="P355" s="79">
        <v>45138.973483796297</v>
      </c>
      <c r="Q355" s="77" t="s">
        <v>2392</v>
      </c>
      <c r="R355" s="77">
        <v>0</v>
      </c>
      <c r="S355" s="77">
        <v>0</v>
      </c>
      <c r="T355" s="77">
        <v>0</v>
      </c>
      <c r="U355" s="77">
        <v>0</v>
      </c>
      <c r="V355" s="77">
        <v>12</v>
      </c>
      <c r="W355" s="80" t="s">
        <v>6158</v>
      </c>
      <c r="X355" s="83" t="str">
        <f>HYPERLINK("https://esquinard.com/bc-mantiene-tasa-de-interes-de-politica-monetaria-en-7-75-anual/")</f>
        <v>https://esquinard.com/bc-mantiene-tasa-de-interes-de-politica-monetaria-en-7-75-anual/</v>
      </c>
      <c r="Y355" s="77" t="s">
        <v>8656</v>
      </c>
      <c r="Z355" s="77" t="s">
        <v>380</v>
      </c>
      <c r="AA355" s="77"/>
      <c r="AB355" s="77"/>
      <c r="AC355" s="80" t="s">
        <v>10541</v>
      </c>
      <c r="AD355" s="77" t="s">
        <v>10620</v>
      </c>
      <c r="AE355" s="83" t="str">
        <f>HYPERLINK("https://twitter.com/esquinard/status/1686155233154547712")</f>
        <v>https://twitter.com/esquinard/status/1686155233154547712</v>
      </c>
      <c r="AF355" s="79">
        <v>45138.973483796297</v>
      </c>
      <c r="AG355" s="85">
        <v>45138</v>
      </c>
      <c r="AH355" s="80" t="s">
        <v>10951</v>
      </c>
      <c r="AI355" s="77" t="b">
        <v>0</v>
      </c>
      <c r="AJ355" s="77"/>
      <c r="AK355" s="77"/>
      <c r="AL355" s="77"/>
      <c r="AM355" s="77"/>
      <c r="AN355" s="77"/>
      <c r="AO355" s="77"/>
      <c r="AP355" s="77"/>
      <c r="AQ355" s="77"/>
      <c r="AR355" s="77"/>
      <c r="AS355" s="77"/>
      <c r="AT355" s="77"/>
      <c r="AU355" s="77"/>
      <c r="AV355" s="83" t="str">
        <f>HYPERLINK("https://pbs.twimg.com/profile_images/1671976539091509249/8_i_Xc2Y_normal.jpg")</f>
        <v>https://pbs.twimg.com/profile_images/1671976539091509249/8_i_Xc2Y_normal.jpg</v>
      </c>
      <c r="AW355" s="80" t="s">
        <v>16337</v>
      </c>
      <c r="AX355" s="80" t="s">
        <v>16337</v>
      </c>
      <c r="AY355" s="77"/>
      <c r="AZ355" s="80" t="s">
        <v>20380</v>
      </c>
      <c r="BA355" s="80" t="s">
        <v>20380</v>
      </c>
      <c r="BB355" s="80" t="s">
        <v>20380</v>
      </c>
      <c r="BC355" s="80" t="s">
        <v>16337</v>
      </c>
      <c r="BD355" s="77">
        <v>949742420</v>
      </c>
      <c r="BE355" s="77"/>
      <c r="BF355" s="77"/>
      <c r="BG355" s="77"/>
      <c r="BH355" s="77"/>
      <c r="BI355" s="77"/>
    </row>
    <row r="356" spans="1:61" x14ac:dyDescent="0.25">
      <c r="A356" s="62" t="s">
        <v>380</v>
      </c>
      <c r="B356" s="62" t="s">
        <v>380</v>
      </c>
      <c r="C356" s="63"/>
      <c r="D356" s="64"/>
      <c r="E356" s="65"/>
      <c r="F356" s="66"/>
      <c r="G356" s="63"/>
      <c r="H356" s="67"/>
      <c r="I356" s="68"/>
      <c r="J356" s="68"/>
      <c r="K356" s="32"/>
      <c r="L356" s="75">
        <v>356</v>
      </c>
      <c r="M356" s="75"/>
      <c r="N356" s="70"/>
      <c r="O356" s="77" t="s">
        <v>2081</v>
      </c>
      <c r="P356" s="79">
        <v>45177.055138888885</v>
      </c>
      <c r="Q356" s="77" t="s">
        <v>2393</v>
      </c>
      <c r="R356" s="77">
        <v>0</v>
      </c>
      <c r="S356" s="77">
        <v>0</v>
      </c>
      <c r="T356" s="77">
        <v>0</v>
      </c>
      <c r="U356" s="77">
        <v>0</v>
      </c>
      <c r="V356" s="77">
        <v>12</v>
      </c>
      <c r="W356" s="80" t="s">
        <v>6159</v>
      </c>
      <c r="X356" s="83" t="str">
        <f>HYPERLINK("https://esquinard.com/banco-central-entra-a-formar-parte-del-comite-irving-fisher/")</f>
        <v>https://esquinard.com/banco-central-entra-a-formar-parte-del-comite-irving-fisher/</v>
      </c>
      <c r="Y356" s="77" t="s">
        <v>8656</v>
      </c>
      <c r="Z356" s="77" t="s">
        <v>380</v>
      </c>
      <c r="AA356" s="77"/>
      <c r="AB356" s="77"/>
      <c r="AC356" s="80" t="s">
        <v>10541</v>
      </c>
      <c r="AD356" s="77" t="s">
        <v>10620</v>
      </c>
      <c r="AE356" s="83" t="str">
        <f>HYPERLINK("https://twitter.com/esquinard/status/1699955562358673423")</f>
        <v>https://twitter.com/esquinard/status/1699955562358673423</v>
      </c>
      <c r="AF356" s="79">
        <v>45177.055138888885</v>
      </c>
      <c r="AG356" s="85">
        <v>45177</v>
      </c>
      <c r="AH356" s="80" t="s">
        <v>10952</v>
      </c>
      <c r="AI356" s="77" t="b">
        <v>0</v>
      </c>
      <c r="AJ356" s="77"/>
      <c r="AK356" s="77"/>
      <c r="AL356" s="77"/>
      <c r="AM356" s="77"/>
      <c r="AN356" s="77"/>
      <c r="AO356" s="77"/>
      <c r="AP356" s="77"/>
      <c r="AQ356" s="77"/>
      <c r="AR356" s="77"/>
      <c r="AS356" s="77"/>
      <c r="AT356" s="77"/>
      <c r="AU356" s="77"/>
      <c r="AV356" s="83" t="str">
        <f>HYPERLINK("https://pbs.twimg.com/profile_images/1671976539091509249/8_i_Xc2Y_normal.jpg")</f>
        <v>https://pbs.twimg.com/profile_images/1671976539091509249/8_i_Xc2Y_normal.jpg</v>
      </c>
      <c r="AW356" s="80" t="s">
        <v>16338</v>
      </c>
      <c r="AX356" s="80" t="s">
        <v>16338</v>
      </c>
      <c r="AY356" s="77"/>
      <c r="AZ356" s="80" t="s">
        <v>20380</v>
      </c>
      <c r="BA356" s="80" t="s">
        <v>20380</v>
      </c>
      <c r="BB356" s="80" t="s">
        <v>20380</v>
      </c>
      <c r="BC356" s="80" t="s">
        <v>16338</v>
      </c>
      <c r="BD356" s="77">
        <v>949742420</v>
      </c>
      <c r="BE356" s="77"/>
      <c r="BF356" s="77"/>
      <c r="BG356" s="77"/>
      <c r="BH356" s="77"/>
      <c r="BI356" s="77"/>
    </row>
    <row r="357" spans="1:61" x14ac:dyDescent="0.25">
      <c r="A357" s="62" t="s">
        <v>380</v>
      </c>
      <c r="B357" s="62" t="s">
        <v>380</v>
      </c>
      <c r="C357" s="63"/>
      <c r="D357" s="64"/>
      <c r="E357" s="65"/>
      <c r="F357" s="66"/>
      <c r="G357" s="63"/>
      <c r="H357" s="67"/>
      <c r="I357" s="68"/>
      <c r="J357" s="68"/>
      <c r="K357" s="32"/>
      <c r="L357" s="75">
        <v>357</v>
      </c>
      <c r="M357" s="75"/>
      <c r="N357" s="70"/>
      <c r="O357" s="77" t="s">
        <v>179</v>
      </c>
      <c r="P357" s="79">
        <v>45153.97552083333</v>
      </c>
      <c r="Q357" s="77" t="s">
        <v>2394</v>
      </c>
      <c r="R357" s="77">
        <v>0</v>
      </c>
      <c r="S357" s="77">
        <v>0</v>
      </c>
      <c r="T357" s="77">
        <v>0</v>
      </c>
      <c r="U357" s="77">
        <v>0</v>
      </c>
      <c r="V357" s="77">
        <v>10</v>
      </c>
      <c r="W357" s="80" t="s">
        <v>6160</v>
      </c>
      <c r="X357" s="83" t="str">
        <f>HYPERLINK("https://esquinard.com/las-remesas-crecen-42-durante-primeros-siete-meses-del-ano/")</f>
        <v>https://esquinard.com/las-remesas-crecen-42-durante-primeros-siete-meses-del-ano/</v>
      </c>
      <c r="Y357" s="77" t="s">
        <v>8656</v>
      </c>
      <c r="Z357" s="77"/>
      <c r="AA357" s="77"/>
      <c r="AB357" s="77"/>
      <c r="AC357" s="80" t="s">
        <v>10541</v>
      </c>
      <c r="AD357" s="77" t="s">
        <v>10620</v>
      </c>
      <c r="AE357" s="83" t="str">
        <f>HYPERLINK("https://twitter.com/esquinard/status/1691591791454175368")</f>
        <v>https://twitter.com/esquinard/status/1691591791454175368</v>
      </c>
      <c r="AF357" s="79">
        <v>45153.97552083333</v>
      </c>
      <c r="AG357" s="85">
        <v>45153</v>
      </c>
      <c r="AH357" s="80" t="s">
        <v>10953</v>
      </c>
      <c r="AI357" s="77" t="b">
        <v>0</v>
      </c>
      <c r="AJ357" s="77"/>
      <c r="AK357" s="77"/>
      <c r="AL357" s="77"/>
      <c r="AM357" s="77"/>
      <c r="AN357" s="77"/>
      <c r="AO357" s="77"/>
      <c r="AP357" s="77"/>
      <c r="AQ357" s="77"/>
      <c r="AR357" s="77"/>
      <c r="AS357" s="77"/>
      <c r="AT357" s="77"/>
      <c r="AU357" s="77"/>
      <c r="AV357" s="83" t="str">
        <f>HYPERLINK("https://pbs.twimg.com/profile_images/1671976539091509249/8_i_Xc2Y_normal.jpg")</f>
        <v>https://pbs.twimg.com/profile_images/1671976539091509249/8_i_Xc2Y_normal.jpg</v>
      </c>
      <c r="AW357" s="80" t="s">
        <v>16339</v>
      </c>
      <c r="AX357" s="80" t="s">
        <v>16339</v>
      </c>
      <c r="AY357" s="77"/>
      <c r="AZ357" s="80" t="s">
        <v>20380</v>
      </c>
      <c r="BA357" s="80" t="s">
        <v>20380</v>
      </c>
      <c r="BB357" s="80" t="s">
        <v>20380</v>
      </c>
      <c r="BC357" s="80" t="s">
        <v>16339</v>
      </c>
      <c r="BD357" s="77">
        <v>949742420</v>
      </c>
      <c r="BE357" s="77"/>
      <c r="BF357" s="77"/>
      <c r="BG357" s="77"/>
      <c r="BH357" s="77"/>
      <c r="BI357" s="77"/>
    </row>
    <row r="358" spans="1:61" x14ac:dyDescent="0.25">
      <c r="A358" s="62" t="s">
        <v>380</v>
      </c>
      <c r="B358" s="62" t="s">
        <v>380</v>
      </c>
      <c r="C358" s="63"/>
      <c r="D358" s="64"/>
      <c r="E358" s="65"/>
      <c r="F358" s="66"/>
      <c r="G358" s="63"/>
      <c r="H358" s="67"/>
      <c r="I358" s="68"/>
      <c r="J358" s="68"/>
      <c r="K358" s="32"/>
      <c r="L358" s="75">
        <v>358</v>
      </c>
      <c r="M358" s="75"/>
      <c r="N358" s="70"/>
      <c r="O358" s="77" t="s">
        <v>179</v>
      </c>
      <c r="P358" s="79">
        <v>45180.892442129632</v>
      </c>
      <c r="Q358" s="77" t="s">
        <v>2395</v>
      </c>
      <c r="R358" s="77">
        <v>0</v>
      </c>
      <c r="S358" s="77">
        <v>0</v>
      </c>
      <c r="T358" s="77">
        <v>0</v>
      </c>
      <c r="U358" s="77">
        <v>0</v>
      </c>
      <c r="V358" s="77">
        <v>16</v>
      </c>
      <c r="W358" s="80" t="s">
        <v>6161</v>
      </c>
      <c r="X358" s="83" t="str">
        <f>HYPERLINK("https://esquinard.com/rd-recibio-6-769-millones-de-dolares-en-remesas-de-enero-a-agosto/")</f>
        <v>https://esquinard.com/rd-recibio-6-769-millones-de-dolares-en-remesas-de-enero-a-agosto/</v>
      </c>
      <c r="Y358" s="77" t="s">
        <v>8656</v>
      </c>
      <c r="Z358" s="77"/>
      <c r="AA358" s="77"/>
      <c r="AB358" s="77"/>
      <c r="AC358" s="80" t="s">
        <v>10540</v>
      </c>
      <c r="AD358" s="77" t="s">
        <v>10620</v>
      </c>
      <c r="AE358" s="83" t="str">
        <f>HYPERLINK("https://twitter.com/esquinard/status/1701346155139940440")</f>
        <v>https://twitter.com/esquinard/status/1701346155139940440</v>
      </c>
      <c r="AF358" s="79">
        <v>45180.892442129632</v>
      </c>
      <c r="AG358" s="85">
        <v>45180</v>
      </c>
      <c r="AH358" s="80" t="s">
        <v>10954</v>
      </c>
      <c r="AI358" s="77" t="b">
        <v>0</v>
      </c>
      <c r="AJ358" s="77"/>
      <c r="AK358" s="77"/>
      <c r="AL358" s="77"/>
      <c r="AM358" s="77"/>
      <c r="AN358" s="77"/>
      <c r="AO358" s="77"/>
      <c r="AP358" s="77"/>
      <c r="AQ358" s="77"/>
      <c r="AR358" s="77"/>
      <c r="AS358" s="77"/>
      <c r="AT358" s="77"/>
      <c r="AU358" s="77"/>
      <c r="AV358" s="83" t="str">
        <f>HYPERLINK("https://pbs.twimg.com/profile_images/1671976539091509249/8_i_Xc2Y_normal.jpg")</f>
        <v>https://pbs.twimg.com/profile_images/1671976539091509249/8_i_Xc2Y_normal.jpg</v>
      </c>
      <c r="AW358" s="80" t="s">
        <v>16340</v>
      </c>
      <c r="AX358" s="80" t="s">
        <v>16340</v>
      </c>
      <c r="AY358" s="77"/>
      <c r="AZ358" s="80" t="s">
        <v>20380</v>
      </c>
      <c r="BA358" s="80" t="s">
        <v>20380</v>
      </c>
      <c r="BB358" s="80" t="s">
        <v>20380</v>
      </c>
      <c r="BC358" s="80" t="s">
        <v>16340</v>
      </c>
      <c r="BD358" s="77">
        <v>949742420</v>
      </c>
      <c r="BE358" s="77"/>
      <c r="BF358" s="77"/>
      <c r="BG358" s="77"/>
      <c r="BH358" s="77"/>
      <c r="BI358" s="77"/>
    </row>
    <row r="359" spans="1:61" x14ac:dyDescent="0.25">
      <c r="A359" s="62" t="s">
        <v>381</v>
      </c>
      <c r="B359" s="62" t="s">
        <v>381</v>
      </c>
      <c r="C359" s="63"/>
      <c r="D359" s="64"/>
      <c r="E359" s="65"/>
      <c r="F359" s="66"/>
      <c r="G359" s="63"/>
      <c r="H359" s="67"/>
      <c r="I359" s="68"/>
      <c r="J359" s="68"/>
      <c r="K359" s="32"/>
      <c r="L359" s="75">
        <v>359</v>
      </c>
      <c r="M359" s="75"/>
      <c r="N359" s="70"/>
      <c r="O359" s="77" t="s">
        <v>179</v>
      </c>
      <c r="P359" s="79">
        <v>45163.604490740741</v>
      </c>
      <c r="Q359" s="77" t="s">
        <v>2396</v>
      </c>
      <c r="R359" s="77">
        <v>0</v>
      </c>
      <c r="S359" s="77">
        <v>0</v>
      </c>
      <c r="T359" s="77">
        <v>0</v>
      </c>
      <c r="U359" s="77">
        <v>0</v>
      </c>
      <c r="V359" s="77">
        <v>770</v>
      </c>
      <c r="W359" s="80" t="s">
        <v>6162</v>
      </c>
      <c r="X359" s="83" t="str">
        <f>HYPERLINK("https://www.0221.com.ar/nota/2023-8-25-10-52-0-mercado-pago-cuenta-dni-modo-y-mas-el-inesperado-cambio-que-beneficia-a-los-usuario")</f>
        <v>https://www.0221.com.ar/nota/2023-8-25-10-52-0-mercado-pago-cuenta-dni-modo-y-mas-el-inesperado-cambio-que-beneficia-a-los-usuario</v>
      </c>
      <c r="Y359" s="77" t="s">
        <v>8624</v>
      </c>
      <c r="Z359" s="77"/>
      <c r="AA359" s="77"/>
      <c r="AB359" s="77"/>
      <c r="AC359" s="80" t="s">
        <v>10552</v>
      </c>
      <c r="AD359" s="77" t="s">
        <v>10620</v>
      </c>
      <c r="AE359" s="83" t="str">
        <f>HYPERLINK("https://twitter.com/0221comar/status/1695081210857259326")</f>
        <v>https://twitter.com/0221comar/status/1695081210857259326</v>
      </c>
      <c r="AF359" s="79">
        <v>45163.604490740741</v>
      </c>
      <c r="AG359" s="85">
        <v>45163</v>
      </c>
      <c r="AH359" s="80" t="s">
        <v>10955</v>
      </c>
      <c r="AI359" s="77" t="b">
        <v>0</v>
      </c>
      <c r="AJ359" s="77"/>
      <c r="AK359" s="77"/>
      <c r="AL359" s="77"/>
      <c r="AM359" s="77"/>
      <c r="AN359" s="77"/>
      <c r="AO359" s="77"/>
      <c r="AP359" s="77"/>
      <c r="AQ359" s="77"/>
      <c r="AR359" s="77"/>
      <c r="AS359" s="77"/>
      <c r="AT359" s="77"/>
      <c r="AU359" s="77"/>
      <c r="AV359" s="83" t="str">
        <f>HYPERLINK("https://pbs.twimg.com/profile_images/1706337874935713793/CvBuOxlo_normal.jpg")</f>
        <v>https://pbs.twimg.com/profile_images/1706337874935713793/CvBuOxlo_normal.jpg</v>
      </c>
      <c r="AW359" s="80" t="s">
        <v>16341</v>
      </c>
      <c r="AX359" s="80" t="s">
        <v>16341</v>
      </c>
      <c r="AY359" s="77"/>
      <c r="AZ359" s="80" t="s">
        <v>20380</v>
      </c>
      <c r="BA359" s="80" t="s">
        <v>20380</v>
      </c>
      <c r="BB359" s="80" t="s">
        <v>20380</v>
      </c>
      <c r="BC359" s="80" t="s">
        <v>16341</v>
      </c>
      <c r="BD359" s="77">
        <v>166395732</v>
      </c>
      <c r="BE359" s="77"/>
      <c r="BF359" s="77"/>
      <c r="BG359" s="77"/>
      <c r="BH359" s="77"/>
      <c r="BI359" s="77"/>
    </row>
    <row r="360" spans="1:61" x14ac:dyDescent="0.25">
      <c r="A360" s="62" t="s">
        <v>381</v>
      </c>
      <c r="B360" s="62" t="s">
        <v>381</v>
      </c>
      <c r="C360" s="63"/>
      <c r="D360" s="64"/>
      <c r="E360" s="65"/>
      <c r="F360" s="66"/>
      <c r="G360" s="63"/>
      <c r="H360" s="67"/>
      <c r="I360" s="68"/>
      <c r="J360" s="68"/>
      <c r="K360" s="32"/>
      <c r="L360" s="75">
        <v>360</v>
      </c>
      <c r="M360" s="75"/>
      <c r="N360" s="70"/>
      <c r="O360" s="77" t="s">
        <v>179</v>
      </c>
      <c r="P360" s="79">
        <v>45163.601909722223</v>
      </c>
      <c r="Q360" s="77" t="s">
        <v>2397</v>
      </c>
      <c r="R360" s="77">
        <v>2</v>
      </c>
      <c r="S360" s="77">
        <v>11</v>
      </c>
      <c r="T360" s="77">
        <v>1</v>
      </c>
      <c r="U360" s="77">
        <v>0</v>
      </c>
      <c r="V360" s="77">
        <v>1879</v>
      </c>
      <c r="W360" s="80" t="s">
        <v>6163</v>
      </c>
      <c r="X360" s="77"/>
      <c r="Y360" s="77"/>
      <c r="Z360" s="77"/>
      <c r="AA360" s="77" t="s">
        <v>9150</v>
      </c>
      <c r="AB360" s="77" t="s">
        <v>10535</v>
      </c>
      <c r="AC360" s="80" t="s">
        <v>10541</v>
      </c>
      <c r="AD360" s="77" t="s">
        <v>10620</v>
      </c>
      <c r="AE360" s="83" t="str">
        <f>HYPERLINK("https://twitter.com/0221comar/status/1695080276282536445")</f>
        <v>https://twitter.com/0221comar/status/1695080276282536445</v>
      </c>
      <c r="AF360" s="79">
        <v>45163.601909722223</v>
      </c>
      <c r="AG360" s="85">
        <v>45163</v>
      </c>
      <c r="AH360" s="80" t="s">
        <v>10956</v>
      </c>
      <c r="AI360" s="77" t="b">
        <v>0</v>
      </c>
      <c r="AJ360" s="77"/>
      <c r="AK360" s="77"/>
      <c r="AL360" s="77"/>
      <c r="AM360" s="77"/>
      <c r="AN360" s="77"/>
      <c r="AO360" s="77"/>
      <c r="AP360" s="77"/>
      <c r="AQ360" s="77" t="s">
        <v>14632</v>
      </c>
      <c r="AR360" s="77"/>
      <c r="AS360" s="77"/>
      <c r="AT360" s="77"/>
      <c r="AU360" s="77"/>
      <c r="AV360" s="83" t="str">
        <f>HYPERLINK("https://pbs.twimg.com/media/F4YiRZqXQAA5Xy9.jpg")</f>
        <v>https://pbs.twimg.com/media/F4YiRZqXQAA5Xy9.jpg</v>
      </c>
      <c r="AW360" s="80" t="s">
        <v>16342</v>
      </c>
      <c r="AX360" s="80" t="s">
        <v>16342</v>
      </c>
      <c r="AY360" s="77"/>
      <c r="AZ360" s="80" t="s">
        <v>20380</v>
      </c>
      <c r="BA360" s="80" t="s">
        <v>20380</v>
      </c>
      <c r="BB360" s="80" t="s">
        <v>20380</v>
      </c>
      <c r="BC360" s="80" t="s">
        <v>16342</v>
      </c>
      <c r="BD360" s="77">
        <v>166395732</v>
      </c>
      <c r="BE360" s="77"/>
      <c r="BF360" s="77"/>
      <c r="BG360" s="77"/>
      <c r="BH360" s="77"/>
      <c r="BI360" s="77"/>
    </row>
    <row r="361" spans="1:61" x14ac:dyDescent="0.25">
      <c r="A361" s="62" t="s">
        <v>381</v>
      </c>
      <c r="B361" s="62" t="s">
        <v>381</v>
      </c>
      <c r="C361" s="63"/>
      <c r="D361" s="64"/>
      <c r="E361" s="65"/>
      <c r="F361" s="66"/>
      <c r="G361" s="63"/>
      <c r="H361" s="67"/>
      <c r="I361" s="68"/>
      <c r="J361" s="68"/>
      <c r="K361" s="32"/>
      <c r="L361" s="75">
        <v>361</v>
      </c>
      <c r="M361" s="75"/>
      <c r="N361" s="70"/>
      <c r="O361" s="77" t="s">
        <v>179</v>
      </c>
      <c r="P361" s="79">
        <v>45163.562847222223</v>
      </c>
      <c r="Q361" s="77" t="s">
        <v>2398</v>
      </c>
      <c r="R361" s="77">
        <v>0</v>
      </c>
      <c r="S361" s="77">
        <v>0</v>
      </c>
      <c r="T361" s="77">
        <v>0</v>
      </c>
      <c r="U361" s="77">
        <v>0</v>
      </c>
      <c r="V361" s="77">
        <v>543</v>
      </c>
      <c r="W361" s="80" t="s">
        <v>5974</v>
      </c>
      <c r="X361" s="83" t="str">
        <f>HYPERLINK("https://www.0221.com.ar/nota/2023-8-25-7-42-0-las-billeteras-virtuales-deberan-pagar-interes-por-todo-el-dinero-guardado#ATENCIÓN")</f>
        <v>https://www.0221.com.ar/nota/2023-8-25-7-42-0-las-billeteras-virtuales-deberan-pagar-interes-por-todo-el-dinero-guardado#ATENCIÓN</v>
      </c>
      <c r="Y361" s="77" t="s">
        <v>8624</v>
      </c>
      <c r="Z361" s="77"/>
      <c r="AA361" s="77"/>
      <c r="AB361" s="77"/>
      <c r="AC361" s="80" t="s">
        <v>10552</v>
      </c>
      <c r="AD361" s="77" t="s">
        <v>10620</v>
      </c>
      <c r="AE361" s="83" t="str">
        <f>HYPERLINK("https://twitter.com/0221comar/status/1695066122108686621")</f>
        <v>https://twitter.com/0221comar/status/1695066122108686621</v>
      </c>
      <c r="AF361" s="79">
        <v>45163.562847222223</v>
      </c>
      <c r="AG361" s="85">
        <v>45163</v>
      </c>
      <c r="AH361" s="80" t="s">
        <v>10957</v>
      </c>
      <c r="AI361" s="77" t="b">
        <v>0</v>
      </c>
      <c r="AJ361" s="77"/>
      <c r="AK361" s="77"/>
      <c r="AL361" s="77"/>
      <c r="AM361" s="77"/>
      <c r="AN361" s="77"/>
      <c r="AO361" s="77"/>
      <c r="AP361" s="77"/>
      <c r="AQ361" s="77"/>
      <c r="AR361" s="77"/>
      <c r="AS361" s="77"/>
      <c r="AT361" s="77"/>
      <c r="AU361" s="77"/>
      <c r="AV361" s="83" t="str">
        <f>HYPERLINK("https://pbs.twimg.com/profile_images/1706337874935713793/CvBuOxlo_normal.jpg")</f>
        <v>https://pbs.twimg.com/profile_images/1706337874935713793/CvBuOxlo_normal.jpg</v>
      </c>
      <c r="AW361" s="80" t="s">
        <v>16343</v>
      </c>
      <c r="AX361" s="80" t="s">
        <v>16343</v>
      </c>
      <c r="AY361" s="77"/>
      <c r="AZ361" s="80" t="s">
        <v>20380</v>
      </c>
      <c r="BA361" s="80" t="s">
        <v>20380</v>
      </c>
      <c r="BB361" s="80" t="s">
        <v>20380</v>
      </c>
      <c r="BC361" s="80" t="s">
        <v>16343</v>
      </c>
      <c r="BD361" s="77">
        <v>166395732</v>
      </c>
      <c r="BE361" s="77"/>
      <c r="BF361" s="77"/>
      <c r="BG361" s="77"/>
      <c r="BH361" s="77"/>
      <c r="BI361" s="77"/>
    </row>
    <row r="362" spans="1:61" x14ac:dyDescent="0.25">
      <c r="A362" s="62" t="s">
        <v>381</v>
      </c>
      <c r="B362" s="62" t="s">
        <v>381</v>
      </c>
      <c r="C362" s="63"/>
      <c r="D362" s="64"/>
      <c r="E362" s="65"/>
      <c r="F362" s="66"/>
      <c r="G362" s="63"/>
      <c r="H362" s="67"/>
      <c r="I362" s="68"/>
      <c r="J362" s="68"/>
      <c r="K362" s="32"/>
      <c r="L362" s="75">
        <v>362</v>
      </c>
      <c r="M362" s="75"/>
      <c r="N362" s="70"/>
      <c r="O362" s="77" t="s">
        <v>179</v>
      </c>
      <c r="P362" s="79">
        <v>45194.959791666668</v>
      </c>
      <c r="Q362" s="77" t="s">
        <v>2399</v>
      </c>
      <c r="R362" s="77">
        <v>0</v>
      </c>
      <c r="S362" s="77">
        <v>0</v>
      </c>
      <c r="T362" s="77">
        <v>0</v>
      </c>
      <c r="U362" s="77">
        <v>0</v>
      </c>
      <c r="V362" s="77">
        <v>1154</v>
      </c>
      <c r="W362" s="80" t="s">
        <v>6164</v>
      </c>
      <c r="X362" s="83" t="str">
        <f>HYPERLINK("https://www.0221.com.ar/nacional/mercado-pago-denuncio-una-traba-del-banco-central-que-afectara-millones-usuarios-n80972")</f>
        <v>https://www.0221.com.ar/nacional/mercado-pago-denuncio-una-traba-del-banco-central-que-afectara-millones-usuarios-n80972</v>
      </c>
      <c r="Y362" s="77" t="s">
        <v>8624</v>
      </c>
      <c r="Z362" s="77"/>
      <c r="AA362" s="77"/>
      <c r="AB362" s="77"/>
      <c r="AC362" s="80" t="s">
        <v>10552</v>
      </c>
      <c r="AD362" s="77" t="s">
        <v>10620</v>
      </c>
      <c r="AE362" s="83" t="str">
        <f>HYPERLINK("https://twitter.com/0221comar/status/1706443990512337041")</f>
        <v>https://twitter.com/0221comar/status/1706443990512337041</v>
      </c>
      <c r="AF362" s="79">
        <v>45194.959791666668</v>
      </c>
      <c r="AG362" s="85">
        <v>45194</v>
      </c>
      <c r="AH362" s="80" t="s">
        <v>10958</v>
      </c>
      <c r="AI362" s="77" t="b">
        <v>0</v>
      </c>
      <c r="AJ362" s="77"/>
      <c r="AK362" s="77"/>
      <c r="AL362" s="77"/>
      <c r="AM362" s="77"/>
      <c r="AN362" s="77"/>
      <c r="AO362" s="77"/>
      <c r="AP362" s="77"/>
      <c r="AQ362" s="77"/>
      <c r="AR362" s="77"/>
      <c r="AS362" s="77"/>
      <c r="AT362" s="77"/>
      <c r="AU362" s="77"/>
      <c r="AV362" s="83" t="str">
        <f>HYPERLINK("https://pbs.twimg.com/profile_images/1706337874935713793/CvBuOxlo_normal.jpg")</f>
        <v>https://pbs.twimg.com/profile_images/1706337874935713793/CvBuOxlo_normal.jpg</v>
      </c>
      <c r="AW362" s="80" t="s">
        <v>16344</v>
      </c>
      <c r="AX362" s="80" t="s">
        <v>16344</v>
      </c>
      <c r="AY362" s="77"/>
      <c r="AZ362" s="80" t="s">
        <v>20380</v>
      </c>
      <c r="BA362" s="80" t="s">
        <v>20380</v>
      </c>
      <c r="BB362" s="80" t="s">
        <v>20380</v>
      </c>
      <c r="BC362" s="80" t="s">
        <v>16344</v>
      </c>
      <c r="BD362" s="77">
        <v>166395732</v>
      </c>
      <c r="BE362" s="77"/>
      <c r="BF362" s="77"/>
      <c r="BG362" s="77"/>
      <c r="BH362" s="77"/>
      <c r="BI362" s="77"/>
    </row>
    <row r="363" spans="1:61" x14ac:dyDescent="0.25">
      <c r="A363" s="62" t="s">
        <v>382</v>
      </c>
      <c r="B363" s="62" t="s">
        <v>382</v>
      </c>
      <c r="C363" s="63"/>
      <c r="D363" s="64"/>
      <c r="E363" s="65"/>
      <c r="F363" s="66"/>
      <c r="G363" s="63"/>
      <c r="H363" s="67"/>
      <c r="I363" s="68"/>
      <c r="J363" s="68"/>
      <c r="K363" s="32"/>
      <c r="L363" s="75">
        <v>363</v>
      </c>
      <c r="M363" s="75"/>
      <c r="N363" s="70"/>
      <c r="O363" s="77" t="s">
        <v>179</v>
      </c>
      <c r="P363" s="79">
        <v>45132.765081018515</v>
      </c>
      <c r="Q363" s="77" t="s">
        <v>2400</v>
      </c>
      <c r="R363" s="77">
        <v>1</v>
      </c>
      <c r="S363" s="77">
        <v>1</v>
      </c>
      <c r="T363" s="77">
        <v>0</v>
      </c>
      <c r="U363" s="77">
        <v>1</v>
      </c>
      <c r="V363" s="77">
        <v>32</v>
      </c>
      <c r="W363" s="80" t="s">
        <v>6165</v>
      </c>
      <c r="X363" s="83" t="str">
        <f>HYPERLINK("https://www.financepros.com.co/post/se-modera-la-inflación-gracias-a-petro")</f>
        <v>https://www.financepros.com.co/post/se-modera-la-inflación-gracias-a-petro</v>
      </c>
      <c r="Y363" s="77" t="s">
        <v>8657</v>
      </c>
      <c r="Z363" s="77"/>
      <c r="AA363" s="77"/>
      <c r="AB363" s="77"/>
      <c r="AC363" s="80" t="s">
        <v>10541</v>
      </c>
      <c r="AD363" s="77" t="s">
        <v>10620</v>
      </c>
      <c r="AE363" s="83" t="str">
        <f>HYPERLINK("https://twitter.com/financepros_sas/status/1683905382291210247")</f>
        <v>https://twitter.com/financepros_sas/status/1683905382291210247</v>
      </c>
      <c r="AF363" s="79">
        <v>45132.765081018515</v>
      </c>
      <c r="AG363" s="85">
        <v>45132</v>
      </c>
      <c r="AH363" s="80" t="s">
        <v>10959</v>
      </c>
      <c r="AI363" s="77" t="b">
        <v>0</v>
      </c>
      <c r="AJ363" s="77"/>
      <c r="AK363" s="77"/>
      <c r="AL363" s="77"/>
      <c r="AM363" s="77"/>
      <c r="AN363" s="77"/>
      <c r="AO363" s="77"/>
      <c r="AP363" s="77"/>
      <c r="AQ363" s="77"/>
      <c r="AR363" s="77"/>
      <c r="AS363" s="77"/>
      <c r="AT363" s="77"/>
      <c r="AU363" s="77"/>
      <c r="AV363" s="83" t="str">
        <f>HYPERLINK("https://pbs.twimg.com/profile_images/1674450911819710464/vzdW1hws_normal.jpg")</f>
        <v>https://pbs.twimg.com/profile_images/1674450911819710464/vzdW1hws_normal.jpg</v>
      </c>
      <c r="AW363" s="80" t="s">
        <v>16345</v>
      </c>
      <c r="AX363" s="80" t="s">
        <v>16345</v>
      </c>
      <c r="AY363" s="77"/>
      <c r="AZ363" s="80" t="s">
        <v>20380</v>
      </c>
      <c r="BA363" s="80" t="s">
        <v>20380</v>
      </c>
      <c r="BB363" s="80" t="s">
        <v>20380</v>
      </c>
      <c r="BC363" s="80" t="s">
        <v>16345</v>
      </c>
      <c r="BD363" s="80" t="s">
        <v>20574</v>
      </c>
      <c r="BE363" s="77"/>
      <c r="BF363" s="77"/>
      <c r="BG363" s="77"/>
      <c r="BH363" s="77"/>
      <c r="BI363" s="77"/>
    </row>
    <row r="364" spans="1:61" x14ac:dyDescent="0.25">
      <c r="A364" s="62" t="s">
        <v>383</v>
      </c>
      <c r="B364" s="62" t="s">
        <v>383</v>
      </c>
      <c r="C364" s="63"/>
      <c r="D364" s="64"/>
      <c r="E364" s="65"/>
      <c r="F364" s="66"/>
      <c r="G364" s="63"/>
      <c r="H364" s="67"/>
      <c r="I364" s="68"/>
      <c r="J364" s="68"/>
      <c r="K364" s="32"/>
      <c r="L364" s="75">
        <v>364</v>
      </c>
      <c r="M364" s="75"/>
      <c r="N364" s="70"/>
      <c r="O364" s="77" t="s">
        <v>179</v>
      </c>
      <c r="P364" s="79">
        <v>45089.837569444448</v>
      </c>
      <c r="Q364" s="77" t="s">
        <v>2401</v>
      </c>
      <c r="R364" s="77">
        <v>0</v>
      </c>
      <c r="S364" s="77">
        <v>2</v>
      </c>
      <c r="T364" s="77">
        <v>1</v>
      </c>
      <c r="U364" s="77">
        <v>0</v>
      </c>
      <c r="V364" s="77">
        <v>223</v>
      </c>
      <c r="W364" s="80" t="s">
        <v>6166</v>
      </c>
      <c r="X364" s="83" t="str">
        <f>HYPERLINK("https://economia.ig.com.br/2023-06-12/campos-neto-comenta-reducao-juros.html")</f>
        <v>https://economia.ig.com.br/2023-06-12/campos-neto-comenta-reducao-juros.html</v>
      </c>
      <c r="Y364" s="77" t="s">
        <v>8611</v>
      </c>
      <c r="Z364" s="77"/>
      <c r="AA364" s="77"/>
      <c r="AB364" s="77"/>
      <c r="AC364" s="80" t="s">
        <v>10541</v>
      </c>
      <c r="AD364" s="77" t="s">
        <v>10617</v>
      </c>
      <c r="AE364" s="83" t="str">
        <f>HYPERLINK("https://twitter.com/ig/status/1668348973336211457")</f>
        <v>https://twitter.com/ig/status/1668348973336211457</v>
      </c>
      <c r="AF364" s="79">
        <v>45089.837569444448</v>
      </c>
      <c r="AG364" s="85">
        <v>45089</v>
      </c>
      <c r="AH364" s="80" t="s">
        <v>10960</v>
      </c>
      <c r="AI364" s="77" t="b">
        <v>0</v>
      </c>
      <c r="AJ364" s="77"/>
      <c r="AK364" s="77"/>
      <c r="AL364" s="77"/>
      <c r="AM364" s="77"/>
      <c r="AN364" s="77"/>
      <c r="AO364" s="77"/>
      <c r="AP364" s="77"/>
      <c r="AQ364" s="77"/>
      <c r="AR364" s="77"/>
      <c r="AS364" s="77"/>
      <c r="AT364" s="77"/>
      <c r="AU364" s="77"/>
      <c r="AV364" s="83" t="str">
        <f>HYPERLINK("https://pbs.twimg.com/profile_images/1603545636309241856/yvqEuSnz_normal.jpg")</f>
        <v>https://pbs.twimg.com/profile_images/1603545636309241856/yvqEuSnz_normal.jpg</v>
      </c>
      <c r="AW364" s="80" t="s">
        <v>16346</v>
      </c>
      <c r="AX364" s="80" t="s">
        <v>16346</v>
      </c>
      <c r="AY364" s="77"/>
      <c r="AZ364" s="80" t="s">
        <v>20380</v>
      </c>
      <c r="BA364" s="80" t="s">
        <v>20380</v>
      </c>
      <c r="BB364" s="80" t="s">
        <v>20380</v>
      </c>
      <c r="BC364" s="80" t="s">
        <v>16346</v>
      </c>
      <c r="BD364" s="77">
        <v>14311308</v>
      </c>
      <c r="BE364" s="77"/>
      <c r="BF364" s="77"/>
      <c r="BG364" s="77"/>
      <c r="BH364" s="77"/>
      <c r="BI364" s="77"/>
    </row>
    <row r="365" spans="1:61" x14ac:dyDescent="0.25">
      <c r="A365" s="62" t="s">
        <v>383</v>
      </c>
      <c r="B365" s="62" t="s">
        <v>383</v>
      </c>
      <c r="C365" s="63"/>
      <c r="D365" s="64"/>
      <c r="E365" s="65"/>
      <c r="F365" s="66"/>
      <c r="G365" s="63"/>
      <c r="H365" s="67"/>
      <c r="I365" s="68"/>
      <c r="J365" s="68"/>
      <c r="K365" s="32"/>
      <c r="L365" s="75">
        <v>365</v>
      </c>
      <c r="M365" s="75"/>
      <c r="N365" s="70"/>
      <c r="O365" s="77" t="s">
        <v>179</v>
      </c>
      <c r="P365" s="79">
        <v>45054.763414351852</v>
      </c>
      <c r="Q365" s="77" t="s">
        <v>2402</v>
      </c>
      <c r="R365" s="77">
        <v>0</v>
      </c>
      <c r="S365" s="77">
        <v>2</v>
      </c>
      <c r="T365" s="77">
        <v>0</v>
      </c>
      <c r="U365" s="77">
        <v>0</v>
      </c>
      <c r="V365" s="77">
        <v>201</v>
      </c>
      <c r="W365" s="80" t="s">
        <v>6167</v>
      </c>
      <c r="X365" s="83" t="str">
        <f>HYPERLINK("https://economia.ig.com.br/2023-05-08/luiz-marinho-critica-juros-banco-central.html?Foto1")</f>
        <v>https://economia.ig.com.br/2023-05-08/luiz-marinho-critica-juros-banco-central.html?Foto1</v>
      </c>
      <c r="Y365" s="77" t="s">
        <v>8611</v>
      </c>
      <c r="Z365" s="77"/>
      <c r="AA365" s="77"/>
      <c r="AB365" s="77"/>
      <c r="AC365" s="80" t="s">
        <v>10550</v>
      </c>
      <c r="AD365" s="77" t="s">
        <v>10617</v>
      </c>
      <c r="AE365" s="83" t="str">
        <f>HYPERLINK("https://twitter.com/ig/status/1655638527718088726")</f>
        <v>https://twitter.com/ig/status/1655638527718088726</v>
      </c>
      <c r="AF365" s="79">
        <v>45054.763414351852</v>
      </c>
      <c r="AG365" s="85">
        <v>45054</v>
      </c>
      <c r="AH365" s="80" t="s">
        <v>10961</v>
      </c>
      <c r="AI365" s="77" t="b">
        <v>0</v>
      </c>
      <c r="AJ365" s="77"/>
      <c r="AK365" s="77"/>
      <c r="AL365" s="77"/>
      <c r="AM365" s="77"/>
      <c r="AN365" s="77"/>
      <c r="AO365" s="77"/>
      <c r="AP365" s="77"/>
      <c r="AQ365" s="77"/>
      <c r="AR365" s="77"/>
      <c r="AS365" s="77"/>
      <c r="AT365" s="77"/>
      <c r="AU365" s="77"/>
      <c r="AV365" s="83" t="str">
        <f>HYPERLINK("https://pbs.twimg.com/profile_images/1603545636309241856/yvqEuSnz_normal.jpg")</f>
        <v>https://pbs.twimg.com/profile_images/1603545636309241856/yvqEuSnz_normal.jpg</v>
      </c>
      <c r="AW365" s="80" t="s">
        <v>16347</v>
      </c>
      <c r="AX365" s="80" t="s">
        <v>16347</v>
      </c>
      <c r="AY365" s="77"/>
      <c r="AZ365" s="80" t="s">
        <v>20380</v>
      </c>
      <c r="BA365" s="80" t="s">
        <v>20380</v>
      </c>
      <c r="BB365" s="80" t="s">
        <v>20380</v>
      </c>
      <c r="BC365" s="80" t="s">
        <v>16347</v>
      </c>
      <c r="BD365" s="77">
        <v>14311308</v>
      </c>
      <c r="BE365" s="77"/>
      <c r="BF365" s="77"/>
      <c r="BG365" s="77"/>
      <c r="BH365" s="77"/>
      <c r="BI365" s="77"/>
    </row>
    <row r="366" spans="1:61" x14ac:dyDescent="0.25">
      <c r="A366" s="62" t="s">
        <v>383</v>
      </c>
      <c r="B366" s="62" t="s">
        <v>383</v>
      </c>
      <c r="C366" s="63"/>
      <c r="D366" s="64"/>
      <c r="E366" s="65"/>
      <c r="F366" s="66"/>
      <c r="G366" s="63"/>
      <c r="H366" s="67"/>
      <c r="I366" s="68"/>
      <c r="J366" s="68"/>
      <c r="K366" s="32"/>
      <c r="L366" s="75">
        <v>366</v>
      </c>
      <c r="M366" s="75"/>
      <c r="N366" s="70"/>
      <c r="O366" s="77" t="s">
        <v>179</v>
      </c>
      <c r="P366" s="79">
        <v>45149.491412037038</v>
      </c>
      <c r="Q366" s="77" t="s">
        <v>2403</v>
      </c>
      <c r="R366" s="77">
        <v>0</v>
      </c>
      <c r="S366" s="77">
        <v>0</v>
      </c>
      <c r="T366" s="77">
        <v>0</v>
      </c>
      <c r="U366" s="77">
        <v>0</v>
      </c>
      <c r="V366" s="77">
        <v>143</v>
      </c>
      <c r="W366" s="80" t="s">
        <v>6168</v>
      </c>
      <c r="X366" s="83" t="str">
        <f>HYPERLINK("https://economia.ig.com.br/2023-08-11/credito-rotativo-cartao-credito-como-funciona.html.ampstories")</f>
        <v>https://economia.ig.com.br/2023-08-11/credito-rotativo-cartao-credito-como-funciona.html.ampstories</v>
      </c>
      <c r="Y366" s="77" t="s">
        <v>8611</v>
      </c>
      <c r="Z366" s="77"/>
      <c r="AA366" s="77"/>
      <c r="AB366" s="77"/>
      <c r="AC366" s="80" t="s">
        <v>10541</v>
      </c>
      <c r="AD366" s="77" t="s">
        <v>10617</v>
      </c>
      <c r="AE366" s="83" t="str">
        <f>HYPERLINK("https://twitter.com/ig/status/1689966804301414400")</f>
        <v>https://twitter.com/ig/status/1689966804301414400</v>
      </c>
      <c r="AF366" s="79">
        <v>45149.491412037038</v>
      </c>
      <c r="AG366" s="85">
        <v>45149</v>
      </c>
      <c r="AH366" s="80" t="s">
        <v>10962</v>
      </c>
      <c r="AI366" s="77" t="b">
        <v>0</v>
      </c>
      <c r="AJ366" s="77"/>
      <c r="AK366" s="77"/>
      <c r="AL366" s="77"/>
      <c r="AM366" s="77"/>
      <c r="AN366" s="77"/>
      <c r="AO366" s="77"/>
      <c r="AP366" s="77"/>
      <c r="AQ366" s="77"/>
      <c r="AR366" s="77"/>
      <c r="AS366" s="77"/>
      <c r="AT366" s="77"/>
      <c r="AU366" s="77"/>
      <c r="AV366" s="83" t="str">
        <f>HYPERLINK("https://pbs.twimg.com/profile_images/1603545636309241856/yvqEuSnz_normal.jpg")</f>
        <v>https://pbs.twimg.com/profile_images/1603545636309241856/yvqEuSnz_normal.jpg</v>
      </c>
      <c r="AW366" s="80" t="s">
        <v>16348</v>
      </c>
      <c r="AX366" s="80" t="s">
        <v>16348</v>
      </c>
      <c r="AY366" s="77"/>
      <c r="AZ366" s="80" t="s">
        <v>20380</v>
      </c>
      <c r="BA366" s="80" t="s">
        <v>20380</v>
      </c>
      <c r="BB366" s="80" t="s">
        <v>20380</v>
      </c>
      <c r="BC366" s="80" t="s">
        <v>16348</v>
      </c>
      <c r="BD366" s="77">
        <v>14311308</v>
      </c>
      <c r="BE366" s="77"/>
      <c r="BF366" s="77"/>
      <c r="BG366" s="77"/>
      <c r="BH366" s="77"/>
      <c r="BI366" s="77"/>
    </row>
    <row r="367" spans="1:61" x14ac:dyDescent="0.25">
      <c r="A367" s="62" t="s">
        <v>383</v>
      </c>
      <c r="B367" s="62" t="s">
        <v>383</v>
      </c>
      <c r="C367" s="63"/>
      <c r="D367" s="64"/>
      <c r="E367" s="65"/>
      <c r="F367" s="66"/>
      <c r="G367" s="63"/>
      <c r="H367" s="67"/>
      <c r="I367" s="68"/>
      <c r="J367" s="68"/>
      <c r="K367" s="32"/>
      <c r="L367" s="75">
        <v>367</v>
      </c>
      <c r="M367" s="75"/>
      <c r="N367" s="70"/>
      <c r="O367" s="77" t="s">
        <v>179</v>
      </c>
      <c r="P367" s="79">
        <v>45161.619699074072</v>
      </c>
      <c r="Q367" s="77" t="s">
        <v>2404</v>
      </c>
      <c r="R367" s="77">
        <v>0</v>
      </c>
      <c r="S367" s="77">
        <v>0</v>
      </c>
      <c r="T367" s="77">
        <v>0</v>
      </c>
      <c r="U367" s="77">
        <v>0</v>
      </c>
      <c r="V367" s="77">
        <v>155</v>
      </c>
      <c r="W367" s="80" t="s">
        <v>6169</v>
      </c>
      <c r="X367" s="83" t="str">
        <f>HYPERLINK("https://economia.ig.com.br/2023-08-23/banco-central-comunica-novo-vazamento-de-dados-de-chaves-pix.html")</f>
        <v>https://economia.ig.com.br/2023-08-23/banco-central-comunica-novo-vazamento-de-dados-de-chaves-pix.html</v>
      </c>
      <c r="Y367" s="77" t="s">
        <v>8611</v>
      </c>
      <c r="Z367" s="77"/>
      <c r="AA367" s="77"/>
      <c r="AB367" s="77"/>
      <c r="AC367" s="80" t="s">
        <v>10555</v>
      </c>
      <c r="AD367" s="77" t="s">
        <v>10617</v>
      </c>
      <c r="AE367" s="83" t="str">
        <f>HYPERLINK("https://twitter.com/ig/status/1694361947905339652")</f>
        <v>https://twitter.com/ig/status/1694361947905339652</v>
      </c>
      <c r="AF367" s="79">
        <v>45161.619699074072</v>
      </c>
      <c r="AG367" s="85">
        <v>45161</v>
      </c>
      <c r="AH367" s="80" t="s">
        <v>10963</v>
      </c>
      <c r="AI367" s="77" t="b">
        <v>0</v>
      </c>
      <c r="AJ367" s="77"/>
      <c r="AK367" s="77"/>
      <c r="AL367" s="77"/>
      <c r="AM367" s="77"/>
      <c r="AN367" s="77"/>
      <c r="AO367" s="77"/>
      <c r="AP367" s="77"/>
      <c r="AQ367" s="77"/>
      <c r="AR367" s="77"/>
      <c r="AS367" s="77"/>
      <c r="AT367" s="77"/>
      <c r="AU367" s="77"/>
      <c r="AV367" s="83" t="str">
        <f>HYPERLINK("https://pbs.twimg.com/profile_images/1603545636309241856/yvqEuSnz_normal.jpg")</f>
        <v>https://pbs.twimg.com/profile_images/1603545636309241856/yvqEuSnz_normal.jpg</v>
      </c>
      <c r="AW367" s="80" t="s">
        <v>16349</v>
      </c>
      <c r="AX367" s="80" t="s">
        <v>16349</v>
      </c>
      <c r="AY367" s="77"/>
      <c r="AZ367" s="80" t="s">
        <v>20380</v>
      </c>
      <c r="BA367" s="80" t="s">
        <v>20380</v>
      </c>
      <c r="BB367" s="80" t="s">
        <v>20380</v>
      </c>
      <c r="BC367" s="80" t="s">
        <v>16349</v>
      </c>
      <c r="BD367" s="77">
        <v>14311308</v>
      </c>
      <c r="BE367" s="77"/>
      <c r="BF367" s="77"/>
      <c r="BG367" s="77"/>
      <c r="BH367" s="77"/>
      <c r="BI367" s="77"/>
    </row>
    <row r="368" spans="1:61" x14ac:dyDescent="0.25">
      <c r="A368" s="62" t="s">
        <v>383</v>
      </c>
      <c r="B368" s="62" t="s">
        <v>383</v>
      </c>
      <c r="C368" s="63"/>
      <c r="D368" s="64"/>
      <c r="E368" s="65"/>
      <c r="F368" s="66"/>
      <c r="G368" s="63"/>
      <c r="H368" s="67"/>
      <c r="I368" s="68"/>
      <c r="J368" s="68"/>
      <c r="K368" s="32"/>
      <c r="L368" s="75">
        <v>368</v>
      </c>
      <c r="M368" s="75"/>
      <c r="N368" s="70"/>
      <c r="O368" s="77" t="s">
        <v>179</v>
      </c>
      <c r="P368" s="79">
        <v>45188.573923611111</v>
      </c>
      <c r="Q368" s="77" t="s">
        <v>2405</v>
      </c>
      <c r="R368" s="77">
        <v>0</v>
      </c>
      <c r="S368" s="77">
        <v>1</v>
      </c>
      <c r="T368" s="77">
        <v>0</v>
      </c>
      <c r="U368" s="77">
        <v>0</v>
      </c>
      <c r="V368" s="77">
        <v>151</v>
      </c>
      <c r="W368" s="80" t="s">
        <v>6168</v>
      </c>
      <c r="X368" s="83" t="str">
        <f>HYPERLINK("https://economia.ig.com.br/2023-09-19/atividade-economica-julho.html")</f>
        <v>https://economia.ig.com.br/2023-09-19/atividade-economica-julho.html</v>
      </c>
      <c r="Y368" s="77" t="s">
        <v>8611</v>
      </c>
      <c r="Z368" s="77"/>
      <c r="AA368" s="77"/>
      <c r="AB368" s="77"/>
      <c r="AC368" s="80" t="s">
        <v>10541</v>
      </c>
      <c r="AD368" s="77" t="s">
        <v>10617</v>
      </c>
      <c r="AE368" s="83" t="str">
        <f>HYPERLINK("https://twitter.com/ig/status/1704129829115945151")</f>
        <v>https://twitter.com/ig/status/1704129829115945151</v>
      </c>
      <c r="AF368" s="79">
        <v>45188.573923611111</v>
      </c>
      <c r="AG368" s="85">
        <v>45188</v>
      </c>
      <c r="AH368" s="80" t="s">
        <v>10964</v>
      </c>
      <c r="AI368" s="77" t="b">
        <v>0</v>
      </c>
      <c r="AJ368" s="77"/>
      <c r="AK368" s="77"/>
      <c r="AL368" s="77"/>
      <c r="AM368" s="77"/>
      <c r="AN368" s="77"/>
      <c r="AO368" s="77"/>
      <c r="AP368" s="77"/>
      <c r="AQ368" s="77"/>
      <c r="AR368" s="77"/>
      <c r="AS368" s="77"/>
      <c r="AT368" s="77"/>
      <c r="AU368" s="77"/>
      <c r="AV368" s="83" t="str">
        <f>HYPERLINK("https://pbs.twimg.com/profile_images/1603545636309241856/yvqEuSnz_normal.jpg")</f>
        <v>https://pbs.twimg.com/profile_images/1603545636309241856/yvqEuSnz_normal.jpg</v>
      </c>
      <c r="AW368" s="80" t="s">
        <v>16350</v>
      </c>
      <c r="AX368" s="80" t="s">
        <v>16350</v>
      </c>
      <c r="AY368" s="77"/>
      <c r="AZ368" s="80" t="s">
        <v>20380</v>
      </c>
      <c r="BA368" s="80" t="s">
        <v>20380</v>
      </c>
      <c r="BB368" s="80" t="s">
        <v>20380</v>
      </c>
      <c r="BC368" s="80" t="s">
        <v>16350</v>
      </c>
      <c r="BD368" s="77">
        <v>14311308</v>
      </c>
      <c r="BE368" s="77"/>
      <c r="BF368" s="77"/>
      <c r="BG368" s="77"/>
      <c r="BH368" s="77"/>
      <c r="BI368" s="77"/>
    </row>
    <row r="369" spans="1:61" x14ac:dyDescent="0.25">
      <c r="A369" s="62" t="s">
        <v>383</v>
      </c>
      <c r="B369" s="62" t="s">
        <v>383</v>
      </c>
      <c r="C369" s="63"/>
      <c r="D369" s="64"/>
      <c r="E369" s="65"/>
      <c r="F369" s="66"/>
      <c r="G369" s="63"/>
      <c r="H369" s="67"/>
      <c r="I369" s="68"/>
      <c r="J369" s="68"/>
      <c r="K369" s="32"/>
      <c r="L369" s="75">
        <v>369</v>
      </c>
      <c r="M369" s="75"/>
      <c r="N369" s="70"/>
      <c r="O369" s="77" t="s">
        <v>179</v>
      </c>
      <c r="P369" s="79">
        <v>45170.487812500003</v>
      </c>
      <c r="Q369" s="77" t="s">
        <v>2406</v>
      </c>
      <c r="R369" s="77">
        <v>0</v>
      </c>
      <c r="S369" s="77">
        <v>0</v>
      </c>
      <c r="T369" s="77">
        <v>0</v>
      </c>
      <c r="U369" s="77">
        <v>0</v>
      </c>
      <c r="V369" s="77">
        <v>101</v>
      </c>
      <c r="W369" s="80" t="s">
        <v>6170</v>
      </c>
      <c r="X369" s="83" t="str">
        <f>HYPERLINK("https://economia.ig.com.br/colunas/joao-ricardo-costa-filho/2023-09-01/banco-central-baixa-juros.html")</f>
        <v>https://economia.ig.com.br/colunas/joao-ricardo-costa-filho/2023-09-01/banco-central-baixa-juros.html</v>
      </c>
      <c r="Y369" s="77" t="s">
        <v>8611</v>
      </c>
      <c r="Z369" s="77"/>
      <c r="AA369" s="77"/>
      <c r="AB369" s="77"/>
      <c r="AC369" s="80" t="s">
        <v>10541</v>
      </c>
      <c r="AD369" s="77" t="s">
        <v>10617</v>
      </c>
      <c r="AE369" s="83" t="str">
        <f>HYPERLINK("https://twitter.com/ig/status/1697575642928164922")</f>
        <v>https://twitter.com/ig/status/1697575642928164922</v>
      </c>
      <c r="AF369" s="79">
        <v>45170.487812500003</v>
      </c>
      <c r="AG369" s="85">
        <v>45170</v>
      </c>
      <c r="AH369" s="80" t="s">
        <v>10965</v>
      </c>
      <c r="AI369" s="77" t="b">
        <v>0</v>
      </c>
      <c r="AJ369" s="77"/>
      <c r="AK369" s="77"/>
      <c r="AL369" s="77"/>
      <c r="AM369" s="77"/>
      <c r="AN369" s="77"/>
      <c r="AO369" s="77"/>
      <c r="AP369" s="77"/>
      <c r="AQ369" s="77"/>
      <c r="AR369" s="77"/>
      <c r="AS369" s="77"/>
      <c r="AT369" s="77"/>
      <c r="AU369" s="77"/>
      <c r="AV369" s="83" t="str">
        <f>HYPERLINK("https://pbs.twimg.com/profile_images/1603545636309241856/yvqEuSnz_normal.jpg")</f>
        <v>https://pbs.twimg.com/profile_images/1603545636309241856/yvqEuSnz_normal.jpg</v>
      </c>
      <c r="AW369" s="80" t="s">
        <v>16351</v>
      </c>
      <c r="AX369" s="80" t="s">
        <v>16351</v>
      </c>
      <c r="AY369" s="77"/>
      <c r="AZ369" s="80" t="s">
        <v>20380</v>
      </c>
      <c r="BA369" s="80" t="s">
        <v>20380</v>
      </c>
      <c r="BB369" s="80" t="s">
        <v>20380</v>
      </c>
      <c r="BC369" s="80" t="s">
        <v>16351</v>
      </c>
      <c r="BD369" s="77">
        <v>14311308</v>
      </c>
      <c r="BE369" s="77"/>
      <c r="BF369" s="77"/>
      <c r="BG369" s="77"/>
      <c r="BH369" s="77"/>
      <c r="BI369" s="77"/>
    </row>
    <row r="370" spans="1:61" x14ac:dyDescent="0.25">
      <c r="A370" s="62" t="s">
        <v>383</v>
      </c>
      <c r="B370" s="62" t="s">
        <v>383</v>
      </c>
      <c r="C370" s="63"/>
      <c r="D370" s="64"/>
      <c r="E370" s="65"/>
      <c r="F370" s="66"/>
      <c r="G370" s="63"/>
      <c r="H370" s="67"/>
      <c r="I370" s="68"/>
      <c r="J370" s="68"/>
      <c r="K370" s="32"/>
      <c r="L370" s="75">
        <v>370</v>
      </c>
      <c r="M370" s="75"/>
      <c r="N370" s="70"/>
      <c r="O370" s="77" t="s">
        <v>179</v>
      </c>
      <c r="P370" s="79">
        <v>45196.658437500002</v>
      </c>
      <c r="Q370" s="77" t="s">
        <v>2407</v>
      </c>
      <c r="R370" s="77">
        <v>0</v>
      </c>
      <c r="S370" s="77">
        <v>1</v>
      </c>
      <c r="T370" s="77">
        <v>0</v>
      </c>
      <c r="U370" s="77">
        <v>0</v>
      </c>
      <c r="V370" s="77">
        <v>179</v>
      </c>
      <c r="W370" s="80" t="s">
        <v>6171</v>
      </c>
      <c r="X370" s="83" t="str">
        <f>HYPERLINK("https://economia.ig.com.br/2023-09-27/campos-neto-offshore-taxacao-super-ricos.html")</f>
        <v>https://economia.ig.com.br/2023-09-27/campos-neto-offshore-taxacao-super-ricos.html</v>
      </c>
      <c r="Y370" s="77" t="s">
        <v>8611</v>
      </c>
      <c r="Z370" s="77"/>
      <c r="AA370" s="77"/>
      <c r="AB370" s="77"/>
      <c r="AC370" s="80" t="s">
        <v>10541</v>
      </c>
      <c r="AD370" s="77" t="s">
        <v>10617</v>
      </c>
      <c r="AE370" s="83" t="str">
        <f>HYPERLINK("https://twitter.com/ig/status/1707059558470803497")</f>
        <v>https://twitter.com/ig/status/1707059558470803497</v>
      </c>
      <c r="AF370" s="79">
        <v>45196.658437500002</v>
      </c>
      <c r="AG370" s="85">
        <v>45196</v>
      </c>
      <c r="AH370" s="80" t="s">
        <v>10966</v>
      </c>
      <c r="AI370" s="77" t="b">
        <v>0</v>
      </c>
      <c r="AJ370" s="77"/>
      <c r="AK370" s="77"/>
      <c r="AL370" s="77"/>
      <c r="AM370" s="77"/>
      <c r="AN370" s="77"/>
      <c r="AO370" s="77"/>
      <c r="AP370" s="77"/>
      <c r="AQ370" s="77"/>
      <c r="AR370" s="77"/>
      <c r="AS370" s="77"/>
      <c r="AT370" s="77"/>
      <c r="AU370" s="77"/>
      <c r="AV370" s="83" t="str">
        <f>HYPERLINK("https://pbs.twimg.com/profile_images/1603545636309241856/yvqEuSnz_normal.jpg")</f>
        <v>https://pbs.twimg.com/profile_images/1603545636309241856/yvqEuSnz_normal.jpg</v>
      </c>
      <c r="AW370" s="80" t="s">
        <v>16352</v>
      </c>
      <c r="AX370" s="80" t="s">
        <v>16352</v>
      </c>
      <c r="AY370" s="77"/>
      <c r="AZ370" s="80" t="s">
        <v>20380</v>
      </c>
      <c r="BA370" s="80" t="s">
        <v>20380</v>
      </c>
      <c r="BB370" s="80" t="s">
        <v>20380</v>
      </c>
      <c r="BC370" s="80" t="s">
        <v>16352</v>
      </c>
      <c r="BD370" s="77">
        <v>14311308</v>
      </c>
      <c r="BE370" s="77"/>
      <c r="BF370" s="77"/>
      <c r="BG370" s="77"/>
      <c r="BH370" s="77"/>
      <c r="BI370" s="77"/>
    </row>
    <row r="371" spans="1:61" x14ac:dyDescent="0.25">
      <c r="A371" s="62" t="s">
        <v>384</v>
      </c>
      <c r="B371" s="62" t="s">
        <v>1655</v>
      </c>
      <c r="C371" s="63"/>
      <c r="D371" s="64"/>
      <c r="E371" s="65"/>
      <c r="F371" s="66"/>
      <c r="G371" s="63"/>
      <c r="H371" s="67"/>
      <c r="I371" s="68"/>
      <c r="J371" s="68"/>
      <c r="K371" s="32"/>
      <c r="L371" s="75">
        <v>371</v>
      </c>
      <c r="M371" s="75"/>
      <c r="N371" s="70"/>
      <c r="O371" s="77" t="s">
        <v>2083</v>
      </c>
      <c r="P371" s="79">
        <v>45191.428715277776</v>
      </c>
      <c r="Q371" s="77" t="s">
        <v>2120</v>
      </c>
      <c r="R371" s="77">
        <v>57</v>
      </c>
      <c r="S371" s="77">
        <v>0</v>
      </c>
      <c r="T371" s="77">
        <v>0</v>
      </c>
      <c r="U371" s="77">
        <v>0</v>
      </c>
      <c r="V371" s="77"/>
      <c r="W371" s="80" t="s">
        <v>5917</v>
      </c>
      <c r="X371" s="77"/>
      <c r="Y371" s="77"/>
      <c r="Z371" s="77" t="s">
        <v>1655</v>
      </c>
      <c r="AA371" s="77"/>
      <c r="AB371" s="77"/>
      <c r="AC371" s="80" t="s">
        <v>10540</v>
      </c>
      <c r="AD371" s="77" t="s">
        <v>10617</v>
      </c>
      <c r="AE371" s="83" t="str">
        <f>HYPERLINK("https://twitter.com/beteamarall/status/1705164370936795271")</f>
        <v>https://twitter.com/beteamarall/status/1705164370936795271</v>
      </c>
      <c r="AF371" s="79">
        <v>45191.428715277776</v>
      </c>
      <c r="AG371" s="85">
        <v>45191</v>
      </c>
      <c r="AH371" s="80" t="s">
        <v>10967</v>
      </c>
      <c r="AI371" s="77"/>
      <c r="AJ371" s="77"/>
      <c r="AK371" s="77"/>
      <c r="AL371" s="77"/>
      <c r="AM371" s="77"/>
      <c r="AN371" s="77"/>
      <c r="AO371" s="77"/>
      <c r="AP371" s="77"/>
      <c r="AQ371" s="77"/>
      <c r="AR371" s="77"/>
      <c r="AS371" s="77"/>
      <c r="AT371" s="77"/>
      <c r="AU371" s="77"/>
      <c r="AV371" s="83" t="str">
        <f>HYPERLINK("https://pbs.twimg.com/profile_images/1653662822348255233/nsXFxRgB_normal.jpg")</f>
        <v>https://pbs.twimg.com/profile_images/1653662822348255233/nsXFxRgB_normal.jpg</v>
      </c>
      <c r="AW371" s="80" t="s">
        <v>16353</v>
      </c>
      <c r="AX371" s="80" t="s">
        <v>16353</v>
      </c>
      <c r="AY371" s="77"/>
      <c r="AZ371" s="80" t="s">
        <v>20380</v>
      </c>
      <c r="BA371" s="80" t="s">
        <v>20380</v>
      </c>
      <c r="BB371" s="80" t="s">
        <v>19843</v>
      </c>
      <c r="BC371" s="80" t="s">
        <v>19843</v>
      </c>
      <c r="BD371" s="77">
        <v>2446310036</v>
      </c>
      <c r="BE371" s="77"/>
      <c r="BF371" s="77"/>
      <c r="BG371" s="77"/>
      <c r="BH371" s="77"/>
      <c r="BI371" s="77"/>
    </row>
    <row r="372" spans="1:61" x14ac:dyDescent="0.25">
      <c r="A372" s="62" t="s">
        <v>385</v>
      </c>
      <c r="B372" s="62" t="s">
        <v>385</v>
      </c>
      <c r="C372" s="63"/>
      <c r="D372" s="64"/>
      <c r="E372" s="65"/>
      <c r="F372" s="66"/>
      <c r="G372" s="63"/>
      <c r="H372" s="67"/>
      <c r="I372" s="68"/>
      <c r="J372" s="68"/>
      <c r="K372" s="32"/>
      <c r="L372" s="75">
        <v>372</v>
      </c>
      <c r="M372" s="75"/>
      <c r="N372" s="70"/>
      <c r="O372" s="77" t="s">
        <v>2078</v>
      </c>
      <c r="P372" s="79">
        <v>45197.622164351851</v>
      </c>
      <c r="Q372" s="77" t="s">
        <v>2408</v>
      </c>
      <c r="R372" s="77">
        <v>0</v>
      </c>
      <c r="S372" s="77">
        <v>0</v>
      </c>
      <c r="T372" s="77">
        <v>0</v>
      </c>
      <c r="U372" s="77">
        <v>0</v>
      </c>
      <c r="V372" s="77">
        <v>11</v>
      </c>
      <c r="W372" s="80" t="s">
        <v>6172</v>
      </c>
      <c r="X372" s="77"/>
      <c r="Y372" s="77"/>
      <c r="Z372" s="77"/>
      <c r="AA372" s="77"/>
      <c r="AB372" s="77"/>
      <c r="AC372" s="80" t="s">
        <v>10542</v>
      </c>
      <c r="AD372" s="77" t="s">
        <v>10617</v>
      </c>
      <c r="AE372" s="83" t="str">
        <f>HYPERLINK("https://twitter.com/diariocapitalam/status/1707408801664479593")</f>
        <v>https://twitter.com/diariocapitalam/status/1707408801664479593</v>
      </c>
      <c r="AF372" s="79">
        <v>45197.622164351851</v>
      </c>
      <c r="AG372" s="85">
        <v>45197</v>
      </c>
      <c r="AH372" s="80" t="s">
        <v>10968</v>
      </c>
      <c r="AI372" s="77"/>
      <c r="AJ372" s="77"/>
      <c r="AK372" s="77"/>
      <c r="AL372" s="77"/>
      <c r="AM372" s="77"/>
      <c r="AN372" s="77"/>
      <c r="AO372" s="77"/>
      <c r="AP372" s="77"/>
      <c r="AQ372" s="77"/>
      <c r="AR372" s="77"/>
      <c r="AS372" s="77"/>
      <c r="AT372" s="77"/>
      <c r="AU372" s="77"/>
      <c r="AV372" s="83" t="str">
        <f>HYPERLINK("https://pbs.twimg.com/profile_images/1610747113096286213/WrT6JNvu_normal.jpg")</f>
        <v>https://pbs.twimg.com/profile_images/1610747113096286213/WrT6JNvu_normal.jpg</v>
      </c>
      <c r="AW372" s="80" t="s">
        <v>16354</v>
      </c>
      <c r="AX372" s="80" t="s">
        <v>19983</v>
      </c>
      <c r="AY372" s="80" t="s">
        <v>20233</v>
      </c>
      <c r="AZ372" s="80" t="s">
        <v>19983</v>
      </c>
      <c r="BA372" s="80" t="s">
        <v>20380</v>
      </c>
      <c r="BB372" s="80" t="s">
        <v>20380</v>
      </c>
      <c r="BC372" s="80" t="s">
        <v>19983</v>
      </c>
      <c r="BD372" s="80" t="s">
        <v>20233</v>
      </c>
      <c r="BE372" s="77"/>
      <c r="BF372" s="77"/>
      <c r="BG372" s="77"/>
      <c r="BH372" s="77"/>
      <c r="BI372" s="77"/>
    </row>
    <row r="373" spans="1:61" x14ac:dyDescent="0.25">
      <c r="A373" s="62" t="s">
        <v>386</v>
      </c>
      <c r="B373" s="62" t="s">
        <v>1733</v>
      </c>
      <c r="C373" s="63"/>
      <c r="D373" s="64"/>
      <c r="E373" s="65"/>
      <c r="F373" s="66"/>
      <c r="G373" s="63"/>
      <c r="H373" s="67"/>
      <c r="I373" s="68"/>
      <c r="J373" s="68"/>
      <c r="K373" s="32"/>
      <c r="L373" s="75">
        <v>373</v>
      </c>
      <c r="M373" s="75"/>
      <c r="N373" s="70"/>
      <c r="O373" s="77" t="s">
        <v>2085</v>
      </c>
      <c r="P373" s="79">
        <v>45192.835752314815</v>
      </c>
      <c r="Q373" s="77" t="s">
        <v>2409</v>
      </c>
      <c r="R373" s="77">
        <v>10</v>
      </c>
      <c r="S373" s="77">
        <v>0</v>
      </c>
      <c r="T373" s="77">
        <v>0</v>
      </c>
      <c r="U373" s="77">
        <v>0</v>
      </c>
      <c r="V373" s="77"/>
      <c r="W373" s="77"/>
      <c r="X373" s="77"/>
      <c r="Y373" s="77"/>
      <c r="Z373" s="77" t="s">
        <v>8915</v>
      </c>
      <c r="AA373" s="77"/>
      <c r="AB373" s="77"/>
      <c r="AC373" s="80" t="s">
        <v>10540</v>
      </c>
      <c r="AD373" s="77" t="s">
        <v>10620</v>
      </c>
      <c r="AE373" s="83" t="str">
        <f>HYPERLINK("https://twitter.com/mcvann20111/status/1705674265826062423")</f>
        <v>https://twitter.com/mcvann20111/status/1705674265826062423</v>
      </c>
      <c r="AF373" s="79">
        <v>45192.835752314815</v>
      </c>
      <c r="AG373" s="85">
        <v>45192</v>
      </c>
      <c r="AH373" s="80" t="s">
        <v>10969</v>
      </c>
      <c r="AI373" s="77"/>
      <c r="AJ373" s="77"/>
      <c r="AK373" s="77"/>
      <c r="AL373" s="77"/>
      <c r="AM373" s="77"/>
      <c r="AN373" s="77"/>
      <c r="AO373" s="77"/>
      <c r="AP373" s="77"/>
      <c r="AQ373" s="77"/>
      <c r="AR373" s="77"/>
      <c r="AS373" s="77"/>
      <c r="AT373" s="77"/>
      <c r="AU373" s="77"/>
      <c r="AV373" s="83" t="str">
        <f>HYPERLINK("https://pbs.twimg.com/profile_images/1022688292368797698/Z1JClzB__normal.jpg")</f>
        <v>https://pbs.twimg.com/profile_images/1022688292368797698/Z1JClzB__normal.jpg</v>
      </c>
      <c r="AW373" s="80" t="s">
        <v>16355</v>
      </c>
      <c r="AX373" s="80" t="s">
        <v>16355</v>
      </c>
      <c r="AY373" s="77"/>
      <c r="AZ373" s="80" t="s">
        <v>20380</v>
      </c>
      <c r="BA373" s="80" t="s">
        <v>20380</v>
      </c>
      <c r="BB373" s="80" t="s">
        <v>19426</v>
      </c>
      <c r="BC373" s="80" t="s">
        <v>19426</v>
      </c>
      <c r="BD373" s="77">
        <v>238786165</v>
      </c>
      <c r="BE373" s="77"/>
      <c r="BF373" s="77"/>
      <c r="BG373" s="77"/>
      <c r="BH373" s="77"/>
      <c r="BI373" s="77"/>
    </row>
    <row r="374" spans="1:61" x14ac:dyDescent="0.25">
      <c r="A374" s="62" t="s">
        <v>386</v>
      </c>
      <c r="B374" s="62" t="s">
        <v>1734</v>
      </c>
      <c r="C374" s="63"/>
      <c r="D374" s="64"/>
      <c r="E374" s="65"/>
      <c r="F374" s="66"/>
      <c r="G374" s="63"/>
      <c r="H374" s="67"/>
      <c r="I374" s="68"/>
      <c r="J374" s="68"/>
      <c r="K374" s="32"/>
      <c r="L374" s="75">
        <v>374</v>
      </c>
      <c r="M374" s="75"/>
      <c r="N374" s="70"/>
      <c r="O374" s="77" t="s">
        <v>2085</v>
      </c>
      <c r="P374" s="79">
        <v>45192.835752314815</v>
      </c>
      <c r="Q374" s="77" t="s">
        <v>2409</v>
      </c>
      <c r="R374" s="77">
        <v>10</v>
      </c>
      <c r="S374" s="77">
        <v>0</v>
      </c>
      <c r="T374" s="77">
        <v>0</v>
      </c>
      <c r="U374" s="77">
        <v>0</v>
      </c>
      <c r="V374" s="77"/>
      <c r="W374" s="77"/>
      <c r="X374" s="77"/>
      <c r="Y374" s="77"/>
      <c r="Z374" s="77" t="s">
        <v>8915</v>
      </c>
      <c r="AA374" s="77"/>
      <c r="AB374" s="77"/>
      <c r="AC374" s="80" t="s">
        <v>10540</v>
      </c>
      <c r="AD374" s="77" t="s">
        <v>10620</v>
      </c>
      <c r="AE374" s="83" t="str">
        <f>HYPERLINK("https://twitter.com/mcvann20111/status/1705674265826062423")</f>
        <v>https://twitter.com/mcvann20111/status/1705674265826062423</v>
      </c>
      <c r="AF374" s="79">
        <v>45192.835752314815</v>
      </c>
      <c r="AG374" s="85">
        <v>45192</v>
      </c>
      <c r="AH374" s="80" t="s">
        <v>10969</v>
      </c>
      <c r="AI374" s="77"/>
      <c r="AJ374" s="77"/>
      <c r="AK374" s="77"/>
      <c r="AL374" s="77"/>
      <c r="AM374" s="77"/>
      <c r="AN374" s="77"/>
      <c r="AO374" s="77"/>
      <c r="AP374" s="77"/>
      <c r="AQ374" s="77"/>
      <c r="AR374" s="77"/>
      <c r="AS374" s="77"/>
      <c r="AT374" s="77"/>
      <c r="AU374" s="77"/>
      <c r="AV374" s="83" t="str">
        <f>HYPERLINK("https://pbs.twimg.com/profile_images/1022688292368797698/Z1JClzB__normal.jpg")</f>
        <v>https://pbs.twimg.com/profile_images/1022688292368797698/Z1JClzB__normal.jpg</v>
      </c>
      <c r="AW374" s="80" t="s">
        <v>16355</v>
      </c>
      <c r="AX374" s="80" t="s">
        <v>16355</v>
      </c>
      <c r="AY374" s="77"/>
      <c r="AZ374" s="80" t="s">
        <v>20380</v>
      </c>
      <c r="BA374" s="80" t="s">
        <v>20380</v>
      </c>
      <c r="BB374" s="80" t="s">
        <v>19426</v>
      </c>
      <c r="BC374" s="80" t="s">
        <v>19426</v>
      </c>
      <c r="BD374" s="77">
        <v>238786165</v>
      </c>
      <c r="BE374" s="77"/>
      <c r="BF374" s="77"/>
      <c r="BG374" s="77"/>
      <c r="BH374" s="77"/>
      <c r="BI374" s="77"/>
    </row>
    <row r="375" spans="1:61" x14ac:dyDescent="0.25">
      <c r="A375" s="62" t="s">
        <v>386</v>
      </c>
      <c r="B375" s="62" t="s">
        <v>1735</v>
      </c>
      <c r="C375" s="63"/>
      <c r="D375" s="64"/>
      <c r="E375" s="65"/>
      <c r="F375" s="66"/>
      <c r="G375" s="63"/>
      <c r="H375" s="67"/>
      <c r="I375" s="68"/>
      <c r="J375" s="68"/>
      <c r="K375" s="32"/>
      <c r="L375" s="75">
        <v>375</v>
      </c>
      <c r="M375" s="75"/>
      <c r="N375" s="70"/>
      <c r="O375" s="77" t="s">
        <v>2085</v>
      </c>
      <c r="P375" s="79">
        <v>45192.835752314815</v>
      </c>
      <c r="Q375" s="77" t="s">
        <v>2409</v>
      </c>
      <c r="R375" s="77">
        <v>10</v>
      </c>
      <c r="S375" s="77">
        <v>0</v>
      </c>
      <c r="T375" s="77">
        <v>0</v>
      </c>
      <c r="U375" s="77">
        <v>0</v>
      </c>
      <c r="V375" s="77"/>
      <c r="W375" s="77"/>
      <c r="X375" s="77"/>
      <c r="Y375" s="77"/>
      <c r="Z375" s="77" t="s">
        <v>8915</v>
      </c>
      <c r="AA375" s="77"/>
      <c r="AB375" s="77"/>
      <c r="AC375" s="80" t="s">
        <v>10540</v>
      </c>
      <c r="AD375" s="77" t="s">
        <v>10620</v>
      </c>
      <c r="AE375" s="83" t="str">
        <f>HYPERLINK("https://twitter.com/mcvann20111/status/1705674265826062423")</f>
        <v>https://twitter.com/mcvann20111/status/1705674265826062423</v>
      </c>
      <c r="AF375" s="79">
        <v>45192.835752314815</v>
      </c>
      <c r="AG375" s="85">
        <v>45192</v>
      </c>
      <c r="AH375" s="80" t="s">
        <v>10969</v>
      </c>
      <c r="AI375" s="77"/>
      <c r="AJ375" s="77"/>
      <c r="AK375" s="77"/>
      <c r="AL375" s="77"/>
      <c r="AM375" s="77"/>
      <c r="AN375" s="77"/>
      <c r="AO375" s="77"/>
      <c r="AP375" s="77"/>
      <c r="AQ375" s="77"/>
      <c r="AR375" s="77"/>
      <c r="AS375" s="77"/>
      <c r="AT375" s="77"/>
      <c r="AU375" s="77"/>
      <c r="AV375" s="83" t="str">
        <f>HYPERLINK("https://pbs.twimg.com/profile_images/1022688292368797698/Z1JClzB__normal.jpg")</f>
        <v>https://pbs.twimg.com/profile_images/1022688292368797698/Z1JClzB__normal.jpg</v>
      </c>
      <c r="AW375" s="80" t="s">
        <v>16355</v>
      </c>
      <c r="AX375" s="80" t="s">
        <v>16355</v>
      </c>
      <c r="AY375" s="77"/>
      <c r="AZ375" s="80" t="s">
        <v>20380</v>
      </c>
      <c r="BA375" s="80" t="s">
        <v>20380</v>
      </c>
      <c r="BB375" s="80" t="s">
        <v>19426</v>
      </c>
      <c r="BC375" s="80" t="s">
        <v>19426</v>
      </c>
      <c r="BD375" s="77">
        <v>238786165</v>
      </c>
      <c r="BE375" s="77"/>
      <c r="BF375" s="77"/>
      <c r="BG375" s="77"/>
      <c r="BH375" s="77"/>
      <c r="BI375" s="77"/>
    </row>
    <row r="376" spans="1:61" x14ac:dyDescent="0.25">
      <c r="A376" s="62" t="s">
        <v>386</v>
      </c>
      <c r="B376" s="62" t="s">
        <v>1736</v>
      </c>
      <c r="C376" s="63"/>
      <c r="D376" s="64"/>
      <c r="E376" s="65"/>
      <c r="F376" s="66"/>
      <c r="G376" s="63"/>
      <c r="H376" s="67"/>
      <c r="I376" s="68"/>
      <c r="J376" s="68"/>
      <c r="K376" s="32"/>
      <c r="L376" s="75">
        <v>376</v>
      </c>
      <c r="M376" s="75"/>
      <c r="N376" s="70"/>
      <c r="O376" s="77" t="s">
        <v>2085</v>
      </c>
      <c r="P376" s="79">
        <v>45192.835752314815</v>
      </c>
      <c r="Q376" s="77" t="s">
        <v>2409</v>
      </c>
      <c r="R376" s="77">
        <v>10</v>
      </c>
      <c r="S376" s="77">
        <v>0</v>
      </c>
      <c r="T376" s="77">
        <v>0</v>
      </c>
      <c r="U376" s="77">
        <v>0</v>
      </c>
      <c r="V376" s="77"/>
      <c r="W376" s="77"/>
      <c r="X376" s="77"/>
      <c r="Y376" s="77"/>
      <c r="Z376" s="77" t="s">
        <v>8915</v>
      </c>
      <c r="AA376" s="77"/>
      <c r="AB376" s="77"/>
      <c r="AC376" s="80" t="s">
        <v>10540</v>
      </c>
      <c r="AD376" s="77" t="s">
        <v>10620</v>
      </c>
      <c r="AE376" s="83" t="str">
        <f>HYPERLINK("https://twitter.com/mcvann20111/status/1705674265826062423")</f>
        <v>https://twitter.com/mcvann20111/status/1705674265826062423</v>
      </c>
      <c r="AF376" s="79">
        <v>45192.835752314815</v>
      </c>
      <c r="AG376" s="85">
        <v>45192</v>
      </c>
      <c r="AH376" s="80" t="s">
        <v>10969</v>
      </c>
      <c r="AI376" s="77"/>
      <c r="AJ376" s="77"/>
      <c r="AK376" s="77"/>
      <c r="AL376" s="77"/>
      <c r="AM376" s="77"/>
      <c r="AN376" s="77"/>
      <c r="AO376" s="77"/>
      <c r="AP376" s="77"/>
      <c r="AQ376" s="77"/>
      <c r="AR376" s="77"/>
      <c r="AS376" s="77"/>
      <c r="AT376" s="77"/>
      <c r="AU376" s="77"/>
      <c r="AV376" s="83" t="str">
        <f>HYPERLINK("https://pbs.twimg.com/profile_images/1022688292368797698/Z1JClzB__normal.jpg")</f>
        <v>https://pbs.twimg.com/profile_images/1022688292368797698/Z1JClzB__normal.jpg</v>
      </c>
      <c r="AW376" s="80" t="s">
        <v>16355</v>
      </c>
      <c r="AX376" s="80" t="s">
        <v>16355</v>
      </c>
      <c r="AY376" s="77"/>
      <c r="AZ376" s="80" t="s">
        <v>20380</v>
      </c>
      <c r="BA376" s="80" t="s">
        <v>20380</v>
      </c>
      <c r="BB376" s="80" t="s">
        <v>19426</v>
      </c>
      <c r="BC376" s="80" t="s">
        <v>19426</v>
      </c>
      <c r="BD376" s="77">
        <v>238786165</v>
      </c>
      <c r="BE376" s="77"/>
      <c r="BF376" s="77"/>
      <c r="BG376" s="77"/>
      <c r="BH376" s="77"/>
      <c r="BI376" s="77"/>
    </row>
    <row r="377" spans="1:61" x14ac:dyDescent="0.25">
      <c r="A377" s="62" t="s">
        <v>386</v>
      </c>
      <c r="B377" s="62" t="s">
        <v>1737</v>
      </c>
      <c r="C377" s="63"/>
      <c r="D377" s="64"/>
      <c r="E377" s="65"/>
      <c r="F377" s="66"/>
      <c r="G377" s="63"/>
      <c r="H377" s="67"/>
      <c r="I377" s="68"/>
      <c r="J377" s="68"/>
      <c r="K377" s="32"/>
      <c r="L377" s="75">
        <v>377</v>
      </c>
      <c r="M377" s="75"/>
      <c r="N377" s="70"/>
      <c r="O377" s="77" t="s">
        <v>2085</v>
      </c>
      <c r="P377" s="79">
        <v>45192.835752314815</v>
      </c>
      <c r="Q377" s="77" t="s">
        <v>2409</v>
      </c>
      <c r="R377" s="77">
        <v>10</v>
      </c>
      <c r="S377" s="77">
        <v>0</v>
      </c>
      <c r="T377" s="77">
        <v>0</v>
      </c>
      <c r="U377" s="77">
        <v>0</v>
      </c>
      <c r="V377" s="77"/>
      <c r="W377" s="77"/>
      <c r="X377" s="77"/>
      <c r="Y377" s="77"/>
      <c r="Z377" s="77" t="s">
        <v>8915</v>
      </c>
      <c r="AA377" s="77"/>
      <c r="AB377" s="77"/>
      <c r="AC377" s="80" t="s">
        <v>10540</v>
      </c>
      <c r="AD377" s="77" t="s">
        <v>10620</v>
      </c>
      <c r="AE377" s="83" t="str">
        <f>HYPERLINK("https://twitter.com/mcvann20111/status/1705674265826062423")</f>
        <v>https://twitter.com/mcvann20111/status/1705674265826062423</v>
      </c>
      <c r="AF377" s="79">
        <v>45192.835752314815</v>
      </c>
      <c r="AG377" s="85">
        <v>45192</v>
      </c>
      <c r="AH377" s="80" t="s">
        <v>10969</v>
      </c>
      <c r="AI377" s="77"/>
      <c r="AJ377" s="77"/>
      <c r="AK377" s="77"/>
      <c r="AL377" s="77"/>
      <c r="AM377" s="77"/>
      <c r="AN377" s="77"/>
      <c r="AO377" s="77"/>
      <c r="AP377" s="77"/>
      <c r="AQ377" s="77"/>
      <c r="AR377" s="77"/>
      <c r="AS377" s="77"/>
      <c r="AT377" s="77"/>
      <c r="AU377" s="77"/>
      <c r="AV377" s="83" t="str">
        <f>HYPERLINK("https://pbs.twimg.com/profile_images/1022688292368797698/Z1JClzB__normal.jpg")</f>
        <v>https://pbs.twimg.com/profile_images/1022688292368797698/Z1JClzB__normal.jpg</v>
      </c>
      <c r="AW377" s="80" t="s">
        <v>16355</v>
      </c>
      <c r="AX377" s="80" t="s">
        <v>16355</v>
      </c>
      <c r="AY377" s="77"/>
      <c r="AZ377" s="80" t="s">
        <v>20380</v>
      </c>
      <c r="BA377" s="80" t="s">
        <v>20380</v>
      </c>
      <c r="BB377" s="80" t="s">
        <v>19426</v>
      </c>
      <c r="BC377" s="80" t="s">
        <v>19426</v>
      </c>
      <c r="BD377" s="77">
        <v>238786165</v>
      </c>
      <c r="BE377" s="77"/>
      <c r="BF377" s="77"/>
      <c r="BG377" s="77"/>
      <c r="BH377" s="77"/>
      <c r="BI377" s="77"/>
    </row>
    <row r="378" spans="1:61" x14ac:dyDescent="0.25">
      <c r="A378" s="62" t="s">
        <v>386</v>
      </c>
      <c r="B378" s="62" t="s">
        <v>1738</v>
      </c>
      <c r="C378" s="63"/>
      <c r="D378" s="64"/>
      <c r="E378" s="65"/>
      <c r="F378" s="66"/>
      <c r="G378" s="63"/>
      <c r="H378" s="67"/>
      <c r="I378" s="68"/>
      <c r="J378" s="68"/>
      <c r="K378" s="32"/>
      <c r="L378" s="75">
        <v>378</v>
      </c>
      <c r="M378" s="75"/>
      <c r="N378" s="70"/>
      <c r="O378" s="77" t="s">
        <v>2085</v>
      </c>
      <c r="P378" s="79">
        <v>45192.835752314815</v>
      </c>
      <c r="Q378" s="77" t="s">
        <v>2409</v>
      </c>
      <c r="R378" s="77">
        <v>10</v>
      </c>
      <c r="S378" s="77">
        <v>0</v>
      </c>
      <c r="T378" s="77">
        <v>0</v>
      </c>
      <c r="U378" s="77">
        <v>0</v>
      </c>
      <c r="V378" s="77"/>
      <c r="W378" s="77"/>
      <c r="X378" s="77"/>
      <c r="Y378" s="77"/>
      <c r="Z378" s="77" t="s">
        <v>8915</v>
      </c>
      <c r="AA378" s="77"/>
      <c r="AB378" s="77"/>
      <c r="AC378" s="80" t="s">
        <v>10540</v>
      </c>
      <c r="AD378" s="77" t="s">
        <v>10620</v>
      </c>
      <c r="AE378" s="83" t="str">
        <f>HYPERLINK("https://twitter.com/mcvann20111/status/1705674265826062423")</f>
        <v>https://twitter.com/mcvann20111/status/1705674265826062423</v>
      </c>
      <c r="AF378" s="79">
        <v>45192.835752314815</v>
      </c>
      <c r="AG378" s="85">
        <v>45192</v>
      </c>
      <c r="AH378" s="80" t="s">
        <v>10969</v>
      </c>
      <c r="AI378" s="77"/>
      <c r="AJ378" s="77"/>
      <c r="AK378" s="77"/>
      <c r="AL378" s="77"/>
      <c r="AM378" s="77"/>
      <c r="AN378" s="77"/>
      <c r="AO378" s="77"/>
      <c r="AP378" s="77"/>
      <c r="AQ378" s="77"/>
      <c r="AR378" s="77"/>
      <c r="AS378" s="77"/>
      <c r="AT378" s="77"/>
      <c r="AU378" s="77"/>
      <c r="AV378" s="83" t="str">
        <f>HYPERLINK("https://pbs.twimg.com/profile_images/1022688292368797698/Z1JClzB__normal.jpg")</f>
        <v>https://pbs.twimg.com/profile_images/1022688292368797698/Z1JClzB__normal.jpg</v>
      </c>
      <c r="AW378" s="80" t="s">
        <v>16355</v>
      </c>
      <c r="AX378" s="80" t="s">
        <v>16355</v>
      </c>
      <c r="AY378" s="77"/>
      <c r="AZ378" s="80" t="s">
        <v>20380</v>
      </c>
      <c r="BA378" s="80" t="s">
        <v>20380</v>
      </c>
      <c r="BB378" s="80" t="s">
        <v>19426</v>
      </c>
      <c r="BC378" s="80" t="s">
        <v>19426</v>
      </c>
      <c r="BD378" s="77">
        <v>238786165</v>
      </c>
      <c r="BE378" s="77"/>
      <c r="BF378" s="77"/>
      <c r="BG378" s="77"/>
      <c r="BH378" s="77"/>
      <c r="BI378" s="77"/>
    </row>
    <row r="379" spans="1:61" x14ac:dyDescent="0.25">
      <c r="A379" s="62" t="s">
        <v>386</v>
      </c>
      <c r="B379" s="62" t="s">
        <v>1739</v>
      </c>
      <c r="C379" s="63"/>
      <c r="D379" s="64"/>
      <c r="E379" s="65"/>
      <c r="F379" s="66"/>
      <c r="G379" s="63"/>
      <c r="H379" s="67"/>
      <c r="I379" s="68"/>
      <c r="J379" s="68"/>
      <c r="K379" s="32"/>
      <c r="L379" s="75">
        <v>379</v>
      </c>
      <c r="M379" s="75"/>
      <c r="N379" s="70"/>
      <c r="O379" s="77" t="s">
        <v>2085</v>
      </c>
      <c r="P379" s="79">
        <v>45192.835752314815</v>
      </c>
      <c r="Q379" s="77" t="s">
        <v>2409</v>
      </c>
      <c r="R379" s="77">
        <v>10</v>
      </c>
      <c r="S379" s="77">
        <v>0</v>
      </c>
      <c r="T379" s="77">
        <v>0</v>
      </c>
      <c r="U379" s="77">
        <v>0</v>
      </c>
      <c r="V379" s="77"/>
      <c r="W379" s="77"/>
      <c r="X379" s="77"/>
      <c r="Y379" s="77"/>
      <c r="Z379" s="77" t="s">
        <v>8915</v>
      </c>
      <c r="AA379" s="77"/>
      <c r="AB379" s="77"/>
      <c r="AC379" s="80" t="s">
        <v>10540</v>
      </c>
      <c r="AD379" s="77" t="s">
        <v>10620</v>
      </c>
      <c r="AE379" s="83" t="str">
        <f>HYPERLINK("https://twitter.com/mcvann20111/status/1705674265826062423")</f>
        <v>https://twitter.com/mcvann20111/status/1705674265826062423</v>
      </c>
      <c r="AF379" s="79">
        <v>45192.835752314815</v>
      </c>
      <c r="AG379" s="85">
        <v>45192</v>
      </c>
      <c r="AH379" s="80" t="s">
        <v>10969</v>
      </c>
      <c r="AI379" s="77"/>
      <c r="AJ379" s="77"/>
      <c r="AK379" s="77"/>
      <c r="AL379" s="77"/>
      <c r="AM379" s="77"/>
      <c r="AN379" s="77"/>
      <c r="AO379" s="77"/>
      <c r="AP379" s="77"/>
      <c r="AQ379" s="77"/>
      <c r="AR379" s="77"/>
      <c r="AS379" s="77"/>
      <c r="AT379" s="77"/>
      <c r="AU379" s="77"/>
      <c r="AV379" s="83" t="str">
        <f>HYPERLINK("https://pbs.twimg.com/profile_images/1022688292368797698/Z1JClzB__normal.jpg")</f>
        <v>https://pbs.twimg.com/profile_images/1022688292368797698/Z1JClzB__normal.jpg</v>
      </c>
      <c r="AW379" s="80" t="s">
        <v>16355</v>
      </c>
      <c r="AX379" s="80" t="s">
        <v>16355</v>
      </c>
      <c r="AY379" s="77"/>
      <c r="AZ379" s="80" t="s">
        <v>20380</v>
      </c>
      <c r="BA379" s="80" t="s">
        <v>20380</v>
      </c>
      <c r="BB379" s="80" t="s">
        <v>19426</v>
      </c>
      <c r="BC379" s="80" t="s">
        <v>19426</v>
      </c>
      <c r="BD379" s="77">
        <v>238786165</v>
      </c>
      <c r="BE379" s="77"/>
      <c r="BF379" s="77"/>
      <c r="BG379" s="77"/>
      <c r="BH379" s="77"/>
      <c r="BI379" s="77"/>
    </row>
    <row r="380" spans="1:61" x14ac:dyDescent="0.25">
      <c r="A380" s="62" t="s">
        <v>386</v>
      </c>
      <c r="B380" s="62" t="s">
        <v>1740</v>
      </c>
      <c r="C380" s="63"/>
      <c r="D380" s="64"/>
      <c r="E380" s="65"/>
      <c r="F380" s="66"/>
      <c r="G380" s="63"/>
      <c r="H380" s="67"/>
      <c r="I380" s="68"/>
      <c r="J380" s="68"/>
      <c r="K380" s="32"/>
      <c r="L380" s="75">
        <v>380</v>
      </c>
      <c r="M380" s="75"/>
      <c r="N380" s="70"/>
      <c r="O380" s="77" t="s">
        <v>2085</v>
      </c>
      <c r="P380" s="79">
        <v>45192.835752314815</v>
      </c>
      <c r="Q380" s="77" t="s">
        <v>2409</v>
      </c>
      <c r="R380" s="77">
        <v>10</v>
      </c>
      <c r="S380" s="77">
        <v>0</v>
      </c>
      <c r="T380" s="77">
        <v>0</v>
      </c>
      <c r="U380" s="77">
        <v>0</v>
      </c>
      <c r="V380" s="77"/>
      <c r="W380" s="77"/>
      <c r="X380" s="77"/>
      <c r="Y380" s="77"/>
      <c r="Z380" s="77" t="s">
        <v>8915</v>
      </c>
      <c r="AA380" s="77"/>
      <c r="AB380" s="77"/>
      <c r="AC380" s="80" t="s">
        <v>10540</v>
      </c>
      <c r="AD380" s="77" t="s">
        <v>10620</v>
      </c>
      <c r="AE380" s="83" t="str">
        <f>HYPERLINK("https://twitter.com/mcvann20111/status/1705674265826062423")</f>
        <v>https://twitter.com/mcvann20111/status/1705674265826062423</v>
      </c>
      <c r="AF380" s="79">
        <v>45192.835752314815</v>
      </c>
      <c r="AG380" s="85">
        <v>45192</v>
      </c>
      <c r="AH380" s="80" t="s">
        <v>10969</v>
      </c>
      <c r="AI380" s="77"/>
      <c r="AJ380" s="77"/>
      <c r="AK380" s="77"/>
      <c r="AL380" s="77"/>
      <c r="AM380" s="77"/>
      <c r="AN380" s="77"/>
      <c r="AO380" s="77"/>
      <c r="AP380" s="77"/>
      <c r="AQ380" s="77"/>
      <c r="AR380" s="77"/>
      <c r="AS380" s="77"/>
      <c r="AT380" s="77"/>
      <c r="AU380" s="77"/>
      <c r="AV380" s="83" t="str">
        <f>HYPERLINK("https://pbs.twimg.com/profile_images/1022688292368797698/Z1JClzB__normal.jpg")</f>
        <v>https://pbs.twimg.com/profile_images/1022688292368797698/Z1JClzB__normal.jpg</v>
      </c>
      <c r="AW380" s="80" t="s">
        <v>16355</v>
      </c>
      <c r="AX380" s="80" t="s">
        <v>16355</v>
      </c>
      <c r="AY380" s="77"/>
      <c r="AZ380" s="80" t="s">
        <v>20380</v>
      </c>
      <c r="BA380" s="80" t="s">
        <v>20380</v>
      </c>
      <c r="BB380" s="80" t="s">
        <v>19426</v>
      </c>
      <c r="BC380" s="80" t="s">
        <v>19426</v>
      </c>
      <c r="BD380" s="77">
        <v>238786165</v>
      </c>
      <c r="BE380" s="77"/>
      <c r="BF380" s="77"/>
      <c r="BG380" s="77"/>
      <c r="BH380" s="77"/>
      <c r="BI380" s="77"/>
    </row>
    <row r="381" spans="1:61" x14ac:dyDescent="0.25">
      <c r="A381" s="62" t="s">
        <v>386</v>
      </c>
      <c r="B381" s="62" t="s">
        <v>1741</v>
      </c>
      <c r="C381" s="63"/>
      <c r="D381" s="64"/>
      <c r="E381" s="65"/>
      <c r="F381" s="66"/>
      <c r="G381" s="63"/>
      <c r="H381" s="67"/>
      <c r="I381" s="68"/>
      <c r="J381" s="68"/>
      <c r="K381" s="32"/>
      <c r="L381" s="75">
        <v>381</v>
      </c>
      <c r="M381" s="75"/>
      <c r="N381" s="70"/>
      <c r="O381" s="77" t="s">
        <v>2085</v>
      </c>
      <c r="P381" s="79">
        <v>45192.835752314815</v>
      </c>
      <c r="Q381" s="77" t="s">
        <v>2409</v>
      </c>
      <c r="R381" s="77">
        <v>10</v>
      </c>
      <c r="S381" s="77">
        <v>0</v>
      </c>
      <c r="T381" s="77">
        <v>0</v>
      </c>
      <c r="U381" s="77">
        <v>0</v>
      </c>
      <c r="V381" s="77"/>
      <c r="W381" s="77"/>
      <c r="X381" s="77"/>
      <c r="Y381" s="77"/>
      <c r="Z381" s="77" t="s">
        <v>8915</v>
      </c>
      <c r="AA381" s="77"/>
      <c r="AB381" s="77"/>
      <c r="AC381" s="80" t="s">
        <v>10540</v>
      </c>
      <c r="AD381" s="77" t="s">
        <v>10620</v>
      </c>
      <c r="AE381" s="83" t="str">
        <f>HYPERLINK("https://twitter.com/mcvann20111/status/1705674265826062423")</f>
        <v>https://twitter.com/mcvann20111/status/1705674265826062423</v>
      </c>
      <c r="AF381" s="79">
        <v>45192.835752314815</v>
      </c>
      <c r="AG381" s="85">
        <v>45192</v>
      </c>
      <c r="AH381" s="80" t="s">
        <v>10969</v>
      </c>
      <c r="AI381" s="77"/>
      <c r="AJ381" s="77"/>
      <c r="AK381" s="77"/>
      <c r="AL381" s="77"/>
      <c r="AM381" s="77"/>
      <c r="AN381" s="77"/>
      <c r="AO381" s="77"/>
      <c r="AP381" s="77"/>
      <c r="AQ381" s="77"/>
      <c r="AR381" s="77"/>
      <c r="AS381" s="77"/>
      <c r="AT381" s="77"/>
      <c r="AU381" s="77"/>
      <c r="AV381" s="83" t="str">
        <f>HYPERLINK("https://pbs.twimg.com/profile_images/1022688292368797698/Z1JClzB__normal.jpg")</f>
        <v>https://pbs.twimg.com/profile_images/1022688292368797698/Z1JClzB__normal.jpg</v>
      </c>
      <c r="AW381" s="80" t="s">
        <v>16355</v>
      </c>
      <c r="AX381" s="80" t="s">
        <v>16355</v>
      </c>
      <c r="AY381" s="77"/>
      <c r="AZ381" s="80" t="s">
        <v>20380</v>
      </c>
      <c r="BA381" s="80" t="s">
        <v>20380</v>
      </c>
      <c r="BB381" s="80" t="s">
        <v>19426</v>
      </c>
      <c r="BC381" s="80" t="s">
        <v>19426</v>
      </c>
      <c r="BD381" s="77">
        <v>238786165</v>
      </c>
      <c r="BE381" s="77"/>
      <c r="BF381" s="77"/>
      <c r="BG381" s="77"/>
      <c r="BH381" s="77"/>
      <c r="BI381" s="77"/>
    </row>
    <row r="382" spans="1:61" x14ac:dyDescent="0.25">
      <c r="A382" s="62" t="s">
        <v>386</v>
      </c>
      <c r="B382" s="62" t="s">
        <v>1492</v>
      </c>
      <c r="C382" s="63"/>
      <c r="D382" s="64"/>
      <c r="E382" s="65"/>
      <c r="F382" s="66"/>
      <c r="G382" s="63"/>
      <c r="H382" s="67"/>
      <c r="I382" s="68"/>
      <c r="J382" s="68"/>
      <c r="K382" s="32"/>
      <c r="L382" s="75">
        <v>382</v>
      </c>
      <c r="M382" s="75"/>
      <c r="N382" s="70"/>
      <c r="O382" s="77" t="s">
        <v>2083</v>
      </c>
      <c r="P382" s="79">
        <v>45192.835752314815</v>
      </c>
      <c r="Q382" s="77" t="s">
        <v>2409</v>
      </c>
      <c r="R382" s="77">
        <v>10</v>
      </c>
      <c r="S382" s="77">
        <v>0</v>
      </c>
      <c r="T382" s="77">
        <v>0</v>
      </c>
      <c r="U382" s="77">
        <v>0</v>
      </c>
      <c r="V382" s="77"/>
      <c r="W382" s="77"/>
      <c r="X382" s="77"/>
      <c r="Y382" s="77"/>
      <c r="Z382" s="77" t="s">
        <v>8915</v>
      </c>
      <c r="AA382" s="77"/>
      <c r="AB382" s="77"/>
      <c r="AC382" s="80" t="s">
        <v>10540</v>
      </c>
      <c r="AD382" s="77" t="s">
        <v>10620</v>
      </c>
      <c r="AE382" s="83" t="str">
        <f>HYPERLINK("https://twitter.com/mcvann20111/status/1705674265826062423")</f>
        <v>https://twitter.com/mcvann20111/status/1705674265826062423</v>
      </c>
      <c r="AF382" s="79">
        <v>45192.835752314815</v>
      </c>
      <c r="AG382" s="85">
        <v>45192</v>
      </c>
      <c r="AH382" s="80" t="s">
        <v>10969</v>
      </c>
      <c r="AI382" s="77"/>
      <c r="AJ382" s="77"/>
      <c r="AK382" s="77"/>
      <c r="AL382" s="77"/>
      <c r="AM382" s="77"/>
      <c r="AN382" s="77"/>
      <c r="AO382" s="77"/>
      <c r="AP382" s="77"/>
      <c r="AQ382" s="77"/>
      <c r="AR382" s="77"/>
      <c r="AS382" s="77"/>
      <c r="AT382" s="77"/>
      <c r="AU382" s="77"/>
      <c r="AV382" s="83" t="str">
        <f>HYPERLINK("https://pbs.twimg.com/profile_images/1022688292368797698/Z1JClzB__normal.jpg")</f>
        <v>https://pbs.twimg.com/profile_images/1022688292368797698/Z1JClzB__normal.jpg</v>
      </c>
      <c r="AW382" s="80" t="s">
        <v>16355</v>
      </c>
      <c r="AX382" s="80" t="s">
        <v>16355</v>
      </c>
      <c r="AY382" s="77"/>
      <c r="AZ382" s="80" t="s">
        <v>20380</v>
      </c>
      <c r="BA382" s="80" t="s">
        <v>20380</v>
      </c>
      <c r="BB382" s="80" t="s">
        <v>19426</v>
      </c>
      <c r="BC382" s="80" t="s">
        <v>19426</v>
      </c>
      <c r="BD382" s="77">
        <v>238786165</v>
      </c>
      <c r="BE382" s="77"/>
      <c r="BF382" s="77"/>
      <c r="BG382" s="77"/>
      <c r="BH382" s="77"/>
      <c r="BI382" s="77"/>
    </row>
    <row r="383" spans="1:61" x14ac:dyDescent="0.25">
      <c r="A383" s="62" t="s">
        <v>387</v>
      </c>
      <c r="B383" s="62" t="s">
        <v>387</v>
      </c>
      <c r="C383" s="63"/>
      <c r="D383" s="64"/>
      <c r="E383" s="65"/>
      <c r="F383" s="66"/>
      <c r="G383" s="63"/>
      <c r="H383" s="67"/>
      <c r="I383" s="68"/>
      <c r="J383" s="68"/>
      <c r="K383" s="32"/>
      <c r="L383" s="75">
        <v>383</v>
      </c>
      <c r="M383" s="75"/>
      <c r="N383" s="70"/>
      <c r="O383" s="77" t="s">
        <v>179</v>
      </c>
      <c r="P383" s="79">
        <v>45067.812615740739</v>
      </c>
      <c r="Q383" s="77" t="s">
        <v>2410</v>
      </c>
      <c r="R383" s="77">
        <v>0</v>
      </c>
      <c r="S383" s="77">
        <v>0</v>
      </c>
      <c r="T383" s="77">
        <v>0</v>
      </c>
      <c r="U383" s="77">
        <v>0</v>
      </c>
      <c r="V383" s="77">
        <v>41</v>
      </c>
      <c r="W383" s="80" t="s">
        <v>6173</v>
      </c>
      <c r="X383" s="77"/>
      <c r="Y383" s="77"/>
      <c r="Z383" s="77"/>
      <c r="AA383" s="77"/>
      <c r="AB383" s="77"/>
      <c r="AC383" s="80" t="s">
        <v>10540</v>
      </c>
      <c r="AD383" s="77" t="s">
        <v>10617</v>
      </c>
      <c r="AE383" s="83" t="str">
        <f>HYPERLINK("https://twitter.com/twikarock/status/1660367396488597506")</f>
        <v>https://twitter.com/twikarock/status/1660367396488597506</v>
      </c>
      <c r="AF383" s="79">
        <v>45067.812615740739</v>
      </c>
      <c r="AG383" s="85">
        <v>45067</v>
      </c>
      <c r="AH383" s="80" t="s">
        <v>10970</v>
      </c>
      <c r="AI383" s="77"/>
      <c r="AJ383" s="77"/>
      <c r="AK383" s="77"/>
      <c r="AL383" s="77"/>
      <c r="AM383" s="77"/>
      <c r="AN383" s="77"/>
      <c r="AO383" s="77"/>
      <c r="AP383" s="77"/>
      <c r="AQ383" s="77"/>
      <c r="AR383" s="77"/>
      <c r="AS383" s="77"/>
      <c r="AT383" s="77"/>
      <c r="AU383" s="77"/>
      <c r="AV383" s="83" t="str">
        <f>HYPERLINK("https://pbs.twimg.com/profile_images/1571134042912821258/hNvTBvIm_normal.jpg")</f>
        <v>https://pbs.twimg.com/profile_images/1571134042912821258/hNvTBvIm_normal.jpg</v>
      </c>
      <c r="AW383" s="80" t="s">
        <v>16356</v>
      </c>
      <c r="AX383" s="80" t="s">
        <v>16356</v>
      </c>
      <c r="AY383" s="77"/>
      <c r="AZ383" s="80" t="s">
        <v>20380</v>
      </c>
      <c r="BA383" s="80" t="s">
        <v>20380</v>
      </c>
      <c r="BB383" s="80" t="s">
        <v>20380</v>
      </c>
      <c r="BC383" s="80" t="s">
        <v>16356</v>
      </c>
      <c r="BD383" s="80" t="s">
        <v>20575</v>
      </c>
      <c r="BE383" s="77"/>
      <c r="BF383" s="77"/>
      <c r="BG383" s="77"/>
      <c r="BH383" s="77"/>
      <c r="BI383" s="77"/>
    </row>
    <row r="384" spans="1:61" x14ac:dyDescent="0.25">
      <c r="A384" s="62" t="s">
        <v>388</v>
      </c>
      <c r="B384" s="62" t="s">
        <v>388</v>
      </c>
      <c r="C384" s="63"/>
      <c r="D384" s="64"/>
      <c r="E384" s="65"/>
      <c r="F384" s="66"/>
      <c r="G384" s="63"/>
      <c r="H384" s="67"/>
      <c r="I384" s="68"/>
      <c r="J384" s="68"/>
      <c r="K384" s="32"/>
      <c r="L384" s="75">
        <v>384</v>
      </c>
      <c r="M384" s="75"/>
      <c r="N384" s="70"/>
      <c r="O384" s="77" t="s">
        <v>179</v>
      </c>
      <c r="P384" s="79">
        <v>45049.617199074077</v>
      </c>
      <c r="Q384" s="77" t="s">
        <v>2411</v>
      </c>
      <c r="R384" s="77">
        <v>0</v>
      </c>
      <c r="S384" s="77">
        <v>0</v>
      </c>
      <c r="T384" s="77">
        <v>0</v>
      </c>
      <c r="U384" s="77">
        <v>0</v>
      </c>
      <c r="V384" s="77">
        <v>265</v>
      </c>
      <c r="W384" s="80" t="s">
        <v>6174</v>
      </c>
      <c r="X384" s="83" t="str">
        <f>HYPERLINK("https://www.moneytimes.com.br/conheca-o-revolut-o-novo-competidor-de-nubank-inter-e-c6-bank/")</f>
        <v>https://www.moneytimes.com.br/conheca-o-revolut-o-novo-competidor-de-nubank-inter-e-c6-bank/</v>
      </c>
      <c r="Y384" s="77" t="s">
        <v>8611</v>
      </c>
      <c r="Z384" s="77"/>
      <c r="AA384" s="77"/>
      <c r="AB384" s="77"/>
      <c r="AC384" s="80" t="s">
        <v>10558</v>
      </c>
      <c r="AD384" s="77" t="s">
        <v>10617</v>
      </c>
      <c r="AE384" s="83" t="str">
        <f>HYPERLINK("https://twitter.com/leiacryptotimes/status/1653773599264604160")</f>
        <v>https://twitter.com/leiacryptotimes/status/1653773599264604160</v>
      </c>
      <c r="AF384" s="79">
        <v>45049.617199074077</v>
      </c>
      <c r="AG384" s="85">
        <v>45049</v>
      </c>
      <c r="AH384" s="80" t="s">
        <v>10971</v>
      </c>
      <c r="AI384" s="77" t="b">
        <v>0</v>
      </c>
      <c r="AJ384" s="77"/>
      <c r="AK384" s="77"/>
      <c r="AL384" s="77"/>
      <c r="AM384" s="77"/>
      <c r="AN384" s="77"/>
      <c r="AO384" s="77"/>
      <c r="AP384" s="77"/>
      <c r="AQ384" s="77"/>
      <c r="AR384" s="77"/>
      <c r="AS384" s="77"/>
      <c r="AT384" s="77"/>
      <c r="AU384" s="77"/>
      <c r="AV384" s="83" t="str">
        <f>HYPERLINK("https://pbs.twimg.com/profile_images/1273964615530053632/qHcU0VHf_normal.jpg")</f>
        <v>https://pbs.twimg.com/profile_images/1273964615530053632/qHcU0VHf_normal.jpg</v>
      </c>
      <c r="AW384" s="80" t="s">
        <v>16357</v>
      </c>
      <c r="AX384" s="80" t="s">
        <v>16357</v>
      </c>
      <c r="AY384" s="77"/>
      <c r="AZ384" s="80" t="s">
        <v>20380</v>
      </c>
      <c r="BA384" s="80" t="s">
        <v>20380</v>
      </c>
      <c r="BB384" s="80" t="s">
        <v>20380</v>
      </c>
      <c r="BC384" s="80" t="s">
        <v>16357</v>
      </c>
      <c r="BD384" s="80" t="s">
        <v>20576</v>
      </c>
      <c r="BE384" s="77"/>
      <c r="BF384" s="77"/>
      <c r="BG384" s="77"/>
      <c r="BH384" s="77"/>
      <c r="BI384" s="77"/>
    </row>
    <row r="385" spans="1:61" x14ac:dyDescent="0.25">
      <c r="A385" s="62" t="s">
        <v>388</v>
      </c>
      <c r="B385" s="62" t="s">
        <v>388</v>
      </c>
      <c r="C385" s="63"/>
      <c r="D385" s="64"/>
      <c r="E385" s="65"/>
      <c r="F385" s="66"/>
      <c r="G385" s="63"/>
      <c r="H385" s="67"/>
      <c r="I385" s="68"/>
      <c r="J385" s="68"/>
      <c r="K385" s="32"/>
      <c r="L385" s="75">
        <v>385</v>
      </c>
      <c r="M385" s="75"/>
      <c r="N385" s="70"/>
      <c r="O385" s="77" t="s">
        <v>179</v>
      </c>
      <c r="P385" s="79">
        <v>45115.868854166663</v>
      </c>
      <c r="Q385" s="77" t="s">
        <v>2412</v>
      </c>
      <c r="R385" s="77">
        <v>0</v>
      </c>
      <c r="S385" s="77">
        <v>1</v>
      </c>
      <c r="T385" s="77">
        <v>1</v>
      </c>
      <c r="U385" s="77">
        <v>0</v>
      </c>
      <c r="V385" s="77">
        <v>160</v>
      </c>
      <c r="W385" s="80" t="s">
        <v>6175</v>
      </c>
      <c r="X385" s="83" t="str">
        <f>HYPERLINK("https://www.moneytimes.com.br/real-digital-banco-central-estima-data-para-inicio-dos-testes/")</f>
        <v>https://www.moneytimes.com.br/real-digital-banco-central-estima-data-para-inicio-dos-testes/</v>
      </c>
      <c r="Y385" s="77" t="s">
        <v>8611</v>
      </c>
      <c r="Z385" s="77"/>
      <c r="AA385" s="77"/>
      <c r="AB385" s="77"/>
      <c r="AC385" s="80" t="s">
        <v>10558</v>
      </c>
      <c r="AD385" s="77" t="s">
        <v>10617</v>
      </c>
      <c r="AE385" s="83" t="str">
        <f>HYPERLINK("https://twitter.com/leiacryptotimes/status/1677782393975963649")</f>
        <v>https://twitter.com/leiacryptotimes/status/1677782393975963649</v>
      </c>
      <c r="AF385" s="79">
        <v>45115.868854166663</v>
      </c>
      <c r="AG385" s="85">
        <v>45115</v>
      </c>
      <c r="AH385" s="80" t="s">
        <v>10972</v>
      </c>
      <c r="AI385" s="77" t="b">
        <v>0</v>
      </c>
      <c r="AJ385" s="77"/>
      <c r="AK385" s="77"/>
      <c r="AL385" s="77"/>
      <c r="AM385" s="77"/>
      <c r="AN385" s="77"/>
      <c r="AO385" s="77"/>
      <c r="AP385" s="77"/>
      <c r="AQ385" s="77"/>
      <c r="AR385" s="77"/>
      <c r="AS385" s="77"/>
      <c r="AT385" s="77"/>
      <c r="AU385" s="77"/>
      <c r="AV385" s="83" t="str">
        <f>HYPERLINK("https://pbs.twimg.com/profile_images/1273964615530053632/qHcU0VHf_normal.jpg")</f>
        <v>https://pbs.twimg.com/profile_images/1273964615530053632/qHcU0VHf_normal.jpg</v>
      </c>
      <c r="AW385" s="80" t="s">
        <v>16358</v>
      </c>
      <c r="AX385" s="80" t="s">
        <v>16358</v>
      </c>
      <c r="AY385" s="77"/>
      <c r="AZ385" s="80" t="s">
        <v>20380</v>
      </c>
      <c r="BA385" s="80" t="s">
        <v>20380</v>
      </c>
      <c r="BB385" s="80" t="s">
        <v>20380</v>
      </c>
      <c r="BC385" s="80" t="s">
        <v>16358</v>
      </c>
      <c r="BD385" s="80" t="s">
        <v>20576</v>
      </c>
      <c r="BE385" s="77"/>
      <c r="BF385" s="77"/>
      <c r="BG385" s="77"/>
      <c r="BH385" s="77"/>
      <c r="BI385" s="77"/>
    </row>
    <row r="386" spans="1:61" x14ac:dyDescent="0.25">
      <c r="A386" s="62" t="s">
        <v>388</v>
      </c>
      <c r="B386" s="62" t="s">
        <v>388</v>
      </c>
      <c r="C386" s="63"/>
      <c r="D386" s="64"/>
      <c r="E386" s="65"/>
      <c r="F386" s="66"/>
      <c r="G386" s="63"/>
      <c r="H386" s="67"/>
      <c r="I386" s="68"/>
      <c r="J386" s="68"/>
      <c r="K386" s="32"/>
      <c r="L386" s="75">
        <v>386</v>
      </c>
      <c r="M386" s="75"/>
      <c r="N386" s="70"/>
      <c r="O386" s="77" t="s">
        <v>179</v>
      </c>
      <c r="P386" s="79">
        <v>45125.915578703702</v>
      </c>
      <c r="Q386" s="77" t="s">
        <v>2413</v>
      </c>
      <c r="R386" s="77">
        <v>0</v>
      </c>
      <c r="S386" s="77">
        <v>0</v>
      </c>
      <c r="T386" s="77">
        <v>1</v>
      </c>
      <c r="U386" s="77">
        <v>0</v>
      </c>
      <c r="V386" s="77">
        <v>119</v>
      </c>
      <c r="W386" s="80" t="s">
        <v>6176</v>
      </c>
      <c r="X386" s="83" t="str">
        <f>HYPERLINK("https://www.moneytimes.com.br/dolar-digital-e-outras-cbdcs-devem-ser-banidas-como-defende-ron-desantis-candidato-a-presidencia-dos-eua/")</f>
        <v>https://www.moneytimes.com.br/dolar-digital-e-outras-cbdcs-devem-ser-banidas-como-defende-ron-desantis-candidato-a-presidencia-dos-eua/</v>
      </c>
      <c r="Y386" s="77" t="s">
        <v>8611</v>
      </c>
      <c r="Z386" s="77"/>
      <c r="AA386" s="77"/>
      <c r="AB386" s="77"/>
      <c r="AC386" s="80" t="s">
        <v>10558</v>
      </c>
      <c r="AD386" s="77" t="s">
        <v>10617</v>
      </c>
      <c r="AE386" s="83" t="str">
        <f>HYPERLINK("https://twitter.com/leiacryptotimes/status/1681423207772065793")</f>
        <v>https://twitter.com/leiacryptotimes/status/1681423207772065793</v>
      </c>
      <c r="AF386" s="79">
        <v>45125.915578703702</v>
      </c>
      <c r="AG386" s="85">
        <v>45125</v>
      </c>
      <c r="AH386" s="80" t="s">
        <v>10973</v>
      </c>
      <c r="AI386" s="77" t="b">
        <v>0</v>
      </c>
      <c r="AJ386" s="77"/>
      <c r="AK386" s="77"/>
      <c r="AL386" s="77"/>
      <c r="AM386" s="77"/>
      <c r="AN386" s="77"/>
      <c r="AO386" s="77"/>
      <c r="AP386" s="77"/>
      <c r="AQ386" s="77"/>
      <c r="AR386" s="77"/>
      <c r="AS386" s="77"/>
      <c r="AT386" s="77"/>
      <c r="AU386" s="77"/>
      <c r="AV386" s="83" t="str">
        <f>HYPERLINK("https://pbs.twimg.com/profile_images/1273964615530053632/qHcU0VHf_normal.jpg")</f>
        <v>https://pbs.twimg.com/profile_images/1273964615530053632/qHcU0VHf_normal.jpg</v>
      </c>
      <c r="AW386" s="80" t="s">
        <v>16359</v>
      </c>
      <c r="AX386" s="80" t="s">
        <v>16359</v>
      </c>
      <c r="AY386" s="77"/>
      <c r="AZ386" s="80" t="s">
        <v>20380</v>
      </c>
      <c r="BA386" s="80" t="s">
        <v>20380</v>
      </c>
      <c r="BB386" s="80" t="s">
        <v>20380</v>
      </c>
      <c r="BC386" s="80" t="s">
        <v>16359</v>
      </c>
      <c r="BD386" s="80" t="s">
        <v>20576</v>
      </c>
      <c r="BE386" s="77"/>
      <c r="BF386" s="77"/>
      <c r="BG386" s="77"/>
      <c r="BH386" s="77"/>
      <c r="BI386" s="77"/>
    </row>
    <row r="387" spans="1:61" x14ac:dyDescent="0.25">
      <c r="A387" s="62" t="s">
        <v>388</v>
      </c>
      <c r="B387" s="62" t="s">
        <v>388</v>
      </c>
      <c r="C387" s="63"/>
      <c r="D387" s="64"/>
      <c r="E387" s="65"/>
      <c r="F387" s="66"/>
      <c r="G387" s="63"/>
      <c r="H387" s="67"/>
      <c r="I387" s="68"/>
      <c r="J387" s="68"/>
      <c r="K387" s="32"/>
      <c r="L387" s="75">
        <v>387</v>
      </c>
      <c r="M387" s="75"/>
      <c r="N387" s="70"/>
      <c r="O387" s="77" t="s">
        <v>179</v>
      </c>
      <c r="P387" s="79">
        <v>45146.725138888891</v>
      </c>
      <c r="Q387" s="77" t="s">
        <v>2414</v>
      </c>
      <c r="R387" s="77">
        <v>0</v>
      </c>
      <c r="S387" s="77">
        <v>0</v>
      </c>
      <c r="T387" s="77">
        <v>1</v>
      </c>
      <c r="U387" s="77">
        <v>0</v>
      </c>
      <c r="V387" s="77">
        <v>87</v>
      </c>
      <c r="W387" s="80" t="s">
        <v>6177</v>
      </c>
      <c r="X387" s="83" t="str">
        <f>HYPERLINK("https://www.moneytimes.com.br/drex-por-que-o-banco-central-escolheu-este-nome-para-a-moeda-digital/")</f>
        <v>https://www.moneytimes.com.br/drex-por-que-o-banco-central-escolheu-este-nome-para-a-moeda-digital/</v>
      </c>
      <c r="Y387" s="77" t="s">
        <v>8611</v>
      </c>
      <c r="Z387" s="77"/>
      <c r="AA387" s="77"/>
      <c r="AB387" s="77"/>
      <c r="AC387" s="80" t="s">
        <v>10558</v>
      </c>
      <c r="AD387" s="77" t="s">
        <v>10617</v>
      </c>
      <c r="AE387" s="83" t="str">
        <f>HYPERLINK("https://twitter.com/leiacryptotimes/status/1688964337321328640")</f>
        <v>https://twitter.com/leiacryptotimes/status/1688964337321328640</v>
      </c>
      <c r="AF387" s="79">
        <v>45146.725138888891</v>
      </c>
      <c r="AG387" s="85">
        <v>45146</v>
      </c>
      <c r="AH387" s="80" t="s">
        <v>10974</v>
      </c>
      <c r="AI387" s="77" t="b">
        <v>0</v>
      </c>
      <c r="AJ387" s="77"/>
      <c r="AK387" s="77"/>
      <c r="AL387" s="77"/>
      <c r="AM387" s="77"/>
      <c r="AN387" s="77"/>
      <c r="AO387" s="77"/>
      <c r="AP387" s="77"/>
      <c r="AQ387" s="77"/>
      <c r="AR387" s="77"/>
      <c r="AS387" s="77"/>
      <c r="AT387" s="77"/>
      <c r="AU387" s="77"/>
      <c r="AV387" s="83" t="str">
        <f>HYPERLINK("https://pbs.twimg.com/profile_images/1273964615530053632/qHcU0VHf_normal.jpg")</f>
        <v>https://pbs.twimg.com/profile_images/1273964615530053632/qHcU0VHf_normal.jpg</v>
      </c>
      <c r="AW387" s="80" t="s">
        <v>16360</v>
      </c>
      <c r="AX387" s="80" t="s">
        <v>16360</v>
      </c>
      <c r="AY387" s="77"/>
      <c r="AZ387" s="80" t="s">
        <v>20380</v>
      </c>
      <c r="BA387" s="80" t="s">
        <v>20380</v>
      </c>
      <c r="BB387" s="80" t="s">
        <v>20380</v>
      </c>
      <c r="BC387" s="80" t="s">
        <v>16360</v>
      </c>
      <c r="BD387" s="80" t="s">
        <v>20576</v>
      </c>
      <c r="BE387" s="77"/>
      <c r="BF387" s="77"/>
      <c r="BG387" s="77"/>
      <c r="BH387" s="77"/>
      <c r="BI387" s="77"/>
    </row>
    <row r="388" spans="1:61" x14ac:dyDescent="0.25">
      <c r="A388" s="62" t="s">
        <v>388</v>
      </c>
      <c r="B388" s="62" t="s">
        <v>388</v>
      </c>
      <c r="C388" s="63"/>
      <c r="D388" s="64"/>
      <c r="E388" s="65"/>
      <c r="F388" s="66"/>
      <c r="G388" s="63"/>
      <c r="H388" s="67"/>
      <c r="I388" s="68"/>
      <c r="J388" s="68"/>
      <c r="K388" s="32"/>
      <c r="L388" s="75">
        <v>388</v>
      </c>
      <c r="M388" s="75"/>
      <c r="N388" s="70"/>
      <c r="O388" s="77" t="s">
        <v>179</v>
      </c>
      <c r="P388" s="79">
        <v>45096.839305555557</v>
      </c>
      <c r="Q388" s="77" t="s">
        <v>2415</v>
      </c>
      <c r="R388" s="77">
        <v>1</v>
      </c>
      <c r="S388" s="77">
        <v>2</v>
      </c>
      <c r="T388" s="77">
        <v>2</v>
      </c>
      <c r="U388" s="77">
        <v>0</v>
      </c>
      <c r="V388" s="77">
        <v>150</v>
      </c>
      <c r="W388" s="80" t="s">
        <v>6178</v>
      </c>
      <c r="X388" s="83" t="str">
        <f>HYPERLINK("https://www.moneytimes.com.br/marco-legal-de-criptomoedas-comeca-a-valer-amanha-confira-quais-sao-as-mudancas/")</f>
        <v>https://www.moneytimes.com.br/marco-legal-de-criptomoedas-comeca-a-valer-amanha-confira-quais-sao-as-mudancas/</v>
      </c>
      <c r="Y388" s="77" t="s">
        <v>8611</v>
      </c>
      <c r="Z388" s="77"/>
      <c r="AA388" s="77"/>
      <c r="AB388" s="77"/>
      <c r="AC388" s="80" t="s">
        <v>10558</v>
      </c>
      <c r="AD388" s="77" t="s">
        <v>10617</v>
      </c>
      <c r="AE388" s="83" t="str">
        <f>HYPERLINK("https://twitter.com/leiacryptotimes/status/1670886318857941024")</f>
        <v>https://twitter.com/leiacryptotimes/status/1670886318857941024</v>
      </c>
      <c r="AF388" s="79">
        <v>45096.839305555557</v>
      </c>
      <c r="AG388" s="85">
        <v>45096</v>
      </c>
      <c r="AH388" s="80" t="s">
        <v>10975</v>
      </c>
      <c r="AI388" s="77" t="b">
        <v>0</v>
      </c>
      <c r="AJ388" s="77"/>
      <c r="AK388" s="77"/>
      <c r="AL388" s="77"/>
      <c r="AM388" s="77"/>
      <c r="AN388" s="77"/>
      <c r="AO388" s="77"/>
      <c r="AP388" s="77"/>
      <c r="AQ388" s="77"/>
      <c r="AR388" s="77"/>
      <c r="AS388" s="77"/>
      <c r="AT388" s="77"/>
      <c r="AU388" s="77"/>
      <c r="AV388" s="83" t="str">
        <f>HYPERLINK("https://pbs.twimg.com/profile_images/1273964615530053632/qHcU0VHf_normal.jpg")</f>
        <v>https://pbs.twimg.com/profile_images/1273964615530053632/qHcU0VHf_normal.jpg</v>
      </c>
      <c r="AW388" s="80" t="s">
        <v>16361</v>
      </c>
      <c r="AX388" s="80" t="s">
        <v>16361</v>
      </c>
      <c r="AY388" s="77"/>
      <c r="AZ388" s="80" t="s">
        <v>20380</v>
      </c>
      <c r="BA388" s="80" t="s">
        <v>20380</v>
      </c>
      <c r="BB388" s="80" t="s">
        <v>20380</v>
      </c>
      <c r="BC388" s="80" t="s">
        <v>16361</v>
      </c>
      <c r="BD388" s="80" t="s">
        <v>20576</v>
      </c>
      <c r="BE388" s="77"/>
      <c r="BF388" s="77"/>
      <c r="BG388" s="77"/>
      <c r="BH388" s="77"/>
      <c r="BI388" s="77"/>
    </row>
    <row r="389" spans="1:61" x14ac:dyDescent="0.25">
      <c r="A389" s="62" t="s">
        <v>388</v>
      </c>
      <c r="B389" s="62" t="s">
        <v>388</v>
      </c>
      <c r="C389" s="63"/>
      <c r="D389" s="64"/>
      <c r="E389" s="65"/>
      <c r="F389" s="66"/>
      <c r="G389" s="63"/>
      <c r="H389" s="67"/>
      <c r="I389" s="68"/>
      <c r="J389" s="68"/>
      <c r="K389" s="32"/>
      <c r="L389" s="75">
        <v>389</v>
      </c>
      <c r="M389" s="75"/>
      <c r="N389" s="70"/>
      <c r="O389" s="77" t="s">
        <v>179</v>
      </c>
      <c r="P389" s="79">
        <v>45148.599363425928</v>
      </c>
      <c r="Q389" s="77" t="s">
        <v>2416</v>
      </c>
      <c r="R389" s="77">
        <v>0</v>
      </c>
      <c r="S389" s="77">
        <v>0</v>
      </c>
      <c r="T389" s="77">
        <v>2</v>
      </c>
      <c r="U389" s="77">
        <v>0</v>
      </c>
      <c r="V389" s="77">
        <v>125</v>
      </c>
      <c r="W389" s="80" t="s">
        <v>6179</v>
      </c>
      <c r="X389" s="83" t="str">
        <f>HYPERLINK("https://www.moneytimes.com.br/drex-testes-do-real-digital-ja-comecaram-veja-quando-deve-comecar-a-funcionar/")</f>
        <v>https://www.moneytimes.com.br/drex-testes-do-real-digital-ja-comecaram-veja-quando-deve-comecar-a-funcionar/</v>
      </c>
      <c r="Y389" s="77" t="s">
        <v>8611</v>
      </c>
      <c r="Z389" s="77"/>
      <c r="AA389" s="77"/>
      <c r="AB389" s="77"/>
      <c r="AC389" s="80" t="s">
        <v>10558</v>
      </c>
      <c r="AD389" s="77" t="s">
        <v>10617</v>
      </c>
      <c r="AE389" s="83" t="str">
        <f>HYPERLINK("https://twitter.com/leiacryptotimes/status/1689643534545297409")</f>
        <v>https://twitter.com/leiacryptotimes/status/1689643534545297409</v>
      </c>
      <c r="AF389" s="79">
        <v>45148.599363425928</v>
      </c>
      <c r="AG389" s="85">
        <v>45148</v>
      </c>
      <c r="AH389" s="80" t="s">
        <v>10976</v>
      </c>
      <c r="AI389" s="77" t="b">
        <v>0</v>
      </c>
      <c r="AJ389" s="77"/>
      <c r="AK389" s="77"/>
      <c r="AL389" s="77"/>
      <c r="AM389" s="77"/>
      <c r="AN389" s="77"/>
      <c r="AO389" s="77"/>
      <c r="AP389" s="77"/>
      <c r="AQ389" s="77"/>
      <c r="AR389" s="77"/>
      <c r="AS389" s="77"/>
      <c r="AT389" s="77"/>
      <c r="AU389" s="77"/>
      <c r="AV389" s="83" t="str">
        <f>HYPERLINK("https://pbs.twimg.com/profile_images/1273964615530053632/qHcU0VHf_normal.jpg")</f>
        <v>https://pbs.twimg.com/profile_images/1273964615530053632/qHcU0VHf_normal.jpg</v>
      </c>
      <c r="AW389" s="80" t="s">
        <v>16362</v>
      </c>
      <c r="AX389" s="80" t="s">
        <v>16362</v>
      </c>
      <c r="AY389" s="77"/>
      <c r="AZ389" s="80" t="s">
        <v>20380</v>
      </c>
      <c r="BA389" s="80" t="s">
        <v>20380</v>
      </c>
      <c r="BB389" s="80" t="s">
        <v>20380</v>
      </c>
      <c r="BC389" s="80" t="s">
        <v>16362</v>
      </c>
      <c r="BD389" s="80" t="s">
        <v>20576</v>
      </c>
      <c r="BE389" s="77"/>
      <c r="BF389" s="77"/>
      <c r="BG389" s="77"/>
      <c r="BH389" s="77"/>
      <c r="BI389" s="77"/>
    </row>
    <row r="390" spans="1:61" x14ac:dyDescent="0.25">
      <c r="A390" s="62" t="s">
        <v>388</v>
      </c>
      <c r="B390" s="62" t="s">
        <v>388</v>
      </c>
      <c r="C390" s="63"/>
      <c r="D390" s="64"/>
      <c r="E390" s="65"/>
      <c r="F390" s="66"/>
      <c r="G390" s="63"/>
      <c r="H390" s="67"/>
      <c r="I390" s="68"/>
      <c r="J390" s="68"/>
      <c r="K390" s="32"/>
      <c r="L390" s="75">
        <v>390</v>
      </c>
      <c r="M390" s="75"/>
      <c r="N390" s="70"/>
      <c r="O390" s="77" t="s">
        <v>179</v>
      </c>
      <c r="P390" s="79">
        <v>45121.784849537034</v>
      </c>
      <c r="Q390" s="77" t="s">
        <v>2417</v>
      </c>
      <c r="R390" s="77">
        <v>0</v>
      </c>
      <c r="S390" s="77">
        <v>0</v>
      </c>
      <c r="T390" s="77">
        <v>1</v>
      </c>
      <c r="U390" s="77">
        <v>0</v>
      </c>
      <c r="V390" s="77">
        <v>133</v>
      </c>
      <c r="W390" s="80" t="s">
        <v>6178</v>
      </c>
      <c r="X390" s="83" t="str">
        <f>HYPERLINK("https://www.moneytimes.com.br/nubank-nubr33-prepara-terreno-para-acomodar-projeto-piloto-do-real-digital/")</f>
        <v>https://www.moneytimes.com.br/nubank-nubr33-prepara-terreno-para-acomodar-projeto-piloto-do-real-digital/</v>
      </c>
      <c r="Y390" s="77" t="s">
        <v>8611</v>
      </c>
      <c r="Z390" s="77"/>
      <c r="AA390" s="77"/>
      <c r="AB390" s="77"/>
      <c r="AC390" s="80" t="s">
        <v>10558</v>
      </c>
      <c r="AD390" s="77" t="s">
        <v>10617</v>
      </c>
      <c r="AE390" s="83" t="str">
        <f>HYPERLINK("https://twitter.com/leiacryptotimes/status/1679926281708924928")</f>
        <v>https://twitter.com/leiacryptotimes/status/1679926281708924928</v>
      </c>
      <c r="AF390" s="79">
        <v>45121.784849537034</v>
      </c>
      <c r="AG390" s="85">
        <v>45121</v>
      </c>
      <c r="AH390" s="80" t="s">
        <v>10977</v>
      </c>
      <c r="AI390" s="77" t="b">
        <v>0</v>
      </c>
      <c r="AJ390" s="77"/>
      <c r="AK390" s="77"/>
      <c r="AL390" s="77"/>
      <c r="AM390" s="77"/>
      <c r="AN390" s="77"/>
      <c r="AO390" s="77"/>
      <c r="AP390" s="77"/>
      <c r="AQ390" s="77"/>
      <c r="AR390" s="77"/>
      <c r="AS390" s="77"/>
      <c r="AT390" s="77"/>
      <c r="AU390" s="77"/>
      <c r="AV390" s="83" t="str">
        <f>HYPERLINK("https://pbs.twimg.com/profile_images/1273964615530053632/qHcU0VHf_normal.jpg")</f>
        <v>https://pbs.twimg.com/profile_images/1273964615530053632/qHcU0VHf_normal.jpg</v>
      </c>
      <c r="AW390" s="80" t="s">
        <v>16363</v>
      </c>
      <c r="AX390" s="80" t="s">
        <v>16363</v>
      </c>
      <c r="AY390" s="77"/>
      <c r="AZ390" s="80" t="s">
        <v>20380</v>
      </c>
      <c r="BA390" s="80" t="s">
        <v>20380</v>
      </c>
      <c r="BB390" s="80" t="s">
        <v>20380</v>
      </c>
      <c r="BC390" s="80" t="s">
        <v>16363</v>
      </c>
      <c r="BD390" s="80" t="s">
        <v>20576</v>
      </c>
      <c r="BE390" s="77"/>
      <c r="BF390" s="77"/>
      <c r="BG390" s="77"/>
      <c r="BH390" s="77"/>
      <c r="BI390" s="77"/>
    </row>
    <row r="391" spans="1:61" x14ac:dyDescent="0.25">
      <c r="A391" s="62" t="s">
        <v>388</v>
      </c>
      <c r="B391" s="62" t="s">
        <v>388</v>
      </c>
      <c r="C391" s="63"/>
      <c r="D391" s="64"/>
      <c r="E391" s="65"/>
      <c r="F391" s="66"/>
      <c r="G391" s="63"/>
      <c r="H391" s="67"/>
      <c r="I391" s="68"/>
      <c r="J391" s="68"/>
      <c r="K391" s="32"/>
      <c r="L391" s="75">
        <v>391</v>
      </c>
      <c r="M391" s="75"/>
      <c r="N391" s="70"/>
      <c r="O391" s="77" t="s">
        <v>179</v>
      </c>
      <c r="P391" s="79">
        <v>45152.771979166668</v>
      </c>
      <c r="Q391" s="77" t="s">
        <v>2418</v>
      </c>
      <c r="R391" s="77">
        <v>0</v>
      </c>
      <c r="S391" s="77">
        <v>0</v>
      </c>
      <c r="T391" s="77">
        <v>2</v>
      </c>
      <c r="U391" s="77">
        <v>0</v>
      </c>
      <c r="V391" s="77">
        <v>153</v>
      </c>
      <c r="W391" s="80" t="s">
        <v>6177</v>
      </c>
      <c r="X391" s="83" t="str">
        <f>HYPERLINK("https://www.moneytimes.com.br/drex-entenda-como-usar-o-real-digital-nas-suas-compras/")</f>
        <v>https://www.moneytimes.com.br/drex-entenda-como-usar-o-real-digital-nas-suas-compras/</v>
      </c>
      <c r="Y391" s="77" t="s">
        <v>8611</v>
      </c>
      <c r="Z391" s="77"/>
      <c r="AA391" s="77"/>
      <c r="AB391" s="77"/>
      <c r="AC391" s="80" t="s">
        <v>10558</v>
      </c>
      <c r="AD391" s="77" t="s">
        <v>10617</v>
      </c>
      <c r="AE391" s="83" t="str">
        <f>HYPERLINK("https://twitter.com/leiacryptotimes/status/1691155640385765376")</f>
        <v>https://twitter.com/leiacryptotimes/status/1691155640385765376</v>
      </c>
      <c r="AF391" s="79">
        <v>45152.771979166668</v>
      </c>
      <c r="AG391" s="85">
        <v>45152</v>
      </c>
      <c r="AH391" s="80" t="s">
        <v>10978</v>
      </c>
      <c r="AI391" s="77" t="b">
        <v>0</v>
      </c>
      <c r="AJ391" s="77"/>
      <c r="AK391" s="77"/>
      <c r="AL391" s="77"/>
      <c r="AM391" s="77"/>
      <c r="AN391" s="77"/>
      <c r="AO391" s="77"/>
      <c r="AP391" s="77"/>
      <c r="AQ391" s="77"/>
      <c r="AR391" s="77"/>
      <c r="AS391" s="77"/>
      <c r="AT391" s="77"/>
      <c r="AU391" s="77"/>
      <c r="AV391" s="83" t="str">
        <f>HYPERLINK("https://pbs.twimg.com/profile_images/1273964615530053632/qHcU0VHf_normal.jpg")</f>
        <v>https://pbs.twimg.com/profile_images/1273964615530053632/qHcU0VHf_normal.jpg</v>
      </c>
      <c r="AW391" s="80" t="s">
        <v>16364</v>
      </c>
      <c r="AX391" s="80" t="s">
        <v>16364</v>
      </c>
      <c r="AY391" s="77"/>
      <c r="AZ391" s="80" t="s">
        <v>20380</v>
      </c>
      <c r="BA391" s="80" t="s">
        <v>20380</v>
      </c>
      <c r="BB391" s="80" t="s">
        <v>20380</v>
      </c>
      <c r="BC391" s="80" t="s">
        <v>16364</v>
      </c>
      <c r="BD391" s="80" t="s">
        <v>20576</v>
      </c>
      <c r="BE391" s="77"/>
      <c r="BF391" s="77"/>
      <c r="BG391" s="77"/>
      <c r="BH391" s="77"/>
      <c r="BI391" s="77"/>
    </row>
    <row r="392" spans="1:61" x14ac:dyDescent="0.25">
      <c r="A392" s="62" t="s">
        <v>388</v>
      </c>
      <c r="B392" s="62" t="s">
        <v>388</v>
      </c>
      <c r="C392" s="63"/>
      <c r="D392" s="64"/>
      <c r="E392" s="65"/>
      <c r="F392" s="66"/>
      <c r="G392" s="63"/>
      <c r="H392" s="67"/>
      <c r="I392" s="68"/>
      <c r="J392" s="68"/>
      <c r="K392" s="32"/>
      <c r="L392" s="75">
        <v>392</v>
      </c>
      <c r="M392" s="75"/>
      <c r="N392" s="70"/>
      <c r="O392" s="77" t="s">
        <v>179</v>
      </c>
      <c r="P392" s="79">
        <v>45146.590671296297</v>
      </c>
      <c r="Q392" s="77" t="s">
        <v>2419</v>
      </c>
      <c r="R392" s="77">
        <v>0</v>
      </c>
      <c r="S392" s="77">
        <v>0</v>
      </c>
      <c r="T392" s="77">
        <v>0</v>
      </c>
      <c r="U392" s="77">
        <v>0</v>
      </c>
      <c r="V392" s="77">
        <v>104</v>
      </c>
      <c r="W392" s="80" t="s">
        <v>6177</v>
      </c>
      <c r="X392" s="83" t="str">
        <f>HYPERLINK("https://www.moneytimes.com.br/drex-entenda-a-diferenca-entre-a-nova-moeda-digital-e-o-pix/")</f>
        <v>https://www.moneytimes.com.br/drex-entenda-a-diferenca-entre-a-nova-moeda-digital-e-o-pix/</v>
      </c>
      <c r="Y392" s="77" t="s">
        <v>8611</v>
      </c>
      <c r="Z392" s="77"/>
      <c r="AA392" s="77"/>
      <c r="AB392" s="77"/>
      <c r="AC392" s="80" t="s">
        <v>10558</v>
      </c>
      <c r="AD392" s="77" t="s">
        <v>10617</v>
      </c>
      <c r="AE392" s="83" t="str">
        <f>HYPERLINK("https://twitter.com/leiacryptotimes/status/1688915610561040384")</f>
        <v>https://twitter.com/leiacryptotimes/status/1688915610561040384</v>
      </c>
      <c r="AF392" s="79">
        <v>45146.590671296297</v>
      </c>
      <c r="AG392" s="85">
        <v>45146</v>
      </c>
      <c r="AH392" s="80" t="s">
        <v>10979</v>
      </c>
      <c r="AI392" s="77" t="b">
        <v>0</v>
      </c>
      <c r="AJ392" s="77"/>
      <c r="AK392" s="77"/>
      <c r="AL392" s="77"/>
      <c r="AM392" s="77"/>
      <c r="AN392" s="77"/>
      <c r="AO392" s="77"/>
      <c r="AP392" s="77"/>
      <c r="AQ392" s="77"/>
      <c r="AR392" s="77"/>
      <c r="AS392" s="77"/>
      <c r="AT392" s="77"/>
      <c r="AU392" s="77"/>
      <c r="AV392" s="83" t="str">
        <f>HYPERLINK("https://pbs.twimg.com/profile_images/1273964615530053632/qHcU0VHf_normal.jpg")</f>
        <v>https://pbs.twimg.com/profile_images/1273964615530053632/qHcU0VHf_normal.jpg</v>
      </c>
      <c r="AW392" s="80" t="s">
        <v>16365</v>
      </c>
      <c r="AX392" s="80" t="s">
        <v>16365</v>
      </c>
      <c r="AY392" s="77"/>
      <c r="AZ392" s="80" t="s">
        <v>20380</v>
      </c>
      <c r="BA392" s="80" t="s">
        <v>20380</v>
      </c>
      <c r="BB392" s="80" t="s">
        <v>20380</v>
      </c>
      <c r="BC392" s="80" t="s">
        <v>16365</v>
      </c>
      <c r="BD392" s="80" t="s">
        <v>20576</v>
      </c>
      <c r="BE392" s="77"/>
      <c r="BF392" s="77"/>
      <c r="BG392" s="77"/>
      <c r="BH392" s="77"/>
      <c r="BI392" s="77"/>
    </row>
    <row r="393" spans="1:61" x14ac:dyDescent="0.25">
      <c r="A393" s="62" t="s">
        <v>388</v>
      </c>
      <c r="B393" s="62" t="s">
        <v>388</v>
      </c>
      <c r="C393" s="63"/>
      <c r="D393" s="64"/>
      <c r="E393" s="65"/>
      <c r="F393" s="66"/>
      <c r="G393" s="63"/>
      <c r="H393" s="67"/>
      <c r="I393" s="68"/>
      <c r="J393" s="68"/>
      <c r="K393" s="32"/>
      <c r="L393" s="75">
        <v>393</v>
      </c>
      <c r="M393" s="75"/>
      <c r="N393" s="70"/>
      <c r="O393" s="77" t="s">
        <v>179</v>
      </c>
      <c r="P393" s="79">
        <v>45146.587789351855</v>
      </c>
      <c r="Q393" s="77" t="s">
        <v>2420</v>
      </c>
      <c r="R393" s="77">
        <v>0</v>
      </c>
      <c r="S393" s="77">
        <v>0</v>
      </c>
      <c r="T393" s="77">
        <v>1</v>
      </c>
      <c r="U393" s="77">
        <v>0</v>
      </c>
      <c r="V393" s="77">
        <v>80</v>
      </c>
      <c r="W393" s="80" t="s">
        <v>6180</v>
      </c>
      <c r="X393" s="83" t="str">
        <f>HYPERLINK("https://www.moneytimes.com.br/drex-como-vai-funcionar-o-real-digital/")</f>
        <v>https://www.moneytimes.com.br/drex-como-vai-funcionar-o-real-digital/</v>
      </c>
      <c r="Y393" s="77" t="s">
        <v>8611</v>
      </c>
      <c r="Z393" s="77"/>
      <c r="AA393" s="77"/>
      <c r="AB393" s="77"/>
      <c r="AC393" s="80" t="s">
        <v>10558</v>
      </c>
      <c r="AD393" s="77" t="s">
        <v>10617</v>
      </c>
      <c r="AE393" s="83" t="str">
        <f>HYPERLINK("https://twitter.com/leiacryptotimes/status/1688914566997282816")</f>
        <v>https://twitter.com/leiacryptotimes/status/1688914566997282816</v>
      </c>
      <c r="AF393" s="79">
        <v>45146.587789351855</v>
      </c>
      <c r="AG393" s="85">
        <v>45146</v>
      </c>
      <c r="AH393" s="80" t="s">
        <v>10980</v>
      </c>
      <c r="AI393" s="77" t="b">
        <v>0</v>
      </c>
      <c r="AJ393" s="77"/>
      <c r="AK393" s="77"/>
      <c r="AL393" s="77"/>
      <c r="AM393" s="77"/>
      <c r="AN393" s="77"/>
      <c r="AO393" s="77"/>
      <c r="AP393" s="77"/>
      <c r="AQ393" s="77"/>
      <c r="AR393" s="77"/>
      <c r="AS393" s="77"/>
      <c r="AT393" s="77"/>
      <c r="AU393" s="77"/>
      <c r="AV393" s="83" t="str">
        <f>HYPERLINK("https://pbs.twimg.com/profile_images/1273964615530053632/qHcU0VHf_normal.jpg")</f>
        <v>https://pbs.twimg.com/profile_images/1273964615530053632/qHcU0VHf_normal.jpg</v>
      </c>
      <c r="AW393" s="80" t="s">
        <v>16366</v>
      </c>
      <c r="AX393" s="80" t="s">
        <v>16366</v>
      </c>
      <c r="AY393" s="77"/>
      <c r="AZ393" s="80" t="s">
        <v>20380</v>
      </c>
      <c r="BA393" s="80" t="s">
        <v>20380</v>
      </c>
      <c r="BB393" s="80" t="s">
        <v>20380</v>
      </c>
      <c r="BC393" s="80" t="s">
        <v>16366</v>
      </c>
      <c r="BD393" s="80" t="s">
        <v>20576</v>
      </c>
      <c r="BE393" s="77"/>
      <c r="BF393" s="77"/>
      <c r="BG393" s="77"/>
      <c r="BH393" s="77"/>
      <c r="BI393" s="77"/>
    </row>
    <row r="394" spans="1:61" x14ac:dyDescent="0.25">
      <c r="A394" s="62" t="s">
        <v>388</v>
      </c>
      <c r="B394" s="62" t="s">
        <v>388</v>
      </c>
      <c r="C394" s="63"/>
      <c r="D394" s="64"/>
      <c r="E394" s="65"/>
      <c r="F394" s="66"/>
      <c r="G394" s="63"/>
      <c r="H394" s="67"/>
      <c r="I394" s="68"/>
      <c r="J394" s="68"/>
      <c r="K394" s="32"/>
      <c r="L394" s="75">
        <v>394</v>
      </c>
      <c r="M394" s="75"/>
      <c r="N394" s="70"/>
      <c r="O394" s="77" t="s">
        <v>179</v>
      </c>
      <c r="P394" s="79">
        <v>45097.92560185185</v>
      </c>
      <c r="Q394" s="77" t="s">
        <v>2421</v>
      </c>
      <c r="R394" s="77">
        <v>0</v>
      </c>
      <c r="S394" s="77">
        <v>1</v>
      </c>
      <c r="T394" s="77">
        <v>1</v>
      </c>
      <c r="U394" s="77">
        <v>0</v>
      </c>
      <c r="V394" s="77">
        <v>136</v>
      </c>
      <c r="W394" s="80" t="s">
        <v>6181</v>
      </c>
      <c r="X394" s="83" t="str">
        <f>HYPERLINK("https://www.moneytimes.com.br/tokenizacao-como-instituicoes-financeiras-e-bc-se-preparam-para-nova-revolucao-digital/")</f>
        <v>https://www.moneytimes.com.br/tokenizacao-como-instituicoes-financeiras-e-bc-se-preparam-para-nova-revolucao-digital/</v>
      </c>
      <c r="Y394" s="77" t="s">
        <v>8611</v>
      </c>
      <c r="Z394" s="77"/>
      <c r="AA394" s="77"/>
      <c r="AB394" s="77"/>
      <c r="AC394" s="80" t="s">
        <v>10558</v>
      </c>
      <c r="AD394" s="77" t="s">
        <v>10617</v>
      </c>
      <c r="AE394" s="83" t="str">
        <f>HYPERLINK("https://twitter.com/leiacryptotimes/status/1671279979311636487")</f>
        <v>https://twitter.com/leiacryptotimes/status/1671279979311636487</v>
      </c>
      <c r="AF394" s="79">
        <v>45097.92560185185</v>
      </c>
      <c r="AG394" s="85">
        <v>45097</v>
      </c>
      <c r="AH394" s="80" t="s">
        <v>10981</v>
      </c>
      <c r="AI394" s="77" t="b">
        <v>0</v>
      </c>
      <c r="AJ394" s="77"/>
      <c r="AK394" s="77"/>
      <c r="AL394" s="77"/>
      <c r="AM394" s="77"/>
      <c r="AN394" s="77"/>
      <c r="AO394" s="77"/>
      <c r="AP394" s="77"/>
      <c r="AQ394" s="77"/>
      <c r="AR394" s="77"/>
      <c r="AS394" s="77"/>
      <c r="AT394" s="77"/>
      <c r="AU394" s="77"/>
      <c r="AV394" s="83" t="str">
        <f>HYPERLINK("https://pbs.twimg.com/profile_images/1273964615530053632/qHcU0VHf_normal.jpg")</f>
        <v>https://pbs.twimg.com/profile_images/1273964615530053632/qHcU0VHf_normal.jpg</v>
      </c>
      <c r="AW394" s="80" t="s">
        <v>16367</v>
      </c>
      <c r="AX394" s="80" t="s">
        <v>16367</v>
      </c>
      <c r="AY394" s="77"/>
      <c r="AZ394" s="80" t="s">
        <v>20380</v>
      </c>
      <c r="BA394" s="80" t="s">
        <v>20380</v>
      </c>
      <c r="BB394" s="80" t="s">
        <v>20380</v>
      </c>
      <c r="BC394" s="80" t="s">
        <v>16367</v>
      </c>
      <c r="BD394" s="80" t="s">
        <v>20576</v>
      </c>
      <c r="BE394" s="77"/>
      <c r="BF394" s="77"/>
      <c r="BG394" s="77"/>
      <c r="BH394" s="77"/>
      <c r="BI394" s="77"/>
    </row>
    <row r="395" spans="1:61" x14ac:dyDescent="0.25">
      <c r="A395" s="62" t="s">
        <v>388</v>
      </c>
      <c r="B395" s="62" t="s">
        <v>388</v>
      </c>
      <c r="C395" s="63"/>
      <c r="D395" s="64"/>
      <c r="E395" s="65"/>
      <c r="F395" s="66"/>
      <c r="G395" s="63"/>
      <c r="H395" s="67"/>
      <c r="I395" s="68"/>
      <c r="J395" s="68"/>
      <c r="K395" s="32"/>
      <c r="L395" s="75">
        <v>395</v>
      </c>
      <c r="M395" s="75"/>
      <c r="N395" s="70"/>
      <c r="O395" s="77" t="s">
        <v>179</v>
      </c>
      <c r="P395" s="79">
        <v>45072.686655092592</v>
      </c>
      <c r="Q395" s="77" t="s">
        <v>2422</v>
      </c>
      <c r="R395" s="77">
        <v>0</v>
      </c>
      <c r="S395" s="77">
        <v>1</v>
      </c>
      <c r="T395" s="77">
        <v>1</v>
      </c>
      <c r="U395" s="77">
        <v>0</v>
      </c>
      <c r="V395" s="77">
        <v>144</v>
      </c>
      <c r="W395" s="80" t="s">
        <v>6182</v>
      </c>
      <c r="X395" s="83" t="str">
        <f>HYPERLINK("https://www.moneytimes.com.br/marco-legal-das-criptomoedas-lula-deve-assinar-decreto-na-proxima-semana-entenda/")</f>
        <v>https://www.moneytimes.com.br/marco-legal-das-criptomoedas-lula-deve-assinar-decreto-na-proxima-semana-entenda/</v>
      </c>
      <c r="Y395" s="77" t="s">
        <v>8611</v>
      </c>
      <c r="Z395" s="77"/>
      <c r="AA395" s="77"/>
      <c r="AB395" s="77"/>
      <c r="AC395" s="80" t="s">
        <v>10558</v>
      </c>
      <c r="AD395" s="77" t="s">
        <v>10617</v>
      </c>
      <c r="AE395" s="83" t="str">
        <f>HYPERLINK("https://twitter.com/leiacryptotimes/status/1662133691169095687")</f>
        <v>https://twitter.com/leiacryptotimes/status/1662133691169095687</v>
      </c>
      <c r="AF395" s="79">
        <v>45072.686655092592</v>
      </c>
      <c r="AG395" s="85">
        <v>45072</v>
      </c>
      <c r="AH395" s="80" t="s">
        <v>10982</v>
      </c>
      <c r="AI395" s="77" t="b">
        <v>0</v>
      </c>
      <c r="AJ395" s="77"/>
      <c r="AK395" s="77"/>
      <c r="AL395" s="77"/>
      <c r="AM395" s="77"/>
      <c r="AN395" s="77"/>
      <c r="AO395" s="77"/>
      <c r="AP395" s="77"/>
      <c r="AQ395" s="77"/>
      <c r="AR395" s="77"/>
      <c r="AS395" s="77"/>
      <c r="AT395" s="77"/>
      <c r="AU395" s="77"/>
      <c r="AV395" s="83" t="str">
        <f>HYPERLINK("https://pbs.twimg.com/profile_images/1273964615530053632/qHcU0VHf_normal.jpg")</f>
        <v>https://pbs.twimg.com/profile_images/1273964615530053632/qHcU0VHf_normal.jpg</v>
      </c>
      <c r="AW395" s="80" t="s">
        <v>16368</v>
      </c>
      <c r="AX395" s="80" t="s">
        <v>16368</v>
      </c>
      <c r="AY395" s="77"/>
      <c r="AZ395" s="80" t="s">
        <v>20380</v>
      </c>
      <c r="BA395" s="80" t="s">
        <v>20380</v>
      </c>
      <c r="BB395" s="80" t="s">
        <v>20380</v>
      </c>
      <c r="BC395" s="80" t="s">
        <v>16368</v>
      </c>
      <c r="BD395" s="80" t="s">
        <v>20576</v>
      </c>
      <c r="BE395" s="77"/>
      <c r="BF395" s="77"/>
      <c r="BG395" s="77"/>
      <c r="BH395" s="77"/>
      <c r="BI395" s="77"/>
    </row>
    <row r="396" spans="1:61" x14ac:dyDescent="0.25">
      <c r="A396" s="62" t="s">
        <v>388</v>
      </c>
      <c r="B396" s="62" t="s">
        <v>388</v>
      </c>
      <c r="C396" s="63"/>
      <c r="D396" s="64"/>
      <c r="E396" s="65"/>
      <c r="F396" s="66"/>
      <c r="G396" s="63"/>
      <c r="H396" s="67"/>
      <c r="I396" s="68"/>
      <c r="J396" s="68"/>
      <c r="K396" s="32"/>
      <c r="L396" s="75">
        <v>396</v>
      </c>
      <c r="M396" s="75"/>
      <c r="N396" s="70"/>
      <c r="O396" s="77" t="s">
        <v>179</v>
      </c>
      <c r="P396" s="79">
        <v>45175.595567129632</v>
      </c>
      <c r="Q396" s="77" t="s">
        <v>2423</v>
      </c>
      <c r="R396" s="77">
        <v>1</v>
      </c>
      <c r="S396" s="77">
        <v>1</v>
      </c>
      <c r="T396" s="77">
        <v>0</v>
      </c>
      <c r="U396" s="77">
        <v>0</v>
      </c>
      <c r="V396" s="77">
        <v>182</v>
      </c>
      <c r="W396" s="80" t="s">
        <v>6183</v>
      </c>
      <c r="X396" s="83" t="str">
        <f>HYPERLINK("https://www.moneytimes.com.br/banco-do-brasil-bbas3-e-caixa-bancos-estatais-fazem-primeira-transferencia-com-drex-o-real-digital/")</f>
        <v>https://www.moneytimes.com.br/banco-do-brasil-bbas3-e-caixa-bancos-estatais-fazem-primeira-transferencia-com-drex-o-real-digital/</v>
      </c>
      <c r="Y396" s="77" t="s">
        <v>8611</v>
      </c>
      <c r="Z396" s="77"/>
      <c r="AA396" s="77"/>
      <c r="AB396" s="77"/>
      <c r="AC396" s="80" t="s">
        <v>10558</v>
      </c>
      <c r="AD396" s="77" t="s">
        <v>10617</v>
      </c>
      <c r="AE396" s="83" t="str">
        <f>HYPERLINK("https://twitter.com/leiacryptotimes/status/1699426633671753939")</f>
        <v>https://twitter.com/leiacryptotimes/status/1699426633671753939</v>
      </c>
      <c r="AF396" s="79">
        <v>45175.595567129632</v>
      </c>
      <c r="AG396" s="85">
        <v>45175</v>
      </c>
      <c r="AH396" s="80" t="s">
        <v>10983</v>
      </c>
      <c r="AI396" s="77" t="b">
        <v>0</v>
      </c>
      <c r="AJ396" s="77"/>
      <c r="AK396" s="77"/>
      <c r="AL396" s="77"/>
      <c r="AM396" s="77"/>
      <c r="AN396" s="77"/>
      <c r="AO396" s="77"/>
      <c r="AP396" s="77"/>
      <c r="AQ396" s="77"/>
      <c r="AR396" s="77"/>
      <c r="AS396" s="77"/>
      <c r="AT396" s="77"/>
      <c r="AU396" s="77"/>
      <c r="AV396" s="83" t="str">
        <f>HYPERLINK("https://pbs.twimg.com/profile_images/1273964615530053632/qHcU0VHf_normal.jpg")</f>
        <v>https://pbs.twimg.com/profile_images/1273964615530053632/qHcU0VHf_normal.jpg</v>
      </c>
      <c r="AW396" s="80" t="s">
        <v>16369</v>
      </c>
      <c r="AX396" s="80" t="s">
        <v>16369</v>
      </c>
      <c r="AY396" s="77"/>
      <c r="AZ396" s="80" t="s">
        <v>20380</v>
      </c>
      <c r="BA396" s="80" t="s">
        <v>20380</v>
      </c>
      <c r="BB396" s="80" t="s">
        <v>20380</v>
      </c>
      <c r="BC396" s="80" t="s">
        <v>16369</v>
      </c>
      <c r="BD396" s="80" t="s">
        <v>20576</v>
      </c>
      <c r="BE396" s="77"/>
      <c r="BF396" s="77"/>
      <c r="BG396" s="77"/>
      <c r="BH396" s="77"/>
      <c r="BI396" s="77"/>
    </row>
    <row r="397" spans="1:61" x14ac:dyDescent="0.25">
      <c r="A397" s="62" t="s">
        <v>388</v>
      </c>
      <c r="B397" s="62" t="s">
        <v>388</v>
      </c>
      <c r="C397" s="63"/>
      <c r="D397" s="64"/>
      <c r="E397" s="65"/>
      <c r="F397" s="66"/>
      <c r="G397" s="63"/>
      <c r="H397" s="67"/>
      <c r="I397" s="68"/>
      <c r="J397" s="68"/>
      <c r="K397" s="32"/>
      <c r="L397" s="75">
        <v>397</v>
      </c>
      <c r="M397" s="75"/>
      <c r="N397" s="70"/>
      <c r="O397" s="77" t="s">
        <v>179</v>
      </c>
      <c r="P397" s="79">
        <v>45065.779039351852</v>
      </c>
      <c r="Q397" s="77" t="s">
        <v>2424</v>
      </c>
      <c r="R397" s="77">
        <v>0</v>
      </c>
      <c r="S397" s="77">
        <v>0</v>
      </c>
      <c r="T397" s="77">
        <v>1</v>
      </c>
      <c r="U397" s="77">
        <v>0</v>
      </c>
      <c r="V397" s="77">
        <v>117</v>
      </c>
      <c r="W397" s="80" t="s">
        <v>6184</v>
      </c>
      <c r="X397" s="83" t="str">
        <f>HYPERLINK("https://www.moneytimes.com.br/provedora-de-pagamentos-da-binance-obtem-autorizacao-do-bc-para-emitir-moeda-eletronica/")</f>
        <v>https://www.moneytimes.com.br/provedora-de-pagamentos-da-binance-obtem-autorizacao-do-bc-para-emitir-moeda-eletronica/</v>
      </c>
      <c r="Y397" s="77" t="s">
        <v>8611</v>
      </c>
      <c r="Z397" s="77"/>
      <c r="AA397" s="77"/>
      <c r="AB397" s="77"/>
      <c r="AC397" s="80" t="s">
        <v>10558</v>
      </c>
      <c r="AD397" s="77" t="s">
        <v>10617</v>
      </c>
      <c r="AE397" s="83" t="str">
        <f>HYPERLINK("https://twitter.com/leiacryptotimes/status/1659630455690280977")</f>
        <v>https://twitter.com/leiacryptotimes/status/1659630455690280977</v>
      </c>
      <c r="AF397" s="79">
        <v>45065.779039351852</v>
      </c>
      <c r="AG397" s="85">
        <v>45065</v>
      </c>
      <c r="AH397" s="80" t="s">
        <v>10984</v>
      </c>
      <c r="AI397" s="77" t="b">
        <v>0</v>
      </c>
      <c r="AJ397" s="77"/>
      <c r="AK397" s="77"/>
      <c r="AL397" s="77"/>
      <c r="AM397" s="77"/>
      <c r="AN397" s="77"/>
      <c r="AO397" s="77"/>
      <c r="AP397" s="77"/>
      <c r="AQ397" s="77"/>
      <c r="AR397" s="77"/>
      <c r="AS397" s="77"/>
      <c r="AT397" s="77"/>
      <c r="AU397" s="77"/>
      <c r="AV397" s="83" t="str">
        <f>HYPERLINK("https://pbs.twimg.com/profile_images/1273964615530053632/qHcU0VHf_normal.jpg")</f>
        <v>https://pbs.twimg.com/profile_images/1273964615530053632/qHcU0VHf_normal.jpg</v>
      </c>
      <c r="AW397" s="80" t="s">
        <v>16370</v>
      </c>
      <c r="AX397" s="80" t="s">
        <v>16370</v>
      </c>
      <c r="AY397" s="77"/>
      <c r="AZ397" s="80" t="s">
        <v>20380</v>
      </c>
      <c r="BA397" s="80" t="s">
        <v>20380</v>
      </c>
      <c r="BB397" s="80" t="s">
        <v>20380</v>
      </c>
      <c r="BC397" s="80" t="s">
        <v>16370</v>
      </c>
      <c r="BD397" s="80" t="s">
        <v>20576</v>
      </c>
      <c r="BE397" s="77"/>
      <c r="BF397" s="77"/>
      <c r="BG397" s="77"/>
      <c r="BH397" s="77"/>
      <c r="BI397" s="77"/>
    </row>
    <row r="398" spans="1:61" x14ac:dyDescent="0.25">
      <c r="A398" s="62" t="s">
        <v>388</v>
      </c>
      <c r="B398" s="62" t="s">
        <v>388</v>
      </c>
      <c r="C398" s="63"/>
      <c r="D398" s="64"/>
      <c r="E398" s="65"/>
      <c r="F398" s="66"/>
      <c r="G398" s="63"/>
      <c r="H398" s="67"/>
      <c r="I398" s="68"/>
      <c r="J398" s="68"/>
      <c r="K398" s="32"/>
      <c r="L398" s="75">
        <v>398</v>
      </c>
      <c r="M398" s="75"/>
      <c r="N398" s="70"/>
      <c r="O398" s="77" t="s">
        <v>179</v>
      </c>
      <c r="P398" s="79">
        <v>45182.585694444446</v>
      </c>
      <c r="Q398" s="77" t="s">
        <v>2425</v>
      </c>
      <c r="R398" s="77">
        <v>0</v>
      </c>
      <c r="S398" s="77">
        <v>1</v>
      </c>
      <c r="T398" s="77">
        <v>0</v>
      </c>
      <c r="U398" s="77">
        <v>0</v>
      </c>
      <c r="V398" s="77">
        <v>114</v>
      </c>
      <c r="W398" s="80" t="s">
        <v>6185</v>
      </c>
      <c r="X398" s="83" t="str">
        <f>HYPERLINK("https://www.moneytimes.com.br/transfero-ganha-aval-de-instituicao-de-pagamento-do-banco-central-entenda-o-que-muda/")</f>
        <v>https://www.moneytimes.com.br/transfero-ganha-aval-de-instituicao-de-pagamento-do-banco-central-entenda-o-que-muda/</v>
      </c>
      <c r="Y398" s="77" t="s">
        <v>8611</v>
      </c>
      <c r="Z398" s="77"/>
      <c r="AA398" s="77"/>
      <c r="AB398" s="77"/>
      <c r="AC398" s="80" t="s">
        <v>10558</v>
      </c>
      <c r="AD398" s="77" t="s">
        <v>10617</v>
      </c>
      <c r="AE398" s="83" t="str">
        <f>HYPERLINK("https://twitter.com/leiacryptotimes/status/1701959769316065629")</f>
        <v>https://twitter.com/leiacryptotimes/status/1701959769316065629</v>
      </c>
      <c r="AF398" s="79">
        <v>45182.585694444446</v>
      </c>
      <c r="AG398" s="85">
        <v>45182</v>
      </c>
      <c r="AH398" s="80" t="s">
        <v>10985</v>
      </c>
      <c r="AI398" s="77" t="b">
        <v>0</v>
      </c>
      <c r="AJ398" s="77"/>
      <c r="AK398" s="77"/>
      <c r="AL398" s="77"/>
      <c r="AM398" s="77"/>
      <c r="AN398" s="77"/>
      <c r="AO398" s="77"/>
      <c r="AP398" s="77"/>
      <c r="AQ398" s="77"/>
      <c r="AR398" s="77"/>
      <c r="AS398" s="77"/>
      <c r="AT398" s="77"/>
      <c r="AU398" s="77"/>
      <c r="AV398" s="83" t="str">
        <f>HYPERLINK("https://pbs.twimg.com/profile_images/1273964615530053632/qHcU0VHf_normal.jpg")</f>
        <v>https://pbs.twimg.com/profile_images/1273964615530053632/qHcU0VHf_normal.jpg</v>
      </c>
      <c r="AW398" s="80" t="s">
        <v>16371</v>
      </c>
      <c r="AX398" s="80" t="s">
        <v>16371</v>
      </c>
      <c r="AY398" s="77"/>
      <c r="AZ398" s="80" t="s">
        <v>20380</v>
      </c>
      <c r="BA398" s="80" t="s">
        <v>20380</v>
      </c>
      <c r="BB398" s="80" t="s">
        <v>20380</v>
      </c>
      <c r="BC398" s="80" t="s">
        <v>16371</v>
      </c>
      <c r="BD398" s="80" t="s">
        <v>20576</v>
      </c>
      <c r="BE398" s="77"/>
      <c r="BF398" s="77"/>
      <c r="BG398" s="77"/>
      <c r="BH398" s="77"/>
      <c r="BI398" s="77"/>
    </row>
    <row r="399" spans="1:61" x14ac:dyDescent="0.25">
      <c r="A399" s="62" t="s">
        <v>388</v>
      </c>
      <c r="B399" s="62" t="s">
        <v>388</v>
      </c>
      <c r="C399" s="63"/>
      <c r="D399" s="64"/>
      <c r="E399" s="65"/>
      <c r="F399" s="66"/>
      <c r="G399" s="63"/>
      <c r="H399" s="67"/>
      <c r="I399" s="68"/>
      <c r="J399" s="68"/>
      <c r="K399" s="32"/>
      <c r="L399" s="75">
        <v>399</v>
      </c>
      <c r="M399" s="75"/>
      <c r="N399" s="70"/>
      <c r="O399" s="77" t="s">
        <v>179</v>
      </c>
      <c r="P399" s="79">
        <v>45145.744652777779</v>
      </c>
      <c r="Q399" s="77" t="s">
        <v>2426</v>
      </c>
      <c r="R399" s="77">
        <v>0</v>
      </c>
      <c r="S399" s="77">
        <v>0</v>
      </c>
      <c r="T399" s="77">
        <v>1</v>
      </c>
      <c r="U399" s="77">
        <v>0</v>
      </c>
      <c r="V399" s="77">
        <v>102</v>
      </c>
      <c r="W399" s="80" t="s">
        <v>6175</v>
      </c>
      <c r="X399" s="83" t="str">
        <f>HYPERLINK("https://www.moneytimes.com.br/real-digital-bc-define-nome-para-a-moeda-confira/")</f>
        <v>https://www.moneytimes.com.br/real-digital-bc-define-nome-para-a-moeda-confira/</v>
      </c>
      <c r="Y399" s="77" t="s">
        <v>8611</v>
      </c>
      <c r="Z399" s="77"/>
      <c r="AA399" s="77"/>
      <c r="AB399" s="77"/>
      <c r="AC399" s="80" t="s">
        <v>10558</v>
      </c>
      <c r="AD399" s="77" t="s">
        <v>10620</v>
      </c>
      <c r="AE399" s="83" t="str">
        <f>HYPERLINK("https://twitter.com/leiacryptotimes/status/1688609021694001152")</f>
        <v>https://twitter.com/leiacryptotimes/status/1688609021694001152</v>
      </c>
      <c r="AF399" s="79">
        <v>45145.744652777779</v>
      </c>
      <c r="AG399" s="85">
        <v>45145</v>
      </c>
      <c r="AH399" s="80" t="s">
        <v>10986</v>
      </c>
      <c r="AI399" s="77" t="b">
        <v>0</v>
      </c>
      <c r="AJ399" s="77"/>
      <c r="AK399" s="77"/>
      <c r="AL399" s="77"/>
      <c r="AM399" s="77"/>
      <c r="AN399" s="77"/>
      <c r="AO399" s="77"/>
      <c r="AP399" s="77"/>
      <c r="AQ399" s="77"/>
      <c r="AR399" s="77"/>
      <c r="AS399" s="77"/>
      <c r="AT399" s="77"/>
      <c r="AU399" s="77"/>
      <c r="AV399" s="83" t="str">
        <f>HYPERLINK("https://pbs.twimg.com/profile_images/1273964615530053632/qHcU0VHf_normal.jpg")</f>
        <v>https://pbs.twimg.com/profile_images/1273964615530053632/qHcU0VHf_normal.jpg</v>
      </c>
      <c r="AW399" s="80" t="s">
        <v>16372</v>
      </c>
      <c r="AX399" s="80" t="s">
        <v>16372</v>
      </c>
      <c r="AY399" s="77"/>
      <c r="AZ399" s="80" t="s">
        <v>20380</v>
      </c>
      <c r="BA399" s="80" t="s">
        <v>20380</v>
      </c>
      <c r="BB399" s="80" t="s">
        <v>20380</v>
      </c>
      <c r="BC399" s="80" t="s">
        <v>16372</v>
      </c>
      <c r="BD399" s="80" t="s">
        <v>20576</v>
      </c>
      <c r="BE399" s="77"/>
      <c r="BF399" s="77"/>
      <c r="BG399" s="77"/>
      <c r="BH399" s="77"/>
      <c r="BI399" s="77"/>
    </row>
    <row r="400" spans="1:61" x14ac:dyDescent="0.25">
      <c r="A400" s="62" t="s">
        <v>388</v>
      </c>
      <c r="B400" s="62" t="s">
        <v>388</v>
      </c>
      <c r="C400" s="63"/>
      <c r="D400" s="64"/>
      <c r="E400" s="65"/>
      <c r="F400" s="66"/>
      <c r="G400" s="63"/>
      <c r="H400" s="67"/>
      <c r="I400" s="68"/>
      <c r="J400" s="68"/>
      <c r="K400" s="32"/>
      <c r="L400" s="75">
        <v>400</v>
      </c>
      <c r="M400" s="75"/>
      <c r="N400" s="70"/>
      <c r="O400" s="77" t="s">
        <v>179</v>
      </c>
      <c r="P400" s="79">
        <v>45091.803460648145</v>
      </c>
      <c r="Q400" s="77" t="s">
        <v>2427</v>
      </c>
      <c r="R400" s="77">
        <v>0</v>
      </c>
      <c r="S400" s="77">
        <v>1</v>
      </c>
      <c r="T400" s="77">
        <v>1</v>
      </c>
      <c r="U400" s="77">
        <v>1</v>
      </c>
      <c r="V400" s="77">
        <v>125</v>
      </c>
      <c r="W400" s="80" t="s">
        <v>6186</v>
      </c>
      <c r="X400" s="83" t="str">
        <f>HYPERLINK("https://www.moneytimes.com.br/decreto-no-11-563-mercado-festeja-escolha-de-bc-para-regulamentar-criptomoedas/")</f>
        <v>https://www.moneytimes.com.br/decreto-no-11-563-mercado-festeja-escolha-de-bc-para-regulamentar-criptomoedas/</v>
      </c>
      <c r="Y400" s="77" t="s">
        <v>8611</v>
      </c>
      <c r="Z400" s="77"/>
      <c r="AA400" s="77"/>
      <c r="AB400" s="77"/>
      <c r="AC400" s="80" t="s">
        <v>10558</v>
      </c>
      <c r="AD400" s="77" t="s">
        <v>10617</v>
      </c>
      <c r="AE400" s="83" t="str">
        <f>HYPERLINK("https://twitter.com/leiacryptotimes/status/1669061388256288770")</f>
        <v>https://twitter.com/leiacryptotimes/status/1669061388256288770</v>
      </c>
      <c r="AF400" s="79">
        <v>45091.803460648145</v>
      </c>
      <c r="AG400" s="85">
        <v>45091</v>
      </c>
      <c r="AH400" s="80" t="s">
        <v>10987</v>
      </c>
      <c r="AI400" s="77" t="b">
        <v>0</v>
      </c>
      <c r="AJ400" s="77"/>
      <c r="AK400" s="77"/>
      <c r="AL400" s="77"/>
      <c r="AM400" s="77"/>
      <c r="AN400" s="77"/>
      <c r="AO400" s="77"/>
      <c r="AP400" s="77"/>
      <c r="AQ400" s="77"/>
      <c r="AR400" s="77"/>
      <c r="AS400" s="77"/>
      <c r="AT400" s="77"/>
      <c r="AU400" s="77"/>
      <c r="AV400" s="83" t="str">
        <f>HYPERLINK("https://pbs.twimg.com/profile_images/1273964615530053632/qHcU0VHf_normal.jpg")</f>
        <v>https://pbs.twimg.com/profile_images/1273964615530053632/qHcU0VHf_normal.jpg</v>
      </c>
      <c r="AW400" s="80" t="s">
        <v>16373</v>
      </c>
      <c r="AX400" s="80" t="s">
        <v>16373</v>
      </c>
      <c r="AY400" s="77"/>
      <c r="AZ400" s="80" t="s">
        <v>20380</v>
      </c>
      <c r="BA400" s="80" t="s">
        <v>20380</v>
      </c>
      <c r="BB400" s="80" t="s">
        <v>20380</v>
      </c>
      <c r="BC400" s="80" t="s">
        <v>16373</v>
      </c>
      <c r="BD400" s="80" t="s">
        <v>20576</v>
      </c>
      <c r="BE400" s="77"/>
      <c r="BF400" s="77"/>
      <c r="BG400" s="77"/>
      <c r="BH400" s="77"/>
      <c r="BI400" s="77"/>
    </row>
    <row r="401" spans="1:61" x14ac:dyDescent="0.25">
      <c r="A401" s="62" t="s">
        <v>388</v>
      </c>
      <c r="B401" s="62" t="s">
        <v>388</v>
      </c>
      <c r="C401" s="63"/>
      <c r="D401" s="64"/>
      <c r="E401" s="65"/>
      <c r="F401" s="66"/>
      <c r="G401" s="63"/>
      <c r="H401" s="67"/>
      <c r="I401" s="68"/>
      <c r="J401" s="68"/>
      <c r="K401" s="32"/>
      <c r="L401" s="75">
        <v>401</v>
      </c>
      <c r="M401" s="75"/>
      <c r="N401" s="70"/>
      <c r="O401" s="77" t="s">
        <v>179</v>
      </c>
      <c r="P401" s="79">
        <v>45091.773113425923</v>
      </c>
      <c r="Q401" s="77" t="s">
        <v>2428</v>
      </c>
      <c r="R401" s="77">
        <v>0</v>
      </c>
      <c r="S401" s="77">
        <v>0</v>
      </c>
      <c r="T401" s="77">
        <v>1</v>
      </c>
      <c r="U401" s="77">
        <v>0</v>
      </c>
      <c r="V401" s="77">
        <v>112</v>
      </c>
      <c r="W401" s="80" t="s">
        <v>6187</v>
      </c>
      <c r="X401" s="83" t="str">
        <f>HYPERLINK("https://www.moneytimes.com.br/decreto-no-11-563-lula-nomeia-banco-central-para-regulamentar-criptomoedas-veja-a-integra-do-texto/")</f>
        <v>https://www.moneytimes.com.br/decreto-no-11-563-lula-nomeia-banco-central-para-regulamentar-criptomoedas-veja-a-integra-do-texto/</v>
      </c>
      <c r="Y401" s="77" t="s">
        <v>8611</v>
      </c>
      <c r="Z401" s="77"/>
      <c r="AA401" s="77"/>
      <c r="AB401" s="77"/>
      <c r="AC401" s="80" t="s">
        <v>10558</v>
      </c>
      <c r="AD401" s="77" t="s">
        <v>10617</v>
      </c>
      <c r="AE401" s="83" t="str">
        <f>HYPERLINK("https://twitter.com/leiacryptotimes/status/1669050389910413339")</f>
        <v>https://twitter.com/leiacryptotimes/status/1669050389910413339</v>
      </c>
      <c r="AF401" s="79">
        <v>45091.773113425923</v>
      </c>
      <c r="AG401" s="85">
        <v>45091</v>
      </c>
      <c r="AH401" s="80" t="s">
        <v>10988</v>
      </c>
      <c r="AI401" s="77" t="b">
        <v>0</v>
      </c>
      <c r="AJ401" s="77"/>
      <c r="AK401" s="77"/>
      <c r="AL401" s="77"/>
      <c r="AM401" s="77"/>
      <c r="AN401" s="77"/>
      <c r="AO401" s="77"/>
      <c r="AP401" s="77"/>
      <c r="AQ401" s="77"/>
      <c r="AR401" s="77"/>
      <c r="AS401" s="77"/>
      <c r="AT401" s="77"/>
      <c r="AU401" s="77"/>
      <c r="AV401" s="83" t="str">
        <f>HYPERLINK("https://pbs.twimg.com/profile_images/1273964615530053632/qHcU0VHf_normal.jpg")</f>
        <v>https://pbs.twimg.com/profile_images/1273964615530053632/qHcU0VHf_normal.jpg</v>
      </c>
      <c r="AW401" s="80" t="s">
        <v>16374</v>
      </c>
      <c r="AX401" s="80" t="s">
        <v>16374</v>
      </c>
      <c r="AY401" s="77"/>
      <c r="AZ401" s="80" t="s">
        <v>20380</v>
      </c>
      <c r="BA401" s="80" t="s">
        <v>20380</v>
      </c>
      <c r="BB401" s="80" t="s">
        <v>20380</v>
      </c>
      <c r="BC401" s="80" t="s">
        <v>16374</v>
      </c>
      <c r="BD401" s="80" t="s">
        <v>20576</v>
      </c>
      <c r="BE401" s="77"/>
      <c r="BF401" s="77"/>
      <c r="BG401" s="77"/>
      <c r="BH401" s="77"/>
      <c r="BI401" s="77"/>
    </row>
    <row r="402" spans="1:61" x14ac:dyDescent="0.25">
      <c r="A402" s="62" t="s">
        <v>389</v>
      </c>
      <c r="B402" s="62" t="s">
        <v>952</v>
      </c>
      <c r="C402" s="63"/>
      <c r="D402" s="64"/>
      <c r="E402" s="65"/>
      <c r="F402" s="66"/>
      <c r="G402" s="63"/>
      <c r="H402" s="67"/>
      <c r="I402" s="68"/>
      <c r="J402" s="68"/>
      <c r="K402" s="32"/>
      <c r="L402" s="75">
        <v>402</v>
      </c>
      <c r="M402" s="75"/>
      <c r="N402" s="70"/>
      <c r="O402" s="77" t="s">
        <v>2082</v>
      </c>
      <c r="P402" s="79">
        <v>45127.503252314818</v>
      </c>
      <c r="Q402" s="77" t="s">
        <v>2429</v>
      </c>
      <c r="R402" s="77">
        <v>0</v>
      </c>
      <c r="S402" s="77">
        <v>0</v>
      </c>
      <c r="T402" s="77">
        <v>0</v>
      </c>
      <c r="U402" s="77">
        <v>0</v>
      </c>
      <c r="V402" s="77">
        <v>11</v>
      </c>
      <c r="W402" s="80" t="s">
        <v>6188</v>
      </c>
      <c r="X402" s="77"/>
      <c r="Y402" s="77"/>
      <c r="Z402" s="77"/>
      <c r="AA402" s="77"/>
      <c r="AB402" s="77"/>
      <c r="AC402" s="80" t="s">
        <v>10540</v>
      </c>
      <c r="AD402" s="77" t="s">
        <v>10618</v>
      </c>
      <c r="AE402" s="83" t="str">
        <f>HYPERLINK("https://twitter.com/dizobispo/status/1681998562500943872")</f>
        <v>https://twitter.com/dizobispo/status/1681998562500943872</v>
      </c>
      <c r="AF402" s="79">
        <v>45127.503252314818</v>
      </c>
      <c r="AG402" s="85">
        <v>45127</v>
      </c>
      <c r="AH402" s="80" t="s">
        <v>10989</v>
      </c>
      <c r="AI402" s="77"/>
      <c r="AJ402" s="77"/>
      <c r="AK402" s="77"/>
      <c r="AL402" s="77"/>
      <c r="AM402" s="77"/>
      <c r="AN402" s="77"/>
      <c r="AO402" s="77"/>
      <c r="AP402" s="77"/>
      <c r="AQ402" s="77"/>
      <c r="AR402" s="77"/>
      <c r="AS402" s="77"/>
      <c r="AT402" s="77"/>
      <c r="AU402" s="77"/>
      <c r="AV402" s="83" t="str">
        <f>HYPERLINK("https://pbs.twimg.com/profile_images/1039557751322681344/zizvm_r-_normal.jpg")</f>
        <v>https://pbs.twimg.com/profile_images/1039557751322681344/zizvm_r-_normal.jpg</v>
      </c>
      <c r="AW402" s="80" t="s">
        <v>16375</v>
      </c>
      <c r="AX402" s="80" t="s">
        <v>16375</v>
      </c>
      <c r="AY402" s="77"/>
      <c r="AZ402" s="80" t="s">
        <v>20380</v>
      </c>
      <c r="BA402" s="80" t="s">
        <v>18150</v>
      </c>
      <c r="BB402" s="80" t="s">
        <v>20380</v>
      </c>
      <c r="BC402" s="80" t="s">
        <v>18150</v>
      </c>
      <c r="BD402" s="77">
        <v>44877927</v>
      </c>
      <c r="BE402" s="77"/>
      <c r="BF402" s="77"/>
      <c r="BG402" s="77"/>
      <c r="BH402" s="77"/>
      <c r="BI402" s="77"/>
    </row>
    <row r="403" spans="1:61" x14ac:dyDescent="0.25">
      <c r="A403" s="62" t="s">
        <v>390</v>
      </c>
      <c r="B403" s="62" t="s">
        <v>390</v>
      </c>
      <c r="C403" s="63"/>
      <c r="D403" s="64"/>
      <c r="E403" s="65"/>
      <c r="F403" s="66"/>
      <c r="G403" s="63"/>
      <c r="H403" s="67"/>
      <c r="I403" s="68"/>
      <c r="J403" s="68"/>
      <c r="K403" s="32"/>
      <c r="L403" s="75">
        <v>403</v>
      </c>
      <c r="M403" s="75"/>
      <c r="N403" s="70"/>
      <c r="O403" s="77" t="s">
        <v>179</v>
      </c>
      <c r="P403" s="79">
        <v>45138.514756944445</v>
      </c>
      <c r="Q403" s="77" t="s">
        <v>2430</v>
      </c>
      <c r="R403" s="77">
        <v>0</v>
      </c>
      <c r="S403" s="77">
        <v>0</v>
      </c>
      <c r="T403" s="77">
        <v>0</v>
      </c>
      <c r="U403" s="77">
        <v>0</v>
      </c>
      <c r="V403" s="77">
        <v>16</v>
      </c>
      <c r="W403" s="80" t="s">
        <v>6189</v>
      </c>
      <c r="X403" s="77"/>
      <c r="Y403" s="77"/>
      <c r="Z403" s="77"/>
      <c r="AA403" s="77" t="s">
        <v>9151</v>
      </c>
      <c r="AB403" s="77" t="s">
        <v>10535</v>
      </c>
      <c r="AC403" s="80" t="s">
        <v>10542</v>
      </c>
      <c r="AD403" s="77" t="s">
        <v>10617</v>
      </c>
      <c r="AE403" s="83" t="str">
        <f>HYPERLINK("https://twitter.com/danilojulliao/status/1685988998206926848")</f>
        <v>https://twitter.com/danilojulliao/status/1685988998206926848</v>
      </c>
      <c r="AF403" s="79">
        <v>45138.514756944445</v>
      </c>
      <c r="AG403" s="85">
        <v>45138</v>
      </c>
      <c r="AH403" s="80" t="s">
        <v>10990</v>
      </c>
      <c r="AI403" s="77" t="b">
        <v>0</v>
      </c>
      <c r="AJ403" s="77"/>
      <c r="AK403" s="77"/>
      <c r="AL403" s="77"/>
      <c r="AM403" s="77"/>
      <c r="AN403" s="77"/>
      <c r="AO403" s="77"/>
      <c r="AP403" s="77"/>
      <c r="AQ403" s="77" t="s">
        <v>14633</v>
      </c>
      <c r="AR403" s="77"/>
      <c r="AS403" s="77"/>
      <c r="AT403" s="77"/>
      <c r="AU403" s="77"/>
      <c r="AV403" s="83" t="str">
        <f>HYPERLINK("https://pbs.twimg.com/media/F2XWDeSXgAAN2Hi.jpg")</f>
        <v>https://pbs.twimg.com/media/F2XWDeSXgAAN2Hi.jpg</v>
      </c>
      <c r="AW403" s="80" t="s">
        <v>16376</v>
      </c>
      <c r="AX403" s="80" t="s">
        <v>16376</v>
      </c>
      <c r="AY403" s="77"/>
      <c r="AZ403" s="80" t="s">
        <v>20380</v>
      </c>
      <c r="BA403" s="80" t="s">
        <v>20380</v>
      </c>
      <c r="BB403" s="80" t="s">
        <v>20380</v>
      </c>
      <c r="BC403" s="80" t="s">
        <v>16376</v>
      </c>
      <c r="BD403" s="80" t="s">
        <v>20577</v>
      </c>
      <c r="BE403" s="77"/>
      <c r="BF403" s="77"/>
      <c r="BG403" s="77"/>
      <c r="BH403" s="77"/>
      <c r="BI403" s="77"/>
    </row>
    <row r="404" spans="1:61" x14ac:dyDescent="0.25">
      <c r="A404" s="62" t="s">
        <v>391</v>
      </c>
      <c r="B404" s="62" t="s">
        <v>391</v>
      </c>
      <c r="C404" s="63"/>
      <c r="D404" s="64"/>
      <c r="E404" s="65"/>
      <c r="F404" s="66"/>
      <c r="G404" s="63"/>
      <c r="H404" s="67"/>
      <c r="I404" s="68"/>
      <c r="J404" s="68"/>
      <c r="K404" s="32"/>
      <c r="L404" s="75">
        <v>404</v>
      </c>
      <c r="M404" s="75"/>
      <c r="N404" s="70"/>
      <c r="O404" s="77" t="s">
        <v>179</v>
      </c>
      <c r="P404" s="79">
        <v>45070.591793981483</v>
      </c>
      <c r="Q404" s="77" t="s">
        <v>2431</v>
      </c>
      <c r="R404" s="77">
        <v>0</v>
      </c>
      <c r="S404" s="77">
        <v>0</v>
      </c>
      <c r="T404" s="77">
        <v>0</v>
      </c>
      <c r="U404" s="77">
        <v>0</v>
      </c>
      <c r="V404" s="77">
        <v>22</v>
      </c>
      <c r="W404" s="80" t="s">
        <v>6190</v>
      </c>
      <c r="X404" s="83" t="str">
        <f>HYPERLINK("https://saltamasiva.com/contenido/18023/la-reservas-cayeron-y-perforaron-los-us33000-millones-por-primera-vez-en-mas-de-")</f>
        <v>https://saltamasiva.com/contenido/18023/la-reservas-cayeron-y-perforaron-los-us33000-millones-por-primera-vez-en-mas-de-</v>
      </c>
      <c r="Y404" s="77" t="s">
        <v>8658</v>
      </c>
      <c r="Z404" s="77"/>
      <c r="AA404" s="77" t="s">
        <v>9152</v>
      </c>
      <c r="AB404" s="77" t="s">
        <v>10535</v>
      </c>
      <c r="AC404" s="80" t="s">
        <v>10541</v>
      </c>
      <c r="AD404" s="77" t="s">
        <v>10620</v>
      </c>
      <c r="AE404" s="83" t="str">
        <f>HYPERLINK("https://twitter.com/saltaiva/status/1661374538511179779")</f>
        <v>https://twitter.com/saltaiva/status/1661374538511179779</v>
      </c>
      <c r="AF404" s="79">
        <v>45070.591793981483</v>
      </c>
      <c r="AG404" s="85">
        <v>45070</v>
      </c>
      <c r="AH404" s="80" t="s">
        <v>10991</v>
      </c>
      <c r="AI404" s="77" t="b">
        <v>0</v>
      </c>
      <c r="AJ404" s="77"/>
      <c r="AK404" s="77"/>
      <c r="AL404" s="77"/>
      <c r="AM404" s="77"/>
      <c r="AN404" s="77"/>
      <c r="AO404" s="77"/>
      <c r="AP404" s="77"/>
      <c r="AQ404" s="77" t="s">
        <v>14634</v>
      </c>
      <c r="AR404" s="77"/>
      <c r="AS404" s="77"/>
      <c r="AT404" s="77"/>
      <c r="AU404" s="77"/>
      <c r="AV404" s="83" t="str">
        <f>HYPERLINK("https://pbs.twimg.com/media/Fw5iypNXwAUDMXr.jpg")</f>
        <v>https://pbs.twimg.com/media/Fw5iypNXwAUDMXr.jpg</v>
      </c>
      <c r="AW404" s="80" t="s">
        <v>16377</v>
      </c>
      <c r="AX404" s="80" t="s">
        <v>16377</v>
      </c>
      <c r="AY404" s="77"/>
      <c r="AZ404" s="80" t="s">
        <v>20380</v>
      </c>
      <c r="BA404" s="80" t="s">
        <v>20380</v>
      </c>
      <c r="BB404" s="80" t="s">
        <v>20380</v>
      </c>
      <c r="BC404" s="80" t="s">
        <v>16377</v>
      </c>
      <c r="BD404" s="80" t="s">
        <v>20578</v>
      </c>
      <c r="BE404" s="77"/>
      <c r="BF404" s="77"/>
      <c r="BG404" s="77"/>
      <c r="BH404" s="77"/>
      <c r="BI404" s="77"/>
    </row>
    <row r="405" spans="1:61" x14ac:dyDescent="0.25">
      <c r="A405" s="62" t="s">
        <v>392</v>
      </c>
      <c r="B405" s="62" t="s">
        <v>1742</v>
      </c>
      <c r="C405" s="63"/>
      <c r="D405" s="64"/>
      <c r="E405" s="65"/>
      <c r="F405" s="66"/>
      <c r="G405" s="63"/>
      <c r="H405" s="67"/>
      <c r="I405" s="68"/>
      <c r="J405" s="68"/>
      <c r="K405" s="32"/>
      <c r="L405" s="75">
        <v>405</v>
      </c>
      <c r="M405" s="75"/>
      <c r="N405" s="70"/>
      <c r="O405" s="77" t="s">
        <v>2079</v>
      </c>
      <c r="P405" s="79">
        <v>45191.768634259257</v>
      </c>
      <c r="Q405" s="77" t="s">
        <v>2432</v>
      </c>
      <c r="R405" s="77">
        <v>0</v>
      </c>
      <c r="S405" s="77">
        <v>1</v>
      </c>
      <c r="T405" s="77">
        <v>0</v>
      </c>
      <c r="U405" s="77">
        <v>0</v>
      </c>
      <c r="V405" s="77">
        <v>66</v>
      </c>
      <c r="W405" s="80" t="s">
        <v>5884</v>
      </c>
      <c r="X405" s="77"/>
      <c r="Y405" s="77"/>
      <c r="Z405" s="77" t="s">
        <v>8916</v>
      </c>
      <c r="AA405" s="77"/>
      <c r="AB405" s="77"/>
      <c r="AC405" s="80" t="s">
        <v>10540</v>
      </c>
      <c r="AD405" s="77" t="s">
        <v>10620</v>
      </c>
      <c r="AE405" s="83" t="str">
        <f>HYPERLINK("https://twitter.com/ramirezarcadio/status/1705287553614598481")</f>
        <v>https://twitter.com/ramirezarcadio/status/1705287553614598481</v>
      </c>
      <c r="AF405" s="79">
        <v>45191.768634259257</v>
      </c>
      <c r="AG405" s="85">
        <v>45191</v>
      </c>
      <c r="AH405" s="80" t="s">
        <v>10992</v>
      </c>
      <c r="AI405" s="77"/>
      <c r="AJ405" s="77"/>
      <c r="AK405" s="77"/>
      <c r="AL405" s="77"/>
      <c r="AM405" s="77"/>
      <c r="AN405" s="77"/>
      <c r="AO405" s="77"/>
      <c r="AP405" s="77"/>
      <c r="AQ405" s="77"/>
      <c r="AR405" s="77"/>
      <c r="AS405" s="77"/>
      <c r="AT405" s="77"/>
      <c r="AU405" s="77"/>
      <c r="AV405" s="83" t="str">
        <f>HYPERLINK("https://pbs.twimg.com/profile_images/877766686174310400/gaV-lfUY_normal.jpg")</f>
        <v>https://pbs.twimg.com/profile_images/877766686174310400/gaV-lfUY_normal.jpg</v>
      </c>
      <c r="AW405" s="80" t="s">
        <v>16378</v>
      </c>
      <c r="AX405" s="80" t="s">
        <v>19984</v>
      </c>
      <c r="AY405" s="80" t="s">
        <v>20234</v>
      </c>
      <c r="AZ405" s="80" t="s">
        <v>19984</v>
      </c>
      <c r="BA405" s="80" t="s">
        <v>20380</v>
      </c>
      <c r="BB405" s="80" t="s">
        <v>20380</v>
      </c>
      <c r="BC405" s="80" t="s">
        <v>19984</v>
      </c>
      <c r="BD405" s="77">
        <v>347038543</v>
      </c>
      <c r="BE405" s="77"/>
      <c r="BF405" s="77"/>
      <c r="BG405" s="77"/>
      <c r="BH405" s="77"/>
      <c r="BI405" s="77"/>
    </row>
    <row r="406" spans="1:61" x14ac:dyDescent="0.25">
      <c r="A406" s="62" t="s">
        <v>392</v>
      </c>
      <c r="B406" s="62" t="s">
        <v>1743</v>
      </c>
      <c r="C406" s="63"/>
      <c r="D406" s="64"/>
      <c r="E406" s="65"/>
      <c r="F406" s="66"/>
      <c r="G406" s="63"/>
      <c r="H406" s="67"/>
      <c r="I406" s="68"/>
      <c r="J406" s="68"/>
      <c r="K406" s="32"/>
      <c r="L406" s="75">
        <v>406</v>
      </c>
      <c r="M406" s="75"/>
      <c r="N406" s="70"/>
      <c r="O406" s="77" t="s">
        <v>2079</v>
      </c>
      <c r="P406" s="79">
        <v>45191.768634259257</v>
      </c>
      <c r="Q406" s="77" t="s">
        <v>2432</v>
      </c>
      <c r="R406" s="77">
        <v>0</v>
      </c>
      <c r="S406" s="77">
        <v>1</v>
      </c>
      <c r="T406" s="77">
        <v>0</v>
      </c>
      <c r="U406" s="77">
        <v>0</v>
      </c>
      <c r="V406" s="77">
        <v>66</v>
      </c>
      <c r="W406" s="80" t="s">
        <v>5884</v>
      </c>
      <c r="X406" s="77"/>
      <c r="Y406" s="77"/>
      <c r="Z406" s="77" t="s">
        <v>8916</v>
      </c>
      <c r="AA406" s="77"/>
      <c r="AB406" s="77"/>
      <c r="AC406" s="80" t="s">
        <v>10540</v>
      </c>
      <c r="AD406" s="77" t="s">
        <v>10620</v>
      </c>
      <c r="AE406" s="83" t="str">
        <f>HYPERLINK("https://twitter.com/ramirezarcadio/status/1705287553614598481")</f>
        <v>https://twitter.com/ramirezarcadio/status/1705287553614598481</v>
      </c>
      <c r="AF406" s="79">
        <v>45191.768634259257</v>
      </c>
      <c r="AG406" s="85">
        <v>45191</v>
      </c>
      <c r="AH406" s="80" t="s">
        <v>10992</v>
      </c>
      <c r="AI406" s="77"/>
      <c r="AJ406" s="77"/>
      <c r="AK406" s="77"/>
      <c r="AL406" s="77"/>
      <c r="AM406" s="77"/>
      <c r="AN406" s="77"/>
      <c r="AO406" s="77"/>
      <c r="AP406" s="77"/>
      <c r="AQ406" s="77"/>
      <c r="AR406" s="77"/>
      <c r="AS406" s="77"/>
      <c r="AT406" s="77"/>
      <c r="AU406" s="77"/>
      <c r="AV406" s="83" t="str">
        <f>HYPERLINK("https://pbs.twimg.com/profile_images/877766686174310400/gaV-lfUY_normal.jpg")</f>
        <v>https://pbs.twimg.com/profile_images/877766686174310400/gaV-lfUY_normal.jpg</v>
      </c>
      <c r="AW406" s="80" t="s">
        <v>16378</v>
      </c>
      <c r="AX406" s="80" t="s">
        <v>19984</v>
      </c>
      <c r="AY406" s="80" t="s">
        <v>20234</v>
      </c>
      <c r="AZ406" s="80" t="s">
        <v>19984</v>
      </c>
      <c r="BA406" s="80" t="s">
        <v>20380</v>
      </c>
      <c r="BB406" s="80" t="s">
        <v>20380</v>
      </c>
      <c r="BC406" s="80" t="s">
        <v>19984</v>
      </c>
      <c r="BD406" s="77">
        <v>347038543</v>
      </c>
      <c r="BE406" s="77"/>
      <c r="BF406" s="77"/>
      <c r="BG406" s="77"/>
      <c r="BH406" s="77"/>
      <c r="BI406" s="77"/>
    </row>
    <row r="407" spans="1:61" x14ac:dyDescent="0.25">
      <c r="A407" s="62" t="s">
        <v>392</v>
      </c>
      <c r="B407" s="62" t="s">
        <v>1744</v>
      </c>
      <c r="C407" s="63"/>
      <c r="D407" s="64"/>
      <c r="E407" s="65"/>
      <c r="F407" s="66"/>
      <c r="G407" s="63"/>
      <c r="H407" s="67"/>
      <c r="I407" s="68"/>
      <c r="J407" s="68"/>
      <c r="K407" s="32"/>
      <c r="L407" s="75">
        <v>407</v>
      </c>
      <c r="M407" s="75"/>
      <c r="N407" s="70"/>
      <c r="O407" s="77" t="s">
        <v>2079</v>
      </c>
      <c r="P407" s="79">
        <v>45191.768634259257</v>
      </c>
      <c r="Q407" s="77" t="s">
        <v>2432</v>
      </c>
      <c r="R407" s="77">
        <v>0</v>
      </c>
      <c r="S407" s="77">
        <v>1</v>
      </c>
      <c r="T407" s="77">
        <v>0</v>
      </c>
      <c r="U407" s="77">
        <v>0</v>
      </c>
      <c r="V407" s="77">
        <v>66</v>
      </c>
      <c r="W407" s="80" t="s">
        <v>5884</v>
      </c>
      <c r="X407" s="77"/>
      <c r="Y407" s="77"/>
      <c r="Z407" s="77" t="s">
        <v>8916</v>
      </c>
      <c r="AA407" s="77"/>
      <c r="AB407" s="77"/>
      <c r="AC407" s="80" t="s">
        <v>10540</v>
      </c>
      <c r="AD407" s="77" t="s">
        <v>10620</v>
      </c>
      <c r="AE407" s="83" t="str">
        <f>HYPERLINK("https://twitter.com/ramirezarcadio/status/1705287553614598481")</f>
        <v>https://twitter.com/ramirezarcadio/status/1705287553614598481</v>
      </c>
      <c r="AF407" s="79">
        <v>45191.768634259257</v>
      </c>
      <c r="AG407" s="85">
        <v>45191</v>
      </c>
      <c r="AH407" s="80" t="s">
        <v>10992</v>
      </c>
      <c r="AI407" s="77"/>
      <c r="AJ407" s="77"/>
      <c r="AK407" s="77"/>
      <c r="AL407" s="77"/>
      <c r="AM407" s="77"/>
      <c r="AN407" s="77"/>
      <c r="AO407" s="77"/>
      <c r="AP407" s="77"/>
      <c r="AQ407" s="77"/>
      <c r="AR407" s="77"/>
      <c r="AS407" s="77"/>
      <c r="AT407" s="77"/>
      <c r="AU407" s="77"/>
      <c r="AV407" s="83" t="str">
        <f>HYPERLINK("https://pbs.twimg.com/profile_images/877766686174310400/gaV-lfUY_normal.jpg")</f>
        <v>https://pbs.twimg.com/profile_images/877766686174310400/gaV-lfUY_normal.jpg</v>
      </c>
      <c r="AW407" s="80" t="s">
        <v>16378</v>
      </c>
      <c r="AX407" s="80" t="s">
        <v>19984</v>
      </c>
      <c r="AY407" s="80" t="s">
        <v>20234</v>
      </c>
      <c r="AZ407" s="80" t="s">
        <v>19984</v>
      </c>
      <c r="BA407" s="80" t="s">
        <v>20380</v>
      </c>
      <c r="BB407" s="80" t="s">
        <v>20380</v>
      </c>
      <c r="BC407" s="80" t="s">
        <v>19984</v>
      </c>
      <c r="BD407" s="77">
        <v>347038543</v>
      </c>
      <c r="BE407" s="77"/>
      <c r="BF407" s="77"/>
      <c r="BG407" s="77"/>
      <c r="BH407" s="77"/>
      <c r="BI407" s="77"/>
    </row>
    <row r="408" spans="1:61" x14ac:dyDescent="0.25">
      <c r="A408" s="62" t="s">
        <v>392</v>
      </c>
      <c r="B408" s="62" t="s">
        <v>1745</v>
      </c>
      <c r="C408" s="63"/>
      <c r="D408" s="64"/>
      <c r="E408" s="65"/>
      <c r="F408" s="66"/>
      <c r="G408" s="63"/>
      <c r="H408" s="67"/>
      <c r="I408" s="68"/>
      <c r="J408" s="68"/>
      <c r="K408" s="32"/>
      <c r="L408" s="75">
        <v>408</v>
      </c>
      <c r="M408" s="75"/>
      <c r="N408" s="70"/>
      <c r="O408" s="77" t="s">
        <v>2078</v>
      </c>
      <c r="P408" s="79">
        <v>45191.768634259257</v>
      </c>
      <c r="Q408" s="77" t="s">
        <v>2432</v>
      </c>
      <c r="R408" s="77">
        <v>0</v>
      </c>
      <c r="S408" s="77">
        <v>1</v>
      </c>
      <c r="T408" s="77">
        <v>0</v>
      </c>
      <c r="U408" s="77">
        <v>0</v>
      </c>
      <c r="V408" s="77">
        <v>66</v>
      </c>
      <c r="W408" s="80" t="s">
        <v>5884</v>
      </c>
      <c r="X408" s="77"/>
      <c r="Y408" s="77"/>
      <c r="Z408" s="77" t="s">
        <v>8916</v>
      </c>
      <c r="AA408" s="77"/>
      <c r="AB408" s="77"/>
      <c r="AC408" s="80" t="s">
        <v>10540</v>
      </c>
      <c r="AD408" s="77" t="s">
        <v>10620</v>
      </c>
      <c r="AE408" s="83" t="str">
        <f>HYPERLINK("https://twitter.com/ramirezarcadio/status/1705287553614598481")</f>
        <v>https://twitter.com/ramirezarcadio/status/1705287553614598481</v>
      </c>
      <c r="AF408" s="79">
        <v>45191.768634259257</v>
      </c>
      <c r="AG408" s="85">
        <v>45191</v>
      </c>
      <c r="AH408" s="80" t="s">
        <v>10992</v>
      </c>
      <c r="AI408" s="77"/>
      <c r="AJ408" s="77"/>
      <c r="AK408" s="77"/>
      <c r="AL408" s="77"/>
      <c r="AM408" s="77"/>
      <c r="AN408" s="77"/>
      <c r="AO408" s="77"/>
      <c r="AP408" s="77"/>
      <c r="AQ408" s="77"/>
      <c r="AR408" s="77"/>
      <c r="AS408" s="77"/>
      <c r="AT408" s="77"/>
      <c r="AU408" s="77"/>
      <c r="AV408" s="83" t="str">
        <f>HYPERLINK("https://pbs.twimg.com/profile_images/877766686174310400/gaV-lfUY_normal.jpg")</f>
        <v>https://pbs.twimg.com/profile_images/877766686174310400/gaV-lfUY_normal.jpg</v>
      </c>
      <c r="AW408" s="80" t="s">
        <v>16378</v>
      </c>
      <c r="AX408" s="80" t="s">
        <v>19984</v>
      </c>
      <c r="AY408" s="80" t="s">
        <v>20234</v>
      </c>
      <c r="AZ408" s="80" t="s">
        <v>19984</v>
      </c>
      <c r="BA408" s="80" t="s">
        <v>20380</v>
      </c>
      <c r="BB408" s="80" t="s">
        <v>20380</v>
      </c>
      <c r="BC408" s="80" t="s">
        <v>19984</v>
      </c>
      <c r="BD408" s="77">
        <v>347038543</v>
      </c>
      <c r="BE408" s="77"/>
      <c r="BF408" s="77"/>
      <c r="BG408" s="77"/>
      <c r="BH408" s="77"/>
      <c r="BI408" s="77"/>
    </row>
    <row r="409" spans="1:61" x14ac:dyDescent="0.25">
      <c r="A409" s="62" t="s">
        <v>393</v>
      </c>
      <c r="B409" s="62" t="s">
        <v>393</v>
      </c>
      <c r="C409" s="63"/>
      <c r="D409" s="64"/>
      <c r="E409" s="65"/>
      <c r="F409" s="66"/>
      <c r="G409" s="63"/>
      <c r="H409" s="67"/>
      <c r="I409" s="68"/>
      <c r="J409" s="68"/>
      <c r="K409" s="32"/>
      <c r="L409" s="75">
        <v>409</v>
      </c>
      <c r="M409" s="75"/>
      <c r="N409" s="70"/>
      <c r="O409" s="77" t="s">
        <v>179</v>
      </c>
      <c r="P409" s="79">
        <v>45152.605671296296</v>
      </c>
      <c r="Q409" s="77" t="s">
        <v>2433</v>
      </c>
      <c r="R409" s="77">
        <v>0</v>
      </c>
      <c r="S409" s="77">
        <v>0</v>
      </c>
      <c r="T409" s="77">
        <v>0</v>
      </c>
      <c r="U409" s="77">
        <v>0</v>
      </c>
      <c r="V409" s="77">
        <v>567</v>
      </c>
      <c r="W409" s="80" t="s">
        <v>6191</v>
      </c>
      <c r="X409" s="77"/>
      <c r="Y409" s="77"/>
      <c r="Z409" s="77"/>
      <c r="AA409" s="77" t="s">
        <v>9153</v>
      </c>
      <c r="AB409" s="77" t="s">
        <v>10539</v>
      </c>
      <c r="AC409" s="80" t="s">
        <v>10540</v>
      </c>
      <c r="AD409" s="77" t="s">
        <v>10620</v>
      </c>
      <c r="AE409" s="83" t="str">
        <f>HYPERLINK("https://twitter.com/lpmartinchus/status/1691095371710402562")</f>
        <v>https://twitter.com/lpmartinchus/status/1691095371710402562</v>
      </c>
      <c r="AF409" s="79">
        <v>45152.605671296296</v>
      </c>
      <c r="AG409" s="85">
        <v>45152</v>
      </c>
      <c r="AH409" s="80" t="s">
        <v>10993</v>
      </c>
      <c r="AI409" s="77" t="b">
        <v>0</v>
      </c>
      <c r="AJ409" s="77"/>
      <c r="AK409" s="77"/>
      <c r="AL409" s="77"/>
      <c r="AM409" s="77"/>
      <c r="AN409" s="77"/>
      <c r="AO409" s="77"/>
      <c r="AP409" s="77"/>
      <c r="AQ409" s="77" t="s">
        <v>14635</v>
      </c>
      <c r="AR409" s="77"/>
      <c r="AS409" s="77"/>
      <c r="AT409" s="77"/>
      <c r="AU409" s="77"/>
      <c r="AV409" s="83" t="str">
        <f>HYPERLINK("https://pbs.twimg.com/tweet_video_thumb/F3f6Q8_WgAAE_oe.jpg")</f>
        <v>https://pbs.twimg.com/tweet_video_thumb/F3f6Q8_WgAAE_oe.jpg</v>
      </c>
      <c r="AW409" s="80" t="s">
        <v>16379</v>
      </c>
      <c r="AX409" s="80" t="s">
        <v>16379</v>
      </c>
      <c r="AY409" s="77"/>
      <c r="AZ409" s="80" t="s">
        <v>20380</v>
      </c>
      <c r="BA409" s="80" t="s">
        <v>20380</v>
      </c>
      <c r="BB409" s="80" t="s">
        <v>20380</v>
      </c>
      <c r="BC409" s="80" t="s">
        <v>16379</v>
      </c>
      <c r="BD409" s="77">
        <v>2821491213</v>
      </c>
      <c r="BE409" s="77"/>
      <c r="BF409" s="77"/>
      <c r="BG409" s="77"/>
      <c r="BH409" s="77"/>
      <c r="BI409" s="77"/>
    </row>
    <row r="410" spans="1:61" x14ac:dyDescent="0.25">
      <c r="A410" s="62" t="s">
        <v>394</v>
      </c>
      <c r="B410" s="62" t="s">
        <v>394</v>
      </c>
      <c r="C410" s="63"/>
      <c r="D410" s="64"/>
      <c r="E410" s="65"/>
      <c r="F410" s="66"/>
      <c r="G410" s="63"/>
      <c r="H410" s="67"/>
      <c r="I410" s="68"/>
      <c r="J410" s="68"/>
      <c r="K410" s="32"/>
      <c r="L410" s="75">
        <v>410</v>
      </c>
      <c r="M410" s="75"/>
      <c r="N410" s="70"/>
      <c r="O410" s="77" t="s">
        <v>179</v>
      </c>
      <c r="P410" s="79">
        <v>45152.947847222225</v>
      </c>
      <c r="Q410" s="77" t="s">
        <v>2434</v>
      </c>
      <c r="R410" s="77">
        <v>0</v>
      </c>
      <c r="S410" s="77">
        <v>0</v>
      </c>
      <c r="T410" s="77">
        <v>0</v>
      </c>
      <c r="U410" s="77">
        <v>0</v>
      </c>
      <c r="V410" s="77">
        <v>47</v>
      </c>
      <c r="W410" s="80" t="s">
        <v>6192</v>
      </c>
      <c r="X410" s="83" t="str">
        <f>HYPERLINK("https://laposta.ar/el-banco-central-devaluo-un-22-el-tipo-de-cambio-oficial/")</f>
        <v>https://laposta.ar/el-banco-central-devaluo-un-22-el-tipo-de-cambio-oficial/</v>
      </c>
      <c r="Y410" s="77" t="s">
        <v>8659</v>
      </c>
      <c r="Z410" s="77"/>
      <c r="AA410" s="77"/>
      <c r="AB410" s="77"/>
      <c r="AC410" s="80" t="s">
        <v>10541</v>
      </c>
      <c r="AD410" s="77" t="s">
        <v>10620</v>
      </c>
      <c r="AE410" s="83" t="str">
        <f>HYPERLINK("https://twitter.com/noticiaslaposta/status/1691219372252024832")</f>
        <v>https://twitter.com/noticiaslaposta/status/1691219372252024832</v>
      </c>
      <c r="AF410" s="79">
        <v>45152.947847222225</v>
      </c>
      <c r="AG410" s="85">
        <v>45152</v>
      </c>
      <c r="AH410" s="80" t="s">
        <v>10994</v>
      </c>
      <c r="AI410" s="77" t="b">
        <v>0</v>
      </c>
      <c r="AJ410" s="77"/>
      <c r="AK410" s="77"/>
      <c r="AL410" s="77"/>
      <c r="AM410" s="77"/>
      <c r="AN410" s="77"/>
      <c r="AO410" s="77"/>
      <c r="AP410" s="77"/>
      <c r="AQ410" s="77"/>
      <c r="AR410" s="77"/>
      <c r="AS410" s="77"/>
      <c r="AT410" s="77"/>
      <c r="AU410" s="77"/>
      <c r="AV410" s="83" t="str">
        <f>HYPERLINK("https://pbs.twimg.com/profile_images/1488147568148287497/lq0bEmoP_normal.jpg")</f>
        <v>https://pbs.twimg.com/profile_images/1488147568148287497/lq0bEmoP_normal.jpg</v>
      </c>
      <c r="AW410" s="80" t="s">
        <v>16380</v>
      </c>
      <c r="AX410" s="80" t="s">
        <v>16380</v>
      </c>
      <c r="AY410" s="77"/>
      <c r="AZ410" s="80" t="s">
        <v>20380</v>
      </c>
      <c r="BA410" s="80" t="s">
        <v>20380</v>
      </c>
      <c r="BB410" s="80" t="s">
        <v>20380</v>
      </c>
      <c r="BC410" s="80" t="s">
        <v>16380</v>
      </c>
      <c r="BD410" s="77">
        <v>3166196639</v>
      </c>
      <c r="BE410" s="77"/>
      <c r="BF410" s="77"/>
      <c r="BG410" s="77"/>
      <c r="BH410" s="77"/>
      <c r="BI410" s="77"/>
    </row>
    <row r="411" spans="1:61" x14ac:dyDescent="0.25">
      <c r="A411" s="62" t="s">
        <v>394</v>
      </c>
      <c r="B411" s="62" t="s">
        <v>394</v>
      </c>
      <c r="C411" s="63"/>
      <c r="D411" s="64"/>
      <c r="E411" s="65"/>
      <c r="F411" s="66"/>
      <c r="G411" s="63"/>
      <c r="H411" s="67"/>
      <c r="I411" s="68"/>
      <c r="J411" s="68"/>
      <c r="K411" s="32"/>
      <c r="L411" s="75">
        <v>411</v>
      </c>
      <c r="M411" s="75"/>
      <c r="N411" s="70"/>
      <c r="O411" s="77" t="s">
        <v>179</v>
      </c>
      <c r="P411" s="79">
        <v>45153.939479166664</v>
      </c>
      <c r="Q411" s="77" t="s">
        <v>2435</v>
      </c>
      <c r="R411" s="77">
        <v>0</v>
      </c>
      <c r="S411" s="77">
        <v>0</v>
      </c>
      <c r="T411" s="77">
        <v>0</v>
      </c>
      <c r="U411" s="77">
        <v>0</v>
      </c>
      <c r="V411" s="77">
        <v>19</v>
      </c>
      <c r="W411" s="80" t="s">
        <v>5884</v>
      </c>
      <c r="X411" s="83" t="str">
        <f>HYPERLINK("https://laposta.ar/banco-central-dice-que-en-una-jornada-acumulo-us-200-millones-en-reservas/")</f>
        <v>https://laposta.ar/banco-central-dice-que-en-una-jornada-acumulo-us-200-millones-en-reservas/</v>
      </c>
      <c r="Y411" s="77" t="s">
        <v>8659</v>
      </c>
      <c r="Z411" s="77"/>
      <c r="AA411" s="77"/>
      <c r="AB411" s="77"/>
      <c r="AC411" s="80" t="s">
        <v>10541</v>
      </c>
      <c r="AD411" s="77" t="s">
        <v>10620</v>
      </c>
      <c r="AE411" s="83" t="str">
        <f>HYPERLINK("https://twitter.com/noticiaslaposta/status/1691578729762312559")</f>
        <v>https://twitter.com/noticiaslaposta/status/1691578729762312559</v>
      </c>
      <c r="AF411" s="79">
        <v>45153.939479166664</v>
      </c>
      <c r="AG411" s="85">
        <v>45153</v>
      </c>
      <c r="AH411" s="80" t="s">
        <v>10995</v>
      </c>
      <c r="AI411" s="77" t="b">
        <v>0</v>
      </c>
      <c r="AJ411" s="77"/>
      <c r="AK411" s="77"/>
      <c r="AL411" s="77"/>
      <c r="AM411" s="77"/>
      <c r="AN411" s="77"/>
      <c r="AO411" s="77"/>
      <c r="AP411" s="77"/>
      <c r="AQ411" s="77"/>
      <c r="AR411" s="77"/>
      <c r="AS411" s="77"/>
      <c r="AT411" s="77"/>
      <c r="AU411" s="77"/>
      <c r="AV411" s="83" t="str">
        <f>HYPERLINK("https://pbs.twimg.com/profile_images/1488147568148287497/lq0bEmoP_normal.jpg")</f>
        <v>https://pbs.twimg.com/profile_images/1488147568148287497/lq0bEmoP_normal.jpg</v>
      </c>
      <c r="AW411" s="80" t="s">
        <v>16381</v>
      </c>
      <c r="AX411" s="80" t="s">
        <v>16381</v>
      </c>
      <c r="AY411" s="77"/>
      <c r="AZ411" s="80" t="s">
        <v>20380</v>
      </c>
      <c r="BA411" s="80" t="s">
        <v>20380</v>
      </c>
      <c r="BB411" s="80" t="s">
        <v>20380</v>
      </c>
      <c r="BC411" s="80" t="s">
        <v>16381</v>
      </c>
      <c r="BD411" s="77">
        <v>3166196639</v>
      </c>
      <c r="BE411" s="77"/>
      <c r="BF411" s="77"/>
      <c r="BG411" s="77"/>
      <c r="BH411" s="77"/>
      <c r="BI411" s="77"/>
    </row>
    <row r="412" spans="1:61" x14ac:dyDescent="0.25">
      <c r="A412" s="62" t="s">
        <v>395</v>
      </c>
      <c r="B412" s="62" t="s">
        <v>395</v>
      </c>
      <c r="C412" s="63"/>
      <c r="D412" s="64"/>
      <c r="E412" s="65"/>
      <c r="F412" s="66"/>
      <c r="G412" s="63"/>
      <c r="H412" s="67"/>
      <c r="I412" s="68"/>
      <c r="J412" s="68"/>
      <c r="K412" s="32"/>
      <c r="L412" s="75">
        <v>412</v>
      </c>
      <c r="M412" s="75"/>
      <c r="N412" s="70"/>
      <c r="O412" s="77" t="s">
        <v>179</v>
      </c>
      <c r="P412" s="79">
        <v>45146.153252314813</v>
      </c>
      <c r="Q412" s="77" t="s">
        <v>2436</v>
      </c>
      <c r="R412" s="77">
        <v>0</v>
      </c>
      <c r="S412" s="77">
        <v>0</v>
      </c>
      <c r="T412" s="77">
        <v>0</v>
      </c>
      <c r="U412" s="77">
        <v>0</v>
      </c>
      <c r="V412" s="77">
        <v>29</v>
      </c>
      <c r="W412" s="80" t="s">
        <v>6193</v>
      </c>
      <c r="X412" s="77"/>
      <c r="Y412" s="77"/>
      <c r="Z412" s="77"/>
      <c r="AA412" s="77" t="s">
        <v>9154</v>
      </c>
      <c r="AB412" s="77" t="s">
        <v>10535</v>
      </c>
      <c r="AC412" s="80" t="s">
        <v>10541</v>
      </c>
      <c r="AD412" s="77" t="s">
        <v>10620</v>
      </c>
      <c r="AE412" s="83" t="str">
        <f>HYPERLINK("https://twitter.com/linsanchez583/status/1688757092239265792")</f>
        <v>https://twitter.com/linsanchez583/status/1688757092239265792</v>
      </c>
      <c r="AF412" s="79">
        <v>45146.153252314813</v>
      </c>
      <c r="AG412" s="85">
        <v>45146</v>
      </c>
      <c r="AH412" s="80" t="s">
        <v>10996</v>
      </c>
      <c r="AI412" s="77" t="b">
        <v>0</v>
      </c>
      <c r="AJ412" s="77"/>
      <c r="AK412" s="77"/>
      <c r="AL412" s="77"/>
      <c r="AM412" s="77"/>
      <c r="AN412" s="77"/>
      <c r="AO412" s="77"/>
      <c r="AP412" s="77"/>
      <c r="AQ412" s="77" t="s">
        <v>14636</v>
      </c>
      <c r="AR412" s="77"/>
      <c r="AS412" s="77"/>
      <c r="AT412" s="77"/>
      <c r="AU412" s="77"/>
      <c r="AV412" s="83" t="str">
        <f>HYPERLINK("https://pbs.twimg.com/media/F2-rHcOW8AAMk8S.jpg")</f>
        <v>https://pbs.twimg.com/media/F2-rHcOW8AAMk8S.jpg</v>
      </c>
      <c r="AW412" s="80" t="s">
        <v>16382</v>
      </c>
      <c r="AX412" s="80" t="s">
        <v>16382</v>
      </c>
      <c r="AY412" s="77"/>
      <c r="AZ412" s="80" t="s">
        <v>20380</v>
      </c>
      <c r="BA412" s="80" t="s">
        <v>20380</v>
      </c>
      <c r="BB412" s="80" t="s">
        <v>20380</v>
      </c>
      <c r="BC412" s="80" t="s">
        <v>16382</v>
      </c>
      <c r="BD412" s="80" t="s">
        <v>20579</v>
      </c>
      <c r="BE412" s="77"/>
      <c r="BF412" s="77"/>
      <c r="BG412" s="77"/>
      <c r="BH412" s="77"/>
      <c r="BI412" s="77"/>
    </row>
    <row r="413" spans="1:61" x14ac:dyDescent="0.25">
      <c r="A413" s="62" t="s">
        <v>396</v>
      </c>
      <c r="B413" s="62" t="s">
        <v>396</v>
      </c>
      <c r="C413" s="63"/>
      <c r="D413" s="64"/>
      <c r="E413" s="65"/>
      <c r="F413" s="66"/>
      <c r="G413" s="63"/>
      <c r="H413" s="67"/>
      <c r="I413" s="68"/>
      <c r="J413" s="68"/>
      <c r="K413" s="32"/>
      <c r="L413" s="75">
        <v>413</v>
      </c>
      <c r="M413" s="75"/>
      <c r="N413" s="70"/>
      <c r="O413" s="77" t="s">
        <v>179</v>
      </c>
      <c r="P413" s="79">
        <v>45151.716851851852</v>
      </c>
      <c r="Q413" s="77" t="s">
        <v>2437</v>
      </c>
      <c r="R413" s="77">
        <v>0</v>
      </c>
      <c r="S413" s="77">
        <v>0</v>
      </c>
      <c r="T413" s="77">
        <v>0</v>
      </c>
      <c r="U413" s="77">
        <v>0</v>
      </c>
      <c r="V413" s="77">
        <v>44</v>
      </c>
      <c r="W413" s="80" t="s">
        <v>6194</v>
      </c>
      <c r="X413" s="77"/>
      <c r="Y413" s="77"/>
      <c r="Z413" s="77"/>
      <c r="AA413" s="77" t="s">
        <v>9155</v>
      </c>
      <c r="AB413" s="77" t="s">
        <v>10535</v>
      </c>
      <c r="AC413" s="80" t="s">
        <v>10541</v>
      </c>
      <c r="AD413" s="77" t="s">
        <v>10617</v>
      </c>
      <c r="AE413" s="83" t="str">
        <f>HYPERLINK("https://twitter.com/bedrock079tm/status/1690773276220411913")</f>
        <v>https://twitter.com/bedrock079tm/status/1690773276220411913</v>
      </c>
      <c r="AF413" s="79">
        <v>45151.716851851852</v>
      </c>
      <c r="AG413" s="85">
        <v>45151</v>
      </c>
      <c r="AH413" s="80" t="s">
        <v>10997</v>
      </c>
      <c r="AI413" s="77" t="b">
        <v>0</v>
      </c>
      <c r="AJ413" s="77"/>
      <c r="AK413" s="77"/>
      <c r="AL413" s="77"/>
      <c r="AM413" s="77"/>
      <c r="AN413" s="77"/>
      <c r="AO413" s="77"/>
      <c r="AP413" s="77"/>
      <c r="AQ413" s="77" t="s">
        <v>14637</v>
      </c>
      <c r="AR413" s="77"/>
      <c r="AS413" s="77"/>
      <c r="AT413" s="77"/>
      <c r="AU413" s="77"/>
      <c r="AV413" s="83" t="str">
        <f>HYPERLINK("https://pbs.twimg.com/media/F3bUwdWXEAI7llM.png")</f>
        <v>https://pbs.twimg.com/media/F3bUwdWXEAI7llM.png</v>
      </c>
      <c r="AW413" s="80" t="s">
        <v>16383</v>
      </c>
      <c r="AX413" s="80" t="s">
        <v>16383</v>
      </c>
      <c r="AY413" s="77"/>
      <c r="AZ413" s="80" t="s">
        <v>20380</v>
      </c>
      <c r="BA413" s="80" t="s">
        <v>20380</v>
      </c>
      <c r="BB413" s="80" t="s">
        <v>20380</v>
      </c>
      <c r="BC413" s="80" t="s">
        <v>16383</v>
      </c>
      <c r="BD413" s="80" t="s">
        <v>20580</v>
      </c>
      <c r="BE413" s="77"/>
      <c r="BF413" s="77"/>
      <c r="BG413" s="77"/>
      <c r="BH413" s="77"/>
      <c r="BI413" s="77"/>
    </row>
    <row r="414" spans="1:61" x14ac:dyDescent="0.25">
      <c r="A414" s="62" t="s">
        <v>396</v>
      </c>
      <c r="B414" s="62" t="s">
        <v>396</v>
      </c>
      <c r="C414" s="63"/>
      <c r="D414" s="64"/>
      <c r="E414" s="65"/>
      <c r="F414" s="66"/>
      <c r="G414" s="63"/>
      <c r="H414" s="67"/>
      <c r="I414" s="68"/>
      <c r="J414" s="68"/>
      <c r="K414" s="32"/>
      <c r="L414" s="75">
        <v>414</v>
      </c>
      <c r="M414" s="75"/>
      <c r="N414" s="70"/>
      <c r="O414" s="77" t="s">
        <v>179</v>
      </c>
      <c r="P414" s="79">
        <v>45145.904409722221</v>
      </c>
      <c r="Q414" s="77" t="s">
        <v>2438</v>
      </c>
      <c r="R414" s="77">
        <v>0</v>
      </c>
      <c r="S414" s="77">
        <v>0</v>
      </c>
      <c r="T414" s="77">
        <v>0</v>
      </c>
      <c r="U414" s="77">
        <v>0</v>
      </c>
      <c r="V414" s="77">
        <v>51</v>
      </c>
      <c r="W414" s="80" t="s">
        <v>6195</v>
      </c>
      <c r="X414" s="77"/>
      <c r="Y414" s="77"/>
      <c r="Z414" s="77"/>
      <c r="AA414" s="77" t="s">
        <v>9156</v>
      </c>
      <c r="AB414" s="77" t="s">
        <v>10535</v>
      </c>
      <c r="AC414" s="80" t="s">
        <v>10540</v>
      </c>
      <c r="AD414" s="77" t="s">
        <v>10617</v>
      </c>
      <c r="AE414" s="83" t="str">
        <f>HYPERLINK("https://twitter.com/bedrock079tm/status/1688666914984259584")</f>
        <v>https://twitter.com/bedrock079tm/status/1688666914984259584</v>
      </c>
      <c r="AF414" s="79">
        <v>45145.904409722221</v>
      </c>
      <c r="AG414" s="85">
        <v>45145</v>
      </c>
      <c r="AH414" s="80" t="s">
        <v>10998</v>
      </c>
      <c r="AI414" s="77" t="b">
        <v>0</v>
      </c>
      <c r="AJ414" s="77"/>
      <c r="AK414" s="77"/>
      <c r="AL414" s="77"/>
      <c r="AM414" s="77"/>
      <c r="AN414" s="77"/>
      <c r="AO414" s="77"/>
      <c r="AP414" s="77"/>
      <c r="AQ414" s="77" t="s">
        <v>14638</v>
      </c>
      <c r="AR414" s="77"/>
      <c r="AS414" s="77"/>
      <c r="AT414" s="77"/>
      <c r="AU414" s="77"/>
      <c r="AV414" s="83" t="str">
        <f>HYPERLINK("https://pbs.twimg.com/media/F29ZnDQWUAAlqp7.jpg")</f>
        <v>https://pbs.twimg.com/media/F29ZnDQWUAAlqp7.jpg</v>
      </c>
      <c r="AW414" s="80" t="s">
        <v>16384</v>
      </c>
      <c r="AX414" s="80" t="s">
        <v>16384</v>
      </c>
      <c r="AY414" s="77"/>
      <c r="AZ414" s="80" t="s">
        <v>20380</v>
      </c>
      <c r="BA414" s="80" t="s">
        <v>20380</v>
      </c>
      <c r="BB414" s="80" t="s">
        <v>20380</v>
      </c>
      <c r="BC414" s="80" t="s">
        <v>16384</v>
      </c>
      <c r="BD414" s="80" t="s">
        <v>20580</v>
      </c>
      <c r="BE414" s="77"/>
      <c r="BF414" s="77"/>
      <c r="BG414" s="77"/>
      <c r="BH414" s="77"/>
      <c r="BI414" s="77"/>
    </row>
    <row r="415" spans="1:61" x14ac:dyDescent="0.25">
      <c r="A415" s="62" t="s">
        <v>396</v>
      </c>
      <c r="B415" s="62" t="s">
        <v>396</v>
      </c>
      <c r="C415" s="63"/>
      <c r="D415" s="64"/>
      <c r="E415" s="65"/>
      <c r="F415" s="66"/>
      <c r="G415" s="63"/>
      <c r="H415" s="67"/>
      <c r="I415" s="68"/>
      <c r="J415" s="68"/>
      <c r="K415" s="32"/>
      <c r="L415" s="75">
        <v>415</v>
      </c>
      <c r="M415" s="75"/>
      <c r="N415" s="70"/>
      <c r="O415" s="77" t="s">
        <v>179</v>
      </c>
      <c r="P415" s="79">
        <v>45152.972592592596</v>
      </c>
      <c r="Q415" s="77" t="s">
        <v>2439</v>
      </c>
      <c r="R415" s="77">
        <v>0</v>
      </c>
      <c r="S415" s="77">
        <v>0</v>
      </c>
      <c r="T415" s="77">
        <v>0</v>
      </c>
      <c r="U415" s="77">
        <v>0</v>
      </c>
      <c r="V415" s="77">
        <v>41</v>
      </c>
      <c r="W415" s="80" t="s">
        <v>6196</v>
      </c>
      <c r="X415" s="77"/>
      <c r="Y415" s="77"/>
      <c r="Z415" s="77"/>
      <c r="AA415" s="77" t="s">
        <v>9157</v>
      </c>
      <c r="AB415" s="77" t="s">
        <v>10535</v>
      </c>
      <c r="AC415" s="80" t="s">
        <v>10541</v>
      </c>
      <c r="AD415" s="77" t="s">
        <v>10617</v>
      </c>
      <c r="AE415" s="83" t="str">
        <f>HYPERLINK("https://twitter.com/bedrock079tm/status/1691228341322285056")</f>
        <v>https://twitter.com/bedrock079tm/status/1691228341322285056</v>
      </c>
      <c r="AF415" s="79">
        <v>45152.972592592596</v>
      </c>
      <c r="AG415" s="85">
        <v>45152</v>
      </c>
      <c r="AH415" s="80" t="s">
        <v>10999</v>
      </c>
      <c r="AI415" s="77" t="b">
        <v>0</v>
      </c>
      <c r="AJ415" s="77"/>
      <c r="AK415" s="77"/>
      <c r="AL415" s="77"/>
      <c r="AM415" s="77"/>
      <c r="AN415" s="77"/>
      <c r="AO415" s="77"/>
      <c r="AP415" s="77"/>
      <c r="AQ415" s="77" t="s">
        <v>14639</v>
      </c>
      <c r="AR415" s="77"/>
      <c r="AS415" s="77"/>
      <c r="AT415" s="77"/>
      <c r="AU415" s="77"/>
      <c r="AV415" s="83" t="str">
        <f>HYPERLINK("https://pbs.twimg.com/media/F3hywwxXUAAhJNi.png")</f>
        <v>https://pbs.twimg.com/media/F3hywwxXUAAhJNi.png</v>
      </c>
      <c r="AW415" s="80" t="s">
        <v>16385</v>
      </c>
      <c r="AX415" s="80" t="s">
        <v>16385</v>
      </c>
      <c r="AY415" s="77"/>
      <c r="AZ415" s="80" t="s">
        <v>20380</v>
      </c>
      <c r="BA415" s="80" t="s">
        <v>20380</v>
      </c>
      <c r="BB415" s="80" t="s">
        <v>20380</v>
      </c>
      <c r="BC415" s="80" t="s">
        <v>16385</v>
      </c>
      <c r="BD415" s="80" t="s">
        <v>20580</v>
      </c>
      <c r="BE415" s="77"/>
      <c r="BF415" s="77"/>
      <c r="BG415" s="77"/>
      <c r="BH415" s="77"/>
      <c r="BI415" s="77"/>
    </row>
    <row r="416" spans="1:61" x14ac:dyDescent="0.25">
      <c r="A416" s="62" t="s">
        <v>397</v>
      </c>
      <c r="B416" s="62" t="s">
        <v>1596</v>
      </c>
      <c r="C416" s="63"/>
      <c r="D416" s="64"/>
      <c r="E416" s="65"/>
      <c r="F416" s="66"/>
      <c r="G416" s="63"/>
      <c r="H416" s="67"/>
      <c r="I416" s="68"/>
      <c r="J416" s="68"/>
      <c r="K416" s="32"/>
      <c r="L416" s="75">
        <v>416</v>
      </c>
      <c r="M416" s="75"/>
      <c r="N416" s="70"/>
      <c r="O416" s="77" t="s">
        <v>2081</v>
      </c>
      <c r="P416" s="79">
        <v>45141.507476851853</v>
      </c>
      <c r="Q416" s="77" t="s">
        <v>2440</v>
      </c>
      <c r="R416" s="77">
        <v>0</v>
      </c>
      <c r="S416" s="77">
        <v>0</v>
      </c>
      <c r="T416" s="77">
        <v>0</v>
      </c>
      <c r="U416" s="77">
        <v>0</v>
      </c>
      <c r="V416" s="77">
        <v>1</v>
      </c>
      <c r="W416" s="80" t="s">
        <v>6008</v>
      </c>
      <c r="X416" s="83" t="str">
        <f>HYPERLINK("https://www.bcb.gov.br/detalhenoticia/17942/nota")</f>
        <v>https://www.bcb.gov.br/detalhenoticia/17942/nota</v>
      </c>
      <c r="Y416" s="77" t="s">
        <v>8633</v>
      </c>
      <c r="Z416" s="77" t="s">
        <v>1596</v>
      </c>
      <c r="AA416" s="77"/>
      <c r="AB416" s="77"/>
      <c r="AC416" s="80" t="s">
        <v>10541</v>
      </c>
      <c r="AD416" s="77" t="s">
        <v>10617</v>
      </c>
      <c r="AE416" s="83" t="str">
        <f>HYPERLINK("https://twitter.com/robertorvasco/status/1687073520415600640")</f>
        <v>https://twitter.com/robertorvasco/status/1687073520415600640</v>
      </c>
      <c r="AF416" s="79">
        <v>45141.507476851853</v>
      </c>
      <c r="AG416" s="85">
        <v>45141</v>
      </c>
      <c r="AH416" s="80" t="s">
        <v>11000</v>
      </c>
      <c r="AI416" s="77" t="b">
        <v>0</v>
      </c>
      <c r="AJ416" s="77"/>
      <c r="AK416" s="77"/>
      <c r="AL416" s="77"/>
      <c r="AM416" s="77"/>
      <c r="AN416" s="77"/>
      <c r="AO416" s="77"/>
      <c r="AP416" s="77"/>
      <c r="AQ416" s="77"/>
      <c r="AR416" s="77"/>
      <c r="AS416" s="77"/>
      <c r="AT416" s="77"/>
      <c r="AU416" s="77"/>
      <c r="AV416" s="83" t="str">
        <f>HYPERLINK("https://pbs.twimg.com/profile_images/1684173135803740160/okfsq2HN_normal.png")</f>
        <v>https://pbs.twimg.com/profile_images/1684173135803740160/okfsq2HN_normal.png</v>
      </c>
      <c r="AW416" s="80" t="s">
        <v>16386</v>
      </c>
      <c r="AX416" s="80" t="s">
        <v>16386</v>
      </c>
      <c r="AY416" s="77"/>
      <c r="AZ416" s="80" t="s">
        <v>20380</v>
      </c>
      <c r="BA416" s="80" t="s">
        <v>20380</v>
      </c>
      <c r="BB416" s="80" t="s">
        <v>20380</v>
      </c>
      <c r="BC416" s="80" t="s">
        <v>16386</v>
      </c>
      <c r="BD416" s="80" t="s">
        <v>20581</v>
      </c>
      <c r="BE416" s="77"/>
      <c r="BF416" s="77"/>
      <c r="BG416" s="77"/>
      <c r="BH416" s="77"/>
      <c r="BI416" s="77"/>
    </row>
    <row r="417" spans="1:61" x14ac:dyDescent="0.25">
      <c r="A417" s="62" t="s">
        <v>398</v>
      </c>
      <c r="B417" s="62" t="s">
        <v>398</v>
      </c>
      <c r="C417" s="63"/>
      <c r="D417" s="64"/>
      <c r="E417" s="65"/>
      <c r="F417" s="66"/>
      <c r="G417" s="63"/>
      <c r="H417" s="67"/>
      <c r="I417" s="68"/>
      <c r="J417" s="68"/>
      <c r="K417" s="32"/>
      <c r="L417" s="75">
        <v>417</v>
      </c>
      <c r="M417" s="75"/>
      <c r="N417" s="70"/>
      <c r="O417" s="77" t="s">
        <v>179</v>
      </c>
      <c r="P417" s="79">
        <v>45173.767754629633</v>
      </c>
      <c r="Q417" s="77" t="s">
        <v>2441</v>
      </c>
      <c r="R417" s="77">
        <v>0</v>
      </c>
      <c r="S417" s="77">
        <v>0</v>
      </c>
      <c r="T417" s="77">
        <v>0</v>
      </c>
      <c r="U417" s="77">
        <v>0</v>
      </c>
      <c r="V417" s="77">
        <v>7</v>
      </c>
      <c r="W417" s="80" t="s">
        <v>6197</v>
      </c>
      <c r="X417" s="83" t="str">
        <f>HYPERLINK("http://dlvr.it/SvcpYl")</f>
        <v>http://dlvr.it/SvcpYl</v>
      </c>
      <c r="Y417" s="77" t="s">
        <v>8629</v>
      </c>
      <c r="Z417" s="77"/>
      <c r="AA417" s="77" t="s">
        <v>9158</v>
      </c>
      <c r="AB417" s="77" t="s">
        <v>10535</v>
      </c>
      <c r="AC417" s="80" t="s">
        <v>8629</v>
      </c>
      <c r="AD417" s="77" t="s">
        <v>10617</v>
      </c>
      <c r="AE417" s="83" t="str">
        <f>HYPERLINK("https://twitter.com/radionovaera975/status/1698764252830675187")</f>
        <v>https://twitter.com/radionovaera975/status/1698764252830675187</v>
      </c>
      <c r="AF417" s="79">
        <v>45173.767754629633</v>
      </c>
      <c r="AG417" s="85">
        <v>45173</v>
      </c>
      <c r="AH417" s="80" t="s">
        <v>11001</v>
      </c>
      <c r="AI417" s="77" t="b">
        <v>0</v>
      </c>
      <c r="AJ417" s="77"/>
      <c r="AK417" s="77"/>
      <c r="AL417" s="77"/>
      <c r="AM417" s="77"/>
      <c r="AN417" s="77"/>
      <c r="AO417" s="77"/>
      <c r="AP417" s="77"/>
      <c r="AQ417" s="77" t="s">
        <v>14640</v>
      </c>
      <c r="AR417" s="77"/>
      <c r="AS417" s="77"/>
      <c r="AT417" s="77"/>
      <c r="AU417" s="77"/>
      <c r="AV417" s="83" t="str">
        <f>HYPERLINK("https://pbs.twimg.com/media/F5M5Fgza4AAwQZ8.jpg")</f>
        <v>https://pbs.twimg.com/media/F5M5Fgza4AAwQZ8.jpg</v>
      </c>
      <c r="AW417" s="80" t="s">
        <v>16387</v>
      </c>
      <c r="AX417" s="80" t="s">
        <v>16387</v>
      </c>
      <c r="AY417" s="77"/>
      <c r="AZ417" s="80" t="s">
        <v>20380</v>
      </c>
      <c r="BA417" s="80" t="s">
        <v>20380</v>
      </c>
      <c r="BB417" s="80" t="s">
        <v>20380</v>
      </c>
      <c r="BC417" s="80" t="s">
        <v>16387</v>
      </c>
      <c r="BD417" s="80" t="s">
        <v>20582</v>
      </c>
      <c r="BE417" s="77"/>
      <c r="BF417" s="77"/>
      <c r="BG417" s="77"/>
      <c r="BH417" s="77"/>
      <c r="BI417" s="77"/>
    </row>
    <row r="418" spans="1:61" x14ac:dyDescent="0.25">
      <c r="A418" s="62" t="s">
        <v>399</v>
      </c>
      <c r="B418" s="62" t="s">
        <v>399</v>
      </c>
      <c r="C418" s="63"/>
      <c r="D418" s="64"/>
      <c r="E418" s="65"/>
      <c r="F418" s="66"/>
      <c r="G418" s="63"/>
      <c r="H418" s="67"/>
      <c r="I418" s="68"/>
      <c r="J418" s="68"/>
      <c r="K418" s="32"/>
      <c r="L418" s="75">
        <v>418</v>
      </c>
      <c r="M418" s="75"/>
      <c r="N418" s="70"/>
      <c r="O418" s="77" t="s">
        <v>2081</v>
      </c>
      <c r="P418" s="79">
        <v>45184.014363425929</v>
      </c>
      <c r="Q418" s="77" t="s">
        <v>2442</v>
      </c>
      <c r="R418" s="77">
        <v>0</v>
      </c>
      <c r="S418" s="77">
        <v>0</v>
      </c>
      <c r="T418" s="77">
        <v>0</v>
      </c>
      <c r="U418" s="77">
        <v>0</v>
      </c>
      <c r="V418" s="77">
        <v>30</v>
      </c>
      <c r="W418" s="80" t="s">
        <v>6198</v>
      </c>
      <c r="X418" s="83" t="str">
        <f>HYPERLINK("https://youtu.be/TjwYy2-QpWc?si=lFuUhRGfflhxAv5v")</f>
        <v>https://youtu.be/TjwYy2-QpWc?si=lFuUhRGfflhxAv5v</v>
      </c>
      <c r="Y418" s="77" t="s">
        <v>8635</v>
      </c>
      <c r="Z418" s="77" t="s">
        <v>399</v>
      </c>
      <c r="AA418" s="77"/>
      <c r="AB418" s="77"/>
      <c r="AC418" s="80" t="s">
        <v>10540</v>
      </c>
      <c r="AD418" s="77" t="s">
        <v>10620</v>
      </c>
      <c r="AE418" s="83" t="str">
        <f>HYPERLINK("https://twitter.com/carlosovlad/status/1702477502604574954")</f>
        <v>https://twitter.com/carlosovlad/status/1702477502604574954</v>
      </c>
      <c r="AF418" s="79">
        <v>45184.014363425929</v>
      </c>
      <c r="AG418" s="85">
        <v>45184</v>
      </c>
      <c r="AH418" s="80" t="s">
        <v>11002</v>
      </c>
      <c r="AI418" s="77" t="b">
        <v>0</v>
      </c>
      <c r="AJ418" s="77"/>
      <c r="AK418" s="77"/>
      <c r="AL418" s="77"/>
      <c r="AM418" s="77"/>
      <c r="AN418" s="77"/>
      <c r="AO418" s="77"/>
      <c r="AP418" s="77"/>
      <c r="AQ418" s="77"/>
      <c r="AR418" s="77"/>
      <c r="AS418" s="77"/>
      <c r="AT418" s="77"/>
      <c r="AU418" s="77"/>
      <c r="AV418" s="83" t="str">
        <f>HYPERLINK("https://pbs.twimg.com/profile_images/1645114542924652545/8QefcyAH_normal.jpg")</f>
        <v>https://pbs.twimg.com/profile_images/1645114542924652545/8QefcyAH_normal.jpg</v>
      </c>
      <c r="AW418" s="80" t="s">
        <v>16388</v>
      </c>
      <c r="AX418" s="80" t="s">
        <v>16388</v>
      </c>
      <c r="AY418" s="77"/>
      <c r="AZ418" s="80" t="s">
        <v>20380</v>
      </c>
      <c r="BA418" s="80" t="s">
        <v>20380</v>
      </c>
      <c r="BB418" s="80" t="s">
        <v>20380</v>
      </c>
      <c r="BC418" s="80" t="s">
        <v>16388</v>
      </c>
      <c r="BD418" s="77">
        <v>614776874</v>
      </c>
      <c r="BE418" s="77"/>
      <c r="BF418" s="77"/>
      <c r="BG418" s="77"/>
      <c r="BH418" s="77"/>
      <c r="BI418" s="77"/>
    </row>
    <row r="419" spans="1:61" x14ac:dyDescent="0.25">
      <c r="A419" s="62" t="s">
        <v>400</v>
      </c>
      <c r="B419" s="62" t="s">
        <v>1746</v>
      </c>
      <c r="C419" s="63"/>
      <c r="D419" s="64"/>
      <c r="E419" s="65"/>
      <c r="F419" s="66"/>
      <c r="G419" s="63"/>
      <c r="H419" s="67"/>
      <c r="I419" s="68"/>
      <c r="J419" s="68"/>
      <c r="K419" s="32"/>
      <c r="L419" s="75">
        <v>419</v>
      </c>
      <c r="M419" s="75"/>
      <c r="N419" s="70"/>
      <c r="O419" s="77" t="s">
        <v>2081</v>
      </c>
      <c r="P419" s="79">
        <v>45049.787534722222</v>
      </c>
      <c r="Q419" s="77" t="s">
        <v>2443</v>
      </c>
      <c r="R419" s="77">
        <v>427</v>
      </c>
      <c r="S419" s="77">
        <v>665</v>
      </c>
      <c r="T419" s="77">
        <v>758</v>
      </c>
      <c r="U419" s="77">
        <v>55</v>
      </c>
      <c r="V419" s="77">
        <v>90017</v>
      </c>
      <c r="W419" s="77"/>
      <c r="X419" s="77"/>
      <c r="Y419" s="77"/>
      <c r="Z419" s="77" t="s">
        <v>1746</v>
      </c>
      <c r="AA419" s="77" t="s">
        <v>9159</v>
      </c>
      <c r="AB419" s="77" t="s">
        <v>10535</v>
      </c>
      <c r="AC419" s="80" t="s">
        <v>10542</v>
      </c>
      <c r="AD419" s="77" t="s">
        <v>10620</v>
      </c>
      <c r="AE419" s="83" t="str">
        <f>HYPERLINK("https://twitter.com/horaciorlarreta/status/1653835326698168347")</f>
        <v>https://twitter.com/horaciorlarreta/status/1653835326698168347</v>
      </c>
      <c r="AF419" s="79">
        <v>45049.787534722222</v>
      </c>
      <c r="AG419" s="85">
        <v>45049</v>
      </c>
      <c r="AH419" s="80" t="s">
        <v>11003</v>
      </c>
      <c r="AI419" s="77" t="b">
        <v>0</v>
      </c>
      <c r="AJ419" s="77"/>
      <c r="AK419" s="77"/>
      <c r="AL419" s="77"/>
      <c r="AM419" s="77"/>
      <c r="AN419" s="77"/>
      <c r="AO419" s="77"/>
      <c r="AP419" s="77"/>
      <c r="AQ419" s="77" t="s">
        <v>14641</v>
      </c>
      <c r="AR419" s="77"/>
      <c r="AS419" s="77"/>
      <c r="AT419" s="77"/>
      <c r="AU419" s="77"/>
      <c r="AV419" s="83" t="str">
        <f>HYPERLINK("https://pbs.twimg.com/media/FvOadHMWIAk97bK.jpg")</f>
        <v>https://pbs.twimg.com/media/FvOadHMWIAk97bK.jpg</v>
      </c>
      <c r="AW419" s="80" t="s">
        <v>16389</v>
      </c>
      <c r="AX419" s="80" t="s">
        <v>16389</v>
      </c>
      <c r="AY419" s="77"/>
      <c r="AZ419" s="80" t="s">
        <v>20380</v>
      </c>
      <c r="BA419" s="80" t="s">
        <v>20380</v>
      </c>
      <c r="BB419" s="80" t="s">
        <v>20380</v>
      </c>
      <c r="BC419" s="80" t="s">
        <v>16389</v>
      </c>
      <c r="BD419" s="77">
        <v>77009449</v>
      </c>
      <c r="BE419" s="77"/>
      <c r="BF419" s="77"/>
      <c r="BG419" s="77"/>
      <c r="BH419" s="77"/>
      <c r="BI419" s="77"/>
    </row>
    <row r="420" spans="1:61" x14ac:dyDescent="0.25">
      <c r="A420" s="62" t="s">
        <v>401</v>
      </c>
      <c r="B420" s="62" t="s">
        <v>1662</v>
      </c>
      <c r="C420" s="63"/>
      <c r="D420" s="64"/>
      <c r="E420" s="65"/>
      <c r="F420" s="66"/>
      <c r="G420" s="63"/>
      <c r="H420" s="67"/>
      <c r="I420" s="68"/>
      <c r="J420" s="68"/>
      <c r="K420" s="32"/>
      <c r="L420" s="75">
        <v>420</v>
      </c>
      <c r="M420" s="75"/>
      <c r="N420" s="70"/>
      <c r="O420" s="77" t="s">
        <v>2079</v>
      </c>
      <c r="P420" s="79">
        <v>45052.717060185183</v>
      </c>
      <c r="Q420" s="77" t="s">
        <v>2444</v>
      </c>
      <c r="R420" s="77">
        <v>0</v>
      </c>
      <c r="S420" s="77">
        <v>0</v>
      </c>
      <c r="T420" s="77">
        <v>1</v>
      </c>
      <c r="U420" s="77">
        <v>0</v>
      </c>
      <c r="V420" s="77">
        <v>23</v>
      </c>
      <c r="W420" s="80" t="s">
        <v>6199</v>
      </c>
      <c r="X420" s="77"/>
      <c r="Y420" s="77"/>
      <c r="Z420" s="77" t="s">
        <v>8917</v>
      </c>
      <c r="AA420" s="77"/>
      <c r="AB420" s="77"/>
      <c r="AC420" s="80" t="s">
        <v>10541</v>
      </c>
      <c r="AD420" s="77" t="s">
        <v>10617</v>
      </c>
      <c r="AE420" s="83" t="str">
        <f>HYPERLINK("https://twitter.com/gledes_marques/status/1654896950917857280")</f>
        <v>https://twitter.com/gledes_marques/status/1654896950917857280</v>
      </c>
      <c r="AF420" s="79">
        <v>45052.717060185183</v>
      </c>
      <c r="AG420" s="85">
        <v>45052</v>
      </c>
      <c r="AH420" s="80" t="s">
        <v>11004</v>
      </c>
      <c r="AI420" s="77"/>
      <c r="AJ420" s="77"/>
      <c r="AK420" s="77"/>
      <c r="AL420" s="77"/>
      <c r="AM420" s="77"/>
      <c r="AN420" s="77"/>
      <c r="AO420" s="77"/>
      <c r="AP420" s="77"/>
      <c r="AQ420" s="77"/>
      <c r="AR420" s="77"/>
      <c r="AS420" s="77"/>
      <c r="AT420" s="77"/>
      <c r="AU420" s="77"/>
      <c r="AV420" s="83" t="str">
        <f>HYPERLINK("https://pbs.twimg.com/profile_images/643063640124444672/dcshZMbk_normal.jpg")</f>
        <v>https://pbs.twimg.com/profile_images/643063640124444672/dcshZMbk_normal.jpg</v>
      </c>
      <c r="AW420" s="80" t="s">
        <v>16390</v>
      </c>
      <c r="AX420" s="80" t="s">
        <v>19985</v>
      </c>
      <c r="AY420" s="80" t="s">
        <v>20235</v>
      </c>
      <c r="AZ420" s="80" t="s">
        <v>19985</v>
      </c>
      <c r="BA420" s="80" t="s">
        <v>20380</v>
      </c>
      <c r="BB420" s="80" t="s">
        <v>20380</v>
      </c>
      <c r="BC420" s="80" t="s">
        <v>19985</v>
      </c>
      <c r="BD420" s="77">
        <v>3642786376</v>
      </c>
      <c r="BE420" s="77"/>
      <c r="BF420" s="77"/>
      <c r="BG420" s="77"/>
      <c r="BH420" s="77"/>
      <c r="BI420" s="77"/>
    </row>
    <row r="421" spans="1:61" x14ac:dyDescent="0.25">
      <c r="A421" s="62" t="s">
        <v>401</v>
      </c>
      <c r="B421" s="62" t="s">
        <v>1747</v>
      </c>
      <c r="C421" s="63"/>
      <c r="D421" s="64"/>
      <c r="E421" s="65"/>
      <c r="F421" s="66"/>
      <c r="G421" s="63"/>
      <c r="H421" s="67"/>
      <c r="I421" s="68"/>
      <c r="J421" s="68"/>
      <c r="K421" s="32"/>
      <c r="L421" s="75">
        <v>421</v>
      </c>
      <c r="M421" s="75"/>
      <c r="N421" s="70"/>
      <c r="O421" s="77" t="s">
        <v>2078</v>
      </c>
      <c r="P421" s="79">
        <v>45052.717060185183</v>
      </c>
      <c r="Q421" s="77" t="s">
        <v>2444</v>
      </c>
      <c r="R421" s="77">
        <v>0</v>
      </c>
      <c r="S421" s="77">
        <v>0</v>
      </c>
      <c r="T421" s="77">
        <v>1</v>
      </c>
      <c r="U421" s="77">
        <v>0</v>
      </c>
      <c r="V421" s="77">
        <v>23</v>
      </c>
      <c r="W421" s="80" t="s">
        <v>6199</v>
      </c>
      <c r="X421" s="77"/>
      <c r="Y421" s="77"/>
      <c r="Z421" s="77" t="s">
        <v>8917</v>
      </c>
      <c r="AA421" s="77"/>
      <c r="AB421" s="77"/>
      <c r="AC421" s="80" t="s">
        <v>10541</v>
      </c>
      <c r="AD421" s="77" t="s">
        <v>10617</v>
      </c>
      <c r="AE421" s="83" t="str">
        <f>HYPERLINK("https://twitter.com/gledes_marques/status/1654896950917857280")</f>
        <v>https://twitter.com/gledes_marques/status/1654896950917857280</v>
      </c>
      <c r="AF421" s="79">
        <v>45052.717060185183</v>
      </c>
      <c r="AG421" s="85">
        <v>45052</v>
      </c>
      <c r="AH421" s="80" t="s">
        <v>11004</v>
      </c>
      <c r="AI421" s="77"/>
      <c r="AJ421" s="77"/>
      <c r="AK421" s="77"/>
      <c r="AL421" s="77"/>
      <c r="AM421" s="77"/>
      <c r="AN421" s="77"/>
      <c r="AO421" s="77"/>
      <c r="AP421" s="77"/>
      <c r="AQ421" s="77"/>
      <c r="AR421" s="77"/>
      <c r="AS421" s="77"/>
      <c r="AT421" s="77"/>
      <c r="AU421" s="77"/>
      <c r="AV421" s="83" t="str">
        <f>HYPERLINK("https://pbs.twimg.com/profile_images/643063640124444672/dcshZMbk_normal.jpg")</f>
        <v>https://pbs.twimg.com/profile_images/643063640124444672/dcshZMbk_normal.jpg</v>
      </c>
      <c r="AW421" s="80" t="s">
        <v>16390</v>
      </c>
      <c r="AX421" s="80" t="s">
        <v>19985</v>
      </c>
      <c r="AY421" s="80" t="s">
        <v>20235</v>
      </c>
      <c r="AZ421" s="80" t="s">
        <v>19985</v>
      </c>
      <c r="BA421" s="80" t="s">
        <v>20380</v>
      </c>
      <c r="BB421" s="80" t="s">
        <v>20380</v>
      </c>
      <c r="BC421" s="80" t="s">
        <v>19985</v>
      </c>
      <c r="BD421" s="77">
        <v>3642786376</v>
      </c>
      <c r="BE421" s="77"/>
      <c r="BF421" s="77"/>
      <c r="BG421" s="77"/>
      <c r="BH421" s="77"/>
      <c r="BI421" s="77"/>
    </row>
    <row r="422" spans="1:61" x14ac:dyDescent="0.25">
      <c r="A422" s="62" t="s">
        <v>402</v>
      </c>
      <c r="B422" s="62" t="s">
        <v>1748</v>
      </c>
      <c r="C422" s="63"/>
      <c r="D422" s="64"/>
      <c r="E422" s="65"/>
      <c r="F422" s="66"/>
      <c r="G422" s="63"/>
      <c r="H422" s="67"/>
      <c r="I422" s="68"/>
      <c r="J422" s="68"/>
      <c r="K422" s="32"/>
      <c r="L422" s="75">
        <v>422</v>
      </c>
      <c r="M422" s="75"/>
      <c r="N422" s="70"/>
      <c r="O422" s="77" t="s">
        <v>2081</v>
      </c>
      <c r="P422" s="79">
        <v>45112.573020833333</v>
      </c>
      <c r="Q422" s="77" t="s">
        <v>2445</v>
      </c>
      <c r="R422" s="77">
        <v>0</v>
      </c>
      <c r="S422" s="77">
        <v>0</v>
      </c>
      <c r="T422" s="77">
        <v>0</v>
      </c>
      <c r="U422" s="77">
        <v>0</v>
      </c>
      <c r="V422" s="77">
        <v>6</v>
      </c>
      <c r="W422" s="80" t="s">
        <v>6008</v>
      </c>
      <c r="X422" s="77"/>
      <c r="Y422" s="77"/>
      <c r="Z422" s="77" t="s">
        <v>1748</v>
      </c>
      <c r="AA422" s="77"/>
      <c r="AB422" s="77"/>
      <c r="AC422" s="80" t="s">
        <v>10540</v>
      </c>
      <c r="AD422" s="77" t="s">
        <v>10622</v>
      </c>
      <c r="AE422" s="83" t="str">
        <f>HYPERLINK("https://twitter.com/joanaguima99936/status/1676588026414153728")</f>
        <v>https://twitter.com/joanaguima99936/status/1676588026414153728</v>
      </c>
      <c r="AF422" s="79">
        <v>45112.573020833333</v>
      </c>
      <c r="AG422" s="85">
        <v>45112</v>
      </c>
      <c r="AH422" s="80" t="s">
        <v>11005</v>
      </c>
      <c r="AI422" s="77"/>
      <c r="AJ422" s="77"/>
      <c r="AK422" s="77"/>
      <c r="AL422" s="77"/>
      <c r="AM422" s="77"/>
      <c r="AN422" s="77"/>
      <c r="AO422" s="77"/>
      <c r="AP422" s="77"/>
      <c r="AQ422" s="77"/>
      <c r="AR422" s="77"/>
      <c r="AS422" s="77"/>
      <c r="AT422" s="77"/>
      <c r="AU422" s="77"/>
      <c r="AV422" s="83" t="str">
        <f>HYPERLINK("https://pbs.twimg.com/profile_images/1676547298136842248/Qtt3D94S_normal.jpg")</f>
        <v>https://pbs.twimg.com/profile_images/1676547298136842248/Qtt3D94S_normal.jpg</v>
      </c>
      <c r="AW422" s="80" t="s">
        <v>16391</v>
      </c>
      <c r="AX422" s="80" t="s">
        <v>16391</v>
      </c>
      <c r="AY422" s="77"/>
      <c r="AZ422" s="80" t="s">
        <v>20380</v>
      </c>
      <c r="BA422" s="80" t="s">
        <v>20380</v>
      </c>
      <c r="BB422" s="80" t="s">
        <v>20380</v>
      </c>
      <c r="BC422" s="80" t="s">
        <v>16391</v>
      </c>
      <c r="BD422" s="80" t="s">
        <v>20583</v>
      </c>
      <c r="BE422" s="77"/>
      <c r="BF422" s="77"/>
      <c r="BG422" s="77"/>
      <c r="BH422" s="77"/>
      <c r="BI422" s="77"/>
    </row>
    <row r="423" spans="1:61" x14ac:dyDescent="0.25">
      <c r="A423" s="62" t="s">
        <v>403</v>
      </c>
      <c r="B423" s="62" t="s">
        <v>403</v>
      </c>
      <c r="C423" s="63"/>
      <c r="D423" s="64"/>
      <c r="E423" s="65"/>
      <c r="F423" s="66"/>
      <c r="G423" s="63"/>
      <c r="H423" s="67"/>
      <c r="I423" s="68"/>
      <c r="J423" s="68"/>
      <c r="K423" s="32"/>
      <c r="L423" s="75">
        <v>423</v>
      </c>
      <c r="M423" s="75"/>
      <c r="N423" s="70"/>
      <c r="O423" s="77" t="s">
        <v>179</v>
      </c>
      <c r="P423" s="79">
        <v>45126.569641203707</v>
      </c>
      <c r="Q423" s="77" t="s">
        <v>2446</v>
      </c>
      <c r="R423" s="77">
        <v>3</v>
      </c>
      <c r="S423" s="77">
        <v>4</v>
      </c>
      <c r="T423" s="77">
        <v>0</v>
      </c>
      <c r="U423" s="77">
        <v>0</v>
      </c>
      <c r="V423" s="77">
        <v>54</v>
      </c>
      <c r="W423" s="80" t="s">
        <v>6200</v>
      </c>
      <c r="X423" s="77"/>
      <c r="Y423" s="77"/>
      <c r="Z423" s="77"/>
      <c r="AA423" s="77" t="s">
        <v>9160</v>
      </c>
      <c r="AB423" s="77" t="s">
        <v>10535</v>
      </c>
      <c r="AC423" s="80" t="s">
        <v>10542</v>
      </c>
      <c r="AD423" s="77" t="s">
        <v>10617</v>
      </c>
      <c r="AE423" s="83" t="str">
        <f>HYPERLINK("https://twitter.com/ciceroprofessor/status/1681660231841992705")</f>
        <v>https://twitter.com/ciceroprofessor/status/1681660231841992705</v>
      </c>
      <c r="AF423" s="79">
        <v>45126.569641203707</v>
      </c>
      <c r="AG423" s="85">
        <v>45126</v>
      </c>
      <c r="AH423" s="80" t="s">
        <v>11006</v>
      </c>
      <c r="AI423" s="77" t="b">
        <v>0</v>
      </c>
      <c r="AJ423" s="77"/>
      <c r="AK423" s="77"/>
      <c r="AL423" s="77"/>
      <c r="AM423" s="77"/>
      <c r="AN423" s="77"/>
      <c r="AO423" s="77"/>
      <c r="AP423" s="77"/>
      <c r="AQ423" s="77" t="s">
        <v>14642</v>
      </c>
      <c r="AR423" s="77"/>
      <c r="AS423" s="77"/>
      <c r="AT423" s="77"/>
      <c r="AU423" s="77"/>
      <c r="AV423" s="83" t="str">
        <f>HYPERLINK("https://pbs.twimg.com/media/F1Z1EQPX0AAlgdB.jpg")</f>
        <v>https://pbs.twimg.com/media/F1Z1EQPX0AAlgdB.jpg</v>
      </c>
      <c r="AW423" s="80" t="s">
        <v>16392</v>
      </c>
      <c r="AX423" s="80" t="s">
        <v>16392</v>
      </c>
      <c r="AY423" s="77"/>
      <c r="AZ423" s="80" t="s">
        <v>20380</v>
      </c>
      <c r="BA423" s="80" t="s">
        <v>20380</v>
      </c>
      <c r="BB423" s="80" t="s">
        <v>20380</v>
      </c>
      <c r="BC423" s="80" t="s">
        <v>16392</v>
      </c>
      <c r="BD423" s="80" t="s">
        <v>20584</v>
      </c>
      <c r="BE423" s="77"/>
      <c r="BF423" s="77"/>
      <c r="BG423" s="77"/>
      <c r="BH423" s="77"/>
      <c r="BI423" s="77"/>
    </row>
    <row r="424" spans="1:61" x14ac:dyDescent="0.25">
      <c r="A424" s="62" t="s">
        <v>403</v>
      </c>
      <c r="B424" s="62" t="s">
        <v>403</v>
      </c>
      <c r="C424" s="63"/>
      <c r="D424" s="64"/>
      <c r="E424" s="65"/>
      <c r="F424" s="66"/>
      <c r="G424" s="63"/>
      <c r="H424" s="67"/>
      <c r="I424" s="68"/>
      <c r="J424" s="68"/>
      <c r="K424" s="32"/>
      <c r="L424" s="75">
        <v>424</v>
      </c>
      <c r="M424" s="75"/>
      <c r="N424" s="70"/>
      <c r="O424" s="77" t="s">
        <v>179</v>
      </c>
      <c r="P424" s="79">
        <v>45129.505381944444</v>
      </c>
      <c r="Q424" s="77" t="s">
        <v>2447</v>
      </c>
      <c r="R424" s="77">
        <v>9</v>
      </c>
      <c r="S424" s="77">
        <v>10</v>
      </c>
      <c r="T424" s="77">
        <v>2</v>
      </c>
      <c r="U424" s="77">
        <v>1</v>
      </c>
      <c r="V424" s="77">
        <v>186</v>
      </c>
      <c r="W424" s="80" t="s">
        <v>6201</v>
      </c>
      <c r="X424" s="77"/>
      <c r="Y424" s="77"/>
      <c r="Z424" s="77"/>
      <c r="AA424" s="77" t="s">
        <v>9161</v>
      </c>
      <c r="AB424" s="77" t="s">
        <v>10535</v>
      </c>
      <c r="AC424" s="80" t="s">
        <v>10542</v>
      </c>
      <c r="AD424" s="77" t="s">
        <v>10617</v>
      </c>
      <c r="AE424" s="83" t="str">
        <f>HYPERLINK("https://twitter.com/ciceroprofessor/status/1682724106842546176")</f>
        <v>https://twitter.com/ciceroprofessor/status/1682724106842546176</v>
      </c>
      <c r="AF424" s="79">
        <v>45129.505381944444</v>
      </c>
      <c r="AG424" s="85">
        <v>45129</v>
      </c>
      <c r="AH424" s="80" t="s">
        <v>11007</v>
      </c>
      <c r="AI424" s="77" t="b">
        <v>0</v>
      </c>
      <c r="AJ424" s="77"/>
      <c r="AK424" s="77"/>
      <c r="AL424" s="77"/>
      <c r="AM424" s="77"/>
      <c r="AN424" s="77"/>
      <c r="AO424" s="77"/>
      <c r="AP424" s="77"/>
      <c r="AQ424" s="77" t="s">
        <v>14643</v>
      </c>
      <c r="AR424" s="77"/>
      <c r="AS424" s="77"/>
      <c r="AT424" s="77"/>
      <c r="AU424" s="77"/>
      <c r="AV424" s="83" t="str">
        <f>HYPERLINK("https://pbs.twimg.com/media/F1o8p7kXoAAyXN6.jpg")</f>
        <v>https://pbs.twimg.com/media/F1o8p7kXoAAyXN6.jpg</v>
      </c>
      <c r="AW424" s="80" t="s">
        <v>16393</v>
      </c>
      <c r="AX424" s="80" t="s">
        <v>16393</v>
      </c>
      <c r="AY424" s="77"/>
      <c r="AZ424" s="80" t="s">
        <v>20380</v>
      </c>
      <c r="BA424" s="80" t="s">
        <v>20380</v>
      </c>
      <c r="BB424" s="80" t="s">
        <v>20380</v>
      </c>
      <c r="BC424" s="80" t="s">
        <v>16393</v>
      </c>
      <c r="BD424" s="80" t="s">
        <v>20584</v>
      </c>
      <c r="BE424" s="77"/>
      <c r="BF424" s="77"/>
      <c r="BG424" s="77"/>
      <c r="BH424" s="77"/>
      <c r="BI424" s="77"/>
    </row>
    <row r="425" spans="1:61" x14ac:dyDescent="0.25">
      <c r="A425" s="62" t="s">
        <v>404</v>
      </c>
      <c r="B425" s="62" t="s">
        <v>404</v>
      </c>
      <c r="C425" s="63"/>
      <c r="D425" s="64"/>
      <c r="E425" s="65"/>
      <c r="F425" s="66"/>
      <c r="G425" s="63"/>
      <c r="H425" s="67"/>
      <c r="I425" s="68"/>
      <c r="J425" s="68"/>
      <c r="K425" s="32"/>
      <c r="L425" s="75">
        <v>425</v>
      </c>
      <c r="M425" s="75"/>
      <c r="N425" s="70"/>
      <c r="O425" s="77" t="s">
        <v>179</v>
      </c>
      <c r="P425" s="79">
        <v>45091.65048611111</v>
      </c>
      <c r="Q425" s="77" t="s">
        <v>2448</v>
      </c>
      <c r="R425" s="77">
        <v>0</v>
      </c>
      <c r="S425" s="77">
        <v>0</v>
      </c>
      <c r="T425" s="77">
        <v>0</v>
      </c>
      <c r="U425" s="77">
        <v>0</v>
      </c>
      <c r="V425" s="77"/>
      <c r="W425" s="80" t="s">
        <v>6202</v>
      </c>
      <c r="X425" s="83" t="str">
        <f>HYPERLINK("https://veja.abril.com.br/politica/governo-lula-fecha-o-cerco-ao-agronegocio-que-depreda-o-meio-ambiente")</f>
        <v>https://veja.abril.com.br/politica/governo-lula-fecha-o-cerco-ao-agronegocio-que-depreda-o-meio-ambiente</v>
      </c>
      <c r="Y425" s="77" t="s">
        <v>8611</v>
      </c>
      <c r="Z425" s="77"/>
      <c r="AA425" s="77"/>
      <c r="AB425" s="77"/>
      <c r="AC425" s="80" t="s">
        <v>10540</v>
      </c>
      <c r="AD425" s="77" t="s">
        <v>10617</v>
      </c>
      <c r="AE425" s="83" t="str">
        <f>HYPERLINK("https://twitter.com/paulofrancarh/status/1669005953780400128")</f>
        <v>https://twitter.com/paulofrancarh/status/1669005953780400128</v>
      </c>
      <c r="AF425" s="79">
        <v>45091.65048611111</v>
      </c>
      <c r="AG425" s="85">
        <v>45091</v>
      </c>
      <c r="AH425" s="80" t="s">
        <v>11008</v>
      </c>
      <c r="AI425" s="77" t="b">
        <v>0</v>
      </c>
      <c r="AJ425" s="77" t="s">
        <v>14341</v>
      </c>
      <c r="AK425" s="77" t="s">
        <v>14382</v>
      </c>
      <c r="AL425" s="77" t="s">
        <v>14391</v>
      </c>
      <c r="AM425" s="77" t="s">
        <v>14400</v>
      </c>
      <c r="AN425" s="77" t="s">
        <v>14438</v>
      </c>
      <c r="AO425" s="77" t="s">
        <v>14479</v>
      </c>
      <c r="AP425" s="77" t="s">
        <v>14516</v>
      </c>
      <c r="AQ425" s="77"/>
      <c r="AR425" s="77"/>
      <c r="AS425" s="77"/>
      <c r="AT425" s="77"/>
      <c r="AU425" s="77"/>
      <c r="AV425" s="83" t="str">
        <f>HYPERLINK("https://pbs.twimg.com/profile_images/1457863800464498691/e3M3d2bb_normal.jpg")</f>
        <v>https://pbs.twimg.com/profile_images/1457863800464498691/e3M3d2bb_normal.jpg</v>
      </c>
      <c r="AW425" s="80" t="s">
        <v>16394</v>
      </c>
      <c r="AX425" s="80" t="s">
        <v>16394</v>
      </c>
      <c r="AY425" s="77"/>
      <c r="AZ425" s="80" t="s">
        <v>20380</v>
      </c>
      <c r="BA425" s="80" t="s">
        <v>20380</v>
      </c>
      <c r="BB425" s="80" t="s">
        <v>20380</v>
      </c>
      <c r="BC425" s="80" t="s">
        <v>16394</v>
      </c>
      <c r="BD425" s="77">
        <v>180004018</v>
      </c>
      <c r="BE425" s="77"/>
      <c r="BF425" s="77"/>
      <c r="BG425" s="77"/>
      <c r="BH425" s="77"/>
      <c r="BI425" s="77"/>
    </row>
    <row r="426" spans="1:61" x14ac:dyDescent="0.25">
      <c r="A426" s="62" t="s">
        <v>404</v>
      </c>
      <c r="B426" s="62" t="s">
        <v>404</v>
      </c>
      <c r="C426" s="63"/>
      <c r="D426" s="64"/>
      <c r="E426" s="65"/>
      <c r="F426" s="66"/>
      <c r="G426" s="63"/>
      <c r="H426" s="67"/>
      <c r="I426" s="68"/>
      <c r="J426" s="68"/>
      <c r="K426" s="32"/>
      <c r="L426" s="75">
        <v>426</v>
      </c>
      <c r="M426" s="75"/>
      <c r="N426" s="70"/>
      <c r="O426" s="77" t="s">
        <v>179</v>
      </c>
      <c r="P426" s="79">
        <v>45148.828425925924</v>
      </c>
      <c r="Q426" s="77" t="s">
        <v>2449</v>
      </c>
      <c r="R426" s="77">
        <v>0</v>
      </c>
      <c r="S426" s="77">
        <v>0</v>
      </c>
      <c r="T426" s="77">
        <v>0</v>
      </c>
      <c r="U426" s="77">
        <v>0</v>
      </c>
      <c r="V426" s="77">
        <v>14</v>
      </c>
      <c r="W426" s="80" t="s">
        <v>6203</v>
      </c>
      <c r="X426" s="83" t="str">
        <f>HYPERLINK("https://www.cnnbrasil.com.br/economia/campos-neto-fala-em-fim-do-rotativo-para-conter-juros-do-cartao-de-credito/")</f>
        <v>https://www.cnnbrasil.com.br/economia/campos-neto-fala-em-fim-do-rotativo-para-conter-juros-do-cartao-de-credito/</v>
      </c>
      <c r="Y426" s="77" t="s">
        <v>8611</v>
      </c>
      <c r="Z426" s="77"/>
      <c r="AA426" s="77"/>
      <c r="AB426" s="77"/>
      <c r="AC426" s="80" t="s">
        <v>10540</v>
      </c>
      <c r="AD426" s="77" t="s">
        <v>10617</v>
      </c>
      <c r="AE426" s="83" t="str">
        <f>HYPERLINK("https://twitter.com/paulofrancarh/status/1689726544258678785")</f>
        <v>https://twitter.com/paulofrancarh/status/1689726544258678785</v>
      </c>
      <c r="AF426" s="79">
        <v>45148.828425925924</v>
      </c>
      <c r="AG426" s="85">
        <v>45148</v>
      </c>
      <c r="AH426" s="80" t="s">
        <v>11009</v>
      </c>
      <c r="AI426" s="77" t="b">
        <v>0</v>
      </c>
      <c r="AJ426" s="77"/>
      <c r="AK426" s="77"/>
      <c r="AL426" s="77"/>
      <c r="AM426" s="77"/>
      <c r="AN426" s="77"/>
      <c r="AO426" s="77"/>
      <c r="AP426" s="77"/>
      <c r="AQ426" s="77"/>
      <c r="AR426" s="77"/>
      <c r="AS426" s="77"/>
      <c r="AT426" s="77"/>
      <c r="AU426" s="77"/>
      <c r="AV426" s="83" t="str">
        <f>HYPERLINK("https://pbs.twimg.com/profile_images/1457863800464498691/e3M3d2bb_normal.jpg")</f>
        <v>https://pbs.twimg.com/profile_images/1457863800464498691/e3M3d2bb_normal.jpg</v>
      </c>
      <c r="AW426" s="80" t="s">
        <v>16395</v>
      </c>
      <c r="AX426" s="80" t="s">
        <v>16395</v>
      </c>
      <c r="AY426" s="77"/>
      <c r="AZ426" s="80" t="s">
        <v>20380</v>
      </c>
      <c r="BA426" s="80" t="s">
        <v>20380</v>
      </c>
      <c r="BB426" s="80" t="s">
        <v>20380</v>
      </c>
      <c r="BC426" s="80" t="s">
        <v>16395</v>
      </c>
      <c r="BD426" s="77">
        <v>180004018</v>
      </c>
      <c r="BE426" s="77"/>
      <c r="BF426" s="77"/>
      <c r="BG426" s="77"/>
      <c r="BH426" s="77"/>
      <c r="BI426" s="77"/>
    </row>
    <row r="427" spans="1:61" x14ac:dyDescent="0.25">
      <c r="A427" s="62" t="s">
        <v>405</v>
      </c>
      <c r="B427" s="62" t="s">
        <v>405</v>
      </c>
      <c r="C427" s="63"/>
      <c r="D427" s="64"/>
      <c r="E427" s="65"/>
      <c r="F427" s="66"/>
      <c r="G427" s="63"/>
      <c r="H427" s="67"/>
      <c r="I427" s="68"/>
      <c r="J427" s="68"/>
      <c r="K427" s="32"/>
      <c r="L427" s="75">
        <v>427</v>
      </c>
      <c r="M427" s="75"/>
      <c r="N427" s="70"/>
      <c r="O427" s="77" t="s">
        <v>179</v>
      </c>
      <c r="P427" s="79">
        <v>45054.571168981478</v>
      </c>
      <c r="Q427" s="77" t="s">
        <v>2450</v>
      </c>
      <c r="R427" s="77">
        <v>0</v>
      </c>
      <c r="S427" s="77">
        <v>0</v>
      </c>
      <c r="T427" s="77">
        <v>0</v>
      </c>
      <c r="U427" s="77">
        <v>0</v>
      </c>
      <c r="V427" s="77">
        <v>2</v>
      </c>
      <c r="W427" s="80" t="s">
        <v>5884</v>
      </c>
      <c r="X427" s="83" t="str">
        <f>HYPERLINK("https://portal.rodadecuia.com.br/economia/08/05/2023/cheques-terao-mudancas-a-partir-de-2-de-outubro/")</f>
        <v>https://portal.rodadecuia.com.br/economia/08/05/2023/cheques-terao-mudancas-a-partir-de-2-de-outubro/</v>
      </c>
      <c r="Y427" s="77" t="s">
        <v>8611</v>
      </c>
      <c r="Z427" s="77"/>
      <c r="AA427" s="77"/>
      <c r="AB427" s="77"/>
      <c r="AC427" s="80" t="s">
        <v>10546</v>
      </c>
      <c r="AD427" s="77" t="s">
        <v>10617</v>
      </c>
      <c r="AE427" s="83" t="str">
        <f>HYPERLINK("https://twitter.com/rodadecuia/status/1655568856964911107")</f>
        <v>https://twitter.com/rodadecuia/status/1655568856964911107</v>
      </c>
      <c r="AF427" s="79">
        <v>45054.571168981478</v>
      </c>
      <c r="AG427" s="85">
        <v>45054</v>
      </c>
      <c r="AH427" s="80" t="s">
        <v>11010</v>
      </c>
      <c r="AI427" s="77" t="b">
        <v>0</v>
      </c>
      <c r="AJ427" s="77"/>
      <c r="AK427" s="77"/>
      <c r="AL427" s="77"/>
      <c r="AM427" s="77"/>
      <c r="AN427" s="77"/>
      <c r="AO427" s="77"/>
      <c r="AP427" s="77"/>
      <c r="AQ427" s="77"/>
      <c r="AR427" s="77"/>
      <c r="AS427" s="77"/>
      <c r="AT427" s="77"/>
      <c r="AU427" s="77"/>
      <c r="AV427" s="83" t="str">
        <f>HYPERLINK("https://pbs.twimg.com/profile_images/1577848923431002114/DdOeuC2c_normal.png")</f>
        <v>https://pbs.twimg.com/profile_images/1577848923431002114/DdOeuC2c_normal.png</v>
      </c>
      <c r="AW427" s="80" t="s">
        <v>16396</v>
      </c>
      <c r="AX427" s="80" t="s">
        <v>16396</v>
      </c>
      <c r="AY427" s="77"/>
      <c r="AZ427" s="80" t="s">
        <v>20380</v>
      </c>
      <c r="BA427" s="80" t="s">
        <v>20380</v>
      </c>
      <c r="BB427" s="80" t="s">
        <v>20380</v>
      </c>
      <c r="BC427" s="80" t="s">
        <v>16396</v>
      </c>
      <c r="BD427" s="80" t="s">
        <v>20585</v>
      </c>
      <c r="BE427" s="77"/>
      <c r="BF427" s="77"/>
      <c r="BG427" s="77"/>
      <c r="BH427" s="77"/>
      <c r="BI427" s="77"/>
    </row>
    <row r="428" spans="1:61" x14ac:dyDescent="0.25">
      <c r="A428" s="62" t="s">
        <v>406</v>
      </c>
      <c r="B428" s="62" t="s">
        <v>406</v>
      </c>
      <c r="C428" s="63"/>
      <c r="D428" s="64"/>
      <c r="E428" s="65"/>
      <c r="F428" s="66"/>
      <c r="G428" s="63"/>
      <c r="H428" s="67"/>
      <c r="I428" s="68"/>
      <c r="J428" s="68"/>
      <c r="K428" s="32"/>
      <c r="L428" s="75">
        <v>428</v>
      </c>
      <c r="M428" s="75"/>
      <c r="N428" s="70"/>
      <c r="O428" s="77" t="s">
        <v>179</v>
      </c>
      <c r="P428" s="79">
        <v>45078.525682870371</v>
      </c>
      <c r="Q428" s="77" t="s">
        <v>2451</v>
      </c>
      <c r="R428" s="77">
        <v>0</v>
      </c>
      <c r="S428" s="77">
        <v>2</v>
      </c>
      <c r="T428" s="77">
        <v>1</v>
      </c>
      <c r="U428" s="77">
        <v>0</v>
      </c>
      <c r="V428" s="77">
        <v>131</v>
      </c>
      <c r="W428" s="80" t="s">
        <v>6204</v>
      </c>
      <c r="X428" s="77"/>
      <c r="Y428" s="77"/>
      <c r="Z428" s="77"/>
      <c r="AA428" s="77"/>
      <c r="AB428" s="77"/>
      <c r="AC428" s="80" t="s">
        <v>10542</v>
      </c>
      <c r="AD428" s="77" t="s">
        <v>10620</v>
      </c>
      <c r="AE428" s="83" t="str">
        <f>HYPERLINK("https://twitter.com/cgvillarroelv/status/1664249683236069380")</f>
        <v>https://twitter.com/cgvillarroelv/status/1664249683236069380</v>
      </c>
      <c r="AF428" s="79">
        <v>45078.525682870371</v>
      </c>
      <c r="AG428" s="85">
        <v>45078</v>
      </c>
      <c r="AH428" s="80" t="s">
        <v>11011</v>
      </c>
      <c r="AI428" s="77"/>
      <c r="AJ428" s="77"/>
      <c r="AK428" s="77"/>
      <c r="AL428" s="77"/>
      <c r="AM428" s="77"/>
      <c r="AN428" s="77"/>
      <c r="AO428" s="77"/>
      <c r="AP428" s="77"/>
      <c r="AQ428" s="77"/>
      <c r="AR428" s="77"/>
      <c r="AS428" s="77"/>
      <c r="AT428" s="77"/>
      <c r="AU428" s="77"/>
      <c r="AV428" s="83" t="str">
        <f>HYPERLINK("https://pbs.twimg.com/profile_images/1696927535873900557/V3mFnrdT_normal.jpg")</f>
        <v>https://pbs.twimg.com/profile_images/1696927535873900557/V3mFnrdT_normal.jpg</v>
      </c>
      <c r="AW428" s="80" t="s">
        <v>16397</v>
      </c>
      <c r="AX428" s="80" t="s">
        <v>16397</v>
      </c>
      <c r="AY428" s="77"/>
      <c r="AZ428" s="80" t="s">
        <v>20380</v>
      </c>
      <c r="BA428" s="80" t="s">
        <v>20380</v>
      </c>
      <c r="BB428" s="80" t="s">
        <v>20380</v>
      </c>
      <c r="BC428" s="80" t="s">
        <v>16397</v>
      </c>
      <c r="BD428" s="77">
        <v>105246377</v>
      </c>
      <c r="BE428" s="77"/>
      <c r="BF428" s="77"/>
      <c r="BG428" s="77"/>
      <c r="BH428" s="77"/>
      <c r="BI428" s="77"/>
    </row>
    <row r="429" spans="1:61" x14ac:dyDescent="0.25">
      <c r="A429" s="62" t="s">
        <v>407</v>
      </c>
      <c r="B429" s="62" t="s">
        <v>1655</v>
      </c>
      <c r="C429" s="63"/>
      <c r="D429" s="64"/>
      <c r="E429" s="65"/>
      <c r="F429" s="66"/>
      <c r="G429" s="63"/>
      <c r="H429" s="67"/>
      <c r="I429" s="68"/>
      <c r="J429" s="68"/>
      <c r="K429" s="32"/>
      <c r="L429" s="75">
        <v>429</v>
      </c>
      <c r="M429" s="75"/>
      <c r="N429" s="70"/>
      <c r="O429" s="77" t="s">
        <v>2083</v>
      </c>
      <c r="P429" s="79">
        <v>45191.840902777774</v>
      </c>
      <c r="Q429" s="77" t="s">
        <v>2120</v>
      </c>
      <c r="R429" s="77">
        <v>57</v>
      </c>
      <c r="S429" s="77">
        <v>0</v>
      </c>
      <c r="T429" s="77">
        <v>0</v>
      </c>
      <c r="U429" s="77">
        <v>0</v>
      </c>
      <c r="V429" s="77"/>
      <c r="W429" s="80" t="s">
        <v>5917</v>
      </c>
      <c r="X429" s="77"/>
      <c r="Y429" s="77"/>
      <c r="Z429" s="77" t="s">
        <v>1655</v>
      </c>
      <c r="AA429" s="77"/>
      <c r="AB429" s="77"/>
      <c r="AC429" s="80" t="s">
        <v>10540</v>
      </c>
      <c r="AD429" s="77" t="s">
        <v>10617</v>
      </c>
      <c r="AE429" s="83" t="str">
        <f>HYPERLINK("https://twitter.com/adelaircosta/status/1705313743314252015")</f>
        <v>https://twitter.com/adelaircosta/status/1705313743314252015</v>
      </c>
      <c r="AF429" s="79">
        <v>45191.840902777774</v>
      </c>
      <c r="AG429" s="85">
        <v>45191</v>
      </c>
      <c r="AH429" s="80" t="s">
        <v>11012</v>
      </c>
      <c r="AI429" s="77"/>
      <c r="AJ429" s="77"/>
      <c r="AK429" s="77"/>
      <c r="AL429" s="77"/>
      <c r="AM429" s="77"/>
      <c r="AN429" s="77"/>
      <c r="AO429" s="77"/>
      <c r="AP429" s="77"/>
      <c r="AQ429" s="77"/>
      <c r="AR429" s="77"/>
      <c r="AS429" s="77"/>
      <c r="AT429" s="77"/>
      <c r="AU429" s="77"/>
      <c r="AV429" s="83" t="str">
        <f>HYPERLINK("https://pbs.twimg.com/profile_images/1595054057403604997/guEZ67dp_normal.jpg")</f>
        <v>https://pbs.twimg.com/profile_images/1595054057403604997/guEZ67dp_normal.jpg</v>
      </c>
      <c r="AW429" s="80" t="s">
        <v>16398</v>
      </c>
      <c r="AX429" s="80" t="s">
        <v>16398</v>
      </c>
      <c r="AY429" s="77"/>
      <c r="AZ429" s="80" t="s">
        <v>20380</v>
      </c>
      <c r="BA429" s="80" t="s">
        <v>20380</v>
      </c>
      <c r="BB429" s="80" t="s">
        <v>19843</v>
      </c>
      <c r="BC429" s="80" t="s">
        <v>19843</v>
      </c>
      <c r="BD429" s="80" t="s">
        <v>20586</v>
      </c>
      <c r="BE429" s="77"/>
      <c r="BF429" s="77"/>
      <c r="BG429" s="77"/>
      <c r="BH429" s="77"/>
      <c r="BI429" s="77"/>
    </row>
    <row r="430" spans="1:61" x14ac:dyDescent="0.25">
      <c r="A430" s="62" t="s">
        <v>408</v>
      </c>
      <c r="B430" s="62" t="s">
        <v>1749</v>
      </c>
      <c r="C430" s="63"/>
      <c r="D430" s="64"/>
      <c r="E430" s="65"/>
      <c r="F430" s="66"/>
      <c r="G430" s="63"/>
      <c r="H430" s="67"/>
      <c r="I430" s="68"/>
      <c r="J430" s="68"/>
      <c r="K430" s="32"/>
      <c r="L430" s="75">
        <v>430</v>
      </c>
      <c r="M430" s="75"/>
      <c r="N430" s="70"/>
      <c r="O430" s="77" t="s">
        <v>2081</v>
      </c>
      <c r="P430" s="79">
        <v>45133.683483796296</v>
      </c>
      <c r="Q430" s="77" t="s">
        <v>2452</v>
      </c>
      <c r="R430" s="77">
        <v>1</v>
      </c>
      <c r="S430" s="77">
        <v>1</v>
      </c>
      <c r="T430" s="77">
        <v>0</v>
      </c>
      <c r="U430" s="77">
        <v>1</v>
      </c>
      <c r="V430" s="77">
        <v>1433</v>
      </c>
      <c r="W430" s="80" t="s">
        <v>6205</v>
      </c>
      <c r="X430" s="83" t="str">
        <f>HYPERLINK("https://cnnespanol.cnn.com/radio/2023/07/26/redrado-cuando-se-hace-referencia-a-un-blindaje-con-el-fmi-nos-hace-pensar-en-2001/")</f>
        <v>https://cnnespanol.cnn.com/radio/2023/07/26/redrado-cuando-se-hace-referencia-a-un-blindaje-con-el-fmi-nos-hace-pensar-en-2001/</v>
      </c>
      <c r="Y430" s="77" t="s">
        <v>8660</v>
      </c>
      <c r="Z430" s="77" t="s">
        <v>8918</v>
      </c>
      <c r="AA430" s="77"/>
      <c r="AB430" s="77"/>
      <c r="AC430" s="80" t="s">
        <v>10541</v>
      </c>
      <c r="AD430" s="77" t="s">
        <v>10620</v>
      </c>
      <c r="AE430" s="83" t="str">
        <f>HYPERLINK("https://twitter.com/cnnradioarg/status/1684238199671910401")</f>
        <v>https://twitter.com/cnnradioarg/status/1684238199671910401</v>
      </c>
      <c r="AF430" s="79">
        <v>45133.683483796296</v>
      </c>
      <c r="AG430" s="85">
        <v>45133</v>
      </c>
      <c r="AH430" s="80" t="s">
        <v>11013</v>
      </c>
      <c r="AI430" s="77" t="b">
        <v>0</v>
      </c>
      <c r="AJ430" s="77"/>
      <c r="AK430" s="77"/>
      <c r="AL430" s="77"/>
      <c r="AM430" s="77"/>
      <c r="AN430" s="77"/>
      <c r="AO430" s="77"/>
      <c r="AP430" s="77"/>
      <c r="AQ430" s="77"/>
      <c r="AR430" s="77"/>
      <c r="AS430" s="77"/>
      <c r="AT430" s="77"/>
      <c r="AU430" s="77"/>
      <c r="AV430" s="83" t="str">
        <f>HYPERLINK("https://pbs.twimg.com/profile_images/1131576243697201152/PfdkQM9Z_normal.jpg")</f>
        <v>https://pbs.twimg.com/profile_images/1131576243697201152/PfdkQM9Z_normal.jpg</v>
      </c>
      <c r="AW430" s="80" t="s">
        <v>16399</v>
      </c>
      <c r="AX430" s="80" t="s">
        <v>16399</v>
      </c>
      <c r="AY430" s="77"/>
      <c r="AZ430" s="80" t="s">
        <v>20380</v>
      </c>
      <c r="BA430" s="80" t="s">
        <v>20380</v>
      </c>
      <c r="BB430" s="80" t="s">
        <v>20380</v>
      </c>
      <c r="BC430" s="80" t="s">
        <v>16399</v>
      </c>
      <c r="BD430" s="80" t="s">
        <v>20587</v>
      </c>
      <c r="BE430" s="77"/>
      <c r="BF430" s="77"/>
      <c r="BG430" s="77"/>
      <c r="BH430" s="77"/>
      <c r="BI430" s="77"/>
    </row>
    <row r="431" spans="1:61" x14ac:dyDescent="0.25">
      <c r="A431" s="62" t="s">
        <v>408</v>
      </c>
      <c r="B431" s="62" t="s">
        <v>1750</v>
      </c>
      <c r="C431" s="63"/>
      <c r="D431" s="64"/>
      <c r="E431" s="65"/>
      <c r="F431" s="66"/>
      <c r="G431" s="63"/>
      <c r="H431" s="67"/>
      <c r="I431" s="68"/>
      <c r="J431" s="68"/>
      <c r="K431" s="32"/>
      <c r="L431" s="75">
        <v>431</v>
      </c>
      <c r="M431" s="75"/>
      <c r="N431" s="70"/>
      <c r="O431" s="77" t="s">
        <v>2081</v>
      </c>
      <c r="P431" s="79">
        <v>45133.683483796296</v>
      </c>
      <c r="Q431" s="77" t="s">
        <v>2452</v>
      </c>
      <c r="R431" s="77">
        <v>1</v>
      </c>
      <c r="S431" s="77">
        <v>1</v>
      </c>
      <c r="T431" s="77">
        <v>0</v>
      </c>
      <c r="U431" s="77">
        <v>1</v>
      </c>
      <c r="V431" s="77">
        <v>1433</v>
      </c>
      <c r="W431" s="80" t="s">
        <v>6205</v>
      </c>
      <c r="X431" s="83" t="str">
        <f>HYPERLINK("https://cnnespanol.cnn.com/radio/2023/07/26/redrado-cuando-se-hace-referencia-a-un-blindaje-con-el-fmi-nos-hace-pensar-en-2001/")</f>
        <v>https://cnnespanol.cnn.com/radio/2023/07/26/redrado-cuando-se-hace-referencia-a-un-blindaje-con-el-fmi-nos-hace-pensar-en-2001/</v>
      </c>
      <c r="Y431" s="77" t="s">
        <v>8660</v>
      </c>
      <c r="Z431" s="77" t="s">
        <v>8918</v>
      </c>
      <c r="AA431" s="77"/>
      <c r="AB431" s="77"/>
      <c r="AC431" s="80" t="s">
        <v>10541</v>
      </c>
      <c r="AD431" s="77" t="s">
        <v>10620</v>
      </c>
      <c r="AE431" s="83" t="str">
        <f>HYPERLINK("https://twitter.com/cnnradioarg/status/1684238199671910401")</f>
        <v>https://twitter.com/cnnradioarg/status/1684238199671910401</v>
      </c>
      <c r="AF431" s="79">
        <v>45133.683483796296</v>
      </c>
      <c r="AG431" s="85">
        <v>45133</v>
      </c>
      <c r="AH431" s="80" t="s">
        <v>11013</v>
      </c>
      <c r="AI431" s="77" t="b">
        <v>0</v>
      </c>
      <c r="AJ431" s="77"/>
      <c r="AK431" s="77"/>
      <c r="AL431" s="77"/>
      <c r="AM431" s="77"/>
      <c r="AN431" s="77"/>
      <c r="AO431" s="77"/>
      <c r="AP431" s="77"/>
      <c r="AQ431" s="77"/>
      <c r="AR431" s="77"/>
      <c r="AS431" s="77"/>
      <c r="AT431" s="77"/>
      <c r="AU431" s="77"/>
      <c r="AV431" s="83" t="str">
        <f>HYPERLINK("https://pbs.twimg.com/profile_images/1131576243697201152/PfdkQM9Z_normal.jpg")</f>
        <v>https://pbs.twimg.com/profile_images/1131576243697201152/PfdkQM9Z_normal.jpg</v>
      </c>
      <c r="AW431" s="80" t="s">
        <v>16399</v>
      </c>
      <c r="AX431" s="80" t="s">
        <v>16399</v>
      </c>
      <c r="AY431" s="77"/>
      <c r="AZ431" s="80" t="s">
        <v>20380</v>
      </c>
      <c r="BA431" s="80" t="s">
        <v>20380</v>
      </c>
      <c r="BB431" s="80" t="s">
        <v>20380</v>
      </c>
      <c r="BC431" s="80" t="s">
        <v>16399</v>
      </c>
      <c r="BD431" s="80" t="s">
        <v>20587</v>
      </c>
      <c r="BE431" s="77"/>
      <c r="BF431" s="77"/>
      <c r="BG431" s="77"/>
      <c r="BH431" s="77"/>
      <c r="BI431" s="77"/>
    </row>
    <row r="432" spans="1:61" x14ac:dyDescent="0.25">
      <c r="A432" s="62" t="s">
        <v>408</v>
      </c>
      <c r="B432" s="62" t="s">
        <v>408</v>
      </c>
      <c r="C432" s="63"/>
      <c r="D432" s="64"/>
      <c r="E432" s="65"/>
      <c r="F432" s="66"/>
      <c r="G432" s="63"/>
      <c r="H432" s="67"/>
      <c r="I432" s="68"/>
      <c r="J432" s="68"/>
      <c r="K432" s="32"/>
      <c r="L432" s="75">
        <v>432</v>
      </c>
      <c r="M432" s="75"/>
      <c r="N432" s="70"/>
      <c r="O432" s="77" t="s">
        <v>179</v>
      </c>
      <c r="P432" s="79">
        <v>45051.860358796293</v>
      </c>
      <c r="Q432" s="77" t="s">
        <v>2453</v>
      </c>
      <c r="R432" s="77">
        <v>0</v>
      </c>
      <c r="S432" s="77">
        <v>0</v>
      </c>
      <c r="T432" s="77">
        <v>0</v>
      </c>
      <c r="U432" s="77">
        <v>0</v>
      </c>
      <c r="V432" s="77">
        <v>408</v>
      </c>
      <c r="W432" s="80" t="s">
        <v>6206</v>
      </c>
      <c r="X432" s="83" t="str">
        <f>HYPERLINK("https://cnnespanol.cnn.com/radio/2023/05/05/carlos-fara-milei-instalo-el-debate/")</f>
        <v>https://cnnespanol.cnn.com/radio/2023/05/05/carlos-fara-milei-instalo-el-debate/</v>
      </c>
      <c r="Y432" s="77" t="s">
        <v>8660</v>
      </c>
      <c r="Z432" s="77"/>
      <c r="AA432" s="77"/>
      <c r="AB432" s="77"/>
      <c r="AC432" s="80" t="s">
        <v>10541</v>
      </c>
      <c r="AD432" s="77" t="s">
        <v>10620</v>
      </c>
      <c r="AE432" s="83" t="str">
        <f>HYPERLINK("https://twitter.com/cnnradioarg/status/1654586494680543235")</f>
        <v>https://twitter.com/cnnradioarg/status/1654586494680543235</v>
      </c>
      <c r="AF432" s="79">
        <v>45051.860358796293</v>
      </c>
      <c r="AG432" s="85">
        <v>45051</v>
      </c>
      <c r="AH432" s="80" t="s">
        <v>11014</v>
      </c>
      <c r="AI432" s="77" t="b">
        <v>0</v>
      </c>
      <c r="AJ432" s="77"/>
      <c r="AK432" s="77"/>
      <c r="AL432" s="77"/>
      <c r="AM432" s="77"/>
      <c r="AN432" s="77"/>
      <c r="AO432" s="77"/>
      <c r="AP432" s="77"/>
      <c r="AQ432" s="77"/>
      <c r="AR432" s="77"/>
      <c r="AS432" s="77"/>
      <c r="AT432" s="77"/>
      <c r="AU432" s="77"/>
      <c r="AV432" s="83" t="str">
        <f>HYPERLINK("https://pbs.twimg.com/profile_images/1131576243697201152/PfdkQM9Z_normal.jpg")</f>
        <v>https://pbs.twimg.com/profile_images/1131576243697201152/PfdkQM9Z_normal.jpg</v>
      </c>
      <c r="AW432" s="80" t="s">
        <v>16400</v>
      </c>
      <c r="AX432" s="80" t="s">
        <v>16400</v>
      </c>
      <c r="AY432" s="77"/>
      <c r="AZ432" s="80" t="s">
        <v>20380</v>
      </c>
      <c r="BA432" s="80" t="s">
        <v>20380</v>
      </c>
      <c r="BB432" s="80" t="s">
        <v>20380</v>
      </c>
      <c r="BC432" s="80" t="s">
        <v>16400</v>
      </c>
      <c r="BD432" s="80" t="s">
        <v>20587</v>
      </c>
      <c r="BE432" s="77"/>
      <c r="BF432" s="77"/>
      <c r="BG432" s="77"/>
      <c r="BH432" s="77"/>
      <c r="BI432" s="77"/>
    </row>
    <row r="433" spans="1:61" x14ac:dyDescent="0.25">
      <c r="A433" s="62" t="s">
        <v>408</v>
      </c>
      <c r="B433" s="62" t="s">
        <v>408</v>
      </c>
      <c r="C433" s="63"/>
      <c r="D433" s="64"/>
      <c r="E433" s="65"/>
      <c r="F433" s="66"/>
      <c r="G433" s="63"/>
      <c r="H433" s="67"/>
      <c r="I433" s="68"/>
      <c r="J433" s="68"/>
      <c r="K433" s="32"/>
      <c r="L433" s="75">
        <v>433</v>
      </c>
      <c r="M433" s="75"/>
      <c r="N433" s="70"/>
      <c r="O433" s="77" t="s">
        <v>179</v>
      </c>
      <c r="P433" s="79">
        <v>45079.607638888891</v>
      </c>
      <c r="Q433" s="77" t="s">
        <v>2454</v>
      </c>
      <c r="R433" s="77">
        <v>0</v>
      </c>
      <c r="S433" s="77">
        <v>0</v>
      </c>
      <c r="T433" s="77">
        <v>0</v>
      </c>
      <c r="U433" s="77">
        <v>0</v>
      </c>
      <c r="V433" s="77">
        <v>276</v>
      </c>
      <c r="W433" s="80" t="s">
        <v>6207</v>
      </c>
      <c r="X433" s="83" t="str">
        <f>HYPERLINK("https://cnnespanol.cnn.com/radio/2023/06/02/pago-de-la-deuda-cordoba-va-la-justicia-por-las-restricciones-del-banco-central/")</f>
        <v>https://cnnespanol.cnn.com/radio/2023/06/02/pago-de-la-deuda-cordoba-va-la-justicia-por-las-restricciones-del-banco-central/</v>
      </c>
      <c r="Y433" s="77" t="s">
        <v>8660</v>
      </c>
      <c r="Z433" s="77"/>
      <c r="AA433" s="77"/>
      <c r="AB433" s="77"/>
      <c r="AC433" s="80" t="s">
        <v>10551</v>
      </c>
      <c r="AD433" s="77" t="s">
        <v>10620</v>
      </c>
      <c r="AE433" s="83" t="str">
        <f>HYPERLINK("https://twitter.com/cnnradioarg/status/1664641770196721664")</f>
        <v>https://twitter.com/cnnradioarg/status/1664641770196721664</v>
      </c>
      <c r="AF433" s="79">
        <v>45079.607638888891</v>
      </c>
      <c r="AG433" s="85">
        <v>45079</v>
      </c>
      <c r="AH433" s="80" t="s">
        <v>11015</v>
      </c>
      <c r="AI433" s="77" t="b">
        <v>0</v>
      </c>
      <c r="AJ433" s="77"/>
      <c r="AK433" s="77"/>
      <c r="AL433" s="77"/>
      <c r="AM433" s="77"/>
      <c r="AN433" s="77"/>
      <c r="AO433" s="77"/>
      <c r="AP433" s="77"/>
      <c r="AQ433" s="77"/>
      <c r="AR433" s="77"/>
      <c r="AS433" s="77"/>
      <c r="AT433" s="77"/>
      <c r="AU433" s="77"/>
      <c r="AV433" s="83" t="str">
        <f>HYPERLINK("https://pbs.twimg.com/profile_images/1131576243697201152/PfdkQM9Z_normal.jpg")</f>
        <v>https://pbs.twimg.com/profile_images/1131576243697201152/PfdkQM9Z_normal.jpg</v>
      </c>
      <c r="AW433" s="80" t="s">
        <v>16401</v>
      </c>
      <c r="AX433" s="80" t="s">
        <v>16401</v>
      </c>
      <c r="AY433" s="77"/>
      <c r="AZ433" s="80" t="s">
        <v>20380</v>
      </c>
      <c r="BA433" s="80" t="s">
        <v>20380</v>
      </c>
      <c r="BB433" s="80" t="s">
        <v>20380</v>
      </c>
      <c r="BC433" s="80" t="s">
        <v>16401</v>
      </c>
      <c r="BD433" s="80" t="s">
        <v>20587</v>
      </c>
      <c r="BE433" s="77"/>
      <c r="BF433" s="77"/>
      <c r="BG433" s="77"/>
      <c r="BH433" s="77"/>
      <c r="BI433" s="77"/>
    </row>
    <row r="434" spans="1:61" x14ac:dyDescent="0.25">
      <c r="A434" s="62" t="s">
        <v>408</v>
      </c>
      <c r="B434" s="62" t="s">
        <v>408</v>
      </c>
      <c r="C434" s="63"/>
      <c r="D434" s="64"/>
      <c r="E434" s="65"/>
      <c r="F434" s="66"/>
      <c r="G434" s="63"/>
      <c r="H434" s="67"/>
      <c r="I434" s="68"/>
      <c r="J434" s="68"/>
      <c r="K434" s="32"/>
      <c r="L434" s="75">
        <v>434</v>
      </c>
      <c r="M434" s="75"/>
      <c r="N434" s="70"/>
      <c r="O434" s="77" t="s">
        <v>179</v>
      </c>
      <c r="P434" s="79">
        <v>45196.610706018517</v>
      </c>
      <c r="Q434" s="77" t="s">
        <v>2455</v>
      </c>
      <c r="R434" s="77">
        <v>1</v>
      </c>
      <c r="S434" s="77">
        <v>1</v>
      </c>
      <c r="T434" s="77">
        <v>0</v>
      </c>
      <c r="U434" s="77">
        <v>0</v>
      </c>
      <c r="V434" s="77">
        <v>415</v>
      </c>
      <c r="W434" s="80" t="s">
        <v>6208</v>
      </c>
      <c r="X434" s="83" t="str">
        <f>HYPERLINK("https://cnnespanol.cnn.com/radio/2023/09/27/martin-lagos-ex-vicepresidente-del-banco-central-estamos-en-un-momento-critico/")</f>
        <v>https://cnnespanol.cnn.com/radio/2023/09/27/martin-lagos-ex-vicepresidente-del-banco-central-estamos-en-un-momento-critico/</v>
      </c>
      <c r="Y434" s="77" t="s">
        <v>8660</v>
      </c>
      <c r="Z434" s="77"/>
      <c r="AA434" s="77"/>
      <c r="AB434" s="77"/>
      <c r="AC434" s="80" t="s">
        <v>10541</v>
      </c>
      <c r="AD434" s="77" t="s">
        <v>10620</v>
      </c>
      <c r="AE434" s="83" t="str">
        <f>HYPERLINK("https://twitter.com/cnnradioarg/status/1707042261081497856")</f>
        <v>https://twitter.com/cnnradioarg/status/1707042261081497856</v>
      </c>
      <c r="AF434" s="79">
        <v>45196.610706018517</v>
      </c>
      <c r="AG434" s="85">
        <v>45196</v>
      </c>
      <c r="AH434" s="80" t="s">
        <v>11016</v>
      </c>
      <c r="AI434" s="77" t="b">
        <v>0</v>
      </c>
      <c r="AJ434" s="77"/>
      <c r="AK434" s="77"/>
      <c r="AL434" s="77"/>
      <c r="AM434" s="77"/>
      <c r="AN434" s="77"/>
      <c r="AO434" s="77"/>
      <c r="AP434" s="77"/>
      <c r="AQ434" s="77"/>
      <c r="AR434" s="77"/>
      <c r="AS434" s="77"/>
      <c r="AT434" s="77"/>
      <c r="AU434" s="77"/>
      <c r="AV434" s="83" t="str">
        <f>HYPERLINK("https://pbs.twimg.com/profile_images/1131576243697201152/PfdkQM9Z_normal.jpg")</f>
        <v>https://pbs.twimg.com/profile_images/1131576243697201152/PfdkQM9Z_normal.jpg</v>
      </c>
      <c r="AW434" s="80" t="s">
        <v>16402</v>
      </c>
      <c r="AX434" s="80" t="s">
        <v>16402</v>
      </c>
      <c r="AY434" s="77"/>
      <c r="AZ434" s="80" t="s">
        <v>20380</v>
      </c>
      <c r="BA434" s="80" t="s">
        <v>20380</v>
      </c>
      <c r="BB434" s="80" t="s">
        <v>20380</v>
      </c>
      <c r="BC434" s="80" t="s">
        <v>16402</v>
      </c>
      <c r="BD434" s="80" t="s">
        <v>20587</v>
      </c>
      <c r="BE434" s="77"/>
      <c r="BF434" s="77"/>
      <c r="BG434" s="77"/>
      <c r="BH434" s="77"/>
      <c r="BI434" s="77"/>
    </row>
    <row r="435" spans="1:61" x14ac:dyDescent="0.25">
      <c r="A435" s="62" t="s">
        <v>409</v>
      </c>
      <c r="B435" s="62" t="s">
        <v>409</v>
      </c>
      <c r="C435" s="63"/>
      <c r="D435" s="64"/>
      <c r="E435" s="65"/>
      <c r="F435" s="66"/>
      <c r="G435" s="63"/>
      <c r="H435" s="67"/>
      <c r="I435" s="68"/>
      <c r="J435" s="68"/>
      <c r="K435" s="32"/>
      <c r="L435" s="75">
        <v>435</v>
      </c>
      <c r="M435" s="75"/>
      <c r="N435" s="70"/>
      <c r="O435" s="77" t="s">
        <v>179</v>
      </c>
      <c r="P435" s="79">
        <v>45057.017916666664</v>
      </c>
      <c r="Q435" s="77" t="s">
        <v>2456</v>
      </c>
      <c r="R435" s="77">
        <v>0</v>
      </c>
      <c r="S435" s="77">
        <v>0</v>
      </c>
      <c r="T435" s="77">
        <v>0</v>
      </c>
      <c r="U435" s="77">
        <v>0</v>
      </c>
      <c r="V435" s="77">
        <v>11</v>
      </c>
      <c r="W435" s="80" t="s">
        <v>6209</v>
      </c>
      <c r="X435" s="83" t="str">
        <f>HYPERLINK("https://sumundodigital.com/comerciantes-no-notan-reduccion-de-la-inflacion-como-reporta-el-banco-central/")</f>
        <v>https://sumundodigital.com/comerciantes-no-notan-reduccion-de-la-inflacion-como-reporta-el-banco-central/</v>
      </c>
      <c r="Y435" s="77" t="s">
        <v>8661</v>
      </c>
      <c r="Z435" s="77"/>
      <c r="AA435" s="77"/>
      <c r="AB435" s="77"/>
      <c r="AC435" s="80" t="s">
        <v>10559</v>
      </c>
      <c r="AD435" s="77" t="s">
        <v>10620</v>
      </c>
      <c r="AE435" s="83" t="str">
        <f>HYPERLINK("https://twitter.com/sumundotv/status/1656455528539648002")</f>
        <v>https://twitter.com/sumundotv/status/1656455528539648002</v>
      </c>
      <c r="AF435" s="79">
        <v>45057.017916666664</v>
      </c>
      <c r="AG435" s="85">
        <v>45057</v>
      </c>
      <c r="AH435" s="80" t="s">
        <v>11017</v>
      </c>
      <c r="AI435" s="77" t="b">
        <v>0</v>
      </c>
      <c r="AJ435" s="77"/>
      <c r="AK435" s="77"/>
      <c r="AL435" s="77"/>
      <c r="AM435" s="77"/>
      <c r="AN435" s="77"/>
      <c r="AO435" s="77"/>
      <c r="AP435" s="77"/>
      <c r="AQ435" s="77"/>
      <c r="AR435" s="77"/>
      <c r="AS435" s="77"/>
      <c r="AT435" s="77"/>
      <c r="AU435" s="77"/>
      <c r="AV435" s="83" t="str">
        <f>HYPERLINK("https://pbs.twimg.com/profile_images/1612623753145421826/MG1Y1O32_normal.jpg")</f>
        <v>https://pbs.twimg.com/profile_images/1612623753145421826/MG1Y1O32_normal.jpg</v>
      </c>
      <c r="AW435" s="80" t="s">
        <v>16403</v>
      </c>
      <c r="AX435" s="80" t="s">
        <v>16403</v>
      </c>
      <c r="AY435" s="77"/>
      <c r="AZ435" s="80" t="s">
        <v>20380</v>
      </c>
      <c r="BA435" s="80" t="s">
        <v>20380</v>
      </c>
      <c r="BB435" s="80" t="s">
        <v>20380</v>
      </c>
      <c r="BC435" s="80" t="s">
        <v>16403</v>
      </c>
      <c r="BD435" s="77">
        <v>575591153</v>
      </c>
      <c r="BE435" s="77"/>
      <c r="BF435" s="77"/>
      <c r="BG435" s="77"/>
      <c r="BH435" s="77"/>
      <c r="BI435" s="77"/>
    </row>
    <row r="436" spans="1:61" x14ac:dyDescent="0.25">
      <c r="A436" s="62" t="s">
        <v>409</v>
      </c>
      <c r="B436" s="62" t="s">
        <v>409</v>
      </c>
      <c r="C436" s="63"/>
      <c r="D436" s="64"/>
      <c r="E436" s="65"/>
      <c r="F436" s="66"/>
      <c r="G436" s="63"/>
      <c r="H436" s="67"/>
      <c r="I436" s="68"/>
      <c r="J436" s="68"/>
      <c r="K436" s="32"/>
      <c r="L436" s="75">
        <v>436</v>
      </c>
      <c r="M436" s="75"/>
      <c r="N436" s="70"/>
      <c r="O436" s="77" t="s">
        <v>179</v>
      </c>
      <c r="P436" s="79">
        <v>45082.78597222222</v>
      </c>
      <c r="Q436" s="77" t="s">
        <v>2457</v>
      </c>
      <c r="R436" s="77">
        <v>0</v>
      </c>
      <c r="S436" s="77">
        <v>0</v>
      </c>
      <c r="T436" s="77">
        <v>0</v>
      </c>
      <c r="U436" s="77">
        <v>0</v>
      </c>
      <c r="V436" s="77">
        <v>28</v>
      </c>
      <c r="W436" s="80" t="s">
        <v>6210</v>
      </c>
      <c r="X436" s="83" t="str">
        <f>HYPERLINK("https://sumundodigital.com/banco-central-de-rd-informa-que-la-inflacion-se-redujo-a-4-43/")</f>
        <v>https://sumundodigital.com/banco-central-de-rd-informa-que-la-inflacion-se-redujo-a-4-43/</v>
      </c>
      <c r="Y436" s="77" t="s">
        <v>8661</v>
      </c>
      <c r="Z436" s="77"/>
      <c r="AA436" s="77" t="s">
        <v>9162</v>
      </c>
      <c r="AB436" s="77" t="s">
        <v>10535</v>
      </c>
      <c r="AC436" s="80" t="s">
        <v>10541</v>
      </c>
      <c r="AD436" s="77" t="s">
        <v>10620</v>
      </c>
      <c r="AE436" s="83" t="str">
        <f>HYPERLINK("https://twitter.com/sumundotv/status/1665793558710829057")</f>
        <v>https://twitter.com/sumundotv/status/1665793558710829057</v>
      </c>
      <c r="AF436" s="79">
        <v>45082.78597222222</v>
      </c>
      <c r="AG436" s="85">
        <v>45082</v>
      </c>
      <c r="AH436" s="80" t="s">
        <v>11018</v>
      </c>
      <c r="AI436" s="77" t="b">
        <v>0</v>
      </c>
      <c r="AJ436" s="77"/>
      <c r="AK436" s="77"/>
      <c r="AL436" s="77"/>
      <c r="AM436" s="77"/>
      <c r="AN436" s="77"/>
      <c r="AO436" s="77"/>
      <c r="AP436" s="77"/>
      <c r="AQ436" s="77" t="s">
        <v>14644</v>
      </c>
      <c r="AR436" s="77"/>
      <c r="AS436" s="77"/>
      <c r="AT436" s="77"/>
      <c r="AU436" s="77"/>
      <c r="AV436" s="83" t="str">
        <f>HYPERLINK("https://pbs.twimg.com/media/Fx4WShIWYAUKym-.jpg")</f>
        <v>https://pbs.twimg.com/media/Fx4WShIWYAUKym-.jpg</v>
      </c>
      <c r="AW436" s="80" t="s">
        <v>16404</v>
      </c>
      <c r="AX436" s="80" t="s">
        <v>16404</v>
      </c>
      <c r="AY436" s="77"/>
      <c r="AZ436" s="80" t="s">
        <v>20380</v>
      </c>
      <c r="BA436" s="80" t="s">
        <v>20380</v>
      </c>
      <c r="BB436" s="80" t="s">
        <v>20380</v>
      </c>
      <c r="BC436" s="80" t="s">
        <v>16404</v>
      </c>
      <c r="BD436" s="77">
        <v>575591153</v>
      </c>
      <c r="BE436" s="77"/>
      <c r="BF436" s="77"/>
      <c r="BG436" s="77"/>
      <c r="BH436" s="77"/>
      <c r="BI436" s="77"/>
    </row>
    <row r="437" spans="1:61" x14ac:dyDescent="0.25">
      <c r="A437" s="62" t="s">
        <v>409</v>
      </c>
      <c r="B437" s="62" t="s">
        <v>409</v>
      </c>
      <c r="C437" s="63"/>
      <c r="D437" s="64"/>
      <c r="E437" s="65"/>
      <c r="F437" s="66"/>
      <c r="G437" s="63"/>
      <c r="H437" s="67"/>
      <c r="I437" s="68"/>
      <c r="J437" s="68"/>
      <c r="K437" s="32"/>
      <c r="L437" s="75">
        <v>437</v>
      </c>
      <c r="M437" s="75"/>
      <c r="N437" s="70"/>
      <c r="O437" s="77" t="s">
        <v>179</v>
      </c>
      <c r="P437" s="79">
        <v>45111.867777777778</v>
      </c>
      <c r="Q437" s="77" t="s">
        <v>2458</v>
      </c>
      <c r="R437" s="77">
        <v>0</v>
      </c>
      <c r="S437" s="77">
        <v>0</v>
      </c>
      <c r="T437" s="77">
        <v>0</v>
      </c>
      <c r="U437" s="77">
        <v>0</v>
      </c>
      <c r="V437" s="77">
        <v>26</v>
      </c>
      <c r="W437" s="80" t="s">
        <v>6211</v>
      </c>
      <c r="X437" s="77"/>
      <c r="Y437" s="77"/>
      <c r="Z437" s="77"/>
      <c r="AA437" s="77" t="s">
        <v>9163</v>
      </c>
      <c r="AB437" s="77" t="s">
        <v>10534</v>
      </c>
      <c r="AC437" s="80" t="s">
        <v>10541</v>
      </c>
      <c r="AD437" s="77" t="s">
        <v>10620</v>
      </c>
      <c r="AE437" s="83" t="str">
        <f>HYPERLINK("https://twitter.com/sumundotv/status/1676332456138403840")</f>
        <v>https://twitter.com/sumundotv/status/1676332456138403840</v>
      </c>
      <c r="AF437" s="79">
        <v>45111.867777777778</v>
      </c>
      <c r="AG437" s="85">
        <v>45111</v>
      </c>
      <c r="AH437" s="80" t="s">
        <v>11019</v>
      </c>
      <c r="AI437" s="77" t="b">
        <v>0</v>
      </c>
      <c r="AJ437" s="77"/>
      <c r="AK437" s="77"/>
      <c r="AL437" s="77"/>
      <c r="AM437" s="77"/>
      <c r="AN437" s="77"/>
      <c r="AO437" s="77"/>
      <c r="AP437" s="77"/>
      <c r="AQ437" s="77" t="s">
        <v>14645</v>
      </c>
      <c r="AR437" s="77">
        <v>105536</v>
      </c>
      <c r="AS437" s="77"/>
      <c r="AT437" s="77"/>
      <c r="AU437" s="77"/>
      <c r="AV437" s="83" t="str">
        <f>HYPERLINK("https://pbs.twimg.com/ext_tw_video_thumb/1676332340677681152/pu/img/1OcmFQ9-tbV6wJuy.jpg")</f>
        <v>https://pbs.twimg.com/ext_tw_video_thumb/1676332340677681152/pu/img/1OcmFQ9-tbV6wJuy.jpg</v>
      </c>
      <c r="AW437" s="80" t="s">
        <v>16405</v>
      </c>
      <c r="AX437" s="80" t="s">
        <v>16405</v>
      </c>
      <c r="AY437" s="77"/>
      <c r="AZ437" s="80" t="s">
        <v>20380</v>
      </c>
      <c r="BA437" s="80" t="s">
        <v>20380</v>
      </c>
      <c r="BB437" s="80" t="s">
        <v>20380</v>
      </c>
      <c r="BC437" s="80" t="s">
        <v>16405</v>
      </c>
      <c r="BD437" s="77">
        <v>575591153</v>
      </c>
      <c r="BE437" s="77"/>
      <c r="BF437" s="77"/>
      <c r="BG437" s="77"/>
      <c r="BH437" s="77"/>
      <c r="BI437" s="77"/>
    </row>
    <row r="438" spans="1:61" x14ac:dyDescent="0.25">
      <c r="A438" s="62" t="s">
        <v>409</v>
      </c>
      <c r="B438" s="62" t="s">
        <v>1716</v>
      </c>
      <c r="C438" s="63"/>
      <c r="D438" s="64"/>
      <c r="E438" s="65"/>
      <c r="F438" s="66"/>
      <c r="G438" s="63"/>
      <c r="H438" s="67"/>
      <c r="I438" s="68"/>
      <c r="J438" s="68"/>
      <c r="K438" s="32"/>
      <c r="L438" s="75">
        <v>438</v>
      </c>
      <c r="M438" s="75"/>
      <c r="N438" s="70"/>
      <c r="O438" s="77" t="s">
        <v>2081</v>
      </c>
      <c r="P438" s="79">
        <v>45175.652465277781</v>
      </c>
      <c r="Q438" s="77" t="s">
        <v>2459</v>
      </c>
      <c r="R438" s="77">
        <v>0</v>
      </c>
      <c r="S438" s="77">
        <v>0</v>
      </c>
      <c r="T438" s="77">
        <v>0</v>
      </c>
      <c r="U438" s="77">
        <v>0</v>
      </c>
      <c r="V438" s="77">
        <v>8</v>
      </c>
      <c r="W438" s="80" t="s">
        <v>6212</v>
      </c>
      <c r="X438" s="83" t="str">
        <f>HYPERLINK("https://sumundodigital.com/banco-central-quedan-disponibles-rd22671-millones-para-prestamos/")</f>
        <v>https://sumundodigital.com/banco-central-quedan-disponibles-rd22671-millones-para-prestamos/</v>
      </c>
      <c r="Y438" s="77" t="s">
        <v>8661</v>
      </c>
      <c r="Z438" s="77" t="s">
        <v>1716</v>
      </c>
      <c r="AA438" s="77"/>
      <c r="AB438" s="77"/>
      <c r="AC438" s="80" t="s">
        <v>10541</v>
      </c>
      <c r="AD438" s="77" t="s">
        <v>10620</v>
      </c>
      <c r="AE438" s="83" t="str">
        <f>HYPERLINK("https://twitter.com/sumundotv/status/1699447251800592693")</f>
        <v>https://twitter.com/sumundotv/status/1699447251800592693</v>
      </c>
      <c r="AF438" s="79">
        <v>45175.652465277781</v>
      </c>
      <c r="AG438" s="85">
        <v>45175</v>
      </c>
      <c r="AH438" s="80" t="s">
        <v>11020</v>
      </c>
      <c r="AI438" s="77" t="b">
        <v>0</v>
      </c>
      <c r="AJ438" s="77"/>
      <c r="AK438" s="77"/>
      <c r="AL438" s="77"/>
      <c r="AM438" s="77"/>
      <c r="AN438" s="77"/>
      <c r="AO438" s="77"/>
      <c r="AP438" s="77"/>
      <c r="AQ438" s="77"/>
      <c r="AR438" s="77"/>
      <c r="AS438" s="77"/>
      <c r="AT438" s="77"/>
      <c r="AU438" s="77"/>
      <c r="AV438" s="83" t="str">
        <f>HYPERLINK("https://pbs.twimg.com/profile_images/1612623753145421826/MG1Y1O32_normal.jpg")</f>
        <v>https://pbs.twimg.com/profile_images/1612623753145421826/MG1Y1O32_normal.jpg</v>
      </c>
      <c r="AW438" s="80" t="s">
        <v>16406</v>
      </c>
      <c r="AX438" s="80" t="s">
        <v>16406</v>
      </c>
      <c r="AY438" s="77"/>
      <c r="AZ438" s="80" t="s">
        <v>20380</v>
      </c>
      <c r="BA438" s="80" t="s">
        <v>20380</v>
      </c>
      <c r="BB438" s="80" t="s">
        <v>20380</v>
      </c>
      <c r="BC438" s="80" t="s">
        <v>16406</v>
      </c>
      <c r="BD438" s="77">
        <v>575591153</v>
      </c>
      <c r="BE438" s="77"/>
      <c r="BF438" s="77"/>
      <c r="BG438" s="77"/>
      <c r="BH438" s="77"/>
      <c r="BI438" s="77"/>
    </row>
    <row r="439" spans="1:61" x14ac:dyDescent="0.25">
      <c r="A439" s="62" t="s">
        <v>410</v>
      </c>
      <c r="B439" s="62" t="s">
        <v>410</v>
      </c>
      <c r="C439" s="63"/>
      <c r="D439" s="64"/>
      <c r="E439" s="65"/>
      <c r="F439" s="66"/>
      <c r="G439" s="63"/>
      <c r="H439" s="67"/>
      <c r="I439" s="68"/>
      <c r="J439" s="68"/>
      <c r="K439" s="32"/>
      <c r="L439" s="75">
        <v>439</v>
      </c>
      <c r="M439" s="75"/>
      <c r="N439" s="70"/>
      <c r="O439" s="77" t="s">
        <v>179</v>
      </c>
      <c r="P439" s="79">
        <v>45098.771701388891</v>
      </c>
      <c r="Q439" s="77" t="s">
        <v>2460</v>
      </c>
      <c r="R439" s="77">
        <v>0</v>
      </c>
      <c r="S439" s="77">
        <v>1</v>
      </c>
      <c r="T439" s="77">
        <v>0</v>
      </c>
      <c r="U439" s="77">
        <v>0</v>
      </c>
      <c r="V439" s="77">
        <v>547</v>
      </c>
      <c r="W439" s="80" t="s">
        <v>6213</v>
      </c>
      <c r="X439" s="83" t="str">
        <f>HYPERLINK("https://tugacetaoficial.com/gaceta-oficial-venezuela-42648-12-06-2023/")</f>
        <v>https://tugacetaoficial.com/gaceta-oficial-venezuela-42648-12-06-2023/</v>
      </c>
      <c r="Y439" s="77" t="s">
        <v>8662</v>
      </c>
      <c r="Z439" s="77"/>
      <c r="AA439" s="77"/>
      <c r="AB439" s="77"/>
      <c r="AC439" s="80" t="s">
        <v>10560</v>
      </c>
      <c r="AD439" s="77" t="s">
        <v>10620</v>
      </c>
      <c r="AE439" s="83" t="str">
        <f>HYPERLINK("https://twitter.com/gacetaoficial/status/1671586595399507982")</f>
        <v>https://twitter.com/gacetaoficial/status/1671586595399507982</v>
      </c>
      <c r="AF439" s="79">
        <v>45098.771701388891</v>
      </c>
      <c r="AG439" s="85">
        <v>45098</v>
      </c>
      <c r="AH439" s="80" t="s">
        <v>11021</v>
      </c>
      <c r="AI439" s="77" t="b">
        <v>0</v>
      </c>
      <c r="AJ439" s="77"/>
      <c r="AK439" s="77"/>
      <c r="AL439" s="77"/>
      <c r="AM439" s="77"/>
      <c r="AN439" s="77"/>
      <c r="AO439" s="77"/>
      <c r="AP439" s="77"/>
      <c r="AQ439" s="77"/>
      <c r="AR439" s="77"/>
      <c r="AS439" s="77"/>
      <c r="AT439" s="77"/>
      <c r="AU439" s="77"/>
      <c r="AV439" s="83" t="str">
        <f>HYPERLINK("https://pbs.twimg.com/profile_images/925544036445966336/1xbhGczB_normal.jpg")</f>
        <v>https://pbs.twimg.com/profile_images/925544036445966336/1xbhGczB_normal.jpg</v>
      </c>
      <c r="AW439" s="80" t="s">
        <v>16407</v>
      </c>
      <c r="AX439" s="80" t="s">
        <v>16407</v>
      </c>
      <c r="AY439" s="77"/>
      <c r="AZ439" s="80" t="s">
        <v>20380</v>
      </c>
      <c r="BA439" s="80" t="s">
        <v>20380</v>
      </c>
      <c r="BB439" s="80" t="s">
        <v>20380</v>
      </c>
      <c r="BC439" s="80" t="s">
        <v>16407</v>
      </c>
      <c r="BD439" s="77">
        <v>183887762</v>
      </c>
      <c r="BE439" s="77"/>
      <c r="BF439" s="77"/>
      <c r="BG439" s="77"/>
      <c r="BH439" s="77"/>
      <c r="BI439" s="77"/>
    </row>
    <row r="440" spans="1:61" x14ac:dyDescent="0.25">
      <c r="A440" s="62" t="s">
        <v>410</v>
      </c>
      <c r="B440" s="62" t="s">
        <v>410</v>
      </c>
      <c r="C440" s="63"/>
      <c r="D440" s="64"/>
      <c r="E440" s="65"/>
      <c r="F440" s="66"/>
      <c r="G440" s="63"/>
      <c r="H440" s="67"/>
      <c r="I440" s="68"/>
      <c r="J440" s="68"/>
      <c r="K440" s="32"/>
      <c r="L440" s="75">
        <v>440</v>
      </c>
      <c r="M440" s="75"/>
      <c r="N440" s="70"/>
      <c r="O440" s="77" t="s">
        <v>179</v>
      </c>
      <c r="P440" s="79">
        <v>45077.785428240742</v>
      </c>
      <c r="Q440" s="77" t="s">
        <v>2461</v>
      </c>
      <c r="R440" s="77">
        <v>0</v>
      </c>
      <c r="S440" s="77">
        <v>1</v>
      </c>
      <c r="T440" s="77">
        <v>0</v>
      </c>
      <c r="U440" s="77">
        <v>0</v>
      </c>
      <c r="V440" s="77">
        <v>305</v>
      </c>
      <c r="W440" s="80" t="s">
        <v>6214</v>
      </c>
      <c r="X440" s="83" t="str">
        <f>HYPERLINK("https://tugacetaoficial.com/gaceta-oficial-venezuela-42634-23-05-2023/")</f>
        <v>https://tugacetaoficial.com/gaceta-oficial-venezuela-42634-23-05-2023/</v>
      </c>
      <c r="Y440" s="77" t="s">
        <v>8662</v>
      </c>
      <c r="Z440" s="77"/>
      <c r="AA440" s="77"/>
      <c r="AB440" s="77"/>
      <c r="AC440" s="80" t="s">
        <v>10560</v>
      </c>
      <c r="AD440" s="77" t="s">
        <v>10620</v>
      </c>
      <c r="AE440" s="83" t="str">
        <f>HYPERLINK("https://twitter.com/gacetaoficial/status/1663981423848570880")</f>
        <v>https://twitter.com/gacetaoficial/status/1663981423848570880</v>
      </c>
      <c r="AF440" s="79">
        <v>45077.785428240742</v>
      </c>
      <c r="AG440" s="85">
        <v>45077</v>
      </c>
      <c r="AH440" s="80" t="s">
        <v>11022</v>
      </c>
      <c r="AI440" s="77" t="b">
        <v>0</v>
      </c>
      <c r="AJ440" s="77"/>
      <c r="AK440" s="77"/>
      <c r="AL440" s="77"/>
      <c r="AM440" s="77"/>
      <c r="AN440" s="77"/>
      <c r="AO440" s="77"/>
      <c r="AP440" s="77"/>
      <c r="AQ440" s="77"/>
      <c r="AR440" s="77"/>
      <c r="AS440" s="77"/>
      <c r="AT440" s="77"/>
      <c r="AU440" s="77"/>
      <c r="AV440" s="83" t="str">
        <f>HYPERLINK("https://pbs.twimg.com/profile_images/925544036445966336/1xbhGczB_normal.jpg")</f>
        <v>https://pbs.twimg.com/profile_images/925544036445966336/1xbhGczB_normal.jpg</v>
      </c>
      <c r="AW440" s="80" t="s">
        <v>16408</v>
      </c>
      <c r="AX440" s="80" t="s">
        <v>16408</v>
      </c>
      <c r="AY440" s="77"/>
      <c r="AZ440" s="80" t="s">
        <v>20380</v>
      </c>
      <c r="BA440" s="80" t="s">
        <v>20380</v>
      </c>
      <c r="BB440" s="80" t="s">
        <v>20380</v>
      </c>
      <c r="BC440" s="80" t="s">
        <v>16408</v>
      </c>
      <c r="BD440" s="77">
        <v>183887762</v>
      </c>
      <c r="BE440" s="77"/>
      <c r="BF440" s="77"/>
      <c r="BG440" s="77"/>
      <c r="BH440" s="77"/>
      <c r="BI440" s="77"/>
    </row>
    <row r="441" spans="1:61" x14ac:dyDescent="0.25">
      <c r="A441" s="62" t="s">
        <v>410</v>
      </c>
      <c r="B441" s="62" t="s">
        <v>410</v>
      </c>
      <c r="C441" s="63"/>
      <c r="D441" s="64"/>
      <c r="E441" s="65"/>
      <c r="F441" s="66"/>
      <c r="G441" s="63"/>
      <c r="H441" s="67"/>
      <c r="I441" s="68"/>
      <c r="J441" s="68"/>
      <c r="K441" s="32"/>
      <c r="L441" s="75">
        <v>441</v>
      </c>
      <c r="M441" s="75"/>
      <c r="N441" s="70"/>
      <c r="O441" s="77" t="s">
        <v>179</v>
      </c>
      <c r="P441" s="79">
        <v>45127.527974537035</v>
      </c>
      <c r="Q441" s="77" t="s">
        <v>2462</v>
      </c>
      <c r="R441" s="77">
        <v>0</v>
      </c>
      <c r="S441" s="77">
        <v>0</v>
      </c>
      <c r="T441" s="77">
        <v>0</v>
      </c>
      <c r="U441" s="77">
        <v>0</v>
      </c>
      <c r="V441" s="77">
        <v>331</v>
      </c>
      <c r="W441" s="80" t="s">
        <v>6215</v>
      </c>
      <c r="X441" s="83" t="str">
        <f>HYPERLINK("https://tugacetaoficial.com/gaceta-oficial-venezuela-42669-12-07-2023/")</f>
        <v>https://tugacetaoficial.com/gaceta-oficial-venezuela-42669-12-07-2023/</v>
      </c>
      <c r="Y441" s="77" t="s">
        <v>8662</v>
      </c>
      <c r="Z441" s="77"/>
      <c r="AA441" s="77"/>
      <c r="AB441" s="77"/>
      <c r="AC441" s="80" t="s">
        <v>10560</v>
      </c>
      <c r="AD441" s="77" t="s">
        <v>10620</v>
      </c>
      <c r="AE441" s="83" t="str">
        <f>HYPERLINK("https://twitter.com/gacetaoficial/status/1682007520531959808")</f>
        <v>https://twitter.com/gacetaoficial/status/1682007520531959808</v>
      </c>
      <c r="AF441" s="79">
        <v>45127.527974537035</v>
      </c>
      <c r="AG441" s="85">
        <v>45127</v>
      </c>
      <c r="AH441" s="80" t="s">
        <v>11023</v>
      </c>
      <c r="AI441" s="77" t="b">
        <v>0</v>
      </c>
      <c r="AJ441" s="77"/>
      <c r="AK441" s="77"/>
      <c r="AL441" s="77"/>
      <c r="AM441" s="77"/>
      <c r="AN441" s="77"/>
      <c r="AO441" s="77"/>
      <c r="AP441" s="77"/>
      <c r="AQ441" s="77"/>
      <c r="AR441" s="77"/>
      <c r="AS441" s="77"/>
      <c r="AT441" s="77"/>
      <c r="AU441" s="77"/>
      <c r="AV441" s="83" t="str">
        <f>HYPERLINK("https://pbs.twimg.com/profile_images/925544036445966336/1xbhGczB_normal.jpg")</f>
        <v>https://pbs.twimg.com/profile_images/925544036445966336/1xbhGczB_normal.jpg</v>
      </c>
      <c r="AW441" s="80" t="s">
        <v>16409</v>
      </c>
      <c r="AX441" s="80" t="s">
        <v>16409</v>
      </c>
      <c r="AY441" s="77"/>
      <c r="AZ441" s="80" t="s">
        <v>20380</v>
      </c>
      <c r="BA441" s="80" t="s">
        <v>20380</v>
      </c>
      <c r="BB441" s="80" t="s">
        <v>20380</v>
      </c>
      <c r="BC441" s="80" t="s">
        <v>16409</v>
      </c>
      <c r="BD441" s="77">
        <v>183887762</v>
      </c>
      <c r="BE441" s="77"/>
      <c r="BF441" s="77"/>
      <c r="BG441" s="77"/>
      <c r="BH441" s="77"/>
      <c r="BI441" s="77"/>
    </row>
    <row r="442" spans="1:61" x14ac:dyDescent="0.25">
      <c r="A442" s="62" t="s">
        <v>411</v>
      </c>
      <c r="B442" s="62" t="s">
        <v>411</v>
      </c>
      <c r="C442" s="63"/>
      <c r="D442" s="64"/>
      <c r="E442" s="65"/>
      <c r="F442" s="66"/>
      <c r="G442" s="63"/>
      <c r="H442" s="67"/>
      <c r="I442" s="68"/>
      <c r="J442" s="68"/>
      <c r="K442" s="32"/>
      <c r="L442" s="75">
        <v>442</v>
      </c>
      <c r="M442" s="75"/>
      <c r="N442" s="70"/>
      <c r="O442" s="77" t="s">
        <v>179</v>
      </c>
      <c r="P442" s="79">
        <v>45100.132048611114</v>
      </c>
      <c r="Q442" s="77" t="s">
        <v>2463</v>
      </c>
      <c r="R442" s="77">
        <v>0</v>
      </c>
      <c r="S442" s="77">
        <v>0</v>
      </c>
      <c r="T442" s="77">
        <v>0</v>
      </c>
      <c r="U442" s="77">
        <v>0</v>
      </c>
      <c r="V442" s="77">
        <v>12</v>
      </c>
      <c r="W442" s="80" t="s">
        <v>6216</v>
      </c>
      <c r="X442" s="77"/>
      <c r="Y442" s="77"/>
      <c r="Z442" s="77"/>
      <c r="AA442" s="77" t="s">
        <v>9164</v>
      </c>
      <c r="AB442" s="77" t="s">
        <v>10535</v>
      </c>
      <c r="AC442" s="80" t="s">
        <v>10540</v>
      </c>
      <c r="AD442" s="77" t="s">
        <v>10619</v>
      </c>
      <c r="AE442" s="83" t="str">
        <f>HYPERLINK("https://twitter.com/cinema_brasil/status/1672079566494478337")</f>
        <v>https://twitter.com/cinema_brasil/status/1672079566494478337</v>
      </c>
      <c r="AF442" s="79">
        <v>45100.132048611114</v>
      </c>
      <c r="AG442" s="85">
        <v>45100</v>
      </c>
      <c r="AH442" s="80" t="s">
        <v>11024</v>
      </c>
      <c r="AI442" s="77" t="b">
        <v>0</v>
      </c>
      <c r="AJ442" s="77"/>
      <c r="AK442" s="77"/>
      <c r="AL442" s="77"/>
      <c r="AM442" s="77"/>
      <c r="AN442" s="77"/>
      <c r="AO442" s="77"/>
      <c r="AP442" s="77"/>
      <c r="AQ442" s="77" t="s">
        <v>14646</v>
      </c>
      <c r="AR442" s="77"/>
      <c r="AS442" s="77"/>
      <c r="AT442" s="77"/>
      <c r="AU442" s="77"/>
      <c r="AV442" s="83" t="str">
        <f>HYPERLINK("https://pbs.twimg.com/media/FzRrgUuWIAEVKxd.jpg")</f>
        <v>https://pbs.twimg.com/media/FzRrgUuWIAEVKxd.jpg</v>
      </c>
      <c r="AW442" s="80" t="s">
        <v>16410</v>
      </c>
      <c r="AX442" s="80" t="s">
        <v>16410</v>
      </c>
      <c r="AY442" s="77"/>
      <c r="AZ442" s="80" t="s">
        <v>20380</v>
      </c>
      <c r="BA442" s="80" t="s">
        <v>20380</v>
      </c>
      <c r="BB442" s="80" t="s">
        <v>20380</v>
      </c>
      <c r="BC442" s="80" t="s">
        <v>16410</v>
      </c>
      <c r="BD442" s="77">
        <v>103020442</v>
      </c>
      <c r="BE442" s="77"/>
      <c r="BF442" s="77"/>
      <c r="BG442" s="77"/>
      <c r="BH442" s="77"/>
      <c r="BI442" s="77"/>
    </row>
    <row r="443" spans="1:61" x14ac:dyDescent="0.25">
      <c r="A443" s="62" t="s">
        <v>412</v>
      </c>
      <c r="B443" s="62" t="s">
        <v>1669</v>
      </c>
      <c r="C443" s="63"/>
      <c r="D443" s="64"/>
      <c r="E443" s="65"/>
      <c r="F443" s="66"/>
      <c r="G443" s="63"/>
      <c r="H443" s="67"/>
      <c r="I443" s="68"/>
      <c r="J443" s="68"/>
      <c r="K443" s="32"/>
      <c r="L443" s="75">
        <v>443</v>
      </c>
      <c r="M443" s="75"/>
      <c r="N443" s="70"/>
      <c r="O443" s="77" t="s">
        <v>2081</v>
      </c>
      <c r="P443" s="79">
        <v>45142.684745370374</v>
      </c>
      <c r="Q443" s="77" t="s">
        <v>2464</v>
      </c>
      <c r="R443" s="77">
        <v>0</v>
      </c>
      <c r="S443" s="77">
        <v>0</v>
      </c>
      <c r="T443" s="77">
        <v>0</v>
      </c>
      <c r="U443" s="77">
        <v>0</v>
      </c>
      <c r="V443" s="77">
        <v>34</v>
      </c>
      <c r="W443" s="80" t="s">
        <v>6217</v>
      </c>
      <c r="X443" s="77"/>
      <c r="Y443" s="77"/>
      <c r="Z443" s="77" t="s">
        <v>1669</v>
      </c>
      <c r="AA443" s="77" t="s">
        <v>9165</v>
      </c>
      <c r="AB443" s="77" t="s">
        <v>10535</v>
      </c>
      <c r="AC443" s="80" t="s">
        <v>10541</v>
      </c>
      <c r="AD443" s="77" t="s">
        <v>10620</v>
      </c>
      <c r="AE443" s="83" t="str">
        <f>HYPERLINK("https://twitter.com/worldsysregtech/status/1687500151265402891")</f>
        <v>https://twitter.com/worldsysregtech/status/1687500151265402891</v>
      </c>
      <c r="AF443" s="79">
        <v>45142.684745370374</v>
      </c>
      <c r="AG443" s="85">
        <v>45142</v>
      </c>
      <c r="AH443" s="80" t="s">
        <v>11025</v>
      </c>
      <c r="AI443" s="77" t="b">
        <v>0</v>
      </c>
      <c r="AJ443" s="77"/>
      <c r="AK443" s="77"/>
      <c r="AL443" s="77"/>
      <c r="AM443" s="77"/>
      <c r="AN443" s="77"/>
      <c r="AO443" s="77"/>
      <c r="AP443" s="77"/>
      <c r="AQ443" s="77" t="s">
        <v>14647</v>
      </c>
      <c r="AR443" s="77"/>
      <c r="AS443" s="77"/>
      <c r="AT443" s="77"/>
      <c r="AU443" s="77"/>
      <c r="AV443" s="83" t="str">
        <f>HYPERLINK("https://pbs.twimg.com/media/F2sz4vXXEAAsvXL.jpg")</f>
        <v>https://pbs.twimg.com/media/F2sz4vXXEAAsvXL.jpg</v>
      </c>
      <c r="AW443" s="80" t="s">
        <v>16411</v>
      </c>
      <c r="AX443" s="80" t="s">
        <v>16411</v>
      </c>
      <c r="AY443" s="77"/>
      <c r="AZ443" s="80" t="s">
        <v>20380</v>
      </c>
      <c r="BA443" s="80" t="s">
        <v>20380</v>
      </c>
      <c r="BB443" s="80" t="s">
        <v>20380</v>
      </c>
      <c r="BC443" s="80" t="s">
        <v>16411</v>
      </c>
      <c r="BD443" s="77">
        <v>1467912842</v>
      </c>
      <c r="BE443" s="77"/>
      <c r="BF443" s="77"/>
      <c r="BG443" s="77"/>
      <c r="BH443" s="77"/>
      <c r="BI443" s="77"/>
    </row>
    <row r="444" spans="1:61" x14ac:dyDescent="0.25">
      <c r="A444" s="62" t="s">
        <v>413</v>
      </c>
      <c r="B444" s="62" t="s">
        <v>413</v>
      </c>
      <c r="C444" s="63"/>
      <c r="D444" s="64"/>
      <c r="E444" s="65"/>
      <c r="F444" s="66"/>
      <c r="G444" s="63"/>
      <c r="H444" s="67"/>
      <c r="I444" s="68"/>
      <c r="J444" s="68"/>
      <c r="K444" s="32"/>
      <c r="L444" s="75">
        <v>444</v>
      </c>
      <c r="M444" s="75"/>
      <c r="N444" s="70"/>
      <c r="O444" s="77" t="s">
        <v>179</v>
      </c>
      <c r="P444" s="79">
        <v>45058.835555555554</v>
      </c>
      <c r="Q444" s="77" t="s">
        <v>2465</v>
      </c>
      <c r="R444" s="77">
        <v>0</v>
      </c>
      <c r="S444" s="77">
        <v>0</v>
      </c>
      <c r="T444" s="77">
        <v>0</v>
      </c>
      <c r="U444" s="77">
        <v>0</v>
      </c>
      <c r="V444" s="77">
        <v>219</v>
      </c>
      <c r="W444" s="80" t="s">
        <v>6218</v>
      </c>
      <c r="X444" s="83" t="str">
        <f>HYPERLINK("https://www.resumido.info/2023-05-12/restringen-las-gift-cards-en-el-exterior-49019/")</f>
        <v>https://www.resumido.info/2023-05-12/restringen-las-gift-cards-en-el-exterior-49019/</v>
      </c>
      <c r="Y444" s="77" t="s">
        <v>8663</v>
      </c>
      <c r="Z444" s="77"/>
      <c r="AA444" s="77"/>
      <c r="AB444" s="77"/>
      <c r="AC444" s="80" t="s">
        <v>10541</v>
      </c>
      <c r="AD444" s="77" t="s">
        <v>10622</v>
      </c>
      <c r="AE444" s="83" t="str">
        <f>HYPERLINK("https://twitter.com/resumidoinfo/status/1657114220939431940")</f>
        <v>https://twitter.com/resumidoinfo/status/1657114220939431940</v>
      </c>
      <c r="AF444" s="79">
        <v>45058.835555555554</v>
      </c>
      <c r="AG444" s="85">
        <v>45058</v>
      </c>
      <c r="AH444" s="80" t="s">
        <v>11026</v>
      </c>
      <c r="AI444" s="77" t="b">
        <v>0</v>
      </c>
      <c r="AJ444" s="77"/>
      <c r="AK444" s="77"/>
      <c r="AL444" s="77"/>
      <c r="AM444" s="77"/>
      <c r="AN444" s="77"/>
      <c r="AO444" s="77"/>
      <c r="AP444" s="77"/>
      <c r="AQ444" s="77"/>
      <c r="AR444" s="77"/>
      <c r="AS444" s="77"/>
      <c r="AT444" s="77"/>
      <c r="AU444" s="77"/>
      <c r="AV444" s="83" t="str">
        <f>HYPERLINK("https://pbs.twimg.com/profile_images/1470159683126132736/IrmSaBqB_normal.jpg")</f>
        <v>https://pbs.twimg.com/profile_images/1470159683126132736/IrmSaBqB_normal.jpg</v>
      </c>
      <c r="AW444" s="80" t="s">
        <v>16412</v>
      </c>
      <c r="AX444" s="80" t="s">
        <v>16412</v>
      </c>
      <c r="AY444" s="77"/>
      <c r="AZ444" s="80" t="s">
        <v>20380</v>
      </c>
      <c r="BA444" s="80" t="s">
        <v>20380</v>
      </c>
      <c r="BB444" s="80" t="s">
        <v>20380</v>
      </c>
      <c r="BC444" s="80" t="s">
        <v>16412</v>
      </c>
      <c r="BD444" s="80" t="s">
        <v>20588</v>
      </c>
      <c r="BE444" s="77"/>
      <c r="BF444" s="77"/>
      <c r="BG444" s="77"/>
      <c r="BH444" s="77"/>
      <c r="BI444" s="77"/>
    </row>
    <row r="445" spans="1:61" x14ac:dyDescent="0.25">
      <c r="A445" s="62" t="s">
        <v>413</v>
      </c>
      <c r="B445" s="62" t="s">
        <v>413</v>
      </c>
      <c r="C445" s="63"/>
      <c r="D445" s="64"/>
      <c r="E445" s="65"/>
      <c r="F445" s="66"/>
      <c r="G445" s="63"/>
      <c r="H445" s="67"/>
      <c r="I445" s="68"/>
      <c r="J445" s="68"/>
      <c r="K445" s="32"/>
      <c r="L445" s="75">
        <v>445</v>
      </c>
      <c r="M445" s="75"/>
      <c r="N445" s="70"/>
      <c r="O445" s="77" t="s">
        <v>179</v>
      </c>
      <c r="P445" s="79">
        <v>45139.529699074075</v>
      </c>
      <c r="Q445" s="77" t="s">
        <v>2466</v>
      </c>
      <c r="R445" s="77">
        <v>1</v>
      </c>
      <c r="S445" s="77">
        <v>0</v>
      </c>
      <c r="T445" s="77">
        <v>0</v>
      </c>
      <c r="U445" s="77">
        <v>0</v>
      </c>
      <c r="V445" s="77">
        <v>172</v>
      </c>
      <c r="W445" s="80" t="s">
        <v>5884</v>
      </c>
      <c r="X445" s="83" t="str">
        <f>HYPERLINK("https://www.resumido.info/2023-08-01/julio-el-dolar-subio-56-en-julio-y-las-reservas-del-banco-central-alcanzaron-su-nivel-mas-bajo-desde-2006-53583/")</f>
        <v>https://www.resumido.info/2023-08-01/julio-el-dolar-subio-56-en-julio-y-las-reservas-del-banco-central-alcanzaron-su-nivel-mas-bajo-desde-2006-53583/</v>
      </c>
      <c r="Y445" s="77" t="s">
        <v>8663</v>
      </c>
      <c r="Z445" s="77"/>
      <c r="AA445" s="77"/>
      <c r="AB445" s="77"/>
      <c r="AC445" s="80" t="s">
        <v>10541</v>
      </c>
      <c r="AD445" s="77" t="s">
        <v>10620</v>
      </c>
      <c r="AE445" s="83" t="str">
        <f>HYPERLINK("https://twitter.com/resumidoinfo/status/1686356800268910592")</f>
        <v>https://twitter.com/resumidoinfo/status/1686356800268910592</v>
      </c>
      <c r="AF445" s="79">
        <v>45139.529699074075</v>
      </c>
      <c r="AG445" s="85">
        <v>45139</v>
      </c>
      <c r="AH445" s="80" t="s">
        <v>11027</v>
      </c>
      <c r="AI445" s="77" t="b">
        <v>0</v>
      </c>
      <c r="AJ445" s="77"/>
      <c r="AK445" s="77"/>
      <c r="AL445" s="77"/>
      <c r="AM445" s="77"/>
      <c r="AN445" s="77"/>
      <c r="AO445" s="77"/>
      <c r="AP445" s="77"/>
      <c r="AQ445" s="77"/>
      <c r="AR445" s="77"/>
      <c r="AS445" s="77"/>
      <c r="AT445" s="77"/>
      <c r="AU445" s="77"/>
      <c r="AV445" s="83" t="str">
        <f>HYPERLINK("https://pbs.twimg.com/profile_images/1470159683126132736/IrmSaBqB_normal.jpg")</f>
        <v>https://pbs.twimg.com/profile_images/1470159683126132736/IrmSaBqB_normal.jpg</v>
      </c>
      <c r="AW445" s="80" t="s">
        <v>16413</v>
      </c>
      <c r="AX445" s="80" t="s">
        <v>16413</v>
      </c>
      <c r="AY445" s="77"/>
      <c r="AZ445" s="80" t="s">
        <v>20380</v>
      </c>
      <c r="BA445" s="80" t="s">
        <v>20380</v>
      </c>
      <c r="BB445" s="80" t="s">
        <v>20380</v>
      </c>
      <c r="BC445" s="80" t="s">
        <v>16413</v>
      </c>
      <c r="BD445" s="80" t="s">
        <v>20588</v>
      </c>
      <c r="BE445" s="77"/>
      <c r="BF445" s="77"/>
      <c r="BG445" s="77"/>
      <c r="BH445" s="77"/>
      <c r="BI445" s="77"/>
    </row>
    <row r="446" spans="1:61" x14ac:dyDescent="0.25">
      <c r="A446" s="62" t="s">
        <v>414</v>
      </c>
      <c r="B446" s="62" t="s">
        <v>414</v>
      </c>
      <c r="C446" s="63"/>
      <c r="D446" s="64"/>
      <c r="E446" s="65"/>
      <c r="F446" s="66"/>
      <c r="G446" s="63"/>
      <c r="H446" s="67"/>
      <c r="I446" s="68"/>
      <c r="J446" s="68"/>
      <c r="K446" s="32"/>
      <c r="L446" s="75">
        <v>446</v>
      </c>
      <c r="M446" s="75"/>
      <c r="N446" s="70"/>
      <c r="O446" s="77" t="s">
        <v>179</v>
      </c>
      <c r="P446" s="79">
        <v>45062.355358796296</v>
      </c>
      <c r="Q446" s="77" t="s">
        <v>2467</v>
      </c>
      <c r="R446" s="77">
        <v>0</v>
      </c>
      <c r="S446" s="77">
        <v>2</v>
      </c>
      <c r="T446" s="77">
        <v>2</v>
      </c>
      <c r="U446" s="77">
        <v>0</v>
      </c>
      <c r="V446" s="77">
        <v>118</v>
      </c>
      <c r="W446" s="80" t="s">
        <v>6219</v>
      </c>
      <c r="X446" s="77"/>
      <c r="Y446" s="77"/>
      <c r="Z446" s="77"/>
      <c r="AA446" s="77" t="s">
        <v>9166</v>
      </c>
      <c r="AB446" s="77" t="s">
        <v>10535</v>
      </c>
      <c r="AC446" s="80" t="s">
        <v>10541</v>
      </c>
      <c r="AD446" s="77" t="s">
        <v>10620</v>
      </c>
      <c r="AE446" s="83" t="str">
        <f>HYPERLINK("https://twitter.com/0x0dendi/status/1658389756273672192")</f>
        <v>https://twitter.com/0x0dendi/status/1658389756273672192</v>
      </c>
      <c r="AF446" s="79">
        <v>45062.355358796296</v>
      </c>
      <c r="AG446" s="85">
        <v>45062</v>
      </c>
      <c r="AH446" s="80" t="s">
        <v>11028</v>
      </c>
      <c r="AI446" s="77" t="b">
        <v>0</v>
      </c>
      <c r="AJ446" s="77"/>
      <c r="AK446" s="77"/>
      <c r="AL446" s="77"/>
      <c r="AM446" s="77"/>
      <c r="AN446" s="77"/>
      <c r="AO446" s="77"/>
      <c r="AP446" s="77"/>
      <c r="AQ446" s="77" t="s">
        <v>14648</v>
      </c>
      <c r="AR446" s="77"/>
      <c r="AS446" s="77"/>
      <c r="AT446" s="77"/>
      <c r="AU446" s="77"/>
      <c r="AV446" s="83" t="str">
        <f>HYPERLINK("https://pbs.twimg.com/media/FwO7lobWcAAbUEP.jpg")</f>
        <v>https://pbs.twimg.com/media/FwO7lobWcAAbUEP.jpg</v>
      </c>
      <c r="AW446" s="80" t="s">
        <v>16414</v>
      </c>
      <c r="AX446" s="80" t="s">
        <v>16414</v>
      </c>
      <c r="AY446" s="77"/>
      <c r="AZ446" s="80" t="s">
        <v>20380</v>
      </c>
      <c r="BA446" s="80" t="s">
        <v>20380</v>
      </c>
      <c r="BB446" s="80" t="s">
        <v>20380</v>
      </c>
      <c r="BC446" s="80" t="s">
        <v>16414</v>
      </c>
      <c r="BD446" s="80" t="s">
        <v>20589</v>
      </c>
      <c r="BE446" s="77"/>
      <c r="BF446" s="77"/>
      <c r="BG446" s="77"/>
      <c r="BH446" s="77"/>
      <c r="BI446" s="77"/>
    </row>
    <row r="447" spans="1:61" x14ac:dyDescent="0.25">
      <c r="A447" s="62" t="s">
        <v>415</v>
      </c>
      <c r="B447" s="62" t="s">
        <v>415</v>
      </c>
      <c r="C447" s="63"/>
      <c r="D447" s="64"/>
      <c r="E447" s="65"/>
      <c r="F447" s="66"/>
      <c r="G447" s="63"/>
      <c r="H447" s="67"/>
      <c r="I447" s="68"/>
      <c r="J447" s="68"/>
      <c r="K447" s="32"/>
      <c r="L447" s="75">
        <v>447</v>
      </c>
      <c r="M447" s="75"/>
      <c r="N447" s="70"/>
      <c r="O447" s="77" t="s">
        <v>179</v>
      </c>
      <c r="P447" s="79">
        <v>45115.570289351854</v>
      </c>
      <c r="Q447" s="77" t="s">
        <v>2468</v>
      </c>
      <c r="R447" s="77">
        <v>0</v>
      </c>
      <c r="S447" s="77">
        <v>0</v>
      </c>
      <c r="T447" s="77">
        <v>0</v>
      </c>
      <c r="U447" s="77">
        <v>0</v>
      </c>
      <c r="V447" s="77">
        <v>69</v>
      </c>
      <c r="W447" s="80" t="s">
        <v>6220</v>
      </c>
      <c r="X447" s="83" t="str">
        <f>HYPERLINK("https://elbonaerense.news/norte/estiman-que-la-suba-de-precios-en-junio-fue-del-73/")</f>
        <v>https://elbonaerense.news/norte/estiman-que-la-suba-de-precios-en-junio-fue-del-73/</v>
      </c>
      <c r="Y447" s="77" t="s">
        <v>8664</v>
      </c>
      <c r="Z447" s="77"/>
      <c r="AA447" s="77" t="s">
        <v>9167</v>
      </c>
      <c r="AB447" s="77" t="s">
        <v>10535</v>
      </c>
      <c r="AC447" s="80" t="s">
        <v>10541</v>
      </c>
      <c r="AD447" s="77" t="s">
        <v>10620</v>
      </c>
      <c r="AE447" s="83" t="str">
        <f>HYPERLINK("https://twitter.com/elbonanews/status/1677674198443884544")</f>
        <v>https://twitter.com/elbonanews/status/1677674198443884544</v>
      </c>
      <c r="AF447" s="79">
        <v>45115.570289351854</v>
      </c>
      <c r="AG447" s="85">
        <v>45115</v>
      </c>
      <c r="AH447" s="80" t="s">
        <v>11029</v>
      </c>
      <c r="AI447" s="77" t="b">
        <v>0</v>
      </c>
      <c r="AJ447" s="77"/>
      <c r="AK447" s="77"/>
      <c r="AL447" s="77"/>
      <c r="AM447" s="77"/>
      <c r="AN447" s="77"/>
      <c r="AO447" s="77"/>
      <c r="AP447" s="77"/>
      <c r="AQ447" s="77" t="s">
        <v>14649</v>
      </c>
      <c r="AR447" s="77"/>
      <c r="AS447" s="77"/>
      <c r="AT447" s="77"/>
      <c r="AU447" s="77"/>
      <c r="AV447" s="83" t="str">
        <f>HYPERLINK("https://pbs.twimg.com/media/F0hLxu8XoAIvVP6.jpg")</f>
        <v>https://pbs.twimg.com/media/F0hLxu8XoAIvVP6.jpg</v>
      </c>
      <c r="AW447" s="80" t="s">
        <v>16415</v>
      </c>
      <c r="AX447" s="80" t="s">
        <v>16415</v>
      </c>
      <c r="AY447" s="77"/>
      <c r="AZ447" s="80" t="s">
        <v>20380</v>
      </c>
      <c r="BA447" s="80" t="s">
        <v>20380</v>
      </c>
      <c r="BB447" s="80" t="s">
        <v>20380</v>
      </c>
      <c r="BC447" s="80" t="s">
        <v>16415</v>
      </c>
      <c r="BD447" s="80" t="s">
        <v>20590</v>
      </c>
      <c r="BE447" s="77"/>
      <c r="BF447" s="77"/>
      <c r="BG447" s="77"/>
      <c r="BH447" s="77"/>
      <c r="BI447" s="77"/>
    </row>
    <row r="448" spans="1:61" x14ac:dyDescent="0.25">
      <c r="A448" s="62" t="s">
        <v>415</v>
      </c>
      <c r="B448" s="62" t="s">
        <v>415</v>
      </c>
      <c r="C448" s="63"/>
      <c r="D448" s="64"/>
      <c r="E448" s="65"/>
      <c r="F448" s="66"/>
      <c r="G448" s="63"/>
      <c r="H448" s="67"/>
      <c r="I448" s="68"/>
      <c r="J448" s="68"/>
      <c r="K448" s="32"/>
      <c r="L448" s="75">
        <v>448</v>
      </c>
      <c r="M448" s="75"/>
      <c r="N448" s="70"/>
      <c r="O448" s="77" t="s">
        <v>179</v>
      </c>
      <c r="P448" s="79">
        <v>45145.926388888889</v>
      </c>
      <c r="Q448" s="77" t="s">
        <v>2469</v>
      </c>
      <c r="R448" s="77">
        <v>0</v>
      </c>
      <c r="S448" s="77">
        <v>1</v>
      </c>
      <c r="T448" s="77">
        <v>0</v>
      </c>
      <c r="U448" s="77">
        <v>0</v>
      </c>
      <c r="V448" s="77">
        <v>99</v>
      </c>
      <c r="W448" s="80" t="s">
        <v>6221</v>
      </c>
      <c r="X448" s="83" t="str">
        <f>HYPERLINK("https://www.elbonaerense.news/2023/08/07/bullrich-redoblo-la-apuesta-y-aseguro-que-las-reservas-del-banco-central-estan-en-menos-cero")</f>
        <v>https://www.elbonaerense.news/2023/08/07/bullrich-redoblo-la-apuesta-y-aseguro-que-las-reservas-del-banco-central-estan-en-menos-cero</v>
      </c>
      <c r="Y448" s="77" t="s">
        <v>8664</v>
      </c>
      <c r="Z448" s="77"/>
      <c r="AA448" s="77" t="s">
        <v>9168</v>
      </c>
      <c r="AB448" s="77" t="s">
        <v>10534</v>
      </c>
      <c r="AC448" s="80" t="s">
        <v>10541</v>
      </c>
      <c r="AD448" s="77" t="s">
        <v>10620</v>
      </c>
      <c r="AE448" s="83" t="str">
        <f>HYPERLINK("https://twitter.com/elbonanews/status/1688674879925530624")</f>
        <v>https://twitter.com/elbonanews/status/1688674879925530624</v>
      </c>
      <c r="AF448" s="79">
        <v>45145.926388888889</v>
      </c>
      <c r="AG448" s="85">
        <v>45145</v>
      </c>
      <c r="AH448" s="80" t="s">
        <v>11030</v>
      </c>
      <c r="AI448" s="77" t="b">
        <v>0</v>
      </c>
      <c r="AJ448" s="77"/>
      <c r="AK448" s="77"/>
      <c r="AL448" s="77"/>
      <c r="AM448" s="77"/>
      <c r="AN448" s="77"/>
      <c r="AO448" s="77"/>
      <c r="AP448" s="77"/>
      <c r="AQ448" s="77" t="s">
        <v>14650</v>
      </c>
      <c r="AR448" s="77">
        <v>62066</v>
      </c>
      <c r="AS448" s="77"/>
      <c r="AT448" s="77"/>
      <c r="AU448" s="77"/>
      <c r="AV448" s="83" t="str">
        <f>HYPERLINK("https://pbs.twimg.com/ext_tw_video_thumb/1688674810400743425/pu/img/BHyydQNNdUT0tsc6.jpg")</f>
        <v>https://pbs.twimg.com/ext_tw_video_thumb/1688674810400743425/pu/img/BHyydQNNdUT0tsc6.jpg</v>
      </c>
      <c r="AW448" s="80" t="s">
        <v>16416</v>
      </c>
      <c r="AX448" s="80" t="s">
        <v>16416</v>
      </c>
      <c r="AY448" s="77"/>
      <c r="AZ448" s="80" t="s">
        <v>20380</v>
      </c>
      <c r="BA448" s="80" t="s">
        <v>20380</v>
      </c>
      <c r="BB448" s="80" t="s">
        <v>20380</v>
      </c>
      <c r="BC448" s="80" t="s">
        <v>16416</v>
      </c>
      <c r="BD448" s="80" t="s">
        <v>20590</v>
      </c>
      <c r="BE448" s="77"/>
      <c r="BF448" s="77"/>
      <c r="BG448" s="77"/>
      <c r="BH448" s="77"/>
      <c r="BI448" s="77"/>
    </row>
    <row r="449" spans="1:61" x14ac:dyDescent="0.25">
      <c r="A449" s="62" t="s">
        <v>415</v>
      </c>
      <c r="B449" s="62" t="s">
        <v>415</v>
      </c>
      <c r="C449" s="63"/>
      <c r="D449" s="64"/>
      <c r="E449" s="65"/>
      <c r="F449" s="66"/>
      <c r="G449" s="63"/>
      <c r="H449" s="67"/>
      <c r="I449" s="68"/>
      <c r="J449" s="68"/>
      <c r="K449" s="32"/>
      <c r="L449" s="75">
        <v>449</v>
      </c>
      <c r="M449" s="75"/>
      <c r="N449" s="70"/>
      <c r="O449" s="77" t="s">
        <v>179</v>
      </c>
      <c r="P449" s="79">
        <v>45154.066481481481</v>
      </c>
      <c r="Q449" s="77" t="s">
        <v>2470</v>
      </c>
      <c r="R449" s="77">
        <v>1</v>
      </c>
      <c r="S449" s="77">
        <v>2</v>
      </c>
      <c r="T449" s="77">
        <v>0</v>
      </c>
      <c r="U449" s="77">
        <v>0</v>
      </c>
      <c r="V449" s="77">
        <v>99</v>
      </c>
      <c r="W449" s="80" t="s">
        <v>6222</v>
      </c>
      <c r="X449" s="83" t="str">
        <f>HYPERLINK("https://www.elbonaerense.news/2023/08/15/consultoras-estimaron-una-suba-de-precios-del-140-7--para-todo-el-ano")</f>
        <v>https://www.elbonaerense.news/2023/08/15/consultoras-estimaron-una-suba-de-precios-del-140-7--para-todo-el-ano</v>
      </c>
      <c r="Y449" s="77" t="s">
        <v>8664</v>
      </c>
      <c r="Z449" s="77"/>
      <c r="AA449" s="77" t="s">
        <v>9169</v>
      </c>
      <c r="AB449" s="77" t="s">
        <v>10535</v>
      </c>
      <c r="AC449" s="80" t="s">
        <v>10541</v>
      </c>
      <c r="AD449" s="77" t="s">
        <v>10620</v>
      </c>
      <c r="AE449" s="83" t="str">
        <f>HYPERLINK("https://twitter.com/elbonanews/status/1691624751624568900")</f>
        <v>https://twitter.com/elbonanews/status/1691624751624568900</v>
      </c>
      <c r="AF449" s="79">
        <v>45154.066481481481</v>
      </c>
      <c r="AG449" s="85">
        <v>45154</v>
      </c>
      <c r="AH449" s="80" t="s">
        <v>11031</v>
      </c>
      <c r="AI449" s="77" t="b">
        <v>0</v>
      </c>
      <c r="AJ449" s="77"/>
      <c r="AK449" s="77"/>
      <c r="AL449" s="77"/>
      <c r="AM449" s="77"/>
      <c r="AN449" s="77"/>
      <c r="AO449" s="77"/>
      <c r="AP449" s="77"/>
      <c r="AQ449" s="77" t="s">
        <v>14651</v>
      </c>
      <c r="AR449" s="77"/>
      <c r="AS449" s="77"/>
      <c r="AT449" s="77"/>
      <c r="AU449" s="77"/>
      <c r="AV449" s="83" t="str">
        <f>HYPERLINK("https://pbs.twimg.com/media/F3nbuQSWAAAQhqQ.jpg")</f>
        <v>https://pbs.twimg.com/media/F3nbuQSWAAAQhqQ.jpg</v>
      </c>
      <c r="AW449" s="80" t="s">
        <v>16417</v>
      </c>
      <c r="AX449" s="80" t="s">
        <v>16417</v>
      </c>
      <c r="AY449" s="77"/>
      <c r="AZ449" s="80" t="s">
        <v>20380</v>
      </c>
      <c r="BA449" s="80" t="s">
        <v>20380</v>
      </c>
      <c r="BB449" s="80" t="s">
        <v>20380</v>
      </c>
      <c r="BC449" s="80" t="s">
        <v>16417</v>
      </c>
      <c r="BD449" s="80" t="s">
        <v>20590</v>
      </c>
      <c r="BE449" s="77"/>
      <c r="BF449" s="77"/>
      <c r="BG449" s="77"/>
      <c r="BH449" s="77"/>
      <c r="BI449" s="77"/>
    </row>
    <row r="450" spans="1:61" x14ac:dyDescent="0.25">
      <c r="A450" s="62" t="s">
        <v>415</v>
      </c>
      <c r="B450" s="62" t="s">
        <v>415</v>
      </c>
      <c r="C450" s="63"/>
      <c r="D450" s="64"/>
      <c r="E450" s="65"/>
      <c r="F450" s="66"/>
      <c r="G450" s="63"/>
      <c r="H450" s="67"/>
      <c r="I450" s="68"/>
      <c r="J450" s="68"/>
      <c r="K450" s="32"/>
      <c r="L450" s="75">
        <v>450</v>
      </c>
      <c r="M450" s="75"/>
      <c r="N450" s="70"/>
      <c r="O450" s="77" t="s">
        <v>179</v>
      </c>
      <c r="P450" s="79">
        <v>45121.965613425928</v>
      </c>
      <c r="Q450" s="77" t="s">
        <v>2471</v>
      </c>
      <c r="R450" s="77">
        <v>0</v>
      </c>
      <c r="S450" s="77">
        <v>0</v>
      </c>
      <c r="T450" s="77">
        <v>0</v>
      </c>
      <c r="U450" s="77">
        <v>0</v>
      </c>
      <c r="V450" s="77">
        <v>52</v>
      </c>
      <c r="W450" s="80" t="s">
        <v>6223</v>
      </c>
      <c r="X450" s="83" t="str">
        <f>HYPERLINK("https://elbonaerense.news/norte/comenzo-a-circular-el-nuevo-billete-de-1-000-con-la-cara-de-san-martin/")</f>
        <v>https://elbonaerense.news/norte/comenzo-a-circular-el-nuevo-billete-de-1-000-con-la-cara-de-san-martin/</v>
      </c>
      <c r="Y450" s="77" t="s">
        <v>8664</v>
      </c>
      <c r="Z450" s="77"/>
      <c r="AA450" s="77" t="s">
        <v>9170</v>
      </c>
      <c r="AB450" s="77" t="s">
        <v>10535</v>
      </c>
      <c r="AC450" s="80" t="s">
        <v>10541</v>
      </c>
      <c r="AD450" s="77" t="s">
        <v>10620</v>
      </c>
      <c r="AE450" s="83" t="str">
        <f>HYPERLINK("https://twitter.com/elbonanews/status/1679991787400617993")</f>
        <v>https://twitter.com/elbonanews/status/1679991787400617993</v>
      </c>
      <c r="AF450" s="79">
        <v>45121.965613425928</v>
      </c>
      <c r="AG450" s="85">
        <v>45121</v>
      </c>
      <c r="AH450" s="80" t="s">
        <v>11032</v>
      </c>
      <c r="AI450" s="77" t="b">
        <v>0</v>
      </c>
      <c r="AJ450" s="77"/>
      <c r="AK450" s="77"/>
      <c r="AL450" s="77"/>
      <c r="AM450" s="77"/>
      <c r="AN450" s="77"/>
      <c r="AO450" s="77"/>
      <c r="AP450" s="77"/>
      <c r="AQ450" s="77" t="s">
        <v>14652</v>
      </c>
      <c r="AR450" s="77"/>
      <c r="AS450" s="77"/>
      <c r="AT450" s="77"/>
      <c r="AU450" s="77"/>
      <c r="AV450" s="83" t="str">
        <f>HYPERLINK("https://pbs.twimg.com/media/F1CHldVWcAIzGqr.jpg")</f>
        <v>https://pbs.twimg.com/media/F1CHldVWcAIzGqr.jpg</v>
      </c>
      <c r="AW450" s="80" t="s">
        <v>16418</v>
      </c>
      <c r="AX450" s="80" t="s">
        <v>16418</v>
      </c>
      <c r="AY450" s="77"/>
      <c r="AZ450" s="80" t="s">
        <v>20380</v>
      </c>
      <c r="BA450" s="80" t="s">
        <v>20380</v>
      </c>
      <c r="BB450" s="80" t="s">
        <v>20380</v>
      </c>
      <c r="BC450" s="80" t="s">
        <v>16418</v>
      </c>
      <c r="BD450" s="80" t="s">
        <v>20590</v>
      </c>
      <c r="BE450" s="77"/>
      <c r="BF450" s="77"/>
      <c r="BG450" s="77"/>
      <c r="BH450" s="77"/>
      <c r="BI450" s="77"/>
    </row>
    <row r="451" spans="1:61" x14ac:dyDescent="0.25">
      <c r="A451" s="62" t="s">
        <v>415</v>
      </c>
      <c r="B451" s="62" t="s">
        <v>415</v>
      </c>
      <c r="C451" s="63"/>
      <c r="D451" s="64"/>
      <c r="E451" s="65"/>
      <c r="F451" s="66"/>
      <c r="G451" s="63"/>
      <c r="H451" s="67"/>
      <c r="I451" s="68"/>
      <c r="J451" s="68"/>
      <c r="K451" s="32"/>
      <c r="L451" s="75">
        <v>451</v>
      </c>
      <c r="M451" s="75"/>
      <c r="N451" s="70"/>
      <c r="O451" s="77" t="s">
        <v>179</v>
      </c>
      <c r="P451" s="79">
        <v>45161.736539351848</v>
      </c>
      <c r="Q451" s="77" t="s">
        <v>2472</v>
      </c>
      <c r="R451" s="77">
        <v>0</v>
      </c>
      <c r="S451" s="77">
        <v>0</v>
      </c>
      <c r="T451" s="77">
        <v>1</v>
      </c>
      <c r="U451" s="77">
        <v>1</v>
      </c>
      <c r="V451" s="77">
        <v>88</v>
      </c>
      <c r="W451" s="80" t="s">
        <v>6224</v>
      </c>
      <c r="X451" s="83" t="str">
        <f>HYPERLINK("https://www.elbonaerense.news/2023/08/23/el-fmi-aprobo-un-desembolso-de-7500-millones-de-dolares-para-argentina")</f>
        <v>https://www.elbonaerense.news/2023/08/23/el-fmi-aprobo-un-desembolso-de-7500-millones-de-dolares-para-argentina</v>
      </c>
      <c r="Y451" s="77" t="s">
        <v>8664</v>
      </c>
      <c r="Z451" s="77"/>
      <c r="AA451" s="77" t="s">
        <v>9171</v>
      </c>
      <c r="AB451" s="77" t="s">
        <v>10535</v>
      </c>
      <c r="AC451" s="80" t="s">
        <v>10541</v>
      </c>
      <c r="AD451" s="77" t="s">
        <v>10620</v>
      </c>
      <c r="AE451" s="83" t="str">
        <f>HYPERLINK("https://twitter.com/elbonanews/status/1694404286363410889")</f>
        <v>https://twitter.com/elbonanews/status/1694404286363410889</v>
      </c>
      <c r="AF451" s="79">
        <v>45161.736539351848</v>
      </c>
      <c r="AG451" s="85">
        <v>45161</v>
      </c>
      <c r="AH451" s="80" t="s">
        <v>11033</v>
      </c>
      <c r="AI451" s="77" t="b">
        <v>0</v>
      </c>
      <c r="AJ451" s="77"/>
      <c r="AK451" s="77"/>
      <c r="AL451" s="77"/>
      <c r="AM451" s="77"/>
      <c r="AN451" s="77"/>
      <c r="AO451" s="77"/>
      <c r="AP451" s="77"/>
      <c r="AQ451" s="77" t="s">
        <v>14653</v>
      </c>
      <c r="AR451" s="77"/>
      <c r="AS451" s="77"/>
      <c r="AT451" s="77"/>
      <c r="AU451" s="77"/>
      <c r="AV451" s="83" t="str">
        <f>HYPERLINK("https://pbs.twimg.com/media/F4O7ncLWMAEGaW3.jpg")</f>
        <v>https://pbs.twimg.com/media/F4O7ncLWMAEGaW3.jpg</v>
      </c>
      <c r="AW451" s="80" t="s">
        <v>16419</v>
      </c>
      <c r="AX451" s="80" t="s">
        <v>16419</v>
      </c>
      <c r="AY451" s="77"/>
      <c r="AZ451" s="80" t="s">
        <v>20380</v>
      </c>
      <c r="BA451" s="80" t="s">
        <v>20380</v>
      </c>
      <c r="BB451" s="80" t="s">
        <v>20380</v>
      </c>
      <c r="BC451" s="80" t="s">
        <v>16419</v>
      </c>
      <c r="BD451" s="80" t="s">
        <v>20590</v>
      </c>
      <c r="BE451" s="77"/>
      <c r="BF451" s="77"/>
      <c r="BG451" s="77"/>
      <c r="BH451" s="77"/>
      <c r="BI451" s="77"/>
    </row>
    <row r="452" spans="1:61" x14ac:dyDescent="0.25">
      <c r="A452" s="62" t="s">
        <v>415</v>
      </c>
      <c r="B452" s="62" t="s">
        <v>415</v>
      </c>
      <c r="C452" s="63"/>
      <c r="D452" s="64"/>
      <c r="E452" s="65"/>
      <c r="F452" s="66"/>
      <c r="G452" s="63"/>
      <c r="H452" s="67"/>
      <c r="I452" s="68"/>
      <c r="J452" s="68"/>
      <c r="K452" s="32"/>
      <c r="L452" s="75">
        <v>452</v>
      </c>
      <c r="M452" s="75"/>
      <c r="N452" s="70"/>
      <c r="O452" s="77" t="s">
        <v>179</v>
      </c>
      <c r="P452" s="79">
        <v>45152.620266203703</v>
      </c>
      <c r="Q452" s="77" t="s">
        <v>2473</v>
      </c>
      <c r="R452" s="77">
        <v>0</v>
      </c>
      <c r="S452" s="77">
        <v>1</v>
      </c>
      <c r="T452" s="77">
        <v>0</v>
      </c>
      <c r="U452" s="77">
        <v>0</v>
      </c>
      <c r="V452" s="77">
        <v>582</v>
      </c>
      <c r="W452" s="80" t="s">
        <v>6225</v>
      </c>
      <c r="X452" s="83" t="str">
        <f>HYPERLINK("https://www.elbonaerense.news/2023/08/14/el-dolar-blue-cotiza-a-$-680")</f>
        <v>https://www.elbonaerense.news/2023/08/14/el-dolar-blue-cotiza-a-$-680</v>
      </c>
      <c r="Y452" s="77" t="s">
        <v>8664</v>
      </c>
      <c r="Z452" s="77"/>
      <c r="AA452" s="77" t="s">
        <v>9172</v>
      </c>
      <c r="AB452" s="77" t="s">
        <v>10535</v>
      </c>
      <c r="AC452" s="80" t="s">
        <v>10541</v>
      </c>
      <c r="AD452" s="77" t="s">
        <v>10620</v>
      </c>
      <c r="AE452" s="83" t="str">
        <f>HYPERLINK("https://twitter.com/elbonanews/status/1691100661587308544")</f>
        <v>https://twitter.com/elbonanews/status/1691100661587308544</v>
      </c>
      <c r="AF452" s="79">
        <v>45152.620266203703</v>
      </c>
      <c r="AG452" s="85">
        <v>45152</v>
      </c>
      <c r="AH452" s="80" t="s">
        <v>11034</v>
      </c>
      <c r="AI452" s="77" t="b">
        <v>0</v>
      </c>
      <c r="AJ452" s="77"/>
      <c r="AK452" s="77"/>
      <c r="AL452" s="77"/>
      <c r="AM452" s="77"/>
      <c r="AN452" s="77"/>
      <c r="AO452" s="77"/>
      <c r="AP452" s="77"/>
      <c r="AQ452" s="77" t="s">
        <v>14654</v>
      </c>
      <c r="AR452" s="77"/>
      <c r="AS452" s="77"/>
      <c r="AT452" s="77"/>
      <c r="AU452" s="77"/>
      <c r="AV452" s="83" t="str">
        <f>HYPERLINK("https://pbs.twimg.com/media/F3f_ACEWsAA6Ziu.jpg")</f>
        <v>https://pbs.twimg.com/media/F3f_ACEWsAA6Ziu.jpg</v>
      </c>
      <c r="AW452" s="80" t="s">
        <v>16420</v>
      </c>
      <c r="AX452" s="80" t="s">
        <v>16420</v>
      </c>
      <c r="AY452" s="77"/>
      <c r="AZ452" s="80" t="s">
        <v>20380</v>
      </c>
      <c r="BA452" s="80" t="s">
        <v>20380</v>
      </c>
      <c r="BB452" s="80" t="s">
        <v>20380</v>
      </c>
      <c r="BC452" s="80" t="s">
        <v>16420</v>
      </c>
      <c r="BD452" s="80" t="s">
        <v>20590</v>
      </c>
      <c r="BE452" s="77"/>
      <c r="BF452" s="77"/>
      <c r="BG452" s="77"/>
      <c r="BH452" s="77"/>
      <c r="BI452" s="77"/>
    </row>
    <row r="453" spans="1:61" x14ac:dyDescent="0.25">
      <c r="A453" s="62" t="s">
        <v>415</v>
      </c>
      <c r="B453" s="62" t="s">
        <v>415</v>
      </c>
      <c r="C453" s="63"/>
      <c r="D453" s="64"/>
      <c r="E453" s="65"/>
      <c r="F453" s="66"/>
      <c r="G453" s="63"/>
      <c r="H453" s="67"/>
      <c r="I453" s="68"/>
      <c r="J453" s="68"/>
      <c r="K453" s="32"/>
      <c r="L453" s="75">
        <v>453</v>
      </c>
      <c r="M453" s="75"/>
      <c r="N453" s="70"/>
      <c r="O453" s="77" t="s">
        <v>179</v>
      </c>
      <c r="P453" s="79">
        <v>45196.580671296295</v>
      </c>
      <c r="Q453" s="77" t="s">
        <v>2474</v>
      </c>
      <c r="R453" s="77">
        <v>0</v>
      </c>
      <c r="S453" s="77">
        <v>0</v>
      </c>
      <c r="T453" s="77">
        <v>0</v>
      </c>
      <c r="U453" s="77">
        <v>0</v>
      </c>
      <c r="V453" s="77">
        <v>16</v>
      </c>
      <c r="W453" s="80" t="s">
        <v>6226</v>
      </c>
      <c r="X453" s="83" t="str">
        <f>HYPERLINK("https://www.elbonaerense.news/2023/09/27/el-presagio-de-uno-de-los-elegidos-por-milei-para-su-posible-gobierno-soy-la-persona-que-menos-va-a-durar-en-su-cargo")</f>
        <v>https://www.elbonaerense.news/2023/09/27/el-presagio-de-uno-de-los-elegidos-por-milei-para-su-posible-gobierno-soy-la-persona-que-menos-va-a-durar-en-su-cargo</v>
      </c>
      <c r="Y453" s="77" t="s">
        <v>8664</v>
      </c>
      <c r="Z453" s="77"/>
      <c r="AA453" s="77" t="s">
        <v>9173</v>
      </c>
      <c r="AB453" s="77" t="s">
        <v>10535</v>
      </c>
      <c r="AC453" s="80" t="s">
        <v>10541</v>
      </c>
      <c r="AD453" s="77" t="s">
        <v>10620</v>
      </c>
      <c r="AE453" s="83" t="str">
        <f>HYPERLINK("https://twitter.com/elbonanews/status/1707031379878264857")</f>
        <v>https://twitter.com/elbonanews/status/1707031379878264857</v>
      </c>
      <c r="AF453" s="79">
        <v>45196.580671296295</v>
      </c>
      <c r="AG453" s="85">
        <v>45196</v>
      </c>
      <c r="AH453" s="80" t="s">
        <v>11035</v>
      </c>
      <c r="AI453" s="77" t="b">
        <v>0</v>
      </c>
      <c r="AJ453" s="77"/>
      <c r="AK453" s="77"/>
      <c r="AL453" s="77"/>
      <c r="AM453" s="77"/>
      <c r="AN453" s="77"/>
      <c r="AO453" s="77"/>
      <c r="AP453" s="77"/>
      <c r="AQ453" s="77" t="s">
        <v>14655</v>
      </c>
      <c r="AR453" s="77"/>
      <c r="AS453" s="77"/>
      <c r="AT453" s="77"/>
      <c r="AU453" s="77"/>
      <c r="AV453" s="83" t="str">
        <f>HYPERLINK("https://pbs.twimg.com/media/F7CU3wXWMAAJUgg.jpg")</f>
        <v>https://pbs.twimg.com/media/F7CU3wXWMAAJUgg.jpg</v>
      </c>
      <c r="AW453" s="80" t="s">
        <v>16421</v>
      </c>
      <c r="AX453" s="80" t="s">
        <v>16421</v>
      </c>
      <c r="AY453" s="77"/>
      <c r="AZ453" s="80" t="s">
        <v>20380</v>
      </c>
      <c r="BA453" s="80" t="s">
        <v>20380</v>
      </c>
      <c r="BB453" s="80" t="s">
        <v>20380</v>
      </c>
      <c r="BC453" s="80" t="s">
        <v>16421</v>
      </c>
      <c r="BD453" s="80" t="s">
        <v>20590</v>
      </c>
      <c r="BE453" s="77"/>
      <c r="BF453" s="77"/>
      <c r="BG453" s="77"/>
      <c r="BH453" s="77"/>
      <c r="BI453" s="77"/>
    </row>
    <row r="454" spans="1:61" x14ac:dyDescent="0.25">
      <c r="A454" s="62" t="s">
        <v>415</v>
      </c>
      <c r="B454" s="62" t="s">
        <v>415</v>
      </c>
      <c r="C454" s="63"/>
      <c r="D454" s="64"/>
      <c r="E454" s="65"/>
      <c r="F454" s="66"/>
      <c r="G454" s="63"/>
      <c r="H454" s="67"/>
      <c r="I454" s="68"/>
      <c r="J454" s="68"/>
      <c r="K454" s="32"/>
      <c r="L454" s="75">
        <v>454</v>
      </c>
      <c r="M454" s="75"/>
      <c r="N454" s="70"/>
      <c r="O454" s="77" t="s">
        <v>179</v>
      </c>
      <c r="P454" s="79">
        <v>45052.101377314815</v>
      </c>
      <c r="Q454" s="77" t="s">
        <v>2475</v>
      </c>
      <c r="R454" s="77">
        <v>0</v>
      </c>
      <c r="S454" s="77">
        <v>0</v>
      </c>
      <c r="T454" s="77">
        <v>0</v>
      </c>
      <c r="U454" s="77">
        <v>0</v>
      </c>
      <c r="V454" s="77">
        <v>70</v>
      </c>
      <c r="W454" s="80" t="s">
        <v>6227</v>
      </c>
      <c r="X454" s="83" t="str">
        <f>HYPERLINK("https://elbonaerense.news/norte/el-banco-central-espera-una-inflacion-del-126-para-este-ano/")</f>
        <v>https://elbonaerense.news/norte/el-banco-central-espera-una-inflacion-del-126-para-este-ano/</v>
      </c>
      <c r="Y454" s="77" t="s">
        <v>8664</v>
      </c>
      <c r="Z454" s="77"/>
      <c r="AA454" s="77" t="s">
        <v>9174</v>
      </c>
      <c r="AB454" s="77" t="s">
        <v>10535</v>
      </c>
      <c r="AC454" s="80" t="s">
        <v>10541</v>
      </c>
      <c r="AD454" s="77" t="s">
        <v>10620</v>
      </c>
      <c r="AE454" s="83" t="str">
        <f>HYPERLINK("https://twitter.com/elbonanews/status/1654673836820910080")</f>
        <v>https://twitter.com/elbonanews/status/1654673836820910080</v>
      </c>
      <c r="AF454" s="79">
        <v>45052.101377314815</v>
      </c>
      <c r="AG454" s="85">
        <v>45052</v>
      </c>
      <c r="AH454" s="80" t="s">
        <v>11036</v>
      </c>
      <c r="AI454" s="77" t="b">
        <v>0</v>
      </c>
      <c r="AJ454" s="77"/>
      <c r="AK454" s="77"/>
      <c r="AL454" s="77"/>
      <c r="AM454" s="77"/>
      <c r="AN454" s="77"/>
      <c r="AO454" s="77"/>
      <c r="AP454" s="77"/>
      <c r="AQ454" s="77" t="s">
        <v>14656</v>
      </c>
      <c r="AR454" s="77"/>
      <c r="AS454" s="77"/>
      <c r="AT454" s="77"/>
      <c r="AU454" s="77"/>
      <c r="AV454" s="83" t="str">
        <f>HYPERLINK("https://pbs.twimg.com/media/FvaVENbXsAAVnj3.jpg")</f>
        <v>https://pbs.twimg.com/media/FvaVENbXsAAVnj3.jpg</v>
      </c>
      <c r="AW454" s="80" t="s">
        <v>16422</v>
      </c>
      <c r="AX454" s="80" t="s">
        <v>16422</v>
      </c>
      <c r="AY454" s="77"/>
      <c r="AZ454" s="80" t="s">
        <v>20380</v>
      </c>
      <c r="BA454" s="80" t="s">
        <v>20380</v>
      </c>
      <c r="BB454" s="80" t="s">
        <v>20380</v>
      </c>
      <c r="BC454" s="80" t="s">
        <v>16422</v>
      </c>
      <c r="BD454" s="80" t="s">
        <v>20590</v>
      </c>
      <c r="BE454" s="77"/>
      <c r="BF454" s="77"/>
      <c r="BG454" s="77"/>
      <c r="BH454" s="77"/>
      <c r="BI454" s="77"/>
    </row>
    <row r="455" spans="1:61" x14ac:dyDescent="0.25">
      <c r="A455" s="62" t="s">
        <v>416</v>
      </c>
      <c r="B455" s="62" t="s">
        <v>1751</v>
      </c>
      <c r="C455" s="63"/>
      <c r="D455" s="64"/>
      <c r="E455" s="65"/>
      <c r="F455" s="66"/>
      <c r="G455" s="63"/>
      <c r="H455" s="67"/>
      <c r="I455" s="68"/>
      <c r="J455" s="68"/>
      <c r="K455" s="32"/>
      <c r="L455" s="75">
        <v>455</v>
      </c>
      <c r="M455" s="75"/>
      <c r="N455" s="70"/>
      <c r="O455" s="77" t="s">
        <v>2078</v>
      </c>
      <c r="P455" s="79">
        <v>45140.630115740743</v>
      </c>
      <c r="Q455" s="77" t="s">
        <v>2476</v>
      </c>
      <c r="R455" s="77">
        <v>0</v>
      </c>
      <c r="S455" s="77">
        <v>0</v>
      </c>
      <c r="T455" s="77">
        <v>0</v>
      </c>
      <c r="U455" s="77">
        <v>0</v>
      </c>
      <c r="V455" s="77">
        <v>29</v>
      </c>
      <c r="W455" s="80" t="s">
        <v>6228</v>
      </c>
      <c r="X455" s="77"/>
      <c r="Y455" s="77"/>
      <c r="Z455" s="77" t="s">
        <v>1751</v>
      </c>
      <c r="AA455" s="77"/>
      <c r="AB455" s="77"/>
      <c r="AC455" s="80" t="s">
        <v>10541</v>
      </c>
      <c r="AD455" s="77" t="s">
        <v>10620</v>
      </c>
      <c r="AE455" s="83" t="str">
        <f>HYPERLINK("https://twitter.com/ameescudero/status/1686755578322788352")</f>
        <v>https://twitter.com/ameescudero/status/1686755578322788352</v>
      </c>
      <c r="AF455" s="79">
        <v>45140.630115740743</v>
      </c>
      <c r="AG455" s="85">
        <v>45140</v>
      </c>
      <c r="AH455" s="80" t="s">
        <v>11037</v>
      </c>
      <c r="AI455" s="77"/>
      <c r="AJ455" s="77" t="s">
        <v>14347</v>
      </c>
      <c r="AK455" s="77" t="s">
        <v>14385</v>
      </c>
      <c r="AL455" s="77" t="s">
        <v>14394</v>
      </c>
      <c r="AM455" s="77" t="s">
        <v>14404</v>
      </c>
      <c r="AN455" s="77" t="s">
        <v>14444</v>
      </c>
      <c r="AO455" s="77" t="s">
        <v>14483</v>
      </c>
      <c r="AP455" s="77" t="s">
        <v>14516</v>
      </c>
      <c r="AQ455" s="77"/>
      <c r="AR455" s="77"/>
      <c r="AS455" s="77"/>
      <c r="AT455" s="77"/>
      <c r="AU455" s="77"/>
      <c r="AV455" s="83" t="str">
        <f>HYPERLINK("https://pbs.twimg.com/profile_images/1649597966120898561/ZWuZfNLr_normal.jpg")</f>
        <v>https://pbs.twimg.com/profile_images/1649597966120898561/ZWuZfNLr_normal.jpg</v>
      </c>
      <c r="AW455" s="80" t="s">
        <v>16423</v>
      </c>
      <c r="AX455" s="80" t="s">
        <v>19986</v>
      </c>
      <c r="AY455" s="80" t="s">
        <v>20236</v>
      </c>
      <c r="AZ455" s="80" t="s">
        <v>19986</v>
      </c>
      <c r="BA455" s="80" t="s">
        <v>20380</v>
      </c>
      <c r="BB455" s="80" t="s">
        <v>20380</v>
      </c>
      <c r="BC455" s="80" t="s">
        <v>19986</v>
      </c>
      <c r="BD455" s="77">
        <v>2732290501</v>
      </c>
      <c r="BE455" s="77"/>
      <c r="BF455" s="77"/>
      <c r="BG455" s="77"/>
      <c r="BH455" s="77"/>
      <c r="BI455" s="77"/>
    </row>
    <row r="456" spans="1:61" x14ac:dyDescent="0.25">
      <c r="A456" s="62" t="s">
        <v>417</v>
      </c>
      <c r="B456" s="62" t="s">
        <v>1752</v>
      </c>
      <c r="C456" s="63"/>
      <c r="D456" s="64"/>
      <c r="E456" s="65"/>
      <c r="F456" s="66"/>
      <c r="G456" s="63"/>
      <c r="H456" s="67"/>
      <c r="I456" s="68"/>
      <c r="J456" s="68"/>
      <c r="K456" s="32"/>
      <c r="L456" s="75">
        <v>456</v>
      </c>
      <c r="M456" s="75"/>
      <c r="N456" s="70"/>
      <c r="O456" s="77" t="s">
        <v>2081</v>
      </c>
      <c r="P456" s="79">
        <v>45072.789837962962</v>
      </c>
      <c r="Q456" s="77" t="s">
        <v>2477</v>
      </c>
      <c r="R456" s="77">
        <v>0</v>
      </c>
      <c r="S456" s="77">
        <v>0</v>
      </c>
      <c r="T456" s="77">
        <v>0</v>
      </c>
      <c r="U456" s="77">
        <v>0</v>
      </c>
      <c r="V456" s="77">
        <v>12</v>
      </c>
      <c r="W456" s="80" t="s">
        <v>5884</v>
      </c>
      <c r="X456" s="77"/>
      <c r="Y456" s="77"/>
      <c r="Z456" s="77" t="s">
        <v>1752</v>
      </c>
      <c r="AA456" s="77"/>
      <c r="AB456" s="77"/>
      <c r="AC456" s="80" t="s">
        <v>10540</v>
      </c>
      <c r="AD456" s="77" t="s">
        <v>10620</v>
      </c>
      <c r="AE456" s="83" t="str">
        <f>HYPERLINK("https://twitter.com/camisaez4/status/1662171083808620567")</f>
        <v>https://twitter.com/camisaez4/status/1662171083808620567</v>
      </c>
      <c r="AF456" s="79">
        <v>45072.789837962962</v>
      </c>
      <c r="AG456" s="85">
        <v>45072</v>
      </c>
      <c r="AH456" s="80" t="s">
        <v>11038</v>
      </c>
      <c r="AI456" s="77"/>
      <c r="AJ456" s="77"/>
      <c r="AK456" s="77"/>
      <c r="AL456" s="77"/>
      <c r="AM456" s="77"/>
      <c r="AN456" s="77"/>
      <c r="AO456" s="77"/>
      <c r="AP456" s="77"/>
      <c r="AQ456" s="77"/>
      <c r="AR456" s="77"/>
      <c r="AS456" s="77"/>
      <c r="AT456" s="77"/>
      <c r="AU456" s="77"/>
      <c r="AV456" s="83" t="str">
        <f>HYPERLINK("https://pbs.twimg.com/profile_images/907553643804667904/q0CANE5i_normal.jpg")</f>
        <v>https://pbs.twimg.com/profile_images/907553643804667904/q0CANE5i_normal.jpg</v>
      </c>
      <c r="AW456" s="80" t="s">
        <v>16424</v>
      </c>
      <c r="AX456" s="80" t="s">
        <v>16424</v>
      </c>
      <c r="AY456" s="80" t="s">
        <v>20237</v>
      </c>
      <c r="AZ456" s="80" t="s">
        <v>20380</v>
      </c>
      <c r="BA456" s="80" t="s">
        <v>20380</v>
      </c>
      <c r="BB456" s="80" t="s">
        <v>20380</v>
      </c>
      <c r="BC456" s="80" t="s">
        <v>16424</v>
      </c>
      <c r="BD456" s="80" t="s">
        <v>20591</v>
      </c>
      <c r="BE456" s="77"/>
      <c r="BF456" s="77"/>
      <c r="BG456" s="77"/>
      <c r="BH456" s="77"/>
      <c r="BI456" s="77"/>
    </row>
    <row r="457" spans="1:61" x14ac:dyDescent="0.25">
      <c r="A457" s="62" t="s">
        <v>417</v>
      </c>
      <c r="B457" s="62" t="s">
        <v>1752</v>
      </c>
      <c r="C457" s="63"/>
      <c r="D457" s="64"/>
      <c r="E457" s="65"/>
      <c r="F457" s="66"/>
      <c r="G457" s="63"/>
      <c r="H457" s="67"/>
      <c r="I457" s="68"/>
      <c r="J457" s="68"/>
      <c r="K457" s="32"/>
      <c r="L457" s="75">
        <v>457</v>
      </c>
      <c r="M457" s="75"/>
      <c r="N457" s="70"/>
      <c r="O457" s="77" t="s">
        <v>2081</v>
      </c>
      <c r="P457" s="79">
        <v>45071.846446759257</v>
      </c>
      <c r="Q457" s="77" t="s">
        <v>2478</v>
      </c>
      <c r="R457" s="77">
        <v>0</v>
      </c>
      <c r="S457" s="77">
        <v>1</v>
      </c>
      <c r="T457" s="77">
        <v>0</v>
      </c>
      <c r="U457" s="77">
        <v>0</v>
      </c>
      <c r="V457" s="77">
        <v>9</v>
      </c>
      <c r="W457" s="80" t="s">
        <v>5884</v>
      </c>
      <c r="X457" s="77"/>
      <c r="Y457" s="77"/>
      <c r="Z457" s="77" t="s">
        <v>1752</v>
      </c>
      <c r="AA457" s="77"/>
      <c r="AB457" s="77"/>
      <c r="AC457" s="80" t="s">
        <v>10540</v>
      </c>
      <c r="AD457" s="77" t="s">
        <v>10620</v>
      </c>
      <c r="AE457" s="83" t="str">
        <f>HYPERLINK("https://twitter.com/camisaez4/status/1661829209222684683")</f>
        <v>https://twitter.com/camisaez4/status/1661829209222684683</v>
      </c>
      <c r="AF457" s="79">
        <v>45071.846446759257</v>
      </c>
      <c r="AG457" s="85">
        <v>45071</v>
      </c>
      <c r="AH457" s="80" t="s">
        <v>10933</v>
      </c>
      <c r="AI457" s="77"/>
      <c r="AJ457" s="77"/>
      <c r="AK457" s="77"/>
      <c r="AL457" s="77"/>
      <c r="AM457" s="77"/>
      <c r="AN457" s="77"/>
      <c r="AO457" s="77"/>
      <c r="AP457" s="77"/>
      <c r="AQ457" s="77"/>
      <c r="AR457" s="77"/>
      <c r="AS457" s="77"/>
      <c r="AT457" s="77"/>
      <c r="AU457" s="77"/>
      <c r="AV457" s="83" t="str">
        <f>HYPERLINK("https://pbs.twimg.com/profile_images/907553643804667904/q0CANE5i_normal.jpg")</f>
        <v>https://pbs.twimg.com/profile_images/907553643804667904/q0CANE5i_normal.jpg</v>
      </c>
      <c r="AW457" s="80" t="s">
        <v>16425</v>
      </c>
      <c r="AX457" s="80" t="s">
        <v>16425</v>
      </c>
      <c r="AY457" s="80" t="s">
        <v>20237</v>
      </c>
      <c r="AZ457" s="80" t="s">
        <v>20380</v>
      </c>
      <c r="BA457" s="80" t="s">
        <v>20380</v>
      </c>
      <c r="BB457" s="80" t="s">
        <v>20380</v>
      </c>
      <c r="BC457" s="80" t="s">
        <v>16425</v>
      </c>
      <c r="BD457" s="80" t="s">
        <v>20591</v>
      </c>
      <c r="BE457" s="77"/>
      <c r="BF457" s="77"/>
      <c r="BG457" s="77"/>
      <c r="BH457" s="77"/>
      <c r="BI457" s="77"/>
    </row>
    <row r="458" spans="1:61" x14ac:dyDescent="0.25">
      <c r="A458" s="62" t="s">
        <v>418</v>
      </c>
      <c r="B458" s="62" t="s">
        <v>418</v>
      </c>
      <c r="C458" s="63"/>
      <c r="D458" s="64"/>
      <c r="E458" s="65"/>
      <c r="F458" s="66"/>
      <c r="G458" s="63"/>
      <c r="H458" s="67"/>
      <c r="I458" s="68"/>
      <c r="J458" s="68"/>
      <c r="K458" s="32"/>
      <c r="L458" s="75">
        <v>458</v>
      </c>
      <c r="M458" s="75"/>
      <c r="N458" s="70"/>
      <c r="O458" s="77" t="s">
        <v>179</v>
      </c>
      <c r="P458" s="79">
        <v>45049.52443287037</v>
      </c>
      <c r="Q458" s="77" t="s">
        <v>2479</v>
      </c>
      <c r="R458" s="77">
        <v>0</v>
      </c>
      <c r="S458" s="77">
        <v>2</v>
      </c>
      <c r="T458" s="77">
        <v>0</v>
      </c>
      <c r="U458" s="77">
        <v>0</v>
      </c>
      <c r="V458" s="77">
        <v>4622</v>
      </c>
      <c r="W458" s="80" t="s">
        <v>6229</v>
      </c>
      <c r="X458" s="83" t="str">
        <f>HYPERLINK("https://www.cronica.com.ar/sociedad/Plazo-fijo-contra-la-inflacion-Cuanto-se-gana-con-50.000-y-por-que-conviene-invertir-por-30-dias-20230503-0017.html")</f>
        <v>https://www.cronica.com.ar/sociedad/Plazo-fijo-contra-la-inflacion-Cuanto-se-gana-con-50.000-y-por-que-conviene-invertir-por-30-dias-20230503-0017.html</v>
      </c>
      <c r="Y458" s="77" t="s">
        <v>8624</v>
      </c>
      <c r="Z458" s="77"/>
      <c r="AA458" s="77"/>
      <c r="AB458" s="77"/>
      <c r="AC458" s="80" t="s">
        <v>10552</v>
      </c>
      <c r="AD458" s="77" t="s">
        <v>10620</v>
      </c>
      <c r="AE458" s="83" t="str">
        <f>HYPERLINK("https://twitter.com/cronica/status/1653739983490932737")</f>
        <v>https://twitter.com/cronica/status/1653739983490932737</v>
      </c>
      <c r="AF458" s="79">
        <v>45049.52443287037</v>
      </c>
      <c r="AG458" s="85">
        <v>45049</v>
      </c>
      <c r="AH458" s="80" t="s">
        <v>11039</v>
      </c>
      <c r="AI458" s="77" t="b">
        <v>0</v>
      </c>
      <c r="AJ458" s="77"/>
      <c r="AK458" s="77"/>
      <c r="AL458" s="77"/>
      <c r="AM458" s="77"/>
      <c r="AN458" s="77"/>
      <c r="AO458" s="77"/>
      <c r="AP458" s="77"/>
      <c r="AQ458" s="77"/>
      <c r="AR458" s="77"/>
      <c r="AS458" s="77"/>
      <c r="AT458" s="77"/>
      <c r="AU458" s="77"/>
      <c r="AV458" s="83" t="str">
        <f>HYPERLINK("https://pbs.twimg.com/profile_images/1477725477850783750/DVygjO5R_normal.jpg")</f>
        <v>https://pbs.twimg.com/profile_images/1477725477850783750/DVygjO5R_normal.jpg</v>
      </c>
      <c r="AW458" s="80" t="s">
        <v>16426</v>
      </c>
      <c r="AX458" s="80" t="s">
        <v>16426</v>
      </c>
      <c r="AY458" s="77"/>
      <c r="AZ458" s="80" t="s">
        <v>20380</v>
      </c>
      <c r="BA458" s="80" t="s">
        <v>20380</v>
      </c>
      <c r="BB458" s="80" t="s">
        <v>20380</v>
      </c>
      <c r="BC458" s="80" t="s">
        <v>16426</v>
      </c>
      <c r="BD458" s="77">
        <v>176979194</v>
      </c>
      <c r="BE458" s="77"/>
      <c r="BF458" s="77"/>
      <c r="BG458" s="77"/>
      <c r="BH458" s="77"/>
      <c r="BI458" s="77"/>
    </row>
    <row r="459" spans="1:61" x14ac:dyDescent="0.25">
      <c r="A459" s="62" t="s">
        <v>418</v>
      </c>
      <c r="B459" s="62" t="s">
        <v>418</v>
      </c>
      <c r="C459" s="63"/>
      <c r="D459" s="64"/>
      <c r="E459" s="65"/>
      <c r="F459" s="66"/>
      <c r="G459" s="63"/>
      <c r="H459" s="67"/>
      <c r="I459" s="68"/>
      <c r="J459" s="68"/>
      <c r="K459" s="32"/>
      <c r="L459" s="75">
        <v>459</v>
      </c>
      <c r="M459" s="75"/>
      <c r="N459" s="70"/>
      <c r="O459" s="77" t="s">
        <v>2078</v>
      </c>
      <c r="P459" s="79">
        <v>45139.897719907407</v>
      </c>
      <c r="Q459" s="77" t="s">
        <v>2480</v>
      </c>
      <c r="R459" s="77">
        <v>3</v>
      </c>
      <c r="S459" s="77">
        <v>5</v>
      </c>
      <c r="T459" s="77">
        <v>0</v>
      </c>
      <c r="U459" s="77">
        <v>0</v>
      </c>
      <c r="V459" s="77">
        <v>4990</v>
      </c>
      <c r="W459" s="80" t="s">
        <v>6230</v>
      </c>
      <c r="X459" s="83" t="str">
        <f>HYPERLINK("https://www.cronica.com.ar/politica/Lousteau-desmintio-a-Bullrich-por-una-insolita-afirmacion-Lo-unico-fisico-en-el-Banco-Central-es-el-oro...-20230801-0138.html")</f>
        <v>https://www.cronica.com.ar/politica/Lousteau-desmintio-a-Bullrich-por-una-insolita-afirmacion-Lo-unico-fisico-en-el-Banco-Central-es-el-oro...-20230801-0138.html</v>
      </c>
      <c r="Y459" s="77" t="s">
        <v>8624</v>
      </c>
      <c r="Z459" s="77"/>
      <c r="AA459" s="77"/>
      <c r="AB459" s="77"/>
      <c r="AC459" s="80" t="s">
        <v>10542</v>
      </c>
      <c r="AD459" s="77" t="s">
        <v>10620</v>
      </c>
      <c r="AE459" s="83" t="str">
        <f>HYPERLINK("https://twitter.com/cronica/status/1686490165454221312")</f>
        <v>https://twitter.com/cronica/status/1686490165454221312</v>
      </c>
      <c r="AF459" s="79">
        <v>45139.897719907407</v>
      </c>
      <c r="AG459" s="85">
        <v>45139</v>
      </c>
      <c r="AH459" s="80" t="s">
        <v>11040</v>
      </c>
      <c r="AI459" s="77" t="b">
        <v>0</v>
      </c>
      <c r="AJ459" s="77"/>
      <c r="AK459" s="77"/>
      <c r="AL459" s="77"/>
      <c r="AM459" s="77"/>
      <c r="AN459" s="77"/>
      <c r="AO459" s="77"/>
      <c r="AP459" s="77"/>
      <c r="AQ459" s="77"/>
      <c r="AR459" s="77"/>
      <c r="AS459" s="77"/>
      <c r="AT459" s="77"/>
      <c r="AU459" s="77"/>
      <c r="AV459" s="83" t="str">
        <f>HYPERLINK("https://pbs.twimg.com/profile_images/1477725477850783750/DVygjO5R_normal.jpg")</f>
        <v>https://pbs.twimg.com/profile_images/1477725477850783750/DVygjO5R_normal.jpg</v>
      </c>
      <c r="AW459" s="80" t="s">
        <v>16427</v>
      </c>
      <c r="AX459" s="80" t="s">
        <v>19987</v>
      </c>
      <c r="AY459" s="80" t="s">
        <v>20238</v>
      </c>
      <c r="AZ459" s="80" t="s">
        <v>20396</v>
      </c>
      <c r="BA459" s="80" t="s">
        <v>20380</v>
      </c>
      <c r="BB459" s="80" t="s">
        <v>20380</v>
      </c>
      <c r="BC459" s="80" t="s">
        <v>20396</v>
      </c>
      <c r="BD459" s="77">
        <v>176979194</v>
      </c>
      <c r="BE459" s="77"/>
      <c r="BF459" s="77"/>
      <c r="BG459" s="77"/>
      <c r="BH459" s="77"/>
      <c r="BI459" s="77"/>
    </row>
    <row r="460" spans="1:61" x14ac:dyDescent="0.25">
      <c r="A460" s="62" t="s">
        <v>419</v>
      </c>
      <c r="B460" s="62" t="s">
        <v>419</v>
      </c>
      <c r="C460" s="63"/>
      <c r="D460" s="64"/>
      <c r="E460" s="65"/>
      <c r="F460" s="66"/>
      <c r="G460" s="63"/>
      <c r="H460" s="67"/>
      <c r="I460" s="68"/>
      <c r="J460" s="68"/>
      <c r="K460" s="32"/>
      <c r="L460" s="75">
        <v>460</v>
      </c>
      <c r="M460" s="75"/>
      <c r="N460" s="70"/>
      <c r="O460" s="77" t="s">
        <v>179</v>
      </c>
      <c r="P460" s="79">
        <v>45152.708356481482</v>
      </c>
      <c r="Q460" s="77" t="s">
        <v>2481</v>
      </c>
      <c r="R460" s="77">
        <v>1</v>
      </c>
      <c r="S460" s="77">
        <v>3</v>
      </c>
      <c r="T460" s="77">
        <v>1</v>
      </c>
      <c r="U460" s="77">
        <v>0</v>
      </c>
      <c r="V460" s="77">
        <v>344</v>
      </c>
      <c r="W460" s="80" t="s">
        <v>6231</v>
      </c>
      <c r="X460" s="77"/>
      <c r="Y460" s="77"/>
      <c r="Z460" s="77"/>
      <c r="AA460" s="77"/>
      <c r="AB460" s="77"/>
      <c r="AC460" s="80" t="s">
        <v>10541</v>
      </c>
      <c r="AD460" s="77" t="s">
        <v>10620</v>
      </c>
      <c r="AE460" s="83" t="str">
        <f>HYPERLINK("https://twitter.com/eldaka22/status/1691132582920966146")</f>
        <v>https://twitter.com/eldaka22/status/1691132582920966146</v>
      </c>
      <c r="AF460" s="79">
        <v>45152.708356481482</v>
      </c>
      <c r="AG460" s="85">
        <v>45152</v>
      </c>
      <c r="AH460" s="80" t="s">
        <v>11041</v>
      </c>
      <c r="AI460" s="77"/>
      <c r="AJ460" s="77"/>
      <c r="AK460" s="77"/>
      <c r="AL460" s="77"/>
      <c r="AM460" s="77"/>
      <c r="AN460" s="77"/>
      <c r="AO460" s="77"/>
      <c r="AP460" s="77"/>
      <c r="AQ460" s="77"/>
      <c r="AR460" s="77"/>
      <c r="AS460" s="77"/>
      <c r="AT460" s="77"/>
      <c r="AU460" s="77"/>
      <c r="AV460" s="83" t="str">
        <f>HYPERLINK("https://pbs.twimg.com/profile_images/1077602275512762369/-WONTgJ6_normal.jpg")</f>
        <v>https://pbs.twimg.com/profile_images/1077602275512762369/-WONTgJ6_normal.jpg</v>
      </c>
      <c r="AW460" s="80" t="s">
        <v>16428</v>
      </c>
      <c r="AX460" s="80" t="s">
        <v>16428</v>
      </c>
      <c r="AY460" s="77"/>
      <c r="AZ460" s="80" t="s">
        <v>20380</v>
      </c>
      <c r="BA460" s="80" t="s">
        <v>20380</v>
      </c>
      <c r="BB460" s="80" t="s">
        <v>20380</v>
      </c>
      <c r="BC460" s="80" t="s">
        <v>16428</v>
      </c>
      <c r="BD460" s="80" t="s">
        <v>20592</v>
      </c>
      <c r="BE460" s="77"/>
      <c r="BF460" s="77"/>
      <c r="BG460" s="77"/>
      <c r="BH460" s="77"/>
      <c r="BI460" s="77"/>
    </row>
    <row r="461" spans="1:61" x14ac:dyDescent="0.25">
      <c r="A461" s="62" t="s">
        <v>420</v>
      </c>
      <c r="B461" s="62" t="s">
        <v>1753</v>
      </c>
      <c r="C461" s="63"/>
      <c r="D461" s="64"/>
      <c r="E461" s="65"/>
      <c r="F461" s="66"/>
      <c r="G461" s="63"/>
      <c r="H461" s="67"/>
      <c r="I461" s="68"/>
      <c r="J461" s="68"/>
      <c r="K461" s="32"/>
      <c r="L461" s="75">
        <v>461</v>
      </c>
      <c r="M461" s="75"/>
      <c r="N461" s="70"/>
      <c r="O461" s="77" t="s">
        <v>2081</v>
      </c>
      <c r="P461" s="79">
        <v>45145.932037037041</v>
      </c>
      <c r="Q461" s="77" t="s">
        <v>2482</v>
      </c>
      <c r="R461" s="77">
        <v>11</v>
      </c>
      <c r="S461" s="77">
        <v>10</v>
      </c>
      <c r="T461" s="77">
        <v>3</v>
      </c>
      <c r="U461" s="77">
        <v>0</v>
      </c>
      <c r="V461" s="77">
        <v>2227</v>
      </c>
      <c r="W461" s="80" t="s">
        <v>6232</v>
      </c>
      <c r="X461" s="83" t="str">
        <f>HYPERLINK("https://noticiassin.com/pais/cuales-factores-incidieron-para-que-la-inflacion-interanual-se-ubicara-en-3-95-en-julio-1473256/")</f>
        <v>https://noticiassin.com/pais/cuales-factores-incidieron-para-que-la-inflacion-interanual-se-ubicara-en-3-95-en-julio-1473256/</v>
      </c>
      <c r="Y461" s="77" t="s">
        <v>8665</v>
      </c>
      <c r="Z461" s="77" t="s">
        <v>1753</v>
      </c>
      <c r="AA461" s="77" t="s">
        <v>9175</v>
      </c>
      <c r="AB461" s="77" t="s">
        <v>10535</v>
      </c>
      <c r="AC461" s="80" t="s">
        <v>10541</v>
      </c>
      <c r="AD461" s="77" t="s">
        <v>10620</v>
      </c>
      <c r="AE461" s="83" t="str">
        <f>HYPERLINK("https://twitter.com/sin24horas/status/1688676928734023680")</f>
        <v>https://twitter.com/sin24horas/status/1688676928734023680</v>
      </c>
      <c r="AF461" s="79">
        <v>45145.932037037041</v>
      </c>
      <c r="AG461" s="85">
        <v>45145</v>
      </c>
      <c r="AH461" s="80" t="s">
        <v>11042</v>
      </c>
      <c r="AI461" s="77" t="b">
        <v>0</v>
      </c>
      <c r="AJ461" s="77"/>
      <c r="AK461" s="77"/>
      <c r="AL461" s="77"/>
      <c r="AM461" s="77"/>
      <c r="AN461" s="77"/>
      <c r="AO461" s="77"/>
      <c r="AP461" s="77"/>
      <c r="AQ461" s="77" t="s">
        <v>14657</v>
      </c>
      <c r="AR461" s="77"/>
      <c r="AS461" s="77"/>
      <c r="AT461" s="77"/>
      <c r="AU461" s="77"/>
      <c r="AV461" s="83" t="str">
        <f>HYPERLINK("https://pbs.twimg.com/media/F29ierDWoAAojyQ.jpg")</f>
        <v>https://pbs.twimg.com/media/F29ierDWoAAojyQ.jpg</v>
      </c>
      <c r="AW461" s="80" t="s">
        <v>16429</v>
      </c>
      <c r="AX461" s="80" t="s">
        <v>16429</v>
      </c>
      <c r="AY461" s="77"/>
      <c r="AZ461" s="80" t="s">
        <v>20380</v>
      </c>
      <c r="BA461" s="80" t="s">
        <v>20380</v>
      </c>
      <c r="BB461" s="80" t="s">
        <v>20380</v>
      </c>
      <c r="BC461" s="80" t="s">
        <v>16429</v>
      </c>
      <c r="BD461" s="77">
        <v>55660696</v>
      </c>
      <c r="BE461" s="77"/>
      <c r="BF461" s="77"/>
      <c r="BG461" s="77"/>
      <c r="BH461" s="77"/>
      <c r="BI461" s="77"/>
    </row>
    <row r="462" spans="1:61" x14ac:dyDescent="0.25">
      <c r="A462" s="62" t="s">
        <v>420</v>
      </c>
      <c r="B462" s="62" t="s">
        <v>1753</v>
      </c>
      <c r="C462" s="63"/>
      <c r="D462" s="64"/>
      <c r="E462" s="65"/>
      <c r="F462" s="66"/>
      <c r="G462" s="63"/>
      <c r="H462" s="67"/>
      <c r="I462" s="68"/>
      <c r="J462" s="68"/>
      <c r="K462" s="32"/>
      <c r="L462" s="75">
        <v>462</v>
      </c>
      <c r="M462" s="75"/>
      <c r="N462" s="70"/>
      <c r="O462" s="77" t="s">
        <v>2081</v>
      </c>
      <c r="P462" s="79">
        <v>45152.902268518519</v>
      </c>
      <c r="Q462" s="77" t="s">
        <v>2483</v>
      </c>
      <c r="R462" s="77">
        <v>1</v>
      </c>
      <c r="S462" s="77">
        <v>3</v>
      </c>
      <c r="T462" s="77">
        <v>1</v>
      </c>
      <c r="U462" s="77">
        <v>0</v>
      </c>
      <c r="V462" s="77">
        <v>1948</v>
      </c>
      <c r="W462" s="80" t="s">
        <v>6233</v>
      </c>
      <c r="X462" s="83" t="str">
        <f>HYPERLINK("https://noticiassin.com/economia/banco-central-informa-remesas-alcanza-us5909-3-millones-1477663/")</f>
        <v>https://noticiassin.com/economia/banco-central-informa-remesas-alcanza-us5909-3-millones-1477663/</v>
      </c>
      <c r="Y462" s="77" t="s">
        <v>8665</v>
      </c>
      <c r="Z462" s="77" t="s">
        <v>1753</v>
      </c>
      <c r="AA462" s="77"/>
      <c r="AB462" s="77"/>
      <c r="AC462" s="80" t="s">
        <v>10541</v>
      </c>
      <c r="AD462" s="77" t="s">
        <v>10620</v>
      </c>
      <c r="AE462" s="83" t="str">
        <f>HYPERLINK("https://twitter.com/sin24horas/status/1691202854923407360")</f>
        <v>https://twitter.com/sin24horas/status/1691202854923407360</v>
      </c>
      <c r="AF462" s="79">
        <v>45152.902268518519</v>
      </c>
      <c r="AG462" s="85">
        <v>45152</v>
      </c>
      <c r="AH462" s="80" t="s">
        <v>11043</v>
      </c>
      <c r="AI462" s="77" t="b">
        <v>0</v>
      </c>
      <c r="AJ462" s="77"/>
      <c r="AK462" s="77"/>
      <c r="AL462" s="77"/>
      <c r="AM462" s="77"/>
      <c r="AN462" s="77"/>
      <c r="AO462" s="77"/>
      <c r="AP462" s="77"/>
      <c r="AQ462" s="77"/>
      <c r="AR462" s="77"/>
      <c r="AS462" s="77"/>
      <c r="AT462" s="77"/>
      <c r="AU462" s="77"/>
      <c r="AV462" s="83" t="str">
        <f>HYPERLINK("https://pbs.twimg.com/profile_images/1615391011059933185/lH32rvQq_normal.jpg")</f>
        <v>https://pbs.twimg.com/profile_images/1615391011059933185/lH32rvQq_normal.jpg</v>
      </c>
      <c r="AW462" s="80" t="s">
        <v>16430</v>
      </c>
      <c r="AX462" s="80" t="s">
        <v>16430</v>
      </c>
      <c r="AY462" s="77"/>
      <c r="AZ462" s="80" t="s">
        <v>20380</v>
      </c>
      <c r="BA462" s="80" t="s">
        <v>20380</v>
      </c>
      <c r="BB462" s="80" t="s">
        <v>20380</v>
      </c>
      <c r="BC462" s="80" t="s">
        <v>16430</v>
      </c>
      <c r="BD462" s="77">
        <v>55660696</v>
      </c>
      <c r="BE462" s="77"/>
      <c r="BF462" s="77"/>
      <c r="BG462" s="77"/>
      <c r="BH462" s="77"/>
      <c r="BI462" s="77"/>
    </row>
    <row r="463" spans="1:61" x14ac:dyDescent="0.25">
      <c r="A463" s="62" t="s">
        <v>420</v>
      </c>
      <c r="B463" s="62" t="s">
        <v>1753</v>
      </c>
      <c r="C463" s="63"/>
      <c r="D463" s="64"/>
      <c r="E463" s="65"/>
      <c r="F463" s="66"/>
      <c r="G463" s="63"/>
      <c r="H463" s="67"/>
      <c r="I463" s="68"/>
      <c r="J463" s="68"/>
      <c r="K463" s="32"/>
      <c r="L463" s="75">
        <v>463</v>
      </c>
      <c r="M463" s="75"/>
      <c r="N463" s="70"/>
      <c r="O463" s="77" t="s">
        <v>2081</v>
      </c>
      <c r="P463" s="79">
        <v>45138.939849537041</v>
      </c>
      <c r="Q463" s="77" t="s">
        <v>2484</v>
      </c>
      <c r="R463" s="77">
        <v>0</v>
      </c>
      <c r="S463" s="77">
        <v>1</v>
      </c>
      <c r="T463" s="77">
        <v>0</v>
      </c>
      <c r="U463" s="77">
        <v>0</v>
      </c>
      <c r="V463" s="77">
        <v>2044</v>
      </c>
      <c r="W463" s="80" t="s">
        <v>6234</v>
      </c>
      <c r="X463" s="83" t="str">
        <f>HYPERLINK("https://noticiassin.com/pais/banco-central-mantiene-en-7-75-su-tasa-de-politica-monetaria-1468710/")</f>
        <v>https://noticiassin.com/pais/banco-central-mantiene-en-7-75-su-tasa-de-politica-monetaria-1468710/</v>
      </c>
      <c r="Y463" s="77" t="s">
        <v>8665</v>
      </c>
      <c r="Z463" s="77" t="s">
        <v>1753</v>
      </c>
      <c r="AA463" s="77" t="s">
        <v>9176</v>
      </c>
      <c r="AB463" s="77" t="s">
        <v>10535</v>
      </c>
      <c r="AC463" s="80" t="s">
        <v>10541</v>
      </c>
      <c r="AD463" s="77" t="s">
        <v>10620</v>
      </c>
      <c r="AE463" s="83" t="str">
        <f>HYPERLINK("https://twitter.com/sin24horas/status/1686143043357827073")</f>
        <v>https://twitter.com/sin24horas/status/1686143043357827073</v>
      </c>
      <c r="AF463" s="79">
        <v>45138.939849537041</v>
      </c>
      <c r="AG463" s="85">
        <v>45138</v>
      </c>
      <c r="AH463" s="80" t="s">
        <v>11044</v>
      </c>
      <c r="AI463" s="77" t="b">
        <v>0</v>
      </c>
      <c r="AJ463" s="77"/>
      <c r="AK463" s="77"/>
      <c r="AL463" s="77"/>
      <c r="AM463" s="77"/>
      <c r="AN463" s="77"/>
      <c r="AO463" s="77"/>
      <c r="AP463" s="77"/>
      <c r="AQ463" s="77" t="s">
        <v>14658</v>
      </c>
      <c r="AR463" s="77"/>
      <c r="AS463" s="77"/>
      <c r="AT463" s="77"/>
      <c r="AU463" s="77"/>
      <c r="AV463" s="83" t="str">
        <f>HYPERLINK("https://pbs.twimg.com/media/F2Zh962WsAAgV5w.jpg")</f>
        <v>https://pbs.twimg.com/media/F2Zh962WsAAgV5w.jpg</v>
      </c>
      <c r="AW463" s="80" t="s">
        <v>16431</v>
      </c>
      <c r="AX463" s="80" t="s">
        <v>16431</v>
      </c>
      <c r="AY463" s="77"/>
      <c r="AZ463" s="80" t="s">
        <v>20380</v>
      </c>
      <c r="BA463" s="80" t="s">
        <v>20380</v>
      </c>
      <c r="BB463" s="80" t="s">
        <v>20380</v>
      </c>
      <c r="BC463" s="80" t="s">
        <v>16431</v>
      </c>
      <c r="BD463" s="77">
        <v>55660696</v>
      </c>
      <c r="BE463" s="77"/>
      <c r="BF463" s="77"/>
      <c r="BG463" s="77"/>
      <c r="BH463" s="77"/>
      <c r="BI463" s="77"/>
    </row>
    <row r="464" spans="1:61" x14ac:dyDescent="0.25">
      <c r="A464" s="62" t="s">
        <v>420</v>
      </c>
      <c r="B464" s="62" t="s">
        <v>1753</v>
      </c>
      <c r="C464" s="63"/>
      <c r="D464" s="64"/>
      <c r="E464" s="65"/>
      <c r="F464" s="66"/>
      <c r="G464" s="63"/>
      <c r="H464" s="67"/>
      <c r="I464" s="68"/>
      <c r="J464" s="68"/>
      <c r="K464" s="32"/>
      <c r="L464" s="75">
        <v>464</v>
      </c>
      <c r="M464" s="75"/>
      <c r="N464" s="70"/>
      <c r="O464" s="77" t="s">
        <v>2081</v>
      </c>
      <c r="P464" s="79">
        <v>45176.909108796295</v>
      </c>
      <c r="Q464" s="77" t="s">
        <v>2485</v>
      </c>
      <c r="R464" s="77">
        <v>1</v>
      </c>
      <c r="S464" s="77">
        <v>0</v>
      </c>
      <c r="T464" s="77">
        <v>0</v>
      </c>
      <c r="U464" s="77">
        <v>0</v>
      </c>
      <c r="V464" s="77">
        <v>1491</v>
      </c>
      <c r="W464" s="80" t="s">
        <v>6235</v>
      </c>
      <c r="X464" s="83" t="str">
        <f>HYPERLINK("https://noticiassin.com/economia/banco-central-entra-a-formar-parte-del-comite-irving-fisher-1496186/")</f>
        <v>https://noticiassin.com/economia/banco-central-entra-a-formar-parte-del-comite-irving-fisher-1496186/</v>
      </c>
      <c r="Y464" s="77" t="s">
        <v>8665</v>
      </c>
      <c r="Z464" s="77" t="s">
        <v>1753</v>
      </c>
      <c r="AA464" s="77"/>
      <c r="AB464" s="77"/>
      <c r="AC464" s="80" t="s">
        <v>10541</v>
      </c>
      <c r="AD464" s="77" t="s">
        <v>10620</v>
      </c>
      <c r="AE464" s="83" t="str">
        <f>HYPERLINK("https://twitter.com/sin24horas/status/1699902643551023370")</f>
        <v>https://twitter.com/sin24horas/status/1699902643551023370</v>
      </c>
      <c r="AF464" s="79">
        <v>45176.909108796295</v>
      </c>
      <c r="AG464" s="85">
        <v>45176</v>
      </c>
      <c r="AH464" s="80" t="s">
        <v>11045</v>
      </c>
      <c r="AI464" s="77" t="b">
        <v>0</v>
      </c>
      <c r="AJ464" s="77"/>
      <c r="AK464" s="77"/>
      <c r="AL464" s="77"/>
      <c r="AM464" s="77"/>
      <c r="AN464" s="77"/>
      <c r="AO464" s="77"/>
      <c r="AP464" s="77"/>
      <c r="AQ464" s="77"/>
      <c r="AR464" s="77"/>
      <c r="AS464" s="77"/>
      <c r="AT464" s="77"/>
      <c r="AU464" s="77"/>
      <c r="AV464" s="83" t="str">
        <f>HYPERLINK("https://pbs.twimg.com/profile_images/1615391011059933185/lH32rvQq_normal.jpg")</f>
        <v>https://pbs.twimg.com/profile_images/1615391011059933185/lH32rvQq_normal.jpg</v>
      </c>
      <c r="AW464" s="80" t="s">
        <v>16432</v>
      </c>
      <c r="AX464" s="80" t="s">
        <v>16432</v>
      </c>
      <c r="AY464" s="77"/>
      <c r="AZ464" s="80" t="s">
        <v>20380</v>
      </c>
      <c r="BA464" s="80" t="s">
        <v>20380</v>
      </c>
      <c r="BB464" s="80" t="s">
        <v>20380</v>
      </c>
      <c r="BC464" s="80" t="s">
        <v>16432</v>
      </c>
      <c r="BD464" s="77">
        <v>55660696</v>
      </c>
      <c r="BE464" s="77"/>
      <c r="BF464" s="77"/>
      <c r="BG464" s="77"/>
      <c r="BH464" s="77"/>
      <c r="BI464" s="77"/>
    </row>
    <row r="465" spans="1:61" x14ac:dyDescent="0.25">
      <c r="A465" s="62" t="s">
        <v>420</v>
      </c>
      <c r="B465" s="62" t="s">
        <v>1754</v>
      </c>
      <c r="C465" s="63"/>
      <c r="D465" s="64"/>
      <c r="E465" s="65"/>
      <c r="F465" s="66"/>
      <c r="G465" s="63"/>
      <c r="H465" s="67"/>
      <c r="I465" s="68"/>
      <c r="J465" s="68"/>
      <c r="K465" s="32"/>
      <c r="L465" s="75">
        <v>465</v>
      </c>
      <c r="M465" s="75"/>
      <c r="N465" s="70"/>
      <c r="O465" s="77" t="s">
        <v>2081</v>
      </c>
      <c r="P465" s="79">
        <v>45114.008518518516</v>
      </c>
      <c r="Q465" s="77" t="s">
        <v>2486</v>
      </c>
      <c r="R465" s="77">
        <v>1</v>
      </c>
      <c r="S465" s="77">
        <v>5</v>
      </c>
      <c r="T465" s="77">
        <v>0</v>
      </c>
      <c r="U465" s="77">
        <v>0</v>
      </c>
      <c r="V465" s="77">
        <v>2790</v>
      </c>
      <c r="W465" s="80" t="s">
        <v>6232</v>
      </c>
      <c r="X465" s="83" t="str">
        <f>HYPERLINK("https://noticiassin.com/opinion/dos-minutos-baja-la-inflacion-y-que-1453278/")</f>
        <v>https://noticiassin.com/opinion/dos-minutos-baja-la-inflacion-y-que-1453278/</v>
      </c>
      <c r="Y465" s="77" t="s">
        <v>8665</v>
      </c>
      <c r="Z465" s="77" t="s">
        <v>1754</v>
      </c>
      <c r="AA465" s="77" t="s">
        <v>9177</v>
      </c>
      <c r="AB465" s="77" t="s">
        <v>10534</v>
      </c>
      <c r="AC465" s="80" t="s">
        <v>10541</v>
      </c>
      <c r="AD465" s="77" t="s">
        <v>10620</v>
      </c>
      <c r="AE465" s="83" t="str">
        <f>HYPERLINK("https://twitter.com/sin24horas/status/1677108232240726022")</f>
        <v>https://twitter.com/sin24horas/status/1677108232240726022</v>
      </c>
      <c r="AF465" s="79">
        <v>45114.008518518516</v>
      </c>
      <c r="AG465" s="85">
        <v>45114</v>
      </c>
      <c r="AH465" s="80" t="s">
        <v>11046</v>
      </c>
      <c r="AI465" s="77" t="b">
        <v>0</v>
      </c>
      <c r="AJ465" s="77"/>
      <c r="AK465" s="77"/>
      <c r="AL465" s="77"/>
      <c r="AM465" s="77"/>
      <c r="AN465" s="77"/>
      <c r="AO465" s="77"/>
      <c r="AP465" s="77"/>
      <c r="AQ465" s="77" t="s">
        <v>14659</v>
      </c>
      <c r="AR465" s="77">
        <v>127766</v>
      </c>
      <c r="AS465" s="77"/>
      <c r="AT465" s="77"/>
      <c r="AU465" s="77"/>
      <c r="AV465" s="83" t="str">
        <f>HYPERLINK("https://pbs.twimg.com/ext_tw_video_thumb/1677107988279033857/pu/img/DoQxKx-anAQ_GTJh.jpg")</f>
        <v>https://pbs.twimg.com/ext_tw_video_thumb/1677107988279033857/pu/img/DoQxKx-anAQ_GTJh.jpg</v>
      </c>
      <c r="AW465" s="80" t="s">
        <v>16433</v>
      </c>
      <c r="AX465" s="80" t="s">
        <v>16433</v>
      </c>
      <c r="AY465" s="77"/>
      <c r="AZ465" s="80" t="s">
        <v>20380</v>
      </c>
      <c r="BA465" s="80" t="s">
        <v>20380</v>
      </c>
      <c r="BB465" s="80" t="s">
        <v>20380</v>
      </c>
      <c r="BC465" s="80" t="s">
        <v>16433</v>
      </c>
      <c r="BD465" s="77">
        <v>55660696</v>
      </c>
      <c r="BE465" s="77"/>
      <c r="BF465" s="77"/>
      <c r="BG465" s="77"/>
      <c r="BH465" s="77"/>
      <c r="BI465" s="77"/>
    </row>
    <row r="466" spans="1:61" x14ac:dyDescent="0.25">
      <c r="A466" s="62" t="s">
        <v>421</v>
      </c>
      <c r="B466" s="62" t="s">
        <v>1681</v>
      </c>
      <c r="C466" s="63"/>
      <c r="D466" s="64"/>
      <c r="E466" s="65"/>
      <c r="F466" s="66"/>
      <c r="G466" s="63"/>
      <c r="H466" s="67"/>
      <c r="I466" s="68"/>
      <c r="J466" s="68"/>
      <c r="K466" s="32"/>
      <c r="L466" s="75">
        <v>466</v>
      </c>
      <c r="M466" s="75"/>
      <c r="N466" s="70"/>
      <c r="O466" s="77" t="s">
        <v>2083</v>
      </c>
      <c r="P466" s="79">
        <v>45195.568171296298</v>
      </c>
      <c r="Q466" s="77" t="s">
        <v>2237</v>
      </c>
      <c r="R466" s="77">
        <v>18</v>
      </c>
      <c r="S466" s="77">
        <v>0</v>
      </c>
      <c r="T466" s="77">
        <v>0</v>
      </c>
      <c r="U466" s="77">
        <v>0</v>
      </c>
      <c r="V466" s="77"/>
      <c r="W466" s="80" t="s">
        <v>6018</v>
      </c>
      <c r="X466" s="77"/>
      <c r="Y466" s="77"/>
      <c r="Z466" s="77" t="s">
        <v>1681</v>
      </c>
      <c r="AA466" s="77"/>
      <c r="AB466" s="77"/>
      <c r="AC466" s="80" t="s">
        <v>10541</v>
      </c>
      <c r="AD466" s="77" t="s">
        <v>10617</v>
      </c>
      <c r="AE466" s="83" t="str">
        <f>HYPERLINK("https://twitter.com/ronaldo63238623/status/1706664459761332713")</f>
        <v>https://twitter.com/ronaldo63238623/status/1706664459761332713</v>
      </c>
      <c r="AF466" s="79">
        <v>45195.568171296298</v>
      </c>
      <c r="AG466" s="85">
        <v>45195</v>
      </c>
      <c r="AH466" s="80" t="s">
        <v>11047</v>
      </c>
      <c r="AI466" s="77"/>
      <c r="AJ466" s="77"/>
      <c r="AK466" s="77"/>
      <c r="AL466" s="77"/>
      <c r="AM466" s="77"/>
      <c r="AN466" s="77"/>
      <c r="AO466" s="77"/>
      <c r="AP466" s="77"/>
      <c r="AQ466" s="77"/>
      <c r="AR466" s="77"/>
      <c r="AS466" s="77"/>
      <c r="AT466" s="77"/>
      <c r="AU466" s="77"/>
      <c r="AV466" s="83" t="str">
        <f>HYPERLINK("https://pbs.twimg.com/profile_images/1585689878083272713/F0oWl0AK_normal.png")</f>
        <v>https://pbs.twimg.com/profile_images/1585689878083272713/F0oWl0AK_normal.png</v>
      </c>
      <c r="AW466" s="80" t="s">
        <v>16434</v>
      </c>
      <c r="AX466" s="80" t="s">
        <v>16434</v>
      </c>
      <c r="AY466" s="77"/>
      <c r="AZ466" s="80" t="s">
        <v>20380</v>
      </c>
      <c r="BA466" s="80" t="s">
        <v>20380</v>
      </c>
      <c r="BB466" s="80" t="s">
        <v>19932</v>
      </c>
      <c r="BC466" s="80" t="s">
        <v>19932</v>
      </c>
      <c r="BD466" s="80" t="s">
        <v>20593</v>
      </c>
      <c r="BE466" s="77"/>
      <c r="BF466" s="77"/>
      <c r="BG466" s="77"/>
      <c r="BH466" s="77"/>
      <c r="BI466" s="77"/>
    </row>
    <row r="467" spans="1:61" x14ac:dyDescent="0.25">
      <c r="A467" s="62" t="s">
        <v>422</v>
      </c>
      <c r="B467" s="62" t="s">
        <v>422</v>
      </c>
      <c r="C467" s="63"/>
      <c r="D467" s="64"/>
      <c r="E467" s="65"/>
      <c r="F467" s="66"/>
      <c r="G467" s="63"/>
      <c r="H467" s="67"/>
      <c r="I467" s="68"/>
      <c r="J467" s="68"/>
      <c r="K467" s="32"/>
      <c r="L467" s="75">
        <v>467</v>
      </c>
      <c r="M467" s="75"/>
      <c r="N467" s="70"/>
      <c r="O467" s="77" t="s">
        <v>179</v>
      </c>
      <c r="P467" s="79">
        <v>45195.515960648147</v>
      </c>
      <c r="Q467" s="77" t="s">
        <v>2487</v>
      </c>
      <c r="R467" s="77">
        <v>0</v>
      </c>
      <c r="S467" s="77">
        <v>0</v>
      </c>
      <c r="T467" s="77">
        <v>0</v>
      </c>
      <c r="U467" s="77">
        <v>0</v>
      </c>
      <c r="V467" s="77">
        <v>53</v>
      </c>
      <c r="W467" s="80" t="s">
        <v>6236</v>
      </c>
      <c r="X467" s="77"/>
      <c r="Y467" s="77"/>
      <c r="Z467" s="77"/>
      <c r="AA467" s="77"/>
      <c r="AB467" s="77"/>
      <c r="AC467" s="80" t="s">
        <v>10540</v>
      </c>
      <c r="AD467" s="77" t="s">
        <v>10620</v>
      </c>
      <c r="AE467" s="83" t="str">
        <f>HYPERLINK("https://twitter.com/celi_eugenia/status/1706645541642277237")</f>
        <v>https://twitter.com/celi_eugenia/status/1706645541642277237</v>
      </c>
      <c r="AF467" s="79">
        <v>45195.515960648147</v>
      </c>
      <c r="AG467" s="85">
        <v>45195</v>
      </c>
      <c r="AH467" s="80" t="s">
        <v>11048</v>
      </c>
      <c r="AI467" s="77"/>
      <c r="AJ467" s="77"/>
      <c r="AK467" s="77"/>
      <c r="AL467" s="77"/>
      <c r="AM467" s="77"/>
      <c r="AN467" s="77"/>
      <c r="AO467" s="77"/>
      <c r="AP467" s="77"/>
      <c r="AQ467" s="77"/>
      <c r="AR467" s="77"/>
      <c r="AS467" s="77"/>
      <c r="AT467" s="77"/>
      <c r="AU467" s="77"/>
      <c r="AV467" s="83" t="str">
        <f>HYPERLINK("https://pbs.twimg.com/profile_images/1413209016700919813/xL84kV9H_normal.jpg")</f>
        <v>https://pbs.twimg.com/profile_images/1413209016700919813/xL84kV9H_normal.jpg</v>
      </c>
      <c r="AW467" s="80" t="s">
        <v>16435</v>
      </c>
      <c r="AX467" s="80" t="s">
        <v>16435</v>
      </c>
      <c r="AY467" s="77"/>
      <c r="AZ467" s="80" t="s">
        <v>20380</v>
      </c>
      <c r="BA467" s="80" t="s">
        <v>20380</v>
      </c>
      <c r="BB467" s="80" t="s">
        <v>20380</v>
      </c>
      <c r="BC467" s="80" t="s">
        <v>16435</v>
      </c>
      <c r="BD467" s="80" t="s">
        <v>20594</v>
      </c>
      <c r="BE467" s="77"/>
      <c r="BF467" s="77"/>
      <c r="BG467" s="77"/>
      <c r="BH467" s="77"/>
      <c r="BI467" s="77"/>
    </row>
    <row r="468" spans="1:61" x14ac:dyDescent="0.25">
      <c r="A468" s="62" t="s">
        <v>423</v>
      </c>
      <c r="B468" s="62" t="s">
        <v>423</v>
      </c>
      <c r="C468" s="63"/>
      <c r="D468" s="64"/>
      <c r="E468" s="65"/>
      <c r="F468" s="66"/>
      <c r="G468" s="63"/>
      <c r="H468" s="67"/>
      <c r="I468" s="68"/>
      <c r="J468" s="68"/>
      <c r="K468" s="32"/>
      <c r="L468" s="75">
        <v>468</v>
      </c>
      <c r="M468" s="75"/>
      <c r="N468" s="70"/>
      <c r="O468" s="77" t="s">
        <v>179</v>
      </c>
      <c r="P468" s="79">
        <v>45079.639745370368</v>
      </c>
      <c r="Q468" s="77" t="s">
        <v>2488</v>
      </c>
      <c r="R468" s="77">
        <v>0</v>
      </c>
      <c r="S468" s="77">
        <v>0</v>
      </c>
      <c r="T468" s="77">
        <v>0</v>
      </c>
      <c r="U468" s="77">
        <v>0</v>
      </c>
      <c r="V468" s="77">
        <v>14</v>
      </c>
      <c r="W468" s="80" t="s">
        <v>6237</v>
      </c>
      <c r="X468" s="83" t="str">
        <f>HYPERLINK("https://shre.ink/HNwJ")</f>
        <v>https://shre.ink/HNwJ</v>
      </c>
      <c r="Y468" s="77" t="s">
        <v>8666</v>
      </c>
      <c r="Z468" s="77"/>
      <c r="AA468" s="77" t="s">
        <v>9178</v>
      </c>
      <c r="AB468" s="77" t="s">
        <v>10535</v>
      </c>
      <c r="AC468" s="80" t="s">
        <v>10551</v>
      </c>
      <c r="AD468" s="77" t="s">
        <v>10620</v>
      </c>
      <c r="AE468" s="83" t="str">
        <f>HYPERLINK("https://twitter.com/rculturalok/status/1664653406265393152")</f>
        <v>https://twitter.com/rculturalok/status/1664653406265393152</v>
      </c>
      <c r="AF468" s="79">
        <v>45079.639745370368</v>
      </c>
      <c r="AG468" s="85">
        <v>45079</v>
      </c>
      <c r="AH468" s="80" t="s">
        <v>11049</v>
      </c>
      <c r="AI468" s="77" t="b">
        <v>0</v>
      </c>
      <c r="AJ468" s="77"/>
      <c r="AK468" s="77"/>
      <c r="AL468" s="77"/>
      <c r="AM468" s="77"/>
      <c r="AN468" s="77"/>
      <c r="AO468" s="77"/>
      <c r="AP468" s="77"/>
      <c r="AQ468" s="77" t="s">
        <v>14660</v>
      </c>
      <c r="AR468" s="77"/>
      <c r="AS468" s="77"/>
      <c r="AT468" s="77"/>
      <c r="AU468" s="77"/>
      <c r="AV468" s="83" t="str">
        <f>HYPERLINK("https://pbs.twimg.com/media/FxoJcpEXoAAyPKw.jpg")</f>
        <v>https://pbs.twimg.com/media/FxoJcpEXoAAyPKw.jpg</v>
      </c>
      <c r="AW468" s="80" t="s">
        <v>16436</v>
      </c>
      <c r="AX468" s="80" t="s">
        <v>16436</v>
      </c>
      <c r="AY468" s="77"/>
      <c r="AZ468" s="80" t="s">
        <v>20380</v>
      </c>
      <c r="BA468" s="80" t="s">
        <v>20380</v>
      </c>
      <c r="BB468" s="80" t="s">
        <v>20380</v>
      </c>
      <c r="BC468" s="80" t="s">
        <v>16436</v>
      </c>
      <c r="BD468" s="80" t="s">
        <v>20595</v>
      </c>
      <c r="BE468" s="77"/>
      <c r="BF468" s="77"/>
      <c r="BG468" s="77"/>
      <c r="BH468" s="77"/>
      <c r="BI468" s="77"/>
    </row>
    <row r="469" spans="1:61" x14ac:dyDescent="0.25">
      <c r="A469" s="62" t="s">
        <v>424</v>
      </c>
      <c r="B469" s="62" t="s">
        <v>1596</v>
      </c>
      <c r="C469" s="63"/>
      <c r="D469" s="64"/>
      <c r="E469" s="65"/>
      <c r="F469" s="66"/>
      <c r="G469" s="63"/>
      <c r="H469" s="67"/>
      <c r="I469" s="68"/>
      <c r="J469" s="68"/>
      <c r="K469" s="32"/>
      <c r="L469" s="75">
        <v>469</v>
      </c>
      <c r="M469" s="75"/>
      <c r="N469" s="70"/>
      <c r="O469" s="77" t="s">
        <v>2081</v>
      </c>
      <c r="P469" s="79">
        <v>45049.919490740744</v>
      </c>
      <c r="Q469" s="77" t="s">
        <v>2489</v>
      </c>
      <c r="R469" s="77">
        <v>0</v>
      </c>
      <c r="S469" s="77">
        <v>0</v>
      </c>
      <c r="T469" s="77">
        <v>1</v>
      </c>
      <c r="U469" s="77">
        <v>0</v>
      </c>
      <c r="V469" s="77">
        <v>61</v>
      </c>
      <c r="W469" s="80" t="s">
        <v>6008</v>
      </c>
      <c r="X469" s="83" t="str">
        <f>HYPERLINK("https://www.bcb.gov.br/detalhenoticia/17886/nota")</f>
        <v>https://www.bcb.gov.br/detalhenoticia/17886/nota</v>
      </c>
      <c r="Y469" s="77" t="s">
        <v>8633</v>
      </c>
      <c r="Z469" s="77" t="s">
        <v>1596</v>
      </c>
      <c r="AA469" s="77"/>
      <c r="AB469" s="77"/>
      <c r="AC469" s="80" t="s">
        <v>10541</v>
      </c>
      <c r="AD469" s="77" t="s">
        <v>10617</v>
      </c>
      <c r="AE469" s="83" t="str">
        <f>HYPERLINK("https://twitter.com/matheuslins_/status/1653883145425506314")</f>
        <v>https://twitter.com/matheuslins_/status/1653883145425506314</v>
      </c>
      <c r="AF469" s="79">
        <v>45049.919490740744</v>
      </c>
      <c r="AG469" s="85">
        <v>45049</v>
      </c>
      <c r="AH469" s="80" t="s">
        <v>11050</v>
      </c>
      <c r="AI469" s="77" t="b">
        <v>0</v>
      </c>
      <c r="AJ469" s="77"/>
      <c r="AK469" s="77"/>
      <c r="AL469" s="77"/>
      <c r="AM469" s="77"/>
      <c r="AN469" s="77"/>
      <c r="AO469" s="77"/>
      <c r="AP469" s="77"/>
      <c r="AQ469" s="77"/>
      <c r="AR469" s="77"/>
      <c r="AS469" s="77"/>
      <c r="AT469" s="77"/>
      <c r="AU469" s="77"/>
      <c r="AV469" s="83" t="str">
        <f>HYPERLINK("https://pbs.twimg.com/profile_images/1585224604531974144/8VxSk2PB_normal.jpg")</f>
        <v>https://pbs.twimg.com/profile_images/1585224604531974144/8VxSk2PB_normal.jpg</v>
      </c>
      <c r="AW469" s="80" t="s">
        <v>16437</v>
      </c>
      <c r="AX469" s="80" t="s">
        <v>16437</v>
      </c>
      <c r="AY469" s="77"/>
      <c r="AZ469" s="80" t="s">
        <v>20380</v>
      </c>
      <c r="BA469" s="80" t="s">
        <v>20380</v>
      </c>
      <c r="BB469" s="80" t="s">
        <v>20380</v>
      </c>
      <c r="BC469" s="80" t="s">
        <v>16437</v>
      </c>
      <c r="BD469" s="77">
        <v>120577823</v>
      </c>
      <c r="BE469" s="77"/>
      <c r="BF469" s="77"/>
      <c r="BG469" s="77"/>
      <c r="BH469" s="77"/>
      <c r="BI469" s="77"/>
    </row>
    <row r="470" spans="1:61" x14ac:dyDescent="0.25">
      <c r="A470" s="62" t="s">
        <v>425</v>
      </c>
      <c r="B470" s="62" t="s">
        <v>425</v>
      </c>
      <c r="C470" s="63"/>
      <c r="D470" s="64"/>
      <c r="E470" s="65"/>
      <c r="F470" s="66"/>
      <c r="G470" s="63"/>
      <c r="H470" s="67"/>
      <c r="I470" s="68"/>
      <c r="J470" s="68"/>
      <c r="K470" s="32"/>
      <c r="L470" s="75">
        <v>470</v>
      </c>
      <c r="M470" s="75"/>
      <c r="N470" s="70"/>
      <c r="O470" s="77" t="s">
        <v>179</v>
      </c>
      <c r="P470" s="79">
        <v>45134.512835648151</v>
      </c>
      <c r="Q470" s="77" t="s">
        <v>2490</v>
      </c>
      <c r="R470" s="77">
        <v>0</v>
      </c>
      <c r="S470" s="77">
        <v>0</v>
      </c>
      <c r="T470" s="77">
        <v>0</v>
      </c>
      <c r="U470" s="77">
        <v>0</v>
      </c>
      <c r="V470" s="77">
        <v>96</v>
      </c>
      <c r="W470" s="80" t="s">
        <v>6238</v>
      </c>
      <c r="X470" s="83" t="str">
        <f>HYPERLINK("https://www.fenae.org.br/portal/fenae-portal/comites-de-luta-se-mobilizam-contra-os-juros-altos.htm")</f>
        <v>https://www.fenae.org.br/portal/fenae-portal/comites-de-luta-se-mobilizam-contra-os-juros-altos.htm</v>
      </c>
      <c r="Y470" s="77" t="s">
        <v>8667</v>
      </c>
      <c r="Z470" s="77"/>
      <c r="AA470" s="77"/>
      <c r="AB470" s="77"/>
      <c r="AC470" s="80" t="s">
        <v>10541</v>
      </c>
      <c r="AD470" s="77" t="s">
        <v>10617</v>
      </c>
      <c r="AE470" s="83" t="str">
        <f>HYPERLINK("https://twitter.com/fenaefederacao/status/1684538749982474240")</f>
        <v>https://twitter.com/fenaefederacao/status/1684538749982474240</v>
      </c>
      <c r="AF470" s="79">
        <v>45134.512835648151</v>
      </c>
      <c r="AG470" s="85">
        <v>45134</v>
      </c>
      <c r="AH470" s="80" t="s">
        <v>11051</v>
      </c>
      <c r="AI470" s="77" t="b">
        <v>0</v>
      </c>
      <c r="AJ470" s="77"/>
      <c r="AK470" s="77"/>
      <c r="AL470" s="77"/>
      <c r="AM470" s="77"/>
      <c r="AN470" s="77"/>
      <c r="AO470" s="77"/>
      <c r="AP470" s="77"/>
      <c r="AQ470" s="77"/>
      <c r="AR470" s="77"/>
      <c r="AS470" s="77"/>
      <c r="AT470" s="77"/>
      <c r="AU470" s="77"/>
      <c r="AV470" s="83" t="str">
        <f>HYPERLINK("https://pbs.twimg.com/profile_images/1625207115466870807/w5pTS7fv_normal.jpg")</f>
        <v>https://pbs.twimg.com/profile_images/1625207115466870807/w5pTS7fv_normal.jpg</v>
      </c>
      <c r="AW470" s="80" t="s">
        <v>16438</v>
      </c>
      <c r="AX470" s="80" t="s">
        <v>16438</v>
      </c>
      <c r="AY470" s="77"/>
      <c r="AZ470" s="80" t="s">
        <v>20380</v>
      </c>
      <c r="BA470" s="80" t="s">
        <v>20380</v>
      </c>
      <c r="BB470" s="80" t="s">
        <v>20380</v>
      </c>
      <c r="BC470" s="80" t="s">
        <v>16438</v>
      </c>
      <c r="BD470" s="77">
        <v>65722618</v>
      </c>
      <c r="BE470" s="77"/>
      <c r="BF470" s="77"/>
      <c r="BG470" s="77"/>
      <c r="BH470" s="77"/>
      <c r="BI470" s="77"/>
    </row>
    <row r="471" spans="1:61" x14ac:dyDescent="0.25">
      <c r="A471" s="62" t="s">
        <v>426</v>
      </c>
      <c r="B471" s="62" t="s">
        <v>1596</v>
      </c>
      <c r="C471" s="63"/>
      <c r="D471" s="64"/>
      <c r="E471" s="65"/>
      <c r="F471" s="66"/>
      <c r="G471" s="63"/>
      <c r="H471" s="67"/>
      <c r="I471" s="68"/>
      <c r="J471" s="68"/>
      <c r="K471" s="32"/>
      <c r="L471" s="75">
        <v>471</v>
      </c>
      <c r="M471" s="75"/>
      <c r="N471" s="70"/>
      <c r="O471" s="77" t="s">
        <v>2081</v>
      </c>
      <c r="P471" s="79">
        <v>45079.232893518521</v>
      </c>
      <c r="Q471" s="77" t="s">
        <v>2491</v>
      </c>
      <c r="R471" s="77">
        <v>0</v>
      </c>
      <c r="S471" s="77">
        <v>0</v>
      </c>
      <c r="T471" s="77">
        <v>0</v>
      </c>
      <c r="U471" s="77">
        <v>0</v>
      </c>
      <c r="V471" s="77">
        <v>4</v>
      </c>
      <c r="W471" s="80" t="s">
        <v>6008</v>
      </c>
      <c r="X471" s="83" t="str">
        <f>HYPERLINK("https://www.bcb.gov.br/meubc/faqs/p/consulta-a-valores-de-pessoas-juridicas-sem-certificado-digital")</f>
        <v>https://www.bcb.gov.br/meubc/faqs/p/consulta-a-valores-de-pessoas-juridicas-sem-certificado-digital</v>
      </c>
      <c r="Y471" s="77" t="s">
        <v>8633</v>
      </c>
      <c r="Z471" s="77" t="s">
        <v>1596</v>
      </c>
      <c r="AA471" s="77"/>
      <c r="AB471" s="77"/>
      <c r="AC471" s="80" t="s">
        <v>10541</v>
      </c>
      <c r="AD471" s="77" t="s">
        <v>10622</v>
      </c>
      <c r="AE471" s="83" t="str">
        <f>HYPERLINK("https://twitter.com/mariste91302118/status/1664505968481169408")</f>
        <v>https://twitter.com/mariste91302118/status/1664505968481169408</v>
      </c>
      <c r="AF471" s="79">
        <v>45079.232893518521</v>
      </c>
      <c r="AG471" s="85">
        <v>45079</v>
      </c>
      <c r="AH471" s="80" t="s">
        <v>11052</v>
      </c>
      <c r="AI471" s="77" t="b">
        <v>0</v>
      </c>
      <c r="AJ471" s="77"/>
      <c r="AK471" s="77"/>
      <c r="AL471" s="77"/>
      <c r="AM471" s="77"/>
      <c r="AN471" s="77"/>
      <c r="AO471" s="77"/>
      <c r="AP471" s="77"/>
      <c r="AQ471" s="77"/>
      <c r="AR471" s="77"/>
      <c r="AS471" s="77"/>
      <c r="AT471" s="77"/>
      <c r="AU471" s="77"/>
      <c r="AV471" s="83" t="str">
        <f>HYPERLINK("https://pbs.twimg.com/profile_images/1336148507724558337/QWPYpGUQ_normal.jpg")</f>
        <v>https://pbs.twimg.com/profile_images/1336148507724558337/QWPYpGUQ_normal.jpg</v>
      </c>
      <c r="AW471" s="80" t="s">
        <v>16439</v>
      </c>
      <c r="AX471" s="80" t="s">
        <v>16439</v>
      </c>
      <c r="AY471" s="77"/>
      <c r="AZ471" s="80" t="s">
        <v>20380</v>
      </c>
      <c r="BA471" s="80" t="s">
        <v>20380</v>
      </c>
      <c r="BB471" s="80" t="s">
        <v>20380</v>
      </c>
      <c r="BC471" s="80" t="s">
        <v>16439</v>
      </c>
      <c r="BD471" s="80" t="s">
        <v>20596</v>
      </c>
      <c r="BE471" s="77"/>
      <c r="BF471" s="77"/>
      <c r="BG471" s="77"/>
      <c r="BH471" s="77"/>
      <c r="BI471" s="77"/>
    </row>
    <row r="472" spans="1:61" x14ac:dyDescent="0.25">
      <c r="A472" s="62" t="s">
        <v>426</v>
      </c>
      <c r="B472" s="62" t="s">
        <v>1596</v>
      </c>
      <c r="C472" s="63"/>
      <c r="D472" s="64"/>
      <c r="E472" s="65"/>
      <c r="F472" s="66"/>
      <c r="G472" s="63"/>
      <c r="H472" s="67"/>
      <c r="I472" s="68"/>
      <c r="J472" s="68"/>
      <c r="K472" s="32"/>
      <c r="L472" s="75">
        <v>472</v>
      </c>
      <c r="M472" s="75"/>
      <c r="N472" s="70"/>
      <c r="O472" s="77" t="s">
        <v>2081</v>
      </c>
      <c r="P472" s="79">
        <v>45079.232638888891</v>
      </c>
      <c r="Q472" s="77" t="s">
        <v>2492</v>
      </c>
      <c r="R472" s="77">
        <v>0</v>
      </c>
      <c r="S472" s="77">
        <v>0</v>
      </c>
      <c r="T472" s="77">
        <v>0</v>
      </c>
      <c r="U472" s="77">
        <v>0</v>
      </c>
      <c r="V472" s="77">
        <v>8</v>
      </c>
      <c r="W472" s="80" t="s">
        <v>6008</v>
      </c>
      <c r="X472" s="77"/>
      <c r="Y472" s="77"/>
      <c r="Z472" s="77" t="s">
        <v>1596</v>
      </c>
      <c r="AA472" s="77"/>
      <c r="AB472" s="77"/>
      <c r="AC472" s="80" t="s">
        <v>10541</v>
      </c>
      <c r="AD472" s="77" t="s">
        <v>10622</v>
      </c>
      <c r="AE472" s="83" t="str">
        <f>HYPERLINK("https://twitter.com/mariste91302118/status/1664505876298727424")</f>
        <v>https://twitter.com/mariste91302118/status/1664505876298727424</v>
      </c>
      <c r="AF472" s="79">
        <v>45079.232638888891</v>
      </c>
      <c r="AG472" s="85">
        <v>45079</v>
      </c>
      <c r="AH472" s="80" t="s">
        <v>11053</v>
      </c>
      <c r="AI472" s="77"/>
      <c r="AJ472" s="77"/>
      <c r="AK472" s="77"/>
      <c r="AL472" s="77"/>
      <c r="AM472" s="77"/>
      <c r="AN472" s="77"/>
      <c r="AO472" s="77"/>
      <c r="AP472" s="77"/>
      <c r="AQ472" s="77"/>
      <c r="AR472" s="77"/>
      <c r="AS472" s="77"/>
      <c r="AT472" s="77"/>
      <c r="AU472" s="77"/>
      <c r="AV472" s="83" t="str">
        <f>HYPERLINK("https://pbs.twimg.com/profile_images/1336148507724558337/QWPYpGUQ_normal.jpg")</f>
        <v>https://pbs.twimg.com/profile_images/1336148507724558337/QWPYpGUQ_normal.jpg</v>
      </c>
      <c r="AW472" s="80" t="s">
        <v>16440</v>
      </c>
      <c r="AX472" s="80" t="s">
        <v>16440</v>
      </c>
      <c r="AY472" s="77"/>
      <c r="AZ472" s="80" t="s">
        <v>20380</v>
      </c>
      <c r="BA472" s="80" t="s">
        <v>20380</v>
      </c>
      <c r="BB472" s="80" t="s">
        <v>20380</v>
      </c>
      <c r="BC472" s="80" t="s">
        <v>16440</v>
      </c>
      <c r="BD472" s="80" t="s">
        <v>20596</v>
      </c>
      <c r="BE472" s="77"/>
      <c r="BF472" s="77"/>
      <c r="BG472" s="77"/>
      <c r="BH472" s="77"/>
      <c r="BI472" s="77"/>
    </row>
    <row r="473" spans="1:61" x14ac:dyDescent="0.25">
      <c r="A473" s="62" t="s">
        <v>427</v>
      </c>
      <c r="B473" s="62" t="s">
        <v>427</v>
      </c>
      <c r="C473" s="63"/>
      <c r="D473" s="64"/>
      <c r="E473" s="65"/>
      <c r="F473" s="66"/>
      <c r="G473" s="63"/>
      <c r="H473" s="67"/>
      <c r="I473" s="68"/>
      <c r="J473" s="68"/>
      <c r="K473" s="32"/>
      <c r="L473" s="75">
        <v>473</v>
      </c>
      <c r="M473" s="75"/>
      <c r="N473" s="70"/>
      <c r="O473" s="77" t="s">
        <v>179</v>
      </c>
      <c r="P473" s="79">
        <v>45140.638032407405</v>
      </c>
      <c r="Q473" s="77" t="s">
        <v>2493</v>
      </c>
      <c r="R473" s="77">
        <v>0</v>
      </c>
      <c r="S473" s="77">
        <v>4</v>
      </c>
      <c r="T473" s="77">
        <v>0</v>
      </c>
      <c r="U473" s="77">
        <v>0</v>
      </c>
      <c r="V473" s="77">
        <v>87</v>
      </c>
      <c r="W473" s="80" t="s">
        <v>6239</v>
      </c>
      <c r="X473" s="77"/>
      <c r="Y473" s="77"/>
      <c r="Z473" s="77"/>
      <c r="AA473" s="77" t="s">
        <v>9179</v>
      </c>
      <c r="AB473" s="77" t="s">
        <v>10534</v>
      </c>
      <c r="AC473" s="80" t="s">
        <v>10542</v>
      </c>
      <c r="AD473" s="77" t="s">
        <v>10617</v>
      </c>
      <c r="AE473" s="83" t="str">
        <f>HYPERLINK("https://twitter.com/josiasgomesba/status/1686758446543056896")</f>
        <v>https://twitter.com/josiasgomesba/status/1686758446543056896</v>
      </c>
      <c r="AF473" s="79">
        <v>45140.638032407405</v>
      </c>
      <c r="AG473" s="85">
        <v>45140</v>
      </c>
      <c r="AH473" s="80" t="s">
        <v>11054</v>
      </c>
      <c r="AI473" s="77" t="b">
        <v>0</v>
      </c>
      <c r="AJ473" s="77"/>
      <c r="AK473" s="77"/>
      <c r="AL473" s="77"/>
      <c r="AM473" s="77"/>
      <c r="AN473" s="77"/>
      <c r="AO473" s="77"/>
      <c r="AP473" s="77"/>
      <c r="AQ473" s="77" t="s">
        <v>14661</v>
      </c>
      <c r="AR473" s="77">
        <v>55285</v>
      </c>
      <c r="AS473" s="77"/>
      <c r="AT473" s="77"/>
      <c r="AU473" s="77"/>
      <c r="AV473" s="83" t="str">
        <f>HYPERLINK("https://pbs.twimg.com/ext_tw_video_thumb/1686758369745379329/pu/img/csRz1w5_CwPnlv_r.jpg")</f>
        <v>https://pbs.twimg.com/ext_tw_video_thumb/1686758369745379329/pu/img/csRz1w5_CwPnlv_r.jpg</v>
      </c>
      <c r="AW473" s="80" t="s">
        <v>16441</v>
      </c>
      <c r="AX473" s="80" t="s">
        <v>16441</v>
      </c>
      <c r="AY473" s="77"/>
      <c r="AZ473" s="80" t="s">
        <v>20380</v>
      </c>
      <c r="BA473" s="80" t="s">
        <v>20380</v>
      </c>
      <c r="BB473" s="80" t="s">
        <v>20380</v>
      </c>
      <c r="BC473" s="80" t="s">
        <v>16441</v>
      </c>
      <c r="BD473" s="77">
        <v>154327424</v>
      </c>
      <c r="BE473" s="77"/>
      <c r="BF473" s="77"/>
      <c r="BG473" s="77"/>
      <c r="BH473" s="77"/>
      <c r="BI473" s="77"/>
    </row>
    <row r="474" spans="1:61" x14ac:dyDescent="0.25">
      <c r="A474" s="62" t="s">
        <v>428</v>
      </c>
      <c r="B474" s="62" t="s">
        <v>1110</v>
      </c>
      <c r="C474" s="63"/>
      <c r="D474" s="64"/>
      <c r="E474" s="65"/>
      <c r="F474" s="66"/>
      <c r="G474" s="63"/>
      <c r="H474" s="67"/>
      <c r="I474" s="68"/>
      <c r="J474" s="68"/>
      <c r="K474" s="32"/>
      <c r="L474" s="75">
        <v>474</v>
      </c>
      <c r="M474" s="75"/>
      <c r="N474" s="70"/>
      <c r="O474" s="77" t="s">
        <v>2082</v>
      </c>
      <c r="P474" s="79">
        <v>45180.859884259262</v>
      </c>
      <c r="Q474" s="77" t="s">
        <v>2494</v>
      </c>
      <c r="R474" s="77">
        <v>0</v>
      </c>
      <c r="S474" s="77">
        <v>0</v>
      </c>
      <c r="T474" s="77">
        <v>0</v>
      </c>
      <c r="U474" s="77">
        <v>0</v>
      </c>
      <c r="V474" s="77">
        <v>56</v>
      </c>
      <c r="W474" s="80" t="s">
        <v>6240</v>
      </c>
      <c r="X474" s="77"/>
      <c r="Y474" s="77"/>
      <c r="Z474" s="77"/>
      <c r="AA474" s="77"/>
      <c r="AB474" s="77"/>
      <c r="AC474" s="80" t="s">
        <v>10541</v>
      </c>
      <c r="AD474" s="77" t="s">
        <v>10620</v>
      </c>
      <c r="AE474" s="83" t="str">
        <f>HYPERLINK("https://twitter.com/pastrian_jose/status/1701334357510586528")</f>
        <v>https://twitter.com/pastrian_jose/status/1701334357510586528</v>
      </c>
      <c r="AF474" s="79">
        <v>45180.859884259262</v>
      </c>
      <c r="AG474" s="85">
        <v>45180</v>
      </c>
      <c r="AH474" s="80" t="s">
        <v>11055</v>
      </c>
      <c r="AI474" s="77"/>
      <c r="AJ474" s="77"/>
      <c r="AK474" s="77"/>
      <c r="AL474" s="77"/>
      <c r="AM474" s="77"/>
      <c r="AN474" s="77"/>
      <c r="AO474" s="77"/>
      <c r="AP474" s="77"/>
      <c r="AQ474" s="77"/>
      <c r="AR474" s="77"/>
      <c r="AS474" s="77"/>
      <c r="AT474" s="77"/>
      <c r="AU474" s="77"/>
      <c r="AV474" s="83" t="str">
        <f>HYPERLINK("https://pbs.twimg.com/profile_images/1070108150018269184/PVg5fGlw_normal.jpg")</f>
        <v>https://pbs.twimg.com/profile_images/1070108150018269184/PVg5fGlw_normal.jpg</v>
      </c>
      <c r="AW474" s="80" t="s">
        <v>16442</v>
      </c>
      <c r="AX474" s="80" t="s">
        <v>16442</v>
      </c>
      <c r="AY474" s="77"/>
      <c r="AZ474" s="80" t="s">
        <v>20380</v>
      </c>
      <c r="BA474" s="80" t="s">
        <v>18457</v>
      </c>
      <c r="BB474" s="80" t="s">
        <v>20380</v>
      </c>
      <c r="BC474" s="80" t="s">
        <v>18457</v>
      </c>
      <c r="BD474" s="80" t="s">
        <v>20597</v>
      </c>
      <c r="BE474" s="77"/>
      <c r="BF474" s="77"/>
      <c r="BG474" s="77"/>
      <c r="BH474" s="77"/>
      <c r="BI474" s="77"/>
    </row>
    <row r="475" spans="1:61" x14ac:dyDescent="0.25">
      <c r="A475" s="62" t="s">
        <v>429</v>
      </c>
      <c r="B475" s="62" t="s">
        <v>429</v>
      </c>
      <c r="C475" s="63"/>
      <c r="D475" s="64"/>
      <c r="E475" s="65"/>
      <c r="F475" s="66"/>
      <c r="G475" s="63"/>
      <c r="H475" s="67"/>
      <c r="I475" s="68"/>
      <c r="J475" s="68"/>
      <c r="K475" s="32"/>
      <c r="L475" s="75">
        <v>475</v>
      </c>
      <c r="M475" s="75"/>
      <c r="N475" s="70"/>
      <c r="O475" s="77" t="s">
        <v>179</v>
      </c>
      <c r="P475" s="79">
        <v>45186.629548611112</v>
      </c>
      <c r="Q475" s="77" t="s">
        <v>2495</v>
      </c>
      <c r="R475" s="77">
        <v>0</v>
      </c>
      <c r="S475" s="77">
        <v>0</v>
      </c>
      <c r="T475" s="77">
        <v>0</v>
      </c>
      <c r="U475" s="77">
        <v>0</v>
      </c>
      <c r="V475" s="77">
        <v>10</v>
      </c>
      <c r="W475" s="80" t="s">
        <v>6241</v>
      </c>
      <c r="X475" s="83" t="str">
        <f>HYPERLINK("https://vm.tiktok.com/ZMjBXyGKr/")</f>
        <v>https://vm.tiktok.com/ZMjBXyGKr/</v>
      </c>
      <c r="Y475" s="77" t="s">
        <v>8641</v>
      </c>
      <c r="Z475" s="77"/>
      <c r="AA475" s="77"/>
      <c r="AB475" s="77"/>
      <c r="AC475" s="80" t="s">
        <v>10540</v>
      </c>
      <c r="AD475" s="77" t="s">
        <v>10620</v>
      </c>
      <c r="AE475" s="83" t="str">
        <f>HYPERLINK("https://twitter.com/casandra61/status/1703425212237394122")</f>
        <v>https://twitter.com/casandra61/status/1703425212237394122</v>
      </c>
      <c r="AF475" s="79">
        <v>45186.629548611112</v>
      </c>
      <c r="AG475" s="85">
        <v>45186</v>
      </c>
      <c r="AH475" s="80" t="s">
        <v>11056</v>
      </c>
      <c r="AI475" s="77" t="b">
        <v>0</v>
      </c>
      <c r="AJ475" s="77"/>
      <c r="AK475" s="77"/>
      <c r="AL475" s="77"/>
      <c r="AM475" s="77"/>
      <c r="AN475" s="77"/>
      <c r="AO475" s="77"/>
      <c r="AP475" s="77"/>
      <c r="AQ475" s="77"/>
      <c r="AR475" s="77"/>
      <c r="AS475" s="77"/>
      <c r="AT475" s="77"/>
      <c r="AU475" s="77"/>
      <c r="AV475" s="83" t="str">
        <f>HYPERLINK("https://pbs.twimg.com/profile_images/1690227431880187904/eSppIPQb_normal.jpg")</f>
        <v>https://pbs.twimg.com/profile_images/1690227431880187904/eSppIPQb_normal.jpg</v>
      </c>
      <c r="AW475" s="80" t="s">
        <v>16443</v>
      </c>
      <c r="AX475" s="80" t="s">
        <v>16443</v>
      </c>
      <c r="AY475" s="77"/>
      <c r="AZ475" s="80" t="s">
        <v>20380</v>
      </c>
      <c r="BA475" s="80" t="s">
        <v>20380</v>
      </c>
      <c r="BB475" s="80" t="s">
        <v>20380</v>
      </c>
      <c r="BC475" s="80" t="s">
        <v>16443</v>
      </c>
      <c r="BD475" s="77">
        <v>206286309</v>
      </c>
      <c r="BE475" s="77"/>
      <c r="BF475" s="77"/>
      <c r="BG475" s="77"/>
      <c r="BH475" s="77"/>
      <c r="BI475" s="77"/>
    </row>
    <row r="476" spans="1:61" x14ac:dyDescent="0.25">
      <c r="A476" s="62" t="s">
        <v>430</v>
      </c>
      <c r="B476" s="62" t="s">
        <v>430</v>
      </c>
      <c r="C476" s="63"/>
      <c r="D476" s="64"/>
      <c r="E476" s="65"/>
      <c r="F476" s="66"/>
      <c r="G476" s="63"/>
      <c r="H476" s="67"/>
      <c r="I476" s="68"/>
      <c r="J476" s="68"/>
      <c r="K476" s="32"/>
      <c r="L476" s="75">
        <v>476</v>
      </c>
      <c r="M476" s="75"/>
      <c r="N476" s="70"/>
      <c r="O476" s="77" t="s">
        <v>179</v>
      </c>
      <c r="P476" s="79">
        <v>45174.906909722224</v>
      </c>
      <c r="Q476" s="77" t="s">
        <v>2496</v>
      </c>
      <c r="R476" s="77">
        <v>0</v>
      </c>
      <c r="S476" s="77">
        <v>0</v>
      </c>
      <c r="T476" s="77">
        <v>0</v>
      </c>
      <c r="U476" s="77">
        <v>0</v>
      </c>
      <c r="V476" s="77">
        <v>12</v>
      </c>
      <c r="W476" s="80" t="s">
        <v>6242</v>
      </c>
      <c r="X476" s="83" t="str">
        <f>HYPERLINK("https://estrellasyredes.net/?p=79584")</f>
        <v>https://estrellasyredes.net/?p=79584</v>
      </c>
      <c r="Y476" s="77" t="s">
        <v>8668</v>
      </c>
      <c r="Z476" s="77"/>
      <c r="AA476" s="77"/>
      <c r="AB476" s="77"/>
      <c r="AC476" s="80" t="s">
        <v>10540</v>
      </c>
      <c r="AD476" s="77" t="s">
        <v>10620</v>
      </c>
      <c r="AE476" s="83" t="str">
        <f>HYPERLINK("https://twitter.com/kevinmorillo2/status/1699177070125797812")</f>
        <v>https://twitter.com/kevinmorillo2/status/1699177070125797812</v>
      </c>
      <c r="AF476" s="79">
        <v>45174.906909722224</v>
      </c>
      <c r="AG476" s="85">
        <v>45174</v>
      </c>
      <c r="AH476" s="80" t="s">
        <v>11057</v>
      </c>
      <c r="AI476" s="77" t="b">
        <v>0</v>
      </c>
      <c r="AJ476" s="77"/>
      <c r="AK476" s="77"/>
      <c r="AL476" s="77"/>
      <c r="AM476" s="77"/>
      <c r="AN476" s="77"/>
      <c r="AO476" s="77"/>
      <c r="AP476" s="77"/>
      <c r="AQ476" s="77"/>
      <c r="AR476" s="77"/>
      <c r="AS476" s="77"/>
      <c r="AT476" s="77"/>
      <c r="AU476" s="77"/>
      <c r="AV476" s="83" t="str">
        <f>HYPERLINK("https://pbs.twimg.com/profile_images/1292914211681644546/2mQgvril_normal.jpg")</f>
        <v>https://pbs.twimg.com/profile_images/1292914211681644546/2mQgvril_normal.jpg</v>
      </c>
      <c r="AW476" s="80" t="s">
        <v>16444</v>
      </c>
      <c r="AX476" s="80" t="s">
        <v>16444</v>
      </c>
      <c r="AY476" s="77"/>
      <c r="AZ476" s="80" t="s">
        <v>20380</v>
      </c>
      <c r="BA476" s="80" t="s">
        <v>20380</v>
      </c>
      <c r="BB476" s="80" t="s">
        <v>20380</v>
      </c>
      <c r="BC476" s="80" t="s">
        <v>16444</v>
      </c>
      <c r="BD476" s="80" t="s">
        <v>20598</v>
      </c>
      <c r="BE476" s="77"/>
      <c r="BF476" s="77"/>
      <c r="BG476" s="77"/>
      <c r="BH476" s="77"/>
      <c r="BI476" s="77"/>
    </row>
    <row r="477" spans="1:61" x14ac:dyDescent="0.25">
      <c r="A477" s="62" t="s">
        <v>430</v>
      </c>
      <c r="B477" s="62" t="s">
        <v>430</v>
      </c>
      <c r="C477" s="63"/>
      <c r="D477" s="64"/>
      <c r="E477" s="65"/>
      <c r="F477" s="66"/>
      <c r="G477" s="63"/>
      <c r="H477" s="67"/>
      <c r="I477" s="68"/>
      <c r="J477" s="68"/>
      <c r="K477" s="32"/>
      <c r="L477" s="75">
        <v>477</v>
      </c>
      <c r="M477" s="75"/>
      <c r="N477" s="70"/>
      <c r="O477" s="77" t="s">
        <v>179</v>
      </c>
      <c r="P477" s="79">
        <v>45106.854745370372</v>
      </c>
      <c r="Q477" s="77" t="s">
        <v>2497</v>
      </c>
      <c r="R477" s="77">
        <v>0</v>
      </c>
      <c r="S477" s="77">
        <v>0</v>
      </c>
      <c r="T477" s="77">
        <v>0</v>
      </c>
      <c r="U477" s="77">
        <v>0</v>
      </c>
      <c r="V477" s="77">
        <v>3</v>
      </c>
      <c r="W477" s="80" t="s">
        <v>6243</v>
      </c>
      <c r="X477" s="83" t="str">
        <f>HYPERLINK("https://estrellasyredes.net/?p=75551")</f>
        <v>https://estrellasyredes.net/?p=75551</v>
      </c>
      <c r="Y477" s="77" t="s">
        <v>8668</v>
      </c>
      <c r="Z477" s="77"/>
      <c r="AA477" s="77"/>
      <c r="AB477" s="77"/>
      <c r="AC477" s="80" t="s">
        <v>10540</v>
      </c>
      <c r="AD477" s="77" t="s">
        <v>10620</v>
      </c>
      <c r="AE477" s="83" t="str">
        <f>HYPERLINK("https://twitter.com/kevinmorillo2/status/1674515790194769921")</f>
        <v>https://twitter.com/kevinmorillo2/status/1674515790194769921</v>
      </c>
      <c r="AF477" s="79">
        <v>45106.854745370372</v>
      </c>
      <c r="AG477" s="85">
        <v>45106</v>
      </c>
      <c r="AH477" s="80" t="s">
        <v>11058</v>
      </c>
      <c r="AI477" s="77" t="b">
        <v>0</v>
      </c>
      <c r="AJ477" s="77"/>
      <c r="AK477" s="77"/>
      <c r="AL477" s="77"/>
      <c r="AM477" s="77"/>
      <c r="AN477" s="77"/>
      <c r="AO477" s="77"/>
      <c r="AP477" s="77"/>
      <c r="AQ477" s="77"/>
      <c r="AR477" s="77"/>
      <c r="AS477" s="77"/>
      <c r="AT477" s="77"/>
      <c r="AU477" s="77"/>
      <c r="AV477" s="83" t="str">
        <f>HYPERLINK("https://pbs.twimg.com/profile_images/1292914211681644546/2mQgvril_normal.jpg")</f>
        <v>https://pbs.twimg.com/profile_images/1292914211681644546/2mQgvril_normal.jpg</v>
      </c>
      <c r="AW477" s="80" t="s">
        <v>16445</v>
      </c>
      <c r="AX477" s="80" t="s">
        <v>16445</v>
      </c>
      <c r="AY477" s="77"/>
      <c r="AZ477" s="80" t="s">
        <v>20380</v>
      </c>
      <c r="BA477" s="80" t="s">
        <v>20380</v>
      </c>
      <c r="BB477" s="80" t="s">
        <v>20380</v>
      </c>
      <c r="BC477" s="80" t="s">
        <v>16445</v>
      </c>
      <c r="BD477" s="80" t="s">
        <v>20598</v>
      </c>
      <c r="BE477" s="77"/>
      <c r="BF477" s="77"/>
      <c r="BG477" s="77"/>
      <c r="BH477" s="77"/>
      <c r="BI477" s="77"/>
    </row>
    <row r="478" spans="1:61" x14ac:dyDescent="0.25">
      <c r="A478" s="62" t="s">
        <v>430</v>
      </c>
      <c r="B478" s="62" t="s">
        <v>430</v>
      </c>
      <c r="C478" s="63"/>
      <c r="D478" s="64"/>
      <c r="E478" s="65"/>
      <c r="F478" s="66"/>
      <c r="G478" s="63"/>
      <c r="H478" s="67"/>
      <c r="I478" s="68"/>
      <c r="J478" s="68"/>
      <c r="K478" s="32"/>
      <c r="L478" s="75">
        <v>478</v>
      </c>
      <c r="M478" s="75"/>
      <c r="N478" s="70"/>
      <c r="O478" s="77" t="s">
        <v>179</v>
      </c>
      <c r="P478" s="79">
        <v>45177.566944444443</v>
      </c>
      <c r="Q478" s="77" t="s">
        <v>2498</v>
      </c>
      <c r="R478" s="77">
        <v>0</v>
      </c>
      <c r="S478" s="77">
        <v>0</v>
      </c>
      <c r="T478" s="77">
        <v>0</v>
      </c>
      <c r="U478" s="77">
        <v>0</v>
      </c>
      <c r="V478" s="77">
        <v>1</v>
      </c>
      <c r="W478" s="80" t="s">
        <v>6243</v>
      </c>
      <c r="X478" s="83" t="str">
        <f>HYPERLINK("http://estrellasyredes.net/?p=79674")</f>
        <v>http://estrellasyredes.net/?p=79674</v>
      </c>
      <c r="Y478" s="77" t="s">
        <v>8668</v>
      </c>
      <c r="Z478" s="77"/>
      <c r="AA478" s="77"/>
      <c r="AB478" s="77"/>
      <c r="AC478" s="80" t="s">
        <v>10540</v>
      </c>
      <c r="AD478" s="77" t="s">
        <v>10620</v>
      </c>
      <c r="AE478" s="83" t="str">
        <f>HYPERLINK("https://twitter.com/kevinmorillo2/status/1700141035119116786")</f>
        <v>https://twitter.com/kevinmorillo2/status/1700141035119116786</v>
      </c>
      <c r="AF478" s="79">
        <v>45177.566944444443</v>
      </c>
      <c r="AG478" s="85">
        <v>45177</v>
      </c>
      <c r="AH478" s="80" t="s">
        <v>11059</v>
      </c>
      <c r="AI478" s="77" t="b">
        <v>0</v>
      </c>
      <c r="AJ478" s="77"/>
      <c r="AK478" s="77"/>
      <c r="AL478" s="77"/>
      <c r="AM478" s="77"/>
      <c r="AN478" s="77"/>
      <c r="AO478" s="77"/>
      <c r="AP478" s="77"/>
      <c r="AQ478" s="77"/>
      <c r="AR478" s="77"/>
      <c r="AS478" s="77"/>
      <c r="AT478" s="77"/>
      <c r="AU478" s="77"/>
      <c r="AV478" s="83" t="str">
        <f>HYPERLINK("https://pbs.twimg.com/profile_images/1292914211681644546/2mQgvril_normal.jpg")</f>
        <v>https://pbs.twimg.com/profile_images/1292914211681644546/2mQgvril_normal.jpg</v>
      </c>
      <c r="AW478" s="80" t="s">
        <v>16446</v>
      </c>
      <c r="AX478" s="80" t="s">
        <v>16446</v>
      </c>
      <c r="AY478" s="77"/>
      <c r="AZ478" s="80" t="s">
        <v>20380</v>
      </c>
      <c r="BA478" s="80" t="s">
        <v>20380</v>
      </c>
      <c r="BB478" s="80" t="s">
        <v>20380</v>
      </c>
      <c r="BC478" s="80" t="s">
        <v>16446</v>
      </c>
      <c r="BD478" s="80" t="s">
        <v>20598</v>
      </c>
      <c r="BE478" s="77"/>
      <c r="BF478" s="77"/>
      <c r="BG478" s="77"/>
      <c r="BH478" s="77"/>
      <c r="BI478" s="77"/>
    </row>
    <row r="479" spans="1:61" x14ac:dyDescent="0.25">
      <c r="A479" s="62" t="s">
        <v>430</v>
      </c>
      <c r="B479" s="62" t="s">
        <v>430</v>
      </c>
      <c r="C479" s="63"/>
      <c r="D479" s="64"/>
      <c r="E479" s="65"/>
      <c r="F479" s="66"/>
      <c r="G479" s="63"/>
      <c r="H479" s="67"/>
      <c r="I479" s="68"/>
      <c r="J479" s="68"/>
      <c r="K479" s="32"/>
      <c r="L479" s="75">
        <v>479</v>
      </c>
      <c r="M479" s="75"/>
      <c r="N479" s="70"/>
      <c r="O479" s="77" t="s">
        <v>179</v>
      </c>
      <c r="P479" s="79">
        <v>45169.778703703705</v>
      </c>
      <c r="Q479" s="77" t="s">
        <v>2499</v>
      </c>
      <c r="R479" s="77">
        <v>0</v>
      </c>
      <c r="S479" s="77">
        <v>0</v>
      </c>
      <c r="T479" s="77">
        <v>0</v>
      </c>
      <c r="U479" s="77">
        <v>0</v>
      </c>
      <c r="V479" s="77">
        <v>5</v>
      </c>
      <c r="W479" s="80" t="s">
        <v>6243</v>
      </c>
      <c r="X479" s="83" t="str">
        <f>HYPERLINK("https://estrellasyredes.net/?p=79339")</f>
        <v>https://estrellasyredes.net/?p=79339</v>
      </c>
      <c r="Y479" s="77" t="s">
        <v>8668</v>
      </c>
      <c r="Z479" s="77"/>
      <c r="AA479" s="77"/>
      <c r="AB479" s="77"/>
      <c r="AC479" s="80" t="s">
        <v>10540</v>
      </c>
      <c r="AD479" s="77" t="s">
        <v>10620</v>
      </c>
      <c r="AE479" s="83" t="str">
        <f>HYPERLINK("https://twitter.com/kevinmorillo2/status/1697318672774152229")</f>
        <v>https://twitter.com/kevinmorillo2/status/1697318672774152229</v>
      </c>
      <c r="AF479" s="79">
        <v>45169.778703703705</v>
      </c>
      <c r="AG479" s="85">
        <v>45169</v>
      </c>
      <c r="AH479" s="80" t="s">
        <v>11060</v>
      </c>
      <c r="AI479" s="77" t="b">
        <v>0</v>
      </c>
      <c r="AJ479" s="77"/>
      <c r="AK479" s="77"/>
      <c r="AL479" s="77"/>
      <c r="AM479" s="77"/>
      <c r="AN479" s="77"/>
      <c r="AO479" s="77"/>
      <c r="AP479" s="77"/>
      <c r="AQ479" s="77"/>
      <c r="AR479" s="77"/>
      <c r="AS479" s="77"/>
      <c r="AT479" s="77"/>
      <c r="AU479" s="77"/>
      <c r="AV479" s="83" t="str">
        <f>HYPERLINK("https://pbs.twimg.com/profile_images/1292914211681644546/2mQgvril_normal.jpg")</f>
        <v>https://pbs.twimg.com/profile_images/1292914211681644546/2mQgvril_normal.jpg</v>
      </c>
      <c r="AW479" s="80" t="s">
        <v>16447</v>
      </c>
      <c r="AX479" s="80" t="s">
        <v>16447</v>
      </c>
      <c r="AY479" s="77"/>
      <c r="AZ479" s="80" t="s">
        <v>20380</v>
      </c>
      <c r="BA479" s="80" t="s">
        <v>20380</v>
      </c>
      <c r="BB479" s="80" t="s">
        <v>20380</v>
      </c>
      <c r="BC479" s="80" t="s">
        <v>16447</v>
      </c>
      <c r="BD479" s="80" t="s">
        <v>20598</v>
      </c>
      <c r="BE479" s="77"/>
      <c r="BF479" s="77"/>
      <c r="BG479" s="77"/>
      <c r="BH479" s="77"/>
      <c r="BI479" s="77"/>
    </row>
    <row r="480" spans="1:61" x14ac:dyDescent="0.25">
      <c r="A480" s="62" t="s">
        <v>431</v>
      </c>
      <c r="B480" s="62" t="s">
        <v>1372</v>
      </c>
      <c r="C480" s="63"/>
      <c r="D480" s="64"/>
      <c r="E480" s="65"/>
      <c r="F480" s="66"/>
      <c r="G480" s="63"/>
      <c r="H480" s="67"/>
      <c r="I480" s="68"/>
      <c r="J480" s="68"/>
      <c r="K480" s="32"/>
      <c r="L480" s="75">
        <v>480</v>
      </c>
      <c r="M480" s="75"/>
      <c r="N480" s="70"/>
      <c r="O480" s="77" t="s">
        <v>2082</v>
      </c>
      <c r="P480" s="79">
        <v>45049.181157407409</v>
      </c>
      <c r="Q480" s="77" t="s">
        <v>2500</v>
      </c>
      <c r="R480" s="77">
        <v>0</v>
      </c>
      <c r="S480" s="77">
        <v>0</v>
      </c>
      <c r="T480" s="77">
        <v>0</v>
      </c>
      <c r="U480" s="77">
        <v>0</v>
      </c>
      <c r="V480" s="77">
        <v>9</v>
      </c>
      <c r="W480" s="80" t="s">
        <v>5884</v>
      </c>
      <c r="X480" s="77"/>
      <c r="Y480" s="77"/>
      <c r="Z480" s="77"/>
      <c r="AA480" s="77"/>
      <c r="AB480" s="77"/>
      <c r="AC480" s="80" t="s">
        <v>10540</v>
      </c>
      <c r="AD480" s="77" t="s">
        <v>10620</v>
      </c>
      <c r="AE480" s="83" t="str">
        <f>HYPERLINK("https://twitter.com/carlosrrene/status/1653615584104390657")</f>
        <v>https://twitter.com/carlosrrene/status/1653615584104390657</v>
      </c>
      <c r="AF480" s="79">
        <v>45049.181157407409</v>
      </c>
      <c r="AG480" s="85">
        <v>45049</v>
      </c>
      <c r="AH480" s="80" t="s">
        <v>11061</v>
      </c>
      <c r="AI480" s="77"/>
      <c r="AJ480" s="77"/>
      <c r="AK480" s="77"/>
      <c r="AL480" s="77"/>
      <c r="AM480" s="77"/>
      <c r="AN480" s="77"/>
      <c r="AO480" s="77"/>
      <c r="AP480" s="77"/>
      <c r="AQ480" s="77"/>
      <c r="AR480" s="77"/>
      <c r="AS480" s="77"/>
      <c r="AT480" s="77"/>
      <c r="AU480" s="77"/>
      <c r="AV480" s="83" t="str">
        <f>HYPERLINK("https://pbs.twimg.com/profile_images/1664771053363535874/cpI26FXo_normal.jpg")</f>
        <v>https://pbs.twimg.com/profile_images/1664771053363535874/cpI26FXo_normal.jpg</v>
      </c>
      <c r="AW480" s="80" t="s">
        <v>16448</v>
      </c>
      <c r="AX480" s="80" t="s">
        <v>16448</v>
      </c>
      <c r="AY480" s="77"/>
      <c r="AZ480" s="80" t="s">
        <v>20380</v>
      </c>
      <c r="BA480" s="80" t="s">
        <v>19184</v>
      </c>
      <c r="BB480" s="80" t="s">
        <v>20380</v>
      </c>
      <c r="BC480" s="80" t="s">
        <v>19184</v>
      </c>
      <c r="BD480" s="77">
        <v>231835121</v>
      </c>
      <c r="BE480" s="77"/>
      <c r="BF480" s="77"/>
      <c r="BG480" s="77"/>
      <c r="BH480" s="77"/>
      <c r="BI480" s="77"/>
    </row>
    <row r="481" spans="1:61" x14ac:dyDescent="0.25">
      <c r="A481" s="62" t="s">
        <v>432</v>
      </c>
      <c r="B481" s="62" t="s">
        <v>1755</v>
      </c>
      <c r="C481" s="63"/>
      <c r="D481" s="64"/>
      <c r="E481" s="65"/>
      <c r="F481" s="66"/>
      <c r="G481" s="63"/>
      <c r="H481" s="67"/>
      <c r="I481" s="68"/>
      <c r="J481" s="68"/>
      <c r="K481" s="32"/>
      <c r="L481" s="75">
        <v>481</v>
      </c>
      <c r="M481" s="75"/>
      <c r="N481" s="70"/>
      <c r="O481" s="77" t="s">
        <v>2081</v>
      </c>
      <c r="P481" s="79">
        <v>45124.529641203706</v>
      </c>
      <c r="Q481" s="77" t="s">
        <v>2501</v>
      </c>
      <c r="R481" s="77">
        <v>0</v>
      </c>
      <c r="S481" s="77">
        <v>2</v>
      </c>
      <c r="T481" s="77">
        <v>0</v>
      </c>
      <c r="U481" s="77">
        <v>0</v>
      </c>
      <c r="V481" s="77">
        <v>128</v>
      </c>
      <c r="W481" s="80" t="s">
        <v>6244</v>
      </c>
      <c r="X481" s="83" t="str">
        <f>HYPERLINK("https://www.linkedin.com/posts/luidi-biondo-silva-6935a9177_econaekmica-pib-ibc-activity-7086685621582217216-EO1W?utm_source=share&amp;utm_medium=member_desktop")</f>
        <v>https://www.linkedin.com/posts/luidi-biondo-silva-6935a9177_econaekmica-pib-ibc-activity-7086685621582217216-EO1W?utm_source=share&amp;utm_medium=member_desktop</v>
      </c>
      <c r="Y481" s="77" t="s">
        <v>8669</v>
      </c>
      <c r="Z481" s="77" t="s">
        <v>1755</v>
      </c>
      <c r="AA481" s="77" t="s">
        <v>9180</v>
      </c>
      <c r="AB481" s="77" t="s">
        <v>10535</v>
      </c>
      <c r="AC481" s="80" t="s">
        <v>10541</v>
      </c>
      <c r="AD481" s="77" t="s">
        <v>10617</v>
      </c>
      <c r="AE481" s="83" t="str">
        <f>HYPERLINK("https://twitter.com/spectrolu/status/1680920958616444929")</f>
        <v>https://twitter.com/spectrolu/status/1680920958616444929</v>
      </c>
      <c r="AF481" s="79">
        <v>45124.529641203706</v>
      </c>
      <c r="AG481" s="85">
        <v>45124</v>
      </c>
      <c r="AH481" s="80" t="s">
        <v>11062</v>
      </c>
      <c r="AI481" s="77" t="b">
        <v>0</v>
      </c>
      <c r="AJ481" s="77"/>
      <c r="AK481" s="77"/>
      <c r="AL481" s="77"/>
      <c r="AM481" s="77"/>
      <c r="AN481" s="77"/>
      <c r="AO481" s="77"/>
      <c r="AP481" s="77"/>
      <c r="AQ481" s="77" t="s">
        <v>14662</v>
      </c>
      <c r="AR481" s="77"/>
      <c r="AS481" s="77"/>
      <c r="AT481" s="77"/>
      <c r="AU481" s="77"/>
      <c r="AV481" s="83" t="str">
        <f>HYPERLINK("https://pbs.twimg.com/media/F1PUXnzWwAQvPyp.png")</f>
        <v>https://pbs.twimg.com/media/F1PUXnzWwAQvPyp.png</v>
      </c>
      <c r="AW481" s="80" t="s">
        <v>16449</v>
      </c>
      <c r="AX481" s="80" t="s">
        <v>16449</v>
      </c>
      <c r="AY481" s="77"/>
      <c r="AZ481" s="80" t="s">
        <v>20380</v>
      </c>
      <c r="BA481" s="80" t="s">
        <v>20380</v>
      </c>
      <c r="BB481" s="80" t="s">
        <v>20380</v>
      </c>
      <c r="BC481" s="80" t="s">
        <v>16449</v>
      </c>
      <c r="BD481" s="80" t="s">
        <v>20599</v>
      </c>
      <c r="BE481" s="77"/>
      <c r="BF481" s="77"/>
      <c r="BG481" s="77"/>
      <c r="BH481" s="77"/>
      <c r="BI481" s="77"/>
    </row>
    <row r="482" spans="1:61" x14ac:dyDescent="0.25">
      <c r="A482" s="62" t="s">
        <v>432</v>
      </c>
      <c r="B482" s="62" t="s">
        <v>432</v>
      </c>
      <c r="C482" s="63"/>
      <c r="D482" s="64"/>
      <c r="E482" s="65"/>
      <c r="F482" s="66"/>
      <c r="G482" s="63"/>
      <c r="H482" s="67"/>
      <c r="I482" s="68"/>
      <c r="J482" s="68"/>
      <c r="K482" s="32"/>
      <c r="L482" s="75">
        <v>482</v>
      </c>
      <c r="M482" s="75"/>
      <c r="N482" s="70"/>
      <c r="O482" s="77" t="s">
        <v>179</v>
      </c>
      <c r="P482" s="79">
        <v>45167.822905092595</v>
      </c>
      <c r="Q482" s="77" t="s">
        <v>2502</v>
      </c>
      <c r="R482" s="77">
        <v>0</v>
      </c>
      <c r="S482" s="77">
        <v>0</v>
      </c>
      <c r="T482" s="77">
        <v>0</v>
      </c>
      <c r="U482" s="77">
        <v>0</v>
      </c>
      <c r="V482" s="77">
        <v>128</v>
      </c>
      <c r="W482" s="80" t="s">
        <v>6245</v>
      </c>
      <c r="X482" s="77"/>
      <c r="Y482" s="77"/>
      <c r="Z482" s="77"/>
      <c r="AA482" s="77" t="s">
        <v>9181</v>
      </c>
      <c r="AB482" s="77" t="s">
        <v>10535</v>
      </c>
      <c r="AC482" s="80" t="s">
        <v>10542</v>
      </c>
      <c r="AD482" s="77" t="s">
        <v>10622</v>
      </c>
      <c r="AE482" s="83" t="str">
        <f>HYPERLINK("https://twitter.com/spectrolu/status/1696609913047232515")</f>
        <v>https://twitter.com/spectrolu/status/1696609913047232515</v>
      </c>
      <c r="AF482" s="79">
        <v>45167.822905092595</v>
      </c>
      <c r="AG482" s="85">
        <v>45167</v>
      </c>
      <c r="AH482" s="80" t="s">
        <v>11063</v>
      </c>
      <c r="AI482" s="77" t="b">
        <v>0</v>
      </c>
      <c r="AJ482" s="77"/>
      <c r="AK482" s="77"/>
      <c r="AL482" s="77"/>
      <c r="AM482" s="77"/>
      <c r="AN482" s="77"/>
      <c r="AO482" s="77"/>
      <c r="AP482" s="77"/>
      <c r="AQ482" s="77" t="s">
        <v>14663</v>
      </c>
      <c r="AR482" s="77"/>
      <c r="AS482" s="77"/>
      <c r="AT482" s="77"/>
      <c r="AU482" s="77"/>
      <c r="AV482" s="83" t="str">
        <f>HYPERLINK("https://pbs.twimg.com/media/F4uRth-WkAAEJcz.jpg")</f>
        <v>https://pbs.twimg.com/media/F4uRth-WkAAEJcz.jpg</v>
      </c>
      <c r="AW482" s="80" t="s">
        <v>16450</v>
      </c>
      <c r="AX482" s="80" t="s">
        <v>16450</v>
      </c>
      <c r="AY482" s="77"/>
      <c r="AZ482" s="80" t="s">
        <v>20380</v>
      </c>
      <c r="BA482" s="80" t="s">
        <v>20380</v>
      </c>
      <c r="BB482" s="80" t="s">
        <v>20380</v>
      </c>
      <c r="BC482" s="80" t="s">
        <v>16450</v>
      </c>
      <c r="BD482" s="80" t="s">
        <v>20599</v>
      </c>
      <c r="BE482" s="77"/>
      <c r="BF482" s="77"/>
      <c r="BG482" s="77"/>
      <c r="BH482" s="77"/>
      <c r="BI482" s="77"/>
    </row>
    <row r="483" spans="1:61" x14ac:dyDescent="0.25">
      <c r="A483" s="62" t="s">
        <v>433</v>
      </c>
      <c r="B483" s="62" t="s">
        <v>433</v>
      </c>
      <c r="C483" s="63"/>
      <c r="D483" s="64"/>
      <c r="E483" s="65"/>
      <c r="F483" s="66"/>
      <c r="G483" s="63"/>
      <c r="H483" s="67"/>
      <c r="I483" s="68"/>
      <c r="J483" s="68"/>
      <c r="K483" s="32"/>
      <c r="L483" s="75">
        <v>483</v>
      </c>
      <c r="M483" s="75"/>
      <c r="N483" s="70"/>
      <c r="O483" s="77" t="s">
        <v>179</v>
      </c>
      <c r="P483" s="79">
        <v>45082.095520833333</v>
      </c>
      <c r="Q483" s="77" t="s">
        <v>2503</v>
      </c>
      <c r="R483" s="77">
        <v>4</v>
      </c>
      <c r="S483" s="77">
        <v>4</v>
      </c>
      <c r="T483" s="77">
        <v>1</v>
      </c>
      <c r="U483" s="77">
        <v>0</v>
      </c>
      <c r="V483" s="77">
        <v>181</v>
      </c>
      <c r="W483" s="80" t="s">
        <v>6246</v>
      </c>
      <c r="X483" s="77"/>
      <c r="Y483" s="77"/>
      <c r="Z483" s="77"/>
      <c r="AA483" s="77" t="s">
        <v>9182</v>
      </c>
      <c r="AB483" s="77" t="s">
        <v>10534</v>
      </c>
      <c r="AC483" s="80" t="s">
        <v>10542</v>
      </c>
      <c r="AD483" s="77" t="s">
        <v>10617</v>
      </c>
      <c r="AE483" s="83" t="str">
        <f>HYPERLINK("https://twitter.com/anfiorillo/status/1665543349145575425")</f>
        <v>https://twitter.com/anfiorillo/status/1665543349145575425</v>
      </c>
      <c r="AF483" s="79">
        <v>45082.095520833333</v>
      </c>
      <c r="AG483" s="85">
        <v>45082</v>
      </c>
      <c r="AH483" s="80" t="s">
        <v>11064</v>
      </c>
      <c r="AI483" s="77" t="b">
        <v>0</v>
      </c>
      <c r="AJ483" s="77"/>
      <c r="AK483" s="77"/>
      <c r="AL483" s="77"/>
      <c r="AM483" s="77"/>
      <c r="AN483" s="77"/>
      <c r="AO483" s="77"/>
      <c r="AP483" s="77"/>
      <c r="AQ483" s="77" t="s">
        <v>14664</v>
      </c>
      <c r="AR483" s="77">
        <v>20085</v>
      </c>
      <c r="AS483" s="77"/>
      <c r="AT483" s="77"/>
      <c r="AU483" s="77"/>
      <c r="AV483" s="83" t="str">
        <f>HYPERLINK("https://pbs.twimg.com/ext_tw_video_thumb/1665543263359574017/pu/img/T_2Zksgal9Y7A112.jpg")</f>
        <v>https://pbs.twimg.com/ext_tw_video_thumb/1665543263359574017/pu/img/T_2Zksgal9Y7A112.jpg</v>
      </c>
      <c r="AW483" s="80" t="s">
        <v>16451</v>
      </c>
      <c r="AX483" s="80" t="s">
        <v>16451</v>
      </c>
      <c r="AY483" s="77"/>
      <c r="AZ483" s="80" t="s">
        <v>20380</v>
      </c>
      <c r="BA483" s="80" t="s">
        <v>20380</v>
      </c>
      <c r="BB483" s="80" t="s">
        <v>20380</v>
      </c>
      <c r="BC483" s="80" t="s">
        <v>16451</v>
      </c>
      <c r="BD483" s="77">
        <v>394987728</v>
      </c>
      <c r="BE483" s="77"/>
      <c r="BF483" s="77"/>
      <c r="BG483" s="77"/>
      <c r="BH483" s="77"/>
      <c r="BI483" s="77"/>
    </row>
    <row r="484" spans="1:61" x14ac:dyDescent="0.25">
      <c r="A484" s="62" t="s">
        <v>434</v>
      </c>
      <c r="B484" s="62" t="s">
        <v>1756</v>
      </c>
      <c r="C484" s="63"/>
      <c r="D484" s="64"/>
      <c r="E484" s="65"/>
      <c r="F484" s="66"/>
      <c r="G484" s="63"/>
      <c r="H484" s="67"/>
      <c r="I484" s="68"/>
      <c r="J484" s="68"/>
      <c r="K484" s="32"/>
      <c r="L484" s="75">
        <v>484</v>
      </c>
      <c r="M484" s="75"/>
      <c r="N484" s="70"/>
      <c r="O484" s="77" t="s">
        <v>2081</v>
      </c>
      <c r="P484" s="79">
        <v>45097.580300925925</v>
      </c>
      <c r="Q484" s="77" t="s">
        <v>2504</v>
      </c>
      <c r="R484" s="77">
        <v>0</v>
      </c>
      <c r="S484" s="77">
        <v>0</v>
      </c>
      <c r="T484" s="77">
        <v>0</v>
      </c>
      <c r="U484" s="77">
        <v>0</v>
      </c>
      <c r="V484" s="77">
        <v>57</v>
      </c>
      <c r="W484" s="80" t="s">
        <v>6247</v>
      </c>
      <c r="X484" s="83" t="str">
        <f>HYPERLINK("https://tinyurl.com/msajzace")</f>
        <v>https://tinyurl.com/msajzace</v>
      </c>
      <c r="Y484" s="77" t="s">
        <v>8670</v>
      </c>
      <c r="Z484" s="77" t="s">
        <v>1756</v>
      </c>
      <c r="AA484" s="77" t="s">
        <v>9183</v>
      </c>
      <c r="AB484" s="77" t="s">
        <v>10535</v>
      </c>
      <c r="AC484" s="80" t="s">
        <v>10541</v>
      </c>
      <c r="AD484" s="77" t="s">
        <v>10617</v>
      </c>
      <c r="AE484" s="83" t="str">
        <f>HYPERLINK("https://twitter.com/midiainformal/status/1671154845112492035")</f>
        <v>https://twitter.com/midiainformal/status/1671154845112492035</v>
      </c>
      <c r="AF484" s="79">
        <v>45097.580300925925</v>
      </c>
      <c r="AG484" s="85">
        <v>45097</v>
      </c>
      <c r="AH484" s="80" t="s">
        <v>11065</v>
      </c>
      <c r="AI484" s="77" t="b">
        <v>0</v>
      </c>
      <c r="AJ484" s="77"/>
      <c r="AK484" s="77"/>
      <c r="AL484" s="77"/>
      <c r="AM484" s="77"/>
      <c r="AN484" s="77"/>
      <c r="AO484" s="77"/>
      <c r="AP484" s="77"/>
      <c r="AQ484" s="77" t="s">
        <v>14665</v>
      </c>
      <c r="AR484" s="77"/>
      <c r="AS484" s="77"/>
      <c r="AT484" s="77"/>
      <c r="AU484" s="77"/>
      <c r="AV484" s="83" t="str">
        <f>HYPERLINK("https://pbs.twimg.com/media/FzEhwu_agAEsZTV.jpg")</f>
        <v>https://pbs.twimg.com/media/FzEhwu_agAEsZTV.jpg</v>
      </c>
      <c r="AW484" s="80" t="s">
        <v>16452</v>
      </c>
      <c r="AX484" s="80" t="s">
        <v>16452</v>
      </c>
      <c r="AY484" s="77"/>
      <c r="AZ484" s="80" t="s">
        <v>20380</v>
      </c>
      <c r="BA484" s="80" t="s">
        <v>20380</v>
      </c>
      <c r="BB484" s="80" t="s">
        <v>20380</v>
      </c>
      <c r="BC484" s="80" t="s">
        <v>16452</v>
      </c>
      <c r="BD484" s="77">
        <v>2162997787</v>
      </c>
      <c r="BE484" s="77"/>
      <c r="BF484" s="77"/>
      <c r="BG484" s="77"/>
      <c r="BH484" s="77"/>
      <c r="BI484" s="77"/>
    </row>
    <row r="485" spans="1:61" x14ac:dyDescent="0.25">
      <c r="A485" s="62" t="s">
        <v>434</v>
      </c>
      <c r="B485" s="62" t="s">
        <v>434</v>
      </c>
      <c r="C485" s="63"/>
      <c r="D485" s="64"/>
      <c r="E485" s="65"/>
      <c r="F485" s="66"/>
      <c r="G485" s="63"/>
      <c r="H485" s="67"/>
      <c r="I485" s="68"/>
      <c r="J485" s="68"/>
      <c r="K485" s="32"/>
      <c r="L485" s="75">
        <v>485</v>
      </c>
      <c r="M485" s="75"/>
      <c r="N485" s="70"/>
      <c r="O485" s="77" t="s">
        <v>179</v>
      </c>
      <c r="P485" s="79">
        <v>45146.557488425926</v>
      </c>
      <c r="Q485" s="77" t="s">
        <v>2505</v>
      </c>
      <c r="R485" s="77">
        <v>0</v>
      </c>
      <c r="S485" s="77">
        <v>0</v>
      </c>
      <c r="T485" s="77">
        <v>0</v>
      </c>
      <c r="U485" s="77">
        <v>0</v>
      </c>
      <c r="V485" s="77">
        <v>93</v>
      </c>
      <c r="W485" s="80" t="s">
        <v>6248</v>
      </c>
      <c r="X485" s="83" t="str">
        <f>HYPERLINK("https://shre.ink/aU7h")</f>
        <v>https://shre.ink/aU7h</v>
      </c>
      <c r="Y485" s="77" t="s">
        <v>8666</v>
      </c>
      <c r="Z485" s="77"/>
      <c r="AA485" s="77" t="s">
        <v>9184</v>
      </c>
      <c r="AB485" s="77" t="s">
        <v>10535</v>
      </c>
      <c r="AC485" s="80" t="s">
        <v>10541</v>
      </c>
      <c r="AD485" s="77" t="s">
        <v>10617</v>
      </c>
      <c r="AE485" s="83" t="str">
        <f>HYPERLINK("https://twitter.com/midiainformal/status/1688903586246168576")</f>
        <v>https://twitter.com/midiainformal/status/1688903586246168576</v>
      </c>
      <c r="AF485" s="79">
        <v>45146.557488425926</v>
      </c>
      <c r="AG485" s="85">
        <v>45146</v>
      </c>
      <c r="AH485" s="80" t="s">
        <v>11066</v>
      </c>
      <c r="AI485" s="77" t="b">
        <v>0</v>
      </c>
      <c r="AJ485" s="77"/>
      <c r="AK485" s="77"/>
      <c r="AL485" s="77"/>
      <c r="AM485" s="77"/>
      <c r="AN485" s="77"/>
      <c r="AO485" s="77"/>
      <c r="AP485" s="77"/>
      <c r="AQ485" s="77" t="s">
        <v>14666</v>
      </c>
      <c r="AR485" s="77"/>
      <c r="AS485" s="77"/>
      <c r="AT485" s="77"/>
      <c r="AU485" s="77"/>
      <c r="AV485" s="83" t="str">
        <f>HYPERLINK("https://pbs.twimg.com/media/F3AwJwAa8AAtBG9.jpg")</f>
        <v>https://pbs.twimg.com/media/F3AwJwAa8AAtBG9.jpg</v>
      </c>
      <c r="AW485" s="80" t="s">
        <v>16453</v>
      </c>
      <c r="AX485" s="80" t="s">
        <v>16453</v>
      </c>
      <c r="AY485" s="77"/>
      <c r="AZ485" s="80" t="s">
        <v>20380</v>
      </c>
      <c r="BA485" s="80" t="s">
        <v>20380</v>
      </c>
      <c r="BB485" s="80" t="s">
        <v>20380</v>
      </c>
      <c r="BC485" s="80" t="s">
        <v>16453</v>
      </c>
      <c r="BD485" s="77">
        <v>2162997787</v>
      </c>
      <c r="BE485" s="77"/>
      <c r="BF485" s="77"/>
      <c r="BG485" s="77"/>
      <c r="BH485" s="77"/>
      <c r="BI485" s="77"/>
    </row>
    <row r="486" spans="1:61" x14ac:dyDescent="0.25">
      <c r="A486" s="62" t="s">
        <v>435</v>
      </c>
      <c r="B486" s="62" t="s">
        <v>435</v>
      </c>
      <c r="C486" s="63"/>
      <c r="D486" s="64"/>
      <c r="E486" s="65"/>
      <c r="F486" s="66"/>
      <c r="G486" s="63"/>
      <c r="H486" s="67"/>
      <c r="I486" s="68"/>
      <c r="J486" s="68"/>
      <c r="K486" s="32"/>
      <c r="L486" s="75">
        <v>486</v>
      </c>
      <c r="M486" s="75"/>
      <c r="N486" s="70"/>
      <c r="O486" s="77" t="s">
        <v>179</v>
      </c>
      <c r="P486" s="79">
        <v>45070.867673611108</v>
      </c>
      <c r="Q486" s="77" t="s">
        <v>2506</v>
      </c>
      <c r="R486" s="77">
        <v>0</v>
      </c>
      <c r="S486" s="77">
        <v>0</v>
      </c>
      <c r="T486" s="77">
        <v>0</v>
      </c>
      <c r="U486" s="77">
        <v>0</v>
      </c>
      <c r="V486" s="77">
        <v>18</v>
      </c>
      <c r="W486" s="80" t="s">
        <v>6249</v>
      </c>
      <c r="X486" s="83" t="str">
        <f>HYPERLINK("https://sdnews.com.br/noticia/7659/banco-central-confirma-crescimento-de-goias-acima-da-media-e-indice-recorde-de-atividade-economica.html")</f>
        <v>https://sdnews.com.br/noticia/7659/banco-central-confirma-crescimento-de-goias-acima-da-media-e-indice-recorde-de-atividade-economica.html</v>
      </c>
      <c r="Y486" s="77" t="s">
        <v>8611</v>
      </c>
      <c r="Z486" s="77"/>
      <c r="AA486" s="77"/>
      <c r="AB486" s="77"/>
      <c r="AC486" s="80" t="s">
        <v>10541</v>
      </c>
      <c r="AD486" s="77" t="s">
        <v>10617</v>
      </c>
      <c r="AE486" s="83" t="str">
        <f>HYPERLINK("https://twitter.com/sdnewscatalao/status/1661474514369392642")</f>
        <v>https://twitter.com/sdnewscatalao/status/1661474514369392642</v>
      </c>
      <c r="AF486" s="79">
        <v>45070.867673611108</v>
      </c>
      <c r="AG486" s="85">
        <v>45070</v>
      </c>
      <c r="AH486" s="80" t="s">
        <v>11067</v>
      </c>
      <c r="AI486" s="77" t="b">
        <v>0</v>
      </c>
      <c r="AJ486" s="77"/>
      <c r="AK486" s="77"/>
      <c r="AL486" s="77"/>
      <c r="AM486" s="77"/>
      <c r="AN486" s="77"/>
      <c r="AO486" s="77"/>
      <c r="AP486" s="77"/>
      <c r="AQ486" s="77"/>
      <c r="AR486" s="77"/>
      <c r="AS486" s="77"/>
      <c r="AT486" s="77"/>
      <c r="AU486" s="77"/>
      <c r="AV486" s="83" t="str">
        <f>HYPERLINK("https://pbs.twimg.com/profile_images/1375108267358232576/3mpV1Aqi_normal.jpg")</f>
        <v>https://pbs.twimg.com/profile_images/1375108267358232576/3mpV1Aqi_normal.jpg</v>
      </c>
      <c r="AW486" s="80" t="s">
        <v>16454</v>
      </c>
      <c r="AX486" s="80" t="s">
        <v>16454</v>
      </c>
      <c r="AY486" s="77"/>
      <c r="AZ486" s="80" t="s">
        <v>20380</v>
      </c>
      <c r="BA486" s="80" t="s">
        <v>20380</v>
      </c>
      <c r="BB486" s="80" t="s">
        <v>20380</v>
      </c>
      <c r="BC486" s="80" t="s">
        <v>16454</v>
      </c>
      <c r="BD486" s="77">
        <v>129002495</v>
      </c>
      <c r="BE486" s="77"/>
      <c r="BF486" s="77"/>
      <c r="BG486" s="77"/>
      <c r="BH486" s="77"/>
      <c r="BI486" s="77"/>
    </row>
    <row r="487" spans="1:61" x14ac:dyDescent="0.25">
      <c r="A487" s="62" t="s">
        <v>436</v>
      </c>
      <c r="B487" s="62" t="s">
        <v>436</v>
      </c>
      <c r="C487" s="63"/>
      <c r="D487" s="64"/>
      <c r="E487" s="65"/>
      <c r="F487" s="66"/>
      <c r="G487" s="63"/>
      <c r="H487" s="67"/>
      <c r="I487" s="68"/>
      <c r="J487" s="68"/>
      <c r="K487" s="32"/>
      <c r="L487" s="75">
        <v>487</v>
      </c>
      <c r="M487" s="75"/>
      <c r="N487" s="70"/>
      <c r="O487" s="77" t="s">
        <v>179</v>
      </c>
      <c r="P487" s="79">
        <v>45173.599374999998</v>
      </c>
      <c r="Q487" s="77" t="s">
        <v>2507</v>
      </c>
      <c r="R487" s="77">
        <v>0</v>
      </c>
      <c r="S487" s="77">
        <v>1</v>
      </c>
      <c r="T487" s="77">
        <v>0</v>
      </c>
      <c r="U487" s="77">
        <v>0</v>
      </c>
      <c r="V487" s="77">
        <v>10</v>
      </c>
      <c r="W487" s="80" t="s">
        <v>6250</v>
      </c>
      <c r="X487" s="77"/>
      <c r="Y487" s="77"/>
      <c r="Z487" s="77"/>
      <c r="AA487" s="77"/>
      <c r="AB487" s="77"/>
      <c r="AC487" s="80" t="s">
        <v>10541</v>
      </c>
      <c r="AD487" s="77" t="s">
        <v>10617</v>
      </c>
      <c r="AE487" s="83" t="str">
        <f>HYPERLINK("https://twitter.com/tiago_roberto_/status/1698703237187019034")</f>
        <v>https://twitter.com/tiago_roberto_/status/1698703237187019034</v>
      </c>
      <c r="AF487" s="79">
        <v>45173.599374999998</v>
      </c>
      <c r="AG487" s="85">
        <v>45173</v>
      </c>
      <c r="AH487" s="80" t="s">
        <v>11068</v>
      </c>
      <c r="AI487" s="77"/>
      <c r="AJ487" s="77"/>
      <c r="AK487" s="77"/>
      <c r="AL487" s="77"/>
      <c r="AM487" s="77"/>
      <c r="AN487" s="77"/>
      <c r="AO487" s="77"/>
      <c r="AP487" s="77"/>
      <c r="AQ487" s="77"/>
      <c r="AR487" s="77"/>
      <c r="AS487" s="77"/>
      <c r="AT487" s="77"/>
      <c r="AU487" s="77"/>
      <c r="AV487" s="83" t="str">
        <f>HYPERLINK("https://pbs.twimg.com/profile_images/1692217044622585870/QgFpIhV2_normal.jpg")</f>
        <v>https://pbs.twimg.com/profile_images/1692217044622585870/QgFpIhV2_normal.jpg</v>
      </c>
      <c r="AW487" s="80" t="s">
        <v>16455</v>
      </c>
      <c r="AX487" s="80" t="s">
        <v>16455</v>
      </c>
      <c r="AY487" s="77"/>
      <c r="AZ487" s="80" t="s">
        <v>20380</v>
      </c>
      <c r="BA487" s="80" t="s">
        <v>20380</v>
      </c>
      <c r="BB487" s="80" t="s">
        <v>20380</v>
      </c>
      <c r="BC487" s="80" t="s">
        <v>16455</v>
      </c>
      <c r="BD487" s="80" t="s">
        <v>20600</v>
      </c>
      <c r="BE487" s="77"/>
      <c r="BF487" s="77"/>
      <c r="BG487" s="77"/>
      <c r="BH487" s="77"/>
      <c r="BI487" s="77"/>
    </row>
    <row r="488" spans="1:61" x14ac:dyDescent="0.25">
      <c r="A488" s="62" t="s">
        <v>437</v>
      </c>
      <c r="B488" s="62" t="s">
        <v>1757</v>
      </c>
      <c r="C488" s="63"/>
      <c r="D488" s="64"/>
      <c r="E488" s="65"/>
      <c r="F488" s="66"/>
      <c r="G488" s="63"/>
      <c r="H488" s="67"/>
      <c r="I488" s="68"/>
      <c r="J488" s="68"/>
      <c r="K488" s="32"/>
      <c r="L488" s="75">
        <v>488</v>
      </c>
      <c r="M488" s="75"/>
      <c r="N488" s="70"/>
      <c r="O488" s="77" t="s">
        <v>2081</v>
      </c>
      <c r="P488" s="79">
        <v>45051.868194444447</v>
      </c>
      <c r="Q488" s="77" t="s">
        <v>2508</v>
      </c>
      <c r="R488" s="77">
        <v>0</v>
      </c>
      <c r="S488" s="77">
        <v>0</v>
      </c>
      <c r="T488" s="77">
        <v>0</v>
      </c>
      <c r="U488" s="77">
        <v>0</v>
      </c>
      <c r="V488" s="77">
        <v>129</v>
      </c>
      <c r="W488" s="80" t="s">
        <v>6251</v>
      </c>
      <c r="X488" s="77"/>
      <c r="Y488" s="77"/>
      <c r="Z488" s="77" t="s">
        <v>8919</v>
      </c>
      <c r="AA488" s="77" t="s">
        <v>9185</v>
      </c>
      <c r="AB488" s="77" t="s">
        <v>10534</v>
      </c>
      <c r="AC488" s="80" t="s">
        <v>10541</v>
      </c>
      <c r="AD488" s="77" t="s">
        <v>10620</v>
      </c>
      <c r="AE488" s="83" t="str">
        <f>HYPERLINK("https://twitter.com/bravonius/status/1654589333175689216")</f>
        <v>https://twitter.com/bravonius/status/1654589333175689216</v>
      </c>
      <c r="AF488" s="79">
        <v>45051.868194444447</v>
      </c>
      <c r="AG488" s="85">
        <v>45051</v>
      </c>
      <c r="AH488" s="80" t="s">
        <v>11069</v>
      </c>
      <c r="AI488" s="77" t="b">
        <v>0</v>
      </c>
      <c r="AJ488" s="77"/>
      <c r="AK488" s="77"/>
      <c r="AL488" s="77"/>
      <c r="AM488" s="77"/>
      <c r="AN488" s="77"/>
      <c r="AO488" s="77"/>
      <c r="AP488" s="77"/>
      <c r="AQ488" s="77" t="s">
        <v>14667</v>
      </c>
      <c r="AR488" s="77">
        <v>56076</v>
      </c>
      <c r="AS488" s="77"/>
      <c r="AT488" s="77"/>
      <c r="AU488" s="77"/>
      <c r="AV488" s="83" t="str">
        <f>HYPERLINK("https://pbs.twimg.com/ext_tw_video_thumb/1654589141164630016/pu/img/N5xZ9hARW9THFfLc.jpg")</f>
        <v>https://pbs.twimg.com/ext_tw_video_thumb/1654589141164630016/pu/img/N5xZ9hARW9THFfLc.jpg</v>
      </c>
      <c r="AW488" s="80" t="s">
        <v>16456</v>
      </c>
      <c r="AX488" s="80" t="s">
        <v>16456</v>
      </c>
      <c r="AY488" s="77"/>
      <c r="AZ488" s="80" t="s">
        <v>20380</v>
      </c>
      <c r="BA488" s="80" t="s">
        <v>20380</v>
      </c>
      <c r="BB488" s="80" t="s">
        <v>20380</v>
      </c>
      <c r="BC488" s="80" t="s">
        <v>16456</v>
      </c>
      <c r="BD488" s="80" t="s">
        <v>20601</v>
      </c>
      <c r="BE488" s="77"/>
      <c r="BF488" s="77"/>
      <c r="BG488" s="77"/>
      <c r="BH488" s="77"/>
      <c r="BI488" s="77"/>
    </row>
    <row r="489" spans="1:61" x14ac:dyDescent="0.25">
      <c r="A489" s="62" t="s">
        <v>437</v>
      </c>
      <c r="B489" s="62" t="s">
        <v>1758</v>
      </c>
      <c r="C489" s="63"/>
      <c r="D489" s="64"/>
      <c r="E489" s="65"/>
      <c r="F489" s="66"/>
      <c r="G489" s="63"/>
      <c r="H489" s="67"/>
      <c r="I489" s="68"/>
      <c r="J489" s="68"/>
      <c r="K489" s="32"/>
      <c r="L489" s="75">
        <v>489</v>
      </c>
      <c r="M489" s="75"/>
      <c r="N489" s="70"/>
      <c r="O489" s="77" t="s">
        <v>2081</v>
      </c>
      <c r="P489" s="79">
        <v>45051.868194444447</v>
      </c>
      <c r="Q489" s="77" t="s">
        <v>2508</v>
      </c>
      <c r="R489" s="77">
        <v>0</v>
      </c>
      <c r="S489" s="77">
        <v>0</v>
      </c>
      <c r="T489" s="77">
        <v>0</v>
      </c>
      <c r="U489" s="77">
        <v>0</v>
      </c>
      <c r="V489" s="77">
        <v>129</v>
      </c>
      <c r="W489" s="80" t="s">
        <v>6251</v>
      </c>
      <c r="X489" s="77"/>
      <c r="Y489" s="77"/>
      <c r="Z489" s="77" t="s">
        <v>8919</v>
      </c>
      <c r="AA489" s="77" t="s">
        <v>9185</v>
      </c>
      <c r="AB489" s="77" t="s">
        <v>10534</v>
      </c>
      <c r="AC489" s="80" t="s">
        <v>10541</v>
      </c>
      <c r="AD489" s="77" t="s">
        <v>10620</v>
      </c>
      <c r="AE489" s="83" t="str">
        <f>HYPERLINK("https://twitter.com/bravonius/status/1654589333175689216")</f>
        <v>https://twitter.com/bravonius/status/1654589333175689216</v>
      </c>
      <c r="AF489" s="79">
        <v>45051.868194444447</v>
      </c>
      <c r="AG489" s="85">
        <v>45051</v>
      </c>
      <c r="AH489" s="80" t="s">
        <v>11069</v>
      </c>
      <c r="AI489" s="77" t="b">
        <v>0</v>
      </c>
      <c r="AJ489" s="77"/>
      <c r="AK489" s="77"/>
      <c r="AL489" s="77"/>
      <c r="AM489" s="77"/>
      <c r="AN489" s="77"/>
      <c r="AO489" s="77"/>
      <c r="AP489" s="77"/>
      <c r="AQ489" s="77" t="s">
        <v>14667</v>
      </c>
      <c r="AR489" s="77">
        <v>56076</v>
      </c>
      <c r="AS489" s="77"/>
      <c r="AT489" s="77"/>
      <c r="AU489" s="77"/>
      <c r="AV489" s="83" t="str">
        <f>HYPERLINK("https://pbs.twimg.com/ext_tw_video_thumb/1654589141164630016/pu/img/N5xZ9hARW9THFfLc.jpg")</f>
        <v>https://pbs.twimg.com/ext_tw_video_thumb/1654589141164630016/pu/img/N5xZ9hARW9THFfLc.jpg</v>
      </c>
      <c r="AW489" s="80" t="s">
        <v>16456</v>
      </c>
      <c r="AX489" s="80" t="s">
        <v>16456</v>
      </c>
      <c r="AY489" s="77"/>
      <c r="AZ489" s="80" t="s">
        <v>20380</v>
      </c>
      <c r="BA489" s="80" t="s">
        <v>20380</v>
      </c>
      <c r="BB489" s="80" t="s">
        <v>20380</v>
      </c>
      <c r="BC489" s="80" t="s">
        <v>16456</v>
      </c>
      <c r="BD489" s="80" t="s">
        <v>20601</v>
      </c>
      <c r="BE489" s="77"/>
      <c r="BF489" s="77"/>
      <c r="BG489" s="77"/>
      <c r="BH489" s="77"/>
      <c r="BI489" s="77"/>
    </row>
    <row r="490" spans="1:61" x14ac:dyDescent="0.25">
      <c r="A490" s="62" t="s">
        <v>438</v>
      </c>
      <c r="B490" s="62" t="s">
        <v>438</v>
      </c>
      <c r="C490" s="63"/>
      <c r="D490" s="64"/>
      <c r="E490" s="65"/>
      <c r="F490" s="66"/>
      <c r="G490" s="63"/>
      <c r="H490" s="67"/>
      <c r="I490" s="68"/>
      <c r="J490" s="68"/>
      <c r="K490" s="32"/>
      <c r="L490" s="75">
        <v>490</v>
      </c>
      <c r="M490" s="75"/>
      <c r="N490" s="70"/>
      <c r="O490" s="77" t="s">
        <v>179</v>
      </c>
      <c r="P490" s="79">
        <v>45134.599907407406</v>
      </c>
      <c r="Q490" s="77" t="s">
        <v>2509</v>
      </c>
      <c r="R490" s="77">
        <v>0</v>
      </c>
      <c r="S490" s="77">
        <v>0</v>
      </c>
      <c r="T490" s="77">
        <v>0</v>
      </c>
      <c r="U490" s="77">
        <v>0</v>
      </c>
      <c r="V490" s="77">
        <v>92</v>
      </c>
      <c r="W490" s="80" t="s">
        <v>6252</v>
      </c>
      <c r="X490" s="83" t="str">
        <f>HYPERLINK("https://canalc.com.ar/la-inflacion-de-julio-se-conocera-despues-de-las-paso/")</f>
        <v>https://canalc.com.ar/la-inflacion-de-julio-se-conocera-despues-de-las-paso/</v>
      </c>
      <c r="Y490" s="77" t="s">
        <v>8624</v>
      </c>
      <c r="Z490" s="77"/>
      <c r="AA490" s="77"/>
      <c r="AB490" s="77"/>
      <c r="AC490" s="80" t="s">
        <v>10541</v>
      </c>
      <c r="AD490" s="77" t="s">
        <v>10620</v>
      </c>
      <c r="AE490" s="83" t="str">
        <f>HYPERLINK("https://twitter.com/canalccordoba/status/1684570301403914241")</f>
        <v>https://twitter.com/canalccordoba/status/1684570301403914241</v>
      </c>
      <c r="AF490" s="79">
        <v>45134.599907407406</v>
      </c>
      <c r="AG490" s="85">
        <v>45134</v>
      </c>
      <c r="AH490" s="80" t="s">
        <v>11070</v>
      </c>
      <c r="AI490" s="77" t="b">
        <v>0</v>
      </c>
      <c r="AJ490" s="77"/>
      <c r="AK490" s="77"/>
      <c r="AL490" s="77"/>
      <c r="AM490" s="77"/>
      <c r="AN490" s="77"/>
      <c r="AO490" s="77"/>
      <c r="AP490" s="77"/>
      <c r="AQ490" s="77"/>
      <c r="AR490" s="77"/>
      <c r="AS490" s="77"/>
      <c r="AT490" s="77"/>
      <c r="AU490" s="77"/>
      <c r="AV490" s="83" t="str">
        <f>HYPERLINK("https://pbs.twimg.com/profile_images/1642877829246271489/C1WFDDOE_normal.jpg")</f>
        <v>https://pbs.twimg.com/profile_images/1642877829246271489/C1WFDDOE_normal.jpg</v>
      </c>
      <c r="AW490" s="80" t="s">
        <v>16457</v>
      </c>
      <c r="AX490" s="80" t="s">
        <v>16457</v>
      </c>
      <c r="AY490" s="77"/>
      <c r="AZ490" s="80" t="s">
        <v>20380</v>
      </c>
      <c r="BA490" s="80" t="s">
        <v>20380</v>
      </c>
      <c r="BB490" s="80" t="s">
        <v>20380</v>
      </c>
      <c r="BC490" s="80" t="s">
        <v>16457</v>
      </c>
      <c r="BD490" s="77">
        <v>1455253418</v>
      </c>
      <c r="BE490" s="77"/>
      <c r="BF490" s="77"/>
      <c r="BG490" s="77"/>
      <c r="BH490" s="77"/>
      <c r="BI490" s="77"/>
    </row>
    <row r="491" spans="1:61" x14ac:dyDescent="0.25">
      <c r="A491" s="62" t="s">
        <v>438</v>
      </c>
      <c r="B491" s="62" t="s">
        <v>438</v>
      </c>
      <c r="C491" s="63"/>
      <c r="D491" s="64"/>
      <c r="E491" s="65"/>
      <c r="F491" s="66"/>
      <c r="G491" s="63"/>
      <c r="H491" s="67"/>
      <c r="I491" s="68"/>
      <c r="J491" s="68"/>
      <c r="K491" s="32"/>
      <c r="L491" s="75">
        <v>491</v>
      </c>
      <c r="M491" s="75"/>
      <c r="N491" s="70"/>
      <c r="O491" s="77" t="s">
        <v>179</v>
      </c>
      <c r="P491" s="79">
        <v>45152.600717592592</v>
      </c>
      <c r="Q491" s="77" t="s">
        <v>2510</v>
      </c>
      <c r="R491" s="77">
        <v>0</v>
      </c>
      <c r="S491" s="77">
        <v>4</v>
      </c>
      <c r="T491" s="77">
        <v>1</v>
      </c>
      <c r="U491" s="77">
        <v>0</v>
      </c>
      <c r="V491" s="77">
        <v>628</v>
      </c>
      <c r="W491" s="80" t="s">
        <v>6253</v>
      </c>
      <c r="X491" s="77"/>
      <c r="Y491" s="77"/>
      <c r="Z491" s="77"/>
      <c r="AA491" s="77" t="s">
        <v>9186</v>
      </c>
      <c r="AB491" s="77" t="s">
        <v>10535</v>
      </c>
      <c r="AC491" s="80" t="s">
        <v>10541</v>
      </c>
      <c r="AD491" s="77" t="s">
        <v>10620</v>
      </c>
      <c r="AE491" s="83" t="str">
        <f>HYPERLINK("https://twitter.com/canalccordoba/status/1691093575885529088")</f>
        <v>https://twitter.com/canalccordoba/status/1691093575885529088</v>
      </c>
      <c r="AF491" s="79">
        <v>45152.600717592592</v>
      </c>
      <c r="AG491" s="85">
        <v>45152</v>
      </c>
      <c r="AH491" s="80" t="s">
        <v>11071</v>
      </c>
      <c r="AI491" s="77" t="b">
        <v>0</v>
      </c>
      <c r="AJ491" s="77"/>
      <c r="AK491" s="77"/>
      <c r="AL491" s="77"/>
      <c r="AM491" s="77"/>
      <c r="AN491" s="77"/>
      <c r="AO491" s="77"/>
      <c r="AP491" s="77"/>
      <c r="AQ491" s="77" t="s">
        <v>14668</v>
      </c>
      <c r="AR491" s="77"/>
      <c r="AS491" s="77"/>
      <c r="AT491" s="77"/>
      <c r="AU491" s="77"/>
      <c r="AV491" s="83" t="str">
        <f>HYPERLINK("https://pbs.twimg.com/media/F3f4jqcWgAAR2kg.jpg")</f>
        <v>https://pbs.twimg.com/media/F3f4jqcWgAAR2kg.jpg</v>
      </c>
      <c r="AW491" s="80" t="s">
        <v>16458</v>
      </c>
      <c r="AX491" s="80" t="s">
        <v>16458</v>
      </c>
      <c r="AY491" s="77"/>
      <c r="AZ491" s="80" t="s">
        <v>20380</v>
      </c>
      <c r="BA491" s="80" t="s">
        <v>20380</v>
      </c>
      <c r="BB491" s="80" t="s">
        <v>20380</v>
      </c>
      <c r="BC491" s="80" t="s">
        <v>16458</v>
      </c>
      <c r="BD491" s="77">
        <v>1455253418</v>
      </c>
      <c r="BE491" s="77"/>
      <c r="BF491" s="77"/>
      <c r="BG491" s="77"/>
      <c r="BH491" s="77"/>
      <c r="BI491" s="77"/>
    </row>
    <row r="492" spans="1:61" x14ac:dyDescent="0.25">
      <c r="A492" s="62" t="s">
        <v>438</v>
      </c>
      <c r="B492" s="62" t="s">
        <v>438</v>
      </c>
      <c r="C492" s="63"/>
      <c r="D492" s="64"/>
      <c r="E492" s="65"/>
      <c r="F492" s="66"/>
      <c r="G492" s="63"/>
      <c r="H492" s="67"/>
      <c r="I492" s="68"/>
      <c r="J492" s="68"/>
      <c r="K492" s="32"/>
      <c r="L492" s="75">
        <v>492</v>
      </c>
      <c r="M492" s="75"/>
      <c r="N492" s="70"/>
      <c r="O492" s="77" t="s">
        <v>179</v>
      </c>
      <c r="P492" s="79">
        <v>45152.762812499997</v>
      </c>
      <c r="Q492" s="77" t="s">
        <v>2511</v>
      </c>
      <c r="R492" s="77">
        <v>0</v>
      </c>
      <c r="S492" s="77">
        <v>1</v>
      </c>
      <c r="T492" s="77">
        <v>1</v>
      </c>
      <c r="U492" s="77">
        <v>0</v>
      </c>
      <c r="V492" s="77">
        <v>348</v>
      </c>
      <c r="W492" s="80" t="s">
        <v>6254</v>
      </c>
      <c r="X492" s="77"/>
      <c r="Y492" s="77"/>
      <c r="Z492" s="77"/>
      <c r="AA492" s="77"/>
      <c r="AB492" s="77"/>
      <c r="AC492" s="80" t="s">
        <v>10541</v>
      </c>
      <c r="AD492" s="77" t="s">
        <v>10620</v>
      </c>
      <c r="AE492" s="83" t="str">
        <f>HYPERLINK("https://twitter.com/canalccordoba/status/1691152317494460416")</f>
        <v>https://twitter.com/canalccordoba/status/1691152317494460416</v>
      </c>
      <c r="AF492" s="79">
        <v>45152.762812499997</v>
      </c>
      <c r="AG492" s="85">
        <v>45152</v>
      </c>
      <c r="AH492" s="80" t="s">
        <v>11072</v>
      </c>
      <c r="AI492" s="77"/>
      <c r="AJ492" s="77"/>
      <c r="AK492" s="77"/>
      <c r="AL492" s="77"/>
      <c r="AM492" s="77"/>
      <c r="AN492" s="77"/>
      <c r="AO492" s="77"/>
      <c r="AP492" s="77"/>
      <c r="AQ492" s="77"/>
      <c r="AR492" s="77"/>
      <c r="AS492" s="77"/>
      <c r="AT492" s="77"/>
      <c r="AU492" s="77"/>
      <c r="AV492" s="83" t="str">
        <f>HYPERLINK("https://pbs.twimg.com/profile_images/1642877829246271489/C1WFDDOE_normal.jpg")</f>
        <v>https://pbs.twimg.com/profile_images/1642877829246271489/C1WFDDOE_normal.jpg</v>
      </c>
      <c r="AW492" s="80" t="s">
        <v>16459</v>
      </c>
      <c r="AX492" s="80" t="s">
        <v>16459</v>
      </c>
      <c r="AY492" s="77"/>
      <c r="AZ492" s="80" t="s">
        <v>20380</v>
      </c>
      <c r="BA492" s="80" t="s">
        <v>20380</v>
      </c>
      <c r="BB492" s="80" t="s">
        <v>20380</v>
      </c>
      <c r="BC492" s="80" t="s">
        <v>16459</v>
      </c>
      <c r="BD492" s="77">
        <v>1455253418</v>
      </c>
      <c r="BE492" s="77"/>
      <c r="BF492" s="77"/>
      <c r="BG492" s="77"/>
      <c r="BH492" s="77"/>
      <c r="BI492" s="77"/>
    </row>
    <row r="493" spans="1:61" x14ac:dyDescent="0.25">
      <c r="A493" s="62" t="s">
        <v>438</v>
      </c>
      <c r="B493" s="62" t="s">
        <v>438</v>
      </c>
      <c r="C493" s="63"/>
      <c r="D493" s="64"/>
      <c r="E493" s="65"/>
      <c r="F493" s="66"/>
      <c r="G493" s="63"/>
      <c r="H493" s="67"/>
      <c r="I493" s="68"/>
      <c r="J493" s="68"/>
      <c r="K493" s="32"/>
      <c r="L493" s="75">
        <v>493</v>
      </c>
      <c r="M493" s="75"/>
      <c r="N493" s="70"/>
      <c r="O493" s="77" t="s">
        <v>179</v>
      </c>
      <c r="P493" s="79">
        <v>45183.928946759261</v>
      </c>
      <c r="Q493" s="77" t="s">
        <v>2512</v>
      </c>
      <c r="R493" s="77">
        <v>0</v>
      </c>
      <c r="S493" s="77">
        <v>0</v>
      </c>
      <c r="T493" s="77">
        <v>1</v>
      </c>
      <c r="U493" s="77">
        <v>0</v>
      </c>
      <c r="V493" s="77">
        <v>171</v>
      </c>
      <c r="W493" s="80" t="s">
        <v>6255</v>
      </c>
      <c r="X493" s="77"/>
      <c r="Y493" s="77"/>
      <c r="Z493" s="77"/>
      <c r="AA493" s="77"/>
      <c r="AB493" s="77"/>
      <c r="AC493" s="80" t="s">
        <v>10541</v>
      </c>
      <c r="AD493" s="77" t="s">
        <v>10620</v>
      </c>
      <c r="AE493" s="83" t="str">
        <f>HYPERLINK("https://twitter.com/canalccordoba/status/1702446545549869170")</f>
        <v>https://twitter.com/canalccordoba/status/1702446545549869170</v>
      </c>
      <c r="AF493" s="79">
        <v>45183.928946759261</v>
      </c>
      <c r="AG493" s="85">
        <v>45183</v>
      </c>
      <c r="AH493" s="80" t="s">
        <v>11073</v>
      </c>
      <c r="AI493" s="77"/>
      <c r="AJ493" s="77"/>
      <c r="AK493" s="77"/>
      <c r="AL493" s="77"/>
      <c r="AM493" s="77"/>
      <c r="AN493" s="77"/>
      <c r="AO493" s="77"/>
      <c r="AP493" s="77"/>
      <c r="AQ493" s="77"/>
      <c r="AR493" s="77"/>
      <c r="AS493" s="77"/>
      <c r="AT493" s="77"/>
      <c r="AU493" s="77"/>
      <c r="AV493" s="83" t="str">
        <f>HYPERLINK("https://pbs.twimg.com/profile_images/1642877829246271489/C1WFDDOE_normal.jpg")</f>
        <v>https://pbs.twimg.com/profile_images/1642877829246271489/C1WFDDOE_normal.jpg</v>
      </c>
      <c r="AW493" s="80" t="s">
        <v>16460</v>
      </c>
      <c r="AX493" s="80" t="s">
        <v>16460</v>
      </c>
      <c r="AY493" s="77"/>
      <c r="AZ493" s="80" t="s">
        <v>20380</v>
      </c>
      <c r="BA493" s="80" t="s">
        <v>20380</v>
      </c>
      <c r="BB493" s="80" t="s">
        <v>20380</v>
      </c>
      <c r="BC493" s="80" t="s">
        <v>16460</v>
      </c>
      <c r="BD493" s="77">
        <v>1455253418</v>
      </c>
      <c r="BE493" s="77"/>
      <c r="BF493" s="77"/>
      <c r="BG493" s="77"/>
      <c r="BH493" s="77"/>
      <c r="BI493" s="77"/>
    </row>
    <row r="494" spans="1:61" x14ac:dyDescent="0.25">
      <c r="A494" s="62" t="s">
        <v>439</v>
      </c>
      <c r="B494" s="62" t="s">
        <v>1681</v>
      </c>
      <c r="C494" s="63"/>
      <c r="D494" s="64"/>
      <c r="E494" s="65"/>
      <c r="F494" s="66"/>
      <c r="G494" s="63"/>
      <c r="H494" s="67"/>
      <c r="I494" s="68"/>
      <c r="J494" s="68"/>
      <c r="K494" s="32"/>
      <c r="L494" s="75">
        <v>494</v>
      </c>
      <c r="M494" s="75"/>
      <c r="N494" s="70"/>
      <c r="O494" s="77" t="s">
        <v>2083</v>
      </c>
      <c r="P494" s="79">
        <v>45189.756990740738</v>
      </c>
      <c r="Q494" s="77" t="s">
        <v>2237</v>
      </c>
      <c r="R494" s="77">
        <v>18</v>
      </c>
      <c r="S494" s="77">
        <v>0</v>
      </c>
      <c r="T494" s="77">
        <v>0</v>
      </c>
      <c r="U494" s="77">
        <v>0</v>
      </c>
      <c r="V494" s="77"/>
      <c r="W494" s="80" t="s">
        <v>6018</v>
      </c>
      <c r="X494" s="77"/>
      <c r="Y494" s="77"/>
      <c r="Z494" s="77" t="s">
        <v>1681</v>
      </c>
      <c r="AA494" s="77"/>
      <c r="AB494" s="77"/>
      <c r="AC494" s="80" t="s">
        <v>10541</v>
      </c>
      <c r="AD494" s="77" t="s">
        <v>10617</v>
      </c>
      <c r="AE494" s="83" t="str">
        <f>HYPERLINK("https://twitter.com/admedmar/status/1704558558388363482")</f>
        <v>https://twitter.com/admedmar/status/1704558558388363482</v>
      </c>
      <c r="AF494" s="79">
        <v>45189.756990740738</v>
      </c>
      <c r="AG494" s="85">
        <v>45189</v>
      </c>
      <c r="AH494" s="80" t="s">
        <v>11074</v>
      </c>
      <c r="AI494" s="77"/>
      <c r="AJ494" s="77"/>
      <c r="AK494" s="77"/>
      <c r="AL494" s="77"/>
      <c r="AM494" s="77"/>
      <c r="AN494" s="77"/>
      <c r="AO494" s="77"/>
      <c r="AP494" s="77"/>
      <c r="AQ494" s="77"/>
      <c r="AR494" s="77"/>
      <c r="AS494" s="77"/>
      <c r="AT494" s="77"/>
      <c r="AU494" s="77"/>
      <c r="AV494" s="83" t="str">
        <f>HYPERLINK("https://pbs.twimg.com/profile_images/1245487249774596103/QjPE88kN_normal.jpg")</f>
        <v>https://pbs.twimg.com/profile_images/1245487249774596103/QjPE88kN_normal.jpg</v>
      </c>
      <c r="AW494" s="80" t="s">
        <v>16461</v>
      </c>
      <c r="AX494" s="80" t="s">
        <v>16461</v>
      </c>
      <c r="AY494" s="77"/>
      <c r="AZ494" s="80" t="s">
        <v>20380</v>
      </c>
      <c r="BA494" s="80" t="s">
        <v>20380</v>
      </c>
      <c r="BB494" s="80" t="s">
        <v>19932</v>
      </c>
      <c r="BC494" s="80" t="s">
        <v>19932</v>
      </c>
      <c r="BD494" s="77">
        <v>228903372</v>
      </c>
      <c r="BE494" s="77"/>
      <c r="BF494" s="77"/>
      <c r="BG494" s="77"/>
      <c r="BH494" s="77"/>
      <c r="BI494" s="77"/>
    </row>
    <row r="495" spans="1:61" x14ac:dyDescent="0.25">
      <c r="A495" s="62" t="s">
        <v>440</v>
      </c>
      <c r="B495" s="62" t="s">
        <v>1596</v>
      </c>
      <c r="C495" s="63"/>
      <c r="D495" s="64"/>
      <c r="E495" s="65"/>
      <c r="F495" s="66"/>
      <c r="G495" s="63"/>
      <c r="H495" s="67"/>
      <c r="I495" s="68"/>
      <c r="J495" s="68"/>
      <c r="K495" s="32"/>
      <c r="L495" s="75">
        <v>495</v>
      </c>
      <c r="M495" s="75"/>
      <c r="N495" s="70"/>
      <c r="O495" s="77" t="s">
        <v>2081</v>
      </c>
      <c r="P495" s="79">
        <v>45090.836284722223</v>
      </c>
      <c r="Q495" s="77" t="s">
        <v>2513</v>
      </c>
      <c r="R495" s="77">
        <v>7</v>
      </c>
      <c r="S495" s="77">
        <v>28</v>
      </c>
      <c r="T495" s="77">
        <v>1</v>
      </c>
      <c r="U495" s="77">
        <v>2</v>
      </c>
      <c r="V495" s="77">
        <v>3117</v>
      </c>
      <c r="W495" s="77"/>
      <c r="X495" s="77"/>
      <c r="Y495" s="77"/>
      <c r="Z495" s="77" t="s">
        <v>1596</v>
      </c>
      <c r="AA495" s="77" t="s">
        <v>9187</v>
      </c>
      <c r="AB495" s="77" t="s">
        <v>10535</v>
      </c>
      <c r="AC495" s="80" t="s">
        <v>10542</v>
      </c>
      <c r="AD495" s="77" t="s">
        <v>10617</v>
      </c>
      <c r="AE495" s="83" t="str">
        <f>HYPERLINK("https://twitter.com/liliamcamargo2/status/1668710895881527296")</f>
        <v>https://twitter.com/liliamcamargo2/status/1668710895881527296</v>
      </c>
      <c r="AF495" s="79">
        <v>45090.836284722223</v>
      </c>
      <c r="AG495" s="85">
        <v>45090</v>
      </c>
      <c r="AH495" s="80" t="s">
        <v>11075</v>
      </c>
      <c r="AI495" s="77" t="b">
        <v>0</v>
      </c>
      <c r="AJ495" s="77"/>
      <c r="AK495" s="77"/>
      <c r="AL495" s="77"/>
      <c r="AM495" s="77"/>
      <c r="AN495" s="77"/>
      <c r="AO495" s="77"/>
      <c r="AP495" s="77"/>
      <c r="AQ495" s="77" t="s">
        <v>14669</v>
      </c>
      <c r="AR495" s="77"/>
      <c r="AS495" s="77"/>
      <c r="AT495" s="77"/>
      <c r="AU495" s="77"/>
      <c r="AV495" s="83" t="str">
        <f>HYPERLINK("https://pbs.twimg.com/media/FyhztuXWIAMn9Ku.jpg")</f>
        <v>https://pbs.twimg.com/media/FyhztuXWIAMn9Ku.jpg</v>
      </c>
      <c r="AW495" s="80" t="s">
        <v>16462</v>
      </c>
      <c r="AX495" s="80" t="s">
        <v>16462</v>
      </c>
      <c r="AY495" s="77"/>
      <c r="AZ495" s="80" t="s">
        <v>20380</v>
      </c>
      <c r="BA495" s="80" t="s">
        <v>20380</v>
      </c>
      <c r="BB495" s="80" t="s">
        <v>20380</v>
      </c>
      <c r="BC495" s="80" t="s">
        <v>16462</v>
      </c>
      <c r="BD495" s="80" t="s">
        <v>20602</v>
      </c>
      <c r="BE495" s="77"/>
      <c r="BF495" s="77"/>
      <c r="BG495" s="77"/>
      <c r="BH495" s="77"/>
      <c r="BI495" s="77"/>
    </row>
    <row r="496" spans="1:61" x14ac:dyDescent="0.25">
      <c r="A496" s="62" t="s">
        <v>441</v>
      </c>
      <c r="B496" s="62" t="s">
        <v>441</v>
      </c>
      <c r="C496" s="63"/>
      <c r="D496" s="64"/>
      <c r="E496" s="65"/>
      <c r="F496" s="66"/>
      <c r="G496" s="63"/>
      <c r="H496" s="67"/>
      <c r="I496" s="68"/>
      <c r="J496" s="68"/>
      <c r="K496" s="32"/>
      <c r="L496" s="75">
        <v>496</v>
      </c>
      <c r="M496" s="75"/>
      <c r="N496" s="70"/>
      <c r="O496" s="77" t="s">
        <v>179</v>
      </c>
      <c r="P496" s="79">
        <v>45048.857928240737</v>
      </c>
      <c r="Q496" s="77" t="s">
        <v>2514</v>
      </c>
      <c r="R496" s="77">
        <v>0</v>
      </c>
      <c r="S496" s="77">
        <v>0</v>
      </c>
      <c r="T496" s="77">
        <v>0</v>
      </c>
      <c r="U496" s="77">
        <v>0</v>
      </c>
      <c r="V496" s="77">
        <v>22</v>
      </c>
      <c r="W496" s="80" t="s">
        <v>6256</v>
      </c>
      <c r="X496" s="83" t="str">
        <f>HYPERLINK("https://bit.ly/3AOlcRs")</f>
        <v>https://bit.ly/3AOlcRs</v>
      </c>
      <c r="Y496" s="77" t="s">
        <v>8618</v>
      </c>
      <c r="Z496" s="77"/>
      <c r="AA496" s="77"/>
      <c r="AB496" s="77"/>
      <c r="AC496" s="80" t="s">
        <v>10541</v>
      </c>
      <c r="AD496" s="77" t="s">
        <v>10620</v>
      </c>
      <c r="AE496" s="83" t="str">
        <f>HYPERLINK("https://twitter.com/7diasrd/status/1653498451236212763")</f>
        <v>https://twitter.com/7diasrd/status/1653498451236212763</v>
      </c>
      <c r="AF496" s="79">
        <v>45048.857928240737</v>
      </c>
      <c r="AG496" s="85">
        <v>45048</v>
      </c>
      <c r="AH496" s="80" t="s">
        <v>11076</v>
      </c>
      <c r="AI496" s="77" t="b">
        <v>0</v>
      </c>
      <c r="AJ496" s="77"/>
      <c r="AK496" s="77"/>
      <c r="AL496" s="77"/>
      <c r="AM496" s="77"/>
      <c r="AN496" s="77"/>
      <c r="AO496" s="77"/>
      <c r="AP496" s="77"/>
      <c r="AQ496" s="77"/>
      <c r="AR496" s="77"/>
      <c r="AS496" s="77"/>
      <c r="AT496" s="77"/>
      <c r="AU496" s="77"/>
      <c r="AV496" s="83" t="str">
        <f>HYPERLINK("https://pbs.twimg.com/profile_images/1609926586156961796/l0JL9KvN_normal.jpg")</f>
        <v>https://pbs.twimg.com/profile_images/1609926586156961796/l0JL9KvN_normal.jpg</v>
      </c>
      <c r="AW496" s="80" t="s">
        <v>16463</v>
      </c>
      <c r="AX496" s="80" t="s">
        <v>16463</v>
      </c>
      <c r="AY496" s="77"/>
      <c r="AZ496" s="80" t="s">
        <v>20380</v>
      </c>
      <c r="BA496" s="80" t="s">
        <v>20380</v>
      </c>
      <c r="BB496" s="80" t="s">
        <v>20380</v>
      </c>
      <c r="BC496" s="80" t="s">
        <v>16463</v>
      </c>
      <c r="BD496" s="80" t="s">
        <v>20603</v>
      </c>
      <c r="BE496" s="77"/>
      <c r="BF496" s="77"/>
      <c r="BG496" s="77"/>
      <c r="BH496" s="77"/>
      <c r="BI496" s="77"/>
    </row>
    <row r="497" spans="1:61" x14ac:dyDescent="0.25">
      <c r="A497" s="62" t="s">
        <v>442</v>
      </c>
      <c r="B497" s="62" t="s">
        <v>1759</v>
      </c>
      <c r="C497" s="63"/>
      <c r="D497" s="64"/>
      <c r="E497" s="65"/>
      <c r="F497" s="66"/>
      <c r="G497" s="63"/>
      <c r="H497" s="67"/>
      <c r="I497" s="68"/>
      <c r="J497" s="68"/>
      <c r="K497" s="32"/>
      <c r="L497" s="75">
        <v>497</v>
      </c>
      <c r="M497" s="75"/>
      <c r="N497" s="70"/>
      <c r="O497" s="77" t="s">
        <v>2081</v>
      </c>
      <c r="P497" s="79">
        <v>45075.097361111111</v>
      </c>
      <c r="Q497" s="77" t="s">
        <v>2515</v>
      </c>
      <c r="R497" s="77">
        <v>0</v>
      </c>
      <c r="S497" s="77">
        <v>1</v>
      </c>
      <c r="T497" s="77">
        <v>1</v>
      </c>
      <c r="U497" s="77">
        <v>0</v>
      </c>
      <c r="V497" s="77">
        <v>188</v>
      </c>
      <c r="W497" s="80" t="s">
        <v>6257</v>
      </c>
      <c r="X497" s="77"/>
      <c r="Y497" s="77"/>
      <c r="Z497" s="77" t="s">
        <v>8920</v>
      </c>
      <c r="AA497" s="77" t="s">
        <v>9188</v>
      </c>
      <c r="AB497" s="77" t="s">
        <v>10535</v>
      </c>
      <c r="AC497" s="80" t="s">
        <v>10540</v>
      </c>
      <c r="AD497" s="77" t="s">
        <v>10617</v>
      </c>
      <c r="AE497" s="83" t="str">
        <f>HYPERLINK("https://twitter.com/thatasou_/status/1663007300636880898")</f>
        <v>https://twitter.com/thatasou_/status/1663007300636880898</v>
      </c>
      <c r="AF497" s="79">
        <v>45075.097361111111</v>
      </c>
      <c r="AG497" s="85">
        <v>45075</v>
      </c>
      <c r="AH497" s="80" t="s">
        <v>11077</v>
      </c>
      <c r="AI497" s="77" t="b">
        <v>0</v>
      </c>
      <c r="AJ497" s="77"/>
      <c r="AK497" s="77"/>
      <c r="AL497" s="77"/>
      <c r="AM497" s="77"/>
      <c r="AN497" s="77"/>
      <c r="AO497" s="77"/>
      <c r="AP497" s="77"/>
      <c r="AQ497" s="77" t="s">
        <v>14670</v>
      </c>
      <c r="AR497" s="77"/>
      <c r="AS497" s="77"/>
      <c r="AT497" s="77"/>
      <c r="AU497" s="77"/>
      <c r="AV497" s="83" t="str">
        <f>HYPERLINK("https://pbs.twimg.com/media/FxQwU72WAAEDZMd.jpg")</f>
        <v>https://pbs.twimg.com/media/FxQwU72WAAEDZMd.jpg</v>
      </c>
      <c r="AW497" s="80" t="s">
        <v>16464</v>
      </c>
      <c r="AX497" s="80" t="s">
        <v>16464</v>
      </c>
      <c r="AY497" s="77"/>
      <c r="AZ497" s="80" t="s">
        <v>20380</v>
      </c>
      <c r="BA497" s="80" t="s">
        <v>20380</v>
      </c>
      <c r="BB497" s="80" t="s">
        <v>20380</v>
      </c>
      <c r="BC497" s="80" t="s">
        <v>16464</v>
      </c>
      <c r="BD497" s="80" t="s">
        <v>20604</v>
      </c>
      <c r="BE497" s="77"/>
      <c r="BF497" s="77"/>
      <c r="BG497" s="77"/>
      <c r="BH497" s="77"/>
      <c r="BI497" s="77"/>
    </row>
    <row r="498" spans="1:61" x14ac:dyDescent="0.25">
      <c r="A498" s="62" t="s">
        <v>442</v>
      </c>
      <c r="B498" s="62" t="s">
        <v>1759</v>
      </c>
      <c r="C498" s="63"/>
      <c r="D498" s="64"/>
      <c r="E498" s="65"/>
      <c r="F498" s="66"/>
      <c r="G498" s="63"/>
      <c r="H498" s="67"/>
      <c r="I498" s="68"/>
      <c r="J498" s="68"/>
      <c r="K498" s="32"/>
      <c r="L498" s="75">
        <v>498</v>
      </c>
      <c r="M498" s="75"/>
      <c r="N498" s="70"/>
      <c r="O498" s="77" t="s">
        <v>2081</v>
      </c>
      <c r="P498" s="79">
        <v>45075.085833333331</v>
      </c>
      <c r="Q498" s="77" t="s">
        <v>2516</v>
      </c>
      <c r="R498" s="77">
        <v>0</v>
      </c>
      <c r="S498" s="77">
        <v>0</v>
      </c>
      <c r="T498" s="77">
        <v>0</v>
      </c>
      <c r="U498" s="77">
        <v>0</v>
      </c>
      <c r="V498" s="77">
        <v>137</v>
      </c>
      <c r="W498" s="80" t="s">
        <v>6258</v>
      </c>
      <c r="X498" s="83" t="str">
        <f>HYPERLINK("https://www.reclameaqui.com.br/iti/nao-consigo-acessar-o-cartao-de-credito-pelo-aplicativo_y94K4VtxlgWhxeDL/")</f>
        <v>https://www.reclameaqui.com.br/iti/nao-consigo-acessar-o-cartao-de-credito-pelo-aplicativo_y94K4VtxlgWhxeDL/</v>
      </c>
      <c r="Y498" s="77" t="s">
        <v>8611</v>
      </c>
      <c r="Z498" s="77" t="s">
        <v>8921</v>
      </c>
      <c r="AA498" s="77"/>
      <c r="AB498" s="77"/>
      <c r="AC498" s="80" t="s">
        <v>10540</v>
      </c>
      <c r="AD498" s="77" t="s">
        <v>10617</v>
      </c>
      <c r="AE498" s="83" t="str">
        <f>HYPERLINK("https://twitter.com/thatasou_/status/1663003123122569216")</f>
        <v>https://twitter.com/thatasou_/status/1663003123122569216</v>
      </c>
      <c r="AF498" s="79">
        <v>45075.085833333331</v>
      </c>
      <c r="AG498" s="85">
        <v>45075</v>
      </c>
      <c r="AH498" s="80" t="s">
        <v>11078</v>
      </c>
      <c r="AI498" s="77" t="b">
        <v>0</v>
      </c>
      <c r="AJ498" s="77"/>
      <c r="AK498" s="77"/>
      <c r="AL498" s="77"/>
      <c r="AM498" s="77"/>
      <c r="AN498" s="77"/>
      <c r="AO498" s="77"/>
      <c r="AP498" s="77"/>
      <c r="AQ498" s="77"/>
      <c r="AR498" s="77"/>
      <c r="AS498" s="77"/>
      <c r="AT498" s="77"/>
      <c r="AU498" s="77"/>
      <c r="AV498" s="83" t="str">
        <f>HYPERLINK("https://pbs.twimg.com/profile_images/1588719882778050561/MpseKA3U_normal.jpg")</f>
        <v>https://pbs.twimg.com/profile_images/1588719882778050561/MpseKA3U_normal.jpg</v>
      </c>
      <c r="AW498" s="80" t="s">
        <v>16465</v>
      </c>
      <c r="AX498" s="80" t="s">
        <v>16465</v>
      </c>
      <c r="AY498" s="77"/>
      <c r="AZ498" s="80" t="s">
        <v>20380</v>
      </c>
      <c r="BA498" s="80" t="s">
        <v>20380</v>
      </c>
      <c r="BB498" s="80" t="s">
        <v>20380</v>
      </c>
      <c r="BC498" s="80" t="s">
        <v>16465</v>
      </c>
      <c r="BD498" s="80" t="s">
        <v>20604</v>
      </c>
      <c r="BE498" s="77"/>
      <c r="BF498" s="77"/>
      <c r="BG498" s="77"/>
      <c r="BH498" s="77"/>
      <c r="BI498" s="77"/>
    </row>
    <row r="499" spans="1:61" x14ac:dyDescent="0.25">
      <c r="A499" s="62" t="s">
        <v>442</v>
      </c>
      <c r="B499" s="62" t="s">
        <v>1760</v>
      </c>
      <c r="C499" s="63"/>
      <c r="D499" s="64"/>
      <c r="E499" s="65"/>
      <c r="F499" s="66"/>
      <c r="G499" s="63"/>
      <c r="H499" s="67"/>
      <c r="I499" s="68"/>
      <c r="J499" s="68"/>
      <c r="K499" s="32"/>
      <c r="L499" s="75">
        <v>499</v>
      </c>
      <c r="M499" s="75"/>
      <c r="N499" s="70"/>
      <c r="O499" s="77" t="s">
        <v>2081</v>
      </c>
      <c r="P499" s="79">
        <v>45075.097361111111</v>
      </c>
      <c r="Q499" s="77" t="s">
        <v>2515</v>
      </c>
      <c r="R499" s="77">
        <v>0</v>
      </c>
      <c r="S499" s="77">
        <v>1</v>
      </c>
      <c r="T499" s="77">
        <v>1</v>
      </c>
      <c r="U499" s="77">
        <v>0</v>
      </c>
      <c r="V499" s="77">
        <v>188</v>
      </c>
      <c r="W499" s="80" t="s">
        <v>6257</v>
      </c>
      <c r="X499" s="77"/>
      <c r="Y499" s="77"/>
      <c r="Z499" s="77" t="s">
        <v>8920</v>
      </c>
      <c r="AA499" s="77" t="s">
        <v>9188</v>
      </c>
      <c r="AB499" s="77" t="s">
        <v>10535</v>
      </c>
      <c r="AC499" s="80" t="s">
        <v>10540</v>
      </c>
      <c r="AD499" s="77" t="s">
        <v>10617</v>
      </c>
      <c r="AE499" s="83" t="str">
        <f>HYPERLINK("https://twitter.com/thatasou_/status/1663007300636880898")</f>
        <v>https://twitter.com/thatasou_/status/1663007300636880898</v>
      </c>
      <c r="AF499" s="79">
        <v>45075.097361111111</v>
      </c>
      <c r="AG499" s="85">
        <v>45075</v>
      </c>
      <c r="AH499" s="80" t="s">
        <v>11077</v>
      </c>
      <c r="AI499" s="77" t="b">
        <v>0</v>
      </c>
      <c r="AJ499" s="77"/>
      <c r="AK499" s="77"/>
      <c r="AL499" s="77"/>
      <c r="AM499" s="77"/>
      <c r="AN499" s="77"/>
      <c r="AO499" s="77"/>
      <c r="AP499" s="77"/>
      <c r="AQ499" s="77" t="s">
        <v>14670</v>
      </c>
      <c r="AR499" s="77"/>
      <c r="AS499" s="77"/>
      <c r="AT499" s="77"/>
      <c r="AU499" s="77"/>
      <c r="AV499" s="83" t="str">
        <f>HYPERLINK("https://pbs.twimg.com/media/FxQwU72WAAEDZMd.jpg")</f>
        <v>https://pbs.twimg.com/media/FxQwU72WAAEDZMd.jpg</v>
      </c>
      <c r="AW499" s="80" t="s">
        <v>16464</v>
      </c>
      <c r="AX499" s="80" t="s">
        <v>16464</v>
      </c>
      <c r="AY499" s="77"/>
      <c r="AZ499" s="80" t="s">
        <v>20380</v>
      </c>
      <c r="BA499" s="80" t="s">
        <v>20380</v>
      </c>
      <c r="BB499" s="80" t="s">
        <v>20380</v>
      </c>
      <c r="BC499" s="80" t="s">
        <v>16464</v>
      </c>
      <c r="BD499" s="80" t="s">
        <v>20604</v>
      </c>
      <c r="BE499" s="77"/>
      <c r="BF499" s="77"/>
      <c r="BG499" s="77"/>
      <c r="BH499" s="77"/>
      <c r="BI499" s="77"/>
    </row>
    <row r="500" spans="1:61" x14ac:dyDescent="0.25">
      <c r="A500" s="62" t="s">
        <v>442</v>
      </c>
      <c r="B500" s="62" t="s">
        <v>1596</v>
      </c>
      <c r="C500" s="63"/>
      <c r="D500" s="64"/>
      <c r="E500" s="65"/>
      <c r="F500" s="66"/>
      <c r="G500" s="63"/>
      <c r="H500" s="67"/>
      <c r="I500" s="68"/>
      <c r="J500" s="68"/>
      <c r="K500" s="32"/>
      <c r="L500" s="75">
        <v>500</v>
      </c>
      <c r="M500" s="75"/>
      <c r="N500" s="70"/>
      <c r="O500" s="77" t="s">
        <v>2081</v>
      </c>
      <c r="P500" s="79">
        <v>45075.097361111111</v>
      </c>
      <c r="Q500" s="77" t="s">
        <v>2515</v>
      </c>
      <c r="R500" s="77">
        <v>0</v>
      </c>
      <c r="S500" s="77">
        <v>1</v>
      </c>
      <c r="T500" s="77">
        <v>1</v>
      </c>
      <c r="U500" s="77">
        <v>0</v>
      </c>
      <c r="V500" s="77">
        <v>188</v>
      </c>
      <c r="W500" s="80" t="s">
        <v>6257</v>
      </c>
      <c r="X500" s="77"/>
      <c r="Y500" s="77"/>
      <c r="Z500" s="77" t="s">
        <v>8920</v>
      </c>
      <c r="AA500" s="77" t="s">
        <v>9188</v>
      </c>
      <c r="AB500" s="77" t="s">
        <v>10535</v>
      </c>
      <c r="AC500" s="80" t="s">
        <v>10540</v>
      </c>
      <c r="AD500" s="77" t="s">
        <v>10617</v>
      </c>
      <c r="AE500" s="83" t="str">
        <f>HYPERLINK("https://twitter.com/thatasou_/status/1663007300636880898")</f>
        <v>https://twitter.com/thatasou_/status/1663007300636880898</v>
      </c>
      <c r="AF500" s="79">
        <v>45075.097361111111</v>
      </c>
      <c r="AG500" s="85">
        <v>45075</v>
      </c>
      <c r="AH500" s="80" t="s">
        <v>11077</v>
      </c>
      <c r="AI500" s="77" t="b">
        <v>0</v>
      </c>
      <c r="AJ500" s="77"/>
      <c r="AK500" s="77"/>
      <c r="AL500" s="77"/>
      <c r="AM500" s="77"/>
      <c r="AN500" s="77"/>
      <c r="AO500" s="77"/>
      <c r="AP500" s="77"/>
      <c r="AQ500" s="77" t="s">
        <v>14670</v>
      </c>
      <c r="AR500" s="77"/>
      <c r="AS500" s="77"/>
      <c r="AT500" s="77"/>
      <c r="AU500" s="77"/>
      <c r="AV500" s="83" t="str">
        <f>HYPERLINK("https://pbs.twimg.com/media/FxQwU72WAAEDZMd.jpg")</f>
        <v>https://pbs.twimg.com/media/FxQwU72WAAEDZMd.jpg</v>
      </c>
      <c r="AW500" s="80" t="s">
        <v>16464</v>
      </c>
      <c r="AX500" s="80" t="s">
        <v>16464</v>
      </c>
      <c r="AY500" s="77"/>
      <c r="AZ500" s="80" t="s">
        <v>20380</v>
      </c>
      <c r="BA500" s="80" t="s">
        <v>20380</v>
      </c>
      <c r="BB500" s="80" t="s">
        <v>20380</v>
      </c>
      <c r="BC500" s="80" t="s">
        <v>16464</v>
      </c>
      <c r="BD500" s="80" t="s">
        <v>20604</v>
      </c>
      <c r="BE500" s="77"/>
      <c r="BF500" s="77"/>
      <c r="BG500" s="77"/>
      <c r="BH500" s="77"/>
      <c r="BI500" s="77"/>
    </row>
    <row r="501" spans="1:61" x14ac:dyDescent="0.25">
      <c r="A501" s="62" t="s">
        <v>442</v>
      </c>
      <c r="B501" s="62" t="s">
        <v>1760</v>
      </c>
      <c r="C501" s="63"/>
      <c r="D501" s="64"/>
      <c r="E501" s="65"/>
      <c r="F501" s="66"/>
      <c r="G501" s="63"/>
      <c r="H501" s="67"/>
      <c r="I501" s="68"/>
      <c r="J501" s="68"/>
      <c r="K501" s="32"/>
      <c r="L501" s="75">
        <v>501</v>
      </c>
      <c r="M501" s="75"/>
      <c r="N501" s="70"/>
      <c r="O501" s="77" t="s">
        <v>2081</v>
      </c>
      <c r="P501" s="79">
        <v>45075.085833333331</v>
      </c>
      <c r="Q501" s="77" t="s">
        <v>2516</v>
      </c>
      <c r="R501" s="77">
        <v>0</v>
      </c>
      <c r="S501" s="77">
        <v>0</v>
      </c>
      <c r="T501" s="77">
        <v>0</v>
      </c>
      <c r="U501" s="77">
        <v>0</v>
      </c>
      <c r="V501" s="77">
        <v>137</v>
      </c>
      <c r="W501" s="80" t="s">
        <v>6258</v>
      </c>
      <c r="X501" s="83" t="str">
        <f>HYPERLINK("https://www.reclameaqui.com.br/iti/nao-consigo-acessar-o-cartao-de-credito-pelo-aplicativo_y94K4VtxlgWhxeDL/")</f>
        <v>https://www.reclameaqui.com.br/iti/nao-consigo-acessar-o-cartao-de-credito-pelo-aplicativo_y94K4VtxlgWhxeDL/</v>
      </c>
      <c r="Y501" s="77" t="s">
        <v>8611</v>
      </c>
      <c r="Z501" s="77" t="s">
        <v>8921</v>
      </c>
      <c r="AA501" s="77"/>
      <c r="AB501" s="77"/>
      <c r="AC501" s="80" t="s">
        <v>10540</v>
      </c>
      <c r="AD501" s="77" t="s">
        <v>10617</v>
      </c>
      <c r="AE501" s="83" t="str">
        <f>HYPERLINK("https://twitter.com/thatasou_/status/1663003123122569216")</f>
        <v>https://twitter.com/thatasou_/status/1663003123122569216</v>
      </c>
      <c r="AF501" s="79">
        <v>45075.085833333331</v>
      </c>
      <c r="AG501" s="85">
        <v>45075</v>
      </c>
      <c r="AH501" s="80" t="s">
        <v>11078</v>
      </c>
      <c r="AI501" s="77" t="b">
        <v>0</v>
      </c>
      <c r="AJ501" s="77"/>
      <c r="AK501" s="77"/>
      <c r="AL501" s="77"/>
      <c r="AM501" s="77"/>
      <c r="AN501" s="77"/>
      <c r="AO501" s="77"/>
      <c r="AP501" s="77"/>
      <c r="AQ501" s="77"/>
      <c r="AR501" s="77"/>
      <c r="AS501" s="77"/>
      <c r="AT501" s="77"/>
      <c r="AU501" s="77"/>
      <c r="AV501" s="83" t="str">
        <f>HYPERLINK("https://pbs.twimg.com/profile_images/1588719882778050561/MpseKA3U_normal.jpg")</f>
        <v>https://pbs.twimg.com/profile_images/1588719882778050561/MpseKA3U_normal.jpg</v>
      </c>
      <c r="AW501" s="80" t="s">
        <v>16465</v>
      </c>
      <c r="AX501" s="80" t="s">
        <v>16465</v>
      </c>
      <c r="AY501" s="77"/>
      <c r="AZ501" s="80" t="s">
        <v>20380</v>
      </c>
      <c r="BA501" s="80" t="s">
        <v>20380</v>
      </c>
      <c r="BB501" s="80" t="s">
        <v>20380</v>
      </c>
      <c r="BC501" s="80" t="s">
        <v>16465</v>
      </c>
      <c r="BD501" s="80" t="s">
        <v>20604</v>
      </c>
      <c r="BE501" s="77"/>
      <c r="BF501" s="77"/>
      <c r="BG501" s="77"/>
      <c r="BH501" s="77"/>
      <c r="BI501" s="77"/>
    </row>
    <row r="502" spans="1:61" x14ac:dyDescent="0.25">
      <c r="A502" s="62" t="s">
        <v>443</v>
      </c>
      <c r="B502" s="62" t="s">
        <v>443</v>
      </c>
      <c r="C502" s="63"/>
      <c r="D502" s="64"/>
      <c r="E502" s="65"/>
      <c r="F502" s="66"/>
      <c r="G502" s="63"/>
      <c r="H502" s="67"/>
      <c r="I502" s="68"/>
      <c r="J502" s="68"/>
      <c r="K502" s="32"/>
      <c r="L502" s="75">
        <v>502</v>
      </c>
      <c r="M502" s="75"/>
      <c r="N502" s="70"/>
      <c r="O502" s="77" t="s">
        <v>179</v>
      </c>
      <c r="P502" s="79">
        <v>45118.609189814815</v>
      </c>
      <c r="Q502" s="77" t="s">
        <v>2517</v>
      </c>
      <c r="R502" s="77">
        <v>0</v>
      </c>
      <c r="S502" s="77">
        <v>0</v>
      </c>
      <c r="T502" s="77">
        <v>0</v>
      </c>
      <c r="U502" s="77">
        <v>0</v>
      </c>
      <c r="V502" s="77">
        <v>280</v>
      </c>
      <c r="W502" s="80" t="s">
        <v>6259</v>
      </c>
      <c r="X502" s="83" t="str">
        <f>HYPERLINK("https://soydelejido.blogspot.com/2023/07/francia-entregara-ucrania-misiles-storm.html")</f>
        <v>https://soydelejido.blogspot.com/2023/07/francia-entregara-ucrania-misiles-storm.html</v>
      </c>
      <c r="Y502" s="77" t="s">
        <v>8671</v>
      </c>
      <c r="Z502" s="77"/>
      <c r="AA502" s="77"/>
      <c r="AB502" s="77"/>
      <c r="AC502" s="80" t="s">
        <v>10541</v>
      </c>
      <c r="AD502" s="77" t="s">
        <v>10619</v>
      </c>
      <c r="AE502" s="83" t="str">
        <f>HYPERLINK("https://twitter.com/soydelejido/status/1678775458719207425")</f>
        <v>https://twitter.com/soydelejido/status/1678775458719207425</v>
      </c>
      <c r="AF502" s="79">
        <v>45118.609189814815</v>
      </c>
      <c r="AG502" s="85">
        <v>45118</v>
      </c>
      <c r="AH502" s="80" t="s">
        <v>11079</v>
      </c>
      <c r="AI502" s="77" t="b">
        <v>1</v>
      </c>
      <c r="AJ502" s="77"/>
      <c r="AK502" s="77"/>
      <c r="AL502" s="77"/>
      <c r="AM502" s="77"/>
      <c r="AN502" s="77"/>
      <c r="AO502" s="77"/>
      <c r="AP502" s="77"/>
      <c r="AQ502" s="77"/>
      <c r="AR502" s="77"/>
      <c r="AS502" s="77"/>
      <c r="AT502" s="77"/>
      <c r="AU502" s="77"/>
      <c r="AV502" s="83" t="str">
        <f>HYPERLINK("https://pbs.twimg.com/profile_images/378800000464456164/83560586c062ed96b5ca10d3393558c4_normal.jpeg")</f>
        <v>https://pbs.twimg.com/profile_images/378800000464456164/83560586c062ed96b5ca10d3393558c4_normal.jpeg</v>
      </c>
      <c r="AW502" s="80" t="s">
        <v>16466</v>
      </c>
      <c r="AX502" s="80" t="s">
        <v>16466</v>
      </c>
      <c r="AY502" s="77"/>
      <c r="AZ502" s="80" t="s">
        <v>20380</v>
      </c>
      <c r="BA502" s="80" t="s">
        <v>20380</v>
      </c>
      <c r="BB502" s="80" t="s">
        <v>20380</v>
      </c>
      <c r="BC502" s="80" t="s">
        <v>16466</v>
      </c>
      <c r="BD502" s="77">
        <v>498202732</v>
      </c>
      <c r="BE502" s="77"/>
      <c r="BF502" s="77"/>
      <c r="BG502" s="77"/>
      <c r="BH502" s="77"/>
      <c r="BI502" s="77"/>
    </row>
    <row r="503" spans="1:61" x14ac:dyDescent="0.25">
      <c r="A503" s="62" t="s">
        <v>443</v>
      </c>
      <c r="B503" s="62" t="s">
        <v>443</v>
      </c>
      <c r="C503" s="63"/>
      <c r="D503" s="64"/>
      <c r="E503" s="65"/>
      <c r="F503" s="66"/>
      <c r="G503" s="63"/>
      <c r="H503" s="67"/>
      <c r="I503" s="68"/>
      <c r="J503" s="68"/>
      <c r="K503" s="32"/>
      <c r="L503" s="75">
        <v>503</v>
      </c>
      <c r="M503" s="75"/>
      <c r="N503" s="70"/>
      <c r="O503" s="77" t="s">
        <v>179</v>
      </c>
      <c r="P503" s="79">
        <v>45118.602141203701</v>
      </c>
      <c r="Q503" s="77" t="s">
        <v>2518</v>
      </c>
      <c r="R503" s="77">
        <v>0</v>
      </c>
      <c r="S503" s="77">
        <v>0</v>
      </c>
      <c r="T503" s="77">
        <v>0</v>
      </c>
      <c r="U503" s="77">
        <v>0</v>
      </c>
      <c r="V503" s="77">
        <v>282</v>
      </c>
      <c r="W503" s="80" t="s">
        <v>6260</v>
      </c>
      <c r="X503" s="83" t="str">
        <f>HYPERLINK("https://soydelejido.blogspot.com/2023/07/polvo-del-sahara-continua-sobre-el-pais.html")</f>
        <v>https://soydelejido.blogspot.com/2023/07/polvo-del-sahara-continua-sobre-el-pais.html</v>
      </c>
      <c r="Y503" s="77" t="s">
        <v>8671</v>
      </c>
      <c r="Z503" s="77"/>
      <c r="AA503" s="77"/>
      <c r="AB503" s="77"/>
      <c r="AC503" s="80" t="s">
        <v>10541</v>
      </c>
      <c r="AD503" s="77" t="s">
        <v>10620</v>
      </c>
      <c r="AE503" s="83" t="str">
        <f>HYPERLINK("https://twitter.com/soydelejido/status/1678772907257004033")</f>
        <v>https://twitter.com/soydelejido/status/1678772907257004033</v>
      </c>
      <c r="AF503" s="79">
        <v>45118.602141203701</v>
      </c>
      <c r="AG503" s="85">
        <v>45118</v>
      </c>
      <c r="AH503" s="80" t="s">
        <v>11080</v>
      </c>
      <c r="AI503" s="77" t="b">
        <v>1</v>
      </c>
      <c r="AJ503" s="77"/>
      <c r="AK503" s="77"/>
      <c r="AL503" s="77"/>
      <c r="AM503" s="77"/>
      <c r="AN503" s="77"/>
      <c r="AO503" s="77"/>
      <c r="AP503" s="77"/>
      <c r="AQ503" s="77"/>
      <c r="AR503" s="77"/>
      <c r="AS503" s="77"/>
      <c r="AT503" s="77"/>
      <c r="AU503" s="77"/>
      <c r="AV503" s="83" t="str">
        <f>HYPERLINK("https://pbs.twimg.com/profile_images/378800000464456164/83560586c062ed96b5ca10d3393558c4_normal.jpeg")</f>
        <v>https://pbs.twimg.com/profile_images/378800000464456164/83560586c062ed96b5ca10d3393558c4_normal.jpeg</v>
      </c>
      <c r="AW503" s="80" t="s">
        <v>16467</v>
      </c>
      <c r="AX503" s="80" t="s">
        <v>16467</v>
      </c>
      <c r="AY503" s="77"/>
      <c r="AZ503" s="80" t="s">
        <v>20380</v>
      </c>
      <c r="BA503" s="80" t="s">
        <v>20380</v>
      </c>
      <c r="BB503" s="80" t="s">
        <v>20380</v>
      </c>
      <c r="BC503" s="80" t="s">
        <v>16467</v>
      </c>
      <c r="BD503" s="77">
        <v>498202732</v>
      </c>
      <c r="BE503" s="77"/>
      <c r="BF503" s="77"/>
      <c r="BG503" s="77"/>
      <c r="BH503" s="77"/>
      <c r="BI503" s="77"/>
    </row>
    <row r="504" spans="1:61" x14ac:dyDescent="0.25">
      <c r="A504" s="62" t="s">
        <v>443</v>
      </c>
      <c r="B504" s="62" t="s">
        <v>443</v>
      </c>
      <c r="C504" s="63"/>
      <c r="D504" s="64"/>
      <c r="E504" s="65"/>
      <c r="F504" s="66"/>
      <c r="G504" s="63"/>
      <c r="H504" s="67"/>
      <c r="I504" s="68"/>
      <c r="J504" s="68"/>
      <c r="K504" s="32"/>
      <c r="L504" s="75">
        <v>504</v>
      </c>
      <c r="M504" s="75"/>
      <c r="N504" s="70"/>
      <c r="O504" s="77" t="s">
        <v>179</v>
      </c>
      <c r="P504" s="79">
        <v>45107.585300925923</v>
      </c>
      <c r="Q504" s="77" t="s">
        <v>2519</v>
      </c>
      <c r="R504" s="77">
        <v>0</v>
      </c>
      <c r="S504" s="77">
        <v>0</v>
      </c>
      <c r="T504" s="77">
        <v>0</v>
      </c>
      <c r="U504" s="77">
        <v>0</v>
      </c>
      <c r="V504" s="77">
        <v>39</v>
      </c>
      <c r="W504" s="80" t="s">
        <v>6261</v>
      </c>
      <c r="X504" s="83" t="str">
        <f>HYPERLINK("https://soydelejido.blogspot.com/2023/06/las-consecuencias-de-la-nube-de-humo.html")</f>
        <v>https://soydelejido.blogspot.com/2023/06/las-consecuencias-de-la-nube-de-humo.html</v>
      </c>
      <c r="Y504" s="77" t="s">
        <v>8671</v>
      </c>
      <c r="Z504" s="77"/>
      <c r="AA504" s="77"/>
      <c r="AB504" s="77"/>
      <c r="AC504" s="80" t="s">
        <v>10541</v>
      </c>
      <c r="AD504" s="77" t="s">
        <v>10619</v>
      </c>
      <c r="AE504" s="83" t="str">
        <f>HYPERLINK("https://twitter.com/soydelejido/status/1674780536274059264")</f>
        <v>https://twitter.com/soydelejido/status/1674780536274059264</v>
      </c>
      <c r="AF504" s="79">
        <v>45107.585300925923</v>
      </c>
      <c r="AG504" s="85">
        <v>45107</v>
      </c>
      <c r="AH504" s="80" t="s">
        <v>11081</v>
      </c>
      <c r="AI504" s="77" t="b">
        <v>1</v>
      </c>
      <c r="AJ504" s="77"/>
      <c r="AK504" s="77"/>
      <c r="AL504" s="77"/>
      <c r="AM504" s="77"/>
      <c r="AN504" s="77"/>
      <c r="AO504" s="77"/>
      <c r="AP504" s="77"/>
      <c r="AQ504" s="77"/>
      <c r="AR504" s="77"/>
      <c r="AS504" s="77"/>
      <c r="AT504" s="77"/>
      <c r="AU504" s="77"/>
      <c r="AV504" s="83" t="str">
        <f>HYPERLINK("https://pbs.twimg.com/profile_images/378800000464456164/83560586c062ed96b5ca10d3393558c4_normal.jpeg")</f>
        <v>https://pbs.twimg.com/profile_images/378800000464456164/83560586c062ed96b5ca10d3393558c4_normal.jpeg</v>
      </c>
      <c r="AW504" s="80" t="s">
        <v>16468</v>
      </c>
      <c r="AX504" s="80" t="s">
        <v>16468</v>
      </c>
      <c r="AY504" s="77"/>
      <c r="AZ504" s="80" t="s">
        <v>20380</v>
      </c>
      <c r="BA504" s="80" t="s">
        <v>20380</v>
      </c>
      <c r="BB504" s="80" t="s">
        <v>20380</v>
      </c>
      <c r="BC504" s="80" t="s">
        <v>16468</v>
      </c>
      <c r="BD504" s="77">
        <v>498202732</v>
      </c>
      <c r="BE504" s="77"/>
      <c r="BF504" s="77"/>
      <c r="BG504" s="77"/>
      <c r="BH504" s="77"/>
      <c r="BI504" s="77"/>
    </row>
    <row r="505" spans="1:61" x14ac:dyDescent="0.25">
      <c r="A505" s="62" t="s">
        <v>444</v>
      </c>
      <c r="B505" s="62" t="s">
        <v>1655</v>
      </c>
      <c r="C505" s="63"/>
      <c r="D505" s="64"/>
      <c r="E505" s="65"/>
      <c r="F505" s="66"/>
      <c r="G505" s="63"/>
      <c r="H505" s="67"/>
      <c r="I505" s="68"/>
      <c r="J505" s="68"/>
      <c r="K505" s="32"/>
      <c r="L505" s="75">
        <v>505</v>
      </c>
      <c r="M505" s="75"/>
      <c r="N505" s="70"/>
      <c r="O505" s="77" t="s">
        <v>2083</v>
      </c>
      <c r="P505" s="79">
        <v>45196.895624999997</v>
      </c>
      <c r="Q505" s="77" t="s">
        <v>2520</v>
      </c>
      <c r="R505" s="77">
        <v>2</v>
      </c>
      <c r="S505" s="77">
        <v>0</v>
      </c>
      <c r="T505" s="77">
        <v>0</v>
      </c>
      <c r="U505" s="77">
        <v>0</v>
      </c>
      <c r="V505" s="77"/>
      <c r="W505" s="80" t="s">
        <v>6262</v>
      </c>
      <c r="X505" s="77"/>
      <c r="Y505" s="77"/>
      <c r="Z505" s="77" t="s">
        <v>1655</v>
      </c>
      <c r="AA505" s="77"/>
      <c r="AB505" s="77"/>
      <c r="AC505" s="80" t="s">
        <v>10540</v>
      </c>
      <c r="AD505" s="77" t="s">
        <v>10617</v>
      </c>
      <c r="AE505" s="83" t="str">
        <f>HYPERLINK("https://twitter.com/valb38/status/1707145513928171645")</f>
        <v>https://twitter.com/valb38/status/1707145513928171645</v>
      </c>
      <c r="AF505" s="79">
        <v>45196.895624999997</v>
      </c>
      <c r="AG505" s="85">
        <v>45196</v>
      </c>
      <c r="AH505" s="80" t="s">
        <v>11082</v>
      </c>
      <c r="AI505" s="77"/>
      <c r="AJ505" s="77"/>
      <c r="AK505" s="77"/>
      <c r="AL505" s="77"/>
      <c r="AM505" s="77"/>
      <c r="AN505" s="77"/>
      <c r="AO505" s="77"/>
      <c r="AP505" s="77"/>
      <c r="AQ505" s="77"/>
      <c r="AR505" s="77"/>
      <c r="AS505" s="77"/>
      <c r="AT505" s="77"/>
      <c r="AU505" s="77"/>
      <c r="AV505" s="83" t="str">
        <f>HYPERLINK("https://pbs.twimg.com/profile_images/1253363185891053570/fFLVU2tX_normal.jpg")</f>
        <v>https://pbs.twimg.com/profile_images/1253363185891053570/fFLVU2tX_normal.jpg</v>
      </c>
      <c r="AW505" s="80" t="s">
        <v>16469</v>
      </c>
      <c r="AX505" s="80" t="s">
        <v>16469</v>
      </c>
      <c r="AY505" s="77"/>
      <c r="AZ505" s="80" t="s">
        <v>20380</v>
      </c>
      <c r="BA505" s="80" t="s">
        <v>20380</v>
      </c>
      <c r="BB505" s="80" t="s">
        <v>19848</v>
      </c>
      <c r="BC505" s="80" t="s">
        <v>19848</v>
      </c>
      <c r="BD505" s="80" t="s">
        <v>20605</v>
      </c>
      <c r="BE505" s="77"/>
      <c r="BF505" s="77"/>
      <c r="BG505" s="77"/>
      <c r="BH505" s="77"/>
      <c r="BI505" s="77"/>
    </row>
    <row r="506" spans="1:61" x14ac:dyDescent="0.25">
      <c r="A506" s="62" t="s">
        <v>445</v>
      </c>
      <c r="B506" s="62" t="s">
        <v>1761</v>
      </c>
      <c r="C506" s="63"/>
      <c r="D506" s="64"/>
      <c r="E506" s="65"/>
      <c r="F506" s="66"/>
      <c r="G506" s="63"/>
      <c r="H506" s="67"/>
      <c r="I506" s="68"/>
      <c r="J506" s="68"/>
      <c r="K506" s="32"/>
      <c r="L506" s="75">
        <v>506</v>
      </c>
      <c r="M506" s="75"/>
      <c r="N506" s="70"/>
      <c r="O506" s="77" t="s">
        <v>2078</v>
      </c>
      <c r="P506" s="79">
        <v>45098.955335648148</v>
      </c>
      <c r="Q506" s="77" t="s">
        <v>2521</v>
      </c>
      <c r="R506" s="77">
        <v>0</v>
      </c>
      <c r="S506" s="77">
        <v>1</v>
      </c>
      <c r="T506" s="77">
        <v>0</v>
      </c>
      <c r="U506" s="77">
        <v>0</v>
      </c>
      <c r="V506" s="77">
        <v>25</v>
      </c>
      <c r="W506" s="80" t="s">
        <v>6263</v>
      </c>
      <c r="X506" s="77"/>
      <c r="Y506" s="77"/>
      <c r="Z506" s="77" t="s">
        <v>1761</v>
      </c>
      <c r="AA506" s="77"/>
      <c r="AB506" s="77"/>
      <c r="AC506" s="80" t="s">
        <v>10540</v>
      </c>
      <c r="AD506" s="77" t="s">
        <v>10617</v>
      </c>
      <c r="AE506" s="83" t="str">
        <f>HYPERLINK("https://twitter.com/pinaademir/status/1671653143929581568")</f>
        <v>https://twitter.com/pinaademir/status/1671653143929581568</v>
      </c>
      <c r="AF506" s="79">
        <v>45098.955335648148</v>
      </c>
      <c r="AG506" s="85">
        <v>45098</v>
      </c>
      <c r="AH506" s="80" t="s">
        <v>11083</v>
      </c>
      <c r="AI506" s="77"/>
      <c r="AJ506" s="77"/>
      <c r="AK506" s="77"/>
      <c r="AL506" s="77"/>
      <c r="AM506" s="77"/>
      <c r="AN506" s="77"/>
      <c r="AO506" s="77"/>
      <c r="AP506" s="77"/>
      <c r="AQ506" s="77"/>
      <c r="AR506" s="77"/>
      <c r="AS506" s="77"/>
      <c r="AT506" s="77"/>
      <c r="AU506" s="77"/>
      <c r="AV506" s="83" t="str">
        <f>HYPERLINK("https://pbs.twimg.com/profile_images/1529617001802612739/Lk_qtwby_normal.jpg")</f>
        <v>https://pbs.twimg.com/profile_images/1529617001802612739/Lk_qtwby_normal.jpg</v>
      </c>
      <c r="AW506" s="80" t="s">
        <v>16470</v>
      </c>
      <c r="AX506" s="80" t="s">
        <v>19988</v>
      </c>
      <c r="AY506" s="80" t="s">
        <v>20239</v>
      </c>
      <c r="AZ506" s="80" t="s">
        <v>19988</v>
      </c>
      <c r="BA506" s="80" t="s">
        <v>20380</v>
      </c>
      <c r="BB506" s="80" t="s">
        <v>20380</v>
      </c>
      <c r="BC506" s="80" t="s">
        <v>19988</v>
      </c>
      <c r="BD506" s="77">
        <v>470606768</v>
      </c>
      <c r="BE506" s="77"/>
      <c r="BF506" s="77"/>
      <c r="BG506" s="77"/>
      <c r="BH506" s="77"/>
      <c r="BI506" s="77"/>
    </row>
    <row r="507" spans="1:61" x14ac:dyDescent="0.25">
      <c r="A507" s="62" t="s">
        <v>446</v>
      </c>
      <c r="B507" s="62" t="s">
        <v>446</v>
      </c>
      <c r="C507" s="63"/>
      <c r="D507" s="64"/>
      <c r="E507" s="65"/>
      <c r="F507" s="66"/>
      <c r="G507" s="63"/>
      <c r="H507" s="67"/>
      <c r="I507" s="68"/>
      <c r="J507" s="68"/>
      <c r="K507" s="32"/>
      <c r="L507" s="75">
        <v>507</v>
      </c>
      <c r="M507" s="75"/>
      <c r="N507" s="70"/>
      <c r="O507" s="77" t="s">
        <v>179</v>
      </c>
      <c r="P507" s="79">
        <v>45054.529178240744</v>
      </c>
      <c r="Q507" s="77" t="s">
        <v>2522</v>
      </c>
      <c r="R507" s="77">
        <v>0</v>
      </c>
      <c r="S507" s="77">
        <v>0</v>
      </c>
      <c r="T507" s="77">
        <v>0</v>
      </c>
      <c r="U507" s="77">
        <v>0</v>
      </c>
      <c r="V507" s="77">
        <v>7</v>
      </c>
      <c r="W507" s="80" t="s">
        <v>6264</v>
      </c>
      <c r="X507" s="83" t="str">
        <f>HYPERLINK("https://diaonline.ig.com.br/2023/05/08/cheques-terao-mudancas-a-partir-de-outubro-conheca-o-novo-padrao/")</f>
        <v>https://diaonline.ig.com.br/2023/05/08/cheques-terao-mudancas-a-partir-de-outubro-conheca-o-novo-padrao/</v>
      </c>
      <c r="Y507" s="77" t="s">
        <v>8611</v>
      </c>
      <c r="Z507" s="77"/>
      <c r="AA507" s="77"/>
      <c r="AB507" s="77"/>
      <c r="AC507" s="80" t="s">
        <v>10541</v>
      </c>
      <c r="AD507" s="77" t="s">
        <v>10617</v>
      </c>
      <c r="AE507" s="83" t="str">
        <f>HYPERLINK("https://twitter.com/portaldia_/status/1655553640051146752")</f>
        <v>https://twitter.com/portaldia_/status/1655553640051146752</v>
      </c>
      <c r="AF507" s="79">
        <v>45054.529178240744</v>
      </c>
      <c r="AG507" s="85">
        <v>45054</v>
      </c>
      <c r="AH507" s="80" t="s">
        <v>11084</v>
      </c>
      <c r="AI507" s="77" t="b">
        <v>0</v>
      </c>
      <c r="AJ507" s="77"/>
      <c r="AK507" s="77"/>
      <c r="AL507" s="77"/>
      <c r="AM507" s="77"/>
      <c r="AN507" s="77"/>
      <c r="AO507" s="77"/>
      <c r="AP507" s="77"/>
      <c r="AQ507" s="77"/>
      <c r="AR507" s="77"/>
      <c r="AS507" s="77"/>
      <c r="AT507" s="77"/>
      <c r="AU507" s="77"/>
      <c r="AV507" s="83" t="str">
        <f>HYPERLINK("https://pbs.twimg.com/profile_images/1658449839917608961/AFmoNy5z_normal.jpg")</f>
        <v>https://pbs.twimg.com/profile_images/1658449839917608961/AFmoNy5z_normal.jpg</v>
      </c>
      <c r="AW507" s="80" t="s">
        <v>16471</v>
      </c>
      <c r="AX507" s="80" t="s">
        <v>16471</v>
      </c>
      <c r="AY507" s="77"/>
      <c r="AZ507" s="80" t="s">
        <v>20380</v>
      </c>
      <c r="BA507" s="80" t="s">
        <v>20380</v>
      </c>
      <c r="BB507" s="80" t="s">
        <v>20380</v>
      </c>
      <c r="BC507" s="80" t="s">
        <v>16471</v>
      </c>
      <c r="BD507" s="80" t="s">
        <v>20606</v>
      </c>
      <c r="BE507" s="77"/>
      <c r="BF507" s="77"/>
      <c r="BG507" s="77"/>
      <c r="BH507" s="77"/>
      <c r="BI507" s="77"/>
    </row>
    <row r="508" spans="1:61" x14ac:dyDescent="0.25">
      <c r="A508" s="62" t="s">
        <v>447</v>
      </c>
      <c r="B508" s="62" t="s">
        <v>447</v>
      </c>
      <c r="C508" s="63"/>
      <c r="D508" s="64"/>
      <c r="E508" s="65"/>
      <c r="F508" s="66"/>
      <c r="G508" s="63"/>
      <c r="H508" s="67"/>
      <c r="I508" s="68"/>
      <c r="J508" s="68"/>
      <c r="K508" s="32"/>
      <c r="L508" s="75">
        <v>508</v>
      </c>
      <c r="M508" s="75"/>
      <c r="N508" s="70"/>
      <c r="O508" s="77" t="s">
        <v>179</v>
      </c>
      <c r="P508" s="79">
        <v>45194.963067129633</v>
      </c>
      <c r="Q508" s="77" t="s">
        <v>2523</v>
      </c>
      <c r="R508" s="77">
        <v>202</v>
      </c>
      <c r="S508" s="77">
        <v>404</v>
      </c>
      <c r="T508" s="77">
        <v>15</v>
      </c>
      <c r="U508" s="77">
        <v>3</v>
      </c>
      <c r="V508" s="77">
        <v>5915</v>
      </c>
      <c r="W508" s="77"/>
      <c r="X508" s="77"/>
      <c r="Y508" s="77"/>
      <c r="Z508" s="77"/>
      <c r="AA508" s="77" t="s">
        <v>9189</v>
      </c>
      <c r="AB508" s="77" t="s">
        <v>10535</v>
      </c>
      <c r="AC508" s="80" t="s">
        <v>10541</v>
      </c>
      <c r="AD508" s="77" t="s">
        <v>10620</v>
      </c>
      <c r="AE508" s="83" t="str">
        <f>HYPERLINK("https://twitter.com/delatorrej/status/1706445179693957130")</f>
        <v>https://twitter.com/delatorrej/status/1706445179693957130</v>
      </c>
      <c r="AF508" s="79">
        <v>45194.963067129633</v>
      </c>
      <c r="AG508" s="85">
        <v>45194</v>
      </c>
      <c r="AH508" s="80" t="s">
        <v>11085</v>
      </c>
      <c r="AI508" s="77" t="b">
        <v>0</v>
      </c>
      <c r="AJ508" s="77"/>
      <c r="AK508" s="77"/>
      <c r="AL508" s="77"/>
      <c r="AM508" s="77"/>
      <c r="AN508" s="77"/>
      <c r="AO508" s="77"/>
      <c r="AP508" s="77"/>
      <c r="AQ508" s="77" t="s">
        <v>14671</v>
      </c>
      <c r="AR508" s="77"/>
      <c r="AS508" s="77"/>
      <c r="AT508" s="77"/>
      <c r="AU508" s="77"/>
      <c r="AV508" s="83" t="str">
        <f>HYPERLINK("https://pbs.twimg.com/media/F66CmmAXsAAFmxk.jpg")</f>
        <v>https://pbs.twimg.com/media/F66CmmAXsAAFmxk.jpg</v>
      </c>
      <c r="AW508" s="80" t="s">
        <v>16472</v>
      </c>
      <c r="AX508" s="80" t="s">
        <v>16472</v>
      </c>
      <c r="AY508" s="77"/>
      <c r="AZ508" s="80" t="s">
        <v>20380</v>
      </c>
      <c r="BA508" s="80" t="s">
        <v>20380</v>
      </c>
      <c r="BB508" s="80" t="s">
        <v>20380</v>
      </c>
      <c r="BC508" s="80" t="s">
        <v>16472</v>
      </c>
      <c r="BD508" s="77">
        <v>150786349</v>
      </c>
      <c r="BE508" s="77"/>
      <c r="BF508" s="77"/>
      <c r="BG508" s="77"/>
      <c r="BH508" s="77"/>
      <c r="BI508" s="77"/>
    </row>
    <row r="509" spans="1:61" x14ac:dyDescent="0.25">
      <c r="A509" s="62" t="s">
        <v>448</v>
      </c>
      <c r="B509" s="62" t="s">
        <v>447</v>
      </c>
      <c r="C509" s="63"/>
      <c r="D509" s="64"/>
      <c r="E509" s="65"/>
      <c r="F509" s="66"/>
      <c r="G509" s="63"/>
      <c r="H509" s="67"/>
      <c r="I509" s="68"/>
      <c r="J509" s="68"/>
      <c r="K509" s="32"/>
      <c r="L509" s="75">
        <v>509</v>
      </c>
      <c r="M509" s="75"/>
      <c r="N509" s="70"/>
      <c r="O509" s="77" t="s">
        <v>2082</v>
      </c>
      <c r="P509" s="79">
        <v>45194.96912037037</v>
      </c>
      <c r="Q509" s="77" t="s">
        <v>2524</v>
      </c>
      <c r="R509" s="77">
        <v>1</v>
      </c>
      <c r="S509" s="77">
        <v>1</v>
      </c>
      <c r="T509" s="77">
        <v>0</v>
      </c>
      <c r="U509" s="77">
        <v>0</v>
      </c>
      <c r="V509" s="77">
        <v>78</v>
      </c>
      <c r="W509" s="80" t="s">
        <v>6236</v>
      </c>
      <c r="X509" s="77"/>
      <c r="Y509" s="77"/>
      <c r="Z509" s="77"/>
      <c r="AA509" s="77"/>
      <c r="AB509" s="77"/>
      <c r="AC509" s="80" t="s">
        <v>10541</v>
      </c>
      <c r="AD509" s="77" t="s">
        <v>10620</v>
      </c>
      <c r="AE509" s="83" t="str">
        <f>HYPERLINK("https://twitter.com/blueandwhite/status/1706447372241224121")</f>
        <v>https://twitter.com/blueandwhite/status/1706447372241224121</v>
      </c>
      <c r="AF509" s="79">
        <v>45194.96912037037</v>
      </c>
      <c r="AG509" s="85">
        <v>45194</v>
      </c>
      <c r="AH509" s="80" t="s">
        <v>11086</v>
      </c>
      <c r="AI509" s="77"/>
      <c r="AJ509" s="77"/>
      <c r="AK509" s="77"/>
      <c r="AL509" s="77"/>
      <c r="AM509" s="77"/>
      <c r="AN509" s="77"/>
      <c r="AO509" s="77"/>
      <c r="AP509" s="77"/>
      <c r="AQ509" s="77"/>
      <c r="AR509" s="77"/>
      <c r="AS509" s="77"/>
      <c r="AT509" s="77"/>
      <c r="AU509" s="77"/>
      <c r="AV509" s="83" t="str">
        <f>HYPERLINK("https://pbs.twimg.com/profile_images/1650944742706872320/pNzLyy26_normal.jpg")</f>
        <v>https://pbs.twimg.com/profile_images/1650944742706872320/pNzLyy26_normal.jpg</v>
      </c>
      <c r="AW509" s="80" t="s">
        <v>16473</v>
      </c>
      <c r="AX509" s="80" t="s">
        <v>16473</v>
      </c>
      <c r="AY509" s="77"/>
      <c r="AZ509" s="80" t="s">
        <v>20380</v>
      </c>
      <c r="BA509" s="80" t="s">
        <v>16472</v>
      </c>
      <c r="BB509" s="80" t="s">
        <v>20380</v>
      </c>
      <c r="BC509" s="80" t="s">
        <v>16472</v>
      </c>
      <c r="BD509" s="77">
        <v>1861864728</v>
      </c>
      <c r="BE509" s="77"/>
      <c r="BF509" s="77"/>
      <c r="BG509" s="77"/>
      <c r="BH509" s="77"/>
      <c r="BI509" s="77"/>
    </row>
    <row r="510" spans="1:61" x14ac:dyDescent="0.25">
      <c r="A510" s="62" t="s">
        <v>449</v>
      </c>
      <c r="B510" s="62" t="s">
        <v>449</v>
      </c>
      <c r="C510" s="63"/>
      <c r="D510" s="64"/>
      <c r="E510" s="65"/>
      <c r="F510" s="66"/>
      <c r="G510" s="63"/>
      <c r="H510" s="67"/>
      <c r="I510" s="68"/>
      <c r="J510" s="68"/>
      <c r="K510" s="32"/>
      <c r="L510" s="75">
        <v>510</v>
      </c>
      <c r="M510" s="75"/>
      <c r="N510" s="70"/>
      <c r="O510" s="77" t="s">
        <v>179</v>
      </c>
      <c r="P510" s="79">
        <v>45167.085856481484</v>
      </c>
      <c r="Q510" s="77" t="s">
        <v>2525</v>
      </c>
      <c r="R510" s="77">
        <v>0</v>
      </c>
      <c r="S510" s="77">
        <v>0</v>
      </c>
      <c r="T510" s="77">
        <v>0</v>
      </c>
      <c r="U510" s="77">
        <v>0</v>
      </c>
      <c r="V510" s="77">
        <v>562</v>
      </c>
      <c r="W510" s="80" t="s">
        <v>6265</v>
      </c>
      <c r="X510" s="77"/>
      <c r="Y510" s="77"/>
      <c r="Z510" s="77"/>
      <c r="AA510" s="77" t="s">
        <v>9190</v>
      </c>
      <c r="AB510" s="77" t="s">
        <v>10534</v>
      </c>
      <c r="AC510" s="80" t="s">
        <v>10542</v>
      </c>
      <c r="AD510" s="77" t="s">
        <v>10617</v>
      </c>
      <c r="AE510" s="83" t="str">
        <f>HYPERLINK("https://twitter.com/sigaleonnardo/status/1696342814416687500")</f>
        <v>https://twitter.com/sigaleonnardo/status/1696342814416687500</v>
      </c>
      <c r="AF510" s="79">
        <v>45167.085856481484</v>
      </c>
      <c r="AG510" s="85">
        <v>45167</v>
      </c>
      <c r="AH510" s="80" t="s">
        <v>11087</v>
      </c>
      <c r="AI510" s="77" t="b">
        <v>0</v>
      </c>
      <c r="AJ510" s="77"/>
      <c r="AK510" s="77"/>
      <c r="AL510" s="77"/>
      <c r="AM510" s="77"/>
      <c r="AN510" s="77"/>
      <c r="AO510" s="77"/>
      <c r="AP510" s="77"/>
      <c r="AQ510" s="77" t="s">
        <v>14672</v>
      </c>
      <c r="AR510" s="77">
        <v>16233</v>
      </c>
      <c r="AS510" s="77"/>
      <c r="AT510" s="77"/>
      <c r="AU510" s="77"/>
      <c r="AV510" s="83" t="str">
        <f>HYPERLINK("https://pbs.twimg.com/ext_tw_video_thumb/1696342750579269632/pu/img/J3oZ8gfWQDQbJDoz.jpg")</f>
        <v>https://pbs.twimg.com/ext_tw_video_thumb/1696342750579269632/pu/img/J3oZ8gfWQDQbJDoz.jpg</v>
      </c>
      <c r="AW510" s="80" t="s">
        <v>16474</v>
      </c>
      <c r="AX510" s="80" t="s">
        <v>16474</v>
      </c>
      <c r="AY510" s="77"/>
      <c r="AZ510" s="80" t="s">
        <v>20380</v>
      </c>
      <c r="BA510" s="80" t="s">
        <v>20380</v>
      </c>
      <c r="BB510" s="80" t="s">
        <v>20380</v>
      </c>
      <c r="BC510" s="80" t="s">
        <v>16474</v>
      </c>
      <c r="BD510" s="77">
        <v>50068402</v>
      </c>
      <c r="BE510" s="77"/>
      <c r="BF510" s="77"/>
      <c r="BG510" s="77"/>
      <c r="BH510" s="77"/>
      <c r="BI510" s="77"/>
    </row>
    <row r="511" spans="1:61" x14ac:dyDescent="0.25">
      <c r="A511" s="62" t="s">
        <v>450</v>
      </c>
      <c r="B511" s="62" t="s">
        <v>450</v>
      </c>
      <c r="C511" s="63"/>
      <c r="D511" s="64"/>
      <c r="E511" s="65"/>
      <c r="F511" s="66"/>
      <c r="G511" s="63"/>
      <c r="H511" s="67"/>
      <c r="I511" s="68"/>
      <c r="J511" s="68"/>
      <c r="K511" s="32"/>
      <c r="L511" s="75">
        <v>511</v>
      </c>
      <c r="M511" s="75"/>
      <c r="N511" s="70"/>
      <c r="O511" s="77" t="s">
        <v>2078</v>
      </c>
      <c r="P511" s="79">
        <v>45152.805138888885</v>
      </c>
      <c r="Q511" s="77" t="s">
        <v>2526</v>
      </c>
      <c r="R511" s="77">
        <v>0</v>
      </c>
      <c r="S511" s="77">
        <v>0</v>
      </c>
      <c r="T511" s="77">
        <v>1</v>
      </c>
      <c r="U511" s="77">
        <v>0</v>
      </c>
      <c r="V511" s="77">
        <v>27</v>
      </c>
      <c r="W511" s="80" t="s">
        <v>6266</v>
      </c>
      <c r="X511" s="77"/>
      <c r="Y511" s="77"/>
      <c r="Z511" s="77"/>
      <c r="AA511" s="77"/>
      <c r="AB511" s="77"/>
      <c r="AC511" s="80" t="s">
        <v>10542</v>
      </c>
      <c r="AD511" s="77" t="s">
        <v>10618</v>
      </c>
      <c r="AE511" s="83" t="str">
        <f>HYPERLINK("https://twitter.com/ronnymultani/status/1691167657083506689")</f>
        <v>https://twitter.com/ronnymultani/status/1691167657083506689</v>
      </c>
      <c r="AF511" s="79">
        <v>45152.805138888885</v>
      </c>
      <c r="AG511" s="85">
        <v>45152</v>
      </c>
      <c r="AH511" s="80" t="s">
        <v>11088</v>
      </c>
      <c r="AI511" s="77"/>
      <c r="AJ511" s="77"/>
      <c r="AK511" s="77"/>
      <c r="AL511" s="77"/>
      <c r="AM511" s="77"/>
      <c r="AN511" s="77"/>
      <c r="AO511" s="77"/>
      <c r="AP511" s="77"/>
      <c r="AQ511" s="77"/>
      <c r="AR511" s="77"/>
      <c r="AS511" s="77"/>
      <c r="AT511" s="77"/>
      <c r="AU511" s="77"/>
      <c r="AV511" s="83" t="str">
        <f>HYPERLINK("https://pbs.twimg.com/profile_images/1353806094951395329/FTQS1Nld_normal.jpg")</f>
        <v>https://pbs.twimg.com/profile_images/1353806094951395329/FTQS1Nld_normal.jpg</v>
      </c>
      <c r="AW511" s="80" t="s">
        <v>16475</v>
      </c>
      <c r="AX511" s="80" t="s">
        <v>19989</v>
      </c>
      <c r="AY511" s="80" t="s">
        <v>20240</v>
      </c>
      <c r="AZ511" s="80" t="s">
        <v>19989</v>
      </c>
      <c r="BA511" s="80" t="s">
        <v>20380</v>
      </c>
      <c r="BB511" s="80" t="s">
        <v>20380</v>
      </c>
      <c r="BC511" s="80" t="s">
        <v>19989</v>
      </c>
      <c r="BD511" s="77">
        <v>701047800</v>
      </c>
      <c r="BE511" s="77"/>
      <c r="BF511" s="77"/>
      <c r="BG511" s="77"/>
      <c r="BH511" s="77"/>
      <c r="BI511" s="77"/>
    </row>
    <row r="512" spans="1:61" x14ac:dyDescent="0.25">
      <c r="A512" s="62" t="s">
        <v>451</v>
      </c>
      <c r="B512" s="62" t="s">
        <v>1762</v>
      </c>
      <c r="C512" s="63"/>
      <c r="D512" s="64"/>
      <c r="E512" s="65"/>
      <c r="F512" s="66"/>
      <c r="G512" s="63"/>
      <c r="H512" s="67"/>
      <c r="I512" s="68"/>
      <c r="J512" s="68"/>
      <c r="K512" s="32"/>
      <c r="L512" s="75">
        <v>512</v>
      </c>
      <c r="M512" s="75"/>
      <c r="N512" s="70"/>
      <c r="O512" s="77" t="s">
        <v>2081</v>
      </c>
      <c r="P512" s="79">
        <v>45148.626504629632</v>
      </c>
      <c r="Q512" s="77" t="s">
        <v>2527</v>
      </c>
      <c r="R512" s="77">
        <v>0</v>
      </c>
      <c r="S512" s="77">
        <v>0</v>
      </c>
      <c r="T512" s="77">
        <v>1</v>
      </c>
      <c r="U512" s="77">
        <v>0</v>
      </c>
      <c r="V512" s="77">
        <v>131</v>
      </c>
      <c r="W512" s="80" t="s">
        <v>6267</v>
      </c>
      <c r="X512" s="77"/>
      <c r="Y512" s="77"/>
      <c r="Z512" s="77" t="s">
        <v>1762</v>
      </c>
      <c r="AA512" s="77"/>
      <c r="AB512" s="77"/>
      <c r="AC512" s="80" t="s">
        <v>10540</v>
      </c>
      <c r="AD512" s="77" t="s">
        <v>10620</v>
      </c>
      <c r="AE512" s="83" t="str">
        <f>HYPERLINK("https://twitter.com/villagramanu/status/1689653369378627584")</f>
        <v>https://twitter.com/villagramanu/status/1689653369378627584</v>
      </c>
      <c r="AF512" s="79">
        <v>45148.626504629632</v>
      </c>
      <c r="AG512" s="85">
        <v>45148</v>
      </c>
      <c r="AH512" s="80" t="s">
        <v>11089</v>
      </c>
      <c r="AI512" s="77"/>
      <c r="AJ512" s="77"/>
      <c r="AK512" s="77"/>
      <c r="AL512" s="77"/>
      <c r="AM512" s="77"/>
      <c r="AN512" s="77"/>
      <c r="AO512" s="77"/>
      <c r="AP512" s="77"/>
      <c r="AQ512" s="77"/>
      <c r="AR512" s="77"/>
      <c r="AS512" s="77"/>
      <c r="AT512" s="77"/>
      <c r="AU512" s="77"/>
      <c r="AV512" s="83" t="str">
        <f>HYPERLINK("https://pbs.twimg.com/profile_images/1322770735446806529/7mFWvtz-_normal.jpg")</f>
        <v>https://pbs.twimg.com/profile_images/1322770735446806529/7mFWvtz-_normal.jpg</v>
      </c>
      <c r="AW512" s="80" t="s">
        <v>16476</v>
      </c>
      <c r="AX512" s="80" t="s">
        <v>16476</v>
      </c>
      <c r="AY512" s="80" t="s">
        <v>20241</v>
      </c>
      <c r="AZ512" s="80" t="s">
        <v>20380</v>
      </c>
      <c r="BA512" s="80" t="s">
        <v>20380</v>
      </c>
      <c r="BB512" s="80" t="s">
        <v>20380</v>
      </c>
      <c r="BC512" s="80" t="s">
        <v>16476</v>
      </c>
      <c r="BD512" s="80" t="s">
        <v>20607</v>
      </c>
      <c r="BE512" s="77"/>
      <c r="BF512" s="77"/>
      <c r="BG512" s="77"/>
      <c r="BH512" s="77"/>
      <c r="BI512" s="77"/>
    </row>
    <row r="513" spans="1:61" x14ac:dyDescent="0.25">
      <c r="A513" s="62" t="s">
        <v>452</v>
      </c>
      <c r="B513" s="62" t="s">
        <v>452</v>
      </c>
      <c r="C513" s="63"/>
      <c r="D513" s="64"/>
      <c r="E513" s="65"/>
      <c r="F513" s="66"/>
      <c r="G513" s="63"/>
      <c r="H513" s="67"/>
      <c r="I513" s="68"/>
      <c r="J513" s="68"/>
      <c r="K513" s="32"/>
      <c r="L513" s="75">
        <v>513</v>
      </c>
      <c r="M513" s="75"/>
      <c r="N513" s="70"/>
      <c r="O513" s="77" t="s">
        <v>179</v>
      </c>
      <c r="P513" s="79">
        <v>45057.147106481483</v>
      </c>
      <c r="Q513" s="77" t="s">
        <v>2528</v>
      </c>
      <c r="R513" s="77">
        <v>11</v>
      </c>
      <c r="S513" s="77">
        <v>16</v>
      </c>
      <c r="T513" s="77">
        <v>1</v>
      </c>
      <c r="U513" s="77">
        <v>0</v>
      </c>
      <c r="V513" s="77">
        <v>888</v>
      </c>
      <c r="W513" s="80" t="s">
        <v>6101</v>
      </c>
      <c r="X513" s="83" t="str">
        <f>HYPERLINK("https://www.instagram.com/p/CsFjRq-NCp5/?igshid=NTc4MTIwNjQ2YQ==")</f>
        <v>https://www.instagram.com/p/CsFjRq-NCp5/?igshid=NTc4MTIwNjQ2YQ==</v>
      </c>
      <c r="Y513" s="77" t="s">
        <v>8630</v>
      </c>
      <c r="Z513" s="77"/>
      <c r="AA513" s="77" t="s">
        <v>9191</v>
      </c>
      <c r="AB513" s="77" t="s">
        <v>10535</v>
      </c>
      <c r="AC513" s="80" t="s">
        <v>10540</v>
      </c>
      <c r="AD513" s="77" t="s">
        <v>10620</v>
      </c>
      <c r="AE513" s="83" t="str">
        <f>HYPERLINK("https://twitter.com/noticiaslivech/status/1656502345189199872")</f>
        <v>https://twitter.com/noticiaslivech/status/1656502345189199872</v>
      </c>
      <c r="AF513" s="79">
        <v>45057.147106481483</v>
      </c>
      <c r="AG513" s="85">
        <v>45057</v>
      </c>
      <c r="AH513" s="80" t="s">
        <v>11090</v>
      </c>
      <c r="AI513" s="77" t="b">
        <v>0</v>
      </c>
      <c r="AJ513" s="77"/>
      <c r="AK513" s="77"/>
      <c r="AL513" s="77"/>
      <c r="AM513" s="77"/>
      <c r="AN513" s="77"/>
      <c r="AO513" s="77"/>
      <c r="AP513" s="77"/>
      <c r="AQ513" s="77" t="s">
        <v>14673</v>
      </c>
      <c r="AR513" s="77"/>
      <c r="AS513" s="77"/>
      <c r="AT513" s="77"/>
      <c r="AU513" s="77"/>
      <c r="AV513" s="83" t="str">
        <f>HYPERLINK("https://pbs.twimg.com/media/Fv0UGoMXoAE83gi.jpg")</f>
        <v>https://pbs.twimg.com/media/Fv0UGoMXoAE83gi.jpg</v>
      </c>
      <c r="AW513" s="80" t="s">
        <v>16477</v>
      </c>
      <c r="AX513" s="80" t="s">
        <v>16477</v>
      </c>
      <c r="AY513" s="77"/>
      <c r="AZ513" s="80" t="s">
        <v>20380</v>
      </c>
      <c r="BA513" s="80" t="s">
        <v>20380</v>
      </c>
      <c r="BB513" s="80" t="s">
        <v>20380</v>
      </c>
      <c r="BC513" s="80" t="s">
        <v>16477</v>
      </c>
      <c r="BD513" s="77">
        <v>844451234</v>
      </c>
      <c r="BE513" s="77"/>
      <c r="BF513" s="77"/>
      <c r="BG513" s="77"/>
      <c r="BH513" s="77"/>
      <c r="BI513" s="77"/>
    </row>
    <row r="514" spans="1:61" x14ac:dyDescent="0.25">
      <c r="A514" s="62" t="s">
        <v>453</v>
      </c>
      <c r="B514" s="62" t="s">
        <v>453</v>
      </c>
      <c r="C514" s="63"/>
      <c r="D514" s="64"/>
      <c r="E514" s="65"/>
      <c r="F514" s="66"/>
      <c r="G514" s="63"/>
      <c r="H514" s="67"/>
      <c r="I514" s="68"/>
      <c r="J514" s="68"/>
      <c r="K514" s="32"/>
      <c r="L514" s="75">
        <v>514</v>
      </c>
      <c r="M514" s="75"/>
      <c r="N514" s="70"/>
      <c r="O514" s="77" t="s">
        <v>179</v>
      </c>
      <c r="P514" s="79">
        <v>45125.846435185187</v>
      </c>
      <c r="Q514" s="77" t="s">
        <v>2529</v>
      </c>
      <c r="R514" s="77">
        <v>0</v>
      </c>
      <c r="S514" s="77">
        <v>0</v>
      </c>
      <c r="T514" s="77">
        <v>0</v>
      </c>
      <c r="U514" s="77">
        <v>0</v>
      </c>
      <c r="V514" s="77">
        <v>16</v>
      </c>
      <c r="W514" s="80" t="s">
        <v>6268</v>
      </c>
      <c r="X514" s="83" t="str">
        <f>HYPERLINK("https://www.instagram.com/p/Cu2e2PPvDPY/?img_index=1")</f>
        <v>https://www.instagram.com/p/Cu2e2PPvDPY/?img_index=1</v>
      </c>
      <c r="Y514" s="77" t="s">
        <v>8630</v>
      </c>
      <c r="Z514" s="77"/>
      <c r="AA514" s="77"/>
      <c r="AB514" s="77"/>
      <c r="AC514" s="80" t="s">
        <v>10541</v>
      </c>
      <c r="AD514" s="77" t="s">
        <v>10617</v>
      </c>
      <c r="AE514" s="83" t="str">
        <f>HYPERLINK("https://twitter.com/teddyopen/status/1681398148302876673")</f>
        <v>https://twitter.com/teddyopen/status/1681398148302876673</v>
      </c>
      <c r="AF514" s="79">
        <v>45125.846435185187</v>
      </c>
      <c r="AG514" s="85">
        <v>45125</v>
      </c>
      <c r="AH514" s="80" t="s">
        <v>11091</v>
      </c>
      <c r="AI514" s="77" t="b">
        <v>0</v>
      </c>
      <c r="AJ514" s="77"/>
      <c r="AK514" s="77"/>
      <c r="AL514" s="77"/>
      <c r="AM514" s="77"/>
      <c r="AN514" s="77"/>
      <c r="AO514" s="77"/>
      <c r="AP514" s="77"/>
      <c r="AQ514" s="77"/>
      <c r="AR514" s="77"/>
      <c r="AS514" s="77"/>
      <c r="AT514" s="77"/>
      <c r="AU514" s="77"/>
      <c r="AV514" s="83" t="str">
        <f>HYPERLINK("https://pbs.twimg.com/profile_images/1651952473068716033/KixrVrY0_normal.jpg")</f>
        <v>https://pbs.twimg.com/profile_images/1651952473068716033/KixrVrY0_normal.jpg</v>
      </c>
      <c r="AW514" s="80" t="s">
        <v>16478</v>
      </c>
      <c r="AX514" s="80" t="s">
        <v>16478</v>
      </c>
      <c r="AY514" s="77"/>
      <c r="AZ514" s="80" t="s">
        <v>20380</v>
      </c>
      <c r="BA514" s="80" t="s">
        <v>20380</v>
      </c>
      <c r="BB514" s="80" t="s">
        <v>20380</v>
      </c>
      <c r="BC514" s="80" t="s">
        <v>16478</v>
      </c>
      <c r="BD514" s="80" t="s">
        <v>20608</v>
      </c>
      <c r="BE514" s="77"/>
      <c r="BF514" s="77"/>
      <c r="BG514" s="77"/>
      <c r="BH514" s="77"/>
      <c r="BI514" s="77"/>
    </row>
    <row r="515" spans="1:61" x14ac:dyDescent="0.25">
      <c r="A515" s="62" t="s">
        <v>454</v>
      </c>
      <c r="B515" s="62" t="s">
        <v>454</v>
      </c>
      <c r="C515" s="63"/>
      <c r="D515" s="64"/>
      <c r="E515" s="65"/>
      <c r="F515" s="66"/>
      <c r="G515" s="63"/>
      <c r="H515" s="67"/>
      <c r="I515" s="68"/>
      <c r="J515" s="68"/>
      <c r="K515" s="32"/>
      <c r="L515" s="75">
        <v>515</v>
      </c>
      <c r="M515" s="75"/>
      <c r="N515" s="70"/>
      <c r="O515" s="77" t="s">
        <v>179</v>
      </c>
      <c r="P515" s="79">
        <v>45052.775752314818</v>
      </c>
      <c r="Q515" s="77" t="s">
        <v>2530</v>
      </c>
      <c r="R515" s="77">
        <v>0</v>
      </c>
      <c r="S515" s="77">
        <v>0</v>
      </c>
      <c r="T515" s="77">
        <v>0</v>
      </c>
      <c r="U515" s="77">
        <v>0</v>
      </c>
      <c r="V515" s="77">
        <v>26</v>
      </c>
      <c r="W515" s="80" t="s">
        <v>6269</v>
      </c>
      <c r="X515" s="83" t="str">
        <f>HYPERLINK("https://mla.bs/6d02ce4f")</f>
        <v>https://mla.bs/6d02ce4f</v>
      </c>
      <c r="Y515" s="77" t="s">
        <v>8672</v>
      </c>
      <c r="Z515" s="77"/>
      <c r="AA515" s="77" t="s">
        <v>9192</v>
      </c>
      <c r="AB515" s="77" t="s">
        <v>10535</v>
      </c>
      <c r="AC515" s="80" t="s">
        <v>10550</v>
      </c>
      <c r="AD515" s="77" t="s">
        <v>10617</v>
      </c>
      <c r="AE515" s="83" t="str">
        <f>HYPERLINK("https://twitter.com/mouralocutor/status/1654918220015362050")</f>
        <v>https://twitter.com/mouralocutor/status/1654918220015362050</v>
      </c>
      <c r="AF515" s="79">
        <v>45052.775752314818</v>
      </c>
      <c r="AG515" s="85">
        <v>45052</v>
      </c>
      <c r="AH515" s="80" t="s">
        <v>11092</v>
      </c>
      <c r="AI515" s="77" t="b">
        <v>0</v>
      </c>
      <c r="AJ515" s="77"/>
      <c r="AK515" s="77"/>
      <c r="AL515" s="77"/>
      <c r="AM515" s="77"/>
      <c r="AN515" s="77"/>
      <c r="AO515" s="77"/>
      <c r="AP515" s="77"/>
      <c r="AQ515" s="77" t="s">
        <v>14674</v>
      </c>
      <c r="AR515" s="77"/>
      <c r="AS515" s="77"/>
      <c r="AT515" s="77"/>
      <c r="AU515" s="77"/>
      <c r="AV515" s="83" t="str">
        <f>HYPERLINK("https://pbs.twimg.com/media/FvdzWdjWcAAyb6-.jpg")</f>
        <v>https://pbs.twimg.com/media/FvdzWdjWcAAyb6-.jpg</v>
      </c>
      <c r="AW515" s="80" t="s">
        <v>16479</v>
      </c>
      <c r="AX515" s="80" t="s">
        <v>16479</v>
      </c>
      <c r="AY515" s="77"/>
      <c r="AZ515" s="80" t="s">
        <v>20380</v>
      </c>
      <c r="BA515" s="80" t="s">
        <v>20380</v>
      </c>
      <c r="BB515" s="80" t="s">
        <v>20380</v>
      </c>
      <c r="BC515" s="80" t="s">
        <v>16479</v>
      </c>
      <c r="BD515" s="77">
        <v>48835475</v>
      </c>
      <c r="BE515" s="77"/>
      <c r="BF515" s="77"/>
      <c r="BG515" s="77"/>
      <c r="BH515" s="77"/>
      <c r="BI515" s="77"/>
    </row>
    <row r="516" spans="1:61" x14ac:dyDescent="0.25">
      <c r="A516" s="62" t="s">
        <v>454</v>
      </c>
      <c r="B516" s="62" t="s">
        <v>454</v>
      </c>
      <c r="C516" s="63"/>
      <c r="D516" s="64"/>
      <c r="E516" s="65"/>
      <c r="F516" s="66"/>
      <c r="G516" s="63"/>
      <c r="H516" s="67"/>
      <c r="I516" s="68"/>
      <c r="J516" s="68"/>
      <c r="K516" s="32"/>
      <c r="L516" s="75">
        <v>516</v>
      </c>
      <c r="M516" s="75"/>
      <c r="N516" s="70"/>
      <c r="O516" s="77" t="s">
        <v>179</v>
      </c>
      <c r="P516" s="79">
        <v>45077.748032407406</v>
      </c>
      <c r="Q516" s="77" t="s">
        <v>2531</v>
      </c>
      <c r="R516" s="77">
        <v>0</v>
      </c>
      <c r="S516" s="77">
        <v>0</v>
      </c>
      <c r="T516" s="77">
        <v>0</v>
      </c>
      <c r="U516" s="77">
        <v>0</v>
      </c>
      <c r="V516" s="77">
        <v>7</v>
      </c>
      <c r="W516" s="80" t="s">
        <v>6270</v>
      </c>
      <c r="X516" s="83" t="str">
        <f>HYPERLINK("https://www.jornalponto.com/2023/05/31/brasileiros-usam-cada-vez-menos-dinheiro-em-especie-diz-bc/")</f>
        <v>https://www.jornalponto.com/2023/05/31/brasileiros-usam-cada-vez-menos-dinheiro-em-especie-diz-bc/</v>
      </c>
      <c r="Y516" s="77" t="s">
        <v>8673</v>
      </c>
      <c r="Z516" s="77"/>
      <c r="AA516" s="77" t="s">
        <v>9193</v>
      </c>
      <c r="AB516" s="77" t="s">
        <v>10535</v>
      </c>
      <c r="AC516" s="80" t="s">
        <v>10550</v>
      </c>
      <c r="AD516" s="77" t="s">
        <v>10617</v>
      </c>
      <c r="AE516" s="83" t="str">
        <f>HYPERLINK("https://twitter.com/mouralocutor/status/1663967871976996864")</f>
        <v>https://twitter.com/mouralocutor/status/1663967871976996864</v>
      </c>
      <c r="AF516" s="79">
        <v>45077.748032407406</v>
      </c>
      <c r="AG516" s="85">
        <v>45077</v>
      </c>
      <c r="AH516" s="80" t="s">
        <v>11093</v>
      </c>
      <c r="AI516" s="77" t="b">
        <v>0</v>
      </c>
      <c r="AJ516" s="77"/>
      <c r="AK516" s="77"/>
      <c r="AL516" s="77"/>
      <c r="AM516" s="77"/>
      <c r="AN516" s="77"/>
      <c r="AO516" s="77"/>
      <c r="AP516" s="77"/>
      <c r="AQ516" s="77" t="s">
        <v>14675</v>
      </c>
      <c r="AR516" s="77"/>
      <c r="AS516" s="77"/>
      <c r="AT516" s="77"/>
      <c r="AU516" s="77"/>
      <c r="AV516" s="83" t="str">
        <f>HYPERLINK("https://pbs.twimg.com/media/FxeZ9ksWwAEdWny.jpg")</f>
        <v>https://pbs.twimg.com/media/FxeZ9ksWwAEdWny.jpg</v>
      </c>
      <c r="AW516" s="80" t="s">
        <v>16480</v>
      </c>
      <c r="AX516" s="80" t="s">
        <v>16480</v>
      </c>
      <c r="AY516" s="77"/>
      <c r="AZ516" s="80" t="s">
        <v>20380</v>
      </c>
      <c r="BA516" s="80" t="s">
        <v>20380</v>
      </c>
      <c r="BB516" s="80" t="s">
        <v>20380</v>
      </c>
      <c r="BC516" s="80" t="s">
        <v>16480</v>
      </c>
      <c r="BD516" s="77">
        <v>48835475</v>
      </c>
      <c r="BE516" s="77"/>
      <c r="BF516" s="77"/>
      <c r="BG516" s="77"/>
      <c r="BH516" s="77"/>
      <c r="BI516" s="77"/>
    </row>
    <row r="517" spans="1:61" x14ac:dyDescent="0.25">
      <c r="A517" s="62" t="s">
        <v>455</v>
      </c>
      <c r="B517" s="62" t="s">
        <v>455</v>
      </c>
      <c r="C517" s="63"/>
      <c r="D517" s="64"/>
      <c r="E517" s="65"/>
      <c r="F517" s="66"/>
      <c r="G517" s="63"/>
      <c r="H517" s="67"/>
      <c r="I517" s="68"/>
      <c r="J517" s="68"/>
      <c r="K517" s="32"/>
      <c r="L517" s="75">
        <v>517</v>
      </c>
      <c r="M517" s="75"/>
      <c r="N517" s="70"/>
      <c r="O517" s="77" t="s">
        <v>179</v>
      </c>
      <c r="P517" s="79">
        <v>45144.825740740744</v>
      </c>
      <c r="Q517" s="77" t="s">
        <v>2532</v>
      </c>
      <c r="R517" s="77">
        <v>0</v>
      </c>
      <c r="S517" s="77">
        <v>1</v>
      </c>
      <c r="T517" s="77">
        <v>0</v>
      </c>
      <c r="U517" s="77">
        <v>0</v>
      </c>
      <c r="V517" s="77">
        <v>344</v>
      </c>
      <c r="W517" s="80" t="s">
        <v>6271</v>
      </c>
      <c r="X517" s="83" t="str">
        <f>HYPERLINK("https://www.seudinheiro.com/2023/economia/copom-indica-velocidade-de-05-ponto-para-cortes-na-taxa-selic-mas-mercado-nao-descarta-tesourada-de-075-ponto-lvit/")</f>
        <v>https://www.seudinheiro.com/2023/economia/copom-indica-velocidade-de-05-ponto-para-cortes-na-taxa-selic-mas-mercado-nao-descarta-tesourada-de-075-ponto-lvit/</v>
      </c>
      <c r="Y517" s="77" t="s">
        <v>8674</v>
      </c>
      <c r="Z517" s="77"/>
      <c r="AA517" s="77"/>
      <c r="AB517" s="77"/>
      <c r="AC517" s="80" t="s">
        <v>10558</v>
      </c>
      <c r="AD517" s="77" t="s">
        <v>10617</v>
      </c>
      <c r="AE517" s="83" t="str">
        <f>HYPERLINK("https://twitter.com/seu_dinheiro_br/status/1688276020145610752")</f>
        <v>https://twitter.com/seu_dinheiro_br/status/1688276020145610752</v>
      </c>
      <c r="AF517" s="79">
        <v>45144.825740740744</v>
      </c>
      <c r="AG517" s="85">
        <v>45144</v>
      </c>
      <c r="AH517" s="80" t="s">
        <v>11094</v>
      </c>
      <c r="AI517" s="77" t="b">
        <v>0</v>
      </c>
      <c r="AJ517" s="77"/>
      <c r="AK517" s="77"/>
      <c r="AL517" s="77"/>
      <c r="AM517" s="77"/>
      <c r="AN517" s="77"/>
      <c r="AO517" s="77"/>
      <c r="AP517" s="77"/>
      <c r="AQ517" s="77"/>
      <c r="AR517" s="77"/>
      <c r="AS517" s="77"/>
      <c r="AT517" s="77"/>
      <c r="AU517" s="77"/>
      <c r="AV517" s="83" t="str">
        <f>HYPERLINK("https://pbs.twimg.com/profile_images/1041725334431952896/uaPtkYSp_normal.jpg")</f>
        <v>https://pbs.twimg.com/profile_images/1041725334431952896/uaPtkYSp_normal.jpg</v>
      </c>
      <c r="AW517" s="80" t="s">
        <v>16481</v>
      </c>
      <c r="AX517" s="80" t="s">
        <v>16481</v>
      </c>
      <c r="AY517" s="77"/>
      <c r="AZ517" s="80" t="s">
        <v>20380</v>
      </c>
      <c r="BA517" s="80" t="s">
        <v>20380</v>
      </c>
      <c r="BB517" s="80" t="s">
        <v>20380</v>
      </c>
      <c r="BC517" s="80" t="s">
        <v>16481</v>
      </c>
      <c r="BD517" s="80" t="s">
        <v>20609</v>
      </c>
      <c r="BE517" s="77"/>
      <c r="BF517" s="77"/>
      <c r="BG517" s="77"/>
      <c r="BH517" s="77"/>
      <c r="BI517" s="77"/>
    </row>
    <row r="518" spans="1:61" x14ac:dyDescent="0.25">
      <c r="A518" s="62" t="s">
        <v>455</v>
      </c>
      <c r="B518" s="62" t="s">
        <v>455</v>
      </c>
      <c r="C518" s="63"/>
      <c r="D518" s="64"/>
      <c r="E518" s="65"/>
      <c r="F518" s="66"/>
      <c r="G518" s="63"/>
      <c r="H518" s="67"/>
      <c r="I518" s="68"/>
      <c r="J518" s="68"/>
      <c r="K518" s="32"/>
      <c r="L518" s="75">
        <v>518</v>
      </c>
      <c r="M518" s="75"/>
      <c r="N518" s="70"/>
      <c r="O518" s="77" t="s">
        <v>179</v>
      </c>
      <c r="P518" s="79">
        <v>45144.63548611111</v>
      </c>
      <c r="Q518" s="77" t="s">
        <v>2533</v>
      </c>
      <c r="R518" s="77">
        <v>0</v>
      </c>
      <c r="S518" s="77">
        <v>0</v>
      </c>
      <c r="T518" s="77">
        <v>0</v>
      </c>
      <c r="U518" s="77">
        <v>0</v>
      </c>
      <c r="V518" s="77">
        <v>264</v>
      </c>
      <c r="W518" s="80" t="s">
        <v>6272</v>
      </c>
      <c r="X518" s="83" t="str">
        <f>HYPERLINK("https://www.seudinheiro.com/2023/bolsa-dolar/agenda-economica-ata-copom-previa-pib-inflacao-rens/")</f>
        <v>https://www.seudinheiro.com/2023/bolsa-dolar/agenda-economica-ata-copom-previa-pib-inflacao-rens/</v>
      </c>
      <c r="Y518" s="77" t="s">
        <v>8674</v>
      </c>
      <c r="Z518" s="77"/>
      <c r="AA518" s="77"/>
      <c r="AB518" s="77"/>
      <c r="AC518" s="80" t="s">
        <v>10558</v>
      </c>
      <c r="AD518" s="77" t="s">
        <v>10617</v>
      </c>
      <c r="AE518" s="83" t="str">
        <f>HYPERLINK("https://twitter.com/seu_dinheiro_br/status/1688207075225092096")</f>
        <v>https://twitter.com/seu_dinheiro_br/status/1688207075225092096</v>
      </c>
      <c r="AF518" s="79">
        <v>45144.63548611111</v>
      </c>
      <c r="AG518" s="85">
        <v>45144</v>
      </c>
      <c r="AH518" s="80" t="s">
        <v>11095</v>
      </c>
      <c r="AI518" s="77" t="b">
        <v>0</v>
      </c>
      <c r="AJ518" s="77"/>
      <c r="AK518" s="77"/>
      <c r="AL518" s="77"/>
      <c r="AM518" s="77"/>
      <c r="AN518" s="77"/>
      <c r="AO518" s="77"/>
      <c r="AP518" s="77"/>
      <c r="AQ518" s="77"/>
      <c r="AR518" s="77"/>
      <c r="AS518" s="77"/>
      <c r="AT518" s="77"/>
      <c r="AU518" s="77"/>
      <c r="AV518" s="83" t="str">
        <f>HYPERLINK("https://pbs.twimg.com/profile_images/1041725334431952896/uaPtkYSp_normal.jpg")</f>
        <v>https://pbs.twimg.com/profile_images/1041725334431952896/uaPtkYSp_normal.jpg</v>
      </c>
      <c r="AW518" s="80" t="s">
        <v>16482</v>
      </c>
      <c r="AX518" s="80" t="s">
        <v>16482</v>
      </c>
      <c r="AY518" s="77"/>
      <c r="AZ518" s="80" t="s">
        <v>20380</v>
      </c>
      <c r="BA518" s="80" t="s">
        <v>20380</v>
      </c>
      <c r="BB518" s="80" t="s">
        <v>20380</v>
      </c>
      <c r="BC518" s="80" t="s">
        <v>16482</v>
      </c>
      <c r="BD518" s="80" t="s">
        <v>20609</v>
      </c>
      <c r="BE518" s="77"/>
      <c r="BF518" s="77"/>
      <c r="BG518" s="77"/>
      <c r="BH518" s="77"/>
      <c r="BI518" s="77"/>
    </row>
    <row r="519" spans="1:61" x14ac:dyDescent="0.25">
      <c r="A519" s="62" t="s">
        <v>455</v>
      </c>
      <c r="B519" s="62" t="s">
        <v>455</v>
      </c>
      <c r="C519" s="63"/>
      <c r="D519" s="64"/>
      <c r="E519" s="65"/>
      <c r="F519" s="66"/>
      <c r="G519" s="63"/>
      <c r="H519" s="67"/>
      <c r="I519" s="68"/>
      <c r="J519" s="68"/>
      <c r="K519" s="32"/>
      <c r="L519" s="75">
        <v>519</v>
      </c>
      <c r="M519" s="75"/>
      <c r="N519" s="70"/>
      <c r="O519" s="77" t="s">
        <v>179</v>
      </c>
      <c r="P519" s="79">
        <v>45144.625208333331</v>
      </c>
      <c r="Q519" s="77" t="s">
        <v>2534</v>
      </c>
      <c r="R519" s="77">
        <v>0</v>
      </c>
      <c r="S519" s="77">
        <v>0</v>
      </c>
      <c r="T519" s="77">
        <v>0</v>
      </c>
      <c r="U519" s="77">
        <v>0</v>
      </c>
      <c r="V519" s="77">
        <v>241</v>
      </c>
      <c r="W519" s="80" t="s">
        <v>6273</v>
      </c>
      <c r="X519" s="83" t="str">
        <f>HYPERLINK("https://www.seudinheiro.com/2023/colunistas/copom-campos-neto-corta-a-selic-e-recebe-cerveja-de-brinde-afinal-onde-investir-com-os-juros-a-1325-mktportais/")</f>
        <v>https://www.seudinheiro.com/2023/colunistas/copom-campos-neto-corta-a-selic-e-recebe-cerveja-de-brinde-afinal-onde-investir-com-os-juros-a-1325-mktportais/</v>
      </c>
      <c r="Y519" s="77" t="s">
        <v>8674</v>
      </c>
      <c r="Z519" s="77"/>
      <c r="AA519" s="77"/>
      <c r="AB519" s="77"/>
      <c r="AC519" s="80" t="s">
        <v>10558</v>
      </c>
      <c r="AD519" s="77" t="s">
        <v>10617</v>
      </c>
      <c r="AE519" s="83" t="str">
        <f>HYPERLINK("https://twitter.com/seu_dinheiro_br/status/1688203347809992704")</f>
        <v>https://twitter.com/seu_dinheiro_br/status/1688203347809992704</v>
      </c>
      <c r="AF519" s="79">
        <v>45144.625208333331</v>
      </c>
      <c r="AG519" s="85">
        <v>45144</v>
      </c>
      <c r="AH519" s="80" t="s">
        <v>11096</v>
      </c>
      <c r="AI519" s="77" t="b">
        <v>0</v>
      </c>
      <c r="AJ519" s="77"/>
      <c r="AK519" s="77"/>
      <c r="AL519" s="77"/>
      <c r="AM519" s="77"/>
      <c r="AN519" s="77"/>
      <c r="AO519" s="77"/>
      <c r="AP519" s="77"/>
      <c r="AQ519" s="77"/>
      <c r="AR519" s="77"/>
      <c r="AS519" s="77"/>
      <c r="AT519" s="77"/>
      <c r="AU519" s="77"/>
      <c r="AV519" s="83" t="str">
        <f>HYPERLINK("https://pbs.twimg.com/profile_images/1041725334431952896/uaPtkYSp_normal.jpg")</f>
        <v>https://pbs.twimg.com/profile_images/1041725334431952896/uaPtkYSp_normal.jpg</v>
      </c>
      <c r="AW519" s="80" t="s">
        <v>16483</v>
      </c>
      <c r="AX519" s="80" t="s">
        <v>16483</v>
      </c>
      <c r="AY519" s="77"/>
      <c r="AZ519" s="80" t="s">
        <v>20380</v>
      </c>
      <c r="BA519" s="80" t="s">
        <v>20380</v>
      </c>
      <c r="BB519" s="80" t="s">
        <v>20380</v>
      </c>
      <c r="BC519" s="80" t="s">
        <v>16483</v>
      </c>
      <c r="BD519" s="80" t="s">
        <v>20609</v>
      </c>
      <c r="BE519" s="77"/>
      <c r="BF519" s="77"/>
      <c r="BG519" s="77"/>
      <c r="BH519" s="77"/>
      <c r="BI519" s="77"/>
    </row>
    <row r="520" spans="1:61" x14ac:dyDescent="0.25">
      <c r="A520" s="62" t="s">
        <v>455</v>
      </c>
      <c r="B520" s="62" t="s">
        <v>455</v>
      </c>
      <c r="C520" s="63"/>
      <c r="D520" s="64"/>
      <c r="E520" s="65"/>
      <c r="F520" s="66"/>
      <c r="G520" s="63"/>
      <c r="H520" s="67"/>
      <c r="I520" s="68"/>
      <c r="J520" s="68"/>
      <c r="K520" s="32"/>
      <c r="L520" s="75">
        <v>520</v>
      </c>
      <c r="M520" s="75"/>
      <c r="N520" s="70"/>
      <c r="O520" s="77" t="s">
        <v>179</v>
      </c>
      <c r="P520" s="79">
        <v>45132.383622685185</v>
      </c>
      <c r="Q520" s="77" t="s">
        <v>2535</v>
      </c>
      <c r="R520" s="77">
        <v>0</v>
      </c>
      <c r="S520" s="77">
        <v>1</v>
      </c>
      <c r="T520" s="77">
        <v>0</v>
      </c>
      <c r="U520" s="77">
        <v>0</v>
      </c>
      <c r="V520" s="77">
        <v>289</v>
      </c>
      <c r="W520" s="80" t="s">
        <v>6274</v>
      </c>
      <c r="X520" s="83" t="str">
        <f>HYPERLINK("https://www.seudinheiro.com/2023/colunistas/fed-bce-boj-super-semana-bancos-centrais-rsgp/")</f>
        <v>https://www.seudinheiro.com/2023/colunistas/fed-bce-boj-super-semana-bancos-centrais-rsgp/</v>
      </c>
      <c r="Y520" s="77" t="s">
        <v>8674</v>
      </c>
      <c r="Z520" s="77"/>
      <c r="AA520" s="77"/>
      <c r="AB520" s="77"/>
      <c r="AC520" s="80" t="s">
        <v>10558</v>
      </c>
      <c r="AD520" s="77" t="s">
        <v>10617</v>
      </c>
      <c r="AE520" s="83" t="str">
        <f>HYPERLINK("https://twitter.com/seu_dinheiro_br/status/1683767146646585346")</f>
        <v>https://twitter.com/seu_dinheiro_br/status/1683767146646585346</v>
      </c>
      <c r="AF520" s="79">
        <v>45132.383622685185</v>
      </c>
      <c r="AG520" s="85">
        <v>45132</v>
      </c>
      <c r="AH520" s="80" t="s">
        <v>11097</v>
      </c>
      <c r="AI520" s="77" t="b">
        <v>0</v>
      </c>
      <c r="AJ520" s="77"/>
      <c r="AK520" s="77"/>
      <c r="AL520" s="77"/>
      <c r="AM520" s="77"/>
      <c r="AN520" s="77"/>
      <c r="AO520" s="77"/>
      <c r="AP520" s="77"/>
      <c r="AQ520" s="77"/>
      <c r="AR520" s="77"/>
      <c r="AS520" s="77"/>
      <c r="AT520" s="77"/>
      <c r="AU520" s="77"/>
      <c r="AV520" s="83" t="str">
        <f>HYPERLINK("https://pbs.twimg.com/profile_images/1041725334431952896/uaPtkYSp_normal.jpg")</f>
        <v>https://pbs.twimg.com/profile_images/1041725334431952896/uaPtkYSp_normal.jpg</v>
      </c>
      <c r="AW520" s="80" t="s">
        <v>16484</v>
      </c>
      <c r="AX520" s="80" t="s">
        <v>16484</v>
      </c>
      <c r="AY520" s="77"/>
      <c r="AZ520" s="80" t="s">
        <v>20380</v>
      </c>
      <c r="BA520" s="80" t="s">
        <v>20380</v>
      </c>
      <c r="BB520" s="80" t="s">
        <v>20380</v>
      </c>
      <c r="BC520" s="80" t="s">
        <v>16484</v>
      </c>
      <c r="BD520" s="80" t="s">
        <v>20609</v>
      </c>
      <c r="BE520" s="77"/>
      <c r="BF520" s="77"/>
      <c r="BG520" s="77"/>
      <c r="BH520" s="77"/>
      <c r="BI520" s="77"/>
    </row>
    <row r="521" spans="1:61" x14ac:dyDescent="0.25">
      <c r="A521" s="62" t="s">
        <v>455</v>
      </c>
      <c r="B521" s="62" t="s">
        <v>455</v>
      </c>
      <c r="C521" s="63"/>
      <c r="D521" s="64"/>
      <c r="E521" s="65"/>
      <c r="F521" s="66"/>
      <c r="G521" s="63"/>
      <c r="H521" s="67"/>
      <c r="I521" s="68"/>
      <c r="J521" s="68"/>
      <c r="K521" s="32"/>
      <c r="L521" s="75">
        <v>521</v>
      </c>
      <c r="M521" s="75"/>
      <c r="N521" s="70"/>
      <c r="O521" s="77" t="s">
        <v>179</v>
      </c>
      <c r="P521" s="79">
        <v>45105.967685185184</v>
      </c>
      <c r="Q521" s="77" t="s">
        <v>2536</v>
      </c>
      <c r="R521" s="77">
        <v>3</v>
      </c>
      <c r="S521" s="77">
        <v>3</v>
      </c>
      <c r="T521" s="77">
        <v>4</v>
      </c>
      <c r="U521" s="77">
        <v>0</v>
      </c>
      <c r="V521" s="77">
        <v>411</v>
      </c>
      <c r="W521" s="80" t="s">
        <v>6275</v>
      </c>
      <c r="X521" s="83" t="str">
        <f>HYPERLINK("https://www.seudinheiro.com/2023/criptomoedas/real-digital-pix-bancoes-sucesso-rens/")</f>
        <v>https://www.seudinheiro.com/2023/criptomoedas/real-digital-pix-bancoes-sucesso-rens/</v>
      </c>
      <c r="Y521" s="77" t="s">
        <v>8674</v>
      </c>
      <c r="Z521" s="77"/>
      <c r="AA521" s="77"/>
      <c r="AB521" s="77"/>
      <c r="AC521" s="80" t="s">
        <v>10558</v>
      </c>
      <c r="AD521" s="77" t="s">
        <v>10617</v>
      </c>
      <c r="AE521" s="83" t="str">
        <f>HYPERLINK("https://twitter.com/seu_dinheiro_br/status/1674194330913853440")</f>
        <v>https://twitter.com/seu_dinheiro_br/status/1674194330913853440</v>
      </c>
      <c r="AF521" s="79">
        <v>45105.967685185184</v>
      </c>
      <c r="AG521" s="85">
        <v>45105</v>
      </c>
      <c r="AH521" s="80" t="s">
        <v>11098</v>
      </c>
      <c r="AI521" s="77" t="b">
        <v>0</v>
      </c>
      <c r="AJ521" s="77"/>
      <c r="AK521" s="77"/>
      <c r="AL521" s="77"/>
      <c r="AM521" s="77"/>
      <c r="AN521" s="77"/>
      <c r="AO521" s="77"/>
      <c r="AP521" s="77"/>
      <c r="AQ521" s="77"/>
      <c r="AR521" s="77"/>
      <c r="AS521" s="77"/>
      <c r="AT521" s="77"/>
      <c r="AU521" s="77"/>
      <c r="AV521" s="83" t="str">
        <f>HYPERLINK("https://pbs.twimg.com/profile_images/1041725334431952896/uaPtkYSp_normal.jpg")</f>
        <v>https://pbs.twimg.com/profile_images/1041725334431952896/uaPtkYSp_normal.jpg</v>
      </c>
      <c r="AW521" s="80" t="s">
        <v>16485</v>
      </c>
      <c r="AX521" s="80" t="s">
        <v>16485</v>
      </c>
      <c r="AY521" s="77"/>
      <c r="AZ521" s="80" t="s">
        <v>20380</v>
      </c>
      <c r="BA521" s="80" t="s">
        <v>20380</v>
      </c>
      <c r="BB521" s="80" t="s">
        <v>20380</v>
      </c>
      <c r="BC521" s="80" t="s">
        <v>16485</v>
      </c>
      <c r="BD521" s="80" t="s">
        <v>20609</v>
      </c>
      <c r="BE521" s="77"/>
      <c r="BF521" s="77"/>
      <c r="BG521" s="77"/>
      <c r="BH521" s="77"/>
      <c r="BI521" s="77"/>
    </row>
    <row r="522" spans="1:61" x14ac:dyDescent="0.25">
      <c r="A522" s="62" t="s">
        <v>455</v>
      </c>
      <c r="B522" s="62" t="s">
        <v>455</v>
      </c>
      <c r="C522" s="63"/>
      <c r="D522" s="64"/>
      <c r="E522" s="65"/>
      <c r="F522" s="66"/>
      <c r="G522" s="63"/>
      <c r="H522" s="67"/>
      <c r="I522" s="68"/>
      <c r="J522" s="68"/>
      <c r="K522" s="32"/>
      <c r="L522" s="75">
        <v>522</v>
      </c>
      <c r="M522" s="75"/>
      <c r="N522" s="70"/>
      <c r="O522" s="77" t="s">
        <v>179</v>
      </c>
      <c r="P522" s="79">
        <v>45105.959143518521</v>
      </c>
      <c r="Q522" s="77" t="s">
        <v>2537</v>
      </c>
      <c r="R522" s="77">
        <v>0</v>
      </c>
      <c r="S522" s="77">
        <v>0</v>
      </c>
      <c r="T522" s="77">
        <v>0</v>
      </c>
      <c r="U522" s="77">
        <v>0</v>
      </c>
      <c r="V522" s="77">
        <v>256</v>
      </c>
      <c r="W522" s="80" t="s">
        <v>6276</v>
      </c>
      <c r="X522" s="83" t="str">
        <f>HYPERLINK("https://www.seudinheiro.com/2023/colunistas/rodolfo-amstalden-e-possivel-ser-neutor-e-real-ao-mesmo-tempo-ccgg/")</f>
        <v>https://www.seudinheiro.com/2023/colunistas/rodolfo-amstalden-e-possivel-ser-neutor-e-real-ao-mesmo-tempo-ccgg/</v>
      </c>
      <c r="Y522" s="77" t="s">
        <v>8674</v>
      </c>
      <c r="Z522" s="77"/>
      <c r="AA522" s="77"/>
      <c r="AB522" s="77"/>
      <c r="AC522" s="80" t="s">
        <v>10558</v>
      </c>
      <c r="AD522" s="77" t="s">
        <v>10617</v>
      </c>
      <c r="AE522" s="83" t="str">
        <f>HYPERLINK("https://twitter.com/seu_dinheiro_br/status/1674191237874692101")</f>
        <v>https://twitter.com/seu_dinheiro_br/status/1674191237874692101</v>
      </c>
      <c r="AF522" s="79">
        <v>45105.959143518521</v>
      </c>
      <c r="AG522" s="85">
        <v>45105</v>
      </c>
      <c r="AH522" s="80" t="s">
        <v>11099</v>
      </c>
      <c r="AI522" s="77" t="b">
        <v>0</v>
      </c>
      <c r="AJ522" s="77"/>
      <c r="AK522" s="77"/>
      <c r="AL522" s="77"/>
      <c r="AM522" s="77"/>
      <c r="AN522" s="77"/>
      <c r="AO522" s="77"/>
      <c r="AP522" s="77"/>
      <c r="AQ522" s="77"/>
      <c r="AR522" s="77"/>
      <c r="AS522" s="77"/>
      <c r="AT522" s="77"/>
      <c r="AU522" s="77"/>
      <c r="AV522" s="83" t="str">
        <f>HYPERLINK("https://pbs.twimg.com/profile_images/1041725334431952896/uaPtkYSp_normal.jpg")</f>
        <v>https://pbs.twimg.com/profile_images/1041725334431952896/uaPtkYSp_normal.jpg</v>
      </c>
      <c r="AW522" s="80" t="s">
        <v>16486</v>
      </c>
      <c r="AX522" s="80" t="s">
        <v>16486</v>
      </c>
      <c r="AY522" s="77"/>
      <c r="AZ522" s="80" t="s">
        <v>20380</v>
      </c>
      <c r="BA522" s="80" t="s">
        <v>20380</v>
      </c>
      <c r="BB522" s="80" t="s">
        <v>20380</v>
      </c>
      <c r="BC522" s="80" t="s">
        <v>16486</v>
      </c>
      <c r="BD522" s="80" t="s">
        <v>20609</v>
      </c>
      <c r="BE522" s="77"/>
      <c r="BF522" s="77"/>
      <c r="BG522" s="77"/>
      <c r="BH522" s="77"/>
      <c r="BI522" s="77"/>
    </row>
    <row r="523" spans="1:61" x14ac:dyDescent="0.25">
      <c r="A523" s="62" t="s">
        <v>455</v>
      </c>
      <c r="B523" s="62" t="s">
        <v>455</v>
      </c>
      <c r="C523" s="63"/>
      <c r="D523" s="64"/>
      <c r="E523" s="65"/>
      <c r="F523" s="66"/>
      <c r="G523" s="63"/>
      <c r="H523" s="67"/>
      <c r="I523" s="68"/>
      <c r="J523" s="68"/>
      <c r="K523" s="32"/>
      <c r="L523" s="75">
        <v>523</v>
      </c>
      <c r="M523" s="75"/>
      <c r="N523" s="70"/>
      <c r="O523" s="77" t="s">
        <v>179</v>
      </c>
      <c r="P523" s="79">
        <v>45104.968842592592</v>
      </c>
      <c r="Q523" s="77" t="s">
        <v>2538</v>
      </c>
      <c r="R523" s="77">
        <v>0</v>
      </c>
      <c r="S523" s="77">
        <v>0</v>
      </c>
      <c r="T523" s="77">
        <v>0</v>
      </c>
      <c r="U523" s="77">
        <v>0</v>
      </c>
      <c r="V523" s="77">
        <v>300</v>
      </c>
      <c r="W523" s="80" t="s">
        <v>6277</v>
      </c>
      <c r="X523" s="83" t="str">
        <f>HYPERLINK("https://www.seudinheiro.com/2023/economia/haddad-e-tebet-harmonizam-o-tom-da-ata-do-copom-mas-lula-nao-perdoa-juros-altos-veja-o-que-o-presidente-falou-dessa-vez-ccgg/")</f>
        <v>https://www.seudinheiro.com/2023/economia/haddad-e-tebet-harmonizam-o-tom-da-ata-do-copom-mas-lula-nao-perdoa-juros-altos-veja-o-que-o-presidente-falou-dessa-vez-ccgg/</v>
      </c>
      <c r="Y523" s="77" t="s">
        <v>8674</v>
      </c>
      <c r="Z523" s="77"/>
      <c r="AA523" s="77"/>
      <c r="AB523" s="77"/>
      <c r="AC523" s="80" t="s">
        <v>10558</v>
      </c>
      <c r="AD523" s="77" t="s">
        <v>10617</v>
      </c>
      <c r="AE523" s="83" t="str">
        <f>HYPERLINK("https://twitter.com/seu_dinheiro_br/status/1673832364542246914")</f>
        <v>https://twitter.com/seu_dinheiro_br/status/1673832364542246914</v>
      </c>
      <c r="AF523" s="79">
        <v>45104.968842592592</v>
      </c>
      <c r="AG523" s="85">
        <v>45104</v>
      </c>
      <c r="AH523" s="80" t="s">
        <v>11100</v>
      </c>
      <c r="AI523" s="77" t="b">
        <v>0</v>
      </c>
      <c r="AJ523" s="77"/>
      <c r="AK523" s="77"/>
      <c r="AL523" s="77"/>
      <c r="AM523" s="77"/>
      <c r="AN523" s="77"/>
      <c r="AO523" s="77"/>
      <c r="AP523" s="77"/>
      <c r="AQ523" s="77"/>
      <c r="AR523" s="77"/>
      <c r="AS523" s="77"/>
      <c r="AT523" s="77"/>
      <c r="AU523" s="77"/>
      <c r="AV523" s="83" t="str">
        <f>HYPERLINK("https://pbs.twimg.com/profile_images/1041725334431952896/uaPtkYSp_normal.jpg")</f>
        <v>https://pbs.twimg.com/profile_images/1041725334431952896/uaPtkYSp_normal.jpg</v>
      </c>
      <c r="AW523" s="80" t="s">
        <v>16487</v>
      </c>
      <c r="AX523" s="80" t="s">
        <v>16487</v>
      </c>
      <c r="AY523" s="77"/>
      <c r="AZ523" s="80" t="s">
        <v>20380</v>
      </c>
      <c r="BA523" s="80" t="s">
        <v>20380</v>
      </c>
      <c r="BB523" s="80" t="s">
        <v>20380</v>
      </c>
      <c r="BC523" s="80" t="s">
        <v>16487</v>
      </c>
      <c r="BD523" s="80" t="s">
        <v>20609</v>
      </c>
      <c r="BE523" s="77"/>
      <c r="BF523" s="77"/>
      <c r="BG523" s="77"/>
      <c r="BH523" s="77"/>
      <c r="BI523" s="77"/>
    </row>
    <row r="524" spans="1:61" x14ac:dyDescent="0.25">
      <c r="A524" s="62" t="s">
        <v>455</v>
      </c>
      <c r="B524" s="62" t="s">
        <v>455</v>
      </c>
      <c r="C524" s="63"/>
      <c r="D524" s="64"/>
      <c r="E524" s="65"/>
      <c r="F524" s="66"/>
      <c r="G524" s="63"/>
      <c r="H524" s="67"/>
      <c r="I524" s="68"/>
      <c r="J524" s="68"/>
      <c r="K524" s="32"/>
      <c r="L524" s="75">
        <v>524</v>
      </c>
      <c r="M524" s="75"/>
      <c r="N524" s="70"/>
      <c r="O524" s="77" t="s">
        <v>179</v>
      </c>
      <c r="P524" s="79">
        <v>45091.680821759262</v>
      </c>
      <c r="Q524" s="77" t="s">
        <v>2539</v>
      </c>
      <c r="R524" s="77">
        <v>0</v>
      </c>
      <c r="S524" s="77">
        <v>1</v>
      </c>
      <c r="T524" s="77">
        <v>0</v>
      </c>
      <c r="U524" s="77">
        <v>0</v>
      </c>
      <c r="V524" s="77">
        <v>411</v>
      </c>
      <c r="W524" s="80" t="s">
        <v>6278</v>
      </c>
      <c r="X524" s="83" t="str">
        <f>HYPERLINK("https://www.seudinheiro.com/2023/economia/lula-haddad-bndes-e-caixa-varejistas-magazine-luiza-mglu3-e-petz-petz3-miql/")</f>
        <v>https://www.seudinheiro.com/2023/economia/lula-haddad-bndes-e-caixa-varejistas-magazine-luiza-mglu3-e-petz-petz3-miql/</v>
      </c>
      <c r="Y524" s="77" t="s">
        <v>8674</v>
      </c>
      <c r="Z524" s="77"/>
      <c r="AA524" s="77"/>
      <c r="AB524" s="77"/>
      <c r="AC524" s="80" t="s">
        <v>10558</v>
      </c>
      <c r="AD524" s="77" t="s">
        <v>10617</v>
      </c>
      <c r="AE524" s="83" t="str">
        <f>HYPERLINK("https://twitter.com/seu_dinheiro_br/status/1669016948405878785")</f>
        <v>https://twitter.com/seu_dinheiro_br/status/1669016948405878785</v>
      </c>
      <c r="AF524" s="79">
        <v>45091.680821759262</v>
      </c>
      <c r="AG524" s="85">
        <v>45091</v>
      </c>
      <c r="AH524" s="80" t="s">
        <v>11101</v>
      </c>
      <c r="AI524" s="77" t="b">
        <v>0</v>
      </c>
      <c r="AJ524" s="77"/>
      <c r="AK524" s="77"/>
      <c r="AL524" s="77"/>
      <c r="AM524" s="77"/>
      <c r="AN524" s="77"/>
      <c r="AO524" s="77"/>
      <c r="AP524" s="77"/>
      <c r="AQ524" s="77"/>
      <c r="AR524" s="77"/>
      <c r="AS524" s="77"/>
      <c r="AT524" s="77"/>
      <c r="AU524" s="77"/>
      <c r="AV524" s="83" t="str">
        <f>HYPERLINK("https://pbs.twimg.com/profile_images/1041725334431952896/uaPtkYSp_normal.jpg")</f>
        <v>https://pbs.twimg.com/profile_images/1041725334431952896/uaPtkYSp_normal.jpg</v>
      </c>
      <c r="AW524" s="80" t="s">
        <v>16488</v>
      </c>
      <c r="AX524" s="80" t="s">
        <v>16488</v>
      </c>
      <c r="AY524" s="77"/>
      <c r="AZ524" s="80" t="s">
        <v>20380</v>
      </c>
      <c r="BA524" s="80" t="s">
        <v>20380</v>
      </c>
      <c r="BB524" s="80" t="s">
        <v>20380</v>
      </c>
      <c r="BC524" s="80" t="s">
        <v>16488</v>
      </c>
      <c r="BD524" s="80" t="s">
        <v>20609</v>
      </c>
      <c r="BE524" s="77"/>
      <c r="BF524" s="77"/>
      <c r="BG524" s="77"/>
      <c r="BH524" s="77"/>
      <c r="BI524" s="77"/>
    </row>
    <row r="525" spans="1:61" x14ac:dyDescent="0.25">
      <c r="A525" s="62" t="s">
        <v>455</v>
      </c>
      <c r="B525" s="62" t="s">
        <v>455</v>
      </c>
      <c r="C525" s="63"/>
      <c r="D525" s="64"/>
      <c r="E525" s="65"/>
      <c r="F525" s="66"/>
      <c r="G525" s="63"/>
      <c r="H525" s="67"/>
      <c r="I525" s="68"/>
      <c r="J525" s="68"/>
      <c r="K525" s="32"/>
      <c r="L525" s="75">
        <v>525</v>
      </c>
      <c r="M525" s="75"/>
      <c r="N525" s="70"/>
      <c r="O525" s="77" t="s">
        <v>179</v>
      </c>
      <c r="P525" s="79">
        <v>45091.52443287037</v>
      </c>
      <c r="Q525" s="77" t="s">
        <v>2540</v>
      </c>
      <c r="R525" s="77">
        <v>1</v>
      </c>
      <c r="S525" s="77">
        <v>6</v>
      </c>
      <c r="T525" s="77">
        <v>0</v>
      </c>
      <c r="U525" s="77">
        <v>1</v>
      </c>
      <c r="V525" s="77">
        <v>494</v>
      </c>
      <c r="W525" s="80" t="s">
        <v>6279</v>
      </c>
      <c r="X525" s="83" t="str">
        <f>HYPERLINK("https://www.seudinheiro.com/2023/criptomoedas/banco-central-bc-criptomoedas-regulacao-rens/")</f>
        <v>https://www.seudinheiro.com/2023/criptomoedas/banco-central-bc-criptomoedas-regulacao-rens/</v>
      </c>
      <c r="Y525" s="77" t="s">
        <v>8674</v>
      </c>
      <c r="Z525" s="77"/>
      <c r="AA525" s="77"/>
      <c r="AB525" s="77"/>
      <c r="AC525" s="80" t="s">
        <v>10558</v>
      </c>
      <c r="AD525" s="77" t="s">
        <v>10617</v>
      </c>
      <c r="AE525" s="83" t="str">
        <f>HYPERLINK("https://twitter.com/seu_dinheiro_br/status/1668960273535737860")</f>
        <v>https://twitter.com/seu_dinheiro_br/status/1668960273535737860</v>
      </c>
      <c r="AF525" s="79">
        <v>45091.52443287037</v>
      </c>
      <c r="AG525" s="85">
        <v>45091</v>
      </c>
      <c r="AH525" s="80" t="s">
        <v>11039</v>
      </c>
      <c r="AI525" s="77" t="b">
        <v>0</v>
      </c>
      <c r="AJ525" s="77"/>
      <c r="AK525" s="77"/>
      <c r="AL525" s="77"/>
      <c r="AM525" s="77"/>
      <c r="AN525" s="77"/>
      <c r="AO525" s="77"/>
      <c r="AP525" s="77"/>
      <c r="AQ525" s="77"/>
      <c r="AR525" s="77"/>
      <c r="AS525" s="77"/>
      <c r="AT525" s="77"/>
      <c r="AU525" s="77"/>
      <c r="AV525" s="83" t="str">
        <f>HYPERLINK("https://pbs.twimg.com/profile_images/1041725334431952896/uaPtkYSp_normal.jpg")</f>
        <v>https://pbs.twimg.com/profile_images/1041725334431952896/uaPtkYSp_normal.jpg</v>
      </c>
      <c r="AW525" s="80" t="s">
        <v>16489</v>
      </c>
      <c r="AX525" s="80" t="s">
        <v>16489</v>
      </c>
      <c r="AY525" s="77"/>
      <c r="AZ525" s="80" t="s">
        <v>20380</v>
      </c>
      <c r="BA525" s="80" t="s">
        <v>20380</v>
      </c>
      <c r="BB525" s="80" t="s">
        <v>20380</v>
      </c>
      <c r="BC525" s="80" t="s">
        <v>16489</v>
      </c>
      <c r="BD525" s="80" t="s">
        <v>20609</v>
      </c>
      <c r="BE525" s="77"/>
      <c r="BF525" s="77"/>
      <c r="BG525" s="77"/>
      <c r="BH525" s="77"/>
      <c r="BI525" s="77"/>
    </row>
    <row r="526" spans="1:61" x14ac:dyDescent="0.25">
      <c r="A526" s="62" t="s">
        <v>455</v>
      </c>
      <c r="B526" s="62" t="s">
        <v>455</v>
      </c>
      <c r="C526" s="63"/>
      <c r="D526" s="64"/>
      <c r="E526" s="65"/>
      <c r="F526" s="66"/>
      <c r="G526" s="63"/>
      <c r="H526" s="67"/>
      <c r="I526" s="68"/>
      <c r="J526" s="68"/>
      <c r="K526" s="32"/>
      <c r="L526" s="75">
        <v>526</v>
      </c>
      <c r="M526" s="75"/>
      <c r="N526" s="70"/>
      <c r="O526" s="77" t="s">
        <v>179</v>
      </c>
      <c r="P526" s="79">
        <v>45146.844675925924</v>
      </c>
      <c r="Q526" s="77" t="s">
        <v>2541</v>
      </c>
      <c r="R526" s="77">
        <v>1</v>
      </c>
      <c r="S526" s="77">
        <v>2</v>
      </c>
      <c r="T526" s="77">
        <v>0</v>
      </c>
      <c r="U526" s="77">
        <v>0</v>
      </c>
      <c r="V526" s="77">
        <v>254</v>
      </c>
      <c r="W526" s="80" t="s">
        <v>6280</v>
      </c>
      <c r="X526" s="83" t="str">
        <f>HYPERLINK("https://www.seudinheiro.com/2023/criptomoedas/real-digital-drex-banco-central-cooperativa-rens/")</f>
        <v>https://www.seudinheiro.com/2023/criptomoedas/real-digital-drex-banco-central-cooperativa-rens/</v>
      </c>
      <c r="Y526" s="77" t="s">
        <v>8674</v>
      </c>
      <c r="Z526" s="77"/>
      <c r="AA526" s="77"/>
      <c r="AB526" s="77"/>
      <c r="AC526" s="80" t="s">
        <v>10558</v>
      </c>
      <c r="AD526" s="77" t="s">
        <v>10617</v>
      </c>
      <c r="AE526" s="83" t="str">
        <f>HYPERLINK("https://twitter.com/seu_dinheiro_br/status/1689007659599454208")</f>
        <v>https://twitter.com/seu_dinheiro_br/status/1689007659599454208</v>
      </c>
      <c r="AF526" s="79">
        <v>45146.844675925924</v>
      </c>
      <c r="AG526" s="85">
        <v>45146</v>
      </c>
      <c r="AH526" s="80" t="s">
        <v>11102</v>
      </c>
      <c r="AI526" s="77" t="b">
        <v>0</v>
      </c>
      <c r="AJ526" s="77"/>
      <c r="AK526" s="77"/>
      <c r="AL526" s="77"/>
      <c r="AM526" s="77"/>
      <c r="AN526" s="77"/>
      <c r="AO526" s="77"/>
      <c r="AP526" s="77"/>
      <c r="AQ526" s="77"/>
      <c r="AR526" s="77"/>
      <c r="AS526" s="77"/>
      <c r="AT526" s="77"/>
      <c r="AU526" s="77"/>
      <c r="AV526" s="83" t="str">
        <f>HYPERLINK("https://pbs.twimg.com/profile_images/1041725334431952896/uaPtkYSp_normal.jpg")</f>
        <v>https://pbs.twimg.com/profile_images/1041725334431952896/uaPtkYSp_normal.jpg</v>
      </c>
      <c r="AW526" s="80" t="s">
        <v>16490</v>
      </c>
      <c r="AX526" s="80" t="s">
        <v>16490</v>
      </c>
      <c r="AY526" s="77"/>
      <c r="AZ526" s="80" t="s">
        <v>20380</v>
      </c>
      <c r="BA526" s="80" t="s">
        <v>20380</v>
      </c>
      <c r="BB526" s="80" t="s">
        <v>20380</v>
      </c>
      <c r="BC526" s="80" t="s">
        <v>16490</v>
      </c>
      <c r="BD526" s="80" t="s">
        <v>20609</v>
      </c>
      <c r="BE526" s="77"/>
      <c r="BF526" s="77"/>
      <c r="BG526" s="77"/>
      <c r="BH526" s="77"/>
      <c r="BI526" s="77"/>
    </row>
    <row r="527" spans="1:61" x14ac:dyDescent="0.25">
      <c r="A527" s="62" t="s">
        <v>455</v>
      </c>
      <c r="B527" s="62" t="s">
        <v>455</v>
      </c>
      <c r="C527" s="63"/>
      <c r="D527" s="64"/>
      <c r="E527" s="65"/>
      <c r="F527" s="66"/>
      <c r="G527" s="63"/>
      <c r="H527" s="67"/>
      <c r="I527" s="68"/>
      <c r="J527" s="68"/>
      <c r="K527" s="32"/>
      <c r="L527" s="75">
        <v>527</v>
      </c>
      <c r="M527" s="75"/>
      <c r="N527" s="70"/>
      <c r="O527" s="77" t="s">
        <v>179</v>
      </c>
      <c r="P527" s="79">
        <v>45137.793865740743</v>
      </c>
      <c r="Q527" s="77" t="s">
        <v>2542</v>
      </c>
      <c r="R527" s="77">
        <v>0</v>
      </c>
      <c r="S527" s="77">
        <v>1</v>
      </c>
      <c r="T527" s="77">
        <v>0</v>
      </c>
      <c r="U527" s="77">
        <v>0</v>
      </c>
      <c r="V527" s="77">
        <v>378</v>
      </c>
      <c r="W527" s="80" t="s">
        <v>6281</v>
      </c>
      <c r="X527" s="83" t="str">
        <f>HYPERLINK("https://www.seudinheiro.com/2023/economia/a-selic-vai-surpreender-fed-eleva-taxa-e-japao-choca-mercados-o-que-o-bc-do-brasil-pode-fazer-com-os-nossos-juros-ccgg/")</f>
        <v>https://www.seudinheiro.com/2023/economia/a-selic-vai-surpreender-fed-eleva-taxa-e-japao-choca-mercados-o-que-o-bc-do-brasil-pode-fazer-com-os-nossos-juros-ccgg/</v>
      </c>
      <c r="Y527" s="77" t="s">
        <v>8674</v>
      </c>
      <c r="Z527" s="77"/>
      <c r="AA527" s="77"/>
      <c r="AB527" s="77"/>
      <c r="AC527" s="80" t="s">
        <v>10558</v>
      </c>
      <c r="AD527" s="77" t="s">
        <v>10617</v>
      </c>
      <c r="AE527" s="83" t="str">
        <f>HYPERLINK("https://twitter.com/seu_dinheiro_br/status/1685727755353100288")</f>
        <v>https://twitter.com/seu_dinheiro_br/status/1685727755353100288</v>
      </c>
      <c r="AF527" s="79">
        <v>45137.793865740743</v>
      </c>
      <c r="AG527" s="85">
        <v>45137</v>
      </c>
      <c r="AH527" s="80" t="s">
        <v>11103</v>
      </c>
      <c r="AI527" s="77" t="b">
        <v>0</v>
      </c>
      <c r="AJ527" s="77"/>
      <c r="AK527" s="77"/>
      <c r="AL527" s="77"/>
      <c r="AM527" s="77"/>
      <c r="AN527" s="77"/>
      <c r="AO527" s="77"/>
      <c r="AP527" s="77"/>
      <c r="AQ527" s="77"/>
      <c r="AR527" s="77"/>
      <c r="AS527" s="77"/>
      <c r="AT527" s="77"/>
      <c r="AU527" s="77"/>
      <c r="AV527" s="83" t="str">
        <f>HYPERLINK("https://pbs.twimg.com/profile_images/1041725334431952896/uaPtkYSp_normal.jpg")</f>
        <v>https://pbs.twimg.com/profile_images/1041725334431952896/uaPtkYSp_normal.jpg</v>
      </c>
      <c r="AW527" s="80" t="s">
        <v>16491</v>
      </c>
      <c r="AX527" s="80" t="s">
        <v>16491</v>
      </c>
      <c r="AY527" s="77"/>
      <c r="AZ527" s="80" t="s">
        <v>20380</v>
      </c>
      <c r="BA527" s="80" t="s">
        <v>20380</v>
      </c>
      <c r="BB527" s="80" t="s">
        <v>20380</v>
      </c>
      <c r="BC527" s="80" t="s">
        <v>16491</v>
      </c>
      <c r="BD527" s="80" t="s">
        <v>20609</v>
      </c>
      <c r="BE527" s="77"/>
      <c r="BF527" s="77"/>
      <c r="BG527" s="77"/>
      <c r="BH527" s="77"/>
      <c r="BI527" s="77"/>
    </row>
    <row r="528" spans="1:61" x14ac:dyDescent="0.25">
      <c r="A528" s="62" t="s">
        <v>455</v>
      </c>
      <c r="B528" s="62" t="s">
        <v>455</v>
      </c>
      <c r="C528" s="63"/>
      <c r="D528" s="64"/>
      <c r="E528" s="65"/>
      <c r="F528" s="66"/>
      <c r="G528" s="63"/>
      <c r="H528" s="67"/>
      <c r="I528" s="68"/>
      <c r="J528" s="68"/>
      <c r="K528" s="32"/>
      <c r="L528" s="75">
        <v>528</v>
      </c>
      <c r="M528" s="75"/>
      <c r="N528" s="70"/>
      <c r="O528" s="77" t="s">
        <v>179</v>
      </c>
      <c r="P528" s="79">
        <v>45137.786539351851</v>
      </c>
      <c r="Q528" s="77" t="s">
        <v>2543</v>
      </c>
      <c r="R528" s="77">
        <v>0</v>
      </c>
      <c r="S528" s="77">
        <v>0</v>
      </c>
      <c r="T528" s="77">
        <v>0</v>
      </c>
      <c r="U528" s="77">
        <v>0</v>
      </c>
      <c r="V528" s="77">
        <v>327</v>
      </c>
      <c r="W528" s="80" t="s">
        <v>6281</v>
      </c>
      <c r="X528" s="83" t="str">
        <f>HYPERLINK("https://www.seudinheiro.com/2023/economia/a-selic-vai-surpreender-fed-eleva-taxa-e-japao-choca-mercados-o-que-o-bc-do-brasil-pode-fazer-com-os-nossos-juros/")</f>
        <v>https://www.seudinheiro.com/2023/economia/a-selic-vai-surpreender-fed-eleva-taxa-e-japao-choca-mercados-o-que-o-bc-do-brasil-pode-fazer-com-os-nossos-juros/</v>
      </c>
      <c r="Y528" s="77" t="s">
        <v>8674</v>
      </c>
      <c r="Z528" s="77"/>
      <c r="AA528" s="77"/>
      <c r="AB528" s="77"/>
      <c r="AC528" s="80" t="s">
        <v>10558</v>
      </c>
      <c r="AD528" s="77" t="s">
        <v>10617</v>
      </c>
      <c r="AE528" s="83" t="str">
        <f>HYPERLINK("https://twitter.com/seu_dinheiro_br/status/1685725098735550464")</f>
        <v>https://twitter.com/seu_dinheiro_br/status/1685725098735550464</v>
      </c>
      <c r="AF528" s="79">
        <v>45137.786539351851</v>
      </c>
      <c r="AG528" s="85">
        <v>45137</v>
      </c>
      <c r="AH528" s="80" t="s">
        <v>11104</v>
      </c>
      <c r="AI528" s="77" t="b">
        <v>0</v>
      </c>
      <c r="AJ528" s="77"/>
      <c r="AK528" s="77"/>
      <c r="AL528" s="77"/>
      <c r="AM528" s="77"/>
      <c r="AN528" s="77"/>
      <c r="AO528" s="77"/>
      <c r="AP528" s="77"/>
      <c r="AQ528" s="77"/>
      <c r="AR528" s="77"/>
      <c r="AS528" s="77"/>
      <c r="AT528" s="77"/>
      <c r="AU528" s="77"/>
      <c r="AV528" s="83" t="str">
        <f>HYPERLINK("https://pbs.twimg.com/profile_images/1041725334431952896/uaPtkYSp_normal.jpg")</f>
        <v>https://pbs.twimg.com/profile_images/1041725334431952896/uaPtkYSp_normal.jpg</v>
      </c>
      <c r="AW528" s="80" t="s">
        <v>16492</v>
      </c>
      <c r="AX528" s="80" t="s">
        <v>16492</v>
      </c>
      <c r="AY528" s="77"/>
      <c r="AZ528" s="80" t="s">
        <v>20380</v>
      </c>
      <c r="BA528" s="80" t="s">
        <v>20380</v>
      </c>
      <c r="BB528" s="80" t="s">
        <v>20380</v>
      </c>
      <c r="BC528" s="80" t="s">
        <v>16492</v>
      </c>
      <c r="BD528" s="80" t="s">
        <v>20609</v>
      </c>
      <c r="BE528" s="77"/>
      <c r="BF528" s="77"/>
      <c r="BG528" s="77"/>
      <c r="BH528" s="77"/>
      <c r="BI528" s="77"/>
    </row>
    <row r="529" spans="1:61" x14ac:dyDescent="0.25">
      <c r="A529" s="62" t="s">
        <v>455</v>
      </c>
      <c r="B529" s="62" t="s">
        <v>455</v>
      </c>
      <c r="C529" s="63"/>
      <c r="D529" s="64"/>
      <c r="E529" s="65"/>
      <c r="F529" s="66"/>
      <c r="G529" s="63"/>
      <c r="H529" s="67"/>
      <c r="I529" s="68"/>
      <c r="J529" s="68"/>
      <c r="K529" s="32"/>
      <c r="L529" s="75">
        <v>529</v>
      </c>
      <c r="M529" s="75"/>
      <c r="N529" s="70"/>
      <c r="O529" s="77" t="s">
        <v>179</v>
      </c>
      <c r="P529" s="79">
        <v>45137.63958333333</v>
      </c>
      <c r="Q529" s="77" t="s">
        <v>2544</v>
      </c>
      <c r="R529" s="77">
        <v>0</v>
      </c>
      <c r="S529" s="77">
        <v>3</v>
      </c>
      <c r="T529" s="77">
        <v>0</v>
      </c>
      <c r="U529" s="77">
        <v>0</v>
      </c>
      <c r="V529" s="77">
        <v>370</v>
      </c>
      <c r="W529" s="80" t="s">
        <v>6272</v>
      </c>
      <c r="X529" s="83" t="str">
        <f>HYPERLINK("https://www.seudinheiro.com/2023/bolsa-dolar/agenda-economica-balanco-petrobras-copom-rens/")</f>
        <v>https://www.seudinheiro.com/2023/bolsa-dolar/agenda-economica-balanco-petrobras-copom-rens/</v>
      </c>
      <c r="Y529" s="77" t="s">
        <v>8674</v>
      </c>
      <c r="Z529" s="77"/>
      <c r="AA529" s="77"/>
      <c r="AB529" s="77"/>
      <c r="AC529" s="80" t="s">
        <v>10558</v>
      </c>
      <c r="AD529" s="77" t="s">
        <v>10617</v>
      </c>
      <c r="AE529" s="83" t="str">
        <f>HYPERLINK("https://twitter.com/seu_dinheiro_br/status/1685671842797821953")</f>
        <v>https://twitter.com/seu_dinheiro_br/status/1685671842797821953</v>
      </c>
      <c r="AF529" s="79">
        <v>45137.63958333333</v>
      </c>
      <c r="AG529" s="85">
        <v>45137</v>
      </c>
      <c r="AH529" s="80" t="s">
        <v>11105</v>
      </c>
      <c r="AI529" s="77" t="b">
        <v>0</v>
      </c>
      <c r="AJ529" s="77"/>
      <c r="AK529" s="77"/>
      <c r="AL529" s="77"/>
      <c r="AM529" s="77"/>
      <c r="AN529" s="77"/>
      <c r="AO529" s="77"/>
      <c r="AP529" s="77"/>
      <c r="AQ529" s="77"/>
      <c r="AR529" s="77"/>
      <c r="AS529" s="77"/>
      <c r="AT529" s="77"/>
      <c r="AU529" s="77"/>
      <c r="AV529" s="83" t="str">
        <f>HYPERLINK("https://pbs.twimg.com/profile_images/1041725334431952896/uaPtkYSp_normal.jpg")</f>
        <v>https://pbs.twimg.com/profile_images/1041725334431952896/uaPtkYSp_normal.jpg</v>
      </c>
      <c r="AW529" s="80" t="s">
        <v>16493</v>
      </c>
      <c r="AX529" s="80" t="s">
        <v>16493</v>
      </c>
      <c r="AY529" s="77"/>
      <c r="AZ529" s="80" t="s">
        <v>20380</v>
      </c>
      <c r="BA529" s="80" t="s">
        <v>20380</v>
      </c>
      <c r="BB529" s="80" t="s">
        <v>20380</v>
      </c>
      <c r="BC529" s="80" t="s">
        <v>16493</v>
      </c>
      <c r="BD529" s="80" t="s">
        <v>20609</v>
      </c>
      <c r="BE529" s="77"/>
      <c r="BF529" s="77"/>
      <c r="BG529" s="77"/>
      <c r="BH529" s="77"/>
      <c r="BI529" s="77"/>
    </row>
    <row r="530" spans="1:61" x14ac:dyDescent="0.25">
      <c r="A530" s="62" t="s">
        <v>455</v>
      </c>
      <c r="B530" s="62" t="s">
        <v>455</v>
      </c>
      <c r="C530" s="63"/>
      <c r="D530" s="64"/>
      <c r="E530" s="65"/>
      <c r="F530" s="66"/>
      <c r="G530" s="63"/>
      <c r="H530" s="67"/>
      <c r="I530" s="68"/>
      <c r="J530" s="68"/>
      <c r="K530" s="32"/>
      <c r="L530" s="75">
        <v>530</v>
      </c>
      <c r="M530" s="75"/>
      <c r="N530" s="70"/>
      <c r="O530" s="77" t="s">
        <v>179</v>
      </c>
      <c r="P530" s="79">
        <v>45110.413148148145</v>
      </c>
      <c r="Q530" s="77" t="s">
        <v>2545</v>
      </c>
      <c r="R530" s="77">
        <v>0</v>
      </c>
      <c r="S530" s="77">
        <v>0</v>
      </c>
      <c r="T530" s="77">
        <v>0</v>
      </c>
      <c r="U530" s="77">
        <v>0</v>
      </c>
      <c r="V530" s="77">
        <v>317</v>
      </c>
      <c r="W530" s="80" t="s">
        <v>6282</v>
      </c>
      <c r="X530" s="83" t="str">
        <f>HYPERLINK("https://www.seudinheiro.com/2023/bolsa-dolar/onde-investir-2s23-macro-abre-rsgp/")</f>
        <v>https://www.seudinheiro.com/2023/bolsa-dolar/onde-investir-2s23-macro-abre-rsgp/</v>
      </c>
      <c r="Y530" s="77" t="s">
        <v>8674</v>
      </c>
      <c r="Z530" s="77"/>
      <c r="AA530" s="77"/>
      <c r="AB530" s="77"/>
      <c r="AC530" s="80" t="s">
        <v>10558</v>
      </c>
      <c r="AD530" s="77" t="s">
        <v>10617</v>
      </c>
      <c r="AE530" s="83" t="str">
        <f>HYPERLINK("https://twitter.com/seu_dinheiro_br/status/1675805315135074304")</f>
        <v>https://twitter.com/seu_dinheiro_br/status/1675805315135074304</v>
      </c>
      <c r="AF530" s="79">
        <v>45110.413148148145</v>
      </c>
      <c r="AG530" s="85">
        <v>45110</v>
      </c>
      <c r="AH530" s="80" t="s">
        <v>11106</v>
      </c>
      <c r="AI530" s="77" t="b">
        <v>0</v>
      </c>
      <c r="AJ530" s="77"/>
      <c r="AK530" s="77"/>
      <c r="AL530" s="77"/>
      <c r="AM530" s="77"/>
      <c r="AN530" s="77"/>
      <c r="AO530" s="77"/>
      <c r="AP530" s="77"/>
      <c r="AQ530" s="77"/>
      <c r="AR530" s="77"/>
      <c r="AS530" s="77"/>
      <c r="AT530" s="77"/>
      <c r="AU530" s="77"/>
      <c r="AV530" s="83" t="str">
        <f>HYPERLINK("https://pbs.twimg.com/profile_images/1041725334431952896/uaPtkYSp_normal.jpg")</f>
        <v>https://pbs.twimg.com/profile_images/1041725334431952896/uaPtkYSp_normal.jpg</v>
      </c>
      <c r="AW530" s="80" t="s">
        <v>16494</v>
      </c>
      <c r="AX530" s="80" t="s">
        <v>16494</v>
      </c>
      <c r="AY530" s="77"/>
      <c r="AZ530" s="80" t="s">
        <v>20380</v>
      </c>
      <c r="BA530" s="80" t="s">
        <v>20380</v>
      </c>
      <c r="BB530" s="80" t="s">
        <v>20380</v>
      </c>
      <c r="BC530" s="80" t="s">
        <v>16494</v>
      </c>
      <c r="BD530" s="80" t="s">
        <v>20609</v>
      </c>
      <c r="BE530" s="77"/>
      <c r="BF530" s="77"/>
      <c r="BG530" s="77"/>
      <c r="BH530" s="77"/>
      <c r="BI530" s="77"/>
    </row>
    <row r="531" spans="1:61" x14ac:dyDescent="0.25">
      <c r="A531" s="62" t="s">
        <v>455</v>
      </c>
      <c r="B531" s="62" t="s">
        <v>455</v>
      </c>
      <c r="C531" s="63"/>
      <c r="D531" s="64"/>
      <c r="E531" s="65"/>
      <c r="F531" s="66"/>
      <c r="G531" s="63"/>
      <c r="H531" s="67"/>
      <c r="I531" s="68"/>
      <c r="J531" s="68"/>
      <c r="K531" s="32"/>
      <c r="L531" s="75">
        <v>531</v>
      </c>
      <c r="M531" s="75"/>
      <c r="N531" s="70"/>
      <c r="O531" s="77" t="s">
        <v>179</v>
      </c>
      <c r="P531" s="79">
        <v>45097.395810185182</v>
      </c>
      <c r="Q531" s="77" t="s">
        <v>2546</v>
      </c>
      <c r="R531" s="77">
        <v>1</v>
      </c>
      <c r="S531" s="77">
        <v>1</v>
      </c>
      <c r="T531" s="77">
        <v>0</v>
      </c>
      <c r="U531" s="77">
        <v>0</v>
      </c>
      <c r="V531" s="77">
        <v>338</v>
      </c>
      <c r="W531" s="80" t="s">
        <v>6278</v>
      </c>
      <c r="X531" s="83" t="str">
        <f>HYPERLINK("https://www.seudinheiro.com/2023/colunistas/copom-expectativa-inicio-queda-juros-selic-analise-rsgp/")</f>
        <v>https://www.seudinheiro.com/2023/colunistas/copom-expectativa-inicio-queda-juros-selic-analise-rsgp/</v>
      </c>
      <c r="Y531" s="77" t="s">
        <v>8674</v>
      </c>
      <c r="Z531" s="77"/>
      <c r="AA531" s="77"/>
      <c r="AB531" s="77"/>
      <c r="AC531" s="80" t="s">
        <v>10558</v>
      </c>
      <c r="AD531" s="77" t="s">
        <v>10617</v>
      </c>
      <c r="AE531" s="83" t="str">
        <f>HYPERLINK("https://twitter.com/seu_dinheiro_br/status/1671087987512180739")</f>
        <v>https://twitter.com/seu_dinheiro_br/status/1671087987512180739</v>
      </c>
      <c r="AF531" s="79">
        <v>45097.395810185182</v>
      </c>
      <c r="AG531" s="85">
        <v>45097</v>
      </c>
      <c r="AH531" s="80" t="s">
        <v>11107</v>
      </c>
      <c r="AI531" s="77" t="b">
        <v>0</v>
      </c>
      <c r="AJ531" s="77"/>
      <c r="AK531" s="77"/>
      <c r="AL531" s="77"/>
      <c r="AM531" s="77"/>
      <c r="AN531" s="77"/>
      <c r="AO531" s="77"/>
      <c r="AP531" s="77"/>
      <c r="AQ531" s="77"/>
      <c r="AR531" s="77"/>
      <c r="AS531" s="77"/>
      <c r="AT531" s="77"/>
      <c r="AU531" s="77"/>
      <c r="AV531" s="83" t="str">
        <f>HYPERLINK("https://pbs.twimg.com/profile_images/1041725334431952896/uaPtkYSp_normal.jpg")</f>
        <v>https://pbs.twimg.com/profile_images/1041725334431952896/uaPtkYSp_normal.jpg</v>
      </c>
      <c r="AW531" s="80" t="s">
        <v>16495</v>
      </c>
      <c r="AX531" s="80" t="s">
        <v>16495</v>
      </c>
      <c r="AY531" s="77"/>
      <c r="AZ531" s="80" t="s">
        <v>20380</v>
      </c>
      <c r="BA531" s="80" t="s">
        <v>20380</v>
      </c>
      <c r="BB531" s="80" t="s">
        <v>20380</v>
      </c>
      <c r="BC531" s="80" t="s">
        <v>16495</v>
      </c>
      <c r="BD531" s="80" t="s">
        <v>20609</v>
      </c>
      <c r="BE531" s="77"/>
      <c r="BF531" s="77"/>
      <c r="BG531" s="77"/>
      <c r="BH531" s="77"/>
      <c r="BI531" s="77"/>
    </row>
    <row r="532" spans="1:61" x14ac:dyDescent="0.25">
      <c r="A532" s="62" t="s">
        <v>455</v>
      </c>
      <c r="B532" s="62" t="s">
        <v>455</v>
      </c>
      <c r="C532" s="63"/>
      <c r="D532" s="64"/>
      <c r="E532" s="65"/>
      <c r="F532" s="66"/>
      <c r="G532" s="63"/>
      <c r="H532" s="67"/>
      <c r="I532" s="68"/>
      <c r="J532" s="68"/>
      <c r="K532" s="32"/>
      <c r="L532" s="75">
        <v>532</v>
      </c>
      <c r="M532" s="75"/>
      <c r="N532" s="70"/>
      <c r="O532" s="77" t="s">
        <v>179</v>
      </c>
      <c r="P532" s="79">
        <v>45158.46597222222</v>
      </c>
      <c r="Q532" s="77" t="s">
        <v>2547</v>
      </c>
      <c r="R532" s="77">
        <v>2</v>
      </c>
      <c r="S532" s="77">
        <v>4</v>
      </c>
      <c r="T532" s="77">
        <v>0</v>
      </c>
      <c r="U532" s="77">
        <v>0</v>
      </c>
      <c r="V532" s="77">
        <v>402</v>
      </c>
      <c r="W532" s="80" t="s">
        <v>6283</v>
      </c>
      <c r="X532" s="83" t="str">
        <f>HYPERLINK("https://www.seudinheiro.com/2023/bolsa-dolar/agenda-economica-brics-jackson-hole-inflacao-rens/")</f>
        <v>https://www.seudinheiro.com/2023/bolsa-dolar/agenda-economica-brics-jackson-hole-inflacao-rens/</v>
      </c>
      <c r="Y532" s="77" t="s">
        <v>8674</v>
      </c>
      <c r="Z532" s="77"/>
      <c r="AA532" s="77"/>
      <c r="AB532" s="77"/>
      <c r="AC532" s="80" t="s">
        <v>10558</v>
      </c>
      <c r="AD532" s="77" t="s">
        <v>10617</v>
      </c>
      <c r="AE532" s="83" t="str">
        <f>HYPERLINK("https://twitter.com/seu_dinheiro_br/status/1693219072706576485")</f>
        <v>https://twitter.com/seu_dinheiro_br/status/1693219072706576485</v>
      </c>
      <c r="AF532" s="79">
        <v>45158.46597222222</v>
      </c>
      <c r="AG532" s="85">
        <v>45158</v>
      </c>
      <c r="AH532" s="80" t="s">
        <v>11108</v>
      </c>
      <c r="AI532" s="77" t="b">
        <v>0</v>
      </c>
      <c r="AJ532" s="77"/>
      <c r="AK532" s="77"/>
      <c r="AL532" s="77"/>
      <c r="AM532" s="77"/>
      <c r="AN532" s="77"/>
      <c r="AO532" s="77"/>
      <c r="AP532" s="77"/>
      <c r="AQ532" s="77"/>
      <c r="AR532" s="77"/>
      <c r="AS532" s="77"/>
      <c r="AT532" s="77"/>
      <c r="AU532" s="77"/>
      <c r="AV532" s="83" t="str">
        <f>HYPERLINK("https://pbs.twimg.com/profile_images/1041725334431952896/uaPtkYSp_normal.jpg")</f>
        <v>https://pbs.twimg.com/profile_images/1041725334431952896/uaPtkYSp_normal.jpg</v>
      </c>
      <c r="AW532" s="80" t="s">
        <v>16496</v>
      </c>
      <c r="AX532" s="80" t="s">
        <v>16496</v>
      </c>
      <c r="AY532" s="77"/>
      <c r="AZ532" s="80" t="s">
        <v>20380</v>
      </c>
      <c r="BA532" s="80" t="s">
        <v>20380</v>
      </c>
      <c r="BB532" s="80" t="s">
        <v>20380</v>
      </c>
      <c r="BC532" s="80" t="s">
        <v>16496</v>
      </c>
      <c r="BD532" s="80" t="s">
        <v>20609</v>
      </c>
      <c r="BE532" s="77"/>
      <c r="BF532" s="77"/>
      <c r="BG532" s="77"/>
      <c r="BH532" s="77"/>
      <c r="BI532" s="77"/>
    </row>
    <row r="533" spans="1:61" x14ac:dyDescent="0.25">
      <c r="A533" s="62" t="s">
        <v>455</v>
      </c>
      <c r="B533" s="62" t="s">
        <v>455</v>
      </c>
      <c r="C533" s="63"/>
      <c r="D533" s="64"/>
      <c r="E533" s="65"/>
      <c r="F533" s="66"/>
      <c r="G533" s="63"/>
      <c r="H533" s="67"/>
      <c r="I533" s="68"/>
      <c r="J533" s="68"/>
      <c r="K533" s="32"/>
      <c r="L533" s="75">
        <v>533</v>
      </c>
      <c r="M533" s="75"/>
      <c r="N533" s="70"/>
      <c r="O533" s="77" t="s">
        <v>179</v>
      </c>
      <c r="P533" s="79">
        <v>45156.902233796296</v>
      </c>
      <c r="Q533" s="77" t="s">
        <v>2548</v>
      </c>
      <c r="R533" s="77">
        <v>1</v>
      </c>
      <c r="S533" s="77">
        <v>1</v>
      </c>
      <c r="T533" s="77">
        <v>0</v>
      </c>
      <c r="U533" s="77">
        <v>0</v>
      </c>
      <c r="V533" s="77">
        <v>254</v>
      </c>
      <c r="W533" s="80" t="s">
        <v>6284</v>
      </c>
      <c r="X533" s="83" t="str">
        <f>HYPERLINK("https://www.seudinheiro.com/2023/politica/reforma-tributaria-taxacao-fundos-ir-rens/")</f>
        <v>https://www.seudinheiro.com/2023/politica/reforma-tributaria-taxacao-fundos-ir-rens/</v>
      </c>
      <c r="Y533" s="77" t="s">
        <v>8674</v>
      </c>
      <c r="Z533" s="77"/>
      <c r="AA533" s="77"/>
      <c r="AB533" s="77"/>
      <c r="AC533" s="80" t="s">
        <v>10558</v>
      </c>
      <c r="AD533" s="77" t="s">
        <v>10617</v>
      </c>
      <c r="AE533" s="83" t="str">
        <f>HYPERLINK("https://twitter.com/seu_dinheiro_br/status/1692652394855678398")</f>
        <v>https://twitter.com/seu_dinheiro_br/status/1692652394855678398</v>
      </c>
      <c r="AF533" s="79">
        <v>45156.902233796296</v>
      </c>
      <c r="AG533" s="85">
        <v>45156</v>
      </c>
      <c r="AH533" s="80" t="s">
        <v>11109</v>
      </c>
      <c r="AI533" s="77" t="b">
        <v>0</v>
      </c>
      <c r="AJ533" s="77"/>
      <c r="AK533" s="77"/>
      <c r="AL533" s="77"/>
      <c r="AM533" s="77"/>
      <c r="AN533" s="77"/>
      <c r="AO533" s="77"/>
      <c r="AP533" s="77"/>
      <c r="AQ533" s="77"/>
      <c r="AR533" s="77"/>
      <c r="AS533" s="77"/>
      <c r="AT533" s="77"/>
      <c r="AU533" s="77"/>
      <c r="AV533" s="83" t="str">
        <f>HYPERLINK("https://pbs.twimg.com/profile_images/1041725334431952896/uaPtkYSp_normal.jpg")</f>
        <v>https://pbs.twimg.com/profile_images/1041725334431952896/uaPtkYSp_normal.jpg</v>
      </c>
      <c r="AW533" s="80" t="s">
        <v>16497</v>
      </c>
      <c r="AX533" s="80" t="s">
        <v>16497</v>
      </c>
      <c r="AY533" s="77"/>
      <c r="AZ533" s="80" t="s">
        <v>20380</v>
      </c>
      <c r="BA533" s="80" t="s">
        <v>20380</v>
      </c>
      <c r="BB533" s="80" t="s">
        <v>20380</v>
      </c>
      <c r="BC533" s="80" t="s">
        <v>16497</v>
      </c>
      <c r="BD533" s="80" t="s">
        <v>20609</v>
      </c>
      <c r="BE533" s="77"/>
      <c r="BF533" s="77"/>
      <c r="BG533" s="77"/>
      <c r="BH533" s="77"/>
      <c r="BI533" s="77"/>
    </row>
    <row r="534" spans="1:61" x14ac:dyDescent="0.25">
      <c r="A534" s="62" t="s">
        <v>455</v>
      </c>
      <c r="B534" s="62" t="s">
        <v>455</v>
      </c>
      <c r="C534" s="63"/>
      <c r="D534" s="64"/>
      <c r="E534" s="65"/>
      <c r="F534" s="66"/>
      <c r="G534" s="63"/>
      <c r="H534" s="67"/>
      <c r="I534" s="68"/>
      <c r="J534" s="68"/>
      <c r="K534" s="32"/>
      <c r="L534" s="75">
        <v>534</v>
      </c>
      <c r="M534" s="75"/>
      <c r="N534" s="70"/>
      <c r="O534" s="77" t="s">
        <v>179</v>
      </c>
      <c r="P534" s="79">
        <v>45104.523263888892</v>
      </c>
      <c r="Q534" s="77" t="s">
        <v>2549</v>
      </c>
      <c r="R534" s="77">
        <v>0</v>
      </c>
      <c r="S534" s="77">
        <v>3</v>
      </c>
      <c r="T534" s="77">
        <v>0</v>
      </c>
      <c r="U534" s="77">
        <v>0</v>
      </c>
      <c r="V534" s="77">
        <v>265</v>
      </c>
      <c r="W534" s="80" t="s">
        <v>6285</v>
      </c>
      <c r="X534" s="83" t="str">
        <f>HYPERLINK("https://www.seudinheiro.com/2023/economia/selic-ata-do-copom-jun23-vinp/")</f>
        <v>https://www.seudinheiro.com/2023/economia/selic-ata-do-copom-jun23-vinp/</v>
      </c>
      <c r="Y534" s="77" t="s">
        <v>8674</v>
      </c>
      <c r="Z534" s="77"/>
      <c r="AA534" s="77"/>
      <c r="AB534" s="77"/>
      <c r="AC534" s="80" t="s">
        <v>10558</v>
      </c>
      <c r="AD534" s="77" t="s">
        <v>10617</v>
      </c>
      <c r="AE534" s="83" t="str">
        <f>HYPERLINK("https://twitter.com/seu_dinheiro_br/status/1673670891509514240")</f>
        <v>https://twitter.com/seu_dinheiro_br/status/1673670891509514240</v>
      </c>
      <c r="AF534" s="79">
        <v>45104.523263888892</v>
      </c>
      <c r="AG534" s="85">
        <v>45104</v>
      </c>
      <c r="AH534" s="80" t="s">
        <v>11110</v>
      </c>
      <c r="AI534" s="77" t="b">
        <v>0</v>
      </c>
      <c r="AJ534" s="77"/>
      <c r="AK534" s="77"/>
      <c r="AL534" s="77"/>
      <c r="AM534" s="77"/>
      <c r="AN534" s="77"/>
      <c r="AO534" s="77"/>
      <c r="AP534" s="77"/>
      <c r="AQ534" s="77"/>
      <c r="AR534" s="77"/>
      <c r="AS534" s="77"/>
      <c r="AT534" s="77"/>
      <c r="AU534" s="77"/>
      <c r="AV534" s="83" t="str">
        <f>HYPERLINK("https://pbs.twimg.com/profile_images/1041725334431952896/uaPtkYSp_normal.jpg")</f>
        <v>https://pbs.twimg.com/profile_images/1041725334431952896/uaPtkYSp_normal.jpg</v>
      </c>
      <c r="AW534" s="80" t="s">
        <v>16498</v>
      </c>
      <c r="AX534" s="80" t="s">
        <v>16498</v>
      </c>
      <c r="AY534" s="77"/>
      <c r="AZ534" s="80" t="s">
        <v>20380</v>
      </c>
      <c r="BA534" s="80" t="s">
        <v>20380</v>
      </c>
      <c r="BB534" s="80" t="s">
        <v>20380</v>
      </c>
      <c r="BC534" s="80" t="s">
        <v>16498</v>
      </c>
      <c r="BD534" s="80" t="s">
        <v>20609</v>
      </c>
      <c r="BE534" s="77"/>
      <c r="BF534" s="77"/>
      <c r="BG534" s="77"/>
      <c r="BH534" s="77"/>
      <c r="BI534" s="77"/>
    </row>
    <row r="535" spans="1:61" x14ac:dyDescent="0.25">
      <c r="A535" s="62" t="s">
        <v>455</v>
      </c>
      <c r="B535" s="62" t="s">
        <v>455</v>
      </c>
      <c r="C535" s="63"/>
      <c r="D535" s="64"/>
      <c r="E535" s="65"/>
      <c r="F535" s="66"/>
      <c r="G535" s="63"/>
      <c r="H535" s="67"/>
      <c r="I535" s="68"/>
      <c r="J535" s="68"/>
      <c r="K535" s="32"/>
      <c r="L535" s="75">
        <v>535</v>
      </c>
      <c r="M535" s="75"/>
      <c r="N535" s="70"/>
      <c r="O535" s="77" t="s">
        <v>179</v>
      </c>
      <c r="P535" s="79">
        <v>45104.397141203706</v>
      </c>
      <c r="Q535" s="77" t="s">
        <v>2550</v>
      </c>
      <c r="R535" s="77">
        <v>0</v>
      </c>
      <c r="S535" s="77">
        <v>3</v>
      </c>
      <c r="T535" s="77">
        <v>0</v>
      </c>
      <c r="U535" s="77">
        <v>0</v>
      </c>
      <c r="V535" s="77">
        <v>342</v>
      </c>
      <c r="W535" s="80" t="s">
        <v>6285</v>
      </c>
      <c r="X535" s="83" t="str">
        <f>HYPERLINK("https://www.seudinheiro.com/2023/colunistas/banco-central-copom-ata-cmn-bc-ipca-inflacao-juro-analise-rsgp/")</f>
        <v>https://www.seudinheiro.com/2023/colunistas/banco-central-copom-ata-cmn-bc-ipca-inflacao-juro-analise-rsgp/</v>
      </c>
      <c r="Y535" s="77" t="s">
        <v>8674</v>
      </c>
      <c r="Z535" s="77"/>
      <c r="AA535" s="77"/>
      <c r="AB535" s="77"/>
      <c r="AC535" s="80" t="s">
        <v>10558</v>
      </c>
      <c r="AD535" s="77" t="s">
        <v>10617</v>
      </c>
      <c r="AE535" s="83" t="str">
        <f>HYPERLINK("https://twitter.com/seu_dinheiro_br/status/1673625184912244737")</f>
        <v>https://twitter.com/seu_dinheiro_br/status/1673625184912244737</v>
      </c>
      <c r="AF535" s="79">
        <v>45104.397141203706</v>
      </c>
      <c r="AG535" s="85">
        <v>45104</v>
      </c>
      <c r="AH535" s="80" t="s">
        <v>11111</v>
      </c>
      <c r="AI535" s="77" t="b">
        <v>0</v>
      </c>
      <c r="AJ535" s="77"/>
      <c r="AK535" s="77"/>
      <c r="AL535" s="77"/>
      <c r="AM535" s="77"/>
      <c r="AN535" s="77"/>
      <c r="AO535" s="77"/>
      <c r="AP535" s="77"/>
      <c r="AQ535" s="77"/>
      <c r="AR535" s="77"/>
      <c r="AS535" s="77"/>
      <c r="AT535" s="77"/>
      <c r="AU535" s="77"/>
      <c r="AV535" s="83" t="str">
        <f>HYPERLINK("https://pbs.twimg.com/profile_images/1041725334431952896/uaPtkYSp_normal.jpg")</f>
        <v>https://pbs.twimg.com/profile_images/1041725334431952896/uaPtkYSp_normal.jpg</v>
      </c>
      <c r="AW535" s="80" t="s">
        <v>16499</v>
      </c>
      <c r="AX535" s="80" t="s">
        <v>16499</v>
      </c>
      <c r="AY535" s="77"/>
      <c r="AZ535" s="80" t="s">
        <v>20380</v>
      </c>
      <c r="BA535" s="80" t="s">
        <v>20380</v>
      </c>
      <c r="BB535" s="80" t="s">
        <v>20380</v>
      </c>
      <c r="BC535" s="80" t="s">
        <v>16499</v>
      </c>
      <c r="BD535" s="80" t="s">
        <v>20609</v>
      </c>
      <c r="BE535" s="77"/>
      <c r="BF535" s="77"/>
      <c r="BG535" s="77"/>
      <c r="BH535" s="77"/>
      <c r="BI535" s="77"/>
    </row>
    <row r="536" spans="1:61" x14ac:dyDescent="0.25">
      <c r="A536" s="62" t="s">
        <v>455</v>
      </c>
      <c r="B536" s="62" t="s">
        <v>455</v>
      </c>
      <c r="C536" s="63"/>
      <c r="D536" s="64"/>
      <c r="E536" s="65"/>
      <c r="F536" s="66"/>
      <c r="G536" s="63"/>
      <c r="H536" s="67"/>
      <c r="I536" s="68"/>
      <c r="J536" s="68"/>
      <c r="K536" s="32"/>
      <c r="L536" s="75">
        <v>536</v>
      </c>
      <c r="M536" s="75"/>
      <c r="N536" s="70"/>
      <c r="O536" s="77" t="s">
        <v>179</v>
      </c>
      <c r="P536" s="79">
        <v>45103.9528125</v>
      </c>
      <c r="Q536" s="77" t="s">
        <v>2551</v>
      </c>
      <c r="R536" s="77">
        <v>0</v>
      </c>
      <c r="S536" s="77">
        <v>0</v>
      </c>
      <c r="T536" s="77">
        <v>0</v>
      </c>
      <c r="U536" s="77">
        <v>0</v>
      </c>
      <c r="V536" s="77">
        <v>268</v>
      </c>
      <c r="W536" s="80" t="s">
        <v>6286</v>
      </c>
      <c r="X536" s="83" t="str">
        <f>HYPERLINK("https://www.seudinheiro.com/2023/colunistas/felipe-miranda-lula-e-campos-neto-um-caso-de-amor-ccgg/")</f>
        <v>https://www.seudinheiro.com/2023/colunistas/felipe-miranda-lula-e-campos-neto-um-caso-de-amor-ccgg/</v>
      </c>
      <c r="Y536" s="77" t="s">
        <v>8674</v>
      </c>
      <c r="Z536" s="77"/>
      <c r="AA536" s="77"/>
      <c r="AB536" s="77"/>
      <c r="AC536" s="80" t="s">
        <v>10558</v>
      </c>
      <c r="AD536" s="77" t="s">
        <v>10617</v>
      </c>
      <c r="AE536" s="83" t="str">
        <f>HYPERLINK("https://twitter.com/seu_dinheiro_br/status/1673464167045423104")</f>
        <v>https://twitter.com/seu_dinheiro_br/status/1673464167045423104</v>
      </c>
      <c r="AF536" s="79">
        <v>45103.9528125</v>
      </c>
      <c r="AG536" s="85">
        <v>45103</v>
      </c>
      <c r="AH536" s="80" t="s">
        <v>11112</v>
      </c>
      <c r="AI536" s="77" t="b">
        <v>0</v>
      </c>
      <c r="AJ536" s="77"/>
      <c r="AK536" s="77"/>
      <c r="AL536" s="77"/>
      <c r="AM536" s="77"/>
      <c r="AN536" s="77"/>
      <c r="AO536" s="77"/>
      <c r="AP536" s="77"/>
      <c r="AQ536" s="77"/>
      <c r="AR536" s="77"/>
      <c r="AS536" s="77"/>
      <c r="AT536" s="77"/>
      <c r="AU536" s="77"/>
      <c r="AV536" s="83" t="str">
        <f>HYPERLINK("https://pbs.twimg.com/profile_images/1041725334431952896/uaPtkYSp_normal.jpg")</f>
        <v>https://pbs.twimg.com/profile_images/1041725334431952896/uaPtkYSp_normal.jpg</v>
      </c>
      <c r="AW536" s="80" t="s">
        <v>16500</v>
      </c>
      <c r="AX536" s="80" t="s">
        <v>16500</v>
      </c>
      <c r="AY536" s="77"/>
      <c r="AZ536" s="80" t="s">
        <v>20380</v>
      </c>
      <c r="BA536" s="80" t="s">
        <v>20380</v>
      </c>
      <c r="BB536" s="80" t="s">
        <v>20380</v>
      </c>
      <c r="BC536" s="80" t="s">
        <v>16500</v>
      </c>
      <c r="BD536" s="80" t="s">
        <v>20609</v>
      </c>
      <c r="BE536" s="77"/>
      <c r="BF536" s="77"/>
      <c r="BG536" s="77"/>
      <c r="BH536" s="77"/>
      <c r="BI536" s="77"/>
    </row>
    <row r="537" spans="1:61" x14ac:dyDescent="0.25">
      <c r="A537" s="62" t="s">
        <v>455</v>
      </c>
      <c r="B537" s="62" t="s">
        <v>455</v>
      </c>
      <c r="C537" s="63"/>
      <c r="D537" s="64"/>
      <c r="E537" s="65"/>
      <c r="F537" s="66"/>
      <c r="G537" s="63"/>
      <c r="H537" s="67"/>
      <c r="I537" s="68"/>
      <c r="J537" s="68"/>
      <c r="K537" s="32"/>
      <c r="L537" s="75">
        <v>537</v>
      </c>
      <c r="M537" s="75"/>
      <c r="N537" s="70"/>
      <c r="O537" s="77" t="s">
        <v>179</v>
      </c>
      <c r="P537" s="79">
        <v>45090.736898148149</v>
      </c>
      <c r="Q537" s="77" t="s">
        <v>2552</v>
      </c>
      <c r="R537" s="77">
        <v>1</v>
      </c>
      <c r="S537" s="77">
        <v>3</v>
      </c>
      <c r="T537" s="77">
        <v>0</v>
      </c>
      <c r="U537" s="77">
        <v>0</v>
      </c>
      <c r="V537" s="77">
        <v>274</v>
      </c>
      <c r="W537" s="80" t="s">
        <v>6278</v>
      </c>
      <c r="X537" s="83" t="str">
        <f>HYPERLINK("https://www.seudinheiro.com/2023/economia/campos-neto-corte-de-juros-selic-copom-so-em-setembro-itau-bba-miql/")</f>
        <v>https://www.seudinheiro.com/2023/economia/campos-neto-corte-de-juros-selic-copom-so-em-setembro-itau-bba-miql/</v>
      </c>
      <c r="Y537" s="77" t="s">
        <v>8674</v>
      </c>
      <c r="Z537" s="77"/>
      <c r="AA537" s="77"/>
      <c r="AB537" s="77"/>
      <c r="AC537" s="80" t="s">
        <v>10558</v>
      </c>
      <c r="AD537" s="77" t="s">
        <v>10617</v>
      </c>
      <c r="AE537" s="83" t="str">
        <f>HYPERLINK("https://twitter.com/seu_dinheiro_br/status/1668674877824311309")</f>
        <v>https://twitter.com/seu_dinheiro_br/status/1668674877824311309</v>
      </c>
      <c r="AF537" s="79">
        <v>45090.736898148149</v>
      </c>
      <c r="AG537" s="85">
        <v>45090</v>
      </c>
      <c r="AH537" s="80" t="s">
        <v>11113</v>
      </c>
      <c r="AI537" s="77" t="b">
        <v>0</v>
      </c>
      <c r="AJ537" s="77"/>
      <c r="AK537" s="77"/>
      <c r="AL537" s="77"/>
      <c r="AM537" s="77"/>
      <c r="AN537" s="77"/>
      <c r="AO537" s="77"/>
      <c r="AP537" s="77"/>
      <c r="AQ537" s="77"/>
      <c r="AR537" s="77"/>
      <c r="AS537" s="77"/>
      <c r="AT537" s="77"/>
      <c r="AU537" s="77"/>
      <c r="AV537" s="83" t="str">
        <f>HYPERLINK("https://pbs.twimg.com/profile_images/1041725334431952896/uaPtkYSp_normal.jpg")</f>
        <v>https://pbs.twimg.com/profile_images/1041725334431952896/uaPtkYSp_normal.jpg</v>
      </c>
      <c r="AW537" s="80" t="s">
        <v>16501</v>
      </c>
      <c r="AX537" s="80" t="s">
        <v>16501</v>
      </c>
      <c r="AY537" s="77"/>
      <c r="AZ537" s="80" t="s">
        <v>20380</v>
      </c>
      <c r="BA537" s="80" t="s">
        <v>20380</v>
      </c>
      <c r="BB537" s="80" t="s">
        <v>20380</v>
      </c>
      <c r="BC537" s="80" t="s">
        <v>16501</v>
      </c>
      <c r="BD537" s="80" t="s">
        <v>20609</v>
      </c>
      <c r="BE537" s="77"/>
      <c r="BF537" s="77"/>
      <c r="BG537" s="77"/>
      <c r="BH537" s="77"/>
      <c r="BI537" s="77"/>
    </row>
    <row r="538" spans="1:61" x14ac:dyDescent="0.25">
      <c r="A538" s="62" t="s">
        <v>455</v>
      </c>
      <c r="B538" s="62" t="s">
        <v>455</v>
      </c>
      <c r="C538" s="63"/>
      <c r="D538" s="64"/>
      <c r="E538" s="65"/>
      <c r="F538" s="66"/>
      <c r="G538" s="63"/>
      <c r="H538" s="67"/>
      <c r="I538" s="68"/>
      <c r="J538" s="68"/>
      <c r="K538" s="32"/>
      <c r="L538" s="75">
        <v>538</v>
      </c>
      <c r="M538" s="75"/>
      <c r="N538" s="70"/>
      <c r="O538" s="77" t="s">
        <v>179</v>
      </c>
      <c r="P538" s="79">
        <v>45089.967326388891</v>
      </c>
      <c r="Q538" s="77" t="s">
        <v>2553</v>
      </c>
      <c r="R538" s="77">
        <v>0</v>
      </c>
      <c r="S538" s="77">
        <v>3</v>
      </c>
      <c r="T538" s="77">
        <v>0</v>
      </c>
      <c r="U538" s="77">
        <v>1</v>
      </c>
      <c r="V538" s="77">
        <v>308</v>
      </c>
      <c r="W538" s="80" t="s">
        <v>6276</v>
      </c>
      <c r="X538" s="83" t="str">
        <f>HYPERLINK("https://www.seudinheiro.com/2023/economia/credito-mais-barato-campos-neto-explica-a-queda-do-custo-dos-emprestimos-e-fala-se-a-taxa-de-juros-vai-baixar-ccgg/")</f>
        <v>https://www.seudinheiro.com/2023/economia/credito-mais-barato-campos-neto-explica-a-queda-do-custo-dos-emprestimos-e-fala-se-a-taxa-de-juros-vai-baixar-ccgg/</v>
      </c>
      <c r="Y538" s="77" t="s">
        <v>8674</v>
      </c>
      <c r="Z538" s="77"/>
      <c r="AA538" s="77"/>
      <c r="AB538" s="77"/>
      <c r="AC538" s="80" t="s">
        <v>10558</v>
      </c>
      <c r="AD538" s="77" t="s">
        <v>10617</v>
      </c>
      <c r="AE538" s="83" t="str">
        <f>HYPERLINK("https://twitter.com/seu_dinheiro_br/status/1668395998144503808")</f>
        <v>https://twitter.com/seu_dinheiro_br/status/1668395998144503808</v>
      </c>
      <c r="AF538" s="79">
        <v>45089.967326388891</v>
      </c>
      <c r="AG538" s="85">
        <v>45089</v>
      </c>
      <c r="AH538" s="80" t="s">
        <v>11114</v>
      </c>
      <c r="AI538" s="77" t="b">
        <v>0</v>
      </c>
      <c r="AJ538" s="77"/>
      <c r="AK538" s="77"/>
      <c r="AL538" s="77"/>
      <c r="AM538" s="77"/>
      <c r="AN538" s="77"/>
      <c r="AO538" s="77"/>
      <c r="AP538" s="77"/>
      <c r="AQ538" s="77"/>
      <c r="AR538" s="77"/>
      <c r="AS538" s="77"/>
      <c r="AT538" s="77"/>
      <c r="AU538" s="77"/>
      <c r="AV538" s="83" t="str">
        <f>HYPERLINK("https://pbs.twimg.com/profile_images/1041725334431952896/uaPtkYSp_normal.jpg")</f>
        <v>https://pbs.twimg.com/profile_images/1041725334431952896/uaPtkYSp_normal.jpg</v>
      </c>
      <c r="AW538" s="80" t="s">
        <v>16502</v>
      </c>
      <c r="AX538" s="80" t="s">
        <v>16502</v>
      </c>
      <c r="AY538" s="77"/>
      <c r="AZ538" s="80" t="s">
        <v>20380</v>
      </c>
      <c r="BA538" s="80" t="s">
        <v>20380</v>
      </c>
      <c r="BB538" s="80" t="s">
        <v>20380</v>
      </c>
      <c r="BC538" s="80" t="s">
        <v>16502</v>
      </c>
      <c r="BD538" s="80" t="s">
        <v>20609</v>
      </c>
      <c r="BE538" s="77"/>
      <c r="BF538" s="77"/>
      <c r="BG538" s="77"/>
      <c r="BH538" s="77"/>
      <c r="BI538" s="77"/>
    </row>
    <row r="539" spans="1:61" x14ac:dyDescent="0.25">
      <c r="A539" s="62" t="s">
        <v>455</v>
      </c>
      <c r="B539" s="62" t="s">
        <v>455</v>
      </c>
      <c r="C539" s="63"/>
      <c r="D539" s="64"/>
      <c r="E539" s="65"/>
      <c r="F539" s="66"/>
      <c r="G539" s="63"/>
      <c r="H539" s="67"/>
      <c r="I539" s="68"/>
      <c r="J539" s="68"/>
      <c r="K539" s="32"/>
      <c r="L539" s="75">
        <v>539</v>
      </c>
      <c r="M539" s="75"/>
      <c r="N539" s="70"/>
      <c r="O539" s="77" t="s">
        <v>179</v>
      </c>
      <c r="P539" s="79">
        <v>45089.948194444441</v>
      </c>
      <c r="Q539" s="77" t="s">
        <v>2554</v>
      </c>
      <c r="R539" s="77">
        <v>2</v>
      </c>
      <c r="S539" s="77">
        <v>6</v>
      </c>
      <c r="T539" s="77">
        <v>0</v>
      </c>
      <c r="U539" s="77">
        <v>0</v>
      </c>
      <c r="V539" s="77">
        <v>481</v>
      </c>
      <c r="W539" s="80" t="s">
        <v>6287</v>
      </c>
      <c r="X539" s="83" t="str">
        <f>HYPERLINK("https://www.seudinheiro.com/2023/empresas/banco-central-da-a-bencao-e-controle-societario-do-banco-modal-passa-para-a-xp-entenda-o-que-isso-significa-ccgg/")</f>
        <v>https://www.seudinheiro.com/2023/empresas/banco-central-da-a-bencao-e-controle-societario-do-banco-modal-passa-para-a-xp-entenda-o-que-isso-significa-ccgg/</v>
      </c>
      <c r="Y539" s="77" t="s">
        <v>8674</v>
      </c>
      <c r="Z539" s="77"/>
      <c r="AA539" s="77"/>
      <c r="AB539" s="77"/>
      <c r="AC539" s="80" t="s">
        <v>10558</v>
      </c>
      <c r="AD539" s="77" t="s">
        <v>10617</v>
      </c>
      <c r="AE539" s="83" t="str">
        <f>HYPERLINK("https://twitter.com/seu_dinheiro_br/status/1668389062468567041")</f>
        <v>https://twitter.com/seu_dinheiro_br/status/1668389062468567041</v>
      </c>
      <c r="AF539" s="79">
        <v>45089.948194444441</v>
      </c>
      <c r="AG539" s="85">
        <v>45089</v>
      </c>
      <c r="AH539" s="80" t="s">
        <v>11115</v>
      </c>
      <c r="AI539" s="77" t="b">
        <v>0</v>
      </c>
      <c r="AJ539" s="77"/>
      <c r="AK539" s="77"/>
      <c r="AL539" s="77"/>
      <c r="AM539" s="77"/>
      <c r="AN539" s="77"/>
      <c r="AO539" s="77"/>
      <c r="AP539" s="77"/>
      <c r="AQ539" s="77"/>
      <c r="AR539" s="77"/>
      <c r="AS539" s="77"/>
      <c r="AT539" s="77"/>
      <c r="AU539" s="77"/>
      <c r="AV539" s="83" t="str">
        <f>HYPERLINK("https://pbs.twimg.com/profile_images/1041725334431952896/uaPtkYSp_normal.jpg")</f>
        <v>https://pbs.twimg.com/profile_images/1041725334431952896/uaPtkYSp_normal.jpg</v>
      </c>
      <c r="AW539" s="80" t="s">
        <v>16503</v>
      </c>
      <c r="AX539" s="80" t="s">
        <v>16503</v>
      </c>
      <c r="AY539" s="77"/>
      <c r="AZ539" s="80" t="s">
        <v>20380</v>
      </c>
      <c r="BA539" s="80" t="s">
        <v>20380</v>
      </c>
      <c r="BB539" s="80" t="s">
        <v>20380</v>
      </c>
      <c r="BC539" s="80" t="s">
        <v>16503</v>
      </c>
      <c r="BD539" s="80" t="s">
        <v>20609</v>
      </c>
      <c r="BE539" s="77"/>
      <c r="BF539" s="77"/>
      <c r="BG539" s="77"/>
      <c r="BH539" s="77"/>
      <c r="BI539" s="77"/>
    </row>
    <row r="540" spans="1:61" x14ac:dyDescent="0.25">
      <c r="A540" s="62" t="s">
        <v>455</v>
      </c>
      <c r="B540" s="62" t="s">
        <v>455</v>
      </c>
      <c r="C540" s="63"/>
      <c r="D540" s="64"/>
      <c r="E540" s="65"/>
      <c r="F540" s="66"/>
      <c r="G540" s="63"/>
      <c r="H540" s="67"/>
      <c r="I540" s="68"/>
      <c r="J540" s="68"/>
      <c r="K540" s="32"/>
      <c r="L540" s="75">
        <v>540</v>
      </c>
      <c r="M540" s="75"/>
      <c r="N540" s="70"/>
      <c r="O540" s="77" t="s">
        <v>179</v>
      </c>
      <c r="P540" s="79">
        <v>45155.844305555554</v>
      </c>
      <c r="Q540" s="77" t="s">
        <v>2555</v>
      </c>
      <c r="R540" s="77">
        <v>0</v>
      </c>
      <c r="S540" s="77">
        <v>1</v>
      </c>
      <c r="T540" s="77">
        <v>0</v>
      </c>
      <c r="U540" s="77">
        <v>0</v>
      </c>
      <c r="V540" s="77">
        <v>228</v>
      </c>
      <c r="W540" s="80" t="s">
        <v>6288</v>
      </c>
      <c r="X540" s="83" t="str">
        <f>HYPERLINK("https://www.seudinheiro.com/2023/internacional/dolar-argentina-fmi-dispara-maximas-rens/")</f>
        <v>https://www.seudinheiro.com/2023/internacional/dolar-argentina-fmi-dispara-maximas-rens/</v>
      </c>
      <c r="Y540" s="77" t="s">
        <v>8674</v>
      </c>
      <c r="Z540" s="77"/>
      <c r="AA540" s="77"/>
      <c r="AB540" s="77"/>
      <c r="AC540" s="80" t="s">
        <v>10558</v>
      </c>
      <c r="AD540" s="77" t="s">
        <v>10617</v>
      </c>
      <c r="AE540" s="83" t="str">
        <f>HYPERLINK("https://twitter.com/seu_dinheiro_br/status/1692269012216914183")</f>
        <v>https://twitter.com/seu_dinheiro_br/status/1692269012216914183</v>
      </c>
      <c r="AF540" s="79">
        <v>45155.844305555554</v>
      </c>
      <c r="AG540" s="85">
        <v>45155</v>
      </c>
      <c r="AH540" s="80" t="s">
        <v>11116</v>
      </c>
      <c r="AI540" s="77" t="b">
        <v>0</v>
      </c>
      <c r="AJ540" s="77"/>
      <c r="AK540" s="77"/>
      <c r="AL540" s="77"/>
      <c r="AM540" s="77"/>
      <c r="AN540" s="77"/>
      <c r="AO540" s="77"/>
      <c r="AP540" s="77"/>
      <c r="AQ540" s="77"/>
      <c r="AR540" s="77"/>
      <c r="AS540" s="77"/>
      <c r="AT540" s="77"/>
      <c r="AU540" s="77"/>
      <c r="AV540" s="83" t="str">
        <f>HYPERLINK("https://pbs.twimg.com/profile_images/1041725334431952896/uaPtkYSp_normal.jpg")</f>
        <v>https://pbs.twimg.com/profile_images/1041725334431952896/uaPtkYSp_normal.jpg</v>
      </c>
      <c r="AW540" s="80" t="s">
        <v>16504</v>
      </c>
      <c r="AX540" s="80" t="s">
        <v>16504</v>
      </c>
      <c r="AY540" s="77"/>
      <c r="AZ540" s="80" t="s">
        <v>20380</v>
      </c>
      <c r="BA540" s="80" t="s">
        <v>20380</v>
      </c>
      <c r="BB540" s="80" t="s">
        <v>20380</v>
      </c>
      <c r="BC540" s="80" t="s">
        <v>16504</v>
      </c>
      <c r="BD540" s="80" t="s">
        <v>20609</v>
      </c>
      <c r="BE540" s="77"/>
      <c r="BF540" s="77"/>
      <c r="BG540" s="77"/>
      <c r="BH540" s="77"/>
      <c r="BI540" s="77"/>
    </row>
    <row r="541" spans="1:61" x14ac:dyDescent="0.25">
      <c r="A541" s="62" t="s">
        <v>455</v>
      </c>
      <c r="B541" s="62" t="s">
        <v>455</v>
      </c>
      <c r="C541" s="63"/>
      <c r="D541" s="64"/>
      <c r="E541" s="65"/>
      <c r="F541" s="66"/>
      <c r="G541" s="63"/>
      <c r="H541" s="67"/>
      <c r="I541" s="68"/>
      <c r="J541" s="68"/>
      <c r="K541" s="32"/>
      <c r="L541" s="75">
        <v>541</v>
      </c>
      <c r="M541" s="75"/>
      <c r="N541" s="70"/>
      <c r="O541" s="77" t="s">
        <v>179</v>
      </c>
      <c r="P541" s="79">
        <v>45155.802118055559</v>
      </c>
      <c r="Q541" s="77" t="s">
        <v>2556</v>
      </c>
      <c r="R541" s="77">
        <v>1</v>
      </c>
      <c r="S541" s="77">
        <v>0</v>
      </c>
      <c r="T541" s="77">
        <v>0</v>
      </c>
      <c r="U541" s="77">
        <v>0</v>
      </c>
      <c r="V541" s="77">
        <v>222</v>
      </c>
      <c r="W541" s="80" t="s">
        <v>6289</v>
      </c>
      <c r="X541" s="83" t="str">
        <f>HYPERLINK("https://www.seudinheiro.com/2023/economia/cortes-da-selic-campos-neto-explica-porque-reduzir-os-juros-e-mais-dificil-miql-rens/")</f>
        <v>https://www.seudinheiro.com/2023/economia/cortes-da-selic-campos-neto-explica-porque-reduzir-os-juros-e-mais-dificil-miql-rens/</v>
      </c>
      <c r="Y541" s="77" t="s">
        <v>8674</v>
      </c>
      <c r="Z541" s="77"/>
      <c r="AA541" s="77"/>
      <c r="AB541" s="77"/>
      <c r="AC541" s="80" t="s">
        <v>10558</v>
      </c>
      <c r="AD541" s="77" t="s">
        <v>10617</v>
      </c>
      <c r="AE541" s="83" t="str">
        <f>HYPERLINK("https://twitter.com/seu_dinheiro_br/status/1692253725207769163")</f>
        <v>https://twitter.com/seu_dinheiro_br/status/1692253725207769163</v>
      </c>
      <c r="AF541" s="79">
        <v>45155.802118055559</v>
      </c>
      <c r="AG541" s="85">
        <v>45155</v>
      </c>
      <c r="AH541" s="80" t="s">
        <v>11117</v>
      </c>
      <c r="AI541" s="77" t="b">
        <v>0</v>
      </c>
      <c r="AJ541" s="77"/>
      <c r="AK541" s="77"/>
      <c r="AL541" s="77"/>
      <c r="AM541" s="77"/>
      <c r="AN541" s="77"/>
      <c r="AO541" s="77"/>
      <c r="AP541" s="77"/>
      <c r="AQ541" s="77"/>
      <c r="AR541" s="77"/>
      <c r="AS541" s="77"/>
      <c r="AT541" s="77"/>
      <c r="AU541" s="77"/>
      <c r="AV541" s="83" t="str">
        <f>HYPERLINK("https://pbs.twimg.com/profile_images/1041725334431952896/uaPtkYSp_normal.jpg")</f>
        <v>https://pbs.twimg.com/profile_images/1041725334431952896/uaPtkYSp_normal.jpg</v>
      </c>
      <c r="AW541" s="80" t="s">
        <v>16505</v>
      </c>
      <c r="AX541" s="80" t="s">
        <v>16505</v>
      </c>
      <c r="AY541" s="77"/>
      <c r="AZ541" s="80" t="s">
        <v>20380</v>
      </c>
      <c r="BA541" s="80" t="s">
        <v>20380</v>
      </c>
      <c r="BB541" s="80" t="s">
        <v>20380</v>
      </c>
      <c r="BC541" s="80" t="s">
        <v>16505</v>
      </c>
      <c r="BD541" s="80" t="s">
        <v>20609</v>
      </c>
      <c r="BE541" s="77"/>
      <c r="BF541" s="77"/>
      <c r="BG541" s="77"/>
      <c r="BH541" s="77"/>
      <c r="BI541" s="77"/>
    </row>
    <row r="542" spans="1:61" x14ac:dyDescent="0.25">
      <c r="A542" s="62" t="s">
        <v>455</v>
      </c>
      <c r="B542" s="62" t="s">
        <v>455</v>
      </c>
      <c r="C542" s="63"/>
      <c r="D542" s="64"/>
      <c r="E542" s="65"/>
      <c r="F542" s="66"/>
      <c r="G542" s="63"/>
      <c r="H542" s="67"/>
      <c r="I542" s="68"/>
      <c r="J542" s="68"/>
      <c r="K542" s="32"/>
      <c r="L542" s="75">
        <v>542</v>
      </c>
      <c r="M542" s="75"/>
      <c r="N542" s="70"/>
      <c r="O542" s="77" t="s">
        <v>179</v>
      </c>
      <c r="P542" s="79">
        <v>45149.626134259262</v>
      </c>
      <c r="Q542" s="77" t="s">
        <v>2557</v>
      </c>
      <c r="R542" s="77">
        <v>0</v>
      </c>
      <c r="S542" s="77">
        <v>0</v>
      </c>
      <c r="T542" s="77">
        <v>0</v>
      </c>
      <c r="U542" s="77">
        <v>0</v>
      </c>
      <c r="V542" s="77">
        <v>192</v>
      </c>
      <c r="W542" s="80" t="s">
        <v>6290</v>
      </c>
      <c r="X542" s="83" t="str">
        <f>HYPERLINK("https://www.seudinheiro.com/2023/economia/ipca-inflacao-julho-servicos-subjacentes-rsgp/")</f>
        <v>https://www.seudinheiro.com/2023/economia/ipca-inflacao-julho-servicos-subjacentes-rsgp/</v>
      </c>
      <c r="Y542" s="77" t="s">
        <v>8674</v>
      </c>
      <c r="Z542" s="77"/>
      <c r="AA542" s="77"/>
      <c r="AB542" s="77"/>
      <c r="AC542" s="80" t="s">
        <v>10558</v>
      </c>
      <c r="AD542" s="77" t="s">
        <v>10617</v>
      </c>
      <c r="AE542" s="83" t="str">
        <f>HYPERLINK("https://twitter.com/seu_dinheiro_br/status/1690015624464838656")</f>
        <v>https://twitter.com/seu_dinheiro_br/status/1690015624464838656</v>
      </c>
      <c r="AF542" s="79">
        <v>45149.626134259262</v>
      </c>
      <c r="AG542" s="85">
        <v>45149</v>
      </c>
      <c r="AH542" s="80" t="s">
        <v>11118</v>
      </c>
      <c r="AI542" s="77" t="b">
        <v>0</v>
      </c>
      <c r="AJ542" s="77"/>
      <c r="AK542" s="77"/>
      <c r="AL542" s="77"/>
      <c r="AM542" s="77"/>
      <c r="AN542" s="77"/>
      <c r="AO542" s="77"/>
      <c r="AP542" s="77"/>
      <c r="AQ542" s="77"/>
      <c r="AR542" s="77"/>
      <c r="AS542" s="77"/>
      <c r="AT542" s="77"/>
      <c r="AU542" s="77"/>
      <c r="AV542" s="83" t="str">
        <f>HYPERLINK("https://pbs.twimg.com/profile_images/1041725334431952896/uaPtkYSp_normal.jpg")</f>
        <v>https://pbs.twimg.com/profile_images/1041725334431952896/uaPtkYSp_normal.jpg</v>
      </c>
      <c r="AW542" s="80" t="s">
        <v>16506</v>
      </c>
      <c r="AX542" s="80" t="s">
        <v>16506</v>
      </c>
      <c r="AY542" s="77"/>
      <c r="AZ542" s="80" t="s">
        <v>20380</v>
      </c>
      <c r="BA542" s="80" t="s">
        <v>20380</v>
      </c>
      <c r="BB542" s="80" t="s">
        <v>20380</v>
      </c>
      <c r="BC542" s="80" t="s">
        <v>16506</v>
      </c>
      <c r="BD542" s="80" t="s">
        <v>20609</v>
      </c>
      <c r="BE542" s="77"/>
      <c r="BF542" s="77"/>
      <c r="BG542" s="77"/>
      <c r="BH542" s="77"/>
      <c r="BI542" s="77"/>
    </row>
    <row r="543" spans="1:61" x14ac:dyDescent="0.25">
      <c r="A543" s="62" t="s">
        <v>455</v>
      </c>
      <c r="B543" s="62" t="s">
        <v>455</v>
      </c>
      <c r="C543" s="63"/>
      <c r="D543" s="64"/>
      <c r="E543" s="65"/>
      <c r="F543" s="66"/>
      <c r="G543" s="63"/>
      <c r="H543" s="67"/>
      <c r="I543" s="68"/>
      <c r="J543" s="68"/>
      <c r="K543" s="32"/>
      <c r="L543" s="75">
        <v>543</v>
      </c>
      <c r="M543" s="75"/>
      <c r="N543" s="70"/>
      <c r="O543" s="77" t="s">
        <v>179</v>
      </c>
      <c r="P543" s="79">
        <v>45149.554282407407</v>
      </c>
      <c r="Q543" s="77" t="s">
        <v>2558</v>
      </c>
      <c r="R543" s="77">
        <v>0</v>
      </c>
      <c r="S543" s="77">
        <v>1</v>
      </c>
      <c r="T543" s="77">
        <v>0</v>
      </c>
      <c r="U543" s="77">
        <v>0</v>
      </c>
      <c r="V543" s="77">
        <v>172</v>
      </c>
      <c r="W543" s="80" t="s">
        <v>6291</v>
      </c>
      <c r="X543" s="83" t="str">
        <f>HYPERLINK("https://www.seudinheiro.com/2023/economia/rotativo-juros-do-cartao-de-credito-bancos-campos-neto-miql/")</f>
        <v>https://www.seudinheiro.com/2023/economia/rotativo-juros-do-cartao-de-credito-bancos-campos-neto-miql/</v>
      </c>
      <c r="Y543" s="77" t="s">
        <v>8674</v>
      </c>
      <c r="Z543" s="77"/>
      <c r="AA543" s="77"/>
      <c r="AB543" s="77"/>
      <c r="AC543" s="80" t="s">
        <v>10558</v>
      </c>
      <c r="AD543" s="77" t="s">
        <v>10617</v>
      </c>
      <c r="AE543" s="83" t="str">
        <f>HYPERLINK("https://twitter.com/seu_dinheiro_br/status/1689989586380832768")</f>
        <v>https://twitter.com/seu_dinheiro_br/status/1689989586380832768</v>
      </c>
      <c r="AF543" s="79">
        <v>45149.554282407407</v>
      </c>
      <c r="AG543" s="85">
        <v>45149</v>
      </c>
      <c r="AH543" s="80" t="s">
        <v>11119</v>
      </c>
      <c r="AI543" s="77" t="b">
        <v>0</v>
      </c>
      <c r="AJ543" s="77"/>
      <c r="AK543" s="77"/>
      <c r="AL543" s="77"/>
      <c r="AM543" s="77"/>
      <c r="AN543" s="77"/>
      <c r="AO543" s="77"/>
      <c r="AP543" s="77"/>
      <c r="AQ543" s="77"/>
      <c r="AR543" s="77"/>
      <c r="AS543" s="77"/>
      <c r="AT543" s="77"/>
      <c r="AU543" s="77"/>
      <c r="AV543" s="83" t="str">
        <f>HYPERLINK("https://pbs.twimg.com/profile_images/1041725334431952896/uaPtkYSp_normal.jpg")</f>
        <v>https://pbs.twimg.com/profile_images/1041725334431952896/uaPtkYSp_normal.jpg</v>
      </c>
      <c r="AW543" s="80" t="s">
        <v>16507</v>
      </c>
      <c r="AX543" s="80" t="s">
        <v>16507</v>
      </c>
      <c r="AY543" s="77"/>
      <c r="AZ543" s="80" t="s">
        <v>20380</v>
      </c>
      <c r="BA543" s="80" t="s">
        <v>20380</v>
      </c>
      <c r="BB543" s="80" t="s">
        <v>20380</v>
      </c>
      <c r="BC543" s="80" t="s">
        <v>16507</v>
      </c>
      <c r="BD543" s="80" t="s">
        <v>20609</v>
      </c>
      <c r="BE543" s="77"/>
      <c r="BF543" s="77"/>
      <c r="BG543" s="77"/>
      <c r="BH543" s="77"/>
      <c r="BI543" s="77"/>
    </row>
    <row r="544" spans="1:61" x14ac:dyDescent="0.25">
      <c r="A544" s="62" t="s">
        <v>455</v>
      </c>
      <c r="B544" s="62" t="s">
        <v>455</v>
      </c>
      <c r="C544" s="63"/>
      <c r="D544" s="64"/>
      <c r="E544" s="65"/>
      <c r="F544" s="66"/>
      <c r="G544" s="63"/>
      <c r="H544" s="67"/>
      <c r="I544" s="68"/>
      <c r="J544" s="68"/>
      <c r="K544" s="32"/>
      <c r="L544" s="75">
        <v>544</v>
      </c>
      <c r="M544" s="75"/>
      <c r="N544" s="70"/>
      <c r="O544" s="77" t="s">
        <v>179</v>
      </c>
      <c r="P544" s="79">
        <v>45148.792430555557</v>
      </c>
      <c r="Q544" s="77" t="s">
        <v>2559</v>
      </c>
      <c r="R544" s="77">
        <v>0</v>
      </c>
      <c r="S544" s="77">
        <v>0</v>
      </c>
      <c r="T544" s="77">
        <v>0</v>
      </c>
      <c r="U544" s="77">
        <v>0</v>
      </c>
      <c r="V544" s="77">
        <v>184</v>
      </c>
      <c r="W544" s="80" t="s">
        <v>6292</v>
      </c>
      <c r="X544" s="83" t="str">
        <f>HYPERLINK("https://www.seudinheiro.com/2023/politica/rotativo-cartao-de-credito-juros-banco-central-rens/")</f>
        <v>https://www.seudinheiro.com/2023/politica/rotativo-cartao-de-credito-juros-banco-central-rens/</v>
      </c>
      <c r="Y544" s="77" t="s">
        <v>8674</v>
      </c>
      <c r="Z544" s="77"/>
      <c r="AA544" s="77"/>
      <c r="AB544" s="77"/>
      <c r="AC544" s="80" t="s">
        <v>10558</v>
      </c>
      <c r="AD544" s="77" t="s">
        <v>10617</v>
      </c>
      <c r="AE544" s="83" t="str">
        <f>HYPERLINK("https://twitter.com/seu_dinheiro_br/status/1689713501336371200")</f>
        <v>https://twitter.com/seu_dinheiro_br/status/1689713501336371200</v>
      </c>
      <c r="AF544" s="79">
        <v>45148.792430555557</v>
      </c>
      <c r="AG544" s="85">
        <v>45148</v>
      </c>
      <c r="AH544" s="80" t="s">
        <v>11120</v>
      </c>
      <c r="AI544" s="77" t="b">
        <v>0</v>
      </c>
      <c r="AJ544" s="77"/>
      <c r="AK544" s="77"/>
      <c r="AL544" s="77"/>
      <c r="AM544" s="77"/>
      <c r="AN544" s="77"/>
      <c r="AO544" s="77"/>
      <c r="AP544" s="77"/>
      <c r="AQ544" s="77"/>
      <c r="AR544" s="77"/>
      <c r="AS544" s="77"/>
      <c r="AT544" s="77"/>
      <c r="AU544" s="77"/>
      <c r="AV544" s="83" t="str">
        <f>HYPERLINK("https://pbs.twimg.com/profile_images/1041725334431952896/uaPtkYSp_normal.jpg")</f>
        <v>https://pbs.twimg.com/profile_images/1041725334431952896/uaPtkYSp_normal.jpg</v>
      </c>
      <c r="AW544" s="80" t="s">
        <v>16508</v>
      </c>
      <c r="AX544" s="80" t="s">
        <v>16508</v>
      </c>
      <c r="AY544" s="77"/>
      <c r="AZ544" s="80" t="s">
        <v>20380</v>
      </c>
      <c r="BA544" s="80" t="s">
        <v>20380</v>
      </c>
      <c r="BB544" s="80" t="s">
        <v>20380</v>
      </c>
      <c r="BC544" s="80" t="s">
        <v>16508</v>
      </c>
      <c r="BD544" s="80" t="s">
        <v>20609</v>
      </c>
      <c r="BE544" s="77"/>
      <c r="BF544" s="77"/>
      <c r="BG544" s="77"/>
      <c r="BH544" s="77"/>
      <c r="BI544" s="77"/>
    </row>
    <row r="545" spans="1:61" x14ac:dyDescent="0.25">
      <c r="A545" s="62" t="s">
        <v>455</v>
      </c>
      <c r="B545" s="62" t="s">
        <v>455</v>
      </c>
      <c r="C545" s="63"/>
      <c r="D545" s="64"/>
      <c r="E545" s="65"/>
      <c r="F545" s="66"/>
      <c r="G545" s="63"/>
      <c r="H545" s="67"/>
      <c r="I545" s="68"/>
      <c r="J545" s="68"/>
      <c r="K545" s="32"/>
      <c r="L545" s="75">
        <v>545</v>
      </c>
      <c r="M545" s="75"/>
      <c r="N545" s="70"/>
      <c r="O545" s="77" t="s">
        <v>179</v>
      </c>
      <c r="P545" s="79">
        <v>45148.79215277778</v>
      </c>
      <c r="Q545" s="77" t="s">
        <v>2560</v>
      </c>
      <c r="R545" s="77">
        <v>0</v>
      </c>
      <c r="S545" s="77">
        <v>0</v>
      </c>
      <c r="T545" s="77">
        <v>0</v>
      </c>
      <c r="U545" s="77">
        <v>0</v>
      </c>
      <c r="V545" s="77">
        <v>164</v>
      </c>
      <c r="W545" s="80" t="s">
        <v>6293</v>
      </c>
      <c r="X545" s="83" t="str">
        <f>HYPERLINK("https://www.seudinheiro.com/2023/economia/selic-vai-cair-mais-pistas-campos-neto-copom-lbdr/")</f>
        <v>https://www.seudinheiro.com/2023/economia/selic-vai-cair-mais-pistas-campos-neto-copom-lbdr/</v>
      </c>
      <c r="Y545" s="77" t="s">
        <v>8674</v>
      </c>
      <c r="Z545" s="77"/>
      <c r="AA545" s="77"/>
      <c r="AB545" s="77"/>
      <c r="AC545" s="80" t="s">
        <v>10558</v>
      </c>
      <c r="AD545" s="77" t="s">
        <v>10617</v>
      </c>
      <c r="AE545" s="83" t="str">
        <f>HYPERLINK("https://twitter.com/seu_dinheiro_br/status/1689713399993675776")</f>
        <v>https://twitter.com/seu_dinheiro_br/status/1689713399993675776</v>
      </c>
      <c r="AF545" s="79">
        <v>45148.79215277778</v>
      </c>
      <c r="AG545" s="85">
        <v>45148</v>
      </c>
      <c r="AH545" s="80" t="s">
        <v>11121</v>
      </c>
      <c r="AI545" s="77" t="b">
        <v>0</v>
      </c>
      <c r="AJ545" s="77"/>
      <c r="AK545" s="77"/>
      <c r="AL545" s="77"/>
      <c r="AM545" s="77"/>
      <c r="AN545" s="77"/>
      <c r="AO545" s="77"/>
      <c r="AP545" s="77"/>
      <c r="AQ545" s="77"/>
      <c r="AR545" s="77"/>
      <c r="AS545" s="77"/>
      <c r="AT545" s="77"/>
      <c r="AU545" s="77"/>
      <c r="AV545" s="83" t="str">
        <f>HYPERLINK("https://pbs.twimg.com/profile_images/1041725334431952896/uaPtkYSp_normal.jpg")</f>
        <v>https://pbs.twimg.com/profile_images/1041725334431952896/uaPtkYSp_normal.jpg</v>
      </c>
      <c r="AW545" s="80" t="s">
        <v>16509</v>
      </c>
      <c r="AX545" s="80" t="s">
        <v>16509</v>
      </c>
      <c r="AY545" s="77"/>
      <c r="AZ545" s="80" t="s">
        <v>20380</v>
      </c>
      <c r="BA545" s="80" t="s">
        <v>20380</v>
      </c>
      <c r="BB545" s="80" t="s">
        <v>20380</v>
      </c>
      <c r="BC545" s="80" t="s">
        <v>16509</v>
      </c>
      <c r="BD545" s="80" t="s">
        <v>20609</v>
      </c>
      <c r="BE545" s="77"/>
      <c r="BF545" s="77"/>
      <c r="BG545" s="77"/>
      <c r="BH545" s="77"/>
      <c r="BI545" s="77"/>
    </row>
    <row r="546" spans="1:61" x14ac:dyDescent="0.25">
      <c r="A546" s="62" t="s">
        <v>455</v>
      </c>
      <c r="B546" s="62" t="s">
        <v>455</v>
      </c>
      <c r="C546" s="63"/>
      <c r="D546" s="64"/>
      <c r="E546" s="65"/>
      <c r="F546" s="66"/>
      <c r="G546" s="63"/>
      <c r="H546" s="67"/>
      <c r="I546" s="68"/>
      <c r="J546" s="68"/>
      <c r="K546" s="32"/>
      <c r="L546" s="75">
        <v>546</v>
      </c>
      <c r="M546" s="75"/>
      <c r="N546" s="70"/>
      <c r="O546" s="77" t="s">
        <v>179</v>
      </c>
      <c r="P546" s="79">
        <v>45140.972129629627</v>
      </c>
      <c r="Q546" s="77" t="s">
        <v>2561</v>
      </c>
      <c r="R546" s="77">
        <v>2</v>
      </c>
      <c r="S546" s="77">
        <v>1</v>
      </c>
      <c r="T546" s="77">
        <v>0</v>
      </c>
      <c r="U546" s="77">
        <v>0</v>
      </c>
      <c r="V546" s="77">
        <v>343</v>
      </c>
      <c r="W546" s="80" t="s">
        <v>6273</v>
      </c>
      <c r="X546" s="83" t="str">
        <f>HYPERLINK("https://www.seudinheiro.com/2023/economia/selic-em-1325-ao-ano-agradou-a-reacao-de-politicos-banqueiros-e-gringos-ao-corte-de-050-pp-da-taxa-de-juros-ccgg/")</f>
        <v>https://www.seudinheiro.com/2023/economia/selic-em-1325-ao-ano-agradou-a-reacao-de-politicos-banqueiros-e-gringos-ao-corte-de-050-pp-da-taxa-de-juros-ccgg/</v>
      </c>
      <c r="Y546" s="77" t="s">
        <v>8674</v>
      </c>
      <c r="Z546" s="77"/>
      <c r="AA546" s="77"/>
      <c r="AB546" s="77"/>
      <c r="AC546" s="80" t="s">
        <v>10558</v>
      </c>
      <c r="AD546" s="77" t="s">
        <v>10617</v>
      </c>
      <c r="AE546" s="83" t="str">
        <f>HYPERLINK("https://twitter.com/seu_dinheiro_br/status/1686879519980851200")</f>
        <v>https://twitter.com/seu_dinheiro_br/status/1686879519980851200</v>
      </c>
      <c r="AF546" s="79">
        <v>45140.972129629627</v>
      </c>
      <c r="AG546" s="85">
        <v>45140</v>
      </c>
      <c r="AH546" s="80" t="s">
        <v>11122</v>
      </c>
      <c r="AI546" s="77" t="b">
        <v>0</v>
      </c>
      <c r="AJ546" s="77"/>
      <c r="AK546" s="77"/>
      <c r="AL546" s="77"/>
      <c r="AM546" s="77"/>
      <c r="AN546" s="77"/>
      <c r="AO546" s="77"/>
      <c r="AP546" s="77"/>
      <c r="AQ546" s="77"/>
      <c r="AR546" s="77"/>
      <c r="AS546" s="77"/>
      <c r="AT546" s="77"/>
      <c r="AU546" s="77"/>
      <c r="AV546" s="83" t="str">
        <f>HYPERLINK("https://pbs.twimg.com/profile_images/1041725334431952896/uaPtkYSp_normal.jpg")</f>
        <v>https://pbs.twimg.com/profile_images/1041725334431952896/uaPtkYSp_normal.jpg</v>
      </c>
      <c r="AW546" s="80" t="s">
        <v>16510</v>
      </c>
      <c r="AX546" s="80" t="s">
        <v>16510</v>
      </c>
      <c r="AY546" s="77"/>
      <c r="AZ546" s="80" t="s">
        <v>20380</v>
      </c>
      <c r="BA546" s="80" t="s">
        <v>20380</v>
      </c>
      <c r="BB546" s="80" t="s">
        <v>20380</v>
      </c>
      <c r="BC546" s="80" t="s">
        <v>16510</v>
      </c>
      <c r="BD546" s="80" t="s">
        <v>20609</v>
      </c>
      <c r="BE546" s="77"/>
      <c r="BF546" s="77"/>
      <c r="BG546" s="77"/>
      <c r="BH546" s="77"/>
      <c r="BI546" s="77"/>
    </row>
    <row r="547" spans="1:61" x14ac:dyDescent="0.25">
      <c r="A547" s="62" t="s">
        <v>455</v>
      </c>
      <c r="B547" s="62" t="s">
        <v>455</v>
      </c>
      <c r="C547" s="63"/>
      <c r="D547" s="64"/>
      <c r="E547" s="65"/>
      <c r="F547" s="66"/>
      <c r="G547" s="63"/>
      <c r="H547" s="67"/>
      <c r="I547" s="68"/>
      <c r="J547" s="68"/>
      <c r="K547" s="32"/>
      <c r="L547" s="75">
        <v>547</v>
      </c>
      <c r="M547" s="75"/>
      <c r="N547" s="70"/>
      <c r="O547" s="77" t="s">
        <v>179</v>
      </c>
      <c r="P547" s="79">
        <v>45140.913888888892</v>
      </c>
      <c r="Q547" s="77" t="s">
        <v>2562</v>
      </c>
      <c r="R547" s="77">
        <v>0</v>
      </c>
      <c r="S547" s="77">
        <v>1</v>
      </c>
      <c r="T547" s="77">
        <v>0</v>
      </c>
      <c r="U547" s="77">
        <v>0</v>
      </c>
      <c r="V547" s="77">
        <v>325</v>
      </c>
      <c r="W547" s="80" t="s">
        <v>6294</v>
      </c>
      <c r="X547" s="83" t="str">
        <f>HYPERLINK("https://www.seudinheiro.com/2023/renda-fixa/como-fica-a-renda-fixa-apos-a-queda-da-selic-para-1325-cdb-lci-poupanca-tesouro-direto-julw/")</f>
        <v>https://www.seudinheiro.com/2023/renda-fixa/como-fica-a-renda-fixa-apos-a-queda-da-selic-para-1325-cdb-lci-poupanca-tesouro-direto-julw/</v>
      </c>
      <c r="Y547" s="77" t="s">
        <v>8674</v>
      </c>
      <c r="Z547" s="77"/>
      <c r="AA547" s="77"/>
      <c r="AB547" s="77"/>
      <c r="AC547" s="80" t="s">
        <v>10558</v>
      </c>
      <c r="AD547" s="77" t="s">
        <v>10617</v>
      </c>
      <c r="AE547" s="83" t="str">
        <f>HYPERLINK("https://twitter.com/seu_dinheiro_br/status/1686858411248357376")</f>
        <v>https://twitter.com/seu_dinheiro_br/status/1686858411248357376</v>
      </c>
      <c r="AF547" s="79">
        <v>45140.913888888892</v>
      </c>
      <c r="AG547" s="85">
        <v>45140</v>
      </c>
      <c r="AH547" s="80" t="s">
        <v>11123</v>
      </c>
      <c r="AI547" s="77" t="b">
        <v>0</v>
      </c>
      <c r="AJ547" s="77"/>
      <c r="AK547" s="77"/>
      <c r="AL547" s="77"/>
      <c r="AM547" s="77"/>
      <c r="AN547" s="77"/>
      <c r="AO547" s="77"/>
      <c r="AP547" s="77"/>
      <c r="AQ547" s="77"/>
      <c r="AR547" s="77"/>
      <c r="AS547" s="77"/>
      <c r="AT547" s="77"/>
      <c r="AU547" s="77"/>
      <c r="AV547" s="83" t="str">
        <f>HYPERLINK("https://pbs.twimg.com/profile_images/1041725334431952896/uaPtkYSp_normal.jpg")</f>
        <v>https://pbs.twimg.com/profile_images/1041725334431952896/uaPtkYSp_normal.jpg</v>
      </c>
      <c r="AW547" s="80" t="s">
        <v>16511</v>
      </c>
      <c r="AX547" s="80" t="s">
        <v>16511</v>
      </c>
      <c r="AY547" s="77"/>
      <c r="AZ547" s="80" t="s">
        <v>20380</v>
      </c>
      <c r="BA547" s="80" t="s">
        <v>20380</v>
      </c>
      <c r="BB547" s="80" t="s">
        <v>20380</v>
      </c>
      <c r="BC547" s="80" t="s">
        <v>16511</v>
      </c>
      <c r="BD547" s="80" t="s">
        <v>20609</v>
      </c>
      <c r="BE547" s="77"/>
      <c r="BF547" s="77"/>
      <c r="BG547" s="77"/>
      <c r="BH547" s="77"/>
      <c r="BI547" s="77"/>
    </row>
    <row r="548" spans="1:61" x14ac:dyDescent="0.25">
      <c r="A548" s="62" t="s">
        <v>455</v>
      </c>
      <c r="B548" s="62" t="s">
        <v>455</v>
      </c>
      <c r="C548" s="63"/>
      <c r="D548" s="64"/>
      <c r="E548" s="65"/>
      <c r="F548" s="66"/>
      <c r="G548" s="63"/>
      <c r="H548" s="67"/>
      <c r="I548" s="68"/>
      <c r="J548" s="68"/>
      <c r="K548" s="32"/>
      <c r="L548" s="75">
        <v>548</v>
      </c>
      <c r="M548" s="75"/>
      <c r="N548" s="70"/>
      <c r="O548" s="77" t="s">
        <v>179</v>
      </c>
      <c r="P548" s="79">
        <v>45140.718842592592</v>
      </c>
      <c r="Q548" s="77" t="s">
        <v>2563</v>
      </c>
      <c r="R548" s="77">
        <v>0</v>
      </c>
      <c r="S548" s="77">
        <v>1</v>
      </c>
      <c r="T548" s="77">
        <v>1</v>
      </c>
      <c r="U548" s="77">
        <v>0</v>
      </c>
      <c r="V548" s="77">
        <v>330</v>
      </c>
      <c r="W548" s="80" t="s">
        <v>6278</v>
      </c>
      <c r="X548" s="83" t="str">
        <f>HYPERLINK("https://www.seudinheiro.com/2023/bolsa-dolar/selic-em-1325-e-ibovespa-nos-135-mil-pontos-jp-morgan-diz-o-que-vai-acontecer-com-a-bolsa-brasileira-a-partir-da-decisao-do-copom-sobre-os-juros-ccgg/")</f>
        <v>https://www.seudinheiro.com/2023/bolsa-dolar/selic-em-1325-e-ibovespa-nos-135-mil-pontos-jp-morgan-diz-o-que-vai-acontecer-com-a-bolsa-brasileira-a-partir-da-decisao-do-copom-sobre-os-juros-ccgg/</v>
      </c>
      <c r="Y548" s="77" t="s">
        <v>8674</v>
      </c>
      <c r="Z548" s="77"/>
      <c r="AA548" s="77"/>
      <c r="AB548" s="77"/>
      <c r="AC548" s="80" t="s">
        <v>10558</v>
      </c>
      <c r="AD548" s="77" t="s">
        <v>10617</v>
      </c>
      <c r="AE548" s="83" t="str">
        <f>HYPERLINK("https://twitter.com/seu_dinheiro_br/status/1686787728950673420")</f>
        <v>https://twitter.com/seu_dinheiro_br/status/1686787728950673420</v>
      </c>
      <c r="AF548" s="79">
        <v>45140.718842592592</v>
      </c>
      <c r="AG548" s="85">
        <v>45140</v>
      </c>
      <c r="AH548" s="80" t="s">
        <v>11124</v>
      </c>
      <c r="AI548" s="77" t="b">
        <v>0</v>
      </c>
      <c r="AJ548" s="77"/>
      <c r="AK548" s="77"/>
      <c r="AL548" s="77"/>
      <c r="AM548" s="77"/>
      <c r="AN548" s="77"/>
      <c r="AO548" s="77"/>
      <c r="AP548" s="77"/>
      <c r="AQ548" s="77"/>
      <c r="AR548" s="77"/>
      <c r="AS548" s="77"/>
      <c r="AT548" s="77"/>
      <c r="AU548" s="77"/>
      <c r="AV548" s="83" t="str">
        <f>HYPERLINK("https://pbs.twimg.com/profile_images/1041725334431952896/uaPtkYSp_normal.jpg")</f>
        <v>https://pbs.twimg.com/profile_images/1041725334431952896/uaPtkYSp_normal.jpg</v>
      </c>
      <c r="AW548" s="80" t="s">
        <v>16512</v>
      </c>
      <c r="AX548" s="80" t="s">
        <v>16512</v>
      </c>
      <c r="AY548" s="77"/>
      <c r="AZ548" s="80" t="s">
        <v>20380</v>
      </c>
      <c r="BA548" s="80" t="s">
        <v>20380</v>
      </c>
      <c r="BB548" s="80" t="s">
        <v>20380</v>
      </c>
      <c r="BC548" s="80" t="s">
        <v>16512</v>
      </c>
      <c r="BD548" s="80" t="s">
        <v>20609</v>
      </c>
      <c r="BE548" s="77"/>
      <c r="BF548" s="77"/>
      <c r="BG548" s="77"/>
      <c r="BH548" s="77"/>
      <c r="BI548" s="77"/>
    </row>
    <row r="549" spans="1:61" x14ac:dyDescent="0.25">
      <c r="A549" s="62" t="s">
        <v>455</v>
      </c>
      <c r="B549" s="62" t="s">
        <v>455</v>
      </c>
      <c r="C549" s="63"/>
      <c r="D549" s="64"/>
      <c r="E549" s="65"/>
      <c r="F549" s="66"/>
      <c r="G549" s="63"/>
      <c r="H549" s="67"/>
      <c r="I549" s="68"/>
      <c r="J549" s="68"/>
      <c r="K549" s="32"/>
      <c r="L549" s="75">
        <v>549</v>
      </c>
      <c r="M549" s="75"/>
      <c r="N549" s="70"/>
      <c r="O549" s="77" t="s">
        <v>179</v>
      </c>
      <c r="P549" s="79">
        <v>45084.616388888891</v>
      </c>
      <c r="Q549" s="77" t="s">
        <v>2564</v>
      </c>
      <c r="R549" s="77">
        <v>0</v>
      </c>
      <c r="S549" s="77">
        <v>1</v>
      </c>
      <c r="T549" s="77">
        <v>0</v>
      </c>
      <c r="U549" s="77">
        <v>0</v>
      </c>
      <c r="V549" s="77">
        <v>156</v>
      </c>
      <c r="W549" s="80" t="s">
        <v>6290</v>
      </c>
      <c r="X549" s="83" t="str">
        <f>HYPERLINK("https://www.seudinheiro.com/2023/economia/ipca-inflacao-maio-viagem-ao-centro-da-meta-rsgp/")</f>
        <v>https://www.seudinheiro.com/2023/economia/ipca-inflacao-maio-viagem-ao-centro-da-meta-rsgp/</v>
      </c>
      <c r="Y549" s="77" t="s">
        <v>8674</v>
      </c>
      <c r="Z549" s="77"/>
      <c r="AA549" s="77"/>
      <c r="AB549" s="77"/>
      <c r="AC549" s="80" t="s">
        <v>10558</v>
      </c>
      <c r="AD549" s="77" t="s">
        <v>10617</v>
      </c>
      <c r="AE549" s="83" t="str">
        <f>HYPERLINK("https://twitter.com/seu_dinheiro_br/status/1666456880124682241")</f>
        <v>https://twitter.com/seu_dinheiro_br/status/1666456880124682241</v>
      </c>
      <c r="AF549" s="79">
        <v>45084.616388888891</v>
      </c>
      <c r="AG549" s="85">
        <v>45084</v>
      </c>
      <c r="AH549" s="80" t="s">
        <v>11125</v>
      </c>
      <c r="AI549" s="77" t="b">
        <v>0</v>
      </c>
      <c r="AJ549" s="77"/>
      <c r="AK549" s="77"/>
      <c r="AL549" s="77"/>
      <c r="AM549" s="77"/>
      <c r="AN549" s="77"/>
      <c r="AO549" s="77"/>
      <c r="AP549" s="77"/>
      <c r="AQ549" s="77"/>
      <c r="AR549" s="77"/>
      <c r="AS549" s="77"/>
      <c r="AT549" s="77"/>
      <c r="AU549" s="77"/>
      <c r="AV549" s="83" t="str">
        <f>HYPERLINK("https://pbs.twimg.com/profile_images/1041725334431952896/uaPtkYSp_normal.jpg")</f>
        <v>https://pbs.twimg.com/profile_images/1041725334431952896/uaPtkYSp_normal.jpg</v>
      </c>
      <c r="AW549" s="80" t="s">
        <v>16513</v>
      </c>
      <c r="AX549" s="80" t="s">
        <v>16513</v>
      </c>
      <c r="AY549" s="77"/>
      <c r="AZ549" s="80" t="s">
        <v>20380</v>
      </c>
      <c r="BA549" s="80" t="s">
        <v>20380</v>
      </c>
      <c r="BB549" s="80" t="s">
        <v>20380</v>
      </c>
      <c r="BC549" s="80" t="s">
        <v>16513</v>
      </c>
      <c r="BD549" s="80" t="s">
        <v>20609</v>
      </c>
      <c r="BE549" s="77"/>
      <c r="BF549" s="77"/>
      <c r="BG549" s="77"/>
      <c r="BH549" s="77"/>
      <c r="BI549" s="77"/>
    </row>
    <row r="550" spans="1:61" x14ac:dyDescent="0.25">
      <c r="A550" s="62" t="s">
        <v>455</v>
      </c>
      <c r="B550" s="62" t="s">
        <v>455</v>
      </c>
      <c r="C550" s="63"/>
      <c r="D550" s="64"/>
      <c r="E550" s="65"/>
      <c r="F550" s="66"/>
      <c r="G550" s="63"/>
      <c r="H550" s="67"/>
      <c r="I550" s="68"/>
      <c r="J550" s="68"/>
      <c r="K550" s="32"/>
      <c r="L550" s="75">
        <v>550</v>
      </c>
      <c r="M550" s="75"/>
      <c r="N550" s="70"/>
      <c r="O550" s="77" t="s">
        <v>179</v>
      </c>
      <c r="P550" s="79">
        <v>45173.820925925924</v>
      </c>
      <c r="Q550" s="77" t="s">
        <v>2565</v>
      </c>
      <c r="R550" s="77">
        <v>0</v>
      </c>
      <c r="S550" s="77">
        <v>1</v>
      </c>
      <c r="T550" s="77">
        <v>0</v>
      </c>
      <c r="U550" s="77">
        <v>0</v>
      </c>
      <c r="V550" s="77">
        <v>188</v>
      </c>
      <c r="W550" s="80" t="s">
        <v>6295</v>
      </c>
      <c r="X550" s="83" t="str">
        <f>HYPERLINK("https://www.seudinheiro.com/2023/economia/pix-de-r-12-bilhao-na-conta-acredite-alguem-fez-essa-transferencia-miql/")</f>
        <v>https://www.seudinheiro.com/2023/economia/pix-de-r-12-bilhao-na-conta-acredite-alguem-fez-essa-transferencia-miql/</v>
      </c>
      <c r="Y550" s="77" t="s">
        <v>8674</v>
      </c>
      <c r="Z550" s="77"/>
      <c r="AA550" s="77"/>
      <c r="AB550" s="77"/>
      <c r="AC550" s="80" t="s">
        <v>10558</v>
      </c>
      <c r="AD550" s="77" t="s">
        <v>10617</v>
      </c>
      <c r="AE550" s="83" t="str">
        <f>HYPERLINK("https://twitter.com/seu_dinheiro_br/status/1698783522322882784")</f>
        <v>https://twitter.com/seu_dinheiro_br/status/1698783522322882784</v>
      </c>
      <c r="AF550" s="79">
        <v>45173.820925925924</v>
      </c>
      <c r="AG550" s="85">
        <v>45173</v>
      </c>
      <c r="AH550" s="80" t="s">
        <v>11126</v>
      </c>
      <c r="AI550" s="77" t="b">
        <v>0</v>
      </c>
      <c r="AJ550" s="77"/>
      <c r="AK550" s="77"/>
      <c r="AL550" s="77"/>
      <c r="AM550" s="77"/>
      <c r="AN550" s="77"/>
      <c r="AO550" s="77"/>
      <c r="AP550" s="77"/>
      <c r="AQ550" s="77"/>
      <c r="AR550" s="77"/>
      <c r="AS550" s="77"/>
      <c r="AT550" s="77"/>
      <c r="AU550" s="77"/>
      <c r="AV550" s="83" t="str">
        <f>HYPERLINK("https://pbs.twimg.com/profile_images/1041725334431952896/uaPtkYSp_normal.jpg")</f>
        <v>https://pbs.twimg.com/profile_images/1041725334431952896/uaPtkYSp_normal.jpg</v>
      </c>
      <c r="AW550" s="80" t="s">
        <v>16514</v>
      </c>
      <c r="AX550" s="80" t="s">
        <v>16514</v>
      </c>
      <c r="AY550" s="77"/>
      <c r="AZ550" s="80" t="s">
        <v>20380</v>
      </c>
      <c r="BA550" s="80" t="s">
        <v>20380</v>
      </c>
      <c r="BB550" s="80" t="s">
        <v>20380</v>
      </c>
      <c r="BC550" s="80" t="s">
        <v>16514</v>
      </c>
      <c r="BD550" s="80" t="s">
        <v>20609</v>
      </c>
      <c r="BE550" s="77"/>
      <c r="BF550" s="77"/>
      <c r="BG550" s="77"/>
      <c r="BH550" s="77"/>
      <c r="BI550" s="77"/>
    </row>
    <row r="551" spans="1:61" x14ac:dyDescent="0.25">
      <c r="A551" s="62" t="s">
        <v>455</v>
      </c>
      <c r="B551" s="62" t="s">
        <v>455</v>
      </c>
      <c r="C551" s="63"/>
      <c r="D551" s="64"/>
      <c r="E551" s="65"/>
      <c r="F551" s="66"/>
      <c r="G551" s="63"/>
      <c r="H551" s="67"/>
      <c r="I551" s="68"/>
      <c r="J551" s="68"/>
      <c r="K551" s="32"/>
      <c r="L551" s="75">
        <v>551</v>
      </c>
      <c r="M551" s="75"/>
      <c r="N551" s="70"/>
      <c r="O551" s="77" t="s">
        <v>179</v>
      </c>
      <c r="P551" s="79">
        <v>45160.633368055554</v>
      </c>
      <c r="Q551" s="77" t="s">
        <v>2566</v>
      </c>
      <c r="R551" s="77">
        <v>0</v>
      </c>
      <c r="S551" s="77">
        <v>0</v>
      </c>
      <c r="T551" s="77">
        <v>0</v>
      </c>
      <c r="U551" s="77">
        <v>0</v>
      </c>
      <c r="V551" s="77">
        <v>266</v>
      </c>
      <c r="W551" s="80" t="s">
        <v>6296</v>
      </c>
      <c r="X551" s="83" t="str">
        <f>HYPERLINK("https://www.seudinheiro.com/2023/economia/a-taxa-selic-vai-cair-mais-rapido-presidente-do-banco-central-diz-comecar-a-ver-um-pouso-suave-lvit/")</f>
        <v>https://www.seudinheiro.com/2023/economia/a-taxa-selic-vai-cair-mais-rapido-presidente-do-banco-central-diz-comecar-a-ver-um-pouso-suave-lvit/</v>
      </c>
      <c r="Y551" s="77" t="s">
        <v>8674</v>
      </c>
      <c r="Z551" s="77"/>
      <c r="AA551" s="77"/>
      <c r="AB551" s="77"/>
      <c r="AC551" s="80" t="s">
        <v>10558</v>
      </c>
      <c r="AD551" s="77" t="s">
        <v>10617</v>
      </c>
      <c r="AE551" s="83" t="str">
        <f>HYPERLINK("https://twitter.com/seu_dinheiro_br/status/1694004511550148982")</f>
        <v>https://twitter.com/seu_dinheiro_br/status/1694004511550148982</v>
      </c>
      <c r="AF551" s="79">
        <v>45160.633368055554</v>
      </c>
      <c r="AG551" s="85">
        <v>45160</v>
      </c>
      <c r="AH551" s="80" t="s">
        <v>11127</v>
      </c>
      <c r="AI551" s="77" t="b">
        <v>0</v>
      </c>
      <c r="AJ551" s="77"/>
      <c r="AK551" s="77"/>
      <c r="AL551" s="77"/>
      <c r="AM551" s="77"/>
      <c r="AN551" s="77"/>
      <c r="AO551" s="77"/>
      <c r="AP551" s="77"/>
      <c r="AQ551" s="77"/>
      <c r="AR551" s="77"/>
      <c r="AS551" s="77"/>
      <c r="AT551" s="77"/>
      <c r="AU551" s="77"/>
      <c r="AV551" s="83" t="str">
        <f>HYPERLINK("https://pbs.twimg.com/profile_images/1041725334431952896/uaPtkYSp_normal.jpg")</f>
        <v>https://pbs.twimg.com/profile_images/1041725334431952896/uaPtkYSp_normal.jpg</v>
      </c>
      <c r="AW551" s="80" t="s">
        <v>16515</v>
      </c>
      <c r="AX551" s="80" t="s">
        <v>16515</v>
      </c>
      <c r="AY551" s="77"/>
      <c r="AZ551" s="80" t="s">
        <v>20380</v>
      </c>
      <c r="BA551" s="80" t="s">
        <v>20380</v>
      </c>
      <c r="BB551" s="80" t="s">
        <v>20380</v>
      </c>
      <c r="BC551" s="80" t="s">
        <v>16515</v>
      </c>
      <c r="BD551" s="80" t="s">
        <v>20609</v>
      </c>
      <c r="BE551" s="77"/>
      <c r="BF551" s="77"/>
      <c r="BG551" s="77"/>
      <c r="BH551" s="77"/>
      <c r="BI551" s="77"/>
    </row>
    <row r="552" spans="1:61" x14ac:dyDescent="0.25">
      <c r="A552" s="62" t="s">
        <v>455</v>
      </c>
      <c r="B552" s="62" t="s">
        <v>455</v>
      </c>
      <c r="C552" s="63"/>
      <c r="D552" s="64"/>
      <c r="E552" s="65"/>
      <c r="F552" s="66"/>
      <c r="G552" s="63"/>
      <c r="H552" s="67"/>
      <c r="I552" s="68"/>
      <c r="J552" s="68"/>
      <c r="K552" s="32"/>
      <c r="L552" s="75">
        <v>552</v>
      </c>
      <c r="M552" s="75"/>
      <c r="N552" s="70"/>
      <c r="O552" s="77" t="s">
        <v>179</v>
      </c>
      <c r="P552" s="79">
        <v>45152.386122685188</v>
      </c>
      <c r="Q552" s="77" t="s">
        <v>2567</v>
      </c>
      <c r="R552" s="77">
        <v>0</v>
      </c>
      <c r="S552" s="77">
        <v>0</v>
      </c>
      <c r="T552" s="77">
        <v>1</v>
      </c>
      <c r="U552" s="77">
        <v>0</v>
      </c>
      <c r="V552" s="77">
        <v>386</v>
      </c>
      <c r="W552" s="80" t="s">
        <v>6272</v>
      </c>
      <c r="X552" s="83" t="str">
        <f>HYPERLINK("https://www.seudinheiro.com/2023/bolsa-dolar/agenda-economica-ata-copom-previa-pib-inflacao-rens-2/")</f>
        <v>https://www.seudinheiro.com/2023/bolsa-dolar/agenda-economica-ata-copom-previa-pib-inflacao-rens-2/</v>
      </c>
      <c r="Y552" s="77" t="s">
        <v>8674</v>
      </c>
      <c r="Z552" s="77"/>
      <c r="AA552" s="77"/>
      <c r="AB552" s="77"/>
      <c r="AC552" s="80" t="s">
        <v>10558</v>
      </c>
      <c r="AD552" s="77" t="s">
        <v>10617</v>
      </c>
      <c r="AE552" s="83" t="str">
        <f>HYPERLINK("https://twitter.com/seu_dinheiro_br/status/1691015809995530241")</f>
        <v>https://twitter.com/seu_dinheiro_br/status/1691015809995530241</v>
      </c>
      <c r="AF552" s="79">
        <v>45152.386122685188</v>
      </c>
      <c r="AG552" s="85">
        <v>45152</v>
      </c>
      <c r="AH552" s="80" t="s">
        <v>11128</v>
      </c>
      <c r="AI552" s="77" t="b">
        <v>0</v>
      </c>
      <c r="AJ552" s="77"/>
      <c r="AK552" s="77"/>
      <c r="AL552" s="77"/>
      <c r="AM552" s="77"/>
      <c r="AN552" s="77"/>
      <c r="AO552" s="77"/>
      <c r="AP552" s="77"/>
      <c r="AQ552" s="77"/>
      <c r="AR552" s="77"/>
      <c r="AS552" s="77"/>
      <c r="AT552" s="77"/>
      <c r="AU552" s="77"/>
      <c r="AV552" s="83" t="str">
        <f>HYPERLINK("https://pbs.twimg.com/profile_images/1041725334431952896/uaPtkYSp_normal.jpg")</f>
        <v>https://pbs.twimg.com/profile_images/1041725334431952896/uaPtkYSp_normal.jpg</v>
      </c>
      <c r="AW552" s="80" t="s">
        <v>16516</v>
      </c>
      <c r="AX552" s="80" t="s">
        <v>16516</v>
      </c>
      <c r="AY552" s="77"/>
      <c r="AZ552" s="80" t="s">
        <v>20380</v>
      </c>
      <c r="BA552" s="80" t="s">
        <v>20380</v>
      </c>
      <c r="BB552" s="80" t="s">
        <v>20380</v>
      </c>
      <c r="BC552" s="80" t="s">
        <v>16516</v>
      </c>
      <c r="BD552" s="80" t="s">
        <v>20609</v>
      </c>
      <c r="BE552" s="77"/>
      <c r="BF552" s="77"/>
      <c r="BG552" s="77"/>
      <c r="BH552" s="77"/>
      <c r="BI552" s="77"/>
    </row>
    <row r="553" spans="1:61" x14ac:dyDescent="0.25">
      <c r="A553" s="62" t="s">
        <v>455</v>
      </c>
      <c r="B553" s="62" t="s">
        <v>455</v>
      </c>
      <c r="C553" s="63"/>
      <c r="D553" s="64"/>
      <c r="E553" s="65"/>
      <c r="F553" s="66"/>
      <c r="G553" s="63"/>
      <c r="H553" s="67"/>
      <c r="I553" s="68"/>
      <c r="J553" s="68"/>
      <c r="K553" s="32"/>
      <c r="L553" s="75">
        <v>553</v>
      </c>
      <c r="M553" s="75"/>
      <c r="N553" s="70"/>
      <c r="O553" s="77" t="s">
        <v>179</v>
      </c>
      <c r="P553" s="79">
        <v>45141.652604166666</v>
      </c>
      <c r="Q553" s="77" t="s">
        <v>2568</v>
      </c>
      <c r="R553" s="77">
        <v>0</v>
      </c>
      <c r="S553" s="77">
        <v>0</v>
      </c>
      <c r="T553" s="77">
        <v>0</v>
      </c>
      <c r="U553" s="77">
        <v>0</v>
      </c>
      <c r="V553" s="77">
        <v>248</v>
      </c>
      <c r="W553" s="80" t="s">
        <v>6271</v>
      </c>
      <c r="X553" s="83" t="str">
        <f>HYPERLINK("https://www.seudinheiro.com/2023/renda-fixa/com-tesourada-na-selic-remuneracao-de-titulo-prefixado-cai-a-1-digito-no-tesouro-direto-julw/")</f>
        <v>https://www.seudinheiro.com/2023/renda-fixa/com-tesourada-na-selic-remuneracao-de-titulo-prefixado-cai-a-1-digito-no-tesouro-direto-julw/</v>
      </c>
      <c r="Y553" s="77" t="s">
        <v>8674</v>
      </c>
      <c r="Z553" s="77"/>
      <c r="AA553" s="77"/>
      <c r="AB553" s="77"/>
      <c r="AC553" s="80" t="s">
        <v>10558</v>
      </c>
      <c r="AD553" s="77" t="s">
        <v>10617</v>
      </c>
      <c r="AE553" s="83" t="str">
        <f>HYPERLINK("https://twitter.com/seu_dinheiro_br/status/1687126113594597376")</f>
        <v>https://twitter.com/seu_dinheiro_br/status/1687126113594597376</v>
      </c>
      <c r="AF553" s="79">
        <v>45141.652604166666</v>
      </c>
      <c r="AG553" s="85">
        <v>45141</v>
      </c>
      <c r="AH553" s="80" t="s">
        <v>11129</v>
      </c>
      <c r="AI553" s="77" t="b">
        <v>0</v>
      </c>
      <c r="AJ553" s="77"/>
      <c r="AK553" s="77"/>
      <c r="AL553" s="77"/>
      <c r="AM553" s="77"/>
      <c r="AN553" s="77"/>
      <c r="AO553" s="77"/>
      <c r="AP553" s="77"/>
      <c r="AQ553" s="77"/>
      <c r="AR553" s="77"/>
      <c r="AS553" s="77"/>
      <c r="AT553" s="77"/>
      <c r="AU553" s="77"/>
      <c r="AV553" s="83" t="str">
        <f>HYPERLINK("https://pbs.twimg.com/profile_images/1041725334431952896/uaPtkYSp_normal.jpg")</f>
        <v>https://pbs.twimg.com/profile_images/1041725334431952896/uaPtkYSp_normal.jpg</v>
      </c>
      <c r="AW553" s="80" t="s">
        <v>16517</v>
      </c>
      <c r="AX553" s="80" t="s">
        <v>16517</v>
      </c>
      <c r="AY553" s="77"/>
      <c r="AZ553" s="80" t="s">
        <v>20380</v>
      </c>
      <c r="BA553" s="80" t="s">
        <v>20380</v>
      </c>
      <c r="BB553" s="80" t="s">
        <v>20380</v>
      </c>
      <c r="BC553" s="80" t="s">
        <v>16517</v>
      </c>
      <c r="BD553" s="80" t="s">
        <v>20609</v>
      </c>
      <c r="BE553" s="77"/>
      <c r="BF553" s="77"/>
      <c r="BG553" s="77"/>
      <c r="BH553" s="77"/>
      <c r="BI553" s="77"/>
    </row>
    <row r="554" spans="1:61" x14ac:dyDescent="0.25">
      <c r="A554" s="62" t="s">
        <v>455</v>
      </c>
      <c r="B554" s="62" t="s">
        <v>455</v>
      </c>
      <c r="C554" s="63"/>
      <c r="D554" s="64"/>
      <c r="E554" s="65"/>
      <c r="F554" s="66"/>
      <c r="G554" s="63"/>
      <c r="H554" s="67"/>
      <c r="I554" s="68"/>
      <c r="J554" s="68"/>
      <c r="K554" s="32"/>
      <c r="L554" s="75">
        <v>554</v>
      </c>
      <c r="M554" s="75"/>
      <c r="N554" s="70"/>
      <c r="O554" s="77" t="s">
        <v>179</v>
      </c>
      <c r="P554" s="79">
        <v>45118.599953703706</v>
      </c>
      <c r="Q554" s="77" t="s">
        <v>2569</v>
      </c>
      <c r="R554" s="77">
        <v>0</v>
      </c>
      <c r="S554" s="77">
        <v>0</v>
      </c>
      <c r="T554" s="77">
        <v>0</v>
      </c>
      <c r="U554" s="77">
        <v>0</v>
      </c>
      <c r="V554" s="77">
        <v>216</v>
      </c>
      <c r="W554" s="80" t="s">
        <v>6278</v>
      </c>
      <c r="X554" s="83" t="str">
        <f>HYPERLINK("https://www.seudinheiro.com/2023/economia/ipca-junho-inflacao-de-volta-ao-centro-da-meta-rsgp/")</f>
        <v>https://www.seudinheiro.com/2023/economia/ipca-junho-inflacao-de-volta-ao-centro-da-meta-rsgp/</v>
      </c>
      <c r="Y554" s="77" t="s">
        <v>8674</v>
      </c>
      <c r="Z554" s="77"/>
      <c r="AA554" s="77"/>
      <c r="AB554" s="77"/>
      <c r="AC554" s="80" t="s">
        <v>10558</v>
      </c>
      <c r="AD554" s="77" t="s">
        <v>10617</v>
      </c>
      <c r="AE554" s="83" t="str">
        <f>HYPERLINK("https://twitter.com/seu_dinheiro_br/status/1678772111144534018")</f>
        <v>https://twitter.com/seu_dinheiro_br/status/1678772111144534018</v>
      </c>
      <c r="AF554" s="79">
        <v>45118.599953703706</v>
      </c>
      <c r="AG554" s="85">
        <v>45118</v>
      </c>
      <c r="AH554" s="80" t="s">
        <v>11130</v>
      </c>
      <c r="AI554" s="77" t="b">
        <v>0</v>
      </c>
      <c r="AJ554" s="77"/>
      <c r="AK554" s="77"/>
      <c r="AL554" s="77"/>
      <c r="AM554" s="77"/>
      <c r="AN554" s="77"/>
      <c r="AO554" s="77"/>
      <c r="AP554" s="77"/>
      <c r="AQ554" s="77"/>
      <c r="AR554" s="77"/>
      <c r="AS554" s="77"/>
      <c r="AT554" s="77"/>
      <c r="AU554" s="77"/>
      <c r="AV554" s="83" t="str">
        <f>HYPERLINK("https://pbs.twimg.com/profile_images/1041725334431952896/uaPtkYSp_normal.jpg")</f>
        <v>https://pbs.twimg.com/profile_images/1041725334431952896/uaPtkYSp_normal.jpg</v>
      </c>
      <c r="AW554" s="80" t="s">
        <v>16518</v>
      </c>
      <c r="AX554" s="80" t="s">
        <v>16518</v>
      </c>
      <c r="AY554" s="77"/>
      <c r="AZ554" s="80" t="s">
        <v>20380</v>
      </c>
      <c r="BA554" s="80" t="s">
        <v>20380</v>
      </c>
      <c r="BB554" s="80" t="s">
        <v>20380</v>
      </c>
      <c r="BC554" s="80" t="s">
        <v>16518</v>
      </c>
      <c r="BD554" s="80" t="s">
        <v>20609</v>
      </c>
      <c r="BE554" s="77"/>
      <c r="BF554" s="77"/>
      <c r="BG554" s="77"/>
      <c r="BH554" s="77"/>
      <c r="BI554" s="77"/>
    </row>
    <row r="555" spans="1:61" x14ac:dyDescent="0.25">
      <c r="A555" s="62" t="s">
        <v>455</v>
      </c>
      <c r="B555" s="62" t="s">
        <v>455</v>
      </c>
      <c r="C555" s="63"/>
      <c r="D555" s="64"/>
      <c r="E555" s="65"/>
      <c r="F555" s="66"/>
      <c r="G555" s="63"/>
      <c r="H555" s="67"/>
      <c r="I555" s="68"/>
      <c r="J555" s="68"/>
      <c r="K555" s="32"/>
      <c r="L555" s="75">
        <v>555</v>
      </c>
      <c r="M555" s="75"/>
      <c r="N555" s="70"/>
      <c r="O555" s="77" t="s">
        <v>179</v>
      </c>
      <c r="P555" s="79">
        <v>45117.688460648147</v>
      </c>
      <c r="Q555" s="77" t="s">
        <v>2570</v>
      </c>
      <c r="R555" s="77">
        <v>1</v>
      </c>
      <c r="S555" s="77">
        <v>1</v>
      </c>
      <c r="T555" s="77">
        <v>0</v>
      </c>
      <c r="U555" s="77">
        <v>0</v>
      </c>
      <c r="V555" s="77">
        <v>290</v>
      </c>
      <c r="W555" s="80" t="s">
        <v>6297</v>
      </c>
      <c r="X555" s="83" t="str">
        <f>HYPERLINK("https://assets.seudinheiro.com/2023/empresas/dona-luiza-santander-preco-alvo-magazine-luiza-mglu3-selic-rens/")</f>
        <v>https://assets.seudinheiro.com/2023/empresas/dona-luiza-santander-preco-alvo-magazine-luiza-mglu3-selic-rens/</v>
      </c>
      <c r="Y555" s="77" t="s">
        <v>8674</v>
      </c>
      <c r="Z555" s="77"/>
      <c r="AA555" s="77"/>
      <c r="AB555" s="77"/>
      <c r="AC555" s="80" t="s">
        <v>10558</v>
      </c>
      <c r="AD555" s="77" t="s">
        <v>10617</v>
      </c>
      <c r="AE555" s="83" t="str">
        <f>HYPERLINK("https://twitter.com/seu_dinheiro_br/status/1678441797121458176")</f>
        <v>https://twitter.com/seu_dinheiro_br/status/1678441797121458176</v>
      </c>
      <c r="AF555" s="79">
        <v>45117.688460648147</v>
      </c>
      <c r="AG555" s="85">
        <v>45117</v>
      </c>
      <c r="AH555" s="80" t="s">
        <v>11131</v>
      </c>
      <c r="AI555" s="77" t="b">
        <v>0</v>
      </c>
      <c r="AJ555" s="77"/>
      <c r="AK555" s="77"/>
      <c r="AL555" s="77"/>
      <c r="AM555" s="77"/>
      <c r="AN555" s="77"/>
      <c r="AO555" s="77"/>
      <c r="AP555" s="77"/>
      <c r="AQ555" s="77"/>
      <c r="AR555" s="77"/>
      <c r="AS555" s="77"/>
      <c r="AT555" s="77"/>
      <c r="AU555" s="77"/>
      <c r="AV555" s="83" t="str">
        <f>HYPERLINK("https://pbs.twimg.com/profile_images/1041725334431952896/uaPtkYSp_normal.jpg")</f>
        <v>https://pbs.twimg.com/profile_images/1041725334431952896/uaPtkYSp_normal.jpg</v>
      </c>
      <c r="AW555" s="80" t="s">
        <v>16519</v>
      </c>
      <c r="AX555" s="80" t="s">
        <v>16519</v>
      </c>
      <c r="AY555" s="77"/>
      <c r="AZ555" s="80" t="s">
        <v>20380</v>
      </c>
      <c r="BA555" s="80" t="s">
        <v>20380</v>
      </c>
      <c r="BB555" s="80" t="s">
        <v>20380</v>
      </c>
      <c r="BC555" s="80" t="s">
        <v>16519</v>
      </c>
      <c r="BD555" s="80" t="s">
        <v>20609</v>
      </c>
      <c r="BE555" s="77"/>
      <c r="BF555" s="77"/>
      <c r="BG555" s="77"/>
      <c r="BH555" s="77"/>
      <c r="BI555" s="77"/>
    </row>
    <row r="556" spans="1:61" x14ac:dyDescent="0.25">
      <c r="A556" s="62" t="s">
        <v>455</v>
      </c>
      <c r="B556" s="62" t="s">
        <v>455</v>
      </c>
      <c r="C556" s="63"/>
      <c r="D556" s="64"/>
      <c r="E556" s="65"/>
      <c r="F556" s="66"/>
      <c r="G556" s="63"/>
      <c r="H556" s="67"/>
      <c r="I556" s="68"/>
      <c r="J556" s="68"/>
      <c r="K556" s="32"/>
      <c r="L556" s="75">
        <v>556</v>
      </c>
      <c r="M556" s="75"/>
      <c r="N556" s="70"/>
      <c r="O556" s="77" t="s">
        <v>179</v>
      </c>
      <c r="P556" s="79">
        <v>45098.961875000001</v>
      </c>
      <c r="Q556" s="77" t="s">
        <v>2571</v>
      </c>
      <c r="R556" s="77">
        <v>1</v>
      </c>
      <c r="S556" s="77">
        <v>0</v>
      </c>
      <c r="T556" s="77">
        <v>0</v>
      </c>
      <c r="U556" s="77">
        <v>0</v>
      </c>
      <c r="V556" s="77">
        <v>353</v>
      </c>
      <c r="W556" s="80" t="s">
        <v>6277</v>
      </c>
      <c r="X556" s="83" t="str">
        <f>HYPERLINK("https://www.seudinheiro.com/2023/colunistas/rodolfo-amstalden-a-primeira-noite-de-um-homem-ccgg/")</f>
        <v>https://www.seudinheiro.com/2023/colunistas/rodolfo-amstalden-a-primeira-noite-de-um-homem-ccgg/</v>
      </c>
      <c r="Y556" s="77" t="s">
        <v>8674</v>
      </c>
      <c r="Z556" s="77"/>
      <c r="AA556" s="77"/>
      <c r="AB556" s="77"/>
      <c r="AC556" s="80" t="s">
        <v>10558</v>
      </c>
      <c r="AD556" s="77" t="s">
        <v>10617</v>
      </c>
      <c r="AE556" s="83" t="str">
        <f>HYPERLINK("https://twitter.com/seu_dinheiro_br/status/1671655512880959489")</f>
        <v>https://twitter.com/seu_dinheiro_br/status/1671655512880959489</v>
      </c>
      <c r="AF556" s="79">
        <v>45098.961875000001</v>
      </c>
      <c r="AG556" s="85">
        <v>45098</v>
      </c>
      <c r="AH556" s="80" t="s">
        <v>11132</v>
      </c>
      <c r="AI556" s="77" t="b">
        <v>0</v>
      </c>
      <c r="AJ556" s="77"/>
      <c r="AK556" s="77"/>
      <c r="AL556" s="77"/>
      <c r="AM556" s="77"/>
      <c r="AN556" s="77"/>
      <c r="AO556" s="77"/>
      <c r="AP556" s="77"/>
      <c r="AQ556" s="77"/>
      <c r="AR556" s="77"/>
      <c r="AS556" s="77"/>
      <c r="AT556" s="77"/>
      <c r="AU556" s="77"/>
      <c r="AV556" s="83" t="str">
        <f>HYPERLINK("https://pbs.twimg.com/profile_images/1041725334431952896/uaPtkYSp_normal.jpg")</f>
        <v>https://pbs.twimg.com/profile_images/1041725334431952896/uaPtkYSp_normal.jpg</v>
      </c>
      <c r="AW556" s="80" t="s">
        <v>16520</v>
      </c>
      <c r="AX556" s="80" t="s">
        <v>16520</v>
      </c>
      <c r="AY556" s="77"/>
      <c r="AZ556" s="80" t="s">
        <v>20380</v>
      </c>
      <c r="BA556" s="80" t="s">
        <v>20380</v>
      </c>
      <c r="BB556" s="80" t="s">
        <v>20380</v>
      </c>
      <c r="BC556" s="80" t="s">
        <v>16520</v>
      </c>
      <c r="BD556" s="80" t="s">
        <v>20609</v>
      </c>
      <c r="BE556" s="77"/>
      <c r="BF556" s="77"/>
      <c r="BG556" s="77"/>
      <c r="BH556" s="77"/>
      <c r="BI556" s="77"/>
    </row>
    <row r="557" spans="1:61" x14ac:dyDescent="0.25">
      <c r="A557" s="62" t="s">
        <v>455</v>
      </c>
      <c r="B557" s="62" t="s">
        <v>455</v>
      </c>
      <c r="C557" s="63"/>
      <c r="D557" s="64"/>
      <c r="E557" s="65"/>
      <c r="F557" s="66"/>
      <c r="G557" s="63"/>
      <c r="H557" s="67"/>
      <c r="I557" s="68"/>
      <c r="J557" s="68"/>
      <c r="K557" s="32"/>
      <c r="L557" s="75">
        <v>557</v>
      </c>
      <c r="M557" s="75"/>
      <c r="N557" s="70"/>
      <c r="O557" s="77" t="s">
        <v>179</v>
      </c>
      <c r="P557" s="79">
        <v>45098.810925925929</v>
      </c>
      <c r="Q557" s="77" t="s">
        <v>2572</v>
      </c>
      <c r="R557" s="77">
        <v>0</v>
      </c>
      <c r="S557" s="77">
        <v>2</v>
      </c>
      <c r="T557" s="77">
        <v>0</v>
      </c>
      <c r="U557" s="77">
        <v>0</v>
      </c>
      <c r="V557" s="77">
        <v>328</v>
      </c>
      <c r="W557" s="80" t="s">
        <v>6298</v>
      </c>
      <c r="X557" s="83" t="str">
        <f>HYPERLINK("https://www.seudinheiro.com/2023/criptomoedas/criptomoedas-banco-central-mercado-arbitro-rens/")</f>
        <v>https://www.seudinheiro.com/2023/criptomoedas/criptomoedas-banco-central-mercado-arbitro-rens/</v>
      </c>
      <c r="Y557" s="77" t="s">
        <v>8674</v>
      </c>
      <c r="Z557" s="77"/>
      <c r="AA557" s="77"/>
      <c r="AB557" s="77"/>
      <c r="AC557" s="80" t="s">
        <v>10558</v>
      </c>
      <c r="AD557" s="77" t="s">
        <v>10617</v>
      </c>
      <c r="AE557" s="83" t="str">
        <f>HYPERLINK("https://twitter.com/seu_dinheiro_br/status/1671600808985518088")</f>
        <v>https://twitter.com/seu_dinheiro_br/status/1671600808985518088</v>
      </c>
      <c r="AF557" s="79">
        <v>45098.810925925929</v>
      </c>
      <c r="AG557" s="85">
        <v>45098</v>
      </c>
      <c r="AH557" s="80" t="s">
        <v>11133</v>
      </c>
      <c r="AI557" s="77" t="b">
        <v>0</v>
      </c>
      <c r="AJ557" s="77"/>
      <c r="AK557" s="77"/>
      <c r="AL557" s="77"/>
      <c r="AM557" s="77"/>
      <c r="AN557" s="77"/>
      <c r="AO557" s="77"/>
      <c r="AP557" s="77"/>
      <c r="AQ557" s="77"/>
      <c r="AR557" s="77"/>
      <c r="AS557" s="77"/>
      <c r="AT557" s="77"/>
      <c r="AU557" s="77"/>
      <c r="AV557" s="83" t="str">
        <f>HYPERLINK("https://pbs.twimg.com/profile_images/1041725334431952896/uaPtkYSp_normal.jpg")</f>
        <v>https://pbs.twimg.com/profile_images/1041725334431952896/uaPtkYSp_normal.jpg</v>
      </c>
      <c r="AW557" s="80" t="s">
        <v>16521</v>
      </c>
      <c r="AX557" s="80" t="s">
        <v>16521</v>
      </c>
      <c r="AY557" s="77"/>
      <c r="AZ557" s="80" t="s">
        <v>20380</v>
      </c>
      <c r="BA557" s="80" t="s">
        <v>20380</v>
      </c>
      <c r="BB557" s="80" t="s">
        <v>20380</v>
      </c>
      <c r="BC557" s="80" t="s">
        <v>16521</v>
      </c>
      <c r="BD557" s="80" t="s">
        <v>20609</v>
      </c>
      <c r="BE557" s="77"/>
      <c r="BF557" s="77"/>
      <c r="BG557" s="77"/>
      <c r="BH557" s="77"/>
      <c r="BI557" s="77"/>
    </row>
    <row r="558" spans="1:61" x14ac:dyDescent="0.25">
      <c r="A558" s="62" t="s">
        <v>455</v>
      </c>
      <c r="B558" s="62" t="s">
        <v>455</v>
      </c>
      <c r="C558" s="63"/>
      <c r="D558" s="64"/>
      <c r="E558" s="65"/>
      <c r="F558" s="66"/>
      <c r="G558" s="63"/>
      <c r="H558" s="67"/>
      <c r="I558" s="68"/>
      <c r="J558" s="68"/>
      <c r="K558" s="32"/>
      <c r="L558" s="75">
        <v>558</v>
      </c>
      <c r="M558" s="75"/>
      <c r="N558" s="70"/>
      <c r="O558" s="77" t="s">
        <v>179</v>
      </c>
      <c r="P558" s="79">
        <v>45077.885497685187</v>
      </c>
      <c r="Q558" s="77" t="s">
        <v>2573</v>
      </c>
      <c r="R558" s="77">
        <v>0</v>
      </c>
      <c r="S558" s="77">
        <v>0</v>
      </c>
      <c r="T558" s="77">
        <v>0</v>
      </c>
      <c r="U558" s="77">
        <v>0</v>
      </c>
      <c r="V558" s="77">
        <v>196</v>
      </c>
      <c r="W558" s="80" t="s">
        <v>6299</v>
      </c>
      <c r="X558" s="83" t="str">
        <f>HYPERLINK("https://www.seudinheiro.com/2023/economia/faz-um-pix-transferencia-instantanea-operacoes-transferencias-financeiras-afirma-banco-central-lils/")</f>
        <v>https://www.seudinheiro.com/2023/economia/faz-um-pix-transferencia-instantanea-operacoes-transferencias-financeiras-afirma-banco-central-lils/</v>
      </c>
      <c r="Y558" s="77" t="s">
        <v>8674</v>
      </c>
      <c r="Z558" s="77"/>
      <c r="AA558" s="77"/>
      <c r="AB558" s="77"/>
      <c r="AC558" s="80" t="s">
        <v>10558</v>
      </c>
      <c r="AD558" s="77" t="s">
        <v>10617</v>
      </c>
      <c r="AE558" s="83" t="str">
        <f>HYPERLINK("https://twitter.com/seu_dinheiro_br/status/1664017687305961474")</f>
        <v>https://twitter.com/seu_dinheiro_br/status/1664017687305961474</v>
      </c>
      <c r="AF558" s="79">
        <v>45077.885497685187</v>
      </c>
      <c r="AG558" s="85">
        <v>45077</v>
      </c>
      <c r="AH558" s="80" t="s">
        <v>11134</v>
      </c>
      <c r="AI558" s="77" t="b">
        <v>0</v>
      </c>
      <c r="AJ558" s="77"/>
      <c r="AK558" s="77"/>
      <c r="AL558" s="77"/>
      <c r="AM558" s="77"/>
      <c r="AN558" s="77"/>
      <c r="AO558" s="77"/>
      <c r="AP558" s="77"/>
      <c r="AQ558" s="77"/>
      <c r="AR558" s="77"/>
      <c r="AS558" s="77"/>
      <c r="AT558" s="77"/>
      <c r="AU558" s="77"/>
      <c r="AV558" s="83" t="str">
        <f>HYPERLINK("https://pbs.twimg.com/profile_images/1041725334431952896/uaPtkYSp_normal.jpg")</f>
        <v>https://pbs.twimg.com/profile_images/1041725334431952896/uaPtkYSp_normal.jpg</v>
      </c>
      <c r="AW558" s="80" t="s">
        <v>16522</v>
      </c>
      <c r="AX558" s="80" t="s">
        <v>16522</v>
      </c>
      <c r="AY558" s="77"/>
      <c r="AZ558" s="80" t="s">
        <v>20380</v>
      </c>
      <c r="BA558" s="80" t="s">
        <v>20380</v>
      </c>
      <c r="BB558" s="80" t="s">
        <v>20380</v>
      </c>
      <c r="BC558" s="80" t="s">
        <v>16522</v>
      </c>
      <c r="BD558" s="80" t="s">
        <v>20609</v>
      </c>
      <c r="BE558" s="77"/>
      <c r="BF558" s="77"/>
      <c r="BG558" s="77"/>
      <c r="BH558" s="77"/>
      <c r="BI558" s="77"/>
    </row>
    <row r="559" spans="1:61" x14ac:dyDescent="0.25">
      <c r="A559" s="62" t="s">
        <v>455</v>
      </c>
      <c r="B559" s="62" t="s">
        <v>455</v>
      </c>
      <c r="C559" s="63"/>
      <c r="D559" s="64"/>
      <c r="E559" s="65"/>
      <c r="F559" s="66"/>
      <c r="G559" s="63"/>
      <c r="H559" s="67"/>
      <c r="I559" s="68"/>
      <c r="J559" s="68"/>
      <c r="K559" s="32"/>
      <c r="L559" s="75">
        <v>559</v>
      </c>
      <c r="M559" s="75"/>
      <c r="N559" s="70"/>
      <c r="O559" s="77" t="s">
        <v>179</v>
      </c>
      <c r="P559" s="79">
        <v>45076.668124999997</v>
      </c>
      <c r="Q559" s="77" t="s">
        <v>2574</v>
      </c>
      <c r="R559" s="77">
        <v>1</v>
      </c>
      <c r="S559" s="77">
        <v>3</v>
      </c>
      <c r="T559" s="77">
        <v>0</v>
      </c>
      <c r="U559" s="77">
        <v>0</v>
      </c>
      <c r="V559" s="77">
        <v>258</v>
      </c>
      <c r="W559" s="80" t="s">
        <v>6300</v>
      </c>
      <c r="X559" s="83" t="str">
        <f>HYPERLINK("https://www.seudinheiro.com/2023/economia/juro-cartao-de-credito-rotativo-rens/")</f>
        <v>https://www.seudinheiro.com/2023/economia/juro-cartao-de-credito-rotativo-rens/</v>
      </c>
      <c r="Y559" s="77" t="s">
        <v>8674</v>
      </c>
      <c r="Z559" s="77"/>
      <c r="AA559" s="77"/>
      <c r="AB559" s="77"/>
      <c r="AC559" s="80" t="s">
        <v>10558</v>
      </c>
      <c r="AD559" s="77" t="s">
        <v>10617</v>
      </c>
      <c r="AE559" s="83" t="str">
        <f>HYPERLINK("https://twitter.com/seu_dinheiro_br/status/1663576526397362176")</f>
        <v>https://twitter.com/seu_dinheiro_br/status/1663576526397362176</v>
      </c>
      <c r="AF559" s="79">
        <v>45076.668124999997</v>
      </c>
      <c r="AG559" s="85">
        <v>45076</v>
      </c>
      <c r="AH559" s="80" t="s">
        <v>11135</v>
      </c>
      <c r="AI559" s="77" t="b">
        <v>0</v>
      </c>
      <c r="AJ559" s="77"/>
      <c r="AK559" s="77"/>
      <c r="AL559" s="77"/>
      <c r="AM559" s="77"/>
      <c r="AN559" s="77"/>
      <c r="AO559" s="77"/>
      <c r="AP559" s="77"/>
      <c r="AQ559" s="77"/>
      <c r="AR559" s="77"/>
      <c r="AS559" s="77"/>
      <c r="AT559" s="77"/>
      <c r="AU559" s="77"/>
      <c r="AV559" s="83" t="str">
        <f>HYPERLINK("https://pbs.twimg.com/profile_images/1041725334431952896/uaPtkYSp_normal.jpg")</f>
        <v>https://pbs.twimg.com/profile_images/1041725334431952896/uaPtkYSp_normal.jpg</v>
      </c>
      <c r="AW559" s="80" t="s">
        <v>16523</v>
      </c>
      <c r="AX559" s="80" t="s">
        <v>16523</v>
      </c>
      <c r="AY559" s="77"/>
      <c r="AZ559" s="80" t="s">
        <v>20380</v>
      </c>
      <c r="BA559" s="80" t="s">
        <v>20380</v>
      </c>
      <c r="BB559" s="80" t="s">
        <v>20380</v>
      </c>
      <c r="BC559" s="80" t="s">
        <v>16523</v>
      </c>
      <c r="BD559" s="80" t="s">
        <v>20609</v>
      </c>
      <c r="BE559" s="77"/>
      <c r="BF559" s="77"/>
      <c r="BG559" s="77"/>
      <c r="BH559" s="77"/>
      <c r="BI559" s="77"/>
    </row>
    <row r="560" spans="1:61" x14ac:dyDescent="0.25">
      <c r="A560" s="62" t="s">
        <v>455</v>
      </c>
      <c r="B560" s="62" t="s">
        <v>455</v>
      </c>
      <c r="C560" s="63"/>
      <c r="D560" s="64"/>
      <c r="E560" s="65"/>
      <c r="F560" s="66"/>
      <c r="G560" s="63"/>
      <c r="H560" s="67"/>
      <c r="I560" s="68"/>
      <c r="J560" s="68"/>
      <c r="K560" s="32"/>
      <c r="L560" s="75">
        <v>560</v>
      </c>
      <c r="M560" s="75"/>
      <c r="N560" s="70"/>
      <c r="O560" s="77" t="s">
        <v>179</v>
      </c>
      <c r="P560" s="79">
        <v>45075.834791666668</v>
      </c>
      <c r="Q560" s="77" t="s">
        <v>2575</v>
      </c>
      <c r="R560" s="77">
        <v>1</v>
      </c>
      <c r="S560" s="77">
        <v>0</v>
      </c>
      <c r="T560" s="77">
        <v>0</v>
      </c>
      <c r="U560" s="77">
        <v>0</v>
      </c>
      <c r="V560" s="77">
        <v>301</v>
      </c>
      <c r="W560" s="80" t="s">
        <v>6301</v>
      </c>
      <c r="X560" s="83" t="str">
        <f>HYPERLINK("https://www.seudinheiro.com/2023/economia/grandes-bancos-ainda-dominam-mercado-de-cartoes-de-credito-no-brasil-apesar-de-aumento-da-competicao-flal/")</f>
        <v>https://www.seudinheiro.com/2023/economia/grandes-bancos-ainda-dominam-mercado-de-cartoes-de-credito-no-brasil-apesar-de-aumento-da-competicao-flal/</v>
      </c>
      <c r="Y560" s="77" t="s">
        <v>8674</v>
      </c>
      <c r="Z560" s="77"/>
      <c r="AA560" s="77"/>
      <c r="AB560" s="77"/>
      <c r="AC560" s="80" t="s">
        <v>10558</v>
      </c>
      <c r="AD560" s="77" t="s">
        <v>10617</v>
      </c>
      <c r="AE560" s="83" t="str">
        <f>HYPERLINK("https://twitter.com/seu_dinheiro_br/status/1663274535410384914")</f>
        <v>https://twitter.com/seu_dinheiro_br/status/1663274535410384914</v>
      </c>
      <c r="AF560" s="79">
        <v>45075.834791666668</v>
      </c>
      <c r="AG560" s="85">
        <v>45075</v>
      </c>
      <c r="AH560" s="80" t="s">
        <v>11136</v>
      </c>
      <c r="AI560" s="77" t="b">
        <v>0</v>
      </c>
      <c r="AJ560" s="77"/>
      <c r="AK560" s="77"/>
      <c r="AL560" s="77"/>
      <c r="AM560" s="77"/>
      <c r="AN560" s="77"/>
      <c r="AO560" s="77"/>
      <c r="AP560" s="77"/>
      <c r="AQ560" s="77"/>
      <c r="AR560" s="77"/>
      <c r="AS560" s="77"/>
      <c r="AT560" s="77"/>
      <c r="AU560" s="77"/>
      <c r="AV560" s="83" t="str">
        <f>HYPERLINK("https://pbs.twimg.com/profile_images/1041725334431952896/uaPtkYSp_normal.jpg")</f>
        <v>https://pbs.twimg.com/profile_images/1041725334431952896/uaPtkYSp_normal.jpg</v>
      </c>
      <c r="AW560" s="80" t="s">
        <v>16524</v>
      </c>
      <c r="AX560" s="80" t="s">
        <v>16524</v>
      </c>
      <c r="AY560" s="77"/>
      <c r="AZ560" s="80" t="s">
        <v>20380</v>
      </c>
      <c r="BA560" s="80" t="s">
        <v>20380</v>
      </c>
      <c r="BB560" s="80" t="s">
        <v>20380</v>
      </c>
      <c r="BC560" s="80" t="s">
        <v>16524</v>
      </c>
      <c r="BD560" s="80" t="s">
        <v>20609</v>
      </c>
      <c r="BE560" s="77"/>
      <c r="BF560" s="77"/>
      <c r="BG560" s="77"/>
      <c r="BH560" s="77"/>
      <c r="BI560" s="77"/>
    </row>
    <row r="561" spans="1:61" x14ac:dyDescent="0.25">
      <c r="A561" s="62" t="s">
        <v>455</v>
      </c>
      <c r="B561" s="62" t="s">
        <v>455</v>
      </c>
      <c r="C561" s="63"/>
      <c r="D561" s="64"/>
      <c r="E561" s="65"/>
      <c r="F561" s="66"/>
      <c r="G561" s="63"/>
      <c r="H561" s="67"/>
      <c r="I561" s="68"/>
      <c r="J561" s="68"/>
      <c r="K561" s="32"/>
      <c r="L561" s="75">
        <v>561</v>
      </c>
      <c r="M561" s="75"/>
      <c r="N561" s="70"/>
      <c r="O561" s="77" t="s">
        <v>179</v>
      </c>
      <c r="P561" s="79">
        <v>45166.778738425928</v>
      </c>
      <c r="Q561" s="77" t="s">
        <v>2576</v>
      </c>
      <c r="R561" s="77">
        <v>1</v>
      </c>
      <c r="S561" s="77">
        <v>5</v>
      </c>
      <c r="T561" s="77">
        <v>0</v>
      </c>
      <c r="U561" s="77">
        <v>0</v>
      </c>
      <c r="V561" s="77">
        <v>333</v>
      </c>
      <c r="W561" s="80" t="s">
        <v>6295</v>
      </c>
      <c r="X561" s="83" t="str">
        <f>HYPERLINK("https://www.seudinheiro.com/2023/economia/brasileiro-milionario-apos-abandonar-milhoes-nos-bancos-dinheiro-esquecido-miql/")</f>
        <v>https://www.seudinheiro.com/2023/economia/brasileiro-milionario-apos-abandonar-milhoes-nos-bancos-dinheiro-esquecido-miql/</v>
      </c>
      <c r="Y561" s="77" t="s">
        <v>8674</v>
      </c>
      <c r="Z561" s="77"/>
      <c r="AA561" s="77"/>
      <c r="AB561" s="77"/>
      <c r="AC561" s="80" t="s">
        <v>10558</v>
      </c>
      <c r="AD561" s="77" t="s">
        <v>10617</v>
      </c>
      <c r="AE561" s="83" t="str">
        <f>HYPERLINK("https://twitter.com/seu_dinheiro_br/status/1696231520699117872")</f>
        <v>https://twitter.com/seu_dinheiro_br/status/1696231520699117872</v>
      </c>
      <c r="AF561" s="79">
        <v>45166.778738425928</v>
      </c>
      <c r="AG561" s="85">
        <v>45166</v>
      </c>
      <c r="AH561" s="80" t="s">
        <v>11137</v>
      </c>
      <c r="AI561" s="77" t="b">
        <v>0</v>
      </c>
      <c r="AJ561" s="77"/>
      <c r="AK561" s="77"/>
      <c r="AL561" s="77"/>
      <c r="AM561" s="77"/>
      <c r="AN561" s="77"/>
      <c r="AO561" s="77"/>
      <c r="AP561" s="77"/>
      <c r="AQ561" s="77"/>
      <c r="AR561" s="77"/>
      <c r="AS561" s="77"/>
      <c r="AT561" s="77"/>
      <c r="AU561" s="77"/>
      <c r="AV561" s="83" t="str">
        <f>HYPERLINK("https://pbs.twimg.com/profile_images/1041725334431952896/uaPtkYSp_normal.jpg")</f>
        <v>https://pbs.twimg.com/profile_images/1041725334431952896/uaPtkYSp_normal.jpg</v>
      </c>
      <c r="AW561" s="80" t="s">
        <v>16525</v>
      </c>
      <c r="AX561" s="80" t="s">
        <v>16525</v>
      </c>
      <c r="AY561" s="77"/>
      <c r="AZ561" s="80" t="s">
        <v>20380</v>
      </c>
      <c r="BA561" s="80" t="s">
        <v>20380</v>
      </c>
      <c r="BB561" s="80" t="s">
        <v>20380</v>
      </c>
      <c r="BC561" s="80" t="s">
        <v>16525</v>
      </c>
      <c r="BD561" s="80" t="s">
        <v>20609</v>
      </c>
      <c r="BE561" s="77"/>
      <c r="BF561" s="77"/>
      <c r="BG561" s="77"/>
      <c r="BH561" s="77"/>
      <c r="BI561" s="77"/>
    </row>
    <row r="562" spans="1:61" x14ac:dyDescent="0.25">
      <c r="A562" s="62" t="s">
        <v>455</v>
      </c>
      <c r="B562" s="62" t="s">
        <v>455</v>
      </c>
      <c r="C562" s="63"/>
      <c r="D562" s="64"/>
      <c r="E562" s="65"/>
      <c r="F562" s="66"/>
      <c r="G562" s="63"/>
      <c r="H562" s="67"/>
      <c r="I562" s="68"/>
      <c r="J562" s="68"/>
      <c r="K562" s="32"/>
      <c r="L562" s="75">
        <v>562</v>
      </c>
      <c r="M562" s="75"/>
      <c r="N562" s="70"/>
      <c r="O562" s="77" t="s">
        <v>179</v>
      </c>
      <c r="P562" s="79">
        <v>45139.392442129632</v>
      </c>
      <c r="Q562" s="77" t="s">
        <v>2577</v>
      </c>
      <c r="R562" s="77">
        <v>0</v>
      </c>
      <c r="S562" s="77">
        <v>0</v>
      </c>
      <c r="T562" s="77">
        <v>1</v>
      </c>
      <c r="U562" s="77">
        <v>0</v>
      </c>
      <c r="V562" s="77">
        <v>299</v>
      </c>
      <c r="W562" s="80" t="s">
        <v>6278</v>
      </c>
      <c r="X562" s="83" t="str">
        <f>HYPERLINK("https://www.seudinheiro.com/2023/colunistas/juros-copom-agosto-reuniao-analise-rsgp/")</f>
        <v>https://www.seudinheiro.com/2023/colunistas/juros-copom-agosto-reuniao-analise-rsgp/</v>
      </c>
      <c r="Y562" s="77" t="s">
        <v>8674</v>
      </c>
      <c r="Z562" s="77"/>
      <c r="AA562" s="77"/>
      <c r="AB562" s="77"/>
      <c r="AC562" s="80" t="s">
        <v>10558</v>
      </c>
      <c r="AD562" s="77" t="s">
        <v>10617</v>
      </c>
      <c r="AE562" s="83" t="str">
        <f>HYPERLINK("https://twitter.com/seu_dinheiro_br/status/1686307057484324864")</f>
        <v>https://twitter.com/seu_dinheiro_br/status/1686307057484324864</v>
      </c>
      <c r="AF562" s="79">
        <v>45139.392442129632</v>
      </c>
      <c r="AG562" s="85">
        <v>45139</v>
      </c>
      <c r="AH562" s="80" t="s">
        <v>11138</v>
      </c>
      <c r="AI562" s="77" t="b">
        <v>0</v>
      </c>
      <c r="AJ562" s="77"/>
      <c r="AK562" s="77"/>
      <c r="AL562" s="77"/>
      <c r="AM562" s="77"/>
      <c r="AN562" s="77"/>
      <c r="AO562" s="77"/>
      <c r="AP562" s="77"/>
      <c r="AQ562" s="77"/>
      <c r="AR562" s="77"/>
      <c r="AS562" s="77"/>
      <c r="AT562" s="77"/>
      <c r="AU562" s="77"/>
      <c r="AV562" s="83" t="str">
        <f>HYPERLINK("https://pbs.twimg.com/profile_images/1041725334431952896/uaPtkYSp_normal.jpg")</f>
        <v>https://pbs.twimg.com/profile_images/1041725334431952896/uaPtkYSp_normal.jpg</v>
      </c>
      <c r="AW562" s="80" t="s">
        <v>16526</v>
      </c>
      <c r="AX562" s="80" t="s">
        <v>16526</v>
      </c>
      <c r="AY562" s="77"/>
      <c r="AZ562" s="80" t="s">
        <v>20380</v>
      </c>
      <c r="BA562" s="80" t="s">
        <v>20380</v>
      </c>
      <c r="BB562" s="80" t="s">
        <v>20380</v>
      </c>
      <c r="BC562" s="80" t="s">
        <v>16526</v>
      </c>
      <c r="BD562" s="80" t="s">
        <v>20609</v>
      </c>
      <c r="BE562" s="77"/>
      <c r="BF562" s="77"/>
      <c r="BG562" s="77"/>
      <c r="BH562" s="77"/>
      <c r="BI562" s="77"/>
    </row>
    <row r="563" spans="1:61" x14ac:dyDescent="0.25">
      <c r="A563" s="62" t="s">
        <v>455</v>
      </c>
      <c r="B563" s="62" t="s">
        <v>455</v>
      </c>
      <c r="C563" s="63"/>
      <c r="D563" s="64"/>
      <c r="E563" s="65"/>
      <c r="F563" s="66"/>
      <c r="G563" s="63"/>
      <c r="H563" s="67"/>
      <c r="I563" s="68"/>
      <c r="J563" s="68"/>
      <c r="K563" s="32"/>
      <c r="L563" s="75">
        <v>563</v>
      </c>
      <c r="M563" s="75"/>
      <c r="N563" s="70"/>
      <c r="O563" s="77" t="s">
        <v>179</v>
      </c>
      <c r="P563" s="79">
        <v>45138.977083333331</v>
      </c>
      <c r="Q563" s="77" t="s">
        <v>2578</v>
      </c>
      <c r="R563" s="77">
        <v>1</v>
      </c>
      <c r="S563" s="77">
        <v>1</v>
      </c>
      <c r="T563" s="77">
        <v>0</v>
      </c>
      <c r="U563" s="77">
        <v>0</v>
      </c>
      <c r="V563" s="77">
        <v>333</v>
      </c>
      <c r="W563" s="80" t="s">
        <v>6296</v>
      </c>
      <c r="X563" s="83" t="str">
        <f>HYPERLINK("https://www.seudinheiro.com/2023/economia/selic-vai-cair-para-135-ou-1325-a-xp-responde-qual-sera-o-tamanho-do-corte-dos-juros-na-quarta-feira-ccgg/")</f>
        <v>https://www.seudinheiro.com/2023/economia/selic-vai-cair-para-135-ou-1325-a-xp-responde-qual-sera-o-tamanho-do-corte-dos-juros-na-quarta-feira-ccgg/</v>
      </c>
      <c r="Y563" s="77" t="s">
        <v>8674</v>
      </c>
      <c r="Z563" s="77"/>
      <c r="AA563" s="77"/>
      <c r="AB563" s="77"/>
      <c r="AC563" s="80" t="s">
        <v>10558</v>
      </c>
      <c r="AD563" s="77" t="s">
        <v>10617</v>
      </c>
      <c r="AE563" s="83" t="str">
        <f>HYPERLINK("https://twitter.com/seu_dinheiro_br/status/1686156536983302144")</f>
        <v>https://twitter.com/seu_dinheiro_br/status/1686156536983302144</v>
      </c>
      <c r="AF563" s="79">
        <v>45138.977083333331</v>
      </c>
      <c r="AG563" s="85">
        <v>45138</v>
      </c>
      <c r="AH563" s="80" t="s">
        <v>11139</v>
      </c>
      <c r="AI563" s="77" t="b">
        <v>0</v>
      </c>
      <c r="AJ563" s="77"/>
      <c r="AK563" s="77"/>
      <c r="AL563" s="77"/>
      <c r="AM563" s="77"/>
      <c r="AN563" s="77"/>
      <c r="AO563" s="77"/>
      <c r="AP563" s="77"/>
      <c r="AQ563" s="77"/>
      <c r="AR563" s="77"/>
      <c r="AS563" s="77"/>
      <c r="AT563" s="77"/>
      <c r="AU563" s="77"/>
      <c r="AV563" s="83" t="str">
        <f>HYPERLINK("https://pbs.twimg.com/profile_images/1041725334431952896/uaPtkYSp_normal.jpg")</f>
        <v>https://pbs.twimg.com/profile_images/1041725334431952896/uaPtkYSp_normal.jpg</v>
      </c>
      <c r="AW563" s="80" t="s">
        <v>16527</v>
      </c>
      <c r="AX563" s="80" t="s">
        <v>16527</v>
      </c>
      <c r="AY563" s="77"/>
      <c r="AZ563" s="80" t="s">
        <v>20380</v>
      </c>
      <c r="BA563" s="80" t="s">
        <v>20380</v>
      </c>
      <c r="BB563" s="80" t="s">
        <v>20380</v>
      </c>
      <c r="BC563" s="80" t="s">
        <v>16527</v>
      </c>
      <c r="BD563" s="80" t="s">
        <v>20609</v>
      </c>
      <c r="BE563" s="77"/>
      <c r="BF563" s="77"/>
      <c r="BG563" s="77"/>
      <c r="BH563" s="77"/>
      <c r="BI563" s="77"/>
    </row>
    <row r="564" spans="1:61" x14ac:dyDescent="0.25">
      <c r="A564" s="62" t="s">
        <v>455</v>
      </c>
      <c r="B564" s="62" t="s">
        <v>455</v>
      </c>
      <c r="C564" s="63"/>
      <c r="D564" s="64"/>
      <c r="E564" s="65"/>
      <c r="F564" s="66"/>
      <c r="G564" s="63"/>
      <c r="H564" s="67"/>
      <c r="I564" s="68"/>
      <c r="J564" s="68"/>
      <c r="K564" s="32"/>
      <c r="L564" s="75">
        <v>564</v>
      </c>
      <c r="M564" s="75"/>
      <c r="N564" s="70"/>
      <c r="O564" s="77" t="s">
        <v>179</v>
      </c>
      <c r="P564" s="79">
        <v>45098.409837962965</v>
      </c>
      <c r="Q564" s="77" t="s">
        <v>2579</v>
      </c>
      <c r="R564" s="77">
        <v>1</v>
      </c>
      <c r="S564" s="77">
        <v>3</v>
      </c>
      <c r="T564" s="77">
        <v>0</v>
      </c>
      <c r="U564" s="77">
        <v>0</v>
      </c>
      <c r="V564" s="77">
        <v>424</v>
      </c>
      <c r="W564" s="80" t="s">
        <v>6273</v>
      </c>
      <c r="X564" s="83" t="str">
        <f>HYPERLINK("https://www.seudinheiro.com/2023/renda-fixa/desempenho-tesouro-direto-desde-ultima-reuniao-copom-julw/")</f>
        <v>https://www.seudinheiro.com/2023/renda-fixa/desempenho-tesouro-direto-desde-ultima-reuniao-copom-julw/</v>
      </c>
      <c r="Y564" s="77" t="s">
        <v>8674</v>
      </c>
      <c r="Z564" s="77"/>
      <c r="AA564" s="77"/>
      <c r="AB564" s="77"/>
      <c r="AC564" s="80" t="s">
        <v>10558</v>
      </c>
      <c r="AD564" s="77" t="s">
        <v>10617</v>
      </c>
      <c r="AE564" s="83" t="str">
        <f>HYPERLINK("https://twitter.com/seu_dinheiro_br/status/1671455461848104960")</f>
        <v>https://twitter.com/seu_dinheiro_br/status/1671455461848104960</v>
      </c>
      <c r="AF564" s="79">
        <v>45098.409837962965</v>
      </c>
      <c r="AG564" s="85">
        <v>45098</v>
      </c>
      <c r="AH564" s="80" t="s">
        <v>11140</v>
      </c>
      <c r="AI564" s="77" t="b">
        <v>0</v>
      </c>
      <c r="AJ564" s="77"/>
      <c r="AK564" s="77"/>
      <c r="AL564" s="77"/>
      <c r="AM564" s="77"/>
      <c r="AN564" s="77"/>
      <c r="AO564" s="77"/>
      <c r="AP564" s="77"/>
      <c r="AQ564" s="77"/>
      <c r="AR564" s="77"/>
      <c r="AS564" s="77"/>
      <c r="AT564" s="77"/>
      <c r="AU564" s="77"/>
      <c r="AV564" s="83" t="str">
        <f>HYPERLINK("https://pbs.twimg.com/profile_images/1041725334431952896/uaPtkYSp_normal.jpg")</f>
        <v>https://pbs.twimg.com/profile_images/1041725334431952896/uaPtkYSp_normal.jpg</v>
      </c>
      <c r="AW564" s="80" t="s">
        <v>16528</v>
      </c>
      <c r="AX564" s="80" t="s">
        <v>16528</v>
      </c>
      <c r="AY564" s="77"/>
      <c r="AZ564" s="80" t="s">
        <v>20380</v>
      </c>
      <c r="BA564" s="80" t="s">
        <v>20380</v>
      </c>
      <c r="BB564" s="80" t="s">
        <v>20380</v>
      </c>
      <c r="BC564" s="80" t="s">
        <v>16528</v>
      </c>
      <c r="BD564" s="80" t="s">
        <v>20609</v>
      </c>
      <c r="BE564" s="77"/>
      <c r="BF564" s="77"/>
      <c r="BG564" s="77"/>
      <c r="BH564" s="77"/>
      <c r="BI564" s="77"/>
    </row>
    <row r="565" spans="1:61" x14ac:dyDescent="0.25">
      <c r="A565" s="62" t="s">
        <v>455</v>
      </c>
      <c r="B565" s="62" t="s">
        <v>455</v>
      </c>
      <c r="C565" s="63"/>
      <c r="D565" s="64"/>
      <c r="E565" s="65"/>
      <c r="F565" s="66"/>
      <c r="G565" s="63"/>
      <c r="H565" s="67"/>
      <c r="I565" s="68"/>
      <c r="J565" s="68"/>
      <c r="K565" s="32"/>
      <c r="L565" s="75">
        <v>565</v>
      </c>
      <c r="M565" s="75"/>
      <c r="N565" s="70"/>
      <c r="O565" s="77" t="s">
        <v>179</v>
      </c>
      <c r="P565" s="79">
        <v>45097.792858796296</v>
      </c>
      <c r="Q565" s="77" t="s">
        <v>2580</v>
      </c>
      <c r="R565" s="77">
        <v>0</v>
      </c>
      <c r="S565" s="77">
        <v>1</v>
      </c>
      <c r="T565" s="77">
        <v>0</v>
      </c>
      <c r="U565" s="77">
        <v>0</v>
      </c>
      <c r="V565" s="77">
        <v>232</v>
      </c>
      <c r="W565" s="80" t="s">
        <v>6302</v>
      </c>
      <c r="X565" s="83" t="str">
        <f>HYPERLINK("https://www.seudinheiro.com/2023/economia/pix-taxado-caixa-governo-rens/")</f>
        <v>https://www.seudinheiro.com/2023/economia/pix-taxado-caixa-governo-rens/</v>
      </c>
      <c r="Y565" s="77" t="s">
        <v>8674</v>
      </c>
      <c r="Z565" s="77"/>
      <c r="AA565" s="77"/>
      <c r="AB565" s="77"/>
      <c r="AC565" s="80" t="s">
        <v>10558</v>
      </c>
      <c r="AD565" s="77" t="s">
        <v>10617</v>
      </c>
      <c r="AE565" s="83" t="str">
        <f>HYPERLINK("https://twitter.com/seu_dinheiro_br/status/1671231872955760642")</f>
        <v>https://twitter.com/seu_dinheiro_br/status/1671231872955760642</v>
      </c>
      <c r="AF565" s="79">
        <v>45097.792858796296</v>
      </c>
      <c r="AG565" s="85">
        <v>45097</v>
      </c>
      <c r="AH565" s="80" t="s">
        <v>11141</v>
      </c>
      <c r="AI565" s="77" t="b">
        <v>0</v>
      </c>
      <c r="AJ565" s="77"/>
      <c r="AK565" s="77"/>
      <c r="AL565" s="77"/>
      <c r="AM565" s="77"/>
      <c r="AN565" s="77"/>
      <c r="AO565" s="77"/>
      <c r="AP565" s="77"/>
      <c r="AQ565" s="77"/>
      <c r="AR565" s="77"/>
      <c r="AS565" s="77"/>
      <c r="AT565" s="77"/>
      <c r="AU565" s="77"/>
      <c r="AV565" s="83" t="str">
        <f>HYPERLINK("https://pbs.twimg.com/profile_images/1041725334431952896/uaPtkYSp_normal.jpg")</f>
        <v>https://pbs.twimg.com/profile_images/1041725334431952896/uaPtkYSp_normal.jpg</v>
      </c>
      <c r="AW565" s="80" t="s">
        <v>16529</v>
      </c>
      <c r="AX565" s="80" t="s">
        <v>16529</v>
      </c>
      <c r="AY565" s="77"/>
      <c r="AZ565" s="80" t="s">
        <v>20380</v>
      </c>
      <c r="BA565" s="80" t="s">
        <v>20380</v>
      </c>
      <c r="BB565" s="80" t="s">
        <v>20380</v>
      </c>
      <c r="BC565" s="80" t="s">
        <v>16529</v>
      </c>
      <c r="BD565" s="80" t="s">
        <v>20609</v>
      </c>
      <c r="BE565" s="77"/>
      <c r="BF565" s="77"/>
      <c r="BG565" s="77"/>
      <c r="BH565" s="77"/>
      <c r="BI565" s="77"/>
    </row>
    <row r="566" spans="1:61" x14ac:dyDescent="0.25">
      <c r="A566" s="62" t="s">
        <v>455</v>
      </c>
      <c r="B566" s="62" t="s">
        <v>455</v>
      </c>
      <c r="C566" s="63"/>
      <c r="D566" s="64"/>
      <c r="E566" s="65"/>
      <c r="F566" s="66"/>
      <c r="G566" s="63"/>
      <c r="H566" s="67"/>
      <c r="I566" s="68"/>
      <c r="J566" s="68"/>
      <c r="K566" s="32"/>
      <c r="L566" s="75">
        <v>566</v>
      </c>
      <c r="M566" s="75"/>
      <c r="N566" s="70"/>
      <c r="O566" s="77" t="s">
        <v>179</v>
      </c>
      <c r="P566" s="79">
        <v>45097.591064814813</v>
      </c>
      <c r="Q566" s="77" t="s">
        <v>2581</v>
      </c>
      <c r="R566" s="77">
        <v>1</v>
      </c>
      <c r="S566" s="77">
        <v>2</v>
      </c>
      <c r="T566" s="77">
        <v>1</v>
      </c>
      <c r="U566" s="77">
        <v>0</v>
      </c>
      <c r="V566" s="77">
        <v>203</v>
      </c>
      <c r="W566" s="80" t="s">
        <v>6303</v>
      </c>
      <c r="X566" s="83" t="str">
        <f>HYPERLINK("https://www.seudinheiro.com/2023/criptomoedas/bis-fmi-cbdcs-economia-criptomoedas-banco-central-rens/")</f>
        <v>https://www.seudinheiro.com/2023/criptomoedas/bis-fmi-cbdcs-economia-criptomoedas-banco-central-rens/</v>
      </c>
      <c r="Y566" s="77" t="s">
        <v>8674</v>
      </c>
      <c r="Z566" s="77"/>
      <c r="AA566" s="77"/>
      <c r="AB566" s="77"/>
      <c r="AC566" s="80" t="s">
        <v>10558</v>
      </c>
      <c r="AD566" s="77" t="s">
        <v>10617</v>
      </c>
      <c r="AE566" s="83" t="str">
        <f>HYPERLINK("https://twitter.com/seu_dinheiro_br/status/1671158747736211456")</f>
        <v>https://twitter.com/seu_dinheiro_br/status/1671158747736211456</v>
      </c>
      <c r="AF566" s="79">
        <v>45097.591064814813</v>
      </c>
      <c r="AG566" s="85">
        <v>45097</v>
      </c>
      <c r="AH566" s="80" t="s">
        <v>11142</v>
      </c>
      <c r="AI566" s="77" t="b">
        <v>0</v>
      </c>
      <c r="AJ566" s="77"/>
      <c r="AK566" s="77"/>
      <c r="AL566" s="77"/>
      <c r="AM566" s="77"/>
      <c r="AN566" s="77"/>
      <c r="AO566" s="77"/>
      <c r="AP566" s="77"/>
      <c r="AQ566" s="77"/>
      <c r="AR566" s="77"/>
      <c r="AS566" s="77"/>
      <c r="AT566" s="77"/>
      <c r="AU566" s="77"/>
      <c r="AV566" s="83" t="str">
        <f>HYPERLINK("https://pbs.twimg.com/profile_images/1041725334431952896/uaPtkYSp_normal.jpg")</f>
        <v>https://pbs.twimg.com/profile_images/1041725334431952896/uaPtkYSp_normal.jpg</v>
      </c>
      <c r="AW566" s="80" t="s">
        <v>16530</v>
      </c>
      <c r="AX566" s="80" t="s">
        <v>16530</v>
      </c>
      <c r="AY566" s="77"/>
      <c r="AZ566" s="80" t="s">
        <v>20380</v>
      </c>
      <c r="BA566" s="80" t="s">
        <v>20380</v>
      </c>
      <c r="BB566" s="80" t="s">
        <v>20380</v>
      </c>
      <c r="BC566" s="80" t="s">
        <v>16530</v>
      </c>
      <c r="BD566" s="80" t="s">
        <v>20609</v>
      </c>
      <c r="BE566" s="77"/>
      <c r="BF566" s="77"/>
      <c r="BG566" s="77"/>
      <c r="BH566" s="77"/>
      <c r="BI566" s="77"/>
    </row>
    <row r="567" spans="1:61" x14ac:dyDescent="0.25">
      <c r="A567" s="62" t="s">
        <v>455</v>
      </c>
      <c r="B567" s="62" t="s">
        <v>455</v>
      </c>
      <c r="C567" s="63"/>
      <c r="D567" s="64"/>
      <c r="E567" s="65"/>
      <c r="F567" s="66"/>
      <c r="G567" s="63"/>
      <c r="H567" s="67"/>
      <c r="I567" s="68"/>
      <c r="J567" s="68"/>
      <c r="K567" s="32"/>
      <c r="L567" s="75">
        <v>567</v>
      </c>
      <c r="M567" s="75"/>
      <c r="N567" s="70"/>
      <c r="O567" s="77" t="s">
        <v>179</v>
      </c>
      <c r="P567" s="79">
        <v>45071.858599537038</v>
      </c>
      <c r="Q567" s="77" t="s">
        <v>2582</v>
      </c>
      <c r="R567" s="77">
        <v>1</v>
      </c>
      <c r="S567" s="77">
        <v>1</v>
      </c>
      <c r="T567" s="77">
        <v>0</v>
      </c>
      <c r="U567" s="77">
        <v>0</v>
      </c>
      <c r="V567" s="77">
        <v>253</v>
      </c>
      <c r="W567" s="80" t="s">
        <v>6304</v>
      </c>
      <c r="X567" s="83" t="str">
        <f>HYPERLINK("https://www.seudinheiro.com/2023/economia/inflacao-ipca-selic-novo-arcabouco-fiscal-juros-mercado-roberto-campos-neto-banco-central-bc-lils/")</f>
        <v>https://www.seudinheiro.com/2023/economia/inflacao-ipca-selic-novo-arcabouco-fiscal-juros-mercado-roberto-campos-neto-banco-central-bc-lils/</v>
      </c>
      <c r="Y567" s="77" t="s">
        <v>8674</v>
      </c>
      <c r="Z567" s="77"/>
      <c r="AA567" s="77"/>
      <c r="AB567" s="77"/>
      <c r="AC567" s="80" t="s">
        <v>10558</v>
      </c>
      <c r="AD567" s="77" t="s">
        <v>10617</v>
      </c>
      <c r="AE567" s="83" t="str">
        <f>HYPERLINK("https://twitter.com/seu_dinheiro_br/status/1661833615062319104")</f>
        <v>https://twitter.com/seu_dinheiro_br/status/1661833615062319104</v>
      </c>
      <c r="AF567" s="79">
        <v>45071.858599537038</v>
      </c>
      <c r="AG567" s="85">
        <v>45071</v>
      </c>
      <c r="AH567" s="80" t="s">
        <v>11143</v>
      </c>
      <c r="AI567" s="77" t="b">
        <v>0</v>
      </c>
      <c r="AJ567" s="77"/>
      <c r="AK567" s="77"/>
      <c r="AL567" s="77"/>
      <c r="AM567" s="77"/>
      <c r="AN567" s="77"/>
      <c r="AO567" s="77"/>
      <c r="AP567" s="77"/>
      <c r="AQ567" s="77"/>
      <c r="AR567" s="77"/>
      <c r="AS567" s="77"/>
      <c r="AT567" s="77"/>
      <c r="AU567" s="77"/>
      <c r="AV567" s="83" t="str">
        <f>HYPERLINK("https://pbs.twimg.com/profile_images/1041725334431952896/uaPtkYSp_normal.jpg")</f>
        <v>https://pbs.twimg.com/profile_images/1041725334431952896/uaPtkYSp_normal.jpg</v>
      </c>
      <c r="AW567" s="80" t="s">
        <v>16531</v>
      </c>
      <c r="AX567" s="80" t="s">
        <v>16531</v>
      </c>
      <c r="AY567" s="77"/>
      <c r="AZ567" s="80" t="s">
        <v>20380</v>
      </c>
      <c r="BA567" s="80" t="s">
        <v>20380</v>
      </c>
      <c r="BB567" s="80" t="s">
        <v>20380</v>
      </c>
      <c r="BC567" s="80" t="s">
        <v>16531</v>
      </c>
      <c r="BD567" s="80" t="s">
        <v>20609</v>
      </c>
      <c r="BE567" s="77"/>
      <c r="BF567" s="77"/>
      <c r="BG567" s="77"/>
      <c r="BH567" s="77"/>
      <c r="BI567" s="77"/>
    </row>
    <row r="568" spans="1:61" x14ac:dyDescent="0.25">
      <c r="A568" s="62" t="s">
        <v>455</v>
      </c>
      <c r="B568" s="62" t="s">
        <v>455</v>
      </c>
      <c r="C568" s="63"/>
      <c r="D568" s="64"/>
      <c r="E568" s="65"/>
      <c r="F568" s="66"/>
      <c r="G568" s="63"/>
      <c r="H568" s="67"/>
      <c r="I568" s="68"/>
      <c r="J568" s="68"/>
      <c r="K568" s="32"/>
      <c r="L568" s="75">
        <v>568</v>
      </c>
      <c r="M568" s="75"/>
      <c r="N568" s="70"/>
      <c r="O568" s="77" t="s">
        <v>179</v>
      </c>
      <c r="P568" s="79">
        <v>45070.782280092593</v>
      </c>
      <c r="Q568" s="77" t="s">
        <v>2583</v>
      </c>
      <c r="R568" s="77">
        <v>1</v>
      </c>
      <c r="S568" s="77">
        <v>3</v>
      </c>
      <c r="T568" s="77">
        <v>1</v>
      </c>
      <c r="U568" s="77">
        <v>0</v>
      </c>
      <c r="V568" s="77">
        <v>314</v>
      </c>
      <c r="W568" s="80" t="s">
        <v>6305</v>
      </c>
      <c r="X568" s="83" t="str">
        <f>HYPERLINK("https://www.seudinheiro.com/2023/criptomoedas/nova-fase-do-projeto-piloto-do-real-digital-criptomoeda-rens/")</f>
        <v>https://www.seudinheiro.com/2023/criptomoedas/nova-fase-do-projeto-piloto-do-real-digital-criptomoeda-rens/</v>
      </c>
      <c r="Y568" s="77" t="s">
        <v>8674</v>
      </c>
      <c r="Z568" s="77"/>
      <c r="AA568" s="77"/>
      <c r="AB568" s="77"/>
      <c r="AC568" s="80" t="s">
        <v>10558</v>
      </c>
      <c r="AD568" s="77" t="s">
        <v>10617</v>
      </c>
      <c r="AE568" s="83" t="str">
        <f>HYPERLINK("https://twitter.com/seu_dinheiro_br/status/1661443568391651338")</f>
        <v>https://twitter.com/seu_dinheiro_br/status/1661443568391651338</v>
      </c>
      <c r="AF568" s="79">
        <v>45070.782280092593</v>
      </c>
      <c r="AG568" s="85">
        <v>45070</v>
      </c>
      <c r="AH568" s="80" t="s">
        <v>11144</v>
      </c>
      <c r="AI568" s="77" t="b">
        <v>0</v>
      </c>
      <c r="AJ568" s="77"/>
      <c r="AK568" s="77"/>
      <c r="AL568" s="77"/>
      <c r="AM568" s="77"/>
      <c r="AN568" s="77"/>
      <c r="AO568" s="77"/>
      <c r="AP568" s="77"/>
      <c r="AQ568" s="77"/>
      <c r="AR568" s="77"/>
      <c r="AS568" s="77"/>
      <c r="AT568" s="77"/>
      <c r="AU568" s="77"/>
      <c r="AV568" s="83" t="str">
        <f>HYPERLINK("https://pbs.twimg.com/profile_images/1041725334431952896/uaPtkYSp_normal.jpg")</f>
        <v>https://pbs.twimg.com/profile_images/1041725334431952896/uaPtkYSp_normal.jpg</v>
      </c>
      <c r="AW568" s="80" t="s">
        <v>16532</v>
      </c>
      <c r="AX568" s="80" t="s">
        <v>16532</v>
      </c>
      <c r="AY568" s="77"/>
      <c r="AZ568" s="80" t="s">
        <v>20380</v>
      </c>
      <c r="BA568" s="80" t="s">
        <v>20380</v>
      </c>
      <c r="BB568" s="80" t="s">
        <v>20380</v>
      </c>
      <c r="BC568" s="80" t="s">
        <v>16532</v>
      </c>
      <c r="BD568" s="80" t="s">
        <v>20609</v>
      </c>
      <c r="BE568" s="77"/>
      <c r="BF568" s="77"/>
      <c r="BG568" s="77"/>
      <c r="BH568" s="77"/>
      <c r="BI568" s="77"/>
    </row>
    <row r="569" spans="1:61" x14ac:dyDescent="0.25">
      <c r="A569" s="62" t="s">
        <v>455</v>
      </c>
      <c r="B569" s="62" t="s">
        <v>455</v>
      </c>
      <c r="C569" s="63"/>
      <c r="D569" s="64"/>
      <c r="E569" s="65"/>
      <c r="F569" s="66"/>
      <c r="G569" s="63"/>
      <c r="H569" s="67"/>
      <c r="I569" s="68"/>
      <c r="J569" s="68"/>
      <c r="K569" s="32"/>
      <c r="L569" s="75">
        <v>569</v>
      </c>
      <c r="M569" s="75"/>
      <c r="N569" s="70"/>
      <c r="O569" s="77" t="s">
        <v>179</v>
      </c>
      <c r="P569" s="79">
        <v>45162.939664351848</v>
      </c>
      <c r="Q569" s="77" t="s">
        <v>2584</v>
      </c>
      <c r="R569" s="77">
        <v>0</v>
      </c>
      <c r="S569" s="77">
        <v>0</v>
      </c>
      <c r="T569" s="77">
        <v>0</v>
      </c>
      <c r="U569" s="77">
        <v>0</v>
      </c>
      <c r="V569" s="77">
        <v>319</v>
      </c>
      <c r="W569" s="80" t="s">
        <v>6271</v>
      </c>
      <c r="X569" s="83" t="str">
        <f>HYPERLINK("https://www.seudinheiro.com/2023/economia/corte-nos-juros-diretor-do-banco-central-revela-condicoes-para-intensificacao-na-queda-da-taxa-selic-lvit/")</f>
        <v>https://www.seudinheiro.com/2023/economia/corte-nos-juros-diretor-do-banco-central-revela-condicoes-para-intensificacao-na-queda-da-taxa-selic-lvit/</v>
      </c>
      <c r="Y569" s="77" t="s">
        <v>8674</v>
      </c>
      <c r="Z569" s="77"/>
      <c r="AA569" s="77"/>
      <c r="AB569" s="77"/>
      <c r="AC569" s="80" t="s">
        <v>10558</v>
      </c>
      <c r="AD569" s="77" t="s">
        <v>10617</v>
      </c>
      <c r="AE569" s="83" t="str">
        <f>HYPERLINK("https://twitter.com/seu_dinheiro_br/status/1694840286608863705")</f>
        <v>https://twitter.com/seu_dinheiro_br/status/1694840286608863705</v>
      </c>
      <c r="AF569" s="79">
        <v>45162.939664351848</v>
      </c>
      <c r="AG569" s="85">
        <v>45162</v>
      </c>
      <c r="AH569" s="80" t="s">
        <v>11145</v>
      </c>
      <c r="AI569" s="77" t="b">
        <v>0</v>
      </c>
      <c r="AJ569" s="77"/>
      <c r="AK569" s="77"/>
      <c r="AL569" s="77"/>
      <c r="AM569" s="77"/>
      <c r="AN569" s="77"/>
      <c r="AO569" s="77"/>
      <c r="AP569" s="77"/>
      <c r="AQ569" s="77"/>
      <c r="AR569" s="77"/>
      <c r="AS569" s="77"/>
      <c r="AT569" s="77"/>
      <c r="AU569" s="77"/>
      <c r="AV569" s="83" t="str">
        <f>HYPERLINK("https://pbs.twimg.com/profile_images/1041725334431952896/uaPtkYSp_normal.jpg")</f>
        <v>https://pbs.twimg.com/profile_images/1041725334431952896/uaPtkYSp_normal.jpg</v>
      </c>
      <c r="AW569" s="80" t="s">
        <v>16533</v>
      </c>
      <c r="AX569" s="80" t="s">
        <v>16533</v>
      </c>
      <c r="AY569" s="77"/>
      <c r="AZ569" s="80" t="s">
        <v>20380</v>
      </c>
      <c r="BA569" s="80" t="s">
        <v>20380</v>
      </c>
      <c r="BB569" s="80" t="s">
        <v>20380</v>
      </c>
      <c r="BC569" s="80" t="s">
        <v>16533</v>
      </c>
      <c r="BD569" s="80" t="s">
        <v>20609</v>
      </c>
      <c r="BE569" s="77"/>
      <c r="BF569" s="77"/>
      <c r="BG569" s="77"/>
      <c r="BH569" s="77"/>
      <c r="BI569" s="77"/>
    </row>
    <row r="570" spans="1:61" x14ac:dyDescent="0.25">
      <c r="A570" s="62" t="s">
        <v>455</v>
      </c>
      <c r="B570" s="62" t="s">
        <v>455</v>
      </c>
      <c r="C570" s="63"/>
      <c r="D570" s="64"/>
      <c r="E570" s="65"/>
      <c r="F570" s="66"/>
      <c r="G570" s="63"/>
      <c r="H570" s="67"/>
      <c r="I570" s="68"/>
      <c r="J570" s="68"/>
      <c r="K570" s="32"/>
      <c r="L570" s="75">
        <v>570</v>
      </c>
      <c r="M570" s="75"/>
      <c r="N570" s="70"/>
      <c r="O570" s="77" t="s">
        <v>179</v>
      </c>
      <c r="P570" s="79">
        <v>45152.724131944444</v>
      </c>
      <c r="Q570" s="77" t="s">
        <v>2585</v>
      </c>
      <c r="R570" s="77">
        <v>0</v>
      </c>
      <c r="S570" s="77">
        <v>0</v>
      </c>
      <c r="T570" s="77">
        <v>0</v>
      </c>
      <c r="U570" s="77">
        <v>0</v>
      </c>
      <c r="V570" s="77">
        <v>389</v>
      </c>
      <c r="W570" s="80" t="s">
        <v>6306</v>
      </c>
      <c r="X570" s="83" t="str">
        <f>HYPERLINK("https://www.seudinheiro.com/2023/bolsa-dolar/rublo-em-queda-livre-moeda-russa-atinge-a-menor-cotacao-em-17-meses-e-banco-central-convoca-reuniao-de-emergencia-ccgg/")</f>
        <v>https://www.seudinheiro.com/2023/bolsa-dolar/rublo-em-queda-livre-moeda-russa-atinge-a-menor-cotacao-em-17-meses-e-banco-central-convoca-reuniao-de-emergencia-ccgg/</v>
      </c>
      <c r="Y570" s="77" t="s">
        <v>8674</v>
      </c>
      <c r="Z570" s="77"/>
      <c r="AA570" s="77"/>
      <c r="AB570" s="77"/>
      <c r="AC570" s="80" t="s">
        <v>10558</v>
      </c>
      <c r="AD570" s="77" t="s">
        <v>10617</v>
      </c>
      <c r="AE570" s="83" t="str">
        <f>HYPERLINK("https://twitter.com/seu_dinheiro_br/status/1691138300650598402")</f>
        <v>https://twitter.com/seu_dinheiro_br/status/1691138300650598402</v>
      </c>
      <c r="AF570" s="79">
        <v>45152.724131944444</v>
      </c>
      <c r="AG570" s="85">
        <v>45152</v>
      </c>
      <c r="AH570" s="80" t="s">
        <v>11146</v>
      </c>
      <c r="AI570" s="77" t="b">
        <v>0</v>
      </c>
      <c r="AJ570" s="77"/>
      <c r="AK570" s="77"/>
      <c r="AL570" s="77"/>
      <c r="AM570" s="77"/>
      <c r="AN570" s="77"/>
      <c r="AO570" s="77"/>
      <c r="AP570" s="77"/>
      <c r="AQ570" s="77"/>
      <c r="AR570" s="77"/>
      <c r="AS570" s="77"/>
      <c r="AT570" s="77"/>
      <c r="AU570" s="77"/>
      <c r="AV570" s="83" t="str">
        <f>HYPERLINK("https://pbs.twimg.com/profile_images/1041725334431952896/uaPtkYSp_normal.jpg")</f>
        <v>https://pbs.twimg.com/profile_images/1041725334431952896/uaPtkYSp_normal.jpg</v>
      </c>
      <c r="AW570" s="80" t="s">
        <v>16534</v>
      </c>
      <c r="AX570" s="80" t="s">
        <v>16534</v>
      </c>
      <c r="AY570" s="77"/>
      <c r="AZ570" s="80" t="s">
        <v>20380</v>
      </c>
      <c r="BA570" s="80" t="s">
        <v>20380</v>
      </c>
      <c r="BB570" s="80" t="s">
        <v>20380</v>
      </c>
      <c r="BC570" s="80" t="s">
        <v>16534</v>
      </c>
      <c r="BD570" s="80" t="s">
        <v>20609</v>
      </c>
      <c r="BE570" s="77"/>
      <c r="BF570" s="77"/>
      <c r="BG570" s="77"/>
      <c r="BH570" s="77"/>
      <c r="BI570" s="77"/>
    </row>
    <row r="571" spans="1:61" x14ac:dyDescent="0.25">
      <c r="A571" s="62" t="s">
        <v>455</v>
      </c>
      <c r="B571" s="62" t="s">
        <v>455</v>
      </c>
      <c r="C571" s="63"/>
      <c r="D571" s="64"/>
      <c r="E571" s="65"/>
      <c r="F571" s="66"/>
      <c r="G571" s="63"/>
      <c r="H571" s="67"/>
      <c r="I571" s="68"/>
      <c r="J571" s="68"/>
      <c r="K571" s="32"/>
      <c r="L571" s="75">
        <v>571</v>
      </c>
      <c r="M571" s="75"/>
      <c r="N571" s="70"/>
      <c r="O571" s="77" t="s">
        <v>179</v>
      </c>
      <c r="P571" s="79">
        <v>45145.761331018519</v>
      </c>
      <c r="Q571" s="77" t="s">
        <v>2586</v>
      </c>
      <c r="R571" s="77">
        <v>1</v>
      </c>
      <c r="S571" s="77">
        <v>1</v>
      </c>
      <c r="T571" s="77">
        <v>1</v>
      </c>
      <c r="U571" s="77">
        <v>0</v>
      </c>
      <c r="V571" s="77">
        <v>272</v>
      </c>
      <c r="W571" s="80" t="s">
        <v>6307</v>
      </c>
      <c r="X571" s="83" t="str">
        <f>HYPERLINK("https://www.seudinheiro.com/2023/criptomoedas/banco-central-real-digital-drex-rens/")</f>
        <v>https://www.seudinheiro.com/2023/criptomoedas/banco-central-real-digital-drex-rens/</v>
      </c>
      <c r="Y571" s="77" t="s">
        <v>8674</v>
      </c>
      <c r="Z571" s="77"/>
      <c r="AA571" s="77"/>
      <c r="AB571" s="77"/>
      <c r="AC571" s="80" t="s">
        <v>10558</v>
      </c>
      <c r="AD571" s="77" t="s">
        <v>10617</v>
      </c>
      <c r="AE571" s="83" t="str">
        <f>HYPERLINK("https://twitter.com/seu_dinheiro_br/status/1688615065891504128")</f>
        <v>https://twitter.com/seu_dinheiro_br/status/1688615065891504128</v>
      </c>
      <c r="AF571" s="79">
        <v>45145.761331018519</v>
      </c>
      <c r="AG571" s="85">
        <v>45145</v>
      </c>
      <c r="AH571" s="80" t="s">
        <v>11147</v>
      </c>
      <c r="AI571" s="77" t="b">
        <v>0</v>
      </c>
      <c r="AJ571" s="77"/>
      <c r="AK571" s="77"/>
      <c r="AL571" s="77"/>
      <c r="AM571" s="77"/>
      <c r="AN571" s="77"/>
      <c r="AO571" s="77"/>
      <c r="AP571" s="77"/>
      <c r="AQ571" s="77"/>
      <c r="AR571" s="77"/>
      <c r="AS571" s="77"/>
      <c r="AT571" s="77"/>
      <c r="AU571" s="77"/>
      <c r="AV571" s="83" t="str">
        <f>HYPERLINK("https://pbs.twimg.com/profile_images/1041725334431952896/uaPtkYSp_normal.jpg")</f>
        <v>https://pbs.twimg.com/profile_images/1041725334431952896/uaPtkYSp_normal.jpg</v>
      </c>
      <c r="AW571" s="80" t="s">
        <v>16535</v>
      </c>
      <c r="AX571" s="80" t="s">
        <v>16535</v>
      </c>
      <c r="AY571" s="77"/>
      <c r="AZ571" s="80" t="s">
        <v>20380</v>
      </c>
      <c r="BA571" s="80" t="s">
        <v>20380</v>
      </c>
      <c r="BB571" s="80" t="s">
        <v>20380</v>
      </c>
      <c r="BC571" s="80" t="s">
        <v>16535</v>
      </c>
      <c r="BD571" s="80" t="s">
        <v>20609</v>
      </c>
      <c r="BE571" s="77"/>
      <c r="BF571" s="77"/>
      <c r="BG571" s="77"/>
      <c r="BH571" s="77"/>
      <c r="BI571" s="77"/>
    </row>
    <row r="572" spans="1:61" x14ac:dyDescent="0.25">
      <c r="A572" s="62" t="s">
        <v>455</v>
      </c>
      <c r="B572" s="62" t="s">
        <v>455</v>
      </c>
      <c r="C572" s="63"/>
      <c r="D572" s="64"/>
      <c r="E572" s="65"/>
      <c r="F572" s="66"/>
      <c r="G572" s="63"/>
      <c r="H572" s="67"/>
      <c r="I572" s="68"/>
      <c r="J572" s="68"/>
      <c r="K572" s="32"/>
      <c r="L572" s="75">
        <v>572</v>
      </c>
      <c r="M572" s="75"/>
      <c r="N572" s="70"/>
      <c r="O572" s="77" t="s">
        <v>179</v>
      </c>
      <c r="P572" s="79">
        <v>45106.835925925923</v>
      </c>
      <c r="Q572" s="77" t="s">
        <v>2587</v>
      </c>
      <c r="R572" s="77">
        <v>0</v>
      </c>
      <c r="S572" s="77">
        <v>0</v>
      </c>
      <c r="T572" s="77">
        <v>0</v>
      </c>
      <c r="U572" s="77">
        <v>0</v>
      </c>
      <c r="V572" s="77">
        <v>187</v>
      </c>
      <c r="W572" s="80" t="s">
        <v>6308</v>
      </c>
      <c r="X572" s="83" t="str">
        <f>HYPERLINK("https://www.seudinheiro.com/2023/economia/em-dia-de-decisao-crucial-sobre-a-inflacao-campos-neto-fala-o-que-o-governo-quer-ouvir-sobre-os-juros-e-manda-outros-recados-ccgg/")</f>
        <v>https://www.seudinheiro.com/2023/economia/em-dia-de-decisao-crucial-sobre-a-inflacao-campos-neto-fala-o-que-o-governo-quer-ouvir-sobre-os-juros-e-manda-outros-recados-ccgg/</v>
      </c>
      <c r="Y572" s="77" t="s">
        <v>8674</v>
      </c>
      <c r="Z572" s="77"/>
      <c r="AA572" s="77"/>
      <c r="AB572" s="77"/>
      <c r="AC572" s="80" t="s">
        <v>10558</v>
      </c>
      <c r="AD572" s="77" t="s">
        <v>10617</v>
      </c>
      <c r="AE572" s="83" t="str">
        <f>HYPERLINK("https://twitter.com/seu_dinheiro_br/status/1674508973951578138")</f>
        <v>https://twitter.com/seu_dinheiro_br/status/1674508973951578138</v>
      </c>
      <c r="AF572" s="79">
        <v>45106.835925925923</v>
      </c>
      <c r="AG572" s="85">
        <v>45106</v>
      </c>
      <c r="AH572" s="80" t="s">
        <v>11148</v>
      </c>
      <c r="AI572" s="77" t="b">
        <v>0</v>
      </c>
      <c r="AJ572" s="77"/>
      <c r="AK572" s="77"/>
      <c r="AL572" s="77"/>
      <c r="AM572" s="77"/>
      <c r="AN572" s="77"/>
      <c r="AO572" s="77"/>
      <c r="AP572" s="77"/>
      <c r="AQ572" s="77"/>
      <c r="AR572" s="77"/>
      <c r="AS572" s="77"/>
      <c r="AT572" s="77"/>
      <c r="AU572" s="77"/>
      <c r="AV572" s="83" t="str">
        <f>HYPERLINK("https://pbs.twimg.com/profile_images/1041725334431952896/uaPtkYSp_normal.jpg")</f>
        <v>https://pbs.twimg.com/profile_images/1041725334431952896/uaPtkYSp_normal.jpg</v>
      </c>
      <c r="AW572" s="80" t="s">
        <v>16536</v>
      </c>
      <c r="AX572" s="80" t="s">
        <v>16536</v>
      </c>
      <c r="AY572" s="77"/>
      <c r="AZ572" s="80" t="s">
        <v>20380</v>
      </c>
      <c r="BA572" s="80" t="s">
        <v>20380</v>
      </c>
      <c r="BB572" s="80" t="s">
        <v>20380</v>
      </c>
      <c r="BC572" s="80" t="s">
        <v>16536</v>
      </c>
      <c r="BD572" s="80" t="s">
        <v>20609</v>
      </c>
      <c r="BE572" s="77"/>
      <c r="BF572" s="77"/>
      <c r="BG572" s="77"/>
      <c r="BH572" s="77"/>
      <c r="BI572" s="77"/>
    </row>
    <row r="573" spans="1:61" x14ac:dyDescent="0.25">
      <c r="A573" s="62" t="s">
        <v>455</v>
      </c>
      <c r="B573" s="62" t="s">
        <v>455</v>
      </c>
      <c r="C573" s="63"/>
      <c r="D573" s="64"/>
      <c r="E573" s="65"/>
      <c r="F573" s="66"/>
      <c r="G573" s="63"/>
      <c r="H573" s="67"/>
      <c r="I573" s="68"/>
      <c r="J573" s="68"/>
      <c r="K573" s="32"/>
      <c r="L573" s="75">
        <v>573</v>
      </c>
      <c r="M573" s="75"/>
      <c r="N573" s="70"/>
      <c r="O573" s="77" t="s">
        <v>179</v>
      </c>
      <c r="P573" s="79">
        <v>45177.775763888887</v>
      </c>
      <c r="Q573" s="77" t="s">
        <v>2588</v>
      </c>
      <c r="R573" s="77">
        <v>1</v>
      </c>
      <c r="S573" s="77">
        <v>2</v>
      </c>
      <c r="T573" s="77">
        <v>0</v>
      </c>
      <c r="U573" s="77">
        <v>0</v>
      </c>
      <c r="V573" s="77">
        <v>269</v>
      </c>
      <c r="W573" s="80" t="s">
        <v>6309</v>
      </c>
      <c r="X573" s="83" t="str">
        <f>HYPERLINK("https://www.seudinheiro.com/2023/economia/poupanca-ve-saques-superarem-os-depositos-em-r-10074-bilhoes-em-agosto-e-acumula-perdas-de-mais-de-r-80-bilhoes-no-ano-davs/")</f>
        <v>https://www.seudinheiro.com/2023/economia/poupanca-ve-saques-superarem-os-depositos-em-r-10074-bilhoes-em-agosto-e-acumula-perdas-de-mais-de-r-80-bilhoes-no-ano-davs/</v>
      </c>
      <c r="Y573" s="77" t="s">
        <v>8674</v>
      </c>
      <c r="Z573" s="77"/>
      <c r="AA573" s="77"/>
      <c r="AB573" s="77"/>
      <c r="AC573" s="80" t="s">
        <v>10558</v>
      </c>
      <c r="AD573" s="77" t="s">
        <v>10617</v>
      </c>
      <c r="AE573" s="83" t="str">
        <f>HYPERLINK("https://twitter.com/seu_dinheiro_br/status/1700216708143726734")</f>
        <v>https://twitter.com/seu_dinheiro_br/status/1700216708143726734</v>
      </c>
      <c r="AF573" s="79">
        <v>45177.775763888887</v>
      </c>
      <c r="AG573" s="85">
        <v>45177</v>
      </c>
      <c r="AH573" s="80" t="s">
        <v>11149</v>
      </c>
      <c r="AI573" s="77" t="b">
        <v>0</v>
      </c>
      <c r="AJ573" s="77"/>
      <c r="AK573" s="77"/>
      <c r="AL573" s="77"/>
      <c r="AM573" s="77"/>
      <c r="AN573" s="77"/>
      <c r="AO573" s="77"/>
      <c r="AP573" s="77"/>
      <c r="AQ573" s="77"/>
      <c r="AR573" s="77"/>
      <c r="AS573" s="77"/>
      <c r="AT573" s="77"/>
      <c r="AU573" s="77"/>
      <c r="AV573" s="83" t="str">
        <f>HYPERLINK("https://pbs.twimg.com/profile_images/1041725334431952896/uaPtkYSp_normal.jpg")</f>
        <v>https://pbs.twimg.com/profile_images/1041725334431952896/uaPtkYSp_normal.jpg</v>
      </c>
      <c r="AW573" s="80" t="s">
        <v>16537</v>
      </c>
      <c r="AX573" s="80" t="s">
        <v>16537</v>
      </c>
      <c r="AY573" s="77"/>
      <c r="AZ573" s="80" t="s">
        <v>20380</v>
      </c>
      <c r="BA573" s="80" t="s">
        <v>20380</v>
      </c>
      <c r="BB573" s="80" t="s">
        <v>20380</v>
      </c>
      <c r="BC573" s="80" t="s">
        <v>16537</v>
      </c>
      <c r="BD573" s="80" t="s">
        <v>20609</v>
      </c>
      <c r="BE573" s="77"/>
      <c r="BF573" s="77"/>
      <c r="BG573" s="77"/>
      <c r="BH573" s="77"/>
      <c r="BI573" s="77"/>
    </row>
    <row r="574" spans="1:61" x14ac:dyDescent="0.25">
      <c r="A574" s="62" t="s">
        <v>455</v>
      </c>
      <c r="B574" s="62" t="s">
        <v>455</v>
      </c>
      <c r="C574" s="63"/>
      <c r="D574" s="64"/>
      <c r="E574" s="65"/>
      <c r="F574" s="66"/>
      <c r="G574" s="63"/>
      <c r="H574" s="67"/>
      <c r="I574" s="68"/>
      <c r="J574" s="68"/>
      <c r="K574" s="32"/>
      <c r="L574" s="75">
        <v>574</v>
      </c>
      <c r="M574" s="75"/>
      <c r="N574" s="70"/>
      <c r="O574" s="77" t="s">
        <v>179</v>
      </c>
      <c r="P574" s="79">
        <v>45177.545555555553</v>
      </c>
      <c r="Q574" s="77" t="s">
        <v>2589</v>
      </c>
      <c r="R574" s="77">
        <v>1</v>
      </c>
      <c r="S574" s="77">
        <v>1</v>
      </c>
      <c r="T574" s="77">
        <v>0</v>
      </c>
      <c r="U574" s="77">
        <v>0</v>
      </c>
      <c r="V574" s="77">
        <v>152</v>
      </c>
      <c r="W574" s="80" t="s">
        <v>6310</v>
      </c>
      <c r="X574" s="83" t="str">
        <f>HYPERLINK("https://www.seudinheiro.com/2023/economia/pagamentos-no-pix-ja-sao-mais-que-o-dobro-das-transacoes-no-cartao-de-debito-diz-bc/")</f>
        <v>https://www.seudinheiro.com/2023/economia/pagamentos-no-pix-ja-sao-mais-que-o-dobro-das-transacoes-no-cartao-de-debito-diz-bc/</v>
      </c>
      <c r="Y574" s="77" t="s">
        <v>8674</v>
      </c>
      <c r="Z574" s="77"/>
      <c r="AA574" s="77"/>
      <c r="AB574" s="77"/>
      <c r="AC574" s="80" t="s">
        <v>10558</v>
      </c>
      <c r="AD574" s="77" t="s">
        <v>10617</v>
      </c>
      <c r="AE574" s="83" t="str">
        <f>HYPERLINK("https://twitter.com/seu_dinheiro_br/status/1700133283147682092")</f>
        <v>https://twitter.com/seu_dinheiro_br/status/1700133283147682092</v>
      </c>
      <c r="AF574" s="79">
        <v>45177.545555555553</v>
      </c>
      <c r="AG574" s="85">
        <v>45177</v>
      </c>
      <c r="AH574" s="80" t="s">
        <v>11150</v>
      </c>
      <c r="AI574" s="77" t="b">
        <v>0</v>
      </c>
      <c r="AJ574" s="77"/>
      <c r="AK574" s="77"/>
      <c r="AL574" s="77"/>
      <c r="AM574" s="77"/>
      <c r="AN574" s="77"/>
      <c r="AO574" s="77"/>
      <c r="AP574" s="77"/>
      <c r="AQ574" s="77"/>
      <c r="AR574" s="77"/>
      <c r="AS574" s="77"/>
      <c r="AT574" s="77"/>
      <c r="AU574" s="77"/>
      <c r="AV574" s="83" t="str">
        <f>HYPERLINK("https://pbs.twimg.com/profile_images/1041725334431952896/uaPtkYSp_normal.jpg")</f>
        <v>https://pbs.twimg.com/profile_images/1041725334431952896/uaPtkYSp_normal.jpg</v>
      </c>
      <c r="AW574" s="80" t="s">
        <v>16538</v>
      </c>
      <c r="AX574" s="80" t="s">
        <v>16538</v>
      </c>
      <c r="AY574" s="77"/>
      <c r="AZ574" s="80" t="s">
        <v>20380</v>
      </c>
      <c r="BA574" s="80" t="s">
        <v>20380</v>
      </c>
      <c r="BB574" s="80" t="s">
        <v>20380</v>
      </c>
      <c r="BC574" s="80" t="s">
        <v>16538</v>
      </c>
      <c r="BD574" s="80" t="s">
        <v>20609</v>
      </c>
      <c r="BE574" s="77"/>
      <c r="BF574" s="77"/>
      <c r="BG574" s="77"/>
      <c r="BH574" s="77"/>
      <c r="BI574" s="77"/>
    </row>
    <row r="575" spans="1:61" x14ac:dyDescent="0.25">
      <c r="A575" s="62" t="s">
        <v>455</v>
      </c>
      <c r="B575" s="62" t="s">
        <v>455</v>
      </c>
      <c r="C575" s="63"/>
      <c r="D575" s="64"/>
      <c r="E575" s="65"/>
      <c r="F575" s="66"/>
      <c r="G575" s="63"/>
      <c r="H575" s="67"/>
      <c r="I575" s="68"/>
      <c r="J575" s="68"/>
      <c r="K575" s="32"/>
      <c r="L575" s="75">
        <v>575</v>
      </c>
      <c r="M575" s="75"/>
      <c r="N575" s="70"/>
      <c r="O575" s="77" t="s">
        <v>179</v>
      </c>
      <c r="P575" s="79">
        <v>45147.974282407406</v>
      </c>
      <c r="Q575" s="77" t="s">
        <v>2590</v>
      </c>
      <c r="R575" s="77">
        <v>0</v>
      </c>
      <c r="S575" s="77">
        <v>2</v>
      </c>
      <c r="T575" s="77">
        <v>0</v>
      </c>
      <c r="U575" s="77">
        <v>0</v>
      </c>
      <c r="V575" s="77">
        <v>286</v>
      </c>
      <c r="W575" s="80" t="s">
        <v>6273</v>
      </c>
      <c r="X575" s="83" t="str">
        <f>HYPERLINK("https://www.seudinheiro.com/2023/colunistas/rodolfo-amstalden-decifrando-o-devorar-das-cifras-copom-ccgg/")</f>
        <v>https://www.seudinheiro.com/2023/colunistas/rodolfo-amstalden-decifrando-o-devorar-das-cifras-copom-ccgg/</v>
      </c>
      <c r="Y575" s="77" t="s">
        <v>8674</v>
      </c>
      <c r="Z575" s="77"/>
      <c r="AA575" s="77"/>
      <c r="AB575" s="77"/>
      <c r="AC575" s="80" t="s">
        <v>10558</v>
      </c>
      <c r="AD575" s="77" t="s">
        <v>10620</v>
      </c>
      <c r="AE575" s="83" t="str">
        <f>HYPERLINK("https://twitter.com/seu_dinheiro_br/status/1689417013439942656")</f>
        <v>https://twitter.com/seu_dinheiro_br/status/1689417013439942656</v>
      </c>
      <c r="AF575" s="79">
        <v>45147.974282407406</v>
      </c>
      <c r="AG575" s="85">
        <v>45147</v>
      </c>
      <c r="AH575" s="80" t="s">
        <v>11151</v>
      </c>
      <c r="AI575" s="77" t="b">
        <v>0</v>
      </c>
      <c r="AJ575" s="77"/>
      <c r="AK575" s="77"/>
      <c r="AL575" s="77"/>
      <c r="AM575" s="77"/>
      <c r="AN575" s="77"/>
      <c r="AO575" s="77"/>
      <c r="AP575" s="77"/>
      <c r="AQ575" s="77"/>
      <c r="AR575" s="77"/>
      <c r="AS575" s="77"/>
      <c r="AT575" s="77"/>
      <c r="AU575" s="77"/>
      <c r="AV575" s="83" t="str">
        <f>HYPERLINK("https://pbs.twimg.com/profile_images/1041725334431952896/uaPtkYSp_normal.jpg")</f>
        <v>https://pbs.twimg.com/profile_images/1041725334431952896/uaPtkYSp_normal.jpg</v>
      </c>
      <c r="AW575" s="80" t="s">
        <v>16539</v>
      </c>
      <c r="AX575" s="80" t="s">
        <v>16539</v>
      </c>
      <c r="AY575" s="77"/>
      <c r="AZ575" s="80" t="s">
        <v>20380</v>
      </c>
      <c r="BA575" s="80" t="s">
        <v>20380</v>
      </c>
      <c r="BB575" s="80" t="s">
        <v>20380</v>
      </c>
      <c r="BC575" s="80" t="s">
        <v>16539</v>
      </c>
      <c r="BD575" s="80" t="s">
        <v>20609</v>
      </c>
      <c r="BE575" s="77"/>
      <c r="BF575" s="77"/>
      <c r="BG575" s="77"/>
      <c r="BH575" s="77"/>
      <c r="BI575" s="77"/>
    </row>
    <row r="576" spans="1:61" x14ac:dyDescent="0.25">
      <c r="A576" s="62" t="s">
        <v>455</v>
      </c>
      <c r="B576" s="62" t="s">
        <v>455</v>
      </c>
      <c r="C576" s="63"/>
      <c r="D576" s="64"/>
      <c r="E576" s="65"/>
      <c r="F576" s="66"/>
      <c r="G576" s="63"/>
      <c r="H576" s="67"/>
      <c r="I576" s="68"/>
      <c r="J576" s="68"/>
      <c r="K576" s="32"/>
      <c r="L576" s="75">
        <v>576</v>
      </c>
      <c r="M576" s="75"/>
      <c r="N576" s="70"/>
      <c r="O576" s="77" t="s">
        <v>179</v>
      </c>
      <c r="P576" s="79">
        <v>45139.815810185188</v>
      </c>
      <c r="Q576" s="77" t="s">
        <v>2591</v>
      </c>
      <c r="R576" s="77">
        <v>0</v>
      </c>
      <c r="S576" s="77">
        <v>1</v>
      </c>
      <c r="T576" s="77">
        <v>0</v>
      </c>
      <c r="U576" s="77">
        <v>0</v>
      </c>
      <c r="V576" s="77">
        <v>267</v>
      </c>
      <c r="W576" s="80" t="s">
        <v>6311</v>
      </c>
      <c r="X576" s="83" t="str">
        <f>HYPERLINK("https://www.seudinheiro.com/2023/economia/corte-selic-deve-acontecer-agosto-queda-dos-juros-lbdr-rsgp/")</f>
        <v>https://www.seudinheiro.com/2023/economia/corte-selic-deve-acontecer-agosto-queda-dos-juros-lbdr-rsgp/</v>
      </c>
      <c r="Y576" s="77" t="s">
        <v>8674</v>
      </c>
      <c r="Z576" s="77"/>
      <c r="AA576" s="77"/>
      <c r="AB576" s="77"/>
      <c r="AC576" s="80" t="s">
        <v>10558</v>
      </c>
      <c r="AD576" s="77" t="s">
        <v>10617</v>
      </c>
      <c r="AE576" s="83" t="str">
        <f>HYPERLINK("https://twitter.com/seu_dinheiro_br/status/1686460482834546701")</f>
        <v>https://twitter.com/seu_dinheiro_br/status/1686460482834546701</v>
      </c>
      <c r="AF576" s="79">
        <v>45139.815810185188</v>
      </c>
      <c r="AG576" s="85">
        <v>45139</v>
      </c>
      <c r="AH576" s="80" t="s">
        <v>11152</v>
      </c>
      <c r="AI576" s="77" t="b">
        <v>0</v>
      </c>
      <c r="AJ576" s="77"/>
      <c r="AK576" s="77"/>
      <c r="AL576" s="77"/>
      <c r="AM576" s="77"/>
      <c r="AN576" s="77"/>
      <c r="AO576" s="77"/>
      <c r="AP576" s="77"/>
      <c r="AQ576" s="77"/>
      <c r="AR576" s="77"/>
      <c r="AS576" s="77"/>
      <c r="AT576" s="77"/>
      <c r="AU576" s="77"/>
      <c r="AV576" s="83" t="str">
        <f>HYPERLINK("https://pbs.twimg.com/profile_images/1041725334431952896/uaPtkYSp_normal.jpg")</f>
        <v>https://pbs.twimg.com/profile_images/1041725334431952896/uaPtkYSp_normal.jpg</v>
      </c>
      <c r="AW576" s="80" t="s">
        <v>16540</v>
      </c>
      <c r="AX576" s="80" t="s">
        <v>16540</v>
      </c>
      <c r="AY576" s="77"/>
      <c r="AZ576" s="80" t="s">
        <v>20380</v>
      </c>
      <c r="BA576" s="80" t="s">
        <v>20380</v>
      </c>
      <c r="BB576" s="80" t="s">
        <v>20380</v>
      </c>
      <c r="BC576" s="80" t="s">
        <v>16540</v>
      </c>
      <c r="BD576" s="80" t="s">
        <v>20609</v>
      </c>
      <c r="BE576" s="77"/>
      <c r="BF576" s="77"/>
      <c r="BG576" s="77"/>
      <c r="BH576" s="77"/>
      <c r="BI576" s="77"/>
    </row>
    <row r="577" spans="1:61" x14ac:dyDescent="0.25">
      <c r="A577" s="62" t="s">
        <v>455</v>
      </c>
      <c r="B577" s="62" t="s">
        <v>455</v>
      </c>
      <c r="C577" s="63"/>
      <c r="D577" s="64"/>
      <c r="E577" s="65"/>
      <c r="F577" s="66"/>
      <c r="G577" s="63"/>
      <c r="H577" s="67"/>
      <c r="I577" s="68"/>
      <c r="J577" s="68"/>
      <c r="K577" s="32"/>
      <c r="L577" s="75">
        <v>577</v>
      </c>
      <c r="M577" s="75"/>
      <c r="N577" s="70"/>
      <c r="O577" s="77" t="s">
        <v>179</v>
      </c>
      <c r="P577" s="79">
        <v>45125.818101851852</v>
      </c>
      <c r="Q577" s="77" t="s">
        <v>2592</v>
      </c>
      <c r="R577" s="77">
        <v>0</v>
      </c>
      <c r="S577" s="77">
        <v>4</v>
      </c>
      <c r="T577" s="77">
        <v>0</v>
      </c>
      <c r="U577" s="77">
        <v>1</v>
      </c>
      <c r="V577" s="77">
        <v>563</v>
      </c>
      <c r="W577" s="80" t="s">
        <v>6312</v>
      </c>
      <c r="X577" s="83" t="str">
        <f>HYPERLINK("https://www.seudinheiro.com/2023/carreiras/alem-do-ibge-governo-anuncia-abertura-de-vagas-em-concursos-publicos-com-salarios-iniciais-de-ate-21-mil-reais-banco-central-e-cvm-estao-na-lista-lils/")</f>
        <v>https://www.seudinheiro.com/2023/carreiras/alem-do-ibge-governo-anuncia-abertura-de-vagas-em-concursos-publicos-com-salarios-iniciais-de-ate-21-mil-reais-banco-central-e-cvm-estao-na-lista-lils/</v>
      </c>
      <c r="Y577" s="77" t="s">
        <v>8674</v>
      </c>
      <c r="Z577" s="77"/>
      <c r="AA577" s="77"/>
      <c r="AB577" s="77"/>
      <c r="AC577" s="80" t="s">
        <v>10558</v>
      </c>
      <c r="AD577" s="77" t="s">
        <v>10617</v>
      </c>
      <c r="AE577" s="83" t="str">
        <f>HYPERLINK("https://twitter.com/seu_dinheiro_br/status/1681387881493823510")</f>
        <v>https://twitter.com/seu_dinheiro_br/status/1681387881493823510</v>
      </c>
      <c r="AF577" s="79">
        <v>45125.818101851852</v>
      </c>
      <c r="AG577" s="85">
        <v>45125</v>
      </c>
      <c r="AH577" s="80" t="s">
        <v>11153</v>
      </c>
      <c r="AI577" s="77" t="b">
        <v>0</v>
      </c>
      <c r="AJ577" s="77"/>
      <c r="AK577" s="77"/>
      <c r="AL577" s="77"/>
      <c r="AM577" s="77"/>
      <c r="AN577" s="77"/>
      <c r="AO577" s="77"/>
      <c r="AP577" s="77"/>
      <c r="AQ577" s="77"/>
      <c r="AR577" s="77"/>
      <c r="AS577" s="77"/>
      <c r="AT577" s="77"/>
      <c r="AU577" s="77"/>
      <c r="AV577" s="83" t="str">
        <f>HYPERLINK("https://pbs.twimg.com/profile_images/1041725334431952896/uaPtkYSp_normal.jpg")</f>
        <v>https://pbs.twimg.com/profile_images/1041725334431952896/uaPtkYSp_normal.jpg</v>
      </c>
      <c r="AW577" s="80" t="s">
        <v>16541</v>
      </c>
      <c r="AX577" s="80" t="s">
        <v>16541</v>
      </c>
      <c r="AY577" s="77"/>
      <c r="AZ577" s="80" t="s">
        <v>20380</v>
      </c>
      <c r="BA577" s="80" t="s">
        <v>20380</v>
      </c>
      <c r="BB577" s="80" t="s">
        <v>20380</v>
      </c>
      <c r="BC577" s="80" t="s">
        <v>16541</v>
      </c>
      <c r="BD577" s="80" t="s">
        <v>20609</v>
      </c>
      <c r="BE577" s="77"/>
      <c r="BF577" s="77"/>
      <c r="BG577" s="77"/>
      <c r="BH577" s="77"/>
      <c r="BI577" s="77"/>
    </row>
    <row r="578" spans="1:61" x14ac:dyDescent="0.25">
      <c r="A578" s="62" t="s">
        <v>455</v>
      </c>
      <c r="B578" s="62" t="s">
        <v>455</v>
      </c>
      <c r="C578" s="63"/>
      <c r="D578" s="64"/>
      <c r="E578" s="65"/>
      <c r="F578" s="66"/>
      <c r="G578" s="63"/>
      <c r="H578" s="67"/>
      <c r="I578" s="68"/>
      <c r="J578" s="68"/>
      <c r="K578" s="32"/>
      <c r="L578" s="75">
        <v>578</v>
      </c>
      <c r="M578" s="75"/>
      <c r="N578" s="70"/>
      <c r="O578" s="77" t="s">
        <v>179</v>
      </c>
      <c r="P578" s="79">
        <v>45103.502337962964</v>
      </c>
      <c r="Q578" s="77" t="s">
        <v>2593</v>
      </c>
      <c r="R578" s="77">
        <v>1</v>
      </c>
      <c r="S578" s="77">
        <v>2</v>
      </c>
      <c r="T578" s="77">
        <v>1</v>
      </c>
      <c r="U578" s="77">
        <v>0</v>
      </c>
      <c r="V578" s="77">
        <v>351</v>
      </c>
      <c r="W578" s="80" t="s">
        <v>6306</v>
      </c>
      <c r="X578" s="83" t="str">
        <f>HYPERLINK("https://www.seudinheiro.com/2023/bolsa-dolar/lula-haddad-dolar-queda-precos-rens-26-06/")</f>
        <v>https://www.seudinheiro.com/2023/bolsa-dolar/lula-haddad-dolar-queda-precos-rens-26-06/</v>
      </c>
      <c r="Y578" s="77" t="s">
        <v>8674</v>
      </c>
      <c r="Z578" s="77"/>
      <c r="AA578" s="77"/>
      <c r="AB578" s="77"/>
      <c r="AC578" s="80" t="s">
        <v>10558</v>
      </c>
      <c r="AD578" s="77" t="s">
        <v>10617</v>
      </c>
      <c r="AE578" s="83" t="str">
        <f>HYPERLINK("https://twitter.com/seu_dinheiro_br/status/1673300921034391555")</f>
        <v>https://twitter.com/seu_dinheiro_br/status/1673300921034391555</v>
      </c>
      <c r="AF578" s="79">
        <v>45103.502337962964</v>
      </c>
      <c r="AG578" s="85">
        <v>45103</v>
      </c>
      <c r="AH578" s="80" t="s">
        <v>11154</v>
      </c>
      <c r="AI578" s="77" t="b">
        <v>0</v>
      </c>
      <c r="AJ578" s="77"/>
      <c r="AK578" s="77"/>
      <c r="AL578" s="77"/>
      <c r="AM578" s="77"/>
      <c r="AN578" s="77"/>
      <c r="AO578" s="77"/>
      <c r="AP578" s="77"/>
      <c r="AQ578" s="77"/>
      <c r="AR578" s="77"/>
      <c r="AS578" s="77"/>
      <c r="AT578" s="77"/>
      <c r="AU578" s="77"/>
      <c r="AV578" s="83" t="str">
        <f>HYPERLINK("https://pbs.twimg.com/profile_images/1041725334431952896/uaPtkYSp_normal.jpg")</f>
        <v>https://pbs.twimg.com/profile_images/1041725334431952896/uaPtkYSp_normal.jpg</v>
      </c>
      <c r="AW578" s="80" t="s">
        <v>16542</v>
      </c>
      <c r="AX578" s="80" t="s">
        <v>16542</v>
      </c>
      <c r="AY578" s="77"/>
      <c r="AZ578" s="80" t="s">
        <v>20380</v>
      </c>
      <c r="BA578" s="80" t="s">
        <v>20380</v>
      </c>
      <c r="BB578" s="80" t="s">
        <v>20380</v>
      </c>
      <c r="BC578" s="80" t="s">
        <v>16542</v>
      </c>
      <c r="BD578" s="80" t="s">
        <v>20609</v>
      </c>
      <c r="BE578" s="77"/>
      <c r="BF578" s="77"/>
      <c r="BG578" s="77"/>
      <c r="BH578" s="77"/>
      <c r="BI578" s="77"/>
    </row>
    <row r="579" spans="1:61" x14ac:dyDescent="0.25">
      <c r="A579" s="62" t="s">
        <v>455</v>
      </c>
      <c r="B579" s="62" t="s">
        <v>455</v>
      </c>
      <c r="C579" s="63"/>
      <c r="D579" s="64"/>
      <c r="E579" s="65"/>
      <c r="F579" s="66"/>
      <c r="G579" s="63"/>
      <c r="H579" s="67"/>
      <c r="I579" s="68"/>
      <c r="J579" s="68"/>
      <c r="K579" s="32"/>
      <c r="L579" s="75">
        <v>579</v>
      </c>
      <c r="M579" s="75"/>
      <c r="N579" s="70"/>
      <c r="O579" s="77" t="s">
        <v>179</v>
      </c>
      <c r="P579" s="79">
        <v>45101.542384259257</v>
      </c>
      <c r="Q579" s="77" t="s">
        <v>2594</v>
      </c>
      <c r="R579" s="77">
        <v>0</v>
      </c>
      <c r="S579" s="77">
        <v>0</v>
      </c>
      <c r="T579" s="77">
        <v>0</v>
      </c>
      <c r="U579" s="77">
        <v>0</v>
      </c>
      <c r="V579" s="77">
        <v>210</v>
      </c>
      <c r="W579" s="80" t="s">
        <v>6313</v>
      </c>
      <c r="X579" s="83" t="str">
        <f>HYPERLINK("https://www.seudinheiro.com/2023/renda-fixa/banco-central-da-sobrevida-a-renda-fixa-o-que-esperar-dos-juros-e-como-ficam-os-investimentos-depois-do-copom-julw/")</f>
        <v>https://www.seudinheiro.com/2023/renda-fixa/banco-central-da-sobrevida-a-renda-fixa-o-que-esperar-dos-juros-e-como-ficam-os-investimentos-depois-do-copom-julw/</v>
      </c>
      <c r="Y579" s="77" t="s">
        <v>8674</v>
      </c>
      <c r="Z579" s="77"/>
      <c r="AA579" s="77"/>
      <c r="AB579" s="77"/>
      <c r="AC579" s="80" t="s">
        <v>10558</v>
      </c>
      <c r="AD579" s="77" t="s">
        <v>10617</v>
      </c>
      <c r="AE579" s="83" t="str">
        <f>HYPERLINK("https://twitter.com/seu_dinheiro_br/status/1672590657481785344")</f>
        <v>https://twitter.com/seu_dinheiro_br/status/1672590657481785344</v>
      </c>
      <c r="AF579" s="79">
        <v>45101.542384259257</v>
      </c>
      <c r="AG579" s="85">
        <v>45101</v>
      </c>
      <c r="AH579" s="80" t="s">
        <v>11155</v>
      </c>
      <c r="AI579" s="77" t="b">
        <v>0</v>
      </c>
      <c r="AJ579" s="77"/>
      <c r="AK579" s="77"/>
      <c r="AL579" s="77"/>
      <c r="AM579" s="77"/>
      <c r="AN579" s="77"/>
      <c r="AO579" s="77"/>
      <c r="AP579" s="77"/>
      <c r="AQ579" s="77"/>
      <c r="AR579" s="77"/>
      <c r="AS579" s="77"/>
      <c r="AT579" s="77"/>
      <c r="AU579" s="77"/>
      <c r="AV579" s="83" t="str">
        <f>HYPERLINK("https://pbs.twimg.com/profile_images/1041725334431952896/uaPtkYSp_normal.jpg")</f>
        <v>https://pbs.twimg.com/profile_images/1041725334431952896/uaPtkYSp_normal.jpg</v>
      </c>
      <c r="AW579" s="80" t="s">
        <v>16543</v>
      </c>
      <c r="AX579" s="80" t="s">
        <v>16543</v>
      </c>
      <c r="AY579" s="77"/>
      <c r="AZ579" s="80" t="s">
        <v>20380</v>
      </c>
      <c r="BA579" s="80" t="s">
        <v>20380</v>
      </c>
      <c r="BB579" s="80" t="s">
        <v>20380</v>
      </c>
      <c r="BC579" s="80" t="s">
        <v>16543</v>
      </c>
      <c r="BD579" s="80" t="s">
        <v>20609</v>
      </c>
      <c r="BE579" s="77"/>
      <c r="BF579" s="77"/>
      <c r="BG579" s="77"/>
      <c r="BH579" s="77"/>
      <c r="BI579" s="77"/>
    </row>
    <row r="580" spans="1:61" x14ac:dyDescent="0.25">
      <c r="A580" s="62" t="s">
        <v>455</v>
      </c>
      <c r="B580" s="62" t="s">
        <v>455</v>
      </c>
      <c r="C580" s="63"/>
      <c r="D580" s="64"/>
      <c r="E580" s="65"/>
      <c r="F580" s="66"/>
      <c r="G580" s="63"/>
      <c r="H580" s="67"/>
      <c r="I580" s="68"/>
      <c r="J580" s="68"/>
      <c r="K580" s="32"/>
      <c r="L580" s="75">
        <v>580</v>
      </c>
      <c r="M580" s="75"/>
      <c r="N580" s="70"/>
      <c r="O580" s="77" t="s">
        <v>179</v>
      </c>
      <c r="P580" s="79">
        <v>45100.948576388888</v>
      </c>
      <c r="Q580" s="77" t="s">
        <v>2595</v>
      </c>
      <c r="R580" s="77">
        <v>1</v>
      </c>
      <c r="S580" s="77">
        <v>5</v>
      </c>
      <c r="T580" s="77">
        <v>1</v>
      </c>
      <c r="U580" s="77">
        <v>0</v>
      </c>
      <c r="V580" s="77">
        <v>378</v>
      </c>
      <c r="W580" s="80" t="s">
        <v>6314</v>
      </c>
      <c r="X580" s="83" t="str">
        <f>HYPERLINK("https://www.seudinheiro.com/2023/politica/banco-central-pix-criptomoedas-regulacao-rens/")</f>
        <v>https://www.seudinheiro.com/2023/politica/banco-central-pix-criptomoedas-regulacao-rens/</v>
      </c>
      <c r="Y580" s="77" t="s">
        <v>8674</v>
      </c>
      <c r="Z580" s="77"/>
      <c r="AA580" s="77"/>
      <c r="AB580" s="77"/>
      <c r="AC580" s="80" t="s">
        <v>10558</v>
      </c>
      <c r="AD580" s="77" t="s">
        <v>10617</v>
      </c>
      <c r="AE580" s="83" t="str">
        <f>HYPERLINK("https://twitter.com/seu_dinheiro_br/status/1672375468434104328")</f>
        <v>https://twitter.com/seu_dinheiro_br/status/1672375468434104328</v>
      </c>
      <c r="AF580" s="79">
        <v>45100.948576388888</v>
      </c>
      <c r="AG580" s="85">
        <v>45100</v>
      </c>
      <c r="AH580" s="80" t="s">
        <v>11156</v>
      </c>
      <c r="AI580" s="77" t="b">
        <v>0</v>
      </c>
      <c r="AJ580" s="77"/>
      <c r="AK580" s="77"/>
      <c r="AL580" s="77"/>
      <c r="AM580" s="77"/>
      <c r="AN580" s="77"/>
      <c r="AO580" s="77"/>
      <c r="AP580" s="77"/>
      <c r="AQ580" s="77"/>
      <c r="AR580" s="77"/>
      <c r="AS580" s="77"/>
      <c r="AT580" s="77"/>
      <c r="AU580" s="77"/>
      <c r="AV580" s="83" t="str">
        <f>HYPERLINK("https://pbs.twimg.com/profile_images/1041725334431952896/uaPtkYSp_normal.jpg")</f>
        <v>https://pbs.twimg.com/profile_images/1041725334431952896/uaPtkYSp_normal.jpg</v>
      </c>
      <c r="AW580" s="80" t="s">
        <v>16544</v>
      </c>
      <c r="AX580" s="80" t="s">
        <v>16544</v>
      </c>
      <c r="AY580" s="77"/>
      <c r="AZ580" s="80" t="s">
        <v>20380</v>
      </c>
      <c r="BA580" s="80" t="s">
        <v>20380</v>
      </c>
      <c r="BB580" s="80" t="s">
        <v>20380</v>
      </c>
      <c r="BC580" s="80" t="s">
        <v>16544</v>
      </c>
      <c r="BD580" s="80" t="s">
        <v>20609</v>
      </c>
      <c r="BE580" s="77"/>
      <c r="BF580" s="77"/>
      <c r="BG580" s="77"/>
      <c r="BH580" s="77"/>
      <c r="BI580" s="77"/>
    </row>
    <row r="581" spans="1:61" x14ac:dyDescent="0.25">
      <c r="A581" s="62" t="s">
        <v>455</v>
      </c>
      <c r="B581" s="62" t="s">
        <v>455</v>
      </c>
      <c r="C581" s="63"/>
      <c r="D581" s="64"/>
      <c r="E581" s="65"/>
      <c r="F581" s="66"/>
      <c r="G581" s="63"/>
      <c r="H581" s="67"/>
      <c r="I581" s="68"/>
      <c r="J581" s="68"/>
      <c r="K581" s="32"/>
      <c r="L581" s="75">
        <v>581</v>
      </c>
      <c r="M581" s="75"/>
      <c r="N581" s="70"/>
      <c r="O581" s="77" t="s">
        <v>179</v>
      </c>
      <c r="P581" s="79">
        <v>45100.738680555558</v>
      </c>
      <c r="Q581" s="77" t="s">
        <v>2596</v>
      </c>
      <c r="R581" s="77">
        <v>1</v>
      </c>
      <c r="S581" s="77">
        <v>6</v>
      </c>
      <c r="T581" s="77">
        <v>2</v>
      </c>
      <c r="U581" s="77">
        <v>0</v>
      </c>
      <c r="V581" s="77">
        <v>460</v>
      </c>
      <c r="W581" s="80" t="s">
        <v>6315</v>
      </c>
      <c r="X581" s="83" t="str">
        <f>HYPERLINK("https://www.seudinheiro.com/2023/criptomoedas/real-digital-banco-central-coordenador-rens/")</f>
        <v>https://www.seudinheiro.com/2023/criptomoedas/real-digital-banco-central-coordenador-rens/</v>
      </c>
      <c r="Y581" s="77" t="s">
        <v>8674</v>
      </c>
      <c r="Z581" s="77"/>
      <c r="AA581" s="77"/>
      <c r="AB581" s="77"/>
      <c r="AC581" s="80" t="s">
        <v>10558</v>
      </c>
      <c r="AD581" s="77" t="s">
        <v>10617</v>
      </c>
      <c r="AE581" s="83" t="str">
        <f>HYPERLINK("https://twitter.com/seu_dinheiro_br/status/1672299403615322136")</f>
        <v>https://twitter.com/seu_dinheiro_br/status/1672299403615322136</v>
      </c>
      <c r="AF581" s="79">
        <v>45100.738680555558</v>
      </c>
      <c r="AG581" s="85">
        <v>45100</v>
      </c>
      <c r="AH581" s="80" t="s">
        <v>11157</v>
      </c>
      <c r="AI581" s="77" t="b">
        <v>0</v>
      </c>
      <c r="AJ581" s="77"/>
      <c r="AK581" s="77"/>
      <c r="AL581" s="77"/>
      <c r="AM581" s="77"/>
      <c r="AN581" s="77"/>
      <c r="AO581" s="77"/>
      <c r="AP581" s="77"/>
      <c r="AQ581" s="77"/>
      <c r="AR581" s="77"/>
      <c r="AS581" s="77"/>
      <c r="AT581" s="77"/>
      <c r="AU581" s="77"/>
      <c r="AV581" s="83" t="str">
        <f>HYPERLINK("https://pbs.twimg.com/profile_images/1041725334431952896/uaPtkYSp_normal.jpg")</f>
        <v>https://pbs.twimg.com/profile_images/1041725334431952896/uaPtkYSp_normal.jpg</v>
      </c>
      <c r="AW581" s="80" t="s">
        <v>16545</v>
      </c>
      <c r="AX581" s="80" t="s">
        <v>16545</v>
      </c>
      <c r="AY581" s="77"/>
      <c r="AZ581" s="80" t="s">
        <v>20380</v>
      </c>
      <c r="BA581" s="80" t="s">
        <v>20380</v>
      </c>
      <c r="BB581" s="80" t="s">
        <v>20380</v>
      </c>
      <c r="BC581" s="80" t="s">
        <v>16545</v>
      </c>
      <c r="BD581" s="80" t="s">
        <v>20609</v>
      </c>
      <c r="BE581" s="77"/>
      <c r="BF581" s="77"/>
      <c r="BG581" s="77"/>
      <c r="BH581" s="77"/>
      <c r="BI581" s="77"/>
    </row>
    <row r="582" spans="1:61" x14ac:dyDescent="0.25">
      <c r="A582" s="62" t="s">
        <v>455</v>
      </c>
      <c r="B582" s="62" t="s">
        <v>455</v>
      </c>
      <c r="C582" s="63"/>
      <c r="D582" s="64"/>
      <c r="E582" s="65"/>
      <c r="F582" s="66"/>
      <c r="G582" s="63"/>
      <c r="H582" s="67"/>
      <c r="I582" s="68"/>
      <c r="J582" s="68"/>
      <c r="K582" s="32"/>
      <c r="L582" s="75">
        <v>582</v>
      </c>
      <c r="M582" s="75"/>
      <c r="N582" s="70"/>
      <c r="O582" s="77" t="s">
        <v>179</v>
      </c>
      <c r="P582" s="79">
        <v>45086.553553240738</v>
      </c>
      <c r="Q582" s="77" t="s">
        <v>2597</v>
      </c>
      <c r="R582" s="77">
        <v>1</v>
      </c>
      <c r="S582" s="77">
        <v>2</v>
      </c>
      <c r="T582" s="77">
        <v>0</v>
      </c>
      <c r="U582" s="77">
        <v>0</v>
      </c>
      <c r="V582" s="77">
        <v>245</v>
      </c>
      <c r="W582" s="80" t="s">
        <v>6316</v>
      </c>
      <c r="X582" s="83" t="str">
        <f>HYPERLINK("https://www.seudinheiro.com/2023/financas-pessoais/bilhoes-abandonados-nos-bancos-saiba-como-sacar-o-dinheiro-esquecido-miql/")</f>
        <v>https://www.seudinheiro.com/2023/financas-pessoais/bilhoes-abandonados-nos-bancos-saiba-como-sacar-o-dinheiro-esquecido-miql/</v>
      </c>
      <c r="Y582" s="77" t="s">
        <v>8674</v>
      </c>
      <c r="Z582" s="77"/>
      <c r="AA582" s="77"/>
      <c r="AB582" s="77"/>
      <c r="AC582" s="80" t="s">
        <v>10558</v>
      </c>
      <c r="AD582" s="77" t="s">
        <v>10617</v>
      </c>
      <c r="AE582" s="83" t="str">
        <f>HYPERLINK("https://twitter.com/seu_dinheiro_br/status/1667158885898100736")</f>
        <v>https://twitter.com/seu_dinheiro_br/status/1667158885898100736</v>
      </c>
      <c r="AF582" s="79">
        <v>45086.553553240738</v>
      </c>
      <c r="AG582" s="85">
        <v>45086</v>
      </c>
      <c r="AH582" s="80" t="s">
        <v>11158</v>
      </c>
      <c r="AI582" s="77" t="b">
        <v>0</v>
      </c>
      <c r="AJ582" s="77"/>
      <c r="AK582" s="77"/>
      <c r="AL582" s="77"/>
      <c r="AM582" s="77"/>
      <c r="AN582" s="77"/>
      <c r="AO582" s="77"/>
      <c r="AP582" s="77"/>
      <c r="AQ582" s="77"/>
      <c r="AR582" s="77"/>
      <c r="AS582" s="77"/>
      <c r="AT582" s="77"/>
      <c r="AU582" s="77"/>
      <c r="AV582" s="83" t="str">
        <f>HYPERLINK("https://pbs.twimg.com/profile_images/1041725334431952896/uaPtkYSp_normal.jpg")</f>
        <v>https://pbs.twimg.com/profile_images/1041725334431952896/uaPtkYSp_normal.jpg</v>
      </c>
      <c r="AW582" s="80" t="s">
        <v>16546</v>
      </c>
      <c r="AX582" s="80" t="s">
        <v>16546</v>
      </c>
      <c r="AY582" s="77"/>
      <c r="AZ582" s="80" t="s">
        <v>20380</v>
      </c>
      <c r="BA582" s="80" t="s">
        <v>20380</v>
      </c>
      <c r="BB582" s="80" t="s">
        <v>20380</v>
      </c>
      <c r="BC582" s="80" t="s">
        <v>16546</v>
      </c>
      <c r="BD582" s="80" t="s">
        <v>20609</v>
      </c>
      <c r="BE582" s="77"/>
      <c r="BF582" s="77"/>
      <c r="BG582" s="77"/>
      <c r="BH582" s="77"/>
      <c r="BI582" s="77"/>
    </row>
    <row r="583" spans="1:61" x14ac:dyDescent="0.25">
      <c r="A583" s="62" t="s">
        <v>456</v>
      </c>
      <c r="B583" s="62" t="s">
        <v>1681</v>
      </c>
      <c r="C583" s="63"/>
      <c r="D583" s="64"/>
      <c r="E583" s="65"/>
      <c r="F583" s="66"/>
      <c r="G583" s="63"/>
      <c r="H583" s="67"/>
      <c r="I583" s="68"/>
      <c r="J583" s="68"/>
      <c r="K583" s="32"/>
      <c r="L583" s="75">
        <v>583</v>
      </c>
      <c r="M583" s="75"/>
      <c r="N583" s="70"/>
      <c r="O583" s="77" t="s">
        <v>2083</v>
      </c>
      <c r="P583" s="79">
        <v>45189.907650462963</v>
      </c>
      <c r="Q583" s="77" t="s">
        <v>2237</v>
      </c>
      <c r="R583" s="77">
        <v>18</v>
      </c>
      <c r="S583" s="77">
        <v>0</v>
      </c>
      <c r="T583" s="77">
        <v>0</v>
      </c>
      <c r="U583" s="77">
        <v>0</v>
      </c>
      <c r="V583" s="77"/>
      <c r="W583" s="80" t="s">
        <v>6018</v>
      </c>
      <c r="X583" s="77"/>
      <c r="Y583" s="77"/>
      <c r="Z583" s="77" t="s">
        <v>1681</v>
      </c>
      <c r="AA583" s="77"/>
      <c r="AB583" s="77"/>
      <c r="AC583" s="80" t="s">
        <v>10540</v>
      </c>
      <c r="AD583" s="77" t="s">
        <v>10617</v>
      </c>
      <c r="AE583" s="83" t="str">
        <f>HYPERLINK("https://twitter.com/glaucijuca/status/1704613156381655248")</f>
        <v>https://twitter.com/glaucijuca/status/1704613156381655248</v>
      </c>
      <c r="AF583" s="79">
        <v>45189.907650462963</v>
      </c>
      <c r="AG583" s="85">
        <v>45189</v>
      </c>
      <c r="AH583" s="80" t="s">
        <v>11159</v>
      </c>
      <c r="AI583" s="77"/>
      <c r="AJ583" s="77"/>
      <c r="AK583" s="77"/>
      <c r="AL583" s="77"/>
      <c r="AM583" s="77"/>
      <c r="AN583" s="77"/>
      <c r="AO583" s="77"/>
      <c r="AP583" s="77"/>
      <c r="AQ583" s="77"/>
      <c r="AR583" s="77"/>
      <c r="AS583" s="77"/>
      <c r="AT583" s="77"/>
      <c r="AU583" s="77"/>
      <c r="AV583" s="83" t="str">
        <f>HYPERLINK("https://pbs.twimg.com/profile_images/1458050438868180993/1pMIAhQM_normal.jpg")</f>
        <v>https://pbs.twimg.com/profile_images/1458050438868180993/1pMIAhQM_normal.jpg</v>
      </c>
      <c r="AW583" s="80" t="s">
        <v>16547</v>
      </c>
      <c r="AX583" s="80" t="s">
        <v>16547</v>
      </c>
      <c r="AY583" s="77"/>
      <c r="AZ583" s="80" t="s">
        <v>20380</v>
      </c>
      <c r="BA583" s="80" t="s">
        <v>20380</v>
      </c>
      <c r="BB583" s="80" t="s">
        <v>19932</v>
      </c>
      <c r="BC583" s="80" t="s">
        <v>19932</v>
      </c>
      <c r="BD583" s="80" t="s">
        <v>20610</v>
      </c>
      <c r="BE583" s="77"/>
      <c r="BF583" s="77"/>
      <c r="BG583" s="77"/>
      <c r="BH583" s="77"/>
      <c r="BI583" s="77"/>
    </row>
    <row r="584" spans="1:61" x14ac:dyDescent="0.25">
      <c r="A584" s="62" t="s">
        <v>457</v>
      </c>
      <c r="B584" s="62" t="s">
        <v>457</v>
      </c>
      <c r="C584" s="63"/>
      <c r="D584" s="64"/>
      <c r="E584" s="65"/>
      <c r="F584" s="66"/>
      <c r="G584" s="63"/>
      <c r="H584" s="67"/>
      <c r="I584" s="68"/>
      <c r="J584" s="68"/>
      <c r="K584" s="32"/>
      <c r="L584" s="75">
        <v>584</v>
      </c>
      <c r="M584" s="75"/>
      <c r="N584" s="70"/>
      <c r="O584" s="77" t="s">
        <v>179</v>
      </c>
      <c r="P584" s="79">
        <v>45064.854166666664</v>
      </c>
      <c r="Q584" s="77" t="s">
        <v>2598</v>
      </c>
      <c r="R584" s="77">
        <v>0</v>
      </c>
      <c r="S584" s="77">
        <v>1</v>
      </c>
      <c r="T584" s="77">
        <v>0</v>
      </c>
      <c r="U584" s="77">
        <v>0</v>
      </c>
      <c r="V584" s="77">
        <v>110</v>
      </c>
      <c r="W584" s="80" t="s">
        <v>5884</v>
      </c>
      <c r="X584" s="83" t="str">
        <f>HYPERLINK("https://www.politicargentina.com/notas/202305/51039-como-es-la-medida-del-bcra-para-que-sea-mas-barato-pagar-con-qr-y-que-resistia-mercado-pago.html")</f>
        <v>https://www.politicargentina.com/notas/202305/51039-como-es-la-medida-del-bcra-para-que-sea-mas-barato-pagar-con-qr-y-que-resistia-mercado-pago.html</v>
      </c>
      <c r="Y584" s="77" t="s">
        <v>8675</v>
      </c>
      <c r="Z584" s="77"/>
      <c r="AA584" s="77"/>
      <c r="AB584" s="77"/>
      <c r="AC584" s="80" t="s">
        <v>10541</v>
      </c>
      <c r="AD584" s="77" t="s">
        <v>10620</v>
      </c>
      <c r="AE584" s="83" t="str">
        <f>HYPERLINK("https://twitter.com/pol_arg/status/1659295291810656256")</f>
        <v>https://twitter.com/pol_arg/status/1659295291810656256</v>
      </c>
      <c r="AF584" s="79">
        <v>45064.854166666664</v>
      </c>
      <c r="AG584" s="85">
        <v>45064</v>
      </c>
      <c r="AH584" s="80" t="s">
        <v>11160</v>
      </c>
      <c r="AI584" s="77" t="b">
        <v>0</v>
      </c>
      <c r="AJ584" s="77"/>
      <c r="AK584" s="77"/>
      <c r="AL584" s="77"/>
      <c r="AM584" s="77"/>
      <c r="AN584" s="77"/>
      <c r="AO584" s="77"/>
      <c r="AP584" s="77"/>
      <c r="AQ584" s="77"/>
      <c r="AR584" s="77"/>
      <c r="AS584" s="77"/>
      <c r="AT584" s="77"/>
      <c r="AU584" s="77"/>
      <c r="AV584" s="83" t="str">
        <f>HYPERLINK("https://pbs.twimg.com/profile_images/1681775145470369793/lgpJ5VsQ_normal.jpg")</f>
        <v>https://pbs.twimg.com/profile_images/1681775145470369793/lgpJ5VsQ_normal.jpg</v>
      </c>
      <c r="AW584" s="80" t="s">
        <v>16548</v>
      </c>
      <c r="AX584" s="80" t="s">
        <v>16548</v>
      </c>
      <c r="AY584" s="77"/>
      <c r="AZ584" s="80" t="s">
        <v>20380</v>
      </c>
      <c r="BA584" s="80" t="s">
        <v>20380</v>
      </c>
      <c r="BB584" s="80" t="s">
        <v>20380</v>
      </c>
      <c r="BC584" s="80" t="s">
        <v>16548</v>
      </c>
      <c r="BD584" s="80" t="s">
        <v>20611</v>
      </c>
      <c r="BE584" s="77"/>
      <c r="BF584" s="77"/>
      <c r="BG584" s="77"/>
      <c r="BH584" s="77"/>
      <c r="BI584" s="77"/>
    </row>
    <row r="585" spans="1:61" x14ac:dyDescent="0.25">
      <c r="A585" s="62" t="s">
        <v>458</v>
      </c>
      <c r="B585" s="62" t="s">
        <v>1763</v>
      </c>
      <c r="C585" s="63"/>
      <c r="D585" s="64"/>
      <c r="E585" s="65"/>
      <c r="F585" s="66"/>
      <c r="G585" s="63"/>
      <c r="H585" s="67"/>
      <c r="I585" s="68"/>
      <c r="J585" s="68"/>
      <c r="K585" s="32"/>
      <c r="L585" s="75">
        <v>585</v>
      </c>
      <c r="M585" s="75"/>
      <c r="N585" s="70"/>
      <c r="O585" s="77" t="s">
        <v>2081</v>
      </c>
      <c r="P585" s="79">
        <v>45055.125671296293</v>
      </c>
      <c r="Q585" s="77" t="s">
        <v>2599</v>
      </c>
      <c r="R585" s="77">
        <v>0</v>
      </c>
      <c r="S585" s="77">
        <v>0</v>
      </c>
      <c r="T585" s="77">
        <v>0</v>
      </c>
      <c r="U585" s="77">
        <v>0</v>
      </c>
      <c r="V585" s="77">
        <v>7</v>
      </c>
      <c r="W585" s="80" t="s">
        <v>6317</v>
      </c>
      <c r="X585" s="83" t="str">
        <f>HYPERLINK("https://www.uol.com.br/esporte/colunas/milly-lacombe/2023/05/08/tirar-campos-neto-do-bc-nao-e-apenas-legitimo-e-tambem-constitucional.htm")</f>
        <v>https://www.uol.com.br/esporte/colunas/milly-lacombe/2023/05/08/tirar-campos-neto-do-bc-nao-e-apenas-legitimo-e-tambem-constitucional.htm</v>
      </c>
      <c r="Y585" s="77" t="s">
        <v>8611</v>
      </c>
      <c r="Z585" s="77" t="s">
        <v>8922</v>
      </c>
      <c r="AA585" s="77"/>
      <c r="AB585" s="77"/>
      <c r="AC585" s="80" t="s">
        <v>10540</v>
      </c>
      <c r="AD585" s="77" t="s">
        <v>10617</v>
      </c>
      <c r="AE585" s="83" t="str">
        <f>HYPERLINK("https://twitter.com/troff10/status/1655769801761906689")</f>
        <v>https://twitter.com/troff10/status/1655769801761906689</v>
      </c>
      <c r="AF585" s="79">
        <v>45055.125671296293</v>
      </c>
      <c r="AG585" s="85">
        <v>45055</v>
      </c>
      <c r="AH585" s="80" t="s">
        <v>11161</v>
      </c>
      <c r="AI585" s="77" t="b">
        <v>0</v>
      </c>
      <c r="AJ585" s="77"/>
      <c r="AK585" s="77"/>
      <c r="AL585" s="77"/>
      <c r="AM585" s="77"/>
      <c r="AN585" s="77"/>
      <c r="AO585" s="77"/>
      <c r="AP585" s="77"/>
      <c r="AQ585" s="77"/>
      <c r="AR585" s="77"/>
      <c r="AS585" s="77"/>
      <c r="AT585" s="77"/>
      <c r="AU585" s="77"/>
      <c r="AV585" s="83" t="str">
        <f>HYPERLINK("https://pbs.twimg.com/profile_images/1140802955161067521/nsFZCbgC_normal.jpg")</f>
        <v>https://pbs.twimg.com/profile_images/1140802955161067521/nsFZCbgC_normal.jpg</v>
      </c>
      <c r="AW585" s="80" t="s">
        <v>16549</v>
      </c>
      <c r="AX585" s="80" t="s">
        <v>16549</v>
      </c>
      <c r="AY585" s="77"/>
      <c r="AZ585" s="80" t="s">
        <v>20380</v>
      </c>
      <c r="BA585" s="80" t="s">
        <v>20380</v>
      </c>
      <c r="BB585" s="80" t="s">
        <v>20380</v>
      </c>
      <c r="BC585" s="80" t="s">
        <v>16549</v>
      </c>
      <c r="BD585" s="77">
        <v>29297040</v>
      </c>
      <c r="BE585" s="77" t="s">
        <v>21201</v>
      </c>
      <c r="BF585" s="77" t="s">
        <v>21204</v>
      </c>
      <c r="BG585" s="77">
        <v>7201</v>
      </c>
      <c r="BH585" s="77" t="s">
        <v>21207</v>
      </c>
      <c r="BI585" s="77" t="s">
        <v>21208</v>
      </c>
    </row>
    <row r="586" spans="1:61" x14ac:dyDescent="0.25">
      <c r="A586" s="62" t="s">
        <v>458</v>
      </c>
      <c r="B586" s="62" t="s">
        <v>1764</v>
      </c>
      <c r="C586" s="63"/>
      <c r="D586" s="64"/>
      <c r="E586" s="65"/>
      <c r="F586" s="66"/>
      <c r="G586" s="63"/>
      <c r="H586" s="67"/>
      <c r="I586" s="68"/>
      <c r="J586" s="68"/>
      <c r="K586" s="32"/>
      <c r="L586" s="75">
        <v>586</v>
      </c>
      <c r="M586" s="75"/>
      <c r="N586" s="70"/>
      <c r="O586" s="77" t="s">
        <v>2081</v>
      </c>
      <c r="P586" s="79">
        <v>45055.125671296293</v>
      </c>
      <c r="Q586" s="77" t="s">
        <v>2599</v>
      </c>
      <c r="R586" s="77">
        <v>0</v>
      </c>
      <c r="S586" s="77">
        <v>0</v>
      </c>
      <c r="T586" s="77">
        <v>0</v>
      </c>
      <c r="U586" s="77">
        <v>0</v>
      </c>
      <c r="V586" s="77">
        <v>7</v>
      </c>
      <c r="W586" s="80" t="s">
        <v>6317</v>
      </c>
      <c r="X586" s="83" t="str">
        <f>HYPERLINK("https://www.uol.com.br/esporte/colunas/milly-lacombe/2023/05/08/tirar-campos-neto-do-bc-nao-e-apenas-legitimo-e-tambem-constitucional.htm")</f>
        <v>https://www.uol.com.br/esporte/colunas/milly-lacombe/2023/05/08/tirar-campos-neto-do-bc-nao-e-apenas-legitimo-e-tambem-constitucional.htm</v>
      </c>
      <c r="Y586" s="77" t="s">
        <v>8611</v>
      </c>
      <c r="Z586" s="77" t="s">
        <v>8922</v>
      </c>
      <c r="AA586" s="77"/>
      <c r="AB586" s="77"/>
      <c r="AC586" s="80" t="s">
        <v>10540</v>
      </c>
      <c r="AD586" s="77" t="s">
        <v>10617</v>
      </c>
      <c r="AE586" s="83" t="str">
        <f>HYPERLINK("https://twitter.com/troff10/status/1655769801761906689")</f>
        <v>https://twitter.com/troff10/status/1655769801761906689</v>
      </c>
      <c r="AF586" s="79">
        <v>45055.125671296293</v>
      </c>
      <c r="AG586" s="85">
        <v>45055</v>
      </c>
      <c r="AH586" s="80" t="s">
        <v>11161</v>
      </c>
      <c r="AI586" s="77" t="b">
        <v>0</v>
      </c>
      <c r="AJ586" s="77"/>
      <c r="AK586" s="77"/>
      <c r="AL586" s="77"/>
      <c r="AM586" s="77"/>
      <c r="AN586" s="77"/>
      <c r="AO586" s="77"/>
      <c r="AP586" s="77"/>
      <c r="AQ586" s="77"/>
      <c r="AR586" s="77"/>
      <c r="AS586" s="77"/>
      <c r="AT586" s="77"/>
      <c r="AU586" s="77"/>
      <c r="AV586" s="83" t="str">
        <f>HYPERLINK("https://pbs.twimg.com/profile_images/1140802955161067521/nsFZCbgC_normal.jpg")</f>
        <v>https://pbs.twimg.com/profile_images/1140802955161067521/nsFZCbgC_normal.jpg</v>
      </c>
      <c r="AW586" s="80" t="s">
        <v>16549</v>
      </c>
      <c r="AX586" s="80" t="s">
        <v>16549</v>
      </c>
      <c r="AY586" s="77"/>
      <c r="AZ586" s="80" t="s">
        <v>20380</v>
      </c>
      <c r="BA586" s="80" t="s">
        <v>20380</v>
      </c>
      <c r="BB586" s="80" t="s">
        <v>20380</v>
      </c>
      <c r="BC586" s="80" t="s">
        <v>16549</v>
      </c>
      <c r="BD586" s="77">
        <v>29297040</v>
      </c>
      <c r="BE586" s="77" t="s">
        <v>21201</v>
      </c>
      <c r="BF586" s="77" t="s">
        <v>21204</v>
      </c>
      <c r="BG586" s="77">
        <v>7201</v>
      </c>
      <c r="BH586" s="77" t="s">
        <v>21207</v>
      </c>
      <c r="BI586" s="77" t="s">
        <v>21208</v>
      </c>
    </row>
    <row r="587" spans="1:61" x14ac:dyDescent="0.25">
      <c r="A587" s="62" t="s">
        <v>459</v>
      </c>
      <c r="B587" s="62" t="s">
        <v>459</v>
      </c>
      <c r="C587" s="63"/>
      <c r="D587" s="64"/>
      <c r="E587" s="65"/>
      <c r="F587" s="66"/>
      <c r="G587" s="63"/>
      <c r="H587" s="67"/>
      <c r="I587" s="68"/>
      <c r="J587" s="68"/>
      <c r="K587" s="32"/>
      <c r="L587" s="75">
        <v>587</v>
      </c>
      <c r="M587" s="75"/>
      <c r="N587" s="70"/>
      <c r="O587" s="77" t="s">
        <v>179</v>
      </c>
      <c r="P587" s="79">
        <v>45105.093460648146</v>
      </c>
      <c r="Q587" s="77" t="s">
        <v>2600</v>
      </c>
      <c r="R587" s="77">
        <v>2</v>
      </c>
      <c r="S587" s="77">
        <v>5</v>
      </c>
      <c r="T587" s="77">
        <v>0</v>
      </c>
      <c r="U587" s="77">
        <v>0</v>
      </c>
      <c r="V587" s="77">
        <v>156</v>
      </c>
      <c r="W587" s="80" t="s">
        <v>6318</v>
      </c>
      <c r="X587" s="77"/>
      <c r="Y587" s="77"/>
      <c r="Z587" s="77"/>
      <c r="AA587" s="77" t="s">
        <v>9194</v>
      </c>
      <c r="AB587" s="77" t="s">
        <v>10535</v>
      </c>
      <c r="AC587" s="80" t="s">
        <v>10541</v>
      </c>
      <c r="AD587" s="77" t="s">
        <v>10617</v>
      </c>
      <c r="AE587" s="83" t="str">
        <f>HYPERLINK("https://twitter.com/biradantas/status/1673877524026195969")</f>
        <v>https://twitter.com/biradantas/status/1673877524026195969</v>
      </c>
      <c r="AF587" s="79">
        <v>45105.093460648146</v>
      </c>
      <c r="AG587" s="85">
        <v>45105</v>
      </c>
      <c r="AH587" s="80" t="s">
        <v>11162</v>
      </c>
      <c r="AI587" s="77" t="b">
        <v>0</v>
      </c>
      <c r="AJ587" s="77"/>
      <c r="AK587" s="77"/>
      <c r="AL587" s="77"/>
      <c r="AM587" s="77"/>
      <c r="AN587" s="77"/>
      <c r="AO587" s="77"/>
      <c r="AP587" s="77"/>
      <c r="AQ587" s="77" t="s">
        <v>14676</v>
      </c>
      <c r="AR587" s="77"/>
      <c r="AS587" s="77"/>
      <c r="AT587" s="77"/>
      <c r="AU587" s="77"/>
      <c r="AV587" s="83" t="str">
        <f>HYPERLINK("https://pbs.twimg.com/media/FzrORg3WcAQZJJO.jpg")</f>
        <v>https://pbs.twimg.com/media/FzrORg3WcAQZJJO.jpg</v>
      </c>
      <c r="AW587" s="80" t="s">
        <v>16550</v>
      </c>
      <c r="AX587" s="80" t="s">
        <v>16550</v>
      </c>
      <c r="AY587" s="77"/>
      <c r="AZ587" s="80" t="s">
        <v>20380</v>
      </c>
      <c r="BA587" s="80" t="s">
        <v>20380</v>
      </c>
      <c r="BB587" s="80" t="s">
        <v>20380</v>
      </c>
      <c r="BC587" s="80" t="s">
        <v>16550</v>
      </c>
      <c r="BD587" s="77">
        <v>68736733</v>
      </c>
      <c r="BE587" s="77"/>
      <c r="BF587" s="77"/>
      <c r="BG587" s="77"/>
      <c r="BH587" s="77"/>
      <c r="BI587" s="77"/>
    </row>
    <row r="588" spans="1:61" x14ac:dyDescent="0.25">
      <c r="A588" s="62" t="s">
        <v>460</v>
      </c>
      <c r="B588" s="62" t="s">
        <v>460</v>
      </c>
      <c r="C588" s="63"/>
      <c r="D588" s="64"/>
      <c r="E588" s="65"/>
      <c r="F588" s="66"/>
      <c r="G588" s="63"/>
      <c r="H588" s="67"/>
      <c r="I588" s="68"/>
      <c r="J588" s="68"/>
      <c r="K588" s="32"/>
      <c r="L588" s="75">
        <v>588</v>
      </c>
      <c r="M588" s="75"/>
      <c r="N588" s="70"/>
      <c r="O588" s="77" t="s">
        <v>179</v>
      </c>
      <c r="P588" s="79">
        <v>45065.532743055555</v>
      </c>
      <c r="Q588" s="77" t="s">
        <v>2601</v>
      </c>
      <c r="R588" s="77">
        <v>0</v>
      </c>
      <c r="S588" s="77">
        <v>0</v>
      </c>
      <c r="T588" s="77">
        <v>1</v>
      </c>
      <c r="U588" s="77">
        <v>0</v>
      </c>
      <c r="V588" s="77">
        <v>503</v>
      </c>
      <c r="W588" s="80" t="s">
        <v>6319</v>
      </c>
      <c r="X588" s="83" t="str">
        <f>HYPERLINK("https://www.cba24n.com.ar/argentina/comercios-con-codigo-qr-deberan-aceptar-pagos-con-cualquier-billetera-digital-interoperable_a646765c270119197b06c89cc")</f>
        <v>https://www.cba24n.com.ar/argentina/comercios-con-codigo-qr-deberan-aceptar-pagos-con-cualquier-billetera-digital-interoperable_a646765c270119197b06c89cc</v>
      </c>
      <c r="Y588" s="77" t="s">
        <v>8624</v>
      </c>
      <c r="Z588" s="77"/>
      <c r="AA588" s="77"/>
      <c r="AB588" s="77"/>
      <c r="AC588" s="80" t="s">
        <v>10551</v>
      </c>
      <c r="AD588" s="77" t="s">
        <v>10620</v>
      </c>
      <c r="AE588" s="83" t="str">
        <f>HYPERLINK("https://twitter.com/canal10cba/status/1659541199693262848")</f>
        <v>https://twitter.com/canal10cba/status/1659541199693262848</v>
      </c>
      <c r="AF588" s="79">
        <v>45065.532743055555</v>
      </c>
      <c r="AG588" s="85">
        <v>45065</v>
      </c>
      <c r="AH588" s="80" t="s">
        <v>11163</v>
      </c>
      <c r="AI588" s="77" t="b">
        <v>0</v>
      </c>
      <c r="AJ588" s="77"/>
      <c r="AK588" s="77"/>
      <c r="AL588" s="77"/>
      <c r="AM588" s="77"/>
      <c r="AN588" s="77"/>
      <c r="AO588" s="77"/>
      <c r="AP588" s="77"/>
      <c r="AQ588" s="77"/>
      <c r="AR588" s="77"/>
      <c r="AS588" s="77"/>
      <c r="AT588" s="77"/>
      <c r="AU588" s="77"/>
      <c r="AV588" s="83" t="str">
        <f>HYPERLINK("https://pbs.twimg.com/profile_images/1451290328275824652/XYOIdtja_normal.jpg")</f>
        <v>https://pbs.twimg.com/profile_images/1451290328275824652/XYOIdtja_normal.jpg</v>
      </c>
      <c r="AW588" s="80" t="s">
        <v>16551</v>
      </c>
      <c r="AX588" s="80" t="s">
        <v>16551</v>
      </c>
      <c r="AY588" s="77"/>
      <c r="AZ588" s="80" t="s">
        <v>20380</v>
      </c>
      <c r="BA588" s="80" t="s">
        <v>20380</v>
      </c>
      <c r="BB588" s="80" t="s">
        <v>20380</v>
      </c>
      <c r="BC588" s="80" t="s">
        <v>16551</v>
      </c>
      <c r="BD588" s="77">
        <v>555971617</v>
      </c>
      <c r="BE588" s="77"/>
      <c r="BF588" s="77"/>
      <c r="BG588" s="77"/>
      <c r="BH588" s="77"/>
      <c r="BI588" s="77"/>
    </row>
    <row r="589" spans="1:61" x14ac:dyDescent="0.25">
      <c r="A589" s="62" t="s">
        <v>460</v>
      </c>
      <c r="B589" s="62" t="s">
        <v>460</v>
      </c>
      <c r="C589" s="63"/>
      <c r="D589" s="64"/>
      <c r="E589" s="65"/>
      <c r="F589" s="66"/>
      <c r="G589" s="63"/>
      <c r="H589" s="67"/>
      <c r="I589" s="68"/>
      <c r="J589" s="68"/>
      <c r="K589" s="32"/>
      <c r="L589" s="75">
        <v>589</v>
      </c>
      <c r="M589" s="75"/>
      <c r="N589" s="70"/>
      <c r="O589" s="77" t="s">
        <v>179</v>
      </c>
      <c r="P589" s="79">
        <v>45141.736770833333</v>
      </c>
      <c r="Q589" s="77" t="s">
        <v>2602</v>
      </c>
      <c r="R589" s="77">
        <v>0</v>
      </c>
      <c r="S589" s="77">
        <v>0</v>
      </c>
      <c r="T589" s="77">
        <v>0</v>
      </c>
      <c r="U589" s="77">
        <v>0</v>
      </c>
      <c r="V589" s="77">
        <v>340</v>
      </c>
      <c r="W589" s="80" t="s">
        <v>5884</v>
      </c>
      <c r="X589" s="83" t="str">
        <f>HYPERLINK("https://www.cba24n.com.ar/argentina/el-dolar--blue--imparable-tras-las-nuevas-medidas-del-gobierno--a-cuanto-cotiza-este-jueves-_a64cbd69a404c0ca2f7871a95")</f>
        <v>https://www.cba24n.com.ar/argentina/el-dolar--blue--imparable-tras-las-nuevas-medidas-del-gobierno--a-cuanto-cotiza-este-jueves-_a64cbd69a404c0ca2f7871a95</v>
      </c>
      <c r="Y589" s="77" t="s">
        <v>8624</v>
      </c>
      <c r="Z589" s="77"/>
      <c r="AA589" s="77"/>
      <c r="AB589" s="77"/>
      <c r="AC589" s="80" t="s">
        <v>10541</v>
      </c>
      <c r="AD589" s="77" t="s">
        <v>10620</v>
      </c>
      <c r="AE589" s="83" t="str">
        <f>HYPERLINK("https://twitter.com/canal10cba/status/1687156613784748041")</f>
        <v>https://twitter.com/canal10cba/status/1687156613784748041</v>
      </c>
      <c r="AF589" s="79">
        <v>45141.736770833333</v>
      </c>
      <c r="AG589" s="85">
        <v>45141</v>
      </c>
      <c r="AH589" s="80" t="s">
        <v>11164</v>
      </c>
      <c r="AI589" s="77" t="b">
        <v>0</v>
      </c>
      <c r="AJ589" s="77"/>
      <c r="AK589" s="77"/>
      <c r="AL589" s="77"/>
      <c r="AM589" s="77"/>
      <c r="AN589" s="77"/>
      <c r="AO589" s="77"/>
      <c r="AP589" s="77"/>
      <c r="AQ589" s="77"/>
      <c r="AR589" s="77"/>
      <c r="AS589" s="77"/>
      <c r="AT589" s="77"/>
      <c r="AU589" s="77"/>
      <c r="AV589" s="83" t="str">
        <f>HYPERLINK("https://pbs.twimg.com/profile_images/1451290328275824652/XYOIdtja_normal.jpg")</f>
        <v>https://pbs.twimg.com/profile_images/1451290328275824652/XYOIdtja_normal.jpg</v>
      </c>
      <c r="AW589" s="80" t="s">
        <v>16552</v>
      </c>
      <c r="AX589" s="80" t="s">
        <v>16552</v>
      </c>
      <c r="AY589" s="77"/>
      <c r="AZ589" s="80" t="s">
        <v>20380</v>
      </c>
      <c r="BA589" s="80" t="s">
        <v>20380</v>
      </c>
      <c r="BB589" s="80" t="s">
        <v>20380</v>
      </c>
      <c r="BC589" s="80" t="s">
        <v>16552</v>
      </c>
      <c r="BD589" s="77">
        <v>555971617</v>
      </c>
      <c r="BE589" s="77"/>
      <c r="BF589" s="77"/>
      <c r="BG589" s="77"/>
      <c r="BH589" s="77"/>
      <c r="BI589" s="77"/>
    </row>
    <row r="590" spans="1:61" x14ac:dyDescent="0.25">
      <c r="A590" s="62" t="s">
        <v>461</v>
      </c>
      <c r="B590" s="62" t="s">
        <v>461</v>
      </c>
      <c r="C590" s="63"/>
      <c r="D590" s="64"/>
      <c r="E590" s="65"/>
      <c r="F590" s="66"/>
      <c r="G590" s="63"/>
      <c r="H590" s="67"/>
      <c r="I590" s="68"/>
      <c r="J590" s="68"/>
      <c r="K590" s="32"/>
      <c r="L590" s="75">
        <v>590</v>
      </c>
      <c r="M590" s="75"/>
      <c r="N590" s="70"/>
      <c r="O590" s="77" t="s">
        <v>179</v>
      </c>
      <c r="P590" s="79">
        <v>45107.586898148147</v>
      </c>
      <c r="Q590" s="77" t="s">
        <v>2603</v>
      </c>
      <c r="R590" s="77">
        <v>0</v>
      </c>
      <c r="S590" s="77">
        <v>0</v>
      </c>
      <c r="T590" s="77">
        <v>0</v>
      </c>
      <c r="U590" s="77">
        <v>0</v>
      </c>
      <c r="V590" s="77">
        <v>9</v>
      </c>
      <c r="W590" s="80" t="s">
        <v>5896</v>
      </c>
      <c r="X590" s="83" t="str">
        <f>HYPERLINK("https://coinstopics.com/banco-central-evolui-o-real-digital-e-os-participantes-poderao-instalar-nos-em-breve/")</f>
        <v>https://coinstopics.com/banco-central-evolui-o-real-digital-e-os-participantes-poderao-instalar-nos-em-breve/</v>
      </c>
      <c r="Y590" s="77" t="s">
        <v>8676</v>
      </c>
      <c r="Z590" s="77"/>
      <c r="AA590" s="77"/>
      <c r="AB590" s="77"/>
      <c r="AC590" s="80" t="s">
        <v>10542</v>
      </c>
      <c r="AD590" s="77" t="s">
        <v>10617</v>
      </c>
      <c r="AE590" s="83" t="str">
        <f>HYPERLINK("https://twitter.com/coinstopics/status/1674781115985588226")</f>
        <v>https://twitter.com/coinstopics/status/1674781115985588226</v>
      </c>
      <c r="AF590" s="79">
        <v>45107.586898148147</v>
      </c>
      <c r="AG590" s="85">
        <v>45107</v>
      </c>
      <c r="AH590" s="80" t="s">
        <v>11165</v>
      </c>
      <c r="AI590" s="77" t="b">
        <v>0</v>
      </c>
      <c r="AJ590" s="77"/>
      <c r="AK590" s="77"/>
      <c r="AL590" s="77"/>
      <c r="AM590" s="77"/>
      <c r="AN590" s="77"/>
      <c r="AO590" s="77"/>
      <c r="AP590" s="77"/>
      <c r="AQ590" s="77"/>
      <c r="AR590" s="77"/>
      <c r="AS590" s="77"/>
      <c r="AT590" s="77"/>
      <c r="AU590" s="77"/>
      <c r="AV590" s="83" t="str">
        <f>HYPERLINK("https://pbs.twimg.com/profile_images/1647034568375975936/yp9-_I5b_normal.jpg")</f>
        <v>https://pbs.twimg.com/profile_images/1647034568375975936/yp9-_I5b_normal.jpg</v>
      </c>
      <c r="AW590" s="80" t="s">
        <v>16553</v>
      </c>
      <c r="AX590" s="80" t="s">
        <v>16553</v>
      </c>
      <c r="AY590" s="77"/>
      <c r="AZ590" s="80" t="s">
        <v>20380</v>
      </c>
      <c r="BA590" s="80" t="s">
        <v>20380</v>
      </c>
      <c r="BB590" s="80" t="s">
        <v>20380</v>
      </c>
      <c r="BC590" s="80" t="s">
        <v>16553</v>
      </c>
      <c r="BD590" s="80" t="s">
        <v>20612</v>
      </c>
      <c r="BE590" s="77"/>
      <c r="BF590" s="77"/>
      <c r="BG590" s="77"/>
      <c r="BH590" s="77"/>
      <c r="BI590" s="77"/>
    </row>
    <row r="591" spans="1:61" x14ac:dyDescent="0.25">
      <c r="A591" s="62" t="s">
        <v>462</v>
      </c>
      <c r="B591" s="62" t="s">
        <v>462</v>
      </c>
      <c r="C591" s="63"/>
      <c r="D591" s="64"/>
      <c r="E591" s="65"/>
      <c r="F591" s="66"/>
      <c r="G591" s="63"/>
      <c r="H591" s="67"/>
      <c r="I591" s="68"/>
      <c r="J591" s="68"/>
      <c r="K591" s="32"/>
      <c r="L591" s="75">
        <v>591</v>
      </c>
      <c r="M591" s="75"/>
      <c r="N591" s="70"/>
      <c r="O591" s="77" t="s">
        <v>179</v>
      </c>
      <c r="P591" s="79">
        <v>45106.893159722225</v>
      </c>
      <c r="Q591" s="77" t="s">
        <v>2604</v>
      </c>
      <c r="R591" s="77">
        <v>2</v>
      </c>
      <c r="S591" s="77">
        <v>2</v>
      </c>
      <c r="T591" s="77">
        <v>0</v>
      </c>
      <c r="U591" s="77">
        <v>0</v>
      </c>
      <c r="V591" s="77">
        <v>116</v>
      </c>
      <c r="W591" s="80" t="s">
        <v>6320</v>
      </c>
      <c r="X591" s="83" t="str">
        <f>HYPERLINK("https://www.brasil247.com/economia/haddad-anuncia-meta-de-inflacao-continua-a-partir-de-2025-cmn-mantem-meta-em-3-para-2026-0e5p3tpc")</f>
        <v>https://www.brasil247.com/economia/haddad-anuncia-meta-de-inflacao-continua-a-partir-de-2025-cmn-mantem-meta-em-3-para-2026-0e5p3tpc</v>
      </c>
      <c r="Y591" s="77" t="s">
        <v>8648</v>
      </c>
      <c r="Z591" s="77"/>
      <c r="AA591" s="77"/>
      <c r="AB591" s="77"/>
      <c r="AC591" s="80" t="s">
        <v>10541</v>
      </c>
      <c r="AD591" s="77" t="s">
        <v>10617</v>
      </c>
      <c r="AE591" s="83" t="str">
        <f>HYPERLINK("https://twitter.com/cmbortowski/status/1674529714835259392")</f>
        <v>https://twitter.com/cmbortowski/status/1674529714835259392</v>
      </c>
      <c r="AF591" s="79">
        <v>45106.893159722225</v>
      </c>
      <c r="AG591" s="85">
        <v>45106</v>
      </c>
      <c r="AH591" s="80" t="s">
        <v>11166</v>
      </c>
      <c r="AI591" s="77" t="b">
        <v>0</v>
      </c>
      <c r="AJ591" s="77"/>
      <c r="AK591" s="77"/>
      <c r="AL591" s="77"/>
      <c r="AM591" s="77"/>
      <c r="AN591" s="77"/>
      <c r="AO591" s="77"/>
      <c r="AP591" s="77"/>
      <c r="AQ591" s="77"/>
      <c r="AR591" s="77"/>
      <c r="AS591" s="77"/>
      <c r="AT591" s="77"/>
      <c r="AU591" s="77"/>
      <c r="AV591" s="83" t="str">
        <f>HYPERLINK("https://pbs.twimg.com/profile_images/1519535467674456070/RAU0YZBB_normal.jpg")</f>
        <v>https://pbs.twimg.com/profile_images/1519535467674456070/RAU0YZBB_normal.jpg</v>
      </c>
      <c r="AW591" s="80" t="s">
        <v>16554</v>
      </c>
      <c r="AX591" s="80" t="s">
        <v>16554</v>
      </c>
      <c r="AY591" s="77"/>
      <c r="AZ591" s="80" t="s">
        <v>20380</v>
      </c>
      <c r="BA591" s="80" t="s">
        <v>20380</v>
      </c>
      <c r="BB591" s="80" t="s">
        <v>20380</v>
      </c>
      <c r="BC591" s="80" t="s">
        <v>16554</v>
      </c>
      <c r="BD591" s="80" t="s">
        <v>20613</v>
      </c>
      <c r="BE591" s="77"/>
      <c r="BF591" s="77"/>
      <c r="BG591" s="77"/>
      <c r="BH591" s="77"/>
      <c r="BI591" s="77"/>
    </row>
    <row r="592" spans="1:61" x14ac:dyDescent="0.25">
      <c r="A592" s="62" t="s">
        <v>463</v>
      </c>
      <c r="B592" s="62" t="s">
        <v>463</v>
      </c>
      <c r="C592" s="63"/>
      <c r="D592" s="64"/>
      <c r="E592" s="65"/>
      <c r="F592" s="66"/>
      <c r="G592" s="63"/>
      <c r="H592" s="67"/>
      <c r="I592" s="68"/>
      <c r="J592" s="68"/>
      <c r="K592" s="32"/>
      <c r="L592" s="75">
        <v>592</v>
      </c>
      <c r="M592" s="75"/>
      <c r="N592" s="70"/>
      <c r="O592" s="77" t="s">
        <v>179</v>
      </c>
      <c r="P592" s="79">
        <v>45057.4919212963</v>
      </c>
      <c r="Q592" s="77" t="s">
        <v>2605</v>
      </c>
      <c r="R592" s="77">
        <v>0</v>
      </c>
      <c r="S592" s="77">
        <v>0</v>
      </c>
      <c r="T592" s="77">
        <v>0</v>
      </c>
      <c r="U592" s="77">
        <v>0</v>
      </c>
      <c r="V592" s="77">
        <v>4</v>
      </c>
      <c r="W592" s="80" t="s">
        <v>5884</v>
      </c>
      <c r="X592" s="83" t="str">
        <f>HYPERLINK("https://lado.mx/n.php?id=13111254")</f>
        <v>https://lado.mx/n.php?id=13111254</v>
      </c>
      <c r="Y592" s="77" t="s">
        <v>8677</v>
      </c>
      <c r="Z592" s="77"/>
      <c r="AA592" s="77"/>
      <c r="AB592" s="77"/>
      <c r="AC592" s="80" t="s">
        <v>10561</v>
      </c>
      <c r="AD592" s="77" t="s">
        <v>10620</v>
      </c>
      <c r="AE592" s="83" t="str">
        <f>HYPERLINK("https://twitter.com/lado_mx/status/1656627302933975041")</f>
        <v>https://twitter.com/lado_mx/status/1656627302933975041</v>
      </c>
      <c r="AF592" s="79">
        <v>45057.4919212963</v>
      </c>
      <c r="AG592" s="85">
        <v>45057</v>
      </c>
      <c r="AH592" s="80" t="s">
        <v>11167</v>
      </c>
      <c r="AI592" s="77" t="b">
        <v>1</v>
      </c>
      <c r="AJ592" s="77"/>
      <c r="AK592" s="77"/>
      <c r="AL592" s="77"/>
      <c r="AM592" s="77"/>
      <c r="AN592" s="77"/>
      <c r="AO592" s="77"/>
      <c r="AP592" s="77"/>
      <c r="AQ592" s="77"/>
      <c r="AR592" s="77"/>
      <c r="AS592" s="77"/>
      <c r="AT592" s="77"/>
      <c r="AU592" s="77"/>
      <c r="AV592" s="83" t="str">
        <f>HYPERLINK("https://pbs.twimg.com/profile_images/483835142784286721/qfznLNQ0_normal.png")</f>
        <v>https://pbs.twimg.com/profile_images/483835142784286721/qfznLNQ0_normal.png</v>
      </c>
      <c r="AW592" s="80" t="s">
        <v>16555</v>
      </c>
      <c r="AX592" s="80" t="s">
        <v>16555</v>
      </c>
      <c r="AY592" s="77"/>
      <c r="AZ592" s="80" t="s">
        <v>20380</v>
      </c>
      <c r="BA592" s="80" t="s">
        <v>20380</v>
      </c>
      <c r="BB592" s="80" t="s">
        <v>20380</v>
      </c>
      <c r="BC592" s="80" t="s">
        <v>16555</v>
      </c>
      <c r="BD592" s="77">
        <v>92356864</v>
      </c>
      <c r="BE592" s="77"/>
      <c r="BF592" s="77"/>
      <c r="BG592" s="77"/>
      <c r="BH592" s="77"/>
      <c r="BI592" s="77"/>
    </row>
    <row r="593" spans="1:61" x14ac:dyDescent="0.25">
      <c r="A593" s="62" t="s">
        <v>463</v>
      </c>
      <c r="B593" s="62" t="s">
        <v>463</v>
      </c>
      <c r="C593" s="63"/>
      <c r="D593" s="64"/>
      <c r="E593" s="65"/>
      <c r="F593" s="66"/>
      <c r="G593" s="63"/>
      <c r="H593" s="67"/>
      <c r="I593" s="68"/>
      <c r="J593" s="68"/>
      <c r="K593" s="32"/>
      <c r="L593" s="75">
        <v>593</v>
      </c>
      <c r="M593" s="75"/>
      <c r="N593" s="70"/>
      <c r="O593" s="77" t="s">
        <v>179</v>
      </c>
      <c r="P593" s="79">
        <v>45057.487696759257</v>
      </c>
      <c r="Q593" s="77" t="s">
        <v>2606</v>
      </c>
      <c r="R593" s="77">
        <v>0</v>
      </c>
      <c r="S593" s="77">
        <v>0</v>
      </c>
      <c r="T593" s="77">
        <v>0</v>
      </c>
      <c r="U593" s="77">
        <v>0</v>
      </c>
      <c r="V593" s="77">
        <v>11</v>
      </c>
      <c r="W593" s="80" t="s">
        <v>5884</v>
      </c>
      <c r="X593" s="83" t="str">
        <f>HYPERLINK("https://lado.mx/n.php?id=13111276")</f>
        <v>https://lado.mx/n.php?id=13111276</v>
      </c>
      <c r="Y593" s="77" t="s">
        <v>8677</v>
      </c>
      <c r="Z593" s="77"/>
      <c r="AA593" s="77"/>
      <c r="AB593" s="77"/>
      <c r="AC593" s="80" t="s">
        <v>10561</v>
      </c>
      <c r="AD593" s="77" t="s">
        <v>10620</v>
      </c>
      <c r="AE593" s="83" t="str">
        <f>HYPERLINK("https://twitter.com/lado_mx/status/1656625773854195712")</f>
        <v>https://twitter.com/lado_mx/status/1656625773854195712</v>
      </c>
      <c r="AF593" s="79">
        <v>45057.487696759257</v>
      </c>
      <c r="AG593" s="85">
        <v>45057</v>
      </c>
      <c r="AH593" s="80" t="s">
        <v>11168</v>
      </c>
      <c r="AI593" s="77" t="b">
        <v>1</v>
      </c>
      <c r="AJ593" s="77"/>
      <c r="AK593" s="77"/>
      <c r="AL593" s="77"/>
      <c r="AM593" s="77"/>
      <c r="AN593" s="77"/>
      <c r="AO593" s="77"/>
      <c r="AP593" s="77"/>
      <c r="AQ593" s="77"/>
      <c r="AR593" s="77"/>
      <c r="AS593" s="77"/>
      <c r="AT593" s="77"/>
      <c r="AU593" s="77"/>
      <c r="AV593" s="83" t="str">
        <f>HYPERLINK("https://pbs.twimg.com/profile_images/483835142784286721/qfznLNQ0_normal.png")</f>
        <v>https://pbs.twimg.com/profile_images/483835142784286721/qfznLNQ0_normal.png</v>
      </c>
      <c r="AW593" s="80" t="s">
        <v>16556</v>
      </c>
      <c r="AX593" s="80" t="s">
        <v>16556</v>
      </c>
      <c r="AY593" s="77"/>
      <c r="AZ593" s="80" t="s">
        <v>20380</v>
      </c>
      <c r="BA593" s="80" t="s">
        <v>20380</v>
      </c>
      <c r="BB593" s="80" t="s">
        <v>20380</v>
      </c>
      <c r="BC593" s="80" t="s">
        <v>16556</v>
      </c>
      <c r="BD593" s="77">
        <v>92356864</v>
      </c>
      <c r="BE593" s="77"/>
      <c r="BF593" s="77"/>
      <c r="BG593" s="77"/>
      <c r="BH593" s="77"/>
      <c r="BI593" s="77"/>
    </row>
    <row r="594" spans="1:61" x14ac:dyDescent="0.25">
      <c r="A594" s="62" t="s">
        <v>463</v>
      </c>
      <c r="B594" s="62" t="s">
        <v>463</v>
      </c>
      <c r="C594" s="63"/>
      <c r="D594" s="64"/>
      <c r="E594" s="65"/>
      <c r="F594" s="66"/>
      <c r="G594" s="63"/>
      <c r="H594" s="67"/>
      <c r="I594" s="68"/>
      <c r="J594" s="68"/>
      <c r="K594" s="32"/>
      <c r="L594" s="75">
        <v>594</v>
      </c>
      <c r="M594" s="75"/>
      <c r="N594" s="70"/>
      <c r="O594" s="77" t="s">
        <v>179</v>
      </c>
      <c r="P594" s="79">
        <v>45062.564768518518</v>
      </c>
      <c r="Q594" s="77" t="s">
        <v>2607</v>
      </c>
      <c r="R594" s="77">
        <v>0</v>
      </c>
      <c r="S594" s="77">
        <v>0</v>
      </c>
      <c r="T594" s="77">
        <v>0</v>
      </c>
      <c r="U594" s="77">
        <v>0</v>
      </c>
      <c r="V594" s="77">
        <v>8</v>
      </c>
      <c r="W594" s="80" t="s">
        <v>5884</v>
      </c>
      <c r="X594" s="83" t="str">
        <f>HYPERLINK("https://lado.mx/n.php?id=13154175")</f>
        <v>https://lado.mx/n.php?id=13154175</v>
      </c>
      <c r="Y594" s="77" t="s">
        <v>8677</v>
      </c>
      <c r="Z594" s="77"/>
      <c r="AA594" s="77"/>
      <c r="AB594" s="77"/>
      <c r="AC594" s="80" t="s">
        <v>10561</v>
      </c>
      <c r="AD594" s="77" t="s">
        <v>10620</v>
      </c>
      <c r="AE594" s="83" t="str">
        <f>HYPERLINK("https://twitter.com/lado_mx/status/1658465639881637889")</f>
        <v>https://twitter.com/lado_mx/status/1658465639881637889</v>
      </c>
      <c r="AF594" s="79">
        <v>45062.564768518518</v>
      </c>
      <c r="AG594" s="85">
        <v>45062</v>
      </c>
      <c r="AH594" s="80" t="s">
        <v>11169</v>
      </c>
      <c r="AI594" s="77" t="b">
        <v>1</v>
      </c>
      <c r="AJ594" s="77"/>
      <c r="AK594" s="77"/>
      <c r="AL594" s="77"/>
      <c r="AM594" s="77"/>
      <c r="AN594" s="77"/>
      <c r="AO594" s="77"/>
      <c r="AP594" s="77"/>
      <c r="AQ594" s="77"/>
      <c r="AR594" s="77"/>
      <c r="AS594" s="77"/>
      <c r="AT594" s="77"/>
      <c r="AU594" s="77"/>
      <c r="AV594" s="83" t="str">
        <f>HYPERLINK("https://pbs.twimg.com/profile_images/483835142784286721/qfznLNQ0_normal.png")</f>
        <v>https://pbs.twimg.com/profile_images/483835142784286721/qfznLNQ0_normal.png</v>
      </c>
      <c r="AW594" s="80" t="s">
        <v>16557</v>
      </c>
      <c r="AX594" s="80" t="s">
        <v>16557</v>
      </c>
      <c r="AY594" s="77"/>
      <c r="AZ594" s="80" t="s">
        <v>20380</v>
      </c>
      <c r="BA594" s="80" t="s">
        <v>20380</v>
      </c>
      <c r="BB594" s="80" t="s">
        <v>20380</v>
      </c>
      <c r="BC594" s="80" t="s">
        <v>16557</v>
      </c>
      <c r="BD594" s="77">
        <v>92356864</v>
      </c>
      <c r="BE594" s="77"/>
      <c r="BF594" s="77"/>
      <c r="BG594" s="77"/>
      <c r="BH594" s="77"/>
      <c r="BI594" s="77"/>
    </row>
    <row r="595" spans="1:61" x14ac:dyDescent="0.25">
      <c r="A595" s="62" t="s">
        <v>463</v>
      </c>
      <c r="B595" s="62" t="s">
        <v>463</v>
      </c>
      <c r="C595" s="63"/>
      <c r="D595" s="64"/>
      <c r="E595" s="65"/>
      <c r="F595" s="66"/>
      <c r="G595" s="63"/>
      <c r="H595" s="67"/>
      <c r="I595" s="68"/>
      <c r="J595" s="68"/>
      <c r="K595" s="32"/>
      <c r="L595" s="75">
        <v>595</v>
      </c>
      <c r="M595" s="75"/>
      <c r="N595" s="70"/>
      <c r="O595" s="77" t="s">
        <v>179</v>
      </c>
      <c r="P595" s="79">
        <v>45062.562777777777</v>
      </c>
      <c r="Q595" s="77" t="s">
        <v>2608</v>
      </c>
      <c r="R595" s="77">
        <v>0</v>
      </c>
      <c r="S595" s="77">
        <v>0</v>
      </c>
      <c r="T595" s="77">
        <v>0</v>
      </c>
      <c r="U595" s="77">
        <v>0</v>
      </c>
      <c r="V595" s="77">
        <v>11</v>
      </c>
      <c r="W595" s="80" t="s">
        <v>5884</v>
      </c>
      <c r="X595" s="83" t="str">
        <f>HYPERLINK("https://lado.mx/n.php?id=13154074")</f>
        <v>https://lado.mx/n.php?id=13154074</v>
      </c>
      <c r="Y595" s="77" t="s">
        <v>8677</v>
      </c>
      <c r="Z595" s="77"/>
      <c r="AA595" s="77"/>
      <c r="AB595" s="77"/>
      <c r="AC595" s="80" t="s">
        <v>10561</v>
      </c>
      <c r="AD595" s="77" t="s">
        <v>10620</v>
      </c>
      <c r="AE595" s="83" t="str">
        <f>HYPERLINK("https://twitter.com/lado_mx/status/1658464922194305025")</f>
        <v>https://twitter.com/lado_mx/status/1658464922194305025</v>
      </c>
      <c r="AF595" s="79">
        <v>45062.562777777777</v>
      </c>
      <c r="AG595" s="85">
        <v>45062</v>
      </c>
      <c r="AH595" s="80" t="s">
        <v>11170</v>
      </c>
      <c r="AI595" s="77" t="b">
        <v>1</v>
      </c>
      <c r="AJ595" s="77"/>
      <c r="AK595" s="77"/>
      <c r="AL595" s="77"/>
      <c r="AM595" s="77"/>
      <c r="AN595" s="77"/>
      <c r="AO595" s="77"/>
      <c r="AP595" s="77"/>
      <c r="AQ595" s="77"/>
      <c r="AR595" s="77"/>
      <c r="AS595" s="77"/>
      <c r="AT595" s="77"/>
      <c r="AU595" s="77"/>
      <c r="AV595" s="83" t="str">
        <f>HYPERLINK("https://pbs.twimg.com/profile_images/483835142784286721/qfznLNQ0_normal.png")</f>
        <v>https://pbs.twimg.com/profile_images/483835142784286721/qfznLNQ0_normal.png</v>
      </c>
      <c r="AW595" s="80" t="s">
        <v>16558</v>
      </c>
      <c r="AX595" s="80" t="s">
        <v>16558</v>
      </c>
      <c r="AY595" s="77"/>
      <c r="AZ595" s="80" t="s">
        <v>20380</v>
      </c>
      <c r="BA595" s="80" t="s">
        <v>20380</v>
      </c>
      <c r="BB595" s="80" t="s">
        <v>20380</v>
      </c>
      <c r="BC595" s="80" t="s">
        <v>16558</v>
      </c>
      <c r="BD595" s="77">
        <v>92356864</v>
      </c>
      <c r="BE595" s="77"/>
      <c r="BF595" s="77"/>
      <c r="BG595" s="77"/>
      <c r="BH595" s="77"/>
      <c r="BI595" s="77"/>
    </row>
    <row r="596" spans="1:61" x14ac:dyDescent="0.25">
      <c r="A596" s="62" t="s">
        <v>464</v>
      </c>
      <c r="B596" s="62" t="s">
        <v>464</v>
      </c>
      <c r="C596" s="63"/>
      <c r="D596" s="64"/>
      <c r="E596" s="65"/>
      <c r="F596" s="66"/>
      <c r="G596" s="63"/>
      <c r="H596" s="67"/>
      <c r="I596" s="68"/>
      <c r="J596" s="68"/>
      <c r="K596" s="32"/>
      <c r="L596" s="75">
        <v>596</v>
      </c>
      <c r="M596" s="75"/>
      <c r="N596" s="70"/>
      <c r="O596" s="77" t="s">
        <v>179</v>
      </c>
      <c r="P596" s="79">
        <v>45128.872372685182</v>
      </c>
      <c r="Q596" s="77" t="s">
        <v>2609</v>
      </c>
      <c r="R596" s="77">
        <v>0</v>
      </c>
      <c r="S596" s="77">
        <v>1</v>
      </c>
      <c r="T596" s="77">
        <v>0</v>
      </c>
      <c r="U596" s="77">
        <v>0</v>
      </c>
      <c r="V596" s="77">
        <v>46</v>
      </c>
      <c r="W596" s="80" t="s">
        <v>6321</v>
      </c>
      <c r="X596" s="83" t="str">
        <f>HYPERLINK("https://fortecultural.wordpress.com/2023/07/21/comparacoes-entre-o-chatgpt-e-a-nova-ia-do-googleo-bard/")</f>
        <v>https://fortecultural.wordpress.com/2023/07/21/comparacoes-entre-o-chatgpt-e-a-nova-ia-do-googleo-bard/</v>
      </c>
      <c r="Y596" s="77" t="s">
        <v>8678</v>
      </c>
      <c r="Z596" s="77"/>
      <c r="AA596" s="77"/>
      <c r="AB596" s="77"/>
      <c r="AC596" s="80" t="s">
        <v>10541</v>
      </c>
      <c r="AD596" s="77" t="s">
        <v>10617</v>
      </c>
      <c r="AE596" s="83" t="str">
        <f>HYPERLINK("https://twitter.com/edisilva64/status/1682494712723243010")</f>
        <v>https://twitter.com/edisilva64/status/1682494712723243010</v>
      </c>
      <c r="AF596" s="79">
        <v>45128.872372685182</v>
      </c>
      <c r="AG596" s="85">
        <v>45128</v>
      </c>
      <c r="AH596" s="80" t="s">
        <v>11171</v>
      </c>
      <c r="AI596" s="77" t="b">
        <v>0</v>
      </c>
      <c r="AJ596" s="77"/>
      <c r="AK596" s="77"/>
      <c r="AL596" s="77"/>
      <c r="AM596" s="77"/>
      <c r="AN596" s="77"/>
      <c r="AO596" s="77"/>
      <c r="AP596" s="77"/>
      <c r="AQ596" s="77"/>
      <c r="AR596" s="77"/>
      <c r="AS596" s="77"/>
      <c r="AT596" s="77"/>
      <c r="AU596" s="77"/>
      <c r="AV596" s="83" t="str">
        <f>HYPERLINK("https://pbs.twimg.com/profile_images/1632444353409892352/MpxaQjgQ_normal.jpg")</f>
        <v>https://pbs.twimg.com/profile_images/1632444353409892352/MpxaQjgQ_normal.jpg</v>
      </c>
      <c r="AW596" s="80" t="s">
        <v>16559</v>
      </c>
      <c r="AX596" s="80" t="s">
        <v>16559</v>
      </c>
      <c r="AY596" s="77"/>
      <c r="AZ596" s="80" t="s">
        <v>20380</v>
      </c>
      <c r="BA596" s="80" t="s">
        <v>20380</v>
      </c>
      <c r="BB596" s="80" t="s">
        <v>20380</v>
      </c>
      <c r="BC596" s="80" t="s">
        <v>16559</v>
      </c>
      <c r="BD596" s="77">
        <v>18671212</v>
      </c>
      <c r="BE596" s="77"/>
      <c r="BF596" s="77"/>
      <c r="BG596" s="77"/>
      <c r="BH596" s="77"/>
      <c r="BI596" s="77"/>
    </row>
    <row r="597" spans="1:61" x14ac:dyDescent="0.25">
      <c r="A597" s="62" t="s">
        <v>465</v>
      </c>
      <c r="B597" s="62" t="s">
        <v>465</v>
      </c>
      <c r="C597" s="63"/>
      <c r="D597" s="64"/>
      <c r="E597" s="65"/>
      <c r="F597" s="66"/>
      <c r="G597" s="63"/>
      <c r="H597" s="67"/>
      <c r="I597" s="68"/>
      <c r="J597" s="68"/>
      <c r="K597" s="32"/>
      <c r="L597" s="75">
        <v>597</v>
      </c>
      <c r="M597" s="75"/>
      <c r="N597" s="70"/>
      <c r="O597" s="77" t="s">
        <v>2078</v>
      </c>
      <c r="P597" s="79">
        <v>45117.438333333332</v>
      </c>
      <c r="Q597" s="77" t="s">
        <v>2610</v>
      </c>
      <c r="R597" s="77">
        <v>0</v>
      </c>
      <c r="S597" s="77">
        <v>0</v>
      </c>
      <c r="T597" s="77">
        <v>2</v>
      </c>
      <c r="U597" s="77">
        <v>0</v>
      </c>
      <c r="V597" s="77">
        <v>16</v>
      </c>
      <c r="W597" s="80" t="s">
        <v>6322</v>
      </c>
      <c r="X597" s="77"/>
      <c r="Y597" s="77"/>
      <c r="Z597" s="77"/>
      <c r="AA597" s="77"/>
      <c r="AB597" s="77"/>
      <c r="AC597" s="80" t="s">
        <v>10541</v>
      </c>
      <c r="AD597" s="77" t="s">
        <v>10617</v>
      </c>
      <c r="AE597" s="83" t="str">
        <f>HYPERLINK("https://twitter.com/drdotrade/status/1678351154218926082")</f>
        <v>https://twitter.com/drdotrade/status/1678351154218926082</v>
      </c>
      <c r="AF597" s="79">
        <v>45117.438333333332</v>
      </c>
      <c r="AG597" s="85">
        <v>45117</v>
      </c>
      <c r="AH597" s="80" t="s">
        <v>11172</v>
      </c>
      <c r="AI597" s="77"/>
      <c r="AJ597" s="77"/>
      <c r="AK597" s="77"/>
      <c r="AL597" s="77"/>
      <c r="AM597" s="77"/>
      <c r="AN597" s="77"/>
      <c r="AO597" s="77"/>
      <c r="AP597" s="77"/>
      <c r="AQ597" s="77"/>
      <c r="AR597" s="77"/>
      <c r="AS597" s="77"/>
      <c r="AT597" s="77"/>
      <c r="AU597" s="77"/>
      <c r="AV597" s="83" t="str">
        <f>HYPERLINK("https://pbs.twimg.com/profile_images/1508524172837892101/t5raHjdl_normal.jpg")</f>
        <v>https://pbs.twimg.com/profile_images/1508524172837892101/t5raHjdl_normal.jpg</v>
      </c>
      <c r="AW597" s="80" t="s">
        <v>16560</v>
      </c>
      <c r="AX597" s="80" t="s">
        <v>19990</v>
      </c>
      <c r="AY597" s="80" t="s">
        <v>20242</v>
      </c>
      <c r="AZ597" s="80" t="s">
        <v>20397</v>
      </c>
      <c r="BA597" s="80" t="s">
        <v>20380</v>
      </c>
      <c r="BB597" s="80" t="s">
        <v>20380</v>
      </c>
      <c r="BC597" s="80" t="s">
        <v>20397</v>
      </c>
      <c r="BD597" s="80" t="s">
        <v>20242</v>
      </c>
      <c r="BE597" s="77"/>
      <c r="BF597" s="77"/>
      <c r="BG597" s="77"/>
      <c r="BH597" s="77"/>
      <c r="BI597" s="77"/>
    </row>
    <row r="598" spans="1:61" x14ac:dyDescent="0.25">
      <c r="A598" s="62" t="s">
        <v>466</v>
      </c>
      <c r="B598" s="62" t="s">
        <v>466</v>
      </c>
      <c r="C598" s="63"/>
      <c r="D598" s="64"/>
      <c r="E598" s="65"/>
      <c r="F598" s="66"/>
      <c r="G598" s="63"/>
      <c r="H598" s="67"/>
      <c r="I598" s="68"/>
      <c r="J598" s="68"/>
      <c r="K598" s="32"/>
      <c r="L598" s="75">
        <v>598</v>
      </c>
      <c r="M598" s="75"/>
      <c r="N598" s="70"/>
      <c r="O598" s="77" t="s">
        <v>179</v>
      </c>
      <c r="P598" s="79">
        <v>45099.835729166669</v>
      </c>
      <c r="Q598" s="77" t="s">
        <v>2611</v>
      </c>
      <c r="R598" s="77">
        <v>1</v>
      </c>
      <c r="S598" s="77">
        <v>0</v>
      </c>
      <c r="T598" s="77">
        <v>0</v>
      </c>
      <c r="U598" s="77">
        <v>0</v>
      </c>
      <c r="V598" s="77">
        <v>98</v>
      </c>
      <c r="W598" s="80" t="s">
        <v>6323</v>
      </c>
      <c r="X598" s="83" t="str">
        <f>HYPERLINK("https://www.jornalcontabil.com.br/pix-automatico-nova-funcao-inicia-em-2024-entenda-como-funcionara/")</f>
        <v>https://www.jornalcontabil.com.br/pix-automatico-nova-funcao-inicia-em-2024-entenda-como-funcionara/</v>
      </c>
      <c r="Y598" s="77" t="s">
        <v>8611</v>
      </c>
      <c r="Z598" s="77"/>
      <c r="AA598" s="77"/>
      <c r="AB598" s="77"/>
      <c r="AC598" s="80" t="s">
        <v>10541</v>
      </c>
      <c r="AD598" s="77" t="s">
        <v>10617</v>
      </c>
      <c r="AE598" s="83" t="str">
        <f>HYPERLINK("https://twitter.com/jornalcontabil_/status/1671972186825826323")</f>
        <v>https://twitter.com/jornalcontabil_/status/1671972186825826323</v>
      </c>
      <c r="AF598" s="79">
        <v>45099.835729166669</v>
      </c>
      <c r="AG598" s="85">
        <v>45099</v>
      </c>
      <c r="AH598" s="80" t="s">
        <v>11173</v>
      </c>
      <c r="AI598" s="77" t="b">
        <v>0</v>
      </c>
      <c r="AJ598" s="77"/>
      <c r="AK598" s="77"/>
      <c r="AL598" s="77"/>
      <c r="AM598" s="77"/>
      <c r="AN598" s="77"/>
      <c r="AO598" s="77"/>
      <c r="AP598" s="77"/>
      <c r="AQ598" s="77"/>
      <c r="AR598" s="77"/>
      <c r="AS598" s="77"/>
      <c r="AT598" s="77"/>
      <c r="AU598" s="77"/>
      <c r="AV598" s="83" t="str">
        <f>HYPERLINK("https://pbs.twimg.com/profile_images/1618704448913645585/SRa-pW4s_normal.jpg")</f>
        <v>https://pbs.twimg.com/profile_images/1618704448913645585/SRa-pW4s_normal.jpg</v>
      </c>
      <c r="AW598" s="80" t="s">
        <v>16561</v>
      </c>
      <c r="AX598" s="80" t="s">
        <v>16561</v>
      </c>
      <c r="AY598" s="77"/>
      <c r="AZ598" s="80" t="s">
        <v>20380</v>
      </c>
      <c r="BA598" s="80" t="s">
        <v>20380</v>
      </c>
      <c r="BB598" s="80" t="s">
        <v>20380</v>
      </c>
      <c r="BC598" s="80" t="s">
        <v>16561</v>
      </c>
      <c r="BD598" s="77">
        <v>212916157</v>
      </c>
      <c r="BE598" s="77"/>
      <c r="BF598" s="77"/>
      <c r="BG598" s="77"/>
      <c r="BH598" s="77"/>
      <c r="BI598" s="77"/>
    </row>
    <row r="599" spans="1:61" x14ac:dyDescent="0.25">
      <c r="A599" s="62" t="s">
        <v>466</v>
      </c>
      <c r="B599" s="62" t="s">
        <v>466</v>
      </c>
      <c r="C599" s="63"/>
      <c r="D599" s="64"/>
      <c r="E599" s="65"/>
      <c r="F599" s="66"/>
      <c r="G599" s="63"/>
      <c r="H599" s="67"/>
      <c r="I599" s="68"/>
      <c r="J599" s="68"/>
      <c r="K599" s="32"/>
      <c r="L599" s="75">
        <v>599</v>
      </c>
      <c r="M599" s="75"/>
      <c r="N599" s="70"/>
      <c r="O599" s="77" t="s">
        <v>179</v>
      </c>
      <c r="P599" s="79">
        <v>45099.754525462966</v>
      </c>
      <c r="Q599" s="77" t="s">
        <v>2612</v>
      </c>
      <c r="R599" s="77">
        <v>1</v>
      </c>
      <c r="S599" s="77">
        <v>2</v>
      </c>
      <c r="T599" s="77">
        <v>0</v>
      </c>
      <c r="U599" s="77">
        <v>0</v>
      </c>
      <c r="V599" s="77">
        <v>123</v>
      </c>
      <c r="W599" s="80" t="s">
        <v>6323</v>
      </c>
      <c r="X599" s="83" t="str">
        <f>HYPERLINK("https://www.jornalcontabil.com.br/pix-automatico-nova-funcao-inicia-em-2024-entenda-como-funcionara/#goog_rewarded")</f>
        <v>https://www.jornalcontabil.com.br/pix-automatico-nova-funcao-inicia-em-2024-entenda-como-funcionara/#goog_rewarded</v>
      </c>
      <c r="Y599" s="77" t="s">
        <v>8611</v>
      </c>
      <c r="Z599" s="77"/>
      <c r="AA599" s="77" t="s">
        <v>9195</v>
      </c>
      <c r="AB599" s="77" t="s">
        <v>10535</v>
      </c>
      <c r="AC599" s="80" t="s">
        <v>10541</v>
      </c>
      <c r="AD599" s="77" t="s">
        <v>10617</v>
      </c>
      <c r="AE599" s="83" t="str">
        <f>HYPERLINK("https://twitter.com/jornalcontabil_/status/1671942759677149184")</f>
        <v>https://twitter.com/jornalcontabil_/status/1671942759677149184</v>
      </c>
      <c r="AF599" s="79">
        <v>45099.754525462966</v>
      </c>
      <c r="AG599" s="85">
        <v>45099</v>
      </c>
      <c r="AH599" s="80" t="s">
        <v>11174</v>
      </c>
      <c r="AI599" s="77" t="b">
        <v>0</v>
      </c>
      <c r="AJ599" s="77"/>
      <c r="AK599" s="77"/>
      <c r="AL599" s="77"/>
      <c r="AM599" s="77"/>
      <c r="AN599" s="77"/>
      <c r="AO599" s="77"/>
      <c r="AP599" s="77"/>
      <c r="AQ599" s="77" t="s">
        <v>14677</v>
      </c>
      <c r="AR599" s="77"/>
      <c r="AS599" s="77"/>
      <c r="AT599" s="77"/>
      <c r="AU599" s="77"/>
      <c r="AV599" s="83" t="str">
        <f>HYPERLINK("https://pbs.twimg.com/media/FzPvEEdXgBAS5fD.jpg")</f>
        <v>https://pbs.twimg.com/media/FzPvEEdXgBAS5fD.jpg</v>
      </c>
      <c r="AW599" s="80" t="s">
        <v>16562</v>
      </c>
      <c r="AX599" s="80" t="s">
        <v>16562</v>
      </c>
      <c r="AY599" s="77"/>
      <c r="AZ599" s="80" t="s">
        <v>20380</v>
      </c>
      <c r="BA599" s="80" t="s">
        <v>20380</v>
      </c>
      <c r="BB599" s="80" t="s">
        <v>20380</v>
      </c>
      <c r="BC599" s="80" t="s">
        <v>16562</v>
      </c>
      <c r="BD599" s="77">
        <v>212916157</v>
      </c>
      <c r="BE599" s="77"/>
      <c r="BF599" s="77"/>
      <c r="BG599" s="77"/>
      <c r="BH599" s="77"/>
      <c r="BI599" s="77"/>
    </row>
    <row r="600" spans="1:61" x14ac:dyDescent="0.25">
      <c r="A600" s="62" t="s">
        <v>466</v>
      </c>
      <c r="B600" s="62" t="s">
        <v>466</v>
      </c>
      <c r="C600" s="63"/>
      <c r="D600" s="64"/>
      <c r="E600" s="65"/>
      <c r="F600" s="66"/>
      <c r="G600" s="63"/>
      <c r="H600" s="67"/>
      <c r="I600" s="68"/>
      <c r="J600" s="68"/>
      <c r="K600" s="32"/>
      <c r="L600" s="75">
        <v>600</v>
      </c>
      <c r="M600" s="75"/>
      <c r="N600" s="70"/>
      <c r="O600" s="77" t="s">
        <v>179</v>
      </c>
      <c r="P600" s="79">
        <v>45102.875</v>
      </c>
      <c r="Q600" s="77" t="s">
        <v>2613</v>
      </c>
      <c r="R600" s="77">
        <v>0</v>
      </c>
      <c r="S600" s="77">
        <v>0</v>
      </c>
      <c r="T600" s="77">
        <v>0</v>
      </c>
      <c r="U600" s="77">
        <v>0</v>
      </c>
      <c r="V600" s="77">
        <v>181</v>
      </c>
      <c r="W600" s="80" t="s">
        <v>6324</v>
      </c>
      <c r="X600" s="83" t="str">
        <f>HYPERLINK("https://www.jornalcontabil.com.br/dinheiro-esquecido-5-dicas-para-investir-ou-poupar-o-capital-parado-nas-contas-bancarias/")</f>
        <v>https://www.jornalcontabil.com.br/dinheiro-esquecido-5-dicas-para-investir-ou-poupar-o-capital-parado-nas-contas-bancarias/</v>
      </c>
      <c r="Y600" s="77" t="s">
        <v>8611</v>
      </c>
      <c r="Z600" s="77"/>
      <c r="AA600" s="77" t="s">
        <v>9196</v>
      </c>
      <c r="AB600" s="77" t="s">
        <v>10534</v>
      </c>
      <c r="AC600" s="80" t="s">
        <v>10541</v>
      </c>
      <c r="AD600" s="77" t="s">
        <v>10617</v>
      </c>
      <c r="AE600" s="83" t="str">
        <f>HYPERLINK("https://twitter.com/jornalcontabil_/status/1673073580521783300")</f>
        <v>https://twitter.com/jornalcontabil_/status/1673073580521783300</v>
      </c>
      <c r="AF600" s="79">
        <v>45102.875</v>
      </c>
      <c r="AG600" s="85">
        <v>45102</v>
      </c>
      <c r="AH600" s="80" t="s">
        <v>11175</v>
      </c>
      <c r="AI600" s="77" t="b">
        <v>0</v>
      </c>
      <c r="AJ600" s="77"/>
      <c r="AK600" s="77"/>
      <c r="AL600" s="77"/>
      <c r="AM600" s="77"/>
      <c r="AN600" s="77"/>
      <c r="AO600" s="77"/>
      <c r="AP600" s="77"/>
      <c r="AQ600" s="77" t="s">
        <v>14678</v>
      </c>
      <c r="AR600" s="77">
        <v>59072</v>
      </c>
      <c r="AS600" s="77"/>
      <c r="AT600" s="77"/>
      <c r="AU600" s="77"/>
      <c r="AV600" s="83" t="str">
        <f>HYPERLINK("https://pbs.twimg.com/ext_tw_video_thumb/1672278119594569737/pu/img/-2jiq3kQKmA9UDp7.jpg")</f>
        <v>https://pbs.twimg.com/ext_tw_video_thumb/1672278119594569737/pu/img/-2jiq3kQKmA9UDp7.jpg</v>
      </c>
      <c r="AW600" s="80" t="s">
        <v>16563</v>
      </c>
      <c r="AX600" s="80" t="s">
        <v>16563</v>
      </c>
      <c r="AY600" s="77"/>
      <c r="AZ600" s="80" t="s">
        <v>20380</v>
      </c>
      <c r="BA600" s="80" t="s">
        <v>20380</v>
      </c>
      <c r="BB600" s="80" t="s">
        <v>20380</v>
      </c>
      <c r="BC600" s="80" t="s">
        <v>16563</v>
      </c>
      <c r="BD600" s="77">
        <v>212916157</v>
      </c>
      <c r="BE600" s="77"/>
      <c r="BF600" s="77"/>
      <c r="BG600" s="77"/>
      <c r="BH600" s="77"/>
      <c r="BI600" s="77"/>
    </row>
    <row r="601" spans="1:61" x14ac:dyDescent="0.25">
      <c r="A601" s="62" t="s">
        <v>466</v>
      </c>
      <c r="B601" s="62" t="s">
        <v>466</v>
      </c>
      <c r="C601" s="63"/>
      <c r="D601" s="64"/>
      <c r="E601" s="65"/>
      <c r="F601" s="66"/>
      <c r="G601" s="63"/>
      <c r="H601" s="67"/>
      <c r="I601" s="68"/>
      <c r="J601" s="68"/>
      <c r="K601" s="32"/>
      <c r="L601" s="75">
        <v>601</v>
      </c>
      <c r="M601" s="75"/>
      <c r="N601" s="70"/>
      <c r="O601" s="77" t="s">
        <v>179</v>
      </c>
      <c r="P601" s="79">
        <v>45100.581759259258</v>
      </c>
      <c r="Q601" s="77" t="s">
        <v>2614</v>
      </c>
      <c r="R601" s="77">
        <v>0</v>
      </c>
      <c r="S601" s="77">
        <v>1</v>
      </c>
      <c r="T601" s="77">
        <v>0</v>
      </c>
      <c r="U601" s="77">
        <v>0</v>
      </c>
      <c r="V601" s="77">
        <v>74</v>
      </c>
      <c r="W601" s="80" t="s">
        <v>6325</v>
      </c>
      <c r="X601" s="83" t="str">
        <f>HYPERLINK("https://www.jornalcontabil.com.br/dinheiro-esquecido-5-dicas-para-investir-ou-poupar-o-capital-parado-nas-contas-bancarias/")</f>
        <v>https://www.jornalcontabil.com.br/dinheiro-esquecido-5-dicas-para-investir-ou-poupar-o-capital-parado-nas-contas-bancarias/</v>
      </c>
      <c r="Y601" s="77" t="s">
        <v>8611</v>
      </c>
      <c r="Z601" s="77"/>
      <c r="AA601" s="77"/>
      <c r="AB601" s="77"/>
      <c r="AC601" s="80" t="s">
        <v>10541</v>
      </c>
      <c r="AD601" s="77" t="s">
        <v>10617</v>
      </c>
      <c r="AE601" s="83" t="str">
        <f>HYPERLINK("https://twitter.com/jornalcontabil_/status/1672242536218230785")</f>
        <v>https://twitter.com/jornalcontabil_/status/1672242536218230785</v>
      </c>
      <c r="AF601" s="79">
        <v>45100.581759259258</v>
      </c>
      <c r="AG601" s="85">
        <v>45100</v>
      </c>
      <c r="AH601" s="80" t="s">
        <v>11176</v>
      </c>
      <c r="AI601" s="77" t="b">
        <v>0</v>
      </c>
      <c r="AJ601" s="77"/>
      <c r="AK601" s="77"/>
      <c r="AL601" s="77"/>
      <c r="AM601" s="77"/>
      <c r="AN601" s="77"/>
      <c r="AO601" s="77"/>
      <c r="AP601" s="77"/>
      <c r="AQ601" s="77"/>
      <c r="AR601" s="77"/>
      <c r="AS601" s="77"/>
      <c r="AT601" s="77"/>
      <c r="AU601" s="77"/>
      <c r="AV601" s="83" t="str">
        <f>HYPERLINK("https://pbs.twimg.com/profile_images/1618704448913645585/SRa-pW4s_normal.jpg")</f>
        <v>https://pbs.twimg.com/profile_images/1618704448913645585/SRa-pW4s_normal.jpg</v>
      </c>
      <c r="AW601" s="80" t="s">
        <v>16564</v>
      </c>
      <c r="AX601" s="80" t="s">
        <v>16564</v>
      </c>
      <c r="AY601" s="77"/>
      <c r="AZ601" s="80" t="s">
        <v>20380</v>
      </c>
      <c r="BA601" s="80" t="s">
        <v>20380</v>
      </c>
      <c r="BB601" s="80" t="s">
        <v>20380</v>
      </c>
      <c r="BC601" s="80" t="s">
        <v>16564</v>
      </c>
      <c r="BD601" s="77">
        <v>212916157</v>
      </c>
      <c r="BE601" s="77"/>
      <c r="BF601" s="77"/>
      <c r="BG601" s="77"/>
      <c r="BH601" s="77"/>
      <c r="BI601" s="77"/>
    </row>
    <row r="602" spans="1:61" x14ac:dyDescent="0.25">
      <c r="A602" s="62" t="s">
        <v>466</v>
      </c>
      <c r="B602" s="62" t="s">
        <v>466</v>
      </c>
      <c r="C602" s="63"/>
      <c r="D602" s="64"/>
      <c r="E602" s="65"/>
      <c r="F602" s="66"/>
      <c r="G602" s="63"/>
      <c r="H602" s="67"/>
      <c r="I602" s="68"/>
      <c r="J602" s="68"/>
      <c r="K602" s="32"/>
      <c r="L602" s="75">
        <v>602</v>
      </c>
      <c r="M602" s="75"/>
      <c r="N602" s="70"/>
      <c r="O602" s="77" t="s">
        <v>179</v>
      </c>
      <c r="P602" s="79">
        <v>45111.586469907408</v>
      </c>
      <c r="Q602" s="77" t="s">
        <v>2615</v>
      </c>
      <c r="R602" s="77">
        <v>1</v>
      </c>
      <c r="S602" s="77">
        <v>0</v>
      </c>
      <c r="T602" s="77">
        <v>0</v>
      </c>
      <c r="U602" s="77">
        <v>0</v>
      </c>
      <c r="V602" s="77">
        <v>86</v>
      </c>
      <c r="W602" s="80" t="s">
        <v>6326</v>
      </c>
      <c r="X602" s="83" t="str">
        <f>HYPERLINK("https://www.jornalcontabil.com.br/pequenos-negocios-podem-ser-tarifados-ao-utilizar-o-pix/")</f>
        <v>https://www.jornalcontabil.com.br/pequenos-negocios-podem-ser-tarifados-ao-utilizar-o-pix/</v>
      </c>
      <c r="Y602" s="77" t="s">
        <v>8611</v>
      </c>
      <c r="Z602" s="77"/>
      <c r="AA602" s="77"/>
      <c r="AB602" s="77"/>
      <c r="AC602" s="80" t="s">
        <v>10541</v>
      </c>
      <c r="AD602" s="77" t="s">
        <v>10617</v>
      </c>
      <c r="AE602" s="83" t="str">
        <f>HYPERLINK("https://twitter.com/jornalcontabil_/status/1676230511021228032")</f>
        <v>https://twitter.com/jornalcontabil_/status/1676230511021228032</v>
      </c>
      <c r="AF602" s="79">
        <v>45111.586469907408</v>
      </c>
      <c r="AG602" s="85">
        <v>45111</v>
      </c>
      <c r="AH602" s="80" t="s">
        <v>11177</v>
      </c>
      <c r="AI602" s="77" t="b">
        <v>0</v>
      </c>
      <c r="AJ602" s="77"/>
      <c r="AK602" s="77"/>
      <c r="AL602" s="77"/>
      <c r="AM602" s="77"/>
      <c r="AN602" s="77"/>
      <c r="AO602" s="77"/>
      <c r="AP602" s="77"/>
      <c r="AQ602" s="77"/>
      <c r="AR602" s="77"/>
      <c r="AS602" s="77"/>
      <c r="AT602" s="77"/>
      <c r="AU602" s="77"/>
      <c r="AV602" s="83" t="str">
        <f>HYPERLINK("https://pbs.twimg.com/profile_images/1618704448913645585/SRa-pW4s_normal.jpg")</f>
        <v>https://pbs.twimg.com/profile_images/1618704448913645585/SRa-pW4s_normal.jpg</v>
      </c>
      <c r="AW602" s="80" t="s">
        <v>16565</v>
      </c>
      <c r="AX602" s="80" t="s">
        <v>16565</v>
      </c>
      <c r="AY602" s="77"/>
      <c r="AZ602" s="80" t="s">
        <v>20380</v>
      </c>
      <c r="BA602" s="80" t="s">
        <v>20380</v>
      </c>
      <c r="BB602" s="80" t="s">
        <v>20380</v>
      </c>
      <c r="BC602" s="80" t="s">
        <v>16565</v>
      </c>
      <c r="BD602" s="77">
        <v>212916157</v>
      </c>
      <c r="BE602" s="77"/>
      <c r="BF602" s="77"/>
      <c r="BG602" s="77"/>
      <c r="BH602" s="77"/>
      <c r="BI602" s="77"/>
    </row>
    <row r="603" spans="1:61" x14ac:dyDescent="0.25">
      <c r="A603" s="62" t="s">
        <v>466</v>
      </c>
      <c r="B603" s="62" t="s">
        <v>466</v>
      </c>
      <c r="C603" s="63"/>
      <c r="D603" s="64"/>
      <c r="E603" s="65"/>
      <c r="F603" s="66"/>
      <c r="G603" s="63"/>
      <c r="H603" s="67"/>
      <c r="I603" s="68"/>
      <c r="J603" s="68"/>
      <c r="K603" s="32"/>
      <c r="L603" s="75">
        <v>603</v>
      </c>
      <c r="M603" s="75"/>
      <c r="N603" s="70"/>
      <c r="O603" s="77" t="s">
        <v>179</v>
      </c>
      <c r="P603" s="79">
        <v>45127.792650462965</v>
      </c>
      <c r="Q603" s="77" t="s">
        <v>2616</v>
      </c>
      <c r="R603" s="77">
        <v>1</v>
      </c>
      <c r="S603" s="77">
        <v>0</v>
      </c>
      <c r="T603" s="77">
        <v>0</v>
      </c>
      <c r="U603" s="77">
        <v>0</v>
      </c>
      <c r="V603" s="77">
        <v>87</v>
      </c>
      <c r="W603" s="80" t="s">
        <v>6327</v>
      </c>
      <c r="X603" s="83" t="str">
        <f>HYPERLINK("https://www.jornalcontabil.com.br/bc-prepara-consultas-publicas-sobre-regulamentacao-de-criptoativos/")</f>
        <v>https://www.jornalcontabil.com.br/bc-prepara-consultas-publicas-sobre-regulamentacao-de-criptoativos/</v>
      </c>
      <c r="Y603" s="77" t="s">
        <v>8611</v>
      </c>
      <c r="Z603" s="77"/>
      <c r="AA603" s="77"/>
      <c r="AB603" s="77"/>
      <c r="AC603" s="80" t="s">
        <v>10541</v>
      </c>
      <c r="AD603" s="77" t="s">
        <v>10617</v>
      </c>
      <c r="AE603" s="83" t="str">
        <f>HYPERLINK("https://twitter.com/jornalcontabil_/status/1682103433904398339")</f>
        <v>https://twitter.com/jornalcontabil_/status/1682103433904398339</v>
      </c>
      <c r="AF603" s="79">
        <v>45127.792650462965</v>
      </c>
      <c r="AG603" s="85">
        <v>45127</v>
      </c>
      <c r="AH603" s="80" t="s">
        <v>11178</v>
      </c>
      <c r="AI603" s="77" t="b">
        <v>0</v>
      </c>
      <c r="AJ603" s="77"/>
      <c r="AK603" s="77"/>
      <c r="AL603" s="77"/>
      <c r="AM603" s="77"/>
      <c r="AN603" s="77"/>
      <c r="AO603" s="77"/>
      <c r="AP603" s="77"/>
      <c r="AQ603" s="77"/>
      <c r="AR603" s="77"/>
      <c r="AS603" s="77"/>
      <c r="AT603" s="77"/>
      <c r="AU603" s="77"/>
      <c r="AV603" s="83" t="str">
        <f>HYPERLINK("https://pbs.twimg.com/profile_images/1618704448913645585/SRa-pW4s_normal.jpg")</f>
        <v>https://pbs.twimg.com/profile_images/1618704448913645585/SRa-pW4s_normal.jpg</v>
      </c>
      <c r="AW603" s="80" t="s">
        <v>16566</v>
      </c>
      <c r="AX603" s="80" t="s">
        <v>16566</v>
      </c>
      <c r="AY603" s="77"/>
      <c r="AZ603" s="80" t="s">
        <v>20380</v>
      </c>
      <c r="BA603" s="80" t="s">
        <v>20380</v>
      </c>
      <c r="BB603" s="80" t="s">
        <v>20380</v>
      </c>
      <c r="BC603" s="80" t="s">
        <v>16566</v>
      </c>
      <c r="BD603" s="77">
        <v>212916157</v>
      </c>
      <c r="BE603" s="77"/>
      <c r="BF603" s="77"/>
      <c r="BG603" s="77"/>
      <c r="BH603" s="77"/>
      <c r="BI603" s="77"/>
    </row>
    <row r="604" spans="1:61" x14ac:dyDescent="0.25">
      <c r="A604" s="62" t="s">
        <v>466</v>
      </c>
      <c r="B604" s="62" t="s">
        <v>466</v>
      </c>
      <c r="C604" s="63"/>
      <c r="D604" s="64"/>
      <c r="E604" s="65"/>
      <c r="F604" s="66"/>
      <c r="G604" s="63"/>
      <c r="H604" s="67"/>
      <c r="I604" s="68"/>
      <c r="J604" s="68"/>
      <c r="K604" s="32"/>
      <c r="L604" s="75">
        <v>604</v>
      </c>
      <c r="M604" s="75"/>
      <c r="N604" s="70"/>
      <c r="O604" s="77" t="s">
        <v>179</v>
      </c>
      <c r="P604" s="79">
        <v>45126.591261574074</v>
      </c>
      <c r="Q604" s="77" t="s">
        <v>2617</v>
      </c>
      <c r="R604" s="77">
        <v>0</v>
      </c>
      <c r="S604" s="77">
        <v>2</v>
      </c>
      <c r="T604" s="77">
        <v>0</v>
      </c>
      <c r="U604" s="77">
        <v>0</v>
      </c>
      <c r="V604" s="77">
        <v>100</v>
      </c>
      <c r="W604" s="80" t="s">
        <v>6328</v>
      </c>
      <c r="X604" s="83" t="str">
        <f>HYPERLINK("https://www.jornalcontabil.com.br/banco-central-devera-reduzir-a-taxa-selic-em-025-p-p/")</f>
        <v>https://www.jornalcontabil.com.br/banco-central-devera-reduzir-a-taxa-selic-em-025-p-p/</v>
      </c>
      <c r="Y604" s="77" t="s">
        <v>8611</v>
      </c>
      <c r="Z604" s="77"/>
      <c r="AA604" s="77"/>
      <c r="AB604" s="77"/>
      <c r="AC604" s="80" t="s">
        <v>10541</v>
      </c>
      <c r="AD604" s="77" t="s">
        <v>10617</v>
      </c>
      <c r="AE604" s="83" t="str">
        <f>HYPERLINK("https://twitter.com/jornalcontabil_/status/1681668064075448326")</f>
        <v>https://twitter.com/jornalcontabil_/status/1681668064075448326</v>
      </c>
      <c r="AF604" s="79">
        <v>45126.591261574074</v>
      </c>
      <c r="AG604" s="85">
        <v>45126</v>
      </c>
      <c r="AH604" s="80" t="s">
        <v>11179</v>
      </c>
      <c r="AI604" s="77" t="b">
        <v>0</v>
      </c>
      <c r="AJ604" s="77"/>
      <c r="AK604" s="77"/>
      <c r="AL604" s="77"/>
      <c r="AM604" s="77"/>
      <c r="AN604" s="77"/>
      <c r="AO604" s="77"/>
      <c r="AP604" s="77"/>
      <c r="AQ604" s="77"/>
      <c r="AR604" s="77"/>
      <c r="AS604" s="77"/>
      <c r="AT604" s="77"/>
      <c r="AU604" s="77"/>
      <c r="AV604" s="83" t="str">
        <f>HYPERLINK("https://pbs.twimg.com/profile_images/1618704448913645585/SRa-pW4s_normal.jpg")</f>
        <v>https://pbs.twimg.com/profile_images/1618704448913645585/SRa-pW4s_normal.jpg</v>
      </c>
      <c r="AW604" s="80" t="s">
        <v>16567</v>
      </c>
      <c r="AX604" s="80" t="s">
        <v>16567</v>
      </c>
      <c r="AY604" s="77"/>
      <c r="AZ604" s="80" t="s">
        <v>20380</v>
      </c>
      <c r="BA604" s="80" t="s">
        <v>20380</v>
      </c>
      <c r="BB604" s="80" t="s">
        <v>20380</v>
      </c>
      <c r="BC604" s="80" t="s">
        <v>16567</v>
      </c>
      <c r="BD604" s="77">
        <v>212916157</v>
      </c>
      <c r="BE604" s="77"/>
      <c r="BF604" s="77"/>
      <c r="BG604" s="77"/>
      <c r="BH604" s="77"/>
      <c r="BI604" s="77"/>
    </row>
    <row r="605" spans="1:61" x14ac:dyDescent="0.25">
      <c r="A605" s="62" t="s">
        <v>466</v>
      </c>
      <c r="B605" s="62" t="s">
        <v>466</v>
      </c>
      <c r="C605" s="63"/>
      <c r="D605" s="64"/>
      <c r="E605" s="65"/>
      <c r="F605" s="66"/>
      <c r="G605" s="63"/>
      <c r="H605" s="67"/>
      <c r="I605" s="68"/>
      <c r="J605" s="68"/>
      <c r="K605" s="32"/>
      <c r="L605" s="75">
        <v>605</v>
      </c>
      <c r="M605" s="75"/>
      <c r="N605" s="70"/>
      <c r="O605" s="77" t="s">
        <v>179</v>
      </c>
      <c r="P605" s="79">
        <v>45053.708344907405</v>
      </c>
      <c r="Q605" s="77" t="s">
        <v>2618</v>
      </c>
      <c r="R605" s="77">
        <v>0</v>
      </c>
      <c r="S605" s="77">
        <v>0</v>
      </c>
      <c r="T605" s="77">
        <v>0</v>
      </c>
      <c r="U605" s="77">
        <v>0</v>
      </c>
      <c r="V605" s="77">
        <v>139</v>
      </c>
      <c r="W605" s="80" t="s">
        <v>6329</v>
      </c>
      <c r="X605" s="83" t="str">
        <f>HYPERLINK("https://www.jornalcontabil.com.br/urgente-copom-mantem-selic-em-1375/")</f>
        <v>https://www.jornalcontabil.com.br/urgente-copom-mantem-selic-em-1375/</v>
      </c>
      <c r="Y605" s="77" t="s">
        <v>8611</v>
      </c>
      <c r="Z605" s="77"/>
      <c r="AA605" s="77"/>
      <c r="AB605" s="77"/>
      <c r="AC605" s="80" t="s">
        <v>10541</v>
      </c>
      <c r="AD605" s="77" t="s">
        <v>10617</v>
      </c>
      <c r="AE605" s="83" t="str">
        <f>HYPERLINK("https://twitter.com/jornalcontabil_/status/1655256183559852033")</f>
        <v>https://twitter.com/jornalcontabil_/status/1655256183559852033</v>
      </c>
      <c r="AF605" s="79">
        <v>45053.708344907405</v>
      </c>
      <c r="AG605" s="85">
        <v>45053</v>
      </c>
      <c r="AH605" s="80" t="s">
        <v>11180</v>
      </c>
      <c r="AI605" s="77" t="b">
        <v>0</v>
      </c>
      <c r="AJ605" s="77"/>
      <c r="AK605" s="77"/>
      <c r="AL605" s="77"/>
      <c r="AM605" s="77"/>
      <c r="AN605" s="77"/>
      <c r="AO605" s="77"/>
      <c r="AP605" s="77"/>
      <c r="AQ605" s="77"/>
      <c r="AR605" s="77"/>
      <c r="AS605" s="77"/>
      <c r="AT605" s="77"/>
      <c r="AU605" s="77"/>
      <c r="AV605" s="83" t="str">
        <f>HYPERLINK("https://pbs.twimg.com/profile_images/1618704448913645585/SRa-pW4s_normal.jpg")</f>
        <v>https://pbs.twimg.com/profile_images/1618704448913645585/SRa-pW4s_normal.jpg</v>
      </c>
      <c r="AW605" s="80" t="s">
        <v>16568</v>
      </c>
      <c r="AX605" s="80" t="s">
        <v>16568</v>
      </c>
      <c r="AY605" s="77"/>
      <c r="AZ605" s="80" t="s">
        <v>20380</v>
      </c>
      <c r="BA605" s="80" t="s">
        <v>20380</v>
      </c>
      <c r="BB605" s="80" t="s">
        <v>20380</v>
      </c>
      <c r="BC605" s="80" t="s">
        <v>16568</v>
      </c>
      <c r="BD605" s="77">
        <v>212916157</v>
      </c>
      <c r="BE605" s="77"/>
      <c r="BF605" s="77"/>
      <c r="BG605" s="77"/>
      <c r="BH605" s="77"/>
      <c r="BI605" s="77"/>
    </row>
    <row r="606" spans="1:61" x14ac:dyDescent="0.25">
      <c r="A606" s="62" t="s">
        <v>466</v>
      </c>
      <c r="B606" s="62" t="s">
        <v>466</v>
      </c>
      <c r="C606" s="63"/>
      <c r="D606" s="64"/>
      <c r="E606" s="65"/>
      <c r="F606" s="66"/>
      <c r="G606" s="63"/>
      <c r="H606" s="67"/>
      <c r="I606" s="68"/>
      <c r="J606" s="68"/>
      <c r="K606" s="32"/>
      <c r="L606" s="75">
        <v>606</v>
      </c>
      <c r="M606" s="75"/>
      <c r="N606" s="70"/>
      <c r="O606" s="77" t="s">
        <v>179</v>
      </c>
      <c r="P606" s="79">
        <v>45151.875</v>
      </c>
      <c r="Q606" s="77" t="s">
        <v>2619</v>
      </c>
      <c r="R606" s="77">
        <v>0</v>
      </c>
      <c r="S606" s="77">
        <v>0</v>
      </c>
      <c r="T606" s="77">
        <v>0</v>
      </c>
      <c r="U606" s="77">
        <v>0</v>
      </c>
      <c r="V606" s="77">
        <v>147</v>
      </c>
      <c r="W606" s="80" t="s">
        <v>6328</v>
      </c>
      <c r="X606" s="83" t="str">
        <f>HYPERLINK("https://www.jornalcontabil.com.br/banco-central-como-o-corte-da-taxa-selic-afeta-a-sua-vida/")</f>
        <v>https://www.jornalcontabil.com.br/banco-central-como-o-corte-da-taxa-selic-afeta-a-sua-vida/</v>
      </c>
      <c r="Y606" s="77" t="s">
        <v>8611</v>
      </c>
      <c r="Z606" s="77"/>
      <c r="AA606" s="77"/>
      <c r="AB606" s="77"/>
      <c r="AC606" s="80" t="s">
        <v>10541</v>
      </c>
      <c r="AD606" s="77" t="s">
        <v>10617</v>
      </c>
      <c r="AE606" s="83" t="str">
        <f>HYPERLINK("https://twitter.com/jornalcontabil_/status/1690830586594893824")</f>
        <v>https://twitter.com/jornalcontabil_/status/1690830586594893824</v>
      </c>
      <c r="AF606" s="79">
        <v>45151.875</v>
      </c>
      <c r="AG606" s="85">
        <v>45151</v>
      </c>
      <c r="AH606" s="80" t="s">
        <v>11175</v>
      </c>
      <c r="AI606" s="77" t="b">
        <v>0</v>
      </c>
      <c r="AJ606" s="77"/>
      <c r="AK606" s="77"/>
      <c r="AL606" s="77"/>
      <c r="AM606" s="77"/>
      <c r="AN606" s="77"/>
      <c r="AO606" s="77"/>
      <c r="AP606" s="77"/>
      <c r="AQ606" s="77"/>
      <c r="AR606" s="77"/>
      <c r="AS606" s="77"/>
      <c r="AT606" s="77"/>
      <c r="AU606" s="77"/>
      <c r="AV606" s="83" t="str">
        <f>HYPERLINK("https://pbs.twimg.com/profile_images/1618704448913645585/SRa-pW4s_normal.jpg")</f>
        <v>https://pbs.twimg.com/profile_images/1618704448913645585/SRa-pW4s_normal.jpg</v>
      </c>
      <c r="AW606" s="80" t="s">
        <v>16569</v>
      </c>
      <c r="AX606" s="80" t="s">
        <v>16569</v>
      </c>
      <c r="AY606" s="77"/>
      <c r="AZ606" s="80" t="s">
        <v>20380</v>
      </c>
      <c r="BA606" s="80" t="s">
        <v>20380</v>
      </c>
      <c r="BB606" s="80" t="s">
        <v>20380</v>
      </c>
      <c r="BC606" s="80" t="s">
        <v>16569</v>
      </c>
      <c r="BD606" s="77">
        <v>212916157</v>
      </c>
      <c r="BE606" s="77"/>
      <c r="BF606" s="77"/>
      <c r="BG606" s="77"/>
      <c r="BH606" s="77"/>
      <c r="BI606" s="77"/>
    </row>
    <row r="607" spans="1:61" x14ac:dyDescent="0.25">
      <c r="A607" s="62" t="s">
        <v>466</v>
      </c>
      <c r="B607" s="62" t="s">
        <v>466</v>
      </c>
      <c r="C607" s="63"/>
      <c r="D607" s="64"/>
      <c r="E607" s="65"/>
      <c r="F607" s="66"/>
      <c r="G607" s="63"/>
      <c r="H607" s="67"/>
      <c r="I607" s="68"/>
      <c r="J607" s="68"/>
      <c r="K607" s="32"/>
      <c r="L607" s="75">
        <v>607</v>
      </c>
      <c r="M607" s="75"/>
      <c r="N607" s="70"/>
      <c r="O607" s="77" t="s">
        <v>179</v>
      </c>
      <c r="P607" s="79">
        <v>45145.824652777781</v>
      </c>
      <c r="Q607" s="77" t="s">
        <v>2620</v>
      </c>
      <c r="R607" s="77">
        <v>0</v>
      </c>
      <c r="S607" s="77">
        <v>0</v>
      </c>
      <c r="T607" s="77">
        <v>0</v>
      </c>
      <c r="U607" s="77">
        <v>0</v>
      </c>
      <c r="V607" s="77">
        <v>87</v>
      </c>
      <c r="W607" s="80" t="s">
        <v>6250</v>
      </c>
      <c r="X607" s="83" t="str">
        <f>HYPERLINK("https://www.jornalcontabil.com.br/pix-bate-recorde-e-supera-140-milhoes-de-transacoes-em-um-dia/")</f>
        <v>https://www.jornalcontabil.com.br/pix-bate-recorde-e-supera-140-milhoes-de-transacoes-em-um-dia/</v>
      </c>
      <c r="Y607" s="77" t="s">
        <v>8611</v>
      </c>
      <c r="Z607" s="77"/>
      <c r="AA607" s="77"/>
      <c r="AB607" s="77"/>
      <c r="AC607" s="80" t="s">
        <v>10541</v>
      </c>
      <c r="AD607" s="77" t="s">
        <v>10617</v>
      </c>
      <c r="AE607" s="83" t="str">
        <f>HYPERLINK("https://twitter.com/jornalcontabil_/status/1688638015445323776")</f>
        <v>https://twitter.com/jornalcontabil_/status/1688638015445323776</v>
      </c>
      <c r="AF607" s="79">
        <v>45145.824652777781</v>
      </c>
      <c r="AG607" s="85">
        <v>45145</v>
      </c>
      <c r="AH607" s="80" t="s">
        <v>11181</v>
      </c>
      <c r="AI607" s="77" t="b">
        <v>0</v>
      </c>
      <c r="AJ607" s="77"/>
      <c r="AK607" s="77"/>
      <c r="AL607" s="77"/>
      <c r="AM607" s="77"/>
      <c r="AN607" s="77"/>
      <c r="AO607" s="77"/>
      <c r="AP607" s="77"/>
      <c r="AQ607" s="77"/>
      <c r="AR607" s="77"/>
      <c r="AS607" s="77"/>
      <c r="AT607" s="77"/>
      <c r="AU607" s="77"/>
      <c r="AV607" s="83" t="str">
        <f>HYPERLINK("https://pbs.twimg.com/profile_images/1618704448913645585/SRa-pW4s_normal.jpg")</f>
        <v>https://pbs.twimg.com/profile_images/1618704448913645585/SRa-pW4s_normal.jpg</v>
      </c>
      <c r="AW607" s="80" t="s">
        <v>16570</v>
      </c>
      <c r="AX607" s="80" t="s">
        <v>16570</v>
      </c>
      <c r="AY607" s="77"/>
      <c r="AZ607" s="80" t="s">
        <v>20380</v>
      </c>
      <c r="BA607" s="80" t="s">
        <v>20380</v>
      </c>
      <c r="BB607" s="80" t="s">
        <v>20380</v>
      </c>
      <c r="BC607" s="80" t="s">
        <v>16570</v>
      </c>
      <c r="BD607" s="77">
        <v>212916157</v>
      </c>
      <c r="BE607" s="77"/>
      <c r="BF607" s="77"/>
      <c r="BG607" s="77"/>
      <c r="BH607" s="77"/>
      <c r="BI607" s="77"/>
    </row>
    <row r="608" spans="1:61" x14ac:dyDescent="0.25">
      <c r="A608" s="62" t="s">
        <v>466</v>
      </c>
      <c r="B608" s="62" t="s">
        <v>466</v>
      </c>
      <c r="C608" s="63"/>
      <c r="D608" s="64"/>
      <c r="E608" s="65"/>
      <c r="F608" s="66"/>
      <c r="G608" s="63"/>
      <c r="H608" s="67"/>
      <c r="I608" s="68"/>
      <c r="J608" s="68"/>
      <c r="K608" s="32"/>
      <c r="L608" s="75">
        <v>608</v>
      </c>
      <c r="M608" s="75"/>
      <c r="N608" s="70"/>
      <c r="O608" s="77" t="s">
        <v>179</v>
      </c>
      <c r="P608" s="79">
        <v>45094.583333333336</v>
      </c>
      <c r="Q608" s="77" t="s">
        <v>2621</v>
      </c>
      <c r="R608" s="77">
        <v>0</v>
      </c>
      <c r="S608" s="77">
        <v>2</v>
      </c>
      <c r="T608" s="77">
        <v>0</v>
      </c>
      <c r="U608" s="77">
        <v>0</v>
      </c>
      <c r="V608" s="77">
        <v>114</v>
      </c>
      <c r="W608" s="80" t="s">
        <v>6330</v>
      </c>
      <c r="X608" s="83" t="str">
        <f>HYPERLINK("https://www.jornalcontabil.com.br/inflacao-deve-ser-negativa-no-mes-de-junho-e-voltar-a-subir/")</f>
        <v>https://www.jornalcontabil.com.br/inflacao-deve-ser-negativa-no-mes-de-junho-e-voltar-a-subir/</v>
      </c>
      <c r="Y608" s="77" t="s">
        <v>8611</v>
      </c>
      <c r="Z608" s="77"/>
      <c r="AA608" s="77"/>
      <c r="AB608" s="77"/>
      <c r="AC608" s="80" t="s">
        <v>10541</v>
      </c>
      <c r="AD608" s="77" t="s">
        <v>10617</v>
      </c>
      <c r="AE608" s="83" t="str">
        <f>HYPERLINK("https://twitter.com/jornalcontabil_/status/1670068781174108160")</f>
        <v>https://twitter.com/jornalcontabil_/status/1670068781174108160</v>
      </c>
      <c r="AF608" s="79">
        <v>45094.583333333336</v>
      </c>
      <c r="AG608" s="85">
        <v>45094</v>
      </c>
      <c r="AH608" s="80" t="s">
        <v>11182</v>
      </c>
      <c r="AI608" s="77" t="b">
        <v>0</v>
      </c>
      <c r="AJ608" s="77"/>
      <c r="AK608" s="77"/>
      <c r="AL608" s="77"/>
      <c r="AM608" s="77"/>
      <c r="AN608" s="77"/>
      <c r="AO608" s="77"/>
      <c r="AP608" s="77"/>
      <c r="AQ608" s="77"/>
      <c r="AR608" s="77"/>
      <c r="AS608" s="77"/>
      <c r="AT608" s="77"/>
      <c r="AU608" s="77"/>
      <c r="AV608" s="83" t="str">
        <f>HYPERLINK("https://pbs.twimg.com/profile_images/1618704448913645585/SRa-pW4s_normal.jpg")</f>
        <v>https://pbs.twimg.com/profile_images/1618704448913645585/SRa-pW4s_normal.jpg</v>
      </c>
      <c r="AW608" s="80" t="s">
        <v>16571</v>
      </c>
      <c r="AX608" s="80" t="s">
        <v>16571</v>
      </c>
      <c r="AY608" s="77"/>
      <c r="AZ608" s="80" t="s">
        <v>20380</v>
      </c>
      <c r="BA608" s="80" t="s">
        <v>20380</v>
      </c>
      <c r="BB608" s="80" t="s">
        <v>20380</v>
      </c>
      <c r="BC608" s="80" t="s">
        <v>16571</v>
      </c>
      <c r="BD608" s="77">
        <v>212916157</v>
      </c>
      <c r="BE608" s="77"/>
      <c r="BF608" s="77"/>
      <c r="BG608" s="77"/>
      <c r="BH608" s="77"/>
      <c r="BI608" s="77"/>
    </row>
    <row r="609" spans="1:61" x14ac:dyDescent="0.25">
      <c r="A609" s="62" t="s">
        <v>467</v>
      </c>
      <c r="B609" s="62" t="s">
        <v>467</v>
      </c>
      <c r="C609" s="63"/>
      <c r="D609" s="64"/>
      <c r="E609" s="65"/>
      <c r="F609" s="66"/>
      <c r="G609" s="63"/>
      <c r="H609" s="67"/>
      <c r="I609" s="68"/>
      <c r="J609" s="68"/>
      <c r="K609" s="32"/>
      <c r="L609" s="75">
        <v>609</v>
      </c>
      <c r="M609" s="75"/>
      <c r="N609" s="70"/>
      <c r="O609" s="77" t="s">
        <v>179</v>
      </c>
      <c r="P609" s="79">
        <v>45166.629895833335</v>
      </c>
      <c r="Q609" s="77" t="s">
        <v>2622</v>
      </c>
      <c r="R609" s="77">
        <v>0</v>
      </c>
      <c r="S609" s="77">
        <v>0</v>
      </c>
      <c r="T609" s="77">
        <v>1</v>
      </c>
      <c r="U609" s="77">
        <v>0</v>
      </c>
      <c r="V609" s="77">
        <v>152</v>
      </c>
      <c r="W609" s="80" t="s">
        <v>6331</v>
      </c>
      <c r="X609" s="83" t="str">
        <f>HYPERLINK("http://bit.ly/NoticiasNewCap")</f>
        <v>http://bit.ly/NoticiasNewCap</v>
      </c>
      <c r="Y609" s="77" t="s">
        <v>8618</v>
      </c>
      <c r="Z609" s="77"/>
      <c r="AA609" s="77" t="s">
        <v>9197</v>
      </c>
      <c r="AB609" s="77" t="s">
        <v>10535</v>
      </c>
      <c r="AC609" s="80" t="s">
        <v>10540</v>
      </c>
      <c r="AD609" s="77" t="s">
        <v>10620</v>
      </c>
      <c r="AE609" s="83" t="str">
        <f>HYPERLINK("https://twitter.com/newcapsec/status/1696177580062261559")</f>
        <v>https://twitter.com/newcapsec/status/1696177580062261559</v>
      </c>
      <c r="AF609" s="79">
        <v>45166.629895833335</v>
      </c>
      <c r="AG609" s="85">
        <v>45166</v>
      </c>
      <c r="AH609" s="80" t="s">
        <v>11183</v>
      </c>
      <c r="AI609" s="77" t="b">
        <v>0</v>
      </c>
      <c r="AJ609" s="77"/>
      <c r="AK609" s="77"/>
      <c r="AL609" s="77"/>
      <c r="AM609" s="77"/>
      <c r="AN609" s="77"/>
      <c r="AO609" s="77"/>
      <c r="AP609" s="77"/>
      <c r="AQ609" s="77" t="s">
        <v>14679</v>
      </c>
      <c r="AR609" s="77"/>
      <c r="AS609" s="77"/>
      <c r="AT609" s="77"/>
      <c r="AU609" s="77"/>
      <c r="AV609" s="83" t="str">
        <f>HYPERLINK("https://pbs.twimg.com/media/F4oIgtjXkAAU6MF.jpg")</f>
        <v>https://pbs.twimg.com/media/F4oIgtjXkAAU6MF.jpg</v>
      </c>
      <c r="AW609" s="80" t="s">
        <v>16572</v>
      </c>
      <c r="AX609" s="80" t="s">
        <v>16572</v>
      </c>
      <c r="AY609" s="77"/>
      <c r="AZ609" s="80" t="s">
        <v>20380</v>
      </c>
      <c r="BA609" s="80" t="s">
        <v>20380</v>
      </c>
      <c r="BB609" s="80" t="s">
        <v>20380</v>
      </c>
      <c r="BC609" s="80" t="s">
        <v>16572</v>
      </c>
      <c r="BD609" s="77">
        <v>3623168115</v>
      </c>
      <c r="BE609" s="77"/>
      <c r="BF609" s="77"/>
      <c r="BG609" s="77"/>
      <c r="BH609" s="77"/>
      <c r="BI609" s="77"/>
    </row>
    <row r="610" spans="1:61" x14ac:dyDescent="0.25">
      <c r="A610" s="62" t="s">
        <v>468</v>
      </c>
      <c r="B610" s="62" t="s">
        <v>1765</v>
      </c>
      <c r="C610" s="63"/>
      <c r="D610" s="64"/>
      <c r="E610" s="65"/>
      <c r="F610" s="66"/>
      <c r="G610" s="63"/>
      <c r="H610" s="67"/>
      <c r="I610" s="68"/>
      <c r="J610" s="68"/>
      <c r="K610" s="32"/>
      <c r="L610" s="75">
        <v>610</v>
      </c>
      <c r="M610" s="75"/>
      <c r="N610" s="70"/>
      <c r="O610" s="77" t="s">
        <v>2081</v>
      </c>
      <c r="P610" s="79">
        <v>45087.165358796294</v>
      </c>
      <c r="Q610" s="77" t="s">
        <v>2623</v>
      </c>
      <c r="R610" s="77">
        <v>9</v>
      </c>
      <c r="S610" s="77">
        <v>13</v>
      </c>
      <c r="T610" s="77">
        <v>0</v>
      </c>
      <c r="U610" s="77">
        <v>0</v>
      </c>
      <c r="V610" s="77">
        <v>1328</v>
      </c>
      <c r="W610" s="80" t="s">
        <v>5884</v>
      </c>
      <c r="X610" s="77"/>
      <c r="Y610" s="77"/>
      <c r="Z610" s="77" t="s">
        <v>8923</v>
      </c>
      <c r="AA610" s="77" t="s">
        <v>9198</v>
      </c>
      <c r="AB610" s="77" t="s">
        <v>10535</v>
      </c>
      <c r="AC610" s="80" t="s">
        <v>10542</v>
      </c>
      <c r="AD610" s="77" t="s">
        <v>10620</v>
      </c>
      <c r="AE610" s="83" t="str">
        <f>HYPERLINK("https://twitter.com/chavoramello/status/1667380598451650563")</f>
        <v>https://twitter.com/chavoramello/status/1667380598451650563</v>
      </c>
      <c r="AF610" s="79">
        <v>45087.165358796294</v>
      </c>
      <c r="AG610" s="85">
        <v>45087</v>
      </c>
      <c r="AH610" s="80" t="s">
        <v>11184</v>
      </c>
      <c r="AI610" s="77" t="b">
        <v>0</v>
      </c>
      <c r="AJ610" s="77"/>
      <c r="AK610" s="77"/>
      <c r="AL610" s="77"/>
      <c r="AM610" s="77"/>
      <c r="AN610" s="77"/>
      <c r="AO610" s="77"/>
      <c r="AP610" s="77"/>
      <c r="AQ610" s="77" t="s">
        <v>14680</v>
      </c>
      <c r="AR610" s="77"/>
      <c r="AS610" s="77"/>
      <c r="AT610" s="77"/>
      <c r="AU610" s="77"/>
      <c r="AV610" s="83" t="str">
        <f>HYPERLINK("https://pbs.twimg.com/media/FyO50FFX0AAwMvG.jpg")</f>
        <v>https://pbs.twimg.com/media/FyO50FFX0AAwMvG.jpg</v>
      </c>
      <c r="AW610" s="80" t="s">
        <v>16573</v>
      </c>
      <c r="AX610" s="80" t="s">
        <v>16573</v>
      </c>
      <c r="AY610" s="77"/>
      <c r="AZ610" s="80" t="s">
        <v>20380</v>
      </c>
      <c r="BA610" s="80" t="s">
        <v>20380</v>
      </c>
      <c r="BB610" s="80" t="s">
        <v>20380</v>
      </c>
      <c r="BC610" s="80" t="s">
        <v>16573</v>
      </c>
      <c r="BD610" s="77">
        <v>173104465</v>
      </c>
      <c r="BE610" s="77"/>
      <c r="BF610" s="77"/>
      <c r="BG610" s="77"/>
      <c r="BH610" s="77"/>
      <c r="BI610" s="77"/>
    </row>
    <row r="611" spans="1:61" x14ac:dyDescent="0.25">
      <c r="A611" s="62" t="s">
        <v>468</v>
      </c>
      <c r="B611" s="62" t="s">
        <v>1766</v>
      </c>
      <c r="C611" s="63"/>
      <c r="D611" s="64"/>
      <c r="E611" s="65"/>
      <c r="F611" s="66"/>
      <c r="G611" s="63"/>
      <c r="H611" s="67"/>
      <c r="I611" s="68"/>
      <c r="J611" s="68"/>
      <c r="K611" s="32"/>
      <c r="L611" s="75">
        <v>611</v>
      </c>
      <c r="M611" s="75"/>
      <c r="N611" s="70"/>
      <c r="O611" s="77" t="s">
        <v>2081</v>
      </c>
      <c r="P611" s="79">
        <v>45087.165358796294</v>
      </c>
      <c r="Q611" s="77" t="s">
        <v>2623</v>
      </c>
      <c r="R611" s="77">
        <v>9</v>
      </c>
      <c r="S611" s="77">
        <v>13</v>
      </c>
      <c r="T611" s="77">
        <v>0</v>
      </c>
      <c r="U611" s="77">
        <v>0</v>
      </c>
      <c r="V611" s="77">
        <v>1328</v>
      </c>
      <c r="W611" s="80" t="s">
        <v>5884</v>
      </c>
      <c r="X611" s="77"/>
      <c r="Y611" s="77"/>
      <c r="Z611" s="77" t="s">
        <v>8923</v>
      </c>
      <c r="AA611" s="77" t="s">
        <v>9198</v>
      </c>
      <c r="AB611" s="77" t="s">
        <v>10535</v>
      </c>
      <c r="AC611" s="80" t="s">
        <v>10542</v>
      </c>
      <c r="AD611" s="77" t="s">
        <v>10620</v>
      </c>
      <c r="AE611" s="83" t="str">
        <f>HYPERLINK("https://twitter.com/chavoramello/status/1667380598451650563")</f>
        <v>https://twitter.com/chavoramello/status/1667380598451650563</v>
      </c>
      <c r="AF611" s="79">
        <v>45087.165358796294</v>
      </c>
      <c r="AG611" s="85">
        <v>45087</v>
      </c>
      <c r="AH611" s="80" t="s">
        <v>11184</v>
      </c>
      <c r="AI611" s="77" t="b">
        <v>0</v>
      </c>
      <c r="AJ611" s="77"/>
      <c r="AK611" s="77"/>
      <c r="AL611" s="77"/>
      <c r="AM611" s="77"/>
      <c r="AN611" s="77"/>
      <c r="AO611" s="77"/>
      <c r="AP611" s="77"/>
      <c r="AQ611" s="77" t="s">
        <v>14680</v>
      </c>
      <c r="AR611" s="77"/>
      <c r="AS611" s="77"/>
      <c r="AT611" s="77"/>
      <c r="AU611" s="77"/>
      <c r="AV611" s="83" t="str">
        <f>HYPERLINK("https://pbs.twimg.com/media/FyO50FFX0AAwMvG.jpg")</f>
        <v>https://pbs.twimg.com/media/FyO50FFX0AAwMvG.jpg</v>
      </c>
      <c r="AW611" s="80" t="s">
        <v>16573</v>
      </c>
      <c r="AX611" s="80" t="s">
        <v>16573</v>
      </c>
      <c r="AY611" s="77"/>
      <c r="AZ611" s="80" t="s">
        <v>20380</v>
      </c>
      <c r="BA611" s="80" t="s">
        <v>20380</v>
      </c>
      <c r="BB611" s="80" t="s">
        <v>20380</v>
      </c>
      <c r="BC611" s="80" t="s">
        <v>16573</v>
      </c>
      <c r="BD611" s="77">
        <v>173104465</v>
      </c>
      <c r="BE611" s="77"/>
      <c r="BF611" s="77"/>
      <c r="BG611" s="77"/>
      <c r="BH611" s="77"/>
      <c r="BI611" s="77"/>
    </row>
    <row r="612" spans="1:61" x14ac:dyDescent="0.25">
      <c r="A612" s="62" t="s">
        <v>468</v>
      </c>
      <c r="B612" s="62" t="s">
        <v>1767</v>
      </c>
      <c r="C612" s="63"/>
      <c r="D612" s="64"/>
      <c r="E612" s="65"/>
      <c r="F612" s="66"/>
      <c r="G612" s="63"/>
      <c r="H612" s="67"/>
      <c r="I612" s="68"/>
      <c r="J612" s="68"/>
      <c r="K612" s="32"/>
      <c r="L612" s="75">
        <v>612</v>
      </c>
      <c r="M612" s="75"/>
      <c r="N612" s="70"/>
      <c r="O612" s="77" t="s">
        <v>2081</v>
      </c>
      <c r="P612" s="79">
        <v>45087.165358796294</v>
      </c>
      <c r="Q612" s="77" t="s">
        <v>2623</v>
      </c>
      <c r="R612" s="77">
        <v>9</v>
      </c>
      <c r="S612" s="77">
        <v>13</v>
      </c>
      <c r="T612" s="77">
        <v>0</v>
      </c>
      <c r="U612" s="77">
        <v>0</v>
      </c>
      <c r="V612" s="77">
        <v>1328</v>
      </c>
      <c r="W612" s="80" t="s">
        <v>5884</v>
      </c>
      <c r="X612" s="77"/>
      <c r="Y612" s="77"/>
      <c r="Z612" s="77" t="s">
        <v>8923</v>
      </c>
      <c r="AA612" s="77" t="s">
        <v>9198</v>
      </c>
      <c r="AB612" s="77" t="s">
        <v>10535</v>
      </c>
      <c r="AC612" s="80" t="s">
        <v>10542</v>
      </c>
      <c r="AD612" s="77" t="s">
        <v>10620</v>
      </c>
      <c r="AE612" s="83" t="str">
        <f>HYPERLINK("https://twitter.com/chavoramello/status/1667380598451650563")</f>
        <v>https://twitter.com/chavoramello/status/1667380598451650563</v>
      </c>
      <c r="AF612" s="79">
        <v>45087.165358796294</v>
      </c>
      <c r="AG612" s="85">
        <v>45087</v>
      </c>
      <c r="AH612" s="80" t="s">
        <v>11184</v>
      </c>
      <c r="AI612" s="77" t="b">
        <v>0</v>
      </c>
      <c r="AJ612" s="77"/>
      <c r="AK612" s="77"/>
      <c r="AL612" s="77"/>
      <c r="AM612" s="77"/>
      <c r="AN612" s="77"/>
      <c r="AO612" s="77"/>
      <c r="AP612" s="77"/>
      <c r="AQ612" s="77" t="s">
        <v>14680</v>
      </c>
      <c r="AR612" s="77"/>
      <c r="AS612" s="77"/>
      <c r="AT612" s="77"/>
      <c r="AU612" s="77"/>
      <c r="AV612" s="83" t="str">
        <f>HYPERLINK("https://pbs.twimg.com/media/FyO50FFX0AAwMvG.jpg")</f>
        <v>https://pbs.twimg.com/media/FyO50FFX0AAwMvG.jpg</v>
      </c>
      <c r="AW612" s="80" t="s">
        <v>16573</v>
      </c>
      <c r="AX612" s="80" t="s">
        <v>16573</v>
      </c>
      <c r="AY612" s="77"/>
      <c r="AZ612" s="80" t="s">
        <v>20380</v>
      </c>
      <c r="BA612" s="80" t="s">
        <v>20380</v>
      </c>
      <c r="BB612" s="80" t="s">
        <v>20380</v>
      </c>
      <c r="BC612" s="80" t="s">
        <v>16573</v>
      </c>
      <c r="BD612" s="77">
        <v>173104465</v>
      </c>
      <c r="BE612" s="77"/>
      <c r="BF612" s="77"/>
      <c r="BG612" s="77"/>
      <c r="BH612" s="77"/>
      <c r="BI612" s="77"/>
    </row>
    <row r="613" spans="1:61" x14ac:dyDescent="0.25">
      <c r="A613" s="62" t="s">
        <v>469</v>
      </c>
      <c r="B613" s="62" t="s">
        <v>469</v>
      </c>
      <c r="C613" s="63"/>
      <c r="D613" s="64"/>
      <c r="E613" s="65"/>
      <c r="F613" s="66"/>
      <c r="G613" s="63"/>
      <c r="H613" s="67"/>
      <c r="I613" s="68"/>
      <c r="J613" s="68"/>
      <c r="K613" s="32"/>
      <c r="L613" s="75">
        <v>613</v>
      </c>
      <c r="M613" s="75"/>
      <c r="N613" s="70"/>
      <c r="O613" s="77" t="s">
        <v>179</v>
      </c>
      <c r="P613" s="79">
        <v>45175.592800925922</v>
      </c>
      <c r="Q613" s="77" t="s">
        <v>2624</v>
      </c>
      <c r="R613" s="77">
        <v>0</v>
      </c>
      <c r="S613" s="77">
        <v>0</v>
      </c>
      <c r="T613" s="77">
        <v>0</v>
      </c>
      <c r="U613" s="77">
        <v>0</v>
      </c>
      <c r="V613" s="77"/>
      <c r="W613" s="80" t="s">
        <v>5884</v>
      </c>
      <c r="X613" s="83" t="str">
        <f>HYPERLINK("https://www.bcentral.cl/contenido/-/detalle/informe-de-politica-monetaria-septiembre-2023")</f>
        <v>https://www.bcentral.cl/contenido/-/detalle/informe-de-politica-monetaria-septiembre-2023</v>
      </c>
      <c r="Y613" s="77" t="s">
        <v>8679</v>
      </c>
      <c r="Z613" s="77"/>
      <c r="AA613" s="77"/>
      <c r="AB613" s="77"/>
      <c r="AC613" s="80" t="s">
        <v>10541</v>
      </c>
      <c r="AD613" s="77" t="s">
        <v>10620</v>
      </c>
      <c r="AE613" s="83" t="str">
        <f>HYPERLINK("https://twitter.com/pcanelonh/status/1699425627307114857")</f>
        <v>https://twitter.com/pcanelonh/status/1699425627307114857</v>
      </c>
      <c r="AF613" s="79">
        <v>45175.592800925922</v>
      </c>
      <c r="AG613" s="85">
        <v>45175</v>
      </c>
      <c r="AH613" s="80" t="s">
        <v>11185</v>
      </c>
      <c r="AI613" s="77" t="b">
        <v>0</v>
      </c>
      <c r="AJ613" s="77"/>
      <c r="AK613" s="77"/>
      <c r="AL613" s="77"/>
      <c r="AM613" s="77"/>
      <c r="AN613" s="77"/>
      <c r="AO613" s="77"/>
      <c r="AP613" s="77"/>
      <c r="AQ613" s="77"/>
      <c r="AR613" s="77"/>
      <c r="AS613" s="77"/>
      <c r="AT613" s="77"/>
      <c r="AU613" s="77"/>
      <c r="AV613" s="83" t="str">
        <f>HYPERLINK("https://pbs.twimg.com/profile_images/378800000105045836/6fd764b5e145fb7b89d90ad93e841b61_normal.jpeg")</f>
        <v>https://pbs.twimg.com/profile_images/378800000105045836/6fd764b5e145fb7b89d90ad93e841b61_normal.jpeg</v>
      </c>
      <c r="AW613" s="80" t="s">
        <v>16574</v>
      </c>
      <c r="AX613" s="80" t="s">
        <v>16574</v>
      </c>
      <c r="AY613" s="77"/>
      <c r="AZ613" s="80" t="s">
        <v>20380</v>
      </c>
      <c r="BA613" s="80" t="s">
        <v>20380</v>
      </c>
      <c r="BB613" s="80" t="s">
        <v>20380</v>
      </c>
      <c r="BC613" s="80" t="s">
        <v>16574</v>
      </c>
      <c r="BD613" s="77">
        <v>1353221899</v>
      </c>
      <c r="BE613" s="77"/>
      <c r="BF613" s="77"/>
      <c r="BG613" s="77"/>
      <c r="BH613" s="77"/>
      <c r="BI613" s="77"/>
    </row>
    <row r="614" spans="1:61" x14ac:dyDescent="0.25">
      <c r="A614" s="62" t="s">
        <v>470</v>
      </c>
      <c r="B614" s="62" t="s">
        <v>1768</v>
      </c>
      <c r="C614" s="63"/>
      <c r="D614" s="64"/>
      <c r="E614" s="65"/>
      <c r="F614" s="66"/>
      <c r="G614" s="63"/>
      <c r="H614" s="67"/>
      <c r="I614" s="68"/>
      <c r="J614" s="68"/>
      <c r="K614" s="32"/>
      <c r="L614" s="75">
        <v>614</v>
      </c>
      <c r="M614" s="75"/>
      <c r="N614" s="70"/>
      <c r="O614" s="77" t="s">
        <v>2081</v>
      </c>
      <c r="P614" s="79">
        <v>45188.671724537038</v>
      </c>
      <c r="Q614" s="77" t="s">
        <v>2625</v>
      </c>
      <c r="R614" s="77">
        <v>1</v>
      </c>
      <c r="S614" s="77">
        <v>4</v>
      </c>
      <c r="T614" s="77">
        <v>0</v>
      </c>
      <c r="U614" s="77">
        <v>0</v>
      </c>
      <c r="V614" s="77">
        <v>89</v>
      </c>
      <c r="W614" s="80" t="s">
        <v>6332</v>
      </c>
      <c r="X614" s="77"/>
      <c r="Y614" s="77"/>
      <c r="Z614" s="77" t="s">
        <v>1768</v>
      </c>
      <c r="AA614" s="77" t="s">
        <v>9199</v>
      </c>
      <c r="AB614" s="77" t="s">
        <v>10538</v>
      </c>
      <c r="AC614" s="80" t="s">
        <v>10541</v>
      </c>
      <c r="AD614" s="77" t="s">
        <v>10617</v>
      </c>
      <c r="AE614" s="83" t="str">
        <f>HYPERLINK("https://twitter.com/cutsaopaulo/status/1704165273547292967")</f>
        <v>https://twitter.com/cutsaopaulo/status/1704165273547292967</v>
      </c>
      <c r="AF614" s="79">
        <v>45188.671724537038</v>
      </c>
      <c r="AG614" s="85">
        <v>45188</v>
      </c>
      <c r="AH614" s="80" t="s">
        <v>11186</v>
      </c>
      <c r="AI614" s="77" t="b">
        <v>0</v>
      </c>
      <c r="AJ614" s="77"/>
      <c r="AK614" s="77"/>
      <c r="AL614" s="77"/>
      <c r="AM614" s="77"/>
      <c r="AN614" s="77"/>
      <c r="AO614" s="77"/>
      <c r="AP614" s="77"/>
      <c r="AQ614" s="77" t="s">
        <v>14681</v>
      </c>
      <c r="AR614" s="77"/>
      <c r="AS614" s="77"/>
      <c r="AT614" s="77"/>
      <c r="AU614" s="77"/>
      <c r="AV614" s="83" t="str">
        <f>HYPERLINK("https://pbs.twimg.com/media/F6ZpEsoXQAAMWIs.jpg")</f>
        <v>https://pbs.twimg.com/media/F6ZpEsoXQAAMWIs.jpg</v>
      </c>
      <c r="AW614" s="80" t="s">
        <v>16575</v>
      </c>
      <c r="AX614" s="80" t="s">
        <v>16575</v>
      </c>
      <c r="AY614" s="77"/>
      <c r="AZ614" s="80" t="s">
        <v>20380</v>
      </c>
      <c r="BA614" s="80" t="s">
        <v>20380</v>
      </c>
      <c r="BB614" s="80" t="s">
        <v>20380</v>
      </c>
      <c r="BC614" s="80" t="s">
        <v>16575</v>
      </c>
      <c r="BD614" s="77">
        <v>176464755</v>
      </c>
      <c r="BE614" s="77"/>
      <c r="BF614" s="77"/>
      <c r="BG614" s="77"/>
      <c r="BH614" s="77"/>
      <c r="BI614" s="77"/>
    </row>
    <row r="615" spans="1:61" x14ac:dyDescent="0.25">
      <c r="A615" s="62" t="s">
        <v>471</v>
      </c>
      <c r="B615" s="62" t="s">
        <v>471</v>
      </c>
      <c r="C615" s="63"/>
      <c r="D615" s="64"/>
      <c r="E615" s="65"/>
      <c r="F615" s="66"/>
      <c r="G615" s="63"/>
      <c r="H615" s="67"/>
      <c r="I615" s="68"/>
      <c r="J615" s="68"/>
      <c r="K615" s="32"/>
      <c r="L615" s="75">
        <v>615</v>
      </c>
      <c r="M615" s="75"/>
      <c r="N615" s="70"/>
      <c r="O615" s="77" t="s">
        <v>179</v>
      </c>
      <c r="P615" s="79">
        <v>45153.473622685182</v>
      </c>
      <c r="Q615" s="77" t="s">
        <v>2626</v>
      </c>
      <c r="R615" s="77">
        <v>0</v>
      </c>
      <c r="S615" s="77">
        <v>0</v>
      </c>
      <c r="T615" s="77">
        <v>0</v>
      </c>
      <c r="U615" s="77">
        <v>0</v>
      </c>
      <c r="V615" s="77">
        <v>31</v>
      </c>
      <c r="W615" s="80" t="s">
        <v>6333</v>
      </c>
      <c r="X615" s="83" t="str">
        <f>HYPERLINK("https://tinyurl.com/284x9ze5")</f>
        <v>https://tinyurl.com/284x9ze5</v>
      </c>
      <c r="Y615" s="77" t="s">
        <v>8670</v>
      </c>
      <c r="Z615" s="77"/>
      <c r="AA615" s="77" t="s">
        <v>9200</v>
      </c>
      <c r="AB615" s="77" t="s">
        <v>10535</v>
      </c>
      <c r="AC615" s="80" t="s">
        <v>10562</v>
      </c>
      <c r="AD615" s="77" t="s">
        <v>10617</v>
      </c>
      <c r="AE615" s="83" t="str">
        <f>HYPERLINK("https://twitter.com/inteligentbolsa/status/1691409907818401792")</f>
        <v>https://twitter.com/inteligentbolsa/status/1691409907818401792</v>
      </c>
      <c r="AF615" s="79">
        <v>45153.473622685182</v>
      </c>
      <c r="AG615" s="85">
        <v>45153</v>
      </c>
      <c r="AH615" s="80" t="s">
        <v>11187</v>
      </c>
      <c r="AI615" s="77" t="b">
        <v>0</v>
      </c>
      <c r="AJ615" s="77"/>
      <c r="AK615" s="77"/>
      <c r="AL615" s="77"/>
      <c r="AM615" s="77"/>
      <c r="AN615" s="77"/>
      <c r="AO615" s="77"/>
      <c r="AP615" s="77"/>
      <c r="AQ615" s="77" t="s">
        <v>14682</v>
      </c>
      <c r="AR615" s="77"/>
      <c r="AS615" s="77"/>
      <c r="AT615" s="77"/>
      <c r="AU615" s="77"/>
      <c r="AV615" s="83" t="str">
        <f>HYPERLINK("https://pbs.twimg.com/media/F3kYWK_WUAAyrRw.jpg")</f>
        <v>https://pbs.twimg.com/media/F3kYWK_WUAAyrRw.jpg</v>
      </c>
      <c r="AW615" s="80" t="s">
        <v>16576</v>
      </c>
      <c r="AX615" s="80" t="s">
        <v>16576</v>
      </c>
      <c r="AY615" s="77"/>
      <c r="AZ615" s="80" t="s">
        <v>20380</v>
      </c>
      <c r="BA615" s="80" t="s">
        <v>20380</v>
      </c>
      <c r="BB615" s="80" t="s">
        <v>20380</v>
      </c>
      <c r="BC615" s="80" t="s">
        <v>16576</v>
      </c>
      <c r="BD615" s="80" t="s">
        <v>20614</v>
      </c>
      <c r="BE615" s="77"/>
      <c r="BF615" s="77"/>
      <c r="BG615" s="77"/>
      <c r="BH615" s="77"/>
      <c r="BI615" s="77"/>
    </row>
    <row r="616" spans="1:61" x14ac:dyDescent="0.25">
      <c r="A616" s="62" t="s">
        <v>471</v>
      </c>
      <c r="B616" s="62" t="s">
        <v>471</v>
      </c>
      <c r="C616" s="63"/>
      <c r="D616" s="64"/>
      <c r="E616" s="65"/>
      <c r="F616" s="66"/>
      <c r="G616" s="63"/>
      <c r="H616" s="67"/>
      <c r="I616" s="68"/>
      <c r="J616" s="68"/>
      <c r="K616" s="32"/>
      <c r="L616" s="75">
        <v>616</v>
      </c>
      <c r="M616" s="75"/>
      <c r="N616" s="70"/>
      <c r="O616" s="77" t="s">
        <v>179</v>
      </c>
      <c r="P616" s="79">
        <v>45163.540393518517</v>
      </c>
      <c r="Q616" s="77" t="s">
        <v>2627</v>
      </c>
      <c r="R616" s="77">
        <v>0</v>
      </c>
      <c r="S616" s="77">
        <v>0</v>
      </c>
      <c r="T616" s="77">
        <v>0</v>
      </c>
      <c r="U616" s="77">
        <v>0</v>
      </c>
      <c r="V616" s="77">
        <v>42</v>
      </c>
      <c r="W616" s="80" t="s">
        <v>6334</v>
      </c>
      <c r="X616" s="83" t="str">
        <f>HYPERLINK("https://tinyurl.com/24zksklb")</f>
        <v>https://tinyurl.com/24zksklb</v>
      </c>
      <c r="Y616" s="77" t="s">
        <v>8670</v>
      </c>
      <c r="Z616" s="77"/>
      <c r="AA616" s="77" t="s">
        <v>9201</v>
      </c>
      <c r="AB616" s="77" t="s">
        <v>10535</v>
      </c>
      <c r="AC616" s="80" t="s">
        <v>10562</v>
      </c>
      <c r="AD616" s="77" t="s">
        <v>10617</v>
      </c>
      <c r="AE616" s="83" t="str">
        <f>HYPERLINK("https://twitter.com/inteligentbolsa/status/1695057985163215188")</f>
        <v>https://twitter.com/inteligentbolsa/status/1695057985163215188</v>
      </c>
      <c r="AF616" s="79">
        <v>45163.540393518517</v>
      </c>
      <c r="AG616" s="85">
        <v>45163</v>
      </c>
      <c r="AH616" s="80" t="s">
        <v>11188</v>
      </c>
      <c r="AI616" s="77" t="b">
        <v>0</v>
      </c>
      <c r="AJ616" s="77"/>
      <c r="AK616" s="77"/>
      <c r="AL616" s="77"/>
      <c r="AM616" s="77"/>
      <c r="AN616" s="77"/>
      <c r="AO616" s="77"/>
      <c r="AP616" s="77"/>
      <c r="AQ616" s="77" t="s">
        <v>14683</v>
      </c>
      <c r="AR616" s="77"/>
      <c r="AS616" s="77"/>
      <c r="AT616" s="77"/>
      <c r="AU616" s="77"/>
      <c r="AV616" s="83" t="str">
        <f>HYPERLINK("https://pbs.twimg.com/media/F4YOQPVXYAAlT5f.jpg")</f>
        <v>https://pbs.twimg.com/media/F4YOQPVXYAAlT5f.jpg</v>
      </c>
      <c r="AW616" s="80" t="s">
        <v>16577</v>
      </c>
      <c r="AX616" s="80" t="s">
        <v>16577</v>
      </c>
      <c r="AY616" s="77"/>
      <c r="AZ616" s="80" t="s">
        <v>20380</v>
      </c>
      <c r="BA616" s="80" t="s">
        <v>20380</v>
      </c>
      <c r="BB616" s="80" t="s">
        <v>20380</v>
      </c>
      <c r="BC616" s="80" t="s">
        <v>16577</v>
      </c>
      <c r="BD616" s="80" t="s">
        <v>20614</v>
      </c>
      <c r="BE616" s="77"/>
      <c r="BF616" s="77"/>
      <c r="BG616" s="77"/>
      <c r="BH616" s="77"/>
      <c r="BI616" s="77"/>
    </row>
    <row r="617" spans="1:61" x14ac:dyDescent="0.25">
      <c r="A617" s="62" t="s">
        <v>471</v>
      </c>
      <c r="B617" s="62" t="s">
        <v>471</v>
      </c>
      <c r="C617" s="63"/>
      <c r="D617" s="64"/>
      <c r="E617" s="65"/>
      <c r="F617" s="66"/>
      <c r="G617" s="63"/>
      <c r="H617" s="67"/>
      <c r="I617" s="68"/>
      <c r="J617" s="68"/>
      <c r="K617" s="32"/>
      <c r="L617" s="75">
        <v>617</v>
      </c>
      <c r="M617" s="75"/>
      <c r="N617" s="70"/>
      <c r="O617" s="77" t="s">
        <v>179</v>
      </c>
      <c r="P617" s="79">
        <v>45175.577766203707</v>
      </c>
      <c r="Q617" s="77" t="s">
        <v>2628</v>
      </c>
      <c r="R617" s="77">
        <v>0</v>
      </c>
      <c r="S617" s="77">
        <v>0</v>
      </c>
      <c r="T617" s="77">
        <v>0</v>
      </c>
      <c r="U617" s="77">
        <v>0</v>
      </c>
      <c r="V617" s="77">
        <v>19</v>
      </c>
      <c r="W617" s="80" t="s">
        <v>6335</v>
      </c>
      <c r="X617" s="83" t="str">
        <f>HYPERLINK("https://tinyurl.com/28rjwq28")</f>
        <v>https://tinyurl.com/28rjwq28</v>
      </c>
      <c r="Y617" s="77" t="s">
        <v>8670</v>
      </c>
      <c r="Z617" s="77"/>
      <c r="AA617" s="77" t="s">
        <v>9202</v>
      </c>
      <c r="AB617" s="77" t="s">
        <v>10535</v>
      </c>
      <c r="AC617" s="80" t="s">
        <v>10562</v>
      </c>
      <c r="AD617" s="77" t="s">
        <v>10617</v>
      </c>
      <c r="AE617" s="83" t="str">
        <f>HYPERLINK("https://twitter.com/inteligentbolsa/status/1699420182936981910")</f>
        <v>https://twitter.com/inteligentbolsa/status/1699420182936981910</v>
      </c>
      <c r="AF617" s="79">
        <v>45175.577766203707</v>
      </c>
      <c r="AG617" s="85">
        <v>45175</v>
      </c>
      <c r="AH617" s="80" t="s">
        <v>11189</v>
      </c>
      <c r="AI617" s="77" t="b">
        <v>0</v>
      </c>
      <c r="AJ617" s="77"/>
      <c r="AK617" s="77"/>
      <c r="AL617" s="77"/>
      <c r="AM617" s="77"/>
      <c r="AN617" s="77"/>
      <c r="AO617" s="77"/>
      <c r="AP617" s="77"/>
      <c r="AQ617" s="77" t="s">
        <v>14684</v>
      </c>
      <c r="AR617" s="77"/>
      <c r="AS617" s="77"/>
      <c r="AT617" s="77"/>
      <c r="AU617" s="77"/>
      <c r="AV617" s="83" t="str">
        <f>HYPERLINK("https://pbs.twimg.com/media/F5WNpdsWQAAJXR_.jpg")</f>
        <v>https://pbs.twimg.com/media/F5WNpdsWQAAJXR_.jpg</v>
      </c>
      <c r="AW617" s="80" t="s">
        <v>16578</v>
      </c>
      <c r="AX617" s="80" t="s">
        <v>16578</v>
      </c>
      <c r="AY617" s="77"/>
      <c r="AZ617" s="80" t="s">
        <v>20380</v>
      </c>
      <c r="BA617" s="80" t="s">
        <v>20380</v>
      </c>
      <c r="BB617" s="80" t="s">
        <v>20380</v>
      </c>
      <c r="BC617" s="80" t="s">
        <v>16578</v>
      </c>
      <c r="BD617" s="80" t="s">
        <v>20614</v>
      </c>
      <c r="BE617" s="77"/>
      <c r="BF617" s="77"/>
      <c r="BG617" s="77"/>
      <c r="BH617" s="77"/>
      <c r="BI617" s="77"/>
    </row>
    <row r="618" spans="1:61" x14ac:dyDescent="0.25">
      <c r="A618" s="62" t="s">
        <v>471</v>
      </c>
      <c r="B618" s="62" t="s">
        <v>471</v>
      </c>
      <c r="C618" s="63"/>
      <c r="D618" s="64"/>
      <c r="E618" s="65"/>
      <c r="F618" s="66"/>
      <c r="G618" s="63"/>
      <c r="H618" s="67"/>
      <c r="I618" s="68"/>
      <c r="J618" s="68"/>
      <c r="K618" s="32"/>
      <c r="L618" s="75">
        <v>618</v>
      </c>
      <c r="M618" s="75"/>
      <c r="N618" s="70"/>
      <c r="O618" s="77" t="s">
        <v>179</v>
      </c>
      <c r="P618" s="79">
        <v>45181.032106481478</v>
      </c>
      <c r="Q618" s="77" t="s">
        <v>2629</v>
      </c>
      <c r="R618" s="77">
        <v>0</v>
      </c>
      <c r="S618" s="77">
        <v>0</v>
      </c>
      <c r="T618" s="77">
        <v>0</v>
      </c>
      <c r="U618" s="77">
        <v>0</v>
      </c>
      <c r="V618" s="77">
        <v>40</v>
      </c>
      <c r="W618" s="80" t="s">
        <v>6336</v>
      </c>
      <c r="X618" s="83" t="str">
        <f>HYPERLINK("https://tinyurl.com/ylfmal3v")</f>
        <v>https://tinyurl.com/ylfmal3v</v>
      </c>
      <c r="Y618" s="77" t="s">
        <v>8670</v>
      </c>
      <c r="Z618" s="77"/>
      <c r="AA618" s="77" t="s">
        <v>9203</v>
      </c>
      <c r="AB618" s="77" t="s">
        <v>10535</v>
      </c>
      <c r="AC618" s="80" t="s">
        <v>10562</v>
      </c>
      <c r="AD618" s="77" t="s">
        <v>10617</v>
      </c>
      <c r="AE618" s="83" t="str">
        <f>HYPERLINK("https://twitter.com/inteligentbolsa/status/1701396766355079361")</f>
        <v>https://twitter.com/inteligentbolsa/status/1701396766355079361</v>
      </c>
      <c r="AF618" s="79">
        <v>45181.032106481478</v>
      </c>
      <c r="AG618" s="85">
        <v>45181</v>
      </c>
      <c r="AH618" s="80" t="s">
        <v>11190</v>
      </c>
      <c r="AI618" s="77" t="b">
        <v>0</v>
      </c>
      <c r="AJ618" s="77"/>
      <c r="AK618" s="77"/>
      <c r="AL618" s="77"/>
      <c r="AM618" s="77"/>
      <c r="AN618" s="77"/>
      <c r="AO618" s="77"/>
      <c r="AP618" s="77"/>
      <c r="AQ618" s="77" t="s">
        <v>14685</v>
      </c>
      <c r="AR618" s="77"/>
      <c r="AS618" s="77"/>
      <c r="AT618" s="77"/>
      <c r="AU618" s="77"/>
      <c r="AV618" s="83" t="str">
        <f>HYPERLINK("https://pbs.twimg.com/media/F5yTV0VXwAA0CUI.jpg")</f>
        <v>https://pbs.twimg.com/media/F5yTV0VXwAA0CUI.jpg</v>
      </c>
      <c r="AW618" s="80" t="s">
        <v>16579</v>
      </c>
      <c r="AX618" s="80" t="s">
        <v>16579</v>
      </c>
      <c r="AY618" s="77"/>
      <c r="AZ618" s="80" t="s">
        <v>20380</v>
      </c>
      <c r="BA618" s="80" t="s">
        <v>20380</v>
      </c>
      <c r="BB618" s="80" t="s">
        <v>20380</v>
      </c>
      <c r="BC618" s="80" t="s">
        <v>16579</v>
      </c>
      <c r="BD618" s="80" t="s">
        <v>20614</v>
      </c>
      <c r="BE618" s="77"/>
      <c r="BF618" s="77"/>
      <c r="BG618" s="77"/>
      <c r="BH618" s="77"/>
      <c r="BI618" s="77"/>
    </row>
    <row r="619" spans="1:61" x14ac:dyDescent="0.25">
      <c r="A619" s="62" t="s">
        <v>472</v>
      </c>
      <c r="B619" s="62" t="s">
        <v>472</v>
      </c>
      <c r="C619" s="63"/>
      <c r="D619" s="64"/>
      <c r="E619" s="65"/>
      <c r="F619" s="66"/>
      <c r="G619" s="63"/>
      <c r="H619" s="67"/>
      <c r="I619" s="68"/>
      <c r="J619" s="68"/>
      <c r="K619" s="32"/>
      <c r="L619" s="75">
        <v>619</v>
      </c>
      <c r="M619" s="75"/>
      <c r="N619" s="70"/>
      <c r="O619" s="77" t="s">
        <v>179</v>
      </c>
      <c r="P619" s="79">
        <v>45084.229027777779</v>
      </c>
      <c r="Q619" s="77" t="s">
        <v>2630</v>
      </c>
      <c r="R619" s="77">
        <v>1</v>
      </c>
      <c r="S619" s="77">
        <v>0</v>
      </c>
      <c r="T619" s="77">
        <v>0</v>
      </c>
      <c r="U619" s="77">
        <v>0</v>
      </c>
      <c r="V619" s="77">
        <v>31</v>
      </c>
      <c r="W619" s="80" t="s">
        <v>6337</v>
      </c>
      <c r="X619" s="83" t="str">
        <f>HYPERLINK("https://agenda4p.com.ar/2023/06/06/la-justicia-federal-avalo-el-reclamo-de-cordoba-y-el-banco-central-debera-venderle-los-dolares-necesarios-para-pagar-deuda/")</f>
        <v>https://agenda4p.com.ar/2023/06/06/la-justicia-federal-avalo-el-reclamo-de-cordoba-y-el-banco-central-debera-venderle-los-dolares-necesarios-para-pagar-deuda/</v>
      </c>
      <c r="Y619" s="77" t="s">
        <v>8624</v>
      </c>
      <c r="Z619" s="77"/>
      <c r="AA619" s="77" t="s">
        <v>9204</v>
      </c>
      <c r="AB619" s="77" t="s">
        <v>10535</v>
      </c>
      <c r="AC619" s="80" t="s">
        <v>10541</v>
      </c>
      <c r="AD619" s="77" t="s">
        <v>10620</v>
      </c>
      <c r="AE619" s="83" t="str">
        <f>HYPERLINK("https://twitter.com/4pagenda/status/1666316505452097536")</f>
        <v>https://twitter.com/4pagenda/status/1666316505452097536</v>
      </c>
      <c r="AF619" s="79">
        <v>45084.229027777779</v>
      </c>
      <c r="AG619" s="85">
        <v>45084</v>
      </c>
      <c r="AH619" s="80" t="s">
        <v>11191</v>
      </c>
      <c r="AI619" s="77" t="b">
        <v>0</v>
      </c>
      <c r="AJ619" s="77"/>
      <c r="AK619" s="77"/>
      <c r="AL619" s="77"/>
      <c r="AM619" s="77"/>
      <c r="AN619" s="77"/>
      <c r="AO619" s="77"/>
      <c r="AP619" s="77"/>
      <c r="AQ619" s="77" t="s">
        <v>14686</v>
      </c>
      <c r="AR619" s="77"/>
      <c r="AS619" s="77"/>
      <c r="AT619" s="77"/>
      <c r="AU619" s="77"/>
      <c r="AV619" s="83" t="str">
        <f>HYPERLINK("https://pbs.twimg.com/media/Fx_yBLBWcAEJsPE.jpg")</f>
        <v>https://pbs.twimg.com/media/Fx_yBLBWcAEJsPE.jpg</v>
      </c>
      <c r="AW619" s="80" t="s">
        <v>16580</v>
      </c>
      <c r="AX619" s="80" t="s">
        <v>16580</v>
      </c>
      <c r="AY619" s="77"/>
      <c r="AZ619" s="80" t="s">
        <v>20380</v>
      </c>
      <c r="BA619" s="80" t="s">
        <v>20380</v>
      </c>
      <c r="BB619" s="80" t="s">
        <v>20380</v>
      </c>
      <c r="BC619" s="80" t="s">
        <v>16580</v>
      </c>
      <c r="BD619" s="77">
        <v>1009620901</v>
      </c>
      <c r="BE619" s="77"/>
      <c r="BF619" s="77"/>
      <c r="BG619" s="77"/>
      <c r="BH619" s="77"/>
      <c r="BI619" s="77"/>
    </row>
    <row r="620" spans="1:61" x14ac:dyDescent="0.25">
      <c r="A620" s="62" t="s">
        <v>472</v>
      </c>
      <c r="B620" s="62" t="s">
        <v>472</v>
      </c>
      <c r="C620" s="63"/>
      <c r="D620" s="64"/>
      <c r="E620" s="65"/>
      <c r="F620" s="66"/>
      <c r="G620" s="63"/>
      <c r="H620" s="67"/>
      <c r="I620" s="68"/>
      <c r="J620" s="68"/>
      <c r="K620" s="32"/>
      <c r="L620" s="75">
        <v>620</v>
      </c>
      <c r="M620" s="75"/>
      <c r="N620" s="70"/>
      <c r="O620" s="77" t="s">
        <v>179</v>
      </c>
      <c r="P620" s="79">
        <v>45079.521736111114</v>
      </c>
      <c r="Q620" s="77" t="s">
        <v>2631</v>
      </c>
      <c r="R620" s="77">
        <v>1</v>
      </c>
      <c r="S620" s="77">
        <v>0</v>
      </c>
      <c r="T620" s="77">
        <v>0</v>
      </c>
      <c r="U620" s="77">
        <v>0</v>
      </c>
      <c r="V620" s="77">
        <v>92</v>
      </c>
      <c r="W620" s="80" t="s">
        <v>6338</v>
      </c>
      <c r="X620" s="83" t="str">
        <f>HYPERLINK("http://agenda4p.com.ar/2023/06/02/cor")</f>
        <v>http://agenda4p.com.ar/2023/06/02/cor</v>
      </c>
      <c r="Y620" s="77" t="s">
        <v>8624</v>
      </c>
      <c r="Z620" s="77"/>
      <c r="AA620" s="77" t="s">
        <v>9205</v>
      </c>
      <c r="AB620" s="77" t="s">
        <v>10535</v>
      </c>
      <c r="AC620" s="80" t="s">
        <v>10540</v>
      </c>
      <c r="AD620" s="77" t="s">
        <v>10620</v>
      </c>
      <c r="AE620" s="83" t="str">
        <f>HYPERLINK("https://twitter.com/4pagenda/status/1664610642290982914")</f>
        <v>https://twitter.com/4pagenda/status/1664610642290982914</v>
      </c>
      <c r="AF620" s="79">
        <v>45079.521736111114</v>
      </c>
      <c r="AG620" s="85">
        <v>45079</v>
      </c>
      <c r="AH620" s="80" t="s">
        <v>11192</v>
      </c>
      <c r="AI620" s="77" t="b">
        <v>0</v>
      </c>
      <c r="AJ620" s="77"/>
      <c r="AK620" s="77"/>
      <c r="AL620" s="77"/>
      <c r="AM620" s="77"/>
      <c r="AN620" s="77"/>
      <c r="AO620" s="77"/>
      <c r="AP620" s="77"/>
      <c r="AQ620" s="77" t="s">
        <v>14687</v>
      </c>
      <c r="AR620" s="77"/>
      <c r="AS620" s="77"/>
      <c r="AT620" s="77"/>
      <c r="AU620" s="77"/>
      <c r="AV620" s="83" t="str">
        <f>HYPERLINK("https://pbs.twimg.com/media/FxnijqlWcAEvGMu.jpg")</f>
        <v>https://pbs.twimg.com/media/FxnijqlWcAEvGMu.jpg</v>
      </c>
      <c r="AW620" s="80" t="s">
        <v>16581</v>
      </c>
      <c r="AX620" s="80" t="s">
        <v>16581</v>
      </c>
      <c r="AY620" s="77"/>
      <c r="AZ620" s="80" t="s">
        <v>20380</v>
      </c>
      <c r="BA620" s="80" t="s">
        <v>20380</v>
      </c>
      <c r="BB620" s="80" t="s">
        <v>20380</v>
      </c>
      <c r="BC620" s="80" t="s">
        <v>16581</v>
      </c>
      <c r="BD620" s="77">
        <v>1009620901</v>
      </c>
      <c r="BE620" s="77"/>
      <c r="BF620" s="77"/>
      <c r="BG620" s="77"/>
      <c r="BH620" s="77"/>
      <c r="BI620" s="77"/>
    </row>
    <row r="621" spans="1:61" x14ac:dyDescent="0.25">
      <c r="A621" s="62" t="s">
        <v>472</v>
      </c>
      <c r="B621" s="62" t="s">
        <v>472</v>
      </c>
      <c r="C621" s="63"/>
      <c r="D621" s="64"/>
      <c r="E621" s="65"/>
      <c r="F621" s="66"/>
      <c r="G621" s="63"/>
      <c r="H621" s="67"/>
      <c r="I621" s="68"/>
      <c r="J621" s="68"/>
      <c r="K621" s="32"/>
      <c r="L621" s="75">
        <v>621</v>
      </c>
      <c r="M621" s="75"/>
      <c r="N621" s="70"/>
      <c r="O621" s="77" t="s">
        <v>179</v>
      </c>
      <c r="P621" s="79">
        <v>45079.195694444446</v>
      </c>
      <c r="Q621" s="77" t="s">
        <v>2632</v>
      </c>
      <c r="R621" s="77">
        <v>1</v>
      </c>
      <c r="S621" s="77">
        <v>0</v>
      </c>
      <c r="T621" s="77">
        <v>0</v>
      </c>
      <c r="U621" s="77">
        <v>0</v>
      </c>
      <c r="V621" s="77">
        <v>65</v>
      </c>
      <c r="W621" s="80" t="s">
        <v>6338</v>
      </c>
      <c r="X621" s="83" t="str">
        <f>HYPERLINK("https://agenda4p.com.ar/2023/06/02/cordoba-presenta-un-amparo-contra-la-resolucion-del-banco-central-que-impide-a-las-provincias-comprar-dolares-para-pagar-deudas/")</f>
        <v>https://agenda4p.com.ar/2023/06/02/cordoba-presenta-un-amparo-contra-la-resolucion-del-banco-central-que-impide-a-las-provincias-comprar-dolares-para-pagar-deudas/</v>
      </c>
      <c r="Y621" s="77" t="s">
        <v>8624</v>
      </c>
      <c r="Z621" s="77"/>
      <c r="AA621" s="77" t="s">
        <v>9206</v>
      </c>
      <c r="AB621" s="77" t="s">
        <v>10535</v>
      </c>
      <c r="AC621" s="80" t="s">
        <v>10540</v>
      </c>
      <c r="AD621" s="77" t="s">
        <v>10620</v>
      </c>
      <c r="AE621" s="83" t="str">
        <f>HYPERLINK("https://twitter.com/4pagenda/status/1664492489296826368")</f>
        <v>https://twitter.com/4pagenda/status/1664492489296826368</v>
      </c>
      <c r="AF621" s="79">
        <v>45079.195694444446</v>
      </c>
      <c r="AG621" s="85">
        <v>45079</v>
      </c>
      <c r="AH621" s="80" t="s">
        <v>11193</v>
      </c>
      <c r="AI621" s="77" t="b">
        <v>0</v>
      </c>
      <c r="AJ621" s="77"/>
      <c r="AK621" s="77"/>
      <c r="AL621" s="77"/>
      <c r="AM621" s="77"/>
      <c r="AN621" s="77"/>
      <c r="AO621" s="77"/>
      <c r="AP621" s="77"/>
      <c r="AQ621" s="77" t="s">
        <v>14688</v>
      </c>
      <c r="AR621" s="77"/>
      <c r="AS621" s="77"/>
      <c r="AT621" s="77"/>
      <c r="AU621" s="77"/>
      <c r="AV621" s="83" t="str">
        <f>HYPERLINK("https://pbs.twimg.com/media/Fxl3GSxWIAMGXv0.jpg")</f>
        <v>https://pbs.twimg.com/media/Fxl3GSxWIAMGXv0.jpg</v>
      </c>
      <c r="AW621" s="80" t="s">
        <v>16582</v>
      </c>
      <c r="AX621" s="80" t="s">
        <v>16582</v>
      </c>
      <c r="AY621" s="77"/>
      <c r="AZ621" s="80" t="s">
        <v>20380</v>
      </c>
      <c r="BA621" s="80" t="s">
        <v>20380</v>
      </c>
      <c r="BB621" s="80" t="s">
        <v>20380</v>
      </c>
      <c r="BC621" s="80" t="s">
        <v>16582</v>
      </c>
      <c r="BD621" s="77">
        <v>1009620901</v>
      </c>
      <c r="BE621" s="77"/>
      <c r="BF621" s="77"/>
      <c r="BG621" s="77"/>
      <c r="BH621" s="77"/>
      <c r="BI621" s="77"/>
    </row>
    <row r="622" spans="1:61" x14ac:dyDescent="0.25">
      <c r="A622" s="62" t="s">
        <v>472</v>
      </c>
      <c r="B622" s="62" t="s">
        <v>472</v>
      </c>
      <c r="C622" s="63"/>
      <c r="D622" s="64"/>
      <c r="E622" s="65"/>
      <c r="F622" s="66"/>
      <c r="G622" s="63"/>
      <c r="H622" s="67"/>
      <c r="I622" s="68"/>
      <c r="J622" s="68"/>
      <c r="K622" s="32"/>
      <c r="L622" s="75">
        <v>622</v>
      </c>
      <c r="M622" s="75"/>
      <c r="N622" s="70"/>
      <c r="O622" s="77" t="s">
        <v>179</v>
      </c>
      <c r="P622" s="79">
        <v>45128.957858796297</v>
      </c>
      <c r="Q622" s="77" t="s">
        <v>2633</v>
      </c>
      <c r="R622" s="77">
        <v>1</v>
      </c>
      <c r="S622" s="77">
        <v>0</v>
      </c>
      <c r="T622" s="77">
        <v>0</v>
      </c>
      <c r="U622" s="77">
        <v>0</v>
      </c>
      <c r="V622" s="77">
        <v>46</v>
      </c>
      <c r="W622" s="80" t="s">
        <v>6339</v>
      </c>
      <c r="X622" s="83" t="str">
        <f>HYPERLINK("https://agenda4p.com.ar/2023/07/21/bahillo-confirmo-cambios-y-que-el-banco-central-hara-los-anuncios-sobre-el-dolar-agro/")</f>
        <v>https://agenda4p.com.ar/2023/07/21/bahillo-confirmo-cambios-y-que-el-banco-central-hara-los-anuncios-sobre-el-dolar-agro/</v>
      </c>
      <c r="Y622" s="77" t="s">
        <v>8624</v>
      </c>
      <c r="Z622" s="77"/>
      <c r="AA622" s="77" t="s">
        <v>9207</v>
      </c>
      <c r="AB622" s="77" t="s">
        <v>10535</v>
      </c>
      <c r="AC622" s="80" t="s">
        <v>10540</v>
      </c>
      <c r="AD622" s="77" t="s">
        <v>10620</v>
      </c>
      <c r="AE622" s="83" t="str">
        <f>HYPERLINK("https://twitter.com/4pagenda/status/1682525690376208386")</f>
        <v>https://twitter.com/4pagenda/status/1682525690376208386</v>
      </c>
      <c r="AF622" s="79">
        <v>45128.957858796297</v>
      </c>
      <c r="AG622" s="85">
        <v>45128</v>
      </c>
      <c r="AH622" s="80" t="s">
        <v>10816</v>
      </c>
      <c r="AI622" s="77" t="b">
        <v>0</v>
      </c>
      <c r="AJ622" s="77"/>
      <c r="AK622" s="77"/>
      <c r="AL622" s="77"/>
      <c r="AM622" s="77"/>
      <c r="AN622" s="77"/>
      <c r="AO622" s="77"/>
      <c r="AP622" s="77"/>
      <c r="AQ622" s="77" t="s">
        <v>14689</v>
      </c>
      <c r="AR622" s="77"/>
      <c r="AS622" s="77"/>
      <c r="AT622" s="77"/>
      <c r="AU622" s="77"/>
      <c r="AV622" s="83" t="str">
        <f>HYPERLINK("https://pbs.twimg.com/media/F1mIMs5WwAEjh0l.jpg")</f>
        <v>https://pbs.twimg.com/media/F1mIMs5WwAEjh0l.jpg</v>
      </c>
      <c r="AW622" s="80" t="s">
        <v>16583</v>
      </c>
      <c r="AX622" s="80" t="s">
        <v>16583</v>
      </c>
      <c r="AY622" s="77"/>
      <c r="AZ622" s="80" t="s">
        <v>20380</v>
      </c>
      <c r="BA622" s="80" t="s">
        <v>20380</v>
      </c>
      <c r="BB622" s="80" t="s">
        <v>20380</v>
      </c>
      <c r="BC622" s="80" t="s">
        <v>16583</v>
      </c>
      <c r="BD622" s="77">
        <v>1009620901</v>
      </c>
      <c r="BE622" s="77"/>
      <c r="BF622" s="77"/>
      <c r="BG622" s="77"/>
      <c r="BH622" s="77"/>
      <c r="BI622" s="77"/>
    </row>
    <row r="623" spans="1:61" x14ac:dyDescent="0.25">
      <c r="A623" s="62" t="s">
        <v>472</v>
      </c>
      <c r="B623" s="62" t="s">
        <v>472</v>
      </c>
      <c r="C623" s="63"/>
      <c r="D623" s="64"/>
      <c r="E623" s="65"/>
      <c r="F623" s="66"/>
      <c r="G623" s="63"/>
      <c r="H623" s="67"/>
      <c r="I623" s="68"/>
      <c r="J623" s="68"/>
      <c r="K623" s="32"/>
      <c r="L623" s="75">
        <v>623</v>
      </c>
      <c r="M623" s="75"/>
      <c r="N623" s="70"/>
      <c r="O623" s="77" t="s">
        <v>179</v>
      </c>
      <c r="P623" s="79">
        <v>45176.152777777781</v>
      </c>
      <c r="Q623" s="77" t="s">
        <v>2634</v>
      </c>
      <c r="R623" s="77">
        <v>1</v>
      </c>
      <c r="S623" s="77">
        <v>0</v>
      </c>
      <c r="T623" s="77">
        <v>0</v>
      </c>
      <c r="U623" s="77">
        <v>0</v>
      </c>
      <c r="V623" s="77">
        <v>75</v>
      </c>
      <c r="W623" s="80" t="s">
        <v>6340</v>
      </c>
      <c r="X623" s="83" t="str">
        <f>HYPERLINK("https://agenda4p.com.ar/2023/09/06/ante-empresarios-milei-reafirmo-su-plan-de-eliminar-el-banco-central-para-poder-dolarizar-la-economia/")</f>
        <v>https://agenda4p.com.ar/2023/09/06/ante-empresarios-milei-reafirmo-su-plan-de-eliminar-el-banco-central-para-poder-dolarizar-la-economia/</v>
      </c>
      <c r="Y623" s="77" t="s">
        <v>8624</v>
      </c>
      <c r="Z623" s="77"/>
      <c r="AA623" s="77" t="s">
        <v>9208</v>
      </c>
      <c r="AB623" s="77" t="s">
        <v>10535</v>
      </c>
      <c r="AC623" s="80" t="s">
        <v>10540</v>
      </c>
      <c r="AD623" s="77" t="s">
        <v>10620</v>
      </c>
      <c r="AE623" s="83" t="str">
        <f>HYPERLINK("https://twitter.com/4pagenda/status/1699628558753149174")</f>
        <v>https://twitter.com/4pagenda/status/1699628558753149174</v>
      </c>
      <c r="AF623" s="79">
        <v>45176.152777777781</v>
      </c>
      <c r="AG623" s="85">
        <v>45176</v>
      </c>
      <c r="AH623" s="80" t="s">
        <v>11194</v>
      </c>
      <c r="AI623" s="77" t="b">
        <v>0</v>
      </c>
      <c r="AJ623" s="77"/>
      <c r="AK623" s="77"/>
      <c r="AL623" s="77"/>
      <c r="AM623" s="77"/>
      <c r="AN623" s="77"/>
      <c r="AO623" s="77"/>
      <c r="AP623" s="77"/>
      <c r="AQ623" s="77" t="s">
        <v>14690</v>
      </c>
      <c r="AR623" s="77"/>
      <c r="AS623" s="77"/>
      <c r="AT623" s="77"/>
      <c r="AU623" s="77"/>
      <c r="AV623" s="83" t="str">
        <f>HYPERLINK("https://pbs.twimg.com/media/F5ZLKh8WcAAzda7.jpg")</f>
        <v>https://pbs.twimg.com/media/F5ZLKh8WcAAzda7.jpg</v>
      </c>
      <c r="AW623" s="80" t="s">
        <v>16584</v>
      </c>
      <c r="AX623" s="80" t="s">
        <v>16584</v>
      </c>
      <c r="AY623" s="77"/>
      <c r="AZ623" s="80" t="s">
        <v>20380</v>
      </c>
      <c r="BA623" s="80" t="s">
        <v>20380</v>
      </c>
      <c r="BB623" s="80" t="s">
        <v>20380</v>
      </c>
      <c r="BC623" s="80" t="s">
        <v>16584</v>
      </c>
      <c r="BD623" s="77">
        <v>1009620901</v>
      </c>
      <c r="BE623" s="77"/>
      <c r="BF623" s="77"/>
      <c r="BG623" s="77"/>
      <c r="BH623" s="77"/>
      <c r="BI623" s="77"/>
    </row>
    <row r="624" spans="1:61" x14ac:dyDescent="0.25">
      <c r="A624" s="62" t="s">
        <v>473</v>
      </c>
      <c r="B624" s="62" t="s">
        <v>1655</v>
      </c>
      <c r="C624" s="63"/>
      <c r="D624" s="64"/>
      <c r="E624" s="65"/>
      <c r="F624" s="66"/>
      <c r="G624" s="63"/>
      <c r="H624" s="67"/>
      <c r="I624" s="68"/>
      <c r="J624" s="68"/>
      <c r="K624" s="32"/>
      <c r="L624" s="75">
        <v>624</v>
      </c>
      <c r="M624" s="75"/>
      <c r="N624" s="70"/>
      <c r="O624" s="77" t="s">
        <v>2083</v>
      </c>
      <c r="P624" s="79">
        <v>45191.51326388889</v>
      </c>
      <c r="Q624" s="77" t="s">
        <v>2120</v>
      </c>
      <c r="R624" s="77">
        <v>25</v>
      </c>
      <c r="S624" s="77">
        <v>0</v>
      </c>
      <c r="T624" s="77">
        <v>0</v>
      </c>
      <c r="U624" s="77">
        <v>0</v>
      </c>
      <c r="V624" s="77"/>
      <c r="W624" s="80" t="s">
        <v>5917</v>
      </c>
      <c r="X624" s="77"/>
      <c r="Y624" s="77"/>
      <c r="Z624" s="77" t="s">
        <v>1655</v>
      </c>
      <c r="AA624" s="77"/>
      <c r="AB624" s="77"/>
      <c r="AC624" s="80" t="s">
        <v>10540</v>
      </c>
      <c r="AD624" s="77" t="s">
        <v>10617</v>
      </c>
      <c r="AE624" s="83" t="str">
        <f>HYPERLINK("https://twitter.com/baiano_robo/status/1705195010348417059")</f>
        <v>https://twitter.com/baiano_robo/status/1705195010348417059</v>
      </c>
      <c r="AF624" s="79">
        <v>45191.51326388889</v>
      </c>
      <c r="AG624" s="85">
        <v>45191</v>
      </c>
      <c r="AH624" s="80" t="s">
        <v>11195</v>
      </c>
      <c r="AI624" s="77"/>
      <c r="AJ624" s="77"/>
      <c r="AK624" s="77"/>
      <c r="AL624" s="77"/>
      <c r="AM624" s="77"/>
      <c r="AN624" s="77"/>
      <c r="AO624" s="77"/>
      <c r="AP624" s="77"/>
      <c r="AQ624" s="77"/>
      <c r="AR624" s="77"/>
      <c r="AS624" s="77"/>
      <c r="AT624" s="77"/>
      <c r="AU624" s="77"/>
      <c r="AV624" s="83" t="str">
        <f>HYPERLINK("https://pbs.twimg.com/profile_images/1233188351127113729/N2WppeN1_normal.jpg")</f>
        <v>https://pbs.twimg.com/profile_images/1233188351127113729/N2WppeN1_normal.jpg</v>
      </c>
      <c r="AW624" s="80" t="s">
        <v>16585</v>
      </c>
      <c r="AX624" s="80" t="s">
        <v>16585</v>
      </c>
      <c r="AY624" s="77"/>
      <c r="AZ624" s="80" t="s">
        <v>20380</v>
      </c>
      <c r="BA624" s="80" t="s">
        <v>20380</v>
      </c>
      <c r="BB624" s="80" t="s">
        <v>19844</v>
      </c>
      <c r="BC624" s="80" t="s">
        <v>19844</v>
      </c>
      <c r="BD624" s="77">
        <v>218277336</v>
      </c>
      <c r="BE624" s="77"/>
      <c r="BF624" s="77"/>
      <c r="BG624" s="77"/>
      <c r="BH624" s="77"/>
      <c r="BI624" s="77"/>
    </row>
    <row r="625" spans="1:61" x14ac:dyDescent="0.25">
      <c r="A625" s="62" t="s">
        <v>473</v>
      </c>
      <c r="B625" s="62" t="s">
        <v>1655</v>
      </c>
      <c r="C625" s="63"/>
      <c r="D625" s="64"/>
      <c r="E625" s="65"/>
      <c r="F625" s="66"/>
      <c r="G625" s="63"/>
      <c r="H625" s="67"/>
      <c r="I625" s="68"/>
      <c r="J625" s="68"/>
      <c r="K625" s="32"/>
      <c r="L625" s="75">
        <v>625</v>
      </c>
      <c r="M625" s="75"/>
      <c r="N625" s="70"/>
      <c r="O625" s="77" t="s">
        <v>2083</v>
      </c>
      <c r="P625" s="79">
        <v>45191.510810185187</v>
      </c>
      <c r="Q625" s="77" t="s">
        <v>2120</v>
      </c>
      <c r="R625" s="77">
        <v>57</v>
      </c>
      <c r="S625" s="77">
        <v>0</v>
      </c>
      <c r="T625" s="77">
        <v>0</v>
      </c>
      <c r="U625" s="77">
        <v>0</v>
      </c>
      <c r="V625" s="77"/>
      <c r="W625" s="80" t="s">
        <v>5917</v>
      </c>
      <c r="X625" s="77"/>
      <c r="Y625" s="77"/>
      <c r="Z625" s="77" t="s">
        <v>1655</v>
      </c>
      <c r="AA625" s="77"/>
      <c r="AB625" s="77"/>
      <c r="AC625" s="80" t="s">
        <v>10540</v>
      </c>
      <c r="AD625" s="77" t="s">
        <v>10617</v>
      </c>
      <c r="AE625" s="83" t="str">
        <f>HYPERLINK("https://twitter.com/baiano_robo/status/1705194124322721967")</f>
        <v>https://twitter.com/baiano_robo/status/1705194124322721967</v>
      </c>
      <c r="AF625" s="79">
        <v>45191.510810185187</v>
      </c>
      <c r="AG625" s="85">
        <v>45191</v>
      </c>
      <c r="AH625" s="80" t="s">
        <v>11196</v>
      </c>
      <c r="AI625" s="77"/>
      <c r="AJ625" s="77"/>
      <c r="AK625" s="77"/>
      <c r="AL625" s="77"/>
      <c r="AM625" s="77"/>
      <c r="AN625" s="77"/>
      <c r="AO625" s="77"/>
      <c r="AP625" s="77"/>
      <c r="AQ625" s="77"/>
      <c r="AR625" s="77"/>
      <c r="AS625" s="77"/>
      <c r="AT625" s="77"/>
      <c r="AU625" s="77"/>
      <c r="AV625" s="83" t="str">
        <f>HYPERLINK("https://pbs.twimg.com/profile_images/1233188351127113729/N2WppeN1_normal.jpg")</f>
        <v>https://pbs.twimg.com/profile_images/1233188351127113729/N2WppeN1_normal.jpg</v>
      </c>
      <c r="AW625" s="80" t="s">
        <v>16586</v>
      </c>
      <c r="AX625" s="80" t="s">
        <v>16586</v>
      </c>
      <c r="AY625" s="77"/>
      <c r="AZ625" s="80" t="s">
        <v>20380</v>
      </c>
      <c r="BA625" s="80" t="s">
        <v>20380</v>
      </c>
      <c r="BB625" s="80" t="s">
        <v>19843</v>
      </c>
      <c r="BC625" s="80" t="s">
        <v>19843</v>
      </c>
      <c r="BD625" s="77">
        <v>218277336</v>
      </c>
      <c r="BE625" s="77"/>
      <c r="BF625" s="77"/>
      <c r="BG625" s="77"/>
      <c r="BH625" s="77"/>
      <c r="BI625" s="77"/>
    </row>
    <row r="626" spans="1:61" x14ac:dyDescent="0.25">
      <c r="A626" s="62" t="s">
        <v>474</v>
      </c>
      <c r="B626" s="62" t="s">
        <v>474</v>
      </c>
      <c r="C626" s="63"/>
      <c r="D626" s="64"/>
      <c r="E626" s="65"/>
      <c r="F626" s="66"/>
      <c r="G626" s="63"/>
      <c r="H626" s="67"/>
      <c r="I626" s="68"/>
      <c r="J626" s="68"/>
      <c r="K626" s="32"/>
      <c r="L626" s="75">
        <v>626</v>
      </c>
      <c r="M626" s="75"/>
      <c r="N626" s="70"/>
      <c r="O626" s="77" t="s">
        <v>179</v>
      </c>
      <c r="P626" s="79">
        <v>45090.864074074074</v>
      </c>
      <c r="Q626" s="77" t="s">
        <v>2635</v>
      </c>
      <c r="R626" s="77">
        <v>0</v>
      </c>
      <c r="S626" s="77">
        <v>5</v>
      </c>
      <c r="T626" s="77">
        <v>0</v>
      </c>
      <c r="U626" s="77">
        <v>0</v>
      </c>
      <c r="V626" s="77">
        <v>127</v>
      </c>
      <c r="W626" s="80" t="s">
        <v>6341</v>
      </c>
      <c r="X626" s="83" t="str">
        <f>HYPERLINK("https://bingx.com/pt-br/support/articles/19493533441177/")</f>
        <v>https://bingx.com/pt-br/support/articles/19493533441177/</v>
      </c>
      <c r="Y626" s="77" t="s">
        <v>8680</v>
      </c>
      <c r="Z626" s="77"/>
      <c r="AA626" s="77" t="s">
        <v>9209</v>
      </c>
      <c r="AB626" s="77" t="s">
        <v>10535</v>
      </c>
      <c r="AC626" s="80" t="s">
        <v>10541</v>
      </c>
      <c r="AD626" s="77" t="s">
        <v>10617</v>
      </c>
      <c r="AE626" s="83" t="str">
        <f>HYPERLINK("https://twitter.com/bingxportuguese/status/1668720965092515841")</f>
        <v>https://twitter.com/bingxportuguese/status/1668720965092515841</v>
      </c>
      <c r="AF626" s="79">
        <v>45090.864074074074</v>
      </c>
      <c r="AG626" s="85">
        <v>45090</v>
      </c>
      <c r="AH626" s="80" t="s">
        <v>11197</v>
      </c>
      <c r="AI626" s="77" t="b">
        <v>0</v>
      </c>
      <c r="AJ626" s="77"/>
      <c r="AK626" s="77"/>
      <c r="AL626" s="77"/>
      <c r="AM626" s="77"/>
      <c r="AN626" s="77"/>
      <c r="AO626" s="77"/>
      <c r="AP626" s="77"/>
      <c r="AQ626" s="77" t="s">
        <v>14691</v>
      </c>
      <c r="AR626" s="77"/>
      <c r="AS626" s="77"/>
      <c r="AT626" s="77"/>
      <c r="AU626" s="77"/>
      <c r="AV626" s="83" t="str">
        <f>HYPERLINK("https://pbs.twimg.com/media/Fyh8SqdWcAIhGXb.jpg")</f>
        <v>https://pbs.twimg.com/media/Fyh8SqdWcAIhGXb.jpg</v>
      </c>
      <c r="AW626" s="80" t="s">
        <v>16587</v>
      </c>
      <c r="AX626" s="80" t="s">
        <v>16587</v>
      </c>
      <c r="AY626" s="77"/>
      <c r="AZ626" s="80" t="s">
        <v>20380</v>
      </c>
      <c r="BA626" s="80" t="s">
        <v>20380</v>
      </c>
      <c r="BB626" s="80" t="s">
        <v>20380</v>
      </c>
      <c r="BC626" s="80" t="s">
        <v>16587</v>
      </c>
      <c r="BD626" s="80" t="s">
        <v>20615</v>
      </c>
      <c r="BE626" s="77"/>
      <c r="BF626" s="77"/>
      <c r="BG626" s="77"/>
      <c r="BH626" s="77"/>
      <c r="BI626" s="77"/>
    </row>
    <row r="627" spans="1:61" x14ac:dyDescent="0.25">
      <c r="A627" s="62" t="s">
        <v>475</v>
      </c>
      <c r="B627" s="62" t="s">
        <v>475</v>
      </c>
      <c r="C627" s="63"/>
      <c r="D627" s="64"/>
      <c r="E627" s="65"/>
      <c r="F627" s="66"/>
      <c r="G627" s="63"/>
      <c r="H627" s="67"/>
      <c r="I627" s="68"/>
      <c r="J627" s="68"/>
      <c r="K627" s="32"/>
      <c r="L627" s="75">
        <v>627</v>
      </c>
      <c r="M627" s="75"/>
      <c r="N627" s="70"/>
      <c r="O627" s="77" t="s">
        <v>179</v>
      </c>
      <c r="P627" s="79">
        <v>45062.545775462961</v>
      </c>
      <c r="Q627" s="77" t="s">
        <v>2636</v>
      </c>
      <c r="R627" s="77">
        <v>0</v>
      </c>
      <c r="S627" s="77">
        <v>0</v>
      </c>
      <c r="T627" s="77">
        <v>0</v>
      </c>
      <c r="U627" s="77">
        <v>0</v>
      </c>
      <c r="V627" s="77">
        <v>4</v>
      </c>
      <c r="W627" s="80" t="s">
        <v>6342</v>
      </c>
      <c r="X627" s="77"/>
      <c r="Y627" s="77"/>
      <c r="Z627" s="77"/>
      <c r="AA627" s="77"/>
      <c r="AB627" s="77"/>
      <c r="AC627" s="80" t="s">
        <v>10541</v>
      </c>
      <c r="AD627" s="77" t="s">
        <v>10617</v>
      </c>
      <c r="AE627" s="83" t="str">
        <f>HYPERLINK("https://twitter.com/fermanciniv/status/1658458759918698496")</f>
        <v>https://twitter.com/fermanciniv/status/1658458759918698496</v>
      </c>
      <c r="AF627" s="79">
        <v>45062.545775462961</v>
      </c>
      <c r="AG627" s="85">
        <v>45062</v>
      </c>
      <c r="AH627" s="80" t="s">
        <v>11198</v>
      </c>
      <c r="AI627" s="77"/>
      <c r="AJ627" s="77"/>
      <c r="AK627" s="77"/>
      <c r="AL627" s="77"/>
      <c r="AM627" s="77"/>
      <c r="AN627" s="77"/>
      <c r="AO627" s="77"/>
      <c r="AP627" s="77"/>
      <c r="AQ627" s="77"/>
      <c r="AR627" s="77"/>
      <c r="AS627" s="77"/>
      <c r="AT627" s="77"/>
      <c r="AU627" s="77"/>
      <c r="AV627" s="83" t="str">
        <f>HYPERLINK("https://pbs.twimg.com/profile_images/581465844787507201/kXuIJTJf_normal.jpg")</f>
        <v>https://pbs.twimg.com/profile_images/581465844787507201/kXuIJTJf_normal.jpg</v>
      </c>
      <c r="AW627" s="80" t="s">
        <v>16588</v>
      </c>
      <c r="AX627" s="80" t="s">
        <v>16588</v>
      </c>
      <c r="AY627" s="77"/>
      <c r="AZ627" s="80" t="s">
        <v>20380</v>
      </c>
      <c r="BA627" s="80" t="s">
        <v>20380</v>
      </c>
      <c r="BB627" s="80" t="s">
        <v>20380</v>
      </c>
      <c r="BC627" s="80" t="s">
        <v>16588</v>
      </c>
      <c r="BD627" s="77">
        <v>873515538</v>
      </c>
      <c r="BE627" s="77"/>
      <c r="BF627" s="77"/>
      <c r="BG627" s="77"/>
      <c r="BH627" s="77"/>
      <c r="BI627" s="77"/>
    </row>
    <row r="628" spans="1:61" x14ac:dyDescent="0.25">
      <c r="A628" s="62" t="s">
        <v>475</v>
      </c>
      <c r="B628" s="62" t="s">
        <v>475</v>
      </c>
      <c r="C628" s="63"/>
      <c r="D628" s="64"/>
      <c r="E628" s="65"/>
      <c r="F628" s="66"/>
      <c r="G628" s="63"/>
      <c r="H628" s="67"/>
      <c r="I628" s="68"/>
      <c r="J628" s="68"/>
      <c r="K628" s="32"/>
      <c r="L628" s="75">
        <v>628</v>
      </c>
      <c r="M628" s="75"/>
      <c r="N628" s="70"/>
      <c r="O628" s="77" t="s">
        <v>179</v>
      </c>
      <c r="P628" s="79">
        <v>45126.944120370368</v>
      </c>
      <c r="Q628" s="77" t="s">
        <v>2637</v>
      </c>
      <c r="R628" s="77">
        <v>0</v>
      </c>
      <c r="S628" s="77">
        <v>0</v>
      </c>
      <c r="T628" s="77">
        <v>0</v>
      </c>
      <c r="U628" s="77">
        <v>0</v>
      </c>
      <c r="V628" s="77">
        <v>12</v>
      </c>
      <c r="W628" s="80" t="s">
        <v>6343</v>
      </c>
      <c r="X628" s="77"/>
      <c r="Y628" s="77"/>
      <c r="Z628" s="77"/>
      <c r="AA628" s="77" t="s">
        <v>9210</v>
      </c>
      <c r="AB628" s="77" t="s">
        <v>10535</v>
      </c>
      <c r="AC628" s="80" t="s">
        <v>10541</v>
      </c>
      <c r="AD628" s="77" t="s">
        <v>10619</v>
      </c>
      <c r="AE628" s="83" t="str">
        <f>HYPERLINK("https://twitter.com/fermanciniv/status/1681795937994170368")</f>
        <v>https://twitter.com/fermanciniv/status/1681795937994170368</v>
      </c>
      <c r="AF628" s="79">
        <v>45126.944120370368</v>
      </c>
      <c r="AG628" s="85">
        <v>45126</v>
      </c>
      <c r="AH628" s="80" t="s">
        <v>11199</v>
      </c>
      <c r="AI628" s="77" t="b">
        <v>0</v>
      </c>
      <c r="AJ628" s="77"/>
      <c r="AK628" s="77"/>
      <c r="AL628" s="77"/>
      <c r="AM628" s="77"/>
      <c r="AN628" s="77"/>
      <c r="AO628" s="77"/>
      <c r="AP628" s="77"/>
      <c r="AQ628" s="77" t="s">
        <v>14692</v>
      </c>
      <c r="AR628" s="77"/>
      <c r="AS628" s="77"/>
      <c r="AT628" s="77"/>
      <c r="AU628" s="77"/>
      <c r="AV628" s="83" t="str">
        <f>HYPERLINK("https://pbs.twimg.com/media/F1bwUQQWAAAfqsL.jpg")</f>
        <v>https://pbs.twimg.com/media/F1bwUQQWAAAfqsL.jpg</v>
      </c>
      <c r="AW628" s="80" t="s">
        <v>16589</v>
      </c>
      <c r="AX628" s="80" t="s">
        <v>16589</v>
      </c>
      <c r="AY628" s="77"/>
      <c r="AZ628" s="80" t="s">
        <v>20380</v>
      </c>
      <c r="BA628" s="80" t="s">
        <v>20380</v>
      </c>
      <c r="BB628" s="80" t="s">
        <v>20380</v>
      </c>
      <c r="BC628" s="80" t="s">
        <v>16589</v>
      </c>
      <c r="BD628" s="77">
        <v>873515538</v>
      </c>
      <c r="BE628" s="77"/>
      <c r="BF628" s="77"/>
      <c r="BG628" s="77"/>
      <c r="BH628" s="77"/>
      <c r="BI628" s="77"/>
    </row>
    <row r="629" spans="1:61" x14ac:dyDescent="0.25">
      <c r="A629" s="62" t="s">
        <v>475</v>
      </c>
      <c r="B629" s="62" t="s">
        <v>475</v>
      </c>
      <c r="C629" s="63"/>
      <c r="D629" s="64"/>
      <c r="E629" s="65"/>
      <c r="F629" s="66"/>
      <c r="G629" s="63"/>
      <c r="H629" s="67"/>
      <c r="I629" s="68"/>
      <c r="J629" s="68"/>
      <c r="K629" s="32"/>
      <c r="L629" s="75">
        <v>629</v>
      </c>
      <c r="M629" s="75"/>
      <c r="N629" s="70"/>
      <c r="O629" s="77" t="s">
        <v>179</v>
      </c>
      <c r="P629" s="79">
        <v>45124.582314814812</v>
      </c>
      <c r="Q629" s="77" t="s">
        <v>2638</v>
      </c>
      <c r="R629" s="77">
        <v>0</v>
      </c>
      <c r="S629" s="77">
        <v>0</v>
      </c>
      <c r="T629" s="77">
        <v>0</v>
      </c>
      <c r="U629" s="77">
        <v>0</v>
      </c>
      <c r="V629" s="77">
        <v>15</v>
      </c>
      <c r="W629" s="80" t="s">
        <v>6344</v>
      </c>
      <c r="X629" s="77"/>
      <c r="Y629" s="77"/>
      <c r="Z629" s="77"/>
      <c r="AA629" s="77" t="s">
        <v>9211</v>
      </c>
      <c r="AB629" s="77" t="s">
        <v>10535</v>
      </c>
      <c r="AC629" s="80" t="s">
        <v>10541</v>
      </c>
      <c r="AD629" s="77" t="s">
        <v>10619</v>
      </c>
      <c r="AE629" s="83" t="str">
        <f>HYPERLINK("https://twitter.com/fermanciniv/status/1680940046667464704")</f>
        <v>https://twitter.com/fermanciniv/status/1680940046667464704</v>
      </c>
      <c r="AF629" s="79">
        <v>45124.582314814812</v>
      </c>
      <c r="AG629" s="85">
        <v>45124</v>
      </c>
      <c r="AH629" s="80" t="s">
        <v>11200</v>
      </c>
      <c r="AI629" s="77" t="b">
        <v>0</v>
      </c>
      <c r="AJ629" s="77"/>
      <c r="AK629" s="77"/>
      <c r="AL629" s="77"/>
      <c r="AM629" s="77"/>
      <c r="AN629" s="77"/>
      <c r="AO629" s="77"/>
      <c r="AP629" s="77"/>
      <c r="AQ629" s="77" t="s">
        <v>14693</v>
      </c>
      <c r="AR629" s="77"/>
      <c r="AS629" s="77"/>
      <c r="AT629" s="77"/>
      <c r="AU629" s="77"/>
      <c r="AV629" s="83" t="str">
        <f>HYPERLINK("https://pbs.twimg.com/media/F1PliOcWcAEj1pF.jpg")</f>
        <v>https://pbs.twimg.com/media/F1PliOcWcAEj1pF.jpg</v>
      </c>
      <c r="AW629" s="80" t="s">
        <v>16590</v>
      </c>
      <c r="AX629" s="80" t="s">
        <v>16590</v>
      </c>
      <c r="AY629" s="77"/>
      <c r="AZ629" s="80" t="s">
        <v>20380</v>
      </c>
      <c r="BA629" s="80" t="s">
        <v>20380</v>
      </c>
      <c r="BB629" s="80" t="s">
        <v>20380</v>
      </c>
      <c r="BC629" s="80" t="s">
        <v>16590</v>
      </c>
      <c r="BD629" s="77">
        <v>873515538</v>
      </c>
      <c r="BE629" s="77"/>
      <c r="BF629" s="77"/>
      <c r="BG629" s="77"/>
      <c r="BH629" s="77"/>
      <c r="BI629" s="77"/>
    </row>
    <row r="630" spans="1:61" x14ac:dyDescent="0.25">
      <c r="A630" s="62" t="s">
        <v>476</v>
      </c>
      <c r="B630" s="62" t="s">
        <v>1769</v>
      </c>
      <c r="C630" s="63"/>
      <c r="D630" s="64"/>
      <c r="E630" s="65"/>
      <c r="F630" s="66"/>
      <c r="G630" s="63"/>
      <c r="H630" s="67"/>
      <c r="I630" s="68"/>
      <c r="J630" s="68"/>
      <c r="K630" s="32"/>
      <c r="L630" s="75">
        <v>630</v>
      </c>
      <c r="M630" s="75"/>
      <c r="N630" s="70"/>
      <c r="O630" s="77" t="s">
        <v>2079</v>
      </c>
      <c r="P630" s="79">
        <v>45139.77</v>
      </c>
      <c r="Q630" s="77" t="s">
        <v>2639</v>
      </c>
      <c r="R630" s="77">
        <v>0</v>
      </c>
      <c r="S630" s="77">
        <v>1</v>
      </c>
      <c r="T630" s="77">
        <v>2</v>
      </c>
      <c r="U630" s="77">
        <v>0</v>
      </c>
      <c r="V630" s="77">
        <v>224</v>
      </c>
      <c r="W630" s="80" t="s">
        <v>6345</v>
      </c>
      <c r="X630" s="77"/>
      <c r="Y630" s="77"/>
      <c r="Z630" s="77" t="s">
        <v>8924</v>
      </c>
      <c r="AA630" s="77" t="s">
        <v>9212</v>
      </c>
      <c r="AB630" s="77" t="s">
        <v>10535</v>
      </c>
      <c r="AC630" s="80" t="s">
        <v>10541</v>
      </c>
      <c r="AD630" s="77" t="s">
        <v>10620</v>
      </c>
      <c r="AE630" s="83" t="str">
        <f>HYPERLINK("https://twitter.com/datadiario/status/1686443880965619724")</f>
        <v>https://twitter.com/datadiario/status/1686443880965619724</v>
      </c>
      <c r="AF630" s="79">
        <v>45139.77</v>
      </c>
      <c r="AG630" s="85">
        <v>45139</v>
      </c>
      <c r="AH630" s="80" t="s">
        <v>11201</v>
      </c>
      <c r="AI630" s="77" t="b">
        <v>0</v>
      </c>
      <c r="AJ630" s="77"/>
      <c r="AK630" s="77"/>
      <c r="AL630" s="77"/>
      <c r="AM630" s="77"/>
      <c r="AN630" s="77"/>
      <c r="AO630" s="77"/>
      <c r="AP630" s="77"/>
      <c r="AQ630" s="77" t="s">
        <v>14694</v>
      </c>
      <c r="AR630" s="77"/>
      <c r="AS630" s="77"/>
      <c r="AT630" s="77"/>
      <c r="AU630" s="77"/>
      <c r="AV630" s="83" t="str">
        <f>HYPERLINK("https://pbs.twimg.com/media/F2dzxQJWQAMcWt8.jpg")</f>
        <v>https://pbs.twimg.com/media/F2dzxQJWQAMcWt8.jpg</v>
      </c>
      <c r="AW630" s="80" t="s">
        <v>16591</v>
      </c>
      <c r="AX630" s="80" t="s">
        <v>19991</v>
      </c>
      <c r="AY630" s="80" t="s">
        <v>20243</v>
      </c>
      <c r="AZ630" s="80" t="s">
        <v>20398</v>
      </c>
      <c r="BA630" s="80" t="s">
        <v>20380</v>
      </c>
      <c r="BB630" s="80" t="s">
        <v>20380</v>
      </c>
      <c r="BC630" s="80" t="s">
        <v>20398</v>
      </c>
      <c r="BD630" s="80" t="s">
        <v>20243</v>
      </c>
      <c r="BE630" s="77"/>
      <c r="BF630" s="77"/>
      <c r="BG630" s="77"/>
      <c r="BH630" s="77"/>
      <c r="BI630" s="77"/>
    </row>
    <row r="631" spans="1:61" x14ac:dyDescent="0.25">
      <c r="A631" s="62" t="s">
        <v>476</v>
      </c>
      <c r="B631" s="62" t="s">
        <v>476</v>
      </c>
      <c r="C631" s="63"/>
      <c r="D631" s="64"/>
      <c r="E631" s="65"/>
      <c r="F631" s="66"/>
      <c r="G631" s="63"/>
      <c r="H631" s="67"/>
      <c r="I631" s="68"/>
      <c r="J631" s="68"/>
      <c r="K631" s="32"/>
      <c r="L631" s="75">
        <v>631</v>
      </c>
      <c r="M631" s="75"/>
      <c r="N631" s="70"/>
      <c r="O631" s="77" t="s">
        <v>2078</v>
      </c>
      <c r="P631" s="79">
        <v>45139.77</v>
      </c>
      <c r="Q631" s="77" t="s">
        <v>2639</v>
      </c>
      <c r="R631" s="77">
        <v>0</v>
      </c>
      <c r="S631" s="77">
        <v>1</v>
      </c>
      <c r="T631" s="77">
        <v>2</v>
      </c>
      <c r="U631" s="77">
        <v>0</v>
      </c>
      <c r="V631" s="77">
        <v>224</v>
      </c>
      <c r="W631" s="80" t="s">
        <v>6345</v>
      </c>
      <c r="X631" s="77"/>
      <c r="Y631" s="77"/>
      <c r="Z631" s="77" t="s">
        <v>8924</v>
      </c>
      <c r="AA631" s="77" t="s">
        <v>9212</v>
      </c>
      <c r="AB631" s="77" t="s">
        <v>10535</v>
      </c>
      <c r="AC631" s="80" t="s">
        <v>10541</v>
      </c>
      <c r="AD631" s="77" t="s">
        <v>10620</v>
      </c>
      <c r="AE631" s="83" t="str">
        <f>HYPERLINK("https://twitter.com/datadiario/status/1686443880965619724")</f>
        <v>https://twitter.com/datadiario/status/1686443880965619724</v>
      </c>
      <c r="AF631" s="79">
        <v>45139.77</v>
      </c>
      <c r="AG631" s="85">
        <v>45139</v>
      </c>
      <c r="AH631" s="80" t="s">
        <v>11201</v>
      </c>
      <c r="AI631" s="77" t="b">
        <v>0</v>
      </c>
      <c r="AJ631" s="77"/>
      <c r="AK631" s="77"/>
      <c r="AL631" s="77"/>
      <c r="AM631" s="77"/>
      <c r="AN631" s="77"/>
      <c r="AO631" s="77"/>
      <c r="AP631" s="77"/>
      <c r="AQ631" s="77" t="s">
        <v>14694</v>
      </c>
      <c r="AR631" s="77"/>
      <c r="AS631" s="77"/>
      <c r="AT631" s="77"/>
      <c r="AU631" s="77"/>
      <c r="AV631" s="83" t="str">
        <f>HYPERLINK("https://pbs.twimg.com/media/F2dzxQJWQAMcWt8.jpg")</f>
        <v>https://pbs.twimg.com/media/F2dzxQJWQAMcWt8.jpg</v>
      </c>
      <c r="AW631" s="80" t="s">
        <v>16591</v>
      </c>
      <c r="AX631" s="80" t="s">
        <v>19991</v>
      </c>
      <c r="AY631" s="80" t="s">
        <v>20243</v>
      </c>
      <c r="AZ631" s="80" t="s">
        <v>20398</v>
      </c>
      <c r="BA631" s="80" t="s">
        <v>20380</v>
      </c>
      <c r="BB631" s="80" t="s">
        <v>20380</v>
      </c>
      <c r="BC631" s="80" t="s">
        <v>20398</v>
      </c>
      <c r="BD631" s="80" t="s">
        <v>20243</v>
      </c>
      <c r="BE631" s="77"/>
      <c r="BF631" s="77"/>
      <c r="BG631" s="77"/>
      <c r="BH631" s="77"/>
      <c r="BI631" s="77"/>
    </row>
    <row r="632" spans="1:61" x14ac:dyDescent="0.25">
      <c r="A632" s="62" t="s">
        <v>477</v>
      </c>
      <c r="B632" s="62" t="s">
        <v>1425</v>
      </c>
      <c r="C632" s="63"/>
      <c r="D632" s="64"/>
      <c r="E632" s="65"/>
      <c r="F632" s="66"/>
      <c r="G632" s="63"/>
      <c r="H632" s="67"/>
      <c r="I632" s="68"/>
      <c r="J632" s="68"/>
      <c r="K632" s="32"/>
      <c r="L632" s="75">
        <v>632</v>
      </c>
      <c r="M632" s="75"/>
      <c r="N632" s="70"/>
      <c r="O632" s="77" t="s">
        <v>2083</v>
      </c>
      <c r="P632" s="79">
        <v>45194.726782407408</v>
      </c>
      <c r="Q632" s="77" t="s">
        <v>2640</v>
      </c>
      <c r="R632" s="77">
        <v>6</v>
      </c>
      <c r="S632" s="77">
        <v>0</v>
      </c>
      <c r="T632" s="77">
        <v>0</v>
      </c>
      <c r="U632" s="77">
        <v>0</v>
      </c>
      <c r="V632" s="77"/>
      <c r="W632" s="80" t="s">
        <v>6346</v>
      </c>
      <c r="X632" s="77"/>
      <c r="Y632" s="77"/>
      <c r="Z632" s="77" t="s">
        <v>1425</v>
      </c>
      <c r="AA632" s="77"/>
      <c r="AB632" s="77"/>
      <c r="AC632" s="80" t="s">
        <v>10541</v>
      </c>
      <c r="AD632" s="77" t="s">
        <v>10620</v>
      </c>
      <c r="AE632" s="83" t="str">
        <f>HYPERLINK("https://twitter.com/mate124cru/status/1706359552197738863")</f>
        <v>https://twitter.com/mate124cru/status/1706359552197738863</v>
      </c>
      <c r="AF632" s="79">
        <v>45194.726782407408</v>
      </c>
      <c r="AG632" s="85">
        <v>45194</v>
      </c>
      <c r="AH632" s="80" t="s">
        <v>11202</v>
      </c>
      <c r="AI632" s="77"/>
      <c r="AJ632" s="77"/>
      <c r="AK632" s="77"/>
      <c r="AL632" s="77"/>
      <c r="AM632" s="77"/>
      <c r="AN632" s="77"/>
      <c r="AO632" s="77"/>
      <c r="AP632" s="77"/>
      <c r="AQ632" s="77"/>
      <c r="AR632" s="77"/>
      <c r="AS632" s="77"/>
      <c r="AT632" s="77"/>
      <c r="AU632" s="77"/>
      <c r="AV632" s="83" t="str">
        <f>HYPERLINK("https://pbs.twimg.com/profile_images/1649576576143568896/pBsgzvsj_normal.jpg")</f>
        <v>https://pbs.twimg.com/profile_images/1649576576143568896/pBsgzvsj_normal.jpg</v>
      </c>
      <c r="AW632" s="80" t="s">
        <v>16592</v>
      </c>
      <c r="AX632" s="80" t="s">
        <v>16592</v>
      </c>
      <c r="AY632" s="77"/>
      <c r="AZ632" s="80" t="s">
        <v>20380</v>
      </c>
      <c r="BA632" s="80" t="s">
        <v>20380</v>
      </c>
      <c r="BB632" s="80" t="s">
        <v>19289</v>
      </c>
      <c r="BC632" s="80" t="s">
        <v>19289</v>
      </c>
      <c r="BD632" s="80" t="s">
        <v>20616</v>
      </c>
      <c r="BE632" s="77"/>
      <c r="BF632" s="77"/>
      <c r="BG632" s="77"/>
      <c r="BH632" s="77"/>
      <c r="BI632" s="77"/>
    </row>
    <row r="633" spans="1:61" x14ac:dyDescent="0.25">
      <c r="A633" s="62" t="s">
        <v>478</v>
      </c>
      <c r="B633" s="62" t="s">
        <v>478</v>
      </c>
      <c r="C633" s="63"/>
      <c r="D633" s="64"/>
      <c r="E633" s="65"/>
      <c r="F633" s="66"/>
      <c r="G633" s="63"/>
      <c r="H633" s="67"/>
      <c r="I633" s="68"/>
      <c r="J633" s="68"/>
      <c r="K633" s="32"/>
      <c r="L633" s="75">
        <v>633</v>
      </c>
      <c r="M633" s="75"/>
      <c r="N633" s="70"/>
      <c r="O633" s="77" t="s">
        <v>179</v>
      </c>
      <c r="P633" s="79">
        <v>45056.432500000003</v>
      </c>
      <c r="Q633" s="77" t="s">
        <v>2641</v>
      </c>
      <c r="R633" s="77">
        <v>0</v>
      </c>
      <c r="S633" s="77">
        <v>3</v>
      </c>
      <c r="T633" s="77">
        <v>0</v>
      </c>
      <c r="U633" s="77">
        <v>0</v>
      </c>
      <c r="V633" s="77">
        <v>12</v>
      </c>
      <c r="W633" s="80" t="s">
        <v>6347</v>
      </c>
      <c r="X633" s="83" t="str">
        <f>HYPERLINK("https://moneymarkets.com.br/noticias/dolar-fecha-em-queda-frente-ao-real-nesta-terca-feira/")</f>
        <v>https://moneymarkets.com.br/noticias/dolar-fecha-em-queda-frente-ao-real-nesta-terca-feira/</v>
      </c>
      <c r="Y633" s="77" t="s">
        <v>8611</v>
      </c>
      <c r="Z633" s="77"/>
      <c r="AA633" s="77"/>
      <c r="AB633" s="77"/>
      <c r="AC633" s="80" t="s">
        <v>10559</v>
      </c>
      <c r="AD633" s="77" t="s">
        <v>10617</v>
      </c>
      <c r="AE633" s="83" t="str">
        <f>HYPERLINK("https://twitter.com/moneymarkets_br/status/1656243383415742464")</f>
        <v>https://twitter.com/moneymarkets_br/status/1656243383415742464</v>
      </c>
      <c r="AF633" s="79">
        <v>45056.432500000003</v>
      </c>
      <c r="AG633" s="85">
        <v>45056</v>
      </c>
      <c r="AH633" s="80" t="s">
        <v>11203</v>
      </c>
      <c r="AI633" s="77" t="b">
        <v>0</v>
      </c>
      <c r="AJ633" s="77"/>
      <c r="AK633" s="77"/>
      <c r="AL633" s="77"/>
      <c r="AM633" s="77"/>
      <c r="AN633" s="77"/>
      <c r="AO633" s="77"/>
      <c r="AP633" s="77"/>
      <c r="AQ633" s="77"/>
      <c r="AR633" s="77"/>
      <c r="AS633" s="77"/>
      <c r="AT633" s="77"/>
      <c r="AU633" s="77"/>
      <c r="AV633" s="83" t="str">
        <f>HYPERLINK("https://pbs.twimg.com/profile_images/1650837777649418241/jnGKtY2v_normal.jpg")</f>
        <v>https://pbs.twimg.com/profile_images/1650837777649418241/jnGKtY2v_normal.jpg</v>
      </c>
      <c r="AW633" s="80" t="s">
        <v>16593</v>
      </c>
      <c r="AX633" s="80" t="s">
        <v>16593</v>
      </c>
      <c r="AY633" s="77"/>
      <c r="AZ633" s="80" t="s">
        <v>20380</v>
      </c>
      <c r="BA633" s="80" t="s">
        <v>20380</v>
      </c>
      <c r="BB633" s="80" t="s">
        <v>20380</v>
      </c>
      <c r="BC633" s="80" t="s">
        <v>16593</v>
      </c>
      <c r="BD633" s="80" t="s">
        <v>20617</v>
      </c>
      <c r="BE633" s="77"/>
      <c r="BF633" s="77"/>
      <c r="BG633" s="77"/>
      <c r="BH633" s="77"/>
      <c r="BI633" s="77"/>
    </row>
    <row r="634" spans="1:61" x14ac:dyDescent="0.25">
      <c r="A634" s="62" t="s">
        <v>478</v>
      </c>
      <c r="B634" s="62" t="s">
        <v>478</v>
      </c>
      <c r="C634" s="63"/>
      <c r="D634" s="64"/>
      <c r="E634" s="65"/>
      <c r="F634" s="66"/>
      <c r="G634" s="63"/>
      <c r="H634" s="67"/>
      <c r="I634" s="68"/>
      <c r="J634" s="68"/>
      <c r="K634" s="32"/>
      <c r="L634" s="75">
        <v>634</v>
      </c>
      <c r="M634" s="75"/>
      <c r="N634" s="70"/>
      <c r="O634" s="77" t="s">
        <v>179</v>
      </c>
      <c r="P634" s="79">
        <v>45082.410914351851</v>
      </c>
      <c r="Q634" s="77" t="s">
        <v>2642</v>
      </c>
      <c r="R634" s="77">
        <v>0</v>
      </c>
      <c r="S634" s="77">
        <v>2</v>
      </c>
      <c r="T634" s="77">
        <v>0</v>
      </c>
      <c r="U634" s="77">
        <v>0</v>
      </c>
      <c r="V634" s="77">
        <v>13</v>
      </c>
      <c r="W634" s="80" t="s">
        <v>6348</v>
      </c>
      <c r="X634" s="83" t="str">
        <f>HYPERLINK("https://buff.ly/3WRgTyV")</f>
        <v>https://buff.ly/3WRgTyV</v>
      </c>
      <c r="Y634" s="77" t="s">
        <v>8617</v>
      </c>
      <c r="Z634" s="77"/>
      <c r="AA634" s="77"/>
      <c r="AB634" s="77"/>
      <c r="AC634" s="80" t="s">
        <v>10545</v>
      </c>
      <c r="AD634" s="77" t="s">
        <v>10617</v>
      </c>
      <c r="AE634" s="83" t="str">
        <f>HYPERLINK("https://twitter.com/moneymarkets_br/status/1665657645733224450")</f>
        <v>https://twitter.com/moneymarkets_br/status/1665657645733224450</v>
      </c>
      <c r="AF634" s="79">
        <v>45082.410914351851</v>
      </c>
      <c r="AG634" s="85">
        <v>45082</v>
      </c>
      <c r="AH634" s="80" t="s">
        <v>11204</v>
      </c>
      <c r="AI634" s="77" t="b">
        <v>0</v>
      </c>
      <c r="AJ634" s="77"/>
      <c r="AK634" s="77"/>
      <c r="AL634" s="77"/>
      <c r="AM634" s="77"/>
      <c r="AN634" s="77"/>
      <c r="AO634" s="77"/>
      <c r="AP634" s="77"/>
      <c r="AQ634" s="77"/>
      <c r="AR634" s="77"/>
      <c r="AS634" s="77"/>
      <c r="AT634" s="77"/>
      <c r="AU634" s="77"/>
      <c r="AV634" s="83" t="str">
        <f>HYPERLINK("https://pbs.twimg.com/profile_images/1650837777649418241/jnGKtY2v_normal.jpg")</f>
        <v>https://pbs.twimg.com/profile_images/1650837777649418241/jnGKtY2v_normal.jpg</v>
      </c>
      <c r="AW634" s="80" t="s">
        <v>16594</v>
      </c>
      <c r="AX634" s="80" t="s">
        <v>16594</v>
      </c>
      <c r="AY634" s="77"/>
      <c r="AZ634" s="80" t="s">
        <v>20380</v>
      </c>
      <c r="BA634" s="80" t="s">
        <v>20380</v>
      </c>
      <c r="BB634" s="80" t="s">
        <v>20380</v>
      </c>
      <c r="BC634" s="80" t="s">
        <v>16594</v>
      </c>
      <c r="BD634" s="80" t="s">
        <v>20617</v>
      </c>
      <c r="BE634" s="77"/>
      <c r="BF634" s="77"/>
      <c r="BG634" s="77"/>
      <c r="BH634" s="77"/>
      <c r="BI634" s="77"/>
    </row>
    <row r="635" spans="1:61" x14ac:dyDescent="0.25">
      <c r="A635" s="62" t="s">
        <v>478</v>
      </c>
      <c r="B635" s="62" t="s">
        <v>478</v>
      </c>
      <c r="C635" s="63"/>
      <c r="D635" s="64"/>
      <c r="E635" s="65"/>
      <c r="F635" s="66"/>
      <c r="G635" s="63"/>
      <c r="H635" s="67"/>
      <c r="I635" s="68"/>
      <c r="J635" s="68"/>
      <c r="K635" s="32"/>
      <c r="L635" s="75">
        <v>635</v>
      </c>
      <c r="M635" s="75"/>
      <c r="N635" s="70"/>
      <c r="O635" s="77" t="s">
        <v>179</v>
      </c>
      <c r="P635" s="79">
        <v>45086.400243055556</v>
      </c>
      <c r="Q635" s="77" t="s">
        <v>2643</v>
      </c>
      <c r="R635" s="77">
        <v>1</v>
      </c>
      <c r="S635" s="77">
        <v>1</v>
      </c>
      <c r="T635" s="77">
        <v>1</v>
      </c>
      <c r="U635" s="77">
        <v>0</v>
      </c>
      <c r="V635" s="77">
        <v>28</v>
      </c>
      <c r="W635" s="80" t="s">
        <v>6349</v>
      </c>
      <c r="X635" s="83" t="str">
        <f>HYPERLINK("https://buff.ly/45S77Rh")</f>
        <v>https://buff.ly/45S77Rh</v>
      </c>
      <c r="Y635" s="77" t="s">
        <v>8617</v>
      </c>
      <c r="Z635" s="77"/>
      <c r="AA635" s="77" t="s">
        <v>9213</v>
      </c>
      <c r="AB635" s="77" t="s">
        <v>10535</v>
      </c>
      <c r="AC635" s="80" t="s">
        <v>10545</v>
      </c>
      <c r="AD635" s="77" t="s">
        <v>10617</v>
      </c>
      <c r="AE635" s="83" t="str">
        <f>HYPERLINK("https://twitter.com/moneymarkets_br/status/1667103330428919809")</f>
        <v>https://twitter.com/moneymarkets_br/status/1667103330428919809</v>
      </c>
      <c r="AF635" s="79">
        <v>45086.400243055556</v>
      </c>
      <c r="AG635" s="85">
        <v>45086</v>
      </c>
      <c r="AH635" s="80" t="s">
        <v>11205</v>
      </c>
      <c r="AI635" s="77" t="b">
        <v>0</v>
      </c>
      <c r="AJ635" s="77"/>
      <c r="AK635" s="77"/>
      <c r="AL635" s="77"/>
      <c r="AM635" s="77"/>
      <c r="AN635" s="77"/>
      <c r="AO635" s="77"/>
      <c r="AP635" s="77"/>
      <c r="AQ635" s="77" t="s">
        <v>14695</v>
      </c>
      <c r="AR635" s="77"/>
      <c r="AS635" s="77"/>
      <c r="AT635" s="77"/>
      <c r="AU635" s="77"/>
      <c r="AV635" s="83" t="str">
        <f>HYPERLINK("https://pbs.twimg.com/media/FyK9pJ-X0AAS9ml.jpg")</f>
        <v>https://pbs.twimg.com/media/FyK9pJ-X0AAS9ml.jpg</v>
      </c>
      <c r="AW635" s="80" t="s">
        <v>16595</v>
      </c>
      <c r="AX635" s="80" t="s">
        <v>16595</v>
      </c>
      <c r="AY635" s="77"/>
      <c r="AZ635" s="80" t="s">
        <v>20380</v>
      </c>
      <c r="BA635" s="80" t="s">
        <v>20380</v>
      </c>
      <c r="BB635" s="80" t="s">
        <v>20380</v>
      </c>
      <c r="BC635" s="80" t="s">
        <v>16595</v>
      </c>
      <c r="BD635" s="80" t="s">
        <v>20617</v>
      </c>
      <c r="BE635" s="77"/>
      <c r="BF635" s="77"/>
      <c r="BG635" s="77"/>
      <c r="BH635" s="77"/>
      <c r="BI635" s="77"/>
    </row>
    <row r="636" spans="1:61" x14ac:dyDescent="0.25">
      <c r="A636" s="62" t="s">
        <v>478</v>
      </c>
      <c r="B636" s="62" t="s">
        <v>478</v>
      </c>
      <c r="C636" s="63"/>
      <c r="D636" s="64"/>
      <c r="E636" s="65"/>
      <c r="F636" s="66"/>
      <c r="G636" s="63"/>
      <c r="H636" s="67"/>
      <c r="I636" s="68"/>
      <c r="J636" s="68"/>
      <c r="K636" s="32"/>
      <c r="L636" s="75">
        <v>636</v>
      </c>
      <c r="M636" s="75"/>
      <c r="N636" s="70"/>
      <c r="O636" s="77" t="s">
        <v>179</v>
      </c>
      <c r="P636" s="79">
        <v>45050.614571759259</v>
      </c>
      <c r="Q636" s="77" t="s">
        <v>2644</v>
      </c>
      <c r="R636" s="77">
        <v>0</v>
      </c>
      <c r="S636" s="77">
        <v>1</v>
      </c>
      <c r="T636" s="77">
        <v>0</v>
      </c>
      <c r="U636" s="77">
        <v>0</v>
      </c>
      <c r="V636" s="77">
        <v>18</v>
      </c>
      <c r="W636" s="80" t="s">
        <v>6350</v>
      </c>
      <c r="X636" s="83" t="str">
        <f>HYPERLINK("https://moneymarkets.com.br/noticias/dolar-oscila-em-relacao-ao-real-em-dia-de-decisoes-importantes/")</f>
        <v>https://moneymarkets.com.br/noticias/dolar-oscila-em-relacao-ao-real-em-dia-de-decisoes-importantes/</v>
      </c>
      <c r="Y636" s="77" t="s">
        <v>8611</v>
      </c>
      <c r="Z636" s="77"/>
      <c r="AA636" s="77"/>
      <c r="AB636" s="77"/>
      <c r="AC636" s="80" t="s">
        <v>10559</v>
      </c>
      <c r="AD636" s="77" t="s">
        <v>10617</v>
      </c>
      <c r="AE636" s="83" t="str">
        <f>HYPERLINK("https://twitter.com/moneymarkets_br/status/1654135034750676993")</f>
        <v>https://twitter.com/moneymarkets_br/status/1654135034750676993</v>
      </c>
      <c r="AF636" s="79">
        <v>45050.614571759259</v>
      </c>
      <c r="AG636" s="85">
        <v>45050</v>
      </c>
      <c r="AH636" s="80" t="s">
        <v>11206</v>
      </c>
      <c r="AI636" s="77" t="b">
        <v>0</v>
      </c>
      <c r="AJ636" s="77"/>
      <c r="AK636" s="77"/>
      <c r="AL636" s="77"/>
      <c r="AM636" s="77"/>
      <c r="AN636" s="77"/>
      <c r="AO636" s="77"/>
      <c r="AP636" s="77"/>
      <c r="AQ636" s="77"/>
      <c r="AR636" s="77"/>
      <c r="AS636" s="77"/>
      <c r="AT636" s="77"/>
      <c r="AU636" s="77"/>
      <c r="AV636" s="83" t="str">
        <f>HYPERLINK("https://pbs.twimg.com/profile_images/1650837777649418241/jnGKtY2v_normal.jpg")</f>
        <v>https://pbs.twimg.com/profile_images/1650837777649418241/jnGKtY2v_normal.jpg</v>
      </c>
      <c r="AW636" s="80" t="s">
        <v>16596</v>
      </c>
      <c r="AX636" s="80" t="s">
        <v>16596</v>
      </c>
      <c r="AY636" s="77"/>
      <c r="AZ636" s="80" t="s">
        <v>20380</v>
      </c>
      <c r="BA636" s="80" t="s">
        <v>20380</v>
      </c>
      <c r="BB636" s="80" t="s">
        <v>20380</v>
      </c>
      <c r="BC636" s="80" t="s">
        <v>16596</v>
      </c>
      <c r="BD636" s="80" t="s">
        <v>20617</v>
      </c>
      <c r="BE636" s="77"/>
      <c r="BF636" s="77"/>
      <c r="BG636" s="77"/>
      <c r="BH636" s="77"/>
      <c r="BI636" s="77"/>
    </row>
    <row r="637" spans="1:61" x14ac:dyDescent="0.25">
      <c r="A637" s="62" t="s">
        <v>478</v>
      </c>
      <c r="B637" s="62" t="s">
        <v>478</v>
      </c>
      <c r="C637" s="63"/>
      <c r="D637" s="64"/>
      <c r="E637" s="65"/>
      <c r="F637" s="66"/>
      <c r="G637" s="63"/>
      <c r="H637" s="67"/>
      <c r="I637" s="68"/>
      <c r="J637" s="68"/>
      <c r="K637" s="32"/>
      <c r="L637" s="75">
        <v>637</v>
      </c>
      <c r="M637" s="75"/>
      <c r="N637" s="70"/>
      <c r="O637" s="77" t="s">
        <v>179</v>
      </c>
      <c r="P637" s="79">
        <v>45097.541724537034</v>
      </c>
      <c r="Q637" s="77" t="s">
        <v>2645</v>
      </c>
      <c r="R637" s="77">
        <v>0</v>
      </c>
      <c r="S637" s="77">
        <v>1</v>
      </c>
      <c r="T637" s="77">
        <v>0</v>
      </c>
      <c r="U637" s="77">
        <v>0</v>
      </c>
      <c r="V637" s="77">
        <v>24</v>
      </c>
      <c r="W637" s="80" t="s">
        <v>6351</v>
      </c>
      <c r="X637" s="83" t="str">
        <f>HYPERLINK("https://buff.ly/445Ua4D")</f>
        <v>https://buff.ly/445Ua4D</v>
      </c>
      <c r="Y637" s="77" t="s">
        <v>8617</v>
      </c>
      <c r="Z637" s="77"/>
      <c r="AA637" s="77" t="s">
        <v>9214</v>
      </c>
      <c r="AB637" s="77" t="s">
        <v>10535</v>
      </c>
      <c r="AC637" s="80" t="s">
        <v>10545</v>
      </c>
      <c r="AD637" s="77" t="s">
        <v>10617</v>
      </c>
      <c r="AE637" s="83" t="str">
        <f>HYPERLINK("https://twitter.com/moneymarkets_br/status/1671140865622810626")</f>
        <v>https://twitter.com/moneymarkets_br/status/1671140865622810626</v>
      </c>
      <c r="AF637" s="79">
        <v>45097.541724537034</v>
      </c>
      <c r="AG637" s="85">
        <v>45097</v>
      </c>
      <c r="AH637" s="80" t="s">
        <v>11207</v>
      </c>
      <c r="AI637" s="77" t="b">
        <v>0</v>
      </c>
      <c r="AJ637" s="77"/>
      <c r="AK637" s="77"/>
      <c r="AL637" s="77"/>
      <c r="AM637" s="77"/>
      <c r="AN637" s="77"/>
      <c r="AO637" s="77"/>
      <c r="AP637" s="77"/>
      <c r="AQ637" s="77" t="s">
        <v>14696</v>
      </c>
      <c r="AR637" s="77"/>
      <c r="AS637" s="77"/>
      <c r="AT637" s="77"/>
      <c r="AU637" s="77"/>
      <c r="AV637" s="83" t="str">
        <f>HYPERLINK("https://pbs.twimg.com/media/FzEVwjUWIAMHpjN.jpg")</f>
        <v>https://pbs.twimg.com/media/FzEVwjUWIAMHpjN.jpg</v>
      </c>
      <c r="AW637" s="80" t="s">
        <v>16597</v>
      </c>
      <c r="AX637" s="80" t="s">
        <v>16597</v>
      </c>
      <c r="AY637" s="77"/>
      <c r="AZ637" s="80" t="s">
        <v>20380</v>
      </c>
      <c r="BA637" s="80" t="s">
        <v>20380</v>
      </c>
      <c r="BB637" s="80" t="s">
        <v>20380</v>
      </c>
      <c r="BC637" s="80" t="s">
        <v>16597</v>
      </c>
      <c r="BD637" s="80" t="s">
        <v>20617</v>
      </c>
      <c r="BE637" s="77"/>
      <c r="BF637" s="77"/>
      <c r="BG637" s="77"/>
      <c r="BH637" s="77"/>
      <c r="BI637" s="77"/>
    </row>
    <row r="638" spans="1:61" x14ac:dyDescent="0.25">
      <c r="A638" s="62" t="s">
        <v>479</v>
      </c>
      <c r="B638" s="62" t="s">
        <v>1425</v>
      </c>
      <c r="C638" s="63"/>
      <c r="D638" s="64"/>
      <c r="E638" s="65"/>
      <c r="F638" s="66"/>
      <c r="G638" s="63"/>
      <c r="H638" s="67"/>
      <c r="I638" s="68"/>
      <c r="J638" s="68"/>
      <c r="K638" s="32"/>
      <c r="L638" s="75">
        <v>638</v>
      </c>
      <c r="M638" s="75"/>
      <c r="N638" s="70"/>
      <c r="O638" s="77" t="s">
        <v>2083</v>
      </c>
      <c r="P638" s="79">
        <v>45194.929571759261</v>
      </c>
      <c r="Q638" s="77" t="s">
        <v>2640</v>
      </c>
      <c r="R638" s="77">
        <v>6</v>
      </c>
      <c r="S638" s="77">
        <v>0</v>
      </c>
      <c r="T638" s="77">
        <v>0</v>
      </c>
      <c r="U638" s="77">
        <v>0</v>
      </c>
      <c r="V638" s="77"/>
      <c r="W638" s="80" t="s">
        <v>6346</v>
      </c>
      <c r="X638" s="77"/>
      <c r="Y638" s="77"/>
      <c r="Z638" s="77" t="s">
        <v>1425</v>
      </c>
      <c r="AA638" s="77"/>
      <c r="AB638" s="77"/>
      <c r="AC638" s="80" t="s">
        <v>10541</v>
      </c>
      <c r="AD638" s="77" t="s">
        <v>10620</v>
      </c>
      <c r="AE638" s="83" t="str">
        <f>HYPERLINK("https://twitter.com/maribel_036/status/1706433040526737755")</f>
        <v>https://twitter.com/maribel_036/status/1706433040526737755</v>
      </c>
      <c r="AF638" s="79">
        <v>45194.929571759261</v>
      </c>
      <c r="AG638" s="85">
        <v>45194</v>
      </c>
      <c r="AH638" s="80" t="s">
        <v>11208</v>
      </c>
      <c r="AI638" s="77"/>
      <c r="AJ638" s="77"/>
      <c r="AK638" s="77"/>
      <c r="AL638" s="77"/>
      <c r="AM638" s="77"/>
      <c r="AN638" s="77"/>
      <c r="AO638" s="77"/>
      <c r="AP638" s="77"/>
      <c r="AQ638" s="77"/>
      <c r="AR638" s="77"/>
      <c r="AS638" s="77"/>
      <c r="AT638" s="77"/>
      <c r="AU638" s="77"/>
      <c r="AV638" s="83" t="str">
        <f>HYPERLINK("https://pbs.twimg.com/profile_images/1652842304233717762/voTDspqo_normal.jpg")</f>
        <v>https://pbs.twimg.com/profile_images/1652842304233717762/voTDspqo_normal.jpg</v>
      </c>
      <c r="AW638" s="80" t="s">
        <v>16598</v>
      </c>
      <c r="AX638" s="80" t="s">
        <v>16598</v>
      </c>
      <c r="AY638" s="77"/>
      <c r="AZ638" s="80" t="s">
        <v>20380</v>
      </c>
      <c r="BA638" s="80" t="s">
        <v>20380</v>
      </c>
      <c r="BB638" s="80" t="s">
        <v>19289</v>
      </c>
      <c r="BC638" s="80" t="s">
        <v>19289</v>
      </c>
      <c r="BD638" s="80" t="s">
        <v>20618</v>
      </c>
      <c r="BE638" s="77"/>
      <c r="BF638" s="77"/>
      <c r="BG638" s="77"/>
      <c r="BH638" s="77"/>
      <c r="BI638" s="77"/>
    </row>
    <row r="639" spans="1:61" x14ac:dyDescent="0.25">
      <c r="A639" s="62" t="s">
        <v>480</v>
      </c>
      <c r="B639" s="62" t="s">
        <v>480</v>
      </c>
      <c r="C639" s="63"/>
      <c r="D639" s="64"/>
      <c r="E639" s="65"/>
      <c r="F639" s="66"/>
      <c r="G639" s="63"/>
      <c r="H639" s="67"/>
      <c r="I639" s="68"/>
      <c r="J639" s="68"/>
      <c r="K639" s="32"/>
      <c r="L639" s="75">
        <v>639</v>
      </c>
      <c r="M639" s="75"/>
      <c r="N639" s="70"/>
      <c r="O639" s="77" t="s">
        <v>179</v>
      </c>
      <c r="P639" s="79">
        <v>45057.500011574077</v>
      </c>
      <c r="Q639" s="77" t="s">
        <v>2646</v>
      </c>
      <c r="R639" s="77">
        <v>0</v>
      </c>
      <c r="S639" s="77">
        <v>0</v>
      </c>
      <c r="T639" s="77">
        <v>0</v>
      </c>
      <c r="U639" s="77">
        <v>0</v>
      </c>
      <c r="V639" s="77">
        <v>17</v>
      </c>
      <c r="W639" s="80" t="s">
        <v>6352</v>
      </c>
      <c r="X639" s="83" t="str">
        <f>HYPERLINK("https://youtu.be/l1TjPhIW3Ow")</f>
        <v>https://youtu.be/l1TjPhIW3Ow</v>
      </c>
      <c r="Y639" s="77" t="s">
        <v>8635</v>
      </c>
      <c r="Z639" s="77"/>
      <c r="AA639" s="77" t="s">
        <v>9215</v>
      </c>
      <c r="AB639" s="77" t="s">
        <v>10534</v>
      </c>
      <c r="AC639" s="80" t="s">
        <v>10541</v>
      </c>
      <c r="AD639" s="77" t="s">
        <v>10617</v>
      </c>
      <c r="AE639" s="83" t="str">
        <f>HYPERLINK("https://twitter.com/jmjornalmetrop/status/1656630233510936578")</f>
        <v>https://twitter.com/jmjornalmetrop/status/1656630233510936578</v>
      </c>
      <c r="AF639" s="79">
        <v>45057.500011574077</v>
      </c>
      <c r="AG639" s="85">
        <v>45057</v>
      </c>
      <c r="AH639" s="80" t="s">
        <v>11209</v>
      </c>
      <c r="AI639" s="77" t="b">
        <v>0</v>
      </c>
      <c r="AJ639" s="77"/>
      <c r="AK639" s="77"/>
      <c r="AL639" s="77"/>
      <c r="AM639" s="77"/>
      <c r="AN639" s="77"/>
      <c r="AO639" s="77"/>
      <c r="AP639" s="77"/>
      <c r="AQ639" s="77" t="s">
        <v>14697</v>
      </c>
      <c r="AR639" s="77">
        <v>33994</v>
      </c>
      <c r="AS639" s="77"/>
      <c r="AT639" s="77"/>
      <c r="AU639" s="77"/>
      <c r="AV639" s="83" t="str">
        <f>HYPERLINK("https://pbs.twimg.com/ext_tw_video_thumb/1655340594980331520/pu/img/qClTZH1iNWKpzo6r.jpg")</f>
        <v>https://pbs.twimg.com/ext_tw_video_thumb/1655340594980331520/pu/img/qClTZH1iNWKpzo6r.jpg</v>
      </c>
      <c r="AW639" s="80" t="s">
        <v>16599</v>
      </c>
      <c r="AX639" s="80" t="s">
        <v>16599</v>
      </c>
      <c r="AY639" s="77"/>
      <c r="AZ639" s="80" t="s">
        <v>20380</v>
      </c>
      <c r="BA639" s="80" t="s">
        <v>20380</v>
      </c>
      <c r="BB639" s="80" t="s">
        <v>20380</v>
      </c>
      <c r="BC639" s="80" t="s">
        <v>16599</v>
      </c>
      <c r="BD639" s="80" t="s">
        <v>20619</v>
      </c>
      <c r="BE639" s="77"/>
      <c r="BF639" s="77"/>
      <c r="BG639" s="77"/>
      <c r="BH639" s="77"/>
      <c r="BI639" s="77"/>
    </row>
    <row r="640" spans="1:61" x14ac:dyDescent="0.25">
      <c r="A640" s="62" t="s">
        <v>480</v>
      </c>
      <c r="B640" s="62" t="s">
        <v>480</v>
      </c>
      <c r="C640" s="63"/>
      <c r="D640" s="64"/>
      <c r="E640" s="65"/>
      <c r="F640" s="66"/>
      <c r="G640" s="63"/>
      <c r="H640" s="67"/>
      <c r="I640" s="68"/>
      <c r="J640" s="68"/>
      <c r="K640" s="32"/>
      <c r="L640" s="75">
        <v>640</v>
      </c>
      <c r="M640" s="75"/>
      <c r="N640" s="70"/>
      <c r="O640" s="77" t="s">
        <v>179</v>
      </c>
      <c r="P640" s="79">
        <v>45154.000011574077</v>
      </c>
      <c r="Q640" s="77" t="s">
        <v>2647</v>
      </c>
      <c r="R640" s="77">
        <v>0</v>
      </c>
      <c r="S640" s="77">
        <v>0</v>
      </c>
      <c r="T640" s="77">
        <v>0</v>
      </c>
      <c r="U640" s="77">
        <v>0</v>
      </c>
      <c r="V640" s="77">
        <v>40</v>
      </c>
      <c r="W640" s="80" t="s">
        <v>6353</v>
      </c>
      <c r="X640" s="83" t="str">
        <f>HYPERLINK("http://Instagram.com/jmjornalmetropolitano/")</f>
        <v>http://Instagram.com/jmjornalmetropolitano/</v>
      </c>
      <c r="Y640" s="77" t="s">
        <v>8630</v>
      </c>
      <c r="Z640" s="77"/>
      <c r="AA640" s="77" t="s">
        <v>9216</v>
      </c>
      <c r="AB640" s="77" t="s">
        <v>10535</v>
      </c>
      <c r="AC640" s="80" t="s">
        <v>10541</v>
      </c>
      <c r="AD640" s="77" t="s">
        <v>10617</v>
      </c>
      <c r="AE640" s="83" t="str">
        <f>HYPERLINK("https://twitter.com/jmjornalmetrop/status/1691600664030536157")</f>
        <v>https://twitter.com/jmjornalmetrop/status/1691600664030536157</v>
      </c>
      <c r="AF640" s="79">
        <v>45154.000011574077</v>
      </c>
      <c r="AG640" s="85">
        <v>45154</v>
      </c>
      <c r="AH640" s="80" t="s">
        <v>11210</v>
      </c>
      <c r="AI640" s="77" t="b">
        <v>0</v>
      </c>
      <c r="AJ640" s="77"/>
      <c r="AK640" s="77"/>
      <c r="AL640" s="77"/>
      <c r="AM640" s="77"/>
      <c r="AN640" s="77"/>
      <c r="AO640" s="77"/>
      <c r="AP640" s="77"/>
      <c r="AQ640" s="77" t="s">
        <v>14698</v>
      </c>
      <c r="AR640" s="77"/>
      <c r="AS640" s="77"/>
      <c r="AT640" s="77"/>
      <c r="AU640" s="77"/>
      <c r="AV640" s="83" t="str">
        <f>HYPERLINK("https://pbs.twimg.com/media/F3gJ89GW0AEmjmW.jpg")</f>
        <v>https://pbs.twimg.com/media/F3gJ89GW0AEmjmW.jpg</v>
      </c>
      <c r="AW640" s="80" t="s">
        <v>16600</v>
      </c>
      <c r="AX640" s="80" t="s">
        <v>16600</v>
      </c>
      <c r="AY640" s="77"/>
      <c r="AZ640" s="80" t="s">
        <v>20380</v>
      </c>
      <c r="BA640" s="80" t="s">
        <v>20380</v>
      </c>
      <c r="BB640" s="80" t="s">
        <v>20380</v>
      </c>
      <c r="BC640" s="80" t="s">
        <v>16600</v>
      </c>
      <c r="BD640" s="80" t="s">
        <v>20619</v>
      </c>
      <c r="BE640" s="77"/>
      <c r="BF640" s="77"/>
      <c r="BG640" s="77"/>
      <c r="BH640" s="77"/>
      <c r="BI640" s="77"/>
    </row>
    <row r="641" spans="1:61" x14ac:dyDescent="0.25">
      <c r="A641" s="62" t="s">
        <v>480</v>
      </c>
      <c r="B641" s="62" t="s">
        <v>480</v>
      </c>
      <c r="C641" s="63"/>
      <c r="D641" s="64"/>
      <c r="E641" s="65"/>
      <c r="F641" s="66"/>
      <c r="G641" s="63"/>
      <c r="H641" s="67"/>
      <c r="I641" s="68"/>
      <c r="J641" s="68"/>
      <c r="K641" s="32"/>
      <c r="L641" s="75">
        <v>641</v>
      </c>
      <c r="M641" s="75"/>
      <c r="N641" s="70"/>
      <c r="O641" s="77" t="s">
        <v>179</v>
      </c>
      <c r="P641" s="79">
        <v>45146.958344907405</v>
      </c>
      <c r="Q641" s="77" t="s">
        <v>2648</v>
      </c>
      <c r="R641" s="77">
        <v>0</v>
      </c>
      <c r="S641" s="77">
        <v>0</v>
      </c>
      <c r="T641" s="77">
        <v>0</v>
      </c>
      <c r="U641" s="77">
        <v>0</v>
      </c>
      <c r="V641" s="77">
        <v>40</v>
      </c>
      <c r="W641" s="80" t="s">
        <v>6354</v>
      </c>
      <c r="X641" s="83" t="str">
        <f>HYPERLINK("http://Instagram.com/jmjornalmetropolitano/")</f>
        <v>http://Instagram.com/jmjornalmetropolitano/</v>
      </c>
      <c r="Y641" s="77" t="s">
        <v>8630</v>
      </c>
      <c r="Z641" s="77"/>
      <c r="AA641" s="77" t="s">
        <v>9217</v>
      </c>
      <c r="AB641" s="77" t="s">
        <v>10536</v>
      </c>
      <c r="AC641" s="80" t="s">
        <v>10541</v>
      </c>
      <c r="AD641" s="77" t="s">
        <v>10617</v>
      </c>
      <c r="AE641" s="83" t="str">
        <f>HYPERLINK("https://twitter.com/jmjornalmetrop/status/1689048848746909696")</f>
        <v>https://twitter.com/jmjornalmetrop/status/1689048848746909696</v>
      </c>
      <c r="AF641" s="79">
        <v>45146.958344907405</v>
      </c>
      <c r="AG641" s="85">
        <v>45146</v>
      </c>
      <c r="AH641" s="80" t="s">
        <v>11211</v>
      </c>
      <c r="AI641" s="77" t="b">
        <v>0</v>
      </c>
      <c r="AJ641" s="77"/>
      <c r="AK641" s="77"/>
      <c r="AL641" s="77"/>
      <c r="AM641" s="77"/>
      <c r="AN641" s="77"/>
      <c r="AO641" s="77"/>
      <c r="AP641" s="77"/>
      <c r="AQ641" s="77" t="s">
        <v>14699</v>
      </c>
      <c r="AR641" s="77"/>
      <c r="AS641" s="77"/>
      <c r="AT641" s="77"/>
      <c r="AU641" s="77"/>
      <c r="AV641" s="83" t="str">
        <f>HYPERLINK("https://pbs.twimg.com/media/F22qhvKWkAAoW2G.jpg")</f>
        <v>https://pbs.twimg.com/media/F22qhvKWkAAoW2G.jpg</v>
      </c>
      <c r="AW641" s="80" t="s">
        <v>16601</v>
      </c>
      <c r="AX641" s="80" t="s">
        <v>16601</v>
      </c>
      <c r="AY641" s="77"/>
      <c r="AZ641" s="80" t="s">
        <v>20380</v>
      </c>
      <c r="BA641" s="80" t="s">
        <v>20380</v>
      </c>
      <c r="BB641" s="80" t="s">
        <v>20380</v>
      </c>
      <c r="BC641" s="80" t="s">
        <v>16601</v>
      </c>
      <c r="BD641" s="80" t="s">
        <v>20619</v>
      </c>
      <c r="BE641" s="77"/>
      <c r="BF641" s="77"/>
      <c r="BG641" s="77"/>
      <c r="BH641" s="77"/>
      <c r="BI641" s="77"/>
    </row>
    <row r="642" spans="1:61" x14ac:dyDescent="0.25">
      <c r="A642" s="62" t="s">
        <v>480</v>
      </c>
      <c r="B642" s="62" t="s">
        <v>480</v>
      </c>
      <c r="C642" s="63"/>
      <c r="D642" s="64"/>
      <c r="E642" s="65"/>
      <c r="F642" s="66"/>
      <c r="G642" s="63"/>
      <c r="H642" s="67"/>
      <c r="I642" s="68"/>
      <c r="J642" s="68"/>
      <c r="K642" s="32"/>
      <c r="L642" s="75">
        <v>642</v>
      </c>
      <c r="M642" s="75"/>
      <c r="N642" s="70"/>
      <c r="O642" s="77" t="s">
        <v>179</v>
      </c>
      <c r="P642" s="79">
        <v>45051.667361111111</v>
      </c>
      <c r="Q642" s="77" t="s">
        <v>2649</v>
      </c>
      <c r="R642" s="77">
        <v>0</v>
      </c>
      <c r="S642" s="77">
        <v>0</v>
      </c>
      <c r="T642" s="77">
        <v>0</v>
      </c>
      <c r="U642" s="77">
        <v>1</v>
      </c>
      <c r="V642" s="77">
        <v>108</v>
      </c>
      <c r="W642" s="80" t="s">
        <v>6355</v>
      </c>
      <c r="X642" s="77"/>
      <c r="Y642" s="77"/>
      <c r="Z642" s="77"/>
      <c r="AA642" s="77" t="s">
        <v>9218</v>
      </c>
      <c r="AB642" s="77" t="s">
        <v>10535</v>
      </c>
      <c r="AC642" s="80" t="s">
        <v>10541</v>
      </c>
      <c r="AD642" s="77" t="s">
        <v>10617</v>
      </c>
      <c r="AE642" s="83" t="str">
        <f>HYPERLINK("https://twitter.com/jmjornalmetrop/status/1654516552933285890")</f>
        <v>https://twitter.com/jmjornalmetrop/status/1654516552933285890</v>
      </c>
      <c r="AF642" s="79">
        <v>45051.667361111111</v>
      </c>
      <c r="AG642" s="85">
        <v>45051</v>
      </c>
      <c r="AH642" s="80" t="s">
        <v>11212</v>
      </c>
      <c r="AI642" s="77" t="b">
        <v>0</v>
      </c>
      <c r="AJ642" s="77"/>
      <c r="AK642" s="77"/>
      <c r="AL642" s="77"/>
      <c r="AM642" s="77"/>
      <c r="AN642" s="77"/>
      <c r="AO642" s="77"/>
      <c r="AP642" s="77"/>
      <c r="AQ642" s="77" t="s">
        <v>14700</v>
      </c>
      <c r="AR642" s="77"/>
      <c r="AS642" s="77"/>
      <c r="AT642" s="77"/>
      <c r="AU642" s="77"/>
      <c r="AV642" s="83" t="str">
        <f>HYPERLINK("https://pbs.twimg.com/media/FvU_5rRWIAQoNcZ.jpg")</f>
        <v>https://pbs.twimg.com/media/FvU_5rRWIAQoNcZ.jpg</v>
      </c>
      <c r="AW642" s="80" t="s">
        <v>16602</v>
      </c>
      <c r="AX642" s="80" t="s">
        <v>16602</v>
      </c>
      <c r="AY642" s="77"/>
      <c r="AZ642" s="80" t="s">
        <v>20380</v>
      </c>
      <c r="BA642" s="80" t="s">
        <v>20380</v>
      </c>
      <c r="BB642" s="80" t="s">
        <v>20380</v>
      </c>
      <c r="BC642" s="80" t="s">
        <v>16602</v>
      </c>
      <c r="BD642" s="80" t="s">
        <v>20619</v>
      </c>
      <c r="BE642" s="77"/>
      <c r="BF642" s="77"/>
      <c r="BG642" s="77"/>
      <c r="BH642" s="77"/>
      <c r="BI642" s="77"/>
    </row>
    <row r="643" spans="1:61" x14ac:dyDescent="0.25">
      <c r="A643" s="62" t="s">
        <v>481</v>
      </c>
      <c r="B643" s="62" t="s">
        <v>1681</v>
      </c>
      <c r="C643" s="63"/>
      <c r="D643" s="64"/>
      <c r="E643" s="65"/>
      <c r="F643" s="66"/>
      <c r="G643" s="63"/>
      <c r="H643" s="67"/>
      <c r="I643" s="68"/>
      <c r="J643" s="68"/>
      <c r="K643" s="32"/>
      <c r="L643" s="75">
        <v>643</v>
      </c>
      <c r="M643" s="75"/>
      <c r="N643" s="70"/>
      <c r="O643" s="77" t="s">
        <v>2083</v>
      </c>
      <c r="P643" s="79">
        <v>45189.914155092592</v>
      </c>
      <c r="Q643" s="77" t="s">
        <v>2237</v>
      </c>
      <c r="R643" s="77">
        <v>18</v>
      </c>
      <c r="S643" s="77">
        <v>0</v>
      </c>
      <c r="T643" s="77">
        <v>0</v>
      </c>
      <c r="U643" s="77">
        <v>0</v>
      </c>
      <c r="V643" s="77"/>
      <c r="W643" s="80" t="s">
        <v>6018</v>
      </c>
      <c r="X643" s="77"/>
      <c r="Y643" s="77"/>
      <c r="Z643" s="77" t="s">
        <v>1681</v>
      </c>
      <c r="AA643" s="77"/>
      <c r="AB643" s="77"/>
      <c r="AC643" s="80" t="s">
        <v>10540</v>
      </c>
      <c r="AD643" s="77" t="s">
        <v>10617</v>
      </c>
      <c r="AE643" s="83" t="str">
        <f>HYPERLINK("https://twitter.com/keumendess/status/1704615512976621709")</f>
        <v>https://twitter.com/keumendess/status/1704615512976621709</v>
      </c>
      <c r="AF643" s="79">
        <v>45189.914155092592</v>
      </c>
      <c r="AG643" s="85">
        <v>45189</v>
      </c>
      <c r="AH643" s="80" t="s">
        <v>11213</v>
      </c>
      <c r="AI643" s="77"/>
      <c r="AJ643" s="77"/>
      <c r="AK643" s="77"/>
      <c r="AL643" s="77"/>
      <c r="AM643" s="77"/>
      <c r="AN643" s="77"/>
      <c r="AO643" s="77"/>
      <c r="AP643" s="77"/>
      <c r="AQ643" s="77"/>
      <c r="AR643" s="77"/>
      <c r="AS643" s="77"/>
      <c r="AT643" s="77"/>
      <c r="AU643" s="77"/>
      <c r="AV643" s="83" t="str">
        <f>HYPERLINK("https://pbs.twimg.com/profile_images/1647438672277524481/aGYUNjd1_normal.jpg")</f>
        <v>https://pbs.twimg.com/profile_images/1647438672277524481/aGYUNjd1_normal.jpg</v>
      </c>
      <c r="AW643" s="80" t="s">
        <v>16603</v>
      </c>
      <c r="AX643" s="80" t="s">
        <v>16603</v>
      </c>
      <c r="AY643" s="77"/>
      <c r="AZ643" s="80" t="s">
        <v>20380</v>
      </c>
      <c r="BA643" s="80" t="s">
        <v>20380</v>
      </c>
      <c r="BB643" s="80" t="s">
        <v>19932</v>
      </c>
      <c r="BC643" s="80" t="s">
        <v>19932</v>
      </c>
      <c r="BD643" s="80" t="s">
        <v>20620</v>
      </c>
      <c r="BE643" s="77"/>
      <c r="BF643" s="77"/>
      <c r="BG643" s="77"/>
      <c r="BH643" s="77"/>
      <c r="BI643" s="77"/>
    </row>
    <row r="644" spans="1:61" x14ac:dyDescent="0.25">
      <c r="A644" s="62" t="s">
        <v>482</v>
      </c>
      <c r="B644" s="62" t="s">
        <v>1655</v>
      </c>
      <c r="C644" s="63"/>
      <c r="D644" s="64"/>
      <c r="E644" s="65"/>
      <c r="F644" s="66"/>
      <c r="G644" s="63"/>
      <c r="H644" s="67"/>
      <c r="I644" s="68"/>
      <c r="J644" s="68"/>
      <c r="K644" s="32"/>
      <c r="L644" s="75">
        <v>644</v>
      </c>
      <c r="M644" s="75"/>
      <c r="N644" s="70"/>
      <c r="O644" s="77" t="s">
        <v>2083</v>
      </c>
      <c r="P644" s="79">
        <v>45192.63181712963</v>
      </c>
      <c r="Q644" s="77" t="s">
        <v>2120</v>
      </c>
      <c r="R644" s="77">
        <v>57</v>
      </c>
      <c r="S644" s="77">
        <v>0</v>
      </c>
      <c r="T644" s="77">
        <v>0</v>
      </c>
      <c r="U644" s="77">
        <v>0</v>
      </c>
      <c r="V644" s="77"/>
      <c r="W644" s="80" t="s">
        <v>5917</v>
      </c>
      <c r="X644" s="77"/>
      <c r="Y644" s="77"/>
      <c r="Z644" s="77" t="s">
        <v>1655</v>
      </c>
      <c r="AA644" s="77"/>
      <c r="AB644" s="77"/>
      <c r="AC644" s="80" t="s">
        <v>10540</v>
      </c>
      <c r="AD644" s="77" t="s">
        <v>10617</v>
      </c>
      <c r="AE644" s="83" t="str">
        <f>HYPERLINK("https://twitter.com/sergiovillanov4/status/1705600360390230151")</f>
        <v>https://twitter.com/sergiovillanov4/status/1705600360390230151</v>
      </c>
      <c r="AF644" s="79">
        <v>45192.63181712963</v>
      </c>
      <c r="AG644" s="85">
        <v>45192</v>
      </c>
      <c r="AH644" s="80" t="s">
        <v>11214</v>
      </c>
      <c r="AI644" s="77"/>
      <c r="AJ644" s="77"/>
      <c r="AK644" s="77"/>
      <c r="AL644" s="77"/>
      <c r="AM644" s="77"/>
      <c r="AN644" s="77"/>
      <c r="AO644" s="77"/>
      <c r="AP644" s="77"/>
      <c r="AQ644" s="77"/>
      <c r="AR644" s="77"/>
      <c r="AS644" s="77"/>
      <c r="AT644" s="77"/>
      <c r="AU644" s="77"/>
      <c r="AV644" s="83" t="str">
        <f>HYPERLINK("https://pbs.twimg.com/profile_images/1388525167454957570/h4VU4DUZ_normal.jpg")</f>
        <v>https://pbs.twimg.com/profile_images/1388525167454957570/h4VU4DUZ_normal.jpg</v>
      </c>
      <c r="AW644" s="80" t="s">
        <v>16604</v>
      </c>
      <c r="AX644" s="80" t="s">
        <v>16604</v>
      </c>
      <c r="AY644" s="77"/>
      <c r="AZ644" s="80" t="s">
        <v>20380</v>
      </c>
      <c r="BA644" s="80" t="s">
        <v>20380</v>
      </c>
      <c r="BB644" s="80" t="s">
        <v>19843</v>
      </c>
      <c r="BC644" s="80" t="s">
        <v>19843</v>
      </c>
      <c r="BD644" s="80" t="s">
        <v>20621</v>
      </c>
      <c r="BE644" s="77"/>
      <c r="BF644" s="77"/>
      <c r="BG644" s="77"/>
      <c r="BH644" s="77"/>
      <c r="BI644" s="77"/>
    </row>
    <row r="645" spans="1:61" x14ac:dyDescent="0.25">
      <c r="A645" s="62" t="s">
        <v>483</v>
      </c>
      <c r="B645" s="62" t="s">
        <v>483</v>
      </c>
      <c r="C645" s="63"/>
      <c r="D645" s="64"/>
      <c r="E645" s="65"/>
      <c r="F645" s="66"/>
      <c r="G645" s="63"/>
      <c r="H645" s="67"/>
      <c r="I645" s="68"/>
      <c r="J645" s="68"/>
      <c r="K645" s="32"/>
      <c r="L645" s="75">
        <v>645</v>
      </c>
      <c r="M645" s="75"/>
      <c r="N645" s="70"/>
      <c r="O645" s="77" t="s">
        <v>179</v>
      </c>
      <c r="P645" s="79">
        <v>45051.937696759262</v>
      </c>
      <c r="Q645" s="77" t="s">
        <v>2650</v>
      </c>
      <c r="R645" s="77">
        <v>0</v>
      </c>
      <c r="S645" s="77">
        <v>1</v>
      </c>
      <c r="T645" s="77">
        <v>0</v>
      </c>
      <c r="U645" s="77">
        <v>0</v>
      </c>
      <c r="V645" s="77">
        <v>45</v>
      </c>
      <c r="W645" s="80" t="s">
        <v>6356</v>
      </c>
      <c r="X645" s="77"/>
      <c r="Y645" s="77"/>
      <c r="Z645" s="77"/>
      <c r="AA645" s="77"/>
      <c r="AB645" s="77"/>
      <c r="AC645" s="80" t="s">
        <v>10541</v>
      </c>
      <c r="AD645" s="77" t="s">
        <v>10617</v>
      </c>
      <c r="AE645" s="83" t="str">
        <f>HYPERLINK("https://twitter.com/leydsonti/status/1654614521158279169")</f>
        <v>https://twitter.com/leydsonti/status/1654614521158279169</v>
      </c>
      <c r="AF645" s="79">
        <v>45051.937696759262</v>
      </c>
      <c r="AG645" s="85">
        <v>45051</v>
      </c>
      <c r="AH645" s="80" t="s">
        <v>11215</v>
      </c>
      <c r="AI645" s="77"/>
      <c r="AJ645" s="77"/>
      <c r="AK645" s="77"/>
      <c r="AL645" s="77"/>
      <c r="AM645" s="77"/>
      <c r="AN645" s="77"/>
      <c r="AO645" s="77"/>
      <c r="AP645" s="77"/>
      <c r="AQ645" s="77"/>
      <c r="AR645" s="77"/>
      <c r="AS645" s="77"/>
      <c r="AT645" s="77"/>
      <c r="AU645" s="77"/>
      <c r="AV645" s="83" t="str">
        <f>HYPERLINK("https://pbs.twimg.com/profile_images/491008923802275841/JQkFuZct_normal.jpeg")</f>
        <v>https://pbs.twimg.com/profile_images/491008923802275841/JQkFuZct_normal.jpeg</v>
      </c>
      <c r="AW645" s="80" t="s">
        <v>16605</v>
      </c>
      <c r="AX645" s="80" t="s">
        <v>16605</v>
      </c>
      <c r="AY645" s="77"/>
      <c r="AZ645" s="80" t="s">
        <v>20380</v>
      </c>
      <c r="BA645" s="80" t="s">
        <v>20380</v>
      </c>
      <c r="BB645" s="80" t="s">
        <v>20380</v>
      </c>
      <c r="BC645" s="80" t="s">
        <v>16605</v>
      </c>
      <c r="BD645" s="77">
        <v>453970260</v>
      </c>
      <c r="BE645" s="77"/>
      <c r="BF645" s="77"/>
      <c r="BG645" s="77"/>
      <c r="BH645" s="77"/>
      <c r="BI645" s="77"/>
    </row>
    <row r="646" spans="1:61" x14ac:dyDescent="0.25">
      <c r="A646" s="62" t="s">
        <v>484</v>
      </c>
      <c r="B646" s="62" t="s">
        <v>1770</v>
      </c>
      <c r="C646" s="63"/>
      <c r="D646" s="64"/>
      <c r="E646" s="65"/>
      <c r="F646" s="66"/>
      <c r="G646" s="63"/>
      <c r="H646" s="67"/>
      <c r="I646" s="68"/>
      <c r="J646" s="68"/>
      <c r="K646" s="32"/>
      <c r="L646" s="75">
        <v>646</v>
      </c>
      <c r="M646" s="75"/>
      <c r="N646" s="70"/>
      <c r="O646" s="77" t="s">
        <v>2081</v>
      </c>
      <c r="P646" s="79">
        <v>45083.58625</v>
      </c>
      <c r="Q646" s="77" t="s">
        <v>2651</v>
      </c>
      <c r="R646" s="77">
        <v>1</v>
      </c>
      <c r="S646" s="77">
        <v>2</v>
      </c>
      <c r="T646" s="77">
        <v>0</v>
      </c>
      <c r="U646" s="77">
        <v>0</v>
      </c>
      <c r="V646" s="77">
        <v>234</v>
      </c>
      <c r="W646" s="80" t="s">
        <v>6357</v>
      </c>
      <c r="X646" s="77"/>
      <c r="Y646" s="77"/>
      <c r="Z646" s="77" t="s">
        <v>8925</v>
      </c>
      <c r="AA646" s="77" t="s">
        <v>9219</v>
      </c>
      <c r="AB646" s="77" t="s">
        <v>10535</v>
      </c>
      <c r="AC646" s="80" t="s">
        <v>10540</v>
      </c>
      <c r="AD646" s="77" t="s">
        <v>10620</v>
      </c>
      <c r="AE646" s="83" t="str">
        <f>HYPERLINK("https://twitter.com/trukamelo/status/1666083572774744073")</f>
        <v>https://twitter.com/trukamelo/status/1666083572774744073</v>
      </c>
      <c r="AF646" s="79">
        <v>45083.58625</v>
      </c>
      <c r="AG646" s="85">
        <v>45083</v>
      </c>
      <c r="AH646" s="80" t="s">
        <v>11216</v>
      </c>
      <c r="AI646" s="77" t="b">
        <v>0</v>
      </c>
      <c r="AJ646" s="77"/>
      <c r="AK646" s="77"/>
      <c r="AL646" s="77"/>
      <c r="AM646" s="77"/>
      <c r="AN646" s="77"/>
      <c r="AO646" s="77"/>
      <c r="AP646" s="77"/>
      <c r="AQ646" s="77" t="s">
        <v>14701</v>
      </c>
      <c r="AR646" s="77"/>
      <c r="AS646" s="77"/>
      <c r="AT646" s="77"/>
      <c r="AU646" s="77"/>
      <c r="AV646" s="83" t="str">
        <f>HYPERLINK("https://pbs.twimg.com/media/Fx8eLfraIAMR25w.jpg")</f>
        <v>https://pbs.twimg.com/media/Fx8eLfraIAMR25w.jpg</v>
      </c>
      <c r="AW646" s="80" t="s">
        <v>16606</v>
      </c>
      <c r="AX646" s="80" t="s">
        <v>16606</v>
      </c>
      <c r="AY646" s="77"/>
      <c r="AZ646" s="80" t="s">
        <v>20380</v>
      </c>
      <c r="BA646" s="80" t="s">
        <v>20380</v>
      </c>
      <c r="BB646" s="80" t="s">
        <v>20380</v>
      </c>
      <c r="BC646" s="80" t="s">
        <v>16606</v>
      </c>
      <c r="BD646" s="80" t="s">
        <v>20622</v>
      </c>
      <c r="BE646" s="77"/>
      <c r="BF646" s="77"/>
      <c r="BG646" s="77"/>
      <c r="BH646" s="77"/>
      <c r="BI646" s="77"/>
    </row>
    <row r="647" spans="1:61" x14ac:dyDescent="0.25">
      <c r="A647" s="62" t="s">
        <v>484</v>
      </c>
      <c r="B647" s="62" t="s">
        <v>1771</v>
      </c>
      <c r="C647" s="63"/>
      <c r="D647" s="64"/>
      <c r="E647" s="65"/>
      <c r="F647" s="66"/>
      <c r="G647" s="63"/>
      <c r="H647" s="67"/>
      <c r="I647" s="68"/>
      <c r="J647" s="68"/>
      <c r="K647" s="32"/>
      <c r="L647" s="75">
        <v>647</v>
      </c>
      <c r="M647" s="75"/>
      <c r="N647" s="70"/>
      <c r="O647" s="77" t="s">
        <v>2081</v>
      </c>
      <c r="P647" s="79">
        <v>45152.628425925926</v>
      </c>
      <c r="Q647" s="77" t="s">
        <v>2652</v>
      </c>
      <c r="R647" s="77">
        <v>1</v>
      </c>
      <c r="S647" s="77">
        <v>4</v>
      </c>
      <c r="T647" s="77">
        <v>0</v>
      </c>
      <c r="U647" s="77">
        <v>0</v>
      </c>
      <c r="V647" s="77">
        <v>116</v>
      </c>
      <c r="W647" s="80" t="s">
        <v>6358</v>
      </c>
      <c r="X647" s="77"/>
      <c r="Y647" s="77"/>
      <c r="Z647" s="77" t="s">
        <v>8926</v>
      </c>
      <c r="AA647" s="77" t="s">
        <v>9220</v>
      </c>
      <c r="AB647" s="77" t="s">
        <v>10535</v>
      </c>
      <c r="AC647" s="80" t="s">
        <v>10540</v>
      </c>
      <c r="AD647" s="77" t="s">
        <v>10620</v>
      </c>
      <c r="AE647" s="83" t="str">
        <f>HYPERLINK("https://twitter.com/trukamelo/status/1691103619829903360")</f>
        <v>https://twitter.com/trukamelo/status/1691103619829903360</v>
      </c>
      <c r="AF647" s="79">
        <v>45152.628425925926</v>
      </c>
      <c r="AG647" s="85">
        <v>45152</v>
      </c>
      <c r="AH647" s="80" t="s">
        <v>11217</v>
      </c>
      <c r="AI647" s="77" t="b">
        <v>0</v>
      </c>
      <c r="AJ647" s="77"/>
      <c r="AK647" s="77"/>
      <c r="AL647" s="77"/>
      <c r="AM647" s="77"/>
      <c r="AN647" s="77"/>
      <c r="AO647" s="77"/>
      <c r="AP647" s="77"/>
      <c r="AQ647" s="77" t="s">
        <v>14702</v>
      </c>
      <c r="AR647" s="77"/>
      <c r="AS647" s="77"/>
      <c r="AT647" s="77"/>
      <c r="AU647" s="77"/>
      <c r="AV647" s="83" t="str">
        <f>HYPERLINK("https://pbs.twimg.com/media/F3gBxnzXIAAXG-3.jpg")</f>
        <v>https://pbs.twimg.com/media/F3gBxnzXIAAXG-3.jpg</v>
      </c>
      <c r="AW647" s="80" t="s">
        <v>16607</v>
      </c>
      <c r="AX647" s="80" t="s">
        <v>16607</v>
      </c>
      <c r="AY647" s="77"/>
      <c r="AZ647" s="80" t="s">
        <v>20380</v>
      </c>
      <c r="BA647" s="80" t="s">
        <v>20380</v>
      </c>
      <c r="BB647" s="80" t="s">
        <v>20380</v>
      </c>
      <c r="BC647" s="80" t="s">
        <v>16607</v>
      </c>
      <c r="BD647" s="80" t="s">
        <v>20622</v>
      </c>
      <c r="BE647" s="77"/>
      <c r="BF647" s="77"/>
      <c r="BG647" s="77"/>
      <c r="BH647" s="77"/>
      <c r="BI647" s="77"/>
    </row>
    <row r="648" spans="1:61" x14ac:dyDescent="0.25">
      <c r="A648" s="62" t="s">
        <v>484</v>
      </c>
      <c r="B648" s="62" t="s">
        <v>1772</v>
      </c>
      <c r="C648" s="63"/>
      <c r="D648" s="64"/>
      <c r="E648" s="65"/>
      <c r="F648" s="66"/>
      <c r="G648" s="63"/>
      <c r="H648" s="67"/>
      <c r="I648" s="68"/>
      <c r="J648" s="68"/>
      <c r="K648" s="32"/>
      <c r="L648" s="75">
        <v>648</v>
      </c>
      <c r="M648" s="75"/>
      <c r="N648" s="70"/>
      <c r="O648" s="77" t="s">
        <v>2081</v>
      </c>
      <c r="P648" s="79">
        <v>45083.58625</v>
      </c>
      <c r="Q648" s="77" t="s">
        <v>2651</v>
      </c>
      <c r="R648" s="77">
        <v>1</v>
      </c>
      <c r="S648" s="77">
        <v>2</v>
      </c>
      <c r="T648" s="77">
        <v>0</v>
      </c>
      <c r="U648" s="77">
        <v>0</v>
      </c>
      <c r="V648" s="77">
        <v>234</v>
      </c>
      <c r="W648" s="80" t="s">
        <v>6357</v>
      </c>
      <c r="X648" s="77"/>
      <c r="Y648" s="77"/>
      <c r="Z648" s="77" t="s">
        <v>8925</v>
      </c>
      <c r="AA648" s="77" t="s">
        <v>9219</v>
      </c>
      <c r="AB648" s="77" t="s">
        <v>10535</v>
      </c>
      <c r="AC648" s="80" t="s">
        <v>10540</v>
      </c>
      <c r="AD648" s="77" t="s">
        <v>10620</v>
      </c>
      <c r="AE648" s="83" t="str">
        <f>HYPERLINK("https://twitter.com/trukamelo/status/1666083572774744073")</f>
        <v>https://twitter.com/trukamelo/status/1666083572774744073</v>
      </c>
      <c r="AF648" s="79">
        <v>45083.58625</v>
      </c>
      <c r="AG648" s="85">
        <v>45083</v>
      </c>
      <c r="AH648" s="80" t="s">
        <v>11216</v>
      </c>
      <c r="AI648" s="77" t="b">
        <v>0</v>
      </c>
      <c r="AJ648" s="77"/>
      <c r="AK648" s="77"/>
      <c r="AL648" s="77"/>
      <c r="AM648" s="77"/>
      <c r="AN648" s="77"/>
      <c r="AO648" s="77"/>
      <c r="AP648" s="77"/>
      <c r="AQ648" s="77" t="s">
        <v>14701</v>
      </c>
      <c r="AR648" s="77"/>
      <c r="AS648" s="77"/>
      <c r="AT648" s="77"/>
      <c r="AU648" s="77"/>
      <c r="AV648" s="83" t="str">
        <f>HYPERLINK("https://pbs.twimg.com/media/Fx8eLfraIAMR25w.jpg")</f>
        <v>https://pbs.twimg.com/media/Fx8eLfraIAMR25w.jpg</v>
      </c>
      <c r="AW648" s="80" t="s">
        <v>16606</v>
      </c>
      <c r="AX648" s="80" t="s">
        <v>16606</v>
      </c>
      <c r="AY648" s="77"/>
      <c r="AZ648" s="80" t="s">
        <v>20380</v>
      </c>
      <c r="BA648" s="80" t="s">
        <v>20380</v>
      </c>
      <c r="BB648" s="80" t="s">
        <v>20380</v>
      </c>
      <c r="BC648" s="80" t="s">
        <v>16606</v>
      </c>
      <c r="BD648" s="80" t="s">
        <v>20622</v>
      </c>
      <c r="BE648" s="77"/>
      <c r="BF648" s="77"/>
      <c r="BG648" s="77"/>
      <c r="BH648" s="77"/>
      <c r="BI648" s="77"/>
    </row>
    <row r="649" spans="1:61" x14ac:dyDescent="0.25">
      <c r="A649" s="62" t="s">
        <v>484</v>
      </c>
      <c r="B649" s="62" t="s">
        <v>1772</v>
      </c>
      <c r="C649" s="63"/>
      <c r="D649" s="64"/>
      <c r="E649" s="65"/>
      <c r="F649" s="66"/>
      <c r="G649" s="63"/>
      <c r="H649" s="67"/>
      <c r="I649" s="68"/>
      <c r="J649" s="68"/>
      <c r="K649" s="32"/>
      <c r="L649" s="75">
        <v>649</v>
      </c>
      <c r="M649" s="75"/>
      <c r="N649" s="70"/>
      <c r="O649" s="77" t="s">
        <v>2081</v>
      </c>
      <c r="P649" s="79">
        <v>45152.628425925926</v>
      </c>
      <c r="Q649" s="77" t="s">
        <v>2652</v>
      </c>
      <c r="R649" s="77">
        <v>1</v>
      </c>
      <c r="S649" s="77">
        <v>4</v>
      </c>
      <c r="T649" s="77">
        <v>0</v>
      </c>
      <c r="U649" s="77">
        <v>0</v>
      </c>
      <c r="V649" s="77">
        <v>116</v>
      </c>
      <c r="W649" s="80" t="s">
        <v>6358</v>
      </c>
      <c r="X649" s="77"/>
      <c r="Y649" s="77"/>
      <c r="Z649" s="77" t="s">
        <v>8926</v>
      </c>
      <c r="AA649" s="77" t="s">
        <v>9220</v>
      </c>
      <c r="AB649" s="77" t="s">
        <v>10535</v>
      </c>
      <c r="AC649" s="80" t="s">
        <v>10540</v>
      </c>
      <c r="AD649" s="77" t="s">
        <v>10620</v>
      </c>
      <c r="AE649" s="83" t="str">
        <f>HYPERLINK("https://twitter.com/trukamelo/status/1691103619829903360")</f>
        <v>https://twitter.com/trukamelo/status/1691103619829903360</v>
      </c>
      <c r="AF649" s="79">
        <v>45152.628425925926</v>
      </c>
      <c r="AG649" s="85">
        <v>45152</v>
      </c>
      <c r="AH649" s="80" t="s">
        <v>11217</v>
      </c>
      <c r="AI649" s="77" t="b">
        <v>0</v>
      </c>
      <c r="AJ649" s="77"/>
      <c r="AK649" s="77"/>
      <c r="AL649" s="77"/>
      <c r="AM649" s="77"/>
      <c r="AN649" s="77"/>
      <c r="AO649" s="77"/>
      <c r="AP649" s="77"/>
      <c r="AQ649" s="77" t="s">
        <v>14702</v>
      </c>
      <c r="AR649" s="77"/>
      <c r="AS649" s="77"/>
      <c r="AT649" s="77"/>
      <c r="AU649" s="77"/>
      <c r="AV649" s="83" t="str">
        <f>HYPERLINK("https://pbs.twimg.com/media/F3gBxnzXIAAXG-3.jpg")</f>
        <v>https://pbs.twimg.com/media/F3gBxnzXIAAXG-3.jpg</v>
      </c>
      <c r="AW649" s="80" t="s">
        <v>16607</v>
      </c>
      <c r="AX649" s="80" t="s">
        <v>16607</v>
      </c>
      <c r="AY649" s="77"/>
      <c r="AZ649" s="80" t="s">
        <v>20380</v>
      </c>
      <c r="BA649" s="80" t="s">
        <v>20380</v>
      </c>
      <c r="BB649" s="80" t="s">
        <v>20380</v>
      </c>
      <c r="BC649" s="80" t="s">
        <v>16607</v>
      </c>
      <c r="BD649" s="80" t="s">
        <v>20622</v>
      </c>
      <c r="BE649" s="77"/>
      <c r="BF649" s="77"/>
      <c r="BG649" s="77"/>
      <c r="BH649" s="77"/>
      <c r="BI649" s="77"/>
    </row>
    <row r="650" spans="1:61" x14ac:dyDescent="0.25">
      <c r="A650" s="62" t="s">
        <v>484</v>
      </c>
      <c r="B650" s="62" t="s">
        <v>1773</v>
      </c>
      <c r="C650" s="63"/>
      <c r="D650" s="64"/>
      <c r="E650" s="65"/>
      <c r="F650" s="66"/>
      <c r="G650" s="63"/>
      <c r="H650" s="67"/>
      <c r="I650" s="68"/>
      <c r="J650" s="68"/>
      <c r="K650" s="32"/>
      <c r="L650" s="75">
        <v>650</v>
      </c>
      <c r="M650" s="75"/>
      <c r="N650" s="70"/>
      <c r="O650" s="77" t="s">
        <v>2081</v>
      </c>
      <c r="P650" s="79">
        <v>45152.628425925926</v>
      </c>
      <c r="Q650" s="77" t="s">
        <v>2652</v>
      </c>
      <c r="R650" s="77">
        <v>1</v>
      </c>
      <c r="S650" s="77">
        <v>4</v>
      </c>
      <c r="T650" s="77">
        <v>0</v>
      </c>
      <c r="U650" s="77">
        <v>0</v>
      </c>
      <c r="V650" s="77">
        <v>116</v>
      </c>
      <c r="W650" s="80" t="s">
        <v>6358</v>
      </c>
      <c r="X650" s="77"/>
      <c r="Y650" s="77"/>
      <c r="Z650" s="77" t="s">
        <v>8926</v>
      </c>
      <c r="AA650" s="77" t="s">
        <v>9220</v>
      </c>
      <c r="AB650" s="77" t="s">
        <v>10535</v>
      </c>
      <c r="AC650" s="80" t="s">
        <v>10540</v>
      </c>
      <c r="AD650" s="77" t="s">
        <v>10620</v>
      </c>
      <c r="AE650" s="83" t="str">
        <f>HYPERLINK("https://twitter.com/trukamelo/status/1691103619829903360")</f>
        <v>https://twitter.com/trukamelo/status/1691103619829903360</v>
      </c>
      <c r="AF650" s="79">
        <v>45152.628425925926</v>
      </c>
      <c r="AG650" s="85">
        <v>45152</v>
      </c>
      <c r="AH650" s="80" t="s">
        <v>11217</v>
      </c>
      <c r="AI650" s="77" t="b">
        <v>0</v>
      </c>
      <c r="AJ650" s="77"/>
      <c r="AK650" s="77"/>
      <c r="AL650" s="77"/>
      <c r="AM650" s="77"/>
      <c r="AN650" s="77"/>
      <c r="AO650" s="77"/>
      <c r="AP650" s="77"/>
      <c r="AQ650" s="77" t="s">
        <v>14702</v>
      </c>
      <c r="AR650" s="77"/>
      <c r="AS650" s="77"/>
      <c r="AT650" s="77"/>
      <c r="AU650" s="77"/>
      <c r="AV650" s="83" t="str">
        <f>HYPERLINK("https://pbs.twimg.com/media/F3gBxnzXIAAXG-3.jpg")</f>
        <v>https://pbs.twimg.com/media/F3gBxnzXIAAXG-3.jpg</v>
      </c>
      <c r="AW650" s="80" t="s">
        <v>16607</v>
      </c>
      <c r="AX650" s="80" t="s">
        <v>16607</v>
      </c>
      <c r="AY650" s="77"/>
      <c r="AZ650" s="80" t="s">
        <v>20380</v>
      </c>
      <c r="BA650" s="80" t="s">
        <v>20380</v>
      </c>
      <c r="BB650" s="80" t="s">
        <v>20380</v>
      </c>
      <c r="BC650" s="80" t="s">
        <v>16607</v>
      </c>
      <c r="BD650" s="80" t="s">
        <v>20622</v>
      </c>
      <c r="BE650" s="77"/>
      <c r="BF650" s="77"/>
      <c r="BG650" s="77"/>
      <c r="BH650" s="77"/>
      <c r="BI650" s="77"/>
    </row>
    <row r="651" spans="1:61" x14ac:dyDescent="0.25">
      <c r="A651" s="62" t="s">
        <v>484</v>
      </c>
      <c r="B651" s="62" t="s">
        <v>1774</v>
      </c>
      <c r="C651" s="63"/>
      <c r="D651" s="64"/>
      <c r="E651" s="65"/>
      <c r="F651" s="66"/>
      <c r="G651" s="63"/>
      <c r="H651" s="67"/>
      <c r="I651" s="68"/>
      <c r="J651" s="68"/>
      <c r="K651" s="32"/>
      <c r="L651" s="75">
        <v>651</v>
      </c>
      <c r="M651" s="75"/>
      <c r="N651" s="70"/>
      <c r="O651" s="77" t="s">
        <v>2081</v>
      </c>
      <c r="P651" s="79">
        <v>45152.628425925926</v>
      </c>
      <c r="Q651" s="77" t="s">
        <v>2652</v>
      </c>
      <c r="R651" s="77">
        <v>1</v>
      </c>
      <c r="S651" s="77">
        <v>4</v>
      </c>
      <c r="T651" s="77">
        <v>0</v>
      </c>
      <c r="U651" s="77">
        <v>0</v>
      </c>
      <c r="V651" s="77">
        <v>116</v>
      </c>
      <c r="W651" s="80" t="s">
        <v>6358</v>
      </c>
      <c r="X651" s="77"/>
      <c r="Y651" s="77"/>
      <c r="Z651" s="77" t="s">
        <v>8926</v>
      </c>
      <c r="AA651" s="77" t="s">
        <v>9220</v>
      </c>
      <c r="AB651" s="77" t="s">
        <v>10535</v>
      </c>
      <c r="AC651" s="80" t="s">
        <v>10540</v>
      </c>
      <c r="AD651" s="77" t="s">
        <v>10620</v>
      </c>
      <c r="AE651" s="83" t="str">
        <f>HYPERLINK("https://twitter.com/trukamelo/status/1691103619829903360")</f>
        <v>https://twitter.com/trukamelo/status/1691103619829903360</v>
      </c>
      <c r="AF651" s="79">
        <v>45152.628425925926</v>
      </c>
      <c r="AG651" s="85">
        <v>45152</v>
      </c>
      <c r="AH651" s="80" t="s">
        <v>11217</v>
      </c>
      <c r="AI651" s="77" t="b">
        <v>0</v>
      </c>
      <c r="AJ651" s="77"/>
      <c r="AK651" s="77"/>
      <c r="AL651" s="77"/>
      <c r="AM651" s="77"/>
      <c r="AN651" s="77"/>
      <c r="AO651" s="77"/>
      <c r="AP651" s="77"/>
      <c r="AQ651" s="77" t="s">
        <v>14702</v>
      </c>
      <c r="AR651" s="77"/>
      <c r="AS651" s="77"/>
      <c r="AT651" s="77"/>
      <c r="AU651" s="77"/>
      <c r="AV651" s="83" t="str">
        <f>HYPERLINK("https://pbs.twimg.com/media/F3gBxnzXIAAXG-3.jpg")</f>
        <v>https://pbs.twimg.com/media/F3gBxnzXIAAXG-3.jpg</v>
      </c>
      <c r="AW651" s="80" t="s">
        <v>16607</v>
      </c>
      <c r="AX651" s="80" t="s">
        <v>16607</v>
      </c>
      <c r="AY651" s="77"/>
      <c r="AZ651" s="80" t="s">
        <v>20380</v>
      </c>
      <c r="BA651" s="80" t="s">
        <v>20380</v>
      </c>
      <c r="BB651" s="80" t="s">
        <v>20380</v>
      </c>
      <c r="BC651" s="80" t="s">
        <v>16607</v>
      </c>
      <c r="BD651" s="80" t="s">
        <v>20622</v>
      </c>
      <c r="BE651" s="77"/>
      <c r="BF651" s="77"/>
      <c r="BG651" s="77"/>
      <c r="BH651" s="77"/>
      <c r="BI651" s="77"/>
    </row>
    <row r="652" spans="1:61" x14ac:dyDescent="0.25">
      <c r="A652" s="62" t="s">
        <v>484</v>
      </c>
      <c r="B652" s="62" t="s">
        <v>1716</v>
      </c>
      <c r="C652" s="63"/>
      <c r="D652" s="64"/>
      <c r="E652" s="65"/>
      <c r="F652" s="66"/>
      <c r="G652" s="63"/>
      <c r="H652" s="67"/>
      <c r="I652" s="68"/>
      <c r="J652" s="68"/>
      <c r="K652" s="32"/>
      <c r="L652" s="75">
        <v>652</v>
      </c>
      <c r="M652" s="75"/>
      <c r="N652" s="70"/>
      <c r="O652" s="77" t="s">
        <v>2081</v>
      </c>
      <c r="P652" s="79">
        <v>45083.58625</v>
      </c>
      <c r="Q652" s="77" t="s">
        <v>2651</v>
      </c>
      <c r="R652" s="77">
        <v>1</v>
      </c>
      <c r="S652" s="77">
        <v>2</v>
      </c>
      <c r="T652" s="77">
        <v>0</v>
      </c>
      <c r="U652" s="77">
        <v>0</v>
      </c>
      <c r="V652" s="77">
        <v>234</v>
      </c>
      <c r="W652" s="80" t="s">
        <v>6357</v>
      </c>
      <c r="X652" s="77"/>
      <c r="Y652" s="77"/>
      <c r="Z652" s="77" t="s">
        <v>8925</v>
      </c>
      <c r="AA652" s="77" t="s">
        <v>9219</v>
      </c>
      <c r="AB652" s="77" t="s">
        <v>10535</v>
      </c>
      <c r="AC652" s="80" t="s">
        <v>10540</v>
      </c>
      <c r="AD652" s="77" t="s">
        <v>10620</v>
      </c>
      <c r="AE652" s="83" t="str">
        <f>HYPERLINK("https://twitter.com/trukamelo/status/1666083572774744073")</f>
        <v>https://twitter.com/trukamelo/status/1666083572774744073</v>
      </c>
      <c r="AF652" s="79">
        <v>45083.58625</v>
      </c>
      <c r="AG652" s="85">
        <v>45083</v>
      </c>
      <c r="AH652" s="80" t="s">
        <v>11216</v>
      </c>
      <c r="AI652" s="77" t="b">
        <v>0</v>
      </c>
      <c r="AJ652" s="77"/>
      <c r="AK652" s="77"/>
      <c r="AL652" s="77"/>
      <c r="AM652" s="77"/>
      <c r="AN652" s="77"/>
      <c r="AO652" s="77"/>
      <c r="AP652" s="77"/>
      <c r="AQ652" s="77" t="s">
        <v>14701</v>
      </c>
      <c r="AR652" s="77"/>
      <c r="AS652" s="77"/>
      <c r="AT652" s="77"/>
      <c r="AU652" s="77"/>
      <c r="AV652" s="83" t="str">
        <f>HYPERLINK("https://pbs.twimg.com/media/Fx8eLfraIAMR25w.jpg")</f>
        <v>https://pbs.twimg.com/media/Fx8eLfraIAMR25w.jpg</v>
      </c>
      <c r="AW652" s="80" t="s">
        <v>16606</v>
      </c>
      <c r="AX652" s="80" t="s">
        <v>16606</v>
      </c>
      <c r="AY652" s="77"/>
      <c r="AZ652" s="80" t="s">
        <v>20380</v>
      </c>
      <c r="BA652" s="80" t="s">
        <v>20380</v>
      </c>
      <c r="BB652" s="80" t="s">
        <v>20380</v>
      </c>
      <c r="BC652" s="80" t="s">
        <v>16606</v>
      </c>
      <c r="BD652" s="80" t="s">
        <v>20622</v>
      </c>
      <c r="BE652" s="77"/>
      <c r="BF652" s="77"/>
      <c r="BG652" s="77"/>
      <c r="BH652" s="77"/>
      <c r="BI652" s="77"/>
    </row>
    <row r="653" spans="1:61" x14ac:dyDescent="0.25">
      <c r="A653" s="62" t="s">
        <v>484</v>
      </c>
      <c r="B653" s="62" t="s">
        <v>1698</v>
      </c>
      <c r="C653" s="63"/>
      <c r="D653" s="64"/>
      <c r="E653" s="65"/>
      <c r="F653" s="66"/>
      <c r="G653" s="63"/>
      <c r="H653" s="67"/>
      <c r="I653" s="68"/>
      <c r="J653" s="68"/>
      <c r="K653" s="32"/>
      <c r="L653" s="75">
        <v>653</v>
      </c>
      <c r="M653" s="75"/>
      <c r="N653" s="70"/>
      <c r="O653" s="77" t="s">
        <v>2081</v>
      </c>
      <c r="P653" s="79">
        <v>45083.58625</v>
      </c>
      <c r="Q653" s="77" t="s">
        <v>2651</v>
      </c>
      <c r="R653" s="77">
        <v>1</v>
      </c>
      <c r="S653" s="77">
        <v>2</v>
      </c>
      <c r="T653" s="77">
        <v>0</v>
      </c>
      <c r="U653" s="77">
        <v>0</v>
      </c>
      <c r="V653" s="77">
        <v>234</v>
      </c>
      <c r="W653" s="80" t="s">
        <v>6357</v>
      </c>
      <c r="X653" s="77"/>
      <c r="Y653" s="77"/>
      <c r="Z653" s="77" t="s">
        <v>8925</v>
      </c>
      <c r="AA653" s="77" t="s">
        <v>9219</v>
      </c>
      <c r="AB653" s="77" t="s">
        <v>10535</v>
      </c>
      <c r="AC653" s="80" t="s">
        <v>10540</v>
      </c>
      <c r="AD653" s="77" t="s">
        <v>10620</v>
      </c>
      <c r="AE653" s="83" t="str">
        <f>HYPERLINK("https://twitter.com/trukamelo/status/1666083572774744073")</f>
        <v>https://twitter.com/trukamelo/status/1666083572774744073</v>
      </c>
      <c r="AF653" s="79">
        <v>45083.58625</v>
      </c>
      <c r="AG653" s="85">
        <v>45083</v>
      </c>
      <c r="AH653" s="80" t="s">
        <v>11216</v>
      </c>
      <c r="AI653" s="77" t="b">
        <v>0</v>
      </c>
      <c r="AJ653" s="77"/>
      <c r="AK653" s="77"/>
      <c r="AL653" s="77"/>
      <c r="AM653" s="77"/>
      <c r="AN653" s="77"/>
      <c r="AO653" s="77"/>
      <c r="AP653" s="77"/>
      <c r="AQ653" s="77" t="s">
        <v>14701</v>
      </c>
      <c r="AR653" s="77"/>
      <c r="AS653" s="77"/>
      <c r="AT653" s="77"/>
      <c r="AU653" s="77"/>
      <c r="AV653" s="83" t="str">
        <f>HYPERLINK("https://pbs.twimg.com/media/Fx8eLfraIAMR25w.jpg")</f>
        <v>https://pbs.twimg.com/media/Fx8eLfraIAMR25w.jpg</v>
      </c>
      <c r="AW653" s="80" t="s">
        <v>16606</v>
      </c>
      <c r="AX653" s="80" t="s">
        <v>16606</v>
      </c>
      <c r="AY653" s="77"/>
      <c r="AZ653" s="80" t="s">
        <v>20380</v>
      </c>
      <c r="BA653" s="80" t="s">
        <v>20380</v>
      </c>
      <c r="BB653" s="80" t="s">
        <v>20380</v>
      </c>
      <c r="BC653" s="80" t="s">
        <v>16606</v>
      </c>
      <c r="BD653" s="80" t="s">
        <v>20622</v>
      </c>
      <c r="BE653" s="77"/>
      <c r="BF653" s="77"/>
      <c r="BG653" s="77"/>
      <c r="BH653" s="77"/>
      <c r="BI653" s="77"/>
    </row>
    <row r="654" spans="1:61" x14ac:dyDescent="0.25">
      <c r="A654" s="62" t="s">
        <v>485</v>
      </c>
      <c r="B654" s="62" t="s">
        <v>485</v>
      </c>
      <c r="C654" s="63"/>
      <c r="D654" s="64"/>
      <c r="E654" s="65"/>
      <c r="F654" s="66"/>
      <c r="G654" s="63"/>
      <c r="H654" s="67"/>
      <c r="I654" s="68"/>
      <c r="J654" s="68"/>
      <c r="K654" s="32"/>
      <c r="L654" s="75">
        <v>654</v>
      </c>
      <c r="M654" s="75"/>
      <c r="N654" s="70"/>
      <c r="O654" s="77" t="s">
        <v>179</v>
      </c>
      <c r="P654" s="79">
        <v>45103.63082175926</v>
      </c>
      <c r="Q654" s="77" t="s">
        <v>2653</v>
      </c>
      <c r="R654" s="77">
        <v>0</v>
      </c>
      <c r="S654" s="77">
        <v>1</v>
      </c>
      <c r="T654" s="77">
        <v>0</v>
      </c>
      <c r="U654" s="77">
        <v>0</v>
      </c>
      <c r="V654" s="77">
        <v>20</v>
      </c>
      <c r="W654" s="80" t="s">
        <v>5884</v>
      </c>
      <c r="X654" s="77"/>
      <c r="Y654" s="77"/>
      <c r="Z654" s="77"/>
      <c r="AA654" s="77" t="s">
        <v>9221</v>
      </c>
      <c r="AB654" s="77" t="s">
        <v>10534</v>
      </c>
      <c r="AC654" s="80" t="s">
        <v>10540</v>
      </c>
      <c r="AD654" s="77" t="s">
        <v>10620</v>
      </c>
      <c r="AE654" s="83" t="str">
        <f>HYPERLINK("https://twitter.com/sonya250122/status/1673347480879079426")</f>
        <v>https://twitter.com/sonya250122/status/1673347480879079426</v>
      </c>
      <c r="AF654" s="79">
        <v>45103.63082175926</v>
      </c>
      <c r="AG654" s="85">
        <v>45103</v>
      </c>
      <c r="AH654" s="80" t="s">
        <v>11218</v>
      </c>
      <c r="AI654" s="77" t="b">
        <v>0</v>
      </c>
      <c r="AJ654" s="77"/>
      <c r="AK654" s="77"/>
      <c r="AL654" s="77"/>
      <c r="AM654" s="77"/>
      <c r="AN654" s="77"/>
      <c r="AO654" s="77"/>
      <c r="AP654" s="77"/>
      <c r="AQ654" s="77" t="s">
        <v>14703</v>
      </c>
      <c r="AR654" s="77">
        <v>58446</v>
      </c>
      <c r="AS654" s="77"/>
      <c r="AT654" s="77"/>
      <c r="AU654" s="77"/>
      <c r="AV654" s="83" t="str">
        <f>HYPERLINK("https://pbs.twimg.com/ext_tw_video_thumb/1673346706388275207/pu/img/iD6tkLDr1cUAZK0a.jpg")</f>
        <v>https://pbs.twimg.com/ext_tw_video_thumb/1673346706388275207/pu/img/iD6tkLDr1cUAZK0a.jpg</v>
      </c>
      <c r="AW654" s="80" t="s">
        <v>16608</v>
      </c>
      <c r="AX654" s="80" t="s">
        <v>16608</v>
      </c>
      <c r="AY654" s="77"/>
      <c r="AZ654" s="80" t="s">
        <v>20380</v>
      </c>
      <c r="BA654" s="80" t="s">
        <v>20380</v>
      </c>
      <c r="BB654" s="80" t="s">
        <v>20380</v>
      </c>
      <c r="BC654" s="80" t="s">
        <v>16608</v>
      </c>
      <c r="BD654" s="80" t="s">
        <v>20623</v>
      </c>
      <c r="BE654" s="77"/>
      <c r="BF654" s="77"/>
      <c r="BG654" s="77"/>
      <c r="BH654" s="77"/>
      <c r="BI654" s="77"/>
    </row>
    <row r="655" spans="1:61" x14ac:dyDescent="0.25">
      <c r="A655" s="62" t="s">
        <v>486</v>
      </c>
      <c r="B655" s="62" t="s">
        <v>486</v>
      </c>
      <c r="C655" s="63"/>
      <c r="D655" s="64"/>
      <c r="E655" s="65"/>
      <c r="F655" s="66"/>
      <c r="G655" s="63"/>
      <c r="H655" s="67"/>
      <c r="I655" s="68"/>
      <c r="J655" s="68"/>
      <c r="K655" s="32"/>
      <c r="L655" s="75">
        <v>655</v>
      </c>
      <c r="M655" s="75"/>
      <c r="N655" s="70"/>
      <c r="O655" s="77" t="s">
        <v>2078</v>
      </c>
      <c r="P655" s="79">
        <v>45076.539895833332</v>
      </c>
      <c r="Q655" s="77" t="s">
        <v>2654</v>
      </c>
      <c r="R655" s="77">
        <v>0</v>
      </c>
      <c r="S655" s="77">
        <v>0</v>
      </c>
      <c r="T655" s="77">
        <v>0</v>
      </c>
      <c r="U655" s="77">
        <v>0</v>
      </c>
      <c r="V655" s="77">
        <v>27</v>
      </c>
      <c r="W655" s="80" t="s">
        <v>6359</v>
      </c>
      <c r="X655" s="77"/>
      <c r="Y655" s="77"/>
      <c r="Z655" s="77"/>
      <c r="AA655" s="77"/>
      <c r="AB655" s="77"/>
      <c r="AC655" s="80" t="s">
        <v>10551</v>
      </c>
      <c r="AD655" s="77" t="s">
        <v>10617</v>
      </c>
      <c r="AE655" s="83" t="str">
        <f>HYPERLINK("https://twitter.com/eliasbuggmann/status/1663530059838246913")</f>
        <v>https://twitter.com/eliasbuggmann/status/1663530059838246913</v>
      </c>
      <c r="AF655" s="79">
        <v>45076.539895833332</v>
      </c>
      <c r="AG655" s="85">
        <v>45076</v>
      </c>
      <c r="AH655" s="80" t="s">
        <v>11219</v>
      </c>
      <c r="AI655" s="77"/>
      <c r="AJ655" s="77"/>
      <c r="AK655" s="77"/>
      <c r="AL655" s="77"/>
      <c r="AM655" s="77"/>
      <c r="AN655" s="77"/>
      <c r="AO655" s="77"/>
      <c r="AP655" s="77"/>
      <c r="AQ655" s="77"/>
      <c r="AR655" s="77"/>
      <c r="AS655" s="77"/>
      <c r="AT655" s="77"/>
      <c r="AU655" s="77"/>
      <c r="AV655" s="83" t="str">
        <f>HYPERLINK("https://pbs.twimg.com/profile_images/1691250631762202624/xzxFOKic_normal.jpg")</f>
        <v>https://pbs.twimg.com/profile_images/1691250631762202624/xzxFOKic_normal.jpg</v>
      </c>
      <c r="AW655" s="80" t="s">
        <v>16609</v>
      </c>
      <c r="AX655" s="80" t="s">
        <v>19992</v>
      </c>
      <c r="AY655" s="80" t="s">
        <v>20244</v>
      </c>
      <c r="AZ655" s="80" t="s">
        <v>20399</v>
      </c>
      <c r="BA655" s="80" t="s">
        <v>20380</v>
      </c>
      <c r="BB655" s="80" t="s">
        <v>20380</v>
      </c>
      <c r="BC655" s="80" t="s">
        <v>20399</v>
      </c>
      <c r="BD655" s="80" t="s">
        <v>20244</v>
      </c>
      <c r="BE655" s="77"/>
      <c r="BF655" s="77"/>
      <c r="BG655" s="77"/>
      <c r="BH655" s="77"/>
      <c r="BI655" s="77"/>
    </row>
    <row r="656" spans="1:61" x14ac:dyDescent="0.25">
      <c r="A656" s="62" t="s">
        <v>486</v>
      </c>
      <c r="B656" s="62" t="s">
        <v>486</v>
      </c>
      <c r="C656" s="63"/>
      <c r="D656" s="64"/>
      <c r="E656" s="65"/>
      <c r="F656" s="66"/>
      <c r="G656" s="63"/>
      <c r="H656" s="67"/>
      <c r="I656" s="68"/>
      <c r="J656" s="68"/>
      <c r="K656" s="32"/>
      <c r="L656" s="75">
        <v>656</v>
      </c>
      <c r="M656" s="75"/>
      <c r="N656" s="70"/>
      <c r="O656" s="77" t="s">
        <v>2078</v>
      </c>
      <c r="P656" s="79">
        <v>45076.537743055553</v>
      </c>
      <c r="Q656" s="77" t="s">
        <v>2655</v>
      </c>
      <c r="R656" s="77">
        <v>0</v>
      </c>
      <c r="S656" s="77">
        <v>0</v>
      </c>
      <c r="T656" s="77">
        <v>1</v>
      </c>
      <c r="U656" s="77">
        <v>0</v>
      </c>
      <c r="V656" s="77">
        <v>1</v>
      </c>
      <c r="W656" s="80" t="s">
        <v>6359</v>
      </c>
      <c r="X656" s="77"/>
      <c r="Y656" s="77"/>
      <c r="Z656" s="77"/>
      <c r="AA656" s="77"/>
      <c r="AB656" s="77"/>
      <c r="AC656" s="80" t="s">
        <v>10551</v>
      </c>
      <c r="AD656" s="77" t="s">
        <v>10617</v>
      </c>
      <c r="AE656" s="83" t="str">
        <f>HYPERLINK("https://twitter.com/eliasbuggmann/status/1663529279877963777")</f>
        <v>https://twitter.com/eliasbuggmann/status/1663529279877963777</v>
      </c>
      <c r="AF656" s="79">
        <v>45076.537743055553</v>
      </c>
      <c r="AG656" s="85">
        <v>45076</v>
      </c>
      <c r="AH656" s="80" t="s">
        <v>11220</v>
      </c>
      <c r="AI656" s="77"/>
      <c r="AJ656" s="77"/>
      <c r="AK656" s="77"/>
      <c r="AL656" s="77"/>
      <c r="AM656" s="77"/>
      <c r="AN656" s="77"/>
      <c r="AO656" s="77"/>
      <c r="AP656" s="77"/>
      <c r="AQ656" s="77"/>
      <c r="AR656" s="77"/>
      <c r="AS656" s="77"/>
      <c r="AT656" s="77"/>
      <c r="AU656" s="77"/>
      <c r="AV656" s="83" t="str">
        <f>HYPERLINK("https://pbs.twimg.com/profile_images/1691250631762202624/xzxFOKic_normal.jpg")</f>
        <v>https://pbs.twimg.com/profile_images/1691250631762202624/xzxFOKic_normal.jpg</v>
      </c>
      <c r="AW656" s="80" t="s">
        <v>16610</v>
      </c>
      <c r="AX656" s="80" t="s">
        <v>19992</v>
      </c>
      <c r="AY656" s="80" t="s">
        <v>20244</v>
      </c>
      <c r="AZ656" s="80" t="s">
        <v>20400</v>
      </c>
      <c r="BA656" s="80" t="s">
        <v>20380</v>
      </c>
      <c r="BB656" s="80" t="s">
        <v>20380</v>
      </c>
      <c r="BC656" s="80" t="s">
        <v>20400</v>
      </c>
      <c r="BD656" s="80" t="s">
        <v>20244</v>
      </c>
      <c r="BE656" s="77"/>
      <c r="BF656" s="77"/>
      <c r="BG656" s="77"/>
      <c r="BH656" s="77"/>
      <c r="BI656" s="77"/>
    </row>
    <row r="657" spans="1:61" x14ac:dyDescent="0.25">
      <c r="A657" s="62" t="s">
        <v>487</v>
      </c>
      <c r="B657" s="62" t="s">
        <v>1630</v>
      </c>
      <c r="C657" s="63"/>
      <c r="D657" s="64"/>
      <c r="E657" s="65"/>
      <c r="F657" s="66"/>
      <c r="G657" s="63"/>
      <c r="H657" s="67"/>
      <c r="I657" s="68"/>
      <c r="J657" s="68"/>
      <c r="K657" s="32"/>
      <c r="L657" s="75">
        <v>657</v>
      </c>
      <c r="M657" s="75"/>
      <c r="N657" s="70"/>
      <c r="O657" s="77" t="s">
        <v>2082</v>
      </c>
      <c r="P657" s="79">
        <v>45142.51221064815</v>
      </c>
      <c r="Q657" s="77" t="s">
        <v>2656</v>
      </c>
      <c r="R657" s="77">
        <v>0</v>
      </c>
      <c r="S657" s="77">
        <v>0</v>
      </c>
      <c r="T657" s="77">
        <v>0</v>
      </c>
      <c r="U657" s="77">
        <v>0</v>
      </c>
      <c r="V657" s="77">
        <v>6</v>
      </c>
      <c r="W657" s="80" t="s">
        <v>5884</v>
      </c>
      <c r="X657" s="77"/>
      <c r="Y657" s="77"/>
      <c r="Z657" s="77"/>
      <c r="AA657" s="77"/>
      <c r="AB657" s="77"/>
      <c r="AC657" s="80" t="s">
        <v>10540</v>
      </c>
      <c r="AD657" s="77" t="s">
        <v>10618</v>
      </c>
      <c r="AE657" s="83" t="str">
        <f>HYPERLINK("https://twitter.com/arturo883056/status/1687437626289135616")</f>
        <v>https://twitter.com/arturo883056/status/1687437626289135616</v>
      </c>
      <c r="AF657" s="79">
        <v>45142.51221064815</v>
      </c>
      <c r="AG657" s="85">
        <v>45142</v>
      </c>
      <c r="AH657" s="80" t="s">
        <v>11221</v>
      </c>
      <c r="AI657" s="77"/>
      <c r="AJ657" s="77"/>
      <c r="AK657" s="77"/>
      <c r="AL657" s="77"/>
      <c r="AM657" s="77"/>
      <c r="AN657" s="77"/>
      <c r="AO657" s="77"/>
      <c r="AP657" s="77"/>
      <c r="AQ657" s="77"/>
      <c r="AR657" s="77"/>
      <c r="AS657" s="77"/>
      <c r="AT657" s="77"/>
      <c r="AU657" s="77"/>
      <c r="AV657" s="83" t="str">
        <f>HYPERLINK("https://pbs.twimg.com/profile_images/1263198629373923328/VEPuq-1z_normal.jpg")</f>
        <v>https://pbs.twimg.com/profile_images/1263198629373923328/VEPuq-1z_normal.jpg</v>
      </c>
      <c r="AW657" s="80" t="s">
        <v>16611</v>
      </c>
      <c r="AX657" s="80" t="s">
        <v>16611</v>
      </c>
      <c r="AY657" s="77"/>
      <c r="AZ657" s="80" t="s">
        <v>20380</v>
      </c>
      <c r="BA657" s="80" t="s">
        <v>19772</v>
      </c>
      <c r="BB657" s="80" t="s">
        <v>20380</v>
      </c>
      <c r="BC657" s="80" t="s">
        <v>19772</v>
      </c>
      <c r="BD657" s="80" t="s">
        <v>20624</v>
      </c>
      <c r="BE657" s="77"/>
      <c r="BF657" s="77"/>
      <c r="BG657" s="77"/>
      <c r="BH657" s="77"/>
      <c r="BI657" s="77"/>
    </row>
    <row r="658" spans="1:61" x14ac:dyDescent="0.25">
      <c r="A658" s="62" t="s">
        <v>488</v>
      </c>
      <c r="B658" s="62" t="s">
        <v>1624</v>
      </c>
      <c r="C658" s="63"/>
      <c r="D658" s="64"/>
      <c r="E658" s="65"/>
      <c r="F658" s="66"/>
      <c r="G658" s="63"/>
      <c r="H658" s="67"/>
      <c r="I658" s="68"/>
      <c r="J658" s="68"/>
      <c r="K658" s="32"/>
      <c r="L658" s="75">
        <v>658</v>
      </c>
      <c r="M658" s="75"/>
      <c r="N658" s="70"/>
      <c r="O658" s="77" t="s">
        <v>2078</v>
      </c>
      <c r="P658" s="79">
        <v>45106.568437499998</v>
      </c>
      <c r="Q658" s="77" t="s">
        <v>2657</v>
      </c>
      <c r="R658" s="77">
        <v>0</v>
      </c>
      <c r="S658" s="77">
        <v>0</v>
      </c>
      <c r="T658" s="77">
        <v>0</v>
      </c>
      <c r="U658" s="77">
        <v>0</v>
      </c>
      <c r="V658" s="77">
        <v>15</v>
      </c>
      <c r="W658" s="80" t="s">
        <v>6360</v>
      </c>
      <c r="X658" s="77"/>
      <c r="Y658" s="77"/>
      <c r="Z658" s="77" t="s">
        <v>1624</v>
      </c>
      <c r="AA658" s="77"/>
      <c r="AB658" s="77"/>
      <c r="AC658" s="80" t="s">
        <v>10540</v>
      </c>
      <c r="AD658" s="77" t="s">
        <v>10617</v>
      </c>
      <c r="AE658" s="83" t="str">
        <f>HYPERLINK("https://twitter.com/ezequieldf33/status/1674412038909571073")</f>
        <v>https://twitter.com/ezequieldf33/status/1674412038909571073</v>
      </c>
      <c r="AF658" s="79">
        <v>45106.568437499998</v>
      </c>
      <c r="AG658" s="85">
        <v>45106</v>
      </c>
      <c r="AH658" s="80" t="s">
        <v>11222</v>
      </c>
      <c r="AI658" s="77"/>
      <c r="AJ658" s="77"/>
      <c r="AK658" s="77"/>
      <c r="AL658" s="77"/>
      <c r="AM658" s="77"/>
      <c r="AN658" s="77"/>
      <c r="AO658" s="77"/>
      <c r="AP658" s="77"/>
      <c r="AQ658" s="77"/>
      <c r="AR658" s="77"/>
      <c r="AS658" s="77"/>
      <c r="AT658" s="77"/>
      <c r="AU658" s="77"/>
      <c r="AV658" s="83" t="str">
        <f>HYPERLINK("https://pbs.twimg.com/profile_images/1591596356069728256/ynrg3RAf_normal.jpg")</f>
        <v>https://pbs.twimg.com/profile_images/1591596356069728256/ynrg3RAf_normal.jpg</v>
      </c>
      <c r="AW658" s="80" t="s">
        <v>16612</v>
      </c>
      <c r="AX658" s="80" t="s">
        <v>19760</v>
      </c>
      <c r="AY658" s="80" t="s">
        <v>20245</v>
      </c>
      <c r="AZ658" s="80" t="s">
        <v>19760</v>
      </c>
      <c r="BA658" s="80" t="s">
        <v>20380</v>
      </c>
      <c r="BB658" s="80" t="s">
        <v>20380</v>
      </c>
      <c r="BC658" s="80" t="s">
        <v>19760</v>
      </c>
      <c r="BD658" s="80" t="s">
        <v>20625</v>
      </c>
      <c r="BE658" s="77"/>
      <c r="BF658" s="77"/>
      <c r="BG658" s="77"/>
      <c r="BH658" s="77"/>
      <c r="BI658" s="77"/>
    </row>
    <row r="659" spans="1:61" x14ac:dyDescent="0.25">
      <c r="A659" s="62" t="s">
        <v>489</v>
      </c>
      <c r="B659" s="62" t="s">
        <v>489</v>
      </c>
      <c r="C659" s="63"/>
      <c r="D659" s="64"/>
      <c r="E659" s="65"/>
      <c r="F659" s="66"/>
      <c r="G659" s="63"/>
      <c r="H659" s="67"/>
      <c r="I659" s="68"/>
      <c r="J659" s="68"/>
      <c r="K659" s="32"/>
      <c r="L659" s="75">
        <v>659</v>
      </c>
      <c r="M659" s="75"/>
      <c r="N659" s="70"/>
      <c r="O659" s="77" t="s">
        <v>2078</v>
      </c>
      <c r="P659" s="79">
        <v>45084.560798611114</v>
      </c>
      <c r="Q659" s="77" t="s">
        <v>2658</v>
      </c>
      <c r="R659" s="77">
        <v>0</v>
      </c>
      <c r="S659" s="77">
        <v>0</v>
      </c>
      <c r="T659" s="77">
        <v>1</v>
      </c>
      <c r="U659" s="77">
        <v>0</v>
      </c>
      <c r="V659" s="77">
        <v>74</v>
      </c>
      <c r="W659" s="80" t="s">
        <v>6361</v>
      </c>
      <c r="X659" s="77"/>
      <c r="Y659" s="77"/>
      <c r="Z659" s="77"/>
      <c r="AA659" s="77"/>
      <c r="AB659" s="77"/>
      <c r="AC659" s="80" t="s">
        <v>10540</v>
      </c>
      <c r="AD659" s="77" t="s">
        <v>10617</v>
      </c>
      <c r="AE659" s="83" t="str">
        <f>HYPERLINK("https://twitter.com/hudson_dourado/status/1666436736728088576")</f>
        <v>https://twitter.com/hudson_dourado/status/1666436736728088576</v>
      </c>
      <c r="AF659" s="79">
        <v>45084.560798611114</v>
      </c>
      <c r="AG659" s="85">
        <v>45084</v>
      </c>
      <c r="AH659" s="80" t="s">
        <v>11223</v>
      </c>
      <c r="AI659" s="77"/>
      <c r="AJ659" s="77" t="s">
        <v>14341</v>
      </c>
      <c r="AK659" s="77" t="s">
        <v>14382</v>
      </c>
      <c r="AL659" s="77" t="s">
        <v>14391</v>
      </c>
      <c r="AM659" s="77" t="s">
        <v>14400</v>
      </c>
      <c r="AN659" s="77" t="s">
        <v>14438</v>
      </c>
      <c r="AO659" s="77" t="s">
        <v>14479</v>
      </c>
      <c r="AP659" s="77" t="s">
        <v>14516</v>
      </c>
      <c r="AQ659" s="77"/>
      <c r="AR659" s="77"/>
      <c r="AS659" s="77"/>
      <c r="AT659" s="77"/>
      <c r="AU659" s="77"/>
      <c r="AV659" s="83" t="str">
        <f>HYPERLINK("https://pbs.twimg.com/profile_images/1681794337833644033/ppN4ENjp_normal.jpg")</f>
        <v>https://pbs.twimg.com/profile_images/1681794337833644033/ppN4ENjp_normal.jpg</v>
      </c>
      <c r="AW659" s="80" t="s">
        <v>16613</v>
      </c>
      <c r="AX659" s="80" t="s">
        <v>16616</v>
      </c>
      <c r="AY659" s="80" t="s">
        <v>20246</v>
      </c>
      <c r="AZ659" s="80" t="s">
        <v>20401</v>
      </c>
      <c r="BA659" s="80" t="s">
        <v>20380</v>
      </c>
      <c r="BB659" s="80" t="s">
        <v>20380</v>
      </c>
      <c r="BC659" s="80" t="s">
        <v>20401</v>
      </c>
      <c r="BD659" s="80" t="s">
        <v>20246</v>
      </c>
      <c r="BE659" s="77"/>
      <c r="BF659" s="77"/>
      <c r="BG659" s="77"/>
      <c r="BH659" s="77"/>
      <c r="BI659" s="77"/>
    </row>
    <row r="660" spans="1:61" x14ac:dyDescent="0.25">
      <c r="A660" s="62" t="s">
        <v>489</v>
      </c>
      <c r="B660" s="62" t="s">
        <v>489</v>
      </c>
      <c r="C660" s="63"/>
      <c r="D660" s="64"/>
      <c r="E660" s="65"/>
      <c r="F660" s="66"/>
      <c r="G660" s="63"/>
      <c r="H660" s="67"/>
      <c r="I660" s="68"/>
      <c r="J660" s="68"/>
      <c r="K660" s="32"/>
      <c r="L660" s="75">
        <v>660</v>
      </c>
      <c r="M660" s="75"/>
      <c r="N660" s="70"/>
      <c r="O660" s="77" t="s">
        <v>2078</v>
      </c>
      <c r="P660" s="79">
        <v>45084.560787037037</v>
      </c>
      <c r="Q660" s="77" t="s">
        <v>2659</v>
      </c>
      <c r="R660" s="77">
        <v>0</v>
      </c>
      <c r="S660" s="77">
        <v>0</v>
      </c>
      <c r="T660" s="77">
        <v>1</v>
      </c>
      <c r="U660" s="77">
        <v>0</v>
      </c>
      <c r="V660" s="77">
        <v>66</v>
      </c>
      <c r="W660" s="80" t="s">
        <v>6361</v>
      </c>
      <c r="X660" s="77"/>
      <c r="Y660" s="77"/>
      <c r="Z660" s="77"/>
      <c r="AA660" s="77"/>
      <c r="AB660" s="77"/>
      <c r="AC660" s="80" t="s">
        <v>10540</v>
      </c>
      <c r="AD660" s="77" t="s">
        <v>10617</v>
      </c>
      <c r="AE660" s="83" t="str">
        <f>HYPERLINK("https://twitter.com/hudson_dourado/status/1666436730344337408")</f>
        <v>https://twitter.com/hudson_dourado/status/1666436730344337408</v>
      </c>
      <c r="AF660" s="79">
        <v>45084.560787037037</v>
      </c>
      <c r="AG660" s="85">
        <v>45084</v>
      </c>
      <c r="AH660" s="80" t="s">
        <v>11224</v>
      </c>
      <c r="AI660" s="77"/>
      <c r="AJ660" s="77" t="s">
        <v>14341</v>
      </c>
      <c r="AK660" s="77" t="s">
        <v>14382</v>
      </c>
      <c r="AL660" s="77" t="s">
        <v>14391</v>
      </c>
      <c r="AM660" s="77" t="s">
        <v>14400</v>
      </c>
      <c r="AN660" s="77" t="s">
        <v>14438</v>
      </c>
      <c r="AO660" s="77" t="s">
        <v>14479</v>
      </c>
      <c r="AP660" s="77" t="s">
        <v>14516</v>
      </c>
      <c r="AQ660" s="77"/>
      <c r="AR660" s="77"/>
      <c r="AS660" s="77"/>
      <c r="AT660" s="77"/>
      <c r="AU660" s="77"/>
      <c r="AV660" s="83" t="str">
        <f>HYPERLINK("https://pbs.twimg.com/profile_images/1681794337833644033/ppN4ENjp_normal.jpg")</f>
        <v>https://pbs.twimg.com/profile_images/1681794337833644033/ppN4ENjp_normal.jpg</v>
      </c>
      <c r="AW660" s="80" t="s">
        <v>16614</v>
      </c>
      <c r="AX660" s="80" t="s">
        <v>16616</v>
      </c>
      <c r="AY660" s="80" t="s">
        <v>20246</v>
      </c>
      <c r="AZ660" s="80" t="s">
        <v>16615</v>
      </c>
      <c r="BA660" s="80" t="s">
        <v>20380</v>
      </c>
      <c r="BB660" s="80" t="s">
        <v>20380</v>
      </c>
      <c r="BC660" s="80" t="s">
        <v>16615</v>
      </c>
      <c r="BD660" s="80" t="s">
        <v>20246</v>
      </c>
      <c r="BE660" s="77"/>
      <c r="BF660" s="77"/>
      <c r="BG660" s="77"/>
      <c r="BH660" s="77"/>
      <c r="BI660" s="77"/>
    </row>
    <row r="661" spans="1:61" x14ac:dyDescent="0.25">
      <c r="A661" s="62" t="s">
        <v>489</v>
      </c>
      <c r="B661" s="62" t="s">
        <v>489</v>
      </c>
      <c r="C661" s="63"/>
      <c r="D661" s="64"/>
      <c r="E661" s="65"/>
      <c r="F661" s="66"/>
      <c r="G661" s="63"/>
      <c r="H661" s="67"/>
      <c r="I661" s="68"/>
      <c r="J661" s="68"/>
      <c r="K661" s="32"/>
      <c r="L661" s="75">
        <v>661</v>
      </c>
      <c r="M661" s="75"/>
      <c r="N661" s="70"/>
      <c r="O661" s="77" t="s">
        <v>2078</v>
      </c>
      <c r="P661" s="79">
        <v>45084.56077546296</v>
      </c>
      <c r="Q661" s="77" t="s">
        <v>2660</v>
      </c>
      <c r="R661" s="77">
        <v>0</v>
      </c>
      <c r="S661" s="77">
        <v>0</v>
      </c>
      <c r="T661" s="77">
        <v>1</v>
      </c>
      <c r="U661" s="77">
        <v>0</v>
      </c>
      <c r="V661" s="77">
        <v>54</v>
      </c>
      <c r="W661" s="80" t="s">
        <v>6361</v>
      </c>
      <c r="X661" s="77"/>
      <c r="Y661" s="77"/>
      <c r="Z661" s="77"/>
      <c r="AA661" s="77"/>
      <c r="AB661" s="77"/>
      <c r="AC661" s="80" t="s">
        <v>10540</v>
      </c>
      <c r="AD661" s="77" t="s">
        <v>10617</v>
      </c>
      <c r="AE661" s="83" t="str">
        <f>HYPERLINK("https://twitter.com/hudson_dourado/status/1666436727076945923")</f>
        <v>https://twitter.com/hudson_dourado/status/1666436727076945923</v>
      </c>
      <c r="AF661" s="79">
        <v>45084.56077546296</v>
      </c>
      <c r="AG661" s="85">
        <v>45084</v>
      </c>
      <c r="AH661" s="80" t="s">
        <v>11225</v>
      </c>
      <c r="AI661" s="77"/>
      <c r="AJ661" s="77" t="s">
        <v>14341</v>
      </c>
      <c r="AK661" s="77" t="s">
        <v>14382</v>
      </c>
      <c r="AL661" s="77" t="s">
        <v>14391</v>
      </c>
      <c r="AM661" s="77" t="s">
        <v>14400</v>
      </c>
      <c r="AN661" s="77" t="s">
        <v>14438</v>
      </c>
      <c r="AO661" s="77" t="s">
        <v>14479</v>
      </c>
      <c r="AP661" s="77" t="s">
        <v>14516</v>
      </c>
      <c r="AQ661" s="77"/>
      <c r="AR661" s="77"/>
      <c r="AS661" s="77"/>
      <c r="AT661" s="77"/>
      <c r="AU661" s="77"/>
      <c r="AV661" s="83" t="str">
        <f>HYPERLINK("https://pbs.twimg.com/profile_images/1681794337833644033/ppN4ENjp_normal.jpg")</f>
        <v>https://pbs.twimg.com/profile_images/1681794337833644033/ppN4ENjp_normal.jpg</v>
      </c>
      <c r="AW661" s="80" t="s">
        <v>16615</v>
      </c>
      <c r="AX661" s="80" t="s">
        <v>16616</v>
      </c>
      <c r="AY661" s="80" t="s">
        <v>20246</v>
      </c>
      <c r="AZ661" s="80" t="s">
        <v>16616</v>
      </c>
      <c r="BA661" s="80" t="s">
        <v>20380</v>
      </c>
      <c r="BB661" s="80" t="s">
        <v>20380</v>
      </c>
      <c r="BC661" s="80" t="s">
        <v>16616</v>
      </c>
      <c r="BD661" s="80" t="s">
        <v>20246</v>
      </c>
      <c r="BE661" s="77"/>
      <c r="BF661" s="77"/>
      <c r="BG661" s="77"/>
      <c r="BH661" s="77"/>
      <c r="BI661" s="77"/>
    </row>
    <row r="662" spans="1:61" x14ac:dyDescent="0.25">
      <c r="A662" s="62" t="s">
        <v>489</v>
      </c>
      <c r="B662" s="62" t="s">
        <v>1775</v>
      </c>
      <c r="C662" s="63"/>
      <c r="D662" s="64"/>
      <c r="E662" s="65"/>
      <c r="F662" s="66"/>
      <c r="G662" s="63"/>
      <c r="H662" s="67"/>
      <c r="I662" s="68"/>
      <c r="J662" s="68"/>
      <c r="K662" s="32"/>
      <c r="L662" s="75">
        <v>662</v>
      </c>
      <c r="M662" s="75"/>
      <c r="N662" s="70"/>
      <c r="O662" s="77" t="s">
        <v>2081</v>
      </c>
      <c r="P662" s="79">
        <v>45084.560763888891</v>
      </c>
      <c r="Q662" s="77" t="s">
        <v>2661</v>
      </c>
      <c r="R662" s="77">
        <v>0</v>
      </c>
      <c r="S662" s="77">
        <v>0</v>
      </c>
      <c r="T662" s="77">
        <v>1</v>
      </c>
      <c r="U662" s="77">
        <v>0</v>
      </c>
      <c r="V662" s="77">
        <v>103</v>
      </c>
      <c r="W662" s="80" t="s">
        <v>5884</v>
      </c>
      <c r="X662" s="77"/>
      <c r="Y662" s="77"/>
      <c r="Z662" s="77" t="s">
        <v>1775</v>
      </c>
      <c r="AA662" s="77"/>
      <c r="AB662" s="77"/>
      <c r="AC662" s="80" t="s">
        <v>10540</v>
      </c>
      <c r="AD662" s="77" t="s">
        <v>10617</v>
      </c>
      <c r="AE662" s="83" t="str">
        <f>HYPERLINK("https://twitter.com/hudson_dourado/status/1666436725277589505")</f>
        <v>https://twitter.com/hudson_dourado/status/1666436725277589505</v>
      </c>
      <c r="AF662" s="79">
        <v>45084.560763888891</v>
      </c>
      <c r="AG662" s="85">
        <v>45084</v>
      </c>
      <c r="AH662" s="80" t="s">
        <v>11226</v>
      </c>
      <c r="AI662" s="77"/>
      <c r="AJ662" s="77" t="s">
        <v>14341</v>
      </c>
      <c r="AK662" s="77" t="s">
        <v>14382</v>
      </c>
      <c r="AL662" s="77" t="s">
        <v>14391</v>
      </c>
      <c r="AM662" s="77" t="s">
        <v>14400</v>
      </c>
      <c r="AN662" s="77" t="s">
        <v>14438</v>
      </c>
      <c r="AO662" s="77" t="s">
        <v>14479</v>
      </c>
      <c r="AP662" s="77" t="s">
        <v>14516</v>
      </c>
      <c r="AQ662" s="77"/>
      <c r="AR662" s="77"/>
      <c r="AS662" s="77"/>
      <c r="AT662" s="77"/>
      <c r="AU662" s="77"/>
      <c r="AV662" s="83" t="str">
        <f>HYPERLINK("https://pbs.twimg.com/profile_images/1681794337833644033/ppN4ENjp_normal.jpg")</f>
        <v>https://pbs.twimg.com/profile_images/1681794337833644033/ppN4ENjp_normal.jpg</v>
      </c>
      <c r="AW662" s="80" t="s">
        <v>16616</v>
      </c>
      <c r="AX662" s="80" t="s">
        <v>16616</v>
      </c>
      <c r="AY662" s="77"/>
      <c r="AZ662" s="80" t="s">
        <v>20380</v>
      </c>
      <c r="BA662" s="80" t="s">
        <v>20380</v>
      </c>
      <c r="BB662" s="80" t="s">
        <v>20380</v>
      </c>
      <c r="BC662" s="80" t="s">
        <v>16616</v>
      </c>
      <c r="BD662" s="80" t="s">
        <v>20246</v>
      </c>
      <c r="BE662" s="77"/>
      <c r="BF662" s="77"/>
      <c r="BG662" s="77"/>
      <c r="BH662" s="77"/>
      <c r="BI662" s="77"/>
    </row>
    <row r="663" spans="1:61" x14ac:dyDescent="0.25">
      <c r="A663" s="62" t="s">
        <v>490</v>
      </c>
      <c r="B663" s="62" t="s">
        <v>490</v>
      </c>
      <c r="C663" s="63"/>
      <c r="D663" s="64"/>
      <c r="E663" s="65"/>
      <c r="F663" s="66"/>
      <c r="G663" s="63"/>
      <c r="H663" s="67"/>
      <c r="I663" s="68"/>
      <c r="J663" s="68"/>
      <c r="K663" s="32"/>
      <c r="L663" s="75">
        <v>663</v>
      </c>
      <c r="M663" s="75"/>
      <c r="N663" s="70"/>
      <c r="O663" s="77" t="s">
        <v>179</v>
      </c>
      <c r="P663" s="79">
        <v>45097.47483796296</v>
      </c>
      <c r="Q663" s="77" t="s">
        <v>2662</v>
      </c>
      <c r="R663" s="77">
        <v>0</v>
      </c>
      <c r="S663" s="77">
        <v>0</v>
      </c>
      <c r="T663" s="77">
        <v>0</v>
      </c>
      <c r="U663" s="77">
        <v>0</v>
      </c>
      <c r="V663" s="77">
        <v>16</v>
      </c>
      <c r="W663" s="80" t="s">
        <v>6362</v>
      </c>
      <c r="X663" s="83" t="str">
        <f>HYPERLINK("https://jwnews.com.br/2023/06/20/caixa-comeca-a-cobrar-pix-de-pessoas-juridicas-em-19-de-julho/")</f>
        <v>https://jwnews.com.br/2023/06/20/caixa-comeca-a-cobrar-pix-de-pessoas-juridicas-em-19-de-julho/</v>
      </c>
      <c r="Y663" s="77" t="s">
        <v>8611</v>
      </c>
      <c r="Z663" s="77"/>
      <c r="AA663" s="77"/>
      <c r="AB663" s="77"/>
      <c r="AC663" s="80" t="s">
        <v>10541</v>
      </c>
      <c r="AD663" s="77" t="s">
        <v>10617</v>
      </c>
      <c r="AE663" s="83" t="str">
        <f>HYPERLINK("https://twitter.com/jwnews_abc/status/1671116628744974336")</f>
        <v>https://twitter.com/jwnews_abc/status/1671116628744974336</v>
      </c>
      <c r="AF663" s="79">
        <v>45097.47483796296</v>
      </c>
      <c r="AG663" s="85">
        <v>45097</v>
      </c>
      <c r="AH663" s="80" t="s">
        <v>11227</v>
      </c>
      <c r="AI663" s="77" t="b">
        <v>0</v>
      </c>
      <c r="AJ663" s="77"/>
      <c r="AK663" s="77"/>
      <c r="AL663" s="77"/>
      <c r="AM663" s="77"/>
      <c r="AN663" s="77"/>
      <c r="AO663" s="77"/>
      <c r="AP663" s="77"/>
      <c r="AQ663" s="77"/>
      <c r="AR663" s="77"/>
      <c r="AS663" s="77"/>
      <c r="AT663" s="77"/>
      <c r="AU663" s="77"/>
      <c r="AV663" s="83" t="str">
        <f>HYPERLINK("https://pbs.twimg.com/profile_images/1400474468506607618/gTXkzzb5_normal.jpg")</f>
        <v>https://pbs.twimg.com/profile_images/1400474468506607618/gTXkzzb5_normal.jpg</v>
      </c>
      <c r="AW663" s="80" t="s">
        <v>16617</v>
      </c>
      <c r="AX663" s="80" t="s">
        <v>16617</v>
      </c>
      <c r="AY663" s="77"/>
      <c r="AZ663" s="80" t="s">
        <v>20380</v>
      </c>
      <c r="BA663" s="80" t="s">
        <v>20380</v>
      </c>
      <c r="BB663" s="80" t="s">
        <v>20380</v>
      </c>
      <c r="BC663" s="80" t="s">
        <v>16617</v>
      </c>
      <c r="BD663" s="80" t="s">
        <v>20626</v>
      </c>
      <c r="BE663" s="77"/>
      <c r="BF663" s="77"/>
      <c r="BG663" s="77"/>
      <c r="BH663" s="77"/>
      <c r="BI663" s="77"/>
    </row>
    <row r="664" spans="1:61" x14ac:dyDescent="0.25">
      <c r="A664" s="62" t="s">
        <v>490</v>
      </c>
      <c r="B664" s="62" t="s">
        <v>490</v>
      </c>
      <c r="C664" s="63"/>
      <c r="D664" s="64"/>
      <c r="E664" s="65"/>
      <c r="F664" s="66"/>
      <c r="G664" s="63"/>
      <c r="H664" s="67"/>
      <c r="I664" s="68"/>
      <c r="J664" s="68"/>
      <c r="K664" s="32"/>
      <c r="L664" s="75">
        <v>664</v>
      </c>
      <c r="M664" s="75"/>
      <c r="N664" s="70"/>
      <c r="O664" s="77" t="s">
        <v>179</v>
      </c>
      <c r="P664" s="79">
        <v>45097.470879629633</v>
      </c>
      <c r="Q664" s="77" t="s">
        <v>2663</v>
      </c>
      <c r="R664" s="77">
        <v>0</v>
      </c>
      <c r="S664" s="77">
        <v>0</v>
      </c>
      <c r="T664" s="77">
        <v>0</v>
      </c>
      <c r="U664" s="77">
        <v>0</v>
      </c>
      <c r="V664" s="77">
        <v>8</v>
      </c>
      <c r="W664" s="80" t="s">
        <v>6363</v>
      </c>
      <c r="X664" s="83" t="str">
        <f>HYPERLINK("https://jwnews.com.br/2023/06/20/copom-inicia-quarta-reuniao-do-ano-para-definir-juros-basicos/")</f>
        <v>https://jwnews.com.br/2023/06/20/copom-inicia-quarta-reuniao-do-ano-para-definir-juros-basicos/</v>
      </c>
      <c r="Y664" s="77" t="s">
        <v>8611</v>
      </c>
      <c r="Z664" s="77"/>
      <c r="AA664" s="77"/>
      <c r="AB664" s="77"/>
      <c r="AC664" s="80" t="s">
        <v>10541</v>
      </c>
      <c r="AD664" s="77" t="s">
        <v>10617</v>
      </c>
      <c r="AE664" s="83" t="str">
        <f>HYPERLINK("https://twitter.com/jwnews_abc/status/1671115193340788736")</f>
        <v>https://twitter.com/jwnews_abc/status/1671115193340788736</v>
      </c>
      <c r="AF664" s="79">
        <v>45097.470879629633</v>
      </c>
      <c r="AG664" s="85">
        <v>45097</v>
      </c>
      <c r="AH664" s="80" t="s">
        <v>11228</v>
      </c>
      <c r="AI664" s="77" t="b">
        <v>0</v>
      </c>
      <c r="AJ664" s="77"/>
      <c r="AK664" s="77"/>
      <c r="AL664" s="77"/>
      <c r="AM664" s="77"/>
      <c r="AN664" s="77"/>
      <c r="AO664" s="77"/>
      <c r="AP664" s="77"/>
      <c r="AQ664" s="77"/>
      <c r="AR664" s="77"/>
      <c r="AS664" s="77"/>
      <c r="AT664" s="77"/>
      <c r="AU664" s="77"/>
      <c r="AV664" s="83" t="str">
        <f>HYPERLINK("https://pbs.twimg.com/profile_images/1400474468506607618/gTXkzzb5_normal.jpg")</f>
        <v>https://pbs.twimg.com/profile_images/1400474468506607618/gTXkzzb5_normal.jpg</v>
      </c>
      <c r="AW664" s="80" t="s">
        <v>16618</v>
      </c>
      <c r="AX664" s="80" t="s">
        <v>16618</v>
      </c>
      <c r="AY664" s="77"/>
      <c r="AZ664" s="80" t="s">
        <v>20380</v>
      </c>
      <c r="BA664" s="80" t="s">
        <v>20380</v>
      </c>
      <c r="BB664" s="80" t="s">
        <v>20380</v>
      </c>
      <c r="BC664" s="80" t="s">
        <v>16618</v>
      </c>
      <c r="BD664" s="80" t="s">
        <v>20626</v>
      </c>
      <c r="BE664" s="77"/>
      <c r="BF664" s="77"/>
      <c r="BG664" s="77"/>
      <c r="BH664" s="77"/>
      <c r="BI664" s="77"/>
    </row>
    <row r="665" spans="1:61" x14ac:dyDescent="0.25">
      <c r="A665" s="62" t="s">
        <v>491</v>
      </c>
      <c r="B665" s="62" t="s">
        <v>491</v>
      </c>
      <c r="C665" s="63"/>
      <c r="D665" s="64"/>
      <c r="E665" s="65"/>
      <c r="F665" s="66"/>
      <c r="G665" s="63"/>
      <c r="H665" s="67"/>
      <c r="I665" s="68"/>
      <c r="J665" s="68"/>
      <c r="K665" s="32"/>
      <c r="L665" s="75">
        <v>665</v>
      </c>
      <c r="M665" s="75"/>
      <c r="N665" s="70"/>
      <c r="O665" s="77" t="s">
        <v>179</v>
      </c>
      <c r="P665" s="79">
        <v>45121.895833333336</v>
      </c>
      <c r="Q665" s="77" t="s">
        <v>2664</v>
      </c>
      <c r="R665" s="77">
        <v>0</v>
      </c>
      <c r="S665" s="77">
        <v>0</v>
      </c>
      <c r="T665" s="77">
        <v>0</v>
      </c>
      <c r="U665" s="77">
        <v>0</v>
      </c>
      <c r="V665" s="77">
        <v>96</v>
      </c>
      <c r="W665" s="80" t="s">
        <v>6364</v>
      </c>
      <c r="X665" s="83" t="str">
        <f>HYPERLINK("https://n9.cl/z8016")</f>
        <v>https://n9.cl/z8016</v>
      </c>
      <c r="Y665" s="77" t="s">
        <v>8681</v>
      </c>
      <c r="Z665" s="77"/>
      <c r="AA665" s="77" t="s">
        <v>9222</v>
      </c>
      <c r="AB665" s="77" t="s">
        <v>10535</v>
      </c>
      <c r="AC665" s="80" t="s">
        <v>10541</v>
      </c>
      <c r="AD665" s="77" t="s">
        <v>10620</v>
      </c>
      <c r="AE665" s="83" t="str">
        <f>HYPERLINK("https://twitter.com/independientsoy/status/1679966500034080768")</f>
        <v>https://twitter.com/independientsoy/status/1679966500034080768</v>
      </c>
      <c r="AF665" s="79">
        <v>45121.895833333336</v>
      </c>
      <c r="AG665" s="85">
        <v>45121</v>
      </c>
      <c r="AH665" s="80" t="s">
        <v>10852</v>
      </c>
      <c r="AI665" s="77" t="b">
        <v>0</v>
      </c>
      <c r="AJ665" s="77"/>
      <c r="AK665" s="77"/>
      <c r="AL665" s="77"/>
      <c r="AM665" s="77"/>
      <c r="AN665" s="77"/>
      <c r="AO665" s="77"/>
      <c r="AP665" s="77"/>
      <c r="AQ665" s="77" t="s">
        <v>14704</v>
      </c>
      <c r="AR665" s="77"/>
      <c r="AS665" s="77"/>
      <c r="AT665" s="77"/>
      <c r="AU665" s="77"/>
      <c r="AV665" s="83" t="str">
        <f>HYPERLINK("https://pbs.twimg.com/media/F1BqApVX0AErnwj.jpg")</f>
        <v>https://pbs.twimg.com/media/F1BqApVX0AErnwj.jpg</v>
      </c>
      <c r="AW665" s="80" t="s">
        <v>16619</v>
      </c>
      <c r="AX665" s="80" t="s">
        <v>16619</v>
      </c>
      <c r="AY665" s="77"/>
      <c r="AZ665" s="80" t="s">
        <v>20380</v>
      </c>
      <c r="BA665" s="80" t="s">
        <v>20380</v>
      </c>
      <c r="BB665" s="80" t="s">
        <v>20380</v>
      </c>
      <c r="BC665" s="80" t="s">
        <v>16619</v>
      </c>
      <c r="BD665" s="80" t="s">
        <v>20627</v>
      </c>
      <c r="BE665" s="77"/>
      <c r="BF665" s="77"/>
      <c r="BG665" s="77"/>
      <c r="BH665" s="77"/>
      <c r="BI665" s="77"/>
    </row>
    <row r="666" spans="1:61" x14ac:dyDescent="0.25">
      <c r="A666" s="62" t="s">
        <v>492</v>
      </c>
      <c r="B666" s="62" t="s">
        <v>492</v>
      </c>
      <c r="C666" s="63"/>
      <c r="D666" s="64"/>
      <c r="E666" s="65"/>
      <c r="F666" s="66"/>
      <c r="G666" s="63"/>
      <c r="H666" s="67"/>
      <c r="I666" s="68"/>
      <c r="J666" s="68"/>
      <c r="K666" s="32"/>
      <c r="L666" s="75">
        <v>666</v>
      </c>
      <c r="M666" s="75"/>
      <c r="N666" s="70"/>
      <c r="O666" s="77" t="s">
        <v>2078</v>
      </c>
      <c r="P666" s="79">
        <v>45106.100856481484</v>
      </c>
      <c r="Q666" s="77" t="s">
        <v>2665</v>
      </c>
      <c r="R666" s="77">
        <v>0</v>
      </c>
      <c r="S666" s="77">
        <v>0</v>
      </c>
      <c r="T666" s="77">
        <v>0</v>
      </c>
      <c r="U666" s="77">
        <v>0</v>
      </c>
      <c r="V666" s="77">
        <v>19</v>
      </c>
      <c r="W666" s="80" t="s">
        <v>6365</v>
      </c>
      <c r="X666" s="77"/>
      <c r="Y666" s="77"/>
      <c r="Z666" s="77"/>
      <c r="AA666" s="77"/>
      <c r="AB666" s="77"/>
      <c r="AC666" s="80" t="s">
        <v>10540</v>
      </c>
      <c r="AD666" s="77" t="s">
        <v>10617</v>
      </c>
      <c r="AE666" s="83" t="str">
        <f>HYPERLINK("https://twitter.com/wellingtonsmabc/status/1674242591871627265")</f>
        <v>https://twitter.com/wellingtonsmabc/status/1674242591871627265</v>
      </c>
      <c r="AF666" s="79">
        <v>45106.100856481484</v>
      </c>
      <c r="AG666" s="85">
        <v>45106</v>
      </c>
      <c r="AH666" s="80" t="s">
        <v>11229</v>
      </c>
      <c r="AI666" s="77"/>
      <c r="AJ666" s="77" t="s">
        <v>14348</v>
      </c>
      <c r="AK666" s="77" t="s">
        <v>14382</v>
      </c>
      <c r="AL666" s="77" t="s">
        <v>14391</v>
      </c>
      <c r="AM666" s="77" t="s">
        <v>14405</v>
      </c>
      <c r="AN666" s="86" t="s">
        <v>14445</v>
      </c>
      <c r="AO666" s="77" t="s">
        <v>14484</v>
      </c>
      <c r="AP666" s="77" t="s">
        <v>14516</v>
      </c>
      <c r="AQ666" s="77"/>
      <c r="AR666" s="77"/>
      <c r="AS666" s="77"/>
      <c r="AT666" s="77"/>
      <c r="AU666" s="77"/>
      <c r="AV666" s="83" t="str">
        <f>HYPERLINK("https://pbs.twimg.com/profile_images/1612210209128071170/NN8f7ffQ_normal.jpg")</f>
        <v>https://pbs.twimg.com/profile_images/1612210209128071170/NN8f7ffQ_normal.jpg</v>
      </c>
      <c r="AW666" s="80" t="s">
        <v>16620</v>
      </c>
      <c r="AX666" s="80" t="s">
        <v>19993</v>
      </c>
      <c r="AY666" s="80" t="s">
        <v>20247</v>
      </c>
      <c r="AZ666" s="80" t="s">
        <v>19993</v>
      </c>
      <c r="BA666" s="80" t="s">
        <v>20380</v>
      </c>
      <c r="BB666" s="80" t="s">
        <v>20380</v>
      </c>
      <c r="BC666" s="80" t="s">
        <v>19993</v>
      </c>
      <c r="BD666" s="77">
        <v>217186311</v>
      </c>
      <c r="BE666" s="77"/>
      <c r="BF666" s="77"/>
      <c r="BG666" s="77"/>
      <c r="BH666" s="77"/>
      <c r="BI666" s="77"/>
    </row>
    <row r="667" spans="1:61" x14ac:dyDescent="0.25">
      <c r="A667" s="62" t="s">
        <v>493</v>
      </c>
      <c r="B667" s="62" t="s">
        <v>493</v>
      </c>
      <c r="C667" s="63"/>
      <c r="D667" s="64"/>
      <c r="E667" s="65"/>
      <c r="F667" s="66"/>
      <c r="G667" s="63"/>
      <c r="H667" s="67"/>
      <c r="I667" s="68"/>
      <c r="J667" s="68"/>
      <c r="K667" s="32"/>
      <c r="L667" s="75">
        <v>667</v>
      </c>
      <c r="M667" s="75"/>
      <c r="N667" s="70"/>
      <c r="O667" s="77" t="s">
        <v>179</v>
      </c>
      <c r="P667" s="79">
        <v>45127.84815972222</v>
      </c>
      <c r="Q667" s="77" t="s">
        <v>2666</v>
      </c>
      <c r="R667" s="77">
        <v>0</v>
      </c>
      <c r="S667" s="77">
        <v>1</v>
      </c>
      <c r="T667" s="77">
        <v>0</v>
      </c>
      <c r="U667" s="77">
        <v>0</v>
      </c>
      <c r="V667" s="77">
        <v>5</v>
      </c>
      <c r="W667" s="80" t="s">
        <v>6366</v>
      </c>
      <c r="X667" s="77"/>
      <c r="Y667" s="77"/>
      <c r="Z667" s="77"/>
      <c r="AA667" s="77" t="s">
        <v>9223</v>
      </c>
      <c r="AB667" s="77" t="s">
        <v>10534</v>
      </c>
      <c r="AC667" s="80" t="s">
        <v>10540</v>
      </c>
      <c r="AD667" s="77" t="s">
        <v>10617</v>
      </c>
      <c r="AE667" s="83" t="str">
        <f>HYPERLINK("https://twitter.com/osbereanos/status/1682123549350195200")</f>
        <v>https://twitter.com/osbereanos/status/1682123549350195200</v>
      </c>
      <c r="AF667" s="79">
        <v>45127.84815972222</v>
      </c>
      <c r="AG667" s="85">
        <v>45127</v>
      </c>
      <c r="AH667" s="80" t="s">
        <v>11230</v>
      </c>
      <c r="AI667" s="77" t="b">
        <v>1</v>
      </c>
      <c r="AJ667" s="77"/>
      <c r="AK667" s="77"/>
      <c r="AL667" s="77"/>
      <c r="AM667" s="77"/>
      <c r="AN667" s="77"/>
      <c r="AO667" s="77"/>
      <c r="AP667" s="77"/>
      <c r="AQ667" s="77" t="s">
        <v>14705</v>
      </c>
      <c r="AR667" s="77">
        <v>52752</v>
      </c>
      <c r="AS667" s="77"/>
      <c r="AT667" s="77"/>
      <c r="AU667" s="77"/>
      <c r="AV667" s="83" t="str">
        <f>HYPERLINK("https://pbs.twimg.com/ext_tw_video_thumb/1682123464881106944/pu/img/u7o0o-SyLVaR2-t6.jpg")</f>
        <v>https://pbs.twimg.com/ext_tw_video_thumb/1682123464881106944/pu/img/u7o0o-SyLVaR2-t6.jpg</v>
      </c>
      <c r="AW667" s="80" t="s">
        <v>16621</v>
      </c>
      <c r="AX667" s="80" t="s">
        <v>16621</v>
      </c>
      <c r="AY667" s="77"/>
      <c r="AZ667" s="80" t="s">
        <v>20380</v>
      </c>
      <c r="BA667" s="80" t="s">
        <v>20380</v>
      </c>
      <c r="BB667" s="80" t="s">
        <v>20380</v>
      </c>
      <c r="BC667" s="80" t="s">
        <v>16621</v>
      </c>
      <c r="BD667" s="80" t="s">
        <v>20628</v>
      </c>
      <c r="BE667" s="77"/>
      <c r="BF667" s="77"/>
      <c r="BG667" s="77"/>
      <c r="BH667" s="77"/>
      <c r="BI667" s="77"/>
    </row>
    <row r="668" spans="1:61" x14ac:dyDescent="0.25">
      <c r="A668" s="62" t="s">
        <v>494</v>
      </c>
      <c r="B668" s="62" t="s">
        <v>1776</v>
      </c>
      <c r="C668" s="63"/>
      <c r="D668" s="64"/>
      <c r="E668" s="65"/>
      <c r="F668" s="66"/>
      <c r="G668" s="63"/>
      <c r="H668" s="67"/>
      <c r="I668" s="68"/>
      <c r="J668" s="68"/>
      <c r="K668" s="32"/>
      <c r="L668" s="75">
        <v>668</v>
      </c>
      <c r="M668" s="75"/>
      <c r="N668" s="70"/>
      <c r="O668" s="77" t="s">
        <v>2081</v>
      </c>
      <c r="P668" s="79">
        <v>45051.783148148148</v>
      </c>
      <c r="Q668" s="77" t="s">
        <v>2667</v>
      </c>
      <c r="R668" s="77">
        <v>0</v>
      </c>
      <c r="S668" s="77">
        <v>1</v>
      </c>
      <c r="T668" s="77">
        <v>1</v>
      </c>
      <c r="U668" s="77">
        <v>0</v>
      </c>
      <c r="V668" s="77">
        <v>228</v>
      </c>
      <c r="W668" s="80" t="s">
        <v>5884</v>
      </c>
      <c r="X668" s="77"/>
      <c r="Y668" s="77"/>
      <c r="Z668" s="77" t="s">
        <v>1776</v>
      </c>
      <c r="AA668" s="77"/>
      <c r="AB668" s="77"/>
      <c r="AC668" s="80" t="s">
        <v>10540</v>
      </c>
      <c r="AD668" s="77" t="s">
        <v>10620</v>
      </c>
      <c r="AE668" s="83" t="str">
        <f>HYPERLINK("https://twitter.com/cgratereaux/status/1654558514063220739")</f>
        <v>https://twitter.com/cgratereaux/status/1654558514063220739</v>
      </c>
      <c r="AF668" s="79">
        <v>45051.783148148148</v>
      </c>
      <c r="AG668" s="85">
        <v>45051</v>
      </c>
      <c r="AH668" s="80" t="s">
        <v>11231</v>
      </c>
      <c r="AI668" s="77"/>
      <c r="AJ668" s="77"/>
      <c r="AK668" s="77"/>
      <c r="AL668" s="77"/>
      <c r="AM668" s="77"/>
      <c r="AN668" s="77"/>
      <c r="AO668" s="77"/>
      <c r="AP668" s="77"/>
      <c r="AQ668" s="77"/>
      <c r="AR668" s="77"/>
      <c r="AS668" s="77"/>
      <c r="AT668" s="77"/>
      <c r="AU668" s="77"/>
      <c r="AV668" s="83" t="str">
        <f>HYPERLINK("https://pbs.twimg.com/profile_images/1374370450885783553/ahZa3O2j_normal.jpg")</f>
        <v>https://pbs.twimg.com/profile_images/1374370450885783553/ahZa3O2j_normal.jpg</v>
      </c>
      <c r="AW668" s="80" t="s">
        <v>16622</v>
      </c>
      <c r="AX668" s="80" t="s">
        <v>16622</v>
      </c>
      <c r="AY668" s="77"/>
      <c r="AZ668" s="80" t="s">
        <v>20380</v>
      </c>
      <c r="BA668" s="80" t="s">
        <v>20380</v>
      </c>
      <c r="BB668" s="80" t="s">
        <v>20380</v>
      </c>
      <c r="BC668" s="80" t="s">
        <v>16622</v>
      </c>
      <c r="BD668" s="77">
        <v>29450646</v>
      </c>
      <c r="BE668" s="77"/>
      <c r="BF668" s="77"/>
      <c r="BG668" s="77"/>
      <c r="BH668" s="77"/>
      <c r="BI668" s="77"/>
    </row>
    <row r="669" spans="1:61" x14ac:dyDescent="0.25">
      <c r="A669" s="62" t="s">
        <v>495</v>
      </c>
      <c r="B669" s="62" t="s">
        <v>495</v>
      </c>
      <c r="C669" s="63"/>
      <c r="D669" s="64"/>
      <c r="E669" s="65"/>
      <c r="F669" s="66"/>
      <c r="G669" s="63"/>
      <c r="H669" s="67"/>
      <c r="I669" s="68"/>
      <c r="J669" s="68"/>
      <c r="K669" s="32"/>
      <c r="L669" s="75">
        <v>669</v>
      </c>
      <c r="M669" s="75"/>
      <c r="N669" s="70"/>
      <c r="O669" s="77" t="s">
        <v>179</v>
      </c>
      <c r="P669" s="79">
        <v>45111.289988425924</v>
      </c>
      <c r="Q669" s="77" t="s">
        <v>2668</v>
      </c>
      <c r="R669" s="77">
        <v>115</v>
      </c>
      <c r="S669" s="77">
        <v>460</v>
      </c>
      <c r="T669" s="77">
        <v>24</v>
      </c>
      <c r="U669" s="77">
        <v>4</v>
      </c>
      <c r="V669" s="77">
        <v>30278</v>
      </c>
      <c r="W669" s="77"/>
      <c r="X669" s="83" t="str">
        <f>HYPERLINK("https://www.ft.com/content/3e46ef18-1c75-4fc3-81fa-37fc580659c1")</f>
        <v>https://www.ft.com/content/3e46ef18-1c75-4fc3-81fa-37fc580659c1</v>
      </c>
      <c r="Y669" s="77" t="s">
        <v>8682</v>
      </c>
      <c r="Z669" s="77"/>
      <c r="AA669" s="77"/>
      <c r="AB669" s="77"/>
      <c r="AC669" s="80" t="s">
        <v>10541</v>
      </c>
      <c r="AD669" s="77" t="s">
        <v>10622</v>
      </c>
      <c r="AE669" s="83" t="str">
        <f>HYPERLINK("https://twitter.com/danielagabor/status/1676123068710678528")</f>
        <v>https://twitter.com/danielagabor/status/1676123068710678528</v>
      </c>
      <c r="AF669" s="79">
        <v>45111.289988425924</v>
      </c>
      <c r="AG669" s="85">
        <v>45111</v>
      </c>
      <c r="AH669" s="80" t="s">
        <v>11232</v>
      </c>
      <c r="AI669" s="77" t="b">
        <v>0</v>
      </c>
      <c r="AJ669" s="77"/>
      <c r="AK669" s="77"/>
      <c r="AL669" s="77"/>
      <c r="AM669" s="77"/>
      <c r="AN669" s="77"/>
      <c r="AO669" s="77"/>
      <c r="AP669" s="77"/>
      <c r="AQ669" s="77"/>
      <c r="AR669" s="77"/>
      <c r="AS669" s="77"/>
      <c r="AT669" s="77"/>
      <c r="AU669" s="77"/>
      <c r="AV669" s="83" t="str">
        <f>HYPERLINK("https://pbs.twimg.com/profile_images/876854388626776064/E8sDnmRO_normal.jpg")</f>
        <v>https://pbs.twimg.com/profile_images/876854388626776064/E8sDnmRO_normal.jpg</v>
      </c>
      <c r="AW669" s="80" t="s">
        <v>16623</v>
      </c>
      <c r="AX669" s="80" t="s">
        <v>16623</v>
      </c>
      <c r="AY669" s="77"/>
      <c r="AZ669" s="80" t="s">
        <v>20380</v>
      </c>
      <c r="BA669" s="80" t="s">
        <v>20380</v>
      </c>
      <c r="BB669" s="80" t="s">
        <v>20380</v>
      </c>
      <c r="BC669" s="80" t="s">
        <v>16623</v>
      </c>
      <c r="BD669" s="77">
        <v>111349115</v>
      </c>
      <c r="BE669" s="77"/>
      <c r="BF669" s="77"/>
      <c r="BG669" s="77"/>
      <c r="BH669" s="77"/>
      <c r="BI669" s="77"/>
    </row>
    <row r="670" spans="1:61" x14ac:dyDescent="0.25">
      <c r="A670" s="62" t="s">
        <v>496</v>
      </c>
      <c r="B670" s="62" t="s">
        <v>1777</v>
      </c>
      <c r="C670" s="63"/>
      <c r="D670" s="64"/>
      <c r="E670" s="65"/>
      <c r="F670" s="66"/>
      <c r="G670" s="63"/>
      <c r="H670" s="67"/>
      <c r="I670" s="68"/>
      <c r="J670" s="68"/>
      <c r="K670" s="32"/>
      <c r="L670" s="75">
        <v>670</v>
      </c>
      <c r="M670" s="75"/>
      <c r="N670" s="70"/>
      <c r="O670" s="77" t="s">
        <v>2081</v>
      </c>
      <c r="P670" s="79">
        <v>45082.475659722222</v>
      </c>
      <c r="Q670" s="77" t="s">
        <v>2669</v>
      </c>
      <c r="R670" s="77">
        <v>0</v>
      </c>
      <c r="S670" s="77">
        <v>1</v>
      </c>
      <c r="T670" s="77">
        <v>2</v>
      </c>
      <c r="U670" s="77">
        <v>0</v>
      </c>
      <c r="V670" s="77">
        <v>331</v>
      </c>
      <c r="W670" s="80" t="s">
        <v>6367</v>
      </c>
      <c r="X670" s="77"/>
      <c r="Y670" s="77"/>
      <c r="Z670" s="77" t="s">
        <v>8927</v>
      </c>
      <c r="AA670" s="77" t="s">
        <v>9224</v>
      </c>
      <c r="AB670" s="77" t="s">
        <v>10535</v>
      </c>
      <c r="AC670" s="80" t="s">
        <v>10540</v>
      </c>
      <c r="AD670" s="77" t="s">
        <v>10617</v>
      </c>
      <c r="AE670" s="83" t="str">
        <f>HYPERLINK("https://twitter.com/raphael08402245/status/1665681106455199745")</f>
        <v>https://twitter.com/raphael08402245/status/1665681106455199745</v>
      </c>
      <c r="AF670" s="79">
        <v>45082.475659722222</v>
      </c>
      <c r="AG670" s="85">
        <v>45082</v>
      </c>
      <c r="AH670" s="80" t="s">
        <v>11233</v>
      </c>
      <c r="AI670" s="77" t="b">
        <v>0</v>
      </c>
      <c r="AJ670" s="77"/>
      <c r="AK670" s="77"/>
      <c r="AL670" s="77"/>
      <c r="AM670" s="77"/>
      <c r="AN670" s="77"/>
      <c r="AO670" s="77"/>
      <c r="AP670" s="77"/>
      <c r="AQ670" s="77" t="s">
        <v>14706</v>
      </c>
      <c r="AR670" s="77"/>
      <c r="AS670" s="77"/>
      <c r="AT670" s="77"/>
      <c r="AU670" s="77"/>
      <c r="AV670" s="83" t="str">
        <f>HYPERLINK("https://pbs.twimg.com/media/Fx2wI34XsAIQIjb.jpg")</f>
        <v>https://pbs.twimg.com/media/Fx2wI34XsAIQIjb.jpg</v>
      </c>
      <c r="AW670" s="80" t="s">
        <v>16624</v>
      </c>
      <c r="AX670" s="80" t="s">
        <v>16624</v>
      </c>
      <c r="AY670" s="77"/>
      <c r="AZ670" s="80" t="s">
        <v>20380</v>
      </c>
      <c r="BA670" s="80" t="s">
        <v>20380</v>
      </c>
      <c r="BB670" s="80" t="s">
        <v>20380</v>
      </c>
      <c r="BC670" s="80" t="s">
        <v>16624</v>
      </c>
      <c r="BD670" s="80" t="s">
        <v>20629</v>
      </c>
      <c r="BE670" s="77"/>
      <c r="BF670" s="77"/>
      <c r="BG670" s="77"/>
      <c r="BH670" s="77"/>
      <c r="BI670" s="77"/>
    </row>
    <row r="671" spans="1:61" x14ac:dyDescent="0.25">
      <c r="A671" s="62" t="s">
        <v>496</v>
      </c>
      <c r="B671" s="62" t="s">
        <v>1777</v>
      </c>
      <c r="C671" s="63"/>
      <c r="D671" s="64"/>
      <c r="E671" s="65"/>
      <c r="F671" s="66"/>
      <c r="G671" s="63"/>
      <c r="H671" s="67"/>
      <c r="I671" s="68"/>
      <c r="J671" s="68"/>
      <c r="K671" s="32"/>
      <c r="L671" s="75">
        <v>671</v>
      </c>
      <c r="M671" s="75"/>
      <c r="N671" s="70"/>
      <c r="O671" s="77" t="s">
        <v>2081</v>
      </c>
      <c r="P671" s="79">
        <v>45063.847233796296</v>
      </c>
      <c r="Q671" s="77" t="s">
        <v>2670</v>
      </c>
      <c r="R671" s="77">
        <v>0</v>
      </c>
      <c r="S671" s="77">
        <v>0</v>
      </c>
      <c r="T671" s="77">
        <v>0</v>
      </c>
      <c r="U671" s="77">
        <v>0</v>
      </c>
      <c r="V671" s="77">
        <v>82</v>
      </c>
      <c r="W671" s="80" t="s">
        <v>6368</v>
      </c>
      <c r="X671" s="77"/>
      <c r="Y671" s="77"/>
      <c r="Z671" s="77" t="s">
        <v>8927</v>
      </c>
      <c r="AA671" s="77"/>
      <c r="AB671" s="77"/>
      <c r="AC671" s="80" t="s">
        <v>10540</v>
      </c>
      <c r="AD671" s="77" t="s">
        <v>10617</v>
      </c>
      <c r="AE671" s="83" t="str">
        <f>HYPERLINK("https://twitter.com/raphael08402245/status/1658930391279890433")</f>
        <v>https://twitter.com/raphael08402245/status/1658930391279890433</v>
      </c>
      <c r="AF671" s="79">
        <v>45063.847233796296</v>
      </c>
      <c r="AG671" s="85">
        <v>45063</v>
      </c>
      <c r="AH671" s="80" t="s">
        <v>11234</v>
      </c>
      <c r="AI671" s="77"/>
      <c r="AJ671" s="77"/>
      <c r="AK671" s="77"/>
      <c r="AL671" s="77"/>
      <c r="AM671" s="77"/>
      <c r="AN671" s="77"/>
      <c r="AO671" s="77"/>
      <c r="AP671" s="77"/>
      <c r="AQ671" s="77"/>
      <c r="AR671" s="77"/>
      <c r="AS671" s="77"/>
      <c r="AT671" s="77"/>
      <c r="AU671" s="77"/>
      <c r="AV671" s="83" t="str">
        <f>HYPERLINK("https://pbs.twimg.com/profile_images/1380641387130019840/KFcgL1Rj_normal.jpg")</f>
        <v>https://pbs.twimg.com/profile_images/1380641387130019840/KFcgL1Rj_normal.jpg</v>
      </c>
      <c r="AW671" s="80" t="s">
        <v>16625</v>
      </c>
      <c r="AX671" s="80" t="s">
        <v>16625</v>
      </c>
      <c r="AY671" s="77"/>
      <c r="AZ671" s="80" t="s">
        <v>20380</v>
      </c>
      <c r="BA671" s="80" t="s">
        <v>20380</v>
      </c>
      <c r="BB671" s="80" t="s">
        <v>20380</v>
      </c>
      <c r="BC671" s="80" t="s">
        <v>16625</v>
      </c>
      <c r="BD671" s="80" t="s">
        <v>20629</v>
      </c>
      <c r="BE671" s="77"/>
      <c r="BF671" s="77"/>
      <c r="BG671" s="77"/>
      <c r="BH671" s="77"/>
      <c r="BI671" s="77"/>
    </row>
    <row r="672" spans="1:61" x14ac:dyDescent="0.25">
      <c r="A672" s="62" t="s">
        <v>496</v>
      </c>
      <c r="B672" s="62" t="s">
        <v>1778</v>
      </c>
      <c r="C672" s="63"/>
      <c r="D672" s="64"/>
      <c r="E672" s="65"/>
      <c r="F672" s="66"/>
      <c r="G672" s="63"/>
      <c r="H672" s="67"/>
      <c r="I672" s="68"/>
      <c r="J672" s="68"/>
      <c r="K672" s="32"/>
      <c r="L672" s="75">
        <v>672</v>
      </c>
      <c r="M672" s="75"/>
      <c r="N672" s="70"/>
      <c r="O672" s="77" t="s">
        <v>2081</v>
      </c>
      <c r="P672" s="79">
        <v>45082.475659722222</v>
      </c>
      <c r="Q672" s="77" t="s">
        <v>2669</v>
      </c>
      <c r="R672" s="77">
        <v>0</v>
      </c>
      <c r="S672" s="77">
        <v>1</v>
      </c>
      <c r="T672" s="77">
        <v>2</v>
      </c>
      <c r="U672" s="77">
        <v>0</v>
      </c>
      <c r="V672" s="77">
        <v>331</v>
      </c>
      <c r="W672" s="80" t="s">
        <v>6367</v>
      </c>
      <c r="X672" s="77"/>
      <c r="Y672" s="77"/>
      <c r="Z672" s="77" t="s">
        <v>8927</v>
      </c>
      <c r="AA672" s="77" t="s">
        <v>9224</v>
      </c>
      <c r="AB672" s="77" t="s">
        <v>10535</v>
      </c>
      <c r="AC672" s="80" t="s">
        <v>10540</v>
      </c>
      <c r="AD672" s="77" t="s">
        <v>10617</v>
      </c>
      <c r="AE672" s="83" t="str">
        <f>HYPERLINK("https://twitter.com/raphael08402245/status/1665681106455199745")</f>
        <v>https://twitter.com/raphael08402245/status/1665681106455199745</v>
      </c>
      <c r="AF672" s="79">
        <v>45082.475659722222</v>
      </c>
      <c r="AG672" s="85">
        <v>45082</v>
      </c>
      <c r="AH672" s="80" t="s">
        <v>11233</v>
      </c>
      <c r="AI672" s="77" t="b">
        <v>0</v>
      </c>
      <c r="AJ672" s="77"/>
      <c r="AK672" s="77"/>
      <c r="AL672" s="77"/>
      <c r="AM672" s="77"/>
      <c r="AN672" s="77"/>
      <c r="AO672" s="77"/>
      <c r="AP672" s="77"/>
      <c r="AQ672" s="77" t="s">
        <v>14706</v>
      </c>
      <c r="AR672" s="77"/>
      <c r="AS672" s="77"/>
      <c r="AT672" s="77"/>
      <c r="AU672" s="77"/>
      <c r="AV672" s="83" t="str">
        <f>HYPERLINK("https://pbs.twimg.com/media/Fx2wI34XsAIQIjb.jpg")</f>
        <v>https://pbs.twimg.com/media/Fx2wI34XsAIQIjb.jpg</v>
      </c>
      <c r="AW672" s="80" t="s">
        <v>16624</v>
      </c>
      <c r="AX672" s="80" t="s">
        <v>16624</v>
      </c>
      <c r="AY672" s="77"/>
      <c r="AZ672" s="80" t="s">
        <v>20380</v>
      </c>
      <c r="BA672" s="80" t="s">
        <v>20380</v>
      </c>
      <c r="BB672" s="80" t="s">
        <v>20380</v>
      </c>
      <c r="BC672" s="80" t="s">
        <v>16624</v>
      </c>
      <c r="BD672" s="80" t="s">
        <v>20629</v>
      </c>
      <c r="BE672" s="77"/>
      <c r="BF672" s="77"/>
      <c r="BG672" s="77"/>
      <c r="BH672" s="77"/>
      <c r="BI672" s="77"/>
    </row>
    <row r="673" spans="1:61" x14ac:dyDescent="0.25">
      <c r="A673" s="62" t="s">
        <v>496</v>
      </c>
      <c r="B673" s="62" t="s">
        <v>1624</v>
      </c>
      <c r="C673" s="63"/>
      <c r="D673" s="64"/>
      <c r="E673" s="65"/>
      <c r="F673" s="66"/>
      <c r="G673" s="63"/>
      <c r="H673" s="67"/>
      <c r="I673" s="68"/>
      <c r="J673" s="68"/>
      <c r="K673" s="32"/>
      <c r="L673" s="75">
        <v>673</v>
      </c>
      <c r="M673" s="75"/>
      <c r="N673" s="70"/>
      <c r="O673" s="77" t="s">
        <v>2081</v>
      </c>
      <c r="P673" s="79">
        <v>45082.475659722222</v>
      </c>
      <c r="Q673" s="77" t="s">
        <v>2669</v>
      </c>
      <c r="R673" s="77">
        <v>0</v>
      </c>
      <c r="S673" s="77">
        <v>1</v>
      </c>
      <c r="T673" s="77">
        <v>2</v>
      </c>
      <c r="U673" s="77">
        <v>0</v>
      </c>
      <c r="V673" s="77">
        <v>331</v>
      </c>
      <c r="W673" s="80" t="s">
        <v>6367</v>
      </c>
      <c r="X673" s="77"/>
      <c r="Y673" s="77"/>
      <c r="Z673" s="77" t="s">
        <v>8927</v>
      </c>
      <c r="AA673" s="77" t="s">
        <v>9224</v>
      </c>
      <c r="AB673" s="77" t="s">
        <v>10535</v>
      </c>
      <c r="AC673" s="80" t="s">
        <v>10540</v>
      </c>
      <c r="AD673" s="77" t="s">
        <v>10617</v>
      </c>
      <c r="AE673" s="83" t="str">
        <f>HYPERLINK("https://twitter.com/raphael08402245/status/1665681106455199745")</f>
        <v>https://twitter.com/raphael08402245/status/1665681106455199745</v>
      </c>
      <c r="AF673" s="79">
        <v>45082.475659722222</v>
      </c>
      <c r="AG673" s="85">
        <v>45082</v>
      </c>
      <c r="AH673" s="80" t="s">
        <v>11233</v>
      </c>
      <c r="AI673" s="77" t="b">
        <v>0</v>
      </c>
      <c r="AJ673" s="77"/>
      <c r="AK673" s="77"/>
      <c r="AL673" s="77"/>
      <c r="AM673" s="77"/>
      <c r="AN673" s="77"/>
      <c r="AO673" s="77"/>
      <c r="AP673" s="77"/>
      <c r="AQ673" s="77" t="s">
        <v>14706</v>
      </c>
      <c r="AR673" s="77"/>
      <c r="AS673" s="77"/>
      <c r="AT673" s="77"/>
      <c r="AU673" s="77"/>
      <c r="AV673" s="83" t="str">
        <f>HYPERLINK("https://pbs.twimg.com/media/Fx2wI34XsAIQIjb.jpg")</f>
        <v>https://pbs.twimg.com/media/Fx2wI34XsAIQIjb.jpg</v>
      </c>
      <c r="AW673" s="80" t="s">
        <v>16624</v>
      </c>
      <c r="AX673" s="80" t="s">
        <v>16624</v>
      </c>
      <c r="AY673" s="77"/>
      <c r="AZ673" s="80" t="s">
        <v>20380</v>
      </c>
      <c r="BA673" s="80" t="s">
        <v>20380</v>
      </c>
      <c r="BB673" s="80" t="s">
        <v>20380</v>
      </c>
      <c r="BC673" s="80" t="s">
        <v>16624</v>
      </c>
      <c r="BD673" s="80" t="s">
        <v>20629</v>
      </c>
      <c r="BE673" s="77"/>
      <c r="BF673" s="77"/>
      <c r="BG673" s="77"/>
      <c r="BH673" s="77"/>
      <c r="BI673" s="77"/>
    </row>
    <row r="674" spans="1:61" x14ac:dyDescent="0.25">
      <c r="A674" s="62" t="s">
        <v>496</v>
      </c>
      <c r="B674" s="62" t="s">
        <v>1778</v>
      </c>
      <c r="C674" s="63"/>
      <c r="D674" s="64"/>
      <c r="E674" s="65"/>
      <c r="F674" s="66"/>
      <c r="G674" s="63"/>
      <c r="H674" s="67"/>
      <c r="I674" s="68"/>
      <c r="J674" s="68"/>
      <c r="K674" s="32"/>
      <c r="L674" s="75">
        <v>674</v>
      </c>
      <c r="M674" s="75"/>
      <c r="N674" s="70"/>
      <c r="O674" s="77" t="s">
        <v>2081</v>
      </c>
      <c r="P674" s="79">
        <v>45063.847233796296</v>
      </c>
      <c r="Q674" s="77" t="s">
        <v>2670</v>
      </c>
      <c r="R674" s="77">
        <v>0</v>
      </c>
      <c r="S674" s="77">
        <v>0</v>
      </c>
      <c r="T674" s="77">
        <v>0</v>
      </c>
      <c r="U674" s="77">
        <v>0</v>
      </c>
      <c r="V674" s="77">
        <v>82</v>
      </c>
      <c r="W674" s="80" t="s">
        <v>6368</v>
      </c>
      <c r="X674" s="77"/>
      <c r="Y674" s="77"/>
      <c r="Z674" s="77" t="s">
        <v>8927</v>
      </c>
      <c r="AA674" s="77"/>
      <c r="AB674" s="77"/>
      <c r="AC674" s="80" t="s">
        <v>10540</v>
      </c>
      <c r="AD674" s="77" t="s">
        <v>10617</v>
      </c>
      <c r="AE674" s="83" t="str">
        <f>HYPERLINK("https://twitter.com/raphael08402245/status/1658930391279890433")</f>
        <v>https://twitter.com/raphael08402245/status/1658930391279890433</v>
      </c>
      <c r="AF674" s="79">
        <v>45063.847233796296</v>
      </c>
      <c r="AG674" s="85">
        <v>45063</v>
      </c>
      <c r="AH674" s="80" t="s">
        <v>11234</v>
      </c>
      <c r="AI674" s="77"/>
      <c r="AJ674" s="77"/>
      <c r="AK674" s="77"/>
      <c r="AL674" s="77"/>
      <c r="AM674" s="77"/>
      <c r="AN674" s="77"/>
      <c r="AO674" s="77"/>
      <c r="AP674" s="77"/>
      <c r="AQ674" s="77"/>
      <c r="AR674" s="77"/>
      <c r="AS674" s="77"/>
      <c r="AT674" s="77"/>
      <c r="AU674" s="77"/>
      <c r="AV674" s="83" t="str">
        <f>HYPERLINK("https://pbs.twimg.com/profile_images/1380641387130019840/KFcgL1Rj_normal.jpg")</f>
        <v>https://pbs.twimg.com/profile_images/1380641387130019840/KFcgL1Rj_normal.jpg</v>
      </c>
      <c r="AW674" s="80" t="s">
        <v>16625</v>
      </c>
      <c r="AX674" s="80" t="s">
        <v>16625</v>
      </c>
      <c r="AY674" s="77"/>
      <c r="AZ674" s="80" t="s">
        <v>20380</v>
      </c>
      <c r="BA674" s="80" t="s">
        <v>20380</v>
      </c>
      <c r="BB674" s="80" t="s">
        <v>20380</v>
      </c>
      <c r="BC674" s="80" t="s">
        <v>16625</v>
      </c>
      <c r="BD674" s="80" t="s">
        <v>20629</v>
      </c>
      <c r="BE674" s="77"/>
      <c r="BF674" s="77"/>
      <c r="BG674" s="77"/>
      <c r="BH674" s="77"/>
      <c r="BI674" s="77"/>
    </row>
    <row r="675" spans="1:61" x14ac:dyDescent="0.25">
      <c r="A675" s="62" t="s">
        <v>496</v>
      </c>
      <c r="B675" s="62" t="s">
        <v>1624</v>
      </c>
      <c r="C675" s="63"/>
      <c r="D675" s="64"/>
      <c r="E675" s="65"/>
      <c r="F675" s="66"/>
      <c r="G675" s="63"/>
      <c r="H675" s="67"/>
      <c r="I675" s="68"/>
      <c r="J675" s="68"/>
      <c r="K675" s="32"/>
      <c r="L675" s="75">
        <v>675</v>
      </c>
      <c r="M675" s="75"/>
      <c r="N675" s="70"/>
      <c r="O675" s="77" t="s">
        <v>2081</v>
      </c>
      <c r="P675" s="79">
        <v>45063.847233796296</v>
      </c>
      <c r="Q675" s="77" t="s">
        <v>2670</v>
      </c>
      <c r="R675" s="77">
        <v>0</v>
      </c>
      <c r="S675" s="77">
        <v>0</v>
      </c>
      <c r="T675" s="77">
        <v>0</v>
      </c>
      <c r="U675" s="77">
        <v>0</v>
      </c>
      <c r="V675" s="77">
        <v>82</v>
      </c>
      <c r="W675" s="80" t="s">
        <v>6368</v>
      </c>
      <c r="X675" s="77"/>
      <c r="Y675" s="77"/>
      <c r="Z675" s="77" t="s">
        <v>8927</v>
      </c>
      <c r="AA675" s="77"/>
      <c r="AB675" s="77"/>
      <c r="AC675" s="80" t="s">
        <v>10540</v>
      </c>
      <c r="AD675" s="77" t="s">
        <v>10617</v>
      </c>
      <c r="AE675" s="83" t="str">
        <f>HYPERLINK("https://twitter.com/raphael08402245/status/1658930391279890433")</f>
        <v>https://twitter.com/raphael08402245/status/1658930391279890433</v>
      </c>
      <c r="AF675" s="79">
        <v>45063.847233796296</v>
      </c>
      <c r="AG675" s="85">
        <v>45063</v>
      </c>
      <c r="AH675" s="80" t="s">
        <v>11234</v>
      </c>
      <c r="AI675" s="77"/>
      <c r="AJ675" s="77"/>
      <c r="AK675" s="77"/>
      <c r="AL675" s="77"/>
      <c r="AM675" s="77"/>
      <c r="AN675" s="77"/>
      <c r="AO675" s="77"/>
      <c r="AP675" s="77"/>
      <c r="AQ675" s="77"/>
      <c r="AR675" s="77"/>
      <c r="AS675" s="77"/>
      <c r="AT675" s="77"/>
      <c r="AU675" s="77"/>
      <c r="AV675" s="83" t="str">
        <f>HYPERLINK("https://pbs.twimg.com/profile_images/1380641387130019840/KFcgL1Rj_normal.jpg")</f>
        <v>https://pbs.twimg.com/profile_images/1380641387130019840/KFcgL1Rj_normal.jpg</v>
      </c>
      <c r="AW675" s="80" t="s">
        <v>16625</v>
      </c>
      <c r="AX675" s="80" t="s">
        <v>16625</v>
      </c>
      <c r="AY675" s="77"/>
      <c r="AZ675" s="80" t="s">
        <v>20380</v>
      </c>
      <c r="BA675" s="80" t="s">
        <v>20380</v>
      </c>
      <c r="BB675" s="80" t="s">
        <v>20380</v>
      </c>
      <c r="BC675" s="80" t="s">
        <v>16625</v>
      </c>
      <c r="BD675" s="80" t="s">
        <v>20629</v>
      </c>
      <c r="BE675" s="77"/>
      <c r="BF675" s="77"/>
      <c r="BG675" s="77"/>
      <c r="BH675" s="77"/>
      <c r="BI675" s="77"/>
    </row>
    <row r="676" spans="1:61" x14ac:dyDescent="0.25">
      <c r="A676" s="62" t="s">
        <v>496</v>
      </c>
      <c r="B676" s="62" t="s">
        <v>1778</v>
      </c>
      <c r="C676" s="63"/>
      <c r="D676" s="64"/>
      <c r="E676" s="65"/>
      <c r="F676" s="66"/>
      <c r="G676" s="63"/>
      <c r="H676" s="67"/>
      <c r="I676" s="68"/>
      <c r="J676" s="68"/>
      <c r="K676" s="32"/>
      <c r="L676" s="75">
        <v>676</v>
      </c>
      <c r="M676" s="75"/>
      <c r="N676" s="70"/>
      <c r="O676" s="77" t="s">
        <v>2081</v>
      </c>
      <c r="P676" s="79">
        <v>45099.494317129633</v>
      </c>
      <c r="Q676" s="77" t="s">
        <v>2671</v>
      </c>
      <c r="R676" s="77">
        <v>0</v>
      </c>
      <c r="S676" s="77">
        <v>1</v>
      </c>
      <c r="T676" s="77">
        <v>1</v>
      </c>
      <c r="U676" s="77">
        <v>0</v>
      </c>
      <c r="V676" s="77">
        <v>99</v>
      </c>
      <c r="W676" s="80" t="s">
        <v>6369</v>
      </c>
      <c r="X676" s="77"/>
      <c r="Y676" s="77"/>
      <c r="Z676" s="77" t="s">
        <v>8928</v>
      </c>
      <c r="AA676" s="77" t="s">
        <v>9225</v>
      </c>
      <c r="AB676" s="77" t="s">
        <v>10535</v>
      </c>
      <c r="AC676" s="80" t="s">
        <v>10540</v>
      </c>
      <c r="AD676" s="77" t="s">
        <v>10617</v>
      </c>
      <c r="AE676" s="83" t="str">
        <f>HYPERLINK("https://twitter.com/raphael08402245/status/1671848462042710017")</f>
        <v>https://twitter.com/raphael08402245/status/1671848462042710017</v>
      </c>
      <c r="AF676" s="79">
        <v>45099.494317129633</v>
      </c>
      <c r="AG676" s="85">
        <v>45099</v>
      </c>
      <c r="AH676" s="80" t="s">
        <v>11235</v>
      </c>
      <c r="AI676" s="77" t="b">
        <v>0</v>
      </c>
      <c r="AJ676" s="77"/>
      <c r="AK676" s="77"/>
      <c r="AL676" s="77"/>
      <c r="AM676" s="77"/>
      <c r="AN676" s="77"/>
      <c r="AO676" s="77"/>
      <c r="AP676" s="77"/>
      <c r="AQ676" s="77" t="s">
        <v>14707</v>
      </c>
      <c r="AR676" s="77"/>
      <c r="AS676" s="77"/>
      <c r="AT676" s="77"/>
      <c r="AU676" s="77"/>
      <c r="AV676" s="83" t="str">
        <f>HYPERLINK("https://pbs.twimg.com/media/FzOZUOBXwAASH3y.jpg")</f>
        <v>https://pbs.twimg.com/media/FzOZUOBXwAASH3y.jpg</v>
      </c>
      <c r="AW676" s="80" t="s">
        <v>16626</v>
      </c>
      <c r="AX676" s="80" t="s">
        <v>16626</v>
      </c>
      <c r="AY676" s="77"/>
      <c r="AZ676" s="80" t="s">
        <v>20380</v>
      </c>
      <c r="BA676" s="80" t="s">
        <v>20380</v>
      </c>
      <c r="BB676" s="80" t="s">
        <v>20380</v>
      </c>
      <c r="BC676" s="80" t="s">
        <v>16626</v>
      </c>
      <c r="BD676" s="80" t="s">
        <v>20629</v>
      </c>
      <c r="BE676" s="77"/>
      <c r="BF676" s="77"/>
      <c r="BG676" s="77"/>
      <c r="BH676" s="77"/>
      <c r="BI676" s="77"/>
    </row>
    <row r="677" spans="1:61" x14ac:dyDescent="0.25">
      <c r="A677" s="62" t="s">
        <v>496</v>
      </c>
      <c r="B677" s="62" t="s">
        <v>1624</v>
      </c>
      <c r="C677" s="63"/>
      <c r="D677" s="64"/>
      <c r="E677" s="65"/>
      <c r="F677" s="66"/>
      <c r="G677" s="63"/>
      <c r="H677" s="67"/>
      <c r="I677" s="68"/>
      <c r="J677" s="68"/>
      <c r="K677" s="32"/>
      <c r="L677" s="75">
        <v>677</v>
      </c>
      <c r="M677" s="75"/>
      <c r="N677" s="70"/>
      <c r="O677" s="77" t="s">
        <v>2081</v>
      </c>
      <c r="P677" s="79">
        <v>45099.494317129633</v>
      </c>
      <c r="Q677" s="77" t="s">
        <v>2671</v>
      </c>
      <c r="R677" s="77">
        <v>0</v>
      </c>
      <c r="S677" s="77">
        <v>1</v>
      </c>
      <c r="T677" s="77">
        <v>1</v>
      </c>
      <c r="U677" s="77">
        <v>0</v>
      </c>
      <c r="V677" s="77">
        <v>99</v>
      </c>
      <c r="W677" s="80" t="s">
        <v>6369</v>
      </c>
      <c r="X677" s="77"/>
      <c r="Y677" s="77"/>
      <c r="Z677" s="77" t="s">
        <v>8928</v>
      </c>
      <c r="AA677" s="77" t="s">
        <v>9225</v>
      </c>
      <c r="AB677" s="77" t="s">
        <v>10535</v>
      </c>
      <c r="AC677" s="80" t="s">
        <v>10540</v>
      </c>
      <c r="AD677" s="77" t="s">
        <v>10617</v>
      </c>
      <c r="AE677" s="83" t="str">
        <f>HYPERLINK("https://twitter.com/raphael08402245/status/1671848462042710017")</f>
        <v>https://twitter.com/raphael08402245/status/1671848462042710017</v>
      </c>
      <c r="AF677" s="79">
        <v>45099.494317129633</v>
      </c>
      <c r="AG677" s="85">
        <v>45099</v>
      </c>
      <c r="AH677" s="80" t="s">
        <v>11235</v>
      </c>
      <c r="AI677" s="77" t="b">
        <v>0</v>
      </c>
      <c r="AJ677" s="77"/>
      <c r="AK677" s="77"/>
      <c r="AL677" s="77"/>
      <c r="AM677" s="77"/>
      <c r="AN677" s="77"/>
      <c r="AO677" s="77"/>
      <c r="AP677" s="77"/>
      <c r="AQ677" s="77" t="s">
        <v>14707</v>
      </c>
      <c r="AR677" s="77"/>
      <c r="AS677" s="77"/>
      <c r="AT677" s="77"/>
      <c r="AU677" s="77"/>
      <c r="AV677" s="83" t="str">
        <f>HYPERLINK("https://pbs.twimg.com/media/FzOZUOBXwAASH3y.jpg")</f>
        <v>https://pbs.twimg.com/media/FzOZUOBXwAASH3y.jpg</v>
      </c>
      <c r="AW677" s="80" t="s">
        <v>16626</v>
      </c>
      <c r="AX677" s="80" t="s">
        <v>16626</v>
      </c>
      <c r="AY677" s="77"/>
      <c r="AZ677" s="80" t="s">
        <v>20380</v>
      </c>
      <c r="BA677" s="80" t="s">
        <v>20380</v>
      </c>
      <c r="BB677" s="80" t="s">
        <v>20380</v>
      </c>
      <c r="BC677" s="80" t="s">
        <v>16626</v>
      </c>
      <c r="BD677" s="80" t="s">
        <v>20629</v>
      </c>
      <c r="BE677" s="77"/>
      <c r="BF677" s="77"/>
      <c r="BG677" s="77"/>
      <c r="BH677" s="77"/>
      <c r="BI677" s="77"/>
    </row>
    <row r="678" spans="1:61" x14ac:dyDescent="0.25">
      <c r="A678" s="62" t="s">
        <v>497</v>
      </c>
      <c r="B678" s="62" t="s">
        <v>497</v>
      </c>
      <c r="C678" s="63"/>
      <c r="D678" s="64"/>
      <c r="E678" s="65"/>
      <c r="F678" s="66"/>
      <c r="G678" s="63"/>
      <c r="H678" s="67"/>
      <c r="I678" s="68"/>
      <c r="J678" s="68"/>
      <c r="K678" s="32"/>
      <c r="L678" s="75">
        <v>678</v>
      </c>
      <c r="M678" s="75"/>
      <c r="N678" s="70"/>
      <c r="O678" s="77" t="s">
        <v>179</v>
      </c>
      <c r="P678" s="79">
        <v>45110.580347222225</v>
      </c>
      <c r="Q678" s="77" t="s">
        <v>2672</v>
      </c>
      <c r="R678" s="77">
        <v>0</v>
      </c>
      <c r="S678" s="77">
        <v>0</v>
      </c>
      <c r="T678" s="77">
        <v>0</v>
      </c>
      <c r="U678" s="77">
        <v>0</v>
      </c>
      <c r="V678" s="77">
        <v>12</v>
      </c>
      <c r="W678" s="80" t="s">
        <v>6370</v>
      </c>
      <c r="X678" s="83" t="str">
        <f>HYPERLINK("https://www.jornale.com.br/post/mercado-financeiro-eleva-projecao-de-crescimento-para-2-19-em-2023")</f>
        <v>https://www.jornale.com.br/post/mercado-financeiro-eleva-projecao-de-crescimento-para-2-19-em-2023</v>
      </c>
      <c r="Y678" s="77" t="s">
        <v>8611</v>
      </c>
      <c r="Z678" s="77"/>
      <c r="AA678" s="77"/>
      <c r="AB678" s="77"/>
      <c r="AC678" s="80" t="s">
        <v>10541</v>
      </c>
      <c r="AD678" s="77" t="s">
        <v>10619</v>
      </c>
      <c r="AE678" s="83" t="str">
        <f>HYPERLINK("https://twitter.com/jornale_/status/1675865905878769665")</f>
        <v>https://twitter.com/jornale_/status/1675865905878769665</v>
      </c>
      <c r="AF678" s="79">
        <v>45110.580347222225</v>
      </c>
      <c r="AG678" s="85">
        <v>45110</v>
      </c>
      <c r="AH678" s="80" t="s">
        <v>11236</v>
      </c>
      <c r="AI678" s="77" t="b">
        <v>0</v>
      </c>
      <c r="AJ678" s="77"/>
      <c r="AK678" s="77"/>
      <c r="AL678" s="77"/>
      <c r="AM678" s="77"/>
      <c r="AN678" s="77"/>
      <c r="AO678" s="77"/>
      <c r="AP678" s="77"/>
      <c r="AQ678" s="77"/>
      <c r="AR678" s="77"/>
      <c r="AS678" s="77"/>
      <c r="AT678" s="77"/>
      <c r="AU678" s="77"/>
      <c r="AV678" s="83" t="str">
        <f>HYPERLINK("https://pbs.twimg.com/profile_images/1323767298386178050/rFfemO6i_normal.jpg")</f>
        <v>https://pbs.twimg.com/profile_images/1323767298386178050/rFfemO6i_normal.jpg</v>
      </c>
      <c r="AW678" s="80" t="s">
        <v>16627</v>
      </c>
      <c r="AX678" s="80" t="s">
        <v>16627</v>
      </c>
      <c r="AY678" s="77"/>
      <c r="AZ678" s="80" t="s">
        <v>20380</v>
      </c>
      <c r="BA678" s="80" t="s">
        <v>20380</v>
      </c>
      <c r="BB678" s="80" t="s">
        <v>20380</v>
      </c>
      <c r="BC678" s="80" t="s">
        <v>16627</v>
      </c>
      <c r="BD678" s="77">
        <v>58538112</v>
      </c>
      <c r="BE678" s="77"/>
      <c r="BF678" s="77"/>
      <c r="BG678" s="77"/>
      <c r="BH678" s="77"/>
      <c r="BI678" s="77"/>
    </row>
    <row r="679" spans="1:61" x14ac:dyDescent="0.25">
      <c r="A679" s="62" t="s">
        <v>498</v>
      </c>
      <c r="B679" s="62" t="s">
        <v>498</v>
      </c>
      <c r="C679" s="63"/>
      <c r="D679" s="64"/>
      <c r="E679" s="65"/>
      <c r="F679" s="66"/>
      <c r="G679" s="63"/>
      <c r="H679" s="67"/>
      <c r="I679" s="68"/>
      <c r="J679" s="68"/>
      <c r="K679" s="32"/>
      <c r="L679" s="75">
        <v>679</v>
      </c>
      <c r="M679" s="75"/>
      <c r="N679" s="70"/>
      <c r="O679" s="77" t="s">
        <v>179</v>
      </c>
      <c r="P679" s="79">
        <v>45174.599583333336</v>
      </c>
      <c r="Q679" s="77" t="s">
        <v>2673</v>
      </c>
      <c r="R679" s="77">
        <v>0</v>
      </c>
      <c r="S679" s="77">
        <v>1</v>
      </c>
      <c r="T679" s="77">
        <v>0</v>
      </c>
      <c r="U679" s="77">
        <v>0</v>
      </c>
      <c r="V679" s="77">
        <v>474</v>
      </c>
      <c r="W679" s="80" t="s">
        <v>6371</v>
      </c>
      <c r="X679" s="83" t="str">
        <f>HYPERLINK("https://jc.ne10.uol.com.br/economia/2023/09/15586147-banco-central-revela-maior-valor-ja-transferido-pelo-pix.html?utm_source=JM&amp;utm_medium=social&amp;utm_campaign=distribuicao")</f>
        <v>https://jc.ne10.uol.com.br/economia/2023/09/15586147-banco-central-revela-maior-valor-ja-transferido-pelo-pix.html?utm_source=JM&amp;utm_medium=social&amp;utm_campaign=distribuicao</v>
      </c>
      <c r="Y679" s="77" t="s">
        <v>8611</v>
      </c>
      <c r="Z679" s="77"/>
      <c r="AA679" s="77"/>
      <c r="AB679" s="77"/>
      <c r="AC679" s="80" t="s">
        <v>10541</v>
      </c>
      <c r="AD679" s="77" t="s">
        <v>10617</v>
      </c>
      <c r="AE679" s="83" t="str">
        <f>HYPERLINK("https://twitter.com/radiojornalpe/status/1699065697878630830")</f>
        <v>https://twitter.com/radiojornalpe/status/1699065697878630830</v>
      </c>
      <c r="AF679" s="79">
        <v>45174.599583333336</v>
      </c>
      <c r="AG679" s="85">
        <v>45174</v>
      </c>
      <c r="AH679" s="80" t="s">
        <v>11237</v>
      </c>
      <c r="AI679" s="77" t="b">
        <v>0</v>
      </c>
      <c r="AJ679" s="77"/>
      <c r="AK679" s="77"/>
      <c r="AL679" s="77"/>
      <c r="AM679" s="77"/>
      <c r="AN679" s="77"/>
      <c r="AO679" s="77"/>
      <c r="AP679" s="77"/>
      <c r="AQ679" s="77"/>
      <c r="AR679" s="77"/>
      <c r="AS679" s="77"/>
      <c r="AT679" s="77"/>
      <c r="AU679" s="77"/>
      <c r="AV679" s="83" t="str">
        <f>HYPERLINK("https://pbs.twimg.com/profile_images/1621259762053545984/3Kzoss3a_normal.jpg")</f>
        <v>https://pbs.twimg.com/profile_images/1621259762053545984/3Kzoss3a_normal.jpg</v>
      </c>
      <c r="AW679" s="80" t="s">
        <v>16628</v>
      </c>
      <c r="AX679" s="80" t="s">
        <v>16628</v>
      </c>
      <c r="AY679" s="77"/>
      <c r="AZ679" s="80" t="s">
        <v>20380</v>
      </c>
      <c r="BA679" s="80" t="s">
        <v>20380</v>
      </c>
      <c r="BB679" s="80" t="s">
        <v>20380</v>
      </c>
      <c r="BC679" s="80" t="s">
        <v>16628</v>
      </c>
      <c r="BD679" s="77">
        <v>43774330</v>
      </c>
      <c r="BE679" s="77"/>
      <c r="BF679" s="77"/>
      <c r="BG679" s="77"/>
      <c r="BH679" s="77"/>
      <c r="BI679" s="77"/>
    </row>
    <row r="680" spans="1:61" x14ac:dyDescent="0.25">
      <c r="A680" s="62" t="s">
        <v>499</v>
      </c>
      <c r="B680" s="62" t="s">
        <v>499</v>
      </c>
      <c r="C680" s="63"/>
      <c r="D680" s="64"/>
      <c r="E680" s="65"/>
      <c r="F680" s="66"/>
      <c r="G680" s="63"/>
      <c r="H680" s="67"/>
      <c r="I680" s="68"/>
      <c r="J680" s="68"/>
      <c r="K680" s="32"/>
      <c r="L680" s="75">
        <v>680</v>
      </c>
      <c r="M680" s="75"/>
      <c r="N680" s="70"/>
      <c r="O680" s="77" t="s">
        <v>179</v>
      </c>
      <c r="P680" s="79">
        <v>45084.46837962963</v>
      </c>
      <c r="Q680" s="77" t="s">
        <v>2674</v>
      </c>
      <c r="R680" s="77">
        <v>1</v>
      </c>
      <c r="S680" s="77">
        <v>1</v>
      </c>
      <c r="T680" s="77">
        <v>0</v>
      </c>
      <c r="U680" s="77">
        <v>1</v>
      </c>
      <c r="V680" s="77">
        <v>152</v>
      </c>
      <c r="W680" s="80" t="s">
        <v>6372</v>
      </c>
      <c r="X680" s="77" t="s">
        <v>8585</v>
      </c>
      <c r="Y680" s="77" t="s">
        <v>8622</v>
      </c>
      <c r="Z680" s="77"/>
      <c r="AA680" s="77"/>
      <c r="AB680" s="77"/>
      <c r="AC680" s="80" t="s">
        <v>10549</v>
      </c>
      <c r="AD680" s="77" t="s">
        <v>10619</v>
      </c>
      <c r="AE680" s="83" t="str">
        <f>HYPERLINK("https://twitter.com/rkcdardis/status/1666403245919485952")</f>
        <v>https://twitter.com/rkcdardis/status/1666403245919485952</v>
      </c>
      <c r="AF680" s="79">
        <v>45084.46837962963</v>
      </c>
      <c r="AG680" s="85">
        <v>45084</v>
      </c>
      <c r="AH680" s="80" t="s">
        <v>11238</v>
      </c>
      <c r="AI680" s="77" t="b">
        <v>0</v>
      </c>
      <c r="AJ680" s="77"/>
      <c r="AK680" s="77"/>
      <c r="AL680" s="77"/>
      <c r="AM680" s="77"/>
      <c r="AN680" s="77"/>
      <c r="AO680" s="77"/>
      <c r="AP680" s="77"/>
      <c r="AQ680" s="77"/>
      <c r="AR680" s="77"/>
      <c r="AS680" s="77"/>
      <c r="AT680" s="77"/>
      <c r="AU680" s="77"/>
      <c r="AV680" s="83" t="str">
        <f>HYPERLINK("https://pbs.twimg.com/profile_images/1699394689411977216/aXoxZY4n_normal.jpg")</f>
        <v>https://pbs.twimg.com/profile_images/1699394689411977216/aXoxZY4n_normal.jpg</v>
      </c>
      <c r="AW680" s="80" t="s">
        <v>16629</v>
      </c>
      <c r="AX680" s="80" t="s">
        <v>16629</v>
      </c>
      <c r="AY680" s="77"/>
      <c r="AZ680" s="80" t="s">
        <v>20380</v>
      </c>
      <c r="BA680" s="80" t="s">
        <v>20380</v>
      </c>
      <c r="BB680" s="80" t="s">
        <v>20380</v>
      </c>
      <c r="BC680" s="80" t="s">
        <v>16629</v>
      </c>
      <c r="BD680" s="77">
        <v>505991842</v>
      </c>
      <c r="BE680" s="77"/>
      <c r="BF680" s="77"/>
      <c r="BG680" s="77"/>
      <c r="BH680" s="77"/>
      <c r="BI680" s="77"/>
    </row>
    <row r="681" spans="1:61" x14ac:dyDescent="0.25">
      <c r="A681" s="62" t="s">
        <v>500</v>
      </c>
      <c r="B681" s="62" t="s">
        <v>500</v>
      </c>
      <c r="C681" s="63"/>
      <c r="D681" s="64"/>
      <c r="E681" s="65"/>
      <c r="F681" s="66"/>
      <c r="G681" s="63"/>
      <c r="H681" s="67"/>
      <c r="I681" s="68"/>
      <c r="J681" s="68"/>
      <c r="K681" s="32"/>
      <c r="L681" s="75">
        <v>681</v>
      </c>
      <c r="M681" s="75"/>
      <c r="N681" s="70"/>
      <c r="O681" s="77" t="s">
        <v>179</v>
      </c>
      <c r="P681" s="79">
        <v>45071.244629629633</v>
      </c>
      <c r="Q681" s="77" t="s">
        <v>2675</v>
      </c>
      <c r="R681" s="77">
        <v>0</v>
      </c>
      <c r="S681" s="77">
        <v>0</v>
      </c>
      <c r="T681" s="77">
        <v>0</v>
      </c>
      <c r="U681" s="77">
        <v>0</v>
      </c>
      <c r="V681" s="77">
        <v>17</v>
      </c>
      <c r="W681" s="80" t="s">
        <v>5884</v>
      </c>
      <c r="X681" s="77"/>
      <c r="Y681" s="77"/>
      <c r="Z681" s="77"/>
      <c r="AA681" s="77"/>
      <c r="AB681" s="77"/>
      <c r="AC681" s="80" t="s">
        <v>10541</v>
      </c>
      <c r="AD681" s="77" t="s">
        <v>10620</v>
      </c>
      <c r="AE681" s="83" t="str">
        <f>HYPERLINK("https://twitter.com/fenrir09750071/status/1661611119880880128")</f>
        <v>https://twitter.com/fenrir09750071/status/1661611119880880128</v>
      </c>
      <c r="AF681" s="79">
        <v>45071.244629629633</v>
      </c>
      <c r="AG681" s="85">
        <v>45071</v>
      </c>
      <c r="AH681" s="80" t="s">
        <v>11239</v>
      </c>
      <c r="AI681" s="77"/>
      <c r="AJ681" s="77"/>
      <c r="AK681" s="77"/>
      <c r="AL681" s="77"/>
      <c r="AM681" s="77"/>
      <c r="AN681" s="77"/>
      <c r="AO681" s="77"/>
      <c r="AP681" s="77"/>
      <c r="AQ681" s="77"/>
      <c r="AR681" s="77"/>
      <c r="AS681" s="77"/>
      <c r="AT681" s="77"/>
      <c r="AU681" s="77"/>
      <c r="AV681" s="83" t="str">
        <f>HYPERLINK("https://pbs.twimg.com/profile_images/1463947605642289157/SczbUqGN_normal.jpg")</f>
        <v>https://pbs.twimg.com/profile_images/1463947605642289157/SczbUqGN_normal.jpg</v>
      </c>
      <c r="AW681" s="80" t="s">
        <v>16630</v>
      </c>
      <c r="AX681" s="80" t="s">
        <v>16630</v>
      </c>
      <c r="AY681" s="77"/>
      <c r="AZ681" s="80" t="s">
        <v>20380</v>
      </c>
      <c r="BA681" s="80" t="s">
        <v>20380</v>
      </c>
      <c r="BB681" s="80" t="s">
        <v>20380</v>
      </c>
      <c r="BC681" s="80" t="s">
        <v>16630</v>
      </c>
      <c r="BD681" s="77">
        <v>321150024</v>
      </c>
      <c r="BE681" s="77"/>
      <c r="BF681" s="77"/>
      <c r="BG681" s="77"/>
      <c r="BH681" s="77"/>
      <c r="BI681" s="77"/>
    </row>
    <row r="682" spans="1:61" x14ac:dyDescent="0.25">
      <c r="A682" s="62" t="s">
        <v>501</v>
      </c>
      <c r="B682" s="62" t="s">
        <v>501</v>
      </c>
      <c r="C682" s="63"/>
      <c r="D682" s="64"/>
      <c r="E682" s="65"/>
      <c r="F682" s="66"/>
      <c r="G682" s="63"/>
      <c r="H682" s="67"/>
      <c r="I682" s="68"/>
      <c r="J682" s="68"/>
      <c r="K682" s="32"/>
      <c r="L682" s="75">
        <v>682</v>
      </c>
      <c r="M682" s="75"/>
      <c r="N682" s="70"/>
      <c r="O682" s="77" t="s">
        <v>179</v>
      </c>
      <c r="P682" s="79">
        <v>45050.827511574076</v>
      </c>
      <c r="Q682" s="77" t="s">
        <v>2676</v>
      </c>
      <c r="R682" s="77">
        <v>0</v>
      </c>
      <c r="S682" s="77">
        <v>0</v>
      </c>
      <c r="T682" s="77">
        <v>0</v>
      </c>
      <c r="U682" s="77">
        <v>0</v>
      </c>
      <c r="V682" s="77">
        <v>8</v>
      </c>
      <c r="W682" s="80" t="s">
        <v>6373</v>
      </c>
      <c r="X682" s="83" t="str">
        <f>HYPERLINK("https://www.maisnews.com.br/2023/05/banco-central-alerta-fraudes-no-pix.html")</f>
        <v>https://www.maisnews.com.br/2023/05/banco-central-alerta-fraudes-no-pix.html</v>
      </c>
      <c r="Y682" s="77" t="s">
        <v>8611</v>
      </c>
      <c r="Z682" s="77"/>
      <c r="AA682" s="77" t="s">
        <v>9226</v>
      </c>
      <c r="AB682" s="77" t="s">
        <v>10535</v>
      </c>
      <c r="AC682" s="80" t="s">
        <v>10551</v>
      </c>
      <c r="AD682" s="77" t="s">
        <v>10617</v>
      </c>
      <c r="AE682" s="83" t="str">
        <f>HYPERLINK("https://twitter.com/maisnewsoficial/status/1654212201069027329")</f>
        <v>https://twitter.com/maisnewsoficial/status/1654212201069027329</v>
      </c>
      <c r="AF682" s="79">
        <v>45050.827511574076</v>
      </c>
      <c r="AG682" s="85">
        <v>45050</v>
      </c>
      <c r="AH682" s="80" t="s">
        <v>11240</v>
      </c>
      <c r="AI682" s="77" t="b">
        <v>0</v>
      </c>
      <c r="AJ682" s="77"/>
      <c r="AK682" s="77"/>
      <c r="AL682" s="77"/>
      <c r="AM682" s="77"/>
      <c r="AN682" s="77"/>
      <c r="AO682" s="77"/>
      <c r="AP682" s="77"/>
      <c r="AQ682" s="77" t="s">
        <v>14708</v>
      </c>
      <c r="AR682" s="77"/>
      <c r="AS682" s="77"/>
      <c r="AT682" s="77"/>
      <c r="AU682" s="77"/>
      <c r="AV682" s="83" t="str">
        <f>HYPERLINK("https://pbs.twimg.com/media/FvTxCBaXoAEW43z.jpg")</f>
        <v>https://pbs.twimg.com/media/FvTxCBaXoAEW43z.jpg</v>
      </c>
      <c r="AW682" s="80" t="s">
        <v>16631</v>
      </c>
      <c r="AX682" s="80" t="s">
        <v>16631</v>
      </c>
      <c r="AY682" s="77"/>
      <c r="AZ682" s="80" t="s">
        <v>20380</v>
      </c>
      <c r="BA682" s="80" t="s">
        <v>20380</v>
      </c>
      <c r="BB682" s="80" t="s">
        <v>20380</v>
      </c>
      <c r="BC682" s="80" t="s">
        <v>16631</v>
      </c>
      <c r="BD682" s="80" t="s">
        <v>20630</v>
      </c>
      <c r="BE682" s="77"/>
      <c r="BF682" s="77"/>
      <c r="BG682" s="77"/>
      <c r="BH682" s="77"/>
      <c r="BI682" s="77"/>
    </row>
    <row r="683" spans="1:61" x14ac:dyDescent="0.25">
      <c r="A683" s="62" t="s">
        <v>502</v>
      </c>
      <c r="B683" s="62" t="s">
        <v>502</v>
      </c>
      <c r="C683" s="63"/>
      <c r="D683" s="64"/>
      <c r="E683" s="65"/>
      <c r="F683" s="66"/>
      <c r="G683" s="63"/>
      <c r="H683" s="67"/>
      <c r="I683" s="68"/>
      <c r="J683" s="68"/>
      <c r="K683" s="32"/>
      <c r="L683" s="75">
        <v>683</v>
      </c>
      <c r="M683" s="75"/>
      <c r="N683" s="70"/>
      <c r="O683" s="77" t="s">
        <v>179</v>
      </c>
      <c r="P683" s="79">
        <v>45126.550150462965</v>
      </c>
      <c r="Q683" s="77" t="s">
        <v>2677</v>
      </c>
      <c r="R683" s="77">
        <v>0</v>
      </c>
      <c r="S683" s="77">
        <v>0</v>
      </c>
      <c r="T683" s="77">
        <v>0</v>
      </c>
      <c r="U683" s="77">
        <v>0</v>
      </c>
      <c r="V683" s="77">
        <v>8</v>
      </c>
      <c r="W683" s="80" t="s">
        <v>6374</v>
      </c>
      <c r="X683" s="77" t="s">
        <v>8586</v>
      </c>
      <c r="Y683" s="77" t="s">
        <v>8639</v>
      </c>
      <c r="Z683" s="77"/>
      <c r="AA683" s="77"/>
      <c r="AB683" s="77"/>
      <c r="AC683" s="80" t="s">
        <v>10563</v>
      </c>
      <c r="AD683" s="77" t="s">
        <v>10617</v>
      </c>
      <c r="AE683" s="83" t="str">
        <f>HYPERLINK("https://twitter.com/viuuoficial/status/1681653167056887815")</f>
        <v>https://twitter.com/viuuoficial/status/1681653167056887815</v>
      </c>
      <c r="AF683" s="79">
        <v>45126.550150462965</v>
      </c>
      <c r="AG683" s="85">
        <v>45126</v>
      </c>
      <c r="AH683" s="80" t="s">
        <v>11241</v>
      </c>
      <c r="AI683" s="77" t="b">
        <v>0</v>
      </c>
      <c r="AJ683" s="77"/>
      <c r="AK683" s="77"/>
      <c r="AL683" s="77"/>
      <c r="AM683" s="77"/>
      <c r="AN683" s="77"/>
      <c r="AO683" s="77"/>
      <c r="AP683" s="77"/>
      <c r="AQ683" s="77"/>
      <c r="AR683" s="77"/>
      <c r="AS683" s="77"/>
      <c r="AT683" s="77"/>
      <c r="AU683" s="77"/>
      <c r="AV683" s="83" t="str">
        <f>HYPERLINK("https://pbs.twimg.com/profile_images/1652089890237042688/3_LRRCjG_normal.jpg")</f>
        <v>https://pbs.twimg.com/profile_images/1652089890237042688/3_LRRCjG_normal.jpg</v>
      </c>
      <c r="AW683" s="80" t="s">
        <v>16632</v>
      </c>
      <c r="AX683" s="80" t="s">
        <v>16632</v>
      </c>
      <c r="AY683" s="77"/>
      <c r="AZ683" s="80" t="s">
        <v>20380</v>
      </c>
      <c r="BA683" s="80" t="s">
        <v>20380</v>
      </c>
      <c r="BB683" s="80" t="s">
        <v>20380</v>
      </c>
      <c r="BC683" s="80" t="s">
        <v>16632</v>
      </c>
      <c r="BD683" s="80" t="s">
        <v>20631</v>
      </c>
      <c r="BE683" s="77"/>
      <c r="BF683" s="77"/>
      <c r="BG683" s="77"/>
      <c r="BH683" s="77"/>
      <c r="BI683" s="77"/>
    </row>
    <row r="684" spans="1:61" x14ac:dyDescent="0.25">
      <c r="A684" s="62" t="s">
        <v>502</v>
      </c>
      <c r="B684" s="62" t="s">
        <v>502</v>
      </c>
      <c r="C684" s="63"/>
      <c r="D684" s="64"/>
      <c r="E684" s="65"/>
      <c r="F684" s="66"/>
      <c r="G684" s="63"/>
      <c r="H684" s="67"/>
      <c r="I684" s="68"/>
      <c r="J684" s="68"/>
      <c r="K684" s="32"/>
      <c r="L684" s="75">
        <v>684</v>
      </c>
      <c r="M684" s="75"/>
      <c r="N684" s="70"/>
      <c r="O684" s="77" t="s">
        <v>179</v>
      </c>
      <c r="P684" s="79">
        <v>45103.716516203705</v>
      </c>
      <c r="Q684" s="77" t="s">
        <v>2678</v>
      </c>
      <c r="R684" s="77">
        <v>0</v>
      </c>
      <c r="S684" s="77">
        <v>0</v>
      </c>
      <c r="T684" s="77">
        <v>0</v>
      </c>
      <c r="U684" s="77">
        <v>0</v>
      </c>
      <c r="V684" s="77">
        <v>9</v>
      </c>
      <c r="W684" s="80" t="s">
        <v>6375</v>
      </c>
      <c r="X684" s="77" t="s">
        <v>8587</v>
      </c>
      <c r="Y684" s="77" t="s">
        <v>8639</v>
      </c>
      <c r="Z684" s="77"/>
      <c r="AA684" s="77"/>
      <c r="AB684" s="77"/>
      <c r="AC684" s="80" t="s">
        <v>10563</v>
      </c>
      <c r="AD684" s="77" t="s">
        <v>10617</v>
      </c>
      <c r="AE684" s="83" t="str">
        <f>HYPERLINK("https://twitter.com/viuuoficial/status/1673378534918701068")</f>
        <v>https://twitter.com/viuuoficial/status/1673378534918701068</v>
      </c>
      <c r="AF684" s="79">
        <v>45103.716516203705</v>
      </c>
      <c r="AG684" s="85">
        <v>45103</v>
      </c>
      <c r="AH684" s="80" t="s">
        <v>11242</v>
      </c>
      <c r="AI684" s="77" t="b">
        <v>0</v>
      </c>
      <c r="AJ684" s="77"/>
      <c r="AK684" s="77"/>
      <c r="AL684" s="77"/>
      <c r="AM684" s="77"/>
      <c r="AN684" s="77"/>
      <c r="AO684" s="77"/>
      <c r="AP684" s="77"/>
      <c r="AQ684" s="77"/>
      <c r="AR684" s="77"/>
      <c r="AS684" s="77"/>
      <c r="AT684" s="77"/>
      <c r="AU684" s="77"/>
      <c r="AV684" s="83" t="str">
        <f>HYPERLINK("https://pbs.twimg.com/profile_images/1652089890237042688/3_LRRCjG_normal.jpg")</f>
        <v>https://pbs.twimg.com/profile_images/1652089890237042688/3_LRRCjG_normal.jpg</v>
      </c>
      <c r="AW684" s="80" t="s">
        <v>16633</v>
      </c>
      <c r="AX684" s="80" t="s">
        <v>16633</v>
      </c>
      <c r="AY684" s="77"/>
      <c r="AZ684" s="80" t="s">
        <v>20380</v>
      </c>
      <c r="BA684" s="80" t="s">
        <v>20380</v>
      </c>
      <c r="BB684" s="80" t="s">
        <v>20380</v>
      </c>
      <c r="BC684" s="80" t="s">
        <v>16633</v>
      </c>
      <c r="BD684" s="80" t="s">
        <v>20631</v>
      </c>
      <c r="BE684" s="77"/>
      <c r="BF684" s="77"/>
      <c r="BG684" s="77"/>
      <c r="BH684" s="77"/>
      <c r="BI684" s="77"/>
    </row>
    <row r="685" spans="1:61" x14ac:dyDescent="0.25">
      <c r="A685" s="62" t="s">
        <v>502</v>
      </c>
      <c r="B685" s="62" t="s">
        <v>502</v>
      </c>
      <c r="C685" s="63"/>
      <c r="D685" s="64"/>
      <c r="E685" s="65"/>
      <c r="F685" s="66"/>
      <c r="G685" s="63"/>
      <c r="H685" s="67"/>
      <c r="I685" s="68"/>
      <c r="J685" s="68"/>
      <c r="K685" s="32"/>
      <c r="L685" s="75">
        <v>685</v>
      </c>
      <c r="M685" s="75"/>
      <c r="N685" s="70"/>
      <c r="O685" s="77" t="s">
        <v>179</v>
      </c>
      <c r="P685" s="79">
        <v>45115.508645833332</v>
      </c>
      <c r="Q685" s="77" t="s">
        <v>2679</v>
      </c>
      <c r="R685" s="77">
        <v>0</v>
      </c>
      <c r="S685" s="77">
        <v>0</v>
      </c>
      <c r="T685" s="77">
        <v>0</v>
      </c>
      <c r="U685" s="77">
        <v>0</v>
      </c>
      <c r="V685" s="77">
        <v>5</v>
      </c>
      <c r="W685" s="80" t="s">
        <v>6376</v>
      </c>
      <c r="X685" s="77" t="s">
        <v>8588</v>
      </c>
      <c r="Y685" s="77" t="s">
        <v>8639</v>
      </c>
      <c r="Z685" s="77"/>
      <c r="AA685" s="77"/>
      <c r="AB685" s="77"/>
      <c r="AC685" s="80" t="s">
        <v>10563</v>
      </c>
      <c r="AD685" s="77" t="s">
        <v>10617</v>
      </c>
      <c r="AE685" s="83" t="str">
        <f>HYPERLINK("https://twitter.com/viuuoficial/status/1677651860201656323")</f>
        <v>https://twitter.com/viuuoficial/status/1677651860201656323</v>
      </c>
      <c r="AF685" s="79">
        <v>45115.508645833332</v>
      </c>
      <c r="AG685" s="85">
        <v>45115</v>
      </c>
      <c r="AH685" s="80" t="s">
        <v>11243</v>
      </c>
      <c r="AI685" s="77" t="b">
        <v>0</v>
      </c>
      <c r="AJ685" s="77"/>
      <c r="AK685" s="77"/>
      <c r="AL685" s="77"/>
      <c r="AM685" s="77"/>
      <c r="AN685" s="77"/>
      <c r="AO685" s="77"/>
      <c r="AP685" s="77"/>
      <c r="AQ685" s="77"/>
      <c r="AR685" s="77"/>
      <c r="AS685" s="77"/>
      <c r="AT685" s="77"/>
      <c r="AU685" s="77"/>
      <c r="AV685" s="83" t="str">
        <f>HYPERLINK("https://pbs.twimg.com/profile_images/1652089890237042688/3_LRRCjG_normal.jpg")</f>
        <v>https://pbs.twimg.com/profile_images/1652089890237042688/3_LRRCjG_normal.jpg</v>
      </c>
      <c r="AW685" s="80" t="s">
        <v>16634</v>
      </c>
      <c r="AX685" s="80" t="s">
        <v>16634</v>
      </c>
      <c r="AY685" s="77"/>
      <c r="AZ685" s="80" t="s">
        <v>20380</v>
      </c>
      <c r="BA685" s="80" t="s">
        <v>20380</v>
      </c>
      <c r="BB685" s="80" t="s">
        <v>20380</v>
      </c>
      <c r="BC685" s="80" t="s">
        <v>16634</v>
      </c>
      <c r="BD685" s="80" t="s">
        <v>20631</v>
      </c>
      <c r="BE685" s="77"/>
      <c r="BF685" s="77"/>
      <c r="BG685" s="77"/>
      <c r="BH685" s="77"/>
      <c r="BI685" s="77"/>
    </row>
    <row r="686" spans="1:61" x14ac:dyDescent="0.25">
      <c r="A686" s="62" t="s">
        <v>502</v>
      </c>
      <c r="B686" s="62" t="s">
        <v>502</v>
      </c>
      <c r="C686" s="63"/>
      <c r="D686" s="64"/>
      <c r="E686" s="65"/>
      <c r="F686" s="66"/>
      <c r="G686" s="63"/>
      <c r="H686" s="67"/>
      <c r="I686" s="68"/>
      <c r="J686" s="68"/>
      <c r="K686" s="32"/>
      <c r="L686" s="75">
        <v>686</v>
      </c>
      <c r="M686" s="75"/>
      <c r="N686" s="70"/>
      <c r="O686" s="77" t="s">
        <v>179</v>
      </c>
      <c r="P686" s="79">
        <v>45114.424722222226</v>
      </c>
      <c r="Q686" s="77" t="s">
        <v>2680</v>
      </c>
      <c r="R686" s="77">
        <v>0</v>
      </c>
      <c r="S686" s="77">
        <v>0</v>
      </c>
      <c r="T686" s="77">
        <v>0</v>
      </c>
      <c r="U686" s="77">
        <v>0</v>
      </c>
      <c r="V686" s="77">
        <v>18</v>
      </c>
      <c r="W686" s="80" t="s">
        <v>6377</v>
      </c>
      <c r="X686" s="77" t="s">
        <v>8589</v>
      </c>
      <c r="Y686" s="77" t="s">
        <v>8639</v>
      </c>
      <c r="Z686" s="77"/>
      <c r="AA686" s="77"/>
      <c r="AB686" s="77"/>
      <c r="AC686" s="80" t="s">
        <v>10563</v>
      </c>
      <c r="AD686" s="77" t="s">
        <v>10617</v>
      </c>
      <c r="AE686" s="83" t="str">
        <f>HYPERLINK("https://twitter.com/viuuoficial/status/1677259058175197185")</f>
        <v>https://twitter.com/viuuoficial/status/1677259058175197185</v>
      </c>
      <c r="AF686" s="79">
        <v>45114.424722222226</v>
      </c>
      <c r="AG686" s="85">
        <v>45114</v>
      </c>
      <c r="AH686" s="80" t="s">
        <v>11244</v>
      </c>
      <c r="AI686" s="77" t="b">
        <v>0</v>
      </c>
      <c r="AJ686" s="77"/>
      <c r="AK686" s="77"/>
      <c r="AL686" s="77"/>
      <c r="AM686" s="77"/>
      <c r="AN686" s="77"/>
      <c r="AO686" s="77"/>
      <c r="AP686" s="77"/>
      <c r="AQ686" s="77"/>
      <c r="AR686" s="77"/>
      <c r="AS686" s="77"/>
      <c r="AT686" s="77"/>
      <c r="AU686" s="77"/>
      <c r="AV686" s="83" t="str">
        <f>HYPERLINK("https://pbs.twimg.com/profile_images/1652089890237042688/3_LRRCjG_normal.jpg")</f>
        <v>https://pbs.twimg.com/profile_images/1652089890237042688/3_LRRCjG_normal.jpg</v>
      </c>
      <c r="AW686" s="80" t="s">
        <v>16635</v>
      </c>
      <c r="AX686" s="80" t="s">
        <v>16635</v>
      </c>
      <c r="AY686" s="77"/>
      <c r="AZ686" s="80" t="s">
        <v>20380</v>
      </c>
      <c r="BA686" s="80" t="s">
        <v>20380</v>
      </c>
      <c r="BB686" s="80" t="s">
        <v>20380</v>
      </c>
      <c r="BC686" s="80" t="s">
        <v>16635</v>
      </c>
      <c r="BD686" s="80" t="s">
        <v>20631</v>
      </c>
      <c r="BE686" s="77"/>
      <c r="BF686" s="77"/>
      <c r="BG686" s="77"/>
      <c r="BH686" s="77"/>
      <c r="BI686" s="77"/>
    </row>
    <row r="687" spans="1:61" x14ac:dyDescent="0.25">
      <c r="A687" s="62" t="s">
        <v>502</v>
      </c>
      <c r="B687" s="62" t="s">
        <v>502</v>
      </c>
      <c r="C687" s="63"/>
      <c r="D687" s="64"/>
      <c r="E687" s="65"/>
      <c r="F687" s="66"/>
      <c r="G687" s="63"/>
      <c r="H687" s="67"/>
      <c r="I687" s="68"/>
      <c r="J687" s="68"/>
      <c r="K687" s="32"/>
      <c r="L687" s="75">
        <v>687</v>
      </c>
      <c r="M687" s="75"/>
      <c r="N687" s="70"/>
      <c r="O687" s="77" t="s">
        <v>179</v>
      </c>
      <c r="P687" s="79">
        <v>45083.889641203707</v>
      </c>
      <c r="Q687" s="77" t="s">
        <v>2681</v>
      </c>
      <c r="R687" s="77">
        <v>0</v>
      </c>
      <c r="S687" s="77">
        <v>0</v>
      </c>
      <c r="T687" s="77">
        <v>0</v>
      </c>
      <c r="U687" s="77">
        <v>0</v>
      </c>
      <c r="V687" s="77">
        <v>19</v>
      </c>
      <c r="W687" s="80" t="s">
        <v>6062</v>
      </c>
      <c r="X687" s="77" t="s">
        <v>8590</v>
      </c>
      <c r="Y687" s="77" t="s">
        <v>8639</v>
      </c>
      <c r="Z687" s="77"/>
      <c r="AA687" s="77"/>
      <c r="AB687" s="77"/>
      <c r="AC687" s="80" t="s">
        <v>10564</v>
      </c>
      <c r="AD687" s="77" t="s">
        <v>10617</v>
      </c>
      <c r="AE687" s="83" t="str">
        <f>HYPERLINK("https://twitter.com/viuuoficial/status/1666193517285130243")</f>
        <v>https://twitter.com/viuuoficial/status/1666193517285130243</v>
      </c>
      <c r="AF687" s="79">
        <v>45083.889641203707</v>
      </c>
      <c r="AG687" s="85">
        <v>45083</v>
      </c>
      <c r="AH687" s="80" t="s">
        <v>11245</v>
      </c>
      <c r="AI687" s="77" t="b">
        <v>0</v>
      </c>
      <c r="AJ687" s="77"/>
      <c r="AK687" s="77"/>
      <c r="AL687" s="77"/>
      <c r="AM687" s="77"/>
      <c r="AN687" s="77"/>
      <c r="AO687" s="77"/>
      <c r="AP687" s="77"/>
      <c r="AQ687" s="77"/>
      <c r="AR687" s="77"/>
      <c r="AS687" s="77"/>
      <c r="AT687" s="77"/>
      <c r="AU687" s="77"/>
      <c r="AV687" s="83" t="str">
        <f>HYPERLINK("https://pbs.twimg.com/profile_images/1652089890237042688/3_LRRCjG_normal.jpg")</f>
        <v>https://pbs.twimg.com/profile_images/1652089890237042688/3_LRRCjG_normal.jpg</v>
      </c>
      <c r="AW687" s="80" t="s">
        <v>16636</v>
      </c>
      <c r="AX687" s="80" t="s">
        <v>16636</v>
      </c>
      <c r="AY687" s="77"/>
      <c r="AZ687" s="80" t="s">
        <v>20380</v>
      </c>
      <c r="BA687" s="80" t="s">
        <v>20380</v>
      </c>
      <c r="BB687" s="80" t="s">
        <v>20380</v>
      </c>
      <c r="BC687" s="80" t="s">
        <v>16636</v>
      </c>
      <c r="BD687" s="80" t="s">
        <v>20631</v>
      </c>
      <c r="BE687" s="77"/>
      <c r="BF687" s="77"/>
      <c r="BG687" s="77"/>
      <c r="BH687" s="77"/>
      <c r="BI687" s="77"/>
    </row>
    <row r="688" spans="1:61" x14ac:dyDescent="0.25">
      <c r="A688" s="62" t="s">
        <v>502</v>
      </c>
      <c r="B688" s="62" t="s">
        <v>502</v>
      </c>
      <c r="C688" s="63"/>
      <c r="D688" s="64"/>
      <c r="E688" s="65"/>
      <c r="F688" s="66"/>
      <c r="G688" s="63"/>
      <c r="H688" s="67"/>
      <c r="I688" s="68"/>
      <c r="J688" s="68"/>
      <c r="K688" s="32"/>
      <c r="L688" s="75">
        <v>688</v>
      </c>
      <c r="M688" s="75"/>
      <c r="N688" s="70"/>
      <c r="O688" s="77" t="s">
        <v>179</v>
      </c>
      <c r="P688" s="79">
        <v>45125.025208333333</v>
      </c>
      <c r="Q688" s="77" t="s">
        <v>2682</v>
      </c>
      <c r="R688" s="77">
        <v>0</v>
      </c>
      <c r="S688" s="77">
        <v>0</v>
      </c>
      <c r="T688" s="77">
        <v>0</v>
      </c>
      <c r="U688" s="77">
        <v>0</v>
      </c>
      <c r="V688" s="77">
        <v>4</v>
      </c>
      <c r="W688" s="80" t="s">
        <v>6378</v>
      </c>
      <c r="X688" s="77" t="s">
        <v>8591</v>
      </c>
      <c r="Y688" s="77" t="s">
        <v>8639</v>
      </c>
      <c r="Z688" s="77"/>
      <c r="AA688" s="77"/>
      <c r="AB688" s="77"/>
      <c r="AC688" s="80" t="s">
        <v>10563</v>
      </c>
      <c r="AD688" s="77" t="s">
        <v>10617</v>
      </c>
      <c r="AE688" s="83" t="str">
        <f>HYPERLINK("https://twitter.com/viuuoficial/status/1681100545837219841")</f>
        <v>https://twitter.com/viuuoficial/status/1681100545837219841</v>
      </c>
      <c r="AF688" s="79">
        <v>45125.025208333333</v>
      </c>
      <c r="AG688" s="85">
        <v>45125</v>
      </c>
      <c r="AH688" s="80" t="s">
        <v>11246</v>
      </c>
      <c r="AI688" s="77" t="b">
        <v>0</v>
      </c>
      <c r="AJ688" s="77"/>
      <c r="AK688" s="77"/>
      <c r="AL688" s="77"/>
      <c r="AM688" s="77"/>
      <c r="AN688" s="77"/>
      <c r="AO688" s="77"/>
      <c r="AP688" s="77"/>
      <c r="AQ688" s="77"/>
      <c r="AR688" s="77"/>
      <c r="AS688" s="77"/>
      <c r="AT688" s="77"/>
      <c r="AU688" s="77"/>
      <c r="AV688" s="83" t="str">
        <f>HYPERLINK("https://pbs.twimg.com/profile_images/1652089890237042688/3_LRRCjG_normal.jpg")</f>
        <v>https://pbs.twimg.com/profile_images/1652089890237042688/3_LRRCjG_normal.jpg</v>
      </c>
      <c r="AW688" s="80" t="s">
        <v>16637</v>
      </c>
      <c r="AX688" s="80" t="s">
        <v>16637</v>
      </c>
      <c r="AY688" s="77"/>
      <c r="AZ688" s="80" t="s">
        <v>20380</v>
      </c>
      <c r="BA688" s="80" t="s">
        <v>20380</v>
      </c>
      <c r="BB688" s="80" t="s">
        <v>20380</v>
      </c>
      <c r="BC688" s="80" t="s">
        <v>16637</v>
      </c>
      <c r="BD688" s="80" t="s">
        <v>20631</v>
      </c>
      <c r="BE688" s="77"/>
      <c r="BF688" s="77"/>
      <c r="BG688" s="77"/>
      <c r="BH688" s="77"/>
      <c r="BI688" s="77"/>
    </row>
    <row r="689" spans="1:61" x14ac:dyDescent="0.25">
      <c r="A689" s="62" t="s">
        <v>502</v>
      </c>
      <c r="B689" s="62" t="s">
        <v>502</v>
      </c>
      <c r="C689" s="63"/>
      <c r="D689" s="64"/>
      <c r="E689" s="65"/>
      <c r="F689" s="66"/>
      <c r="G689" s="63"/>
      <c r="H689" s="67"/>
      <c r="I689" s="68"/>
      <c r="J689" s="68"/>
      <c r="K689" s="32"/>
      <c r="L689" s="75">
        <v>689</v>
      </c>
      <c r="M689" s="75"/>
      <c r="N689" s="70"/>
      <c r="O689" s="77" t="s">
        <v>179</v>
      </c>
      <c r="P689" s="79">
        <v>45101.638055555559</v>
      </c>
      <c r="Q689" s="77" t="s">
        <v>2683</v>
      </c>
      <c r="R689" s="77">
        <v>0</v>
      </c>
      <c r="S689" s="77">
        <v>0</v>
      </c>
      <c r="T689" s="77">
        <v>0</v>
      </c>
      <c r="U689" s="77">
        <v>0</v>
      </c>
      <c r="V689" s="77">
        <v>10</v>
      </c>
      <c r="W689" s="80" t="s">
        <v>6379</v>
      </c>
      <c r="X689" s="77" t="s">
        <v>8592</v>
      </c>
      <c r="Y689" s="77" t="s">
        <v>8639</v>
      </c>
      <c r="Z689" s="77"/>
      <c r="AA689" s="77"/>
      <c r="AB689" s="77"/>
      <c r="AC689" s="80" t="s">
        <v>10563</v>
      </c>
      <c r="AD689" s="77" t="s">
        <v>10617</v>
      </c>
      <c r="AE689" s="83" t="str">
        <f>HYPERLINK("https://twitter.com/viuuoficial/status/1672625329062420481")</f>
        <v>https://twitter.com/viuuoficial/status/1672625329062420481</v>
      </c>
      <c r="AF689" s="79">
        <v>45101.638055555559</v>
      </c>
      <c r="AG689" s="85">
        <v>45101</v>
      </c>
      <c r="AH689" s="80" t="s">
        <v>11247</v>
      </c>
      <c r="AI689" s="77" t="b">
        <v>0</v>
      </c>
      <c r="AJ689" s="77"/>
      <c r="AK689" s="77"/>
      <c r="AL689" s="77"/>
      <c r="AM689" s="77"/>
      <c r="AN689" s="77"/>
      <c r="AO689" s="77"/>
      <c r="AP689" s="77"/>
      <c r="AQ689" s="77"/>
      <c r="AR689" s="77"/>
      <c r="AS689" s="77"/>
      <c r="AT689" s="77"/>
      <c r="AU689" s="77"/>
      <c r="AV689" s="83" t="str">
        <f>HYPERLINK("https://pbs.twimg.com/profile_images/1652089890237042688/3_LRRCjG_normal.jpg")</f>
        <v>https://pbs.twimg.com/profile_images/1652089890237042688/3_LRRCjG_normal.jpg</v>
      </c>
      <c r="AW689" s="80" t="s">
        <v>16638</v>
      </c>
      <c r="AX689" s="80" t="s">
        <v>16638</v>
      </c>
      <c r="AY689" s="77"/>
      <c r="AZ689" s="80" t="s">
        <v>20380</v>
      </c>
      <c r="BA689" s="80" t="s">
        <v>20380</v>
      </c>
      <c r="BB689" s="80" t="s">
        <v>20380</v>
      </c>
      <c r="BC689" s="80" t="s">
        <v>16638</v>
      </c>
      <c r="BD689" s="80" t="s">
        <v>20631</v>
      </c>
      <c r="BE689" s="77"/>
      <c r="BF689" s="77"/>
      <c r="BG689" s="77"/>
      <c r="BH689" s="77"/>
      <c r="BI689" s="77"/>
    </row>
    <row r="690" spans="1:61" x14ac:dyDescent="0.25">
      <c r="A690" s="62" t="s">
        <v>502</v>
      </c>
      <c r="B690" s="62" t="s">
        <v>502</v>
      </c>
      <c r="C690" s="63"/>
      <c r="D690" s="64"/>
      <c r="E690" s="65"/>
      <c r="F690" s="66"/>
      <c r="G690" s="63"/>
      <c r="H690" s="67"/>
      <c r="I690" s="68"/>
      <c r="J690" s="68"/>
      <c r="K690" s="32"/>
      <c r="L690" s="75">
        <v>690</v>
      </c>
      <c r="M690" s="75"/>
      <c r="N690" s="70"/>
      <c r="O690" s="77" t="s">
        <v>179</v>
      </c>
      <c r="P690" s="79">
        <v>45132.58284722222</v>
      </c>
      <c r="Q690" s="77" t="s">
        <v>2684</v>
      </c>
      <c r="R690" s="77">
        <v>0</v>
      </c>
      <c r="S690" s="77">
        <v>0</v>
      </c>
      <c r="T690" s="77">
        <v>0</v>
      </c>
      <c r="U690" s="77">
        <v>0</v>
      </c>
      <c r="V690" s="77">
        <v>17</v>
      </c>
      <c r="W690" s="80" t="s">
        <v>6380</v>
      </c>
      <c r="X690" s="77" t="s">
        <v>8593</v>
      </c>
      <c r="Y690" s="77" t="s">
        <v>8639</v>
      </c>
      <c r="Z690" s="77"/>
      <c r="AA690" s="77"/>
      <c r="AB690" s="77"/>
      <c r="AC690" s="80" t="s">
        <v>10563</v>
      </c>
      <c r="AD690" s="77" t="s">
        <v>10617</v>
      </c>
      <c r="AE690" s="83" t="str">
        <f>HYPERLINK("https://twitter.com/viuuoficial/status/1683839343893561354")</f>
        <v>https://twitter.com/viuuoficial/status/1683839343893561354</v>
      </c>
      <c r="AF690" s="79">
        <v>45132.58284722222</v>
      </c>
      <c r="AG690" s="85">
        <v>45132</v>
      </c>
      <c r="AH690" s="80" t="s">
        <v>11248</v>
      </c>
      <c r="AI690" s="77" t="b">
        <v>0</v>
      </c>
      <c r="AJ690" s="77"/>
      <c r="AK690" s="77"/>
      <c r="AL690" s="77"/>
      <c r="AM690" s="77"/>
      <c r="AN690" s="77"/>
      <c r="AO690" s="77"/>
      <c r="AP690" s="77"/>
      <c r="AQ690" s="77"/>
      <c r="AR690" s="77"/>
      <c r="AS690" s="77"/>
      <c r="AT690" s="77"/>
      <c r="AU690" s="77"/>
      <c r="AV690" s="83" t="str">
        <f>HYPERLINK("https://pbs.twimg.com/profile_images/1652089890237042688/3_LRRCjG_normal.jpg")</f>
        <v>https://pbs.twimg.com/profile_images/1652089890237042688/3_LRRCjG_normal.jpg</v>
      </c>
      <c r="AW690" s="80" t="s">
        <v>16639</v>
      </c>
      <c r="AX690" s="80" t="s">
        <v>16639</v>
      </c>
      <c r="AY690" s="77"/>
      <c r="AZ690" s="80" t="s">
        <v>20380</v>
      </c>
      <c r="BA690" s="80" t="s">
        <v>20380</v>
      </c>
      <c r="BB690" s="80" t="s">
        <v>20380</v>
      </c>
      <c r="BC690" s="80" t="s">
        <v>16639</v>
      </c>
      <c r="BD690" s="80" t="s">
        <v>20631</v>
      </c>
      <c r="BE690" s="77"/>
      <c r="BF690" s="77"/>
      <c r="BG690" s="77"/>
      <c r="BH690" s="77"/>
      <c r="BI690" s="77"/>
    </row>
    <row r="691" spans="1:61" x14ac:dyDescent="0.25">
      <c r="A691" s="62" t="s">
        <v>502</v>
      </c>
      <c r="B691" s="62" t="s">
        <v>502</v>
      </c>
      <c r="C691" s="63"/>
      <c r="D691" s="64"/>
      <c r="E691" s="65"/>
      <c r="F691" s="66"/>
      <c r="G691" s="63"/>
      <c r="H691" s="67"/>
      <c r="I691" s="68"/>
      <c r="J691" s="68"/>
      <c r="K691" s="32"/>
      <c r="L691" s="75">
        <v>691</v>
      </c>
      <c r="M691" s="75"/>
      <c r="N691" s="70"/>
      <c r="O691" s="77" t="s">
        <v>179</v>
      </c>
      <c r="P691" s="79">
        <v>45104.966678240744</v>
      </c>
      <c r="Q691" s="77" t="s">
        <v>2685</v>
      </c>
      <c r="R691" s="77">
        <v>0</v>
      </c>
      <c r="S691" s="77">
        <v>0</v>
      </c>
      <c r="T691" s="77">
        <v>0</v>
      </c>
      <c r="U691" s="77">
        <v>0</v>
      </c>
      <c r="V691" s="77">
        <v>10</v>
      </c>
      <c r="W691" s="80" t="s">
        <v>6381</v>
      </c>
      <c r="X691" s="77" t="s">
        <v>8594</v>
      </c>
      <c r="Y691" s="77" t="s">
        <v>8639</v>
      </c>
      <c r="Z691" s="77"/>
      <c r="AA691" s="77"/>
      <c r="AB691" s="77"/>
      <c r="AC691" s="80" t="s">
        <v>10563</v>
      </c>
      <c r="AD691" s="77" t="s">
        <v>10617</v>
      </c>
      <c r="AE691" s="83" t="str">
        <f>HYPERLINK("https://twitter.com/viuuoficial/status/1673831578487644161")</f>
        <v>https://twitter.com/viuuoficial/status/1673831578487644161</v>
      </c>
      <c r="AF691" s="79">
        <v>45104.966678240744</v>
      </c>
      <c r="AG691" s="85">
        <v>45104</v>
      </c>
      <c r="AH691" s="80" t="s">
        <v>11249</v>
      </c>
      <c r="AI691" s="77" t="b">
        <v>0</v>
      </c>
      <c r="AJ691" s="77"/>
      <c r="AK691" s="77"/>
      <c r="AL691" s="77"/>
      <c r="AM691" s="77"/>
      <c r="AN691" s="77"/>
      <c r="AO691" s="77"/>
      <c r="AP691" s="77"/>
      <c r="AQ691" s="77"/>
      <c r="AR691" s="77"/>
      <c r="AS691" s="77"/>
      <c r="AT691" s="77"/>
      <c r="AU691" s="77"/>
      <c r="AV691" s="83" t="str">
        <f>HYPERLINK("https://pbs.twimg.com/profile_images/1652089890237042688/3_LRRCjG_normal.jpg")</f>
        <v>https://pbs.twimg.com/profile_images/1652089890237042688/3_LRRCjG_normal.jpg</v>
      </c>
      <c r="AW691" s="80" t="s">
        <v>16640</v>
      </c>
      <c r="AX691" s="80" t="s">
        <v>16640</v>
      </c>
      <c r="AY691" s="77"/>
      <c r="AZ691" s="80" t="s">
        <v>20380</v>
      </c>
      <c r="BA691" s="80" t="s">
        <v>20380</v>
      </c>
      <c r="BB691" s="80" t="s">
        <v>20380</v>
      </c>
      <c r="BC691" s="80" t="s">
        <v>16640</v>
      </c>
      <c r="BD691" s="80" t="s">
        <v>20631</v>
      </c>
      <c r="BE691" s="77"/>
      <c r="BF691" s="77"/>
      <c r="BG691" s="77"/>
      <c r="BH691" s="77"/>
      <c r="BI691" s="77"/>
    </row>
    <row r="692" spans="1:61" x14ac:dyDescent="0.25">
      <c r="A692" s="62" t="s">
        <v>502</v>
      </c>
      <c r="B692" s="62" t="s">
        <v>502</v>
      </c>
      <c r="C692" s="63"/>
      <c r="D692" s="64"/>
      <c r="E692" s="65"/>
      <c r="F692" s="66"/>
      <c r="G692" s="63"/>
      <c r="H692" s="67"/>
      <c r="I692" s="68"/>
      <c r="J692" s="68"/>
      <c r="K692" s="32"/>
      <c r="L692" s="75">
        <v>692</v>
      </c>
      <c r="M692" s="75"/>
      <c r="N692" s="70"/>
      <c r="O692" s="77" t="s">
        <v>179</v>
      </c>
      <c r="P692" s="79">
        <v>45145.960972222223</v>
      </c>
      <c r="Q692" s="77" t="s">
        <v>2686</v>
      </c>
      <c r="R692" s="77">
        <v>0</v>
      </c>
      <c r="S692" s="77">
        <v>0</v>
      </c>
      <c r="T692" s="77">
        <v>0</v>
      </c>
      <c r="U692" s="77">
        <v>0</v>
      </c>
      <c r="V692" s="77">
        <v>18</v>
      </c>
      <c r="W692" s="80" t="s">
        <v>6382</v>
      </c>
      <c r="X692" s="77" t="s">
        <v>8595</v>
      </c>
      <c r="Y692" s="77" t="s">
        <v>8639</v>
      </c>
      <c r="Z692" s="77"/>
      <c r="AA692" s="77"/>
      <c r="AB692" s="77"/>
      <c r="AC692" s="80" t="s">
        <v>10563</v>
      </c>
      <c r="AD692" s="77" t="s">
        <v>10617</v>
      </c>
      <c r="AE692" s="83" t="str">
        <f>HYPERLINK("https://twitter.com/viuuoficial/status/1688687414217191424")</f>
        <v>https://twitter.com/viuuoficial/status/1688687414217191424</v>
      </c>
      <c r="AF692" s="79">
        <v>45145.960972222223</v>
      </c>
      <c r="AG692" s="85">
        <v>45145</v>
      </c>
      <c r="AH692" s="80" t="s">
        <v>11250</v>
      </c>
      <c r="AI692" s="77" t="b">
        <v>0</v>
      </c>
      <c r="AJ692" s="77"/>
      <c r="AK692" s="77"/>
      <c r="AL692" s="77"/>
      <c r="AM692" s="77"/>
      <c r="AN692" s="77"/>
      <c r="AO692" s="77"/>
      <c r="AP692" s="77"/>
      <c r="AQ692" s="77"/>
      <c r="AR692" s="77"/>
      <c r="AS692" s="77"/>
      <c r="AT692" s="77"/>
      <c r="AU692" s="77"/>
      <c r="AV692" s="83" t="str">
        <f>HYPERLINK("https://pbs.twimg.com/profile_images/1652089890237042688/3_LRRCjG_normal.jpg")</f>
        <v>https://pbs.twimg.com/profile_images/1652089890237042688/3_LRRCjG_normal.jpg</v>
      </c>
      <c r="AW692" s="80" t="s">
        <v>16641</v>
      </c>
      <c r="AX692" s="80" t="s">
        <v>16641</v>
      </c>
      <c r="AY692" s="77"/>
      <c r="AZ692" s="80" t="s">
        <v>20380</v>
      </c>
      <c r="BA692" s="80" t="s">
        <v>20380</v>
      </c>
      <c r="BB692" s="80" t="s">
        <v>20380</v>
      </c>
      <c r="BC692" s="80" t="s">
        <v>16641</v>
      </c>
      <c r="BD692" s="80" t="s">
        <v>20631</v>
      </c>
      <c r="BE692" s="77"/>
      <c r="BF692" s="77"/>
      <c r="BG692" s="77"/>
      <c r="BH692" s="77"/>
      <c r="BI692" s="77"/>
    </row>
    <row r="693" spans="1:61" x14ac:dyDescent="0.25">
      <c r="A693" s="62" t="s">
        <v>502</v>
      </c>
      <c r="B693" s="62" t="s">
        <v>502</v>
      </c>
      <c r="C693" s="63"/>
      <c r="D693" s="64"/>
      <c r="E693" s="65"/>
      <c r="F693" s="66"/>
      <c r="G693" s="63"/>
      <c r="H693" s="67"/>
      <c r="I693" s="68"/>
      <c r="J693" s="68"/>
      <c r="K693" s="32"/>
      <c r="L693" s="75">
        <v>693</v>
      </c>
      <c r="M693" s="75"/>
      <c r="N693" s="70"/>
      <c r="O693" s="77" t="s">
        <v>179</v>
      </c>
      <c r="P693" s="79">
        <v>45106.626145833332</v>
      </c>
      <c r="Q693" s="77" t="s">
        <v>2687</v>
      </c>
      <c r="R693" s="77">
        <v>0</v>
      </c>
      <c r="S693" s="77">
        <v>0</v>
      </c>
      <c r="T693" s="77">
        <v>0</v>
      </c>
      <c r="U693" s="77">
        <v>0</v>
      </c>
      <c r="V693" s="77">
        <v>16</v>
      </c>
      <c r="W693" s="80" t="s">
        <v>6383</v>
      </c>
      <c r="X693" s="77" t="s">
        <v>8596</v>
      </c>
      <c r="Y693" s="77" t="s">
        <v>8639</v>
      </c>
      <c r="Z693" s="77"/>
      <c r="AA693" s="77"/>
      <c r="AB693" s="77"/>
      <c r="AC693" s="80" t="s">
        <v>10563</v>
      </c>
      <c r="AD693" s="77" t="s">
        <v>10617</v>
      </c>
      <c r="AE693" s="83" t="str">
        <f>HYPERLINK("https://twitter.com/viuuoficial/status/1674432952003092488")</f>
        <v>https://twitter.com/viuuoficial/status/1674432952003092488</v>
      </c>
      <c r="AF693" s="79">
        <v>45106.626145833332</v>
      </c>
      <c r="AG693" s="85">
        <v>45106</v>
      </c>
      <c r="AH693" s="80" t="s">
        <v>11251</v>
      </c>
      <c r="AI693" s="77" t="b">
        <v>0</v>
      </c>
      <c r="AJ693" s="77"/>
      <c r="AK693" s="77"/>
      <c r="AL693" s="77"/>
      <c r="AM693" s="77"/>
      <c r="AN693" s="77"/>
      <c r="AO693" s="77"/>
      <c r="AP693" s="77"/>
      <c r="AQ693" s="77"/>
      <c r="AR693" s="77"/>
      <c r="AS693" s="77"/>
      <c r="AT693" s="77"/>
      <c r="AU693" s="77"/>
      <c r="AV693" s="83" t="str">
        <f>HYPERLINK("https://pbs.twimg.com/profile_images/1652089890237042688/3_LRRCjG_normal.jpg")</f>
        <v>https://pbs.twimg.com/profile_images/1652089890237042688/3_LRRCjG_normal.jpg</v>
      </c>
      <c r="AW693" s="80" t="s">
        <v>16642</v>
      </c>
      <c r="AX693" s="80" t="s">
        <v>16642</v>
      </c>
      <c r="AY693" s="77"/>
      <c r="AZ693" s="80" t="s">
        <v>20380</v>
      </c>
      <c r="BA693" s="80" t="s">
        <v>20380</v>
      </c>
      <c r="BB693" s="80" t="s">
        <v>20380</v>
      </c>
      <c r="BC693" s="80" t="s">
        <v>16642</v>
      </c>
      <c r="BD693" s="80" t="s">
        <v>20631</v>
      </c>
      <c r="BE693" s="77"/>
      <c r="BF693" s="77"/>
      <c r="BG693" s="77"/>
      <c r="BH693" s="77"/>
      <c r="BI693" s="77"/>
    </row>
    <row r="694" spans="1:61" x14ac:dyDescent="0.25">
      <c r="A694" s="62" t="s">
        <v>502</v>
      </c>
      <c r="B694" s="62" t="s">
        <v>502</v>
      </c>
      <c r="C694" s="63"/>
      <c r="D694" s="64"/>
      <c r="E694" s="65"/>
      <c r="F694" s="66"/>
      <c r="G694" s="63"/>
      <c r="H694" s="67"/>
      <c r="I694" s="68"/>
      <c r="J694" s="68"/>
      <c r="K694" s="32"/>
      <c r="L694" s="75">
        <v>694</v>
      </c>
      <c r="M694" s="75"/>
      <c r="N694" s="70"/>
      <c r="O694" s="77" t="s">
        <v>179</v>
      </c>
      <c r="P694" s="79">
        <v>45146.675405092596</v>
      </c>
      <c r="Q694" s="77" t="s">
        <v>2688</v>
      </c>
      <c r="R694" s="77">
        <v>0</v>
      </c>
      <c r="S694" s="77">
        <v>0</v>
      </c>
      <c r="T694" s="77">
        <v>0</v>
      </c>
      <c r="U694" s="77">
        <v>0</v>
      </c>
      <c r="V694" s="77">
        <v>8</v>
      </c>
      <c r="W694" s="80" t="s">
        <v>6384</v>
      </c>
      <c r="X694" s="77" t="s">
        <v>8597</v>
      </c>
      <c r="Y694" s="77" t="s">
        <v>8639</v>
      </c>
      <c r="Z694" s="77"/>
      <c r="AA694" s="77"/>
      <c r="AB694" s="77"/>
      <c r="AC694" s="80" t="s">
        <v>10563</v>
      </c>
      <c r="AD694" s="77" t="s">
        <v>10617</v>
      </c>
      <c r="AE694" s="83" t="str">
        <f>HYPERLINK("https://twitter.com/viuuoficial/status/1688946317475606529")</f>
        <v>https://twitter.com/viuuoficial/status/1688946317475606529</v>
      </c>
      <c r="AF694" s="79">
        <v>45146.675405092596</v>
      </c>
      <c r="AG694" s="85">
        <v>45146</v>
      </c>
      <c r="AH694" s="80" t="s">
        <v>11252</v>
      </c>
      <c r="AI694" s="77" t="b">
        <v>0</v>
      </c>
      <c r="AJ694" s="77"/>
      <c r="AK694" s="77"/>
      <c r="AL694" s="77"/>
      <c r="AM694" s="77"/>
      <c r="AN694" s="77"/>
      <c r="AO694" s="77"/>
      <c r="AP694" s="77"/>
      <c r="AQ694" s="77"/>
      <c r="AR694" s="77"/>
      <c r="AS694" s="77"/>
      <c r="AT694" s="77"/>
      <c r="AU694" s="77"/>
      <c r="AV694" s="83" t="str">
        <f>HYPERLINK("https://pbs.twimg.com/profile_images/1652089890237042688/3_LRRCjG_normal.jpg")</f>
        <v>https://pbs.twimg.com/profile_images/1652089890237042688/3_LRRCjG_normal.jpg</v>
      </c>
      <c r="AW694" s="80" t="s">
        <v>16643</v>
      </c>
      <c r="AX694" s="80" t="s">
        <v>16643</v>
      </c>
      <c r="AY694" s="77"/>
      <c r="AZ694" s="80" t="s">
        <v>20380</v>
      </c>
      <c r="BA694" s="80" t="s">
        <v>20380</v>
      </c>
      <c r="BB694" s="80" t="s">
        <v>20380</v>
      </c>
      <c r="BC694" s="80" t="s">
        <v>16643</v>
      </c>
      <c r="BD694" s="80" t="s">
        <v>20631</v>
      </c>
      <c r="BE694" s="77"/>
      <c r="BF694" s="77"/>
      <c r="BG694" s="77"/>
      <c r="BH694" s="77"/>
      <c r="BI694" s="77"/>
    </row>
    <row r="695" spans="1:61" x14ac:dyDescent="0.25">
      <c r="A695" s="62" t="s">
        <v>502</v>
      </c>
      <c r="B695" s="62" t="s">
        <v>502</v>
      </c>
      <c r="C695" s="63"/>
      <c r="D695" s="64"/>
      <c r="E695" s="65"/>
      <c r="F695" s="66"/>
      <c r="G695" s="63"/>
      <c r="H695" s="67"/>
      <c r="I695" s="68"/>
      <c r="J695" s="68"/>
      <c r="K695" s="32"/>
      <c r="L695" s="75">
        <v>695</v>
      </c>
      <c r="M695" s="75"/>
      <c r="N695" s="70"/>
      <c r="O695" s="77" t="s">
        <v>179</v>
      </c>
      <c r="P695" s="79">
        <v>45146.008449074077</v>
      </c>
      <c r="Q695" s="77" t="s">
        <v>2689</v>
      </c>
      <c r="R695" s="77">
        <v>0</v>
      </c>
      <c r="S695" s="77">
        <v>0</v>
      </c>
      <c r="T695" s="77">
        <v>0</v>
      </c>
      <c r="U695" s="77">
        <v>0</v>
      </c>
      <c r="V695" s="77">
        <v>12</v>
      </c>
      <c r="W695" s="80" t="s">
        <v>6385</v>
      </c>
      <c r="X695" s="77" t="s">
        <v>8598</v>
      </c>
      <c r="Y695" s="77" t="s">
        <v>8639</v>
      </c>
      <c r="Z695" s="77"/>
      <c r="AA695" s="77"/>
      <c r="AB695" s="77"/>
      <c r="AC695" s="80" t="s">
        <v>10563</v>
      </c>
      <c r="AD695" s="77" t="s">
        <v>10617</v>
      </c>
      <c r="AE695" s="83" t="str">
        <f>HYPERLINK("https://twitter.com/viuuoficial/status/1688704620741144576")</f>
        <v>https://twitter.com/viuuoficial/status/1688704620741144576</v>
      </c>
      <c r="AF695" s="79">
        <v>45146.008449074077</v>
      </c>
      <c r="AG695" s="85">
        <v>45146</v>
      </c>
      <c r="AH695" s="80" t="s">
        <v>11253</v>
      </c>
      <c r="AI695" s="77" t="b">
        <v>0</v>
      </c>
      <c r="AJ695" s="77"/>
      <c r="AK695" s="77"/>
      <c r="AL695" s="77"/>
      <c r="AM695" s="77"/>
      <c r="AN695" s="77"/>
      <c r="AO695" s="77"/>
      <c r="AP695" s="77"/>
      <c r="AQ695" s="77"/>
      <c r="AR695" s="77"/>
      <c r="AS695" s="77"/>
      <c r="AT695" s="77"/>
      <c r="AU695" s="77"/>
      <c r="AV695" s="83" t="str">
        <f>HYPERLINK("https://pbs.twimg.com/profile_images/1652089890237042688/3_LRRCjG_normal.jpg")</f>
        <v>https://pbs.twimg.com/profile_images/1652089890237042688/3_LRRCjG_normal.jpg</v>
      </c>
      <c r="AW695" s="80" t="s">
        <v>16644</v>
      </c>
      <c r="AX695" s="80" t="s">
        <v>16644</v>
      </c>
      <c r="AY695" s="77"/>
      <c r="AZ695" s="80" t="s">
        <v>20380</v>
      </c>
      <c r="BA695" s="80" t="s">
        <v>20380</v>
      </c>
      <c r="BB695" s="80" t="s">
        <v>20380</v>
      </c>
      <c r="BC695" s="80" t="s">
        <v>16644</v>
      </c>
      <c r="BD695" s="80" t="s">
        <v>20631</v>
      </c>
      <c r="BE695" s="77"/>
      <c r="BF695" s="77"/>
      <c r="BG695" s="77"/>
      <c r="BH695" s="77"/>
      <c r="BI695" s="77"/>
    </row>
    <row r="696" spans="1:61" x14ac:dyDescent="0.25">
      <c r="A696" s="62" t="s">
        <v>502</v>
      </c>
      <c r="B696" s="62" t="s">
        <v>502</v>
      </c>
      <c r="C696" s="63"/>
      <c r="D696" s="64"/>
      <c r="E696" s="65"/>
      <c r="F696" s="66"/>
      <c r="G696" s="63"/>
      <c r="H696" s="67"/>
      <c r="I696" s="68"/>
      <c r="J696" s="68"/>
      <c r="K696" s="32"/>
      <c r="L696" s="75">
        <v>696</v>
      </c>
      <c r="M696" s="75"/>
      <c r="N696" s="70"/>
      <c r="O696" s="77" t="s">
        <v>179</v>
      </c>
      <c r="P696" s="79">
        <v>45159.834305555552</v>
      </c>
      <c r="Q696" s="77" t="s">
        <v>2690</v>
      </c>
      <c r="R696" s="77">
        <v>0</v>
      </c>
      <c r="S696" s="77">
        <v>0</v>
      </c>
      <c r="T696" s="77">
        <v>0</v>
      </c>
      <c r="U696" s="77">
        <v>0</v>
      </c>
      <c r="V696" s="77">
        <v>16</v>
      </c>
      <c r="W696" s="80" t="s">
        <v>6386</v>
      </c>
      <c r="X696" s="83" t="str">
        <f>HYPERLINK("https://4et.us/rzr1d9")</f>
        <v>https://4et.us/rzr1d9</v>
      </c>
      <c r="Y696" s="77" t="s">
        <v>8683</v>
      </c>
      <c r="Z696" s="77"/>
      <c r="AA696" s="77" t="s">
        <v>9227</v>
      </c>
      <c r="AB696" s="77" t="s">
        <v>10535</v>
      </c>
      <c r="AC696" s="80" t="s">
        <v>10565</v>
      </c>
      <c r="AD696" s="77" t="s">
        <v>10617</v>
      </c>
      <c r="AE696" s="83" t="str">
        <f>HYPERLINK("https://twitter.com/viuuoficial/status/1693714939976794392")</f>
        <v>https://twitter.com/viuuoficial/status/1693714939976794392</v>
      </c>
      <c r="AF696" s="79">
        <v>45159.834305555552</v>
      </c>
      <c r="AG696" s="85">
        <v>45159</v>
      </c>
      <c r="AH696" s="80" t="s">
        <v>11254</v>
      </c>
      <c r="AI696" s="77" t="b">
        <v>0</v>
      </c>
      <c r="AJ696" s="77"/>
      <c r="AK696" s="77"/>
      <c r="AL696" s="77"/>
      <c r="AM696" s="77"/>
      <c r="AN696" s="77"/>
      <c r="AO696" s="77"/>
      <c r="AP696" s="77"/>
      <c r="AQ696" s="77" t="s">
        <v>14709</v>
      </c>
      <c r="AR696" s="77"/>
      <c r="AS696" s="77"/>
      <c r="AT696" s="77"/>
      <c r="AU696" s="77"/>
      <c r="AV696" s="83" t="str">
        <f>HYPERLINK("https://pbs.twimg.com/media/F4FIwxAWYAEnBgZ.jpg")</f>
        <v>https://pbs.twimg.com/media/F4FIwxAWYAEnBgZ.jpg</v>
      </c>
      <c r="AW696" s="80" t="s">
        <v>16645</v>
      </c>
      <c r="AX696" s="80" t="s">
        <v>16645</v>
      </c>
      <c r="AY696" s="77"/>
      <c r="AZ696" s="80" t="s">
        <v>20380</v>
      </c>
      <c r="BA696" s="80" t="s">
        <v>20380</v>
      </c>
      <c r="BB696" s="80" t="s">
        <v>20380</v>
      </c>
      <c r="BC696" s="80" t="s">
        <v>16645</v>
      </c>
      <c r="BD696" s="80" t="s">
        <v>20631</v>
      </c>
      <c r="BE696" s="77"/>
      <c r="BF696" s="77"/>
      <c r="BG696" s="77"/>
      <c r="BH696" s="77"/>
      <c r="BI696" s="77"/>
    </row>
    <row r="697" spans="1:61" x14ac:dyDescent="0.25">
      <c r="A697" s="62" t="s">
        <v>502</v>
      </c>
      <c r="B697" s="62" t="s">
        <v>502</v>
      </c>
      <c r="C697" s="63"/>
      <c r="D697" s="64"/>
      <c r="E697" s="65"/>
      <c r="F697" s="66"/>
      <c r="G697" s="63"/>
      <c r="H697" s="67"/>
      <c r="I697" s="68"/>
      <c r="J697" s="68"/>
      <c r="K697" s="32"/>
      <c r="L697" s="75">
        <v>697</v>
      </c>
      <c r="M697" s="75"/>
      <c r="N697" s="70"/>
      <c r="O697" s="77" t="s">
        <v>179</v>
      </c>
      <c r="P697" s="79">
        <v>45159.606226851851</v>
      </c>
      <c r="Q697" s="77" t="s">
        <v>2691</v>
      </c>
      <c r="R697" s="77">
        <v>0</v>
      </c>
      <c r="S697" s="77">
        <v>0</v>
      </c>
      <c r="T697" s="77">
        <v>0</v>
      </c>
      <c r="U697" s="77">
        <v>0</v>
      </c>
      <c r="V697" s="77">
        <v>14</v>
      </c>
      <c r="W697" s="80" t="s">
        <v>6387</v>
      </c>
      <c r="X697" s="77" t="s">
        <v>8599</v>
      </c>
      <c r="Y697" s="77" t="s">
        <v>8639</v>
      </c>
      <c r="Z697" s="77"/>
      <c r="AA697" s="77"/>
      <c r="AB697" s="77"/>
      <c r="AC697" s="80" t="s">
        <v>10563</v>
      </c>
      <c r="AD697" s="77" t="s">
        <v>10617</v>
      </c>
      <c r="AE697" s="83" t="str">
        <f>HYPERLINK("https://twitter.com/viuuoficial/status/1693632290302136329")</f>
        <v>https://twitter.com/viuuoficial/status/1693632290302136329</v>
      </c>
      <c r="AF697" s="79">
        <v>45159.606226851851</v>
      </c>
      <c r="AG697" s="85">
        <v>45159</v>
      </c>
      <c r="AH697" s="80" t="s">
        <v>11255</v>
      </c>
      <c r="AI697" s="77" t="b">
        <v>0</v>
      </c>
      <c r="AJ697" s="77"/>
      <c r="AK697" s="77"/>
      <c r="AL697" s="77"/>
      <c r="AM697" s="77"/>
      <c r="AN697" s="77"/>
      <c r="AO697" s="77"/>
      <c r="AP697" s="77"/>
      <c r="AQ697" s="77"/>
      <c r="AR697" s="77"/>
      <c r="AS697" s="77"/>
      <c r="AT697" s="77"/>
      <c r="AU697" s="77"/>
      <c r="AV697" s="83" t="str">
        <f>HYPERLINK("https://pbs.twimg.com/profile_images/1652089890237042688/3_LRRCjG_normal.jpg")</f>
        <v>https://pbs.twimg.com/profile_images/1652089890237042688/3_LRRCjG_normal.jpg</v>
      </c>
      <c r="AW697" s="80" t="s">
        <v>16646</v>
      </c>
      <c r="AX697" s="80" t="s">
        <v>16646</v>
      </c>
      <c r="AY697" s="77"/>
      <c r="AZ697" s="80" t="s">
        <v>20380</v>
      </c>
      <c r="BA697" s="80" t="s">
        <v>20380</v>
      </c>
      <c r="BB697" s="80" t="s">
        <v>20380</v>
      </c>
      <c r="BC697" s="80" t="s">
        <v>16646</v>
      </c>
      <c r="BD697" s="80" t="s">
        <v>20631</v>
      </c>
      <c r="BE697" s="77"/>
      <c r="BF697" s="77"/>
      <c r="BG697" s="77"/>
      <c r="BH697" s="77"/>
      <c r="BI697" s="77"/>
    </row>
    <row r="698" spans="1:61" x14ac:dyDescent="0.25">
      <c r="A698" s="62" t="s">
        <v>502</v>
      </c>
      <c r="B698" s="62" t="s">
        <v>502</v>
      </c>
      <c r="C698" s="63"/>
      <c r="D698" s="64"/>
      <c r="E698" s="65"/>
      <c r="F698" s="66"/>
      <c r="G698" s="63"/>
      <c r="H698" s="67"/>
      <c r="I698" s="68"/>
      <c r="J698" s="68"/>
      <c r="K698" s="32"/>
      <c r="L698" s="75">
        <v>698</v>
      </c>
      <c r="M698" s="75"/>
      <c r="N698" s="70"/>
      <c r="O698" s="77" t="s">
        <v>179</v>
      </c>
      <c r="P698" s="79">
        <v>45117.789525462962</v>
      </c>
      <c r="Q698" s="77" t="s">
        <v>2692</v>
      </c>
      <c r="R698" s="77">
        <v>0</v>
      </c>
      <c r="S698" s="77">
        <v>0</v>
      </c>
      <c r="T698" s="77">
        <v>0</v>
      </c>
      <c r="U698" s="77">
        <v>0</v>
      </c>
      <c r="V698" s="77">
        <v>8</v>
      </c>
      <c r="W698" s="80" t="s">
        <v>6388</v>
      </c>
      <c r="X698" s="77" t="s">
        <v>8600</v>
      </c>
      <c r="Y698" s="77" t="s">
        <v>8639</v>
      </c>
      <c r="Z698" s="77"/>
      <c r="AA698" s="77"/>
      <c r="AB698" s="77"/>
      <c r="AC698" s="80" t="s">
        <v>10563</v>
      </c>
      <c r="AD698" s="77" t="s">
        <v>10617</v>
      </c>
      <c r="AE698" s="83" t="str">
        <f>HYPERLINK("https://twitter.com/viuuoficial/status/1678478421658071044")</f>
        <v>https://twitter.com/viuuoficial/status/1678478421658071044</v>
      </c>
      <c r="AF698" s="79">
        <v>45117.789525462962</v>
      </c>
      <c r="AG698" s="85">
        <v>45117</v>
      </c>
      <c r="AH698" s="80" t="s">
        <v>11256</v>
      </c>
      <c r="AI698" s="77" t="b">
        <v>0</v>
      </c>
      <c r="AJ698" s="77"/>
      <c r="AK698" s="77"/>
      <c r="AL698" s="77"/>
      <c r="AM698" s="77"/>
      <c r="AN698" s="77"/>
      <c r="AO698" s="77"/>
      <c r="AP698" s="77"/>
      <c r="AQ698" s="77"/>
      <c r="AR698" s="77"/>
      <c r="AS698" s="77"/>
      <c r="AT698" s="77"/>
      <c r="AU698" s="77"/>
      <c r="AV698" s="83" t="str">
        <f>HYPERLINK("https://pbs.twimg.com/profile_images/1652089890237042688/3_LRRCjG_normal.jpg")</f>
        <v>https://pbs.twimg.com/profile_images/1652089890237042688/3_LRRCjG_normal.jpg</v>
      </c>
      <c r="AW698" s="80" t="s">
        <v>16647</v>
      </c>
      <c r="AX698" s="80" t="s">
        <v>16647</v>
      </c>
      <c r="AY698" s="77"/>
      <c r="AZ698" s="80" t="s">
        <v>20380</v>
      </c>
      <c r="BA698" s="80" t="s">
        <v>20380</v>
      </c>
      <c r="BB698" s="80" t="s">
        <v>20380</v>
      </c>
      <c r="BC698" s="80" t="s">
        <v>16647</v>
      </c>
      <c r="BD698" s="80" t="s">
        <v>20631</v>
      </c>
      <c r="BE698" s="77"/>
      <c r="BF698" s="77"/>
      <c r="BG698" s="77"/>
      <c r="BH698" s="77"/>
      <c r="BI698" s="77"/>
    </row>
    <row r="699" spans="1:61" x14ac:dyDescent="0.25">
      <c r="A699" s="62" t="s">
        <v>503</v>
      </c>
      <c r="B699" s="62" t="s">
        <v>1779</v>
      </c>
      <c r="C699" s="63"/>
      <c r="D699" s="64"/>
      <c r="E699" s="65"/>
      <c r="F699" s="66"/>
      <c r="G699" s="63"/>
      <c r="H699" s="67"/>
      <c r="I699" s="68"/>
      <c r="J699" s="68"/>
      <c r="K699" s="32"/>
      <c r="L699" s="75">
        <v>699</v>
      </c>
      <c r="M699" s="75"/>
      <c r="N699" s="70"/>
      <c r="O699" s="77" t="s">
        <v>2081</v>
      </c>
      <c r="P699" s="79">
        <v>45070.700439814813</v>
      </c>
      <c r="Q699" s="77" t="s">
        <v>2693</v>
      </c>
      <c r="R699" s="77">
        <v>2</v>
      </c>
      <c r="S699" s="77">
        <v>9</v>
      </c>
      <c r="T699" s="77">
        <v>3</v>
      </c>
      <c r="U699" s="77">
        <v>0</v>
      </c>
      <c r="V699" s="77">
        <v>430</v>
      </c>
      <c r="W699" s="80" t="s">
        <v>6389</v>
      </c>
      <c r="X699" s="77"/>
      <c r="Y699" s="77"/>
      <c r="Z699" s="77" t="s">
        <v>1779</v>
      </c>
      <c r="AA699" s="77" t="s">
        <v>9228</v>
      </c>
      <c r="AB699" s="77" t="s">
        <v>10536</v>
      </c>
      <c r="AC699" s="80" t="s">
        <v>10542</v>
      </c>
      <c r="AD699" s="77" t="s">
        <v>10620</v>
      </c>
      <c r="AE699" s="83" t="str">
        <f>HYPERLINK("https://twitter.com/peulloa/status/1661413911814340620")</f>
        <v>https://twitter.com/peulloa/status/1661413911814340620</v>
      </c>
      <c r="AF699" s="79">
        <v>45070.700439814813</v>
      </c>
      <c r="AG699" s="85">
        <v>45070</v>
      </c>
      <c r="AH699" s="80" t="s">
        <v>11257</v>
      </c>
      <c r="AI699" s="77" t="b">
        <v>0</v>
      </c>
      <c r="AJ699" s="77"/>
      <c r="AK699" s="77"/>
      <c r="AL699" s="77"/>
      <c r="AM699" s="77"/>
      <c r="AN699" s="77"/>
      <c r="AO699" s="77"/>
      <c r="AP699" s="77"/>
      <c r="AQ699" s="77" t="s">
        <v>14710</v>
      </c>
      <c r="AR699" s="77"/>
      <c r="AS699" s="77"/>
      <c r="AT699" s="77"/>
      <c r="AU699" s="77"/>
      <c r="AV699" s="83" t="str">
        <f>HYPERLINK("https://pbs.twimg.com/media/Fw6HJQBWIAEskyV.jpg")</f>
        <v>https://pbs.twimg.com/media/Fw6HJQBWIAEskyV.jpg</v>
      </c>
      <c r="AW699" s="80" t="s">
        <v>16648</v>
      </c>
      <c r="AX699" s="80" t="s">
        <v>16648</v>
      </c>
      <c r="AY699" s="77"/>
      <c r="AZ699" s="80" t="s">
        <v>20380</v>
      </c>
      <c r="BA699" s="80" t="s">
        <v>20380</v>
      </c>
      <c r="BB699" s="80" t="s">
        <v>20380</v>
      </c>
      <c r="BC699" s="80" t="s">
        <v>16648</v>
      </c>
      <c r="BD699" s="77">
        <v>407974351</v>
      </c>
      <c r="BE699" s="77"/>
      <c r="BF699" s="77"/>
      <c r="BG699" s="77"/>
      <c r="BH699" s="77"/>
      <c r="BI699" s="77"/>
    </row>
    <row r="700" spans="1:61" x14ac:dyDescent="0.25">
      <c r="A700" s="62" t="s">
        <v>504</v>
      </c>
      <c r="B700" s="62" t="s">
        <v>504</v>
      </c>
      <c r="C700" s="63"/>
      <c r="D700" s="64"/>
      <c r="E700" s="65"/>
      <c r="F700" s="66"/>
      <c r="G700" s="63"/>
      <c r="H700" s="67"/>
      <c r="I700" s="68"/>
      <c r="J700" s="68"/>
      <c r="K700" s="32"/>
      <c r="L700" s="75">
        <v>700</v>
      </c>
      <c r="M700" s="75"/>
      <c r="N700" s="70"/>
      <c r="O700" s="77" t="s">
        <v>179</v>
      </c>
      <c r="P700" s="79">
        <v>45062.507557870369</v>
      </c>
      <c r="Q700" s="77" t="s">
        <v>2694</v>
      </c>
      <c r="R700" s="77">
        <v>147</v>
      </c>
      <c r="S700" s="77">
        <v>533</v>
      </c>
      <c r="T700" s="77">
        <v>14</v>
      </c>
      <c r="U700" s="77">
        <v>7</v>
      </c>
      <c r="V700" s="77">
        <v>33633</v>
      </c>
      <c r="W700" s="80" t="s">
        <v>6390</v>
      </c>
      <c r="X700" s="83" t="str">
        <f>HYPERLINK("https://elcirculotv.com/el-halcon-dolarizador-de-eeuu-apoya-a-javier-milei-llego-el-momento-de-desmantelar-el-banco-central-y-el-peso/")</f>
        <v>https://elcirculotv.com/el-halcon-dolarizador-de-eeuu-apoya-a-javier-milei-llego-el-momento-de-desmantelar-el-banco-central-y-el-peso/</v>
      </c>
      <c r="Y700" s="77" t="s">
        <v>8684</v>
      </c>
      <c r="Z700" s="77"/>
      <c r="AA700" s="77" t="s">
        <v>9229</v>
      </c>
      <c r="AB700" s="77" t="s">
        <v>10535</v>
      </c>
      <c r="AC700" s="80" t="s">
        <v>10546</v>
      </c>
      <c r="AD700" s="77" t="s">
        <v>10620</v>
      </c>
      <c r="AE700" s="83" t="str">
        <f>HYPERLINK("https://twitter.com/elcirculotv_/status/1658444908829474818")</f>
        <v>https://twitter.com/elcirculotv_/status/1658444908829474818</v>
      </c>
      <c r="AF700" s="79">
        <v>45062.507557870369</v>
      </c>
      <c r="AG700" s="85">
        <v>45062</v>
      </c>
      <c r="AH700" s="80" t="s">
        <v>11258</v>
      </c>
      <c r="AI700" s="77" t="b">
        <v>0</v>
      </c>
      <c r="AJ700" s="77"/>
      <c r="AK700" s="77"/>
      <c r="AL700" s="77"/>
      <c r="AM700" s="77"/>
      <c r="AN700" s="77"/>
      <c r="AO700" s="77"/>
      <c r="AP700" s="77"/>
      <c r="AQ700" s="77" t="s">
        <v>14711</v>
      </c>
      <c r="AR700" s="77"/>
      <c r="AS700" s="77"/>
      <c r="AT700" s="77"/>
      <c r="AU700" s="77"/>
      <c r="AV700" s="83" t="str">
        <f>HYPERLINK("https://pbs.twimg.com/media/FwP62xzWwAEF8ql.jpg")</f>
        <v>https://pbs.twimg.com/media/FwP62xzWwAEF8ql.jpg</v>
      </c>
      <c r="AW700" s="80" t="s">
        <v>16649</v>
      </c>
      <c r="AX700" s="80" t="s">
        <v>16649</v>
      </c>
      <c r="AY700" s="77"/>
      <c r="AZ700" s="80" t="s">
        <v>20380</v>
      </c>
      <c r="BA700" s="80" t="s">
        <v>20380</v>
      </c>
      <c r="BB700" s="80" t="s">
        <v>20380</v>
      </c>
      <c r="BC700" s="80" t="s">
        <v>16649</v>
      </c>
      <c r="BD700" s="80" t="s">
        <v>20632</v>
      </c>
      <c r="BE700" s="77"/>
      <c r="BF700" s="77"/>
      <c r="BG700" s="77"/>
      <c r="BH700" s="77"/>
      <c r="BI700" s="77"/>
    </row>
    <row r="701" spans="1:61" x14ac:dyDescent="0.25">
      <c r="A701" s="62" t="s">
        <v>505</v>
      </c>
      <c r="B701" s="62" t="s">
        <v>505</v>
      </c>
      <c r="C701" s="63"/>
      <c r="D701" s="64"/>
      <c r="E701" s="65"/>
      <c r="F701" s="66"/>
      <c r="G701" s="63"/>
      <c r="H701" s="67"/>
      <c r="I701" s="68"/>
      <c r="J701" s="68"/>
      <c r="K701" s="32"/>
      <c r="L701" s="75">
        <v>701</v>
      </c>
      <c r="M701" s="75"/>
      <c r="N701" s="70"/>
      <c r="O701" s="77" t="s">
        <v>179</v>
      </c>
      <c r="P701" s="79">
        <v>45081.792083333334</v>
      </c>
      <c r="Q701" s="77" t="s">
        <v>2695</v>
      </c>
      <c r="R701" s="77">
        <v>0</v>
      </c>
      <c r="S701" s="77">
        <v>0</v>
      </c>
      <c r="T701" s="77">
        <v>0</v>
      </c>
      <c r="U701" s="77">
        <v>0</v>
      </c>
      <c r="V701" s="77">
        <v>2</v>
      </c>
      <c r="W701" s="80" t="s">
        <v>6391</v>
      </c>
      <c r="X701" s="83" t="str">
        <f>HYPERLINK("http://forumservicopublicoceara.org.br")</f>
        <v>http://forumservicopublicoceara.org.br</v>
      </c>
      <c r="Y701" s="77" t="s">
        <v>8667</v>
      </c>
      <c r="Z701" s="77"/>
      <c r="AA701" s="77" t="s">
        <v>9230</v>
      </c>
      <c r="AB701" s="77" t="s">
        <v>10535</v>
      </c>
      <c r="AC701" s="80" t="s">
        <v>10550</v>
      </c>
      <c r="AD701" s="77" t="s">
        <v>10617</v>
      </c>
      <c r="AE701" s="83" t="str">
        <f>HYPERLINK("https://twitter.com/forumdefesa/status/1665433389149683712")</f>
        <v>https://twitter.com/forumdefesa/status/1665433389149683712</v>
      </c>
      <c r="AF701" s="79">
        <v>45081.792083333334</v>
      </c>
      <c r="AG701" s="85">
        <v>45081</v>
      </c>
      <c r="AH701" s="80" t="s">
        <v>11259</v>
      </c>
      <c r="AI701" s="77" t="b">
        <v>0</v>
      </c>
      <c r="AJ701" s="77"/>
      <c r="AK701" s="77"/>
      <c r="AL701" s="77"/>
      <c r="AM701" s="77"/>
      <c r="AN701" s="77"/>
      <c r="AO701" s="77"/>
      <c r="AP701" s="77"/>
      <c r="AQ701" s="77" t="s">
        <v>14712</v>
      </c>
      <c r="AR701" s="77"/>
      <c r="AS701" s="77"/>
      <c r="AT701" s="77"/>
      <c r="AU701" s="77"/>
      <c r="AV701" s="83" t="str">
        <f>HYPERLINK("https://pbs.twimg.com/media/FxzO14QXgAAUjYS.jpg")</f>
        <v>https://pbs.twimg.com/media/FxzO14QXgAAUjYS.jpg</v>
      </c>
      <c r="AW701" s="80" t="s">
        <v>16650</v>
      </c>
      <c r="AX701" s="80" t="s">
        <v>16650</v>
      </c>
      <c r="AY701" s="77"/>
      <c r="AZ701" s="80" t="s">
        <v>20380</v>
      </c>
      <c r="BA701" s="80" t="s">
        <v>20380</v>
      </c>
      <c r="BB701" s="80" t="s">
        <v>20380</v>
      </c>
      <c r="BC701" s="80" t="s">
        <v>16650</v>
      </c>
      <c r="BD701" s="80" t="s">
        <v>20633</v>
      </c>
      <c r="BE701" s="77"/>
      <c r="BF701" s="77"/>
      <c r="BG701" s="77"/>
      <c r="BH701" s="77"/>
      <c r="BI701" s="77"/>
    </row>
    <row r="702" spans="1:61" x14ac:dyDescent="0.25">
      <c r="A702" s="62" t="s">
        <v>505</v>
      </c>
      <c r="B702" s="62" t="s">
        <v>505</v>
      </c>
      <c r="C702" s="63"/>
      <c r="D702" s="64"/>
      <c r="E702" s="65"/>
      <c r="F702" s="66"/>
      <c r="G702" s="63"/>
      <c r="H702" s="67"/>
      <c r="I702" s="68"/>
      <c r="J702" s="68"/>
      <c r="K702" s="32"/>
      <c r="L702" s="75">
        <v>702</v>
      </c>
      <c r="M702" s="75"/>
      <c r="N702" s="70"/>
      <c r="O702" s="77" t="s">
        <v>179</v>
      </c>
      <c r="P702" s="79">
        <v>45105.79215277778</v>
      </c>
      <c r="Q702" s="77" t="s">
        <v>2696</v>
      </c>
      <c r="R702" s="77">
        <v>0</v>
      </c>
      <c r="S702" s="77">
        <v>0</v>
      </c>
      <c r="T702" s="77">
        <v>0</v>
      </c>
      <c r="U702" s="77">
        <v>0</v>
      </c>
      <c r="V702" s="77">
        <v>4</v>
      </c>
      <c r="W702" s="80" t="s">
        <v>6392</v>
      </c>
      <c r="X702" s="83" t="str">
        <f>HYPERLINK("http://forumservicopublicoceara.org.br")</f>
        <v>http://forumservicopublicoceara.org.br</v>
      </c>
      <c r="Y702" s="77" t="s">
        <v>8667</v>
      </c>
      <c r="Z702" s="77"/>
      <c r="AA702" s="77" t="s">
        <v>9231</v>
      </c>
      <c r="AB702" s="77" t="s">
        <v>10535</v>
      </c>
      <c r="AC702" s="80" t="s">
        <v>10550</v>
      </c>
      <c r="AD702" s="77" t="s">
        <v>10617</v>
      </c>
      <c r="AE702" s="83" t="str">
        <f>HYPERLINK("https://twitter.com/forumdefesa/status/1674130721630310415")</f>
        <v>https://twitter.com/forumdefesa/status/1674130721630310415</v>
      </c>
      <c r="AF702" s="79">
        <v>45105.79215277778</v>
      </c>
      <c r="AG702" s="85">
        <v>45105</v>
      </c>
      <c r="AH702" s="80" t="s">
        <v>11121</v>
      </c>
      <c r="AI702" s="77" t="b">
        <v>0</v>
      </c>
      <c r="AJ702" s="77"/>
      <c r="AK702" s="77"/>
      <c r="AL702" s="77"/>
      <c r="AM702" s="77"/>
      <c r="AN702" s="77"/>
      <c r="AO702" s="77"/>
      <c r="AP702" s="77"/>
      <c r="AQ702" s="77" t="s">
        <v>14713</v>
      </c>
      <c r="AR702" s="77"/>
      <c r="AS702" s="77"/>
      <c r="AT702" s="77"/>
      <c r="AU702" s="77"/>
      <c r="AV702" s="83" t="str">
        <f>HYPERLINK("https://pbs.twimg.com/media/Fzu1BRAWYAEPEZn.jpg")</f>
        <v>https://pbs.twimg.com/media/Fzu1BRAWYAEPEZn.jpg</v>
      </c>
      <c r="AW702" s="80" t="s">
        <v>16651</v>
      </c>
      <c r="AX702" s="80" t="s">
        <v>16651</v>
      </c>
      <c r="AY702" s="77"/>
      <c r="AZ702" s="80" t="s">
        <v>20380</v>
      </c>
      <c r="BA702" s="80" t="s">
        <v>20380</v>
      </c>
      <c r="BB702" s="80" t="s">
        <v>20380</v>
      </c>
      <c r="BC702" s="80" t="s">
        <v>16651</v>
      </c>
      <c r="BD702" s="80" t="s">
        <v>20633</v>
      </c>
      <c r="BE702" s="77"/>
      <c r="BF702" s="77"/>
      <c r="BG702" s="77"/>
      <c r="BH702" s="77"/>
      <c r="BI702" s="77"/>
    </row>
    <row r="703" spans="1:61" x14ac:dyDescent="0.25">
      <c r="A703" s="62" t="s">
        <v>505</v>
      </c>
      <c r="B703" s="62" t="s">
        <v>505</v>
      </c>
      <c r="C703" s="63"/>
      <c r="D703" s="64"/>
      <c r="E703" s="65"/>
      <c r="F703" s="66"/>
      <c r="G703" s="63"/>
      <c r="H703" s="67"/>
      <c r="I703" s="68"/>
      <c r="J703" s="68"/>
      <c r="K703" s="32"/>
      <c r="L703" s="75">
        <v>703</v>
      </c>
      <c r="M703" s="75"/>
      <c r="N703" s="70"/>
      <c r="O703" s="77" t="s">
        <v>179</v>
      </c>
      <c r="P703" s="79">
        <v>45091.854803240742</v>
      </c>
      <c r="Q703" s="77" t="s">
        <v>2697</v>
      </c>
      <c r="R703" s="77">
        <v>0</v>
      </c>
      <c r="S703" s="77">
        <v>0</v>
      </c>
      <c r="T703" s="77">
        <v>0</v>
      </c>
      <c r="U703" s="77">
        <v>0</v>
      </c>
      <c r="V703" s="77">
        <v>16</v>
      </c>
      <c r="W703" s="80" t="s">
        <v>6393</v>
      </c>
      <c r="X703" s="83" t="str">
        <f>HYPERLINK("http://forumservicopublicoceara.org.br")</f>
        <v>http://forumservicopublicoceara.org.br</v>
      </c>
      <c r="Y703" s="77" t="s">
        <v>8667</v>
      </c>
      <c r="Z703" s="77"/>
      <c r="AA703" s="77" t="s">
        <v>9232</v>
      </c>
      <c r="AB703" s="77" t="s">
        <v>10535</v>
      </c>
      <c r="AC703" s="80" t="s">
        <v>10550</v>
      </c>
      <c r="AD703" s="77" t="s">
        <v>10617</v>
      </c>
      <c r="AE703" s="83" t="str">
        <f>HYPERLINK("https://twitter.com/forumdefesa/status/1669079996332224512")</f>
        <v>https://twitter.com/forumdefesa/status/1669079996332224512</v>
      </c>
      <c r="AF703" s="79">
        <v>45091.854803240742</v>
      </c>
      <c r="AG703" s="85">
        <v>45091</v>
      </c>
      <c r="AH703" s="80" t="s">
        <v>11260</v>
      </c>
      <c r="AI703" s="77" t="b">
        <v>0</v>
      </c>
      <c r="AJ703" s="77"/>
      <c r="AK703" s="77"/>
      <c r="AL703" s="77"/>
      <c r="AM703" s="77"/>
      <c r="AN703" s="77"/>
      <c r="AO703" s="77"/>
      <c r="AP703" s="77"/>
      <c r="AQ703" s="77" t="s">
        <v>14714</v>
      </c>
      <c r="AR703" s="77"/>
      <c r="AS703" s="77"/>
      <c r="AT703" s="77"/>
      <c r="AU703" s="77"/>
      <c r="AV703" s="83" t="str">
        <f>HYPERLINK("https://pbs.twimg.com/media/FynDaXQX0AANmDq.jpg")</f>
        <v>https://pbs.twimg.com/media/FynDaXQX0AANmDq.jpg</v>
      </c>
      <c r="AW703" s="80" t="s">
        <v>16652</v>
      </c>
      <c r="AX703" s="80" t="s">
        <v>16652</v>
      </c>
      <c r="AY703" s="77"/>
      <c r="AZ703" s="80" t="s">
        <v>20380</v>
      </c>
      <c r="BA703" s="80" t="s">
        <v>20380</v>
      </c>
      <c r="BB703" s="80" t="s">
        <v>20380</v>
      </c>
      <c r="BC703" s="80" t="s">
        <v>16652</v>
      </c>
      <c r="BD703" s="80" t="s">
        <v>20633</v>
      </c>
      <c r="BE703" s="77"/>
      <c r="BF703" s="77"/>
      <c r="BG703" s="77"/>
      <c r="BH703" s="77"/>
      <c r="BI703" s="77"/>
    </row>
    <row r="704" spans="1:61" x14ac:dyDescent="0.25">
      <c r="A704" s="62" t="s">
        <v>505</v>
      </c>
      <c r="B704" s="62" t="s">
        <v>505</v>
      </c>
      <c r="C704" s="63"/>
      <c r="D704" s="64"/>
      <c r="E704" s="65"/>
      <c r="F704" s="66"/>
      <c r="G704" s="63"/>
      <c r="H704" s="67"/>
      <c r="I704" s="68"/>
      <c r="J704" s="68"/>
      <c r="K704" s="32"/>
      <c r="L704" s="75">
        <v>704</v>
      </c>
      <c r="M704" s="75"/>
      <c r="N704" s="70"/>
      <c r="O704" s="77" t="s">
        <v>179</v>
      </c>
      <c r="P704" s="79">
        <v>45056.958854166667</v>
      </c>
      <c r="Q704" s="77" t="s">
        <v>2698</v>
      </c>
      <c r="R704" s="77">
        <v>0</v>
      </c>
      <c r="S704" s="77">
        <v>0</v>
      </c>
      <c r="T704" s="77">
        <v>0</v>
      </c>
      <c r="U704" s="77">
        <v>0</v>
      </c>
      <c r="V704" s="77">
        <v>55</v>
      </c>
      <c r="W704" s="80" t="s">
        <v>6394</v>
      </c>
      <c r="X704" s="83" t="str">
        <f>HYPERLINK("http://forumservicopublicoceara.org.br")</f>
        <v>http://forumservicopublicoceara.org.br</v>
      </c>
      <c r="Y704" s="77" t="s">
        <v>8667</v>
      </c>
      <c r="Z704" s="77"/>
      <c r="AA704" s="77" t="s">
        <v>9233</v>
      </c>
      <c r="AB704" s="77" t="s">
        <v>10535</v>
      </c>
      <c r="AC704" s="80" t="s">
        <v>10550</v>
      </c>
      <c r="AD704" s="77" t="s">
        <v>10617</v>
      </c>
      <c r="AE704" s="83" t="str">
        <f>HYPERLINK("https://twitter.com/forumdefesa/status/1656434124960280578")</f>
        <v>https://twitter.com/forumdefesa/status/1656434124960280578</v>
      </c>
      <c r="AF704" s="79">
        <v>45056.958854166667</v>
      </c>
      <c r="AG704" s="85">
        <v>45056</v>
      </c>
      <c r="AH704" s="80" t="s">
        <v>11261</v>
      </c>
      <c r="AI704" s="77" t="b">
        <v>0</v>
      </c>
      <c r="AJ704" s="77"/>
      <c r="AK704" s="77"/>
      <c r="AL704" s="77"/>
      <c r="AM704" s="77"/>
      <c r="AN704" s="77"/>
      <c r="AO704" s="77"/>
      <c r="AP704" s="77"/>
      <c r="AQ704" s="77" t="s">
        <v>14715</v>
      </c>
      <c r="AR704" s="77"/>
      <c r="AS704" s="77"/>
      <c r="AT704" s="77"/>
      <c r="AU704" s="77"/>
      <c r="AV704" s="83" t="str">
        <f>HYPERLINK("https://pbs.twimg.com/media/FvzWDvQXoAEwTXK.jpg")</f>
        <v>https://pbs.twimg.com/media/FvzWDvQXoAEwTXK.jpg</v>
      </c>
      <c r="AW704" s="80" t="s">
        <v>16653</v>
      </c>
      <c r="AX704" s="80" t="s">
        <v>16653</v>
      </c>
      <c r="AY704" s="77"/>
      <c r="AZ704" s="80" t="s">
        <v>20380</v>
      </c>
      <c r="BA704" s="80" t="s">
        <v>20380</v>
      </c>
      <c r="BB704" s="80" t="s">
        <v>20380</v>
      </c>
      <c r="BC704" s="80" t="s">
        <v>16653</v>
      </c>
      <c r="BD704" s="80" t="s">
        <v>20633</v>
      </c>
      <c r="BE704" s="77"/>
      <c r="BF704" s="77"/>
      <c r="BG704" s="77"/>
      <c r="BH704" s="77"/>
      <c r="BI704" s="77"/>
    </row>
    <row r="705" spans="1:61" x14ac:dyDescent="0.25">
      <c r="A705" s="62" t="s">
        <v>505</v>
      </c>
      <c r="B705" s="62" t="s">
        <v>505</v>
      </c>
      <c r="C705" s="63"/>
      <c r="D705" s="64"/>
      <c r="E705" s="65"/>
      <c r="F705" s="66"/>
      <c r="G705" s="63"/>
      <c r="H705" s="67"/>
      <c r="I705" s="68"/>
      <c r="J705" s="68"/>
      <c r="K705" s="32"/>
      <c r="L705" s="75">
        <v>705</v>
      </c>
      <c r="M705" s="75"/>
      <c r="N705" s="70"/>
      <c r="O705" s="77" t="s">
        <v>179</v>
      </c>
      <c r="P705" s="79">
        <v>45125.792141203703</v>
      </c>
      <c r="Q705" s="77" t="s">
        <v>2699</v>
      </c>
      <c r="R705" s="77">
        <v>0</v>
      </c>
      <c r="S705" s="77">
        <v>0</v>
      </c>
      <c r="T705" s="77">
        <v>0</v>
      </c>
      <c r="U705" s="77">
        <v>0</v>
      </c>
      <c r="V705" s="77">
        <v>7</v>
      </c>
      <c r="W705" s="80" t="s">
        <v>6395</v>
      </c>
      <c r="X705" s="83" t="str">
        <f>HYPERLINK("http://forumservicopublicoceara.org.br")</f>
        <v>http://forumservicopublicoceara.org.br</v>
      </c>
      <c r="Y705" s="77" t="s">
        <v>8667</v>
      </c>
      <c r="Z705" s="77"/>
      <c r="AA705" s="77" t="s">
        <v>9234</v>
      </c>
      <c r="AB705" s="77" t="s">
        <v>10535</v>
      </c>
      <c r="AC705" s="80" t="s">
        <v>10550</v>
      </c>
      <c r="AD705" s="77" t="s">
        <v>10617</v>
      </c>
      <c r="AE705" s="83" t="str">
        <f>HYPERLINK("https://twitter.com/forumdefesa/status/1681378473464438785")</f>
        <v>https://twitter.com/forumdefesa/status/1681378473464438785</v>
      </c>
      <c r="AF705" s="79">
        <v>45125.792141203703</v>
      </c>
      <c r="AG705" s="85">
        <v>45125</v>
      </c>
      <c r="AH705" s="80" t="s">
        <v>11262</v>
      </c>
      <c r="AI705" s="77" t="b">
        <v>0</v>
      </c>
      <c r="AJ705" s="77"/>
      <c r="AK705" s="77"/>
      <c r="AL705" s="77"/>
      <c r="AM705" s="77"/>
      <c r="AN705" s="77"/>
      <c r="AO705" s="77"/>
      <c r="AP705" s="77"/>
      <c r="AQ705" s="77" t="s">
        <v>14716</v>
      </c>
      <c r="AR705" s="77"/>
      <c r="AS705" s="77"/>
      <c r="AT705" s="77"/>
      <c r="AU705" s="77"/>
      <c r="AV705" s="83" t="str">
        <f>HYPERLINK("https://pbs.twimg.com/media/F1V0z8XXoAAY1rE.jpg")</f>
        <v>https://pbs.twimg.com/media/F1V0z8XXoAAY1rE.jpg</v>
      </c>
      <c r="AW705" s="80" t="s">
        <v>16654</v>
      </c>
      <c r="AX705" s="80" t="s">
        <v>16654</v>
      </c>
      <c r="AY705" s="77"/>
      <c r="AZ705" s="80" t="s">
        <v>20380</v>
      </c>
      <c r="BA705" s="80" t="s">
        <v>20380</v>
      </c>
      <c r="BB705" s="80" t="s">
        <v>20380</v>
      </c>
      <c r="BC705" s="80" t="s">
        <v>16654</v>
      </c>
      <c r="BD705" s="80" t="s">
        <v>20633</v>
      </c>
      <c r="BE705" s="77"/>
      <c r="BF705" s="77"/>
      <c r="BG705" s="77"/>
      <c r="BH705" s="77"/>
      <c r="BI705" s="77"/>
    </row>
    <row r="706" spans="1:61" x14ac:dyDescent="0.25">
      <c r="A706" s="62" t="s">
        <v>505</v>
      </c>
      <c r="B706" s="62" t="s">
        <v>505</v>
      </c>
      <c r="C706" s="63"/>
      <c r="D706" s="64"/>
      <c r="E706" s="65"/>
      <c r="F706" s="66"/>
      <c r="G706" s="63"/>
      <c r="H706" s="67"/>
      <c r="I706" s="68"/>
      <c r="J706" s="68"/>
      <c r="K706" s="32"/>
      <c r="L706" s="75">
        <v>706</v>
      </c>
      <c r="M706" s="75"/>
      <c r="N706" s="70"/>
      <c r="O706" s="77" t="s">
        <v>179</v>
      </c>
      <c r="P706" s="79">
        <v>45124.875625000001</v>
      </c>
      <c r="Q706" s="77" t="s">
        <v>2700</v>
      </c>
      <c r="R706" s="77">
        <v>0</v>
      </c>
      <c r="S706" s="77">
        <v>0</v>
      </c>
      <c r="T706" s="77">
        <v>0</v>
      </c>
      <c r="U706" s="77">
        <v>0</v>
      </c>
      <c r="V706" s="77">
        <v>6</v>
      </c>
      <c r="W706" s="80" t="s">
        <v>6396</v>
      </c>
      <c r="X706" s="83" t="str">
        <f>HYPERLINK("http://forumservicopublicoceara.org.br")</f>
        <v>http://forumservicopublicoceara.org.br</v>
      </c>
      <c r="Y706" s="77" t="s">
        <v>8667</v>
      </c>
      <c r="Z706" s="77"/>
      <c r="AA706" s="77" t="s">
        <v>9235</v>
      </c>
      <c r="AB706" s="77" t="s">
        <v>10535</v>
      </c>
      <c r="AC706" s="80" t="s">
        <v>10550</v>
      </c>
      <c r="AD706" s="77" t="s">
        <v>10617</v>
      </c>
      <c r="AE706" s="83" t="str">
        <f>HYPERLINK("https://twitter.com/forumdefesa/status/1681046341143633921")</f>
        <v>https://twitter.com/forumdefesa/status/1681046341143633921</v>
      </c>
      <c r="AF706" s="79">
        <v>45124.875625000001</v>
      </c>
      <c r="AG706" s="85">
        <v>45124</v>
      </c>
      <c r="AH706" s="80" t="s">
        <v>11263</v>
      </c>
      <c r="AI706" s="77" t="b">
        <v>0</v>
      </c>
      <c r="AJ706" s="77"/>
      <c r="AK706" s="77"/>
      <c r="AL706" s="77"/>
      <c r="AM706" s="77"/>
      <c r="AN706" s="77"/>
      <c r="AO706" s="77"/>
      <c r="AP706" s="77"/>
      <c r="AQ706" s="77" t="s">
        <v>14717</v>
      </c>
      <c r="AR706" s="77"/>
      <c r="AS706" s="77"/>
      <c r="AT706" s="77"/>
      <c r="AU706" s="77"/>
      <c r="AV706" s="83" t="str">
        <f>HYPERLINK("https://pbs.twimg.com/media/F1RGvRcXsAAExzI.jpg")</f>
        <v>https://pbs.twimg.com/media/F1RGvRcXsAAExzI.jpg</v>
      </c>
      <c r="AW706" s="80" t="s">
        <v>16655</v>
      </c>
      <c r="AX706" s="80" t="s">
        <v>16655</v>
      </c>
      <c r="AY706" s="77"/>
      <c r="AZ706" s="80" t="s">
        <v>20380</v>
      </c>
      <c r="BA706" s="80" t="s">
        <v>20380</v>
      </c>
      <c r="BB706" s="80" t="s">
        <v>20380</v>
      </c>
      <c r="BC706" s="80" t="s">
        <v>16655</v>
      </c>
      <c r="BD706" s="80" t="s">
        <v>20633</v>
      </c>
      <c r="BE706" s="77"/>
      <c r="BF706" s="77"/>
      <c r="BG706" s="77"/>
      <c r="BH706" s="77"/>
      <c r="BI706" s="77"/>
    </row>
    <row r="707" spans="1:61" x14ac:dyDescent="0.25">
      <c r="A707" s="62" t="s">
        <v>505</v>
      </c>
      <c r="B707" s="62" t="s">
        <v>505</v>
      </c>
      <c r="C707" s="63"/>
      <c r="D707" s="64"/>
      <c r="E707" s="65"/>
      <c r="F707" s="66"/>
      <c r="G707" s="63"/>
      <c r="H707" s="67"/>
      <c r="I707" s="68"/>
      <c r="J707" s="68"/>
      <c r="K707" s="32"/>
      <c r="L707" s="75">
        <v>707</v>
      </c>
      <c r="M707" s="75"/>
      <c r="N707" s="70"/>
      <c r="O707" s="77" t="s">
        <v>179</v>
      </c>
      <c r="P707" s="79">
        <v>45101.542199074072</v>
      </c>
      <c r="Q707" s="77" t="s">
        <v>2701</v>
      </c>
      <c r="R707" s="77">
        <v>0</v>
      </c>
      <c r="S707" s="77">
        <v>0</v>
      </c>
      <c r="T707" s="77">
        <v>0</v>
      </c>
      <c r="U707" s="77">
        <v>0</v>
      </c>
      <c r="V707" s="77">
        <v>3</v>
      </c>
      <c r="W707" s="80" t="s">
        <v>6397</v>
      </c>
      <c r="X707" s="83" t="str">
        <f>HYPERLINK("http://forumservicopublicoceara.org.br")</f>
        <v>http://forumservicopublicoceara.org.br</v>
      </c>
      <c r="Y707" s="77" t="s">
        <v>8667</v>
      </c>
      <c r="Z707" s="77"/>
      <c r="AA707" s="77" t="s">
        <v>9236</v>
      </c>
      <c r="AB707" s="77" t="s">
        <v>10535</v>
      </c>
      <c r="AC707" s="80" t="s">
        <v>10550</v>
      </c>
      <c r="AD707" s="77" t="s">
        <v>10617</v>
      </c>
      <c r="AE707" s="83" t="str">
        <f>HYPERLINK("https://twitter.com/forumdefesa/status/1672590590620446721")</f>
        <v>https://twitter.com/forumdefesa/status/1672590590620446721</v>
      </c>
      <c r="AF707" s="79">
        <v>45101.542199074072</v>
      </c>
      <c r="AG707" s="85">
        <v>45101</v>
      </c>
      <c r="AH707" s="80" t="s">
        <v>11264</v>
      </c>
      <c r="AI707" s="77" t="b">
        <v>0</v>
      </c>
      <c r="AJ707" s="77"/>
      <c r="AK707" s="77"/>
      <c r="AL707" s="77"/>
      <c r="AM707" s="77"/>
      <c r="AN707" s="77"/>
      <c r="AO707" s="77"/>
      <c r="AP707" s="77"/>
      <c r="AQ707" s="77" t="s">
        <v>14718</v>
      </c>
      <c r="AR707" s="77"/>
      <c r="AS707" s="77"/>
      <c r="AT707" s="77"/>
      <c r="AU707" s="77"/>
      <c r="AV707" s="83" t="str">
        <f>HYPERLINK("https://pbs.twimg.com/media/FzY8RzTWcAMI8A0.jpg")</f>
        <v>https://pbs.twimg.com/media/FzY8RzTWcAMI8A0.jpg</v>
      </c>
      <c r="AW707" s="80" t="s">
        <v>16656</v>
      </c>
      <c r="AX707" s="80" t="s">
        <v>16656</v>
      </c>
      <c r="AY707" s="77"/>
      <c r="AZ707" s="80" t="s">
        <v>20380</v>
      </c>
      <c r="BA707" s="80" t="s">
        <v>20380</v>
      </c>
      <c r="BB707" s="80" t="s">
        <v>20380</v>
      </c>
      <c r="BC707" s="80" t="s">
        <v>16656</v>
      </c>
      <c r="BD707" s="80" t="s">
        <v>20633</v>
      </c>
      <c r="BE707" s="77"/>
      <c r="BF707" s="77"/>
      <c r="BG707" s="77"/>
      <c r="BH707" s="77"/>
      <c r="BI707" s="77"/>
    </row>
    <row r="708" spans="1:61" x14ac:dyDescent="0.25">
      <c r="A708" s="62" t="s">
        <v>505</v>
      </c>
      <c r="B708" s="62" t="s">
        <v>505</v>
      </c>
      <c r="C708" s="63"/>
      <c r="D708" s="64"/>
      <c r="E708" s="65"/>
      <c r="F708" s="66"/>
      <c r="G708" s="63"/>
      <c r="H708" s="67"/>
      <c r="I708" s="68"/>
      <c r="J708" s="68"/>
      <c r="K708" s="32"/>
      <c r="L708" s="75">
        <v>708</v>
      </c>
      <c r="M708" s="75"/>
      <c r="N708" s="70"/>
      <c r="O708" s="77" t="s">
        <v>179</v>
      </c>
      <c r="P708" s="79">
        <v>45141.811157407406</v>
      </c>
      <c r="Q708" s="77" t="s">
        <v>2702</v>
      </c>
      <c r="R708" s="77">
        <v>0</v>
      </c>
      <c r="S708" s="77">
        <v>0</v>
      </c>
      <c r="T708" s="77">
        <v>0</v>
      </c>
      <c r="U708" s="77">
        <v>0</v>
      </c>
      <c r="V708" s="77">
        <v>5</v>
      </c>
      <c r="W708" s="80" t="s">
        <v>6398</v>
      </c>
      <c r="X708" s="83" t="str">
        <f>HYPERLINK("http://forumservicopublicoceara.org.br")</f>
        <v>http://forumservicopublicoceara.org.br</v>
      </c>
      <c r="Y708" s="77" t="s">
        <v>8667</v>
      </c>
      <c r="Z708" s="77"/>
      <c r="AA708" s="77" t="s">
        <v>9237</v>
      </c>
      <c r="AB708" s="77" t="s">
        <v>10535</v>
      </c>
      <c r="AC708" s="80" t="s">
        <v>10541</v>
      </c>
      <c r="AD708" s="77" t="s">
        <v>10617</v>
      </c>
      <c r="AE708" s="83" t="str">
        <f>HYPERLINK("https://twitter.com/forumdefesa/status/1687183570224218113")</f>
        <v>https://twitter.com/forumdefesa/status/1687183570224218113</v>
      </c>
      <c r="AF708" s="79">
        <v>45141.811157407406</v>
      </c>
      <c r="AG708" s="85">
        <v>45141</v>
      </c>
      <c r="AH708" s="80" t="s">
        <v>11265</v>
      </c>
      <c r="AI708" s="77" t="b">
        <v>0</v>
      </c>
      <c r="AJ708" s="77"/>
      <c r="AK708" s="77"/>
      <c r="AL708" s="77"/>
      <c r="AM708" s="77"/>
      <c r="AN708" s="77"/>
      <c r="AO708" s="77"/>
      <c r="AP708" s="77"/>
      <c r="AQ708" s="77" t="s">
        <v>14719</v>
      </c>
      <c r="AR708" s="77"/>
      <c r="AS708" s="77"/>
      <c r="AT708" s="77"/>
      <c r="AU708" s="77"/>
      <c r="AV708" s="83" t="str">
        <f>HYPERLINK("https://pbs.twimg.com/media/F2oUbTNWAAARnf0.jpg")</f>
        <v>https://pbs.twimg.com/media/F2oUbTNWAAARnf0.jpg</v>
      </c>
      <c r="AW708" s="80" t="s">
        <v>16657</v>
      </c>
      <c r="AX708" s="80" t="s">
        <v>16657</v>
      </c>
      <c r="AY708" s="77"/>
      <c r="AZ708" s="80" t="s">
        <v>20380</v>
      </c>
      <c r="BA708" s="80" t="s">
        <v>20380</v>
      </c>
      <c r="BB708" s="80" t="s">
        <v>20380</v>
      </c>
      <c r="BC708" s="80" t="s">
        <v>16657</v>
      </c>
      <c r="BD708" s="80" t="s">
        <v>20633</v>
      </c>
      <c r="BE708" s="77"/>
      <c r="BF708" s="77"/>
      <c r="BG708" s="77"/>
      <c r="BH708" s="77"/>
      <c r="BI708" s="77"/>
    </row>
    <row r="709" spans="1:61" x14ac:dyDescent="0.25">
      <c r="A709" s="62" t="s">
        <v>505</v>
      </c>
      <c r="B709" s="62" t="s">
        <v>505</v>
      </c>
      <c r="C709" s="63"/>
      <c r="D709" s="64"/>
      <c r="E709" s="65"/>
      <c r="F709" s="66"/>
      <c r="G709" s="63"/>
      <c r="H709" s="67"/>
      <c r="I709" s="68"/>
      <c r="J709" s="68"/>
      <c r="K709" s="32"/>
      <c r="L709" s="75">
        <v>709</v>
      </c>
      <c r="M709" s="75"/>
      <c r="N709" s="70"/>
      <c r="O709" s="77" t="s">
        <v>179</v>
      </c>
      <c r="P709" s="79">
        <v>45126.792175925926</v>
      </c>
      <c r="Q709" s="77" t="s">
        <v>2703</v>
      </c>
      <c r="R709" s="77">
        <v>0</v>
      </c>
      <c r="S709" s="77">
        <v>1</v>
      </c>
      <c r="T709" s="77">
        <v>0</v>
      </c>
      <c r="U709" s="77">
        <v>0</v>
      </c>
      <c r="V709" s="77">
        <v>10</v>
      </c>
      <c r="W709" s="80" t="s">
        <v>6399</v>
      </c>
      <c r="X709" s="83" t="str">
        <f>HYPERLINK("http://forumservicopublicoceara.org.br")</f>
        <v>http://forumservicopublicoceara.org.br</v>
      </c>
      <c r="Y709" s="77" t="s">
        <v>8667</v>
      </c>
      <c r="Z709" s="77"/>
      <c r="AA709" s="77" t="s">
        <v>9238</v>
      </c>
      <c r="AB709" s="77" t="s">
        <v>10535</v>
      </c>
      <c r="AC709" s="80" t="s">
        <v>10550</v>
      </c>
      <c r="AD709" s="77" t="s">
        <v>10617</v>
      </c>
      <c r="AE709" s="83" t="str">
        <f>HYPERLINK("https://twitter.com/forumdefesa/status/1681740873531367425")</f>
        <v>https://twitter.com/forumdefesa/status/1681740873531367425</v>
      </c>
      <c r="AF709" s="79">
        <v>45126.792175925926</v>
      </c>
      <c r="AG709" s="85">
        <v>45126</v>
      </c>
      <c r="AH709" s="80" t="s">
        <v>11266</v>
      </c>
      <c r="AI709" s="77" t="b">
        <v>0</v>
      </c>
      <c r="AJ709" s="77"/>
      <c r="AK709" s="77"/>
      <c r="AL709" s="77"/>
      <c r="AM709" s="77"/>
      <c r="AN709" s="77"/>
      <c r="AO709" s="77"/>
      <c r="AP709" s="77"/>
      <c r="AQ709" s="77" t="s">
        <v>14720</v>
      </c>
      <c r="AR709" s="77"/>
      <c r="AS709" s="77"/>
      <c r="AT709" s="77"/>
      <c r="AU709" s="77"/>
      <c r="AV709" s="83" t="str">
        <f>HYPERLINK("https://pbs.twimg.com/media/F1a-aYzWwAEuAMa.jpg")</f>
        <v>https://pbs.twimg.com/media/F1a-aYzWwAEuAMa.jpg</v>
      </c>
      <c r="AW709" s="80" t="s">
        <v>16658</v>
      </c>
      <c r="AX709" s="80" t="s">
        <v>16658</v>
      </c>
      <c r="AY709" s="77"/>
      <c r="AZ709" s="80" t="s">
        <v>20380</v>
      </c>
      <c r="BA709" s="80" t="s">
        <v>20380</v>
      </c>
      <c r="BB709" s="80" t="s">
        <v>20380</v>
      </c>
      <c r="BC709" s="80" t="s">
        <v>16658</v>
      </c>
      <c r="BD709" s="80" t="s">
        <v>20633</v>
      </c>
      <c r="BE709" s="77"/>
      <c r="BF709" s="77"/>
      <c r="BG709" s="77"/>
      <c r="BH709" s="77"/>
      <c r="BI709" s="77"/>
    </row>
    <row r="710" spans="1:61" x14ac:dyDescent="0.25">
      <c r="A710" s="62" t="s">
        <v>505</v>
      </c>
      <c r="B710" s="62" t="s">
        <v>505</v>
      </c>
      <c r="C710" s="63"/>
      <c r="D710" s="64"/>
      <c r="E710" s="65"/>
      <c r="F710" s="66"/>
      <c r="G710" s="63"/>
      <c r="H710" s="67"/>
      <c r="I710" s="68"/>
      <c r="J710" s="68"/>
      <c r="K710" s="32"/>
      <c r="L710" s="75">
        <v>710</v>
      </c>
      <c r="M710" s="75"/>
      <c r="N710" s="70"/>
      <c r="O710" s="77" t="s">
        <v>179</v>
      </c>
      <c r="P710" s="79">
        <v>45103.917337962965</v>
      </c>
      <c r="Q710" s="77" t="s">
        <v>2704</v>
      </c>
      <c r="R710" s="77">
        <v>0</v>
      </c>
      <c r="S710" s="77">
        <v>0</v>
      </c>
      <c r="T710" s="77">
        <v>0</v>
      </c>
      <c r="U710" s="77">
        <v>0</v>
      </c>
      <c r="V710" s="77">
        <v>5</v>
      </c>
      <c r="W710" s="80" t="s">
        <v>6400</v>
      </c>
      <c r="X710" s="83" t="str">
        <f>HYPERLINK("http://forumservicopublicoceara.org.br")</f>
        <v>http://forumservicopublicoceara.org.br</v>
      </c>
      <c r="Y710" s="77" t="s">
        <v>8667</v>
      </c>
      <c r="Z710" s="77"/>
      <c r="AA710" s="77" t="s">
        <v>9239</v>
      </c>
      <c r="AB710" s="77" t="s">
        <v>10535</v>
      </c>
      <c r="AC710" s="80" t="s">
        <v>10550</v>
      </c>
      <c r="AD710" s="77" t="s">
        <v>10617</v>
      </c>
      <c r="AE710" s="83" t="str">
        <f>HYPERLINK("https://twitter.com/forumdefesa/status/1673451312200003584")</f>
        <v>https://twitter.com/forumdefesa/status/1673451312200003584</v>
      </c>
      <c r="AF710" s="79">
        <v>45103.917337962965</v>
      </c>
      <c r="AG710" s="85">
        <v>45103</v>
      </c>
      <c r="AH710" s="80" t="s">
        <v>11267</v>
      </c>
      <c r="AI710" s="77" t="b">
        <v>0</v>
      </c>
      <c r="AJ710" s="77"/>
      <c r="AK710" s="77"/>
      <c r="AL710" s="77"/>
      <c r="AM710" s="77"/>
      <c r="AN710" s="77"/>
      <c r="AO710" s="77"/>
      <c r="AP710" s="77"/>
      <c r="AQ710" s="77" t="s">
        <v>14721</v>
      </c>
      <c r="AR710" s="77"/>
      <c r="AS710" s="77"/>
      <c r="AT710" s="77"/>
      <c r="AU710" s="77"/>
      <c r="AV710" s="83" t="str">
        <f>HYPERLINK("https://pbs.twimg.com/media/FzlLGbQWcAA0L0e.jpg")</f>
        <v>https://pbs.twimg.com/media/FzlLGbQWcAA0L0e.jpg</v>
      </c>
      <c r="AW710" s="80" t="s">
        <v>16659</v>
      </c>
      <c r="AX710" s="80" t="s">
        <v>16659</v>
      </c>
      <c r="AY710" s="77"/>
      <c r="AZ710" s="80" t="s">
        <v>20380</v>
      </c>
      <c r="BA710" s="80" t="s">
        <v>20380</v>
      </c>
      <c r="BB710" s="80" t="s">
        <v>20380</v>
      </c>
      <c r="BC710" s="80" t="s">
        <v>16659</v>
      </c>
      <c r="BD710" s="80" t="s">
        <v>20633</v>
      </c>
      <c r="BE710" s="77"/>
      <c r="BF710" s="77"/>
      <c r="BG710" s="77"/>
      <c r="BH710" s="77"/>
      <c r="BI710" s="77"/>
    </row>
    <row r="711" spans="1:61" x14ac:dyDescent="0.25">
      <c r="A711" s="62" t="s">
        <v>505</v>
      </c>
      <c r="B711" s="62" t="s">
        <v>505</v>
      </c>
      <c r="C711" s="63"/>
      <c r="D711" s="64"/>
      <c r="E711" s="65"/>
      <c r="F711" s="66"/>
      <c r="G711" s="63"/>
      <c r="H711" s="67"/>
      <c r="I711" s="68"/>
      <c r="J711" s="68"/>
      <c r="K711" s="32"/>
      <c r="L711" s="75">
        <v>711</v>
      </c>
      <c r="M711" s="75"/>
      <c r="N711" s="70"/>
      <c r="O711" s="77" t="s">
        <v>179</v>
      </c>
      <c r="P711" s="79">
        <v>45146.713136574072</v>
      </c>
      <c r="Q711" s="77" t="s">
        <v>2705</v>
      </c>
      <c r="R711" s="77">
        <v>0</v>
      </c>
      <c r="S711" s="77">
        <v>0</v>
      </c>
      <c r="T711" s="77">
        <v>0</v>
      </c>
      <c r="U711" s="77">
        <v>0</v>
      </c>
      <c r="V711" s="77">
        <v>5</v>
      </c>
      <c r="W711" s="80" t="s">
        <v>6401</v>
      </c>
      <c r="X711" s="83" t="str">
        <f>HYPERLINK("http://forumservicopublicoceara.org.br")</f>
        <v>http://forumservicopublicoceara.org.br</v>
      </c>
      <c r="Y711" s="77" t="s">
        <v>8667</v>
      </c>
      <c r="Z711" s="77"/>
      <c r="AA711" s="77" t="s">
        <v>9240</v>
      </c>
      <c r="AB711" s="77" t="s">
        <v>10535</v>
      </c>
      <c r="AC711" s="80" t="s">
        <v>10541</v>
      </c>
      <c r="AD711" s="77" t="s">
        <v>10617</v>
      </c>
      <c r="AE711" s="83" t="str">
        <f>HYPERLINK("https://twitter.com/forumdefesa/status/1688959990621515779")</f>
        <v>https://twitter.com/forumdefesa/status/1688959990621515779</v>
      </c>
      <c r="AF711" s="79">
        <v>45146.713136574072</v>
      </c>
      <c r="AG711" s="85">
        <v>45146</v>
      </c>
      <c r="AH711" s="80" t="s">
        <v>11268</v>
      </c>
      <c r="AI711" s="77" t="b">
        <v>0</v>
      </c>
      <c r="AJ711" s="77"/>
      <c r="AK711" s="77"/>
      <c r="AL711" s="77"/>
      <c r="AM711" s="77"/>
      <c r="AN711" s="77"/>
      <c r="AO711" s="77"/>
      <c r="AP711" s="77"/>
      <c r="AQ711" s="77" t="s">
        <v>14722</v>
      </c>
      <c r="AR711" s="77"/>
      <c r="AS711" s="77"/>
      <c r="AT711" s="77"/>
      <c r="AU711" s="77"/>
      <c r="AV711" s="83" t="str">
        <f>HYPERLINK("https://pbs.twimg.com/media/F3BkJvXXsAkxvlf.jpg")</f>
        <v>https://pbs.twimg.com/media/F3BkJvXXsAkxvlf.jpg</v>
      </c>
      <c r="AW711" s="80" t="s">
        <v>16660</v>
      </c>
      <c r="AX711" s="80" t="s">
        <v>16660</v>
      </c>
      <c r="AY711" s="77"/>
      <c r="AZ711" s="80" t="s">
        <v>20380</v>
      </c>
      <c r="BA711" s="80" t="s">
        <v>20380</v>
      </c>
      <c r="BB711" s="80" t="s">
        <v>20380</v>
      </c>
      <c r="BC711" s="80" t="s">
        <v>16660</v>
      </c>
      <c r="BD711" s="80" t="s">
        <v>20633</v>
      </c>
      <c r="BE711" s="77"/>
      <c r="BF711" s="77"/>
      <c r="BG711" s="77"/>
      <c r="BH711" s="77"/>
      <c r="BI711" s="77"/>
    </row>
    <row r="712" spans="1:61" x14ac:dyDescent="0.25">
      <c r="A712" s="62" t="s">
        <v>505</v>
      </c>
      <c r="B712" s="62" t="s">
        <v>505</v>
      </c>
      <c r="C712" s="63"/>
      <c r="D712" s="64"/>
      <c r="E712" s="65"/>
      <c r="F712" s="66"/>
      <c r="G712" s="63"/>
      <c r="H712" s="67"/>
      <c r="I712" s="68"/>
      <c r="J712" s="68"/>
      <c r="K712" s="32"/>
      <c r="L712" s="75">
        <v>712</v>
      </c>
      <c r="M712" s="75"/>
      <c r="N712" s="70"/>
      <c r="O712" s="77" t="s">
        <v>179</v>
      </c>
      <c r="P712" s="79">
        <v>45152.741539351853</v>
      </c>
      <c r="Q712" s="77" t="s">
        <v>2706</v>
      </c>
      <c r="R712" s="77">
        <v>0</v>
      </c>
      <c r="S712" s="77">
        <v>0</v>
      </c>
      <c r="T712" s="77">
        <v>0</v>
      </c>
      <c r="U712" s="77">
        <v>0</v>
      </c>
      <c r="V712" s="77">
        <v>9</v>
      </c>
      <c r="W712" s="80" t="s">
        <v>6402</v>
      </c>
      <c r="X712" s="83" t="str">
        <f>HYPERLINK("http://forumservicopublicoceara.org.br")</f>
        <v>http://forumservicopublicoceara.org.br</v>
      </c>
      <c r="Y712" s="77" t="s">
        <v>8667</v>
      </c>
      <c r="Z712" s="77"/>
      <c r="AA712" s="77" t="s">
        <v>9241</v>
      </c>
      <c r="AB712" s="77" t="s">
        <v>10535</v>
      </c>
      <c r="AC712" s="80" t="s">
        <v>10541</v>
      </c>
      <c r="AD712" s="77" t="s">
        <v>10617</v>
      </c>
      <c r="AE712" s="83" t="str">
        <f>HYPERLINK("https://twitter.com/forumdefesa/status/1691144610356015119")</f>
        <v>https://twitter.com/forumdefesa/status/1691144610356015119</v>
      </c>
      <c r="AF712" s="79">
        <v>45152.741539351853</v>
      </c>
      <c r="AG712" s="85">
        <v>45152</v>
      </c>
      <c r="AH712" s="80" t="s">
        <v>11269</v>
      </c>
      <c r="AI712" s="77" t="b">
        <v>0</v>
      </c>
      <c r="AJ712" s="77"/>
      <c r="AK712" s="77"/>
      <c r="AL712" s="77"/>
      <c r="AM712" s="77"/>
      <c r="AN712" s="77"/>
      <c r="AO712" s="77"/>
      <c r="AP712" s="77"/>
      <c r="AQ712" s="77" t="s">
        <v>14723</v>
      </c>
      <c r="AR712" s="77"/>
      <c r="AS712" s="77"/>
      <c r="AT712" s="77"/>
      <c r="AU712" s="77"/>
      <c r="AV712" s="83" t="str">
        <f>HYPERLINK("https://pbs.twimg.com/media/F3gm_mnXAAA-KSH.jpg")</f>
        <v>https://pbs.twimg.com/media/F3gm_mnXAAA-KSH.jpg</v>
      </c>
      <c r="AW712" s="80" t="s">
        <v>16661</v>
      </c>
      <c r="AX712" s="80" t="s">
        <v>16661</v>
      </c>
      <c r="AY712" s="77"/>
      <c r="AZ712" s="80" t="s">
        <v>20380</v>
      </c>
      <c r="BA712" s="80" t="s">
        <v>20380</v>
      </c>
      <c r="BB712" s="80" t="s">
        <v>20380</v>
      </c>
      <c r="BC712" s="80" t="s">
        <v>16661</v>
      </c>
      <c r="BD712" s="80" t="s">
        <v>20633</v>
      </c>
      <c r="BE712" s="77"/>
      <c r="BF712" s="77"/>
      <c r="BG712" s="77"/>
      <c r="BH712" s="77"/>
      <c r="BI712" s="77"/>
    </row>
    <row r="713" spans="1:61" x14ac:dyDescent="0.25">
      <c r="A713" s="62" t="s">
        <v>506</v>
      </c>
      <c r="B713" s="62" t="s">
        <v>1669</v>
      </c>
      <c r="C713" s="63"/>
      <c r="D713" s="64"/>
      <c r="E713" s="65"/>
      <c r="F713" s="66"/>
      <c r="G713" s="63"/>
      <c r="H713" s="67"/>
      <c r="I713" s="68"/>
      <c r="J713" s="68"/>
      <c r="K713" s="32"/>
      <c r="L713" s="75">
        <v>713</v>
      </c>
      <c r="M713" s="75"/>
      <c r="N713" s="70"/>
      <c r="O713" s="77" t="s">
        <v>2081</v>
      </c>
      <c r="P713" s="79">
        <v>45127.530682870369</v>
      </c>
      <c r="Q713" s="77" t="s">
        <v>2707</v>
      </c>
      <c r="R713" s="77">
        <v>0</v>
      </c>
      <c r="S713" s="77">
        <v>3</v>
      </c>
      <c r="T713" s="77">
        <v>0</v>
      </c>
      <c r="U713" s="77">
        <v>0</v>
      </c>
      <c r="V713" s="77">
        <v>21</v>
      </c>
      <c r="W713" s="80" t="s">
        <v>6403</v>
      </c>
      <c r="X713" s="83" t="str">
        <f>HYPERLINK("https://wp.me/p3ouKo-6eQ")</f>
        <v>https://wp.me/p3ouKo-6eQ</v>
      </c>
      <c r="Y713" s="77" t="s">
        <v>8685</v>
      </c>
      <c r="Z713" s="77" t="s">
        <v>1669</v>
      </c>
      <c r="AA713" s="77" t="s">
        <v>9242</v>
      </c>
      <c r="AB713" s="77" t="s">
        <v>10535</v>
      </c>
      <c r="AC713" s="80" t="s">
        <v>10541</v>
      </c>
      <c r="AD713" s="77" t="s">
        <v>10620</v>
      </c>
      <c r="AE713" s="83" t="str">
        <f>HYPERLINK("https://twitter.com/revtrinchera/status/1682008500929527809")</f>
        <v>https://twitter.com/revtrinchera/status/1682008500929527809</v>
      </c>
      <c r="AF713" s="79">
        <v>45127.530682870369</v>
      </c>
      <c r="AG713" s="85">
        <v>45127</v>
      </c>
      <c r="AH713" s="80" t="s">
        <v>11270</v>
      </c>
      <c r="AI713" s="77" t="b">
        <v>0</v>
      </c>
      <c r="AJ713" s="77"/>
      <c r="AK713" s="77"/>
      <c r="AL713" s="77"/>
      <c r="AM713" s="77"/>
      <c r="AN713" s="77"/>
      <c r="AO713" s="77"/>
      <c r="AP713" s="77"/>
      <c r="AQ713" s="77" t="s">
        <v>14724</v>
      </c>
      <c r="AR713" s="77"/>
      <c r="AS713" s="77"/>
      <c r="AT713" s="77"/>
      <c r="AU713" s="77"/>
      <c r="AV713" s="83" t="str">
        <f>HYPERLINK("https://pbs.twimg.com/media/F1exzwbX0AEs2CW.jpg")</f>
        <v>https://pbs.twimg.com/media/F1exzwbX0AEs2CW.jpg</v>
      </c>
      <c r="AW713" s="80" t="s">
        <v>16662</v>
      </c>
      <c r="AX713" s="80" t="s">
        <v>16662</v>
      </c>
      <c r="AY713" s="77"/>
      <c r="AZ713" s="80" t="s">
        <v>20380</v>
      </c>
      <c r="BA713" s="80" t="s">
        <v>20380</v>
      </c>
      <c r="BB713" s="80" t="s">
        <v>20380</v>
      </c>
      <c r="BC713" s="80" t="s">
        <v>16662</v>
      </c>
      <c r="BD713" s="80" t="s">
        <v>20634</v>
      </c>
      <c r="BE713" s="77"/>
      <c r="BF713" s="77"/>
      <c r="BG713" s="77"/>
      <c r="BH713" s="77"/>
      <c r="BI713" s="77"/>
    </row>
    <row r="714" spans="1:61" x14ac:dyDescent="0.25">
      <c r="A714" s="62" t="s">
        <v>507</v>
      </c>
      <c r="B714" s="62" t="s">
        <v>507</v>
      </c>
      <c r="C714" s="63"/>
      <c r="D714" s="64"/>
      <c r="E714" s="65"/>
      <c r="F714" s="66"/>
      <c r="G714" s="63"/>
      <c r="H714" s="67"/>
      <c r="I714" s="68"/>
      <c r="J714" s="68"/>
      <c r="K714" s="32"/>
      <c r="L714" s="75">
        <v>714</v>
      </c>
      <c r="M714" s="75"/>
      <c r="N714" s="70"/>
      <c r="O714" s="77" t="s">
        <v>179</v>
      </c>
      <c r="P714" s="79">
        <v>45148.927152777775</v>
      </c>
      <c r="Q714" s="77" t="s">
        <v>2708</v>
      </c>
      <c r="R714" s="77">
        <v>0</v>
      </c>
      <c r="S714" s="77">
        <v>0</v>
      </c>
      <c r="T714" s="77">
        <v>0</v>
      </c>
      <c r="U714" s="77">
        <v>0</v>
      </c>
      <c r="V714" s="77">
        <v>10</v>
      </c>
      <c r="W714" s="80" t="s">
        <v>6404</v>
      </c>
      <c r="X714" s="83" t="str">
        <f>HYPERLINK("https://brasil.perfil.com/economia/banco-central-estuda-o-fim-do-credito-rotativo-do-cartao-de-credito.phtml")</f>
        <v>https://brasil.perfil.com/economia/banco-central-estuda-o-fim-do-credito-rotativo-do-cartao-de-credito.phtml</v>
      </c>
      <c r="Y714" s="77" t="s">
        <v>8615</v>
      </c>
      <c r="Z714" s="77"/>
      <c r="AA714" s="77"/>
      <c r="AB714" s="77"/>
      <c r="AC714" s="80" t="s">
        <v>10541</v>
      </c>
      <c r="AD714" s="77" t="s">
        <v>10619</v>
      </c>
      <c r="AE714" s="83" t="str">
        <f>HYPERLINK("https://twitter.com/perfilcombrasil/status/1689762322695237632")</f>
        <v>https://twitter.com/perfilcombrasil/status/1689762322695237632</v>
      </c>
      <c r="AF714" s="79">
        <v>45148.927152777775</v>
      </c>
      <c r="AG714" s="85">
        <v>45148</v>
      </c>
      <c r="AH714" s="80" t="s">
        <v>11271</v>
      </c>
      <c r="AI714" s="77" t="b">
        <v>0</v>
      </c>
      <c r="AJ714" s="77"/>
      <c r="AK714" s="77"/>
      <c r="AL714" s="77"/>
      <c r="AM714" s="77"/>
      <c r="AN714" s="77"/>
      <c r="AO714" s="77"/>
      <c r="AP714" s="77"/>
      <c r="AQ714" s="77"/>
      <c r="AR714" s="77"/>
      <c r="AS714" s="77"/>
      <c r="AT714" s="77"/>
      <c r="AU714" s="77"/>
      <c r="AV714" s="83" t="str">
        <f>HYPERLINK("https://pbs.twimg.com/profile_images/1373348274288099328/X9OehZDj_normal.jpg")</f>
        <v>https://pbs.twimg.com/profile_images/1373348274288099328/X9OehZDj_normal.jpg</v>
      </c>
      <c r="AW714" s="80" t="s">
        <v>16663</v>
      </c>
      <c r="AX714" s="80" t="s">
        <v>16663</v>
      </c>
      <c r="AY714" s="77"/>
      <c r="AZ714" s="80" t="s">
        <v>20380</v>
      </c>
      <c r="BA714" s="80" t="s">
        <v>20380</v>
      </c>
      <c r="BB714" s="80" t="s">
        <v>20380</v>
      </c>
      <c r="BC714" s="80" t="s">
        <v>16663</v>
      </c>
      <c r="BD714" s="80" t="s">
        <v>20635</v>
      </c>
      <c r="BE714" s="77"/>
      <c r="BF714" s="77"/>
      <c r="BG714" s="77"/>
      <c r="BH714" s="77"/>
      <c r="BI714" s="77"/>
    </row>
    <row r="715" spans="1:61" x14ac:dyDescent="0.25">
      <c r="A715" s="62" t="s">
        <v>507</v>
      </c>
      <c r="B715" s="62" t="s">
        <v>507</v>
      </c>
      <c r="C715" s="63"/>
      <c r="D715" s="64"/>
      <c r="E715" s="65"/>
      <c r="F715" s="66"/>
      <c r="G715" s="63"/>
      <c r="H715" s="67"/>
      <c r="I715" s="68"/>
      <c r="J715" s="68"/>
      <c r="K715" s="32"/>
      <c r="L715" s="75">
        <v>715</v>
      </c>
      <c r="M715" s="75"/>
      <c r="N715" s="70"/>
      <c r="O715" s="77" t="s">
        <v>179</v>
      </c>
      <c r="P715" s="79">
        <v>45140.943854166668</v>
      </c>
      <c r="Q715" s="77" t="s">
        <v>2709</v>
      </c>
      <c r="R715" s="77">
        <v>0</v>
      </c>
      <c r="S715" s="77">
        <v>0</v>
      </c>
      <c r="T715" s="77">
        <v>0</v>
      </c>
      <c r="U715" s="77">
        <v>0</v>
      </c>
      <c r="V715" s="77">
        <v>33</v>
      </c>
      <c r="W715" s="80" t="s">
        <v>6405</v>
      </c>
      <c r="X715" s="83" t="str">
        <f>HYPERLINK("https://brasil.perfil.com/economia/copom-reduz-juros-basicos-para-1325-ao-ano.phtml")</f>
        <v>https://brasil.perfil.com/economia/copom-reduz-juros-basicos-para-1325-ao-ano.phtml</v>
      </c>
      <c r="Y715" s="77" t="s">
        <v>8615</v>
      </c>
      <c r="Z715" s="77"/>
      <c r="AA715" s="77"/>
      <c r="AB715" s="77"/>
      <c r="AC715" s="80" t="s">
        <v>10541</v>
      </c>
      <c r="AD715" s="77" t="s">
        <v>10619</v>
      </c>
      <c r="AE715" s="83" t="str">
        <f>HYPERLINK("https://twitter.com/perfilcombrasil/status/1686869272717377536")</f>
        <v>https://twitter.com/perfilcombrasil/status/1686869272717377536</v>
      </c>
      <c r="AF715" s="79">
        <v>45140.943854166668</v>
      </c>
      <c r="AG715" s="85">
        <v>45140</v>
      </c>
      <c r="AH715" s="80" t="s">
        <v>11272</v>
      </c>
      <c r="AI715" s="77" t="b">
        <v>0</v>
      </c>
      <c r="AJ715" s="77"/>
      <c r="AK715" s="77"/>
      <c r="AL715" s="77"/>
      <c r="AM715" s="77"/>
      <c r="AN715" s="77"/>
      <c r="AO715" s="77"/>
      <c r="AP715" s="77"/>
      <c r="AQ715" s="77"/>
      <c r="AR715" s="77"/>
      <c r="AS715" s="77"/>
      <c r="AT715" s="77"/>
      <c r="AU715" s="77"/>
      <c r="AV715" s="83" t="str">
        <f>HYPERLINK("https://pbs.twimg.com/profile_images/1373348274288099328/X9OehZDj_normal.jpg")</f>
        <v>https://pbs.twimg.com/profile_images/1373348274288099328/X9OehZDj_normal.jpg</v>
      </c>
      <c r="AW715" s="80" t="s">
        <v>16664</v>
      </c>
      <c r="AX715" s="80" t="s">
        <v>16664</v>
      </c>
      <c r="AY715" s="77"/>
      <c r="AZ715" s="80" t="s">
        <v>20380</v>
      </c>
      <c r="BA715" s="80" t="s">
        <v>20380</v>
      </c>
      <c r="BB715" s="80" t="s">
        <v>20380</v>
      </c>
      <c r="BC715" s="80" t="s">
        <v>16664</v>
      </c>
      <c r="BD715" s="80" t="s">
        <v>20635</v>
      </c>
      <c r="BE715" s="77"/>
      <c r="BF715" s="77"/>
      <c r="BG715" s="77"/>
      <c r="BH715" s="77"/>
      <c r="BI715" s="77"/>
    </row>
    <row r="716" spans="1:61" x14ac:dyDescent="0.25">
      <c r="A716" s="62" t="s">
        <v>507</v>
      </c>
      <c r="B716" s="62" t="s">
        <v>507</v>
      </c>
      <c r="C716" s="63"/>
      <c r="D716" s="64"/>
      <c r="E716" s="65"/>
      <c r="F716" s="66"/>
      <c r="G716" s="63"/>
      <c r="H716" s="67"/>
      <c r="I716" s="68"/>
      <c r="J716" s="68"/>
      <c r="K716" s="32"/>
      <c r="L716" s="75">
        <v>716</v>
      </c>
      <c r="M716" s="75"/>
      <c r="N716" s="70"/>
      <c r="O716" s="77" t="s">
        <v>179</v>
      </c>
      <c r="P716" s="79">
        <v>45145.932812500003</v>
      </c>
      <c r="Q716" s="77" t="s">
        <v>2710</v>
      </c>
      <c r="R716" s="77">
        <v>0</v>
      </c>
      <c r="S716" s="77">
        <v>0</v>
      </c>
      <c r="T716" s="77">
        <v>0</v>
      </c>
      <c r="U716" s="77">
        <v>0</v>
      </c>
      <c r="V716" s="77">
        <v>10</v>
      </c>
      <c r="W716" s="80" t="s">
        <v>6406</v>
      </c>
      <c r="X716" s="83" t="str">
        <f>HYPERLINK("https://brasil.perfil.com/economia/drex-saiba-mais-sobre-nova-moeda-digital-brasileira.phtml")</f>
        <v>https://brasil.perfil.com/economia/drex-saiba-mais-sobre-nova-moeda-digital-brasileira.phtml</v>
      </c>
      <c r="Y716" s="77" t="s">
        <v>8615</v>
      </c>
      <c r="Z716" s="77"/>
      <c r="AA716" s="77"/>
      <c r="AB716" s="77"/>
      <c r="AC716" s="80" t="s">
        <v>10541</v>
      </c>
      <c r="AD716" s="77" t="s">
        <v>10619</v>
      </c>
      <c r="AE716" s="83" t="str">
        <f>HYPERLINK("https://twitter.com/perfilcombrasil/status/1688677209895014400")</f>
        <v>https://twitter.com/perfilcombrasil/status/1688677209895014400</v>
      </c>
      <c r="AF716" s="79">
        <v>45145.932812500003</v>
      </c>
      <c r="AG716" s="85">
        <v>45145</v>
      </c>
      <c r="AH716" s="80" t="s">
        <v>11273</v>
      </c>
      <c r="AI716" s="77" t="b">
        <v>0</v>
      </c>
      <c r="AJ716" s="77"/>
      <c r="AK716" s="77"/>
      <c r="AL716" s="77"/>
      <c r="AM716" s="77"/>
      <c r="AN716" s="77"/>
      <c r="AO716" s="77"/>
      <c r="AP716" s="77"/>
      <c r="AQ716" s="77"/>
      <c r="AR716" s="77"/>
      <c r="AS716" s="77"/>
      <c r="AT716" s="77"/>
      <c r="AU716" s="77"/>
      <c r="AV716" s="83" t="str">
        <f>HYPERLINK("https://pbs.twimg.com/profile_images/1373348274288099328/X9OehZDj_normal.jpg")</f>
        <v>https://pbs.twimg.com/profile_images/1373348274288099328/X9OehZDj_normal.jpg</v>
      </c>
      <c r="AW716" s="80" t="s">
        <v>16665</v>
      </c>
      <c r="AX716" s="80" t="s">
        <v>16665</v>
      </c>
      <c r="AY716" s="77"/>
      <c r="AZ716" s="80" t="s">
        <v>20380</v>
      </c>
      <c r="BA716" s="80" t="s">
        <v>20380</v>
      </c>
      <c r="BB716" s="80" t="s">
        <v>20380</v>
      </c>
      <c r="BC716" s="80" t="s">
        <v>16665</v>
      </c>
      <c r="BD716" s="80" t="s">
        <v>20635</v>
      </c>
      <c r="BE716" s="77"/>
      <c r="BF716" s="77"/>
      <c r="BG716" s="77"/>
      <c r="BH716" s="77"/>
      <c r="BI716" s="77"/>
    </row>
    <row r="717" spans="1:61" x14ac:dyDescent="0.25">
      <c r="A717" s="62" t="s">
        <v>507</v>
      </c>
      <c r="B717" s="62" t="s">
        <v>507</v>
      </c>
      <c r="C717" s="63"/>
      <c r="D717" s="64"/>
      <c r="E717" s="65"/>
      <c r="F717" s="66"/>
      <c r="G717" s="63"/>
      <c r="H717" s="67"/>
      <c r="I717" s="68"/>
      <c r="J717" s="68"/>
      <c r="K717" s="32"/>
      <c r="L717" s="75">
        <v>717</v>
      </c>
      <c r="M717" s="75"/>
      <c r="N717" s="70"/>
      <c r="O717" s="77" t="s">
        <v>179</v>
      </c>
      <c r="P717" s="79">
        <v>45159.989050925928</v>
      </c>
      <c r="Q717" s="77" t="s">
        <v>2711</v>
      </c>
      <c r="R717" s="77">
        <v>0</v>
      </c>
      <c r="S717" s="77">
        <v>0</v>
      </c>
      <c r="T717" s="77">
        <v>0</v>
      </c>
      <c r="U717" s="77">
        <v>0</v>
      </c>
      <c r="V717" s="77">
        <v>12</v>
      </c>
      <c r="W717" s="80" t="s">
        <v>6407</v>
      </c>
      <c r="X717" s="83" t="str">
        <f>HYPERLINK("https://brasil.perfil.com/economia/primeira-fase-do-drex-atrasa-e-so-terminara-em-maio-de-2024.phtml")</f>
        <v>https://brasil.perfil.com/economia/primeira-fase-do-drex-atrasa-e-so-terminara-em-maio-de-2024.phtml</v>
      </c>
      <c r="Y717" s="77" t="s">
        <v>8615</v>
      </c>
      <c r="Z717" s="77"/>
      <c r="AA717" s="77"/>
      <c r="AB717" s="77"/>
      <c r="AC717" s="80" t="s">
        <v>10541</v>
      </c>
      <c r="AD717" s="77" t="s">
        <v>10619</v>
      </c>
      <c r="AE717" s="83" t="str">
        <f>HYPERLINK("https://twitter.com/perfilcombrasil/status/1693771018815291676")</f>
        <v>https://twitter.com/perfilcombrasil/status/1693771018815291676</v>
      </c>
      <c r="AF717" s="79">
        <v>45159.989050925928</v>
      </c>
      <c r="AG717" s="85">
        <v>45159</v>
      </c>
      <c r="AH717" s="80" t="s">
        <v>11274</v>
      </c>
      <c r="AI717" s="77" t="b">
        <v>0</v>
      </c>
      <c r="AJ717" s="77"/>
      <c r="AK717" s="77"/>
      <c r="AL717" s="77"/>
      <c r="AM717" s="77"/>
      <c r="AN717" s="77"/>
      <c r="AO717" s="77"/>
      <c r="AP717" s="77"/>
      <c r="AQ717" s="77"/>
      <c r="AR717" s="77"/>
      <c r="AS717" s="77"/>
      <c r="AT717" s="77"/>
      <c r="AU717" s="77"/>
      <c r="AV717" s="83" t="str">
        <f>HYPERLINK("https://pbs.twimg.com/profile_images/1373348274288099328/X9OehZDj_normal.jpg")</f>
        <v>https://pbs.twimg.com/profile_images/1373348274288099328/X9OehZDj_normal.jpg</v>
      </c>
      <c r="AW717" s="80" t="s">
        <v>16666</v>
      </c>
      <c r="AX717" s="80" t="s">
        <v>16666</v>
      </c>
      <c r="AY717" s="77"/>
      <c r="AZ717" s="80" t="s">
        <v>20380</v>
      </c>
      <c r="BA717" s="80" t="s">
        <v>20380</v>
      </c>
      <c r="BB717" s="80" t="s">
        <v>20380</v>
      </c>
      <c r="BC717" s="80" t="s">
        <v>16666</v>
      </c>
      <c r="BD717" s="80" t="s">
        <v>20635</v>
      </c>
      <c r="BE717" s="77"/>
      <c r="BF717" s="77"/>
      <c r="BG717" s="77"/>
      <c r="BH717" s="77"/>
      <c r="BI717" s="77"/>
    </row>
    <row r="718" spans="1:61" x14ac:dyDescent="0.25">
      <c r="A718" s="62" t="s">
        <v>507</v>
      </c>
      <c r="B718" s="62" t="s">
        <v>507</v>
      </c>
      <c r="C718" s="63"/>
      <c r="D718" s="64"/>
      <c r="E718" s="65"/>
      <c r="F718" s="66"/>
      <c r="G718" s="63"/>
      <c r="H718" s="67"/>
      <c r="I718" s="68"/>
      <c r="J718" s="68"/>
      <c r="K718" s="32"/>
      <c r="L718" s="75">
        <v>718</v>
      </c>
      <c r="M718" s="75"/>
      <c r="N718" s="70"/>
      <c r="O718" s="77" t="s">
        <v>179</v>
      </c>
      <c r="P718" s="79">
        <v>45190.904953703706</v>
      </c>
      <c r="Q718" s="77" t="s">
        <v>2712</v>
      </c>
      <c r="R718" s="77">
        <v>0</v>
      </c>
      <c r="S718" s="77">
        <v>0</v>
      </c>
      <c r="T718" s="77">
        <v>0</v>
      </c>
      <c r="U718" s="77">
        <v>0</v>
      </c>
      <c r="V718" s="77">
        <v>20</v>
      </c>
      <c r="W718" s="80" t="s">
        <v>6408</v>
      </c>
      <c r="X718" s="83" t="str">
        <f>HYPERLINK("https://brasil.perfil.com/economia/apos-superquarta-dolar-fecha-em-alta-e-ibovespa-baixa-215.phtml")</f>
        <v>https://brasil.perfil.com/economia/apos-superquarta-dolar-fecha-em-alta-e-ibovespa-baixa-215.phtml</v>
      </c>
      <c r="Y718" s="77" t="s">
        <v>8615</v>
      </c>
      <c r="Z718" s="77"/>
      <c r="AA718" s="77"/>
      <c r="AB718" s="77"/>
      <c r="AC718" s="80" t="s">
        <v>10541</v>
      </c>
      <c r="AD718" s="77" t="s">
        <v>10619</v>
      </c>
      <c r="AE718" s="83" t="str">
        <f>HYPERLINK("https://twitter.com/perfilcombrasil/status/1704974567125504053")</f>
        <v>https://twitter.com/perfilcombrasil/status/1704974567125504053</v>
      </c>
      <c r="AF718" s="79">
        <v>45190.904953703706</v>
      </c>
      <c r="AG718" s="85">
        <v>45190</v>
      </c>
      <c r="AH718" s="80" t="s">
        <v>11275</v>
      </c>
      <c r="AI718" s="77" t="b">
        <v>0</v>
      </c>
      <c r="AJ718" s="77"/>
      <c r="AK718" s="77"/>
      <c r="AL718" s="77"/>
      <c r="AM718" s="77"/>
      <c r="AN718" s="77"/>
      <c r="AO718" s="77"/>
      <c r="AP718" s="77"/>
      <c r="AQ718" s="77"/>
      <c r="AR718" s="77"/>
      <c r="AS718" s="77"/>
      <c r="AT718" s="77"/>
      <c r="AU718" s="77"/>
      <c r="AV718" s="83" t="str">
        <f>HYPERLINK("https://pbs.twimg.com/profile_images/1373348274288099328/X9OehZDj_normal.jpg")</f>
        <v>https://pbs.twimg.com/profile_images/1373348274288099328/X9OehZDj_normal.jpg</v>
      </c>
      <c r="AW718" s="80" t="s">
        <v>16667</v>
      </c>
      <c r="AX718" s="80" t="s">
        <v>16667</v>
      </c>
      <c r="AY718" s="77"/>
      <c r="AZ718" s="80" t="s">
        <v>20380</v>
      </c>
      <c r="BA718" s="80" t="s">
        <v>20380</v>
      </c>
      <c r="BB718" s="80" t="s">
        <v>20380</v>
      </c>
      <c r="BC718" s="80" t="s">
        <v>16667</v>
      </c>
      <c r="BD718" s="80" t="s">
        <v>20635</v>
      </c>
      <c r="BE718" s="77"/>
      <c r="BF718" s="77"/>
      <c r="BG718" s="77"/>
      <c r="BH718" s="77"/>
      <c r="BI718" s="77"/>
    </row>
    <row r="719" spans="1:61" x14ac:dyDescent="0.25">
      <c r="A719" s="62" t="s">
        <v>507</v>
      </c>
      <c r="B719" s="62" t="s">
        <v>507</v>
      </c>
      <c r="C719" s="63"/>
      <c r="D719" s="64"/>
      <c r="E719" s="65"/>
      <c r="F719" s="66"/>
      <c r="G719" s="63"/>
      <c r="H719" s="67"/>
      <c r="I719" s="68"/>
      <c r="J719" s="68"/>
      <c r="K719" s="32"/>
      <c r="L719" s="75">
        <v>719</v>
      </c>
      <c r="M719" s="75"/>
      <c r="N719" s="70"/>
      <c r="O719" s="77" t="s">
        <v>179</v>
      </c>
      <c r="P719" s="79">
        <v>45166.679745370369</v>
      </c>
      <c r="Q719" s="77" t="s">
        <v>2713</v>
      </c>
      <c r="R719" s="77">
        <v>0</v>
      </c>
      <c r="S719" s="77">
        <v>0</v>
      </c>
      <c r="T719" s="77">
        <v>0</v>
      </c>
      <c r="U719" s="77">
        <v>0</v>
      </c>
      <c r="V719" s="77">
        <v>9</v>
      </c>
      <c r="W719" s="80" t="s">
        <v>6409</v>
      </c>
      <c r="X719" s="83" t="str">
        <f>HYPERLINK("https://brasil.perfil.com/economia/mercado-eleva-para-231-projecao-do-crescimento-da-economia-em-2023-2.phtml")</f>
        <v>https://brasil.perfil.com/economia/mercado-eleva-para-231-projecao-do-crescimento-da-economia-em-2023-2.phtml</v>
      </c>
      <c r="Y719" s="77" t="s">
        <v>8615</v>
      </c>
      <c r="Z719" s="77"/>
      <c r="AA719" s="77"/>
      <c r="AB719" s="77"/>
      <c r="AC719" s="80" t="s">
        <v>10541</v>
      </c>
      <c r="AD719" s="77" t="s">
        <v>10619</v>
      </c>
      <c r="AE719" s="83" t="str">
        <f>HYPERLINK("https://twitter.com/perfilcombrasil/status/1696195645642621282")</f>
        <v>https://twitter.com/perfilcombrasil/status/1696195645642621282</v>
      </c>
      <c r="AF719" s="79">
        <v>45166.679745370369</v>
      </c>
      <c r="AG719" s="85">
        <v>45166</v>
      </c>
      <c r="AH719" s="80" t="s">
        <v>11276</v>
      </c>
      <c r="AI719" s="77" t="b">
        <v>0</v>
      </c>
      <c r="AJ719" s="77"/>
      <c r="AK719" s="77"/>
      <c r="AL719" s="77"/>
      <c r="AM719" s="77"/>
      <c r="AN719" s="77"/>
      <c r="AO719" s="77"/>
      <c r="AP719" s="77"/>
      <c r="AQ719" s="77"/>
      <c r="AR719" s="77"/>
      <c r="AS719" s="77"/>
      <c r="AT719" s="77"/>
      <c r="AU719" s="77"/>
      <c r="AV719" s="83" t="str">
        <f>HYPERLINK("https://pbs.twimg.com/profile_images/1373348274288099328/X9OehZDj_normal.jpg")</f>
        <v>https://pbs.twimg.com/profile_images/1373348274288099328/X9OehZDj_normal.jpg</v>
      </c>
      <c r="AW719" s="80" t="s">
        <v>16668</v>
      </c>
      <c r="AX719" s="80" t="s">
        <v>16668</v>
      </c>
      <c r="AY719" s="77"/>
      <c r="AZ719" s="80" t="s">
        <v>20380</v>
      </c>
      <c r="BA719" s="80" t="s">
        <v>20380</v>
      </c>
      <c r="BB719" s="80" t="s">
        <v>20380</v>
      </c>
      <c r="BC719" s="80" t="s">
        <v>16668</v>
      </c>
      <c r="BD719" s="80" t="s">
        <v>20635</v>
      </c>
      <c r="BE719" s="77"/>
      <c r="BF719" s="77"/>
      <c r="BG719" s="77"/>
      <c r="BH719" s="77"/>
      <c r="BI719" s="77"/>
    </row>
    <row r="720" spans="1:61" x14ac:dyDescent="0.25">
      <c r="A720" s="62" t="s">
        <v>507</v>
      </c>
      <c r="B720" s="62" t="s">
        <v>507</v>
      </c>
      <c r="C720" s="63"/>
      <c r="D720" s="64"/>
      <c r="E720" s="65"/>
      <c r="F720" s="66"/>
      <c r="G720" s="63"/>
      <c r="H720" s="67"/>
      <c r="I720" s="68"/>
      <c r="J720" s="68"/>
      <c r="K720" s="32"/>
      <c r="L720" s="75">
        <v>720</v>
      </c>
      <c r="M720" s="75"/>
      <c r="N720" s="70"/>
      <c r="O720" s="77" t="s">
        <v>179</v>
      </c>
      <c r="P720" s="79">
        <v>45189.915231481478</v>
      </c>
      <c r="Q720" s="77" t="s">
        <v>2714</v>
      </c>
      <c r="R720" s="77">
        <v>0</v>
      </c>
      <c r="S720" s="77">
        <v>0</v>
      </c>
      <c r="T720" s="77">
        <v>0</v>
      </c>
      <c r="U720" s="77">
        <v>0</v>
      </c>
      <c r="V720" s="77">
        <v>21</v>
      </c>
      <c r="W720" s="80" t="s">
        <v>6410</v>
      </c>
      <c r="X720" s="83" t="str">
        <f>HYPERLINK("https://brasil.perfil.com/economia/copom-anuncia-corte-na-taxa-selic-de-05-ponto.phtml")</f>
        <v>https://brasil.perfil.com/economia/copom-anuncia-corte-na-taxa-selic-de-05-ponto.phtml</v>
      </c>
      <c r="Y720" s="77" t="s">
        <v>8615</v>
      </c>
      <c r="Z720" s="77"/>
      <c r="AA720" s="77"/>
      <c r="AB720" s="77"/>
      <c r="AC720" s="80" t="s">
        <v>10541</v>
      </c>
      <c r="AD720" s="77" t="s">
        <v>10619</v>
      </c>
      <c r="AE720" s="83" t="str">
        <f>HYPERLINK("https://twitter.com/perfilcombrasil/status/1704615905844400547")</f>
        <v>https://twitter.com/perfilcombrasil/status/1704615905844400547</v>
      </c>
      <c r="AF720" s="79">
        <v>45189.915231481478</v>
      </c>
      <c r="AG720" s="85">
        <v>45189</v>
      </c>
      <c r="AH720" s="80" t="s">
        <v>11277</v>
      </c>
      <c r="AI720" s="77" t="b">
        <v>0</v>
      </c>
      <c r="AJ720" s="77"/>
      <c r="AK720" s="77"/>
      <c r="AL720" s="77"/>
      <c r="AM720" s="77"/>
      <c r="AN720" s="77"/>
      <c r="AO720" s="77"/>
      <c r="AP720" s="77"/>
      <c r="AQ720" s="77"/>
      <c r="AR720" s="77"/>
      <c r="AS720" s="77"/>
      <c r="AT720" s="77"/>
      <c r="AU720" s="77"/>
      <c r="AV720" s="83" t="str">
        <f>HYPERLINK("https://pbs.twimg.com/profile_images/1373348274288099328/X9OehZDj_normal.jpg")</f>
        <v>https://pbs.twimg.com/profile_images/1373348274288099328/X9OehZDj_normal.jpg</v>
      </c>
      <c r="AW720" s="80" t="s">
        <v>16669</v>
      </c>
      <c r="AX720" s="80" t="s">
        <v>16669</v>
      </c>
      <c r="AY720" s="77"/>
      <c r="AZ720" s="80" t="s">
        <v>20380</v>
      </c>
      <c r="BA720" s="80" t="s">
        <v>20380</v>
      </c>
      <c r="BB720" s="80" t="s">
        <v>20380</v>
      </c>
      <c r="BC720" s="80" t="s">
        <v>16669</v>
      </c>
      <c r="BD720" s="80" t="s">
        <v>20635</v>
      </c>
      <c r="BE720" s="77"/>
      <c r="BF720" s="77"/>
      <c r="BG720" s="77"/>
      <c r="BH720" s="77"/>
      <c r="BI720" s="77"/>
    </row>
    <row r="721" spans="1:61" x14ac:dyDescent="0.25">
      <c r="A721" s="62" t="s">
        <v>508</v>
      </c>
      <c r="B721" s="62" t="s">
        <v>508</v>
      </c>
      <c r="C721" s="63"/>
      <c r="D721" s="64"/>
      <c r="E721" s="65"/>
      <c r="F721" s="66"/>
      <c r="G721" s="63"/>
      <c r="H721" s="67"/>
      <c r="I721" s="68"/>
      <c r="J721" s="68"/>
      <c r="K721" s="32"/>
      <c r="L721" s="75">
        <v>721</v>
      </c>
      <c r="M721" s="75"/>
      <c r="N721" s="70"/>
      <c r="O721" s="77" t="s">
        <v>179</v>
      </c>
      <c r="P721" s="79">
        <v>45068.949629629627</v>
      </c>
      <c r="Q721" s="77" t="s">
        <v>2715</v>
      </c>
      <c r="R721" s="77">
        <v>0</v>
      </c>
      <c r="S721" s="77">
        <v>10</v>
      </c>
      <c r="T721" s="77">
        <v>0</v>
      </c>
      <c r="U721" s="77">
        <v>0</v>
      </c>
      <c r="V721" s="77">
        <v>66</v>
      </c>
      <c r="W721" s="80" t="s">
        <v>6411</v>
      </c>
      <c r="X721" s="83" t="str">
        <f>HYPERLINK("https://bairesparatodos.com.ar/el-banco-central-ya-puso-en-circulacion-el-nuevo-billete-de-2000/")</f>
        <v>https://bairesparatodos.com.ar/el-banco-central-ya-puso-en-circulacion-el-nuevo-billete-de-2000/</v>
      </c>
      <c r="Y721" s="77" t="s">
        <v>8624</v>
      </c>
      <c r="Z721" s="77"/>
      <c r="AA721" s="77" t="s">
        <v>9243</v>
      </c>
      <c r="AB721" s="77" t="s">
        <v>10535</v>
      </c>
      <c r="AC721" s="80" t="s">
        <v>10566</v>
      </c>
      <c r="AD721" s="77" t="s">
        <v>10620</v>
      </c>
      <c r="AE721" s="83" t="str">
        <f>HYPERLINK("https://twitter.com/bairesparatodos/status/1660779438919802880")</f>
        <v>https://twitter.com/bairesparatodos/status/1660779438919802880</v>
      </c>
      <c r="AF721" s="79">
        <v>45068.949629629627</v>
      </c>
      <c r="AG721" s="85">
        <v>45068</v>
      </c>
      <c r="AH721" s="80" t="s">
        <v>11278</v>
      </c>
      <c r="AI721" s="77" t="b">
        <v>0</v>
      </c>
      <c r="AJ721" s="77"/>
      <c r="AK721" s="77"/>
      <c r="AL721" s="77"/>
      <c r="AM721" s="77"/>
      <c r="AN721" s="77"/>
      <c r="AO721" s="77"/>
      <c r="AP721" s="77"/>
      <c r="AQ721" s="77" t="s">
        <v>14725</v>
      </c>
      <c r="AR721" s="77"/>
      <c r="AS721" s="77"/>
      <c r="AT721" s="77"/>
      <c r="AU721" s="77"/>
      <c r="AV721" s="83" t="str">
        <f>HYPERLINK("https://pbs.twimg.com/media/FwxGGDqWcAUZFPJ.jpg")</f>
        <v>https://pbs.twimg.com/media/FwxGGDqWcAUZFPJ.jpg</v>
      </c>
      <c r="AW721" s="80" t="s">
        <v>16670</v>
      </c>
      <c r="AX721" s="80" t="s">
        <v>16670</v>
      </c>
      <c r="AY721" s="77"/>
      <c r="AZ721" s="80" t="s">
        <v>20380</v>
      </c>
      <c r="BA721" s="80" t="s">
        <v>20380</v>
      </c>
      <c r="BB721" s="80" t="s">
        <v>20380</v>
      </c>
      <c r="BC721" s="80" t="s">
        <v>16670</v>
      </c>
      <c r="BD721" s="77">
        <v>604685700</v>
      </c>
      <c r="BE721" s="77"/>
      <c r="BF721" s="77"/>
      <c r="BG721" s="77"/>
      <c r="BH721" s="77"/>
      <c r="BI721" s="77"/>
    </row>
    <row r="722" spans="1:61" x14ac:dyDescent="0.25">
      <c r="A722" s="62" t="s">
        <v>508</v>
      </c>
      <c r="B722" s="62" t="s">
        <v>508</v>
      </c>
      <c r="C722" s="63"/>
      <c r="D722" s="64"/>
      <c r="E722" s="65"/>
      <c r="F722" s="66"/>
      <c r="G722" s="63"/>
      <c r="H722" s="67"/>
      <c r="I722" s="68"/>
      <c r="J722" s="68"/>
      <c r="K722" s="32"/>
      <c r="L722" s="75">
        <v>722</v>
      </c>
      <c r="M722" s="75"/>
      <c r="N722" s="70"/>
      <c r="O722" s="77" t="s">
        <v>179</v>
      </c>
      <c r="P722" s="79">
        <v>45155.94023148148</v>
      </c>
      <c r="Q722" s="77" t="s">
        <v>2716</v>
      </c>
      <c r="R722" s="77">
        <v>0</v>
      </c>
      <c r="S722" s="77">
        <v>10</v>
      </c>
      <c r="T722" s="77">
        <v>0</v>
      </c>
      <c r="U722" s="77">
        <v>0</v>
      </c>
      <c r="V722" s="77">
        <v>92</v>
      </c>
      <c r="W722" s="80" t="s">
        <v>6412</v>
      </c>
      <c r="X722" s="83" t="str">
        <f>HYPERLINK("https://bairesparatodos.com.ar/el-dolar-blue-retrocedio-despues-de-tres-dias-de-escalada/")</f>
        <v>https://bairesparatodos.com.ar/el-dolar-blue-retrocedio-despues-de-tres-dias-de-escalada/</v>
      </c>
      <c r="Y722" s="77" t="s">
        <v>8624</v>
      </c>
      <c r="Z722" s="77"/>
      <c r="AA722" s="77" t="s">
        <v>9244</v>
      </c>
      <c r="AB722" s="77" t="s">
        <v>10535</v>
      </c>
      <c r="AC722" s="80" t="s">
        <v>10567</v>
      </c>
      <c r="AD722" s="77" t="s">
        <v>10620</v>
      </c>
      <c r="AE722" s="83" t="str">
        <f>HYPERLINK("https://twitter.com/bairesparatodos/status/1692303774943940870")</f>
        <v>https://twitter.com/bairesparatodos/status/1692303774943940870</v>
      </c>
      <c r="AF722" s="79">
        <v>45155.94023148148</v>
      </c>
      <c r="AG722" s="85">
        <v>45155</v>
      </c>
      <c r="AH722" s="80" t="s">
        <v>11279</v>
      </c>
      <c r="AI722" s="77" t="b">
        <v>0</v>
      </c>
      <c r="AJ722" s="77"/>
      <c r="AK722" s="77"/>
      <c r="AL722" s="77"/>
      <c r="AM722" s="77"/>
      <c r="AN722" s="77"/>
      <c r="AO722" s="77"/>
      <c r="AP722" s="77"/>
      <c r="AQ722" s="77" t="s">
        <v>14726</v>
      </c>
      <c r="AR722" s="77"/>
      <c r="AS722" s="77"/>
      <c r="AT722" s="77"/>
      <c r="AU722" s="77"/>
      <c r="AV722" s="83" t="str">
        <f>HYPERLINK("https://pbs.twimg.com/media/F3xFT5pXAAADauv.jpg")</f>
        <v>https://pbs.twimg.com/media/F3xFT5pXAAADauv.jpg</v>
      </c>
      <c r="AW722" s="80" t="s">
        <v>16671</v>
      </c>
      <c r="AX722" s="80" t="s">
        <v>16671</v>
      </c>
      <c r="AY722" s="77"/>
      <c r="AZ722" s="80" t="s">
        <v>20380</v>
      </c>
      <c r="BA722" s="80" t="s">
        <v>20380</v>
      </c>
      <c r="BB722" s="80" t="s">
        <v>20380</v>
      </c>
      <c r="BC722" s="80" t="s">
        <v>16671</v>
      </c>
      <c r="BD722" s="77">
        <v>604685700</v>
      </c>
      <c r="BE722" s="77"/>
      <c r="BF722" s="77"/>
      <c r="BG722" s="77"/>
      <c r="BH722" s="77"/>
      <c r="BI722" s="77"/>
    </row>
    <row r="723" spans="1:61" x14ac:dyDescent="0.25">
      <c r="A723" s="62" t="s">
        <v>508</v>
      </c>
      <c r="B723" s="62" t="s">
        <v>508</v>
      </c>
      <c r="C723" s="63"/>
      <c r="D723" s="64"/>
      <c r="E723" s="65"/>
      <c r="F723" s="66"/>
      <c r="G723" s="63"/>
      <c r="H723" s="67"/>
      <c r="I723" s="68"/>
      <c r="J723" s="68"/>
      <c r="K723" s="32"/>
      <c r="L723" s="75">
        <v>723</v>
      </c>
      <c r="M723" s="75"/>
      <c r="N723" s="70"/>
      <c r="O723" s="77" t="s">
        <v>179</v>
      </c>
      <c r="P723" s="79">
        <v>45170.446527777778</v>
      </c>
      <c r="Q723" s="77" t="s">
        <v>2717</v>
      </c>
      <c r="R723" s="77">
        <v>0</v>
      </c>
      <c r="S723" s="77">
        <v>10</v>
      </c>
      <c r="T723" s="77">
        <v>0</v>
      </c>
      <c r="U723" s="77">
        <v>0</v>
      </c>
      <c r="V723" s="77">
        <v>26</v>
      </c>
      <c r="W723" s="80" t="s">
        <v>6413</v>
      </c>
      <c r="X723" s="83" t="str">
        <f>HYPERLINK("https://bairesparatodos.com.ar/milei-defendio-la-dolarizacion-ustedes-no-necesitan-un-banco-central/")</f>
        <v>https://bairesparatodos.com.ar/milei-defendio-la-dolarizacion-ustedes-no-necesitan-un-banco-central/</v>
      </c>
      <c r="Y723" s="77" t="s">
        <v>8624</v>
      </c>
      <c r="Z723" s="77"/>
      <c r="AA723" s="77" t="s">
        <v>9245</v>
      </c>
      <c r="AB723" s="77" t="s">
        <v>10535</v>
      </c>
      <c r="AC723" s="80" t="s">
        <v>10567</v>
      </c>
      <c r="AD723" s="77" t="s">
        <v>10620</v>
      </c>
      <c r="AE723" s="83" t="str">
        <f>HYPERLINK("https://twitter.com/bairesparatodos/status/1697560680411332755")</f>
        <v>https://twitter.com/bairesparatodos/status/1697560680411332755</v>
      </c>
      <c r="AF723" s="79">
        <v>45170.446527777778</v>
      </c>
      <c r="AG723" s="85">
        <v>45170</v>
      </c>
      <c r="AH723" s="80" t="s">
        <v>11280</v>
      </c>
      <c r="AI723" s="77" t="b">
        <v>0</v>
      </c>
      <c r="AJ723" s="77"/>
      <c r="AK723" s="77"/>
      <c r="AL723" s="77"/>
      <c r="AM723" s="77"/>
      <c r="AN723" s="77"/>
      <c r="AO723" s="77"/>
      <c r="AP723" s="77"/>
      <c r="AQ723" s="77" t="s">
        <v>14727</v>
      </c>
      <c r="AR723" s="77"/>
      <c r="AS723" s="77"/>
      <c r="AT723" s="77"/>
      <c r="AU723" s="77"/>
      <c r="AV723" s="83" t="str">
        <f>HYPERLINK("https://pbs.twimg.com/media/F47yb_AX0AAsX6t.jpg")</f>
        <v>https://pbs.twimg.com/media/F47yb_AX0AAsX6t.jpg</v>
      </c>
      <c r="AW723" s="80" t="s">
        <v>16672</v>
      </c>
      <c r="AX723" s="80" t="s">
        <v>16672</v>
      </c>
      <c r="AY723" s="77"/>
      <c r="AZ723" s="80" t="s">
        <v>20380</v>
      </c>
      <c r="BA723" s="80" t="s">
        <v>20380</v>
      </c>
      <c r="BB723" s="80" t="s">
        <v>20380</v>
      </c>
      <c r="BC723" s="80" t="s">
        <v>16672</v>
      </c>
      <c r="BD723" s="77">
        <v>604685700</v>
      </c>
      <c r="BE723" s="77"/>
      <c r="BF723" s="77"/>
      <c r="BG723" s="77"/>
      <c r="BH723" s="77"/>
      <c r="BI723" s="77"/>
    </row>
    <row r="724" spans="1:61" x14ac:dyDescent="0.25">
      <c r="A724" s="62" t="s">
        <v>508</v>
      </c>
      <c r="B724" s="62" t="s">
        <v>508</v>
      </c>
      <c r="C724" s="63"/>
      <c r="D724" s="64"/>
      <c r="E724" s="65"/>
      <c r="F724" s="66"/>
      <c r="G724" s="63"/>
      <c r="H724" s="67"/>
      <c r="I724" s="68"/>
      <c r="J724" s="68"/>
      <c r="K724" s="32"/>
      <c r="L724" s="75">
        <v>724</v>
      </c>
      <c r="M724" s="75"/>
      <c r="N724" s="70"/>
      <c r="O724" s="77" t="s">
        <v>179</v>
      </c>
      <c r="P724" s="79">
        <v>45140.444062499999</v>
      </c>
      <c r="Q724" s="77" t="s">
        <v>2718</v>
      </c>
      <c r="R724" s="77">
        <v>0</v>
      </c>
      <c r="S724" s="77">
        <v>10</v>
      </c>
      <c r="T724" s="77">
        <v>0</v>
      </c>
      <c r="U724" s="77">
        <v>0</v>
      </c>
      <c r="V724" s="77">
        <v>28</v>
      </c>
      <c r="W724" s="80" t="s">
        <v>6414</v>
      </c>
      <c r="X724" s="83" t="str">
        <f>HYPERLINK("https://bairesparatodos.com.ar/califican-de-bestialidad-la-propuesta-de-patricia-bullrich-de-entrar-con-una-camara-al-banco-central/")</f>
        <v>https://bairesparatodos.com.ar/califican-de-bestialidad-la-propuesta-de-patricia-bullrich-de-entrar-con-una-camara-al-banco-central/</v>
      </c>
      <c r="Y724" s="77" t="s">
        <v>8624</v>
      </c>
      <c r="Z724" s="77"/>
      <c r="AA724" s="77" t="s">
        <v>9246</v>
      </c>
      <c r="AB724" s="77" t="s">
        <v>10535</v>
      </c>
      <c r="AC724" s="80" t="s">
        <v>10567</v>
      </c>
      <c r="AD724" s="77" t="s">
        <v>10620</v>
      </c>
      <c r="AE724" s="83" t="str">
        <f>HYPERLINK("https://twitter.com/bairesparatodos/status/1686688152788877312")</f>
        <v>https://twitter.com/bairesparatodos/status/1686688152788877312</v>
      </c>
      <c r="AF724" s="79">
        <v>45140.444062499999</v>
      </c>
      <c r="AG724" s="85">
        <v>45140</v>
      </c>
      <c r="AH724" s="80" t="s">
        <v>11281</v>
      </c>
      <c r="AI724" s="77" t="b">
        <v>0</v>
      </c>
      <c r="AJ724" s="77"/>
      <c r="AK724" s="77"/>
      <c r="AL724" s="77"/>
      <c r="AM724" s="77"/>
      <c r="AN724" s="77"/>
      <c r="AO724" s="77"/>
      <c r="AP724" s="77"/>
      <c r="AQ724" s="77" t="s">
        <v>14728</v>
      </c>
      <c r="AR724" s="77"/>
      <c r="AS724" s="77"/>
      <c r="AT724" s="77"/>
      <c r="AU724" s="77"/>
      <c r="AV724" s="83" t="str">
        <f>HYPERLINK("https://pbs.twimg.com/media/F2hR7sFWsAAb6aT.jpg")</f>
        <v>https://pbs.twimg.com/media/F2hR7sFWsAAb6aT.jpg</v>
      </c>
      <c r="AW724" s="80" t="s">
        <v>16673</v>
      </c>
      <c r="AX724" s="80" t="s">
        <v>16673</v>
      </c>
      <c r="AY724" s="77"/>
      <c r="AZ724" s="80" t="s">
        <v>20380</v>
      </c>
      <c r="BA724" s="80" t="s">
        <v>20380</v>
      </c>
      <c r="BB724" s="80" t="s">
        <v>20380</v>
      </c>
      <c r="BC724" s="80" t="s">
        <v>16673</v>
      </c>
      <c r="BD724" s="77">
        <v>604685700</v>
      </c>
      <c r="BE724" s="77"/>
      <c r="BF724" s="77"/>
      <c r="BG724" s="77"/>
      <c r="BH724" s="77"/>
      <c r="BI724" s="77"/>
    </row>
    <row r="725" spans="1:61" x14ac:dyDescent="0.25">
      <c r="A725" s="62" t="s">
        <v>508</v>
      </c>
      <c r="B725" s="62" t="s">
        <v>508</v>
      </c>
      <c r="C725" s="63"/>
      <c r="D725" s="64"/>
      <c r="E725" s="65"/>
      <c r="F725" s="66"/>
      <c r="G725" s="63"/>
      <c r="H725" s="67"/>
      <c r="I725" s="68"/>
      <c r="J725" s="68"/>
      <c r="K725" s="32"/>
      <c r="L725" s="75">
        <v>725</v>
      </c>
      <c r="M725" s="75"/>
      <c r="N725" s="70"/>
      <c r="O725" s="77" t="s">
        <v>179</v>
      </c>
      <c r="P725" s="79">
        <v>45139.983472222222</v>
      </c>
      <c r="Q725" s="77" t="s">
        <v>2719</v>
      </c>
      <c r="R725" s="77">
        <v>0</v>
      </c>
      <c r="S725" s="77">
        <v>10</v>
      </c>
      <c r="T725" s="77">
        <v>0</v>
      </c>
      <c r="U725" s="77">
        <v>0</v>
      </c>
      <c r="V725" s="77">
        <v>42</v>
      </c>
      <c r="W725" s="80" t="s">
        <v>6414</v>
      </c>
      <c r="X725" s="83" t="str">
        <f>HYPERLINK("https://bairesparatodos.com.ar/califican-de-bestialidad-la-propuesta-de-patricia-bullrich-de-entrar-con-una-camara-al-banco-central/")</f>
        <v>https://bairesparatodos.com.ar/califican-de-bestialidad-la-propuesta-de-patricia-bullrich-de-entrar-con-una-camara-al-banco-central/</v>
      </c>
      <c r="Y725" s="77" t="s">
        <v>8624</v>
      </c>
      <c r="Z725" s="77"/>
      <c r="AA725" s="77" t="s">
        <v>9247</v>
      </c>
      <c r="AB725" s="77" t="s">
        <v>10535</v>
      </c>
      <c r="AC725" s="80" t="s">
        <v>10567</v>
      </c>
      <c r="AD725" s="77" t="s">
        <v>10620</v>
      </c>
      <c r="AE725" s="83" t="str">
        <f>HYPERLINK("https://twitter.com/bairesparatodos/status/1686521240406618112")</f>
        <v>https://twitter.com/bairesparatodos/status/1686521240406618112</v>
      </c>
      <c r="AF725" s="79">
        <v>45139.983472222222</v>
      </c>
      <c r="AG725" s="85">
        <v>45139</v>
      </c>
      <c r="AH725" s="80" t="s">
        <v>11282</v>
      </c>
      <c r="AI725" s="77" t="b">
        <v>0</v>
      </c>
      <c r="AJ725" s="77"/>
      <c r="AK725" s="77"/>
      <c r="AL725" s="77"/>
      <c r="AM725" s="77"/>
      <c r="AN725" s="77"/>
      <c r="AO725" s="77"/>
      <c r="AP725" s="77"/>
      <c r="AQ725" s="77" t="s">
        <v>14729</v>
      </c>
      <c r="AR725" s="77"/>
      <c r="AS725" s="77"/>
      <c r="AT725" s="77"/>
      <c r="AU725" s="77"/>
      <c r="AV725" s="83" t="str">
        <f>HYPERLINK("https://pbs.twimg.com/media/F2e6IEeXoAARsY9.jpg")</f>
        <v>https://pbs.twimg.com/media/F2e6IEeXoAARsY9.jpg</v>
      </c>
      <c r="AW725" s="80" t="s">
        <v>16674</v>
      </c>
      <c r="AX725" s="80" t="s">
        <v>16674</v>
      </c>
      <c r="AY725" s="77"/>
      <c r="AZ725" s="80" t="s">
        <v>20380</v>
      </c>
      <c r="BA725" s="80" t="s">
        <v>20380</v>
      </c>
      <c r="BB725" s="80" t="s">
        <v>20380</v>
      </c>
      <c r="BC725" s="80" t="s">
        <v>16674</v>
      </c>
      <c r="BD725" s="77">
        <v>604685700</v>
      </c>
      <c r="BE725" s="77"/>
      <c r="BF725" s="77"/>
      <c r="BG725" s="77"/>
      <c r="BH725" s="77"/>
      <c r="BI725" s="77"/>
    </row>
    <row r="726" spans="1:61" x14ac:dyDescent="0.25">
      <c r="A726" s="62" t="s">
        <v>508</v>
      </c>
      <c r="B726" s="62" t="s">
        <v>508</v>
      </c>
      <c r="C726" s="63"/>
      <c r="D726" s="64"/>
      <c r="E726" s="65"/>
      <c r="F726" s="66"/>
      <c r="G726" s="63"/>
      <c r="H726" s="67"/>
      <c r="I726" s="68"/>
      <c r="J726" s="68"/>
      <c r="K726" s="32"/>
      <c r="L726" s="75">
        <v>726</v>
      </c>
      <c r="M726" s="75"/>
      <c r="N726" s="70"/>
      <c r="O726" s="77" t="s">
        <v>179</v>
      </c>
      <c r="P726" s="79">
        <v>45184.935046296298</v>
      </c>
      <c r="Q726" s="77" t="s">
        <v>2720</v>
      </c>
      <c r="R726" s="77">
        <v>0</v>
      </c>
      <c r="S726" s="77">
        <v>10</v>
      </c>
      <c r="T726" s="77">
        <v>0</v>
      </c>
      <c r="U726" s="77">
        <v>0</v>
      </c>
      <c r="V726" s="77">
        <v>46</v>
      </c>
      <c r="W726" s="80" t="s">
        <v>6415</v>
      </c>
      <c r="X726" s="83" t="str">
        <f>HYPERLINK("https://bairesparatodos.com.ar/adios-a-los-billetes-de-2000-por-que-los-rechazan-los-cajeros-y-que-hacer-si-tengo-uno/")</f>
        <v>https://bairesparatodos.com.ar/adios-a-los-billetes-de-2000-por-que-los-rechazan-los-cajeros-y-que-hacer-si-tengo-uno/</v>
      </c>
      <c r="Y726" s="77" t="s">
        <v>8624</v>
      </c>
      <c r="Z726" s="77"/>
      <c r="AA726" s="77" t="s">
        <v>9248</v>
      </c>
      <c r="AB726" s="77" t="s">
        <v>10535</v>
      </c>
      <c r="AC726" s="80" t="s">
        <v>10567</v>
      </c>
      <c r="AD726" s="77" t="s">
        <v>10620</v>
      </c>
      <c r="AE726" s="83" t="str">
        <f>HYPERLINK("https://twitter.com/bairesparatodos/status/1702811143683600475")</f>
        <v>https://twitter.com/bairesparatodos/status/1702811143683600475</v>
      </c>
      <c r="AF726" s="79">
        <v>45184.935046296298</v>
      </c>
      <c r="AG726" s="85">
        <v>45184</v>
      </c>
      <c r="AH726" s="80" t="s">
        <v>11283</v>
      </c>
      <c r="AI726" s="77" t="b">
        <v>0</v>
      </c>
      <c r="AJ726" s="77"/>
      <c r="AK726" s="77"/>
      <c r="AL726" s="77"/>
      <c r="AM726" s="77"/>
      <c r="AN726" s="77"/>
      <c r="AO726" s="77"/>
      <c r="AP726" s="77"/>
      <c r="AQ726" s="77" t="s">
        <v>14730</v>
      </c>
      <c r="AR726" s="77"/>
      <c r="AS726" s="77"/>
      <c r="AT726" s="77"/>
      <c r="AU726" s="77"/>
      <c r="AV726" s="83" t="str">
        <f>HYPERLINK("https://pbs.twimg.com/media/F6GZtQeXAAA_axI.jpg")</f>
        <v>https://pbs.twimg.com/media/F6GZtQeXAAA_axI.jpg</v>
      </c>
      <c r="AW726" s="80" t="s">
        <v>16675</v>
      </c>
      <c r="AX726" s="80" t="s">
        <v>16675</v>
      </c>
      <c r="AY726" s="77"/>
      <c r="AZ726" s="80" t="s">
        <v>20380</v>
      </c>
      <c r="BA726" s="80" t="s">
        <v>20380</v>
      </c>
      <c r="BB726" s="80" t="s">
        <v>20380</v>
      </c>
      <c r="BC726" s="80" t="s">
        <v>16675</v>
      </c>
      <c r="BD726" s="77">
        <v>604685700</v>
      </c>
      <c r="BE726" s="77"/>
      <c r="BF726" s="77"/>
      <c r="BG726" s="77"/>
      <c r="BH726" s="77"/>
      <c r="BI726" s="77"/>
    </row>
    <row r="727" spans="1:61" x14ac:dyDescent="0.25">
      <c r="A727" s="62" t="s">
        <v>508</v>
      </c>
      <c r="B727" s="62" t="s">
        <v>508</v>
      </c>
      <c r="C727" s="63"/>
      <c r="D727" s="64"/>
      <c r="E727" s="65"/>
      <c r="F727" s="66"/>
      <c r="G727" s="63"/>
      <c r="H727" s="67"/>
      <c r="I727" s="68"/>
      <c r="J727" s="68"/>
      <c r="K727" s="32"/>
      <c r="L727" s="75">
        <v>727</v>
      </c>
      <c r="M727" s="75"/>
      <c r="N727" s="70"/>
      <c r="O727" s="77" t="s">
        <v>179</v>
      </c>
      <c r="P727" s="79">
        <v>45192.458587962959</v>
      </c>
      <c r="Q727" s="77" t="s">
        <v>2721</v>
      </c>
      <c r="R727" s="77">
        <v>0</v>
      </c>
      <c r="S727" s="77">
        <v>10</v>
      </c>
      <c r="T727" s="77">
        <v>0</v>
      </c>
      <c r="U727" s="77">
        <v>0</v>
      </c>
      <c r="V727" s="77">
        <v>50</v>
      </c>
      <c r="W727" s="80" t="s">
        <v>6416</v>
      </c>
      <c r="X727" s="83" t="str">
        <f>HYPERLINK("https://bairesparatodos.com.ar/quien-es-emilio-ocampo-el-economista-que-javier-milei-piensa-poner-al-frente-del-banco-central-para-cerrarlo/")</f>
        <v>https://bairesparatodos.com.ar/quien-es-emilio-ocampo-el-economista-que-javier-milei-piensa-poner-al-frente-del-banco-central-para-cerrarlo/</v>
      </c>
      <c r="Y727" s="77" t="s">
        <v>8624</v>
      </c>
      <c r="Z727" s="77"/>
      <c r="AA727" s="77" t="s">
        <v>9249</v>
      </c>
      <c r="AB727" s="77" t="s">
        <v>10535</v>
      </c>
      <c r="AC727" s="80" t="s">
        <v>10567</v>
      </c>
      <c r="AD727" s="77" t="s">
        <v>10620</v>
      </c>
      <c r="AE727" s="83" t="str">
        <f>HYPERLINK("https://twitter.com/bairesparatodos/status/1705537584296816799")</f>
        <v>https://twitter.com/bairesparatodos/status/1705537584296816799</v>
      </c>
      <c r="AF727" s="79">
        <v>45192.458587962959</v>
      </c>
      <c r="AG727" s="85">
        <v>45192</v>
      </c>
      <c r="AH727" s="80" t="s">
        <v>11284</v>
      </c>
      <c r="AI727" s="77" t="b">
        <v>0</v>
      </c>
      <c r="AJ727" s="77"/>
      <c r="AK727" s="77"/>
      <c r="AL727" s="77"/>
      <c r="AM727" s="77"/>
      <c r="AN727" s="77"/>
      <c r="AO727" s="77"/>
      <c r="AP727" s="77"/>
      <c r="AQ727" s="77" t="s">
        <v>14731</v>
      </c>
      <c r="AR727" s="77"/>
      <c r="AS727" s="77"/>
      <c r="AT727" s="77"/>
      <c r="AU727" s="77"/>
      <c r="AV727" s="83" t="str">
        <f>HYPERLINK("https://pbs.twimg.com/media/F6tJY9AW4AAjL5R.jpg")</f>
        <v>https://pbs.twimg.com/media/F6tJY9AW4AAjL5R.jpg</v>
      </c>
      <c r="AW727" s="80" t="s">
        <v>16676</v>
      </c>
      <c r="AX727" s="80" t="s">
        <v>16676</v>
      </c>
      <c r="AY727" s="77"/>
      <c r="AZ727" s="80" t="s">
        <v>20380</v>
      </c>
      <c r="BA727" s="80" t="s">
        <v>20380</v>
      </c>
      <c r="BB727" s="80" t="s">
        <v>20380</v>
      </c>
      <c r="BC727" s="80" t="s">
        <v>16676</v>
      </c>
      <c r="BD727" s="77">
        <v>604685700</v>
      </c>
      <c r="BE727" s="77"/>
      <c r="BF727" s="77"/>
      <c r="BG727" s="77"/>
      <c r="BH727" s="77"/>
      <c r="BI727" s="77"/>
    </row>
    <row r="728" spans="1:61" x14ac:dyDescent="0.25">
      <c r="A728" s="62" t="s">
        <v>509</v>
      </c>
      <c r="B728" s="62" t="s">
        <v>509</v>
      </c>
      <c r="C728" s="63"/>
      <c r="D728" s="64"/>
      <c r="E728" s="65"/>
      <c r="F728" s="66"/>
      <c r="G728" s="63"/>
      <c r="H728" s="67"/>
      <c r="I728" s="68"/>
      <c r="J728" s="68"/>
      <c r="K728" s="32"/>
      <c r="L728" s="75">
        <v>728</v>
      </c>
      <c r="M728" s="75"/>
      <c r="N728" s="70"/>
      <c r="O728" s="77" t="s">
        <v>179</v>
      </c>
      <c r="P728" s="79">
        <v>45053.996030092596</v>
      </c>
      <c r="Q728" s="77" t="s">
        <v>2722</v>
      </c>
      <c r="R728" s="77">
        <v>0</v>
      </c>
      <c r="S728" s="77">
        <v>0</v>
      </c>
      <c r="T728" s="77">
        <v>0</v>
      </c>
      <c r="U728" s="77">
        <v>0</v>
      </c>
      <c r="V728" s="77">
        <v>10</v>
      </c>
      <c r="W728" s="80" t="s">
        <v>6417</v>
      </c>
      <c r="X728" s="83" t="str">
        <f>HYPERLINK("https://blogdojuares.com.br/noticia/77183/cheques-terao-novo-padrao-a-partir-de-outubro.html")</f>
        <v>https://blogdojuares.com.br/noticia/77183/cheques-terao-novo-padrao-a-partir-de-outubro.html</v>
      </c>
      <c r="Y728" s="77" t="s">
        <v>8611</v>
      </c>
      <c r="Z728" s="77"/>
      <c r="AA728" s="77"/>
      <c r="AB728" s="77"/>
      <c r="AC728" s="80" t="s">
        <v>10568</v>
      </c>
      <c r="AD728" s="77" t="s">
        <v>10617</v>
      </c>
      <c r="AE728" s="83" t="str">
        <f>HYPERLINK("https://twitter.com/blogdojuares/status/1655360435577651205")</f>
        <v>https://twitter.com/blogdojuares/status/1655360435577651205</v>
      </c>
      <c r="AF728" s="79">
        <v>45053.996030092596</v>
      </c>
      <c r="AG728" s="85">
        <v>45053</v>
      </c>
      <c r="AH728" s="80" t="s">
        <v>11285</v>
      </c>
      <c r="AI728" s="77" t="b">
        <v>0</v>
      </c>
      <c r="AJ728" s="77"/>
      <c r="AK728" s="77"/>
      <c r="AL728" s="77"/>
      <c r="AM728" s="77"/>
      <c r="AN728" s="77"/>
      <c r="AO728" s="77"/>
      <c r="AP728" s="77"/>
      <c r="AQ728" s="77"/>
      <c r="AR728" s="77"/>
      <c r="AS728" s="77"/>
      <c r="AT728" s="77"/>
      <c r="AU728" s="77"/>
      <c r="AV728" s="83" t="str">
        <f>HYPERLINK("https://pbs.twimg.com/profile_images/1686834655801024512/sVEKXAB3_normal.jpg")</f>
        <v>https://pbs.twimg.com/profile_images/1686834655801024512/sVEKXAB3_normal.jpg</v>
      </c>
      <c r="AW728" s="80" t="s">
        <v>16677</v>
      </c>
      <c r="AX728" s="80" t="s">
        <v>16677</v>
      </c>
      <c r="AY728" s="77"/>
      <c r="AZ728" s="80" t="s">
        <v>20380</v>
      </c>
      <c r="BA728" s="80" t="s">
        <v>20380</v>
      </c>
      <c r="BB728" s="80" t="s">
        <v>20380</v>
      </c>
      <c r="BC728" s="80" t="s">
        <v>16677</v>
      </c>
      <c r="BD728" s="77">
        <v>568494327</v>
      </c>
      <c r="BE728" s="77"/>
      <c r="BF728" s="77"/>
      <c r="BG728" s="77"/>
      <c r="BH728" s="77"/>
      <c r="BI728" s="77"/>
    </row>
    <row r="729" spans="1:61" x14ac:dyDescent="0.25">
      <c r="A729" s="62" t="s">
        <v>509</v>
      </c>
      <c r="B729" s="62" t="s">
        <v>509</v>
      </c>
      <c r="C729" s="63"/>
      <c r="D729" s="64"/>
      <c r="E729" s="65"/>
      <c r="F729" s="66"/>
      <c r="G729" s="63"/>
      <c r="H729" s="67"/>
      <c r="I729" s="68"/>
      <c r="J729" s="68"/>
      <c r="K729" s="32"/>
      <c r="L729" s="75">
        <v>729</v>
      </c>
      <c r="M729" s="75"/>
      <c r="N729" s="70"/>
      <c r="O729" s="77" t="s">
        <v>179</v>
      </c>
      <c r="P729" s="79">
        <v>45097.445868055554</v>
      </c>
      <c r="Q729" s="77" t="s">
        <v>2723</v>
      </c>
      <c r="R729" s="77">
        <v>0</v>
      </c>
      <c r="S729" s="77">
        <v>0</v>
      </c>
      <c r="T729" s="77">
        <v>0</v>
      </c>
      <c r="U729" s="77">
        <v>0</v>
      </c>
      <c r="V729" s="77">
        <v>14</v>
      </c>
      <c r="W729" s="80" t="s">
        <v>6418</v>
      </c>
      <c r="X729" s="83" t="str">
        <f>HYPERLINK("https://blogdojuares.com.br/noticia/78103/caixa-comeca-a-cobrar-pix-de-pessoas-juridicas-em-19-de-julho.html")</f>
        <v>https://blogdojuares.com.br/noticia/78103/caixa-comeca-a-cobrar-pix-de-pessoas-juridicas-em-19-de-julho.html</v>
      </c>
      <c r="Y729" s="77" t="s">
        <v>8611</v>
      </c>
      <c r="Z729" s="77"/>
      <c r="AA729" s="77"/>
      <c r="AB729" s="77"/>
      <c r="AC729" s="80" t="s">
        <v>10541</v>
      </c>
      <c r="AD729" s="77" t="s">
        <v>10617</v>
      </c>
      <c r="AE729" s="83" t="str">
        <f>HYPERLINK("https://twitter.com/blogdojuares/status/1671106130209038339")</f>
        <v>https://twitter.com/blogdojuares/status/1671106130209038339</v>
      </c>
      <c r="AF729" s="79">
        <v>45097.445868055554</v>
      </c>
      <c r="AG729" s="85">
        <v>45097</v>
      </c>
      <c r="AH729" s="80" t="s">
        <v>11286</v>
      </c>
      <c r="AI729" s="77" t="b">
        <v>0</v>
      </c>
      <c r="AJ729" s="77"/>
      <c r="AK729" s="77"/>
      <c r="AL729" s="77"/>
      <c r="AM729" s="77"/>
      <c r="AN729" s="77"/>
      <c r="AO729" s="77"/>
      <c r="AP729" s="77"/>
      <c r="AQ729" s="77"/>
      <c r="AR729" s="77"/>
      <c r="AS729" s="77"/>
      <c r="AT729" s="77"/>
      <c r="AU729" s="77"/>
      <c r="AV729" s="83" t="str">
        <f>HYPERLINK("https://pbs.twimg.com/profile_images/1686834655801024512/sVEKXAB3_normal.jpg")</f>
        <v>https://pbs.twimg.com/profile_images/1686834655801024512/sVEKXAB3_normal.jpg</v>
      </c>
      <c r="AW729" s="80" t="s">
        <v>16678</v>
      </c>
      <c r="AX729" s="80" t="s">
        <v>16678</v>
      </c>
      <c r="AY729" s="77"/>
      <c r="AZ729" s="80" t="s">
        <v>20380</v>
      </c>
      <c r="BA729" s="80" t="s">
        <v>20380</v>
      </c>
      <c r="BB729" s="80" t="s">
        <v>20380</v>
      </c>
      <c r="BC729" s="80" t="s">
        <v>16678</v>
      </c>
      <c r="BD729" s="77">
        <v>568494327</v>
      </c>
      <c r="BE729" s="77"/>
      <c r="BF729" s="77"/>
      <c r="BG729" s="77"/>
      <c r="BH729" s="77"/>
      <c r="BI729" s="77"/>
    </row>
    <row r="730" spans="1:61" x14ac:dyDescent="0.25">
      <c r="A730" s="62" t="s">
        <v>509</v>
      </c>
      <c r="B730" s="62" t="s">
        <v>509</v>
      </c>
      <c r="C730" s="63"/>
      <c r="D730" s="64"/>
      <c r="E730" s="65"/>
      <c r="F730" s="66"/>
      <c r="G730" s="63"/>
      <c r="H730" s="67"/>
      <c r="I730" s="68"/>
      <c r="J730" s="68"/>
      <c r="K730" s="32"/>
      <c r="L730" s="75">
        <v>730</v>
      </c>
      <c r="M730" s="75"/>
      <c r="N730" s="70"/>
      <c r="O730" s="77" t="s">
        <v>179</v>
      </c>
      <c r="P730" s="79">
        <v>45146.472824074073</v>
      </c>
      <c r="Q730" s="77" t="s">
        <v>2724</v>
      </c>
      <c r="R730" s="77">
        <v>0</v>
      </c>
      <c r="S730" s="77">
        <v>0</v>
      </c>
      <c r="T730" s="77">
        <v>0</v>
      </c>
      <c r="U730" s="77">
        <v>0</v>
      </c>
      <c r="V730" s="77">
        <v>31</v>
      </c>
      <c r="W730" s="80" t="s">
        <v>6419</v>
      </c>
      <c r="X730" s="83" t="str">
        <f>HYPERLINK("https://blogdojuares.com.br/noticia/79194/entenda-como-funcionara-o-drex-nova-moeda-digital-do-brasil-.html")</f>
        <v>https://blogdojuares.com.br/noticia/79194/entenda-como-funcionara-o-drex-nova-moeda-digital-do-brasil-.html</v>
      </c>
      <c r="Y730" s="77" t="s">
        <v>8611</v>
      </c>
      <c r="Z730" s="77"/>
      <c r="AA730" s="77"/>
      <c r="AB730" s="77"/>
      <c r="AC730" s="80" t="s">
        <v>10541</v>
      </c>
      <c r="AD730" s="77" t="s">
        <v>10617</v>
      </c>
      <c r="AE730" s="83" t="str">
        <f>HYPERLINK("https://twitter.com/blogdojuares/status/1688872901087219712")</f>
        <v>https://twitter.com/blogdojuares/status/1688872901087219712</v>
      </c>
      <c r="AF730" s="79">
        <v>45146.472824074073</v>
      </c>
      <c r="AG730" s="85">
        <v>45146</v>
      </c>
      <c r="AH730" s="80" t="s">
        <v>11287</v>
      </c>
      <c r="AI730" s="77" t="b">
        <v>0</v>
      </c>
      <c r="AJ730" s="77"/>
      <c r="AK730" s="77"/>
      <c r="AL730" s="77"/>
      <c r="AM730" s="77"/>
      <c r="AN730" s="77"/>
      <c r="AO730" s="77"/>
      <c r="AP730" s="77"/>
      <c r="AQ730" s="77"/>
      <c r="AR730" s="77"/>
      <c r="AS730" s="77"/>
      <c r="AT730" s="77"/>
      <c r="AU730" s="77"/>
      <c r="AV730" s="83" t="str">
        <f>HYPERLINK("https://pbs.twimg.com/profile_images/1686834655801024512/sVEKXAB3_normal.jpg")</f>
        <v>https://pbs.twimg.com/profile_images/1686834655801024512/sVEKXAB3_normal.jpg</v>
      </c>
      <c r="AW730" s="80" t="s">
        <v>16679</v>
      </c>
      <c r="AX730" s="80" t="s">
        <v>16679</v>
      </c>
      <c r="AY730" s="77"/>
      <c r="AZ730" s="80" t="s">
        <v>20380</v>
      </c>
      <c r="BA730" s="80" t="s">
        <v>20380</v>
      </c>
      <c r="BB730" s="80" t="s">
        <v>20380</v>
      </c>
      <c r="BC730" s="80" t="s">
        <v>16679</v>
      </c>
      <c r="BD730" s="77">
        <v>568494327</v>
      </c>
      <c r="BE730" s="77"/>
      <c r="BF730" s="77"/>
      <c r="BG730" s="77"/>
      <c r="BH730" s="77"/>
      <c r="BI730" s="77"/>
    </row>
    <row r="731" spans="1:61" x14ac:dyDescent="0.25">
      <c r="A731" s="62" t="s">
        <v>510</v>
      </c>
      <c r="B731" s="62" t="s">
        <v>510</v>
      </c>
      <c r="C731" s="63"/>
      <c r="D731" s="64"/>
      <c r="E731" s="65"/>
      <c r="F731" s="66"/>
      <c r="G731" s="63"/>
      <c r="H731" s="67"/>
      <c r="I731" s="68"/>
      <c r="J731" s="68"/>
      <c r="K731" s="32"/>
      <c r="L731" s="75">
        <v>731</v>
      </c>
      <c r="M731" s="75"/>
      <c r="N731" s="70"/>
      <c r="O731" s="77" t="s">
        <v>179</v>
      </c>
      <c r="P731" s="79">
        <v>45134.506851851853</v>
      </c>
      <c r="Q731" s="77" t="s">
        <v>2725</v>
      </c>
      <c r="R731" s="77">
        <v>0</v>
      </c>
      <c r="S731" s="77">
        <v>0</v>
      </c>
      <c r="T731" s="77">
        <v>0</v>
      </c>
      <c r="U731" s="77">
        <v>0</v>
      </c>
      <c r="V731" s="77">
        <v>30</v>
      </c>
      <c r="W731" s="80" t="s">
        <v>6420</v>
      </c>
      <c r="X731" s="83" t="str">
        <f>HYPERLINK("https://diputadosbsas.com.ar/banco-central-encuesta-de-inflacion-post-paso/")</f>
        <v>https://diputadosbsas.com.ar/banco-central-encuesta-de-inflacion-post-paso/</v>
      </c>
      <c r="Y731" s="77" t="s">
        <v>8624</v>
      </c>
      <c r="Z731" s="77"/>
      <c r="AA731" s="77"/>
      <c r="AB731" s="77"/>
      <c r="AC731" s="80" t="s">
        <v>10540</v>
      </c>
      <c r="AD731" s="77" t="s">
        <v>10620</v>
      </c>
      <c r="AE731" s="83" t="str">
        <f>HYPERLINK("https://twitter.com/dipbonaerenses/status/1684536580000583688")</f>
        <v>https://twitter.com/dipbonaerenses/status/1684536580000583688</v>
      </c>
      <c r="AF731" s="79">
        <v>45134.506851851853</v>
      </c>
      <c r="AG731" s="85">
        <v>45134</v>
      </c>
      <c r="AH731" s="80" t="s">
        <v>11288</v>
      </c>
      <c r="AI731" s="77" t="b">
        <v>0</v>
      </c>
      <c r="AJ731" s="77"/>
      <c r="AK731" s="77"/>
      <c r="AL731" s="77"/>
      <c r="AM731" s="77"/>
      <c r="AN731" s="77"/>
      <c r="AO731" s="77"/>
      <c r="AP731" s="77"/>
      <c r="AQ731" s="77"/>
      <c r="AR731" s="77"/>
      <c r="AS731" s="77"/>
      <c r="AT731" s="77"/>
      <c r="AU731" s="77"/>
      <c r="AV731" s="83" t="str">
        <f>HYPERLINK("https://pbs.twimg.com/profile_images/1546459673259393027/ygnGbDsQ_normal.jpg")</f>
        <v>https://pbs.twimg.com/profile_images/1546459673259393027/ygnGbDsQ_normal.jpg</v>
      </c>
      <c r="AW731" s="80" t="s">
        <v>16680</v>
      </c>
      <c r="AX731" s="80" t="s">
        <v>16680</v>
      </c>
      <c r="AY731" s="77"/>
      <c r="AZ731" s="80" t="s">
        <v>20380</v>
      </c>
      <c r="BA731" s="80" t="s">
        <v>20380</v>
      </c>
      <c r="BB731" s="80" t="s">
        <v>20380</v>
      </c>
      <c r="BC731" s="80" t="s">
        <v>16680</v>
      </c>
      <c r="BD731" s="80" t="s">
        <v>20636</v>
      </c>
      <c r="BE731" s="77"/>
      <c r="BF731" s="77"/>
      <c r="BG731" s="77"/>
      <c r="BH731" s="77"/>
      <c r="BI731" s="77"/>
    </row>
    <row r="732" spans="1:61" x14ac:dyDescent="0.25">
      <c r="A732" s="62" t="s">
        <v>511</v>
      </c>
      <c r="B732" s="62" t="s">
        <v>1681</v>
      </c>
      <c r="C732" s="63"/>
      <c r="D732" s="64"/>
      <c r="E732" s="65"/>
      <c r="F732" s="66"/>
      <c r="G732" s="63"/>
      <c r="H732" s="67"/>
      <c r="I732" s="68"/>
      <c r="J732" s="68"/>
      <c r="K732" s="32"/>
      <c r="L732" s="75">
        <v>732</v>
      </c>
      <c r="M732" s="75"/>
      <c r="N732" s="70"/>
      <c r="O732" s="77" t="s">
        <v>2083</v>
      </c>
      <c r="P732" s="79">
        <v>45189.880983796298</v>
      </c>
      <c r="Q732" s="77" t="s">
        <v>2237</v>
      </c>
      <c r="R732" s="77">
        <v>18</v>
      </c>
      <c r="S732" s="77">
        <v>0</v>
      </c>
      <c r="T732" s="77">
        <v>0</v>
      </c>
      <c r="U732" s="77">
        <v>0</v>
      </c>
      <c r="V732" s="77"/>
      <c r="W732" s="80" t="s">
        <v>6018</v>
      </c>
      <c r="X732" s="77"/>
      <c r="Y732" s="77"/>
      <c r="Z732" s="77" t="s">
        <v>1681</v>
      </c>
      <c r="AA732" s="77"/>
      <c r="AB732" s="77"/>
      <c r="AC732" s="80" t="s">
        <v>10540</v>
      </c>
      <c r="AD732" s="77" t="s">
        <v>10617</v>
      </c>
      <c r="AE732" s="83" t="str">
        <f>HYPERLINK("https://twitter.com/gaylulista13/status/1704603494416621993")</f>
        <v>https://twitter.com/gaylulista13/status/1704603494416621993</v>
      </c>
      <c r="AF732" s="79">
        <v>45189.880983796298</v>
      </c>
      <c r="AG732" s="85">
        <v>45189</v>
      </c>
      <c r="AH732" s="80" t="s">
        <v>11289</v>
      </c>
      <c r="AI732" s="77"/>
      <c r="AJ732" s="77"/>
      <c r="AK732" s="77"/>
      <c r="AL732" s="77"/>
      <c r="AM732" s="77"/>
      <c r="AN732" s="77"/>
      <c r="AO732" s="77"/>
      <c r="AP732" s="77"/>
      <c r="AQ732" s="77"/>
      <c r="AR732" s="77"/>
      <c r="AS732" s="77"/>
      <c r="AT732" s="77"/>
      <c r="AU732" s="77"/>
      <c r="AV732" s="83" t="str">
        <f>HYPERLINK("https://pbs.twimg.com/profile_images/1602463421445902336/yYPkHWoK_normal.jpg")</f>
        <v>https://pbs.twimg.com/profile_images/1602463421445902336/yYPkHWoK_normal.jpg</v>
      </c>
      <c r="AW732" s="80" t="s">
        <v>16681</v>
      </c>
      <c r="AX732" s="80" t="s">
        <v>16681</v>
      </c>
      <c r="AY732" s="77"/>
      <c r="AZ732" s="80" t="s">
        <v>20380</v>
      </c>
      <c r="BA732" s="80" t="s">
        <v>20380</v>
      </c>
      <c r="BB732" s="80" t="s">
        <v>19932</v>
      </c>
      <c r="BC732" s="80" t="s">
        <v>19932</v>
      </c>
      <c r="BD732" s="80" t="s">
        <v>20637</v>
      </c>
      <c r="BE732" s="77"/>
      <c r="BF732" s="77"/>
      <c r="BG732" s="77"/>
      <c r="BH732" s="77"/>
      <c r="BI732" s="77"/>
    </row>
    <row r="733" spans="1:61" x14ac:dyDescent="0.25">
      <c r="A733" s="62" t="s">
        <v>512</v>
      </c>
      <c r="B733" s="62" t="s">
        <v>512</v>
      </c>
      <c r="C733" s="63"/>
      <c r="D733" s="64"/>
      <c r="E733" s="65"/>
      <c r="F733" s="66"/>
      <c r="G733" s="63"/>
      <c r="H733" s="67"/>
      <c r="I733" s="68"/>
      <c r="J733" s="68"/>
      <c r="K733" s="32"/>
      <c r="L733" s="75">
        <v>733</v>
      </c>
      <c r="M733" s="75"/>
      <c r="N733" s="70"/>
      <c r="O733" s="77" t="s">
        <v>179</v>
      </c>
      <c r="P733" s="79">
        <v>45059.082326388889</v>
      </c>
      <c r="Q733" s="77" t="s">
        <v>2726</v>
      </c>
      <c r="R733" s="77">
        <v>0</v>
      </c>
      <c r="S733" s="77">
        <v>0</v>
      </c>
      <c r="T733" s="77">
        <v>0</v>
      </c>
      <c r="U733" s="77">
        <v>0</v>
      </c>
      <c r="V733" s="77">
        <v>178</v>
      </c>
      <c r="W733" s="80" t="s">
        <v>6421</v>
      </c>
      <c r="X733" s="77"/>
      <c r="Y733" s="77"/>
      <c r="Z733" s="77"/>
      <c r="AA733" s="77"/>
      <c r="AB733" s="77"/>
      <c r="AC733" s="80" t="s">
        <v>10542</v>
      </c>
      <c r="AD733" s="77" t="s">
        <v>10620</v>
      </c>
      <c r="AE733" s="83" t="str">
        <f>HYPERLINK("https://twitter.com/osmelernesto/status/1657203647652978689")</f>
        <v>https://twitter.com/osmelernesto/status/1657203647652978689</v>
      </c>
      <c r="AF733" s="79">
        <v>45059.082326388889</v>
      </c>
      <c r="AG733" s="85">
        <v>45059</v>
      </c>
      <c r="AH733" s="80" t="s">
        <v>11290</v>
      </c>
      <c r="AI733" s="77"/>
      <c r="AJ733" s="77" t="s">
        <v>14349</v>
      </c>
      <c r="AK733" s="77" t="s">
        <v>14386</v>
      </c>
      <c r="AL733" s="77" t="s">
        <v>14395</v>
      </c>
      <c r="AM733" s="77" t="s">
        <v>14406</v>
      </c>
      <c r="AN733" s="77" t="s">
        <v>14446</v>
      </c>
      <c r="AO733" s="77" t="s">
        <v>14485</v>
      </c>
      <c r="AP733" s="77" t="s">
        <v>14516</v>
      </c>
      <c r="AQ733" s="77"/>
      <c r="AR733" s="77"/>
      <c r="AS733" s="77"/>
      <c r="AT733" s="77"/>
      <c r="AU733" s="77"/>
      <c r="AV733" s="83" t="str">
        <f>HYPERLINK("https://pbs.twimg.com/profile_images/1635921545007710214/FGd4EiP2_normal.jpg")</f>
        <v>https://pbs.twimg.com/profile_images/1635921545007710214/FGd4EiP2_normal.jpg</v>
      </c>
      <c r="AW733" s="80" t="s">
        <v>16682</v>
      </c>
      <c r="AX733" s="80" t="s">
        <v>16682</v>
      </c>
      <c r="AY733" s="77"/>
      <c r="AZ733" s="80" t="s">
        <v>20380</v>
      </c>
      <c r="BA733" s="80" t="s">
        <v>20380</v>
      </c>
      <c r="BB733" s="80" t="s">
        <v>20380</v>
      </c>
      <c r="BC733" s="80" t="s">
        <v>16682</v>
      </c>
      <c r="BD733" s="80" t="s">
        <v>20638</v>
      </c>
      <c r="BE733" s="77"/>
      <c r="BF733" s="77"/>
      <c r="BG733" s="77"/>
      <c r="BH733" s="77"/>
      <c r="BI733" s="77"/>
    </row>
    <row r="734" spans="1:61" x14ac:dyDescent="0.25">
      <c r="A734" s="62" t="s">
        <v>513</v>
      </c>
      <c r="B734" s="62" t="s">
        <v>1504</v>
      </c>
      <c r="C734" s="63"/>
      <c r="D734" s="64"/>
      <c r="E734" s="65"/>
      <c r="F734" s="66"/>
      <c r="G734" s="63"/>
      <c r="H734" s="67"/>
      <c r="I734" s="68"/>
      <c r="J734" s="68"/>
      <c r="K734" s="32"/>
      <c r="L734" s="75">
        <v>734</v>
      </c>
      <c r="M734" s="75"/>
      <c r="N734" s="70"/>
      <c r="O734" s="77" t="s">
        <v>2084</v>
      </c>
      <c r="P734" s="79">
        <v>45161.752500000002</v>
      </c>
      <c r="Q734" s="77" t="s">
        <v>2727</v>
      </c>
      <c r="R734" s="77">
        <v>0</v>
      </c>
      <c r="S734" s="77">
        <v>1</v>
      </c>
      <c r="T734" s="77">
        <v>0</v>
      </c>
      <c r="U734" s="77">
        <v>0</v>
      </c>
      <c r="V734" s="77">
        <v>38</v>
      </c>
      <c r="W734" s="80" t="s">
        <v>6422</v>
      </c>
      <c r="X734" s="77"/>
      <c r="Y734" s="77"/>
      <c r="Z734" s="77" t="s">
        <v>1504</v>
      </c>
      <c r="AA734" s="77" t="s">
        <v>9250</v>
      </c>
      <c r="AB734" s="77" t="s">
        <v>10536</v>
      </c>
      <c r="AC734" s="80" t="s">
        <v>10540</v>
      </c>
      <c r="AD734" s="77" t="s">
        <v>10620</v>
      </c>
      <c r="AE734" s="83" t="str">
        <f>HYPERLINK("https://twitter.com/facucaza/status/1694410073575952735")</f>
        <v>https://twitter.com/facucaza/status/1694410073575952735</v>
      </c>
      <c r="AF734" s="79">
        <v>45161.752500000002</v>
      </c>
      <c r="AG734" s="85">
        <v>45161</v>
      </c>
      <c r="AH734" s="80" t="s">
        <v>11291</v>
      </c>
      <c r="AI734" s="77" t="b">
        <v>0</v>
      </c>
      <c r="AJ734" s="77"/>
      <c r="AK734" s="77"/>
      <c r="AL734" s="77"/>
      <c r="AM734" s="77"/>
      <c r="AN734" s="77"/>
      <c r="AO734" s="77"/>
      <c r="AP734" s="77"/>
      <c r="AQ734" s="77" t="s">
        <v>14732</v>
      </c>
      <c r="AR734" s="77"/>
      <c r="AS734" s="77"/>
      <c r="AT734" s="77"/>
      <c r="AU734" s="77"/>
      <c r="AV734" s="83" t="str">
        <f>HYPERLINK("https://pbs.twimg.com/media/F4PA-mhXkAEMR12.jpg")</f>
        <v>https://pbs.twimg.com/media/F4PA-mhXkAEMR12.jpg</v>
      </c>
      <c r="AW734" s="80" t="s">
        <v>16683</v>
      </c>
      <c r="AX734" s="80" t="s">
        <v>16683</v>
      </c>
      <c r="AY734" s="77"/>
      <c r="AZ734" s="80" t="s">
        <v>20380</v>
      </c>
      <c r="BA734" s="80" t="s">
        <v>19445</v>
      </c>
      <c r="BB734" s="80" t="s">
        <v>20380</v>
      </c>
      <c r="BC734" s="80" t="s">
        <v>19445</v>
      </c>
      <c r="BD734" s="80" t="s">
        <v>20639</v>
      </c>
      <c r="BE734" s="77"/>
      <c r="BF734" s="77"/>
      <c r="BG734" s="77"/>
      <c r="BH734" s="77"/>
      <c r="BI734" s="77"/>
    </row>
    <row r="735" spans="1:61" x14ac:dyDescent="0.25">
      <c r="A735" s="62" t="s">
        <v>513</v>
      </c>
      <c r="B735" s="62" t="s">
        <v>1504</v>
      </c>
      <c r="C735" s="63"/>
      <c r="D735" s="64"/>
      <c r="E735" s="65"/>
      <c r="F735" s="66"/>
      <c r="G735" s="63"/>
      <c r="H735" s="67"/>
      <c r="I735" s="68"/>
      <c r="J735" s="68"/>
      <c r="K735" s="32"/>
      <c r="L735" s="75">
        <v>735</v>
      </c>
      <c r="M735" s="75"/>
      <c r="N735" s="70"/>
      <c r="O735" s="77" t="s">
        <v>2082</v>
      </c>
      <c r="P735" s="79">
        <v>45161.752500000002</v>
      </c>
      <c r="Q735" s="77" t="s">
        <v>2727</v>
      </c>
      <c r="R735" s="77">
        <v>0</v>
      </c>
      <c r="S735" s="77">
        <v>1</v>
      </c>
      <c r="T735" s="77">
        <v>0</v>
      </c>
      <c r="U735" s="77">
        <v>0</v>
      </c>
      <c r="V735" s="77">
        <v>38</v>
      </c>
      <c r="W735" s="80" t="s">
        <v>6422</v>
      </c>
      <c r="X735" s="77"/>
      <c r="Y735" s="77"/>
      <c r="Z735" s="77" t="s">
        <v>1504</v>
      </c>
      <c r="AA735" s="77" t="s">
        <v>9250</v>
      </c>
      <c r="AB735" s="77" t="s">
        <v>10536</v>
      </c>
      <c r="AC735" s="80" t="s">
        <v>10540</v>
      </c>
      <c r="AD735" s="77" t="s">
        <v>10620</v>
      </c>
      <c r="AE735" s="83" t="str">
        <f>HYPERLINK("https://twitter.com/facucaza/status/1694410073575952735")</f>
        <v>https://twitter.com/facucaza/status/1694410073575952735</v>
      </c>
      <c r="AF735" s="79">
        <v>45161.752500000002</v>
      </c>
      <c r="AG735" s="85">
        <v>45161</v>
      </c>
      <c r="AH735" s="80" t="s">
        <v>11291</v>
      </c>
      <c r="AI735" s="77" t="b">
        <v>0</v>
      </c>
      <c r="AJ735" s="77"/>
      <c r="AK735" s="77"/>
      <c r="AL735" s="77"/>
      <c r="AM735" s="77"/>
      <c r="AN735" s="77"/>
      <c r="AO735" s="77"/>
      <c r="AP735" s="77"/>
      <c r="AQ735" s="77" t="s">
        <v>14732</v>
      </c>
      <c r="AR735" s="77"/>
      <c r="AS735" s="77"/>
      <c r="AT735" s="77"/>
      <c r="AU735" s="77"/>
      <c r="AV735" s="83" t="str">
        <f>HYPERLINK("https://pbs.twimg.com/media/F4PA-mhXkAEMR12.jpg")</f>
        <v>https://pbs.twimg.com/media/F4PA-mhXkAEMR12.jpg</v>
      </c>
      <c r="AW735" s="80" t="s">
        <v>16683</v>
      </c>
      <c r="AX735" s="80" t="s">
        <v>16683</v>
      </c>
      <c r="AY735" s="77"/>
      <c r="AZ735" s="80" t="s">
        <v>20380</v>
      </c>
      <c r="BA735" s="80" t="s">
        <v>19445</v>
      </c>
      <c r="BB735" s="80" t="s">
        <v>20380</v>
      </c>
      <c r="BC735" s="80" t="s">
        <v>19445</v>
      </c>
      <c r="BD735" s="80" t="s">
        <v>20639</v>
      </c>
      <c r="BE735" s="77"/>
      <c r="BF735" s="77"/>
      <c r="BG735" s="77"/>
      <c r="BH735" s="77"/>
      <c r="BI735" s="77"/>
    </row>
    <row r="736" spans="1:61" x14ac:dyDescent="0.25">
      <c r="A736" s="62" t="s">
        <v>514</v>
      </c>
      <c r="B736" s="62" t="s">
        <v>514</v>
      </c>
      <c r="C736" s="63"/>
      <c r="D736" s="64"/>
      <c r="E736" s="65"/>
      <c r="F736" s="66"/>
      <c r="G736" s="63"/>
      <c r="H736" s="67"/>
      <c r="I736" s="68"/>
      <c r="J736" s="68"/>
      <c r="K736" s="32"/>
      <c r="L736" s="75">
        <v>736</v>
      </c>
      <c r="M736" s="75"/>
      <c r="N736" s="70"/>
      <c r="O736" s="77" t="s">
        <v>179</v>
      </c>
      <c r="P736" s="79">
        <v>45149.955069444448</v>
      </c>
      <c r="Q736" s="77" t="s">
        <v>2728</v>
      </c>
      <c r="R736" s="77">
        <v>0</v>
      </c>
      <c r="S736" s="77">
        <v>0</v>
      </c>
      <c r="T736" s="77">
        <v>1</v>
      </c>
      <c r="U736" s="77">
        <v>0</v>
      </c>
      <c r="V736" s="77">
        <v>34</v>
      </c>
      <c r="W736" s="80" t="s">
        <v>6423</v>
      </c>
      <c r="X736" s="77"/>
      <c r="Y736" s="77"/>
      <c r="Z736" s="77"/>
      <c r="AA736" s="77" t="s">
        <v>9251</v>
      </c>
      <c r="AB736" s="77" t="s">
        <v>10537</v>
      </c>
      <c r="AC736" s="80" t="s">
        <v>10542</v>
      </c>
      <c r="AD736" s="77" t="s">
        <v>10617</v>
      </c>
      <c r="AE736" s="83" t="str">
        <f>HYPERLINK("https://twitter.com/quecontaee/status/1690134828258058240")</f>
        <v>https://twitter.com/quecontaee/status/1690134828258058240</v>
      </c>
      <c r="AF736" s="79">
        <v>45149.955069444448</v>
      </c>
      <c r="AG736" s="85">
        <v>45149</v>
      </c>
      <c r="AH736" s="80" t="s">
        <v>11292</v>
      </c>
      <c r="AI736" s="77" t="b">
        <v>0</v>
      </c>
      <c r="AJ736" s="77"/>
      <c r="AK736" s="77"/>
      <c r="AL736" s="77"/>
      <c r="AM736" s="77"/>
      <c r="AN736" s="77"/>
      <c r="AO736" s="77"/>
      <c r="AP736" s="77"/>
      <c r="AQ736" s="77" t="s">
        <v>14733</v>
      </c>
      <c r="AR736" s="77"/>
      <c r="AS736" s="77"/>
      <c r="AT736" s="77"/>
      <c r="AU736" s="77"/>
      <c r="AV736" s="83" t="str">
        <f>HYPERLINK("https://pbs.twimg.com/media/F3SQqwcXkAESqS9.jpg")</f>
        <v>https://pbs.twimg.com/media/F3SQqwcXkAESqS9.jpg</v>
      </c>
      <c r="AW736" s="80" t="s">
        <v>16684</v>
      </c>
      <c r="AX736" s="80" t="s">
        <v>16684</v>
      </c>
      <c r="AY736" s="77"/>
      <c r="AZ736" s="80" t="s">
        <v>20380</v>
      </c>
      <c r="BA736" s="80" t="s">
        <v>20380</v>
      </c>
      <c r="BB736" s="80" t="s">
        <v>20380</v>
      </c>
      <c r="BC736" s="80" t="s">
        <v>16684</v>
      </c>
      <c r="BD736" s="80" t="s">
        <v>20640</v>
      </c>
      <c r="BE736" s="77"/>
      <c r="BF736" s="77"/>
      <c r="BG736" s="77"/>
      <c r="BH736" s="77"/>
      <c r="BI736" s="77"/>
    </row>
    <row r="737" spans="1:61" x14ac:dyDescent="0.25">
      <c r="A737" s="62" t="s">
        <v>514</v>
      </c>
      <c r="B737" s="62" t="s">
        <v>514</v>
      </c>
      <c r="C737" s="63"/>
      <c r="D737" s="64"/>
      <c r="E737" s="65"/>
      <c r="F737" s="66"/>
      <c r="G737" s="63"/>
      <c r="H737" s="67"/>
      <c r="I737" s="68"/>
      <c r="J737" s="68"/>
      <c r="K737" s="32"/>
      <c r="L737" s="75">
        <v>737</v>
      </c>
      <c r="M737" s="75"/>
      <c r="N737" s="70"/>
      <c r="O737" s="77" t="s">
        <v>179</v>
      </c>
      <c r="P737" s="79">
        <v>45153.972245370373</v>
      </c>
      <c r="Q737" s="77" t="s">
        <v>2729</v>
      </c>
      <c r="R737" s="77">
        <v>0</v>
      </c>
      <c r="S737" s="77">
        <v>0</v>
      </c>
      <c r="T737" s="77">
        <v>0</v>
      </c>
      <c r="U737" s="77">
        <v>0</v>
      </c>
      <c r="V737" s="77">
        <v>32</v>
      </c>
      <c r="W737" s="80" t="s">
        <v>6424</v>
      </c>
      <c r="X737" s="77"/>
      <c r="Y737" s="77"/>
      <c r="Z737" s="77"/>
      <c r="AA737" s="77" t="s">
        <v>9252</v>
      </c>
      <c r="AB737" s="77" t="s">
        <v>10535</v>
      </c>
      <c r="AC737" s="80" t="s">
        <v>10542</v>
      </c>
      <c r="AD737" s="77" t="s">
        <v>10617</v>
      </c>
      <c r="AE737" s="83" t="str">
        <f>HYPERLINK("https://twitter.com/quecontaee/status/1691590601483927860")</f>
        <v>https://twitter.com/quecontaee/status/1691590601483927860</v>
      </c>
      <c r="AF737" s="79">
        <v>45153.972245370373</v>
      </c>
      <c r="AG737" s="85">
        <v>45153</v>
      </c>
      <c r="AH737" s="80" t="s">
        <v>11293</v>
      </c>
      <c r="AI737" s="77" t="b">
        <v>0</v>
      </c>
      <c r="AJ737" s="77"/>
      <c r="AK737" s="77"/>
      <c r="AL737" s="77"/>
      <c r="AM737" s="77"/>
      <c r="AN737" s="77"/>
      <c r="AO737" s="77"/>
      <c r="AP737" s="77"/>
      <c r="AQ737" s="77" t="s">
        <v>14734</v>
      </c>
      <c r="AR737" s="77"/>
      <c r="AS737" s="77"/>
      <c r="AT737" s="77"/>
      <c r="AU737" s="77"/>
      <c r="AV737" s="83" t="str">
        <f>HYPERLINK("https://pbs.twimg.com/media/F3m8r54XcAAuHnT.jpg")</f>
        <v>https://pbs.twimg.com/media/F3m8r54XcAAuHnT.jpg</v>
      </c>
      <c r="AW737" s="80" t="s">
        <v>16685</v>
      </c>
      <c r="AX737" s="80" t="s">
        <v>16685</v>
      </c>
      <c r="AY737" s="77"/>
      <c r="AZ737" s="80" t="s">
        <v>20380</v>
      </c>
      <c r="BA737" s="80" t="s">
        <v>20380</v>
      </c>
      <c r="BB737" s="80" t="s">
        <v>20380</v>
      </c>
      <c r="BC737" s="80" t="s">
        <v>16685</v>
      </c>
      <c r="BD737" s="80" t="s">
        <v>20640</v>
      </c>
      <c r="BE737" s="77"/>
      <c r="BF737" s="77"/>
      <c r="BG737" s="77"/>
      <c r="BH737" s="77"/>
      <c r="BI737" s="77"/>
    </row>
    <row r="738" spans="1:61" x14ac:dyDescent="0.25">
      <c r="A738" s="62" t="s">
        <v>515</v>
      </c>
      <c r="B738" s="62" t="s">
        <v>1780</v>
      </c>
      <c r="C738" s="63"/>
      <c r="D738" s="64"/>
      <c r="E738" s="65"/>
      <c r="F738" s="66"/>
      <c r="G738" s="63"/>
      <c r="H738" s="67"/>
      <c r="I738" s="68"/>
      <c r="J738" s="68"/>
      <c r="K738" s="32"/>
      <c r="L738" s="75">
        <v>738</v>
      </c>
      <c r="M738" s="75"/>
      <c r="N738" s="70"/>
      <c r="O738" s="77" t="s">
        <v>2078</v>
      </c>
      <c r="P738" s="79">
        <v>45086.094004629631</v>
      </c>
      <c r="Q738" s="77" t="s">
        <v>2730</v>
      </c>
      <c r="R738" s="77">
        <v>1</v>
      </c>
      <c r="S738" s="77">
        <v>4</v>
      </c>
      <c r="T738" s="77">
        <v>0</v>
      </c>
      <c r="U738" s="77">
        <v>0</v>
      </c>
      <c r="V738" s="77">
        <v>119</v>
      </c>
      <c r="W738" s="80" t="s">
        <v>6425</v>
      </c>
      <c r="X738" s="77"/>
      <c r="Y738" s="77"/>
      <c r="Z738" s="77" t="s">
        <v>1780</v>
      </c>
      <c r="AA738" s="77"/>
      <c r="AB738" s="77"/>
      <c r="AC738" s="80" t="s">
        <v>10541</v>
      </c>
      <c r="AD738" s="77" t="s">
        <v>10620</v>
      </c>
      <c r="AE738" s="83" t="str">
        <f>HYPERLINK("https://twitter.com/vbgaikon/status/1666992351112208387")</f>
        <v>https://twitter.com/vbgaikon/status/1666992351112208387</v>
      </c>
      <c r="AF738" s="79">
        <v>45086.094004629631</v>
      </c>
      <c r="AG738" s="85">
        <v>45086</v>
      </c>
      <c r="AH738" s="80" t="s">
        <v>11294</v>
      </c>
      <c r="AI738" s="77"/>
      <c r="AJ738" s="77"/>
      <c r="AK738" s="77"/>
      <c r="AL738" s="77"/>
      <c r="AM738" s="77"/>
      <c r="AN738" s="77"/>
      <c r="AO738" s="77"/>
      <c r="AP738" s="77"/>
      <c r="AQ738" s="77"/>
      <c r="AR738" s="77"/>
      <c r="AS738" s="77"/>
      <c r="AT738" s="77"/>
      <c r="AU738" s="77"/>
      <c r="AV738" s="83" t="str">
        <f>HYPERLINK("https://pbs.twimg.com/profile_images/1686928093028483072/AbAnmWfe_normal.jpg")</f>
        <v>https://pbs.twimg.com/profile_images/1686928093028483072/AbAnmWfe_normal.jpg</v>
      </c>
      <c r="AW738" s="80" t="s">
        <v>16686</v>
      </c>
      <c r="AX738" s="80" t="s">
        <v>19994</v>
      </c>
      <c r="AY738" s="80" t="s">
        <v>20248</v>
      </c>
      <c r="AZ738" s="80" t="s">
        <v>19994</v>
      </c>
      <c r="BA738" s="80" t="s">
        <v>20380</v>
      </c>
      <c r="BB738" s="80" t="s">
        <v>20380</v>
      </c>
      <c r="BC738" s="80" t="s">
        <v>19994</v>
      </c>
      <c r="BD738" s="77">
        <v>749346631</v>
      </c>
      <c r="BE738" s="77"/>
      <c r="BF738" s="77"/>
      <c r="BG738" s="77"/>
      <c r="BH738" s="77"/>
      <c r="BI738" s="77"/>
    </row>
    <row r="739" spans="1:61" x14ac:dyDescent="0.25">
      <c r="A739" s="62" t="s">
        <v>516</v>
      </c>
      <c r="B739" s="62" t="s">
        <v>1781</v>
      </c>
      <c r="C739" s="63"/>
      <c r="D739" s="64"/>
      <c r="E739" s="65"/>
      <c r="F739" s="66"/>
      <c r="G739" s="63"/>
      <c r="H739" s="67"/>
      <c r="I739" s="68"/>
      <c r="J739" s="68"/>
      <c r="K739" s="32"/>
      <c r="L739" s="75">
        <v>739</v>
      </c>
      <c r="M739" s="75"/>
      <c r="N739" s="70"/>
      <c r="O739" s="77" t="s">
        <v>2081</v>
      </c>
      <c r="P739" s="79">
        <v>45085.577962962961</v>
      </c>
      <c r="Q739" s="77" t="s">
        <v>2731</v>
      </c>
      <c r="R739" s="77">
        <v>0</v>
      </c>
      <c r="S739" s="77">
        <v>4</v>
      </c>
      <c r="T739" s="77">
        <v>0</v>
      </c>
      <c r="U739" s="77">
        <v>0</v>
      </c>
      <c r="V739" s="77">
        <v>215</v>
      </c>
      <c r="W739" s="80" t="s">
        <v>6426</v>
      </c>
      <c r="X739" s="83" t="str">
        <f>HYPERLINK("https://www.perfil.com/noticias/canal-e/hernan-madera-no-se-sabe-de-donde-esta-sacando-el-banco-central-los-dolares-para-intervenir-en-el-mercado-cambiario.phtml")</f>
        <v>https://www.perfil.com/noticias/canal-e/hernan-madera-no-se-sabe-de-donde-esta-sacando-el-banco-central-los-dolares-para-intervenir-en-el-mercado-cambiario.phtml</v>
      </c>
      <c r="Y739" s="77" t="s">
        <v>8615</v>
      </c>
      <c r="Z739" s="77" t="s">
        <v>8929</v>
      </c>
      <c r="AA739" s="77"/>
      <c r="AB739" s="77"/>
      <c r="AC739" s="80" t="s">
        <v>10541</v>
      </c>
      <c r="AD739" s="77" t="s">
        <v>10620</v>
      </c>
      <c r="AE739" s="83" t="str">
        <f>HYPERLINK("https://twitter.com/canaleconomico/status/1666805344889352196")</f>
        <v>https://twitter.com/canaleconomico/status/1666805344889352196</v>
      </c>
      <c r="AF739" s="79">
        <v>45085.577962962961</v>
      </c>
      <c r="AG739" s="85">
        <v>45085</v>
      </c>
      <c r="AH739" s="80" t="s">
        <v>11295</v>
      </c>
      <c r="AI739" s="77" t="b">
        <v>0</v>
      </c>
      <c r="AJ739" s="77"/>
      <c r="AK739" s="77"/>
      <c r="AL739" s="77"/>
      <c r="AM739" s="77"/>
      <c r="AN739" s="77"/>
      <c r="AO739" s="77"/>
      <c r="AP739" s="77"/>
      <c r="AQ739" s="77"/>
      <c r="AR739" s="77"/>
      <c r="AS739" s="77"/>
      <c r="AT739" s="77"/>
      <c r="AU739" s="77"/>
      <c r="AV739" s="83" t="str">
        <f>HYPERLINK("https://pbs.twimg.com/profile_images/1642663980597379074/Qtc8M2PG_normal.jpg")</f>
        <v>https://pbs.twimg.com/profile_images/1642663980597379074/Qtc8M2PG_normal.jpg</v>
      </c>
      <c r="AW739" s="80" t="s">
        <v>16687</v>
      </c>
      <c r="AX739" s="80" t="s">
        <v>16687</v>
      </c>
      <c r="AY739" s="77"/>
      <c r="AZ739" s="80" t="s">
        <v>20380</v>
      </c>
      <c r="BA739" s="80" t="s">
        <v>20380</v>
      </c>
      <c r="BB739" s="80" t="s">
        <v>20380</v>
      </c>
      <c r="BC739" s="80" t="s">
        <v>16687</v>
      </c>
      <c r="BD739" s="80" t="s">
        <v>20641</v>
      </c>
      <c r="BE739" s="77"/>
      <c r="BF739" s="77"/>
      <c r="BG739" s="77"/>
      <c r="BH739" s="77"/>
      <c r="BI739" s="77"/>
    </row>
    <row r="740" spans="1:61" x14ac:dyDescent="0.25">
      <c r="A740" s="62" t="s">
        <v>516</v>
      </c>
      <c r="B740" s="62" t="s">
        <v>1782</v>
      </c>
      <c r="C740" s="63"/>
      <c r="D740" s="64"/>
      <c r="E740" s="65"/>
      <c r="F740" s="66"/>
      <c r="G740" s="63"/>
      <c r="H740" s="67"/>
      <c r="I740" s="68"/>
      <c r="J740" s="68"/>
      <c r="K740" s="32"/>
      <c r="L740" s="75">
        <v>740</v>
      </c>
      <c r="M740" s="75"/>
      <c r="N740" s="70"/>
      <c r="O740" s="77" t="s">
        <v>2081</v>
      </c>
      <c r="P740" s="79">
        <v>45090.5625</v>
      </c>
      <c r="Q740" s="77" t="s">
        <v>2732</v>
      </c>
      <c r="R740" s="77">
        <v>2</v>
      </c>
      <c r="S740" s="77">
        <v>4</v>
      </c>
      <c r="T740" s="77">
        <v>1</v>
      </c>
      <c r="U740" s="77">
        <v>0</v>
      </c>
      <c r="V740" s="77">
        <v>575</v>
      </c>
      <c r="W740" s="80" t="s">
        <v>6427</v>
      </c>
      <c r="X740" s="83" t="str">
        <f>HYPERLINK("https://www.perfil.com/noticias/canal-e/aldo-abram-es-imposible-que-con-un-cepo-el-banco-central-recupere-las-divisas.phtml")</f>
        <v>https://www.perfil.com/noticias/canal-e/aldo-abram-es-imposible-que-con-un-cepo-el-banco-central-recupere-las-divisas.phtml</v>
      </c>
      <c r="Y740" s="77" t="s">
        <v>8615</v>
      </c>
      <c r="Z740" s="77" t="s">
        <v>8930</v>
      </c>
      <c r="AA740" s="77"/>
      <c r="AB740" s="77"/>
      <c r="AC740" s="80" t="s">
        <v>10541</v>
      </c>
      <c r="AD740" s="77" t="s">
        <v>10620</v>
      </c>
      <c r="AE740" s="83" t="str">
        <f>HYPERLINK("https://twitter.com/canaleconomico/status/1668611681033900032")</f>
        <v>https://twitter.com/canaleconomico/status/1668611681033900032</v>
      </c>
      <c r="AF740" s="79">
        <v>45090.5625</v>
      </c>
      <c r="AG740" s="85">
        <v>45090</v>
      </c>
      <c r="AH740" s="80" t="s">
        <v>11296</v>
      </c>
      <c r="AI740" s="77" t="b">
        <v>0</v>
      </c>
      <c r="AJ740" s="77"/>
      <c r="AK740" s="77"/>
      <c r="AL740" s="77"/>
      <c r="AM740" s="77"/>
      <c r="AN740" s="77"/>
      <c r="AO740" s="77"/>
      <c r="AP740" s="77"/>
      <c r="AQ740" s="77"/>
      <c r="AR740" s="77"/>
      <c r="AS740" s="77"/>
      <c r="AT740" s="77"/>
      <c r="AU740" s="77"/>
      <c r="AV740" s="83" t="str">
        <f>HYPERLINK("https://pbs.twimg.com/profile_images/1642663980597379074/Qtc8M2PG_normal.jpg")</f>
        <v>https://pbs.twimg.com/profile_images/1642663980597379074/Qtc8M2PG_normal.jpg</v>
      </c>
      <c r="AW740" s="80" t="s">
        <v>16688</v>
      </c>
      <c r="AX740" s="80" t="s">
        <v>16688</v>
      </c>
      <c r="AY740" s="77"/>
      <c r="AZ740" s="80" t="s">
        <v>20380</v>
      </c>
      <c r="BA740" s="80" t="s">
        <v>20380</v>
      </c>
      <c r="BB740" s="80" t="s">
        <v>20380</v>
      </c>
      <c r="BC740" s="80" t="s">
        <v>16688</v>
      </c>
      <c r="BD740" s="80" t="s">
        <v>20641</v>
      </c>
      <c r="BE740" s="77"/>
      <c r="BF740" s="77"/>
      <c r="BG740" s="77"/>
      <c r="BH740" s="77"/>
      <c r="BI740" s="77"/>
    </row>
    <row r="741" spans="1:61" x14ac:dyDescent="0.25">
      <c r="A741" s="62" t="s">
        <v>516</v>
      </c>
      <c r="B741" s="62" t="s">
        <v>1783</v>
      </c>
      <c r="C741" s="63"/>
      <c r="D741" s="64"/>
      <c r="E741" s="65"/>
      <c r="F741" s="66"/>
      <c r="G741" s="63"/>
      <c r="H741" s="67"/>
      <c r="I741" s="68"/>
      <c r="J741" s="68"/>
      <c r="K741" s="32"/>
      <c r="L741" s="75">
        <v>741</v>
      </c>
      <c r="M741" s="75"/>
      <c r="N741" s="70"/>
      <c r="O741" s="77" t="s">
        <v>2081</v>
      </c>
      <c r="P741" s="79">
        <v>45103.541666666664</v>
      </c>
      <c r="Q741" s="77" t="s">
        <v>2733</v>
      </c>
      <c r="R741" s="77">
        <v>2</v>
      </c>
      <c r="S741" s="77">
        <v>1</v>
      </c>
      <c r="T741" s="77">
        <v>0</v>
      </c>
      <c r="U741" s="77">
        <v>0</v>
      </c>
      <c r="V741" s="77">
        <v>2178</v>
      </c>
      <c r="W741" s="80" t="s">
        <v>6428</v>
      </c>
      <c r="X741" s="83" t="str">
        <f>HYPERLINK("https://www.perfil.com/noticias/canal-e/el-fmi-impulsa-una-plataforma-global-para-las-monedas-digitales-del-banco-central.phtml")</f>
        <v>https://www.perfil.com/noticias/canal-e/el-fmi-impulsa-una-plataforma-global-para-las-monedas-digitales-del-banco-central.phtml</v>
      </c>
      <c r="Y741" s="77" t="s">
        <v>8615</v>
      </c>
      <c r="Z741" s="77" t="s">
        <v>8931</v>
      </c>
      <c r="AA741" s="77"/>
      <c r="AB741" s="77"/>
      <c r="AC741" s="80" t="s">
        <v>10541</v>
      </c>
      <c r="AD741" s="77" t="s">
        <v>10620</v>
      </c>
      <c r="AE741" s="83" t="str">
        <f>HYPERLINK("https://twitter.com/canaleconomico/status/1673315171417329666")</f>
        <v>https://twitter.com/canaleconomico/status/1673315171417329666</v>
      </c>
      <c r="AF741" s="79">
        <v>45103.541666666664</v>
      </c>
      <c r="AG741" s="85">
        <v>45103</v>
      </c>
      <c r="AH741" s="80" t="s">
        <v>11297</v>
      </c>
      <c r="AI741" s="77" t="b">
        <v>0</v>
      </c>
      <c r="AJ741" s="77"/>
      <c r="AK741" s="77"/>
      <c r="AL741" s="77"/>
      <c r="AM741" s="77"/>
      <c r="AN741" s="77"/>
      <c r="AO741" s="77"/>
      <c r="AP741" s="77"/>
      <c r="AQ741" s="77"/>
      <c r="AR741" s="77"/>
      <c r="AS741" s="77"/>
      <c r="AT741" s="77"/>
      <c r="AU741" s="77"/>
      <c r="AV741" s="83" t="str">
        <f>HYPERLINK("https://pbs.twimg.com/profile_images/1642663980597379074/Qtc8M2PG_normal.jpg")</f>
        <v>https://pbs.twimg.com/profile_images/1642663980597379074/Qtc8M2PG_normal.jpg</v>
      </c>
      <c r="AW741" s="80" t="s">
        <v>16689</v>
      </c>
      <c r="AX741" s="80" t="s">
        <v>16689</v>
      </c>
      <c r="AY741" s="77"/>
      <c r="AZ741" s="80" t="s">
        <v>20380</v>
      </c>
      <c r="BA741" s="80" t="s">
        <v>20380</v>
      </c>
      <c r="BB741" s="80" t="s">
        <v>20380</v>
      </c>
      <c r="BC741" s="80" t="s">
        <v>16689</v>
      </c>
      <c r="BD741" s="80" t="s">
        <v>20641</v>
      </c>
      <c r="BE741" s="77"/>
      <c r="BF741" s="77"/>
      <c r="BG741" s="77"/>
      <c r="BH741" s="77"/>
      <c r="BI741" s="77"/>
    </row>
    <row r="742" spans="1:61" x14ac:dyDescent="0.25">
      <c r="A742" s="62" t="s">
        <v>516</v>
      </c>
      <c r="B742" s="62" t="s">
        <v>1783</v>
      </c>
      <c r="C742" s="63"/>
      <c r="D742" s="64"/>
      <c r="E742" s="65"/>
      <c r="F742" s="66"/>
      <c r="G742" s="63"/>
      <c r="H742" s="67"/>
      <c r="I742" s="68"/>
      <c r="J742" s="68"/>
      <c r="K742" s="32"/>
      <c r="L742" s="75">
        <v>742</v>
      </c>
      <c r="M742" s="75"/>
      <c r="N742" s="70"/>
      <c r="O742" s="77" t="s">
        <v>2081</v>
      </c>
      <c r="P742" s="79">
        <v>45105.520844907405</v>
      </c>
      <c r="Q742" s="77" t="s">
        <v>2734</v>
      </c>
      <c r="R742" s="77">
        <v>1</v>
      </c>
      <c r="S742" s="77">
        <v>1</v>
      </c>
      <c r="T742" s="77">
        <v>0</v>
      </c>
      <c r="U742" s="77">
        <v>0</v>
      </c>
      <c r="V742" s="77">
        <v>1615</v>
      </c>
      <c r="W742" s="80" t="s">
        <v>6429</v>
      </c>
      <c r="X742" s="83" t="str">
        <f>HYPERLINK("https://www.perfil.com/noticias/canal-e/el-banco-central-de-suiza-impulsa-una-nueva-moneda-digital-mayorista.phtml")</f>
        <v>https://www.perfil.com/noticias/canal-e/el-banco-central-de-suiza-impulsa-una-nueva-moneda-digital-mayorista.phtml</v>
      </c>
      <c r="Y742" s="77" t="s">
        <v>8615</v>
      </c>
      <c r="Z742" s="77" t="s">
        <v>8932</v>
      </c>
      <c r="AA742" s="77"/>
      <c r="AB742" s="77"/>
      <c r="AC742" s="80" t="s">
        <v>10541</v>
      </c>
      <c r="AD742" s="77" t="s">
        <v>10620</v>
      </c>
      <c r="AE742" s="83" t="str">
        <f>HYPERLINK("https://twitter.com/canaleconomico/status/1674032401704419328")</f>
        <v>https://twitter.com/canaleconomico/status/1674032401704419328</v>
      </c>
      <c r="AF742" s="79">
        <v>45105.520844907405</v>
      </c>
      <c r="AG742" s="85">
        <v>45105</v>
      </c>
      <c r="AH742" s="80" t="s">
        <v>11298</v>
      </c>
      <c r="AI742" s="77" t="b">
        <v>0</v>
      </c>
      <c r="AJ742" s="77"/>
      <c r="AK742" s="77"/>
      <c r="AL742" s="77"/>
      <c r="AM742" s="77"/>
      <c r="AN742" s="77"/>
      <c r="AO742" s="77"/>
      <c r="AP742" s="77"/>
      <c r="AQ742" s="77"/>
      <c r="AR742" s="77"/>
      <c r="AS742" s="77"/>
      <c r="AT742" s="77"/>
      <c r="AU742" s="77"/>
      <c r="AV742" s="83" t="str">
        <f>HYPERLINK("https://pbs.twimg.com/profile_images/1642663980597379074/Qtc8M2PG_normal.jpg")</f>
        <v>https://pbs.twimg.com/profile_images/1642663980597379074/Qtc8M2PG_normal.jpg</v>
      </c>
      <c r="AW742" s="80" t="s">
        <v>16690</v>
      </c>
      <c r="AX742" s="80" t="s">
        <v>16690</v>
      </c>
      <c r="AY742" s="77"/>
      <c r="AZ742" s="80" t="s">
        <v>20380</v>
      </c>
      <c r="BA742" s="80" t="s">
        <v>20380</v>
      </c>
      <c r="BB742" s="80" t="s">
        <v>20380</v>
      </c>
      <c r="BC742" s="80" t="s">
        <v>16690</v>
      </c>
      <c r="BD742" s="80" t="s">
        <v>20641</v>
      </c>
      <c r="BE742" s="77"/>
      <c r="BF742" s="77"/>
      <c r="BG742" s="77"/>
      <c r="BH742" s="77"/>
      <c r="BI742" s="77"/>
    </row>
    <row r="743" spans="1:61" x14ac:dyDescent="0.25">
      <c r="A743" s="62" t="s">
        <v>516</v>
      </c>
      <c r="B743" s="62" t="s">
        <v>1784</v>
      </c>
      <c r="C743" s="63"/>
      <c r="D743" s="64"/>
      <c r="E743" s="65"/>
      <c r="F743" s="66"/>
      <c r="G743" s="63"/>
      <c r="H743" s="67"/>
      <c r="I743" s="68"/>
      <c r="J743" s="68"/>
      <c r="K743" s="32"/>
      <c r="L743" s="75">
        <v>743</v>
      </c>
      <c r="M743" s="75"/>
      <c r="N743" s="70"/>
      <c r="O743" s="77" t="s">
        <v>2081</v>
      </c>
      <c r="P743" s="79">
        <v>45107.625011574077</v>
      </c>
      <c r="Q743" s="77" t="s">
        <v>2735</v>
      </c>
      <c r="R743" s="77">
        <v>3</v>
      </c>
      <c r="S743" s="77">
        <v>4</v>
      </c>
      <c r="T743" s="77">
        <v>1</v>
      </c>
      <c r="U743" s="77">
        <v>1</v>
      </c>
      <c r="V743" s="77">
        <v>2018</v>
      </c>
      <c r="W743" s="80" t="s">
        <v>6430</v>
      </c>
      <c r="X743" s="83" t="str">
        <f>HYPERLINK("https://www.perfil.com/noticias/canal-e/ariel-coremberg-no-sabemos-de-donde-vienen-los-dolares-que-esta-usando-el-banco-central-para-intervenir-el-mercado-cambiario.phtml")</f>
        <v>https://www.perfil.com/noticias/canal-e/ariel-coremberg-no-sabemos-de-donde-vienen-los-dolares-que-esta-usando-el-banco-central-para-intervenir-el-mercado-cambiario.phtml</v>
      </c>
      <c r="Y743" s="77" t="s">
        <v>8615</v>
      </c>
      <c r="Z743" s="77" t="s">
        <v>8933</v>
      </c>
      <c r="AA743" s="77"/>
      <c r="AB743" s="77"/>
      <c r="AC743" s="80" t="s">
        <v>10541</v>
      </c>
      <c r="AD743" s="77" t="s">
        <v>10620</v>
      </c>
      <c r="AE743" s="83" t="str">
        <f>HYPERLINK("https://twitter.com/canaleconomico/status/1674794927450992640")</f>
        <v>https://twitter.com/canaleconomico/status/1674794927450992640</v>
      </c>
      <c r="AF743" s="79">
        <v>45107.625011574077</v>
      </c>
      <c r="AG743" s="85">
        <v>45107</v>
      </c>
      <c r="AH743" s="80" t="s">
        <v>11299</v>
      </c>
      <c r="AI743" s="77" t="b">
        <v>0</v>
      </c>
      <c r="AJ743" s="77"/>
      <c r="AK743" s="77"/>
      <c r="AL743" s="77"/>
      <c r="AM743" s="77"/>
      <c r="AN743" s="77"/>
      <c r="AO743" s="77"/>
      <c r="AP743" s="77"/>
      <c r="AQ743" s="77"/>
      <c r="AR743" s="77"/>
      <c r="AS743" s="77"/>
      <c r="AT743" s="77"/>
      <c r="AU743" s="77"/>
      <c r="AV743" s="83" t="str">
        <f>HYPERLINK("https://pbs.twimg.com/profile_images/1642663980597379074/Qtc8M2PG_normal.jpg")</f>
        <v>https://pbs.twimg.com/profile_images/1642663980597379074/Qtc8M2PG_normal.jpg</v>
      </c>
      <c r="AW743" s="80" t="s">
        <v>16691</v>
      </c>
      <c r="AX743" s="80" t="s">
        <v>16691</v>
      </c>
      <c r="AY743" s="77"/>
      <c r="AZ743" s="80" t="s">
        <v>20380</v>
      </c>
      <c r="BA743" s="80" t="s">
        <v>20380</v>
      </c>
      <c r="BB743" s="80" t="s">
        <v>20380</v>
      </c>
      <c r="BC743" s="80" t="s">
        <v>16691</v>
      </c>
      <c r="BD743" s="80" t="s">
        <v>20641</v>
      </c>
      <c r="BE743" s="77"/>
      <c r="BF743" s="77"/>
      <c r="BG743" s="77"/>
      <c r="BH743" s="77"/>
      <c r="BI743" s="77"/>
    </row>
    <row r="744" spans="1:61" x14ac:dyDescent="0.25">
      <c r="A744" s="62" t="s">
        <v>516</v>
      </c>
      <c r="B744" s="62" t="s">
        <v>1785</v>
      </c>
      <c r="C744" s="63"/>
      <c r="D744" s="64"/>
      <c r="E744" s="65"/>
      <c r="F744" s="66"/>
      <c r="G744" s="63"/>
      <c r="H744" s="67"/>
      <c r="I744" s="68"/>
      <c r="J744" s="68"/>
      <c r="K744" s="32"/>
      <c r="L744" s="75">
        <v>744</v>
      </c>
      <c r="M744" s="75"/>
      <c r="N744" s="70"/>
      <c r="O744" s="77" t="s">
        <v>2081</v>
      </c>
      <c r="P744" s="79">
        <v>45103.541666666664</v>
      </c>
      <c r="Q744" s="77" t="s">
        <v>2733</v>
      </c>
      <c r="R744" s="77">
        <v>2</v>
      </c>
      <c r="S744" s="77">
        <v>1</v>
      </c>
      <c r="T744" s="77">
        <v>0</v>
      </c>
      <c r="U744" s="77">
        <v>0</v>
      </c>
      <c r="V744" s="77">
        <v>2178</v>
      </c>
      <c r="W744" s="80" t="s">
        <v>6428</v>
      </c>
      <c r="X744" s="83" t="str">
        <f>HYPERLINK("https://www.perfil.com/noticias/canal-e/el-fmi-impulsa-una-plataforma-global-para-las-monedas-digitales-del-banco-central.phtml")</f>
        <v>https://www.perfil.com/noticias/canal-e/el-fmi-impulsa-una-plataforma-global-para-las-monedas-digitales-del-banco-central.phtml</v>
      </c>
      <c r="Y744" s="77" t="s">
        <v>8615</v>
      </c>
      <c r="Z744" s="77" t="s">
        <v>8931</v>
      </c>
      <c r="AA744" s="77"/>
      <c r="AB744" s="77"/>
      <c r="AC744" s="80" t="s">
        <v>10541</v>
      </c>
      <c r="AD744" s="77" t="s">
        <v>10620</v>
      </c>
      <c r="AE744" s="83" t="str">
        <f>HYPERLINK("https://twitter.com/canaleconomico/status/1673315171417329666")</f>
        <v>https://twitter.com/canaleconomico/status/1673315171417329666</v>
      </c>
      <c r="AF744" s="79">
        <v>45103.541666666664</v>
      </c>
      <c r="AG744" s="85">
        <v>45103</v>
      </c>
      <c r="AH744" s="80" t="s">
        <v>11297</v>
      </c>
      <c r="AI744" s="77" t="b">
        <v>0</v>
      </c>
      <c r="AJ744" s="77"/>
      <c r="AK744" s="77"/>
      <c r="AL744" s="77"/>
      <c r="AM744" s="77"/>
      <c r="AN744" s="77"/>
      <c r="AO744" s="77"/>
      <c r="AP744" s="77"/>
      <c r="AQ744" s="77"/>
      <c r="AR744" s="77"/>
      <c r="AS744" s="77"/>
      <c r="AT744" s="77"/>
      <c r="AU744" s="77"/>
      <c r="AV744" s="83" t="str">
        <f>HYPERLINK("https://pbs.twimg.com/profile_images/1642663980597379074/Qtc8M2PG_normal.jpg")</f>
        <v>https://pbs.twimg.com/profile_images/1642663980597379074/Qtc8M2PG_normal.jpg</v>
      </c>
      <c r="AW744" s="80" t="s">
        <v>16689</v>
      </c>
      <c r="AX744" s="80" t="s">
        <v>16689</v>
      </c>
      <c r="AY744" s="77"/>
      <c r="AZ744" s="80" t="s">
        <v>20380</v>
      </c>
      <c r="BA744" s="80" t="s">
        <v>20380</v>
      </c>
      <c r="BB744" s="80" t="s">
        <v>20380</v>
      </c>
      <c r="BC744" s="80" t="s">
        <v>16689</v>
      </c>
      <c r="BD744" s="80" t="s">
        <v>20641</v>
      </c>
      <c r="BE744" s="77"/>
      <c r="BF744" s="77"/>
      <c r="BG744" s="77"/>
      <c r="BH744" s="77"/>
      <c r="BI744" s="77"/>
    </row>
    <row r="745" spans="1:61" x14ac:dyDescent="0.25">
      <c r="A745" s="62" t="s">
        <v>516</v>
      </c>
      <c r="B745" s="62" t="s">
        <v>1785</v>
      </c>
      <c r="C745" s="63"/>
      <c r="D745" s="64"/>
      <c r="E745" s="65"/>
      <c r="F745" s="66"/>
      <c r="G745" s="63"/>
      <c r="H745" s="67"/>
      <c r="I745" s="68"/>
      <c r="J745" s="68"/>
      <c r="K745" s="32"/>
      <c r="L745" s="75">
        <v>745</v>
      </c>
      <c r="M745" s="75"/>
      <c r="N745" s="70"/>
      <c r="O745" s="77" t="s">
        <v>2081</v>
      </c>
      <c r="P745" s="79">
        <v>45105.520844907405</v>
      </c>
      <c r="Q745" s="77" t="s">
        <v>2734</v>
      </c>
      <c r="R745" s="77">
        <v>1</v>
      </c>
      <c r="S745" s="77">
        <v>1</v>
      </c>
      <c r="T745" s="77">
        <v>0</v>
      </c>
      <c r="U745" s="77">
        <v>0</v>
      </c>
      <c r="V745" s="77">
        <v>1615</v>
      </c>
      <c r="W745" s="80" t="s">
        <v>6429</v>
      </c>
      <c r="X745" s="83" t="str">
        <f>HYPERLINK("https://www.perfil.com/noticias/canal-e/el-banco-central-de-suiza-impulsa-una-nueva-moneda-digital-mayorista.phtml")</f>
        <v>https://www.perfil.com/noticias/canal-e/el-banco-central-de-suiza-impulsa-una-nueva-moneda-digital-mayorista.phtml</v>
      </c>
      <c r="Y745" s="77" t="s">
        <v>8615</v>
      </c>
      <c r="Z745" s="77" t="s">
        <v>8932</v>
      </c>
      <c r="AA745" s="77"/>
      <c r="AB745" s="77"/>
      <c r="AC745" s="80" t="s">
        <v>10541</v>
      </c>
      <c r="AD745" s="77" t="s">
        <v>10620</v>
      </c>
      <c r="AE745" s="83" t="str">
        <f>HYPERLINK("https://twitter.com/canaleconomico/status/1674032401704419328")</f>
        <v>https://twitter.com/canaleconomico/status/1674032401704419328</v>
      </c>
      <c r="AF745" s="79">
        <v>45105.520844907405</v>
      </c>
      <c r="AG745" s="85">
        <v>45105</v>
      </c>
      <c r="AH745" s="80" t="s">
        <v>11298</v>
      </c>
      <c r="AI745" s="77" t="b">
        <v>0</v>
      </c>
      <c r="AJ745" s="77"/>
      <c r="AK745" s="77"/>
      <c r="AL745" s="77"/>
      <c r="AM745" s="77"/>
      <c r="AN745" s="77"/>
      <c r="AO745" s="77"/>
      <c r="AP745" s="77"/>
      <c r="AQ745" s="77"/>
      <c r="AR745" s="77"/>
      <c r="AS745" s="77"/>
      <c r="AT745" s="77"/>
      <c r="AU745" s="77"/>
      <c r="AV745" s="83" t="str">
        <f>HYPERLINK("https://pbs.twimg.com/profile_images/1642663980597379074/Qtc8M2PG_normal.jpg")</f>
        <v>https://pbs.twimg.com/profile_images/1642663980597379074/Qtc8M2PG_normal.jpg</v>
      </c>
      <c r="AW745" s="80" t="s">
        <v>16690</v>
      </c>
      <c r="AX745" s="80" t="s">
        <v>16690</v>
      </c>
      <c r="AY745" s="77"/>
      <c r="AZ745" s="80" t="s">
        <v>20380</v>
      </c>
      <c r="BA745" s="80" t="s">
        <v>20380</v>
      </c>
      <c r="BB745" s="80" t="s">
        <v>20380</v>
      </c>
      <c r="BC745" s="80" t="s">
        <v>16690</v>
      </c>
      <c r="BD745" s="80" t="s">
        <v>20641</v>
      </c>
      <c r="BE745" s="77"/>
      <c r="BF745" s="77"/>
      <c r="BG745" s="77"/>
      <c r="BH745" s="77"/>
      <c r="BI745" s="77"/>
    </row>
    <row r="746" spans="1:61" x14ac:dyDescent="0.25">
      <c r="A746" s="62" t="s">
        <v>516</v>
      </c>
      <c r="B746" s="62" t="s">
        <v>1785</v>
      </c>
      <c r="C746" s="63"/>
      <c r="D746" s="64"/>
      <c r="E746" s="65"/>
      <c r="F746" s="66"/>
      <c r="G746" s="63"/>
      <c r="H746" s="67"/>
      <c r="I746" s="68"/>
      <c r="J746" s="68"/>
      <c r="K746" s="32"/>
      <c r="L746" s="75">
        <v>746</v>
      </c>
      <c r="M746" s="75"/>
      <c r="N746" s="70"/>
      <c r="O746" s="77" t="s">
        <v>2081</v>
      </c>
      <c r="P746" s="79">
        <v>45107.625011574077</v>
      </c>
      <c r="Q746" s="77" t="s">
        <v>2735</v>
      </c>
      <c r="R746" s="77">
        <v>3</v>
      </c>
      <c r="S746" s="77">
        <v>4</v>
      </c>
      <c r="T746" s="77">
        <v>1</v>
      </c>
      <c r="U746" s="77">
        <v>1</v>
      </c>
      <c r="V746" s="77">
        <v>2018</v>
      </c>
      <c r="W746" s="80" t="s">
        <v>6430</v>
      </c>
      <c r="X746" s="83" t="str">
        <f>HYPERLINK("https://www.perfil.com/noticias/canal-e/ariel-coremberg-no-sabemos-de-donde-vienen-los-dolares-que-esta-usando-el-banco-central-para-intervenir-el-mercado-cambiario.phtml")</f>
        <v>https://www.perfil.com/noticias/canal-e/ariel-coremberg-no-sabemos-de-donde-vienen-los-dolares-que-esta-usando-el-banco-central-para-intervenir-el-mercado-cambiario.phtml</v>
      </c>
      <c r="Y746" s="77" t="s">
        <v>8615</v>
      </c>
      <c r="Z746" s="77" t="s">
        <v>8933</v>
      </c>
      <c r="AA746" s="77"/>
      <c r="AB746" s="77"/>
      <c r="AC746" s="80" t="s">
        <v>10541</v>
      </c>
      <c r="AD746" s="77" t="s">
        <v>10620</v>
      </c>
      <c r="AE746" s="83" t="str">
        <f>HYPERLINK("https://twitter.com/canaleconomico/status/1674794927450992640")</f>
        <v>https://twitter.com/canaleconomico/status/1674794927450992640</v>
      </c>
      <c r="AF746" s="79">
        <v>45107.625011574077</v>
      </c>
      <c r="AG746" s="85">
        <v>45107</v>
      </c>
      <c r="AH746" s="80" t="s">
        <v>11299</v>
      </c>
      <c r="AI746" s="77" t="b">
        <v>0</v>
      </c>
      <c r="AJ746" s="77"/>
      <c r="AK746" s="77"/>
      <c r="AL746" s="77"/>
      <c r="AM746" s="77"/>
      <c r="AN746" s="77"/>
      <c r="AO746" s="77"/>
      <c r="AP746" s="77"/>
      <c r="AQ746" s="77"/>
      <c r="AR746" s="77"/>
      <c r="AS746" s="77"/>
      <c r="AT746" s="77"/>
      <c r="AU746" s="77"/>
      <c r="AV746" s="83" t="str">
        <f>HYPERLINK("https://pbs.twimg.com/profile_images/1642663980597379074/Qtc8M2PG_normal.jpg")</f>
        <v>https://pbs.twimg.com/profile_images/1642663980597379074/Qtc8M2PG_normal.jpg</v>
      </c>
      <c r="AW746" s="80" t="s">
        <v>16691</v>
      </c>
      <c r="AX746" s="80" t="s">
        <v>16691</v>
      </c>
      <c r="AY746" s="77"/>
      <c r="AZ746" s="80" t="s">
        <v>20380</v>
      </c>
      <c r="BA746" s="80" t="s">
        <v>20380</v>
      </c>
      <c r="BB746" s="80" t="s">
        <v>20380</v>
      </c>
      <c r="BC746" s="80" t="s">
        <v>16691</v>
      </c>
      <c r="BD746" s="80" t="s">
        <v>20641</v>
      </c>
      <c r="BE746" s="77"/>
      <c r="BF746" s="77"/>
      <c r="BG746" s="77"/>
      <c r="BH746" s="77"/>
      <c r="BI746" s="77"/>
    </row>
    <row r="747" spans="1:61" x14ac:dyDescent="0.25">
      <c r="A747" s="62" t="s">
        <v>516</v>
      </c>
      <c r="B747" s="62" t="s">
        <v>1786</v>
      </c>
      <c r="C747" s="63"/>
      <c r="D747" s="64"/>
      <c r="E747" s="65"/>
      <c r="F747" s="66"/>
      <c r="G747" s="63"/>
      <c r="H747" s="67"/>
      <c r="I747" s="68"/>
      <c r="J747" s="68"/>
      <c r="K747" s="32"/>
      <c r="L747" s="75">
        <v>747</v>
      </c>
      <c r="M747" s="75"/>
      <c r="N747" s="70"/>
      <c r="O747" s="77" t="s">
        <v>2081</v>
      </c>
      <c r="P747" s="79">
        <v>45090.5625</v>
      </c>
      <c r="Q747" s="77" t="s">
        <v>2732</v>
      </c>
      <c r="R747" s="77">
        <v>2</v>
      </c>
      <c r="S747" s="77">
        <v>4</v>
      </c>
      <c r="T747" s="77">
        <v>1</v>
      </c>
      <c r="U747" s="77">
        <v>0</v>
      </c>
      <c r="V747" s="77">
        <v>575</v>
      </c>
      <c r="W747" s="80" t="s">
        <v>6427</v>
      </c>
      <c r="X747" s="83" t="str">
        <f>HYPERLINK("https://www.perfil.com/noticias/canal-e/aldo-abram-es-imposible-que-con-un-cepo-el-banco-central-recupere-las-divisas.phtml")</f>
        <v>https://www.perfil.com/noticias/canal-e/aldo-abram-es-imposible-que-con-un-cepo-el-banco-central-recupere-las-divisas.phtml</v>
      </c>
      <c r="Y747" s="77" t="s">
        <v>8615</v>
      </c>
      <c r="Z747" s="77" t="s">
        <v>8930</v>
      </c>
      <c r="AA747" s="77"/>
      <c r="AB747" s="77"/>
      <c r="AC747" s="80" t="s">
        <v>10541</v>
      </c>
      <c r="AD747" s="77" t="s">
        <v>10620</v>
      </c>
      <c r="AE747" s="83" t="str">
        <f>HYPERLINK("https://twitter.com/canaleconomico/status/1668611681033900032")</f>
        <v>https://twitter.com/canaleconomico/status/1668611681033900032</v>
      </c>
      <c r="AF747" s="79">
        <v>45090.5625</v>
      </c>
      <c r="AG747" s="85">
        <v>45090</v>
      </c>
      <c r="AH747" s="80" t="s">
        <v>11296</v>
      </c>
      <c r="AI747" s="77" t="b">
        <v>0</v>
      </c>
      <c r="AJ747" s="77"/>
      <c r="AK747" s="77"/>
      <c r="AL747" s="77"/>
      <c r="AM747" s="77"/>
      <c r="AN747" s="77"/>
      <c r="AO747" s="77"/>
      <c r="AP747" s="77"/>
      <c r="AQ747" s="77"/>
      <c r="AR747" s="77"/>
      <c r="AS747" s="77"/>
      <c r="AT747" s="77"/>
      <c r="AU747" s="77"/>
      <c r="AV747" s="83" t="str">
        <f>HYPERLINK("https://pbs.twimg.com/profile_images/1642663980597379074/Qtc8M2PG_normal.jpg")</f>
        <v>https://pbs.twimg.com/profile_images/1642663980597379074/Qtc8M2PG_normal.jpg</v>
      </c>
      <c r="AW747" s="80" t="s">
        <v>16688</v>
      </c>
      <c r="AX747" s="80" t="s">
        <v>16688</v>
      </c>
      <c r="AY747" s="77"/>
      <c r="AZ747" s="80" t="s">
        <v>20380</v>
      </c>
      <c r="BA747" s="80" t="s">
        <v>20380</v>
      </c>
      <c r="BB747" s="80" t="s">
        <v>20380</v>
      </c>
      <c r="BC747" s="80" t="s">
        <v>16688</v>
      </c>
      <c r="BD747" s="80" t="s">
        <v>20641</v>
      </c>
      <c r="BE747" s="77"/>
      <c r="BF747" s="77"/>
      <c r="BG747" s="77"/>
      <c r="BH747" s="77"/>
      <c r="BI747" s="77"/>
    </row>
    <row r="748" spans="1:61" x14ac:dyDescent="0.25">
      <c r="A748" s="62" t="s">
        <v>516</v>
      </c>
      <c r="B748" s="62" t="s">
        <v>1786</v>
      </c>
      <c r="C748" s="63"/>
      <c r="D748" s="64"/>
      <c r="E748" s="65"/>
      <c r="F748" s="66"/>
      <c r="G748" s="63"/>
      <c r="H748" s="67"/>
      <c r="I748" s="68"/>
      <c r="J748" s="68"/>
      <c r="K748" s="32"/>
      <c r="L748" s="75">
        <v>748</v>
      </c>
      <c r="M748" s="75"/>
      <c r="N748" s="70"/>
      <c r="O748" s="77" t="s">
        <v>2081</v>
      </c>
      <c r="P748" s="79">
        <v>45139.5625</v>
      </c>
      <c r="Q748" s="77" t="s">
        <v>2736</v>
      </c>
      <c r="R748" s="77">
        <v>4</v>
      </c>
      <c r="S748" s="77">
        <v>2</v>
      </c>
      <c r="T748" s="77">
        <v>0</v>
      </c>
      <c r="U748" s="77">
        <v>0</v>
      </c>
      <c r="V748" s="77">
        <v>427</v>
      </c>
      <c r="W748" s="80" t="s">
        <v>6431</v>
      </c>
      <c r="X748" s="83" t="str">
        <f>HYPERLINK("https://www.perfil.com/noticias/canal-e/aldo-abram-es-evidente-que-el-banco-central-esta-quebrado-por-el-cepo.phtml")</f>
        <v>https://www.perfil.com/noticias/canal-e/aldo-abram-es-evidente-que-el-banco-central-esta-quebrado-por-el-cepo.phtml</v>
      </c>
      <c r="Y748" s="77" t="s">
        <v>8615</v>
      </c>
      <c r="Z748" s="77" t="s">
        <v>8934</v>
      </c>
      <c r="AA748" s="77"/>
      <c r="AB748" s="77"/>
      <c r="AC748" s="80" t="s">
        <v>10541</v>
      </c>
      <c r="AD748" s="77" t="s">
        <v>10620</v>
      </c>
      <c r="AE748" s="83" t="str">
        <f>HYPERLINK("https://twitter.com/canaleconomico/status/1686368684468813824")</f>
        <v>https://twitter.com/canaleconomico/status/1686368684468813824</v>
      </c>
      <c r="AF748" s="79">
        <v>45139.5625</v>
      </c>
      <c r="AG748" s="85">
        <v>45139</v>
      </c>
      <c r="AH748" s="80" t="s">
        <v>11296</v>
      </c>
      <c r="AI748" s="77" t="b">
        <v>0</v>
      </c>
      <c r="AJ748" s="77"/>
      <c r="AK748" s="77"/>
      <c r="AL748" s="77"/>
      <c r="AM748" s="77"/>
      <c r="AN748" s="77"/>
      <c r="AO748" s="77"/>
      <c r="AP748" s="77"/>
      <c r="AQ748" s="77"/>
      <c r="AR748" s="77"/>
      <c r="AS748" s="77"/>
      <c r="AT748" s="77"/>
      <c r="AU748" s="77"/>
      <c r="AV748" s="83" t="str">
        <f>HYPERLINK("https://pbs.twimg.com/profile_images/1642663980597379074/Qtc8M2PG_normal.jpg")</f>
        <v>https://pbs.twimg.com/profile_images/1642663980597379074/Qtc8M2PG_normal.jpg</v>
      </c>
      <c r="AW748" s="80" t="s">
        <v>16692</v>
      </c>
      <c r="AX748" s="80" t="s">
        <v>16692</v>
      </c>
      <c r="AY748" s="77"/>
      <c r="AZ748" s="80" t="s">
        <v>20380</v>
      </c>
      <c r="BA748" s="80" t="s">
        <v>20380</v>
      </c>
      <c r="BB748" s="80" t="s">
        <v>20380</v>
      </c>
      <c r="BC748" s="80" t="s">
        <v>16692</v>
      </c>
      <c r="BD748" s="80" t="s">
        <v>20641</v>
      </c>
      <c r="BE748" s="77"/>
      <c r="BF748" s="77"/>
      <c r="BG748" s="77"/>
      <c r="BH748" s="77"/>
      <c r="BI748" s="77"/>
    </row>
    <row r="749" spans="1:61" x14ac:dyDescent="0.25">
      <c r="A749" s="62" t="s">
        <v>516</v>
      </c>
      <c r="B749" s="62" t="s">
        <v>1787</v>
      </c>
      <c r="C749" s="63"/>
      <c r="D749" s="64"/>
      <c r="E749" s="65"/>
      <c r="F749" s="66"/>
      <c r="G749" s="63"/>
      <c r="H749" s="67"/>
      <c r="I749" s="68"/>
      <c r="J749" s="68"/>
      <c r="K749" s="32"/>
      <c r="L749" s="75">
        <v>749</v>
      </c>
      <c r="M749" s="75"/>
      <c r="N749" s="70"/>
      <c r="O749" s="77" t="s">
        <v>2081</v>
      </c>
      <c r="P749" s="79">
        <v>45090.5625</v>
      </c>
      <c r="Q749" s="77" t="s">
        <v>2732</v>
      </c>
      <c r="R749" s="77">
        <v>2</v>
      </c>
      <c r="S749" s="77">
        <v>4</v>
      </c>
      <c r="T749" s="77">
        <v>1</v>
      </c>
      <c r="U749" s="77">
        <v>0</v>
      </c>
      <c r="V749" s="77">
        <v>575</v>
      </c>
      <c r="W749" s="80" t="s">
        <v>6427</v>
      </c>
      <c r="X749" s="83" t="str">
        <f>HYPERLINK("https://www.perfil.com/noticias/canal-e/aldo-abram-es-imposible-que-con-un-cepo-el-banco-central-recupere-las-divisas.phtml")</f>
        <v>https://www.perfil.com/noticias/canal-e/aldo-abram-es-imposible-que-con-un-cepo-el-banco-central-recupere-las-divisas.phtml</v>
      </c>
      <c r="Y749" s="77" t="s">
        <v>8615</v>
      </c>
      <c r="Z749" s="77" t="s">
        <v>8930</v>
      </c>
      <c r="AA749" s="77"/>
      <c r="AB749" s="77"/>
      <c r="AC749" s="80" t="s">
        <v>10541</v>
      </c>
      <c r="AD749" s="77" t="s">
        <v>10620</v>
      </c>
      <c r="AE749" s="83" t="str">
        <f>HYPERLINK("https://twitter.com/canaleconomico/status/1668611681033900032")</f>
        <v>https://twitter.com/canaleconomico/status/1668611681033900032</v>
      </c>
      <c r="AF749" s="79">
        <v>45090.5625</v>
      </c>
      <c r="AG749" s="85">
        <v>45090</v>
      </c>
      <c r="AH749" s="80" t="s">
        <v>11296</v>
      </c>
      <c r="AI749" s="77" t="b">
        <v>0</v>
      </c>
      <c r="AJ749" s="77"/>
      <c r="AK749" s="77"/>
      <c r="AL749" s="77"/>
      <c r="AM749" s="77"/>
      <c r="AN749" s="77"/>
      <c r="AO749" s="77"/>
      <c r="AP749" s="77"/>
      <c r="AQ749" s="77"/>
      <c r="AR749" s="77"/>
      <c r="AS749" s="77"/>
      <c r="AT749" s="77"/>
      <c r="AU749" s="77"/>
      <c r="AV749" s="83" t="str">
        <f>HYPERLINK("https://pbs.twimg.com/profile_images/1642663980597379074/Qtc8M2PG_normal.jpg")</f>
        <v>https://pbs.twimg.com/profile_images/1642663980597379074/Qtc8M2PG_normal.jpg</v>
      </c>
      <c r="AW749" s="80" t="s">
        <v>16688</v>
      </c>
      <c r="AX749" s="80" t="s">
        <v>16688</v>
      </c>
      <c r="AY749" s="77"/>
      <c r="AZ749" s="80" t="s">
        <v>20380</v>
      </c>
      <c r="BA749" s="80" t="s">
        <v>20380</v>
      </c>
      <c r="BB749" s="80" t="s">
        <v>20380</v>
      </c>
      <c r="BC749" s="80" t="s">
        <v>16688</v>
      </c>
      <c r="BD749" s="80" t="s">
        <v>20641</v>
      </c>
      <c r="BE749" s="77"/>
      <c r="BF749" s="77"/>
      <c r="BG749" s="77"/>
      <c r="BH749" s="77"/>
      <c r="BI749" s="77"/>
    </row>
    <row r="750" spans="1:61" x14ac:dyDescent="0.25">
      <c r="A750" s="62" t="s">
        <v>516</v>
      </c>
      <c r="B750" s="62" t="s">
        <v>1787</v>
      </c>
      <c r="C750" s="63"/>
      <c r="D750" s="64"/>
      <c r="E750" s="65"/>
      <c r="F750" s="66"/>
      <c r="G750" s="63"/>
      <c r="H750" s="67"/>
      <c r="I750" s="68"/>
      <c r="J750" s="68"/>
      <c r="K750" s="32"/>
      <c r="L750" s="75">
        <v>750</v>
      </c>
      <c r="M750" s="75"/>
      <c r="N750" s="70"/>
      <c r="O750" s="77" t="s">
        <v>2081</v>
      </c>
      <c r="P750" s="79">
        <v>45139.5625</v>
      </c>
      <c r="Q750" s="77" t="s">
        <v>2736</v>
      </c>
      <c r="R750" s="77">
        <v>4</v>
      </c>
      <c r="S750" s="77">
        <v>2</v>
      </c>
      <c r="T750" s="77">
        <v>0</v>
      </c>
      <c r="U750" s="77">
        <v>0</v>
      </c>
      <c r="V750" s="77">
        <v>427</v>
      </c>
      <c r="W750" s="80" t="s">
        <v>6431</v>
      </c>
      <c r="X750" s="83" t="str">
        <f>HYPERLINK("https://www.perfil.com/noticias/canal-e/aldo-abram-es-evidente-que-el-banco-central-esta-quebrado-por-el-cepo.phtml")</f>
        <v>https://www.perfil.com/noticias/canal-e/aldo-abram-es-evidente-que-el-banco-central-esta-quebrado-por-el-cepo.phtml</v>
      </c>
      <c r="Y750" s="77" t="s">
        <v>8615</v>
      </c>
      <c r="Z750" s="77" t="s">
        <v>8934</v>
      </c>
      <c r="AA750" s="77"/>
      <c r="AB750" s="77"/>
      <c r="AC750" s="80" t="s">
        <v>10541</v>
      </c>
      <c r="AD750" s="77" t="s">
        <v>10620</v>
      </c>
      <c r="AE750" s="83" t="str">
        <f>HYPERLINK("https://twitter.com/canaleconomico/status/1686368684468813824")</f>
        <v>https://twitter.com/canaleconomico/status/1686368684468813824</v>
      </c>
      <c r="AF750" s="79">
        <v>45139.5625</v>
      </c>
      <c r="AG750" s="85">
        <v>45139</v>
      </c>
      <c r="AH750" s="80" t="s">
        <v>11296</v>
      </c>
      <c r="AI750" s="77" t="b">
        <v>0</v>
      </c>
      <c r="AJ750" s="77"/>
      <c r="AK750" s="77"/>
      <c r="AL750" s="77"/>
      <c r="AM750" s="77"/>
      <c r="AN750" s="77"/>
      <c r="AO750" s="77"/>
      <c r="AP750" s="77"/>
      <c r="AQ750" s="77"/>
      <c r="AR750" s="77"/>
      <c r="AS750" s="77"/>
      <c r="AT750" s="77"/>
      <c r="AU750" s="77"/>
      <c r="AV750" s="83" t="str">
        <f>HYPERLINK("https://pbs.twimg.com/profile_images/1642663980597379074/Qtc8M2PG_normal.jpg")</f>
        <v>https://pbs.twimg.com/profile_images/1642663980597379074/Qtc8M2PG_normal.jpg</v>
      </c>
      <c r="AW750" s="80" t="s">
        <v>16692</v>
      </c>
      <c r="AX750" s="80" t="s">
        <v>16692</v>
      </c>
      <c r="AY750" s="77"/>
      <c r="AZ750" s="80" t="s">
        <v>20380</v>
      </c>
      <c r="BA750" s="80" t="s">
        <v>20380</v>
      </c>
      <c r="BB750" s="80" t="s">
        <v>20380</v>
      </c>
      <c r="BC750" s="80" t="s">
        <v>16692</v>
      </c>
      <c r="BD750" s="80" t="s">
        <v>20641</v>
      </c>
      <c r="BE750" s="77"/>
      <c r="BF750" s="77"/>
      <c r="BG750" s="77"/>
      <c r="BH750" s="77"/>
      <c r="BI750" s="77"/>
    </row>
    <row r="751" spans="1:61" x14ac:dyDescent="0.25">
      <c r="A751" s="62" t="s">
        <v>516</v>
      </c>
      <c r="B751" s="62" t="s">
        <v>1788</v>
      </c>
      <c r="C751" s="63"/>
      <c r="D751" s="64"/>
      <c r="E751" s="65"/>
      <c r="F751" s="66"/>
      <c r="G751" s="63"/>
      <c r="H751" s="67"/>
      <c r="I751" s="68"/>
      <c r="J751" s="68"/>
      <c r="K751" s="32"/>
      <c r="L751" s="75">
        <v>751</v>
      </c>
      <c r="M751" s="75"/>
      <c r="N751" s="70"/>
      <c r="O751" s="77" t="s">
        <v>2081</v>
      </c>
      <c r="P751" s="79">
        <v>45138.583356481482</v>
      </c>
      <c r="Q751" s="77" t="s">
        <v>2737</v>
      </c>
      <c r="R751" s="77">
        <v>0</v>
      </c>
      <c r="S751" s="77">
        <v>0</v>
      </c>
      <c r="T751" s="77">
        <v>0</v>
      </c>
      <c r="U751" s="77">
        <v>0</v>
      </c>
      <c r="V751" s="77">
        <v>34</v>
      </c>
      <c r="W751" s="80" t="s">
        <v>6432</v>
      </c>
      <c r="X751" s="83" t="str">
        <f>HYPERLINK("https://www.perfil.com/noticias/canal-e/entidades-financieras-no-reguladas-por-el-banco-central-que-riesgos-trae-para-quienes-acuden-a-ellas.phtml")</f>
        <v>https://www.perfil.com/noticias/canal-e/entidades-financieras-no-reguladas-por-el-banco-central-que-riesgos-trae-para-quienes-acuden-a-ellas.phtml</v>
      </c>
      <c r="Y751" s="77" t="s">
        <v>8615</v>
      </c>
      <c r="Z751" s="77" t="s">
        <v>8935</v>
      </c>
      <c r="AA751" s="77"/>
      <c r="AB751" s="77"/>
      <c r="AC751" s="80" t="s">
        <v>10541</v>
      </c>
      <c r="AD751" s="77" t="s">
        <v>10620</v>
      </c>
      <c r="AE751" s="83" t="str">
        <f>HYPERLINK("https://twitter.com/canaleconomico/status/1686013857666306049")</f>
        <v>https://twitter.com/canaleconomico/status/1686013857666306049</v>
      </c>
      <c r="AF751" s="79">
        <v>45138.583356481482</v>
      </c>
      <c r="AG751" s="85">
        <v>45138</v>
      </c>
      <c r="AH751" s="80" t="s">
        <v>10845</v>
      </c>
      <c r="AI751" s="77" t="b">
        <v>0</v>
      </c>
      <c r="AJ751" s="77"/>
      <c r="AK751" s="77"/>
      <c r="AL751" s="77"/>
      <c r="AM751" s="77"/>
      <c r="AN751" s="77"/>
      <c r="AO751" s="77"/>
      <c r="AP751" s="77"/>
      <c r="AQ751" s="77"/>
      <c r="AR751" s="77"/>
      <c r="AS751" s="77"/>
      <c r="AT751" s="77"/>
      <c r="AU751" s="77"/>
      <c r="AV751" s="83" t="str">
        <f>HYPERLINK("https://pbs.twimg.com/profile_images/1642663980597379074/Qtc8M2PG_normal.jpg")</f>
        <v>https://pbs.twimg.com/profile_images/1642663980597379074/Qtc8M2PG_normal.jpg</v>
      </c>
      <c r="AW751" s="80" t="s">
        <v>16693</v>
      </c>
      <c r="AX751" s="80" t="s">
        <v>16693</v>
      </c>
      <c r="AY751" s="77"/>
      <c r="AZ751" s="80" t="s">
        <v>20380</v>
      </c>
      <c r="BA751" s="80" t="s">
        <v>20380</v>
      </c>
      <c r="BB751" s="80" t="s">
        <v>20380</v>
      </c>
      <c r="BC751" s="80" t="s">
        <v>16693</v>
      </c>
      <c r="BD751" s="80" t="s">
        <v>20641</v>
      </c>
      <c r="BE751" s="77"/>
      <c r="BF751" s="77"/>
      <c r="BG751" s="77"/>
      <c r="BH751" s="77"/>
      <c r="BI751" s="77"/>
    </row>
    <row r="752" spans="1:61" x14ac:dyDescent="0.25">
      <c r="A752" s="62" t="s">
        <v>516</v>
      </c>
      <c r="B752" s="62" t="s">
        <v>1789</v>
      </c>
      <c r="C752" s="63"/>
      <c r="D752" s="64"/>
      <c r="E752" s="65"/>
      <c r="F752" s="66"/>
      <c r="G752" s="63"/>
      <c r="H752" s="67"/>
      <c r="I752" s="68"/>
      <c r="J752" s="68"/>
      <c r="K752" s="32"/>
      <c r="L752" s="75">
        <v>752</v>
      </c>
      <c r="M752" s="75"/>
      <c r="N752" s="70"/>
      <c r="O752" s="77" t="s">
        <v>2081</v>
      </c>
      <c r="P752" s="79">
        <v>45085.577962962961</v>
      </c>
      <c r="Q752" s="77" t="s">
        <v>2731</v>
      </c>
      <c r="R752" s="77">
        <v>0</v>
      </c>
      <c r="S752" s="77">
        <v>4</v>
      </c>
      <c r="T752" s="77">
        <v>0</v>
      </c>
      <c r="U752" s="77">
        <v>0</v>
      </c>
      <c r="V752" s="77">
        <v>215</v>
      </c>
      <c r="W752" s="80" t="s">
        <v>6426</v>
      </c>
      <c r="X752" s="83" t="str">
        <f>HYPERLINK("https://www.perfil.com/noticias/canal-e/hernan-madera-no-se-sabe-de-donde-esta-sacando-el-banco-central-los-dolares-para-intervenir-en-el-mercado-cambiario.phtml")</f>
        <v>https://www.perfil.com/noticias/canal-e/hernan-madera-no-se-sabe-de-donde-esta-sacando-el-banco-central-los-dolares-para-intervenir-en-el-mercado-cambiario.phtml</v>
      </c>
      <c r="Y752" s="77" t="s">
        <v>8615</v>
      </c>
      <c r="Z752" s="77" t="s">
        <v>8929</v>
      </c>
      <c r="AA752" s="77"/>
      <c r="AB752" s="77"/>
      <c r="AC752" s="80" t="s">
        <v>10541</v>
      </c>
      <c r="AD752" s="77" t="s">
        <v>10620</v>
      </c>
      <c r="AE752" s="83" t="str">
        <f>HYPERLINK("https://twitter.com/canaleconomico/status/1666805344889352196")</f>
        <v>https://twitter.com/canaleconomico/status/1666805344889352196</v>
      </c>
      <c r="AF752" s="79">
        <v>45085.577962962961</v>
      </c>
      <c r="AG752" s="85">
        <v>45085</v>
      </c>
      <c r="AH752" s="80" t="s">
        <v>11295</v>
      </c>
      <c r="AI752" s="77" t="b">
        <v>0</v>
      </c>
      <c r="AJ752" s="77"/>
      <c r="AK752" s="77"/>
      <c r="AL752" s="77"/>
      <c r="AM752" s="77"/>
      <c r="AN752" s="77"/>
      <c r="AO752" s="77"/>
      <c r="AP752" s="77"/>
      <c r="AQ752" s="77"/>
      <c r="AR752" s="77"/>
      <c r="AS752" s="77"/>
      <c r="AT752" s="77"/>
      <c r="AU752" s="77"/>
      <c r="AV752" s="83" t="str">
        <f>HYPERLINK("https://pbs.twimg.com/profile_images/1642663980597379074/Qtc8M2PG_normal.jpg")</f>
        <v>https://pbs.twimg.com/profile_images/1642663980597379074/Qtc8M2PG_normal.jpg</v>
      </c>
      <c r="AW752" s="80" t="s">
        <v>16687</v>
      </c>
      <c r="AX752" s="80" t="s">
        <v>16687</v>
      </c>
      <c r="AY752" s="77"/>
      <c r="AZ752" s="80" t="s">
        <v>20380</v>
      </c>
      <c r="BA752" s="80" t="s">
        <v>20380</v>
      </c>
      <c r="BB752" s="80" t="s">
        <v>20380</v>
      </c>
      <c r="BC752" s="80" t="s">
        <v>16687</v>
      </c>
      <c r="BD752" s="80" t="s">
        <v>20641</v>
      </c>
      <c r="BE752" s="77"/>
      <c r="BF752" s="77"/>
      <c r="BG752" s="77"/>
      <c r="BH752" s="77"/>
      <c r="BI752" s="77"/>
    </row>
    <row r="753" spans="1:61" x14ac:dyDescent="0.25">
      <c r="A753" s="62" t="s">
        <v>516</v>
      </c>
      <c r="B753" s="62" t="s">
        <v>1789</v>
      </c>
      <c r="C753" s="63"/>
      <c r="D753" s="64"/>
      <c r="E753" s="65"/>
      <c r="F753" s="66"/>
      <c r="G753" s="63"/>
      <c r="H753" s="67"/>
      <c r="I753" s="68"/>
      <c r="J753" s="68"/>
      <c r="K753" s="32"/>
      <c r="L753" s="75">
        <v>753</v>
      </c>
      <c r="M753" s="75"/>
      <c r="N753" s="70"/>
      <c r="O753" s="77" t="s">
        <v>2081</v>
      </c>
      <c r="P753" s="79">
        <v>45139.5625</v>
      </c>
      <c r="Q753" s="77" t="s">
        <v>2736</v>
      </c>
      <c r="R753" s="77">
        <v>4</v>
      </c>
      <c r="S753" s="77">
        <v>2</v>
      </c>
      <c r="T753" s="77">
        <v>0</v>
      </c>
      <c r="U753" s="77">
        <v>0</v>
      </c>
      <c r="V753" s="77">
        <v>427</v>
      </c>
      <c r="W753" s="80" t="s">
        <v>6431</v>
      </c>
      <c r="X753" s="83" t="str">
        <f>HYPERLINK("https://www.perfil.com/noticias/canal-e/aldo-abram-es-evidente-que-el-banco-central-esta-quebrado-por-el-cepo.phtml")</f>
        <v>https://www.perfil.com/noticias/canal-e/aldo-abram-es-evidente-que-el-banco-central-esta-quebrado-por-el-cepo.phtml</v>
      </c>
      <c r="Y753" s="77" t="s">
        <v>8615</v>
      </c>
      <c r="Z753" s="77" t="s">
        <v>8934</v>
      </c>
      <c r="AA753" s="77"/>
      <c r="AB753" s="77"/>
      <c r="AC753" s="80" t="s">
        <v>10541</v>
      </c>
      <c r="AD753" s="77" t="s">
        <v>10620</v>
      </c>
      <c r="AE753" s="83" t="str">
        <f>HYPERLINK("https://twitter.com/canaleconomico/status/1686368684468813824")</f>
        <v>https://twitter.com/canaleconomico/status/1686368684468813824</v>
      </c>
      <c r="AF753" s="79">
        <v>45139.5625</v>
      </c>
      <c r="AG753" s="85">
        <v>45139</v>
      </c>
      <c r="AH753" s="80" t="s">
        <v>11296</v>
      </c>
      <c r="AI753" s="77" t="b">
        <v>0</v>
      </c>
      <c r="AJ753" s="77"/>
      <c r="AK753" s="77"/>
      <c r="AL753" s="77"/>
      <c r="AM753" s="77"/>
      <c r="AN753" s="77"/>
      <c r="AO753" s="77"/>
      <c r="AP753" s="77"/>
      <c r="AQ753" s="77"/>
      <c r="AR753" s="77"/>
      <c r="AS753" s="77"/>
      <c r="AT753" s="77"/>
      <c r="AU753" s="77"/>
      <c r="AV753" s="83" t="str">
        <f>HYPERLINK("https://pbs.twimg.com/profile_images/1642663980597379074/Qtc8M2PG_normal.jpg")</f>
        <v>https://pbs.twimg.com/profile_images/1642663980597379074/Qtc8M2PG_normal.jpg</v>
      </c>
      <c r="AW753" s="80" t="s">
        <v>16692</v>
      </c>
      <c r="AX753" s="80" t="s">
        <v>16692</v>
      </c>
      <c r="AY753" s="77"/>
      <c r="AZ753" s="80" t="s">
        <v>20380</v>
      </c>
      <c r="BA753" s="80" t="s">
        <v>20380</v>
      </c>
      <c r="BB753" s="80" t="s">
        <v>20380</v>
      </c>
      <c r="BC753" s="80" t="s">
        <v>16692</v>
      </c>
      <c r="BD753" s="80" t="s">
        <v>20641</v>
      </c>
      <c r="BE753" s="77"/>
      <c r="BF753" s="77"/>
      <c r="BG753" s="77"/>
      <c r="BH753" s="77"/>
      <c r="BI753" s="77"/>
    </row>
    <row r="754" spans="1:61" x14ac:dyDescent="0.25">
      <c r="A754" s="62" t="s">
        <v>516</v>
      </c>
      <c r="B754" s="62" t="s">
        <v>1789</v>
      </c>
      <c r="C754" s="63"/>
      <c r="D754" s="64"/>
      <c r="E754" s="65"/>
      <c r="F754" s="66"/>
      <c r="G754" s="63"/>
      <c r="H754" s="67"/>
      <c r="I754" s="68"/>
      <c r="J754" s="68"/>
      <c r="K754" s="32"/>
      <c r="L754" s="75">
        <v>754</v>
      </c>
      <c r="M754" s="75"/>
      <c r="N754" s="70"/>
      <c r="O754" s="77" t="s">
        <v>2081</v>
      </c>
      <c r="P754" s="79">
        <v>45138.583356481482</v>
      </c>
      <c r="Q754" s="77" t="s">
        <v>2737</v>
      </c>
      <c r="R754" s="77">
        <v>0</v>
      </c>
      <c r="S754" s="77">
        <v>0</v>
      </c>
      <c r="T754" s="77">
        <v>0</v>
      </c>
      <c r="U754" s="77">
        <v>0</v>
      </c>
      <c r="V754" s="77">
        <v>34</v>
      </c>
      <c r="W754" s="80" t="s">
        <v>6432</v>
      </c>
      <c r="X754" s="83" t="str">
        <f>HYPERLINK("https://www.perfil.com/noticias/canal-e/entidades-financieras-no-reguladas-por-el-banco-central-que-riesgos-trae-para-quienes-acuden-a-ellas.phtml")</f>
        <v>https://www.perfil.com/noticias/canal-e/entidades-financieras-no-reguladas-por-el-banco-central-que-riesgos-trae-para-quienes-acuden-a-ellas.phtml</v>
      </c>
      <c r="Y754" s="77" t="s">
        <v>8615</v>
      </c>
      <c r="Z754" s="77" t="s">
        <v>8935</v>
      </c>
      <c r="AA754" s="77"/>
      <c r="AB754" s="77"/>
      <c r="AC754" s="80" t="s">
        <v>10541</v>
      </c>
      <c r="AD754" s="77" t="s">
        <v>10620</v>
      </c>
      <c r="AE754" s="83" t="str">
        <f>HYPERLINK("https://twitter.com/canaleconomico/status/1686013857666306049")</f>
        <v>https://twitter.com/canaleconomico/status/1686013857666306049</v>
      </c>
      <c r="AF754" s="79">
        <v>45138.583356481482</v>
      </c>
      <c r="AG754" s="85">
        <v>45138</v>
      </c>
      <c r="AH754" s="80" t="s">
        <v>10845</v>
      </c>
      <c r="AI754" s="77" t="b">
        <v>0</v>
      </c>
      <c r="AJ754" s="77"/>
      <c r="AK754" s="77"/>
      <c r="AL754" s="77"/>
      <c r="AM754" s="77"/>
      <c r="AN754" s="77"/>
      <c r="AO754" s="77"/>
      <c r="AP754" s="77"/>
      <c r="AQ754" s="77"/>
      <c r="AR754" s="77"/>
      <c r="AS754" s="77"/>
      <c r="AT754" s="77"/>
      <c r="AU754" s="77"/>
      <c r="AV754" s="83" t="str">
        <f>HYPERLINK("https://pbs.twimg.com/profile_images/1642663980597379074/Qtc8M2PG_normal.jpg")</f>
        <v>https://pbs.twimg.com/profile_images/1642663980597379074/Qtc8M2PG_normal.jpg</v>
      </c>
      <c r="AW754" s="80" t="s">
        <v>16693</v>
      </c>
      <c r="AX754" s="80" t="s">
        <v>16693</v>
      </c>
      <c r="AY754" s="77"/>
      <c r="AZ754" s="80" t="s">
        <v>20380</v>
      </c>
      <c r="BA754" s="80" t="s">
        <v>20380</v>
      </c>
      <c r="BB754" s="80" t="s">
        <v>20380</v>
      </c>
      <c r="BC754" s="80" t="s">
        <v>16693</v>
      </c>
      <c r="BD754" s="80" t="s">
        <v>20641</v>
      </c>
      <c r="BE754" s="77"/>
      <c r="BF754" s="77"/>
      <c r="BG754" s="77"/>
      <c r="BH754" s="77"/>
      <c r="BI754" s="77"/>
    </row>
    <row r="755" spans="1:61" x14ac:dyDescent="0.25">
      <c r="A755" s="62" t="s">
        <v>516</v>
      </c>
      <c r="B755" s="62" t="s">
        <v>1790</v>
      </c>
      <c r="C755" s="63"/>
      <c r="D755" s="64"/>
      <c r="E755" s="65"/>
      <c r="F755" s="66"/>
      <c r="G755" s="63"/>
      <c r="H755" s="67"/>
      <c r="I755" s="68"/>
      <c r="J755" s="68"/>
      <c r="K755" s="32"/>
      <c r="L755" s="75">
        <v>755</v>
      </c>
      <c r="M755" s="75"/>
      <c r="N755" s="70"/>
      <c r="O755" s="77" t="s">
        <v>2081</v>
      </c>
      <c r="P755" s="79">
        <v>45051.750011574077</v>
      </c>
      <c r="Q755" s="77" t="s">
        <v>2738</v>
      </c>
      <c r="R755" s="77">
        <v>2</v>
      </c>
      <c r="S755" s="77">
        <v>2</v>
      </c>
      <c r="T755" s="77">
        <v>0</v>
      </c>
      <c r="U755" s="77">
        <v>0</v>
      </c>
      <c r="V755" s="77">
        <v>159</v>
      </c>
      <c r="W755" s="80" t="s">
        <v>6433</v>
      </c>
      <c r="X755" s="83" t="str">
        <f>HYPERLINK("https://www.perfil.com/noticias/canal-e/especialista-advierte-que-las-reservas-del-banco-central-estan-en-numeros-negativos.phtml")</f>
        <v>https://www.perfil.com/noticias/canal-e/especialista-advierte-que-las-reservas-del-banco-central-estan-en-numeros-negativos.phtml</v>
      </c>
      <c r="Y755" s="77" t="s">
        <v>8615</v>
      </c>
      <c r="Z755" s="77" t="s">
        <v>8936</v>
      </c>
      <c r="AA755" s="77"/>
      <c r="AB755" s="77"/>
      <c r="AC755" s="80" t="s">
        <v>10541</v>
      </c>
      <c r="AD755" s="77" t="s">
        <v>10620</v>
      </c>
      <c r="AE755" s="83" t="str">
        <f>HYPERLINK("https://twitter.com/canaleconomico/status/1654546505531809794")</f>
        <v>https://twitter.com/canaleconomico/status/1654546505531809794</v>
      </c>
      <c r="AF755" s="79">
        <v>45051.750011574077</v>
      </c>
      <c r="AG755" s="85">
        <v>45051</v>
      </c>
      <c r="AH755" s="80" t="s">
        <v>11300</v>
      </c>
      <c r="AI755" s="77" t="b">
        <v>0</v>
      </c>
      <c r="AJ755" s="77"/>
      <c r="AK755" s="77"/>
      <c r="AL755" s="77"/>
      <c r="AM755" s="77"/>
      <c r="AN755" s="77"/>
      <c r="AO755" s="77"/>
      <c r="AP755" s="77"/>
      <c r="AQ755" s="77"/>
      <c r="AR755" s="77"/>
      <c r="AS755" s="77"/>
      <c r="AT755" s="77"/>
      <c r="AU755" s="77"/>
      <c r="AV755" s="83" t="str">
        <f>HYPERLINK("https://pbs.twimg.com/profile_images/1642663980597379074/Qtc8M2PG_normal.jpg")</f>
        <v>https://pbs.twimg.com/profile_images/1642663980597379074/Qtc8M2PG_normal.jpg</v>
      </c>
      <c r="AW755" s="80" t="s">
        <v>16694</v>
      </c>
      <c r="AX755" s="80" t="s">
        <v>16694</v>
      </c>
      <c r="AY755" s="77"/>
      <c r="AZ755" s="80" t="s">
        <v>20380</v>
      </c>
      <c r="BA755" s="80" t="s">
        <v>20380</v>
      </c>
      <c r="BB755" s="80" t="s">
        <v>20380</v>
      </c>
      <c r="BC755" s="80" t="s">
        <v>16694</v>
      </c>
      <c r="BD755" s="80" t="s">
        <v>20641</v>
      </c>
      <c r="BE755" s="77"/>
      <c r="BF755" s="77"/>
      <c r="BG755" s="77"/>
      <c r="BH755" s="77"/>
      <c r="BI755" s="77"/>
    </row>
    <row r="756" spans="1:61" x14ac:dyDescent="0.25">
      <c r="A756" s="62" t="s">
        <v>516</v>
      </c>
      <c r="B756" s="62" t="s">
        <v>1791</v>
      </c>
      <c r="C756" s="63"/>
      <c r="D756" s="64"/>
      <c r="E756" s="65"/>
      <c r="F756" s="66"/>
      <c r="G756" s="63"/>
      <c r="H756" s="67"/>
      <c r="I756" s="68"/>
      <c r="J756" s="68"/>
      <c r="K756" s="32"/>
      <c r="L756" s="75">
        <v>756</v>
      </c>
      <c r="M756" s="75"/>
      <c r="N756" s="70"/>
      <c r="O756" s="77" t="s">
        <v>2081</v>
      </c>
      <c r="P756" s="79">
        <v>45078.6875</v>
      </c>
      <c r="Q756" s="77" t="s">
        <v>2739</v>
      </c>
      <c r="R756" s="77">
        <v>1</v>
      </c>
      <c r="S756" s="77">
        <v>0</v>
      </c>
      <c r="T756" s="77">
        <v>0</v>
      </c>
      <c r="U756" s="77">
        <v>0</v>
      </c>
      <c r="V756" s="77">
        <v>1569</v>
      </c>
      <c r="W756" s="80" t="s">
        <v>6434</v>
      </c>
      <c r="X756" s="83" t="str">
        <f>HYPERLINK("https://www.perfil.com/noticias/canal-e/damian-di-pace-lo-que-sergio-massa-habia-prometido-lo-logro-con-el-dolar-soja-iii.phtml")</f>
        <v>https://www.perfil.com/noticias/canal-e/damian-di-pace-lo-que-sergio-massa-habia-prometido-lo-logro-con-el-dolar-soja-iii.phtml</v>
      </c>
      <c r="Y756" s="77" t="s">
        <v>8615</v>
      </c>
      <c r="Z756" s="77" t="s">
        <v>8937</v>
      </c>
      <c r="AA756" s="77"/>
      <c r="AB756" s="77"/>
      <c r="AC756" s="80" t="s">
        <v>10541</v>
      </c>
      <c r="AD756" s="77" t="s">
        <v>10620</v>
      </c>
      <c r="AE756" s="83" t="str">
        <f>HYPERLINK("https://twitter.com/canaleconomico/status/1664308325855502337")</f>
        <v>https://twitter.com/canaleconomico/status/1664308325855502337</v>
      </c>
      <c r="AF756" s="79">
        <v>45078.6875</v>
      </c>
      <c r="AG756" s="85">
        <v>45078</v>
      </c>
      <c r="AH756" s="80" t="s">
        <v>10759</v>
      </c>
      <c r="AI756" s="77" t="b">
        <v>0</v>
      </c>
      <c r="AJ756" s="77"/>
      <c r="AK756" s="77"/>
      <c r="AL756" s="77"/>
      <c r="AM756" s="77"/>
      <c r="AN756" s="77"/>
      <c r="AO756" s="77"/>
      <c r="AP756" s="77"/>
      <c r="AQ756" s="77"/>
      <c r="AR756" s="77"/>
      <c r="AS756" s="77"/>
      <c r="AT756" s="77"/>
      <c r="AU756" s="77"/>
      <c r="AV756" s="83" t="str">
        <f>HYPERLINK("https://pbs.twimg.com/profile_images/1642663980597379074/Qtc8M2PG_normal.jpg")</f>
        <v>https://pbs.twimg.com/profile_images/1642663980597379074/Qtc8M2PG_normal.jpg</v>
      </c>
      <c r="AW756" s="80" t="s">
        <v>16695</v>
      </c>
      <c r="AX756" s="80" t="s">
        <v>16695</v>
      </c>
      <c r="AY756" s="77"/>
      <c r="AZ756" s="80" t="s">
        <v>20380</v>
      </c>
      <c r="BA756" s="80" t="s">
        <v>20380</v>
      </c>
      <c r="BB756" s="80" t="s">
        <v>20380</v>
      </c>
      <c r="BC756" s="80" t="s">
        <v>16695</v>
      </c>
      <c r="BD756" s="80" t="s">
        <v>20641</v>
      </c>
      <c r="BE756" s="77"/>
      <c r="BF756" s="77"/>
      <c r="BG756" s="77"/>
      <c r="BH756" s="77"/>
      <c r="BI756" s="77"/>
    </row>
    <row r="757" spans="1:61" x14ac:dyDescent="0.25">
      <c r="A757" s="62" t="s">
        <v>516</v>
      </c>
      <c r="B757" s="62" t="s">
        <v>1792</v>
      </c>
      <c r="C757" s="63"/>
      <c r="D757" s="64"/>
      <c r="E757" s="65"/>
      <c r="F757" s="66"/>
      <c r="G757" s="63"/>
      <c r="H757" s="67"/>
      <c r="I757" s="68"/>
      <c r="J757" s="68"/>
      <c r="K757" s="32"/>
      <c r="L757" s="75">
        <v>757</v>
      </c>
      <c r="M757" s="75"/>
      <c r="N757" s="70"/>
      <c r="O757" s="77" t="s">
        <v>2081</v>
      </c>
      <c r="P757" s="79">
        <v>45085.577962962961</v>
      </c>
      <c r="Q757" s="77" t="s">
        <v>2731</v>
      </c>
      <c r="R757" s="77">
        <v>0</v>
      </c>
      <c r="S757" s="77">
        <v>4</v>
      </c>
      <c r="T757" s="77">
        <v>0</v>
      </c>
      <c r="U757" s="77">
        <v>0</v>
      </c>
      <c r="V757" s="77">
        <v>215</v>
      </c>
      <c r="W757" s="80" t="s">
        <v>6426</v>
      </c>
      <c r="X757" s="83" t="str">
        <f>HYPERLINK("https://www.perfil.com/noticias/canal-e/hernan-madera-no-se-sabe-de-donde-esta-sacando-el-banco-central-los-dolares-para-intervenir-en-el-mercado-cambiario.phtml")</f>
        <v>https://www.perfil.com/noticias/canal-e/hernan-madera-no-se-sabe-de-donde-esta-sacando-el-banco-central-los-dolares-para-intervenir-en-el-mercado-cambiario.phtml</v>
      </c>
      <c r="Y757" s="77" t="s">
        <v>8615</v>
      </c>
      <c r="Z757" s="77" t="s">
        <v>8929</v>
      </c>
      <c r="AA757" s="77"/>
      <c r="AB757" s="77"/>
      <c r="AC757" s="80" t="s">
        <v>10541</v>
      </c>
      <c r="AD757" s="77" t="s">
        <v>10620</v>
      </c>
      <c r="AE757" s="83" t="str">
        <f>HYPERLINK("https://twitter.com/canaleconomico/status/1666805344889352196")</f>
        <v>https://twitter.com/canaleconomico/status/1666805344889352196</v>
      </c>
      <c r="AF757" s="79">
        <v>45085.577962962961</v>
      </c>
      <c r="AG757" s="85">
        <v>45085</v>
      </c>
      <c r="AH757" s="80" t="s">
        <v>11295</v>
      </c>
      <c r="AI757" s="77" t="b">
        <v>0</v>
      </c>
      <c r="AJ757" s="77"/>
      <c r="AK757" s="77"/>
      <c r="AL757" s="77"/>
      <c r="AM757" s="77"/>
      <c r="AN757" s="77"/>
      <c r="AO757" s="77"/>
      <c r="AP757" s="77"/>
      <c r="AQ757" s="77"/>
      <c r="AR757" s="77"/>
      <c r="AS757" s="77"/>
      <c r="AT757" s="77"/>
      <c r="AU757" s="77"/>
      <c r="AV757" s="83" t="str">
        <f>HYPERLINK("https://pbs.twimg.com/profile_images/1642663980597379074/Qtc8M2PG_normal.jpg")</f>
        <v>https://pbs.twimg.com/profile_images/1642663980597379074/Qtc8M2PG_normal.jpg</v>
      </c>
      <c r="AW757" s="80" t="s">
        <v>16687</v>
      </c>
      <c r="AX757" s="80" t="s">
        <v>16687</v>
      </c>
      <c r="AY757" s="77"/>
      <c r="AZ757" s="80" t="s">
        <v>20380</v>
      </c>
      <c r="BA757" s="80" t="s">
        <v>20380</v>
      </c>
      <c r="BB757" s="80" t="s">
        <v>20380</v>
      </c>
      <c r="BC757" s="80" t="s">
        <v>16687</v>
      </c>
      <c r="BD757" s="80" t="s">
        <v>20641</v>
      </c>
      <c r="BE757" s="77"/>
      <c r="BF757" s="77"/>
      <c r="BG757" s="77"/>
      <c r="BH757" s="77"/>
      <c r="BI757" s="77"/>
    </row>
    <row r="758" spans="1:61" x14ac:dyDescent="0.25">
      <c r="A758" s="62" t="s">
        <v>516</v>
      </c>
      <c r="B758" s="62" t="s">
        <v>1792</v>
      </c>
      <c r="C758" s="63"/>
      <c r="D758" s="64"/>
      <c r="E758" s="65"/>
      <c r="F758" s="66"/>
      <c r="G758" s="63"/>
      <c r="H758" s="67"/>
      <c r="I758" s="68"/>
      <c r="J758" s="68"/>
      <c r="K758" s="32"/>
      <c r="L758" s="75">
        <v>758</v>
      </c>
      <c r="M758" s="75"/>
      <c r="N758" s="70"/>
      <c r="O758" s="77" t="s">
        <v>2081</v>
      </c>
      <c r="P758" s="79">
        <v>45138.583356481482</v>
      </c>
      <c r="Q758" s="77" t="s">
        <v>2737</v>
      </c>
      <c r="R758" s="77">
        <v>0</v>
      </c>
      <c r="S758" s="77">
        <v>0</v>
      </c>
      <c r="T758" s="77">
        <v>0</v>
      </c>
      <c r="U758" s="77">
        <v>0</v>
      </c>
      <c r="V758" s="77">
        <v>34</v>
      </c>
      <c r="W758" s="80" t="s">
        <v>6432</v>
      </c>
      <c r="X758" s="83" t="str">
        <f>HYPERLINK("https://www.perfil.com/noticias/canal-e/entidades-financieras-no-reguladas-por-el-banco-central-que-riesgos-trae-para-quienes-acuden-a-ellas.phtml")</f>
        <v>https://www.perfil.com/noticias/canal-e/entidades-financieras-no-reguladas-por-el-banco-central-que-riesgos-trae-para-quienes-acuden-a-ellas.phtml</v>
      </c>
      <c r="Y758" s="77" t="s">
        <v>8615</v>
      </c>
      <c r="Z758" s="77" t="s">
        <v>8935</v>
      </c>
      <c r="AA758" s="77"/>
      <c r="AB758" s="77"/>
      <c r="AC758" s="80" t="s">
        <v>10541</v>
      </c>
      <c r="AD758" s="77" t="s">
        <v>10620</v>
      </c>
      <c r="AE758" s="83" t="str">
        <f>HYPERLINK("https://twitter.com/canaleconomico/status/1686013857666306049")</f>
        <v>https://twitter.com/canaleconomico/status/1686013857666306049</v>
      </c>
      <c r="AF758" s="79">
        <v>45138.583356481482</v>
      </c>
      <c r="AG758" s="85">
        <v>45138</v>
      </c>
      <c r="AH758" s="80" t="s">
        <v>10845</v>
      </c>
      <c r="AI758" s="77" t="b">
        <v>0</v>
      </c>
      <c r="AJ758" s="77"/>
      <c r="AK758" s="77"/>
      <c r="AL758" s="77"/>
      <c r="AM758" s="77"/>
      <c r="AN758" s="77"/>
      <c r="AO758" s="77"/>
      <c r="AP758" s="77"/>
      <c r="AQ758" s="77"/>
      <c r="AR758" s="77"/>
      <c r="AS758" s="77"/>
      <c r="AT758" s="77"/>
      <c r="AU758" s="77"/>
      <c r="AV758" s="83" t="str">
        <f>HYPERLINK("https://pbs.twimg.com/profile_images/1642663980597379074/Qtc8M2PG_normal.jpg")</f>
        <v>https://pbs.twimg.com/profile_images/1642663980597379074/Qtc8M2PG_normal.jpg</v>
      </c>
      <c r="AW758" s="80" t="s">
        <v>16693</v>
      </c>
      <c r="AX758" s="80" t="s">
        <v>16693</v>
      </c>
      <c r="AY758" s="77"/>
      <c r="AZ758" s="80" t="s">
        <v>20380</v>
      </c>
      <c r="BA758" s="80" t="s">
        <v>20380</v>
      </c>
      <c r="BB758" s="80" t="s">
        <v>20380</v>
      </c>
      <c r="BC758" s="80" t="s">
        <v>16693</v>
      </c>
      <c r="BD758" s="80" t="s">
        <v>20641</v>
      </c>
      <c r="BE758" s="77"/>
      <c r="BF758" s="77"/>
      <c r="BG758" s="77"/>
      <c r="BH758" s="77"/>
      <c r="BI758" s="77"/>
    </row>
    <row r="759" spans="1:61" x14ac:dyDescent="0.25">
      <c r="A759" s="62" t="s">
        <v>516</v>
      </c>
      <c r="B759" s="62" t="s">
        <v>1792</v>
      </c>
      <c r="C759" s="63"/>
      <c r="D759" s="64"/>
      <c r="E759" s="65"/>
      <c r="F759" s="66"/>
      <c r="G759" s="63"/>
      <c r="H759" s="67"/>
      <c r="I759" s="68"/>
      <c r="J759" s="68"/>
      <c r="K759" s="32"/>
      <c r="L759" s="75">
        <v>759</v>
      </c>
      <c r="M759" s="75"/>
      <c r="N759" s="70"/>
      <c r="O759" s="77" t="s">
        <v>2081</v>
      </c>
      <c r="P759" s="79">
        <v>45051.750011574077</v>
      </c>
      <c r="Q759" s="77" t="s">
        <v>2738</v>
      </c>
      <c r="R759" s="77">
        <v>2</v>
      </c>
      <c r="S759" s="77">
        <v>2</v>
      </c>
      <c r="T759" s="77">
        <v>0</v>
      </c>
      <c r="U759" s="77">
        <v>0</v>
      </c>
      <c r="V759" s="77">
        <v>159</v>
      </c>
      <c r="W759" s="80" t="s">
        <v>6433</v>
      </c>
      <c r="X759" s="83" t="str">
        <f>HYPERLINK("https://www.perfil.com/noticias/canal-e/especialista-advierte-que-las-reservas-del-banco-central-estan-en-numeros-negativos.phtml")</f>
        <v>https://www.perfil.com/noticias/canal-e/especialista-advierte-que-las-reservas-del-banco-central-estan-en-numeros-negativos.phtml</v>
      </c>
      <c r="Y759" s="77" t="s">
        <v>8615</v>
      </c>
      <c r="Z759" s="77" t="s">
        <v>8936</v>
      </c>
      <c r="AA759" s="77"/>
      <c r="AB759" s="77"/>
      <c r="AC759" s="80" t="s">
        <v>10541</v>
      </c>
      <c r="AD759" s="77" t="s">
        <v>10620</v>
      </c>
      <c r="AE759" s="83" t="str">
        <f>HYPERLINK("https://twitter.com/canaleconomico/status/1654546505531809794")</f>
        <v>https://twitter.com/canaleconomico/status/1654546505531809794</v>
      </c>
      <c r="AF759" s="79">
        <v>45051.750011574077</v>
      </c>
      <c r="AG759" s="85">
        <v>45051</v>
      </c>
      <c r="AH759" s="80" t="s">
        <v>11300</v>
      </c>
      <c r="AI759" s="77" t="b">
        <v>0</v>
      </c>
      <c r="AJ759" s="77"/>
      <c r="AK759" s="77"/>
      <c r="AL759" s="77"/>
      <c r="AM759" s="77"/>
      <c r="AN759" s="77"/>
      <c r="AO759" s="77"/>
      <c r="AP759" s="77"/>
      <c r="AQ759" s="77"/>
      <c r="AR759" s="77"/>
      <c r="AS759" s="77"/>
      <c r="AT759" s="77"/>
      <c r="AU759" s="77"/>
      <c r="AV759" s="83" t="str">
        <f>HYPERLINK("https://pbs.twimg.com/profile_images/1642663980597379074/Qtc8M2PG_normal.jpg")</f>
        <v>https://pbs.twimg.com/profile_images/1642663980597379074/Qtc8M2PG_normal.jpg</v>
      </c>
      <c r="AW759" s="80" t="s">
        <v>16694</v>
      </c>
      <c r="AX759" s="80" t="s">
        <v>16694</v>
      </c>
      <c r="AY759" s="77"/>
      <c r="AZ759" s="80" t="s">
        <v>20380</v>
      </c>
      <c r="BA759" s="80" t="s">
        <v>20380</v>
      </c>
      <c r="BB759" s="80" t="s">
        <v>20380</v>
      </c>
      <c r="BC759" s="80" t="s">
        <v>16694</v>
      </c>
      <c r="BD759" s="80" t="s">
        <v>20641</v>
      </c>
      <c r="BE759" s="77"/>
      <c r="BF759" s="77"/>
      <c r="BG759" s="77"/>
      <c r="BH759" s="77"/>
      <c r="BI759" s="77"/>
    </row>
    <row r="760" spans="1:61" x14ac:dyDescent="0.25">
      <c r="A760" s="62" t="s">
        <v>516</v>
      </c>
      <c r="B760" s="62" t="s">
        <v>1792</v>
      </c>
      <c r="C760" s="63"/>
      <c r="D760" s="64"/>
      <c r="E760" s="65"/>
      <c r="F760" s="66"/>
      <c r="G760" s="63"/>
      <c r="H760" s="67"/>
      <c r="I760" s="68"/>
      <c r="J760" s="68"/>
      <c r="K760" s="32"/>
      <c r="L760" s="75">
        <v>760</v>
      </c>
      <c r="M760" s="75"/>
      <c r="N760" s="70"/>
      <c r="O760" s="77" t="s">
        <v>2081</v>
      </c>
      <c r="P760" s="79">
        <v>45078.6875</v>
      </c>
      <c r="Q760" s="77" t="s">
        <v>2739</v>
      </c>
      <c r="R760" s="77">
        <v>1</v>
      </c>
      <c r="S760" s="77">
        <v>0</v>
      </c>
      <c r="T760" s="77">
        <v>0</v>
      </c>
      <c r="U760" s="77">
        <v>0</v>
      </c>
      <c r="V760" s="77">
        <v>1569</v>
      </c>
      <c r="W760" s="80" t="s">
        <v>6434</v>
      </c>
      <c r="X760" s="83" t="str">
        <f>HYPERLINK("https://www.perfil.com/noticias/canal-e/damian-di-pace-lo-que-sergio-massa-habia-prometido-lo-logro-con-el-dolar-soja-iii.phtml")</f>
        <v>https://www.perfil.com/noticias/canal-e/damian-di-pace-lo-que-sergio-massa-habia-prometido-lo-logro-con-el-dolar-soja-iii.phtml</v>
      </c>
      <c r="Y760" s="77" t="s">
        <v>8615</v>
      </c>
      <c r="Z760" s="77" t="s">
        <v>8937</v>
      </c>
      <c r="AA760" s="77"/>
      <c r="AB760" s="77"/>
      <c r="AC760" s="80" t="s">
        <v>10541</v>
      </c>
      <c r="AD760" s="77" t="s">
        <v>10620</v>
      </c>
      <c r="AE760" s="83" t="str">
        <f>HYPERLINK("https://twitter.com/canaleconomico/status/1664308325855502337")</f>
        <v>https://twitter.com/canaleconomico/status/1664308325855502337</v>
      </c>
      <c r="AF760" s="79">
        <v>45078.6875</v>
      </c>
      <c r="AG760" s="85">
        <v>45078</v>
      </c>
      <c r="AH760" s="80" t="s">
        <v>10759</v>
      </c>
      <c r="AI760" s="77" t="b">
        <v>0</v>
      </c>
      <c r="AJ760" s="77"/>
      <c r="AK760" s="77"/>
      <c r="AL760" s="77"/>
      <c r="AM760" s="77"/>
      <c r="AN760" s="77"/>
      <c r="AO760" s="77"/>
      <c r="AP760" s="77"/>
      <c r="AQ760" s="77"/>
      <c r="AR760" s="77"/>
      <c r="AS760" s="77"/>
      <c r="AT760" s="77"/>
      <c r="AU760" s="77"/>
      <c r="AV760" s="83" t="str">
        <f>HYPERLINK("https://pbs.twimg.com/profile_images/1642663980597379074/Qtc8M2PG_normal.jpg")</f>
        <v>https://pbs.twimg.com/profile_images/1642663980597379074/Qtc8M2PG_normal.jpg</v>
      </c>
      <c r="AW760" s="80" t="s">
        <v>16695</v>
      </c>
      <c r="AX760" s="80" t="s">
        <v>16695</v>
      </c>
      <c r="AY760" s="77"/>
      <c r="AZ760" s="80" t="s">
        <v>20380</v>
      </c>
      <c r="BA760" s="80" t="s">
        <v>20380</v>
      </c>
      <c r="BB760" s="80" t="s">
        <v>20380</v>
      </c>
      <c r="BC760" s="80" t="s">
        <v>16695</v>
      </c>
      <c r="BD760" s="80" t="s">
        <v>20641</v>
      </c>
      <c r="BE760" s="77"/>
      <c r="BF760" s="77"/>
      <c r="BG760" s="77"/>
      <c r="BH760" s="77"/>
      <c r="BI760" s="77"/>
    </row>
    <row r="761" spans="1:61" x14ac:dyDescent="0.25">
      <c r="A761" s="62" t="s">
        <v>516</v>
      </c>
      <c r="B761" s="62" t="s">
        <v>1792</v>
      </c>
      <c r="C761" s="63"/>
      <c r="D761" s="64"/>
      <c r="E761" s="65"/>
      <c r="F761" s="66"/>
      <c r="G761" s="63"/>
      <c r="H761" s="67"/>
      <c r="I761" s="68"/>
      <c r="J761" s="68"/>
      <c r="K761" s="32"/>
      <c r="L761" s="75">
        <v>761</v>
      </c>
      <c r="M761" s="75"/>
      <c r="N761" s="70"/>
      <c r="O761" s="77" t="s">
        <v>2081</v>
      </c>
      <c r="P761" s="79">
        <v>45077.757974537039</v>
      </c>
      <c r="Q761" s="77" t="s">
        <v>2740</v>
      </c>
      <c r="R761" s="77">
        <v>1</v>
      </c>
      <c r="S761" s="77">
        <v>1</v>
      </c>
      <c r="T761" s="77">
        <v>0</v>
      </c>
      <c r="U761" s="77">
        <v>0</v>
      </c>
      <c r="V761" s="77">
        <v>180</v>
      </c>
      <c r="W761" s="80" t="s">
        <v>6435</v>
      </c>
      <c r="X761" s="83" t="str">
        <f>HYPERLINK("https://www.perfil.com/noticias/canal-e/miguel-ponce-estamos-en-manos-de-funcionarios-que-desconocen-como-funciona-el-comercio-exterior.phtml")</f>
        <v>https://www.perfil.com/noticias/canal-e/miguel-ponce-estamos-en-manos-de-funcionarios-que-desconocen-como-funciona-el-comercio-exterior.phtml</v>
      </c>
      <c r="Y761" s="77" t="s">
        <v>8615</v>
      </c>
      <c r="Z761" s="77" t="s">
        <v>8938</v>
      </c>
      <c r="AA761" s="77"/>
      <c r="AB761" s="77"/>
      <c r="AC761" s="80" t="s">
        <v>10541</v>
      </c>
      <c r="AD761" s="77" t="s">
        <v>10620</v>
      </c>
      <c r="AE761" s="83" t="str">
        <f>HYPERLINK("https://twitter.com/canaleconomico/status/1663971474569396224")</f>
        <v>https://twitter.com/canaleconomico/status/1663971474569396224</v>
      </c>
      <c r="AF761" s="79">
        <v>45077.757974537039</v>
      </c>
      <c r="AG761" s="85">
        <v>45077</v>
      </c>
      <c r="AH761" s="80" t="s">
        <v>11301</v>
      </c>
      <c r="AI761" s="77" t="b">
        <v>0</v>
      </c>
      <c r="AJ761" s="77"/>
      <c r="AK761" s="77"/>
      <c r="AL761" s="77"/>
      <c r="AM761" s="77"/>
      <c r="AN761" s="77"/>
      <c r="AO761" s="77"/>
      <c r="AP761" s="77"/>
      <c r="AQ761" s="77"/>
      <c r="AR761" s="77"/>
      <c r="AS761" s="77"/>
      <c r="AT761" s="77"/>
      <c r="AU761" s="77"/>
      <c r="AV761" s="83" t="str">
        <f>HYPERLINK("https://pbs.twimg.com/profile_images/1642663980597379074/Qtc8M2PG_normal.jpg")</f>
        <v>https://pbs.twimg.com/profile_images/1642663980597379074/Qtc8M2PG_normal.jpg</v>
      </c>
      <c r="AW761" s="80" t="s">
        <v>16696</v>
      </c>
      <c r="AX761" s="80" t="s">
        <v>16696</v>
      </c>
      <c r="AY761" s="77"/>
      <c r="AZ761" s="80" t="s">
        <v>20380</v>
      </c>
      <c r="BA761" s="80" t="s">
        <v>20380</v>
      </c>
      <c r="BB761" s="80" t="s">
        <v>20380</v>
      </c>
      <c r="BC761" s="80" t="s">
        <v>16696</v>
      </c>
      <c r="BD761" s="80" t="s">
        <v>20641</v>
      </c>
      <c r="BE761" s="77"/>
      <c r="BF761" s="77"/>
      <c r="BG761" s="77"/>
      <c r="BH761" s="77"/>
      <c r="BI761" s="77"/>
    </row>
    <row r="762" spans="1:61" x14ac:dyDescent="0.25">
      <c r="A762" s="62" t="s">
        <v>516</v>
      </c>
      <c r="B762" s="62" t="s">
        <v>1793</v>
      </c>
      <c r="C762" s="63"/>
      <c r="D762" s="64"/>
      <c r="E762" s="65"/>
      <c r="F762" s="66"/>
      <c r="G762" s="63"/>
      <c r="H762" s="67"/>
      <c r="I762" s="68"/>
      <c r="J762" s="68"/>
      <c r="K762" s="32"/>
      <c r="L762" s="75">
        <v>762</v>
      </c>
      <c r="M762" s="75"/>
      <c r="N762" s="70"/>
      <c r="O762" s="77" t="s">
        <v>2081</v>
      </c>
      <c r="P762" s="79">
        <v>45051.750011574077</v>
      </c>
      <c r="Q762" s="77" t="s">
        <v>2738</v>
      </c>
      <c r="R762" s="77">
        <v>2</v>
      </c>
      <c r="S762" s="77">
        <v>2</v>
      </c>
      <c r="T762" s="77">
        <v>0</v>
      </c>
      <c r="U762" s="77">
        <v>0</v>
      </c>
      <c r="V762" s="77">
        <v>159</v>
      </c>
      <c r="W762" s="80" t="s">
        <v>6433</v>
      </c>
      <c r="X762" s="83" t="str">
        <f>HYPERLINK("https://www.perfil.com/noticias/canal-e/especialista-advierte-que-las-reservas-del-banco-central-estan-en-numeros-negativos.phtml")</f>
        <v>https://www.perfil.com/noticias/canal-e/especialista-advierte-que-las-reservas-del-banco-central-estan-en-numeros-negativos.phtml</v>
      </c>
      <c r="Y762" s="77" t="s">
        <v>8615</v>
      </c>
      <c r="Z762" s="77" t="s">
        <v>8936</v>
      </c>
      <c r="AA762" s="77"/>
      <c r="AB762" s="77"/>
      <c r="AC762" s="80" t="s">
        <v>10541</v>
      </c>
      <c r="AD762" s="77" t="s">
        <v>10620</v>
      </c>
      <c r="AE762" s="83" t="str">
        <f>HYPERLINK("https://twitter.com/canaleconomico/status/1654546505531809794")</f>
        <v>https://twitter.com/canaleconomico/status/1654546505531809794</v>
      </c>
      <c r="AF762" s="79">
        <v>45051.750011574077</v>
      </c>
      <c r="AG762" s="85">
        <v>45051</v>
      </c>
      <c r="AH762" s="80" t="s">
        <v>11300</v>
      </c>
      <c r="AI762" s="77" t="b">
        <v>0</v>
      </c>
      <c r="AJ762" s="77"/>
      <c r="AK762" s="77"/>
      <c r="AL762" s="77"/>
      <c r="AM762" s="77"/>
      <c r="AN762" s="77"/>
      <c r="AO762" s="77"/>
      <c r="AP762" s="77"/>
      <c r="AQ762" s="77"/>
      <c r="AR762" s="77"/>
      <c r="AS762" s="77"/>
      <c r="AT762" s="77"/>
      <c r="AU762" s="77"/>
      <c r="AV762" s="83" t="str">
        <f>HYPERLINK("https://pbs.twimg.com/profile_images/1642663980597379074/Qtc8M2PG_normal.jpg")</f>
        <v>https://pbs.twimg.com/profile_images/1642663980597379074/Qtc8M2PG_normal.jpg</v>
      </c>
      <c r="AW762" s="80" t="s">
        <v>16694</v>
      </c>
      <c r="AX762" s="80" t="s">
        <v>16694</v>
      </c>
      <c r="AY762" s="77"/>
      <c r="AZ762" s="80" t="s">
        <v>20380</v>
      </c>
      <c r="BA762" s="80" t="s">
        <v>20380</v>
      </c>
      <c r="BB762" s="80" t="s">
        <v>20380</v>
      </c>
      <c r="BC762" s="80" t="s">
        <v>16694</v>
      </c>
      <c r="BD762" s="80" t="s">
        <v>20641</v>
      </c>
      <c r="BE762" s="77"/>
      <c r="BF762" s="77"/>
      <c r="BG762" s="77"/>
      <c r="BH762" s="77"/>
      <c r="BI762" s="77"/>
    </row>
    <row r="763" spans="1:61" x14ac:dyDescent="0.25">
      <c r="A763" s="62" t="s">
        <v>516</v>
      </c>
      <c r="B763" s="62" t="s">
        <v>1793</v>
      </c>
      <c r="C763" s="63"/>
      <c r="D763" s="64"/>
      <c r="E763" s="65"/>
      <c r="F763" s="66"/>
      <c r="G763" s="63"/>
      <c r="H763" s="67"/>
      <c r="I763" s="68"/>
      <c r="J763" s="68"/>
      <c r="K763" s="32"/>
      <c r="L763" s="75">
        <v>763</v>
      </c>
      <c r="M763" s="75"/>
      <c r="N763" s="70"/>
      <c r="O763" s="77" t="s">
        <v>2081</v>
      </c>
      <c r="P763" s="79">
        <v>45077.757974537039</v>
      </c>
      <c r="Q763" s="77" t="s">
        <v>2740</v>
      </c>
      <c r="R763" s="77">
        <v>1</v>
      </c>
      <c r="S763" s="77">
        <v>1</v>
      </c>
      <c r="T763" s="77">
        <v>0</v>
      </c>
      <c r="U763" s="77">
        <v>0</v>
      </c>
      <c r="V763" s="77">
        <v>180</v>
      </c>
      <c r="W763" s="80" t="s">
        <v>6435</v>
      </c>
      <c r="X763" s="83" t="str">
        <f>HYPERLINK("https://www.perfil.com/noticias/canal-e/miguel-ponce-estamos-en-manos-de-funcionarios-que-desconocen-como-funciona-el-comercio-exterior.phtml")</f>
        <v>https://www.perfil.com/noticias/canal-e/miguel-ponce-estamos-en-manos-de-funcionarios-que-desconocen-como-funciona-el-comercio-exterior.phtml</v>
      </c>
      <c r="Y763" s="77" t="s">
        <v>8615</v>
      </c>
      <c r="Z763" s="77" t="s">
        <v>8938</v>
      </c>
      <c r="AA763" s="77"/>
      <c r="AB763" s="77"/>
      <c r="AC763" s="80" t="s">
        <v>10541</v>
      </c>
      <c r="AD763" s="77" t="s">
        <v>10620</v>
      </c>
      <c r="AE763" s="83" t="str">
        <f>HYPERLINK("https://twitter.com/canaleconomico/status/1663971474569396224")</f>
        <v>https://twitter.com/canaleconomico/status/1663971474569396224</v>
      </c>
      <c r="AF763" s="79">
        <v>45077.757974537039</v>
      </c>
      <c r="AG763" s="85">
        <v>45077</v>
      </c>
      <c r="AH763" s="80" t="s">
        <v>11301</v>
      </c>
      <c r="AI763" s="77" t="b">
        <v>0</v>
      </c>
      <c r="AJ763" s="77"/>
      <c r="AK763" s="77"/>
      <c r="AL763" s="77"/>
      <c r="AM763" s="77"/>
      <c r="AN763" s="77"/>
      <c r="AO763" s="77"/>
      <c r="AP763" s="77"/>
      <c r="AQ763" s="77"/>
      <c r="AR763" s="77"/>
      <c r="AS763" s="77"/>
      <c r="AT763" s="77"/>
      <c r="AU763" s="77"/>
      <c r="AV763" s="83" t="str">
        <f>HYPERLINK("https://pbs.twimg.com/profile_images/1642663980597379074/Qtc8M2PG_normal.jpg")</f>
        <v>https://pbs.twimg.com/profile_images/1642663980597379074/Qtc8M2PG_normal.jpg</v>
      </c>
      <c r="AW763" s="80" t="s">
        <v>16696</v>
      </c>
      <c r="AX763" s="80" t="s">
        <v>16696</v>
      </c>
      <c r="AY763" s="77"/>
      <c r="AZ763" s="80" t="s">
        <v>20380</v>
      </c>
      <c r="BA763" s="80" t="s">
        <v>20380</v>
      </c>
      <c r="BB763" s="80" t="s">
        <v>20380</v>
      </c>
      <c r="BC763" s="80" t="s">
        <v>16696</v>
      </c>
      <c r="BD763" s="80" t="s">
        <v>20641</v>
      </c>
      <c r="BE763" s="77"/>
      <c r="BF763" s="77"/>
      <c r="BG763" s="77"/>
      <c r="BH763" s="77"/>
      <c r="BI763" s="77"/>
    </row>
    <row r="764" spans="1:61" x14ac:dyDescent="0.25">
      <c r="A764" s="62" t="s">
        <v>516</v>
      </c>
      <c r="B764" s="62" t="s">
        <v>1794</v>
      </c>
      <c r="C764" s="63"/>
      <c r="D764" s="64"/>
      <c r="E764" s="65"/>
      <c r="F764" s="66"/>
      <c r="G764" s="63"/>
      <c r="H764" s="67"/>
      <c r="I764" s="68"/>
      <c r="J764" s="68"/>
      <c r="K764" s="32"/>
      <c r="L764" s="75">
        <v>764</v>
      </c>
      <c r="M764" s="75"/>
      <c r="N764" s="70"/>
      <c r="O764" s="77" t="s">
        <v>2081</v>
      </c>
      <c r="P764" s="79">
        <v>45077.757974537039</v>
      </c>
      <c r="Q764" s="77" t="s">
        <v>2740</v>
      </c>
      <c r="R764" s="77">
        <v>1</v>
      </c>
      <c r="S764" s="77">
        <v>1</v>
      </c>
      <c r="T764" s="77">
        <v>0</v>
      </c>
      <c r="U764" s="77">
        <v>0</v>
      </c>
      <c r="V764" s="77">
        <v>180</v>
      </c>
      <c r="W764" s="80" t="s">
        <v>6435</v>
      </c>
      <c r="X764" s="83" t="str">
        <f>HYPERLINK("https://www.perfil.com/noticias/canal-e/miguel-ponce-estamos-en-manos-de-funcionarios-que-desconocen-como-funciona-el-comercio-exterior.phtml")</f>
        <v>https://www.perfil.com/noticias/canal-e/miguel-ponce-estamos-en-manos-de-funcionarios-que-desconocen-como-funciona-el-comercio-exterior.phtml</v>
      </c>
      <c r="Y764" s="77" t="s">
        <v>8615</v>
      </c>
      <c r="Z764" s="77" t="s">
        <v>8938</v>
      </c>
      <c r="AA764" s="77"/>
      <c r="AB764" s="77"/>
      <c r="AC764" s="80" t="s">
        <v>10541</v>
      </c>
      <c r="AD764" s="77" t="s">
        <v>10620</v>
      </c>
      <c r="AE764" s="83" t="str">
        <f>HYPERLINK("https://twitter.com/canaleconomico/status/1663971474569396224")</f>
        <v>https://twitter.com/canaleconomico/status/1663971474569396224</v>
      </c>
      <c r="AF764" s="79">
        <v>45077.757974537039</v>
      </c>
      <c r="AG764" s="85">
        <v>45077</v>
      </c>
      <c r="AH764" s="80" t="s">
        <v>11301</v>
      </c>
      <c r="AI764" s="77" t="b">
        <v>0</v>
      </c>
      <c r="AJ764" s="77"/>
      <c r="AK764" s="77"/>
      <c r="AL764" s="77"/>
      <c r="AM764" s="77"/>
      <c r="AN764" s="77"/>
      <c r="AO764" s="77"/>
      <c r="AP764" s="77"/>
      <c r="AQ764" s="77"/>
      <c r="AR764" s="77"/>
      <c r="AS764" s="77"/>
      <c r="AT764" s="77"/>
      <c r="AU764" s="77"/>
      <c r="AV764" s="83" t="str">
        <f>HYPERLINK("https://pbs.twimg.com/profile_images/1642663980597379074/Qtc8M2PG_normal.jpg")</f>
        <v>https://pbs.twimg.com/profile_images/1642663980597379074/Qtc8M2PG_normal.jpg</v>
      </c>
      <c r="AW764" s="80" t="s">
        <v>16696</v>
      </c>
      <c r="AX764" s="80" t="s">
        <v>16696</v>
      </c>
      <c r="AY764" s="77"/>
      <c r="AZ764" s="80" t="s">
        <v>20380</v>
      </c>
      <c r="BA764" s="80" t="s">
        <v>20380</v>
      </c>
      <c r="BB764" s="80" t="s">
        <v>20380</v>
      </c>
      <c r="BC764" s="80" t="s">
        <v>16696</v>
      </c>
      <c r="BD764" s="80" t="s">
        <v>20641</v>
      </c>
      <c r="BE764" s="77"/>
      <c r="BF764" s="77"/>
      <c r="BG764" s="77"/>
      <c r="BH764" s="77"/>
      <c r="BI764" s="77"/>
    </row>
    <row r="765" spans="1:61" x14ac:dyDescent="0.25">
      <c r="A765" s="62" t="s">
        <v>516</v>
      </c>
      <c r="B765" s="62" t="s">
        <v>516</v>
      </c>
      <c r="C765" s="63"/>
      <c r="D765" s="64"/>
      <c r="E765" s="65"/>
      <c r="F765" s="66"/>
      <c r="G765" s="63"/>
      <c r="H765" s="67"/>
      <c r="I765" s="68"/>
      <c r="J765" s="68"/>
      <c r="K765" s="32"/>
      <c r="L765" s="75">
        <v>765</v>
      </c>
      <c r="M765" s="75"/>
      <c r="N765" s="70"/>
      <c r="O765" s="77" t="s">
        <v>179</v>
      </c>
      <c r="P765" s="79">
        <v>45050.666689814818</v>
      </c>
      <c r="Q765" s="77" t="s">
        <v>2741</v>
      </c>
      <c r="R765" s="77">
        <v>0</v>
      </c>
      <c r="S765" s="77">
        <v>0</v>
      </c>
      <c r="T765" s="77">
        <v>0</v>
      </c>
      <c r="U765" s="77">
        <v>0</v>
      </c>
      <c r="V765" s="77">
        <v>114</v>
      </c>
      <c r="W765" s="80" t="s">
        <v>6436</v>
      </c>
      <c r="X765" s="83" t="str">
        <f>HYPERLINK("https://www.perfil.com/noticias/canal-e/asi-abrio-el-dolar-blue-en-la-jornada-de-este-jueves-4-de-mayo.phtml")</f>
        <v>https://www.perfil.com/noticias/canal-e/asi-abrio-el-dolar-blue-en-la-jornada-de-este-jueves-4-de-mayo.phtml</v>
      </c>
      <c r="Y765" s="77" t="s">
        <v>8615</v>
      </c>
      <c r="Z765" s="77"/>
      <c r="AA765" s="77"/>
      <c r="AB765" s="77"/>
      <c r="AC765" s="80" t="s">
        <v>10541</v>
      </c>
      <c r="AD765" s="77" t="s">
        <v>10620</v>
      </c>
      <c r="AE765" s="83" t="str">
        <f>HYPERLINK("https://twitter.com/canaleconomico/status/1654153922502598656")</f>
        <v>https://twitter.com/canaleconomico/status/1654153922502598656</v>
      </c>
      <c r="AF765" s="79">
        <v>45050.666689814818</v>
      </c>
      <c r="AG765" s="85">
        <v>45050</v>
      </c>
      <c r="AH765" s="80" t="s">
        <v>10872</v>
      </c>
      <c r="AI765" s="77" t="b">
        <v>0</v>
      </c>
      <c r="AJ765" s="77"/>
      <c r="AK765" s="77"/>
      <c r="AL765" s="77"/>
      <c r="AM765" s="77"/>
      <c r="AN765" s="77"/>
      <c r="AO765" s="77"/>
      <c r="AP765" s="77"/>
      <c r="AQ765" s="77"/>
      <c r="AR765" s="77"/>
      <c r="AS765" s="77"/>
      <c r="AT765" s="77"/>
      <c r="AU765" s="77"/>
      <c r="AV765" s="83" t="str">
        <f>HYPERLINK("https://pbs.twimg.com/profile_images/1642663980597379074/Qtc8M2PG_normal.jpg")</f>
        <v>https://pbs.twimg.com/profile_images/1642663980597379074/Qtc8M2PG_normal.jpg</v>
      </c>
      <c r="AW765" s="80" t="s">
        <v>16697</v>
      </c>
      <c r="AX765" s="80" t="s">
        <v>16697</v>
      </c>
      <c r="AY765" s="77"/>
      <c r="AZ765" s="80" t="s">
        <v>20380</v>
      </c>
      <c r="BA765" s="80" t="s">
        <v>20380</v>
      </c>
      <c r="BB765" s="80" t="s">
        <v>20380</v>
      </c>
      <c r="BC765" s="80" t="s">
        <v>16697</v>
      </c>
      <c r="BD765" s="80" t="s">
        <v>20641</v>
      </c>
      <c r="BE765" s="77"/>
      <c r="BF765" s="77"/>
      <c r="BG765" s="77"/>
      <c r="BH765" s="77"/>
      <c r="BI765" s="77"/>
    </row>
    <row r="766" spans="1:61" x14ac:dyDescent="0.25">
      <c r="A766" s="62" t="s">
        <v>516</v>
      </c>
      <c r="B766" s="62" t="s">
        <v>516</v>
      </c>
      <c r="C766" s="63"/>
      <c r="D766" s="64"/>
      <c r="E766" s="65"/>
      <c r="F766" s="66"/>
      <c r="G766" s="63"/>
      <c r="H766" s="67"/>
      <c r="I766" s="68"/>
      <c r="J766" s="68"/>
      <c r="K766" s="32"/>
      <c r="L766" s="75">
        <v>766</v>
      </c>
      <c r="M766" s="75"/>
      <c r="N766" s="70"/>
      <c r="O766" s="77" t="s">
        <v>179</v>
      </c>
      <c r="P766" s="79">
        <v>45168.895833333336</v>
      </c>
      <c r="Q766" s="77" t="s">
        <v>2742</v>
      </c>
      <c r="R766" s="77">
        <v>0</v>
      </c>
      <c r="S766" s="77">
        <v>0</v>
      </c>
      <c r="T766" s="77">
        <v>0</v>
      </c>
      <c r="U766" s="77">
        <v>0</v>
      </c>
      <c r="V766" s="77">
        <v>83</v>
      </c>
      <c r="W766" s="80" t="s">
        <v>6437</v>
      </c>
      <c r="X766" s="83" t="str">
        <f>HYPERLINK("https://www.perfil.com/noticias/bloomberg/bc-banco-central-de-argentina-preve-que-la-inflacion-mensual-superara-el-10-en-agosto.phtml")</f>
        <v>https://www.perfil.com/noticias/bloomberg/bc-banco-central-de-argentina-preve-que-la-inflacion-mensual-superara-el-10-en-agosto.phtml</v>
      </c>
      <c r="Y766" s="77" t="s">
        <v>8615</v>
      </c>
      <c r="Z766" s="77"/>
      <c r="AA766" s="77"/>
      <c r="AB766" s="77"/>
      <c r="AC766" s="80" t="s">
        <v>10541</v>
      </c>
      <c r="AD766" s="77" t="s">
        <v>10620</v>
      </c>
      <c r="AE766" s="83" t="str">
        <f>HYPERLINK("https://twitter.com/canaleconomico/status/1696998729952407575")</f>
        <v>https://twitter.com/canaleconomico/status/1696998729952407575</v>
      </c>
      <c r="AF766" s="79">
        <v>45168.895833333336</v>
      </c>
      <c r="AG766" s="85">
        <v>45168</v>
      </c>
      <c r="AH766" s="80" t="s">
        <v>10852</v>
      </c>
      <c r="AI766" s="77" t="b">
        <v>0</v>
      </c>
      <c r="AJ766" s="77"/>
      <c r="AK766" s="77"/>
      <c r="AL766" s="77"/>
      <c r="AM766" s="77"/>
      <c r="AN766" s="77"/>
      <c r="AO766" s="77"/>
      <c r="AP766" s="77"/>
      <c r="AQ766" s="77"/>
      <c r="AR766" s="77"/>
      <c r="AS766" s="77"/>
      <c r="AT766" s="77"/>
      <c r="AU766" s="77"/>
      <c r="AV766" s="83" t="str">
        <f>HYPERLINK("https://pbs.twimg.com/profile_images/1642663980597379074/Qtc8M2PG_normal.jpg")</f>
        <v>https://pbs.twimg.com/profile_images/1642663980597379074/Qtc8M2PG_normal.jpg</v>
      </c>
      <c r="AW766" s="80" t="s">
        <v>16698</v>
      </c>
      <c r="AX766" s="80" t="s">
        <v>16698</v>
      </c>
      <c r="AY766" s="77"/>
      <c r="AZ766" s="80" t="s">
        <v>20380</v>
      </c>
      <c r="BA766" s="80" t="s">
        <v>20380</v>
      </c>
      <c r="BB766" s="80" t="s">
        <v>20380</v>
      </c>
      <c r="BC766" s="80" t="s">
        <v>16698</v>
      </c>
      <c r="BD766" s="80" t="s">
        <v>20641</v>
      </c>
      <c r="BE766" s="77"/>
      <c r="BF766" s="77"/>
      <c r="BG766" s="77"/>
      <c r="BH766" s="77"/>
      <c r="BI766" s="77"/>
    </row>
    <row r="767" spans="1:61" x14ac:dyDescent="0.25">
      <c r="A767" s="62" t="s">
        <v>516</v>
      </c>
      <c r="B767" s="62" t="s">
        <v>516</v>
      </c>
      <c r="C767" s="63"/>
      <c r="D767" s="64"/>
      <c r="E767" s="65"/>
      <c r="F767" s="66"/>
      <c r="G767" s="63"/>
      <c r="H767" s="67"/>
      <c r="I767" s="68"/>
      <c r="J767" s="68"/>
      <c r="K767" s="32"/>
      <c r="L767" s="75">
        <v>767</v>
      </c>
      <c r="M767" s="75"/>
      <c r="N767" s="70"/>
      <c r="O767" s="77" t="s">
        <v>179</v>
      </c>
      <c r="P767" s="79">
        <v>45051.839016203703</v>
      </c>
      <c r="Q767" s="77" t="s">
        <v>2743</v>
      </c>
      <c r="R767" s="77">
        <v>1</v>
      </c>
      <c r="S767" s="77">
        <v>1</v>
      </c>
      <c r="T767" s="77">
        <v>0</v>
      </c>
      <c r="U767" s="77">
        <v>0</v>
      </c>
      <c r="V767" s="77">
        <v>106</v>
      </c>
      <c r="W767" s="80" t="s">
        <v>6436</v>
      </c>
      <c r="X767" s="83" t="str">
        <f>HYPERLINK("https://www.perfil.com/noticias/canal-e/el-dolar-blue-cerro-estable-este-viernes-5-de-mayo-y-se-fortalecen-las-reservas-del-banco-central.phtml")</f>
        <v>https://www.perfil.com/noticias/canal-e/el-dolar-blue-cerro-estable-este-viernes-5-de-mayo-y-se-fortalecen-las-reservas-del-banco-central.phtml</v>
      </c>
      <c r="Y767" s="77" t="s">
        <v>8615</v>
      </c>
      <c r="Z767" s="77"/>
      <c r="AA767" s="77"/>
      <c r="AB767" s="77"/>
      <c r="AC767" s="80" t="s">
        <v>10541</v>
      </c>
      <c r="AD767" s="77" t="s">
        <v>10620</v>
      </c>
      <c r="AE767" s="83" t="str">
        <f>HYPERLINK("https://twitter.com/canaleconomico/status/1654578761021509634")</f>
        <v>https://twitter.com/canaleconomico/status/1654578761021509634</v>
      </c>
      <c r="AF767" s="79">
        <v>45051.839016203703</v>
      </c>
      <c r="AG767" s="85">
        <v>45051</v>
      </c>
      <c r="AH767" s="80" t="s">
        <v>11302</v>
      </c>
      <c r="AI767" s="77" t="b">
        <v>0</v>
      </c>
      <c r="AJ767" s="77"/>
      <c r="AK767" s="77"/>
      <c r="AL767" s="77"/>
      <c r="AM767" s="77"/>
      <c r="AN767" s="77"/>
      <c r="AO767" s="77"/>
      <c r="AP767" s="77"/>
      <c r="AQ767" s="77"/>
      <c r="AR767" s="77"/>
      <c r="AS767" s="77"/>
      <c r="AT767" s="77"/>
      <c r="AU767" s="77"/>
      <c r="AV767" s="83" t="str">
        <f>HYPERLINK("https://pbs.twimg.com/profile_images/1642663980597379074/Qtc8M2PG_normal.jpg")</f>
        <v>https://pbs.twimg.com/profile_images/1642663980597379074/Qtc8M2PG_normal.jpg</v>
      </c>
      <c r="AW767" s="80" t="s">
        <v>16699</v>
      </c>
      <c r="AX767" s="80" t="s">
        <v>16699</v>
      </c>
      <c r="AY767" s="77"/>
      <c r="AZ767" s="80" t="s">
        <v>20380</v>
      </c>
      <c r="BA767" s="80" t="s">
        <v>20380</v>
      </c>
      <c r="BB767" s="80" t="s">
        <v>20380</v>
      </c>
      <c r="BC767" s="80" t="s">
        <v>16699</v>
      </c>
      <c r="BD767" s="80" t="s">
        <v>20641</v>
      </c>
      <c r="BE767" s="77"/>
      <c r="BF767" s="77"/>
      <c r="BG767" s="77"/>
      <c r="BH767" s="77"/>
      <c r="BI767" s="77"/>
    </row>
    <row r="768" spans="1:61" x14ac:dyDescent="0.25">
      <c r="A768" s="62" t="s">
        <v>516</v>
      </c>
      <c r="B768" s="62" t="s">
        <v>516</v>
      </c>
      <c r="C768" s="63"/>
      <c r="D768" s="64"/>
      <c r="E768" s="65"/>
      <c r="F768" s="66"/>
      <c r="G768" s="63"/>
      <c r="H768" s="67"/>
      <c r="I768" s="68"/>
      <c r="J768" s="68"/>
      <c r="K768" s="32"/>
      <c r="L768" s="75">
        <v>768</v>
      </c>
      <c r="M768" s="75"/>
      <c r="N768" s="70"/>
      <c r="O768" s="77" t="s">
        <v>179</v>
      </c>
      <c r="P768" s="79">
        <v>45196.8125</v>
      </c>
      <c r="Q768" s="77" t="s">
        <v>2744</v>
      </c>
      <c r="R768" s="77">
        <v>0</v>
      </c>
      <c r="S768" s="77">
        <v>1</v>
      </c>
      <c r="T768" s="77">
        <v>0</v>
      </c>
      <c r="U768" s="77">
        <v>0</v>
      </c>
      <c r="V768" s="77">
        <v>30</v>
      </c>
      <c r="W768" s="80" t="s">
        <v>6438</v>
      </c>
      <c r="X768" s="83" t="str">
        <f>HYPERLINK("https://www.perfil.com/noticias/bloomberg/bc-banco-central-de-brasil-ve-poco-probable-mayores-recortes-de-tasas.phtml")</f>
        <v>https://www.perfil.com/noticias/bloomberg/bc-banco-central-de-brasil-ve-poco-probable-mayores-recortes-de-tasas.phtml</v>
      </c>
      <c r="Y768" s="77" t="s">
        <v>8615</v>
      </c>
      <c r="Z768" s="77"/>
      <c r="AA768" s="77"/>
      <c r="AB768" s="77"/>
      <c r="AC768" s="80" t="s">
        <v>10541</v>
      </c>
      <c r="AD768" s="77" t="s">
        <v>10620</v>
      </c>
      <c r="AE768" s="83" t="str">
        <f>HYPERLINK("https://twitter.com/canaleconomico/status/1707115390164140221")</f>
        <v>https://twitter.com/canaleconomico/status/1707115390164140221</v>
      </c>
      <c r="AF768" s="79">
        <v>45196.8125</v>
      </c>
      <c r="AG768" s="85">
        <v>45196</v>
      </c>
      <c r="AH768" s="80" t="s">
        <v>10854</v>
      </c>
      <c r="AI768" s="77" t="b">
        <v>0</v>
      </c>
      <c r="AJ768" s="77"/>
      <c r="AK768" s="77"/>
      <c r="AL768" s="77"/>
      <c r="AM768" s="77"/>
      <c r="AN768" s="77"/>
      <c r="AO768" s="77"/>
      <c r="AP768" s="77"/>
      <c r="AQ768" s="77"/>
      <c r="AR768" s="77"/>
      <c r="AS768" s="77"/>
      <c r="AT768" s="77"/>
      <c r="AU768" s="77"/>
      <c r="AV768" s="83" t="str">
        <f>HYPERLINK("https://pbs.twimg.com/profile_images/1642663980597379074/Qtc8M2PG_normal.jpg")</f>
        <v>https://pbs.twimg.com/profile_images/1642663980597379074/Qtc8M2PG_normal.jpg</v>
      </c>
      <c r="AW768" s="80" t="s">
        <v>16700</v>
      </c>
      <c r="AX768" s="80" t="s">
        <v>16700</v>
      </c>
      <c r="AY768" s="77"/>
      <c r="AZ768" s="80" t="s">
        <v>20380</v>
      </c>
      <c r="BA768" s="80" t="s">
        <v>20380</v>
      </c>
      <c r="BB768" s="80" t="s">
        <v>20380</v>
      </c>
      <c r="BC768" s="80" t="s">
        <v>16700</v>
      </c>
      <c r="BD768" s="80" t="s">
        <v>20641</v>
      </c>
      <c r="BE768" s="77"/>
      <c r="BF768" s="77"/>
      <c r="BG768" s="77"/>
      <c r="BH768" s="77"/>
      <c r="BI768" s="77"/>
    </row>
    <row r="769" spans="1:61" x14ac:dyDescent="0.25">
      <c r="A769" s="62" t="s">
        <v>516</v>
      </c>
      <c r="B769" s="62" t="s">
        <v>516</v>
      </c>
      <c r="C769" s="63"/>
      <c r="D769" s="64"/>
      <c r="E769" s="65"/>
      <c r="F769" s="66"/>
      <c r="G769" s="63"/>
      <c r="H769" s="67"/>
      <c r="I769" s="68"/>
      <c r="J769" s="68"/>
      <c r="K769" s="32"/>
      <c r="L769" s="75">
        <v>769</v>
      </c>
      <c r="M769" s="75"/>
      <c r="N769" s="70"/>
      <c r="O769" s="77" t="s">
        <v>179</v>
      </c>
      <c r="P769" s="79">
        <v>45152.520833333336</v>
      </c>
      <c r="Q769" s="77" t="s">
        <v>2745</v>
      </c>
      <c r="R769" s="77">
        <v>0</v>
      </c>
      <c r="S769" s="77">
        <v>1</v>
      </c>
      <c r="T769" s="77">
        <v>0</v>
      </c>
      <c r="U769" s="77">
        <v>0</v>
      </c>
      <c r="V769" s="77">
        <v>95</v>
      </c>
      <c r="W769" s="80" t="s">
        <v>6439</v>
      </c>
      <c r="X769" s="83" t="str">
        <f>HYPERLINK("https://www.perfil.com/noticias/economia/se-puede-vivir-sin-el-banco-central.phtml")</f>
        <v>https://www.perfil.com/noticias/economia/se-puede-vivir-sin-el-banco-central.phtml</v>
      </c>
      <c r="Y769" s="77" t="s">
        <v>8615</v>
      </c>
      <c r="Z769" s="77"/>
      <c r="AA769" s="77"/>
      <c r="AB769" s="77"/>
      <c r="AC769" s="80" t="s">
        <v>10541</v>
      </c>
      <c r="AD769" s="77" t="s">
        <v>10620</v>
      </c>
      <c r="AE769" s="83" t="str">
        <f>HYPERLINK("https://twitter.com/canaleconomico/status/1691064628858802176")</f>
        <v>https://twitter.com/canaleconomico/status/1691064628858802176</v>
      </c>
      <c r="AF769" s="79">
        <v>45152.520833333336</v>
      </c>
      <c r="AG769" s="85">
        <v>45152</v>
      </c>
      <c r="AH769" s="80" t="s">
        <v>11303</v>
      </c>
      <c r="AI769" s="77" t="b">
        <v>0</v>
      </c>
      <c r="AJ769" s="77"/>
      <c r="AK769" s="77"/>
      <c r="AL769" s="77"/>
      <c r="AM769" s="77"/>
      <c r="AN769" s="77"/>
      <c r="AO769" s="77"/>
      <c r="AP769" s="77"/>
      <c r="AQ769" s="77"/>
      <c r="AR769" s="77"/>
      <c r="AS769" s="77"/>
      <c r="AT769" s="77"/>
      <c r="AU769" s="77"/>
      <c r="AV769" s="83" t="str">
        <f>HYPERLINK("https://pbs.twimg.com/profile_images/1642663980597379074/Qtc8M2PG_normal.jpg")</f>
        <v>https://pbs.twimg.com/profile_images/1642663980597379074/Qtc8M2PG_normal.jpg</v>
      </c>
      <c r="AW769" s="80" t="s">
        <v>16701</v>
      </c>
      <c r="AX769" s="80" t="s">
        <v>16701</v>
      </c>
      <c r="AY769" s="77"/>
      <c r="AZ769" s="80" t="s">
        <v>20380</v>
      </c>
      <c r="BA769" s="80" t="s">
        <v>20380</v>
      </c>
      <c r="BB769" s="80" t="s">
        <v>20380</v>
      </c>
      <c r="BC769" s="80" t="s">
        <v>16701</v>
      </c>
      <c r="BD769" s="80" t="s">
        <v>20641</v>
      </c>
      <c r="BE769" s="77"/>
      <c r="BF769" s="77"/>
      <c r="BG769" s="77"/>
      <c r="BH769" s="77"/>
      <c r="BI769" s="77"/>
    </row>
    <row r="770" spans="1:61" x14ac:dyDescent="0.25">
      <c r="A770" s="62" t="s">
        <v>517</v>
      </c>
      <c r="B770" s="62" t="s">
        <v>517</v>
      </c>
      <c r="C770" s="63"/>
      <c r="D770" s="64"/>
      <c r="E770" s="65"/>
      <c r="F770" s="66"/>
      <c r="G770" s="63"/>
      <c r="H770" s="67"/>
      <c r="I770" s="68"/>
      <c r="J770" s="68"/>
      <c r="K770" s="32"/>
      <c r="L770" s="75">
        <v>770</v>
      </c>
      <c r="M770" s="75"/>
      <c r="N770" s="70"/>
      <c r="O770" s="77" t="s">
        <v>179</v>
      </c>
      <c r="P770" s="79">
        <v>45067.016736111109</v>
      </c>
      <c r="Q770" s="77" t="s">
        <v>2746</v>
      </c>
      <c r="R770" s="77">
        <v>0</v>
      </c>
      <c r="S770" s="77">
        <v>1</v>
      </c>
      <c r="T770" s="77">
        <v>0</v>
      </c>
      <c r="U770" s="77">
        <v>0</v>
      </c>
      <c r="V770" s="77">
        <v>64</v>
      </c>
      <c r="W770" s="80" t="s">
        <v>6440</v>
      </c>
      <c r="X770" s="83" t="str">
        <f>HYPERLINK("https://lnkd.in/eBTsje_s")</f>
        <v>https://lnkd.in/eBTsje_s</v>
      </c>
      <c r="Y770" s="77" t="s">
        <v>8619</v>
      </c>
      <c r="Z770" s="77"/>
      <c r="AA770" s="77" t="s">
        <v>9253</v>
      </c>
      <c r="AB770" s="77" t="s">
        <v>10534</v>
      </c>
      <c r="AC770" s="80" t="s">
        <v>10541</v>
      </c>
      <c r="AD770" s="77" t="s">
        <v>10620</v>
      </c>
      <c r="AE770" s="83" t="str">
        <f>HYPERLINK("https://twitter.com/juanwpimentel/status/1660078980886560770")</f>
        <v>https://twitter.com/juanwpimentel/status/1660078980886560770</v>
      </c>
      <c r="AF770" s="79">
        <v>45067.016736111109</v>
      </c>
      <c r="AG770" s="85">
        <v>45067</v>
      </c>
      <c r="AH770" s="80" t="s">
        <v>11304</v>
      </c>
      <c r="AI770" s="77" t="b">
        <v>0</v>
      </c>
      <c r="AJ770" s="77"/>
      <c r="AK770" s="77"/>
      <c r="AL770" s="77"/>
      <c r="AM770" s="77"/>
      <c r="AN770" s="77"/>
      <c r="AO770" s="77"/>
      <c r="AP770" s="77"/>
      <c r="AQ770" s="77" t="s">
        <v>14735</v>
      </c>
      <c r="AR770" s="77">
        <v>59233</v>
      </c>
      <c r="AS770" s="77"/>
      <c r="AT770" s="77"/>
      <c r="AU770" s="77"/>
      <c r="AV770" s="83" t="str">
        <f>HYPERLINK("https://pbs.twimg.com/ext_tw_video_thumb/1660077855982616579/pu/img/nUS7BJMeziYSEm1r.jpg")</f>
        <v>https://pbs.twimg.com/ext_tw_video_thumb/1660077855982616579/pu/img/nUS7BJMeziYSEm1r.jpg</v>
      </c>
      <c r="AW770" s="80" t="s">
        <v>16702</v>
      </c>
      <c r="AX770" s="80" t="s">
        <v>16702</v>
      </c>
      <c r="AY770" s="77"/>
      <c r="AZ770" s="80" t="s">
        <v>20380</v>
      </c>
      <c r="BA770" s="80" t="s">
        <v>20380</v>
      </c>
      <c r="BB770" s="80" t="s">
        <v>20380</v>
      </c>
      <c r="BC770" s="80" t="s">
        <v>16702</v>
      </c>
      <c r="BD770" s="77">
        <v>103990421</v>
      </c>
      <c r="BE770" s="77"/>
      <c r="BF770" s="77"/>
      <c r="BG770" s="77"/>
      <c r="BH770" s="77"/>
      <c r="BI770" s="77"/>
    </row>
    <row r="771" spans="1:61" x14ac:dyDescent="0.25">
      <c r="A771" s="62" t="s">
        <v>518</v>
      </c>
      <c r="B771" s="62" t="s">
        <v>518</v>
      </c>
      <c r="C771" s="63"/>
      <c r="D771" s="64"/>
      <c r="E771" s="65"/>
      <c r="F771" s="66"/>
      <c r="G771" s="63"/>
      <c r="H771" s="67"/>
      <c r="I771" s="68"/>
      <c r="J771" s="68"/>
      <c r="K771" s="32"/>
      <c r="L771" s="75">
        <v>771</v>
      </c>
      <c r="M771" s="75"/>
      <c r="N771" s="70"/>
      <c r="O771" s="77" t="s">
        <v>179</v>
      </c>
      <c r="P771" s="79">
        <v>45053.088206018518</v>
      </c>
      <c r="Q771" s="77" t="s">
        <v>2747</v>
      </c>
      <c r="R771" s="77">
        <v>0</v>
      </c>
      <c r="S771" s="77">
        <v>0</v>
      </c>
      <c r="T771" s="77">
        <v>0</v>
      </c>
      <c r="U771" s="77">
        <v>0</v>
      </c>
      <c r="V771" s="77">
        <v>82</v>
      </c>
      <c r="W771" s="80" t="s">
        <v>6441</v>
      </c>
      <c r="X771" s="77"/>
      <c r="Y771" s="77"/>
      <c r="Z771" s="77"/>
      <c r="AA771" s="77" t="s">
        <v>9254</v>
      </c>
      <c r="AB771" s="77" t="s">
        <v>10534</v>
      </c>
      <c r="AC771" s="80" t="s">
        <v>10540</v>
      </c>
      <c r="AD771" s="77" t="s">
        <v>10617</v>
      </c>
      <c r="AE771" s="83" t="str">
        <f>HYPERLINK("https://twitter.com/mondinthalles/status/1655031450939301888")</f>
        <v>https://twitter.com/mondinthalles/status/1655031450939301888</v>
      </c>
      <c r="AF771" s="79">
        <v>45053.088206018518</v>
      </c>
      <c r="AG771" s="85">
        <v>45053</v>
      </c>
      <c r="AH771" s="80" t="s">
        <v>11305</v>
      </c>
      <c r="AI771" s="77" t="b">
        <v>0</v>
      </c>
      <c r="AJ771" s="77"/>
      <c r="AK771" s="77"/>
      <c r="AL771" s="77"/>
      <c r="AM771" s="77"/>
      <c r="AN771" s="77"/>
      <c r="AO771" s="77"/>
      <c r="AP771" s="77"/>
      <c r="AQ771" s="77" t="s">
        <v>14736</v>
      </c>
      <c r="AR771" s="77">
        <v>44969</v>
      </c>
      <c r="AS771" s="77"/>
      <c r="AT771" s="77"/>
      <c r="AU771" s="77"/>
      <c r="AV771" s="83" t="str">
        <f>HYPERLINK("https://pbs.twimg.com/ext_tw_video_thumb/1655031098106060800/pu/img/NlO5mBz7hzDrmEc6.jpg")</f>
        <v>https://pbs.twimg.com/ext_tw_video_thumb/1655031098106060800/pu/img/NlO5mBz7hzDrmEc6.jpg</v>
      </c>
      <c r="AW771" s="80" t="s">
        <v>16703</v>
      </c>
      <c r="AX771" s="80" t="s">
        <v>16703</v>
      </c>
      <c r="AY771" s="77"/>
      <c r="AZ771" s="80" t="s">
        <v>20380</v>
      </c>
      <c r="BA771" s="80" t="s">
        <v>20380</v>
      </c>
      <c r="BB771" s="80" t="s">
        <v>20380</v>
      </c>
      <c r="BC771" s="80" t="s">
        <v>16703</v>
      </c>
      <c r="BD771" s="77">
        <v>3240648647</v>
      </c>
      <c r="BE771" s="77"/>
      <c r="BF771" s="77"/>
      <c r="BG771" s="77"/>
      <c r="BH771" s="77"/>
      <c r="BI771" s="77"/>
    </row>
    <row r="772" spans="1:61" x14ac:dyDescent="0.25">
      <c r="A772" s="62" t="s">
        <v>518</v>
      </c>
      <c r="B772" s="62" t="s">
        <v>518</v>
      </c>
      <c r="C772" s="63"/>
      <c r="D772" s="64"/>
      <c r="E772" s="65"/>
      <c r="F772" s="66"/>
      <c r="G772" s="63"/>
      <c r="H772" s="67"/>
      <c r="I772" s="68"/>
      <c r="J772" s="68"/>
      <c r="K772" s="32"/>
      <c r="L772" s="75">
        <v>772</v>
      </c>
      <c r="M772" s="75"/>
      <c r="N772" s="70"/>
      <c r="O772" s="77" t="s">
        <v>179</v>
      </c>
      <c r="P772" s="79">
        <v>45066.992905092593</v>
      </c>
      <c r="Q772" s="77" t="s">
        <v>2748</v>
      </c>
      <c r="R772" s="77">
        <v>0</v>
      </c>
      <c r="S772" s="77">
        <v>0</v>
      </c>
      <c r="T772" s="77">
        <v>0</v>
      </c>
      <c r="U772" s="77">
        <v>0</v>
      </c>
      <c r="V772" s="77">
        <v>418</v>
      </c>
      <c r="W772" s="80" t="s">
        <v>6442</v>
      </c>
      <c r="X772" s="77"/>
      <c r="Y772" s="77"/>
      <c r="Z772" s="77"/>
      <c r="AA772" s="77" t="s">
        <v>9255</v>
      </c>
      <c r="AB772" s="77" t="s">
        <v>10534</v>
      </c>
      <c r="AC772" s="80" t="s">
        <v>10540</v>
      </c>
      <c r="AD772" s="77" t="s">
        <v>10617</v>
      </c>
      <c r="AE772" s="83" t="str">
        <f>HYPERLINK("https://twitter.com/mondinthalles/status/1660070346010009602")</f>
        <v>https://twitter.com/mondinthalles/status/1660070346010009602</v>
      </c>
      <c r="AF772" s="79">
        <v>45066.992905092593</v>
      </c>
      <c r="AG772" s="85">
        <v>45066</v>
      </c>
      <c r="AH772" s="80" t="s">
        <v>11306</v>
      </c>
      <c r="AI772" s="77" t="b">
        <v>0</v>
      </c>
      <c r="AJ772" s="77"/>
      <c r="AK772" s="77"/>
      <c r="AL772" s="77"/>
      <c r="AM772" s="77"/>
      <c r="AN772" s="77"/>
      <c r="AO772" s="77"/>
      <c r="AP772" s="77"/>
      <c r="AQ772" s="77" t="s">
        <v>14737</v>
      </c>
      <c r="AR772" s="77">
        <v>44936</v>
      </c>
      <c r="AS772" s="77"/>
      <c r="AT772" s="77"/>
      <c r="AU772" s="77"/>
      <c r="AV772" s="83" t="str">
        <f>HYPERLINK("https://pbs.twimg.com/ext_tw_video_thumb/1660069988781154305/pu/img/sO0u-xfThUAbfpEJ.jpg")</f>
        <v>https://pbs.twimg.com/ext_tw_video_thumb/1660069988781154305/pu/img/sO0u-xfThUAbfpEJ.jpg</v>
      </c>
      <c r="AW772" s="80" t="s">
        <v>16704</v>
      </c>
      <c r="AX772" s="80" t="s">
        <v>16704</v>
      </c>
      <c r="AY772" s="77"/>
      <c r="AZ772" s="80" t="s">
        <v>20380</v>
      </c>
      <c r="BA772" s="80" t="s">
        <v>20380</v>
      </c>
      <c r="BB772" s="80" t="s">
        <v>20380</v>
      </c>
      <c r="BC772" s="80" t="s">
        <v>16704</v>
      </c>
      <c r="BD772" s="77">
        <v>3240648647</v>
      </c>
      <c r="BE772" s="77"/>
      <c r="BF772" s="77"/>
      <c r="BG772" s="77"/>
      <c r="BH772" s="77"/>
      <c r="BI772" s="77"/>
    </row>
    <row r="773" spans="1:61" x14ac:dyDescent="0.25">
      <c r="A773" s="62" t="s">
        <v>518</v>
      </c>
      <c r="B773" s="62" t="s">
        <v>518</v>
      </c>
      <c r="C773" s="63"/>
      <c r="D773" s="64"/>
      <c r="E773" s="65"/>
      <c r="F773" s="66"/>
      <c r="G773" s="63"/>
      <c r="H773" s="67"/>
      <c r="I773" s="68"/>
      <c r="J773" s="68"/>
      <c r="K773" s="32"/>
      <c r="L773" s="75">
        <v>773</v>
      </c>
      <c r="M773" s="75"/>
      <c r="N773" s="70"/>
      <c r="O773" s="77" t="s">
        <v>179</v>
      </c>
      <c r="P773" s="79">
        <v>45074.145983796298</v>
      </c>
      <c r="Q773" s="77" t="s">
        <v>2749</v>
      </c>
      <c r="R773" s="77">
        <v>0</v>
      </c>
      <c r="S773" s="77">
        <v>0</v>
      </c>
      <c r="T773" s="77">
        <v>0</v>
      </c>
      <c r="U773" s="77">
        <v>0</v>
      </c>
      <c r="V773" s="77">
        <v>151</v>
      </c>
      <c r="W773" s="80" t="s">
        <v>6443</v>
      </c>
      <c r="X773" s="77"/>
      <c r="Y773" s="77"/>
      <c r="Z773" s="77"/>
      <c r="AA773" s="77" t="s">
        <v>9256</v>
      </c>
      <c r="AB773" s="77" t="s">
        <v>10534</v>
      </c>
      <c r="AC773" s="80" t="s">
        <v>10540</v>
      </c>
      <c r="AD773" s="77" t="s">
        <v>10617</v>
      </c>
      <c r="AE773" s="83" t="str">
        <f>HYPERLINK("https://twitter.com/mondinthalles/status/1662662533121994754")</f>
        <v>https://twitter.com/mondinthalles/status/1662662533121994754</v>
      </c>
      <c r="AF773" s="79">
        <v>45074.145983796298</v>
      </c>
      <c r="AG773" s="85">
        <v>45074</v>
      </c>
      <c r="AH773" s="80" t="s">
        <v>11307</v>
      </c>
      <c r="AI773" s="77" t="b">
        <v>0</v>
      </c>
      <c r="AJ773" s="77"/>
      <c r="AK773" s="77"/>
      <c r="AL773" s="77"/>
      <c r="AM773" s="77"/>
      <c r="AN773" s="77"/>
      <c r="AO773" s="77"/>
      <c r="AP773" s="77"/>
      <c r="AQ773" s="77" t="s">
        <v>14738</v>
      </c>
      <c r="AR773" s="77">
        <v>45009</v>
      </c>
      <c r="AS773" s="77"/>
      <c r="AT773" s="77"/>
      <c r="AU773" s="77"/>
      <c r="AV773" s="83" t="str">
        <f>HYPERLINK("https://pbs.twimg.com/ext_tw_video_thumb/1662662408815476737/pu/img/2vbCwveXAVVK84hI.jpg")</f>
        <v>https://pbs.twimg.com/ext_tw_video_thumb/1662662408815476737/pu/img/2vbCwveXAVVK84hI.jpg</v>
      </c>
      <c r="AW773" s="80" t="s">
        <v>16705</v>
      </c>
      <c r="AX773" s="80" t="s">
        <v>16705</v>
      </c>
      <c r="AY773" s="77"/>
      <c r="AZ773" s="80" t="s">
        <v>20380</v>
      </c>
      <c r="BA773" s="80" t="s">
        <v>20380</v>
      </c>
      <c r="BB773" s="80" t="s">
        <v>20380</v>
      </c>
      <c r="BC773" s="80" t="s">
        <v>16705</v>
      </c>
      <c r="BD773" s="77">
        <v>3240648647</v>
      </c>
      <c r="BE773" s="77"/>
      <c r="BF773" s="77"/>
      <c r="BG773" s="77"/>
      <c r="BH773" s="77"/>
      <c r="BI773" s="77"/>
    </row>
    <row r="774" spans="1:61" x14ac:dyDescent="0.25">
      <c r="A774" s="62" t="s">
        <v>518</v>
      </c>
      <c r="B774" s="62" t="s">
        <v>518</v>
      </c>
      <c r="C774" s="63"/>
      <c r="D774" s="64"/>
      <c r="E774" s="65"/>
      <c r="F774" s="66"/>
      <c r="G774" s="63"/>
      <c r="H774" s="67"/>
      <c r="I774" s="68"/>
      <c r="J774" s="68"/>
      <c r="K774" s="32"/>
      <c r="L774" s="75">
        <v>774</v>
      </c>
      <c r="M774" s="75"/>
      <c r="N774" s="70"/>
      <c r="O774" s="77" t="s">
        <v>179</v>
      </c>
      <c r="P774" s="79">
        <v>45074.145821759259</v>
      </c>
      <c r="Q774" s="77" t="s">
        <v>2750</v>
      </c>
      <c r="R774" s="77">
        <v>0</v>
      </c>
      <c r="S774" s="77">
        <v>0</v>
      </c>
      <c r="T774" s="77">
        <v>0</v>
      </c>
      <c r="U774" s="77">
        <v>0</v>
      </c>
      <c r="V774" s="77">
        <v>167</v>
      </c>
      <c r="W774" s="80" t="s">
        <v>6443</v>
      </c>
      <c r="X774" s="77"/>
      <c r="Y774" s="77"/>
      <c r="Z774" s="77"/>
      <c r="AA774" s="77" t="s">
        <v>9257</v>
      </c>
      <c r="AB774" s="77" t="s">
        <v>10534</v>
      </c>
      <c r="AC774" s="80" t="s">
        <v>10540</v>
      </c>
      <c r="AD774" s="77" t="s">
        <v>10617</v>
      </c>
      <c r="AE774" s="83" t="str">
        <f>HYPERLINK("https://twitter.com/mondinthalles/status/1662662475022516224")</f>
        <v>https://twitter.com/mondinthalles/status/1662662475022516224</v>
      </c>
      <c r="AF774" s="79">
        <v>45074.145821759259</v>
      </c>
      <c r="AG774" s="85">
        <v>45074</v>
      </c>
      <c r="AH774" s="80" t="s">
        <v>11308</v>
      </c>
      <c r="AI774" s="77" t="b">
        <v>0</v>
      </c>
      <c r="AJ774" s="77"/>
      <c r="AK774" s="77"/>
      <c r="AL774" s="77"/>
      <c r="AM774" s="77"/>
      <c r="AN774" s="77"/>
      <c r="AO774" s="77"/>
      <c r="AP774" s="77"/>
      <c r="AQ774" s="77" t="s">
        <v>14739</v>
      </c>
      <c r="AR774" s="77">
        <v>45009</v>
      </c>
      <c r="AS774" s="77"/>
      <c r="AT774" s="77"/>
      <c r="AU774" s="77"/>
      <c r="AV774" s="83" t="str">
        <f>HYPERLINK("https://pbs.twimg.com/ext_tw_video_thumb/1662662332307185665/pu/img/1h5L3RQ0AGgFtKBT.jpg")</f>
        <v>https://pbs.twimg.com/ext_tw_video_thumb/1662662332307185665/pu/img/1h5L3RQ0AGgFtKBT.jpg</v>
      </c>
      <c r="AW774" s="80" t="s">
        <v>16706</v>
      </c>
      <c r="AX774" s="80" t="s">
        <v>16706</v>
      </c>
      <c r="AY774" s="77"/>
      <c r="AZ774" s="80" t="s">
        <v>20380</v>
      </c>
      <c r="BA774" s="80" t="s">
        <v>20380</v>
      </c>
      <c r="BB774" s="80" t="s">
        <v>20380</v>
      </c>
      <c r="BC774" s="80" t="s">
        <v>16706</v>
      </c>
      <c r="BD774" s="77">
        <v>3240648647</v>
      </c>
      <c r="BE774" s="77"/>
      <c r="BF774" s="77"/>
      <c r="BG774" s="77"/>
      <c r="BH774" s="77"/>
      <c r="BI774" s="77"/>
    </row>
    <row r="775" spans="1:61" x14ac:dyDescent="0.25">
      <c r="A775" s="62" t="s">
        <v>519</v>
      </c>
      <c r="B775" s="62" t="s">
        <v>519</v>
      </c>
      <c r="C775" s="63"/>
      <c r="D775" s="64"/>
      <c r="E775" s="65"/>
      <c r="F775" s="66"/>
      <c r="G775" s="63"/>
      <c r="H775" s="67"/>
      <c r="I775" s="68"/>
      <c r="J775" s="68"/>
      <c r="K775" s="32"/>
      <c r="L775" s="75">
        <v>775</v>
      </c>
      <c r="M775" s="75"/>
      <c r="N775" s="70"/>
      <c r="O775" s="77" t="s">
        <v>179</v>
      </c>
      <c r="P775" s="79">
        <v>45106.92696759259</v>
      </c>
      <c r="Q775" s="77" t="s">
        <v>2751</v>
      </c>
      <c r="R775" s="77">
        <v>2</v>
      </c>
      <c r="S775" s="77">
        <v>3</v>
      </c>
      <c r="T775" s="77">
        <v>1</v>
      </c>
      <c r="U775" s="77">
        <v>2</v>
      </c>
      <c r="V775" s="77">
        <v>1034</v>
      </c>
      <c r="W775" s="80" t="s">
        <v>6444</v>
      </c>
      <c r="X775" s="83" t="str">
        <f>HYPERLINK("https://eldia.com.do/banco-central-reduce-su-tasa-de-politica-monetaria/")</f>
        <v>https://eldia.com.do/banco-central-reduce-su-tasa-de-politica-monetaria/</v>
      </c>
      <c r="Y775" s="77" t="s">
        <v>8625</v>
      </c>
      <c r="Z775" s="77"/>
      <c r="AA775" s="77" t="s">
        <v>9258</v>
      </c>
      <c r="AB775" s="77" t="s">
        <v>10535</v>
      </c>
      <c r="AC775" s="80" t="s">
        <v>10541</v>
      </c>
      <c r="AD775" s="77" t="s">
        <v>10620</v>
      </c>
      <c r="AE775" s="83" t="str">
        <f>HYPERLINK("https://twitter.com/eldia_do/status/1674541963415019520")</f>
        <v>https://twitter.com/eldia_do/status/1674541963415019520</v>
      </c>
      <c r="AF775" s="79">
        <v>45106.92696759259</v>
      </c>
      <c r="AG775" s="85">
        <v>45106</v>
      </c>
      <c r="AH775" s="80" t="s">
        <v>11309</v>
      </c>
      <c r="AI775" s="77" t="b">
        <v>0</v>
      </c>
      <c r="AJ775" s="77"/>
      <c r="AK775" s="77"/>
      <c r="AL775" s="77"/>
      <c r="AM775" s="77"/>
      <c r="AN775" s="77"/>
      <c r="AO775" s="77"/>
      <c r="AP775" s="77"/>
      <c r="AQ775" s="77" t="s">
        <v>14740</v>
      </c>
      <c r="AR775" s="77"/>
      <c r="AS775" s="77"/>
      <c r="AT775" s="77"/>
      <c r="AU775" s="77"/>
      <c r="AV775" s="83" t="str">
        <f>HYPERLINK("https://pbs.twimg.com/media/Fz0rCC4WwAAxhcL.jpg")</f>
        <v>https://pbs.twimg.com/media/Fz0rCC4WwAAxhcL.jpg</v>
      </c>
      <c r="AW775" s="80" t="s">
        <v>16707</v>
      </c>
      <c r="AX775" s="80" t="s">
        <v>16707</v>
      </c>
      <c r="AY775" s="77"/>
      <c r="AZ775" s="80" t="s">
        <v>20380</v>
      </c>
      <c r="BA775" s="80" t="s">
        <v>20380</v>
      </c>
      <c r="BB775" s="80" t="s">
        <v>20380</v>
      </c>
      <c r="BC775" s="80" t="s">
        <v>16707</v>
      </c>
      <c r="BD775" s="77">
        <v>143173757</v>
      </c>
      <c r="BE775" s="77"/>
      <c r="BF775" s="77"/>
      <c r="BG775" s="77"/>
      <c r="BH775" s="77"/>
      <c r="BI775" s="77"/>
    </row>
    <row r="776" spans="1:61" x14ac:dyDescent="0.25">
      <c r="A776" s="62" t="s">
        <v>519</v>
      </c>
      <c r="B776" s="62" t="s">
        <v>519</v>
      </c>
      <c r="C776" s="63"/>
      <c r="D776" s="64"/>
      <c r="E776" s="65"/>
      <c r="F776" s="66"/>
      <c r="G776" s="63"/>
      <c r="H776" s="67"/>
      <c r="I776" s="68"/>
      <c r="J776" s="68"/>
      <c r="K776" s="32"/>
      <c r="L776" s="75">
        <v>776</v>
      </c>
      <c r="M776" s="75"/>
      <c r="N776" s="70"/>
      <c r="O776" s="77" t="s">
        <v>179</v>
      </c>
      <c r="P776" s="79">
        <v>45127.482604166667</v>
      </c>
      <c r="Q776" s="77" t="s">
        <v>2752</v>
      </c>
      <c r="R776" s="77">
        <v>3</v>
      </c>
      <c r="S776" s="77">
        <v>4</v>
      </c>
      <c r="T776" s="77">
        <v>6</v>
      </c>
      <c r="U776" s="77">
        <v>0</v>
      </c>
      <c r="V776" s="77">
        <v>2160</v>
      </c>
      <c r="W776" s="80" t="s">
        <v>6445</v>
      </c>
      <c r="X776" s="83" t="str">
        <f>HYPERLINK("https://eldia.com.do/fondos-encaje-llegan-a-rd58741-millones")</f>
        <v>https://eldia.com.do/fondos-encaje-llegan-a-rd58741-millones</v>
      </c>
      <c r="Y776" s="77" t="s">
        <v>8625</v>
      </c>
      <c r="Z776" s="77"/>
      <c r="AA776" s="77"/>
      <c r="AB776" s="77"/>
      <c r="AC776" s="80" t="s">
        <v>10541</v>
      </c>
      <c r="AD776" s="77" t="s">
        <v>10620</v>
      </c>
      <c r="AE776" s="83" t="str">
        <f>HYPERLINK("https://twitter.com/eldia_do/status/1681991079493509120")</f>
        <v>https://twitter.com/eldia_do/status/1681991079493509120</v>
      </c>
      <c r="AF776" s="79">
        <v>45127.482604166667</v>
      </c>
      <c r="AG776" s="85">
        <v>45127</v>
      </c>
      <c r="AH776" s="80" t="s">
        <v>11310</v>
      </c>
      <c r="AI776" s="77" t="b">
        <v>0</v>
      </c>
      <c r="AJ776" s="77"/>
      <c r="AK776" s="77"/>
      <c r="AL776" s="77"/>
      <c r="AM776" s="77"/>
      <c r="AN776" s="77"/>
      <c r="AO776" s="77"/>
      <c r="AP776" s="77"/>
      <c r="AQ776" s="77"/>
      <c r="AR776" s="77"/>
      <c r="AS776" s="77"/>
      <c r="AT776" s="77"/>
      <c r="AU776" s="77"/>
      <c r="AV776" s="83" t="str">
        <f>HYPERLINK("https://pbs.twimg.com/profile_images/1612423167682682880/PDI49old_normal.jpg")</f>
        <v>https://pbs.twimg.com/profile_images/1612423167682682880/PDI49old_normal.jpg</v>
      </c>
      <c r="AW776" s="80" t="s">
        <v>16708</v>
      </c>
      <c r="AX776" s="80" t="s">
        <v>16708</v>
      </c>
      <c r="AY776" s="77"/>
      <c r="AZ776" s="80" t="s">
        <v>20380</v>
      </c>
      <c r="BA776" s="80" t="s">
        <v>20380</v>
      </c>
      <c r="BB776" s="80" t="s">
        <v>20380</v>
      </c>
      <c r="BC776" s="80" t="s">
        <v>16708</v>
      </c>
      <c r="BD776" s="77">
        <v>143173757</v>
      </c>
      <c r="BE776" s="77"/>
      <c r="BF776" s="77"/>
      <c r="BG776" s="77"/>
      <c r="BH776" s="77"/>
      <c r="BI776" s="77"/>
    </row>
    <row r="777" spans="1:61" x14ac:dyDescent="0.25">
      <c r="A777" s="62" t="s">
        <v>519</v>
      </c>
      <c r="B777" s="62" t="s">
        <v>519</v>
      </c>
      <c r="C777" s="63"/>
      <c r="D777" s="64"/>
      <c r="E777" s="65"/>
      <c r="F777" s="66"/>
      <c r="G777" s="63"/>
      <c r="H777" s="67"/>
      <c r="I777" s="68"/>
      <c r="J777" s="68"/>
      <c r="K777" s="32"/>
      <c r="L777" s="75">
        <v>777</v>
      </c>
      <c r="M777" s="75"/>
      <c r="N777" s="70"/>
      <c r="O777" s="77" t="s">
        <v>179</v>
      </c>
      <c r="P777" s="79">
        <v>45126.982858796298</v>
      </c>
      <c r="Q777" s="77" t="s">
        <v>2753</v>
      </c>
      <c r="R777" s="77">
        <v>0</v>
      </c>
      <c r="S777" s="77">
        <v>1</v>
      </c>
      <c r="T777" s="77">
        <v>1</v>
      </c>
      <c r="U777" s="77">
        <v>0</v>
      </c>
      <c r="V777" s="77">
        <v>1055</v>
      </c>
      <c r="W777" s="80" t="s">
        <v>6446</v>
      </c>
      <c r="X777" s="83" t="str">
        <f>HYPERLINK("https://eldia.com.do/banco-central-afirma-recursos-desembolsados-para-sectores-productivos-y-mipymes-alcanzan-rd58741-millones/")</f>
        <v>https://eldia.com.do/banco-central-afirma-recursos-desembolsados-para-sectores-productivos-y-mipymes-alcanzan-rd58741-millones/</v>
      </c>
      <c r="Y777" s="77" t="s">
        <v>8625</v>
      </c>
      <c r="Z777" s="77"/>
      <c r="AA777" s="77"/>
      <c r="AB777" s="77"/>
      <c r="AC777" s="80" t="s">
        <v>10552</v>
      </c>
      <c r="AD777" s="77" t="s">
        <v>10620</v>
      </c>
      <c r="AE777" s="83" t="str">
        <f>HYPERLINK("https://twitter.com/eldia_do/status/1681809977403482112")</f>
        <v>https://twitter.com/eldia_do/status/1681809977403482112</v>
      </c>
      <c r="AF777" s="79">
        <v>45126.982858796298</v>
      </c>
      <c r="AG777" s="85">
        <v>45126</v>
      </c>
      <c r="AH777" s="80" t="s">
        <v>11311</v>
      </c>
      <c r="AI777" s="77" t="b">
        <v>0</v>
      </c>
      <c r="AJ777" s="77"/>
      <c r="AK777" s="77"/>
      <c r="AL777" s="77"/>
      <c r="AM777" s="77"/>
      <c r="AN777" s="77"/>
      <c r="AO777" s="77"/>
      <c r="AP777" s="77"/>
      <c r="AQ777" s="77"/>
      <c r="AR777" s="77"/>
      <c r="AS777" s="77"/>
      <c r="AT777" s="77"/>
      <c r="AU777" s="77"/>
      <c r="AV777" s="83" t="str">
        <f>HYPERLINK("https://pbs.twimg.com/profile_images/1612423167682682880/PDI49old_normal.jpg")</f>
        <v>https://pbs.twimg.com/profile_images/1612423167682682880/PDI49old_normal.jpg</v>
      </c>
      <c r="AW777" s="80" t="s">
        <v>16709</v>
      </c>
      <c r="AX777" s="80" t="s">
        <v>16709</v>
      </c>
      <c r="AY777" s="77"/>
      <c r="AZ777" s="80" t="s">
        <v>20380</v>
      </c>
      <c r="BA777" s="80" t="s">
        <v>20380</v>
      </c>
      <c r="BB777" s="80" t="s">
        <v>20380</v>
      </c>
      <c r="BC777" s="80" t="s">
        <v>16709</v>
      </c>
      <c r="BD777" s="77">
        <v>143173757</v>
      </c>
      <c r="BE777" s="77"/>
      <c r="BF777" s="77"/>
      <c r="BG777" s="77"/>
      <c r="BH777" s="77"/>
      <c r="BI777" s="77"/>
    </row>
    <row r="778" spans="1:61" x14ac:dyDescent="0.25">
      <c r="A778" s="62" t="s">
        <v>519</v>
      </c>
      <c r="B778" s="62" t="s">
        <v>519</v>
      </c>
      <c r="C778" s="63"/>
      <c r="D778" s="64"/>
      <c r="E778" s="65"/>
      <c r="F778" s="66"/>
      <c r="G778" s="63"/>
      <c r="H778" s="67"/>
      <c r="I778" s="68"/>
      <c r="J778" s="68"/>
      <c r="K778" s="32"/>
      <c r="L778" s="75">
        <v>778</v>
      </c>
      <c r="M778" s="75"/>
      <c r="N778" s="70"/>
      <c r="O778" s="77" t="s">
        <v>179</v>
      </c>
      <c r="P778" s="79">
        <v>45103.704074074078</v>
      </c>
      <c r="Q778" s="77" t="s">
        <v>2754</v>
      </c>
      <c r="R778" s="77">
        <v>0</v>
      </c>
      <c r="S778" s="77">
        <v>0</v>
      </c>
      <c r="T778" s="77">
        <v>0</v>
      </c>
      <c r="U778" s="77">
        <v>0</v>
      </c>
      <c r="V778" s="77">
        <v>620</v>
      </c>
      <c r="W778" s="80" t="s">
        <v>6447</v>
      </c>
      <c r="X778" s="83" t="str">
        <f>HYPERLINK("https://eldia.com.do/ciclos-de-politicas-monetarias")</f>
        <v>https://eldia.com.do/ciclos-de-politicas-monetarias</v>
      </c>
      <c r="Y778" s="77" t="s">
        <v>8625</v>
      </c>
      <c r="Z778" s="77"/>
      <c r="AA778" s="77"/>
      <c r="AB778" s="77"/>
      <c r="AC778" s="80" t="s">
        <v>10552</v>
      </c>
      <c r="AD778" s="77" t="s">
        <v>10620</v>
      </c>
      <c r="AE778" s="83" t="str">
        <f>HYPERLINK("https://twitter.com/eldia_do/status/1673374029107920896")</f>
        <v>https://twitter.com/eldia_do/status/1673374029107920896</v>
      </c>
      <c r="AF778" s="79">
        <v>45103.704074074078</v>
      </c>
      <c r="AG778" s="85">
        <v>45103</v>
      </c>
      <c r="AH778" s="80" t="s">
        <v>11312</v>
      </c>
      <c r="AI778" s="77" t="b">
        <v>0</v>
      </c>
      <c r="AJ778" s="77"/>
      <c r="AK778" s="77"/>
      <c r="AL778" s="77"/>
      <c r="AM778" s="77"/>
      <c r="AN778" s="77"/>
      <c r="AO778" s="77"/>
      <c r="AP778" s="77"/>
      <c r="AQ778" s="77"/>
      <c r="AR778" s="77"/>
      <c r="AS778" s="77"/>
      <c r="AT778" s="77"/>
      <c r="AU778" s="77"/>
      <c r="AV778" s="83" t="str">
        <f>HYPERLINK("https://pbs.twimg.com/profile_images/1612423167682682880/PDI49old_normal.jpg")</f>
        <v>https://pbs.twimg.com/profile_images/1612423167682682880/PDI49old_normal.jpg</v>
      </c>
      <c r="AW778" s="80" t="s">
        <v>16710</v>
      </c>
      <c r="AX778" s="80" t="s">
        <v>16710</v>
      </c>
      <c r="AY778" s="77"/>
      <c r="AZ778" s="80" t="s">
        <v>20380</v>
      </c>
      <c r="BA778" s="80" t="s">
        <v>20380</v>
      </c>
      <c r="BB778" s="80" t="s">
        <v>20380</v>
      </c>
      <c r="BC778" s="80" t="s">
        <v>16710</v>
      </c>
      <c r="BD778" s="77">
        <v>143173757</v>
      </c>
      <c r="BE778" s="77"/>
      <c r="BF778" s="77"/>
      <c r="BG778" s="77"/>
      <c r="BH778" s="77"/>
      <c r="BI778" s="77"/>
    </row>
    <row r="779" spans="1:61" x14ac:dyDescent="0.25">
      <c r="A779" s="62" t="s">
        <v>519</v>
      </c>
      <c r="B779" s="62" t="s">
        <v>519</v>
      </c>
      <c r="C779" s="63"/>
      <c r="D779" s="64"/>
      <c r="E779" s="65"/>
      <c r="F779" s="66"/>
      <c r="G779" s="63"/>
      <c r="H779" s="67"/>
      <c r="I779" s="68"/>
      <c r="J779" s="68"/>
      <c r="K779" s="32"/>
      <c r="L779" s="75">
        <v>779</v>
      </c>
      <c r="M779" s="75"/>
      <c r="N779" s="70"/>
      <c r="O779" s="77" t="s">
        <v>179</v>
      </c>
      <c r="P779" s="79">
        <v>45090.756099537037</v>
      </c>
      <c r="Q779" s="77" t="s">
        <v>2755</v>
      </c>
      <c r="R779" s="77">
        <v>3</v>
      </c>
      <c r="S779" s="77">
        <v>4</v>
      </c>
      <c r="T779" s="77">
        <v>0</v>
      </c>
      <c r="U779" s="77">
        <v>0</v>
      </c>
      <c r="V779" s="77">
        <v>965</v>
      </c>
      <c r="W779" s="80" t="s">
        <v>6448</v>
      </c>
      <c r="X779" s="83" t="str">
        <f>HYPERLINK("https://eldia.com.do/remesas-rondaron-los-us4200-millones-en-los-primeros-cinco-meses-de-2023")</f>
        <v>https://eldia.com.do/remesas-rondaron-los-us4200-millones-en-los-primeros-cinco-meses-de-2023</v>
      </c>
      <c r="Y779" s="77" t="s">
        <v>8625</v>
      </c>
      <c r="Z779" s="77"/>
      <c r="AA779" s="77"/>
      <c r="AB779" s="77"/>
      <c r="AC779" s="80" t="s">
        <v>10541</v>
      </c>
      <c r="AD779" s="77" t="s">
        <v>10620</v>
      </c>
      <c r="AE779" s="83" t="str">
        <f>HYPERLINK("https://twitter.com/eldia_do/status/1668681840238927887")</f>
        <v>https://twitter.com/eldia_do/status/1668681840238927887</v>
      </c>
      <c r="AF779" s="79">
        <v>45090.756099537037</v>
      </c>
      <c r="AG779" s="85">
        <v>45090</v>
      </c>
      <c r="AH779" s="80" t="s">
        <v>11313</v>
      </c>
      <c r="AI779" s="77" t="b">
        <v>0</v>
      </c>
      <c r="AJ779" s="77"/>
      <c r="AK779" s="77"/>
      <c r="AL779" s="77"/>
      <c r="AM779" s="77"/>
      <c r="AN779" s="77"/>
      <c r="AO779" s="77"/>
      <c r="AP779" s="77"/>
      <c r="AQ779" s="77"/>
      <c r="AR779" s="77"/>
      <c r="AS779" s="77"/>
      <c r="AT779" s="77"/>
      <c r="AU779" s="77"/>
      <c r="AV779" s="83" t="str">
        <f>HYPERLINK("https://pbs.twimg.com/profile_images/1612423167682682880/PDI49old_normal.jpg")</f>
        <v>https://pbs.twimg.com/profile_images/1612423167682682880/PDI49old_normal.jpg</v>
      </c>
      <c r="AW779" s="80" t="s">
        <v>16711</v>
      </c>
      <c r="AX779" s="80" t="s">
        <v>16711</v>
      </c>
      <c r="AY779" s="77"/>
      <c r="AZ779" s="80" t="s">
        <v>20380</v>
      </c>
      <c r="BA779" s="80" t="s">
        <v>20380</v>
      </c>
      <c r="BB779" s="80" t="s">
        <v>20380</v>
      </c>
      <c r="BC779" s="80" t="s">
        <v>16711</v>
      </c>
      <c r="BD779" s="77">
        <v>143173757</v>
      </c>
      <c r="BE779" s="77"/>
      <c r="BF779" s="77"/>
      <c r="BG779" s="77"/>
      <c r="BH779" s="77"/>
      <c r="BI779" s="77"/>
    </row>
    <row r="780" spans="1:61" x14ac:dyDescent="0.25">
      <c r="A780" s="62" t="s">
        <v>519</v>
      </c>
      <c r="B780" s="62" t="s">
        <v>519</v>
      </c>
      <c r="C780" s="63"/>
      <c r="D780" s="64"/>
      <c r="E780" s="65"/>
      <c r="F780" s="66"/>
      <c r="G780" s="63"/>
      <c r="H780" s="67"/>
      <c r="I780" s="68"/>
      <c r="J780" s="68"/>
      <c r="K780" s="32"/>
      <c r="L780" s="75">
        <v>780</v>
      </c>
      <c r="M780" s="75"/>
      <c r="N780" s="70"/>
      <c r="O780" s="77" t="s">
        <v>179</v>
      </c>
      <c r="P780" s="79">
        <v>45079.553587962961</v>
      </c>
      <c r="Q780" s="77" t="s">
        <v>2756</v>
      </c>
      <c r="R780" s="77">
        <v>3</v>
      </c>
      <c r="S780" s="77">
        <v>7</v>
      </c>
      <c r="T780" s="77">
        <v>1</v>
      </c>
      <c r="U780" s="77">
        <v>0</v>
      </c>
      <c r="V780" s="77">
        <v>1792</v>
      </c>
      <c r="W780" s="80" t="s">
        <v>6449</v>
      </c>
      <c r="X780" s="83" t="str">
        <f>HYPERLINK("https://eldia.com.do/banco-central-libera-rd34-mil-millones-del-encaje-legal-para-sectores")</f>
        <v>https://eldia.com.do/banco-central-libera-rd34-mil-millones-del-encaje-legal-para-sectores</v>
      </c>
      <c r="Y780" s="77" t="s">
        <v>8625</v>
      </c>
      <c r="Z780" s="77"/>
      <c r="AA780" s="77"/>
      <c r="AB780" s="77"/>
      <c r="AC780" s="80" t="s">
        <v>10541</v>
      </c>
      <c r="AD780" s="77" t="s">
        <v>10620</v>
      </c>
      <c r="AE780" s="83" t="str">
        <f>HYPERLINK("https://twitter.com/eldia_do/status/1664622182285148160")</f>
        <v>https://twitter.com/eldia_do/status/1664622182285148160</v>
      </c>
      <c r="AF780" s="79">
        <v>45079.553587962961</v>
      </c>
      <c r="AG780" s="85">
        <v>45079</v>
      </c>
      <c r="AH780" s="80" t="s">
        <v>11314</v>
      </c>
      <c r="AI780" s="77" t="b">
        <v>0</v>
      </c>
      <c r="AJ780" s="77"/>
      <c r="AK780" s="77"/>
      <c r="AL780" s="77"/>
      <c r="AM780" s="77"/>
      <c r="AN780" s="77"/>
      <c r="AO780" s="77"/>
      <c r="AP780" s="77"/>
      <c r="AQ780" s="77"/>
      <c r="AR780" s="77"/>
      <c r="AS780" s="77"/>
      <c r="AT780" s="77"/>
      <c r="AU780" s="77"/>
      <c r="AV780" s="83" t="str">
        <f>HYPERLINK("https://pbs.twimg.com/profile_images/1612423167682682880/PDI49old_normal.jpg")</f>
        <v>https://pbs.twimg.com/profile_images/1612423167682682880/PDI49old_normal.jpg</v>
      </c>
      <c r="AW780" s="80" t="s">
        <v>16712</v>
      </c>
      <c r="AX780" s="80" t="s">
        <v>16712</v>
      </c>
      <c r="AY780" s="77"/>
      <c r="AZ780" s="80" t="s">
        <v>20380</v>
      </c>
      <c r="BA780" s="80" t="s">
        <v>20380</v>
      </c>
      <c r="BB780" s="80" t="s">
        <v>20380</v>
      </c>
      <c r="BC780" s="80" t="s">
        <v>16712</v>
      </c>
      <c r="BD780" s="77">
        <v>143173757</v>
      </c>
      <c r="BE780" s="77"/>
      <c r="BF780" s="77"/>
      <c r="BG780" s="77"/>
      <c r="BH780" s="77"/>
      <c r="BI780" s="77"/>
    </row>
    <row r="781" spans="1:61" x14ac:dyDescent="0.25">
      <c r="A781" s="62" t="s">
        <v>519</v>
      </c>
      <c r="B781" s="62" t="s">
        <v>519</v>
      </c>
      <c r="C781" s="63"/>
      <c r="D781" s="64"/>
      <c r="E781" s="65"/>
      <c r="F781" s="66"/>
      <c r="G781" s="63"/>
      <c r="H781" s="67"/>
      <c r="I781" s="68"/>
      <c r="J781" s="68"/>
      <c r="K781" s="32"/>
      <c r="L781" s="75">
        <v>781</v>
      </c>
      <c r="M781" s="75"/>
      <c r="N781" s="70"/>
      <c r="O781" s="77" t="s">
        <v>179</v>
      </c>
      <c r="P781" s="79">
        <v>45152.546388888892</v>
      </c>
      <c r="Q781" s="77" t="s">
        <v>2757</v>
      </c>
      <c r="R781" s="77">
        <v>0</v>
      </c>
      <c r="S781" s="77">
        <v>6</v>
      </c>
      <c r="T781" s="77">
        <v>7</v>
      </c>
      <c r="U781" s="77">
        <v>0</v>
      </c>
      <c r="V781" s="77">
        <v>783</v>
      </c>
      <c r="W781" s="80" t="s">
        <v>6450</v>
      </c>
      <c r="X781" s="83" t="str">
        <f>HYPERLINK("https://eldia.com.do/santos-asegura-economia-se-fortalece")</f>
        <v>https://eldia.com.do/santos-asegura-economia-se-fortalece</v>
      </c>
      <c r="Y781" s="77" t="s">
        <v>8625</v>
      </c>
      <c r="Z781" s="77"/>
      <c r="AA781" s="77"/>
      <c r="AB781" s="77"/>
      <c r="AC781" s="80" t="s">
        <v>10541</v>
      </c>
      <c r="AD781" s="77" t="s">
        <v>10620</v>
      </c>
      <c r="AE781" s="83" t="str">
        <f>HYPERLINK("https://twitter.com/eldia_do/status/1691073889353314305")</f>
        <v>https://twitter.com/eldia_do/status/1691073889353314305</v>
      </c>
      <c r="AF781" s="79">
        <v>45152.546388888892</v>
      </c>
      <c r="AG781" s="85">
        <v>45152</v>
      </c>
      <c r="AH781" s="80" t="s">
        <v>11315</v>
      </c>
      <c r="AI781" s="77" t="b">
        <v>0</v>
      </c>
      <c r="AJ781" s="77"/>
      <c r="AK781" s="77"/>
      <c r="AL781" s="77"/>
      <c r="AM781" s="77"/>
      <c r="AN781" s="77"/>
      <c r="AO781" s="77"/>
      <c r="AP781" s="77"/>
      <c r="AQ781" s="77"/>
      <c r="AR781" s="77"/>
      <c r="AS781" s="77"/>
      <c r="AT781" s="77"/>
      <c r="AU781" s="77"/>
      <c r="AV781" s="83" t="str">
        <f>HYPERLINK("https://pbs.twimg.com/profile_images/1612423167682682880/PDI49old_normal.jpg")</f>
        <v>https://pbs.twimg.com/profile_images/1612423167682682880/PDI49old_normal.jpg</v>
      </c>
      <c r="AW781" s="80" t="s">
        <v>16713</v>
      </c>
      <c r="AX781" s="80" t="s">
        <v>16713</v>
      </c>
      <c r="AY781" s="77"/>
      <c r="AZ781" s="80" t="s">
        <v>20380</v>
      </c>
      <c r="BA781" s="80" t="s">
        <v>20380</v>
      </c>
      <c r="BB781" s="80" t="s">
        <v>20380</v>
      </c>
      <c r="BC781" s="80" t="s">
        <v>16713</v>
      </c>
      <c r="BD781" s="77">
        <v>143173757</v>
      </c>
      <c r="BE781" s="77"/>
      <c r="BF781" s="77"/>
      <c r="BG781" s="77"/>
      <c r="BH781" s="77"/>
      <c r="BI781" s="77"/>
    </row>
    <row r="782" spans="1:61" x14ac:dyDescent="0.25">
      <c r="A782" s="62" t="s">
        <v>519</v>
      </c>
      <c r="B782" s="62" t="s">
        <v>519</v>
      </c>
      <c r="C782" s="63"/>
      <c r="D782" s="64"/>
      <c r="E782" s="65"/>
      <c r="F782" s="66"/>
      <c r="G782" s="63"/>
      <c r="H782" s="67"/>
      <c r="I782" s="68"/>
      <c r="J782" s="68"/>
      <c r="K782" s="32"/>
      <c r="L782" s="75">
        <v>782</v>
      </c>
      <c r="M782" s="75"/>
      <c r="N782" s="70"/>
      <c r="O782" s="77" t="s">
        <v>179</v>
      </c>
      <c r="P782" s="79">
        <v>45079.51730324074</v>
      </c>
      <c r="Q782" s="77" t="s">
        <v>2758</v>
      </c>
      <c r="R782" s="77">
        <v>1</v>
      </c>
      <c r="S782" s="77">
        <v>3</v>
      </c>
      <c r="T782" s="77">
        <v>2</v>
      </c>
      <c r="U782" s="77">
        <v>0</v>
      </c>
      <c r="V782" s="77">
        <v>1035</v>
      </c>
      <c r="W782" s="80" t="s">
        <v>6451</v>
      </c>
      <c r="X782" s="83" t="str">
        <f>HYPERLINK("https://eldia.com.do/banco-central-libera-rd34-mil-millones-del-encaje-legal-para-sectores/")</f>
        <v>https://eldia.com.do/banco-central-libera-rd34-mil-millones-del-encaje-legal-para-sectores/</v>
      </c>
      <c r="Y782" s="77" t="s">
        <v>8625</v>
      </c>
      <c r="Z782" s="77"/>
      <c r="AA782" s="77"/>
      <c r="AB782" s="77"/>
      <c r="AC782" s="80" t="s">
        <v>10552</v>
      </c>
      <c r="AD782" s="77" t="s">
        <v>10620</v>
      </c>
      <c r="AE782" s="83" t="str">
        <f>HYPERLINK("https://twitter.com/eldia_do/status/1664609034484285442")</f>
        <v>https://twitter.com/eldia_do/status/1664609034484285442</v>
      </c>
      <c r="AF782" s="79">
        <v>45079.51730324074</v>
      </c>
      <c r="AG782" s="85">
        <v>45079</v>
      </c>
      <c r="AH782" s="80" t="s">
        <v>11316</v>
      </c>
      <c r="AI782" s="77" t="b">
        <v>0</v>
      </c>
      <c r="AJ782" s="77"/>
      <c r="AK782" s="77"/>
      <c r="AL782" s="77"/>
      <c r="AM782" s="77"/>
      <c r="AN782" s="77"/>
      <c r="AO782" s="77"/>
      <c r="AP782" s="77"/>
      <c r="AQ782" s="77"/>
      <c r="AR782" s="77"/>
      <c r="AS782" s="77"/>
      <c r="AT782" s="77"/>
      <c r="AU782" s="77"/>
      <c r="AV782" s="83" t="str">
        <f>HYPERLINK("https://pbs.twimg.com/profile_images/1612423167682682880/PDI49old_normal.jpg")</f>
        <v>https://pbs.twimg.com/profile_images/1612423167682682880/PDI49old_normal.jpg</v>
      </c>
      <c r="AW782" s="80" t="s">
        <v>16714</v>
      </c>
      <c r="AX782" s="80" t="s">
        <v>16714</v>
      </c>
      <c r="AY782" s="77"/>
      <c r="AZ782" s="80" t="s">
        <v>20380</v>
      </c>
      <c r="BA782" s="80" t="s">
        <v>20380</v>
      </c>
      <c r="BB782" s="80" t="s">
        <v>20380</v>
      </c>
      <c r="BC782" s="80" t="s">
        <v>16714</v>
      </c>
      <c r="BD782" s="77">
        <v>143173757</v>
      </c>
      <c r="BE782" s="77"/>
      <c r="BF782" s="77"/>
      <c r="BG782" s="77"/>
      <c r="BH782" s="77"/>
      <c r="BI782" s="77"/>
    </row>
    <row r="783" spans="1:61" x14ac:dyDescent="0.25">
      <c r="A783" s="62" t="s">
        <v>519</v>
      </c>
      <c r="B783" s="62" t="s">
        <v>519</v>
      </c>
      <c r="C783" s="63"/>
      <c r="D783" s="64"/>
      <c r="E783" s="65"/>
      <c r="F783" s="66"/>
      <c r="G783" s="63"/>
      <c r="H783" s="67"/>
      <c r="I783" s="68"/>
      <c r="J783" s="68"/>
      <c r="K783" s="32"/>
      <c r="L783" s="75">
        <v>783</v>
      </c>
      <c r="M783" s="75"/>
      <c r="N783" s="70"/>
      <c r="O783" s="77" t="s">
        <v>179</v>
      </c>
      <c r="P783" s="79">
        <v>45078.635428240741</v>
      </c>
      <c r="Q783" s="77" t="s">
        <v>2759</v>
      </c>
      <c r="R783" s="77">
        <v>4</v>
      </c>
      <c r="S783" s="77">
        <v>2</v>
      </c>
      <c r="T783" s="77">
        <v>0</v>
      </c>
      <c r="U783" s="77">
        <v>0</v>
      </c>
      <c r="V783" s="77">
        <v>698</v>
      </c>
      <c r="W783" s="80" t="s">
        <v>6452</v>
      </c>
      <c r="X783" s="83" t="str">
        <f>HYPERLINK("https://eldia.com.do/aba-estima-cambio-en-la-politica-monetaria")</f>
        <v>https://eldia.com.do/aba-estima-cambio-en-la-politica-monetaria</v>
      </c>
      <c r="Y783" s="77" t="s">
        <v>8625</v>
      </c>
      <c r="Z783" s="77"/>
      <c r="AA783" s="77"/>
      <c r="AB783" s="77"/>
      <c r="AC783" s="80" t="s">
        <v>10541</v>
      </c>
      <c r="AD783" s="77" t="s">
        <v>10620</v>
      </c>
      <c r="AE783" s="83" t="str">
        <f>HYPERLINK("https://twitter.com/eldia_do/status/1664289452364120064")</f>
        <v>https://twitter.com/eldia_do/status/1664289452364120064</v>
      </c>
      <c r="AF783" s="79">
        <v>45078.635428240741</v>
      </c>
      <c r="AG783" s="85">
        <v>45078</v>
      </c>
      <c r="AH783" s="80" t="s">
        <v>11317</v>
      </c>
      <c r="AI783" s="77" t="b">
        <v>0</v>
      </c>
      <c r="AJ783" s="77"/>
      <c r="AK783" s="77"/>
      <c r="AL783" s="77"/>
      <c r="AM783" s="77"/>
      <c r="AN783" s="77"/>
      <c r="AO783" s="77"/>
      <c r="AP783" s="77"/>
      <c r="AQ783" s="77"/>
      <c r="AR783" s="77"/>
      <c r="AS783" s="77"/>
      <c r="AT783" s="77"/>
      <c r="AU783" s="77"/>
      <c r="AV783" s="83" t="str">
        <f>HYPERLINK("https://pbs.twimg.com/profile_images/1612423167682682880/PDI49old_normal.jpg")</f>
        <v>https://pbs.twimg.com/profile_images/1612423167682682880/PDI49old_normal.jpg</v>
      </c>
      <c r="AW783" s="80" t="s">
        <v>16715</v>
      </c>
      <c r="AX783" s="80" t="s">
        <v>16715</v>
      </c>
      <c r="AY783" s="77"/>
      <c r="AZ783" s="80" t="s">
        <v>20380</v>
      </c>
      <c r="BA783" s="80" t="s">
        <v>20380</v>
      </c>
      <c r="BB783" s="80" t="s">
        <v>20380</v>
      </c>
      <c r="BC783" s="80" t="s">
        <v>16715</v>
      </c>
      <c r="BD783" s="77">
        <v>143173757</v>
      </c>
      <c r="BE783" s="77"/>
      <c r="BF783" s="77"/>
      <c r="BG783" s="77"/>
      <c r="BH783" s="77"/>
      <c r="BI783" s="77"/>
    </row>
    <row r="784" spans="1:61" x14ac:dyDescent="0.25">
      <c r="A784" s="62" t="s">
        <v>519</v>
      </c>
      <c r="B784" s="62" t="s">
        <v>519</v>
      </c>
      <c r="C784" s="63"/>
      <c r="D784" s="64"/>
      <c r="E784" s="65"/>
      <c r="F784" s="66"/>
      <c r="G784" s="63"/>
      <c r="H784" s="67"/>
      <c r="I784" s="68"/>
      <c r="J784" s="68"/>
      <c r="K784" s="32"/>
      <c r="L784" s="75">
        <v>784</v>
      </c>
      <c r="M784" s="75"/>
      <c r="N784" s="70"/>
      <c r="O784" s="77" t="s">
        <v>179</v>
      </c>
      <c r="P784" s="79">
        <v>45078.517824074072</v>
      </c>
      <c r="Q784" s="77" t="s">
        <v>2760</v>
      </c>
      <c r="R784" s="77">
        <v>1</v>
      </c>
      <c r="S784" s="77">
        <v>1</v>
      </c>
      <c r="T784" s="77">
        <v>0</v>
      </c>
      <c r="U784" s="77">
        <v>0</v>
      </c>
      <c r="V784" s="77">
        <v>735</v>
      </c>
      <c r="W784" s="80" t="s">
        <v>6453</v>
      </c>
      <c r="X784" s="83" t="str">
        <f>HYPERLINK("https://eldia.com.do/banco-central-baja-tasa-intereses-de-referencia-para-dinamizar-economia")</f>
        <v>https://eldia.com.do/banco-central-baja-tasa-intereses-de-referencia-para-dinamizar-economia</v>
      </c>
      <c r="Y784" s="77" t="s">
        <v>8625</v>
      </c>
      <c r="Z784" s="77"/>
      <c r="AA784" s="77"/>
      <c r="AB784" s="77"/>
      <c r="AC784" s="80" t="s">
        <v>10541</v>
      </c>
      <c r="AD784" s="77" t="s">
        <v>10620</v>
      </c>
      <c r="AE784" s="83" t="str">
        <f>HYPERLINK("https://twitter.com/eldia_do/status/1664246837736353793")</f>
        <v>https://twitter.com/eldia_do/status/1664246837736353793</v>
      </c>
      <c r="AF784" s="79">
        <v>45078.517824074072</v>
      </c>
      <c r="AG784" s="85">
        <v>45078</v>
      </c>
      <c r="AH784" s="80" t="s">
        <v>11318</v>
      </c>
      <c r="AI784" s="77" t="b">
        <v>0</v>
      </c>
      <c r="AJ784" s="77"/>
      <c r="AK784" s="77"/>
      <c r="AL784" s="77"/>
      <c r="AM784" s="77"/>
      <c r="AN784" s="77"/>
      <c r="AO784" s="77"/>
      <c r="AP784" s="77"/>
      <c r="AQ784" s="77"/>
      <c r="AR784" s="77"/>
      <c r="AS784" s="77"/>
      <c r="AT784" s="77"/>
      <c r="AU784" s="77"/>
      <c r="AV784" s="83" t="str">
        <f>HYPERLINK("https://pbs.twimg.com/profile_images/1612423167682682880/PDI49old_normal.jpg")</f>
        <v>https://pbs.twimg.com/profile_images/1612423167682682880/PDI49old_normal.jpg</v>
      </c>
      <c r="AW784" s="80" t="s">
        <v>16716</v>
      </c>
      <c r="AX784" s="80" t="s">
        <v>16716</v>
      </c>
      <c r="AY784" s="77"/>
      <c r="AZ784" s="80" t="s">
        <v>20380</v>
      </c>
      <c r="BA784" s="80" t="s">
        <v>20380</v>
      </c>
      <c r="BB784" s="80" t="s">
        <v>20380</v>
      </c>
      <c r="BC784" s="80" t="s">
        <v>16716</v>
      </c>
      <c r="BD784" s="77">
        <v>143173757</v>
      </c>
      <c r="BE784" s="77"/>
      <c r="BF784" s="77"/>
      <c r="BG784" s="77"/>
      <c r="BH784" s="77"/>
      <c r="BI784" s="77"/>
    </row>
    <row r="785" spans="1:61" x14ac:dyDescent="0.25">
      <c r="A785" s="62" t="s">
        <v>519</v>
      </c>
      <c r="B785" s="62" t="s">
        <v>519</v>
      </c>
      <c r="C785" s="63"/>
      <c r="D785" s="64"/>
      <c r="E785" s="65"/>
      <c r="F785" s="66"/>
      <c r="G785" s="63"/>
      <c r="H785" s="67"/>
      <c r="I785" s="68"/>
      <c r="J785" s="68"/>
      <c r="K785" s="32"/>
      <c r="L785" s="75">
        <v>785</v>
      </c>
      <c r="M785" s="75"/>
      <c r="N785" s="70"/>
      <c r="O785" s="77" t="s">
        <v>179</v>
      </c>
      <c r="P785" s="79">
        <v>45077.99</v>
      </c>
      <c r="Q785" s="77" t="s">
        <v>2761</v>
      </c>
      <c r="R785" s="77">
        <v>4</v>
      </c>
      <c r="S785" s="77">
        <v>21</v>
      </c>
      <c r="T785" s="77">
        <v>0</v>
      </c>
      <c r="U785" s="77">
        <v>0</v>
      </c>
      <c r="V785" s="77">
        <v>1335</v>
      </c>
      <c r="W785" s="80" t="s">
        <v>6097</v>
      </c>
      <c r="X785" s="83" t="str">
        <f>HYPERLINK("https://eldia.com.do/pedro-brache-medida-del-banco-central-traera-reduccion-de-precios/")</f>
        <v>https://eldia.com.do/pedro-brache-medida-del-banco-central-traera-reduccion-de-precios/</v>
      </c>
      <c r="Y785" s="77" t="s">
        <v>8625</v>
      </c>
      <c r="Z785" s="77"/>
      <c r="AA785" s="77" t="s">
        <v>9259</v>
      </c>
      <c r="AB785" s="77" t="s">
        <v>10535</v>
      </c>
      <c r="AC785" s="80" t="s">
        <v>10541</v>
      </c>
      <c r="AD785" s="77" t="s">
        <v>10620</v>
      </c>
      <c r="AE785" s="83" t="str">
        <f>HYPERLINK("https://twitter.com/eldia_do/status/1664055557181915137")</f>
        <v>https://twitter.com/eldia_do/status/1664055557181915137</v>
      </c>
      <c r="AF785" s="79">
        <v>45077.99</v>
      </c>
      <c r="AG785" s="85">
        <v>45077</v>
      </c>
      <c r="AH785" s="80" t="s">
        <v>11319</v>
      </c>
      <c r="AI785" s="77" t="b">
        <v>0</v>
      </c>
      <c r="AJ785" s="77"/>
      <c r="AK785" s="77"/>
      <c r="AL785" s="77"/>
      <c r="AM785" s="77"/>
      <c r="AN785" s="77"/>
      <c r="AO785" s="77"/>
      <c r="AP785" s="77"/>
      <c r="AQ785" s="77" t="s">
        <v>14741</v>
      </c>
      <c r="AR785" s="77"/>
      <c r="AS785" s="77"/>
      <c r="AT785" s="77"/>
      <c r="AU785" s="77"/>
      <c r="AV785" s="83" t="str">
        <f>HYPERLINK("https://pbs.twimg.com/media/FxfptG1WYAEWHpo.jpg")</f>
        <v>https://pbs.twimg.com/media/FxfptG1WYAEWHpo.jpg</v>
      </c>
      <c r="AW785" s="80" t="s">
        <v>16717</v>
      </c>
      <c r="AX785" s="80" t="s">
        <v>16717</v>
      </c>
      <c r="AY785" s="77"/>
      <c r="AZ785" s="80" t="s">
        <v>20380</v>
      </c>
      <c r="BA785" s="80" t="s">
        <v>20380</v>
      </c>
      <c r="BB785" s="80" t="s">
        <v>20380</v>
      </c>
      <c r="BC785" s="80" t="s">
        <v>16717</v>
      </c>
      <c r="BD785" s="77">
        <v>143173757</v>
      </c>
      <c r="BE785" s="77"/>
      <c r="BF785" s="77"/>
      <c r="BG785" s="77"/>
      <c r="BH785" s="77"/>
      <c r="BI785" s="77"/>
    </row>
    <row r="786" spans="1:61" x14ac:dyDescent="0.25">
      <c r="A786" s="62" t="s">
        <v>519</v>
      </c>
      <c r="B786" s="62" t="s">
        <v>519</v>
      </c>
      <c r="C786" s="63"/>
      <c r="D786" s="64"/>
      <c r="E786" s="65"/>
      <c r="F786" s="66"/>
      <c r="G786" s="63"/>
      <c r="H786" s="67"/>
      <c r="I786" s="68"/>
      <c r="J786" s="68"/>
      <c r="K786" s="32"/>
      <c r="L786" s="75">
        <v>786</v>
      </c>
      <c r="M786" s="75"/>
      <c r="N786" s="70"/>
      <c r="O786" s="77" t="s">
        <v>179</v>
      </c>
      <c r="P786" s="79">
        <v>45061.591145833336</v>
      </c>
      <c r="Q786" s="77" t="s">
        <v>2762</v>
      </c>
      <c r="R786" s="77">
        <v>4</v>
      </c>
      <c r="S786" s="77">
        <v>2</v>
      </c>
      <c r="T786" s="77">
        <v>0</v>
      </c>
      <c r="U786" s="77">
        <v>0</v>
      </c>
      <c r="V786" s="77">
        <v>900</v>
      </c>
      <c r="W786" s="80" t="s">
        <v>6454</v>
      </c>
      <c r="X786" s="83" t="str">
        <f>HYPERLINK("https://eldia.com.do/como-se-determina-la-tasa-de-interes-del-mercado")</f>
        <v>https://eldia.com.do/como-se-determina-la-tasa-de-interes-del-mercado</v>
      </c>
      <c r="Y786" s="77" t="s">
        <v>8625</v>
      </c>
      <c r="Z786" s="77"/>
      <c r="AA786" s="77"/>
      <c r="AB786" s="77"/>
      <c r="AC786" s="80" t="s">
        <v>10541</v>
      </c>
      <c r="AD786" s="77" t="s">
        <v>10620</v>
      </c>
      <c r="AE786" s="83" t="str">
        <f>HYPERLINK("https://twitter.com/eldia_do/status/1658112814433673219")</f>
        <v>https://twitter.com/eldia_do/status/1658112814433673219</v>
      </c>
      <c r="AF786" s="79">
        <v>45061.591145833336</v>
      </c>
      <c r="AG786" s="85">
        <v>45061</v>
      </c>
      <c r="AH786" s="80" t="s">
        <v>11320</v>
      </c>
      <c r="AI786" s="77" t="b">
        <v>0</v>
      </c>
      <c r="AJ786" s="77"/>
      <c r="AK786" s="77"/>
      <c r="AL786" s="77"/>
      <c r="AM786" s="77"/>
      <c r="AN786" s="77"/>
      <c r="AO786" s="77"/>
      <c r="AP786" s="77"/>
      <c r="AQ786" s="77"/>
      <c r="AR786" s="77"/>
      <c r="AS786" s="77"/>
      <c r="AT786" s="77"/>
      <c r="AU786" s="77"/>
      <c r="AV786" s="83" t="str">
        <f>HYPERLINK("https://pbs.twimg.com/profile_images/1612423167682682880/PDI49old_normal.jpg")</f>
        <v>https://pbs.twimg.com/profile_images/1612423167682682880/PDI49old_normal.jpg</v>
      </c>
      <c r="AW786" s="80" t="s">
        <v>16718</v>
      </c>
      <c r="AX786" s="80" t="s">
        <v>16718</v>
      </c>
      <c r="AY786" s="77"/>
      <c r="AZ786" s="80" t="s">
        <v>20380</v>
      </c>
      <c r="BA786" s="80" t="s">
        <v>20380</v>
      </c>
      <c r="BB786" s="80" t="s">
        <v>20380</v>
      </c>
      <c r="BC786" s="80" t="s">
        <v>16718</v>
      </c>
      <c r="BD786" s="77">
        <v>143173757</v>
      </c>
      <c r="BE786" s="77"/>
      <c r="BF786" s="77"/>
      <c r="BG786" s="77"/>
      <c r="BH786" s="77"/>
      <c r="BI786" s="77"/>
    </row>
    <row r="787" spans="1:61" x14ac:dyDescent="0.25">
      <c r="A787" s="62" t="s">
        <v>519</v>
      </c>
      <c r="B787" s="62" t="s">
        <v>519</v>
      </c>
      <c r="C787" s="63"/>
      <c r="D787" s="64"/>
      <c r="E787" s="65"/>
      <c r="F787" s="66"/>
      <c r="G787" s="63"/>
      <c r="H787" s="67"/>
      <c r="I787" s="68"/>
      <c r="J787" s="68"/>
      <c r="K787" s="32"/>
      <c r="L787" s="75">
        <v>787</v>
      </c>
      <c r="M787" s="75"/>
      <c r="N787" s="70"/>
      <c r="O787" s="77" t="s">
        <v>179</v>
      </c>
      <c r="P787" s="79">
        <v>45167.572280092594</v>
      </c>
      <c r="Q787" s="77" t="s">
        <v>2763</v>
      </c>
      <c r="R787" s="77">
        <v>0</v>
      </c>
      <c r="S787" s="77">
        <v>0</v>
      </c>
      <c r="T787" s="77">
        <v>0</v>
      </c>
      <c r="U787" s="77">
        <v>0</v>
      </c>
      <c r="V787" s="77">
        <v>343</v>
      </c>
      <c r="W787" s="80" t="s">
        <v>6455</v>
      </c>
      <c r="X787" s="83" t="str">
        <f>HYPERLINK("https://eldia.com.do/economia-muestra-repunte-responde-estimulos")</f>
        <v>https://eldia.com.do/economia-muestra-repunte-responde-estimulos</v>
      </c>
      <c r="Y787" s="77" t="s">
        <v>8625</v>
      </c>
      <c r="Z787" s="77"/>
      <c r="AA787" s="77"/>
      <c r="AB787" s="77"/>
      <c r="AC787" s="80" t="s">
        <v>10541</v>
      </c>
      <c r="AD787" s="77" t="s">
        <v>10620</v>
      </c>
      <c r="AE787" s="83" t="str">
        <f>HYPERLINK("https://twitter.com/eldia_do/status/1696519091211641016")</f>
        <v>https://twitter.com/eldia_do/status/1696519091211641016</v>
      </c>
      <c r="AF787" s="79">
        <v>45167.572280092594</v>
      </c>
      <c r="AG787" s="85">
        <v>45167</v>
      </c>
      <c r="AH787" s="80" t="s">
        <v>11321</v>
      </c>
      <c r="AI787" s="77" t="b">
        <v>0</v>
      </c>
      <c r="AJ787" s="77"/>
      <c r="AK787" s="77"/>
      <c r="AL787" s="77"/>
      <c r="AM787" s="77"/>
      <c r="AN787" s="77"/>
      <c r="AO787" s="77"/>
      <c r="AP787" s="77"/>
      <c r="AQ787" s="77"/>
      <c r="AR787" s="77"/>
      <c r="AS787" s="77"/>
      <c r="AT787" s="77"/>
      <c r="AU787" s="77"/>
      <c r="AV787" s="83" t="str">
        <f>HYPERLINK("https://pbs.twimg.com/profile_images/1612423167682682880/PDI49old_normal.jpg")</f>
        <v>https://pbs.twimg.com/profile_images/1612423167682682880/PDI49old_normal.jpg</v>
      </c>
      <c r="AW787" s="80" t="s">
        <v>16719</v>
      </c>
      <c r="AX787" s="80" t="s">
        <v>16719</v>
      </c>
      <c r="AY787" s="77"/>
      <c r="AZ787" s="80" t="s">
        <v>20380</v>
      </c>
      <c r="BA787" s="80" t="s">
        <v>20380</v>
      </c>
      <c r="BB787" s="80" t="s">
        <v>20380</v>
      </c>
      <c r="BC787" s="80" t="s">
        <v>16719</v>
      </c>
      <c r="BD787" s="77">
        <v>143173757</v>
      </c>
      <c r="BE787" s="77"/>
      <c r="BF787" s="77"/>
      <c r="BG787" s="77"/>
      <c r="BH787" s="77"/>
      <c r="BI787" s="77"/>
    </row>
    <row r="788" spans="1:61" x14ac:dyDescent="0.25">
      <c r="A788" s="62" t="s">
        <v>519</v>
      </c>
      <c r="B788" s="62" t="s">
        <v>519</v>
      </c>
      <c r="C788" s="63"/>
      <c r="D788" s="64"/>
      <c r="E788" s="65"/>
      <c r="F788" s="66"/>
      <c r="G788" s="63"/>
      <c r="H788" s="67"/>
      <c r="I788" s="68"/>
      <c r="J788" s="68"/>
      <c r="K788" s="32"/>
      <c r="L788" s="75">
        <v>788</v>
      </c>
      <c r="M788" s="75"/>
      <c r="N788" s="70"/>
      <c r="O788" s="77" t="s">
        <v>179</v>
      </c>
      <c r="P788" s="79">
        <v>45138.962418981479</v>
      </c>
      <c r="Q788" s="77" t="s">
        <v>2764</v>
      </c>
      <c r="R788" s="77">
        <v>2</v>
      </c>
      <c r="S788" s="77">
        <v>1</v>
      </c>
      <c r="T788" s="77">
        <v>4</v>
      </c>
      <c r="U788" s="77">
        <v>0</v>
      </c>
      <c r="V788" s="77">
        <v>799</v>
      </c>
      <c r="W788" s="80" t="s">
        <v>6456</v>
      </c>
      <c r="X788" s="83" t="str">
        <f>HYPERLINK("https://eldia.com.do/banco-central-mantiene-su-tasa-de-interes-de-politica-monetaria-en-7-75-anual/")</f>
        <v>https://eldia.com.do/banco-central-mantiene-su-tasa-de-interes-de-politica-monetaria-en-7-75-anual/</v>
      </c>
      <c r="Y788" s="77" t="s">
        <v>8625</v>
      </c>
      <c r="Z788" s="77"/>
      <c r="AA788" s="77"/>
      <c r="AB788" s="77"/>
      <c r="AC788" s="80" t="s">
        <v>10541</v>
      </c>
      <c r="AD788" s="77" t="s">
        <v>10620</v>
      </c>
      <c r="AE788" s="83" t="str">
        <f>HYPERLINK("https://twitter.com/eldia_do/status/1686151221424390144")</f>
        <v>https://twitter.com/eldia_do/status/1686151221424390144</v>
      </c>
      <c r="AF788" s="79">
        <v>45138.962418981479</v>
      </c>
      <c r="AG788" s="85">
        <v>45138</v>
      </c>
      <c r="AH788" s="80" t="s">
        <v>11322</v>
      </c>
      <c r="AI788" s="77" t="b">
        <v>0</v>
      </c>
      <c r="AJ788" s="77"/>
      <c r="AK788" s="77"/>
      <c r="AL788" s="77"/>
      <c r="AM788" s="77"/>
      <c r="AN788" s="77"/>
      <c r="AO788" s="77"/>
      <c r="AP788" s="77"/>
      <c r="AQ788" s="77"/>
      <c r="AR788" s="77"/>
      <c r="AS788" s="77"/>
      <c r="AT788" s="77"/>
      <c r="AU788" s="77"/>
      <c r="AV788" s="83" t="str">
        <f>HYPERLINK("https://pbs.twimg.com/profile_images/1612423167682682880/PDI49old_normal.jpg")</f>
        <v>https://pbs.twimg.com/profile_images/1612423167682682880/PDI49old_normal.jpg</v>
      </c>
      <c r="AW788" s="80" t="s">
        <v>16720</v>
      </c>
      <c r="AX788" s="80" t="s">
        <v>16720</v>
      </c>
      <c r="AY788" s="77"/>
      <c r="AZ788" s="80" t="s">
        <v>20380</v>
      </c>
      <c r="BA788" s="80" t="s">
        <v>20380</v>
      </c>
      <c r="BB788" s="80" t="s">
        <v>20380</v>
      </c>
      <c r="BC788" s="80" t="s">
        <v>16720</v>
      </c>
      <c r="BD788" s="77">
        <v>143173757</v>
      </c>
      <c r="BE788" s="77"/>
      <c r="BF788" s="77"/>
      <c r="BG788" s="77"/>
      <c r="BH788" s="77"/>
      <c r="BI788" s="77"/>
    </row>
    <row r="789" spans="1:61" x14ac:dyDescent="0.25">
      <c r="A789" s="62" t="s">
        <v>519</v>
      </c>
      <c r="B789" s="62" t="s">
        <v>519</v>
      </c>
      <c r="C789" s="63"/>
      <c r="D789" s="64"/>
      <c r="E789" s="65"/>
      <c r="F789" s="66"/>
      <c r="G789" s="63"/>
      <c r="H789" s="67"/>
      <c r="I789" s="68"/>
      <c r="J789" s="68"/>
      <c r="K789" s="32"/>
      <c r="L789" s="75">
        <v>789</v>
      </c>
      <c r="M789" s="75"/>
      <c r="N789" s="70"/>
      <c r="O789" s="77" t="s">
        <v>179</v>
      </c>
      <c r="P789" s="79">
        <v>45138.547442129631</v>
      </c>
      <c r="Q789" s="77" t="s">
        <v>2765</v>
      </c>
      <c r="R789" s="77">
        <v>3</v>
      </c>
      <c r="S789" s="77">
        <v>2</v>
      </c>
      <c r="T789" s="77">
        <v>0</v>
      </c>
      <c r="U789" s="77">
        <v>0</v>
      </c>
      <c r="V789" s="77">
        <v>563</v>
      </c>
      <c r="W789" s="80" t="s">
        <v>6457</v>
      </c>
      <c r="X789" s="83" t="str">
        <f>HYPERLINK("https://eldia.com.do/analistas-estiman-tasas-de-intereses-seguiran-bajando")</f>
        <v>https://eldia.com.do/analistas-estiman-tasas-de-intereses-seguiran-bajando</v>
      </c>
      <c r="Y789" s="77" t="s">
        <v>8625</v>
      </c>
      <c r="Z789" s="77"/>
      <c r="AA789" s="77"/>
      <c r="AB789" s="77"/>
      <c r="AC789" s="80" t="s">
        <v>10541</v>
      </c>
      <c r="AD789" s="77" t="s">
        <v>10620</v>
      </c>
      <c r="AE789" s="83" t="str">
        <f>HYPERLINK("https://twitter.com/eldia_do/status/1686000839259738112")</f>
        <v>https://twitter.com/eldia_do/status/1686000839259738112</v>
      </c>
      <c r="AF789" s="79">
        <v>45138.547442129631</v>
      </c>
      <c r="AG789" s="85">
        <v>45138</v>
      </c>
      <c r="AH789" s="80" t="s">
        <v>11323</v>
      </c>
      <c r="AI789" s="77" t="b">
        <v>0</v>
      </c>
      <c r="AJ789" s="77"/>
      <c r="AK789" s="77"/>
      <c r="AL789" s="77"/>
      <c r="AM789" s="77"/>
      <c r="AN789" s="77"/>
      <c r="AO789" s="77"/>
      <c r="AP789" s="77"/>
      <c r="AQ789" s="77"/>
      <c r="AR789" s="77"/>
      <c r="AS789" s="77"/>
      <c r="AT789" s="77"/>
      <c r="AU789" s="77"/>
      <c r="AV789" s="83" t="str">
        <f>HYPERLINK("https://pbs.twimg.com/profile_images/1612423167682682880/PDI49old_normal.jpg")</f>
        <v>https://pbs.twimg.com/profile_images/1612423167682682880/PDI49old_normal.jpg</v>
      </c>
      <c r="AW789" s="80" t="s">
        <v>16721</v>
      </c>
      <c r="AX789" s="80" t="s">
        <v>16721</v>
      </c>
      <c r="AY789" s="77"/>
      <c r="AZ789" s="80" t="s">
        <v>20380</v>
      </c>
      <c r="BA789" s="80" t="s">
        <v>20380</v>
      </c>
      <c r="BB789" s="80" t="s">
        <v>20380</v>
      </c>
      <c r="BC789" s="80" t="s">
        <v>16721</v>
      </c>
      <c r="BD789" s="77">
        <v>143173757</v>
      </c>
      <c r="BE789" s="77"/>
      <c r="BF789" s="77"/>
      <c r="BG789" s="77"/>
      <c r="BH789" s="77"/>
      <c r="BI789" s="77"/>
    </row>
    <row r="790" spans="1:61" x14ac:dyDescent="0.25">
      <c r="A790" s="62" t="s">
        <v>519</v>
      </c>
      <c r="B790" s="62" t="s">
        <v>519</v>
      </c>
      <c r="C790" s="63"/>
      <c r="D790" s="64"/>
      <c r="E790" s="65"/>
      <c r="F790" s="66"/>
      <c r="G790" s="63"/>
      <c r="H790" s="67"/>
      <c r="I790" s="68"/>
      <c r="J790" s="68"/>
      <c r="K790" s="32"/>
      <c r="L790" s="75">
        <v>790</v>
      </c>
      <c r="M790" s="75"/>
      <c r="N790" s="70"/>
      <c r="O790" s="77" t="s">
        <v>179</v>
      </c>
      <c r="P790" s="79">
        <v>45110.857303240744</v>
      </c>
      <c r="Q790" s="77" t="s">
        <v>2766</v>
      </c>
      <c r="R790" s="77">
        <v>6</v>
      </c>
      <c r="S790" s="77">
        <v>8</v>
      </c>
      <c r="T790" s="77">
        <v>12</v>
      </c>
      <c r="U790" s="77">
        <v>1</v>
      </c>
      <c r="V790" s="77">
        <v>1682</v>
      </c>
      <c r="W790" s="80" t="s">
        <v>6458</v>
      </c>
      <c r="X790" s="83" t="str">
        <f>HYPERLINK("https://eldia.com.do/banco-central-registro-aumento-en-ocupacion-labora")</f>
        <v>https://eldia.com.do/banco-central-registro-aumento-en-ocupacion-labora</v>
      </c>
      <c r="Y790" s="77" t="s">
        <v>8625</v>
      </c>
      <c r="Z790" s="77"/>
      <c r="AA790" s="77"/>
      <c r="AB790" s="77"/>
      <c r="AC790" s="80" t="s">
        <v>10541</v>
      </c>
      <c r="AD790" s="77" t="s">
        <v>10620</v>
      </c>
      <c r="AE790" s="83" t="str">
        <f>HYPERLINK("https://twitter.com/eldia_do/status/1675966271790120960")</f>
        <v>https://twitter.com/eldia_do/status/1675966271790120960</v>
      </c>
      <c r="AF790" s="79">
        <v>45110.857303240744</v>
      </c>
      <c r="AG790" s="85">
        <v>45110</v>
      </c>
      <c r="AH790" s="80" t="s">
        <v>11324</v>
      </c>
      <c r="AI790" s="77" t="b">
        <v>0</v>
      </c>
      <c r="AJ790" s="77"/>
      <c r="AK790" s="77"/>
      <c r="AL790" s="77"/>
      <c r="AM790" s="77"/>
      <c r="AN790" s="77"/>
      <c r="AO790" s="77"/>
      <c r="AP790" s="77"/>
      <c r="AQ790" s="77"/>
      <c r="AR790" s="77"/>
      <c r="AS790" s="77"/>
      <c r="AT790" s="77"/>
      <c r="AU790" s="77"/>
      <c r="AV790" s="83" t="str">
        <f>HYPERLINK("https://pbs.twimg.com/profile_images/1612423167682682880/PDI49old_normal.jpg")</f>
        <v>https://pbs.twimg.com/profile_images/1612423167682682880/PDI49old_normal.jpg</v>
      </c>
      <c r="AW790" s="80" t="s">
        <v>16722</v>
      </c>
      <c r="AX790" s="80" t="s">
        <v>16722</v>
      </c>
      <c r="AY790" s="77"/>
      <c r="AZ790" s="80" t="s">
        <v>20380</v>
      </c>
      <c r="BA790" s="80" t="s">
        <v>20380</v>
      </c>
      <c r="BB790" s="80" t="s">
        <v>20380</v>
      </c>
      <c r="BC790" s="80" t="s">
        <v>16722</v>
      </c>
      <c r="BD790" s="77">
        <v>143173757</v>
      </c>
      <c r="BE790" s="77"/>
      <c r="BF790" s="77"/>
      <c r="BG790" s="77"/>
      <c r="BH790" s="77"/>
      <c r="BI790" s="77"/>
    </row>
    <row r="791" spans="1:61" x14ac:dyDescent="0.25">
      <c r="A791" s="62" t="s">
        <v>519</v>
      </c>
      <c r="B791" s="62" t="s">
        <v>519</v>
      </c>
      <c r="C791" s="63"/>
      <c r="D791" s="64"/>
      <c r="E791" s="65"/>
      <c r="F791" s="66"/>
      <c r="G791" s="63"/>
      <c r="H791" s="67"/>
      <c r="I791" s="68"/>
      <c r="J791" s="68"/>
      <c r="K791" s="32"/>
      <c r="L791" s="75">
        <v>791</v>
      </c>
      <c r="M791" s="75"/>
      <c r="N791" s="70"/>
      <c r="O791" s="77" t="s">
        <v>179</v>
      </c>
      <c r="P791" s="79">
        <v>45071.667673611111</v>
      </c>
      <c r="Q791" s="77" t="s">
        <v>2767</v>
      </c>
      <c r="R791" s="77">
        <v>0</v>
      </c>
      <c r="S791" s="77">
        <v>1</v>
      </c>
      <c r="T791" s="77">
        <v>1</v>
      </c>
      <c r="U791" s="77">
        <v>0</v>
      </c>
      <c r="V791" s="77">
        <v>750</v>
      </c>
      <c r="W791" s="80" t="s">
        <v>6459</v>
      </c>
      <c r="X791" s="83" t="str">
        <f>HYPERLINK("https://eldia.com.do/alcanzar-rango-inflacion-ha-tenido-impactos-negativos")</f>
        <v>https://eldia.com.do/alcanzar-rango-inflacion-ha-tenido-impactos-negativos</v>
      </c>
      <c r="Y791" s="77" t="s">
        <v>8625</v>
      </c>
      <c r="Z791" s="77"/>
      <c r="AA791" s="77"/>
      <c r="AB791" s="77"/>
      <c r="AC791" s="80" t="s">
        <v>10541</v>
      </c>
      <c r="AD791" s="77" t="s">
        <v>10620</v>
      </c>
      <c r="AE791" s="83" t="str">
        <f>HYPERLINK("https://twitter.com/eldia_do/status/1661764422551912453")</f>
        <v>https://twitter.com/eldia_do/status/1661764422551912453</v>
      </c>
      <c r="AF791" s="79">
        <v>45071.667673611111</v>
      </c>
      <c r="AG791" s="85">
        <v>45071</v>
      </c>
      <c r="AH791" s="80" t="s">
        <v>11325</v>
      </c>
      <c r="AI791" s="77" t="b">
        <v>0</v>
      </c>
      <c r="AJ791" s="77"/>
      <c r="AK791" s="77"/>
      <c r="AL791" s="77"/>
      <c r="AM791" s="77"/>
      <c r="AN791" s="77"/>
      <c r="AO791" s="77"/>
      <c r="AP791" s="77"/>
      <c r="AQ791" s="77"/>
      <c r="AR791" s="77"/>
      <c r="AS791" s="77"/>
      <c r="AT791" s="77"/>
      <c r="AU791" s="77"/>
      <c r="AV791" s="83" t="str">
        <f>HYPERLINK("https://pbs.twimg.com/profile_images/1612423167682682880/PDI49old_normal.jpg")</f>
        <v>https://pbs.twimg.com/profile_images/1612423167682682880/PDI49old_normal.jpg</v>
      </c>
      <c r="AW791" s="80" t="s">
        <v>16723</v>
      </c>
      <c r="AX791" s="80" t="s">
        <v>16723</v>
      </c>
      <c r="AY791" s="77"/>
      <c r="AZ791" s="80" t="s">
        <v>20380</v>
      </c>
      <c r="BA791" s="80" t="s">
        <v>20380</v>
      </c>
      <c r="BB791" s="80" t="s">
        <v>20380</v>
      </c>
      <c r="BC791" s="80" t="s">
        <v>16723</v>
      </c>
      <c r="BD791" s="77">
        <v>143173757</v>
      </c>
      <c r="BE791" s="77"/>
      <c r="BF791" s="77"/>
      <c r="BG791" s="77"/>
      <c r="BH791" s="77"/>
      <c r="BI791" s="77"/>
    </row>
    <row r="792" spans="1:61" x14ac:dyDescent="0.25">
      <c r="A792" s="62" t="s">
        <v>519</v>
      </c>
      <c r="B792" s="62" t="s">
        <v>519</v>
      </c>
      <c r="C792" s="63"/>
      <c r="D792" s="64"/>
      <c r="E792" s="65"/>
      <c r="F792" s="66"/>
      <c r="G792" s="63"/>
      <c r="H792" s="67"/>
      <c r="I792" s="68"/>
      <c r="J792" s="68"/>
      <c r="K792" s="32"/>
      <c r="L792" s="75">
        <v>792</v>
      </c>
      <c r="M792" s="75"/>
      <c r="N792" s="70"/>
      <c r="O792" s="77" t="s">
        <v>179</v>
      </c>
      <c r="P792" s="79">
        <v>45182.539178240739</v>
      </c>
      <c r="Q792" s="77" t="s">
        <v>2768</v>
      </c>
      <c r="R792" s="77">
        <v>0</v>
      </c>
      <c r="S792" s="77">
        <v>3</v>
      </c>
      <c r="T792" s="77">
        <v>1</v>
      </c>
      <c r="U792" s="77">
        <v>0</v>
      </c>
      <c r="V792" s="77">
        <v>779</v>
      </c>
      <c r="W792" s="80" t="s">
        <v>6460</v>
      </c>
      <c r="X792" s="83" t="str">
        <f>HYPERLINK("https://eldia.com.do/banco-central-informa-la-inflacion-regresa-a-niveles")</f>
        <v>https://eldia.com.do/banco-central-informa-la-inflacion-regresa-a-niveles</v>
      </c>
      <c r="Y792" s="77" t="s">
        <v>8625</v>
      </c>
      <c r="Z792" s="77"/>
      <c r="AA792" s="77"/>
      <c r="AB792" s="77"/>
      <c r="AC792" s="80" t="s">
        <v>10541</v>
      </c>
      <c r="AD792" s="77" t="s">
        <v>10620</v>
      </c>
      <c r="AE792" s="83" t="str">
        <f>HYPERLINK("https://twitter.com/eldia_do/status/1701942911074484254")</f>
        <v>https://twitter.com/eldia_do/status/1701942911074484254</v>
      </c>
      <c r="AF792" s="79">
        <v>45182.539178240739</v>
      </c>
      <c r="AG792" s="85">
        <v>45182</v>
      </c>
      <c r="AH792" s="80" t="s">
        <v>11326</v>
      </c>
      <c r="AI792" s="77" t="b">
        <v>0</v>
      </c>
      <c r="AJ792" s="77"/>
      <c r="AK792" s="77"/>
      <c r="AL792" s="77"/>
      <c r="AM792" s="77"/>
      <c r="AN792" s="77"/>
      <c r="AO792" s="77"/>
      <c r="AP792" s="77"/>
      <c r="AQ792" s="77"/>
      <c r="AR792" s="77"/>
      <c r="AS792" s="77"/>
      <c r="AT792" s="77"/>
      <c r="AU792" s="77"/>
      <c r="AV792" s="83" t="str">
        <f>HYPERLINK("https://pbs.twimg.com/profile_images/1612423167682682880/PDI49old_normal.jpg")</f>
        <v>https://pbs.twimg.com/profile_images/1612423167682682880/PDI49old_normal.jpg</v>
      </c>
      <c r="AW792" s="80" t="s">
        <v>16724</v>
      </c>
      <c r="AX792" s="80" t="s">
        <v>16724</v>
      </c>
      <c r="AY792" s="77"/>
      <c r="AZ792" s="80" t="s">
        <v>20380</v>
      </c>
      <c r="BA792" s="80" t="s">
        <v>20380</v>
      </c>
      <c r="BB792" s="80" t="s">
        <v>20380</v>
      </c>
      <c r="BC792" s="80" t="s">
        <v>16724</v>
      </c>
      <c r="BD792" s="77">
        <v>143173757</v>
      </c>
      <c r="BE792" s="77"/>
      <c r="BF792" s="77"/>
      <c r="BG792" s="77"/>
      <c r="BH792" s="77"/>
      <c r="BI792" s="77"/>
    </row>
    <row r="793" spans="1:61" x14ac:dyDescent="0.25">
      <c r="A793" s="62" t="s">
        <v>519</v>
      </c>
      <c r="B793" s="62" t="s">
        <v>519</v>
      </c>
      <c r="C793" s="63"/>
      <c r="D793" s="64"/>
      <c r="E793" s="65"/>
      <c r="F793" s="66"/>
      <c r="G793" s="63"/>
      <c r="H793" s="67"/>
      <c r="I793" s="68"/>
      <c r="J793" s="68"/>
      <c r="K793" s="32"/>
      <c r="L793" s="75">
        <v>793</v>
      </c>
      <c r="M793" s="75"/>
      <c r="N793" s="70"/>
      <c r="O793" s="77" t="s">
        <v>179</v>
      </c>
      <c r="P793" s="79">
        <v>45161.579652777778</v>
      </c>
      <c r="Q793" s="77" t="s">
        <v>2769</v>
      </c>
      <c r="R793" s="77">
        <v>0</v>
      </c>
      <c r="S793" s="77">
        <v>1</v>
      </c>
      <c r="T793" s="77">
        <v>0</v>
      </c>
      <c r="U793" s="77">
        <v>0</v>
      </c>
      <c r="V793" s="77">
        <v>775</v>
      </c>
      <c r="W793" s="80" t="s">
        <v>6461</v>
      </c>
      <c r="X793" s="83" t="str">
        <f>HYPERLINK("https://eldia.com.do/formula-de-andy")</f>
        <v>https://eldia.com.do/formula-de-andy</v>
      </c>
      <c r="Y793" s="77" t="s">
        <v>8625</v>
      </c>
      <c r="Z793" s="77"/>
      <c r="AA793" s="77"/>
      <c r="AB793" s="77"/>
      <c r="AC793" s="80" t="s">
        <v>10541</v>
      </c>
      <c r="AD793" s="77" t="s">
        <v>10617</v>
      </c>
      <c r="AE793" s="83" t="str">
        <f>HYPERLINK("https://twitter.com/eldia_do/status/1694347432534954240")</f>
        <v>https://twitter.com/eldia_do/status/1694347432534954240</v>
      </c>
      <c r="AF793" s="79">
        <v>45161.579652777778</v>
      </c>
      <c r="AG793" s="85">
        <v>45161</v>
      </c>
      <c r="AH793" s="80" t="s">
        <v>11327</v>
      </c>
      <c r="AI793" s="77" t="b">
        <v>0</v>
      </c>
      <c r="AJ793" s="77"/>
      <c r="AK793" s="77"/>
      <c r="AL793" s="77"/>
      <c r="AM793" s="77"/>
      <c r="AN793" s="77"/>
      <c r="AO793" s="77"/>
      <c r="AP793" s="77"/>
      <c r="AQ793" s="77"/>
      <c r="AR793" s="77"/>
      <c r="AS793" s="77"/>
      <c r="AT793" s="77"/>
      <c r="AU793" s="77"/>
      <c r="AV793" s="83" t="str">
        <f>HYPERLINK("https://pbs.twimg.com/profile_images/1612423167682682880/PDI49old_normal.jpg")</f>
        <v>https://pbs.twimg.com/profile_images/1612423167682682880/PDI49old_normal.jpg</v>
      </c>
      <c r="AW793" s="80" t="s">
        <v>16725</v>
      </c>
      <c r="AX793" s="80" t="s">
        <v>16725</v>
      </c>
      <c r="AY793" s="77"/>
      <c r="AZ793" s="80" t="s">
        <v>20380</v>
      </c>
      <c r="BA793" s="80" t="s">
        <v>20380</v>
      </c>
      <c r="BB793" s="80" t="s">
        <v>20380</v>
      </c>
      <c r="BC793" s="80" t="s">
        <v>16725</v>
      </c>
      <c r="BD793" s="77">
        <v>143173757</v>
      </c>
      <c r="BE793" s="77"/>
      <c r="BF793" s="77"/>
      <c r="BG793" s="77"/>
      <c r="BH793" s="77"/>
      <c r="BI793" s="77"/>
    </row>
    <row r="794" spans="1:61" x14ac:dyDescent="0.25">
      <c r="A794" s="62" t="s">
        <v>519</v>
      </c>
      <c r="B794" s="62" t="s">
        <v>519</v>
      </c>
      <c r="C794" s="63"/>
      <c r="D794" s="64"/>
      <c r="E794" s="65"/>
      <c r="F794" s="66"/>
      <c r="G794" s="63"/>
      <c r="H794" s="67"/>
      <c r="I794" s="68"/>
      <c r="J794" s="68"/>
      <c r="K794" s="32"/>
      <c r="L794" s="75">
        <v>794</v>
      </c>
      <c r="M794" s="75"/>
      <c r="N794" s="70"/>
      <c r="O794" s="77" t="s">
        <v>179</v>
      </c>
      <c r="P794" s="79">
        <v>45145.506724537037</v>
      </c>
      <c r="Q794" s="77" t="s">
        <v>2770</v>
      </c>
      <c r="R794" s="77">
        <v>0</v>
      </c>
      <c r="S794" s="77">
        <v>0</v>
      </c>
      <c r="T794" s="77">
        <v>0</v>
      </c>
      <c r="U794" s="77">
        <v>0</v>
      </c>
      <c r="V794" s="77">
        <v>509</v>
      </c>
      <c r="W794" s="80" t="s">
        <v>6462</v>
      </c>
      <c r="X794" s="83" t="str">
        <f>HYPERLINK("https://eldia.com.do/la-politica-monetaria-necesita-refuerzos")</f>
        <v>https://eldia.com.do/la-politica-monetaria-necesita-refuerzos</v>
      </c>
      <c r="Y794" s="77" t="s">
        <v>8625</v>
      </c>
      <c r="Z794" s="77"/>
      <c r="AA794" s="77"/>
      <c r="AB794" s="77"/>
      <c r="AC794" s="80" t="s">
        <v>10541</v>
      </c>
      <c r="AD794" s="77" t="s">
        <v>10620</v>
      </c>
      <c r="AE794" s="83" t="str">
        <f>HYPERLINK("https://twitter.com/eldia_do/status/1688522799042768896")</f>
        <v>https://twitter.com/eldia_do/status/1688522799042768896</v>
      </c>
      <c r="AF794" s="79">
        <v>45145.506724537037</v>
      </c>
      <c r="AG794" s="85">
        <v>45145</v>
      </c>
      <c r="AH794" s="80" t="s">
        <v>11328</v>
      </c>
      <c r="AI794" s="77" t="b">
        <v>0</v>
      </c>
      <c r="AJ794" s="77"/>
      <c r="AK794" s="77"/>
      <c r="AL794" s="77"/>
      <c r="AM794" s="77"/>
      <c r="AN794" s="77"/>
      <c r="AO794" s="77"/>
      <c r="AP794" s="77"/>
      <c r="AQ794" s="77"/>
      <c r="AR794" s="77"/>
      <c r="AS794" s="77"/>
      <c r="AT794" s="77"/>
      <c r="AU794" s="77"/>
      <c r="AV794" s="83" t="str">
        <f>HYPERLINK("https://pbs.twimg.com/profile_images/1612423167682682880/PDI49old_normal.jpg")</f>
        <v>https://pbs.twimg.com/profile_images/1612423167682682880/PDI49old_normal.jpg</v>
      </c>
      <c r="AW794" s="80" t="s">
        <v>16726</v>
      </c>
      <c r="AX794" s="80" t="s">
        <v>16726</v>
      </c>
      <c r="AY794" s="77"/>
      <c r="AZ794" s="80" t="s">
        <v>20380</v>
      </c>
      <c r="BA794" s="80" t="s">
        <v>20380</v>
      </c>
      <c r="BB794" s="80" t="s">
        <v>20380</v>
      </c>
      <c r="BC794" s="80" t="s">
        <v>16726</v>
      </c>
      <c r="BD794" s="77">
        <v>143173757</v>
      </c>
      <c r="BE794" s="77"/>
      <c r="BF794" s="77"/>
      <c r="BG794" s="77"/>
      <c r="BH794" s="77"/>
      <c r="BI794" s="77"/>
    </row>
    <row r="795" spans="1:61" x14ac:dyDescent="0.25">
      <c r="A795" s="62" t="s">
        <v>519</v>
      </c>
      <c r="B795" s="62" t="s">
        <v>519</v>
      </c>
      <c r="C795" s="63"/>
      <c r="D795" s="64"/>
      <c r="E795" s="65"/>
      <c r="F795" s="66"/>
      <c r="G795" s="63"/>
      <c r="H795" s="67"/>
      <c r="I795" s="68"/>
      <c r="J795" s="68"/>
      <c r="K795" s="32"/>
      <c r="L795" s="75">
        <v>795</v>
      </c>
      <c r="M795" s="75"/>
      <c r="N795" s="70"/>
      <c r="O795" s="77" t="s">
        <v>179</v>
      </c>
      <c r="P795" s="79">
        <v>45091.487233796295</v>
      </c>
      <c r="Q795" s="77" t="s">
        <v>2771</v>
      </c>
      <c r="R795" s="77">
        <v>0</v>
      </c>
      <c r="S795" s="77">
        <v>1</v>
      </c>
      <c r="T795" s="77">
        <v>0</v>
      </c>
      <c r="U795" s="77">
        <v>0</v>
      </c>
      <c r="V795" s="77">
        <v>775</v>
      </c>
      <c r="W795" s="80" t="s">
        <v>6448</v>
      </c>
      <c r="X795" s="83" t="str">
        <f>HYPERLINK("https://eldia.com.do/remesas-alcanzan-us4200-millones")</f>
        <v>https://eldia.com.do/remesas-alcanzan-us4200-millones</v>
      </c>
      <c r="Y795" s="77" t="s">
        <v>8625</v>
      </c>
      <c r="Z795" s="77"/>
      <c r="AA795" s="77"/>
      <c r="AB795" s="77"/>
      <c r="AC795" s="80" t="s">
        <v>10541</v>
      </c>
      <c r="AD795" s="77" t="s">
        <v>10620</v>
      </c>
      <c r="AE795" s="83" t="str">
        <f>HYPERLINK("https://twitter.com/eldia_do/status/1668946792677883905")</f>
        <v>https://twitter.com/eldia_do/status/1668946792677883905</v>
      </c>
      <c r="AF795" s="79">
        <v>45091.487233796295</v>
      </c>
      <c r="AG795" s="85">
        <v>45091</v>
      </c>
      <c r="AH795" s="80" t="s">
        <v>11329</v>
      </c>
      <c r="AI795" s="77" t="b">
        <v>0</v>
      </c>
      <c r="AJ795" s="77"/>
      <c r="AK795" s="77"/>
      <c r="AL795" s="77"/>
      <c r="AM795" s="77"/>
      <c r="AN795" s="77"/>
      <c r="AO795" s="77"/>
      <c r="AP795" s="77"/>
      <c r="AQ795" s="77"/>
      <c r="AR795" s="77"/>
      <c r="AS795" s="77"/>
      <c r="AT795" s="77"/>
      <c r="AU795" s="77"/>
      <c r="AV795" s="83" t="str">
        <f>HYPERLINK("https://pbs.twimg.com/profile_images/1612423167682682880/PDI49old_normal.jpg")</f>
        <v>https://pbs.twimg.com/profile_images/1612423167682682880/PDI49old_normal.jpg</v>
      </c>
      <c r="AW795" s="80" t="s">
        <v>16727</v>
      </c>
      <c r="AX795" s="80" t="s">
        <v>16727</v>
      </c>
      <c r="AY795" s="77"/>
      <c r="AZ795" s="80" t="s">
        <v>20380</v>
      </c>
      <c r="BA795" s="80" t="s">
        <v>20380</v>
      </c>
      <c r="BB795" s="80" t="s">
        <v>20380</v>
      </c>
      <c r="BC795" s="80" t="s">
        <v>16727</v>
      </c>
      <c r="BD795" s="77">
        <v>143173757</v>
      </c>
      <c r="BE795" s="77"/>
      <c r="BF795" s="77"/>
      <c r="BG795" s="77"/>
      <c r="BH795" s="77"/>
      <c r="BI795" s="77"/>
    </row>
    <row r="796" spans="1:61" x14ac:dyDescent="0.25">
      <c r="A796" s="62" t="s">
        <v>519</v>
      </c>
      <c r="B796" s="62" t="s">
        <v>519</v>
      </c>
      <c r="C796" s="63"/>
      <c r="D796" s="64"/>
      <c r="E796" s="65"/>
      <c r="F796" s="66"/>
      <c r="G796" s="63"/>
      <c r="H796" s="67"/>
      <c r="I796" s="68"/>
      <c r="J796" s="68"/>
      <c r="K796" s="32"/>
      <c r="L796" s="75">
        <v>796</v>
      </c>
      <c r="M796" s="75"/>
      <c r="N796" s="70"/>
      <c r="O796" s="77" t="s">
        <v>179</v>
      </c>
      <c r="P796" s="79">
        <v>45055.794282407405</v>
      </c>
      <c r="Q796" s="77" t="s">
        <v>2772</v>
      </c>
      <c r="R796" s="77">
        <v>5</v>
      </c>
      <c r="S796" s="77">
        <v>0</v>
      </c>
      <c r="T796" s="77">
        <v>0</v>
      </c>
      <c r="U796" s="77">
        <v>0</v>
      </c>
      <c r="V796" s="77">
        <v>749</v>
      </c>
      <c r="W796" s="80" t="s">
        <v>6463</v>
      </c>
      <c r="X796" s="83" t="str">
        <f>HYPERLINK("https://eldia.com.do/medida-de-liberacion-del-encaje-legal-para-viviendas-de-bajo-costo-supera-ya-los-1000-beneficiarios-informa-el-bc/")</f>
        <v>https://eldia.com.do/medida-de-liberacion-del-encaje-legal-para-viviendas-de-bajo-costo-supera-ya-los-1000-beneficiarios-informa-el-bc/</v>
      </c>
      <c r="Y796" s="77" t="s">
        <v>8625</v>
      </c>
      <c r="Z796" s="77"/>
      <c r="AA796" s="77"/>
      <c r="AB796" s="77"/>
      <c r="AC796" s="80" t="s">
        <v>10552</v>
      </c>
      <c r="AD796" s="77" t="s">
        <v>10620</v>
      </c>
      <c r="AE796" s="83" t="str">
        <f>HYPERLINK("https://twitter.com/eldia_do/status/1656012098890092546")</f>
        <v>https://twitter.com/eldia_do/status/1656012098890092546</v>
      </c>
      <c r="AF796" s="79">
        <v>45055.794282407405</v>
      </c>
      <c r="AG796" s="85">
        <v>45055</v>
      </c>
      <c r="AH796" s="80" t="s">
        <v>11330</v>
      </c>
      <c r="AI796" s="77" t="b">
        <v>0</v>
      </c>
      <c r="AJ796" s="77"/>
      <c r="AK796" s="77"/>
      <c r="AL796" s="77"/>
      <c r="AM796" s="77"/>
      <c r="AN796" s="77"/>
      <c r="AO796" s="77"/>
      <c r="AP796" s="77"/>
      <c r="AQ796" s="77"/>
      <c r="AR796" s="77"/>
      <c r="AS796" s="77"/>
      <c r="AT796" s="77"/>
      <c r="AU796" s="77"/>
      <c r="AV796" s="83" t="str">
        <f>HYPERLINK("https://pbs.twimg.com/profile_images/1612423167682682880/PDI49old_normal.jpg")</f>
        <v>https://pbs.twimg.com/profile_images/1612423167682682880/PDI49old_normal.jpg</v>
      </c>
      <c r="AW796" s="80" t="s">
        <v>16728</v>
      </c>
      <c r="AX796" s="80" t="s">
        <v>16728</v>
      </c>
      <c r="AY796" s="77"/>
      <c r="AZ796" s="80" t="s">
        <v>20380</v>
      </c>
      <c r="BA796" s="80" t="s">
        <v>20380</v>
      </c>
      <c r="BB796" s="80" t="s">
        <v>20380</v>
      </c>
      <c r="BC796" s="80" t="s">
        <v>16728</v>
      </c>
      <c r="BD796" s="77">
        <v>143173757</v>
      </c>
      <c r="BE796" s="77"/>
      <c r="BF796" s="77"/>
      <c r="BG796" s="77"/>
      <c r="BH796" s="77"/>
      <c r="BI796" s="77"/>
    </row>
    <row r="797" spans="1:61" x14ac:dyDescent="0.25">
      <c r="A797" s="62" t="s">
        <v>519</v>
      </c>
      <c r="B797" s="62" t="s">
        <v>519</v>
      </c>
      <c r="C797" s="63"/>
      <c r="D797" s="64"/>
      <c r="E797" s="65"/>
      <c r="F797" s="66"/>
      <c r="G797" s="63"/>
      <c r="H797" s="67"/>
      <c r="I797" s="68"/>
      <c r="J797" s="68"/>
      <c r="K797" s="32"/>
      <c r="L797" s="75">
        <v>797</v>
      </c>
      <c r="M797" s="75"/>
      <c r="N797" s="70"/>
      <c r="O797" s="77" t="s">
        <v>179</v>
      </c>
      <c r="P797" s="79">
        <v>45180.509884259256</v>
      </c>
      <c r="Q797" s="77" t="s">
        <v>2773</v>
      </c>
      <c r="R797" s="77">
        <v>1</v>
      </c>
      <c r="S797" s="77">
        <v>2</v>
      </c>
      <c r="T797" s="77">
        <v>6</v>
      </c>
      <c r="U797" s="77">
        <v>0</v>
      </c>
      <c r="V797" s="77">
        <v>611</v>
      </c>
      <c r="W797" s="80" t="s">
        <v>6464</v>
      </c>
      <c r="X797" s="83" t="str">
        <f>HYPERLINK("https://eldia.com.do/las-remesas-alcanzan-us6700-millones-primeros-ocho-meses")</f>
        <v>https://eldia.com.do/las-remesas-alcanzan-us6700-millones-primeros-ocho-meses</v>
      </c>
      <c r="Y797" s="77" t="s">
        <v>8625</v>
      </c>
      <c r="Z797" s="77"/>
      <c r="AA797" s="77"/>
      <c r="AB797" s="77"/>
      <c r="AC797" s="80" t="s">
        <v>10541</v>
      </c>
      <c r="AD797" s="77" t="s">
        <v>10620</v>
      </c>
      <c r="AE797" s="83" t="str">
        <f>HYPERLINK("https://twitter.com/eldia_do/status/1701207519140495519")</f>
        <v>https://twitter.com/eldia_do/status/1701207519140495519</v>
      </c>
      <c r="AF797" s="79">
        <v>45180.509884259256</v>
      </c>
      <c r="AG797" s="85">
        <v>45180</v>
      </c>
      <c r="AH797" s="80" t="s">
        <v>11331</v>
      </c>
      <c r="AI797" s="77" t="b">
        <v>0</v>
      </c>
      <c r="AJ797" s="77"/>
      <c r="AK797" s="77"/>
      <c r="AL797" s="77"/>
      <c r="AM797" s="77"/>
      <c r="AN797" s="77"/>
      <c r="AO797" s="77"/>
      <c r="AP797" s="77"/>
      <c r="AQ797" s="77"/>
      <c r="AR797" s="77"/>
      <c r="AS797" s="77"/>
      <c r="AT797" s="77"/>
      <c r="AU797" s="77"/>
      <c r="AV797" s="83" t="str">
        <f>HYPERLINK("https://pbs.twimg.com/profile_images/1612423167682682880/PDI49old_normal.jpg")</f>
        <v>https://pbs.twimg.com/profile_images/1612423167682682880/PDI49old_normal.jpg</v>
      </c>
      <c r="AW797" s="80" t="s">
        <v>16729</v>
      </c>
      <c r="AX797" s="80" t="s">
        <v>16729</v>
      </c>
      <c r="AY797" s="77"/>
      <c r="AZ797" s="80" t="s">
        <v>20380</v>
      </c>
      <c r="BA797" s="80" t="s">
        <v>20380</v>
      </c>
      <c r="BB797" s="80" t="s">
        <v>20380</v>
      </c>
      <c r="BC797" s="80" t="s">
        <v>16729</v>
      </c>
      <c r="BD797" s="77">
        <v>143173757</v>
      </c>
      <c r="BE797" s="77"/>
      <c r="BF797" s="77"/>
      <c r="BG797" s="77"/>
      <c r="BH797" s="77"/>
      <c r="BI797" s="77"/>
    </row>
    <row r="798" spans="1:61" x14ac:dyDescent="0.25">
      <c r="A798" s="62" t="s">
        <v>519</v>
      </c>
      <c r="B798" s="62" t="s">
        <v>519</v>
      </c>
      <c r="C798" s="63"/>
      <c r="D798" s="64"/>
      <c r="E798" s="65"/>
      <c r="F798" s="66"/>
      <c r="G798" s="63"/>
      <c r="H798" s="67"/>
      <c r="I798" s="68"/>
      <c r="J798" s="68"/>
      <c r="K798" s="32"/>
      <c r="L798" s="75">
        <v>798</v>
      </c>
      <c r="M798" s="75"/>
      <c r="N798" s="70"/>
      <c r="O798" s="77" t="s">
        <v>179</v>
      </c>
      <c r="P798" s="79">
        <v>45140.664293981485</v>
      </c>
      <c r="Q798" s="77" t="s">
        <v>2774</v>
      </c>
      <c r="R798" s="77">
        <v>0</v>
      </c>
      <c r="S798" s="77">
        <v>1</v>
      </c>
      <c r="T798" s="77">
        <v>0</v>
      </c>
      <c r="U798" s="77">
        <v>0</v>
      </c>
      <c r="V798" s="77">
        <v>481</v>
      </c>
      <c r="W798" s="80" t="s">
        <v>6465</v>
      </c>
      <c r="X798" s="83" t="str">
        <f>HYPERLINK("https://eldia.com.do/turismo-mitiga-ralentizacion-y-otros-sectores")</f>
        <v>https://eldia.com.do/turismo-mitiga-ralentizacion-y-otros-sectores</v>
      </c>
      <c r="Y798" s="77" t="s">
        <v>8625</v>
      </c>
      <c r="Z798" s="77"/>
      <c r="AA798" s="77"/>
      <c r="AB798" s="77"/>
      <c r="AC798" s="80" t="s">
        <v>10541</v>
      </c>
      <c r="AD798" s="77" t="s">
        <v>10620</v>
      </c>
      <c r="AE798" s="83" t="str">
        <f>HYPERLINK("https://twitter.com/eldia_do/status/1686767964219998208")</f>
        <v>https://twitter.com/eldia_do/status/1686767964219998208</v>
      </c>
      <c r="AF798" s="79">
        <v>45140.664293981485</v>
      </c>
      <c r="AG798" s="85">
        <v>45140</v>
      </c>
      <c r="AH798" s="80" t="s">
        <v>11332</v>
      </c>
      <c r="AI798" s="77" t="b">
        <v>0</v>
      </c>
      <c r="AJ798" s="77"/>
      <c r="AK798" s="77"/>
      <c r="AL798" s="77"/>
      <c r="AM798" s="77"/>
      <c r="AN798" s="77"/>
      <c r="AO798" s="77"/>
      <c r="AP798" s="77"/>
      <c r="AQ798" s="77"/>
      <c r="AR798" s="77"/>
      <c r="AS798" s="77"/>
      <c r="AT798" s="77"/>
      <c r="AU798" s="77"/>
      <c r="AV798" s="83" t="str">
        <f>HYPERLINK("https://pbs.twimg.com/profile_images/1612423167682682880/PDI49old_normal.jpg")</f>
        <v>https://pbs.twimg.com/profile_images/1612423167682682880/PDI49old_normal.jpg</v>
      </c>
      <c r="AW798" s="80" t="s">
        <v>16730</v>
      </c>
      <c r="AX798" s="80" t="s">
        <v>16730</v>
      </c>
      <c r="AY798" s="77"/>
      <c r="AZ798" s="80" t="s">
        <v>20380</v>
      </c>
      <c r="BA798" s="80" t="s">
        <v>20380</v>
      </c>
      <c r="BB798" s="80" t="s">
        <v>20380</v>
      </c>
      <c r="BC798" s="80" t="s">
        <v>16730</v>
      </c>
      <c r="BD798" s="77">
        <v>143173757</v>
      </c>
      <c r="BE798" s="77"/>
      <c r="BF798" s="77"/>
      <c r="BG798" s="77"/>
      <c r="BH798" s="77"/>
      <c r="BI798" s="77"/>
    </row>
    <row r="799" spans="1:61" x14ac:dyDescent="0.25">
      <c r="A799" s="62" t="s">
        <v>519</v>
      </c>
      <c r="B799" s="62" t="s">
        <v>519</v>
      </c>
      <c r="C799" s="63"/>
      <c r="D799" s="64"/>
      <c r="E799" s="65"/>
      <c r="F799" s="66"/>
      <c r="G799" s="63"/>
      <c r="H799" s="67"/>
      <c r="I799" s="68"/>
      <c r="J799" s="68"/>
      <c r="K799" s="32"/>
      <c r="L799" s="75">
        <v>799</v>
      </c>
      <c r="M799" s="75"/>
      <c r="N799" s="70"/>
      <c r="O799" s="77" t="s">
        <v>179</v>
      </c>
      <c r="P799" s="79">
        <v>45083.771354166667</v>
      </c>
      <c r="Q799" s="77" t="s">
        <v>2775</v>
      </c>
      <c r="R799" s="77">
        <v>0</v>
      </c>
      <c r="S799" s="77">
        <v>2</v>
      </c>
      <c r="T799" s="77">
        <v>0</v>
      </c>
      <c r="U799" s="77">
        <v>0</v>
      </c>
      <c r="V799" s="77">
        <v>725</v>
      </c>
      <c r="W799" s="80" t="s">
        <v>6466</v>
      </c>
      <c r="X799" s="83" t="str">
        <f>HYPERLINK("https://eldia.com.do/el-banco-central-concluye-diplomado-de-formacion")</f>
        <v>https://eldia.com.do/el-banco-central-concluye-diplomado-de-formacion</v>
      </c>
      <c r="Y799" s="77" t="s">
        <v>8625</v>
      </c>
      <c r="Z799" s="77"/>
      <c r="AA799" s="77"/>
      <c r="AB799" s="77"/>
      <c r="AC799" s="80" t="s">
        <v>10541</v>
      </c>
      <c r="AD799" s="77" t="s">
        <v>10620</v>
      </c>
      <c r="AE799" s="83" t="str">
        <f>HYPERLINK("https://twitter.com/eldia_do/status/1666150650177105921")</f>
        <v>https://twitter.com/eldia_do/status/1666150650177105921</v>
      </c>
      <c r="AF799" s="79">
        <v>45083.771354166667</v>
      </c>
      <c r="AG799" s="85">
        <v>45083</v>
      </c>
      <c r="AH799" s="80" t="s">
        <v>11333</v>
      </c>
      <c r="AI799" s="77" t="b">
        <v>0</v>
      </c>
      <c r="AJ799" s="77"/>
      <c r="AK799" s="77"/>
      <c r="AL799" s="77"/>
      <c r="AM799" s="77"/>
      <c r="AN799" s="77"/>
      <c r="AO799" s="77"/>
      <c r="AP799" s="77"/>
      <c r="AQ799" s="77"/>
      <c r="AR799" s="77"/>
      <c r="AS799" s="77"/>
      <c r="AT799" s="77"/>
      <c r="AU799" s="77"/>
      <c r="AV799" s="83" t="str">
        <f>HYPERLINK("https://pbs.twimg.com/profile_images/1612423167682682880/PDI49old_normal.jpg")</f>
        <v>https://pbs.twimg.com/profile_images/1612423167682682880/PDI49old_normal.jpg</v>
      </c>
      <c r="AW799" s="80" t="s">
        <v>16731</v>
      </c>
      <c r="AX799" s="80" t="s">
        <v>16731</v>
      </c>
      <c r="AY799" s="77"/>
      <c r="AZ799" s="80" t="s">
        <v>20380</v>
      </c>
      <c r="BA799" s="80" t="s">
        <v>20380</v>
      </c>
      <c r="BB799" s="80" t="s">
        <v>20380</v>
      </c>
      <c r="BC799" s="80" t="s">
        <v>16731</v>
      </c>
      <c r="BD799" s="77">
        <v>143173757</v>
      </c>
      <c r="BE799" s="77"/>
      <c r="BF799" s="77"/>
      <c r="BG799" s="77"/>
      <c r="BH799" s="77"/>
      <c r="BI799" s="77"/>
    </row>
    <row r="800" spans="1:61" x14ac:dyDescent="0.25">
      <c r="A800" s="62" t="s">
        <v>519</v>
      </c>
      <c r="B800" s="62" t="s">
        <v>519</v>
      </c>
      <c r="C800" s="63"/>
      <c r="D800" s="64"/>
      <c r="E800" s="65"/>
      <c r="F800" s="66"/>
      <c r="G800" s="63"/>
      <c r="H800" s="67"/>
      <c r="I800" s="68"/>
      <c r="J800" s="68"/>
      <c r="K800" s="32"/>
      <c r="L800" s="75">
        <v>800</v>
      </c>
      <c r="M800" s="75"/>
      <c r="N800" s="70"/>
      <c r="O800" s="77" t="s">
        <v>179</v>
      </c>
      <c r="P800" s="79">
        <v>45082.763101851851</v>
      </c>
      <c r="Q800" s="77" t="s">
        <v>2776</v>
      </c>
      <c r="R800" s="77">
        <v>1</v>
      </c>
      <c r="S800" s="77">
        <v>4</v>
      </c>
      <c r="T800" s="77">
        <v>0</v>
      </c>
      <c r="U800" s="77">
        <v>0</v>
      </c>
      <c r="V800" s="77">
        <v>863</v>
      </c>
      <c r="W800" s="80" t="s">
        <v>6467</v>
      </c>
      <c r="X800" s="83" t="str">
        <f>HYPERLINK("https://eldia.com.do/la-liquidez-por-rd94000-millones-y-la-disminucion-de-las-inversiones-en-obras-publicas")</f>
        <v>https://eldia.com.do/la-liquidez-por-rd94000-millones-y-la-disminucion-de-las-inversiones-en-obras-publicas</v>
      </c>
      <c r="Y800" s="77" t="s">
        <v>8625</v>
      </c>
      <c r="Z800" s="77"/>
      <c r="AA800" s="77"/>
      <c r="AB800" s="77"/>
      <c r="AC800" s="80" t="s">
        <v>10541</v>
      </c>
      <c r="AD800" s="77" t="s">
        <v>10620</v>
      </c>
      <c r="AE800" s="83" t="str">
        <f>HYPERLINK("https://twitter.com/eldia_do/status/1665785274184396814")</f>
        <v>https://twitter.com/eldia_do/status/1665785274184396814</v>
      </c>
      <c r="AF800" s="79">
        <v>45082.763101851851</v>
      </c>
      <c r="AG800" s="85">
        <v>45082</v>
      </c>
      <c r="AH800" s="80" t="s">
        <v>11334</v>
      </c>
      <c r="AI800" s="77" t="b">
        <v>0</v>
      </c>
      <c r="AJ800" s="77"/>
      <c r="AK800" s="77"/>
      <c r="AL800" s="77"/>
      <c r="AM800" s="77"/>
      <c r="AN800" s="77"/>
      <c r="AO800" s="77"/>
      <c r="AP800" s="77"/>
      <c r="AQ800" s="77"/>
      <c r="AR800" s="77"/>
      <c r="AS800" s="77"/>
      <c r="AT800" s="77"/>
      <c r="AU800" s="77"/>
      <c r="AV800" s="83" t="str">
        <f>HYPERLINK("https://pbs.twimg.com/profile_images/1612423167682682880/PDI49old_normal.jpg")</f>
        <v>https://pbs.twimg.com/profile_images/1612423167682682880/PDI49old_normal.jpg</v>
      </c>
      <c r="AW800" s="80" t="s">
        <v>16732</v>
      </c>
      <c r="AX800" s="80" t="s">
        <v>16732</v>
      </c>
      <c r="AY800" s="77"/>
      <c r="AZ800" s="80" t="s">
        <v>20380</v>
      </c>
      <c r="BA800" s="80" t="s">
        <v>20380</v>
      </c>
      <c r="BB800" s="80" t="s">
        <v>20380</v>
      </c>
      <c r="BC800" s="80" t="s">
        <v>16732</v>
      </c>
      <c r="BD800" s="77">
        <v>143173757</v>
      </c>
      <c r="BE800" s="77"/>
      <c r="BF800" s="77"/>
      <c r="BG800" s="77"/>
      <c r="BH800" s="77"/>
      <c r="BI800" s="77"/>
    </row>
    <row r="801" spans="1:61" x14ac:dyDescent="0.25">
      <c r="A801" s="62" t="s">
        <v>519</v>
      </c>
      <c r="B801" s="62" t="s">
        <v>519</v>
      </c>
      <c r="C801" s="63"/>
      <c r="D801" s="64"/>
      <c r="E801" s="65"/>
      <c r="F801" s="66"/>
      <c r="G801" s="63"/>
      <c r="H801" s="67"/>
      <c r="I801" s="68"/>
      <c r="J801" s="68"/>
      <c r="K801" s="32"/>
      <c r="L801" s="75">
        <v>801</v>
      </c>
      <c r="M801" s="75"/>
      <c r="N801" s="70"/>
      <c r="O801" s="77" t="s">
        <v>179</v>
      </c>
      <c r="P801" s="79">
        <v>45177.773425925923</v>
      </c>
      <c r="Q801" s="77" t="s">
        <v>2777</v>
      </c>
      <c r="R801" s="77">
        <v>0</v>
      </c>
      <c r="S801" s="77">
        <v>0</v>
      </c>
      <c r="T801" s="77">
        <v>0</v>
      </c>
      <c r="U801" s="77">
        <v>0</v>
      </c>
      <c r="V801" s="77">
        <v>524</v>
      </c>
      <c r="W801" s="80" t="s">
        <v>6468</v>
      </c>
      <c r="X801" s="83" t="str">
        <f>HYPERLINK("https://eldia.com.do/la-tasa-de-politica-monetaria")</f>
        <v>https://eldia.com.do/la-tasa-de-politica-monetaria</v>
      </c>
      <c r="Y801" s="77" t="s">
        <v>8625</v>
      </c>
      <c r="Z801" s="77"/>
      <c r="AA801" s="77"/>
      <c r="AB801" s="77"/>
      <c r="AC801" s="80" t="s">
        <v>10541</v>
      </c>
      <c r="AD801" s="77" t="s">
        <v>10620</v>
      </c>
      <c r="AE801" s="83" t="str">
        <f>HYPERLINK("https://twitter.com/eldia_do/status/1700215862215504048")</f>
        <v>https://twitter.com/eldia_do/status/1700215862215504048</v>
      </c>
      <c r="AF801" s="79">
        <v>45177.773425925923</v>
      </c>
      <c r="AG801" s="85">
        <v>45177</v>
      </c>
      <c r="AH801" s="80" t="s">
        <v>11335</v>
      </c>
      <c r="AI801" s="77" t="b">
        <v>0</v>
      </c>
      <c r="AJ801" s="77"/>
      <c r="AK801" s="77"/>
      <c r="AL801" s="77"/>
      <c r="AM801" s="77"/>
      <c r="AN801" s="77"/>
      <c r="AO801" s="77"/>
      <c r="AP801" s="77"/>
      <c r="AQ801" s="77"/>
      <c r="AR801" s="77"/>
      <c r="AS801" s="77"/>
      <c r="AT801" s="77"/>
      <c r="AU801" s="77"/>
      <c r="AV801" s="83" t="str">
        <f>HYPERLINK("https://pbs.twimg.com/profile_images/1612423167682682880/PDI49old_normal.jpg")</f>
        <v>https://pbs.twimg.com/profile_images/1612423167682682880/PDI49old_normal.jpg</v>
      </c>
      <c r="AW801" s="80" t="s">
        <v>16733</v>
      </c>
      <c r="AX801" s="80" t="s">
        <v>16733</v>
      </c>
      <c r="AY801" s="77"/>
      <c r="AZ801" s="80" t="s">
        <v>20380</v>
      </c>
      <c r="BA801" s="80" t="s">
        <v>20380</v>
      </c>
      <c r="BB801" s="80" t="s">
        <v>20380</v>
      </c>
      <c r="BC801" s="80" t="s">
        <v>16733</v>
      </c>
      <c r="BD801" s="77">
        <v>143173757</v>
      </c>
      <c r="BE801" s="77"/>
      <c r="BF801" s="77"/>
      <c r="BG801" s="77"/>
      <c r="BH801" s="77"/>
      <c r="BI801" s="77"/>
    </row>
    <row r="802" spans="1:61" x14ac:dyDescent="0.25">
      <c r="A802" s="62" t="s">
        <v>519</v>
      </c>
      <c r="B802" s="62" t="s">
        <v>519</v>
      </c>
      <c r="C802" s="63"/>
      <c r="D802" s="64"/>
      <c r="E802" s="65"/>
      <c r="F802" s="66"/>
      <c r="G802" s="63"/>
      <c r="H802" s="67"/>
      <c r="I802" s="68"/>
      <c r="J802" s="68"/>
      <c r="K802" s="32"/>
      <c r="L802" s="75">
        <v>802</v>
      </c>
      <c r="M802" s="75"/>
      <c r="N802" s="70"/>
      <c r="O802" s="77" t="s">
        <v>179</v>
      </c>
      <c r="P802" s="79">
        <v>45154.549189814818</v>
      </c>
      <c r="Q802" s="77" t="s">
        <v>2778</v>
      </c>
      <c r="R802" s="77">
        <v>0</v>
      </c>
      <c r="S802" s="77">
        <v>1</v>
      </c>
      <c r="T802" s="77">
        <v>2</v>
      </c>
      <c r="U802" s="77">
        <v>0</v>
      </c>
      <c r="V802" s="77">
        <v>617</v>
      </c>
      <c r="W802" s="80" t="s">
        <v>6469</v>
      </c>
      <c r="X802" s="83" t="str">
        <f>HYPERLINK("https://eldia.com.do/banco-central-y-prodominicana-intercambiaran-datos")</f>
        <v>https://eldia.com.do/banco-central-y-prodominicana-intercambiaran-datos</v>
      </c>
      <c r="Y802" s="77" t="s">
        <v>8625</v>
      </c>
      <c r="Z802" s="77"/>
      <c r="AA802" s="77"/>
      <c r="AB802" s="77"/>
      <c r="AC802" s="80" t="s">
        <v>10541</v>
      </c>
      <c r="AD802" s="77" t="s">
        <v>10620</v>
      </c>
      <c r="AE802" s="83" t="str">
        <f>HYPERLINK("https://twitter.com/eldia_do/status/1691799679674016079")</f>
        <v>https://twitter.com/eldia_do/status/1691799679674016079</v>
      </c>
      <c r="AF802" s="79">
        <v>45154.549189814818</v>
      </c>
      <c r="AG802" s="85">
        <v>45154</v>
      </c>
      <c r="AH802" s="80" t="s">
        <v>11336</v>
      </c>
      <c r="AI802" s="77" t="b">
        <v>0</v>
      </c>
      <c r="AJ802" s="77"/>
      <c r="AK802" s="77"/>
      <c r="AL802" s="77"/>
      <c r="AM802" s="77"/>
      <c r="AN802" s="77"/>
      <c r="AO802" s="77"/>
      <c r="AP802" s="77"/>
      <c r="AQ802" s="77"/>
      <c r="AR802" s="77"/>
      <c r="AS802" s="77"/>
      <c r="AT802" s="77"/>
      <c r="AU802" s="77"/>
      <c r="AV802" s="83" t="str">
        <f>HYPERLINK("https://pbs.twimg.com/profile_images/1612423167682682880/PDI49old_normal.jpg")</f>
        <v>https://pbs.twimg.com/profile_images/1612423167682682880/PDI49old_normal.jpg</v>
      </c>
      <c r="AW802" s="80" t="s">
        <v>16734</v>
      </c>
      <c r="AX802" s="80" t="s">
        <v>16734</v>
      </c>
      <c r="AY802" s="77"/>
      <c r="AZ802" s="80" t="s">
        <v>20380</v>
      </c>
      <c r="BA802" s="80" t="s">
        <v>20380</v>
      </c>
      <c r="BB802" s="80" t="s">
        <v>20380</v>
      </c>
      <c r="BC802" s="80" t="s">
        <v>16734</v>
      </c>
      <c r="BD802" s="77">
        <v>143173757</v>
      </c>
      <c r="BE802" s="77"/>
      <c r="BF802" s="77"/>
      <c r="BG802" s="77"/>
      <c r="BH802" s="77"/>
      <c r="BI802" s="77"/>
    </row>
    <row r="803" spans="1:61" x14ac:dyDescent="0.25">
      <c r="A803" s="62" t="s">
        <v>519</v>
      </c>
      <c r="B803" s="62" t="s">
        <v>519</v>
      </c>
      <c r="C803" s="63"/>
      <c r="D803" s="64"/>
      <c r="E803" s="65"/>
      <c r="F803" s="66"/>
      <c r="G803" s="63"/>
      <c r="H803" s="67"/>
      <c r="I803" s="68"/>
      <c r="J803" s="68"/>
      <c r="K803" s="32"/>
      <c r="L803" s="75">
        <v>803</v>
      </c>
      <c r="M803" s="75"/>
      <c r="N803" s="70"/>
      <c r="O803" s="77" t="s">
        <v>179</v>
      </c>
      <c r="P803" s="79">
        <v>45103.513761574075</v>
      </c>
      <c r="Q803" s="77" t="s">
        <v>2779</v>
      </c>
      <c r="R803" s="77">
        <v>3</v>
      </c>
      <c r="S803" s="77">
        <v>7</v>
      </c>
      <c r="T803" s="77">
        <v>4</v>
      </c>
      <c r="U803" s="77">
        <v>0</v>
      </c>
      <c r="V803" s="77">
        <v>868</v>
      </c>
      <c r="W803" s="80" t="s">
        <v>6470</v>
      </c>
      <c r="X803" s="83" t="str">
        <f>HYPERLINK("https://eldia.com.do/el-banco-central-tendra-que-acelerar-el-paso")</f>
        <v>https://eldia.com.do/el-banco-central-tendra-que-acelerar-el-paso</v>
      </c>
      <c r="Y803" s="77" t="s">
        <v>8625</v>
      </c>
      <c r="Z803" s="77"/>
      <c r="AA803" s="77"/>
      <c r="AB803" s="77"/>
      <c r="AC803" s="80" t="s">
        <v>10552</v>
      </c>
      <c r="AD803" s="77" t="s">
        <v>10620</v>
      </c>
      <c r="AE803" s="83" t="str">
        <f>HYPERLINK("https://twitter.com/eldia_do/status/1673305059277385728")</f>
        <v>https://twitter.com/eldia_do/status/1673305059277385728</v>
      </c>
      <c r="AF803" s="79">
        <v>45103.513761574075</v>
      </c>
      <c r="AG803" s="85">
        <v>45103</v>
      </c>
      <c r="AH803" s="80" t="s">
        <v>11337</v>
      </c>
      <c r="AI803" s="77" t="b">
        <v>0</v>
      </c>
      <c r="AJ803" s="77"/>
      <c r="AK803" s="77"/>
      <c r="AL803" s="77"/>
      <c r="AM803" s="77"/>
      <c r="AN803" s="77"/>
      <c r="AO803" s="77"/>
      <c r="AP803" s="77"/>
      <c r="AQ803" s="77"/>
      <c r="AR803" s="77"/>
      <c r="AS803" s="77"/>
      <c r="AT803" s="77"/>
      <c r="AU803" s="77"/>
      <c r="AV803" s="83" t="str">
        <f>HYPERLINK("https://pbs.twimg.com/profile_images/1612423167682682880/PDI49old_normal.jpg")</f>
        <v>https://pbs.twimg.com/profile_images/1612423167682682880/PDI49old_normal.jpg</v>
      </c>
      <c r="AW803" s="80" t="s">
        <v>16735</v>
      </c>
      <c r="AX803" s="80" t="s">
        <v>16735</v>
      </c>
      <c r="AY803" s="77"/>
      <c r="AZ803" s="80" t="s">
        <v>20380</v>
      </c>
      <c r="BA803" s="80" t="s">
        <v>20380</v>
      </c>
      <c r="BB803" s="80" t="s">
        <v>20380</v>
      </c>
      <c r="BC803" s="80" t="s">
        <v>16735</v>
      </c>
      <c r="BD803" s="77">
        <v>143173757</v>
      </c>
      <c r="BE803" s="77"/>
      <c r="BF803" s="77"/>
      <c r="BG803" s="77"/>
      <c r="BH803" s="77"/>
      <c r="BI803" s="77"/>
    </row>
    <row r="804" spans="1:61" x14ac:dyDescent="0.25">
      <c r="A804" s="62" t="s">
        <v>519</v>
      </c>
      <c r="B804" s="62" t="s">
        <v>519</v>
      </c>
      <c r="C804" s="63"/>
      <c r="D804" s="64"/>
      <c r="E804" s="65"/>
      <c r="F804" s="66"/>
      <c r="G804" s="63"/>
      <c r="H804" s="67"/>
      <c r="I804" s="68"/>
      <c r="J804" s="68"/>
      <c r="K804" s="32"/>
      <c r="L804" s="75">
        <v>804</v>
      </c>
      <c r="M804" s="75"/>
      <c r="N804" s="70"/>
      <c r="O804" s="77" t="s">
        <v>179</v>
      </c>
      <c r="P804" s="79">
        <v>45184.670474537037</v>
      </c>
      <c r="Q804" s="77" t="s">
        <v>2780</v>
      </c>
      <c r="R804" s="77">
        <v>0</v>
      </c>
      <c r="S804" s="77">
        <v>0</v>
      </c>
      <c r="T804" s="77">
        <v>1</v>
      </c>
      <c r="U804" s="77">
        <v>0</v>
      </c>
      <c r="V804" s="77">
        <v>552</v>
      </c>
      <c r="W804" s="80" t="s">
        <v>6471</v>
      </c>
      <c r="X804" s="83" t="str">
        <f>HYPERLINK("https://eldia.com.do/el-pais-capta-us2-mil-149-millones-de-inversion")</f>
        <v>https://eldia.com.do/el-pais-capta-us2-mil-149-millones-de-inversion</v>
      </c>
      <c r="Y804" s="77" t="s">
        <v>8625</v>
      </c>
      <c r="Z804" s="77"/>
      <c r="AA804" s="77"/>
      <c r="AB804" s="77"/>
      <c r="AC804" s="80" t="s">
        <v>10541</v>
      </c>
      <c r="AD804" s="77" t="s">
        <v>10620</v>
      </c>
      <c r="AE804" s="83" t="str">
        <f>HYPERLINK("https://twitter.com/eldia_do/status/1702715266939986105")</f>
        <v>https://twitter.com/eldia_do/status/1702715266939986105</v>
      </c>
      <c r="AF804" s="79">
        <v>45184.670474537037</v>
      </c>
      <c r="AG804" s="85">
        <v>45184</v>
      </c>
      <c r="AH804" s="80" t="s">
        <v>11338</v>
      </c>
      <c r="AI804" s="77" t="b">
        <v>0</v>
      </c>
      <c r="AJ804" s="77"/>
      <c r="AK804" s="77"/>
      <c r="AL804" s="77"/>
      <c r="AM804" s="77"/>
      <c r="AN804" s="77"/>
      <c r="AO804" s="77"/>
      <c r="AP804" s="77"/>
      <c r="AQ804" s="77"/>
      <c r="AR804" s="77"/>
      <c r="AS804" s="77"/>
      <c r="AT804" s="77"/>
      <c r="AU804" s="77"/>
      <c r="AV804" s="83" t="str">
        <f>HYPERLINK("https://pbs.twimg.com/profile_images/1612423167682682880/PDI49old_normal.jpg")</f>
        <v>https://pbs.twimg.com/profile_images/1612423167682682880/PDI49old_normal.jpg</v>
      </c>
      <c r="AW804" s="80" t="s">
        <v>16736</v>
      </c>
      <c r="AX804" s="80" t="s">
        <v>16736</v>
      </c>
      <c r="AY804" s="77"/>
      <c r="AZ804" s="80" t="s">
        <v>20380</v>
      </c>
      <c r="BA804" s="80" t="s">
        <v>20380</v>
      </c>
      <c r="BB804" s="80" t="s">
        <v>20380</v>
      </c>
      <c r="BC804" s="80" t="s">
        <v>16736</v>
      </c>
      <c r="BD804" s="77">
        <v>143173757</v>
      </c>
      <c r="BE804" s="77"/>
      <c r="BF804" s="77"/>
      <c r="BG804" s="77"/>
      <c r="BH804" s="77"/>
      <c r="BI804" s="77"/>
    </row>
    <row r="805" spans="1:61" x14ac:dyDescent="0.25">
      <c r="A805" s="62" t="s">
        <v>519</v>
      </c>
      <c r="B805" s="62" t="s">
        <v>519</v>
      </c>
      <c r="C805" s="63"/>
      <c r="D805" s="64"/>
      <c r="E805" s="65"/>
      <c r="F805" s="66"/>
      <c r="G805" s="63"/>
      <c r="H805" s="67"/>
      <c r="I805" s="68"/>
      <c r="J805" s="68"/>
      <c r="K805" s="32"/>
      <c r="L805" s="75">
        <v>805</v>
      </c>
      <c r="M805" s="75"/>
      <c r="N805" s="70"/>
      <c r="O805" s="77" t="s">
        <v>179</v>
      </c>
      <c r="P805" s="79">
        <v>45176.934270833335</v>
      </c>
      <c r="Q805" s="77" t="s">
        <v>2781</v>
      </c>
      <c r="R805" s="77">
        <v>1</v>
      </c>
      <c r="S805" s="77">
        <v>0</v>
      </c>
      <c r="T805" s="77">
        <v>0</v>
      </c>
      <c r="U805" s="77">
        <v>0</v>
      </c>
      <c r="V805" s="77">
        <v>487</v>
      </c>
      <c r="W805" s="80" t="s">
        <v>6472</v>
      </c>
      <c r="X805" s="83" t="str">
        <f>HYPERLINK("https://eldia.com.do/el-banco-central-de-republica-dominicana-entra-a-formar-parte-del-comite-irving-fisher/")</f>
        <v>https://eldia.com.do/el-banco-central-de-republica-dominicana-entra-a-formar-parte-del-comite-irving-fisher/</v>
      </c>
      <c r="Y805" s="77" t="s">
        <v>8625</v>
      </c>
      <c r="Z805" s="77"/>
      <c r="AA805" s="77" t="s">
        <v>9260</v>
      </c>
      <c r="AB805" s="77" t="s">
        <v>10535</v>
      </c>
      <c r="AC805" s="80" t="s">
        <v>10541</v>
      </c>
      <c r="AD805" s="77" t="s">
        <v>10624</v>
      </c>
      <c r="AE805" s="83" t="str">
        <f>HYPERLINK("https://twitter.com/eldia_do/status/1699911760889663520")</f>
        <v>https://twitter.com/eldia_do/status/1699911760889663520</v>
      </c>
      <c r="AF805" s="79">
        <v>45176.934270833335</v>
      </c>
      <c r="AG805" s="85">
        <v>45176</v>
      </c>
      <c r="AH805" s="80" t="s">
        <v>11339</v>
      </c>
      <c r="AI805" s="77" t="b">
        <v>0</v>
      </c>
      <c r="AJ805" s="77"/>
      <c r="AK805" s="77"/>
      <c r="AL805" s="77"/>
      <c r="AM805" s="77"/>
      <c r="AN805" s="77"/>
      <c r="AO805" s="77"/>
      <c r="AP805" s="77"/>
      <c r="AQ805" s="77" t="s">
        <v>14742</v>
      </c>
      <c r="AR805" s="77"/>
      <c r="AS805" s="77"/>
      <c r="AT805" s="77"/>
      <c r="AU805" s="77"/>
      <c r="AV805" s="83" t="str">
        <f>HYPERLINK("https://pbs.twimg.com/media/F5dMurrWcAA70kA.jpg")</f>
        <v>https://pbs.twimg.com/media/F5dMurrWcAA70kA.jpg</v>
      </c>
      <c r="AW805" s="80" t="s">
        <v>16737</v>
      </c>
      <c r="AX805" s="80" t="s">
        <v>16737</v>
      </c>
      <c r="AY805" s="77"/>
      <c r="AZ805" s="80" t="s">
        <v>20380</v>
      </c>
      <c r="BA805" s="80" t="s">
        <v>20380</v>
      </c>
      <c r="BB805" s="80" t="s">
        <v>20380</v>
      </c>
      <c r="BC805" s="80" t="s">
        <v>16737</v>
      </c>
      <c r="BD805" s="77">
        <v>143173757</v>
      </c>
      <c r="BE805" s="77"/>
      <c r="BF805" s="77"/>
      <c r="BG805" s="77"/>
      <c r="BH805" s="77"/>
      <c r="BI805" s="77"/>
    </row>
    <row r="806" spans="1:61" x14ac:dyDescent="0.25">
      <c r="A806" s="62" t="s">
        <v>519</v>
      </c>
      <c r="B806" s="62" t="s">
        <v>519</v>
      </c>
      <c r="C806" s="63"/>
      <c r="D806" s="64"/>
      <c r="E806" s="65"/>
      <c r="F806" s="66"/>
      <c r="G806" s="63"/>
      <c r="H806" s="67"/>
      <c r="I806" s="68"/>
      <c r="J806" s="68"/>
      <c r="K806" s="32"/>
      <c r="L806" s="75">
        <v>806</v>
      </c>
      <c r="M806" s="75"/>
      <c r="N806" s="70"/>
      <c r="O806" s="77" t="s">
        <v>179</v>
      </c>
      <c r="P806" s="79">
        <v>45169.744432870371</v>
      </c>
      <c r="Q806" s="77" t="s">
        <v>2782</v>
      </c>
      <c r="R806" s="77">
        <v>0</v>
      </c>
      <c r="S806" s="77">
        <v>0</v>
      </c>
      <c r="T806" s="77">
        <v>1</v>
      </c>
      <c r="U806" s="77">
        <v>0</v>
      </c>
      <c r="V806" s="77">
        <v>847</v>
      </c>
      <c r="W806" s="80" t="s">
        <v>6473</v>
      </c>
      <c r="X806" s="83" t="str">
        <f>HYPERLINK("https://eldia.com.do/bc-reduce-su-tasa-de-politica-monetaria-en-25-puntos-basicos")</f>
        <v>https://eldia.com.do/bc-reduce-su-tasa-de-politica-monetaria-en-25-puntos-basicos</v>
      </c>
      <c r="Y806" s="77" t="s">
        <v>8625</v>
      </c>
      <c r="Z806" s="77"/>
      <c r="AA806" s="77"/>
      <c r="AB806" s="77"/>
      <c r="AC806" s="80" t="s">
        <v>10541</v>
      </c>
      <c r="AD806" s="77" t="s">
        <v>10620</v>
      </c>
      <c r="AE806" s="83" t="str">
        <f>HYPERLINK("https://twitter.com/eldia_do/status/1697306252013900002")</f>
        <v>https://twitter.com/eldia_do/status/1697306252013900002</v>
      </c>
      <c r="AF806" s="79">
        <v>45169.744432870371</v>
      </c>
      <c r="AG806" s="85">
        <v>45169</v>
      </c>
      <c r="AH806" s="80" t="s">
        <v>11340</v>
      </c>
      <c r="AI806" s="77" t="b">
        <v>0</v>
      </c>
      <c r="AJ806" s="77"/>
      <c r="AK806" s="77"/>
      <c r="AL806" s="77"/>
      <c r="AM806" s="77"/>
      <c r="AN806" s="77"/>
      <c r="AO806" s="77"/>
      <c r="AP806" s="77"/>
      <c r="AQ806" s="77"/>
      <c r="AR806" s="77"/>
      <c r="AS806" s="77"/>
      <c r="AT806" s="77"/>
      <c r="AU806" s="77"/>
      <c r="AV806" s="83" t="str">
        <f>HYPERLINK("https://pbs.twimg.com/profile_images/1612423167682682880/PDI49old_normal.jpg")</f>
        <v>https://pbs.twimg.com/profile_images/1612423167682682880/PDI49old_normal.jpg</v>
      </c>
      <c r="AW806" s="80" t="s">
        <v>16738</v>
      </c>
      <c r="AX806" s="80" t="s">
        <v>16738</v>
      </c>
      <c r="AY806" s="77"/>
      <c r="AZ806" s="80" t="s">
        <v>20380</v>
      </c>
      <c r="BA806" s="80" t="s">
        <v>20380</v>
      </c>
      <c r="BB806" s="80" t="s">
        <v>20380</v>
      </c>
      <c r="BC806" s="80" t="s">
        <v>16738</v>
      </c>
      <c r="BD806" s="77">
        <v>143173757</v>
      </c>
      <c r="BE806" s="77"/>
      <c r="BF806" s="77"/>
      <c r="BG806" s="77"/>
      <c r="BH806" s="77"/>
      <c r="BI806" s="77"/>
    </row>
    <row r="807" spans="1:61" x14ac:dyDescent="0.25">
      <c r="A807" s="62" t="s">
        <v>519</v>
      </c>
      <c r="B807" s="62" t="s">
        <v>519</v>
      </c>
      <c r="C807" s="63"/>
      <c r="D807" s="64"/>
      <c r="E807" s="65"/>
      <c r="F807" s="66"/>
      <c r="G807" s="63"/>
      <c r="H807" s="67"/>
      <c r="I807" s="68"/>
      <c r="J807" s="68"/>
      <c r="K807" s="32"/>
      <c r="L807" s="75">
        <v>807</v>
      </c>
      <c r="M807" s="75"/>
      <c r="N807" s="70"/>
      <c r="O807" s="77" t="s">
        <v>179</v>
      </c>
      <c r="P807" s="79">
        <v>45168.64980324074</v>
      </c>
      <c r="Q807" s="77" t="s">
        <v>2783</v>
      </c>
      <c r="R807" s="77">
        <v>0</v>
      </c>
      <c r="S807" s="77">
        <v>1</v>
      </c>
      <c r="T807" s="77">
        <v>0</v>
      </c>
      <c r="U807" s="77">
        <v>0</v>
      </c>
      <c r="V807" s="77">
        <v>614</v>
      </c>
      <c r="W807" s="80" t="s">
        <v>6474</v>
      </c>
      <c r="X807" s="83" t="str">
        <f>HYPERLINK("https://eldia.com.do/ralentizacion-economia-se-reflejara-bajo-crecimiento")</f>
        <v>https://eldia.com.do/ralentizacion-economia-se-reflejara-bajo-crecimiento</v>
      </c>
      <c r="Y807" s="77" t="s">
        <v>8625</v>
      </c>
      <c r="Z807" s="77"/>
      <c r="AA807" s="77"/>
      <c r="AB807" s="77"/>
      <c r="AC807" s="80" t="s">
        <v>10541</v>
      </c>
      <c r="AD807" s="77" t="s">
        <v>10620</v>
      </c>
      <c r="AE807" s="83" t="str">
        <f>HYPERLINK("https://twitter.com/eldia_do/status/1696909572294819891")</f>
        <v>https://twitter.com/eldia_do/status/1696909572294819891</v>
      </c>
      <c r="AF807" s="79">
        <v>45168.64980324074</v>
      </c>
      <c r="AG807" s="85">
        <v>45168</v>
      </c>
      <c r="AH807" s="80" t="s">
        <v>11341</v>
      </c>
      <c r="AI807" s="77" t="b">
        <v>0</v>
      </c>
      <c r="AJ807" s="77"/>
      <c r="AK807" s="77"/>
      <c r="AL807" s="77"/>
      <c r="AM807" s="77"/>
      <c r="AN807" s="77"/>
      <c r="AO807" s="77"/>
      <c r="AP807" s="77"/>
      <c r="AQ807" s="77"/>
      <c r="AR807" s="77"/>
      <c r="AS807" s="77"/>
      <c r="AT807" s="77"/>
      <c r="AU807" s="77"/>
      <c r="AV807" s="83" t="str">
        <f>HYPERLINK("https://pbs.twimg.com/profile_images/1612423167682682880/PDI49old_normal.jpg")</f>
        <v>https://pbs.twimg.com/profile_images/1612423167682682880/PDI49old_normal.jpg</v>
      </c>
      <c r="AW807" s="80" t="s">
        <v>16739</v>
      </c>
      <c r="AX807" s="80" t="s">
        <v>16739</v>
      </c>
      <c r="AY807" s="77"/>
      <c r="AZ807" s="80" t="s">
        <v>20380</v>
      </c>
      <c r="BA807" s="80" t="s">
        <v>20380</v>
      </c>
      <c r="BB807" s="80" t="s">
        <v>20380</v>
      </c>
      <c r="BC807" s="80" t="s">
        <v>16739</v>
      </c>
      <c r="BD807" s="77">
        <v>143173757</v>
      </c>
      <c r="BE807" s="77"/>
      <c r="BF807" s="77"/>
      <c r="BG807" s="77"/>
      <c r="BH807" s="77"/>
      <c r="BI807" s="77"/>
    </row>
    <row r="808" spans="1:61" x14ac:dyDescent="0.25">
      <c r="A808" s="62" t="s">
        <v>519</v>
      </c>
      <c r="B808" s="62" t="s">
        <v>519</v>
      </c>
      <c r="C808" s="63"/>
      <c r="D808" s="64"/>
      <c r="E808" s="65"/>
      <c r="F808" s="66"/>
      <c r="G808" s="63"/>
      <c r="H808" s="67"/>
      <c r="I808" s="68"/>
      <c r="J808" s="68"/>
      <c r="K808" s="32"/>
      <c r="L808" s="75">
        <v>808</v>
      </c>
      <c r="M808" s="75"/>
      <c r="N808" s="70"/>
      <c r="O808" s="77" t="s">
        <v>179</v>
      </c>
      <c r="P808" s="79">
        <v>45065.55369212963</v>
      </c>
      <c r="Q808" s="77" t="s">
        <v>2784</v>
      </c>
      <c r="R808" s="77">
        <v>0</v>
      </c>
      <c r="S808" s="77">
        <v>4</v>
      </c>
      <c r="T808" s="77">
        <v>1</v>
      </c>
      <c r="U808" s="77">
        <v>0</v>
      </c>
      <c r="V808" s="77">
        <v>743</v>
      </c>
      <c r="W808" s="80" t="s">
        <v>6475</v>
      </c>
      <c r="X808" s="83" t="str">
        <f>HYPERLINK("https://eldia.com.do/remesas-crecen-2-7-primer-cuatrimestre/")</f>
        <v>https://eldia.com.do/remesas-crecen-2-7-primer-cuatrimestre/</v>
      </c>
      <c r="Y808" s="77" t="s">
        <v>8625</v>
      </c>
      <c r="Z808" s="77"/>
      <c r="AA808" s="77"/>
      <c r="AB808" s="77"/>
      <c r="AC808" s="80" t="s">
        <v>10552</v>
      </c>
      <c r="AD808" s="77" t="s">
        <v>10620</v>
      </c>
      <c r="AE808" s="83" t="str">
        <f>HYPERLINK("https://twitter.com/eldia_do/status/1659548792624906241")</f>
        <v>https://twitter.com/eldia_do/status/1659548792624906241</v>
      </c>
      <c r="AF808" s="79">
        <v>45065.55369212963</v>
      </c>
      <c r="AG808" s="85">
        <v>45065</v>
      </c>
      <c r="AH808" s="80" t="s">
        <v>11342</v>
      </c>
      <c r="AI808" s="77" t="b">
        <v>0</v>
      </c>
      <c r="AJ808" s="77"/>
      <c r="AK808" s="77"/>
      <c r="AL808" s="77"/>
      <c r="AM808" s="77"/>
      <c r="AN808" s="77"/>
      <c r="AO808" s="77"/>
      <c r="AP808" s="77"/>
      <c r="AQ808" s="77"/>
      <c r="AR808" s="77"/>
      <c r="AS808" s="77"/>
      <c r="AT808" s="77"/>
      <c r="AU808" s="77"/>
      <c r="AV808" s="83" t="str">
        <f>HYPERLINK("https://pbs.twimg.com/profile_images/1612423167682682880/PDI49old_normal.jpg")</f>
        <v>https://pbs.twimg.com/profile_images/1612423167682682880/PDI49old_normal.jpg</v>
      </c>
      <c r="AW808" s="80" t="s">
        <v>16740</v>
      </c>
      <c r="AX808" s="80" t="s">
        <v>16740</v>
      </c>
      <c r="AY808" s="77"/>
      <c r="AZ808" s="80" t="s">
        <v>20380</v>
      </c>
      <c r="BA808" s="80" t="s">
        <v>20380</v>
      </c>
      <c r="BB808" s="80" t="s">
        <v>20380</v>
      </c>
      <c r="BC808" s="80" t="s">
        <v>16740</v>
      </c>
      <c r="BD808" s="77">
        <v>143173757</v>
      </c>
      <c r="BE808" s="77"/>
      <c r="BF808" s="77"/>
      <c r="BG808" s="77"/>
      <c r="BH808" s="77"/>
      <c r="BI808" s="77"/>
    </row>
    <row r="809" spans="1:61" x14ac:dyDescent="0.25">
      <c r="A809" s="62" t="s">
        <v>519</v>
      </c>
      <c r="B809" s="62" t="s">
        <v>519</v>
      </c>
      <c r="C809" s="63"/>
      <c r="D809" s="64"/>
      <c r="E809" s="65"/>
      <c r="F809" s="66"/>
      <c r="G809" s="63"/>
      <c r="H809" s="67"/>
      <c r="I809" s="68"/>
      <c r="J809" s="68"/>
      <c r="K809" s="32"/>
      <c r="L809" s="75">
        <v>809</v>
      </c>
      <c r="M809" s="75"/>
      <c r="N809" s="70"/>
      <c r="O809" s="77" t="s">
        <v>179</v>
      </c>
      <c r="P809" s="79">
        <v>45064.768275462964</v>
      </c>
      <c r="Q809" s="77" t="s">
        <v>2785</v>
      </c>
      <c r="R809" s="77">
        <v>1</v>
      </c>
      <c r="S809" s="77">
        <v>2</v>
      </c>
      <c r="T809" s="77">
        <v>0</v>
      </c>
      <c r="U809" s="77">
        <v>0</v>
      </c>
      <c r="V809" s="77">
        <v>901</v>
      </c>
      <c r="W809" s="80" t="s">
        <v>6476</v>
      </c>
      <c r="X809" s="83" t="str">
        <f>HYPERLINK("https://eldia.com.do/banco-central-informa-remesas-alcanzaron-unos-us3300-millones-en-el-primer-cuatrimestre-de-2023")</f>
        <v>https://eldia.com.do/banco-central-informa-remesas-alcanzaron-unos-us3300-millones-en-el-primer-cuatrimestre-de-2023</v>
      </c>
      <c r="Y809" s="77" t="s">
        <v>8625</v>
      </c>
      <c r="Z809" s="77"/>
      <c r="AA809" s="77"/>
      <c r="AB809" s="77"/>
      <c r="AC809" s="80" t="s">
        <v>10541</v>
      </c>
      <c r="AD809" s="77" t="s">
        <v>10620</v>
      </c>
      <c r="AE809" s="83" t="str">
        <f>HYPERLINK("https://twitter.com/eldia_do/status/1659264166564184065")</f>
        <v>https://twitter.com/eldia_do/status/1659264166564184065</v>
      </c>
      <c r="AF809" s="79">
        <v>45064.768275462964</v>
      </c>
      <c r="AG809" s="85">
        <v>45064</v>
      </c>
      <c r="AH809" s="80" t="s">
        <v>11343</v>
      </c>
      <c r="AI809" s="77" t="b">
        <v>0</v>
      </c>
      <c r="AJ809" s="77"/>
      <c r="AK809" s="77"/>
      <c r="AL809" s="77"/>
      <c r="AM809" s="77"/>
      <c r="AN809" s="77"/>
      <c r="AO809" s="77"/>
      <c r="AP809" s="77"/>
      <c r="AQ809" s="77"/>
      <c r="AR809" s="77"/>
      <c r="AS809" s="77"/>
      <c r="AT809" s="77"/>
      <c r="AU809" s="77"/>
      <c r="AV809" s="83" t="str">
        <f>HYPERLINK("https://pbs.twimg.com/profile_images/1612423167682682880/PDI49old_normal.jpg")</f>
        <v>https://pbs.twimg.com/profile_images/1612423167682682880/PDI49old_normal.jpg</v>
      </c>
      <c r="AW809" s="80" t="s">
        <v>16741</v>
      </c>
      <c r="AX809" s="80" t="s">
        <v>16741</v>
      </c>
      <c r="AY809" s="77"/>
      <c r="AZ809" s="80" t="s">
        <v>20380</v>
      </c>
      <c r="BA809" s="80" t="s">
        <v>20380</v>
      </c>
      <c r="BB809" s="80" t="s">
        <v>20380</v>
      </c>
      <c r="BC809" s="80" t="s">
        <v>16741</v>
      </c>
      <c r="BD809" s="77">
        <v>143173757</v>
      </c>
      <c r="BE809" s="77"/>
      <c r="BF809" s="77"/>
      <c r="BG809" s="77"/>
      <c r="BH809" s="77"/>
      <c r="BI809" s="77"/>
    </row>
    <row r="810" spans="1:61" x14ac:dyDescent="0.25">
      <c r="A810" s="62" t="s">
        <v>520</v>
      </c>
      <c r="B810" s="62" t="s">
        <v>1650</v>
      </c>
      <c r="C810" s="63"/>
      <c r="D810" s="64"/>
      <c r="E810" s="65"/>
      <c r="F810" s="66"/>
      <c r="G810" s="63"/>
      <c r="H810" s="67"/>
      <c r="I810" s="68"/>
      <c r="J810" s="68"/>
      <c r="K810" s="32"/>
      <c r="L810" s="75">
        <v>810</v>
      </c>
      <c r="M810" s="75"/>
      <c r="N810" s="70"/>
      <c r="O810" s="77" t="s">
        <v>2083</v>
      </c>
      <c r="P810" s="79">
        <v>45197.912430555552</v>
      </c>
      <c r="Q810" s="77" t="s">
        <v>2786</v>
      </c>
      <c r="R810" s="77">
        <v>3</v>
      </c>
      <c r="S810" s="77">
        <v>0</v>
      </c>
      <c r="T810" s="77">
        <v>0</v>
      </c>
      <c r="U810" s="77">
        <v>0</v>
      </c>
      <c r="V810" s="77"/>
      <c r="W810" s="77"/>
      <c r="X810" s="77"/>
      <c r="Y810" s="77"/>
      <c r="Z810" s="77" t="s">
        <v>1650</v>
      </c>
      <c r="AA810" s="77"/>
      <c r="AB810" s="77"/>
      <c r="AC810" s="80" t="s">
        <v>10542</v>
      </c>
      <c r="AD810" s="77" t="s">
        <v>10617</v>
      </c>
      <c r="AE810" s="83" t="str">
        <f>HYPERLINK("https://twitter.com/silasv2/status/1707513993756057910")</f>
        <v>https://twitter.com/silasv2/status/1707513993756057910</v>
      </c>
      <c r="AF810" s="79">
        <v>45197.912430555552</v>
      </c>
      <c r="AG810" s="85">
        <v>45197</v>
      </c>
      <c r="AH810" s="80" t="s">
        <v>11344</v>
      </c>
      <c r="AI810" s="77"/>
      <c r="AJ810" s="77"/>
      <c r="AK810" s="77"/>
      <c r="AL810" s="77"/>
      <c r="AM810" s="77"/>
      <c r="AN810" s="77"/>
      <c r="AO810" s="77"/>
      <c r="AP810" s="77"/>
      <c r="AQ810" s="77"/>
      <c r="AR810" s="77"/>
      <c r="AS810" s="77"/>
      <c r="AT810" s="77"/>
      <c r="AU810" s="77"/>
      <c r="AV810" s="83" t="str">
        <f>HYPERLINK("https://pbs.twimg.com/profile_images/1394696474697609216/qP6rN0iE_normal.jpg")</f>
        <v>https://pbs.twimg.com/profile_images/1394696474697609216/qP6rN0iE_normal.jpg</v>
      </c>
      <c r="AW810" s="80" t="s">
        <v>16742</v>
      </c>
      <c r="AX810" s="80" t="s">
        <v>16742</v>
      </c>
      <c r="AY810" s="77"/>
      <c r="AZ810" s="80" t="s">
        <v>20380</v>
      </c>
      <c r="BA810" s="80" t="s">
        <v>20380</v>
      </c>
      <c r="BB810" s="80" t="s">
        <v>19805</v>
      </c>
      <c r="BC810" s="80" t="s">
        <v>19805</v>
      </c>
      <c r="BD810" s="80" t="s">
        <v>20642</v>
      </c>
      <c r="BE810" s="77"/>
      <c r="BF810" s="77"/>
      <c r="BG810" s="77"/>
      <c r="BH810" s="77"/>
      <c r="BI810" s="77"/>
    </row>
    <row r="811" spans="1:61" x14ac:dyDescent="0.25">
      <c r="A811" s="62" t="s">
        <v>521</v>
      </c>
      <c r="B811" s="62" t="s">
        <v>521</v>
      </c>
      <c r="C811" s="63"/>
      <c r="D811" s="64"/>
      <c r="E811" s="65"/>
      <c r="F811" s="66"/>
      <c r="G811" s="63"/>
      <c r="H811" s="67"/>
      <c r="I811" s="68"/>
      <c r="J811" s="68"/>
      <c r="K811" s="32"/>
      <c r="L811" s="75">
        <v>811</v>
      </c>
      <c r="M811" s="75"/>
      <c r="N811" s="70"/>
      <c r="O811" s="77" t="s">
        <v>179</v>
      </c>
      <c r="P811" s="79">
        <v>45095.670717592591</v>
      </c>
      <c r="Q811" s="77" t="s">
        <v>2787</v>
      </c>
      <c r="R811" s="77">
        <v>0</v>
      </c>
      <c r="S811" s="77">
        <v>0</v>
      </c>
      <c r="T811" s="77">
        <v>0</v>
      </c>
      <c r="U811" s="77">
        <v>0</v>
      </c>
      <c r="V811" s="77">
        <v>6</v>
      </c>
      <c r="W811" s="80" t="s">
        <v>6477</v>
      </c>
      <c r="X811" s="77"/>
      <c r="Y811" s="77"/>
      <c r="Z811" s="77"/>
      <c r="AA811" s="77" t="s">
        <v>9261</v>
      </c>
      <c r="AB811" s="77" t="s">
        <v>10535</v>
      </c>
      <c r="AC811" s="80" t="s">
        <v>10569</v>
      </c>
      <c r="AD811" s="77" t="s">
        <v>10617</v>
      </c>
      <c r="AE811" s="83" t="str">
        <f>HYPERLINK("https://twitter.com/targonis/status/1670462834705154049")</f>
        <v>https://twitter.com/targonis/status/1670462834705154049</v>
      </c>
      <c r="AF811" s="79">
        <v>45095.670717592591</v>
      </c>
      <c r="AG811" s="85">
        <v>45095</v>
      </c>
      <c r="AH811" s="80" t="s">
        <v>11345</v>
      </c>
      <c r="AI811" s="77" t="b">
        <v>0</v>
      </c>
      <c r="AJ811" s="77"/>
      <c r="AK811" s="77"/>
      <c r="AL811" s="77"/>
      <c r="AM811" s="77"/>
      <c r="AN811" s="77"/>
      <c r="AO811" s="77"/>
      <c r="AP811" s="77"/>
      <c r="AQ811" s="77" t="s">
        <v>14743</v>
      </c>
      <c r="AR811" s="77"/>
      <c r="AS811" s="77"/>
      <c r="AT811" s="77"/>
      <c r="AU811" s="77"/>
      <c r="AV811" s="83" t="str">
        <f>HYPERLINK("https://pbs.twimg.com/media/Fy6tGG7XsAAB7GQ.jpg")</f>
        <v>https://pbs.twimg.com/media/Fy6tGG7XsAAB7GQ.jpg</v>
      </c>
      <c r="AW811" s="80" t="s">
        <v>16743</v>
      </c>
      <c r="AX811" s="80" t="s">
        <v>16743</v>
      </c>
      <c r="AY811" s="77"/>
      <c r="AZ811" s="80" t="s">
        <v>20380</v>
      </c>
      <c r="BA811" s="80" t="s">
        <v>20380</v>
      </c>
      <c r="BB811" s="80" t="s">
        <v>20380</v>
      </c>
      <c r="BC811" s="80" t="s">
        <v>16743</v>
      </c>
      <c r="BD811" s="77">
        <v>35490311</v>
      </c>
      <c r="BE811" s="77"/>
      <c r="BF811" s="77"/>
      <c r="BG811" s="77"/>
      <c r="BH811" s="77"/>
      <c r="BI811" s="77"/>
    </row>
    <row r="812" spans="1:61" x14ac:dyDescent="0.25">
      <c r="A812" s="62" t="s">
        <v>521</v>
      </c>
      <c r="B812" s="62" t="s">
        <v>521</v>
      </c>
      <c r="C812" s="63"/>
      <c r="D812" s="64"/>
      <c r="E812" s="65"/>
      <c r="F812" s="66"/>
      <c r="G812" s="63"/>
      <c r="H812" s="67"/>
      <c r="I812" s="68"/>
      <c r="J812" s="68"/>
      <c r="K812" s="32"/>
      <c r="L812" s="75">
        <v>812</v>
      </c>
      <c r="M812" s="75"/>
      <c r="N812" s="70"/>
      <c r="O812" s="77" t="s">
        <v>179</v>
      </c>
      <c r="P812" s="79">
        <v>45062.902453703704</v>
      </c>
      <c r="Q812" s="77" t="s">
        <v>2788</v>
      </c>
      <c r="R812" s="77">
        <v>0</v>
      </c>
      <c r="S812" s="77">
        <v>0</v>
      </c>
      <c r="T812" s="77">
        <v>1</v>
      </c>
      <c r="U812" s="77">
        <v>1</v>
      </c>
      <c r="V812" s="77">
        <v>196</v>
      </c>
      <c r="W812" s="80" t="s">
        <v>6478</v>
      </c>
      <c r="X812" s="77"/>
      <c r="Y812" s="77"/>
      <c r="Z812" s="77"/>
      <c r="AA812" s="77" t="s">
        <v>9262</v>
      </c>
      <c r="AB812" s="77" t="s">
        <v>10535</v>
      </c>
      <c r="AC812" s="80" t="s">
        <v>10569</v>
      </c>
      <c r="AD812" s="77" t="s">
        <v>10617</v>
      </c>
      <c r="AE812" s="83" t="str">
        <f>HYPERLINK("https://twitter.com/targonis/status/1658588016980492289")</f>
        <v>https://twitter.com/targonis/status/1658588016980492289</v>
      </c>
      <c r="AF812" s="79">
        <v>45062.902453703704</v>
      </c>
      <c r="AG812" s="85">
        <v>45062</v>
      </c>
      <c r="AH812" s="80" t="s">
        <v>11346</v>
      </c>
      <c r="AI812" s="77" t="b">
        <v>0</v>
      </c>
      <c r="AJ812" s="77"/>
      <c r="AK812" s="77"/>
      <c r="AL812" s="77"/>
      <c r="AM812" s="77"/>
      <c r="AN812" s="77"/>
      <c r="AO812" s="77"/>
      <c r="AP812" s="77"/>
      <c r="AQ812" s="77" t="s">
        <v>14744</v>
      </c>
      <c r="AR812" s="77"/>
      <c r="AS812" s="77"/>
      <c r="AT812" s="77"/>
      <c r="AU812" s="77"/>
      <c r="AV812" s="83" t="str">
        <f>HYPERLINK("https://pbs.twimg.com/media/FwR9AwwXsAEm5Xl.jpg")</f>
        <v>https://pbs.twimg.com/media/FwR9AwwXsAEm5Xl.jpg</v>
      </c>
      <c r="AW812" s="80" t="s">
        <v>16744</v>
      </c>
      <c r="AX812" s="80" t="s">
        <v>16744</v>
      </c>
      <c r="AY812" s="77"/>
      <c r="AZ812" s="80" t="s">
        <v>20380</v>
      </c>
      <c r="BA812" s="80" t="s">
        <v>20380</v>
      </c>
      <c r="BB812" s="80" t="s">
        <v>20380</v>
      </c>
      <c r="BC812" s="80" t="s">
        <v>16744</v>
      </c>
      <c r="BD812" s="77">
        <v>35490311</v>
      </c>
      <c r="BE812" s="77"/>
      <c r="BF812" s="77"/>
      <c r="BG812" s="77"/>
      <c r="BH812" s="77"/>
      <c r="BI812" s="77"/>
    </row>
    <row r="813" spans="1:61" x14ac:dyDescent="0.25">
      <c r="A813" s="62" t="s">
        <v>522</v>
      </c>
      <c r="B813" s="62" t="s">
        <v>522</v>
      </c>
      <c r="C813" s="63"/>
      <c r="D813" s="64"/>
      <c r="E813" s="65"/>
      <c r="F813" s="66"/>
      <c r="G813" s="63"/>
      <c r="H813" s="67"/>
      <c r="I813" s="68"/>
      <c r="J813" s="68"/>
      <c r="K813" s="32"/>
      <c r="L813" s="75">
        <v>813</v>
      </c>
      <c r="M813" s="75"/>
      <c r="N813" s="70"/>
      <c r="O813" s="77" t="s">
        <v>179</v>
      </c>
      <c r="P813" s="79">
        <v>45054.504236111112</v>
      </c>
      <c r="Q813" s="77" t="s">
        <v>2789</v>
      </c>
      <c r="R813" s="77">
        <v>1</v>
      </c>
      <c r="S813" s="77">
        <v>1</v>
      </c>
      <c r="T813" s="77">
        <v>0</v>
      </c>
      <c r="U813" s="77">
        <v>0</v>
      </c>
      <c r="V813" s="77">
        <v>22</v>
      </c>
      <c r="W813" s="80" t="s">
        <v>6479</v>
      </c>
      <c r="X813" s="83" t="s">
        <v>8573</v>
      </c>
      <c r="Y813" s="77" t="s">
        <v>8611</v>
      </c>
      <c r="Z813" s="77"/>
      <c r="AA813" s="77"/>
      <c r="AB813" s="77"/>
      <c r="AC813" s="80" t="s">
        <v>10540</v>
      </c>
      <c r="AD813" s="77" t="s">
        <v>10617</v>
      </c>
      <c r="AE813" s="83" t="str">
        <f>HYPERLINK("https://twitter.com/robrape/status/1655544600847589376")</f>
        <v>https://twitter.com/robrape/status/1655544600847589376</v>
      </c>
      <c r="AF813" s="79">
        <v>45054.504236111112</v>
      </c>
      <c r="AG813" s="85">
        <v>45054</v>
      </c>
      <c r="AH813" s="80" t="s">
        <v>11347</v>
      </c>
      <c r="AI813" s="77" t="b">
        <v>0</v>
      </c>
      <c r="AJ813" s="77"/>
      <c r="AK813" s="77"/>
      <c r="AL813" s="77"/>
      <c r="AM813" s="77"/>
      <c r="AN813" s="77"/>
      <c r="AO813" s="77"/>
      <c r="AP813" s="77"/>
      <c r="AQ813" s="77"/>
      <c r="AR813" s="77"/>
      <c r="AS813" s="77"/>
      <c r="AT813" s="77"/>
      <c r="AU813" s="77"/>
      <c r="AV813" s="83" t="str">
        <f>HYPERLINK("https://pbs.twimg.com/profile_images/1262792255976472578/pAOEVdNV_normal.jpg")</f>
        <v>https://pbs.twimg.com/profile_images/1262792255976472578/pAOEVdNV_normal.jpg</v>
      </c>
      <c r="AW813" s="80" t="s">
        <v>16745</v>
      </c>
      <c r="AX813" s="80" t="s">
        <v>16745</v>
      </c>
      <c r="AY813" s="77"/>
      <c r="AZ813" s="80" t="s">
        <v>20380</v>
      </c>
      <c r="BA813" s="80" t="s">
        <v>20380</v>
      </c>
      <c r="BB813" s="80" t="s">
        <v>20380</v>
      </c>
      <c r="BC813" s="80" t="s">
        <v>16745</v>
      </c>
      <c r="BD813" s="77">
        <v>64065078</v>
      </c>
      <c r="BE813" s="77"/>
      <c r="BF813" s="77"/>
      <c r="BG813" s="77"/>
      <c r="BH813" s="77"/>
      <c r="BI813" s="77"/>
    </row>
    <row r="814" spans="1:61" x14ac:dyDescent="0.25">
      <c r="A814" s="62" t="s">
        <v>522</v>
      </c>
      <c r="B814" s="62" t="s">
        <v>522</v>
      </c>
      <c r="C814" s="63"/>
      <c r="D814" s="64"/>
      <c r="E814" s="65"/>
      <c r="F814" s="66"/>
      <c r="G814" s="63"/>
      <c r="H814" s="67"/>
      <c r="I814" s="68"/>
      <c r="J814" s="68"/>
      <c r="K814" s="32"/>
      <c r="L814" s="75">
        <v>814</v>
      </c>
      <c r="M814" s="75"/>
      <c r="N814" s="70"/>
      <c r="O814" s="77" t="s">
        <v>179</v>
      </c>
      <c r="P814" s="79">
        <v>45077.546863425923</v>
      </c>
      <c r="Q814" s="77" t="s">
        <v>2790</v>
      </c>
      <c r="R814" s="77">
        <v>0</v>
      </c>
      <c r="S814" s="77">
        <v>0</v>
      </c>
      <c r="T814" s="77">
        <v>0</v>
      </c>
      <c r="U814" s="77">
        <v>0</v>
      </c>
      <c r="V814" s="77">
        <v>16</v>
      </c>
      <c r="W814" s="80" t="s">
        <v>6480</v>
      </c>
      <c r="X814" s="83" t="str">
        <f>HYPERLINK("https://www.infomoney.com.br/economia/campos-neto-e-a-1a-vez-que-temos-surto-de-inflacao-mundial-e-brasil-com-inflacao-mais-baixa/")</f>
        <v>https://www.infomoney.com.br/economia/campos-neto-e-a-1a-vez-que-temos-surto-de-inflacao-mundial-e-brasil-com-inflacao-mais-baixa/</v>
      </c>
      <c r="Y814" s="77" t="s">
        <v>8611</v>
      </c>
      <c r="Z814" s="77"/>
      <c r="AA814" s="77"/>
      <c r="AB814" s="77"/>
      <c r="AC814" s="80" t="s">
        <v>10540</v>
      </c>
      <c r="AD814" s="77" t="s">
        <v>10617</v>
      </c>
      <c r="AE814" s="83" t="str">
        <f>HYPERLINK("https://twitter.com/robrape/status/1663894973132029955")</f>
        <v>https://twitter.com/robrape/status/1663894973132029955</v>
      </c>
      <c r="AF814" s="79">
        <v>45077.546863425923</v>
      </c>
      <c r="AG814" s="85">
        <v>45077</v>
      </c>
      <c r="AH814" s="80" t="s">
        <v>11348</v>
      </c>
      <c r="AI814" s="77" t="b">
        <v>0</v>
      </c>
      <c r="AJ814" s="77"/>
      <c r="AK814" s="77"/>
      <c r="AL814" s="77"/>
      <c r="AM814" s="77"/>
      <c r="AN814" s="77"/>
      <c r="AO814" s="77"/>
      <c r="AP814" s="77"/>
      <c r="AQ814" s="77"/>
      <c r="AR814" s="77"/>
      <c r="AS814" s="77"/>
      <c r="AT814" s="77"/>
      <c r="AU814" s="77"/>
      <c r="AV814" s="83" t="str">
        <f>HYPERLINK("https://pbs.twimg.com/profile_images/1262792255976472578/pAOEVdNV_normal.jpg")</f>
        <v>https://pbs.twimg.com/profile_images/1262792255976472578/pAOEVdNV_normal.jpg</v>
      </c>
      <c r="AW814" s="80" t="s">
        <v>16746</v>
      </c>
      <c r="AX814" s="80" t="s">
        <v>16746</v>
      </c>
      <c r="AY814" s="77"/>
      <c r="AZ814" s="80" t="s">
        <v>20380</v>
      </c>
      <c r="BA814" s="80" t="s">
        <v>20380</v>
      </c>
      <c r="BB814" s="80" t="s">
        <v>20380</v>
      </c>
      <c r="BC814" s="80" t="s">
        <v>16746</v>
      </c>
      <c r="BD814" s="77">
        <v>64065078</v>
      </c>
      <c r="BE814" s="77"/>
      <c r="BF814" s="77"/>
      <c r="BG814" s="77"/>
      <c r="BH814" s="77"/>
      <c r="BI814" s="77"/>
    </row>
    <row r="815" spans="1:61" x14ac:dyDescent="0.25">
      <c r="A815" s="62" t="s">
        <v>522</v>
      </c>
      <c r="B815" s="62" t="s">
        <v>1324</v>
      </c>
      <c r="C815" s="63"/>
      <c r="D815" s="64"/>
      <c r="E815" s="65"/>
      <c r="F815" s="66"/>
      <c r="G815" s="63"/>
      <c r="H815" s="67"/>
      <c r="I815" s="68"/>
      <c r="J815" s="68"/>
      <c r="K815" s="32"/>
      <c r="L815" s="75">
        <v>815</v>
      </c>
      <c r="M815" s="75"/>
      <c r="N815" s="70"/>
      <c r="O815" s="77" t="s">
        <v>2082</v>
      </c>
      <c r="P815" s="79">
        <v>45050.713553240741</v>
      </c>
      <c r="Q815" s="77" t="s">
        <v>2791</v>
      </c>
      <c r="R815" s="77">
        <v>0</v>
      </c>
      <c r="S815" s="77">
        <v>0</v>
      </c>
      <c r="T815" s="77">
        <v>0</v>
      </c>
      <c r="U815" s="77">
        <v>0</v>
      </c>
      <c r="V815" s="77">
        <v>5</v>
      </c>
      <c r="W815" s="80" t="s">
        <v>6481</v>
      </c>
      <c r="X815" s="77"/>
      <c r="Y815" s="77"/>
      <c r="Z815" s="77"/>
      <c r="AA815" s="77"/>
      <c r="AB815" s="77"/>
      <c r="AC815" s="80" t="s">
        <v>10540</v>
      </c>
      <c r="AD815" s="77" t="s">
        <v>10617</v>
      </c>
      <c r="AE815" s="83" t="str">
        <f>HYPERLINK("https://twitter.com/robrape/status/1654170905323372566")</f>
        <v>https://twitter.com/robrape/status/1654170905323372566</v>
      </c>
      <c r="AF815" s="79">
        <v>45050.713553240741</v>
      </c>
      <c r="AG815" s="85">
        <v>45050</v>
      </c>
      <c r="AH815" s="80" t="s">
        <v>11349</v>
      </c>
      <c r="AI815" s="77"/>
      <c r="AJ815" s="77"/>
      <c r="AK815" s="77"/>
      <c r="AL815" s="77"/>
      <c r="AM815" s="77"/>
      <c r="AN815" s="77"/>
      <c r="AO815" s="77"/>
      <c r="AP815" s="77"/>
      <c r="AQ815" s="77"/>
      <c r="AR815" s="77"/>
      <c r="AS815" s="77"/>
      <c r="AT815" s="77"/>
      <c r="AU815" s="77"/>
      <c r="AV815" s="83" t="str">
        <f>HYPERLINK("https://pbs.twimg.com/profile_images/1262792255976472578/pAOEVdNV_normal.jpg")</f>
        <v>https://pbs.twimg.com/profile_images/1262792255976472578/pAOEVdNV_normal.jpg</v>
      </c>
      <c r="AW815" s="80" t="s">
        <v>16747</v>
      </c>
      <c r="AX815" s="80" t="s">
        <v>16747</v>
      </c>
      <c r="AY815" s="77"/>
      <c r="AZ815" s="80" t="s">
        <v>20380</v>
      </c>
      <c r="BA815" s="80" t="s">
        <v>19058</v>
      </c>
      <c r="BB815" s="80" t="s">
        <v>20380</v>
      </c>
      <c r="BC815" s="80" t="s">
        <v>19058</v>
      </c>
      <c r="BD815" s="77">
        <v>64065078</v>
      </c>
      <c r="BE815" s="77"/>
      <c r="BF815" s="77"/>
      <c r="BG815" s="77"/>
      <c r="BH815" s="77"/>
      <c r="BI815" s="77"/>
    </row>
    <row r="816" spans="1:61" x14ac:dyDescent="0.25">
      <c r="A816" s="62" t="s">
        <v>522</v>
      </c>
      <c r="B816" s="62" t="s">
        <v>522</v>
      </c>
      <c r="C816" s="63"/>
      <c r="D816" s="64"/>
      <c r="E816" s="65"/>
      <c r="F816" s="66"/>
      <c r="G816" s="63"/>
      <c r="H816" s="67"/>
      <c r="I816" s="68"/>
      <c r="J816" s="68"/>
      <c r="K816" s="32"/>
      <c r="L816" s="75">
        <v>816</v>
      </c>
      <c r="M816" s="75"/>
      <c r="N816" s="70"/>
      <c r="O816" s="77" t="s">
        <v>179</v>
      </c>
      <c r="P816" s="79">
        <v>45050.544849537036</v>
      </c>
      <c r="Q816" s="77" t="s">
        <v>2792</v>
      </c>
      <c r="R816" s="77">
        <v>0</v>
      </c>
      <c r="S816" s="77">
        <v>0</v>
      </c>
      <c r="T816" s="77">
        <v>0</v>
      </c>
      <c r="U816" s="77">
        <v>0</v>
      </c>
      <c r="V816" s="77">
        <v>4</v>
      </c>
      <c r="W816" s="80" t="s">
        <v>6482</v>
      </c>
      <c r="X816" s="83" t="str">
        <f>HYPERLINK("https://jornalggn.com.br/coluna-economica/um-pais-refem-de-terraplanistas-economicos-por-luis-nassif/")</f>
        <v>https://jornalggn.com.br/coluna-economica/um-pais-refem-de-terraplanistas-economicos-por-luis-nassif/</v>
      </c>
      <c r="Y816" s="77" t="s">
        <v>8611</v>
      </c>
      <c r="Z816" s="77"/>
      <c r="AA816" s="77"/>
      <c r="AB816" s="77"/>
      <c r="AC816" s="80" t="s">
        <v>10540</v>
      </c>
      <c r="AD816" s="77" t="s">
        <v>10617</v>
      </c>
      <c r="AE816" s="83" t="str">
        <f>HYPERLINK("https://twitter.com/robrape/status/1654109770222108673")</f>
        <v>https://twitter.com/robrape/status/1654109770222108673</v>
      </c>
      <c r="AF816" s="79">
        <v>45050.544849537036</v>
      </c>
      <c r="AG816" s="85">
        <v>45050</v>
      </c>
      <c r="AH816" s="80" t="s">
        <v>11350</v>
      </c>
      <c r="AI816" s="77" t="b">
        <v>0</v>
      </c>
      <c r="AJ816" s="77"/>
      <c r="AK816" s="77"/>
      <c r="AL816" s="77"/>
      <c r="AM816" s="77"/>
      <c r="AN816" s="77"/>
      <c r="AO816" s="77"/>
      <c r="AP816" s="77"/>
      <c r="AQ816" s="77"/>
      <c r="AR816" s="77"/>
      <c r="AS816" s="77"/>
      <c r="AT816" s="77"/>
      <c r="AU816" s="77"/>
      <c r="AV816" s="83" t="str">
        <f>HYPERLINK("https://pbs.twimg.com/profile_images/1262792255976472578/pAOEVdNV_normal.jpg")</f>
        <v>https://pbs.twimg.com/profile_images/1262792255976472578/pAOEVdNV_normal.jpg</v>
      </c>
      <c r="AW816" s="80" t="s">
        <v>16748</v>
      </c>
      <c r="AX816" s="80" t="s">
        <v>16748</v>
      </c>
      <c r="AY816" s="77"/>
      <c r="AZ816" s="80" t="s">
        <v>20380</v>
      </c>
      <c r="BA816" s="80" t="s">
        <v>20380</v>
      </c>
      <c r="BB816" s="80" t="s">
        <v>20380</v>
      </c>
      <c r="BC816" s="80" t="s">
        <v>16748</v>
      </c>
      <c r="BD816" s="77">
        <v>64065078</v>
      </c>
      <c r="BE816" s="77"/>
      <c r="BF816" s="77"/>
      <c r="BG816" s="77"/>
      <c r="BH816" s="77"/>
      <c r="BI816" s="77"/>
    </row>
    <row r="817" spans="1:61" x14ac:dyDescent="0.25">
      <c r="A817" s="62" t="s">
        <v>522</v>
      </c>
      <c r="B817" s="62" t="s">
        <v>522</v>
      </c>
      <c r="C817" s="63"/>
      <c r="D817" s="64"/>
      <c r="E817" s="65"/>
      <c r="F817" s="66"/>
      <c r="G817" s="63"/>
      <c r="H817" s="67"/>
      <c r="I817" s="68"/>
      <c r="J817" s="68"/>
      <c r="K817" s="32"/>
      <c r="L817" s="75">
        <v>817</v>
      </c>
      <c r="M817" s="75"/>
      <c r="N817" s="70"/>
      <c r="O817" s="77" t="s">
        <v>179</v>
      </c>
      <c r="P817" s="79">
        <v>45049.965856481482</v>
      </c>
      <c r="Q817" s="77" t="s">
        <v>2793</v>
      </c>
      <c r="R817" s="77">
        <v>0</v>
      </c>
      <c r="S817" s="77">
        <v>0</v>
      </c>
      <c r="T817" s="77">
        <v>0</v>
      </c>
      <c r="U817" s="77">
        <v>0</v>
      </c>
      <c r="V817" s="77">
        <v>9</v>
      </c>
      <c r="W817" s="80" t="s">
        <v>6483</v>
      </c>
      <c r="X817" s="83" t="str">
        <f>HYPERLINK("https://g1.globo.com/economia/noticia/2023/05/03/copom-mantem-selic-em-1375percent-em-meio-a-criticas-do-governo-federal-ao-patamar-da-taxa-de-juros.ghtml")</f>
        <v>https://g1.globo.com/economia/noticia/2023/05/03/copom-mantem-selic-em-1375percent-em-meio-a-criticas-do-governo-federal-ao-patamar-da-taxa-de-juros.ghtml</v>
      </c>
      <c r="Y817" s="77" t="s">
        <v>8686</v>
      </c>
      <c r="Z817" s="77"/>
      <c r="AA817" s="77"/>
      <c r="AB817" s="77"/>
      <c r="AC817" s="80" t="s">
        <v>10540</v>
      </c>
      <c r="AD817" s="77" t="s">
        <v>10617</v>
      </c>
      <c r="AE817" s="83" t="str">
        <f>HYPERLINK("https://twitter.com/robrape/status/1653899950554505217")</f>
        <v>https://twitter.com/robrape/status/1653899950554505217</v>
      </c>
      <c r="AF817" s="79">
        <v>45049.965856481482</v>
      </c>
      <c r="AG817" s="85">
        <v>45049</v>
      </c>
      <c r="AH817" s="80" t="s">
        <v>11351</v>
      </c>
      <c r="AI817" s="77" t="b">
        <v>0</v>
      </c>
      <c r="AJ817" s="77"/>
      <c r="AK817" s="77"/>
      <c r="AL817" s="77"/>
      <c r="AM817" s="77"/>
      <c r="AN817" s="77"/>
      <c r="AO817" s="77"/>
      <c r="AP817" s="77"/>
      <c r="AQ817" s="77"/>
      <c r="AR817" s="77"/>
      <c r="AS817" s="77"/>
      <c r="AT817" s="77"/>
      <c r="AU817" s="77"/>
      <c r="AV817" s="83" t="str">
        <f>HYPERLINK("https://pbs.twimg.com/profile_images/1262792255976472578/pAOEVdNV_normal.jpg")</f>
        <v>https://pbs.twimg.com/profile_images/1262792255976472578/pAOEVdNV_normal.jpg</v>
      </c>
      <c r="AW817" s="80" t="s">
        <v>16749</v>
      </c>
      <c r="AX817" s="80" t="s">
        <v>16749</v>
      </c>
      <c r="AY817" s="77"/>
      <c r="AZ817" s="80" t="s">
        <v>20380</v>
      </c>
      <c r="BA817" s="80" t="s">
        <v>20380</v>
      </c>
      <c r="BB817" s="80" t="s">
        <v>20380</v>
      </c>
      <c r="BC817" s="80" t="s">
        <v>16749</v>
      </c>
      <c r="BD817" s="77">
        <v>64065078</v>
      </c>
      <c r="BE817" s="77"/>
      <c r="BF817" s="77"/>
      <c r="BG817" s="77"/>
      <c r="BH817" s="77"/>
      <c r="BI817" s="77"/>
    </row>
    <row r="818" spans="1:61" x14ac:dyDescent="0.25">
      <c r="A818" s="62" t="s">
        <v>523</v>
      </c>
      <c r="B818" s="62" t="s">
        <v>523</v>
      </c>
      <c r="C818" s="63"/>
      <c r="D818" s="64"/>
      <c r="E818" s="65"/>
      <c r="F818" s="66"/>
      <c r="G818" s="63"/>
      <c r="H818" s="67"/>
      <c r="I818" s="68"/>
      <c r="J818" s="68"/>
      <c r="K818" s="32"/>
      <c r="L818" s="75">
        <v>818</v>
      </c>
      <c r="M818" s="75"/>
      <c r="N818" s="70"/>
      <c r="O818" s="77" t="s">
        <v>2078</v>
      </c>
      <c r="P818" s="79">
        <v>45058.539363425924</v>
      </c>
      <c r="Q818" s="77" t="s">
        <v>2794</v>
      </c>
      <c r="R818" s="77">
        <v>0</v>
      </c>
      <c r="S818" s="77">
        <v>0</v>
      </c>
      <c r="T818" s="77">
        <v>0</v>
      </c>
      <c r="U818" s="77">
        <v>0</v>
      </c>
      <c r="V818" s="77">
        <v>20</v>
      </c>
      <c r="W818" s="80" t="s">
        <v>6484</v>
      </c>
      <c r="X818" s="77"/>
      <c r="Y818" s="77"/>
      <c r="Z818" s="77"/>
      <c r="AA818" s="77"/>
      <c r="AB818" s="77"/>
      <c r="AC818" s="80" t="s">
        <v>10541</v>
      </c>
      <c r="AD818" s="77" t="s">
        <v>10618</v>
      </c>
      <c r="AE818" s="83" t="str">
        <f>HYPERLINK("https://twitter.com/sonartrade/status/1657006883868164097")</f>
        <v>https://twitter.com/sonartrade/status/1657006883868164097</v>
      </c>
      <c r="AF818" s="79">
        <v>45058.539363425924</v>
      </c>
      <c r="AG818" s="85">
        <v>45058</v>
      </c>
      <c r="AH818" s="80" t="s">
        <v>11352</v>
      </c>
      <c r="AI818" s="77"/>
      <c r="AJ818" s="77"/>
      <c r="AK818" s="77"/>
      <c r="AL818" s="77"/>
      <c r="AM818" s="77"/>
      <c r="AN818" s="77"/>
      <c r="AO818" s="77"/>
      <c r="AP818" s="77"/>
      <c r="AQ818" s="77"/>
      <c r="AR818" s="77"/>
      <c r="AS818" s="77"/>
      <c r="AT818" s="77"/>
      <c r="AU818" s="77"/>
      <c r="AV818" s="83" t="str">
        <f>HYPERLINK("https://pbs.twimg.com/profile_images/1369748302854504453/ShpJasNI_normal.jpg")</f>
        <v>https://pbs.twimg.com/profile_images/1369748302854504453/ShpJasNI_normal.jpg</v>
      </c>
      <c r="AW818" s="80" t="s">
        <v>16750</v>
      </c>
      <c r="AX818" s="80" t="s">
        <v>19995</v>
      </c>
      <c r="AY818" s="80" t="s">
        <v>20249</v>
      </c>
      <c r="AZ818" s="80" t="s">
        <v>19995</v>
      </c>
      <c r="BA818" s="80" t="s">
        <v>20380</v>
      </c>
      <c r="BB818" s="80" t="s">
        <v>20380</v>
      </c>
      <c r="BC818" s="80" t="s">
        <v>19995</v>
      </c>
      <c r="BD818" s="80" t="s">
        <v>20249</v>
      </c>
      <c r="BE818" s="77"/>
      <c r="BF818" s="77"/>
      <c r="BG818" s="77"/>
      <c r="BH818" s="77"/>
      <c r="BI818" s="77"/>
    </row>
    <row r="819" spans="1:61" x14ac:dyDescent="0.25">
      <c r="A819" s="62" t="s">
        <v>524</v>
      </c>
      <c r="B819" s="62" t="s">
        <v>524</v>
      </c>
      <c r="C819" s="63"/>
      <c r="D819" s="64"/>
      <c r="E819" s="65"/>
      <c r="F819" s="66"/>
      <c r="G819" s="63"/>
      <c r="H819" s="67"/>
      <c r="I819" s="68"/>
      <c r="J819" s="68"/>
      <c r="K819" s="32"/>
      <c r="L819" s="75">
        <v>819</v>
      </c>
      <c r="M819" s="75"/>
      <c r="N819" s="70"/>
      <c r="O819" s="77" t="s">
        <v>179</v>
      </c>
      <c r="P819" s="79">
        <v>45191.748969907407</v>
      </c>
      <c r="Q819" s="77" t="s">
        <v>2795</v>
      </c>
      <c r="R819" s="77">
        <v>0</v>
      </c>
      <c r="S819" s="77">
        <v>0</v>
      </c>
      <c r="T819" s="77">
        <v>0</v>
      </c>
      <c r="U819" s="77">
        <v>0</v>
      </c>
      <c r="V819" s="77">
        <v>17</v>
      </c>
      <c r="W819" s="80" t="s">
        <v>6485</v>
      </c>
      <c r="X819" s="77"/>
      <c r="Y819" s="77"/>
      <c r="Z819" s="77"/>
      <c r="AA819" s="77"/>
      <c r="AB819" s="77"/>
      <c r="AC819" s="80" t="s">
        <v>10541</v>
      </c>
      <c r="AD819" s="77" t="s">
        <v>10620</v>
      </c>
      <c r="AE819" s="83" t="str">
        <f>HYPERLINK("https://twitter.com/shermanwarrior/status/1705280427005481167")</f>
        <v>https://twitter.com/shermanwarrior/status/1705280427005481167</v>
      </c>
      <c r="AF819" s="79">
        <v>45191.748969907407</v>
      </c>
      <c r="AG819" s="85">
        <v>45191</v>
      </c>
      <c r="AH819" s="80" t="s">
        <v>11353</v>
      </c>
      <c r="AI819" s="77"/>
      <c r="AJ819" s="77"/>
      <c r="AK819" s="77"/>
      <c r="AL819" s="77"/>
      <c r="AM819" s="77"/>
      <c r="AN819" s="77"/>
      <c r="AO819" s="77"/>
      <c r="AP819" s="77"/>
      <c r="AQ819" s="77"/>
      <c r="AR819" s="77"/>
      <c r="AS819" s="77"/>
      <c r="AT819" s="77"/>
      <c r="AU819" s="77"/>
      <c r="AV819" s="83" t="str">
        <f>HYPERLINK("https://pbs.twimg.com/profile_images/975212210283835394/pWWEI0mw_normal.jpg")</f>
        <v>https://pbs.twimg.com/profile_images/975212210283835394/pWWEI0mw_normal.jpg</v>
      </c>
      <c r="AW819" s="80" t="s">
        <v>16751</v>
      </c>
      <c r="AX819" s="80" t="s">
        <v>16751</v>
      </c>
      <c r="AY819" s="77"/>
      <c r="AZ819" s="80" t="s">
        <v>20380</v>
      </c>
      <c r="BA819" s="80" t="s">
        <v>20380</v>
      </c>
      <c r="BB819" s="80" t="s">
        <v>20380</v>
      </c>
      <c r="BC819" s="80" t="s">
        <v>16751</v>
      </c>
      <c r="BD819" s="77">
        <v>89185161</v>
      </c>
      <c r="BE819" s="77"/>
      <c r="BF819" s="77"/>
      <c r="BG819" s="77"/>
      <c r="BH819" s="77"/>
      <c r="BI819" s="77"/>
    </row>
    <row r="820" spans="1:61" x14ac:dyDescent="0.25">
      <c r="A820" s="62" t="s">
        <v>525</v>
      </c>
      <c r="B820" s="62" t="s">
        <v>525</v>
      </c>
      <c r="C820" s="63"/>
      <c r="D820" s="64"/>
      <c r="E820" s="65"/>
      <c r="F820" s="66"/>
      <c r="G820" s="63"/>
      <c r="H820" s="67"/>
      <c r="I820" s="68"/>
      <c r="J820" s="68"/>
      <c r="K820" s="32"/>
      <c r="L820" s="75">
        <v>820</v>
      </c>
      <c r="M820" s="75"/>
      <c r="N820" s="70"/>
      <c r="O820" s="77" t="s">
        <v>179</v>
      </c>
      <c r="P820" s="79">
        <v>45050.500034722223</v>
      </c>
      <c r="Q820" s="77" t="s">
        <v>2796</v>
      </c>
      <c r="R820" s="77">
        <v>0</v>
      </c>
      <c r="S820" s="77">
        <v>1</v>
      </c>
      <c r="T820" s="77">
        <v>0</v>
      </c>
      <c r="U820" s="77">
        <v>0</v>
      </c>
      <c r="V820" s="77">
        <v>14</v>
      </c>
      <c r="W820" s="80" t="s">
        <v>6486</v>
      </c>
      <c r="X820" s="83" t="str">
        <f>HYPERLINK("https://bit.ly/41kenSF")</f>
        <v>https://bit.ly/41kenSF</v>
      </c>
      <c r="Y820" s="77" t="s">
        <v>8618</v>
      </c>
      <c r="Z820" s="77"/>
      <c r="AA820" s="77" t="s">
        <v>9263</v>
      </c>
      <c r="AB820" s="77" t="s">
        <v>10535</v>
      </c>
      <c r="AC820" s="80" t="s">
        <v>10570</v>
      </c>
      <c r="AD820" s="77" t="s">
        <v>10617</v>
      </c>
      <c r="AE820" s="83" t="str">
        <f>HYPERLINK("https://twitter.com/investidoreso/status/1654093529499435008")</f>
        <v>https://twitter.com/investidoreso/status/1654093529499435008</v>
      </c>
      <c r="AF820" s="79">
        <v>45050.500034722223</v>
      </c>
      <c r="AG820" s="85">
        <v>45050</v>
      </c>
      <c r="AH820" s="80" t="s">
        <v>11354</v>
      </c>
      <c r="AI820" s="77" t="b">
        <v>0</v>
      </c>
      <c r="AJ820" s="77"/>
      <c r="AK820" s="77"/>
      <c r="AL820" s="77"/>
      <c r="AM820" s="77"/>
      <c r="AN820" s="77"/>
      <c r="AO820" s="77"/>
      <c r="AP820" s="77"/>
      <c r="AQ820" s="77" t="s">
        <v>14745</v>
      </c>
      <c r="AR820" s="77"/>
      <c r="AS820" s="77"/>
      <c r="AT820" s="77"/>
      <c r="AU820" s="77"/>
      <c r="AV820" s="83" t="str">
        <f>HYPERLINK("https://pbs.twimg.com/media/FvR_WCBWAAEay0s.jpg")</f>
        <v>https://pbs.twimg.com/media/FvR_WCBWAAEay0s.jpg</v>
      </c>
      <c r="AW820" s="80" t="s">
        <v>16752</v>
      </c>
      <c r="AX820" s="80" t="s">
        <v>16752</v>
      </c>
      <c r="AY820" s="77"/>
      <c r="AZ820" s="80" t="s">
        <v>20380</v>
      </c>
      <c r="BA820" s="80" t="s">
        <v>20380</v>
      </c>
      <c r="BB820" s="80" t="s">
        <v>20380</v>
      </c>
      <c r="BC820" s="80" t="s">
        <v>16752</v>
      </c>
      <c r="BD820" s="80" t="s">
        <v>20643</v>
      </c>
      <c r="BE820" s="77"/>
      <c r="BF820" s="77"/>
      <c r="BG820" s="77"/>
      <c r="BH820" s="77"/>
      <c r="BI820" s="77"/>
    </row>
    <row r="821" spans="1:61" x14ac:dyDescent="0.25">
      <c r="A821" s="62" t="s">
        <v>525</v>
      </c>
      <c r="B821" s="62" t="s">
        <v>525</v>
      </c>
      <c r="C821" s="63"/>
      <c r="D821" s="64"/>
      <c r="E821" s="65"/>
      <c r="F821" s="66"/>
      <c r="G821" s="63"/>
      <c r="H821" s="67"/>
      <c r="I821" s="68"/>
      <c r="J821" s="68"/>
      <c r="K821" s="32"/>
      <c r="L821" s="75">
        <v>821</v>
      </c>
      <c r="M821" s="75"/>
      <c r="N821" s="70"/>
      <c r="O821" s="77" t="s">
        <v>179</v>
      </c>
      <c r="P821" s="79">
        <v>45127.472916666666</v>
      </c>
      <c r="Q821" s="77" t="s">
        <v>2797</v>
      </c>
      <c r="R821" s="77">
        <v>0</v>
      </c>
      <c r="S821" s="77">
        <v>0</v>
      </c>
      <c r="T821" s="77">
        <v>0</v>
      </c>
      <c r="U821" s="77">
        <v>0</v>
      </c>
      <c r="V821" s="77">
        <v>2</v>
      </c>
      <c r="W821" s="80" t="s">
        <v>5884</v>
      </c>
      <c r="X821" s="83" t="str">
        <f>HYPERLINK("https://bit.ly/43E6iZP")</f>
        <v>https://bit.ly/43E6iZP</v>
      </c>
      <c r="Y821" s="77" t="s">
        <v>8618</v>
      </c>
      <c r="Z821" s="77"/>
      <c r="AA821" s="77" t="s">
        <v>9264</v>
      </c>
      <c r="AB821" s="77" t="s">
        <v>10535</v>
      </c>
      <c r="AC821" s="80" t="s">
        <v>10570</v>
      </c>
      <c r="AD821" s="77" t="s">
        <v>10619</v>
      </c>
      <c r="AE821" s="83" t="str">
        <f>HYPERLINK("https://twitter.com/investidoreso/status/1681987565497331712")</f>
        <v>https://twitter.com/investidoreso/status/1681987565497331712</v>
      </c>
      <c r="AF821" s="79">
        <v>45127.472916666666</v>
      </c>
      <c r="AG821" s="85">
        <v>45127</v>
      </c>
      <c r="AH821" s="80" t="s">
        <v>11355</v>
      </c>
      <c r="AI821" s="77" t="b">
        <v>0</v>
      </c>
      <c r="AJ821" s="77"/>
      <c r="AK821" s="77"/>
      <c r="AL821" s="77"/>
      <c r="AM821" s="77"/>
      <c r="AN821" s="77"/>
      <c r="AO821" s="77"/>
      <c r="AP821" s="77"/>
      <c r="AQ821" s="77" t="s">
        <v>14746</v>
      </c>
      <c r="AR821" s="77"/>
      <c r="AS821" s="77"/>
      <c r="AT821" s="77"/>
      <c r="AU821" s="77"/>
      <c r="AV821" s="83" t="str">
        <f>HYPERLINK("https://pbs.twimg.com/media/F1eRC-AWwAAZXpi.jpg")</f>
        <v>https://pbs.twimg.com/media/F1eRC-AWwAAZXpi.jpg</v>
      </c>
      <c r="AW821" s="80" t="s">
        <v>16753</v>
      </c>
      <c r="AX821" s="80" t="s">
        <v>16753</v>
      </c>
      <c r="AY821" s="77"/>
      <c r="AZ821" s="80" t="s">
        <v>20380</v>
      </c>
      <c r="BA821" s="80" t="s">
        <v>20380</v>
      </c>
      <c r="BB821" s="80" t="s">
        <v>20380</v>
      </c>
      <c r="BC821" s="80" t="s">
        <v>16753</v>
      </c>
      <c r="BD821" s="80" t="s">
        <v>20643</v>
      </c>
      <c r="BE821" s="77"/>
      <c r="BF821" s="77"/>
      <c r="BG821" s="77"/>
      <c r="BH821" s="77"/>
      <c r="BI821" s="77"/>
    </row>
    <row r="822" spans="1:61" x14ac:dyDescent="0.25">
      <c r="A822" s="62" t="s">
        <v>525</v>
      </c>
      <c r="B822" s="62" t="s">
        <v>525</v>
      </c>
      <c r="C822" s="63"/>
      <c r="D822" s="64"/>
      <c r="E822" s="65"/>
      <c r="F822" s="66"/>
      <c r="G822" s="63"/>
      <c r="H822" s="67"/>
      <c r="I822" s="68"/>
      <c r="J822" s="68"/>
      <c r="K822" s="32"/>
      <c r="L822" s="75">
        <v>822</v>
      </c>
      <c r="M822" s="75"/>
      <c r="N822" s="70"/>
      <c r="O822" s="77" t="s">
        <v>179</v>
      </c>
      <c r="P822" s="79">
        <v>45104.570208333331</v>
      </c>
      <c r="Q822" s="77" t="s">
        <v>2798</v>
      </c>
      <c r="R822" s="77">
        <v>0</v>
      </c>
      <c r="S822" s="77">
        <v>0</v>
      </c>
      <c r="T822" s="77">
        <v>0</v>
      </c>
      <c r="U822" s="77">
        <v>0</v>
      </c>
      <c r="V822" s="77">
        <v>25</v>
      </c>
      <c r="W822" s="80" t="s">
        <v>6487</v>
      </c>
      <c r="X822" s="83" t="str">
        <f>HYPERLINK("https://bit.ly/46qpcWJ")</f>
        <v>https://bit.ly/46qpcWJ</v>
      </c>
      <c r="Y822" s="77" t="s">
        <v>8618</v>
      </c>
      <c r="Z822" s="77"/>
      <c r="AA822" s="77" t="s">
        <v>9265</v>
      </c>
      <c r="AB822" s="77" t="s">
        <v>10535</v>
      </c>
      <c r="AC822" s="80" t="s">
        <v>10570</v>
      </c>
      <c r="AD822" s="77" t="s">
        <v>10617</v>
      </c>
      <c r="AE822" s="83" t="str">
        <f>HYPERLINK("https://twitter.com/investidoreso/status/1673687903518482432")</f>
        <v>https://twitter.com/investidoreso/status/1673687903518482432</v>
      </c>
      <c r="AF822" s="79">
        <v>45104.570208333331</v>
      </c>
      <c r="AG822" s="85">
        <v>45104</v>
      </c>
      <c r="AH822" s="80" t="s">
        <v>11356</v>
      </c>
      <c r="AI822" s="77" t="b">
        <v>0</v>
      </c>
      <c r="AJ822" s="77"/>
      <c r="AK822" s="77"/>
      <c r="AL822" s="77"/>
      <c r="AM822" s="77"/>
      <c r="AN822" s="77"/>
      <c r="AO822" s="77"/>
      <c r="AP822" s="77"/>
      <c r="AQ822" s="77" t="s">
        <v>14747</v>
      </c>
      <c r="AR822" s="77"/>
      <c r="AS822" s="77"/>
      <c r="AT822" s="77"/>
      <c r="AU822" s="77"/>
      <c r="AV822" s="83" t="str">
        <f>HYPERLINK("https://pbs.twimg.com/media/FzoiRi7WIAA75ek.jpg")</f>
        <v>https://pbs.twimg.com/media/FzoiRi7WIAA75ek.jpg</v>
      </c>
      <c r="AW822" s="80" t="s">
        <v>16754</v>
      </c>
      <c r="AX822" s="80" t="s">
        <v>16754</v>
      </c>
      <c r="AY822" s="77"/>
      <c r="AZ822" s="80" t="s">
        <v>20380</v>
      </c>
      <c r="BA822" s="80" t="s">
        <v>20380</v>
      </c>
      <c r="BB822" s="80" t="s">
        <v>20380</v>
      </c>
      <c r="BC822" s="80" t="s">
        <v>16754</v>
      </c>
      <c r="BD822" s="80" t="s">
        <v>20643</v>
      </c>
      <c r="BE822" s="77"/>
      <c r="BF822" s="77"/>
      <c r="BG822" s="77"/>
      <c r="BH822" s="77"/>
      <c r="BI822" s="77"/>
    </row>
    <row r="823" spans="1:61" x14ac:dyDescent="0.25">
      <c r="A823" s="62" t="s">
        <v>525</v>
      </c>
      <c r="B823" s="62" t="s">
        <v>525</v>
      </c>
      <c r="C823" s="63"/>
      <c r="D823" s="64"/>
      <c r="E823" s="65"/>
      <c r="F823" s="66"/>
      <c r="G823" s="63"/>
      <c r="H823" s="67"/>
      <c r="I823" s="68"/>
      <c r="J823" s="68"/>
      <c r="K823" s="32"/>
      <c r="L823" s="75">
        <v>823</v>
      </c>
      <c r="M823" s="75"/>
      <c r="N823" s="70"/>
      <c r="O823" s="77" t="s">
        <v>179</v>
      </c>
      <c r="P823" s="79">
        <v>45138.655324074076</v>
      </c>
      <c r="Q823" s="77" t="s">
        <v>2799</v>
      </c>
      <c r="R823" s="77">
        <v>2</v>
      </c>
      <c r="S823" s="77">
        <v>0</v>
      </c>
      <c r="T823" s="77">
        <v>0</v>
      </c>
      <c r="U823" s="77">
        <v>0</v>
      </c>
      <c r="V823" s="77">
        <v>40</v>
      </c>
      <c r="W823" s="80" t="s">
        <v>6488</v>
      </c>
      <c r="X823" s="83" t="str">
        <f>HYPERLINK("https://bit.ly/3QganAF")</f>
        <v>https://bit.ly/3QganAF</v>
      </c>
      <c r="Y823" s="77" t="s">
        <v>8618</v>
      </c>
      <c r="Z823" s="77"/>
      <c r="AA823" s="77" t="s">
        <v>9266</v>
      </c>
      <c r="AB823" s="77" t="s">
        <v>10535</v>
      </c>
      <c r="AC823" s="80" t="s">
        <v>10570</v>
      </c>
      <c r="AD823" s="77" t="s">
        <v>10617</v>
      </c>
      <c r="AE823" s="83" t="str">
        <f>HYPERLINK("https://twitter.com/investidoreso/status/1686039937768886273")</f>
        <v>https://twitter.com/investidoreso/status/1686039937768886273</v>
      </c>
      <c r="AF823" s="79">
        <v>45138.655324074076</v>
      </c>
      <c r="AG823" s="85">
        <v>45138</v>
      </c>
      <c r="AH823" s="80" t="s">
        <v>11357</v>
      </c>
      <c r="AI823" s="77" t="b">
        <v>0</v>
      </c>
      <c r="AJ823" s="77"/>
      <c r="AK823" s="77"/>
      <c r="AL823" s="77"/>
      <c r="AM823" s="77"/>
      <c r="AN823" s="77"/>
      <c r="AO823" s="77"/>
      <c r="AP823" s="77"/>
      <c r="AQ823" s="77" t="s">
        <v>14748</v>
      </c>
      <c r="AR823" s="77"/>
      <c r="AS823" s="77"/>
      <c r="AT823" s="77"/>
      <c r="AU823" s="77"/>
      <c r="AV823" s="83" t="str">
        <f>HYPERLINK("https://pbs.twimg.com/media/F2YEYnMWMAATyLN.jpg")</f>
        <v>https://pbs.twimg.com/media/F2YEYnMWMAATyLN.jpg</v>
      </c>
      <c r="AW823" s="80" t="s">
        <v>16755</v>
      </c>
      <c r="AX823" s="80" t="s">
        <v>16755</v>
      </c>
      <c r="AY823" s="77"/>
      <c r="AZ823" s="80" t="s">
        <v>20380</v>
      </c>
      <c r="BA823" s="80" t="s">
        <v>20380</v>
      </c>
      <c r="BB823" s="80" t="s">
        <v>20380</v>
      </c>
      <c r="BC823" s="80" t="s">
        <v>16755</v>
      </c>
      <c r="BD823" s="80" t="s">
        <v>20643</v>
      </c>
      <c r="BE823" s="77"/>
      <c r="BF823" s="77"/>
      <c r="BG823" s="77"/>
      <c r="BH823" s="77"/>
      <c r="BI823" s="77"/>
    </row>
    <row r="824" spans="1:61" x14ac:dyDescent="0.25">
      <c r="A824" s="62" t="s">
        <v>525</v>
      </c>
      <c r="B824" s="62" t="s">
        <v>525</v>
      </c>
      <c r="C824" s="63"/>
      <c r="D824" s="64"/>
      <c r="E824" s="65"/>
      <c r="F824" s="66"/>
      <c r="G824" s="63"/>
      <c r="H824" s="67"/>
      <c r="I824" s="68"/>
      <c r="J824" s="68"/>
      <c r="K824" s="32"/>
      <c r="L824" s="75">
        <v>824</v>
      </c>
      <c r="M824" s="75"/>
      <c r="N824" s="70"/>
      <c r="O824" s="77" t="s">
        <v>179</v>
      </c>
      <c r="P824" s="79">
        <v>45133.438194444447</v>
      </c>
      <c r="Q824" s="77" t="s">
        <v>2800</v>
      </c>
      <c r="R824" s="77">
        <v>0</v>
      </c>
      <c r="S824" s="77">
        <v>0</v>
      </c>
      <c r="T824" s="77">
        <v>0</v>
      </c>
      <c r="U824" s="77">
        <v>0</v>
      </c>
      <c r="V824" s="77">
        <v>14</v>
      </c>
      <c r="W824" s="80" t="s">
        <v>6489</v>
      </c>
      <c r="X824" s="83" t="str">
        <f>HYPERLINK("https://bit.ly/3rENc8F")</f>
        <v>https://bit.ly/3rENc8F</v>
      </c>
      <c r="Y824" s="77" t="s">
        <v>8618</v>
      </c>
      <c r="Z824" s="77"/>
      <c r="AA824" s="77" t="s">
        <v>9267</v>
      </c>
      <c r="AB824" s="77" t="s">
        <v>10535</v>
      </c>
      <c r="AC824" s="80" t="s">
        <v>10570</v>
      </c>
      <c r="AD824" s="77" t="s">
        <v>10617</v>
      </c>
      <c r="AE824" s="83" t="str">
        <f>HYPERLINK("https://twitter.com/investidoreso/status/1684149309841846274")</f>
        <v>https://twitter.com/investidoreso/status/1684149309841846274</v>
      </c>
      <c r="AF824" s="79">
        <v>45133.438194444447</v>
      </c>
      <c r="AG824" s="85">
        <v>45133</v>
      </c>
      <c r="AH824" s="80" t="s">
        <v>11358</v>
      </c>
      <c r="AI824" s="77" t="b">
        <v>0</v>
      </c>
      <c r="AJ824" s="77"/>
      <c r="AK824" s="77"/>
      <c r="AL824" s="77"/>
      <c r="AM824" s="77"/>
      <c r="AN824" s="77"/>
      <c r="AO824" s="77"/>
      <c r="AP824" s="77"/>
      <c r="AQ824" s="77" t="s">
        <v>14749</v>
      </c>
      <c r="AR824" s="77"/>
      <c r="AS824" s="77"/>
      <c r="AT824" s="77"/>
      <c r="AU824" s="77"/>
      <c r="AV824" s="83" t="str">
        <f>HYPERLINK("https://pbs.twimg.com/media/F18_JDfX0AE3u9i.jpg")</f>
        <v>https://pbs.twimg.com/media/F18_JDfX0AE3u9i.jpg</v>
      </c>
      <c r="AW824" s="80" t="s">
        <v>16756</v>
      </c>
      <c r="AX824" s="80" t="s">
        <v>16756</v>
      </c>
      <c r="AY824" s="77"/>
      <c r="AZ824" s="80" t="s">
        <v>20380</v>
      </c>
      <c r="BA824" s="80" t="s">
        <v>20380</v>
      </c>
      <c r="BB824" s="80" t="s">
        <v>20380</v>
      </c>
      <c r="BC824" s="80" t="s">
        <v>16756</v>
      </c>
      <c r="BD824" s="80" t="s">
        <v>20643</v>
      </c>
      <c r="BE824" s="77"/>
      <c r="BF824" s="77"/>
      <c r="BG824" s="77"/>
      <c r="BH824" s="77"/>
      <c r="BI824" s="77"/>
    </row>
    <row r="825" spans="1:61" x14ac:dyDescent="0.25">
      <c r="A825" s="62" t="s">
        <v>525</v>
      </c>
      <c r="B825" s="62" t="s">
        <v>525</v>
      </c>
      <c r="C825" s="63"/>
      <c r="D825" s="64"/>
      <c r="E825" s="65"/>
      <c r="F825" s="66"/>
      <c r="G825" s="63"/>
      <c r="H825" s="67"/>
      <c r="I825" s="68"/>
      <c r="J825" s="68"/>
      <c r="K825" s="32"/>
      <c r="L825" s="75">
        <v>825</v>
      </c>
      <c r="M825" s="75"/>
      <c r="N825" s="70"/>
      <c r="O825" s="77" t="s">
        <v>179</v>
      </c>
      <c r="P825" s="79">
        <v>45196.61146990741</v>
      </c>
      <c r="Q825" s="77" t="s">
        <v>2801</v>
      </c>
      <c r="R825" s="77">
        <v>0</v>
      </c>
      <c r="S825" s="77">
        <v>0</v>
      </c>
      <c r="T825" s="77">
        <v>0</v>
      </c>
      <c r="U825" s="77">
        <v>0</v>
      </c>
      <c r="V825" s="77">
        <v>40</v>
      </c>
      <c r="W825" s="80" t="s">
        <v>6490</v>
      </c>
      <c r="X825" s="83" t="str">
        <f>HYPERLINK("https://bit.ly/3F0Qh6l")</f>
        <v>https://bit.ly/3F0Qh6l</v>
      </c>
      <c r="Y825" s="77" t="s">
        <v>8618</v>
      </c>
      <c r="Z825" s="77"/>
      <c r="AA825" s="77" t="s">
        <v>9268</v>
      </c>
      <c r="AB825" s="77" t="s">
        <v>10535</v>
      </c>
      <c r="AC825" s="80" t="s">
        <v>10570</v>
      </c>
      <c r="AD825" s="77" t="s">
        <v>10617</v>
      </c>
      <c r="AE825" s="83" t="str">
        <f>HYPERLINK("https://twitter.com/investidoreso/status/1707042539985887542")</f>
        <v>https://twitter.com/investidoreso/status/1707042539985887542</v>
      </c>
      <c r="AF825" s="79">
        <v>45196.61146990741</v>
      </c>
      <c r="AG825" s="85">
        <v>45196</v>
      </c>
      <c r="AH825" s="80" t="s">
        <v>11359</v>
      </c>
      <c r="AI825" s="77" t="b">
        <v>0</v>
      </c>
      <c r="AJ825" s="77"/>
      <c r="AK825" s="77"/>
      <c r="AL825" s="77"/>
      <c r="AM825" s="77"/>
      <c r="AN825" s="77"/>
      <c r="AO825" s="77"/>
      <c r="AP825" s="77"/>
      <c r="AQ825" s="77" t="s">
        <v>14750</v>
      </c>
      <c r="AR825" s="77"/>
      <c r="AS825" s="77"/>
      <c r="AT825" s="77"/>
      <c r="AU825" s="77"/>
      <c r="AV825" s="83" t="str">
        <f>HYPERLINK("https://pbs.twimg.com/media/F7CiI53WYAEOepr.jpg")</f>
        <v>https://pbs.twimg.com/media/F7CiI53WYAEOepr.jpg</v>
      </c>
      <c r="AW825" s="80" t="s">
        <v>16757</v>
      </c>
      <c r="AX825" s="80" t="s">
        <v>16757</v>
      </c>
      <c r="AY825" s="77"/>
      <c r="AZ825" s="80" t="s">
        <v>20380</v>
      </c>
      <c r="BA825" s="80" t="s">
        <v>20380</v>
      </c>
      <c r="BB825" s="80" t="s">
        <v>20380</v>
      </c>
      <c r="BC825" s="80" t="s">
        <v>16757</v>
      </c>
      <c r="BD825" s="80" t="s">
        <v>20643</v>
      </c>
      <c r="BE825" s="77"/>
      <c r="BF825" s="77"/>
      <c r="BG825" s="77"/>
      <c r="BH825" s="77"/>
      <c r="BI825" s="77"/>
    </row>
    <row r="826" spans="1:61" x14ac:dyDescent="0.25">
      <c r="A826" s="62" t="s">
        <v>525</v>
      </c>
      <c r="B826" s="62" t="s">
        <v>525</v>
      </c>
      <c r="C826" s="63"/>
      <c r="D826" s="64"/>
      <c r="E826" s="65"/>
      <c r="F826" s="66"/>
      <c r="G826" s="63"/>
      <c r="H826" s="67"/>
      <c r="I826" s="68"/>
      <c r="J826" s="68"/>
      <c r="K826" s="32"/>
      <c r="L826" s="75">
        <v>826</v>
      </c>
      <c r="M826" s="75"/>
      <c r="N826" s="70"/>
      <c r="O826" s="77" t="s">
        <v>179</v>
      </c>
      <c r="P826" s="79">
        <v>45196.610162037039</v>
      </c>
      <c r="Q826" s="77" t="s">
        <v>2802</v>
      </c>
      <c r="R826" s="77">
        <v>0</v>
      </c>
      <c r="S826" s="77">
        <v>0</v>
      </c>
      <c r="T826" s="77">
        <v>0</v>
      </c>
      <c r="U826" s="77">
        <v>0</v>
      </c>
      <c r="V826" s="77">
        <v>36</v>
      </c>
      <c r="W826" s="80" t="s">
        <v>6490</v>
      </c>
      <c r="X826" s="83" t="str">
        <f>HYPERLINK("https://bit.ly/3F0Qh6l")</f>
        <v>https://bit.ly/3F0Qh6l</v>
      </c>
      <c r="Y826" s="77" t="s">
        <v>8618</v>
      </c>
      <c r="Z826" s="77"/>
      <c r="AA826" s="77" t="s">
        <v>9269</v>
      </c>
      <c r="AB826" s="77" t="s">
        <v>10535</v>
      </c>
      <c r="AC826" s="80" t="s">
        <v>10570</v>
      </c>
      <c r="AD826" s="77" t="s">
        <v>10617</v>
      </c>
      <c r="AE826" s="83" t="str">
        <f>HYPERLINK("https://twitter.com/investidoreso/status/1707042066125967504")</f>
        <v>https://twitter.com/investidoreso/status/1707042066125967504</v>
      </c>
      <c r="AF826" s="79">
        <v>45196.610162037039</v>
      </c>
      <c r="AG826" s="85">
        <v>45196</v>
      </c>
      <c r="AH826" s="80" t="s">
        <v>11360</v>
      </c>
      <c r="AI826" s="77" t="b">
        <v>0</v>
      </c>
      <c r="AJ826" s="77"/>
      <c r="AK826" s="77"/>
      <c r="AL826" s="77"/>
      <c r="AM826" s="77"/>
      <c r="AN826" s="77"/>
      <c r="AO826" s="77"/>
      <c r="AP826" s="77"/>
      <c r="AQ826" s="77" t="s">
        <v>14751</v>
      </c>
      <c r="AR826" s="77"/>
      <c r="AS826" s="77"/>
      <c r="AT826" s="77"/>
      <c r="AU826" s="77"/>
      <c r="AV826" s="83" t="str">
        <f>HYPERLINK("https://pbs.twimg.com/media/F7ChtYMXYAARSQN.jpg")</f>
        <v>https://pbs.twimg.com/media/F7ChtYMXYAARSQN.jpg</v>
      </c>
      <c r="AW826" s="80" t="s">
        <v>16758</v>
      </c>
      <c r="AX826" s="80" t="s">
        <v>16758</v>
      </c>
      <c r="AY826" s="77"/>
      <c r="AZ826" s="80" t="s">
        <v>20380</v>
      </c>
      <c r="BA826" s="80" t="s">
        <v>20380</v>
      </c>
      <c r="BB826" s="80" t="s">
        <v>20380</v>
      </c>
      <c r="BC826" s="80" t="s">
        <v>16758</v>
      </c>
      <c r="BD826" s="80" t="s">
        <v>20643</v>
      </c>
      <c r="BE826" s="77"/>
      <c r="BF826" s="77"/>
      <c r="BG826" s="77"/>
      <c r="BH826" s="77"/>
      <c r="BI826" s="77"/>
    </row>
    <row r="827" spans="1:61" x14ac:dyDescent="0.25">
      <c r="A827" s="62" t="s">
        <v>526</v>
      </c>
      <c r="B827" s="62" t="s">
        <v>1795</v>
      </c>
      <c r="C827" s="63"/>
      <c r="D827" s="64"/>
      <c r="E827" s="65"/>
      <c r="F827" s="66"/>
      <c r="G827" s="63"/>
      <c r="H827" s="67"/>
      <c r="I827" s="68"/>
      <c r="J827" s="68"/>
      <c r="K827" s="32"/>
      <c r="L827" s="75">
        <v>827</v>
      </c>
      <c r="M827" s="75"/>
      <c r="N827" s="70"/>
      <c r="O827" s="77" t="s">
        <v>2078</v>
      </c>
      <c r="P827" s="79">
        <v>45098.916284722225</v>
      </c>
      <c r="Q827" s="77" t="s">
        <v>2803</v>
      </c>
      <c r="R827" s="77">
        <v>0</v>
      </c>
      <c r="S827" s="77">
        <v>0</v>
      </c>
      <c r="T827" s="77">
        <v>0</v>
      </c>
      <c r="U827" s="77">
        <v>0</v>
      </c>
      <c r="V827" s="77">
        <v>26</v>
      </c>
      <c r="W827" s="80" t="s">
        <v>6022</v>
      </c>
      <c r="X827" s="77"/>
      <c r="Y827" s="77"/>
      <c r="Z827" s="77" t="s">
        <v>1795</v>
      </c>
      <c r="AA827" s="77"/>
      <c r="AB827" s="77"/>
      <c r="AC827" s="80" t="s">
        <v>10540</v>
      </c>
      <c r="AD827" s="77" t="s">
        <v>10617</v>
      </c>
      <c r="AE827" s="83" t="str">
        <f>HYPERLINK("https://twitter.com/ruygtr/status/1671638992192667653")</f>
        <v>https://twitter.com/ruygtr/status/1671638992192667653</v>
      </c>
      <c r="AF827" s="79">
        <v>45098.916284722225</v>
      </c>
      <c r="AG827" s="85">
        <v>45098</v>
      </c>
      <c r="AH827" s="80" t="s">
        <v>11361</v>
      </c>
      <c r="AI827" s="77"/>
      <c r="AJ827" s="77"/>
      <c r="AK827" s="77"/>
      <c r="AL827" s="77"/>
      <c r="AM827" s="77"/>
      <c r="AN827" s="77"/>
      <c r="AO827" s="77"/>
      <c r="AP827" s="77"/>
      <c r="AQ827" s="77"/>
      <c r="AR827" s="77"/>
      <c r="AS827" s="77"/>
      <c r="AT827" s="77"/>
      <c r="AU827" s="77"/>
      <c r="AV827" s="83" t="str">
        <f>HYPERLINK("https://pbs.twimg.com/profile_images/1604167677370564610/Vm5qt1NU_normal.jpg")</f>
        <v>https://pbs.twimg.com/profile_images/1604167677370564610/Vm5qt1NU_normal.jpg</v>
      </c>
      <c r="AW827" s="80" t="s">
        <v>16759</v>
      </c>
      <c r="AX827" s="80" t="s">
        <v>19996</v>
      </c>
      <c r="AY827" s="80" t="s">
        <v>20250</v>
      </c>
      <c r="AZ827" s="80" t="s">
        <v>19996</v>
      </c>
      <c r="BA827" s="80" t="s">
        <v>20380</v>
      </c>
      <c r="BB827" s="80" t="s">
        <v>20380</v>
      </c>
      <c r="BC827" s="80" t="s">
        <v>19996</v>
      </c>
      <c r="BD827" s="77">
        <v>34570207</v>
      </c>
      <c r="BE827" s="77"/>
      <c r="BF827" s="77"/>
      <c r="BG827" s="77"/>
      <c r="BH827" s="77"/>
      <c r="BI827" s="77"/>
    </row>
    <row r="828" spans="1:61" x14ac:dyDescent="0.25">
      <c r="A828" s="62" t="s">
        <v>526</v>
      </c>
      <c r="B828" s="62" t="s">
        <v>1468</v>
      </c>
      <c r="C828" s="63"/>
      <c r="D828" s="64"/>
      <c r="E828" s="65"/>
      <c r="F828" s="66"/>
      <c r="G828" s="63"/>
      <c r="H828" s="67"/>
      <c r="I828" s="68"/>
      <c r="J828" s="68"/>
      <c r="K828" s="32"/>
      <c r="L828" s="75">
        <v>828</v>
      </c>
      <c r="M828" s="75"/>
      <c r="N828" s="70"/>
      <c r="O828" s="77" t="s">
        <v>2082</v>
      </c>
      <c r="P828" s="79">
        <v>45128.565115740741</v>
      </c>
      <c r="Q828" s="77" t="s">
        <v>2804</v>
      </c>
      <c r="R828" s="77">
        <v>0</v>
      </c>
      <c r="S828" s="77">
        <v>1</v>
      </c>
      <c r="T828" s="77">
        <v>0</v>
      </c>
      <c r="U828" s="77">
        <v>0</v>
      </c>
      <c r="V828" s="77">
        <v>7</v>
      </c>
      <c r="W828" s="80" t="s">
        <v>6491</v>
      </c>
      <c r="X828" s="77"/>
      <c r="Y828" s="77"/>
      <c r="Z828" s="77"/>
      <c r="AA828" s="77"/>
      <c r="AB828" s="77"/>
      <c r="AC828" s="80" t="s">
        <v>10540</v>
      </c>
      <c r="AD828" s="77" t="s">
        <v>10617</v>
      </c>
      <c r="AE828" s="83" t="str">
        <f>HYPERLINK("https://twitter.com/ruygtr/status/1682383365020712960")</f>
        <v>https://twitter.com/ruygtr/status/1682383365020712960</v>
      </c>
      <c r="AF828" s="79">
        <v>45128.565115740741</v>
      </c>
      <c r="AG828" s="85">
        <v>45128</v>
      </c>
      <c r="AH828" s="80" t="s">
        <v>11362</v>
      </c>
      <c r="AI828" s="77"/>
      <c r="AJ828" s="77"/>
      <c r="AK828" s="77"/>
      <c r="AL828" s="77"/>
      <c r="AM828" s="77"/>
      <c r="AN828" s="77"/>
      <c r="AO828" s="77"/>
      <c r="AP828" s="77"/>
      <c r="AQ828" s="77"/>
      <c r="AR828" s="77"/>
      <c r="AS828" s="77"/>
      <c r="AT828" s="77"/>
      <c r="AU828" s="77"/>
      <c r="AV828" s="83" t="str">
        <f>HYPERLINK("https://pbs.twimg.com/profile_images/1604167677370564610/Vm5qt1NU_normal.jpg")</f>
        <v>https://pbs.twimg.com/profile_images/1604167677370564610/Vm5qt1NU_normal.jpg</v>
      </c>
      <c r="AW828" s="80" t="s">
        <v>16760</v>
      </c>
      <c r="AX828" s="80" t="s">
        <v>16760</v>
      </c>
      <c r="AY828" s="77"/>
      <c r="AZ828" s="80" t="s">
        <v>20380</v>
      </c>
      <c r="BA828" s="80" t="s">
        <v>19367</v>
      </c>
      <c r="BB828" s="80" t="s">
        <v>20380</v>
      </c>
      <c r="BC828" s="80" t="s">
        <v>19367</v>
      </c>
      <c r="BD828" s="77">
        <v>34570207</v>
      </c>
      <c r="BE828" s="77"/>
      <c r="BF828" s="77"/>
      <c r="BG828" s="77"/>
      <c r="BH828" s="77"/>
      <c r="BI828" s="77"/>
    </row>
    <row r="829" spans="1:61" x14ac:dyDescent="0.25">
      <c r="A829" s="62" t="s">
        <v>526</v>
      </c>
      <c r="B829" s="62" t="s">
        <v>1626</v>
      </c>
      <c r="C829" s="63"/>
      <c r="D829" s="64"/>
      <c r="E829" s="65"/>
      <c r="F829" s="66"/>
      <c r="G829" s="63"/>
      <c r="H829" s="67"/>
      <c r="I829" s="68"/>
      <c r="J829" s="68"/>
      <c r="K829" s="32"/>
      <c r="L829" s="75">
        <v>829</v>
      </c>
      <c r="M829" s="75"/>
      <c r="N829" s="70"/>
      <c r="O829" s="77" t="s">
        <v>2082</v>
      </c>
      <c r="P829" s="79">
        <v>45128.125</v>
      </c>
      <c r="Q829" s="77" t="s">
        <v>2805</v>
      </c>
      <c r="R829" s="77">
        <v>0</v>
      </c>
      <c r="S829" s="77">
        <v>0</v>
      </c>
      <c r="T829" s="77">
        <v>0</v>
      </c>
      <c r="U829" s="77">
        <v>0</v>
      </c>
      <c r="V829" s="77">
        <v>4</v>
      </c>
      <c r="W829" s="80" t="s">
        <v>6492</v>
      </c>
      <c r="X829" s="77"/>
      <c r="Y829" s="77"/>
      <c r="Z829" s="77"/>
      <c r="AA829" s="77"/>
      <c r="AB829" s="77"/>
      <c r="AC829" s="80" t="s">
        <v>10540</v>
      </c>
      <c r="AD829" s="77" t="s">
        <v>10617</v>
      </c>
      <c r="AE829" s="83" t="str">
        <f>HYPERLINK("https://twitter.com/ruygtr/status/1682223873931063301")</f>
        <v>https://twitter.com/ruygtr/status/1682223873931063301</v>
      </c>
      <c r="AF829" s="79">
        <v>45128.125</v>
      </c>
      <c r="AG829" s="85">
        <v>45128</v>
      </c>
      <c r="AH829" s="80" t="s">
        <v>11363</v>
      </c>
      <c r="AI829" s="77"/>
      <c r="AJ829" s="77"/>
      <c r="AK829" s="77"/>
      <c r="AL829" s="77"/>
      <c r="AM829" s="77"/>
      <c r="AN829" s="77"/>
      <c r="AO829" s="77"/>
      <c r="AP829" s="77"/>
      <c r="AQ829" s="77"/>
      <c r="AR829" s="77"/>
      <c r="AS829" s="77"/>
      <c r="AT829" s="77"/>
      <c r="AU829" s="77"/>
      <c r="AV829" s="83" t="str">
        <f>HYPERLINK("https://pbs.twimg.com/profile_images/1604167677370564610/Vm5qt1NU_normal.jpg")</f>
        <v>https://pbs.twimg.com/profile_images/1604167677370564610/Vm5qt1NU_normal.jpg</v>
      </c>
      <c r="AW829" s="80" t="s">
        <v>16761</v>
      </c>
      <c r="AX829" s="80" t="s">
        <v>16761</v>
      </c>
      <c r="AY829" s="77"/>
      <c r="AZ829" s="80" t="s">
        <v>20380</v>
      </c>
      <c r="BA829" s="80" t="s">
        <v>19764</v>
      </c>
      <c r="BB829" s="80" t="s">
        <v>20380</v>
      </c>
      <c r="BC829" s="80" t="s">
        <v>19764</v>
      </c>
      <c r="BD829" s="77">
        <v>34570207</v>
      </c>
      <c r="BE829" s="77"/>
      <c r="BF829" s="77"/>
      <c r="BG829" s="77"/>
      <c r="BH829" s="77"/>
      <c r="BI829" s="77"/>
    </row>
    <row r="830" spans="1:61" x14ac:dyDescent="0.25">
      <c r="A830" s="62" t="s">
        <v>526</v>
      </c>
      <c r="B830" s="62" t="s">
        <v>1764</v>
      </c>
      <c r="C830" s="63"/>
      <c r="D830" s="64"/>
      <c r="E830" s="65"/>
      <c r="F830" s="66"/>
      <c r="G830" s="63"/>
      <c r="H830" s="67"/>
      <c r="I830" s="68"/>
      <c r="J830" s="68"/>
      <c r="K830" s="32"/>
      <c r="L830" s="75">
        <v>830</v>
      </c>
      <c r="M830" s="75"/>
      <c r="N830" s="70"/>
      <c r="O830" s="77" t="s">
        <v>2078</v>
      </c>
      <c r="P830" s="79">
        <v>45052.705381944441</v>
      </c>
      <c r="Q830" s="77" t="s">
        <v>2806</v>
      </c>
      <c r="R830" s="77">
        <v>0</v>
      </c>
      <c r="S830" s="77">
        <v>0</v>
      </c>
      <c r="T830" s="77">
        <v>0</v>
      </c>
      <c r="U830" s="77">
        <v>0</v>
      </c>
      <c r="V830" s="77">
        <v>63</v>
      </c>
      <c r="W830" s="80" t="s">
        <v>6492</v>
      </c>
      <c r="X830" s="77"/>
      <c r="Y830" s="77"/>
      <c r="Z830" s="77" t="s">
        <v>1764</v>
      </c>
      <c r="AA830" s="77"/>
      <c r="AB830" s="77"/>
      <c r="AC830" s="80" t="s">
        <v>10540</v>
      </c>
      <c r="AD830" s="77" t="s">
        <v>10617</v>
      </c>
      <c r="AE830" s="83" t="str">
        <f>HYPERLINK("https://twitter.com/ruygtr/status/1654892720177946624")</f>
        <v>https://twitter.com/ruygtr/status/1654892720177946624</v>
      </c>
      <c r="AF830" s="79">
        <v>45052.705381944441</v>
      </c>
      <c r="AG830" s="85">
        <v>45052</v>
      </c>
      <c r="AH830" s="80" t="s">
        <v>11364</v>
      </c>
      <c r="AI830" s="77"/>
      <c r="AJ830" s="77"/>
      <c r="AK830" s="77"/>
      <c r="AL830" s="77"/>
      <c r="AM830" s="77"/>
      <c r="AN830" s="77"/>
      <c r="AO830" s="77"/>
      <c r="AP830" s="77"/>
      <c r="AQ830" s="77"/>
      <c r="AR830" s="77"/>
      <c r="AS830" s="77"/>
      <c r="AT830" s="77"/>
      <c r="AU830" s="77"/>
      <c r="AV830" s="83" t="str">
        <f>HYPERLINK("https://pbs.twimg.com/profile_images/1604167677370564610/Vm5qt1NU_normal.jpg")</f>
        <v>https://pbs.twimg.com/profile_images/1604167677370564610/Vm5qt1NU_normal.jpg</v>
      </c>
      <c r="AW830" s="80" t="s">
        <v>16762</v>
      </c>
      <c r="AX830" s="80" t="s">
        <v>19997</v>
      </c>
      <c r="AY830" s="80" t="s">
        <v>20251</v>
      </c>
      <c r="AZ830" s="80" t="s">
        <v>19997</v>
      </c>
      <c r="BA830" s="80" t="s">
        <v>20380</v>
      </c>
      <c r="BB830" s="80" t="s">
        <v>20380</v>
      </c>
      <c r="BC830" s="80" t="s">
        <v>19997</v>
      </c>
      <c r="BD830" s="77">
        <v>34570207</v>
      </c>
      <c r="BE830" s="77"/>
      <c r="BF830" s="77"/>
      <c r="BG830" s="77"/>
      <c r="BH830" s="77"/>
      <c r="BI830" s="77"/>
    </row>
    <row r="831" spans="1:61" x14ac:dyDescent="0.25">
      <c r="A831" s="62" t="s">
        <v>527</v>
      </c>
      <c r="B831" s="62" t="s">
        <v>527</v>
      </c>
      <c r="C831" s="63"/>
      <c r="D831" s="64"/>
      <c r="E831" s="65"/>
      <c r="F831" s="66"/>
      <c r="G831" s="63"/>
      <c r="H831" s="67"/>
      <c r="I831" s="68"/>
      <c r="J831" s="68"/>
      <c r="K831" s="32"/>
      <c r="L831" s="75">
        <v>831</v>
      </c>
      <c r="M831" s="75"/>
      <c r="N831" s="70"/>
      <c r="O831" s="77" t="s">
        <v>179</v>
      </c>
      <c r="P831" s="79">
        <v>45141.235532407409</v>
      </c>
      <c r="Q831" s="77" t="s">
        <v>2807</v>
      </c>
      <c r="R831" s="77">
        <v>0</v>
      </c>
      <c r="S831" s="77">
        <v>0</v>
      </c>
      <c r="T831" s="77">
        <v>0</v>
      </c>
      <c r="U831" s="77">
        <v>0</v>
      </c>
      <c r="V831" s="77">
        <v>58</v>
      </c>
      <c r="W831" s="80" t="s">
        <v>6493</v>
      </c>
      <c r="X831" s="83" t="str">
        <f>HYPERLINK("https://matrixglobalfx.com/2023/08/03/usd-brl-analysis-as-brazil-central-bank-slashes-interest-rates/")</f>
        <v>https://matrixglobalfx.com/2023/08/03/usd-brl-analysis-as-brazil-central-bank-slashes-interest-rates/</v>
      </c>
      <c r="Y831" s="77" t="s">
        <v>8687</v>
      </c>
      <c r="Z831" s="77"/>
      <c r="AA831" s="77"/>
      <c r="AB831" s="77"/>
      <c r="AC831" s="80" t="s">
        <v>10540</v>
      </c>
      <c r="AD831" s="77" t="s">
        <v>10622</v>
      </c>
      <c r="AE831" s="83" t="str">
        <f>HYPERLINK("https://twitter.com/benbusi18/status/1686974972944924672")</f>
        <v>https://twitter.com/benbusi18/status/1686974972944924672</v>
      </c>
      <c r="AF831" s="79">
        <v>45141.235532407409</v>
      </c>
      <c r="AG831" s="85">
        <v>45141</v>
      </c>
      <c r="AH831" s="80" t="s">
        <v>11365</v>
      </c>
      <c r="AI831" s="77" t="b">
        <v>0</v>
      </c>
      <c r="AJ831" s="77"/>
      <c r="AK831" s="77"/>
      <c r="AL831" s="77"/>
      <c r="AM831" s="77"/>
      <c r="AN831" s="77"/>
      <c r="AO831" s="77"/>
      <c r="AP831" s="77"/>
      <c r="AQ831" s="77"/>
      <c r="AR831" s="77"/>
      <c r="AS831" s="77"/>
      <c r="AT831" s="77"/>
      <c r="AU831" s="77"/>
      <c r="AV831" s="83" t="str">
        <f>HYPERLINK("https://pbs.twimg.com/profile_images/1663755333968490502/x4A4khGO_normal.jpg")</f>
        <v>https://pbs.twimg.com/profile_images/1663755333968490502/x4A4khGO_normal.jpg</v>
      </c>
      <c r="AW831" s="80" t="s">
        <v>16763</v>
      </c>
      <c r="AX831" s="80" t="s">
        <v>16763</v>
      </c>
      <c r="AY831" s="77"/>
      <c r="AZ831" s="80" t="s">
        <v>20380</v>
      </c>
      <c r="BA831" s="80" t="s">
        <v>20380</v>
      </c>
      <c r="BB831" s="80" t="s">
        <v>20380</v>
      </c>
      <c r="BC831" s="80" t="s">
        <v>16763</v>
      </c>
      <c r="BD831" s="77">
        <v>2157106536</v>
      </c>
      <c r="BE831" s="77"/>
      <c r="BF831" s="77"/>
      <c r="BG831" s="77"/>
      <c r="BH831" s="77"/>
      <c r="BI831" s="77"/>
    </row>
    <row r="832" spans="1:61" x14ac:dyDescent="0.25">
      <c r="A832" s="62" t="s">
        <v>528</v>
      </c>
      <c r="B832" s="62" t="s">
        <v>528</v>
      </c>
      <c r="C832" s="63"/>
      <c r="D832" s="64"/>
      <c r="E832" s="65"/>
      <c r="F832" s="66"/>
      <c r="G832" s="63"/>
      <c r="H832" s="67"/>
      <c r="I832" s="68"/>
      <c r="J832" s="68"/>
      <c r="K832" s="32"/>
      <c r="L832" s="75">
        <v>832</v>
      </c>
      <c r="M832" s="75"/>
      <c r="N832" s="70"/>
      <c r="O832" s="77" t="s">
        <v>179</v>
      </c>
      <c r="P832" s="79">
        <v>45153.531215277777</v>
      </c>
      <c r="Q832" s="77" t="s">
        <v>2808</v>
      </c>
      <c r="R832" s="77">
        <v>1</v>
      </c>
      <c r="S832" s="77">
        <v>0</v>
      </c>
      <c r="T832" s="77">
        <v>0</v>
      </c>
      <c r="U832" s="77">
        <v>0</v>
      </c>
      <c r="V832" s="77">
        <v>47</v>
      </c>
      <c r="W832" s="80" t="s">
        <v>6494</v>
      </c>
      <c r="X832" s="77"/>
      <c r="Y832" s="77"/>
      <c r="Z832" s="77"/>
      <c r="AA832" s="77" t="s">
        <v>9270</v>
      </c>
      <c r="AB832" s="77" t="s">
        <v>10538</v>
      </c>
      <c r="AC832" s="80" t="s">
        <v>10540</v>
      </c>
      <c r="AD832" s="77" t="s">
        <v>10620</v>
      </c>
      <c r="AE832" s="83" t="str">
        <f>HYPERLINK("https://twitter.com/alimikaok/status/1691430780113956865")</f>
        <v>https://twitter.com/alimikaok/status/1691430780113956865</v>
      </c>
      <c r="AF832" s="79">
        <v>45153.531215277777</v>
      </c>
      <c r="AG832" s="85">
        <v>45153</v>
      </c>
      <c r="AH832" s="80" t="s">
        <v>11366</v>
      </c>
      <c r="AI832" s="77" t="b">
        <v>0</v>
      </c>
      <c r="AJ832" s="77"/>
      <c r="AK832" s="77"/>
      <c r="AL832" s="77"/>
      <c r="AM832" s="77"/>
      <c r="AN832" s="77"/>
      <c r="AO832" s="77"/>
      <c r="AP832" s="77"/>
      <c r="AQ832" s="77" t="s">
        <v>14752</v>
      </c>
      <c r="AR832" s="77"/>
      <c r="AS832" s="77"/>
      <c r="AT832" s="77"/>
      <c r="AU832" s="77"/>
      <c r="AV832" s="83" t="str">
        <f>HYPERLINK("https://pbs.twimg.com/media/F3krUgjXsAAq60I.jpg")</f>
        <v>https://pbs.twimg.com/media/F3krUgjXsAAq60I.jpg</v>
      </c>
      <c r="AW832" s="80" t="s">
        <v>16764</v>
      </c>
      <c r="AX832" s="80" t="s">
        <v>16764</v>
      </c>
      <c r="AY832" s="77"/>
      <c r="AZ832" s="80" t="s">
        <v>20380</v>
      </c>
      <c r="BA832" s="80" t="s">
        <v>20380</v>
      </c>
      <c r="BB832" s="80" t="s">
        <v>20380</v>
      </c>
      <c r="BC832" s="80" t="s">
        <v>16764</v>
      </c>
      <c r="BD832" s="80" t="s">
        <v>20644</v>
      </c>
      <c r="BE832" s="77"/>
      <c r="BF832" s="77"/>
      <c r="BG832" s="77"/>
      <c r="BH832" s="77"/>
      <c r="BI832" s="77"/>
    </row>
    <row r="833" spans="1:61" x14ac:dyDescent="0.25">
      <c r="A833" s="62" t="s">
        <v>529</v>
      </c>
      <c r="B833" s="62" t="s">
        <v>1615</v>
      </c>
      <c r="C833" s="63"/>
      <c r="D833" s="64"/>
      <c r="E833" s="65"/>
      <c r="F833" s="66"/>
      <c r="G833" s="63"/>
      <c r="H833" s="67"/>
      <c r="I833" s="68"/>
      <c r="J833" s="68"/>
      <c r="K833" s="32"/>
      <c r="L833" s="75">
        <v>833</v>
      </c>
      <c r="M833" s="75"/>
      <c r="N833" s="70"/>
      <c r="O833" s="77" t="s">
        <v>2083</v>
      </c>
      <c r="P833" s="79">
        <v>45189.628877314812</v>
      </c>
      <c r="Q833" s="77" t="s">
        <v>2102</v>
      </c>
      <c r="R833" s="77">
        <v>10</v>
      </c>
      <c r="S833" s="77">
        <v>0</v>
      </c>
      <c r="T833" s="77">
        <v>0</v>
      </c>
      <c r="U833" s="77">
        <v>0</v>
      </c>
      <c r="V833" s="77"/>
      <c r="W833" s="80" t="s">
        <v>5899</v>
      </c>
      <c r="X833" s="77"/>
      <c r="Y833" s="77"/>
      <c r="Z833" s="77" t="s">
        <v>1615</v>
      </c>
      <c r="AA833" s="77" t="s">
        <v>9047</v>
      </c>
      <c r="AB833" s="77" t="s">
        <v>10535</v>
      </c>
      <c r="AC833" s="80" t="s">
        <v>10540</v>
      </c>
      <c r="AD833" s="77" t="s">
        <v>10619</v>
      </c>
      <c r="AE833" s="83" t="str">
        <f>HYPERLINK("https://twitter.com/why_pi_mrfaces/status/1704512135026323757")</f>
        <v>https://twitter.com/why_pi_mrfaces/status/1704512135026323757</v>
      </c>
      <c r="AF833" s="79">
        <v>45189.628877314812</v>
      </c>
      <c r="AG833" s="85">
        <v>45189</v>
      </c>
      <c r="AH833" s="80" t="s">
        <v>11367</v>
      </c>
      <c r="AI833" s="77" t="b">
        <v>0</v>
      </c>
      <c r="AJ833" s="77"/>
      <c r="AK833" s="77"/>
      <c r="AL833" s="77"/>
      <c r="AM833" s="77"/>
      <c r="AN833" s="77"/>
      <c r="AO833" s="77"/>
      <c r="AP833" s="77"/>
      <c r="AQ833" s="77" t="s">
        <v>14529</v>
      </c>
      <c r="AR833" s="77"/>
      <c r="AS833" s="77"/>
      <c r="AT833" s="77"/>
      <c r="AU833" s="77"/>
      <c r="AV833" s="83" t="str">
        <f>HYPERLINK("https://pbs.twimg.com/media/F6c2kgoWAAAEEnO.jpg")</f>
        <v>https://pbs.twimg.com/media/F6c2kgoWAAAEEnO.jpg</v>
      </c>
      <c r="AW833" s="80" t="s">
        <v>16765</v>
      </c>
      <c r="AX833" s="80" t="s">
        <v>16765</v>
      </c>
      <c r="AY833" s="77"/>
      <c r="AZ833" s="80" t="s">
        <v>20380</v>
      </c>
      <c r="BA833" s="80" t="s">
        <v>20380</v>
      </c>
      <c r="BB833" s="80" t="s">
        <v>19728</v>
      </c>
      <c r="BC833" s="80" t="s">
        <v>19728</v>
      </c>
      <c r="BD833" s="77">
        <v>172738509</v>
      </c>
      <c r="BE833" s="77"/>
      <c r="BF833" s="77"/>
      <c r="BG833" s="77"/>
      <c r="BH833" s="77"/>
      <c r="BI833" s="77"/>
    </row>
    <row r="834" spans="1:61" x14ac:dyDescent="0.25">
      <c r="A834" s="62" t="s">
        <v>529</v>
      </c>
      <c r="B834" s="62" t="s">
        <v>1615</v>
      </c>
      <c r="C834" s="63"/>
      <c r="D834" s="64"/>
      <c r="E834" s="65"/>
      <c r="F834" s="66"/>
      <c r="G834" s="63"/>
      <c r="H834" s="67"/>
      <c r="I834" s="68"/>
      <c r="J834" s="68"/>
      <c r="K834" s="32"/>
      <c r="L834" s="75">
        <v>834</v>
      </c>
      <c r="M834" s="75"/>
      <c r="N834" s="70"/>
      <c r="O834" s="77" t="s">
        <v>2083</v>
      </c>
      <c r="P834" s="79">
        <v>45191.644444444442</v>
      </c>
      <c r="Q834" s="77" t="s">
        <v>2809</v>
      </c>
      <c r="R834" s="77">
        <v>4</v>
      </c>
      <c r="S834" s="77">
        <v>0</v>
      </c>
      <c r="T834" s="77">
        <v>0</v>
      </c>
      <c r="U834" s="77">
        <v>0</v>
      </c>
      <c r="V834" s="77"/>
      <c r="W834" s="77"/>
      <c r="X834" s="77"/>
      <c r="Y834" s="77"/>
      <c r="Z834" s="77" t="s">
        <v>1615</v>
      </c>
      <c r="AA834" s="77"/>
      <c r="AB834" s="77"/>
      <c r="AC834" s="80" t="s">
        <v>10540</v>
      </c>
      <c r="AD834" s="77" t="s">
        <v>10617</v>
      </c>
      <c r="AE834" s="83" t="str">
        <f>HYPERLINK("https://twitter.com/why_pi_mrfaces/status/1705242548338327831")</f>
        <v>https://twitter.com/why_pi_mrfaces/status/1705242548338327831</v>
      </c>
      <c r="AF834" s="79">
        <v>45191.644444444442</v>
      </c>
      <c r="AG834" s="85">
        <v>45191</v>
      </c>
      <c r="AH834" s="80" t="s">
        <v>11368</v>
      </c>
      <c r="AI834" s="77" t="b">
        <v>0</v>
      </c>
      <c r="AJ834" s="77"/>
      <c r="AK834" s="77"/>
      <c r="AL834" s="77"/>
      <c r="AM834" s="77"/>
      <c r="AN834" s="77"/>
      <c r="AO834" s="77"/>
      <c r="AP834" s="77"/>
      <c r="AQ834" s="77"/>
      <c r="AR834" s="77"/>
      <c r="AS834" s="77"/>
      <c r="AT834" s="77"/>
      <c r="AU834" s="77"/>
      <c r="AV834" s="83" t="str">
        <f>HYPERLINK("https://pbs.twimg.com/profile_images/1634111021009739776/EjgCXmx6_normal.jpg")</f>
        <v>https://pbs.twimg.com/profile_images/1634111021009739776/EjgCXmx6_normal.jpg</v>
      </c>
      <c r="AW834" s="80" t="s">
        <v>16766</v>
      </c>
      <c r="AX834" s="80" t="s">
        <v>16766</v>
      </c>
      <c r="AY834" s="77"/>
      <c r="AZ834" s="80" t="s">
        <v>20380</v>
      </c>
      <c r="BA834" s="80" t="s">
        <v>20380</v>
      </c>
      <c r="BB834" s="80" t="s">
        <v>19732</v>
      </c>
      <c r="BC834" s="80" t="s">
        <v>19732</v>
      </c>
      <c r="BD834" s="77">
        <v>172738509</v>
      </c>
      <c r="BE834" s="77"/>
      <c r="BF834" s="77"/>
      <c r="BG834" s="77"/>
      <c r="BH834" s="77"/>
      <c r="BI834" s="77"/>
    </row>
    <row r="835" spans="1:61" x14ac:dyDescent="0.25">
      <c r="A835" s="62" t="s">
        <v>530</v>
      </c>
      <c r="B835" s="62" t="s">
        <v>1655</v>
      </c>
      <c r="C835" s="63"/>
      <c r="D835" s="64"/>
      <c r="E835" s="65"/>
      <c r="F835" s="66"/>
      <c r="G835" s="63"/>
      <c r="H835" s="67"/>
      <c r="I835" s="68"/>
      <c r="J835" s="68"/>
      <c r="K835" s="32"/>
      <c r="L835" s="75">
        <v>835</v>
      </c>
      <c r="M835" s="75"/>
      <c r="N835" s="70"/>
      <c r="O835" s="77" t="s">
        <v>2083</v>
      </c>
      <c r="P835" s="79">
        <v>45191.131689814814</v>
      </c>
      <c r="Q835" s="77" t="s">
        <v>2120</v>
      </c>
      <c r="R835" s="77">
        <v>57</v>
      </c>
      <c r="S835" s="77">
        <v>0</v>
      </c>
      <c r="T835" s="77">
        <v>0</v>
      </c>
      <c r="U835" s="77">
        <v>0</v>
      </c>
      <c r="V835" s="77"/>
      <c r="W835" s="80" t="s">
        <v>5917</v>
      </c>
      <c r="X835" s="77"/>
      <c r="Y835" s="77"/>
      <c r="Z835" s="77" t="s">
        <v>1655</v>
      </c>
      <c r="AA835" s="77"/>
      <c r="AB835" s="77"/>
      <c r="AC835" s="80" t="s">
        <v>10540</v>
      </c>
      <c r="AD835" s="77" t="s">
        <v>10617</v>
      </c>
      <c r="AE835" s="83" t="str">
        <f>HYPERLINK("https://twitter.com/dinicamargo/status/1705056732639019054")</f>
        <v>https://twitter.com/dinicamargo/status/1705056732639019054</v>
      </c>
      <c r="AF835" s="79">
        <v>45191.131689814814</v>
      </c>
      <c r="AG835" s="85">
        <v>45191</v>
      </c>
      <c r="AH835" s="80" t="s">
        <v>11369</v>
      </c>
      <c r="AI835" s="77"/>
      <c r="AJ835" s="77"/>
      <c r="AK835" s="77"/>
      <c r="AL835" s="77"/>
      <c r="AM835" s="77"/>
      <c r="AN835" s="77"/>
      <c r="AO835" s="77"/>
      <c r="AP835" s="77"/>
      <c r="AQ835" s="77"/>
      <c r="AR835" s="77"/>
      <c r="AS835" s="77"/>
      <c r="AT835" s="77"/>
      <c r="AU835" s="77"/>
      <c r="AV835" s="83" t="str">
        <f>HYPERLINK("https://pbs.twimg.com/profile_images/2709925189/ed3f111cc3808fa643ad2850c7f3d17b_normal.png")</f>
        <v>https://pbs.twimg.com/profile_images/2709925189/ed3f111cc3808fa643ad2850c7f3d17b_normal.png</v>
      </c>
      <c r="AW835" s="80" t="s">
        <v>16767</v>
      </c>
      <c r="AX835" s="80" t="s">
        <v>16767</v>
      </c>
      <c r="AY835" s="77"/>
      <c r="AZ835" s="80" t="s">
        <v>20380</v>
      </c>
      <c r="BA835" s="80" t="s">
        <v>20380</v>
      </c>
      <c r="BB835" s="80" t="s">
        <v>19843</v>
      </c>
      <c r="BC835" s="80" t="s">
        <v>19843</v>
      </c>
      <c r="BD835" s="77">
        <v>817420441</v>
      </c>
      <c r="BE835" s="77"/>
      <c r="BF835" s="77"/>
      <c r="BG835" s="77"/>
      <c r="BH835" s="77"/>
      <c r="BI835" s="77"/>
    </row>
    <row r="836" spans="1:61" x14ac:dyDescent="0.25">
      <c r="A836" s="62" t="s">
        <v>530</v>
      </c>
      <c r="B836" s="62" t="s">
        <v>1655</v>
      </c>
      <c r="C836" s="63"/>
      <c r="D836" s="64"/>
      <c r="E836" s="65"/>
      <c r="F836" s="66"/>
      <c r="G836" s="63"/>
      <c r="H836" s="67"/>
      <c r="I836" s="68"/>
      <c r="J836" s="68"/>
      <c r="K836" s="32"/>
      <c r="L836" s="75">
        <v>836</v>
      </c>
      <c r="M836" s="75"/>
      <c r="N836" s="70"/>
      <c r="O836" s="77" t="s">
        <v>2083</v>
      </c>
      <c r="P836" s="79">
        <v>45191.028668981482</v>
      </c>
      <c r="Q836" s="77" t="s">
        <v>2120</v>
      </c>
      <c r="R836" s="77">
        <v>25</v>
      </c>
      <c r="S836" s="77">
        <v>0</v>
      </c>
      <c r="T836" s="77">
        <v>0</v>
      </c>
      <c r="U836" s="77">
        <v>0</v>
      </c>
      <c r="V836" s="77"/>
      <c r="W836" s="80" t="s">
        <v>5917</v>
      </c>
      <c r="X836" s="77"/>
      <c r="Y836" s="77"/>
      <c r="Z836" s="77" t="s">
        <v>1655</v>
      </c>
      <c r="AA836" s="77"/>
      <c r="AB836" s="77"/>
      <c r="AC836" s="80" t="s">
        <v>10540</v>
      </c>
      <c r="AD836" s="77" t="s">
        <v>10617</v>
      </c>
      <c r="AE836" s="83" t="str">
        <f>HYPERLINK("https://twitter.com/dinicamargo/status/1705019401735430302")</f>
        <v>https://twitter.com/dinicamargo/status/1705019401735430302</v>
      </c>
      <c r="AF836" s="79">
        <v>45191.028668981482</v>
      </c>
      <c r="AG836" s="85">
        <v>45191</v>
      </c>
      <c r="AH836" s="80" t="s">
        <v>11370</v>
      </c>
      <c r="AI836" s="77"/>
      <c r="AJ836" s="77"/>
      <c r="AK836" s="77"/>
      <c r="AL836" s="77"/>
      <c r="AM836" s="77"/>
      <c r="AN836" s="77"/>
      <c r="AO836" s="77"/>
      <c r="AP836" s="77"/>
      <c r="AQ836" s="77"/>
      <c r="AR836" s="77"/>
      <c r="AS836" s="77"/>
      <c r="AT836" s="77"/>
      <c r="AU836" s="77"/>
      <c r="AV836" s="83" t="str">
        <f>HYPERLINK("https://pbs.twimg.com/profile_images/2709925189/ed3f111cc3808fa643ad2850c7f3d17b_normal.png")</f>
        <v>https://pbs.twimg.com/profile_images/2709925189/ed3f111cc3808fa643ad2850c7f3d17b_normal.png</v>
      </c>
      <c r="AW836" s="80" t="s">
        <v>16768</v>
      </c>
      <c r="AX836" s="80" t="s">
        <v>16768</v>
      </c>
      <c r="AY836" s="77"/>
      <c r="AZ836" s="80" t="s">
        <v>20380</v>
      </c>
      <c r="BA836" s="80" t="s">
        <v>20380</v>
      </c>
      <c r="BB836" s="80" t="s">
        <v>19844</v>
      </c>
      <c r="BC836" s="80" t="s">
        <v>19844</v>
      </c>
      <c r="BD836" s="77">
        <v>817420441</v>
      </c>
      <c r="BE836" s="77"/>
      <c r="BF836" s="77"/>
      <c r="BG836" s="77"/>
      <c r="BH836" s="77"/>
      <c r="BI836" s="77"/>
    </row>
    <row r="837" spans="1:61" x14ac:dyDescent="0.25">
      <c r="A837" s="62" t="s">
        <v>531</v>
      </c>
      <c r="B837" s="62" t="s">
        <v>531</v>
      </c>
      <c r="C837" s="63"/>
      <c r="D837" s="64"/>
      <c r="E837" s="65"/>
      <c r="F837" s="66"/>
      <c r="G837" s="63"/>
      <c r="H837" s="67"/>
      <c r="I837" s="68"/>
      <c r="J837" s="68"/>
      <c r="K837" s="32"/>
      <c r="L837" s="75">
        <v>837</v>
      </c>
      <c r="M837" s="75"/>
      <c r="N837" s="70"/>
      <c r="O837" s="77" t="s">
        <v>179</v>
      </c>
      <c r="P837" s="79">
        <v>45146.053414351853</v>
      </c>
      <c r="Q837" s="77" t="s">
        <v>2810</v>
      </c>
      <c r="R837" s="77">
        <v>0</v>
      </c>
      <c r="S837" s="77">
        <v>2</v>
      </c>
      <c r="T837" s="77">
        <v>1</v>
      </c>
      <c r="U837" s="77">
        <v>0</v>
      </c>
      <c r="V837" s="77">
        <v>290</v>
      </c>
      <c r="W837" s="80" t="s">
        <v>6495</v>
      </c>
      <c r="X837" s="77"/>
      <c r="Y837" s="77"/>
      <c r="Z837" s="77"/>
      <c r="AA837" s="77" t="s">
        <v>9271</v>
      </c>
      <c r="AB837" s="77" t="s">
        <v>10534</v>
      </c>
      <c r="AC837" s="80" t="s">
        <v>10542</v>
      </c>
      <c r="AD837" s="77" t="s">
        <v>10617</v>
      </c>
      <c r="AE837" s="83" t="str">
        <f>HYPERLINK("https://twitter.com/victaodobitcoin/status/1688720914307829760")</f>
        <v>https://twitter.com/victaodobitcoin/status/1688720914307829760</v>
      </c>
      <c r="AF837" s="79">
        <v>45146.053414351853</v>
      </c>
      <c r="AG837" s="85">
        <v>45146</v>
      </c>
      <c r="AH837" s="80" t="s">
        <v>11371</v>
      </c>
      <c r="AI837" s="77" t="b">
        <v>0</v>
      </c>
      <c r="AJ837" s="77"/>
      <c r="AK837" s="77"/>
      <c r="AL837" s="77"/>
      <c r="AM837" s="77"/>
      <c r="AN837" s="77"/>
      <c r="AO837" s="77"/>
      <c r="AP837" s="77"/>
      <c r="AQ837" s="77" t="s">
        <v>14753</v>
      </c>
      <c r="AR837" s="77">
        <v>68401</v>
      </c>
      <c r="AS837" s="77"/>
      <c r="AT837" s="77"/>
      <c r="AU837" s="77"/>
      <c r="AV837" s="83" t="str">
        <f>HYPERLINK("https://pbs.twimg.com/ext_tw_video_thumb/1688720802076659712/pu/img/Rx5sdnVWfbmDrgJj.jpg")</f>
        <v>https://pbs.twimg.com/ext_tw_video_thumb/1688720802076659712/pu/img/Rx5sdnVWfbmDrgJj.jpg</v>
      </c>
      <c r="AW837" s="80" t="s">
        <v>16769</v>
      </c>
      <c r="AX837" s="80" t="s">
        <v>16769</v>
      </c>
      <c r="AY837" s="77"/>
      <c r="AZ837" s="80" t="s">
        <v>20380</v>
      </c>
      <c r="BA837" s="80" t="s">
        <v>20380</v>
      </c>
      <c r="BB837" s="80" t="s">
        <v>20380</v>
      </c>
      <c r="BC837" s="80" t="s">
        <v>16769</v>
      </c>
      <c r="BD837" s="80" t="s">
        <v>20645</v>
      </c>
      <c r="BE837" s="77"/>
      <c r="BF837" s="77"/>
      <c r="BG837" s="77"/>
      <c r="BH837" s="77"/>
      <c r="BI837" s="77"/>
    </row>
    <row r="838" spans="1:61" x14ac:dyDescent="0.25">
      <c r="A838" s="62" t="s">
        <v>532</v>
      </c>
      <c r="B838" s="62" t="s">
        <v>1796</v>
      </c>
      <c r="C838" s="63"/>
      <c r="D838" s="64"/>
      <c r="E838" s="65"/>
      <c r="F838" s="66"/>
      <c r="G838" s="63"/>
      <c r="H838" s="67"/>
      <c r="I838" s="68"/>
      <c r="J838" s="68"/>
      <c r="K838" s="32"/>
      <c r="L838" s="75">
        <v>838</v>
      </c>
      <c r="M838" s="75"/>
      <c r="N838" s="70"/>
      <c r="O838" s="77" t="s">
        <v>2081</v>
      </c>
      <c r="P838" s="79">
        <v>45126.756006944444</v>
      </c>
      <c r="Q838" s="77" t="s">
        <v>2811</v>
      </c>
      <c r="R838" s="77">
        <v>2</v>
      </c>
      <c r="S838" s="77">
        <v>2</v>
      </c>
      <c r="T838" s="77">
        <v>0</v>
      </c>
      <c r="U838" s="77">
        <v>0</v>
      </c>
      <c r="V838" s="77">
        <v>57</v>
      </c>
      <c r="W838" s="80" t="s">
        <v>6496</v>
      </c>
      <c r="X838" s="83" t="str">
        <f>HYPERLINK("https://noticiasdeimpacto.com.do/2023/07/19/fuerza-del-pueblo-exige-a-ministerio-de-hacienda-y-banco-central-aclarar-como-se-entregaron-fondos-a-las-mipymes/")</f>
        <v>https://noticiasdeimpacto.com.do/2023/07/19/fuerza-del-pueblo-exige-a-ministerio-de-hacienda-y-banco-central-aclarar-como-se-entregaron-fondos-a-las-mipymes/</v>
      </c>
      <c r="Y838" s="77" t="s">
        <v>8625</v>
      </c>
      <c r="Z838" s="77" t="s">
        <v>8939</v>
      </c>
      <c r="AA838" s="77" t="s">
        <v>9272</v>
      </c>
      <c r="AB838" s="77" t="s">
        <v>10535</v>
      </c>
      <c r="AC838" s="80" t="s">
        <v>10541</v>
      </c>
      <c r="AD838" s="77" t="s">
        <v>10620</v>
      </c>
      <c r="AE838" s="83" t="str">
        <f>HYPERLINK("https://twitter.com/noticiasimpac/status/1681727767161782297")</f>
        <v>https://twitter.com/noticiasimpac/status/1681727767161782297</v>
      </c>
      <c r="AF838" s="79">
        <v>45126.756006944444</v>
      </c>
      <c r="AG838" s="85">
        <v>45126</v>
      </c>
      <c r="AH838" s="80" t="s">
        <v>11372</v>
      </c>
      <c r="AI838" s="77" t="b">
        <v>0</v>
      </c>
      <c r="AJ838" s="77"/>
      <c r="AK838" s="77"/>
      <c r="AL838" s="77"/>
      <c r="AM838" s="77"/>
      <c r="AN838" s="77"/>
      <c r="AO838" s="77"/>
      <c r="AP838" s="77"/>
      <c r="AQ838" s="77" t="s">
        <v>14754</v>
      </c>
      <c r="AR838" s="77"/>
      <c r="AS838" s="77"/>
      <c r="AT838" s="77"/>
      <c r="AU838" s="77"/>
      <c r="AV838" s="83" t="str">
        <f>HYPERLINK("https://pbs.twimg.com/media/F1ayFqiWcAADsNx.jpg")</f>
        <v>https://pbs.twimg.com/media/F1ayFqiWcAADsNx.jpg</v>
      </c>
      <c r="AW838" s="80" t="s">
        <v>16770</v>
      </c>
      <c r="AX838" s="80" t="s">
        <v>16770</v>
      </c>
      <c r="AY838" s="77"/>
      <c r="AZ838" s="80" t="s">
        <v>20380</v>
      </c>
      <c r="BA838" s="80" t="s">
        <v>20380</v>
      </c>
      <c r="BB838" s="80" t="s">
        <v>20380</v>
      </c>
      <c r="BC838" s="80" t="s">
        <v>16770</v>
      </c>
      <c r="BD838" s="80" t="s">
        <v>20646</v>
      </c>
      <c r="BE838" s="77"/>
      <c r="BF838" s="77"/>
      <c r="BG838" s="77"/>
      <c r="BH838" s="77"/>
      <c r="BI838" s="77"/>
    </row>
    <row r="839" spans="1:61" x14ac:dyDescent="0.25">
      <c r="A839" s="62" t="s">
        <v>532</v>
      </c>
      <c r="B839" s="62" t="s">
        <v>1716</v>
      </c>
      <c r="C839" s="63"/>
      <c r="D839" s="64"/>
      <c r="E839" s="65"/>
      <c r="F839" s="66"/>
      <c r="G839" s="63"/>
      <c r="H839" s="67"/>
      <c r="I839" s="68"/>
      <c r="J839" s="68"/>
      <c r="K839" s="32"/>
      <c r="L839" s="75">
        <v>839</v>
      </c>
      <c r="M839" s="75"/>
      <c r="N839" s="70"/>
      <c r="O839" s="77" t="s">
        <v>2081</v>
      </c>
      <c r="P839" s="79">
        <v>45048.876030092593</v>
      </c>
      <c r="Q839" s="77" t="s">
        <v>2812</v>
      </c>
      <c r="R839" s="77">
        <v>0</v>
      </c>
      <c r="S839" s="77">
        <v>0</v>
      </c>
      <c r="T839" s="77">
        <v>0</v>
      </c>
      <c r="U839" s="77">
        <v>0</v>
      </c>
      <c r="V839" s="77">
        <v>10</v>
      </c>
      <c r="W839" s="80" t="s">
        <v>6497</v>
      </c>
      <c r="X839" s="83" t="str">
        <f>HYPERLINK("https://noticiasdeimpacto.com.do/index.php/economia/item/2627-banco-central-libera-encaje-legal-para-viviendas-de-bajo-costo-superando-los-1-000-beneficiarios")</f>
        <v>https://noticiasdeimpacto.com.do/index.php/economia/item/2627-banco-central-libera-encaje-legal-para-viviendas-de-bajo-costo-superando-los-1-000-beneficiarios</v>
      </c>
      <c r="Y839" s="77" t="s">
        <v>8625</v>
      </c>
      <c r="Z839" s="77" t="s">
        <v>1716</v>
      </c>
      <c r="AA839" s="77" t="s">
        <v>9273</v>
      </c>
      <c r="AB839" s="77" t="s">
        <v>10535</v>
      </c>
      <c r="AC839" s="80" t="s">
        <v>10541</v>
      </c>
      <c r="AD839" s="77" t="s">
        <v>10620</v>
      </c>
      <c r="AE839" s="83" t="str">
        <f>HYPERLINK("https://twitter.com/noticiasimpac/status/1653505009240391680")</f>
        <v>https://twitter.com/noticiasimpac/status/1653505009240391680</v>
      </c>
      <c r="AF839" s="79">
        <v>45048.876030092593</v>
      </c>
      <c r="AG839" s="85">
        <v>45048</v>
      </c>
      <c r="AH839" s="80" t="s">
        <v>11373</v>
      </c>
      <c r="AI839" s="77" t="b">
        <v>0</v>
      </c>
      <c r="AJ839" s="77"/>
      <c r="AK839" s="77"/>
      <c r="AL839" s="77"/>
      <c r="AM839" s="77"/>
      <c r="AN839" s="77"/>
      <c r="AO839" s="77"/>
      <c r="AP839" s="77"/>
      <c r="AQ839" s="77" t="s">
        <v>14755</v>
      </c>
      <c r="AR839" s="77"/>
      <c r="AS839" s="77"/>
      <c r="AT839" s="77"/>
      <c r="AU839" s="77"/>
      <c r="AV839" s="83" t="str">
        <f>HYPERLINK("https://pbs.twimg.com/media/FvJuCa8X0CUHdQR.jpg")</f>
        <v>https://pbs.twimg.com/media/FvJuCa8X0CUHdQR.jpg</v>
      </c>
      <c r="AW839" s="80" t="s">
        <v>16771</v>
      </c>
      <c r="AX839" s="80" t="s">
        <v>16771</v>
      </c>
      <c r="AY839" s="77"/>
      <c r="AZ839" s="80" t="s">
        <v>20380</v>
      </c>
      <c r="BA839" s="80" t="s">
        <v>20380</v>
      </c>
      <c r="BB839" s="80" t="s">
        <v>20380</v>
      </c>
      <c r="BC839" s="80" t="s">
        <v>16771</v>
      </c>
      <c r="BD839" s="80" t="s">
        <v>20646</v>
      </c>
      <c r="BE839" s="77"/>
      <c r="BF839" s="77"/>
      <c r="BG839" s="77"/>
      <c r="BH839" s="77"/>
      <c r="BI839" s="77"/>
    </row>
    <row r="840" spans="1:61" x14ac:dyDescent="0.25">
      <c r="A840" s="62" t="s">
        <v>532</v>
      </c>
      <c r="B840" s="62" t="s">
        <v>532</v>
      </c>
      <c r="C840" s="63"/>
      <c r="D840" s="64"/>
      <c r="E840" s="65"/>
      <c r="F840" s="66"/>
      <c r="G840" s="63"/>
      <c r="H840" s="67"/>
      <c r="I840" s="68"/>
      <c r="J840" s="68"/>
      <c r="K840" s="32"/>
      <c r="L840" s="75">
        <v>840</v>
      </c>
      <c r="M840" s="75"/>
      <c r="N840" s="70"/>
      <c r="O840" s="77" t="s">
        <v>179</v>
      </c>
      <c r="P840" s="79">
        <v>45048.735162037039</v>
      </c>
      <c r="Q840" s="77" t="s">
        <v>2813</v>
      </c>
      <c r="R840" s="77">
        <v>0</v>
      </c>
      <c r="S840" s="77">
        <v>0</v>
      </c>
      <c r="T840" s="77">
        <v>0</v>
      </c>
      <c r="U840" s="77">
        <v>0</v>
      </c>
      <c r="V840" s="77">
        <v>7</v>
      </c>
      <c r="W840" s="80" t="s">
        <v>6498</v>
      </c>
      <c r="X840" s="83" t="str">
        <f>HYPERLINK("https://noticiasdeimpacto.com.do/index.php/nacionales/item/2624-gobierno-asegura-que-rd-tiene-la-canasta-basica-mas-barata-de-centroamerica-y-el-caribe")</f>
        <v>https://noticiasdeimpacto.com.do/index.php/nacionales/item/2624-gobierno-asegura-que-rd-tiene-la-canasta-basica-mas-barata-de-centroamerica-y-el-caribe</v>
      </c>
      <c r="Y840" s="77" t="s">
        <v>8625</v>
      </c>
      <c r="Z840" s="77"/>
      <c r="AA840" s="77" t="s">
        <v>9274</v>
      </c>
      <c r="AB840" s="77" t="s">
        <v>10535</v>
      </c>
      <c r="AC840" s="80" t="s">
        <v>10541</v>
      </c>
      <c r="AD840" s="77" t="s">
        <v>10620</v>
      </c>
      <c r="AE840" s="83" t="str">
        <f>HYPERLINK("https://twitter.com/noticiasimpac/status/1653453960886222850")</f>
        <v>https://twitter.com/noticiasimpac/status/1653453960886222850</v>
      </c>
      <c r="AF840" s="79">
        <v>45048.735162037039</v>
      </c>
      <c r="AG840" s="85">
        <v>45048</v>
      </c>
      <c r="AH840" s="80" t="s">
        <v>11374</v>
      </c>
      <c r="AI840" s="77" t="b">
        <v>0</v>
      </c>
      <c r="AJ840" s="77"/>
      <c r="AK840" s="77"/>
      <c r="AL840" s="77"/>
      <c r="AM840" s="77"/>
      <c r="AN840" s="77"/>
      <c r="AO840" s="77"/>
      <c r="AP840" s="77"/>
      <c r="AQ840" s="77" t="s">
        <v>14756</v>
      </c>
      <c r="AR840" s="77"/>
      <c r="AS840" s="77"/>
      <c r="AT840" s="77"/>
      <c r="AU840" s="77"/>
      <c r="AV840" s="83" t="str">
        <f>HYPERLINK("https://pbs.twimg.com/media/FvI9rJoXoAAxTuc.jpg")</f>
        <v>https://pbs.twimg.com/media/FvI9rJoXoAAxTuc.jpg</v>
      </c>
      <c r="AW840" s="80" t="s">
        <v>16772</v>
      </c>
      <c r="AX840" s="80" t="s">
        <v>16772</v>
      </c>
      <c r="AY840" s="77"/>
      <c r="AZ840" s="80" t="s">
        <v>20380</v>
      </c>
      <c r="BA840" s="80" t="s">
        <v>20380</v>
      </c>
      <c r="BB840" s="80" t="s">
        <v>20380</v>
      </c>
      <c r="BC840" s="80" t="s">
        <v>16772</v>
      </c>
      <c r="BD840" s="80" t="s">
        <v>20646</v>
      </c>
      <c r="BE840" s="77"/>
      <c r="BF840" s="77"/>
      <c r="BG840" s="77"/>
      <c r="BH840" s="77"/>
      <c r="BI840" s="77"/>
    </row>
    <row r="841" spans="1:61" x14ac:dyDescent="0.25">
      <c r="A841" s="62" t="s">
        <v>532</v>
      </c>
      <c r="B841" s="62" t="s">
        <v>1716</v>
      </c>
      <c r="C841" s="63"/>
      <c r="D841" s="64"/>
      <c r="E841" s="65"/>
      <c r="F841" s="66"/>
      <c r="G841" s="63"/>
      <c r="H841" s="67"/>
      <c r="I841" s="68"/>
      <c r="J841" s="68"/>
      <c r="K841" s="32"/>
      <c r="L841" s="75">
        <v>841</v>
      </c>
      <c r="M841" s="75"/>
      <c r="N841" s="70"/>
      <c r="O841" s="77" t="s">
        <v>2081</v>
      </c>
      <c r="P841" s="79">
        <v>45126.756006944444</v>
      </c>
      <c r="Q841" s="77" t="s">
        <v>2811</v>
      </c>
      <c r="R841" s="77">
        <v>2</v>
      </c>
      <c r="S841" s="77">
        <v>2</v>
      </c>
      <c r="T841" s="77">
        <v>0</v>
      </c>
      <c r="U841" s="77">
        <v>0</v>
      </c>
      <c r="V841" s="77">
        <v>57</v>
      </c>
      <c r="W841" s="80" t="s">
        <v>6496</v>
      </c>
      <c r="X841" s="83" t="str">
        <f>HYPERLINK("https://noticiasdeimpacto.com.do/2023/07/19/fuerza-del-pueblo-exige-a-ministerio-de-hacienda-y-banco-central-aclarar-como-se-entregaron-fondos-a-las-mipymes/")</f>
        <v>https://noticiasdeimpacto.com.do/2023/07/19/fuerza-del-pueblo-exige-a-ministerio-de-hacienda-y-banco-central-aclarar-como-se-entregaron-fondos-a-las-mipymes/</v>
      </c>
      <c r="Y841" s="77" t="s">
        <v>8625</v>
      </c>
      <c r="Z841" s="77" t="s">
        <v>8939</v>
      </c>
      <c r="AA841" s="77" t="s">
        <v>9272</v>
      </c>
      <c r="AB841" s="77" t="s">
        <v>10535</v>
      </c>
      <c r="AC841" s="80" t="s">
        <v>10541</v>
      </c>
      <c r="AD841" s="77" t="s">
        <v>10620</v>
      </c>
      <c r="AE841" s="83" t="str">
        <f>HYPERLINK("https://twitter.com/noticiasimpac/status/1681727767161782297")</f>
        <v>https://twitter.com/noticiasimpac/status/1681727767161782297</v>
      </c>
      <c r="AF841" s="79">
        <v>45126.756006944444</v>
      </c>
      <c r="AG841" s="85">
        <v>45126</v>
      </c>
      <c r="AH841" s="80" t="s">
        <v>11372</v>
      </c>
      <c r="AI841" s="77" t="b">
        <v>0</v>
      </c>
      <c r="AJ841" s="77"/>
      <c r="AK841" s="77"/>
      <c r="AL841" s="77"/>
      <c r="AM841" s="77"/>
      <c r="AN841" s="77"/>
      <c r="AO841" s="77"/>
      <c r="AP841" s="77"/>
      <c r="AQ841" s="77" t="s">
        <v>14754</v>
      </c>
      <c r="AR841" s="77"/>
      <c r="AS841" s="77"/>
      <c r="AT841" s="77"/>
      <c r="AU841" s="77"/>
      <c r="AV841" s="83" t="str">
        <f>HYPERLINK("https://pbs.twimg.com/media/F1ayFqiWcAADsNx.jpg")</f>
        <v>https://pbs.twimg.com/media/F1ayFqiWcAADsNx.jpg</v>
      </c>
      <c r="AW841" s="80" t="s">
        <v>16770</v>
      </c>
      <c r="AX841" s="80" t="s">
        <v>16770</v>
      </c>
      <c r="AY841" s="77"/>
      <c r="AZ841" s="80" t="s">
        <v>20380</v>
      </c>
      <c r="BA841" s="80" t="s">
        <v>20380</v>
      </c>
      <c r="BB841" s="80" t="s">
        <v>20380</v>
      </c>
      <c r="BC841" s="80" t="s">
        <v>16770</v>
      </c>
      <c r="BD841" s="80" t="s">
        <v>20646</v>
      </c>
      <c r="BE841" s="77"/>
      <c r="BF841" s="77"/>
      <c r="BG841" s="77"/>
      <c r="BH841" s="77"/>
      <c r="BI841" s="77"/>
    </row>
    <row r="842" spans="1:61" x14ac:dyDescent="0.25">
      <c r="A842" s="62" t="s">
        <v>533</v>
      </c>
      <c r="B842" s="62" t="s">
        <v>533</v>
      </c>
      <c r="C842" s="63"/>
      <c r="D842" s="64"/>
      <c r="E842" s="65"/>
      <c r="F842" s="66"/>
      <c r="G842" s="63"/>
      <c r="H842" s="67"/>
      <c r="I842" s="68"/>
      <c r="J842" s="68"/>
      <c r="K842" s="32"/>
      <c r="L842" s="75">
        <v>842</v>
      </c>
      <c r="M842" s="75"/>
      <c r="N842" s="70"/>
      <c r="O842" s="77" t="s">
        <v>179</v>
      </c>
      <c r="P842" s="79">
        <v>45139.595752314817</v>
      </c>
      <c r="Q842" s="77" t="s">
        <v>2814</v>
      </c>
      <c r="R842" s="77">
        <v>2</v>
      </c>
      <c r="S842" s="77">
        <v>2</v>
      </c>
      <c r="T842" s="77">
        <v>2</v>
      </c>
      <c r="U842" s="77">
        <v>0</v>
      </c>
      <c r="V842" s="77">
        <v>68</v>
      </c>
      <c r="W842" s="80" t="s">
        <v>6499</v>
      </c>
      <c r="X842" s="77"/>
      <c r="Y842" s="77"/>
      <c r="Z842" s="77"/>
      <c r="AA842" s="77" t="s">
        <v>9275</v>
      </c>
      <c r="AB842" s="77" t="s">
        <v>10535</v>
      </c>
      <c r="AC842" s="80" t="s">
        <v>10541</v>
      </c>
      <c r="AD842" s="77" t="s">
        <v>10620</v>
      </c>
      <c r="AE842" s="83" t="str">
        <f>HYPERLINK("https://twitter.com/fiususy/status/1686380736704823296")</f>
        <v>https://twitter.com/fiususy/status/1686380736704823296</v>
      </c>
      <c r="AF842" s="79">
        <v>45139.595752314817</v>
      </c>
      <c r="AG842" s="85">
        <v>45139</v>
      </c>
      <c r="AH842" s="80" t="s">
        <v>11375</v>
      </c>
      <c r="AI842" s="77" t="b">
        <v>0</v>
      </c>
      <c r="AJ842" s="77"/>
      <c r="AK842" s="77"/>
      <c r="AL842" s="77"/>
      <c r="AM842" s="77"/>
      <c r="AN842" s="77"/>
      <c r="AO842" s="77"/>
      <c r="AP842" s="77"/>
      <c r="AQ842" s="77" t="s">
        <v>14757</v>
      </c>
      <c r="AR842" s="77"/>
      <c r="AS842" s="77"/>
      <c r="AT842" s="77"/>
      <c r="AU842" s="77"/>
      <c r="AV842" s="83" t="str">
        <f>HYPERLINK("https://pbs.twimg.com/media/F2c5VyWbwAEW5hK.jpg")</f>
        <v>https://pbs.twimg.com/media/F2c5VyWbwAEW5hK.jpg</v>
      </c>
      <c r="AW842" s="80" t="s">
        <v>16773</v>
      </c>
      <c r="AX842" s="80" t="s">
        <v>16773</v>
      </c>
      <c r="AY842" s="77"/>
      <c r="AZ842" s="80" t="s">
        <v>20380</v>
      </c>
      <c r="BA842" s="80" t="s">
        <v>20380</v>
      </c>
      <c r="BB842" s="80" t="s">
        <v>20380</v>
      </c>
      <c r="BC842" s="80" t="s">
        <v>16773</v>
      </c>
      <c r="BD842" s="80" t="s">
        <v>20647</v>
      </c>
      <c r="BE842" s="77"/>
      <c r="BF842" s="77"/>
      <c r="BG842" s="77"/>
      <c r="BH842" s="77"/>
      <c r="BI842" s="77"/>
    </row>
    <row r="843" spans="1:61" x14ac:dyDescent="0.25">
      <c r="A843" s="62" t="s">
        <v>534</v>
      </c>
      <c r="B843" s="62" t="s">
        <v>534</v>
      </c>
      <c r="C843" s="63"/>
      <c r="D843" s="64"/>
      <c r="E843" s="65"/>
      <c r="F843" s="66"/>
      <c r="G843" s="63"/>
      <c r="H843" s="67"/>
      <c r="I843" s="68"/>
      <c r="J843" s="68"/>
      <c r="K843" s="32"/>
      <c r="L843" s="75">
        <v>843</v>
      </c>
      <c r="M843" s="75"/>
      <c r="N843" s="70"/>
      <c r="O843" s="77" t="s">
        <v>179</v>
      </c>
      <c r="P843" s="79">
        <v>45099.133877314816</v>
      </c>
      <c r="Q843" s="77" t="s">
        <v>2815</v>
      </c>
      <c r="R843" s="77">
        <v>0</v>
      </c>
      <c r="S843" s="77">
        <v>0</v>
      </c>
      <c r="T843" s="77">
        <v>0</v>
      </c>
      <c r="U843" s="77">
        <v>0</v>
      </c>
      <c r="V843" s="77">
        <v>11</v>
      </c>
      <c r="W843" s="80" t="s">
        <v>5940</v>
      </c>
      <c r="X843" s="83" t="str">
        <f>HYPERLINK("https://manaustime.com/banco-central-preve-lancar-pix-automatico-em-abril-de-2024/")</f>
        <v>https://manaustime.com/banco-central-preve-lancar-pix-automatico-em-abril-de-2024/</v>
      </c>
      <c r="Y843" s="77" t="s">
        <v>8688</v>
      </c>
      <c r="Z843" s="77"/>
      <c r="AA843" s="77" t="s">
        <v>9276</v>
      </c>
      <c r="AB843" s="77" t="s">
        <v>10535</v>
      </c>
      <c r="AC843" s="80" t="s">
        <v>10541</v>
      </c>
      <c r="AD843" s="77" t="s">
        <v>10617</v>
      </c>
      <c r="AE843" s="83" t="str">
        <f>HYPERLINK("https://twitter.com/manaustime/status/1671717844160069633")</f>
        <v>https://twitter.com/manaustime/status/1671717844160069633</v>
      </c>
      <c r="AF843" s="79">
        <v>45099.133877314816</v>
      </c>
      <c r="AG843" s="85">
        <v>45099</v>
      </c>
      <c r="AH843" s="80" t="s">
        <v>11376</v>
      </c>
      <c r="AI843" s="77" t="b">
        <v>0</v>
      </c>
      <c r="AJ843" s="77"/>
      <c r="AK843" s="77"/>
      <c r="AL843" s="77"/>
      <c r="AM843" s="77"/>
      <c r="AN843" s="77"/>
      <c r="AO843" s="77"/>
      <c r="AP843" s="77"/>
      <c r="AQ843" s="77" t="s">
        <v>14758</v>
      </c>
      <c r="AR843" s="77"/>
      <c r="AS843" s="77"/>
      <c r="AT843" s="77"/>
      <c r="AU843" s="77"/>
      <c r="AV843" s="83" t="str">
        <f>HYPERLINK("https://pbs.twimg.com/media/FzMig2qWwAAn78K.jpg")</f>
        <v>https://pbs.twimg.com/media/FzMig2qWwAAn78K.jpg</v>
      </c>
      <c r="AW843" s="80" t="s">
        <v>16774</v>
      </c>
      <c r="AX843" s="80" t="s">
        <v>16774</v>
      </c>
      <c r="AY843" s="77"/>
      <c r="AZ843" s="80" t="s">
        <v>20380</v>
      </c>
      <c r="BA843" s="80" t="s">
        <v>20380</v>
      </c>
      <c r="BB843" s="80" t="s">
        <v>20380</v>
      </c>
      <c r="BC843" s="80" t="s">
        <v>16774</v>
      </c>
      <c r="BD843" s="80" t="s">
        <v>20648</v>
      </c>
      <c r="BE843" s="77"/>
      <c r="BF843" s="77"/>
      <c r="BG843" s="77"/>
      <c r="BH843" s="77"/>
      <c r="BI843" s="77"/>
    </row>
    <row r="844" spans="1:61" x14ac:dyDescent="0.25">
      <c r="A844" s="62" t="s">
        <v>534</v>
      </c>
      <c r="B844" s="62" t="s">
        <v>534</v>
      </c>
      <c r="C844" s="63"/>
      <c r="D844" s="64"/>
      <c r="E844" s="65"/>
      <c r="F844" s="66"/>
      <c r="G844" s="63"/>
      <c r="H844" s="67"/>
      <c r="I844" s="68"/>
      <c r="J844" s="68"/>
      <c r="K844" s="32"/>
      <c r="L844" s="75">
        <v>844</v>
      </c>
      <c r="M844" s="75"/>
      <c r="N844" s="70"/>
      <c r="O844" s="77" t="s">
        <v>179</v>
      </c>
      <c r="P844" s="79">
        <v>45100.101712962962</v>
      </c>
      <c r="Q844" s="77" t="s">
        <v>2816</v>
      </c>
      <c r="R844" s="77">
        <v>0</v>
      </c>
      <c r="S844" s="77">
        <v>0</v>
      </c>
      <c r="T844" s="77">
        <v>0</v>
      </c>
      <c r="U844" s="77">
        <v>0</v>
      </c>
      <c r="V844" s="77">
        <v>4</v>
      </c>
      <c r="W844" s="80" t="s">
        <v>6500</v>
      </c>
      <c r="X844" s="77"/>
      <c r="Y844" s="77"/>
      <c r="Z844" s="77"/>
      <c r="AA844" s="77" t="s">
        <v>9277</v>
      </c>
      <c r="AB844" s="77" t="s">
        <v>10535</v>
      </c>
      <c r="AC844" s="80" t="s">
        <v>10541</v>
      </c>
      <c r="AD844" s="77" t="s">
        <v>10617</v>
      </c>
      <c r="AE844" s="83" t="str">
        <f>HYPERLINK("https://twitter.com/manaustime/status/1672068574285021185")</f>
        <v>https://twitter.com/manaustime/status/1672068574285021185</v>
      </c>
      <c r="AF844" s="79">
        <v>45100.101712962962</v>
      </c>
      <c r="AG844" s="85">
        <v>45100</v>
      </c>
      <c r="AH844" s="80" t="s">
        <v>11377</v>
      </c>
      <c r="AI844" s="77" t="b">
        <v>0</v>
      </c>
      <c r="AJ844" s="77"/>
      <c r="AK844" s="77"/>
      <c r="AL844" s="77"/>
      <c r="AM844" s="77"/>
      <c r="AN844" s="77"/>
      <c r="AO844" s="77"/>
      <c r="AP844" s="77"/>
      <c r="AQ844" s="77" t="s">
        <v>14759</v>
      </c>
      <c r="AR844" s="77"/>
      <c r="AS844" s="77"/>
      <c r="AT844" s="77"/>
      <c r="AU844" s="77"/>
      <c r="AV844" s="83" t="str">
        <f>HYPERLINK("https://pbs.twimg.com/media/FzRhgDSWAAEj4Et.jpg")</f>
        <v>https://pbs.twimg.com/media/FzRhgDSWAAEj4Et.jpg</v>
      </c>
      <c r="AW844" s="80" t="s">
        <v>16775</v>
      </c>
      <c r="AX844" s="80" t="s">
        <v>16775</v>
      </c>
      <c r="AY844" s="77"/>
      <c r="AZ844" s="80" t="s">
        <v>20380</v>
      </c>
      <c r="BA844" s="80" t="s">
        <v>20380</v>
      </c>
      <c r="BB844" s="80" t="s">
        <v>20380</v>
      </c>
      <c r="BC844" s="80" t="s">
        <v>16775</v>
      </c>
      <c r="BD844" s="80" t="s">
        <v>20648</v>
      </c>
      <c r="BE844" s="77"/>
      <c r="BF844" s="77"/>
      <c r="BG844" s="77"/>
      <c r="BH844" s="77"/>
      <c r="BI844" s="77"/>
    </row>
    <row r="845" spans="1:61" x14ac:dyDescent="0.25">
      <c r="A845" s="62" t="s">
        <v>534</v>
      </c>
      <c r="B845" s="62" t="s">
        <v>534</v>
      </c>
      <c r="C845" s="63"/>
      <c r="D845" s="64"/>
      <c r="E845" s="65"/>
      <c r="F845" s="66"/>
      <c r="G845" s="63"/>
      <c r="H845" s="67"/>
      <c r="I845" s="68"/>
      <c r="J845" s="68"/>
      <c r="K845" s="32"/>
      <c r="L845" s="75">
        <v>845</v>
      </c>
      <c r="M845" s="75"/>
      <c r="N845" s="70"/>
      <c r="O845" s="77" t="s">
        <v>179</v>
      </c>
      <c r="P845" s="79">
        <v>45101.022361111114</v>
      </c>
      <c r="Q845" s="77" t="s">
        <v>2817</v>
      </c>
      <c r="R845" s="77">
        <v>0</v>
      </c>
      <c r="S845" s="77">
        <v>0</v>
      </c>
      <c r="T845" s="77">
        <v>0</v>
      </c>
      <c r="U845" s="77">
        <v>0</v>
      </c>
      <c r="V845" s="77">
        <v>5</v>
      </c>
      <c r="W845" s="80" t="s">
        <v>6501</v>
      </c>
      <c r="X845" s="83" t="str">
        <f>HYPERLINK("https://manaustime.com/banco-central-seleciona-16-propostas-de-participacao-em-piloto-do-real-digital/")</f>
        <v>https://manaustime.com/banco-central-seleciona-16-propostas-de-participacao-em-piloto-do-real-digital/</v>
      </c>
      <c r="Y845" s="77" t="s">
        <v>8688</v>
      </c>
      <c r="Z845" s="77"/>
      <c r="AA845" s="77" t="s">
        <v>9278</v>
      </c>
      <c r="AB845" s="77" t="s">
        <v>10535</v>
      </c>
      <c r="AC845" s="80" t="s">
        <v>10541</v>
      </c>
      <c r="AD845" s="77" t="s">
        <v>10617</v>
      </c>
      <c r="AE845" s="83" t="str">
        <f>HYPERLINK("https://twitter.com/manaustime/status/1672402205641527296")</f>
        <v>https://twitter.com/manaustime/status/1672402205641527296</v>
      </c>
      <c r="AF845" s="79">
        <v>45101.022361111114</v>
      </c>
      <c r="AG845" s="85">
        <v>45101</v>
      </c>
      <c r="AH845" s="80" t="s">
        <v>11378</v>
      </c>
      <c r="AI845" s="77" t="b">
        <v>0</v>
      </c>
      <c r="AJ845" s="77"/>
      <c r="AK845" s="77"/>
      <c r="AL845" s="77"/>
      <c r="AM845" s="77"/>
      <c r="AN845" s="77"/>
      <c r="AO845" s="77"/>
      <c r="AP845" s="77"/>
      <c r="AQ845" s="77" t="s">
        <v>14760</v>
      </c>
      <c r="AR845" s="77"/>
      <c r="AS845" s="77"/>
      <c r="AT845" s="77"/>
      <c r="AU845" s="77"/>
      <c r="AV845" s="83" t="str">
        <f>HYPERLINK("https://pbs.twimg.com/media/FzWQ7_hXoAIryuK.jpg")</f>
        <v>https://pbs.twimg.com/media/FzWQ7_hXoAIryuK.jpg</v>
      </c>
      <c r="AW845" s="80" t="s">
        <v>16776</v>
      </c>
      <c r="AX845" s="80" t="s">
        <v>16776</v>
      </c>
      <c r="AY845" s="77"/>
      <c r="AZ845" s="80" t="s">
        <v>20380</v>
      </c>
      <c r="BA845" s="80" t="s">
        <v>20380</v>
      </c>
      <c r="BB845" s="80" t="s">
        <v>20380</v>
      </c>
      <c r="BC845" s="80" t="s">
        <v>16776</v>
      </c>
      <c r="BD845" s="80" t="s">
        <v>20648</v>
      </c>
      <c r="BE845" s="77"/>
      <c r="BF845" s="77"/>
      <c r="BG845" s="77"/>
      <c r="BH845" s="77"/>
      <c r="BI845" s="77"/>
    </row>
    <row r="846" spans="1:61" x14ac:dyDescent="0.25">
      <c r="A846" s="62" t="s">
        <v>535</v>
      </c>
      <c r="B846" s="62" t="s">
        <v>535</v>
      </c>
      <c r="C846" s="63"/>
      <c r="D846" s="64"/>
      <c r="E846" s="65"/>
      <c r="F846" s="66"/>
      <c r="G846" s="63"/>
      <c r="H846" s="67"/>
      <c r="I846" s="68"/>
      <c r="J846" s="68"/>
      <c r="K846" s="32"/>
      <c r="L846" s="75">
        <v>846</v>
      </c>
      <c r="M846" s="75"/>
      <c r="N846" s="70"/>
      <c r="O846" s="77" t="s">
        <v>179</v>
      </c>
      <c r="P846" s="79">
        <v>45064.733877314815</v>
      </c>
      <c r="Q846" s="77" t="s">
        <v>2818</v>
      </c>
      <c r="R846" s="77">
        <v>0</v>
      </c>
      <c r="S846" s="77">
        <v>0</v>
      </c>
      <c r="T846" s="77">
        <v>2</v>
      </c>
      <c r="U846" s="77">
        <v>0</v>
      </c>
      <c r="V846" s="77">
        <v>173</v>
      </c>
      <c r="W846" s="80" t="s">
        <v>6502</v>
      </c>
      <c r="X846" s="83" t="str">
        <f>HYPERLINK("https://elcontraste.cl/margot-duhalde-quien-es-billete-banco-central/18/05/2023/")</f>
        <v>https://elcontraste.cl/margot-duhalde-quien-es-billete-banco-central/18/05/2023/</v>
      </c>
      <c r="Y846" s="77" t="s">
        <v>8689</v>
      </c>
      <c r="Z846" s="77"/>
      <c r="AA846" s="77"/>
      <c r="AB846" s="77"/>
      <c r="AC846" s="80" t="s">
        <v>10542</v>
      </c>
      <c r="AD846" s="77" t="s">
        <v>10620</v>
      </c>
      <c r="AE846" s="83" t="str">
        <f>HYPERLINK("https://twitter.com/elcontrastecl/status/1659251702648668169")</f>
        <v>https://twitter.com/elcontrastecl/status/1659251702648668169</v>
      </c>
      <c r="AF846" s="79">
        <v>45064.733877314815</v>
      </c>
      <c r="AG846" s="85">
        <v>45064</v>
      </c>
      <c r="AH846" s="80" t="s">
        <v>11379</v>
      </c>
      <c r="AI846" s="77" t="b">
        <v>0</v>
      </c>
      <c r="AJ846" s="77"/>
      <c r="AK846" s="77"/>
      <c r="AL846" s="77"/>
      <c r="AM846" s="77"/>
      <c r="AN846" s="77"/>
      <c r="AO846" s="77"/>
      <c r="AP846" s="77"/>
      <c r="AQ846" s="77"/>
      <c r="AR846" s="77"/>
      <c r="AS846" s="77"/>
      <c r="AT846" s="77"/>
      <c r="AU846" s="77"/>
      <c r="AV846" s="83" t="str">
        <f>HYPERLINK("https://pbs.twimg.com/profile_images/1303036155676459008/49QgLTWO_normal.jpg")</f>
        <v>https://pbs.twimg.com/profile_images/1303036155676459008/49QgLTWO_normal.jpg</v>
      </c>
      <c r="AW846" s="80" t="s">
        <v>16777</v>
      </c>
      <c r="AX846" s="80" t="s">
        <v>16777</v>
      </c>
      <c r="AY846" s="77"/>
      <c r="AZ846" s="80" t="s">
        <v>20380</v>
      </c>
      <c r="BA846" s="80" t="s">
        <v>20380</v>
      </c>
      <c r="BB846" s="80" t="s">
        <v>20380</v>
      </c>
      <c r="BC846" s="80" t="s">
        <v>16777</v>
      </c>
      <c r="BD846" s="80" t="s">
        <v>20649</v>
      </c>
      <c r="BE846" s="77"/>
      <c r="BF846" s="77"/>
      <c r="BG846" s="77"/>
      <c r="BH846" s="77"/>
      <c r="BI846" s="77"/>
    </row>
    <row r="847" spans="1:61" x14ac:dyDescent="0.25">
      <c r="A847" s="62" t="s">
        <v>536</v>
      </c>
      <c r="B847" s="62" t="s">
        <v>536</v>
      </c>
      <c r="C847" s="63"/>
      <c r="D847" s="64"/>
      <c r="E847" s="65"/>
      <c r="F847" s="66"/>
      <c r="G847" s="63"/>
      <c r="H847" s="67"/>
      <c r="I847" s="68"/>
      <c r="J847" s="68"/>
      <c r="K847" s="32"/>
      <c r="L847" s="75">
        <v>847</v>
      </c>
      <c r="M847" s="75"/>
      <c r="N847" s="70"/>
      <c r="O847" s="77" t="s">
        <v>179</v>
      </c>
      <c r="P847" s="79">
        <v>45119.816643518519</v>
      </c>
      <c r="Q847" s="77" t="s">
        <v>2819</v>
      </c>
      <c r="R847" s="77">
        <v>0</v>
      </c>
      <c r="S847" s="77">
        <v>1</v>
      </c>
      <c r="T847" s="77">
        <v>0</v>
      </c>
      <c r="U847" s="77">
        <v>0</v>
      </c>
      <c r="V847" s="77">
        <v>239</v>
      </c>
      <c r="W847" s="80" t="s">
        <v>6503</v>
      </c>
      <c r="X847" s="83" t="str">
        <f>HYPERLINK("https://tinyurl.com/y2pzvsb4")</f>
        <v>https://tinyurl.com/y2pzvsb4</v>
      </c>
      <c r="Y847" s="77" t="s">
        <v>8670</v>
      </c>
      <c r="Z847" s="77"/>
      <c r="AA847" s="77" t="s">
        <v>9279</v>
      </c>
      <c r="AB847" s="77" t="s">
        <v>10535</v>
      </c>
      <c r="AC847" s="80" t="s">
        <v>10541</v>
      </c>
      <c r="AD847" s="77" t="s">
        <v>10617</v>
      </c>
      <c r="AE847" s="83" t="str">
        <f>HYPERLINK("https://twitter.com/passanacentral/status/1679213028766543900")</f>
        <v>https://twitter.com/passanacentral/status/1679213028766543900</v>
      </c>
      <c r="AF847" s="79">
        <v>45119.816643518519</v>
      </c>
      <c r="AG847" s="85">
        <v>45119</v>
      </c>
      <c r="AH847" s="80" t="s">
        <v>11380</v>
      </c>
      <c r="AI847" s="77" t="b">
        <v>0</v>
      </c>
      <c r="AJ847" s="77"/>
      <c r="AK847" s="77"/>
      <c r="AL847" s="77"/>
      <c r="AM847" s="77"/>
      <c r="AN847" s="77"/>
      <c r="AO847" s="77"/>
      <c r="AP847" s="77"/>
      <c r="AQ847" s="77" t="s">
        <v>14761</v>
      </c>
      <c r="AR847" s="77"/>
      <c r="AS847" s="77"/>
      <c r="AT847" s="77"/>
      <c r="AU847" s="77"/>
      <c r="AV847" s="83" t="str">
        <f>HYPERLINK("https://pbs.twimg.com/media/F03DUpRWcAYPCme.png")</f>
        <v>https://pbs.twimg.com/media/F03DUpRWcAYPCme.png</v>
      </c>
      <c r="AW847" s="80" t="s">
        <v>16778</v>
      </c>
      <c r="AX847" s="80" t="s">
        <v>16778</v>
      </c>
      <c r="AY847" s="77"/>
      <c r="AZ847" s="80" t="s">
        <v>20380</v>
      </c>
      <c r="BA847" s="80" t="s">
        <v>20380</v>
      </c>
      <c r="BB847" s="80" t="s">
        <v>20380</v>
      </c>
      <c r="BC847" s="80" t="s">
        <v>16778</v>
      </c>
      <c r="BD847" s="77">
        <v>150680335</v>
      </c>
      <c r="BE847" s="77"/>
      <c r="BF847" s="77"/>
      <c r="BG847" s="77"/>
      <c r="BH847" s="77"/>
      <c r="BI847" s="77"/>
    </row>
    <row r="848" spans="1:61" x14ac:dyDescent="0.25">
      <c r="A848" s="62" t="s">
        <v>536</v>
      </c>
      <c r="B848" s="62" t="s">
        <v>536</v>
      </c>
      <c r="C848" s="63"/>
      <c r="D848" s="64"/>
      <c r="E848" s="65"/>
      <c r="F848" s="66"/>
      <c r="G848" s="63"/>
      <c r="H848" s="67"/>
      <c r="I848" s="68"/>
      <c r="J848" s="68"/>
      <c r="K848" s="32"/>
      <c r="L848" s="75">
        <v>848</v>
      </c>
      <c r="M848" s="75"/>
      <c r="N848" s="70"/>
      <c r="O848" s="77" t="s">
        <v>179</v>
      </c>
      <c r="P848" s="79">
        <v>45132.60292824074</v>
      </c>
      <c r="Q848" s="77" t="s">
        <v>2820</v>
      </c>
      <c r="R848" s="77">
        <v>0</v>
      </c>
      <c r="S848" s="77">
        <v>2</v>
      </c>
      <c r="T848" s="77">
        <v>0</v>
      </c>
      <c r="U848" s="77">
        <v>0</v>
      </c>
      <c r="V848" s="77">
        <v>376</v>
      </c>
      <c r="W848" s="80" t="s">
        <v>6503</v>
      </c>
      <c r="X848" s="83" t="str">
        <f>HYPERLINK("https://tinyurl.com/5by83uct")</f>
        <v>https://tinyurl.com/5by83uct</v>
      </c>
      <c r="Y848" s="77" t="s">
        <v>8670</v>
      </c>
      <c r="Z848" s="77"/>
      <c r="AA848" s="77" t="s">
        <v>9280</v>
      </c>
      <c r="AB848" s="77" t="s">
        <v>10535</v>
      </c>
      <c r="AC848" s="80" t="s">
        <v>10541</v>
      </c>
      <c r="AD848" s="77" t="s">
        <v>10617</v>
      </c>
      <c r="AE848" s="83" t="str">
        <f>HYPERLINK("https://twitter.com/passanacentral/status/1683846621241409537")</f>
        <v>https://twitter.com/passanacentral/status/1683846621241409537</v>
      </c>
      <c r="AF848" s="79">
        <v>45132.60292824074</v>
      </c>
      <c r="AG848" s="85">
        <v>45132</v>
      </c>
      <c r="AH848" s="80" t="s">
        <v>11381</v>
      </c>
      <c r="AI848" s="77" t="b">
        <v>0</v>
      </c>
      <c r="AJ848" s="77"/>
      <c r="AK848" s="77"/>
      <c r="AL848" s="77"/>
      <c r="AM848" s="77"/>
      <c r="AN848" s="77"/>
      <c r="AO848" s="77"/>
      <c r="AP848" s="77"/>
      <c r="AQ848" s="77" t="s">
        <v>14762</v>
      </c>
      <c r="AR848" s="77"/>
      <c r="AS848" s="77"/>
      <c r="AT848" s="77"/>
      <c r="AU848" s="77"/>
      <c r="AV848" s="83" t="str">
        <f>HYPERLINK("https://pbs.twimg.com/media/F145dtIWEAAoaTa.jpg")</f>
        <v>https://pbs.twimg.com/media/F145dtIWEAAoaTa.jpg</v>
      </c>
      <c r="AW848" s="80" t="s">
        <v>16779</v>
      </c>
      <c r="AX848" s="80" t="s">
        <v>16779</v>
      </c>
      <c r="AY848" s="77"/>
      <c r="AZ848" s="80" t="s">
        <v>20380</v>
      </c>
      <c r="BA848" s="80" t="s">
        <v>20380</v>
      </c>
      <c r="BB848" s="80" t="s">
        <v>20380</v>
      </c>
      <c r="BC848" s="80" t="s">
        <v>16779</v>
      </c>
      <c r="BD848" s="77">
        <v>150680335</v>
      </c>
      <c r="BE848" s="77"/>
      <c r="BF848" s="77"/>
      <c r="BG848" s="77"/>
      <c r="BH848" s="77"/>
      <c r="BI848" s="77"/>
    </row>
    <row r="849" spans="1:61" x14ac:dyDescent="0.25">
      <c r="A849" s="62" t="s">
        <v>536</v>
      </c>
      <c r="B849" s="62" t="s">
        <v>536</v>
      </c>
      <c r="C849" s="63"/>
      <c r="D849" s="64"/>
      <c r="E849" s="65"/>
      <c r="F849" s="66"/>
      <c r="G849" s="63"/>
      <c r="H849" s="67"/>
      <c r="I849" s="68"/>
      <c r="J849" s="68"/>
      <c r="K849" s="32"/>
      <c r="L849" s="75">
        <v>849</v>
      </c>
      <c r="M849" s="75"/>
      <c r="N849" s="70"/>
      <c r="O849" s="77" t="s">
        <v>179</v>
      </c>
      <c r="P849" s="79">
        <v>45141.794444444444</v>
      </c>
      <c r="Q849" s="77" t="s">
        <v>2821</v>
      </c>
      <c r="R849" s="77">
        <v>0</v>
      </c>
      <c r="S849" s="77">
        <v>0</v>
      </c>
      <c r="T849" s="77">
        <v>0</v>
      </c>
      <c r="U849" s="77">
        <v>0</v>
      </c>
      <c r="V849" s="77">
        <v>204</v>
      </c>
      <c r="W849" s="80" t="s">
        <v>6504</v>
      </c>
      <c r="X849" s="83" t="str">
        <f>HYPERLINK("https://tinyurl.com/3hfrm2wt")</f>
        <v>https://tinyurl.com/3hfrm2wt</v>
      </c>
      <c r="Y849" s="77" t="s">
        <v>8670</v>
      </c>
      <c r="Z849" s="77"/>
      <c r="AA849" s="77" t="s">
        <v>9281</v>
      </c>
      <c r="AB849" s="77" t="s">
        <v>10535</v>
      </c>
      <c r="AC849" s="80" t="s">
        <v>10541</v>
      </c>
      <c r="AD849" s="77" t="s">
        <v>10617</v>
      </c>
      <c r="AE849" s="83" t="str">
        <f>HYPERLINK("https://twitter.com/passanacentral/status/1687177517105332224")</f>
        <v>https://twitter.com/passanacentral/status/1687177517105332224</v>
      </c>
      <c r="AF849" s="79">
        <v>45141.794444444444</v>
      </c>
      <c r="AG849" s="85">
        <v>45141</v>
      </c>
      <c r="AH849" s="80" t="s">
        <v>11382</v>
      </c>
      <c r="AI849" s="77" t="b">
        <v>0</v>
      </c>
      <c r="AJ849" s="77"/>
      <c r="AK849" s="77"/>
      <c r="AL849" s="77"/>
      <c r="AM849" s="77"/>
      <c r="AN849" s="77"/>
      <c r="AO849" s="77"/>
      <c r="AP849" s="77"/>
      <c r="AQ849" s="77" t="s">
        <v>14763</v>
      </c>
      <c r="AR849" s="77"/>
      <c r="AS849" s="77"/>
      <c r="AT849" s="77"/>
      <c r="AU849" s="77"/>
      <c r="AV849" s="83" t="str">
        <f>HYPERLINK("https://pbs.twimg.com/media/F2oO3JCX0AEuenk.jpg")</f>
        <v>https://pbs.twimg.com/media/F2oO3JCX0AEuenk.jpg</v>
      </c>
      <c r="AW849" s="80" t="s">
        <v>16780</v>
      </c>
      <c r="AX849" s="80" t="s">
        <v>16780</v>
      </c>
      <c r="AY849" s="77"/>
      <c r="AZ849" s="80" t="s">
        <v>20380</v>
      </c>
      <c r="BA849" s="80" t="s">
        <v>20380</v>
      </c>
      <c r="BB849" s="80" t="s">
        <v>20380</v>
      </c>
      <c r="BC849" s="80" t="s">
        <v>16780</v>
      </c>
      <c r="BD849" s="77">
        <v>150680335</v>
      </c>
      <c r="BE849" s="77"/>
      <c r="BF849" s="77"/>
      <c r="BG849" s="77"/>
      <c r="BH849" s="77"/>
      <c r="BI849" s="77"/>
    </row>
    <row r="850" spans="1:61" x14ac:dyDescent="0.25">
      <c r="A850" s="62" t="s">
        <v>536</v>
      </c>
      <c r="B850" s="62" t="s">
        <v>536</v>
      </c>
      <c r="C850" s="63"/>
      <c r="D850" s="64"/>
      <c r="E850" s="65"/>
      <c r="F850" s="66"/>
      <c r="G850" s="63"/>
      <c r="H850" s="67"/>
      <c r="I850" s="68"/>
      <c r="J850" s="68"/>
      <c r="K850" s="32"/>
      <c r="L850" s="75">
        <v>850</v>
      </c>
      <c r="M850" s="75"/>
      <c r="N850" s="70"/>
      <c r="O850" s="77" t="s">
        <v>179</v>
      </c>
      <c r="P850" s="79">
        <v>45077.858090277776</v>
      </c>
      <c r="Q850" s="77" t="s">
        <v>2822</v>
      </c>
      <c r="R850" s="77">
        <v>0</v>
      </c>
      <c r="S850" s="77">
        <v>3</v>
      </c>
      <c r="T850" s="77">
        <v>0</v>
      </c>
      <c r="U850" s="77">
        <v>0</v>
      </c>
      <c r="V850" s="77">
        <v>295</v>
      </c>
      <c r="W850" s="80" t="s">
        <v>6505</v>
      </c>
      <c r="X850" s="83" t="str">
        <f>HYPERLINK("https://tinyurl.com/ycydb3h5")</f>
        <v>https://tinyurl.com/ycydb3h5</v>
      </c>
      <c r="Y850" s="77" t="s">
        <v>8670</v>
      </c>
      <c r="Z850" s="77"/>
      <c r="AA850" s="77" t="s">
        <v>9282</v>
      </c>
      <c r="AB850" s="77" t="s">
        <v>10535</v>
      </c>
      <c r="AC850" s="80" t="s">
        <v>10541</v>
      </c>
      <c r="AD850" s="77" t="s">
        <v>10617</v>
      </c>
      <c r="AE850" s="83" t="str">
        <f>HYPERLINK("https://twitter.com/passanacentral/status/1664007755164704768")</f>
        <v>https://twitter.com/passanacentral/status/1664007755164704768</v>
      </c>
      <c r="AF850" s="79">
        <v>45077.858090277776</v>
      </c>
      <c r="AG850" s="85">
        <v>45077</v>
      </c>
      <c r="AH850" s="80" t="s">
        <v>11383</v>
      </c>
      <c r="AI850" s="77" t="b">
        <v>0</v>
      </c>
      <c r="AJ850" s="77"/>
      <c r="AK850" s="77"/>
      <c r="AL850" s="77"/>
      <c r="AM850" s="77"/>
      <c r="AN850" s="77"/>
      <c r="AO850" s="77"/>
      <c r="AP850" s="77"/>
      <c r="AQ850" s="77" t="s">
        <v>14764</v>
      </c>
      <c r="AR850" s="77"/>
      <c r="AS850" s="77"/>
      <c r="AT850" s="77"/>
      <c r="AU850" s="77"/>
      <c r="AV850" s="83" t="str">
        <f>HYPERLINK("https://pbs.twimg.com/media/Fxe-KSXXwAI6QAZ.jpg")</f>
        <v>https://pbs.twimg.com/media/Fxe-KSXXwAI6QAZ.jpg</v>
      </c>
      <c r="AW850" s="80" t="s">
        <v>16781</v>
      </c>
      <c r="AX850" s="80" t="s">
        <v>16781</v>
      </c>
      <c r="AY850" s="77"/>
      <c r="AZ850" s="80" t="s">
        <v>20380</v>
      </c>
      <c r="BA850" s="80" t="s">
        <v>20380</v>
      </c>
      <c r="BB850" s="80" t="s">
        <v>20380</v>
      </c>
      <c r="BC850" s="80" t="s">
        <v>16781</v>
      </c>
      <c r="BD850" s="77">
        <v>150680335</v>
      </c>
      <c r="BE850" s="77"/>
      <c r="BF850" s="77"/>
      <c r="BG850" s="77"/>
      <c r="BH850" s="77"/>
      <c r="BI850" s="77"/>
    </row>
    <row r="851" spans="1:61" x14ac:dyDescent="0.25">
      <c r="A851" s="62" t="s">
        <v>536</v>
      </c>
      <c r="B851" s="62" t="s">
        <v>536</v>
      </c>
      <c r="C851" s="63"/>
      <c r="D851" s="64"/>
      <c r="E851" s="65"/>
      <c r="F851" s="66"/>
      <c r="G851" s="63"/>
      <c r="H851" s="67"/>
      <c r="I851" s="68"/>
      <c r="J851" s="68"/>
      <c r="K851" s="32"/>
      <c r="L851" s="75">
        <v>851</v>
      </c>
      <c r="M851" s="75"/>
      <c r="N851" s="70"/>
      <c r="O851" s="77" t="s">
        <v>179</v>
      </c>
      <c r="P851" s="79">
        <v>45156.999803240738</v>
      </c>
      <c r="Q851" s="77" t="s">
        <v>2823</v>
      </c>
      <c r="R851" s="77">
        <v>0</v>
      </c>
      <c r="S851" s="77">
        <v>2</v>
      </c>
      <c r="T851" s="77">
        <v>0</v>
      </c>
      <c r="U851" s="77">
        <v>0</v>
      </c>
      <c r="V851" s="77">
        <v>324</v>
      </c>
      <c r="W851" s="80" t="s">
        <v>6506</v>
      </c>
      <c r="X851" s="83" t="str">
        <f>HYPERLINK("https://tinyurl.com/ycksppn5")</f>
        <v>https://tinyurl.com/ycksppn5</v>
      </c>
      <c r="Y851" s="77" t="s">
        <v>8670</v>
      </c>
      <c r="Z851" s="77"/>
      <c r="AA851" s="77" t="s">
        <v>9283</v>
      </c>
      <c r="AB851" s="77" t="s">
        <v>10535</v>
      </c>
      <c r="AC851" s="80" t="s">
        <v>10541</v>
      </c>
      <c r="AD851" s="77" t="s">
        <v>10617</v>
      </c>
      <c r="AE851" s="83" t="str">
        <f>HYPERLINK("https://twitter.com/passanacentral/status/1692687754566488293")</f>
        <v>https://twitter.com/passanacentral/status/1692687754566488293</v>
      </c>
      <c r="AF851" s="79">
        <v>45156.999803240738</v>
      </c>
      <c r="AG851" s="85">
        <v>45156</v>
      </c>
      <c r="AH851" s="80" t="s">
        <v>11384</v>
      </c>
      <c r="AI851" s="77" t="b">
        <v>0</v>
      </c>
      <c r="AJ851" s="77"/>
      <c r="AK851" s="77"/>
      <c r="AL851" s="77"/>
      <c r="AM851" s="77"/>
      <c r="AN851" s="77"/>
      <c r="AO851" s="77"/>
      <c r="AP851" s="77"/>
      <c r="AQ851" s="77" t="s">
        <v>14765</v>
      </c>
      <c r="AR851" s="77"/>
      <c r="AS851" s="77"/>
      <c r="AT851" s="77"/>
      <c r="AU851" s="77"/>
      <c r="AV851" s="83" t="str">
        <f>HYPERLINK("https://pbs.twimg.com/media/F32ifVQWgAAQiVH.jpg")</f>
        <v>https://pbs.twimg.com/media/F32ifVQWgAAQiVH.jpg</v>
      </c>
      <c r="AW851" s="80" t="s">
        <v>16782</v>
      </c>
      <c r="AX851" s="80" t="s">
        <v>16782</v>
      </c>
      <c r="AY851" s="77"/>
      <c r="AZ851" s="80" t="s">
        <v>20380</v>
      </c>
      <c r="BA851" s="80" t="s">
        <v>20380</v>
      </c>
      <c r="BB851" s="80" t="s">
        <v>20380</v>
      </c>
      <c r="BC851" s="80" t="s">
        <v>16782</v>
      </c>
      <c r="BD851" s="77">
        <v>150680335</v>
      </c>
      <c r="BE851" s="77"/>
      <c r="BF851" s="77"/>
      <c r="BG851" s="77"/>
      <c r="BH851" s="77"/>
      <c r="BI851" s="77"/>
    </row>
    <row r="852" spans="1:61" x14ac:dyDescent="0.25">
      <c r="A852" s="62" t="s">
        <v>536</v>
      </c>
      <c r="B852" s="62" t="s">
        <v>536</v>
      </c>
      <c r="C852" s="63"/>
      <c r="D852" s="64"/>
      <c r="E852" s="65"/>
      <c r="F852" s="66"/>
      <c r="G852" s="63"/>
      <c r="H852" s="67"/>
      <c r="I852" s="68"/>
      <c r="J852" s="68"/>
      <c r="K852" s="32"/>
      <c r="L852" s="75">
        <v>852</v>
      </c>
      <c r="M852" s="75"/>
      <c r="N852" s="70"/>
      <c r="O852" s="77" t="s">
        <v>179</v>
      </c>
      <c r="P852" s="79">
        <v>45126.537974537037</v>
      </c>
      <c r="Q852" s="77" t="s">
        <v>2824</v>
      </c>
      <c r="R852" s="77">
        <v>0</v>
      </c>
      <c r="S852" s="77">
        <v>0</v>
      </c>
      <c r="T852" s="77">
        <v>0</v>
      </c>
      <c r="U852" s="77">
        <v>0</v>
      </c>
      <c r="V852" s="77">
        <v>237</v>
      </c>
      <c r="W852" s="80" t="s">
        <v>6504</v>
      </c>
      <c r="X852" s="83" t="str">
        <f>HYPERLINK("https://tinyurl.com/2r4fp3a7")</f>
        <v>https://tinyurl.com/2r4fp3a7</v>
      </c>
      <c r="Y852" s="77" t="s">
        <v>8670</v>
      </c>
      <c r="Z852" s="77"/>
      <c r="AA852" s="77" t="s">
        <v>9284</v>
      </c>
      <c r="AB852" s="77" t="s">
        <v>10535</v>
      </c>
      <c r="AC852" s="80" t="s">
        <v>10541</v>
      </c>
      <c r="AD852" s="77" t="s">
        <v>10617</v>
      </c>
      <c r="AE852" s="83" t="str">
        <f>HYPERLINK("https://twitter.com/passanacentral/status/1681648754900848640")</f>
        <v>https://twitter.com/passanacentral/status/1681648754900848640</v>
      </c>
      <c r="AF852" s="79">
        <v>45126.537974537037</v>
      </c>
      <c r="AG852" s="85">
        <v>45126</v>
      </c>
      <c r="AH852" s="80" t="s">
        <v>11385</v>
      </c>
      <c r="AI852" s="77" t="b">
        <v>0</v>
      </c>
      <c r="AJ852" s="77"/>
      <c r="AK852" s="77"/>
      <c r="AL852" s="77"/>
      <c r="AM852" s="77"/>
      <c r="AN852" s="77"/>
      <c r="AO852" s="77"/>
      <c r="AP852" s="77"/>
      <c r="AQ852" s="77" t="s">
        <v>14766</v>
      </c>
      <c r="AR852" s="77"/>
      <c r="AS852" s="77"/>
      <c r="AT852" s="77"/>
      <c r="AU852" s="77"/>
      <c r="AV852" s="83" t="str">
        <f>HYPERLINK("https://pbs.twimg.com/media/F1ZqesEXoAA0GNa.jpg")</f>
        <v>https://pbs.twimg.com/media/F1ZqesEXoAA0GNa.jpg</v>
      </c>
      <c r="AW852" s="80" t="s">
        <v>16783</v>
      </c>
      <c r="AX852" s="80" t="s">
        <v>16783</v>
      </c>
      <c r="AY852" s="77"/>
      <c r="AZ852" s="80" t="s">
        <v>20380</v>
      </c>
      <c r="BA852" s="80" t="s">
        <v>20380</v>
      </c>
      <c r="BB852" s="80" t="s">
        <v>20380</v>
      </c>
      <c r="BC852" s="80" t="s">
        <v>16783</v>
      </c>
      <c r="BD852" s="77">
        <v>150680335</v>
      </c>
      <c r="BE852" s="77"/>
      <c r="BF852" s="77"/>
      <c r="BG852" s="77"/>
      <c r="BH852" s="77"/>
      <c r="BI852" s="77"/>
    </row>
    <row r="853" spans="1:61" x14ac:dyDescent="0.25">
      <c r="A853" s="62" t="s">
        <v>536</v>
      </c>
      <c r="B853" s="62" t="s">
        <v>536</v>
      </c>
      <c r="C853" s="63"/>
      <c r="D853" s="64"/>
      <c r="E853" s="65"/>
      <c r="F853" s="66"/>
      <c r="G853" s="63"/>
      <c r="H853" s="67"/>
      <c r="I853" s="68"/>
      <c r="J853" s="68"/>
      <c r="K853" s="32"/>
      <c r="L853" s="75">
        <v>853</v>
      </c>
      <c r="M853" s="75"/>
      <c r="N853" s="70"/>
      <c r="O853" s="77" t="s">
        <v>179</v>
      </c>
      <c r="P853" s="79">
        <v>45079.554340277777</v>
      </c>
      <c r="Q853" s="77" t="s">
        <v>2825</v>
      </c>
      <c r="R853" s="77">
        <v>0</v>
      </c>
      <c r="S853" s="77">
        <v>3</v>
      </c>
      <c r="T853" s="77">
        <v>1</v>
      </c>
      <c r="U853" s="77">
        <v>0</v>
      </c>
      <c r="V853" s="77">
        <v>291</v>
      </c>
      <c r="W853" s="80" t="s">
        <v>6507</v>
      </c>
      <c r="X853" s="83" t="str">
        <f>HYPERLINK("https://tinyurl.com/mtncvrku")</f>
        <v>https://tinyurl.com/mtncvrku</v>
      </c>
      <c r="Y853" s="77" t="s">
        <v>8670</v>
      </c>
      <c r="Z853" s="77"/>
      <c r="AA853" s="77" t="s">
        <v>9285</v>
      </c>
      <c r="AB853" s="77" t="s">
        <v>10535</v>
      </c>
      <c r="AC853" s="80" t="s">
        <v>10541</v>
      </c>
      <c r="AD853" s="77" t="s">
        <v>10617</v>
      </c>
      <c r="AE853" s="83" t="str">
        <f>HYPERLINK("https://twitter.com/passanacentral/status/1664622455611072519")</f>
        <v>https://twitter.com/passanacentral/status/1664622455611072519</v>
      </c>
      <c r="AF853" s="79">
        <v>45079.554340277777</v>
      </c>
      <c r="AG853" s="85">
        <v>45079</v>
      </c>
      <c r="AH853" s="80" t="s">
        <v>11386</v>
      </c>
      <c r="AI853" s="77" t="b">
        <v>0</v>
      </c>
      <c r="AJ853" s="77"/>
      <c r="AK853" s="77"/>
      <c r="AL853" s="77"/>
      <c r="AM853" s="77"/>
      <c r="AN853" s="77"/>
      <c r="AO853" s="77"/>
      <c r="AP853" s="77"/>
      <c r="AQ853" s="77" t="s">
        <v>14767</v>
      </c>
      <c r="AR853" s="77"/>
      <c r="AS853" s="77"/>
      <c r="AT853" s="77"/>
      <c r="AU853" s="77"/>
      <c r="AV853" s="83" t="str">
        <f>HYPERLINK("https://pbs.twimg.com/media/FxntQafXsAMw4ks.png")</f>
        <v>https://pbs.twimg.com/media/FxntQafXsAMw4ks.png</v>
      </c>
      <c r="AW853" s="80" t="s">
        <v>16784</v>
      </c>
      <c r="AX853" s="80" t="s">
        <v>16784</v>
      </c>
      <c r="AY853" s="77"/>
      <c r="AZ853" s="80" t="s">
        <v>20380</v>
      </c>
      <c r="BA853" s="80" t="s">
        <v>20380</v>
      </c>
      <c r="BB853" s="80" t="s">
        <v>20380</v>
      </c>
      <c r="BC853" s="80" t="s">
        <v>16784</v>
      </c>
      <c r="BD853" s="77">
        <v>150680335</v>
      </c>
      <c r="BE853" s="77"/>
      <c r="BF853" s="77"/>
      <c r="BG853" s="77"/>
      <c r="BH853" s="77"/>
      <c r="BI853" s="77"/>
    </row>
    <row r="854" spans="1:61" x14ac:dyDescent="0.25">
      <c r="A854" s="62" t="s">
        <v>536</v>
      </c>
      <c r="B854" s="62" t="s">
        <v>536</v>
      </c>
      <c r="C854" s="63"/>
      <c r="D854" s="64"/>
      <c r="E854" s="65"/>
      <c r="F854" s="66"/>
      <c r="G854" s="63"/>
      <c r="H854" s="67"/>
      <c r="I854" s="68"/>
      <c r="J854" s="68"/>
      <c r="K854" s="32"/>
      <c r="L854" s="75">
        <v>854</v>
      </c>
      <c r="M854" s="75"/>
      <c r="N854" s="70"/>
      <c r="O854" s="77" t="s">
        <v>179</v>
      </c>
      <c r="P854" s="79">
        <v>45187.517592592594</v>
      </c>
      <c r="Q854" s="77" t="s">
        <v>2826</v>
      </c>
      <c r="R854" s="77">
        <v>0</v>
      </c>
      <c r="S854" s="77">
        <v>1</v>
      </c>
      <c r="T854" s="77">
        <v>0</v>
      </c>
      <c r="U854" s="77">
        <v>0</v>
      </c>
      <c r="V854" s="77">
        <v>193</v>
      </c>
      <c r="W854" s="80" t="s">
        <v>6508</v>
      </c>
      <c r="X854" s="83" t="str">
        <f>HYPERLINK("https://tinyurl.com/2kfker6a")</f>
        <v>https://tinyurl.com/2kfker6a</v>
      </c>
      <c r="Y854" s="77" t="s">
        <v>8670</v>
      </c>
      <c r="Z854" s="77"/>
      <c r="AA854" s="77" t="s">
        <v>9286</v>
      </c>
      <c r="AB854" s="77" t="s">
        <v>10535</v>
      </c>
      <c r="AC854" s="80" t="s">
        <v>10541</v>
      </c>
      <c r="AD854" s="77" t="s">
        <v>10617</v>
      </c>
      <c r="AE854" s="83" t="str">
        <f>HYPERLINK("https://twitter.com/passanacentral/status/1703747029699035139")</f>
        <v>https://twitter.com/passanacentral/status/1703747029699035139</v>
      </c>
      <c r="AF854" s="79">
        <v>45187.517592592594</v>
      </c>
      <c r="AG854" s="85">
        <v>45187</v>
      </c>
      <c r="AH854" s="80" t="s">
        <v>11387</v>
      </c>
      <c r="AI854" s="77" t="b">
        <v>0</v>
      </c>
      <c r="AJ854" s="77"/>
      <c r="AK854" s="77"/>
      <c r="AL854" s="77"/>
      <c r="AM854" s="77"/>
      <c r="AN854" s="77"/>
      <c r="AO854" s="77"/>
      <c r="AP854" s="77"/>
      <c r="AQ854" s="77" t="s">
        <v>14768</v>
      </c>
      <c r="AR854" s="77"/>
      <c r="AS854" s="77"/>
      <c r="AT854" s="77"/>
      <c r="AU854" s="77"/>
      <c r="AV854" s="83" t="str">
        <f>HYPERLINK("https://pbs.twimg.com/media/F6Ts0HJWgAAvdrQ.jpg")</f>
        <v>https://pbs.twimg.com/media/F6Ts0HJWgAAvdrQ.jpg</v>
      </c>
      <c r="AW854" s="80" t="s">
        <v>16785</v>
      </c>
      <c r="AX854" s="80" t="s">
        <v>16785</v>
      </c>
      <c r="AY854" s="77"/>
      <c r="AZ854" s="80" t="s">
        <v>20380</v>
      </c>
      <c r="BA854" s="80" t="s">
        <v>20380</v>
      </c>
      <c r="BB854" s="80" t="s">
        <v>20380</v>
      </c>
      <c r="BC854" s="80" t="s">
        <v>16785</v>
      </c>
      <c r="BD854" s="77">
        <v>150680335</v>
      </c>
      <c r="BE854" s="77"/>
      <c r="BF854" s="77"/>
      <c r="BG854" s="77"/>
      <c r="BH854" s="77"/>
      <c r="BI854" s="77"/>
    </row>
    <row r="855" spans="1:61" x14ac:dyDescent="0.25">
      <c r="A855" s="62" t="s">
        <v>536</v>
      </c>
      <c r="B855" s="62" t="s">
        <v>536</v>
      </c>
      <c r="C855" s="63"/>
      <c r="D855" s="64"/>
      <c r="E855" s="65"/>
      <c r="F855" s="66"/>
      <c r="G855" s="63"/>
      <c r="H855" s="67"/>
      <c r="I855" s="68"/>
      <c r="J855" s="68"/>
      <c r="K855" s="32"/>
      <c r="L855" s="75">
        <v>855</v>
      </c>
      <c r="M855" s="75"/>
      <c r="N855" s="70"/>
      <c r="O855" s="77" t="s">
        <v>179</v>
      </c>
      <c r="P855" s="79">
        <v>45111.885601851849</v>
      </c>
      <c r="Q855" s="77" t="s">
        <v>2827</v>
      </c>
      <c r="R855" s="77">
        <v>0</v>
      </c>
      <c r="S855" s="77">
        <v>1</v>
      </c>
      <c r="T855" s="77">
        <v>0</v>
      </c>
      <c r="U855" s="77">
        <v>0</v>
      </c>
      <c r="V855" s="77">
        <v>207</v>
      </c>
      <c r="W855" s="80" t="s">
        <v>6506</v>
      </c>
      <c r="X855" s="83" t="str">
        <f>HYPERLINK("https://tinyurl.com/2bs9haef")</f>
        <v>https://tinyurl.com/2bs9haef</v>
      </c>
      <c r="Y855" s="77" t="s">
        <v>8670</v>
      </c>
      <c r="Z855" s="77"/>
      <c r="AA855" s="77" t="s">
        <v>9287</v>
      </c>
      <c r="AB855" s="77" t="s">
        <v>10535</v>
      </c>
      <c r="AC855" s="80" t="s">
        <v>10541</v>
      </c>
      <c r="AD855" s="77" t="s">
        <v>10617</v>
      </c>
      <c r="AE855" s="83" t="str">
        <f>HYPERLINK("https://twitter.com/passanacentral/status/1676338912715833344")</f>
        <v>https://twitter.com/passanacentral/status/1676338912715833344</v>
      </c>
      <c r="AF855" s="79">
        <v>45111.885601851849</v>
      </c>
      <c r="AG855" s="85">
        <v>45111</v>
      </c>
      <c r="AH855" s="80" t="s">
        <v>11388</v>
      </c>
      <c r="AI855" s="77" t="b">
        <v>0</v>
      </c>
      <c r="AJ855" s="77"/>
      <c r="AK855" s="77"/>
      <c r="AL855" s="77"/>
      <c r="AM855" s="77"/>
      <c r="AN855" s="77"/>
      <c r="AO855" s="77"/>
      <c r="AP855" s="77"/>
      <c r="AQ855" s="77" t="s">
        <v>14769</v>
      </c>
      <c r="AR855" s="77"/>
      <c r="AS855" s="77"/>
      <c r="AT855" s="77"/>
      <c r="AU855" s="77"/>
      <c r="AV855" s="83" t="str">
        <f>HYPERLINK("https://pbs.twimg.com/media/F0ONULlWIAc0Y_1.jpg")</f>
        <v>https://pbs.twimg.com/media/F0ONULlWIAc0Y_1.jpg</v>
      </c>
      <c r="AW855" s="80" t="s">
        <v>16786</v>
      </c>
      <c r="AX855" s="80" t="s">
        <v>16786</v>
      </c>
      <c r="AY855" s="77"/>
      <c r="AZ855" s="80" t="s">
        <v>20380</v>
      </c>
      <c r="BA855" s="80" t="s">
        <v>20380</v>
      </c>
      <c r="BB855" s="80" t="s">
        <v>20380</v>
      </c>
      <c r="BC855" s="80" t="s">
        <v>16786</v>
      </c>
      <c r="BD855" s="77">
        <v>150680335</v>
      </c>
      <c r="BE855" s="77"/>
      <c r="BF855" s="77"/>
      <c r="BG855" s="77"/>
      <c r="BH855" s="77"/>
      <c r="BI855" s="77"/>
    </row>
    <row r="856" spans="1:61" x14ac:dyDescent="0.25">
      <c r="A856" s="62" t="s">
        <v>537</v>
      </c>
      <c r="B856" s="62" t="s">
        <v>537</v>
      </c>
      <c r="C856" s="63"/>
      <c r="D856" s="64"/>
      <c r="E856" s="65"/>
      <c r="F856" s="66"/>
      <c r="G856" s="63"/>
      <c r="H856" s="67"/>
      <c r="I856" s="68"/>
      <c r="J856" s="68"/>
      <c r="K856" s="32"/>
      <c r="L856" s="75">
        <v>856</v>
      </c>
      <c r="M856" s="75"/>
      <c r="N856" s="70"/>
      <c r="O856" s="77" t="s">
        <v>179</v>
      </c>
      <c r="P856" s="79">
        <v>45158.852395833332</v>
      </c>
      <c r="Q856" s="77" t="s">
        <v>2828</v>
      </c>
      <c r="R856" s="77">
        <v>1</v>
      </c>
      <c r="S856" s="77">
        <v>0</v>
      </c>
      <c r="T856" s="77">
        <v>0</v>
      </c>
      <c r="U856" s="77">
        <v>0</v>
      </c>
      <c r="V856" s="77">
        <v>505</v>
      </c>
      <c r="W856" s="80" t="s">
        <v>6509</v>
      </c>
      <c r="X856" s="77"/>
      <c r="Y856" s="77"/>
      <c r="Z856" s="77"/>
      <c r="AA856" s="77" t="s">
        <v>9288</v>
      </c>
      <c r="AB856" s="77" t="s">
        <v>10534</v>
      </c>
      <c r="AC856" s="80" t="s">
        <v>10541</v>
      </c>
      <c r="AD856" s="77" t="s">
        <v>10620</v>
      </c>
      <c r="AE856" s="83" t="str">
        <f>HYPERLINK("https://twitter.com/noticiasdel6/status/1693359109767098482")</f>
        <v>https://twitter.com/noticiasdel6/status/1693359109767098482</v>
      </c>
      <c r="AF856" s="79">
        <v>45158.852395833332</v>
      </c>
      <c r="AG856" s="85">
        <v>45158</v>
      </c>
      <c r="AH856" s="80" t="s">
        <v>11389</v>
      </c>
      <c r="AI856" s="77" t="b">
        <v>0</v>
      </c>
      <c r="AJ856" s="77"/>
      <c r="AK856" s="77"/>
      <c r="AL856" s="77"/>
      <c r="AM856" s="77"/>
      <c r="AN856" s="77"/>
      <c r="AO856" s="77"/>
      <c r="AP856" s="77"/>
      <c r="AQ856" s="77" t="s">
        <v>14770</v>
      </c>
      <c r="AR856" s="77">
        <v>89500</v>
      </c>
      <c r="AS856" s="77"/>
      <c r="AT856" s="77"/>
      <c r="AU856" s="77"/>
      <c r="AV856" s="83" t="str">
        <f>HYPERLINK("https://pbs.twimg.com/ext_tw_video_thumb/1693358983216594944/pu/img/96fv5sA64_WbIAvS.jpg")</f>
        <v>https://pbs.twimg.com/ext_tw_video_thumb/1693358983216594944/pu/img/96fv5sA64_WbIAvS.jpg</v>
      </c>
      <c r="AW856" s="80" t="s">
        <v>16787</v>
      </c>
      <c r="AX856" s="80" t="s">
        <v>16787</v>
      </c>
      <c r="AY856" s="77"/>
      <c r="AZ856" s="80" t="s">
        <v>20380</v>
      </c>
      <c r="BA856" s="80" t="s">
        <v>20380</v>
      </c>
      <c r="BB856" s="80" t="s">
        <v>20380</v>
      </c>
      <c r="BC856" s="80" t="s">
        <v>16787</v>
      </c>
      <c r="BD856" s="77">
        <v>140065192</v>
      </c>
      <c r="BE856" s="77"/>
      <c r="BF856" s="77"/>
      <c r="BG856" s="77"/>
      <c r="BH856" s="77"/>
      <c r="BI856" s="77"/>
    </row>
    <row r="857" spans="1:61" x14ac:dyDescent="0.25">
      <c r="A857" s="62" t="s">
        <v>537</v>
      </c>
      <c r="B857" s="62" t="s">
        <v>537</v>
      </c>
      <c r="C857" s="63"/>
      <c r="D857" s="64"/>
      <c r="E857" s="65"/>
      <c r="F857" s="66"/>
      <c r="G857" s="63"/>
      <c r="H857" s="67"/>
      <c r="I857" s="68"/>
      <c r="J857" s="68"/>
      <c r="K857" s="32"/>
      <c r="L857" s="75">
        <v>857</v>
      </c>
      <c r="M857" s="75"/>
      <c r="N857" s="70"/>
      <c r="O857" s="77" t="s">
        <v>179</v>
      </c>
      <c r="P857" s="79">
        <v>45158.711365740739</v>
      </c>
      <c r="Q857" s="77" t="s">
        <v>2829</v>
      </c>
      <c r="R857" s="77">
        <v>0</v>
      </c>
      <c r="S857" s="77">
        <v>0</v>
      </c>
      <c r="T857" s="77">
        <v>1</v>
      </c>
      <c r="U857" s="77">
        <v>0</v>
      </c>
      <c r="V857" s="77">
        <v>464</v>
      </c>
      <c r="W857" s="80" t="s">
        <v>6510</v>
      </c>
      <c r="X857" s="77"/>
      <c r="Y857" s="77"/>
      <c r="Z857" s="77"/>
      <c r="AA857" s="77" t="s">
        <v>9289</v>
      </c>
      <c r="AB857" s="77" t="s">
        <v>10534</v>
      </c>
      <c r="AC857" s="80" t="s">
        <v>10541</v>
      </c>
      <c r="AD857" s="77" t="s">
        <v>10620</v>
      </c>
      <c r="AE857" s="83" t="str">
        <f>HYPERLINK("https://twitter.com/noticiasdel6/status/1693308003393368155")</f>
        <v>https://twitter.com/noticiasdel6/status/1693308003393368155</v>
      </c>
      <c r="AF857" s="79">
        <v>45158.711365740739</v>
      </c>
      <c r="AG857" s="85">
        <v>45158</v>
      </c>
      <c r="AH857" s="80" t="s">
        <v>11390</v>
      </c>
      <c r="AI857" s="77" t="b">
        <v>0</v>
      </c>
      <c r="AJ857" s="77"/>
      <c r="AK857" s="77"/>
      <c r="AL857" s="77"/>
      <c r="AM857" s="77"/>
      <c r="AN857" s="77"/>
      <c r="AO857" s="77"/>
      <c r="AP857" s="77"/>
      <c r="AQ857" s="77" t="s">
        <v>14771</v>
      </c>
      <c r="AR857" s="77">
        <v>135803</v>
      </c>
      <c r="AS857" s="77"/>
      <c r="AT857" s="77"/>
      <c r="AU857" s="77"/>
      <c r="AV857" s="83" t="str">
        <f>HYPERLINK("https://pbs.twimg.com/ext_tw_video_thumb/1693307907381604352/pu/img/i8F-bvkPxwiioOIy.jpg")</f>
        <v>https://pbs.twimg.com/ext_tw_video_thumb/1693307907381604352/pu/img/i8F-bvkPxwiioOIy.jpg</v>
      </c>
      <c r="AW857" s="80" t="s">
        <v>16788</v>
      </c>
      <c r="AX857" s="80" t="s">
        <v>16788</v>
      </c>
      <c r="AY857" s="77"/>
      <c r="AZ857" s="80" t="s">
        <v>20380</v>
      </c>
      <c r="BA857" s="80" t="s">
        <v>20380</v>
      </c>
      <c r="BB857" s="80" t="s">
        <v>20380</v>
      </c>
      <c r="BC857" s="80" t="s">
        <v>16788</v>
      </c>
      <c r="BD857" s="77">
        <v>140065192</v>
      </c>
      <c r="BE857" s="77"/>
      <c r="BF857" s="77"/>
      <c r="BG857" s="77"/>
      <c r="BH857" s="77"/>
      <c r="BI857" s="77"/>
    </row>
    <row r="858" spans="1:61" x14ac:dyDescent="0.25">
      <c r="A858" s="62" t="s">
        <v>538</v>
      </c>
      <c r="B858" s="62" t="s">
        <v>1797</v>
      </c>
      <c r="C858" s="63"/>
      <c r="D858" s="64"/>
      <c r="E858" s="65"/>
      <c r="F858" s="66"/>
      <c r="G858" s="63"/>
      <c r="H858" s="67"/>
      <c r="I858" s="68"/>
      <c r="J858" s="68"/>
      <c r="K858" s="32"/>
      <c r="L858" s="75">
        <v>858</v>
      </c>
      <c r="M858" s="75"/>
      <c r="N858" s="70"/>
      <c r="O858" s="77" t="s">
        <v>2078</v>
      </c>
      <c r="P858" s="79">
        <v>45196.920601851853</v>
      </c>
      <c r="Q858" s="77" t="s">
        <v>2830</v>
      </c>
      <c r="R858" s="77">
        <v>0</v>
      </c>
      <c r="S858" s="77">
        <v>1</v>
      </c>
      <c r="T858" s="77">
        <v>0</v>
      </c>
      <c r="U858" s="77">
        <v>0</v>
      </c>
      <c r="V858" s="77">
        <v>38</v>
      </c>
      <c r="W858" s="80" t="s">
        <v>5884</v>
      </c>
      <c r="X858" s="77"/>
      <c r="Y858" s="77"/>
      <c r="Z858" s="77" t="s">
        <v>1797</v>
      </c>
      <c r="AA858" s="77"/>
      <c r="AB858" s="77"/>
      <c r="AC858" s="80" t="s">
        <v>10541</v>
      </c>
      <c r="AD858" s="77" t="s">
        <v>10620</v>
      </c>
      <c r="AE858" s="83" t="str">
        <f>HYPERLINK("https://twitter.com/hadrianus_63/status/1707154564774760718")</f>
        <v>https://twitter.com/hadrianus_63/status/1707154564774760718</v>
      </c>
      <c r="AF858" s="79">
        <v>45196.920601851853</v>
      </c>
      <c r="AG858" s="85">
        <v>45196</v>
      </c>
      <c r="AH858" s="80" t="s">
        <v>11391</v>
      </c>
      <c r="AI858" s="77"/>
      <c r="AJ858" s="77"/>
      <c r="AK858" s="77"/>
      <c r="AL858" s="77"/>
      <c r="AM858" s="77"/>
      <c r="AN858" s="77"/>
      <c r="AO858" s="77"/>
      <c r="AP858" s="77"/>
      <c r="AQ858" s="77"/>
      <c r="AR858" s="77"/>
      <c r="AS858" s="77"/>
      <c r="AT858" s="77"/>
      <c r="AU858" s="77"/>
      <c r="AV858" s="83" t="str">
        <f>HYPERLINK("https://pbs.twimg.com/profile_images/1698707669324865536/LaFA3ty7_normal.jpg")</f>
        <v>https://pbs.twimg.com/profile_images/1698707669324865536/LaFA3ty7_normal.jpg</v>
      </c>
      <c r="AW858" s="80" t="s">
        <v>16789</v>
      </c>
      <c r="AX858" s="80" t="s">
        <v>19998</v>
      </c>
      <c r="AY858" s="80" t="s">
        <v>20252</v>
      </c>
      <c r="AZ858" s="80" t="s">
        <v>19998</v>
      </c>
      <c r="BA858" s="80" t="s">
        <v>20380</v>
      </c>
      <c r="BB858" s="80" t="s">
        <v>20380</v>
      </c>
      <c r="BC858" s="80" t="s">
        <v>19998</v>
      </c>
      <c r="BD858" s="77">
        <v>44778941</v>
      </c>
      <c r="BE858" s="77"/>
      <c r="BF858" s="77"/>
      <c r="BG858" s="77"/>
      <c r="BH858" s="77"/>
      <c r="BI858" s="77"/>
    </row>
    <row r="859" spans="1:61" x14ac:dyDescent="0.25">
      <c r="A859" s="62" t="s">
        <v>538</v>
      </c>
      <c r="B859" s="62" t="s">
        <v>538</v>
      </c>
      <c r="C859" s="63"/>
      <c r="D859" s="64"/>
      <c r="E859" s="65"/>
      <c r="F859" s="66"/>
      <c r="G859" s="63"/>
      <c r="H859" s="67"/>
      <c r="I859" s="68"/>
      <c r="J859" s="68"/>
      <c r="K859" s="32"/>
      <c r="L859" s="75">
        <v>859</v>
      </c>
      <c r="M859" s="75"/>
      <c r="N859" s="70"/>
      <c r="O859" s="77" t="s">
        <v>179</v>
      </c>
      <c r="P859" s="79">
        <v>45173.774421296293</v>
      </c>
      <c r="Q859" s="77" t="s">
        <v>2831</v>
      </c>
      <c r="R859" s="77">
        <v>0</v>
      </c>
      <c r="S859" s="77">
        <v>0</v>
      </c>
      <c r="T859" s="77">
        <v>0</v>
      </c>
      <c r="U859" s="77">
        <v>1</v>
      </c>
      <c r="V859" s="77">
        <v>393</v>
      </c>
      <c r="W859" s="80" t="s">
        <v>5884</v>
      </c>
      <c r="X859" s="77"/>
      <c r="Y859" s="77"/>
      <c r="Z859" s="77"/>
      <c r="AA859" s="77"/>
      <c r="AB859" s="77"/>
      <c r="AC859" s="80" t="s">
        <v>10541</v>
      </c>
      <c r="AD859" s="77" t="s">
        <v>10620</v>
      </c>
      <c r="AE859" s="83" t="str">
        <f>HYPERLINK("https://twitter.com/hadrianus_63/status/1698766669395509603")</f>
        <v>https://twitter.com/hadrianus_63/status/1698766669395509603</v>
      </c>
      <c r="AF859" s="79">
        <v>45173.774421296293</v>
      </c>
      <c r="AG859" s="85">
        <v>45173</v>
      </c>
      <c r="AH859" s="80" t="s">
        <v>11392</v>
      </c>
      <c r="AI859" s="77"/>
      <c r="AJ859" s="77"/>
      <c r="AK859" s="77"/>
      <c r="AL859" s="77"/>
      <c r="AM859" s="77"/>
      <c r="AN859" s="77"/>
      <c r="AO859" s="77"/>
      <c r="AP859" s="77"/>
      <c r="AQ859" s="77"/>
      <c r="AR859" s="77"/>
      <c r="AS859" s="77"/>
      <c r="AT859" s="77"/>
      <c r="AU859" s="77"/>
      <c r="AV859" s="83" t="str">
        <f>HYPERLINK("https://pbs.twimg.com/profile_images/1698707669324865536/LaFA3ty7_normal.jpg")</f>
        <v>https://pbs.twimg.com/profile_images/1698707669324865536/LaFA3ty7_normal.jpg</v>
      </c>
      <c r="AW859" s="80" t="s">
        <v>16790</v>
      </c>
      <c r="AX859" s="80" t="s">
        <v>16790</v>
      </c>
      <c r="AY859" s="77"/>
      <c r="AZ859" s="80" t="s">
        <v>20380</v>
      </c>
      <c r="BA859" s="80" t="s">
        <v>20380</v>
      </c>
      <c r="BB859" s="80" t="s">
        <v>20380</v>
      </c>
      <c r="BC859" s="80" t="s">
        <v>16790</v>
      </c>
      <c r="BD859" s="77">
        <v>44778941</v>
      </c>
      <c r="BE859" s="77"/>
      <c r="BF859" s="77"/>
      <c r="BG859" s="77"/>
      <c r="BH859" s="77"/>
      <c r="BI859" s="77"/>
    </row>
    <row r="860" spans="1:61" x14ac:dyDescent="0.25">
      <c r="A860" s="62" t="s">
        <v>538</v>
      </c>
      <c r="B860" s="62" t="s">
        <v>538</v>
      </c>
      <c r="C860" s="63"/>
      <c r="D860" s="64"/>
      <c r="E860" s="65"/>
      <c r="F860" s="66"/>
      <c r="G860" s="63"/>
      <c r="H860" s="67"/>
      <c r="I860" s="68"/>
      <c r="J860" s="68"/>
      <c r="K860" s="32"/>
      <c r="L860" s="75">
        <v>860</v>
      </c>
      <c r="M860" s="75"/>
      <c r="N860" s="70"/>
      <c r="O860" s="77" t="s">
        <v>179</v>
      </c>
      <c r="P860" s="79">
        <v>45174.731608796297</v>
      </c>
      <c r="Q860" s="77" t="s">
        <v>2832</v>
      </c>
      <c r="R860" s="77">
        <v>0</v>
      </c>
      <c r="S860" s="77">
        <v>0</v>
      </c>
      <c r="T860" s="77">
        <v>0</v>
      </c>
      <c r="U860" s="77">
        <v>0</v>
      </c>
      <c r="V860" s="77">
        <v>17</v>
      </c>
      <c r="W860" s="80" t="s">
        <v>5884</v>
      </c>
      <c r="X860" s="77"/>
      <c r="Y860" s="77"/>
      <c r="Z860" s="77"/>
      <c r="AA860" s="77"/>
      <c r="AB860" s="77"/>
      <c r="AC860" s="80" t="s">
        <v>10541</v>
      </c>
      <c r="AD860" s="77" t="s">
        <v>10620</v>
      </c>
      <c r="AE860" s="83" t="str">
        <f>HYPERLINK("https://twitter.com/hadrianus_63/status/1699113544522817818")</f>
        <v>https://twitter.com/hadrianus_63/status/1699113544522817818</v>
      </c>
      <c r="AF860" s="79">
        <v>45174.731608796297</v>
      </c>
      <c r="AG860" s="85">
        <v>45174</v>
      </c>
      <c r="AH860" s="80" t="s">
        <v>11393</v>
      </c>
      <c r="AI860" s="77"/>
      <c r="AJ860" s="77"/>
      <c r="AK860" s="77"/>
      <c r="AL860" s="77"/>
      <c r="AM860" s="77"/>
      <c r="AN860" s="77"/>
      <c r="AO860" s="77"/>
      <c r="AP860" s="77"/>
      <c r="AQ860" s="77"/>
      <c r="AR860" s="77"/>
      <c r="AS860" s="77"/>
      <c r="AT860" s="77"/>
      <c r="AU860" s="77"/>
      <c r="AV860" s="83" t="str">
        <f>HYPERLINK("https://pbs.twimg.com/profile_images/1698707669324865536/LaFA3ty7_normal.jpg")</f>
        <v>https://pbs.twimg.com/profile_images/1698707669324865536/LaFA3ty7_normal.jpg</v>
      </c>
      <c r="AW860" s="80" t="s">
        <v>16791</v>
      </c>
      <c r="AX860" s="80" t="s">
        <v>16791</v>
      </c>
      <c r="AY860" s="77"/>
      <c r="AZ860" s="80" t="s">
        <v>20380</v>
      </c>
      <c r="BA860" s="80" t="s">
        <v>20380</v>
      </c>
      <c r="BB860" s="80" t="s">
        <v>20380</v>
      </c>
      <c r="BC860" s="80" t="s">
        <v>16791</v>
      </c>
      <c r="BD860" s="77">
        <v>44778941</v>
      </c>
      <c r="BE860" s="77"/>
      <c r="BF860" s="77"/>
      <c r="BG860" s="77"/>
      <c r="BH860" s="77"/>
      <c r="BI860" s="77"/>
    </row>
    <row r="861" spans="1:61" x14ac:dyDescent="0.25">
      <c r="A861" s="62" t="s">
        <v>539</v>
      </c>
      <c r="B861" s="62" t="s">
        <v>539</v>
      </c>
      <c r="C861" s="63"/>
      <c r="D861" s="64"/>
      <c r="E861" s="65"/>
      <c r="F861" s="66"/>
      <c r="G861" s="63"/>
      <c r="H861" s="67"/>
      <c r="I861" s="68"/>
      <c r="J861" s="68"/>
      <c r="K861" s="32"/>
      <c r="L861" s="75">
        <v>861</v>
      </c>
      <c r="M861" s="75"/>
      <c r="N861" s="70"/>
      <c r="O861" s="77" t="s">
        <v>179</v>
      </c>
      <c r="P861" s="79">
        <v>45145.593819444446</v>
      </c>
      <c r="Q861" s="77" t="s">
        <v>2833</v>
      </c>
      <c r="R861" s="77">
        <v>5</v>
      </c>
      <c r="S861" s="77">
        <v>5</v>
      </c>
      <c r="T861" s="77">
        <v>0</v>
      </c>
      <c r="U861" s="77">
        <v>0</v>
      </c>
      <c r="V861" s="77">
        <v>926</v>
      </c>
      <c r="W861" s="80" t="s">
        <v>6511</v>
      </c>
      <c r="X861" s="77"/>
      <c r="Y861" s="77"/>
      <c r="Z861" s="77"/>
      <c r="AA861" s="77" t="s">
        <v>9290</v>
      </c>
      <c r="AB861" s="77" t="s">
        <v>10535</v>
      </c>
      <c r="AC861" s="80" t="s">
        <v>10541</v>
      </c>
      <c r="AD861" s="77" t="s">
        <v>10617</v>
      </c>
      <c r="AE861" s="83" t="str">
        <f>HYPERLINK("https://twitter.com/agenciaestado/status/1688554361897537536")</f>
        <v>https://twitter.com/agenciaestado/status/1688554361897537536</v>
      </c>
      <c r="AF861" s="79">
        <v>45145.593819444446</v>
      </c>
      <c r="AG861" s="85">
        <v>45145</v>
      </c>
      <c r="AH861" s="80" t="s">
        <v>11394</v>
      </c>
      <c r="AI861" s="77" t="b">
        <v>0</v>
      </c>
      <c r="AJ861" s="77"/>
      <c r="AK861" s="77"/>
      <c r="AL861" s="77"/>
      <c r="AM861" s="77"/>
      <c r="AN861" s="77"/>
      <c r="AO861" s="77"/>
      <c r="AP861" s="77"/>
      <c r="AQ861" s="77" t="s">
        <v>14772</v>
      </c>
      <c r="AR861" s="77"/>
      <c r="AS861" s="77"/>
      <c r="AT861" s="77"/>
      <c r="AU861" s="77"/>
      <c r="AV861" s="83" t="str">
        <f>HYPERLINK("https://pbs.twimg.com/media/F27zPBTWUAARHoe.jpg")</f>
        <v>https://pbs.twimg.com/media/F27zPBTWUAARHoe.jpg</v>
      </c>
      <c r="AW861" s="80" t="s">
        <v>16792</v>
      </c>
      <c r="AX861" s="80" t="s">
        <v>16792</v>
      </c>
      <c r="AY861" s="77"/>
      <c r="AZ861" s="80" t="s">
        <v>20380</v>
      </c>
      <c r="BA861" s="80" t="s">
        <v>20380</v>
      </c>
      <c r="BB861" s="80" t="s">
        <v>20380</v>
      </c>
      <c r="BC861" s="80" t="s">
        <v>16792</v>
      </c>
      <c r="BD861" s="77">
        <v>75289487</v>
      </c>
      <c r="BE861" s="77"/>
      <c r="BF861" s="77"/>
      <c r="BG861" s="77"/>
      <c r="BH861" s="77"/>
      <c r="BI861" s="77"/>
    </row>
    <row r="862" spans="1:61" x14ac:dyDescent="0.25">
      <c r="A862" s="62" t="s">
        <v>539</v>
      </c>
      <c r="B862" s="62" t="s">
        <v>539</v>
      </c>
      <c r="C862" s="63"/>
      <c r="D862" s="64"/>
      <c r="E862" s="65"/>
      <c r="F862" s="66"/>
      <c r="G862" s="63"/>
      <c r="H862" s="67"/>
      <c r="I862" s="68"/>
      <c r="J862" s="68"/>
      <c r="K862" s="32"/>
      <c r="L862" s="75">
        <v>862</v>
      </c>
      <c r="M862" s="75"/>
      <c r="N862" s="70"/>
      <c r="O862" s="77" t="s">
        <v>179</v>
      </c>
      <c r="P862" s="79">
        <v>45167.782384259262</v>
      </c>
      <c r="Q862" s="77" t="s">
        <v>2834</v>
      </c>
      <c r="R862" s="77">
        <v>0</v>
      </c>
      <c r="S862" s="77">
        <v>3</v>
      </c>
      <c r="T862" s="77">
        <v>1</v>
      </c>
      <c r="U862" s="77">
        <v>0</v>
      </c>
      <c r="V862" s="77">
        <v>666</v>
      </c>
      <c r="W862" s="80" t="s">
        <v>6512</v>
      </c>
      <c r="X862" s="83" t="str">
        <f>HYPERLINK("https://bit.ly/3L1OIbV")</f>
        <v>https://bit.ly/3L1OIbV</v>
      </c>
      <c r="Y862" s="77" t="s">
        <v>8618</v>
      </c>
      <c r="Z862" s="77"/>
      <c r="AA862" s="77" t="s">
        <v>9291</v>
      </c>
      <c r="AB862" s="77" t="s">
        <v>10535</v>
      </c>
      <c r="AC862" s="80" t="s">
        <v>10541</v>
      </c>
      <c r="AD862" s="77" t="s">
        <v>10617</v>
      </c>
      <c r="AE862" s="83" t="str">
        <f>HYPERLINK("https://twitter.com/agenciaestado/status/1696595229481087404")</f>
        <v>https://twitter.com/agenciaestado/status/1696595229481087404</v>
      </c>
      <c r="AF862" s="79">
        <v>45167.782384259262</v>
      </c>
      <c r="AG862" s="85">
        <v>45167</v>
      </c>
      <c r="AH862" s="80" t="s">
        <v>11395</v>
      </c>
      <c r="AI862" s="77" t="b">
        <v>0</v>
      </c>
      <c r="AJ862" s="77"/>
      <c r="AK862" s="77"/>
      <c r="AL862" s="77"/>
      <c r="AM862" s="77"/>
      <c r="AN862" s="77"/>
      <c r="AO862" s="77"/>
      <c r="AP862" s="77"/>
      <c r="AQ862" s="77" t="s">
        <v>14773</v>
      </c>
      <c r="AR862" s="77"/>
      <c r="AS862" s="77"/>
      <c r="AT862" s="77"/>
      <c r="AU862" s="77"/>
      <c r="AV862" s="83" t="str">
        <f>HYPERLINK("https://pbs.twimg.com/media/F4uER59WgAAberq.jpg")</f>
        <v>https://pbs.twimg.com/media/F4uER59WgAAberq.jpg</v>
      </c>
      <c r="AW862" s="80" t="s">
        <v>16793</v>
      </c>
      <c r="AX862" s="80" t="s">
        <v>16793</v>
      </c>
      <c r="AY862" s="77"/>
      <c r="AZ862" s="80" t="s">
        <v>20380</v>
      </c>
      <c r="BA862" s="80" t="s">
        <v>20380</v>
      </c>
      <c r="BB862" s="80" t="s">
        <v>20380</v>
      </c>
      <c r="BC862" s="80" t="s">
        <v>16793</v>
      </c>
      <c r="BD862" s="77">
        <v>75289487</v>
      </c>
      <c r="BE862" s="77"/>
      <c r="BF862" s="77"/>
      <c r="BG862" s="77"/>
      <c r="BH862" s="77"/>
      <c r="BI862" s="77"/>
    </row>
    <row r="863" spans="1:61" x14ac:dyDescent="0.25">
      <c r="A863" s="62" t="s">
        <v>539</v>
      </c>
      <c r="B863" s="62" t="s">
        <v>539</v>
      </c>
      <c r="C863" s="63"/>
      <c r="D863" s="64"/>
      <c r="E863" s="65"/>
      <c r="F863" s="66"/>
      <c r="G863" s="63"/>
      <c r="H863" s="67"/>
      <c r="I863" s="68"/>
      <c r="J863" s="68"/>
      <c r="K863" s="32"/>
      <c r="L863" s="75">
        <v>863</v>
      </c>
      <c r="M863" s="75"/>
      <c r="N863" s="70"/>
      <c r="O863" s="77" t="s">
        <v>179</v>
      </c>
      <c r="P863" s="79">
        <v>45187.55777777778</v>
      </c>
      <c r="Q863" s="77" t="s">
        <v>2835</v>
      </c>
      <c r="R863" s="77">
        <v>4</v>
      </c>
      <c r="S863" s="77">
        <v>3</v>
      </c>
      <c r="T863" s="77">
        <v>0</v>
      </c>
      <c r="U863" s="77">
        <v>0</v>
      </c>
      <c r="V863" s="77">
        <v>1212</v>
      </c>
      <c r="W863" s="80" t="s">
        <v>6511</v>
      </c>
      <c r="X863" s="77"/>
      <c r="Y863" s="77"/>
      <c r="Z863" s="77"/>
      <c r="AA863" s="77" t="s">
        <v>9292</v>
      </c>
      <c r="AB863" s="77" t="s">
        <v>10535</v>
      </c>
      <c r="AC863" s="80" t="s">
        <v>10541</v>
      </c>
      <c r="AD863" s="77" t="s">
        <v>10617</v>
      </c>
      <c r="AE863" s="83" t="str">
        <f>HYPERLINK("https://twitter.com/agenciaestado/status/1703761591274004528")</f>
        <v>https://twitter.com/agenciaestado/status/1703761591274004528</v>
      </c>
      <c r="AF863" s="79">
        <v>45187.55777777778</v>
      </c>
      <c r="AG863" s="85">
        <v>45187</v>
      </c>
      <c r="AH863" s="80" t="s">
        <v>11396</v>
      </c>
      <c r="AI863" s="77" t="b">
        <v>0</v>
      </c>
      <c r="AJ863" s="77"/>
      <c r="AK863" s="77"/>
      <c r="AL863" s="77"/>
      <c r="AM863" s="77"/>
      <c r="AN863" s="77"/>
      <c r="AO863" s="77"/>
      <c r="AP863" s="77"/>
      <c r="AQ863" s="77" t="s">
        <v>14774</v>
      </c>
      <c r="AR863" s="77"/>
      <c r="AS863" s="77"/>
      <c r="AT863" s="77"/>
      <c r="AU863" s="77"/>
      <c r="AV863" s="83" t="str">
        <f>HYPERLINK("https://pbs.twimg.com/media/F6T51l2XkAEc39C.jpg")</f>
        <v>https://pbs.twimg.com/media/F6T51l2XkAEc39C.jpg</v>
      </c>
      <c r="AW863" s="80" t="s">
        <v>16794</v>
      </c>
      <c r="AX863" s="80" t="s">
        <v>16794</v>
      </c>
      <c r="AY863" s="77"/>
      <c r="AZ863" s="80" t="s">
        <v>20380</v>
      </c>
      <c r="BA863" s="80" t="s">
        <v>20380</v>
      </c>
      <c r="BB863" s="80" t="s">
        <v>20380</v>
      </c>
      <c r="BC863" s="80" t="s">
        <v>16794</v>
      </c>
      <c r="BD863" s="77">
        <v>75289487</v>
      </c>
      <c r="BE863" s="77"/>
      <c r="BF863" s="77"/>
      <c r="BG863" s="77"/>
      <c r="BH863" s="77"/>
      <c r="BI863" s="77"/>
    </row>
    <row r="864" spans="1:61" x14ac:dyDescent="0.25">
      <c r="A864" s="62" t="s">
        <v>540</v>
      </c>
      <c r="B864" s="62" t="s">
        <v>539</v>
      </c>
      <c r="C864" s="63"/>
      <c r="D864" s="64"/>
      <c r="E864" s="65"/>
      <c r="F864" s="66"/>
      <c r="G864" s="63"/>
      <c r="H864" s="67"/>
      <c r="I864" s="68"/>
      <c r="J864" s="68"/>
      <c r="K864" s="32"/>
      <c r="L864" s="75">
        <v>864</v>
      </c>
      <c r="M864" s="75"/>
      <c r="N864" s="70"/>
      <c r="O864" s="77" t="s">
        <v>2081</v>
      </c>
      <c r="P864" s="79">
        <v>45170.552662037036</v>
      </c>
      <c r="Q864" s="77" t="s">
        <v>2836</v>
      </c>
      <c r="R864" s="77">
        <v>0</v>
      </c>
      <c r="S864" s="77">
        <v>7</v>
      </c>
      <c r="T864" s="77">
        <v>5</v>
      </c>
      <c r="U864" s="77">
        <v>0</v>
      </c>
      <c r="V864" s="77">
        <v>436</v>
      </c>
      <c r="W864" s="80" t="s">
        <v>6513</v>
      </c>
      <c r="X864" s="83" t="str">
        <f>HYPERLINK("https://lnkd.in/daPS_eD8")</f>
        <v>https://lnkd.in/daPS_eD8</v>
      </c>
      <c r="Y864" s="77" t="s">
        <v>8619</v>
      </c>
      <c r="Z864" s="77" t="s">
        <v>539</v>
      </c>
      <c r="AA864" s="77" t="s">
        <v>9293</v>
      </c>
      <c r="AB864" s="77" t="s">
        <v>10535</v>
      </c>
      <c r="AC864" s="80" t="s">
        <v>10541</v>
      </c>
      <c r="AD864" s="77" t="s">
        <v>10617</v>
      </c>
      <c r="AE864" s="83" t="str">
        <f>HYPERLINK("https://twitter.com/kfourymarcelo/status/1697599143043125540")</f>
        <v>https://twitter.com/kfourymarcelo/status/1697599143043125540</v>
      </c>
      <c r="AF864" s="79">
        <v>45170.552662037036</v>
      </c>
      <c r="AG864" s="85">
        <v>45170</v>
      </c>
      <c r="AH864" s="80" t="s">
        <v>11397</v>
      </c>
      <c r="AI864" s="77" t="b">
        <v>0</v>
      </c>
      <c r="AJ864" s="77"/>
      <c r="AK864" s="77"/>
      <c r="AL864" s="77"/>
      <c r="AM864" s="77"/>
      <c r="AN864" s="77"/>
      <c r="AO864" s="77"/>
      <c r="AP864" s="77"/>
      <c r="AQ864" s="77" t="s">
        <v>14775</v>
      </c>
      <c r="AR864" s="77"/>
      <c r="AS864" s="77"/>
      <c r="AT864" s="77"/>
      <c r="AU864" s="77"/>
      <c r="AV864" s="83" t="str">
        <f>HYPERLINK("https://pbs.twimg.com/media/F48U5x9WwAAsjE3.png")</f>
        <v>https://pbs.twimg.com/media/F48U5x9WwAAsjE3.png</v>
      </c>
      <c r="AW864" s="80" t="s">
        <v>16795</v>
      </c>
      <c r="AX864" s="80" t="s">
        <v>16795</v>
      </c>
      <c r="AY864" s="77"/>
      <c r="AZ864" s="80" t="s">
        <v>20380</v>
      </c>
      <c r="BA864" s="80" t="s">
        <v>20380</v>
      </c>
      <c r="BB864" s="80" t="s">
        <v>20380</v>
      </c>
      <c r="BC864" s="80" t="s">
        <v>16795</v>
      </c>
      <c r="BD864" s="80" t="s">
        <v>20650</v>
      </c>
      <c r="BE864" s="77"/>
      <c r="BF864" s="77"/>
      <c r="BG864" s="77"/>
      <c r="BH864" s="77"/>
      <c r="BI864" s="77"/>
    </row>
    <row r="865" spans="1:61" x14ac:dyDescent="0.25">
      <c r="A865" s="62" t="s">
        <v>541</v>
      </c>
      <c r="B865" s="62" t="s">
        <v>1798</v>
      </c>
      <c r="C865" s="63"/>
      <c r="D865" s="64"/>
      <c r="E865" s="65"/>
      <c r="F865" s="66"/>
      <c r="G865" s="63"/>
      <c r="H865" s="67"/>
      <c r="I865" s="68"/>
      <c r="J865" s="68"/>
      <c r="K865" s="32"/>
      <c r="L865" s="75">
        <v>865</v>
      </c>
      <c r="M865" s="75"/>
      <c r="N865" s="70"/>
      <c r="O865" s="77" t="s">
        <v>2081</v>
      </c>
      <c r="P865" s="79">
        <v>45141.750243055554</v>
      </c>
      <c r="Q865" s="77" t="s">
        <v>2837</v>
      </c>
      <c r="R865" s="77">
        <v>9</v>
      </c>
      <c r="S865" s="77">
        <v>18</v>
      </c>
      <c r="T865" s="77">
        <v>0</v>
      </c>
      <c r="U865" s="77">
        <v>0</v>
      </c>
      <c r="V865" s="77">
        <v>236</v>
      </c>
      <c r="W865" s="80" t="s">
        <v>6514</v>
      </c>
      <c r="X865" s="83" t="str">
        <f>HYPERLINK("https://is.gd/GijbWR")</f>
        <v>https://is.gd/GijbWR</v>
      </c>
      <c r="Y865" s="77" t="s">
        <v>8690</v>
      </c>
      <c r="Z865" s="77" t="s">
        <v>1798</v>
      </c>
      <c r="AA865" s="77" t="s">
        <v>9294</v>
      </c>
      <c r="AB865" s="77" t="s">
        <v>10535</v>
      </c>
      <c r="AC865" s="80" t="s">
        <v>10541</v>
      </c>
      <c r="AD865" s="77" t="s">
        <v>10617</v>
      </c>
      <c r="AE865" s="83" t="str">
        <f>HYPERLINK("https://twitter.com/niltotatto/status/1687161495182852110")</f>
        <v>https://twitter.com/niltotatto/status/1687161495182852110</v>
      </c>
      <c r="AF865" s="79">
        <v>45141.750243055554</v>
      </c>
      <c r="AG865" s="85">
        <v>45141</v>
      </c>
      <c r="AH865" s="80" t="s">
        <v>11398</v>
      </c>
      <c r="AI865" s="77" t="b">
        <v>0</v>
      </c>
      <c r="AJ865" s="77"/>
      <c r="AK865" s="77"/>
      <c r="AL865" s="77"/>
      <c r="AM865" s="77"/>
      <c r="AN865" s="77"/>
      <c r="AO865" s="77"/>
      <c r="AP865" s="77"/>
      <c r="AQ865" s="77" t="s">
        <v>14776</v>
      </c>
      <c r="AR865" s="77"/>
      <c r="AS865" s="77"/>
      <c r="AT865" s="77"/>
      <c r="AU865" s="77"/>
      <c r="AV865" s="83" t="str">
        <f>HYPERLINK("https://pbs.twimg.com/media/F2oAQN9XQBUhWKz.png")</f>
        <v>https://pbs.twimg.com/media/F2oAQN9XQBUhWKz.png</v>
      </c>
      <c r="AW865" s="80" t="s">
        <v>16796</v>
      </c>
      <c r="AX865" s="80" t="s">
        <v>16796</v>
      </c>
      <c r="AY865" s="77"/>
      <c r="AZ865" s="80" t="s">
        <v>20380</v>
      </c>
      <c r="BA865" s="80" t="s">
        <v>20380</v>
      </c>
      <c r="BB865" s="80" t="s">
        <v>20380</v>
      </c>
      <c r="BC865" s="80" t="s">
        <v>16796</v>
      </c>
      <c r="BD865" s="77">
        <v>2674564802</v>
      </c>
      <c r="BE865" s="77"/>
      <c r="BF865" s="77"/>
      <c r="BG865" s="77"/>
      <c r="BH865" s="77"/>
      <c r="BI865" s="77"/>
    </row>
    <row r="866" spans="1:61" x14ac:dyDescent="0.25">
      <c r="A866" s="62" t="s">
        <v>542</v>
      </c>
      <c r="B866" s="62" t="s">
        <v>542</v>
      </c>
      <c r="C866" s="63"/>
      <c r="D866" s="64"/>
      <c r="E866" s="65"/>
      <c r="F866" s="66"/>
      <c r="G866" s="63"/>
      <c r="H866" s="67"/>
      <c r="I866" s="68"/>
      <c r="J866" s="68"/>
      <c r="K866" s="32"/>
      <c r="L866" s="75">
        <v>866</v>
      </c>
      <c r="M866" s="75"/>
      <c r="N866" s="70"/>
      <c r="O866" s="77" t="s">
        <v>179</v>
      </c>
      <c r="P866" s="79">
        <v>45097.413472222222</v>
      </c>
      <c r="Q866" s="77" t="s">
        <v>2838</v>
      </c>
      <c r="R866" s="77">
        <v>0</v>
      </c>
      <c r="S866" s="77">
        <v>0</v>
      </c>
      <c r="T866" s="77">
        <v>1</v>
      </c>
      <c r="U866" s="77">
        <v>0</v>
      </c>
      <c r="V866" s="77">
        <v>41</v>
      </c>
      <c r="W866" s="80" t="s">
        <v>6515</v>
      </c>
      <c r="X866" s="77"/>
      <c r="Y866" s="77"/>
      <c r="Z866" s="77"/>
      <c r="AA866" s="77" t="s">
        <v>9295</v>
      </c>
      <c r="AB866" s="77" t="s">
        <v>10535</v>
      </c>
      <c r="AC866" s="80" t="s">
        <v>10543</v>
      </c>
      <c r="AD866" s="77" t="s">
        <v>10620</v>
      </c>
      <c r="AE866" s="83" t="str">
        <f>HYPERLINK("https://twitter.com/dunascapital/status/1671094387369975808")</f>
        <v>https://twitter.com/dunascapital/status/1671094387369975808</v>
      </c>
      <c r="AF866" s="79">
        <v>45097.413472222222</v>
      </c>
      <c r="AG866" s="85">
        <v>45097</v>
      </c>
      <c r="AH866" s="80" t="s">
        <v>11399</v>
      </c>
      <c r="AI866" s="77" t="b">
        <v>0</v>
      </c>
      <c r="AJ866" s="77"/>
      <c r="AK866" s="77"/>
      <c r="AL866" s="77"/>
      <c r="AM866" s="77"/>
      <c r="AN866" s="77"/>
      <c r="AO866" s="77"/>
      <c r="AP866" s="77"/>
      <c r="AQ866" s="77" t="s">
        <v>14777</v>
      </c>
      <c r="AR866" s="77"/>
      <c r="AS866" s="77"/>
      <c r="AT866" s="77"/>
      <c r="AU866" s="77"/>
      <c r="AV866" s="83" t="str">
        <f>HYPERLINK("https://pbs.twimg.com/media/FzDrfGFXsAEJrAs.jpg")</f>
        <v>https://pbs.twimg.com/media/FzDrfGFXsAEJrAs.jpg</v>
      </c>
      <c r="AW866" s="80" t="s">
        <v>16797</v>
      </c>
      <c r="AX866" s="80" t="s">
        <v>16797</v>
      </c>
      <c r="AY866" s="77"/>
      <c r="AZ866" s="80" t="s">
        <v>20380</v>
      </c>
      <c r="BA866" s="80" t="s">
        <v>20380</v>
      </c>
      <c r="BB866" s="80" t="s">
        <v>20380</v>
      </c>
      <c r="BC866" s="80" t="s">
        <v>16797</v>
      </c>
      <c r="BD866" s="80" t="s">
        <v>20651</v>
      </c>
      <c r="BE866" s="77"/>
      <c r="BF866" s="77"/>
      <c r="BG866" s="77"/>
      <c r="BH866" s="77"/>
      <c r="BI866" s="77"/>
    </row>
    <row r="867" spans="1:61" x14ac:dyDescent="0.25">
      <c r="A867" s="62" t="s">
        <v>543</v>
      </c>
      <c r="B867" s="62" t="s">
        <v>543</v>
      </c>
      <c r="C867" s="63"/>
      <c r="D867" s="64"/>
      <c r="E867" s="65"/>
      <c r="F867" s="66"/>
      <c r="G867" s="63"/>
      <c r="H867" s="67"/>
      <c r="I867" s="68"/>
      <c r="J867" s="68"/>
      <c r="K867" s="32"/>
      <c r="L867" s="75">
        <v>867</v>
      </c>
      <c r="M867" s="75"/>
      <c r="N867" s="70"/>
      <c r="O867" s="77" t="s">
        <v>179</v>
      </c>
      <c r="P867" s="79">
        <v>45049.848564814813</v>
      </c>
      <c r="Q867" s="77" t="s">
        <v>2839</v>
      </c>
      <c r="R867" s="77">
        <v>0</v>
      </c>
      <c r="S867" s="77">
        <v>0</v>
      </c>
      <c r="T867" s="77">
        <v>1</v>
      </c>
      <c r="U867" s="77">
        <v>0</v>
      </c>
      <c r="V867" s="77">
        <v>20</v>
      </c>
      <c r="W867" s="80" t="s">
        <v>6516</v>
      </c>
      <c r="X867" s="77"/>
      <c r="Y867" s="77"/>
      <c r="Z867" s="77"/>
      <c r="AA867" s="77"/>
      <c r="AB867" s="77"/>
      <c r="AC867" s="80" t="s">
        <v>10542</v>
      </c>
      <c r="AD867" s="77" t="s">
        <v>10620</v>
      </c>
      <c r="AE867" s="83" t="str">
        <f>HYPERLINK("https://twitter.com/torodebitcoin/status/1653857442504265728")</f>
        <v>https://twitter.com/torodebitcoin/status/1653857442504265728</v>
      </c>
      <c r="AF867" s="79">
        <v>45049.848564814813</v>
      </c>
      <c r="AG867" s="85">
        <v>45049</v>
      </c>
      <c r="AH867" s="80" t="s">
        <v>11400</v>
      </c>
      <c r="AI867" s="77"/>
      <c r="AJ867" s="77"/>
      <c r="AK867" s="77"/>
      <c r="AL867" s="77"/>
      <c r="AM867" s="77"/>
      <c r="AN867" s="77"/>
      <c r="AO867" s="77"/>
      <c r="AP867" s="77"/>
      <c r="AQ867" s="77"/>
      <c r="AR867" s="77"/>
      <c r="AS867" s="77"/>
      <c r="AT867" s="77"/>
      <c r="AU867" s="77"/>
      <c r="AV867" s="83" t="str">
        <f>HYPERLINK("https://pbs.twimg.com/profile_images/1704289114311561216/E2N0WlTM_normal.jpg")</f>
        <v>https://pbs.twimg.com/profile_images/1704289114311561216/E2N0WlTM_normal.jpg</v>
      </c>
      <c r="AW867" s="80" t="s">
        <v>16798</v>
      </c>
      <c r="AX867" s="80" t="s">
        <v>16798</v>
      </c>
      <c r="AY867" s="77"/>
      <c r="AZ867" s="80" t="s">
        <v>20380</v>
      </c>
      <c r="BA867" s="80" t="s">
        <v>20380</v>
      </c>
      <c r="BB867" s="80" t="s">
        <v>20380</v>
      </c>
      <c r="BC867" s="80" t="s">
        <v>16798</v>
      </c>
      <c r="BD867" s="80" t="s">
        <v>20652</v>
      </c>
      <c r="BE867" s="77"/>
      <c r="BF867" s="77"/>
      <c r="BG867" s="77"/>
      <c r="BH867" s="77"/>
      <c r="BI867" s="77"/>
    </row>
    <row r="868" spans="1:61" x14ac:dyDescent="0.25">
      <c r="A868" s="62" t="s">
        <v>544</v>
      </c>
      <c r="B868" s="62" t="s">
        <v>544</v>
      </c>
      <c r="C868" s="63"/>
      <c r="D868" s="64"/>
      <c r="E868" s="65"/>
      <c r="F868" s="66"/>
      <c r="G868" s="63"/>
      <c r="H868" s="67"/>
      <c r="I868" s="68"/>
      <c r="J868" s="68"/>
      <c r="K868" s="32"/>
      <c r="L868" s="75">
        <v>868</v>
      </c>
      <c r="M868" s="75"/>
      <c r="N868" s="70"/>
      <c r="O868" s="77" t="s">
        <v>179</v>
      </c>
      <c r="P868" s="79">
        <v>45055.612187500003</v>
      </c>
      <c r="Q868" s="77" t="s">
        <v>2840</v>
      </c>
      <c r="R868" s="77">
        <v>1</v>
      </c>
      <c r="S868" s="77">
        <v>11</v>
      </c>
      <c r="T868" s="77">
        <v>0</v>
      </c>
      <c r="U868" s="77">
        <v>0</v>
      </c>
      <c r="V868" s="77">
        <v>211</v>
      </c>
      <c r="W868" s="80" t="s">
        <v>6517</v>
      </c>
      <c r="X868" s="83" t="str">
        <f>HYPERLINK("https://es.azvision.az/news/110993/news.html")</f>
        <v>https://es.azvision.az/news/110993/news.html</v>
      </c>
      <c r="Y868" s="77" t="s">
        <v>8691</v>
      </c>
      <c r="Z868" s="77"/>
      <c r="AA868" s="77"/>
      <c r="AB868" s="77"/>
      <c r="AC868" s="80" t="s">
        <v>10542</v>
      </c>
      <c r="AD868" s="77" t="s">
        <v>10620</v>
      </c>
      <c r="AE868" s="83" t="str">
        <f>HYPERLINK("https://twitter.com/sevdabekirova/status/1655946112841420800")</f>
        <v>https://twitter.com/sevdabekirova/status/1655946112841420800</v>
      </c>
      <c r="AF868" s="79">
        <v>45055.612187500003</v>
      </c>
      <c r="AG868" s="85">
        <v>45055</v>
      </c>
      <c r="AH868" s="80" t="s">
        <v>11401</v>
      </c>
      <c r="AI868" s="77" t="b">
        <v>0</v>
      </c>
      <c r="AJ868" s="77"/>
      <c r="AK868" s="77"/>
      <c r="AL868" s="77"/>
      <c r="AM868" s="77"/>
      <c r="AN868" s="77"/>
      <c r="AO868" s="77"/>
      <c r="AP868" s="77"/>
      <c r="AQ868" s="77"/>
      <c r="AR868" s="77"/>
      <c r="AS868" s="77"/>
      <c r="AT868" s="77"/>
      <c r="AU868" s="77"/>
      <c r="AV868" s="83" t="str">
        <f>HYPERLINK("https://pbs.twimg.com/profile_images/1522658760552067072/-xkvStzA_normal.jpg")</f>
        <v>https://pbs.twimg.com/profile_images/1522658760552067072/-xkvStzA_normal.jpg</v>
      </c>
      <c r="AW868" s="80" t="s">
        <v>16799</v>
      </c>
      <c r="AX868" s="80" t="s">
        <v>16799</v>
      </c>
      <c r="AY868" s="77"/>
      <c r="AZ868" s="80" t="s">
        <v>20380</v>
      </c>
      <c r="BA868" s="80" t="s">
        <v>20380</v>
      </c>
      <c r="BB868" s="80" t="s">
        <v>20380</v>
      </c>
      <c r="BC868" s="80" t="s">
        <v>16799</v>
      </c>
      <c r="BD868" s="80" t="s">
        <v>20653</v>
      </c>
      <c r="BE868" s="77"/>
      <c r="BF868" s="77"/>
      <c r="BG868" s="77"/>
      <c r="BH868" s="77"/>
      <c r="BI868" s="77"/>
    </row>
    <row r="869" spans="1:61" x14ac:dyDescent="0.25">
      <c r="A869" s="62" t="s">
        <v>545</v>
      </c>
      <c r="B869" s="62" t="s">
        <v>545</v>
      </c>
      <c r="C869" s="63"/>
      <c r="D869" s="64"/>
      <c r="E869" s="65"/>
      <c r="F869" s="66"/>
      <c r="G869" s="63"/>
      <c r="H869" s="67"/>
      <c r="I869" s="68"/>
      <c r="J869" s="68"/>
      <c r="K869" s="32"/>
      <c r="L869" s="75">
        <v>869</v>
      </c>
      <c r="M869" s="75"/>
      <c r="N869" s="70"/>
      <c r="O869" s="77" t="s">
        <v>179</v>
      </c>
      <c r="P869" s="79">
        <v>45075.526504629626</v>
      </c>
      <c r="Q869" s="77" t="s">
        <v>2841</v>
      </c>
      <c r="R869" s="77">
        <v>0</v>
      </c>
      <c r="S869" s="77">
        <v>2</v>
      </c>
      <c r="T869" s="77">
        <v>1</v>
      </c>
      <c r="U869" s="77">
        <v>0</v>
      </c>
      <c r="V869" s="77">
        <v>174</v>
      </c>
      <c r="W869" s="80" t="s">
        <v>6518</v>
      </c>
      <c r="X869" s="77"/>
      <c r="Y869" s="77"/>
      <c r="Z869" s="77"/>
      <c r="AA869" s="77" t="s">
        <v>9296</v>
      </c>
      <c r="AB869" s="77" t="s">
        <v>10535</v>
      </c>
      <c r="AC869" s="80" t="s">
        <v>10541</v>
      </c>
      <c r="AD869" s="77" t="s">
        <v>10617</v>
      </c>
      <c r="AE869" s="83" t="str">
        <f>HYPERLINK("https://twitter.com/cpqd/status/1663162818592382977")</f>
        <v>https://twitter.com/cpqd/status/1663162818592382977</v>
      </c>
      <c r="AF869" s="79">
        <v>45075.526504629626</v>
      </c>
      <c r="AG869" s="85">
        <v>45075</v>
      </c>
      <c r="AH869" s="80" t="s">
        <v>11402</v>
      </c>
      <c r="AI869" s="77" t="b">
        <v>0</v>
      </c>
      <c r="AJ869" s="77"/>
      <c r="AK869" s="77"/>
      <c r="AL869" s="77"/>
      <c r="AM869" s="77"/>
      <c r="AN869" s="77"/>
      <c r="AO869" s="77"/>
      <c r="AP869" s="77"/>
      <c r="AQ869" s="77" t="s">
        <v>14778</v>
      </c>
      <c r="AR869" s="77"/>
      <c r="AS869" s="77"/>
      <c r="AT869" s="77"/>
      <c r="AU869" s="77"/>
      <c r="AV869" s="83" t="str">
        <f>HYPERLINK("https://pbs.twimg.com/media/FxS9uD6XsAE7zzy.jpg")</f>
        <v>https://pbs.twimg.com/media/FxS9uD6XsAE7zzy.jpg</v>
      </c>
      <c r="AW869" s="80" t="s">
        <v>16800</v>
      </c>
      <c r="AX869" s="80" t="s">
        <v>16800</v>
      </c>
      <c r="AY869" s="77"/>
      <c r="AZ869" s="80" t="s">
        <v>20380</v>
      </c>
      <c r="BA869" s="80" t="s">
        <v>20380</v>
      </c>
      <c r="BB869" s="80" t="s">
        <v>20380</v>
      </c>
      <c r="BC869" s="80" t="s">
        <v>16800</v>
      </c>
      <c r="BD869" s="77">
        <v>36547354</v>
      </c>
      <c r="BE869" s="77"/>
      <c r="BF869" s="77"/>
      <c r="BG869" s="77"/>
      <c r="BH869" s="77"/>
      <c r="BI869" s="77"/>
    </row>
    <row r="870" spans="1:61" x14ac:dyDescent="0.25">
      <c r="A870" s="62" t="s">
        <v>546</v>
      </c>
      <c r="B870" s="62" t="s">
        <v>1655</v>
      </c>
      <c r="C870" s="63"/>
      <c r="D870" s="64"/>
      <c r="E870" s="65"/>
      <c r="F870" s="66"/>
      <c r="G870" s="63"/>
      <c r="H870" s="67"/>
      <c r="I870" s="68"/>
      <c r="J870" s="68"/>
      <c r="K870" s="32"/>
      <c r="L870" s="75">
        <v>870</v>
      </c>
      <c r="M870" s="75"/>
      <c r="N870" s="70"/>
      <c r="O870" s="77" t="s">
        <v>2083</v>
      </c>
      <c r="P870" s="79">
        <v>45191.00472222222</v>
      </c>
      <c r="Q870" s="77" t="s">
        <v>2120</v>
      </c>
      <c r="R870" s="77">
        <v>25</v>
      </c>
      <c r="S870" s="77">
        <v>0</v>
      </c>
      <c r="T870" s="77">
        <v>0</v>
      </c>
      <c r="U870" s="77">
        <v>0</v>
      </c>
      <c r="V870" s="77"/>
      <c r="W870" s="80" t="s">
        <v>5917</v>
      </c>
      <c r="X870" s="77"/>
      <c r="Y870" s="77"/>
      <c r="Z870" s="77" t="s">
        <v>1655</v>
      </c>
      <c r="AA870" s="77"/>
      <c r="AB870" s="77"/>
      <c r="AC870" s="80" t="s">
        <v>10556</v>
      </c>
      <c r="AD870" s="77" t="s">
        <v>10617</v>
      </c>
      <c r="AE870" s="83" t="str">
        <f>HYPERLINK("https://twitter.com/195177/status/1705010722009145682")</f>
        <v>https://twitter.com/195177/status/1705010722009145682</v>
      </c>
      <c r="AF870" s="79">
        <v>45191.00472222222</v>
      </c>
      <c r="AG870" s="85">
        <v>45191</v>
      </c>
      <c r="AH870" s="80" t="s">
        <v>11403</v>
      </c>
      <c r="AI870" s="77"/>
      <c r="AJ870" s="77"/>
      <c r="AK870" s="77"/>
      <c r="AL870" s="77"/>
      <c r="AM870" s="77"/>
      <c r="AN870" s="77"/>
      <c r="AO870" s="77"/>
      <c r="AP870" s="77"/>
      <c r="AQ870" s="77"/>
      <c r="AR870" s="77"/>
      <c r="AS870" s="77"/>
      <c r="AT870" s="77"/>
      <c r="AU870" s="77"/>
      <c r="AV870" s="83" t="str">
        <f>HYPERLINK("https://abs.twimg.com/sticky/default_profile_images/default_profile_normal.png")</f>
        <v>https://abs.twimg.com/sticky/default_profile_images/default_profile_normal.png</v>
      </c>
      <c r="AW870" s="80" t="s">
        <v>16801</v>
      </c>
      <c r="AX870" s="80" t="s">
        <v>16801</v>
      </c>
      <c r="AY870" s="77"/>
      <c r="AZ870" s="80" t="s">
        <v>20380</v>
      </c>
      <c r="BA870" s="80" t="s">
        <v>20380</v>
      </c>
      <c r="BB870" s="80" t="s">
        <v>19844</v>
      </c>
      <c r="BC870" s="80" t="s">
        <v>19844</v>
      </c>
      <c r="BD870" s="77">
        <v>343403245</v>
      </c>
      <c r="BE870" s="77"/>
      <c r="BF870" s="77"/>
      <c r="BG870" s="77"/>
      <c r="BH870" s="77"/>
      <c r="BI870" s="77"/>
    </row>
    <row r="871" spans="1:61" x14ac:dyDescent="0.25">
      <c r="A871" s="62" t="s">
        <v>547</v>
      </c>
      <c r="B871" s="62" t="s">
        <v>1799</v>
      </c>
      <c r="C871" s="63"/>
      <c r="D871" s="64"/>
      <c r="E871" s="65"/>
      <c r="F871" s="66"/>
      <c r="G871" s="63"/>
      <c r="H871" s="67"/>
      <c r="I871" s="68"/>
      <c r="J871" s="68"/>
      <c r="K871" s="32"/>
      <c r="L871" s="75">
        <v>871</v>
      </c>
      <c r="M871" s="75"/>
      <c r="N871" s="70"/>
      <c r="O871" s="77" t="s">
        <v>2081</v>
      </c>
      <c r="P871" s="79">
        <v>45058.511828703704</v>
      </c>
      <c r="Q871" s="77" t="s">
        <v>2842</v>
      </c>
      <c r="R871" s="77">
        <v>23</v>
      </c>
      <c r="S871" s="77">
        <v>126</v>
      </c>
      <c r="T871" s="77">
        <v>39</v>
      </c>
      <c r="U871" s="77">
        <v>3</v>
      </c>
      <c r="V871" s="77">
        <v>18924</v>
      </c>
      <c r="W871" s="80" t="s">
        <v>6519</v>
      </c>
      <c r="X871" s="83" t="str">
        <f>HYPERLINK("http://glo.bo/39WjXAu")</f>
        <v>http://glo.bo/39WjXAu</v>
      </c>
      <c r="Y871" s="77" t="s">
        <v>8692</v>
      </c>
      <c r="Z871" s="77" t="s">
        <v>8940</v>
      </c>
      <c r="AA871" s="77" t="s">
        <v>9297</v>
      </c>
      <c r="AB871" s="77" t="s">
        <v>10534</v>
      </c>
      <c r="AC871" s="80" t="s">
        <v>10571</v>
      </c>
      <c r="AD871" s="77" t="s">
        <v>10617</v>
      </c>
      <c r="AE871" s="83" t="str">
        <f>HYPERLINK("https://twitter.com/globonews/status/1656996906562666497")</f>
        <v>https://twitter.com/globonews/status/1656996906562666497</v>
      </c>
      <c r="AF871" s="79">
        <v>45058.511828703704</v>
      </c>
      <c r="AG871" s="85">
        <v>45058</v>
      </c>
      <c r="AH871" s="80" t="s">
        <v>11404</v>
      </c>
      <c r="AI871" s="77" t="b">
        <v>0</v>
      </c>
      <c r="AJ871" s="77"/>
      <c r="AK871" s="77"/>
      <c r="AL871" s="77"/>
      <c r="AM871" s="77"/>
      <c r="AN871" s="77"/>
      <c r="AO871" s="77"/>
      <c r="AP871" s="77"/>
      <c r="AQ871" s="77" t="s">
        <v>14779</v>
      </c>
      <c r="AR871" s="77">
        <v>131690</v>
      </c>
      <c r="AS871" s="77"/>
      <c r="AT871" s="77"/>
      <c r="AU871" s="77"/>
      <c r="AV871" s="83" t="str">
        <f>HYPERLINK("https://pbs.twimg.com/amplify_video_thumb/1656996543143063555/img/NRQ--PRwNx0-Rkk3.jpg")</f>
        <v>https://pbs.twimg.com/amplify_video_thumb/1656996543143063555/img/NRQ--PRwNx0-Rkk3.jpg</v>
      </c>
      <c r="AW871" s="80" t="s">
        <v>16802</v>
      </c>
      <c r="AX871" s="80" t="s">
        <v>16802</v>
      </c>
      <c r="AY871" s="77"/>
      <c r="AZ871" s="80" t="s">
        <v>20380</v>
      </c>
      <c r="BA871" s="80" t="s">
        <v>20380</v>
      </c>
      <c r="BB871" s="80" t="s">
        <v>20380</v>
      </c>
      <c r="BC871" s="80" t="s">
        <v>16802</v>
      </c>
      <c r="BD871" s="77">
        <v>142393421</v>
      </c>
      <c r="BE871" s="77"/>
      <c r="BF871" s="77"/>
      <c r="BG871" s="77"/>
      <c r="BH871" s="77"/>
      <c r="BI871" s="77"/>
    </row>
    <row r="872" spans="1:61" x14ac:dyDescent="0.25">
      <c r="A872" s="62" t="s">
        <v>547</v>
      </c>
      <c r="B872" s="62" t="s">
        <v>1800</v>
      </c>
      <c r="C872" s="63"/>
      <c r="D872" s="64"/>
      <c r="E872" s="65"/>
      <c r="F872" s="66"/>
      <c r="G872" s="63"/>
      <c r="H872" s="67"/>
      <c r="I872" s="68"/>
      <c r="J872" s="68"/>
      <c r="K872" s="32"/>
      <c r="L872" s="75">
        <v>872</v>
      </c>
      <c r="M872" s="75"/>
      <c r="N872" s="70"/>
      <c r="O872" s="77" t="s">
        <v>2081</v>
      </c>
      <c r="P872" s="79">
        <v>45058.511828703704</v>
      </c>
      <c r="Q872" s="77" t="s">
        <v>2842</v>
      </c>
      <c r="R872" s="77">
        <v>23</v>
      </c>
      <c r="S872" s="77">
        <v>126</v>
      </c>
      <c r="T872" s="77">
        <v>39</v>
      </c>
      <c r="U872" s="77">
        <v>3</v>
      </c>
      <c r="V872" s="77">
        <v>18924</v>
      </c>
      <c r="W872" s="80" t="s">
        <v>6519</v>
      </c>
      <c r="X872" s="83" t="str">
        <f>HYPERLINK("http://glo.bo/39WjXAu")</f>
        <v>http://glo.bo/39WjXAu</v>
      </c>
      <c r="Y872" s="77" t="s">
        <v>8692</v>
      </c>
      <c r="Z872" s="77" t="s">
        <v>8940</v>
      </c>
      <c r="AA872" s="77" t="s">
        <v>9297</v>
      </c>
      <c r="AB872" s="77" t="s">
        <v>10534</v>
      </c>
      <c r="AC872" s="80" t="s">
        <v>10571</v>
      </c>
      <c r="AD872" s="77" t="s">
        <v>10617</v>
      </c>
      <c r="AE872" s="83" t="str">
        <f>HYPERLINK("https://twitter.com/globonews/status/1656996906562666497")</f>
        <v>https://twitter.com/globonews/status/1656996906562666497</v>
      </c>
      <c r="AF872" s="79">
        <v>45058.511828703704</v>
      </c>
      <c r="AG872" s="85">
        <v>45058</v>
      </c>
      <c r="AH872" s="80" t="s">
        <v>11404</v>
      </c>
      <c r="AI872" s="77" t="b">
        <v>0</v>
      </c>
      <c r="AJ872" s="77"/>
      <c r="AK872" s="77"/>
      <c r="AL872" s="77"/>
      <c r="AM872" s="77"/>
      <c r="AN872" s="77"/>
      <c r="AO872" s="77"/>
      <c r="AP872" s="77"/>
      <c r="AQ872" s="77" t="s">
        <v>14779</v>
      </c>
      <c r="AR872" s="77">
        <v>131690</v>
      </c>
      <c r="AS872" s="77"/>
      <c r="AT872" s="77"/>
      <c r="AU872" s="77"/>
      <c r="AV872" s="83" t="str">
        <f>HYPERLINK("https://pbs.twimg.com/amplify_video_thumb/1656996543143063555/img/NRQ--PRwNx0-Rkk3.jpg")</f>
        <v>https://pbs.twimg.com/amplify_video_thumb/1656996543143063555/img/NRQ--PRwNx0-Rkk3.jpg</v>
      </c>
      <c r="AW872" s="80" t="s">
        <v>16802</v>
      </c>
      <c r="AX872" s="80" t="s">
        <v>16802</v>
      </c>
      <c r="AY872" s="77"/>
      <c r="AZ872" s="80" t="s">
        <v>20380</v>
      </c>
      <c r="BA872" s="80" t="s">
        <v>20380</v>
      </c>
      <c r="BB872" s="80" t="s">
        <v>20380</v>
      </c>
      <c r="BC872" s="80" t="s">
        <v>16802</v>
      </c>
      <c r="BD872" s="77">
        <v>142393421</v>
      </c>
      <c r="BE872" s="77"/>
      <c r="BF872" s="77"/>
      <c r="BG872" s="77"/>
      <c r="BH872" s="77"/>
      <c r="BI872" s="77"/>
    </row>
    <row r="873" spans="1:61" x14ac:dyDescent="0.25">
      <c r="A873" s="62" t="s">
        <v>547</v>
      </c>
      <c r="B873" s="62" t="s">
        <v>1801</v>
      </c>
      <c r="C873" s="63"/>
      <c r="D873" s="64"/>
      <c r="E873" s="65"/>
      <c r="F873" s="66"/>
      <c r="G873" s="63"/>
      <c r="H873" s="67"/>
      <c r="I873" s="68"/>
      <c r="J873" s="68"/>
      <c r="K873" s="32"/>
      <c r="L873" s="75">
        <v>873</v>
      </c>
      <c r="M873" s="75"/>
      <c r="N873" s="70"/>
      <c r="O873" s="77" t="s">
        <v>2081</v>
      </c>
      <c r="P873" s="79">
        <v>45090.019872685189</v>
      </c>
      <c r="Q873" s="77" t="s">
        <v>2843</v>
      </c>
      <c r="R873" s="77">
        <v>100</v>
      </c>
      <c r="S873" s="77">
        <v>539</v>
      </c>
      <c r="T873" s="77">
        <v>53</v>
      </c>
      <c r="U873" s="77">
        <v>16</v>
      </c>
      <c r="V873" s="77">
        <v>34202</v>
      </c>
      <c r="W873" s="80" t="s">
        <v>6520</v>
      </c>
      <c r="X873" s="83" t="str">
        <f>HYPERLINK("http://glo.bo/39WjXAu")</f>
        <v>http://glo.bo/39WjXAu</v>
      </c>
      <c r="Y873" s="77" t="s">
        <v>8692</v>
      </c>
      <c r="Z873" s="77" t="s">
        <v>1801</v>
      </c>
      <c r="AA873" s="77" t="s">
        <v>9298</v>
      </c>
      <c r="AB873" s="77" t="s">
        <v>10534</v>
      </c>
      <c r="AC873" s="80" t="s">
        <v>10571</v>
      </c>
      <c r="AD873" s="77" t="s">
        <v>10617</v>
      </c>
      <c r="AE873" s="83" t="str">
        <f>HYPERLINK("https://twitter.com/globonews/status/1668415037482958848")</f>
        <v>https://twitter.com/globonews/status/1668415037482958848</v>
      </c>
      <c r="AF873" s="79">
        <v>45090.019872685189</v>
      </c>
      <c r="AG873" s="85">
        <v>45090</v>
      </c>
      <c r="AH873" s="80" t="s">
        <v>11405</v>
      </c>
      <c r="AI873" s="77" t="b">
        <v>0</v>
      </c>
      <c r="AJ873" s="77"/>
      <c r="AK873" s="77"/>
      <c r="AL873" s="77"/>
      <c r="AM873" s="77"/>
      <c r="AN873" s="77"/>
      <c r="AO873" s="77"/>
      <c r="AP873" s="77"/>
      <c r="AQ873" s="77" t="s">
        <v>14780</v>
      </c>
      <c r="AR873" s="77">
        <v>104320</v>
      </c>
      <c r="AS873" s="77"/>
      <c r="AT873" s="77"/>
      <c r="AU873" s="77"/>
      <c r="AV873" s="83" t="str">
        <f>HYPERLINK("https://pbs.twimg.com/media/FydmlrZXgAE4Np5.jpg")</f>
        <v>https://pbs.twimg.com/media/FydmlrZXgAE4Np5.jpg</v>
      </c>
      <c r="AW873" s="80" t="s">
        <v>16803</v>
      </c>
      <c r="AX873" s="80" t="s">
        <v>16803</v>
      </c>
      <c r="AY873" s="77"/>
      <c r="AZ873" s="80" t="s">
        <v>20380</v>
      </c>
      <c r="BA873" s="80" t="s">
        <v>20380</v>
      </c>
      <c r="BB873" s="80" t="s">
        <v>20380</v>
      </c>
      <c r="BC873" s="80" t="s">
        <v>16803</v>
      </c>
      <c r="BD873" s="77">
        <v>142393421</v>
      </c>
      <c r="BE873" s="77"/>
      <c r="BF873" s="77"/>
      <c r="BG873" s="77"/>
      <c r="BH873" s="77"/>
      <c r="BI873" s="77"/>
    </row>
    <row r="874" spans="1:61" x14ac:dyDescent="0.25">
      <c r="A874" s="62" t="s">
        <v>547</v>
      </c>
      <c r="B874" s="62" t="s">
        <v>1802</v>
      </c>
      <c r="C874" s="63"/>
      <c r="D874" s="64"/>
      <c r="E874" s="65"/>
      <c r="F874" s="66"/>
      <c r="G874" s="63"/>
      <c r="H874" s="67"/>
      <c r="I874" s="68"/>
      <c r="J874" s="68"/>
      <c r="K874" s="32"/>
      <c r="L874" s="75">
        <v>874</v>
      </c>
      <c r="M874" s="75"/>
      <c r="N874" s="70"/>
      <c r="O874" s="77" t="s">
        <v>2081</v>
      </c>
      <c r="P874" s="79">
        <v>45086.788287037038</v>
      </c>
      <c r="Q874" s="77" t="s">
        <v>2844</v>
      </c>
      <c r="R874" s="77">
        <v>17</v>
      </c>
      <c r="S874" s="77">
        <v>116</v>
      </c>
      <c r="T874" s="77">
        <v>31</v>
      </c>
      <c r="U874" s="77">
        <v>3</v>
      </c>
      <c r="V874" s="77">
        <v>16651</v>
      </c>
      <c r="W874" s="80" t="s">
        <v>6521</v>
      </c>
      <c r="X874" s="83" t="str">
        <f>HYPERLINK("http://glo.bo/39WjXAu")</f>
        <v>http://glo.bo/39WjXAu</v>
      </c>
      <c r="Y874" s="77" t="s">
        <v>8692</v>
      </c>
      <c r="Z874" s="77" t="s">
        <v>8941</v>
      </c>
      <c r="AA874" s="77" t="s">
        <v>9299</v>
      </c>
      <c r="AB874" s="77" t="s">
        <v>10534</v>
      </c>
      <c r="AC874" s="80" t="s">
        <v>10551</v>
      </c>
      <c r="AD874" s="77" t="s">
        <v>10617</v>
      </c>
      <c r="AE874" s="83" t="str">
        <f>HYPERLINK("https://twitter.com/globonews/status/1667243950720032775")</f>
        <v>https://twitter.com/globonews/status/1667243950720032775</v>
      </c>
      <c r="AF874" s="79">
        <v>45086.788287037038</v>
      </c>
      <c r="AG874" s="85">
        <v>45086</v>
      </c>
      <c r="AH874" s="80" t="s">
        <v>11406</v>
      </c>
      <c r="AI874" s="77" t="b">
        <v>0</v>
      </c>
      <c r="AJ874" s="77"/>
      <c r="AK874" s="77"/>
      <c r="AL874" s="77"/>
      <c r="AM874" s="77"/>
      <c r="AN874" s="77"/>
      <c r="AO874" s="77"/>
      <c r="AP874" s="77"/>
      <c r="AQ874" s="77" t="s">
        <v>14781</v>
      </c>
      <c r="AR874" s="77">
        <v>76566</v>
      </c>
      <c r="AS874" s="77"/>
      <c r="AT874" s="77"/>
      <c r="AU874" s="77"/>
      <c r="AV874" s="83" t="str">
        <f>HYPERLINK("https://pbs.twimg.com/ext_tw_video_thumb/1667243385453682721/pu/img/x8tJJtsoi5qwCN0l.jpg")</f>
        <v>https://pbs.twimg.com/ext_tw_video_thumb/1667243385453682721/pu/img/x8tJJtsoi5qwCN0l.jpg</v>
      </c>
      <c r="AW874" s="80" t="s">
        <v>16804</v>
      </c>
      <c r="AX874" s="80" t="s">
        <v>16804</v>
      </c>
      <c r="AY874" s="77"/>
      <c r="AZ874" s="80" t="s">
        <v>20380</v>
      </c>
      <c r="BA874" s="80" t="s">
        <v>20380</v>
      </c>
      <c r="BB874" s="80" t="s">
        <v>20380</v>
      </c>
      <c r="BC874" s="80" t="s">
        <v>16804</v>
      </c>
      <c r="BD874" s="77">
        <v>142393421</v>
      </c>
      <c r="BE874" s="77"/>
      <c r="BF874" s="77"/>
      <c r="BG874" s="77"/>
      <c r="BH874" s="77"/>
      <c r="BI874" s="77"/>
    </row>
    <row r="875" spans="1:61" x14ac:dyDescent="0.25">
      <c r="A875" s="62" t="s">
        <v>547</v>
      </c>
      <c r="B875" s="62" t="s">
        <v>1803</v>
      </c>
      <c r="C875" s="63"/>
      <c r="D875" s="64"/>
      <c r="E875" s="65"/>
      <c r="F875" s="66"/>
      <c r="G875" s="63"/>
      <c r="H875" s="67"/>
      <c r="I875" s="68"/>
      <c r="J875" s="68"/>
      <c r="K875" s="32"/>
      <c r="L875" s="75">
        <v>875</v>
      </c>
      <c r="M875" s="75"/>
      <c r="N875" s="70"/>
      <c r="O875" s="77" t="s">
        <v>2081</v>
      </c>
      <c r="P875" s="79">
        <v>45086.788287037038</v>
      </c>
      <c r="Q875" s="77" t="s">
        <v>2844</v>
      </c>
      <c r="R875" s="77">
        <v>17</v>
      </c>
      <c r="S875" s="77">
        <v>116</v>
      </c>
      <c r="T875" s="77">
        <v>31</v>
      </c>
      <c r="U875" s="77">
        <v>3</v>
      </c>
      <c r="V875" s="77">
        <v>16651</v>
      </c>
      <c r="W875" s="80" t="s">
        <v>6521</v>
      </c>
      <c r="X875" s="83" t="str">
        <f>HYPERLINK("http://glo.bo/39WjXAu")</f>
        <v>http://glo.bo/39WjXAu</v>
      </c>
      <c r="Y875" s="77" t="s">
        <v>8692</v>
      </c>
      <c r="Z875" s="77" t="s">
        <v>8941</v>
      </c>
      <c r="AA875" s="77" t="s">
        <v>9299</v>
      </c>
      <c r="AB875" s="77" t="s">
        <v>10534</v>
      </c>
      <c r="AC875" s="80" t="s">
        <v>10551</v>
      </c>
      <c r="AD875" s="77" t="s">
        <v>10617</v>
      </c>
      <c r="AE875" s="83" t="str">
        <f>HYPERLINK("https://twitter.com/globonews/status/1667243950720032775")</f>
        <v>https://twitter.com/globonews/status/1667243950720032775</v>
      </c>
      <c r="AF875" s="79">
        <v>45086.788287037038</v>
      </c>
      <c r="AG875" s="85">
        <v>45086</v>
      </c>
      <c r="AH875" s="80" t="s">
        <v>11406</v>
      </c>
      <c r="AI875" s="77" t="b">
        <v>0</v>
      </c>
      <c r="AJ875" s="77"/>
      <c r="AK875" s="77"/>
      <c r="AL875" s="77"/>
      <c r="AM875" s="77"/>
      <c r="AN875" s="77"/>
      <c r="AO875" s="77"/>
      <c r="AP875" s="77"/>
      <c r="AQ875" s="77" t="s">
        <v>14781</v>
      </c>
      <c r="AR875" s="77">
        <v>76566</v>
      </c>
      <c r="AS875" s="77"/>
      <c r="AT875" s="77"/>
      <c r="AU875" s="77"/>
      <c r="AV875" s="83" t="str">
        <f>HYPERLINK("https://pbs.twimg.com/ext_tw_video_thumb/1667243385453682721/pu/img/x8tJJtsoi5qwCN0l.jpg")</f>
        <v>https://pbs.twimg.com/ext_tw_video_thumb/1667243385453682721/pu/img/x8tJJtsoi5qwCN0l.jpg</v>
      </c>
      <c r="AW875" s="80" t="s">
        <v>16804</v>
      </c>
      <c r="AX875" s="80" t="s">
        <v>16804</v>
      </c>
      <c r="AY875" s="77"/>
      <c r="AZ875" s="80" t="s">
        <v>20380</v>
      </c>
      <c r="BA875" s="80" t="s">
        <v>20380</v>
      </c>
      <c r="BB875" s="80" t="s">
        <v>20380</v>
      </c>
      <c r="BC875" s="80" t="s">
        <v>16804</v>
      </c>
      <c r="BD875" s="77">
        <v>142393421</v>
      </c>
      <c r="BE875" s="77"/>
      <c r="BF875" s="77"/>
      <c r="BG875" s="77"/>
      <c r="BH875" s="77"/>
      <c r="BI875" s="77"/>
    </row>
    <row r="876" spans="1:61" x14ac:dyDescent="0.25">
      <c r="A876" s="62" t="s">
        <v>547</v>
      </c>
      <c r="B876" s="62" t="s">
        <v>1804</v>
      </c>
      <c r="C876" s="63"/>
      <c r="D876" s="64"/>
      <c r="E876" s="65"/>
      <c r="F876" s="66"/>
      <c r="G876" s="63"/>
      <c r="H876" s="67"/>
      <c r="I876" s="68"/>
      <c r="J876" s="68"/>
      <c r="K876" s="32"/>
      <c r="L876" s="75">
        <v>876</v>
      </c>
      <c r="M876" s="75"/>
      <c r="N876" s="70"/>
      <c r="O876" s="77" t="s">
        <v>2081</v>
      </c>
      <c r="P876" s="79">
        <v>45058.511828703704</v>
      </c>
      <c r="Q876" s="77" t="s">
        <v>2842</v>
      </c>
      <c r="R876" s="77">
        <v>23</v>
      </c>
      <c r="S876" s="77">
        <v>126</v>
      </c>
      <c r="T876" s="77">
        <v>39</v>
      </c>
      <c r="U876" s="77">
        <v>3</v>
      </c>
      <c r="V876" s="77">
        <v>18924</v>
      </c>
      <c r="W876" s="80" t="s">
        <v>6519</v>
      </c>
      <c r="X876" s="83" t="str">
        <f>HYPERLINK("http://glo.bo/39WjXAu")</f>
        <v>http://glo.bo/39WjXAu</v>
      </c>
      <c r="Y876" s="77" t="s">
        <v>8692</v>
      </c>
      <c r="Z876" s="77" t="s">
        <v>8940</v>
      </c>
      <c r="AA876" s="77" t="s">
        <v>9297</v>
      </c>
      <c r="AB876" s="77" t="s">
        <v>10534</v>
      </c>
      <c r="AC876" s="80" t="s">
        <v>10571</v>
      </c>
      <c r="AD876" s="77" t="s">
        <v>10617</v>
      </c>
      <c r="AE876" s="83" t="str">
        <f>HYPERLINK("https://twitter.com/globonews/status/1656996906562666497")</f>
        <v>https://twitter.com/globonews/status/1656996906562666497</v>
      </c>
      <c r="AF876" s="79">
        <v>45058.511828703704</v>
      </c>
      <c r="AG876" s="85">
        <v>45058</v>
      </c>
      <c r="AH876" s="80" t="s">
        <v>11404</v>
      </c>
      <c r="AI876" s="77" t="b">
        <v>0</v>
      </c>
      <c r="AJ876" s="77"/>
      <c r="AK876" s="77"/>
      <c r="AL876" s="77"/>
      <c r="AM876" s="77"/>
      <c r="AN876" s="77"/>
      <c r="AO876" s="77"/>
      <c r="AP876" s="77"/>
      <c r="AQ876" s="77" t="s">
        <v>14779</v>
      </c>
      <c r="AR876" s="77">
        <v>131690</v>
      </c>
      <c r="AS876" s="77"/>
      <c r="AT876" s="77"/>
      <c r="AU876" s="77"/>
      <c r="AV876" s="83" t="str">
        <f>HYPERLINK("https://pbs.twimg.com/amplify_video_thumb/1656996543143063555/img/NRQ--PRwNx0-Rkk3.jpg")</f>
        <v>https://pbs.twimg.com/amplify_video_thumb/1656996543143063555/img/NRQ--PRwNx0-Rkk3.jpg</v>
      </c>
      <c r="AW876" s="80" t="s">
        <v>16802</v>
      </c>
      <c r="AX876" s="80" t="s">
        <v>16802</v>
      </c>
      <c r="AY876" s="77"/>
      <c r="AZ876" s="80" t="s">
        <v>20380</v>
      </c>
      <c r="BA876" s="80" t="s">
        <v>20380</v>
      </c>
      <c r="BB876" s="80" t="s">
        <v>20380</v>
      </c>
      <c r="BC876" s="80" t="s">
        <v>16802</v>
      </c>
      <c r="BD876" s="77">
        <v>142393421</v>
      </c>
      <c r="BE876" s="77"/>
      <c r="BF876" s="77"/>
      <c r="BG876" s="77"/>
      <c r="BH876" s="77"/>
      <c r="BI876" s="77"/>
    </row>
    <row r="877" spans="1:61" x14ac:dyDescent="0.25">
      <c r="A877" s="62" t="s">
        <v>547</v>
      </c>
      <c r="B877" s="62" t="s">
        <v>1804</v>
      </c>
      <c r="C877" s="63"/>
      <c r="D877" s="64"/>
      <c r="E877" s="65"/>
      <c r="F877" s="66"/>
      <c r="G877" s="63"/>
      <c r="H877" s="67"/>
      <c r="I877" s="68"/>
      <c r="J877" s="68"/>
      <c r="K877" s="32"/>
      <c r="L877" s="75">
        <v>877</v>
      </c>
      <c r="M877" s="75"/>
      <c r="N877" s="70"/>
      <c r="O877" s="77" t="s">
        <v>2081</v>
      </c>
      <c r="P877" s="79">
        <v>45099.115115740744</v>
      </c>
      <c r="Q877" s="77" t="s">
        <v>2845</v>
      </c>
      <c r="R877" s="77">
        <v>259</v>
      </c>
      <c r="S877" s="77">
        <v>1147</v>
      </c>
      <c r="T877" s="77">
        <v>110</v>
      </c>
      <c r="U877" s="77">
        <v>46</v>
      </c>
      <c r="V877" s="77">
        <v>90136</v>
      </c>
      <c r="W877" s="80" t="s">
        <v>6522</v>
      </c>
      <c r="X877" s="83" t="str">
        <f>HYPERLINK("http://glo.bo/2Mxn1fC")</f>
        <v>http://glo.bo/2Mxn1fC</v>
      </c>
      <c r="Y877" s="77" t="s">
        <v>8692</v>
      </c>
      <c r="Z877" s="77" t="s">
        <v>1804</v>
      </c>
      <c r="AA877" s="77" t="s">
        <v>9300</v>
      </c>
      <c r="AB877" s="77" t="s">
        <v>10534</v>
      </c>
      <c r="AC877" s="80" t="s">
        <v>10571</v>
      </c>
      <c r="AD877" s="77" t="s">
        <v>10617</v>
      </c>
      <c r="AE877" s="83" t="str">
        <f>HYPERLINK("https://twitter.com/globonews/status/1671711044836655105")</f>
        <v>https://twitter.com/globonews/status/1671711044836655105</v>
      </c>
      <c r="AF877" s="79">
        <v>45099.115115740744</v>
      </c>
      <c r="AG877" s="85">
        <v>45099</v>
      </c>
      <c r="AH877" s="80" t="s">
        <v>11407</v>
      </c>
      <c r="AI877" s="77" t="b">
        <v>0</v>
      </c>
      <c r="AJ877" s="77"/>
      <c r="AK877" s="77"/>
      <c r="AL877" s="77"/>
      <c r="AM877" s="77"/>
      <c r="AN877" s="77"/>
      <c r="AO877" s="77"/>
      <c r="AP877" s="77"/>
      <c r="AQ877" s="77" t="s">
        <v>14782</v>
      </c>
      <c r="AR877" s="77">
        <v>93420</v>
      </c>
      <c r="AS877" s="77"/>
      <c r="AT877" s="77"/>
      <c r="AU877" s="77"/>
      <c r="AV877" s="83" t="str">
        <f>HYPERLINK("https://pbs.twimg.com/amplify_video_thumb/1671710772588838912/img/vlXGzfLlO_C2JoQx.jpg")</f>
        <v>https://pbs.twimg.com/amplify_video_thumb/1671710772588838912/img/vlXGzfLlO_C2JoQx.jpg</v>
      </c>
      <c r="AW877" s="80" t="s">
        <v>16805</v>
      </c>
      <c r="AX877" s="80" t="s">
        <v>16805</v>
      </c>
      <c r="AY877" s="77"/>
      <c r="AZ877" s="80" t="s">
        <v>20380</v>
      </c>
      <c r="BA877" s="80" t="s">
        <v>20380</v>
      </c>
      <c r="BB877" s="80" t="s">
        <v>20380</v>
      </c>
      <c r="BC877" s="80" t="s">
        <v>16805</v>
      </c>
      <c r="BD877" s="77">
        <v>142393421</v>
      </c>
      <c r="BE877" s="77"/>
      <c r="BF877" s="77"/>
      <c r="BG877" s="77"/>
      <c r="BH877" s="77"/>
      <c r="BI877" s="77"/>
    </row>
    <row r="878" spans="1:61" x14ac:dyDescent="0.25">
      <c r="A878" s="62" t="s">
        <v>548</v>
      </c>
      <c r="B878" s="62" t="s">
        <v>548</v>
      </c>
      <c r="C878" s="63"/>
      <c r="D878" s="64"/>
      <c r="E878" s="65"/>
      <c r="F878" s="66"/>
      <c r="G878" s="63"/>
      <c r="H878" s="67"/>
      <c r="I878" s="68"/>
      <c r="J878" s="68"/>
      <c r="K878" s="32"/>
      <c r="L878" s="75">
        <v>878</v>
      </c>
      <c r="M878" s="75"/>
      <c r="N878" s="70"/>
      <c r="O878" s="77" t="s">
        <v>179</v>
      </c>
      <c r="P878" s="79">
        <v>45131.471354166664</v>
      </c>
      <c r="Q878" s="77" t="s">
        <v>2846</v>
      </c>
      <c r="R878" s="77">
        <v>0</v>
      </c>
      <c r="S878" s="77">
        <v>0</v>
      </c>
      <c r="T878" s="77">
        <v>0</v>
      </c>
      <c r="U878" s="77">
        <v>0</v>
      </c>
      <c r="V878" s="77">
        <v>2</v>
      </c>
      <c r="W878" s="80" t="s">
        <v>6523</v>
      </c>
      <c r="X878" s="83" t="str">
        <f>HYPERLINK("https://hojebahia.com.br/noticia/773/selic-de-13-75-derruba-credito-ao-consumidor-e-de-micro-e-pequenas-industrias.html")</f>
        <v>https://hojebahia.com.br/noticia/773/selic-de-13-75-derruba-credito-ao-consumidor-e-de-micro-e-pequenas-industrias.html</v>
      </c>
      <c r="Y878" s="77" t="s">
        <v>8611</v>
      </c>
      <c r="Z878" s="77"/>
      <c r="AA878" s="77"/>
      <c r="AB878" s="77"/>
      <c r="AC878" s="80" t="s">
        <v>10540</v>
      </c>
      <c r="AD878" s="77" t="s">
        <v>10617</v>
      </c>
      <c r="AE878" s="83" t="str">
        <f>HYPERLINK("https://twitter.com/hojebahia/status/1683436551982686209")</f>
        <v>https://twitter.com/hojebahia/status/1683436551982686209</v>
      </c>
      <c r="AF878" s="79">
        <v>45131.471354166664</v>
      </c>
      <c r="AG878" s="85">
        <v>45131</v>
      </c>
      <c r="AH878" s="80" t="s">
        <v>11408</v>
      </c>
      <c r="AI878" s="77" t="b">
        <v>0</v>
      </c>
      <c r="AJ878" s="77"/>
      <c r="AK878" s="77"/>
      <c r="AL878" s="77"/>
      <c r="AM878" s="77"/>
      <c r="AN878" s="77"/>
      <c r="AO878" s="77"/>
      <c r="AP878" s="77"/>
      <c r="AQ878" s="77"/>
      <c r="AR878" s="77"/>
      <c r="AS878" s="77"/>
      <c r="AT878" s="77"/>
      <c r="AU878" s="77"/>
      <c r="AV878" s="83" t="str">
        <f>HYPERLINK("https://pbs.twimg.com/profile_images/1671583559792959497/2e1N46Vq_normal.jpg")</f>
        <v>https://pbs.twimg.com/profile_images/1671583559792959497/2e1N46Vq_normal.jpg</v>
      </c>
      <c r="AW878" s="80" t="s">
        <v>16806</v>
      </c>
      <c r="AX878" s="80" t="s">
        <v>16806</v>
      </c>
      <c r="AY878" s="77"/>
      <c r="AZ878" s="80" t="s">
        <v>20380</v>
      </c>
      <c r="BA878" s="80" t="s">
        <v>20380</v>
      </c>
      <c r="BB878" s="80" t="s">
        <v>20380</v>
      </c>
      <c r="BC878" s="80" t="s">
        <v>16806</v>
      </c>
      <c r="BD878" s="80" t="s">
        <v>20654</v>
      </c>
      <c r="BE878" s="77"/>
      <c r="BF878" s="77"/>
      <c r="BG878" s="77"/>
      <c r="BH878" s="77"/>
      <c r="BI878" s="77"/>
    </row>
    <row r="879" spans="1:61" x14ac:dyDescent="0.25">
      <c r="A879" s="62" t="s">
        <v>548</v>
      </c>
      <c r="B879" s="62" t="s">
        <v>548</v>
      </c>
      <c r="C879" s="63"/>
      <c r="D879" s="64"/>
      <c r="E879" s="65"/>
      <c r="F879" s="66"/>
      <c r="G879" s="63"/>
      <c r="H879" s="67"/>
      <c r="I879" s="68"/>
      <c r="J879" s="68"/>
      <c r="K879" s="32"/>
      <c r="L879" s="75">
        <v>879</v>
      </c>
      <c r="M879" s="75"/>
      <c r="N879" s="70"/>
      <c r="O879" s="77" t="s">
        <v>179</v>
      </c>
      <c r="P879" s="79">
        <v>45135.437025462961</v>
      </c>
      <c r="Q879" s="77" t="s">
        <v>2847</v>
      </c>
      <c r="R879" s="77">
        <v>0</v>
      </c>
      <c r="S879" s="77">
        <v>0</v>
      </c>
      <c r="T879" s="77">
        <v>0</v>
      </c>
      <c r="U879" s="77">
        <v>0</v>
      </c>
      <c r="V879" s="77">
        <v>7</v>
      </c>
      <c r="W879" s="80" t="s">
        <v>6524</v>
      </c>
      <c r="X879" s="83" t="str">
        <f>HYPERLINK("https://hojebahia.com.br/noticia/878/ha-colecao-de-fatores-para-a-queda-dos-juros-diz-haddad.html")</f>
        <v>https://hojebahia.com.br/noticia/878/ha-colecao-de-fatores-para-a-queda-dos-juros-diz-haddad.html</v>
      </c>
      <c r="Y879" s="77" t="s">
        <v>8611</v>
      </c>
      <c r="Z879" s="77"/>
      <c r="AA879" s="77"/>
      <c r="AB879" s="77"/>
      <c r="AC879" s="80" t="s">
        <v>10540</v>
      </c>
      <c r="AD879" s="77" t="s">
        <v>10617</v>
      </c>
      <c r="AE879" s="83" t="str">
        <f>HYPERLINK("https://twitter.com/hojebahia/status/1684873661948268544")</f>
        <v>https://twitter.com/hojebahia/status/1684873661948268544</v>
      </c>
      <c r="AF879" s="79">
        <v>45135.437025462961</v>
      </c>
      <c r="AG879" s="85">
        <v>45135</v>
      </c>
      <c r="AH879" s="80" t="s">
        <v>11409</v>
      </c>
      <c r="AI879" s="77" t="b">
        <v>0</v>
      </c>
      <c r="AJ879" s="77"/>
      <c r="AK879" s="77"/>
      <c r="AL879" s="77"/>
      <c r="AM879" s="77"/>
      <c r="AN879" s="77"/>
      <c r="AO879" s="77"/>
      <c r="AP879" s="77"/>
      <c r="AQ879" s="77"/>
      <c r="AR879" s="77"/>
      <c r="AS879" s="77"/>
      <c r="AT879" s="77"/>
      <c r="AU879" s="77"/>
      <c r="AV879" s="83" t="str">
        <f>HYPERLINK("https://pbs.twimg.com/profile_images/1671583559792959497/2e1N46Vq_normal.jpg")</f>
        <v>https://pbs.twimg.com/profile_images/1671583559792959497/2e1N46Vq_normal.jpg</v>
      </c>
      <c r="AW879" s="80" t="s">
        <v>16807</v>
      </c>
      <c r="AX879" s="80" t="s">
        <v>16807</v>
      </c>
      <c r="AY879" s="77"/>
      <c r="AZ879" s="80" t="s">
        <v>20380</v>
      </c>
      <c r="BA879" s="80" t="s">
        <v>20380</v>
      </c>
      <c r="BB879" s="80" t="s">
        <v>20380</v>
      </c>
      <c r="BC879" s="80" t="s">
        <v>16807</v>
      </c>
      <c r="BD879" s="80" t="s">
        <v>20654</v>
      </c>
      <c r="BE879" s="77"/>
      <c r="BF879" s="77"/>
      <c r="BG879" s="77"/>
      <c r="BH879" s="77"/>
      <c r="BI879" s="77"/>
    </row>
    <row r="880" spans="1:61" x14ac:dyDescent="0.25">
      <c r="A880" s="62" t="s">
        <v>548</v>
      </c>
      <c r="B880" s="62" t="s">
        <v>548</v>
      </c>
      <c r="C880" s="63"/>
      <c r="D880" s="64"/>
      <c r="E880" s="65"/>
      <c r="F880" s="66"/>
      <c r="G880" s="63"/>
      <c r="H880" s="67"/>
      <c r="I880" s="68"/>
      <c r="J880" s="68"/>
      <c r="K880" s="32"/>
      <c r="L880" s="75">
        <v>880</v>
      </c>
      <c r="M880" s="75"/>
      <c r="N880" s="70"/>
      <c r="O880" s="77" t="s">
        <v>179</v>
      </c>
      <c r="P880" s="79">
        <v>45125.430636574078</v>
      </c>
      <c r="Q880" s="77" t="s">
        <v>2848</v>
      </c>
      <c r="R880" s="77">
        <v>0</v>
      </c>
      <c r="S880" s="77">
        <v>0</v>
      </c>
      <c r="T880" s="77">
        <v>0</v>
      </c>
      <c r="U880" s="77">
        <v>0</v>
      </c>
      <c r="V880" s="77">
        <v>6</v>
      </c>
      <c r="W880" s="80" t="s">
        <v>6525</v>
      </c>
      <c r="X880" s="83" t="str">
        <f>HYPERLINK("https://hojebahia.com.br/noticia/680/desaceleracao-da-economia-pelo-bc-chegou-forte-avalia-haddad.html")</f>
        <v>https://hojebahia.com.br/noticia/680/desaceleracao-da-economia-pelo-bc-chegou-forte-avalia-haddad.html</v>
      </c>
      <c r="Y880" s="77" t="s">
        <v>8611</v>
      </c>
      <c r="Z880" s="77"/>
      <c r="AA880" s="77"/>
      <c r="AB880" s="77"/>
      <c r="AC880" s="80" t="s">
        <v>10540</v>
      </c>
      <c r="AD880" s="77" t="s">
        <v>10617</v>
      </c>
      <c r="AE880" s="83" t="str">
        <f>HYPERLINK("https://twitter.com/hojebahia/status/1681247470968242176")</f>
        <v>https://twitter.com/hojebahia/status/1681247470968242176</v>
      </c>
      <c r="AF880" s="79">
        <v>45125.430636574078</v>
      </c>
      <c r="AG880" s="85">
        <v>45125</v>
      </c>
      <c r="AH880" s="80" t="s">
        <v>11410</v>
      </c>
      <c r="AI880" s="77" t="b">
        <v>0</v>
      </c>
      <c r="AJ880" s="77"/>
      <c r="AK880" s="77"/>
      <c r="AL880" s="77"/>
      <c r="AM880" s="77"/>
      <c r="AN880" s="77"/>
      <c r="AO880" s="77"/>
      <c r="AP880" s="77"/>
      <c r="AQ880" s="77"/>
      <c r="AR880" s="77"/>
      <c r="AS880" s="77"/>
      <c r="AT880" s="77"/>
      <c r="AU880" s="77"/>
      <c r="AV880" s="83" t="str">
        <f>HYPERLINK("https://pbs.twimg.com/profile_images/1671583559792959497/2e1N46Vq_normal.jpg")</f>
        <v>https://pbs.twimg.com/profile_images/1671583559792959497/2e1N46Vq_normal.jpg</v>
      </c>
      <c r="AW880" s="80" t="s">
        <v>16808</v>
      </c>
      <c r="AX880" s="80" t="s">
        <v>16808</v>
      </c>
      <c r="AY880" s="77"/>
      <c r="AZ880" s="80" t="s">
        <v>20380</v>
      </c>
      <c r="BA880" s="80" t="s">
        <v>20380</v>
      </c>
      <c r="BB880" s="80" t="s">
        <v>20380</v>
      </c>
      <c r="BC880" s="80" t="s">
        <v>16808</v>
      </c>
      <c r="BD880" s="80" t="s">
        <v>20654</v>
      </c>
      <c r="BE880" s="77"/>
      <c r="BF880" s="77"/>
      <c r="BG880" s="77"/>
      <c r="BH880" s="77"/>
      <c r="BI880" s="77"/>
    </row>
    <row r="881" spans="1:61" x14ac:dyDescent="0.25">
      <c r="A881" s="62" t="s">
        <v>548</v>
      </c>
      <c r="B881" s="62" t="s">
        <v>548</v>
      </c>
      <c r="C881" s="63"/>
      <c r="D881" s="64"/>
      <c r="E881" s="65"/>
      <c r="F881" s="66"/>
      <c r="G881" s="63"/>
      <c r="H881" s="67"/>
      <c r="I881" s="68"/>
      <c r="J881" s="68"/>
      <c r="K881" s="32"/>
      <c r="L881" s="75">
        <v>881</v>
      </c>
      <c r="M881" s="75"/>
      <c r="N881" s="70"/>
      <c r="O881" s="77" t="s">
        <v>179</v>
      </c>
      <c r="P881" s="79">
        <v>45124.819421296299</v>
      </c>
      <c r="Q881" s="77" t="s">
        <v>2849</v>
      </c>
      <c r="R881" s="77">
        <v>0</v>
      </c>
      <c r="S881" s="77">
        <v>0</v>
      </c>
      <c r="T881" s="77">
        <v>0</v>
      </c>
      <c r="U881" s="77">
        <v>0</v>
      </c>
      <c r="V881" s="77">
        <v>9</v>
      </c>
      <c r="W881" s="80" t="s">
        <v>6526</v>
      </c>
      <c r="X881" s="83" t="str">
        <f>HYPERLINK("https://hojebahia.com.br/noticia/673/mercado-preve-pib-de-2-24-este-ano.html")</f>
        <v>https://hojebahia.com.br/noticia/673/mercado-preve-pib-de-2-24-este-ano.html</v>
      </c>
      <c r="Y881" s="77" t="s">
        <v>8611</v>
      </c>
      <c r="Z881" s="77"/>
      <c r="AA881" s="77"/>
      <c r="AB881" s="77"/>
      <c r="AC881" s="80" t="s">
        <v>10540</v>
      </c>
      <c r="AD881" s="77" t="s">
        <v>10617</v>
      </c>
      <c r="AE881" s="83" t="str">
        <f>HYPERLINK("https://twitter.com/hojebahia/status/1681025974551420928")</f>
        <v>https://twitter.com/hojebahia/status/1681025974551420928</v>
      </c>
      <c r="AF881" s="79">
        <v>45124.819421296299</v>
      </c>
      <c r="AG881" s="85">
        <v>45124</v>
      </c>
      <c r="AH881" s="80" t="s">
        <v>11411</v>
      </c>
      <c r="AI881" s="77" t="b">
        <v>0</v>
      </c>
      <c r="AJ881" s="77"/>
      <c r="AK881" s="77"/>
      <c r="AL881" s="77"/>
      <c r="AM881" s="77"/>
      <c r="AN881" s="77"/>
      <c r="AO881" s="77"/>
      <c r="AP881" s="77"/>
      <c r="AQ881" s="77"/>
      <c r="AR881" s="77"/>
      <c r="AS881" s="77"/>
      <c r="AT881" s="77"/>
      <c r="AU881" s="77"/>
      <c r="AV881" s="83" t="str">
        <f>HYPERLINK("https://pbs.twimg.com/profile_images/1671583559792959497/2e1N46Vq_normal.jpg")</f>
        <v>https://pbs.twimg.com/profile_images/1671583559792959497/2e1N46Vq_normal.jpg</v>
      </c>
      <c r="AW881" s="80" t="s">
        <v>16809</v>
      </c>
      <c r="AX881" s="80" t="s">
        <v>16809</v>
      </c>
      <c r="AY881" s="77"/>
      <c r="AZ881" s="80" t="s">
        <v>20380</v>
      </c>
      <c r="BA881" s="80" t="s">
        <v>20380</v>
      </c>
      <c r="BB881" s="80" t="s">
        <v>20380</v>
      </c>
      <c r="BC881" s="80" t="s">
        <v>16809</v>
      </c>
      <c r="BD881" s="80" t="s">
        <v>20654</v>
      </c>
      <c r="BE881" s="77"/>
      <c r="BF881" s="77"/>
      <c r="BG881" s="77"/>
      <c r="BH881" s="77"/>
      <c r="BI881" s="77"/>
    </row>
    <row r="882" spans="1:61" x14ac:dyDescent="0.25">
      <c r="A882" s="62" t="s">
        <v>548</v>
      </c>
      <c r="B882" s="62" t="s">
        <v>548</v>
      </c>
      <c r="C882" s="63"/>
      <c r="D882" s="64"/>
      <c r="E882" s="65"/>
      <c r="F882" s="66"/>
      <c r="G882" s="63"/>
      <c r="H882" s="67"/>
      <c r="I882" s="68"/>
      <c r="J882" s="68"/>
      <c r="K882" s="32"/>
      <c r="L882" s="75">
        <v>882</v>
      </c>
      <c r="M882" s="75"/>
      <c r="N882" s="70"/>
      <c r="O882" s="77" t="s">
        <v>179</v>
      </c>
      <c r="P882" s="79">
        <v>45128.492719907408</v>
      </c>
      <c r="Q882" s="77" t="s">
        <v>2850</v>
      </c>
      <c r="R882" s="77">
        <v>0</v>
      </c>
      <c r="S882" s="77">
        <v>0</v>
      </c>
      <c r="T882" s="77">
        <v>0</v>
      </c>
      <c r="U882" s="77">
        <v>0</v>
      </c>
      <c r="V882" s="77">
        <v>8</v>
      </c>
      <c r="W882" s="80" t="s">
        <v>6527</v>
      </c>
      <c r="X882" s="83" t="str">
        <f>HYPERLINK("https://hojebahia.com.br/noticia/732/com-lula-economia-cresce-com-geracao-de-emprego-e-renda.html")</f>
        <v>https://hojebahia.com.br/noticia/732/com-lula-economia-cresce-com-geracao-de-emprego-e-renda.html</v>
      </c>
      <c r="Y882" s="77" t="s">
        <v>8611</v>
      </c>
      <c r="Z882" s="77"/>
      <c r="AA882" s="77"/>
      <c r="AB882" s="77"/>
      <c r="AC882" s="80" t="s">
        <v>10540</v>
      </c>
      <c r="AD882" s="77" t="s">
        <v>10617</v>
      </c>
      <c r="AE882" s="83" t="str">
        <f>HYPERLINK("https://twitter.com/hojebahia/status/1682357133541621761")</f>
        <v>https://twitter.com/hojebahia/status/1682357133541621761</v>
      </c>
      <c r="AF882" s="79">
        <v>45128.492719907408</v>
      </c>
      <c r="AG882" s="85">
        <v>45128</v>
      </c>
      <c r="AH882" s="80" t="s">
        <v>11412</v>
      </c>
      <c r="AI882" s="77" t="b">
        <v>0</v>
      </c>
      <c r="AJ882" s="77"/>
      <c r="AK882" s="77"/>
      <c r="AL882" s="77"/>
      <c r="AM882" s="77"/>
      <c r="AN882" s="77"/>
      <c r="AO882" s="77"/>
      <c r="AP882" s="77"/>
      <c r="AQ882" s="77"/>
      <c r="AR882" s="77"/>
      <c r="AS882" s="77"/>
      <c r="AT882" s="77"/>
      <c r="AU882" s="77"/>
      <c r="AV882" s="83" t="str">
        <f>HYPERLINK("https://pbs.twimg.com/profile_images/1671583559792959497/2e1N46Vq_normal.jpg")</f>
        <v>https://pbs.twimg.com/profile_images/1671583559792959497/2e1N46Vq_normal.jpg</v>
      </c>
      <c r="AW882" s="80" t="s">
        <v>16810</v>
      </c>
      <c r="AX882" s="80" t="s">
        <v>16810</v>
      </c>
      <c r="AY882" s="77"/>
      <c r="AZ882" s="80" t="s">
        <v>20380</v>
      </c>
      <c r="BA882" s="80" t="s">
        <v>20380</v>
      </c>
      <c r="BB882" s="80" t="s">
        <v>20380</v>
      </c>
      <c r="BC882" s="80" t="s">
        <v>16810</v>
      </c>
      <c r="BD882" s="80" t="s">
        <v>20654</v>
      </c>
      <c r="BE882" s="77"/>
      <c r="BF882" s="77"/>
      <c r="BG882" s="77"/>
      <c r="BH882" s="77"/>
      <c r="BI882" s="77"/>
    </row>
    <row r="883" spans="1:61" x14ac:dyDescent="0.25">
      <c r="A883" s="62" t="s">
        <v>548</v>
      </c>
      <c r="B883" s="62" t="s">
        <v>548</v>
      </c>
      <c r="C883" s="63"/>
      <c r="D883" s="64"/>
      <c r="E883" s="65"/>
      <c r="F883" s="66"/>
      <c r="G883" s="63"/>
      <c r="H883" s="67"/>
      <c r="I883" s="68"/>
      <c r="J883" s="68"/>
      <c r="K883" s="32"/>
      <c r="L883" s="75">
        <v>883</v>
      </c>
      <c r="M883" s="75"/>
      <c r="N883" s="70"/>
      <c r="O883" s="77" t="s">
        <v>179</v>
      </c>
      <c r="P883" s="79">
        <v>45126.000972222224</v>
      </c>
      <c r="Q883" s="77" t="s">
        <v>2851</v>
      </c>
      <c r="R883" s="77">
        <v>0</v>
      </c>
      <c r="S883" s="77">
        <v>0</v>
      </c>
      <c r="T883" s="77">
        <v>0</v>
      </c>
      <c r="U883" s="77">
        <v>0</v>
      </c>
      <c r="V883" s="77">
        <v>15</v>
      </c>
      <c r="W883" s="80" t="s">
        <v>6528</v>
      </c>
      <c r="X883" s="83" t="str">
        <f>HYPERLINK("https://hojebahia.com.br/noticia/706/bc-fara-consultas-publicas-para-regular-mercado-de-criptoativos.html")</f>
        <v>https://hojebahia.com.br/noticia/706/bc-fara-consultas-publicas-para-regular-mercado-de-criptoativos.html</v>
      </c>
      <c r="Y883" s="77" t="s">
        <v>8611</v>
      </c>
      <c r="Z883" s="77"/>
      <c r="AA883" s="77"/>
      <c r="AB883" s="77"/>
      <c r="AC883" s="80" t="s">
        <v>10540</v>
      </c>
      <c r="AD883" s="77" t="s">
        <v>10620</v>
      </c>
      <c r="AE883" s="83" t="str">
        <f>HYPERLINK("https://twitter.com/hojebahia/status/1681454152793358339")</f>
        <v>https://twitter.com/hojebahia/status/1681454152793358339</v>
      </c>
      <c r="AF883" s="79">
        <v>45126.000972222224</v>
      </c>
      <c r="AG883" s="85">
        <v>45126</v>
      </c>
      <c r="AH883" s="80" t="s">
        <v>11413</v>
      </c>
      <c r="AI883" s="77" t="b">
        <v>0</v>
      </c>
      <c r="AJ883" s="77"/>
      <c r="AK883" s="77"/>
      <c r="AL883" s="77"/>
      <c r="AM883" s="77"/>
      <c r="AN883" s="77"/>
      <c r="AO883" s="77"/>
      <c r="AP883" s="77"/>
      <c r="AQ883" s="77"/>
      <c r="AR883" s="77"/>
      <c r="AS883" s="77"/>
      <c r="AT883" s="77"/>
      <c r="AU883" s="77"/>
      <c r="AV883" s="83" t="str">
        <f>HYPERLINK("https://pbs.twimg.com/profile_images/1671583559792959497/2e1N46Vq_normal.jpg")</f>
        <v>https://pbs.twimg.com/profile_images/1671583559792959497/2e1N46Vq_normal.jpg</v>
      </c>
      <c r="AW883" s="80" t="s">
        <v>16811</v>
      </c>
      <c r="AX883" s="80" t="s">
        <v>16811</v>
      </c>
      <c r="AY883" s="77"/>
      <c r="AZ883" s="80" t="s">
        <v>20380</v>
      </c>
      <c r="BA883" s="80" t="s">
        <v>20380</v>
      </c>
      <c r="BB883" s="80" t="s">
        <v>20380</v>
      </c>
      <c r="BC883" s="80" t="s">
        <v>16811</v>
      </c>
      <c r="BD883" s="80" t="s">
        <v>20654</v>
      </c>
      <c r="BE883" s="77"/>
      <c r="BF883" s="77"/>
      <c r="BG883" s="77"/>
      <c r="BH883" s="77"/>
      <c r="BI883" s="77"/>
    </row>
    <row r="884" spans="1:61" x14ac:dyDescent="0.25">
      <c r="A884" s="62" t="s">
        <v>549</v>
      </c>
      <c r="B884" s="62" t="s">
        <v>549</v>
      </c>
      <c r="C884" s="63"/>
      <c r="D884" s="64"/>
      <c r="E884" s="65"/>
      <c r="F884" s="66"/>
      <c r="G884" s="63"/>
      <c r="H884" s="67"/>
      <c r="I884" s="68"/>
      <c r="J884" s="68"/>
      <c r="K884" s="32"/>
      <c r="L884" s="75">
        <v>884</v>
      </c>
      <c r="M884" s="75"/>
      <c r="N884" s="70"/>
      <c r="O884" s="77" t="s">
        <v>179</v>
      </c>
      <c r="P884" s="79">
        <v>45062.671678240738</v>
      </c>
      <c r="Q884" s="77" t="s">
        <v>2852</v>
      </c>
      <c r="R884" s="77">
        <v>1</v>
      </c>
      <c r="S884" s="77">
        <v>2</v>
      </c>
      <c r="T884" s="77">
        <v>0</v>
      </c>
      <c r="U884" s="77">
        <v>0</v>
      </c>
      <c r="V884" s="77">
        <v>67</v>
      </c>
      <c r="W884" s="80" t="s">
        <v>6529</v>
      </c>
      <c r="X884" s="77" t="s">
        <v>8601</v>
      </c>
      <c r="Y884" s="77" t="s">
        <v>8693</v>
      </c>
      <c r="Z884" s="77"/>
      <c r="AA884" s="77"/>
      <c r="AB884" s="77"/>
      <c r="AC884" s="80" t="s">
        <v>10540</v>
      </c>
      <c r="AD884" s="77" t="s">
        <v>10620</v>
      </c>
      <c r="AE884" s="83" t="str">
        <f>HYPERLINK("https://twitter.com/noticiasdecruce/status/1658504384676782080")</f>
        <v>https://twitter.com/noticiasdecruce/status/1658504384676782080</v>
      </c>
      <c r="AF884" s="79">
        <v>45062.671678240738</v>
      </c>
      <c r="AG884" s="85">
        <v>45062</v>
      </c>
      <c r="AH884" s="80" t="s">
        <v>11414</v>
      </c>
      <c r="AI884" s="77" t="b">
        <v>0</v>
      </c>
      <c r="AJ884" s="77"/>
      <c r="AK884" s="77"/>
      <c r="AL884" s="77"/>
      <c r="AM884" s="77"/>
      <c r="AN884" s="77"/>
      <c r="AO884" s="77"/>
      <c r="AP884" s="77"/>
      <c r="AQ884" s="77"/>
      <c r="AR884" s="77"/>
      <c r="AS884" s="77"/>
      <c r="AT884" s="77"/>
      <c r="AU884" s="77"/>
      <c r="AV884" s="83" t="str">
        <f>HYPERLINK("https://pbs.twimg.com/profile_images/1459895377935716356/mTaybhA3_normal.jpg")</f>
        <v>https://pbs.twimg.com/profile_images/1459895377935716356/mTaybhA3_normal.jpg</v>
      </c>
      <c r="AW884" s="80" t="s">
        <v>16812</v>
      </c>
      <c r="AX884" s="80" t="s">
        <v>16812</v>
      </c>
      <c r="AY884" s="77"/>
      <c r="AZ884" s="80" t="s">
        <v>20380</v>
      </c>
      <c r="BA884" s="80" t="s">
        <v>20380</v>
      </c>
      <c r="BB884" s="80" t="s">
        <v>20380</v>
      </c>
      <c r="BC884" s="80" t="s">
        <v>16812</v>
      </c>
      <c r="BD884" s="77">
        <v>39755430</v>
      </c>
      <c r="BE884" s="77"/>
      <c r="BF884" s="77"/>
      <c r="BG884" s="77"/>
      <c r="BH884" s="77"/>
      <c r="BI884" s="77"/>
    </row>
    <row r="885" spans="1:61" x14ac:dyDescent="0.25">
      <c r="A885" s="62" t="s">
        <v>550</v>
      </c>
      <c r="B885" s="62" t="s">
        <v>1767</v>
      </c>
      <c r="C885" s="63"/>
      <c r="D885" s="64"/>
      <c r="E885" s="65"/>
      <c r="F885" s="66"/>
      <c r="G885" s="63"/>
      <c r="H885" s="67"/>
      <c r="I885" s="68"/>
      <c r="J885" s="68"/>
      <c r="K885" s="32"/>
      <c r="L885" s="75">
        <v>885</v>
      </c>
      <c r="M885" s="75"/>
      <c r="N885" s="70"/>
      <c r="O885" s="77" t="s">
        <v>2081</v>
      </c>
      <c r="P885" s="79">
        <v>45164.308495370373</v>
      </c>
      <c r="Q885" s="77" t="s">
        <v>2853</v>
      </c>
      <c r="R885" s="77">
        <v>0</v>
      </c>
      <c r="S885" s="77">
        <v>0</v>
      </c>
      <c r="T885" s="77">
        <v>0</v>
      </c>
      <c r="U885" s="77">
        <v>0</v>
      </c>
      <c r="V885" s="77">
        <v>56</v>
      </c>
      <c r="W885" s="80" t="s">
        <v>6530</v>
      </c>
      <c r="X885" s="77"/>
      <c r="Y885" s="77"/>
      <c r="Z885" s="77" t="s">
        <v>1767</v>
      </c>
      <c r="AA885" s="77" t="s">
        <v>9301</v>
      </c>
      <c r="AB885" s="77" t="s">
        <v>10534</v>
      </c>
      <c r="AC885" s="80" t="s">
        <v>10541</v>
      </c>
      <c r="AD885" s="77" t="s">
        <v>10620</v>
      </c>
      <c r="AE885" s="83" t="str">
        <f>HYPERLINK("https://twitter.com/tentritetrisqui/status/1695336335538631059")</f>
        <v>https://twitter.com/tentritetrisqui/status/1695336335538631059</v>
      </c>
      <c r="AF885" s="79">
        <v>45164.308495370373</v>
      </c>
      <c r="AG885" s="85">
        <v>45164</v>
      </c>
      <c r="AH885" s="80" t="s">
        <v>11415</v>
      </c>
      <c r="AI885" s="77" t="b">
        <v>0</v>
      </c>
      <c r="AJ885" s="77"/>
      <c r="AK885" s="77"/>
      <c r="AL885" s="77"/>
      <c r="AM885" s="77"/>
      <c r="AN885" s="77"/>
      <c r="AO885" s="77"/>
      <c r="AP885" s="77"/>
      <c r="AQ885" s="77" t="s">
        <v>14783</v>
      </c>
      <c r="AR885" s="77">
        <v>52233</v>
      </c>
      <c r="AS885" s="77"/>
      <c r="AT885" s="77"/>
      <c r="AU885" s="77"/>
      <c r="AV885" s="83" t="str">
        <f>HYPERLINK("https://pbs.twimg.com/ext_tw_video_thumb/1695336072866037760/pu/img/ENpQ0qGG6uNUIm25.jpg")</f>
        <v>https://pbs.twimg.com/ext_tw_video_thumb/1695336072866037760/pu/img/ENpQ0qGG6uNUIm25.jpg</v>
      </c>
      <c r="AW885" s="80" t="s">
        <v>16813</v>
      </c>
      <c r="AX885" s="80" t="s">
        <v>16813</v>
      </c>
      <c r="AY885" s="77"/>
      <c r="AZ885" s="80" t="s">
        <v>20380</v>
      </c>
      <c r="BA885" s="80" t="s">
        <v>20380</v>
      </c>
      <c r="BB885" s="80" t="s">
        <v>20380</v>
      </c>
      <c r="BC885" s="80" t="s">
        <v>16813</v>
      </c>
      <c r="BD885" s="80" t="s">
        <v>20655</v>
      </c>
      <c r="BE885" s="77"/>
      <c r="BF885" s="77"/>
      <c r="BG885" s="77"/>
      <c r="BH885" s="77"/>
      <c r="BI885" s="77"/>
    </row>
    <row r="886" spans="1:61" x14ac:dyDescent="0.25">
      <c r="A886" s="62" t="s">
        <v>551</v>
      </c>
      <c r="B886" s="62" t="s">
        <v>1655</v>
      </c>
      <c r="C886" s="63"/>
      <c r="D886" s="64"/>
      <c r="E886" s="65"/>
      <c r="F886" s="66"/>
      <c r="G886" s="63"/>
      <c r="H886" s="67"/>
      <c r="I886" s="68"/>
      <c r="J886" s="68"/>
      <c r="K886" s="32"/>
      <c r="L886" s="75">
        <v>886</v>
      </c>
      <c r="M886" s="75"/>
      <c r="N886" s="70"/>
      <c r="O886" s="77" t="s">
        <v>2083</v>
      </c>
      <c r="P886" s="79">
        <v>45191.023182870369</v>
      </c>
      <c r="Q886" s="77" t="s">
        <v>2120</v>
      </c>
      <c r="R886" s="77">
        <v>57</v>
      </c>
      <c r="S886" s="77">
        <v>0</v>
      </c>
      <c r="T886" s="77">
        <v>0</v>
      </c>
      <c r="U886" s="77">
        <v>0</v>
      </c>
      <c r="V886" s="77"/>
      <c r="W886" s="80" t="s">
        <v>5917</v>
      </c>
      <c r="X886" s="77"/>
      <c r="Y886" s="77"/>
      <c r="Z886" s="77" t="s">
        <v>1655</v>
      </c>
      <c r="AA886" s="77"/>
      <c r="AB886" s="77"/>
      <c r="AC886" s="80" t="s">
        <v>10540</v>
      </c>
      <c r="AD886" s="77" t="s">
        <v>10617</v>
      </c>
      <c r="AE886" s="83" t="str">
        <f>HYPERLINK("https://twitter.com/rosangelaleme3/status/1705017412398043371")</f>
        <v>https://twitter.com/rosangelaleme3/status/1705017412398043371</v>
      </c>
      <c r="AF886" s="79">
        <v>45191.023182870369</v>
      </c>
      <c r="AG886" s="85">
        <v>45191</v>
      </c>
      <c r="AH886" s="80" t="s">
        <v>11416</v>
      </c>
      <c r="AI886" s="77"/>
      <c r="AJ886" s="77"/>
      <c r="AK886" s="77"/>
      <c r="AL886" s="77"/>
      <c r="AM886" s="77"/>
      <c r="AN886" s="77"/>
      <c r="AO886" s="77"/>
      <c r="AP886" s="77"/>
      <c r="AQ886" s="77"/>
      <c r="AR886" s="77"/>
      <c r="AS886" s="77"/>
      <c r="AT886" s="77"/>
      <c r="AU886" s="77"/>
      <c r="AV886" s="83" t="str">
        <f>HYPERLINK("https://pbs.twimg.com/profile_images/1326832897186205696/PSBUYWV4_normal.jpg")</f>
        <v>https://pbs.twimg.com/profile_images/1326832897186205696/PSBUYWV4_normal.jpg</v>
      </c>
      <c r="AW886" s="80" t="s">
        <v>16814</v>
      </c>
      <c r="AX886" s="80" t="s">
        <v>16814</v>
      </c>
      <c r="AY886" s="77"/>
      <c r="AZ886" s="80" t="s">
        <v>20380</v>
      </c>
      <c r="BA886" s="80" t="s">
        <v>20380</v>
      </c>
      <c r="BB886" s="80" t="s">
        <v>19843</v>
      </c>
      <c r="BC886" s="80" t="s">
        <v>19843</v>
      </c>
      <c r="BD886" s="80" t="s">
        <v>20656</v>
      </c>
      <c r="BE886" s="77"/>
      <c r="BF886" s="77"/>
      <c r="BG886" s="77"/>
      <c r="BH886" s="77"/>
      <c r="BI886" s="77"/>
    </row>
    <row r="887" spans="1:61" x14ac:dyDescent="0.25">
      <c r="A887" s="62" t="s">
        <v>552</v>
      </c>
      <c r="B887" s="62" t="s">
        <v>552</v>
      </c>
      <c r="C887" s="63"/>
      <c r="D887" s="64"/>
      <c r="E887" s="65"/>
      <c r="F887" s="66"/>
      <c r="G887" s="63"/>
      <c r="H887" s="67"/>
      <c r="I887" s="68"/>
      <c r="J887" s="68"/>
      <c r="K887" s="32"/>
      <c r="L887" s="75">
        <v>887</v>
      </c>
      <c r="M887" s="75"/>
      <c r="N887" s="70"/>
      <c r="O887" s="77" t="s">
        <v>179</v>
      </c>
      <c r="P887" s="79">
        <v>45108.083564814813</v>
      </c>
      <c r="Q887" s="77" t="s">
        <v>2854</v>
      </c>
      <c r="R887" s="77">
        <v>1</v>
      </c>
      <c r="S887" s="77">
        <v>2</v>
      </c>
      <c r="T887" s="77">
        <v>0</v>
      </c>
      <c r="U887" s="77">
        <v>0</v>
      </c>
      <c r="V887" s="77">
        <v>783</v>
      </c>
      <c r="W887" s="80" t="s">
        <v>5884</v>
      </c>
      <c r="X887" s="83" t="str">
        <f>HYPERLINK("https://mla.bs/a0c2b163")</f>
        <v>https://mla.bs/a0c2b163</v>
      </c>
      <c r="Y887" s="77" t="s">
        <v>8672</v>
      </c>
      <c r="Z887" s="77"/>
      <c r="AA887" s="77"/>
      <c r="AB887" s="77"/>
      <c r="AC887" s="80" t="s">
        <v>10550</v>
      </c>
      <c r="AD887" s="77" t="s">
        <v>10617</v>
      </c>
      <c r="AE887" s="83" t="str">
        <f>HYPERLINK("https://twitter.com/einvestidor/status/1674961099572035585")</f>
        <v>https://twitter.com/einvestidor/status/1674961099572035585</v>
      </c>
      <c r="AF887" s="79">
        <v>45108.083564814813</v>
      </c>
      <c r="AG887" s="85">
        <v>45108</v>
      </c>
      <c r="AH887" s="80" t="s">
        <v>11417</v>
      </c>
      <c r="AI887" s="77" t="b">
        <v>0</v>
      </c>
      <c r="AJ887" s="77"/>
      <c r="AK887" s="77"/>
      <c r="AL887" s="77"/>
      <c r="AM887" s="77"/>
      <c r="AN887" s="77"/>
      <c r="AO887" s="77"/>
      <c r="AP887" s="77"/>
      <c r="AQ887" s="77"/>
      <c r="AR887" s="77"/>
      <c r="AS887" s="77"/>
      <c r="AT887" s="77"/>
      <c r="AU887" s="77"/>
      <c r="AV887" s="83" t="str">
        <f>HYPERLINK("https://pbs.twimg.com/profile_images/1241147984924082183/gZgx_hL-_normal.jpg")</f>
        <v>https://pbs.twimg.com/profile_images/1241147984924082183/gZgx_hL-_normal.jpg</v>
      </c>
      <c r="AW887" s="80" t="s">
        <v>16815</v>
      </c>
      <c r="AX887" s="80" t="s">
        <v>16815</v>
      </c>
      <c r="AY887" s="77"/>
      <c r="AZ887" s="80" t="s">
        <v>20380</v>
      </c>
      <c r="BA887" s="80" t="s">
        <v>20380</v>
      </c>
      <c r="BB887" s="80" t="s">
        <v>20380</v>
      </c>
      <c r="BC887" s="80" t="s">
        <v>16815</v>
      </c>
      <c r="BD887" s="80" t="s">
        <v>20657</v>
      </c>
      <c r="BE887" s="77"/>
      <c r="BF887" s="77"/>
      <c r="BG887" s="77"/>
      <c r="BH887" s="77"/>
      <c r="BI887" s="77"/>
    </row>
    <row r="888" spans="1:61" x14ac:dyDescent="0.25">
      <c r="A888" s="62" t="s">
        <v>552</v>
      </c>
      <c r="B888" s="62" t="s">
        <v>552</v>
      </c>
      <c r="C888" s="63"/>
      <c r="D888" s="64"/>
      <c r="E888" s="65"/>
      <c r="F888" s="66"/>
      <c r="G888" s="63"/>
      <c r="H888" s="67"/>
      <c r="I888" s="68"/>
      <c r="J888" s="68"/>
      <c r="K888" s="32"/>
      <c r="L888" s="75">
        <v>888</v>
      </c>
      <c r="M888" s="75"/>
      <c r="N888" s="70"/>
      <c r="O888" s="77" t="s">
        <v>179</v>
      </c>
      <c r="P888" s="79">
        <v>45115.062638888892</v>
      </c>
      <c r="Q888" s="77" t="s">
        <v>2855</v>
      </c>
      <c r="R888" s="77">
        <v>2</v>
      </c>
      <c r="S888" s="77">
        <v>8</v>
      </c>
      <c r="T888" s="77">
        <v>0</v>
      </c>
      <c r="U888" s="77">
        <v>0</v>
      </c>
      <c r="V888" s="77">
        <v>1238</v>
      </c>
      <c r="W888" s="80" t="s">
        <v>5884</v>
      </c>
      <c r="X888" s="83" t="str">
        <f>HYPERLINK("https://mla.bs/5232a35b")</f>
        <v>https://mla.bs/5232a35b</v>
      </c>
      <c r="Y888" s="77" t="s">
        <v>8672</v>
      </c>
      <c r="Z888" s="77"/>
      <c r="AA888" s="77"/>
      <c r="AB888" s="77"/>
      <c r="AC888" s="80" t="s">
        <v>10550</v>
      </c>
      <c r="AD888" s="77" t="s">
        <v>10617</v>
      </c>
      <c r="AE888" s="83" t="str">
        <f>HYPERLINK("https://twitter.com/einvestidor/status/1677490234672521216")</f>
        <v>https://twitter.com/einvestidor/status/1677490234672521216</v>
      </c>
      <c r="AF888" s="79">
        <v>45115.062638888892</v>
      </c>
      <c r="AG888" s="85">
        <v>45115</v>
      </c>
      <c r="AH888" s="80" t="s">
        <v>11418</v>
      </c>
      <c r="AI888" s="77" t="b">
        <v>0</v>
      </c>
      <c r="AJ888" s="77"/>
      <c r="AK888" s="77"/>
      <c r="AL888" s="77"/>
      <c r="AM888" s="77"/>
      <c r="AN888" s="77"/>
      <c r="AO888" s="77"/>
      <c r="AP888" s="77"/>
      <c r="AQ888" s="77"/>
      <c r="AR888" s="77"/>
      <c r="AS888" s="77"/>
      <c r="AT888" s="77"/>
      <c r="AU888" s="77"/>
      <c r="AV888" s="83" t="str">
        <f>HYPERLINK("https://pbs.twimg.com/profile_images/1241147984924082183/gZgx_hL-_normal.jpg")</f>
        <v>https://pbs.twimg.com/profile_images/1241147984924082183/gZgx_hL-_normal.jpg</v>
      </c>
      <c r="AW888" s="80" t="s">
        <v>16816</v>
      </c>
      <c r="AX888" s="80" t="s">
        <v>16816</v>
      </c>
      <c r="AY888" s="77"/>
      <c r="AZ888" s="80" t="s">
        <v>20380</v>
      </c>
      <c r="BA888" s="80" t="s">
        <v>20380</v>
      </c>
      <c r="BB888" s="80" t="s">
        <v>20380</v>
      </c>
      <c r="BC888" s="80" t="s">
        <v>16816</v>
      </c>
      <c r="BD888" s="80" t="s">
        <v>20657</v>
      </c>
      <c r="BE888" s="77"/>
      <c r="BF888" s="77"/>
      <c r="BG888" s="77"/>
      <c r="BH888" s="77"/>
      <c r="BI888" s="77"/>
    </row>
    <row r="889" spans="1:61" x14ac:dyDescent="0.25">
      <c r="A889" s="62" t="s">
        <v>552</v>
      </c>
      <c r="B889" s="62" t="s">
        <v>552</v>
      </c>
      <c r="C889" s="63"/>
      <c r="D889" s="64"/>
      <c r="E889" s="65"/>
      <c r="F889" s="66"/>
      <c r="G889" s="63"/>
      <c r="H889" s="67"/>
      <c r="I889" s="68"/>
      <c r="J889" s="68"/>
      <c r="K889" s="32"/>
      <c r="L889" s="75">
        <v>889</v>
      </c>
      <c r="M889" s="75"/>
      <c r="N889" s="70"/>
      <c r="O889" s="77" t="s">
        <v>179</v>
      </c>
      <c r="P889" s="79">
        <v>45124.917233796295</v>
      </c>
      <c r="Q889" s="77" t="s">
        <v>2856</v>
      </c>
      <c r="R889" s="77">
        <v>0</v>
      </c>
      <c r="S889" s="77">
        <v>2</v>
      </c>
      <c r="T889" s="77">
        <v>0</v>
      </c>
      <c r="U889" s="77">
        <v>1</v>
      </c>
      <c r="V889" s="77">
        <v>758</v>
      </c>
      <c r="W889" s="80" t="s">
        <v>6531</v>
      </c>
      <c r="X889" s="83" t="str">
        <f>HYPERLINK("https://mla.bs/3be15bab")</f>
        <v>https://mla.bs/3be15bab</v>
      </c>
      <c r="Y889" s="77" t="s">
        <v>8672</v>
      </c>
      <c r="Z889" s="77"/>
      <c r="AA889" s="77"/>
      <c r="AB889" s="77"/>
      <c r="AC889" s="80" t="s">
        <v>10550</v>
      </c>
      <c r="AD889" s="77" t="s">
        <v>10617</v>
      </c>
      <c r="AE889" s="83" t="str">
        <f>HYPERLINK("https://twitter.com/einvestidor/status/1681061420400517120")</f>
        <v>https://twitter.com/einvestidor/status/1681061420400517120</v>
      </c>
      <c r="AF889" s="79">
        <v>45124.917233796295</v>
      </c>
      <c r="AG889" s="85">
        <v>45124</v>
      </c>
      <c r="AH889" s="80" t="s">
        <v>11419</v>
      </c>
      <c r="AI889" s="77" t="b">
        <v>0</v>
      </c>
      <c r="AJ889" s="77"/>
      <c r="AK889" s="77"/>
      <c r="AL889" s="77"/>
      <c r="AM889" s="77"/>
      <c r="AN889" s="77"/>
      <c r="AO889" s="77"/>
      <c r="AP889" s="77"/>
      <c r="AQ889" s="77"/>
      <c r="AR889" s="77"/>
      <c r="AS889" s="77"/>
      <c r="AT889" s="77"/>
      <c r="AU889" s="77"/>
      <c r="AV889" s="83" t="str">
        <f>HYPERLINK("https://pbs.twimg.com/profile_images/1241147984924082183/gZgx_hL-_normal.jpg")</f>
        <v>https://pbs.twimg.com/profile_images/1241147984924082183/gZgx_hL-_normal.jpg</v>
      </c>
      <c r="AW889" s="80" t="s">
        <v>16817</v>
      </c>
      <c r="AX889" s="80" t="s">
        <v>16817</v>
      </c>
      <c r="AY889" s="77"/>
      <c r="AZ889" s="80" t="s">
        <v>20380</v>
      </c>
      <c r="BA889" s="80" t="s">
        <v>20380</v>
      </c>
      <c r="BB889" s="80" t="s">
        <v>20380</v>
      </c>
      <c r="BC889" s="80" t="s">
        <v>16817</v>
      </c>
      <c r="BD889" s="80" t="s">
        <v>20657</v>
      </c>
      <c r="BE889" s="77"/>
      <c r="BF889" s="77"/>
      <c r="BG889" s="77"/>
      <c r="BH889" s="77"/>
      <c r="BI889" s="77"/>
    </row>
    <row r="890" spans="1:61" x14ac:dyDescent="0.25">
      <c r="A890" s="62" t="s">
        <v>553</v>
      </c>
      <c r="B890" s="62" t="s">
        <v>1805</v>
      </c>
      <c r="C890" s="63"/>
      <c r="D890" s="64"/>
      <c r="E890" s="65"/>
      <c r="F890" s="66"/>
      <c r="G890" s="63"/>
      <c r="H890" s="67"/>
      <c r="I890" s="68"/>
      <c r="J890" s="68"/>
      <c r="K890" s="32"/>
      <c r="L890" s="75">
        <v>890</v>
      </c>
      <c r="M890" s="75"/>
      <c r="N890" s="70"/>
      <c r="O890" s="77" t="s">
        <v>2081</v>
      </c>
      <c r="P890" s="79">
        <v>45085.565023148149</v>
      </c>
      <c r="Q890" s="77" t="s">
        <v>2857</v>
      </c>
      <c r="R890" s="77">
        <v>1</v>
      </c>
      <c r="S890" s="77">
        <v>0</v>
      </c>
      <c r="T890" s="77">
        <v>0</v>
      </c>
      <c r="U890" s="77">
        <v>0</v>
      </c>
      <c r="V890" s="77">
        <v>185</v>
      </c>
      <c r="W890" s="80" t="s">
        <v>6532</v>
      </c>
      <c r="X890" s="83" t="str">
        <f>HYPERLINK("https://youtube.com/@fundacionchile21")</f>
        <v>https://youtube.com/@fundacionchile21</v>
      </c>
      <c r="Y890" s="77" t="s">
        <v>8612</v>
      </c>
      <c r="Z890" s="77" t="s">
        <v>1805</v>
      </c>
      <c r="AA890" s="77" t="s">
        <v>9302</v>
      </c>
      <c r="AB890" s="77" t="s">
        <v>10535</v>
      </c>
      <c r="AC890" s="80" t="s">
        <v>10542</v>
      </c>
      <c r="AD890" s="77" t="s">
        <v>10620</v>
      </c>
      <c r="AE890" s="83" t="str">
        <f>HYPERLINK("https://twitter.com/chile_21/status/1666800655024164865")</f>
        <v>https://twitter.com/chile_21/status/1666800655024164865</v>
      </c>
      <c r="AF890" s="79">
        <v>45085.565023148149</v>
      </c>
      <c r="AG890" s="85">
        <v>45085</v>
      </c>
      <c r="AH890" s="80" t="s">
        <v>11420</v>
      </c>
      <c r="AI890" s="77" t="b">
        <v>0</v>
      </c>
      <c r="AJ890" s="77"/>
      <c r="AK890" s="77"/>
      <c r="AL890" s="77"/>
      <c r="AM890" s="77"/>
      <c r="AN890" s="77"/>
      <c r="AO890" s="77"/>
      <c r="AP890" s="77"/>
      <c r="AQ890" s="77" t="s">
        <v>14784</v>
      </c>
      <c r="AR890" s="77"/>
      <c r="AS890" s="77"/>
      <c r="AT890" s="77"/>
      <c r="AU890" s="77"/>
      <c r="AV890" s="83" t="str">
        <f>HYPERLINK("https://pbs.twimg.com/media/FyGqWp-XoAEa-t5.jpg")</f>
        <v>https://pbs.twimg.com/media/FyGqWp-XoAEa-t5.jpg</v>
      </c>
      <c r="AW890" s="80" t="s">
        <v>16818</v>
      </c>
      <c r="AX890" s="80" t="s">
        <v>16818</v>
      </c>
      <c r="AY890" s="77"/>
      <c r="AZ890" s="80" t="s">
        <v>20380</v>
      </c>
      <c r="BA890" s="80" t="s">
        <v>20380</v>
      </c>
      <c r="BB890" s="80" t="s">
        <v>20380</v>
      </c>
      <c r="BC890" s="80" t="s">
        <v>16818</v>
      </c>
      <c r="BD890" s="77">
        <v>157536579</v>
      </c>
      <c r="BE890" s="77"/>
      <c r="BF890" s="77"/>
      <c r="BG890" s="77"/>
      <c r="BH890" s="77"/>
      <c r="BI890" s="77"/>
    </row>
    <row r="891" spans="1:61" x14ac:dyDescent="0.25">
      <c r="A891" s="62" t="s">
        <v>554</v>
      </c>
      <c r="B891" s="62" t="s">
        <v>1217</v>
      </c>
      <c r="C891" s="63"/>
      <c r="D891" s="64"/>
      <c r="E891" s="65"/>
      <c r="F891" s="66"/>
      <c r="G891" s="63"/>
      <c r="H891" s="67"/>
      <c r="I891" s="68"/>
      <c r="J891" s="68"/>
      <c r="K891" s="32"/>
      <c r="L891" s="75">
        <v>891</v>
      </c>
      <c r="M891" s="75"/>
      <c r="N891" s="70"/>
      <c r="O891" s="77" t="s">
        <v>2084</v>
      </c>
      <c r="P891" s="79">
        <v>45164.654907407406</v>
      </c>
      <c r="Q891" s="77" t="s">
        <v>2858</v>
      </c>
      <c r="R891" s="77">
        <v>2</v>
      </c>
      <c r="S891" s="77">
        <v>14</v>
      </c>
      <c r="T891" s="77">
        <v>1</v>
      </c>
      <c r="U891" s="77">
        <v>0</v>
      </c>
      <c r="V891" s="77">
        <v>1501</v>
      </c>
      <c r="W891" s="80" t="s">
        <v>6533</v>
      </c>
      <c r="X891" s="77"/>
      <c r="Y891" s="77"/>
      <c r="Z891" s="77" t="s">
        <v>1217</v>
      </c>
      <c r="AA891" s="77"/>
      <c r="AB891" s="77"/>
      <c r="AC891" s="80" t="s">
        <v>10540</v>
      </c>
      <c r="AD891" s="77" t="s">
        <v>10620</v>
      </c>
      <c r="AE891" s="83" t="str">
        <f>HYPERLINK("https://twitter.com/martinkalos/status/1695461869337686276")</f>
        <v>https://twitter.com/martinkalos/status/1695461869337686276</v>
      </c>
      <c r="AF891" s="79">
        <v>45164.654907407406</v>
      </c>
      <c r="AG891" s="85">
        <v>45164</v>
      </c>
      <c r="AH891" s="80" t="s">
        <v>11421</v>
      </c>
      <c r="AI891" s="77"/>
      <c r="AJ891" s="77"/>
      <c r="AK891" s="77"/>
      <c r="AL891" s="77"/>
      <c r="AM891" s="77"/>
      <c r="AN891" s="77"/>
      <c r="AO891" s="77"/>
      <c r="AP891" s="77"/>
      <c r="AQ891" s="77"/>
      <c r="AR891" s="77"/>
      <c r="AS891" s="77"/>
      <c r="AT891" s="77"/>
      <c r="AU891" s="77"/>
      <c r="AV891" s="83" t="str">
        <f>HYPERLINK("https://pbs.twimg.com/profile_images/1440765029859557385/XRag9n-b_normal.jpg")</f>
        <v>https://pbs.twimg.com/profile_images/1440765029859557385/XRag9n-b_normal.jpg</v>
      </c>
      <c r="AW891" s="80" t="s">
        <v>16819</v>
      </c>
      <c r="AX891" s="80" t="s">
        <v>16819</v>
      </c>
      <c r="AY891" s="77"/>
      <c r="AZ891" s="80" t="s">
        <v>20380</v>
      </c>
      <c r="BA891" s="80" t="s">
        <v>18825</v>
      </c>
      <c r="BB891" s="80" t="s">
        <v>20380</v>
      </c>
      <c r="BC891" s="80" t="s">
        <v>18825</v>
      </c>
      <c r="BD891" s="77">
        <v>870178758</v>
      </c>
      <c r="BE891" s="77"/>
      <c r="BF891" s="77"/>
      <c r="BG891" s="77"/>
      <c r="BH891" s="77"/>
      <c r="BI891" s="77"/>
    </row>
    <row r="892" spans="1:61" x14ac:dyDescent="0.25">
      <c r="A892" s="62" t="s">
        <v>554</v>
      </c>
      <c r="B892" s="62" t="s">
        <v>1217</v>
      </c>
      <c r="C892" s="63"/>
      <c r="D892" s="64"/>
      <c r="E892" s="65"/>
      <c r="F892" s="66"/>
      <c r="G892" s="63"/>
      <c r="H892" s="67"/>
      <c r="I892" s="68"/>
      <c r="J892" s="68"/>
      <c r="K892" s="32"/>
      <c r="L892" s="75">
        <v>892</v>
      </c>
      <c r="M892" s="75"/>
      <c r="N892" s="70"/>
      <c r="O892" s="77" t="s">
        <v>2082</v>
      </c>
      <c r="P892" s="79">
        <v>45164.654907407406</v>
      </c>
      <c r="Q892" s="77" t="s">
        <v>2858</v>
      </c>
      <c r="R892" s="77">
        <v>2</v>
      </c>
      <c r="S892" s="77">
        <v>14</v>
      </c>
      <c r="T892" s="77">
        <v>1</v>
      </c>
      <c r="U892" s="77">
        <v>0</v>
      </c>
      <c r="V892" s="77">
        <v>1501</v>
      </c>
      <c r="W892" s="80" t="s">
        <v>6533</v>
      </c>
      <c r="X892" s="77"/>
      <c r="Y892" s="77"/>
      <c r="Z892" s="77" t="s">
        <v>1217</v>
      </c>
      <c r="AA892" s="77"/>
      <c r="AB892" s="77"/>
      <c r="AC892" s="80" t="s">
        <v>10540</v>
      </c>
      <c r="AD892" s="77" t="s">
        <v>10620</v>
      </c>
      <c r="AE892" s="83" t="str">
        <f>HYPERLINK("https://twitter.com/martinkalos/status/1695461869337686276")</f>
        <v>https://twitter.com/martinkalos/status/1695461869337686276</v>
      </c>
      <c r="AF892" s="79">
        <v>45164.654907407406</v>
      </c>
      <c r="AG892" s="85">
        <v>45164</v>
      </c>
      <c r="AH892" s="80" t="s">
        <v>11421</v>
      </c>
      <c r="AI892" s="77"/>
      <c r="AJ892" s="77"/>
      <c r="AK892" s="77"/>
      <c r="AL892" s="77"/>
      <c r="AM892" s="77"/>
      <c r="AN892" s="77"/>
      <c r="AO892" s="77"/>
      <c r="AP892" s="77"/>
      <c r="AQ892" s="77"/>
      <c r="AR892" s="77"/>
      <c r="AS892" s="77"/>
      <c r="AT892" s="77"/>
      <c r="AU892" s="77"/>
      <c r="AV892" s="83" t="str">
        <f>HYPERLINK("https://pbs.twimg.com/profile_images/1440765029859557385/XRag9n-b_normal.jpg")</f>
        <v>https://pbs.twimg.com/profile_images/1440765029859557385/XRag9n-b_normal.jpg</v>
      </c>
      <c r="AW892" s="80" t="s">
        <v>16819</v>
      </c>
      <c r="AX892" s="80" t="s">
        <v>16819</v>
      </c>
      <c r="AY892" s="77"/>
      <c r="AZ892" s="80" t="s">
        <v>20380</v>
      </c>
      <c r="BA892" s="80" t="s">
        <v>18825</v>
      </c>
      <c r="BB892" s="80" t="s">
        <v>20380</v>
      </c>
      <c r="BC892" s="80" t="s">
        <v>18825</v>
      </c>
      <c r="BD892" s="77">
        <v>870178758</v>
      </c>
      <c r="BE892" s="77"/>
      <c r="BF892" s="77"/>
      <c r="BG892" s="77"/>
      <c r="BH892" s="77"/>
      <c r="BI892" s="77"/>
    </row>
    <row r="893" spans="1:61" x14ac:dyDescent="0.25">
      <c r="A893" s="62" t="s">
        <v>555</v>
      </c>
      <c r="B893" s="62" t="s">
        <v>555</v>
      </c>
      <c r="C893" s="63"/>
      <c r="D893" s="64"/>
      <c r="E893" s="65"/>
      <c r="F893" s="66"/>
      <c r="G893" s="63"/>
      <c r="H893" s="67"/>
      <c r="I893" s="68"/>
      <c r="J893" s="68"/>
      <c r="K893" s="32"/>
      <c r="L893" s="75">
        <v>893</v>
      </c>
      <c r="M893" s="75"/>
      <c r="N893" s="70"/>
      <c r="O893" s="77" t="s">
        <v>179</v>
      </c>
      <c r="P893" s="79">
        <v>45152.622245370374</v>
      </c>
      <c r="Q893" s="77" t="s">
        <v>2859</v>
      </c>
      <c r="R893" s="77">
        <v>0</v>
      </c>
      <c r="S893" s="77">
        <v>0</v>
      </c>
      <c r="T893" s="77">
        <v>0</v>
      </c>
      <c r="U893" s="77">
        <v>0</v>
      </c>
      <c r="V893" s="77">
        <v>112</v>
      </c>
      <c r="W893" s="80" t="s">
        <v>6534</v>
      </c>
      <c r="X893" s="77"/>
      <c r="Y893" s="77"/>
      <c r="Z893" s="77"/>
      <c r="AA893" s="77" t="s">
        <v>9303</v>
      </c>
      <c r="AB893" s="77" t="s">
        <v>10534</v>
      </c>
      <c r="AC893" s="80" t="s">
        <v>10542</v>
      </c>
      <c r="AD893" s="77" t="s">
        <v>10620</v>
      </c>
      <c r="AE893" s="83" t="str">
        <f>HYPERLINK("https://twitter.com/ntsp_es/status/1691101377466920960")</f>
        <v>https://twitter.com/ntsp_es/status/1691101377466920960</v>
      </c>
      <c r="AF893" s="79">
        <v>45152.622245370374</v>
      </c>
      <c r="AG893" s="85">
        <v>45152</v>
      </c>
      <c r="AH893" s="80" t="s">
        <v>11422</v>
      </c>
      <c r="AI893" s="77" t="b">
        <v>0</v>
      </c>
      <c r="AJ893" s="77"/>
      <c r="AK893" s="77"/>
      <c r="AL893" s="77"/>
      <c r="AM893" s="77"/>
      <c r="AN893" s="77"/>
      <c r="AO893" s="77"/>
      <c r="AP893" s="77"/>
      <c r="AQ893" s="77" t="s">
        <v>14785</v>
      </c>
      <c r="AR893" s="77">
        <v>60000</v>
      </c>
      <c r="AS893" s="77"/>
      <c r="AT893" s="77"/>
      <c r="AU893" s="77"/>
      <c r="AV893" s="83" t="str">
        <f>HYPERLINK("https://pbs.twimg.com/ext_tw_video_thumb/1691101273955659778/pu/img/0MGTbhdVjaIYkt69.jpg")</f>
        <v>https://pbs.twimg.com/ext_tw_video_thumb/1691101273955659778/pu/img/0MGTbhdVjaIYkt69.jpg</v>
      </c>
      <c r="AW893" s="80" t="s">
        <v>16820</v>
      </c>
      <c r="AX893" s="80" t="s">
        <v>16820</v>
      </c>
      <c r="AY893" s="77"/>
      <c r="AZ893" s="80" t="s">
        <v>20380</v>
      </c>
      <c r="BA893" s="80" t="s">
        <v>20380</v>
      </c>
      <c r="BB893" s="80" t="s">
        <v>20380</v>
      </c>
      <c r="BC893" s="80" t="s">
        <v>16820</v>
      </c>
      <c r="BD893" s="80" t="s">
        <v>20658</v>
      </c>
      <c r="BE893" s="77"/>
      <c r="BF893" s="77"/>
      <c r="BG893" s="77"/>
      <c r="BH893" s="77"/>
      <c r="BI893" s="77"/>
    </row>
    <row r="894" spans="1:61" x14ac:dyDescent="0.25">
      <c r="A894" s="62" t="s">
        <v>556</v>
      </c>
      <c r="B894" s="62" t="s">
        <v>556</v>
      </c>
      <c r="C894" s="63"/>
      <c r="D894" s="64"/>
      <c r="E894" s="65"/>
      <c r="F894" s="66"/>
      <c r="G894" s="63"/>
      <c r="H894" s="67"/>
      <c r="I894" s="68"/>
      <c r="J894" s="68"/>
      <c r="K894" s="32"/>
      <c r="L894" s="75">
        <v>894</v>
      </c>
      <c r="M894" s="75"/>
      <c r="N894" s="70"/>
      <c r="O894" s="77" t="s">
        <v>179</v>
      </c>
      <c r="P894" s="79">
        <v>45049.955497685187</v>
      </c>
      <c r="Q894" s="77" t="s">
        <v>2860</v>
      </c>
      <c r="R894" s="77">
        <v>0</v>
      </c>
      <c r="S894" s="77">
        <v>0</v>
      </c>
      <c r="T894" s="77">
        <v>1</v>
      </c>
      <c r="U894" s="77">
        <v>0</v>
      </c>
      <c r="V894" s="77">
        <v>30</v>
      </c>
      <c r="W894" s="80" t="s">
        <v>6535</v>
      </c>
      <c r="X894" s="83" t="str">
        <f>HYPERLINK("https://oglobo.globo.com/economia/noticia/2023/05/os-tres-principais-recados-do-banco-central-ao-manter-a-selic-em-1375percent.ghtml")</f>
        <v>https://oglobo.globo.com/economia/noticia/2023/05/os-tres-principais-recados-do-banco-central-ao-manter-a-selic-em-1375percent.ghtml</v>
      </c>
      <c r="Y894" s="77" t="s">
        <v>8686</v>
      </c>
      <c r="Z894" s="77"/>
      <c r="AA894" s="77"/>
      <c r="AB894" s="77"/>
      <c r="AC894" s="80" t="s">
        <v>10541</v>
      </c>
      <c r="AD894" s="77" t="s">
        <v>10617</v>
      </c>
      <c r="AE894" s="83" t="str">
        <f>HYPERLINK("https://twitter.com/danielg_s6/status/1653896195067064320")</f>
        <v>https://twitter.com/danielg_s6/status/1653896195067064320</v>
      </c>
      <c r="AF894" s="79">
        <v>45049.955497685187</v>
      </c>
      <c r="AG894" s="85">
        <v>45049</v>
      </c>
      <c r="AH894" s="80" t="s">
        <v>11423</v>
      </c>
      <c r="AI894" s="77" t="b">
        <v>0</v>
      </c>
      <c r="AJ894" s="77"/>
      <c r="AK894" s="77"/>
      <c r="AL894" s="77"/>
      <c r="AM894" s="77"/>
      <c r="AN894" s="77"/>
      <c r="AO894" s="77"/>
      <c r="AP894" s="77"/>
      <c r="AQ894" s="77"/>
      <c r="AR894" s="77"/>
      <c r="AS894" s="77"/>
      <c r="AT894" s="77"/>
      <c r="AU894" s="77"/>
      <c r="AV894" s="83" t="str">
        <f>HYPERLINK("https://pbs.twimg.com/profile_images/1598423978082705410/jU-vUeHf_normal.jpg")</f>
        <v>https://pbs.twimg.com/profile_images/1598423978082705410/jU-vUeHf_normal.jpg</v>
      </c>
      <c r="AW894" s="80" t="s">
        <v>16821</v>
      </c>
      <c r="AX894" s="80" t="s">
        <v>16821</v>
      </c>
      <c r="AY894" s="77"/>
      <c r="AZ894" s="80" t="s">
        <v>20380</v>
      </c>
      <c r="BA894" s="80" t="s">
        <v>20380</v>
      </c>
      <c r="BB894" s="80" t="s">
        <v>20380</v>
      </c>
      <c r="BC894" s="80" t="s">
        <v>16821</v>
      </c>
      <c r="BD894" s="80" t="s">
        <v>20253</v>
      </c>
      <c r="BE894" s="77"/>
      <c r="BF894" s="77"/>
      <c r="BG894" s="77"/>
      <c r="BH894" s="77"/>
      <c r="BI894" s="77"/>
    </row>
    <row r="895" spans="1:61" x14ac:dyDescent="0.25">
      <c r="A895" s="62" t="s">
        <v>556</v>
      </c>
      <c r="B895" s="62" t="s">
        <v>556</v>
      </c>
      <c r="C895" s="63"/>
      <c r="D895" s="64"/>
      <c r="E895" s="65"/>
      <c r="F895" s="66"/>
      <c r="G895" s="63"/>
      <c r="H895" s="67"/>
      <c r="I895" s="68"/>
      <c r="J895" s="68"/>
      <c r="K895" s="32"/>
      <c r="L895" s="75">
        <v>895</v>
      </c>
      <c r="M895" s="75"/>
      <c r="N895" s="70"/>
      <c r="O895" s="77" t="s">
        <v>2078</v>
      </c>
      <c r="P895" s="79">
        <v>45141.604803240742</v>
      </c>
      <c r="Q895" s="77" t="s">
        <v>2861</v>
      </c>
      <c r="R895" s="77">
        <v>0</v>
      </c>
      <c r="S895" s="77">
        <v>0</v>
      </c>
      <c r="T895" s="77">
        <v>1</v>
      </c>
      <c r="U895" s="77">
        <v>0</v>
      </c>
      <c r="V895" s="77">
        <v>19</v>
      </c>
      <c r="W895" s="80" t="s">
        <v>6536</v>
      </c>
      <c r="X895" s="77"/>
      <c r="Y895" s="77"/>
      <c r="Z895" s="77"/>
      <c r="AA895" s="77"/>
      <c r="AB895" s="77"/>
      <c r="AC895" s="80" t="s">
        <v>10541</v>
      </c>
      <c r="AD895" s="77" t="s">
        <v>10617</v>
      </c>
      <c r="AE895" s="83" t="str">
        <f>HYPERLINK("https://twitter.com/danielg_s6/status/1687108789626085377")</f>
        <v>https://twitter.com/danielg_s6/status/1687108789626085377</v>
      </c>
      <c r="AF895" s="79">
        <v>45141.604803240742</v>
      </c>
      <c r="AG895" s="85">
        <v>45141</v>
      </c>
      <c r="AH895" s="80" t="s">
        <v>11424</v>
      </c>
      <c r="AI895" s="77"/>
      <c r="AJ895" s="77"/>
      <c r="AK895" s="77"/>
      <c r="AL895" s="77"/>
      <c r="AM895" s="77"/>
      <c r="AN895" s="77"/>
      <c r="AO895" s="77"/>
      <c r="AP895" s="77"/>
      <c r="AQ895" s="77"/>
      <c r="AR895" s="77"/>
      <c r="AS895" s="77"/>
      <c r="AT895" s="77"/>
      <c r="AU895" s="77"/>
      <c r="AV895" s="83" t="str">
        <f>HYPERLINK("https://pbs.twimg.com/profile_images/1598423978082705410/jU-vUeHf_normal.jpg")</f>
        <v>https://pbs.twimg.com/profile_images/1598423978082705410/jU-vUeHf_normal.jpg</v>
      </c>
      <c r="AW895" s="80" t="s">
        <v>16822</v>
      </c>
      <c r="AX895" s="80" t="s">
        <v>19999</v>
      </c>
      <c r="AY895" s="80" t="s">
        <v>20253</v>
      </c>
      <c r="AZ895" s="80" t="s">
        <v>19999</v>
      </c>
      <c r="BA895" s="80" t="s">
        <v>20380</v>
      </c>
      <c r="BB895" s="80" t="s">
        <v>20380</v>
      </c>
      <c r="BC895" s="80" t="s">
        <v>19999</v>
      </c>
      <c r="BD895" s="80" t="s">
        <v>20253</v>
      </c>
      <c r="BE895" s="77"/>
      <c r="BF895" s="77"/>
      <c r="BG895" s="77"/>
      <c r="BH895" s="77"/>
      <c r="BI895" s="77"/>
    </row>
    <row r="896" spans="1:61" x14ac:dyDescent="0.25">
      <c r="A896" s="62" t="s">
        <v>557</v>
      </c>
      <c r="B896" s="62" t="s">
        <v>1425</v>
      </c>
      <c r="C896" s="63"/>
      <c r="D896" s="64"/>
      <c r="E896" s="65"/>
      <c r="F896" s="66"/>
      <c r="G896" s="63"/>
      <c r="H896" s="67"/>
      <c r="I896" s="68"/>
      <c r="J896" s="68"/>
      <c r="K896" s="32"/>
      <c r="L896" s="75">
        <v>896</v>
      </c>
      <c r="M896" s="75"/>
      <c r="N896" s="70"/>
      <c r="O896" s="77" t="s">
        <v>2083</v>
      </c>
      <c r="P896" s="79">
        <v>45194.932708333334</v>
      </c>
      <c r="Q896" s="77" t="s">
        <v>2640</v>
      </c>
      <c r="R896" s="77">
        <v>6</v>
      </c>
      <c r="S896" s="77">
        <v>0</v>
      </c>
      <c r="T896" s="77">
        <v>0</v>
      </c>
      <c r="U896" s="77">
        <v>0</v>
      </c>
      <c r="V896" s="77"/>
      <c r="W896" s="80" t="s">
        <v>6346</v>
      </c>
      <c r="X896" s="77"/>
      <c r="Y896" s="77"/>
      <c r="Z896" s="77" t="s">
        <v>1425</v>
      </c>
      <c r="AA896" s="77"/>
      <c r="AB896" s="77"/>
      <c r="AC896" s="80" t="s">
        <v>10541</v>
      </c>
      <c r="AD896" s="77" t="s">
        <v>10620</v>
      </c>
      <c r="AE896" s="83" t="str">
        <f>HYPERLINK("https://twitter.com/rosario_con94/status/1706434175551557675")</f>
        <v>https://twitter.com/rosario_con94/status/1706434175551557675</v>
      </c>
      <c r="AF896" s="79">
        <v>45194.932708333334</v>
      </c>
      <c r="AG896" s="85">
        <v>45194</v>
      </c>
      <c r="AH896" s="80" t="s">
        <v>11425</v>
      </c>
      <c r="AI896" s="77"/>
      <c r="AJ896" s="77"/>
      <c r="AK896" s="77"/>
      <c r="AL896" s="77"/>
      <c r="AM896" s="77"/>
      <c r="AN896" s="77"/>
      <c r="AO896" s="77"/>
      <c r="AP896" s="77"/>
      <c r="AQ896" s="77"/>
      <c r="AR896" s="77"/>
      <c r="AS896" s="77"/>
      <c r="AT896" s="77"/>
      <c r="AU896" s="77"/>
      <c r="AV896" s="83" t="str">
        <f>HYPERLINK("https://pbs.twimg.com/profile_images/1651675615265714198/4D9rIgXW_normal.jpg")</f>
        <v>https://pbs.twimg.com/profile_images/1651675615265714198/4D9rIgXW_normal.jpg</v>
      </c>
      <c r="AW896" s="80" t="s">
        <v>16823</v>
      </c>
      <c r="AX896" s="80" t="s">
        <v>16823</v>
      </c>
      <c r="AY896" s="77"/>
      <c r="AZ896" s="80" t="s">
        <v>20380</v>
      </c>
      <c r="BA896" s="80" t="s">
        <v>20380</v>
      </c>
      <c r="BB896" s="80" t="s">
        <v>19289</v>
      </c>
      <c r="BC896" s="80" t="s">
        <v>19289</v>
      </c>
      <c r="BD896" s="80" t="s">
        <v>20659</v>
      </c>
      <c r="BE896" s="77"/>
      <c r="BF896" s="77"/>
      <c r="BG896" s="77"/>
      <c r="BH896" s="77"/>
      <c r="BI896" s="77"/>
    </row>
    <row r="897" spans="1:61" x14ac:dyDescent="0.25">
      <c r="A897" s="62" t="s">
        <v>558</v>
      </c>
      <c r="B897" s="62" t="s">
        <v>558</v>
      </c>
      <c r="C897" s="63"/>
      <c r="D897" s="64"/>
      <c r="E897" s="65"/>
      <c r="F897" s="66"/>
      <c r="G897" s="63"/>
      <c r="H897" s="67"/>
      <c r="I897" s="68"/>
      <c r="J897" s="68"/>
      <c r="K897" s="32"/>
      <c r="L897" s="75">
        <v>897</v>
      </c>
      <c r="M897" s="75"/>
      <c r="N897" s="70"/>
      <c r="O897" s="77" t="s">
        <v>179</v>
      </c>
      <c r="P897" s="79">
        <v>45128.057141203702</v>
      </c>
      <c r="Q897" s="77" t="s">
        <v>2862</v>
      </c>
      <c r="R897" s="77">
        <v>0</v>
      </c>
      <c r="S897" s="77">
        <v>0</v>
      </c>
      <c r="T897" s="77">
        <v>0</v>
      </c>
      <c r="U897" s="77">
        <v>0</v>
      </c>
      <c r="V897" s="77">
        <v>35</v>
      </c>
      <c r="W897" s="80" t="s">
        <v>6537</v>
      </c>
      <c r="X897" s="77"/>
      <c r="Y897" s="77"/>
      <c r="Z897" s="77"/>
      <c r="AA897" s="77" t="s">
        <v>9304</v>
      </c>
      <c r="AB897" s="77" t="s">
        <v>10535</v>
      </c>
      <c r="AC897" s="80" t="s">
        <v>10541</v>
      </c>
      <c r="AD897" s="77" t="s">
        <v>10617</v>
      </c>
      <c r="AE897" s="83" t="str">
        <f>HYPERLINK("https://twitter.com/higorsantos568/status/1682199281619333121")</f>
        <v>https://twitter.com/higorsantos568/status/1682199281619333121</v>
      </c>
      <c r="AF897" s="79">
        <v>45128.057141203702</v>
      </c>
      <c r="AG897" s="85">
        <v>45128</v>
      </c>
      <c r="AH897" s="80" t="s">
        <v>11426</v>
      </c>
      <c r="AI897" s="77" t="b">
        <v>0</v>
      </c>
      <c r="AJ897" s="77"/>
      <c r="AK897" s="77"/>
      <c r="AL897" s="77"/>
      <c r="AM897" s="77"/>
      <c r="AN897" s="77"/>
      <c r="AO897" s="77"/>
      <c r="AP897" s="77"/>
      <c r="AQ897" s="77" t="s">
        <v>14786</v>
      </c>
      <c r="AR897" s="77"/>
      <c r="AS897" s="77"/>
      <c r="AT897" s="77"/>
      <c r="AU897" s="77"/>
      <c r="AV897" s="83" t="str">
        <f>HYPERLINK("https://pbs.twimg.com/media/F1hfO1hWAAAgTTd.png")</f>
        <v>https://pbs.twimg.com/media/F1hfO1hWAAAgTTd.png</v>
      </c>
      <c r="AW897" s="80" t="s">
        <v>16824</v>
      </c>
      <c r="AX897" s="80" t="s">
        <v>16824</v>
      </c>
      <c r="AY897" s="77"/>
      <c r="AZ897" s="80" t="s">
        <v>20380</v>
      </c>
      <c r="BA897" s="80" t="s">
        <v>20380</v>
      </c>
      <c r="BB897" s="80" t="s">
        <v>20380</v>
      </c>
      <c r="BC897" s="80" t="s">
        <v>16824</v>
      </c>
      <c r="BD897" s="77">
        <v>2587374441</v>
      </c>
      <c r="BE897" s="77"/>
      <c r="BF897" s="77"/>
      <c r="BG897" s="77"/>
      <c r="BH897" s="77"/>
      <c r="BI897" s="77"/>
    </row>
    <row r="898" spans="1:61" x14ac:dyDescent="0.25">
      <c r="A898" s="62" t="s">
        <v>559</v>
      </c>
      <c r="B898" s="62" t="s">
        <v>559</v>
      </c>
      <c r="C898" s="63"/>
      <c r="D898" s="64"/>
      <c r="E898" s="65"/>
      <c r="F898" s="66"/>
      <c r="G898" s="63"/>
      <c r="H898" s="67"/>
      <c r="I898" s="68"/>
      <c r="J898" s="68"/>
      <c r="K898" s="32"/>
      <c r="L898" s="75">
        <v>898</v>
      </c>
      <c r="M898" s="75"/>
      <c r="N898" s="70"/>
      <c r="O898" s="77" t="s">
        <v>179</v>
      </c>
      <c r="P898" s="79">
        <v>45049.830451388887</v>
      </c>
      <c r="Q898" s="77" t="s">
        <v>2863</v>
      </c>
      <c r="R898" s="77">
        <v>0</v>
      </c>
      <c r="S898" s="77">
        <v>1</v>
      </c>
      <c r="T898" s="77">
        <v>0</v>
      </c>
      <c r="U898" s="77">
        <v>0</v>
      </c>
      <c r="V898" s="77">
        <v>141</v>
      </c>
      <c r="W898" s="80" t="s">
        <v>6538</v>
      </c>
      <c r="X898" s="77"/>
      <c r="Y898" s="77"/>
      <c r="Z898" s="77"/>
      <c r="AA898" s="77"/>
      <c r="AB898" s="77"/>
      <c r="AC898" s="80" t="s">
        <v>10540</v>
      </c>
      <c r="AD898" s="77" t="s">
        <v>10617</v>
      </c>
      <c r="AE898" s="83" t="str">
        <f>HYPERLINK("https://twitter.com/esron/status/1653850879844286464")</f>
        <v>https://twitter.com/esron/status/1653850879844286464</v>
      </c>
      <c r="AF898" s="79">
        <v>45049.830451388887</v>
      </c>
      <c r="AG898" s="85">
        <v>45049</v>
      </c>
      <c r="AH898" s="80" t="s">
        <v>11427</v>
      </c>
      <c r="AI898" s="77"/>
      <c r="AJ898" s="77" t="s">
        <v>14350</v>
      </c>
      <c r="AK898" s="77" t="s">
        <v>14382</v>
      </c>
      <c r="AL898" s="77" t="s">
        <v>14391</v>
      </c>
      <c r="AM898" s="77" t="s">
        <v>14407</v>
      </c>
      <c r="AN898" s="77" t="s">
        <v>14447</v>
      </c>
      <c r="AO898" s="77" t="s">
        <v>14486</v>
      </c>
      <c r="AP898" s="77" t="s">
        <v>14516</v>
      </c>
      <c r="AQ898" s="77"/>
      <c r="AR898" s="77"/>
      <c r="AS898" s="77"/>
      <c r="AT898" s="77"/>
      <c r="AU898" s="77"/>
      <c r="AV898" s="83" t="str">
        <f>HYPERLINK("https://pbs.twimg.com/profile_images/1471442566243663880/MsfMW_eL_normal.jpg")</f>
        <v>https://pbs.twimg.com/profile_images/1471442566243663880/MsfMW_eL_normal.jpg</v>
      </c>
      <c r="AW898" s="80" t="s">
        <v>16825</v>
      </c>
      <c r="AX898" s="80" t="s">
        <v>16825</v>
      </c>
      <c r="AY898" s="77"/>
      <c r="AZ898" s="80" t="s">
        <v>20380</v>
      </c>
      <c r="BA898" s="80" t="s">
        <v>20380</v>
      </c>
      <c r="BB898" s="80" t="s">
        <v>20380</v>
      </c>
      <c r="BC898" s="80" t="s">
        <v>16825</v>
      </c>
      <c r="BD898" s="77">
        <v>15536888</v>
      </c>
      <c r="BE898" s="77"/>
      <c r="BF898" s="77"/>
      <c r="BG898" s="77"/>
      <c r="BH898" s="77"/>
      <c r="BI898" s="77"/>
    </row>
    <row r="899" spans="1:61" x14ac:dyDescent="0.25">
      <c r="A899" s="62" t="s">
        <v>560</v>
      </c>
      <c r="B899" s="62" t="s">
        <v>560</v>
      </c>
      <c r="C899" s="63"/>
      <c r="D899" s="64"/>
      <c r="E899" s="65"/>
      <c r="F899" s="66"/>
      <c r="G899" s="63"/>
      <c r="H899" s="67"/>
      <c r="I899" s="68"/>
      <c r="J899" s="68"/>
      <c r="K899" s="32"/>
      <c r="L899" s="75">
        <v>899</v>
      </c>
      <c r="M899" s="75"/>
      <c r="N899" s="70"/>
      <c r="O899" s="77" t="s">
        <v>2078</v>
      </c>
      <c r="P899" s="79">
        <v>45099.062314814815</v>
      </c>
      <c r="Q899" s="77" t="s">
        <v>2864</v>
      </c>
      <c r="R899" s="77">
        <v>0</v>
      </c>
      <c r="S899" s="77">
        <v>2</v>
      </c>
      <c r="T899" s="77">
        <v>1</v>
      </c>
      <c r="U899" s="77">
        <v>0</v>
      </c>
      <c r="V899" s="77">
        <v>56</v>
      </c>
      <c r="W899" s="80" t="s">
        <v>6539</v>
      </c>
      <c r="X899" s="77"/>
      <c r="Y899" s="77"/>
      <c r="Z899" s="77"/>
      <c r="AA899" s="77"/>
      <c r="AB899" s="77"/>
      <c r="AC899" s="80" t="s">
        <v>10542</v>
      </c>
      <c r="AD899" s="77" t="s">
        <v>10617</v>
      </c>
      <c r="AE899" s="83" t="str">
        <f>HYPERLINK("https://twitter.com/tatianarevoredo/status/1671691911336165376")</f>
        <v>https://twitter.com/tatianarevoredo/status/1671691911336165376</v>
      </c>
      <c r="AF899" s="79">
        <v>45099.062314814815</v>
      </c>
      <c r="AG899" s="85">
        <v>45099</v>
      </c>
      <c r="AH899" s="80" t="s">
        <v>11428</v>
      </c>
      <c r="AI899" s="77"/>
      <c r="AJ899" s="77"/>
      <c r="AK899" s="77"/>
      <c r="AL899" s="77"/>
      <c r="AM899" s="77"/>
      <c r="AN899" s="77"/>
      <c r="AO899" s="77"/>
      <c r="AP899" s="77"/>
      <c r="AQ899" s="77"/>
      <c r="AR899" s="77"/>
      <c r="AS899" s="77"/>
      <c r="AT899" s="77"/>
      <c r="AU899" s="77"/>
      <c r="AV899" s="83" t="str">
        <f>HYPERLINK("https://pbs.twimg.com/profile_images/1707457447563014144/VLeu6PxL_normal.jpg")</f>
        <v>https://pbs.twimg.com/profile_images/1707457447563014144/VLeu6PxL_normal.jpg</v>
      </c>
      <c r="AW899" s="80" t="s">
        <v>16826</v>
      </c>
      <c r="AX899" s="80" t="s">
        <v>20000</v>
      </c>
      <c r="AY899" s="80" t="s">
        <v>20254</v>
      </c>
      <c r="AZ899" s="80" t="s">
        <v>20402</v>
      </c>
      <c r="BA899" s="80" t="s">
        <v>20380</v>
      </c>
      <c r="BB899" s="80" t="s">
        <v>20380</v>
      </c>
      <c r="BC899" s="80" t="s">
        <v>20402</v>
      </c>
      <c r="BD899" s="77">
        <v>2674796114</v>
      </c>
      <c r="BE899" s="77"/>
      <c r="BF899" s="77"/>
      <c r="BG899" s="77"/>
      <c r="BH899" s="77"/>
      <c r="BI899" s="77"/>
    </row>
    <row r="900" spans="1:61" x14ac:dyDescent="0.25">
      <c r="A900" s="62" t="s">
        <v>561</v>
      </c>
      <c r="B900" s="62" t="s">
        <v>1806</v>
      </c>
      <c r="C900" s="63"/>
      <c r="D900" s="64"/>
      <c r="E900" s="65"/>
      <c r="F900" s="66"/>
      <c r="G900" s="63"/>
      <c r="H900" s="67"/>
      <c r="I900" s="68"/>
      <c r="J900" s="68"/>
      <c r="K900" s="32"/>
      <c r="L900" s="75">
        <v>900</v>
      </c>
      <c r="M900" s="75"/>
      <c r="N900" s="70"/>
      <c r="O900" s="77" t="s">
        <v>2081</v>
      </c>
      <c r="P900" s="79">
        <v>45100.498842592591</v>
      </c>
      <c r="Q900" s="77" t="s">
        <v>2865</v>
      </c>
      <c r="R900" s="77">
        <v>2</v>
      </c>
      <c r="S900" s="77">
        <v>8</v>
      </c>
      <c r="T900" s="77">
        <v>0</v>
      </c>
      <c r="U900" s="77">
        <v>1</v>
      </c>
      <c r="V900" s="77">
        <v>1482</v>
      </c>
      <c r="W900" s="80" t="s">
        <v>6540</v>
      </c>
      <c r="X900" s="83" t="str">
        <f>HYPERLINK("https://cbn.globoradio.globo.com/media/audio/412086/campos-neto-perdeu-boa-parte-do-apoio-irrestrito-q.htm")</f>
        <v>https://cbn.globoradio.globo.com/media/audio/412086/campos-neto-perdeu-boa-parte-do-apoio-irrestrito-q.htm</v>
      </c>
      <c r="Y900" s="77" t="s">
        <v>8686</v>
      </c>
      <c r="Z900" s="77" t="s">
        <v>1806</v>
      </c>
      <c r="AA900" s="77"/>
      <c r="AB900" s="77"/>
      <c r="AC900" s="80" t="s">
        <v>10551</v>
      </c>
      <c r="AD900" s="77" t="s">
        <v>10617</v>
      </c>
      <c r="AE900" s="83" t="str">
        <f>HYPERLINK("https://twitter.com/cbnoficial/status/1672212490019643392")</f>
        <v>https://twitter.com/cbnoficial/status/1672212490019643392</v>
      </c>
      <c r="AF900" s="79">
        <v>45100.498842592591</v>
      </c>
      <c r="AG900" s="85">
        <v>45100</v>
      </c>
      <c r="AH900" s="80" t="s">
        <v>11429</v>
      </c>
      <c r="AI900" s="77" t="b">
        <v>0</v>
      </c>
      <c r="AJ900" s="77"/>
      <c r="AK900" s="77"/>
      <c r="AL900" s="77"/>
      <c r="AM900" s="77"/>
      <c r="AN900" s="77"/>
      <c r="AO900" s="77"/>
      <c r="AP900" s="77"/>
      <c r="AQ900" s="77"/>
      <c r="AR900" s="77"/>
      <c r="AS900" s="77"/>
      <c r="AT900" s="77"/>
      <c r="AU900" s="77"/>
      <c r="AV900" s="83" t="str">
        <f>HYPERLINK("https://pbs.twimg.com/profile_images/1490726030239219715/NsSY2E9c_normal.jpg")</f>
        <v>https://pbs.twimg.com/profile_images/1490726030239219715/NsSY2E9c_normal.jpg</v>
      </c>
      <c r="AW900" s="80" t="s">
        <v>16827</v>
      </c>
      <c r="AX900" s="80" t="s">
        <v>16827</v>
      </c>
      <c r="AY900" s="77"/>
      <c r="AZ900" s="80" t="s">
        <v>20380</v>
      </c>
      <c r="BA900" s="80" t="s">
        <v>20380</v>
      </c>
      <c r="BB900" s="80" t="s">
        <v>20380</v>
      </c>
      <c r="BC900" s="80" t="s">
        <v>16827</v>
      </c>
      <c r="BD900" s="77">
        <v>785833176</v>
      </c>
      <c r="BE900" s="77"/>
      <c r="BF900" s="77"/>
      <c r="BG900" s="77"/>
      <c r="BH900" s="77"/>
      <c r="BI900" s="77"/>
    </row>
    <row r="901" spans="1:61" x14ac:dyDescent="0.25">
      <c r="A901" s="62" t="s">
        <v>561</v>
      </c>
      <c r="B901" s="62" t="s">
        <v>1807</v>
      </c>
      <c r="C901" s="63"/>
      <c r="D901" s="64"/>
      <c r="E901" s="65"/>
      <c r="F901" s="66"/>
      <c r="G901" s="63"/>
      <c r="H901" s="67"/>
      <c r="I901" s="68"/>
      <c r="J901" s="68"/>
      <c r="K901" s="32"/>
      <c r="L901" s="75">
        <v>901</v>
      </c>
      <c r="M901" s="75"/>
      <c r="N901" s="70"/>
      <c r="O901" s="77" t="s">
        <v>2081</v>
      </c>
      <c r="P901" s="79">
        <v>45111.3909375</v>
      </c>
      <c r="Q901" s="77" t="s">
        <v>2866</v>
      </c>
      <c r="R901" s="77">
        <v>1</v>
      </c>
      <c r="S901" s="77">
        <v>4</v>
      </c>
      <c r="T901" s="77">
        <v>0</v>
      </c>
      <c r="U901" s="77">
        <v>0</v>
      </c>
      <c r="V901" s="77">
        <v>2505</v>
      </c>
      <c r="W901" s="80" t="s">
        <v>6540</v>
      </c>
      <c r="X901" s="77"/>
      <c r="Y901" s="77"/>
      <c r="Z901" s="77" t="s">
        <v>1807</v>
      </c>
      <c r="AA901" s="77"/>
      <c r="AB901" s="77"/>
      <c r="AC901" s="80" t="s">
        <v>10541</v>
      </c>
      <c r="AD901" s="77" t="s">
        <v>10617</v>
      </c>
      <c r="AE901" s="83" t="str">
        <f>HYPERLINK("https://twitter.com/cbnoficial/status/1676159654219460610")</f>
        <v>https://twitter.com/cbnoficial/status/1676159654219460610</v>
      </c>
      <c r="AF901" s="79">
        <v>45111.3909375</v>
      </c>
      <c r="AG901" s="85">
        <v>45111</v>
      </c>
      <c r="AH901" s="80" t="s">
        <v>11430</v>
      </c>
      <c r="AI901" s="77"/>
      <c r="AJ901" s="77"/>
      <c r="AK901" s="77"/>
      <c r="AL901" s="77"/>
      <c r="AM901" s="77"/>
      <c r="AN901" s="77"/>
      <c r="AO901" s="77"/>
      <c r="AP901" s="77"/>
      <c r="AQ901" s="77"/>
      <c r="AR901" s="77"/>
      <c r="AS901" s="77"/>
      <c r="AT901" s="77"/>
      <c r="AU901" s="77"/>
      <c r="AV901" s="83" t="str">
        <f>HYPERLINK("https://pbs.twimg.com/profile_images/1490726030239219715/NsSY2E9c_normal.jpg")</f>
        <v>https://pbs.twimg.com/profile_images/1490726030239219715/NsSY2E9c_normal.jpg</v>
      </c>
      <c r="AW901" s="80" t="s">
        <v>16828</v>
      </c>
      <c r="AX901" s="80" t="s">
        <v>16828</v>
      </c>
      <c r="AY901" s="77"/>
      <c r="AZ901" s="80" t="s">
        <v>20380</v>
      </c>
      <c r="BA901" s="80" t="s">
        <v>20380</v>
      </c>
      <c r="BB901" s="80" t="s">
        <v>20380</v>
      </c>
      <c r="BC901" s="80" t="s">
        <v>16828</v>
      </c>
      <c r="BD901" s="77">
        <v>785833176</v>
      </c>
      <c r="BE901" s="77"/>
      <c r="BF901" s="77"/>
      <c r="BG901" s="77"/>
      <c r="BH901" s="77"/>
      <c r="BI901" s="77"/>
    </row>
    <row r="902" spans="1:61" x14ac:dyDescent="0.25">
      <c r="A902" s="62" t="s">
        <v>562</v>
      </c>
      <c r="B902" s="62" t="s">
        <v>912</v>
      </c>
      <c r="C902" s="63"/>
      <c r="D902" s="64"/>
      <c r="E902" s="65"/>
      <c r="F902" s="66"/>
      <c r="G902" s="63"/>
      <c r="H902" s="67"/>
      <c r="I902" s="68"/>
      <c r="J902" s="68"/>
      <c r="K902" s="32"/>
      <c r="L902" s="75">
        <v>902</v>
      </c>
      <c r="M902" s="75"/>
      <c r="N902" s="70"/>
      <c r="O902" s="77" t="s">
        <v>2083</v>
      </c>
      <c r="P902" s="79">
        <v>45189.587997685187</v>
      </c>
      <c r="Q902" s="77" t="s">
        <v>2867</v>
      </c>
      <c r="R902" s="77">
        <v>2</v>
      </c>
      <c r="S902" s="77">
        <v>0</v>
      </c>
      <c r="T902" s="77">
        <v>0</v>
      </c>
      <c r="U902" s="77">
        <v>0</v>
      </c>
      <c r="V902" s="77"/>
      <c r="W902" s="80" t="s">
        <v>6541</v>
      </c>
      <c r="X902" s="77"/>
      <c r="Y902" s="77"/>
      <c r="Z902" s="77" t="s">
        <v>912</v>
      </c>
      <c r="AA902" s="77"/>
      <c r="AB902" s="77"/>
      <c r="AC902" s="80" t="s">
        <v>10541</v>
      </c>
      <c r="AD902" s="77" t="s">
        <v>10617</v>
      </c>
      <c r="AE902" s="83" t="str">
        <f>HYPERLINK("https://twitter.com/redetv/status/1704497320308490671")</f>
        <v>https://twitter.com/redetv/status/1704497320308490671</v>
      </c>
      <c r="AF902" s="79">
        <v>45189.587997685187</v>
      </c>
      <c r="AG902" s="85">
        <v>45189</v>
      </c>
      <c r="AH902" s="80" t="s">
        <v>11431</v>
      </c>
      <c r="AI902" s="77" t="b">
        <v>0</v>
      </c>
      <c r="AJ902" s="77"/>
      <c r="AK902" s="77"/>
      <c r="AL902" s="77"/>
      <c r="AM902" s="77"/>
      <c r="AN902" s="77"/>
      <c r="AO902" s="77"/>
      <c r="AP902" s="77"/>
      <c r="AQ902" s="77"/>
      <c r="AR902" s="77"/>
      <c r="AS902" s="77"/>
      <c r="AT902" s="77"/>
      <c r="AU902" s="77"/>
      <c r="AV902" s="83" t="str">
        <f>HYPERLINK("https://pbs.twimg.com/profile_images/1674440544028688385/FyiqOt7f_normal.jpg")</f>
        <v>https://pbs.twimg.com/profile_images/1674440544028688385/FyiqOt7f_normal.jpg</v>
      </c>
      <c r="AW902" s="80" t="s">
        <v>16829</v>
      </c>
      <c r="AX902" s="80" t="s">
        <v>16829</v>
      </c>
      <c r="AY902" s="77"/>
      <c r="AZ902" s="80" t="s">
        <v>20380</v>
      </c>
      <c r="BA902" s="80" t="s">
        <v>20380</v>
      </c>
      <c r="BB902" s="80" t="s">
        <v>18056</v>
      </c>
      <c r="BC902" s="80" t="s">
        <v>18056</v>
      </c>
      <c r="BD902" s="77">
        <v>17850880</v>
      </c>
      <c r="BE902" s="77"/>
      <c r="BF902" s="77"/>
      <c r="BG902" s="77"/>
      <c r="BH902" s="77"/>
      <c r="BI902" s="77"/>
    </row>
    <row r="903" spans="1:61" x14ac:dyDescent="0.25">
      <c r="A903" s="62" t="s">
        <v>563</v>
      </c>
      <c r="B903" s="62" t="s">
        <v>563</v>
      </c>
      <c r="C903" s="63"/>
      <c r="D903" s="64"/>
      <c r="E903" s="65"/>
      <c r="F903" s="66"/>
      <c r="G903" s="63"/>
      <c r="H903" s="67"/>
      <c r="I903" s="68"/>
      <c r="J903" s="68"/>
      <c r="K903" s="32"/>
      <c r="L903" s="75">
        <v>903</v>
      </c>
      <c r="M903" s="75"/>
      <c r="N903" s="70"/>
      <c r="O903" s="77" t="s">
        <v>179</v>
      </c>
      <c r="P903" s="79">
        <v>45055.834479166668</v>
      </c>
      <c r="Q903" s="77" t="s">
        <v>2868</v>
      </c>
      <c r="R903" s="77">
        <v>0</v>
      </c>
      <c r="S903" s="77">
        <v>0</v>
      </c>
      <c r="T903" s="77">
        <v>0</v>
      </c>
      <c r="U903" s="77">
        <v>0</v>
      </c>
      <c r="V903" s="77">
        <v>35</v>
      </c>
      <c r="W903" s="80" t="s">
        <v>6542</v>
      </c>
      <c r="X903" s="83" t="str">
        <f>HYPERLINK("https://estoaresearch.com/noticias/haddad-indica-gabriel-galipolo-para-diretoria-de-politicas-monetarias-do-bc/?utm_source=twitter")</f>
        <v>https://estoaresearch.com/noticias/haddad-indica-gabriel-galipolo-para-diretoria-de-politicas-monetarias-do-bc/?utm_source=twitter</v>
      </c>
      <c r="Y903" s="77" t="s">
        <v>8694</v>
      </c>
      <c r="Z903" s="77"/>
      <c r="AA903" s="77"/>
      <c r="AB903" s="77"/>
      <c r="AC903" s="80" t="s">
        <v>10541</v>
      </c>
      <c r="AD903" s="77" t="s">
        <v>10617</v>
      </c>
      <c r="AE903" s="83" t="str">
        <f>HYPERLINK("https://twitter.com/estoaresearch/status/1656026665988812801")</f>
        <v>https://twitter.com/estoaresearch/status/1656026665988812801</v>
      </c>
      <c r="AF903" s="79">
        <v>45055.834479166668</v>
      </c>
      <c r="AG903" s="85">
        <v>45055</v>
      </c>
      <c r="AH903" s="80" t="s">
        <v>11432</v>
      </c>
      <c r="AI903" s="77" t="b">
        <v>0</v>
      </c>
      <c r="AJ903" s="77"/>
      <c r="AK903" s="77"/>
      <c r="AL903" s="77"/>
      <c r="AM903" s="77"/>
      <c r="AN903" s="77"/>
      <c r="AO903" s="77"/>
      <c r="AP903" s="77"/>
      <c r="AQ903" s="77"/>
      <c r="AR903" s="77"/>
      <c r="AS903" s="77"/>
      <c r="AT903" s="77"/>
      <c r="AU903" s="77"/>
      <c r="AV903" s="83" t="str">
        <f>HYPERLINK("https://pbs.twimg.com/profile_images/1452757245675118593/__7461BF_normal.jpg")</f>
        <v>https://pbs.twimg.com/profile_images/1452757245675118593/__7461BF_normal.jpg</v>
      </c>
      <c r="AW903" s="80" t="s">
        <v>16830</v>
      </c>
      <c r="AX903" s="80" t="s">
        <v>16830</v>
      </c>
      <c r="AY903" s="77"/>
      <c r="AZ903" s="80" t="s">
        <v>20380</v>
      </c>
      <c r="BA903" s="80" t="s">
        <v>20380</v>
      </c>
      <c r="BB903" s="80" t="s">
        <v>20380</v>
      </c>
      <c r="BC903" s="80" t="s">
        <v>16830</v>
      </c>
      <c r="BD903" s="80" t="s">
        <v>20660</v>
      </c>
      <c r="BE903" s="77"/>
      <c r="BF903" s="77"/>
      <c r="BG903" s="77"/>
      <c r="BH903" s="77"/>
      <c r="BI903" s="77"/>
    </row>
    <row r="904" spans="1:61" x14ac:dyDescent="0.25">
      <c r="A904" s="62" t="s">
        <v>563</v>
      </c>
      <c r="B904" s="62" t="s">
        <v>563</v>
      </c>
      <c r="C904" s="63"/>
      <c r="D904" s="64"/>
      <c r="E904" s="65"/>
      <c r="F904" s="66"/>
      <c r="G904" s="63"/>
      <c r="H904" s="67"/>
      <c r="I904" s="68"/>
      <c r="J904" s="68"/>
      <c r="K904" s="32"/>
      <c r="L904" s="75">
        <v>904</v>
      </c>
      <c r="M904" s="75"/>
      <c r="N904" s="70"/>
      <c r="O904" s="77" t="s">
        <v>179</v>
      </c>
      <c r="P904" s="79">
        <v>45055.821122685185</v>
      </c>
      <c r="Q904" s="77" t="s">
        <v>2869</v>
      </c>
      <c r="R904" s="77">
        <v>0</v>
      </c>
      <c r="S904" s="77">
        <v>0</v>
      </c>
      <c r="T904" s="77">
        <v>0</v>
      </c>
      <c r="U904" s="77">
        <v>0</v>
      </c>
      <c r="V904" s="77">
        <v>8</v>
      </c>
      <c r="W904" s="80" t="s">
        <v>6543</v>
      </c>
      <c r="X904" s="83" t="str">
        <f>HYPERLINK("https://estoaresearch.com/noticias/ata-do-copom-diz-que-nova-regra-fiscal-reduz-parte-das-incertezas-do-cenario-economico/?utm_source=twitter")</f>
        <v>https://estoaresearch.com/noticias/ata-do-copom-diz-que-nova-regra-fiscal-reduz-parte-das-incertezas-do-cenario-economico/?utm_source=twitter</v>
      </c>
      <c r="Y904" s="77" t="s">
        <v>8694</v>
      </c>
      <c r="Z904" s="77"/>
      <c r="AA904" s="77"/>
      <c r="AB904" s="77"/>
      <c r="AC904" s="80" t="s">
        <v>10541</v>
      </c>
      <c r="AD904" s="77" t="s">
        <v>10617</v>
      </c>
      <c r="AE904" s="83" t="str">
        <f>HYPERLINK("https://twitter.com/estoaresearch/status/1656021827272024070")</f>
        <v>https://twitter.com/estoaresearch/status/1656021827272024070</v>
      </c>
      <c r="AF904" s="79">
        <v>45055.821122685185</v>
      </c>
      <c r="AG904" s="85">
        <v>45055</v>
      </c>
      <c r="AH904" s="80" t="s">
        <v>11433</v>
      </c>
      <c r="AI904" s="77" t="b">
        <v>0</v>
      </c>
      <c r="AJ904" s="77"/>
      <c r="AK904" s="77"/>
      <c r="AL904" s="77"/>
      <c r="AM904" s="77"/>
      <c r="AN904" s="77"/>
      <c r="AO904" s="77"/>
      <c r="AP904" s="77"/>
      <c r="AQ904" s="77"/>
      <c r="AR904" s="77"/>
      <c r="AS904" s="77"/>
      <c r="AT904" s="77"/>
      <c r="AU904" s="77"/>
      <c r="AV904" s="83" t="str">
        <f>HYPERLINK("https://pbs.twimg.com/profile_images/1452757245675118593/__7461BF_normal.jpg")</f>
        <v>https://pbs.twimg.com/profile_images/1452757245675118593/__7461BF_normal.jpg</v>
      </c>
      <c r="AW904" s="80" t="s">
        <v>16831</v>
      </c>
      <c r="AX904" s="80" t="s">
        <v>16831</v>
      </c>
      <c r="AY904" s="77"/>
      <c r="AZ904" s="80" t="s">
        <v>20380</v>
      </c>
      <c r="BA904" s="80" t="s">
        <v>20380</v>
      </c>
      <c r="BB904" s="80" t="s">
        <v>20380</v>
      </c>
      <c r="BC904" s="80" t="s">
        <v>16831</v>
      </c>
      <c r="BD904" s="80" t="s">
        <v>20660</v>
      </c>
      <c r="BE904" s="77"/>
      <c r="BF904" s="77"/>
      <c r="BG904" s="77"/>
      <c r="BH904" s="77"/>
      <c r="BI904" s="77"/>
    </row>
    <row r="905" spans="1:61" x14ac:dyDescent="0.25">
      <c r="A905" s="62" t="s">
        <v>563</v>
      </c>
      <c r="B905" s="62" t="s">
        <v>563</v>
      </c>
      <c r="C905" s="63"/>
      <c r="D905" s="64"/>
      <c r="E905" s="65"/>
      <c r="F905" s="66"/>
      <c r="G905" s="63"/>
      <c r="H905" s="67"/>
      <c r="I905" s="68"/>
      <c r="J905" s="68"/>
      <c r="K905" s="32"/>
      <c r="L905" s="75">
        <v>905</v>
      </c>
      <c r="M905" s="75"/>
      <c r="N905" s="70"/>
      <c r="O905" s="77" t="s">
        <v>179</v>
      </c>
      <c r="P905" s="79">
        <v>45065.827685185184</v>
      </c>
      <c r="Q905" s="77" t="s">
        <v>2870</v>
      </c>
      <c r="R905" s="77">
        <v>0</v>
      </c>
      <c r="S905" s="77">
        <v>0</v>
      </c>
      <c r="T905" s="77">
        <v>0</v>
      </c>
      <c r="U905" s="77">
        <v>0</v>
      </c>
      <c r="V905" s="77">
        <v>19</v>
      </c>
      <c r="W905" s="80" t="s">
        <v>6544</v>
      </c>
      <c r="X905" s="83" t="str">
        <f>HYPERLINK("https://estoaresearch.com/noticias/previa-do-pib-ibc-br-cresce-241-no-primeiro-trimestre/?utm_source=twitter")</f>
        <v>https://estoaresearch.com/noticias/previa-do-pib-ibc-br-cresce-241-no-primeiro-trimestre/?utm_source=twitter</v>
      </c>
      <c r="Y905" s="77" t="s">
        <v>8694</v>
      </c>
      <c r="Z905" s="77"/>
      <c r="AA905" s="77"/>
      <c r="AB905" s="77"/>
      <c r="AC905" s="80" t="s">
        <v>10541</v>
      </c>
      <c r="AD905" s="77" t="s">
        <v>10617</v>
      </c>
      <c r="AE905" s="83" t="str">
        <f>HYPERLINK("https://twitter.com/estoaresearch/status/1659648082173100033")</f>
        <v>https://twitter.com/estoaresearch/status/1659648082173100033</v>
      </c>
      <c r="AF905" s="79">
        <v>45065.827685185184</v>
      </c>
      <c r="AG905" s="85">
        <v>45065</v>
      </c>
      <c r="AH905" s="80" t="s">
        <v>11434</v>
      </c>
      <c r="AI905" s="77" t="b">
        <v>0</v>
      </c>
      <c r="AJ905" s="77"/>
      <c r="AK905" s="77"/>
      <c r="AL905" s="77"/>
      <c r="AM905" s="77"/>
      <c r="AN905" s="77"/>
      <c r="AO905" s="77"/>
      <c r="AP905" s="77"/>
      <c r="AQ905" s="77"/>
      <c r="AR905" s="77"/>
      <c r="AS905" s="77"/>
      <c r="AT905" s="77"/>
      <c r="AU905" s="77"/>
      <c r="AV905" s="83" t="str">
        <f>HYPERLINK("https://pbs.twimg.com/profile_images/1452757245675118593/__7461BF_normal.jpg")</f>
        <v>https://pbs.twimg.com/profile_images/1452757245675118593/__7461BF_normal.jpg</v>
      </c>
      <c r="AW905" s="80" t="s">
        <v>16832</v>
      </c>
      <c r="AX905" s="80" t="s">
        <v>16832</v>
      </c>
      <c r="AY905" s="77"/>
      <c r="AZ905" s="80" t="s">
        <v>20380</v>
      </c>
      <c r="BA905" s="80" t="s">
        <v>20380</v>
      </c>
      <c r="BB905" s="80" t="s">
        <v>20380</v>
      </c>
      <c r="BC905" s="80" t="s">
        <v>16832</v>
      </c>
      <c r="BD905" s="80" t="s">
        <v>20660</v>
      </c>
      <c r="BE905" s="77"/>
      <c r="BF905" s="77"/>
      <c r="BG905" s="77"/>
      <c r="BH905" s="77"/>
      <c r="BI905" s="77"/>
    </row>
    <row r="906" spans="1:61" x14ac:dyDescent="0.25">
      <c r="A906" s="62" t="s">
        <v>563</v>
      </c>
      <c r="B906" s="62" t="s">
        <v>563</v>
      </c>
      <c r="C906" s="63"/>
      <c r="D906" s="64"/>
      <c r="E906" s="65"/>
      <c r="F906" s="66"/>
      <c r="G906" s="63"/>
      <c r="H906" s="67"/>
      <c r="I906" s="68"/>
      <c r="J906" s="68"/>
      <c r="K906" s="32"/>
      <c r="L906" s="75">
        <v>906</v>
      </c>
      <c r="M906" s="75"/>
      <c r="N906" s="70"/>
      <c r="O906" s="77" t="s">
        <v>179</v>
      </c>
      <c r="P906" s="79">
        <v>45089.782118055555</v>
      </c>
      <c r="Q906" s="77" t="s">
        <v>2871</v>
      </c>
      <c r="R906" s="77">
        <v>0</v>
      </c>
      <c r="S906" s="77">
        <v>0</v>
      </c>
      <c r="T906" s="77">
        <v>0</v>
      </c>
      <c r="U906" s="77">
        <v>0</v>
      </c>
      <c r="V906" s="77">
        <v>17</v>
      </c>
      <c r="W906" s="80" t="s">
        <v>6545</v>
      </c>
      <c r="X906" s="83" t="str">
        <f>HYPERLINK("https://estoaresearch.com/noticias/boletim-focus-previsao-da-inflacao-de-2023-cai-para-542/?utm_source=twitter")</f>
        <v>https://estoaresearch.com/noticias/boletim-focus-previsao-da-inflacao-de-2023-cai-para-542/?utm_source=twitter</v>
      </c>
      <c r="Y906" s="77" t="s">
        <v>8694</v>
      </c>
      <c r="Z906" s="77"/>
      <c r="AA906" s="77"/>
      <c r="AB906" s="77"/>
      <c r="AC906" s="80" t="s">
        <v>10541</v>
      </c>
      <c r="AD906" s="77" t="s">
        <v>10617</v>
      </c>
      <c r="AE906" s="83" t="str">
        <f>HYPERLINK("https://twitter.com/estoaresearch/status/1668328877574492162")</f>
        <v>https://twitter.com/estoaresearch/status/1668328877574492162</v>
      </c>
      <c r="AF906" s="79">
        <v>45089.782118055555</v>
      </c>
      <c r="AG906" s="85">
        <v>45089</v>
      </c>
      <c r="AH906" s="80" t="s">
        <v>11435</v>
      </c>
      <c r="AI906" s="77" t="b">
        <v>0</v>
      </c>
      <c r="AJ906" s="77"/>
      <c r="AK906" s="77"/>
      <c r="AL906" s="77"/>
      <c r="AM906" s="77"/>
      <c r="AN906" s="77"/>
      <c r="AO906" s="77"/>
      <c r="AP906" s="77"/>
      <c r="AQ906" s="77"/>
      <c r="AR906" s="77"/>
      <c r="AS906" s="77"/>
      <c r="AT906" s="77"/>
      <c r="AU906" s="77"/>
      <c r="AV906" s="83" t="str">
        <f>HYPERLINK("https://pbs.twimg.com/profile_images/1452757245675118593/__7461BF_normal.jpg")</f>
        <v>https://pbs.twimg.com/profile_images/1452757245675118593/__7461BF_normal.jpg</v>
      </c>
      <c r="AW906" s="80" t="s">
        <v>16833</v>
      </c>
      <c r="AX906" s="80" t="s">
        <v>16833</v>
      </c>
      <c r="AY906" s="77"/>
      <c r="AZ906" s="80" t="s">
        <v>20380</v>
      </c>
      <c r="BA906" s="80" t="s">
        <v>20380</v>
      </c>
      <c r="BB906" s="80" t="s">
        <v>20380</v>
      </c>
      <c r="BC906" s="80" t="s">
        <v>16833</v>
      </c>
      <c r="BD906" s="80" t="s">
        <v>20660</v>
      </c>
      <c r="BE906" s="77"/>
      <c r="BF906" s="77"/>
      <c r="BG906" s="77"/>
      <c r="BH906" s="77"/>
      <c r="BI906" s="77"/>
    </row>
    <row r="907" spans="1:61" x14ac:dyDescent="0.25">
      <c r="A907" s="62" t="s">
        <v>563</v>
      </c>
      <c r="B907" s="62" t="s">
        <v>563</v>
      </c>
      <c r="C907" s="63"/>
      <c r="D907" s="64"/>
      <c r="E907" s="65"/>
      <c r="F907" s="66"/>
      <c r="G907" s="63"/>
      <c r="H907" s="67"/>
      <c r="I907" s="68"/>
      <c r="J907" s="68"/>
      <c r="K907" s="32"/>
      <c r="L907" s="75">
        <v>907</v>
      </c>
      <c r="M907" s="75"/>
      <c r="N907" s="70"/>
      <c r="O907" s="77" t="s">
        <v>179</v>
      </c>
      <c r="P907" s="79">
        <v>45072.831018518518</v>
      </c>
      <c r="Q907" s="77" t="s">
        <v>2872</v>
      </c>
      <c r="R907" s="77">
        <v>0</v>
      </c>
      <c r="S907" s="77">
        <v>0</v>
      </c>
      <c r="T907" s="77">
        <v>0</v>
      </c>
      <c r="U907" s="77">
        <v>0</v>
      </c>
      <c r="V907" s="77">
        <v>26</v>
      </c>
      <c r="W907" s="80" t="s">
        <v>6203</v>
      </c>
      <c r="X907" s="83" t="str">
        <f>HYPERLINK("https://estoaresearch.com/noticias/eu-tenho-mandato-ate-2024-e-nao-vou-abreviar-diz-campos-neto/?utm_source=twitter")</f>
        <v>https://estoaresearch.com/noticias/eu-tenho-mandato-ate-2024-e-nao-vou-abreviar-diz-campos-neto/?utm_source=twitter</v>
      </c>
      <c r="Y907" s="77" t="s">
        <v>8694</v>
      </c>
      <c r="Z907" s="77"/>
      <c r="AA907" s="77"/>
      <c r="AB907" s="77"/>
      <c r="AC907" s="80" t="s">
        <v>10541</v>
      </c>
      <c r="AD907" s="77" t="s">
        <v>10617</v>
      </c>
      <c r="AE907" s="83" t="str">
        <f>HYPERLINK("https://twitter.com/estoaresearch/status/1662186008450875416")</f>
        <v>https://twitter.com/estoaresearch/status/1662186008450875416</v>
      </c>
      <c r="AF907" s="79">
        <v>45072.831018518518</v>
      </c>
      <c r="AG907" s="85">
        <v>45072</v>
      </c>
      <c r="AH907" s="80" t="s">
        <v>11436</v>
      </c>
      <c r="AI907" s="77" t="b">
        <v>0</v>
      </c>
      <c r="AJ907" s="77"/>
      <c r="AK907" s="77"/>
      <c r="AL907" s="77"/>
      <c r="AM907" s="77"/>
      <c r="AN907" s="77"/>
      <c r="AO907" s="77"/>
      <c r="AP907" s="77"/>
      <c r="AQ907" s="77"/>
      <c r="AR907" s="77"/>
      <c r="AS907" s="77"/>
      <c r="AT907" s="77"/>
      <c r="AU907" s="77"/>
      <c r="AV907" s="83" t="str">
        <f>HYPERLINK("https://pbs.twimg.com/profile_images/1452757245675118593/__7461BF_normal.jpg")</f>
        <v>https://pbs.twimg.com/profile_images/1452757245675118593/__7461BF_normal.jpg</v>
      </c>
      <c r="AW907" s="80" t="s">
        <v>16834</v>
      </c>
      <c r="AX907" s="80" t="s">
        <v>16834</v>
      </c>
      <c r="AY907" s="77"/>
      <c r="AZ907" s="80" t="s">
        <v>20380</v>
      </c>
      <c r="BA907" s="80" t="s">
        <v>20380</v>
      </c>
      <c r="BB907" s="80" t="s">
        <v>20380</v>
      </c>
      <c r="BC907" s="80" t="s">
        <v>16834</v>
      </c>
      <c r="BD907" s="80" t="s">
        <v>20660</v>
      </c>
      <c r="BE907" s="77"/>
      <c r="BF907" s="77"/>
      <c r="BG907" s="77"/>
      <c r="BH907" s="77"/>
      <c r="BI907" s="77"/>
    </row>
    <row r="908" spans="1:61" x14ac:dyDescent="0.25">
      <c r="A908" s="62" t="s">
        <v>563</v>
      </c>
      <c r="B908" s="62" t="s">
        <v>563</v>
      </c>
      <c r="C908" s="63"/>
      <c r="D908" s="64"/>
      <c r="E908" s="65"/>
      <c r="F908" s="66"/>
      <c r="G908" s="63"/>
      <c r="H908" s="67"/>
      <c r="I908" s="68"/>
      <c r="J908" s="68"/>
      <c r="K908" s="32"/>
      <c r="L908" s="75">
        <v>908</v>
      </c>
      <c r="M908" s="75"/>
      <c r="N908" s="70"/>
      <c r="O908" s="77" t="s">
        <v>179</v>
      </c>
      <c r="P908" s="79">
        <v>45100.823807870373</v>
      </c>
      <c r="Q908" s="77" t="s">
        <v>2873</v>
      </c>
      <c r="R908" s="77">
        <v>0</v>
      </c>
      <c r="S908" s="77">
        <v>0</v>
      </c>
      <c r="T908" s="77">
        <v>0</v>
      </c>
      <c r="U908" s="77">
        <v>0</v>
      </c>
      <c r="V908" s="77">
        <v>26</v>
      </c>
      <c r="W908" s="80" t="s">
        <v>6546</v>
      </c>
      <c r="X908" s="83" t="str">
        <f>HYPERLINK("https://estoaresearch.com/noticias/haddad-diz-que-decisao-do-copom-em-manter-taxa-selic-em-1375-pode-ser-muito-ruim-como-de-habito/?utm_source=twitter")</f>
        <v>https://estoaresearch.com/noticias/haddad-diz-que-decisao-do-copom-em-manter-taxa-selic-em-1375-pode-ser-muito-ruim-como-de-habito/?utm_source=twitter</v>
      </c>
      <c r="Y908" s="77" t="s">
        <v>8694</v>
      </c>
      <c r="Z908" s="77"/>
      <c r="AA908" s="77"/>
      <c r="AB908" s="77"/>
      <c r="AC908" s="80" t="s">
        <v>10541</v>
      </c>
      <c r="AD908" s="77" t="s">
        <v>10617</v>
      </c>
      <c r="AE908" s="83" t="str">
        <f>HYPERLINK("https://twitter.com/estoaresearch/status/1672330254042513408")</f>
        <v>https://twitter.com/estoaresearch/status/1672330254042513408</v>
      </c>
      <c r="AF908" s="79">
        <v>45100.823807870373</v>
      </c>
      <c r="AG908" s="85">
        <v>45100</v>
      </c>
      <c r="AH908" s="80" t="s">
        <v>11437</v>
      </c>
      <c r="AI908" s="77" t="b">
        <v>0</v>
      </c>
      <c r="AJ908" s="77"/>
      <c r="AK908" s="77"/>
      <c r="AL908" s="77"/>
      <c r="AM908" s="77"/>
      <c r="AN908" s="77"/>
      <c r="AO908" s="77"/>
      <c r="AP908" s="77"/>
      <c r="AQ908" s="77"/>
      <c r="AR908" s="77"/>
      <c r="AS908" s="77"/>
      <c r="AT908" s="77"/>
      <c r="AU908" s="77"/>
      <c r="AV908" s="83" t="str">
        <f>HYPERLINK("https://pbs.twimg.com/profile_images/1452757245675118593/__7461BF_normal.jpg")</f>
        <v>https://pbs.twimg.com/profile_images/1452757245675118593/__7461BF_normal.jpg</v>
      </c>
      <c r="AW908" s="80" t="s">
        <v>16835</v>
      </c>
      <c r="AX908" s="80" t="s">
        <v>16835</v>
      </c>
      <c r="AY908" s="77"/>
      <c r="AZ908" s="80" t="s">
        <v>20380</v>
      </c>
      <c r="BA908" s="80" t="s">
        <v>20380</v>
      </c>
      <c r="BB908" s="80" t="s">
        <v>20380</v>
      </c>
      <c r="BC908" s="80" t="s">
        <v>16835</v>
      </c>
      <c r="BD908" s="80" t="s">
        <v>20660</v>
      </c>
      <c r="BE908" s="77"/>
      <c r="BF908" s="77"/>
      <c r="BG908" s="77"/>
      <c r="BH908" s="77"/>
      <c r="BI908" s="77"/>
    </row>
    <row r="909" spans="1:61" x14ac:dyDescent="0.25">
      <c r="A909" s="62" t="s">
        <v>563</v>
      </c>
      <c r="B909" s="62" t="s">
        <v>563</v>
      </c>
      <c r="C909" s="63"/>
      <c r="D909" s="64"/>
      <c r="E909" s="65"/>
      <c r="F909" s="66"/>
      <c r="G909" s="63"/>
      <c r="H909" s="67"/>
      <c r="I909" s="68"/>
      <c r="J909" s="68"/>
      <c r="K909" s="32"/>
      <c r="L909" s="75">
        <v>909</v>
      </c>
      <c r="M909" s="75"/>
      <c r="N909" s="70"/>
      <c r="O909" s="77" t="s">
        <v>179</v>
      </c>
      <c r="P909" s="79">
        <v>45141.795902777776</v>
      </c>
      <c r="Q909" s="77" t="s">
        <v>2874</v>
      </c>
      <c r="R909" s="77">
        <v>0</v>
      </c>
      <c r="S909" s="77">
        <v>1</v>
      </c>
      <c r="T909" s="77">
        <v>0</v>
      </c>
      <c r="U909" s="77">
        <v>0</v>
      </c>
      <c r="V909" s="77">
        <v>26</v>
      </c>
      <c r="W909" s="80" t="s">
        <v>6547</v>
      </c>
      <c r="X909" s="83" t="str">
        <f>HYPERLINK("https://estoaresearch.com/noticias/bc-corta-selic-em-05-p-p-na-primeira-reducao-em-tres-anos/?utm_source=twitter")</f>
        <v>https://estoaresearch.com/noticias/bc-corta-selic-em-05-p-p-na-primeira-reducao-em-tres-anos/?utm_source=twitter</v>
      </c>
      <c r="Y909" s="77" t="s">
        <v>8694</v>
      </c>
      <c r="Z909" s="77"/>
      <c r="AA909" s="77"/>
      <c r="AB909" s="77"/>
      <c r="AC909" s="80" t="s">
        <v>10541</v>
      </c>
      <c r="AD909" s="77" t="s">
        <v>10617</v>
      </c>
      <c r="AE909" s="83" t="str">
        <f>HYPERLINK("https://twitter.com/estoaresearch/status/1687178043796729856")</f>
        <v>https://twitter.com/estoaresearch/status/1687178043796729856</v>
      </c>
      <c r="AF909" s="79">
        <v>45141.795902777776</v>
      </c>
      <c r="AG909" s="85">
        <v>45141</v>
      </c>
      <c r="AH909" s="80" t="s">
        <v>11438</v>
      </c>
      <c r="AI909" s="77" t="b">
        <v>0</v>
      </c>
      <c r="AJ909" s="77"/>
      <c r="AK909" s="77"/>
      <c r="AL909" s="77"/>
      <c r="AM909" s="77"/>
      <c r="AN909" s="77"/>
      <c r="AO909" s="77"/>
      <c r="AP909" s="77"/>
      <c r="AQ909" s="77"/>
      <c r="AR909" s="77"/>
      <c r="AS909" s="77"/>
      <c r="AT909" s="77"/>
      <c r="AU909" s="77"/>
      <c r="AV909" s="83" t="str">
        <f>HYPERLINK("https://pbs.twimg.com/profile_images/1452757245675118593/__7461BF_normal.jpg")</f>
        <v>https://pbs.twimg.com/profile_images/1452757245675118593/__7461BF_normal.jpg</v>
      </c>
      <c r="AW909" s="80" t="s">
        <v>16836</v>
      </c>
      <c r="AX909" s="80" t="s">
        <v>16836</v>
      </c>
      <c r="AY909" s="77"/>
      <c r="AZ909" s="80" t="s">
        <v>20380</v>
      </c>
      <c r="BA909" s="80" t="s">
        <v>20380</v>
      </c>
      <c r="BB909" s="80" t="s">
        <v>20380</v>
      </c>
      <c r="BC909" s="80" t="s">
        <v>16836</v>
      </c>
      <c r="BD909" s="80" t="s">
        <v>20660</v>
      </c>
      <c r="BE909" s="77"/>
      <c r="BF909" s="77"/>
      <c r="BG909" s="77"/>
      <c r="BH909" s="77"/>
      <c r="BI909" s="77"/>
    </row>
    <row r="910" spans="1:61" x14ac:dyDescent="0.25">
      <c r="A910" s="62" t="s">
        <v>563</v>
      </c>
      <c r="B910" s="62" t="s">
        <v>563</v>
      </c>
      <c r="C910" s="63"/>
      <c r="D910" s="64"/>
      <c r="E910" s="65"/>
      <c r="F910" s="66"/>
      <c r="G910" s="63"/>
      <c r="H910" s="67"/>
      <c r="I910" s="68"/>
      <c r="J910" s="68"/>
      <c r="K910" s="32"/>
      <c r="L910" s="75">
        <v>910</v>
      </c>
      <c r="M910" s="75"/>
      <c r="N910" s="70"/>
      <c r="O910" s="77" t="s">
        <v>179</v>
      </c>
      <c r="P910" s="79">
        <v>45075.790995370371</v>
      </c>
      <c r="Q910" s="77" t="s">
        <v>2875</v>
      </c>
      <c r="R910" s="77">
        <v>0</v>
      </c>
      <c r="S910" s="77">
        <v>0</v>
      </c>
      <c r="T910" s="77">
        <v>0</v>
      </c>
      <c r="U910" s="77">
        <v>0</v>
      </c>
      <c r="V910" s="77">
        <v>20</v>
      </c>
      <c r="W910" s="80" t="s">
        <v>6548</v>
      </c>
      <c r="X910" s="83" t="str">
        <f>HYPERLINK("https://estoaresearch.com/noticias/mercado-financeiro-eleva-projecao-do-pib-para-126-em-2023/?utm_source=twitter")</f>
        <v>https://estoaresearch.com/noticias/mercado-financeiro-eleva-projecao-do-pib-para-126-em-2023/?utm_source=twitter</v>
      </c>
      <c r="Y910" s="77" t="s">
        <v>8694</v>
      </c>
      <c r="Z910" s="77"/>
      <c r="AA910" s="77"/>
      <c r="AB910" s="77"/>
      <c r="AC910" s="80" t="s">
        <v>10541</v>
      </c>
      <c r="AD910" s="77" t="s">
        <v>10617</v>
      </c>
      <c r="AE910" s="83" t="str">
        <f>HYPERLINK("https://twitter.com/estoaresearch/status/1663258667108450325")</f>
        <v>https://twitter.com/estoaresearch/status/1663258667108450325</v>
      </c>
      <c r="AF910" s="79">
        <v>45075.790995370371</v>
      </c>
      <c r="AG910" s="85">
        <v>45075</v>
      </c>
      <c r="AH910" s="80" t="s">
        <v>11439</v>
      </c>
      <c r="AI910" s="77" t="b">
        <v>0</v>
      </c>
      <c r="AJ910" s="77"/>
      <c r="AK910" s="77"/>
      <c r="AL910" s="77"/>
      <c r="AM910" s="77"/>
      <c r="AN910" s="77"/>
      <c r="AO910" s="77"/>
      <c r="AP910" s="77"/>
      <c r="AQ910" s="77"/>
      <c r="AR910" s="77"/>
      <c r="AS910" s="77"/>
      <c r="AT910" s="77"/>
      <c r="AU910" s="77"/>
      <c r="AV910" s="83" t="str">
        <f>HYPERLINK("https://pbs.twimg.com/profile_images/1452757245675118593/__7461BF_normal.jpg")</f>
        <v>https://pbs.twimg.com/profile_images/1452757245675118593/__7461BF_normal.jpg</v>
      </c>
      <c r="AW910" s="80" t="s">
        <v>16837</v>
      </c>
      <c r="AX910" s="80" t="s">
        <v>16837</v>
      </c>
      <c r="AY910" s="77"/>
      <c r="AZ910" s="80" t="s">
        <v>20380</v>
      </c>
      <c r="BA910" s="80" t="s">
        <v>20380</v>
      </c>
      <c r="BB910" s="80" t="s">
        <v>20380</v>
      </c>
      <c r="BC910" s="80" t="s">
        <v>16837</v>
      </c>
      <c r="BD910" s="80" t="s">
        <v>20660</v>
      </c>
      <c r="BE910" s="77"/>
      <c r="BF910" s="77"/>
      <c r="BG910" s="77"/>
      <c r="BH910" s="77"/>
      <c r="BI910" s="77"/>
    </row>
    <row r="911" spans="1:61" x14ac:dyDescent="0.25">
      <c r="A911" s="62" t="s">
        <v>564</v>
      </c>
      <c r="B911" s="62" t="s">
        <v>564</v>
      </c>
      <c r="C911" s="63"/>
      <c r="D911" s="64"/>
      <c r="E911" s="65"/>
      <c r="F911" s="66"/>
      <c r="G911" s="63"/>
      <c r="H911" s="67"/>
      <c r="I911" s="68"/>
      <c r="J911" s="68"/>
      <c r="K911" s="32"/>
      <c r="L911" s="75">
        <v>911</v>
      </c>
      <c r="M911" s="75"/>
      <c r="N911" s="70"/>
      <c r="O911" s="77" t="s">
        <v>179</v>
      </c>
      <c r="P911" s="79">
        <v>45090.555659722224</v>
      </c>
      <c r="Q911" s="77" t="s">
        <v>2876</v>
      </c>
      <c r="R911" s="77">
        <v>1</v>
      </c>
      <c r="S911" s="77">
        <v>2</v>
      </c>
      <c r="T911" s="77">
        <v>0</v>
      </c>
      <c r="U911" s="77">
        <v>0</v>
      </c>
      <c r="V911" s="77">
        <v>227</v>
      </c>
      <c r="W911" s="80" t="s">
        <v>6549</v>
      </c>
      <c r="X911" s="77"/>
      <c r="Y911" s="77"/>
      <c r="Z911" s="77"/>
      <c r="AA911" s="77" t="s">
        <v>9305</v>
      </c>
      <c r="AB911" s="77" t="s">
        <v>10534</v>
      </c>
      <c r="AC911" s="80" t="s">
        <v>10540</v>
      </c>
      <c r="AD911" s="77" t="s">
        <v>10617</v>
      </c>
      <c r="AE911" s="83" t="str">
        <f>HYPERLINK("https://twitter.com/arrcanjjo/status/1668609201231282177")</f>
        <v>https://twitter.com/arrcanjjo/status/1668609201231282177</v>
      </c>
      <c r="AF911" s="79">
        <v>45090.555659722224</v>
      </c>
      <c r="AG911" s="85">
        <v>45090</v>
      </c>
      <c r="AH911" s="80" t="s">
        <v>11440</v>
      </c>
      <c r="AI911" s="77" t="b">
        <v>0</v>
      </c>
      <c r="AJ911" s="77"/>
      <c r="AK911" s="77"/>
      <c r="AL911" s="77"/>
      <c r="AM911" s="77"/>
      <c r="AN911" s="77"/>
      <c r="AO911" s="77"/>
      <c r="AP911" s="77"/>
      <c r="AQ911" s="77" t="s">
        <v>14787</v>
      </c>
      <c r="AR911" s="77">
        <v>127614</v>
      </c>
      <c r="AS911" s="77"/>
      <c r="AT911" s="77"/>
      <c r="AU911" s="77"/>
      <c r="AV911" s="83" t="str">
        <f>HYPERLINK("https://pbs.twimg.com/ext_tw_video_thumb/1668609158587858944/pu/img/1vWHWtp54lJ1bhJq.jpg")</f>
        <v>https://pbs.twimg.com/ext_tw_video_thumb/1668609158587858944/pu/img/1vWHWtp54lJ1bhJq.jpg</v>
      </c>
      <c r="AW911" s="80" t="s">
        <v>16838</v>
      </c>
      <c r="AX911" s="80" t="s">
        <v>16838</v>
      </c>
      <c r="AY911" s="77"/>
      <c r="AZ911" s="80" t="s">
        <v>20380</v>
      </c>
      <c r="BA911" s="80" t="s">
        <v>20380</v>
      </c>
      <c r="BB911" s="80" t="s">
        <v>20380</v>
      </c>
      <c r="BC911" s="80" t="s">
        <v>16838</v>
      </c>
      <c r="BD911" s="77">
        <v>86962550</v>
      </c>
      <c r="BE911" s="77"/>
      <c r="BF911" s="77"/>
      <c r="BG911" s="77"/>
      <c r="BH911" s="77"/>
      <c r="BI911" s="77"/>
    </row>
    <row r="912" spans="1:61" x14ac:dyDescent="0.25">
      <c r="A912" s="62" t="s">
        <v>565</v>
      </c>
      <c r="B912" s="62" t="s">
        <v>1808</v>
      </c>
      <c r="C912" s="63"/>
      <c r="D912" s="64"/>
      <c r="E912" s="65"/>
      <c r="F912" s="66"/>
      <c r="G912" s="63"/>
      <c r="H912" s="67"/>
      <c r="I912" s="68"/>
      <c r="J912" s="68"/>
      <c r="K912" s="32"/>
      <c r="L912" s="75">
        <v>912</v>
      </c>
      <c r="M912" s="75"/>
      <c r="N912" s="70"/>
      <c r="O912" s="77" t="s">
        <v>2081</v>
      </c>
      <c r="P912" s="79">
        <v>45105.793946759259</v>
      </c>
      <c r="Q912" s="77" t="s">
        <v>2877</v>
      </c>
      <c r="R912" s="77">
        <v>0</v>
      </c>
      <c r="S912" s="77">
        <v>0</v>
      </c>
      <c r="T912" s="77">
        <v>0</v>
      </c>
      <c r="U912" s="77">
        <v>0</v>
      </c>
      <c r="V912" s="77">
        <v>45</v>
      </c>
      <c r="W912" s="80" t="s">
        <v>6550</v>
      </c>
      <c r="X912" s="83" t="str">
        <f>HYPERLINK("https://tradenews.com.br/rodrigo-correa-a-meta-de-inflacao-e-as-expectativas-o-que-esperar-do-cmn/")</f>
        <v>https://tradenews.com.br/rodrigo-correa-a-meta-de-inflacao-e-as-expectativas-o-que-esperar-do-cmn/</v>
      </c>
      <c r="Y912" s="77" t="s">
        <v>8611</v>
      </c>
      <c r="Z912" s="77" t="s">
        <v>1808</v>
      </c>
      <c r="AA912" s="77"/>
      <c r="AB912" s="77"/>
      <c r="AC912" s="80" t="s">
        <v>10541</v>
      </c>
      <c r="AD912" s="77" t="s">
        <v>10617</v>
      </c>
      <c r="AE912" s="83" t="str">
        <f>HYPERLINK("https://twitter.com/rodrigo__correa/status/1674131372477231104")</f>
        <v>https://twitter.com/rodrigo__correa/status/1674131372477231104</v>
      </c>
      <c r="AF912" s="79">
        <v>45105.793946759259</v>
      </c>
      <c r="AG912" s="85">
        <v>45105</v>
      </c>
      <c r="AH912" s="80" t="s">
        <v>11441</v>
      </c>
      <c r="AI912" s="77" t="b">
        <v>0</v>
      </c>
      <c r="AJ912" s="77"/>
      <c r="AK912" s="77"/>
      <c r="AL912" s="77"/>
      <c r="AM912" s="77"/>
      <c r="AN912" s="77"/>
      <c r="AO912" s="77"/>
      <c r="AP912" s="77"/>
      <c r="AQ912" s="77"/>
      <c r="AR912" s="77"/>
      <c r="AS912" s="77"/>
      <c r="AT912" s="77"/>
      <c r="AU912" s="77"/>
      <c r="AV912" s="83" t="str">
        <f>HYPERLINK("https://pbs.twimg.com/profile_images/1587536748292280321/o7UDTLUU_normal.jpg")</f>
        <v>https://pbs.twimg.com/profile_images/1587536748292280321/o7UDTLUU_normal.jpg</v>
      </c>
      <c r="AW912" s="80" t="s">
        <v>16839</v>
      </c>
      <c r="AX912" s="80" t="s">
        <v>16839</v>
      </c>
      <c r="AY912" s="77"/>
      <c r="AZ912" s="80" t="s">
        <v>20380</v>
      </c>
      <c r="BA912" s="80" t="s">
        <v>20380</v>
      </c>
      <c r="BB912" s="80" t="s">
        <v>20380</v>
      </c>
      <c r="BC912" s="80" t="s">
        <v>16839</v>
      </c>
      <c r="BD912" s="77">
        <v>90010417</v>
      </c>
      <c r="BE912" s="77"/>
      <c r="BF912" s="77"/>
      <c r="BG912" s="77"/>
      <c r="BH912" s="77"/>
      <c r="BI912" s="77"/>
    </row>
    <row r="913" spans="1:61" x14ac:dyDescent="0.25">
      <c r="A913" s="62" t="s">
        <v>565</v>
      </c>
      <c r="B913" s="62" t="s">
        <v>1808</v>
      </c>
      <c r="C913" s="63"/>
      <c r="D913" s="64"/>
      <c r="E913" s="65"/>
      <c r="F913" s="66"/>
      <c r="G913" s="63"/>
      <c r="H913" s="67"/>
      <c r="I913" s="68"/>
      <c r="J913" s="68"/>
      <c r="K913" s="32"/>
      <c r="L913" s="75">
        <v>913</v>
      </c>
      <c r="M913" s="75"/>
      <c r="N913" s="70"/>
      <c r="O913" s="77" t="s">
        <v>2081</v>
      </c>
      <c r="P913" s="79">
        <v>45106.900289351855</v>
      </c>
      <c r="Q913" s="77" t="s">
        <v>2878</v>
      </c>
      <c r="R913" s="77">
        <v>0</v>
      </c>
      <c r="S913" s="77">
        <v>0</v>
      </c>
      <c r="T913" s="77">
        <v>0</v>
      </c>
      <c r="U913" s="77">
        <v>0</v>
      </c>
      <c r="V913" s="77">
        <v>40</v>
      </c>
      <c r="W913" s="80" t="s">
        <v>6551</v>
      </c>
      <c r="X913" s="77"/>
      <c r="Y913" s="77"/>
      <c r="Z913" s="77" t="s">
        <v>1808</v>
      </c>
      <c r="AA913" s="77"/>
      <c r="AB913" s="77"/>
      <c r="AC913" s="80" t="s">
        <v>10541</v>
      </c>
      <c r="AD913" s="77" t="s">
        <v>10617</v>
      </c>
      <c r="AE913" s="83" t="str">
        <f>HYPERLINK("https://twitter.com/rodrigo__correa/status/1674532296223858689")</f>
        <v>https://twitter.com/rodrigo__correa/status/1674532296223858689</v>
      </c>
      <c r="AF913" s="79">
        <v>45106.900289351855</v>
      </c>
      <c r="AG913" s="85">
        <v>45106</v>
      </c>
      <c r="AH913" s="80" t="s">
        <v>11442</v>
      </c>
      <c r="AI913" s="77"/>
      <c r="AJ913" s="77"/>
      <c r="AK913" s="77"/>
      <c r="AL913" s="77"/>
      <c r="AM913" s="77"/>
      <c r="AN913" s="77"/>
      <c r="AO913" s="77"/>
      <c r="AP913" s="77"/>
      <c r="AQ913" s="77"/>
      <c r="AR913" s="77"/>
      <c r="AS913" s="77"/>
      <c r="AT913" s="77"/>
      <c r="AU913" s="77"/>
      <c r="AV913" s="83" t="str">
        <f>HYPERLINK("https://pbs.twimg.com/profile_images/1587536748292280321/o7UDTLUU_normal.jpg")</f>
        <v>https://pbs.twimg.com/profile_images/1587536748292280321/o7UDTLUU_normal.jpg</v>
      </c>
      <c r="AW913" s="80" t="s">
        <v>16840</v>
      </c>
      <c r="AX913" s="80" t="s">
        <v>16840</v>
      </c>
      <c r="AY913" s="77"/>
      <c r="AZ913" s="80" t="s">
        <v>20380</v>
      </c>
      <c r="BA913" s="80" t="s">
        <v>20380</v>
      </c>
      <c r="BB913" s="80" t="s">
        <v>20380</v>
      </c>
      <c r="BC913" s="80" t="s">
        <v>16840</v>
      </c>
      <c r="BD913" s="77">
        <v>90010417</v>
      </c>
      <c r="BE913" s="77"/>
      <c r="BF913" s="77"/>
      <c r="BG913" s="77"/>
      <c r="BH913" s="77"/>
      <c r="BI913" s="77"/>
    </row>
    <row r="914" spans="1:61" x14ac:dyDescent="0.25">
      <c r="A914" s="62" t="s">
        <v>566</v>
      </c>
      <c r="B914" s="62" t="s">
        <v>566</v>
      </c>
      <c r="C914" s="63"/>
      <c r="D914" s="64"/>
      <c r="E914" s="65"/>
      <c r="F914" s="66"/>
      <c r="G914" s="63"/>
      <c r="H914" s="67"/>
      <c r="I914" s="68"/>
      <c r="J914" s="68"/>
      <c r="K914" s="32"/>
      <c r="L914" s="75">
        <v>914</v>
      </c>
      <c r="M914" s="75"/>
      <c r="N914" s="70"/>
      <c r="O914" s="77" t="s">
        <v>179</v>
      </c>
      <c r="P914" s="79">
        <v>44967.914421296293</v>
      </c>
      <c r="Q914" s="77" t="s">
        <v>2879</v>
      </c>
      <c r="R914" s="77">
        <v>3</v>
      </c>
      <c r="S914" s="77">
        <v>6</v>
      </c>
      <c r="T914" s="77">
        <v>0</v>
      </c>
      <c r="U914" s="77">
        <v>0</v>
      </c>
      <c r="V914" s="77">
        <v>91</v>
      </c>
      <c r="W914" s="80" t="s">
        <v>6552</v>
      </c>
      <c r="X914" s="77"/>
      <c r="Y914" s="77"/>
      <c r="Z914" s="77"/>
      <c r="AA914" s="77"/>
      <c r="AB914" s="77"/>
      <c r="AC914" s="80" t="s">
        <v>10540</v>
      </c>
      <c r="AD914" s="77" t="s">
        <v>10617</v>
      </c>
      <c r="AE914" s="83" t="str">
        <f>HYPERLINK("https://twitter.com/reginaldoprofe/status/1624165504624517130")</f>
        <v>https://twitter.com/reginaldoprofe/status/1624165504624517130</v>
      </c>
      <c r="AF914" s="79">
        <v>44967.914421296293</v>
      </c>
      <c r="AG914" s="85">
        <v>44967</v>
      </c>
      <c r="AH914" s="80" t="s">
        <v>11443</v>
      </c>
      <c r="AI914" s="77"/>
      <c r="AJ914" s="77"/>
      <c r="AK914" s="77"/>
      <c r="AL914" s="77"/>
      <c r="AM914" s="77"/>
      <c r="AN914" s="77"/>
      <c r="AO914" s="77"/>
      <c r="AP914" s="77"/>
      <c r="AQ914" s="77"/>
      <c r="AR914" s="77"/>
      <c r="AS914" s="77"/>
      <c r="AT914" s="77"/>
      <c r="AU914" s="77"/>
      <c r="AV914" s="83" t="str">
        <f>HYPERLINK("https://pbs.twimg.com/profile_images/1587151048497659907/OVEWHA5T_normal.jpg")</f>
        <v>https://pbs.twimg.com/profile_images/1587151048497659907/OVEWHA5T_normal.jpg</v>
      </c>
      <c r="AW914" s="80" t="s">
        <v>16841</v>
      </c>
      <c r="AX914" s="80" t="s">
        <v>16841</v>
      </c>
      <c r="AY914" s="77"/>
      <c r="AZ914" s="80" t="s">
        <v>20380</v>
      </c>
      <c r="BA914" s="80" t="s">
        <v>20380</v>
      </c>
      <c r="BB914" s="80" t="s">
        <v>20380</v>
      </c>
      <c r="BC914" s="80" t="s">
        <v>16841</v>
      </c>
      <c r="BD914" s="80" t="s">
        <v>20661</v>
      </c>
      <c r="BE914" s="77"/>
      <c r="BF914" s="77"/>
      <c r="BG914" s="77"/>
      <c r="BH914" s="77"/>
      <c r="BI914" s="77"/>
    </row>
    <row r="915" spans="1:61" x14ac:dyDescent="0.25">
      <c r="A915" s="62" t="s">
        <v>567</v>
      </c>
      <c r="B915" s="62" t="s">
        <v>566</v>
      </c>
      <c r="C915" s="63"/>
      <c r="D915" s="64"/>
      <c r="E915" s="65"/>
      <c r="F915" s="66"/>
      <c r="G915" s="63"/>
      <c r="H915" s="67"/>
      <c r="I915" s="68"/>
      <c r="J915" s="68"/>
      <c r="K915" s="32"/>
      <c r="L915" s="75">
        <v>915</v>
      </c>
      <c r="M915" s="75"/>
      <c r="N915" s="70"/>
      <c r="O915" s="77" t="s">
        <v>2083</v>
      </c>
      <c r="P915" s="79">
        <v>45196.628020833334</v>
      </c>
      <c r="Q915" s="77" t="s">
        <v>2880</v>
      </c>
      <c r="R915" s="77">
        <v>3</v>
      </c>
      <c r="S915" s="77">
        <v>0</v>
      </c>
      <c r="T915" s="77">
        <v>0</v>
      </c>
      <c r="U915" s="77">
        <v>0</v>
      </c>
      <c r="V915" s="77"/>
      <c r="W915" s="80" t="s">
        <v>5884</v>
      </c>
      <c r="X915" s="77"/>
      <c r="Y915" s="77"/>
      <c r="Z915" s="77" t="s">
        <v>566</v>
      </c>
      <c r="AA915" s="77"/>
      <c r="AB915" s="77"/>
      <c r="AC915" s="80" t="s">
        <v>10540</v>
      </c>
      <c r="AD915" s="77" t="s">
        <v>10617</v>
      </c>
      <c r="AE915" s="83" t="str">
        <f>HYPERLINK("https://twitter.com/juliaview/status/1707048537609920705")</f>
        <v>https://twitter.com/juliaview/status/1707048537609920705</v>
      </c>
      <c r="AF915" s="79">
        <v>45196.628020833334</v>
      </c>
      <c r="AG915" s="85">
        <v>45196</v>
      </c>
      <c r="AH915" s="80" t="s">
        <v>11444</v>
      </c>
      <c r="AI915" s="77"/>
      <c r="AJ915" s="77"/>
      <c r="AK915" s="77"/>
      <c r="AL915" s="77"/>
      <c r="AM915" s="77"/>
      <c r="AN915" s="77"/>
      <c r="AO915" s="77"/>
      <c r="AP915" s="77"/>
      <c r="AQ915" s="77"/>
      <c r="AR915" s="77"/>
      <c r="AS915" s="77"/>
      <c r="AT915" s="77"/>
      <c r="AU915" s="77"/>
      <c r="AV915" s="83" t="str">
        <f>HYPERLINK("https://abs.twimg.com/sticky/default_profile_images/default_profile_normal.png")</f>
        <v>https://abs.twimg.com/sticky/default_profile_images/default_profile_normal.png</v>
      </c>
      <c r="AW915" s="80" t="s">
        <v>16842</v>
      </c>
      <c r="AX915" s="80" t="s">
        <v>16842</v>
      </c>
      <c r="AY915" s="77"/>
      <c r="AZ915" s="80" t="s">
        <v>20380</v>
      </c>
      <c r="BA915" s="80" t="s">
        <v>20380</v>
      </c>
      <c r="BB915" s="80" t="s">
        <v>16841</v>
      </c>
      <c r="BC915" s="80" t="s">
        <v>16841</v>
      </c>
      <c r="BD915" s="77">
        <v>156000022</v>
      </c>
      <c r="BE915" s="77"/>
      <c r="BF915" s="77"/>
      <c r="BG915" s="77"/>
      <c r="BH915" s="77"/>
      <c r="BI915" s="77"/>
    </row>
    <row r="916" spans="1:61" x14ac:dyDescent="0.25">
      <c r="A916" s="62" t="s">
        <v>568</v>
      </c>
      <c r="B916" s="62" t="s">
        <v>568</v>
      </c>
      <c r="C916" s="63"/>
      <c r="D916" s="64"/>
      <c r="E916" s="65"/>
      <c r="F916" s="66"/>
      <c r="G916" s="63"/>
      <c r="H916" s="67"/>
      <c r="I916" s="68"/>
      <c r="J916" s="68"/>
      <c r="K916" s="32"/>
      <c r="L916" s="75">
        <v>916</v>
      </c>
      <c r="M916" s="75"/>
      <c r="N916" s="70"/>
      <c r="O916" s="77" t="s">
        <v>179</v>
      </c>
      <c r="P916" s="79">
        <v>45079.648368055554</v>
      </c>
      <c r="Q916" s="77" t="s">
        <v>2881</v>
      </c>
      <c r="R916" s="77">
        <v>1</v>
      </c>
      <c r="S916" s="77">
        <v>1</v>
      </c>
      <c r="T916" s="77">
        <v>1</v>
      </c>
      <c r="U916" s="77">
        <v>0</v>
      </c>
      <c r="V916" s="77">
        <v>69</v>
      </c>
      <c r="W916" s="80" t="s">
        <v>6553</v>
      </c>
      <c r="X916" s="77"/>
      <c r="Y916" s="77"/>
      <c r="Z916" s="77"/>
      <c r="AA916" s="77" t="s">
        <v>9306</v>
      </c>
      <c r="AB916" s="77" t="s">
        <v>10535</v>
      </c>
      <c r="AC916" s="80" t="s">
        <v>10541</v>
      </c>
      <c r="AD916" s="77" t="s">
        <v>10620</v>
      </c>
      <c r="AE916" s="83" t="str">
        <f>HYPERLINK("https://twitter.com/aterionegro/status/1664656530153537537")</f>
        <v>https://twitter.com/aterionegro/status/1664656530153537537</v>
      </c>
      <c r="AF916" s="79">
        <v>45079.648368055554</v>
      </c>
      <c r="AG916" s="85">
        <v>45079</v>
      </c>
      <c r="AH916" s="80" t="s">
        <v>11445</v>
      </c>
      <c r="AI916" s="77" t="b">
        <v>0</v>
      </c>
      <c r="AJ916" s="77"/>
      <c r="AK916" s="77"/>
      <c r="AL916" s="77"/>
      <c r="AM916" s="77"/>
      <c r="AN916" s="77"/>
      <c r="AO916" s="77"/>
      <c r="AP916" s="77"/>
      <c r="AQ916" s="77" t="s">
        <v>14788</v>
      </c>
      <c r="AR916" s="77"/>
      <c r="AS916" s="77"/>
      <c r="AT916" s="77"/>
      <c r="AU916" s="77"/>
      <c r="AV916" s="83" t="str">
        <f>HYPERLINK("https://pbs.twimg.com/media/FxoLWhFX0AMD3jd.jpg")</f>
        <v>https://pbs.twimg.com/media/FxoLWhFX0AMD3jd.jpg</v>
      </c>
      <c r="AW916" s="80" t="s">
        <v>16843</v>
      </c>
      <c r="AX916" s="80" t="s">
        <v>16843</v>
      </c>
      <c r="AY916" s="77"/>
      <c r="AZ916" s="80" t="s">
        <v>20380</v>
      </c>
      <c r="BA916" s="80" t="s">
        <v>20380</v>
      </c>
      <c r="BB916" s="80" t="s">
        <v>20380</v>
      </c>
      <c r="BC916" s="80" t="s">
        <v>16843</v>
      </c>
      <c r="BD916" s="77">
        <v>410074244</v>
      </c>
      <c r="BE916" s="77"/>
      <c r="BF916" s="77"/>
      <c r="BG916" s="77"/>
      <c r="BH916" s="77"/>
      <c r="BI916" s="77"/>
    </row>
    <row r="917" spans="1:61" x14ac:dyDescent="0.25">
      <c r="A917" s="62" t="s">
        <v>569</v>
      </c>
      <c r="B917" s="62" t="s">
        <v>1809</v>
      </c>
      <c r="C917" s="63"/>
      <c r="D917" s="64"/>
      <c r="E917" s="65"/>
      <c r="F917" s="66"/>
      <c r="G917" s="63"/>
      <c r="H917" s="67"/>
      <c r="I917" s="68"/>
      <c r="J917" s="68"/>
      <c r="K917" s="32"/>
      <c r="L917" s="75">
        <v>917</v>
      </c>
      <c r="M917" s="75"/>
      <c r="N917" s="70"/>
      <c r="O917" s="77" t="s">
        <v>2081</v>
      </c>
      <c r="P917" s="79">
        <v>45118.354467592595</v>
      </c>
      <c r="Q917" s="77" t="s">
        <v>2882</v>
      </c>
      <c r="R917" s="77">
        <v>1</v>
      </c>
      <c r="S917" s="77">
        <v>13</v>
      </c>
      <c r="T917" s="77">
        <v>2</v>
      </c>
      <c r="U917" s="77">
        <v>1</v>
      </c>
      <c r="V917" s="77">
        <v>1911</v>
      </c>
      <c r="W917" s="80" t="s">
        <v>6554</v>
      </c>
      <c r="X917" s="77"/>
      <c r="Y917" s="77"/>
      <c r="Z917" s="77" t="s">
        <v>1809</v>
      </c>
      <c r="AA917" s="77" t="s">
        <v>9307</v>
      </c>
      <c r="AB917" s="77" t="s">
        <v>10535</v>
      </c>
      <c r="AC917" s="80" t="s">
        <v>10550</v>
      </c>
      <c r="AD917" s="77" t="s">
        <v>10617</v>
      </c>
      <c r="AE917" s="83" t="str">
        <f>HYPERLINK("https://twitter.com/jc_pe/status/1678683151063740416")</f>
        <v>https://twitter.com/jc_pe/status/1678683151063740416</v>
      </c>
      <c r="AF917" s="79">
        <v>45118.354467592595</v>
      </c>
      <c r="AG917" s="85">
        <v>45118</v>
      </c>
      <c r="AH917" s="80" t="s">
        <v>11446</v>
      </c>
      <c r="AI917" s="77" t="b">
        <v>0</v>
      </c>
      <c r="AJ917" s="77"/>
      <c r="AK917" s="77"/>
      <c r="AL917" s="77"/>
      <c r="AM917" s="77"/>
      <c r="AN917" s="77"/>
      <c r="AO917" s="77"/>
      <c r="AP917" s="77"/>
      <c r="AQ917" s="77" t="s">
        <v>14789</v>
      </c>
      <c r="AR917" s="77"/>
      <c r="AS917" s="77"/>
      <c r="AT917" s="77"/>
      <c r="AU917" s="77"/>
      <c r="AV917" s="83" t="str">
        <f>HYPERLINK("https://pbs.twimg.com/media/F0vhbb4WAAAYMI0.jpg")</f>
        <v>https://pbs.twimg.com/media/F0vhbb4WAAAYMI0.jpg</v>
      </c>
      <c r="AW917" s="80" t="s">
        <v>16844</v>
      </c>
      <c r="AX917" s="80" t="s">
        <v>16844</v>
      </c>
      <c r="AY917" s="77"/>
      <c r="AZ917" s="80" t="s">
        <v>20380</v>
      </c>
      <c r="BA917" s="80" t="s">
        <v>20380</v>
      </c>
      <c r="BB917" s="80" t="s">
        <v>20380</v>
      </c>
      <c r="BC917" s="80" t="s">
        <v>16844</v>
      </c>
      <c r="BD917" s="77">
        <v>245896728</v>
      </c>
      <c r="BE917" s="77"/>
      <c r="BF917" s="77"/>
      <c r="BG917" s="77"/>
      <c r="BH917" s="77"/>
      <c r="BI917" s="77"/>
    </row>
    <row r="918" spans="1:61" x14ac:dyDescent="0.25">
      <c r="A918" s="62" t="s">
        <v>570</v>
      </c>
      <c r="B918" s="62" t="s">
        <v>570</v>
      </c>
      <c r="C918" s="63"/>
      <c r="D918" s="64"/>
      <c r="E918" s="65"/>
      <c r="F918" s="66"/>
      <c r="G918" s="63"/>
      <c r="H918" s="67"/>
      <c r="I918" s="68"/>
      <c r="J918" s="68"/>
      <c r="K918" s="32"/>
      <c r="L918" s="75">
        <v>918</v>
      </c>
      <c r="M918" s="75"/>
      <c r="N918" s="70"/>
      <c r="O918" s="77" t="s">
        <v>179</v>
      </c>
      <c r="P918" s="79">
        <v>45169.417696759258</v>
      </c>
      <c r="Q918" s="77" t="s">
        <v>2883</v>
      </c>
      <c r="R918" s="77">
        <v>0</v>
      </c>
      <c r="S918" s="77">
        <v>0</v>
      </c>
      <c r="T918" s="77">
        <v>0</v>
      </c>
      <c r="U918" s="77">
        <v>0</v>
      </c>
      <c r="V918" s="77">
        <v>145</v>
      </c>
      <c r="W918" s="80" t="s">
        <v>6555</v>
      </c>
      <c r="X918" s="83" t="str">
        <f>HYPERLINK("https://ecbr.io/1cl895o")</f>
        <v>https://ecbr.io/1cl895o</v>
      </c>
      <c r="Y918" s="77" t="s">
        <v>8695</v>
      </c>
      <c r="Z918" s="77"/>
      <c r="AA918" s="77" t="s">
        <v>9308</v>
      </c>
      <c r="AB918" s="77" t="s">
        <v>10535</v>
      </c>
      <c r="AC918" s="80" t="s">
        <v>10552</v>
      </c>
      <c r="AD918" s="77" t="s">
        <v>10617</v>
      </c>
      <c r="AE918" s="83" t="str">
        <f>HYPERLINK("https://twitter.com/ecommerce_br/status/1697187848418410916")</f>
        <v>https://twitter.com/ecommerce_br/status/1697187848418410916</v>
      </c>
      <c r="AF918" s="79">
        <v>45169.417696759258</v>
      </c>
      <c r="AG918" s="85">
        <v>45169</v>
      </c>
      <c r="AH918" s="80" t="s">
        <v>11447</v>
      </c>
      <c r="AI918" s="77" t="b">
        <v>0</v>
      </c>
      <c r="AJ918" s="77"/>
      <c r="AK918" s="77"/>
      <c r="AL918" s="77"/>
      <c r="AM918" s="77"/>
      <c r="AN918" s="77"/>
      <c r="AO918" s="77"/>
      <c r="AP918" s="77"/>
      <c r="AQ918" s="77" t="s">
        <v>14790</v>
      </c>
      <c r="AR918" s="77"/>
      <c r="AS918" s="77"/>
      <c r="AT918" s="77"/>
      <c r="AU918" s="77"/>
      <c r="AV918" s="83" t="str">
        <f>HYPERLINK("https://pbs.twimg.com/media/F42fWq4XYAAw4BV.jpg")</f>
        <v>https://pbs.twimg.com/media/F42fWq4XYAAw4BV.jpg</v>
      </c>
      <c r="AW918" s="80" t="s">
        <v>16845</v>
      </c>
      <c r="AX918" s="80" t="s">
        <v>16845</v>
      </c>
      <c r="AY918" s="77"/>
      <c r="AZ918" s="80" t="s">
        <v>20380</v>
      </c>
      <c r="BA918" s="80" t="s">
        <v>20380</v>
      </c>
      <c r="BB918" s="80" t="s">
        <v>20380</v>
      </c>
      <c r="BC918" s="80" t="s">
        <v>16845</v>
      </c>
      <c r="BD918" s="77">
        <v>225006023</v>
      </c>
      <c r="BE918" s="77"/>
      <c r="BF918" s="77"/>
      <c r="BG918" s="77"/>
      <c r="BH918" s="77"/>
      <c r="BI918" s="77"/>
    </row>
    <row r="919" spans="1:61" x14ac:dyDescent="0.25">
      <c r="A919" s="62" t="s">
        <v>570</v>
      </c>
      <c r="B919" s="62" t="s">
        <v>570</v>
      </c>
      <c r="C919" s="63"/>
      <c r="D919" s="64"/>
      <c r="E919" s="65"/>
      <c r="F919" s="66"/>
      <c r="G919" s="63"/>
      <c r="H919" s="67"/>
      <c r="I919" s="68"/>
      <c r="J919" s="68"/>
      <c r="K919" s="32"/>
      <c r="L919" s="75">
        <v>919</v>
      </c>
      <c r="M919" s="75"/>
      <c r="N919" s="70"/>
      <c r="O919" s="77" t="s">
        <v>179</v>
      </c>
      <c r="P919" s="79">
        <v>45107.875648148147</v>
      </c>
      <c r="Q919" s="77" t="s">
        <v>2884</v>
      </c>
      <c r="R919" s="77">
        <v>0</v>
      </c>
      <c r="S919" s="77">
        <v>1</v>
      </c>
      <c r="T919" s="77">
        <v>0</v>
      </c>
      <c r="U919" s="77">
        <v>0</v>
      </c>
      <c r="V919" s="77">
        <v>116</v>
      </c>
      <c r="W919" s="80" t="s">
        <v>6556</v>
      </c>
      <c r="X919" s="83" t="str">
        <f>HYPERLINK("https://ecbr.io/174uao6")</f>
        <v>https://ecbr.io/174uao6</v>
      </c>
      <c r="Y919" s="77" t="s">
        <v>8695</v>
      </c>
      <c r="Z919" s="77"/>
      <c r="AA919" s="77" t="s">
        <v>9309</v>
      </c>
      <c r="AB919" s="77" t="s">
        <v>10535</v>
      </c>
      <c r="AC919" s="80" t="s">
        <v>10550</v>
      </c>
      <c r="AD919" s="77" t="s">
        <v>10617</v>
      </c>
      <c r="AE919" s="83" t="str">
        <f>HYPERLINK("https://twitter.com/ecommerce_br/status/1674885753136984064")</f>
        <v>https://twitter.com/ecommerce_br/status/1674885753136984064</v>
      </c>
      <c r="AF919" s="79">
        <v>45107.875648148147</v>
      </c>
      <c r="AG919" s="85">
        <v>45107</v>
      </c>
      <c r="AH919" s="80" t="s">
        <v>11448</v>
      </c>
      <c r="AI919" s="77" t="b">
        <v>0</v>
      </c>
      <c r="AJ919" s="77"/>
      <c r="AK919" s="77"/>
      <c r="AL919" s="77"/>
      <c r="AM919" s="77"/>
      <c r="AN919" s="77"/>
      <c r="AO919" s="77"/>
      <c r="AP919" s="77"/>
      <c r="AQ919" s="77" t="s">
        <v>14791</v>
      </c>
      <c r="AR919" s="77"/>
      <c r="AS919" s="77"/>
      <c r="AT919" s="77"/>
      <c r="AU919" s="77"/>
      <c r="AV919" s="83" t="str">
        <f>HYPERLINK("https://pbs.twimg.com/media/Fz5jt26WYAYdqqj.jpg")</f>
        <v>https://pbs.twimg.com/media/Fz5jt26WYAYdqqj.jpg</v>
      </c>
      <c r="AW919" s="80" t="s">
        <v>16846</v>
      </c>
      <c r="AX919" s="80" t="s">
        <v>16846</v>
      </c>
      <c r="AY919" s="77"/>
      <c r="AZ919" s="80" t="s">
        <v>20380</v>
      </c>
      <c r="BA919" s="80" t="s">
        <v>20380</v>
      </c>
      <c r="BB919" s="80" t="s">
        <v>20380</v>
      </c>
      <c r="BC919" s="80" t="s">
        <v>16846</v>
      </c>
      <c r="BD919" s="77">
        <v>225006023</v>
      </c>
      <c r="BE919" s="77"/>
      <c r="BF919" s="77"/>
      <c r="BG919" s="77"/>
      <c r="BH919" s="77"/>
      <c r="BI919" s="77"/>
    </row>
    <row r="920" spans="1:61" x14ac:dyDescent="0.25">
      <c r="A920" s="62" t="s">
        <v>570</v>
      </c>
      <c r="B920" s="62" t="s">
        <v>570</v>
      </c>
      <c r="C920" s="63"/>
      <c r="D920" s="64"/>
      <c r="E920" s="65"/>
      <c r="F920" s="66"/>
      <c r="G920" s="63"/>
      <c r="H920" s="67"/>
      <c r="I920" s="68"/>
      <c r="J920" s="68"/>
      <c r="K920" s="32"/>
      <c r="L920" s="75">
        <v>920</v>
      </c>
      <c r="M920" s="75"/>
      <c r="N920" s="70"/>
      <c r="O920" s="77" t="s">
        <v>179</v>
      </c>
      <c r="P920" s="79">
        <v>45175.416666666664</v>
      </c>
      <c r="Q920" s="77" t="s">
        <v>2885</v>
      </c>
      <c r="R920" s="77">
        <v>0</v>
      </c>
      <c r="S920" s="77">
        <v>0</v>
      </c>
      <c r="T920" s="77">
        <v>0</v>
      </c>
      <c r="U920" s="77">
        <v>0</v>
      </c>
      <c r="V920" s="77">
        <v>107</v>
      </c>
      <c r="W920" s="80" t="s">
        <v>6557</v>
      </c>
      <c r="X920" s="83" t="str">
        <f>HYPERLINK("https://ecbr.io/1c6ojpo")</f>
        <v>https://ecbr.io/1c6ojpo</v>
      </c>
      <c r="Y920" s="77" t="s">
        <v>8695</v>
      </c>
      <c r="Z920" s="77"/>
      <c r="AA920" s="77" t="s">
        <v>9310</v>
      </c>
      <c r="AB920" s="77" t="s">
        <v>10535</v>
      </c>
      <c r="AC920" s="80" t="s">
        <v>10541</v>
      </c>
      <c r="AD920" s="77" t="s">
        <v>10617</v>
      </c>
      <c r="AE920" s="83" t="str">
        <f>HYPERLINK("https://twitter.com/ecommerce_br/status/1699361802323366325")</f>
        <v>https://twitter.com/ecommerce_br/status/1699361802323366325</v>
      </c>
      <c r="AF920" s="79">
        <v>45175.416666666664</v>
      </c>
      <c r="AG920" s="85">
        <v>45175</v>
      </c>
      <c r="AH920" s="80" t="s">
        <v>11449</v>
      </c>
      <c r="AI920" s="77" t="b">
        <v>0</v>
      </c>
      <c r="AJ920" s="77"/>
      <c r="AK920" s="77"/>
      <c r="AL920" s="77"/>
      <c r="AM920" s="77"/>
      <c r="AN920" s="77"/>
      <c r="AO920" s="77"/>
      <c r="AP920" s="77"/>
      <c r="AQ920" s="77" t="s">
        <v>14792</v>
      </c>
      <c r="AR920" s="77"/>
      <c r="AS920" s="77"/>
      <c r="AT920" s="77"/>
      <c r="AU920" s="77"/>
      <c r="AV920" s="83" t="str">
        <f>HYPERLINK("https://pbs.twimg.com/media/F5SbBkeWEAA8iJZ.jpg")</f>
        <v>https://pbs.twimg.com/media/F5SbBkeWEAA8iJZ.jpg</v>
      </c>
      <c r="AW920" s="80" t="s">
        <v>16847</v>
      </c>
      <c r="AX920" s="80" t="s">
        <v>16847</v>
      </c>
      <c r="AY920" s="77"/>
      <c r="AZ920" s="80" t="s">
        <v>20380</v>
      </c>
      <c r="BA920" s="80" t="s">
        <v>20380</v>
      </c>
      <c r="BB920" s="80" t="s">
        <v>20380</v>
      </c>
      <c r="BC920" s="80" t="s">
        <v>16847</v>
      </c>
      <c r="BD920" s="77">
        <v>225006023</v>
      </c>
      <c r="BE920" s="77"/>
      <c r="BF920" s="77"/>
      <c r="BG920" s="77"/>
      <c r="BH920" s="77"/>
      <c r="BI920" s="77"/>
    </row>
    <row r="921" spans="1:61" x14ac:dyDescent="0.25">
      <c r="A921" s="62" t="s">
        <v>570</v>
      </c>
      <c r="B921" s="62" t="s">
        <v>570</v>
      </c>
      <c r="C921" s="63"/>
      <c r="D921" s="64"/>
      <c r="E921" s="65"/>
      <c r="F921" s="66"/>
      <c r="G921" s="63"/>
      <c r="H921" s="67"/>
      <c r="I921" s="68"/>
      <c r="J921" s="68"/>
      <c r="K921" s="32"/>
      <c r="L921" s="75">
        <v>921</v>
      </c>
      <c r="M921" s="75"/>
      <c r="N921" s="70"/>
      <c r="O921" s="77" t="s">
        <v>179</v>
      </c>
      <c r="P921" s="79">
        <v>45165.750787037039</v>
      </c>
      <c r="Q921" s="77" t="s">
        <v>2886</v>
      </c>
      <c r="R921" s="77">
        <v>0</v>
      </c>
      <c r="S921" s="77">
        <v>1</v>
      </c>
      <c r="T921" s="77">
        <v>0</v>
      </c>
      <c r="U921" s="77">
        <v>0</v>
      </c>
      <c r="V921" s="77">
        <v>162</v>
      </c>
      <c r="W921" s="80" t="s">
        <v>6558</v>
      </c>
      <c r="X921" s="83" t="str">
        <f>HYPERLINK("https://ecbr.io/16g6i1h")</f>
        <v>https://ecbr.io/16g6i1h</v>
      </c>
      <c r="Y921" s="77" t="s">
        <v>8695</v>
      </c>
      <c r="Z921" s="77"/>
      <c r="AA921" s="77" t="s">
        <v>9311</v>
      </c>
      <c r="AB921" s="77" t="s">
        <v>10535</v>
      </c>
      <c r="AC921" s="80" t="s">
        <v>10552</v>
      </c>
      <c r="AD921" s="77" t="s">
        <v>10617</v>
      </c>
      <c r="AE921" s="83" t="str">
        <f>HYPERLINK("https://twitter.com/ecommerce_br/status/1695859004143026338")</f>
        <v>https://twitter.com/ecommerce_br/status/1695859004143026338</v>
      </c>
      <c r="AF921" s="79">
        <v>45165.750787037039</v>
      </c>
      <c r="AG921" s="85">
        <v>45165</v>
      </c>
      <c r="AH921" s="80" t="s">
        <v>11450</v>
      </c>
      <c r="AI921" s="77" t="b">
        <v>0</v>
      </c>
      <c r="AJ921" s="77"/>
      <c r="AK921" s="77"/>
      <c r="AL921" s="77"/>
      <c r="AM921" s="77"/>
      <c r="AN921" s="77"/>
      <c r="AO921" s="77"/>
      <c r="AP921" s="77"/>
      <c r="AQ921" s="77" t="s">
        <v>14793</v>
      </c>
      <c r="AR921" s="77"/>
      <c r="AS921" s="77"/>
      <c r="AT921" s="77"/>
      <c r="AU921" s="77"/>
      <c r="AV921" s="83" t="str">
        <f>HYPERLINK("https://pbs.twimg.com/media/F4jmxuUWAAMDdAy.jpg")</f>
        <v>https://pbs.twimg.com/media/F4jmxuUWAAMDdAy.jpg</v>
      </c>
      <c r="AW921" s="80" t="s">
        <v>16848</v>
      </c>
      <c r="AX921" s="80" t="s">
        <v>16848</v>
      </c>
      <c r="AY921" s="77"/>
      <c r="AZ921" s="80" t="s">
        <v>20380</v>
      </c>
      <c r="BA921" s="80" t="s">
        <v>20380</v>
      </c>
      <c r="BB921" s="80" t="s">
        <v>20380</v>
      </c>
      <c r="BC921" s="80" t="s">
        <v>16848</v>
      </c>
      <c r="BD921" s="77">
        <v>225006023</v>
      </c>
      <c r="BE921" s="77"/>
      <c r="BF921" s="77"/>
      <c r="BG921" s="77"/>
      <c r="BH921" s="77"/>
      <c r="BI921" s="77"/>
    </row>
    <row r="922" spans="1:61" x14ac:dyDescent="0.25">
      <c r="A922" s="62" t="s">
        <v>570</v>
      </c>
      <c r="B922" s="62" t="s">
        <v>570</v>
      </c>
      <c r="C922" s="63"/>
      <c r="D922" s="64"/>
      <c r="E922" s="65"/>
      <c r="F922" s="66"/>
      <c r="G922" s="63"/>
      <c r="H922" s="67"/>
      <c r="I922" s="68"/>
      <c r="J922" s="68"/>
      <c r="K922" s="32"/>
      <c r="L922" s="75">
        <v>922</v>
      </c>
      <c r="M922" s="75"/>
      <c r="N922" s="70"/>
      <c r="O922" s="77" t="s">
        <v>179</v>
      </c>
      <c r="P922" s="79">
        <v>45177.834826388891</v>
      </c>
      <c r="Q922" s="77" t="s">
        <v>2887</v>
      </c>
      <c r="R922" s="77">
        <v>0</v>
      </c>
      <c r="S922" s="77">
        <v>1</v>
      </c>
      <c r="T922" s="77">
        <v>0</v>
      </c>
      <c r="U922" s="77">
        <v>0</v>
      </c>
      <c r="V922" s="77">
        <v>107</v>
      </c>
      <c r="W922" s="80" t="s">
        <v>6557</v>
      </c>
      <c r="X922" s="83" t="str">
        <f>HYPERLINK("https://ecbr.io/19rilca")</f>
        <v>https://ecbr.io/19rilca</v>
      </c>
      <c r="Y922" s="77" t="s">
        <v>8695</v>
      </c>
      <c r="Z922" s="77"/>
      <c r="AA922" s="77" t="s">
        <v>9312</v>
      </c>
      <c r="AB922" s="77" t="s">
        <v>10535</v>
      </c>
      <c r="AC922" s="80" t="s">
        <v>10552</v>
      </c>
      <c r="AD922" s="77" t="s">
        <v>10617</v>
      </c>
      <c r="AE922" s="83" t="str">
        <f>HYPERLINK("https://twitter.com/ecommerce_br/status/1700238110146154700")</f>
        <v>https://twitter.com/ecommerce_br/status/1700238110146154700</v>
      </c>
      <c r="AF922" s="79">
        <v>45177.834826388891</v>
      </c>
      <c r="AG922" s="85">
        <v>45177</v>
      </c>
      <c r="AH922" s="80" t="s">
        <v>11451</v>
      </c>
      <c r="AI922" s="77" t="b">
        <v>0</v>
      </c>
      <c r="AJ922" s="77"/>
      <c r="AK922" s="77"/>
      <c r="AL922" s="77"/>
      <c r="AM922" s="77"/>
      <c r="AN922" s="77"/>
      <c r="AO922" s="77"/>
      <c r="AP922" s="77"/>
      <c r="AQ922" s="77" t="s">
        <v>14794</v>
      </c>
      <c r="AR922" s="77"/>
      <c r="AS922" s="77"/>
      <c r="AT922" s="77"/>
      <c r="AU922" s="77"/>
      <c r="AV922" s="83" t="str">
        <f>HYPERLINK("https://pbs.twimg.com/media/F5h1jQQXQAAQdRg.jpg")</f>
        <v>https://pbs.twimg.com/media/F5h1jQQXQAAQdRg.jpg</v>
      </c>
      <c r="AW922" s="80" t="s">
        <v>16849</v>
      </c>
      <c r="AX922" s="80" t="s">
        <v>16849</v>
      </c>
      <c r="AY922" s="77"/>
      <c r="AZ922" s="80" t="s">
        <v>20380</v>
      </c>
      <c r="BA922" s="80" t="s">
        <v>20380</v>
      </c>
      <c r="BB922" s="80" t="s">
        <v>20380</v>
      </c>
      <c r="BC922" s="80" t="s">
        <v>16849</v>
      </c>
      <c r="BD922" s="77">
        <v>225006023</v>
      </c>
      <c r="BE922" s="77"/>
      <c r="BF922" s="77"/>
      <c r="BG922" s="77"/>
      <c r="BH922" s="77"/>
      <c r="BI922" s="77"/>
    </row>
    <row r="923" spans="1:61" x14ac:dyDescent="0.25">
      <c r="A923" s="62" t="s">
        <v>571</v>
      </c>
      <c r="B923" s="62" t="s">
        <v>571</v>
      </c>
      <c r="C923" s="63"/>
      <c r="D923" s="64"/>
      <c r="E923" s="65"/>
      <c r="F923" s="66"/>
      <c r="G923" s="63"/>
      <c r="H923" s="67"/>
      <c r="I923" s="68"/>
      <c r="J923" s="68"/>
      <c r="K923" s="32"/>
      <c r="L923" s="75">
        <v>923</v>
      </c>
      <c r="M923" s="75"/>
      <c r="N923" s="70"/>
      <c r="O923" s="77" t="s">
        <v>179</v>
      </c>
      <c r="P923" s="79">
        <v>45099.487557870372</v>
      </c>
      <c r="Q923" s="77" t="s">
        <v>2888</v>
      </c>
      <c r="R923" s="77">
        <v>0</v>
      </c>
      <c r="S923" s="77">
        <v>0</v>
      </c>
      <c r="T923" s="77">
        <v>0</v>
      </c>
      <c r="U923" s="77">
        <v>0</v>
      </c>
      <c r="V923" s="77">
        <v>12</v>
      </c>
      <c r="W923" s="80" t="s">
        <v>6559</v>
      </c>
      <c r="X923" s="83" t="str">
        <f>HYPERLINK("http://blogdobrito.com.br/supremo/")</f>
        <v>http://blogdobrito.com.br/supremo/</v>
      </c>
      <c r="Y923" s="77" t="s">
        <v>8611</v>
      </c>
      <c r="Z923" s="77"/>
      <c r="AA923" s="77" t="s">
        <v>9313</v>
      </c>
      <c r="AB923" s="77" t="s">
        <v>10535</v>
      </c>
      <c r="AC923" s="80" t="s">
        <v>10541</v>
      </c>
      <c r="AD923" s="77" t="s">
        <v>10617</v>
      </c>
      <c r="AE923" s="83" t="str">
        <f>HYPERLINK("https://twitter.com/blogdobrito1/status/1671846010958561285")</f>
        <v>https://twitter.com/blogdobrito1/status/1671846010958561285</v>
      </c>
      <c r="AF923" s="79">
        <v>45099.487557870372</v>
      </c>
      <c r="AG923" s="85">
        <v>45099</v>
      </c>
      <c r="AH923" s="80" t="s">
        <v>11452</v>
      </c>
      <c r="AI923" s="77" t="b">
        <v>0</v>
      </c>
      <c r="AJ923" s="77"/>
      <c r="AK923" s="77"/>
      <c r="AL923" s="77"/>
      <c r="AM923" s="77"/>
      <c r="AN923" s="77"/>
      <c r="AO923" s="77"/>
      <c r="AP923" s="77"/>
      <c r="AQ923" s="77" t="s">
        <v>14795</v>
      </c>
      <c r="AR923" s="77"/>
      <c r="AS923" s="77"/>
      <c r="AT923" s="77"/>
      <c r="AU923" s="77"/>
      <c r="AV923" s="83" t="str">
        <f>HYPERLINK("https://pbs.twimg.com/media/FzOXCygWAAQhVPO.jpg")</f>
        <v>https://pbs.twimg.com/media/FzOXCygWAAQhVPO.jpg</v>
      </c>
      <c r="AW923" s="80" t="s">
        <v>16850</v>
      </c>
      <c r="AX923" s="80" t="s">
        <v>16850</v>
      </c>
      <c r="AY923" s="77"/>
      <c r="AZ923" s="80" t="s">
        <v>20380</v>
      </c>
      <c r="BA923" s="80" t="s">
        <v>20380</v>
      </c>
      <c r="BB923" s="80" t="s">
        <v>20380</v>
      </c>
      <c r="BC923" s="80" t="s">
        <v>16850</v>
      </c>
      <c r="BD923" s="77">
        <v>2502473281</v>
      </c>
      <c r="BE923" s="77"/>
      <c r="BF923" s="77"/>
      <c r="BG923" s="77"/>
      <c r="BH923" s="77"/>
      <c r="BI923" s="77"/>
    </row>
    <row r="924" spans="1:61" x14ac:dyDescent="0.25">
      <c r="A924" s="62" t="s">
        <v>571</v>
      </c>
      <c r="B924" s="62" t="s">
        <v>571</v>
      </c>
      <c r="C924" s="63"/>
      <c r="D924" s="64"/>
      <c r="E924" s="65"/>
      <c r="F924" s="66"/>
      <c r="G924" s="63"/>
      <c r="H924" s="67"/>
      <c r="I924" s="68"/>
      <c r="J924" s="68"/>
      <c r="K924" s="32"/>
      <c r="L924" s="75">
        <v>924</v>
      </c>
      <c r="M924" s="75"/>
      <c r="N924" s="70"/>
      <c r="O924" s="77" t="s">
        <v>179</v>
      </c>
      <c r="P924" s="79">
        <v>45098.673645833333</v>
      </c>
      <c r="Q924" s="77" t="s">
        <v>2889</v>
      </c>
      <c r="R924" s="77">
        <v>0</v>
      </c>
      <c r="S924" s="77">
        <v>0</v>
      </c>
      <c r="T924" s="77">
        <v>0</v>
      </c>
      <c r="U924" s="77">
        <v>0</v>
      </c>
      <c r="V924" s="77">
        <v>25</v>
      </c>
      <c r="W924" s="80" t="s">
        <v>6560</v>
      </c>
      <c r="X924" s="83" t="str">
        <f>HYPERLINK("http://blogdobrito.com.br/lula-e-papa/")</f>
        <v>http://blogdobrito.com.br/lula-e-papa/</v>
      </c>
      <c r="Y924" s="77" t="s">
        <v>8611</v>
      </c>
      <c r="Z924" s="77"/>
      <c r="AA924" s="77" t="s">
        <v>9314</v>
      </c>
      <c r="AB924" s="77" t="s">
        <v>10535</v>
      </c>
      <c r="AC924" s="80" t="s">
        <v>10541</v>
      </c>
      <c r="AD924" s="77" t="s">
        <v>10617</v>
      </c>
      <c r="AE924" s="83" t="str">
        <f>HYPERLINK("https://twitter.com/blogdobrito1/status/1671551059406323714")</f>
        <v>https://twitter.com/blogdobrito1/status/1671551059406323714</v>
      </c>
      <c r="AF924" s="79">
        <v>45098.673645833333</v>
      </c>
      <c r="AG924" s="85">
        <v>45098</v>
      </c>
      <c r="AH924" s="80" t="s">
        <v>11453</v>
      </c>
      <c r="AI924" s="77" t="b">
        <v>0</v>
      </c>
      <c r="AJ924" s="77"/>
      <c r="AK924" s="77"/>
      <c r="AL924" s="77"/>
      <c r="AM924" s="77"/>
      <c r="AN924" s="77"/>
      <c r="AO924" s="77"/>
      <c r="AP924" s="77"/>
      <c r="AQ924" s="77" t="s">
        <v>14796</v>
      </c>
      <c r="AR924" s="77"/>
      <c r="AS924" s="77"/>
      <c r="AT924" s="77"/>
      <c r="AU924" s="77"/>
      <c r="AV924" s="83" t="str">
        <f>HYPERLINK("https://pbs.twimg.com/media/FzKKzFMWYAIm1EA.jpg")</f>
        <v>https://pbs.twimg.com/media/FzKKzFMWYAIm1EA.jpg</v>
      </c>
      <c r="AW924" s="80" t="s">
        <v>16851</v>
      </c>
      <c r="AX924" s="80" t="s">
        <v>16851</v>
      </c>
      <c r="AY924" s="77"/>
      <c r="AZ924" s="80" t="s">
        <v>20380</v>
      </c>
      <c r="BA924" s="80" t="s">
        <v>20380</v>
      </c>
      <c r="BB924" s="80" t="s">
        <v>20380</v>
      </c>
      <c r="BC924" s="80" t="s">
        <v>16851</v>
      </c>
      <c r="BD924" s="77">
        <v>2502473281</v>
      </c>
      <c r="BE924" s="77"/>
      <c r="BF924" s="77"/>
      <c r="BG924" s="77"/>
      <c r="BH924" s="77"/>
      <c r="BI924" s="77"/>
    </row>
    <row r="925" spans="1:61" x14ac:dyDescent="0.25">
      <c r="A925" s="62" t="s">
        <v>571</v>
      </c>
      <c r="B925" s="62" t="s">
        <v>571</v>
      </c>
      <c r="C925" s="63"/>
      <c r="D925" s="64"/>
      <c r="E925" s="65"/>
      <c r="F925" s="66"/>
      <c r="G925" s="63"/>
      <c r="H925" s="67"/>
      <c r="I925" s="68"/>
      <c r="J925" s="68"/>
      <c r="K925" s="32"/>
      <c r="L925" s="75">
        <v>925</v>
      </c>
      <c r="M925" s="75"/>
      <c r="N925" s="70"/>
      <c r="O925" s="77" t="s">
        <v>179</v>
      </c>
      <c r="P925" s="79">
        <v>45106.635208333333</v>
      </c>
      <c r="Q925" s="77" t="s">
        <v>2890</v>
      </c>
      <c r="R925" s="77">
        <v>0</v>
      </c>
      <c r="S925" s="77">
        <v>0</v>
      </c>
      <c r="T925" s="77">
        <v>0</v>
      </c>
      <c r="U925" s="77">
        <v>0</v>
      </c>
      <c r="V925" s="77">
        <v>18</v>
      </c>
      <c r="W925" s="80" t="s">
        <v>6560</v>
      </c>
      <c r="X925" s="83" t="str">
        <f>HYPERLINK("http://blogdobrito.com.br/nikolas/")</f>
        <v>http://blogdobrito.com.br/nikolas/</v>
      </c>
      <c r="Y925" s="77" t="s">
        <v>8611</v>
      </c>
      <c r="Z925" s="77"/>
      <c r="AA925" s="77" t="s">
        <v>9315</v>
      </c>
      <c r="AB925" s="77" t="s">
        <v>10535</v>
      </c>
      <c r="AC925" s="80" t="s">
        <v>10541</v>
      </c>
      <c r="AD925" s="77" t="s">
        <v>10617</v>
      </c>
      <c r="AE925" s="83" t="str">
        <f>HYPERLINK("https://twitter.com/blogdobrito1/status/1674436235073552385")</f>
        <v>https://twitter.com/blogdobrito1/status/1674436235073552385</v>
      </c>
      <c r="AF925" s="79">
        <v>45106.635208333333</v>
      </c>
      <c r="AG925" s="85">
        <v>45106</v>
      </c>
      <c r="AH925" s="80" t="s">
        <v>11454</v>
      </c>
      <c r="AI925" s="77" t="b">
        <v>0</v>
      </c>
      <c r="AJ925" s="77"/>
      <c r="AK925" s="77"/>
      <c r="AL925" s="77"/>
      <c r="AM925" s="77"/>
      <c r="AN925" s="77"/>
      <c r="AO925" s="77"/>
      <c r="AP925" s="77"/>
      <c r="AQ925" s="77" t="s">
        <v>14797</v>
      </c>
      <c r="AR925" s="77"/>
      <c r="AS925" s="77"/>
      <c r="AT925" s="77"/>
      <c r="AU925" s="77"/>
      <c r="AV925" s="83" t="str">
        <f>HYPERLINK("https://pbs.twimg.com/media/FzzK3pcWcAIBJUo.jpg")</f>
        <v>https://pbs.twimg.com/media/FzzK3pcWcAIBJUo.jpg</v>
      </c>
      <c r="AW925" s="80" t="s">
        <v>16852</v>
      </c>
      <c r="AX925" s="80" t="s">
        <v>16852</v>
      </c>
      <c r="AY925" s="77"/>
      <c r="AZ925" s="80" t="s">
        <v>20380</v>
      </c>
      <c r="BA925" s="80" t="s">
        <v>20380</v>
      </c>
      <c r="BB925" s="80" t="s">
        <v>20380</v>
      </c>
      <c r="BC925" s="80" t="s">
        <v>16852</v>
      </c>
      <c r="BD925" s="77">
        <v>2502473281</v>
      </c>
      <c r="BE925" s="77"/>
      <c r="BF925" s="77"/>
      <c r="BG925" s="77"/>
      <c r="BH925" s="77"/>
      <c r="BI925" s="77"/>
    </row>
    <row r="926" spans="1:61" x14ac:dyDescent="0.25">
      <c r="A926" s="62" t="s">
        <v>571</v>
      </c>
      <c r="B926" s="62" t="s">
        <v>571</v>
      </c>
      <c r="C926" s="63"/>
      <c r="D926" s="64"/>
      <c r="E926" s="65"/>
      <c r="F926" s="66"/>
      <c r="G926" s="63"/>
      <c r="H926" s="67"/>
      <c r="I926" s="68"/>
      <c r="J926" s="68"/>
      <c r="K926" s="32"/>
      <c r="L926" s="75">
        <v>926</v>
      </c>
      <c r="M926" s="75"/>
      <c r="N926" s="70"/>
      <c r="O926" s="77" t="s">
        <v>179</v>
      </c>
      <c r="P926" s="79">
        <v>45094.513020833336</v>
      </c>
      <c r="Q926" s="77" t="s">
        <v>2891</v>
      </c>
      <c r="R926" s="77">
        <v>0</v>
      </c>
      <c r="S926" s="77">
        <v>0</v>
      </c>
      <c r="T926" s="77">
        <v>0</v>
      </c>
      <c r="U926" s="77">
        <v>0</v>
      </c>
      <c r="V926" s="77">
        <v>64</v>
      </c>
      <c r="W926" s="80" t="s">
        <v>6561</v>
      </c>
      <c r="X926" s="83" t="str">
        <f>HYPERLINK("http://blogdobrito.com.br/ladrao-politico/")</f>
        <v>http://blogdobrito.com.br/ladrao-politico/</v>
      </c>
      <c r="Y926" s="77" t="s">
        <v>8611</v>
      </c>
      <c r="Z926" s="77"/>
      <c r="AA926" s="77" t="s">
        <v>9316</v>
      </c>
      <c r="AB926" s="77" t="s">
        <v>10535</v>
      </c>
      <c r="AC926" s="80" t="s">
        <v>10541</v>
      </c>
      <c r="AD926" s="77" t="s">
        <v>10617</v>
      </c>
      <c r="AE926" s="83" t="str">
        <f>HYPERLINK("https://twitter.com/blogdobrito1/status/1670043302001819648")</f>
        <v>https://twitter.com/blogdobrito1/status/1670043302001819648</v>
      </c>
      <c r="AF926" s="79">
        <v>45094.513020833336</v>
      </c>
      <c r="AG926" s="85">
        <v>45094</v>
      </c>
      <c r="AH926" s="80" t="s">
        <v>11455</v>
      </c>
      <c r="AI926" s="77" t="b">
        <v>0</v>
      </c>
      <c r="AJ926" s="77"/>
      <c r="AK926" s="77"/>
      <c r="AL926" s="77"/>
      <c r="AM926" s="77"/>
      <c r="AN926" s="77"/>
      <c r="AO926" s="77"/>
      <c r="AP926" s="77"/>
      <c r="AQ926" s="77" t="s">
        <v>14798</v>
      </c>
      <c r="AR926" s="77"/>
      <c r="AS926" s="77"/>
      <c r="AT926" s="77"/>
      <c r="AU926" s="77"/>
      <c r="AV926" s="83" t="str">
        <f>HYPERLINK("https://pbs.twimg.com/media/Fy0vZoqXoAIai2z.jpg")</f>
        <v>https://pbs.twimg.com/media/Fy0vZoqXoAIai2z.jpg</v>
      </c>
      <c r="AW926" s="80" t="s">
        <v>16853</v>
      </c>
      <c r="AX926" s="80" t="s">
        <v>16853</v>
      </c>
      <c r="AY926" s="77"/>
      <c r="AZ926" s="80" t="s">
        <v>20380</v>
      </c>
      <c r="BA926" s="80" t="s">
        <v>20380</v>
      </c>
      <c r="BB926" s="80" t="s">
        <v>20380</v>
      </c>
      <c r="BC926" s="80" t="s">
        <v>16853</v>
      </c>
      <c r="BD926" s="77">
        <v>2502473281</v>
      </c>
      <c r="BE926" s="77"/>
      <c r="BF926" s="77"/>
      <c r="BG926" s="77"/>
      <c r="BH926" s="77"/>
      <c r="BI926" s="77"/>
    </row>
    <row r="927" spans="1:61" x14ac:dyDescent="0.25">
      <c r="A927" s="62" t="s">
        <v>571</v>
      </c>
      <c r="B927" s="62" t="s">
        <v>571</v>
      </c>
      <c r="C927" s="63"/>
      <c r="D927" s="64"/>
      <c r="E927" s="65"/>
      <c r="F927" s="66"/>
      <c r="G927" s="63"/>
      <c r="H927" s="67"/>
      <c r="I927" s="68"/>
      <c r="J927" s="68"/>
      <c r="K927" s="32"/>
      <c r="L927" s="75">
        <v>927</v>
      </c>
      <c r="M927" s="75"/>
      <c r="N927" s="70"/>
      <c r="O927" s="77" t="s">
        <v>179</v>
      </c>
      <c r="P927" s="79">
        <v>45093.492858796293</v>
      </c>
      <c r="Q927" s="77" t="s">
        <v>2892</v>
      </c>
      <c r="R927" s="77">
        <v>0</v>
      </c>
      <c r="S927" s="77">
        <v>0</v>
      </c>
      <c r="T927" s="77">
        <v>0</v>
      </c>
      <c r="U927" s="77">
        <v>0</v>
      </c>
      <c r="V927" s="77">
        <v>41</v>
      </c>
      <c r="W927" s="80" t="s">
        <v>6560</v>
      </c>
      <c r="X927" s="83" t="str">
        <f>HYPERLINK("http://blogdobrito.com.br/greve-de-fome/")</f>
        <v>http://blogdobrito.com.br/greve-de-fome/</v>
      </c>
      <c r="Y927" s="77" t="s">
        <v>8611</v>
      </c>
      <c r="Z927" s="77"/>
      <c r="AA927" s="77" t="s">
        <v>9317</v>
      </c>
      <c r="AB927" s="77" t="s">
        <v>10535</v>
      </c>
      <c r="AC927" s="80" t="s">
        <v>10541</v>
      </c>
      <c r="AD927" s="77" t="s">
        <v>10617</v>
      </c>
      <c r="AE927" s="83" t="str">
        <f>HYPERLINK("https://twitter.com/blogdobrito1/status/1669673608556290048")</f>
        <v>https://twitter.com/blogdobrito1/status/1669673608556290048</v>
      </c>
      <c r="AF927" s="79">
        <v>45093.492858796293</v>
      </c>
      <c r="AG927" s="85">
        <v>45093</v>
      </c>
      <c r="AH927" s="80" t="s">
        <v>11456</v>
      </c>
      <c r="AI927" s="77" t="b">
        <v>0</v>
      </c>
      <c r="AJ927" s="77"/>
      <c r="AK927" s="77"/>
      <c r="AL927" s="77"/>
      <c r="AM927" s="77"/>
      <c r="AN927" s="77"/>
      <c r="AO927" s="77"/>
      <c r="AP927" s="77"/>
      <c r="AQ927" s="77" t="s">
        <v>14799</v>
      </c>
      <c r="AR927" s="77"/>
      <c r="AS927" s="77"/>
      <c r="AT927" s="77"/>
      <c r="AU927" s="77"/>
      <c r="AV927" s="83" t="str">
        <f>HYPERLINK("https://pbs.twimg.com/media/FyvfPrTWIAAFFad.jpg")</f>
        <v>https://pbs.twimg.com/media/FyvfPrTWIAAFFad.jpg</v>
      </c>
      <c r="AW927" s="80" t="s">
        <v>16854</v>
      </c>
      <c r="AX927" s="80" t="s">
        <v>16854</v>
      </c>
      <c r="AY927" s="77"/>
      <c r="AZ927" s="80" t="s">
        <v>20380</v>
      </c>
      <c r="BA927" s="80" t="s">
        <v>20380</v>
      </c>
      <c r="BB927" s="80" t="s">
        <v>20380</v>
      </c>
      <c r="BC927" s="80" t="s">
        <v>16854</v>
      </c>
      <c r="BD927" s="77">
        <v>2502473281</v>
      </c>
      <c r="BE927" s="77"/>
      <c r="BF927" s="77"/>
      <c r="BG927" s="77"/>
      <c r="BH927" s="77"/>
      <c r="BI927" s="77"/>
    </row>
    <row r="928" spans="1:61" x14ac:dyDescent="0.25">
      <c r="A928" s="62" t="s">
        <v>571</v>
      </c>
      <c r="B928" s="62" t="s">
        <v>571</v>
      </c>
      <c r="C928" s="63"/>
      <c r="D928" s="64"/>
      <c r="E928" s="65"/>
      <c r="F928" s="66"/>
      <c r="G928" s="63"/>
      <c r="H928" s="67"/>
      <c r="I928" s="68"/>
      <c r="J928" s="68"/>
      <c r="K928" s="32"/>
      <c r="L928" s="75">
        <v>928</v>
      </c>
      <c r="M928" s="75"/>
      <c r="N928" s="70"/>
      <c r="O928" s="77" t="s">
        <v>179</v>
      </c>
      <c r="P928" s="79">
        <v>45104.476400462961</v>
      </c>
      <c r="Q928" s="77" t="s">
        <v>2893</v>
      </c>
      <c r="R928" s="77">
        <v>0</v>
      </c>
      <c r="S928" s="77">
        <v>1</v>
      </c>
      <c r="T928" s="77">
        <v>0</v>
      </c>
      <c r="U928" s="77">
        <v>0</v>
      </c>
      <c r="V928" s="77">
        <v>13</v>
      </c>
      <c r="W928" s="80" t="s">
        <v>6560</v>
      </c>
      <c r="X928" s="83" t="str">
        <f>HYPERLINK("http://blogdobrito.com.br/aborto/")</f>
        <v>http://blogdobrito.com.br/aborto/</v>
      </c>
      <c r="Y928" s="77" t="s">
        <v>8611</v>
      </c>
      <c r="Z928" s="77"/>
      <c r="AA928" s="77" t="s">
        <v>9318</v>
      </c>
      <c r="AB928" s="77" t="s">
        <v>10535</v>
      </c>
      <c r="AC928" s="80" t="s">
        <v>10541</v>
      </c>
      <c r="AD928" s="77" t="s">
        <v>10617</v>
      </c>
      <c r="AE928" s="83" t="str">
        <f>HYPERLINK("https://twitter.com/blogdobrito1/status/1673653907074023425")</f>
        <v>https://twitter.com/blogdobrito1/status/1673653907074023425</v>
      </c>
      <c r="AF928" s="79">
        <v>45104.476400462961</v>
      </c>
      <c r="AG928" s="85">
        <v>45104</v>
      </c>
      <c r="AH928" s="80" t="s">
        <v>11457</v>
      </c>
      <c r="AI928" s="77" t="b">
        <v>0</v>
      </c>
      <c r="AJ928" s="77"/>
      <c r="AK928" s="77"/>
      <c r="AL928" s="77"/>
      <c r="AM928" s="77"/>
      <c r="AN928" s="77"/>
      <c r="AO928" s="77"/>
      <c r="AP928" s="77"/>
      <c r="AQ928" s="77" t="s">
        <v>14800</v>
      </c>
      <c r="AR928" s="77"/>
      <c r="AS928" s="77"/>
      <c r="AT928" s="77"/>
      <c r="AU928" s="77"/>
      <c r="AV928" s="83" t="str">
        <f>HYPERLINK("https://pbs.twimg.com/media/FzoDVKdXsAA_OX2.jpg")</f>
        <v>https://pbs.twimg.com/media/FzoDVKdXsAA_OX2.jpg</v>
      </c>
      <c r="AW928" s="80" t="s">
        <v>16855</v>
      </c>
      <c r="AX928" s="80" t="s">
        <v>16855</v>
      </c>
      <c r="AY928" s="77"/>
      <c r="AZ928" s="80" t="s">
        <v>20380</v>
      </c>
      <c r="BA928" s="80" t="s">
        <v>20380</v>
      </c>
      <c r="BB928" s="80" t="s">
        <v>20380</v>
      </c>
      <c r="BC928" s="80" t="s">
        <v>16855</v>
      </c>
      <c r="BD928" s="77">
        <v>2502473281</v>
      </c>
      <c r="BE928" s="77"/>
      <c r="BF928" s="77"/>
      <c r="BG928" s="77"/>
      <c r="BH928" s="77"/>
      <c r="BI928" s="77"/>
    </row>
    <row r="929" spans="1:61" x14ac:dyDescent="0.25">
      <c r="A929" s="62" t="s">
        <v>571</v>
      </c>
      <c r="B929" s="62" t="s">
        <v>571</v>
      </c>
      <c r="C929" s="63"/>
      <c r="D929" s="64"/>
      <c r="E929" s="65"/>
      <c r="F929" s="66"/>
      <c r="G929" s="63"/>
      <c r="H929" s="67"/>
      <c r="I929" s="68"/>
      <c r="J929" s="68"/>
      <c r="K929" s="32"/>
      <c r="L929" s="75">
        <v>929</v>
      </c>
      <c r="M929" s="75"/>
      <c r="N929" s="70"/>
      <c r="O929" s="77" t="s">
        <v>179</v>
      </c>
      <c r="P929" s="79">
        <v>45103.632407407407</v>
      </c>
      <c r="Q929" s="77" t="s">
        <v>2894</v>
      </c>
      <c r="R929" s="77">
        <v>0</v>
      </c>
      <c r="S929" s="77">
        <v>1</v>
      </c>
      <c r="T929" s="77">
        <v>0</v>
      </c>
      <c r="U929" s="77">
        <v>0</v>
      </c>
      <c r="V929" s="77">
        <v>15</v>
      </c>
      <c r="W929" s="80" t="s">
        <v>6560</v>
      </c>
      <c r="X929" s="83" t="str">
        <f>HYPERLINK("http://blogdobrito.com.br/mamata/")</f>
        <v>http://blogdobrito.com.br/mamata/</v>
      </c>
      <c r="Y929" s="77" t="s">
        <v>8611</v>
      </c>
      <c r="Z929" s="77"/>
      <c r="AA929" s="77" t="s">
        <v>9319</v>
      </c>
      <c r="AB929" s="77" t="s">
        <v>10535</v>
      </c>
      <c r="AC929" s="80" t="s">
        <v>10541</v>
      </c>
      <c r="AD929" s="77" t="s">
        <v>10617</v>
      </c>
      <c r="AE929" s="83" t="str">
        <f>HYPERLINK("https://twitter.com/blogdobrito1/status/1673348057398689793")</f>
        <v>https://twitter.com/blogdobrito1/status/1673348057398689793</v>
      </c>
      <c r="AF929" s="79">
        <v>45103.632407407407</v>
      </c>
      <c r="AG929" s="85">
        <v>45103</v>
      </c>
      <c r="AH929" s="80" t="s">
        <v>11458</v>
      </c>
      <c r="AI929" s="77" t="b">
        <v>0</v>
      </c>
      <c r="AJ929" s="77"/>
      <c r="AK929" s="77"/>
      <c r="AL929" s="77"/>
      <c r="AM929" s="77"/>
      <c r="AN929" s="77"/>
      <c r="AO929" s="77"/>
      <c r="AP929" s="77"/>
      <c r="AQ929" s="77" t="s">
        <v>14801</v>
      </c>
      <c r="AR929" s="77"/>
      <c r="AS929" s="77"/>
      <c r="AT929" s="77"/>
      <c r="AU929" s="77"/>
      <c r="AV929" s="83" t="str">
        <f>HYPERLINK("https://pbs.twimg.com/media/FzjtLSfX0AAaSJ7.jpg")</f>
        <v>https://pbs.twimg.com/media/FzjtLSfX0AAaSJ7.jpg</v>
      </c>
      <c r="AW929" s="80" t="s">
        <v>16856</v>
      </c>
      <c r="AX929" s="80" t="s">
        <v>16856</v>
      </c>
      <c r="AY929" s="77"/>
      <c r="AZ929" s="80" t="s">
        <v>20380</v>
      </c>
      <c r="BA929" s="80" t="s">
        <v>20380</v>
      </c>
      <c r="BB929" s="80" t="s">
        <v>20380</v>
      </c>
      <c r="BC929" s="80" t="s">
        <v>16856</v>
      </c>
      <c r="BD929" s="77">
        <v>2502473281</v>
      </c>
      <c r="BE929" s="77"/>
      <c r="BF929" s="77"/>
      <c r="BG929" s="77"/>
      <c r="BH929" s="77"/>
      <c r="BI929" s="77"/>
    </row>
    <row r="930" spans="1:61" x14ac:dyDescent="0.25">
      <c r="A930" s="62" t="s">
        <v>571</v>
      </c>
      <c r="B930" s="62" t="s">
        <v>571</v>
      </c>
      <c r="C930" s="63"/>
      <c r="D930" s="64"/>
      <c r="E930" s="65"/>
      <c r="F930" s="66"/>
      <c r="G930" s="63"/>
      <c r="H930" s="67"/>
      <c r="I930" s="68"/>
      <c r="J930" s="68"/>
      <c r="K930" s="32"/>
      <c r="L930" s="75">
        <v>930</v>
      </c>
      <c r="M930" s="75"/>
      <c r="N930" s="70"/>
      <c r="O930" s="77" t="s">
        <v>179</v>
      </c>
      <c r="P930" s="79">
        <v>45090.580023148148</v>
      </c>
      <c r="Q930" s="77" t="s">
        <v>2895</v>
      </c>
      <c r="R930" s="77">
        <v>0</v>
      </c>
      <c r="S930" s="77">
        <v>0</v>
      </c>
      <c r="T930" s="77">
        <v>0</v>
      </c>
      <c r="U930" s="77">
        <v>0</v>
      </c>
      <c r="V930" s="77">
        <v>154</v>
      </c>
      <c r="W930" s="80" t="s">
        <v>6560</v>
      </c>
      <c r="X930" s="83" t="str">
        <f>HYPERLINK("http://blogdobrito.com.br/quem-e-voce/")</f>
        <v>http://blogdobrito.com.br/quem-e-voce/</v>
      </c>
      <c r="Y930" s="77" t="s">
        <v>8611</v>
      </c>
      <c r="Z930" s="77"/>
      <c r="AA930" s="77" t="s">
        <v>9320</v>
      </c>
      <c r="AB930" s="77" t="s">
        <v>10535</v>
      </c>
      <c r="AC930" s="80" t="s">
        <v>10541</v>
      </c>
      <c r="AD930" s="77" t="s">
        <v>10617</v>
      </c>
      <c r="AE930" s="83" t="str">
        <f>HYPERLINK("https://twitter.com/blogdobrito1/status/1668618031461986308")</f>
        <v>https://twitter.com/blogdobrito1/status/1668618031461986308</v>
      </c>
      <c r="AF930" s="79">
        <v>45090.580023148148</v>
      </c>
      <c r="AG930" s="85">
        <v>45090</v>
      </c>
      <c r="AH930" s="80" t="s">
        <v>11459</v>
      </c>
      <c r="AI930" s="77" t="b">
        <v>0</v>
      </c>
      <c r="AJ930" s="77"/>
      <c r="AK930" s="77"/>
      <c r="AL930" s="77"/>
      <c r="AM930" s="77"/>
      <c r="AN930" s="77"/>
      <c r="AO930" s="77"/>
      <c r="AP930" s="77"/>
      <c r="AQ930" s="77" t="s">
        <v>14802</v>
      </c>
      <c r="AR930" s="77"/>
      <c r="AS930" s="77"/>
      <c r="AT930" s="77"/>
      <c r="AU930" s="77"/>
      <c r="AV930" s="83" t="str">
        <f>HYPERLINK("https://pbs.twimg.com/media/FygfNCWagAEoRSp.jpg")</f>
        <v>https://pbs.twimg.com/media/FygfNCWagAEoRSp.jpg</v>
      </c>
      <c r="AW930" s="80" t="s">
        <v>16857</v>
      </c>
      <c r="AX930" s="80" t="s">
        <v>16857</v>
      </c>
      <c r="AY930" s="77"/>
      <c r="AZ930" s="80" t="s">
        <v>20380</v>
      </c>
      <c r="BA930" s="80" t="s">
        <v>20380</v>
      </c>
      <c r="BB930" s="80" t="s">
        <v>20380</v>
      </c>
      <c r="BC930" s="80" t="s">
        <v>16857</v>
      </c>
      <c r="BD930" s="77">
        <v>2502473281</v>
      </c>
      <c r="BE930" s="77"/>
      <c r="BF930" s="77"/>
      <c r="BG930" s="77"/>
      <c r="BH930" s="77"/>
      <c r="BI930" s="77"/>
    </row>
    <row r="931" spans="1:61" x14ac:dyDescent="0.25">
      <c r="A931" s="62" t="s">
        <v>571</v>
      </c>
      <c r="B931" s="62" t="s">
        <v>571</v>
      </c>
      <c r="C931" s="63"/>
      <c r="D931" s="64"/>
      <c r="E931" s="65"/>
      <c r="F931" s="66"/>
      <c r="G931" s="63"/>
      <c r="H931" s="67"/>
      <c r="I931" s="68"/>
      <c r="J931" s="68"/>
      <c r="K931" s="32"/>
      <c r="L931" s="75">
        <v>931</v>
      </c>
      <c r="M931" s="75"/>
      <c r="N931" s="70"/>
      <c r="O931" s="77" t="s">
        <v>179</v>
      </c>
      <c r="P931" s="79">
        <v>45105.608055555553</v>
      </c>
      <c r="Q931" s="77" t="s">
        <v>2896</v>
      </c>
      <c r="R931" s="77">
        <v>0</v>
      </c>
      <c r="S931" s="77">
        <v>0</v>
      </c>
      <c r="T931" s="77">
        <v>0</v>
      </c>
      <c r="U931" s="77">
        <v>0</v>
      </c>
      <c r="V931" s="77">
        <v>6</v>
      </c>
      <c r="W931" s="80" t="s">
        <v>6560</v>
      </c>
      <c r="X931" s="83" t="str">
        <f>HYPERLINK("http://blogdobrito.com.br/golpista/")</f>
        <v>http://blogdobrito.com.br/golpista/</v>
      </c>
      <c r="Y931" s="77" t="s">
        <v>8611</v>
      </c>
      <c r="Z931" s="77"/>
      <c r="AA931" s="77" t="s">
        <v>9321</v>
      </c>
      <c r="AB931" s="77" t="s">
        <v>10535</v>
      </c>
      <c r="AC931" s="80" t="s">
        <v>10541</v>
      </c>
      <c r="AD931" s="77" t="s">
        <v>10617</v>
      </c>
      <c r="AE931" s="83" t="str">
        <f>HYPERLINK("https://twitter.com/blogdobrito1/status/1674064006921834498")</f>
        <v>https://twitter.com/blogdobrito1/status/1674064006921834498</v>
      </c>
      <c r="AF931" s="79">
        <v>45105.608055555553</v>
      </c>
      <c r="AG931" s="85">
        <v>45105</v>
      </c>
      <c r="AH931" s="80" t="s">
        <v>11460</v>
      </c>
      <c r="AI931" s="77" t="b">
        <v>0</v>
      </c>
      <c r="AJ931" s="77"/>
      <c r="AK931" s="77"/>
      <c r="AL931" s="77"/>
      <c r="AM931" s="77"/>
      <c r="AN931" s="77"/>
      <c r="AO931" s="77"/>
      <c r="AP931" s="77"/>
      <c r="AQ931" s="77" t="s">
        <v>14803</v>
      </c>
      <c r="AR931" s="77"/>
      <c r="AS931" s="77"/>
      <c r="AT931" s="77"/>
      <c r="AU931" s="77"/>
      <c r="AV931" s="83" t="str">
        <f>HYPERLINK("https://pbs.twimg.com/media/Fzt4Uc3WcAAjQt0.jpg")</f>
        <v>https://pbs.twimg.com/media/Fzt4Uc3WcAAjQt0.jpg</v>
      </c>
      <c r="AW931" s="80" t="s">
        <v>16858</v>
      </c>
      <c r="AX931" s="80" t="s">
        <v>16858</v>
      </c>
      <c r="AY931" s="77"/>
      <c r="AZ931" s="80" t="s">
        <v>20380</v>
      </c>
      <c r="BA931" s="80" t="s">
        <v>20380</v>
      </c>
      <c r="BB931" s="80" t="s">
        <v>20380</v>
      </c>
      <c r="BC931" s="80" t="s">
        <v>16858</v>
      </c>
      <c r="BD931" s="77">
        <v>2502473281</v>
      </c>
      <c r="BE931" s="77"/>
      <c r="BF931" s="77"/>
      <c r="BG931" s="77"/>
      <c r="BH931" s="77"/>
      <c r="BI931" s="77"/>
    </row>
    <row r="932" spans="1:61" x14ac:dyDescent="0.25">
      <c r="A932" s="62" t="s">
        <v>571</v>
      </c>
      <c r="B932" s="62" t="s">
        <v>571</v>
      </c>
      <c r="C932" s="63"/>
      <c r="D932" s="64"/>
      <c r="E932" s="65"/>
      <c r="F932" s="66"/>
      <c r="G932" s="63"/>
      <c r="H932" s="67"/>
      <c r="I932" s="68"/>
      <c r="J932" s="68"/>
      <c r="K932" s="32"/>
      <c r="L932" s="75">
        <v>932</v>
      </c>
      <c r="M932" s="75"/>
      <c r="N932" s="70"/>
      <c r="O932" s="77" t="s">
        <v>179</v>
      </c>
      <c r="P932" s="79">
        <v>45102.484444444446</v>
      </c>
      <c r="Q932" s="77" t="s">
        <v>2897</v>
      </c>
      <c r="R932" s="77">
        <v>0</v>
      </c>
      <c r="S932" s="77">
        <v>2</v>
      </c>
      <c r="T932" s="77">
        <v>0</v>
      </c>
      <c r="U932" s="77">
        <v>0</v>
      </c>
      <c r="V932" s="77">
        <v>14</v>
      </c>
      <c r="W932" s="80" t="s">
        <v>6560</v>
      </c>
      <c r="X932" s="83" t="str">
        <f>HYPERLINK("http://blogdobrito.com.br/sindico/")</f>
        <v>http://blogdobrito.com.br/sindico/</v>
      </c>
      <c r="Y932" s="77" t="s">
        <v>8611</v>
      </c>
      <c r="Z932" s="77"/>
      <c r="AA932" s="77" t="s">
        <v>9322</v>
      </c>
      <c r="AB932" s="77" t="s">
        <v>10535</v>
      </c>
      <c r="AC932" s="80" t="s">
        <v>10541</v>
      </c>
      <c r="AD932" s="77" t="s">
        <v>10617</v>
      </c>
      <c r="AE932" s="83" t="str">
        <f>HYPERLINK("https://twitter.com/blogdobrito1/status/1672932046014906370")</f>
        <v>https://twitter.com/blogdobrito1/status/1672932046014906370</v>
      </c>
      <c r="AF932" s="79">
        <v>45102.484444444446</v>
      </c>
      <c r="AG932" s="85">
        <v>45102</v>
      </c>
      <c r="AH932" s="80" t="s">
        <v>11461</v>
      </c>
      <c r="AI932" s="77" t="b">
        <v>0</v>
      </c>
      <c r="AJ932" s="77"/>
      <c r="AK932" s="77"/>
      <c r="AL932" s="77"/>
      <c r="AM932" s="77"/>
      <c r="AN932" s="77"/>
      <c r="AO932" s="77"/>
      <c r="AP932" s="77"/>
      <c r="AQ932" s="77" t="s">
        <v>14804</v>
      </c>
      <c r="AR932" s="77"/>
      <c r="AS932" s="77"/>
      <c r="AT932" s="77"/>
      <c r="AU932" s="77"/>
      <c r="AV932" s="83" t="str">
        <f>HYPERLINK("https://pbs.twimg.com/media/FzdyzgdX0AAfk35.jpg")</f>
        <v>https://pbs.twimg.com/media/FzdyzgdX0AAfk35.jpg</v>
      </c>
      <c r="AW932" s="80" t="s">
        <v>16859</v>
      </c>
      <c r="AX932" s="80" t="s">
        <v>16859</v>
      </c>
      <c r="AY932" s="77"/>
      <c r="AZ932" s="80" t="s">
        <v>20380</v>
      </c>
      <c r="BA932" s="80" t="s">
        <v>20380</v>
      </c>
      <c r="BB932" s="80" t="s">
        <v>20380</v>
      </c>
      <c r="BC932" s="80" t="s">
        <v>16859</v>
      </c>
      <c r="BD932" s="77">
        <v>2502473281</v>
      </c>
      <c r="BE932" s="77"/>
      <c r="BF932" s="77"/>
      <c r="BG932" s="77"/>
      <c r="BH932" s="77"/>
      <c r="BI932" s="77"/>
    </row>
    <row r="933" spans="1:61" x14ac:dyDescent="0.25">
      <c r="A933" s="62" t="s">
        <v>571</v>
      </c>
      <c r="B933" s="62" t="s">
        <v>571</v>
      </c>
      <c r="C933" s="63"/>
      <c r="D933" s="64"/>
      <c r="E933" s="65"/>
      <c r="F933" s="66"/>
      <c r="G933" s="63"/>
      <c r="H933" s="67"/>
      <c r="I933" s="68"/>
      <c r="J933" s="68"/>
      <c r="K933" s="32"/>
      <c r="L933" s="75">
        <v>933</v>
      </c>
      <c r="M933" s="75"/>
      <c r="N933" s="70"/>
      <c r="O933" s="77" t="s">
        <v>179</v>
      </c>
      <c r="P933" s="79">
        <v>45100.614641203705</v>
      </c>
      <c r="Q933" s="77" t="s">
        <v>2898</v>
      </c>
      <c r="R933" s="77">
        <v>0</v>
      </c>
      <c r="S933" s="77">
        <v>1</v>
      </c>
      <c r="T933" s="77">
        <v>0</v>
      </c>
      <c r="U933" s="77">
        <v>0</v>
      </c>
      <c r="V933" s="77">
        <v>18</v>
      </c>
      <c r="W933" s="80" t="s">
        <v>6560</v>
      </c>
      <c r="X933" s="83" t="str">
        <f>HYPERLINK("http://blogdobrito.com.br/terrorista/")</f>
        <v>http://blogdobrito.com.br/terrorista/</v>
      </c>
      <c r="Y933" s="77" t="s">
        <v>8611</v>
      </c>
      <c r="Z933" s="77"/>
      <c r="AA933" s="77" t="s">
        <v>9323</v>
      </c>
      <c r="AB933" s="77" t="s">
        <v>10535</v>
      </c>
      <c r="AC933" s="80" t="s">
        <v>10541</v>
      </c>
      <c r="AD933" s="77" t="s">
        <v>10617</v>
      </c>
      <c r="AE933" s="83" t="str">
        <f>HYPERLINK("https://twitter.com/blogdobrito1/status/1672254454056333312")</f>
        <v>https://twitter.com/blogdobrito1/status/1672254454056333312</v>
      </c>
      <c r="AF933" s="79">
        <v>45100.614641203705</v>
      </c>
      <c r="AG933" s="85">
        <v>45100</v>
      </c>
      <c r="AH933" s="80" t="s">
        <v>11462</v>
      </c>
      <c r="AI933" s="77" t="b">
        <v>0</v>
      </c>
      <c r="AJ933" s="77"/>
      <c r="AK933" s="77"/>
      <c r="AL933" s="77"/>
      <c r="AM933" s="77"/>
      <c r="AN933" s="77"/>
      <c r="AO933" s="77"/>
      <c r="AP933" s="77"/>
      <c r="AQ933" s="77" t="s">
        <v>14805</v>
      </c>
      <c r="AR933" s="77"/>
      <c r="AS933" s="77"/>
      <c r="AT933" s="77"/>
      <c r="AU933" s="77"/>
      <c r="AV933" s="83" t="str">
        <f>HYPERLINK("https://pbs.twimg.com/media/FzUKg43XsAIGn7N.jpg")</f>
        <v>https://pbs.twimg.com/media/FzUKg43XsAIGn7N.jpg</v>
      </c>
      <c r="AW933" s="80" t="s">
        <v>16860</v>
      </c>
      <c r="AX933" s="80" t="s">
        <v>16860</v>
      </c>
      <c r="AY933" s="77"/>
      <c r="AZ933" s="80" t="s">
        <v>20380</v>
      </c>
      <c r="BA933" s="80" t="s">
        <v>20380</v>
      </c>
      <c r="BB933" s="80" t="s">
        <v>20380</v>
      </c>
      <c r="BC933" s="80" t="s">
        <v>16860</v>
      </c>
      <c r="BD933" s="77">
        <v>2502473281</v>
      </c>
      <c r="BE933" s="77"/>
      <c r="BF933" s="77"/>
      <c r="BG933" s="77"/>
      <c r="BH933" s="77"/>
      <c r="BI933" s="77"/>
    </row>
    <row r="934" spans="1:61" x14ac:dyDescent="0.25">
      <c r="A934" s="62" t="s">
        <v>571</v>
      </c>
      <c r="B934" s="62" t="s">
        <v>571</v>
      </c>
      <c r="C934" s="63"/>
      <c r="D934" s="64"/>
      <c r="E934" s="65"/>
      <c r="F934" s="66"/>
      <c r="G934" s="63"/>
      <c r="H934" s="67"/>
      <c r="I934" s="68"/>
      <c r="J934" s="68"/>
      <c r="K934" s="32"/>
      <c r="L934" s="75">
        <v>934</v>
      </c>
      <c r="M934" s="75"/>
      <c r="N934" s="70"/>
      <c r="O934" s="77" t="s">
        <v>179</v>
      </c>
      <c r="P934" s="79">
        <v>45088.598611111112</v>
      </c>
      <c r="Q934" s="77" t="s">
        <v>2899</v>
      </c>
      <c r="R934" s="77">
        <v>0</v>
      </c>
      <c r="S934" s="77">
        <v>0</v>
      </c>
      <c r="T934" s="77">
        <v>0</v>
      </c>
      <c r="U934" s="77">
        <v>0</v>
      </c>
      <c r="V934" s="77">
        <v>42</v>
      </c>
      <c r="W934" s="80" t="s">
        <v>6562</v>
      </c>
      <c r="X934" s="77"/>
      <c r="Y934" s="77"/>
      <c r="Z934" s="77"/>
      <c r="AA934" s="77" t="s">
        <v>9324</v>
      </c>
      <c r="AB934" s="77" t="s">
        <v>10535</v>
      </c>
      <c r="AC934" s="80" t="s">
        <v>10541</v>
      </c>
      <c r="AD934" s="77" t="s">
        <v>10617</v>
      </c>
      <c r="AE934" s="83" t="str">
        <f>HYPERLINK("https://twitter.com/blogdobrito1/status/1667899990994309120")</f>
        <v>https://twitter.com/blogdobrito1/status/1667899990994309120</v>
      </c>
      <c r="AF934" s="79">
        <v>45088.598611111112</v>
      </c>
      <c r="AG934" s="85">
        <v>45088</v>
      </c>
      <c r="AH934" s="80" t="s">
        <v>11463</v>
      </c>
      <c r="AI934" s="77" t="b">
        <v>0</v>
      </c>
      <c r="AJ934" s="77"/>
      <c r="AK934" s="77"/>
      <c r="AL934" s="77"/>
      <c r="AM934" s="77"/>
      <c r="AN934" s="77"/>
      <c r="AO934" s="77"/>
      <c r="AP934" s="77"/>
      <c r="AQ934" s="77" t="s">
        <v>14806</v>
      </c>
      <c r="AR934" s="77"/>
      <c r="AS934" s="77"/>
      <c r="AT934" s="77"/>
      <c r="AU934" s="77"/>
      <c r="AV934" s="83" t="str">
        <f>HYPERLINK("https://pbs.twimg.com/media/FyWRvwVXwAAkqI3.jpg")</f>
        <v>https://pbs.twimg.com/media/FyWRvwVXwAAkqI3.jpg</v>
      </c>
      <c r="AW934" s="80" t="s">
        <v>16861</v>
      </c>
      <c r="AX934" s="80" t="s">
        <v>16861</v>
      </c>
      <c r="AY934" s="77"/>
      <c r="AZ934" s="80" t="s">
        <v>20380</v>
      </c>
      <c r="BA934" s="80" t="s">
        <v>20380</v>
      </c>
      <c r="BB934" s="80" t="s">
        <v>20380</v>
      </c>
      <c r="BC934" s="80" t="s">
        <v>16861</v>
      </c>
      <c r="BD934" s="77">
        <v>2502473281</v>
      </c>
      <c r="BE934" s="77"/>
      <c r="BF934" s="77"/>
      <c r="BG934" s="77"/>
      <c r="BH934" s="77"/>
      <c r="BI934" s="77"/>
    </row>
    <row r="935" spans="1:61" x14ac:dyDescent="0.25">
      <c r="A935" s="62" t="s">
        <v>571</v>
      </c>
      <c r="B935" s="62" t="s">
        <v>571</v>
      </c>
      <c r="C935" s="63"/>
      <c r="D935" s="64"/>
      <c r="E935" s="65"/>
      <c r="F935" s="66"/>
      <c r="G935" s="63"/>
      <c r="H935" s="67"/>
      <c r="I935" s="68"/>
      <c r="J935" s="68"/>
      <c r="K935" s="32"/>
      <c r="L935" s="75">
        <v>935</v>
      </c>
      <c r="M935" s="75"/>
      <c r="N935" s="70"/>
      <c r="O935" s="77" t="s">
        <v>179</v>
      </c>
      <c r="P935" s="79">
        <v>45087.618506944447</v>
      </c>
      <c r="Q935" s="77" t="s">
        <v>2900</v>
      </c>
      <c r="R935" s="77">
        <v>0</v>
      </c>
      <c r="S935" s="77">
        <v>0</v>
      </c>
      <c r="T935" s="77">
        <v>0</v>
      </c>
      <c r="U935" s="77">
        <v>0</v>
      </c>
      <c r="V935" s="77">
        <v>29</v>
      </c>
      <c r="W935" s="80" t="s">
        <v>6563</v>
      </c>
      <c r="X935" s="83" t="str">
        <f>HYPERLINK("http://blogdobrito.com.br/deputado-vale-uma-fortuna/")</f>
        <v>http://blogdobrito.com.br/deputado-vale-uma-fortuna/</v>
      </c>
      <c r="Y935" s="77" t="s">
        <v>8611</v>
      </c>
      <c r="Z935" s="77"/>
      <c r="AA935" s="77" t="s">
        <v>9325</v>
      </c>
      <c r="AB935" s="77" t="s">
        <v>10535</v>
      </c>
      <c r="AC935" s="80" t="s">
        <v>10541</v>
      </c>
      <c r="AD935" s="77" t="s">
        <v>10617</v>
      </c>
      <c r="AE935" s="83" t="str">
        <f>HYPERLINK("https://twitter.com/blogdobrito1/status/1667544811803475971")</f>
        <v>https://twitter.com/blogdobrito1/status/1667544811803475971</v>
      </c>
      <c r="AF935" s="79">
        <v>45087.618506944447</v>
      </c>
      <c r="AG935" s="85">
        <v>45087</v>
      </c>
      <c r="AH935" s="80" t="s">
        <v>11464</v>
      </c>
      <c r="AI935" s="77" t="b">
        <v>0</v>
      </c>
      <c r="AJ935" s="77"/>
      <c r="AK935" s="77"/>
      <c r="AL935" s="77"/>
      <c r="AM935" s="77"/>
      <c r="AN935" s="77"/>
      <c r="AO935" s="77"/>
      <c r="AP935" s="77"/>
      <c r="AQ935" s="77" t="s">
        <v>14807</v>
      </c>
      <c r="AR935" s="77"/>
      <c r="AS935" s="77"/>
      <c r="AT935" s="77"/>
      <c r="AU935" s="77"/>
      <c r="AV935" s="83" t="str">
        <f>HYPERLINK("https://pbs.twimg.com/media/FyRO_yoWwAItqjq.jpg")</f>
        <v>https://pbs.twimg.com/media/FyRO_yoWwAItqjq.jpg</v>
      </c>
      <c r="AW935" s="80" t="s">
        <v>16862</v>
      </c>
      <c r="AX935" s="80" t="s">
        <v>16862</v>
      </c>
      <c r="AY935" s="77"/>
      <c r="AZ935" s="80" t="s">
        <v>20380</v>
      </c>
      <c r="BA935" s="80" t="s">
        <v>20380</v>
      </c>
      <c r="BB935" s="80" t="s">
        <v>20380</v>
      </c>
      <c r="BC935" s="80" t="s">
        <v>16862</v>
      </c>
      <c r="BD935" s="77">
        <v>2502473281</v>
      </c>
      <c r="BE935" s="77"/>
      <c r="BF935" s="77"/>
      <c r="BG935" s="77"/>
      <c r="BH935" s="77"/>
      <c r="BI935" s="77"/>
    </row>
    <row r="936" spans="1:61" x14ac:dyDescent="0.25">
      <c r="A936" s="62" t="s">
        <v>571</v>
      </c>
      <c r="B936" s="62" t="s">
        <v>571</v>
      </c>
      <c r="C936" s="63"/>
      <c r="D936" s="64"/>
      <c r="E936" s="65"/>
      <c r="F936" s="66"/>
      <c r="G936" s="63"/>
      <c r="H936" s="67"/>
      <c r="I936" s="68"/>
      <c r="J936" s="68"/>
      <c r="K936" s="32"/>
      <c r="L936" s="75">
        <v>936</v>
      </c>
      <c r="M936" s="75"/>
      <c r="N936" s="70"/>
      <c r="O936" s="77" t="s">
        <v>179</v>
      </c>
      <c r="P936" s="79">
        <v>45109.513333333336</v>
      </c>
      <c r="Q936" s="77" t="s">
        <v>2901</v>
      </c>
      <c r="R936" s="77">
        <v>0</v>
      </c>
      <c r="S936" s="77">
        <v>0</v>
      </c>
      <c r="T936" s="77">
        <v>0</v>
      </c>
      <c r="U936" s="77">
        <v>0</v>
      </c>
      <c r="V936" s="77">
        <v>28</v>
      </c>
      <c r="W936" s="80" t="s">
        <v>6560</v>
      </c>
      <c r="X936" s="83" t="str">
        <f>HYPERLINK("http://blogdobrito.com.br/o-mala-faia/")</f>
        <v>http://blogdobrito.com.br/o-mala-faia/</v>
      </c>
      <c r="Y936" s="77" t="s">
        <v>8611</v>
      </c>
      <c r="Z936" s="77"/>
      <c r="AA936" s="77" t="s">
        <v>9326</v>
      </c>
      <c r="AB936" s="77" t="s">
        <v>10535</v>
      </c>
      <c r="AC936" s="80" t="s">
        <v>10541</v>
      </c>
      <c r="AD936" s="77" t="s">
        <v>10617</v>
      </c>
      <c r="AE936" s="83" t="str">
        <f>HYPERLINK("https://twitter.com/blogdobrito1/status/1675479231562752006")</f>
        <v>https://twitter.com/blogdobrito1/status/1675479231562752006</v>
      </c>
      <c r="AF936" s="79">
        <v>45109.513333333336</v>
      </c>
      <c r="AG936" s="85">
        <v>45109</v>
      </c>
      <c r="AH936" s="80" t="s">
        <v>11465</v>
      </c>
      <c r="AI936" s="77" t="b">
        <v>0</v>
      </c>
      <c r="AJ936" s="77"/>
      <c r="AK936" s="77"/>
      <c r="AL936" s="77"/>
      <c r="AM936" s="77"/>
      <c r="AN936" s="77"/>
      <c r="AO936" s="77"/>
      <c r="AP936" s="77"/>
      <c r="AQ936" s="77" t="s">
        <v>14808</v>
      </c>
      <c r="AR936" s="77"/>
      <c r="AS936" s="77"/>
      <c r="AT936" s="77"/>
      <c r="AU936" s="77"/>
      <c r="AV936" s="83" t="str">
        <f>HYPERLINK("https://pbs.twimg.com/media/F0B_eHBWAAAr5-b.jpg")</f>
        <v>https://pbs.twimg.com/media/F0B_eHBWAAAr5-b.jpg</v>
      </c>
      <c r="AW936" s="80" t="s">
        <v>16863</v>
      </c>
      <c r="AX936" s="80" t="s">
        <v>16863</v>
      </c>
      <c r="AY936" s="77"/>
      <c r="AZ936" s="80" t="s">
        <v>20380</v>
      </c>
      <c r="BA936" s="80" t="s">
        <v>20380</v>
      </c>
      <c r="BB936" s="80" t="s">
        <v>20380</v>
      </c>
      <c r="BC936" s="80" t="s">
        <v>16863</v>
      </c>
      <c r="BD936" s="77">
        <v>2502473281</v>
      </c>
      <c r="BE936" s="77"/>
      <c r="BF936" s="77"/>
      <c r="BG936" s="77"/>
      <c r="BH936" s="77"/>
      <c r="BI936" s="77"/>
    </row>
    <row r="937" spans="1:61" x14ac:dyDescent="0.25">
      <c r="A937" s="62" t="s">
        <v>571</v>
      </c>
      <c r="B937" s="62" t="s">
        <v>571</v>
      </c>
      <c r="C937" s="63"/>
      <c r="D937" s="64"/>
      <c r="E937" s="65"/>
      <c r="F937" s="66"/>
      <c r="G937" s="63"/>
      <c r="H937" s="67"/>
      <c r="I937" s="68"/>
      <c r="J937" s="68"/>
      <c r="K937" s="32"/>
      <c r="L937" s="75">
        <v>937</v>
      </c>
      <c r="M937" s="75"/>
      <c r="N937" s="70"/>
      <c r="O937" s="77" t="s">
        <v>179</v>
      </c>
      <c r="P937" s="79">
        <v>45108.499965277777</v>
      </c>
      <c r="Q937" s="77" t="s">
        <v>2902</v>
      </c>
      <c r="R937" s="77">
        <v>0</v>
      </c>
      <c r="S937" s="77">
        <v>0</v>
      </c>
      <c r="T937" s="77">
        <v>0</v>
      </c>
      <c r="U937" s="77">
        <v>0</v>
      </c>
      <c r="V937" s="77">
        <v>14</v>
      </c>
      <c r="W937" s="80" t="s">
        <v>6560</v>
      </c>
      <c r="X937" s="83" t="str">
        <f>HYPERLINK("http://blogdobrito.com.br/paria-global/")</f>
        <v>http://blogdobrito.com.br/paria-global/</v>
      </c>
      <c r="Y937" s="77" t="s">
        <v>8611</v>
      </c>
      <c r="Z937" s="77"/>
      <c r="AA937" s="77" t="s">
        <v>9327</v>
      </c>
      <c r="AB937" s="77" t="s">
        <v>10535</v>
      </c>
      <c r="AC937" s="80" t="s">
        <v>10541</v>
      </c>
      <c r="AD937" s="77" t="s">
        <v>10617</v>
      </c>
      <c r="AE937" s="83" t="str">
        <f>HYPERLINK("https://twitter.com/blogdobrito1/status/1675112000152543232")</f>
        <v>https://twitter.com/blogdobrito1/status/1675112000152543232</v>
      </c>
      <c r="AF937" s="79">
        <v>45108.499965277777</v>
      </c>
      <c r="AG937" s="85">
        <v>45108</v>
      </c>
      <c r="AH937" s="80" t="s">
        <v>11466</v>
      </c>
      <c r="AI937" s="77" t="b">
        <v>0</v>
      </c>
      <c r="AJ937" s="77"/>
      <c r="AK937" s="77"/>
      <c r="AL937" s="77"/>
      <c r="AM937" s="77"/>
      <c r="AN937" s="77"/>
      <c r="AO937" s="77"/>
      <c r="AP937" s="77"/>
      <c r="AQ937" s="77" t="s">
        <v>14809</v>
      </c>
      <c r="AR937" s="77"/>
      <c r="AS937" s="77"/>
      <c r="AT937" s="77"/>
      <c r="AU937" s="77"/>
      <c r="AV937" s="83" t="str">
        <f>HYPERLINK("https://pbs.twimg.com/media/Fz8xeJ0XoAcAPnF.jpg")</f>
        <v>https://pbs.twimg.com/media/Fz8xeJ0XoAcAPnF.jpg</v>
      </c>
      <c r="AW937" s="80" t="s">
        <v>16864</v>
      </c>
      <c r="AX937" s="80" t="s">
        <v>16864</v>
      </c>
      <c r="AY937" s="77"/>
      <c r="AZ937" s="80" t="s">
        <v>20380</v>
      </c>
      <c r="BA937" s="80" t="s">
        <v>20380</v>
      </c>
      <c r="BB937" s="80" t="s">
        <v>20380</v>
      </c>
      <c r="BC937" s="80" t="s">
        <v>16864</v>
      </c>
      <c r="BD937" s="77">
        <v>2502473281</v>
      </c>
      <c r="BE937" s="77"/>
      <c r="BF937" s="77"/>
      <c r="BG937" s="77"/>
      <c r="BH937" s="77"/>
      <c r="BI937" s="77"/>
    </row>
    <row r="938" spans="1:61" x14ac:dyDescent="0.25">
      <c r="A938" s="62" t="s">
        <v>571</v>
      </c>
      <c r="B938" s="62" t="s">
        <v>571</v>
      </c>
      <c r="C938" s="63"/>
      <c r="D938" s="64"/>
      <c r="E938" s="65"/>
      <c r="F938" s="66"/>
      <c r="G938" s="63"/>
      <c r="H938" s="67"/>
      <c r="I938" s="68"/>
      <c r="J938" s="68"/>
      <c r="K938" s="32"/>
      <c r="L938" s="75">
        <v>938</v>
      </c>
      <c r="M938" s="75"/>
      <c r="N938" s="70"/>
      <c r="O938" s="77" t="s">
        <v>179</v>
      </c>
      <c r="P938" s="79">
        <v>45097.453923611109</v>
      </c>
      <c r="Q938" s="77" t="s">
        <v>2903</v>
      </c>
      <c r="R938" s="77">
        <v>0</v>
      </c>
      <c r="S938" s="77">
        <v>0</v>
      </c>
      <c r="T938" s="77">
        <v>0</v>
      </c>
      <c r="U938" s="77">
        <v>0</v>
      </c>
      <c r="V938" s="77">
        <v>29</v>
      </c>
      <c r="W938" s="80" t="s">
        <v>6560</v>
      </c>
      <c r="X938" s="83" t="str">
        <f>HYPERLINK("http://blogdobrito.com.br/marcos-do-val/")</f>
        <v>http://blogdobrito.com.br/marcos-do-val/</v>
      </c>
      <c r="Y938" s="77" t="s">
        <v>8611</v>
      </c>
      <c r="Z938" s="77"/>
      <c r="AA938" s="77" t="s">
        <v>9328</v>
      </c>
      <c r="AB938" s="77" t="s">
        <v>10535</v>
      </c>
      <c r="AC938" s="80" t="s">
        <v>10541</v>
      </c>
      <c r="AD938" s="77" t="s">
        <v>10617</v>
      </c>
      <c r="AE938" s="83" t="str">
        <f>HYPERLINK("https://twitter.com/blogdobrito1/status/1671109047938957312")</f>
        <v>https://twitter.com/blogdobrito1/status/1671109047938957312</v>
      </c>
      <c r="AF938" s="79">
        <v>45097.453923611109</v>
      </c>
      <c r="AG938" s="85">
        <v>45097</v>
      </c>
      <c r="AH938" s="80" t="s">
        <v>11467</v>
      </c>
      <c r="AI938" s="77" t="b">
        <v>0</v>
      </c>
      <c r="AJ938" s="77"/>
      <c r="AK938" s="77"/>
      <c r="AL938" s="77"/>
      <c r="AM938" s="77"/>
      <c r="AN938" s="77"/>
      <c r="AO938" s="77"/>
      <c r="AP938" s="77"/>
      <c r="AQ938" s="77" t="s">
        <v>14810</v>
      </c>
      <c r="AR938" s="77"/>
      <c r="AS938" s="77"/>
      <c r="AT938" s="77"/>
      <c r="AU938" s="77"/>
      <c r="AV938" s="83" t="str">
        <f>HYPERLINK("https://pbs.twimg.com/media/FzD4zaqWYAA0dnr.jpg")</f>
        <v>https://pbs.twimg.com/media/FzD4zaqWYAA0dnr.jpg</v>
      </c>
      <c r="AW938" s="80" t="s">
        <v>16865</v>
      </c>
      <c r="AX938" s="80" t="s">
        <v>16865</v>
      </c>
      <c r="AY938" s="77"/>
      <c r="AZ938" s="80" t="s">
        <v>20380</v>
      </c>
      <c r="BA938" s="80" t="s">
        <v>20380</v>
      </c>
      <c r="BB938" s="80" t="s">
        <v>20380</v>
      </c>
      <c r="BC938" s="80" t="s">
        <v>16865</v>
      </c>
      <c r="BD938" s="77">
        <v>2502473281</v>
      </c>
      <c r="BE938" s="77"/>
      <c r="BF938" s="77"/>
      <c r="BG938" s="77"/>
      <c r="BH938" s="77"/>
      <c r="BI938" s="77"/>
    </row>
    <row r="939" spans="1:61" x14ac:dyDescent="0.25">
      <c r="A939" s="62" t="s">
        <v>571</v>
      </c>
      <c r="B939" s="62" t="s">
        <v>571</v>
      </c>
      <c r="C939" s="63"/>
      <c r="D939" s="64"/>
      <c r="E939" s="65"/>
      <c r="F939" s="66"/>
      <c r="G939" s="63"/>
      <c r="H939" s="67"/>
      <c r="I939" s="68"/>
      <c r="J939" s="68"/>
      <c r="K939" s="32"/>
      <c r="L939" s="75">
        <v>939</v>
      </c>
      <c r="M939" s="75"/>
      <c r="N939" s="70"/>
      <c r="O939" s="77" t="s">
        <v>179</v>
      </c>
      <c r="P939" s="79">
        <v>45096.872812499998</v>
      </c>
      <c r="Q939" s="77" t="s">
        <v>2904</v>
      </c>
      <c r="R939" s="77">
        <v>0</v>
      </c>
      <c r="S939" s="77">
        <v>0</v>
      </c>
      <c r="T939" s="77">
        <v>0</v>
      </c>
      <c r="U939" s="77">
        <v>0</v>
      </c>
      <c r="V939" s="77">
        <v>30</v>
      </c>
      <c r="W939" s="80" t="s">
        <v>6564</v>
      </c>
      <c r="X939" s="83" t="str">
        <f>HYPERLINK("http://blogdobrito.com.br/?s=Chico+Buarque")</f>
        <v>http://blogdobrito.com.br/?s=Chico+Buarque</v>
      </c>
      <c r="Y939" s="77" t="s">
        <v>8611</v>
      </c>
      <c r="Z939" s="77"/>
      <c r="AA939" s="77" t="s">
        <v>9329</v>
      </c>
      <c r="AB939" s="77" t="s">
        <v>10535</v>
      </c>
      <c r="AC939" s="80" t="s">
        <v>10541</v>
      </c>
      <c r="AD939" s="77" t="s">
        <v>10617</v>
      </c>
      <c r="AE939" s="83" t="str">
        <f>HYPERLINK("https://twitter.com/blogdobrito1/status/1670898460504076289")</f>
        <v>https://twitter.com/blogdobrito1/status/1670898460504076289</v>
      </c>
      <c r="AF939" s="79">
        <v>45096.872812499998</v>
      </c>
      <c r="AG939" s="85">
        <v>45096</v>
      </c>
      <c r="AH939" s="80" t="s">
        <v>11468</v>
      </c>
      <c r="AI939" s="77" t="b">
        <v>0</v>
      </c>
      <c r="AJ939" s="77"/>
      <c r="AK939" s="77"/>
      <c r="AL939" s="77"/>
      <c r="AM939" s="77"/>
      <c r="AN939" s="77"/>
      <c r="AO939" s="77"/>
      <c r="AP939" s="77"/>
      <c r="AQ939" s="77" t="s">
        <v>14811</v>
      </c>
      <c r="AR939" s="77"/>
      <c r="AS939" s="77"/>
      <c r="AT939" s="77"/>
      <c r="AU939" s="77"/>
      <c r="AV939" s="83" t="str">
        <f>HYPERLINK("https://pbs.twimg.com/media/FzA5OF4X0AAW2tZ.jpg")</f>
        <v>https://pbs.twimg.com/media/FzA5OF4X0AAW2tZ.jpg</v>
      </c>
      <c r="AW939" s="80" t="s">
        <v>16866</v>
      </c>
      <c r="AX939" s="80" t="s">
        <v>16866</v>
      </c>
      <c r="AY939" s="77"/>
      <c r="AZ939" s="80" t="s">
        <v>20380</v>
      </c>
      <c r="BA939" s="80" t="s">
        <v>20380</v>
      </c>
      <c r="BB939" s="80" t="s">
        <v>20380</v>
      </c>
      <c r="BC939" s="80" t="s">
        <v>16866</v>
      </c>
      <c r="BD939" s="77">
        <v>2502473281</v>
      </c>
      <c r="BE939" s="77"/>
      <c r="BF939" s="77"/>
      <c r="BG939" s="77"/>
      <c r="BH939" s="77"/>
      <c r="BI939" s="77"/>
    </row>
    <row r="940" spans="1:61" x14ac:dyDescent="0.25">
      <c r="A940" s="62" t="s">
        <v>571</v>
      </c>
      <c r="B940" s="62" t="s">
        <v>571</v>
      </c>
      <c r="C940" s="63"/>
      <c r="D940" s="64"/>
      <c r="E940" s="65"/>
      <c r="F940" s="66"/>
      <c r="G940" s="63"/>
      <c r="H940" s="67"/>
      <c r="I940" s="68"/>
      <c r="J940" s="68"/>
      <c r="K940" s="32"/>
      <c r="L940" s="75">
        <v>940</v>
      </c>
      <c r="M940" s="75"/>
      <c r="N940" s="70"/>
      <c r="O940" s="77" t="s">
        <v>179</v>
      </c>
      <c r="P940" s="79">
        <v>45095.534328703703</v>
      </c>
      <c r="Q940" s="77" t="s">
        <v>2905</v>
      </c>
      <c r="R940" s="77">
        <v>0</v>
      </c>
      <c r="S940" s="77">
        <v>0</v>
      </c>
      <c r="T940" s="77">
        <v>0</v>
      </c>
      <c r="U940" s="77">
        <v>0</v>
      </c>
      <c r="V940" s="77">
        <v>41</v>
      </c>
      <c r="W940" s="80" t="s">
        <v>6560</v>
      </c>
      <c r="X940" s="83" t="str">
        <f>HYPERLINK("http://blogdobrito.com.br/belzebu/")</f>
        <v>http://blogdobrito.com.br/belzebu/</v>
      </c>
      <c r="Y940" s="77" t="s">
        <v>8611</v>
      </c>
      <c r="Z940" s="77"/>
      <c r="AA940" s="77" t="s">
        <v>9330</v>
      </c>
      <c r="AB940" s="77" t="s">
        <v>10535</v>
      </c>
      <c r="AC940" s="80" t="s">
        <v>10541</v>
      </c>
      <c r="AD940" s="77" t="s">
        <v>10617</v>
      </c>
      <c r="AE940" s="83" t="str">
        <f>HYPERLINK("https://twitter.com/blogdobrito1/status/1670413411237212162")</f>
        <v>https://twitter.com/blogdobrito1/status/1670413411237212162</v>
      </c>
      <c r="AF940" s="79">
        <v>45095.534328703703</v>
      </c>
      <c r="AG940" s="85">
        <v>45095</v>
      </c>
      <c r="AH940" s="80" t="s">
        <v>11469</v>
      </c>
      <c r="AI940" s="77" t="b">
        <v>0</v>
      </c>
      <c r="AJ940" s="77"/>
      <c r="AK940" s="77"/>
      <c r="AL940" s="77"/>
      <c r="AM940" s="77"/>
      <c r="AN940" s="77"/>
      <c r="AO940" s="77"/>
      <c r="AP940" s="77"/>
      <c r="AQ940" s="77" t="s">
        <v>14812</v>
      </c>
      <c r="AR940" s="77"/>
      <c r="AS940" s="77"/>
      <c r="AT940" s="77"/>
      <c r="AU940" s="77"/>
      <c r="AV940" s="83" t="str">
        <f>HYPERLINK("https://pbs.twimg.com/media/Fy6AFwyXwAA-nV4.jpg")</f>
        <v>https://pbs.twimg.com/media/Fy6AFwyXwAA-nV4.jpg</v>
      </c>
      <c r="AW940" s="80" t="s">
        <v>16867</v>
      </c>
      <c r="AX940" s="80" t="s">
        <v>16867</v>
      </c>
      <c r="AY940" s="77"/>
      <c r="AZ940" s="80" t="s">
        <v>20380</v>
      </c>
      <c r="BA940" s="80" t="s">
        <v>20380</v>
      </c>
      <c r="BB940" s="80" t="s">
        <v>20380</v>
      </c>
      <c r="BC940" s="80" t="s">
        <v>16867</v>
      </c>
      <c r="BD940" s="77">
        <v>2502473281</v>
      </c>
      <c r="BE940" s="77"/>
      <c r="BF940" s="77"/>
      <c r="BG940" s="77"/>
      <c r="BH940" s="77"/>
      <c r="BI940" s="77"/>
    </row>
    <row r="941" spans="1:61" x14ac:dyDescent="0.25">
      <c r="A941" s="62" t="s">
        <v>572</v>
      </c>
      <c r="B941" s="62" t="s">
        <v>1810</v>
      </c>
      <c r="C941" s="63"/>
      <c r="D941" s="64"/>
      <c r="E941" s="65"/>
      <c r="F941" s="66"/>
      <c r="G941" s="63"/>
      <c r="H941" s="67"/>
      <c r="I941" s="68"/>
      <c r="J941" s="68"/>
      <c r="K941" s="32"/>
      <c r="L941" s="75">
        <v>941</v>
      </c>
      <c r="M941" s="75"/>
      <c r="N941" s="70"/>
      <c r="O941" s="77" t="s">
        <v>2081</v>
      </c>
      <c r="P941" s="79">
        <v>45106.981215277781</v>
      </c>
      <c r="Q941" s="77" t="s">
        <v>2906</v>
      </c>
      <c r="R941" s="77">
        <v>0</v>
      </c>
      <c r="S941" s="77">
        <v>0</v>
      </c>
      <c r="T941" s="77">
        <v>0</v>
      </c>
      <c r="U941" s="77">
        <v>0</v>
      </c>
      <c r="V941" s="77">
        <v>52</v>
      </c>
      <c r="W941" s="80" t="s">
        <v>6565</v>
      </c>
      <c r="X941" s="77"/>
      <c r="Y941" s="77"/>
      <c r="Z941" s="77" t="s">
        <v>1810</v>
      </c>
      <c r="AA941" s="77" t="s">
        <v>9331</v>
      </c>
      <c r="AB941" s="77" t="s">
        <v>10534</v>
      </c>
      <c r="AC941" s="80" t="s">
        <v>10540</v>
      </c>
      <c r="AD941" s="77" t="s">
        <v>10620</v>
      </c>
      <c r="AE941" s="83" t="str">
        <f>HYPERLINK("https://twitter.com/radiojujuylibre/status/1674561621669158922")</f>
        <v>https://twitter.com/radiojujuylibre/status/1674561621669158922</v>
      </c>
      <c r="AF941" s="79">
        <v>45106.981215277781</v>
      </c>
      <c r="AG941" s="85">
        <v>45106</v>
      </c>
      <c r="AH941" s="80" t="s">
        <v>11470</v>
      </c>
      <c r="AI941" s="77" t="b">
        <v>0</v>
      </c>
      <c r="AJ941" s="77"/>
      <c r="AK941" s="77"/>
      <c r="AL941" s="77"/>
      <c r="AM941" s="77"/>
      <c r="AN941" s="77"/>
      <c r="AO941" s="77"/>
      <c r="AP941" s="77"/>
      <c r="AQ941" s="77" t="s">
        <v>14813</v>
      </c>
      <c r="AR941" s="77">
        <v>12773</v>
      </c>
      <c r="AS941" s="77"/>
      <c r="AT941" s="77"/>
      <c r="AU941" s="77"/>
      <c r="AV941" s="83" t="str">
        <f>HYPERLINK("https://pbs.twimg.com/ext_tw_video_thumb/1674561567226994688/pu/img/0civB_H_ib7R6Q4l.jpg")</f>
        <v>https://pbs.twimg.com/ext_tw_video_thumb/1674561567226994688/pu/img/0civB_H_ib7R6Q4l.jpg</v>
      </c>
      <c r="AW941" s="80" t="s">
        <v>16868</v>
      </c>
      <c r="AX941" s="80" t="s">
        <v>16868</v>
      </c>
      <c r="AY941" s="77"/>
      <c r="AZ941" s="80" t="s">
        <v>20380</v>
      </c>
      <c r="BA941" s="80" t="s">
        <v>20380</v>
      </c>
      <c r="BB941" s="80" t="s">
        <v>20380</v>
      </c>
      <c r="BC941" s="80" t="s">
        <v>16868</v>
      </c>
      <c r="BD941" s="80" t="s">
        <v>20662</v>
      </c>
      <c r="BE941" s="77"/>
      <c r="BF941" s="77"/>
      <c r="BG941" s="77"/>
      <c r="BH941" s="77"/>
      <c r="BI941" s="77"/>
    </row>
    <row r="942" spans="1:61" x14ac:dyDescent="0.25">
      <c r="A942" s="62" t="s">
        <v>573</v>
      </c>
      <c r="B942" s="62" t="s">
        <v>1811</v>
      </c>
      <c r="C942" s="63"/>
      <c r="D942" s="64"/>
      <c r="E942" s="65"/>
      <c r="F942" s="66"/>
      <c r="G942" s="63"/>
      <c r="H942" s="67"/>
      <c r="I942" s="68"/>
      <c r="J942" s="68"/>
      <c r="K942" s="32"/>
      <c r="L942" s="75">
        <v>942</v>
      </c>
      <c r="M942" s="75"/>
      <c r="N942" s="70"/>
      <c r="O942" s="77" t="s">
        <v>2084</v>
      </c>
      <c r="P942" s="79">
        <v>45099.544074074074</v>
      </c>
      <c r="Q942" s="77" t="s">
        <v>2907</v>
      </c>
      <c r="R942" s="77">
        <v>0</v>
      </c>
      <c r="S942" s="77">
        <v>1</v>
      </c>
      <c r="T942" s="77">
        <v>0</v>
      </c>
      <c r="U942" s="77">
        <v>0</v>
      </c>
      <c r="V942" s="77">
        <v>237</v>
      </c>
      <c r="W942" s="80" t="s">
        <v>6566</v>
      </c>
      <c r="X942" s="77"/>
      <c r="Y942" s="77"/>
      <c r="Z942" s="77" t="s">
        <v>8942</v>
      </c>
      <c r="AA942" s="77"/>
      <c r="AB942" s="77"/>
      <c r="AC942" s="80" t="s">
        <v>10541</v>
      </c>
      <c r="AD942" s="77" t="s">
        <v>10619</v>
      </c>
      <c r="AE942" s="83" t="str">
        <f>HYPERLINK("https://twitter.com/alvero_oficial/status/1671866491841421312")</f>
        <v>https://twitter.com/alvero_oficial/status/1671866491841421312</v>
      </c>
      <c r="AF942" s="79">
        <v>45099.544074074074</v>
      </c>
      <c r="AG942" s="85">
        <v>45099</v>
      </c>
      <c r="AH942" s="80" t="s">
        <v>11471</v>
      </c>
      <c r="AI942" s="77"/>
      <c r="AJ942" s="77"/>
      <c r="AK942" s="77"/>
      <c r="AL942" s="77"/>
      <c r="AM942" s="77"/>
      <c r="AN942" s="77"/>
      <c r="AO942" s="77"/>
      <c r="AP942" s="77"/>
      <c r="AQ942" s="77"/>
      <c r="AR942" s="77"/>
      <c r="AS942" s="77"/>
      <c r="AT942" s="77"/>
      <c r="AU942" s="77"/>
      <c r="AV942" s="83" t="str">
        <f>HYPERLINK("https://pbs.twimg.com/profile_images/1520205867458732032/dZz2ya0Q_normal.jpg")</f>
        <v>https://pbs.twimg.com/profile_images/1520205867458732032/dZz2ya0Q_normal.jpg</v>
      </c>
      <c r="AW942" s="80" t="s">
        <v>16869</v>
      </c>
      <c r="AX942" s="80" t="s">
        <v>16869</v>
      </c>
      <c r="AY942" s="80" t="s">
        <v>20255</v>
      </c>
      <c r="AZ942" s="80" t="s">
        <v>20380</v>
      </c>
      <c r="BA942" s="80" t="s">
        <v>16870</v>
      </c>
      <c r="BB942" s="80" t="s">
        <v>20380</v>
      </c>
      <c r="BC942" s="80" t="s">
        <v>16870</v>
      </c>
      <c r="BD942" s="77">
        <v>3151796591</v>
      </c>
      <c r="BE942" s="77"/>
      <c r="BF942" s="77"/>
      <c r="BG942" s="77"/>
      <c r="BH942" s="77"/>
      <c r="BI942" s="77"/>
    </row>
    <row r="943" spans="1:61" x14ac:dyDescent="0.25">
      <c r="A943" s="62" t="s">
        <v>573</v>
      </c>
      <c r="B943" s="62" t="s">
        <v>1812</v>
      </c>
      <c r="C943" s="63"/>
      <c r="D943" s="64"/>
      <c r="E943" s="65"/>
      <c r="F943" s="66"/>
      <c r="G943" s="63"/>
      <c r="H943" s="67"/>
      <c r="I943" s="68"/>
      <c r="J943" s="68"/>
      <c r="K943" s="32"/>
      <c r="L943" s="75">
        <v>943</v>
      </c>
      <c r="M943" s="75"/>
      <c r="N943" s="70"/>
      <c r="O943" s="77" t="s">
        <v>2084</v>
      </c>
      <c r="P943" s="79">
        <v>45099.544074074074</v>
      </c>
      <c r="Q943" s="77" t="s">
        <v>2907</v>
      </c>
      <c r="R943" s="77">
        <v>0</v>
      </c>
      <c r="S943" s="77">
        <v>1</v>
      </c>
      <c r="T943" s="77">
        <v>0</v>
      </c>
      <c r="U943" s="77">
        <v>0</v>
      </c>
      <c r="V943" s="77">
        <v>237</v>
      </c>
      <c r="W943" s="80" t="s">
        <v>6566</v>
      </c>
      <c r="X943" s="77"/>
      <c r="Y943" s="77"/>
      <c r="Z943" s="77" t="s">
        <v>8942</v>
      </c>
      <c r="AA943" s="77"/>
      <c r="AB943" s="77"/>
      <c r="AC943" s="80" t="s">
        <v>10541</v>
      </c>
      <c r="AD943" s="77" t="s">
        <v>10619</v>
      </c>
      <c r="AE943" s="83" t="str">
        <f>HYPERLINK("https://twitter.com/alvero_oficial/status/1671866491841421312")</f>
        <v>https://twitter.com/alvero_oficial/status/1671866491841421312</v>
      </c>
      <c r="AF943" s="79">
        <v>45099.544074074074</v>
      </c>
      <c r="AG943" s="85">
        <v>45099</v>
      </c>
      <c r="AH943" s="80" t="s">
        <v>11471</v>
      </c>
      <c r="AI943" s="77"/>
      <c r="AJ943" s="77"/>
      <c r="AK943" s="77"/>
      <c r="AL943" s="77"/>
      <c r="AM943" s="77"/>
      <c r="AN943" s="77"/>
      <c r="AO943" s="77"/>
      <c r="AP943" s="77"/>
      <c r="AQ943" s="77"/>
      <c r="AR943" s="77"/>
      <c r="AS943" s="77"/>
      <c r="AT943" s="77"/>
      <c r="AU943" s="77"/>
      <c r="AV943" s="83" t="str">
        <f>HYPERLINK("https://pbs.twimg.com/profile_images/1520205867458732032/dZz2ya0Q_normal.jpg")</f>
        <v>https://pbs.twimg.com/profile_images/1520205867458732032/dZz2ya0Q_normal.jpg</v>
      </c>
      <c r="AW943" s="80" t="s">
        <v>16869</v>
      </c>
      <c r="AX943" s="80" t="s">
        <v>16869</v>
      </c>
      <c r="AY943" s="80" t="s">
        <v>20255</v>
      </c>
      <c r="AZ943" s="80" t="s">
        <v>20380</v>
      </c>
      <c r="BA943" s="80" t="s">
        <v>16870</v>
      </c>
      <c r="BB943" s="80" t="s">
        <v>20380</v>
      </c>
      <c r="BC943" s="80" t="s">
        <v>16870</v>
      </c>
      <c r="BD943" s="77">
        <v>3151796591</v>
      </c>
      <c r="BE943" s="77"/>
      <c r="BF943" s="77"/>
      <c r="BG943" s="77"/>
      <c r="BH943" s="77"/>
      <c r="BI943" s="77"/>
    </row>
    <row r="944" spans="1:61" x14ac:dyDescent="0.25">
      <c r="A944" s="62" t="s">
        <v>573</v>
      </c>
      <c r="B944" s="62" t="s">
        <v>573</v>
      </c>
      <c r="C944" s="63"/>
      <c r="D944" s="64"/>
      <c r="E944" s="65"/>
      <c r="F944" s="66"/>
      <c r="G944" s="63"/>
      <c r="H944" s="67"/>
      <c r="I944" s="68"/>
      <c r="J944" s="68"/>
      <c r="K944" s="32"/>
      <c r="L944" s="75">
        <v>944</v>
      </c>
      <c r="M944" s="75"/>
      <c r="N944" s="70"/>
      <c r="O944" s="77" t="s">
        <v>179</v>
      </c>
      <c r="P944" s="79">
        <v>45099.541805555556</v>
      </c>
      <c r="Q944" s="77" t="s">
        <v>2908</v>
      </c>
      <c r="R944" s="77">
        <v>0</v>
      </c>
      <c r="S944" s="77">
        <v>1</v>
      </c>
      <c r="T944" s="77">
        <v>0</v>
      </c>
      <c r="U944" s="77">
        <v>1</v>
      </c>
      <c r="V944" s="77">
        <v>254</v>
      </c>
      <c r="W944" s="80" t="s">
        <v>6567</v>
      </c>
      <c r="X944" s="77"/>
      <c r="Y944" s="77"/>
      <c r="Z944" s="77"/>
      <c r="AA944" s="77" t="s">
        <v>9332</v>
      </c>
      <c r="AB944" s="77" t="s">
        <v>10539</v>
      </c>
      <c r="AC944" s="80" t="s">
        <v>10541</v>
      </c>
      <c r="AD944" s="77" t="s">
        <v>10617</v>
      </c>
      <c r="AE944" s="83" t="str">
        <f>HYPERLINK("https://twitter.com/alvero_oficial/status/1671865672228282369")</f>
        <v>https://twitter.com/alvero_oficial/status/1671865672228282369</v>
      </c>
      <c r="AF944" s="79">
        <v>45099.541805555556</v>
      </c>
      <c r="AG944" s="85">
        <v>45099</v>
      </c>
      <c r="AH944" s="80" t="s">
        <v>11472</v>
      </c>
      <c r="AI944" s="77" t="b">
        <v>0</v>
      </c>
      <c r="AJ944" s="77"/>
      <c r="AK944" s="77"/>
      <c r="AL944" s="77"/>
      <c r="AM944" s="77"/>
      <c r="AN944" s="77"/>
      <c r="AO944" s="77"/>
      <c r="AP944" s="77"/>
      <c r="AQ944" s="77" t="s">
        <v>14814</v>
      </c>
      <c r="AR944" s="77"/>
      <c r="AS944" s="77"/>
      <c r="AT944" s="77"/>
      <c r="AU944" s="77"/>
      <c r="AV944" s="83" t="str">
        <f>HYPERLINK("https://pbs.twimg.com/tweet_video_thumb/FzOo9oOWAAQ5_Gq.jpg")</f>
        <v>https://pbs.twimg.com/tweet_video_thumb/FzOo9oOWAAQ5_Gq.jpg</v>
      </c>
      <c r="AW944" s="80" t="s">
        <v>16870</v>
      </c>
      <c r="AX944" s="80" t="s">
        <v>16870</v>
      </c>
      <c r="AY944" s="77"/>
      <c r="AZ944" s="80" t="s">
        <v>20380</v>
      </c>
      <c r="BA944" s="80" t="s">
        <v>20380</v>
      </c>
      <c r="BB944" s="80" t="s">
        <v>20380</v>
      </c>
      <c r="BC944" s="80" t="s">
        <v>16870</v>
      </c>
      <c r="BD944" s="77">
        <v>3151796591</v>
      </c>
      <c r="BE944" s="77"/>
      <c r="BF944" s="77"/>
      <c r="BG944" s="77"/>
      <c r="BH944" s="77"/>
      <c r="BI944" s="77"/>
    </row>
    <row r="945" spans="1:61" x14ac:dyDescent="0.25">
      <c r="A945" s="62" t="s">
        <v>573</v>
      </c>
      <c r="B945" s="62" t="s">
        <v>1813</v>
      </c>
      <c r="C945" s="63"/>
      <c r="D945" s="64"/>
      <c r="E945" s="65"/>
      <c r="F945" s="66"/>
      <c r="G945" s="63"/>
      <c r="H945" s="67"/>
      <c r="I945" s="68"/>
      <c r="J945" s="68"/>
      <c r="K945" s="32"/>
      <c r="L945" s="75">
        <v>945</v>
      </c>
      <c r="M945" s="75"/>
      <c r="N945" s="70"/>
      <c r="O945" s="77" t="s">
        <v>2084</v>
      </c>
      <c r="P945" s="79">
        <v>45099.544074074074</v>
      </c>
      <c r="Q945" s="77" t="s">
        <v>2907</v>
      </c>
      <c r="R945" s="77">
        <v>0</v>
      </c>
      <c r="S945" s="77">
        <v>1</v>
      </c>
      <c r="T945" s="77">
        <v>0</v>
      </c>
      <c r="U945" s="77">
        <v>0</v>
      </c>
      <c r="V945" s="77">
        <v>237</v>
      </c>
      <c r="W945" s="80" t="s">
        <v>6566</v>
      </c>
      <c r="X945" s="77"/>
      <c r="Y945" s="77"/>
      <c r="Z945" s="77" t="s">
        <v>8942</v>
      </c>
      <c r="AA945" s="77"/>
      <c r="AB945" s="77"/>
      <c r="AC945" s="80" t="s">
        <v>10541</v>
      </c>
      <c r="AD945" s="77" t="s">
        <v>10619</v>
      </c>
      <c r="AE945" s="83" t="str">
        <f>HYPERLINK("https://twitter.com/alvero_oficial/status/1671866491841421312")</f>
        <v>https://twitter.com/alvero_oficial/status/1671866491841421312</v>
      </c>
      <c r="AF945" s="79">
        <v>45099.544074074074</v>
      </c>
      <c r="AG945" s="85">
        <v>45099</v>
      </c>
      <c r="AH945" s="80" t="s">
        <v>11471</v>
      </c>
      <c r="AI945" s="77"/>
      <c r="AJ945" s="77"/>
      <c r="AK945" s="77"/>
      <c r="AL945" s="77"/>
      <c r="AM945" s="77"/>
      <c r="AN945" s="77"/>
      <c r="AO945" s="77"/>
      <c r="AP945" s="77"/>
      <c r="AQ945" s="77"/>
      <c r="AR945" s="77"/>
      <c r="AS945" s="77"/>
      <c r="AT945" s="77"/>
      <c r="AU945" s="77"/>
      <c r="AV945" s="83" t="str">
        <f>HYPERLINK("https://pbs.twimg.com/profile_images/1520205867458732032/dZz2ya0Q_normal.jpg")</f>
        <v>https://pbs.twimg.com/profile_images/1520205867458732032/dZz2ya0Q_normal.jpg</v>
      </c>
      <c r="AW945" s="80" t="s">
        <v>16869</v>
      </c>
      <c r="AX945" s="80" t="s">
        <v>16869</v>
      </c>
      <c r="AY945" s="80" t="s">
        <v>20255</v>
      </c>
      <c r="AZ945" s="80" t="s">
        <v>20380</v>
      </c>
      <c r="BA945" s="80" t="s">
        <v>16870</v>
      </c>
      <c r="BB945" s="80" t="s">
        <v>20380</v>
      </c>
      <c r="BC945" s="80" t="s">
        <v>16870</v>
      </c>
      <c r="BD945" s="77">
        <v>3151796591</v>
      </c>
      <c r="BE945" s="77"/>
      <c r="BF945" s="77"/>
      <c r="BG945" s="77"/>
      <c r="BH945" s="77"/>
      <c r="BI945" s="77"/>
    </row>
    <row r="946" spans="1:61" x14ac:dyDescent="0.25">
      <c r="A946" s="62" t="s">
        <v>573</v>
      </c>
      <c r="B946" s="62" t="s">
        <v>1130</v>
      </c>
      <c r="C946" s="63"/>
      <c r="D946" s="64"/>
      <c r="E946" s="65"/>
      <c r="F946" s="66"/>
      <c r="G946" s="63"/>
      <c r="H946" s="67"/>
      <c r="I946" s="68"/>
      <c r="J946" s="68"/>
      <c r="K946" s="32"/>
      <c r="L946" s="75">
        <v>946</v>
      </c>
      <c r="M946" s="75"/>
      <c r="N946" s="70"/>
      <c r="O946" s="77" t="s">
        <v>2084</v>
      </c>
      <c r="P946" s="79">
        <v>45099.544074074074</v>
      </c>
      <c r="Q946" s="77" t="s">
        <v>2907</v>
      </c>
      <c r="R946" s="77">
        <v>0</v>
      </c>
      <c r="S946" s="77">
        <v>1</v>
      </c>
      <c r="T946" s="77">
        <v>0</v>
      </c>
      <c r="U946" s="77">
        <v>0</v>
      </c>
      <c r="V946" s="77">
        <v>237</v>
      </c>
      <c r="W946" s="80" t="s">
        <v>6566</v>
      </c>
      <c r="X946" s="77"/>
      <c r="Y946" s="77"/>
      <c r="Z946" s="77" t="s">
        <v>8942</v>
      </c>
      <c r="AA946" s="77"/>
      <c r="AB946" s="77"/>
      <c r="AC946" s="80" t="s">
        <v>10541</v>
      </c>
      <c r="AD946" s="77" t="s">
        <v>10619</v>
      </c>
      <c r="AE946" s="83" t="str">
        <f>HYPERLINK("https://twitter.com/alvero_oficial/status/1671866491841421312")</f>
        <v>https://twitter.com/alvero_oficial/status/1671866491841421312</v>
      </c>
      <c r="AF946" s="79">
        <v>45099.544074074074</v>
      </c>
      <c r="AG946" s="85">
        <v>45099</v>
      </c>
      <c r="AH946" s="80" t="s">
        <v>11471</v>
      </c>
      <c r="AI946" s="77"/>
      <c r="AJ946" s="77"/>
      <c r="AK946" s="77"/>
      <c r="AL946" s="77"/>
      <c r="AM946" s="77"/>
      <c r="AN946" s="77"/>
      <c r="AO946" s="77"/>
      <c r="AP946" s="77"/>
      <c r="AQ946" s="77"/>
      <c r="AR946" s="77"/>
      <c r="AS946" s="77"/>
      <c r="AT946" s="77"/>
      <c r="AU946" s="77"/>
      <c r="AV946" s="83" t="str">
        <f>HYPERLINK("https://pbs.twimg.com/profile_images/1520205867458732032/dZz2ya0Q_normal.jpg")</f>
        <v>https://pbs.twimg.com/profile_images/1520205867458732032/dZz2ya0Q_normal.jpg</v>
      </c>
      <c r="AW946" s="80" t="s">
        <v>16869</v>
      </c>
      <c r="AX946" s="80" t="s">
        <v>16869</v>
      </c>
      <c r="AY946" s="80" t="s">
        <v>20255</v>
      </c>
      <c r="AZ946" s="80" t="s">
        <v>20380</v>
      </c>
      <c r="BA946" s="80" t="s">
        <v>16870</v>
      </c>
      <c r="BB946" s="80" t="s">
        <v>20380</v>
      </c>
      <c r="BC946" s="80" t="s">
        <v>16870</v>
      </c>
      <c r="BD946" s="77">
        <v>3151796591</v>
      </c>
      <c r="BE946" s="77"/>
      <c r="BF946" s="77"/>
      <c r="BG946" s="77"/>
      <c r="BH946" s="77"/>
      <c r="BI946" s="77"/>
    </row>
    <row r="947" spans="1:61" x14ac:dyDescent="0.25">
      <c r="A947" s="62" t="s">
        <v>573</v>
      </c>
      <c r="B947" s="62" t="s">
        <v>1596</v>
      </c>
      <c r="C947" s="63"/>
      <c r="D947" s="64"/>
      <c r="E947" s="65"/>
      <c r="F947" s="66"/>
      <c r="G947" s="63"/>
      <c r="H947" s="67"/>
      <c r="I947" s="68"/>
      <c r="J947" s="68"/>
      <c r="K947" s="32"/>
      <c r="L947" s="75">
        <v>947</v>
      </c>
      <c r="M947" s="75"/>
      <c r="N947" s="70"/>
      <c r="O947" s="77" t="s">
        <v>2084</v>
      </c>
      <c r="P947" s="79">
        <v>45099.544074074074</v>
      </c>
      <c r="Q947" s="77" t="s">
        <v>2907</v>
      </c>
      <c r="R947" s="77">
        <v>0</v>
      </c>
      <c r="S947" s="77">
        <v>1</v>
      </c>
      <c r="T947" s="77">
        <v>0</v>
      </c>
      <c r="U947" s="77">
        <v>0</v>
      </c>
      <c r="V947" s="77">
        <v>237</v>
      </c>
      <c r="W947" s="80" t="s">
        <v>6566</v>
      </c>
      <c r="X947" s="77"/>
      <c r="Y947" s="77"/>
      <c r="Z947" s="77" t="s">
        <v>8942</v>
      </c>
      <c r="AA947" s="77"/>
      <c r="AB947" s="77"/>
      <c r="AC947" s="80" t="s">
        <v>10541</v>
      </c>
      <c r="AD947" s="77" t="s">
        <v>10619</v>
      </c>
      <c r="AE947" s="83" t="str">
        <f>HYPERLINK("https://twitter.com/alvero_oficial/status/1671866491841421312")</f>
        <v>https://twitter.com/alvero_oficial/status/1671866491841421312</v>
      </c>
      <c r="AF947" s="79">
        <v>45099.544074074074</v>
      </c>
      <c r="AG947" s="85">
        <v>45099</v>
      </c>
      <c r="AH947" s="80" t="s">
        <v>11471</v>
      </c>
      <c r="AI947" s="77"/>
      <c r="AJ947" s="77"/>
      <c r="AK947" s="77"/>
      <c r="AL947" s="77"/>
      <c r="AM947" s="77"/>
      <c r="AN947" s="77"/>
      <c r="AO947" s="77"/>
      <c r="AP947" s="77"/>
      <c r="AQ947" s="77"/>
      <c r="AR947" s="77"/>
      <c r="AS947" s="77"/>
      <c r="AT947" s="77"/>
      <c r="AU947" s="77"/>
      <c r="AV947" s="83" t="str">
        <f>HYPERLINK("https://pbs.twimg.com/profile_images/1520205867458732032/dZz2ya0Q_normal.jpg")</f>
        <v>https://pbs.twimg.com/profile_images/1520205867458732032/dZz2ya0Q_normal.jpg</v>
      </c>
      <c r="AW947" s="80" t="s">
        <v>16869</v>
      </c>
      <c r="AX947" s="80" t="s">
        <v>16869</v>
      </c>
      <c r="AY947" s="80" t="s">
        <v>20255</v>
      </c>
      <c r="AZ947" s="80" t="s">
        <v>20380</v>
      </c>
      <c r="BA947" s="80" t="s">
        <v>16870</v>
      </c>
      <c r="BB947" s="80" t="s">
        <v>20380</v>
      </c>
      <c r="BC947" s="80" t="s">
        <v>16870</v>
      </c>
      <c r="BD947" s="77">
        <v>3151796591</v>
      </c>
      <c r="BE947" s="77"/>
      <c r="BF947" s="77"/>
      <c r="BG947" s="77"/>
      <c r="BH947" s="77"/>
      <c r="BI947" s="77"/>
    </row>
    <row r="948" spans="1:61" x14ac:dyDescent="0.25">
      <c r="A948" s="62" t="s">
        <v>573</v>
      </c>
      <c r="B948" s="62" t="s">
        <v>1294</v>
      </c>
      <c r="C948" s="63"/>
      <c r="D948" s="64"/>
      <c r="E948" s="65"/>
      <c r="F948" s="66"/>
      <c r="G948" s="63"/>
      <c r="H948" s="67"/>
      <c r="I948" s="68"/>
      <c r="J948" s="68"/>
      <c r="K948" s="32"/>
      <c r="L948" s="75">
        <v>948</v>
      </c>
      <c r="M948" s="75"/>
      <c r="N948" s="70"/>
      <c r="O948" s="77" t="s">
        <v>2084</v>
      </c>
      <c r="P948" s="79">
        <v>45099.544074074074</v>
      </c>
      <c r="Q948" s="77" t="s">
        <v>2907</v>
      </c>
      <c r="R948" s="77">
        <v>0</v>
      </c>
      <c r="S948" s="77">
        <v>1</v>
      </c>
      <c r="T948" s="77">
        <v>0</v>
      </c>
      <c r="U948" s="77">
        <v>0</v>
      </c>
      <c r="V948" s="77">
        <v>237</v>
      </c>
      <c r="W948" s="80" t="s">
        <v>6566</v>
      </c>
      <c r="X948" s="77"/>
      <c r="Y948" s="77"/>
      <c r="Z948" s="77" t="s">
        <v>8942</v>
      </c>
      <c r="AA948" s="77"/>
      <c r="AB948" s="77"/>
      <c r="AC948" s="80" t="s">
        <v>10541</v>
      </c>
      <c r="AD948" s="77" t="s">
        <v>10619</v>
      </c>
      <c r="AE948" s="83" t="str">
        <f>HYPERLINK("https://twitter.com/alvero_oficial/status/1671866491841421312")</f>
        <v>https://twitter.com/alvero_oficial/status/1671866491841421312</v>
      </c>
      <c r="AF948" s="79">
        <v>45099.544074074074</v>
      </c>
      <c r="AG948" s="85">
        <v>45099</v>
      </c>
      <c r="AH948" s="80" t="s">
        <v>11471</v>
      </c>
      <c r="AI948" s="77"/>
      <c r="AJ948" s="77"/>
      <c r="AK948" s="77"/>
      <c r="AL948" s="77"/>
      <c r="AM948" s="77"/>
      <c r="AN948" s="77"/>
      <c r="AO948" s="77"/>
      <c r="AP948" s="77"/>
      <c r="AQ948" s="77"/>
      <c r="AR948" s="77"/>
      <c r="AS948" s="77"/>
      <c r="AT948" s="77"/>
      <c r="AU948" s="77"/>
      <c r="AV948" s="83" t="str">
        <f>HYPERLINK("https://pbs.twimg.com/profile_images/1520205867458732032/dZz2ya0Q_normal.jpg")</f>
        <v>https://pbs.twimg.com/profile_images/1520205867458732032/dZz2ya0Q_normal.jpg</v>
      </c>
      <c r="AW948" s="80" t="s">
        <v>16869</v>
      </c>
      <c r="AX948" s="80" t="s">
        <v>16869</v>
      </c>
      <c r="AY948" s="80" t="s">
        <v>20255</v>
      </c>
      <c r="AZ948" s="80" t="s">
        <v>20380</v>
      </c>
      <c r="BA948" s="80" t="s">
        <v>16870</v>
      </c>
      <c r="BB948" s="80" t="s">
        <v>20380</v>
      </c>
      <c r="BC948" s="80" t="s">
        <v>16870</v>
      </c>
      <c r="BD948" s="77">
        <v>3151796591</v>
      </c>
      <c r="BE948" s="77"/>
      <c r="BF948" s="77"/>
      <c r="BG948" s="77"/>
      <c r="BH948" s="77"/>
      <c r="BI948" s="77"/>
    </row>
    <row r="949" spans="1:61" x14ac:dyDescent="0.25">
      <c r="A949" s="62" t="s">
        <v>573</v>
      </c>
      <c r="B949" s="62" t="s">
        <v>573</v>
      </c>
      <c r="C949" s="63"/>
      <c r="D949" s="64"/>
      <c r="E949" s="65"/>
      <c r="F949" s="66"/>
      <c r="G949" s="63"/>
      <c r="H949" s="67"/>
      <c r="I949" s="68"/>
      <c r="J949" s="68"/>
      <c r="K949" s="32"/>
      <c r="L949" s="75">
        <v>949</v>
      </c>
      <c r="M949" s="75"/>
      <c r="N949" s="70"/>
      <c r="O949" s="77" t="s">
        <v>2082</v>
      </c>
      <c r="P949" s="79">
        <v>45099.544074074074</v>
      </c>
      <c r="Q949" s="77" t="s">
        <v>2907</v>
      </c>
      <c r="R949" s="77">
        <v>0</v>
      </c>
      <c r="S949" s="77">
        <v>1</v>
      </c>
      <c r="T949" s="77">
        <v>0</v>
      </c>
      <c r="U949" s="77">
        <v>0</v>
      </c>
      <c r="V949" s="77">
        <v>237</v>
      </c>
      <c r="W949" s="80" t="s">
        <v>6566</v>
      </c>
      <c r="X949" s="77"/>
      <c r="Y949" s="77"/>
      <c r="Z949" s="77" t="s">
        <v>8942</v>
      </c>
      <c r="AA949" s="77"/>
      <c r="AB949" s="77"/>
      <c r="AC949" s="80" t="s">
        <v>10541</v>
      </c>
      <c r="AD949" s="77" t="s">
        <v>10619</v>
      </c>
      <c r="AE949" s="83" t="str">
        <f>HYPERLINK("https://twitter.com/alvero_oficial/status/1671866491841421312")</f>
        <v>https://twitter.com/alvero_oficial/status/1671866491841421312</v>
      </c>
      <c r="AF949" s="79">
        <v>45099.544074074074</v>
      </c>
      <c r="AG949" s="85">
        <v>45099</v>
      </c>
      <c r="AH949" s="80" t="s">
        <v>11471</v>
      </c>
      <c r="AI949" s="77"/>
      <c r="AJ949" s="77"/>
      <c r="AK949" s="77"/>
      <c r="AL949" s="77"/>
      <c r="AM949" s="77"/>
      <c r="AN949" s="77"/>
      <c r="AO949" s="77"/>
      <c r="AP949" s="77"/>
      <c r="AQ949" s="77"/>
      <c r="AR949" s="77"/>
      <c r="AS949" s="77"/>
      <c r="AT949" s="77"/>
      <c r="AU949" s="77"/>
      <c r="AV949" s="83" t="str">
        <f>HYPERLINK("https://pbs.twimg.com/profile_images/1520205867458732032/dZz2ya0Q_normal.jpg")</f>
        <v>https://pbs.twimg.com/profile_images/1520205867458732032/dZz2ya0Q_normal.jpg</v>
      </c>
      <c r="AW949" s="80" t="s">
        <v>16869</v>
      </c>
      <c r="AX949" s="80" t="s">
        <v>16869</v>
      </c>
      <c r="AY949" s="80" t="s">
        <v>20255</v>
      </c>
      <c r="AZ949" s="80" t="s">
        <v>20380</v>
      </c>
      <c r="BA949" s="80" t="s">
        <v>16870</v>
      </c>
      <c r="BB949" s="80" t="s">
        <v>20380</v>
      </c>
      <c r="BC949" s="80" t="s">
        <v>16870</v>
      </c>
      <c r="BD949" s="77">
        <v>3151796591</v>
      </c>
      <c r="BE949" s="77"/>
      <c r="BF949" s="77"/>
      <c r="BG949" s="77"/>
      <c r="BH949" s="77"/>
      <c r="BI949" s="77"/>
    </row>
    <row r="950" spans="1:61" x14ac:dyDescent="0.25">
      <c r="A950" s="62" t="s">
        <v>574</v>
      </c>
      <c r="B950" s="62" t="s">
        <v>574</v>
      </c>
      <c r="C950" s="63"/>
      <c r="D950" s="64"/>
      <c r="E950" s="65"/>
      <c r="F950" s="66"/>
      <c r="G950" s="63"/>
      <c r="H950" s="67"/>
      <c r="I950" s="68"/>
      <c r="J950" s="68"/>
      <c r="K950" s="32"/>
      <c r="L950" s="75">
        <v>950</v>
      </c>
      <c r="M950" s="75"/>
      <c r="N950" s="70"/>
      <c r="O950" s="77" t="s">
        <v>179</v>
      </c>
      <c r="P950" s="79">
        <v>45050.527511574073</v>
      </c>
      <c r="Q950" s="77" t="s">
        <v>2909</v>
      </c>
      <c r="R950" s="77">
        <v>0</v>
      </c>
      <c r="S950" s="77">
        <v>1</v>
      </c>
      <c r="T950" s="77">
        <v>0</v>
      </c>
      <c r="U950" s="77">
        <v>0</v>
      </c>
      <c r="V950" s="77">
        <v>31</v>
      </c>
      <c r="W950" s="80" t="s">
        <v>6568</v>
      </c>
      <c r="X950" s="83" t="str">
        <f>HYPERLINK("https://diario33.com.ar/el-dolar-consolido-la-baja-pero-aumenta-la-tension-por-la-caida-de-reservas-del-banco-central/")</f>
        <v>https://diario33.com.ar/el-dolar-consolido-la-baja-pero-aumenta-la-tension-por-la-caida-de-reservas-del-banco-central/</v>
      </c>
      <c r="Y950" s="77" t="s">
        <v>8624</v>
      </c>
      <c r="Z950" s="77"/>
      <c r="AA950" s="77" t="s">
        <v>9333</v>
      </c>
      <c r="AB950" s="77" t="s">
        <v>10535</v>
      </c>
      <c r="AC950" s="80" t="s">
        <v>10572</v>
      </c>
      <c r="AD950" s="77" t="s">
        <v>10620</v>
      </c>
      <c r="AE950" s="83" t="str">
        <f>HYPERLINK("https://twitter.com/radiotrestres/status/1654103485200072705")</f>
        <v>https://twitter.com/radiotrestres/status/1654103485200072705</v>
      </c>
      <c r="AF950" s="79">
        <v>45050.527511574073</v>
      </c>
      <c r="AG950" s="85">
        <v>45050</v>
      </c>
      <c r="AH950" s="80" t="s">
        <v>11473</v>
      </c>
      <c r="AI950" s="77" t="b">
        <v>0</v>
      </c>
      <c r="AJ950" s="77"/>
      <c r="AK950" s="77"/>
      <c r="AL950" s="77"/>
      <c r="AM950" s="77"/>
      <c r="AN950" s="77"/>
      <c r="AO950" s="77"/>
      <c r="AP950" s="77"/>
      <c r="AQ950" s="77" t="s">
        <v>14815</v>
      </c>
      <c r="AR950" s="77"/>
      <c r="AS950" s="77"/>
      <c r="AT950" s="77"/>
      <c r="AU950" s="77"/>
      <c r="AV950" s="83" t="str">
        <f>HYPERLINK("https://pbs.twimg.com/media/FvSOWo5XsAA_G6b.jpg")</f>
        <v>https://pbs.twimg.com/media/FvSOWo5XsAA_G6b.jpg</v>
      </c>
      <c r="AW950" s="80" t="s">
        <v>16871</v>
      </c>
      <c r="AX950" s="80" t="s">
        <v>16871</v>
      </c>
      <c r="AY950" s="77"/>
      <c r="AZ950" s="80" t="s">
        <v>20380</v>
      </c>
      <c r="BA950" s="80" t="s">
        <v>20380</v>
      </c>
      <c r="BB950" s="80" t="s">
        <v>20380</v>
      </c>
      <c r="BC950" s="80" t="s">
        <v>16871</v>
      </c>
      <c r="BD950" s="77">
        <v>310861879</v>
      </c>
      <c r="BE950" s="77"/>
      <c r="BF950" s="77"/>
      <c r="BG950" s="77"/>
      <c r="BH950" s="77"/>
      <c r="BI950" s="77"/>
    </row>
    <row r="951" spans="1:61" x14ac:dyDescent="0.25">
      <c r="A951" s="62" t="s">
        <v>575</v>
      </c>
      <c r="B951" s="62" t="s">
        <v>575</v>
      </c>
      <c r="C951" s="63"/>
      <c r="D951" s="64"/>
      <c r="E951" s="65"/>
      <c r="F951" s="66"/>
      <c r="G951" s="63"/>
      <c r="H951" s="67"/>
      <c r="I951" s="68"/>
      <c r="J951" s="68"/>
      <c r="K951" s="32"/>
      <c r="L951" s="75">
        <v>951</v>
      </c>
      <c r="M951" s="75"/>
      <c r="N951" s="70"/>
      <c r="O951" s="77" t="s">
        <v>179</v>
      </c>
      <c r="P951" s="79">
        <v>45076.026990740742</v>
      </c>
      <c r="Q951" s="77" t="s">
        <v>2910</v>
      </c>
      <c r="R951" s="77">
        <v>0</v>
      </c>
      <c r="S951" s="77">
        <v>0</v>
      </c>
      <c r="T951" s="77">
        <v>0</v>
      </c>
      <c r="U951" s="77">
        <v>0</v>
      </c>
      <c r="V951" s="77">
        <v>19</v>
      </c>
      <c r="W951" s="80" t="s">
        <v>6569</v>
      </c>
      <c r="X951" s="83" t="str">
        <f>HYPERLINK("https://ift.tt/pXDFfb4")</f>
        <v>https://ift.tt/pXDFfb4</v>
      </c>
      <c r="Y951" s="77" t="s">
        <v>8696</v>
      </c>
      <c r="Z951" s="77"/>
      <c r="AA951" s="77"/>
      <c r="AB951" s="77"/>
      <c r="AC951" s="80" t="s">
        <v>10573</v>
      </c>
      <c r="AD951" s="77" t="s">
        <v>10622</v>
      </c>
      <c r="AE951" s="83" t="str">
        <f>HYPERLINK("https://twitter.com/trading_alerts_/status/1663344186974666752")</f>
        <v>https://twitter.com/trading_alerts_/status/1663344186974666752</v>
      </c>
      <c r="AF951" s="79">
        <v>45076.026990740742</v>
      </c>
      <c r="AG951" s="85">
        <v>45076</v>
      </c>
      <c r="AH951" s="80" t="s">
        <v>11474</v>
      </c>
      <c r="AI951" s="77" t="b">
        <v>0</v>
      </c>
      <c r="AJ951" s="77"/>
      <c r="AK951" s="77"/>
      <c r="AL951" s="77"/>
      <c r="AM951" s="77"/>
      <c r="AN951" s="77"/>
      <c r="AO951" s="77"/>
      <c r="AP951" s="77"/>
      <c r="AQ951" s="77"/>
      <c r="AR951" s="77"/>
      <c r="AS951" s="77"/>
      <c r="AT951" s="77"/>
      <c r="AU951" s="77"/>
      <c r="AV951" s="83" t="str">
        <f>HYPERLINK("https://pbs.twimg.com/profile_images/1658820549949128704/kw4-iEAM_normal.jpg")</f>
        <v>https://pbs.twimg.com/profile_images/1658820549949128704/kw4-iEAM_normal.jpg</v>
      </c>
      <c r="AW951" s="80" t="s">
        <v>16872</v>
      </c>
      <c r="AX951" s="80" t="s">
        <v>16872</v>
      </c>
      <c r="AY951" s="77"/>
      <c r="AZ951" s="80" t="s">
        <v>20380</v>
      </c>
      <c r="BA951" s="80" t="s">
        <v>20380</v>
      </c>
      <c r="BB951" s="80" t="s">
        <v>20380</v>
      </c>
      <c r="BC951" s="80" t="s">
        <v>16872</v>
      </c>
      <c r="BD951" s="80" t="s">
        <v>20663</v>
      </c>
      <c r="BE951" s="77"/>
      <c r="BF951" s="77"/>
      <c r="BG951" s="77"/>
      <c r="BH951" s="77"/>
      <c r="BI951" s="77"/>
    </row>
    <row r="952" spans="1:61" x14ac:dyDescent="0.25">
      <c r="A952" s="62" t="s">
        <v>575</v>
      </c>
      <c r="B952" s="62" t="s">
        <v>575</v>
      </c>
      <c r="C952" s="63"/>
      <c r="D952" s="64"/>
      <c r="E952" s="65"/>
      <c r="F952" s="66"/>
      <c r="G952" s="63"/>
      <c r="H952" s="67"/>
      <c r="I952" s="68"/>
      <c r="J952" s="68"/>
      <c r="K952" s="32"/>
      <c r="L952" s="75">
        <v>952</v>
      </c>
      <c r="M952" s="75"/>
      <c r="N952" s="70"/>
      <c r="O952" s="77" t="s">
        <v>179</v>
      </c>
      <c r="P952" s="79">
        <v>45175.89334490741</v>
      </c>
      <c r="Q952" s="77" t="s">
        <v>2911</v>
      </c>
      <c r="R952" s="77">
        <v>0</v>
      </c>
      <c r="S952" s="77">
        <v>0</v>
      </c>
      <c r="T952" s="77">
        <v>1</v>
      </c>
      <c r="U952" s="77">
        <v>0</v>
      </c>
      <c r="V952" s="77">
        <v>15</v>
      </c>
      <c r="W952" s="80" t="s">
        <v>6570</v>
      </c>
      <c r="X952" s="83" t="str">
        <f>HYPERLINK("https://ift.tt/tQFIbMi")</f>
        <v>https://ift.tt/tQFIbMi</v>
      </c>
      <c r="Y952" s="77" t="s">
        <v>8696</v>
      </c>
      <c r="Z952" s="77"/>
      <c r="AA952" s="77"/>
      <c r="AB952" s="77"/>
      <c r="AC952" s="80" t="s">
        <v>10573</v>
      </c>
      <c r="AD952" s="77" t="s">
        <v>10622</v>
      </c>
      <c r="AE952" s="83" t="str">
        <f>HYPERLINK("https://twitter.com/trading_alerts_/status/1699534540954333690")</f>
        <v>https://twitter.com/trading_alerts_/status/1699534540954333690</v>
      </c>
      <c r="AF952" s="79">
        <v>45175.89334490741</v>
      </c>
      <c r="AG952" s="85">
        <v>45175</v>
      </c>
      <c r="AH952" s="80" t="s">
        <v>11475</v>
      </c>
      <c r="AI952" s="77" t="b">
        <v>0</v>
      </c>
      <c r="AJ952" s="77"/>
      <c r="AK952" s="77"/>
      <c r="AL952" s="77"/>
      <c r="AM952" s="77"/>
      <c r="AN952" s="77"/>
      <c r="AO952" s="77"/>
      <c r="AP952" s="77"/>
      <c r="AQ952" s="77"/>
      <c r="AR952" s="77"/>
      <c r="AS952" s="77"/>
      <c r="AT952" s="77"/>
      <c r="AU952" s="77"/>
      <c r="AV952" s="83" t="str">
        <f>HYPERLINK("https://pbs.twimg.com/profile_images/1658820549949128704/kw4-iEAM_normal.jpg")</f>
        <v>https://pbs.twimg.com/profile_images/1658820549949128704/kw4-iEAM_normal.jpg</v>
      </c>
      <c r="AW952" s="80" t="s">
        <v>16873</v>
      </c>
      <c r="AX952" s="80" t="s">
        <v>16873</v>
      </c>
      <c r="AY952" s="77"/>
      <c r="AZ952" s="80" t="s">
        <v>20380</v>
      </c>
      <c r="BA952" s="80" t="s">
        <v>20380</v>
      </c>
      <c r="BB952" s="80" t="s">
        <v>20380</v>
      </c>
      <c r="BC952" s="80" t="s">
        <v>16873</v>
      </c>
      <c r="BD952" s="80" t="s">
        <v>20663</v>
      </c>
      <c r="BE952" s="77"/>
      <c r="BF952" s="77"/>
      <c r="BG952" s="77"/>
      <c r="BH952" s="77"/>
      <c r="BI952" s="77"/>
    </row>
    <row r="953" spans="1:61" x14ac:dyDescent="0.25">
      <c r="A953" s="62" t="s">
        <v>576</v>
      </c>
      <c r="B953" s="62" t="s">
        <v>576</v>
      </c>
      <c r="C953" s="63"/>
      <c r="D953" s="64"/>
      <c r="E953" s="65"/>
      <c r="F953" s="66"/>
      <c r="G953" s="63"/>
      <c r="H953" s="67"/>
      <c r="I953" s="68"/>
      <c r="J953" s="68"/>
      <c r="K953" s="32"/>
      <c r="L953" s="75">
        <v>953</v>
      </c>
      <c r="M953" s="75"/>
      <c r="N953" s="70"/>
      <c r="O953" s="77" t="s">
        <v>179</v>
      </c>
      <c r="P953" s="79">
        <v>45133.687511574077</v>
      </c>
      <c r="Q953" s="77" t="s">
        <v>2912</v>
      </c>
      <c r="R953" s="77">
        <v>1</v>
      </c>
      <c r="S953" s="77">
        <v>2</v>
      </c>
      <c r="T953" s="77">
        <v>0</v>
      </c>
      <c r="U953" s="77">
        <v>0</v>
      </c>
      <c r="V953" s="77">
        <v>746</v>
      </c>
      <c r="W953" s="80" t="s">
        <v>6571</v>
      </c>
      <c r="X953" s="77"/>
      <c r="Y953" s="77"/>
      <c r="Z953" s="77"/>
      <c r="AA953" s="77" t="s">
        <v>9334</v>
      </c>
      <c r="AB953" s="77" t="s">
        <v>10534</v>
      </c>
      <c r="AC953" s="80" t="s">
        <v>10554</v>
      </c>
      <c r="AD953" s="77" t="s">
        <v>10617</v>
      </c>
      <c r="AE953" s="83" t="str">
        <f>HYPERLINK("https://twitter.com/jovempanentrete/status/1684239659008655362")</f>
        <v>https://twitter.com/jovempanentrete/status/1684239659008655362</v>
      </c>
      <c r="AF953" s="79">
        <v>45133.687511574077</v>
      </c>
      <c r="AG953" s="85">
        <v>45133</v>
      </c>
      <c r="AH953" s="80" t="s">
        <v>11476</v>
      </c>
      <c r="AI953" s="77" t="b">
        <v>0</v>
      </c>
      <c r="AJ953" s="77"/>
      <c r="AK953" s="77"/>
      <c r="AL953" s="77"/>
      <c r="AM953" s="77"/>
      <c r="AN953" s="77"/>
      <c r="AO953" s="77"/>
      <c r="AP953" s="77"/>
      <c r="AQ953" s="77" t="s">
        <v>14816</v>
      </c>
      <c r="AR953" s="77">
        <v>270080</v>
      </c>
      <c r="AS953" s="77"/>
      <c r="AT953" s="77"/>
      <c r="AU953" s="77"/>
      <c r="AV953" s="83" t="str">
        <f>HYPERLINK("https://pbs.twimg.com/amplify_video_thumb/1684215295236341768/img/gqers9Szoy1S58jr.jpg")</f>
        <v>https://pbs.twimg.com/amplify_video_thumb/1684215295236341768/img/gqers9Szoy1S58jr.jpg</v>
      </c>
      <c r="AW953" s="80" t="s">
        <v>16874</v>
      </c>
      <c r="AX953" s="80" t="s">
        <v>16874</v>
      </c>
      <c r="AY953" s="77"/>
      <c r="AZ953" s="80" t="s">
        <v>20380</v>
      </c>
      <c r="BA953" s="80" t="s">
        <v>20380</v>
      </c>
      <c r="BB953" s="80" t="s">
        <v>20380</v>
      </c>
      <c r="BC953" s="80" t="s">
        <v>16874</v>
      </c>
      <c r="BD953" s="77">
        <v>27900594</v>
      </c>
      <c r="BE953" s="77"/>
      <c r="BF953" s="77"/>
      <c r="BG953" s="77"/>
      <c r="BH953" s="77"/>
      <c r="BI953" s="77"/>
    </row>
    <row r="954" spans="1:61" x14ac:dyDescent="0.25">
      <c r="A954" s="62" t="s">
        <v>577</v>
      </c>
      <c r="B954" s="62" t="s">
        <v>577</v>
      </c>
      <c r="C954" s="63"/>
      <c r="D954" s="64"/>
      <c r="E954" s="65"/>
      <c r="F954" s="66"/>
      <c r="G954" s="63"/>
      <c r="H954" s="67"/>
      <c r="I954" s="68"/>
      <c r="J954" s="68"/>
      <c r="K954" s="32"/>
      <c r="L954" s="75">
        <v>954</v>
      </c>
      <c r="M954" s="75"/>
      <c r="N954" s="70"/>
      <c r="O954" s="77" t="s">
        <v>179</v>
      </c>
      <c r="P954" s="79">
        <v>45071.550428240742</v>
      </c>
      <c r="Q954" s="77" t="s">
        <v>2913</v>
      </c>
      <c r="R954" s="77">
        <v>0</v>
      </c>
      <c r="S954" s="77">
        <v>0</v>
      </c>
      <c r="T954" s="77">
        <v>0</v>
      </c>
      <c r="U954" s="77">
        <v>0</v>
      </c>
      <c r="V954" s="77">
        <v>30</v>
      </c>
      <c r="W954" s="80" t="s">
        <v>6572</v>
      </c>
      <c r="X954" s="77"/>
      <c r="Y954" s="77"/>
      <c r="Z954" s="77"/>
      <c r="AA954" s="77"/>
      <c r="AB954" s="77"/>
      <c r="AC954" s="80" t="s">
        <v>10540</v>
      </c>
      <c r="AD954" s="77" t="s">
        <v>10620</v>
      </c>
      <c r="AE954" s="83" t="str">
        <f>HYPERLINK("https://twitter.com/copuchento5/status/1661721935837888512")</f>
        <v>https://twitter.com/copuchento5/status/1661721935837888512</v>
      </c>
      <c r="AF954" s="79">
        <v>45071.550428240742</v>
      </c>
      <c r="AG954" s="85">
        <v>45071</v>
      </c>
      <c r="AH954" s="80" t="s">
        <v>11477</v>
      </c>
      <c r="AI954" s="77"/>
      <c r="AJ954" s="77"/>
      <c r="AK954" s="77"/>
      <c r="AL954" s="77"/>
      <c r="AM954" s="77"/>
      <c r="AN954" s="77"/>
      <c r="AO954" s="77"/>
      <c r="AP954" s="77"/>
      <c r="AQ954" s="77"/>
      <c r="AR954" s="77"/>
      <c r="AS954" s="77"/>
      <c r="AT954" s="77"/>
      <c r="AU954" s="77"/>
      <c r="AV954" s="83" t="str">
        <f>HYPERLINK("https://pbs.twimg.com/profile_images/1418686401395269636/aYOrY29y_normal.jpg")</f>
        <v>https://pbs.twimg.com/profile_images/1418686401395269636/aYOrY29y_normal.jpg</v>
      </c>
      <c r="AW954" s="80" t="s">
        <v>16875</v>
      </c>
      <c r="AX954" s="80" t="s">
        <v>16875</v>
      </c>
      <c r="AY954" s="77"/>
      <c r="AZ954" s="80" t="s">
        <v>20380</v>
      </c>
      <c r="BA954" s="80" t="s">
        <v>20380</v>
      </c>
      <c r="BB954" s="80" t="s">
        <v>20380</v>
      </c>
      <c r="BC954" s="80" t="s">
        <v>16875</v>
      </c>
      <c r="BD954" s="80" t="s">
        <v>20664</v>
      </c>
      <c r="BE954" s="77"/>
      <c r="BF954" s="77"/>
      <c r="BG954" s="77"/>
      <c r="BH954" s="77"/>
      <c r="BI954" s="77"/>
    </row>
    <row r="955" spans="1:61" x14ac:dyDescent="0.25">
      <c r="A955" s="62" t="s">
        <v>578</v>
      </c>
      <c r="B955" s="62" t="s">
        <v>578</v>
      </c>
      <c r="C955" s="63"/>
      <c r="D955" s="64"/>
      <c r="E955" s="65"/>
      <c r="F955" s="66"/>
      <c r="G955" s="63"/>
      <c r="H955" s="67"/>
      <c r="I955" s="68"/>
      <c r="J955" s="68"/>
      <c r="K955" s="32"/>
      <c r="L955" s="75">
        <v>955</v>
      </c>
      <c r="M955" s="75"/>
      <c r="N955" s="70"/>
      <c r="O955" s="77" t="s">
        <v>179</v>
      </c>
      <c r="P955" s="79">
        <v>45050.685590277775</v>
      </c>
      <c r="Q955" s="77" t="s">
        <v>2914</v>
      </c>
      <c r="R955" s="77">
        <v>0</v>
      </c>
      <c r="S955" s="77">
        <v>0</v>
      </c>
      <c r="T955" s="77">
        <v>0</v>
      </c>
      <c r="U955" s="77">
        <v>0</v>
      </c>
      <c r="V955" s="77">
        <v>3</v>
      </c>
      <c r="W955" s="80" t="s">
        <v>6573</v>
      </c>
      <c r="X955" s="77"/>
      <c r="Y955" s="77"/>
      <c r="Z955" s="77"/>
      <c r="AA955" s="77" t="s">
        <v>9335</v>
      </c>
      <c r="AB955" s="77" t="s">
        <v>10535</v>
      </c>
      <c r="AC955" s="80" t="s">
        <v>10541</v>
      </c>
      <c r="AD955" s="77" t="s">
        <v>10617</v>
      </c>
      <c r="AE955" s="83" t="str">
        <f>HYPERLINK("https://twitter.com/starcapitalofc/status/1654160773386469382")</f>
        <v>https://twitter.com/starcapitalofc/status/1654160773386469382</v>
      </c>
      <c r="AF955" s="79">
        <v>45050.685590277775</v>
      </c>
      <c r="AG955" s="85">
        <v>45050</v>
      </c>
      <c r="AH955" s="80" t="s">
        <v>11478</v>
      </c>
      <c r="AI955" s="77" t="b">
        <v>0</v>
      </c>
      <c r="AJ955" s="77"/>
      <c r="AK955" s="77"/>
      <c r="AL955" s="77"/>
      <c r="AM955" s="77"/>
      <c r="AN955" s="77"/>
      <c r="AO955" s="77"/>
      <c r="AP955" s="77"/>
      <c r="AQ955" s="77" t="s">
        <v>14817</v>
      </c>
      <c r="AR955" s="77"/>
      <c r="AS955" s="77"/>
      <c r="AT955" s="77"/>
      <c r="AU955" s="77"/>
      <c r="AV955" s="83" t="str">
        <f>HYPERLINK("https://pbs.twimg.com/media/FvTBvTOXoAIqLqs.jpg")</f>
        <v>https://pbs.twimg.com/media/FvTBvTOXoAIqLqs.jpg</v>
      </c>
      <c r="AW955" s="80" t="s">
        <v>16876</v>
      </c>
      <c r="AX955" s="80" t="s">
        <v>16876</v>
      </c>
      <c r="AY955" s="77"/>
      <c r="AZ955" s="80" t="s">
        <v>20380</v>
      </c>
      <c r="BA955" s="80" t="s">
        <v>20380</v>
      </c>
      <c r="BB955" s="80" t="s">
        <v>20380</v>
      </c>
      <c r="BC955" s="80" t="s">
        <v>16876</v>
      </c>
      <c r="BD955" s="80" t="s">
        <v>20665</v>
      </c>
      <c r="BE955" s="77"/>
      <c r="BF955" s="77"/>
      <c r="BG955" s="77"/>
      <c r="BH955" s="77"/>
      <c r="BI955" s="77"/>
    </row>
    <row r="956" spans="1:61" x14ac:dyDescent="0.25">
      <c r="A956" s="62" t="s">
        <v>578</v>
      </c>
      <c r="B956" s="62" t="s">
        <v>578</v>
      </c>
      <c r="C956" s="63"/>
      <c r="D956" s="64"/>
      <c r="E956" s="65"/>
      <c r="F956" s="66"/>
      <c r="G956" s="63"/>
      <c r="H956" s="67"/>
      <c r="I956" s="68"/>
      <c r="J956" s="68"/>
      <c r="K956" s="32"/>
      <c r="L956" s="75">
        <v>956</v>
      </c>
      <c r="M956" s="75"/>
      <c r="N956" s="70"/>
      <c r="O956" s="77" t="s">
        <v>179</v>
      </c>
      <c r="P956" s="79">
        <v>45089.759166666663</v>
      </c>
      <c r="Q956" s="77" t="s">
        <v>2915</v>
      </c>
      <c r="R956" s="77">
        <v>0</v>
      </c>
      <c r="S956" s="77">
        <v>0</v>
      </c>
      <c r="T956" s="77">
        <v>0</v>
      </c>
      <c r="U956" s="77">
        <v>0</v>
      </c>
      <c r="V956" s="77">
        <v>14</v>
      </c>
      <c r="W956" s="80" t="s">
        <v>6574</v>
      </c>
      <c r="X956" s="77"/>
      <c r="Y956" s="77"/>
      <c r="Z956" s="77"/>
      <c r="AA956" s="77" t="s">
        <v>9336</v>
      </c>
      <c r="AB956" s="77" t="s">
        <v>10535</v>
      </c>
      <c r="AC956" s="80" t="s">
        <v>10541</v>
      </c>
      <c r="AD956" s="77" t="s">
        <v>10617</v>
      </c>
      <c r="AE956" s="83" t="str">
        <f>HYPERLINK("https://twitter.com/starcapitalofc/status/1668320562714640394")</f>
        <v>https://twitter.com/starcapitalofc/status/1668320562714640394</v>
      </c>
      <c r="AF956" s="79">
        <v>45089.759166666663</v>
      </c>
      <c r="AG956" s="85">
        <v>45089</v>
      </c>
      <c r="AH956" s="80" t="s">
        <v>11479</v>
      </c>
      <c r="AI956" s="77" t="b">
        <v>0</v>
      </c>
      <c r="AJ956" s="77"/>
      <c r="AK956" s="77"/>
      <c r="AL956" s="77"/>
      <c r="AM956" s="77"/>
      <c r="AN956" s="77"/>
      <c r="AO956" s="77"/>
      <c r="AP956" s="77"/>
      <c r="AQ956" s="77" t="s">
        <v>14818</v>
      </c>
      <c r="AR956" s="77"/>
      <c r="AS956" s="77"/>
      <c r="AT956" s="77"/>
      <c r="AU956" s="77"/>
      <c r="AV956" s="83" t="str">
        <f>HYPERLINK("https://pbs.twimg.com/media/FycQe6BWAAk0xAl.jpg")</f>
        <v>https://pbs.twimg.com/media/FycQe6BWAAk0xAl.jpg</v>
      </c>
      <c r="AW956" s="80" t="s">
        <v>16877</v>
      </c>
      <c r="AX956" s="80" t="s">
        <v>16877</v>
      </c>
      <c r="AY956" s="77"/>
      <c r="AZ956" s="80" t="s">
        <v>20380</v>
      </c>
      <c r="BA956" s="80" t="s">
        <v>20380</v>
      </c>
      <c r="BB956" s="80" t="s">
        <v>20380</v>
      </c>
      <c r="BC956" s="80" t="s">
        <v>16877</v>
      </c>
      <c r="BD956" s="80" t="s">
        <v>20665</v>
      </c>
      <c r="BE956" s="77"/>
      <c r="BF956" s="77"/>
      <c r="BG956" s="77"/>
      <c r="BH956" s="77"/>
      <c r="BI956" s="77"/>
    </row>
    <row r="957" spans="1:61" x14ac:dyDescent="0.25">
      <c r="A957" s="62" t="s">
        <v>578</v>
      </c>
      <c r="B957" s="62" t="s">
        <v>578</v>
      </c>
      <c r="C957" s="63"/>
      <c r="D957" s="64"/>
      <c r="E957" s="65"/>
      <c r="F957" s="66"/>
      <c r="G957" s="63"/>
      <c r="H957" s="67"/>
      <c r="I957" s="68"/>
      <c r="J957" s="68"/>
      <c r="K957" s="32"/>
      <c r="L957" s="75">
        <v>957</v>
      </c>
      <c r="M957" s="75"/>
      <c r="N957" s="70"/>
      <c r="O957" s="77" t="s">
        <v>179</v>
      </c>
      <c r="P957" s="79">
        <v>45099.817199074074</v>
      </c>
      <c r="Q957" s="77" t="s">
        <v>2916</v>
      </c>
      <c r="R957" s="77">
        <v>0</v>
      </c>
      <c r="S957" s="77">
        <v>0</v>
      </c>
      <c r="T957" s="77">
        <v>0</v>
      </c>
      <c r="U957" s="77">
        <v>0</v>
      </c>
      <c r="V957" s="77">
        <v>28</v>
      </c>
      <c r="W957" s="80" t="s">
        <v>6575</v>
      </c>
      <c r="X957" s="77"/>
      <c r="Y957" s="77"/>
      <c r="Z957" s="77"/>
      <c r="AA957" s="77" t="s">
        <v>9337</v>
      </c>
      <c r="AB957" s="77" t="s">
        <v>10535</v>
      </c>
      <c r="AC957" s="80" t="s">
        <v>10541</v>
      </c>
      <c r="AD957" s="77" t="s">
        <v>10617</v>
      </c>
      <c r="AE957" s="83" t="str">
        <f>HYPERLINK("https://twitter.com/starcapitalofc/status/1671965472680452097")</f>
        <v>https://twitter.com/starcapitalofc/status/1671965472680452097</v>
      </c>
      <c r="AF957" s="79">
        <v>45099.817199074074</v>
      </c>
      <c r="AG957" s="85">
        <v>45099</v>
      </c>
      <c r="AH957" s="80" t="s">
        <v>11480</v>
      </c>
      <c r="AI957" s="77" t="b">
        <v>0</v>
      </c>
      <c r="AJ957" s="77"/>
      <c r="AK957" s="77"/>
      <c r="AL957" s="77"/>
      <c r="AM957" s="77"/>
      <c r="AN957" s="77"/>
      <c r="AO957" s="77"/>
      <c r="AP957" s="77"/>
      <c r="AQ957" s="77" t="s">
        <v>14819</v>
      </c>
      <c r="AR957" s="77"/>
      <c r="AS957" s="77"/>
      <c r="AT957" s="77"/>
      <c r="AU957" s="77"/>
      <c r="AV957" s="83" t="str">
        <f>HYPERLINK("https://pbs.twimg.com/media/FzQDkbuXsAAk_WN.jpg")</f>
        <v>https://pbs.twimg.com/media/FzQDkbuXsAAk_WN.jpg</v>
      </c>
      <c r="AW957" s="80" t="s">
        <v>16878</v>
      </c>
      <c r="AX957" s="80" t="s">
        <v>16878</v>
      </c>
      <c r="AY957" s="77"/>
      <c r="AZ957" s="80" t="s">
        <v>20380</v>
      </c>
      <c r="BA957" s="80" t="s">
        <v>20380</v>
      </c>
      <c r="BB957" s="80" t="s">
        <v>20380</v>
      </c>
      <c r="BC957" s="80" t="s">
        <v>16878</v>
      </c>
      <c r="BD957" s="80" t="s">
        <v>20665</v>
      </c>
      <c r="BE957" s="77"/>
      <c r="BF957" s="77"/>
      <c r="BG957" s="77"/>
      <c r="BH957" s="77"/>
      <c r="BI957" s="77"/>
    </row>
    <row r="958" spans="1:61" x14ac:dyDescent="0.25">
      <c r="A958" s="62" t="s">
        <v>578</v>
      </c>
      <c r="B958" s="62" t="s">
        <v>578</v>
      </c>
      <c r="C958" s="63"/>
      <c r="D958" s="64"/>
      <c r="E958" s="65"/>
      <c r="F958" s="66"/>
      <c r="G958" s="63"/>
      <c r="H958" s="67"/>
      <c r="I958" s="68"/>
      <c r="J958" s="68"/>
      <c r="K958" s="32"/>
      <c r="L958" s="75">
        <v>958</v>
      </c>
      <c r="M958" s="75"/>
      <c r="N958" s="70"/>
      <c r="O958" s="77" t="s">
        <v>179</v>
      </c>
      <c r="P958" s="79">
        <v>45141.667523148149</v>
      </c>
      <c r="Q958" s="77" t="s">
        <v>2917</v>
      </c>
      <c r="R958" s="77">
        <v>0</v>
      </c>
      <c r="S958" s="77">
        <v>0</v>
      </c>
      <c r="T958" s="77">
        <v>0</v>
      </c>
      <c r="U958" s="77">
        <v>0</v>
      </c>
      <c r="V958" s="77">
        <v>32</v>
      </c>
      <c r="W958" s="80" t="s">
        <v>6576</v>
      </c>
      <c r="X958" s="77"/>
      <c r="Y958" s="77"/>
      <c r="Z958" s="77"/>
      <c r="AA958" s="77" t="s">
        <v>9338</v>
      </c>
      <c r="AB958" s="77" t="s">
        <v>10535</v>
      </c>
      <c r="AC958" s="80" t="s">
        <v>10541</v>
      </c>
      <c r="AD958" s="77" t="s">
        <v>10617</v>
      </c>
      <c r="AE958" s="83" t="str">
        <f>HYPERLINK("https://twitter.com/starcapitalofc/status/1687131519209369601")</f>
        <v>https://twitter.com/starcapitalofc/status/1687131519209369601</v>
      </c>
      <c r="AF958" s="79">
        <v>45141.667523148149</v>
      </c>
      <c r="AG958" s="85">
        <v>45141</v>
      </c>
      <c r="AH958" s="80" t="s">
        <v>11481</v>
      </c>
      <c r="AI958" s="77" t="b">
        <v>0</v>
      </c>
      <c r="AJ958" s="77"/>
      <c r="AK958" s="77"/>
      <c r="AL958" s="77"/>
      <c r="AM958" s="77"/>
      <c r="AN958" s="77"/>
      <c r="AO958" s="77"/>
      <c r="AP958" s="77"/>
      <c r="AQ958" s="77" t="s">
        <v>14820</v>
      </c>
      <c r="AR958" s="77"/>
      <c r="AS958" s="77"/>
      <c r="AT958" s="77"/>
      <c r="AU958" s="77"/>
      <c r="AV958" s="83" t="str">
        <f>HYPERLINK("https://pbs.twimg.com/media/F2nk4NjXgAEtRlR.jpg")</f>
        <v>https://pbs.twimg.com/media/F2nk4NjXgAEtRlR.jpg</v>
      </c>
      <c r="AW958" s="80" t="s">
        <v>16879</v>
      </c>
      <c r="AX958" s="80" t="s">
        <v>16879</v>
      </c>
      <c r="AY958" s="77"/>
      <c r="AZ958" s="80" t="s">
        <v>20380</v>
      </c>
      <c r="BA958" s="80" t="s">
        <v>20380</v>
      </c>
      <c r="BB958" s="80" t="s">
        <v>20380</v>
      </c>
      <c r="BC958" s="80" t="s">
        <v>16879</v>
      </c>
      <c r="BD958" s="80" t="s">
        <v>20665</v>
      </c>
      <c r="BE958" s="77"/>
      <c r="BF958" s="77"/>
      <c r="BG958" s="77"/>
      <c r="BH958" s="77"/>
      <c r="BI958" s="77"/>
    </row>
    <row r="959" spans="1:61" x14ac:dyDescent="0.25">
      <c r="A959" s="62" t="s">
        <v>579</v>
      </c>
      <c r="B959" s="62" t="s">
        <v>1814</v>
      </c>
      <c r="C959" s="63"/>
      <c r="D959" s="64"/>
      <c r="E959" s="65"/>
      <c r="F959" s="66"/>
      <c r="G959" s="63"/>
      <c r="H959" s="67"/>
      <c r="I959" s="68"/>
      <c r="J959" s="68"/>
      <c r="K959" s="32"/>
      <c r="L959" s="75">
        <v>959</v>
      </c>
      <c r="M959" s="75"/>
      <c r="N959" s="70"/>
      <c r="O959" s="77" t="s">
        <v>2081</v>
      </c>
      <c r="P959" s="79">
        <v>45078.508287037039</v>
      </c>
      <c r="Q959" s="77" t="s">
        <v>2918</v>
      </c>
      <c r="R959" s="77">
        <v>0</v>
      </c>
      <c r="S959" s="77">
        <v>0</v>
      </c>
      <c r="T959" s="77">
        <v>0</v>
      </c>
      <c r="U959" s="77">
        <v>0</v>
      </c>
      <c r="V959" s="77">
        <v>39</v>
      </c>
      <c r="W959" s="80" t="s">
        <v>6577</v>
      </c>
      <c r="X959" s="83" t="str">
        <f>HYPERLINK("https://www.agencianova.com/nota.asp?n=2023_6_1&amp;id=124644&amp;id_tiponota=10")</f>
        <v>https://www.agencianova.com/nota.asp?n=2023_6_1&amp;id=124644&amp;id_tiponota=10</v>
      </c>
      <c r="Y959" s="77" t="s">
        <v>8697</v>
      </c>
      <c r="Z959" s="77" t="s">
        <v>8943</v>
      </c>
      <c r="AA959" s="77"/>
      <c r="AB959" s="77"/>
      <c r="AC959" s="80" t="s">
        <v>10540</v>
      </c>
      <c r="AD959" s="77" t="s">
        <v>10620</v>
      </c>
      <c r="AE959" s="83" t="str">
        <f>HYPERLINK("https://twitter.com/mariocasalongue/status/1664243378857410560")</f>
        <v>https://twitter.com/mariocasalongue/status/1664243378857410560</v>
      </c>
      <c r="AF959" s="79">
        <v>45078.508287037039</v>
      </c>
      <c r="AG959" s="85">
        <v>45078</v>
      </c>
      <c r="AH959" s="80" t="s">
        <v>11482</v>
      </c>
      <c r="AI959" s="77" t="b">
        <v>1</v>
      </c>
      <c r="AJ959" s="77"/>
      <c r="AK959" s="77"/>
      <c r="AL959" s="77"/>
      <c r="AM959" s="77"/>
      <c r="AN959" s="77"/>
      <c r="AO959" s="77"/>
      <c r="AP959" s="77"/>
      <c r="AQ959" s="77"/>
      <c r="AR959" s="77"/>
      <c r="AS959" s="77"/>
      <c r="AT959" s="77"/>
      <c r="AU959" s="77"/>
      <c r="AV959" s="83" t="str">
        <f>HYPERLINK("https://pbs.twimg.com/profile_images/1267822783586680845/3LD42WeB_normal.jpg")</f>
        <v>https://pbs.twimg.com/profile_images/1267822783586680845/3LD42WeB_normal.jpg</v>
      </c>
      <c r="AW959" s="80" t="s">
        <v>16880</v>
      </c>
      <c r="AX959" s="80" t="s">
        <v>16880</v>
      </c>
      <c r="AY959" s="77"/>
      <c r="AZ959" s="80" t="s">
        <v>20380</v>
      </c>
      <c r="BA959" s="80" t="s">
        <v>20380</v>
      </c>
      <c r="BB959" s="80" t="s">
        <v>20380</v>
      </c>
      <c r="BC959" s="80" t="s">
        <v>16880</v>
      </c>
      <c r="BD959" s="80" t="s">
        <v>20666</v>
      </c>
      <c r="BE959" s="77"/>
      <c r="BF959" s="77"/>
      <c r="BG959" s="77"/>
      <c r="BH959" s="77"/>
      <c r="BI959" s="77"/>
    </row>
    <row r="960" spans="1:61" x14ac:dyDescent="0.25">
      <c r="A960" s="62" t="s">
        <v>579</v>
      </c>
      <c r="B960" s="62" t="s">
        <v>1815</v>
      </c>
      <c r="C960" s="63"/>
      <c r="D960" s="64"/>
      <c r="E960" s="65"/>
      <c r="F960" s="66"/>
      <c r="G960" s="63"/>
      <c r="H960" s="67"/>
      <c r="I960" s="68"/>
      <c r="J960" s="68"/>
      <c r="K960" s="32"/>
      <c r="L960" s="75">
        <v>960</v>
      </c>
      <c r="M960" s="75"/>
      <c r="N960" s="70"/>
      <c r="O960" s="77" t="s">
        <v>2081</v>
      </c>
      <c r="P960" s="79">
        <v>45078.508287037039</v>
      </c>
      <c r="Q960" s="77" t="s">
        <v>2918</v>
      </c>
      <c r="R960" s="77">
        <v>0</v>
      </c>
      <c r="S960" s="77">
        <v>0</v>
      </c>
      <c r="T960" s="77">
        <v>0</v>
      </c>
      <c r="U960" s="77">
        <v>0</v>
      </c>
      <c r="V960" s="77">
        <v>39</v>
      </c>
      <c r="W960" s="80" t="s">
        <v>6577</v>
      </c>
      <c r="X960" s="83" t="str">
        <f>HYPERLINK("https://www.agencianova.com/nota.asp?n=2023_6_1&amp;id=124644&amp;id_tiponota=10")</f>
        <v>https://www.agencianova.com/nota.asp?n=2023_6_1&amp;id=124644&amp;id_tiponota=10</v>
      </c>
      <c r="Y960" s="77" t="s">
        <v>8697</v>
      </c>
      <c r="Z960" s="77" t="s">
        <v>8943</v>
      </c>
      <c r="AA960" s="77"/>
      <c r="AB960" s="77"/>
      <c r="AC960" s="80" t="s">
        <v>10540</v>
      </c>
      <c r="AD960" s="77" t="s">
        <v>10620</v>
      </c>
      <c r="AE960" s="83" t="str">
        <f>HYPERLINK("https://twitter.com/mariocasalongue/status/1664243378857410560")</f>
        <v>https://twitter.com/mariocasalongue/status/1664243378857410560</v>
      </c>
      <c r="AF960" s="79">
        <v>45078.508287037039</v>
      </c>
      <c r="AG960" s="85">
        <v>45078</v>
      </c>
      <c r="AH960" s="80" t="s">
        <v>11482</v>
      </c>
      <c r="AI960" s="77" t="b">
        <v>1</v>
      </c>
      <c r="AJ960" s="77"/>
      <c r="AK960" s="77"/>
      <c r="AL960" s="77"/>
      <c r="AM960" s="77"/>
      <c r="AN960" s="77"/>
      <c r="AO960" s="77"/>
      <c r="AP960" s="77"/>
      <c r="AQ960" s="77"/>
      <c r="AR960" s="77"/>
      <c r="AS960" s="77"/>
      <c r="AT960" s="77"/>
      <c r="AU960" s="77"/>
      <c r="AV960" s="83" t="str">
        <f>HYPERLINK("https://pbs.twimg.com/profile_images/1267822783586680845/3LD42WeB_normal.jpg")</f>
        <v>https://pbs.twimg.com/profile_images/1267822783586680845/3LD42WeB_normal.jpg</v>
      </c>
      <c r="AW960" s="80" t="s">
        <v>16880</v>
      </c>
      <c r="AX960" s="80" t="s">
        <v>16880</v>
      </c>
      <c r="AY960" s="77"/>
      <c r="AZ960" s="80" t="s">
        <v>20380</v>
      </c>
      <c r="BA960" s="80" t="s">
        <v>20380</v>
      </c>
      <c r="BB960" s="80" t="s">
        <v>20380</v>
      </c>
      <c r="BC960" s="80" t="s">
        <v>16880</v>
      </c>
      <c r="BD960" s="80" t="s">
        <v>20666</v>
      </c>
      <c r="BE960" s="77"/>
      <c r="BF960" s="77"/>
      <c r="BG960" s="77"/>
      <c r="BH960" s="77"/>
      <c r="BI960" s="77"/>
    </row>
    <row r="961" spans="1:61" x14ac:dyDescent="0.25">
      <c r="A961" s="62" t="s">
        <v>579</v>
      </c>
      <c r="B961" s="62" t="s">
        <v>1669</v>
      </c>
      <c r="C961" s="63"/>
      <c r="D961" s="64"/>
      <c r="E961" s="65"/>
      <c r="F961" s="66"/>
      <c r="G961" s="63"/>
      <c r="H961" s="67"/>
      <c r="I961" s="68"/>
      <c r="J961" s="68"/>
      <c r="K961" s="32"/>
      <c r="L961" s="75">
        <v>961</v>
      </c>
      <c r="M961" s="75"/>
      <c r="N961" s="70"/>
      <c r="O961" s="77" t="s">
        <v>2081</v>
      </c>
      <c r="P961" s="79">
        <v>45191.819479166668</v>
      </c>
      <c r="Q961" s="77" t="s">
        <v>2919</v>
      </c>
      <c r="R961" s="77">
        <v>0</v>
      </c>
      <c r="S961" s="77">
        <v>0</v>
      </c>
      <c r="T961" s="77">
        <v>0</v>
      </c>
      <c r="U961" s="77">
        <v>0</v>
      </c>
      <c r="V961" s="77">
        <v>25</v>
      </c>
      <c r="W961" s="80" t="s">
        <v>6578</v>
      </c>
      <c r="X961" s="83" t="str">
        <f>HYPERLINK("https://www.agencianova.com/nota.asp?n=2023_9_22&amp;id=129996&amp;id_tiponota=4")</f>
        <v>https://www.agencianova.com/nota.asp?n=2023_9_22&amp;id=129996&amp;id_tiponota=4</v>
      </c>
      <c r="Y961" s="77" t="s">
        <v>8697</v>
      </c>
      <c r="Z961" s="77" t="s">
        <v>8944</v>
      </c>
      <c r="AA961" s="77"/>
      <c r="AB961" s="77"/>
      <c r="AC961" s="80" t="s">
        <v>10540</v>
      </c>
      <c r="AD961" s="77" t="s">
        <v>10620</v>
      </c>
      <c r="AE961" s="83" t="str">
        <f>HYPERLINK("https://twitter.com/mariocasalongue/status/1705305981704339644")</f>
        <v>https://twitter.com/mariocasalongue/status/1705305981704339644</v>
      </c>
      <c r="AF961" s="79">
        <v>45191.819479166668</v>
      </c>
      <c r="AG961" s="85">
        <v>45191</v>
      </c>
      <c r="AH961" s="80" t="s">
        <v>11483</v>
      </c>
      <c r="AI961" s="77" t="b">
        <v>1</v>
      </c>
      <c r="AJ961" s="77"/>
      <c r="AK961" s="77"/>
      <c r="AL961" s="77"/>
      <c r="AM961" s="77"/>
      <c r="AN961" s="77"/>
      <c r="AO961" s="77"/>
      <c r="AP961" s="77"/>
      <c r="AQ961" s="77"/>
      <c r="AR961" s="77"/>
      <c r="AS961" s="77"/>
      <c r="AT961" s="77"/>
      <c r="AU961" s="77"/>
      <c r="AV961" s="83" t="str">
        <f>HYPERLINK("https://pbs.twimg.com/profile_images/1267822783586680845/3LD42WeB_normal.jpg")</f>
        <v>https://pbs.twimg.com/profile_images/1267822783586680845/3LD42WeB_normal.jpg</v>
      </c>
      <c r="AW961" s="80" t="s">
        <v>16881</v>
      </c>
      <c r="AX961" s="80" t="s">
        <v>16881</v>
      </c>
      <c r="AY961" s="77"/>
      <c r="AZ961" s="80" t="s">
        <v>20380</v>
      </c>
      <c r="BA961" s="80" t="s">
        <v>20380</v>
      </c>
      <c r="BB961" s="80" t="s">
        <v>20380</v>
      </c>
      <c r="BC961" s="80" t="s">
        <v>16881</v>
      </c>
      <c r="BD961" s="80" t="s">
        <v>20666</v>
      </c>
      <c r="BE961" s="77"/>
      <c r="BF961" s="77"/>
      <c r="BG961" s="77"/>
      <c r="BH961" s="77"/>
      <c r="BI961" s="77"/>
    </row>
    <row r="962" spans="1:61" x14ac:dyDescent="0.25">
      <c r="A962" s="62" t="s">
        <v>579</v>
      </c>
      <c r="B962" s="62" t="s">
        <v>1810</v>
      </c>
      <c r="C962" s="63"/>
      <c r="D962" s="64"/>
      <c r="E962" s="65"/>
      <c r="F962" s="66"/>
      <c r="G962" s="63"/>
      <c r="H962" s="67"/>
      <c r="I962" s="68"/>
      <c r="J962" s="68"/>
      <c r="K962" s="32"/>
      <c r="L962" s="75">
        <v>962</v>
      </c>
      <c r="M962" s="75"/>
      <c r="N962" s="70"/>
      <c r="O962" s="77" t="s">
        <v>2081</v>
      </c>
      <c r="P962" s="79">
        <v>45191.819479166668</v>
      </c>
      <c r="Q962" s="77" t="s">
        <v>2919</v>
      </c>
      <c r="R962" s="77">
        <v>0</v>
      </c>
      <c r="S962" s="77">
        <v>0</v>
      </c>
      <c r="T962" s="77">
        <v>0</v>
      </c>
      <c r="U962" s="77">
        <v>0</v>
      </c>
      <c r="V962" s="77">
        <v>25</v>
      </c>
      <c r="W962" s="80" t="s">
        <v>6578</v>
      </c>
      <c r="X962" s="83" t="str">
        <f>HYPERLINK("https://www.agencianova.com/nota.asp?n=2023_9_22&amp;id=129996&amp;id_tiponota=4")</f>
        <v>https://www.agencianova.com/nota.asp?n=2023_9_22&amp;id=129996&amp;id_tiponota=4</v>
      </c>
      <c r="Y962" s="77" t="s">
        <v>8697</v>
      </c>
      <c r="Z962" s="77" t="s">
        <v>8944</v>
      </c>
      <c r="AA962" s="77"/>
      <c r="AB962" s="77"/>
      <c r="AC962" s="80" t="s">
        <v>10540</v>
      </c>
      <c r="AD962" s="77" t="s">
        <v>10620</v>
      </c>
      <c r="AE962" s="83" t="str">
        <f>HYPERLINK("https://twitter.com/mariocasalongue/status/1705305981704339644")</f>
        <v>https://twitter.com/mariocasalongue/status/1705305981704339644</v>
      </c>
      <c r="AF962" s="79">
        <v>45191.819479166668</v>
      </c>
      <c r="AG962" s="85">
        <v>45191</v>
      </c>
      <c r="AH962" s="80" t="s">
        <v>11483</v>
      </c>
      <c r="AI962" s="77" t="b">
        <v>1</v>
      </c>
      <c r="AJ962" s="77"/>
      <c r="AK962" s="77"/>
      <c r="AL962" s="77"/>
      <c r="AM962" s="77"/>
      <c r="AN962" s="77"/>
      <c r="AO962" s="77"/>
      <c r="AP962" s="77"/>
      <c r="AQ962" s="77"/>
      <c r="AR962" s="77"/>
      <c r="AS962" s="77"/>
      <c r="AT962" s="77"/>
      <c r="AU962" s="77"/>
      <c r="AV962" s="83" t="str">
        <f>HYPERLINK("https://pbs.twimg.com/profile_images/1267822783586680845/3LD42WeB_normal.jpg")</f>
        <v>https://pbs.twimg.com/profile_images/1267822783586680845/3LD42WeB_normal.jpg</v>
      </c>
      <c r="AW962" s="80" t="s">
        <v>16881</v>
      </c>
      <c r="AX962" s="80" t="s">
        <v>16881</v>
      </c>
      <c r="AY962" s="77"/>
      <c r="AZ962" s="80" t="s">
        <v>20380</v>
      </c>
      <c r="BA962" s="80" t="s">
        <v>20380</v>
      </c>
      <c r="BB962" s="80" t="s">
        <v>20380</v>
      </c>
      <c r="BC962" s="80" t="s">
        <v>16881</v>
      </c>
      <c r="BD962" s="80" t="s">
        <v>20666</v>
      </c>
      <c r="BE962" s="77"/>
      <c r="BF962" s="77"/>
      <c r="BG962" s="77"/>
      <c r="BH962" s="77"/>
      <c r="BI962" s="77"/>
    </row>
    <row r="963" spans="1:61" x14ac:dyDescent="0.25">
      <c r="A963" s="62" t="s">
        <v>579</v>
      </c>
      <c r="B963" s="62" t="s">
        <v>1810</v>
      </c>
      <c r="C963" s="63"/>
      <c r="D963" s="64"/>
      <c r="E963" s="65"/>
      <c r="F963" s="66"/>
      <c r="G963" s="63"/>
      <c r="H963" s="67"/>
      <c r="I963" s="68"/>
      <c r="J963" s="68"/>
      <c r="K963" s="32"/>
      <c r="L963" s="75">
        <v>963</v>
      </c>
      <c r="M963" s="75"/>
      <c r="N963" s="70"/>
      <c r="O963" s="77" t="s">
        <v>2081</v>
      </c>
      <c r="P963" s="79">
        <v>45192.848101851851</v>
      </c>
      <c r="Q963" s="77" t="s">
        <v>2920</v>
      </c>
      <c r="R963" s="77">
        <v>0</v>
      </c>
      <c r="S963" s="77">
        <v>0</v>
      </c>
      <c r="T963" s="77">
        <v>0</v>
      </c>
      <c r="U963" s="77">
        <v>0</v>
      </c>
      <c r="V963" s="77">
        <v>27</v>
      </c>
      <c r="W963" s="80" t="s">
        <v>6578</v>
      </c>
      <c r="X963" s="83" t="str">
        <f>HYPERLINK("https://www.agencianova.com/nota.asp?n=2023_9_23&amp;id=130046&amp;id_tiponota=6")</f>
        <v>https://www.agencianova.com/nota.asp?n=2023_9_23&amp;id=130046&amp;id_tiponota=6</v>
      </c>
      <c r="Y963" s="77" t="s">
        <v>8697</v>
      </c>
      <c r="Z963" s="77" t="s">
        <v>8945</v>
      </c>
      <c r="AA963" s="77"/>
      <c r="AB963" s="77"/>
      <c r="AC963" s="80" t="s">
        <v>10540</v>
      </c>
      <c r="AD963" s="77" t="s">
        <v>10620</v>
      </c>
      <c r="AE963" s="83" t="str">
        <f>HYPERLINK("https://twitter.com/mariocasalongue/status/1705678742750675093")</f>
        <v>https://twitter.com/mariocasalongue/status/1705678742750675093</v>
      </c>
      <c r="AF963" s="79">
        <v>45192.848101851851</v>
      </c>
      <c r="AG963" s="85">
        <v>45192</v>
      </c>
      <c r="AH963" s="80" t="s">
        <v>11484</v>
      </c>
      <c r="AI963" s="77" t="b">
        <v>1</v>
      </c>
      <c r="AJ963" s="77"/>
      <c r="AK963" s="77"/>
      <c r="AL963" s="77"/>
      <c r="AM963" s="77"/>
      <c r="AN963" s="77"/>
      <c r="AO963" s="77"/>
      <c r="AP963" s="77"/>
      <c r="AQ963" s="77"/>
      <c r="AR963" s="77"/>
      <c r="AS963" s="77"/>
      <c r="AT963" s="77"/>
      <c r="AU963" s="77"/>
      <c r="AV963" s="83" t="str">
        <f>HYPERLINK("https://pbs.twimg.com/profile_images/1267822783586680845/3LD42WeB_normal.jpg")</f>
        <v>https://pbs.twimg.com/profile_images/1267822783586680845/3LD42WeB_normal.jpg</v>
      </c>
      <c r="AW963" s="80" t="s">
        <v>16882</v>
      </c>
      <c r="AX963" s="80" t="s">
        <v>16882</v>
      </c>
      <c r="AY963" s="77"/>
      <c r="AZ963" s="80" t="s">
        <v>20380</v>
      </c>
      <c r="BA963" s="80" t="s">
        <v>20380</v>
      </c>
      <c r="BB963" s="80" t="s">
        <v>20380</v>
      </c>
      <c r="BC963" s="80" t="s">
        <v>16882</v>
      </c>
      <c r="BD963" s="80" t="s">
        <v>20666</v>
      </c>
      <c r="BE963" s="77"/>
      <c r="BF963" s="77"/>
      <c r="BG963" s="77"/>
      <c r="BH963" s="77"/>
      <c r="BI963" s="77"/>
    </row>
    <row r="964" spans="1:61" x14ac:dyDescent="0.25">
      <c r="A964" s="62" t="s">
        <v>579</v>
      </c>
      <c r="B964" s="62" t="s">
        <v>1669</v>
      </c>
      <c r="C964" s="63"/>
      <c r="D964" s="64"/>
      <c r="E964" s="65"/>
      <c r="F964" s="66"/>
      <c r="G964" s="63"/>
      <c r="H964" s="67"/>
      <c r="I964" s="68"/>
      <c r="J964" s="68"/>
      <c r="K964" s="32"/>
      <c r="L964" s="75">
        <v>964</v>
      </c>
      <c r="M964" s="75"/>
      <c r="N964" s="70"/>
      <c r="O964" s="77" t="s">
        <v>2081</v>
      </c>
      <c r="P964" s="79">
        <v>45192.848101851851</v>
      </c>
      <c r="Q964" s="77" t="s">
        <v>2920</v>
      </c>
      <c r="R964" s="77">
        <v>0</v>
      </c>
      <c r="S964" s="77">
        <v>0</v>
      </c>
      <c r="T964" s="77">
        <v>0</v>
      </c>
      <c r="U964" s="77">
        <v>0</v>
      </c>
      <c r="V964" s="77">
        <v>27</v>
      </c>
      <c r="W964" s="80" t="s">
        <v>6578</v>
      </c>
      <c r="X964" s="83" t="str">
        <f>HYPERLINK("https://www.agencianova.com/nota.asp?n=2023_9_23&amp;id=130046&amp;id_tiponota=6")</f>
        <v>https://www.agencianova.com/nota.asp?n=2023_9_23&amp;id=130046&amp;id_tiponota=6</v>
      </c>
      <c r="Y964" s="77" t="s">
        <v>8697</v>
      </c>
      <c r="Z964" s="77" t="s">
        <v>8945</v>
      </c>
      <c r="AA964" s="77"/>
      <c r="AB964" s="77"/>
      <c r="AC964" s="80" t="s">
        <v>10540</v>
      </c>
      <c r="AD964" s="77" t="s">
        <v>10620</v>
      </c>
      <c r="AE964" s="83" t="str">
        <f>HYPERLINK("https://twitter.com/mariocasalongue/status/1705678742750675093")</f>
        <v>https://twitter.com/mariocasalongue/status/1705678742750675093</v>
      </c>
      <c r="AF964" s="79">
        <v>45192.848101851851</v>
      </c>
      <c r="AG964" s="85">
        <v>45192</v>
      </c>
      <c r="AH964" s="80" t="s">
        <v>11484</v>
      </c>
      <c r="AI964" s="77" t="b">
        <v>1</v>
      </c>
      <c r="AJ964" s="77"/>
      <c r="AK964" s="77"/>
      <c r="AL964" s="77"/>
      <c r="AM964" s="77"/>
      <c r="AN964" s="77"/>
      <c r="AO964" s="77"/>
      <c r="AP964" s="77"/>
      <c r="AQ964" s="77"/>
      <c r="AR964" s="77"/>
      <c r="AS964" s="77"/>
      <c r="AT964" s="77"/>
      <c r="AU964" s="77"/>
      <c r="AV964" s="83" t="str">
        <f>HYPERLINK("https://pbs.twimg.com/profile_images/1267822783586680845/3LD42WeB_normal.jpg")</f>
        <v>https://pbs.twimg.com/profile_images/1267822783586680845/3LD42WeB_normal.jpg</v>
      </c>
      <c r="AW964" s="80" t="s">
        <v>16882</v>
      </c>
      <c r="AX964" s="80" t="s">
        <v>16882</v>
      </c>
      <c r="AY964" s="77"/>
      <c r="AZ964" s="80" t="s">
        <v>20380</v>
      </c>
      <c r="BA964" s="80" t="s">
        <v>20380</v>
      </c>
      <c r="BB964" s="80" t="s">
        <v>20380</v>
      </c>
      <c r="BC964" s="80" t="s">
        <v>16882</v>
      </c>
      <c r="BD964" s="80" t="s">
        <v>20666</v>
      </c>
      <c r="BE964" s="77"/>
      <c r="BF964" s="77"/>
      <c r="BG964" s="77"/>
      <c r="BH964" s="77"/>
      <c r="BI964" s="77"/>
    </row>
    <row r="965" spans="1:61" x14ac:dyDescent="0.25">
      <c r="A965" s="62" t="s">
        <v>580</v>
      </c>
      <c r="B965" s="62" t="s">
        <v>580</v>
      </c>
      <c r="C965" s="63"/>
      <c r="D965" s="64"/>
      <c r="E965" s="65"/>
      <c r="F965" s="66"/>
      <c r="G965" s="63"/>
      <c r="H965" s="67"/>
      <c r="I965" s="68"/>
      <c r="J965" s="68"/>
      <c r="K965" s="32"/>
      <c r="L965" s="75">
        <v>965</v>
      </c>
      <c r="M965" s="75"/>
      <c r="N965" s="70"/>
      <c r="O965" s="77" t="s">
        <v>179</v>
      </c>
      <c r="P965" s="79">
        <v>45079.029293981483</v>
      </c>
      <c r="Q965" s="77" t="s">
        <v>2921</v>
      </c>
      <c r="R965" s="77">
        <v>0</v>
      </c>
      <c r="S965" s="77">
        <v>0</v>
      </c>
      <c r="T965" s="77">
        <v>0</v>
      </c>
      <c r="U965" s="77">
        <v>0</v>
      </c>
      <c r="V965" s="77">
        <v>8</v>
      </c>
      <c r="W965" s="80" t="s">
        <v>6579</v>
      </c>
      <c r="X965" s="83" t="str">
        <f>HYPERLINK("https://acortar.link/cCBW0V")</f>
        <v>https://acortar.link/cCBW0V</v>
      </c>
      <c r="Y965" s="77" t="s">
        <v>8649</v>
      </c>
      <c r="Z965" s="77"/>
      <c r="AA965" s="77" t="s">
        <v>9339</v>
      </c>
      <c r="AB965" s="77" t="s">
        <v>10535</v>
      </c>
      <c r="AC965" s="80" t="s">
        <v>10540</v>
      </c>
      <c r="AD965" s="77" t="s">
        <v>10620</v>
      </c>
      <c r="AE965" s="83" t="str">
        <f>HYPERLINK("https://twitter.com/enriquewacker/status/1664432187477839872")</f>
        <v>https://twitter.com/enriquewacker/status/1664432187477839872</v>
      </c>
      <c r="AF965" s="79">
        <v>45079.029293981483</v>
      </c>
      <c r="AG965" s="85">
        <v>45079</v>
      </c>
      <c r="AH965" s="80" t="s">
        <v>11485</v>
      </c>
      <c r="AI965" s="77" t="b">
        <v>0</v>
      </c>
      <c r="AJ965" s="77"/>
      <c r="AK965" s="77"/>
      <c r="AL965" s="77"/>
      <c r="AM965" s="77"/>
      <c r="AN965" s="77"/>
      <c r="AO965" s="77"/>
      <c r="AP965" s="77"/>
      <c r="AQ965" s="77" t="s">
        <v>14821</v>
      </c>
      <c r="AR965" s="77"/>
      <c r="AS965" s="77"/>
      <c r="AT965" s="77"/>
      <c r="AU965" s="77"/>
      <c r="AV965" s="83" t="str">
        <f>HYPERLINK("https://pbs.twimg.com/media/FxlAP21XwAMuig8.jpg")</f>
        <v>https://pbs.twimg.com/media/FxlAP21XwAMuig8.jpg</v>
      </c>
      <c r="AW965" s="80" t="s">
        <v>16883</v>
      </c>
      <c r="AX965" s="80" t="s">
        <v>16883</v>
      </c>
      <c r="AY965" s="77"/>
      <c r="AZ965" s="80" t="s">
        <v>20380</v>
      </c>
      <c r="BA965" s="80" t="s">
        <v>20380</v>
      </c>
      <c r="BB965" s="80" t="s">
        <v>20380</v>
      </c>
      <c r="BC965" s="80" t="s">
        <v>16883</v>
      </c>
      <c r="BD965" s="80" t="s">
        <v>20667</v>
      </c>
      <c r="BE965" s="77"/>
      <c r="BF965" s="77"/>
      <c r="BG965" s="77"/>
      <c r="BH965" s="77"/>
      <c r="BI965" s="77"/>
    </row>
    <row r="966" spans="1:61" x14ac:dyDescent="0.25">
      <c r="A966" s="62" t="s">
        <v>581</v>
      </c>
      <c r="B966" s="62" t="s">
        <v>581</v>
      </c>
      <c r="C966" s="63"/>
      <c r="D966" s="64"/>
      <c r="E966" s="65"/>
      <c r="F966" s="66"/>
      <c r="G966" s="63"/>
      <c r="H966" s="67"/>
      <c r="I966" s="68"/>
      <c r="J966" s="68"/>
      <c r="K966" s="32"/>
      <c r="L966" s="75">
        <v>966</v>
      </c>
      <c r="M966" s="75"/>
      <c r="N966" s="70"/>
      <c r="O966" s="77" t="s">
        <v>179</v>
      </c>
      <c r="P966" s="79">
        <v>45055.552060185182</v>
      </c>
      <c r="Q966" s="77" t="s">
        <v>2922</v>
      </c>
      <c r="R966" s="77">
        <v>1</v>
      </c>
      <c r="S966" s="77">
        <v>14</v>
      </c>
      <c r="T966" s="77">
        <v>0</v>
      </c>
      <c r="U966" s="77">
        <v>2</v>
      </c>
      <c r="V966" s="77">
        <v>2626</v>
      </c>
      <c r="W966" s="80" t="s">
        <v>6580</v>
      </c>
      <c r="X966" s="83" t="str">
        <f>HYPERLINK("https://mwl.press/IB292858")</f>
        <v>https://mwl.press/IB292858</v>
      </c>
      <c r="Y966" s="77" t="s">
        <v>8698</v>
      </c>
      <c r="Z966" s="77"/>
      <c r="AA966" s="77"/>
      <c r="AB966" s="77"/>
      <c r="AC966" s="80" t="s">
        <v>10574</v>
      </c>
      <c r="AD966" s="77" t="s">
        <v>10617</v>
      </c>
      <c r="AE966" s="83" t="str">
        <f>HYPERLINK("https://twitter.com/ibahia/status/1655924321368391680")</f>
        <v>https://twitter.com/ibahia/status/1655924321368391680</v>
      </c>
      <c r="AF966" s="79">
        <v>45055.552060185182</v>
      </c>
      <c r="AG966" s="85">
        <v>45055</v>
      </c>
      <c r="AH966" s="80" t="s">
        <v>11486</v>
      </c>
      <c r="AI966" s="77" t="b">
        <v>0</v>
      </c>
      <c r="AJ966" s="77"/>
      <c r="AK966" s="77"/>
      <c r="AL966" s="77"/>
      <c r="AM966" s="77"/>
      <c r="AN966" s="77"/>
      <c r="AO966" s="77"/>
      <c r="AP966" s="77"/>
      <c r="AQ966" s="77"/>
      <c r="AR966" s="77"/>
      <c r="AS966" s="77"/>
      <c r="AT966" s="77"/>
      <c r="AU966" s="77"/>
      <c r="AV966" s="83" t="str">
        <f>HYPERLINK("https://pbs.twimg.com/profile_images/1524490174071246849/Ts-pJmFi_normal.jpg")</f>
        <v>https://pbs.twimg.com/profile_images/1524490174071246849/Ts-pJmFi_normal.jpg</v>
      </c>
      <c r="AW966" s="80" t="s">
        <v>16884</v>
      </c>
      <c r="AX966" s="80" t="s">
        <v>16884</v>
      </c>
      <c r="AY966" s="77"/>
      <c r="AZ966" s="80" t="s">
        <v>20380</v>
      </c>
      <c r="BA966" s="80" t="s">
        <v>20380</v>
      </c>
      <c r="BB966" s="80" t="s">
        <v>20380</v>
      </c>
      <c r="BC966" s="80" t="s">
        <v>16884</v>
      </c>
      <c r="BD966" s="77">
        <v>15850306</v>
      </c>
      <c r="BE966" s="77"/>
      <c r="BF966" s="77"/>
      <c r="BG966" s="77"/>
      <c r="BH966" s="77"/>
      <c r="BI966" s="77"/>
    </row>
    <row r="967" spans="1:61" x14ac:dyDescent="0.25">
      <c r="A967" s="62" t="s">
        <v>581</v>
      </c>
      <c r="B967" s="62" t="s">
        <v>581</v>
      </c>
      <c r="C967" s="63"/>
      <c r="D967" s="64"/>
      <c r="E967" s="65"/>
      <c r="F967" s="66"/>
      <c r="G967" s="63"/>
      <c r="H967" s="67"/>
      <c r="I967" s="68"/>
      <c r="J967" s="68"/>
      <c r="K967" s="32"/>
      <c r="L967" s="75">
        <v>967</v>
      </c>
      <c r="M967" s="75"/>
      <c r="N967" s="70"/>
      <c r="O967" s="77" t="s">
        <v>179</v>
      </c>
      <c r="P967" s="79">
        <v>45098.908958333333</v>
      </c>
      <c r="Q967" s="77" t="s">
        <v>2923</v>
      </c>
      <c r="R967" s="77">
        <v>0</v>
      </c>
      <c r="S967" s="77">
        <v>2</v>
      </c>
      <c r="T967" s="77">
        <v>0</v>
      </c>
      <c r="U967" s="77">
        <v>0</v>
      </c>
      <c r="V967" s="77">
        <v>389</v>
      </c>
      <c r="W967" s="80" t="s">
        <v>6581</v>
      </c>
      <c r="X967" s="83" t="str">
        <f>HYPERLINK("https://mwl.press/IB296500")</f>
        <v>https://mwl.press/IB296500</v>
      </c>
      <c r="Y967" s="77" t="s">
        <v>8698</v>
      </c>
      <c r="Z967" s="77"/>
      <c r="AA967" s="77"/>
      <c r="AB967" s="77"/>
      <c r="AC967" s="80" t="s">
        <v>10575</v>
      </c>
      <c r="AD967" s="77" t="s">
        <v>10617</v>
      </c>
      <c r="AE967" s="83" t="str">
        <f>HYPERLINK("https://twitter.com/ibahia/status/1671636334807506947")</f>
        <v>https://twitter.com/ibahia/status/1671636334807506947</v>
      </c>
      <c r="AF967" s="79">
        <v>45098.908958333333</v>
      </c>
      <c r="AG967" s="85">
        <v>45098</v>
      </c>
      <c r="AH967" s="80" t="s">
        <v>11487</v>
      </c>
      <c r="AI967" s="77" t="b">
        <v>0</v>
      </c>
      <c r="AJ967" s="77"/>
      <c r="AK967" s="77"/>
      <c r="AL967" s="77"/>
      <c r="AM967" s="77"/>
      <c r="AN967" s="77"/>
      <c r="AO967" s="77"/>
      <c r="AP967" s="77"/>
      <c r="AQ967" s="77"/>
      <c r="AR967" s="77"/>
      <c r="AS967" s="77"/>
      <c r="AT967" s="77"/>
      <c r="AU967" s="77"/>
      <c r="AV967" s="83" t="str">
        <f>HYPERLINK("https://pbs.twimg.com/profile_images/1524490174071246849/Ts-pJmFi_normal.jpg")</f>
        <v>https://pbs.twimg.com/profile_images/1524490174071246849/Ts-pJmFi_normal.jpg</v>
      </c>
      <c r="AW967" s="80" t="s">
        <v>16885</v>
      </c>
      <c r="AX967" s="80" t="s">
        <v>16885</v>
      </c>
      <c r="AY967" s="77"/>
      <c r="AZ967" s="80" t="s">
        <v>20380</v>
      </c>
      <c r="BA967" s="80" t="s">
        <v>20380</v>
      </c>
      <c r="BB967" s="80" t="s">
        <v>20380</v>
      </c>
      <c r="BC967" s="80" t="s">
        <v>16885</v>
      </c>
      <c r="BD967" s="77">
        <v>15850306</v>
      </c>
      <c r="BE967" s="77"/>
      <c r="BF967" s="77"/>
      <c r="BG967" s="77"/>
      <c r="BH967" s="77"/>
      <c r="BI967" s="77"/>
    </row>
    <row r="968" spans="1:61" x14ac:dyDescent="0.25">
      <c r="A968" s="62" t="s">
        <v>581</v>
      </c>
      <c r="B968" s="62" t="s">
        <v>581</v>
      </c>
      <c r="C968" s="63"/>
      <c r="D968" s="64"/>
      <c r="E968" s="65"/>
      <c r="F968" s="66"/>
      <c r="G968" s="63"/>
      <c r="H968" s="67"/>
      <c r="I968" s="68"/>
      <c r="J968" s="68"/>
      <c r="K968" s="32"/>
      <c r="L968" s="75">
        <v>968</v>
      </c>
      <c r="M968" s="75"/>
      <c r="N968" s="70"/>
      <c r="O968" s="77" t="s">
        <v>179</v>
      </c>
      <c r="P968" s="79">
        <v>45099.995335648149</v>
      </c>
      <c r="Q968" s="77" t="s">
        <v>2924</v>
      </c>
      <c r="R968" s="77">
        <v>0</v>
      </c>
      <c r="S968" s="77">
        <v>5</v>
      </c>
      <c r="T968" s="77">
        <v>0</v>
      </c>
      <c r="U968" s="77">
        <v>0</v>
      </c>
      <c r="V968" s="77">
        <v>598</v>
      </c>
      <c r="W968" s="80" t="s">
        <v>6582</v>
      </c>
      <c r="X968" s="83" t="str">
        <f>HYPERLINK("https://mwl.press/IB296600")</f>
        <v>https://mwl.press/IB296600</v>
      </c>
      <c r="Y968" s="77" t="s">
        <v>8698</v>
      </c>
      <c r="Z968" s="77"/>
      <c r="AA968" s="77"/>
      <c r="AB968" s="77"/>
      <c r="AC968" s="80" t="s">
        <v>10575</v>
      </c>
      <c r="AD968" s="77" t="s">
        <v>10617</v>
      </c>
      <c r="AE968" s="83" t="str">
        <f>HYPERLINK("https://twitter.com/ibahia/status/1672030025703464961")</f>
        <v>https://twitter.com/ibahia/status/1672030025703464961</v>
      </c>
      <c r="AF968" s="79">
        <v>45099.995335648149</v>
      </c>
      <c r="AG968" s="85">
        <v>45099</v>
      </c>
      <c r="AH968" s="80" t="s">
        <v>11488</v>
      </c>
      <c r="AI968" s="77" t="b">
        <v>0</v>
      </c>
      <c r="AJ968" s="77"/>
      <c r="AK968" s="77"/>
      <c r="AL968" s="77"/>
      <c r="AM968" s="77"/>
      <c r="AN968" s="77"/>
      <c r="AO968" s="77"/>
      <c r="AP968" s="77"/>
      <c r="AQ968" s="77"/>
      <c r="AR968" s="77"/>
      <c r="AS968" s="77"/>
      <c r="AT968" s="77"/>
      <c r="AU968" s="77"/>
      <c r="AV968" s="83" t="str">
        <f>HYPERLINK("https://pbs.twimg.com/profile_images/1524490174071246849/Ts-pJmFi_normal.jpg")</f>
        <v>https://pbs.twimg.com/profile_images/1524490174071246849/Ts-pJmFi_normal.jpg</v>
      </c>
      <c r="AW968" s="80" t="s">
        <v>16886</v>
      </c>
      <c r="AX968" s="80" t="s">
        <v>16886</v>
      </c>
      <c r="AY968" s="77"/>
      <c r="AZ968" s="80" t="s">
        <v>20380</v>
      </c>
      <c r="BA968" s="80" t="s">
        <v>20380</v>
      </c>
      <c r="BB968" s="80" t="s">
        <v>20380</v>
      </c>
      <c r="BC968" s="80" t="s">
        <v>16886</v>
      </c>
      <c r="BD968" s="77">
        <v>15850306</v>
      </c>
      <c r="BE968" s="77"/>
      <c r="BF968" s="77"/>
      <c r="BG968" s="77"/>
      <c r="BH968" s="77"/>
      <c r="BI968" s="77"/>
    </row>
    <row r="969" spans="1:61" x14ac:dyDescent="0.25">
      <c r="A969" s="62" t="s">
        <v>582</v>
      </c>
      <c r="B969" s="62" t="s">
        <v>582</v>
      </c>
      <c r="C969" s="63"/>
      <c r="D969" s="64"/>
      <c r="E969" s="65"/>
      <c r="F969" s="66"/>
      <c r="G969" s="63"/>
      <c r="H969" s="67"/>
      <c r="I969" s="68"/>
      <c r="J969" s="68"/>
      <c r="K969" s="32"/>
      <c r="L969" s="75">
        <v>969</v>
      </c>
      <c r="M969" s="75"/>
      <c r="N969" s="70"/>
      <c r="O969" s="77" t="s">
        <v>179</v>
      </c>
      <c r="P969" s="79">
        <v>45051.65625</v>
      </c>
      <c r="Q969" s="77" t="s">
        <v>2925</v>
      </c>
      <c r="R969" s="77">
        <v>0</v>
      </c>
      <c r="S969" s="77">
        <v>0</v>
      </c>
      <c r="T969" s="77">
        <v>0</v>
      </c>
      <c r="U969" s="77">
        <v>0</v>
      </c>
      <c r="V969" s="77">
        <v>16</v>
      </c>
      <c r="W969" s="80" t="s">
        <v>6583</v>
      </c>
      <c r="X969" s="83" t="str">
        <f>HYPERLINK("https://www.fedecom.org.ar/el-bcra-mejoro-las-condiciones-de-descuento-para-las-facturas-de-credito-electronicas/")</f>
        <v>https://www.fedecom.org.ar/el-bcra-mejoro-las-condiciones-de-descuento-para-las-facturas-de-credito-electronicas/</v>
      </c>
      <c r="Y969" s="77" t="s">
        <v>8699</v>
      </c>
      <c r="Z969" s="77"/>
      <c r="AA969" s="77"/>
      <c r="AB969" s="77"/>
      <c r="AC969" s="80" t="s">
        <v>10541</v>
      </c>
      <c r="AD969" s="77" t="s">
        <v>10620</v>
      </c>
      <c r="AE969" s="83" t="str">
        <f>HYPERLINK("https://twitter.com/fedecomcba/status/1654512526099611648")</f>
        <v>https://twitter.com/fedecomcba/status/1654512526099611648</v>
      </c>
      <c r="AF969" s="79">
        <v>45051.65625</v>
      </c>
      <c r="AG969" s="85">
        <v>45051</v>
      </c>
      <c r="AH969" s="80" t="s">
        <v>11489</v>
      </c>
      <c r="AI969" s="77" t="b">
        <v>0</v>
      </c>
      <c r="AJ969" s="77"/>
      <c r="AK969" s="77"/>
      <c r="AL969" s="77"/>
      <c r="AM969" s="77"/>
      <c r="AN969" s="77"/>
      <c r="AO969" s="77"/>
      <c r="AP969" s="77"/>
      <c r="AQ969" s="77"/>
      <c r="AR969" s="77"/>
      <c r="AS969" s="77"/>
      <c r="AT969" s="77"/>
      <c r="AU969" s="77"/>
      <c r="AV969" s="83" t="str">
        <f>HYPERLINK("https://pbs.twimg.com/profile_images/1674087280112287746/RcIezjxx_normal.jpg")</f>
        <v>https://pbs.twimg.com/profile_images/1674087280112287746/RcIezjxx_normal.jpg</v>
      </c>
      <c r="AW969" s="80" t="s">
        <v>16887</v>
      </c>
      <c r="AX969" s="80" t="s">
        <v>16887</v>
      </c>
      <c r="AY969" s="77"/>
      <c r="AZ969" s="80" t="s">
        <v>20380</v>
      </c>
      <c r="BA969" s="80" t="s">
        <v>20380</v>
      </c>
      <c r="BB969" s="80" t="s">
        <v>20380</v>
      </c>
      <c r="BC969" s="80" t="s">
        <v>16887</v>
      </c>
      <c r="BD969" s="80" t="s">
        <v>20668</v>
      </c>
      <c r="BE969" s="77"/>
      <c r="BF969" s="77"/>
      <c r="BG969" s="77"/>
      <c r="BH969" s="77"/>
      <c r="BI969" s="77"/>
    </row>
    <row r="970" spans="1:61" x14ac:dyDescent="0.25">
      <c r="A970" s="62" t="s">
        <v>582</v>
      </c>
      <c r="B970" s="62" t="s">
        <v>582</v>
      </c>
      <c r="C970" s="63"/>
      <c r="D970" s="64"/>
      <c r="E970" s="65"/>
      <c r="F970" s="66"/>
      <c r="G970" s="63"/>
      <c r="H970" s="67"/>
      <c r="I970" s="68"/>
      <c r="J970" s="68"/>
      <c r="K970" s="32"/>
      <c r="L970" s="75">
        <v>970</v>
      </c>
      <c r="M970" s="75"/>
      <c r="N970" s="70"/>
      <c r="O970" s="77" t="s">
        <v>179</v>
      </c>
      <c r="P970" s="79">
        <v>45054.622615740744</v>
      </c>
      <c r="Q970" s="77" t="s">
        <v>2926</v>
      </c>
      <c r="R970" s="77">
        <v>0</v>
      </c>
      <c r="S970" s="77">
        <v>0</v>
      </c>
      <c r="T970" s="77">
        <v>0</v>
      </c>
      <c r="U970" s="77">
        <v>0</v>
      </c>
      <c r="V970" s="77">
        <v>27</v>
      </c>
      <c r="W970" s="80" t="s">
        <v>6584</v>
      </c>
      <c r="X970" s="83" t="str">
        <f>HYPERLINK("https://www.fedecom.org.ar/se-actualizaron-tasas-del-programa-ahora-12/")</f>
        <v>https://www.fedecom.org.ar/se-actualizaron-tasas-del-programa-ahora-12/</v>
      </c>
      <c r="Y970" s="77" t="s">
        <v>8699</v>
      </c>
      <c r="Z970" s="77"/>
      <c r="AA970" s="77"/>
      <c r="AB970" s="77"/>
      <c r="AC970" s="80" t="s">
        <v>10541</v>
      </c>
      <c r="AD970" s="77" t="s">
        <v>10620</v>
      </c>
      <c r="AE970" s="83" t="str">
        <f>HYPERLINK("https://twitter.com/fedecomcba/status/1655587503993245696")</f>
        <v>https://twitter.com/fedecomcba/status/1655587503993245696</v>
      </c>
      <c r="AF970" s="79">
        <v>45054.622615740744</v>
      </c>
      <c r="AG970" s="85">
        <v>45054</v>
      </c>
      <c r="AH970" s="80" t="s">
        <v>11490</v>
      </c>
      <c r="AI970" s="77" t="b">
        <v>0</v>
      </c>
      <c r="AJ970" s="77"/>
      <c r="AK970" s="77"/>
      <c r="AL970" s="77"/>
      <c r="AM970" s="77"/>
      <c r="AN970" s="77"/>
      <c r="AO970" s="77"/>
      <c r="AP970" s="77"/>
      <c r="AQ970" s="77"/>
      <c r="AR970" s="77"/>
      <c r="AS970" s="77"/>
      <c r="AT970" s="77"/>
      <c r="AU970" s="77"/>
      <c r="AV970" s="83" t="str">
        <f>HYPERLINK("https://pbs.twimg.com/profile_images/1674087280112287746/RcIezjxx_normal.jpg")</f>
        <v>https://pbs.twimg.com/profile_images/1674087280112287746/RcIezjxx_normal.jpg</v>
      </c>
      <c r="AW970" s="80" t="s">
        <v>16888</v>
      </c>
      <c r="AX970" s="80" t="s">
        <v>16888</v>
      </c>
      <c r="AY970" s="77"/>
      <c r="AZ970" s="80" t="s">
        <v>20380</v>
      </c>
      <c r="BA970" s="80" t="s">
        <v>20380</v>
      </c>
      <c r="BB970" s="80" t="s">
        <v>20380</v>
      </c>
      <c r="BC970" s="80" t="s">
        <v>16888</v>
      </c>
      <c r="BD970" s="80" t="s">
        <v>20668</v>
      </c>
      <c r="BE970" s="77"/>
      <c r="BF970" s="77"/>
      <c r="BG970" s="77"/>
      <c r="BH970" s="77"/>
      <c r="BI970" s="77"/>
    </row>
    <row r="971" spans="1:61" x14ac:dyDescent="0.25">
      <c r="A971" s="62" t="s">
        <v>582</v>
      </c>
      <c r="B971" s="62" t="s">
        <v>582</v>
      </c>
      <c r="C971" s="63"/>
      <c r="D971" s="64"/>
      <c r="E971" s="65"/>
      <c r="F971" s="66"/>
      <c r="G971" s="63"/>
      <c r="H971" s="67"/>
      <c r="I971" s="68"/>
      <c r="J971" s="68"/>
      <c r="K971" s="32"/>
      <c r="L971" s="75">
        <v>971</v>
      </c>
      <c r="M971" s="75"/>
      <c r="N971" s="70"/>
      <c r="O971" s="77" t="s">
        <v>179</v>
      </c>
      <c r="P971" s="79">
        <v>45068.708356481482</v>
      </c>
      <c r="Q971" s="77" t="s">
        <v>2927</v>
      </c>
      <c r="R971" s="77">
        <v>0</v>
      </c>
      <c r="S971" s="77">
        <v>0</v>
      </c>
      <c r="T971" s="77">
        <v>0</v>
      </c>
      <c r="U971" s="77">
        <v>0</v>
      </c>
      <c r="V971" s="77">
        <v>26</v>
      </c>
      <c r="W971" s="80" t="s">
        <v>6585</v>
      </c>
      <c r="X971" s="83" t="str">
        <f>HYPERLINK("https://www.fedecom.org.ar/se-podra-pagar-con-cualquier-billetera-digital-interoperable-a-traves-del-mismo-qr/")</f>
        <v>https://www.fedecom.org.ar/se-podra-pagar-con-cualquier-billetera-digital-interoperable-a-traves-del-mismo-qr/</v>
      </c>
      <c r="Y971" s="77" t="s">
        <v>8699</v>
      </c>
      <c r="Z971" s="77"/>
      <c r="AA971" s="77"/>
      <c r="AB971" s="77"/>
      <c r="AC971" s="80" t="s">
        <v>10541</v>
      </c>
      <c r="AD971" s="77" t="s">
        <v>10620</v>
      </c>
      <c r="AE971" s="83" t="str">
        <f>HYPERLINK("https://twitter.com/fedecomcba/status/1660692002009145344")</f>
        <v>https://twitter.com/fedecomcba/status/1660692002009145344</v>
      </c>
      <c r="AF971" s="79">
        <v>45068.708356481482</v>
      </c>
      <c r="AG971" s="85">
        <v>45068</v>
      </c>
      <c r="AH971" s="80" t="s">
        <v>11041</v>
      </c>
      <c r="AI971" s="77" t="b">
        <v>0</v>
      </c>
      <c r="AJ971" s="77"/>
      <c r="AK971" s="77"/>
      <c r="AL971" s="77"/>
      <c r="AM971" s="77"/>
      <c r="AN971" s="77"/>
      <c r="AO971" s="77"/>
      <c r="AP971" s="77"/>
      <c r="AQ971" s="77"/>
      <c r="AR971" s="77"/>
      <c r="AS971" s="77"/>
      <c r="AT971" s="77"/>
      <c r="AU971" s="77"/>
      <c r="AV971" s="83" t="str">
        <f>HYPERLINK("https://pbs.twimg.com/profile_images/1674087280112287746/RcIezjxx_normal.jpg")</f>
        <v>https://pbs.twimg.com/profile_images/1674087280112287746/RcIezjxx_normal.jpg</v>
      </c>
      <c r="AW971" s="80" t="s">
        <v>16889</v>
      </c>
      <c r="AX971" s="80" t="s">
        <v>16889</v>
      </c>
      <c r="AY971" s="77"/>
      <c r="AZ971" s="80" t="s">
        <v>20380</v>
      </c>
      <c r="BA971" s="80" t="s">
        <v>20380</v>
      </c>
      <c r="BB971" s="80" t="s">
        <v>20380</v>
      </c>
      <c r="BC971" s="80" t="s">
        <v>16889</v>
      </c>
      <c r="BD971" s="80" t="s">
        <v>20668</v>
      </c>
      <c r="BE971" s="77"/>
      <c r="BF971" s="77"/>
      <c r="BG971" s="77"/>
      <c r="BH971" s="77"/>
      <c r="BI971" s="77"/>
    </row>
    <row r="972" spans="1:61" x14ac:dyDescent="0.25">
      <c r="A972" s="62" t="s">
        <v>583</v>
      </c>
      <c r="B972" s="62" t="s">
        <v>1816</v>
      </c>
      <c r="C972" s="63"/>
      <c r="D972" s="64"/>
      <c r="E972" s="65"/>
      <c r="F972" s="66"/>
      <c r="G972" s="63"/>
      <c r="H972" s="67"/>
      <c r="I972" s="68"/>
      <c r="J972" s="68"/>
      <c r="K972" s="32"/>
      <c r="L972" s="75">
        <v>972</v>
      </c>
      <c r="M972" s="75"/>
      <c r="N972" s="70"/>
      <c r="O972" s="77" t="s">
        <v>2081</v>
      </c>
      <c r="P972" s="79">
        <v>45154.64570601852</v>
      </c>
      <c r="Q972" s="77" t="s">
        <v>2928</v>
      </c>
      <c r="R972" s="77">
        <v>0</v>
      </c>
      <c r="S972" s="77">
        <v>0</v>
      </c>
      <c r="T972" s="77">
        <v>0</v>
      </c>
      <c r="U972" s="77">
        <v>0</v>
      </c>
      <c r="V972" s="77">
        <v>20</v>
      </c>
      <c r="W972" s="80" t="s">
        <v>6586</v>
      </c>
      <c r="X972" s="83" t="str">
        <f>HYPERLINK("https://lc.cx/Kum4bA")</f>
        <v>https://lc.cx/Kum4bA</v>
      </c>
      <c r="Y972" s="77" t="s">
        <v>8700</v>
      </c>
      <c r="Z972" s="77" t="s">
        <v>8946</v>
      </c>
      <c r="AA972" s="77" t="s">
        <v>9340</v>
      </c>
      <c r="AB972" s="77" t="s">
        <v>10535</v>
      </c>
      <c r="AC972" s="80" t="s">
        <v>10541</v>
      </c>
      <c r="AD972" s="77" t="s">
        <v>10620</v>
      </c>
      <c r="AE972" s="83" t="str">
        <f>HYPERLINK("https://twitter.com/hechosnews_/status/1691834656948203836")</f>
        <v>https://twitter.com/hechosnews_/status/1691834656948203836</v>
      </c>
      <c r="AF972" s="79">
        <v>45154.64570601852</v>
      </c>
      <c r="AG972" s="85">
        <v>45154</v>
      </c>
      <c r="AH972" s="80" t="s">
        <v>11491</v>
      </c>
      <c r="AI972" s="77" t="b">
        <v>0</v>
      </c>
      <c r="AJ972" s="77"/>
      <c r="AK972" s="77"/>
      <c r="AL972" s="77"/>
      <c r="AM972" s="77"/>
      <c r="AN972" s="77"/>
      <c r="AO972" s="77"/>
      <c r="AP972" s="77"/>
      <c r="AQ972" s="77" t="s">
        <v>14822</v>
      </c>
      <c r="AR972" s="77"/>
      <c r="AS972" s="77"/>
      <c r="AT972" s="77"/>
      <c r="AU972" s="77"/>
      <c r="AV972" s="83" t="str">
        <f>HYPERLINK("https://pbs.twimg.com/media/F3qZ0N6XkAAGkzP.jpg")</f>
        <v>https://pbs.twimg.com/media/F3qZ0N6XkAAGkzP.jpg</v>
      </c>
      <c r="AW972" s="80" t="s">
        <v>16890</v>
      </c>
      <c r="AX972" s="80" t="s">
        <v>16890</v>
      </c>
      <c r="AY972" s="77"/>
      <c r="AZ972" s="80" t="s">
        <v>20380</v>
      </c>
      <c r="BA972" s="80" t="s">
        <v>20380</v>
      </c>
      <c r="BB972" s="80" t="s">
        <v>20380</v>
      </c>
      <c r="BC972" s="80" t="s">
        <v>16890</v>
      </c>
      <c r="BD972" s="77">
        <v>1281250640</v>
      </c>
      <c r="BE972" s="77"/>
      <c r="BF972" s="77"/>
      <c r="BG972" s="77"/>
      <c r="BH972" s="77"/>
      <c r="BI972" s="77"/>
    </row>
    <row r="973" spans="1:61" x14ac:dyDescent="0.25">
      <c r="A973" s="62" t="s">
        <v>583</v>
      </c>
      <c r="B973" s="62" t="s">
        <v>1716</v>
      </c>
      <c r="C973" s="63"/>
      <c r="D973" s="64"/>
      <c r="E973" s="65"/>
      <c r="F973" s="66"/>
      <c r="G973" s="63"/>
      <c r="H973" s="67"/>
      <c r="I973" s="68"/>
      <c r="J973" s="68"/>
      <c r="K973" s="32"/>
      <c r="L973" s="75">
        <v>973</v>
      </c>
      <c r="M973" s="75"/>
      <c r="N973" s="70"/>
      <c r="O973" s="77" t="s">
        <v>2081</v>
      </c>
      <c r="P973" s="79">
        <v>45142.639884259261</v>
      </c>
      <c r="Q973" s="77" t="s">
        <v>2929</v>
      </c>
      <c r="R973" s="77">
        <v>0</v>
      </c>
      <c r="S973" s="77">
        <v>0</v>
      </c>
      <c r="T973" s="77">
        <v>0</v>
      </c>
      <c r="U973" s="77">
        <v>0</v>
      </c>
      <c r="V973" s="77">
        <v>27</v>
      </c>
      <c r="W973" s="80" t="s">
        <v>6587</v>
      </c>
      <c r="X973" s="83" t="str">
        <f>HYPERLINK("https://lc.cx/F71jLH")</f>
        <v>https://lc.cx/F71jLH</v>
      </c>
      <c r="Y973" s="77" t="s">
        <v>8700</v>
      </c>
      <c r="Z973" s="77" t="s">
        <v>1716</v>
      </c>
      <c r="AA973" s="77" t="s">
        <v>9341</v>
      </c>
      <c r="AB973" s="77" t="s">
        <v>10535</v>
      </c>
      <c r="AC973" s="80" t="s">
        <v>10541</v>
      </c>
      <c r="AD973" s="77" t="s">
        <v>10620</v>
      </c>
      <c r="AE973" s="83" t="str">
        <f>HYPERLINK("https://twitter.com/hechosnews_/status/1687483893161644033")</f>
        <v>https://twitter.com/hechosnews_/status/1687483893161644033</v>
      </c>
      <c r="AF973" s="79">
        <v>45142.639884259261</v>
      </c>
      <c r="AG973" s="85">
        <v>45142</v>
      </c>
      <c r="AH973" s="80" t="s">
        <v>11492</v>
      </c>
      <c r="AI973" s="77" t="b">
        <v>0</v>
      </c>
      <c r="AJ973" s="77"/>
      <c r="AK973" s="77"/>
      <c r="AL973" s="77"/>
      <c r="AM973" s="77"/>
      <c r="AN973" s="77"/>
      <c r="AO973" s="77"/>
      <c r="AP973" s="77"/>
      <c r="AQ973" s="77" t="s">
        <v>14823</v>
      </c>
      <c r="AR973" s="77"/>
      <c r="AS973" s="77"/>
      <c r="AT973" s="77"/>
      <c r="AU973" s="77"/>
      <c r="AV973" s="83" t="str">
        <f>HYPERLINK("https://pbs.twimg.com/media/F2slc-1X0AAhPw_.jpg")</f>
        <v>https://pbs.twimg.com/media/F2slc-1X0AAhPw_.jpg</v>
      </c>
      <c r="AW973" s="80" t="s">
        <v>16891</v>
      </c>
      <c r="AX973" s="80" t="s">
        <v>16891</v>
      </c>
      <c r="AY973" s="77"/>
      <c r="AZ973" s="80" t="s">
        <v>20380</v>
      </c>
      <c r="BA973" s="80" t="s">
        <v>20380</v>
      </c>
      <c r="BB973" s="80" t="s">
        <v>20380</v>
      </c>
      <c r="BC973" s="80" t="s">
        <v>16891</v>
      </c>
      <c r="BD973" s="77">
        <v>1281250640</v>
      </c>
      <c r="BE973" s="77"/>
      <c r="BF973" s="77"/>
      <c r="BG973" s="77"/>
      <c r="BH973" s="77"/>
      <c r="BI973" s="77"/>
    </row>
    <row r="974" spans="1:61" x14ac:dyDescent="0.25">
      <c r="A974" s="62" t="s">
        <v>583</v>
      </c>
      <c r="B974" s="62" t="s">
        <v>1716</v>
      </c>
      <c r="C974" s="63"/>
      <c r="D974" s="64"/>
      <c r="E974" s="65"/>
      <c r="F974" s="66"/>
      <c r="G974" s="63"/>
      <c r="H974" s="67"/>
      <c r="I974" s="68"/>
      <c r="J974" s="68"/>
      <c r="K974" s="32"/>
      <c r="L974" s="75">
        <v>974</v>
      </c>
      <c r="M974" s="75"/>
      <c r="N974" s="70"/>
      <c r="O974" s="77" t="s">
        <v>2081</v>
      </c>
      <c r="P974" s="79">
        <v>45154.64570601852</v>
      </c>
      <c r="Q974" s="77" t="s">
        <v>2928</v>
      </c>
      <c r="R974" s="77">
        <v>0</v>
      </c>
      <c r="S974" s="77">
        <v>0</v>
      </c>
      <c r="T974" s="77">
        <v>0</v>
      </c>
      <c r="U974" s="77">
        <v>0</v>
      </c>
      <c r="V974" s="77">
        <v>20</v>
      </c>
      <c r="W974" s="80" t="s">
        <v>6586</v>
      </c>
      <c r="X974" s="83" t="str">
        <f>HYPERLINK("https://lc.cx/Kum4bA")</f>
        <v>https://lc.cx/Kum4bA</v>
      </c>
      <c r="Y974" s="77" t="s">
        <v>8700</v>
      </c>
      <c r="Z974" s="77" t="s">
        <v>8946</v>
      </c>
      <c r="AA974" s="77" t="s">
        <v>9340</v>
      </c>
      <c r="AB974" s="77" t="s">
        <v>10535</v>
      </c>
      <c r="AC974" s="80" t="s">
        <v>10541</v>
      </c>
      <c r="AD974" s="77" t="s">
        <v>10620</v>
      </c>
      <c r="AE974" s="83" t="str">
        <f>HYPERLINK("https://twitter.com/hechosnews_/status/1691834656948203836")</f>
        <v>https://twitter.com/hechosnews_/status/1691834656948203836</v>
      </c>
      <c r="AF974" s="79">
        <v>45154.64570601852</v>
      </c>
      <c r="AG974" s="85">
        <v>45154</v>
      </c>
      <c r="AH974" s="80" t="s">
        <v>11491</v>
      </c>
      <c r="AI974" s="77" t="b">
        <v>0</v>
      </c>
      <c r="AJ974" s="77"/>
      <c r="AK974" s="77"/>
      <c r="AL974" s="77"/>
      <c r="AM974" s="77"/>
      <c r="AN974" s="77"/>
      <c r="AO974" s="77"/>
      <c r="AP974" s="77"/>
      <c r="AQ974" s="77" t="s">
        <v>14822</v>
      </c>
      <c r="AR974" s="77"/>
      <c r="AS974" s="77"/>
      <c r="AT974" s="77"/>
      <c r="AU974" s="77"/>
      <c r="AV974" s="83" t="str">
        <f>HYPERLINK("https://pbs.twimg.com/media/F3qZ0N6XkAAGkzP.jpg")</f>
        <v>https://pbs.twimg.com/media/F3qZ0N6XkAAGkzP.jpg</v>
      </c>
      <c r="AW974" s="80" t="s">
        <v>16890</v>
      </c>
      <c r="AX974" s="80" t="s">
        <v>16890</v>
      </c>
      <c r="AY974" s="77"/>
      <c r="AZ974" s="80" t="s">
        <v>20380</v>
      </c>
      <c r="BA974" s="80" t="s">
        <v>20380</v>
      </c>
      <c r="BB974" s="80" t="s">
        <v>20380</v>
      </c>
      <c r="BC974" s="80" t="s">
        <v>16890</v>
      </c>
      <c r="BD974" s="77">
        <v>1281250640</v>
      </c>
      <c r="BE974" s="77"/>
      <c r="BF974" s="77"/>
      <c r="BG974" s="77"/>
      <c r="BH974" s="77"/>
      <c r="BI974" s="77"/>
    </row>
    <row r="975" spans="1:61" x14ac:dyDescent="0.25">
      <c r="A975" s="62" t="s">
        <v>583</v>
      </c>
      <c r="B975" s="62" t="s">
        <v>1716</v>
      </c>
      <c r="C975" s="63"/>
      <c r="D975" s="64"/>
      <c r="E975" s="65"/>
      <c r="F975" s="66"/>
      <c r="G975" s="63"/>
      <c r="H975" s="67"/>
      <c r="I975" s="68"/>
      <c r="J975" s="68"/>
      <c r="K975" s="32"/>
      <c r="L975" s="75">
        <v>975</v>
      </c>
      <c r="M975" s="75"/>
      <c r="N975" s="70"/>
      <c r="O975" s="77" t="s">
        <v>2081</v>
      </c>
      <c r="P975" s="79">
        <v>45176.877905092595</v>
      </c>
      <c r="Q975" s="77" t="s">
        <v>2930</v>
      </c>
      <c r="R975" s="77">
        <v>0</v>
      </c>
      <c r="S975" s="77">
        <v>0</v>
      </c>
      <c r="T975" s="77">
        <v>0</v>
      </c>
      <c r="U975" s="77">
        <v>0</v>
      </c>
      <c r="V975" s="77">
        <v>26</v>
      </c>
      <c r="W975" s="80" t="s">
        <v>6588</v>
      </c>
      <c r="X975" s="83" t="str">
        <f>HYPERLINK("https://lc.cx/J0pp7B")</f>
        <v>https://lc.cx/J0pp7B</v>
      </c>
      <c r="Y975" s="77" t="s">
        <v>8700</v>
      </c>
      <c r="Z975" s="77" t="s">
        <v>1716</v>
      </c>
      <c r="AA975" s="77" t="s">
        <v>9342</v>
      </c>
      <c r="AB975" s="77" t="s">
        <v>10535</v>
      </c>
      <c r="AC975" s="80" t="s">
        <v>10541</v>
      </c>
      <c r="AD975" s="77" t="s">
        <v>10620</v>
      </c>
      <c r="AE975" s="83" t="str">
        <f>HYPERLINK("https://twitter.com/hechosnews_/status/1699891336361693689")</f>
        <v>https://twitter.com/hechosnews_/status/1699891336361693689</v>
      </c>
      <c r="AF975" s="79">
        <v>45176.877905092595</v>
      </c>
      <c r="AG975" s="85">
        <v>45176</v>
      </c>
      <c r="AH975" s="80" t="s">
        <v>11493</v>
      </c>
      <c r="AI975" s="77" t="b">
        <v>0</v>
      </c>
      <c r="AJ975" s="77"/>
      <c r="AK975" s="77"/>
      <c r="AL975" s="77"/>
      <c r="AM975" s="77"/>
      <c r="AN975" s="77"/>
      <c r="AO975" s="77"/>
      <c r="AP975" s="77"/>
      <c r="AQ975" s="77" t="s">
        <v>14824</v>
      </c>
      <c r="AR975" s="77"/>
      <c r="AS975" s="77"/>
      <c r="AT975" s="77"/>
      <c r="AU975" s="77"/>
      <c r="AV975" s="83" t="str">
        <f>HYPERLINK("https://pbs.twimg.com/media/F5c5gs1WEAAjBdV.jpg")</f>
        <v>https://pbs.twimg.com/media/F5c5gs1WEAAjBdV.jpg</v>
      </c>
      <c r="AW975" s="80" t="s">
        <v>16892</v>
      </c>
      <c r="AX975" s="80" t="s">
        <v>16892</v>
      </c>
      <c r="AY975" s="77"/>
      <c r="AZ975" s="80" t="s">
        <v>20380</v>
      </c>
      <c r="BA975" s="80" t="s">
        <v>20380</v>
      </c>
      <c r="BB975" s="80" t="s">
        <v>20380</v>
      </c>
      <c r="BC975" s="80" t="s">
        <v>16892</v>
      </c>
      <c r="BD975" s="77">
        <v>1281250640</v>
      </c>
      <c r="BE975" s="77"/>
      <c r="BF975" s="77"/>
      <c r="BG975" s="77"/>
      <c r="BH975" s="77"/>
      <c r="BI975" s="77"/>
    </row>
    <row r="976" spans="1:61" x14ac:dyDescent="0.25">
      <c r="A976" s="62" t="s">
        <v>584</v>
      </c>
      <c r="B976" s="62" t="s">
        <v>584</v>
      </c>
      <c r="C976" s="63"/>
      <c r="D976" s="64"/>
      <c r="E976" s="65"/>
      <c r="F976" s="66"/>
      <c r="G976" s="63"/>
      <c r="H976" s="67"/>
      <c r="I976" s="68"/>
      <c r="J976" s="68"/>
      <c r="K976" s="32"/>
      <c r="L976" s="75">
        <v>976</v>
      </c>
      <c r="M976" s="75"/>
      <c r="N976" s="70"/>
      <c r="O976" s="77" t="s">
        <v>179</v>
      </c>
      <c r="P976" s="79">
        <v>45147.641053240739</v>
      </c>
      <c r="Q976" s="77" t="s">
        <v>2931</v>
      </c>
      <c r="R976" s="77">
        <v>0</v>
      </c>
      <c r="S976" s="77">
        <v>0</v>
      </c>
      <c r="T976" s="77">
        <v>1</v>
      </c>
      <c r="U976" s="77">
        <v>0</v>
      </c>
      <c r="V976" s="77">
        <v>31</v>
      </c>
      <c r="W976" s="80" t="s">
        <v>6589</v>
      </c>
      <c r="X976" s="77"/>
      <c r="Y976" s="77"/>
      <c r="Z976" s="77"/>
      <c r="AA976" s="77"/>
      <c r="AB976" s="77"/>
      <c r="AC976" s="80" t="s">
        <v>10542</v>
      </c>
      <c r="AD976" s="77" t="s">
        <v>10620</v>
      </c>
      <c r="AE976" s="83" t="str">
        <f>HYPERLINK("https://twitter.com/cadecacuba/status/1689296255158013952")</f>
        <v>https://twitter.com/cadecacuba/status/1689296255158013952</v>
      </c>
      <c r="AF976" s="79">
        <v>45147.641053240739</v>
      </c>
      <c r="AG976" s="85">
        <v>45147</v>
      </c>
      <c r="AH976" s="80" t="s">
        <v>11494</v>
      </c>
      <c r="AI976" s="77"/>
      <c r="AJ976" s="77"/>
      <c r="AK976" s="77"/>
      <c r="AL976" s="77"/>
      <c r="AM976" s="77"/>
      <c r="AN976" s="77"/>
      <c r="AO976" s="77"/>
      <c r="AP976" s="77"/>
      <c r="AQ976" s="77"/>
      <c r="AR976" s="77"/>
      <c r="AS976" s="77"/>
      <c r="AT976" s="77"/>
      <c r="AU976" s="77"/>
      <c r="AV976" s="83" t="str">
        <f>HYPERLINK("https://pbs.twimg.com/profile_images/604674720978497536/uPhkXcdu_normal.jpg")</f>
        <v>https://pbs.twimg.com/profile_images/604674720978497536/uPhkXcdu_normal.jpg</v>
      </c>
      <c r="AW976" s="80" t="s">
        <v>16893</v>
      </c>
      <c r="AX976" s="80" t="s">
        <v>16893</v>
      </c>
      <c r="AY976" s="77"/>
      <c r="AZ976" s="80" t="s">
        <v>20380</v>
      </c>
      <c r="BA976" s="80" t="s">
        <v>20380</v>
      </c>
      <c r="BB976" s="80" t="s">
        <v>20380</v>
      </c>
      <c r="BC976" s="80" t="s">
        <v>16893</v>
      </c>
      <c r="BD976" s="77">
        <v>3230839742</v>
      </c>
      <c r="BE976" s="77"/>
      <c r="BF976" s="77"/>
      <c r="BG976" s="77"/>
      <c r="BH976" s="77"/>
      <c r="BI976" s="77"/>
    </row>
    <row r="977" spans="1:61" x14ac:dyDescent="0.25">
      <c r="A977" s="62" t="s">
        <v>585</v>
      </c>
      <c r="B977" s="62" t="s">
        <v>585</v>
      </c>
      <c r="C977" s="63"/>
      <c r="D977" s="64"/>
      <c r="E977" s="65"/>
      <c r="F977" s="66"/>
      <c r="G977" s="63"/>
      <c r="H977" s="67"/>
      <c r="I977" s="68"/>
      <c r="J977" s="68"/>
      <c r="K977" s="32"/>
      <c r="L977" s="75">
        <v>977</v>
      </c>
      <c r="M977" s="75"/>
      <c r="N977" s="70"/>
      <c r="O977" s="77" t="s">
        <v>179</v>
      </c>
      <c r="P977" s="79">
        <v>45103.740648148145</v>
      </c>
      <c r="Q977" s="77" t="s">
        <v>2932</v>
      </c>
      <c r="R977" s="77">
        <v>1</v>
      </c>
      <c r="S977" s="77">
        <v>1</v>
      </c>
      <c r="T977" s="77">
        <v>0</v>
      </c>
      <c r="U977" s="77">
        <v>0</v>
      </c>
      <c r="V977" s="77">
        <v>297</v>
      </c>
      <c r="W977" s="80" t="s">
        <v>6590</v>
      </c>
      <c r="X977" s="77"/>
      <c r="Y977" s="77"/>
      <c r="Z977" s="77"/>
      <c r="AA977" s="77" t="s">
        <v>9343</v>
      </c>
      <c r="AB977" s="77" t="s">
        <v>10535</v>
      </c>
      <c r="AC977" s="80" t="s">
        <v>10541</v>
      </c>
      <c r="AD977" s="77" t="s">
        <v>10617</v>
      </c>
      <c r="AE977" s="83" t="str">
        <f>HYPERLINK("https://twitter.com/barzelbrit/status/1673387281770487818")</f>
        <v>https://twitter.com/barzelbrit/status/1673387281770487818</v>
      </c>
      <c r="AF977" s="79">
        <v>45103.740648148145</v>
      </c>
      <c r="AG977" s="85">
        <v>45103</v>
      </c>
      <c r="AH977" s="80" t="s">
        <v>11495</v>
      </c>
      <c r="AI977" s="77" t="b">
        <v>0</v>
      </c>
      <c r="AJ977" s="77"/>
      <c r="AK977" s="77"/>
      <c r="AL977" s="77"/>
      <c r="AM977" s="77"/>
      <c r="AN977" s="77"/>
      <c r="AO977" s="77"/>
      <c r="AP977" s="77"/>
      <c r="AQ977" s="77" t="s">
        <v>14825</v>
      </c>
      <c r="AR977" s="77"/>
      <c r="AS977" s="77"/>
      <c r="AT977" s="77"/>
      <c r="AU977" s="77"/>
      <c r="AV977" s="83" t="str">
        <f>HYPERLINK("https://pbs.twimg.com/media/FzkQVjGWIAUe1gQ.jpg")</f>
        <v>https://pbs.twimg.com/media/FzkQVjGWIAUe1gQ.jpg</v>
      </c>
      <c r="AW977" s="80" t="s">
        <v>16894</v>
      </c>
      <c r="AX977" s="80" t="s">
        <v>16894</v>
      </c>
      <c r="AY977" s="77"/>
      <c r="AZ977" s="80" t="s">
        <v>20380</v>
      </c>
      <c r="BA977" s="80" t="s">
        <v>20380</v>
      </c>
      <c r="BB977" s="80" t="s">
        <v>20380</v>
      </c>
      <c r="BC977" s="80" t="s">
        <v>16894</v>
      </c>
      <c r="BD977" s="80" t="s">
        <v>20669</v>
      </c>
      <c r="BE977" s="77"/>
      <c r="BF977" s="77"/>
      <c r="BG977" s="77"/>
      <c r="BH977" s="77"/>
      <c r="BI977" s="77"/>
    </row>
    <row r="978" spans="1:61" x14ac:dyDescent="0.25">
      <c r="A978" s="62" t="s">
        <v>586</v>
      </c>
      <c r="B978" s="62" t="s">
        <v>586</v>
      </c>
      <c r="C978" s="63"/>
      <c r="D978" s="64"/>
      <c r="E978" s="65"/>
      <c r="F978" s="66"/>
      <c r="G978" s="63"/>
      <c r="H978" s="67"/>
      <c r="I978" s="68"/>
      <c r="J978" s="68"/>
      <c r="K978" s="32"/>
      <c r="L978" s="75">
        <v>978</v>
      </c>
      <c r="M978" s="75"/>
      <c r="N978" s="70"/>
      <c r="O978" s="77" t="s">
        <v>179</v>
      </c>
      <c r="P978" s="79">
        <v>45055.51771990741</v>
      </c>
      <c r="Q978" s="77" t="s">
        <v>2933</v>
      </c>
      <c r="R978" s="77">
        <v>0</v>
      </c>
      <c r="S978" s="77">
        <v>1</v>
      </c>
      <c r="T978" s="77">
        <v>0</v>
      </c>
      <c r="U978" s="77">
        <v>0</v>
      </c>
      <c r="V978" s="77">
        <v>169</v>
      </c>
      <c r="W978" s="80" t="s">
        <v>6591</v>
      </c>
      <c r="X978" s="83" t="str">
        <f>HYPERLINK("https://bit.ly/3Mb7EWs")</f>
        <v>https://bit.ly/3Mb7EWs</v>
      </c>
      <c r="Y978" s="77" t="s">
        <v>8618</v>
      </c>
      <c r="Z978" s="77"/>
      <c r="AA978" s="77"/>
      <c r="AB978" s="77"/>
      <c r="AC978" s="80" t="s">
        <v>10541</v>
      </c>
      <c r="AD978" s="77" t="s">
        <v>10617</v>
      </c>
      <c r="AE978" s="83" t="str">
        <f>HYPERLINK("https://twitter.com/gorilainvest/status/1655911875245121539")</f>
        <v>https://twitter.com/gorilainvest/status/1655911875245121539</v>
      </c>
      <c r="AF978" s="79">
        <v>45055.51771990741</v>
      </c>
      <c r="AG978" s="85">
        <v>45055</v>
      </c>
      <c r="AH978" s="80" t="s">
        <v>11496</v>
      </c>
      <c r="AI978" s="77" t="b">
        <v>0</v>
      </c>
      <c r="AJ978" s="77"/>
      <c r="AK978" s="77"/>
      <c r="AL978" s="77"/>
      <c r="AM978" s="77"/>
      <c r="AN978" s="77"/>
      <c r="AO978" s="77"/>
      <c r="AP978" s="77"/>
      <c r="AQ978" s="77"/>
      <c r="AR978" s="77"/>
      <c r="AS978" s="77"/>
      <c r="AT978" s="77"/>
      <c r="AU978" s="77"/>
      <c r="AV978" s="83" t="str">
        <f>HYPERLINK("https://pbs.twimg.com/profile_images/1594757327395110927/8lETs7UB_normal.jpg")</f>
        <v>https://pbs.twimg.com/profile_images/1594757327395110927/8lETs7UB_normal.jpg</v>
      </c>
      <c r="AW978" s="80" t="s">
        <v>16895</v>
      </c>
      <c r="AX978" s="80" t="s">
        <v>16895</v>
      </c>
      <c r="AY978" s="77"/>
      <c r="AZ978" s="80" t="s">
        <v>20380</v>
      </c>
      <c r="BA978" s="80" t="s">
        <v>20380</v>
      </c>
      <c r="BB978" s="80" t="s">
        <v>20380</v>
      </c>
      <c r="BC978" s="80" t="s">
        <v>16895</v>
      </c>
      <c r="BD978" s="80" t="s">
        <v>20670</v>
      </c>
      <c r="BE978" s="77"/>
      <c r="BF978" s="77"/>
      <c r="BG978" s="77"/>
      <c r="BH978" s="77"/>
      <c r="BI978" s="77"/>
    </row>
    <row r="979" spans="1:61" x14ac:dyDescent="0.25">
      <c r="A979" s="62" t="s">
        <v>587</v>
      </c>
      <c r="B979" s="62" t="s">
        <v>587</v>
      </c>
      <c r="C979" s="63"/>
      <c r="D979" s="64"/>
      <c r="E979" s="65"/>
      <c r="F979" s="66"/>
      <c r="G979" s="63"/>
      <c r="H979" s="67"/>
      <c r="I979" s="68"/>
      <c r="J979" s="68"/>
      <c r="K979" s="32"/>
      <c r="L979" s="75">
        <v>979</v>
      </c>
      <c r="M979" s="75"/>
      <c r="N979" s="70"/>
      <c r="O979" s="77" t="s">
        <v>179</v>
      </c>
      <c r="P979" s="79">
        <v>45110.624108796299</v>
      </c>
      <c r="Q979" s="77" t="s">
        <v>2934</v>
      </c>
      <c r="R979" s="77">
        <v>1</v>
      </c>
      <c r="S979" s="77">
        <v>2</v>
      </c>
      <c r="T979" s="77">
        <v>0</v>
      </c>
      <c r="U979" s="77">
        <v>0</v>
      </c>
      <c r="V979" s="77">
        <v>298</v>
      </c>
      <c r="W979" s="80" t="s">
        <v>6592</v>
      </c>
      <c r="X979" s="77"/>
      <c r="Y979" s="77"/>
      <c r="Z979" s="77"/>
      <c r="AA979" s="77" t="s">
        <v>9344</v>
      </c>
      <c r="AB979" s="77" t="s">
        <v>10535</v>
      </c>
      <c r="AC979" s="80" t="s">
        <v>10542</v>
      </c>
      <c r="AD979" s="77" t="s">
        <v>10620</v>
      </c>
      <c r="AE979" s="83" t="str">
        <f>HYPERLINK("https://twitter.com/derechanews/status/1675881763279650819")</f>
        <v>https://twitter.com/derechanews/status/1675881763279650819</v>
      </c>
      <c r="AF979" s="79">
        <v>45110.624108796299</v>
      </c>
      <c r="AG979" s="85">
        <v>45110</v>
      </c>
      <c r="AH979" s="80" t="s">
        <v>11497</v>
      </c>
      <c r="AI979" s="77" t="b">
        <v>0</v>
      </c>
      <c r="AJ979" s="77"/>
      <c r="AK979" s="77"/>
      <c r="AL979" s="77"/>
      <c r="AM979" s="77"/>
      <c r="AN979" s="77"/>
      <c r="AO979" s="77"/>
      <c r="AP979" s="77"/>
      <c r="AQ979" s="77" t="s">
        <v>14826</v>
      </c>
      <c r="AR979" s="77"/>
      <c r="AS979" s="77"/>
      <c r="AT979" s="77"/>
      <c r="AU979" s="77"/>
      <c r="AV979" s="83" t="str">
        <f>HYPERLINK("https://pbs.twimg.com/media/F0Htk-xXoAAODKU.jpg")</f>
        <v>https://pbs.twimg.com/media/F0Htk-xXoAAODKU.jpg</v>
      </c>
      <c r="AW979" s="80" t="s">
        <v>16896</v>
      </c>
      <c r="AX979" s="80" t="s">
        <v>16896</v>
      </c>
      <c r="AY979" s="77"/>
      <c r="AZ979" s="80" t="s">
        <v>20380</v>
      </c>
      <c r="BA979" s="80" t="s">
        <v>20380</v>
      </c>
      <c r="BB979" s="80" t="s">
        <v>20380</v>
      </c>
      <c r="BC979" s="80" t="s">
        <v>16896</v>
      </c>
      <c r="BD979" s="77">
        <v>1452353106</v>
      </c>
      <c r="BE979" s="77"/>
      <c r="BF979" s="77"/>
      <c r="BG979" s="77"/>
      <c r="BH979" s="77"/>
      <c r="BI979" s="77"/>
    </row>
    <row r="980" spans="1:61" x14ac:dyDescent="0.25">
      <c r="A980" s="62" t="s">
        <v>587</v>
      </c>
      <c r="B980" s="62" t="s">
        <v>587</v>
      </c>
      <c r="C980" s="63"/>
      <c r="D980" s="64"/>
      <c r="E980" s="65"/>
      <c r="F980" s="66"/>
      <c r="G980" s="63"/>
      <c r="H980" s="67"/>
      <c r="I980" s="68"/>
      <c r="J980" s="68"/>
      <c r="K980" s="32"/>
      <c r="L980" s="75">
        <v>980</v>
      </c>
      <c r="M980" s="75"/>
      <c r="N980" s="70"/>
      <c r="O980" s="77" t="s">
        <v>179</v>
      </c>
      <c r="P980" s="79">
        <v>45096.624444444446</v>
      </c>
      <c r="Q980" s="77" t="s">
        <v>2935</v>
      </c>
      <c r="R980" s="77">
        <v>10</v>
      </c>
      <c r="S980" s="77">
        <v>2</v>
      </c>
      <c r="T980" s="77">
        <v>5</v>
      </c>
      <c r="U980" s="77">
        <v>0</v>
      </c>
      <c r="V980" s="77">
        <v>980</v>
      </c>
      <c r="W980" s="80" t="s">
        <v>6593</v>
      </c>
      <c r="X980" s="77"/>
      <c r="Y980" s="77"/>
      <c r="Z980" s="77"/>
      <c r="AA980" s="77" t="s">
        <v>9345</v>
      </c>
      <c r="AB980" s="77" t="s">
        <v>10534</v>
      </c>
      <c r="AC980" s="80" t="s">
        <v>10542</v>
      </c>
      <c r="AD980" s="77" t="s">
        <v>10620</v>
      </c>
      <c r="AE980" s="83" t="str">
        <f>HYPERLINK("https://twitter.com/derechanews/status/1670808453336399873")</f>
        <v>https://twitter.com/derechanews/status/1670808453336399873</v>
      </c>
      <c r="AF980" s="79">
        <v>45096.624444444446</v>
      </c>
      <c r="AG980" s="85">
        <v>45096</v>
      </c>
      <c r="AH980" s="80" t="s">
        <v>11498</v>
      </c>
      <c r="AI980" s="77" t="b">
        <v>0</v>
      </c>
      <c r="AJ980" s="77"/>
      <c r="AK980" s="77"/>
      <c r="AL980" s="77"/>
      <c r="AM980" s="77"/>
      <c r="AN980" s="77"/>
      <c r="AO980" s="77"/>
      <c r="AP980" s="77"/>
      <c r="AQ980" s="77" t="s">
        <v>14827</v>
      </c>
      <c r="AR980" s="77">
        <v>36873</v>
      </c>
      <c r="AS980" s="77"/>
      <c r="AT980" s="77"/>
      <c r="AU980" s="77"/>
      <c r="AV980" s="83" t="str">
        <f>HYPERLINK("https://pbs.twimg.com/ext_tw_video_thumb/1670808423414259713/pu/img/y25LBODZ9IXEE519.jpg")</f>
        <v>https://pbs.twimg.com/ext_tw_video_thumb/1670808423414259713/pu/img/y25LBODZ9IXEE519.jpg</v>
      </c>
      <c r="AW980" s="80" t="s">
        <v>16897</v>
      </c>
      <c r="AX980" s="80" t="s">
        <v>16897</v>
      </c>
      <c r="AY980" s="77"/>
      <c r="AZ980" s="80" t="s">
        <v>20380</v>
      </c>
      <c r="BA980" s="80" t="s">
        <v>20380</v>
      </c>
      <c r="BB980" s="80" t="s">
        <v>20380</v>
      </c>
      <c r="BC980" s="80" t="s">
        <v>16897</v>
      </c>
      <c r="BD980" s="77">
        <v>1452353106</v>
      </c>
      <c r="BE980" s="77"/>
      <c r="BF980" s="77"/>
      <c r="BG980" s="77"/>
      <c r="BH980" s="77"/>
      <c r="BI980" s="77"/>
    </row>
    <row r="981" spans="1:61" x14ac:dyDescent="0.25">
      <c r="A981" s="62" t="s">
        <v>588</v>
      </c>
      <c r="B981" s="62" t="s">
        <v>588</v>
      </c>
      <c r="C981" s="63"/>
      <c r="D981" s="64"/>
      <c r="E981" s="65"/>
      <c r="F981" s="66"/>
      <c r="G981" s="63"/>
      <c r="H981" s="67"/>
      <c r="I981" s="68"/>
      <c r="J981" s="68"/>
      <c r="K981" s="32"/>
      <c r="L981" s="75">
        <v>981</v>
      </c>
      <c r="M981" s="75"/>
      <c r="N981" s="70"/>
      <c r="O981" s="77" t="s">
        <v>179</v>
      </c>
      <c r="P981" s="79">
        <v>45117.561585648145</v>
      </c>
      <c r="Q981" s="77" t="s">
        <v>2936</v>
      </c>
      <c r="R981" s="77">
        <v>0</v>
      </c>
      <c r="S981" s="77">
        <v>0</v>
      </c>
      <c r="T981" s="77">
        <v>0</v>
      </c>
      <c r="U981" s="77">
        <v>0</v>
      </c>
      <c r="V981" s="77">
        <v>31</v>
      </c>
      <c r="W981" s="80" t="s">
        <v>6594</v>
      </c>
      <c r="X981" s="83" t="str">
        <f>HYPERLINK("https://contraponto.jor.br/mercado-preve-inflacao-este-ano-de-495/?feed_id=313&amp;_unique_id=64ac078903ed1")</f>
        <v>https://contraponto.jor.br/mercado-preve-inflacao-este-ano-de-495/?feed_id=313&amp;_unique_id=64ac078903ed1</v>
      </c>
      <c r="Y981" s="77" t="s">
        <v>8701</v>
      </c>
      <c r="Z981" s="77"/>
      <c r="AA981" s="77"/>
      <c r="AB981" s="77"/>
      <c r="AC981" s="80" t="s">
        <v>10541</v>
      </c>
      <c r="AD981" s="77" t="s">
        <v>10617</v>
      </c>
      <c r="AE981" s="83" t="str">
        <f>HYPERLINK("https://twitter.com/contraponto_jor/status/1678395820134088705")</f>
        <v>https://twitter.com/contraponto_jor/status/1678395820134088705</v>
      </c>
      <c r="AF981" s="79">
        <v>45117.561585648145</v>
      </c>
      <c r="AG981" s="85">
        <v>45117</v>
      </c>
      <c r="AH981" s="80" t="s">
        <v>11499</v>
      </c>
      <c r="AI981" s="77" t="b">
        <v>0</v>
      </c>
      <c r="AJ981" s="77"/>
      <c r="AK981" s="77"/>
      <c r="AL981" s="77"/>
      <c r="AM981" s="77"/>
      <c r="AN981" s="77"/>
      <c r="AO981" s="77"/>
      <c r="AP981" s="77"/>
      <c r="AQ981" s="77"/>
      <c r="AR981" s="77"/>
      <c r="AS981" s="77"/>
      <c r="AT981" s="77"/>
      <c r="AU981" s="77"/>
      <c r="AV981" s="83" t="str">
        <f>HYPERLINK("https://pbs.twimg.com/profile_images/884435440467677184/8hP6XcAD_normal.jpg")</f>
        <v>https://pbs.twimg.com/profile_images/884435440467677184/8hP6XcAD_normal.jpg</v>
      </c>
      <c r="AW981" s="80" t="s">
        <v>16898</v>
      </c>
      <c r="AX981" s="80" t="s">
        <v>16898</v>
      </c>
      <c r="AY981" s="77"/>
      <c r="AZ981" s="80" t="s">
        <v>20380</v>
      </c>
      <c r="BA981" s="80" t="s">
        <v>20380</v>
      </c>
      <c r="BB981" s="80" t="s">
        <v>20380</v>
      </c>
      <c r="BC981" s="80" t="s">
        <v>16898</v>
      </c>
      <c r="BD981" s="80" t="s">
        <v>20671</v>
      </c>
      <c r="BE981" s="77"/>
      <c r="BF981" s="77"/>
      <c r="BG981" s="77"/>
      <c r="BH981" s="77"/>
      <c r="BI981" s="77"/>
    </row>
    <row r="982" spans="1:61" x14ac:dyDescent="0.25">
      <c r="A982" s="62" t="s">
        <v>588</v>
      </c>
      <c r="B982" s="62" t="s">
        <v>588</v>
      </c>
      <c r="C982" s="63"/>
      <c r="D982" s="64"/>
      <c r="E982" s="65"/>
      <c r="F982" s="66"/>
      <c r="G982" s="63"/>
      <c r="H982" s="67"/>
      <c r="I982" s="68"/>
      <c r="J982" s="68"/>
      <c r="K982" s="32"/>
      <c r="L982" s="75">
        <v>982</v>
      </c>
      <c r="M982" s="75"/>
      <c r="N982" s="70"/>
      <c r="O982" s="77" t="s">
        <v>179</v>
      </c>
      <c r="P982" s="79">
        <v>45145.734189814815</v>
      </c>
      <c r="Q982" s="77" t="s">
        <v>2937</v>
      </c>
      <c r="R982" s="77">
        <v>0</v>
      </c>
      <c r="S982" s="77">
        <v>0</v>
      </c>
      <c r="T982" s="77">
        <v>1</v>
      </c>
      <c r="U982" s="77">
        <v>0</v>
      </c>
      <c r="V982" s="77">
        <v>40</v>
      </c>
      <c r="W982" s="80" t="s">
        <v>6595</v>
      </c>
      <c r="X982" s="83" t="str">
        <f>HYPERLINK("https://contraponto.jor.br/a-moeda-digital-brasileira-ganha-um-nome-drex/?feed_id=651&amp;_unique_id=64d12bc9f240b")</f>
        <v>https://contraponto.jor.br/a-moeda-digital-brasileira-ganha-um-nome-drex/?feed_id=651&amp;_unique_id=64d12bc9f240b</v>
      </c>
      <c r="Y982" s="77" t="s">
        <v>8701</v>
      </c>
      <c r="Z982" s="77"/>
      <c r="AA982" s="77"/>
      <c r="AB982" s="77"/>
      <c r="AC982" s="80" t="s">
        <v>10541</v>
      </c>
      <c r="AD982" s="77" t="s">
        <v>10617</v>
      </c>
      <c r="AE982" s="83" t="str">
        <f>HYPERLINK("https://twitter.com/contraponto_jor/status/1688605229854408705")</f>
        <v>https://twitter.com/contraponto_jor/status/1688605229854408705</v>
      </c>
      <c r="AF982" s="79">
        <v>45145.734189814815</v>
      </c>
      <c r="AG982" s="85">
        <v>45145</v>
      </c>
      <c r="AH982" s="80" t="s">
        <v>11500</v>
      </c>
      <c r="AI982" s="77" t="b">
        <v>0</v>
      </c>
      <c r="AJ982" s="77"/>
      <c r="AK982" s="77"/>
      <c r="AL982" s="77"/>
      <c r="AM982" s="77"/>
      <c r="AN982" s="77"/>
      <c r="AO982" s="77"/>
      <c r="AP982" s="77"/>
      <c r="AQ982" s="77"/>
      <c r="AR982" s="77"/>
      <c r="AS982" s="77"/>
      <c r="AT982" s="77"/>
      <c r="AU982" s="77"/>
      <c r="AV982" s="83" t="str">
        <f>HYPERLINK("https://pbs.twimg.com/profile_images/884435440467677184/8hP6XcAD_normal.jpg")</f>
        <v>https://pbs.twimg.com/profile_images/884435440467677184/8hP6XcAD_normal.jpg</v>
      </c>
      <c r="AW982" s="80" t="s">
        <v>16899</v>
      </c>
      <c r="AX982" s="80" t="s">
        <v>16899</v>
      </c>
      <c r="AY982" s="77"/>
      <c r="AZ982" s="80" t="s">
        <v>20380</v>
      </c>
      <c r="BA982" s="80" t="s">
        <v>20380</v>
      </c>
      <c r="BB982" s="80" t="s">
        <v>20380</v>
      </c>
      <c r="BC982" s="80" t="s">
        <v>16899</v>
      </c>
      <c r="BD982" s="80" t="s">
        <v>20671</v>
      </c>
      <c r="BE982" s="77"/>
      <c r="BF982" s="77"/>
      <c r="BG982" s="77"/>
      <c r="BH982" s="77"/>
      <c r="BI982" s="77"/>
    </row>
    <row r="983" spans="1:61" x14ac:dyDescent="0.25">
      <c r="A983" s="62" t="s">
        <v>589</v>
      </c>
      <c r="B983" s="62" t="s">
        <v>1596</v>
      </c>
      <c r="C983" s="63"/>
      <c r="D983" s="64"/>
      <c r="E983" s="65"/>
      <c r="F983" s="66"/>
      <c r="G983" s="63"/>
      <c r="H983" s="67"/>
      <c r="I983" s="68"/>
      <c r="J983" s="68"/>
      <c r="K983" s="32"/>
      <c r="L983" s="75">
        <v>983</v>
      </c>
      <c r="M983" s="75"/>
      <c r="N983" s="70"/>
      <c r="O983" s="77" t="s">
        <v>2081</v>
      </c>
      <c r="P983" s="79">
        <v>45115.078356481485</v>
      </c>
      <c r="Q983" s="77" t="s">
        <v>2938</v>
      </c>
      <c r="R983" s="77">
        <v>1</v>
      </c>
      <c r="S983" s="77">
        <v>3</v>
      </c>
      <c r="T983" s="77">
        <v>0</v>
      </c>
      <c r="U983" s="77">
        <v>0</v>
      </c>
      <c r="V983" s="77">
        <v>70</v>
      </c>
      <c r="W983" s="80" t="s">
        <v>6008</v>
      </c>
      <c r="X983" s="77"/>
      <c r="Y983" s="77"/>
      <c r="Z983" s="77" t="s">
        <v>1596</v>
      </c>
      <c r="AA983" s="77" t="s">
        <v>9346</v>
      </c>
      <c r="AB983" s="77" t="s">
        <v>10536</v>
      </c>
      <c r="AC983" s="80" t="s">
        <v>10540</v>
      </c>
      <c r="AD983" s="77" t="s">
        <v>10617</v>
      </c>
      <c r="AE983" s="83" t="str">
        <f>HYPERLINK("https://twitter.com/augustotuy/status/1677495929606139906")</f>
        <v>https://twitter.com/augustotuy/status/1677495929606139906</v>
      </c>
      <c r="AF983" s="79">
        <v>45115.078356481485</v>
      </c>
      <c r="AG983" s="85">
        <v>45115</v>
      </c>
      <c r="AH983" s="80" t="s">
        <v>11501</v>
      </c>
      <c r="AI983" s="77" t="b">
        <v>0</v>
      </c>
      <c r="AJ983" s="77"/>
      <c r="AK983" s="77"/>
      <c r="AL983" s="77"/>
      <c r="AM983" s="77"/>
      <c r="AN983" s="77"/>
      <c r="AO983" s="77"/>
      <c r="AP983" s="77"/>
      <c r="AQ983" s="77" t="s">
        <v>14828</v>
      </c>
      <c r="AR983" s="77"/>
      <c r="AS983" s="77"/>
      <c r="AT983" s="77"/>
      <c r="AU983" s="77"/>
      <c r="AV983" s="83" t="str">
        <f>HYPERLINK("https://pbs.twimg.com/media/F0eppo2WYAErEaJ.jpg")</f>
        <v>https://pbs.twimg.com/media/F0eppo2WYAErEaJ.jpg</v>
      </c>
      <c r="AW983" s="80" t="s">
        <v>16900</v>
      </c>
      <c r="AX983" s="80" t="s">
        <v>16900</v>
      </c>
      <c r="AY983" s="77"/>
      <c r="AZ983" s="80" t="s">
        <v>20380</v>
      </c>
      <c r="BA983" s="80" t="s">
        <v>20380</v>
      </c>
      <c r="BB983" s="80" t="s">
        <v>20380</v>
      </c>
      <c r="BC983" s="80" t="s">
        <v>16900</v>
      </c>
      <c r="BD983" s="77">
        <v>548797708</v>
      </c>
      <c r="BE983" s="77"/>
      <c r="BF983" s="77"/>
      <c r="BG983" s="77"/>
      <c r="BH983" s="77"/>
      <c r="BI983" s="77"/>
    </row>
    <row r="984" spans="1:61" x14ac:dyDescent="0.25">
      <c r="A984" s="62" t="s">
        <v>590</v>
      </c>
      <c r="B984" s="62" t="s">
        <v>590</v>
      </c>
      <c r="C984" s="63"/>
      <c r="D984" s="64"/>
      <c r="E984" s="65"/>
      <c r="F984" s="66"/>
      <c r="G984" s="63"/>
      <c r="H984" s="67"/>
      <c r="I984" s="68"/>
      <c r="J984" s="68"/>
      <c r="K984" s="32"/>
      <c r="L984" s="75">
        <v>984</v>
      </c>
      <c r="M984" s="75"/>
      <c r="N984" s="70"/>
      <c r="O984" s="77" t="s">
        <v>179</v>
      </c>
      <c r="P984" s="79">
        <v>45134.980069444442</v>
      </c>
      <c r="Q984" s="77" t="s">
        <v>2939</v>
      </c>
      <c r="R984" s="77">
        <v>1</v>
      </c>
      <c r="S984" s="77">
        <v>1</v>
      </c>
      <c r="T984" s="77">
        <v>0</v>
      </c>
      <c r="U984" s="77">
        <v>0</v>
      </c>
      <c r="V984" s="77">
        <v>96</v>
      </c>
      <c r="W984" s="80" t="s">
        <v>6596</v>
      </c>
      <c r="X984" s="77"/>
      <c r="Y984" s="77"/>
      <c r="Z984" s="77"/>
      <c r="AA984" s="77" t="s">
        <v>9347</v>
      </c>
      <c r="AB984" s="77" t="s">
        <v>10534</v>
      </c>
      <c r="AC984" s="80" t="s">
        <v>10540</v>
      </c>
      <c r="AD984" s="77" t="s">
        <v>10617</v>
      </c>
      <c r="AE984" s="83" t="str">
        <f>HYPERLINK("https://twitter.com/brasilpelopoder/status/1684708066317459457")</f>
        <v>https://twitter.com/brasilpelopoder/status/1684708066317459457</v>
      </c>
      <c r="AF984" s="79">
        <v>45134.980069444442</v>
      </c>
      <c r="AG984" s="85">
        <v>45134</v>
      </c>
      <c r="AH984" s="80" t="s">
        <v>11502</v>
      </c>
      <c r="AI984" s="77" t="b">
        <v>0</v>
      </c>
      <c r="AJ984" s="77"/>
      <c r="AK984" s="77"/>
      <c r="AL984" s="77"/>
      <c r="AM984" s="77"/>
      <c r="AN984" s="77"/>
      <c r="AO984" s="77"/>
      <c r="AP984" s="77"/>
      <c r="AQ984" s="77" t="s">
        <v>14829</v>
      </c>
      <c r="AR984" s="77">
        <v>42076</v>
      </c>
      <c r="AS984" s="77"/>
      <c r="AT984" s="77"/>
      <c r="AU984" s="77"/>
      <c r="AV984" s="83" t="str">
        <f>HYPERLINK("https://pbs.twimg.com/ext_tw_video_thumb/1684707477231747072/pu/img/yKtb5hguObRJ1RjP.jpg")</f>
        <v>https://pbs.twimg.com/ext_tw_video_thumb/1684707477231747072/pu/img/yKtb5hguObRJ1RjP.jpg</v>
      </c>
      <c r="AW984" s="80" t="s">
        <v>16901</v>
      </c>
      <c r="AX984" s="80" t="s">
        <v>16901</v>
      </c>
      <c r="AY984" s="77"/>
      <c r="AZ984" s="80" t="s">
        <v>20380</v>
      </c>
      <c r="BA984" s="80" t="s">
        <v>20380</v>
      </c>
      <c r="BB984" s="80" t="s">
        <v>20380</v>
      </c>
      <c r="BC984" s="80" t="s">
        <v>16901</v>
      </c>
      <c r="BD984" s="80" t="s">
        <v>20672</v>
      </c>
      <c r="BE984" s="77"/>
      <c r="BF984" s="77"/>
      <c r="BG984" s="77"/>
      <c r="BH984" s="77"/>
      <c r="BI984" s="77"/>
    </row>
    <row r="985" spans="1:61" x14ac:dyDescent="0.25">
      <c r="A985" s="62" t="s">
        <v>590</v>
      </c>
      <c r="B985" s="62" t="s">
        <v>590</v>
      </c>
      <c r="C985" s="63"/>
      <c r="D985" s="64"/>
      <c r="E985" s="65"/>
      <c r="F985" s="66"/>
      <c r="G985" s="63"/>
      <c r="H985" s="67"/>
      <c r="I985" s="68"/>
      <c r="J985" s="68"/>
      <c r="K985" s="32"/>
      <c r="L985" s="75">
        <v>985</v>
      </c>
      <c r="M985" s="75"/>
      <c r="N985" s="70"/>
      <c r="O985" s="77" t="s">
        <v>179</v>
      </c>
      <c r="P985" s="79">
        <v>45141.977673611109</v>
      </c>
      <c r="Q985" s="77" t="s">
        <v>2940</v>
      </c>
      <c r="R985" s="77">
        <v>0</v>
      </c>
      <c r="S985" s="77">
        <v>0</v>
      </c>
      <c r="T985" s="77">
        <v>0</v>
      </c>
      <c r="U985" s="77">
        <v>0</v>
      </c>
      <c r="V985" s="77">
        <v>55</v>
      </c>
      <c r="W985" s="80" t="s">
        <v>6597</v>
      </c>
      <c r="X985" s="77"/>
      <c r="Y985" s="77"/>
      <c r="Z985" s="77"/>
      <c r="AA985" s="77" t="s">
        <v>9348</v>
      </c>
      <c r="AB985" s="77" t="s">
        <v>10534</v>
      </c>
      <c r="AC985" s="80" t="s">
        <v>10540</v>
      </c>
      <c r="AD985" s="77" t="s">
        <v>10617</v>
      </c>
      <c r="AE985" s="83" t="str">
        <f>HYPERLINK("https://twitter.com/brasilpelopoder/status/1687243913780695041")</f>
        <v>https://twitter.com/brasilpelopoder/status/1687243913780695041</v>
      </c>
      <c r="AF985" s="79">
        <v>45141.977673611109</v>
      </c>
      <c r="AG985" s="85">
        <v>45141</v>
      </c>
      <c r="AH985" s="80" t="s">
        <v>11503</v>
      </c>
      <c r="AI985" s="77" t="b">
        <v>0</v>
      </c>
      <c r="AJ985" s="77"/>
      <c r="AK985" s="77"/>
      <c r="AL985" s="77"/>
      <c r="AM985" s="77"/>
      <c r="AN985" s="77"/>
      <c r="AO985" s="77"/>
      <c r="AP985" s="77"/>
      <c r="AQ985" s="77" t="s">
        <v>14830</v>
      </c>
      <c r="AR985" s="77">
        <v>57000</v>
      </c>
      <c r="AS985" s="77"/>
      <c r="AT985" s="77"/>
      <c r="AU985" s="77"/>
      <c r="AV985" s="83" t="str">
        <f>HYPERLINK("https://pbs.twimg.com/ext_tw_video_thumb/1687243643977863168/pu/img/NqiA6DD6io93SDmw.jpg")</f>
        <v>https://pbs.twimg.com/ext_tw_video_thumb/1687243643977863168/pu/img/NqiA6DD6io93SDmw.jpg</v>
      </c>
      <c r="AW985" s="80" t="s">
        <v>16902</v>
      </c>
      <c r="AX985" s="80" t="s">
        <v>16902</v>
      </c>
      <c r="AY985" s="77"/>
      <c r="AZ985" s="80" t="s">
        <v>20380</v>
      </c>
      <c r="BA985" s="80" t="s">
        <v>20380</v>
      </c>
      <c r="BB985" s="80" t="s">
        <v>20380</v>
      </c>
      <c r="BC985" s="80" t="s">
        <v>16902</v>
      </c>
      <c r="BD985" s="80" t="s">
        <v>20672</v>
      </c>
      <c r="BE985" s="77"/>
      <c r="BF985" s="77"/>
      <c r="BG985" s="77"/>
      <c r="BH985" s="77"/>
      <c r="BI985" s="77"/>
    </row>
    <row r="986" spans="1:61" x14ac:dyDescent="0.25">
      <c r="A986" s="62" t="s">
        <v>590</v>
      </c>
      <c r="B986" s="62" t="s">
        <v>590</v>
      </c>
      <c r="C986" s="63"/>
      <c r="D986" s="64"/>
      <c r="E986" s="65"/>
      <c r="F986" s="66"/>
      <c r="G986" s="63"/>
      <c r="H986" s="67"/>
      <c r="I986" s="68"/>
      <c r="J986" s="68"/>
      <c r="K986" s="32"/>
      <c r="L986" s="75">
        <v>986</v>
      </c>
      <c r="M986" s="75"/>
      <c r="N986" s="70"/>
      <c r="O986" s="77" t="s">
        <v>179</v>
      </c>
      <c r="P986" s="79">
        <v>45140.954143518517</v>
      </c>
      <c r="Q986" s="77" t="s">
        <v>2941</v>
      </c>
      <c r="R986" s="77">
        <v>0</v>
      </c>
      <c r="S986" s="77">
        <v>0</v>
      </c>
      <c r="T986" s="77">
        <v>0</v>
      </c>
      <c r="U986" s="77">
        <v>0</v>
      </c>
      <c r="V986" s="77">
        <v>62</v>
      </c>
      <c r="W986" s="80" t="s">
        <v>6598</v>
      </c>
      <c r="X986" s="77"/>
      <c r="Y986" s="77"/>
      <c r="Z986" s="77"/>
      <c r="AA986" s="77" t="s">
        <v>9349</v>
      </c>
      <c r="AB986" s="77" t="s">
        <v>10534</v>
      </c>
      <c r="AC986" s="80" t="s">
        <v>10540</v>
      </c>
      <c r="AD986" s="77" t="s">
        <v>10617</v>
      </c>
      <c r="AE986" s="83" t="str">
        <f>HYPERLINK("https://twitter.com/brasilpelopoder/status/1686872998735749120")</f>
        <v>https://twitter.com/brasilpelopoder/status/1686872998735749120</v>
      </c>
      <c r="AF986" s="79">
        <v>45140.954143518517</v>
      </c>
      <c r="AG986" s="85">
        <v>45140</v>
      </c>
      <c r="AH986" s="80" t="s">
        <v>11504</v>
      </c>
      <c r="AI986" s="77" t="b">
        <v>0</v>
      </c>
      <c r="AJ986" s="77"/>
      <c r="AK986" s="77"/>
      <c r="AL986" s="77"/>
      <c r="AM986" s="77"/>
      <c r="AN986" s="77"/>
      <c r="AO986" s="77"/>
      <c r="AP986" s="77"/>
      <c r="AQ986" s="77" t="s">
        <v>14831</v>
      </c>
      <c r="AR986" s="77">
        <v>15033</v>
      </c>
      <c r="AS986" s="77"/>
      <c r="AT986" s="77"/>
      <c r="AU986" s="77"/>
      <c r="AV986" s="83" t="str">
        <f>HYPERLINK("https://pbs.twimg.com/ext_tw_video_thumb/1686872901348212738/pu/img/nSx5BKxCkYoVjLRh.jpg")</f>
        <v>https://pbs.twimg.com/ext_tw_video_thumb/1686872901348212738/pu/img/nSx5BKxCkYoVjLRh.jpg</v>
      </c>
      <c r="AW986" s="80" t="s">
        <v>16903</v>
      </c>
      <c r="AX986" s="80" t="s">
        <v>16903</v>
      </c>
      <c r="AY986" s="77"/>
      <c r="AZ986" s="80" t="s">
        <v>20380</v>
      </c>
      <c r="BA986" s="80" t="s">
        <v>20380</v>
      </c>
      <c r="BB986" s="80" t="s">
        <v>20380</v>
      </c>
      <c r="BC986" s="80" t="s">
        <v>16903</v>
      </c>
      <c r="BD986" s="80" t="s">
        <v>20672</v>
      </c>
      <c r="BE986" s="77"/>
      <c r="BF986" s="77"/>
      <c r="BG986" s="77"/>
      <c r="BH986" s="77"/>
      <c r="BI986" s="77"/>
    </row>
    <row r="987" spans="1:61" x14ac:dyDescent="0.25">
      <c r="A987" s="62" t="s">
        <v>590</v>
      </c>
      <c r="B987" s="62" t="s">
        <v>590</v>
      </c>
      <c r="C987" s="63"/>
      <c r="D987" s="64"/>
      <c r="E987" s="65"/>
      <c r="F987" s="66"/>
      <c r="G987" s="63"/>
      <c r="H987" s="67"/>
      <c r="I987" s="68"/>
      <c r="J987" s="68"/>
      <c r="K987" s="32"/>
      <c r="L987" s="75">
        <v>987</v>
      </c>
      <c r="M987" s="75"/>
      <c r="N987" s="70"/>
      <c r="O987" s="77" t="s">
        <v>179</v>
      </c>
      <c r="P987" s="79">
        <v>45099.547453703701</v>
      </c>
      <c r="Q987" s="77" t="s">
        <v>2942</v>
      </c>
      <c r="R987" s="77">
        <v>0</v>
      </c>
      <c r="S987" s="77">
        <v>0</v>
      </c>
      <c r="T987" s="77">
        <v>0</v>
      </c>
      <c r="U987" s="77">
        <v>0</v>
      </c>
      <c r="V987" s="77">
        <v>34</v>
      </c>
      <c r="W987" s="80" t="s">
        <v>6599</v>
      </c>
      <c r="X987" s="77"/>
      <c r="Y987" s="77"/>
      <c r="Z987" s="77"/>
      <c r="AA987" s="77" t="s">
        <v>9350</v>
      </c>
      <c r="AB987" s="77" t="s">
        <v>10534</v>
      </c>
      <c r="AC987" s="80" t="s">
        <v>10540</v>
      </c>
      <c r="AD987" s="77" t="s">
        <v>10617</v>
      </c>
      <c r="AE987" s="83" t="str">
        <f>HYPERLINK("https://twitter.com/brasilpelopoder/status/1671867718654472192")</f>
        <v>https://twitter.com/brasilpelopoder/status/1671867718654472192</v>
      </c>
      <c r="AF987" s="79">
        <v>45099.547453703701</v>
      </c>
      <c r="AG987" s="85">
        <v>45099</v>
      </c>
      <c r="AH987" s="80" t="s">
        <v>11505</v>
      </c>
      <c r="AI987" s="77" t="b">
        <v>0</v>
      </c>
      <c r="AJ987" s="77"/>
      <c r="AK987" s="77"/>
      <c r="AL987" s="77"/>
      <c r="AM987" s="77"/>
      <c r="AN987" s="77"/>
      <c r="AO987" s="77"/>
      <c r="AP987" s="77"/>
      <c r="AQ987" s="77" t="s">
        <v>14832</v>
      </c>
      <c r="AR987" s="77">
        <v>45028</v>
      </c>
      <c r="AS987" s="77"/>
      <c r="AT987" s="77"/>
      <c r="AU987" s="77"/>
      <c r="AV987" s="83" t="str">
        <f>HYPERLINK("https://pbs.twimg.com/ext_tw_video_thumb/1671867623506673664/pu/img/Vaun9_u__m3uVQ5e.jpg")</f>
        <v>https://pbs.twimg.com/ext_tw_video_thumb/1671867623506673664/pu/img/Vaun9_u__m3uVQ5e.jpg</v>
      </c>
      <c r="AW987" s="80" t="s">
        <v>16904</v>
      </c>
      <c r="AX987" s="80" t="s">
        <v>16904</v>
      </c>
      <c r="AY987" s="77"/>
      <c r="AZ987" s="80" t="s">
        <v>20380</v>
      </c>
      <c r="BA987" s="80" t="s">
        <v>20380</v>
      </c>
      <c r="BB987" s="80" t="s">
        <v>20380</v>
      </c>
      <c r="BC987" s="80" t="s">
        <v>16904</v>
      </c>
      <c r="BD987" s="80" t="s">
        <v>20672</v>
      </c>
      <c r="BE987" s="77"/>
      <c r="BF987" s="77"/>
      <c r="BG987" s="77"/>
      <c r="BH987" s="77"/>
      <c r="BI987" s="77"/>
    </row>
    <row r="988" spans="1:61" x14ac:dyDescent="0.25">
      <c r="A988" s="62" t="s">
        <v>591</v>
      </c>
      <c r="B988" s="62" t="s">
        <v>591</v>
      </c>
      <c r="C988" s="63"/>
      <c r="D988" s="64"/>
      <c r="E988" s="65"/>
      <c r="F988" s="66"/>
      <c r="G988" s="63"/>
      <c r="H988" s="67"/>
      <c r="I988" s="68"/>
      <c r="J988" s="68"/>
      <c r="K988" s="32"/>
      <c r="L988" s="75">
        <v>988</v>
      </c>
      <c r="M988" s="75"/>
      <c r="N988" s="70"/>
      <c r="O988" s="77" t="s">
        <v>179</v>
      </c>
      <c r="P988" s="79">
        <v>45063.843136574076</v>
      </c>
      <c r="Q988" s="77" t="s">
        <v>2943</v>
      </c>
      <c r="R988" s="77">
        <v>0</v>
      </c>
      <c r="S988" s="77">
        <v>0</v>
      </c>
      <c r="T988" s="77">
        <v>0</v>
      </c>
      <c r="U988" s="77">
        <v>0</v>
      </c>
      <c r="V988" s="77">
        <v>21</v>
      </c>
      <c r="W988" s="80" t="s">
        <v>6600</v>
      </c>
      <c r="X988" s="77" t="s">
        <v>8602</v>
      </c>
      <c r="Y988" s="77" t="s">
        <v>8622</v>
      </c>
      <c r="Z988" s="77"/>
      <c r="AA988" s="77"/>
      <c r="AB988" s="77"/>
      <c r="AC988" s="80" t="s">
        <v>10549</v>
      </c>
      <c r="AD988" s="77" t="s">
        <v>10620</v>
      </c>
      <c r="AE988" s="83" t="str">
        <f>HYPERLINK("https://twitter.com/alvarojcepeda/status/1658928907628978180")</f>
        <v>https://twitter.com/alvarojcepeda/status/1658928907628978180</v>
      </c>
      <c r="AF988" s="79">
        <v>45063.843136574076</v>
      </c>
      <c r="AG988" s="85">
        <v>45063</v>
      </c>
      <c r="AH988" s="80" t="s">
        <v>11506</v>
      </c>
      <c r="AI988" s="77" t="b">
        <v>0</v>
      </c>
      <c r="AJ988" s="77"/>
      <c r="AK988" s="77"/>
      <c r="AL988" s="77"/>
      <c r="AM988" s="77"/>
      <c r="AN988" s="77"/>
      <c r="AO988" s="77"/>
      <c r="AP988" s="77"/>
      <c r="AQ988" s="77"/>
      <c r="AR988" s="77"/>
      <c r="AS988" s="77"/>
      <c r="AT988" s="77"/>
      <c r="AU988" s="77"/>
      <c r="AV988" s="83" t="str">
        <f>HYPERLINK("https://pbs.twimg.com/profile_images/1600073612421046273/ddw9cg1p_normal.jpg")</f>
        <v>https://pbs.twimg.com/profile_images/1600073612421046273/ddw9cg1p_normal.jpg</v>
      </c>
      <c r="AW988" s="80" t="s">
        <v>16905</v>
      </c>
      <c r="AX988" s="80" t="s">
        <v>16905</v>
      </c>
      <c r="AY988" s="77"/>
      <c r="AZ988" s="80" t="s">
        <v>20380</v>
      </c>
      <c r="BA988" s="80" t="s">
        <v>20380</v>
      </c>
      <c r="BB988" s="80" t="s">
        <v>20380</v>
      </c>
      <c r="BC988" s="80" t="s">
        <v>16905</v>
      </c>
      <c r="BD988" s="77">
        <v>180513473</v>
      </c>
      <c r="BE988" s="77"/>
      <c r="BF988" s="77"/>
      <c r="BG988" s="77"/>
      <c r="BH988" s="77"/>
      <c r="BI988" s="77"/>
    </row>
    <row r="989" spans="1:61" x14ac:dyDescent="0.25">
      <c r="A989" s="62" t="s">
        <v>592</v>
      </c>
      <c r="B989" s="62" t="s">
        <v>592</v>
      </c>
      <c r="C989" s="63"/>
      <c r="D989" s="64"/>
      <c r="E989" s="65"/>
      <c r="F989" s="66"/>
      <c r="G989" s="63"/>
      <c r="H989" s="67"/>
      <c r="I989" s="68"/>
      <c r="J989" s="68"/>
      <c r="K989" s="32"/>
      <c r="L989" s="75">
        <v>989</v>
      </c>
      <c r="M989" s="75"/>
      <c r="N989" s="70"/>
      <c r="O989" s="77" t="s">
        <v>179</v>
      </c>
      <c r="P989" s="79">
        <v>45190.493402777778</v>
      </c>
      <c r="Q989" s="77" t="s">
        <v>2944</v>
      </c>
      <c r="R989" s="77">
        <v>0</v>
      </c>
      <c r="S989" s="77">
        <v>0</v>
      </c>
      <c r="T989" s="77">
        <v>0</v>
      </c>
      <c r="U989" s="77">
        <v>0</v>
      </c>
      <c r="V989" s="77">
        <v>106</v>
      </c>
      <c r="W989" s="80" t="s">
        <v>6601</v>
      </c>
      <c r="X989" s="77"/>
      <c r="Y989" s="77"/>
      <c r="Z989" s="77"/>
      <c r="AA989" s="77"/>
      <c r="AB989" s="77"/>
      <c r="AC989" s="80" t="s">
        <v>10541</v>
      </c>
      <c r="AD989" s="77" t="s">
        <v>10617</v>
      </c>
      <c r="AE989" s="83" t="str">
        <f>HYPERLINK("https://twitter.com/kanygia/status/1704825427821256766")</f>
        <v>https://twitter.com/kanygia/status/1704825427821256766</v>
      </c>
      <c r="AF989" s="79">
        <v>45190.493402777778</v>
      </c>
      <c r="AG989" s="85">
        <v>45190</v>
      </c>
      <c r="AH989" s="80" t="s">
        <v>11507</v>
      </c>
      <c r="AI989" s="77"/>
      <c r="AJ989" s="77"/>
      <c r="AK989" s="77"/>
      <c r="AL989" s="77"/>
      <c r="AM989" s="77"/>
      <c r="AN989" s="77"/>
      <c r="AO989" s="77"/>
      <c r="AP989" s="77"/>
      <c r="AQ989" s="77"/>
      <c r="AR989" s="77"/>
      <c r="AS989" s="77"/>
      <c r="AT989" s="77"/>
      <c r="AU989" s="77"/>
      <c r="AV989" s="83" t="str">
        <f>HYPERLINK("https://pbs.twimg.com/profile_images/1409839009426194433/cW8j2Q7b_normal.jpg")</f>
        <v>https://pbs.twimg.com/profile_images/1409839009426194433/cW8j2Q7b_normal.jpg</v>
      </c>
      <c r="AW989" s="80" t="s">
        <v>16906</v>
      </c>
      <c r="AX989" s="80" t="s">
        <v>16906</v>
      </c>
      <c r="AY989" s="77"/>
      <c r="AZ989" s="80" t="s">
        <v>20380</v>
      </c>
      <c r="BA989" s="80" t="s">
        <v>20380</v>
      </c>
      <c r="BB989" s="80" t="s">
        <v>20380</v>
      </c>
      <c r="BC989" s="80" t="s">
        <v>16906</v>
      </c>
      <c r="BD989" s="77">
        <v>58401477</v>
      </c>
      <c r="BE989" s="77"/>
      <c r="BF989" s="77"/>
      <c r="BG989" s="77"/>
      <c r="BH989" s="77"/>
      <c r="BI989" s="77"/>
    </row>
    <row r="990" spans="1:61" x14ac:dyDescent="0.25">
      <c r="A990" s="62" t="s">
        <v>593</v>
      </c>
      <c r="B990" s="62" t="s">
        <v>593</v>
      </c>
      <c r="C990" s="63"/>
      <c r="D990" s="64"/>
      <c r="E990" s="65"/>
      <c r="F990" s="66"/>
      <c r="G990" s="63"/>
      <c r="H990" s="67"/>
      <c r="I990" s="68"/>
      <c r="J990" s="68"/>
      <c r="K990" s="32"/>
      <c r="L990" s="75">
        <v>990</v>
      </c>
      <c r="M990" s="75"/>
      <c r="N990" s="70"/>
      <c r="O990" s="77" t="s">
        <v>179</v>
      </c>
      <c r="P990" s="79">
        <v>45070.11482638889</v>
      </c>
      <c r="Q990" s="77" t="s">
        <v>2945</v>
      </c>
      <c r="R990" s="77">
        <v>2</v>
      </c>
      <c r="S990" s="77">
        <v>1</v>
      </c>
      <c r="T990" s="77">
        <v>0</v>
      </c>
      <c r="U990" s="77">
        <v>0</v>
      </c>
      <c r="V990" s="77">
        <v>1096</v>
      </c>
      <c r="W990" s="80" t="s">
        <v>6602</v>
      </c>
      <c r="X990" s="77"/>
      <c r="Y990" s="77"/>
      <c r="Z990" s="77"/>
      <c r="AA990" s="77" t="s">
        <v>9351</v>
      </c>
      <c r="AB990" s="77" t="s">
        <v>10534</v>
      </c>
      <c r="AC990" s="80" t="s">
        <v>10540</v>
      </c>
      <c r="AD990" s="77" t="s">
        <v>10619</v>
      </c>
      <c r="AE990" s="83" t="str">
        <f>HYPERLINK("https://twitter.com/fbs_chile/status/1661201692279308289")</f>
        <v>https://twitter.com/fbs_chile/status/1661201692279308289</v>
      </c>
      <c r="AF990" s="79">
        <v>45070.11482638889</v>
      </c>
      <c r="AG990" s="85">
        <v>45070</v>
      </c>
      <c r="AH990" s="80" t="s">
        <v>11508</v>
      </c>
      <c r="AI990" s="77" t="b">
        <v>0</v>
      </c>
      <c r="AJ990" s="77"/>
      <c r="AK990" s="77"/>
      <c r="AL990" s="77"/>
      <c r="AM990" s="77"/>
      <c r="AN990" s="77"/>
      <c r="AO990" s="77"/>
      <c r="AP990" s="77"/>
      <c r="AQ990" s="77" t="s">
        <v>14833</v>
      </c>
      <c r="AR990" s="77">
        <v>15045</v>
      </c>
      <c r="AS990" s="77"/>
      <c r="AT990" s="77"/>
      <c r="AU990" s="77"/>
      <c r="AV990" s="83" t="str">
        <f>HYPERLINK("https://pbs.twimg.com/ext_tw_video_thumb/1661201666807300096/pu/img/a4gIf4fxEiJyZKxL.jpg")</f>
        <v>https://pbs.twimg.com/ext_tw_video_thumb/1661201666807300096/pu/img/a4gIf4fxEiJyZKxL.jpg</v>
      </c>
      <c r="AW990" s="80" t="s">
        <v>16907</v>
      </c>
      <c r="AX990" s="80" t="s">
        <v>16907</v>
      </c>
      <c r="AY990" s="77"/>
      <c r="AZ990" s="80" t="s">
        <v>20380</v>
      </c>
      <c r="BA990" s="80" t="s">
        <v>20380</v>
      </c>
      <c r="BB990" s="80" t="s">
        <v>20380</v>
      </c>
      <c r="BC990" s="80" t="s">
        <v>16907</v>
      </c>
      <c r="BD990" s="80" t="s">
        <v>20673</v>
      </c>
      <c r="BE990" s="77"/>
      <c r="BF990" s="77"/>
      <c r="BG990" s="77"/>
      <c r="BH990" s="77"/>
      <c r="BI990" s="77"/>
    </row>
    <row r="991" spans="1:61" x14ac:dyDescent="0.25">
      <c r="A991" s="62" t="s">
        <v>594</v>
      </c>
      <c r="B991" s="62" t="s">
        <v>594</v>
      </c>
      <c r="C991" s="63"/>
      <c r="D991" s="64"/>
      <c r="E991" s="65"/>
      <c r="F991" s="66"/>
      <c r="G991" s="63"/>
      <c r="H991" s="67"/>
      <c r="I991" s="68"/>
      <c r="J991" s="68"/>
      <c r="K991" s="32"/>
      <c r="L991" s="75">
        <v>991</v>
      </c>
      <c r="M991" s="75"/>
      <c r="N991" s="70"/>
      <c r="O991" s="77" t="s">
        <v>2078</v>
      </c>
      <c r="P991" s="79">
        <v>45153.089155092595</v>
      </c>
      <c r="Q991" s="77" t="s">
        <v>2946</v>
      </c>
      <c r="R991" s="77">
        <v>0</v>
      </c>
      <c r="S991" s="77">
        <v>0</v>
      </c>
      <c r="T991" s="77">
        <v>0</v>
      </c>
      <c r="U991" s="77">
        <v>0</v>
      </c>
      <c r="V991" s="77">
        <v>21</v>
      </c>
      <c r="W991" s="80" t="s">
        <v>6603</v>
      </c>
      <c r="X991" s="83" t="str">
        <f>HYPERLINK("https://www.bcb.gov.br/estabilidadefinanceira/drex")</f>
        <v>https://www.bcb.gov.br/estabilidadefinanceira/drex</v>
      </c>
      <c r="Y991" s="77" t="s">
        <v>8633</v>
      </c>
      <c r="Z991" s="77"/>
      <c r="AA991" s="77"/>
      <c r="AB991" s="77"/>
      <c r="AC991" s="80" t="s">
        <v>10541</v>
      </c>
      <c r="AD991" s="77" t="s">
        <v>10617</v>
      </c>
      <c r="AE991" s="83" t="str">
        <f>HYPERLINK("https://twitter.com/j_henrique_/status/1691270579209338880")</f>
        <v>https://twitter.com/j_henrique_/status/1691270579209338880</v>
      </c>
      <c r="AF991" s="79">
        <v>45153.089155092595</v>
      </c>
      <c r="AG991" s="85">
        <v>45153</v>
      </c>
      <c r="AH991" s="80" t="s">
        <v>11509</v>
      </c>
      <c r="AI991" s="77" t="b">
        <v>0</v>
      </c>
      <c r="AJ991" s="77"/>
      <c r="AK991" s="77"/>
      <c r="AL991" s="77"/>
      <c r="AM991" s="77"/>
      <c r="AN991" s="77"/>
      <c r="AO991" s="77"/>
      <c r="AP991" s="77"/>
      <c r="AQ991" s="77"/>
      <c r="AR991" s="77"/>
      <c r="AS991" s="77"/>
      <c r="AT991" s="77"/>
      <c r="AU991" s="77"/>
      <c r="AV991" s="83" t="str">
        <f>HYPERLINK("https://pbs.twimg.com/profile_images/1703901655190712320/pDeuaAoR_normal.jpg")</f>
        <v>https://pbs.twimg.com/profile_images/1703901655190712320/pDeuaAoR_normal.jpg</v>
      </c>
      <c r="AW991" s="80" t="s">
        <v>16908</v>
      </c>
      <c r="AX991" s="80" t="s">
        <v>20001</v>
      </c>
      <c r="AY991" s="80" t="s">
        <v>20256</v>
      </c>
      <c r="AZ991" s="80" t="s">
        <v>20403</v>
      </c>
      <c r="BA991" s="80" t="s">
        <v>20380</v>
      </c>
      <c r="BB991" s="80" t="s">
        <v>20380</v>
      </c>
      <c r="BC991" s="80" t="s">
        <v>20403</v>
      </c>
      <c r="BD991" s="77">
        <v>272512616</v>
      </c>
      <c r="BE991" s="77"/>
      <c r="BF991" s="77"/>
      <c r="BG991" s="77"/>
      <c r="BH991" s="77"/>
      <c r="BI991" s="77"/>
    </row>
    <row r="992" spans="1:61" x14ac:dyDescent="0.25">
      <c r="A992" s="62" t="s">
        <v>595</v>
      </c>
      <c r="B992" s="62" t="s">
        <v>595</v>
      </c>
      <c r="C992" s="63"/>
      <c r="D992" s="64"/>
      <c r="E992" s="65"/>
      <c r="F992" s="66"/>
      <c r="G992" s="63"/>
      <c r="H992" s="67"/>
      <c r="I992" s="68"/>
      <c r="J992" s="68"/>
      <c r="K992" s="32"/>
      <c r="L992" s="75">
        <v>992</v>
      </c>
      <c r="M992" s="75"/>
      <c r="N992" s="70"/>
      <c r="O992" s="77" t="s">
        <v>179</v>
      </c>
      <c r="P992" s="79">
        <v>45146.557719907411</v>
      </c>
      <c r="Q992" s="77" t="s">
        <v>2947</v>
      </c>
      <c r="R992" s="77">
        <v>15</v>
      </c>
      <c r="S992" s="77">
        <v>93</v>
      </c>
      <c r="T992" s="77">
        <v>9</v>
      </c>
      <c r="U992" s="77">
        <v>1</v>
      </c>
      <c r="V992" s="77">
        <v>11326</v>
      </c>
      <c r="W992" s="80" t="s">
        <v>6604</v>
      </c>
      <c r="X992" s="77"/>
      <c r="Y992" s="77"/>
      <c r="Z992" s="77"/>
      <c r="AA992" s="77" t="s">
        <v>9352</v>
      </c>
      <c r="AB992" s="77" t="s">
        <v>10534</v>
      </c>
      <c r="AC992" s="80" t="s">
        <v>10552</v>
      </c>
      <c r="AD992" s="77" t="s">
        <v>10617</v>
      </c>
      <c r="AE992" s="83" t="str">
        <f>HYPERLINK("https://twitter.com/ricamconsult/status/1688903667309498369")</f>
        <v>https://twitter.com/ricamconsult/status/1688903667309498369</v>
      </c>
      <c r="AF992" s="79">
        <v>45146.557719907411</v>
      </c>
      <c r="AG992" s="85">
        <v>45146</v>
      </c>
      <c r="AH992" s="80" t="s">
        <v>11510</v>
      </c>
      <c r="AI992" s="77" t="b">
        <v>0</v>
      </c>
      <c r="AJ992" s="77"/>
      <c r="AK992" s="77"/>
      <c r="AL992" s="77"/>
      <c r="AM992" s="77"/>
      <c r="AN992" s="77"/>
      <c r="AO992" s="77"/>
      <c r="AP992" s="77"/>
      <c r="AQ992" s="77" t="s">
        <v>14834</v>
      </c>
      <c r="AR992" s="77">
        <v>84900</v>
      </c>
      <c r="AS992" s="77"/>
      <c r="AT992" s="77"/>
      <c r="AU992" s="77"/>
      <c r="AV992" s="83" t="str">
        <f>HYPERLINK("https://pbs.twimg.com/ext_tw_video_thumb/1688903568550473729/pu/img/4dGcH7pGalBjgAAy.jpg")</f>
        <v>https://pbs.twimg.com/ext_tw_video_thumb/1688903568550473729/pu/img/4dGcH7pGalBjgAAy.jpg</v>
      </c>
      <c r="AW992" s="80" t="s">
        <v>16909</v>
      </c>
      <c r="AX992" s="80" t="s">
        <v>16909</v>
      </c>
      <c r="AY992" s="77"/>
      <c r="AZ992" s="80" t="s">
        <v>20380</v>
      </c>
      <c r="BA992" s="80" t="s">
        <v>20380</v>
      </c>
      <c r="BB992" s="80" t="s">
        <v>20380</v>
      </c>
      <c r="BC992" s="80" t="s">
        <v>16909</v>
      </c>
      <c r="BD992" s="77">
        <v>160910872</v>
      </c>
      <c r="BE992" s="77"/>
      <c r="BF992" s="77"/>
      <c r="BG992" s="77"/>
      <c r="BH992" s="77"/>
      <c r="BI992" s="77"/>
    </row>
    <row r="993" spans="1:61" x14ac:dyDescent="0.25">
      <c r="A993" s="62" t="s">
        <v>595</v>
      </c>
      <c r="B993" s="62" t="s">
        <v>595</v>
      </c>
      <c r="C993" s="63"/>
      <c r="D993" s="64"/>
      <c r="E993" s="65"/>
      <c r="F993" s="66"/>
      <c r="G993" s="63"/>
      <c r="H993" s="67"/>
      <c r="I993" s="68"/>
      <c r="J993" s="68"/>
      <c r="K993" s="32"/>
      <c r="L993" s="75">
        <v>993</v>
      </c>
      <c r="M993" s="75"/>
      <c r="N993" s="70"/>
      <c r="O993" s="77" t="s">
        <v>179</v>
      </c>
      <c r="P993" s="79">
        <v>45180.838888888888</v>
      </c>
      <c r="Q993" s="77" t="s">
        <v>2948</v>
      </c>
      <c r="R993" s="77">
        <v>6</v>
      </c>
      <c r="S993" s="77">
        <v>48</v>
      </c>
      <c r="T993" s="77">
        <v>4</v>
      </c>
      <c r="U993" s="77">
        <v>0</v>
      </c>
      <c r="V993" s="77">
        <v>6863</v>
      </c>
      <c r="W993" s="80" t="s">
        <v>6605</v>
      </c>
      <c r="X993" s="77"/>
      <c r="Y993" s="77"/>
      <c r="Z993" s="77"/>
      <c r="AA993" s="77" t="s">
        <v>9353</v>
      </c>
      <c r="AB993" s="77" t="s">
        <v>10534</v>
      </c>
      <c r="AC993" s="80" t="s">
        <v>10541</v>
      </c>
      <c r="AD993" s="77" t="s">
        <v>10617</v>
      </c>
      <c r="AE993" s="83" t="str">
        <f>HYPERLINK("https://twitter.com/ricamconsult/status/1701326746656588128")</f>
        <v>https://twitter.com/ricamconsult/status/1701326746656588128</v>
      </c>
      <c r="AF993" s="79">
        <v>45180.838888888888</v>
      </c>
      <c r="AG993" s="85">
        <v>45180</v>
      </c>
      <c r="AH993" s="80" t="s">
        <v>11511</v>
      </c>
      <c r="AI993" s="77" t="b">
        <v>0</v>
      </c>
      <c r="AJ993" s="77"/>
      <c r="AK993" s="77"/>
      <c r="AL993" s="77"/>
      <c r="AM993" s="77"/>
      <c r="AN993" s="77"/>
      <c r="AO993" s="77"/>
      <c r="AP993" s="77"/>
      <c r="AQ993" s="77" t="s">
        <v>14835</v>
      </c>
      <c r="AR993" s="77">
        <v>194666</v>
      </c>
      <c r="AS993" s="77"/>
      <c r="AT993" s="77"/>
      <c r="AU993" s="77"/>
      <c r="AV993" s="83" t="str">
        <f>HYPERLINK("https://pbs.twimg.com/ext_tw_video_thumb/1701324911388626944/pu/img/lZyNcWUSFVPyx9ZO.jpg")</f>
        <v>https://pbs.twimg.com/ext_tw_video_thumb/1701324911388626944/pu/img/lZyNcWUSFVPyx9ZO.jpg</v>
      </c>
      <c r="AW993" s="80" t="s">
        <v>16910</v>
      </c>
      <c r="AX993" s="80" t="s">
        <v>16910</v>
      </c>
      <c r="AY993" s="77"/>
      <c r="AZ993" s="80" t="s">
        <v>20380</v>
      </c>
      <c r="BA993" s="80" t="s">
        <v>20380</v>
      </c>
      <c r="BB993" s="80" t="s">
        <v>20380</v>
      </c>
      <c r="BC993" s="80" t="s">
        <v>16910</v>
      </c>
      <c r="BD993" s="77">
        <v>160910872</v>
      </c>
      <c r="BE993" s="77"/>
      <c r="BF993" s="77"/>
      <c r="BG993" s="77"/>
      <c r="BH993" s="77"/>
      <c r="BI993" s="77"/>
    </row>
    <row r="994" spans="1:61" x14ac:dyDescent="0.25">
      <c r="A994" s="62" t="s">
        <v>596</v>
      </c>
      <c r="B994" s="62" t="s">
        <v>1655</v>
      </c>
      <c r="C994" s="63"/>
      <c r="D994" s="64"/>
      <c r="E994" s="65"/>
      <c r="F994" s="66"/>
      <c r="G994" s="63"/>
      <c r="H994" s="67"/>
      <c r="I994" s="68"/>
      <c r="J994" s="68"/>
      <c r="K994" s="32"/>
      <c r="L994" s="75">
        <v>994</v>
      </c>
      <c r="M994" s="75"/>
      <c r="N994" s="70"/>
      <c r="O994" s="77" t="s">
        <v>2083</v>
      </c>
      <c r="P994" s="79">
        <v>45191.401134259257</v>
      </c>
      <c r="Q994" s="77" t="s">
        <v>2120</v>
      </c>
      <c r="R994" s="77">
        <v>57</v>
      </c>
      <c r="S994" s="77">
        <v>0</v>
      </c>
      <c r="T994" s="77">
        <v>0</v>
      </c>
      <c r="U994" s="77">
        <v>0</v>
      </c>
      <c r="V994" s="77"/>
      <c r="W994" s="80" t="s">
        <v>5917</v>
      </c>
      <c r="X994" s="77"/>
      <c r="Y994" s="77"/>
      <c r="Z994" s="77" t="s">
        <v>1655</v>
      </c>
      <c r="AA994" s="77"/>
      <c r="AB994" s="77"/>
      <c r="AC994" s="80" t="s">
        <v>10540</v>
      </c>
      <c r="AD994" s="77" t="s">
        <v>10617</v>
      </c>
      <c r="AE994" s="83" t="str">
        <f>HYPERLINK("https://twitter.com/elietea74435432/status/1705154378045259986")</f>
        <v>https://twitter.com/elietea74435432/status/1705154378045259986</v>
      </c>
      <c r="AF994" s="79">
        <v>45191.401134259257</v>
      </c>
      <c r="AG994" s="85">
        <v>45191</v>
      </c>
      <c r="AH994" s="80" t="s">
        <v>11512</v>
      </c>
      <c r="AI994" s="77"/>
      <c r="AJ994" s="77"/>
      <c r="AK994" s="77"/>
      <c r="AL994" s="77"/>
      <c r="AM994" s="77"/>
      <c r="AN994" s="77"/>
      <c r="AO994" s="77"/>
      <c r="AP994" s="77"/>
      <c r="AQ994" s="77"/>
      <c r="AR994" s="77"/>
      <c r="AS994" s="77"/>
      <c r="AT994" s="77"/>
      <c r="AU994" s="77"/>
      <c r="AV994" s="83" t="str">
        <f>HYPERLINK("https://pbs.twimg.com/profile_images/1681100209055576064/Ixd4yw-r_normal.jpg")</f>
        <v>https://pbs.twimg.com/profile_images/1681100209055576064/Ixd4yw-r_normal.jpg</v>
      </c>
      <c r="AW994" s="80" t="s">
        <v>16911</v>
      </c>
      <c r="AX994" s="80" t="s">
        <v>16911</v>
      </c>
      <c r="AY994" s="77"/>
      <c r="AZ994" s="80" t="s">
        <v>20380</v>
      </c>
      <c r="BA994" s="80" t="s">
        <v>20380</v>
      </c>
      <c r="BB994" s="80" t="s">
        <v>19843</v>
      </c>
      <c r="BC994" s="80" t="s">
        <v>19843</v>
      </c>
      <c r="BD994" s="80" t="s">
        <v>20674</v>
      </c>
      <c r="BE994" s="77"/>
      <c r="BF994" s="77"/>
      <c r="BG994" s="77"/>
      <c r="BH994" s="77"/>
      <c r="BI994" s="77"/>
    </row>
    <row r="995" spans="1:61" x14ac:dyDescent="0.25">
      <c r="A995" s="62" t="s">
        <v>597</v>
      </c>
      <c r="B995" s="62" t="s">
        <v>597</v>
      </c>
      <c r="C995" s="63"/>
      <c r="D995" s="64"/>
      <c r="E995" s="65"/>
      <c r="F995" s="66"/>
      <c r="G995" s="63"/>
      <c r="H995" s="67"/>
      <c r="I995" s="68"/>
      <c r="J995" s="68"/>
      <c r="K995" s="32"/>
      <c r="L995" s="75">
        <v>995</v>
      </c>
      <c r="M995" s="75"/>
      <c r="N995" s="70"/>
      <c r="O995" s="77" t="s">
        <v>179</v>
      </c>
      <c r="P995" s="79">
        <v>45153.20521990741</v>
      </c>
      <c r="Q995" s="77" t="s">
        <v>2949</v>
      </c>
      <c r="R995" s="77">
        <v>0</v>
      </c>
      <c r="S995" s="77">
        <v>0</v>
      </c>
      <c r="T995" s="77">
        <v>0</v>
      </c>
      <c r="U995" s="77">
        <v>0</v>
      </c>
      <c r="V995" s="77">
        <v>5</v>
      </c>
      <c r="W995" s="80" t="s">
        <v>6606</v>
      </c>
      <c r="X995" s="77"/>
      <c r="Y995" s="77"/>
      <c r="Z995" s="77"/>
      <c r="AA995" s="77" t="s">
        <v>9354</v>
      </c>
      <c r="AB995" s="77" t="s">
        <v>10535</v>
      </c>
      <c r="AC995" s="80" t="s">
        <v>10576</v>
      </c>
      <c r="AD995" s="77" t="s">
        <v>10620</v>
      </c>
      <c r="AE995" s="83" t="str">
        <f>HYPERLINK("https://twitter.com/topnewses/status/1691312639773753344")</f>
        <v>https://twitter.com/topnewses/status/1691312639773753344</v>
      </c>
      <c r="AF995" s="79">
        <v>45153.20521990741</v>
      </c>
      <c r="AG995" s="85">
        <v>45153</v>
      </c>
      <c r="AH995" s="80" t="s">
        <v>11513</v>
      </c>
      <c r="AI995" s="77" t="b">
        <v>0</v>
      </c>
      <c r="AJ995" s="77"/>
      <c r="AK995" s="77"/>
      <c r="AL995" s="77"/>
      <c r="AM995" s="77"/>
      <c r="AN995" s="77"/>
      <c r="AO995" s="77"/>
      <c r="AP995" s="77"/>
      <c r="AQ995" s="77" t="s">
        <v>14836</v>
      </c>
      <c r="AR995" s="77"/>
      <c r="AS995" s="77"/>
      <c r="AT995" s="77"/>
      <c r="AU995" s="77"/>
      <c r="AV995" s="83" t="str">
        <f>HYPERLINK("https://pbs.twimg.com/media/F3i_4jxWEAAU1Nf.jpg")</f>
        <v>https://pbs.twimg.com/media/F3i_4jxWEAAU1Nf.jpg</v>
      </c>
      <c r="AW995" s="80" t="s">
        <v>16912</v>
      </c>
      <c r="AX995" s="80" t="s">
        <v>16912</v>
      </c>
      <c r="AY995" s="77"/>
      <c r="AZ995" s="80" t="s">
        <v>20380</v>
      </c>
      <c r="BA995" s="80" t="s">
        <v>20380</v>
      </c>
      <c r="BB995" s="80" t="s">
        <v>20380</v>
      </c>
      <c r="BC995" s="80" t="s">
        <v>16912</v>
      </c>
      <c r="BD995" s="80" t="s">
        <v>20675</v>
      </c>
      <c r="BE995" s="77"/>
      <c r="BF995" s="77"/>
      <c r="BG995" s="77"/>
      <c r="BH995" s="77"/>
      <c r="BI995" s="77"/>
    </row>
    <row r="996" spans="1:61" x14ac:dyDescent="0.25">
      <c r="A996" s="62" t="s">
        <v>598</v>
      </c>
      <c r="B996" s="62" t="s">
        <v>598</v>
      </c>
      <c r="C996" s="63"/>
      <c r="D996" s="64"/>
      <c r="E996" s="65"/>
      <c r="F996" s="66"/>
      <c r="G996" s="63"/>
      <c r="H996" s="67"/>
      <c r="I996" s="68"/>
      <c r="J996" s="68"/>
      <c r="K996" s="32"/>
      <c r="L996" s="75">
        <v>996</v>
      </c>
      <c r="M996" s="75"/>
      <c r="N996" s="70"/>
      <c r="O996" s="77" t="s">
        <v>179</v>
      </c>
      <c r="P996" s="79">
        <v>45153.530231481483</v>
      </c>
      <c r="Q996" s="77" t="s">
        <v>2950</v>
      </c>
      <c r="R996" s="77">
        <v>0</v>
      </c>
      <c r="S996" s="77">
        <v>0</v>
      </c>
      <c r="T996" s="77">
        <v>0</v>
      </c>
      <c r="U996" s="77">
        <v>0</v>
      </c>
      <c r="V996" s="77">
        <v>18</v>
      </c>
      <c r="W996" s="80" t="s">
        <v>6607</v>
      </c>
      <c r="X996" s="83" t="str">
        <f>HYPERLINK("http://dlvr.it/StggjW")</f>
        <v>http://dlvr.it/StggjW</v>
      </c>
      <c r="Y996" s="77" t="s">
        <v>8629</v>
      </c>
      <c r="Z996" s="77"/>
      <c r="AA996" s="77" t="s">
        <v>9355</v>
      </c>
      <c r="AB996" s="77" t="s">
        <v>10535</v>
      </c>
      <c r="AC996" s="80" t="s">
        <v>8629</v>
      </c>
      <c r="AD996" s="77" t="s">
        <v>10617</v>
      </c>
      <c r="AE996" s="83" t="str">
        <f>HYPERLINK("https://twitter.com/agenciasertao_/status/1691430423438766080")</f>
        <v>https://twitter.com/agenciasertao_/status/1691430423438766080</v>
      </c>
      <c r="AF996" s="79">
        <v>45153.530231481483</v>
      </c>
      <c r="AG996" s="85">
        <v>45153</v>
      </c>
      <c r="AH996" s="80" t="s">
        <v>11514</v>
      </c>
      <c r="AI996" s="77" t="b">
        <v>0</v>
      </c>
      <c r="AJ996" s="77"/>
      <c r="AK996" s="77"/>
      <c r="AL996" s="77"/>
      <c r="AM996" s="77"/>
      <c r="AN996" s="77"/>
      <c r="AO996" s="77"/>
      <c r="AP996" s="77"/>
      <c r="AQ996" s="77" t="s">
        <v>14837</v>
      </c>
      <c r="AR996" s="77"/>
      <c r="AS996" s="77"/>
      <c r="AT996" s="77"/>
      <c r="AU996" s="77"/>
      <c r="AV996" s="83" t="str">
        <f>HYPERLINK("https://pbs.twimg.com/media/F3krAdoaMAErLp2.jpg")</f>
        <v>https://pbs.twimg.com/media/F3krAdoaMAErLp2.jpg</v>
      </c>
      <c r="AW996" s="80" t="s">
        <v>16913</v>
      </c>
      <c r="AX996" s="80" t="s">
        <v>16913</v>
      </c>
      <c r="AY996" s="77"/>
      <c r="AZ996" s="80" t="s">
        <v>20380</v>
      </c>
      <c r="BA996" s="80" t="s">
        <v>20380</v>
      </c>
      <c r="BB996" s="80" t="s">
        <v>20380</v>
      </c>
      <c r="BC996" s="80" t="s">
        <v>16913</v>
      </c>
      <c r="BD996" s="80" t="s">
        <v>20676</v>
      </c>
      <c r="BE996" s="77"/>
      <c r="BF996" s="77"/>
      <c r="BG996" s="77"/>
      <c r="BH996" s="77"/>
      <c r="BI996" s="77"/>
    </row>
    <row r="997" spans="1:61" x14ac:dyDescent="0.25">
      <c r="A997" s="62" t="s">
        <v>598</v>
      </c>
      <c r="B997" s="62" t="s">
        <v>598</v>
      </c>
      <c r="C997" s="63"/>
      <c r="D997" s="64"/>
      <c r="E997" s="65"/>
      <c r="F997" s="66"/>
      <c r="G997" s="63"/>
      <c r="H997" s="67"/>
      <c r="I997" s="68"/>
      <c r="J997" s="68"/>
      <c r="K997" s="32"/>
      <c r="L997" s="75">
        <v>997</v>
      </c>
      <c r="M997" s="75"/>
      <c r="N997" s="70"/>
      <c r="O997" s="77" t="s">
        <v>179</v>
      </c>
      <c r="P997" s="79">
        <v>45159.585115740738</v>
      </c>
      <c r="Q997" s="77" t="s">
        <v>2951</v>
      </c>
      <c r="R997" s="77">
        <v>0</v>
      </c>
      <c r="S997" s="77">
        <v>0</v>
      </c>
      <c r="T997" s="77">
        <v>0</v>
      </c>
      <c r="U997" s="77">
        <v>0</v>
      </c>
      <c r="V997" s="77">
        <v>8</v>
      </c>
      <c r="W997" s="80" t="s">
        <v>6608</v>
      </c>
      <c r="X997" s="83" t="str">
        <f>HYPERLINK("http://dlvr.it/StyTDP")</f>
        <v>http://dlvr.it/StyTDP</v>
      </c>
      <c r="Y997" s="77" t="s">
        <v>8629</v>
      </c>
      <c r="Z997" s="77"/>
      <c r="AA997" s="77" t="s">
        <v>9356</v>
      </c>
      <c r="AB997" s="77" t="s">
        <v>10535</v>
      </c>
      <c r="AC997" s="80" t="s">
        <v>8629</v>
      </c>
      <c r="AD997" s="77" t="s">
        <v>10617</v>
      </c>
      <c r="AE997" s="83" t="str">
        <f>HYPERLINK("https://twitter.com/agenciasertao_/status/1693624640185188570")</f>
        <v>https://twitter.com/agenciasertao_/status/1693624640185188570</v>
      </c>
      <c r="AF997" s="79">
        <v>45159.585115740738</v>
      </c>
      <c r="AG997" s="85">
        <v>45159</v>
      </c>
      <c r="AH997" s="80" t="s">
        <v>11515</v>
      </c>
      <c r="AI997" s="77" t="b">
        <v>0</v>
      </c>
      <c r="AJ997" s="77"/>
      <c r="AK997" s="77"/>
      <c r="AL997" s="77"/>
      <c r="AM997" s="77"/>
      <c r="AN997" s="77"/>
      <c r="AO997" s="77"/>
      <c r="AP997" s="77"/>
      <c r="AQ997" s="77" t="s">
        <v>14838</v>
      </c>
      <c r="AR997" s="77"/>
      <c r="AS997" s="77"/>
      <c r="AT997" s="77"/>
      <c r="AU997" s="77"/>
      <c r="AV997" s="83" t="str">
        <f>HYPERLINK("https://pbs.twimg.com/media/F4D2opvWgAEJoxS.jpg")</f>
        <v>https://pbs.twimg.com/media/F4D2opvWgAEJoxS.jpg</v>
      </c>
      <c r="AW997" s="80" t="s">
        <v>16914</v>
      </c>
      <c r="AX997" s="80" t="s">
        <v>16914</v>
      </c>
      <c r="AY997" s="77"/>
      <c r="AZ997" s="80" t="s">
        <v>20380</v>
      </c>
      <c r="BA997" s="80" t="s">
        <v>20380</v>
      </c>
      <c r="BB997" s="80" t="s">
        <v>20380</v>
      </c>
      <c r="BC997" s="80" t="s">
        <v>16914</v>
      </c>
      <c r="BD997" s="80" t="s">
        <v>20676</v>
      </c>
      <c r="BE997" s="77"/>
      <c r="BF997" s="77"/>
      <c r="BG997" s="77"/>
      <c r="BH997" s="77"/>
      <c r="BI997" s="77"/>
    </row>
    <row r="998" spans="1:61" x14ac:dyDescent="0.25">
      <c r="A998" s="62" t="s">
        <v>598</v>
      </c>
      <c r="B998" s="62" t="s">
        <v>598</v>
      </c>
      <c r="C998" s="63"/>
      <c r="D998" s="64"/>
      <c r="E998" s="65"/>
      <c r="F998" s="66"/>
      <c r="G998" s="63"/>
      <c r="H998" s="67"/>
      <c r="I998" s="68"/>
      <c r="J998" s="68"/>
      <c r="K998" s="32"/>
      <c r="L998" s="75">
        <v>998</v>
      </c>
      <c r="M998" s="75"/>
      <c r="N998" s="70"/>
      <c r="O998" s="77" t="s">
        <v>179</v>
      </c>
      <c r="P998" s="79">
        <v>45166.747627314813</v>
      </c>
      <c r="Q998" s="77" t="s">
        <v>2952</v>
      </c>
      <c r="R998" s="77">
        <v>0</v>
      </c>
      <c r="S998" s="77">
        <v>0</v>
      </c>
      <c r="T998" s="77">
        <v>0</v>
      </c>
      <c r="U998" s="77">
        <v>0</v>
      </c>
      <c r="V998" s="77">
        <v>18</v>
      </c>
      <c r="W998" s="80" t="s">
        <v>6609</v>
      </c>
      <c r="X998" s="83" t="str">
        <f>HYPERLINK("http://dlvr.it/SvHttT")</f>
        <v>http://dlvr.it/SvHttT</v>
      </c>
      <c r="Y998" s="77" t="s">
        <v>8629</v>
      </c>
      <c r="Z998" s="77"/>
      <c r="AA998" s="77" t="s">
        <v>9357</v>
      </c>
      <c r="AB998" s="77" t="s">
        <v>10535</v>
      </c>
      <c r="AC998" s="80" t="s">
        <v>8629</v>
      </c>
      <c r="AD998" s="77" t="s">
        <v>10617</v>
      </c>
      <c r="AE998" s="83" t="str">
        <f>HYPERLINK("https://twitter.com/agenciasertao_/status/1696220243755155471")</f>
        <v>https://twitter.com/agenciasertao_/status/1696220243755155471</v>
      </c>
      <c r="AF998" s="79">
        <v>45166.747627314813</v>
      </c>
      <c r="AG998" s="85">
        <v>45166</v>
      </c>
      <c r="AH998" s="80" t="s">
        <v>11516</v>
      </c>
      <c r="AI998" s="77" t="b">
        <v>0</v>
      </c>
      <c r="AJ998" s="77"/>
      <c r="AK998" s="77"/>
      <c r="AL998" s="77"/>
      <c r="AM998" s="77"/>
      <c r="AN998" s="77"/>
      <c r="AO998" s="77"/>
      <c r="AP998" s="77"/>
      <c r="AQ998" s="77" t="s">
        <v>14839</v>
      </c>
      <c r="AR998" s="77"/>
      <c r="AS998" s="77"/>
      <c r="AT998" s="77"/>
      <c r="AU998" s="77"/>
      <c r="AV998" s="83" t="str">
        <f>HYPERLINK("https://pbs.twimg.com/media/F4ovUq4a0AAvZbA.jpg")</f>
        <v>https://pbs.twimg.com/media/F4ovUq4a0AAvZbA.jpg</v>
      </c>
      <c r="AW998" s="80" t="s">
        <v>16915</v>
      </c>
      <c r="AX998" s="80" t="s">
        <v>16915</v>
      </c>
      <c r="AY998" s="77"/>
      <c r="AZ998" s="80" t="s">
        <v>20380</v>
      </c>
      <c r="BA998" s="80" t="s">
        <v>20380</v>
      </c>
      <c r="BB998" s="80" t="s">
        <v>20380</v>
      </c>
      <c r="BC998" s="80" t="s">
        <v>16915</v>
      </c>
      <c r="BD998" s="80" t="s">
        <v>20676</v>
      </c>
      <c r="BE998" s="77"/>
      <c r="BF998" s="77"/>
      <c r="BG998" s="77"/>
      <c r="BH998" s="77"/>
      <c r="BI998" s="77"/>
    </row>
    <row r="999" spans="1:61" x14ac:dyDescent="0.25">
      <c r="A999" s="62" t="s">
        <v>598</v>
      </c>
      <c r="B999" s="62" t="s">
        <v>598</v>
      </c>
      <c r="C999" s="63"/>
      <c r="D999" s="64"/>
      <c r="E999" s="65"/>
      <c r="F999" s="66"/>
      <c r="G999" s="63"/>
      <c r="H999" s="67"/>
      <c r="I999" s="68"/>
      <c r="J999" s="68"/>
      <c r="K999" s="32"/>
      <c r="L999" s="75">
        <v>999</v>
      </c>
      <c r="M999" s="75"/>
      <c r="N999" s="70"/>
      <c r="O999" s="77" t="s">
        <v>179</v>
      </c>
      <c r="P999" s="79">
        <v>45177.799004629633</v>
      </c>
      <c r="Q999" s="77" t="s">
        <v>2953</v>
      </c>
      <c r="R999" s="77">
        <v>0</v>
      </c>
      <c r="S999" s="77">
        <v>0</v>
      </c>
      <c r="T999" s="77">
        <v>0</v>
      </c>
      <c r="U999" s="77">
        <v>0</v>
      </c>
      <c r="V999" s="77">
        <v>12</v>
      </c>
      <c r="W999" s="80" t="s">
        <v>6609</v>
      </c>
      <c r="X999" s="83" t="str">
        <f>HYPERLINK("http://dlvr.it/SvqZyL")</f>
        <v>http://dlvr.it/SvqZyL</v>
      </c>
      <c r="Y999" s="77" t="s">
        <v>8629</v>
      </c>
      <c r="Z999" s="77"/>
      <c r="AA999" s="77" t="s">
        <v>9358</v>
      </c>
      <c r="AB999" s="77" t="s">
        <v>10535</v>
      </c>
      <c r="AC999" s="80" t="s">
        <v>8629</v>
      </c>
      <c r="AD999" s="77" t="s">
        <v>10617</v>
      </c>
      <c r="AE999" s="83" t="str">
        <f>HYPERLINK("https://twitter.com/agenciasertao_/status/1700225132126691743")</f>
        <v>https://twitter.com/agenciasertao_/status/1700225132126691743</v>
      </c>
      <c r="AF999" s="79">
        <v>45177.799004629633</v>
      </c>
      <c r="AG999" s="85">
        <v>45177</v>
      </c>
      <c r="AH999" s="80" t="s">
        <v>11517</v>
      </c>
      <c r="AI999" s="77" t="b">
        <v>0</v>
      </c>
      <c r="AJ999" s="77"/>
      <c r="AK999" s="77"/>
      <c r="AL999" s="77"/>
      <c r="AM999" s="77"/>
      <c r="AN999" s="77"/>
      <c r="AO999" s="77"/>
      <c r="AP999" s="77"/>
      <c r="AQ999" s="77" t="s">
        <v>14840</v>
      </c>
      <c r="AR999" s="77"/>
      <c r="AS999" s="77"/>
      <c r="AT999" s="77"/>
      <c r="AU999" s="77"/>
      <c r="AV999" s="83" t="str">
        <f>HYPERLINK("https://pbs.twimg.com/media/F5hpv3AaMAEPDMz.jpg")</f>
        <v>https://pbs.twimg.com/media/F5hpv3AaMAEPDMz.jpg</v>
      </c>
      <c r="AW999" s="80" t="s">
        <v>16916</v>
      </c>
      <c r="AX999" s="80" t="s">
        <v>16916</v>
      </c>
      <c r="AY999" s="77"/>
      <c r="AZ999" s="80" t="s">
        <v>20380</v>
      </c>
      <c r="BA999" s="80" t="s">
        <v>20380</v>
      </c>
      <c r="BB999" s="80" t="s">
        <v>20380</v>
      </c>
      <c r="BC999" s="80" t="s">
        <v>16916</v>
      </c>
      <c r="BD999" s="80" t="s">
        <v>20676</v>
      </c>
      <c r="BE999" s="77"/>
      <c r="BF999" s="77"/>
      <c r="BG999" s="77"/>
      <c r="BH999" s="77"/>
      <c r="BI999" s="77"/>
    </row>
    <row r="1000" spans="1:61" x14ac:dyDescent="0.25">
      <c r="A1000" s="62" t="s">
        <v>599</v>
      </c>
      <c r="B1000" s="62" t="s">
        <v>1817</v>
      </c>
      <c r="C1000" s="63"/>
      <c r="D1000" s="64"/>
      <c r="E1000" s="65"/>
      <c r="F1000" s="66"/>
      <c r="G1000" s="63"/>
      <c r="H1000" s="67"/>
      <c r="I1000" s="68"/>
      <c r="J1000" s="68"/>
      <c r="K1000" s="32"/>
      <c r="L1000" s="75">
        <v>1000</v>
      </c>
      <c r="M1000" s="75"/>
      <c r="N1000" s="70"/>
      <c r="O1000" s="77" t="s">
        <v>2081</v>
      </c>
      <c r="P1000" s="79">
        <v>45084.805555555555</v>
      </c>
      <c r="Q1000" s="77" t="s">
        <v>2954</v>
      </c>
      <c r="R1000" s="77">
        <v>7</v>
      </c>
      <c r="S1000" s="77">
        <v>74</v>
      </c>
      <c r="T1000" s="77">
        <v>3</v>
      </c>
      <c r="U1000" s="77">
        <v>0</v>
      </c>
      <c r="V1000" s="77">
        <v>8581</v>
      </c>
      <c r="W1000" s="80" t="s">
        <v>6610</v>
      </c>
      <c r="X1000" s="77"/>
      <c r="Y1000" s="77"/>
      <c r="Z1000" s="77" t="s">
        <v>1817</v>
      </c>
      <c r="AA1000" s="77" t="s">
        <v>9359</v>
      </c>
      <c r="AB1000" s="77" t="s">
        <v>10534</v>
      </c>
      <c r="AC1000" s="80" t="s">
        <v>10571</v>
      </c>
      <c r="AD1000" s="77" t="s">
        <v>10617</v>
      </c>
      <c r="AE1000" s="83" t="str">
        <f>HYPERLINK("https://twitter.com/programapanico/status/1666525432269746177")</f>
        <v>https://twitter.com/programapanico/status/1666525432269746177</v>
      </c>
      <c r="AF1000" s="79">
        <v>45084.805555555555</v>
      </c>
      <c r="AG1000" s="85">
        <v>45084</v>
      </c>
      <c r="AH1000" s="80" t="s">
        <v>11518</v>
      </c>
      <c r="AI1000" s="77" t="b">
        <v>0</v>
      </c>
      <c r="AJ1000" s="77"/>
      <c r="AK1000" s="77"/>
      <c r="AL1000" s="77"/>
      <c r="AM1000" s="77"/>
      <c r="AN1000" s="77"/>
      <c r="AO1000" s="77"/>
      <c r="AP1000" s="77"/>
      <c r="AQ1000" s="77" t="s">
        <v>14841</v>
      </c>
      <c r="AR1000" s="77">
        <v>92030</v>
      </c>
      <c r="AS1000" s="77"/>
      <c r="AT1000" s="77"/>
      <c r="AU1000" s="77"/>
      <c r="AV1000" s="83" t="str">
        <f>HYPERLINK("https://pbs.twimg.com/amplify_video_thumb/1666486191741435904/img/WHJnClTRiYn-_FdC.jpg")</f>
        <v>https://pbs.twimg.com/amplify_video_thumb/1666486191741435904/img/WHJnClTRiYn-_FdC.jpg</v>
      </c>
      <c r="AW1000" s="80" t="s">
        <v>16917</v>
      </c>
      <c r="AX1000" s="80" t="s">
        <v>16917</v>
      </c>
      <c r="AY1000" s="77"/>
      <c r="AZ1000" s="80" t="s">
        <v>20380</v>
      </c>
      <c r="BA1000" s="80" t="s">
        <v>20380</v>
      </c>
      <c r="BB1000" s="80" t="s">
        <v>20380</v>
      </c>
      <c r="BC1000" s="80" t="s">
        <v>16917</v>
      </c>
      <c r="BD1000" s="77">
        <v>35765232</v>
      </c>
      <c r="BE1000" s="77"/>
      <c r="BF1000" s="77"/>
      <c r="BG1000" s="77"/>
      <c r="BH1000" s="77"/>
      <c r="BI1000" s="77"/>
    </row>
    <row r="1001" spans="1:61" x14ac:dyDescent="0.25">
      <c r="A1001" s="62" t="s">
        <v>599</v>
      </c>
      <c r="B1001" s="62" t="s">
        <v>599</v>
      </c>
      <c r="C1001" s="63"/>
      <c r="D1001" s="64"/>
      <c r="E1001" s="65"/>
      <c r="F1001" s="66"/>
      <c r="G1001" s="63"/>
      <c r="H1001" s="67"/>
      <c r="I1001" s="68"/>
      <c r="J1001" s="68"/>
      <c r="K1001" s="32"/>
      <c r="L1001" s="75">
        <v>1001</v>
      </c>
      <c r="M1001" s="75"/>
      <c r="N1001" s="70"/>
      <c r="O1001" s="77" t="s">
        <v>179</v>
      </c>
      <c r="P1001" s="79">
        <v>45120.694444444445</v>
      </c>
      <c r="Q1001" s="77" t="s">
        <v>2955</v>
      </c>
      <c r="R1001" s="77">
        <v>5</v>
      </c>
      <c r="S1001" s="77">
        <v>53</v>
      </c>
      <c r="T1001" s="77">
        <v>2</v>
      </c>
      <c r="U1001" s="77">
        <v>0</v>
      </c>
      <c r="V1001" s="77">
        <v>6842</v>
      </c>
      <c r="W1001" s="80" t="s">
        <v>6611</v>
      </c>
      <c r="X1001" s="77"/>
      <c r="Y1001" s="77"/>
      <c r="Z1001" s="77"/>
      <c r="AA1001" s="77" t="s">
        <v>9360</v>
      </c>
      <c r="AB1001" s="77" t="s">
        <v>10534</v>
      </c>
      <c r="AC1001" s="80" t="s">
        <v>10554</v>
      </c>
      <c r="AD1001" s="77" t="s">
        <v>10617</v>
      </c>
      <c r="AE1001" s="83" t="str">
        <f>HYPERLINK("https://twitter.com/programapanico/status/1679531129848619031")</f>
        <v>https://twitter.com/programapanico/status/1679531129848619031</v>
      </c>
      <c r="AF1001" s="79">
        <v>45120.694444444445</v>
      </c>
      <c r="AG1001" s="85">
        <v>45120</v>
      </c>
      <c r="AH1001" s="80" t="s">
        <v>11519</v>
      </c>
      <c r="AI1001" s="77" t="b">
        <v>0</v>
      </c>
      <c r="AJ1001" s="77"/>
      <c r="AK1001" s="77"/>
      <c r="AL1001" s="77"/>
      <c r="AM1001" s="77"/>
      <c r="AN1001" s="77"/>
      <c r="AO1001" s="77"/>
      <c r="AP1001" s="77"/>
      <c r="AQ1001" s="77" t="s">
        <v>14842</v>
      </c>
      <c r="AR1001" s="77">
        <v>90160</v>
      </c>
      <c r="AS1001" s="77"/>
      <c r="AT1001" s="77"/>
      <c r="AU1001" s="77"/>
      <c r="AV1001" s="83" t="str">
        <f>HYPERLINK("https://pbs.twimg.com/amplify_video_thumb/1679512801788788736/img/0jkdJY1yAyfW71d1.jpg")</f>
        <v>https://pbs.twimg.com/amplify_video_thumb/1679512801788788736/img/0jkdJY1yAyfW71d1.jpg</v>
      </c>
      <c r="AW1001" s="80" t="s">
        <v>16918</v>
      </c>
      <c r="AX1001" s="80" t="s">
        <v>16918</v>
      </c>
      <c r="AY1001" s="77"/>
      <c r="AZ1001" s="80" t="s">
        <v>20380</v>
      </c>
      <c r="BA1001" s="80" t="s">
        <v>20380</v>
      </c>
      <c r="BB1001" s="80" t="s">
        <v>20380</v>
      </c>
      <c r="BC1001" s="80" t="s">
        <v>16918</v>
      </c>
      <c r="BD1001" s="77">
        <v>35765232</v>
      </c>
      <c r="BE1001" s="77"/>
      <c r="BF1001" s="77"/>
      <c r="BG1001" s="77"/>
      <c r="BH1001" s="77"/>
      <c r="BI1001" s="77"/>
    </row>
    <row r="1002" spans="1:61" x14ac:dyDescent="0.25">
      <c r="A1002" s="62" t="s">
        <v>599</v>
      </c>
      <c r="B1002" s="62" t="s">
        <v>599</v>
      </c>
      <c r="C1002" s="63"/>
      <c r="D1002" s="64"/>
      <c r="E1002" s="65"/>
      <c r="F1002" s="66"/>
      <c r="G1002" s="63"/>
      <c r="H1002" s="67"/>
      <c r="I1002" s="68"/>
      <c r="J1002" s="68"/>
      <c r="K1002" s="32"/>
      <c r="L1002" s="75">
        <v>1002</v>
      </c>
      <c r="M1002" s="75"/>
      <c r="N1002" s="70"/>
      <c r="O1002" s="77" t="s">
        <v>179</v>
      </c>
      <c r="P1002" s="79">
        <v>45147.694444444445</v>
      </c>
      <c r="Q1002" s="77" t="s">
        <v>2956</v>
      </c>
      <c r="R1002" s="77">
        <v>17</v>
      </c>
      <c r="S1002" s="77">
        <v>121</v>
      </c>
      <c r="T1002" s="77">
        <v>14</v>
      </c>
      <c r="U1002" s="77">
        <v>1</v>
      </c>
      <c r="V1002" s="77">
        <v>11611</v>
      </c>
      <c r="W1002" s="80" t="s">
        <v>6612</v>
      </c>
      <c r="X1002" s="77"/>
      <c r="Y1002" s="77"/>
      <c r="Z1002" s="77"/>
      <c r="AA1002" s="77" t="s">
        <v>9361</v>
      </c>
      <c r="AB1002" s="77" t="s">
        <v>10534</v>
      </c>
      <c r="AC1002" s="80" t="s">
        <v>10554</v>
      </c>
      <c r="AD1002" s="77" t="s">
        <v>10617</v>
      </c>
      <c r="AE1002" s="83" t="str">
        <f>HYPERLINK("https://twitter.com/programapanico/status/1689315602249502721")</f>
        <v>https://twitter.com/programapanico/status/1689315602249502721</v>
      </c>
      <c r="AF1002" s="79">
        <v>45147.694444444445</v>
      </c>
      <c r="AG1002" s="85">
        <v>45147</v>
      </c>
      <c r="AH1002" s="80" t="s">
        <v>11519</v>
      </c>
      <c r="AI1002" s="77" t="b">
        <v>0</v>
      </c>
      <c r="AJ1002" s="77"/>
      <c r="AK1002" s="77"/>
      <c r="AL1002" s="77"/>
      <c r="AM1002" s="77"/>
      <c r="AN1002" s="77"/>
      <c r="AO1002" s="77"/>
      <c r="AP1002" s="77"/>
      <c r="AQ1002" s="77" t="s">
        <v>14843</v>
      </c>
      <c r="AR1002" s="77">
        <v>262767</v>
      </c>
      <c r="AS1002" s="77"/>
      <c r="AT1002" s="77"/>
      <c r="AU1002" s="77"/>
      <c r="AV1002" s="83" t="str">
        <f>HYPERLINK("https://pbs.twimg.com/amplify_video_thumb/1689303102640238592/img/RIbj0Zymcn-EaeSL.jpg")</f>
        <v>https://pbs.twimg.com/amplify_video_thumb/1689303102640238592/img/RIbj0Zymcn-EaeSL.jpg</v>
      </c>
      <c r="AW1002" s="80" t="s">
        <v>16919</v>
      </c>
      <c r="AX1002" s="80" t="s">
        <v>16919</v>
      </c>
      <c r="AY1002" s="77"/>
      <c r="AZ1002" s="80" t="s">
        <v>20380</v>
      </c>
      <c r="BA1002" s="80" t="s">
        <v>20380</v>
      </c>
      <c r="BB1002" s="80" t="s">
        <v>20380</v>
      </c>
      <c r="BC1002" s="80" t="s">
        <v>16919</v>
      </c>
      <c r="BD1002" s="77">
        <v>35765232</v>
      </c>
      <c r="BE1002" s="77"/>
      <c r="BF1002" s="77"/>
      <c r="BG1002" s="77"/>
      <c r="BH1002" s="77"/>
      <c r="BI1002" s="77"/>
    </row>
    <row r="1003" spans="1:61" x14ac:dyDescent="0.25">
      <c r="A1003" s="62" t="s">
        <v>599</v>
      </c>
      <c r="B1003" s="62" t="s">
        <v>599</v>
      </c>
      <c r="C1003" s="63"/>
      <c r="D1003" s="64"/>
      <c r="E1003" s="65"/>
      <c r="F1003" s="66"/>
      <c r="G1003" s="63"/>
      <c r="H1003" s="67"/>
      <c r="I1003" s="68"/>
      <c r="J1003" s="68"/>
      <c r="K1003" s="32"/>
      <c r="L1003" s="75">
        <v>1003</v>
      </c>
      <c r="M1003" s="75"/>
      <c r="N1003" s="70"/>
      <c r="O1003" s="77" t="s">
        <v>179</v>
      </c>
      <c r="P1003" s="79">
        <v>45124.722222222219</v>
      </c>
      <c r="Q1003" s="77" t="s">
        <v>2957</v>
      </c>
      <c r="R1003" s="77">
        <v>8</v>
      </c>
      <c r="S1003" s="77">
        <v>77</v>
      </c>
      <c r="T1003" s="77">
        <v>10</v>
      </c>
      <c r="U1003" s="77">
        <v>0</v>
      </c>
      <c r="V1003" s="77">
        <v>12258</v>
      </c>
      <c r="W1003" s="80" t="s">
        <v>6613</v>
      </c>
      <c r="X1003" s="77"/>
      <c r="Y1003" s="77"/>
      <c r="Z1003" s="77"/>
      <c r="AA1003" s="77" t="s">
        <v>9362</v>
      </c>
      <c r="AB1003" s="77" t="s">
        <v>10534</v>
      </c>
      <c r="AC1003" s="80" t="s">
        <v>10554</v>
      </c>
      <c r="AD1003" s="77" t="s">
        <v>10617</v>
      </c>
      <c r="AE1003" s="83" t="str">
        <f>HYPERLINK("https://twitter.com/programapanico/status/1680990747884134400")</f>
        <v>https://twitter.com/programapanico/status/1680990747884134400</v>
      </c>
      <c r="AF1003" s="79">
        <v>45124.722222222219</v>
      </c>
      <c r="AG1003" s="85">
        <v>45124</v>
      </c>
      <c r="AH1003" s="80" t="s">
        <v>11520</v>
      </c>
      <c r="AI1003" s="77" t="b">
        <v>0</v>
      </c>
      <c r="AJ1003" s="77"/>
      <c r="AK1003" s="77"/>
      <c r="AL1003" s="77"/>
      <c r="AM1003" s="77"/>
      <c r="AN1003" s="77"/>
      <c r="AO1003" s="77"/>
      <c r="AP1003" s="77"/>
      <c r="AQ1003" s="77" t="s">
        <v>14844</v>
      </c>
      <c r="AR1003" s="77">
        <v>146400</v>
      </c>
      <c r="AS1003" s="77"/>
      <c r="AT1003" s="77"/>
      <c r="AU1003" s="77"/>
      <c r="AV1003" s="83" t="str">
        <f>HYPERLINK("https://pbs.twimg.com/amplify_video_thumb/1680970215549435905/img/AjcW3auIaYvWqQif.jpg")</f>
        <v>https://pbs.twimg.com/amplify_video_thumb/1680970215549435905/img/AjcW3auIaYvWqQif.jpg</v>
      </c>
      <c r="AW1003" s="80" t="s">
        <v>16920</v>
      </c>
      <c r="AX1003" s="80" t="s">
        <v>16920</v>
      </c>
      <c r="AY1003" s="77"/>
      <c r="AZ1003" s="80" t="s">
        <v>20380</v>
      </c>
      <c r="BA1003" s="80" t="s">
        <v>20380</v>
      </c>
      <c r="BB1003" s="80" t="s">
        <v>20380</v>
      </c>
      <c r="BC1003" s="80" t="s">
        <v>16920</v>
      </c>
      <c r="BD1003" s="77">
        <v>35765232</v>
      </c>
      <c r="BE1003" s="77"/>
      <c r="BF1003" s="77"/>
      <c r="BG1003" s="77"/>
      <c r="BH1003" s="77"/>
      <c r="BI1003" s="77"/>
    </row>
    <row r="1004" spans="1:61" x14ac:dyDescent="0.25">
      <c r="A1004" s="62" t="s">
        <v>599</v>
      </c>
      <c r="B1004" s="62" t="s">
        <v>599</v>
      </c>
      <c r="C1004" s="63"/>
      <c r="D1004" s="64"/>
      <c r="E1004" s="65"/>
      <c r="F1004" s="66"/>
      <c r="G1004" s="63"/>
      <c r="H1004" s="67"/>
      <c r="I1004" s="68"/>
      <c r="J1004" s="68"/>
      <c r="K1004" s="32"/>
      <c r="L1004" s="75">
        <v>1004</v>
      </c>
      <c r="M1004" s="75"/>
      <c r="N1004" s="70"/>
      <c r="O1004" s="77" t="s">
        <v>179</v>
      </c>
      <c r="P1004" s="79">
        <v>45174.694444444445</v>
      </c>
      <c r="Q1004" s="77" t="s">
        <v>2958</v>
      </c>
      <c r="R1004" s="77">
        <v>2</v>
      </c>
      <c r="S1004" s="77">
        <v>33</v>
      </c>
      <c r="T1004" s="77">
        <v>0</v>
      </c>
      <c r="U1004" s="77">
        <v>0</v>
      </c>
      <c r="V1004" s="77">
        <v>4960</v>
      </c>
      <c r="W1004" s="80" t="s">
        <v>6614</v>
      </c>
      <c r="X1004" s="77"/>
      <c r="Y1004" s="77"/>
      <c r="Z1004" s="77"/>
      <c r="AA1004" s="77" t="s">
        <v>9363</v>
      </c>
      <c r="AB1004" s="77" t="s">
        <v>10534</v>
      </c>
      <c r="AC1004" s="80" t="s">
        <v>10554</v>
      </c>
      <c r="AD1004" s="77" t="s">
        <v>10617</v>
      </c>
      <c r="AE1004" s="83" t="str">
        <f>HYPERLINK("https://twitter.com/programapanico/status/1699100074599465409")</f>
        <v>https://twitter.com/programapanico/status/1699100074599465409</v>
      </c>
      <c r="AF1004" s="79">
        <v>45174.694444444445</v>
      </c>
      <c r="AG1004" s="85">
        <v>45174</v>
      </c>
      <c r="AH1004" s="80" t="s">
        <v>11519</v>
      </c>
      <c r="AI1004" s="77" t="b">
        <v>0</v>
      </c>
      <c r="AJ1004" s="77"/>
      <c r="AK1004" s="77"/>
      <c r="AL1004" s="77"/>
      <c r="AM1004" s="77"/>
      <c r="AN1004" s="77"/>
      <c r="AO1004" s="77"/>
      <c r="AP1004" s="77"/>
      <c r="AQ1004" s="77" t="s">
        <v>14845</v>
      </c>
      <c r="AR1004" s="77">
        <v>190040</v>
      </c>
      <c r="AS1004" s="77"/>
      <c r="AT1004" s="77"/>
      <c r="AU1004" s="77"/>
      <c r="AV1004" s="83" t="str">
        <f>HYPERLINK("https://pbs.twimg.com/amplify_video_thumb/1699084906712760320/img/WAFoKoj1sPXYr4vm.jpg")</f>
        <v>https://pbs.twimg.com/amplify_video_thumb/1699084906712760320/img/WAFoKoj1sPXYr4vm.jpg</v>
      </c>
      <c r="AW1004" s="80" t="s">
        <v>16921</v>
      </c>
      <c r="AX1004" s="80" t="s">
        <v>16921</v>
      </c>
      <c r="AY1004" s="77"/>
      <c r="AZ1004" s="80" t="s">
        <v>20380</v>
      </c>
      <c r="BA1004" s="80" t="s">
        <v>20380</v>
      </c>
      <c r="BB1004" s="80" t="s">
        <v>20380</v>
      </c>
      <c r="BC1004" s="80" t="s">
        <v>16921</v>
      </c>
      <c r="BD1004" s="77">
        <v>35765232</v>
      </c>
      <c r="BE1004" s="77"/>
      <c r="BF1004" s="77"/>
      <c r="BG1004" s="77"/>
      <c r="BH1004" s="77"/>
      <c r="BI1004" s="77"/>
    </row>
    <row r="1005" spans="1:61" x14ac:dyDescent="0.25">
      <c r="A1005" s="62" t="s">
        <v>599</v>
      </c>
      <c r="B1005" s="62" t="s">
        <v>599</v>
      </c>
      <c r="C1005" s="63"/>
      <c r="D1005" s="64"/>
      <c r="E1005" s="65"/>
      <c r="F1005" s="66"/>
      <c r="G1005" s="63"/>
      <c r="H1005" s="67"/>
      <c r="I1005" s="68"/>
      <c r="J1005" s="68"/>
      <c r="K1005" s="32"/>
      <c r="L1005" s="75">
        <v>1005</v>
      </c>
      <c r="M1005" s="75"/>
      <c r="N1005" s="70"/>
      <c r="O1005" s="77" t="s">
        <v>179</v>
      </c>
      <c r="P1005" s="79">
        <v>45141.694444444445</v>
      </c>
      <c r="Q1005" s="77" t="s">
        <v>2959</v>
      </c>
      <c r="R1005" s="77">
        <v>5</v>
      </c>
      <c r="S1005" s="77">
        <v>67</v>
      </c>
      <c r="T1005" s="77">
        <v>3</v>
      </c>
      <c r="U1005" s="77">
        <v>2</v>
      </c>
      <c r="V1005" s="77">
        <v>7376</v>
      </c>
      <c r="W1005" s="80" t="s">
        <v>6615</v>
      </c>
      <c r="X1005" s="77"/>
      <c r="Y1005" s="77"/>
      <c r="Z1005" s="77"/>
      <c r="AA1005" s="77" t="s">
        <v>9364</v>
      </c>
      <c r="AB1005" s="77" t="s">
        <v>10534</v>
      </c>
      <c r="AC1005" s="80" t="s">
        <v>10554</v>
      </c>
      <c r="AD1005" s="77" t="s">
        <v>10617</v>
      </c>
      <c r="AE1005" s="83" t="str">
        <f>HYPERLINK("https://twitter.com/programapanico/status/1687141275118747648")</f>
        <v>https://twitter.com/programapanico/status/1687141275118747648</v>
      </c>
      <c r="AF1005" s="79">
        <v>45141.694444444445</v>
      </c>
      <c r="AG1005" s="85">
        <v>45141</v>
      </c>
      <c r="AH1005" s="80" t="s">
        <v>11519</v>
      </c>
      <c r="AI1005" s="77" t="b">
        <v>0</v>
      </c>
      <c r="AJ1005" s="77"/>
      <c r="AK1005" s="77"/>
      <c r="AL1005" s="77"/>
      <c r="AM1005" s="77"/>
      <c r="AN1005" s="77"/>
      <c r="AO1005" s="77"/>
      <c r="AP1005" s="77"/>
      <c r="AQ1005" s="77" t="s">
        <v>14846</v>
      </c>
      <c r="AR1005" s="77">
        <v>252200</v>
      </c>
      <c r="AS1005" s="77"/>
      <c r="AT1005" s="77"/>
      <c r="AU1005" s="77"/>
      <c r="AV1005" s="83" t="str">
        <f>HYPERLINK("https://pbs.twimg.com/amplify_video_thumb/1687129532766031872/img/BKHMQIzSJ0CQrN9c.jpg")</f>
        <v>https://pbs.twimg.com/amplify_video_thumb/1687129532766031872/img/BKHMQIzSJ0CQrN9c.jpg</v>
      </c>
      <c r="AW1005" s="80" t="s">
        <v>16922</v>
      </c>
      <c r="AX1005" s="80" t="s">
        <v>16922</v>
      </c>
      <c r="AY1005" s="77"/>
      <c r="AZ1005" s="80" t="s">
        <v>20380</v>
      </c>
      <c r="BA1005" s="80" t="s">
        <v>20380</v>
      </c>
      <c r="BB1005" s="80" t="s">
        <v>20380</v>
      </c>
      <c r="BC1005" s="80" t="s">
        <v>16922</v>
      </c>
      <c r="BD1005" s="77">
        <v>35765232</v>
      </c>
      <c r="BE1005" s="77"/>
      <c r="BF1005" s="77"/>
      <c r="BG1005" s="77"/>
      <c r="BH1005" s="77"/>
      <c r="BI1005" s="77"/>
    </row>
    <row r="1006" spans="1:61" x14ac:dyDescent="0.25">
      <c r="A1006" s="62" t="s">
        <v>599</v>
      </c>
      <c r="B1006" s="62" t="s">
        <v>599</v>
      </c>
      <c r="C1006" s="63"/>
      <c r="D1006" s="64"/>
      <c r="E1006" s="65"/>
      <c r="F1006" s="66"/>
      <c r="G1006" s="63"/>
      <c r="H1006" s="67"/>
      <c r="I1006" s="68"/>
      <c r="J1006" s="68"/>
      <c r="K1006" s="32"/>
      <c r="L1006" s="75">
        <v>1006</v>
      </c>
      <c r="M1006" s="75"/>
      <c r="N1006" s="70"/>
      <c r="O1006" s="77" t="s">
        <v>179</v>
      </c>
      <c r="P1006" s="79">
        <v>45197.694444444445</v>
      </c>
      <c r="Q1006" s="77" t="s">
        <v>2960</v>
      </c>
      <c r="R1006" s="77">
        <v>0</v>
      </c>
      <c r="S1006" s="77">
        <v>25</v>
      </c>
      <c r="T1006" s="77">
        <v>0</v>
      </c>
      <c r="U1006" s="77">
        <v>0</v>
      </c>
      <c r="V1006" s="77">
        <v>4270</v>
      </c>
      <c r="W1006" s="80" t="s">
        <v>6616</v>
      </c>
      <c r="X1006" s="77"/>
      <c r="Y1006" s="77"/>
      <c r="Z1006" s="77"/>
      <c r="AA1006" s="77" t="s">
        <v>9365</v>
      </c>
      <c r="AB1006" s="77" t="s">
        <v>10534</v>
      </c>
      <c r="AC1006" s="80" t="s">
        <v>10541</v>
      </c>
      <c r="AD1006" s="77" t="s">
        <v>10617</v>
      </c>
      <c r="AE1006" s="83" t="str">
        <f>HYPERLINK("https://twitter.com/programapanico/status/1707434995793760315")</f>
        <v>https://twitter.com/programapanico/status/1707434995793760315</v>
      </c>
      <c r="AF1006" s="79">
        <v>45197.694444444445</v>
      </c>
      <c r="AG1006" s="85">
        <v>45197</v>
      </c>
      <c r="AH1006" s="80" t="s">
        <v>11519</v>
      </c>
      <c r="AI1006" s="77" t="b">
        <v>0</v>
      </c>
      <c r="AJ1006" s="77"/>
      <c r="AK1006" s="77"/>
      <c r="AL1006" s="77"/>
      <c r="AM1006" s="77"/>
      <c r="AN1006" s="77"/>
      <c r="AO1006" s="77"/>
      <c r="AP1006" s="77"/>
      <c r="AQ1006" s="77" t="s">
        <v>14847</v>
      </c>
      <c r="AR1006" s="77">
        <v>248200</v>
      </c>
      <c r="AS1006" s="77"/>
      <c r="AT1006" s="77"/>
      <c r="AU1006" s="77"/>
      <c r="AV1006" s="83" t="str">
        <f>HYPERLINK("https://pbs.twimg.com/ext_tw_video_thumb/1707423087090688000/pu/img/4LM74JEh8JVvZhFx.jpg")</f>
        <v>https://pbs.twimg.com/ext_tw_video_thumb/1707423087090688000/pu/img/4LM74JEh8JVvZhFx.jpg</v>
      </c>
      <c r="AW1006" s="80" t="s">
        <v>16923</v>
      </c>
      <c r="AX1006" s="80" t="s">
        <v>16923</v>
      </c>
      <c r="AY1006" s="77"/>
      <c r="AZ1006" s="80" t="s">
        <v>20380</v>
      </c>
      <c r="BA1006" s="80" t="s">
        <v>20380</v>
      </c>
      <c r="BB1006" s="80" t="s">
        <v>20380</v>
      </c>
      <c r="BC1006" s="80" t="s">
        <v>16923</v>
      </c>
      <c r="BD1006" s="77">
        <v>35765232</v>
      </c>
      <c r="BE1006" s="77"/>
      <c r="BF1006" s="77"/>
      <c r="BG1006" s="77"/>
      <c r="BH1006" s="77"/>
      <c r="BI1006" s="77"/>
    </row>
    <row r="1007" spans="1:61" x14ac:dyDescent="0.25">
      <c r="A1007" s="62" t="s">
        <v>600</v>
      </c>
      <c r="B1007" s="62" t="s">
        <v>602</v>
      </c>
      <c r="C1007" s="63"/>
      <c r="D1007" s="64"/>
      <c r="E1007" s="65"/>
      <c r="F1007" s="66"/>
      <c r="G1007" s="63"/>
      <c r="H1007" s="67"/>
      <c r="I1007" s="68"/>
      <c r="J1007" s="68"/>
      <c r="K1007" s="32"/>
      <c r="L1007" s="75">
        <v>1007</v>
      </c>
      <c r="M1007" s="75"/>
      <c r="N1007" s="70"/>
      <c r="O1007" s="77" t="s">
        <v>2082</v>
      </c>
      <c r="P1007" s="79">
        <v>45071.95244212963</v>
      </c>
      <c r="Q1007" s="77" t="s">
        <v>2961</v>
      </c>
      <c r="R1007" s="77">
        <v>2</v>
      </c>
      <c r="S1007" s="77">
        <v>3</v>
      </c>
      <c r="T1007" s="77">
        <v>0</v>
      </c>
      <c r="U1007" s="77">
        <v>0</v>
      </c>
      <c r="V1007" s="77">
        <v>723</v>
      </c>
      <c r="W1007" s="80" t="s">
        <v>5884</v>
      </c>
      <c r="X1007" s="77"/>
      <c r="Y1007" s="77"/>
      <c r="Z1007" s="77"/>
      <c r="AA1007" s="77"/>
      <c r="AB1007" s="77"/>
      <c r="AC1007" s="80" t="s">
        <v>10542</v>
      </c>
      <c r="AD1007" s="77" t="s">
        <v>10620</v>
      </c>
      <c r="AE1007" s="83" t="str">
        <f>HYPERLINK("https://twitter.com/marioestay8/status/1661867618943348736")</f>
        <v>https://twitter.com/marioestay8/status/1661867618943348736</v>
      </c>
      <c r="AF1007" s="79">
        <v>45071.95244212963</v>
      </c>
      <c r="AG1007" s="85">
        <v>45071</v>
      </c>
      <c r="AH1007" s="80" t="s">
        <v>11521</v>
      </c>
      <c r="AI1007" s="77"/>
      <c r="AJ1007" s="77"/>
      <c r="AK1007" s="77"/>
      <c r="AL1007" s="77"/>
      <c r="AM1007" s="77"/>
      <c r="AN1007" s="77"/>
      <c r="AO1007" s="77"/>
      <c r="AP1007" s="77"/>
      <c r="AQ1007" s="77"/>
      <c r="AR1007" s="77"/>
      <c r="AS1007" s="77"/>
      <c r="AT1007" s="77"/>
      <c r="AU1007" s="77"/>
      <c r="AV1007" s="83" t="str">
        <f>HYPERLINK("https://pbs.twimg.com/profile_images/1612872150414725146/hkpL0aG9_normal.jpg")</f>
        <v>https://pbs.twimg.com/profile_images/1612872150414725146/hkpL0aG9_normal.jpg</v>
      </c>
      <c r="AW1007" s="80" t="s">
        <v>16924</v>
      </c>
      <c r="AX1007" s="80" t="s">
        <v>16924</v>
      </c>
      <c r="AY1007" s="77"/>
      <c r="AZ1007" s="80" t="s">
        <v>20380</v>
      </c>
      <c r="BA1007" s="80" t="s">
        <v>16926</v>
      </c>
      <c r="BB1007" s="80" t="s">
        <v>20380</v>
      </c>
      <c r="BC1007" s="80" t="s">
        <v>16926</v>
      </c>
      <c r="BD1007" s="80" t="s">
        <v>20677</v>
      </c>
      <c r="BE1007" s="77"/>
      <c r="BF1007" s="77"/>
      <c r="BG1007" s="77"/>
      <c r="BH1007" s="77"/>
      <c r="BI1007" s="77"/>
    </row>
    <row r="1008" spans="1:61" x14ac:dyDescent="0.25">
      <c r="A1008" s="62" t="s">
        <v>601</v>
      </c>
      <c r="B1008" s="62" t="s">
        <v>1678</v>
      </c>
      <c r="C1008" s="63"/>
      <c r="D1008" s="64"/>
      <c r="E1008" s="65"/>
      <c r="F1008" s="66"/>
      <c r="G1008" s="63"/>
      <c r="H1008" s="67"/>
      <c r="I1008" s="68"/>
      <c r="J1008" s="68"/>
      <c r="K1008" s="32"/>
      <c r="L1008" s="75">
        <v>1008</v>
      </c>
      <c r="M1008" s="75"/>
      <c r="N1008" s="70"/>
      <c r="O1008" s="77" t="s">
        <v>2082</v>
      </c>
      <c r="P1008" s="79">
        <v>45118.702349537038</v>
      </c>
      <c r="Q1008" s="77" t="s">
        <v>2962</v>
      </c>
      <c r="R1008" s="77">
        <v>0</v>
      </c>
      <c r="S1008" s="77">
        <v>0</v>
      </c>
      <c r="T1008" s="77">
        <v>0</v>
      </c>
      <c r="U1008" s="77">
        <v>0</v>
      </c>
      <c r="V1008" s="77">
        <v>112</v>
      </c>
      <c r="W1008" s="80" t="s">
        <v>6617</v>
      </c>
      <c r="X1008" s="77"/>
      <c r="Y1008" s="77"/>
      <c r="Z1008" s="77"/>
      <c r="AA1008" s="77"/>
      <c r="AB1008" s="77"/>
      <c r="AC1008" s="80" t="s">
        <v>10541</v>
      </c>
      <c r="AD1008" s="77" t="s">
        <v>10620</v>
      </c>
      <c r="AE1008" s="83" t="str">
        <f>HYPERLINK("https://twitter.com/atlantisbor33/status/1678809221968560147")</f>
        <v>https://twitter.com/atlantisbor33/status/1678809221968560147</v>
      </c>
      <c r="AF1008" s="79">
        <v>45118.702349537038</v>
      </c>
      <c r="AG1008" s="85">
        <v>45118</v>
      </c>
      <c r="AH1008" s="80" t="s">
        <v>11522</v>
      </c>
      <c r="AI1008" s="77"/>
      <c r="AJ1008" s="77"/>
      <c r="AK1008" s="77"/>
      <c r="AL1008" s="77"/>
      <c r="AM1008" s="77"/>
      <c r="AN1008" s="77"/>
      <c r="AO1008" s="77"/>
      <c r="AP1008" s="77"/>
      <c r="AQ1008" s="77"/>
      <c r="AR1008" s="77"/>
      <c r="AS1008" s="77"/>
      <c r="AT1008" s="77"/>
      <c r="AU1008" s="77"/>
      <c r="AV1008" s="83" t="str">
        <f>HYPERLINK("https://pbs.twimg.com/profile_images/1642941503747047424/2ph_GjIX_normal.jpg")</f>
        <v>https://pbs.twimg.com/profile_images/1642941503747047424/2ph_GjIX_normal.jpg</v>
      </c>
      <c r="AW1008" s="80" t="s">
        <v>16925</v>
      </c>
      <c r="AX1008" s="80" t="s">
        <v>16925</v>
      </c>
      <c r="AY1008" s="77"/>
      <c r="AZ1008" s="80" t="s">
        <v>20380</v>
      </c>
      <c r="BA1008" s="80" t="s">
        <v>19929</v>
      </c>
      <c r="BB1008" s="80" t="s">
        <v>20380</v>
      </c>
      <c r="BC1008" s="80" t="s">
        <v>19929</v>
      </c>
      <c r="BD1008" s="77">
        <v>589408423</v>
      </c>
      <c r="BE1008" s="77"/>
      <c r="BF1008" s="77"/>
      <c r="BG1008" s="77"/>
      <c r="BH1008" s="77"/>
      <c r="BI1008" s="77"/>
    </row>
    <row r="1009" spans="1:61" x14ac:dyDescent="0.25">
      <c r="A1009" s="62" t="s">
        <v>602</v>
      </c>
      <c r="B1009" s="62" t="s">
        <v>602</v>
      </c>
      <c r="C1009" s="63"/>
      <c r="D1009" s="64"/>
      <c r="E1009" s="65"/>
      <c r="F1009" s="66"/>
      <c r="G1009" s="63"/>
      <c r="H1009" s="67"/>
      <c r="I1009" s="68"/>
      <c r="J1009" s="68"/>
      <c r="K1009" s="32"/>
      <c r="L1009" s="75">
        <v>1009</v>
      </c>
      <c r="M1009" s="75"/>
      <c r="N1009" s="70"/>
      <c r="O1009" s="77" t="s">
        <v>179</v>
      </c>
      <c r="P1009" s="79">
        <v>45071.940335648149</v>
      </c>
      <c r="Q1009" s="77" t="s">
        <v>2963</v>
      </c>
      <c r="R1009" s="77">
        <v>458</v>
      </c>
      <c r="S1009" s="77">
        <v>985</v>
      </c>
      <c r="T1009" s="77">
        <v>65</v>
      </c>
      <c r="U1009" s="77">
        <v>41</v>
      </c>
      <c r="V1009" s="77">
        <v>169103</v>
      </c>
      <c r="W1009" s="77"/>
      <c r="X1009" s="77"/>
      <c r="Y1009" s="77"/>
      <c r="Z1009" s="77"/>
      <c r="AA1009" s="77" t="s">
        <v>9366</v>
      </c>
      <c r="AB1009" s="77" t="s">
        <v>10535</v>
      </c>
      <c r="AC1009" s="80" t="s">
        <v>10541</v>
      </c>
      <c r="AD1009" s="77" t="s">
        <v>10620</v>
      </c>
      <c r="AE1009" s="83" t="str">
        <f>HYPERLINK("https://twitter.com/arturoclaro/status/1661863232473112576")</f>
        <v>https://twitter.com/arturoclaro/status/1661863232473112576</v>
      </c>
      <c r="AF1009" s="79">
        <v>45071.940335648149</v>
      </c>
      <c r="AG1009" s="85">
        <v>45071</v>
      </c>
      <c r="AH1009" s="80" t="s">
        <v>11523</v>
      </c>
      <c r="AI1009" s="77" t="b">
        <v>0</v>
      </c>
      <c r="AJ1009" s="77"/>
      <c r="AK1009" s="77"/>
      <c r="AL1009" s="77"/>
      <c r="AM1009" s="77"/>
      <c r="AN1009" s="77"/>
      <c r="AO1009" s="77"/>
      <c r="AP1009" s="77"/>
      <c r="AQ1009" s="77" t="s">
        <v>14848</v>
      </c>
      <c r="AR1009" s="77"/>
      <c r="AS1009" s="77"/>
      <c r="AT1009" s="77"/>
      <c r="AU1009" s="77"/>
      <c r="AV1009" s="83" t="str">
        <f>HYPERLINK("https://pbs.twimg.com/media/Fw_2fsCWwAAd9RH.png")</f>
        <v>https://pbs.twimg.com/media/Fw_2fsCWwAAd9RH.png</v>
      </c>
      <c r="AW1009" s="80" t="s">
        <v>16926</v>
      </c>
      <c r="AX1009" s="80" t="s">
        <v>16926</v>
      </c>
      <c r="AY1009" s="77"/>
      <c r="AZ1009" s="80" t="s">
        <v>20380</v>
      </c>
      <c r="BA1009" s="80" t="s">
        <v>20380</v>
      </c>
      <c r="BB1009" s="80" t="s">
        <v>20380</v>
      </c>
      <c r="BC1009" s="80" t="s">
        <v>16926</v>
      </c>
      <c r="BD1009" s="77">
        <v>349397588</v>
      </c>
      <c r="BE1009" s="77"/>
      <c r="BF1009" s="77"/>
      <c r="BG1009" s="77"/>
      <c r="BH1009" s="77"/>
      <c r="BI1009" s="77"/>
    </row>
    <row r="1010" spans="1:61" x14ac:dyDescent="0.25">
      <c r="A1010" s="62" t="s">
        <v>603</v>
      </c>
      <c r="B1010" s="62" t="s">
        <v>603</v>
      </c>
      <c r="C1010" s="63"/>
      <c r="D1010" s="64"/>
      <c r="E1010" s="65"/>
      <c r="F1010" s="66"/>
      <c r="G1010" s="63"/>
      <c r="H1010" s="67"/>
      <c r="I1010" s="68"/>
      <c r="J1010" s="68"/>
      <c r="K1010" s="32"/>
      <c r="L1010" s="75">
        <v>1010</v>
      </c>
      <c r="M1010" s="75"/>
      <c r="N1010" s="70"/>
      <c r="O1010" s="77" t="s">
        <v>179</v>
      </c>
      <c r="P1010" s="79">
        <v>45104.511446759258</v>
      </c>
      <c r="Q1010" s="77" t="s">
        <v>2964</v>
      </c>
      <c r="R1010" s="77">
        <v>0</v>
      </c>
      <c r="S1010" s="77">
        <v>3</v>
      </c>
      <c r="T1010" s="77">
        <v>0</v>
      </c>
      <c r="U1010" s="77">
        <v>0</v>
      </c>
      <c r="V1010" s="77">
        <v>12</v>
      </c>
      <c r="W1010" s="80" t="s">
        <v>6618</v>
      </c>
      <c r="X1010" s="77"/>
      <c r="Y1010" s="77"/>
      <c r="Z1010" s="77"/>
      <c r="AA1010" s="77" t="s">
        <v>9367</v>
      </c>
      <c r="AB1010" s="77" t="s">
        <v>10535</v>
      </c>
      <c r="AC1010" s="80" t="s">
        <v>10540</v>
      </c>
      <c r="AD1010" s="77" t="s">
        <v>10617</v>
      </c>
      <c r="AE1010" s="83" t="str">
        <f>HYPERLINK("https://twitter.com/economistadebar/status/1673666608697335808")</f>
        <v>https://twitter.com/economistadebar/status/1673666608697335808</v>
      </c>
      <c r="AF1010" s="79">
        <v>45104.511446759258</v>
      </c>
      <c r="AG1010" s="85">
        <v>45104</v>
      </c>
      <c r="AH1010" s="80" t="s">
        <v>11524</v>
      </c>
      <c r="AI1010" s="77" t="b">
        <v>0</v>
      </c>
      <c r="AJ1010" s="77"/>
      <c r="AK1010" s="77"/>
      <c r="AL1010" s="77"/>
      <c r="AM1010" s="77"/>
      <c r="AN1010" s="77"/>
      <c r="AO1010" s="77"/>
      <c r="AP1010" s="77"/>
      <c r="AQ1010" s="77" t="s">
        <v>14849</v>
      </c>
      <c r="AR1010" s="77"/>
      <c r="AS1010" s="77"/>
      <c r="AT1010" s="77"/>
      <c r="AU1010" s="77"/>
      <c r="AV1010" s="83" t="str">
        <f>HYPERLINK("https://pbs.twimg.com/media/FzoO6AMXwAEvpaY.jpg")</f>
        <v>https://pbs.twimg.com/media/FzoO6AMXwAEvpaY.jpg</v>
      </c>
      <c r="AW1010" s="80" t="s">
        <v>16927</v>
      </c>
      <c r="AX1010" s="80" t="s">
        <v>16927</v>
      </c>
      <c r="AY1010" s="77"/>
      <c r="AZ1010" s="80" t="s">
        <v>20380</v>
      </c>
      <c r="BA1010" s="80" t="s">
        <v>20380</v>
      </c>
      <c r="BB1010" s="80" t="s">
        <v>20380</v>
      </c>
      <c r="BC1010" s="80" t="s">
        <v>16927</v>
      </c>
      <c r="BD1010" s="80" t="s">
        <v>20678</v>
      </c>
      <c r="BE1010" s="77"/>
      <c r="BF1010" s="77"/>
      <c r="BG1010" s="77"/>
      <c r="BH1010" s="77"/>
      <c r="BI1010" s="77"/>
    </row>
    <row r="1011" spans="1:61" x14ac:dyDescent="0.25">
      <c r="A1011" s="62" t="s">
        <v>604</v>
      </c>
      <c r="B1011" s="62" t="s">
        <v>604</v>
      </c>
      <c r="C1011" s="63"/>
      <c r="D1011" s="64"/>
      <c r="E1011" s="65"/>
      <c r="F1011" s="66"/>
      <c r="G1011" s="63"/>
      <c r="H1011" s="67"/>
      <c r="I1011" s="68"/>
      <c r="J1011" s="68"/>
      <c r="K1011" s="32"/>
      <c r="L1011" s="75">
        <v>1011</v>
      </c>
      <c r="M1011" s="75"/>
      <c r="N1011" s="70"/>
      <c r="O1011" s="77" t="s">
        <v>179</v>
      </c>
      <c r="P1011" s="79">
        <v>45061.755601851852</v>
      </c>
      <c r="Q1011" s="77" t="s">
        <v>2965</v>
      </c>
      <c r="R1011" s="77">
        <v>0</v>
      </c>
      <c r="S1011" s="77">
        <v>0</v>
      </c>
      <c r="T1011" s="77">
        <v>0</v>
      </c>
      <c r="U1011" s="77">
        <v>0</v>
      </c>
      <c r="V1011" s="77">
        <v>33</v>
      </c>
      <c r="W1011" s="80" t="s">
        <v>6619</v>
      </c>
      <c r="X1011" s="77"/>
      <c r="Y1011" s="77"/>
      <c r="Z1011" s="77"/>
      <c r="AA1011" s="77"/>
      <c r="AB1011" s="77"/>
      <c r="AC1011" s="80" t="s">
        <v>10541</v>
      </c>
      <c r="AD1011" s="77" t="s">
        <v>10620</v>
      </c>
      <c r="AE1011" s="83" t="str">
        <f>HYPERLINK("https://twitter.com/tucu_egea/status/1658172410686758926")</f>
        <v>https://twitter.com/tucu_egea/status/1658172410686758926</v>
      </c>
      <c r="AF1011" s="79">
        <v>45061.755601851852</v>
      </c>
      <c r="AG1011" s="85">
        <v>45061</v>
      </c>
      <c r="AH1011" s="80" t="s">
        <v>11525</v>
      </c>
      <c r="AI1011" s="77"/>
      <c r="AJ1011" s="77"/>
      <c r="AK1011" s="77"/>
      <c r="AL1011" s="77"/>
      <c r="AM1011" s="77"/>
      <c r="AN1011" s="77"/>
      <c r="AO1011" s="77"/>
      <c r="AP1011" s="77"/>
      <c r="AQ1011" s="77"/>
      <c r="AR1011" s="77"/>
      <c r="AS1011" s="77"/>
      <c r="AT1011" s="77"/>
      <c r="AU1011" s="77"/>
      <c r="AV1011" s="83" t="str">
        <f>HYPERLINK("https://pbs.twimg.com/profile_images/1632756752507600900/lNXy6DOG_normal.jpg")</f>
        <v>https://pbs.twimg.com/profile_images/1632756752507600900/lNXy6DOG_normal.jpg</v>
      </c>
      <c r="AW1011" s="80" t="s">
        <v>16928</v>
      </c>
      <c r="AX1011" s="80" t="s">
        <v>16928</v>
      </c>
      <c r="AY1011" s="77"/>
      <c r="AZ1011" s="80" t="s">
        <v>20380</v>
      </c>
      <c r="BA1011" s="80" t="s">
        <v>20380</v>
      </c>
      <c r="BB1011" s="80" t="s">
        <v>20380</v>
      </c>
      <c r="BC1011" s="80" t="s">
        <v>16928</v>
      </c>
      <c r="BD1011" s="80" t="s">
        <v>20679</v>
      </c>
      <c r="BE1011" s="77"/>
      <c r="BF1011" s="77"/>
      <c r="BG1011" s="77"/>
      <c r="BH1011" s="77"/>
      <c r="BI1011" s="77"/>
    </row>
    <row r="1012" spans="1:61" x14ac:dyDescent="0.25">
      <c r="A1012" s="62" t="s">
        <v>605</v>
      </c>
      <c r="B1012" s="62" t="s">
        <v>605</v>
      </c>
      <c r="C1012" s="63"/>
      <c r="D1012" s="64"/>
      <c r="E1012" s="65"/>
      <c r="F1012" s="66"/>
      <c r="G1012" s="63"/>
      <c r="H1012" s="67"/>
      <c r="I1012" s="68"/>
      <c r="J1012" s="68"/>
      <c r="K1012" s="32"/>
      <c r="L1012" s="75">
        <v>1012</v>
      </c>
      <c r="M1012" s="75"/>
      <c r="N1012" s="70"/>
      <c r="O1012" s="77" t="s">
        <v>179</v>
      </c>
      <c r="P1012" s="79">
        <v>45061.828703703701</v>
      </c>
      <c r="Q1012" s="77" t="s">
        <v>2966</v>
      </c>
      <c r="R1012" s="77">
        <v>0</v>
      </c>
      <c r="S1012" s="77">
        <v>0</v>
      </c>
      <c r="T1012" s="77">
        <v>0</v>
      </c>
      <c r="U1012" s="77">
        <v>0</v>
      </c>
      <c r="V1012" s="77">
        <v>29</v>
      </c>
      <c r="W1012" s="80" t="s">
        <v>6620</v>
      </c>
      <c r="X1012" s="83" t="str">
        <f>HYPERLINK("https://iguazuahora.com/el-banco-central-dispuso-subir-la-tasa-de-interes-para-plazos-fijos-al-97-anual/")</f>
        <v>https://iguazuahora.com/el-banco-central-dispuso-subir-la-tasa-de-interes-para-plazos-fijos-al-97-anual/</v>
      </c>
      <c r="Y1012" s="77" t="s">
        <v>8702</v>
      </c>
      <c r="Z1012" s="77"/>
      <c r="AA1012" s="77" t="s">
        <v>9368</v>
      </c>
      <c r="AB1012" s="77" t="s">
        <v>10535</v>
      </c>
      <c r="AC1012" s="80" t="s">
        <v>10541</v>
      </c>
      <c r="AD1012" s="77" t="s">
        <v>10620</v>
      </c>
      <c r="AE1012" s="83" t="str">
        <f>HYPERLINK("https://twitter.com/iguazu_ahora/status/1658198902380568583")</f>
        <v>https://twitter.com/iguazu_ahora/status/1658198902380568583</v>
      </c>
      <c r="AF1012" s="79">
        <v>45061.828703703701</v>
      </c>
      <c r="AG1012" s="85">
        <v>45061</v>
      </c>
      <c r="AH1012" s="80" t="s">
        <v>11526</v>
      </c>
      <c r="AI1012" s="77" t="b">
        <v>0</v>
      </c>
      <c r="AJ1012" s="77"/>
      <c r="AK1012" s="77"/>
      <c r="AL1012" s="77"/>
      <c r="AM1012" s="77"/>
      <c r="AN1012" s="77"/>
      <c r="AO1012" s="77"/>
      <c r="AP1012" s="77"/>
      <c r="AQ1012" s="77" t="s">
        <v>14850</v>
      </c>
      <c r="AR1012" s="77"/>
      <c r="AS1012" s="77"/>
      <c r="AT1012" s="77"/>
      <c r="AU1012" s="77"/>
      <c r="AV1012" s="83" t="str">
        <f>HYPERLINK("https://pbs.twimg.com/media/FwMbGnBXoAA6mPJ.jpg")</f>
        <v>https://pbs.twimg.com/media/FwMbGnBXoAA6mPJ.jpg</v>
      </c>
      <c r="AW1012" s="80" t="s">
        <v>16929</v>
      </c>
      <c r="AX1012" s="80" t="s">
        <v>16929</v>
      </c>
      <c r="AY1012" s="77"/>
      <c r="AZ1012" s="80" t="s">
        <v>20380</v>
      </c>
      <c r="BA1012" s="80" t="s">
        <v>20380</v>
      </c>
      <c r="BB1012" s="80" t="s">
        <v>20380</v>
      </c>
      <c r="BC1012" s="80" t="s">
        <v>16929</v>
      </c>
      <c r="BD1012" s="80" t="s">
        <v>20680</v>
      </c>
      <c r="BE1012" s="77"/>
      <c r="BF1012" s="77"/>
      <c r="BG1012" s="77"/>
      <c r="BH1012" s="77"/>
      <c r="BI1012" s="77"/>
    </row>
    <row r="1013" spans="1:61" x14ac:dyDescent="0.25">
      <c r="A1013" s="62" t="s">
        <v>605</v>
      </c>
      <c r="B1013" s="62" t="s">
        <v>605</v>
      </c>
      <c r="C1013" s="63"/>
      <c r="D1013" s="64"/>
      <c r="E1013" s="65"/>
      <c r="F1013" s="66"/>
      <c r="G1013" s="63"/>
      <c r="H1013" s="67"/>
      <c r="I1013" s="68"/>
      <c r="J1013" s="68"/>
      <c r="K1013" s="32"/>
      <c r="L1013" s="75">
        <v>1013</v>
      </c>
      <c r="M1013" s="75"/>
      <c r="N1013" s="70"/>
      <c r="O1013" s="77" t="s">
        <v>179</v>
      </c>
      <c r="P1013" s="79">
        <v>45121.810416666667</v>
      </c>
      <c r="Q1013" s="77" t="s">
        <v>2967</v>
      </c>
      <c r="R1013" s="77">
        <v>0</v>
      </c>
      <c r="S1013" s="77">
        <v>0</v>
      </c>
      <c r="T1013" s="77">
        <v>0</v>
      </c>
      <c r="U1013" s="77">
        <v>0</v>
      </c>
      <c r="V1013" s="77">
        <v>23</v>
      </c>
      <c r="W1013" s="80" t="s">
        <v>6621</v>
      </c>
      <c r="X1013" s="83" t="str">
        <f>HYPERLINK("https://www.facebook.com/photo/?fbid=758186942978269&amp;set=a.181271010669868")</f>
        <v>https://www.facebook.com/photo/?fbid=758186942978269&amp;set=a.181271010669868</v>
      </c>
      <c r="Y1013" s="77" t="s">
        <v>8703</v>
      </c>
      <c r="Z1013" s="77"/>
      <c r="AA1013" s="77" t="s">
        <v>9369</v>
      </c>
      <c r="AB1013" s="77" t="s">
        <v>10535</v>
      </c>
      <c r="AC1013" s="80" t="s">
        <v>10541</v>
      </c>
      <c r="AD1013" s="77" t="s">
        <v>10620</v>
      </c>
      <c r="AE1013" s="83" t="str">
        <f>HYPERLINK("https://twitter.com/iguazu_ahora/status/1679935546057998350")</f>
        <v>https://twitter.com/iguazu_ahora/status/1679935546057998350</v>
      </c>
      <c r="AF1013" s="79">
        <v>45121.810416666667</v>
      </c>
      <c r="AG1013" s="85">
        <v>45121</v>
      </c>
      <c r="AH1013" s="80" t="s">
        <v>11527</v>
      </c>
      <c r="AI1013" s="77" t="b">
        <v>0</v>
      </c>
      <c r="AJ1013" s="77"/>
      <c r="AK1013" s="77"/>
      <c r="AL1013" s="77"/>
      <c r="AM1013" s="77"/>
      <c r="AN1013" s="77"/>
      <c r="AO1013" s="77"/>
      <c r="AP1013" s="77"/>
      <c r="AQ1013" s="77" t="s">
        <v>14851</v>
      </c>
      <c r="AR1013" s="77"/>
      <c r="AS1013" s="77"/>
      <c r="AT1013" s="77"/>
      <c r="AU1013" s="77"/>
      <c r="AV1013" s="83" t="str">
        <f>HYPERLINK("https://pbs.twimg.com/media/F1BUd4BWwAgl_h6.jpg")</f>
        <v>https://pbs.twimg.com/media/F1BUd4BWwAgl_h6.jpg</v>
      </c>
      <c r="AW1013" s="80" t="s">
        <v>16930</v>
      </c>
      <c r="AX1013" s="80" t="s">
        <v>16930</v>
      </c>
      <c r="AY1013" s="77"/>
      <c r="AZ1013" s="80" t="s">
        <v>20380</v>
      </c>
      <c r="BA1013" s="80" t="s">
        <v>20380</v>
      </c>
      <c r="BB1013" s="80" t="s">
        <v>20380</v>
      </c>
      <c r="BC1013" s="80" t="s">
        <v>16930</v>
      </c>
      <c r="BD1013" s="80" t="s">
        <v>20680</v>
      </c>
      <c r="BE1013" s="77"/>
      <c r="BF1013" s="77"/>
      <c r="BG1013" s="77"/>
      <c r="BH1013" s="77"/>
      <c r="BI1013" s="77"/>
    </row>
    <row r="1014" spans="1:61" x14ac:dyDescent="0.25">
      <c r="A1014" s="62" t="s">
        <v>605</v>
      </c>
      <c r="B1014" s="62" t="s">
        <v>605</v>
      </c>
      <c r="C1014" s="63"/>
      <c r="D1014" s="64"/>
      <c r="E1014" s="65"/>
      <c r="F1014" s="66"/>
      <c r="G1014" s="63"/>
      <c r="H1014" s="67"/>
      <c r="I1014" s="68"/>
      <c r="J1014" s="68"/>
      <c r="K1014" s="32"/>
      <c r="L1014" s="75">
        <v>1014</v>
      </c>
      <c r="M1014" s="75"/>
      <c r="N1014" s="70"/>
      <c r="O1014" s="77" t="s">
        <v>179</v>
      </c>
      <c r="P1014" s="79">
        <v>45197.814687500002</v>
      </c>
      <c r="Q1014" s="77" t="s">
        <v>2968</v>
      </c>
      <c r="R1014" s="77">
        <v>0</v>
      </c>
      <c r="S1014" s="77">
        <v>0</v>
      </c>
      <c r="T1014" s="77">
        <v>0</v>
      </c>
      <c r="U1014" s="77">
        <v>0</v>
      </c>
      <c r="V1014" s="77">
        <v>11</v>
      </c>
      <c r="W1014" s="80" t="s">
        <v>6622</v>
      </c>
      <c r="X1014" s="83" t="str">
        <f>HYPERLINK("https://iguazuahora.com/el-banco-central-dio-marcha-atras-con-la-medida-que-perjudicaba-a-las-billeteras-virtuales/")</f>
        <v>https://iguazuahora.com/el-banco-central-dio-marcha-atras-con-la-medida-que-perjudicaba-a-las-billeteras-virtuales/</v>
      </c>
      <c r="Y1014" s="77" t="s">
        <v>8702</v>
      </c>
      <c r="Z1014" s="77"/>
      <c r="AA1014" s="77" t="s">
        <v>9370</v>
      </c>
      <c r="AB1014" s="77" t="s">
        <v>10535</v>
      </c>
      <c r="AC1014" s="80" t="s">
        <v>10541</v>
      </c>
      <c r="AD1014" s="77" t="s">
        <v>10620</v>
      </c>
      <c r="AE1014" s="83" t="str">
        <f>HYPERLINK("https://twitter.com/iguazu_ahora/status/1707478570556113289")</f>
        <v>https://twitter.com/iguazu_ahora/status/1707478570556113289</v>
      </c>
      <c r="AF1014" s="79">
        <v>45197.814687500002</v>
      </c>
      <c r="AG1014" s="85">
        <v>45197</v>
      </c>
      <c r="AH1014" s="80" t="s">
        <v>11528</v>
      </c>
      <c r="AI1014" s="77" t="b">
        <v>0</v>
      </c>
      <c r="AJ1014" s="77"/>
      <c r="AK1014" s="77"/>
      <c r="AL1014" s="77"/>
      <c r="AM1014" s="77"/>
      <c r="AN1014" s="77"/>
      <c r="AO1014" s="77"/>
      <c r="AP1014" s="77"/>
      <c r="AQ1014" s="77" t="s">
        <v>14852</v>
      </c>
      <c r="AR1014" s="77"/>
      <c r="AS1014" s="77"/>
      <c r="AT1014" s="77"/>
      <c r="AU1014" s="77"/>
      <c r="AV1014" s="83" t="str">
        <f>HYPERLINK("https://pbs.twimg.com/media/F7IutSCWoAAcORQ.jpg")</f>
        <v>https://pbs.twimg.com/media/F7IutSCWoAAcORQ.jpg</v>
      </c>
      <c r="AW1014" s="80" t="s">
        <v>16931</v>
      </c>
      <c r="AX1014" s="80" t="s">
        <v>16931</v>
      </c>
      <c r="AY1014" s="77"/>
      <c r="AZ1014" s="80" t="s">
        <v>20380</v>
      </c>
      <c r="BA1014" s="80" t="s">
        <v>20380</v>
      </c>
      <c r="BB1014" s="80" t="s">
        <v>20380</v>
      </c>
      <c r="BC1014" s="80" t="s">
        <v>16931</v>
      </c>
      <c r="BD1014" s="80" t="s">
        <v>20680</v>
      </c>
      <c r="BE1014" s="77"/>
      <c r="BF1014" s="77"/>
      <c r="BG1014" s="77"/>
      <c r="BH1014" s="77"/>
      <c r="BI1014" s="77"/>
    </row>
    <row r="1015" spans="1:61" x14ac:dyDescent="0.25">
      <c r="A1015" s="62" t="s">
        <v>605</v>
      </c>
      <c r="B1015" s="62" t="s">
        <v>605</v>
      </c>
      <c r="C1015" s="63"/>
      <c r="D1015" s="64"/>
      <c r="E1015" s="65"/>
      <c r="F1015" s="66"/>
      <c r="G1015" s="63"/>
      <c r="H1015" s="67"/>
      <c r="I1015" s="68"/>
      <c r="J1015" s="68"/>
      <c r="K1015" s="32"/>
      <c r="L1015" s="75">
        <v>1015</v>
      </c>
      <c r="M1015" s="75"/>
      <c r="N1015" s="70"/>
      <c r="O1015" s="77" t="s">
        <v>179</v>
      </c>
      <c r="P1015" s="79">
        <v>45072.865659722222</v>
      </c>
      <c r="Q1015" s="77" t="s">
        <v>2969</v>
      </c>
      <c r="R1015" s="77">
        <v>0</v>
      </c>
      <c r="S1015" s="77">
        <v>0</v>
      </c>
      <c r="T1015" s="77">
        <v>0</v>
      </c>
      <c r="U1015" s="77">
        <v>0</v>
      </c>
      <c r="V1015" s="77">
        <v>31</v>
      </c>
      <c r="W1015" s="80" t="s">
        <v>6623</v>
      </c>
      <c r="X1015" s="83" t="str">
        <f>HYPERLINK("https://iguazuahora.com/el-banco-central-alcanzo-tres-semanas-consecutivas-de-compras-de-dolares/")</f>
        <v>https://iguazuahora.com/el-banco-central-alcanzo-tres-semanas-consecutivas-de-compras-de-dolares/</v>
      </c>
      <c r="Y1015" s="77" t="s">
        <v>8702</v>
      </c>
      <c r="Z1015" s="77"/>
      <c r="AA1015" s="77" t="s">
        <v>9371</v>
      </c>
      <c r="AB1015" s="77" t="s">
        <v>10535</v>
      </c>
      <c r="AC1015" s="80" t="s">
        <v>10541</v>
      </c>
      <c r="AD1015" s="77" t="s">
        <v>10620</v>
      </c>
      <c r="AE1015" s="83" t="str">
        <f>HYPERLINK("https://twitter.com/iguazu_ahora/status/1662198560111357953")</f>
        <v>https://twitter.com/iguazu_ahora/status/1662198560111357953</v>
      </c>
      <c r="AF1015" s="79">
        <v>45072.865659722222</v>
      </c>
      <c r="AG1015" s="85">
        <v>45072</v>
      </c>
      <c r="AH1015" s="80" t="s">
        <v>11529</v>
      </c>
      <c r="AI1015" s="77" t="b">
        <v>0</v>
      </c>
      <c r="AJ1015" s="77"/>
      <c r="AK1015" s="77"/>
      <c r="AL1015" s="77"/>
      <c r="AM1015" s="77"/>
      <c r="AN1015" s="77"/>
      <c r="AO1015" s="77"/>
      <c r="AP1015" s="77"/>
      <c r="AQ1015" s="77" t="s">
        <v>14853</v>
      </c>
      <c r="AR1015" s="77"/>
      <c r="AS1015" s="77"/>
      <c r="AT1015" s="77"/>
      <c r="AU1015" s="77"/>
      <c r="AV1015" s="83" t="str">
        <f>HYPERLINK("https://pbs.twimg.com/media/FxFQxcTXsAIn7Fs.jpg")</f>
        <v>https://pbs.twimg.com/media/FxFQxcTXsAIn7Fs.jpg</v>
      </c>
      <c r="AW1015" s="80" t="s">
        <v>16932</v>
      </c>
      <c r="AX1015" s="80" t="s">
        <v>16932</v>
      </c>
      <c r="AY1015" s="77"/>
      <c r="AZ1015" s="80" t="s">
        <v>20380</v>
      </c>
      <c r="BA1015" s="80" t="s">
        <v>20380</v>
      </c>
      <c r="BB1015" s="80" t="s">
        <v>20380</v>
      </c>
      <c r="BC1015" s="80" t="s">
        <v>16932</v>
      </c>
      <c r="BD1015" s="80" t="s">
        <v>20680</v>
      </c>
      <c r="BE1015" s="77"/>
      <c r="BF1015" s="77"/>
      <c r="BG1015" s="77"/>
      <c r="BH1015" s="77"/>
      <c r="BI1015" s="77"/>
    </row>
    <row r="1016" spans="1:61" x14ac:dyDescent="0.25">
      <c r="A1016" s="62" t="s">
        <v>606</v>
      </c>
      <c r="B1016" s="62" t="s">
        <v>1818</v>
      </c>
      <c r="C1016" s="63"/>
      <c r="D1016" s="64"/>
      <c r="E1016" s="65"/>
      <c r="F1016" s="66"/>
      <c r="G1016" s="63"/>
      <c r="H1016" s="67"/>
      <c r="I1016" s="68"/>
      <c r="J1016" s="68"/>
      <c r="K1016" s="32"/>
      <c r="L1016" s="75">
        <v>1016</v>
      </c>
      <c r="M1016" s="75"/>
      <c r="N1016" s="70"/>
      <c r="O1016" s="77" t="s">
        <v>2079</v>
      </c>
      <c r="P1016" s="79">
        <v>45097.03465277778</v>
      </c>
      <c r="Q1016" s="77" t="s">
        <v>2970</v>
      </c>
      <c r="R1016" s="77">
        <v>0</v>
      </c>
      <c r="S1016" s="77">
        <v>1</v>
      </c>
      <c r="T1016" s="77">
        <v>0</v>
      </c>
      <c r="U1016" s="77">
        <v>0</v>
      </c>
      <c r="V1016" s="77">
        <v>48</v>
      </c>
      <c r="W1016" s="80" t="s">
        <v>6624</v>
      </c>
      <c r="X1016" s="77"/>
      <c r="Y1016" s="77"/>
      <c r="Z1016" s="77" t="s">
        <v>8947</v>
      </c>
      <c r="AA1016" s="77"/>
      <c r="AB1016" s="77"/>
      <c r="AC1016" s="80" t="s">
        <v>10540</v>
      </c>
      <c r="AD1016" s="77" t="s">
        <v>10620</v>
      </c>
      <c r="AE1016" s="83" t="str">
        <f>HYPERLINK("https://twitter.com/monoaries/status/1670957110098644994")</f>
        <v>https://twitter.com/monoaries/status/1670957110098644994</v>
      </c>
      <c r="AF1016" s="79">
        <v>45097.03465277778</v>
      </c>
      <c r="AG1016" s="85">
        <v>45097</v>
      </c>
      <c r="AH1016" s="80" t="s">
        <v>11530</v>
      </c>
      <c r="AI1016" s="77"/>
      <c r="AJ1016" s="77"/>
      <c r="AK1016" s="77"/>
      <c r="AL1016" s="77"/>
      <c r="AM1016" s="77"/>
      <c r="AN1016" s="77"/>
      <c r="AO1016" s="77"/>
      <c r="AP1016" s="77"/>
      <c r="AQ1016" s="77"/>
      <c r="AR1016" s="77"/>
      <c r="AS1016" s="77"/>
      <c r="AT1016" s="77"/>
      <c r="AU1016" s="77"/>
      <c r="AV1016" s="83" t="str">
        <f>HYPERLINK("https://pbs.twimg.com/profile_images/1203072671/mono_normal.png")</f>
        <v>https://pbs.twimg.com/profile_images/1203072671/mono_normal.png</v>
      </c>
      <c r="AW1016" s="80" t="s">
        <v>16933</v>
      </c>
      <c r="AX1016" s="80" t="s">
        <v>20002</v>
      </c>
      <c r="AY1016" s="80" t="s">
        <v>20257</v>
      </c>
      <c r="AZ1016" s="80" t="s">
        <v>20002</v>
      </c>
      <c r="BA1016" s="80" t="s">
        <v>20380</v>
      </c>
      <c r="BB1016" s="80" t="s">
        <v>20380</v>
      </c>
      <c r="BC1016" s="80" t="s">
        <v>20002</v>
      </c>
      <c r="BD1016" s="77">
        <v>232458636</v>
      </c>
      <c r="BE1016" s="77"/>
      <c r="BF1016" s="77"/>
      <c r="BG1016" s="77"/>
      <c r="BH1016" s="77"/>
      <c r="BI1016" s="77"/>
    </row>
    <row r="1017" spans="1:61" x14ac:dyDescent="0.25">
      <c r="A1017" s="62" t="s">
        <v>606</v>
      </c>
      <c r="B1017" s="62" t="s">
        <v>1819</v>
      </c>
      <c r="C1017" s="63"/>
      <c r="D1017" s="64"/>
      <c r="E1017" s="65"/>
      <c r="F1017" s="66"/>
      <c r="G1017" s="63"/>
      <c r="H1017" s="67"/>
      <c r="I1017" s="68"/>
      <c r="J1017" s="68"/>
      <c r="K1017" s="32"/>
      <c r="L1017" s="75">
        <v>1017</v>
      </c>
      <c r="M1017" s="75"/>
      <c r="N1017" s="70"/>
      <c r="O1017" s="77" t="s">
        <v>2078</v>
      </c>
      <c r="P1017" s="79">
        <v>45097.03465277778</v>
      </c>
      <c r="Q1017" s="77" t="s">
        <v>2970</v>
      </c>
      <c r="R1017" s="77">
        <v>0</v>
      </c>
      <c r="S1017" s="77">
        <v>1</v>
      </c>
      <c r="T1017" s="77">
        <v>0</v>
      </c>
      <c r="U1017" s="77">
        <v>0</v>
      </c>
      <c r="V1017" s="77">
        <v>48</v>
      </c>
      <c r="W1017" s="80" t="s">
        <v>6624</v>
      </c>
      <c r="X1017" s="77"/>
      <c r="Y1017" s="77"/>
      <c r="Z1017" s="77" t="s">
        <v>8947</v>
      </c>
      <c r="AA1017" s="77"/>
      <c r="AB1017" s="77"/>
      <c r="AC1017" s="80" t="s">
        <v>10540</v>
      </c>
      <c r="AD1017" s="77" t="s">
        <v>10620</v>
      </c>
      <c r="AE1017" s="83" t="str">
        <f>HYPERLINK("https://twitter.com/monoaries/status/1670957110098644994")</f>
        <v>https://twitter.com/monoaries/status/1670957110098644994</v>
      </c>
      <c r="AF1017" s="79">
        <v>45097.03465277778</v>
      </c>
      <c r="AG1017" s="85">
        <v>45097</v>
      </c>
      <c r="AH1017" s="80" t="s">
        <v>11530</v>
      </c>
      <c r="AI1017" s="77"/>
      <c r="AJ1017" s="77"/>
      <c r="AK1017" s="77"/>
      <c r="AL1017" s="77"/>
      <c r="AM1017" s="77"/>
      <c r="AN1017" s="77"/>
      <c r="AO1017" s="77"/>
      <c r="AP1017" s="77"/>
      <c r="AQ1017" s="77"/>
      <c r="AR1017" s="77"/>
      <c r="AS1017" s="77"/>
      <c r="AT1017" s="77"/>
      <c r="AU1017" s="77"/>
      <c r="AV1017" s="83" t="str">
        <f>HYPERLINK("https://pbs.twimg.com/profile_images/1203072671/mono_normal.png")</f>
        <v>https://pbs.twimg.com/profile_images/1203072671/mono_normal.png</v>
      </c>
      <c r="AW1017" s="80" t="s">
        <v>16933</v>
      </c>
      <c r="AX1017" s="80" t="s">
        <v>20002</v>
      </c>
      <c r="AY1017" s="80" t="s">
        <v>20257</v>
      </c>
      <c r="AZ1017" s="80" t="s">
        <v>20002</v>
      </c>
      <c r="BA1017" s="80" t="s">
        <v>20380</v>
      </c>
      <c r="BB1017" s="80" t="s">
        <v>20380</v>
      </c>
      <c r="BC1017" s="80" t="s">
        <v>20002</v>
      </c>
      <c r="BD1017" s="77">
        <v>232458636</v>
      </c>
      <c r="BE1017" s="77"/>
      <c r="BF1017" s="77"/>
      <c r="BG1017" s="77"/>
      <c r="BH1017" s="77"/>
      <c r="BI1017" s="77"/>
    </row>
    <row r="1018" spans="1:61" x14ac:dyDescent="0.25">
      <c r="A1018" s="62" t="s">
        <v>606</v>
      </c>
      <c r="B1018" s="62" t="s">
        <v>1820</v>
      </c>
      <c r="C1018" s="63"/>
      <c r="D1018" s="64"/>
      <c r="E1018" s="65"/>
      <c r="F1018" s="66"/>
      <c r="G1018" s="63"/>
      <c r="H1018" s="67"/>
      <c r="I1018" s="68"/>
      <c r="J1018" s="68"/>
      <c r="K1018" s="32"/>
      <c r="L1018" s="75">
        <v>1018</v>
      </c>
      <c r="M1018" s="75"/>
      <c r="N1018" s="70"/>
      <c r="O1018" s="77" t="s">
        <v>2081</v>
      </c>
      <c r="P1018" s="79">
        <v>45096.954479166663</v>
      </c>
      <c r="Q1018" s="77" t="s">
        <v>2971</v>
      </c>
      <c r="R1018" s="77">
        <v>0</v>
      </c>
      <c r="S1018" s="77">
        <v>0</v>
      </c>
      <c r="T1018" s="77">
        <v>0</v>
      </c>
      <c r="U1018" s="77">
        <v>0</v>
      </c>
      <c r="V1018" s="77">
        <v>28</v>
      </c>
      <c r="W1018" s="80" t="s">
        <v>6625</v>
      </c>
      <c r="X1018" s="83" t="str">
        <f>HYPERLINK("https://tinyurl.com/26k35fh8")</f>
        <v>https://tinyurl.com/26k35fh8</v>
      </c>
      <c r="Y1018" s="77" t="s">
        <v>8670</v>
      </c>
      <c r="Z1018" s="77" t="s">
        <v>1820</v>
      </c>
      <c r="AA1018" s="77"/>
      <c r="AB1018" s="77"/>
      <c r="AC1018" s="80" t="s">
        <v>10540</v>
      </c>
      <c r="AD1018" s="77" t="s">
        <v>10620</v>
      </c>
      <c r="AE1018" s="83" t="str">
        <f>HYPERLINK("https://twitter.com/monoaries/status/1670928055982850049")</f>
        <v>https://twitter.com/monoaries/status/1670928055982850049</v>
      </c>
      <c r="AF1018" s="79">
        <v>45096.954479166663</v>
      </c>
      <c r="AG1018" s="85">
        <v>45096</v>
      </c>
      <c r="AH1018" s="80" t="s">
        <v>11531</v>
      </c>
      <c r="AI1018" s="77" t="b">
        <v>0</v>
      </c>
      <c r="AJ1018" s="77"/>
      <c r="AK1018" s="77"/>
      <c r="AL1018" s="77"/>
      <c r="AM1018" s="77"/>
      <c r="AN1018" s="77"/>
      <c r="AO1018" s="77"/>
      <c r="AP1018" s="77"/>
      <c r="AQ1018" s="77"/>
      <c r="AR1018" s="77"/>
      <c r="AS1018" s="77"/>
      <c r="AT1018" s="77"/>
      <c r="AU1018" s="77"/>
      <c r="AV1018" s="83" t="str">
        <f>HYPERLINK("https://pbs.twimg.com/profile_images/1203072671/mono_normal.png")</f>
        <v>https://pbs.twimg.com/profile_images/1203072671/mono_normal.png</v>
      </c>
      <c r="AW1018" s="80" t="s">
        <v>16934</v>
      </c>
      <c r="AX1018" s="80" t="s">
        <v>16934</v>
      </c>
      <c r="AY1018" s="77"/>
      <c r="AZ1018" s="80" t="s">
        <v>20380</v>
      </c>
      <c r="BA1018" s="80" t="s">
        <v>20380</v>
      </c>
      <c r="BB1018" s="80" t="s">
        <v>20380</v>
      </c>
      <c r="BC1018" s="80" t="s">
        <v>16934</v>
      </c>
      <c r="BD1018" s="77">
        <v>232458636</v>
      </c>
      <c r="BE1018" s="77"/>
      <c r="BF1018" s="77"/>
      <c r="BG1018" s="77"/>
      <c r="BH1018" s="77"/>
      <c r="BI1018" s="77"/>
    </row>
    <row r="1019" spans="1:61" x14ac:dyDescent="0.25">
      <c r="A1019" s="62" t="s">
        <v>607</v>
      </c>
      <c r="B1019" s="62" t="s">
        <v>607</v>
      </c>
      <c r="C1019" s="63"/>
      <c r="D1019" s="64"/>
      <c r="E1019" s="65"/>
      <c r="F1019" s="66"/>
      <c r="G1019" s="63"/>
      <c r="H1019" s="67"/>
      <c r="I1019" s="68"/>
      <c r="J1019" s="68"/>
      <c r="K1019" s="32"/>
      <c r="L1019" s="75">
        <v>1019</v>
      </c>
      <c r="M1019" s="75"/>
      <c r="N1019" s="70"/>
      <c r="O1019" s="77" t="s">
        <v>179</v>
      </c>
      <c r="P1019" s="79">
        <v>45139.542430555557</v>
      </c>
      <c r="Q1019" s="77" t="s">
        <v>2972</v>
      </c>
      <c r="R1019" s="77">
        <v>1</v>
      </c>
      <c r="S1019" s="77">
        <v>2</v>
      </c>
      <c r="T1019" s="77">
        <v>0</v>
      </c>
      <c r="U1019" s="77">
        <v>0</v>
      </c>
      <c r="V1019" s="77">
        <v>106</v>
      </c>
      <c r="W1019" s="80" t="s">
        <v>6626</v>
      </c>
      <c r="X1019" s="77"/>
      <c r="Y1019" s="77"/>
      <c r="Z1019" s="77"/>
      <c r="AA1019" s="77" t="s">
        <v>9372</v>
      </c>
      <c r="AB1019" s="77" t="s">
        <v>10534</v>
      </c>
      <c r="AC1019" s="80" t="s">
        <v>10542</v>
      </c>
      <c r="AD1019" s="77" t="s">
        <v>10620</v>
      </c>
      <c r="AE1019" s="83" t="str">
        <f>HYPERLINK("https://twitter.com/thebabikianpost/status/1686361410832330752")</f>
        <v>https://twitter.com/thebabikianpost/status/1686361410832330752</v>
      </c>
      <c r="AF1019" s="79">
        <v>45139.542430555557</v>
      </c>
      <c r="AG1019" s="85">
        <v>45139</v>
      </c>
      <c r="AH1019" s="80" t="s">
        <v>11532</v>
      </c>
      <c r="AI1019" s="77" t="b">
        <v>0</v>
      </c>
      <c r="AJ1019" s="77"/>
      <c r="AK1019" s="77"/>
      <c r="AL1019" s="77"/>
      <c r="AM1019" s="77"/>
      <c r="AN1019" s="77"/>
      <c r="AO1019" s="77"/>
      <c r="AP1019" s="77"/>
      <c r="AQ1019" s="77" t="s">
        <v>14854</v>
      </c>
      <c r="AR1019" s="77">
        <v>75705</v>
      </c>
      <c r="AS1019" s="77"/>
      <c r="AT1019" s="77"/>
      <c r="AU1019" s="77"/>
      <c r="AV1019" s="83" t="str">
        <f>HYPERLINK("https://pbs.twimg.com/amplify_video_thumb/1686177228260818944/img/t9qwYUJjHlZYqqX0.jpg")</f>
        <v>https://pbs.twimg.com/amplify_video_thumb/1686177228260818944/img/t9qwYUJjHlZYqqX0.jpg</v>
      </c>
      <c r="AW1019" s="80" t="s">
        <v>16935</v>
      </c>
      <c r="AX1019" s="80" t="s">
        <v>16935</v>
      </c>
      <c r="AY1019" s="77"/>
      <c r="AZ1019" s="80" t="s">
        <v>20380</v>
      </c>
      <c r="BA1019" s="80" t="s">
        <v>20380</v>
      </c>
      <c r="BB1019" s="80" t="s">
        <v>20380</v>
      </c>
      <c r="BC1019" s="80" t="s">
        <v>16935</v>
      </c>
      <c r="BD1019" s="80" t="s">
        <v>20681</v>
      </c>
      <c r="BE1019" s="77"/>
      <c r="BF1019" s="77"/>
      <c r="BG1019" s="77"/>
      <c r="BH1019" s="77"/>
      <c r="BI1019" s="77"/>
    </row>
    <row r="1020" spans="1:61" x14ac:dyDescent="0.25">
      <c r="A1020" s="62" t="s">
        <v>607</v>
      </c>
      <c r="B1020" s="62" t="s">
        <v>607</v>
      </c>
      <c r="C1020" s="63"/>
      <c r="D1020" s="64"/>
      <c r="E1020" s="65"/>
      <c r="F1020" s="66"/>
      <c r="G1020" s="63"/>
      <c r="H1020" s="67"/>
      <c r="I1020" s="68"/>
      <c r="J1020" s="68"/>
      <c r="K1020" s="32"/>
      <c r="L1020" s="75">
        <v>1020</v>
      </c>
      <c r="M1020" s="75"/>
      <c r="N1020" s="70"/>
      <c r="O1020" s="77" t="s">
        <v>179</v>
      </c>
      <c r="P1020" s="79">
        <v>45152.739942129629</v>
      </c>
      <c r="Q1020" s="77" t="s">
        <v>2973</v>
      </c>
      <c r="R1020" s="77">
        <v>1</v>
      </c>
      <c r="S1020" s="77">
        <v>2</v>
      </c>
      <c r="T1020" s="77">
        <v>0</v>
      </c>
      <c r="U1020" s="77">
        <v>0</v>
      </c>
      <c r="V1020" s="77">
        <v>819</v>
      </c>
      <c r="W1020" s="80" t="s">
        <v>6627</v>
      </c>
      <c r="X1020" s="77"/>
      <c r="Y1020" s="77"/>
      <c r="Z1020" s="77"/>
      <c r="AA1020" s="77" t="s">
        <v>9373</v>
      </c>
      <c r="AB1020" s="77" t="s">
        <v>10535</v>
      </c>
      <c r="AC1020" s="80" t="s">
        <v>10542</v>
      </c>
      <c r="AD1020" s="77" t="s">
        <v>10620</v>
      </c>
      <c r="AE1020" s="83" t="str">
        <f>HYPERLINK("https://twitter.com/thebabikianpost/status/1691144028572553216")</f>
        <v>https://twitter.com/thebabikianpost/status/1691144028572553216</v>
      </c>
      <c r="AF1020" s="79">
        <v>45152.739942129629</v>
      </c>
      <c r="AG1020" s="85">
        <v>45152</v>
      </c>
      <c r="AH1020" s="80" t="s">
        <v>11533</v>
      </c>
      <c r="AI1020" s="77" t="b">
        <v>0</v>
      </c>
      <c r="AJ1020" s="77"/>
      <c r="AK1020" s="77"/>
      <c r="AL1020" s="77"/>
      <c r="AM1020" s="77"/>
      <c r="AN1020" s="77"/>
      <c r="AO1020" s="77"/>
      <c r="AP1020" s="77"/>
      <c r="AQ1020" s="77" t="s">
        <v>14855</v>
      </c>
      <c r="AR1020" s="77"/>
      <c r="AS1020" s="77"/>
      <c r="AT1020" s="77"/>
      <c r="AU1020" s="77"/>
      <c r="AV1020" s="83" t="str">
        <f>HYPERLINK("https://pbs.twimg.com/media/F3gmh40WMAoKEF5.jpg")</f>
        <v>https://pbs.twimg.com/media/F3gmh40WMAoKEF5.jpg</v>
      </c>
      <c r="AW1020" s="80" t="s">
        <v>16936</v>
      </c>
      <c r="AX1020" s="80" t="s">
        <v>16936</v>
      </c>
      <c r="AY1020" s="77"/>
      <c r="AZ1020" s="80" t="s">
        <v>20380</v>
      </c>
      <c r="BA1020" s="80" t="s">
        <v>20380</v>
      </c>
      <c r="BB1020" s="80" t="s">
        <v>20380</v>
      </c>
      <c r="BC1020" s="80" t="s">
        <v>16936</v>
      </c>
      <c r="BD1020" s="80" t="s">
        <v>20681</v>
      </c>
      <c r="BE1020" s="77"/>
      <c r="BF1020" s="77"/>
      <c r="BG1020" s="77"/>
      <c r="BH1020" s="77"/>
      <c r="BI1020" s="77"/>
    </row>
    <row r="1021" spans="1:61" x14ac:dyDescent="0.25">
      <c r="A1021" s="62" t="s">
        <v>608</v>
      </c>
      <c r="B1021" s="62" t="s">
        <v>1539</v>
      </c>
      <c r="C1021" s="63"/>
      <c r="D1021" s="64"/>
      <c r="E1021" s="65"/>
      <c r="F1021" s="66"/>
      <c r="G1021" s="63"/>
      <c r="H1021" s="67"/>
      <c r="I1021" s="68"/>
      <c r="J1021" s="68"/>
      <c r="K1021" s="32"/>
      <c r="L1021" s="75">
        <v>1021</v>
      </c>
      <c r="M1021" s="75"/>
      <c r="N1021" s="70"/>
      <c r="O1021" s="77" t="s">
        <v>2083</v>
      </c>
      <c r="P1021" s="79">
        <v>45196.860717592594</v>
      </c>
      <c r="Q1021" s="77" t="s">
        <v>2974</v>
      </c>
      <c r="R1021" s="77">
        <v>1</v>
      </c>
      <c r="S1021" s="77">
        <v>0</v>
      </c>
      <c r="T1021" s="77">
        <v>0</v>
      </c>
      <c r="U1021" s="77">
        <v>0</v>
      </c>
      <c r="V1021" s="77"/>
      <c r="W1021" s="80" t="s">
        <v>1715</v>
      </c>
      <c r="X1021" s="77"/>
      <c r="Y1021" s="77"/>
      <c r="Z1021" s="77" t="s">
        <v>1539</v>
      </c>
      <c r="AA1021" s="77"/>
      <c r="AB1021" s="77"/>
      <c r="AC1021" s="80" t="s">
        <v>10540</v>
      </c>
      <c r="AD1021" s="77" t="s">
        <v>10620</v>
      </c>
      <c r="AE1021" s="83" t="str">
        <f>HYPERLINK("https://twitter.com/agergastn/status/1707132865597649378")</f>
        <v>https://twitter.com/agergastn/status/1707132865597649378</v>
      </c>
      <c r="AF1021" s="79">
        <v>45196.860717592594</v>
      </c>
      <c r="AG1021" s="85">
        <v>45196</v>
      </c>
      <c r="AH1021" s="80" t="s">
        <v>11534</v>
      </c>
      <c r="AI1021" s="77"/>
      <c r="AJ1021" s="77"/>
      <c r="AK1021" s="77"/>
      <c r="AL1021" s="77"/>
      <c r="AM1021" s="77"/>
      <c r="AN1021" s="77"/>
      <c r="AO1021" s="77"/>
      <c r="AP1021" s="77"/>
      <c r="AQ1021" s="77"/>
      <c r="AR1021" s="77"/>
      <c r="AS1021" s="77"/>
      <c r="AT1021" s="77"/>
      <c r="AU1021" s="77"/>
      <c r="AV1021" s="83" t="str">
        <f>HYPERLINK("https://pbs.twimg.com/profile_images/904886194827403264/HaFvsjKl_normal.jpg")</f>
        <v>https://pbs.twimg.com/profile_images/904886194827403264/HaFvsjKl_normal.jpg</v>
      </c>
      <c r="AW1021" s="80" t="s">
        <v>16937</v>
      </c>
      <c r="AX1021" s="80" t="s">
        <v>16937</v>
      </c>
      <c r="AY1021" s="77"/>
      <c r="AZ1021" s="80" t="s">
        <v>20380</v>
      </c>
      <c r="BA1021" s="80" t="s">
        <v>20380</v>
      </c>
      <c r="BB1021" s="80" t="s">
        <v>19517</v>
      </c>
      <c r="BC1021" s="80" t="s">
        <v>19517</v>
      </c>
      <c r="BD1021" s="77">
        <v>2375877338</v>
      </c>
      <c r="BE1021" s="77"/>
      <c r="BF1021" s="77"/>
      <c r="BG1021" s="77"/>
      <c r="BH1021" s="77"/>
      <c r="BI1021" s="77"/>
    </row>
    <row r="1022" spans="1:61" x14ac:dyDescent="0.25">
      <c r="A1022" s="62" t="s">
        <v>609</v>
      </c>
      <c r="B1022" s="62" t="s">
        <v>609</v>
      </c>
      <c r="C1022" s="63"/>
      <c r="D1022" s="64"/>
      <c r="E1022" s="65"/>
      <c r="F1022" s="66"/>
      <c r="G1022" s="63"/>
      <c r="H1022" s="67"/>
      <c r="I1022" s="68"/>
      <c r="J1022" s="68"/>
      <c r="K1022" s="32"/>
      <c r="L1022" s="75">
        <v>1022</v>
      </c>
      <c r="M1022" s="75"/>
      <c r="N1022" s="70"/>
      <c r="O1022" s="77" t="s">
        <v>179</v>
      </c>
      <c r="P1022" s="79">
        <v>45196.515011574076</v>
      </c>
      <c r="Q1022" s="77" t="s">
        <v>2975</v>
      </c>
      <c r="R1022" s="77">
        <v>0</v>
      </c>
      <c r="S1022" s="77">
        <v>0</v>
      </c>
      <c r="T1022" s="77">
        <v>0</v>
      </c>
      <c r="U1022" s="77">
        <v>0</v>
      </c>
      <c r="V1022" s="77">
        <v>17</v>
      </c>
      <c r="W1022" s="80" t="s">
        <v>5884</v>
      </c>
      <c r="X1022" s="77"/>
      <c r="Y1022" s="77"/>
      <c r="Z1022" s="77"/>
      <c r="AA1022" s="77"/>
      <c r="AB1022" s="77"/>
      <c r="AC1022" s="80" t="s">
        <v>10540</v>
      </c>
      <c r="AD1022" s="77" t="s">
        <v>10620</v>
      </c>
      <c r="AE1022" s="83" t="str">
        <f>HYPERLINK("https://twitter.com/colon121078/status/1707007583267983808")</f>
        <v>https://twitter.com/colon121078/status/1707007583267983808</v>
      </c>
      <c r="AF1022" s="79">
        <v>45196.515011574076</v>
      </c>
      <c r="AG1022" s="85">
        <v>45196</v>
      </c>
      <c r="AH1022" s="80" t="s">
        <v>11535</v>
      </c>
      <c r="AI1022" s="77"/>
      <c r="AJ1022" s="77"/>
      <c r="AK1022" s="77"/>
      <c r="AL1022" s="77"/>
      <c r="AM1022" s="77"/>
      <c r="AN1022" s="77"/>
      <c r="AO1022" s="77"/>
      <c r="AP1022" s="77"/>
      <c r="AQ1022" s="77"/>
      <c r="AR1022" s="77"/>
      <c r="AS1022" s="77"/>
      <c r="AT1022" s="77"/>
      <c r="AU1022" s="77"/>
      <c r="AV1022" s="83" t="str">
        <f>HYPERLINK("https://pbs.twimg.com/profile_images/1528057620531126274/UBue87Z3_normal.jpg")</f>
        <v>https://pbs.twimg.com/profile_images/1528057620531126274/UBue87Z3_normal.jpg</v>
      </c>
      <c r="AW1022" s="80" t="s">
        <v>16938</v>
      </c>
      <c r="AX1022" s="80" t="s">
        <v>16938</v>
      </c>
      <c r="AY1022" s="77"/>
      <c r="AZ1022" s="80" t="s">
        <v>20380</v>
      </c>
      <c r="BA1022" s="80" t="s">
        <v>20380</v>
      </c>
      <c r="BB1022" s="80" t="s">
        <v>20380</v>
      </c>
      <c r="BC1022" s="80" t="s">
        <v>16938</v>
      </c>
      <c r="BD1022" s="77">
        <v>188293356</v>
      </c>
      <c r="BE1022" s="77"/>
      <c r="BF1022" s="77"/>
      <c r="BG1022" s="77"/>
      <c r="BH1022" s="77"/>
      <c r="BI1022" s="77"/>
    </row>
    <row r="1023" spans="1:61" x14ac:dyDescent="0.25">
      <c r="A1023" s="62" t="s">
        <v>610</v>
      </c>
      <c r="B1023" s="62" t="s">
        <v>610</v>
      </c>
      <c r="C1023" s="63"/>
      <c r="D1023" s="64"/>
      <c r="E1023" s="65"/>
      <c r="F1023" s="66"/>
      <c r="G1023" s="63"/>
      <c r="H1023" s="67"/>
      <c r="I1023" s="68"/>
      <c r="J1023" s="68"/>
      <c r="K1023" s="32"/>
      <c r="L1023" s="75">
        <v>1023</v>
      </c>
      <c r="M1023" s="75"/>
      <c r="N1023" s="70"/>
      <c r="O1023" s="77" t="s">
        <v>179</v>
      </c>
      <c r="P1023" s="79">
        <v>45052.87704861111</v>
      </c>
      <c r="Q1023" s="77" t="s">
        <v>2976</v>
      </c>
      <c r="R1023" s="77">
        <v>0</v>
      </c>
      <c r="S1023" s="77">
        <v>0</v>
      </c>
      <c r="T1023" s="77">
        <v>0</v>
      </c>
      <c r="U1023" s="77">
        <v>0</v>
      </c>
      <c r="V1023" s="77">
        <v>30</v>
      </c>
      <c r="W1023" s="80" t="s">
        <v>6628</v>
      </c>
      <c r="X1023" s="83" t="str">
        <f>HYPERLINK("https://newspiaui.com/2023/05/06/lula-volta-a-criticar-taxa-de-juros-e-presidente-do-banco-central-nao-tem-compromisso-com-o-brasil/")</f>
        <v>https://newspiaui.com/2023/05/06/lula-volta-a-criticar-taxa-de-juros-e-presidente-do-banco-central-nao-tem-compromisso-com-o-brasil/</v>
      </c>
      <c r="Y1023" s="77" t="s">
        <v>8704</v>
      </c>
      <c r="Z1023" s="77"/>
      <c r="AA1023" s="77" t="s">
        <v>9374</v>
      </c>
      <c r="AB1023" s="77" t="s">
        <v>10535</v>
      </c>
      <c r="AC1023" s="80" t="s">
        <v>10546</v>
      </c>
      <c r="AD1023" s="77" t="s">
        <v>10617</v>
      </c>
      <c r="AE1023" s="83" t="str">
        <f>HYPERLINK("https://twitter.com/news_piaui/status/1654954929415413763")</f>
        <v>https://twitter.com/news_piaui/status/1654954929415413763</v>
      </c>
      <c r="AF1023" s="79">
        <v>45052.87704861111</v>
      </c>
      <c r="AG1023" s="85">
        <v>45052</v>
      </c>
      <c r="AH1023" s="80" t="s">
        <v>11536</v>
      </c>
      <c r="AI1023" s="77" t="b">
        <v>0</v>
      </c>
      <c r="AJ1023" s="77"/>
      <c r="AK1023" s="77"/>
      <c r="AL1023" s="77"/>
      <c r="AM1023" s="77"/>
      <c r="AN1023" s="77"/>
      <c r="AO1023" s="77"/>
      <c r="AP1023" s="77"/>
      <c r="AQ1023" s="77" t="s">
        <v>14856</v>
      </c>
      <c r="AR1023" s="77"/>
      <c r="AS1023" s="77"/>
      <c r="AT1023" s="77"/>
      <c r="AU1023" s="77"/>
      <c r="AV1023" s="83" t="str">
        <f>HYPERLINK("https://pbs.twimg.com/media/FveUvQtXoAcJjcY.jpg")</f>
        <v>https://pbs.twimg.com/media/FveUvQtXoAcJjcY.jpg</v>
      </c>
      <c r="AW1023" s="80" t="s">
        <v>16939</v>
      </c>
      <c r="AX1023" s="80" t="s">
        <v>16939</v>
      </c>
      <c r="AY1023" s="77"/>
      <c r="AZ1023" s="80" t="s">
        <v>20380</v>
      </c>
      <c r="BA1023" s="80" t="s">
        <v>20380</v>
      </c>
      <c r="BB1023" s="80" t="s">
        <v>20380</v>
      </c>
      <c r="BC1023" s="80" t="s">
        <v>16939</v>
      </c>
      <c r="BD1023" s="80" t="s">
        <v>20682</v>
      </c>
      <c r="BE1023" s="77"/>
      <c r="BF1023" s="77"/>
      <c r="BG1023" s="77"/>
      <c r="BH1023" s="77"/>
      <c r="BI1023" s="77"/>
    </row>
    <row r="1024" spans="1:61" x14ac:dyDescent="0.25">
      <c r="A1024" s="62" t="s">
        <v>611</v>
      </c>
      <c r="B1024" s="62" t="s">
        <v>611</v>
      </c>
      <c r="C1024" s="63"/>
      <c r="D1024" s="64"/>
      <c r="E1024" s="65"/>
      <c r="F1024" s="66"/>
      <c r="G1024" s="63"/>
      <c r="H1024" s="67"/>
      <c r="I1024" s="68"/>
      <c r="J1024" s="68"/>
      <c r="K1024" s="32"/>
      <c r="L1024" s="75">
        <v>1024</v>
      </c>
      <c r="M1024" s="75"/>
      <c r="N1024" s="70"/>
      <c r="O1024" s="77" t="s">
        <v>179</v>
      </c>
      <c r="P1024" s="79">
        <v>45140.676759259259</v>
      </c>
      <c r="Q1024" s="77" t="s">
        <v>2977</v>
      </c>
      <c r="R1024" s="77">
        <v>0</v>
      </c>
      <c r="S1024" s="77">
        <v>0</v>
      </c>
      <c r="T1024" s="77">
        <v>0</v>
      </c>
      <c r="U1024" s="77">
        <v>0</v>
      </c>
      <c r="V1024" s="77">
        <v>5</v>
      </c>
      <c r="W1024" s="80" t="s">
        <v>6629</v>
      </c>
      <c r="X1024" s="83" t="str">
        <f>HYPERLINK("https://cubaenresumen.org/2023/08/02/banco-central-de-cuba-anuncia-nuevas-medidas-de-bancarizacion-para-reordenar-los-flujos-monetarios/")</f>
        <v>https://cubaenresumen.org/2023/08/02/banco-central-de-cuba-anuncia-nuevas-medidas-de-bancarizacion-para-reordenar-los-flujos-monetarios/</v>
      </c>
      <c r="Y1024" s="77" t="s">
        <v>8705</v>
      </c>
      <c r="Z1024" s="77"/>
      <c r="AA1024" s="77"/>
      <c r="AB1024" s="77"/>
      <c r="AC1024" s="80" t="s">
        <v>10541</v>
      </c>
      <c r="AD1024" s="77" t="s">
        <v>10620</v>
      </c>
      <c r="AE1024" s="83" t="str">
        <f>HYPERLINK("https://twitter.com/cuba_enresumen/status/1686772479484645377")</f>
        <v>https://twitter.com/cuba_enresumen/status/1686772479484645377</v>
      </c>
      <c r="AF1024" s="79">
        <v>45140.676759259259</v>
      </c>
      <c r="AG1024" s="85">
        <v>45140</v>
      </c>
      <c r="AH1024" s="80" t="s">
        <v>11537</v>
      </c>
      <c r="AI1024" s="77" t="b">
        <v>0</v>
      </c>
      <c r="AJ1024" s="77"/>
      <c r="AK1024" s="77"/>
      <c r="AL1024" s="77"/>
      <c r="AM1024" s="77"/>
      <c r="AN1024" s="77"/>
      <c r="AO1024" s="77"/>
      <c r="AP1024" s="77"/>
      <c r="AQ1024" s="77"/>
      <c r="AR1024" s="77"/>
      <c r="AS1024" s="77"/>
      <c r="AT1024" s="77"/>
      <c r="AU1024" s="77"/>
      <c r="AV1024" s="83" t="str">
        <f>HYPERLINK("https://pbs.twimg.com/profile_images/1435362682006351872/LQpJR9EQ_normal.jpg")</f>
        <v>https://pbs.twimg.com/profile_images/1435362682006351872/LQpJR9EQ_normal.jpg</v>
      </c>
      <c r="AW1024" s="80" t="s">
        <v>16940</v>
      </c>
      <c r="AX1024" s="80" t="s">
        <v>16940</v>
      </c>
      <c r="AY1024" s="77"/>
      <c r="AZ1024" s="80" t="s">
        <v>20380</v>
      </c>
      <c r="BA1024" s="80" t="s">
        <v>20380</v>
      </c>
      <c r="BB1024" s="80" t="s">
        <v>20380</v>
      </c>
      <c r="BC1024" s="80" t="s">
        <v>16940</v>
      </c>
      <c r="BD1024" s="77">
        <v>4854937214</v>
      </c>
      <c r="BE1024" s="77"/>
      <c r="BF1024" s="77"/>
      <c r="BG1024" s="77"/>
      <c r="BH1024" s="77"/>
      <c r="BI1024" s="77"/>
    </row>
    <row r="1025" spans="1:61" x14ac:dyDescent="0.25">
      <c r="A1025" s="62" t="s">
        <v>612</v>
      </c>
      <c r="B1025" s="62" t="s">
        <v>612</v>
      </c>
      <c r="C1025" s="63"/>
      <c r="D1025" s="64"/>
      <c r="E1025" s="65"/>
      <c r="F1025" s="66"/>
      <c r="G1025" s="63"/>
      <c r="H1025" s="67"/>
      <c r="I1025" s="68"/>
      <c r="J1025" s="68"/>
      <c r="K1025" s="32"/>
      <c r="L1025" s="75">
        <v>1025</v>
      </c>
      <c r="M1025" s="75"/>
      <c r="N1025" s="70"/>
      <c r="O1025" s="77" t="s">
        <v>179</v>
      </c>
      <c r="P1025" s="79">
        <v>45161.642361111109</v>
      </c>
      <c r="Q1025" s="77" t="s">
        <v>2978</v>
      </c>
      <c r="R1025" s="77">
        <v>0</v>
      </c>
      <c r="S1025" s="77">
        <v>1</v>
      </c>
      <c r="T1025" s="77">
        <v>0</v>
      </c>
      <c r="U1025" s="77">
        <v>0</v>
      </c>
      <c r="V1025" s="77">
        <v>92</v>
      </c>
      <c r="W1025" s="80" t="s">
        <v>6630</v>
      </c>
      <c r="X1025" s="83" t="str">
        <f>HYPERLINK("https://themexicopost.mx/?p=17463")</f>
        <v>https://themexicopost.mx/?p=17463</v>
      </c>
      <c r="Y1025" s="77" t="s">
        <v>8706</v>
      </c>
      <c r="Z1025" s="77"/>
      <c r="AA1025" s="77" t="s">
        <v>9375</v>
      </c>
      <c r="AB1025" s="77" t="s">
        <v>10535</v>
      </c>
      <c r="AC1025" s="80" t="s">
        <v>10541</v>
      </c>
      <c r="AD1025" s="77" t="s">
        <v>10620</v>
      </c>
      <c r="AE1025" s="83" t="str">
        <f>HYPERLINK("https://twitter.com/mexicopost/status/1694370158104739983")</f>
        <v>https://twitter.com/mexicopost/status/1694370158104739983</v>
      </c>
      <c r="AF1025" s="79">
        <v>45161.642361111109</v>
      </c>
      <c r="AG1025" s="85">
        <v>45161</v>
      </c>
      <c r="AH1025" s="80" t="s">
        <v>11538</v>
      </c>
      <c r="AI1025" s="77" t="b">
        <v>0</v>
      </c>
      <c r="AJ1025" s="77"/>
      <c r="AK1025" s="77"/>
      <c r="AL1025" s="77"/>
      <c r="AM1025" s="77"/>
      <c r="AN1025" s="77"/>
      <c r="AO1025" s="77"/>
      <c r="AP1025" s="77"/>
      <c r="AQ1025" s="77" t="s">
        <v>14857</v>
      </c>
      <c r="AR1025" s="77"/>
      <c r="AS1025" s="77"/>
      <c r="AT1025" s="77"/>
      <c r="AU1025" s="77"/>
      <c r="AV1025" s="83" t="str">
        <f>HYPERLINK("https://pbs.twimg.com/media/F4OaLEqXcAAtfGC.jpg")</f>
        <v>https://pbs.twimg.com/media/F4OaLEqXcAAtfGC.jpg</v>
      </c>
      <c r="AW1025" s="80" t="s">
        <v>16941</v>
      </c>
      <c r="AX1025" s="80" t="s">
        <v>16941</v>
      </c>
      <c r="AY1025" s="77"/>
      <c r="AZ1025" s="80" t="s">
        <v>20380</v>
      </c>
      <c r="BA1025" s="80" t="s">
        <v>20380</v>
      </c>
      <c r="BB1025" s="80" t="s">
        <v>20380</v>
      </c>
      <c r="BC1025" s="80" t="s">
        <v>16941</v>
      </c>
      <c r="BD1025" s="77">
        <v>3223746900</v>
      </c>
      <c r="BE1025" s="77"/>
      <c r="BF1025" s="77"/>
      <c r="BG1025" s="77"/>
      <c r="BH1025" s="77"/>
      <c r="BI1025" s="77"/>
    </row>
    <row r="1026" spans="1:61" x14ac:dyDescent="0.25">
      <c r="A1026" s="62" t="s">
        <v>613</v>
      </c>
      <c r="B1026" s="62" t="s">
        <v>1821</v>
      </c>
      <c r="C1026" s="63"/>
      <c r="D1026" s="64"/>
      <c r="E1026" s="65"/>
      <c r="F1026" s="66"/>
      <c r="G1026" s="63"/>
      <c r="H1026" s="67"/>
      <c r="I1026" s="68"/>
      <c r="J1026" s="68"/>
      <c r="K1026" s="32"/>
      <c r="L1026" s="75">
        <v>1026</v>
      </c>
      <c r="M1026" s="75"/>
      <c r="N1026" s="70"/>
      <c r="O1026" s="77" t="s">
        <v>2081</v>
      </c>
      <c r="P1026" s="79">
        <v>45070.667905092596</v>
      </c>
      <c r="Q1026" s="77" t="s">
        <v>2979</v>
      </c>
      <c r="R1026" s="77">
        <v>3</v>
      </c>
      <c r="S1026" s="77">
        <v>3</v>
      </c>
      <c r="T1026" s="77">
        <v>0</v>
      </c>
      <c r="U1026" s="77">
        <v>0</v>
      </c>
      <c r="V1026" s="77">
        <v>398</v>
      </c>
      <c r="W1026" s="80" t="s">
        <v>6631</v>
      </c>
      <c r="X1026" s="83" t="str">
        <f>HYPERLINK("https://www.esglobal.org/libano-al-borde-del-abismo-economico/")</f>
        <v>https://www.esglobal.org/libano-al-borde-del-abismo-economico/</v>
      </c>
      <c r="Y1026" s="77" t="s">
        <v>8707</v>
      </c>
      <c r="Z1026" s="77" t="s">
        <v>1821</v>
      </c>
      <c r="AA1026" s="77"/>
      <c r="AB1026" s="77"/>
      <c r="AC1026" s="80" t="s">
        <v>10552</v>
      </c>
      <c r="AD1026" s="77" t="s">
        <v>10620</v>
      </c>
      <c r="AE1026" s="83" t="str">
        <f>HYPERLINK("https://twitter.com/esglobal_org/status/1661402122330447875")</f>
        <v>https://twitter.com/esglobal_org/status/1661402122330447875</v>
      </c>
      <c r="AF1026" s="79">
        <v>45070.667905092596</v>
      </c>
      <c r="AG1026" s="85">
        <v>45070</v>
      </c>
      <c r="AH1026" s="80" t="s">
        <v>11539</v>
      </c>
      <c r="AI1026" s="77" t="b">
        <v>0</v>
      </c>
      <c r="AJ1026" s="77"/>
      <c r="AK1026" s="77"/>
      <c r="AL1026" s="77"/>
      <c r="AM1026" s="77"/>
      <c r="AN1026" s="77"/>
      <c r="AO1026" s="77"/>
      <c r="AP1026" s="77"/>
      <c r="AQ1026" s="77"/>
      <c r="AR1026" s="77"/>
      <c r="AS1026" s="77"/>
      <c r="AT1026" s="77"/>
      <c r="AU1026" s="77"/>
      <c r="AV1026" s="83" t="str">
        <f>HYPERLINK("https://pbs.twimg.com/profile_images/1447210293252272130/pdF89RWc_normal.jpg")</f>
        <v>https://pbs.twimg.com/profile_images/1447210293252272130/pdF89RWc_normal.jpg</v>
      </c>
      <c r="AW1026" s="80" t="s">
        <v>16942</v>
      </c>
      <c r="AX1026" s="80" t="s">
        <v>16942</v>
      </c>
      <c r="AY1026" s="77"/>
      <c r="AZ1026" s="80" t="s">
        <v>20380</v>
      </c>
      <c r="BA1026" s="80" t="s">
        <v>20380</v>
      </c>
      <c r="BB1026" s="80" t="s">
        <v>20380</v>
      </c>
      <c r="BC1026" s="80" t="s">
        <v>16942</v>
      </c>
      <c r="BD1026" s="77">
        <v>53394788</v>
      </c>
      <c r="BE1026" s="77"/>
      <c r="BF1026" s="77"/>
      <c r="BG1026" s="77"/>
      <c r="BH1026" s="77"/>
      <c r="BI1026" s="77"/>
    </row>
    <row r="1027" spans="1:61" x14ac:dyDescent="0.25">
      <c r="A1027" s="62" t="s">
        <v>614</v>
      </c>
      <c r="B1027" s="62" t="s">
        <v>614</v>
      </c>
      <c r="C1027" s="63"/>
      <c r="D1027" s="64"/>
      <c r="E1027" s="65"/>
      <c r="F1027" s="66"/>
      <c r="G1027" s="63"/>
      <c r="H1027" s="67"/>
      <c r="I1027" s="68"/>
      <c r="J1027" s="68"/>
      <c r="K1027" s="32"/>
      <c r="L1027" s="75">
        <v>1027</v>
      </c>
      <c r="M1027" s="75"/>
      <c r="N1027" s="70"/>
      <c r="O1027" s="77" t="s">
        <v>179</v>
      </c>
      <c r="P1027" s="79">
        <v>45192.224374999998</v>
      </c>
      <c r="Q1027" s="77" t="s">
        <v>2980</v>
      </c>
      <c r="R1027" s="77">
        <v>0</v>
      </c>
      <c r="S1027" s="77">
        <v>0</v>
      </c>
      <c r="T1027" s="77">
        <v>0</v>
      </c>
      <c r="U1027" s="77">
        <v>0</v>
      </c>
      <c r="V1027" s="77">
        <v>11</v>
      </c>
      <c r="W1027" s="80" t="s">
        <v>6206</v>
      </c>
      <c r="X1027" s="83" t="str">
        <f>HYPERLINK("https://www.somosfan.com/internacional/milei-referente-economico/234559/")</f>
        <v>https://www.somosfan.com/internacional/milei-referente-economico/234559/</v>
      </c>
      <c r="Y1027" s="77" t="s">
        <v>8708</v>
      </c>
      <c r="Z1027" s="77"/>
      <c r="AA1027" s="77"/>
      <c r="AB1027" s="77"/>
      <c r="AC1027" s="80" t="s">
        <v>10541</v>
      </c>
      <c r="AD1027" s="77" t="s">
        <v>10620</v>
      </c>
      <c r="AE1027" s="83" t="str">
        <f>HYPERLINK("https://twitter.com/somosfancom/status/1705452709493559309")</f>
        <v>https://twitter.com/somosfancom/status/1705452709493559309</v>
      </c>
      <c r="AF1027" s="79">
        <v>45192.224374999998</v>
      </c>
      <c r="AG1027" s="85">
        <v>45192</v>
      </c>
      <c r="AH1027" s="80" t="s">
        <v>11540</v>
      </c>
      <c r="AI1027" s="77" t="b">
        <v>0</v>
      </c>
      <c r="AJ1027" s="77"/>
      <c r="AK1027" s="77"/>
      <c r="AL1027" s="77"/>
      <c r="AM1027" s="77"/>
      <c r="AN1027" s="77"/>
      <c r="AO1027" s="77"/>
      <c r="AP1027" s="77"/>
      <c r="AQ1027" s="77"/>
      <c r="AR1027" s="77"/>
      <c r="AS1027" s="77"/>
      <c r="AT1027" s="77"/>
      <c r="AU1027" s="77"/>
      <c r="AV1027" s="83" t="str">
        <f>HYPERLINK("https://pbs.twimg.com/profile_images/1637223676788588546/H4P4kByS_normal.png")</f>
        <v>https://pbs.twimg.com/profile_images/1637223676788588546/H4P4kByS_normal.png</v>
      </c>
      <c r="AW1027" s="80" t="s">
        <v>16943</v>
      </c>
      <c r="AX1027" s="80" t="s">
        <v>16943</v>
      </c>
      <c r="AY1027" s="77"/>
      <c r="AZ1027" s="80" t="s">
        <v>20380</v>
      </c>
      <c r="BA1027" s="80" t="s">
        <v>20380</v>
      </c>
      <c r="BB1027" s="80" t="s">
        <v>20380</v>
      </c>
      <c r="BC1027" s="80" t="s">
        <v>16943</v>
      </c>
      <c r="BD1027" s="80" t="s">
        <v>20683</v>
      </c>
      <c r="BE1027" s="77"/>
      <c r="BF1027" s="77"/>
      <c r="BG1027" s="77"/>
      <c r="BH1027" s="77"/>
      <c r="BI1027" s="77"/>
    </row>
    <row r="1028" spans="1:61" x14ac:dyDescent="0.25">
      <c r="A1028" s="62" t="s">
        <v>615</v>
      </c>
      <c r="B1028" s="62" t="s">
        <v>615</v>
      </c>
      <c r="C1028" s="63"/>
      <c r="D1028" s="64"/>
      <c r="E1028" s="65"/>
      <c r="F1028" s="66"/>
      <c r="G1028" s="63"/>
      <c r="H1028" s="67"/>
      <c r="I1028" s="68"/>
      <c r="J1028" s="68"/>
      <c r="K1028" s="32"/>
      <c r="L1028" s="75">
        <v>1028</v>
      </c>
      <c r="M1028" s="75"/>
      <c r="N1028" s="70"/>
      <c r="O1028" s="77" t="s">
        <v>179</v>
      </c>
      <c r="P1028" s="79">
        <v>45103.753506944442</v>
      </c>
      <c r="Q1028" s="77" t="s">
        <v>2981</v>
      </c>
      <c r="R1028" s="77">
        <v>1440</v>
      </c>
      <c r="S1028" s="77">
        <v>6394</v>
      </c>
      <c r="T1028" s="77">
        <v>265</v>
      </c>
      <c r="U1028" s="77">
        <v>109</v>
      </c>
      <c r="V1028" s="77">
        <v>242069</v>
      </c>
      <c r="W1028" s="77"/>
      <c r="X1028" s="77"/>
      <c r="Y1028" s="77"/>
      <c r="Z1028" s="77"/>
      <c r="AA1028" s="77" t="s">
        <v>9376</v>
      </c>
      <c r="AB1028" s="77" t="s">
        <v>10535</v>
      </c>
      <c r="AC1028" s="80" t="s">
        <v>10542</v>
      </c>
      <c r="AD1028" s="77" t="s">
        <v>10617</v>
      </c>
      <c r="AE1028" s="83" t="str">
        <f>HYPERLINK("https://twitter.com/p_rousseff/status/1673391939423445013")</f>
        <v>https://twitter.com/p_rousseff/status/1673391939423445013</v>
      </c>
      <c r="AF1028" s="79">
        <v>45103.753506944442</v>
      </c>
      <c r="AG1028" s="85">
        <v>45103</v>
      </c>
      <c r="AH1028" s="80" t="s">
        <v>11541</v>
      </c>
      <c r="AI1028" s="77" t="b">
        <v>0</v>
      </c>
      <c r="AJ1028" s="77"/>
      <c r="AK1028" s="77"/>
      <c r="AL1028" s="77"/>
      <c r="AM1028" s="77"/>
      <c r="AN1028" s="77"/>
      <c r="AO1028" s="77"/>
      <c r="AP1028" s="77"/>
      <c r="AQ1028" s="77" t="s">
        <v>14858</v>
      </c>
      <c r="AR1028" s="77"/>
      <c r="AS1028" s="77"/>
      <c r="AT1028" s="77"/>
      <c r="AU1028" s="77"/>
      <c r="AV1028" s="83" t="str">
        <f>HYPERLINK("https://pbs.twimg.com/media/FzkVGVTWIA4MIQT.jpg")</f>
        <v>https://pbs.twimg.com/media/FzkVGVTWIA4MIQT.jpg</v>
      </c>
      <c r="AW1028" s="80" t="s">
        <v>16944</v>
      </c>
      <c r="AX1028" s="80" t="s">
        <v>16944</v>
      </c>
      <c r="AY1028" s="77"/>
      <c r="AZ1028" s="80" t="s">
        <v>20380</v>
      </c>
      <c r="BA1028" s="80" t="s">
        <v>20380</v>
      </c>
      <c r="BB1028" s="80" t="s">
        <v>20380</v>
      </c>
      <c r="BC1028" s="80" t="s">
        <v>16944</v>
      </c>
      <c r="BD1028" s="80" t="s">
        <v>20684</v>
      </c>
      <c r="BE1028" s="77"/>
      <c r="BF1028" s="77"/>
      <c r="BG1028" s="77"/>
      <c r="BH1028" s="77"/>
      <c r="BI1028" s="77"/>
    </row>
    <row r="1029" spans="1:61" x14ac:dyDescent="0.25">
      <c r="A1029" s="62" t="s">
        <v>616</v>
      </c>
      <c r="B1029" s="62" t="s">
        <v>616</v>
      </c>
      <c r="C1029" s="63"/>
      <c r="D1029" s="64"/>
      <c r="E1029" s="65"/>
      <c r="F1029" s="66"/>
      <c r="G1029" s="63"/>
      <c r="H1029" s="67"/>
      <c r="I1029" s="68"/>
      <c r="J1029" s="68"/>
      <c r="K1029" s="32"/>
      <c r="L1029" s="75">
        <v>1029</v>
      </c>
      <c r="M1029" s="75"/>
      <c r="N1029" s="70"/>
      <c r="O1029" s="77" t="s">
        <v>179</v>
      </c>
      <c r="P1029" s="79">
        <v>44953.442361111112</v>
      </c>
      <c r="Q1029" s="77" t="s">
        <v>2982</v>
      </c>
      <c r="R1029" s="77">
        <v>1</v>
      </c>
      <c r="S1029" s="77">
        <v>1</v>
      </c>
      <c r="T1029" s="77">
        <v>0</v>
      </c>
      <c r="U1029" s="77">
        <v>0</v>
      </c>
      <c r="V1029" s="77">
        <v>213</v>
      </c>
      <c r="W1029" s="80" t="s">
        <v>6632</v>
      </c>
      <c r="X1029" s="77"/>
      <c r="Y1029" s="77"/>
      <c r="Z1029" s="77"/>
      <c r="AA1029" s="77" t="s">
        <v>9377</v>
      </c>
      <c r="AB1029" s="77" t="s">
        <v>10535</v>
      </c>
      <c r="AC1029" s="80" t="s">
        <v>10542</v>
      </c>
      <c r="AD1029" s="77" t="s">
        <v>10617</v>
      </c>
      <c r="AE1029" s="83" t="str">
        <f>HYPERLINK("https://twitter.com/drdanielvicente/status/1618921006697189377")</f>
        <v>https://twitter.com/drdanielvicente/status/1618921006697189377</v>
      </c>
      <c r="AF1029" s="79">
        <v>44953.442361111112</v>
      </c>
      <c r="AG1029" s="85">
        <v>44953</v>
      </c>
      <c r="AH1029" s="80" t="s">
        <v>11542</v>
      </c>
      <c r="AI1029" s="77" t="b">
        <v>0</v>
      </c>
      <c r="AJ1029" s="77"/>
      <c r="AK1029" s="77"/>
      <c r="AL1029" s="77"/>
      <c r="AM1029" s="77"/>
      <c r="AN1029" s="77"/>
      <c r="AO1029" s="77"/>
      <c r="AP1029" s="77"/>
      <c r="AQ1029" s="77" t="s">
        <v>14859</v>
      </c>
      <c r="AR1029" s="77"/>
      <c r="AS1029" s="77"/>
      <c r="AT1029" s="77"/>
      <c r="AU1029" s="77"/>
      <c r="AV1029" s="83" t="str">
        <f>HYPERLINK("https://pbs.twimg.com/media/FneQEnsXwAEEnps.jpg")</f>
        <v>https://pbs.twimg.com/media/FneQEnsXwAEEnps.jpg</v>
      </c>
      <c r="AW1029" s="80" t="s">
        <v>16945</v>
      </c>
      <c r="AX1029" s="80" t="s">
        <v>16945</v>
      </c>
      <c r="AY1029" s="77"/>
      <c r="AZ1029" s="80" t="s">
        <v>20380</v>
      </c>
      <c r="BA1029" s="80" t="s">
        <v>20380</v>
      </c>
      <c r="BB1029" s="80" t="s">
        <v>20380</v>
      </c>
      <c r="BC1029" s="80" t="s">
        <v>16945</v>
      </c>
      <c r="BD1029" s="80" t="s">
        <v>20685</v>
      </c>
      <c r="BE1029" s="77"/>
      <c r="BF1029" s="77"/>
      <c r="BG1029" s="77"/>
      <c r="BH1029" s="77"/>
      <c r="BI1029" s="77"/>
    </row>
    <row r="1030" spans="1:61" x14ac:dyDescent="0.25">
      <c r="A1030" s="62" t="s">
        <v>617</v>
      </c>
      <c r="B1030" s="62" t="s">
        <v>616</v>
      </c>
      <c r="C1030" s="63"/>
      <c r="D1030" s="64"/>
      <c r="E1030" s="65"/>
      <c r="F1030" s="66"/>
      <c r="G1030" s="63"/>
      <c r="H1030" s="67"/>
      <c r="I1030" s="68"/>
      <c r="J1030" s="68"/>
      <c r="K1030" s="32"/>
      <c r="L1030" s="75">
        <v>1030</v>
      </c>
      <c r="M1030" s="75"/>
      <c r="N1030" s="70"/>
      <c r="O1030" s="77" t="s">
        <v>2083</v>
      </c>
      <c r="P1030" s="79">
        <v>45195.206377314818</v>
      </c>
      <c r="Q1030" s="77" t="s">
        <v>2983</v>
      </c>
      <c r="R1030" s="77">
        <v>1</v>
      </c>
      <c r="S1030" s="77">
        <v>0</v>
      </c>
      <c r="T1030" s="77">
        <v>0</v>
      </c>
      <c r="U1030" s="77">
        <v>0</v>
      </c>
      <c r="V1030" s="77"/>
      <c r="W1030" s="80" t="s">
        <v>6632</v>
      </c>
      <c r="X1030" s="77"/>
      <c r="Y1030" s="77"/>
      <c r="Z1030" s="77" t="s">
        <v>616</v>
      </c>
      <c r="AA1030" s="77" t="s">
        <v>9377</v>
      </c>
      <c r="AB1030" s="77" t="s">
        <v>10535</v>
      </c>
      <c r="AC1030" s="80" t="s">
        <v>10540</v>
      </c>
      <c r="AD1030" s="77" t="s">
        <v>10617</v>
      </c>
      <c r="AE1030" s="83" t="str">
        <f>HYPERLINK("https://twitter.com/ameliacarson28/status/1706533349903290379")</f>
        <v>https://twitter.com/ameliacarson28/status/1706533349903290379</v>
      </c>
      <c r="AF1030" s="79">
        <v>45195.206377314818</v>
      </c>
      <c r="AG1030" s="85">
        <v>45195</v>
      </c>
      <c r="AH1030" s="80" t="s">
        <v>11543</v>
      </c>
      <c r="AI1030" s="77" t="b">
        <v>0</v>
      </c>
      <c r="AJ1030" s="77"/>
      <c r="AK1030" s="77"/>
      <c r="AL1030" s="77"/>
      <c r="AM1030" s="77"/>
      <c r="AN1030" s="77"/>
      <c r="AO1030" s="77"/>
      <c r="AP1030" s="77"/>
      <c r="AQ1030" s="77" t="s">
        <v>14859</v>
      </c>
      <c r="AR1030" s="77"/>
      <c r="AS1030" s="77"/>
      <c r="AT1030" s="77"/>
      <c r="AU1030" s="77"/>
      <c r="AV1030" s="83" t="str">
        <f>HYPERLINK("https://pbs.twimg.com/media/FneQEnsXwAEEnps.jpg")</f>
        <v>https://pbs.twimg.com/media/FneQEnsXwAEEnps.jpg</v>
      </c>
      <c r="AW1030" s="80" t="s">
        <v>16946</v>
      </c>
      <c r="AX1030" s="80" t="s">
        <v>16946</v>
      </c>
      <c r="AY1030" s="77"/>
      <c r="AZ1030" s="80" t="s">
        <v>20380</v>
      </c>
      <c r="BA1030" s="80" t="s">
        <v>20380</v>
      </c>
      <c r="BB1030" s="80" t="s">
        <v>16945</v>
      </c>
      <c r="BC1030" s="80" t="s">
        <v>16945</v>
      </c>
      <c r="BD1030" s="80" t="s">
        <v>20686</v>
      </c>
      <c r="BE1030" s="77"/>
      <c r="BF1030" s="77"/>
      <c r="BG1030" s="77"/>
      <c r="BH1030" s="77"/>
      <c r="BI1030" s="77"/>
    </row>
    <row r="1031" spans="1:61" x14ac:dyDescent="0.25">
      <c r="A1031" s="62" t="s">
        <v>618</v>
      </c>
      <c r="B1031" s="62" t="s">
        <v>618</v>
      </c>
      <c r="C1031" s="63"/>
      <c r="D1031" s="64"/>
      <c r="E1031" s="65"/>
      <c r="F1031" s="66"/>
      <c r="G1031" s="63"/>
      <c r="H1031" s="67"/>
      <c r="I1031" s="68"/>
      <c r="J1031" s="68"/>
      <c r="K1031" s="32"/>
      <c r="L1031" s="75">
        <v>1031</v>
      </c>
      <c r="M1031" s="75"/>
      <c r="N1031" s="70"/>
      <c r="O1031" s="77" t="s">
        <v>179</v>
      </c>
      <c r="P1031" s="79">
        <v>45163.38354166667</v>
      </c>
      <c r="Q1031" s="77" t="s">
        <v>2984</v>
      </c>
      <c r="R1031" s="77">
        <v>0</v>
      </c>
      <c r="S1031" s="77">
        <v>0</v>
      </c>
      <c r="T1031" s="77">
        <v>0</v>
      </c>
      <c r="U1031" s="77">
        <v>0</v>
      </c>
      <c r="V1031" s="77">
        <v>13</v>
      </c>
      <c r="W1031" s="80" t="s">
        <v>6633</v>
      </c>
      <c r="X1031" s="77"/>
      <c r="Y1031" s="77"/>
      <c r="Z1031" s="77"/>
      <c r="AA1031" s="77"/>
      <c r="AB1031" s="77"/>
      <c r="AC1031" s="80" t="s">
        <v>10577</v>
      </c>
      <c r="AD1031" s="77" t="s">
        <v>10617</v>
      </c>
      <c r="AE1031" s="83" t="str">
        <f>HYPERLINK("https://twitter.com/theinfoveritas/status/1695001141254234295")</f>
        <v>https://twitter.com/theinfoveritas/status/1695001141254234295</v>
      </c>
      <c r="AF1031" s="79">
        <v>45163.38354166667</v>
      </c>
      <c r="AG1031" s="85">
        <v>45163</v>
      </c>
      <c r="AH1031" s="80" t="s">
        <v>11544</v>
      </c>
      <c r="AI1031" s="77"/>
      <c r="AJ1031" s="77"/>
      <c r="AK1031" s="77"/>
      <c r="AL1031" s="77"/>
      <c r="AM1031" s="77"/>
      <c r="AN1031" s="77"/>
      <c r="AO1031" s="77"/>
      <c r="AP1031" s="77"/>
      <c r="AQ1031" s="77"/>
      <c r="AR1031" s="77"/>
      <c r="AS1031" s="77"/>
      <c r="AT1031" s="77"/>
      <c r="AU1031" s="77"/>
      <c r="AV1031" s="83" t="str">
        <f>HYPERLINK("https://pbs.twimg.com/profile_images/1664096165070028801/PSJeAwx__normal.jpg")</f>
        <v>https://pbs.twimg.com/profile_images/1664096165070028801/PSJeAwx__normal.jpg</v>
      </c>
      <c r="AW1031" s="80" t="s">
        <v>16947</v>
      </c>
      <c r="AX1031" s="80" t="s">
        <v>16947</v>
      </c>
      <c r="AY1031" s="77"/>
      <c r="AZ1031" s="80" t="s">
        <v>20380</v>
      </c>
      <c r="BA1031" s="80" t="s">
        <v>20380</v>
      </c>
      <c r="BB1031" s="80" t="s">
        <v>20380</v>
      </c>
      <c r="BC1031" s="80" t="s">
        <v>16947</v>
      </c>
      <c r="BD1031" s="80" t="s">
        <v>20687</v>
      </c>
      <c r="BE1031" s="77"/>
      <c r="BF1031" s="77"/>
      <c r="BG1031" s="77"/>
      <c r="BH1031" s="77"/>
      <c r="BI1031" s="77"/>
    </row>
    <row r="1032" spans="1:61" x14ac:dyDescent="0.25">
      <c r="A1032" s="62" t="s">
        <v>618</v>
      </c>
      <c r="B1032" s="62" t="s">
        <v>618</v>
      </c>
      <c r="C1032" s="63"/>
      <c r="D1032" s="64"/>
      <c r="E1032" s="65"/>
      <c r="F1032" s="66"/>
      <c r="G1032" s="63"/>
      <c r="H1032" s="67"/>
      <c r="I1032" s="68"/>
      <c r="J1032" s="68"/>
      <c r="K1032" s="32"/>
      <c r="L1032" s="75">
        <v>1032</v>
      </c>
      <c r="M1032" s="75"/>
      <c r="N1032" s="70"/>
      <c r="O1032" s="77" t="s">
        <v>179</v>
      </c>
      <c r="P1032" s="79">
        <v>45167.508564814816</v>
      </c>
      <c r="Q1032" s="77" t="s">
        <v>2985</v>
      </c>
      <c r="R1032" s="77">
        <v>0</v>
      </c>
      <c r="S1032" s="77">
        <v>1</v>
      </c>
      <c r="T1032" s="77">
        <v>0</v>
      </c>
      <c r="U1032" s="77">
        <v>0</v>
      </c>
      <c r="V1032" s="77">
        <v>39</v>
      </c>
      <c r="W1032" s="80" t="s">
        <v>6634</v>
      </c>
      <c r="X1032" s="77"/>
      <c r="Y1032" s="77"/>
      <c r="Z1032" s="77"/>
      <c r="AA1032" s="77" t="s">
        <v>9378</v>
      </c>
      <c r="AB1032" s="77" t="s">
        <v>10535</v>
      </c>
      <c r="AC1032" s="80" t="s">
        <v>10577</v>
      </c>
      <c r="AD1032" s="77" t="s">
        <v>10617</v>
      </c>
      <c r="AE1032" s="83" t="str">
        <f>HYPERLINK("https://twitter.com/theinfoveritas/status/1696496002184679504")</f>
        <v>https://twitter.com/theinfoveritas/status/1696496002184679504</v>
      </c>
      <c r="AF1032" s="79">
        <v>45167.508564814816</v>
      </c>
      <c r="AG1032" s="85">
        <v>45167</v>
      </c>
      <c r="AH1032" s="80" t="s">
        <v>11545</v>
      </c>
      <c r="AI1032" s="77" t="b">
        <v>0</v>
      </c>
      <c r="AJ1032" s="77"/>
      <c r="AK1032" s="77"/>
      <c r="AL1032" s="77"/>
      <c r="AM1032" s="77"/>
      <c r="AN1032" s="77"/>
      <c r="AO1032" s="77"/>
      <c r="AP1032" s="77"/>
      <c r="AQ1032" s="77" t="s">
        <v>14860</v>
      </c>
      <c r="AR1032" s="77"/>
      <c r="AS1032" s="77"/>
      <c r="AT1032" s="77"/>
      <c r="AU1032" s="77"/>
      <c r="AV1032" s="83" t="str">
        <f>HYPERLINK("https://pbs.twimg.com/media/F4sqH-MWwAAiUnr.jpg")</f>
        <v>https://pbs.twimg.com/media/F4sqH-MWwAAiUnr.jpg</v>
      </c>
      <c r="AW1032" s="80" t="s">
        <v>16948</v>
      </c>
      <c r="AX1032" s="80" t="s">
        <v>16948</v>
      </c>
      <c r="AY1032" s="77"/>
      <c r="AZ1032" s="80" t="s">
        <v>20380</v>
      </c>
      <c r="BA1032" s="80" t="s">
        <v>20380</v>
      </c>
      <c r="BB1032" s="80" t="s">
        <v>20380</v>
      </c>
      <c r="BC1032" s="80" t="s">
        <v>16948</v>
      </c>
      <c r="BD1032" s="80" t="s">
        <v>20687</v>
      </c>
      <c r="BE1032" s="77"/>
      <c r="BF1032" s="77"/>
      <c r="BG1032" s="77"/>
      <c r="BH1032" s="77"/>
      <c r="BI1032" s="77"/>
    </row>
    <row r="1033" spans="1:61" x14ac:dyDescent="0.25">
      <c r="A1033" s="62" t="s">
        <v>619</v>
      </c>
      <c r="B1033" s="62" t="s">
        <v>619</v>
      </c>
      <c r="C1033" s="63"/>
      <c r="D1033" s="64"/>
      <c r="E1033" s="65"/>
      <c r="F1033" s="66"/>
      <c r="G1033" s="63"/>
      <c r="H1033" s="67"/>
      <c r="I1033" s="68"/>
      <c r="J1033" s="68"/>
      <c r="K1033" s="32"/>
      <c r="L1033" s="75">
        <v>1033</v>
      </c>
      <c r="M1033" s="75"/>
      <c r="N1033" s="70"/>
      <c r="O1033" s="77" t="s">
        <v>179</v>
      </c>
      <c r="P1033" s="79">
        <v>45140.669386574074</v>
      </c>
      <c r="Q1033" s="77" t="s">
        <v>2986</v>
      </c>
      <c r="R1033" s="77">
        <v>0</v>
      </c>
      <c r="S1033" s="77">
        <v>0</v>
      </c>
      <c r="T1033" s="77">
        <v>0</v>
      </c>
      <c r="U1033" s="77">
        <v>0</v>
      </c>
      <c r="V1033" s="77">
        <v>10</v>
      </c>
      <c r="W1033" s="80" t="s">
        <v>6635</v>
      </c>
      <c r="X1033" s="83" t="str">
        <f>HYPERLINK("https://ow.ly/vbJc50PqK33")</f>
        <v>https://ow.ly/vbJc50PqK33</v>
      </c>
      <c r="Y1033" s="77" t="s">
        <v>8709</v>
      </c>
      <c r="Z1033" s="77"/>
      <c r="AA1033" s="77"/>
      <c r="AB1033" s="77"/>
      <c r="AC1033" s="80" t="s">
        <v>10552</v>
      </c>
      <c r="AD1033" s="77" t="s">
        <v>10620</v>
      </c>
      <c r="AE1033" s="83" t="str">
        <f>HYPERLINK("https://twitter.com/noriegagroup/status/1686769807163527169")</f>
        <v>https://twitter.com/noriegagroup/status/1686769807163527169</v>
      </c>
      <c r="AF1033" s="79">
        <v>45140.669386574074</v>
      </c>
      <c r="AG1033" s="85">
        <v>45140</v>
      </c>
      <c r="AH1033" s="80" t="s">
        <v>11546</v>
      </c>
      <c r="AI1033" s="77" t="b">
        <v>0</v>
      </c>
      <c r="AJ1033" s="77"/>
      <c r="AK1033" s="77"/>
      <c r="AL1033" s="77"/>
      <c r="AM1033" s="77"/>
      <c r="AN1033" s="77"/>
      <c r="AO1033" s="77"/>
      <c r="AP1033" s="77"/>
      <c r="AQ1033" s="77"/>
      <c r="AR1033" s="77"/>
      <c r="AS1033" s="77"/>
      <c r="AT1033" s="77"/>
      <c r="AU1033" s="77"/>
      <c r="AV1033" s="83" t="str">
        <f>HYPERLINK("https://pbs.twimg.com/profile_images/1673699690531913729/T0B-hj8__normal.jpg")</f>
        <v>https://pbs.twimg.com/profile_images/1673699690531913729/T0B-hj8__normal.jpg</v>
      </c>
      <c r="AW1033" s="80" t="s">
        <v>16949</v>
      </c>
      <c r="AX1033" s="80" t="s">
        <v>16949</v>
      </c>
      <c r="AY1033" s="77"/>
      <c r="AZ1033" s="80" t="s">
        <v>20380</v>
      </c>
      <c r="BA1033" s="80" t="s">
        <v>20380</v>
      </c>
      <c r="BB1033" s="80" t="s">
        <v>20380</v>
      </c>
      <c r="BC1033" s="80" t="s">
        <v>16949</v>
      </c>
      <c r="BD1033" s="77">
        <v>140094070</v>
      </c>
      <c r="BE1033" s="77"/>
      <c r="BF1033" s="77"/>
      <c r="BG1033" s="77"/>
      <c r="BH1033" s="77"/>
      <c r="BI1033" s="77"/>
    </row>
    <row r="1034" spans="1:61" x14ac:dyDescent="0.25">
      <c r="A1034" s="62" t="s">
        <v>619</v>
      </c>
      <c r="B1034" s="62" t="s">
        <v>619</v>
      </c>
      <c r="C1034" s="63"/>
      <c r="D1034" s="64"/>
      <c r="E1034" s="65"/>
      <c r="F1034" s="66"/>
      <c r="G1034" s="63"/>
      <c r="H1034" s="67"/>
      <c r="I1034" s="68"/>
      <c r="J1034" s="68"/>
      <c r="K1034" s="32"/>
      <c r="L1034" s="75">
        <v>1034</v>
      </c>
      <c r="M1034" s="75"/>
      <c r="N1034" s="70"/>
      <c r="O1034" s="77" t="s">
        <v>179</v>
      </c>
      <c r="P1034" s="79">
        <v>45142.834699074076</v>
      </c>
      <c r="Q1034" s="77" t="s">
        <v>2987</v>
      </c>
      <c r="R1034" s="77">
        <v>0</v>
      </c>
      <c r="S1034" s="77">
        <v>0</v>
      </c>
      <c r="T1034" s="77">
        <v>0</v>
      </c>
      <c r="U1034" s="77">
        <v>0</v>
      </c>
      <c r="V1034" s="77">
        <v>9</v>
      </c>
      <c r="W1034" s="80" t="s">
        <v>6636</v>
      </c>
      <c r="X1034" s="83" t="str">
        <f>HYPERLINK("https://ow.ly/M5kI50PtaLi")</f>
        <v>https://ow.ly/M5kI50PtaLi</v>
      </c>
      <c r="Y1034" s="77" t="s">
        <v>8709</v>
      </c>
      <c r="Z1034" s="77"/>
      <c r="AA1034" s="77"/>
      <c r="AB1034" s="77"/>
      <c r="AC1034" s="80" t="s">
        <v>10552</v>
      </c>
      <c r="AD1034" s="77" t="s">
        <v>10620</v>
      </c>
      <c r="AE1034" s="83" t="str">
        <f>HYPERLINK("https://twitter.com/noriegagroup/status/1687554490033934336")</f>
        <v>https://twitter.com/noriegagroup/status/1687554490033934336</v>
      </c>
      <c r="AF1034" s="79">
        <v>45142.834699074076</v>
      </c>
      <c r="AG1034" s="85">
        <v>45142</v>
      </c>
      <c r="AH1034" s="80" t="s">
        <v>11547</v>
      </c>
      <c r="AI1034" s="77" t="b">
        <v>0</v>
      </c>
      <c r="AJ1034" s="77"/>
      <c r="AK1034" s="77"/>
      <c r="AL1034" s="77"/>
      <c r="AM1034" s="77"/>
      <c r="AN1034" s="77"/>
      <c r="AO1034" s="77"/>
      <c r="AP1034" s="77"/>
      <c r="AQ1034" s="77"/>
      <c r="AR1034" s="77"/>
      <c r="AS1034" s="77"/>
      <c r="AT1034" s="77"/>
      <c r="AU1034" s="77"/>
      <c r="AV1034" s="83" t="str">
        <f>HYPERLINK("https://pbs.twimg.com/profile_images/1673699690531913729/T0B-hj8__normal.jpg")</f>
        <v>https://pbs.twimg.com/profile_images/1673699690531913729/T0B-hj8__normal.jpg</v>
      </c>
      <c r="AW1034" s="80" t="s">
        <v>16950</v>
      </c>
      <c r="AX1034" s="80" t="s">
        <v>16950</v>
      </c>
      <c r="AY1034" s="77"/>
      <c r="AZ1034" s="80" t="s">
        <v>20380</v>
      </c>
      <c r="BA1034" s="80" t="s">
        <v>20380</v>
      </c>
      <c r="BB1034" s="80" t="s">
        <v>20380</v>
      </c>
      <c r="BC1034" s="80" t="s">
        <v>16950</v>
      </c>
      <c r="BD1034" s="77">
        <v>140094070</v>
      </c>
      <c r="BE1034" s="77"/>
      <c r="BF1034" s="77"/>
      <c r="BG1034" s="77"/>
      <c r="BH1034" s="77"/>
      <c r="BI1034" s="77"/>
    </row>
    <row r="1035" spans="1:61" x14ac:dyDescent="0.25">
      <c r="A1035" s="62" t="s">
        <v>620</v>
      </c>
      <c r="B1035" s="62" t="s">
        <v>1149</v>
      </c>
      <c r="C1035" s="63"/>
      <c r="D1035" s="64"/>
      <c r="E1035" s="65"/>
      <c r="F1035" s="66"/>
      <c r="G1035" s="63"/>
      <c r="H1035" s="67"/>
      <c r="I1035" s="68"/>
      <c r="J1035" s="68"/>
      <c r="K1035" s="32"/>
      <c r="L1035" s="75">
        <v>1035</v>
      </c>
      <c r="M1035" s="75"/>
      <c r="N1035" s="70"/>
      <c r="O1035" s="77" t="s">
        <v>2081</v>
      </c>
      <c r="P1035" s="79">
        <v>45139.536111111112</v>
      </c>
      <c r="Q1035" s="77" t="s">
        <v>2988</v>
      </c>
      <c r="R1035" s="77">
        <v>0</v>
      </c>
      <c r="S1035" s="77">
        <v>0</v>
      </c>
      <c r="T1035" s="77">
        <v>0</v>
      </c>
      <c r="U1035" s="77">
        <v>0</v>
      </c>
      <c r="V1035" s="77">
        <v>6</v>
      </c>
      <c r="W1035" s="80" t="s">
        <v>6637</v>
      </c>
      <c r="X1035" s="83" t="str">
        <f>HYPERLINK("http://www.cubadebate.cu/noticias/2023/07/31/banco-central-desmiente-rumores-sobre-billetes-con-errores-en-su-impresion-expedidos-por-cajeros-automaticos/")</f>
        <v>http://www.cubadebate.cu/noticias/2023/07/31/banco-central-desmiente-rumores-sobre-billetes-con-errores-en-su-impresion-expedidos-por-cajeros-automaticos/</v>
      </c>
      <c r="Y1035" s="77" t="s">
        <v>8710</v>
      </c>
      <c r="Z1035" s="77" t="s">
        <v>1149</v>
      </c>
      <c r="AA1035" s="77"/>
      <c r="AB1035" s="77"/>
      <c r="AC1035" s="80" t="s">
        <v>10541</v>
      </c>
      <c r="AD1035" s="77" t="s">
        <v>10619</v>
      </c>
      <c r="AE1035" s="83" t="str">
        <f>HYPERLINK("https://twitter.com/jorgeoscar9909/status/1686359122516516865")</f>
        <v>https://twitter.com/jorgeoscar9909/status/1686359122516516865</v>
      </c>
      <c r="AF1035" s="79">
        <v>45139.536111111112</v>
      </c>
      <c r="AG1035" s="85">
        <v>45139</v>
      </c>
      <c r="AH1035" s="80" t="s">
        <v>11548</v>
      </c>
      <c r="AI1035" s="77" t="b">
        <v>0</v>
      </c>
      <c r="AJ1035" s="77"/>
      <c r="AK1035" s="77"/>
      <c r="AL1035" s="77"/>
      <c r="AM1035" s="77"/>
      <c r="AN1035" s="77"/>
      <c r="AO1035" s="77"/>
      <c r="AP1035" s="77"/>
      <c r="AQ1035" s="77"/>
      <c r="AR1035" s="77"/>
      <c r="AS1035" s="77"/>
      <c r="AT1035" s="77"/>
      <c r="AU1035" s="77"/>
      <c r="AV1035" s="83" t="str">
        <f>HYPERLINK("https://pbs.twimg.com/profile_images/1661767209159479296/Sbr91vn9_normal.png")</f>
        <v>https://pbs.twimg.com/profile_images/1661767209159479296/Sbr91vn9_normal.png</v>
      </c>
      <c r="AW1035" s="80" t="s">
        <v>16951</v>
      </c>
      <c r="AX1035" s="80" t="s">
        <v>16951</v>
      </c>
      <c r="AY1035" s="77"/>
      <c r="AZ1035" s="80" t="s">
        <v>20380</v>
      </c>
      <c r="BA1035" s="80" t="s">
        <v>20380</v>
      </c>
      <c r="BB1035" s="80" t="s">
        <v>20380</v>
      </c>
      <c r="BC1035" s="80" t="s">
        <v>16951</v>
      </c>
      <c r="BD1035" s="80" t="s">
        <v>20688</v>
      </c>
      <c r="BE1035" s="77"/>
      <c r="BF1035" s="77"/>
      <c r="BG1035" s="77"/>
      <c r="BH1035" s="77"/>
      <c r="BI1035" s="77"/>
    </row>
    <row r="1036" spans="1:61" x14ac:dyDescent="0.25">
      <c r="A1036" s="62" t="s">
        <v>621</v>
      </c>
      <c r="B1036" s="62" t="s">
        <v>621</v>
      </c>
      <c r="C1036" s="63"/>
      <c r="D1036" s="64"/>
      <c r="E1036" s="65"/>
      <c r="F1036" s="66"/>
      <c r="G1036" s="63"/>
      <c r="H1036" s="67"/>
      <c r="I1036" s="68"/>
      <c r="J1036" s="68"/>
      <c r="K1036" s="32"/>
      <c r="L1036" s="75">
        <v>1036</v>
      </c>
      <c r="M1036" s="75"/>
      <c r="N1036" s="70"/>
      <c r="O1036" s="77" t="s">
        <v>179</v>
      </c>
      <c r="P1036" s="79">
        <v>45140.932106481479</v>
      </c>
      <c r="Q1036" s="77" t="s">
        <v>2989</v>
      </c>
      <c r="R1036" s="77">
        <v>2</v>
      </c>
      <c r="S1036" s="77">
        <v>18</v>
      </c>
      <c r="T1036" s="77">
        <v>0</v>
      </c>
      <c r="U1036" s="77">
        <v>0</v>
      </c>
      <c r="V1036" s="77">
        <v>1522</v>
      </c>
      <c r="W1036" s="80" t="s">
        <v>6638</v>
      </c>
      <c r="X1036" s="83" t="str">
        <f>HYPERLINK("https://odia.ig.com.br/economia/2023/08/6683636-bc-reduz-selic-pela-primeira-vez-em-tres-anos-para-1325-ao-ano.html")</f>
        <v>https://odia.ig.com.br/economia/2023/08/6683636-bc-reduz-selic-pela-primeira-vez-em-tres-anos-para-1325-ao-ano.html</v>
      </c>
      <c r="Y1036" s="77" t="s">
        <v>8611</v>
      </c>
      <c r="Z1036" s="77"/>
      <c r="AA1036" s="77"/>
      <c r="AB1036" s="77"/>
      <c r="AC1036" s="80" t="s">
        <v>10541</v>
      </c>
      <c r="AD1036" s="77" t="s">
        <v>10617</v>
      </c>
      <c r="AE1036" s="83" t="str">
        <f>HYPERLINK("https://twitter.com/jornalodia/status/1686865012319477760")</f>
        <v>https://twitter.com/jornalodia/status/1686865012319477760</v>
      </c>
      <c r="AF1036" s="79">
        <v>45140.932106481479</v>
      </c>
      <c r="AG1036" s="85">
        <v>45140</v>
      </c>
      <c r="AH1036" s="80" t="s">
        <v>11549</v>
      </c>
      <c r="AI1036" s="77" t="b">
        <v>0</v>
      </c>
      <c r="AJ1036" s="77"/>
      <c r="AK1036" s="77"/>
      <c r="AL1036" s="77"/>
      <c r="AM1036" s="77"/>
      <c r="AN1036" s="77"/>
      <c r="AO1036" s="77"/>
      <c r="AP1036" s="77"/>
      <c r="AQ1036" s="77"/>
      <c r="AR1036" s="77"/>
      <c r="AS1036" s="77"/>
      <c r="AT1036" s="77"/>
      <c r="AU1036" s="77"/>
      <c r="AV1036" s="83" t="str">
        <f>HYPERLINK("https://pbs.twimg.com/profile_images/1603570520410185731/SdEVxpE9_normal.jpg")</f>
        <v>https://pbs.twimg.com/profile_images/1603570520410185731/SdEVxpE9_normal.jpg</v>
      </c>
      <c r="AW1036" s="80" t="s">
        <v>16952</v>
      </c>
      <c r="AX1036" s="80" t="s">
        <v>16952</v>
      </c>
      <c r="AY1036" s="77"/>
      <c r="AZ1036" s="80" t="s">
        <v>20380</v>
      </c>
      <c r="BA1036" s="80" t="s">
        <v>20380</v>
      </c>
      <c r="BB1036" s="80" t="s">
        <v>20380</v>
      </c>
      <c r="BC1036" s="80" t="s">
        <v>16952</v>
      </c>
      <c r="BD1036" s="77">
        <v>17675497</v>
      </c>
      <c r="BE1036" s="77"/>
      <c r="BF1036" s="77"/>
      <c r="BG1036" s="77"/>
      <c r="BH1036" s="77"/>
      <c r="BI1036" s="77"/>
    </row>
    <row r="1037" spans="1:61" x14ac:dyDescent="0.25">
      <c r="A1037" s="62" t="s">
        <v>621</v>
      </c>
      <c r="B1037" s="62" t="s">
        <v>621</v>
      </c>
      <c r="C1037" s="63"/>
      <c r="D1037" s="64"/>
      <c r="E1037" s="65"/>
      <c r="F1037" s="66"/>
      <c r="G1037" s="63"/>
      <c r="H1037" s="67"/>
      <c r="I1037" s="68"/>
      <c r="J1037" s="68"/>
      <c r="K1037" s="32"/>
      <c r="L1037" s="75">
        <v>1037</v>
      </c>
      <c r="M1037" s="75"/>
      <c r="N1037" s="70"/>
      <c r="O1037" s="77" t="s">
        <v>179</v>
      </c>
      <c r="P1037" s="79">
        <v>45161.618518518517</v>
      </c>
      <c r="Q1037" s="77" t="s">
        <v>2990</v>
      </c>
      <c r="R1037" s="77">
        <v>0</v>
      </c>
      <c r="S1037" s="77">
        <v>5</v>
      </c>
      <c r="T1037" s="77">
        <v>0</v>
      </c>
      <c r="U1037" s="77">
        <v>0</v>
      </c>
      <c r="V1037" s="77">
        <v>1202</v>
      </c>
      <c r="W1037" s="80" t="s">
        <v>6639</v>
      </c>
      <c r="X1037" s="83" t="str">
        <f>HYPERLINK("https://odia.ig.com.br/economia/2023/08/6695897-banco-central-dara-a-autoridades-acesso-a-dados-do-pix-de-usuarios-sob-investigacao.html")</f>
        <v>https://odia.ig.com.br/economia/2023/08/6695897-banco-central-dara-a-autoridades-acesso-a-dados-do-pix-de-usuarios-sob-investigacao.html</v>
      </c>
      <c r="Y1037" s="77" t="s">
        <v>8611</v>
      </c>
      <c r="Z1037" s="77"/>
      <c r="AA1037" s="77"/>
      <c r="AB1037" s="77"/>
      <c r="AC1037" s="80" t="s">
        <v>10541</v>
      </c>
      <c r="AD1037" s="77" t="s">
        <v>10617</v>
      </c>
      <c r="AE1037" s="83" t="str">
        <f>HYPERLINK("https://twitter.com/jornalodia/status/1694361519532712307")</f>
        <v>https://twitter.com/jornalodia/status/1694361519532712307</v>
      </c>
      <c r="AF1037" s="79">
        <v>45161.618518518517</v>
      </c>
      <c r="AG1037" s="85">
        <v>45161</v>
      </c>
      <c r="AH1037" s="80" t="s">
        <v>11550</v>
      </c>
      <c r="AI1037" s="77" t="b">
        <v>0</v>
      </c>
      <c r="AJ1037" s="77"/>
      <c r="AK1037" s="77"/>
      <c r="AL1037" s="77"/>
      <c r="AM1037" s="77"/>
      <c r="AN1037" s="77"/>
      <c r="AO1037" s="77"/>
      <c r="AP1037" s="77"/>
      <c r="AQ1037" s="77"/>
      <c r="AR1037" s="77"/>
      <c r="AS1037" s="77"/>
      <c r="AT1037" s="77"/>
      <c r="AU1037" s="77"/>
      <c r="AV1037" s="83" t="str">
        <f>HYPERLINK("https://pbs.twimg.com/profile_images/1603570520410185731/SdEVxpE9_normal.jpg")</f>
        <v>https://pbs.twimg.com/profile_images/1603570520410185731/SdEVxpE9_normal.jpg</v>
      </c>
      <c r="AW1037" s="80" t="s">
        <v>16953</v>
      </c>
      <c r="AX1037" s="80" t="s">
        <v>16953</v>
      </c>
      <c r="AY1037" s="77"/>
      <c r="AZ1037" s="80" t="s">
        <v>20380</v>
      </c>
      <c r="BA1037" s="80" t="s">
        <v>20380</v>
      </c>
      <c r="BB1037" s="80" t="s">
        <v>20380</v>
      </c>
      <c r="BC1037" s="80" t="s">
        <v>16953</v>
      </c>
      <c r="BD1037" s="77">
        <v>17675497</v>
      </c>
      <c r="BE1037" s="77"/>
      <c r="BF1037" s="77"/>
      <c r="BG1037" s="77"/>
      <c r="BH1037" s="77"/>
      <c r="BI1037" s="77"/>
    </row>
    <row r="1038" spans="1:61" x14ac:dyDescent="0.25">
      <c r="A1038" s="62" t="s">
        <v>621</v>
      </c>
      <c r="B1038" s="62" t="s">
        <v>621</v>
      </c>
      <c r="C1038" s="63"/>
      <c r="D1038" s="64"/>
      <c r="E1038" s="65"/>
      <c r="F1038" s="66"/>
      <c r="G1038" s="63"/>
      <c r="H1038" s="67"/>
      <c r="I1038" s="68"/>
      <c r="J1038" s="68"/>
      <c r="K1038" s="32"/>
      <c r="L1038" s="75">
        <v>1038</v>
      </c>
      <c r="M1038" s="75"/>
      <c r="N1038" s="70"/>
      <c r="O1038" s="77" t="s">
        <v>179</v>
      </c>
      <c r="P1038" s="79">
        <v>45173.797534722224</v>
      </c>
      <c r="Q1038" s="77" t="s">
        <v>2991</v>
      </c>
      <c r="R1038" s="77">
        <v>1</v>
      </c>
      <c r="S1038" s="77">
        <v>3</v>
      </c>
      <c r="T1038" s="77">
        <v>0</v>
      </c>
      <c r="U1038" s="77">
        <v>0</v>
      </c>
      <c r="V1038" s="77">
        <v>886</v>
      </c>
      <c r="W1038" s="80" t="s">
        <v>6640</v>
      </c>
      <c r="X1038" s="83" t="str">
        <f>HYPERLINK("https://odia.ig.com.br/economia/2023/09/6702791-seguranca-e-gratuidade-foram-fundamentais-para-popularizacao-do-pix-diz-diretor-do-bc.html")</f>
        <v>https://odia.ig.com.br/economia/2023/09/6702791-seguranca-e-gratuidade-foram-fundamentais-para-popularizacao-do-pix-diz-diretor-do-bc.html</v>
      </c>
      <c r="Y1038" s="77" t="s">
        <v>8611</v>
      </c>
      <c r="Z1038" s="77"/>
      <c r="AA1038" s="77"/>
      <c r="AB1038" s="77"/>
      <c r="AC1038" s="80" t="s">
        <v>10541</v>
      </c>
      <c r="AD1038" s="77" t="s">
        <v>10617</v>
      </c>
      <c r="AE1038" s="83" t="str">
        <f>HYPERLINK("https://twitter.com/jornalodia/status/1698775045315649870")</f>
        <v>https://twitter.com/jornalodia/status/1698775045315649870</v>
      </c>
      <c r="AF1038" s="79">
        <v>45173.797534722224</v>
      </c>
      <c r="AG1038" s="85">
        <v>45173</v>
      </c>
      <c r="AH1038" s="80" t="s">
        <v>11551</v>
      </c>
      <c r="AI1038" s="77" t="b">
        <v>0</v>
      </c>
      <c r="AJ1038" s="77"/>
      <c r="AK1038" s="77"/>
      <c r="AL1038" s="77"/>
      <c r="AM1038" s="77"/>
      <c r="AN1038" s="77"/>
      <c r="AO1038" s="77"/>
      <c r="AP1038" s="77"/>
      <c r="AQ1038" s="77"/>
      <c r="AR1038" s="77"/>
      <c r="AS1038" s="77"/>
      <c r="AT1038" s="77"/>
      <c r="AU1038" s="77"/>
      <c r="AV1038" s="83" t="str">
        <f>HYPERLINK("https://pbs.twimg.com/profile_images/1603570520410185731/SdEVxpE9_normal.jpg")</f>
        <v>https://pbs.twimg.com/profile_images/1603570520410185731/SdEVxpE9_normal.jpg</v>
      </c>
      <c r="AW1038" s="80" t="s">
        <v>16954</v>
      </c>
      <c r="AX1038" s="80" t="s">
        <v>16954</v>
      </c>
      <c r="AY1038" s="77"/>
      <c r="AZ1038" s="80" t="s">
        <v>20380</v>
      </c>
      <c r="BA1038" s="80" t="s">
        <v>20380</v>
      </c>
      <c r="BB1038" s="80" t="s">
        <v>20380</v>
      </c>
      <c r="BC1038" s="80" t="s">
        <v>16954</v>
      </c>
      <c r="BD1038" s="77">
        <v>17675497</v>
      </c>
      <c r="BE1038" s="77"/>
      <c r="BF1038" s="77"/>
      <c r="BG1038" s="77"/>
      <c r="BH1038" s="77"/>
      <c r="BI1038" s="77"/>
    </row>
    <row r="1039" spans="1:61" x14ac:dyDescent="0.25">
      <c r="A1039" s="62" t="s">
        <v>621</v>
      </c>
      <c r="B1039" s="62" t="s">
        <v>621</v>
      </c>
      <c r="C1039" s="63"/>
      <c r="D1039" s="64"/>
      <c r="E1039" s="65"/>
      <c r="F1039" s="66"/>
      <c r="G1039" s="63"/>
      <c r="H1039" s="67"/>
      <c r="I1039" s="68"/>
      <c r="J1039" s="68"/>
      <c r="K1039" s="32"/>
      <c r="L1039" s="75">
        <v>1039</v>
      </c>
      <c r="M1039" s="75"/>
      <c r="N1039" s="70"/>
      <c r="O1039" s="77" t="s">
        <v>179</v>
      </c>
      <c r="P1039" s="79">
        <v>45149.767256944448</v>
      </c>
      <c r="Q1039" s="77" t="s">
        <v>2992</v>
      </c>
      <c r="R1039" s="77">
        <v>1</v>
      </c>
      <c r="S1039" s="77">
        <v>1</v>
      </c>
      <c r="T1039" s="77">
        <v>0</v>
      </c>
      <c r="U1039" s="77">
        <v>0</v>
      </c>
      <c r="V1039" s="77">
        <v>1077</v>
      </c>
      <c r="W1039" s="80" t="s">
        <v>6641</v>
      </c>
      <c r="X1039" s="83" t="str">
        <f>HYPERLINK("https://odia.ig.com.br/economia/2023/08/6689136-campos-neto-reitera-que-objetivo-do-bc-e-combater-inflacao-com-pouso-suave-na-economia.html")</f>
        <v>https://odia.ig.com.br/economia/2023/08/6689136-campos-neto-reitera-que-objetivo-do-bc-e-combater-inflacao-com-pouso-suave-na-economia.html</v>
      </c>
      <c r="Y1039" s="77" t="s">
        <v>8611</v>
      </c>
      <c r="Z1039" s="77"/>
      <c r="AA1039" s="77"/>
      <c r="AB1039" s="77"/>
      <c r="AC1039" s="80" t="s">
        <v>10541</v>
      </c>
      <c r="AD1039" s="77" t="s">
        <v>10617</v>
      </c>
      <c r="AE1039" s="83" t="str">
        <f>HYPERLINK("https://twitter.com/jornalodia/status/1690066766574022656")</f>
        <v>https://twitter.com/jornalodia/status/1690066766574022656</v>
      </c>
      <c r="AF1039" s="79">
        <v>45149.767256944448</v>
      </c>
      <c r="AG1039" s="85">
        <v>45149</v>
      </c>
      <c r="AH1039" s="80" t="s">
        <v>11552</v>
      </c>
      <c r="AI1039" s="77" t="b">
        <v>0</v>
      </c>
      <c r="AJ1039" s="77"/>
      <c r="AK1039" s="77"/>
      <c r="AL1039" s="77"/>
      <c r="AM1039" s="77"/>
      <c r="AN1039" s="77"/>
      <c r="AO1039" s="77"/>
      <c r="AP1039" s="77"/>
      <c r="AQ1039" s="77"/>
      <c r="AR1039" s="77"/>
      <c r="AS1039" s="77"/>
      <c r="AT1039" s="77"/>
      <c r="AU1039" s="77"/>
      <c r="AV1039" s="83" t="str">
        <f>HYPERLINK("https://pbs.twimg.com/profile_images/1603570520410185731/SdEVxpE9_normal.jpg")</f>
        <v>https://pbs.twimg.com/profile_images/1603570520410185731/SdEVxpE9_normal.jpg</v>
      </c>
      <c r="AW1039" s="80" t="s">
        <v>16955</v>
      </c>
      <c r="AX1039" s="80" t="s">
        <v>16955</v>
      </c>
      <c r="AY1039" s="77"/>
      <c r="AZ1039" s="80" t="s">
        <v>20380</v>
      </c>
      <c r="BA1039" s="80" t="s">
        <v>20380</v>
      </c>
      <c r="BB1039" s="80" t="s">
        <v>20380</v>
      </c>
      <c r="BC1039" s="80" t="s">
        <v>16955</v>
      </c>
      <c r="BD1039" s="77">
        <v>17675497</v>
      </c>
      <c r="BE1039" s="77"/>
      <c r="BF1039" s="77"/>
      <c r="BG1039" s="77"/>
      <c r="BH1039" s="77"/>
      <c r="BI1039" s="77"/>
    </row>
    <row r="1040" spans="1:61" x14ac:dyDescent="0.25">
      <c r="A1040" s="62" t="s">
        <v>622</v>
      </c>
      <c r="B1040" s="62" t="s">
        <v>622</v>
      </c>
      <c r="C1040" s="63"/>
      <c r="D1040" s="64"/>
      <c r="E1040" s="65"/>
      <c r="F1040" s="66"/>
      <c r="G1040" s="63"/>
      <c r="H1040" s="67"/>
      <c r="I1040" s="68"/>
      <c r="J1040" s="68"/>
      <c r="K1040" s="32"/>
      <c r="L1040" s="75">
        <v>1040</v>
      </c>
      <c r="M1040" s="75"/>
      <c r="N1040" s="70"/>
      <c r="O1040" s="77" t="s">
        <v>179</v>
      </c>
      <c r="P1040" s="79">
        <v>45098.584050925929</v>
      </c>
      <c r="Q1040" s="77" t="s">
        <v>2993</v>
      </c>
      <c r="R1040" s="77">
        <v>1</v>
      </c>
      <c r="S1040" s="77">
        <v>1</v>
      </c>
      <c r="T1040" s="77">
        <v>1</v>
      </c>
      <c r="U1040" s="77">
        <v>0</v>
      </c>
      <c r="V1040" s="77">
        <v>1916</v>
      </c>
      <c r="W1040" s="80" t="s">
        <v>6271</v>
      </c>
      <c r="X1040" s="83" t="str">
        <f>HYPERLINK("http://tiny.cc/pb88vz")</f>
        <v>http://tiny.cc/pb88vz</v>
      </c>
      <c r="Y1040" s="77" t="s">
        <v>8711</v>
      </c>
      <c r="Z1040" s="77"/>
      <c r="AA1040" s="77" t="s">
        <v>9379</v>
      </c>
      <c r="AB1040" s="77" t="s">
        <v>10534</v>
      </c>
      <c r="AC1040" s="80" t="s">
        <v>10554</v>
      </c>
      <c r="AD1040" s="77" t="s">
        <v>10617</v>
      </c>
      <c r="AE1040" s="83" t="str">
        <f>HYPERLINK("https://twitter.com/radiocamara/status/1671518593832321026")</f>
        <v>https://twitter.com/radiocamara/status/1671518593832321026</v>
      </c>
      <c r="AF1040" s="79">
        <v>45098.584050925929</v>
      </c>
      <c r="AG1040" s="85">
        <v>45098</v>
      </c>
      <c r="AH1040" s="80" t="s">
        <v>11553</v>
      </c>
      <c r="AI1040" s="77" t="b">
        <v>0</v>
      </c>
      <c r="AJ1040" s="77"/>
      <c r="AK1040" s="77"/>
      <c r="AL1040" s="77"/>
      <c r="AM1040" s="77"/>
      <c r="AN1040" s="77"/>
      <c r="AO1040" s="77"/>
      <c r="AP1040" s="77"/>
      <c r="AQ1040" s="77" t="s">
        <v>14861</v>
      </c>
      <c r="AR1040" s="77">
        <v>144300</v>
      </c>
      <c r="AS1040" s="77"/>
      <c r="AT1040" s="77"/>
      <c r="AU1040" s="77"/>
      <c r="AV1040" s="83" t="str">
        <f>HYPERLINK("https://pbs.twimg.com/amplify_video_thumb/1671517751209238537/img/EYrlbt6D2JIshE-t.jpg")</f>
        <v>https://pbs.twimg.com/amplify_video_thumb/1671517751209238537/img/EYrlbt6D2JIshE-t.jpg</v>
      </c>
      <c r="AW1040" s="80" t="s">
        <v>16956</v>
      </c>
      <c r="AX1040" s="80" t="s">
        <v>16956</v>
      </c>
      <c r="AY1040" s="77"/>
      <c r="AZ1040" s="80" t="s">
        <v>20380</v>
      </c>
      <c r="BA1040" s="80" t="s">
        <v>20380</v>
      </c>
      <c r="BB1040" s="80" t="s">
        <v>20380</v>
      </c>
      <c r="BC1040" s="80" t="s">
        <v>16956</v>
      </c>
      <c r="BD1040" s="77">
        <v>36390281</v>
      </c>
      <c r="BE1040" s="77"/>
      <c r="BF1040" s="77"/>
      <c r="BG1040" s="77"/>
      <c r="BH1040" s="77"/>
      <c r="BI1040" s="77"/>
    </row>
    <row r="1041" spans="1:61" x14ac:dyDescent="0.25">
      <c r="A1041" s="62" t="s">
        <v>622</v>
      </c>
      <c r="B1041" s="62" t="s">
        <v>622</v>
      </c>
      <c r="C1041" s="63"/>
      <c r="D1041" s="64"/>
      <c r="E1041" s="65"/>
      <c r="F1041" s="66"/>
      <c r="G1041" s="63"/>
      <c r="H1041" s="67"/>
      <c r="I1041" s="68"/>
      <c r="J1041" s="68"/>
      <c r="K1041" s="32"/>
      <c r="L1041" s="75">
        <v>1041</v>
      </c>
      <c r="M1041" s="75"/>
      <c r="N1041" s="70"/>
      <c r="O1041" s="77" t="s">
        <v>179</v>
      </c>
      <c r="P1041" s="79">
        <v>45141.556574074071</v>
      </c>
      <c r="Q1041" s="77" t="s">
        <v>2994</v>
      </c>
      <c r="R1041" s="77">
        <v>0</v>
      </c>
      <c r="S1041" s="77">
        <v>3</v>
      </c>
      <c r="T1041" s="77">
        <v>0</v>
      </c>
      <c r="U1041" s="77">
        <v>0</v>
      </c>
      <c r="V1041" s="77">
        <v>118</v>
      </c>
      <c r="W1041" s="80" t="s">
        <v>6642</v>
      </c>
      <c r="X1041" s="83" t="str">
        <f>HYPERLINK("http://tiny.cc/21l9vz")</f>
        <v>http://tiny.cc/21l9vz</v>
      </c>
      <c r="Y1041" s="77" t="s">
        <v>8711</v>
      </c>
      <c r="Z1041" s="77"/>
      <c r="AA1041" s="77" t="s">
        <v>9380</v>
      </c>
      <c r="AB1041" s="77" t="s">
        <v>10534</v>
      </c>
      <c r="AC1041" s="80" t="s">
        <v>10554</v>
      </c>
      <c r="AD1041" s="77" t="s">
        <v>10617</v>
      </c>
      <c r="AE1041" s="83" t="str">
        <f>HYPERLINK("https://twitter.com/radiocamara/status/1687091314037518336")</f>
        <v>https://twitter.com/radiocamara/status/1687091314037518336</v>
      </c>
      <c r="AF1041" s="79">
        <v>45141.556574074071</v>
      </c>
      <c r="AG1041" s="85">
        <v>45141</v>
      </c>
      <c r="AH1041" s="80" t="s">
        <v>11554</v>
      </c>
      <c r="AI1041" s="77" t="b">
        <v>0</v>
      </c>
      <c r="AJ1041" s="77"/>
      <c r="AK1041" s="77"/>
      <c r="AL1041" s="77"/>
      <c r="AM1041" s="77"/>
      <c r="AN1041" s="77"/>
      <c r="AO1041" s="77"/>
      <c r="AP1041" s="77"/>
      <c r="AQ1041" s="77" t="s">
        <v>14862</v>
      </c>
      <c r="AR1041" s="77">
        <v>148565</v>
      </c>
      <c r="AS1041" s="77"/>
      <c r="AT1041" s="77"/>
      <c r="AU1041" s="77"/>
      <c r="AV1041" s="83" t="str">
        <f>HYPERLINK("https://pbs.twimg.com/amplify_video_thumb/1687090361494380545/img/VJZpUb1JvLMI5Art.jpg")</f>
        <v>https://pbs.twimg.com/amplify_video_thumb/1687090361494380545/img/VJZpUb1JvLMI5Art.jpg</v>
      </c>
      <c r="AW1041" s="80" t="s">
        <v>16957</v>
      </c>
      <c r="AX1041" s="80" t="s">
        <v>16957</v>
      </c>
      <c r="AY1041" s="77"/>
      <c r="AZ1041" s="80" t="s">
        <v>20380</v>
      </c>
      <c r="BA1041" s="80" t="s">
        <v>20380</v>
      </c>
      <c r="BB1041" s="80" t="s">
        <v>20380</v>
      </c>
      <c r="BC1041" s="80" t="s">
        <v>16957</v>
      </c>
      <c r="BD1041" s="77">
        <v>36390281</v>
      </c>
      <c r="BE1041" s="77"/>
      <c r="BF1041" s="77"/>
      <c r="BG1041" s="77"/>
      <c r="BH1041" s="77"/>
      <c r="BI1041" s="77"/>
    </row>
    <row r="1042" spans="1:61" x14ac:dyDescent="0.25">
      <c r="A1042" s="62" t="s">
        <v>622</v>
      </c>
      <c r="B1042" s="62" t="s">
        <v>622</v>
      </c>
      <c r="C1042" s="63"/>
      <c r="D1042" s="64"/>
      <c r="E1042" s="65"/>
      <c r="F1042" s="66"/>
      <c r="G1042" s="63"/>
      <c r="H1042" s="67"/>
      <c r="I1042" s="68"/>
      <c r="J1042" s="68"/>
      <c r="K1042" s="32"/>
      <c r="L1042" s="75">
        <v>1042</v>
      </c>
      <c r="M1042" s="75"/>
      <c r="N1042" s="70"/>
      <c r="O1042" s="77" t="s">
        <v>179</v>
      </c>
      <c r="P1042" s="79">
        <v>45077.600868055553</v>
      </c>
      <c r="Q1042" s="77" t="s">
        <v>2995</v>
      </c>
      <c r="R1042" s="77">
        <v>1</v>
      </c>
      <c r="S1042" s="77">
        <v>4</v>
      </c>
      <c r="T1042" s="77">
        <v>1</v>
      </c>
      <c r="U1042" s="77">
        <v>1</v>
      </c>
      <c r="V1042" s="77">
        <v>2314</v>
      </c>
      <c r="W1042" s="80" t="s">
        <v>6643</v>
      </c>
      <c r="X1042" s="83" t="str">
        <f>HYPERLINK("http://tiny.cc/wqk7vz")</f>
        <v>http://tiny.cc/wqk7vz</v>
      </c>
      <c r="Y1042" s="77" t="s">
        <v>8711</v>
      </c>
      <c r="Z1042" s="77"/>
      <c r="AA1042" s="77" t="s">
        <v>9381</v>
      </c>
      <c r="AB1042" s="77" t="s">
        <v>10534</v>
      </c>
      <c r="AC1042" s="80" t="s">
        <v>10554</v>
      </c>
      <c r="AD1042" s="77" t="s">
        <v>10617</v>
      </c>
      <c r="AE1042" s="83" t="str">
        <f>HYPERLINK("https://twitter.com/radiocamara/status/1663914543712550914")</f>
        <v>https://twitter.com/radiocamara/status/1663914543712550914</v>
      </c>
      <c r="AF1042" s="79">
        <v>45077.600868055553</v>
      </c>
      <c r="AG1042" s="85">
        <v>45077</v>
      </c>
      <c r="AH1042" s="80" t="s">
        <v>11555</v>
      </c>
      <c r="AI1042" s="77" t="b">
        <v>0</v>
      </c>
      <c r="AJ1042" s="77"/>
      <c r="AK1042" s="77"/>
      <c r="AL1042" s="77"/>
      <c r="AM1042" s="77"/>
      <c r="AN1042" s="77"/>
      <c r="AO1042" s="77"/>
      <c r="AP1042" s="77"/>
      <c r="AQ1042" s="77" t="s">
        <v>14863</v>
      </c>
      <c r="AR1042" s="77">
        <v>201200</v>
      </c>
      <c r="AS1042" s="77"/>
      <c r="AT1042" s="77"/>
      <c r="AU1042" s="77"/>
      <c r="AV1042" s="83" t="str">
        <f>HYPERLINK("https://pbs.twimg.com/amplify_video_thumb/1663891704171347968/img/FC30BAfHPMKQ42YX.jpg")</f>
        <v>https://pbs.twimg.com/amplify_video_thumb/1663891704171347968/img/FC30BAfHPMKQ42YX.jpg</v>
      </c>
      <c r="AW1042" s="80" t="s">
        <v>16958</v>
      </c>
      <c r="AX1042" s="80" t="s">
        <v>16958</v>
      </c>
      <c r="AY1042" s="77"/>
      <c r="AZ1042" s="80" t="s">
        <v>20380</v>
      </c>
      <c r="BA1042" s="80" t="s">
        <v>20380</v>
      </c>
      <c r="BB1042" s="80" t="s">
        <v>20380</v>
      </c>
      <c r="BC1042" s="80" t="s">
        <v>16958</v>
      </c>
      <c r="BD1042" s="77">
        <v>36390281</v>
      </c>
      <c r="BE1042" s="77"/>
      <c r="BF1042" s="77"/>
      <c r="BG1042" s="77"/>
      <c r="BH1042" s="77"/>
      <c r="BI1042" s="77"/>
    </row>
    <row r="1043" spans="1:61" x14ac:dyDescent="0.25">
      <c r="A1043" s="62" t="s">
        <v>622</v>
      </c>
      <c r="B1043" s="62" t="s">
        <v>622</v>
      </c>
      <c r="C1043" s="63"/>
      <c r="D1043" s="64"/>
      <c r="E1043" s="65"/>
      <c r="F1043" s="66"/>
      <c r="G1043" s="63"/>
      <c r="H1043" s="67"/>
      <c r="I1043" s="68"/>
      <c r="J1043" s="68"/>
      <c r="K1043" s="32"/>
      <c r="L1043" s="75">
        <v>1043</v>
      </c>
      <c r="M1043" s="75"/>
      <c r="N1043" s="70"/>
      <c r="O1043" s="77" t="s">
        <v>179</v>
      </c>
      <c r="P1043" s="79">
        <v>45162.529490740744</v>
      </c>
      <c r="Q1043" s="77" t="s">
        <v>2996</v>
      </c>
      <c r="R1043" s="77">
        <v>0</v>
      </c>
      <c r="S1043" s="77">
        <v>1</v>
      </c>
      <c r="T1043" s="77">
        <v>0</v>
      </c>
      <c r="U1043" s="77">
        <v>0</v>
      </c>
      <c r="V1043" s="77">
        <v>85</v>
      </c>
      <c r="W1043" s="80" t="s">
        <v>6644</v>
      </c>
      <c r="X1043" s="83" t="str">
        <f>HYPERLINK("http://tiny.cc/677avz")</f>
        <v>http://tiny.cc/677avz</v>
      </c>
      <c r="Y1043" s="77" t="s">
        <v>8711</v>
      </c>
      <c r="Z1043" s="77"/>
      <c r="AA1043" s="77" t="s">
        <v>9382</v>
      </c>
      <c r="AB1043" s="77" t="s">
        <v>10534</v>
      </c>
      <c r="AC1043" s="80" t="s">
        <v>10554</v>
      </c>
      <c r="AD1043" s="77" t="s">
        <v>10617</v>
      </c>
      <c r="AE1043" s="83" t="str">
        <f>HYPERLINK("https://twitter.com/radiocamara/status/1694691642241171887")</f>
        <v>https://twitter.com/radiocamara/status/1694691642241171887</v>
      </c>
      <c r="AF1043" s="79">
        <v>45162.529490740744</v>
      </c>
      <c r="AG1043" s="85">
        <v>45162</v>
      </c>
      <c r="AH1043" s="80" t="s">
        <v>11556</v>
      </c>
      <c r="AI1043" s="77" t="b">
        <v>0</v>
      </c>
      <c r="AJ1043" s="77"/>
      <c r="AK1043" s="77"/>
      <c r="AL1043" s="77"/>
      <c r="AM1043" s="77"/>
      <c r="AN1043" s="77"/>
      <c r="AO1043" s="77"/>
      <c r="AP1043" s="77"/>
      <c r="AQ1043" s="77" t="s">
        <v>14864</v>
      </c>
      <c r="AR1043" s="77">
        <v>91633</v>
      </c>
      <c r="AS1043" s="77"/>
      <c r="AT1043" s="77"/>
      <c r="AU1043" s="77"/>
      <c r="AV1043" s="83" t="str">
        <f>HYPERLINK("https://pbs.twimg.com/amplify_video_thumb/1694691131672702977/img/krAQtX3TPONThpkw.jpg")</f>
        <v>https://pbs.twimg.com/amplify_video_thumb/1694691131672702977/img/krAQtX3TPONThpkw.jpg</v>
      </c>
      <c r="AW1043" s="80" t="s">
        <v>16959</v>
      </c>
      <c r="AX1043" s="80" t="s">
        <v>16959</v>
      </c>
      <c r="AY1043" s="77"/>
      <c r="AZ1043" s="80" t="s">
        <v>20380</v>
      </c>
      <c r="BA1043" s="80" t="s">
        <v>20380</v>
      </c>
      <c r="BB1043" s="80" t="s">
        <v>20380</v>
      </c>
      <c r="BC1043" s="80" t="s">
        <v>16959</v>
      </c>
      <c r="BD1043" s="77">
        <v>36390281</v>
      </c>
      <c r="BE1043" s="77"/>
      <c r="BF1043" s="77"/>
      <c r="BG1043" s="77"/>
      <c r="BH1043" s="77"/>
      <c r="BI1043" s="77"/>
    </row>
    <row r="1044" spans="1:61" x14ac:dyDescent="0.25">
      <c r="A1044" s="62" t="s">
        <v>622</v>
      </c>
      <c r="B1044" s="62" t="s">
        <v>622</v>
      </c>
      <c r="C1044" s="63"/>
      <c r="D1044" s="64"/>
      <c r="E1044" s="65"/>
      <c r="F1044" s="66"/>
      <c r="G1044" s="63"/>
      <c r="H1044" s="67"/>
      <c r="I1044" s="68"/>
      <c r="J1044" s="68"/>
      <c r="K1044" s="32"/>
      <c r="L1044" s="75">
        <v>1044</v>
      </c>
      <c r="M1044" s="75"/>
      <c r="N1044" s="70"/>
      <c r="O1044" s="77" t="s">
        <v>179</v>
      </c>
      <c r="P1044" s="79">
        <v>45197.585497685184</v>
      </c>
      <c r="Q1044" s="77" t="s">
        <v>2997</v>
      </c>
      <c r="R1044" s="77">
        <v>1</v>
      </c>
      <c r="S1044" s="77">
        <v>2</v>
      </c>
      <c r="T1044" s="77">
        <v>1</v>
      </c>
      <c r="U1044" s="77">
        <v>0</v>
      </c>
      <c r="V1044" s="77">
        <v>116</v>
      </c>
      <c r="W1044" s="80" t="s">
        <v>6645</v>
      </c>
      <c r="X1044" s="83" t="str">
        <f>HYPERLINK("http://tiny.cc/gymbvz")</f>
        <v>http://tiny.cc/gymbvz</v>
      </c>
      <c r="Y1044" s="77" t="s">
        <v>8711</v>
      </c>
      <c r="Z1044" s="77"/>
      <c r="AA1044" s="77" t="s">
        <v>9383</v>
      </c>
      <c r="AB1044" s="77" t="s">
        <v>10534</v>
      </c>
      <c r="AC1044" s="80" t="s">
        <v>10554</v>
      </c>
      <c r="AD1044" s="77" t="s">
        <v>10617</v>
      </c>
      <c r="AE1044" s="83" t="str">
        <f>HYPERLINK("https://twitter.com/radiocamara/status/1707395516965810226")</f>
        <v>https://twitter.com/radiocamara/status/1707395516965810226</v>
      </c>
      <c r="AF1044" s="79">
        <v>45197.585497685184</v>
      </c>
      <c r="AG1044" s="85">
        <v>45197</v>
      </c>
      <c r="AH1044" s="80" t="s">
        <v>11557</v>
      </c>
      <c r="AI1044" s="77" t="b">
        <v>0</v>
      </c>
      <c r="AJ1044" s="77"/>
      <c r="AK1044" s="77"/>
      <c r="AL1044" s="77"/>
      <c r="AM1044" s="77"/>
      <c r="AN1044" s="77"/>
      <c r="AO1044" s="77"/>
      <c r="AP1044" s="77"/>
      <c r="AQ1044" s="77" t="s">
        <v>14865</v>
      </c>
      <c r="AR1044" s="77">
        <v>268200</v>
      </c>
      <c r="AS1044" s="77"/>
      <c r="AT1044" s="77"/>
      <c r="AU1044" s="77"/>
      <c r="AV1044" s="83" t="str">
        <f>HYPERLINK("https://pbs.twimg.com/media/F7HjKsjXcAACTSH.jpg")</f>
        <v>https://pbs.twimg.com/media/F7HjKsjXcAACTSH.jpg</v>
      </c>
      <c r="AW1044" s="80" t="s">
        <v>16960</v>
      </c>
      <c r="AX1044" s="80" t="s">
        <v>16960</v>
      </c>
      <c r="AY1044" s="77"/>
      <c r="AZ1044" s="80" t="s">
        <v>20380</v>
      </c>
      <c r="BA1044" s="80" t="s">
        <v>20380</v>
      </c>
      <c r="BB1044" s="80" t="s">
        <v>20380</v>
      </c>
      <c r="BC1044" s="80" t="s">
        <v>16960</v>
      </c>
      <c r="BD1044" s="77">
        <v>36390281</v>
      </c>
      <c r="BE1044" s="77"/>
      <c r="BF1044" s="77"/>
      <c r="BG1044" s="77"/>
      <c r="BH1044" s="77"/>
      <c r="BI1044" s="77"/>
    </row>
    <row r="1045" spans="1:61" x14ac:dyDescent="0.25">
      <c r="A1045" s="62" t="s">
        <v>622</v>
      </c>
      <c r="B1045" s="62" t="s">
        <v>622</v>
      </c>
      <c r="C1045" s="63"/>
      <c r="D1045" s="64"/>
      <c r="E1045" s="65"/>
      <c r="F1045" s="66"/>
      <c r="G1045" s="63"/>
      <c r="H1045" s="67"/>
      <c r="I1045" s="68"/>
      <c r="J1045" s="68"/>
      <c r="K1045" s="32"/>
      <c r="L1045" s="75">
        <v>1045</v>
      </c>
      <c r="M1045" s="75"/>
      <c r="N1045" s="70"/>
      <c r="O1045" s="77" t="s">
        <v>179</v>
      </c>
      <c r="P1045" s="79">
        <v>45155.581516203703</v>
      </c>
      <c r="Q1045" s="77" t="s">
        <v>2998</v>
      </c>
      <c r="R1045" s="77">
        <v>0</v>
      </c>
      <c r="S1045" s="77">
        <v>0</v>
      </c>
      <c r="T1045" s="77">
        <v>0</v>
      </c>
      <c r="U1045" s="77">
        <v>0</v>
      </c>
      <c r="V1045" s="77">
        <v>80</v>
      </c>
      <c r="W1045" s="80" t="s">
        <v>6646</v>
      </c>
      <c r="X1045" s="83" t="str">
        <f>HYPERLINK("http://cd.leg.br/3csaGbp")</f>
        <v>http://cd.leg.br/3csaGbp</v>
      </c>
      <c r="Y1045" s="77" t="s">
        <v>8712</v>
      </c>
      <c r="Z1045" s="77"/>
      <c r="AA1045" s="77" t="s">
        <v>9384</v>
      </c>
      <c r="AB1045" s="77" t="s">
        <v>10534</v>
      </c>
      <c r="AC1045" s="80" t="s">
        <v>10554</v>
      </c>
      <c r="AD1045" s="77" t="s">
        <v>10617</v>
      </c>
      <c r="AE1045" s="83" t="str">
        <f>HYPERLINK("https://twitter.com/radiocamara/status/1692173784000970925")</f>
        <v>https://twitter.com/radiocamara/status/1692173784000970925</v>
      </c>
      <c r="AF1045" s="79">
        <v>45155.581516203703</v>
      </c>
      <c r="AG1045" s="85">
        <v>45155</v>
      </c>
      <c r="AH1045" s="80" t="s">
        <v>11558</v>
      </c>
      <c r="AI1045" s="77" t="b">
        <v>0</v>
      </c>
      <c r="AJ1045" s="77"/>
      <c r="AK1045" s="77"/>
      <c r="AL1045" s="77"/>
      <c r="AM1045" s="77"/>
      <c r="AN1045" s="77"/>
      <c r="AO1045" s="77"/>
      <c r="AP1045" s="77"/>
      <c r="AQ1045" s="77" t="s">
        <v>14866</v>
      </c>
      <c r="AR1045" s="77">
        <v>133000</v>
      </c>
      <c r="AS1045" s="77"/>
      <c r="AT1045" s="77"/>
      <c r="AU1045" s="77"/>
      <c r="AV1045" s="83" t="str">
        <f>HYPERLINK("https://pbs.twimg.com/media/F3vO3lHaEAA5mk7.jpg")</f>
        <v>https://pbs.twimg.com/media/F3vO3lHaEAA5mk7.jpg</v>
      </c>
      <c r="AW1045" s="80" t="s">
        <v>16961</v>
      </c>
      <c r="AX1045" s="80" t="s">
        <v>16961</v>
      </c>
      <c r="AY1045" s="77"/>
      <c r="AZ1045" s="80" t="s">
        <v>20380</v>
      </c>
      <c r="BA1045" s="80" t="s">
        <v>20380</v>
      </c>
      <c r="BB1045" s="80" t="s">
        <v>20380</v>
      </c>
      <c r="BC1045" s="80" t="s">
        <v>16961</v>
      </c>
      <c r="BD1045" s="77">
        <v>36390281</v>
      </c>
      <c r="BE1045" s="77"/>
      <c r="BF1045" s="77"/>
      <c r="BG1045" s="77"/>
      <c r="BH1045" s="77"/>
      <c r="BI1045" s="77"/>
    </row>
    <row r="1046" spans="1:61" x14ac:dyDescent="0.25">
      <c r="A1046" s="62" t="s">
        <v>623</v>
      </c>
      <c r="B1046" s="62" t="s">
        <v>622</v>
      </c>
      <c r="C1046" s="63"/>
      <c r="D1046" s="64"/>
      <c r="E1046" s="65"/>
      <c r="F1046" s="66"/>
      <c r="G1046" s="63"/>
      <c r="H1046" s="67"/>
      <c r="I1046" s="68"/>
      <c r="J1046" s="68"/>
      <c r="K1046" s="32"/>
      <c r="L1046" s="75">
        <v>1046</v>
      </c>
      <c r="M1046" s="75"/>
      <c r="N1046" s="70"/>
      <c r="O1046" s="77" t="s">
        <v>2083</v>
      </c>
      <c r="P1046" s="79">
        <v>45197.66642361111</v>
      </c>
      <c r="Q1046" s="77" t="s">
        <v>2999</v>
      </c>
      <c r="R1046" s="77">
        <v>1</v>
      </c>
      <c r="S1046" s="77">
        <v>0</v>
      </c>
      <c r="T1046" s="77">
        <v>0</v>
      </c>
      <c r="U1046" s="77">
        <v>0</v>
      </c>
      <c r="V1046" s="77"/>
      <c r="W1046" s="80" t="s">
        <v>6647</v>
      </c>
      <c r="X1046" s="77"/>
      <c r="Y1046" s="77"/>
      <c r="Z1046" s="77" t="s">
        <v>622</v>
      </c>
      <c r="AA1046" s="77"/>
      <c r="AB1046" s="77"/>
      <c r="AC1046" s="80" t="s">
        <v>10540</v>
      </c>
      <c r="AD1046" s="77" t="s">
        <v>10617</v>
      </c>
      <c r="AE1046" s="83" t="str">
        <f>HYPERLINK("https://twitter.com/agentedel1984/status/1707424841215754546")</f>
        <v>https://twitter.com/agentedel1984/status/1707424841215754546</v>
      </c>
      <c r="AF1046" s="79">
        <v>45197.66642361111</v>
      </c>
      <c r="AG1046" s="85">
        <v>45197</v>
      </c>
      <c r="AH1046" s="80" t="s">
        <v>11559</v>
      </c>
      <c r="AI1046" s="77"/>
      <c r="AJ1046" s="77"/>
      <c r="AK1046" s="77"/>
      <c r="AL1046" s="77"/>
      <c r="AM1046" s="77"/>
      <c r="AN1046" s="77"/>
      <c r="AO1046" s="77"/>
      <c r="AP1046" s="77"/>
      <c r="AQ1046" s="77"/>
      <c r="AR1046" s="77"/>
      <c r="AS1046" s="77"/>
      <c r="AT1046" s="77"/>
      <c r="AU1046" s="77"/>
      <c r="AV1046" s="83" t="str">
        <f>HYPERLINK("https://pbs.twimg.com/profile_images/1705573814283706368/2w-jWHL7_normal.jpg")</f>
        <v>https://pbs.twimg.com/profile_images/1705573814283706368/2w-jWHL7_normal.jpg</v>
      </c>
      <c r="AW1046" s="80" t="s">
        <v>16962</v>
      </c>
      <c r="AX1046" s="80" t="s">
        <v>16962</v>
      </c>
      <c r="AY1046" s="77"/>
      <c r="AZ1046" s="80" t="s">
        <v>20380</v>
      </c>
      <c r="BA1046" s="80" t="s">
        <v>20380</v>
      </c>
      <c r="BB1046" s="80" t="s">
        <v>16960</v>
      </c>
      <c r="BC1046" s="80" t="s">
        <v>16960</v>
      </c>
      <c r="BD1046" s="80" t="s">
        <v>20689</v>
      </c>
      <c r="BE1046" s="77"/>
      <c r="BF1046" s="77"/>
      <c r="BG1046" s="77"/>
      <c r="BH1046" s="77"/>
      <c r="BI1046" s="77"/>
    </row>
    <row r="1047" spans="1:61" x14ac:dyDescent="0.25">
      <c r="A1047" s="62" t="s">
        <v>624</v>
      </c>
      <c r="B1047" s="62" t="s">
        <v>1822</v>
      </c>
      <c r="C1047" s="63"/>
      <c r="D1047" s="64"/>
      <c r="E1047" s="65"/>
      <c r="F1047" s="66"/>
      <c r="G1047" s="63"/>
      <c r="H1047" s="67"/>
      <c r="I1047" s="68"/>
      <c r="J1047" s="68"/>
      <c r="K1047" s="32"/>
      <c r="L1047" s="75">
        <v>1047</v>
      </c>
      <c r="M1047" s="75"/>
      <c r="N1047" s="70"/>
      <c r="O1047" s="77" t="s">
        <v>2081</v>
      </c>
      <c r="P1047" s="79">
        <v>45055.570127314815</v>
      </c>
      <c r="Q1047" s="77" t="s">
        <v>3000</v>
      </c>
      <c r="R1047" s="77">
        <v>1</v>
      </c>
      <c r="S1047" s="77">
        <v>3</v>
      </c>
      <c r="T1047" s="77">
        <v>1</v>
      </c>
      <c r="U1047" s="77">
        <v>0</v>
      </c>
      <c r="V1047" s="77">
        <v>400</v>
      </c>
      <c r="W1047" s="80" t="s">
        <v>6648</v>
      </c>
      <c r="X1047" s="77"/>
      <c r="Y1047" s="77"/>
      <c r="Z1047" s="77" t="s">
        <v>1822</v>
      </c>
      <c r="AA1047" s="77" t="s">
        <v>9385</v>
      </c>
      <c r="AB1047" s="77" t="s">
        <v>10534</v>
      </c>
      <c r="AC1047" s="80" t="s">
        <v>10542</v>
      </c>
      <c r="AD1047" s="77" t="s">
        <v>10617</v>
      </c>
      <c r="AE1047" s="83" t="str">
        <f>HYPERLINK("https://twitter.com/podemossenado/status/1655930870367391746")</f>
        <v>https://twitter.com/podemossenado/status/1655930870367391746</v>
      </c>
      <c r="AF1047" s="79">
        <v>45055.570127314815</v>
      </c>
      <c r="AG1047" s="85">
        <v>45055</v>
      </c>
      <c r="AH1047" s="80" t="s">
        <v>11560</v>
      </c>
      <c r="AI1047" s="77" t="b">
        <v>0</v>
      </c>
      <c r="AJ1047" s="77"/>
      <c r="AK1047" s="77"/>
      <c r="AL1047" s="77"/>
      <c r="AM1047" s="77"/>
      <c r="AN1047" s="77"/>
      <c r="AO1047" s="77"/>
      <c r="AP1047" s="77"/>
      <c r="AQ1047" s="77" t="s">
        <v>14867</v>
      </c>
      <c r="AR1047" s="77">
        <v>136100</v>
      </c>
      <c r="AS1047" s="77"/>
      <c r="AT1047" s="77"/>
      <c r="AU1047" s="77"/>
      <c r="AV1047" s="83" t="str">
        <f>HYPERLINK("https://pbs.twimg.com/ext_tw_video_thumb/1655930819725393920/pu/img/yFfUQ71xaY341903.jpg")</f>
        <v>https://pbs.twimg.com/ext_tw_video_thumb/1655930819725393920/pu/img/yFfUQ71xaY341903.jpg</v>
      </c>
      <c r="AW1047" s="80" t="s">
        <v>16963</v>
      </c>
      <c r="AX1047" s="80" t="s">
        <v>16963</v>
      </c>
      <c r="AY1047" s="77"/>
      <c r="AZ1047" s="80" t="s">
        <v>20380</v>
      </c>
      <c r="BA1047" s="80" t="s">
        <v>20380</v>
      </c>
      <c r="BB1047" s="80" t="s">
        <v>20380</v>
      </c>
      <c r="BC1047" s="80" t="s">
        <v>16963</v>
      </c>
      <c r="BD1047" s="77">
        <v>1222046371</v>
      </c>
      <c r="BE1047" s="77"/>
      <c r="BF1047" s="77"/>
      <c r="BG1047" s="77"/>
      <c r="BH1047" s="77"/>
      <c r="BI1047" s="77"/>
    </row>
    <row r="1048" spans="1:61" x14ac:dyDescent="0.25">
      <c r="A1048" s="62" t="s">
        <v>625</v>
      </c>
      <c r="B1048" s="62" t="s">
        <v>625</v>
      </c>
      <c r="C1048" s="63"/>
      <c r="D1048" s="64"/>
      <c r="E1048" s="65"/>
      <c r="F1048" s="66"/>
      <c r="G1048" s="63"/>
      <c r="H1048" s="67"/>
      <c r="I1048" s="68"/>
      <c r="J1048" s="68"/>
      <c r="K1048" s="32"/>
      <c r="L1048" s="75">
        <v>1048</v>
      </c>
      <c r="M1048" s="75"/>
      <c r="N1048" s="70"/>
      <c r="O1048" s="77" t="s">
        <v>179</v>
      </c>
      <c r="P1048" s="79">
        <v>45085.48510416667</v>
      </c>
      <c r="Q1048" s="77" t="s">
        <v>3001</v>
      </c>
      <c r="R1048" s="77">
        <v>0</v>
      </c>
      <c r="S1048" s="77">
        <v>0</v>
      </c>
      <c r="T1048" s="77">
        <v>0</v>
      </c>
      <c r="U1048" s="77">
        <v>0</v>
      </c>
      <c r="V1048" s="77">
        <v>70</v>
      </c>
      <c r="W1048" s="80" t="s">
        <v>6649</v>
      </c>
      <c r="X1048" s="77"/>
      <c r="Y1048" s="77"/>
      <c r="Z1048" s="77"/>
      <c r="AA1048" s="77" t="s">
        <v>9386</v>
      </c>
      <c r="AB1048" s="77" t="s">
        <v>10535</v>
      </c>
      <c r="AC1048" s="80" t="s">
        <v>10540</v>
      </c>
      <c r="AD1048" s="77" t="s">
        <v>10619</v>
      </c>
      <c r="AE1048" s="83" t="str">
        <f>HYPERLINK("https://twitter.com/mantenelalinea/status/1666771695359733763")</f>
        <v>https://twitter.com/mantenelalinea/status/1666771695359733763</v>
      </c>
      <c r="AF1048" s="79">
        <v>45085.48510416667</v>
      </c>
      <c r="AG1048" s="85">
        <v>45085</v>
      </c>
      <c r="AH1048" s="80" t="s">
        <v>11561</v>
      </c>
      <c r="AI1048" s="77" t="b">
        <v>0</v>
      </c>
      <c r="AJ1048" s="77"/>
      <c r="AK1048" s="77"/>
      <c r="AL1048" s="77"/>
      <c r="AM1048" s="77"/>
      <c r="AN1048" s="77"/>
      <c r="AO1048" s="77"/>
      <c r="AP1048" s="77"/>
      <c r="AQ1048" s="77" t="s">
        <v>14868</v>
      </c>
      <c r="AR1048" s="77"/>
      <c r="AS1048" s="77"/>
      <c r="AT1048" s="77"/>
      <c r="AU1048" s="77"/>
      <c r="AV1048" s="83" t="str">
        <f>HYPERLINK("https://pbs.twimg.com/media/FyGQBjCXwAIMZl4.jpg")</f>
        <v>https://pbs.twimg.com/media/FyGQBjCXwAIMZl4.jpg</v>
      </c>
      <c r="AW1048" s="80" t="s">
        <v>16964</v>
      </c>
      <c r="AX1048" s="80" t="s">
        <v>16964</v>
      </c>
      <c r="AY1048" s="77"/>
      <c r="AZ1048" s="80" t="s">
        <v>20380</v>
      </c>
      <c r="BA1048" s="80" t="s">
        <v>20380</v>
      </c>
      <c r="BB1048" s="80" t="s">
        <v>20380</v>
      </c>
      <c r="BC1048" s="80" t="s">
        <v>16964</v>
      </c>
      <c r="BD1048" s="80" t="s">
        <v>20690</v>
      </c>
      <c r="BE1048" s="77"/>
      <c r="BF1048" s="77"/>
      <c r="BG1048" s="77"/>
      <c r="BH1048" s="77"/>
      <c r="BI1048" s="77"/>
    </row>
    <row r="1049" spans="1:61" x14ac:dyDescent="0.25">
      <c r="A1049" s="62" t="s">
        <v>626</v>
      </c>
      <c r="B1049" s="62" t="s">
        <v>626</v>
      </c>
      <c r="C1049" s="63"/>
      <c r="D1049" s="64"/>
      <c r="E1049" s="65"/>
      <c r="F1049" s="66"/>
      <c r="G1049" s="63"/>
      <c r="H1049" s="67"/>
      <c r="I1049" s="68"/>
      <c r="J1049" s="68"/>
      <c r="K1049" s="32"/>
      <c r="L1049" s="75">
        <v>1049</v>
      </c>
      <c r="M1049" s="75"/>
      <c r="N1049" s="70"/>
      <c r="O1049" s="77" t="s">
        <v>179</v>
      </c>
      <c r="P1049" s="79">
        <v>45071.829895833333</v>
      </c>
      <c r="Q1049" s="77" t="s">
        <v>3002</v>
      </c>
      <c r="R1049" s="77">
        <v>0</v>
      </c>
      <c r="S1049" s="77">
        <v>0</v>
      </c>
      <c r="T1049" s="77">
        <v>0</v>
      </c>
      <c r="U1049" s="77">
        <v>0</v>
      </c>
      <c r="V1049" s="77">
        <v>40</v>
      </c>
      <c r="W1049" s="80" t="s">
        <v>6650</v>
      </c>
      <c r="X1049" s="77"/>
      <c r="Y1049" s="77"/>
      <c r="Z1049" s="77"/>
      <c r="AA1049" s="77" t="s">
        <v>9387</v>
      </c>
      <c r="AB1049" s="77" t="s">
        <v>10535</v>
      </c>
      <c r="AC1049" s="80" t="s">
        <v>10542</v>
      </c>
      <c r="AD1049" s="77" t="s">
        <v>10620</v>
      </c>
      <c r="AE1049" s="83" t="str">
        <f>HYPERLINK("https://twitter.com/banhcafe_hn/status/1661823210432675841")</f>
        <v>https://twitter.com/banhcafe_hn/status/1661823210432675841</v>
      </c>
      <c r="AF1049" s="79">
        <v>45071.829895833333</v>
      </c>
      <c r="AG1049" s="85">
        <v>45071</v>
      </c>
      <c r="AH1049" s="80" t="s">
        <v>11562</v>
      </c>
      <c r="AI1049" s="77" t="b">
        <v>0</v>
      </c>
      <c r="AJ1049" s="77"/>
      <c r="AK1049" s="77"/>
      <c r="AL1049" s="77"/>
      <c r="AM1049" s="77"/>
      <c r="AN1049" s="77"/>
      <c r="AO1049" s="77"/>
      <c r="AP1049" s="77"/>
      <c r="AQ1049" s="77" t="s">
        <v>14869</v>
      </c>
      <c r="AR1049" s="77"/>
      <c r="AS1049" s="77"/>
      <c r="AT1049" s="77"/>
      <c r="AU1049" s="77"/>
      <c r="AV1049" s="83" t="str">
        <f>HYPERLINK("https://pbs.twimg.com/media/Fw_7ZnOWIAAvqdk.jpg")</f>
        <v>https://pbs.twimg.com/media/Fw_7ZnOWIAAvqdk.jpg</v>
      </c>
      <c r="AW1049" s="80" t="s">
        <v>16965</v>
      </c>
      <c r="AX1049" s="80" t="s">
        <v>16965</v>
      </c>
      <c r="AY1049" s="77"/>
      <c r="AZ1049" s="80" t="s">
        <v>20380</v>
      </c>
      <c r="BA1049" s="80" t="s">
        <v>20380</v>
      </c>
      <c r="BB1049" s="80" t="s">
        <v>20380</v>
      </c>
      <c r="BC1049" s="80" t="s">
        <v>16965</v>
      </c>
      <c r="BD1049" s="80" t="s">
        <v>20691</v>
      </c>
      <c r="BE1049" s="77"/>
      <c r="BF1049" s="77"/>
      <c r="BG1049" s="77"/>
      <c r="BH1049" s="77"/>
      <c r="BI1049" s="77"/>
    </row>
    <row r="1050" spans="1:61" x14ac:dyDescent="0.25">
      <c r="A1050" s="62" t="s">
        <v>627</v>
      </c>
      <c r="B1050" s="62" t="s">
        <v>627</v>
      </c>
      <c r="C1050" s="63"/>
      <c r="D1050" s="64"/>
      <c r="E1050" s="65"/>
      <c r="F1050" s="66"/>
      <c r="G1050" s="63"/>
      <c r="H1050" s="67"/>
      <c r="I1050" s="68"/>
      <c r="J1050" s="68"/>
      <c r="K1050" s="32"/>
      <c r="L1050" s="75">
        <v>1050</v>
      </c>
      <c r="M1050" s="75"/>
      <c r="N1050" s="70"/>
      <c r="O1050" s="77" t="s">
        <v>179</v>
      </c>
      <c r="P1050" s="79">
        <v>45187.545590277776</v>
      </c>
      <c r="Q1050" s="77" t="s">
        <v>3003</v>
      </c>
      <c r="R1050" s="77">
        <v>0</v>
      </c>
      <c r="S1050" s="77">
        <v>0</v>
      </c>
      <c r="T1050" s="77">
        <v>0</v>
      </c>
      <c r="U1050" s="77">
        <v>0</v>
      </c>
      <c r="V1050" s="77">
        <v>29</v>
      </c>
      <c r="W1050" s="80" t="s">
        <v>6651</v>
      </c>
      <c r="X1050" s="77"/>
      <c r="Y1050" s="77"/>
      <c r="Z1050" s="77"/>
      <c r="AA1050" s="77"/>
      <c r="AB1050" s="77"/>
      <c r="AC1050" s="80" t="s">
        <v>10542</v>
      </c>
      <c r="AD1050" s="77" t="s">
        <v>10617</v>
      </c>
      <c r="AE1050" s="83" t="str">
        <f>HYPERLINK("https://twitter.com/biancam33772085/status/1703757174416048335")</f>
        <v>https://twitter.com/biancam33772085/status/1703757174416048335</v>
      </c>
      <c r="AF1050" s="79">
        <v>45187.545590277776</v>
      </c>
      <c r="AG1050" s="85">
        <v>45187</v>
      </c>
      <c r="AH1050" s="80" t="s">
        <v>11563</v>
      </c>
      <c r="AI1050" s="77"/>
      <c r="AJ1050" s="77"/>
      <c r="AK1050" s="77"/>
      <c r="AL1050" s="77"/>
      <c r="AM1050" s="77"/>
      <c r="AN1050" s="77"/>
      <c r="AO1050" s="77"/>
      <c r="AP1050" s="77"/>
      <c r="AQ1050" s="77"/>
      <c r="AR1050" s="77"/>
      <c r="AS1050" s="77"/>
      <c r="AT1050" s="77"/>
      <c r="AU1050" s="77"/>
      <c r="AV1050" s="83" t="str">
        <f>HYPERLINK("https://pbs.twimg.com/profile_images/1681837105729683456/Ujl540Sk_normal.jpg")</f>
        <v>https://pbs.twimg.com/profile_images/1681837105729683456/Ujl540Sk_normal.jpg</v>
      </c>
      <c r="AW1050" s="80" t="s">
        <v>16966</v>
      </c>
      <c r="AX1050" s="80" t="s">
        <v>16966</v>
      </c>
      <c r="AY1050" s="77"/>
      <c r="AZ1050" s="80" t="s">
        <v>20380</v>
      </c>
      <c r="BA1050" s="80" t="s">
        <v>20380</v>
      </c>
      <c r="BB1050" s="80" t="s">
        <v>20380</v>
      </c>
      <c r="BC1050" s="80" t="s">
        <v>16966</v>
      </c>
      <c r="BD1050" s="80" t="s">
        <v>20692</v>
      </c>
      <c r="BE1050" s="77"/>
      <c r="BF1050" s="77"/>
      <c r="BG1050" s="77"/>
      <c r="BH1050" s="77"/>
      <c r="BI1050" s="77"/>
    </row>
    <row r="1051" spans="1:61" x14ac:dyDescent="0.25">
      <c r="A1051" s="62" t="s">
        <v>628</v>
      </c>
      <c r="B1051" s="62" t="s">
        <v>628</v>
      </c>
      <c r="C1051" s="63"/>
      <c r="D1051" s="64"/>
      <c r="E1051" s="65"/>
      <c r="F1051" s="66"/>
      <c r="G1051" s="63"/>
      <c r="H1051" s="67"/>
      <c r="I1051" s="68"/>
      <c r="J1051" s="68"/>
      <c r="K1051" s="32"/>
      <c r="L1051" s="75">
        <v>1051</v>
      </c>
      <c r="M1051" s="75"/>
      <c r="N1051" s="70"/>
      <c r="O1051" s="77" t="s">
        <v>179</v>
      </c>
      <c r="P1051" s="79">
        <v>45152.57707175926</v>
      </c>
      <c r="Q1051" s="77" t="s">
        <v>3004</v>
      </c>
      <c r="R1051" s="77">
        <v>0</v>
      </c>
      <c r="S1051" s="77">
        <v>0</v>
      </c>
      <c r="T1051" s="77">
        <v>0</v>
      </c>
      <c r="U1051" s="77">
        <v>0</v>
      </c>
      <c r="V1051" s="77">
        <v>359</v>
      </c>
      <c r="W1051" s="80" t="s">
        <v>6652</v>
      </c>
      <c r="X1051" s="83" t="str">
        <f>HYPERLINK("https://www.lt10.com.ar/noticia/411623--dolar-oficial-a-350-el-central-devalua-la-moneda-oficial-un-22")</f>
        <v>https://www.lt10.com.ar/noticia/411623--dolar-oficial-a-350-el-central-devalua-la-moneda-oficial-un-22</v>
      </c>
      <c r="Y1051" s="77" t="s">
        <v>8624</v>
      </c>
      <c r="Z1051" s="77"/>
      <c r="AA1051" s="77" t="s">
        <v>9388</v>
      </c>
      <c r="AB1051" s="77" t="s">
        <v>10535</v>
      </c>
      <c r="AC1051" s="80" t="s">
        <v>10555</v>
      </c>
      <c r="AD1051" s="77" t="s">
        <v>10620</v>
      </c>
      <c r="AE1051" s="83" t="str">
        <f>HYPERLINK("https://twitter.com/radiolt10/status/1691085006783893505")</f>
        <v>https://twitter.com/radiolt10/status/1691085006783893505</v>
      </c>
      <c r="AF1051" s="79">
        <v>45152.57707175926</v>
      </c>
      <c r="AG1051" s="85">
        <v>45152</v>
      </c>
      <c r="AH1051" s="80" t="s">
        <v>11564</v>
      </c>
      <c r="AI1051" s="77" t="b">
        <v>0</v>
      </c>
      <c r="AJ1051" s="77"/>
      <c r="AK1051" s="77"/>
      <c r="AL1051" s="77"/>
      <c r="AM1051" s="77"/>
      <c r="AN1051" s="77"/>
      <c r="AO1051" s="77"/>
      <c r="AP1051" s="77"/>
      <c r="AQ1051" s="77" t="s">
        <v>14870</v>
      </c>
      <c r="AR1051" s="77"/>
      <c r="AS1051" s="77"/>
      <c r="AT1051" s="77"/>
      <c r="AU1051" s="77"/>
      <c r="AV1051" s="83" t="str">
        <f>HYPERLINK("https://pbs.twimg.com/media/F3fw2IIWAAE3VaH.jpg")</f>
        <v>https://pbs.twimg.com/media/F3fw2IIWAAE3VaH.jpg</v>
      </c>
      <c r="AW1051" s="80" t="s">
        <v>16967</v>
      </c>
      <c r="AX1051" s="80" t="s">
        <v>16967</v>
      </c>
      <c r="AY1051" s="77"/>
      <c r="AZ1051" s="80" t="s">
        <v>20380</v>
      </c>
      <c r="BA1051" s="80" t="s">
        <v>20380</v>
      </c>
      <c r="BB1051" s="80" t="s">
        <v>20380</v>
      </c>
      <c r="BC1051" s="80" t="s">
        <v>16967</v>
      </c>
      <c r="BD1051" s="77">
        <v>35729682</v>
      </c>
      <c r="BE1051" s="77"/>
      <c r="BF1051" s="77"/>
      <c r="BG1051" s="77"/>
      <c r="BH1051" s="77"/>
      <c r="BI1051" s="77"/>
    </row>
    <row r="1052" spans="1:61" x14ac:dyDescent="0.25">
      <c r="A1052" s="62" t="s">
        <v>629</v>
      </c>
      <c r="B1052" s="62" t="s">
        <v>629</v>
      </c>
      <c r="C1052" s="63"/>
      <c r="D1052" s="64"/>
      <c r="E1052" s="65"/>
      <c r="F1052" s="66"/>
      <c r="G1052" s="63"/>
      <c r="H1052" s="67"/>
      <c r="I1052" s="68"/>
      <c r="J1052" s="68"/>
      <c r="K1052" s="32"/>
      <c r="L1052" s="75">
        <v>1052</v>
      </c>
      <c r="M1052" s="75"/>
      <c r="N1052" s="70"/>
      <c r="O1052" s="77" t="s">
        <v>179</v>
      </c>
      <c r="P1052" s="79">
        <v>45091.934398148151</v>
      </c>
      <c r="Q1052" s="77" t="s">
        <v>3005</v>
      </c>
      <c r="R1052" s="77">
        <v>2</v>
      </c>
      <c r="S1052" s="77">
        <v>7</v>
      </c>
      <c r="T1052" s="77">
        <v>2</v>
      </c>
      <c r="U1052" s="77">
        <v>0</v>
      </c>
      <c r="V1052" s="77">
        <v>417</v>
      </c>
      <c r="W1052" s="80" t="s">
        <v>6653</v>
      </c>
      <c r="X1052" s="77"/>
      <c r="Y1052" s="77"/>
      <c r="Z1052" s="77"/>
      <c r="AA1052" s="77" t="s">
        <v>9389</v>
      </c>
      <c r="AB1052" s="77" t="s">
        <v>10534</v>
      </c>
      <c r="AC1052" s="80" t="s">
        <v>10542</v>
      </c>
      <c r="AD1052" s="77" t="s">
        <v>10617</v>
      </c>
      <c r="AE1052" s="83" t="str">
        <f>HYPERLINK("https://twitter.com/marcusajreth/status/1669108840711745536")</f>
        <v>https://twitter.com/marcusajreth/status/1669108840711745536</v>
      </c>
      <c r="AF1052" s="79">
        <v>45091.934398148151</v>
      </c>
      <c r="AG1052" s="85">
        <v>45091</v>
      </c>
      <c r="AH1052" s="80" t="s">
        <v>11565</v>
      </c>
      <c r="AI1052" s="77" t="b">
        <v>0</v>
      </c>
      <c r="AJ1052" s="77"/>
      <c r="AK1052" s="77"/>
      <c r="AL1052" s="77"/>
      <c r="AM1052" s="77"/>
      <c r="AN1052" s="77"/>
      <c r="AO1052" s="77"/>
      <c r="AP1052" s="77"/>
      <c r="AQ1052" s="77" t="s">
        <v>14871</v>
      </c>
      <c r="AR1052" s="77">
        <v>120973</v>
      </c>
      <c r="AS1052" s="77"/>
      <c r="AT1052" s="77"/>
      <c r="AU1052" s="77"/>
      <c r="AV1052" s="83" t="str">
        <f>HYPERLINK("https://pbs.twimg.com/ext_tw_video_thumb/1669108684851408900/pu/img/KdpYsy82b1LB7xYE.jpg")</f>
        <v>https://pbs.twimg.com/ext_tw_video_thumb/1669108684851408900/pu/img/KdpYsy82b1LB7xYE.jpg</v>
      </c>
      <c r="AW1052" s="80" t="s">
        <v>16968</v>
      </c>
      <c r="AX1052" s="80" t="s">
        <v>16968</v>
      </c>
      <c r="AY1052" s="77"/>
      <c r="AZ1052" s="80" t="s">
        <v>20380</v>
      </c>
      <c r="BA1052" s="80" t="s">
        <v>20380</v>
      </c>
      <c r="BB1052" s="80" t="s">
        <v>20380</v>
      </c>
      <c r="BC1052" s="80" t="s">
        <v>16968</v>
      </c>
      <c r="BD1052" s="77">
        <v>303597941</v>
      </c>
      <c r="BE1052" s="77"/>
      <c r="BF1052" s="77"/>
      <c r="BG1052" s="77"/>
      <c r="BH1052" s="77"/>
      <c r="BI1052" s="77"/>
    </row>
    <row r="1053" spans="1:61" x14ac:dyDescent="0.25">
      <c r="A1053" s="62" t="s">
        <v>630</v>
      </c>
      <c r="B1053" s="62" t="s">
        <v>630</v>
      </c>
      <c r="C1053" s="63"/>
      <c r="D1053" s="64"/>
      <c r="E1053" s="65"/>
      <c r="F1053" s="66"/>
      <c r="G1053" s="63"/>
      <c r="H1053" s="67"/>
      <c r="I1053" s="68"/>
      <c r="J1053" s="68"/>
      <c r="K1053" s="32"/>
      <c r="L1053" s="75">
        <v>1053</v>
      </c>
      <c r="M1053" s="75"/>
      <c r="N1053" s="70"/>
      <c r="O1053" s="77" t="s">
        <v>179</v>
      </c>
      <c r="P1053" s="79">
        <v>45061.642581018517</v>
      </c>
      <c r="Q1053" s="77" t="s">
        <v>3006</v>
      </c>
      <c r="R1053" s="77">
        <v>0</v>
      </c>
      <c r="S1053" s="77">
        <v>0</v>
      </c>
      <c r="T1053" s="77">
        <v>0</v>
      </c>
      <c r="U1053" s="77">
        <v>0</v>
      </c>
      <c r="V1053" s="77">
        <v>66</v>
      </c>
      <c r="W1053" s="80" t="s">
        <v>5884</v>
      </c>
      <c r="X1053" s="83" t="str">
        <f>HYPERLINK("https://www.inforegion.com.ar/2023/05/15/el-banco-central-elevo-el-rendimiento-de-los-ahorros-en-pesos/")</f>
        <v>https://www.inforegion.com.ar/2023/05/15/el-banco-central-elevo-el-rendimiento-de-los-ahorros-en-pesos/</v>
      </c>
      <c r="Y1053" s="77" t="s">
        <v>8624</v>
      </c>
      <c r="Z1053" s="77"/>
      <c r="AA1053" s="77"/>
      <c r="AB1053" s="77"/>
      <c r="AC1053" s="80" t="s">
        <v>10541</v>
      </c>
      <c r="AD1053" s="77" t="s">
        <v>10620</v>
      </c>
      <c r="AE1053" s="83" t="str">
        <f>HYPERLINK("https://twitter.com/inforegionarg/status/1658131452117041155")</f>
        <v>https://twitter.com/inforegionarg/status/1658131452117041155</v>
      </c>
      <c r="AF1053" s="79">
        <v>45061.642581018517</v>
      </c>
      <c r="AG1053" s="85">
        <v>45061</v>
      </c>
      <c r="AH1053" s="80" t="s">
        <v>11566</v>
      </c>
      <c r="AI1053" s="77" t="b">
        <v>0</v>
      </c>
      <c r="AJ1053" s="77"/>
      <c r="AK1053" s="77"/>
      <c r="AL1053" s="77"/>
      <c r="AM1053" s="77"/>
      <c r="AN1053" s="77"/>
      <c r="AO1053" s="77"/>
      <c r="AP1053" s="77"/>
      <c r="AQ1053" s="77"/>
      <c r="AR1053" s="77"/>
      <c r="AS1053" s="77"/>
      <c r="AT1053" s="77"/>
      <c r="AU1053" s="77"/>
      <c r="AV1053" s="83" t="str">
        <f>HYPERLINK("https://pbs.twimg.com/profile_images/1013111931647987712/BaT6jOJW_normal.jpg")</f>
        <v>https://pbs.twimg.com/profile_images/1013111931647987712/BaT6jOJW_normal.jpg</v>
      </c>
      <c r="AW1053" s="80" t="s">
        <v>16969</v>
      </c>
      <c r="AX1053" s="80" t="s">
        <v>16969</v>
      </c>
      <c r="AY1053" s="77"/>
      <c r="AZ1053" s="80" t="s">
        <v>20380</v>
      </c>
      <c r="BA1053" s="80" t="s">
        <v>20380</v>
      </c>
      <c r="BB1053" s="80" t="s">
        <v>20380</v>
      </c>
      <c r="BC1053" s="80" t="s">
        <v>16969</v>
      </c>
      <c r="BD1053" s="77">
        <v>334241034</v>
      </c>
      <c r="BE1053" s="77"/>
      <c r="BF1053" s="77"/>
      <c r="BG1053" s="77"/>
      <c r="BH1053" s="77"/>
      <c r="BI1053" s="77"/>
    </row>
    <row r="1054" spans="1:61" x14ac:dyDescent="0.25">
      <c r="A1054" s="62" t="s">
        <v>631</v>
      </c>
      <c r="B1054" s="62" t="s">
        <v>631</v>
      </c>
      <c r="C1054" s="63"/>
      <c r="D1054" s="64"/>
      <c r="E1054" s="65"/>
      <c r="F1054" s="66"/>
      <c r="G1054" s="63"/>
      <c r="H1054" s="67"/>
      <c r="I1054" s="68"/>
      <c r="J1054" s="68"/>
      <c r="K1054" s="32"/>
      <c r="L1054" s="75">
        <v>1054</v>
      </c>
      <c r="M1054" s="75"/>
      <c r="N1054" s="70"/>
      <c r="O1054" s="77" t="s">
        <v>179</v>
      </c>
      <c r="P1054" s="79">
        <v>45169.872604166667</v>
      </c>
      <c r="Q1054" s="77" t="s">
        <v>3007</v>
      </c>
      <c r="R1054" s="77">
        <v>0</v>
      </c>
      <c r="S1054" s="77">
        <v>1</v>
      </c>
      <c r="T1054" s="77">
        <v>0</v>
      </c>
      <c r="U1054" s="77">
        <v>0</v>
      </c>
      <c r="V1054" s="77">
        <v>28</v>
      </c>
      <c r="W1054" s="80" t="s">
        <v>6654</v>
      </c>
      <c r="X1054" s="77"/>
      <c r="Y1054" s="77"/>
      <c r="Z1054" s="77"/>
      <c r="AA1054" s="77"/>
      <c r="AB1054" s="77"/>
      <c r="AC1054" s="80" t="s">
        <v>10542</v>
      </c>
      <c r="AD1054" s="77" t="s">
        <v>10620</v>
      </c>
      <c r="AE1054" s="83" t="str">
        <f>HYPERLINK("https://twitter.com/solemio63/status/1697352698042237181")</f>
        <v>https://twitter.com/solemio63/status/1697352698042237181</v>
      </c>
      <c r="AF1054" s="79">
        <v>45169.872604166667</v>
      </c>
      <c r="AG1054" s="85">
        <v>45169</v>
      </c>
      <c r="AH1054" s="80" t="s">
        <v>11567</v>
      </c>
      <c r="AI1054" s="77"/>
      <c r="AJ1054" s="77"/>
      <c r="AK1054" s="77"/>
      <c r="AL1054" s="77"/>
      <c r="AM1054" s="77"/>
      <c r="AN1054" s="77"/>
      <c r="AO1054" s="77"/>
      <c r="AP1054" s="77"/>
      <c r="AQ1054" s="77"/>
      <c r="AR1054" s="77"/>
      <c r="AS1054" s="77"/>
      <c r="AT1054" s="77"/>
      <c r="AU1054" s="77"/>
      <c r="AV1054" s="83" t="str">
        <f>HYPERLINK("https://pbs.twimg.com/profile_images/1415720073029955586/x-B5PUrB_normal.jpg")</f>
        <v>https://pbs.twimg.com/profile_images/1415720073029955586/x-B5PUrB_normal.jpg</v>
      </c>
      <c r="AW1054" s="80" t="s">
        <v>16970</v>
      </c>
      <c r="AX1054" s="80" t="s">
        <v>16970</v>
      </c>
      <c r="AY1054" s="77"/>
      <c r="AZ1054" s="80" t="s">
        <v>20380</v>
      </c>
      <c r="BA1054" s="80" t="s">
        <v>20380</v>
      </c>
      <c r="BB1054" s="80" t="s">
        <v>20380</v>
      </c>
      <c r="BC1054" s="80" t="s">
        <v>16970</v>
      </c>
      <c r="BD1054" s="77">
        <v>92531526</v>
      </c>
      <c r="BE1054" s="77"/>
      <c r="BF1054" s="77"/>
      <c r="BG1054" s="77"/>
      <c r="BH1054" s="77"/>
      <c r="BI1054" s="77"/>
    </row>
    <row r="1055" spans="1:61" x14ac:dyDescent="0.25">
      <c r="A1055" s="62" t="s">
        <v>632</v>
      </c>
      <c r="B1055" s="62" t="s">
        <v>1596</v>
      </c>
      <c r="C1055" s="63"/>
      <c r="D1055" s="64"/>
      <c r="E1055" s="65"/>
      <c r="F1055" s="66"/>
      <c r="G1055" s="63"/>
      <c r="H1055" s="67"/>
      <c r="I1055" s="68"/>
      <c r="J1055" s="68"/>
      <c r="K1055" s="32"/>
      <c r="L1055" s="75">
        <v>1055</v>
      </c>
      <c r="M1055" s="75"/>
      <c r="N1055" s="70"/>
      <c r="O1055" s="77" t="s">
        <v>2081</v>
      </c>
      <c r="P1055" s="79">
        <v>45183.17759259259</v>
      </c>
      <c r="Q1055" s="77" t="s">
        <v>2492</v>
      </c>
      <c r="R1055" s="77">
        <v>0</v>
      </c>
      <c r="S1055" s="77">
        <v>0</v>
      </c>
      <c r="T1055" s="77">
        <v>0</v>
      </c>
      <c r="U1055" s="77">
        <v>0</v>
      </c>
      <c r="V1055" s="77">
        <v>11</v>
      </c>
      <c r="W1055" s="80" t="s">
        <v>6008</v>
      </c>
      <c r="X1055" s="77"/>
      <c r="Y1055" s="77"/>
      <c r="Z1055" s="77" t="s">
        <v>1596</v>
      </c>
      <c r="AA1055" s="77"/>
      <c r="AB1055" s="77"/>
      <c r="AC1055" s="80" t="s">
        <v>10541</v>
      </c>
      <c r="AD1055" s="77" t="s">
        <v>10622</v>
      </c>
      <c r="AE1055" s="83" t="str">
        <f>HYPERLINK("https://twitter.com/perei61657tiago/status/1702174265846419877")</f>
        <v>https://twitter.com/perei61657tiago/status/1702174265846419877</v>
      </c>
      <c r="AF1055" s="79">
        <v>45183.17759259259</v>
      </c>
      <c r="AG1055" s="85">
        <v>45183</v>
      </c>
      <c r="AH1055" s="80" t="s">
        <v>11568</v>
      </c>
      <c r="AI1055" s="77"/>
      <c r="AJ1055" s="77"/>
      <c r="AK1055" s="77"/>
      <c r="AL1055" s="77"/>
      <c r="AM1055" s="77"/>
      <c r="AN1055" s="77"/>
      <c r="AO1055" s="77"/>
      <c r="AP1055" s="77"/>
      <c r="AQ1055" s="77"/>
      <c r="AR1055" s="77"/>
      <c r="AS1055" s="77"/>
      <c r="AT1055" s="77"/>
      <c r="AU1055" s="77"/>
      <c r="AV1055" s="83" t="str">
        <f>HYPERLINK("https://pbs.twimg.com/profile_images/1686725619801866240/xXbpp3ay_normal.png")</f>
        <v>https://pbs.twimg.com/profile_images/1686725619801866240/xXbpp3ay_normal.png</v>
      </c>
      <c r="AW1055" s="80" t="s">
        <v>16971</v>
      </c>
      <c r="AX1055" s="80" t="s">
        <v>16971</v>
      </c>
      <c r="AY1055" s="77"/>
      <c r="AZ1055" s="80" t="s">
        <v>20380</v>
      </c>
      <c r="BA1055" s="80" t="s">
        <v>20380</v>
      </c>
      <c r="BB1055" s="80" t="s">
        <v>20380</v>
      </c>
      <c r="BC1055" s="80" t="s">
        <v>16971</v>
      </c>
      <c r="BD1055" s="80" t="s">
        <v>20693</v>
      </c>
      <c r="BE1055" s="77"/>
      <c r="BF1055" s="77"/>
      <c r="BG1055" s="77"/>
      <c r="BH1055" s="77"/>
      <c r="BI1055" s="77"/>
    </row>
    <row r="1056" spans="1:61" x14ac:dyDescent="0.25">
      <c r="A1056" s="62" t="s">
        <v>633</v>
      </c>
      <c r="B1056" s="62" t="s">
        <v>633</v>
      </c>
      <c r="C1056" s="63"/>
      <c r="D1056" s="64"/>
      <c r="E1056" s="65"/>
      <c r="F1056" s="66"/>
      <c r="G1056" s="63"/>
      <c r="H1056" s="67"/>
      <c r="I1056" s="68"/>
      <c r="J1056" s="68"/>
      <c r="K1056" s="32"/>
      <c r="L1056" s="75">
        <v>1056</v>
      </c>
      <c r="M1056" s="75"/>
      <c r="N1056" s="70"/>
      <c r="O1056" s="77" t="s">
        <v>179</v>
      </c>
      <c r="P1056" s="79">
        <v>45183.951909722222</v>
      </c>
      <c r="Q1056" s="77" t="s">
        <v>3008</v>
      </c>
      <c r="R1056" s="77">
        <v>0</v>
      </c>
      <c r="S1056" s="77">
        <v>0</v>
      </c>
      <c r="T1056" s="77">
        <v>0</v>
      </c>
      <c r="U1056" s="77">
        <v>0</v>
      </c>
      <c r="V1056" s="77">
        <v>31</v>
      </c>
      <c r="W1056" s="80" t="s">
        <v>5884</v>
      </c>
      <c r="X1056" s="83" t="str">
        <f>HYPERLINK("https://www.consellopatagonico.com/noticia/41669/detalle")</f>
        <v>https://www.consellopatagonico.com/noticia/41669/detalle</v>
      </c>
      <c r="Y1056" s="77" t="s">
        <v>8713</v>
      </c>
      <c r="Z1056" s="77"/>
      <c r="AA1056" s="77"/>
      <c r="AB1056" s="77"/>
      <c r="AC1056" s="80" t="s">
        <v>10541</v>
      </c>
      <c r="AD1056" s="77" t="s">
        <v>10620</v>
      </c>
      <c r="AE1056" s="83" t="str">
        <f>HYPERLINK("https://twitter.com/con_sello/status/1702454868802154530")</f>
        <v>https://twitter.com/con_sello/status/1702454868802154530</v>
      </c>
      <c r="AF1056" s="79">
        <v>45183.951909722222</v>
      </c>
      <c r="AG1056" s="85">
        <v>45183</v>
      </c>
      <c r="AH1056" s="80" t="s">
        <v>11569</v>
      </c>
      <c r="AI1056" s="77" t="b">
        <v>0</v>
      </c>
      <c r="AJ1056" s="77"/>
      <c r="AK1056" s="77"/>
      <c r="AL1056" s="77"/>
      <c r="AM1056" s="77"/>
      <c r="AN1056" s="77"/>
      <c r="AO1056" s="77"/>
      <c r="AP1056" s="77"/>
      <c r="AQ1056" s="77"/>
      <c r="AR1056" s="77"/>
      <c r="AS1056" s="77"/>
      <c r="AT1056" s="77"/>
      <c r="AU1056" s="77"/>
      <c r="AV1056" s="83" t="str">
        <f>HYPERLINK("https://pbs.twimg.com/profile_images/1124506675329867776/bIw0Ay3j_normal.jpg")</f>
        <v>https://pbs.twimg.com/profile_images/1124506675329867776/bIw0Ay3j_normal.jpg</v>
      </c>
      <c r="AW1056" s="80" t="s">
        <v>16972</v>
      </c>
      <c r="AX1056" s="80" t="s">
        <v>16972</v>
      </c>
      <c r="AY1056" s="77"/>
      <c r="AZ1056" s="80" t="s">
        <v>20380</v>
      </c>
      <c r="BA1056" s="80" t="s">
        <v>20380</v>
      </c>
      <c r="BB1056" s="80" t="s">
        <v>20380</v>
      </c>
      <c r="BC1056" s="80" t="s">
        <v>16972</v>
      </c>
      <c r="BD1056" s="80" t="s">
        <v>20694</v>
      </c>
      <c r="BE1056" s="77"/>
      <c r="BF1056" s="77"/>
      <c r="BG1056" s="77"/>
      <c r="BH1056" s="77"/>
      <c r="BI1056" s="77"/>
    </row>
    <row r="1057" spans="1:61" x14ac:dyDescent="0.25">
      <c r="A1057" s="62" t="s">
        <v>634</v>
      </c>
      <c r="B1057" s="62" t="s">
        <v>634</v>
      </c>
      <c r="C1057" s="63"/>
      <c r="D1057" s="64"/>
      <c r="E1057" s="65"/>
      <c r="F1057" s="66"/>
      <c r="G1057" s="63"/>
      <c r="H1057" s="67"/>
      <c r="I1057" s="68"/>
      <c r="J1057" s="68"/>
      <c r="K1057" s="32"/>
      <c r="L1057" s="75">
        <v>1057</v>
      </c>
      <c r="M1057" s="75"/>
      <c r="N1057" s="70"/>
      <c r="O1057" s="77" t="s">
        <v>179</v>
      </c>
      <c r="P1057" s="79">
        <v>45117.665752314817</v>
      </c>
      <c r="Q1057" s="77" t="s">
        <v>3009</v>
      </c>
      <c r="R1057" s="77">
        <v>0</v>
      </c>
      <c r="S1057" s="77">
        <v>0</v>
      </c>
      <c r="T1057" s="77">
        <v>0</v>
      </c>
      <c r="U1057" s="77">
        <v>0</v>
      </c>
      <c r="V1057" s="77">
        <v>547</v>
      </c>
      <c r="W1057" s="80" t="s">
        <v>6655</v>
      </c>
      <c r="X1057" s="77"/>
      <c r="Y1057" s="77"/>
      <c r="Z1057" s="77"/>
      <c r="AA1057" s="77" t="s">
        <v>9390</v>
      </c>
      <c r="AB1057" s="77" t="s">
        <v>10535</v>
      </c>
      <c r="AC1057" s="80" t="s">
        <v>10541</v>
      </c>
      <c r="AD1057" s="77" t="s">
        <v>10620</v>
      </c>
      <c r="AE1057" s="83" t="str">
        <f>HYPERLINK("https://twitter.com/periodistaslib/status/1678433569088106502")</f>
        <v>https://twitter.com/periodistaslib/status/1678433569088106502</v>
      </c>
      <c r="AF1057" s="79">
        <v>45117.665752314817</v>
      </c>
      <c r="AG1057" s="85">
        <v>45117</v>
      </c>
      <c r="AH1057" s="80" t="s">
        <v>11570</v>
      </c>
      <c r="AI1057" s="77" t="b">
        <v>0</v>
      </c>
      <c r="AJ1057" s="77"/>
      <c r="AK1057" s="77"/>
      <c r="AL1057" s="77"/>
      <c r="AM1057" s="77"/>
      <c r="AN1057" s="77"/>
      <c r="AO1057" s="77"/>
      <c r="AP1057" s="77"/>
      <c r="AQ1057" s="77" t="s">
        <v>14872</v>
      </c>
      <c r="AR1057" s="77"/>
      <c r="AS1057" s="77"/>
      <c r="AT1057" s="77"/>
      <c r="AU1057" s="77"/>
      <c r="AV1057" s="83" t="str">
        <f>HYPERLINK("https://pbs.twimg.com/media/F0r-Y_9XsAAyfjl.jpg")</f>
        <v>https://pbs.twimg.com/media/F0r-Y_9XsAAyfjl.jpg</v>
      </c>
      <c r="AW1057" s="80" t="s">
        <v>16973</v>
      </c>
      <c r="AX1057" s="80" t="s">
        <v>16973</v>
      </c>
      <c r="AY1057" s="77"/>
      <c r="AZ1057" s="80" t="s">
        <v>20380</v>
      </c>
      <c r="BA1057" s="80" t="s">
        <v>20380</v>
      </c>
      <c r="BB1057" s="80" t="s">
        <v>20380</v>
      </c>
      <c r="BC1057" s="80" t="s">
        <v>16973</v>
      </c>
      <c r="BD1057" s="80" t="s">
        <v>20695</v>
      </c>
      <c r="BE1057" s="77"/>
      <c r="BF1057" s="77"/>
      <c r="BG1057" s="77"/>
      <c r="BH1057" s="77"/>
      <c r="BI1057" s="77"/>
    </row>
    <row r="1058" spans="1:61" x14ac:dyDescent="0.25">
      <c r="A1058" s="62" t="s">
        <v>635</v>
      </c>
      <c r="B1058" s="62" t="s">
        <v>1596</v>
      </c>
      <c r="C1058" s="63"/>
      <c r="D1058" s="64"/>
      <c r="E1058" s="65"/>
      <c r="F1058" s="66"/>
      <c r="G1058" s="63"/>
      <c r="H1058" s="67"/>
      <c r="I1058" s="68"/>
      <c r="J1058" s="68"/>
      <c r="K1058" s="32"/>
      <c r="L1058" s="75">
        <v>1058</v>
      </c>
      <c r="M1058" s="75"/>
      <c r="N1058" s="70"/>
      <c r="O1058" s="77" t="s">
        <v>2081</v>
      </c>
      <c r="P1058" s="79">
        <v>45145.809953703705</v>
      </c>
      <c r="Q1058" s="77" t="s">
        <v>3010</v>
      </c>
      <c r="R1058" s="77">
        <v>0</v>
      </c>
      <c r="S1058" s="77">
        <v>0</v>
      </c>
      <c r="T1058" s="77">
        <v>0</v>
      </c>
      <c r="U1058" s="77">
        <v>0</v>
      </c>
      <c r="V1058" s="77">
        <v>29</v>
      </c>
      <c r="W1058" s="80" t="s">
        <v>6008</v>
      </c>
      <c r="X1058" s="83" t="str">
        <f>HYPERLINK("https://www.bcb.gov.br/detalhenoticia/17946/nota")</f>
        <v>https://www.bcb.gov.br/detalhenoticia/17946/nota</v>
      </c>
      <c r="Y1058" s="77" t="s">
        <v>8633</v>
      </c>
      <c r="Z1058" s="77" t="s">
        <v>1596</v>
      </c>
      <c r="AA1058" s="77"/>
      <c r="AB1058" s="77"/>
      <c r="AC1058" s="80" t="s">
        <v>10540</v>
      </c>
      <c r="AD1058" s="77" t="s">
        <v>10622</v>
      </c>
      <c r="AE1058" s="83" t="str">
        <f>HYPERLINK("https://twitter.com/pedrotads/status/1688632688641503233")</f>
        <v>https://twitter.com/pedrotads/status/1688632688641503233</v>
      </c>
      <c r="AF1058" s="79">
        <v>45145.809953703705</v>
      </c>
      <c r="AG1058" s="85">
        <v>45145</v>
      </c>
      <c r="AH1058" s="80" t="s">
        <v>11571</v>
      </c>
      <c r="AI1058" s="77" t="b">
        <v>0</v>
      </c>
      <c r="AJ1058" s="77"/>
      <c r="AK1058" s="77"/>
      <c r="AL1058" s="77"/>
      <c r="AM1058" s="77"/>
      <c r="AN1058" s="77"/>
      <c r="AO1058" s="77"/>
      <c r="AP1058" s="77"/>
      <c r="AQ1058" s="77"/>
      <c r="AR1058" s="77"/>
      <c r="AS1058" s="77"/>
      <c r="AT1058" s="77"/>
      <c r="AU1058" s="77"/>
      <c r="AV1058" s="83" t="str">
        <f>HYPERLINK("https://pbs.twimg.com/profile_images/1436846249685159937/RqX11XIM_normal.jpg")</f>
        <v>https://pbs.twimg.com/profile_images/1436846249685159937/RqX11XIM_normal.jpg</v>
      </c>
      <c r="AW1058" s="80" t="s">
        <v>16974</v>
      </c>
      <c r="AX1058" s="80" t="s">
        <v>16974</v>
      </c>
      <c r="AY1058" s="77"/>
      <c r="AZ1058" s="80" t="s">
        <v>20380</v>
      </c>
      <c r="BA1058" s="80" t="s">
        <v>20380</v>
      </c>
      <c r="BB1058" s="80" t="s">
        <v>20380</v>
      </c>
      <c r="BC1058" s="80" t="s">
        <v>16974</v>
      </c>
      <c r="BD1058" s="77">
        <v>203665693</v>
      </c>
      <c r="BE1058" s="77"/>
      <c r="BF1058" s="77"/>
      <c r="BG1058" s="77"/>
      <c r="BH1058" s="77"/>
      <c r="BI1058" s="77"/>
    </row>
    <row r="1059" spans="1:61" x14ac:dyDescent="0.25">
      <c r="A1059" s="62" t="s">
        <v>636</v>
      </c>
      <c r="B1059" s="62" t="s">
        <v>636</v>
      </c>
      <c r="C1059" s="63"/>
      <c r="D1059" s="64"/>
      <c r="E1059" s="65"/>
      <c r="F1059" s="66"/>
      <c r="G1059" s="63"/>
      <c r="H1059" s="67"/>
      <c r="I1059" s="68"/>
      <c r="J1059" s="68"/>
      <c r="K1059" s="32"/>
      <c r="L1059" s="75">
        <v>1059</v>
      </c>
      <c r="M1059" s="75"/>
      <c r="N1059" s="70"/>
      <c r="O1059" s="77" t="s">
        <v>179</v>
      </c>
      <c r="P1059" s="79">
        <v>45153.695081018515</v>
      </c>
      <c r="Q1059" s="77" t="s">
        <v>3011</v>
      </c>
      <c r="R1059" s="77">
        <v>0</v>
      </c>
      <c r="S1059" s="77">
        <v>1</v>
      </c>
      <c r="T1059" s="77">
        <v>0</v>
      </c>
      <c r="U1059" s="77">
        <v>0</v>
      </c>
      <c r="V1059" s="77">
        <v>14</v>
      </c>
      <c r="W1059" s="80" t="s">
        <v>6656</v>
      </c>
      <c r="X1059" s="77"/>
      <c r="Y1059" s="77"/>
      <c r="Z1059" s="77"/>
      <c r="AA1059" s="77" t="s">
        <v>9391</v>
      </c>
      <c r="AB1059" s="77" t="s">
        <v>10535</v>
      </c>
      <c r="AC1059" s="80" t="s">
        <v>10541</v>
      </c>
      <c r="AD1059" s="77" t="s">
        <v>10620</v>
      </c>
      <c r="AE1059" s="83" t="str">
        <f>HYPERLINK("https://twitter.com/infopaisrd/status/1691490161106812928")</f>
        <v>https://twitter.com/infopaisrd/status/1691490161106812928</v>
      </c>
      <c r="AF1059" s="79">
        <v>45153.695081018515</v>
      </c>
      <c r="AG1059" s="85">
        <v>45153</v>
      </c>
      <c r="AH1059" s="80" t="s">
        <v>11572</v>
      </c>
      <c r="AI1059" s="77" t="b">
        <v>0</v>
      </c>
      <c r="AJ1059" s="77"/>
      <c r="AK1059" s="77"/>
      <c r="AL1059" s="77"/>
      <c r="AM1059" s="77"/>
      <c r="AN1059" s="77"/>
      <c r="AO1059" s="77"/>
      <c r="AP1059" s="77"/>
      <c r="AQ1059" s="77" t="s">
        <v>14873</v>
      </c>
      <c r="AR1059" s="77"/>
      <c r="AS1059" s="77"/>
      <c r="AT1059" s="77"/>
      <c r="AU1059" s="77"/>
      <c r="AV1059" s="83" t="str">
        <f>HYPERLINK("https://pbs.twimg.com/media/F3lhUrVXsA87hEH.jpg")</f>
        <v>https://pbs.twimg.com/media/F3lhUrVXsA87hEH.jpg</v>
      </c>
      <c r="AW1059" s="80" t="s">
        <v>16975</v>
      </c>
      <c r="AX1059" s="80" t="s">
        <v>16975</v>
      </c>
      <c r="AY1059" s="77"/>
      <c r="AZ1059" s="80" t="s">
        <v>20380</v>
      </c>
      <c r="BA1059" s="80" t="s">
        <v>20380</v>
      </c>
      <c r="BB1059" s="80" t="s">
        <v>20380</v>
      </c>
      <c r="BC1059" s="80" t="s">
        <v>16975</v>
      </c>
      <c r="BD1059" s="80" t="s">
        <v>20696</v>
      </c>
      <c r="BE1059" s="77"/>
      <c r="BF1059" s="77"/>
      <c r="BG1059" s="77"/>
      <c r="BH1059" s="77"/>
      <c r="BI1059" s="77"/>
    </row>
    <row r="1060" spans="1:61" x14ac:dyDescent="0.25">
      <c r="A1060" s="62" t="s">
        <v>637</v>
      </c>
      <c r="B1060" s="62" t="s">
        <v>637</v>
      </c>
      <c r="C1060" s="63"/>
      <c r="D1060" s="64"/>
      <c r="E1060" s="65"/>
      <c r="F1060" s="66"/>
      <c r="G1060" s="63"/>
      <c r="H1060" s="67"/>
      <c r="I1060" s="68"/>
      <c r="J1060" s="68"/>
      <c r="K1060" s="32"/>
      <c r="L1060" s="75">
        <v>1060</v>
      </c>
      <c r="M1060" s="75"/>
      <c r="N1060" s="70"/>
      <c r="O1060" s="77" t="s">
        <v>179</v>
      </c>
      <c r="P1060" s="79">
        <v>45103.711805555555</v>
      </c>
      <c r="Q1060" s="77" t="s">
        <v>3012</v>
      </c>
      <c r="R1060" s="77">
        <v>0</v>
      </c>
      <c r="S1060" s="77">
        <v>0</v>
      </c>
      <c r="T1060" s="77">
        <v>0</v>
      </c>
      <c r="U1060" s="77">
        <v>0</v>
      </c>
      <c r="V1060" s="77">
        <v>12</v>
      </c>
      <c r="W1060" s="80" t="s">
        <v>6657</v>
      </c>
      <c r="X1060" s="77"/>
      <c r="Y1060" s="77"/>
      <c r="Z1060" s="77"/>
      <c r="AA1060" s="77"/>
      <c r="AB1060" s="77"/>
      <c r="AC1060" s="80" t="s">
        <v>10551</v>
      </c>
      <c r="AD1060" s="77" t="s">
        <v>10620</v>
      </c>
      <c r="AE1060" s="83" t="str">
        <f>HYPERLINK("https://twitter.com/juandicentjr/status/1673376828025901057")</f>
        <v>https://twitter.com/juandicentjr/status/1673376828025901057</v>
      </c>
      <c r="AF1060" s="79">
        <v>45103.711805555555</v>
      </c>
      <c r="AG1060" s="85">
        <v>45103</v>
      </c>
      <c r="AH1060" s="80" t="s">
        <v>11573</v>
      </c>
      <c r="AI1060" s="77"/>
      <c r="AJ1060" s="77"/>
      <c r="AK1060" s="77"/>
      <c r="AL1060" s="77"/>
      <c r="AM1060" s="77"/>
      <c r="AN1060" s="77"/>
      <c r="AO1060" s="77"/>
      <c r="AP1060" s="77"/>
      <c r="AQ1060" s="77"/>
      <c r="AR1060" s="77"/>
      <c r="AS1060" s="77"/>
      <c r="AT1060" s="77"/>
      <c r="AU1060" s="77"/>
      <c r="AV1060" s="83" t="str">
        <f>HYPERLINK("https://pbs.twimg.com/profile_images/1678408124284248069/rpDKwdbU_normal.jpg")</f>
        <v>https://pbs.twimg.com/profile_images/1678408124284248069/rpDKwdbU_normal.jpg</v>
      </c>
      <c r="AW1060" s="80" t="s">
        <v>16976</v>
      </c>
      <c r="AX1060" s="80" t="s">
        <v>16976</v>
      </c>
      <c r="AY1060" s="77"/>
      <c r="AZ1060" s="80" t="s">
        <v>20380</v>
      </c>
      <c r="BA1060" s="80" t="s">
        <v>20380</v>
      </c>
      <c r="BB1060" s="80" t="s">
        <v>20380</v>
      </c>
      <c r="BC1060" s="80" t="s">
        <v>16976</v>
      </c>
      <c r="BD1060" s="80" t="s">
        <v>20697</v>
      </c>
      <c r="BE1060" s="77"/>
      <c r="BF1060" s="77"/>
      <c r="BG1060" s="77"/>
      <c r="BH1060" s="77"/>
      <c r="BI1060" s="77"/>
    </row>
    <row r="1061" spans="1:61" x14ac:dyDescent="0.25">
      <c r="A1061" s="62" t="s">
        <v>638</v>
      </c>
      <c r="B1061" s="62" t="s">
        <v>1596</v>
      </c>
      <c r="C1061" s="63"/>
      <c r="D1061" s="64"/>
      <c r="E1061" s="65"/>
      <c r="F1061" s="66"/>
      <c r="G1061" s="63"/>
      <c r="H1061" s="67"/>
      <c r="I1061" s="68"/>
      <c r="J1061" s="68"/>
      <c r="K1061" s="32"/>
      <c r="L1061" s="75">
        <v>1061</v>
      </c>
      <c r="M1061" s="75"/>
      <c r="N1061" s="70"/>
      <c r="O1061" s="77" t="s">
        <v>2084</v>
      </c>
      <c r="P1061" s="79">
        <v>45053.732800925929</v>
      </c>
      <c r="Q1061" s="77" t="s">
        <v>3013</v>
      </c>
      <c r="R1061" s="77">
        <v>0</v>
      </c>
      <c r="S1061" s="77">
        <v>0</v>
      </c>
      <c r="T1061" s="77">
        <v>0</v>
      </c>
      <c r="U1061" s="77">
        <v>0</v>
      </c>
      <c r="V1061" s="77">
        <v>204</v>
      </c>
      <c r="W1061" s="80" t="s">
        <v>6658</v>
      </c>
      <c r="X1061" s="77"/>
      <c r="Y1061" s="77"/>
      <c r="Z1061" s="77" t="s">
        <v>1596</v>
      </c>
      <c r="AA1061" s="77"/>
      <c r="AB1061" s="77"/>
      <c r="AC1061" s="80" t="s">
        <v>10540</v>
      </c>
      <c r="AD1061" s="77" t="s">
        <v>10617</v>
      </c>
      <c r="AE1061" s="83" t="str">
        <f>HYPERLINK("https://twitter.com/oicommie/status/1655265044865638402")</f>
        <v>https://twitter.com/oicommie/status/1655265044865638402</v>
      </c>
      <c r="AF1061" s="79">
        <v>45053.732800925929</v>
      </c>
      <c r="AG1061" s="85">
        <v>45053</v>
      </c>
      <c r="AH1061" s="80" t="s">
        <v>11574</v>
      </c>
      <c r="AI1061" s="77"/>
      <c r="AJ1061" s="77"/>
      <c r="AK1061" s="77"/>
      <c r="AL1061" s="77"/>
      <c r="AM1061" s="77"/>
      <c r="AN1061" s="77"/>
      <c r="AO1061" s="77"/>
      <c r="AP1061" s="77"/>
      <c r="AQ1061" s="77"/>
      <c r="AR1061" s="77"/>
      <c r="AS1061" s="77"/>
      <c r="AT1061" s="77"/>
      <c r="AU1061" s="77"/>
      <c r="AV1061" s="83" t="str">
        <f>HYPERLINK("https://pbs.twimg.com/profile_images/1701956030047956992/0f14gURa_normal.jpg")</f>
        <v>https://pbs.twimg.com/profile_images/1701956030047956992/0f14gURa_normal.jpg</v>
      </c>
      <c r="AW1061" s="80" t="s">
        <v>16977</v>
      </c>
      <c r="AX1061" s="80" t="s">
        <v>16977</v>
      </c>
      <c r="AY1061" s="77"/>
      <c r="AZ1061" s="80" t="s">
        <v>20380</v>
      </c>
      <c r="BA1061" s="80" t="s">
        <v>18085</v>
      </c>
      <c r="BB1061" s="80" t="s">
        <v>20380</v>
      </c>
      <c r="BC1061" s="80" t="s">
        <v>18085</v>
      </c>
      <c r="BD1061" s="80" t="s">
        <v>20698</v>
      </c>
      <c r="BE1061" s="77"/>
      <c r="BF1061" s="77"/>
      <c r="BG1061" s="77"/>
      <c r="BH1061" s="77"/>
      <c r="BI1061" s="77"/>
    </row>
    <row r="1062" spans="1:61" x14ac:dyDescent="0.25">
      <c r="A1062" s="62" t="s">
        <v>638</v>
      </c>
      <c r="B1062" s="62" t="s">
        <v>917</v>
      </c>
      <c r="C1062" s="63"/>
      <c r="D1062" s="64"/>
      <c r="E1062" s="65"/>
      <c r="F1062" s="66"/>
      <c r="G1062" s="63"/>
      <c r="H1062" s="67"/>
      <c r="I1062" s="68"/>
      <c r="J1062" s="68"/>
      <c r="K1062" s="32"/>
      <c r="L1062" s="75">
        <v>1062</v>
      </c>
      <c r="M1062" s="75"/>
      <c r="N1062" s="70"/>
      <c r="O1062" s="77" t="s">
        <v>2082</v>
      </c>
      <c r="P1062" s="79">
        <v>45053.732800925929</v>
      </c>
      <c r="Q1062" s="77" t="s">
        <v>3013</v>
      </c>
      <c r="R1062" s="77">
        <v>0</v>
      </c>
      <c r="S1062" s="77">
        <v>0</v>
      </c>
      <c r="T1062" s="77">
        <v>0</v>
      </c>
      <c r="U1062" s="77">
        <v>0</v>
      </c>
      <c r="V1062" s="77">
        <v>204</v>
      </c>
      <c r="W1062" s="80" t="s">
        <v>6658</v>
      </c>
      <c r="X1062" s="77"/>
      <c r="Y1062" s="77"/>
      <c r="Z1062" s="77" t="s">
        <v>1596</v>
      </c>
      <c r="AA1062" s="77"/>
      <c r="AB1062" s="77"/>
      <c r="AC1062" s="80" t="s">
        <v>10540</v>
      </c>
      <c r="AD1062" s="77" t="s">
        <v>10617</v>
      </c>
      <c r="AE1062" s="83" t="str">
        <f>HYPERLINK("https://twitter.com/oicommie/status/1655265044865638402")</f>
        <v>https://twitter.com/oicommie/status/1655265044865638402</v>
      </c>
      <c r="AF1062" s="79">
        <v>45053.732800925929</v>
      </c>
      <c r="AG1062" s="85">
        <v>45053</v>
      </c>
      <c r="AH1062" s="80" t="s">
        <v>11574</v>
      </c>
      <c r="AI1062" s="77"/>
      <c r="AJ1062" s="77"/>
      <c r="AK1062" s="77"/>
      <c r="AL1062" s="77"/>
      <c r="AM1062" s="77"/>
      <c r="AN1062" s="77"/>
      <c r="AO1062" s="77"/>
      <c r="AP1062" s="77"/>
      <c r="AQ1062" s="77"/>
      <c r="AR1062" s="77"/>
      <c r="AS1062" s="77"/>
      <c r="AT1062" s="77"/>
      <c r="AU1062" s="77"/>
      <c r="AV1062" s="83" t="str">
        <f>HYPERLINK("https://pbs.twimg.com/profile_images/1701956030047956992/0f14gURa_normal.jpg")</f>
        <v>https://pbs.twimg.com/profile_images/1701956030047956992/0f14gURa_normal.jpg</v>
      </c>
      <c r="AW1062" s="80" t="s">
        <v>16977</v>
      </c>
      <c r="AX1062" s="80" t="s">
        <v>16977</v>
      </c>
      <c r="AY1062" s="77"/>
      <c r="AZ1062" s="80" t="s">
        <v>20380</v>
      </c>
      <c r="BA1062" s="80" t="s">
        <v>18085</v>
      </c>
      <c r="BB1062" s="80" t="s">
        <v>20380</v>
      </c>
      <c r="BC1062" s="80" t="s">
        <v>18085</v>
      </c>
      <c r="BD1062" s="80" t="s">
        <v>20698</v>
      </c>
      <c r="BE1062" s="77"/>
      <c r="BF1062" s="77"/>
      <c r="BG1062" s="77"/>
      <c r="BH1062" s="77"/>
      <c r="BI1062" s="77"/>
    </row>
    <row r="1063" spans="1:61" x14ac:dyDescent="0.25">
      <c r="A1063" s="62" t="s">
        <v>638</v>
      </c>
      <c r="B1063" s="62" t="s">
        <v>1596</v>
      </c>
      <c r="C1063" s="63"/>
      <c r="D1063" s="64"/>
      <c r="E1063" s="65"/>
      <c r="F1063" s="66"/>
      <c r="G1063" s="63"/>
      <c r="H1063" s="67"/>
      <c r="I1063" s="68"/>
      <c r="J1063" s="68"/>
      <c r="K1063" s="32"/>
      <c r="L1063" s="75">
        <v>1063</v>
      </c>
      <c r="M1063" s="75"/>
      <c r="N1063" s="70"/>
      <c r="O1063" s="77" t="s">
        <v>2081</v>
      </c>
      <c r="P1063" s="79">
        <v>45053.141481481478</v>
      </c>
      <c r="Q1063" s="77" t="s">
        <v>3014</v>
      </c>
      <c r="R1063" s="77">
        <v>0</v>
      </c>
      <c r="S1063" s="77">
        <v>0</v>
      </c>
      <c r="T1063" s="77">
        <v>0</v>
      </c>
      <c r="U1063" s="77">
        <v>1</v>
      </c>
      <c r="V1063" s="77">
        <v>680</v>
      </c>
      <c r="W1063" s="80" t="s">
        <v>6659</v>
      </c>
      <c r="X1063" s="77"/>
      <c r="Y1063" s="77"/>
      <c r="Z1063" s="77" t="s">
        <v>8948</v>
      </c>
      <c r="AA1063" s="77" t="s">
        <v>9392</v>
      </c>
      <c r="AB1063" s="77" t="s">
        <v>10534</v>
      </c>
      <c r="AC1063" s="80" t="s">
        <v>10541</v>
      </c>
      <c r="AD1063" s="77" t="s">
        <v>10617</v>
      </c>
      <c r="AE1063" s="83" t="str">
        <f>HYPERLINK("https://twitter.com/oicommie/status/1655050755613630464")</f>
        <v>https://twitter.com/oicommie/status/1655050755613630464</v>
      </c>
      <c r="AF1063" s="79">
        <v>45053.141481481478</v>
      </c>
      <c r="AG1063" s="85">
        <v>45053</v>
      </c>
      <c r="AH1063" s="80" t="s">
        <v>11575</v>
      </c>
      <c r="AI1063" s="77" t="b">
        <v>0</v>
      </c>
      <c r="AJ1063" s="77"/>
      <c r="AK1063" s="77"/>
      <c r="AL1063" s="77"/>
      <c r="AM1063" s="77"/>
      <c r="AN1063" s="77"/>
      <c r="AO1063" s="77"/>
      <c r="AP1063" s="77"/>
      <c r="AQ1063" s="77" t="s">
        <v>14874</v>
      </c>
      <c r="AR1063" s="77">
        <v>114100</v>
      </c>
      <c r="AS1063" s="77"/>
      <c r="AT1063" s="77"/>
      <c r="AU1063" s="77"/>
      <c r="AV1063" s="83" t="str">
        <f>HYPERLINK("https://pbs.twimg.com/ext_tw_video_thumb/1655050294810607618/pu/img/tYg0-LGVFM9Z0G2q.jpg")</f>
        <v>https://pbs.twimg.com/ext_tw_video_thumb/1655050294810607618/pu/img/tYg0-LGVFM9Z0G2q.jpg</v>
      </c>
      <c r="AW1063" s="80" t="s">
        <v>16978</v>
      </c>
      <c r="AX1063" s="80" t="s">
        <v>16978</v>
      </c>
      <c r="AY1063" s="77"/>
      <c r="AZ1063" s="80" t="s">
        <v>20380</v>
      </c>
      <c r="BA1063" s="80" t="s">
        <v>20380</v>
      </c>
      <c r="BB1063" s="80" t="s">
        <v>20380</v>
      </c>
      <c r="BC1063" s="80" t="s">
        <v>16978</v>
      </c>
      <c r="BD1063" s="80" t="s">
        <v>20698</v>
      </c>
      <c r="BE1063" s="77"/>
      <c r="BF1063" s="77"/>
      <c r="BG1063" s="77"/>
      <c r="BH1063" s="77"/>
      <c r="BI1063" s="77"/>
    </row>
    <row r="1064" spans="1:61" x14ac:dyDescent="0.25">
      <c r="A1064" s="62" t="s">
        <v>638</v>
      </c>
      <c r="B1064" s="62" t="s">
        <v>1624</v>
      </c>
      <c r="C1064" s="63"/>
      <c r="D1064" s="64"/>
      <c r="E1064" s="65"/>
      <c r="F1064" s="66"/>
      <c r="G1064" s="63"/>
      <c r="H1064" s="67"/>
      <c r="I1064" s="68"/>
      <c r="J1064" s="68"/>
      <c r="K1064" s="32"/>
      <c r="L1064" s="75">
        <v>1064</v>
      </c>
      <c r="M1064" s="75"/>
      <c r="N1064" s="70"/>
      <c r="O1064" s="77" t="s">
        <v>2081</v>
      </c>
      <c r="P1064" s="79">
        <v>45053.141481481478</v>
      </c>
      <c r="Q1064" s="77" t="s">
        <v>3014</v>
      </c>
      <c r="R1064" s="77">
        <v>0</v>
      </c>
      <c r="S1064" s="77">
        <v>0</v>
      </c>
      <c r="T1064" s="77">
        <v>0</v>
      </c>
      <c r="U1064" s="77">
        <v>1</v>
      </c>
      <c r="V1064" s="77">
        <v>680</v>
      </c>
      <c r="W1064" s="80" t="s">
        <v>6659</v>
      </c>
      <c r="X1064" s="77"/>
      <c r="Y1064" s="77"/>
      <c r="Z1064" s="77" t="s">
        <v>8948</v>
      </c>
      <c r="AA1064" s="77" t="s">
        <v>9392</v>
      </c>
      <c r="AB1064" s="77" t="s">
        <v>10534</v>
      </c>
      <c r="AC1064" s="80" t="s">
        <v>10541</v>
      </c>
      <c r="AD1064" s="77" t="s">
        <v>10617</v>
      </c>
      <c r="AE1064" s="83" t="str">
        <f>HYPERLINK("https://twitter.com/oicommie/status/1655050755613630464")</f>
        <v>https://twitter.com/oicommie/status/1655050755613630464</v>
      </c>
      <c r="AF1064" s="79">
        <v>45053.141481481478</v>
      </c>
      <c r="AG1064" s="85">
        <v>45053</v>
      </c>
      <c r="AH1064" s="80" t="s">
        <v>11575</v>
      </c>
      <c r="AI1064" s="77" t="b">
        <v>0</v>
      </c>
      <c r="AJ1064" s="77"/>
      <c r="AK1064" s="77"/>
      <c r="AL1064" s="77"/>
      <c r="AM1064" s="77"/>
      <c r="AN1064" s="77"/>
      <c r="AO1064" s="77"/>
      <c r="AP1064" s="77"/>
      <c r="AQ1064" s="77" t="s">
        <v>14874</v>
      </c>
      <c r="AR1064" s="77">
        <v>114100</v>
      </c>
      <c r="AS1064" s="77"/>
      <c r="AT1064" s="77"/>
      <c r="AU1064" s="77"/>
      <c r="AV1064" s="83" t="str">
        <f>HYPERLINK("https://pbs.twimg.com/ext_tw_video_thumb/1655050294810607618/pu/img/tYg0-LGVFM9Z0G2q.jpg")</f>
        <v>https://pbs.twimg.com/ext_tw_video_thumb/1655050294810607618/pu/img/tYg0-LGVFM9Z0G2q.jpg</v>
      </c>
      <c r="AW1064" s="80" t="s">
        <v>16978</v>
      </c>
      <c r="AX1064" s="80" t="s">
        <v>16978</v>
      </c>
      <c r="AY1064" s="77"/>
      <c r="AZ1064" s="80" t="s">
        <v>20380</v>
      </c>
      <c r="BA1064" s="80" t="s">
        <v>20380</v>
      </c>
      <c r="BB1064" s="80" t="s">
        <v>20380</v>
      </c>
      <c r="BC1064" s="80" t="s">
        <v>16978</v>
      </c>
      <c r="BD1064" s="80" t="s">
        <v>20698</v>
      </c>
      <c r="BE1064" s="77"/>
      <c r="BF1064" s="77"/>
      <c r="BG1064" s="77"/>
      <c r="BH1064" s="77"/>
      <c r="BI1064" s="77"/>
    </row>
    <row r="1065" spans="1:61" x14ac:dyDescent="0.25">
      <c r="A1065" s="62" t="s">
        <v>638</v>
      </c>
      <c r="B1065" s="62" t="s">
        <v>1596</v>
      </c>
      <c r="C1065" s="63"/>
      <c r="D1065" s="64"/>
      <c r="E1065" s="65"/>
      <c r="F1065" s="66"/>
      <c r="G1065" s="63"/>
      <c r="H1065" s="67"/>
      <c r="I1065" s="68"/>
      <c r="J1065" s="68"/>
      <c r="K1065" s="32"/>
      <c r="L1065" s="75">
        <v>1065</v>
      </c>
      <c r="M1065" s="75"/>
      <c r="N1065" s="70"/>
      <c r="O1065" s="77" t="s">
        <v>2080</v>
      </c>
      <c r="P1065" s="79">
        <v>45053.721851851849</v>
      </c>
      <c r="Q1065" s="77" t="s">
        <v>3015</v>
      </c>
      <c r="R1065" s="77">
        <v>0</v>
      </c>
      <c r="S1065" s="77">
        <v>0</v>
      </c>
      <c r="T1065" s="77">
        <v>1</v>
      </c>
      <c r="U1065" s="77">
        <v>0</v>
      </c>
      <c r="V1065" s="77">
        <v>105</v>
      </c>
      <c r="W1065" s="80" t="s">
        <v>6660</v>
      </c>
      <c r="X1065" s="83" t="str">
        <f>HYPERLINK("https://twitter.com/OiCommie/status/1655050755613630464?t=nqA9xQRVArepkMk6AQkIig")</f>
        <v>https://twitter.com/OiCommie/status/1655050755613630464?t=nqA9xQRVArepkMk6AQkIig</v>
      </c>
      <c r="Y1065" s="77" t="s">
        <v>8610</v>
      </c>
      <c r="Z1065" s="77" t="s">
        <v>8949</v>
      </c>
      <c r="AA1065" s="77"/>
      <c r="AB1065" s="77"/>
      <c r="AC1065" s="80" t="s">
        <v>10540</v>
      </c>
      <c r="AD1065" s="77" t="s">
        <v>10617</v>
      </c>
      <c r="AE1065" s="83" t="str">
        <f>HYPERLINK("https://twitter.com/oicommie/status/1655261074315255810")</f>
        <v>https://twitter.com/oicommie/status/1655261074315255810</v>
      </c>
      <c r="AF1065" s="79">
        <v>45053.721851851849</v>
      </c>
      <c r="AG1065" s="85">
        <v>45053</v>
      </c>
      <c r="AH1065" s="80" t="s">
        <v>11576</v>
      </c>
      <c r="AI1065" s="77" t="b">
        <v>0</v>
      </c>
      <c r="AJ1065" s="77"/>
      <c r="AK1065" s="77"/>
      <c r="AL1065" s="77"/>
      <c r="AM1065" s="77"/>
      <c r="AN1065" s="77"/>
      <c r="AO1065" s="77"/>
      <c r="AP1065" s="77"/>
      <c r="AQ1065" s="77"/>
      <c r="AR1065" s="77"/>
      <c r="AS1065" s="77"/>
      <c r="AT1065" s="77"/>
      <c r="AU1065" s="77"/>
      <c r="AV1065" s="83" t="str">
        <f>HYPERLINK("https://pbs.twimg.com/profile_images/1701956030047956992/0f14gURa_normal.jpg")</f>
        <v>https://pbs.twimg.com/profile_images/1701956030047956992/0f14gURa_normal.jpg</v>
      </c>
      <c r="AW1065" s="80" t="s">
        <v>16979</v>
      </c>
      <c r="AX1065" s="80" t="s">
        <v>18085</v>
      </c>
      <c r="AY1065" s="80" t="s">
        <v>20258</v>
      </c>
      <c r="AZ1065" s="80" t="s">
        <v>18085</v>
      </c>
      <c r="BA1065" s="80" t="s">
        <v>16978</v>
      </c>
      <c r="BB1065" s="80" t="s">
        <v>20380</v>
      </c>
      <c r="BC1065" s="80" t="s">
        <v>18085</v>
      </c>
      <c r="BD1065" s="80" t="s">
        <v>20698</v>
      </c>
      <c r="BE1065" s="77"/>
      <c r="BF1065" s="77"/>
      <c r="BG1065" s="77"/>
      <c r="BH1065" s="77"/>
      <c r="BI1065" s="77"/>
    </row>
    <row r="1066" spans="1:61" x14ac:dyDescent="0.25">
      <c r="A1066" s="62" t="s">
        <v>638</v>
      </c>
      <c r="B1066" s="62" t="s">
        <v>917</v>
      </c>
      <c r="C1066" s="63"/>
      <c r="D1066" s="64"/>
      <c r="E1066" s="65"/>
      <c r="F1066" s="66"/>
      <c r="G1066" s="63"/>
      <c r="H1066" s="67"/>
      <c r="I1066" s="68"/>
      <c r="J1066" s="68"/>
      <c r="K1066" s="32"/>
      <c r="L1066" s="75">
        <v>1066</v>
      </c>
      <c r="M1066" s="75"/>
      <c r="N1066" s="70"/>
      <c r="O1066" s="77" t="s">
        <v>2080</v>
      </c>
      <c r="P1066" s="79">
        <v>45053.721851851849</v>
      </c>
      <c r="Q1066" s="77" t="s">
        <v>3015</v>
      </c>
      <c r="R1066" s="77">
        <v>0</v>
      </c>
      <c r="S1066" s="77">
        <v>0</v>
      </c>
      <c r="T1066" s="77">
        <v>1</v>
      </c>
      <c r="U1066" s="77">
        <v>0</v>
      </c>
      <c r="V1066" s="77">
        <v>105</v>
      </c>
      <c r="W1066" s="80" t="s">
        <v>6660</v>
      </c>
      <c r="X1066" s="83" t="str">
        <f>HYPERLINK("https://twitter.com/OiCommie/status/1655050755613630464?t=nqA9xQRVArepkMk6AQkIig")</f>
        <v>https://twitter.com/OiCommie/status/1655050755613630464?t=nqA9xQRVArepkMk6AQkIig</v>
      </c>
      <c r="Y1066" s="77" t="s">
        <v>8610</v>
      </c>
      <c r="Z1066" s="77" t="s">
        <v>8949</v>
      </c>
      <c r="AA1066" s="77"/>
      <c r="AB1066" s="77"/>
      <c r="AC1066" s="80" t="s">
        <v>10540</v>
      </c>
      <c r="AD1066" s="77" t="s">
        <v>10617</v>
      </c>
      <c r="AE1066" s="83" t="str">
        <f>HYPERLINK("https://twitter.com/oicommie/status/1655261074315255810")</f>
        <v>https://twitter.com/oicommie/status/1655261074315255810</v>
      </c>
      <c r="AF1066" s="79">
        <v>45053.721851851849</v>
      </c>
      <c r="AG1066" s="85">
        <v>45053</v>
      </c>
      <c r="AH1066" s="80" t="s">
        <v>11576</v>
      </c>
      <c r="AI1066" s="77" t="b">
        <v>0</v>
      </c>
      <c r="AJ1066" s="77"/>
      <c r="AK1066" s="77"/>
      <c r="AL1066" s="77"/>
      <c r="AM1066" s="77"/>
      <c r="AN1066" s="77"/>
      <c r="AO1066" s="77"/>
      <c r="AP1066" s="77"/>
      <c r="AQ1066" s="77"/>
      <c r="AR1066" s="77"/>
      <c r="AS1066" s="77"/>
      <c r="AT1066" s="77"/>
      <c r="AU1066" s="77"/>
      <c r="AV1066" s="83" t="str">
        <f>HYPERLINK("https://pbs.twimg.com/profile_images/1701956030047956992/0f14gURa_normal.jpg")</f>
        <v>https://pbs.twimg.com/profile_images/1701956030047956992/0f14gURa_normal.jpg</v>
      </c>
      <c r="AW1066" s="80" t="s">
        <v>16979</v>
      </c>
      <c r="AX1066" s="80" t="s">
        <v>18085</v>
      </c>
      <c r="AY1066" s="80" t="s">
        <v>20258</v>
      </c>
      <c r="AZ1066" s="80" t="s">
        <v>18085</v>
      </c>
      <c r="BA1066" s="80" t="s">
        <v>16978</v>
      </c>
      <c r="BB1066" s="80" t="s">
        <v>20380</v>
      </c>
      <c r="BC1066" s="80" t="s">
        <v>18085</v>
      </c>
      <c r="BD1066" s="80" t="s">
        <v>20698</v>
      </c>
      <c r="BE1066" s="77"/>
      <c r="BF1066" s="77"/>
      <c r="BG1066" s="77"/>
      <c r="BH1066" s="77"/>
      <c r="BI1066" s="77"/>
    </row>
    <row r="1067" spans="1:61" x14ac:dyDescent="0.25">
      <c r="A1067" s="62" t="s">
        <v>638</v>
      </c>
      <c r="B1067" s="62" t="s">
        <v>638</v>
      </c>
      <c r="C1067" s="63"/>
      <c r="D1067" s="64"/>
      <c r="E1067" s="65"/>
      <c r="F1067" s="66"/>
      <c r="G1067" s="63"/>
      <c r="H1067" s="67"/>
      <c r="I1067" s="68"/>
      <c r="J1067" s="68"/>
      <c r="K1067" s="32"/>
      <c r="L1067" s="75">
        <v>1067</v>
      </c>
      <c r="M1067" s="75"/>
      <c r="N1067" s="70"/>
      <c r="O1067" s="77" t="s">
        <v>2082</v>
      </c>
      <c r="P1067" s="79">
        <v>45053.721851851849</v>
      </c>
      <c r="Q1067" s="77" t="s">
        <v>3015</v>
      </c>
      <c r="R1067" s="77">
        <v>0</v>
      </c>
      <c r="S1067" s="77">
        <v>0</v>
      </c>
      <c r="T1067" s="77">
        <v>1</v>
      </c>
      <c r="U1067" s="77">
        <v>0</v>
      </c>
      <c r="V1067" s="77">
        <v>105</v>
      </c>
      <c r="W1067" s="80" t="s">
        <v>6660</v>
      </c>
      <c r="X1067" s="83" t="str">
        <f>HYPERLINK("https://twitter.com/OiCommie/status/1655050755613630464?t=nqA9xQRVArepkMk6AQkIig")</f>
        <v>https://twitter.com/OiCommie/status/1655050755613630464?t=nqA9xQRVArepkMk6AQkIig</v>
      </c>
      <c r="Y1067" s="77" t="s">
        <v>8610</v>
      </c>
      <c r="Z1067" s="77" t="s">
        <v>8949</v>
      </c>
      <c r="AA1067" s="77"/>
      <c r="AB1067" s="77"/>
      <c r="AC1067" s="80" t="s">
        <v>10540</v>
      </c>
      <c r="AD1067" s="77" t="s">
        <v>10617</v>
      </c>
      <c r="AE1067" s="83" t="str">
        <f>HYPERLINK("https://twitter.com/oicommie/status/1655261074315255810")</f>
        <v>https://twitter.com/oicommie/status/1655261074315255810</v>
      </c>
      <c r="AF1067" s="79">
        <v>45053.721851851849</v>
      </c>
      <c r="AG1067" s="85">
        <v>45053</v>
      </c>
      <c r="AH1067" s="80" t="s">
        <v>11576</v>
      </c>
      <c r="AI1067" s="77" t="b">
        <v>0</v>
      </c>
      <c r="AJ1067" s="77"/>
      <c r="AK1067" s="77"/>
      <c r="AL1067" s="77"/>
      <c r="AM1067" s="77"/>
      <c r="AN1067" s="77"/>
      <c r="AO1067" s="77"/>
      <c r="AP1067" s="77"/>
      <c r="AQ1067" s="77"/>
      <c r="AR1067" s="77"/>
      <c r="AS1067" s="77"/>
      <c r="AT1067" s="77"/>
      <c r="AU1067" s="77"/>
      <c r="AV1067" s="83" t="str">
        <f>HYPERLINK("https://pbs.twimg.com/profile_images/1701956030047956992/0f14gURa_normal.jpg")</f>
        <v>https://pbs.twimg.com/profile_images/1701956030047956992/0f14gURa_normal.jpg</v>
      </c>
      <c r="AW1067" s="80" t="s">
        <v>16979</v>
      </c>
      <c r="AX1067" s="80" t="s">
        <v>18085</v>
      </c>
      <c r="AY1067" s="80" t="s">
        <v>20258</v>
      </c>
      <c r="AZ1067" s="80" t="s">
        <v>18085</v>
      </c>
      <c r="BA1067" s="80" t="s">
        <v>16978</v>
      </c>
      <c r="BB1067" s="80" t="s">
        <v>20380</v>
      </c>
      <c r="BC1067" s="80" t="s">
        <v>18085</v>
      </c>
      <c r="BD1067" s="80" t="s">
        <v>20698</v>
      </c>
      <c r="BE1067" s="77"/>
      <c r="BF1067" s="77"/>
      <c r="BG1067" s="77"/>
      <c r="BH1067" s="77"/>
      <c r="BI1067" s="77"/>
    </row>
    <row r="1068" spans="1:61" x14ac:dyDescent="0.25">
      <c r="A1068" s="62" t="s">
        <v>638</v>
      </c>
      <c r="B1068" s="62" t="s">
        <v>917</v>
      </c>
      <c r="C1068" s="63"/>
      <c r="D1068" s="64"/>
      <c r="E1068" s="65"/>
      <c r="F1068" s="66"/>
      <c r="G1068" s="63"/>
      <c r="H1068" s="67"/>
      <c r="I1068" s="68"/>
      <c r="J1068" s="68"/>
      <c r="K1068" s="32"/>
      <c r="L1068" s="75">
        <v>1068</v>
      </c>
      <c r="M1068" s="75"/>
      <c r="N1068" s="70"/>
      <c r="O1068" s="77" t="s">
        <v>2078</v>
      </c>
      <c r="P1068" s="79">
        <v>45053.721851851849</v>
      </c>
      <c r="Q1068" s="77" t="s">
        <v>3015</v>
      </c>
      <c r="R1068" s="77">
        <v>0</v>
      </c>
      <c r="S1068" s="77">
        <v>0</v>
      </c>
      <c r="T1068" s="77">
        <v>1</v>
      </c>
      <c r="U1068" s="77">
        <v>0</v>
      </c>
      <c r="V1068" s="77">
        <v>105</v>
      </c>
      <c r="W1068" s="80" t="s">
        <v>6660</v>
      </c>
      <c r="X1068" s="83" t="str">
        <f>HYPERLINK("https://twitter.com/OiCommie/status/1655050755613630464?t=nqA9xQRVArepkMk6AQkIig")</f>
        <v>https://twitter.com/OiCommie/status/1655050755613630464?t=nqA9xQRVArepkMk6AQkIig</v>
      </c>
      <c r="Y1068" s="77" t="s">
        <v>8610</v>
      </c>
      <c r="Z1068" s="77" t="s">
        <v>8949</v>
      </c>
      <c r="AA1068" s="77"/>
      <c r="AB1068" s="77"/>
      <c r="AC1068" s="80" t="s">
        <v>10540</v>
      </c>
      <c r="AD1068" s="77" t="s">
        <v>10617</v>
      </c>
      <c r="AE1068" s="83" t="str">
        <f>HYPERLINK("https://twitter.com/oicommie/status/1655261074315255810")</f>
        <v>https://twitter.com/oicommie/status/1655261074315255810</v>
      </c>
      <c r="AF1068" s="79">
        <v>45053.721851851849</v>
      </c>
      <c r="AG1068" s="85">
        <v>45053</v>
      </c>
      <c r="AH1068" s="80" t="s">
        <v>11576</v>
      </c>
      <c r="AI1068" s="77" t="b">
        <v>0</v>
      </c>
      <c r="AJ1068" s="77"/>
      <c r="AK1068" s="77"/>
      <c r="AL1068" s="77"/>
      <c r="AM1068" s="77"/>
      <c r="AN1068" s="77"/>
      <c r="AO1068" s="77"/>
      <c r="AP1068" s="77"/>
      <c r="AQ1068" s="77"/>
      <c r="AR1068" s="77"/>
      <c r="AS1068" s="77"/>
      <c r="AT1068" s="77"/>
      <c r="AU1068" s="77"/>
      <c r="AV1068" s="83" t="str">
        <f>HYPERLINK("https://pbs.twimg.com/profile_images/1701956030047956992/0f14gURa_normal.jpg")</f>
        <v>https://pbs.twimg.com/profile_images/1701956030047956992/0f14gURa_normal.jpg</v>
      </c>
      <c r="AW1068" s="80" t="s">
        <v>16979</v>
      </c>
      <c r="AX1068" s="80" t="s">
        <v>18085</v>
      </c>
      <c r="AY1068" s="80" t="s">
        <v>20258</v>
      </c>
      <c r="AZ1068" s="80" t="s">
        <v>18085</v>
      </c>
      <c r="BA1068" s="80" t="s">
        <v>16978</v>
      </c>
      <c r="BB1068" s="80" t="s">
        <v>20380</v>
      </c>
      <c r="BC1068" s="80" t="s">
        <v>18085</v>
      </c>
      <c r="BD1068" s="80" t="s">
        <v>20698</v>
      </c>
      <c r="BE1068" s="77"/>
      <c r="BF1068" s="77"/>
      <c r="BG1068" s="77"/>
      <c r="BH1068" s="77"/>
      <c r="BI1068" s="77"/>
    </row>
    <row r="1069" spans="1:61" x14ac:dyDescent="0.25">
      <c r="A1069" s="62" t="s">
        <v>639</v>
      </c>
      <c r="B1069" s="62" t="s">
        <v>1823</v>
      </c>
      <c r="C1069" s="63"/>
      <c r="D1069" s="64"/>
      <c r="E1069" s="65"/>
      <c r="F1069" s="66"/>
      <c r="G1069" s="63"/>
      <c r="H1069" s="67"/>
      <c r="I1069" s="68"/>
      <c r="J1069" s="68"/>
      <c r="K1069" s="32"/>
      <c r="L1069" s="75">
        <v>1069</v>
      </c>
      <c r="M1069" s="75"/>
      <c r="N1069" s="70"/>
      <c r="O1069" s="77" t="s">
        <v>2081</v>
      </c>
      <c r="P1069" s="79">
        <v>45129.001226851855</v>
      </c>
      <c r="Q1069" s="77" t="s">
        <v>3016</v>
      </c>
      <c r="R1069" s="77">
        <v>0</v>
      </c>
      <c r="S1069" s="77">
        <v>0</v>
      </c>
      <c r="T1069" s="77">
        <v>0</v>
      </c>
      <c r="U1069" s="77">
        <v>0</v>
      </c>
      <c r="V1069" s="77">
        <v>4</v>
      </c>
      <c r="W1069" s="80" t="s">
        <v>6661</v>
      </c>
      <c r="X1069" s="77"/>
      <c r="Y1069" s="77"/>
      <c r="Z1069" s="77" t="s">
        <v>8950</v>
      </c>
      <c r="AA1069" s="77" t="s">
        <v>9393</v>
      </c>
      <c r="AB1069" s="77" t="s">
        <v>10535</v>
      </c>
      <c r="AC1069" s="80" t="s">
        <v>10541</v>
      </c>
      <c r="AD1069" s="77" t="s">
        <v>10620</v>
      </c>
      <c r="AE1069" s="83" t="str">
        <f>HYPERLINK("https://twitter.com/elpirata_007/status/1682541410283560960")</f>
        <v>https://twitter.com/elpirata_007/status/1682541410283560960</v>
      </c>
      <c r="AF1069" s="79">
        <v>45129.001226851855</v>
      </c>
      <c r="AG1069" s="85">
        <v>45129</v>
      </c>
      <c r="AH1069" s="80" t="s">
        <v>11577</v>
      </c>
      <c r="AI1069" s="77" t="b">
        <v>1</v>
      </c>
      <c r="AJ1069" s="77"/>
      <c r="AK1069" s="77"/>
      <c r="AL1069" s="77"/>
      <c r="AM1069" s="77"/>
      <c r="AN1069" s="77"/>
      <c r="AO1069" s="77"/>
      <c r="AP1069" s="77"/>
      <c r="AQ1069" s="77" t="s">
        <v>14875</v>
      </c>
      <c r="AR1069" s="77"/>
      <c r="AS1069" s="77"/>
      <c r="AT1069" s="77"/>
      <c r="AU1069" s="77"/>
      <c r="AV1069" s="83" t="str">
        <f>HYPERLINK("https://pbs.twimg.com/media/F09aNVqWYAEf-ZB.jpg")</f>
        <v>https://pbs.twimg.com/media/F09aNVqWYAEf-ZB.jpg</v>
      </c>
      <c r="AW1069" s="80" t="s">
        <v>16980</v>
      </c>
      <c r="AX1069" s="80" t="s">
        <v>16980</v>
      </c>
      <c r="AY1069" s="80" t="s">
        <v>20259</v>
      </c>
      <c r="AZ1069" s="80" t="s">
        <v>20380</v>
      </c>
      <c r="BA1069" s="80" t="s">
        <v>20380</v>
      </c>
      <c r="BB1069" s="80" t="s">
        <v>20380</v>
      </c>
      <c r="BC1069" s="80" t="s">
        <v>16980</v>
      </c>
      <c r="BD1069" s="77">
        <v>167884870</v>
      </c>
      <c r="BE1069" s="77"/>
      <c r="BF1069" s="77"/>
      <c r="BG1069" s="77"/>
      <c r="BH1069" s="77"/>
      <c r="BI1069" s="77"/>
    </row>
    <row r="1070" spans="1:61" x14ac:dyDescent="0.25">
      <c r="A1070" s="62" t="s">
        <v>639</v>
      </c>
      <c r="B1070" s="62" t="s">
        <v>1824</v>
      </c>
      <c r="C1070" s="63"/>
      <c r="D1070" s="64"/>
      <c r="E1070" s="65"/>
      <c r="F1070" s="66"/>
      <c r="G1070" s="63"/>
      <c r="H1070" s="67"/>
      <c r="I1070" s="68"/>
      <c r="J1070" s="68"/>
      <c r="K1070" s="32"/>
      <c r="L1070" s="75">
        <v>1070</v>
      </c>
      <c r="M1070" s="75"/>
      <c r="N1070" s="70"/>
      <c r="O1070" s="77" t="s">
        <v>2079</v>
      </c>
      <c r="P1070" s="79">
        <v>45128.999884259261</v>
      </c>
      <c r="Q1070" s="77" t="s">
        <v>3017</v>
      </c>
      <c r="R1070" s="77">
        <v>0</v>
      </c>
      <c r="S1070" s="77">
        <v>0</v>
      </c>
      <c r="T1070" s="77">
        <v>0</v>
      </c>
      <c r="U1070" s="77">
        <v>0</v>
      </c>
      <c r="V1070" s="77">
        <v>11</v>
      </c>
      <c r="W1070" s="80" t="s">
        <v>6661</v>
      </c>
      <c r="X1070" s="77"/>
      <c r="Y1070" s="77"/>
      <c r="Z1070" s="77" t="s">
        <v>8951</v>
      </c>
      <c r="AA1070" s="77" t="s">
        <v>9393</v>
      </c>
      <c r="AB1070" s="77" t="s">
        <v>10535</v>
      </c>
      <c r="AC1070" s="80" t="s">
        <v>10541</v>
      </c>
      <c r="AD1070" s="77" t="s">
        <v>10620</v>
      </c>
      <c r="AE1070" s="83" t="str">
        <f>HYPERLINK("https://twitter.com/elpirata_007/status/1682540920460156928")</f>
        <v>https://twitter.com/elpirata_007/status/1682540920460156928</v>
      </c>
      <c r="AF1070" s="79">
        <v>45128.999884259261</v>
      </c>
      <c r="AG1070" s="85">
        <v>45128</v>
      </c>
      <c r="AH1070" s="80" t="s">
        <v>11578</v>
      </c>
      <c r="AI1070" s="77" t="b">
        <v>1</v>
      </c>
      <c r="AJ1070" s="77"/>
      <c r="AK1070" s="77"/>
      <c r="AL1070" s="77"/>
      <c r="AM1070" s="77"/>
      <c r="AN1070" s="77"/>
      <c r="AO1070" s="77"/>
      <c r="AP1070" s="77"/>
      <c r="AQ1070" s="77" t="s">
        <v>14875</v>
      </c>
      <c r="AR1070" s="77"/>
      <c r="AS1070" s="77"/>
      <c r="AT1070" s="77"/>
      <c r="AU1070" s="77"/>
      <c r="AV1070" s="83" t="str">
        <f>HYPERLINK("https://pbs.twimg.com/media/F09aNVqWYAEf-ZB.jpg")</f>
        <v>https://pbs.twimg.com/media/F09aNVqWYAEf-ZB.jpg</v>
      </c>
      <c r="AW1070" s="80" t="s">
        <v>16981</v>
      </c>
      <c r="AX1070" s="80" t="s">
        <v>20003</v>
      </c>
      <c r="AY1070" s="80" t="s">
        <v>20260</v>
      </c>
      <c r="AZ1070" s="80" t="s">
        <v>20003</v>
      </c>
      <c r="BA1070" s="80" t="s">
        <v>20380</v>
      </c>
      <c r="BB1070" s="80" t="s">
        <v>20380</v>
      </c>
      <c r="BC1070" s="80" t="s">
        <v>20003</v>
      </c>
      <c r="BD1070" s="77">
        <v>167884870</v>
      </c>
      <c r="BE1070" s="77"/>
      <c r="BF1070" s="77"/>
      <c r="BG1070" s="77"/>
      <c r="BH1070" s="77"/>
      <c r="BI1070" s="77"/>
    </row>
    <row r="1071" spans="1:61" x14ac:dyDescent="0.25">
      <c r="A1071" s="62" t="s">
        <v>639</v>
      </c>
      <c r="B1071" s="62" t="s">
        <v>1825</v>
      </c>
      <c r="C1071" s="63"/>
      <c r="D1071" s="64"/>
      <c r="E1071" s="65"/>
      <c r="F1071" s="66"/>
      <c r="G1071" s="63"/>
      <c r="H1071" s="67"/>
      <c r="I1071" s="68"/>
      <c r="J1071" s="68"/>
      <c r="K1071" s="32"/>
      <c r="L1071" s="75">
        <v>1071</v>
      </c>
      <c r="M1071" s="75"/>
      <c r="N1071" s="70"/>
      <c r="O1071" s="77" t="s">
        <v>2079</v>
      </c>
      <c r="P1071" s="79">
        <v>45128.999884259261</v>
      </c>
      <c r="Q1071" s="77" t="s">
        <v>3017</v>
      </c>
      <c r="R1071" s="77">
        <v>0</v>
      </c>
      <c r="S1071" s="77">
        <v>0</v>
      </c>
      <c r="T1071" s="77">
        <v>0</v>
      </c>
      <c r="U1071" s="77">
        <v>0</v>
      </c>
      <c r="V1071" s="77">
        <v>11</v>
      </c>
      <c r="W1071" s="80" t="s">
        <v>6661</v>
      </c>
      <c r="X1071" s="77"/>
      <c r="Y1071" s="77"/>
      <c r="Z1071" s="77" t="s">
        <v>8951</v>
      </c>
      <c r="AA1071" s="77" t="s">
        <v>9393</v>
      </c>
      <c r="AB1071" s="77" t="s">
        <v>10535</v>
      </c>
      <c r="AC1071" s="80" t="s">
        <v>10541</v>
      </c>
      <c r="AD1071" s="77" t="s">
        <v>10620</v>
      </c>
      <c r="AE1071" s="83" t="str">
        <f>HYPERLINK("https://twitter.com/elpirata_007/status/1682540920460156928")</f>
        <v>https://twitter.com/elpirata_007/status/1682540920460156928</v>
      </c>
      <c r="AF1071" s="79">
        <v>45128.999884259261</v>
      </c>
      <c r="AG1071" s="85">
        <v>45128</v>
      </c>
      <c r="AH1071" s="80" t="s">
        <v>11578</v>
      </c>
      <c r="AI1071" s="77" t="b">
        <v>1</v>
      </c>
      <c r="AJ1071" s="77"/>
      <c r="AK1071" s="77"/>
      <c r="AL1071" s="77"/>
      <c r="AM1071" s="77"/>
      <c r="AN1071" s="77"/>
      <c r="AO1071" s="77"/>
      <c r="AP1071" s="77"/>
      <c r="AQ1071" s="77" t="s">
        <v>14875</v>
      </c>
      <c r="AR1071" s="77"/>
      <c r="AS1071" s="77"/>
      <c r="AT1071" s="77"/>
      <c r="AU1071" s="77"/>
      <c r="AV1071" s="83" t="str">
        <f>HYPERLINK("https://pbs.twimg.com/media/F09aNVqWYAEf-ZB.jpg")</f>
        <v>https://pbs.twimg.com/media/F09aNVqWYAEf-ZB.jpg</v>
      </c>
      <c r="AW1071" s="80" t="s">
        <v>16981</v>
      </c>
      <c r="AX1071" s="80" t="s">
        <v>20003</v>
      </c>
      <c r="AY1071" s="80" t="s">
        <v>20260</v>
      </c>
      <c r="AZ1071" s="80" t="s">
        <v>20003</v>
      </c>
      <c r="BA1071" s="80" t="s">
        <v>20380</v>
      </c>
      <c r="BB1071" s="80" t="s">
        <v>20380</v>
      </c>
      <c r="BC1071" s="80" t="s">
        <v>20003</v>
      </c>
      <c r="BD1071" s="77">
        <v>167884870</v>
      </c>
      <c r="BE1071" s="77"/>
      <c r="BF1071" s="77"/>
      <c r="BG1071" s="77"/>
      <c r="BH1071" s="77"/>
      <c r="BI1071" s="77"/>
    </row>
    <row r="1072" spans="1:61" x14ac:dyDescent="0.25">
      <c r="A1072" s="62" t="s">
        <v>639</v>
      </c>
      <c r="B1072" s="62" t="s">
        <v>1715</v>
      </c>
      <c r="C1072" s="63"/>
      <c r="D1072" s="64"/>
      <c r="E1072" s="65"/>
      <c r="F1072" s="66"/>
      <c r="G1072" s="63"/>
      <c r="H1072" s="67"/>
      <c r="I1072" s="68"/>
      <c r="J1072" s="68"/>
      <c r="K1072" s="32"/>
      <c r="L1072" s="75">
        <v>1072</v>
      </c>
      <c r="M1072" s="75"/>
      <c r="N1072" s="70"/>
      <c r="O1072" s="77" t="s">
        <v>2081</v>
      </c>
      <c r="P1072" s="79">
        <v>45129.001226851855</v>
      </c>
      <c r="Q1072" s="77" t="s">
        <v>3016</v>
      </c>
      <c r="R1072" s="77">
        <v>0</v>
      </c>
      <c r="S1072" s="77">
        <v>0</v>
      </c>
      <c r="T1072" s="77">
        <v>0</v>
      </c>
      <c r="U1072" s="77">
        <v>0</v>
      </c>
      <c r="V1072" s="77">
        <v>4</v>
      </c>
      <c r="W1072" s="80" t="s">
        <v>6661</v>
      </c>
      <c r="X1072" s="77"/>
      <c r="Y1072" s="77"/>
      <c r="Z1072" s="77" t="s">
        <v>8950</v>
      </c>
      <c r="AA1072" s="77" t="s">
        <v>9393</v>
      </c>
      <c r="AB1072" s="77" t="s">
        <v>10535</v>
      </c>
      <c r="AC1072" s="80" t="s">
        <v>10541</v>
      </c>
      <c r="AD1072" s="77" t="s">
        <v>10620</v>
      </c>
      <c r="AE1072" s="83" t="str">
        <f>HYPERLINK("https://twitter.com/elpirata_007/status/1682541410283560960")</f>
        <v>https://twitter.com/elpirata_007/status/1682541410283560960</v>
      </c>
      <c r="AF1072" s="79">
        <v>45129.001226851855</v>
      </c>
      <c r="AG1072" s="85">
        <v>45129</v>
      </c>
      <c r="AH1072" s="80" t="s">
        <v>11577</v>
      </c>
      <c r="AI1072" s="77" t="b">
        <v>1</v>
      </c>
      <c r="AJ1072" s="77"/>
      <c r="AK1072" s="77"/>
      <c r="AL1072" s="77"/>
      <c r="AM1072" s="77"/>
      <c r="AN1072" s="77"/>
      <c r="AO1072" s="77"/>
      <c r="AP1072" s="77"/>
      <c r="AQ1072" s="77" t="s">
        <v>14875</v>
      </c>
      <c r="AR1072" s="77"/>
      <c r="AS1072" s="77"/>
      <c r="AT1072" s="77"/>
      <c r="AU1072" s="77"/>
      <c r="AV1072" s="83" t="str">
        <f>HYPERLINK("https://pbs.twimg.com/media/F09aNVqWYAEf-ZB.jpg")</f>
        <v>https://pbs.twimg.com/media/F09aNVqWYAEf-ZB.jpg</v>
      </c>
      <c r="AW1072" s="80" t="s">
        <v>16980</v>
      </c>
      <c r="AX1072" s="80" t="s">
        <v>16980</v>
      </c>
      <c r="AY1072" s="80" t="s">
        <v>20259</v>
      </c>
      <c r="AZ1072" s="80" t="s">
        <v>20380</v>
      </c>
      <c r="BA1072" s="80" t="s">
        <v>20380</v>
      </c>
      <c r="BB1072" s="80" t="s">
        <v>20380</v>
      </c>
      <c r="BC1072" s="80" t="s">
        <v>16980</v>
      </c>
      <c r="BD1072" s="77">
        <v>167884870</v>
      </c>
      <c r="BE1072" s="77"/>
      <c r="BF1072" s="77"/>
      <c r="BG1072" s="77"/>
      <c r="BH1072" s="77"/>
      <c r="BI1072" s="77"/>
    </row>
    <row r="1073" spans="1:61" x14ac:dyDescent="0.25">
      <c r="A1073" s="62" t="s">
        <v>639</v>
      </c>
      <c r="B1073" s="62" t="s">
        <v>1715</v>
      </c>
      <c r="C1073" s="63"/>
      <c r="D1073" s="64"/>
      <c r="E1073" s="65"/>
      <c r="F1073" s="66"/>
      <c r="G1073" s="63"/>
      <c r="H1073" s="67"/>
      <c r="I1073" s="68"/>
      <c r="J1073" s="68"/>
      <c r="K1073" s="32"/>
      <c r="L1073" s="75">
        <v>1073</v>
      </c>
      <c r="M1073" s="75"/>
      <c r="N1073" s="70"/>
      <c r="O1073" s="77" t="s">
        <v>2079</v>
      </c>
      <c r="P1073" s="79">
        <v>45128.999884259261</v>
      </c>
      <c r="Q1073" s="77" t="s">
        <v>3017</v>
      </c>
      <c r="R1073" s="77">
        <v>0</v>
      </c>
      <c r="S1073" s="77">
        <v>0</v>
      </c>
      <c r="T1073" s="77">
        <v>0</v>
      </c>
      <c r="U1073" s="77">
        <v>0</v>
      </c>
      <c r="V1073" s="77">
        <v>11</v>
      </c>
      <c r="W1073" s="80" t="s">
        <v>6661</v>
      </c>
      <c r="X1073" s="77"/>
      <c r="Y1073" s="77"/>
      <c r="Z1073" s="77" t="s">
        <v>8951</v>
      </c>
      <c r="AA1073" s="77" t="s">
        <v>9393</v>
      </c>
      <c r="AB1073" s="77" t="s">
        <v>10535</v>
      </c>
      <c r="AC1073" s="80" t="s">
        <v>10541</v>
      </c>
      <c r="AD1073" s="77" t="s">
        <v>10620</v>
      </c>
      <c r="AE1073" s="83" t="str">
        <f>HYPERLINK("https://twitter.com/elpirata_007/status/1682540920460156928")</f>
        <v>https://twitter.com/elpirata_007/status/1682540920460156928</v>
      </c>
      <c r="AF1073" s="79">
        <v>45128.999884259261</v>
      </c>
      <c r="AG1073" s="85">
        <v>45128</v>
      </c>
      <c r="AH1073" s="80" t="s">
        <v>11578</v>
      </c>
      <c r="AI1073" s="77" t="b">
        <v>1</v>
      </c>
      <c r="AJ1073" s="77"/>
      <c r="AK1073" s="77"/>
      <c r="AL1073" s="77"/>
      <c r="AM1073" s="77"/>
      <c r="AN1073" s="77"/>
      <c r="AO1073" s="77"/>
      <c r="AP1073" s="77"/>
      <c r="AQ1073" s="77" t="s">
        <v>14875</v>
      </c>
      <c r="AR1073" s="77"/>
      <c r="AS1073" s="77"/>
      <c r="AT1073" s="77"/>
      <c r="AU1073" s="77"/>
      <c r="AV1073" s="83" t="str">
        <f>HYPERLINK("https://pbs.twimg.com/media/F09aNVqWYAEf-ZB.jpg")</f>
        <v>https://pbs.twimg.com/media/F09aNVqWYAEf-ZB.jpg</v>
      </c>
      <c r="AW1073" s="80" t="s">
        <v>16981</v>
      </c>
      <c r="AX1073" s="80" t="s">
        <v>20003</v>
      </c>
      <c r="AY1073" s="80" t="s">
        <v>20260</v>
      </c>
      <c r="AZ1073" s="80" t="s">
        <v>20003</v>
      </c>
      <c r="BA1073" s="80" t="s">
        <v>20380</v>
      </c>
      <c r="BB1073" s="80" t="s">
        <v>20380</v>
      </c>
      <c r="BC1073" s="80" t="s">
        <v>20003</v>
      </c>
      <c r="BD1073" s="77">
        <v>167884870</v>
      </c>
      <c r="BE1073" s="77"/>
      <c r="BF1073" s="77"/>
      <c r="BG1073" s="77"/>
      <c r="BH1073" s="77"/>
      <c r="BI1073" s="77"/>
    </row>
    <row r="1074" spans="1:61" x14ac:dyDescent="0.25">
      <c r="A1074" s="62" t="s">
        <v>639</v>
      </c>
      <c r="B1074" s="62" t="s">
        <v>1826</v>
      </c>
      <c r="C1074" s="63"/>
      <c r="D1074" s="64"/>
      <c r="E1074" s="65"/>
      <c r="F1074" s="66"/>
      <c r="G1074" s="63"/>
      <c r="H1074" s="67"/>
      <c r="I1074" s="68"/>
      <c r="J1074" s="68"/>
      <c r="K1074" s="32"/>
      <c r="L1074" s="75">
        <v>1074</v>
      </c>
      <c r="M1074" s="75"/>
      <c r="N1074" s="70"/>
      <c r="O1074" s="77" t="s">
        <v>2078</v>
      </c>
      <c r="P1074" s="79">
        <v>45128.999884259261</v>
      </c>
      <c r="Q1074" s="77" t="s">
        <v>3017</v>
      </c>
      <c r="R1074" s="77">
        <v>0</v>
      </c>
      <c r="S1074" s="77">
        <v>0</v>
      </c>
      <c r="T1074" s="77">
        <v>0</v>
      </c>
      <c r="U1074" s="77">
        <v>0</v>
      </c>
      <c r="V1074" s="77">
        <v>11</v>
      </c>
      <c r="W1074" s="80" t="s">
        <v>6661</v>
      </c>
      <c r="X1074" s="77"/>
      <c r="Y1074" s="77"/>
      <c r="Z1074" s="77" t="s">
        <v>8951</v>
      </c>
      <c r="AA1074" s="77" t="s">
        <v>9393</v>
      </c>
      <c r="AB1074" s="77" t="s">
        <v>10535</v>
      </c>
      <c r="AC1074" s="80" t="s">
        <v>10541</v>
      </c>
      <c r="AD1074" s="77" t="s">
        <v>10620</v>
      </c>
      <c r="AE1074" s="83" t="str">
        <f>HYPERLINK("https://twitter.com/elpirata_007/status/1682540920460156928")</f>
        <v>https://twitter.com/elpirata_007/status/1682540920460156928</v>
      </c>
      <c r="AF1074" s="79">
        <v>45128.999884259261</v>
      </c>
      <c r="AG1074" s="85">
        <v>45128</v>
      </c>
      <c r="AH1074" s="80" t="s">
        <v>11578</v>
      </c>
      <c r="AI1074" s="77" t="b">
        <v>1</v>
      </c>
      <c r="AJ1074" s="77"/>
      <c r="AK1074" s="77"/>
      <c r="AL1074" s="77"/>
      <c r="AM1074" s="77"/>
      <c r="AN1074" s="77"/>
      <c r="AO1074" s="77"/>
      <c r="AP1074" s="77"/>
      <c r="AQ1074" s="77" t="s">
        <v>14875</v>
      </c>
      <c r="AR1074" s="77"/>
      <c r="AS1074" s="77"/>
      <c r="AT1074" s="77"/>
      <c r="AU1074" s="77"/>
      <c r="AV1074" s="83" t="str">
        <f>HYPERLINK("https://pbs.twimg.com/media/F09aNVqWYAEf-ZB.jpg")</f>
        <v>https://pbs.twimg.com/media/F09aNVqWYAEf-ZB.jpg</v>
      </c>
      <c r="AW1074" s="80" t="s">
        <v>16981</v>
      </c>
      <c r="AX1074" s="80" t="s">
        <v>20003</v>
      </c>
      <c r="AY1074" s="80" t="s">
        <v>20260</v>
      </c>
      <c r="AZ1074" s="80" t="s">
        <v>20003</v>
      </c>
      <c r="BA1074" s="80" t="s">
        <v>20380</v>
      </c>
      <c r="BB1074" s="80" t="s">
        <v>20380</v>
      </c>
      <c r="BC1074" s="80" t="s">
        <v>20003</v>
      </c>
      <c r="BD1074" s="77">
        <v>167884870</v>
      </c>
      <c r="BE1074" s="77"/>
      <c r="BF1074" s="77"/>
      <c r="BG1074" s="77"/>
      <c r="BH1074" s="77"/>
      <c r="BI1074" s="77"/>
    </row>
    <row r="1075" spans="1:61" x14ac:dyDescent="0.25">
      <c r="A1075" s="62" t="s">
        <v>639</v>
      </c>
      <c r="B1075" s="62" t="s">
        <v>1715</v>
      </c>
      <c r="C1075" s="63"/>
      <c r="D1075" s="64"/>
      <c r="E1075" s="65"/>
      <c r="F1075" s="66"/>
      <c r="G1075" s="63"/>
      <c r="H1075" s="67"/>
      <c r="I1075" s="68"/>
      <c r="J1075" s="68"/>
      <c r="K1075" s="32"/>
      <c r="L1075" s="75">
        <v>1075</v>
      </c>
      <c r="M1075" s="75"/>
      <c r="N1075" s="70"/>
      <c r="O1075" s="77" t="s">
        <v>2081</v>
      </c>
      <c r="P1075" s="79">
        <v>45128.99728009259</v>
      </c>
      <c r="Q1075" s="77" t="s">
        <v>3018</v>
      </c>
      <c r="R1075" s="77">
        <v>0</v>
      </c>
      <c r="S1075" s="77">
        <v>0</v>
      </c>
      <c r="T1075" s="77">
        <v>0</v>
      </c>
      <c r="U1075" s="77">
        <v>0</v>
      </c>
      <c r="V1075" s="77">
        <v>30</v>
      </c>
      <c r="W1075" s="80" t="s">
        <v>6661</v>
      </c>
      <c r="X1075" s="77"/>
      <c r="Y1075" s="77"/>
      <c r="Z1075" s="77" t="s">
        <v>1715</v>
      </c>
      <c r="AA1075" s="77" t="s">
        <v>9393</v>
      </c>
      <c r="AB1075" s="77" t="s">
        <v>10535</v>
      </c>
      <c r="AC1075" s="80" t="s">
        <v>10541</v>
      </c>
      <c r="AD1075" s="77" t="s">
        <v>10620</v>
      </c>
      <c r="AE1075" s="83" t="str">
        <f>HYPERLINK("https://twitter.com/elpirata_007/status/1682539976553029635")</f>
        <v>https://twitter.com/elpirata_007/status/1682539976553029635</v>
      </c>
      <c r="AF1075" s="79">
        <v>45128.99728009259</v>
      </c>
      <c r="AG1075" s="85">
        <v>45128</v>
      </c>
      <c r="AH1075" s="80" t="s">
        <v>11579</v>
      </c>
      <c r="AI1075" s="77" t="b">
        <v>1</v>
      </c>
      <c r="AJ1075" s="77"/>
      <c r="AK1075" s="77"/>
      <c r="AL1075" s="77"/>
      <c r="AM1075" s="77"/>
      <c r="AN1075" s="77"/>
      <c r="AO1075" s="77"/>
      <c r="AP1075" s="77"/>
      <c r="AQ1075" s="77" t="s">
        <v>14875</v>
      </c>
      <c r="AR1075" s="77"/>
      <c r="AS1075" s="77"/>
      <c r="AT1075" s="77"/>
      <c r="AU1075" s="77"/>
      <c r="AV1075" s="83" t="str">
        <f>HYPERLINK("https://pbs.twimg.com/media/F09aNVqWYAEf-ZB.jpg")</f>
        <v>https://pbs.twimg.com/media/F09aNVqWYAEf-ZB.jpg</v>
      </c>
      <c r="AW1075" s="80" t="s">
        <v>16982</v>
      </c>
      <c r="AX1075" s="80" t="s">
        <v>16982</v>
      </c>
      <c r="AY1075" s="77"/>
      <c r="AZ1075" s="80" t="s">
        <v>20380</v>
      </c>
      <c r="BA1075" s="80" t="s">
        <v>20380</v>
      </c>
      <c r="BB1075" s="80" t="s">
        <v>20380</v>
      </c>
      <c r="BC1075" s="80" t="s">
        <v>16982</v>
      </c>
      <c r="BD1075" s="77">
        <v>167884870</v>
      </c>
      <c r="BE1075" s="77"/>
      <c r="BF1075" s="77"/>
      <c r="BG1075" s="77"/>
      <c r="BH1075" s="77"/>
      <c r="BI1075" s="77"/>
    </row>
    <row r="1076" spans="1:61" x14ac:dyDescent="0.25">
      <c r="A1076" s="62" t="s">
        <v>640</v>
      </c>
      <c r="B1076" s="62" t="s">
        <v>640</v>
      </c>
      <c r="C1076" s="63"/>
      <c r="D1076" s="64"/>
      <c r="E1076" s="65"/>
      <c r="F1076" s="66"/>
      <c r="G1076" s="63"/>
      <c r="H1076" s="67"/>
      <c r="I1076" s="68"/>
      <c r="J1076" s="68"/>
      <c r="K1076" s="32"/>
      <c r="L1076" s="75">
        <v>1076</v>
      </c>
      <c r="M1076" s="75"/>
      <c r="N1076" s="70"/>
      <c r="O1076" s="77" t="s">
        <v>179</v>
      </c>
      <c r="P1076" s="79">
        <v>45152.589143518519</v>
      </c>
      <c r="Q1076" s="77" t="s">
        <v>3019</v>
      </c>
      <c r="R1076" s="77">
        <v>1</v>
      </c>
      <c r="S1076" s="77">
        <v>0</v>
      </c>
      <c r="T1076" s="77">
        <v>1</v>
      </c>
      <c r="U1076" s="77">
        <v>0</v>
      </c>
      <c r="V1076" s="77">
        <v>420</v>
      </c>
      <c r="W1076" s="80" t="s">
        <v>5884</v>
      </c>
      <c r="X1076" s="77"/>
      <c r="Y1076" s="77"/>
      <c r="Z1076" s="77"/>
      <c r="AA1076" s="77"/>
      <c r="AB1076" s="77"/>
      <c r="AC1076" s="80" t="s">
        <v>10541</v>
      </c>
      <c r="AD1076" s="77" t="s">
        <v>10620</v>
      </c>
      <c r="AE1076" s="83" t="str">
        <f>HYPERLINK("https://twitter.com/rperiodismo/status/1691089381677780993")</f>
        <v>https://twitter.com/rperiodismo/status/1691089381677780993</v>
      </c>
      <c r="AF1076" s="79">
        <v>45152.589143518519</v>
      </c>
      <c r="AG1076" s="85">
        <v>45152</v>
      </c>
      <c r="AH1076" s="80" t="s">
        <v>11580</v>
      </c>
      <c r="AI1076" s="77"/>
      <c r="AJ1076" s="77"/>
      <c r="AK1076" s="77"/>
      <c r="AL1076" s="77"/>
      <c r="AM1076" s="77"/>
      <c r="AN1076" s="77"/>
      <c r="AO1076" s="77"/>
      <c r="AP1076" s="77"/>
      <c r="AQ1076" s="77"/>
      <c r="AR1076" s="77"/>
      <c r="AS1076" s="77"/>
      <c r="AT1076" s="77"/>
      <c r="AU1076" s="77"/>
      <c r="AV1076" s="83" t="str">
        <f>HYPERLINK("https://pbs.twimg.com/profile_images/1514999650545070097/6u8HJhIi_normal.jpg")</f>
        <v>https://pbs.twimg.com/profile_images/1514999650545070097/6u8HJhIi_normal.jpg</v>
      </c>
      <c r="AW1076" s="80" t="s">
        <v>16983</v>
      </c>
      <c r="AX1076" s="80" t="s">
        <v>16983</v>
      </c>
      <c r="AY1076" s="77"/>
      <c r="AZ1076" s="80" t="s">
        <v>20380</v>
      </c>
      <c r="BA1076" s="80" t="s">
        <v>20380</v>
      </c>
      <c r="BB1076" s="80" t="s">
        <v>20380</v>
      </c>
      <c r="BC1076" s="80" t="s">
        <v>16983</v>
      </c>
      <c r="BD1076" s="77">
        <v>580067334</v>
      </c>
      <c r="BE1076" s="77"/>
      <c r="BF1076" s="77"/>
      <c r="BG1076" s="77"/>
      <c r="BH1076" s="77"/>
      <c r="BI1076" s="77"/>
    </row>
    <row r="1077" spans="1:61" x14ac:dyDescent="0.25">
      <c r="A1077" s="62" t="s">
        <v>641</v>
      </c>
      <c r="B1077" s="62" t="s">
        <v>1596</v>
      </c>
      <c r="C1077" s="63"/>
      <c r="D1077" s="64"/>
      <c r="E1077" s="65"/>
      <c r="F1077" s="66"/>
      <c r="G1077" s="63"/>
      <c r="H1077" s="67"/>
      <c r="I1077" s="68"/>
      <c r="J1077" s="68"/>
      <c r="K1077" s="32"/>
      <c r="L1077" s="75">
        <v>1077</v>
      </c>
      <c r="M1077" s="75"/>
      <c r="N1077" s="70"/>
      <c r="O1077" s="77" t="s">
        <v>2082</v>
      </c>
      <c r="P1077" s="79">
        <v>45189.940740740742</v>
      </c>
      <c r="Q1077" s="77" t="s">
        <v>3020</v>
      </c>
      <c r="R1077" s="77">
        <v>0</v>
      </c>
      <c r="S1077" s="77">
        <v>1</v>
      </c>
      <c r="T1077" s="77">
        <v>0</v>
      </c>
      <c r="U1077" s="77">
        <v>0</v>
      </c>
      <c r="V1077" s="77">
        <v>137</v>
      </c>
      <c r="W1077" s="80" t="s">
        <v>6662</v>
      </c>
      <c r="X1077" s="77"/>
      <c r="Y1077" s="77"/>
      <c r="Z1077" s="77"/>
      <c r="AA1077" s="77"/>
      <c r="AB1077" s="77"/>
      <c r="AC1077" s="80" t="s">
        <v>10542</v>
      </c>
      <c r="AD1077" s="77" t="s">
        <v>10617</v>
      </c>
      <c r="AE1077" s="83" t="str">
        <f>HYPERLINK("https://twitter.com/victorpmarques7/status/1704625146978328863")</f>
        <v>https://twitter.com/victorpmarques7/status/1704625146978328863</v>
      </c>
      <c r="AF1077" s="79">
        <v>45189.940740740742</v>
      </c>
      <c r="AG1077" s="85">
        <v>45189</v>
      </c>
      <c r="AH1077" s="80" t="s">
        <v>11581</v>
      </c>
      <c r="AI1077" s="77"/>
      <c r="AJ1077" s="77"/>
      <c r="AK1077" s="77"/>
      <c r="AL1077" s="77"/>
      <c r="AM1077" s="77"/>
      <c r="AN1077" s="77"/>
      <c r="AO1077" s="77"/>
      <c r="AP1077" s="77"/>
      <c r="AQ1077" s="77"/>
      <c r="AR1077" s="77"/>
      <c r="AS1077" s="77"/>
      <c r="AT1077" s="77"/>
      <c r="AU1077" s="77"/>
      <c r="AV1077" s="83" t="str">
        <f>HYPERLINK("https://pbs.twimg.com/profile_images/1693409906907402240/knBwP3Tj_normal.jpg")</f>
        <v>https://pbs.twimg.com/profile_images/1693409906907402240/knBwP3Tj_normal.jpg</v>
      </c>
      <c r="AW1077" s="80" t="s">
        <v>16984</v>
      </c>
      <c r="AX1077" s="80" t="s">
        <v>16984</v>
      </c>
      <c r="AY1077" s="77"/>
      <c r="AZ1077" s="80" t="s">
        <v>20380</v>
      </c>
      <c r="BA1077" s="80" t="s">
        <v>19660</v>
      </c>
      <c r="BB1077" s="80" t="s">
        <v>20380</v>
      </c>
      <c r="BC1077" s="80" t="s">
        <v>19660</v>
      </c>
      <c r="BD1077" s="80" t="s">
        <v>20699</v>
      </c>
      <c r="BE1077" s="77"/>
      <c r="BF1077" s="77"/>
      <c r="BG1077" s="77"/>
      <c r="BH1077" s="77"/>
      <c r="BI1077" s="77"/>
    </row>
    <row r="1078" spans="1:61" x14ac:dyDescent="0.25">
      <c r="A1078" s="62" t="s">
        <v>641</v>
      </c>
      <c r="B1078" s="62" t="s">
        <v>1596</v>
      </c>
      <c r="C1078" s="63"/>
      <c r="D1078" s="64"/>
      <c r="E1078" s="65"/>
      <c r="F1078" s="66"/>
      <c r="G1078" s="63"/>
      <c r="H1078" s="67"/>
      <c r="I1078" s="68"/>
      <c r="J1078" s="68"/>
      <c r="K1078" s="32"/>
      <c r="L1078" s="75">
        <v>1078</v>
      </c>
      <c r="M1078" s="75"/>
      <c r="N1078" s="70"/>
      <c r="O1078" s="77" t="s">
        <v>2081</v>
      </c>
      <c r="P1078" s="79">
        <v>45197.527673611112</v>
      </c>
      <c r="Q1078" s="77" t="s">
        <v>3021</v>
      </c>
      <c r="R1078" s="77">
        <v>0</v>
      </c>
      <c r="S1078" s="77">
        <v>0</v>
      </c>
      <c r="T1078" s="77">
        <v>0</v>
      </c>
      <c r="U1078" s="77">
        <v>0</v>
      </c>
      <c r="V1078" s="77">
        <v>30</v>
      </c>
      <c r="W1078" s="80" t="s">
        <v>6663</v>
      </c>
      <c r="X1078" s="83" t="str">
        <f>HYPERLINK("https://www.bcb.gov.br/publicacoes/ri")</f>
        <v>https://www.bcb.gov.br/publicacoes/ri</v>
      </c>
      <c r="Y1078" s="77" t="s">
        <v>8633</v>
      </c>
      <c r="Z1078" s="77" t="s">
        <v>1596</v>
      </c>
      <c r="AA1078" s="77"/>
      <c r="AB1078" s="77"/>
      <c r="AC1078" s="80" t="s">
        <v>10541</v>
      </c>
      <c r="AD1078" s="77" t="s">
        <v>10617</v>
      </c>
      <c r="AE1078" s="83" t="str">
        <f>HYPERLINK("https://twitter.com/victorpmarques7/status/1707374559458984274")</f>
        <v>https://twitter.com/victorpmarques7/status/1707374559458984274</v>
      </c>
      <c r="AF1078" s="79">
        <v>45197.527673611112</v>
      </c>
      <c r="AG1078" s="85">
        <v>45197</v>
      </c>
      <c r="AH1078" s="80" t="s">
        <v>11582</v>
      </c>
      <c r="AI1078" s="77" t="b">
        <v>0</v>
      </c>
      <c r="AJ1078" s="77"/>
      <c r="AK1078" s="77"/>
      <c r="AL1078" s="77"/>
      <c r="AM1078" s="77"/>
      <c r="AN1078" s="77"/>
      <c r="AO1078" s="77"/>
      <c r="AP1078" s="77"/>
      <c r="AQ1078" s="77"/>
      <c r="AR1078" s="77"/>
      <c r="AS1078" s="77"/>
      <c r="AT1078" s="77"/>
      <c r="AU1078" s="77"/>
      <c r="AV1078" s="83" t="str">
        <f>HYPERLINK("https://pbs.twimg.com/profile_images/1693409906907402240/knBwP3Tj_normal.jpg")</f>
        <v>https://pbs.twimg.com/profile_images/1693409906907402240/knBwP3Tj_normal.jpg</v>
      </c>
      <c r="AW1078" s="80" t="s">
        <v>16985</v>
      </c>
      <c r="AX1078" s="80" t="s">
        <v>16985</v>
      </c>
      <c r="AY1078" s="77"/>
      <c r="AZ1078" s="80" t="s">
        <v>20380</v>
      </c>
      <c r="BA1078" s="80" t="s">
        <v>20380</v>
      </c>
      <c r="BB1078" s="80" t="s">
        <v>20380</v>
      </c>
      <c r="BC1078" s="80" t="s">
        <v>16985</v>
      </c>
      <c r="BD1078" s="80" t="s">
        <v>20699</v>
      </c>
      <c r="BE1078" s="77"/>
      <c r="BF1078" s="77"/>
      <c r="BG1078" s="77"/>
      <c r="BH1078" s="77"/>
      <c r="BI1078" s="77"/>
    </row>
    <row r="1079" spans="1:61" x14ac:dyDescent="0.25">
      <c r="A1079" s="62" t="s">
        <v>642</v>
      </c>
      <c r="B1079" s="62" t="s">
        <v>642</v>
      </c>
      <c r="C1079" s="63"/>
      <c r="D1079" s="64"/>
      <c r="E1079" s="65"/>
      <c r="F1079" s="66"/>
      <c r="G1079" s="63"/>
      <c r="H1079" s="67"/>
      <c r="I1079" s="68"/>
      <c r="J1079" s="68"/>
      <c r="K1079" s="32"/>
      <c r="L1079" s="75">
        <v>1079</v>
      </c>
      <c r="M1079" s="75"/>
      <c r="N1079" s="70"/>
      <c r="O1079" s="77" t="s">
        <v>179</v>
      </c>
      <c r="P1079" s="79">
        <v>45147.057638888888</v>
      </c>
      <c r="Q1079" s="77" t="s">
        <v>3022</v>
      </c>
      <c r="R1079" s="77">
        <v>1</v>
      </c>
      <c r="S1079" s="77">
        <v>1</v>
      </c>
      <c r="T1079" s="77">
        <v>1</v>
      </c>
      <c r="U1079" s="77">
        <v>0</v>
      </c>
      <c r="V1079" s="77">
        <v>47</v>
      </c>
      <c r="W1079" s="80" t="s">
        <v>6664</v>
      </c>
      <c r="X1079" s="83" t="str">
        <f>HYPERLINK("https://blogpdanoticia.blogspot.com/2023/08/saiba-como-funcionara-o-real-digital.html")</f>
        <v>https://blogpdanoticia.blogspot.com/2023/08/saiba-como-funcionara-o-real-digital.html</v>
      </c>
      <c r="Y1079" s="77" t="s">
        <v>8671</v>
      </c>
      <c r="Z1079" s="77"/>
      <c r="AA1079" s="77" t="s">
        <v>9394</v>
      </c>
      <c r="AB1079" s="77" t="s">
        <v>10535</v>
      </c>
      <c r="AC1079" s="80" t="s">
        <v>10541</v>
      </c>
      <c r="AD1079" s="77" t="s">
        <v>10617</v>
      </c>
      <c r="AE1079" s="83" t="str">
        <f>HYPERLINK("https://twitter.com/blogpdnoticia/status/1689084832825970688")</f>
        <v>https://twitter.com/blogpdnoticia/status/1689084832825970688</v>
      </c>
      <c r="AF1079" s="79">
        <v>45147.057638888888</v>
      </c>
      <c r="AG1079" s="85">
        <v>45147</v>
      </c>
      <c r="AH1079" s="80" t="s">
        <v>11583</v>
      </c>
      <c r="AI1079" s="77" t="b">
        <v>0</v>
      </c>
      <c r="AJ1079" s="77"/>
      <c r="AK1079" s="77"/>
      <c r="AL1079" s="77"/>
      <c r="AM1079" s="77"/>
      <c r="AN1079" s="77"/>
      <c r="AO1079" s="77"/>
      <c r="AP1079" s="77"/>
      <c r="AQ1079" s="77" t="s">
        <v>14876</v>
      </c>
      <c r="AR1079" s="77"/>
      <c r="AS1079" s="77"/>
      <c r="AT1079" s="77"/>
      <c r="AU1079" s="77"/>
      <c r="AV1079" s="83" t="str">
        <f>HYPERLINK("https://pbs.twimg.com/media/F3DVsDDWcAEIM4W.jpg")</f>
        <v>https://pbs.twimg.com/media/F3DVsDDWcAEIM4W.jpg</v>
      </c>
      <c r="AW1079" s="80" t="s">
        <v>16986</v>
      </c>
      <c r="AX1079" s="80" t="s">
        <v>16986</v>
      </c>
      <c r="AY1079" s="77"/>
      <c r="AZ1079" s="80" t="s">
        <v>20380</v>
      </c>
      <c r="BA1079" s="80" t="s">
        <v>20380</v>
      </c>
      <c r="BB1079" s="80" t="s">
        <v>20380</v>
      </c>
      <c r="BC1079" s="80" t="s">
        <v>16986</v>
      </c>
      <c r="BD1079" s="80" t="s">
        <v>20700</v>
      </c>
      <c r="BE1079" s="77"/>
      <c r="BF1079" s="77"/>
      <c r="BG1079" s="77"/>
      <c r="BH1079" s="77"/>
      <c r="BI1079" s="77"/>
    </row>
    <row r="1080" spans="1:61" x14ac:dyDescent="0.25">
      <c r="A1080" s="62" t="s">
        <v>642</v>
      </c>
      <c r="B1080" s="62" t="s">
        <v>642</v>
      </c>
      <c r="C1080" s="63"/>
      <c r="D1080" s="64"/>
      <c r="E1080" s="65"/>
      <c r="F1080" s="66"/>
      <c r="G1080" s="63"/>
      <c r="H1080" s="67"/>
      <c r="I1080" s="68"/>
      <c r="J1080" s="68"/>
      <c r="K1080" s="32"/>
      <c r="L1080" s="75">
        <v>1080</v>
      </c>
      <c r="M1080" s="75"/>
      <c r="N1080" s="70"/>
      <c r="O1080" s="77" t="s">
        <v>179</v>
      </c>
      <c r="P1080" s="79">
        <v>45154.576215277775</v>
      </c>
      <c r="Q1080" s="77" t="s">
        <v>3023</v>
      </c>
      <c r="R1080" s="77">
        <v>1</v>
      </c>
      <c r="S1080" s="77">
        <v>1</v>
      </c>
      <c r="T1080" s="77">
        <v>0</v>
      </c>
      <c r="U1080" s="77">
        <v>0</v>
      </c>
      <c r="V1080" s="77">
        <v>97</v>
      </c>
      <c r="W1080" s="80" t="s">
        <v>6665</v>
      </c>
      <c r="X1080" s="83" t="str">
        <f>HYPERLINK("http://blogpdanoticia.blogspot.com/p/ultimas-noticias.html")</f>
        <v>http://blogpdanoticia.blogspot.com/p/ultimas-noticias.html</v>
      </c>
      <c r="Y1080" s="77" t="s">
        <v>8671</v>
      </c>
      <c r="Z1080" s="77"/>
      <c r="AA1080" s="77" t="s">
        <v>9395</v>
      </c>
      <c r="AB1080" s="77" t="s">
        <v>10535</v>
      </c>
      <c r="AC1080" s="80" t="s">
        <v>10541</v>
      </c>
      <c r="AD1080" s="77" t="s">
        <v>10617</v>
      </c>
      <c r="AE1080" s="83" t="str">
        <f>HYPERLINK("https://twitter.com/blogpdnoticia/status/1691809474288173390")</f>
        <v>https://twitter.com/blogpdnoticia/status/1691809474288173390</v>
      </c>
      <c r="AF1080" s="79">
        <v>45154.576215277775</v>
      </c>
      <c r="AG1080" s="85">
        <v>45154</v>
      </c>
      <c r="AH1080" s="80" t="s">
        <v>11584</v>
      </c>
      <c r="AI1080" s="77" t="b">
        <v>0</v>
      </c>
      <c r="AJ1080" s="77"/>
      <c r="AK1080" s="77"/>
      <c r="AL1080" s="77"/>
      <c r="AM1080" s="77"/>
      <c r="AN1080" s="77"/>
      <c r="AO1080" s="77"/>
      <c r="AP1080" s="77"/>
      <c r="AQ1080" s="77" t="s">
        <v>14877</v>
      </c>
      <c r="AR1080" s="77"/>
      <c r="AS1080" s="77"/>
      <c r="AT1080" s="77"/>
      <c r="AU1080" s="77"/>
      <c r="AV1080" s="83" t="str">
        <f>HYPERLINK("https://pbs.twimg.com/media/F3qDkJXWAAA4TlD.jpg")</f>
        <v>https://pbs.twimg.com/media/F3qDkJXWAAA4TlD.jpg</v>
      </c>
      <c r="AW1080" s="80" t="s">
        <v>16987</v>
      </c>
      <c r="AX1080" s="80" t="s">
        <v>16987</v>
      </c>
      <c r="AY1080" s="77"/>
      <c r="AZ1080" s="80" t="s">
        <v>20380</v>
      </c>
      <c r="BA1080" s="80" t="s">
        <v>20380</v>
      </c>
      <c r="BB1080" s="80" t="s">
        <v>20380</v>
      </c>
      <c r="BC1080" s="80" t="s">
        <v>16987</v>
      </c>
      <c r="BD1080" s="80" t="s">
        <v>20700</v>
      </c>
      <c r="BE1080" s="77"/>
      <c r="BF1080" s="77"/>
      <c r="BG1080" s="77"/>
      <c r="BH1080" s="77"/>
      <c r="BI1080" s="77"/>
    </row>
    <row r="1081" spans="1:61" x14ac:dyDescent="0.25">
      <c r="A1081" s="62" t="s">
        <v>642</v>
      </c>
      <c r="B1081" s="62" t="s">
        <v>642</v>
      </c>
      <c r="C1081" s="63"/>
      <c r="D1081" s="64"/>
      <c r="E1081" s="65"/>
      <c r="F1081" s="66"/>
      <c r="G1081" s="63"/>
      <c r="H1081" s="67"/>
      <c r="I1081" s="68"/>
      <c r="J1081" s="68"/>
      <c r="K1081" s="32"/>
      <c r="L1081" s="75">
        <v>1081</v>
      </c>
      <c r="M1081" s="75"/>
      <c r="N1081" s="70"/>
      <c r="O1081" s="77" t="s">
        <v>179</v>
      </c>
      <c r="P1081" s="79">
        <v>45181.026666666665</v>
      </c>
      <c r="Q1081" s="77" t="s">
        <v>3024</v>
      </c>
      <c r="R1081" s="77">
        <v>0</v>
      </c>
      <c r="S1081" s="77">
        <v>0</v>
      </c>
      <c r="T1081" s="77">
        <v>0</v>
      </c>
      <c r="U1081" s="77">
        <v>0</v>
      </c>
      <c r="V1081" s="77">
        <v>27</v>
      </c>
      <c r="W1081" s="80" t="s">
        <v>6666</v>
      </c>
      <c r="X1081" s="83" t="str">
        <f>HYPERLINK("http://blogpdanoticia.blogspot.com/p/ultimas-noticias_1.html")</f>
        <v>http://blogpdanoticia.blogspot.com/p/ultimas-noticias_1.html</v>
      </c>
      <c r="Y1081" s="77" t="s">
        <v>8671</v>
      </c>
      <c r="Z1081" s="77"/>
      <c r="AA1081" s="77" t="s">
        <v>9396</v>
      </c>
      <c r="AB1081" s="77" t="s">
        <v>10535</v>
      </c>
      <c r="AC1081" s="80" t="s">
        <v>10541</v>
      </c>
      <c r="AD1081" s="77" t="s">
        <v>10617</v>
      </c>
      <c r="AE1081" s="83" t="str">
        <f>HYPERLINK("https://twitter.com/blogpdnoticia/status/1701394796042961151")</f>
        <v>https://twitter.com/blogpdnoticia/status/1701394796042961151</v>
      </c>
      <c r="AF1081" s="79">
        <v>45181.026666666665</v>
      </c>
      <c r="AG1081" s="85">
        <v>45181</v>
      </c>
      <c r="AH1081" s="80" t="s">
        <v>11585</v>
      </c>
      <c r="AI1081" s="77" t="b">
        <v>0</v>
      </c>
      <c r="AJ1081" s="77"/>
      <c r="AK1081" s="77"/>
      <c r="AL1081" s="77"/>
      <c r="AM1081" s="77"/>
      <c r="AN1081" s="77"/>
      <c r="AO1081" s="77"/>
      <c r="AP1081" s="77"/>
      <c r="AQ1081" s="77" t="s">
        <v>14878</v>
      </c>
      <c r="AR1081" s="77"/>
      <c r="AS1081" s="77"/>
      <c r="AT1081" s="77"/>
      <c r="AU1081" s="77"/>
      <c r="AV1081" s="83" t="str">
        <f>HYPERLINK("https://pbs.twimg.com/media/F5yRimnXIAAL0fy.jpg")</f>
        <v>https://pbs.twimg.com/media/F5yRimnXIAAL0fy.jpg</v>
      </c>
      <c r="AW1081" s="80" t="s">
        <v>16988</v>
      </c>
      <c r="AX1081" s="80" t="s">
        <v>16988</v>
      </c>
      <c r="AY1081" s="77"/>
      <c r="AZ1081" s="80" t="s">
        <v>20380</v>
      </c>
      <c r="BA1081" s="80" t="s">
        <v>20380</v>
      </c>
      <c r="BB1081" s="80" t="s">
        <v>20380</v>
      </c>
      <c r="BC1081" s="80" t="s">
        <v>16988</v>
      </c>
      <c r="BD1081" s="80" t="s">
        <v>20700</v>
      </c>
      <c r="BE1081" s="77"/>
      <c r="BF1081" s="77"/>
      <c r="BG1081" s="77"/>
      <c r="BH1081" s="77"/>
      <c r="BI1081" s="77"/>
    </row>
    <row r="1082" spans="1:61" x14ac:dyDescent="0.25">
      <c r="A1082" s="62" t="s">
        <v>642</v>
      </c>
      <c r="B1082" s="62" t="s">
        <v>642</v>
      </c>
      <c r="C1082" s="63"/>
      <c r="D1082" s="64"/>
      <c r="E1082" s="65"/>
      <c r="F1082" s="66"/>
      <c r="G1082" s="63"/>
      <c r="H1082" s="67"/>
      <c r="I1082" s="68"/>
      <c r="J1082" s="68"/>
      <c r="K1082" s="32"/>
      <c r="L1082" s="75">
        <v>1082</v>
      </c>
      <c r="M1082" s="75"/>
      <c r="N1082" s="70"/>
      <c r="O1082" s="77" t="s">
        <v>179</v>
      </c>
      <c r="P1082" s="79">
        <v>45196.039837962962</v>
      </c>
      <c r="Q1082" s="77" t="s">
        <v>3025</v>
      </c>
      <c r="R1082" s="77">
        <v>0</v>
      </c>
      <c r="S1082" s="77">
        <v>0</v>
      </c>
      <c r="T1082" s="77">
        <v>0</v>
      </c>
      <c r="U1082" s="77">
        <v>0</v>
      </c>
      <c r="V1082" s="77">
        <v>7</v>
      </c>
      <c r="W1082" s="80" t="s">
        <v>6667</v>
      </c>
      <c r="X1082" s="83" t="str">
        <f>HYPERLINK("http://blogpdanoticia.blogspot.com/p/ultimas-noticias_1.html")</f>
        <v>http://blogpdanoticia.blogspot.com/p/ultimas-noticias_1.html</v>
      </c>
      <c r="Y1082" s="77" t="s">
        <v>8671</v>
      </c>
      <c r="Z1082" s="77"/>
      <c r="AA1082" s="77" t="s">
        <v>9397</v>
      </c>
      <c r="AB1082" s="77" t="s">
        <v>10535</v>
      </c>
      <c r="AC1082" s="80" t="s">
        <v>10541</v>
      </c>
      <c r="AD1082" s="77" t="s">
        <v>10617</v>
      </c>
      <c r="AE1082" s="83" t="str">
        <f>HYPERLINK("https://twitter.com/blogpdnoticia/status/1706835386561970672")</f>
        <v>https://twitter.com/blogpdnoticia/status/1706835386561970672</v>
      </c>
      <c r="AF1082" s="79">
        <v>45196.039837962962</v>
      </c>
      <c r="AG1082" s="85">
        <v>45196</v>
      </c>
      <c r="AH1082" s="80" t="s">
        <v>11586</v>
      </c>
      <c r="AI1082" s="77" t="b">
        <v>0</v>
      </c>
      <c r="AJ1082" s="77"/>
      <c r="AK1082" s="77"/>
      <c r="AL1082" s="77"/>
      <c r="AM1082" s="77"/>
      <c r="AN1082" s="77"/>
      <c r="AO1082" s="77"/>
      <c r="AP1082" s="77"/>
      <c r="AQ1082" s="77" t="s">
        <v>14879</v>
      </c>
      <c r="AR1082" s="77"/>
      <c r="AS1082" s="77"/>
      <c r="AT1082" s="77"/>
      <c r="AU1082" s="77"/>
      <c r="AV1082" s="83" t="str">
        <f>HYPERLINK("https://pbs.twimg.com/media/F6_lulwW8AAytXt.jpg")</f>
        <v>https://pbs.twimg.com/media/F6_lulwW8AAytXt.jpg</v>
      </c>
      <c r="AW1082" s="80" t="s">
        <v>16989</v>
      </c>
      <c r="AX1082" s="80" t="s">
        <v>16989</v>
      </c>
      <c r="AY1082" s="77"/>
      <c r="AZ1082" s="80" t="s">
        <v>20380</v>
      </c>
      <c r="BA1082" s="80" t="s">
        <v>20380</v>
      </c>
      <c r="BB1082" s="80" t="s">
        <v>20380</v>
      </c>
      <c r="BC1082" s="80" t="s">
        <v>16989</v>
      </c>
      <c r="BD1082" s="80" t="s">
        <v>20700</v>
      </c>
      <c r="BE1082" s="77"/>
      <c r="BF1082" s="77"/>
      <c r="BG1082" s="77"/>
      <c r="BH1082" s="77"/>
      <c r="BI1082" s="77"/>
    </row>
    <row r="1083" spans="1:61" x14ac:dyDescent="0.25">
      <c r="A1083" s="62" t="s">
        <v>643</v>
      </c>
      <c r="B1083" s="62" t="s">
        <v>643</v>
      </c>
      <c r="C1083" s="63"/>
      <c r="D1083" s="64"/>
      <c r="E1083" s="65"/>
      <c r="F1083" s="66"/>
      <c r="G1083" s="63"/>
      <c r="H1083" s="67"/>
      <c r="I1083" s="68"/>
      <c r="J1083" s="68"/>
      <c r="K1083" s="32"/>
      <c r="L1083" s="75">
        <v>1083</v>
      </c>
      <c r="M1083" s="75"/>
      <c r="N1083" s="70"/>
      <c r="O1083" s="77" t="s">
        <v>179</v>
      </c>
      <c r="P1083" s="79">
        <v>45092.129432870373</v>
      </c>
      <c r="Q1083" s="77" t="s">
        <v>3026</v>
      </c>
      <c r="R1083" s="77">
        <v>0</v>
      </c>
      <c r="S1083" s="77">
        <v>0</v>
      </c>
      <c r="T1083" s="77">
        <v>0</v>
      </c>
      <c r="U1083" s="77">
        <v>0</v>
      </c>
      <c r="V1083" s="77">
        <v>60</v>
      </c>
      <c r="W1083" s="80" t="s">
        <v>6668</v>
      </c>
      <c r="X1083" s="77"/>
      <c r="Y1083" s="77"/>
      <c r="Z1083" s="77"/>
      <c r="AA1083" s="77"/>
      <c r="AB1083" s="77"/>
      <c r="AC1083" s="80" t="s">
        <v>10541</v>
      </c>
      <c r="AD1083" s="77" t="s">
        <v>10617</v>
      </c>
      <c r="AE1083" s="83" t="str">
        <f>HYPERLINK("https://twitter.com/andreluiztorr11/status/1669179519234703366")</f>
        <v>https://twitter.com/andreluiztorr11/status/1669179519234703366</v>
      </c>
      <c r="AF1083" s="79">
        <v>45092.129432870373</v>
      </c>
      <c r="AG1083" s="85">
        <v>45092</v>
      </c>
      <c r="AH1083" s="80" t="s">
        <v>11587</v>
      </c>
      <c r="AI1083" s="77"/>
      <c r="AJ1083" s="77"/>
      <c r="AK1083" s="77"/>
      <c r="AL1083" s="77"/>
      <c r="AM1083" s="77"/>
      <c r="AN1083" s="77"/>
      <c r="AO1083" s="77"/>
      <c r="AP1083" s="77"/>
      <c r="AQ1083" s="77"/>
      <c r="AR1083" s="77"/>
      <c r="AS1083" s="77"/>
      <c r="AT1083" s="77"/>
      <c r="AU1083" s="77"/>
      <c r="AV1083" s="83" t="str">
        <f>HYPERLINK("https://pbs.twimg.com/profile_images/1654625094965030912/ROZsUgq7_normal.jpg")</f>
        <v>https://pbs.twimg.com/profile_images/1654625094965030912/ROZsUgq7_normal.jpg</v>
      </c>
      <c r="AW1083" s="80" t="s">
        <v>16990</v>
      </c>
      <c r="AX1083" s="80" t="s">
        <v>16990</v>
      </c>
      <c r="AY1083" s="77"/>
      <c r="AZ1083" s="80" t="s">
        <v>20380</v>
      </c>
      <c r="BA1083" s="80" t="s">
        <v>20380</v>
      </c>
      <c r="BB1083" s="80" t="s">
        <v>20380</v>
      </c>
      <c r="BC1083" s="80" t="s">
        <v>16990</v>
      </c>
      <c r="BD1083" s="80" t="s">
        <v>20701</v>
      </c>
      <c r="BE1083" s="77"/>
      <c r="BF1083" s="77"/>
      <c r="BG1083" s="77"/>
      <c r="BH1083" s="77"/>
      <c r="BI1083" s="77"/>
    </row>
    <row r="1084" spans="1:61" x14ac:dyDescent="0.25">
      <c r="A1084" s="62" t="s">
        <v>643</v>
      </c>
      <c r="B1084" s="62" t="s">
        <v>643</v>
      </c>
      <c r="C1084" s="63"/>
      <c r="D1084" s="64"/>
      <c r="E1084" s="65"/>
      <c r="F1084" s="66"/>
      <c r="G1084" s="63"/>
      <c r="H1084" s="67"/>
      <c r="I1084" s="68"/>
      <c r="J1084" s="68"/>
      <c r="K1084" s="32"/>
      <c r="L1084" s="75">
        <v>1084</v>
      </c>
      <c r="M1084" s="75"/>
      <c r="N1084" s="70"/>
      <c r="O1084" s="77" t="s">
        <v>179</v>
      </c>
      <c r="P1084" s="79">
        <v>45055.628622685188</v>
      </c>
      <c r="Q1084" s="77" t="s">
        <v>3027</v>
      </c>
      <c r="R1084" s="77">
        <v>0</v>
      </c>
      <c r="S1084" s="77">
        <v>0</v>
      </c>
      <c r="T1084" s="77">
        <v>0</v>
      </c>
      <c r="U1084" s="77">
        <v>0</v>
      </c>
      <c r="V1084" s="77">
        <v>18</v>
      </c>
      <c r="W1084" s="80" t="s">
        <v>6669</v>
      </c>
      <c r="X1084" s="83" t="str">
        <f>HYPERLINK("https://soutorres.blogspot.com/?zx=58b38b5b7e2022d3")</f>
        <v>https://soutorres.blogspot.com/?zx=58b38b5b7e2022d3</v>
      </c>
      <c r="Y1084" s="77" t="s">
        <v>8671</v>
      </c>
      <c r="Z1084" s="77"/>
      <c r="AA1084" s="77" t="s">
        <v>9398</v>
      </c>
      <c r="AB1084" s="77" t="s">
        <v>10535</v>
      </c>
      <c r="AC1084" s="80" t="s">
        <v>10541</v>
      </c>
      <c r="AD1084" s="77" t="s">
        <v>10617</v>
      </c>
      <c r="AE1084" s="83" t="str">
        <f>HYPERLINK("https://twitter.com/andreluiztorr11/status/1655952066316210185")</f>
        <v>https://twitter.com/andreluiztorr11/status/1655952066316210185</v>
      </c>
      <c r="AF1084" s="79">
        <v>45055.628622685188</v>
      </c>
      <c r="AG1084" s="85">
        <v>45055</v>
      </c>
      <c r="AH1084" s="80" t="s">
        <v>11588</v>
      </c>
      <c r="AI1084" s="77" t="b">
        <v>0</v>
      </c>
      <c r="AJ1084" s="77"/>
      <c r="AK1084" s="77"/>
      <c r="AL1084" s="77"/>
      <c r="AM1084" s="77"/>
      <c r="AN1084" s="77"/>
      <c r="AO1084" s="77"/>
      <c r="AP1084" s="77"/>
      <c r="AQ1084" s="77" t="s">
        <v>14880</v>
      </c>
      <c r="AR1084" s="77"/>
      <c r="AS1084" s="77"/>
      <c r="AT1084" s="77"/>
      <c r="AU1084" s="77"/>
      <c r="AV1084" s="83" t="str">
        <f>HYPERLINK("https://pbs.twimg.com/media/FvsflF8aYAU-IBk.jpg")</f>
        <v>https://pbs.twimg.com/media/FvsflF8aYAU-IBk.jpg</v>
      </c>
      <c r="AW1084" s="80" t="s">
        <v>16991</v>
      </c>
      <c r="AX1084" s="80" t="s">
        <v>16991</v>
      </c>
      <c r="AY1084" s="77"/>
      <c r="AZ1084" s="80" t="s">
        <v>20380</v>
      </c>
      <c r="BA1084" s="80" t="s">
        <v>20380</v>
      </c>
      <c r="BB1084" s="80" t="s">
        <v>20380</v>
      </c>
      <c r="BC1084" s="80" t="s">
        <v>16991</v>
      </c>
      <c r="BD1084" s="80" t="s">
        <v>20701</v>
      </c>
      <c r="BE1084" s="77"/>
      <c r="BF1084" s="77"/>
      <c r="BG1084" s="77"/>
      <c r="BH1084" s="77"/>
      <c r="BI1084" s="77"/>
    </row>
    <row r="1085" spans="1:61" x14ac:dyDescent="0.25">
      <c r="A1085" s="62" t="s">
        <v>644</v>
      </c>
      <c r="B1085" s="62" t="s">
        <v>644</v>
      </c>
      <c r="C1085" s="63"/>
      <c r="D1085" s="64"/>
      <c r="E1085" s="65"/>
      <c r="F1085" s="66"/>
      <c r="G1085" s="63"/>
      <c r="H1085" s="67"/>
      <c r="I1085" s="68"/>
      <c r="J1085" s="68"/>
      <c r="K1085" s="32"/>
      <c r="L1085" s="75">
        <v>1085</v>
      </c>
      <c r="M1085" s="75"/>
      <c r="N1085" s="70"/>
      <c r="O1085" s="77" t="s">
        <v>179</v>
      </c>
      <c r="P1085" s="79">
        <v>45176.639756944445</v>
      </c>
      <c r="Q1085" s="77" t="s">
        <v>3028</v>
      </c>
      <c r="R1085" s="77">
        <v>0</v>
      </c>
      <c r="S1085" s="77">
        <v>1</v>
      </c>
      <c r="T1085" s="77">
        <v>0</v>
      </c>
      <c r="U1085" s="77">
        <v>0</v>
      </c>
      <c r="V1085" s="77">
        <v>180</v>
      </c>
      <c r="W1085" s="80" t="s">
        <v>6670</v>
      </c>
      <c r="X1085" s="83" t="str">
        <f>HYPERLINK("https://www.diarioelcentro.cl/2023/09/07/banco-central-bajo-la-tasa-de-interes-y-se-espera-que-a-fin-de-ano-se-ubique-en-torno-a-7-5/?feed_id=1108&amp;_unique_id=64f9ea6b23d41")</f>
        <v>https://www.diarioelcentro.cl/2023/09/07/banco-central-bajo-la-tasa-de-interes-y-se-espera-que-a-fin-de-ano-se-ubique-en-torno-a-7-5/?feed_id=1108&amp;_unique_id=64f9ea6b23d41</v>
      </c>
      <c r="Y1085" s="77" t="s">
        <v>8714</v>
      </c>
      <c r="Z1085" s="77"/>
      <c r="AA1085" s="77"/>
      <c r="AB1085" s="77"/>
      <c r="AC1085" s="80" t="s">
        <v>10578</v>
      </c>
      <c r="AD1085" s="77" t="s">
        <v>10620</v>
      </c>
      <c r="AE1085" s="83" t="str">
        <f>HYPERLINK("https://twitter.com/diarioelcentro/status/1699805032646861204")</f>
        <v>https://twitter.com/diarioelcentro/status/1699805032646861204</v>
      </c>
      <c r="AF1085" s="79">
        <v>45176.639756944445</v>
      </c>
      <c r="AG1085" s="85">
        <v>45176</v>
      </c>
      <c r="AH1085" s="80" t="s">
        <v>11589</v>
      </c>
      <c r="AI1085" s="77" t="b">
        <v>0</v>
      </c>
      <c r="AJ1085" s="77"/>
      <c r="AK1085" s="77"/>
      <c r="AL1085" s="77"/>
      <c r="AM1085" s="77"/>
      <c r="AN1085" s="77"/>
      <c r="AO1085" s="77"/>
      <c r="AP1085" s="77"/>
      <c r="AQ1085" s="77"/>
      <c r="AR1085" s="77"/>
      <c r="AS1085" s="77"/>
      <c r="AT1085" s="77"/>
      <c r="AU1085" s="77"/>
      <c r="AV1085" s="83" t="str">
        <f>HYPERLINK("https://pbs.twimg.com/profile_images/1704968839010668544/X8jJMWNr_normal.jpg")</f>
        <v>https://pbs.twimg.com/profile_images/1704968839010668544/X8jJMWNr_normal.jpg</v>
      </c>
      <c r="AW1085" s="80" t="s">
        <v>16992</v>
      </c>
      <c r="AX1085" s="80" t="s">
        <v>16992</v>
      </c>
      <c r="AY1085" s="77"/>
      <c r="AZ1085" s="80" t="s">
        <v>20380</v>
      </c>
      <c r="BA1085" s="80" t="s">
        <v>20380</v>
      </c>
      <c r="BB1085" s="80" t="s">
        <v>20380</v>
      </c>
      <c r="BC1085" s="80" t="s">
        <v>16992</v>
      </c>
      <c r="BD1085" s="77">
        <v>98952456</v>
      </c>
      <c r="BE1085" s="77"/>
      <c r="BF1085" s="77"/>
      <c r="BG1085" s="77"/>
      <c r="BH1085" s="77"/>
      <c r="BI1085" s="77"/>
    </row>
    <row r="1086" spans="1:61" x14ac:dyDescent="0.25">
      <c r="A1086" s="62" t="s">
        <v>645</v>
      </c>
      <c r="B1086" s="62" t="s">
        <v>645</v>
      </c>
      <c r="C1086" s="63"/>
      <c r="D1086" s="64"/>
      <c r="E1086" s="65"/>
      <c r="F1086" s="66"/>
      <c r="G1086" s="63"/>
      <c r="H1086" s="67"/>
      <c r="I1086" s="68"/>
      <c r="J1086" s="68"/>
      <c r="K1086" s="32"/>
      <c r="L1086" s="75">
        <v>1086</v>
      </c>
      <c r="M1086" s="75"/>
      <c r="N1086" s="70"/>
      <c r="O1086" s="77" t="s">
        <v>179</v>
      </c>
      <c r="P1086" s="79">
        <v>45183.911898148152</v>
      </c>
      <c r="Q1086" s="77" t="s">
        <v>3029</v>
      </c>
      <c r="R1086" s="77">
        <v>10</v>
      </c>
      <c r="S1086" s="77">
        <v>24</v>
      </c>
      <c r="T1086" s="77">
        <v>4</v>
      </c>
      <c r="U1086" s="77">
        <v>1</v>
      </c>
      <c r="V1086" s="77">
        <v>733</v>
      </c>
      <c r="W1086" s="80" t="s">
        <v>6671</v>
      </c>
      <c r="X1086" s="77"/>
      <c r="Y1086" s="77"/>
      <c r="Z1086" s="77"/>
      <c r="AA1086" s="77"/>
      <c r="AB1086" s="77"/>
      <c r="AC1086" s="80" t="s">
        <v>10541</v>
      </c>
      <c r="AD1086" s="77" t="s">
        <v>10620</v>
      </c>
      <c r="AE1086" s="83" t="str">
        <f>HYPERLINK("https://twitter.com/ronyfeeneykraus/status/1702440369978310790")</f>
        <v>https://twitter.com/ronyfeeneykraus/status/1702440369978310790</v>
      </c>
      <c r="AF1086" s="79">
        <v>45183.911898148152</v>
      </c>
      <c r="AG1086" s="85">
        <v>45183</v>
      </c>
      <c r="AH1086" s="80" t="s">
        <v>11590</v>
      </c>
      <c r="AI1086" s="77"/>
      <c r="AJ1086" s="77"/>
      <c r="AK1086" s="77"/>
      <c r="AL1086" s="77"/>
      <c r="AM1086" s="77"/>
      <c r="AN1086" s="77"/>
      <c r="AO1086" s="77"/>
      <c r="AP1086" s="77"/>
      <c r="AQ1086" s="77"/>
      <c r="AR1086" s="77"/>
      <c r="AS1086" s="77"/>
      <c r="AT1086" s="77"/>
      <c r="AU1086" s="77"/>
      <c r="AV1086" s="83" t="str">
        <f>HYPERLINK("https://pbs.twimg.com/profile_images/734540003255197696/5ojVTgof_normal.jpg")</f>
        <v>https://pbs.twimg.com/profile_images/734540003255197696/5ojVTgof_normal.jpg</v>
      </c>
      <c r="AW1086" s="80" t="s">
        <v>16993</v>
      </c>
      <c r="AX1086" s="80" t="s">
        <v>16993</v>
      </c>
      <c r="AY1086" s="77"/>
      <c r="AZ1086" s="80" t="s">
        <v>20380</v>
      </c>
      <c r="BA1086" s="80" t="s">
        <v>20380</v>
      </c>
      <c r="BB1086" s="80" t="s">
        <v>20380</v>
      </c>
      <c r="BC1086" s="80" t="s">
        <v>16993</v>
      </c>
      <c r="BD1086" s="77">
        <v>844465704</v>
      </c>
      <c r="BE1086" s="77"/>
      <c r="BF1086" s="77"/>
      <c r="BG1086" s="77"/>
      <c r="BH1086" s="77"/>
      <c r="BI1086" s="77"/>
    </row>
    <row r="1087" spans="1:61" x14ac:dyDescent="0.25">
      <c r="A1087" s="62" t="s">
        <v>646</v>
      </c>
      <c r="B1087" s="62" t="s">
        <v>1615</v>
      </c>
      <c r="C1087" s="63"/>
      <c r="D1087" s="64"/>
      <c r="E1087" s="65"/>
      <c r="F1087" s="66"/>
      <c r="G1087" s="63"/>
      <c r="H1087" s="67"/>
      <c r="I1087" s="68"/>
      <c r="J1087" s="68"/>
      <c r="K1087" s="32"/>
      <c r="L1087" s="75">
        <v>1087</v>
      </c>
      <c r="M1087" s="75"/>
      <c r="N1087" s="70"/>
      <c r="O1087" s="77" t="s">
        <v>2083</v>
      </c>
      <c r="P1087" s="79">
        <v>45189.419351851851</v>
      </c>
      <c r="Q1087" s="77" t="s">
        <v>2102</v>
      </c>
      <c r="R1087" s="77">
        <v>10</v>
      </c>
      <c r="S1087" s="77">
        <v>0</v>
      </c>
      <c r="T1087" s="77">
        <v>0</v>
      </c>
      <c r="U1087" s="77">
        <v>0</v>
      </c>
      <c r="V1087" s="77"/>
      <c r="W1087" s="80" t="s">
        <v>5899</v>
      </c>
      <c r="X1087" s="77"/>
      <c r="Y1087" s="77"/>
      <c r="Z1087" s="77" t="s">
        <v>1615</v>
      </c>
      <c r="AA1087" s="77" t="s">
        <v>9047</v>
      </c>
      <c r="AB1087" s="77" t="s">
        <v>10535</v>
      </c>
      <c r="AC1087" s="80" t="s">
        <v>10542</v>
      </c>
      <c r="AD1087" s="77" t="s">
        <v>10619</v>
      </c>
      <c r="AE1087" s="83" t="str">
        <f>HYPERLINK("https://twitter.com/iamaureo/status/1704436205226443219")</f>
        <v>https://twitter.com/iamaureo/status/1704436205226443219</v>
      </c>
      <c r="AF1087" s="79">
        <v>45189.419351851851</v>
      </c>
      <c r="AG1087" s="85">
        <v>45189</v>
      </c>
      <c r="AH1087" s="80" t="s">
        <v>11591</v>
      </c>
      <c r="AI1087" s="77" t="b">
        <v>0</v>
      </c>
      <c r="AJ1087" s="77"/>
      <c r="AK1087" s="77"/>
      <c r="AL1087" s="77"/>
      <c r="AM1087" s="77"/>
      <c r="AN1087" s="77"/>
      <c r="AO1087" s="77"/>
      <c r="AP1087" s="77"/>
      <c r="AQ1087" s="77" t="s">
        <v>14529</v>
      </c>
      <c r="AR1087" s="77"/>
      <c r="AS1087" s="77"/>
      <c r="AT1087" s="77"/>
      <c r="AU1087" s="77"/>
      <c r="AV1087" s="83" t="str">
        <f>HYPERLINK("https://pbs.twimg.com/media/F6c2kgoWAAAEEnO.jpg")</f>
        <v>https://pbs.twimg.com/media/F6c2kgoWAAAEEnO.jpg</v>
      </c>
      <c r="AW1087" s="80" t="s">
        <v>16994</v>
      </c>
      <c r="AX1087" s="80" t="s">
        <v>16994</v>
      </c>
      <c r="AY1087" s="77"/>
      <c r="AZ1087" s="80" t="s">
        <v>20380</v>
      </c>
      <c r="BA1087" s="80" t="s">
        <v>20380</v>
      </c>
      <c r="BB1087" s="80" t="s">
        <v>19728</v>
      </c>
      <c r="BC1087" s="80" t="s">
        <v>19728</v>
      </c>
      <c r="BD1087" s="77">
        <v>383085815</v>
      </c>
      <c r="BE1087" s="77"/>
      <c r="BF1087" s="77"/>
      <c r="BG1087" s="77"/>
      <c r="BH1087" s="77"/>
      <c r="BI1087" s="77"/>
    </row>
    <row r="1088" spans="1:61" x14ac:dyDescent="0.25">
      <c r="A1088" s="62" t="s">
        <v>647</v>
      </c>
      <c r="B1088" s="62" t="s">
        <v>1827</v>
      </c>
      <c r="C1088" s="63"/>
      <c r="D1088" s="64"/>
      <c r="E1088" s="65"/>
      <c r="F1088" s="66"/>
      <c r="G1088" s="63"/>
      <c r="H1088" s="67"/>
      <c r="I1088" s="68"/>
      <c r="J1088" s="68"/>
      <c r="K1088" s="32"/>
      <c r="L1088" s="75">
        <v>1088</v>
      </c>
      <c r="M1088" s="75"/>
      <c r="N1088" s="70"/>
      <c r="O1088" s="77" t="s">
        <v>2081</v>
      </c>
      <c r="P1088" s="79">
        <v>45067.694907407407</v>
      </c>
      <c r="Q1088" s="77" t="s">
        <v>3030</v>
      </c>
      <c r="R1088" s="77">
        <v>0</v>
      </c>
      <c r="S1088" s="77">
        <v>0</v>
      </c>
      <c r="T1088" s="77">
        <v>0</v>
      </c>
      <c r="U1088" s="77">
        <v>1</v>
      </c>
      <c r="V1088" s="77">
        <v>82</v>
      </c>
      <c r="W1088" s="80" t="s">
        <v>6672</v>
      </c>
      <c r="X1088" s="83" t="str">
        <f>HYPERLINK("https://youtu.be/XupbXOSDSxQ")</f>
        <v>https://youtu.be/XupbXOSDSxQ</v>
      </c>
      <c r="Y1088" s="77" t="s">
        <v>8635</v>
      </c>
      <c r="Z1088" s="77" t="s">
        <v>1827</v>
      </c>
      <c r="AA1088" s="77"/>
      <c r="AB1088" s="77"/>
      <c r="AC1088" s="80" t="s">
        <v>10541</v>
      </c>
      <c r="AD1088" s="77" t="s">
        <v>10620</v>
      </c>
      <c r="AE1088" s="83" t="str">
        <f>HYPERLINK("https://twitter.com/humbertomayora8/status/1660324740635185153")</f>
        <v>https://twitter.com/humbertomayora8/status/1660324740635185153</v>
      </c>
      <c r="AF1088" s="79">
        <v>45067.694907407407</v>
      </c>
      <c r="AG1088" s="85">
        <v>45067</v>
      </c>
      <c r="AH1088" s="80" t="s">
        <v>11592</v>
      </c>
      <c r="AI1088" s="77" t="b">
        <v>0</v>
      </c>
      <c r="AJ1088" s="77"/>
      <c r="AK1088" s="77"/>
      <c r="AL1088" s="77"/>
      <c r="AM1088" s="77"/>
      <c r="AN1088" s="77"/>
      <c r="AO1088" s="77"/>
      <c r="AP1088" s="77"/>
      <c r="AQ1088" s="77"/>
      <c r="AR1088" s="77"/>
      <c r="AS1088" s="77"/>
      <c r="AT1088" s="77"/>
      <c r="AU1088" s="77"/>
      <c r="AV1088" s="83" t="str">
        <f>HYPERLINK("https://pbs.twimg.com/profile_images/1473113888371576833/aobJkV8Q_normal.jpg")</f>
        <v>https://pbs.twimg.com/profile_images/1473113888371576833/aobJkV8Q_normal.jpg</v>
      </c>
      <c r="AW1088" s="80" t="s">
        <v>16995</v>
      </c>
      <c r="AX1088" s="80" t="s">
        <v>16995</v>
      </c>
      <c r="AY1088" s="77"/>
      <c r="AZ1088" s="80" t="s">
        <v>20380</v>
      </c>
      <c r="BA1088" s="80" t="s">
        <v>20380</v>
      </c>
      <c r="BB1088" s="80" t="s">
        <v>20380</v>
      </c>
      <c r="BC1088" s="80" t="s">
        <v>16995</v>
      </c>
      <c r="BD1088" s="80" t="s">
        <v>20702</v>
      </c>
      <c r="BE1088" s="77"/>
      <c r="BF1088" s="77"/>
      <c r="BG1088" s="77"/>
      <c r="BH1088" s="77"/>
      <c r="BI1088" s="77"/>
    </row>
    <row r="1089" spans="1:61" x14ac:dyDescent="0.25">
      <c r="A1089" s="62" t="s">
        <v>647</v>
      </c>
      <c r="B1089" s="62" t="s">
        <v>1828</v>
      </c>
      <c r="C1089" s="63"/>
      <c r="D1089" s="64"/>
      <c r="E1089" s="65"/>
      <c r="F1089" s="66"/>
      <c r="G1089" s="63"/>
      <c r="H1089" s="67"/>
      <c r="I1089" s="68"/>
      <c r="J1089" s="68"/>
      <c r="K1089" s="32"/>
      <c r="L1089" s="75">
        <v>1089</v>
      </c>
      <c r="M1089" s="75"/>
      <c r="N1089" s="70"/>
      <c r="O1089" s="77" t="s">
        <v>2084</v>
      </c>
      <c r="P1089" s="79">
        <v>45067.699189814812</v>
      </c>
      <c r="Q1089" s="77" t="s">
        <v>3031</v>
      </c>
      <c r="R1089" s="77">
        <v>0</v>
      </c>
      <c r="S1089" s="77">
        <v>0</v>
      </c>
      <c r="T1089" s="77">
        <v>0</v>
      </c>
      <c r="U1089" s="77">
        <v>0</v>
      </c>
      <c r="V1089" s="77">
        <v>70</v>
      </c>
      <c r="W1089" s="80" t="s">
        <v>6673</v>
      </c>
      <c r="X1089" s="77"/>
      <c r="Y1089" s="77"/>
      <c r="Z1089" s="77" t="s">
        <v>1828</v>
      </c>
      <c r="AA1089" s="77"/>
      <c r="AB1089" s="77"/>
      <c r="AC1089" s="80" t="s">
        <v>10541</v>
      </c>
      <c r="AD1089" s="77" t="s">
        <v>10620</v>
      </c>
      <c r="AE1089" s="83" t="str">
        <f>HYPERLINK("https://twitter.com/humbertomayora8/status/1660326295396556801")</f>
        <v>https://twitter.com/humbertomayora8/status/1660326295396556801</v>
      </c>
      <c r="AF1089" s="79">
        <v>45067.699189814812</v>
      </c>
      <c r="AG1089" s="85">
        <v>45067</v>
      </c>
      <c r="AH1089" s="80" t="s">
        <v>11593</v>
      </c>
      <c r="AI1089" s="77"/>
      <c r="AJ1089" s="77"/>
      <c r="AK1089" s="77"/>
      <c r="AL1089" s="77"/>
      <c r="AM1089" s="77"/>
      <c r="AN1089" s="77"/>
      <c r="AO1089" s="77"/>
      <c r="AP1089" s="77"/>
      <c r="AQ1089" s="77"/>
      <c r="AR1089" s="77"/>
      <c r="AS1089" s="77"/>
      <c r="AT1089" s="77"/>
      <c r="AU1089" s="77"/>
      <c r="AV1089" s="83" t="str">
        <f>HYPERLINK("https://pbs.twimg.com/profile_images/1473113888371576833/aobJkV8Q_normal.jpg")</f>
        <v>https://pbs.twimg.com/profile_images/1473113888371576833/aobJkV8Q_normal.jpg</v>
      </c>
      <c r="AW1089" s="80" t="s">
        <v>16996</v>
      </c>
      <c r="AX1089" s="80" t="s">
        <v>16996</v>
      </c>
      <c r="AY1089" s="77"/>
      <c r="AZ1089" s="80" t="s">
        <v>20380</v>
      </c>
      <c r="BA1089" s="80" t="s">
        <v>16995</v>
      </c>
      <c r="BB1089" s="80" t="s">
        <v>20380</v>
      </c>
      <c r="BC1089" s="80" t="s">
        <v>16995</v>
      </c>
      <c r="BD1089" s="80" t="s">
        <v>20702</v>
      </c>
      <c r="BE1089" s="77"/>
      <c r="BF1089" s="77"/>
      <c r="BG1089" s="77"/>
      <c r="BH1089" s="77"/>
      <c r="BI1089" s="77"/>
    </row>
    <row r="1090" spans="1:61" x14ac:dyDescent="0.25">
      <c r="A1090" s="62" t="s">
        <v>647</v>
      </c>
      <c r="B1090" s="62" t="s">
        <v>647</v>
      </c>
      <c r="C1090" s="63"/>
      <c r="D1090" s="64"/>
      <c r="E1090" s="65"/>
      <c r="F1090" s="66"/>
      <c r="G1090" s="63"/>
      <c r="H1090" s="67"/>
      <c r="I1090" s="68"/>
      <c r="J1090" s="68"/>
      <c r="K1090" s="32"/>
      <c r="L1090" s="75">
        <v>1090</v>
      </c>
      <c r="M1090" s="75"/>
      <c r="N1090" s="70"/>
      <c r="O1090" s="77" t="s">
        <v>2082</v>
      </c>
      <c r="P1090" s="79">
        <v>45067.699189814812</v>
      </c>
      <c r="Q1090" s="77" t="s">
        <v>3031</v>
      </c>
      <c r="R1090" s="77">
        <v>0</v>
      </c>
      <c r="S1090" s="77">
        <v>0</v>
      </c>
      <c r="T1090" s="77">
        <v>0</v>
      </c>
      <c r="U1090" s="77">
        <v>0</v>
      </c>
      <c r="V1090" s="77">
        <v>70</v>
      </c>
      <c r="W1090" s="80" t="s">
        <v>6673</v>
      </c>
      <c r="X1090" s="77"/>
      <c r="Y1090" s="77"/>
      <c r="Z1090" s="77" t="s">
        <v>1828</v>
      </c>
      <c r="AA1090" s="77"/>
      <c r="AB1090" s="77"/>
      <c r="AC1090" s="80" t="s">
        <v>10541</v>
      </c>
      <c r="AD1090" s="77" t="s">
        <v>10620</v>
      </c>
      <c r="AE1090" s="83" t="str">
        <f>HYPERLINK("https://twitter.com/humbertomayora8/status/1660326295396556801")</f>
        <v>https://twitter.com/humbertomayora8/status/1660326295396556801</v>
      </c>
      <c r="AF1090" s="79">
        <v>45067.699189814812</v>
      </c>
      <c r="AG1090" s="85">
        <v>45067</v>
      </c>
      <c r="AH1090" s="80" t="s">
        <v>11593</v>
      </c>
      <c r="AI1090" s="77"/>
      <c r="AJ1090" s="77"/>
      <c r="AK1090" s="77"/>
      <c r="AL1090" s="77"/>
      <c r="AM1090" s="77"/>
      <c r="AN1090" s="77"/>
      <c r="AO1090" s="77"/>
      <c r="AP1090" s="77"/>
      <c r="AQ1090" s="77"/>
      <c r="AR1090" s="77"/>
      <c r="AS1090" s="77"/>
      <c r="AT1090" s="77"/>
      <c r="AU1090" s="77"/>
      <c r="AV1090" s="83" t="str">
        <f>HYPERLINK("https://pbs.twimg.com/profile_images/1473113888371576833/aobJkV8Q_normal.jpg")</f>
        <v>https://pbs.twimg.com/profile_images/1473113888371576833/aobJkV8Q_normal.jpg</v>
      </c>
      <c r="AW1090" s="80" t="s">
        <v>16996</v>
      </c>
      <c r="AX1090" s="80" t="s">
        <v>16996</v>
      </c>
      <c r="AY1090" s="77"/>
      <c r="AZ1090" s="80" t="s">
        <v>20380</v>
      </c>
      <c r="BA1090" s="80" t="s">
        <v>16995</v>
      </c>
      <c r="BB1090" s="80" t="s">
        <v>20380</v>
      </c>
      <c r="BC1090" s="80" t="s">
        <v>16995</v>
      </c>
      <c r="BD1090" s="80" t="s">
        <v>20702</v>
      </c>
      <c r="BE1090" s="77"/>
      <c r="BF1090" s="77"/>
      <c r="BG1090" s="77"/>
      <c r="BH1090" s="77"/>
      <c r="BI1090" s="77"/>
    </row>
    <row r="1091" spans="1:61" x14ac:dyDescent="0.25">
      <c r="A1091" s="62" t="s">
        <v>648</v>
      </c>
      <c r="B1091" s="62" t="s">
        <v>1596</v>
      </c>
      <c r="C1091" s="63"/>
      <c r="D1091" s="64"/>
      <c r="E1091" s="65"/>
      <c r="F1091" s="66"/>
      <c r="G1091" s="63"/>
      <c r="H1091" s="67"/>
      <c r="I1091" s="68"/>
      <c r="J1091" s="68"/>
      <c r="K1091" s="32"/>
      <c r="L1091" s="75">
        <v>1091</v>
      </c>
      <c r="M1091" s="75"/>
      <c r="N1091" s="70"/>
      <c r="O1091" s="77" t="s">
        <v>2081</v>
      </c>
      <c r="P1091" s="79">
        <v>45098.964502314811</v>
      </c>
      <c r="Q1091" s="77" t="s">
        <v>3032</v>
      </c>
      <c r="R1091" s="77">
        <v>0</v>
      </c>
      <c r="S1091" s="77">
        <v>0</v>
      </c>
      <c r="T1091" s="77">
        <v>0</v>
      </c>
      <c r="U1091" s="77">
        <v>0</v>
      </c>
      <c r="V1091" s="77">
        <v>55</v>
      </c>
      <c r="W1091" s="80" t="s">
        <v>6008</v>
      </c>
      <c r="X1091" s="83" t="str">
        <f>HYPERLINK("https://www.bcb.gov.br/detalhenoticia/17920/nota")</f>
        <v>https://www.bcb.gov.br/detalhenoticia/17920/nota</v>
      </c>
      <c r="Y1091" s="77" t="s">
        <v>8633</v>
      </c>
      <c r="Z1091" s="77" t="s">
        <v>1596</v>
      </c>
      <c r="AA1091" s="77"/>
      <c r="AB1091" s="77"/>
      <c r="AC1091" s="80" t="s">
        <v>10541</v>
      </c>
      <c r="AD1091" s="77" t="s">
        <v>10617</v>
      </c>
      <c r="AE1091" s="83" t="str">
        <f>HYPERLINK("https://twitter.com/rafaelpahim/status/1671656463524143106")</f>
        <v>https://twitter.com/rafaelpahim/status/1671656463524143106</v>
      </c>
      <c r="AF1091" s="79">
        <v>45098.964502314811</v>
      </c>
      <c r="AG1091" s="85">
        <v>45098</v>
      </c>
      <c r="AH1091" s="80" t="s">
        <v>11594</v>
      </c>
      <c r="AI1091" s="77" t="b">
        <v>0</v>
      </c>
      <c r="AJ1091" s="77"/>
      <c r="AK1091" s="77"/>
      <c r="AL1091" s="77"/>
      <c r="AM1091" s="77"/>
      <c r="AN1091" s="77"/>
      <c r="AO1091" s="77"/>
      <c r="AP1091" s="77"/>
      <c r="AQ1091" s="77"/>
      <c r="AR1091" s="77"/>
      <c r="AS1091" s="77"/>
      <c r="AT1091" s="77"/>
      <c r="AU1091" s="77"/>
      <c r="AV1091" s="83" t="str">
        <f>HYPERLINK("https://pbs.twimg.com/profile_images/1568369012194639872/FrTx_b9p_normal.jpg")</f>
        <v>https://pbs.twimg.com/profile_images/1568369012194639872/FrTx_b9p_normal.jpg</v>
      </c>
      <c r="AW1091" s="80" t="s">
        <v>16997</v>
      </c>
      <c r="AX1091" s="80" t="s">
        <v>16997</v>
      </c>
      <c r="AY1091" s="77"/>
      <c r="AZ1091" s="80" t="s">
        <v>20380</v>
      </c>
      <c r="BA1091" s="80" t="s">
        <v>20380</v>
      </c>
      <c r="BB1091" s="80" t="s">
        <v>20380</v>
      </c>
      <c r="BC1091" s="80" t="s">
        <v>16997</v>
      </c>
      <c r="BD1091" s="77">
        <v>80714028</v>
      </c>
      <c r="BE1091" s="77"/>
      <c r="BF1091" s="77"/>
      <c r="BG1091" s="77"/>
      <c r="BH1091" s="77"/>
      <c r="BI1091" s="77"/>
    </row>
    <row r="1092" spans="1:61" x14ac:dyDescent="0.25">
      <c r="A1092" s="62" t="s">
        <v>649</v>
      </c>
      <c r="B1092" s="62" t="s">
        <v>649</v>
      </c>
      <c r="C1092" s="63"/>
      <c r="D1092" s="64"/>
      <c r="E1092" s="65"/>
      <c r="F1092" s="66"/>
      <c r="G1092" s="63"/>
      <c r="H1092" s="67"/>
      <c r="I1092" s="68"/>
      <c r="J1092" s="68"/>
      <c r="K1092" s="32"/>
      <c r="L1092" s="75">
        <v>1092</v>
      </c>
      <c r="M1092" s="75"/>
      <c r="N1092" s="70"/>
      <c r="O1092" s="77" t="s">
        <v>179</v>
      </c>
      <c r="P1092" s="79">
        <v>45107.425393518519</v>
      </c>
      <c r="Q1092" s="77" t="s">
        <v>3033</v>
      </c>
      <c r="R1092" s="77">
        <v>0</v>
      </c>
      <c r="S1092" s="77">
        <v>1</v>
      </c>
      <c r="T1092" s="77">
        <v>0</v>
      </c>
      <c r="U1092" s="77">
        <v>0</v>
      </c>
      <c r="V1092" s="77">
        <v>56</v>
      </c>
      <c r="W1092" s="80" t="s">
        <v>6674</v>
      </c>
      <c r="X1092" s="77"/>
      <c r="Y1092" s="77"/>
      <c r="Z1092" s="77"/>
      <c r="AA1092" s="77" t="s">
        <v>9399</v>
      </c>
      <c r="AB1092" s="77" t="s">
        <v>10538</v>
      </c>
      <c r="AC1092" s="80" t="s">
        <v>10540</v>
      </c>
      <c r="AD1092" s="77" t="s">
        <v>10617</v>
      </c>
      <c r="AE1092" s="83" t="str">
        <f>HYPERLINK("https://twitter.com/wellitonresende/status/1674722589749522432")</f>
        <v>https://twitter.com/wellitonresende/status/1674722589749522432</v>
      </c>
      <c r="AF1092" s="79">
        <v>45107.425393518519</v>
      </c>
      <c r="AG1092" s="85">
        <v>45107</v>
      </c>
      <c r="AH1092" s="80" t="s">
        <v>11595</v>
      </c>
      <c r="AI1092" s="77" t="b">
        <v>0</v>
      </c>
      <c r="AJ1092" s="77" t="s">
        <v>14351</v>
      </c>
      <c r="AK1092" s="77" t="s">
        <v>14382</v>
      </c>
      <c r="AL1092" s="77" t="s">
        <v>14391</v>
      </c>
      <c r="AM1092" s="77" t="s">
        <v>14408</v>
      </c>
      <c r="AN1092" s="77" t="s">
        <v>14448</v>
      </c>
      <c r="AO1092" s="77" t="s">
        <v>14487</v>
      </c>
      <c r="AP1092" s="77" t="s">
        <v>14517</v>
      </c>
      <c r="AQ1092" s="77" t="s">
        <v>14881</v>
      </c>
      <c r="AR1092" s="77"/>
      <c r="AS1092" s="77"/>
      <c r="AT1092" s="77"/>
      <c r="AU1092" s="77"/>
      <c r="AV1092" s="83" t="str">
        <f>HYPERLINK("https://pbs.twimg.com/media/Fz3PT55WYAEBOPu.jpg")</f>
        <v>https://pbs.twimg.com/media/Fz3PT55WYAEBOPu.jpg</v>
      </c>
      <c r="AW1092" s="80" t="s">
        <v>16998</v>
      </c>
      <c r="AX1092" s="80" t="s">
        <v>16998</v>
      </c>
      <c r="AY1092" s="77"/>
      <c r="AZ1092" s="80" t="s">
        <v>20380</v>
      </c>
      <c r="BA1092" s="80" t="s">
        <v>20380</v>
      </c>
      <c r="BB1092" s="80" t="s">
        <v>20380</v>
      </c>
      <c r="BC1092" s="80" t="s">
        <v>16998</v>
      </c>
      <c r="BD1092" s="77">
        <v>96735923</v>
      </c>
      <c r="BE1092" s="77"/>
      <c r="BF1092" s="77"/>
      <c r="BG1092" s="77"/>
      <c r="BH1092" s="77"/>
      <c r="BI1092" s="77"/>
    </row>
    <row r="1093" spans="1:61" x14ac:dyDescent="0.25">
      <c r="A1093" s="62" t="s">
        <v>650</v>
      </c>
      <c r="B1093" s="62" t="s">
        <v>650</v>
      </c>
      <c r="C1093" s="63"/>
      <c r="D1093" s="64"/>
      <c r="E1093" s="65"/>
      <c r="F1093" s="66"/>
      <c r="G1093" s="63"/>
      <c r="H1093" s="67"/>
      <c r="I1093" s="68"/>
      <c r="J1093" s="68"/>
      <c r="K1093" s="32"/>
      <c r="L1093" s="75">
        <v>1093</v>
      </c>
      <c r="M1093" s="75"/>
      <c r="N1093" s="70"/>
      <c r="O1093" s="77" t="s">
        <v>2078</v>
      </c>
      <c r="P1093" s="79">
        <v>45056.848194444443</v>
      </c>
      <c r="Q1093" s="77" t="s">
        <v>3034</v>
      </c>
      <c r="R1093" s="77">
        <v>0</v>
      </c>
      <c r="S1093" s="77">
        <v>0</v>
      </c>
      <c r="T1093" s="77">
        <v>0</v>
      </c>
      <c r="U1093" s="77">
        <v>0</v>
      </c>
      <c r="V1093" s="77">
        <v>6</v>
      </c>
      <c r="W1093" s="80" t="s">
        <v>6675</v>
      </c>
      <c r="X1093" s="83" t="str">
        <f>HYPERLINK("https://manausolimpica.com.br/site/noticia/bancos-fecham-2022-com-lucro-liquido-de-r--139-bi-/")</f>
        <v>https://manausolimpica.com.br/site/noticia/bancos-fecham-2022-com-lucro-liquido-de-r--139-bi-/</v>
      </c>
      <c r="Y1093" s="77" t="s">
        <v>8611</v>
      </c>
      <c r="Z1093" s="77"/>
      <c r="AA1093" s="77"/>
      <c r="AB1093" s="77"/>
      <c r="AC1093" s="80" t="s">
        <v>10541</v>
      </c>
      <c r="AD1093" s="77" t="s">
        <v>10617</v>
      </c>
      <c r="AE1093" s="83" t="str">
        <f>HYPERLINK("https://twitter.com/manausolimpica/status/1656394026268934145")</f>
        <v>https://twitter.com/manausolimpica/status/1656394026268934145</v>
      </c>
      <c r="AF1093" s="79">
        <v>45056.848194444443</v>
      </c>
      <c r="AG1093" s="85">
        <v>45056</v>
      </c>
      <c r="AH1093" s="80" t="s">
        <v>11596</v>
      </c>
      <c r="AI1093" s="77" t="b">
        <v>0</v>
      </c>
      <c r="AJ1093" s="77"/>
      <c r="AK1093" s="77"/>
      <c r="AL1093" s="77"/>
      <c r="AM1093" s="77"/>
      <c r="AN1093" s="77"/>
      <c r="AO1093" s="77"/>
      <c r="AP1093" s="77"/>
      <c r="AQ1093" s="77"/>
      <c r="AR1093" s="77"/>
      <c r="AS1093" s="77"/>
      <c r="AT1093" s="77"/>
      <c r="AU1093" s="77"/>
      <c r="AV1093" s="83" t="str">
        <f>HYPERLINK("https://pbs.twimg.com/profile_images/1631773527178194948/BqacXnjd_normal.jpg")</f>
        <v>https://pbs.twimg.com/profile_images/1631773527178194948/BqacXnjd_normal.jpg</v>
      </c>
      <c r="AW1093" s="80" t="s">
        <v>16999</v>
      </c>
      <c r="AX1093" s="80" t="s">
        <v>20004</v>
      </c>
      <c r="AY1093" s="80" t="s">
        <v>20261</v>
      </c>
      <c r="AZ1093" s="80" t="s">
        <v>20004</v>
      </c>
      <c r="BA1093" s="80" t="s">
        <v>20380</v>
      </c>
      <c r="BB1093" s="80" t="s">
        <v>20380</v>
      </c>
      <c r="BC1093" s="80" t="s">
        <v>20004</v>
      </c>
      <c r="BD1093" s="80" t="s">
        <v>20261</v>
      </c>
      <c r="BE1093" s="77"/>
      <c r="BF1093" s="77"/>
      <c r="BG1093" s="77"/>
      <c r="BH1093" s="77"/>
      <c r="BI1093" s="77"/>
    </row>
    <row r="1094" spans="1:61" x14ac:dyDescent="0.25">
      <c r="A1094" s="62" t="s">
        <v>650</v>
      </c>
      <c r="B1094" s="62" t="s">
        <v>650</v>
      </c>
      <c r="C1094" s="63"/>
      <c r="D1094" s="64"/>
      <c r="E1094" s="65"/>
      <c r="F1094" s="66"/>
      <c r="G1094" s="63"/>
      <c r="H1094" s="67"/>
      <c r="I1094" s="68"/>
      <c r="J1094" s="68"/>
      <c r="K1094" s="32"/>
      <c r="L1094" s="75">
        <v>1094</v>
      </c>
      <c r="M1094" s="75"/>
      <c r="N1094" s="70"/>
      <c r="O1094" s="77" t="s">
        <v>2078</v>
      </c>
      <c r="P1094" s="79">
        <v>45098.927754629629</v>
      </c>
      <c r="Q1094" s="77" t="s">
        <v>3035</v>
      </c>
      <c r="R1094" s="77">
        <v>0</v>
      </c>
      <c r="S1094" s="77">
        <v>0</v>
      </c>
      <c r="T1094" s="77">
        <v>0</v>
      </c>
      <c r="U1094" s="77">
        <v>0</v>
      </c>
      <c r="V1094" s="77">
        <v>36</v>
      </c>
      <c r="W1094" s="80" t="s">
        <v>6250</v>
      </c>
      <c r="X1094" s="83" t="str">
        <f>HYPERLINK("https://manausolimpica.com.br/site/noticia/pix-automatico-deve-chegar-em-abril-de-2024/")</f>
        <v>https://manausolimpica.com.br/site/noticia/pix-automatico-deve-chegar-em-abril-de-2024/</v>
      </c>
      <c r="Y1094" s="77" t="s">
        <v>8611</v>
      </c>
      <c r="Z1094" s="77"/>
      <c r="AA1094" s="77"/>
      <c r="AB1094" s="77"/>
      <c r="AC1094" s="80" t="s">
        <v>10541</v>
      </c>
      <c r="AD1094" s="77" t="s">
        <v>10617</v>
      </c>
      <c r="AE1094" s="83" t="str">
        <f>HYPERLINK("https://twitter.com/manausolimpica/status/1671643147728822279")</f>
        <v>https://twitter.com/manausolimpica/status/1671643147728822279</v>
      </c>
      <c r="AF1094" s="79">
        <v>45098.927754629629</v>
      </c>
      <c r="AG1094" s="85">
        <v>45098</v>
      </c>
      <c r="AH1094" s="80" t="s">
        <v>11597</v>
      </c>
      <c r="AI1094" s="77" t="b">
        <v>0</v>
      </c>
      <c r="AJ1094" s="77"/>
      <c r="AK1094" s="77"/>
      <c r="AL1094" s="77"/>
      <c r="AM1094" s="77"/>
      <c r="AN1094" s="77"/>
      <c r="AO1094" s="77"/>
      <c r="AP1094" s="77"/>
      <c r="AQ1094" s="77"/>
      <c r="AR1094" s="77"/>
      <c r="AS1094" s="77"/>
      <c r="AT1094" s="77"/>
      <c r="AU1094" s="77"/>
      <c r="AV1094" s="83" t="str">
        <f>HYPERLINK("https://pbs.twimg.com/profile_images/1631773527178194948/BqacXnjd_normal.jpg")</f>
        <v>https://pbs.twimg.com/profile_images/1631773527178194948/BqacXnjd_normal.jpg</v>
      </c>
      <c r="AW1094" s="80" t="s">
        <v>17000</v>
      </c>
      <c r="AX1094" s="80" t="s">
        <v>20005</v>
      </c>
      <c r="AY1094" s="80" t="s">
        <v>20261</v>
      </c>
      <c r="AZ1094" s="80" t="s">
        <v>20005</v>
      </c>
      <c r="BA1094" s="80" t="s">
        <v>20380</v>
      </c>
      <c r="BB1094" s="80" t="s">
        <v>20380</v>
      </c>
      <c r="BC1094" s="80" t="s">
        <v>20005</v>
      </c>
      <c r="BD1094" s="80" t="s">
        <v>20261</v>
      </c>
      <c r="BE1094" s="77"/>
      <c r="BF1094" s="77"/>
      <c r="BG1094" s="77"/>
      <c r="BH1094" s="77"/>
      <c r="BI1094" s="77"/>
    </row>
    <row r="1095" spans="1:61" x14ac:dyDescent="0.25">
      <c r="A1095" s="62" t="s">
        <v>651</v>
      </c>
      <c r="B1095" s="62" t="s">
        <v>1596</v>
      </c>
      <c r="C1095" s="63"/>
      <c r="D1095" s="64"/>
      <c r="E1095" s="65"/>
      <c r="F1095" s="66"/>
      <c r="G1095" s="63"/>
      <c r="H1095" s="67"/>
      <c r="I1095" s="68"/>
      <c r="J1095" s="68"/>
      <c r="K1095" s="32"/>
      <c r="L1095" s="75">
        <v>1095</v>
      </c>
      <c r="M1095" s="75"/>
      <c r="N1095" s="70"/>
      <c r="O1095" s="77" t="s">
        <v>2081</v>
      </c>
      <c r="P1095" s="79">
        <v>45085.705312500002</v>
      </c>
      <c r="Q1095" s="77" t="s">
        <v>2492</v>
      </c>
      <c r="R1095" s="77">
        <v>0</v>
      </c>
      <c r="S1095" s="77">
        <v>0</v>
      </c>
      <c r="T1095" s="77">
        <v>0</v>
      </c>
      <c r="U1095" s="77">
        <v>0</v>
      </c>
      <c r="V1095" s="77">
        <v>2</v>
      </c>
      <c r="W1095" s="80" t="s">
        <v>6008</v>
      </c>
      <c r="X1095" s="77"/>
      <c r="Y1095" s="77"/>
      <c r="Z1095" s="77" t="s">
        <v>1596</v>
      </c>
      <c r="AA1095" s="77"/>
      <c r="AB1095" s="77"/>
      <c r="AC1095" s="80" t="s">
        <v>10541</v>
      </c>
      <c r="AD1095" s="77" t="s">
        <v>10622</v>
      </c>
      <c r="AE1095" s="83" t="str">
        <f>HYPERLINK("https://twitter.com/difusorawebnews/status/1666851494048542721")</f>
        <v>https://twitter.com/difusorawebnews/status/1666851494048542721</v>
      </c>
      <c r="AF1095" s="79">
        <v>45085.705312500002</v>
      </c>
      <c r="AG1095" s="85">
        <v>45085</v>
      </c>
      <c r="AH1095" s="80" t="s">
        <v>11598</v>
      </c>
      <c r="AI1095" s="77"/>
      <c r="AJ1095" s="77"/>
      <c r="AK1095" s="77"/>
      <c r="AL1095" s="77"/>
      <c r="AM1095" s="77"/>
      <c r="AN1095" s="77"/>
      <c r="AO1095" s="77"/>
      <c r="AP1095" s="77"/>
      <c r="AQ1095" s="77"/>
      <c r="AR1095" s="77"/>
      <c r="AS1095" s="77"/>
      <c r="AT1095" s="77"/>
      <c r="AU1095" s="77"/>
      <c r="AV1095" s="83" t="str">
        <f>HYPERLINK("https://pbs.twimg.com/profile_images/1542932472694030342/xWAKJe4m_normal.jpg")</f>
        <v>https://pbs.twimg.com/profile_images/1542932472694030342/xWAKJe4m_normal.jpg</v>
      </c>
      <c r="AW1095" s="80" t="s">
        <v>17001</v>
      </c>
      <c r="AX1095" s="80" t="s">
        <v>17001</v>
      </c>
      <c r="AY1095" s="77"/>
      <c r="AZ1095" s="80" t="s">
        <v>20380</v>
      </c>
      <c r="BA1095" s="80" t="s">
        <v>20380</v>
      </c>
      <c r="BB1095" s="80" t="s">
        <v>20380</v>
      </c>
      <c r="BC1095" s="80" t="s">
        <v>17001</v>
      </c>
      <c r="BD1095" s="80" t="s">
        <v>20703</v>
      </c>
      <c r="BE1095" s="77"/>
      <c r="BF1095" s="77"/>
      <c r="BG1095" s="77"/>
      <c r="BH1095" s="77"/>
      <c r="BI1095" s="77"/>
    </row>
    <row r="1096" spans="1:61" x14ac:dyDescent="0.25">
      <c r="A1096" s="62" t="s">
        <v>652</v>
      </c>
      <c r="B1096" s="62" t="s">
        <v>652</v>
      </c>
      <c r="C1096" s="63"/>
      <c r="D1096" s="64"/>
      <c r="E1096" s="65"/>
      <c r="F1096" s="66"/>
      <c r="G1096" s="63"/>
      <c r="H1096" s="67"/>
      <c r="I1096" s="68"/>
      <c r="J1096" s="68"/>
      <c r="K1096" s="32"/>
      <c r="L1096" s="75">
        <v>1096</v>
      </c>
      <c r="M1096" s="75"/>
      <c r="N1096" s="70"/>
      <c r="O1096" s="77" t="s">
        <v>179</v>
      </c>
      <c r="P1096" s="79">
        <v>45130.64439814815</v>
      </c>
      <c r="Q1096" s="77" t="s">
        <v>3036</v>
      </c>
      <c r="R1096" s="77">
        <v>0</v>
      </c>
      <c r="S1096" s="77">
        <v>0</v>
      </c>
      <c r="T1096" s="77">
        <v>0</v>
      </c>
      <c r="U1096" s="77">
        <v>0</v>
      </c>
      <c r="V1096" s="77">
        <v>69</v>
      </c>
      <c r="W1096" s="80" t="s">
        <v>6676</v>
      </c>
      <c r="X1096" s="77"/>
      <c r="Y1096" s="77"/>
      <c r="Z1096" s="77"/>
      <c r="AA1096" s="77" t="s">
        <v>9400</v>
      </c>
      <c r="AB1096" s="77" t="s">
        <v>10534</v>
      </c>
      <c r="AC1096" s="80" t="s">
        <v>10540</v>
      </c>
      <c r="AD1096" s="77" t="s">
        <v>10617</v>
      </c>
      <c r="AE1096" s="83" t="str">
        <f>HYPERLINK("https://twitter.com/cachorromordido/status/1683136874238312453")</f>
        <v>https://twitter.com/cachorromordido/status/1683136874238312453</v>
      </c>
      <c r="AF1096" s="79">
        <v>45130.64439814815</v>
      </c>
      <c r="AG1096" s="85">
        <v>45130</v>
      </c>
      <c r="AH1096" s="80" t="s">
        <v>11599</v>
      </c>
      <c r="AI1096" s="77" t="b">
        <v>0</v>
      </c>
      <c r="AJ1096" s="77"/>
      <c r="AK1096" s="77"/>
      <c r="AL1096" s="77"/>
      <c r="AM1096" s="77"/>
      <c r="AN1096" s="77"/>
      <c r="AO1096" s="77"/>
      <c r="AP1096" s="77"/>
      <c r="AQ1096" s="77" t="s">
        <v>14882</v>
      </c>
      <c r="AR1096" s="77">
        <v>30040</v>
      </c>
      <c r="AS1096" s="77"/>
      <c r="AT1096" s="77"/>
      <c r="AU1096" s="77"/>
      <c r="AV1096" s="83" t="str">
        <f>HYPERLINK("https://pbs.twimg.com/ext_tw_video_thumb/1683136840620965888/pu/img/KGTNUxnkJU1G3XFA.jpg")</f>
        <v>https://pbs.twimg.com/ext_tw_video_thumb/1683136840620965888/pu/img/KGTNUxnkJU1G3XFA.jpg</v>
      </c>
      <c r="AW1096" s="80" t="s">
        <v>17002</v>
      </c>
      <c r="AX1096" s="80" t="s">
        <v>17002</v>
      </c>
      <c r="AY1096" s="77"/>
      <c r="AZ1096" s="80" t="s">
        <v>20380</v>
      </c>
      <c r="BA1096" s="80" t="s">
        <v>20380</v>
      </c>
      <c r="BB1096" s="80" t="s">
        <v>20380</v>
      </c>
      <c r="BC1096" s="80" t="s">
        <v>17002</v>
      </c>
      <c r="BD1096" s="80" t="s">
        <v>20704</v>
      </c>
      <c r="BE1096" s="77"/>
      <c r="BF1096" s="77"/>
      <c r="BG1096" s="77"/>
      <c r="BH1096" s="77"/>
      <c r="BI1096" s="77"/>
    </row>
    <row r="1097" spans="1:61" x14ac:dyDescent="0.25">
      <c r="A1097" s="62" t="s">
        <v>653</v>
      </c>
      <c r="B1097" s="62" t="s">
        <v>653</v>
      </c>
      <c r="C1097" s="63"/>
      <c r="D1097" s="64"/>
      <c r="E1097" s="65"/>
      <c r="F1097" s="66"/>
      <c r="G1097" s="63"/>
      <c r="H1097" s="67"/>
      <c r="I1097" s="68"/>
      <c r="J1097" s="68"/>
      <c r="K1097" s="32"/>
      <c r="L1097" s="75">
        <v>1097</v>
      </c>
      <c r="M1097" s="75"/>
      <c r="N1097" s="70"/>
      <c r="O1097" s="77" t="s">
        <v>179</v>
      </c>
      <c r="P1097" s="79">
        <v>45049.021550925929</v>
      </c>
      <c r="Q1097" s="77" t="s">
        <v>3037</v>
      </c>
      <c r="R1097" s="77">
        <v>0</v>
      </c>
      <c r="S1097" s="77">
        <v>0</v>
      </c>
      <c r="T1097" s="77">
        <v>0</v>
      </c>
      <c r="U1097" s="77">
        <v>0</v>
      </c>
      <c r="V1097" s="77">
        <v>71</v>
      </c>
      <c r="W1097" s="80" t="s">
        <v>6677</v>
      </c>
      <c r="X1097" s="83" t="str">
        <f>HYPERLINK("https://www.gp1.com.br/economia-e-negocios/noticia/2023/5/3/banco-central-anuncia-novas-ferramentas-de-seguranca-para-o-pix-547395.html")</f>
        <v>https://www.gp1.com.br/economia-e-negocios/noticia/2023/5/3/banco-central-anuncia-novas-ferramentas-de-seguranca-para-o-pix-547395.html</v>
      </c>
      <c r="Y1097" s="77" t="s">
        <v>8611</v>
      </c>
      <c r="Z1097" s="77"/>
      <c r="AA1097" s="77"/>
      <c r="AB1097" s="77"/>
      <c r="AC1097" s="80" t="s">
        <v>10541</v>
      </c>
      <c r="AD1097" s="77" t="s">
        <v>10617</v>
      </c>
      <c r="AE1097" s="83" t="str">
        <f>HYPERLINK("https://twitter.com/portalgp1/status/1653557745398824968")</f>
        <v>https://twitter.com/portalgp1/status/1653557745398824968</v>
      </c>
      <c r="AF1097" s="79">
        <v>45049.021550925929</v>
      </c>
      <c r="AG1097" s="85">
        <v>45049</v>
      </c>
      <c r="AH1097" s="80" t="s">
        <v>11600</v>
      </c>
      <c r="AI1097" s="77" t="b">
        <v>0</v>
      </c>
      <c r="AJ1097" s="77"/>
      <c r="AK1097" s="77"/>
      <c r="AL1097" s="77"/>
      <c r="AM1097" s="77"/>
      <c r="AN1097" s="77"/>
      <c r="AO1097" s="77"/>
      <c r="AP1097" s="77"/>
      <c r="AQ1097" s="77"/>
      <c r="AR1097" s="77"/>
      <c r="AS1097" s="77"/>
      <c r="AT1097" s="77"/>
      <c r="AU1097" s="77"/>
      <c r="AV1097" s="83" t="str">
        <f>HYPERLINK("https://pbs.twimg.com/profile_images/1583462152752578562/IgOqfeS__normal.jpg")</f>
        <v>https://pbs.twimg.com/profile_images/1583462152752578562/IgOqfeS__normal.jpg</v>
      </c>
      <c r="AW1097" s="80" t="s">
        <v>17003</v>
      </c>
      <c r="AX1097" s="80" t="s">
        <v>17003</v>
      </c>
      <c r="AY1097" s="77"/>
      <c r="AZ1097" s="80" t="s">
        <v>20380</v>
      </c>
      <c r="BA1097" s="80" t="s">
        <v>20380</v>
      </c>
      <c r="BB1097" s="80" t="s">
        <v>20380</v>
      </c>
      <c r="BC1097" s="80" t="s">
        <v>17003</v>
      </c>
      <c r="BD1097" s="77">
        <v>78697019</v>
      </c>
      <c r="BE1097" s="77"/>
      <c r="BF1097" s="77"/>
      <c r="BG1097" s="77"/>
      <c r="BH1097" s="77"/>
      <c r="BI1097" s="77"/>
    </row>
    <row r="1098" spans="1:61" x14ac:dyDescent="0.25">
      <c r="A1098" s="62" t="s">
        <v>653</v>
      </c>
      <c r="B1098" s="62" t="s">
        <v>1596</v>
      </c>
      <c r="C1098" s="63"/>
      <c r="D1098" s="64"/>
      <c r="E1098" s="65"/>
      <c r="F1098" s="66"/>
      <c r="G1098" s="63"/>
      <c r="H1098" s="67"/>
      <c r="I1098" s="68"/>
      <c r="J1098" s="68"/>
      <c r="K1098" s="32"/>
      <c r="L1098" s="75">
        <v>1098</v>
      </c>
      <c r="M1098" s="75"/>
      <c r="N1098" s="70"/>
      <c r="O1098" s="77" t="s">
        <v>2081</v>
      </c>
      <c r="P1098" s="79">
        <v>45099.021817129629</v>
      </c>
      <c r="Q1098" s="77" t="s">
        <v>3038</v>
      </c>
      <c r="R1098" s="77">
        <v>0</v>
      </c>
      <c r="S1098" s="77">
        <v>1</v>
      </c>
      <c r="T1098" s="77">
        <v>0</v>
      </c>
      <c r="U1098" s="77">
        <v>0</v>
      </c>
      <c r="V1098" s="77">
        <v>139</v>
      </c>
      <c r="W1098" s="80" t="s">
        <v>6678</v>
      </c>
      <c r="X1098" s="83" t="str">
        <f>HYPERLINK("https://www.gp1.com.br/economia-e-negocios/noticia/2023/6/22/banco-central-mantem-taxa-basica-de-juros-em-1375-550403.html")</f>
        <v>https://www.gp1.com.br/economia-e-negocios/noticia/2023/6/22/banco-central-mantem-taxa-basica-de-juros-em-1375-550403.html</v>
      </c>
      <c r="Y1098" s="77" t="s">
        <v>8611</v>
      </c>
      <c r="Z1098" s="77" t="s">
        <v>1596</v>
      </c>
      <c r="AA1098" s="77"/>
      <c r="AB1098" s="77"/>
      <c r="AC1098" s="80" t="s">
        <v>10541</v>
      </c>
      <c r="AD1098" s="77" t="s">
        <v>10617</v>
      </c>
      <c r="AE1098" s="83" t="str">
        <f>HYPERLINK("https://twitter.com/portalgp1/status/1671677232199204864")</f>
        <v>https://twitter.com/portalgp1/status/1671677232199204864</v>
      </c>
      <c r="AF1098" s="79">
        <v>45099.021817129629</v>
      </c>
      <c r="AG1098" s="85">
        <v>45099</v>
      </c>
      <c r="AH1098" s="80" t="s">
        <v>11601</v>
      </c>
      <c r="AI1098" s="77" t="b">
        <v>0</v>
      </c>
      <c r="AJ1098" s="77"/>
      <c r="AK1098" s="77"/>
      <c r="AL1098" s="77"/>
      <c r="AM1098" s="77"/>
      <c r="AN1098" s="77"/>
      <c r="AO1098" s="77"/>
      <c r="AP1098" s="77"/>
      <c r="AQ1098" s="77"/>
      <c r="AR1098" s="77"/>
      <c r="AS1098" s="77"/>
      <c r="AT1098" s="77"/>
      <c r="AU1098" s="77"/>
      <c r="AV1098" s="83" t="str">
        <f>HYPERLINK("https://pbs.twimg.com/profile_images/1583462152752578562/IgOqfeS__normal.jpg")</f>
        <v>https://pbs.twimg.com/profile_images/1583462152752578562/IgOqfeS__normal.jpg</v>
      </c>
      <c r="AW1098" s="80" t="s">
        <v>17004</v>
      </c>
      <c r="AX1098" s="80" t="s">
        <v>17004</v>
      </c>
      <c r="AY1098" s="77"/>
      <c r="AZ1098" s="80" t="s">
        <v>20380</v>
      </c>
      <c r="BA1098" s="80" t="s">
        <v>20380</v>
      </c>
      <c r="BB1098" s="80" t="s">
        <v>20380</v>
      </c>
      <c r="BC1098" s="80" t="s">
        <v>17004</v>
      </c>
      <c r="BD1098" s="77">
        <v>78697019</v>
      </c>
      <c r="BE1098" s="77"/>
      <c r="BF1098" s="77"/>
      <c r="BG1098" s="77"/>
      <c r="BH1098" s="77"/>
      <c r="BI1098" s="77"/>
    </row>
    <row r="1099" spans="1:61" x14ac:dyDescent="0.25">
      <c r="A1099" s="62" t="s">
        <v>653</v>
      </c>
      <c r="B1099" s="62" t="s">
        <v>1596</v>
      </c>
      <c r="C1099" s="63"/>
      <c r="D1099" s="64"/>
      <c r="E1099" s="65"/>
      <c r="F1099" s="66"/>
      <c r="G1099" s="63"/>
      <c r="H1099" s="67"/>
      <c r="I1099" s="68"/>
      <c r="J1099" s="68"/>
      <c r="K1099" s="32"/>
      <c r="L1099" s="75">
        <v>1099</v>
      </c>
      <c r="M1099" s="75"/>
      <c r="N1099" s="70"/>
      <c r="O1099" s="77" t="s">
        <v>2081</v>
      </c>
      <c r="P1099" s="79">
        <v>45143.894305555557</v>
      </c>
      <c r="Q1099" s="77" t="s">
        <v>3039</v>
      </c>
      <c r="R1099" s="77">
        <v>0</v>
      </c>
      <c r="S1099" s="77">
        <v>0</v>
      </c>
      <c r="T1099" s="77">
        <v>0</v>
      </c>
      <c r="U1099" s="77">
        <v>0</v>
      </c>
      <c r="V1099" s="77">
        <v>51</v>
      </c>
      <c r="W1099" s="80" t="s">
        <v>6131</v>
      </c>
      <c r="X1099" s="83" t="str">
        <f>HYPERLINK("https://www.gp1.com.br/economia-e-negocios/noticia/2023/8/5/taxa-selic-pode-fechar-2023-em-1175-apos-novas-reunioes-do-bc-553220.html")</f>
        <v>https://www.gp1.com.br/economia-e-negocios/noticia/2023/8/5/taxa-selic-pode-fechar-2023-em-1175-apos-novas-reunioes-do-bc-553220.html</v>
      </c>
      <c r="Y1099" s="77" t="s">
        <v>8611</v>
      </c>
      <c r="Z1099" s="77" t="s">
        <v>1596</v>
      </c>
      <c r="AA1099" s="77"/>
      <c r="AB1099" s="77"/>
      <c r="AC1099" s="80" t="s">
        <v>10541</v>
      </c>
      <c r="AD1099" s="77" t="s">
        <v>10617</v>
      </c>
      <c r="AE1099" s="83" t="str">
        <f>HYPERLINK("https://twitter.com/portalgp1/status/1687938480381263872")</f>
        <v>https://twitter.com/portalgp1/status/1687938480381263872</v>
      </c>
      <c r="AF1099" s="79">
        <v>45143.894305555557</v>
      </c>
      <c r="AG1099" s="85">
        <v>45143</v>
      </c>
      <c r="AH1099" s="80" t="s">
        <v>11602</v>
      </c>
      <c r="AI1099" s="77" t="b">
        <v>0</v>
      </c>
      <c r="AJ1099" s="77"/>
      <c r="AK1099" s="77"/>
      <c r="AL1099" s="77"/>
      <c r="AM1099" s="77"/>
      <c r="AN1099" s="77"/>
      <c r="AO1099" s="77"/>
      <c r="AP1099" s="77"/>
      <c r="AQ1099" s="77"/>
      <c r="AR1099" s="77"/>
      <c r="AS1099" s="77"/>
      <c r="AT1099" s="77"/>
      <c r="AU1099" s="77"/>
      <c r="AV1099" s="83" t="str">
        <f>HYPERLINK("https://pbs.twimg.com/profile_images/1583462152752578562/IgOqfeS__normal.jpg")</f>
        <v>https://pbs.twimg.com/profile_images/1583462152752578562/IgOqfeS__normal.jpg</v>
      </c>
      <c r="AW1099" s="80" t="s">
        <v>17005</v>
      </c>
      <c r="AX1099" s="80" t="s">
        <v>17005</v>
      </c>
      <c r="AY1099" s="77"/>
      <c r="AZ1099" s="80" t="s">
        <v>20380</v>
      </c>
      <c r="BA1099" s="80" t="s">
        <v>20380</v>
      </c>
      <c r="BB1099" s="80" t="s">
        <v>20380</v>
      </c>
      <c r="BC1099" s="80" t="s">
        <v>17005</v>
      </c>
      <c r="BD1099" s="77">
        <v>78697019</v>
      </c>
      <c r="BE1099" s="77"/>
      <c r="BF1099" s="77"/>
      <c r="BG1099" s="77"/>
      <c r="BH1099" s="77"/>
      <c r="BI1099" s="77"/>
    </row>
    <row r="1100" spans="1:61" x14ac:dyDescent="0.25">
      <c r="A1100" s="62" t="s">
        <v>653</v>
      </c>
      <c r="B1100" s="62" t="s">
        <v>1596</v>
      </c>
      <c r="C1100" s="63"/>
      <c r="D1100" s="64"/>
      <c r="E1100" s="65"/>
      <c r="F1100" s="66"/>
      <c r="G1100" s="63"/>
      <c r="H1100" s="67"/>
      <c r="I1100" s="68"/>
      <c r="J1100" s="68"/>
      <c r="K1100" s="32"/>
      <c r="L1100" s="75">
        <v>1100</v>
      </c>
      <c r="M1100" s="75"/>
      <c r="N1100" s="70"/>
      <c r="O1100" s="77" t="s">
        <v>2081</v>
      </c>
      <c r="P1100" s="79">
        <v>45145.965046296296</v>
      </c>
      <c r="Q1100" s="77" t="s">
        <v>3040</v>
      </c>
      <c r="R1100" s="77">
        <v>0</v>
      </c>
      <c r="S1100" s="77">
        <v>0</v>
      </c>
      <c r="T1100" s="77">
        <v>0</v>
      </c>
      <c r="U1100" s="77">
        <v>0</v>
      </c>
      <c r="V1100" s="77">
        <v>41</v>
      </c>
      <c r="W1100" s="80" t="s">
        <v>6678</v>
      </c>
      <c r="X1100" s="83" t="str">
        <f>HYPERLINK("https://www.gp1.com.br/economia-e-negocios/noticia/2023/8/7/poupanca-registra-perda-de-r-36-bilhoes-em-julho-diz-banco-central-553321.html")</f>
        <v>https://www.gp1.com.br/economia-e-negocios/noticia/2023/8/7/poupanca-registra-perda-de-r-36-bilhoes-em-julho-diz-banco-central-553321.html</v>
      </c>
      <c r="Y1100" s="77" t="s">
        <v>8611</v>
      </c>
      <c r="Z1100" s="77" t="s">
        <v>1596</v>
      </c>
      <c r="AA1100" s="77"/>
      <c r="AB1100" s="77"/>
      <c r="AC1100" s="80" t="s">
        <v>10541</v>
      </c>
      <c r="AD1100" s="77" t="s">
        <v>10617</v>
      </c>
      <c r="AE1100" s="83" t="str">
        <f>HYPERLINK("https://twitter.com/portalgp1/status/1688688890222145536")</f>
        <v>https://twitter.com/portalgp1/status/1688688890222145536</v>
      </c>
      <c r="AF1100" s="79">
        <v>45145.965046296296</v>
      </c>
      <c r="AG1100" s="85">
        <v>45145</v>
      </c>
      <c r="AH1100" s="80" t="s">
        <v>11603</v>
      </c>
      <c r="AI1100" s="77" t="b">
        <v>0</v>
      </c>
      <c r="AJ1100" s="77"/>
      <c r="AK1100" s="77"/>
      <c r="AL1100" s="77"/>
      <c r="AM1100" s="77"/>
      <c r="AN1100" s="77"/>
      <c r="AO1100" s="77"/>
      <c r="AP1100" s="77"/>
      <c r="AQ1100" s="77"/>
      <c r="AR1100" s="77"/>
      <c r="AS1100" s="77"/>
      <c r="AT1100" s="77"/>
      <c r="AU1100" s="77"/>
      <c r="AV1100" s="83" t="str">
        <f>HYPERLINK("https://pbs.twimg.com/profile_images/1583462152752578562/IgOqfeS__normal.jpg")</f>
        <v>https://pbs.twimg.com/profile_images/1583462152752578562/IgOqfeS__normal.jpg</v>
      </c>
      <c r="AW1100" s="80" t="s">
        <v>17006</v>
      </c>
      <c r="AX1100" s="80" t="s">
        <v>17006</v>
      </c>
      <c r="AY1100" s="77"/>
      <c r="AZ1100" s="80" t="s">
        <v>20380</v>
      </c>
      <c r="BA1100" s="80" t="s">
        <v>20380</v>
      </c>
      <c r="BB1100" s="80" t="s">
        <v>20380</v>
      </c>
      <c r="BC1100" s="80" t="s">
        <v>17006</v>
      </c>
      <c r="BD1100" s="77">
        <v>78697019</v>
      </c>
      <c r="BE1100" s="77"/>
      <c r="BF1100" s="77"/>
      <c r="BG1100" s="77"/>
      <c r="BH1100" s="77"/>
      <c r="BI1100" s="77"/>
    </row>
    <row r="1101" spans="1:61" x14ac:dyDescent="0.25">
      <c r="A1101" s="62" t="s">
        <v>653</v>
      </c>
      <c r="B1101" s="62" t="s">
        <v>653</v>
      </c>
      <c r="C1101" s="63"/>
      <c r="D1101" s="64"/>
      <c r="E1101" s="65"/>
      <c r="F1101" s="66"/>
      <c r="G1101" s="63"/>
      <c r="H1101" s="67"/>
      <c r="I1101" s="68"/>
      <c r="J1101" s="68"/>
      <c r="K1101" s="32"/>
      <c r="L1101" s="75">
        <v>1101</v>
      </c>
      <c r="M1101" s="75"/>
      <c r="N1101" s="70"/>
      <c r="O1101" s="77" t="s">
        <v>179</v>
      </c>
      <c r="P1101" s="79">
        <v>45185.568368055552</v>
      </c>
      <c r="Q1101" s="77" t="s">
        <v>3041</v>
      </c>
      <c r="R1101" s="77">
        <v>0</v>
      </c>
      <c r="S1101" s="77">
        <v>1</v>
      </c>
      <c r="T1101" s="77">
        <v>0</v>
      </c>
      <c r="U1101" s="77">
        <v>0</v>
      </c>
      <c r="V1101" s="77">
        <v>107</v>
      </c>
      <c r="W1101" s="80" t="s">
        <v>6679</v>
      </c>
      <c r="X1101" s="83" t="str">
        <f>HYPERLINK("https://www.gp1.com.br/economia-e-negocios/noticia/2023/9/16/mercado-espera-que-banco-central-reduza-selic-para-1275-555889.html?twitter=1694869863.28801")</f>
        <v>https://www.gp1.com.br/economia-e-negocios/noticia/2023/9/16/mercado-espera-que-banco-central-reduza-selic-para-1275-555889.html?twitter=1694869863.28801</v>
      </c>
      <c r="Y1101" s="77" t="s">
        <v>8611</v>
      </c>
      <c r="Z1101" s="77"/>
      <c r="AA1101" s="77"/>
      <c r="AB1101" s="77"/>
      <c r="AC1101" s="80" t="s">
        <v>10541</v>
      </c>
      <c r="AD1101" s="77" t="s">
        <v>10617</v>
      </c>
      <c r="AE1101" s="83" t="str">
        <f>HYPERLINK("https://twitter.com/portalgp1/status/1703040653150535862")</f>
        <v>https://twitter.com/portalgp1/status/1703040653150535862</v>
      </c>
      <c r="AF1101" s="79">
        <v>45185.568368055552</v>
      </c>
      <c r="AG1101" s="85">
        <v>45185</v>
      </c>
      <c r="AH1101" s="80" t="s">
        <v>11604</v>
      </c>
      <c r="AI1101" s="77" t="b">
        <v>0</v>
      </c>
      <c r="AJ1101" s="77"/>
      <c r="AK1101" s="77"/>
      <c r="AL1101" s="77"/>
      <c r="AM1101" s="77"/>
      <c r="AN1101" s="77"/>
      <c r="AO1101" s="77"/>
      <c r="AP1101" s="77"/>
      <c r="AQ1101" s="77"/>
      <c r="AR1101" s="77"/>
      <c r="AS1101" s="77"/>
      <c r="AT1101" s="77"/>
      <c r="AU1101" s="77"/>
      <c r="AV1101" s="83" t="str">
        <f>HYPERLINK("https://pbs.twimg.com/profile_images/1583462152752578562/IgOqfeS__normal.jpg")</f>
        <v>https://pbs.twimg.com/profile_images/1583462152752578562/IgOqfeS__normal.jpg</v>
      </c>
      <c r="AW1101" s="80" t="s">
        <v>17007</v>
      </c>
      <c r="AX1101" s="80" t="s">
        <v>17007</v>
      </c>
      <c r="AY1101" s="77"/>
      <c r="AZ1101" s="80" t="s">
        <v>20380</v>
      </c>
      <c r="BA1101" s="80" t="s">
        <v>20380</v>
      </c>
      <c r="BB1101" s="80" t="s">
        <v>20380</v>
      </c>
      <c r="BC1101" s="80" t="s">
        <v>17007</v>
      </c>
      <c r="BD1101" s="77">
        <v>78697019</v>
      </c>
      <c r="BE1101" s="77"/>
      <c r="BF1101" s="77"/>
      <c r="BG1101" s="77"/>
      <c r="BH1101" s="77"/>
      <c r="BI1101" s="77"/>
    </row>
    <row r="1102" spans="1:61" x14ac:dyDescent="0.25">
      <c r="A1102" s="62" t="s">
        <v>653</v>
      </c>
      <c r="B1102" s="62" t="s">
        <v>1596</v>
      </c>
      <c r="C1102" s="63"/>
      <c r="D1102" s="64"/>
      <c r="E1102" s="65"/>
      <c r="F1102" s="66"/>
      <c r="G1102" s="63"/>
      <c r="H1102" s="67"/>
      <c r="I1102" s="68"/>
      <c r="J1102" s="68"/>
      <c r="K1102" s="32"/>
      <c r="L1102" s="75">
        <v>1102</v>
      </c>
      <c r="M1102" s="75"/>
      <c r="N1102" s="70"/>
      <c r="O1102" s="77" t="s">
        <v>2081</v>
      </c>
      <c r="P1102" s="79">
        <v>45135.977048611108</v>
      </c>
      <c r="Q1102" s="77" t="s">
        <v>3042</v>
      </c>
      <c r="R1102" s="77">
        <v>0</v>
      </c>
      <c r="S1102" s="77">
        <v>0</v>
      </c>
      <c r="T1102" s="77">
        <v>0</v>
      </c>
      <c r="U1102" s="77">
        <v>0</v>
      </c>
      <c r="V1102" s="77">
        <v>63</v>
      </c>
      <c r="W1102" s="80" t="s">
        <v>6678</v>
      </c>
      <c r="X1102" s="83" t="str">
        <f>HYPERLINK("https://www.gp1.com.br/economia-e-negocios/noticia/2023/7/28/divida-publica-do-brasil-chega-a-r-76-trilhoes-em-junho-diz-banco-central-552681.html")</f>
        <v>https://www.gp1.com.br/economia-e-negocios/noticia/2023/7/28/divida-publica-do-brasil-chega-a-r-76-trilhoes-em-junho-diz-banco-central-552681.html</v>
      </c>
      <c r="Y1102" s="77" t="s">
        <v>8611</v>
      </c>
      <c r="Z1102" s="77" t="s">
        <v>1596</v>
      </c>
      <c r="AA1102" s="77"/>
      <c r="AB1102" s="77"/>
      <c r="AC1102" s="80" t="s">
        <v>10541</v>
      </c>
      <c r="AD1102" s="77" t="s">
        <v>10617</v>
      </c>
      <c r="AE1102" s="83" t="str">
        <f>HYPERLINK("https://twitter.com/portalgp1/status/1685069360262447104")</f>
        <v>https://twitter.com/portalgp1/status/1685069360262447104</v>
      </c>
      <c r="AF1102" s="79">
        <v>45135.977048611108</v>
      </c>
      <c r="AG1102" s="85">
        <v>45135</v>
      </c>
      <c r="AH1102" s="80" t="s">
        <v>11605</v>
      </c>
      <c r="AI1102" s="77" t="b">
        <v>0</v>
      </c>
      <c r="AJ1102" s="77"/>
      <c r="AK1102" s="77"/>
      <c r="AL1102" s="77"/>
      <c r="AM1102" s="77"/>
      <c r="AN1102" s="77"/>
      <c r="AO1102" s="77"/>
      <c r="AP1102" s="77"/>
      <c r="AQ1102" s="77"/>
      <c r="AR1102" s="77"/>
      <c r="AS1102" s="77"/>
      <c r="AT1102" s="77"/>
      <c r="AU1102" s="77"/>
      <c r="AV1102" s="83" t="str">
        <f>HYPERLINK("https://pbs.twimg.com/profile_images/1583462152752578562/IgOqfeS__normal.jpg")</f>
        <v>https://pbs.twimg.com/profile_images/1583462152752578562/IgOqfeS__normal.jpg</v>
      </c>
      <c r="AW1102" s="80" t="s">
        <v>17008</v>
      </c>
      <c r="AX1102" s="80" t="s">
        <v>17008</v>
      </c>
      <c r="AY1102" s="77"/>
      <c r="AZ1102" s="80" t="s">
        <v>20380</v>
      </c>
      <c r="BA1102" s="80" t="s">
        <v>20380</v>
      </c>
      <c r="BB1102" s="80" t="s">
        <v>20380</v>
      </c>
      <c r="BC1102" s="80" t="s">
        <v>17008</v>
      </c>
      <c r="BD1102" s="77">
        <v>78697019</v>
      </c>
      <c r="BE1102" s="77"/>
      <c r="BF1102" s="77"/>
      <c r="BG1102" s="77"/>
      <c r="BH1102" s="77"/>
      <c r="BI1102" s="77"/>
    </row>
    <row r="1103" spans="1:61" x14ac:dyDescent="0.25">
      <c r="A1103" s="62" t="s">
        <v>653</v>
      </c>
      <c r="B1103" s="62" t="s">
        <v>1596</v>
      </c>
      <c r="C1103" s="63"/>
      <c r="D1103" s="64"/>
      <c r="E1103" s="65"/>
      <c r="F1103" s="66"/>
      <c r="G1103" s="63"/>
      <c r="H1103" s="67"/>
      <c r="I1103" s="68"/>
      <c r="J1103" s="68"/>
      <c r="K1103" s="32"/>
      <c r="L1103" s="75">
        <v>1103</v>
      </c>
      <c r="M1103" s="75"/>
      <c r="N1103" s="70"/>
      <c r="O1103" s="77" t="s">
        <v>2081</v>
      </c>
      <c r="P1103" s="79">
        <v>45107.976122685184</v>
      </c>
      <c r="Q1103" s="77" t="s">
        <v>3043</v>
      </c>
      <c r="R1103" s="77">
        <v>0</v>
      </c>
      <c r="S1103" s="77">
        <v>0</v>
      </c>
      <c r="T1103" s="77">
        <v>1</v>
      </c>
      <c r="U1103" s="77">
        <v>0</v>
      </c>
      <c r="V1103" s="77">
        <v>104</v>
      </c>
      <c r="W1103" s="80" t="s">
        <v>6678</v>
      </c>
      <c r="X1103" s="83" t="str">
        <f>HYPERLINK("https://www.gp1.com.br/economia-e-negocios/noticia/2023/6/30/banco-central-aponta-deficit-de-r-502-bilhoes-nas-contas-publicas-550958.html")</f>
        <v>https://www.gp1.com.br/economia-e-negocios/noticia/2023/6/30/banco-central-aponta-deficit-de-r-502-bilhoes-nas-contas-publicas-550958.html</v>
      </c>
      <c r="Y1103" s="77" t="s">
        <v>8611</v>
      </c>
      <c r="Z1103" s="77" t="s">
        <v>1596</v>
      </c>
      <c r="AA1103" s="77"/>
      <c r="AB1103" s="77"/>
      <c r="AC1103" s="80" t="s">
        <v>10541</v>
      </c>
      <c r="AD1103" s="77" t="s">
        <v>10617</v>
      </c>
      <c r="AE1103" s="83" t="str">
        <f>HYPERLINK("https://twitter.com/portalgp1/status/1674922166930878464")</f>
        <v>https://twitter.com/portalgp1/status/1674922166930878464</v>
      </c>
      <c r="AF1103" s="79">
        <v>45107.976122685184</v>
      </c>
      <c r="AG1103" s="85">
        <v>45107</v>
      </c>
      <c r="AH1103" s="80" t="s">
        <v>11606</v>
      </c>
      <c r="AI1103" s="77" t="b">
        <v>0</v>
      </c>
      <c r="AJ1103" s="77"/>
      <c r="AK1103" s="77"/>
      <c r="AL1103" s="77"/>
      <c r="AM1103" s="77"/>
      <c r="AN1103" s="77"/>
      <c r="AO1103" s="77"/>
      <c r="AP1103" s="77"/>
      <c r="AQ1103" s="77"/>
      <c r="AR1103" s="77"/>
      <c r="AS1103" s="77"/>
      <c r="AT1103" s="77"/>
      <c r="AU1103" s="77"/>
      <c r="AV1103" s="83" t="str">
        <f>HYPERLINK("https://pbs.twimg.com/profile_images/1583462152752578562/IgOqfeS__normal.jpg")</f>
        <v>https://pbs.twimg.com/profile_images/1583462152752578562/IgOqfeS__normal.jpg</v>
      </c>
      <c r="AW1103" s="80" t="s">
        <v>17009</v>
      </c>
      <c r="AX1103" s="80" t="s">
        <v>17009</v>
      </c>
      <c r="AY1103" s="77"/>
      <c r="AZ1103" s="80" t="s">
        <v>20380</v>
      </c>
      <c r="BA1103" s="80" t="s">
        <v>20380</v>
      </c>
      <c r="BB1103" s="80" t="s">
        <v>20380</v>
      </c>
      <c r="BC1103" s="80" t="s">
        <v>17009</v>
      </c>
      <c r="BD1103" s="77">
        <v>78697019</v>
      </c>
      <c r="BE1103" s="77"/>
      <c r="BF1103" s="77"/>
      <c r="BG1103" s="77"/>
      <c r="BH1103" s="77"/>
      <c r="BI1103" s="77"/>
    </row>
    <row r="1104" spans="1:61" x14ac:dyDescent="0.25">
      <c r="A1104" s="62" t="s">
        <v>654</v>
      </c>
      <c r="B1104" s="62" t="s">
        <v>654</v>
      </c>
      <c r="C1104" s="63"/>
      <c r="D1104" s="64"/>
      <c r="E1104" s="65"/>
      <c r="F1104" s="66"/>
      <c r="G1104" s="63"/>
      <c r="H1104" s="67"/>
      <c r="I1104" s="68"/>
      <c r="J1104" s="68"/>
      <c r="K1104" s="32"/>
      <c r="L1104" s="75">
        <v>1104</v>
      </c>
      <c r="M1104" s="75"/>
      <c r="N1104" s="70"/>
      <c r="O1104" s="77" t="s">
        <v>179</v>
      </c>
      <c r="P1104" s="79">
        <v>45153.491701388892</v>
      </c>
      <c r="Q1104" s="77" t="s">
        <v>3044</v>
      </c>
      <c r="R1104" s="77">
        <v>0</v>
      </c>
      <c r="S1104" s="77">
        <v>0</v>
      </c>
      <c r="T1104" s="77">
        <v>0</v>
      </c>
      <c r="U1104" s="77">
        <v>0</v>
      </c>
      <c r="V1104" s="77">
        <v>18</v>
      </c>
      <c r="W1104" s="80" t="s">
        <v>6206</v>
      </c>
      <c r="X1104" s="77"/>
      <c r="Y1104" s="77"/>
      <c r="Z1104" s="77"/>
      <c r="AA1104" s="77"/>
      <c r="AB1104" s="77"/>
      <c r="AC1104" s="80" t="s">
        <v>10541</v>
      </c>
      <c r="AD1104" s="77" t="s">
        <v>10620</v>
      </c>
      <c r="AE1104" s="83" t="str">
        <f>HYPERLINK("https://twitter.com/gri86649406/status/1691416459367313408")</f>
        <v>https://twitter.com/gri86649406/status/1691416459367313408</v>
      </c>
      <c r="AF1104" s="79">
        <v>45153.491701388892</v>
      </c>
      <c r="AG1104" s="85">
        <v>45153</v>
      </c>
      <c r="AH1104" s="80" t="s">
        <v>11607</v>
      </c>
      <c r="AI1104" s="77"/>
      <c r="AJ1104" s="77"/>
      <c r="AK1104" s="77"/>
      <c r="AL1104" s="77"/>
      <c r="AM1104" s="77"/>
      <c r="AN1104" s="77"/>
      <c r="AO1104" s="77"/>
      <c r="AP1104" s="77"/>
      <c r="AQ1104" s="77"/>
      <c r="AR1104" s="77"/>
      <c r="AS1104" s="77"/>
      <c r="AT1104" s="77"/>
      <c r="AU1104" s="77"/>
      <c r="AV1104" s="83" t="str">
        <f>HYPERLINK("https://pbs.twimg.com/profile_images/1507858472947302408/EqVftcSr_normal.jpg")</f>
        <v>https://pbs.twimg.com/profile_images/1507858472947302408/EqVftcSr_normal.jpg</v>
      </c>
      <c r="AW1104" s="80" t="s">
        <v>17010</v>
      </c>
      <c r="AX1104" s="80" t="s">
        <v>17010</v>
      </c>
      <c r="AY1104" s="77"/>
      <c r="AZ1104" s="80" t="s">
        <v>20380</v>
      </c>
      <c r="BA1104" s="80" t="s">
        <v>20380</v>
      </c>
      <c r="BB1104" s="80" t="s">
        <v>20380</v>
      </c>
      <c r="BC1104" s="80" t="s">
        <v>17010</v>
      </c>
      <c r="BD1104" s="80" t="s">
        <v>20705</v>
      </c>
      <c r="BE1104" s="77"/>
      <c r="BF1104" s="77"/>
      <c r="BG1104" s="77"/>
      <c r="BH1104" s="77"/>
      <c r="BI1104" s="77"/>
    </row>
    <row r="1105" spans="1:61" x14ac:dyDescent="0.25">
      <c r="A1105" s="62" t="s">
        <v>655</v>
      </c>
      <c r="B1105" s="62" t="s">
        <v>655</v>
      </c>
      <c r="C1105" s="63"/>
      <c r="D1105" s="64"/>
      <c r="E1105" s="65"/>
      <c r="F1105" s="66"/>
      <c r="G1105" s="63"/>
      <c r="H1105" s="67"/>
      <c r="I1105" s="68"/>
      <c r="J1105" s="68"/>
      <c r="K1105" s="32"/>
      <c r="L1105" s="75">
        <v>1105</v>
      </c>
      <c r="M1105" s="75"/>
      <c r="N1105" s="70"/>
      <c r="O1105" s="77" t="s">
        <v>179</v>
      </c>
      <c r="P1105" s="79">
        <v>45093.568888888891</v>
      </c>
      <c r="Q1105" s="77" t="s">
        <v>3045</v>
      </c>
      <c r="R1105" s="77">
        <v>2</v>
      </c>
      <c r="S1105" s="77">
        <v>15</v>
      </c>
      <c r="T1105" s="77">
        <v>1</v>
      </c>
      <c r="U1105" s="77">
        <v>1</v>
      </c>
      <c r="V1105" s="77">
        <v>495</v>
      </c>
      <c r="W1105" s="80" t="s">
        <v>6680</v>
      </c>
      <c r="X1105" s="83" t="str">
        <f>HYPERLINK("https://youtu.be/PZMyb6NI_bU")</f>
        <v>https://youtu.be/PZMyb6NI_bU</v>
      </c>
      <c r="Y1105" s="77" t="s">
        <v>8635</v>
      </c>
      <c r="Z1105" s="77"/>
      <c r="AA1105" s="77"/>
      <c r="AB1105" s="77"/>
      <c r="AC1105" s="80" t="s">
        <v>10542</v>
      </c>
      <c r="AD1105" s="77" t="s">
        <v>10617</v>
      </c>
      <c r="AE1105" s="83" t="str">
        <f>HYPERLINK("https://twitter.com/julianarosa_/status/1669701158569496576")</f>
        <v>https://twitter.com/julianarosa_/status/1669701158569496576</v>
      </c>
      <c r="AF1105" s="79">
        <v>45093.568888888891</v>
      </c>
      <c r="AG1105" s="85">
        <v>45093</v>
      </c>
      <c r="AH1105" s="80" t="s">
        <v>11608</v>
      </c>
      <c r="AI1105" s="77" t="b">
        <v>0</v>
      </c>
      <c r="AJ1105" s="77"/>
      <c r="AK1105" s="77"/>
      <c r="AL1105" s="77"/>
      <c r="AM1105" s="77"/>
      <c r="AN1105" s="77"/>
      <c r="AO1105" s="77"/>
      <c r="AP1105" s="77"/>
      <c r="AQ1105" s="77"/>
      <c r="AR1105" s="77"/>
      <c r="AS1105" s="77"/>
      <c r="AT1105" s="77"/>
      <c r="AU1105" s="77"/>
      <c r="AV1105" s="83" t="str">
        <f>HYPERLINK("https://pbs.twimg.com/profile_images/1008039944072417280/jwFmtPx-_normal.jpg")</f>
        <v>https://pbs.twimg.com/profile_images/1008039944072417280/jwFmtPx-_normal.jpg</v>
      </c>
      <c r="AW1105" s="80" t="s">
        <v>17011</v>
      </c>
      <c r="AX1105" s="80" t="s">
        <v>17011</v>
      </c>
      <c r="AY1105" s="77"/>
      <c r="AZ1105" s="80" t="s">
        <v>20380</v>
      </c>
      <c r="BA1105" s="80" t="s">
        <v>20380</v>
      </c>
      <c r="BB1105" s="80" t="s">
        <v>20380</v>
      </c>
      <c r="BC1105" s="80" t="s">
        <v>17011</v>
      </c>
      <c r="BD1105" s="77">
        <v>85656359</v>
      </c>
      <c r="BE1105" s="77"/>
      <c r="BF1105" s="77"/>
      <c r="BG1105" s="77"/>
      <c r="BH1105" s="77"/>
      <c r="BI1105" s="77"/>
    </row>
    <row r="1106" spans="1:61" x14ac:dyDescent="0.25">
      <c r="A1106" s="62" t="s">
        <v>656</v>
      </c>
      <c r="B1106" s="62" t="s">
        <v>1829</v>
      </c>
      <c r="C1106" s="63"/>
      <c r="D1106" s="64"/>
      <c r="E1106" s="65"/>
      <c r="F1106" s="66"/>
      <c r="G1106" s="63"/>
      <c r="H1106" s="67"/>
      <c r="I1106" s="68"/>
      <c r="J1106" s="68"/>
      <c r="K1106" s="32"/>
      <c r="L1106" s="75">
        <v>1106</v>
      </c>
      <c r="M1106" s="75"/>
      <c r="N1106" s="70"/>
      <c r="O1106" s="77" t="s">
        <v>2081</v>
      </c>
      <c r="P1106" s="79">
        <v>45142.816851851851</v>
      </c>
      <c r="Q1106" s="77" t="s">
        <v>3046</v>
      </c>
      <c r="R1106" s="77">
        <v>0</v>
      </c>
      <c r="S1106" s="77">
        <v>0</v>
      </c>
      <c r="T1106" s="77">
        <v>0</v>
      </c>
      <c r="U1106" s="77">
        <v>0</v>
      </c>
      <c r="V1106" s="77">
        <v>20</v>
      </c>
      <c r="W1106" s="80" t="s">
        <v>6681</v>
      </c>
      <c r="X1106" s="83" t="str">
        <f>HYPERLINK("https://l1nk.dev/NikeStudios")</f>
        <v>https://l1nk.dev/NikeStudios</v>
      </c>
      <c r="Y1106" s="77" t="s">
        <v>8715</v>
      </c>
      <c r="Z1106" s="77" t="s">
        <v>1829</v>
      </c>
      <c r="AA1106" s="77" t="s">
        <v>9401</v>
      </c>
      <c r="AB1106" s="77" t="s">
        <v>10535</v>
      </c>
      <c r="AC1106" s="80" t="s">
        <v>10542</v>
      </c>
      <c r="AD1106" s="77" t="s">
        <v>10617</v>
      </c>
      <c r="AE1106" s="83" t="str">
        <f>HYPERLINK("https://twitter.com/jornadacapital/status/1687548025164443648")</f>
        <v>https://twitter.com/jornadacapital/status/1687548025164443648</v>
      </c>
      <c r="AF1106" s="79">
        <v>45142.816851851851</v>
      </c>
      <c r="AG1106" s="85">
        <v>45142</v>
      </c>
      <c r="AH1106" s="80" t="s">
        <v>11609</v>
      </c>
      <c r="AI1106" s="77" t="b">
        <v>0</v>
      </c>
      <c r="AJ1106" s="77"/>
      <c r="AK1106" s="77"/>
      <c r="AL1106" s="77"/>
      <c r="AM1106" s="77"/>
      <c r="AN1106" s="77"/>
      <c r="AO1106" s="77"/>
      <c r="AP1106" s="77"/>
      <c r="AQ1106" s="77" t="s">
        <v>14883</v>
      </c>
      <c r="AR1106" s="77"/>
      <c r="AS1106" s="77"/>
      <c r="AT1106" s="77"/>
      <c r="AU1106" s="77"/>
      <c r="AV1106" s="83" t="str">
        <f>HYPERLINK("https://pbs.twimg.com/media/F2tf--ZXQAAzIQe.jpg")</f>
        <v>https://pbs.twimg.com/media/F2tf--ZXQAAzIQe.jpg</v>
      </c>
      <c r="AW1106" s="80" t="s">
        <v>17012</v>
      </c>
      <c r="AX1106" s="80" t="s">
        <v>17012</v>
      </c>
      <c r="AY1106" s="77"/>
      <c r="AZ1106" s="80" t="s">
        <v>20380</v>
      </c>
      <c r="BA1106" s="80" t="s">
        <v>20380</v>
      </c>
      <c r="BB1106" s="80" t="s">
        <v>20380</v>
      </c>
      <c r="BC1106" s="80" t="s">
        <v>17012</v>
      </c>
      <c r="BD1106" s="80" t="s">
        <v>20706</v>
      </c>
      <c r="BE1106" s="77"/>
      <c r="BF1106" s="77"/>
      <c r="BG1106" s="77"/>
      <c r="BH1106" s="77"/>
      <c r="BI1106" s="77"/>
    </row>
    <row r="1107" spans="1:61" x14ac:dyDescent="0.25">
      <c r="A1107" s="62" t="s">
        <v>656</v>
      </c>
      <c r="B1107" s="62" t="s">
        <v>656</v>
      </c>
      <c r="C1107" s="63"/>
      <c r="D1107" s="64"/>
      <c r="E1107" s="65"/>
      <c r="F1107" s="66"/>
      <c r="G1107" s="63"/>
      <c r="H1107" s="67"/>
      <c r="I1107" s="68"/>
      <c r="J1107" s="68"/>
      <c r="K1107" s="32"/>
      <c r="L1107" s="75">
        <v>1107</v>
      </c>
      <c r="M1107" s="75"/>
      <c r="N1107" s="70"/>
      <c r="O1107" s="77" t="s">
        <v>179</v>
      </c>
      <c r="P1107" s="79">
        <v>45144.546180555553</v>
      </c>
      <c r="Q1107" s="77" t="s">
        <v>3047</v>
      </c>
      <c r="R1107" s="77">
        <v>0</v>
      </c>
      <c r="S1107" s="77">
        <v>0</v>
      </c>
      <c r="T1107" s="77">
        <v>0</v>
      </c>
      <c r="U1107" s="77">
        <v>0</v>
      </c>
      <c r="V1107" s="77">
        <v>17</v>
      </c>
      <c r="W1107" s="80" t="s">
        <v>6682</v>
      </c>
      <c r="X1107" s="83" t="str">
        <f>HYPERLINK("https://acesse.one/megasena")</f>
        <v>https://acesse.one/megasena</v>
      </c>
      <c r="Y1107" s="77" t="s">
        <v>8716</v>
      </c>
      <c r="Z1107" s="77"/>
      <c r="AA1107" s="77" t="s">
        <v>9402</v>
      </c>
      <c r="AB1107" s="77" t="s">
        <v>10535</v>
      </c>
      <c r="AC1107" s="80" t="s">
        <v>10542</v>
      </c>
      <c r="AD1107" s="77" t="s">
        <v>10617</v>
      </c>
      <c r="AE1107" s="83" t="str">
        <f>HYPERLINK("https://twitter.com/jornadacapital/status/1688174712193679360")</f>
        <v>https://twitter.com/jornadacapital/status/1688174712193679360</v>
      </c>
      <c r="AF1107" s="79">
        <v>45144.546180555553</v>
      </c>
      <c r="AG1107" s="85">
        <v>45144</v>
      </c>
      <c r="AH1107" s="80" t="s">
        <v>11610</v>
      </c>
      <c r="AI1107" s="77" t="b">
        <v>0</v>
      </c>
      <c r="AJ1107" s="77"/>
      <c r="AK1107" s="77"/>
      <c r="AL1107" s="77"/>
      <c r="AM1107" s="77"/>
      <c r="AN1107" s="77"/>
      <c r="AO1107" s="77"/>
      <c r="AP1107" s="77"/>
      <c r="AQ1107" s="77" t="s">
        <v>14884</v>
      </c>
      <c r="AR1107" s="77"/>
      <c r="AS1107" s="77"/>
      <c r="AT1107" s="77"/>
      <c r="AU1107" s="77"/>
      <c r="AV1107" s="83" t="str">
        <f>HYPERLINK("https://pbs.twimg.com/media/F22Z8-FWQAA_sMi.jpg")</f>
        <v>https://pbs.twimg.com/media/F22Z8-FWQAA_sMi.jpg</v>
      </c>
      <c r="AW1107" s="80" t="s">
        <v>17013</v>
      </c>
      <c r="AX1107" s="80" t="s">
        <v>17013</v>
      </c>
      <c r="AY1107" s="77"/>
      <c r="AZ1107" s="80" t="s">
        <v>20380</v>
      </c>
      <c r="BA1107" s="80" t="s">
        <v>20380</v>
      </c>
      <c r="BB1107" s="80" t="s">
        <v>20380</v>
      </c>
      <c r="BC1107" s="80" t="s">
        <v>17013</v>
      </c>
      <c r="BD1107" s="80" t="s">
        <v>20706</v>
      </c>
      <c r="BE1107" s="77"/>
      <c r="BF1107" s="77"/>
      <c r="BG1107" s="77"/>
      <c r="BH1107" s="77"/>
      <c r="BI1107" s="77"/>
    </row>
    <row r="1108" spans="1:61" x14ac:dyDescent="0.25">
      <c r="A1108" s="62" t="s">
        <v>656</v>
      </c>
      <c r="B1108" s="62" t="s">
        <v>656</v>
      </c>
      <c r="C1108" s="63"/>
      <c r="D1108" s="64"/>
      <c r="E1108" s="65"/>
      <c r="F1108" s="66"/>
      <c r="G1108" s="63"/>
      <c r="H1108" s="67"/>
      <c r="I1108" s="68"/>
      <c r="J1108" s="68"/>
      <c r="K1108" s="32"/>
      <c r="L1108" s="75">
        <v>1108</v>
      </c>
      <c r="M1108" s="75"/>
      <c r="N1108" s="70"/>
      <c r="O1108" s="77" t="s">
        <v>179</v>
      </c>
      <c r="P1108" s="79">
        <v>45141.69804398148</v>
      </c>
      <c r="Q1108" s="77" t="s">
        <v>3048</v>
      </c>
      <c r="R1108" s="77">
        <v>0</v>
      </c>
      <c r="S1108" s="77">
        <v>0</v>
      </c>
      <c r="T1108" s="77">
        <v>0</v>
      </c>
      <c r="U1108" s="77">
        <v>0</v>
      </c>
      <c r="V1108" s="77">
        <v>16</v>
      </c>
      <c r="W1108" s="80" t="s">
        <v>6683</v>
      </c>
      <c r="X1108" s="83" t="str">
        <f>HYPERLINK("https://acesse.one/BorisJohnson")</f>
        <v>https://acesse.one/BorisJohnson</v>
      </c>
      <c r="Y1108" s="77" t="s">
        <v>8716</v>
      </c>
      <c r="Z1108" s="77"/>
      <c r="AA1108" s="77" t="s">
        <v>9403</v>
      </c>
      <c r="AB1108" s="77" t="s">
        <v>10535</v>
      </c>
      <c r="AC1108" s="80" t="s">
        <v>10542</v>
      </c>
      <c r="AD1108" s="77" t="s">
        <v>10617</v>
      </c>
      <c r="AE1108" s="83" t="str">
        <f>HYPERLINK("https://twitter.com/jornadacapital/status/1687142578750201859")</f>
        <v>https://twitter.com/jornadacapital/status/1687142578750201859</v>
      </c>
      <c r="AF1108" s="79">
        <v>45141.69804398148</v>
      </c>
      <c r="AG1108" s="85">
        <v>45141</v>
      </c>
      <c r="AH1108" s="80" t="s">
        <v>11611</v>
      </c>
      <c r="AI1108" s="77" t="b">
        <v>0</v>
      </c>
      <c r="AJ1108" s="77"/>
      <c r="AK1108" s="77"/>
      <c r="AL1108" s="77"/>
      <c r="AM1108" s="77"/>
      <c r="AN1108" s="77"/>
      <c r="AO1108" s="77"/>
      <c r="AP1108" s="77"/>
      <c r="AQ1108" s="77" t="s">
        <v>14885</v>
      </c>
      <c r="AR1108" s="77"/>
      <c r="AS1108" s="77"/>
      <c r="AT1108" s="77"/>
      <c r="AU1108" s="77"/>
      <c r="AV1108" s="83" t="str">
        <f>HYPERLINK("https://pbs.twimg.com/media/F2nvO55XoAsXFWq.jpg")</f>
        <v>https://pbs.twimg.com/media/F2nvO55XoAsXFWq.jpg</v>
      </c>
      <c r="AW1108" s="80" t="s">
        <v>17014</v>
      </c>
      <c r="AX1108" s="80" t="s">
        <v>17014</v>
      </c>
      <c r="AY1108" s="77"/>
      <c r="AZ1108" s="80" t="s">
        <v>20380</v>
      </c>
      <c r="BA1108" s="80" t="s">
        <v>20380</v>
      </c>
      <c r="BB1108" s="80" t="s">
        <v>20380</v>
      </c>
      <c r="BC1108" s="80" t="s">
        <v>17014</v>
      </c>
      <c r="BD1108" s="80" t="s">
        <v>20706</v>
      </c>
      <c r="BE1108" s="77"/>
      <c r="BF1108" s="77"/>
      <c r="BG1108" s="77"/>
      <c r="BH1108" s="77"/>
      <c r="BI1108" s="77"/>
    </row>
    <row r="1109" spans="1:61" x14ac:dyDescent="0.25">
      <c r="A1109" s="62" t="s">
        <v>657</v>
      </c>
      <c r="B1109" s="62" t="s">
        <v>657</v>
      </c>
      <c r="C1109" s="63"/>
      <c r="D1109" s="64"/>
      <c r="E1109" s="65"/>
      <c r="F1109" s="66"/>
      <c r="G1109" s="63"/>
      <c r="H1109" s="67"/>
      <c r="I1109" s="68"/>
      <c r="J1109" s="68"/>
      <c r="K1109" s="32"/>
      <c r="L1109" s="75">
        <v>1109</v>
      </c>
      <c r="M1109" s="75"/>
      <c r="N1109" s="70"/>
      <c r="O1109" s="77" t="s">
        <v>179</v>
      </c>
      <c r="P1109" s="79">
        <v>45119.953043981484</v>
      </c>
      <c r="Q1109" s="77" t="s">
        <v>3049</v>
      </c>
      <c r="R1109" s="77">
        <v>0</v>
      </c>
      <c r="S1109" s="77">
        <v>6</v>
      </c>
      <c r="T1109" s="77">
        <v>0</v>
      </c>
      <c r="U1109" s="77">
        <v>2</v>
      </c>
      <c r="V1109" s="77">
        <v>2380</v>
      </c>
      <c r="W1109" s="80" t="s">
        <v>6684</v>
      </c>
      <c r="X1109" s="83" t="str">
        <f>HYPERLINK("https://www.r7.com/A1NQ")</f>
        <v>https://www.r7.com/A1NQ</v>
      </c>
      <c r="Y1109" s="77" t="s">
        <v>8717</v>
      </c>
      <c r="Z1109" s="77"/>
      <c r="AA1109" s="77"/>
      <c r="AB1109" s="77"/>
      <c r="AC1109" s="80" t="s">
        <v>10555</v>
      </c>
      <c r="AD1109" s="77" t="s">
        <v>10617</v>
      </c>
      <c r="AE1109" s="83" t="str">
        <f>HYPERLINK("https://twitter.com/portalr7/status/1679262456755941376")</f>
        <v>https://twitter.com/portalr7/status/1679262456755941376</v>
      </c>
      <c r="AF1109" s="79">
        <v>45119.953043981484</v>
      </c>
      <c r="AG1109" s="85">
        <v>45119</v>
      </c>
      <c r="AH1109" s="80" t="s">
        <v>11612</v>
      </c>
      <c r="AI1109" s="77" t="b">
        <v>0</v>
      </c>
      <c r="AJ1109" s="77"/>
      <c r="AK1109" s="77"/>
      <c r="AL1109" s="77"/>
      <c r="AM1109" s="77"/>
      <c r="AN1109" s="77"/>
      <c r="AO1109" s="77"/>
      <c r="AP1109" s="77"/>
      <c r="AQ1109" s="77"/>
      <c r="AR1109" s="77"/>
      <c r="AS1109" s="77"/>
      <c r="AT1109" s="77"/>
      <c r="AU1109" s="77"/>
      <c r="AV1109" s="83" t="str">
        <f>HYPERLINK("https://pbs.twimg.com/profile_images/1179730636644454402/lEcDRpIC_normal.jpg")</f>
        <v>https://pbs.twimg.com/profile_images/1179730636644454402/lEcDRpIC_normal.jpg</v>
      </c>
      <c r="AW1109" s="80" t="s">
        <v>17015</v>
      </c>
      <c r="AX1109" s="80" t="s">
        <v>17015</v>
      </c>
      <c r="AY1109" s="77"/>
      <c r="AZ1109" s="80" t="s">
        <v>20380</v>
      </c>
      <c r="BA1109" s="80" t="s">
        <v>20380</v>
      </c>
      <c r="BB1109" s="80" t="s">
        <v>20380</v>
      </c>
      <c r="BC1109" s="80" t="s">
        <v>17015</v>
      </c>
      <c r="BD1109" s="77">
        <v>65473559</v>
      </c>
      <c r="BE1109" s="77"/>
      <c r="BF1109" s="77"/>
      <c r="BG1109" s="77"/>
      <c r="BH1109" s="77"/>
      <c r="BI1109" s="77"/>
    </row>
    <row r="1110" spans="1:61" x14ac:dyDescent="0.25">
      <c r="A1110" s="62" t="s">
        <v>658</v>
      </c>
      <c r="B1110" s="62" t="s">
        <v>657</v>
      </c>
      <c r="C1110" s="63"/>
      <c r="D1110" s="64"/>
      <c r="E1110" s="65"/>
      <c r="F1110" s="66"/>
      <c r="G1110" s="63"/>
      <c r="H1110" s="67"/>
      <c r="I1110" s="68"/>
      <c r="J1110" s="68"/>
      <c r="K1110" s="32"/>
      <c r="L1110" s="75">
        <v>1110</v>
      </c>
      <c r="M1110" s="75"/>
      <c r="N1110" s="70"/>
      <c r="O1110" s="77" t="s">
        <v>2082</v>
      </c>
      <c r="P1110" s="79">
        <v>45120.508020833331</v>
      </c>
      <c r="Q1110" s="77" t="s">
        <v>3050</v>
      </c>
      <c r="R1110" s="77">
        <v>0</v>
      </c>
      <c r="S1110" s="77">
        <v>0</v>
      </c>
      <c r="T1110" s="77">
        <v>0</v>
      </c>
      <c r="U1110" s="77">
        <v>0</v>
      </c>
      <c r="V1110" s="77">
        <v>13</v>
      </c>
      <c r="W1110" s="80" t="s">
        <v>5884</v>
      </c>
      <c r="X1110" s="77"/>
      <c r="Y1110" s="77"/>
      <c r="Z1110" s="77" t="s">
        <v>1830</v>
      </c>
      <c r="AA1110" s="77"/>
      <c r="AB1110" s="77"/>
      <c r="AC1110" s="80" t="s">
        <v>10540</v>
      </c>
      <c r="AD1110" s="77" t="s">
        <v>10617</v>
      </c>
      <c r="AE1110" s="83" t="str">
        <f>HYPERLINK("https://twitter.com/jairwalter/status/1679463573188231173")</f>
        <v>https://twitter.com/jairwalter/status/1679463573188231173</v>
      </c>
      <c r="AF1110" s="79">
        <v>45120.508020833331</v>
      </c>
      <c r="AG1110" s="85">
        <v>45120</v>
      </c>
      <c r="AH1110" s="80" t="s">
        <v>11613</v>
      </c>
      <c r="AI1110" s="77"/>
      <c r="AJ1110" s="77"/>
      <c r="AK1110" s="77"/>
      <c r="AL1110" s="77"/>
      <c r="AM1110" s="77"/>
      <c r="AN1110" s="77"/>
      <c r="AO1110" s="77"/>
      <c r="AP1110" s="77"/>
      <c r="AQ1110" s="77"/>
      <c r="AR1110" s="77"/>
      <c r="AS1110" s="77"/>
      <c r="AT1110" s="77"/>
      <c r="AU1110" s="77"/>
      <c r="AV1110" s="83" t="str">
        <f>HYPERLINK("https://pbs.twimg.com/profile_images/1349443550040252418/D7UpBBnw_normal.jpg")</f>
        <v>https://pbs.twimg.com/profile_images/1349443550040252418/D7UpBBnw_normal.jpg</v>
      </c>
      <c r="AW1110" s="80" t="s">
        <v>17016</v>
      </c>
      <c r="AX1110" s="80" t="s">
        <v>17016</v>
      </c>
      <c r="AY1110" s="77"/>
      <c r="AZ1110" s="80" t="s">
        <v>20380</v>
      </c>
      <c r="BA1110" s="80" t="s">
        <v>17015</v>
      </c>
      <c r="BB1110" s="80" t="s">
        <v>20380</v>
      </c>
      <c r="BC1110" s="80" t="s">
        <v>17015</v>
      </c>
      <c r="BD1110" s="77">
        <v>56002324</v>
      </c>
      <c r="BE1110" s="77"/>
      <c r="BF1110" s="77"/>
      <c r="BG1110" s="77"/>
      <c r="BH1110" s="77"/>
      <c r="BI1110" s="77"/>
    </row>
    <row r="1111" spans="1:61" x14ac:dyDescent="0.25">
      <c r="A1111" s="62" t="s">
        <v>658</v>
      </c>
      <c r="B1111" s="62" t="s">
        <v>1830</v>
      </c>
      <c r="C1111" s="63"/>
      <c r="D1111" s="64"/>
      <c r="E1111" s="65"/>
      <c r="F1111" s="66"/>
      <c r="G1111" s="63"/>
      <c r="H1111" s="67"/>
      <c r="I1111" s="68"/>
      <c r="J1111" s="68"/>
      <c r="K1111" s="32"/>
      <c r="L1111" s="75">
        <v>1111</v>
      </c>
      <c r="M1111" s="75"/>
      <c r="N1111" s="70"/>
      <c r="O1111" s="77" t="s">
        <v>2084</v>
      </c>
      <c r="P1111" s="79">
        <v>45120.508020833331</v>
      </c>
      <c r="Q1111" s="77" t="s">
        <v>3050</v>
      </c>
      <c r="R1111" s="77">
        <v>0</v>
      </c>
      <c r="S1111" s="77">
        <v>0</v>
      </c>
      <c r="T1111" s="77">
        <v>0</v>
      </c>
      <c r="U1111" s="77">
        <v>0</v>
      </c>
      <c r="V1111" s="77">
        <v>13</v>
      </c>
      <c r="W1111" s="80" t="s">
        <v>5884</v>
      </c>
      <c r="X1111" s="77"/>
      <c r="Y1111" s="77"/>
      <c r="Z1111" s="77" t="s">
        <v>1830</v>
      </c>
      <c r="AA1111" s="77"/>
      <c r="AB1111" s="77"/>
      <c r="AC1111" s="80" t="s">
        <v>10540</v>
      </c>
      <c r="AD1111" s="77" t="s">
        <v>10617</v>
      </c>
      <c r="AE1111" s="83" t="str">
        <f>HYPERLINK("https://twitter.com/jairwalter/status/1679463573188231173")</f>
        <v>https://twitter.com/jairwalter/status/1679463573188231173</v>
      </c>
      <c r="AF1111" s="79">
        <v>45120.508020833331</v>
      </c>
      <c r="AG1111" s="85">
        <v>45120</v>
      </c>
      <c r="AH1111" s="80" t="s">
        <v>11613</v>
      </c>
      <c r="AI1111" s="77"/>
      <c r="AJ1111" s="77"/>
      <c r="AK1111" s="77"/>
      <c r="AL1111" s="77"/>
      <c r="AM1111" s="77"/>
      <c r="AN1111" s="77"/>
      <c r="AO1111" s="77"/>
      <c r="AP1111" s="77"/>
      <c r="AQ1111" s="77"/>
      <c r="AR1111" s="77"/>
      <c r="AS1111" s="77"/>
      <c r="AT1111" s="77"/>
      <c r="AU1111" s="77"/>
      <c r="AV1111" s="83" t="str">
        <f>HYPERLINK("https://pbs.twimg.com/profile_images/1349443550040252418/D7UpBBnw_normal.jpg")</f>
        <v>https://pbs.twimg.com/profile_images/1349443550040252418/D7UpBBnw_normal.jpg</v>
      </c>
      <c r="AW1111" s="80" t="s">
        <v>17016</v>
      </c>
      <c r="AX1111" s="80" t="s">
        <v>17016</v>
      </c>
      <c r="AY1111" s="77"/>
      <c r="AZ1111" s="80" t="s">
        <v>20380</v>
      </c>
      <c r="BA1111" s="80" t="s">
        <v>17015</v>
      </c>
      <c r="BB1111" s="80" t="s">
        <v>20380</v>
      </c>
      <c r="BC1111" s="80" t="s">
        <v>17015</v>
      </c>
      <c r="BD1111" s="77">
        <v>56002324</v>
      </c>
      <c r="BE1111" s="77"/>
      <c r="BF1111" s="77"/>
      <c r="BG1111" s="77"/>
      <c r="BH1111" s="77"/>
      <c r="BI1111" s="77"/>
    </row>
    <row r="1112" spans="1:61" x14ac:dyDescent="0.25">
      <c r="A1112" s="62" t="s">
        <v>659</v>
      </c>
      <c r="B1112" s="62" t="s">
        <v>659</v>
      </c>
      <c r="C1112" s="63"/>
      <c r="D1112" s="64"/>
      <c r="E1112" s="65"/>
      <c r="F1112" s="66"/>
      <c r="G1112" s="63"/>
      <c r="H1112" s="67"/>
      <c r="I1112" s="68"/>
      <c r="J1112" s="68"/>
      <c r="K1112" s="32"/>
      <c r="L1112" s="75">
        <v>1112</v>
      </c>
      <c r="M1112" s="75"/>
      <c r="N1112" s="70"/>
      <c r="O1112" s="77" t="s">
        <v>179</v>
      </c>
      <c r="P1112" s="79">
        <v>45175.833333333336</v>
      </c>
      <c r="Q1112" s="77" t="s">
        <v>3051</v>
      </c>
      <c r="R1112" s="77">
        <v>0</v>
      </c>
      <c r="S1112" s="77">
        <v>0</v>
      </c>
      <c r="T1112" s="77">
        <v>0</v>
      </c>
      <c r="U1112" s="77">
        <v>0</v>
      </c>
      <c r="V1112" s="77">
        <v>68</v>
      </c>
      <c r="W1112" s="80" t="s">
        <v>6685</v>
      </c>
      <c r="X1112" s="83" t="str">
        <f>HYPERLINK("https://www.vovetucuman.com/sociedad/las-consultoras-privadas-analizan-si-el-bcra-subira-las-tasas-de-interes-ante-una-inflacion-de-dos-digitos/")</f>
        <v>https://www.vovetucuman.com/sociedad/las-consultoras-privadas-analizan-si-el-bcra-subira-las-tasas-de-interes-ante-una-inflacion-de-dos-digitos/</v>
      </c>
      <c r="Y1112" s="77" t="s">
        <v>8718</v>
      </c>
      <c r="Z1112" s="77"/>
      <c r="AA1112" s="77"/>
      <c r="AB1112" s="77"/>
      <c r="AC1112" s="80" t="s">
        <v>10540</v>
      </c>
      <c r="AD1112" s="77" t="s">
        <v>10620</v>
      </c>
      <c r="AE1112" s="83" t="str">
        <f>HYPERLINK("https://twitter.com/vovetucuman/status/1699512794230456482")</f>
        <v>https://twitter.com/vovetucuman/status/1699512794230456482</v>
      </c>
      <c r="AF1112" s="79">
        <v>45175.833333333336</v>
      </c>
      <c r="AG1112" s="85">
        <v>45175</v>
      </c>
      <c r="AH1112" s="80" t="s">
        <v>11614</v>
      </c>
      <c r="AI1112" s="77" t="b">
        <v>0</v>
      </c>
      <c r="AJ1112" s="77"/>
      <c r="AK1112" s="77"/>
      <c r="AL1112" s="77"/>
      <c r="AM1112" s="77"/>
      <c r="AN1112" s="77"/>
      <c r="AO1112" s="77"/>
      <c r="AP1112" s="77"/>
      <c r="AQ1112" s="77"/>
      <c r="AR1112" s="77"/>
      <c r="AS1112" s="77"/>
      <c r="AT1112" s="77"/>
      <c r="AU1112" s="77"/>
      <c r="AV1112" s="83" t="str">
        <f>HYPERLINK("https://pbs.twimg.com/profile_images/1544089581653528585/YHCDkEg__normal.jpg")</f>
        <v>https://pbs.twimg.com/profile_images/1544089581653528585/YHCDkEg__normal.jpg</v>
      </c>
      <c r="AW1112" s="80" t="s">
        <v>17017</v>
      </c>
      <c r="AX1112" s="80" t="s">
        <v>17017</v>
      </c>
      <c r="AY1112" s="77"/>
      <c r="AZ1112" s="80" t="s">
        <v>20380</v>
      </c>
      <c r="BA1112" s="80" t="s">
        <v>20380</v>
      </c>
      <c r="BB1112" s="80" t="s">
        <v>20380</v>
      </c>
      <c r="BC1112" s="80" t="s">
        <v>17017</v>
      </c>
      <c r="BD1112" s="80" t="s">
        <v>20707</v>
      </c>
      <c r="BE1112" s="77"/>
      <c r="BF1112" s="77"/>
      <c r="BG1112" s="77"/>
      <c r="BH1112" s="77"/>
      <c r="BI1112" s="77"/>
    </row>
    <row r="1113" spans="1:61" x14ac:dyDescent="0.25">
      <c r="A1113" s="62" t="s">
        <v>659</v>
      </c>
      <c r="B1113" s="62" t="s">
        <v>659</v>
      </c>
      <c r="C1113" s="63"/>
      <c r="D1113" s="64"/>
      <c r="E1113" s="65"/>
      <c r="F1113" s="66"/>
      <c r="G1113" s="63"/>
      <c r="H1113" s="67"/>
      <c r="I1113" s="68"/>
      <c r="J1113" s="68"/>
      <c r="K1113" s="32"/>
      <c r="L1113" s="75">
        <v>1113</v>
      </c>
      <c r="M1113" s="75"/>
      <c r="N1113" s="70"/>
      <c r="O1113" s="77" t="s">
        <v>179</v>
      </c>
      <c r="P1113" s="79">
        <v>45176.856956018521</v>
      </c>
      <c r="Q1113" s="77" t="s">
        <v>3052</v>
      </c>
      <c r="R1113" s="77">
        <v>0</v>
      </c>
      <c r="S1113" s="77">
        <v>0</v>
      </c>
      <c r="T1113" s="77">
        <v>0</v>
      </c>
      <c r="U1113" s="77">
        <v>0</v>
      </c>
      <c r="V1113" s="77">
        <v>33</v>
      </c>
      <c r="W1113" s="80" t="s">
        <v>6686</v>
      </c>
      <c r="X1113" s="83" t="str">
        <f>HYPERLINK("https://www.vovetucuman.com/politica/las-reservas-del-pais-cayeron-17-000-millones-en-2023-y-advierten-por-la-ineficacia-de-las-medidas/")</f>
        <v>https://www.vovetucuman.com/politica/las-reservas-del-pais-cayeron-17-000-millones-en-2023-y-advierten-por-la-ineficacia-de-las-medidas/</v>
      </c>
      <c r="Y1113" s="77" t="s">
        <v>8718</v>
      </c>
      <c r="Z1113" s="77"/>
      <c r="AA1113" s="77"/>
      <c r="AB1113" s="77"/>
      <c r="AC1113" s="80" t="s">
        <v>10540</v>
      </c>
      <c r="AD1113" s="77" t="s">
        <v>10620</v>
      </c>
      <c r="AE1113" s="83" t="str">
        <f>HYPERLINK("https://twitter.com/vovetucuman/status/1699883745141051498")</f>
        <v>https://twitter.com/vovetucuman/status/1699883745141051498</v>
      </c>
      <c r="AF1113" s="79">
        <v>45176.856956018521</v>
      </c>
      <c r="AG1113" s="85">
        <v>45176</v>
      </c>
      <c r="AH1113" s="80" t="s">
        <v>11615</v>
      </c>
      <c r="AI1113" s="77" t="b">
        <v>0</v>
      </c>
      <c r="AJ1113" s="77"/>
      <c r="AK1113" s="77"/>
      <c r="AL1113" s="77"/>
      <c r="AM1113" s="77"/>
      <c r="AN1113" s="77"/>
      <c r="AO1113" s="77"/>
      <c r="AP1113" s="77"/>
      <c r="AQ1113" s="77"/>
      <c r="AR1113" s="77"/>
      <c r="AS1113" s="77"/>
      <c r="AT1113" s="77"/>
      <c r="AU1113" s="77"/>
      <c r="AV1113" s="83" t="str">
        <f>HYPERLINK("https://pbs.twimg.com/profile_images/1544089581653528585/YHCDkEg__normal.jpg")</f>
        <v>https://pbs.twimg.com/profile_images/1544089581653528585/YHCDkEg__normal.jpg</v>
      </c>
      <c r="AW1113" s="80" t="s">
        <v>17018</v>
      </c>
      <c r="AX1113" s="80" t="s">
        <v>17018</v>
      </c>
      <c r="AY1113" s="77"/>
      <c r="AZ1113" s="80" t="s">
        <v>20380</v>
      </c>
      <c r="BA1113" s="80" t="s">
        <v>20380</v>
      </c>
      <c r="BB1113" s="80" t="s">
        <v>20380</v>
      </c>
      <c r="BC1113" s="80" t="s">
        <v>17018</v>
      </c>
      <c r="BD1113" s="80" t="s">
        <v>20707</v>
      </c>
      <c r="BE1113" s="77"/>
      <c r="BF1113" s="77"/>
      <c r="BG1113" s="77"/>
      <c r="BH1113" s="77"/>
      <c r="BI1113" s="77"/>
    </row>
    <row r="1114" spans="1:61" x14ac:dyDescent="0.25">
      <c r="A1114" s="62" t="s">
        <v>659</v>
      </c>
      <c r="B1114" s="62" t="s">
        <v>659</v>
      </c>
      <c r="C1114" s="63"/>
      <c r="D1114" s="64"/>
      <c r="E1114" s="65"/>
      <c r="F1114" s="66"/>
      <c r="G1114" s="63"/>
      <c r="H1114" s="67"/>
      <c r="I1114" s="68"/>
      <c r="J1114" s="68"/>
      <c r="K1114" s="32"/>
      <c r="L1114" s="75">
        <v>1114</v>
      </c>
      <c r="M1114" s="75"/>
      <c r="N1114" s="70"/>
      <c r="O1114" s="77" t="s">
        <v>179</v>
      </c>
      <c r="P1114" s="79">
        <v>45183.891030092593</v>
      </c>
      <c r="Q1114" s="77" t="s">
        <v>3053</v>
      </c>
      <c r="R1114" s="77">
        <v>0</v>
      </c>
      <c r="S1114" s="77">
        <v>0</v>
      </c>
      <c r="T1114" s="77">
        <v>0</v>
      </c>
      <c r="U1114" s="77">
        <v>0</v>
      </c>
      <c r="V1114" s="77">
        <v>45</v>
      </c>
      <c r="W1114" s="80" t="s">
        <v>6687</v>
      </c>
      <c r="X1114" s="83" t="str">
        <f>HYPERLINK("https://www.vovetucuman.com/politica/el-banco-central-anuncio-que-mantendra-sin-cambios-la-tasa-de-politica-monetaria/")</f>
        <v>https://www.vovetucuman.com/politica/el-banco-central-anuncio-que-mantendra-sin-cambios-la-tasa-de-politica-monetaria/</v>
      </c>
      <c r="Y1114" s="77" t="s">
        <v>8718</v>
      </c>
      <c r="Z1114" s="77"/>
      <c r="AA1114" s="77"/>
      <c r="AB1114" s="77"/>
      <c r="AC1114" s="80" t="s">
        <v>10540</v>
      </c>
      <c r="AD1114" s="77" t="s">
        <v>10620</v>
      </c>
      <c r="AE1114" s="83" t="str">
        <f>HYPERLINK("https://twitter.com/vovetucuman/status/1702432808709325284")</f>
        <v>https://twitter.com/vovetucuman/status/1702432808709325284</v>
      </c>
      <c r="AF1114" s="79">
        <v>45183.891030092593</v>
      </c>
      <c r="AG1114" s="85">
        <v>45183</v>
      </c>
      <c r="AH1114" s="80" t="s">
        <v>11616</v>
      </c>
      <c r="AI1114" s="77" t="b">
        <v>0</v>
      </c>
      <c r="AJ1114" s="77"/>
      <c r="AK1114" s="77"/>
      <c r="AL1114" s="77"/>
      <c r="AM1114" s="77"/>
      <c r="AN1114" s="77"/>
      <c r="AO1114" s="77"/>
      <c r="AP1114" s="77"/>
      <c r="AQ1114" s="77"/>
      <c r="AR1114" s="77"/>
      <c r="AS1114" s="77"/>
      <c r="AT1114" s="77"/>
      <c r="AU1114" s="77"/>
      <c r="AV1114" s="83" t="str">
        <f>HYPERLINK("https://pbs.twimg.com/profile_images/1544089581653528585/YHCDkEg__normal.jpg")</f>
        <v>https://pbs.twimg.com/profile_images/1544089581653528585/YHCDkEg__normal.jpg</v>
      </c>
      <c r="AW1114" s="80" t="s">
        <v>17019</v>
      </c>
      <c r="AX1114" s="80" t="s">
        <v>17019</v>
      </c>
      <c r="AY1114" s="77"/>
      <c r="AZ1114" s="80" t="s">
        <v>20380</v>
      </c>
      <c r="BA1114" s="80" t="s">
        <v>20380</v>
      </c>
      <c r="BB1114" s="80" t="s">
        <v>20380</v>
      </c>
      <c r="BC1114" s="80" t="s">
        <v>17019</v>
      </c>
      <c r="BD1114" s="80" t="s">
        <v>20707</v>
      </c>
      <c r="BE1114" s="77"/>
      <c r="BF1114" s="77"/>
      <c r="BG1114" s="77"/>
      <c r="BH1114" s="77"/>
      <c r="BI1114" s="77"/>
    </row>
    <row r="1115" spans="1:61" x14ac:dyDescent="0.25">
      <c r="A1115" s="62" t="s">
        <v>659</v>
      </c>
      <c r="B1115" s="62" t="s">
        <v>659</v>
      </c>
      <c r="C1115" s="63"/>
      <c r="D1115" s="64"/>
      <c r="E1115" s="65"/>
      <c r="F1115" s="66"/>
      <c r="G1115" s="63"/>
      <c r="H1115" s="67"/>
      <c r="I1115" s="68"/>
      <c r="J1115" s="68"/>
      <c r="K1115" s="32"/>
      <c r="L1115" s="75">
        <v>1115</v>
      </c>
      <c r="M1115" s="75"/>
      <c r="N1115" s="70"/>
      <c r="O1115" s="77" t="s">
        <v>179</v>
      </c>
      <c r="P1115" s="79">
        <v>45050.641817129632</v>
      </c>
      <c r="Q1115" s="77" t="s">
        <v>3054</v>
      </c>
      <c r="R1115" s="77">
        <v>0</v>
      </c>
      <c r="S1115" s="77">
        <v>0</v>
      </c>
      <c r="T1115" s="77">
        <v>0</v>
      </c>
      <c r="U1115" s="77">
        <v>0</v>
      </c>
      <c r="V1115" s="77">
        <v>42</v>
      </c>
      <c r="W1115" s="80" t="s">
        <v>6688</v>
      </c>
      <c r="X1115" s="83" t="str">
        <f>HYPERLINK("https://www.vovetucuman.com/sociedad/el-banco-central-adelantaria-el-lanzamiento-del-billete-de-2000/")</f>
        <v>https://www.vovetucuman.com/sociedad/el-banco-central-adelantaria-el-lanzamiento-del-billete-de-2000/</v>
      </c>
      <c r="Y1115" s="77" t="s">
        <v>8718</v>
      </c>
      <c r="Z1115" s="77"/>
      <c r="AA1115" s="77"/>
      <c r="AB1115" s="77"/>
      <c r="AC1115" s="80" t="s">
        <v>10541</v>
      </c>
      <c r="AD1115" s="77" t="s">
        <v>10620</v>
      </c>
      <c r="AE1115" s="83" t="str">
        <f>HYPERLINK("https://twitter.com/vovetucuman/status/1654144908893061127")</f>
        <v>https://twitter.com/vovetucuman/status/1654144908893061127</v>
      </c>
      <c r="AF1115" s="79">
        <v>45050.641817129632</v>
      </c>
      <c r="AG1115" s="85">
        <v>45050</v>
      </c>
      <c r="AH1115" s="80" t="s">
        <v>11617</v>
      </c>
      <c r="AI1115" s="77" t="b">
        <v>0</v>
      </c>
      <c r="AJ1115" s="77"/>
      <c r="AK1115" s="77"/>
      <c r="AL1115" s="77"/>
      <c r="AM1115" s="77"/>
      <c r="AN1115" s="77"/>
      <c r="AO1115" s="77"/>
      <c r="AP1115" s="77"/>
      <c r="AQ1115" s="77"/>
      <c r="AR1115" s="77"/>
      <c r="AS1115" s="77"/>
      <c r="AT1115" s="77"/>
      <c r="AU1115" s="77"/>
      <c r="AV1115" s="83" t="str">
        <f>HYPERLINK("https://pbs.twimg.com/profile_images/1544089581653528585/YHCDkEg__normal.jpg")</f>
        <v>https://pbs.twimg.com/profile_images/1544089581653528585/YHCDkEg__normal.jpg</v>
      </c>
      <c r="AW1115" s="80" t="s">
        <v>17020</v>
      </c>
      <c r="AX1115" s="80" t="s">
        <v>17020</v>
      </c>
      <c r="AY1115" s="77"/>
      <c r="AZ1115" s="80" t="s">
        <v>20380</v>
      </c>
      <c r="BA1115" s="80" t="s">
        <v>20380</v>
      </c>
      <c r="BB1115" s="80" t="s">
        <v>20380</v>
      </c>
      <c r="BC1115" s="80" t="s">
        <v>17020</v>
      </c>
      <c r="BD1115" s="80" t="s">
        <v>20707</v>
      </c>
      <c r="BE1115" s="77"/>
      <c r="BF1115" s="77"/>
      <c r="BG1115" s="77"/>
      <c r="BH1115" s="77"/>
      <c r="BI1115" s="77"/>
    </row>
    <row r="1116" spans="1:61" x14ac:dyDescent="0.25">
      <c r="A1116" s="62" t="s">
        <v>660</v>
      </c>
      <c r="B1116" s="62" t="s">
        <v>1831</v>
      </c>
      <c r="C1116" s="63"/>
      <c r="D1116" s="64"/>
      <c r="E1116" s="65"/>
      <c r="F1116" s="66"/>
      <c r="G1116" s="63"/>
      <c r="H1116" s="67"/>
      <c r="I1116" s="68"/>
      <c r="J1116" s="68"/>
      <c r="K1116" s="32"/>
      <c r="L1116" s="75">
        <v>1116</v>
      </c>
      <c r="M1116" s="75"/>
      <c r="N1116" s="70"/>
      <c r="O1116" s="77" t="s">
        <v>2079</v>
      </c>
      <c r="P1116" s="79">
        <v>45125.914143518516</v>
      </c>
      <c r="Q1116" s="77" t="s">
        <v>3055</v>
      </c>
      <c r="R1116" s="77">
        <v>1</v>
      </c>
      <c r="S1116" s="77">
        <v>5</v>
      </c>
      <c r="T1116" s="77">
        <v>0</v>
      </c>
      <c r="U1116" s="77">
        <v>0</v>
      </c>
      <c r="V1116" s="77">
        <v>30</v>
      </c>
      <c r="W1116" s="80" t="s">
        <v>6689</v>
      </c>
      <c r="X1116" s="77"/>
      <c r="Y1116" s="77"/>
      <c r="Z1116" s="77" t="s">
        <v>8952</v>
      </c>
      <c r="AA1116" s="77"/>
      <c r="AB1116" s="77"/>
      <c r="AC1116" s="80" t="s">
        <v>10540</v>
      </c>
      <c r="AD1116" s="77" t="s">
        <v>10619</v>
      </c>
      <c r="AE1116" s="83" t="str">
        <f>HYPERLINK("https://twitter.com/luizcgferreira/status/1681422685618798593")</f>
        <v>https://twitter.com/luizcgferreira/status/1681422685618798593</v>
      </c>
      <c r="AF1116" s="79">
        <v>45125.914143518516</v>
      </c>
      <c r="AG1116" s="85">
        <v>45125</v>
      </c>
      <c r="AH1116" s="80" t="s">
        <v>11618</v>
      </c>
      <c r="AI1116" s="77"/>
      <c r="AJ1116" s="77" t="s">
        <v>14341</v>
      </c>
      <c r="AK1116" s="77" t="s">
        <v>14382</v>
      </c>
      <c r="AL1116" s="77" t="s">
        <v>14391</v>
      </c>
      <c r="AM1116" s="77" t="s">
        <v>14400</v>
      </c>
      <c r="AN1116" s="77" t="s">
        <v>14438</v>
      </c>
      <c r="AO1116" s="77" t="s">
        <v>14479</v>
      </c>
      <c r="AP1116" s="77" t="s">
        <v>14516</v>
      </c>
      <c r="AQ1116" s="77"/>
      <c r="AR1116" s="77"/>
      <c r="AS1116" s="77"/>
      <c r="AT1116" s="77"/>
      <c r="AU1116" s="77"/>
      <c r="AV1116" s="83" t="str">
        <f>HYPERLINK("https://pbs.twimg.com/profile_images/1693049422840492032/LNPrug43_normal.jpg")</f>
        <v>https://pbs.twimg.com/profile_images/1693049422840492032/LNPrug43_normal.jpg</v>
      </c>
      <c r="AW1116" s="80" t="s">
        <v>17021</v>
      </c>
      <c r="AX1116" s="80" t="s">
        <v>20006</v>
      </c>
      <c r="AY1116" s="80" t="s">
        <v>20262</v>
      </c>
      <c r="AZ1116" s="80" t="s">
        <v>20404</v>
      </c>
      <c r="BA1116" s="80" t="s">
        <v>20380</v>
      </c>
      <c r="BB1116" s="80" t="s">
        <v>20380</v>
      </c>
      <c r="BC1116" s="80" t="s">
        <v>20404</v>
      </c>
      <c r="BD1116" s="77">
        <v>2810838677</v>
      </c>
      <c r="BE1116" s="77"/>
      <c r="BF1116" s="77"/>
      <c r="BG1116" s="77"/>
      <c r="BH1116" s="77"/>
      <c r="BI1116" s="77"/>
    </row>
    <row r="1117" spans="1:61" x14ac:dyDescent="0.25">
      <c r="A1117" s="62" t="s">
        <v>660</v>
      </c>
      <c r="B1117" s="62" t="s">
        <v>1832</v>
      </c>
      <c r="C1117" s="63"/>
      <c r="D1117" s="64"/>
      <c r="E1117" s="65"/>
      <c r="F1117" s="66"/>
      <c r="G1117" s="63"/>
      <c r="H1117" s="67"/>
      <c r="I1117" s="68"/>
      <c r="J1117" s="68"/>
      <c r="K1117" s="32"/>
      <c r="L1117" s="75">
        <v>1117</v>
      </c>
      <c r="M1117" s="75"/>
      <c r="N1117" s="70"/>
      <c r="O1117" s="77" t="s">
        <v>2079</v>
      </c>
      <c r="P1117" s="79">
        <v>45125.914143518516</v>
      </c>
      <c r="Q1117" s="77" t="s">
        <v>3055</v>
      </c>
      <c r="R1117" s="77">
        <v>1</v>
      </c>
      <c r="S1117" s="77">
        <v>5</v>
      </c>
      <c r="T1117" s="77">
        <v>0</v>
      </c>
      <c r="U1117" s="77">
        <v>0</v>
      </c>
      <c r="V1117" s="77">
        <v>30</v>
      </c>
      <c r="W1117" s="80" t="s">
        <v>6689</v>
      </c>
      <c r="X1117" s="77"/>
      <c r="Y1117" s="77"/>
      <c r="Z1117" s="77" t="s">
        <v>8952</v>
      </c>
      <c r="AA1117" s="77"/>
      <c r="AB1117" s="77"/>
      <c r="AC1117" s="80" t="s">
        <v>10540</v>
      </c>
      <c r="AD1117" s="77" t="s">
        <v>10619</v>
      </c>
      <c r="AE1117" s="83" t="str">
        <f>HYPERLINK("https://twitter.com/luizcgferreira/status/1681422685618798593")</f>
        <v>https://twitter.com/luizcgferreira/status/1681422685618798593</v>
      </c>
      <c r="AF1117" s="79">
        <v>45125.914143518516</v>
      </c>
      <c r="AG1117" s="85">
        <v>45125</v>
      </c>
      <c r="AH1117" s="80" t="s">
        <v>11618</v>
      </c>
      <c r="AI1117" s="77"/>
      <c r="AJ1117" s="77" t="s">
        <v>14341</v>
      </c>
      <c r="AK1117" s="77" t="s">
        <v>14382</v>
      </c>
      <c r="AL1117" s="77" t="s">
        <v>14391</v>
      </c>
      <c r="AM1117" s="77" t="s">
        <v>14400</v>
      </c>
      <c r="AN1117" s="77" t="s">
        <v>14438</v>
      </c>
      <c r="AO1117" s="77" t="s">
        <v>14479</v>
      </c>
      <c r="AP1117" s="77" t="s">
        <v>14516</v>
      </c>
      <c r="AQ1117" s="77"/>
      <c r="AR1117" s="77"/>
      <c r="AS1117" s="77"/>
      <c r="AT1117" s="77"/>
      <c r="AU1117" s="77"/>
      <c r="AV1117" s="83" t="str">
        <f>HYPERLINK("https://pbs.twimg.com/profile_images/1693049422840492032/LNPrug43_normal.jpg")</f>
        <v>https://pbs.twimg.com/profile_images/1693049422840492032/LNPrug43_normal.jpg</v>
      </c>
      <c r="AW1117" s="80" t="s">
        <v>17021</v>
      </c>
      <c r="AX1117" s="80" t="s">
        <v>20006</v>
      </c>
      <c r="AY1117" s="80" t="s">
        <v>20262</v>
      </c>
      <c r="AZ1117" s="80" t="s">
        <v>20404</v>
      </c>
      <c r="BA1117" s="80" t="s">
        <v>20380</v>
      </c>
      <c r="BB1117" s="80" t="s">
        <v>20380</v>
      </c>
      <c r="BC1117" s="80" t="s">
        <v>20404</v>
      </c>
      <c r="BD1117" s="77">
        <v>2810838677</v>
      </c>
      <c r="BE1117" s="77"/>
      <c r="BF1117" s="77"/>
      <c r="BG1117" s="77"/>
      <c r="BH1117" s="77"/>
      <c r="BI1117" s="77"/>
    </row>
    <row r="1118" spans="1:61" x14ac:dyDescent="0.25">
      <c r="A1118" s="62" t="s">
        <v>660</v>
      </c>
      <c r="B1118" s="62" t="s">
        <v>1833</v>
      </c>
      <c r="C1118" s="63"/>
      <c r="D1118" s="64"/>
      <c r="E1118" s="65"/>
      <c r="F1118" s="66"/>
      <c r="G1118" s="63"/>
      <c r="H1118" s="67"/>
      <c r="I1118" s="68"/>
      <c r="J1118" s="68"/>
      <c r="K1118" s="32"/>
      <c r="L1118" s="75">
        <v>1118</v>
      </c>
      <c r="M1118" s="75"/>
      <c r="N1118" s="70"/>
      <c r="O1118" s="77" t="s">
        <v>2079</v>
      </c>
      <c r="P1118" s="79">
        <v>45125.914143518516</v>
      </c>
      <c r="Q1118" s="77" t="s">
        <v>3055</v>
      </c>
      <c r="R1118" s="77">
        <v>1</v>
      </c>
      <c r="S1118" s="77">
        <v>5</v>
      </c>
      <c r="T1118" s="77">
        <v>0</v>
      </c>
      <c r="U1118" s="77">
        <v>0</v>
      </c>
      <c r="V1118" s="77">
        <v>30</v>
      </c>
      <c r="W1118" s="80" t="s">
        <v>6689</v>
      </c>
      <c r="X1118" s="77"/>
      <c r="Y1118" s="77"/>
      <c r="Z1118" s="77" t="s">
        <v>8952</v>
      </c>
      <c r="AA1118" s="77"/>
      <c r="AB1118" s="77"/>
      <c r="AC1118" s="80" t="s">
        <v>10540</v>
      </c>
      <c r="AD1118" s="77" t="s">
        <v>10619</v>
      </c>
      <c r="AE1118" s="83" t="str">
        <f>HYPERLINK("https://twitter.com/luizcgferreira/status/1681422685618798593")</f>
        <v>https://twitter.com/luizcgferreira/status/1681422685618798593</v>
      </c>
      <c r="AF1118" s="79">
        <v>45125.914143518516</v>
      </c>
      <c r="AG1118" s="85">
        <v>45125</v>
      </c>
      <c r="AH1118" s="80" t="s">
        <v>11618</v>
      </c>
      <c r="AI1118" s="77"/>
      <c r="AJ1118" s="77" t="s">
        <v>14341</v>
      </c>
      <c r="AK1118" s="77" t="s">
        <v>14382</v>
      </c>
      <c r="AL1118" s="77" t="s">
        <v>14391</v>
      </c>
      <c r="AM1118" s="77" t="s">
        <v>14400</v>
      </c>
      <c r="AN1118" s="77" t="s">
        <v>14438</v>
      </c>
      <c r="AO1118" s="77" t="s">
        <v>14479</v>
      </c>
      <c r="AP1118" s="77" t="s">
        <v>14516</v>
      </c>
      <c r="AQ1118" s="77"/>
      <c r="AR1118" s="77"/>
      <c r="AS1118" s="77"/>
      <c r="AT1118" s="77"/>
      <c r="AU1118" s="77"/>
      <c r="AV1118" s="83" t="str">
        <f>HYPERLINK("https://pbs.twimg.com/profile_images/1693049422840492032/LNPrug43_normal.jpg")</f>
        <v>https://pbs.twimg.com/profile_images/1693049422840492032/LNPrug43_normal.jpg</v>
      </c>
      <c r="AW1118" s="80" t="s">
        <v>17021</v>
      </c>
      <c r="AX1118" s="80" t="s">
        <v>20006</v>
      </c>
      <c r="AY1118" s="80" t="s">
        <v>20262</v>
      </c>
      <c r="AZ1118" s="80" t="s">
        <v>20404</v>
      </c>
      <c r="BA1118" s="80" t="s">
        <v>20380</v>
      </c>
      <c r="BB1118" s="80" t="s">
        <v>20380</v>
      </c>
      <c r="BC1118" s="80" t="s">
        <v>20404</v>
      </c>
      <c r="BD1118" s="77">
        <v>2810838677</v>
      </c>
      <c r="BE1118" s="77"/>
      <c r="BF1118" s="77"/>
      <c r="BG1118" s="77"/>
      <c r="BH1118" s="77"/>
      <c r="BI1118" s="77"/>
    </row>
    <row r="1119" spans="1:61" x14ac:dyDescent="0.25">
      <c r="A1119" s="62" t="s">
        <v>660</v>
      </c>
      <c r="B1119" s="62" t="s">
        <v>1834</v>
      </c>
      <c r="C1119" s="63"/>
      <c r="D1119" s="64"/>
      <c r="E1119" s="65"/>
      <c r="F1119" s="66"/>
      <c r="G1119" s="63"/>
      <c r="H1119" s="67"/>
      <c r="I1119" s="68"/>
      <c r="J1119" s="68"/>
      <c r="K1119" s="32"/>
      <c r="L1119" s="75">
        <v>1119</v>
      </c>
      <c r="M1119" s="75"/>
      <c r="N1119" s="70"/>
      <c r="O1119" s="77" t="s">
        <v>2079</v>
      </c>
      <c r="P1119" s="79">
        <v>45125.914143518516</v>
      </c>
      <c r="Q1119" s="77" t="s">
        <v>3055</v>
      </c>
      <c r="R1119" s="77">
        <v>1</v>
      </c>
      <c r="S1119" s="77">
        <v>5</v>
      </c>
      <c r="T1119" s="77">
        <v>0</v>
      </c>
      <c r="U1119" s="77">
        <v>0</v>
      </c>
      <c r="V1119" s="77">
        <v>30</v>
      </c>
      <c r="W1119" s="80" t="s">
        <v>6689</v>
      </c>
      <c r="X1119" s="77"/>
      <c r="Y1119" s="77"/>
      <c r="Z1119" s="77" t="s">
        <v>8952</v>
      </c>
      <c r="AA1119" s="77"/>
      <c r="AB1119" s="77"/>
      <c r="AC1119" s="80" t="s">
        <v>10540</v>
      </c>
      <c r="AD1119" s="77" t="s">
        <v>10619</v>
      </c>
      <c r="AE1119" s="83" t="str">
        <f>HYPERLINK("https://twitter.com/luizcgferreira/status/1681422685618798593")</f>
        <v>https://twitter.com/luizcgferreira/status/1681422685618798593</v>
      </c>
      <c r="AF1119" s="79">
        <v>45125.914143518516</v>
      </c>
      <c r="AG1119" s="85">
        <v>45125</v>
      </c>
      <c r="AH1119" s="80" t="s">
        <v>11618</v>
      </c>
      <c r="AI1119" s="77"/>
      <c r="AJ1119" s="77" t="s">
        <v>14341</v>
      </c>
      <c r="AK1119" s="77" t="s">
        <v>14382</v>
      </c>
      <c r="AL1119" s="77" t="s">
        <v>14391</v>
      </c>
      <c r="AM1119" s="77" t="s">
        <v>14400</v>
      </c>
      <c r="AN1119" s="77" t="s">
        <v>14438</v>
      </c>
      <c r="AO1119" s="77" t="s">
        <v>14479</v>
      </c>
      <c r="AP1119" s="77" t="s">
        <v>14516</v>
      </c>
      <c r="AQ1119" s="77"/>
      <c r="AR1119" s="77"/>
      <c r="AS1119" s="77"/>
      <c r="AT1119" s="77"/>
      <c r="AU1119" s="77"/>
      <c r="AV1119" s="83" t="str">
        <f>HYPERLINK("https://pbs.twimg.com/profile_images/1693049422840492032/LNPrug43_normal.jpg")</f>
        <v>https://pbs.twimg.com/profile_images/1693049422840492032/LNPrug43_normal.jpg</v>
      </c>
      <c r="AW1119" s="80" t="s">
        <v>17021</v>
      </c>
      <c r="AX1119" s="80" t="s">
        <v>20006</v>
      </c>
      <c r="AY1119" s="80" t="s">
        <v>20262</v>
      </c>
      <c r="AZ1119" s="80" t="s">
        <v>20404</v>
      </c>
      <c r="BA1119" s="80" t="s">
        <v>20380</v>
      </c>
      <c r="BB1119" s="80" t="s">
        <v>20380</v>
      </c>
      <c r="BC1119" s="80" t="s">
        <v>20404</v>
      </c>
      <c r="BD1119" s="77">
        <v>2810838677</v>
      </c>
      <c r="BE1119" s="77"/>
      <c r="BF1119" s="77"/>
      <c r="BG1119" s="77"/>
      <c r="BH1119" s="77"/>
      <c r="BI1119" s="77"/>
    </row>
    <row r="1120" spans="1:61" x14ac:dyDescent="0.25">
      <c r="A1120" s="62" t="s">
        <v>660</v>
      </c>
      <c r="B1120" s="62" t="s">
        <v>1835</v>
      </c>
      <c r="C1120" s="63"/>
      <c r="D1120" s="64"/>
      <c r="E1120" s="65"/>
      <c r="F1120" s="66"/>
      <c r="G1120" s="63"/>
      <c r="H1120" s="67"/>
      <c r="I1120" s="68"/>
      <c r="J1120" s="68"/>
      <c r="K1120" s="32"/>
      <c r="L1120" s="75">
        <v>1120</v>
      </c>
      <c r="M1120" s="75"/>
      <c r="N1120" s="70"/>
      <c r="O1120" s="77" t="s">
        <v>2079</v>
      </c>
      <c r="P1120" s="79">
        <v>45125.914143518516</v>
      </c>
      <c r="Q1120" s="77" t="s">
        <v>3055</v>
      </c>
      <c r="R1120" s="77">
        <v>1</v>
      </c>
      <c r="S1120" s="77">
        <v>5</v>
      </c>
      <c r="T1120" s="77">
        <v>0</v>
      </c>
      <c r="U1120" s="77">
        <v>0</v>
      </c>
      <c r="V1120" s="77">
        <v>30</v>
      </c>
      <c r="W1120" s="80" t="s">
        <v>6689</v>
      </c>
      <c r="X1120" s="77"/>
      <c r="Y1120" s="77"/>
      <c r="Z1120" s="77" t="s">
        <v>8952</v>
      </c>
      <c r="AA1120" s="77"/>
      <c r="AB1120" s="77"/>
      <c r="AC1120" s="80" t="s">
        <v>10540</v>
      </c>
      <c r="AD1120" s="77" t="s">
        <v>10619</v>
      </c>
      <c r="AE1120" s="83" t="str">
        <f>HYPERLINK("https://twitter.com/luizcgferreira/status/1681422685618798593")</f>
        <v>https://twitter.com/luizcgferreira/status/1681422685618798593</v>
      </c>
      <c r="AF1120" s="79">
        <v>45125.914143518516</v>
      </c>
      <c r="AG1120" s="85">
        <v>45125</v>
      </c>
      <c r="AH1120" s="80" t="s">
        <v>11618</v>
      </c>
      <c r="AI1120" s="77"/>
      <c r="AJ1120" s="77" t="s">
        <v>14341</v>
      </c>
      <c r="AK1120" s="77" t="s">
        <v>14382</v>
      </c>
      <c r="AL1120" s="77" t="s">
        <v>14391</v>
      </c>
      <c r="AM1120" s="77" t="s">
        <v>14400</v>
      </c>
      <c r="AN1120" s="77" t="s">
        <v>14438</v>
      </c>
      <c r="AO1120" s="77" t="s">
        <v>14479</v>
      </c>
      <c r="AP1120" s="77" t="s">
        <v>14516</v>
      </c>
      <c r="AQ1120" s="77"/>
      <c r="AR1120" s="77"/>
      <c r="AS1120" s="77"/>
      <c r="AT1120" s="77"/>
      <c r="AU1120" s="77"/>
      <c r="AV1120" s="83" t="str">
        <f>HYPERLINK("https://pbs.twimg.com/profile_images/1693049422840492032/LNPrug43_normal.jpg")</f>
        <v>https://pbs.twimg.com/profile_images/1693049422840492032/LNPrug43_normal.jpg</v>
      </c>
      <c r="AW1120" s="80" t="s">
        <v>17021</v>
      </c>
      <c r="AX1120" s="80" t="s">
        <v>20006</v>
      </c>
      <c r="AY1120" s="80" t="s">
        <v>20262</v>
      </c>
      <c r="AZ1120" s="80" t="s">
        <v>20404</v>
      </c>
      <c r="BA1120" s="80" t="s">
        <v>20380</v>
      </c>
      <c r="BB1120" s="80" t="s">
        <v>20380</v>
      </c>
      <c r="BC1120" s="80" t="s">
        <v>20404</v>
      </c>
      <c r="BD1120" s="77">
        <v>2810838677</v>
      </c>
      <c r="BE1120" s="77"/>
      <c r="BF1120" s="77"/>
      <c r="BG1120" s="77"/>
      <c r="BH1120" s="77"/>
      <c r="BI1120" s="77"/>
    </row>
    <row r="1121" spans="1:61" x14ac:dyDescent="0.25">
      <c r="A1121" s="62" t="s">
        <v>660</v>
      </c>
      <c r="B1121" s="62" t="s">
        <v>1836</v>
      </c>
      <c r="C1121" s="63"/>
      <c r="D1121" s="64"/>
      <c r="E1121" s="65"/>
      <c r="F1121" s="66"/>
      <c r="G1121" s="63"/>
      <c r="H1121" s="67"/>
      <c r="I1121" s="68"/>
      <c r="J1121" s="68"/>
      <c r="K1121" s="32"/>
      <c r="L1121" s="75">
        <v>1121</v>
      </c>
      <c r="M1121" s="75"/>
      <c r="N1121" s="70"/>
      <c r="O1121" s="77" t="s">
        <v>2079</v>
      </c>
      <c r="P1121" s="79">
        <v>45125.914143518516</v>
      </c>
      <c r="Q1121" s="77" t="s">
        <v>3055</v>
      </c>
      <c r="R1121" s="77">
        <v>1</v>
      </c>
      <c r="S1121" s="77">
        <v>5</v>
      </c>
      <c r="T1121" s="77">
        <v>0</v>
      </c>
      <c r="U1121" s="77">
        <v>0</v>
      </c>
      <c r="V1121" s="77">
        <v>30</v>
      </c>
      <c r="W1121" s="80" t="s">
        <v>6689</v>
      </c>
      <c r="X1121" s="77"/>
      <c r="Y1121" s="77"/>
      <c r="Z1121" s="77" t="s">
        <v>8952</v>
      </c>
      <c r="AA1121" s="77"/>
      <c r="AB1121" s="77"/>
      <c r="AC1121" s="80" t="s">
        <v>10540</v>
      </c>
      <c r="AD1121" s="77" t="s">
        <v>10619</v>
      </c>
      <c r="AE1121" s="83" t="str">
        <f>HYPERLINK("https://twitter.com/luizcgferreira/status/1681422685618798593")</f>
        <v>https://twitter.com/luizcgferreira/status/1681422685618798593</v>
      </c>
      <c r="AF1121" s="79">
        <v>45125.914143518516</v>
      </c>
      <c r="AG1121" s="85">
        <v>45125</v>
      </c>
      <c r="AH1121" s="80" t="s">
        <v>11618</v>
      </c>
      <c r="AI1121" s="77"/>
      <c r="AJ1121" s="77" t="s">
        <v>14341</v>
      </c>
      <c r="AK1121" s="77" t="s">
        <v>14382</v>
      </c>
      <c r="AL1121" s="77" t="s">
        <v>14391</v>
      </c>
      <c r="AM1121" s="77" t="s">
        <v>14400</v>
      </c>
      <c r="AN1121" s="77" t="s">
        <v>14438</v>
      </c>
      <c r="AO1121" s="77" t="s">
        <v>14479</v>
      </c>
      <c r="AP1121" s="77" t="s">
        <v>14516</v>
      </c>
      <c r="AQ1121" s="77"/>
      <c r="AR1121" s="77"/>
      <c r="AS1121" s="77"/>
      <c r="AT1121" s="77"/>
      <c r="AU1121" s="77"/>
      <c r="AV1121" s="83" t="str">
        <f>HYPERLINK("https://pbs.twimg.com/profile_images/1693049422840492032/LNPrug43_normal.jpg")</f>
        <v>https://pbs.twimg.com/profile_images/1693049422840492032/LNPrug43_normal.jpg</v>
      </c>
      <c r="AW1121" s="80" t="s">
        <v>17021</v>
      </c>
      <c r="AX1121" s="80" t="s">
        <v>20006</v>
      </c>
      <c r="AY1121" s="80" t="s">
        <v>20262</v>
      </c>
      <c r="AZ1121" s="80" t="s">
        <v>20404</v>
      </c>
      <c r="BA1121" s="80" t="s">
        <v>20380</v>
      </c>
      <c r="BB1121" s="80" t="s">
        <v>20380</v>
      </c>
      <c r="BC1121" s="80" t="s">
        <v>20404</v>
      </c>
      <c r="BD1121" s="77">
        <v>2810838677</v>
      </c>
      <c r="BE1121" s="77"/>
      <c r="BF1121" s="77"/>
      <c r="BG1121" s="77"/>
      <c r="BH1121" s="77"/>
      <c r="BI1121" s="77"/>
    </row>
    <row r="1122" spans="1:61" x14ac:dyDescent="0.25">
      <c r="A1122" s="62" t="s">
        <v>660</v>
      </c>
      <c r="B1122" s="62" t="s">
        <v>1837</v>
      </c>
      <c r="C1122" s="63"/>
      <c r="D1122" s="64"/>
      <c r="E1122" s="65"/>
      <c r="F1122" s="66"/>
      <c r="G1122" s="63"/>
      <c r="H1122" s="67"/>
      <c r="I1122" s="68"/>
      <c r="J1122" s="68"/>
      <c r="K1122" s="32"/>
      <c r="L1122" s="75">
        <v>1122</v>
      </c>
      <c r="M1122" s="75"/>
      <c r="N1122" s="70"/>
      <c r="O1122" s="77" t="s">
        <v>2079</v>
      </c>
      <c r="P1122" s="79">
        <v>45125.914143518516</v>
      </c>
      <c r="Q1122" s="77" t="s">
        <v>3055</v>
      </c>
      <c r="R1122" s="77">
        <v>1</v>
      </c>
      <c r="S1122" s="77">
        <v>5</v>
      </c>
      <c r="T1122" s="77">
        <v>0</v>
      </c>
      <c r="U1122" s="77">
        <v>0</v>
      </c>
      <c r="V1122" s="77">
        <v>30</v>
      </c>
      <c r="W1122" s="80" t="s">
        <v>6689</v>
      </c>
      <c r="X1122" s="77"/>
      <c r="Y1122" s="77"/>
      <c r="Z1122" s="77" t="s">
        <v>8952</v>
      </c>
      <c r="AA1122" s="77"/>
      <c r="AB1122" s="77"/>
      <c r="AC1122" s="80" t="s">
        <v>10540</v>
      </c>
      <c r="AD1122" s="77" t="s">
        <v>10619</v>
      </c>
      <c r="AE1122" s="83" t="str">
        <f>HYPERLINK("https://twitter.com/luizcgferreira/status/1681422685618798593")</f>
        <v>https://twitter.com/luizcgferreira/status/1681422685618798593</v>
      </c>
      <c r="AF1122" s="79">
        <v>45125.914143518516</v>
      </c>
      <c r="AG1122" s="85">
        <v>45125</v>
      </c>
      <c r="AH1122" s="80" t="s">
        <v>11618</v>
      </c>
      <c r="AI1122" s="77"/>
      <c r="AJ1122" s="77" t="s">
        <v>14341</v>
      </c>
      <c r="AK1122" s="77" t="s">
        <v>14382</v>
      </c>
      <c r="AL1122" s="77" t="s">
        <v>14391</v>
      </c>
      <c r="AM1122" s="77" t="s">
        <v>14400</v>
      </c>
      <c r="AN1122" s="77" t="s">
        <v>14438</v>
      </c>
      <c r="AO1122" s="77" t="s">
        <v>14479</v>
      </c>
      <c r="AP1122" s="77" t="s">
        <v>14516</v>
      </c>
      <c r="AQ1122" s="77"/>
      <c r="AR1122" s="77"/>
      <c r="AS1122" s="77"/>
      <c r="AT1122" s="77"/>
      <c r="AU1122" s="77"/>
      <c r="AV1122" s="83" t="str">
        <f>HYPERLINK("https://pbs.twimg.com/profile_images/1693049422840492032/LNPrug43_normal.jpg")</f>
        <v>https://pbs.twimg.com/profile_images/1693049422840492032/LNPrug43_normal.jpg</v>
      </c>
      <c r="AW1122" s="80" t="s">
        <v>17021</v>
      </c>
      <c r="AX1122" s="80" t="s">
        <v>20006</v>
      </c>
      <c r="AY1122" s="80" t="s">
        <v>20262</v>
      </c>
      <c r="AZ1122" s="80" t="s">
        <v>20404</v>
      </c>
      <c r="BA1122" s="80" t="s">
        <v>20380</v>
      </c>
      <c r="BB1122" s="80" t="s">
        <v>20380</v>
      </c>
      <c r="BC1122" s="80" t="s">
        <v>20404</v>
      </c>
      <c r="BD1122" s="77">
        <v>2810838677</v>
      </c>
      <c r="BE1122" s="77"/>
      <c r="BF1122" s="77"/>
      <c r="BG1122" s="77"/>
      <c r="BH1122" s="77"/>
      <c r="BI1122" s="77"/>
    </row>
    <row r="1123" spans="1:61" x14ac:dyDescent="0.25">
      <c r="A1123" s="62" t="s">
        <v>660</v>
      </c>
      <c r="B1123" s="62" t="s">
        <v>1838</v>
      </c>
      <c r="C1123" s="63"/>
      <c r="D1123" s="64"/>
      <c r="E1123" s="65"/>
      <c r="F1123" s="66"/>
      <c r="G1123" s="63"/>
      <c r="H1123" s="67"/>
      <c r="I1123" s="68"/>
      <c r="J1123" s="68"/>
      <c r="K1123" s="32"/>
      <c r="L1123" s="75">
        <v>1123</v>
      </c>
      <c r="M1123" s="75"/>
      <c r="N1123" s="70"/>
      <c r="O1123" s="77" t="s">
        <v>2079</v>
      </c>
      <c r="P1123" s="79">
        <v>45125.914143518516</v>
      </c>
      <c r="Q1123" s="77" t="s">
        <v>3055</v>
      </c>
      <c r="R1123" s="77">
        <v>1</v>
      </c>
      <c r="S1123" s="77">
        <v>5</v>
      </c>
      <c r="T1123" s="77">
        <v>0</v>
      </c>
      <c r="U1123" s="77">
        <v>0</v>
      </c>
      <c r="V1123" s="77">
        <v>30</v>
      </c>
      <c r="W1123" s="80" t="s">
        <v>6689</v>
      </c>
      <c r="X1123" s="77"/>
      <c r="Y1123" s="77"/>
      <c r="Z1123" s="77" t="s">
        <v>8952</v>
      </c>
      <c r="AA1123" s="77"/>
      <c r="AB1123" s="77"/>
      <c r="AC1123" s="80" t="s">
        <v>10540</v>
      </c>
      <c r="AD1123" s="77" t="s">
        <v>10619</v>
      </c>
      <c r="AE1123" s="83" t="str">
        <f>HYPERLINK("https://twitter.com/luizcgferreira/status/1681422685618798593")</f>
        <v>https://twitter.com/luizcgferreira/status/1681422685618798593</v>
      </c>
      <c r="AF1123" s="79">
        <v>45125.914143518516</v>
      </c>
      <c r="AG1123" s="85">
        <v>45125</v>
      </c>
      <c r="AH1123" s="80" t="s">
        <v>11618</v>
      </c>
      <c r="AI1123" s="77"/>
      <c r="AJ1123" s="77" t="s">
        <v>14341</v>
      </c>
      <c r="AK1123" s="77" t="s">
        <v>14382</v>
      </c>
      <c r="AL1123" s="77" t="s">
        <v>14391</v>
      </c>
      <c r="AM1123" s="77" t="s">
        <v>14400</v>
      </c>
      <c r="AN1123" s="77" t="s">
        <v>14438</v>
      </c>
      <c r="AO1123" s="77" t="s">
        <v>14479</v>
      </c>
      <c r="AP1123" s="77" t="s">
        <v>14516</v>
      </c>
      <c r="AQ1123" s="77"/>
      <c r="AR1123" s="77"/>
      <c r="AS1123" s="77"/>
      <c r="AT1123" s="77"/>
      <c r="AU1123" s="77"/>
      <c r="AV1123" s="83" t="str">
        <f>HYPERLINK("https://pbs.twimg.com/profile_images/1693049422840492032/LNPrug43_normal.jpg")</f>
        <v>https://pbs.twimg.com/profile_images/1693049422840492032/LNPrug43_normal.jpg</v>
      </c>
      <c r="AW1123" s="80" t="s">
        <v>17021</v>
      </c>
      <c r="AX1123" s="80" t="s">
        <v>20006</v>
      </c>
      <c r="AY1123" s="80" t="s">
        <v>20262</v>
      </c>
      <c r="AZ1123" s="80" t="s">
        <v>20404</v>
      </c>
      <c r="BA1123" s="80" t="s">
        <v>20380</v>
      </c>
      <c r="BB1123" s="80" t="s">
        <v>20380</v>
      </c>
      <c r="BC1123" s="80" t="s">
        <v>20404</v>
      </c>
      <c r="BD1123" s="77">
        <v>2810838677</v>
      </c>
      <c r="BE1123" s="77"/>
      <c r="BF1123" s="77"/>
      <c r="BG1123" s="77"/>
      <c r="BH1123" s="77"/>
      <c r="BI1123" s="77"/>
    </row>
    <row r="1124" spans="1:61" x14ac:dyDescent="0.25">
      <c r="A1124" s="62" t="s">
        <v>660</v>
      </c>
      <c r="B1124" s="62" t="s">
        <v>1839</v>
      </c>
      <c r="C1124" s="63"/>
      <c r="D1124" s="64"/>
      <c r="E1124" s="65"/>
      <c r="F1124" s="66"/>
      <c r="G1124" s="63"/>
      <c r="H1124" s="67"/>
      <c r="I1124" s="68"/>
      <c r="J1124" s="68"/>
      <c r="K1124" s="32"/>
      <c r="L1124" s="75">
        <v>1124</v>
      </c>
      <c r="M1124" s="75"/>
      <c r="N1124" s="70"/>
      <c r="O1124" s="77" t="s">
        <v>2079</v>
      </c>
      <c r="P1124" s="79">
        <v>45125.914143518516</v>
      </c>
      <c r="Q1124" s="77" t="s">
        <v>3055</v>
      </c>
      <c r="R1124" s="77">
        <v>1</v>
      </c>
      <c r="S1124" s="77">
        <v>5</v>
      </c>
      <c r="T1124" s="77">
        <v>0</v>
      </c>
      <c r="U1124" s="77">
        <v>0</v>
      </c>
      <c r="V1124" s="77">
        <v>30</v>
      </c>
      <c r="W1124" s="80" t="s">
        <v>6689</v>
      </c>
      <c r="X1124" s="77"/>
      <c r="Y1124" s="77"/>
      <c r="Z1124" s="77" t="s">
        <v>8952</v>
      </c>
      <c r="AA1124" s="77"/>
      <c r="AB1124" s="77"/>
      <c r="AC1124" s="80" t="s">
        <v>10540</v>
      </c>
      <c r="AD1124" s="77" t="s">
        <v>10619</v>
      </c>
      <c r="AE1124" s="83" t="str">
        <f>HYPERLINK("https://twitter.com/luizcgferreira/status/1681422685618798593")</f>
        <v>https://twitter.com/luizcgferreira/status/1681422685618798593</v>
      </c>
      <c r="AF1124" s="79">
        <v>45125.914143518516</v>
      </c>
      <c r="AG1124" s="85">
        <v>45125</v>
      </c>
      <c r="AH1124" s="80" t="s">
        <v>11618</v>
      </c>
      <c r="AI1124" s="77"/>
      <c r="AJ1124" s="77" t="s">
        <v>14341</v>
      </c>
      <c r="AK1124" s="77" t="s">
        <v>14382</v>
      </c>
      <c r="AL1124" s="77" t="s">
        <v>14391</v>
      </c>
      <c r="AM1124" s="77" t="s">
        <v>14400</v>
      </c>
      <c r="AN1124" s="77" t="s">
        <v>14438</v>
      </c>
      <c r="AO1124" s="77" t="s">
        <v>14479</v>
      </c>
      <c r="AP1124" s="77" t="s">
        <v>14516</v>
      </c>
      <c r="AQ1124" s="77"/>
      <c r="AR1124" s="77"/>
      <c r="AS1124" s="77"/>
      <c r="AT1124" s="77"/>
      <c r="AU1124" s="77"/>
      <c r="AV1124" s="83" t="str">
        <f>HYPERLINK("https://pbs.twimg.com/profile_images/1693049422840492032/LNPrug43_normal.jpg")</f>
        <v>https://pbs.twimg.com/profile_images/1693049422840492032/LNPrug43_normal.jpg</v>
      </c>
      <c r="AW1124" s="80" t="s">
        <v>17021</v>
      </c>
      <c r="AX1124" s="80" t="s">
        <v>20006</v>
      </c>
      <c r="AY1124" s="80" t="s">
        <v>20262</v>
      </c>
      <c r="AZ1124" s="80" t="s">
        <v>20404</v>
      </c>
      <c r="BA1124" s="80" t="s">
        <v>20380</v>
      </c>
      <c r="BB1124" s="80" t="s">
        <v>20380</v>
      </c>
      <c r="BC1124" s="80" t="s">
        <v>20404</v>
      </c>
      <c r="BD1124" s="77">
        <v>2810838677</v>
      </c>
      <c r="BE1124" s="77"/>
      <c r="BF1124" s="77"/>
      <c r="BG1124" s="77"/>
      <c r="BH1124" s="77"/>
      <c r="BI1124" s="77"/>
    </row>
    <row r="1125" spans="1:61" x14ac:dyDescent="0.25">
      <c r="A1125" s="62" t="s">
        <v>660</v>
      </c>
      <c r="B1125" s="62" t="s">
        <v>1840</v>
      </c>
      <c r="C1125" s="63"/>
      <c r="D1125" s="64"/>
      <c r="E1125" s="65"/>
      <c r="F1125" s="66"/>
      <c r="G1125" s="63"/>
      <c r="H1125" s="67"/>
      <c r="I1125" s="68"/>
      <c r="J1125" s="68"/>
      <c r="K1125" s="32"/>
      <c r="L1125" s="75">
        <v>1125</v>
      </c>
      <c r="M1125" s="75"/>
      <c r="N1125" s="70"/>
      <c r="O1125" s="77" t="s">
        <v>2079</v>
      </c>
      <c r="P1125" s="79">
        <v>45125.914143518516</v>
      </c>
      <c r="Q1125" s="77" t="s">
        <v>3055</v>
      </c>
      <c r="R1125" s="77">
        <v>1</v>
      </c>
      <c r="S1125" s="77">
        <v>5</v>
      </c>
      <c r="T1125" s="77">
        <v>0</v>
      </c>
      <c r="U1125" s="77">
        <v>0</v>
      </c>
      <c r="V1125" s="77">
        <v>30</v>
      </c>
      <c r="W1125" s="80" t="s">
        <v>6689</v>
      </c>
      <c r="X1125" s="77"/>
      <c r="Y1125" s="77"/>
      <c r="Z1125" s="77" t="s">
        <v>8952</v>
      </c>
      <c r="AA1125" s="77"/>
      <c r="AB1125" s="77"/>
      <c r="AC1125" s="80" t="s">
        <v>10540</v>
      </c>
      <c r="AD1125" s="77" t="s">
        <v>10619</v>
      </c>
      <c r="AE1125" s="83" t="str">
        <f>HYPERLINK("https://twitter.com/luizcgferreira/status/1681422685618798593")</f>
        <v>https://twitter.com/luizcgferreira/status/1681422685618798593</v>
      </c>
      <c r="AF1125" s="79">
        <v>45125.914143518516</v>
      </c>
      <c r="AG1125" s="85">
        <v>45125</v>
      </c>
      <c r="AH1125" s="80" t="s">
        <v>11618</v>
      </c>
      <c r="AI1125" s="77"/>
      <c r="AJ1125" s="77" t="s">
        <v>14341</v>
      </c>
      <c r="AK1125" s="77" t="s">
        <v>14382</v>
      </c>
      <c r="AL1125" s="77" t="s">
        <v>14391</v>
      </c>
      <c r="AM1125" s="77" t="s">
        <v>14400</v>
      </c>
      <c r="AN1125" s="77" t="s">
        <v>14438</v>
      </c>
      <c r="AO1125" s="77" t="s">
        <v>14479</v>
      </c>
      <c r="AP1125" s="77" t="s">
        <v>14516</v>
      </c>
      <c r="AQ1125" s="77"/>
      <c r="AR1125" s="77"/>
      <c r="AS1125" s="77"/>
      <c r="AT1125" s="77"/>
      <c r="AU1125" s="77"/>
      <c r="AV1125" s="83" t="str">
        <f>HYPERLINK("https://pbs.twimg.com/profile_images/1693049422840492032/LNPrug43_normal.jpg")</f>
        <v>https://pbs.twimg.com/profile_images/1693049422840492032/LNPrug43_normal.jpg</v>
      </c>
      <c r="AW1125" s="80" t="s">
        <v>17021</v>
      </c>
      <c r="AX1125" s="80" t="s">
        <v>20006</v>
      </c>
      <c r="AY1125" s="80" t="s">
        <v>20262</v>
      </c>
      <c r="AZ1125" s="80" t="s">
        <v>20404</v>
      </c>
      <c r="BA1125" s="80" t="s">
        <v>20380</v>
      </c>
      <c r="BB1125" s="80" t="s">
        <v>20380</v>
      </c>
      <c r="BC1125" s="80" t="s">
        <v>20404</v>
      </c>
      <c r="BD1125" s="77">
        <v>2810838677</v>
      </c>
      <c r="BE1125" s="77"/>
      <c r="BF1125" s="77"/>
      <c r="BG1125" s="77"/>
      <c r="BH1125" s="77"/>
      <c r="BI1125" s="77"/>
    </row>
    <row r="1126" spans="1:61" x14ac:dyDescent="0.25">
      <c r="A1126" s="62" t="s">
        <v>660</v>
      </c>
      <c r="B1126" s="62" t="s">
        <v>1841</v>
      </c>
      <c r="C1126" s="63"/>
      <c r="D1126" s="64"/>
      <c r="E1126" s="65"/>
      <c r="F1126" s="66"/>
      <c r="G1126" s="63"/>
      <c r="H1126" s="67"/>
      <c r="I1126" s="68"/>
      <c r="J1126" s="68"/>
      <c r="K1126" s="32"/>
      <c r="L1126" s="75">
        <v>1126</v>
      </c>
      <c r="M1126" s="75"/>
      <c r="N1126" s="70"/>
      <c r="O1126" s="77" t="s">
        <v>2079</v>
      </c>
      <c r="P1126" s="79">
        <v>45125.914143518516</v>
      </c>
      <c r="Q1126" s="77" t="s">
        <v>3055</v>
      </c>
      <c r="R1126" s="77">
        <v>1</v>
      </c>
      <c r="S1126" s="77">
        <v>5</v>
      </c>
      <c r="T1126" s="77">
        <v>0</v>
      </c>
      <c r="U1126" s="77">
        <v>0</v>
      </c>
      <c r="V1126" s="77">
        <v>30</v>
      </c>
      <c r="W1126" s="80" t="s">
        <v>6689</v>
      </c>
      <c r="X1126" s="77"/>
      <c r="Y1126" s="77"/>
      <c r="Z1126" s="77" t="s">
        <v>8952</v>
      </c>
      <c r="AA1126" s="77"/>
      <c r="AB1126" s="77"/>
      <c r="AC1126" s="80" t="s">
        <v>10540</v>
      </c>
      <c r="AD1126" s="77" t="s">
        <v>10619</v>
      </c>
      <c r="AE1126" s="83" t="str">
        <f>HYPERLINK("https://twitter.com/luizcgferreira/status/1681422685618798593")</f>
        <v>https://twitter.com/luizcgferreira/status/1681422685618798593</v>
      </c>
      <c r="AF1126" s="79">
        <v>45125.914143518516</v>
      </c>
      <c r="AG1126" s="85">
        <v>45125</v>
      </c>
      <c r="AH1126" s="80" t="s">
        <v>11618</v>
      </c>
      <c r="AI1126" s="77"/>
      <c r="AJ1126" s="77" t="s">
        <v>14341</v>
      </c>
      <c r="AK1126" s="77" t="s">
        <v>14382</v>
      </c>
      <c r="AL1126" s="77" t="s">
        <v>14391</v>
      </c>
      <c r="AM1126" s="77" t="s">
        <v>14400</v>
      </c>
      <c r="AN1126" s="77" t="s">
        <v>14438</v>
      </c>
      <c r="AO1126" s="77" t="s">
        <v>14479</v>
      </c>
      <c r="AP1126" s="77" t="s">
        <v>14516</v>
      </c>
      <c r="AQ1126" s="77"/>
      <c r="AR1126" s="77"/>
      <c r="AS1126" s="77"/>
      <c r="AT1126" s="77"/>
      <c r="AU1126" s="77"/>
      <c r="AV1126" s="83" t="str">
        <f>HYPERLINK("https://pbs.twimg.com/profile_images/1693049422840492032/LNPrug43_normal.jpg")</f>
        <v>https://pbs.twimg.com/profile_images/1693049422840492032/LNPrug43_normal.jpg</v>
      </c>
      <c r="AW1126" s="80" t="s">
        <v>17021</v>
      </c>
      <c r="AX1126" s="80" t="s">
        <v>20006</v>
      </c>
      <c r="AY1126" s="80" t="s">
        <v>20262</v>
      </c>
      <c r="AZ1126" s="80" t="s">
        <v>20404</v>
      </c>
      <c r="BA1126" s="80" t="s">
        <v>20380</v>
      </c>
      <c r="BB1126" s="80" t="s">
        <v>20380</v>
      </c>
      <c r="BC1126" s="80" t="s">
        <v>20404</v>
      </c>
      <c r="BD1126" s="77">
        <v>2810838677</v>
      </c>
      <c r="BE1126" s="77"/>
      <c r="BF1126" s="77"/>
      <c r="BG1126" s="77"/>
      <c r="BH1126" s="77"/>
      <c r="BI1126" s="77"/>
    </row>
    <row r="1127" spans="1:61" x14ac:dyDescent="0.25">
      <c r="A1127" s="62" t="s">
        <v>660</v>
      </c>
      <c r="B1127" s="62" t="s">
        <v>1842</v>
      </c>
      <c r="C1127" s="63"/>
      <c r="D1127" s="64"/>
      <c r="E1127" s="65"/>
      <c r="F1127" s="66"/>
      <c r="G1127" s="63"/>
      <c r="H1127" s="67"/>
      <c r="I1127" s="68"/>
      <c r="J1127" s="68"/>
      <c r="K1127" s="32"/>
      <c r="L1127" s="75">
        <v>1127</v>
      </c>
      <c r="M1127" s="75"/>
      <c r="N1127" s="70"/>
      <c r="O1127" s="77" t="s">
        <v>2079</v>
      </c>
      <c r="P1127" s="79">
        <v>45125.914143518516</v>
      </c>
      <c r="Q1127" s="77" t="s">
        <v>3055</v>
      </c>
      <c r="R1127" s="77">
        <v>1</v>
      </c>
      <c r="S1127" s="77">
        <v>5</v>
      </c>
      <c r="T1127" s="77">
        <v>0</v>
      </c>
      <c r="U1127" s="77">
        <v>0</v>
      </c>
      <c r="V1127" s="77">
        <v>30</v>
      </c>
      <c r="W1127" s="80" t="s">
        <v>6689</v>
      </c>
      <c r="X1127" s="77"/>
      <c r="Y1127" s="77"/>
      <c r="Z1127" s="77" t="s">
        <v>8952</v>
      </c>
      <c r="AA1127" s="77"/>
      <c r="AB1127" s="77"/>
      <c r="AC1127" s="80" t="s">
        <v>10540</v>
      </c>
      <c r="AD1127" s="77" t="s">
        <v>10619</v>
      </c>
      <c r="AE1127" s="83" t="str">
        <f>HYPERLINK("https://twitter.com/luizcgferreira/status/1681422685618798593")</f>
        <v>https://twitter.com/luizcgferreira/status/1681422685618798593</v>
      </c>
      <c r="AF1127" s="79">
        <v>45125.914143518516</v>
      </c>
      <c r="AG1127" s="85">
        <v>45125</v>
      </c>
      <c r="AH1127" s="80" t="s">
        <v>11618</v>
      </c>
      <c r="AI1127" s="77"/>
      <c r="AJ1127" s="77" t="s">
        <v>14341</v>
      </c>
      <c r="AK1127" s="77" t="s">
        <v>14382</v>
      </c>
      <c r="AL1127" s="77" t="s">
        <v>14391</v>
      </c>
      <c r="AM1127" s="77" t="s">
        <v>14400</v>
      </c>
      <c r="AN1127" s="77" t="s">
        <v>14438</v>
      </c>
      <c r="AO1127" s="77" t="s">
        <v>14479</v>
      </c>
      <c r="AP1127" s="77" t="s">
        <v>14516</v>
      </c>
      <c r="AQ1127" s="77"/>
      <c r="AR1127" s="77"/>
      <c r="AS1127" s="77"/>
      <c r="AT1127" s="77"/>
      <c r="AU1127" s="77"/>
      <c r="AV1127" s="83" t="str">
        <f>HYPERLINK("https://pbs.twimg.com/profile_images/1693049422840492032/LNPrug43_normal.jpg")</f>
        <v>https://pbs.twimg.com/profile_images/1693049422840492032/LNPrug43_normal.jpg</v>
      </c>
      <c r="AW1127" s="80" t="s">
        <v>17021</v>
      </c>
      <c r="AX1127" s="80" t="s">
        <v>20006</v>
      </c>
      <c r="AY1127" s="80" t="s">
        <v>20262</v>
      </c>
      <c r="AZ1127" s="80" t="s">
        <v>20404</v>
      </c>
      <c r="BA1127" s="80" t="s">
        <v>20380</v>
      </c>
      <c r="BB1127" s="80" t="s">
        <v>20380</v>
      </c>
      <c r="BC1127" s="80" t="s">
        <v>20404</v>
      </c>
      <c r="BD1127" s="77">
        <v>2810838677</v>
      </c>
      <c r="BE1127" s="77"/>
      <c r="BF1127" s="77"/>
      <c r="BG1127" s="77"/>
      <c r="BH1127" s="77"/>
      <c r="BI1127" s="77"/>
    </row>
    <row r="1128" spans="1:61" x14ac:dyDescent="0.25">
      <c r="A1128" s="62" t="s">
        <v>660</v>
      </c>
      <c r="B1128" s="62" t="s">
        <v>1843</v>
      </c>
      <c r="C1128" s="63"/>
      <c r="D1128" s="64"/>
      <c r="E1128" s="65"/>
      <c r="F1128" s="66"/>
      <c r="G1128" s="63"/>
      <c r="H1128" s="67"/>
      <c r="I1128" s="68"/>
      <c r="J1128" s="68"/>
      <c r="K1128" s="32"/>
      <c r="L1128" s="75">
        <v>1128</v>
      </c>
      <c r="M1128" s="75"/>
      <c r="N1128" s="70"/>
      <c r="O1128" s="77" t="s">
        <v>2079</v>
      </c>
      <c r="P1128" s="79">
        <v>45125.914143518516</v>
      </c>
      <c r="Q1128" s="77" t="s">
        <v>3055</v>
      </c>
      <c r="R1128" s="77">
        <v>1</v>
      </c>
      <c r="S1128" s="77">
        <v>5</v>
      </c>
      <c r="T1128" s="77">
        <v>0</v>
      </c>
      <c r="U1128" s="77">
        <v>0</v>
      </c>
      <c r="V1128" s="77">
        <v>30</v>
      </c>
      <c r="W1128" s="80" t="s">
        <v>6689</v>
      </c>
      <c r="X1128" s="77"/>
      <c r="Y1128" s="77"/>
      <c r="Z1128" s="77" t="s">
        <v>8952</v>
      </c>
      <c r="AA1128" s="77"/>
      <c r="AB1128" s="77"/>
      <c r="AC1128" s="80" t="s">
        <v>10540</v>
      </c>
      <c r="AD1128" s="77" t="s">
        <v>10619</v>
      </c>
      <c r="AE1128" s="83" t="str">
        <f>HYPERLINK("https://twitter.com/luizcgferreira/status/1681422685618798593")</f>
        <v>https://twitter.com/luizcgferreira/status/1681422685618798593</v>
      </c>
      <c r="AF1128" s="79">
        <v>45125.914143518516</v>
      </c>
      <c r="AG1128" s="85">
        <v>45125</v>
      </c>
      <c r="AH1128" s="80" t="s">
        <v>11618</v>
      </c>
      <c r="AI1128" s="77"/>
      <c r="AJ1128" s="77" t="s">
        <v>14341</v>
      </c>
      <c r="AK1128" s="77" t="s">
        <v>14382</v>
      </c>
      <c r="AL1128" s="77" t="s">
        <v>14391</v>
      </c>
      <c r="AM1128" s="77" t="s">
        <v>14400</v>
      </c>
      <c r="AN1128" s="77" t="s">
        <v>14438</v>
      </c>
      <c r="AO1128" s="77" t="s">
        <v>14479</v>
      </c>
      <c r="AP1128" s="77" t="s">
        <v>14516</v>
      </c>
      <c r="AQ1128" s="77"/>
      <c r="AR1128" s="77"/>
      <c r="AS1128" s="77"/>
      <c r="AT1128" s="77"/>
      <c r="AU1128" s="77"/>
      <c r="AV1128" s="83" t="str">
        <f>HYPERLINK("https://pbs.twimg.com/profile_images/1693049422840492032/LNPrug43_normal.jpg")</f>
        <v>https://pbs.twimg.com/profile_images/1693049422840492032/LNPrug43_normal.jpg</v>
      </c>
      <c r="AW1128" s="80" t="s">
        <v>17021</v>
      </c>
      <c r="AX1128" s="80" t="s">
        <v>20006</v>
      </c>
      <c r="AY1128" s="80" t="s">
        <v>20262</v>
      </c>
      <c r="AZ1128" s="80" t="s">
        <v>20404</v>
      </c>
      <c r="BA1128" s="80" t="s">
        <v>20380</v>
      </c>
      <c r="BB1128" s="80" t="s">
        <v>20380</v>
      </c>
      <c r="BC1128" s="80" t="s">
        <v>20404</v>
      </c>
      <c r="BD1128" s="77">
        <v>2810838677</v>
      </c>
      <c r="BE1128" s="77"/>
      <c r="BF1128" s="77"/>
      <c r="BG1128" s="77"/>
      <c r="BH1128" s="77"/>
      <c r="BI1128" s="77"/>
    </row>
    <row r="1129" spans="1:61" x14ac:dyDescent="0.25">
      <c r="A1129" s="62" t="s">
        <v>660</v>
      </c>
      <c r="B1129" s="62" t="s">
        <v>1844</v>
      </c>
      <c r="C1129" s="63"/>
      <c r="D1129" s="64"/>
      <c r="E1129" s="65"/>
      <c r="F1129" s="66"/>
      <c r="G1129" s="63"/>
      <c r="H1129" s="67"/>
      <c r="I1129" s="68"/>
      <c r="J1129" s="68"/>
      <c r="K1129" s="32"/>
      <c r="L1129" s="75">
        <v>1129</v>
      </c>
      <c r="M1129" s="75"/>
      <c r="N1129" s="70"/>
      <c r="O1129" s="77" t="s">
        <v>2079</v>
      </c>
      <c r="P1129" s="79">
        <v>45125.914143518516</v>
      </c>
      <c r="Q1129" s="77" t="s">
        <v>3055</v>
      </c>
      <c r="R1129" s="77">
        <v>1</v>
      </c>
      <c r="S1129" s="77">
        <v>5</v>
      </c>
      <c r="T1129" s="77">
        <v>0</v>
      </c>
      <c r="U1129" s="77">
        <v>0</v>
      </c>
      <c r="V1129" s="77">
        <v>30</v>
      </c>
      <c r="W1129" s="80" t="s">
        <v>6689</v>
      </c>
      <c r="X1129" s="77"/>
      <c r="Y1129" s="77"/>
      <c r="Z1129" s="77" t="s">
        <v>8952</v>
      </c>
      <c r="AA1129" s="77"/>
      <c r="AB1129" s="77"/>
      <c r="AC1129" s="80" t="s">
        <v>10540</v>
      </c>
      <c r="AD1129" s="77" t="s">
        <v>10619</v>
      </c>
      <c r="AE1129" s="83" t="str">
        <f>HYPERLINK("https://twitter.com/luizcgferreira/status/1681422685618798593")</f>
        <v>https://twitter.com/luizcgferreira/status/1681422685618798593</v>
      </c>
      <c r="AF1129" s="79">
        <v>45125.914143518516</v>
      </c>
      <c r="AG1129" s="85">
        <v>45125</v>
      </c>
      <c r="AH1129" s="80" t="s">
        <v>11618</v>
      </c>
      <c r="AI1129" s="77"/>
      <c r="AJ1129" s="77" t="s">
        <v>14341</v>
      </c>
      <c r="AK1129" s="77" t="s">
        <v>14382</v>
      </c>
      <c r="AL1129" s="77" t="s">
        <v>14391</v>
      </c>
      <c r="AM1129" s="77" t="s">
        <v>14400</v>
      </c>
      <c r="AN1129" s="77" t="s">
        <v>14438</v>
      </c>
      <c r="AO1129" s="77" t="s">
        <v>14479</v>
      </c>
      <c r="AP1129" s="77" t="s">
        <v>14516</v>
      </c>
      <c r="AQ1129" s="77"/>
      <c r="AR1129" s="77"/>
      <c r="AS1129" s="77"/>
      <c r="AT1129" s="77"/>
      <c r="AU1129" s="77"/>
      <c r="AV1129" s="83" t="str">
        <f>HYPERLINK("https://pbs.twimg.com/profile_images/1693049422840492032/LNPrug43_normal.jpg")</f>
        <v>https://pbs.twimg.com/profile_images/1693049422840492032/LNPrug43_normal.jpg</v>
      </c>
      <c r="AW1129" s="80" t="s">
        <v>17021</v>
      </c>
      <c r="AX1129" s="80" t="s">
        <v>20006</v>
      </c>
      <c r="AY1129" s="80" t="s">
        <v>20262</v>
      </c>
      <c r="AZ1129" s="80" t="s">
        <v>20404</v>
      </c>
      <c r="BA1129" s="80" t="s">
        <v>20380</v>
      </c>
      <c r="BB1129" s="80" t="s">
        <v>20380</v>
      </c>
      <c r="BC1129" s="80" t="s">
        <v>20404</v>
      </c>
      <c r="BD1129" s="77">
        <v>2810838677</v>
      </c>
      <c r="BE1129" s="77"/>
      <c r="BF1129" s="77"/>
      <c r="BG1129" s="77"/>
      <c r="BH1129" s="77"/>
      <c r="BI1129" s="77"/>
    </row>
    <row r="1130" spans="1:61" x14ac:dyDescent="0.25">
      <c r="A1130" s="62" t="s">
        <v>660</v>
      </c>
      <c r="B1130" s="62" t="s">
        <v>1845</v>
      </c>
      <c r="C1130" s="63"/>
      <c r="D1130" s="64"/>
      <c r="E1130" s="65"/>
      <c r="F1130" s="66"/>
      <c r="G1130" s="63"/>
      <c r="H1130" s="67"/>
      <c r="I1130" s="68"/>
      <c r="J1130" s="68"/>
      <c r="K1130" s="32"/>
      <c r="L1130" s="75">
        <v>1130</v>
      </c>
      <c r="M1130" s="75"/>
      <c r="N1130" s="70"/>
      <c r="O1130" s="77" t="s">
        <v>2079</v>
      </c>
      <c r="P1130" s="79">
        <v>45125.914143518516</v>
      </c>
      <c r="Q1130" s="77" t="s">
        <v>3055</v>
      </c>
      <c r="R1130" s="77">
        <v>1</v>
      </c>
      <c r="S1130" s="77">
        <v>5</v>
      </c>
      <c r="T1130" s="77">
        <v>0</v>
      </c>
      <c r="U1130" s="77">
        <v>0</v>
      </c>
      <c r="V1130" s="77">
        <v>30</v>
      </c>
      <c r="W1130" s="80" t="s">
        <v>6689</v>
      </c>
      <c r="X1130" s="77"/>
      <c r="Y1130" s="77"/>
      <c r="Z1130" s="77" t="s">
        <v>8952</v>
      </c>
      <c r="AA1130" s="77"/>
      <c r="AB1130" s="77"/>
      <c r="AC1130" s="80" t="s">
        <v>10540</v>
      </c>
      <c r="AD1130" s="77" t="s">
        <v>10619</v>
      </c>
      <c r="AE1130" s="83" t="str">
        <f>HYPERLINK("https://twitter.com/luizcgferreira/status/1681422685618798593")</f>
        <v>https://twitter.com/luizcgferreira/status/1681422685618798593</v>
      </c>
      <c r="AF1130" s="79">
        <v>45125.914143518516</v>
      </c>
      <c r="AG1130" s="85">
        <v>45125</v>
      </c>
      <c r="AH1130" s="80" t="s">
        <v>11618</v>
      </c>
      <c r="AI1130" s="77"/>
      <c r="AJ1130" s="77" t="s">
        <v>14341</v>
      </c>
      <c r="AK1130" s="77" t="s">
        <v>14382</v>
      </c>
      <c r="AL1130" s="77" t="s">
        <v>14391</v>
      </c>
      <c r="AM1130" s="77" t="s">
        <v>14400</v>
      </c>
      <c r="AN1130" s="77" t="s">
        <v>14438</v>
      </c>
      <c r="AO1130" s="77" t="s">
        <v>14479</v>
      </c>
      <c r="AP1130" s="77" t="s">
        <v>14516</v>
      </c>
      <c r="AQ1130" s="77"/>
      <c r="AR1130" s="77"/>
      <c r="AS1130" s="77"/>
      <c r="AT1130" s="77"/>
      <c r="AU1130" s="77"/>
      <c r="AV1130" s="83" t="str">
        <f>HYPERLINK("https://pbs.twimg.com/profile_images/1693049422840492032/LNPrug43_normal.jpg")</f>
        <v>https://pbs.twimg.com/profile_images/1693049422840492032/LNPrug43_normal.jpg</v>
      </c>
      <c r="AW1130" s="80" t="s">
        <v>17021</v>
      </c>
      <c r="AX1130" s="80" t="s">
        <v>20006</v>
      </c>
      <c r="AY1130" s="80" t="s">
        <v>20262</v>
      </c>
      <c r="AZ1130" s="80" t="s">
        <v>20404</v>
      </c>
      <c r="BA1130" s="80" t="s">
        <v>20380</v>
      </c>
      <c r="BB1130" s="80" t="s">
        <v>20380</v>
      </c>
      <c r="BC1130" s="80" t="s">
        <v>20404</v>
      </c>
      <c r="BD1130" s="77">
        <v>2810838677</v>
      </c>
      <c r="BE1130" s="77"/>
      <c r="BF1130" s="77"/>
      <c r="BG1130" s="77"/>
      <c r="BH1130" s="77"/>
      <c r="BI1130" s="77"/>
    </row>
    <row r="1131" spans="1:61" x14ac:dyDescent="0.25">
      <c r="A1131" s="62" t="s">
        <v>660</v>
      </c>
      <c r="B1131" s="62" t="s">
        <v>1846</v>
      </c>
      <c r="C1131" s="63"/>
      <c r="D1131" s="64"/>
      <c r="E1131" s="65"/>
      <c r="F1131" s="66"/>
      <c r="G1131" s="63"/>
      <c r="H1131" s="67"/>
      <c r="I1131" s="68"/>
      <c r="J1131" s="68"/>
      <c r="K1131" s="32"/>
      <c r="L1131" s="75">
        <v>1131</v>
      </c>
      <c r="M1131" s="75"/>
      <c r="N1131" s="70"/>
      <c r="O1131" s="77" t="s">
        <v>2079</v>
      </c>
      <c r="P1131" s="79">
        <v>45125.914143518516</v>
      </c>
      <c r="Q1131" s="77" t="s">
        <v>3055</v>
      </c>
      <c r="R1131" s="77">
        <v>1</v>
      </c>
      <c r="S1131" s="77">
        <v>5</v>
      </c>
      <c r="T1131" s="77">
        <v>0</v>
      </c>
      <c r="U1131" s="77">
        <v>0</v>
      </c>
      <c r="V1131" s="77">
        <v>30</v>
      </c>
      <c r="W1131" s="80" t="s">
        <v>6689</v>
      </c>
      <c r="X1131" s="77"/>
      <c r="Y1131" s="77"/>
      <c r="Z1131" s="77" t="s">
        <v>8952</v>
      </c>
      <c r="AA1131" s="77"/>
      <c r="AB1131" s="77"/>
      <c r="AC1131" s="80" t="s">
        <v>10540</v>
      </c>
      <c r="AD1131" s="77" t="s">
        <v>10619</v>
      </c>
      <c r="AE1131" s="83" t="str">
        <f>HYPERLINK("https://twitter.com/luizcgferreira/status/1681422685618798593")</f>
        <v>https://twitter.com/luizcgferreira/status/1681422685618798593</v>
      </c>
      <c r="AF1131" s="79">
        <v>45125.914143518516</v>
      </c>
      <c r="AG1131" s="85">
        <v>45125</v>
      </c>
      <c r="AH1131" s="80" t="s">
        <v>11618</v>
      </c>
      <c r="AI1131" s="77"/>
      <c r="AJ1131" s="77" t="s">
        <v>14341</v>
      </c>
      <c r="AK1131" s="77" t="s">
        <v>14382</v>
      </c>
      <c r="AL1131" s="77" t="s">
        <v>14391</v>
      </c>
      <c r="AM1131" s="77" t="s">
        <v>14400</v>
      </c>
      <c r="AN1131" s="77" t="s">
        <v>14438</v>
      </c>
      <c r="AO1131" s="77" t="s">
        <v>14479</v>
      </c>
      <c r="AP1131" s="77" t="s">
        <v>14516</v>
      </c>
      <c r="AQ1131" s="77"/>
      <c r="AR1131" s="77"/>
      <c r="AS1131" s="77"/>
      <c r="AT1131" s="77"/>
      <c r="AU1131" s="77"/>
      <c r="AV1131" s="83" t="str">
        <f>HYPERLINK("https://pbs.twimg.com/profile_images/1693049422840492032/LNPrug43_normal.jpg")</f>
        <v>https://pbs.twimg.com/profile_images/1693049422840492032/LNPrug43_normal.jpg</v>
      </c>
      <c r="AW1131" s="80" t="s">
        <v>17021</v>
      </c>
      <c r="AX1131" s="80" t="s">
        <v>20006</v>
      </c>
      <c r="AY1131" s="80" t="s">
        <v>20262</v>
      </c>
      <c r="AZ1131" s="80" t="s">
        <v>20404</v>
      </c>
      <c r="BA1131" s="80" t="s">
        <v>20380</v>
      </c>
      <c r="BB1131" s="80" t="s">
        <v>20380</v>
      </c>
      <c r="BC1131" s="80" t="s">
        <v>20404</v>
      </c>
      <c r="BD1131" s="77">
        <v>2810838677</v>
      </c>
      <c r="BE1131" s="77"/>
      <c r="BF1131" s="77"/>
      <c r="BG1131" s="77"/>
      <c r="BH1131" s="77"/>
      <c r="BI1131" s="77"/>
    </row>
    <row r="1132" spans="1:61" x14ac:dyDescent="0.25">
      <c r="A1132" s="62" t="s">
        <v>660</v>
      </c>
      <c r="B1132" s="62" t="s">
        <v>1847</v>
      </c>
      <c r="C1132" s="63"/>
      <c r="D1132" s="64"/>
      <c r="E1132" s="65"/>
      <c r="F1132" s="66"/>
      <c r="G1132" s="63"/>
      <c r="H1132" s="67"/>
      <c r="I1132" s="68"/>
      <c r="J1132" s="68"/>
      <c r="K1132" s="32"/>
      <c r="L1132" s="75">
        <v>1132</v>
      </c>
      <c r="M1132" s="75"/>
      <c r="N1132" s="70"/>
      <c r="O1132" s="77" t="s">
        <v>2078</v>
      </c>
      <c r="P1132" s="79">
        <v>45125.914143518516</v>
      </c>
      <c r="Q1132" s="77" t="s">
        <v>3055</v>
      </c>
      <c r="R1132" s="77">
        <v>1</v>
      </c>
      <c r="S1132" s="77">
        <v>5</v>
      </c>
      <c r="T1132" s="77">
        <v>0</v>
      </c>
      <c r="U1132" s="77">
        <v>0</v>
      </c>
      <c r="V1132" s="77">
        <v>30</v>
      </c>
      <c r="W1132" s="80" t="s">
        <v>6689</v>
      </c>
      <c r="X1132" s="77"/>
      <c r="Y1132" s="77"/>
      <c r="Z1132" s="77" t="s">
        <v>8952</v>
      </c>
      <c r="AA1132" s="77"/>
      <c r="AB1132" s="77"/>
      <c r="AC1132" s="80" t="s">
        <v>10540</v>
      </c>
      <c r="AD1132" s="77" t="s">
        <v>10619</v>
      </c>
      <c r="AE1132" s="83" t="str">
        <f>HYPERLINK("https://twitter.com/luizcgferreira/status/1681422685618798593")</f>
        <v>https://twitter.com/luizcgferreira/status/1681422685618798593</v>
      </c>
      <c r="AF1132" s="79">
        <v>45125.914143518516</v>
      </c>
      <c r="AG1132" s="85">
        <v>45125</v>
      </c>
      <c r="AH1132" s="80" t="s">
        <v>11618</v>
      </c>
      <c r="AI1132" s="77"/>
      <c r="AJ1132" s="77" t="s">
        <v>14341</v>
      </c>
      <c r="AK1132" s="77" t="s">
        <v>14382</v>
      </c>
      <c r="AL1132" s="77" t="s">
        <v>14391</v>
      </c>
      <c r="AM1132" s="77" t="s">
        <v>14400</v>
      </c>
      <c r="AN1132" s="77" t="s">
        <v>14438</v>
      </c>
      <c r="AO1132" s="77" t="s">
        <v>14479</v>
      </c>
      <c r="AP1132" s="77" t="s">
        <v>14516</v>
      </c>
      <c r="AQ1132" s="77"/>
      <c r="AR1132" s="77"/>
      <c r="AS1132" s="77"/>
      <c r="AT1132" s="77"/>
      <c r="AU1132" s="77"/>
      <c r="AV1132" s="83" t="str">
        <f>HYPERLINK("https://pbs.twimg.com/profile_images/1693049422840492032/LNPrug43_normal.jpg")</f>
        <v>https://pbs.twimg.com/profile_images/1693049422840492032/LNPrug43_normal.jpg</v>
      </c>
      <c r="AW1132" s="80" t="s">
        <v>17021</v>
      </c>
      <c r="AX1132" s="80" t="s">
        <v>20006</v>
      </c>
      <c r="AY1132" s="80" t="s">
        <v>20262</v>
      </c>
      <c r="AZ1132" s="80" t="s">
        <v>20404</v>
      </c>
      <c r="BA1132" s="80" t="s">
        <v>20380</v>
      </c>
      <c r="BB1132" s="80" t="s">
        <v>20380</v>
      </c>
      <c r="BC1132" s="80" t="s">
        <v>20404</v>
      </c>
      <c r="BD1132" s="77">
        <v>2810838677</v>
      </c>
      <c r="BE1132" s="77"/>
      <c r="BF1132" s="77"/>
      <c r="BG1132" s="77"/>
      <c r="BH1132" s="77"/>
      <c r="BI1132" s="77"/>
    </row>
    <row r="1133" spans="1:61" x14ac:dyDescent="0.25">
      <c r="A1133" s="62" t="s">
        <v>660</v>
      </c>
      <c r="B1133" s="62" t="s">
        <v>1624</v>
      </c>
      <c r="C1133" s="63"/>
      <c r="D1133" s="64"/>
      <c r="E1133" s="65"/>
      <c r="F1133" s="66"/>
      <c r="G1133" s="63"/>
      <c r="H1133" s="67"/>
      <c r="I1133" s="68"/>
      <c r="J1133" s="68"/>
      <c r="K1133" s="32"/>
      <c r="L1133" s="75">
        <v>1133</v>
      </c>
      <c r="M1133" s="75"/>
      <c r="N1133" s="70"/>
      <c r="O1133" s="77" t="s">
        <v>2079</v>
      </c>
      <c r="P1133" s="79">
        <v>45125.914143518516</v>
      </c>
      <c r="Q1133" s="77" t="s">
        <v>3055</v>
      </c>
      <c r="R1133" s="77">
        <v>1</v>
      </c>
      <c r="S1133" s="77">
        <v>5</v>
      </c>
      <c r="T1133" s="77">
        <v>0</v>
      </c>
      <c r="U1133" s="77">
        <v>0</v>
      </c>
      <c r="V1133" s="77">
        <v>30</v>
      </c>
      <c r="W1133" s="80" t="s">
        <v>6689</v>
      </c>
      <c r="X1133" s="77"/>
      <c r="Y1133" s="77"/>
      <c r="Z1133" s="77" t="s">
        <v>8952</v>
      </c>
      <c r="AA1133" s="77"/>
      <c r="AB1133" s="77"/>
      <c r="AC1133" s="80" t="s">
        <v>10540</v>
      </c>
      <c r="AD1133" s="77" t="s">
        <v>10619</v>
      </c>
      <c r="AE1133" s="83" t="str">
        <f>HYPERLINK("https://twitter.com/luizcgferreira/status/1681422685618798593")</f>
        <v>https://twitter.com/luizcgferreira/status/1681422685618798593</v>
      </c>
      <c r="AF1133" s="79">
        <v>45125.914143518516</v>
      </c>
      <c r="AG1133" s="85">
        <v>45125</v>
      </c>
      <c r="AH1133" s="80" t="s">
        <v>11618</v>
      </c>
      <c r="AI1133" s="77"/>
      <c r="AJ1133" s="77" t="s">
        <v>14341</v>
      </c>
      <c r="AK1133" s="77" t="s">
        <v>14382</v>
      </c>
      <c r="AL1133" s="77" t="s">
        <v>14391</v>
      </c>
      <c r="AM1133" s="77" t="s">
        <v>14400</v>
      </c>
      <c r="AN1133" s="77" t="s">
        <v>14438</v>
      </c>
      <c r="AO1133" s="77" t="s">
        <v>14479</v>
      </c>
      <c r="AP1133" s="77" t="s">
        <v>14516</v>
      </c>
      <c r="AQ1133" s="77"/>
      <c r="AR1133" s="77"/>
      <c r="AS1133" s="77"/>
      <c r="AT1133" s="77"/>
      <c r="AU1133" s="77"/>
      <c r="AV1133" s="83" t="str">
        <f>HYPERLINK("https://pbs.twimg.com/profile_images/1693049422840492032/LNPrug43_normal.jpg")</f>
        <v>https://pbs.twimg.com/profile_images/1693049422840492032/LNPrug43_normal.jpg</v>
      </c>
      <c r="AW1133" s="80" t="s">
        <v>17021</v>
      </c>
      <c r="AX1133" s="80" t="s">
        <v>20006</v>
      </c>
      <c r="AY1133" s="80" t="s">
        <v>20262</v>
      </c>
      <c r="AZ1133" s="80" t="s">
        <v>20404</v>
      </c>
      <c r="BA1133" s="80" t="s">
        <v>20380</v>
      </c>
      <c r="BB1133" s="80" t="s">
        <v>20380</v>
      </c>
      <c r="BC1133" s="80" t="s">
        <v>20404</v>
      </c>
      <c r="BD1133" s="77">
        <v>2810838677</v>
      </c>
      <c r="BE1133" s="77"/>
      <c r="BF1133" s="77"/>
      <c r="BG1133" s="77"/>
      <c r="BH1133" s="77"/>
      <c r="BI1133" s="77"/>
    </row>
    <row r="1134" spans="1:61" x14ac:dyDescent="0.25">
      <c r="A1134" s="62" t="s">
        <v>661</v>
      </c>
      <c r="B1134" s="62" t="s">
        <v>1238</v>
      </c>
      <c r="C1134" s="63"/>
      <c r="D1134" s="64"/>
      <c r="E1134" s="65"/>
      <c r="F1134" s="66"/>
      <c r="G1134" s="63"/>
      <c r="H1134" s="67"/>
      <c r="I1134" s="68"/>
      <c r="J1134" s="68"/>
      <c r="K1134" s="32"/>
      <c r="L1134" s="75">
        <v>1134</v>
      </c>
      <c r="M1134" s="75"/>
      <c r="N1134" s="70"/>
      <c r="O1134" s="77" t="s">
        <v>2083</v>
      </c>
      <c r="P1134" s="79">
        <v>45196.822488425925</v>
      </c>
      <c r="Q1134" s="77" t="s">
        <v>3056</v>
      </c>
      <c r="R1134" s="77">
        <v>1</v>
      </c>
      <c r="S1134" s="77">
        <v>0</v>
      </c>
      <c r="T1134" s="77">
        <v>0</v>
      </c>
      <c r="U1134" s="77">
        <v>0</v>
      </c>
      <c r="V1134" s="77"/>
      <c r="W1134" s="80" t="s">
        <v>6690</v>
      </c>
      <c r="X1134" s="83" t="str">
        <f>HYPERLINK("https://fintualist.com/chile/economia/mercados/banco-central-de-chile-redujo-su-tasa-de-interes-en-75-puntos-base/")</f>
        <v>https://fintualist.com/chile/economia/mercados/banco-central-de-chile-redujo-su-tasa-de-interes-en-75-puntos-base/</v>
      </c>
      <c r="Y1134" s="77" t="s">
        <v>8719</v>
      </c>
      <c r="Z1134" s="77" t="s">
        <v>1238</v>
      </c>
      <c r="AA1134" s="77"/>
      <c r="AB1134" s="77"/>
      <c r="AC1134" s="80" t="s">
        <v>10540</v>
      </c>
      <c r="AD1134" s="77" t="s">
        <v>10620</v>
      </c>
      <c r="AE1134" s="83" t="str">
        <f>HYPERLINK("https://twitter.com/honor_541/status/1707119012155457699")</f>
        <v>https://twitter.com/honor_541/status/1707119012155457699</v>
      </c>
      <c r="AF1134" s="79">
        <v>45196.822488425925</v>
      </c>
      <c r="AG1134" s="85">
        <v>45196</v>
      </c>
      <c r="AH1134" s="80" t="s">
        <v>11619</v>
      </c>
      <c r="AI1134" s="77" t="b">
        <v>0</v>
      </c>
      <c r="AJ1134" s="77"/>
      <c r="AK1134" s="77"/>
      <c r="AL1134" s="77"/>
      <c r="AM1134" s="77"/>
      <c r="AN1134" s="77"/>
      <c r="AO1134" s="77"/>
      <c r="AP1134" s="77"/>
      <c r="AQ1134" s="77"/>
      <c r="AR1134" s="77"/>
      <c r="AS1134" s="77"/>
      <c r="AT1134" s="77"/>
      <c r="AU1134" s="77"/>
      <c r="AV1134" s="83" t="str">
        <f>HYPERLINK("https://pbs.twimg.com/profile_images/1686278375340683264/27OekRb1_normal.jpg")</f>
        <v>https://pbs.twimg.com/profile_images/1686278375340683264/27OekRb1_normal.jpg</v>
      </c>
      <c r="AW1134" s="80" t="s">
        <v>17022</v>
      </c>
      <c r="AX1134" s="80" t="s">
        <v>17022</v>
      </c>
      <c r="AY1134" s="77"/>
      <c r="AZ1134" s="80" t="s">
        <v>20380</v>
      </c>
      <c r="BA1134" s="80" t="s">
        <v>20380</v>
      </c>
      <c r="BB1134" s="80" t="s">
        <v>18858</v>
      </c>
      <c r="BC1134" s="80" t="s">
        <v>18858</v>
      </c>
      <c r="BD1134" s="80" t="s">
        <v>20708</v>
      </c>
      <c r="BE1134" s="77"/>
      <c r="BF1134" s="77"/>
      <c r="BG1134" s="77"/>
      <c r="BH1134" s="77"/>
      <c r="BI1134" s="77"/>
    </row>
    <row r="1135" spans="1:61" x14ac:dyDescent="0.25">
      <c r="A1135" s="62" t="s">
        <v>662</v>
      </c>
      <c r="B1135" s="62" t="s">
        <v>662</v>
      </c>
      <c r="C1135" s="63"/>
      <c r="D1135" s="64"/>
      <c r="E1135" s="65"/>
      <c r="F1135" s="66"/>
      <c r="G1135" s="63"/>
      <c r="H1135" s="67"/>
      <c r="I1135" s="68"/>
      <c r="J1135" s="68"/>
      <c r="K1135" s="32"/>
      <c r="L1135" s="75">
        <v>1135</v>
      </c>
      <c r="M1135" s="75"/>
      <c r="N1135" s="70"/>
      <c r="O1135" s="77" t="s">
        <v>179</v>
      </c>
      <c r="P1135" s="79">
        <v>45086.073020833333</v>
      </c>
      <c r="Q1135" s="77" t="s">
        <v>3057</v>
      </c>
      <c r="R1135" s="77">
        <v>13</v>
      </c>
      <c r="S1135" s="77">
        <v>23</v>
      </c>
      <c r="T1135" s="77">
        <v>5</v>
      </c>
      <c r="U1135" s="77">
        <v>1</v>
      </c>
      <c r="V1135" s="77">
        <v>1890</v>
      </c>
      <c r="W1135" s="80" t="s">
        <v>6691</v>
      </c>
      <c r="X1135" s="77"/>
      <c r="Y1135" s="77"/>
      <c r="Z1135" s="77"/>
      <c r="AA1135" s="77" t="s">
        <v>9404</v>
      </c>
      <c r="AB1135" s="77" t="s">
        <v>10534</v>
      </c>
      <c r="AC1135" s="80" t="s">
        <v>10541</v>
      </c>
      <c r="AD1135" s="77" t="s">
        <v>10620</v>
      </c>
      <c r="AE1135" s="83" t="str">
        <f>HYPERLINK("https://twitter.com/unsiontv/status/1666984746973364226")</f>
        <v>https://twitter.com/unsiontv/status/1666984746973364226</v>
      </c>
      <c r="AF1135" s="79">
        <v>45086.073020833333</v>
      </c>
      <c r="AG1135" s="85">
        <v>45086</v>
      </c>
      <c r="AH1135" s="80" t="s">
        <v>11620</v>
      </c>
      <c r="AI1135" s="77" t="b">
        <v>0</v>
      </c>
      <c r="AJ1135" s="77"/>
      <c r="AK1135" s="77"/>
      <c r="AL1135" s="77"/>
      <c r="AM1135" s="77"/>
      <c r="AN1135" s="77"/>
      <c r="AO1135" s="77"/>
      <c r="AP1135" s="77"/>
      <c r="AQ1135" s="77" t="s">
        <v>14886</v>
      </c>
      <c r="AR1135" s="77">
        <v>101167</v>
      </c>
      <c r="AS1135" s="77"/>
      <c r="AT1135" s="77"/>
      <c r="AU1135" s="77"/>
      <c r="AV1135" s="83" t="str">
        <f>HYPERLINK("https://pbs.twimg.com/ext_tw_video_thumb/1666984534888333316/pu/img/hZ9_aw3i9t-Jid3Z.jpg")</f>
        <v>https://pbs.twimg.com/ext_tw_video_thumb/1666984534888333316/pu/img/hZ9_aw3i9t-Jid3Z.jpg</v>
      </c>
      <c r="AW1135" s="80" t="s">
        <v>17023</v>
      </c>
      <c r="AX1135" s="80" t="s">
        <v>17023</v>
      </c>
      <c r="AY1135" s="77"/>
      <c r="AZ1135" s="80" t="s">
        <v>20380</v>
      </c>
      <c r="BA1135" s="80" t="s">
        <v>20380</v>
      </c>
      <c r="BB1135" s="80" t="s">
        <v>20380</v>
      </c>
      <c r="BC1135" s="80" t="s">
        <v>17023</v>
      </c>
      <c r="BD1135" s="77">
        <v>104297856</v>
      </c>
      <c r="BE1135" s="77"/>
      <c r="BF1135" s="77"/>
      <c r="BG1135" s="77"/>
      <c r="BH1135" s="77"/>
      <c r="BI1135" s="77"/>
    </row>
    <row r="1136" spans="1:61" x14ac:dyDescent="0.25">
      <c r="A1136" s="62" t="s">
        <v>663</v>
      </c>
      <c r="B1136" s="62" t="s">
        <v>1848</v>
      </c>
      <c r="C1136" s="63"/>
      <c r="D1136" s="64"/>
      <c r="E1136" s="65"/>
      <c r="F1136" s="66"/>
      <c r="G1136" s="63"/>
      <c r="H1136" s="67"/>
      <c r="I1136" s="68"/>
      <c r="J1136" s="68"/>
      <c r="K1136" s="32"/>
      <c r="L1136" s="75">
        <v>1136</v>
      </c>
      <c r="M1136" s="75"/>
      <c r="N1136" s="70"/>
      <c r="O1136" s="77" t="s">
        <v>2078</v>
      </c>
      <c r="P1136" s="79">
        <v>45066.344768518517</v>
      </c>
      <c r="Q1136" s="77" t="s">
        <v>3058</v>
      </c>
      <c r="R1136" s="77">
        <v>0</v>
      </c>
      <c r="S1136" s="77">
        <v>0</v>
      </c>
      <c r="T1136" s="77">
        <v>0</v>
      </c>
      <c r="U1136" s="77">
        <v>0</v>
      </c>
      <c r="V1136" s="77">
        <v>47</v>
      </c>
      <c r="W1136" s="80" t="s">
        <v>5884</v>
      </c>
      <c r="X1136" s="77"/>
      <c r="Y1136" s="77"/>
      <c r="Z1136" s="77" t="s">
        <v>1848</v>
      </c>
      <c r="AA1136" s="77"/>
      <c r="AB1136" s="77"/>
      <c r="AC1136" s="80" t="s">
        <v>10542</v>
      </c>
      <c r="AD1136" s="77" t="s">
        <v>10617</v>
      </c>
      <c r="AE1136" s="83" t="str">
        <f>HYPERLINK("https://twitter.com/adrianotxavier/status/1659835469574598657")</f>
        <v>https://twitter.com/adrianotxavier/status/1659835469574598657</v>
      </c>
      <c r="AF1136" s="79">
        <v>45066.344768518517</v>
      </c>
      <c r="AG1136" s="85">
        <v>45066</v>
      </c>
      <c r="AH1136" s="80" t="s">
        <v>11621</v>
      </c>
      <c r="AI1136" s="77"/>
      <c r="AJ1136" s="77"/>
      <c r="AK1136" s="77"/>
      <c r="AL1136" s="77"/>
      <c r="AM1136" s="77"/>
      <c r="AN1136" s="77"/>
      <c r="AO1136" s="77"/>
      <c r="AP1136" s="77"/>
      <c r="AQ1136" s="77"/>
      <c r="AR1136" s="77"/>
      <c r="AS1136" s="77"/>
      <c r="AT1136" s="77"/>
      <c r="AU1136" s="77"/>
      <c r="AV1136" s="83" t="str">
        <f>HYPERLINK("https://pbs.twimg.com/profile_images/1275236945518563333/M46AVTHd_normal.jpg")</f>
        <v>https://pbs.twimg.com/profile_images/1275236945518563333/M46AVTHd_normal.jpg</v>
      </c>
      <c r="AW1136" s="80" t="s">
        <v>17024</v>
      </c>
      <c r="AX1136" s="80" t="s">
        <v>20007</v>
      </c>
      <c r="AY1136" s="80" t="s">
        <v>20263</v>
      </c>
      <c r="AZ1136" s="80" t="s">
        <v>20007</v>
      </c>
      <c r="BA1136" s="80" t="s">
        <v>20380</v>
      </c>
      <c r="BB1136" s="80" t="s">
        <v>20380</v>
      </c>
      <c r="BC1136" s="80" t="s">
        <v>20007</v>
      </c>
      <c r="BD1136" s="77">
        <v>66193411</v>
      </c>
      <c r="BE1136" s="77"/>
      <c r="BF1136" s="77"/>
      <c r="BG1136" s="77"/>
      <c r="BH1136" s="77"/>
      <c r="BI1136" s="77"/>
    </row>
    <row r="1137" spans="1:61" x14ac:dyDescent="0.25">
      <c r="A1137" s="62" t="s">
        <v>664</v>
      </c>
      <c r="B1137" s="62" t="s">
        <v>664</v>
      </c>
      <c r="C1137" s="63"/>
      <c r="D1137" s="64"/>
      <c r="E1137" s="65"/>
      <c r="F1137" s="66"/>
      <c r="G1137" s="63"/>
      <c r="H1137" s="67"/>
      <c r="I1137" s="68"/>
      <c r="J1137" s="68"/>
      <c r="K1137" s="32"/>
      <c r="L1137" s="75">
        <v>1137</v>
      </c>
      <c r="M1137" s="75"/>
      <c r="N1137" s="70"/>
      <c r="O1137" s="77" t="s">
        <v>179</v>
      </c>
      <c r="P1137" s="79">
        <v>45075.723298611112</v>
      </c>
      <c r="Q1137" s="77" t="s">
        <v>3059</v>
      </c>
      <c r="R1137" s="77">
        <v>1</v>
      </c>
      <c r="S1137" s="77">
        <v>1</v>
      </c>
      <c r="T1137" s="77">
        <v>0</v>
      </c>
      <c r="U1137" s="77">
        <v>1</v>
      </c>
      <c r="V1137" s="77">
        <v>2885</v>
      </c>
      <c r="W1137" s="80" t="s">
        <v>6692</v>
      </c>
      <c r="X1137" s="83" t="str">
        <f>HYPERLINK("https://tinyurl.com/46m8cpd5")</f>
        <v>https://tinyurl.com/46m8cpd5</v>
      </c>
      <c r="Y1137" s="77" t="s">
        <v>8670</v>
      </c>
      <c r="Z1137" s="77"/>
      <c r="AA1137" s="77" t="s">
        <v>9405</v>
      </c>
      <c r="AB1137" s="77" t="s">
        <v>10535</v>
      </c>
      <c r="AC1137" s="80" t="s">
        <v>10551</v>
      </c>
      <c r="AD1137" s="77" t="s">
        <v>10620</v>
      </c>
      <c r="AE1137" s="83" t="str">
        <f>HYPERLINK("https://twitter.com/elmomercados/status/1663234135584915472")</f>
        <v>https://twitter.com/elmomercados/status/1663234135584915472</v>
      </c>
      <c r="AF1137" s="79">
        <v>45075.723298611112</v>
      </c>
      <c r="AG1137" s="85">
        <v>45075</v>
      </c>
      <c r="AH1137" s="80" t="s">
        <v>11622</v>
      </c>
      <c r="AI1137" s="77" t="b">
        <v>0</v>
      </c>
      <c r="AJ1137" s="77"/>
      <c r="AK1137" s="77"/>
      <c r="AL1137" s="77"/>
      <c r="AM1137" s="77"/>
      <c r="AN1137" s="77"/>
      <c r="AO1137" s="77"/>
      <c r="AP1137" s="77"/>
      <c r="AQ1137" s="77" t="s">
        <v>14887</v>
      </c>
      <c r="AR1137" s="77"/>
      <c r="AS1137" s="77"/>
      <c r="AT1137" s="77"/>
      <c r="AU1137" s="77"/>
      <c r="AV1137" s="83" t="str">
        <f>HYPERLINK("https://pbs.twimg.com/media/FxT-oBMXwBA99sD.png")</f>
        <v>https://pbs.twimg.com/media/FxT-oBMXwBA99sD.png</v>
      </c>
      <c r="AW1137" s="80" t="s">
        <v>17025</v>
      </c>
      <c r="AX1137" s="80" t="s">
        <v>17025</v>
      </c>
      <c r="AY1137" s="77"/>
      <c r="AZ1137" s="80" t="s">
        <v>20380</v>
      </c>
      <c r="BA1137" s="80" t="s">
        <v>20380</v>
      </c>
      <c r="BB1137" s="80" t="s">
        <v>20380</v>
      </c>
      <c r="BC1137" s="80" t="s">
        <v>17025</v>
      </c>
      <c r="BD1137" s="77">
        <v>376989408</v>
      </c>
      <c r="BE1137" s="77"/>
      <c r="BF1137" s="77"/>
      <c r="BG1137" s="77"/>
      <c r="BH1137" s="77"/>
      <c r="BI1137" s="77"/>
    </row>
    <row r="1138" spans="1:61" x14ac:dyDescent="0.25">
      <c r="A1138" s="62" t="s">
        <v>664</v>
      </c>
      <c r="B1138" s="62" t="s">
        <v>664</v>
      </c>
      <c r="C1138" s="63"/>
      <c r="D1138" s="64"/>
      <c r="E1138" s="65"/>
      <c r="F1138" s="66"/>
      <c r="G1138" s="63"/>
      <c r="H1138" s="67"/>
      <c r="I1138" s="68"/>
      <c r="J1138" s="68"/>
      <c r="K1138" s="32"/>
      <c r="L1138" s="75">
        <v>1138</v>
      </c>
      <c r="M1138" s="75"/>
      <c r="N1138" s="70"/>
      <c r="O1138" s="77" t="s">
        <v>179</v>
      </c>
      <c r="P1138" s="79">
        <v>45082.552546296298</v>
      </c>
      <c r="Q1138" s="77" t="s">
        <v>3060</v>
      </c>
      <c r="R1138" s="77">
        <v>1</v>
      </c>
      <c r="S1138" s="77">
        <v>0</v>
      </c>
      <c r="T1138" s="77">
        <v>0</v>
      </c>
      <c r="U1138" s="77">
        <v>0</v>
      </c>
      <c r="V1138" s="77">
        <v>266</v>
      </c>
      <c r="W1138" s="80" t="s">
        <v>5884</v>
      </c>
      <c r="X1138" s="83" t="str">
        <f>HYPERLINK("https://tinyurl.com/3k26dfd3")</f>
        <v>https://tinyurl.com/3k26dfd3</v>
      </c>
      <c r="Y1138" s="77" t="s">
        <v>8670</v>
      </c>
      <c r="Z1138" s="77"/>
      <c r="AA1138" s="77" t="s">
        <v>9406</v>
      </c>
      <c r="AB1138" s="77" t="s">
        <v>10535</v>
      </c>
      <c r="AC1138" s="80" t="s">
        <v>10551</v>
      </c>
      <c r="AD1138" s="77" t="s">
        <v>10620</v>
      </c>
      <c r="AE1138" s="83" t="str">
        <f>HYPERLINK("https://twitter.com/elmomercados/status/1665708970915291137")</f>
        <v>https://twitter.com/elmomercados/status/1665708970915291137</v>
      </c>
      <c r="AF1138" s="79">
        <v>45082.552546296298</v>
      </c>
      <c r="AG1138" s="85">
        <v>45082</v>
      </c>
      <c r="AH1138" s="80" t="s">
        <v>11623</v>
      </c>
      <c r="AI1138" s="77" t="b">
        <v>0</v>
      </c>
      <c r="AJ1138" s="77"/>
      <c r="AK1138" s="77"/>
      <c r="AL1138" s="77"/>
      <c r="AM1138" s="77"/>
      <c r="AN1138" s="77"/>
      <c r="AO1138" s="77"/>
      <c r="AP1138" s="77"/>
      <c r="AQ1138" s="77" t="s">
        <v>14888</v>
      </c>
      <c r="AR1138" s="77"/>
      <c r="AS1138" s="77"/>
      <c r="AT1138" s="77"/>
      <c r="AU1138" s="77"/>
      <c r="AV1138" s="83" t="str">
        <f>HYPERLINK("https://pbs.twimg.com/media/Fx3JekCX0Ag2c_M.jpg")</f>
        <v>https://pbs.twimg.com/media/Fx3JekCX0Ag2c_M.jpg</v>
      </c>
      <c r="AW1138" s="80" t="s">
        <v>17026</v>
      </c>
      <c r="AX1138" s="80" t="s">
        <v>17026</v>
      </c>
      <c r="AY1138" s="77"/>
      <c r="AZ1138" s="80" t="s">
        <v>20380</v>
      </c>
      <c r="BA1138" s="80" t="s">
        <v>20380</v>
      </c>
      <c r="BB1138" s="80" t="s">
        <v>20380</v>
      </c>
      <c r="BC1138" s="80" t="s">
        <v>17026</v>
      </c>
      <c r="BD1138" s="77">
        <v>376989408</v>
      </c>
      <c r="BE1138" s="77"/>
      <c r="BF1138" s="77"/>
      <c r="BG1138" s="77"/>
      <c r="BH1138" s="77"/>
      <c r="BI1138" s="77"/>
    </row>
    <row r="1139" spans="1:61" x14ac:dyDescent="0.25">
      <c r="A1139" s="62" t="s">
        <v>664</v>
      </c>
      <c r="B1139" s="62" t="s">
        <v>664</v>
      </c>
      <c r="C1139" s="63"/>
      <c r="D1139" s="64"/>
      <c r="E1139" s="65"/>
      <c r="F1139" s="66"/>
      <c r="G1139" s="63"/>
      <c r="H1139" s="67"/>
      <c r="I1139" s="68"/>
      <c r="J1139" s="68"/>
      <c r="K1139" s="32"/>
      <c r="L1139" s="75">
        <v>1139</v>
      </c>
      <c r="M1139" s="75"/>
      <c r="N1139" s="70"/>
      <c r="O1139" s="77" t="s">
        <v>179</v>
      </c>
      <c r="P1139" s="79">
        <v>45071.768692129626</v>
      </c>
      <c r="Q1139" s="77" t="s">
        <v>3061</v>
      </c>
      <c r="R1139" s="77">
        <v>0</v>
      </c>
      <c r="S1139" s="77">
        <v>1</v>
      </c>
      <c r="T1139" s="77">
        <v>0</v>
      </c>
      <c r="U1139" s="77">
        <v>0</v>
      </c>
      <c r="V1139" s="77">
        <v>204</v>
      </c>
      <c r="W1139" s="80" t="s">
        <v>5884</v>
      </c>
      <c r="X1139" s="83" t="str">
        <f>HYPERLINK("http://tinyurl.com/y9as393z")</f>
        <v>http://tinyurl.com/y9as393z</v>
      </c>
      <c r="Y1139" s="77" t="s">
        <v>8670</v>
      </c>
      <c r="Z1139" s="77"/>
      <c r="AA1139" s="77" t="s">
        <v>9407</v>
      </c>
      <c r="AB1139" s="77" t="s">
        <v>10535</v>
      </c>
      <c r="AC1139" s="80" t="s">
        <v>10551</v>
      </c>
      <c r="AD1139" s="77" t="s">
        <v>10620</v>
      </c>
      <c r="AE1139" s="83" t="str">
        <f>HYPERLINK("https://twitter.com/elmomercados/status/1661801032781889536")</f>
        <v>https://twitter.com/elmomercados/status/1661801032781889536</v>
      </c>
      <c r="AF1139" s="79">
        <v>45071.768692129626</v>
      </c>
      <c r="AG1139" s="85">
        <v>45071</v>
      </c>
      <c r="AH1139" s="80" t="s">
        <v>11624</v>
      </c>
      <c r="AI1139" s="77" t="b">
        <v>0</v>
      </c>
      <c r="AJ1139" s="77"/>
      <c r="AK1139" s="77"/>
      <c r="AL1139" s="77"/>
      <c r="AM1139" s="77"/>
      <c r="AN1139" s="77"/>
      <c r="AO1139" s="77"/>
      <c r="AP1139" s="77"/>
      <c r="AQ1139" s="77" t="s">
        <v>14889</v>
      </c>
      <c r="AR1139" s="77"/>
      <c r="AS1139" s="77"/>
      <c r="AT1139" s="77"/>
      <c r="AU1139" s="77"/>
      <c r="AV1139" s="83" t="str">
        <f>HYPERLINK("https://pbs.twimg.com/media/Fw_nOjaWAAI1wWD.jpg")</f>
        <v>https://pbs.twimg.com/media/Fw_nOjaWAAI1wWD.jpg</v>
      </c>
      <c r="AW1139" s="80" t="s">
        <v>17027</v>
      </c>
      <c r="AX1139" s="80" t="s">
        <v>17027</v>
      </c>
      <c r="AY1139" s="77"/>
      <c r="AZ1139" s="80" t="s">
        <v>20380</v>
      </c>
      <c r="BA1139" s="80" t="s">
        <v>20380</v>
      </c>
      <c r="BB1139" s="80" t="s">
        <v>20380</v>
      </c>
      <c r="BC1139" s="80" t="s">
        <v>17027</v>
      </c>
      <c r="BD1139" s="77">
        <v>376989408</v>
      </c>
      <c r="BE1139" s="77"/>
      <c r="BF1139" s="77"/>
      <c r="BG1139" s="77"/>
      <c r="BH1139" s="77"/>
      <c r="BI1139" s="77"/>
    </row>
    <row r="1140" spans="1:61" x14ac:dyDescent="0.25">
      <c r="A1140" s="62" t="s">
        <v>664</v>
      </c>
      <c r="B1140" s="62" t="s">
        <v>664</v>
      </c>
      <c r="C1140" s="63"/>
      <c r="D1140" s="64"/>
      <c r="E1140" s="65"/>
      <c r="F1140" s="66"/>
      <c r="G1140" s="63"/>
      <c r="H1140" s="67"/>
      <c r="I1140" s="68"/>
      <c r="J1140" s="68"/>
      <c r="K1140" s="32"/>
      <c r="L1140" s="75">
        <v>1140</v>
      </c>
      <c r="M1140" s="75"/>
      <c r="N1140" s="70"/>
      <c r="O1140" s="77" t="s">
        <v>179</v>
      </c>
      <c r="P1140" s="79">
        <v>45058.966932870368</v>
      </c>
      <c r="Q1140" s="77" t="s">
        <v>3062</v>
      </c>
      <c r="R1140" s="77">
        <v>0</v>
      </c>
      <c r="S1140" s="77">
        <v>0</v>
      </c>
      <c r="T1140" s="77">
        <v>0</v>
      </c>
      <c r="U1140" s="77">
        <v>0</v>
      </c>
      <c r="V1140" s="77">
        <v>242</v>
      </c>
      <c r="W1140" s="80" t="s">
        <v>6693</v>
      </c>
      <c r="X1140" s="83" t="str">
        <f>HYPERLINK("https://bit.ly/44YfpGI")</f>
        <v>https://bit.ly/44YfpGI</v>
      </c>
      <c r="Y1140" s="77" t="s">
        <v>8618</v>
      </c>
      <c r="Z1140" s="77"/>
      <c r="AA1140" s="77" t="s">
        <v>9408</v>
      </c>
      <c r="AB1140" s="77" t="s">
        <v>10535</v>
      </c>
      <c r="AC1140" s="80" t="s">
        <v>10555</v>
      </c>
      <c r="AD1140" s="77" t="s">
        <v>10620</v>
      </c>
      <c r="AE1140" s="83" t="str">
        <f>HYPERLINK("https://twitter.com/elmomercados/status/1657161831318798343")</f>
        <v>https://twitter.com/elmomercados/status/1657161831318798343</v>
      </c>
      <c r="AF1140" s="79">
        <v>45058.966932870368</v>
      </c>
      <c r="AG1140" s="85">
        <v>45058</v>
      </c>
      <c r="AH1140" s="80" t="s">
        <v>11625</v>
      </c>
      <c r="AI1140" s="77" t="b">
        <v>0</v>
      </c>
      <c r="AJ1140" s="77"/>
      <c r="AK1140" s="77"/>
      <c r="AL1140" s="77"/>
      <c r="AM1140" s="77"/>
      <c r="AN1140" s="77"/>
      <c r="AO1140" s="77"/>
      <c r="AP1140" s="77"/>
      <c r="AQ1140" s="77" t="s">
        <v>14890</v>
      </c>
      <c r="AR1140" s="77"/>
      <c r="AS1140" s="77"/>
      <c r="AT1140" s="77"/>
      <c r="AU1140" s="77"/>
      <c r="AV1140" s="83" t="str">
        <f>HYPERLINK("https://pbs.twimg.com/media/Fv9r5GEXgAAHQQp.jpg")</f>
        <v>https://pbs.twimg.com/media/Fv9r5GEXgAAHQQp.jpg</v>
      </c>
      <c r="AW1140" s="80" t="s">
        <v>17028</v>
      </c>
      <c r="AX1140" s="80" t="s">
        <v>17028</v>
      </c>
      <c r="AY1140" s="77"/>
      <c r="AZ1140" s="80" t="s">
        <v>20380</v>
      </c>
      <c r="BA1140" s="80" t="s">
        <v>20380</v>
      </c>
      <c r="BB1140" s="80" t="s">
        <v>20380</v>
      </c>
      <c r="BC1140" s="80" t="s">
        <v>17028</v>
      </c>
      <c r="BD1140" s="77">
        <v>376989408</v>
      </c>
      <c r="BE1140" s="77"/>
      <c r="BF1140" s="77"/>
      <c r="BG1140" s="77"/>
      <c r="BH1140" s="77"/>
      <c r="BI1140" s="77"/>
    </row>
    <row r="1141" spans="1:61" x14ac:dyDescent="0.25">
      <c r="A1141" s="62" t="s">
        <v>664</v>
      </c>
      <c r="B1141" s="62" t="s">
        <v>664</v>
      </c>
      <c r="C1141" s="63"/>
      <c r="D1141" s="64"/>
      <c r="E1141" s="65"/>
      <c r="F1141" s="66"/>
      <c r="G1141" s="63"/>
      <c r="H1141" s="67"/>
      <c r="I1141" s="68"/>
      <c r="J1141" s="68"/>
      <c r="K1141" s="32"/>
      <c r="L1141" s="75">
        <v>1141</v>
      </c>
      <c r="M1141" s="75"/>
      <c r="N1141" s="70"/>
      <c r="O1141" s="77" t="s">
        <v>179</v>
      </c>
      <c r="P1141" s="79">
        <v>45058.857372685183</v>
      </c>
      <c r="Q1141" s="77" t="s">
        <v>3063</v>
      </c>
      <c r="R1141" s="77">
        <v>0</v>
      </c>
      <c r="S1141" s="77">
        <v>0</v>
      </c>
      <c r="T1141" s="77">
        <v>0</v>
      </c>
      <c r="U1141" s="77">
        <v>0</v>
      </c>
      <c r="V1141" s="77">
        <v>202</v>
      </c>
      <c r="W1141" s="80" t="s">
        <v>5884</v>
      </c>
      <c r="X1141" s="83" t="str">
        <f>HYPERLINK("https://bit.ly/42uzL8N")</f>
        <v>https://bit.ly/42uzL8N</v>
      </c>
      <c r="Y1141" s="77" t="s">
        <v>8618</v>
      </c>
      <c r="Z1141" s="77"/>
      <c r="AA1141" s="77" t="s">
        <v>9409</v>
      </c>
      <c r="AB1141" s="77" t="s">
        <v>10535</v>
      </c>
      <c r="AC1141" s="80" t="s">
        <v>10555</v>
      </c>
      <c r="AD1141" s="77" t="s">
        <v>10620</v>
      </c>
      <c r="AE1141" s="83" t="str">
        <f>HYPERLINK("https://twitter.com/elmomercados/status/1657122127265386525")</f>
        <v>https://twitter.com/elmomercados/status/1657122127265386525</v>
      </c>
      <c r="AF1141" s="79">
        <v>45058.857372685183</v>
      </c>
      <c r="AG1141" s="85">
        <v>45058</v>
      </c>
      <c r="AH1141" s="80" t="s">
        <v>11626</v>
      </c>
      <c r="AI1141" s="77" t="b">
        <v>0</v>
      </c>
      <c r="AJ1141" s="77"/>
      <c r="AK1141" s="77"/>
      <c r="AL1141" s="77"/>
      <c r="AM1141" s="77"/>
      <c r="AN1141" s="77"/>
      <c r="AO1141" s="77"/>
      <c r="AP1141" s="77"/>
      <c r="AQ1141" s="77" t="s">
        <v>14891</v>
      </c>
      <c r="AR1141" s="77"/>
      <c r="AS1141" s="77"/>
      <c r="AT1141" s="77"/>
      <c r="AU1141" s="77"/>
      <c r="AV1141" s="83" t="str">
        <f>HYPERLINK("https://pbs.twimg.com/media/Fv9HyPKX0Cs7hji.jpg")</f>
        <v>https://pbs.twimg.com/media/Fv9HyPKX0Cs7hji.jpg</v>
      </c>
      <c r="AW1141" s="80" t="s">
        <v>17029</v>
      </c>
      <c r="AX1141" s="80" t="s">
        <v>17029</v>
      </c>
      <c r="AY1141" s="77"/>
      <c r="AZ1141" s="80" t="s">
        <v>20380</v>
      </c>
      <c r="BA1141" s="80" t="s">
        <v>20380</v>
      </c>
      <c r="BB1141" s="80" t="s">
        <v>20380</v>
      </c>
      <c r="BC1141" s="80" t="s">
        <v>17029</v>
      </c>
      <c r="BD1141" s="77">
        <v>376989408</v>
      </c>
      <c r="BE1141" s="77"/>
      <c r="BF1141" s="77"/>
      <c r="BG1141" s="77"/>
      <c r="BH1141" s="77"/>
      <c r="BI1141" s="77"/>
    </row>
    <row r="1142" spans="1:61" x14ac:dyDescent="0.25">
      <c r="A1142" s="62" t="s">
        <v>664</v>
      </c>
      <c r="B1142" s="62" t="s">
        <v>664</v>
      </c>
      <c r="C1142" s="63"/>
      <c r="D1142" s="64"/>
      <c r="E1142" s="65"/>
      <c r="F1142" s="66"/>
      <c r="G1142" s="63"/>
      <c r="H1142" s="67"/>
      <c r="I1142" s="68"/>
      <c r="J1142" s="68"/>
      <c r="K1142" s="32"/>
      <c r="L1142" s="75">
        <v>1142</v>
      </c>
      <c r="M1142" s="75"/>
      <c r="N1142" s="70"/>
      <c r="O1142" s="77" t="s">
        <v>179</v>
      </c>
      <c r="P1142" s="79">
        <v>45110.549884259257</v>
      </c>
      <c r="Q1142" s="77" t="s">
        <v>3064</v>
      </c>
      <c r="R1142" s="77">
        <v>0</v>
      </c>
      <c r="S1142" s="77">
        <v>0</v>
      </c>
      <c r="T1142" s="77">
        <v>0</v>
      </c>
      <c r="U1142" s="77">
        <v>0</v>
      </c>
      <c r="V1142" s="77">
        <v>199</v>
      </c>
      <c r="W1142" s="80" t="s">
        <v>5884</v>
      </c>
      <c r="X1142" s="83" t="str">
        <f>HYPERLINK("https://tinyurl.com/aneymdcp")</f>
        <v>https://tinyurl.com/aneymdcp</v>
      </c>
      <c r="Y1142" s="77" t="s">
        <v>8670</v>
      </c>
      <c r="Z1142" s="77"/>
      <c r="AA1142" s="77" t="s">
        <v>9410</v>
      </c>
      <c r="AB1142" s="77" t="s">
        <v>10535</v>
      </c>
      <c r="AC1142" s="80" t="s">
        <v>10551</v>
      </c>
      <c r="AD1142" s="77" t="s">
        <v>10620</v>
      </c>
      <c r="AE1142" s="83" t="str">
        <f>HYPERLINK("https://twitter.com/elmomercados/status/1675854866634231808")</f>
        <v>https://twitter.com/elmomercados/status/1675854866634231808</v>
      </c>
      <c r="AF1142" s="79">
        <v>45110.549884259257</v>
      </c>
      <c r="AG1142" s="85">
        <v>45110</v>
      </c>
      <c r="AH1142" s="80" t="s">
        <v>11627</v>
      </c>
      <c r="AI1142" s="77" t="b">
        <v>0</v>
      </c>
      <c r="AJ1142" s="77"/>
      <c r="AK1142" s="77"/>
      <c r="AL1142" s="77"/>
      <c r="AM1142" s="77"/>
      <c r="AN1142" s="77"/>
      <c r="AO1142" s="77"/>
      <c r="AP1142" s="77"/>
      <c r="AQ1142" s="77" t="s">
        <v>14892</v>
      </c>
      <c r="AR1142" s="77"/>
      <c r="AS1142" s="77"/>
      <c r="AT1142" s="77"/>
      <c r="AU1142" s="77"/>
      <c r="AV1142" s="83" t="str">
        <f>HYPERLINK("https://pbs.twimg.com/media/F0HVHf8XwAAtTiQ.jpg")</f>
        <v>https://pbs.twimg.com/media/F0HVHf8XwAAtTiQ.jpg</v>
      </c>
      <c r="AW1142" s="80" t="s">
        <v>17030</v>
      </c>
      <c r="AX1142" s="80" t="s">
        <v>17030</v>
      </c>
      <c r="AY1142" s="77"/>
      <c r="AZ1142" s="80" t="s">
        <v>20380</v>
      </c>
      <c r="BA1142" s="80" t="s">
        <v>20380</v>
      </c>
      <c r="BB1142" s="80" t="s">
        <v>20380</v>
      </c>
      <c r="BC1142" s="80" t="s">
        <v>17030</v>
      </c>
      <c r="BD1142" s="77">
        <v>376989408</v>
      </c>
      <c r="BE1142" s="77"/>
      <c r="BF1142" s="77"/>
      <c r="BG1142" s="77"/>
      <c r="BH1142" s="77"/>
      <c r="BI1142" s="77"/>
    </row>
    <row r="1143" spans="1:61" x14ac:dyDescent="0.25">
      <c r="A1143" s="62" t="s">
        <v>664</v>
      </c>
      <c r="B1143" s="62" t="s">
        <v>664</v>
      </c>
      <c r="C1143" s="63"/>
      <c r="D1143" s="64"/>
      <c r="E1143" s="65"/>
      <c r="F1143" s="66"/>
      <c r="G1143" s="63"/>
      <c r="H1143" s="67"/>
      <c r="I1143" s="68"/>
      <c r="J1143" s="68"/>
      <c r="K1143" s="32"/>
      <c r="L1143" s="75">
        <v>1143</v>
      </c>
      <c r="M1143" s="75"/>
      <c r="N1143" s="70"/>
      <c r="O1143" s="77" t="s">
        <v>179</v>
      </c>
      <c r="P1143" s="79">
        <v>45064.702384259261</v>
      </c>
      <c r="Q1143" s="77" t="s">
        <v>3065</v>
      </c>
      <c r="R1143" s="77">
        <v>0</v>
      </c>
      <c r="S1143" s="77">
        <v>0</v>
      </c>
      <c r="T1143" s="77">
        <v>0</v>
      </c>
      <c r="U1143" s="77">
        <v>0</v>
      </c>
      <c r="V1143" s="77">
        <v>188</v>
      </c>
      <c r="W1143" s="80" t="s">
        <v>6694</v>
      </c>
      <c r="X1143" s="83" t="str">
        <f>HYPERLINK("http://bit.ly/43cVbHL")</f>
        <v>http://bit.ly/43cVbHL</v>
      </c>
      <c r="Y1143" s="77" t="s">
        <v>8618</v>
      </c>
      <c r="Z1143" s="77"/>
      <c r="AA1143" s="77" t="s">
        <v>9411</v>
      </c>
      <c r="AB1143" s="77" t="s">
        <v>10535</v>
      </c>
      <c r="AC1143" s="80" t="s">
        <v>10551</v>
      </c>
      <c r="AD1143" s="77" t="s">
        <v>10620</v>
      </c>
      <c r="AE1143" s="83" t="str">
        <f>HYPERLINK("https://twitter.com/elmomercados/status/1659240288576061440")</f>
        <v>https://twitter.com/elmomercados/status/1659240288576061440</v>
      </c>
      <c r="AF1143" s="79">
        <v>45064.702384259261</v>
      </c>
      <c r="AG1143" s="85">
        <v>45064</v>
      </c>
      <c r="AH1143" s="80" t="s">
        <v>11628</v>
      </c>
      <c r="AI1143" s="77" t="b">
        <v>0</v>
      </c>
      <c r="AJ1143" s="77"/>
      <c r="AK1143" s="77"/>
      <c r="AL1143" s="77"/>
      <c r="AM1143" s="77"/>
      <c r="AN1143" s="77"/>
      <c r="AO1143" s="77"/>
      <c r="AP1143" s="77"/>
      <c r="AQ1143" s="77" t="s">
        <v>14893</v>
      </c>
      <c r="AR1143" s="77"/>
      <c r="AS1143" s="77"/>
      <c r="AT1143" s="77"/>
      <c r="AU1143" s="77"/>
      <c r="AV1143" s="83" t="str">
        <f>HYPERLINK("https://pbs.twimg.com/media/FwbOPXAXgAA3IO0.jpg")</f>
        <v>https://pbs.twimg.com/media/FwbOPXAXgAA3IO0.jpg</v>
      </c>
      <c r="AW1143" s="80" t="s">
        <v>17031</v>
      </c>
      <c r="AX1143" s="80" t="s">
        <v>17031</v>
      </c>
      <c r="AY1143" s="77"/>
      <c r="AZ1143" s="80" t="s">
        <v>20380</v>
      </c>
      <c r="BA1143" s="80" t="s">
        <v>20380</v>
      </c>
      <c r="BB1143" s="80" t="s">
        <v>20380</v>
      </c>
      <c r="BC1143" s="80" t="s">
        <v>17031</v>
      </c>
      <c r="BD1143" s="77">
        <v>376989408</v>
      </c>
      <c r="BE1143" s="77"/>
      <c r="BF1143" s="77"/>
      <c r="BG1143" s="77"/>
      <c r="BH1143" s="77"/>
      <c r="BI1143" s="77"/>
    </row>
    <row r="1144" spans="1:61" x14ac:dyDescent="0.25">
      <c r="A1144" s="62" t="s">
        <v>665</v>
      </c>
      <c r="B1144" s="62" t="s">
        <v>665</v>
      </c>
      <c r="C1144" s="63"/>
      <c r="D1144" s="64"/>
      <c r="E1144" s="65"/>
      <c r="F1144" s="66"/>
      <c r="G1144" s="63"/>
      <c r="H1144" s="67"/>
      <c r="I1144" s="68"/>
      <c r="J1144" s="68"/>
      <c r="K1144" s="32"/>
      <c r="L1144" s="75">
        <v>1144</v>
      </c>
      <c r="M1144" s="75"/>
      <c r="N1144" s="70"/>
      <c r="O1144" s="77" t="s">
        <v>179</v>
      </c>
      <c r="P1144" s="79">
        <v>45063.676562499997</v>
      </c>
      <c r="Q1144" s="77" t="s">
        <v>3066</v>
      </c>
      <c r="R1144" s="77">
        <v>1</v>
      </c>
      <c r="S1144" s="77">
        <v>0</v>
      </c>
      <c r="T1144" s="77">
        <v>0</v>
      </c>
      <c r="U1144" s="77">
        <v>0</v>
      </c>
      <c r="V1144" s="77">
        <v>65</v>
      </c>
      <c r="W1144" s="80" t="s">
        <v>6695</v>
      </c>
      <c r="X1144" s="83" t="str">
        <f>HYPERLINK("https://br.investing.com/news/stock-market-news/musk-musk-fed-prejudica-empresas-lento-demais-para-cortar-taxas-1115150")</f>
        <v>https://br.investing.com/news/stock-market-news/musk-musk-fed-prejudica-empresas-lento-demais-para-cortar-taxas-1115150</v>
      </c>
      <c r="Y1144" s="77" t="s">
        <v>8720</v>
      </c>
      <c r="Z1144" s="77"/>
      <c r="AA1144" s="77"/>
      <c r="AB1144" s="77"/>
      <c r="AC1144" s="80" t="s">
        <v>10541</v>
      </c>
      <c r="AD1144" s="77" t="s">
        <v>10617</v>
      </c>
      <c r="AE1144" s="83" t="str">
        <f>HYPERLINK("https://twitter.com/olharjus/status/1658868540676472840")</f>
        <v>https://twitter.com/olharjus/status/1658868540676472840</v>
      </c>
      <c r="AF1144" s="79">
        <v>45063.676562499997</v>
      </c>
      <c r="AG1144" s="85">
        <v>45063</v>
      </c>
      <c r="AH1144" s="80" t="s">
        <v>11629</v>
      </c>
      <c r="AI1144" s="77" t="b">
        <v>0</v>
      </c>
      <c r="AJ1144" s="77"/>
      <c r="AK1144" s="77"/>
      <c r="AL1144" s="77"/>
      <c r="AM1144" s="77"/>
      <c r="AN1144" s="77"/>
      <c r="AO1144" s="77"/>
      <c r="AP1144" s="77"/>
      <c r="AQ1144" s="77"/>
      <c r="AR1144" s="77"/>
      <c r="AS1144" s="77"/>
      <c r="AT1144" s="77"/>
      <c r="AU1144" s="77"/>
      <c r="AV1144" s="83" t="str">
        <f>HYPERLINK("https://pbs.twimg.com/profile_images/1698779432159248384/l24_1xzq_normal.jpg")</f>
        <v>https://pbs.twimg.com/profile_images/1698779432159248384/l24_1xzq_normal.jpg</v>
      </c>
      <c r="AW1144" s="80" t="s">
        <v>17032</v>
      </c>
      <c r="AX1144" s="80" t="s">
        <v>17032</v>
      </c>
      <c r="AY1144" s="77"/>
      <c r="AZ1144" s="80" t="s">
        <v>20380</v>
      </c>
      <c r="BA1144" s="80" t="s">
        <v>20380</v>
      </c>
      <c r="BB1144" s="80" t="s">
        <v>20380</v>
      </c>
      <c r="BC1144" s="80" t="s">
        <v>17032</v>
      </c>
      <c r="BD1144" s="77">
        <v>64139935</v>
      </c>
      <c r="BE1144" s="77"/>
      <c r="BF1144" s="77"/>
      <c r="BG1144" s="77"/>
      <c r="BH1144" s="77"/>
      <c r="BI1144" s="77"/>
    </row>
    <row r="1145" spans="1:61" x14ac:dyDescent="0.25">
      <c r="A1145" s="62" t="s">
        <v>666</v>
      </c>
      <c r="B1145" s="62" t="s">
        <v>666</v>
      </c>
      <c r="C1145" s="63"/>
      <c r="D1145" s="64"/>
      <c r="E1145" s="65"/>
      <c r="F1145" s="66"/>
      <c r="G1145" s="63"/>
      <c r="H1145" s="67"/>
      <c r="I1145" s="68"/>
      <c r="J1145" s="68"/>
      <c r="K1145" s="32"/>
      <c r="L1145" s="75">
        <v>1145</v>
      </c>
      <c r="M1145" s="75"/>
      <c r="N1145" s="70"/>
      <c r="O1145" s="77" t="s">
        <v>179</v>
      </c>
      <c r="P1145" s="79">
        <v>45132.728796296295</v>
      </c>
      <c r="Q1145" s="77" t="s">
        <v>3067</v>
      </c>
      <c r="R1145" s="77">
        <v>0</v>
      </c>
      <c r="S1145" s="77">
        <v>0</v>
      </c>
      <c r="T1145" s="77">
        <v>0</v>
      </c>
      <c r="U1145" s="77">
        <v>0</v>
      </c>
      <c r="V1145" s="77">
        <v>60</v>
      </c>
      <c r="W1145" s="80" t="s">
        <v>6696</v>
      </c>
      <c r="X1145" s="83" t="str">
        <f>HYPERLINK("https://mase.lmneuquen.com/dls-suspende-la-modernizacion-un-equipo-las-trabas-las-importaciones-n1043525?utm_medium=Social&amp;utm_source=Twitter#Echobox=1690303926")</f>
        <v>https://mase.lmneuquen.com/dls-suspende-la-modernizacion-un-equipo-las-trabas-las-importaciones-n1043525?utm_medium=Social&amp;utm_source=Twitter#Echobox=1690303926</v>
      </c>
      <c r="Y1145" s="77" t="s">
        <v>8721</v>
      </c>
      <c r="Z1145" s="77"/>
      <c r="AA1145" s="77"/>
      <c r="AB1145" s="77"/>
      <c r="AC1145" s="80" t="s">
        <v>10541</v>
      </c>
      <c r="AD1145" s="77" t="s">
        <v>10620</v>
      </c>
      <c r="AE1145" s="83" t="str">
        <f>HYPERLINK("https://twitter.com/masenergialmn/status/1683892232745623555")</f>
        <v>https://twitter.com/masenergialmn/status/1683892232745623555</v>
      </c>
      <c r="AF1145" s="79">
        <v>45132.728796296295</v>
      </c>
      <c r="AG1145" s="85">
        <v>45132</v>
      </c>
      <c r="AH1145" s="80" t="s">
        <v>11630</v>
      </c>
      <c r="AI1145" s="77" t="b">
        <v>0</v>
      </c>
      <c r="AJ1145" s="77"/>
      <c r="AK1145" s="77"/>
      <c r="AL1145" s="77"/>
      <c r="AM1145" s="77"/>
      <c r="AN1145" s="77"/>
      <c r="AO1145" s="77"/>
      <c r="AP1145" s="77"/>
      <c r="AQ1145" s="77"/>
      <c r="AR1145" s="77"/>
      <c r="AS1145" s="77"/>
      <c r="AT1145" s="77"/>
      <c r="AU1145" s="77"/>
      <c r="AV1145" s="83" t="str">
        <f>HYPERLINK("https://pbs.twimg.com/profile_images/1362106981675335680/1Wl7cSjk_normal.jpg")</f>
        <v>https://pbs.twimg.com/profile_images/1362106981675335680/1Wl7cSjk_normal.jpg</v>
      </c>
      <c r="AW1145" s="80" t="s">
        <v>17033</v>
      </c>
      <c r="AX1145" s="80" t="s">
        <v>17033</v>
      </c>
      <c r="AY1145" s="77"/>
      <c r="AZ1145" s="80" t="s">
        <v>20380</v>
      </c>
      <c r="BA1145" s="80" t="s">
        <v>20380</v>
      </c>
      <c r="BB1145" s="80" t="s">
        <v>20380</v>
      </c>
      <c r="BC1145" s="80" t="s">
        <v>17033</v>
      </c>
      <c r="BD1145" s="80" t="s">
        <v>20709</v>
      </c>
      <c r="BE1145" s="77"/>
      <c r="BF1145" s="77"/>
      <c r="BG1145" s="77"/>
      <c r="BH1145" s="77"/>
      <c r="BI1145" s="77"/>
    </row>
    <row r="1146" spans="1:61" x14ac:dyDescent="0.25">
      <c r="A1146" s="62" t="s">
        <v>667</v>
      </c>
      <c r="B1146" s="62" t="s">
        <v>667</v>
      </c>
      <c r="C1146" s="63"/>
      <c r="D1146" s="64"/>
      <c r="E1146" s="65"/>
      <c r="F1146" s="66"/>
      <c r="G1146" s="63"/>
      <c r="H1146" s="67"/>
      <c r="I1146" s="68"/>
      <c r="J1146" s="68"/>
      <c r="K1146" s="32"/>
      <c r="L1146" s="75">
        <v>1146</v>
      </c>
      <c r="M1146" s="75"/>
      <c r="N1146" s="70"/>
      <c r="O1146" s="77" t="s">
        <v>179</v>
      </c>
      <c r="P1146" s="79">
        <v>45141.805752314816</v>
      </c>
      <c r="Q1146" s="77" t="s">
        <v>3068</v>
      </c>
      <c r="R1146" s="77">
        <v>3</v>
      </c>
      <c r="S1146" s="77">
        <v>5</v>
      </c>
      <c r="T1146" s="77">
        <v>1</v>
      </c>
      <c r="U1146" s="77">
        <v>0</v>
      </c>
      <c r="V1146" s="77">
        <v>216</v>
      </c>
      <c r="W1146" s="80" t="s">
        <v>6697</v>
      </c>
      <c r="X1146" s="77"/>
      <c r="Y1146" s="77"/>
      <c r="Z1146" s="77"/>
      <c r="AA1146" s="77" t="s">
        <v>9412</v>
      </c>
      <c r="AB1146" s="77" t="s">
        <v>10535</v>
      </c>
      <c r="AC1146" s="80" t="s">
        <v>10541</v>
      </c>
      <c r="AD1146" s="77" t="s">
        <v>10620</v>
      </c>
      <c r="AE1146" s="83" t="str">
        <f>HYPERLINK("https://twitter.com/edntvhn/status/1687181614101475329")</f>
        <v>https://twitter.com/edntvhn/status/1687181614101475329</v>
      </c>
      <c r="AF1146" s="79">
        <v>45141.805752314816</v>
      </c>
      <c r="AG1146" s="85">
        <v>45141</v>
      </c>
      <c r="AH1146" s="80" t="s">
        <v>11631</v>
      </c>
      <c r="AI1146" s="77" t="b">
        <v>0</v>
      </c>
      <c r="AJ1146" s="77"/>
      <c r="AK1146" s="77"/>
      <c r="AL1146" s="77"/>
      <c r="AM1146" s="77"/>
      <c r="AN1146" s="77"/>
      <c r="AO1146" s="77"/>
      <c r="AP1146" s="77"/>
      <c r="AQ1146" s="77" t="s">
        <v>14894</v>
      </c>
      <c r="AR1146" s="77"/>
      <c r="AS1146" s="77"/>
      <c r="AT1146" s="77"/>
      <c r="AU1146" s="77"/>
      <c r="AV1146" s="83" t="str">
        <f>HYPERLINK("https://pbs.twimg.com/media/F2oStypWsAAyb4e.jpg")</f>
        <v>https://pbs.twimg.com/media/F2oStypWsAAyb4e.jpg</v>
      </c>
      <c r="AW1146" s="80" t="s">
        <v>17034</v>
      </c>
      <c r="AX1146" s="80" t="s">
        <v>17034</v>
      </c>
      <c r="AY1146" s="77"/>
      <c r="AZ1146" s="80" t="s">
        <v>20380</v>
      </c>
      <c r="BA1146" s="80" t="s">
        <v>20380</v>
      </c>
      <c r="BB1146" s="80" t="s">
        <v>20380</v>
      </c>
      <c r="BC1146" s="80" t="s">
        <v>17034</v>
      </c>
      <c r="BD1146" s="80" t="s">
        <v>20710</v>
      </c>
      <c r="BE1146" s="77"/>
      <c r="BF1146" s="77"/>
      <c r="BG1146" s="77"/>
      <c r="BH1146" s="77"/>
      <c r="BI1146" s="77"/>
    </row>
    <row r="1147" spans="1:61" x14ac:dyDescent="0.25">
      <c r="A1147" s="62" t="s">
        <v>668</v>
      </c>
      <c r="B1147" s="62" t="s">
        <v>668</v>
      </c>
      <c r="C1147" s="63"/>
      <c r="D1147" s="64"/>
      <c r="E1147" s="65"/>
      <c r="F1147" s="66"/>
      <c r="G1147" s="63"/>
      <c r="H1147" s="67"/>
      <c r="I1147" s="68"/>
      <c r="J1147" s="68"/>
      <c r="K1147" s="32"/>
      <c r="L1147" s="75">
        <v>1147</v>
      </c>
      <c r="M1147" s="75"/>
      <c r="N1147" s="70"/>
      <c r="O1147" s="77" t="s">
        <v>179</v>
      </c>
      <c r="P1147" s="79">
        <v>45137.538668981484</v>
      </c>
      <c r="Q1147" s="77" t="s">
        <v>3069</v>
      </c>
      <c r="R1147" s="77">
        <v>0</v>
      </c>
      <c r="S1147" s="77">
        <v>0</v>
      </c>
      <c r="T1147" s="77">
        <v>0</v>
      </c>
      <c r="U1147" s="77">
        <v>0</v>
      </c>
      <c r="V1147" s="77">
        <v>1</v>
      </c>
      <c r="W1147" s="80" t="s">
        <v>6698</v>
      </c>
      <c r="X1147" s="77"/>
      <c r="Y1147" s="77"/>
      <c r="Z1147" s="77"/>
      <c r="AA1147" s="77"/>
      <c r="AB1147" s="77"/>
      <c r="AC1147" s="80" t="s">
        <v>10541</v>
      </c>
      <c r="AD1147" s="77" t="s">
        <v>10618</v>
      </c>
      <c r="AE1147" s="83" t="str">
        <f>HYPERLINK("https://twitter.com/psicoanereuda/status/1685635272111755265")</f>
        <v>https://twitter.com/psicoanereuda/status/1685635272111755265</v>
      </c>
      <c r="AF1147" s="79">
        <v>45137.538668981484</v>
      </c>
      <c r="AG1147" s="85">
        <v>45137</v>
      </c>
      <c r="AH1147" s="80" t="s">
        <v>11632</v>
      </c>
      <c r="AI1147" s="77"/>
      <c r="AJ1147" s="77"/>
      <c r="AK1147" s="77"/>
      <c r="AL1147" s="77"/>
      <c r="AM1147" s="77"/>
      <c r="AN1147" s="77"/>
      <c r="AO1147" s="77"/>
      <c r="AP1147" s="77"/>
      <c r="AQ1147" s="77"/>
      <c r="AR1147" s="77"/>
      <c r="AS1147" s="77"/>
      <c r="AT1147" s="77"/>
      <c r="AU1147" s="77"/>
      <c r="AV1147" s="83" t="str">
        <f>HYPERLINK("https://pbs.twimg.com/profile_images/1610966493453340673/291LBtTV_normal.jpg")</f>
        <v>https://pbs.twimg.com/profile_images/1610966493453340673/291LBtTV_normal.jpg</v>
      </c>
      <c r="AW1147" s="80" t="s">
        <v>17035</v>
      </c>
      <c r="AX1147" s="80" t="s">
        <v>17035</v>
      </c>
      <c r="AY1147" s="77"/>
      <c r="AZ1147" s="80" t="s">
        <v>20380</v>
      </c>
      <c r="BA1147" s="80" t="s">
        <v>20380</v>
      </c>
      <c r="BB1147" s="80" t="s">
        <v>20380</v>
      </c>
      <c r="BC1147" s="80" t="s">
        <v>17035</v>
      </c>
      <c r="BD1147" s="80" t="s">
        <v>20711</v>
      </c>
      <c r="BE1147" s="77"/>
      <c r="BF1147" s="77"/>
      <c r="BG1147" s="77"/>
      <c r="BH1147" s="77"/>
      <c r="BI1147" s="77"/>
    </row>
    <row r="1148" spans="1:61" x14ac:dyDescent="0.25">
      <c r="A1148" s="62" t="s">
        <v>669</v>
      </c>
      <c r="B1148" s="62" t="s">
        <v>669</v>
      </c>
      <c r="C1148" s="63"/>
      <c r="D1148" s="64"/>
      <c r="E1148" s="65"/>
      <c r="F1148" s="66"/>
      <c r="G1148" s="63"/>
      <c r="H1148" s="67"/>
      <c r="I1148" s="68"/>
      <c r="J1148" s="68"/>
      <c r="K1148" s="32"/>
      <c r="L1148" s="75">
        <v>1148</v>
      </c>
      <c r="M1148" s="75"/>
      <c r="N1148" s="70"/>
      <c r="O1148" s="77" t="s">
        <v>179</v>
      </c>
      <c r="P1148" s="79">
        <v>45128.965624999997</v>
      </c>
      <c r="Q1148" s="77" t="s">
        <v>3070</v>
      </c>
      <c r="R1148" s="77">
        <v>0</v>
      </c>
      <c r="S1148" s="77">
        <v>1</v>
      </c>
      <c r="T1148" s="77">
        <v>0</v>
      </c>
      <c r="U1148" s="77">
        <v>0</v>
      </c>
      <c r="V1148" s="77">
        <v>19</v>
      </c>
      <c r="W1148" s="80" t="s">
        <v>6699</v>
      </c>
      <c r="X1148" s="83" t="str">
        <f>HYPERLINK("https://elfederalnoticias.com/el-bcra-cerro-la-semana-con-la-mayor-venta-de-reservas-en-tres-meses/")</f>
        <v>https://elfederalnoticias.com/el-bcra-cerro-la-semana-con-la-mayor-venta-de-reservas-en-tres-meses/</v>
      </c>
      <c r="Y1148" s="77" t="s">
        <v>8722</v>
      </c>
      <c r="Z1148" s="77"/>
      <c r="AA1148" s="77"/>
      <c r="AB1148" s="77"/>
      <c r="AC1148" s="80" t="s">
        <v>10541</v>
      </c>
      <c r="AD1148" s="77" t="s">
        <v>10620</v>
      </c>
      <c r="AE1148" s="83" t="str">
        <f>HYPERLINK("https://twitter.com/hugoroldan69/status/1682528506272514050")</f>
        <v>https://twitter.com/hugoroldan69/status/1682528506272514050</v>
      </c>
      <c r="AF1148" s="79">
        <v>45128.965624999997</v>
      </c>
      <c r="AG1148" s="85">
        <v>45128</v>
      </c>
      <c r="AH1148" s="80" t="s">
        <v>11633</v>
      </c>
      <c r="AI1148" s="77" t="b">
        <v>0</v>
      </c>
      <c r="AJ1148" s="77"/>
      <c r="AK1148" s="77"/>
      <c r="AL1148" s="77"/>
      <c r="AM1148" s="77"/>
      <c r="AN1148" s="77"/>
      <c r="AO1148" s="77"/>
      <c r="AP1148" s="77"/>
      <c r="AQ1148" s="77"/>
      <c r="AR1148" s="77"/>
      <c r="AS1148" s="77"/>
      <c r="AT1148" s="77"/>
      <c r="AU1148" s="77"/>
      <c r="AV1148" s="83" t="str">
        <f>HYPERLINK("https://pbs.twimg.com/profile_images/1357205571397632004/0678sJRN_normal.jpg")</f>
        <v>https://pbs.twimg.com/profile_images/1357205571397632004/0678sJRN_normal.jpg</v>
      </c>
      <c r="AW1148" s="80" t="s">
        <v>17036</v>
      </c>
      <c r="AX1148" s="80" t="s">
        <v>17036</v>
      </c>
      <c r="AY1148" s="77"/>
      <c r="AZ1148" s="80" t="s">
        <v>20380</v>
      </c>
      <c r="BA1148" s="80" t="s">
        <v>20380</v>
      </c>
      <c r="BB1148" s="80" t="s">
        <v>20380</v>
      </c>
      <c r="BC1148" s="80" t="s">
        <v>17036</v>
      </c>
      <c r="BD1148" s="80" t="s">
        <v>20712</v>
      </c>
      <c r="BE1148" s="77"/>
      <c r="BF1148" s="77"/>
      <c r="BG1148" s="77"/>
      <c r="BH1148" s="77"/>
      <c r="BI1148" s="77"/>
    </row>
    <row r="1149" spans="1:61" x14ac:dyDescent="0.25">
      <c r="A1149" s="62" t="s">
        <v>670</v>
      </c>
      <c r="B1149" s="62" t="s">
        <v>670</v>
      </c>
      <c r="C1149" s="63"/>
      <c r="D1149" s="64"/>
      <c r="E1149" s="65"/>
      <c r="F1149" s="66"/>
      <c r="G1149" s="63"/>
      <c r="H1149" s="67"/>
      <c r="I1149" s="68"/>
      <c r="J1149" s="68"/>
      <c r="K1149" s="32"/>
      <c r="L1149" s="75">
        <v>1149</v>
      </c>
      <c r="M1149" s="75"/>
      <c r="N1149" s="70"/>
      <c r="O1149" s="77" t="s">
        <v>179</v>
      </c>
      <c r="P1149" s="79">
        <v>45055.506412037037</v>
      </c>
      <c r="Q1149" s="77" t="s">
        <v>3071</v>
      </c>
      <c r="R1149" s="77">
        <v>144</v>
      </c>
      <c r="S1149" s="77">
        <v>1499</v>
      </c>
      <c r="T1149" s="77">
        <v>34</v>
      </c>
      <c r="U1149" s="77">
        <v>18</v>
      </c>
      <c r="V1149" s="77">
        <v>57815</v>
      </c>
      <c r="W1149" s="77"/>
      <c r="X1149" s="77"/>
      <c r="Y1149" s="77"/>
      <c r="Z1149" s="77"/>
      <c r="AA1149" s="77" t="s">
        <v>9413</v>
      </c>
      <c r="AB1149" s="77" t="s">
        <v>10535</v>
      </c>
      <c r="AC1149" s="80" t="s">
        <v>10540</v>
      </c>
      <c r="AD1149" s="77" t="s">
        <v>10617</v>
      </c>
      <c r="AE1149" s="83" t="str">
        <f>HYPERLINK("https://twitter.com/eupvfaria/status/1655907779557703681")</f>
        <v>https://twitter.com/eupvfaria/status/1655907779557703681</v>
      </c>
      <c r="AF1149" s="79">
        <v>45055.506412037037</v>
      </c>
      <c r="AG1149" s="85">
        <v>45055</v>
      </c>
      <c r="AH1149" s="80" t="s">
        <v>11634</v>
      </c>
      <c r="AI1149" s="77" t="b">
        <v>0</v>
      </c>
      <c r="AJ1149" s="77"/>
      <c r="AK1149" s="77"/>
      <c r="AL1149" s="77"/>
      <c r="AM1149" s="77"/>
      <c r="AN1149" s="77"/>
      <c r="AO1149" s="77"/>
      <c r="AP1149" s="77"/>
      <c r="AQ1149" s="77" t="s">
        <v>14895</v>
      </c>
      <c r="AR1149" s="77"/>
      <c r="AS1149" s="77"/>
      <c r="AT1149" s="77"/>
      <c r="AU1149" s="77"/>
      <c r="AV1149" s="83" t="str">
        <f>HYPERLINK("https://pbs.twimg.com/media/Fvr3WLtXoAM81Hd.jpg")</f>
        <v>https://pbs.twimg.com/media/Fvr3WLtXoAM81Hd.jpg</v>
      </c>
      <c r="AW1149" s="80" t="s">
        <v>17037</v>
      </c>
      <c r="AX1149" s="80" t="s">
        <v>17037</v>
      </c>
      <c r="AY1149" s="77"/>
      <c r="AZ1149" s="80" t="s">
        <v>20380</v>
      </c>
      <c r="BA1149" s="80" t="s">
        <v>20380</v>
      </c>
      <c r="BB1149" s="80" t="s">
        <v>20380</v>
      </c>
      <c r="BC1149" s="80" t="s">
        <v>17037</v>
      </c>
      <c r="BD1149" s="77">
        <v>2192200168</v>
      </c>
      <c r="BE1149" s="77"/>
      <c r="BF1149" s="77"/>
      <c r="BG1149" s="77"/>
      <c r="BH1149" s="77"/>
      <c r="BI1149" s="77"/>
    </row>
    <row r="1150" spans="1:61" x14ac:dyDescent="0.25">
      <c r="A1150" s="62" t="s">
        <v>671</v>
      </c>
      <c r="B1150" s="62" t="s">
        <v>670</v>
      </c>
      <c r="C1150" s="63"/>
      <c r="D1150" s="64"/>
      <c r="E1150" s="65"/>
      <c r="F1150" s="66"/>
      <c r="G1150" s="63"/>
      <c r="H1150" s="67"/>
      <c r="I1150" s="68"/>
      <c r="J1150" s="68"/>
      <c r="K1150" s="32"/>
      <c r="L1150" s="75">
        <v>1150</v>
      </c>
      <c r="M1150" s="75"/>
      <c r="N1150" s="70"/>
      <c r="O1150" s="77" t="s">
        <v>2082</v>
      </c>
      <c r="P1150" s="79">
        <v>45056.086828703701</v>
      </c>
      <c r="Q1150" s="77" t="s">
        <v>3072</v>
      </c>
      <c r="R1150" s="77">
        <v>0</v>
      </c>
      <c r="S1150" s="77">
        <v>0</v>
      </c>
      <c r="T1150" s="77">
        <v>0</v>
      </c>
      <c r="U1150" s="77">
        <v>0</v>
      </c>
      <c r="V1150" s="77">
        <v>16</v>
      </c>
      <c r="W1150" s="80" t="s">
        <v>6700</v>
      </c>
      <c r="X1150" s="77"/>
      <c r="Y1150" s="77"/>
      <c r="Z1150" s="77"/>
      <c r="AA1150" s="77"/>
      <c r="AB1150" s="77"/>
      <c r="AC1150" s="80" t="s">
        <v>10540</v>
      </c>
      <c r="AD1150" s="77" t="s">
        <v>10617</v>
      </c>
      <c r="AE1150" s="83" t="str">
        <f>HYPERLINK("https://twitter.com/dezenov/status/1656118115707547649")</f>
        <v>https://twitter.com/dezenov/status/1656118115707547649</v>
      </c>
      <c r="AF1150" s="79">
        <v>45056.086828703701</v>
      </c>
      <c r="AG1150" s="85">
        <v>45056</v>
      </c>
      <c r="AH1150" s="80" t="s">
        <v>11635</v>
      </c>
      <c r="AI1150" s="77"/>
      <c r="AJ1150" s="77"/>
      <c r="AK1150" s="77"/>
      <c r="AL1150" s="77"/>
      <c r="AM1150" s="77"/>
      <c r="AN1150" s="77"/>
      <c r="AO1150" s="77"/>
      <c r="AP1150" s="77"/>
      <c r="AQ1150" s="77"/>
      <c r="AR1150" s="77"/>
      <c r="AS1150" s="77"/>
      <c r="AT1150" s="77"/>
      <c r="AU1150" s="77"/>
      <c r="AV1150" s="83" t="str">
        <f>HYPERLINK("https://pbs.twimg.com/profile_images/1643581489445994496/0M_hVxip_normal.jpg")</f>
        <v>https://pbs.twimg.com/profile_images/1643581489445994496/0M_hVxip_normal.jpg</v>
      </c>
      <c r="AW1150" s="80" t="s">
        <v>17038</v>
      </c>
      <c r="AX1150" s="80" t="s">
        <v>17038</v>
      </c>
      <c r="AY1150" s="77"/>
      <c r="AZ1150" s="80" t="s">
        <v>20380</v>
      </c>
      <c r="BA1150" s="80" t="s">
        <v>17037</v>
      </c>
      <c r="BB1150" s="80" t="s">
        <v>20380</v>
      </c>
      <c r="BC1150" s="80" t="s">
        <v>17037</v>
      </c>
      <c r="BD1150" s="77">
        <v>56488485</v>
      </c>
      <c r="BE1150" s="77"/>
      <c r="BF1150" s="77"/>
      <c r="BG1150" s="77"/>
      <c r="BH1150" s="77"/>
      <c r="BI1150" s="77"/>
    </row>
    <row r="1151" spans="1:61" x14ac:dyDescent="0.25">
      <c r="A1151" s="62" t="s">
        <v>672</v>
      </c>
      <c r="B1151" s="62" t="s">
        <v>1624</v>
      </c>
      <c r="C1151" s="63"/>
      <c r="D1151" s="64"/>
      <c r="E1151" s="65"/>
      <c r="F1151" s="66"/>
      <c r="G1151" s="63"/>
      <c r="H1151" s="67"/>
      <c r="I1151" s="68"/>
      <c r="J1151" s="68"/>
      <c r="K1151" s="32"/>
      <c r="L1151" s="75">
        <v>1151</v>
      </c>
      <c r="M1151" s="75"/>
      <c r="N1151" s="70"/>
      <c r="O1151" s="77" t="s">
        <v>2084</v>
      </c>
      <c r="P1151" s="79">
        <v>45101.682881944442</v>
      </c>
      <c r="Q1151" s="77" t="s">
        <v>3073</v>
      </c>
      <c r="R1151" s="77">
        <v>0</v>
      </c>
      <c r="S1151" s="77">
        <v>0</v>
      </c>
      <c r="T1151" s="77">
        <v>0</v>
      </c>
      <c r="U1151" s="77">
        <v>0</v>
      </c>
      <c r="V1151" s="77">
        <v>5</v>
      </c>
      <c r="W1151" s="80" t="s">
        <v>6701</v>
      </c>
      <c r="X1151" s="77"/>
      <c r="Y1151" s="77"/>
      <c r="Z1151" s="77" t="s">
        <v>1624</v>
      </c>
      <c r="AA1151" s="77"/>
      <c r="AB1151" s="77"/>
      <c r="AC1151" s="80" t="s">
        <v>10542</v>
      </c>
      <c r="AD1151" s="77" t="s">
        <v>10617</v>
      </c>
      <c r="AE1151" s="83" t="str">
        <f>HYPERLINK("https://twitter.com/teresa_nacli/status/1672641572951715840")</f>
        <v>https://twitter.com/teresa_nacli/status/1672641572951715840</v>
      </c>
      <c r="AF1151" s="79">
        <v>45101.682881944442</v>
      </c>
      <c r="AG1151" s="85">
        <v>45101</v>
      </c>
      <c r="AH1151" s="80" t="s">
        <v>11636</v>
      </c>
      <c r="AI1151" s="77"/>
      <c r="AJ1151" s="77"/>
      <c r="AK1151" s="77"/>
      <c r="AL1151" s="77"/>
      <c r="AM1151" s="77"/>
      <c r="AN1151" s="77"/>
      <c r="AO1151" s="77"/>
      <c r="AP1151" s="77"/>
      <c r="AQ1151" s="77"/>
      <c r="AR1151" s="77"/>
      <c r="AS1151" s="77"/>
      <c r="AT1151" s="77"/>
      <c r="AU1151" s="77"/>
      <c r="AV1151" s="83" t="str">
        <f>HYPERLINK("https://pbs.twimg.com/profile_images/1256962587746545670/5qqL5Kd__normal.jpg")</f>
        <v>https://pbs.twimg.com/profile_images/1256962587746545670/5qqL5Kd__normal.jpg</v>
      </c>
      <c r="AW1151" s="80" t="s">
        <v>17039</v>
      </c>
      <c r="AX1151" s="80" t="s">
        <v>17039</v>
      </c>
      <c r="AY1151" s="77"/>
      <c r="AZ1151" s="80" t="s">
        <v>20380</v>
      </c>
      <c r="BA1151" s="80" t="s">
        <v>18980</v>
      </c>
      <c r="BB1151" s="80" t="s">
        <v>20380</v>
      </c>
      <c r="BC1151" s="80" t="s">
        <v>18980</v>
      </c>
      <c r="BD1151" s="77">
        <v>24392800</v>
      </c>
      <c r="BE1151" s="77"/>
      <c r="BF1151" s="77"/>
      <c r="BG1151" s="77"/>
      <c r="BH1151" s="77"/>
      <c r="BI1151" s="77"/>
    </row>
    <row r="1152" spans="1:61" x14ac:dyDescent="0.25">
      <c r="A1152" s="62" t="s">
        <v>672</v>
      </c>
      <c r="B1152" s="62" t="s">
        <v>1294</v>
      </c>
      <c r="C1152" s="63"/>
      <c r="D1152" s="64"/>
      <c r="E1152" s="65"/>
      <c r="F1152" s="66"/>
      <c r="G1152" s="63"/>
      <c r="H1152" s="67"/>
      <c r="I1152" s="68"/>
      <c r="J1152" s="68"/>
      <c r="K1152" s="32"/>
      <c r="L1152" s="75">
        <v>1152</v>
      </c>
      <c r="M1152" s="75"/>
      <c r="N1152" s="70"/>
      <c r="O1152" s="77" t="s">
        <v>2082</v>
      </c>
      <c r="P1152" s="79">
        <v>45101.682881944442</v>
      </c>
      <c r="Q1152" s="77" t="s">
        <v>3073</v>
      </c>
      <c r="R1152" s="77">
        <v>0</v>
      </c>
      <c r="S1152" s="77">
        <v>0</v>
      </c>
      <c r="T1152" s="77">
        <v>0</v>
      </c>
      <c r="U1152" s="77">
        <v>0</v>
      </c>
      <c r="V1152" s="77">
        <v>5</v>
      </c>
      <c r="W1152" s="80" t="s">
        <v>6701</v>
      </c>
      <c r="X1152" s="77"/>
      <c r="Y1152" s="77"/>
      <c r="Z1152" s="77" t="s">
        <v>1624</v>
      </c>
      <c r="AA1152" s="77"/>
      <c r="AB1152" s="77"/>
      <c r="AC1152" s="80" t="s">
        <v>10542</v>
      </c>
      <c r="AD1152" s="77" t="s">
        <v>10617</v>
      </c>
      <c r="AE1152" s="83" t="str">
        <f>HYPERLINK("https://twitter.com/teresa_nacli/status/1672641572951715840")</f>
        <v>https://twitter.com/teresa_nacli/status/1672641572951715840</v>
      </c>
      <c r="AF1152" s="79">
        <v>45101.682881944442</v>
      </c>
      <c r="AG1152" s="85">
        <v>45101</v>
      </c>
      <c r="AH1152" s="80" t="s">
        <v>11636</v>
      </c>
      <c r="AI1152" s="77"/>
      <c r="AJ1152" s="77"/>
      <c r="AK1152" s="77"/>
      <c r="AL1152" s="77"/>
      <c r="AM1152" s="77"/>
      <c r="AN1152" s="77"/>
      <c r="AO1152" s="77"/>
      <c r="AP1152" s="77"/>
      <c r="AQ1152" s="77"/>
      <c r="AR1152" s="77"/>
      <c r="AS1152" s="77"/>
      <c r="AT1152" s="77"/>
      <c r="AU1152" s="77"/>
      <c r="AV1152" s="83" t="str">
        <f>HYPERLINK("https://pbs.twimg.com/profile_images/1256962587746545670/5qqL5Kd__normal.jpg")</f>
        <v>https://pbs.twimg.com/profile_images/1256962587746545670/5qqL5Kd__normal.jpg</v>
      </c>
      <c r="AW1152" s="80" t="s">
        <v>17039</v>
      </c>
      <c r="AX1152" s="80" t="s">
        <v>17039</v>
      </c>
      <c r="AY1152" s="77"/>
      <c r="AZ1152" s="80" t="s">
        <v>20380</v>
      </c>
      <c r="BA1152" s="80" t="s">
        <v>18980</v>
      </c>
      <c r="BB1152" s="80" t="s">
        <v>20380</v>
      </c>
      <c r="BC1152" s="80" t="s">
        <v>18980</v>
      </c>
      <c r="BD1152" s="77">
        <v>24392800</v>
      </c>
      <c r="BE1152" s="77"/>
      <c r="BF1152" s="77"/>
      <c r="BG1152" s="77"/>
      <c r="BH1152" s="77"/>
      <c r="BI1152" s="77"/>
    </row>
    <row r="1153" spans="1:61" x14ac:dyDescent="0.25">
      <c r="A1153" s="62" t="s">
        <v>672</v>
      </c>
      <c r="B1153" s="62" t="s">
        <v>782</v>
      </c>
      <c r="C1153" s="63"/>
      <c r="D1153" s="64"/>
      <c r="E1153" s="65"/>
      <c r="F1153" s="66"/>
      <c r="G1153" s="63"/>
      <c r="H1153" s="67"/>
      <c r="I1153" s="68"/>
      <c r="J1153" s="68"/>
      <c r="K1153" s="32"/>
      <c r="L1153" s="75">
        <v>1153</v>
      </c>
      <c r="M1153" s="75"/>
      <c r="N1153" s="70"/>
      <c r="O1153" s="77" t="s">
        <v>2081</v>
      </c>
      <c r="P1153" s="79">
        <v>45114.300925925927</v>
      </c>
      <c r="Q1153" s="77" t="s">
        <v>3074</v>
      </c>
      <c r="R1153" s="77">
        <v>0</v>
      </c>
      <c r="S1153" s="77">
        <v>0</v>
      </c>
      <c r="T1153" s="77">
        <v>0</v>
      </c>
      <c r="U1153" s="77">
        <v>0</v>
      </c>
      <c r="V1153" s="77">
        <v>3</v>
      </c>
      <c r="W1153" s="80" t="s">
        <v>5884</v>
      </c>
      <c r="X1153" s="83" t="str">
        <f>HYPERLINK("https://www.otempo.com.br/mobile/economia/banco-pode-executar-divida-tomando-bens-dos-credores-sem-passar-por-justica-1.2982915")</f>
        <v>https://www.otempo.com.br/mobile/economia/banco-pode-executar-divida-tomando-bens-dos-credores-sem-passar-por-justica-1.2982915</v>
      </c>
      <c r="Y1153" s="77" t="s">
        <v>8611</v>
      </c>
      <c r="Z1153" s="77" t="s">
        <v>782</v>
      </c>
      <c r="AA1153" s="77"/>
      <c r="AB1153" s="77"/>
      <c r="AC1153" s="80" t="s">
        <v>10542</v>
      </c>
      <c r="AD1153" s="77" t="s">
        <v>10617</v>
      </c>
      <c r="AE1153" s="83" t="str">
        <f>HYPERLINK("https://twitter.com/teresa_nacli/status/1677214196147138560")</f>
        <v>https://twitter.com/teresa_nacli/status/1677214196147138560</v>
      </c>
      <c r="AF1153" s="79">
        <v>45114.300925925927</v>
      </c>
      <c r="AG1153" s="85">
        <v>45114</v>
      </c>
      <c r="AH1153" s="80" t="s">
        <v>11637</v>
      </c>
      <c r="AI1153" s="77" t="b">
        <v>0</v>
      </c>
      <c r="AJ1153" s="77"/>
      <c r="AK1153" s="77"/>
      <c r="AL1153" s="77"/>
      <c r="AM1153" s="77"/>
      <c r="AN1153" s="77"/>
      <c r="AO1153" s="77"/>
      <c r="AP1153" s="77"/>
      <c r="AQ1153" s="77"/>
      <c r="AR1153" s="77"/>
      <c r="AS1153" s="77"/>
      <c r="AT1153" s="77"/>
      <c r="AU1153" s="77"/>
      <c r="AV1153" s="83" t="str">
        <f>HYPERLINK("https://pbs.twimg.com/profile_images/1256962587746545670/5qqL5Kd__normal.jpg")</f>
        <v>https://pbs.twimg.com/profile_images/1256962587746545670/5qqL5Kd__normal.jpg</v>
      </c>
      <c r="AW1153" s="80" t="s">
        <v>17040</v>
      </c>
      <c r="AX1153" s="80" t="s">
        <v>17040</v>
      </c>
      <c r="AY1153" s="77"/>
      <c r="AZ1153" s="80" t="s">
        <v>20380</v>
      </c>
      <c r="BA1153" s="80" t="s">
        <v>20380</v>
      </c>
      <c r="BB1153" s="80" t="s">
        <v>20380</v>
      </c>
      <c r="BC1153" s="80" t="s">
        <v>17040</v>
      </c>
      <c r="BD1153" s="77">
        <v>24392800</v>
      </c>
      <c r="BE1153" s="77"/>
      <c r="BF1153" s="77"/>
      <c r="BG1153" s="77"/>
      <c r="BH1153" s="77"/>
      <c r="BI1153" s="77"/>
    </row>
    <row r="1154" spans="1:61" x14ac:dyDescent="0.25">
      <c r="A1154" s="62" t="s">
        <v>673</v>
      </c>
      <c r="B1154" s="62" t="s">
        <v>673</v>
      </c>
      <c r="C1154" s="63"/>
      <c r="D1154" s="64"/>
      <c r="E1154" s="65"/>
      <c r="F1154" s="66"/>
      <c r="G1154" s="63"/>
      <c r="H1154" s="67"/>
      <c r="I1154" s="68"/>
      <c r="J1154" s="68"/>
      <c r="K1154" s="32"/>
      <c r="L1154" s="75">
        <v>1154</v>
      </c>
      <c r="M1154" s="75"/>
      <c r="N1154" s="70"/>
      <c r="O1154" s="77" t="s">
        <v>179</v>
      </c>
      <c r="P1154" s="79">
        <v>45052.802349537036</v>
      </c>
      <c r="Q1154" s="77" t="s">
        <v>3075</v>
      </c>
      <c r="R1154" s="77">
        <v>0</v>
      </c>
      <c r="S1154" s="77">
        <v>0</v>
      </c>
      <c r="T1154" s="77">
        <v>0</v>
      </c>
      <c r="U1154" s="77">
        <v>0</v>
      </c>
      <c r="V1154" s="77">
        <v>5</v>
      </c>
      <c r="W1154" s="80" t="s">
        <v>6702</v>
      </c>
      <c r="X1154" s="83" t="str">
        <f>HYPERLINK("https://bit.ly/44yeTPB")</f>
        <v>https://bit.ly/44yeTPB</v>
      </c>
      <c r="Y1154" s="77" t="s">
        <v>8618</v>
      </c>
      <c r="Z1154" s="77"/>
      <c r="AA1154" s="77"/>
      <c r="AB1154" s="77"/>
      <c r="AC1154" s="80" t="s">
        <v>10546</v>
      </c>
      <c r="AD1154" s="77" t="s">
        <v>10617</v>
      </c>
      <c r="AE1154" s="83" t="str">
        <f>HYPERLINK("https://twitter.com/portalspagora/status/1654927860555972609")</f>
        <v>https://twitter.com/portalspagora/status/1654927860555972609</v>
      </c>
      <c r="AF1154" s="79">
        <v>45052.802349537036</v>
      </c>
      <c r="AG1154" s="85">
        <v>45052</v>
      </c>
      <c r="AH1154" s="80" t="s">
        <v>11638</v>
      </c>
      <c r="AI1154" s="77" t="b">
        <v>0</v>
      </c>
      <c r="AJ1154" s="77"/>
      <c r="AK1154" s="77"/>
      <c r="AL1154" s="77"/>
      <c r="AM1154" s="77"/>
      <c r="AN1154" s="77"/>
      <c r="AO1154" s="77"/>
      <c r="AP1154" s="77"/>
      <c r="AQ1154" s="77"/>
      <c r="AR1154" s="77"/>
      <c r="AS1154" s="77"/>
      <c r="AT1154" s="77"/>
      <c r="AU1154" s="77"/>
      <c r="AV1154" s="83" t="str">
        <f>HYPERLINK("https://pbs.twimg.com/profile_images/1632254216398880768/xwTMGBik_normal.jpg")</f>
        <v>https://pbs.twimg.com/profile_images/1632254216398880768/xwTMGBik_normal.jpg</v>
      </c>
      <c r="AW1154" s="80" t="s">
        <v>17041</v>
      </c>
      <c r="AX1154" s="80" t="s">
        <v>17041</v>
      </c>
      <c r="AY1154" s="77"/>
      <c r="AZ1154" s="80" t="s">
        <v>20380</v>
      </c>
      <c r="BA1154" s="80" t="s">
        <v>20380</v>
      </c>
      <c r="BB1154" s="80" t="s">
        <v>20380</v>
      </c>
      <c r="BC1154" s="80" t="s">
        <v>17041</v>
      </c>
      <c r="BD1154" s="80" t="s">
        <v>20713</v>
      </c>
      <c r="BE1154" s="77"/>
      <c r="BF1154" s="77"/>
      <c r="BG1154" s="77"/>
      <c r="BH1154" s="77"/>
      <c r="BI1154" s="77"/>
    </row>
    <row r="1155" spans="1:61" x14ac:dyDescent="0.25">
      <c r="A1155" s="62" t="s">
        <v>673</v>
      </c>
      <c r="B1155" s="62" t="s">
        <v>673</v>
      </c>
      <c r="C1155" s="63"/>
      <c r="D1155" s="64"/>
      <c r="E1155" s="65"/>
      <c r="F1155" s="66"/>
      <c r="G1155" s="63"/>
      <c r="H1155" s="67"/>
      <c r="I1155" s="68"/>
      <c r="J1155" s="68"/>
      <c r="K1155" s="32"/>
      <c r="L1155" s="75">
        <v>1155</v>
      </c>
      <c r="M1155" s="75"/>
      <c r="N1155" s="70"/>
      <c r="O1155" s="77" t="s">
        <v>179</v>
      </c>
      <c r="P1155" s="79">
        <v>45052.802314814813</v>
      </c>
      <c r="Q1155" s="77" t="s">
        <v>3076</v>
      </c>
      <c r="R1155" s="77">
        <v>0</v>
      </c>
      <c r="S1155" s="77">
        <v>0</v>
      </c>
      <c r="T1155" s="77">
        <v>0</v>
      </c>
      <c r="U1155" s="77">
        <v>0</v>
      </c>
      <c r="V1155" s="77">
        <v>5</v>
      </c>
      <c r="W1155" s="80" t="s">
        <v>6703</v>
      </c>
      <c r="X1155" s="83" t="str">
        <f>HYPERLINK("https://bit.ly/3NGf8lG")</f>
        <v>https://bit.ly/3NGf8lG</v>
      </c>
      <c r="Y1155" s="77" t="s">
        <v>8618</v>
      </c>
      <c r="Z1155" s="77"/>
      <c r="AA1155" s="77" t="s">
        <v>9414</v>
      </c>
      <c r="AB1155" s="77" t="s">
        <v>10535</v>
      </c>
      <c r="AC1155" s="80" t="s">
        <v>10579</v>
      </c>
      <c r="AD1155" s="77" t="s">
        <v>10617</v>
      </c>
      <c r="AE1155" s="83" t="str">
        <f>HYPERLINK("https://twitter.com/portalspagora/status/1654927845607579648")</f>
        <v>https://twitter.com/portalspagora/status/1654927845607579648</v>
      </c>
      <c r="AF1155" s="79">
        <v>45052.802314814813</v>
      </c>
      <c r="AG1155" s="85">
        <v>45052</v>
      </c>
      <c r="AH1155" s="80" t="s">
        <v>11639</v>
      </c>
      <c r="AI1155" s="77" t="b">
        <v>0</v>
      </c>
      <c r="AJ1155" s="77"/>
      <c r="AK1155" s="77"/>
      <c r="AL1155" s="77"/>
      <c r="AM1155" s="77"/>
      <c r="AN1155" s="77"/>
      <c r="AO1155" s="77"/>
      <c r="AP1155" s="77"/>
      <c r="AQ1155" s="77" t="s">
        <v>14896</v>
      </c>
      <c r="AR1155" s="77"/>
      <c r="AS1155" s="77"/>
      <c r="AT1155" s="77"/>
      <c r="AU1155" s="77"/>
      <c r="AV1155" s="83" t="str">
        <f>HYPERLINK("https://pbs.twimg.com/media/Fvd8GsAWIAItRLA.jpg")</f>
        <v>https://pbs.twimg.com/media/Fvd8GsAWIAItRLA.jpg</v>
      </c>
      <c r="AW1155" s="80" t="s">
        <v>17042</v>
      </c>
      <c r="AX1155" s="80" t="s">
        <v>17042</v>
      </c>
      <c r="AY1155" s="77"/>
      <c r="AZ1155" s="80" t="s">
        <v>20380</v>
      </c>
      <c r="BA1155" s="80" t="s">
        <v>20380</v>
      </c>
      <c r="BB1155" s="80" t="s">
        <v>20380</v>
      </c>
      <c r="BC1155" s="80" t="s">
        <v>17042</v>
      </c>
      <c r="BD1155" s="80" t="s">
        <v>20713</v>
      </c>
      <c r="BE1155" s="77"/>
      <c r="BF1155" s="77"/>
      <c r="BG1155" s="77"/>
      <c r="BH1155" s="77"/>
      <c r="BI1155" s="77"/>
    </row>
    <row r="1156" spans="1:61" x14ac:dyDescent="0.25">
      <c r="A1156" s="62" t="s">
        <v>673</v>
      </c>
      <c r="B1156" s="62" t="s">
        <v>673</v>
      </c>
      <c r="C1156" s="63"/>
      <c r="D1156" s="64"/>
      <c r="E1156" s="65"/>
      <c r="F1156" s="66"/>
      <c r="G1156" s="63"/>
      <c r="H1156" s="67"/>
      <c r="I1156" s="68"/>
      <c r="J1156" s="68"/>
      <c r="K1156" s="32"/>
      <c r="L1156" s="75">
        <v>1156</v>
      </c>
      <c r="M1156" s="75"/>
      <c r="N1156" s="70"/>
      <c r="O1156" s="77" t="s">
        <v>179</v>
      </c>
      <c r="P1156" s="79">
        <v>45050.191122685188</v>
      </c>
      <c r="Q1156" s="77" t="s">
        <v>3077</v>
      </c>
      <c r="R1156" s="77">
        <v>0</v>
      </c>
      <c r="S1156" s="77">
        <v>0</v>
      </c>
      <c r="T1156" s="77">
        <v>0</v>
      </c>
      <c r="U1156" s="77">
        <v>0</v>
      </c>
      <c r="V1156" s="77">
        <v>22</v>
      </c>
      <c r="W1156" s="80" t="s">
        <v>6704</v>
      </c>
      <c r="X1156" s="83" t="str">
        <f>HYPERLINK("https://bit.ly/3Lubw3v")</f>
        <v>https://bit.ly/3Lubw3v</v>
      </c>
      <c r="Y1156" s="77" t="s">
        <v>8618</v>
      </c>
      <c r="Z1156" s="77"/>
      <c r="AA1156" s="77" t="s">
        <v>9415</v>
      </c>
      <c r="AB1156" s="77" t="s">
        <v>10535</v>
      </c>
      <c r="AC1156" s="80" t="s">
        <v>10579</v>
      </c>
      <c r="AD1156" s="77" t="s">
        <v>10617</v>
      </c>
      <c r="AE1156" s="83" t="str">
        <f>HYPERLINK("https://twitter.com/portalspagora/status/1653981582565289986")</f>
        <v>https://twitter.com/portalspagora/status/1653981582565289986</v>
      </c>
      <c r="AF1156" s="79">
        <v>45050.191122685188</v>
      </c>
      <c r="AG1156" s="85">
        <v>45050</v>
      </c>
      <c r="AH1156" s="80" t="s">
        <v>11640</v>
      </c>
      <c r="AI1156" s="77" t="b">
        <v>0</v>
      </c>
      <c r="AJ1156" s="77"/>
      <c r="AK1156" s="77"/>
      <c r="AL1156" s="77"/>
      <c r="AM1156" s="77"/>
      <c r="AN1156" s="77"/>
      <c r="AO1156" s="77"/>
      <c r="AP1156" s="77"/>
      <c r="AQ1156" s="77" t="s">
        <v>14897</v>
      </c>
      <c r="AR1156" s="77"/>
      <c r="AS1156" s="77"/>
      <c r="AT1156" s="77"/>
      <c r="AU1156" s="77"/>
      <c r="AV1156" s="83" t="str">
        <f>HYPERLINK("https://pbs.twimg.com/media/FvQfe5aXwAAsN1z.jpg")</f>
        <v>https://pbs.twimg.com/media/FvQfe5aXwAAsN1z.jpg</v>
      </c>
      <c r="AW1156" s="80" t="s">
        <v>17043</v>
      </c>
      <c r="AX1156" s="80" t="s">
        <v>17043</v>
      </c>
      <c r="AY1156" s="77"/>
      <c r="AZ1156" s="80" t="s">
        <v>20380</v>
      </c>
      <c r="BA1156" s="80" t="s">
        <v>20380</v>
      </c>
      <c r="BB1156" s="80" t="s">
        <v>20380</v>
      </c>
      <c r="BC1156" s="80" t="s">
        <v>17043</v>
      </c>
      <c r="BD1156" s="80" t="s">
        <v>20713</v>
      </c>
      <c r="BE1156" s="77"/>
      <c r="BF1156" s="77"/>
      <c r="BG1156" s="77"/>
      <c r="BH1156" s="77"/>
      <c r="BI1156" s="77"/>
    </row>
    <row r="1157" spans="1:61" x14ac:dyDescent="0.25">
      <c r="A1157" s="62" t="s">
        <v>674</v>
      </c>
      <c r="B1157" s="62" t="s">
        <v>674</v>
      </c>
      <c r="C1157" s="63"/>
      <c r="D1157" s="64"/>
      <c r="E1157" s="65"/>
      <c r="F1157" s="66"/>
      <c r="G1157" s="63"/>
      <c r="H1157" s="67"/>
      <c r="I1157" s="68"/>
      <c r="J1157" s="68"/>
      <c r="K1157" s="32"/>
      <c r="L1157" s="75">
        <v>1157</v>
      </c>
      <c r="M1157" s="75"/>
      <c r="N1157" s="70"/>
      <c r="O1157" s="77" t="s">
        <v>179</v>
      </c>
      <c r="P1157" s="79">
        <v>45054.808831018519</v>
      </c>
      <c r="Q1157" s="77" t="s">
        <v>3078</v>
      </c>
      <c r="R1157" s="77">
        <v>2</v>
      </c>
      <c r="S1157" s="77">
        <v>3</v>
      </c>
      <c r="T1157" s="77">
        <v>0</v>
      </c>
      <c r="U1157" s="77">
        <v>0</v>
      </c>
      <c r="V1157" s="77">
        <v>229</v>
      </c>
      <c r="W1157" s="80" t="s">
        <v>6705</v>
      </c>
      <c r="X1157" s="83" t="str">
        <f>HYPERLINK("https://open.spotify.com/episode/7F8y4WJ3qQ9gd2OUV2DFSE?si=11dbce940fbc4f07")</f>
        <v>https://open.spotify.com/episode/7F8y4WJ3qQ9gd2OUV2DFSE?si=11dbce940fbc4f07</v>
      </c>
      <c r="Y1157" s="77" t="s">
        <v>8723</v>
      </c>
      <c r="Z1157" s="77"/>
      <c r="AA1157" s="77"/>
      <c r="AB1157" s="77"/>
      <c r="AC1157" s="80" t="s">
        <v>10541</v>
      </c>
      <c r="AD1157" s="77" t="s">
        <v>10617</v>
      </c>
      <c r="AE1157" s="83" t="str">
        <f>HYPERLINK("https://twitter.com/radiogazetaon/status/1655654985747537920")</f>
        <v>https://twitter.com/radiogazetaon/status/1655654985747537920</v>
      </c>
      <c r="AF1157" s="79">
        <v>45054.808831018519</v>
      </c>
      <c r="AG1157" s="85">
        <v>45054</v>
      </c>
      <c r="AH1157" s="80" t="s">
        <v>11641</v>
      </c>
      <c r="AI1157" s="77" t="b">
        <v>0</v>
      </c>
      <c r="AJ1157" s="77"/>
      <c r="AK1157" s="77"/>
      <c r="AL1157" s="77"/>
      <c r="AM1157" s="77"/>
      <c r="AN1157" s="77"/>
      <c r="AO1157" s="77"/>
      <c r="AP1157" s="77"/>
      <c r="AQ1157" s="77"/>
      <c r="AR1157" s="77"/>
      <c r="AS1157" s="77"/>
      <c r="AT1157" s="77"/>
      <c r="AU1157" s="77"/>
      <c r="AV1157" s="83" t="str">
        <f>HYPERLINK("https://pbs.twimg.com/profile_images/1145370411934375939/BA-4arFe_normal.png")</f>
        <v>https://pbs.twimg.com/profile_images/1145370411934375939/BA-4arFe_normal.png</v>
      </c>
      <c r="AW1157" s="80" t="s">
        <v>17044</v>
      </c>
      <c r="AX1157" s="80" t="s">
        <v>17044</v>
      </c>
      <c r="AY1157" s="77"/>
      <c r="AZ1157" s="80" t="s">
        <v>20380</v>
      </c>
      <c r="BA1157" s="80" t="s">
        <v>20380</v>
      </c>
      <c r="BB1157" s="80" t="s">
        <v>20380</v>
      </c>
      <c r="BC1157" s="80" t="s">
        <v>17044</v>
      </c>
      <c r="BD1157" s="77">
        <v>109305787</v>
      </c>
      <c r="BE1157" s="77"/>
      <c r="BF1157" s="77"/>
      <c r="BG1157" s="77"/>
      <c r="BH1157" s="77"/>
      <c r="BI1157" s="77"/>
    </row>
    <row r="1158" spans="1:61" x14ac:dyDescent="0.25">
      <c r="A1158" s="62" t="s">
        <v>674</v>
      </c>
      <c r="B1158" s="62" t="s">
        <v>674</v>
      </c>
      <c r="C1158" s="63"/>
      <c r="D1158" s="64"/>
      <c r="E1158" s="65"/>
      <c r="F1158" s="66"/>
      <c r="G1158" s="63"/>
      <c r="H1158" s="67"/>
      <c r="I1158" s="68"/>
      <c r="J1158" s="68"/>
      <c r="K1158" s="32"/>
      <c r="L1158" s="75">
        <v>1158</v>
      </c>
      <c r="M1158" s="75"/>
      <c r="N1158" s="70"/>
      <c r="O1158" s="77" t="s">
        <v>179</v>
      </c>
      <c r="P1158" s="79">
        <v>45111.777430555558</v>
      </c>
      <c r="Q1158" s="77" t="s">
        <v>3079</v>
      </c>
      <c r="R1158" s="77">
        <v>0</v>
      </c>
      <c r="S1158" s="77">
        <v>0</v>
      </c>
      <c r="T1158" s="77">
        <v>0</v>
      </c>
      <c r="U1158" s="77">
        <v>0</v>
      </c>
      <c r="V1158" s="77">
        <v>35</v>
      </c>
      <c r="W1158" s="80" t="s">
        <v>6706</v>
      </c>
      <c r="X1158" s="83" t="str">
        <f>HYPERLINK("https://podcasters.spotify.com/pod/show/radiogazetaonline/episodes/Boletim-Rdio-Gazeta-Online-04072023-e26hv48")</f>
        <v>https://podcasters.spotify.com/pod/show/radiogazetaonline/episodes/Boletim-Rdio-Gazeta-Online-04072023-e26hv48</v>
      </c>
      <c r="Y1158" s="77" t="s">
        <v>8723</v>
      </c>
      <c r="Z1158" s="77"/>
      <c r="AA1158" s="77"/>
      <c r="AB1158" s="77"/>
      <c r="AC1158" s="80" t="s">
        <v>10541</v>
      </c>
      <c r="AD1158" s="77" t="s">
        <v>10617</v>
      </c>
      <c r="AE1158" s="83" t="str">
        <f>HYPERLINK("https://twitter.com/radiogazetaon/status/1676299713241313289")</f>
        <v>https://twitter.com/radiogazetaon/status/1676299713241313289</v>
      </c>
      <c r="AF1158" s="79">
        <v>45111.777430555558</v>
      </c>
      <c r="AG1158" s="85">
        <v>45111</v>
      </c>
      <c r="AH1158" s="80" t="s">
        <v>11642</v>
      </c>
      <c r="AI1158" s="77" t="b">
        <v>0</v>
      </c>
      <c r="AJ1158" s="77"/>
      <c r="AK1158" s="77"/>
      <c r="AL1158" s="77"/>
      <c r="AM1158" s="77"/>
      <c r="AN1158" s="77"/>
      <c r="AO1158" s="77"/>
      <c r="AP1158" s="77"/>
      <c r="AQ1158" s="77"/>
      <c r="AR1158" s="77"/>
      <c r="AS1158" s="77"/>
      <c r="AT1158" s="77"/>
      <c r="AU1158" s="77"/>
      <c r="AV1158" s="83" t="str">
        <f>HYPERLINK("https://pbs.twimg.com/profile_images/1145370411934375939/BA-4arFe_normal.png")</f>
        <v>https://pbs.twimg.com/profile_images/1145370411934375939/BA-4arFe_normal.png</v>
      </c>
      <c r="AW1158" s="80" t="s">
        <v>17045</v>
      </c>
      <c r="AX1158" s="80" t="s">
        <v>17045</v>
      </c>
      <c r="AY1158" s="77"/>
      <c r="AZ1158" s="80" t="s">
        <v>20380</v>
      </c>
      <c r="BA1158" s="80" t="s">
        <v>20380</v>
      </c>
      <c r="BB1158" s="80" t="s">
        <v>20380</v>
      </c>
      <c r="BC1158" s="80" t="s">
        <v>17045</v>
      </c>
      <c r="BD1158" s="77">
        <v>109305787</v>
      </c>
      <c r="BE1158" s="77"/>
      <c r="BF1158" s="77"/>
      <c r="BG1158" s="77"/>
      <c r="BH1158" s="77"/>
      <c r="BI1158" s="77"/>
    </row>
    <row r="1159" spans="1:61" x14ac:dyDescent="0.25">
      <c r="A1159" s="62" t="s">
        <v>674</v>
      </c>
      <c r="B1159" s="62" t="s">
        <v>674</v>
      </c>
      <c r="C1159" s="63"/>
      <c r="D1159" s="64"/>
      <c r="E1159" s="65"/>
      <c r="F1159" s="66"/>
      <c r="G1159" s="63"/>
      <c r="H1159" s="67"/>
      <c r="I1159" s="68"/>
      <c r="J1159" s="68"/>
      <c r="K1159" s="32"/>
      <c r="L1159" s="75">
        <v>1159</v>
      </c>
      <c r="M1159" s="75"/>
      <c r="N1159" s="70"/>
      <c r="O1159" s="77" t="s">
        <v>179</v>
      </c>
      <c r="P1159" s="79">
        <v>45146.842418981483</v>
      </c>
      <c r="Q1159" s="77" t="s">
        <v>3080</v>
      </c>
      <c r="R1159" s="77">
        <v>0</v>
      </c>
      <c r="S1159" s="77">
        <v>0</v>
      </c>
      <c r="T1159" s="77">
        <v>0</v>
      </c>
      <c r="U1159" s="77">
        <v>0</v>
      </c>
      <c r="V1159" s="77">
        <v>19</v>
      </c>
      <c r="W1159" s="80" t="s">
        <v>6707</v>
      </c>
      <c r="X1159" s="83" t="str">
        <f>HYPERLINK("http://open.spotify.com/episode/40o6quEinWaGBoQIrUMwTO?si=845ec755cb924d11")</f>
        <v>http://open.spotify.com/episode/40o6quEinWaGBoQIrUMwTO?si=845ec755cb924d11</v>
      </c>
      <c r="Y1159" s="77" t="s">
        <v>8723</v>
      </c>
      <c r="Z1159" s="77"/>
      <c r="AA1159" s="77"/>
      <c r="AB1159" s="77"/>
      <c r="AC1159" s="80" t="s">
        <v>10555</v>
      </c>
      <c r="AD1159" s="77" t="s">
        <v>10617</v>
      </c>
      <c r="AE1159" s="83" t="str">
        <f>HYPERLINK("https://twitter.com/radiogazetaon/status/1689006840808607746")</f>
        <v>https://twitter.com/radiogazetaon/status/1689006840808607746</v>
      </c>
      <c r="AF1159" s="79">
        <v>45146.842418981483</v>
      </c>
      <c r="AG1159" s="85">
        <v>45146</v>
      </c>
      <c r="AH1159" s="80" t="s">
        <v>11643</v>
      </c>
      <c r="AI1159" s="77" t="b">
        <v>0</v>
      </c>
      <c r="AJ1159" s="77"/>
      <c r="AK1159" s="77"/>
      <c r="AL1159" s="77"/>
      <c r="AM1159" s="77"/>
      <c r="AN1159" s="77"/>
      <c r="AO1159" s="77"/>
      <c r="AP1159" s="77"/>
      <c r="AQ1159" s="77"/>
      <c r="AR1159" s="77"/>
      <c r="AS1159" s="77"/>
      <c r="AT1159" s="77"/>
      <c r="AU1159" s="77"/>
      <c r="AV1159" s="83" t="str">
        <f>HYPERLINK("https://pbs.twimg.com/profile_images/1145370411934375939/BA-4arFe_normal.png")</f>
        <v>https://pbs.twimg.com/profile_images/1145370411934375939/BA-4arFe_normal.png</v>
      </c>
      <c r="AW1159" s="80" t="s">
        <v>17046</v>
      </c>
      <c r="AX1159" s="80" t="s">
        <v>17046</v>
      </c>
      <c r="AY1159" s="77"/>
      <c r="AZ1159" s="80" t="s">
        <v>20380</v>
      </c>
      <c r="BA1159" s="80" t="s">
        <v>20380</v>
      </c>
      <c r="BB1159" s="80" t="s">
        <v>20380</v>
      </c>
      <c r="BC1159" s="80" t="s">
        <v>17046</v>
      </c>
      <c r="BD1159" s="77">
        <v>109305787</v>
      </c>
      <c r="BE1159" s="77"/>
      <c r="BF1159" s="77"/>
      <c r="BG1159" s="77"/>
      <c r="BH1159" s="77"/>
      <c r="BI1159" s="77"/>
    </row>
    <row r="1160" spans="1:61" x14ac:dyDescent="0.25">
      <c r="A1160" s="62" t="s">
        <v>675</v>
      </c>
      <c r="B1160" s="62" t="s">
        <v>1582</v>
      </c>
      <c r="C1160" s="63"/>
      <c r="D1160" s="64"/>
      <c r="E1160" s="65"/>
      <c r="F1160" s="66"/>
      <c r="G1160" s="63"/>
      <c r="H1160" s="67"/>
      <c r="I1160" s="68"/>
      <c r="J1160" s="68"/>
      <c r="K1160" s="32"/>
      <c r="L1160" s="75">
        <v>1160</v>
      </c>
      <c r="M1160" s="75"/>
      <c r="N1160" s="70"/>
      <c r="O1160" s="77" t="s">
        <v>2082</v>
      </c>
      <c r="P1160" s="79">
        <v>45107.730740740742</v>
      </c>
      <c r="Q1160" s="77" t="s">
        <v>3081</v>
      </c>
      <c r="R1160" s="77">
        <v>0</v>
      </c>
      <c r="S1160" s="77">
        <v>1</v>
      </c>
      <c r="T1160" s="77">
        <v>0</v>
      </c>
      <c r="U1160" s="77">
        <v>0</v>
      </c>
      <c r="V1160" s="77">
        <v>9</v>
      </c>
      <c r="W1160" s="80" t="s">
        <v>6708</v>
      </c>
      <c r="X1160" s="77"/>
      <c r="Y1160" s="77"/>
      <c r="Z1160" s="77"/>
      <c r="AA1160" s="77"/>
      <c r="AB1160" s="77"/>
      <c r="AC1160" s="80" t="s">
        <v>10541</v>
      </c>
      <c r="AD1160" s="77" t="s">
        <v>10620</v>
      </c>
      <c r="AE1160" s="83" t="str">
        <f>HYPERLINK("https://twitter.com/5mentarium/status/1674833242510462981")</f>
        <v>https://twitter.com/5mentarium/status/1674833242510462981</v>
      </c>
      <c r="AF1160" s="79">
        <v>45107.730740740742</v>
      </c>
      <c r="AG1160" s="85">
        <v>45107</v>
      </c>
      <c r="AH1160" s="80" t="s">
        <v>11644</v>
      </c>
      <c r="AI1160" s="77"/>
      <c r="AJ1160" s="77"/>
      <c r="AK1160" s="77"/>
      <c r="AL1160" s="77"/>
      <c r="AM1160" s="77"/>
      <c r="AN1160" s="77"/>
      <c r="AO1160" s="77"/>
      <c r="AP1160" s="77"/>
      <c r="AQ1160" s="77"/>
      <c r="AR1160" s="77"/>
      <c r="AS1160" s="77"/>
      <c r="AT1160" s="77"/>
      <c r="AU1160" s="77"/>
      <c r="AV1160" s="83" t="str">
        <f>HYPERLINK("https://pbs.twimg.com/profile_images/788072990474928129/WiLIGUc__normal.jpg")</f>
        <v>https://pbs.twimg.com/profile_images/788072990474928129/WiLIGUc__normal.jpg</v>
      </c>
      <c r="AW1160" s="80" t="s">
        <v>17047</v>
      </c>
      <c r="AX1160" s="80" t="s">
        <v>17047</v>
      </c>
      <c r="AY1160" s="77"/>
      <c r="AZ1160" s="80" t="s">
        <v>20380</v>
      </c>
      <c r="BA1160" s="80" t="s">
        <v>19601</v>
      </c>
      <c r="BB1160" s="80" t="s">
        <v>20380</v>
      </c>
      <c r="BC1160" s="80" t="s">
        <v>19601</v>
      </c>
      <c r="BD1160" s="77">
        <v>556018849</v>
      </c>
      <c r="BE1160" s="77"/>
      <c r="BF1160" s="77"/>
      <c r="BG1160" s="77"/>
      <c r="BH1160" s="77"/>
      <c r="BI1160" s="77"/>
    </row>
    <row r="1161" spans="1:61" x14ac:dyDescent="0.25">
      <c r="A1161" s="62" t="s">
        <v>676</v>
      </c>
      <c r="B1161" s="62" t="s">
        <v>676</v>
      </c>
      <c r="C1161" s="63"/>
      <c r="D1161" s="64"/>
      <c r="E1161" s="65"/>
      <c r="F1161" s="66"/>
      <c r="G1161" s="63"/>
      <c r="H1161" s="67"/>
      <c r="I1161" s="68"/>
      <c r="J1161" s="68"/>
      <c r="K1161" s="32"/>
      <c r="L1161" s="75">
        <v>1161</v>
      </c>
      <c r="M1161" s="75"/>
      <c r="N1161" s="70"/>
      <c r="O1161" s="77" t="s">
        <v>179</v>
      </c>
      <c r="P1161" s="79">
        <v>45100.553668981483</v>
      </c>
      <c r="Q1161" s="77" t="s">
        <v>3082</v>
      </c>
      <c r="R1161" s="77">
        <v>0</v>
      </c>
      <c r="S1161" s="77">
        <v>0</v>
      </c>
      <c r="T1161" s="77">
        <v>0</v>
      </c>
      <c r="U1161" s="77">
        <v>0</v>
      </c>
      <c r="V1161" s="77">
        <v>16</v>
      </c>
      <c r="W1161" s="80" t="s">
        <v>6709</v>
      </c>
      <c r="X1161" s="83" t="str">
        <f>HYPERLINK("https://bit.ly/contee220623")</f>
        <v>https://bit.ly/contee220623</v>
      </c>
      <c r="Y1161" s="77" t="s">
        <v>8618</v>
      </c>
      <c r="Z1161" s="77"/>
      <c r="AA1161" s="77" t="s">
        <v>9416</v>
      </c>
      <c r="AB1161" s="77" t="s">
        <v>10535</v>
      </c>
      <c r="AC1161" s="80" t="s">
        <v>10565</v>
      </c>
      <c r="AD1161" s="77" t="s">
        <v>10617</v>
      </c>
      <c r="AE1161" s="83" t="str">
        <f>HYPERLINK("https://twitter.com/sigacontee/status/1672232360513880072")</f>
        <v>https://twitter.com/sigacontee/status/1672232360513880072</v>
      </c>
      <c r="AF1161" s="79">
        <v>45100.553668981483</v>
      </c>
      <c r="AG1161" s="85">
        <v>45100</v>
      </c>
      <c r="AH1161" s="80" t="s">
        <v>11645</v>
      </c>
      <c r="AI1161" s="77" t="b">
        <v>0</v>
      </c>
      <c r="AJ1161" s="77"/>
      <c r="AK1161" s="77"/>
      <c r="AL1161" s="77"/>
      <c r="AM1161" s="77"/>
      <c r="AN1161" s="77"/>
      <c r="AO1161" s="77"/>
      <c r="AP1161" s="77"/>
      <c r="AQ1161" s="77" t="s">
        <v>14898</v>
      </c>
      <c r="AR1161" s="77"/>
      <c r="AS1161" s="77"/>
      <c r="AT1161" s="77"/>
      <c r="AU1161" s="77"/>
      <c r="AV1161" s="83" t="str">
        <f>HYPERLINK("https://pbs.twimg.com/media/FzT2eDkWIAELhQu.jpg")</f>
        <v>https://pbs.twimg.com/media/FzT2eDkWIAELhQu.jpg</v>
      </c>
      <c r="AW1161" s="80" t="s">
        <v>17048</v>
      </c>
      <c r="AX1161" s="80" t="s">
        <v>17048</v>
      </c>
      <c r="AY1161" s="77"/>
      <c r="AZ1161" s="80" t="s">
        <v>20380</v>
      </c>
      <c r="BA1161" s="80" t="s">
        <v>20380</v>
      </c>
      <c r="BB1161" s="80" t="s">
        <v>20380</v>
      </c>
      <c r="BC1161" s="80" t="s">
        <v>17048</v>
      </c>
      <c r="BD1161" s="77">
        <v>61166178</v>
      </c>
      <c r="BE1161" s="77"/>
      <c r="BF1161" s="77"/>
      <c r="BG1161" s="77"/>
      <c r="BH1161" s="77"/>
      <c r="BI1161" s="77"/>
    </row>
    <row r="1162" spans="1:61" x14ac:dyDescent="0.25">
      <c r="A1162" s="62" t="s">
        <v>676</v>
      </c>
      <c r="B1162" s="62" t="s">
        <v>676</v>
      </c>
      <c r="C1162" s="63"/>
      <c r="D1162" s="64"/>
      <c r="E1162" s="65"/>
      <c r="F1162" s="66"/>
      <c r="G1162" s="63"/>
      <c r="H1162" s="67"/>
      <c r="I1162" s="68"/>
      <c r="J1162" s="68"/>
      <c r="K1162" s="32"/>
      <c r="L1162" s="75">
        <v>1162</v>
      </c>
      <c r="M1162" s="75"/>
      <c r="N1162" s="70"/>
      <c r="O1162" s="77" t="s">
        <v>179</v>
      </c>
      <c r="P1162" s="79">
        <v>45105.800844907404</v>
      </c>
      <c r="Q1162" s="77" t="s">
        <v>3083</v>
      </c>
      <c r="R1162" s="77">
        <v>0</v>
      </c>
      <c r="S1162" s="77">
        <v>0</v>
      </c>
      <c r="T1162" s="77">
        <v>0</v>
      </c>
      <c r="U1162" s="77">
        <v>0</v>
      </c>
      <c r="V1162" s="77">
        <v>22</v>
      </c>
      <c r="W1162" s="80" t="s">
        <v>6710</v>
      </c>
      <c r="X1162" s="83" t="str">
        <f>HYPERLINK("https://bit.ly/contee280623")</f>
        <v>https://bit.ly/contee280623</v>
      </c>
      <c r="Y1162" s="77" t="s">
        <v>8618</v>
      </c>
      <c r="Z1162" s="77"/>
      <c r="AA1162" s="77" t="s">
        <v>9417</v>
      </c>
      <c r="AB1162" s="77" t="s">
        <v>10534</v>
      </c>
      <c r="AC1162" s="80" t="s">
        <v>10565</v>
      </c>
      <c r="AD1162" s="77" t="s">
        <v>10617</v>
      </c>
      <c r="AE1162" s="83" t="str">
        <f>HYPERLINK("https://twitter.com/sigacontee/status/1674133870269157387")</f>
        <v>https://twitter.com/sigacontee/status/1674133870269157387</v>
      </c>
      <c r="AF1162" s="79">
        <v>45105.800844907404</v>
      </c>
      <c r="AG1162" s="85">
        <v>45105</v>
      </c>
      <c r="AH1162" s="80" t="s">
        <v>11646</v>
      </c>
      <c r="AI1162" s="77" t="b">
        <v>0</v>
      </c>
      <c r="AJ1162" s="77"/>
      <c r="AK1162" s="77"/>
      <c r="AL1162" s="77"/>
      <c r="AM1162" s="77"/>
      <c r="AN1162" s="77"/>
      <c r="AO1162" s="77"/>
      <c r="AP1162" s="77"/>
      <c r="AQ1162" s="77" t="s">
        <v>14899</v>
      </c>
      <c r="AR1162" s="77">
        <v>15533</v>
      </c>
      <c r="AS1162" s="77"/>
      <c r="AT1162" s="77"/>
      <c r="AU1162" s="77"/>
      <c r="AV1162" s="83" t="str">
        <f>HYPERLINK("https://pbs.twimg.com/ext_tw_video_thumb/1674133825629179915/pu/img/jzMTHCyC-cJ39eiY.jpg")</f>
        <v>https://pbs.twimg.com/ext_tw_video_thumb/1674133825629179915/pu/img/jzMTHCyC-cJ39eiY.jpg</v>
      </c>
      <c r="AW1162" s="80" t="s">
        <v>17049</v>
      </c>
      <c r="AX1162" s="80" t="s">
        <v>17049</v>
      </c>
      <c r="AY1162" s="77"/>
      <c r="AZ1162" s="80" t="s">
        <v>20380</v>
      </c>
      <c r="BA1162" s="80" t="s">
        <v>20380</v>
      </c>
      <c r="BB1162" s="80" t="s">
        <v>20380</v>
      </c>
      <c r="BC1162" s="80" t="s">
        <v>17049</v>
      </c>
      <c r="BD1162" s="77">
        <v>61166178</v>
      </c>
      <c r="BE1162" s="77"/>
      <c r="BF1162" s="77"/>
      <c r="BG1162" s="77"/>
      <c r="BH1162" s="77"/>
      <c r="BI1162" s="77"/>
    </row>
    <row r="1163" spans="1:61" x14ac:dyDescent="0.25">
      <c r="A1163" s="62" t="s">
        <v>676</v>
      </c>
      <c r="B1163" s="62" t="s">
        <v>676</v>
      </c>
      <c r="C1163" s="63"/>
      <c r="D1163" s="64"/>
      <c r="E1163" s="65"/>
      <c r="F1163" s="66"/>
      <c r="G1163" s="63"/>
      <c r="H1163" s="67"/>
      <c r="I1163" s="68"/>
      <c r="J1163" s="68"/>
      <c r="K1163" s="32"/>
      <c r="L1163" s="75">
        <v>1163</v>
      </c>
      <c r="M1163" s="75"/>
      <c r="N1163" s="70"/>
      <c r="O1163" s="77" t="s">
        <v>179</v>
      </c>
      <c r="P1163" s="79">
        <v>45141.59034722222</v>
      </c>
      <c r="Q1163" s="77" t="s">
        <v>3084</v>
      </c>
      <c r="R1163" s="77">
        <v>0</v>
      </c>
      <c r="S1163" s="77">
        <v>0</v>
      </c>
      <c r="T1163" s="77">
        <v>0</v>
      </c>
      <c r="U1163" s="77">
        <v>0</v>
      </c>
      <c r="V1163" s="77">
        <v>14</v>
      </c>
      <c r="W1163" s="80" t="s">
        <v>6711</v>
      </c>
      <c r="X1163" s="83" t="str">
        <f>HYPERLINK("https://bit.ly/contee030823")</f>
        <v>https://bit.ly/contee030823</v>
      </c>
      <c r="Y1163" s="77" t="s">
        <v>8618</v>
      </c>
      <c r="Z1163" s="77"/>
      <c r="AA1163" s="77" t="s">
        <v>9418</v>
      </c>
      <c r="AB1163" s="77" t="s">
        <v>10534</v>
      </c>
      <c r="AC1163" s="80" t="s">
        <v>10565</v>
      </c>
      <c r="AD1163" s="77" t="s">
        <v>10617</v>
      </c>
      <c r="AE1163" s="83" t="str">
        <f>HYPERLINK("https://twitter.com/sigacontee/status/1687103553180160007")</f>
        <v>https://twitter.com/sigacontee/status/1687103553180160007</v>
      </c>
      <c r="AF1163" s="79">
        <v>45141.59034722222</v>
      </c>
      <c r="AG1163" s="85">
        <v>45141</v>
      </c>
      <c r="AH1163" s="80" t="s">
        <v>11647</v>
      </c>
      <c r="AI1163" s="77" t="b">
        <v>0</v>
      </c>
      <c r="AJ1163" s="77"/>
      <c r="AK1163" s="77"/>
      <c r="AL1163" s="77"/>
      <c r="AM1163" s="77"/>
      <c r="AN1163" s="77"/>
      <c r="AO1163" s="77"/>
      <c r="AP1163" s="77"/>
      <c r="AQ1163" s="77" t="s">
        <v>14900</v>
      </c>
      <c r="AR1163" s="77">
        <v>15533</v>
      </c>
      <c r="AS1163" s="77"/>
      <c r="AT1163" s="77"/>
      <c r="AU1163" s="77"/>
      <c r="AV1163" s="83" t="str">
        <f>HYPERLINK("https://pbs.twimg.com/ext_tw_video_thumb/1687103506002685952/pu/img/VWxsIH3ys9LxLwI_.jpg")</f>
        <v>https://pbs.twimg.com/ext_tw_video_thumb/1687103506002685952/pu/img/VWxsIH3ys9LxLwI_.jpg</v>
      </c>
      <c r="AW1163" s="80" t="s">
        <v>17050</v>
      </c>
      <c r="AX1163" s="80" t="s">
        <v>17050</v>
      </c>
      <c r="AY1163" s="77"/>
      <c r="AZ1163" s="80" t="s">
        <v>20380</v>
      </c>
      <c r="BA1163" s="80" t="s">
        <v>20380</v>
      </c>
      <c r="BB1163" s="80" t="s">
        <v>20380</v>
      </c>
      <c r="BC1163" s="80" t="s">
        <v>17050</v>
      </c>
      <c r="BD1163" s="77">
        <v>61166178</v>
      </c>
      <c r="BE1163" s="77"/>
      <c r="BF1163" s="77"/>
      <c r="BG1163" s="77"/>
      <c r="BH1163" s="77"/>
      <c r="BI1163" s="77"/>
    </row>
    <row r="1164" spans="1:61" x14ac:dyDescent="0.25">
      <c r="A1164" s="62" t="s">
        <v>677</v>
      </c>
      <c r="B1164" s="62" t="s">
        <v>677</v>
      </c>
      <c r="C1164" s="63"/>
      <c r="D1164" s="64"/>
      <c r="E1164" s="65"/>
      <c r="F1164" s="66"/>
      <c r="G1164" s="63"/>
      <c r="H1164" s="67"/>
      <c r="I1164" s="68"/>
      <c r="J1164" s="68"/>
      <c r="K1164" s="32"/>
      <c r="L1164" s="75">
        <v>1164</v>
      </c>
      <c r="M1164" s="75"/>
      <c r="N1164" s="70"/>
      <c r="O1164" s="77" t="s">
        <v>179</v>
      </c>
      <c r="P1164" s="79">
        <v>45054.986377314817</v>
      </c>
      <c r="Q1164" s="77" t="s">
        <v>3085</v>
      </c>
      <c r="R1164" s="77">
        <v>2</v>
      </c>
      <c r="S1164" s="77">
        <v>1</v>
      </c>
      <c r="T1164" s="77">
        <v>0</v>
      </c>
      <c r="U1164" s="77">
        <v>0</v>
      </c>
      <c r="V1164" s="77">
        <v>317</v>
      </c>
      <c r="W1164" s="80" t="s">
        <v>6712</v>
      </c>
      <c r="X1164" s="83" t="str">
        <f>HYPERLINK("https://ntelemicro.com/economia-de-rd-fue-la-mas-dinamica-en-dos-ultimas-decadas-en-latinoamerica-segun-bcrd/")</f>
        <v>https://ntelemicro.com/economia-de-rd-fue-la-mas-dinamica-en-dos-ultimas-decadas-en-latinoamerica-segun-bcrd/</v>
      </c>
      <c r="Y1164" s="77" t="s">
        <v>8724</v>
      </c>
      <c r="Z1164" s="77"/>
      <c r="AA1164" s="77"/>
      <c r="AB1164" s="77"/>
      <c r="AC1164" s="80" t="s">
        <v>10541</v>
      </c>
      <c r="AD1164" s="77" t="s">
        <v>10620</v>
      </c>
      <c r="AE1164" s="83" t="str">
        <f>HYPERLINK("https://twitter.com/ntelemicro5/status/1655719324584222721")</f>
        <v>https://twitter.com/ntelemicro5/status/1655719324584222721</v>
      </c>
      <c r="AF1164" s="79">
        <v>45054.986377314817</v>
      </c>
      <c r="AG1164" s="85">
        <v>45054</v>
      </c>
      <c r="AH1164" s="80" t="s">
        <v>11648</v>
      </c>
      <c r="AI1164" s="77" t="b">
        <v>0</v>
      </c>
      <c r="AJ1164" s="77"/>
      <c r="AK1164" s="77"/>
      <c r="AL1164" s="77"/>
      <c r="AM1164" s="77"/>
      <c r="AN1164" s="77"/>
      <c r="AO1164" s="77"/>
      <c r="AP1164" s="77"/>
      <c r="AQ1164" s="77"/>
      <c r="AR1164" s="77"/>
      <c r="AS1164" s="77"/>
      <c r="AT1164" s="77"/>
      <c r="AU1164" s="77"/>
      <c r="AV1164" s="83" t="str">
        <f>HYPERLINK("https://pbs.twimg.com/profile_images/1587264411785388032/XVFeh52V_normal.jpg")</f>
        <v>https://pbs.twimg.com/profile_images/1587264411785388032/XVFeh52V_normal.jpg</v>
      </c>
      <c r="AW1164" s="80" t="s">
        <v>17051</v>
      </c>
      <c r="AX1164" s="80" t="s">
        <v>17051</v>
      </c>
      <c r="AY1164" s="77"/>
      <c r="AZ1164" s="80" t="s">
        <v>20380</v>
      </c>
      <c r="BA1164" s="80" t="s">
        <v>20380</v>
      </c>
      <c r="BB1164" s="80" t="s">
        <v>20380</v>
      </c>
      <c r="BC1164" s="80" t="s">
        <v>17051</v>
      </c>
      <c r="BD1164" s="77">
        <v>112750333</v>
      </c>
      <c r="BE1164" s="77"/>
      <c r="BF1164" s="77"/>
      <c r="BG1164" s="77"/>
      <c r="BH1164" s="77"/>
      <c r="BI1164" s="77"/>
    </row>
    <row r="1165" spans="1:61" x14ac:dyDescent="0.25">
      <c r="A1165" s="62" t="s">
        <v>677</v>
      </c>
      <c r="B1165" s="62" t="s">
        <v>677</v>
      </c>
      <c r="C1165" s="63"/>
      <c r="D1165" s="64"/>
      <c r="E1165" s="65"/>
      <c r="F1165" s="66"/>
      <c r="G1165" s="63"/>
      <c r="H1165" s="67"/>
      <c r="I1165" s="68"/>
      <c r="J1165" s="68"/>
      <c r="K1165" s="32"/>
      <c r="L1165" s="75">
        <v>1165</v>
      </c>
      <c r="M1165" s="75"/>
      <c r="N1165" s="70"/>
      <c r="O1165" s="77" t="s">
        <v>179</v>
      </c>
      <c r="P1165" s="79">
        <v>45090.591909722221</v>
      </c>
      <c r="Q1165" s="77" t="s">
        <v>3086</v>
      </c>
      <c r="R1165" s="77">
        <v>2</v>
      </c>
      <c r="S1165" s="77">
        <v>1</v>
      </c>
      <c r="T1165" s="77">
        <v>0</v>
      </c>
      <c r="U1165" s="77">
        <v>0</v>
      </c>
      <c r="V1165" s="77">
        <v>315</v>
      </c>
      <c r="W1165" s="80" t="s">
        <v>6713</v>
      </c>
      <c r="X1165" s="83" t="str">
        <f>HYPERLINK("https://ntelemicro.com/nueva-papeleta-de-rd500-00-circulara-a-partir-de-este-martes/")</f>
        <v>https://ntelemicro.com/nueva-papeleta-de-rd500-00-circulara-a-partir-de-este-martes/</v>
      </c>
      <c r="Y1165" s="77" t="s">
        <v>8724</v>
      </c>
      <c r="Z1165" s="77"/>
      <c r="AA1165" s="77"/>
      <c r="AB1165" s="77"/>
      <c r="AC1165" s="80" t="s">
        <v>10541</v>
      </c>
      <c r="AD1165" s="77" t="s">
        <v>10620</v>
      </c>
      <c r="AE1165" s="83" t="str">
        <f>HYPERLINK("https://twitter.com/ntelemicro5/status/1668622338257219585")</f>
        <v>https://twitter.com/ntelemicro5/status/1668622338257219585</v>
      </c>
      <c r="AF1165" s="79">
        <v>45090.591909722221</v>
      </c>
      <c r="AG1165" s="85">
        <v>45090</v>
      </c>
      <c r="AH1165" s="80" t="s">
        <v>11649</v>
      </c>
      <c r="AI1165" s="77" t="b">
        <v>0</v>
      </c>
      <c r="AJ1165" s="77"/>
      <c r="AK1165" s="77"/>
      <c r="AL1165" s="77"/>
      <c r="AM1165" s="77"/>
      <c r="AN1165" s="77"/>
      <c r="AO1165" s="77"/>
      <c r="AP1165" s="77"/>
      <c r="AQ1165" s="77"/>
      <c r="AR1165" s="77"/>
      <c r="AS1165" s="77"/>
      <c r="AT1165" s="77"/>
      <c r="AU1165" s="77"/>
      <c r="AV1165" s="83" t="str">
        <f>HYPERLINK("https://pbs.twimg.com/profile_images/1587264411785388032/XVFeh52V_normal.jpg")</f>
        <v>https://pbs.twimg.com/profile_images/1587264411785388032/XVFeh52V_normal.jpg</v>
      </c>
      <c r="AW1165" s="80" t="s">
        <v>17052</v>
      </c>
      <c r="AX1165" s="80" t="s">
        <v>17052</v>
      </c>
      <c r="AY1165" s="77"/>
      <c r="AZ1165" s="80" t="s">
        <v>20380</v>
      </c>
      <c r="BA1165" s="80" t="s">
        <v>20380</v>
      </c>
      <c r="BB1165" s="80" t="s">
        <v>20380</v>
      </c>
      <c r="BC1165" s="80" t="s">
        <v>17052</v>
      </c>
      <c r="BD1165" s="77">
        <v>112750333</v>
      </c>
      <c r="BE1165" s="77"/>
      <c r="BF1165" s="77"/>
      <c r="BG1165" s="77"/>
      <c r="BH1165" s="77"/>
      <c r="BI1165" s="77"/>
    </row>
    <row r="1166" spans="1:61" x14ac:dyDescent="0.25">
      <c r="A1166" s="62" t="s">
        <v>677</v>
      </c>
      <c r="B1166" s="62" t="s">
        <v>1827</v>
      </c>
      <c r="C1166" s="63"/>
      <c r="D1166" s="64"/>
      <c r="E1166" s="65"/>
      <c r="F1166" s="66"/>
      <c r="G1166" s="63"/>
      <c r="H1166" s="67"/>
      <c r="I1166" s="68"/>
      <c r="J1166" s="68"/>
      <c r="K1166" s="32"/>
      <c r="L1166" s="75">
        <v>1166</v>
      </c>
      <c r="M1166" s="75"/>
      <c r="N1166" s="70"/>
      <c r="O1166" s="77" t="s">
        <v>2081</v>
      </c>
      <c r="P1166" s="79">
        <v>45171.153865740744</v>
      </c>
      <c r="Q1166" s="77" t="s">
        <v>3087</v>
      </c>
      <c r="R1166" s="77">
        <v>0</v>
      </c>
      <c r="S1166" s="77">
        <v>0</v>
      </c>
      <c r="T1166" s="77">
        <v>0</v>
      </c>
      <c r="U1166" s="77">
        <v>0</v>
      </c>
      <c r="V1166" s="77">
        <v>224</v>
      </c>
      <c r="W1166" s="80" t="s">
        <v>6714</v>
      </c>
      <c r="X1166" s="83" t="str">
        <f>HYPERLINK("https://youtu.be/jAlRCXnvsUs?feature=shared")</f>
        <v>https://youtu.be/jAlRCXnvsUs?feature=shared</v>
      </c>
      <c r="Y1166" s="77" t="s">
        <v>8635</v>
      </c>
      <c r="Z1166" s="77" t="s">
        <v>1827</v>
      </c>
      <c r="AA1166" s="77"/>
      <c r="AB1166" s="77"/>
      <c r="AC1166" s="80" t="s">
        <v>10541</v>
      </c>
      <c r="AD1166" s="77" t="s">
        <v>10620</v>
      </c>
      <c r="AE1166" s="83" t="str">
        <f>HYPERLINK("https://twitter.com/ntelemicro5/status/1697817012767003108")</f>
        <v>https://twitter.com/ntelemicro5/status/1697817012767003108</v>
      </c>
      <c r="AF1166" s="79">
        <v>45171.153865740744</v>
      </c>
      <c r="AG1166" s="85">
        <v>45171</v>
      </c>
      <c r="AH1166" s="80" t="s">
        <v>11650</v>
      </c>
      <c r="AI1166" s="77" t="b">
        <v>0</v>
      </c>
      <c r="AJ1166" s="77"/>
      <c r="AK1166" s="77"/>
      <c r="AL1166" s="77"/>
      <c r="AM1166" s="77"/>
      <c r="AN1166" s="77"/>
      <c r="AO1166" s="77"/>
      <c r="AP1166" s="77"/>
      <c r="AQ1166" s="77"/>
      <c r="AR1166" s="77"/>
      <c r="AS1166" s="77"/>
      <c r="AT1166" s="77"/>
      <c r="AU1166" s="77"/>
      <c r="AV1166" s="83" t="str">
        <f>HYPERLINK("https://pbs.twimg.com/profile_images/1587264411785388032/XVFeh52V_normal.jpg")</f>
        <v>https://pbs.twimg.com/profile_images/1587264411785388032/XVFeh52V_normal.jpg</v>
      </c>
      <c r="AW1166" s="80" t="s">
        <v>17053</v>
      </c>
      <c r="AX1166" s="80" t="s">
        <v>17053</v>
      </c>
      <c r="AY1166" s="77"/>
      <c r="AZ1166" s="80" t="s">
        <v>20380</v>
      </c>
      <c r="BA1166" s="80" t="s">
        <v>20380</v>
      </c>
      <c r="BB1166" s="80" t="s">
        <v>20380</v>
      </c>
      <c r="BC1166" s="80" t="s">
        <v>17053</v>
      </c>
      <c r="BD1166" s="77">
        <v>112750333</v>
      </c>
      <c r="BE1166" s="77"/>
      <c r="BF1166" s="77"/>
      <c r="BG1166" s="77"/>
      <c r="BH1166" s="77"/>
      <c r="BI1166" s="77"/>
    </row>
    <row r="1167" spans="1:61" x14ac:dyDescent="0.25">
      <c r="A1167" s="62" t="s">
        <v>677</v>
      </c>
      <c r="B1167" s="62" t="s">
        <v>677</v>
      </c>
      <c r="C1167" s="63"/>
      <c r="D1167" s="64"/>
      <c r="E1167" s="65"/>
      <c r="F1167" s="66"/>
      <c r="G1167" s="63"/>
      <c r="H1167" s="67"/>
      <c r="I1167" s="68"/>
      <c r="J1167" s="68"/>
      <c r="K1167" s="32"/>
      <c r="L1167" s="75">
        <v>1167</v>
      </c>
      <c r="M1167" s="75"/>
      <c r="N1167" s="70"/>
      <c r="O1167" s="77" t="s">
        <v>179</v>
      </c>
      <c r="P1167" s="79">
        <v>45113.899178240739</v>
      </c>
      <c r="Q1167" s="77" t="s">
        <v>3088</v>
      </c>
      <c r="R1167" s="77">
        <v>0</v>
      </c>
      <c r="S1167" s="77">
        <v>0</v>
      </c>
      <c r="T1167" s="77">
        <v>0</v>
      </c>
      <c r="U1167" s="77">
        <v>0</v>
      </c>
      <c r="V1167" s="77">
        <v>193</v>
      </c>
      <c r="W1167" s="80" t="s">
        <v>6715</v>
      </c>
      <c r="X1167" s="77"/>
      <c r="Y1167" s="77"/>
      <c r="Z1167" s="77"/>
      <c r="AA1167" s="77"/>
      <c r="AB1167" s="77"/>
      <c r="AC1167" s="80" t="s">
        <v>10541</v>
      </c>
      <c r="AD1167" s="77" t="s">
        <v>10620</v>
      </c>
      <c r="AE1167" s="83" t="str">
        <f>HYPERLINK("https://twitter.com/ntelemicro5/status/1677068610185904128")</f>
        <v>https://twitter.com/ntelemicro5/status/1677068610185904128</v>
      </c>
      <c r="AF1167" s="79">
        <v>45113.899178240739</v>
      </c>
      <c r="AG1167" s="85">
        <v>45113</v>
      </c>
      <c r="AH1167" s="80" t="s">
        <v>11651</v>
      </c>
      <c r="AI1167" s="77"/>
      <c r="AJ1167" s="77"/>
      <c r="AK1167" s="77"/>
      <c r="AL1167" s="77"/>
      <c r="AM1167" s="77"/>
      <c r="AN1167" s="77"/>
      <c r="AO1167" s="77"/>
      <c r="AP1167" s="77"/>
      <c r="AQ1167" s="77"/>
      <c r="AR1167" s="77"/>
      <c r="AS1167" s="77"/>
      <c r="AT1167" s="77"/>
      <c r="AU1167" s="77"/>
      <c r="AV1167" s="83" t="str">
        <f>HYPERLINK("https://pbs.twimg.com/profile_images/1587264411785388032/XVFeh52V_normal.jpg")</f>
        <v>https://pbs.twimg.com/profile_images/1587264411785388032/XVFeh52V_normal.jpg</v>
      </c>
      <c r="AW1167" s="80" t="s">
        <v>17054</v>
      </c>
      <c r="AX1167" s="80" t="s">
        <v>17054</v>
      </c>
      <c r="AY1167" s="77"/>
      <c r="AZ1167" s="80" t="s">
        <v>20380</v>
      </c>
      <c r="BA1167" s="80" t="s">
        <v>20380</v>
      </c>
      <c r="BB1167" s="80" t="s">
        <v>20380</v>
      </c>
      <c r="BC1167" s="80" t="s">
        <v>17054</v>
      </c>
      <c r="BD1167" s="77">
        <v>112750333</v>
      </c>
      <c r="BE1167" s="77"/>
      <c r="BF1167" s="77"/>
      <c r="BG1167" s="77"/>
      <c r="BH1167" s="77"/>
      <c r="BI1167" s="77"/>
    </row>
    <row r="1168" spans="1:61" x14ac:dyDescent="0.25">
      <c r="A1168" s="62" t="s">
        <v>677</v>
      </c>
      <c r="B1168" s="62" t="s">
        <v>677</v>
      </c>
      <c r="C1168" s="63"/>
      <c r="D1168" s="64"/>
      <c r="E1168" s="65"/>
      <c r="F1168" s="66"/>
      <c r="G1168" s="63"/>
      <c r="H1168" s="67"/>
      <c r="I1168" s="68"/>
      <c r="J1168" s="68"/>
      <c r="K1168" s="32"/>
      <c r="L1168" s="75">
        <v>1168</v>
      </c>
      <c r="M1168" s="75"/>
      <c r="N1168" s="70"/>
      <c r="O1168" s="77" t="s">
        <v>179</v>
      </c>
      <c r="P1168" s="79">
        <v>45167.015474537038</v>
      </c>
      <c r="Q1168" s="77" t="s">
        <v>3089</v>
      </c>
      <c r="R1168" s="77">
        <v>0</v>
      </c>
      <c r="S1168" s="77">
        <v>0</v>
      </c>
      <c r="T1168" s="77">
        <v>0</v>
      </c>
      <c r="U1168" s="77">
        <v>0</v>
      </c>
      <c r="V1168" s="77">
        <v>216</v>
      </c>
      <c r="W1168" s="80" t="s">
        <v>6716</v>
      </c>
      <c r="X1168" s="83" t="str">
        <f>HYPERLINK("https://ntelemicro.com/la-actividad-economica-de-republica-dominicana-crece-un-14-en-el-periodo-enero-julio")</f>
        <v>https://ntelemicro.com/la-actividad-economica-de-republica-dominicana-crece-un-14-en-el-periodo-enero-julio</v>
      </c>
      <c r="Y1168" s="77" t="s">
        <v>8724</v>
      </c>
      <c r="Z1168" s="77"/>
      <c r="AA1168" s="77"/>
      <c r="AB1168" s="77"/>
      <c r="AC1168" s="80" t="s">
        <v>10541</v>
      </c>
      <c r="AD1168" s="77" t="s">
        <v>10620</v>
      </c>
      <c r="AE1168" s="83" t="str">
        <f>HYPERLINK("https://twitter.com/ntelemicro5/status/1696317309420253345")</f>
        <v>https://twitter.com/ntelemicro5/status/1696317309420253345</v>
      </c>
      <c r="AF1168" s="79">
        <v>45167.015474537038</v>
      </c>
      <c r="AG1168" s="85">
        <v>45167</v>
      </c>
      <c r="AH1168" s="80" t="s">
        <v>11652</v>
      </c>
      <c r="AI1168" s="77" t="b">
        <v>0</v>
      </c>
      <c r="AJ1168" s="77"/>
      <c r="AK1168" s="77"/>
      <c r="AL1168" s="77"/>
      <c r="AM1168" s="77"/>
      <c r="AN1168" s="77"/>
      <c r="AO1168" s="77"/>
      <c r="AP1168" s="77"/>
      <c r="AQ1168" s="77"/>
      <c r="AR1168" s="77"/>
      <c r="AS1168" s="77"/>
      <c r="AT1168" s="77"/>
      <c r="AU1168" s="77"/>
      <c r="AV1168" s="83" t="str">
        <f>HYPERLINK("https://pbs.twimg.com/profile_images/1587264411785388032/XVFeh52V_normal.jpg")</f>
        <v>https://pbs.twimg.com/profile_images/1587264411785388032/XVFeh52V_normal.jpg</v>
      </c>
      <c r="AW1168" s="80" t="s">
        <v>17055</v>
      </c>
      <c r="AX1168" s="80" t="s">
        <v>17055</v>
      </c>
      <c r="AY1168" s="77"/>
      <c r="AZ1168" s="80" t="s">
        <v>20380</v>
      </c>
      <c r="BA1168" s="80" t="s">
        <v>20380</v>
      </c>
      <c r="BB1168" s="80" t="s">
        <v>20380</v>
      </c>
      <c r="BC1168" s="80" t="s">
        <v>17055</v>
      </c>
      <c r="BD1168" s="77">
        <v>112750333</v>
      </c>
      <c r="BE1168" s="77"/>
      <c r="BF1168" s="77"/>
      <c r="BG1168" s="77"/>
      <c r="BH1168" s="77"/>
      <c r="BI1168" s="77"/>
    </row>
    <row r="1169" spans="1:61" x14ac:dyDescent="0.25">
      <c r="A1169" s="62" t="s">
        <v>677</v>
      </c>
      <c r="B1169" s="62" t="s">
        <v>677</v>
      </c>
      <c r="C1169" s="63"/>
      <c r="D1169" s="64"/>
      <c r="E1169" s="65"/>
      <c r="F1169" s="66"/>
      <c r="G1169" s="63"/>
      <c r="H1169" s="67"/>
      <c r="I1169" s="68"/>
      <c r="J1169" s="68"/>
      <c r="K1169" s="32"/>
      <c r="L1169" s="75">
        <v>1169</v>
      </c>
      <c r="M1169" s="75"/>
      <c r="N1169" s="70"/>
      <c r="O1169" s="77" t="s">
        <v>179</v>
      </c>
      <c r="P1169" s="79">
        <v>45138.996944444443</v>
      </c>
      <c r="Q1169" s="77" t="s">
        <v>3090</v>
      </c>
      <c r="R1169" s="77">
        <v>0</v>
      </c>
      <c r="S1169" s="77">
        <v>10</v>
      </c>
      <c r="T1169" s="77">
        <v>0</v>
      </c>
      <c r="U1169" s="77">
        <v>0</v>
      </c>
      <c r="V1169" s="77">
        <v>314</v>
      </c>
      <c r="W1169" s="80" t="s">
        <v>6717</v>
      </c>
      <c r="X1169" s="83" t="str">
        <f>HYPERLINK("https://ntelemicro.com/banco-central-mantiene-tasa-de-interes-en-7-75-anual-para-afrontar-incertidumbre-internacional")</f>
        <v>https://ntelemicro.com/banco-central-mantiene-tasa-de-interes-en-7-75-anual-para-afrontar-incertidumbre-internacional</v>
      </c>
      <c r="Y1169" s="77" t="s">
        <v>8724</v>
      </c>
      <c r="Z1169" s="77"/>
      <c r="AA1169" s="77"/>
      <c r="AB1169" s="77"/>
      <c r="AC1169" s="80" t="s">
        <v>10541</v>
      </c>
      <c r="AD1169" s="77" t="s">
        <v>10620</v>
      </c>
      <c r="AE1169" s="83" t="str">
        <f>HYPERLINK("https://twitter.com/ntelemicro5/status/1686163735574990849")</f>
        <v>https://twitter.com/ntelemicro5/status/1686163735574990849</v>
      </c>
      <c r="AF1169" s="79">
        <v>45138.996944444443</v>
      </c>
      <c r="AG1169" s="85">
        <v>45138</v>
      </c>
      <c r="AH1169" s="80" t="s">
        <v>11653</v>
      </c>
      <c r="AI1169" s="77" t="b">
        <v>0</v>
      </c>
      <c r="AJ1169" s="77"/>
      <c r="AK1169" s="77"/>
      <c r="AL1169" s="77"/>
      <c r="AM1169" s="77"/>
      <c r="AN1169" s="77"/>
      <c r="AO1169" s="77"/>
      <c r="AP1169" s="77"/>
      <c r="AQ1169" s="77"/>
      <c r="AR1169" s="77"/>
      <c r="AS1169" s="77"/>
      <c r="AT1169" s="77"/>
      <c r="AU1169" s="77"/>
      <c r="AV1169" s="83" t="str">
        <f>HYPERLINK("https://pbs.twimg.com/profile_images/1587264411785388032/XVFeh52V_normal.jpg")</f>
        <v>https://pbs.twimg.com/profile_images/1587264411785388032/XVFeh52V_normal.jpg</v>
      </c>
      <c r="AW1169" s="80" t="s">
        <v>17056</v>
      </c>
      <c r="AX1169" s="80" t="s">
        <v>17056</v>
      </c>
      <c r="AY1169" s="77"/>
      <c r="AZ1169" s="80" t="s">
        <v>20380</v>
      </c>
      <c r="BA1169" s="80" t="s">
        <v>20380</v>
      </c>
      <c r="BB1169" s="80" t="s">
        <v>20380</v>
      </c>
      <c r="BC1169" s="80" t="s">
        <v>17056</v>
      </c>
      <c r="BD1169" s="77">
        <v>112750333</v>
      </c>
      <c r="BE1169" s="77"/>
      <c r="BF1169" s="77"/>
      <c r="BG1169" s="77"/>
      <c r="BH1169" s="77"/>
      <c r="BI1169" s="77"/>
    </row>
    <row r="1170" spans="1:61" x14ac:dyDescent="0.25">
      <c r="A1170" s="62" t="s">
        <v>677</v>
      </c>
      <c r="B1170" s="62" t="s">
        <v>677</v>
      </c>
      <c r="C1170" s="63"/>
      <c r="D1170" s="64"/>
      <c r="E1170" s="65"/>
      <c r="F1170" s="66"/>
      <c r="G1170" s="63"/>
      <c r="H1170" s="67"/>
      <c r="I1170" s="68"/>
      <c r="J1170" s="68"/>
      <c r="K1170" s="32"/>
      <c r="L1170" s="75">
        <v>1170</v>
      </c>
      <c r="M1170" s="75"/>
      <c r="N1170" s="70"/>
      <c r="O1170" s="77" t="s">
        <v>179</v>
      </c>
      <c r="P1170" s="79">
        <v>45112.102800925924</v>
      </c>
      <c r="Q1170" s="77" t="s">
        <v>3091</v>
      </c>
      <c r="R1170" s="77">
        <v>0</v>
      </c>
      <c r="S1170" s="77">
        <v>0</v>
      </c>
      <c r="T1170" s="77">
        <v>0</v>
      </c>
      <c r="U1170" s="77">
        <v>0</v>
      </c>
      <c r="V1170" s="77">
        <v>265</v>
      </c>
      <c r="W1170" s="80" t="s">
        <v>6718</v>
      </c>
      <c r="X1170" s="83" t="str">
        <f>HYPERLINK("https://ntelemicro.com/banco-central-pone-en-circulacion-nuevo-billete-de-rd2000/")</f>
        <v>https://ntelemicro.com/banco-central-pone-en-circulacion-nuevo-billete-de-rd2000/</v>
      </c>
      <c r="Y1170" s="77" t="s">
        <v>8724</v>
      </c>
      <c r="Z1170" s="77"/>
      <c r="AA1170" s="77"/>
      <c r="AB1170" s="77"/>
      <c r="AC1170" s="80" t="s">
        <v>10541</v>
      </c>
      <c r="AD1170" s="77" t="s">
        <v>10620</v>
      </c>
      <c r="AE1170" s="83" t="str">
        <f>HYPERLINK("https://twitter.com/ntelemicro5/status/1676417624308174848")</f>
        <v>https://twitter.com/ntelemicro5/status/1676417624308174848</v>
      </c>
      <c r="AF1170" s="79">
        <v>45112.102800925924</v>
      </c>
      <c r="AG1170" s="85">
        <v>45112</v>
      </c>
      <c r="AH1170" s="80" t="s">
        <v>11654</v>
      </c>
      <c r="AI1170" s="77" t="b">
        <v>0</v>
      </c>
      <c r="AJ1170" s="77"/>
      <c r="AK1170" s="77"/>
      <c r="AL1170" s="77"/>
      <c r="AM1170" s="77"/>
      <c r="AN1170" s="77"/>
      <c r="AO1170" s="77"/>
      <c r="AP1170" s="77"/>
      <c r="AQ1170" s="77"/>
      <c r="AR1170" s="77"/>
      <c r="AS1170" s="77"/>
      <c r="AT1170" s="77"/>
      <c r="AU1170" s="77"/>
      <c r="AV1170" s="83" t="str">
        <f>HYPERLINK("https://pbs.twimg.com/profile_images/1587264411785388032/XVFeh52V_normal.jpg")</f>
        <v>https://pbs.twimg.com/profile_images/1587264411785388032/XVFeh52V_normal.jpg</v>
      </c>
      <c r="AW1170" s="80" t="s">
        <v>17057</v>
      </c>
      <c r="AX1170" s="80" t="s">
        <v>17057</v>
      </c>
      <c r="AY1170" s="77"/>
      <c r="AZ1170" s="80" t="s">
        <v>20380</v>
      </c>
      <c r="BA1170" s="80" t="s">
        <v>20380</v>
      </c>
      <c r="BB1170" s="80" t="s">
        <v>20380</v>
      </c>
      <c r="BC1170" s="80" t="s">
        <v>17057</v>
      </c>
      <c r="BD1170" s="77">
        <v>112750333</v>
      </c>
      <c r="BE1170" s="77"/>
      <c r="BF1170" s="77"/>
      <c r="BG1170" s="77"/>
      <c r="BH1170" s="77"/>
      <c r="BI1170" s="77"/>
    </row>
    <row r="1171" spans="1:61" x14ac:dyDescent="0.25">
      <c r="A1171" s="62" t="s">
        <v>677</v>
      </c>
      <c r="B1171" s="62" t="s">
        <v>677</v>
      </c>
      <c r="C1171" s="63"/>
      <c r="D1171" s="64"/>
      <c r="E1171" s="65"/>
      <c r="F1171" s="66"/>
      <c r="G1171" s="63"/>
      <c r="H1171" s="67"/>
      <c r="I1171" s="68"/>
      <c r="J1171" s="68"/>
      <c r="K1171" s="32"/>
      <c r="L1171" s="75">
        <v>1171</v>
      </c>
      <c r="M1171" s="75"/>
      <c r="N1171" s="70"/>
      <c r="O1171" s="77" t="s">
        <v>179</v>
      </c>
      <c r="P1171" s="79">
        <v>45110.934594907405</v>
      </c>
      <c r="Q1171" s="77" t="s">
        <v>3092</v>
      </c>
      <c r="R1171" s="77">
        <v>1</v>
      </c>
      <c r="S1171" s="77">
        <v>2</v>
      </c>
      <c r="T1171" s="77">
        <v>0</v>
      </c>
      <c r="U1171" s="77">
        <v>4</v>
      </c>
      <c r="V1171" s="77">
        <v>320</v>
      </c>
      <c r="W1171" s="80" t="s">
        <v>6719</v>
      </c>
      <c r="X1171" s="83" t="str">
        <f>HYPERLINK("https://ntelemicro.com/republica-dominicana-reporta-128-627-nuevos-empleos-en-el-primer-trimestre")</f>
        <v>https://ntelemicro.com/republica-dominicana-reporta-128-627-nuevos-empleos-en-el-primer-trimestre</v>
      </c>
      <c r="Y1171" s="77" t="s">
        <v>8724</v>
      </c>
      <c r="Z1171" s="77"/>
      <c r="AA1171" s="77"/>
      <c r="AB1171" s="77"/>
      <c r="AC1171" s="80" t="s">
        <v>10541</v>
      </c>
      <c r="AD1171" s="77" t="s">
        <v>10620</v>
      </c>
      <c r="AE1171" s="83" t="str">
        <f>HYPERLINK("https://twitter.com/ntelemicro5/status/1675994280211410944")</f>
        <v>https://twitter.com/ntelemicro5/status/1675994280211410944</v>
      </c>
      <c r="AF1171" s="79">
        <v>45110.934594907405</v>
      </c>
      <c r="AG1171" s="85">
        <v>45110</v>
      </c>
      <c r="AH1171" s="80" t="s">
        <v>11655</v>
      </c>
      <c r="AI1171" s="77" t="b">
        <v>0</v>
      </c>
      <c r="AJ1171" s="77"/>
      <c r="AK1171" s="77"/>
      <c r="AL1171" s="77"/>
      <c r="AM1171" s="77"/>
      <c r="AN1171" s="77"/>
      <c r="AO1171" s="77"/>
      <c r="AP1171" s="77"/>
      <c r="AQ1171" s="77"/>
      <c r="AR1171" s="77"/>
      <c r="AS1171" s="77"/>
      <c r="AT1171" s="77"/>
      <c r="AU1171" s="77"/>
      <c r="AV1171" s="83" t="str">
        <f>HYPERLINK("https://pbs.twimg.com/profile_images/1587264411785388032/XVFeh52V_normal.jpg")</f>
        <v>https://pbs.twimg.com/profile_images/1587264411785388032/XVFeh52V_normal.jpg</v>
      </c>
      <c r="AW1171" s="80" t="s">
        <v>17058</v>
      </c>
      <c r="AX1171" s="80" t="s">
        <v>17058</v>
      </c>
      <c r="AY1171" s="77"/>
      <c r="AZ1171" s="80" t="s">
        <v>20380</v>
      </c>
      <c r="BA1171" s="80" t="s">
        <v>20380</v>
      </c>
      <c r="BB1171" s="80" t="s">
        <v>20380</v>
      </c>
      <c r="BC1171" s="80" t="s">
        <v>17058</v>
      </c>
      <c r="BD1171" s="77">
        <v>112750333</v>
      </c>
      <c r="BE1171" s="77"/>
      <c r="BF1171" s="77"/>
      <c r="BG1171" s="77"/>
      <c r="BH1171" s="77"/>
      <c r="BI1171" s="77"/>
    </row>
    <row r="1172" spans="1:61" x14ac:dyDescent="0.25">
      <c r="A1172" s="62" t="s">
        <v>677</v>
      </c>
      <c r="B1172" s="62" t="s">
        <v>677</v>
      </c>
      <c r="C1172" s="63"/>
      <c r="D1172" s="64"/>
      <c r="E1172" s="65"/>
      <c r="F1172" s="66"/>
      <c r="G1172" s="63"/>
      <c r="H1172" s="67"/>
      <c r="I1172" s="68"/>
      <c r="J1172" s="68"/>
      <c r="K1172" s="32"/>
      <c r="L1172" s="75">
        <v>1172</v>
      </c>
      <c r="M1172" s="75"/>
      <c r="N1172" s="70"/>
      <c r="O1172" s="77" t="s">
        <v>179</v>
      </c>
      <c r="P1172" s="79">
        <v>45169.77888888889</v>
      </c>
      <c r="Q1172" s="77" t="s">
        <v>3093</v>
      </c>
      <c r="R1172" s="77">
        <v>0</v>
      </c>
      <c r="S1172" s="77">
        <v>0</v>
      </c>
      <c r="T1172" s="77">
        <v>0</v>
      </c>
      <c r="U1172" s="77">
        <v>0</v>
      </c>
      <c r="V1172" s="77">
        <v>252</v>
      </c>
      <c r="W1172" s="80" t="s">
        <v>6720</v>
      </c>
      <c r="X1172" s="83" t="str">
        <f>HYPERLINK("https://ntelemicro.com/banco-central-reduce-su-tasa-de-politica-monetaria-en-25-puntos-basicos/")</f>
        <v>https://ntelemicro.com/banco-central-reduce-su-tasa-de-politica-monetaria-en-25-puntos-basicos/</v>
      </c>
      <c r="Y1172" s="77" t="s">
        <v>8724</v>
      </c>
      <c r="Z1172" s="77"/>
      <c r="AA1172" s="77"/>
      <c r="AB1172" s="77"/>
      <c r="AC1172" s="80" t="s">
        <v>10541</v>
      </c>
      <c r="AD1172" s="77" t="s">
        <v>10620</v>
      </c>
      <c r="AE1172" s="83" t="str">
        <f>HYPERLINK("https://twitter.com/ntelemicro5/status/1697318736372371802")</f>
        <v>https://twitter.com/ntelemicro5/status/1697318736372371802</v>
      </c>
      <c r="AF1172" s="79">
        <v>45169.77888888889</v>
      </c>
      <c r="AG1172" s="85">
        <v>45169</v>
      </c>
      <c r="AH1172" s="80" t="s">
        <v>11656</v>
      </c>
      <c r="AI1172" s="77" t="b">
        <v>0</v>
      </c>
      <c r="AJ1172" s="77"/>
      <c r="AK1172" s="77"/>
      <c r="AL1172" s="77"/>
      <c r="AM1172" s="77"/>
      <c r="AN1172" s="77"/>
      <c r="AO1172" s="77"/>
      <c r="AP1172" s="77"/>
      <c r="AQ1172" s="77"/>
      <c r="AR1172" s="77"/>
      <c r="AS1172" s="77"/>
      <c r="AT1172" s="77"/>
      <c r="AU1172" s="77"/>
      <c r="AV1172" s="83" t="str">
        <f>HYPERLINK("https://pbs.twimg.com/profile_images/1587264411785388032/XVFeh52V_normal.jpg")</f>
        <v>https://pbs.twimg.com/profile_images/1587264411785388032/XVFeh52V_normal.jpg</v>
      </c>
      <c r="AW1172" s="80" t="s">
        <v>17059</v>
      </c>
      <c r="AX1172" s="80" t="s">
        <v>17059</v>
      </c>
      <c r="AY1172" s="77"/>
      <c r="AZ1172" s="80" t="s">
        <v>20380</v>
      </c>
      <c r="BA1172" s="80" t="s">
        <v>20380</v>
      </c>
      <c r="BB1172" s="80" t="s">
        <v>20380</v>
      </c>
      <c r="BC1172" s="80" t="s">
        <v>17059</v>
      </c>
      <c r="BD1172" s="77">
        <v>112750333</v>
      </c>
      <c r="BE1172" s="77"/>
      <c r="BF1172" s="77"/>
      <c r="BG1172" s="77"/>
      <c r="BH1172" s="77"/>
      <c r="BI1172" s="77"/>
    </row>
    <row r="1173" spans="1:61" x14ac:dyDescent="0.25">
      <c r="A1173" s="62" t="s">
        <v>677</v>
      </c>
      <c r="B1173" s="62" t="s">
        <v>677</v>
      </c>
      <c r="C1173" s="63"/>
      <c r="D1173" s="64"/>
      <c r="E1173" s="65"/>
      <c r="F1173" s="66"/>
      <c r="G1173" s="63"/>
      <c r="H1173" s="67"/>
      <c r="I1173" s="68"/>
      <c r="J1173" s="68"/>
      <c r="K1173" s="32"/>
      <c r="L1173" s="75">
        <v>1173</v>
      </c>
      <c r="M1173" s="75"/>
      <c r="N1173" s="70"/>
      <c r="O1173" s="77" t="s">
        <v>179</v>
      </c>
      <c r="P1173" s="79">
        <v>45176.927499999998</v>
      </c>
      <c r="Q1173" s="77" t="s">
        <v>3094</v>
      </c>
      <c r="R1173" s="77">
        <v>0</v>
      </c>
      <c r="S1173" s="77">
        <v>1</v>
      </c>
      <c r="T1173" s="77">
        <v>0</v>
      </c>
      <c r="U1173" s="77">
        <v>0</v>
      </c>
      <c r="V1173" s="77">
        <v>197</v>
      </c>
      <c r="W1173" s="80" t="s">
        <v>6721</v>
      </c>
      <c r="X1173" s="77"/>
      <c r="Y1173" s="77"/>
      <c r="Z1173" s="77"/>
      <c r="AA1173" s="77"/>
      <c r="AB1173" s="77"/>
      <c r="AC1173" s="80" t="s">
        <v>10541</v>
      </c>
      <c r="AD1173" s="77" t="s">
        <v>10620</v>
      </c>
      <c r="AE1173" s="83" t="str">
        <f>HYPERLINK("https://twitter.com/ntelemicro5/status/1699909307930681663")</f>
        <v>https://twitter.com/ntelemicro5/status/1699909307930681663</v>
      </c>
      <c r="AF1173" s="79">
        <v>45176.927499999998</v>
      </c>
      <c r="AG1173" s="85">
        <v>45176</v>
      </c>
      <c r="AH1173" s="80" t="s">
        <v>11657</v>
      </c>
      <c r="AI1173" s="77"/>
      <c r="AJ1173" s="77"/>
      <c r="AK1173" s="77"/>
      <c r="AL1173" s="77"/>
      <c r="AM1173" s="77"/>
      <c r="AN1173" s="77"/>
      <c r="AO1173" s="77"/>
      <c r="AP1173" s="77"/>
      <c r="AQ1173" s="77"/>
      <c r="AR1173" s="77"/>
      <c r="AS1173" s="77"/>
      <c r="AT1173" s="77"/>
      <c r="AU1173" s="77"/>
      <c r="AV1173" s="83" t="str">
        <f>HYPERLINK("https://pbs.twimg.com/profile_images/1587264411785388032/XVFeh52V_normal.jpg")</f>
        <v>https://pbs.twimg.com/profile_images/1587264411785388032/XVFeh52V_normal.jpg</v>
      </c>
      <c r="AW1173" s="80" t="s">
        <v>17060</v>
      </c>
      <c r="AX1173" s="80" t="s">
        <v>17060</v>
      </c>
      <c r="AY1173" s="77"/>
      <c r="AZ1173" s="80" t="s">
        <v>20380</v>
      </c>
      <c r="BA1173" s="80" t="s">
        <v>20380</v>
      </c>
      <c r="BB1173" s="80" t="s">
        <v>20380</v>
      </c>
      <c r="BC1173" s="80" t="s">
        <v>17060</v>
      </c>
      <c r="BD1173" s="77">
        <v>112750333</v>
      </c>
      <c r="BE1173" s="77"/>
      <c r="BF1173" s="77"/>
      <c r="BG1173" s="77"/>
      <c r="BH1173" s="77"/>
      <c r="BI1173" s="77"/>
    </row>
    <row r="1174" spans="1:61" x14ac:dyDescent="0.25">
      <c r="A1174" s="62" t="s">
        <v>677</v>
      </c>
      <c r="B1174" s="62" t="s">
        <v>677</v>
      </c>
      <c r="C1174" s="63"/>
      <c r="D1174" s="64"/>
      <c r="E1174" s="65"/>
      <c r="F1174" s="66"/>
      <c r="G1174" s="63"/>
      <c r="H1174" s="67"/>
      <c r="I1174" s="68"/>
      <c r="J1174" s="68"/>
      <c r="K1174" s="32"/>
      <c r="L1174" s="75">
        <v>1174</v>
      </c>
      <c r="M1174" s="75"/>
      <c r="N1174" s="70"/>
      <c r="O1174" s="77" t="s">
        <v>179</v>
      </c>
      <c r="P1174" s="79">
        <v>45096.863807870373</v>
      </c>
      <c r="Q1174" s="77" t="s">
        <v>3095</v>
      </c>
      <c r="R1174" s="77">
        <v>0</v>
      </c>
      <c r="S1174" s="77">
        <v>0</v>
      </c>
      <c r="T1174" s="77">
        <v>0</v>
      </c>
      <c r="U1174" s="77">
        <v>0</v>
      </c>
      <c r="V1174" s="77">
        <v>268</v>
      </c>
      <c r="W1174" s="80" t="s">
        <v>6722</v>
      </c>
      <c r="X1174" s="83" t="str">
        <f>HYPERLINK("https://ntelemicro.com/junta-monetaria-aprueba-incremento-de-rd25000-millones-en-facilidad-de-liquidez-rapida/")</f>
        <v>https://ntelemicro.com/junta-monetaria-aprueba-incremento-de-rd25000-millones-en-facilidad-de-liquidez-rapida/</v>
      </c>
      <c r="Y1174" s="77" t="s">
        <v>8724</v>
      </c>
      <c r="Z1174" s="77"/>
      <c r="AA1174" s="77"/>
      <c r="AB1174" s="77"/>
      <c r="AC1174" s="80" t="s">
        <v>10541</v>
      </c>
      <c r="AD1174" s="77" t="s">
        <v>10620</v>
      </c>
      <c r="AE1174" s="83" t="str">
        <f>HYPERLINK("https://twitter.com/ntelemicro5/status/1670895195800363008")</f>
        <v>https://twitter.com/ntelemicro5/status/1670895195800363008</v>
      </c>
      <c r="AF1174" s="79">
        <v>45096.863807870373</v>
      </c>
      <c r="AG1174" s="85">
        <v>45096</v>
      </c>
      <c r="AH1174" s="80" t="s">
        <v>11658</v>
      </c>
      <c r="AI1174" s="77" t="b">
        <v>0</v>
      </c>
      <c r="AJ1174" s="77"/>
      <c r="AK1174" s="77"/>
      <c r="AL1174" s="77"/>
      <c r="AM1174" s="77"/>
      <c r="AN1174" s="77"/>
      <c r="AO1174" s="77"/>
      <c r="AP1174" s="77"/>
      <c r="AQ1174" s="77"/>
      <c r="AR1174" s="77"/>
      <c r="AS1174" s="77"/>
      <c r="AT1174" s="77"/>
      <c r="AU1174" s="77"/>
      <c r="AV1174" s="83" t="str">
        <f>HYPERLINK("https://pbs.twimg.com/profile_images/1587264411785388032/XVFeh52V_normal.jpg")</f>
        <v>https://pbs.twimg.com/profile_images/1587264411785388032/XVFeh52V_normal.jpg</v>
      </c>
      <c r="AW1174" s="80" t="s">
        <v>17061</v>
      </c>
      <c r="AX1174" s="80" t="s">
        <v>17061</v>
      </c>
      <c r="AY1174" s="77"/>
      <c r="AZ1174" s="80" t="s">
        <v>20380</v>
      </c>
      <c r="BA1174" s="80" t="s">
        <v>20380</v>
      </c>
      <c r="BB1174" s="80" t="s">
        <v>20380</v>
      </c>
      <c r="BC1174" s="80" t="s">
        <v>17061</v>
      </c>
      <c r="BD1174" s="77">
        <v>112750333</v>
      </c>
      <c r="BE1174" s="77"/>
      <c r="BF1174" s="77"/>
      <c r="BG1174" s="77"/>
      <c r="BH1174" s="77"/>
      <c r="BI1174" s="77"/>
    </row>
    <row r="1175" spans="1:61" x14ac:dyDescent="0.25">
      <c r="A1175" s="62" t="s">
        <v>677</v>
      </c>
      <c r="B1175" s="62" t="s">
        <v>677</v>
      </c>
      <c r="C1175" s="63"/>
      <c r="D1175" s="64"/>
      <c r="E1175" s="65"/>
      <c r="F1175" s="66"/>
      <c r="G1175" s="63"/>
      <c r="H1175" s="67"/>
      <c r="I1175" s="68"/>
      <c r="J1175" s="68"/>
      <c r="K1175" s="32"/>
      <c r="L1175" s="75">
        <v>1175</v>
      </c>
      <c r="M1175" s="75"/>
      <c r="N1175" s="70"/>
      <c r="O1175" s="77" t="s">
        <v>179</v>
      </c>
      <c r="P1175" s="79">
        <v>45064.846076388887</v>
      </c>
      <c r="Q1175" s="77" t="s">
        <v>3096</v>
      </c>
      <c r="R1175" s="77">
        <v>0</v>
      </c>
      <c r="S1175" s="77">
        <v>0</v>
      </c>
      <c r="T1175" s="77">
        <v>0</v>
      </c>
      <c r="U1175" s="77">
        <v>0</v>
      </c>
      <c r="V1175" s="77">
        <v>244</v>
      </c>
      <c r="W1175" s="80" t="s">
        <v>6723</v>
      </c>
      <c r="X1175" s="83" t="str">
        <f>HYPERLINK("https://ntelemicro.com/remesas-alcanzaron-us3300-0-millones-en-primer-cuatrimestre-de-2023/")</f>
        <v>https://ntelemicro.com/remesas-alcanzaron-us3300-0-millones-en-primer-cuatrimestre-de-2023/</v>
      </c>
      <c r="Y1175" s="77" t="s">
        <v>8724</v>
      </c>
      <c r="Z1175" s="77"/>
      <c r="AA1175" s="77"/>
      <c r="AB1175" s="77"/>
      <c r="AC1175" s="80" t="s">
        <v>10541</v>
      </c>
      <c r="AD1175" s="77" t="s">
        <v>10620</v>
      </c>
      <c r="AE1175" s="83" t="str">
        <f>HYPERLINK("https://twitter.com/ntelemicro5/status/1659292362135203840")</f>
        <v>https://twitter.com/ntelemicro5/status/1659292362135203840</v>
      </c>
      <c r="AF1175" s="79">
        <v>45064.846076388887</v>
      </c>
      <c r="AG1175" s="85">
        <v>45064</v>
      </c>
      <c r="AH1175" s="80" t="s">
        <v>11659</v>
      </c>
      <c r="AI1175" s="77" t="b">
        <v>0</v>
      </c>
      <c r="AJ1175" s="77"/>
      <c r="AK1175" s="77"/>
      <c r="AL1175" s="77"/>
      <c r="AM1175" s="77"/>
      <c r="AN1175" s="77"/>
      <c r="AO1175" s="77"/>
      <c r="AP1175" s="77"/>
      <c r="AQ1175" s="77"/>
      <c r="AR1175" s="77"/>
      <c r="AS1175" s="77"/>
      <c r="AT1175" s="77"/>
      <c r="AU1175" s="77"/>
      <c r="AV1175" s="83" t="str">
        <f>HYPERLINK("https://pbs.twimg.com/profile_images/1587264411785388032/XVFeh52V_normal.jpg")</f>
        <v>https://pbs.twimg.com/profile_images/1587264411785388032/XVFeh52V_normal.jpg</v>
      </c>
      <c r="AW1175" s="80" t="s">
        <v>17062</v>
      </c>
      <c r="AX1175" s="80" t="s">
        <v>17062</v>
      </c>
      <c r="AY1175" s="77"/>
      <c r="AZ1175" s="80" t="s">
        <v>20380</v>
      </c>
      <c r="BA1175" s="80" t="s">
        <v>20380</v>
      </c>
      <c r="BB1175" s="80" t="s">
        <v>20380</v>
      </c>
      <c r="BC1175" s="80" t="s">
        <v>17062</v>
      </c>
      <c r="BD1175" s="77">
        <v>112750333</v>
      </c>
      <c r="BE1175" s="77"/>
      <c r="BF1175" s="77"/>
      <c r="BG1175" s="77"/>
      <c r="BH1175" s="77"/>
      <c r="BI1175" s="77"/>
    </row>
    <row r="1176" spans="1:61" x14ac:dyDescent="0.25">
      <c r="A1176" s="62" t="s">
        <v>677</v>
      </c>
      <c r="B1176" s="62" t="s">
        <v>677</v>
      </c>
      <c r="C1176" s="63"/>
      <c r="D1176" s="64"/>
      <c r="E1176" s="65"/>
      <c r="F1176" s="66"/>
      <c r="G1176" s="63"/>
      <c r="H1176" s="67"/>
      <c r="I1176" s="68"/>
      <c r="J1176" s="68"/>
      <c r="K1176" s="32"/>
      <c r="L1176" s="75">
        <v>1176</v>
      </c>
      <c r="M1176" s="75"/>
      <c r="N1176" s="70"/>
      <c r="O1176" s="77" t="s">
        <v>179</v>
      </c>
      <c r="P1176" s="79">
        <v>45181.880254629628</v>
      </c>
      <c r="Q1176" s="77" t="s">
        <v>3097</v>
      </c>
      <c r="R1176" s="77">
        <v>0</v>
      </c>
      <c r="S1176" s="77">
        <v>8</v>
      </c>
      <c r="T1176" s="77">
        <v>3</v>
      </c>
      <c r="U1176" s="77">
        <v>0</v>
      </c>
      <c r="V1176" s="77">
        <v>271</v>
      </c>
      <c r="W1176" s="80" t="s">
        <v>6724</v>
      </c>
      <c r="X1176" s="83" t="str">
        <f>HYPERLINK("https://ntelemicro.com/pollo-platanos-y-azucar-entre-los-alimentos-que-subieron-de-precios-en-agosto/")</f>
        <v>https://ntelemicro.com/pollo-platanos-y-azucar-entre-los-alimentos-que-subieron-de-precios-en-agosto/</v>
      </c>
      <c r="Y1176" s="77" t="s">
        <v>8724</v>
      </c>
      <c r="Z1176" s="77"/>
      <c r="AA1176" s="77"/>
      <c r="AB1176" s="77"/>
      <c r="AC1176" s="80" t="s">
        <v>10541</v>
      </c>
      <c r="AD1176" s="77" t="s">
        <v>10620</v>
      </c>
      <c r="AE1176" s="83" t="str">
        <f>HYPERLINK("https://twitter.com/ntelemicro5/status/1701704128102007212")</f>
        <v>https://twitter.com/ntelemicro5/status/1701704128102007212</v>
      </c>
      <c r="AF1176" s="79">
        <v>45181.880254629628</v>
      </c>
      <c r="AG1176" s="85">
        <v>45181</v>
      </c>
      <c r="AH1176" s="80" t="s">
        <v>11660</v>
      </c>
      <c r="AI1176" s="77" t="b">
        <v>0</v>
      </c>
      <c r="AJ1176" s="77"/>
      <c r="AK1176" s="77"/>
      <c r="AL1176" s="77"/>
      <c r="AM1176" s="77"/>
      <c r="AN1176" s="77"/>
      <c r="AO1176" s="77"/>
      <c r="AP1176" s="77"/>
      <c r="AQ1176" s="77"/>
      <c r="AR1176" s="77"/>
      <c r="AS1176" s="77"/>
      <c r="AT1176" s="77"/>
      <c r="AU1176" s="77"/>
      <c r="AV1176" s="83" t="str">
        <f>HYPERLINK("https://pbs.twimg.com/profile_images/1587264411785388032/XVFeh52V_normal.jpg")</f>
        <v>https://pbs.twimg.com/profile_images/1587264411785388032/XVFeh52V_normal.jpg</v>
      </c>
      <c r="AW1176" s="80" t="s">
        <v>17063</v>
      </c>
      <c r="AX1176" s="80" t="s">
        <v>17063</v>
      </c>
      <c r="AY1176" s="77"/>
      <c r="AZ1176" s="80" t="s">
        <v>20380</v>
      </c>
      <c r="BA1176" s="80" t="s">
        <v>20380</v>
      </c>
      <c r="BB1176" s="80" t="s">
        <v>20380</v>
      </c>
      <c r="BC1176" s="80" t="s">
        <v>17063</v>
      </c>
      <c r="BD1176" s="77">
        <v>112750333</v>
      </c>
      <c r="BE1176" s="77"/>
      <c r="BF1176" s="77"/>
      <c r="BG1176" s="77"/>
      <c r="BH1176" s="77"/>
      <c r="BI1176" s="77"/>
    </row>
    <row r="1177" spans="1:61" x14ac:dyDescent="0.25">
      <c r="A1177" s="62" t="s">
        <v>677</v>
      </c>
      <c r="B1177" s="62" t="s">
        <v>677</v>
      </c>
      <c r="C1177" s="63"/>
      <c r="D1177" s="64"/>
      <c r="E1177" s="65"/>
      <c r="F1177" s="66"/>
      <c r="G1177" s="63"/>
      <c r="H1177" s="67"/>
      <c r="I1177" s="68"/>
      <c r="J1177" s="68"/>
      <c r="K1177" s="32"/>
      <c r="L1177" s="75">
        <v>1177</v>
      </c>
      <c r="M1177" s="75"/>
      <c r="N1177" s="70"/>
      <c r="O1177" s="77" t="s">
        <v>179</v>
      </c>
      <c r="P1177" s="79">
        <v>45116.582384259258</v>
      </c>
      <c r="Q1177" s="77" t="s">
        <v>3098</v>
      </c>
      <c r="R1177" s="77">
        <v>0</v>
      </c>
      <c r="S1177" s="77">
        <v>0</v>
      </c>
      <c r="T1177" s="77">
        <v>0</v>
      </c>
      <c r="U1177" s="77">
        <v>0</v>
      </c>
      <c r="V1177" s="77">
        <v>347</v>
      </c>
      <c r="W1177" s="80" t="s">
        <v>6725</v>
      </c>
      <c r="X1177" s="83" t="str">
        <f>HYPERLINK("https://ntelemicro.com/banco-central-flujos-de-remesas-alcanzaron-los-us5019-9-millones-en-primer-semestre-de-2023/")</f>
        <v>https://ntelemicro.com/banco-central-flujos-de-remesas-alcanzaron-los-us5019-9-millones-en-primer-semestre-de-2023/</v>
      </c>
      <c r="Y1177" s="77" t="s">
        <v>8724</v>
      </c>
      <c r="Z1177" s="77"/>
      <c r="AA1177" s="77"/>
      <c r="AB1177" s="77"/>
      <c r="AC1177" s="80" t="s">
        <v>10541</v>
      </c>
      <c r="AD1177" s="77" t="s">
        <v>10620</v>
      </c>
      <c r="AE1177" s="83" t="str">
        <f>HYPERLINK("https://twitter.com/ntelemicro5/status/1678040971026608129")</f>
        <v>https://twitter.com/ntelemicro5/status/1678040971026608129</v>
      </c>
      <c r="AF1177" s="79">
        <v>45116.582384259258</v>
      </c>
      <c r="AG1177" s="85">
        <v>45116</v>
      </c>
      <c r="AH1177" s="80" t="s">
        <v>11661</v>
      </c>
      <c r="AI1177" s="77" t="b">
        <v>0</v>
      </c>
      <c r="AJ1177" s="77"/>
      <c r="AK1177" s="77"/>
      <c r="AL1177" s="77"/>
      <c r="AM1177" s="77"/>
      <c r="AN1177" s="77"/>
      <c r="AO1177" s="77"/>
      <c r="AP1177" s="77"/>
      <c r="AQ1177" s="77"/>
      <c r="AR1177" s="77"/>
      <c r="AS1177" s="77"/>
      <c r="AT1177" s="77"/>
      <c r="AU1177" s="77"/>
      <c r="AV1177" s="83" t="str">
        <f>HYPERLINK("https://pbs.twimg.com/profile_images/1587264411785388032/XVFeh52V_normal.jpg")</f>
        <v>https://pbs.twimg.com/profile_images/1587264411785388032/XVFeh52V_normal.jpg</v>
      </c>
      <c r="AW1177" s="80" t="s">
        <v>17064</v>
      </c>
      <c r="AX1177" s="80" t="s">
        <v>17064</v>
      </c>
      <c r="AY1177" s="77"/>
      <c r="AZ1177" s="80" t="s">
        <v>20380</v>
      </c>
      <c r="BA1177" s="80" t="s">
        <v>20380</v>
      </c>
      <c r="BB1177" s="80" t="s">
        <v>20380</v>
      </c>
      <c r="BC1177" s="80" t="s">
        <v>17064</v>
      </c>
      <c r="BD1177" s="77">
        <v>112750333</v>
      </c>
      <c r="BE1177" s="77"/>
      <c r="BF1177" s="77"/>
      <c r="BG1177" s="77"/>
      <c r="BH1177" s="77"/>
      <c r="BI1177" s="77"/>
    </row>
    <row r="1178" spans="1:61" x14ac:dyDescent="0.25">
      <c r="A1178" s="62" t="s">
        <v>677</v>
      </c>
      <c r="B1178" s="62" t="s">
        <v>677</v>
      </c>
      <c r="C1178" s="63"/>
      <c r="D1178" s="64"/>
      <c r="E1178" s="65"/>
      <c r="F1178" s="66"/>
      <c r="G1178" s="63"/>
      <c r="H1178" s="67"/>
      <c r="I1178" s="68"/>
      <c r="J1178" s="68"/>
      <c r="K1178" s="32"/>
      <c r="L1178" s="75">
        <v>1178</v>
      </c>
      <c r="M1178" s="75"/>
      <c r="N1178" s="70"/>
      <c r="O1178" s="77" t="s">
        <v>179</v>
      </c>
      <c r="P1178" s="79">
        <v>45077.840983796297</v>
      </c>
      <c r="Q1178" s="77" t="s">
        <v>3099</v>
      </c>
      <c r="R1178" s="77">
        <v>2</v>
      </c>
      <c r="S1178" s="77">
        <v>3</v>
      </c>
      <c r="T1178" s="77">
        <v>0</v>
      </c>
      <c r="U1178" s="77">
        <v>0</v>
      </c>
      <c r="V1178" s="77">
        <v>243</v>
      </c>
      <c r="W1178" s="80" t="s">
        <v>6726</v>
      </c>
      <c r="X1178" s="83" t="str">
        <f>HYPERLINK("https://ntelemicro.com/banco-central-disminuye-su-tasa-de-politica-monetaria-ante-reduccion-de-la-inflacion/")</f>
        <v>https://ntelemicro.com/banco-central-disminuye-su-tasa-de-politica-monetaria-ante-reduccion-de-la-inflacion/</v>
      </c>
      <c r="Y1178" s="77" t="s">
        <v>8724</v>
      </c>
      <c r="Z1178" s="77"/>
      <c r="AA1178" s="77"/>
      <c r="AB1178" s="77"/>
      <c r="AC1178" s="80" t="s">
        <v>10541</v>
      </c>
      <c r="AD1178" s="77" t="s">
        <v>10620</v>
      </c>
      <c r="AE1178" s="83" t="str">
        <f>HYPERLINK("https://twitter.com/ntelemicro5/status/1664001558546382848")</f>
        <v>https://twitter.com/ntelemicro5/status/1664001558546382848</v>
      </c>
      <c r="AF1178" s="79">
        <v>45077.840983796297</v>
      </c>
      <c r="AG1178" s="85">
        <v>45077</v>
      </c>
      <c r="AH1178" s="80" t="s">
        <v>11662</v>
      </c>
      <c r="AI1178" s="77" t="b">
        <v>0</v>
      </c>
      <c r="AJ1178" s="77"/>
      <c r="AK1178" s="77"/>
      <c r="AL1178" s="77"/>
      <c r="AM1178" s="77"/>
      <c r="AN1178" s="77"/>
      <c r="AO1178" s="77"/>
      <c r="AP1178" s="77"/>
      <c r="AQ1178" s="77"/>
      <c r="AR1178" s="77"/>
      <c r="AS1178" s="77"/>
      <c r="AT1178" s="77"/>
      <c r="AU1178" s="77"/>
      <c r="AV1178" s="83" t="str">
        <f>HYPERLINK("https://pbs.twimg.com/profile_images/1587264411785388032/XVFeh52V_normal.jpg")</f>
        <v>https://pbs.twimg.com/profile_images/1587264411785388032/XVFeh52V_normal.jpg</v>
      </c>
      <c r="AW1178" s="80" t="s">
        <v>17065</v>
      </c>
      <c r="AX1178" s="80" t="s">
        <v>17065</v>
      </c>
      <c r="AY1178" s="77"/>
      <c r="AZ1178" s="80" t="s">
        <v>20380</v>
      </c>
      <c r="BA1178" s="80" t="s">
        <v>20380</v>
      </c>
      <c r="BB1178" s="80" t="s">
        <v>20380</v>
      </c>
      <c r="BC1178" s="80" t="s">
        <v>17065</v>
      </c>
      <c r="BD1178" s="77">
        <v>112750333</v>
      </c>
      <c r="BE1178" s="77"/>
      <c r="BF1178" s="77"/>
      <c r="BG1178" s="77"/>
      <c r="BH1178" s="77"/>
      <c r="BI1178" s="77"/>
    </row>
    <row r="1179" spans="1:61" x14ac:dyDescent="0.25">
      <c r="A1179" s="62" t="s">
        <v>677</v>
      </c>
      <c r="B1179" s="62" t="s">
        <v>1827</v>
      </c>
      <c r="C1179" s="63"/>
      <c r="D1179" s="64"/>
      <c r="E1179" s="65"/>
      <c r="F1179" s="66"/>
      <c r="G1179" s="63"/>
      <c r="H1179" s="67"/>
      <c r="I1179" s="68"/>
      <c r="J1179" s="68"/>
      <c r="K1179" s="32"/>
      <c r="L1179" s="75">
        <v>1179</v>
      </c>
      <c r="M1179" s="75"/>
      <c r="N1179" s="70"/>
      <c r="O1179" s="77" t="s">
        <v>2081</v>
      </c>
      <c r="P1179" s="79">
        <v>45182.186932870369</v>
      </c>
      <c r="Q1179" s="77" t="s">
        <v>3100</v>
      </c>
      <c r="R1179" s="77">
        <v>0</v>
      </c>
      <c r="S1179" s="77">
        <v>0</v>
      </c>
      <c r="T1179" s="77">
        <v>0</v>
      </c>
      <c r="U1179" s="77">
        <v>0</v>
      </c>
      <c r="V1179" s="77">
        <v>138</v>
      </c>
      <c r="W1179" s="80" t="s">
        <v>6727</v>
      </c>
      <c r="X1179" s="83" t="str">
        <f>HYPERLINK("https://youtu.be/1yGZlQmulxk?feature=shared")</f>
        <v>https://youtu.be/1yGZlQmulxk?feature=shared</v>
      </c>
      <c r="Y1179" s="77" t="s">
        <v>8635</v>
      </c>
      <c r="Z1179" s="77" t="s">
        <v>1827</v>
      </c>
      <c r="AA1179" s="77"/>
      <c r="AB1179" s="77"/>
      <c r="AC1179" s="80" t="s">
        <v>10541</v>
      </c>
      <c r="AD1179" s="77" t="s">
        <v>10620</v>
      </c>
      <c r="AE1179" s="83" t="str">
        <f>HYPERLINK("https://twitter.com/ntelemicro5/status/1701815263593738310")</f>
        <v>https://twitter.com/ntelemicro5/status/1701815263593738310</v>
      </c>
      <c r="AF1179" s="79">
        <v>45182.186932870369</v>
      </c>
      <c r="AG1179" s="85">
        <v>45182</v>
      </c>
      <c r="AH1179" s="80" t="s">
        <v>11663</v>
      </c>
      <c r="AI1179" s="77" t="b">
        <v>0</v>
      </c>
      <c r="AJ1179" s="77"/>
      <c r="AK1179" s="77"/>
      <c r="AL1179" s="77"/>
      <c r="AM1179" s="77"/>
      <c r="AN1179" s="77"/>
      <c r="AO1179" s="77"/>
      <c r="AP1179" s="77"/>
      <c r="AQ1179" s="77"/>
      <c r="AR1179" s="77"/>
      <c r="AS1179" s="77"/>
      <c r="AT1179" s="77"/>
      <c r="AU1179" s="77"/>
      <c r="AV1179" s="83" t="str">
        <f>HYPERLINK("https://pbs.twimg.com/profile_images/1587264411785388032/XVFeh52V_normal.jpg")</f>
        <v>https://pbs.twimg.com/profile_images/1587264411785388032/XVFeh52V_normal.jpg</v>
      </c>
      <c r="AW1179" s="80" t="s">
        <v>17066</v>
      </c>
      <c r="AX1179" s="80" t="s">
        <v>17066</v>
      </c>
      <c r="AY1179" s="77"/>
      <c r="AZ1179" s="80" t="s">
        <v>20380</v>
      </c>
      <c r="BA1179" s="80" t="s">
        <v>20380</v>
      </c>
      <c r="BB1179" s="80" t="s">
        <v>20380</v>
      </c>
      <c r="BC1179" s="80" t="s">
        <v>17066</v>
      </c>
      <c r="BD1179" s="77">
        <v>112750333</v>
      </c>
      <c r="BE1179" s="77"/>
      <c r="BF1179" s="77"/>
      <c r="BG1179" s="77"/>
      <c r="BH1179" s="77"/>
      <c r="BI1179" s="77"/>
    </row>
    <row r="1180" spans="1:61" x14ac:dyDescent="0.25">
      <c r="A1180" s="62" t="s">
        <v>677</v>
      </c>
      <c r="B1180" s="62" t="s">
        <v>677</v>
      </c>
      <c r="C1180" s="63"/>
      <c r="D1180" s="64"/>
      <c r="E1180" s="65"/>
      <c r="F1180" s="66"/>
      <c r="G1180" s="63"/>
      <c r="H1180" s="67"/>
      <c r="I1180" s="68"/>
      <c r="J1180" s="68"/>
      <c r="K1180" s="32"/>
      <c r="L1180" s="75">
        <v>1180</v>
      </c>
      <c r="M1180" s="75"/>
      <c r="N1180" s="70"/>
      <c r="O1180" s="77" t="s">
        <v>179</v>
      </c>
      <c r="P1180" s="79">
        <v>45106.902511574073</v>
      </c>
      <c r="Q1180" s="77" t="s">
        <v>3101</v>
      </c>
      <c r="R1180" s="77">
        <v>0</v>
      </c>
      <c r="S1180" s="77">
        <v>0</v>
      </c>
      <c r="T1180" s="77">
        <v>0</v>
      </c>
      <c r="U1180" s="77">
        <v>0</v>
      </c>
      <c r="V1180" s="77">
        <v>320</v>
      </c>
      <c r="W1180" s="80" t="s">
        <v>6728</v>
      </c>
      <c r="X1180" s="77"/>
      <c r="Y1180" s="77"/>
      <c r="Z1180" s="77"/>
      <c r="AA1180" s="77"/>
      <c r="AB1180" s="77"/>
      <c r="AC1180" s="80" t="s">
        <v>10541</v>
      </c>
      <c r="AD1180" s="77" t="s">
        <v>10620</v>
      </c>
      <c r="AE1180" s="83" t="str">
        <f>HYPERLINK("https://twitter.com/ntelemicro5/status/1674533101475700736")</f>
        <v>https://twitter.com/ntelemicro5/status/1674533101475700736</v>
      </c>
      <c r="AF1180" s="79">
        <v>45106.902511574073</v>
      </c>
      <c r="AG1180" s="85">
        <v>45106</v>
      </c>
      <c r="AH1180" s="80" t="s">
        <v>11664</v>
      </c>
      <c r="AI1180" s="77"/>
      <c r="AJ1180" s="77" t="s">
        <v>14352</v>
      </c>
      <c r="AK1180" s="77" t="s">
        <v>14381</v>
      </c>
      <c r="AL1180" s="77" t="s">
        <v>14390</v>
      </c>
      <c r="AM1180" s="77" t="s">
        <v>14409</v>
      </c>
      <c r="AN1180" s="77" t="s">
        <v>14449</v>
      </c>
      <c r="AO1180" s="77" t="s">
        <v>14488</v>
      </c>
      <c r="AP1180" s="77" t="s">
        <v>14516</v>
      </c>
      <c r="AQ1180" s="77"/>
      <c r="AR1180" s="77"/>
      <c r="AS1180" s="77"/>
      <c r="AT1180" s="77"/>
      <c r="AU1180" s="77"/>
      <c r="AV1180" s="83" t="str">
        <f>HYPERLINK("https://pbs.twimg.com/profile_images/1587264411785388032/XVFeh52V_normal.jpg")</f>
        <v>https://pbs.twimg.com/profile_images/1587264411785388032/XVFeh52V_normal.jpg</v>
      </c>
      <c r="AW1180" s="80" t="s">
        <v>17067</v>
      </c>
      <c r="AX1180" s="80" t="s">
        <v>17067</v>
      </c>
      <c r="AY1180" s="77"/>
      <c r="AZ1180" s="80" t="s">
        <v>20380</v>
      </c>
      <c r="BA1180" s="80" t="s">
        <v>20380</v>
      </c>
      <c r="BB1180" s="80" t="s">
        <v>20380</v>
      </c>
      <c r="BC1180" s="80" t="s">
        <v>17067</v>
      </c>
      <c r="BD1180" s="77">
        <v>112750333</v>
      </c>
      <c r="BE1180" s="77"/>
      <c r="BF1180" s="77"/>
      <c r="BG1180" s="77"/>
      <c r="BH1180" s="77"/>
      <c r="BI1180" s="77"/>
    </row>
    <row r="1181" spans="1:61" x14ac:dyDescent="0.25">
      <c r="A1181" s="62" t="s">
        <v>678</v>
      </c>
      <c r="B1181" s="62" t="s">
        <v>678</v>
      </c>
      <c r="C1181" s="63"/>
      <c r="D1181" s="64"/>
      <c r="E1181" s="65"/>
      <c r="F1181" s="66"/>
      <c r="G1181" s="63"/>
      <c r="H1181" s="67"/>
      <c r="I1181" s="68"/>
      <c r="J1181" s="68"/>
      <c r="K1181" s="32"/>
      <c r="L1181" s="75">
        <v>1181</v>
      </c>
      <c r="M1181" s="75"/>
      <c r="N1181" s="70"/>
      <c r="O1181" s="77" t="s">
        <v>179</v>
      </c>
      <c r="P1181" s="79">
        <v>45090.619733796295</v>
      </c>
      <c r="Q1181" s="77" t="s">
        <v>3102</v>
      </c>
      <c r="R1181" s="77">
        <v>0</v>
      </c>
      <c r="S1181" s="77">
        <v>0</v>
      </c>
      <c r="T1181" s="77">
        <v>0</v>
      </c>
      <c r="U1181" s="77">
        <v>0</v>
      </c>
      <c r="V1181" s="77">
        <v>44</v>
      </c>
      <c r="W1181" s="80" t="s">
        <v>6729</v>
      </c>
      <c r="X1181" s="77"/>
      <c r="Y1181" s="77"/>
      <c r="Z1181" s="77"/>
      <c r="AA1181" s="77" t="s">
        <v>9419</v>
      </c>
      <c r="AB1181" s="77" t="s">
        <v>10534</v>
      </c>
      <c r="AC1181" s="80" t="s">
        <v>10540</v>
      </c>
      <c r="AD1181" s="77" t="s">
        <v>10617</v>
      </c>
      <c r="AE1181" s="83" t="str">
        <f>HYPERLINK("https://twitter.com/celiolobo60/status/1668632419753406468")</f>
        <v>https://twitter.com/celiolobo60/status/1668632419753406468</v>
      </c>
      <c r="AF1181" s="79">
        <v>45090.619733796295</v>
      </c>
      <c r="AG1181" s="85">
        <v>45090</v>
      </c>
      <c r="AH1181" s="80" t="s">
        <v>11665</v>
      </c>
      <c r="AI1181" s="77" t="b">
        <v>0</v>
      </c>
      <c r="AJ1181" s="77"/>
      <c r="AK1181" s="77"/>
      <c r="AL1181" s="77"/>
      <c r="AM1181" s="77"/>
      <c r="AN1181" s="77"/>
      <c r="AO1181" s="77"/>
      <c r="AP1181" s="77"/>
      <c r="AQ1181" s="77" t="s">
        <v>14901</v>
      </c>
      <c r="AR1181" s="77">
        <v>85600</v>
      </c>
      <c r="AS1181" s="77"/>
      <c r="AT1181" s="77"/>
      <c r="AU1181" s="77"/>
      <c r="AV1181" s="83" t="str">
        <f>HYPERLINK("https://pbs.twimg.com/ext_tw_video_thumb/1668632249649229827/pu/img/7q5_pSHuefCqWBG8.jpg")</f>
        <v>https://pbs.twimg.com/ext_tw_video_thumb/1668632249649229827/pu/img/7q5_pSHuefCqWBG8.jpg</v>
      </c>
      <c r="AW1181" s="80" t="s">
        <v>17068</v>
      </c>
      <c r="AX1181" s="80" t="s">
        <v>17068</v>
      </c>
      <c r="AY1181" s="77"/>
      <c r="AZ1181" s="80" t="s">
        <v>20380</v>
      </c>
      <c r="BA1181" s="80" t="s">
        <v>20380</v>
      </c>
      <c r="BB1181" s="80" t="s">
        <v>20380</v>
      </c>
      <c r="BC1181" s="80" t="s">
        <v>17068</v>
      </c>
      <c r="BD1181" s="80" t="s">
        <v>20714</v>
      </c>
      <c r="BE1181" s="77"/>
      <c r="BF1181" s="77"/>
      <c r="BG1181" s="77"/>
      <c r="BH1181" s="77"/>
      <c r="BI1181" s="77"/>
    </row>
    <row r="1182" spans="1:61" x14ac:dyDescent="0.25">
      <c r="A1182" s="62" t="s">
        <v>679</v>
      </c>
      <c r="B1182" s="62" t="s">
        <v>679</v>
      </c>
      <c r="C1182" s="63"/>
      <c r="D1182" s="64"/>
      <c r="E1182" s="65"/>
      <c r="F1182" s="66"/>
      <c r="G1182" s="63"/>
      <c r="H1182" s="67"/>
      <c r="I1182" s="68"/>
      <c r="J1182" s="68"/>
      <c r="K1182" s="32"/>
      <c r="L1182" s="75">
        <v>1182</v>
      </c>
      <c r="M1182" s="75"/>
      <c r="N1182" s="70"/>
      <c r="O1182" s="77" t="s">
        <v>179</v>
      </c>
      <c r="P1182" s="79">
        <v>45140.922731481478</v>
      </c>
      <c r="Q1182" s="77" t="s">
        <v>3103</v>
      </c>
      <c r="R1182" s="77">
        <v>0</v>
      </c>
      <c r="S1182" s="77">
        <v>0</v>
      </c>
      <c r="T1182" s="77">
        <v>0</v>
      </c>
      <c r="U1182" s="77">
        <v>0</v>
      </c>
      <c r="V1182" s="77">
        <v>101</v>
      </c>
      <c r="W1182" s="80" t="s">
        <v>6730</v>
      </c>
      <c r="X1182" s="83" t="str">
        <f>HYPERLINK("https://go.shr.lc/47e9RZX")</f>
        <v>https://go.shr.lc/47e9RZX</v>
      </c>
      <c r="Y1182" s="77" t="s">
        <v>8644</v>
      </c>
      <c r="Z1182" s="77"/>
      <c r="AA1182" s="77" t="s">
        <v>9420</v>
      </c>
      <c r="AB1182" s="77" t="s">
        <v>10535</v>
      </c>
      <c r="AC1182" s="80" t="s">
        <v>10541</v>
      </c>
      <c r="AD1182" s="77" t="s">
        <v>10617</v>
      </c>
      <c r="AE1182" s="83" t="str">
        <f>HYPERLINK("https://twitter.com/informeblu/status/1686861617969934336")</f>
        <v>https://twitter.com/informeblu/status/1686861617969934336</v>
      </c>
      <c r="AF1182" s="79">
        <v>45140.922731481478</v>
      </c>
      <c r="AG1182" s="85">
        <v>45140</v>
      </c>
      <c r="AH1182" s="80" t="s">
        <v>11666</v>
      </c>
      <c r="AI1182" s="77" t="b">
        <v>0</v>
      </c>
      <c r="AJ1182" s="77"/>
      <c r="AK1182" s="77"/>
      <c r="AL1182" s="77"/>
      <c r="AM1182" s="77"/>
      <c r="AN1182" s="77"/>
      <c r="AO1182" s="77"/>
      <c r="AP1182" s="77"/>
      <c r="AQ1182" s="77" t="s">
        <v>14902</v>
      </c>
      <c r="AR1182" s="77"/>
      <c r="AS1182" s="77"/>
      <c r="AT1182" s="77"/>
      <c r="AU1182" s="77"/>
      <c r="AV1182" s="83" t="str">
        <f>HYPERLINK("https://pbs.twimg.com/media/F2jvsfGWYAE29Ur.png")</f>
        <v>https://pbs.twimg.com/media/F2jvsfGWYAE29Ur.png</v>
      </c>
      <c r="AW1182" s="80" t="s">
        <v>17069</v>
      </c>
      <c r="AX1182" s="80" t="s">
        <v>17069</v>
      </c>
      <c r="AY1182" s="77"/>
      <c r="AZ1182" s="80" t="s">
        <v>20380</v>
      </c>
      <c r="BA1182" s="80" t="s">
        <v>20380</v>
      </c>
      <c r="BB1182" s="80" t="s">
        <v>20380</v>
      </c>
      <c r="BC1182" s="80" t="s">
        <v>17069</v>
      </c>
      <c r="BD1182" s="77">
        <v>494539258</v>
      </c>
      <c r="BE1182" s="77"/>
      <c r="BF1182" s="77"/>
      <c r="BG1182" s="77"/>
      <c r="BH1182" s="77"/>
      <c r="BI1182" s="77"/>
    </row>
    <row r="1183" spans="1:61" x14ac:dyDescent="0.25">
      <c r="A1183" s="62" t="s">
        <v>680</v>
      </c>
      <c r="B1183" s="62" t="s">
        <v>680</v>
      </c>
      <c r="C1183" s="63"/>
      <c r="D1183" s="64"/>
      <c r="E1183" s="65"/>
      <c r="F1183" s="66"/>
      <c r="G1183" s="63"/>
      <c r="H1183" s="67"/>
      <c r="I1183" s="68"/>
      <c r="J1183" s="68"/>
      <c r="K1183" s="32"/>
      <c r="L1183" s="75">
        <v>1183</v>
      </c>
      <c r="M1183" s="75"/>
      <c r="N1183" s="70"/>
      <c r="O1183" s="77" t="s">
        <v>179</v>
      </c>
      <c r="P1183" s="79">
        <v>45129.537743055553</v>
      </c>
      <c r="Q1183" s="77" t="s">
        <v>3104</v>
      </c>
      <c r="R1183" s="77">
        <v>0</v>
      </c>
      <c r="S1183" s="77">
        <v>0</v>
      </c>
      <c r="T1183" s="77">
        <v>0</v>
      </c>
      <c r="U1183" s="77">
        <v>0</v>
      </c>
      <c r="V1183" s="77">
        <v>23</v>
      </c>
      <c r="W1183" s="80" t="s">
        <v>6731</v>
      </c>
      <c r="X1183" s="83" t="str">
        <f>HYPERLINK("https://youtu.be/kQna2nk2YDo")</f>
        <v>https://youtu.be/kQna2nk2YDo</v>
      </c>
      <c r="Y1183" s="77" t="s">
        <v>8635</v>
      </c>
      <c r="Z1183" s="77"/>
      <c r="AA1183" s="77"/>
      <c r="AB1183" s="77"/>
      <c r="AC1183" s="80" t="s">
        <v>10540</v>
      </c>
      <c r="AD1183" s="77" t="s">
        <v>10617</v>
      </c>
      <c r="AE1183" s="83" t="str">
        <f>HYPERLINK("https://twitter.com/ticiaaman/status/1682735833311322112")</f>
        <v>https://twitter.com/ticiaaman/status/1682735833311322112</v>
      </c>
      <c r="AF1183" s="79">
        <v>45129.537743055553</v>
      </c>
      <c r="AG1183" s="85">
        <v>45129</v>
      </c>
      <c r="AH1183" s="80" t="s">
        <v>11220</v>
      </c>
      <c r="AI1183" s="77" t="b">
        <v>0</v>
      </c>
      <c r="AJ1183" s="77"/>
      <c r="AK1183" s="77"/>
      <c r="AL1183" s="77"/>
      <c r="AM1183" s="77"/>
      <c r="AN1183" s="77"/>
      <c r="AO1183" s="77"/>
      <c r="AP1183" s="77"/>
      <c r="AQ1183" s="77"/>
      <c r="AR1183" s="77"/>
      <c r="AS1183" s="77"/>
      <c r="AT1183" s="77"/>
      <c r="AU1183" s="77"/>
      <c r="AV1183" s="83" t="str">
        <f>HYPERLINK("https://pbs.twimg.com/profile_images/1602496076338135041/bTKs4eWZ_normal.jpg")</f>
        <v>https://pbs.twimg.com/profile_images/1602496076338135041/bTKs4eWZ_normal.jpg</v>
      </c>
      <c r="AW1183" s="80" t="s">
        <v>17070</v>
      </c>
      <c r="AX1183" s="80" t="s">
        <v>17070</v>
      </c>
      <c r="AY1183" s="77"/>
      <c r="AZ1183" s="80" t="s">
        <v>20380</v>
      </c>
      <c r="BA1183" s="80" t="s">
        <v>20380</v>
      </c>
      <c r="BB1183" s="80" t="s">
        <v>20380</v>
      </c>
      <c r="BC1183" s="80" t="s">
        <v>17070</v>
      </c>
      <c r="BD1183" s="80" t="s">
        <v>20715</v>
      </c>
      <c r="BE1183" s="77"/>
      <c r="BF1183" s="77"/>
      <c r="BG1183" s="77"/>
      <c r="BH1183" s="77"/>
      <c r="BI1183" s="77"/>
    </row>
    <row r="1184" spans="1:61" x14ac:dyDescent="0.25">
      <c r="A1184" s="62" t="s">
        <v>681</v>
      </c>
      <c r="B1184" s="62" t="s">
        <v>681</v>
      </c>
      <c r="C1184" s="63"/>
      <c r="D1184" s="64"/>
      <c r="E1184" s="65"/>
      <c r="F1184" s="66"/>
      <c r="G1184" s="63"/>
      <c r="H1184" s="67"/>
      <c r="I1184" s="68"/>
      <c r="J1184" s="68"/>
      <c r="K1184" s="32"/>
      <c r="L1184" s="75">
        <v>1184</v>
      </c>
      <c r="M1184" s="75"/>
      <c r="N1184" s="70"/>
      <c r="O1184" s="77" t="s">
        <v>179</v>
      </c>
      <c r="P1184" s="79">
        <v>45150.611724537041</v>
      </c>
      <c r="Q1184" s="77" t="s">
        <v>3105</v>
      </c>
      <c r="R1184" s="77">
        <v>0</v>
      </c>
      <c r="S1184" s="77">
        <v>0</v>
      </c>
      <c r="T1184" s="77">
        <v>0</v>
      </c>
      <c r="U1184" s="77">
        <v>0</v>
      </c>
      <c r="V1184" s="77">
        <v>48</v>
      </c>
      <c r="W1184" s="80" t="s">
        <v>6732</v>
      </c>
      <c r="X1184" s="77"/>
      <c r="Y1184" s="77"/>
      <c r="Z1184" s="77"/>
      <c r="AA1184" s="77" t="s">
        <v>9421</v>
      </c>
      <c r="AB1184" s="77" t="s">
        <v>10534</v>
      </c>
      <c r="AC1184" s="80" t="s">
        <v>10540</v>
      </c>
      <c r="AD1184" s="77" t="s">
        <v>10617</v>
      </c>
      <c r="AE1184" s="83" t="str">
        <f>HYPERLINK("https://twitter.com/brutusdyoll/status/1690372788706553856")</f>
        <v>https://twitter.com/brutusdyoll/status/1690372788706553856</v>
      </c>
      <c r="AF1184" s="79">
        <v>45150.611724537041</v>
      </c>
      <c r="AG1184" s="85">
        <v>45150</v>
      </c>
      <c r="AH1184" s="80" t="s">
        <v>11667</v>
      </c>
      <c r="AI1184" s="77" t="b">
        <v>0</v>
      </c>
      <c r="AJ1184" s="77"/>
      <c r="AK1184" s="77"/>
      <c r="AL1184" s="77"/>
      <c r="AM1184" s="77"/>
      <c r="AN1184" s="77"/>
      <c r="AO1184" s="77"/>
      <c r="AP1184" s="77"/>
      <c r="AQ1184" s="77" t="s">
        <v>14903</v>
      </c>
      <c r="AR1184" s="77">
        <v>113865</v>
      </c>
      <c r="AS1184" s="77"/>
      <c r="AT1184" s="77"/>
      <c r="AU1184" s="77"/>
      <c r="AV1184" s="83" t="str">
        <f>HYPERLINK("https://pbs.twimg.com/ext_tw_video_thumb/1690372669500280833/pu/img/8x39I-_ovzPiEbGa.jpg")</f>
        <v>https://pbs.twimg.com/ext_tw_video_thumb/1690372669500280833/pu/img/8x39I-_ovzPiEbGa.jpg</v>
      </c>
      <c r="AW1184" s="80" t="s">
        <v>17071</v>
      </c>
      <c r="AX1184" s="80" t="s">
        <v>17071</v>
      </c>
      <c r="AY1184" s="77"/>
      <c r="AZ1184" s="80" t="s">
        <v>20380</v>
      </c>
      <c r="BA1184" s="80" t="s">
        <v>20380</v>
      </c>
      <c r="BB1184" s="80" t="s">
        <v>20380</v>
      </c>
      <c r="BC1184" s="80" t="s">
        <v>17071</v>
      </c>
      <c r="BD1184" s="77">
        <v>2718924351</v>
      </c>
      <c r="BE1184" s="77"/>
      <c r="BF1184" s="77"/>
      <c r="BG1184" s="77"/>
      <c r="BH1184" s="77"/>
      <c r="BI1184" s="77"/>
    </row>
    <row r="1185" spans="1:61" x14ac:dyDescent="0.25">
      <c r="A1185" s="62" t="s">
        <v>682</v>
      </c>
      <c r="B1185" s="62" t="s">
        <v>682</v>
      </c>
      <c r="C1185" s="63"/>
      <c r="D1185" s="64"/>
      <c r="E1185" s="65"/>
      <c r="F1185" s="66"/>
      <c r="G1185" s="63"/>
      <c r="H1185" s="67"/>
      <c r="I1185" s="68"/>
      <c r="J1185" s="68"/>
      <c r="K1185" s="32"/>
      <c r="L1185" s="75">
        <v>1185</v>
      </c>
      <c r="M1185" s="75"/>
      <c r="N1185" s="70"/>
      <c r="O1185" s="77" t="s">
        <v>179</v>
      </c>
      <c r="P1185" s="79">
        <v>45152.525636574072</v>
      </c>
      <c r="Q1185" s="77" t="s">
        <v>3106</v>
      </c>
      <c r="R1185" s="77">
        <v>0</v>
      </c>
      <c r="S1185" s="77">
        <v>0</v>
      </c>
      <c r="T1185" s="77">
        <v>1</v>
      </c>
      <c r="U1185" s="77">
        <v>0</v>
      </c>
      <c r="V1185" s="77">
        <v>63</v>
      </c>
      <c r="W1185" s="80" t="s">
        <v>6733</v>
      </c>
      <c r="X1185" s="83" t="str">
        <f>HYPERLINK("https://www.cryptotips.lat/2023/08/14/javier-milei-apoya-las-criptomonedas-y-cuestiona-a-los-bancos-centrales-un-enfoque-contundente/")</f>
        <v>https://www.cryptotips.lat/2023/08/14/javier-milei-apoya-las-criptomonedas-y-cuestiona-a-los-bancos-centrales-un-enfoque-contundente/</v>
      </c>
      <c r="Y1185" s="77" t="s">
        <v>8725</v>
      </c>
      <c r="Z1185" s="77"/>
      <c r="AA1185" s="77"/>
      <c r="AB1185" s="77"/>
      <c r="AC1185" s="80" t="s">
        <v>10541</v>
      </c>
      <c r="AD1185" s="77" t="s">
        <v>10620</v>
      </c>
      <c r="AE1185" s="83" t="str">
        <f>HYPERLINK("https://twitter.com/cryptotips23/status/1691066370627121152")</f>
        <v>https://twitter.com/cryptotips23/status/1691066370627121152</v>
      </c>
      <c r="AF1185" s="79">
        <v>45152.525636574072</v>
      </c>
      <c r="AG1185" s="85">
        <v>45152</v>
      </c>
      <c r="AH1185" s="80" t="s">
        <v>11668</v>
      </c>
      <c r="AI1185" s="77" t="b">
        <v>0</v>
      </c>
      <c r="AJ1185" s="77"/>
      <c r="AK1185" s="77"/>
      <c r="AL1185" s="77"/>
      <c r="AM1185" s="77"/>
      <c r="AN1185" s="77"/>
      <c r="AO1185" s="77"/>
      <c r="AP1185" s="77"/>
      <c r="AQ1185" s="77"/>
      <c r="AR1185" s="77"/>
      <c r="AS1185" s="77"/>
      <c r="AT1185" s="77"/>
      <c r="AU1185" s="77"/>
      <c r="AV1185" s="83" t="str">
        <f>HYPERLINK("https://pbs.twimg.com/profile_images/1682901605421654016/6g9x-8uF_normal.jpg")</f>
        <v>https://pbs.twimg.com/profile_images/1682901605421654016/6g9x-8uF_normal.jpg</v>
      </c>
      <c r="AW1185" s="80" t="s">
        <v>17072</v>
      </c>
      <c r="AX1185" s="80" t="s">
        <v>17072</v>
      </c>
      <c r="AY1185" s="77"/>
      <c r="AZ1185" s="80" t="s">
        <v>20380</v>
      </c>
      <c r="BA1185" s="80" t="s">
        <v>20380</v>
      </c>
      <c r="BB1185" s="80" t="s">
        <v>20380</v>
      </c>
      <c r="BC1185" s="80" t="s">
        <v>17072</v>
      </c>
      <c r="BD1185" s="80" t="s">
        <v>20716</v>
      </c>
      <c r="BE1185" s="77"/>
      <c r="BF1185" s="77"/>
      <c r="BG1185" s="77"/>
      <c r="BH1185" s="77"/>
      <c r="BI1185" s="77"/>
    </row>
    <row r="1186" spans="1:61" x14ac:dyDescent="0.25">
      <c r="A1186" s="62" t="s">
        <v>683</v>
      </c>
      <c r="B1186" s="62" t="s">
        <v>1849</v>
      </c>
      <c r="C1186" s="63"/>
      <c r="D1186" s="64"/>
      <c r="E1186" s="65"/>
      <c r="F1186" s="66"/>
      <c r="G1186" s="63"/>
      <c r="H1186" s="67"/>
      <c r="I1186" s="68"/>
      <c r="J1186" s="68"/>
      <c r="K1186" s="32"/>
      <c r="L1186" s="75">
        <v>1186</v>
      </c>
      <c r="M1186" s="75"/>
      <c r="N1186" s="70"/>
      <c r="O1186" s="77" t="s">
        <v>2081</v>
      </c>
      <c r="P1186" s="79">
        <v>45149.004756944443</v>
      </c>
      <c r="Q1186" s="77" t="s">
        <v>3107</v>
      </c>
      <c r="R1186" s="77">
        <v>2</v>
      </c>
      <c r="S1186" s="77">
        <v>2</v>
      </c>
      <c r="T1186" s="77">
        <v>1</v>
      </c>
      <c r="U1186" s="77">
        <v>0</v>
      </c>
      <c r="V1186" s="77">
        <v>224</v>
      </c>
      <c r="W1186" s="80" t="s">
        <v>6734</v>
      </c>
      <c r="X1186" s="77"/>
      <c r="Y1186" s="77"/>
      <c r="Z1186" s="77" t="s">
        <v>1849</v>
      </c>
      <c r="AA1186" s="77" t="s">
        <v>9422</v>
      </c>
      <c r="AB1186" s="77" t="s">
        <v>10535</v>
      </c>
      <c r="AC1186" s="80" t="s">
        <v>10541</v>
      </c>
      <c r="AD1186" s="77" t="s">
        <v>10617</v>
      </c>
      <c r="AE1186" s="83" t="str">
        <f>HYPERLINK("https://twitter.com/economicageff/status/1689790442798280704")</f>
        <v>https://twitter.com/economicageff/status/1689790442798280704</v>
      </c>
      <c r="AF1186" s="79">
        <v>45149.004756944443</v>
      </c>
      <c r="AG1186" s="85">
        <v>45149</v>
      </c>
      <c r="AH1186" s="80" t="s">
        <v>11669</v>
      </c>
      <c r="AI1186" s="77" t="b">
        <v>0</v>
      </c>
      <c r="AJ1186" s="77"/>
      <c r="AK1186" s="77"/>
      <c r="AL1186" s="77"/>
      <c r="AM1186" s="77"/>
      <c r="AN1186" s="77"/>
      <c r="AO1186" s="77"/>
      <c r="AP1186" s="77"/>
      <c r="AQ1186" s="77" t="s">
        <v>14904</v>
      </c>
      <c r="AR1186" s="77"/>
      <c r="AS1186" s="77"/>
      <c r="AT1186" s="77"/>
      <c r="AU1186" s="77"/>
      <c r="AV1186" s="83" t="str">
        <f>HYPERLINK("https://pbs.twimg.com/media/F3NXFhJWoAAbtPI.png")</f>
        <v>https://pbs.twimg.com/media/F3NXFhJWoAAbtPI.png</v>
      </c>
      <c r="AW1186" s="80" t="s">
        <v>17073</v>
      </c>
      <c r="AX1186" s="80" t="s">
        <v>17073</v>
      </c>
      <c r="AY1186" s="77"/>
      <c r="AZ1186" s="80" t="s">
        <v>20380</v>
      </c>
      <c r="BA1186" s="80" t="s">
        <v>20380</v>
      </c>
      <c r="BB1186" s="80" t="s">
        <v>20380</v>
      </c>
      <c r="BC1186" s="80" t="s">
        <v>17073</v>
      </c>
      <c r="BD1186" s="80" t="s">
        <v>20264</v>
      </c>
      <c r="BE1186" s="77"/>
      <c r="BF1186" s="77"/>
      <c r="BG1186" s="77"/>
      <c r="BH1186" s="77"/>
      <c r="BI1186" s="77"/>
    </row>
    <row r="1187" spans="1:61" x14ac:dyDescent="0.25">
      <c r="A1187" s="62" t="s">
        <v>683</v>
      </c>
      <c r="B1187" s="62" t="s">
        <v>683</v>
      </c>
      <c r="C1187" s="63"/>
      <c r="D1187" s="64"/>
      <c r="E1187" s="65"/>
      <c r="F1187" s="66"/>
      <c r="G1187" s="63"/>
      <c r="H1187" s="67"/>
      <c r="I1187" s="68"/>
      <c r="J1187" s="68"/>
      <c r="K1187" s="32"/>
      <c r="L1187" s="75">
        <v>1187</v>
      </c>
      <c r="M1187" s="75"/>
      <c r="N1187" s="70"/>
      <c r="O1187" s="77" t="s">
        <v>2078</v>
      </c>
      <c r="P1187" s="79">
        <v>45152.670914351853</v>
      </c>
      <c r="Q1187" s="77" t="s">
        <v>3108</v>
      </c>
      <c r="R1187" s="77">
        <v>0</v>
      </c>
      <c r="S1187" s="77">
        <v>1</v>
      </c>
      <c r="T1187" s="77">
        <v>0</v>
      </c>
      <c r="U1187" s="77">
        <v>0</v>
      </c>
      <c r="V1187" s="77">
        <v>63</v>
      </c>
      <c r="W1187" s="80" t="s">
        <v>6735</v>
      </c>
      <c r="X1187" s="77"/>
      <c r="Y1187" s="77"/>
      <c r="Z1187" s="77" t="s">
        <v>1849</v>
      </c>
      <c r="AA1187" s="77"/>
      <c r="AB1187" s="77"/>
      <c r="AC1187" s="80" t="s">
        <v>10541</v>
      </c>
      <c r="AD1187" s="77" t="s">
        <v>10617</v>
      </c>
      <c r="AE1187" s="83" t="str">
        <f>HYPERLINK("https://twitter.com/economicageff/status/1691119017350840320")</f>
        <v>https://twitter.com/economicageff/status/1691119017350840320</v>
      </c>
      <c r="AF1187" s="79">
        <v>45152.670914351853</v>
      </c>
      <c r="AG1187" s="85">
        <v>45152</v>
      </c>
      <c r="AH1187" s="80" t="s">
        <v>11670</v>
      </c>
      <c r="AI1187" s="77"/>
      <c r="AJ1187" s="77"/>
      <c r="AK1187" s="77"/>
      <c r="AL1187" s="77"/>
      <c r="AM1187" s="77"/>
      <c r="AN1187" s="77"/>
      <c r="AO1187" s="77"/>
      <c r="AP1187" s="77"/>
      <c r="AQ1187" s="77"/>
      <c r="AR1187" s="77"/>
      <c r="AS1187" s="77"/>
      <c r="AT1187" s="77"/>
      <c r="AU1187" s="77"/>
      <c r="AV1187" s="83" t="str">
        <f>HYPERLINK("https://pbs.twimg.com/profile_images/1388871453630771202/ETd8tkO-_normal.jpg")</f>
        <v>https://pbs.twimg.com/profile_images/1388871453630771202/ETd8tkO-_normal.jpg</v>
      </c>
      <c r="AW1187" s="80" t="s">
        <v>17074</v>
      </c>
      <c r="AX1187" s="80" t="s">
        <v>20008</v>
      </c>
      <c r="AY1187" s="80" t="s">
        <v>20264</v>
      </c>
      <c r="AZ1187" s="80" t="s">
        <v>20405</v>
      </c>
      <c r="BA1187" s="80" t="s">
        <v>20380</v>
      </c>
      <c r="BB1187" s="80" t="s">
        <v>20380</v>
      </c>
      <c r="BC1187" s="80" t="s">
        <v>20405</v>
      </c>
      <c r="BD1187" s="80" t="s">
        <v>20264</v>
      </c>
      <c r="BE1187" s="77"/>
      <c r="BF1187" s="77"/>
      <c r="BG1187" s="77"/>
      <c r="BH1187" s="77"/>
      <c r="BI1187" s="77"/>
    </row>
    <row r="1188" spans="1:61" x14ac:dyDescent="0.25">
      <c r="A1188" s="62" t="s">
        <v>683</v>
      </c>
      <c r="B1188" s="62" t="s">
        <v>683</v>
      </c>
      <c r="C1188" s="63"/>
      <c r="D1188" s="64"/>
      <c r="E1188" s="65"/>
      <c r="F1188" s="66"/>
      <c r="G1188" s="63"/>
      <c r="H1188" s="67"/>
      <c r="I1188" s="68"/>
      <c r="J1188" s="68"/>
      <c r="K1188" s="32"/>
      <c r="L1188" s="75">
        <v>1188</v>
      </c>
      <c r="M1188" s="75"/>
      <c r="N1188" s="70"/>
      <c r="O1188" s="77" t="s">
        <v>2078</v>
      </c>
      <c r="P1188" s="79">
        <v>45153.591053240743</v>
      </c>
      <c r="Q1188" s="77" t="s">
        <v>3109</v>
      </c>
      <c r="R1188" s="77">
        <v>1</v>
      </c>
      <c r="S1188" s="77">
        <v>1</v>
      </c>
      <c r="T1188" s="77">
        <v>0</v>
      </c>
      <c r="U1188" s="77">
        <v>0</v>
      </c>
      <c r="V1188" s="77">
        <v>121</v>
      </c>
      <c r="W1188" s="80" t="s">
        <v>6736</v>
      </c>
      <c r="X1188" s="77"/>
      <c r="Y1188" s="77"/>
      <c r="Z1188" s="77" t="s">
        <v>1849</v>
      </c>
      <c r="AA1188" s="77"/>
      <c r="AB1188" s="77"/>
      <c r="AC1188" s="80" t="s">
        <v>10541</v>
      </c>
      <c r="AD1188" s="77" t="s">
        <v>10617</v>
      </c>
      <c r="AE1188" s="83" t="str">
        <f>HYPERLINK("https://twitter.com/economicageff/status/1691452460941135875")</f>
        <v>https://twitter.com/economicageff/status/1691452460941135875</v>
      </c>
      <c r="AF1188" s="79">
        <v>45153.591053240743</v>
      </c>
      <c r="AG1188" s="85">
        <v>45153</v>
      </c>
      <c r="AH1188" s="80" t="s">
        <v>11671</v>
      </c>
      <c r="AI1188" s="77"/>
      <c r="AJ1188" s="77"/>
      <c r="AK1188" s="77"/>
      <c r="AL1188" s="77"/>
      <c r="AM1188" s="77"/>
      <c r="AN1188" s="77"/>
      <c r="AO1188" s="77"/>
      <c r="AP1188" s="77"/>
      <c r="AQ1188" s="77"/>
      <c r="AR1188" s="77"/>
      <c r="AS1188" s="77"/>
      <c r="AT1188" s="77"/>
      <c r="AU1188" s="77"/>
      <c r="AV1188" s="83" t="str">
        <f>HYPERLINK("https://pbs.twimg.com/profile_images/1388871453630771202/ETd8tkO-_normal.jpg")</f>
        <v>https://pbs.twimg.com/profile_images/1388871453630771202/ETd8tkO-_normal.jpg</v>
      </c>
      <c r="AW1188" s="80" t="s">
        <v>17075</v>
      </c>
      <c r="AX1188" s="80" t="s">
        <v>20009</v>
      </c>
      <c r="AY1188" s="80" t="s">
        <v>20264</v>
      </c>
      <c r="AZ1188" s="80" t="s">
        <v>20406</v>
      </c>
      <c r="BA1188" s="80" t="s">
        <v>20380</v>
      </c>
      <c r="BB1188" s="80" t="s">
        <v>20380</v>
      </c>
      <c r="BC1188" s="80" t="s">
        <v>20406</v>
      </c>
      <c r="BD1188" s="80" t="s">
        <v>20264</v>
      </c>
      <c r="BE1188" s="77"/>
      <c r="BF1188" s="77"/>
      <c r="BG1188" s="77"/>
      <c r="BH1188" s="77"/>
      <c r="BI1188" s="77"/>
    </row>
    <row r="1189" spans="1:61" x14ac:dyDescent="0.25">
      <c r="A1189" s="62" t="s">
        <v>683</v>
      </c>
      <c r="B1189" s="62" t="s">
        <v>683</v>
      </c>
      <c r="C1189" s="63"/>
      <c r="D1189" s="64"/>
      <c r="E1189" s="65"/>
      <c r="F1189" s="66"/>
      <c r="G1189" s="63"/>
      <c r="H1189" s="67"/>
      <c r="I1189" s="68"/>
      <c r="J1189" s="68"/>
      <c r="K1189" s="32"/>
      <c r="L1189" s="75">
        <v>1189</v>
      </c>
      <c r="M1189" s="75"/>
      <c r="N1189" s="70"/>
      <c r="O1189" s="77" t="s">
        <v>2078</v>
      </c>
      <c r="P1189" s="79">
        <v>45155.664224537039</v>
      </c>
      <c r="Q1189" s="77" t="s">
        <v>3110</v>
      </c>
      <c r="R1189" s="77">
        <v>1</v>
      </c>
      <c r="S1189" s="77">
        <v>1</v>
      </c>
      <c r="T1189" s="77">
        <v>0</v>
      </c>
      <c r="U1189" s="77">
        <v>0</v>
      </c>
      <c r="V1189" s="77">
        <v>48</v>
      </c>
      <c r="W1189" s="80" t="s">
        <v>6737</v>
      </c>
      <c r="X1189" s="77"/>
      <c r="Y1189" s="77"/>
      <c r="Z1189" s="77" t="s">
        <v>1849</v>
      </c>
      <c r="AA1189" s="77"/>
      <c r="AB1189" s="77"/>
      <c r="AC1189" s="80" t="s">
        <v>10541</v>
      </c>
      <c r="AD1189" s="77" t="s">
        <v>10617</v>
      </c>
      <c r="AE1189" s="83" t="str">
        <f>HYPERLINK("https://twitter.com/economicageff/status/1692203756471951449")</f>
        <v>https://twitter.com/economicageff/status/1692203756471951449</v>
      </c>
      <c r="AF1189" s="79">
        <v>45155.664224537039</v>
      </c>
      <c r="AG1189" s="85">
        <v>45155</v>
      </c>
      <c r="AH1189" s="80" t="s">
        <v>11672</v>
      </c>
      <c r="AI1189" s="77"/>
      <c r="AJ1189" s="77"/>
      <c r="AK1189" s="77"/>
      <c r="AL1189" s="77"/>
      <c r="AM1189" s="77"/>
      <c r="AN1189" s="77"/>
      <c r="AO1189" s="77"/>
      <c r="AP1189" s="77"/>
      <c r="AQ1189" s="77"/>
      <c r="AR1189" s="77"/>
      <c r="AS1189" s="77"/>
      <c r="AT1189" s="77"/>
      <c r="AU1189" s="77"/>
      <c r="AV1189" s="83" t="str">
        <f>HYPERLINK("https://pbs.twimg.com/profile_images/1388871453630771202/ETd8tkO-_normal.jpg")</f>
        <v>https://pbs.twimg.com/profile_images/1388871453630771202/ETd8tkO-_normal.jpg</v>
      </c>
      <c r="AW1189" s="80" t="s">
        <v>17076</v>
      </c>
      <c r="AX1189" s="80" t="s">
        <v>20010</v>
      </c>
      <c r="AY1189" s="80" t="s">
        <v>20264</v>
      </c>
      <c r="AZ1189" s="80" t="s">
        <v>20407</v>
      </c>
      <c r="BA1189" s="80" t="s">
        <v>20380</v>
      </c>
      <c r="BB1189" s="80" t="s">
        <v>20380</v>
      </c>
      <c r="BC1189" s="80" t="s">
        <v>20407</v>
      </c>
      <c r="BD1189" s="80" t="s">
        <v>20264</v>
      </c>
      <c r="BE1189" s="77"/>
      <c r="BF1189" s="77"/>
      <c r="BG1189" s="77"/>
      <c r="BH1189" s="77"/>
      <c r="BI1189" s="77"/>
    </row>
    <row r="1190" spans="1:61" x14ac:dyDescent="0.25">
      <c r="A1190" s="62" t="s">
        <v>683</v>
      </c>
      <c r="B1190" s="62" t="s">
        <v>683</v>
      </c>
      <c r="C1190" s="63"/>
      <c r="D1190" s="64"/>
      <c r="E1190" s="65"/>
      <c r="F1190" s="66"/>
      <c r="G1190" s="63"/>
      <c r="H1190" s="67"/>
      <c r="I1190" s="68"/>
      <c r="J1190" s="68"/>
      <c r="K1190" s="32"/>
      <c r="L1190" s="75">
        <v>1190</v>
      </c>
      <c r="M1190" s="75"/>
      <c r="N1190" s="70"/>
      <c r="O1190" s="77" t="s">
        <v>2078</v>
      </c>
      <c r="P1190" s="79">
        <v>45154.613611111112</v>
      </c>
      <c r="Q1190" s="77" t="s">
        <v>3111</v>
      </c>
      <c r="R1190" s="77">
        <v>1</v>
      </c>
      <c r="S1190" s="77">
        <v>3</v>
      </c>
      <c r="T1190" s="77">
        <v>0</v>
      </c>
      <c r="U1190" s="77">
        <v>0</v>
      </c>
      <c r="V1190" s="77">
        <v>100</v>
      </c>
      <c r="W1190" s="80" t="s">
        <v>6738</v>
      </c>
      <c r="X1190" s="77"/>
      <c r="Y1190" s="77"/>
      <c r="Z1190" s="77" t="s">
        <v>1849</v>
      </c>
      <c r="AA1190" s="77"/>
      <c r="AB1190" s="77"/>
      <c r="AC1190" s="80" t="s">
        <v>10541</v>
      </c>
      <c r="AD1190" s="77" t="s">
        <v>10617</v>
      </c>
      <c r="AE1190" s="83" t="str">
        <f>HYPERLINK("https://twitter.com/economicageff/status/1691823026420015476")</f>
        <v>https://twitter.com/economicageff/status/1691823026420015476</v>
      </c>
      <c r="AF1190" s="79">
        <v>45154.613611111112</v>
      </c>
      <c r="AG1190" s="85">
        <v>45154</v>
      </c>
      <c r="AH1190" s="80" t="s">
        <v>11673</v>
      </c>
      <c r="AI1190" s="77"/>
      <c r="AJ1190" s="77"/>
      <c r="AK1190" s="77"/>
      <c r="AL1190" s="77"/>
      <c r="AM1190" s="77"/>
      <c r="AN1190" s="77"/>
      <c r="AO1190" s="77"/>
      <c r="AP1190" s="77"/>
      <c r="AQ1190" s="77"/>
      <c r="AR1190" s="77"/>
      <c r="AS1190" s="77"/>
      <c r="AT1190" s="77"/>
      <c r="AU1190" s="77"/>
      <c r="AV1190" s="83" t="str">
        <f>HYPERLINK("https://pbs.twimg.com/profile_images/1388871453630771202/ETd8tkO-_normal.jpg")</f>
        <v>https://pbs.twimg.com/profile_images/1388871453630771202/ETd8tkO-_normal.jpg</v>
      </c>
      <c r="AW1190" s="80" t="s">
        <v>17077</v>
      </c>
      <c r="AX1190" s="80" t="s">
        <v>20011</v>
      </c>
      <c r="AY1190" s="80" t="s">
        <v>20264</v>
      </c>
      <c r="AZ1190" s="80" t="s">
        <v>20408</v>
      </c>
      <c r="BA1190" s="80" t="s">
        <v>20380</v>
      </c>
      <c r="BB1190" s="80" t="s">
        <v>20380</v>
      </c>
      <c r="BC1190" s="80" t="s">
        <v>20408</v>
      </c>
      <c r="BD1190" s="80" t="s">
        <v>20264</v>
      </c>
      <c r="BE1190" s="77"/>
      <c r="BF1190" s="77"/>
      <c r="BG1190" s="77"/>
      <c r="BH1190" s="77"/>
      <c r="BI1190" s="77"/>
    </row>
    <row r="1191" spans="1:61" x14ac:dyDescent="0.25">
      <c r="A1191" s="62" t="s">
        <v>683</v>
      </c>
      <c r="B1191" s="62" t="s">
        <v>683</v>
      </c>
      <c r="C1191" s="63"/>
      <c r="D1191" s="64"/>
      <c r="E1191" s="65"/>
      <c r="F1191" s="66"/>
      <c r="G1191" s="63"/>
      <c r="H1191" s="67"/>
      <c r="I1191" s="68"/>
      <c r="J1191" s="68"/>
      <c r="K1191" s="32"/>
      <c r="L1191" s="75">
        <v>1191</v>
      </c>
      <c r="M1191" s="75"/>
      <c r="N1191" s="70"/>
      <c r="O1191" s="77" t="s">
        <v>2078</v>
      </c>
      <c r="P1191" s="79">
        <v>45152.960046296299</v>
      </c>
      <c r="Q1191" s="77" t="s">
        <v>3112</v>
      </c>
      <c r="R1191" s="77">
        <v>0</v>
      </c>
      <c r="S1191" s="77">
        <v>1</v>
      </c>
      <c r="T1191" s="77">
        <v>0</v>
      </c>
      <c r="U1191" s="77">
        <v>0</v>
      </c>
      <c r="V1191" s="77">
        <v>69</v>
      </c>
      <c r="W1191" s="80" t="s">
        <v>6735</v>
      </c>
      <c r="X1191" s="77"/>
      <c r="Y1191" s="77"/>
      <c r="Z1191" s="77" t="s">
        <v>1849</v>
      </c>
      <c r="AA1191" s="77"/>
      <c r="AB1191" s="77"/>
      <c r="AC1191" s="80" t="s">
        <v>10541</v>
      </c>
      <c r="AD1191" s="77" t="s">
        <v>10617</v>
      </c>
      <c r="AE1191" s="83" t="str">
        <f>HYPERLINK("https://twitter.com/economicageff/status/1691223793367187456")</f>
        <v>https://twitter.com/economicageff/status/1691223793367187456</v>
      </c>
      <c r="AF1191" s="79">
        <v>45152.960046296299</v>
      </c>
      <c r="AG1191" s="85">
        <v>45152</v>
      </c>
      <c r="AH1191" s="80" t="s">
        <v>11674</v>
      </c>
      <c r="AI1191" s="77"/>
      <c r="AJ1191" s="77"/>
      <c r="AK1191" s="77"/>
      <c r="AL1191" s="77"/>
      <c r="AM1191" s="77"/>
      <c r="AN1191" s="77"/>
      <c r="AO1191" s="77"/>
      <c r="AP1191" s="77"/>
      <c r="AQ1191" s="77"/>
      <c r="AR1191" s="77"/>
      <c r="AS1191" s="77"/>
      <c r="AT1191" s="77"/>
      <c r="AU1191" s="77"/>
      <c r="AV1191" s="83" t="str">
        <f>HYPERLINK("https://pbs.twimg.com/profile_images/1388871453630771202/ETd8tkO-_normal.jpg")</f>
        <v>https://pbs.twimg.com/profile_images/1388871453630771202/ETd8tkO-_normal.jpg</v>
      </c>
      <c r="AW1191" s="80" t="s">
        <v>17078</v>
      </c>
      <c r="AX1191" s="80" t="s">
        <v>20012</v>
      </c>
      <c r="AY1191" s="80" t="s">
        <v>20264</v>
      </c>
      <c r="AZ1191" s="80" t="s">
        <v>20409</v>
      </c>
      <c r="BA1191" s="80" t="s">
        <v>20380</v>
      </c>
      <c r="BB1191" s="80" t="s">
        <v>20380</v>
      </c>
      <c r="BC1191" s="80" t="s">
        <v>20409</v>
      </c>
      <c r="BD1191" s="80" t="s">
        <v>20264</v>
      </c>
      <c r="BE1191" s="77"/>
      <c r="BF1191" s="77"/>
      <c r="BG1191" s="77"/>
      <c r="BH1191" s="77"/>
      <c r="BI1191" s="77"/>
    </row>
    <row r="1192" spans="1:61" x14ac:dyDescent="0.25">
      <c r="A1192" s="62" t="s">
        <v>684</v>
      </c>
      <c r="B1192" s="62" t="s">
        <v>684</v>
      </c>
      <c r="C1192" s="63"/>
      <c r="D1192" s="64"/>
      <c r="E1192" s="65"/>
      <c r="F1192" s="66"/>
      <c r="G1192" s="63"/>
      <c r="H1192" s="67"/>
      <c r="I1192" s="68"/>
      <c r="J1192" s="68"/>
      <c r="K1192" s="32"/>
      <c r="L1192" s="75">
        <v>1192</v>
      </c>
      <c r="M1192" s="75"/>
      <c r="N1192" s="70"/>
      <c r="O1192" s="77" t="s">
        <v>179</v>
      </c>
      <c r="P1192" s="79">
        <v>45140.630347222221</v>
      </c>
      <c r="Q1192" s="77" t="s">
        <v>3113</v>
      </c>
      <c r="R1192" s="77">
        <v>12</v>
      </c>
      <c r="S1192" s="77">
        <v>20</v>
      </c>
      <c r="T1192" s="77">
        <v>1</v>
      </c>
      <c r="U1192" s="77">
        <v>1</v>
      </c>
      <c r="V1192" s="77">
        <v>534</v>
      </c>
      <c r="W1192" s="80" t="s">
        <v>6739</v>
      </c>
      <c r="X1192" s="77"/>
      <c r="Y1192" s="77"/>
      <c r="Z1192" s="77"/>
      <c r="AA1192" s="77" t="s">
        <v>9423</v>
      </c>
      <c r="AB1192" s="77" t="s">
        <v>10534</v>
      </c>
      <c r="AC1192" s="80" t="s">
        <v>10542</v>
      </c>
      <c r="AD1192" s="77" t="s">
        <v>10617</v>
      </c>
      <c r="AE1192" s="83" t="str">
        <f>HYPERLINK("https://twitter.com/jilmartatto/status/1686755658731749381")</f>
        <v>https://twitter.com/jilmartatto/status/1686755658731749381</v>
      </c>
      <c r="AF1192" s="79">
        <v>45140.630347222221</v>
      </c>
      <c r="AG1192" s="85">
        <v>45140</v>
      </c>
      <c r="AH1192" s="80" t="s">
        <v>11675</v>
      </c>
      <c r="AI1192" s="77" t="b">
        <v>0</v>
      </c>
      <c r="AJ1192" s="77"/>
      <c r="AK1192" s="77"/>
      <c r="AL1192" s="77"/>
      <c r="AM1192" s="77"/>
      <c r="AN1192" s="77"/>
      <c r="AO1192" s="77"/>
      <c r="AP1192" s="77"/>
      <c r="AQ1192" s="77" t="s">
        <v>14905</v>
      </c>
      <c r="AR1192" s="77">
        <v>55285</v>
      </c>
      <c r="AS1192" s="77"/>
      <c r="AT1192" s="77"/>
      <c r="AU1192" s="77"/>
      <c r="AV1192" s="83" t="str">
        <f>HYPERLINK("https://pbs.twimg.com/ext_tw_video_thumb/1686755616679739394/pu/img/VoJ8DkvStLrb7v7n.jpg")</f>
        <v>https://pbs.twimg.com/ext_tw_video_thumb/1686755616679739394/pu/img/VoJ8DkvStLrb7v7n.jpg</v>
      </c>
      <c r="AW1192" s="80" t="s">
        <v>17079</v>
      </c>
      <c r="AX1192" s="80" t="s">
        <v>17079</v>
      </c>
      <c r="AY1192" s="77"/>
      <c r="AZ1192" s="80" t="s">
        <v>20380</v>
      </c>
      <c r="BA1192" s="80" t="s">
        <v>20380</v>
      </c>
      <c r="BB1192" s="80" t="s">
        <v>20380</v>
      </c>
      <c r="BC1192" s="80" t="s">
        <v>17079</v>
      </c>
      <c r="BD1192" s="77">
        <v>52045368</v>
      </c>
      <c r="BE1192" s="77"/>
      <c r="BF1192" s="77"/>
      <c r="BG1192" s="77"/>
      <c r="BH1192" s="77"/>
      <c r="BI1192" s="77"/>
    </row>
    <row r="1193" spans="1:61" x14ac:dyDescent="0.25">
      <c r="A1193" s="62" t="s">
        <v>685</v>
      </c>
      <c r="B1193" s="62" t="s">
        <v>1424</v>
      </c>
      <c r="C1193" s="63"/>
      <c r="D1193" s="64"/>
      <c r="E1193" s="65"/>
      <c r="F1193" s="66"/>
      <c r="G1193" s="63"/>
      <c r="H1193" s="67"/>
      <c r="I1193" s="68"/>
      <c r="J1193" s="68"/>
      <c r="K1193" s="32"/>
      <c r="L1193" s="75">
        <v>1193</v>
      </c>
      <c r="M1193" s="75"/>
      <c r="N1193" s="70"/>
      <c r="O1193" s="77" t="s">
        <v>2082</v>
      </c>
      <c r="P1193" s="79">
        <v>45084.906122685185</v>
      </c>
      <c r="Q1193" s="77" t="s">
        <v>3114</v>
      </c>
      <c r="R1193" s="77">
        <v>0</v>
      </c>
      <c r="S1193" s="77">
        <v>3</v>
      </c>
      <c r="T1193" s="77">
        <v>0</v>
      </c>
      <c r="U1193" s="77">
        <v>0</v>
      </c>
      <c r="V1193" s="77">
        <v>56</v>
      </c>
      <c r="W1193" s="80" t="s">
        <v>5884</v>
      </c>
      <c r="X1193" s="77"/>
      <c r="Y1193" s="77"/>
      <c r="Z1193" s="77"/>
      <c r="AA1193" s="77"/>
      <c r="AB1193" s="77"/>
      <c r="AC1193" s="80" t="s">
        <v>10542</v>
      </c>
      <c r="AD1193" s="77" t="s">
        <v>10617</v>
      </c>
      <c r="AE1193" s="83" t="str">
        <f>HYPERLINK("https://twitter.com/florsete/status/1666561876916940800")</f>
        <v>https://twitter.com/florsete/status/1666561876916940800</v>
      </c>
      <c r="AF1193" s="79">
        <v>45084.906122685185</v>
      </c>
      <c r="AG1193" s="85">
        <v>45084</v>
      </c>
      <c r="AH1193" s="80" t="s">
        <v>11676</v>
      </c>
      <c r="AI1193" s="77"/>
      <c r="AJ1193" s="77"/>
      <c r="AK1193" s="77"/>
      <c r="AL1193" s="77"/>
      <c r="AM1193" s="77"/>
      <c r="AN1193" s="77"/>
      <c r="AO1193" s="77"/>
      <c r="AP1193" s="77"/>
      <c r="AQ1193" s="77"/>
      <c r="AR1193" s="77"/>
      <c r="AS1193" s="77"/>
      <c r="AT1193" s="77"/>
      <c r="AU1193" s="77"/>
      <c r="AV1193" s="83" t="str">
        <f>HYPERLINK("https://pbs.twimg.com/profile_images/1576768953493356546/VQ0gtL4x_normal.jpg")</f>
        <v>https://pbs.twimg.com/profile_images/1576768953493356546/VQ0gtL4x_normal.jpg</v>
      </c>
      <c r="AW1193" s="80" t="s">
        <v>17080</v>
      </c>
      <c r="AX1193" s="80" t="s">
        <v>17080</v>
      </c>
      <c r="AY1193" s="77"/>
      <c r="AZ1193" s="80" t="s">
        <v>20380</v>
      </c>
      <c r="BA1193" s="80" t="s">
        <v>19288</v>
      </c>
      <c r="BB1193" s="80" t="s">
        <v>20380</v>
      </c>
      <c r="BC1193" s="80" t="s">
        <v>19288</v>
      </c>
      <c r="BD1193" s="77">
        <v>16872315</v>
      </c>
      <c r="BE1193" s="77"/>
      <c r="BF1193" s="77"/>
      <c r="BG1193" s="77"/>
      <c r="BH1193" s="77"/>
      <c r="BI1193" s="77"/>
    </row>
    <row r="1194" spans="1:61" x14ac:dyDescent="0.25">
      <c r="A1194" s="62" t="s">
        <v>686</v>
      </c>
      <c r="B1194" s="62" t="s">
        <v>686</v>
      </c>
      <c r="C1194" s="63"/>
      <c r="D1194" s="64"/>
      <c r="E1194" s="65"/>
      <c r="F1194" s="66"/>
      <c r="G1194" s="63"/>
      <c r="H1194" s="67"/>
      <c r="I1194" s="68"/>
      <c r="J1194" s="68"/>
      <c r="K1194" s="32"/>
      <c r="L1194" s="75">
        <v>1194</v>
      </c>
      <c r="M1194" s="75"/>
      <c r="N1194" s="70"/>
      <c r="O1194" s="77" t="s">
        <v>179</v>
      </c>
      <c r="P1194" s="79">
        <v>45145.787233796298</v>
      </c>
      <c r="Q1194" s="77" t="s">
        <v>3115</v>
      </c>
      <c r="R1194" s="77">
        <v>0</v>
      </c>
      <c r="S1194" s="77">
        <v>1</v>
      </c>
      <c r="T1194" s="77">
        <v>2</v>
      </c>
      <c r="U1194" s="77">
        <v>0</v>
      </c>
      <c r="V1194" s="77">
        <v>128</v>
      </c>
      <c r="W1194" s="80" t="s">
        <v>6740</v>
      </c>
      <c r="X1194" s="77"/>
      <c r="Y1194" s="77"/>
      <c r="Z1194" s="77"/>
      <c r="AA1194" s="77" t="s">
        <v>9424</v>
      </c>
      <c r="AB1194" s="77" t="s">
        <v>10535</v>
      </c>
      <c r="AC1194" s="80" t="s">
        <v>10542</v>
      </c>
      <c r="AD1194" s="77" t="s">
        <v>10617</v>
      </c>
      <c r="AE1194" s="83" t="str">
        <f>HYPERLINK("https://twitter.com/carlosteles__/status/1688624453293350913")</f>
        <v>https://twitter.com/carlosteles__/status/1688624453293350913</v>
      </c>
      <c r="AF1194" s="79">
        <v>45145.787233796298</v>
      </c>
      <c r="AG1194" s="85">
        <v>45145</v>
      </c>
      <c r="AH1194" s="80" t="s">
        <v>11677</v>
      </c>
      <c r="AI1194" s="77" t="b">
        <v>0</v>
      </c>
      <c r="AJ1194" s="77"/>
      <c r="AK1194" s="77"/>
      <c r="AL1194" s="77"/>
      <c r="AM1194" s="77"/>
      <c r="AN1194" s="77"/>
      <c r="AO1194" s="77"/>
      <c r="AP1194" s="77"/>
      <c r="AQ1194" s="77" t="s">
        <v>14906</v>
      </c>
      <c r="AR1194" s="77"/>
      <c r="AS1194" s="77"/>
      <c r="AT1194" s="77"/>
      <c r="AU1194" s="77"/>
      <c r="AV1194" s="83" t="str">
        <f>HYPERLINK("https://pbs.twimg.com/media/F28y_QMWgAAzy-9.jpg")</f>
        <v>https://pbs.twimg.com/media/F28y_QMWgAAzy-9.jpg</v>
      </c>
      <c r="AW1194" s="80" t="s">
        <v>17081</v>
      </c>
      <c r="AX1194" s="80" t="s">
        <v>17081</v>
      </c>
      <c r="AY1194" s="77"/>
      <c r="AZ1194" s="80" t="s">
        <v>20380</v>
      </c>
      <c r="BA1194" s="80" t="s">
        <v>20380</v>
      </c>
      <c r="BB1194" s="80" t="s">
        <v>20380</v>
      </c>
      <c r="BC1194" s="80" t="s">
        <v>17081</v>
      </c>
      <c r="BD1194" s="80" t="s">
        <v>20265</v>
      </c>
      <c r="BE1194" s="77"/>
      <c r="BF1194" s="77"/>
      <c r="BG1194" s="77"/>
      <c r="BH1194" s="77"/>
      <c r="BI1194" s="77"/>
    </row>
    <row r="1195" spans="1:61" x14ac:dyDescent="0.25">
      <c r="A1195" s="62" t="s">
        <v>686</v>
      </c>
      <c r="B1195" s="62" t="s">
        <v>686</v>
      </c>
      <c r="C1195" s="63"/>
      <c r="D1195" s="64"/>
      <c r="E1195" s="65"/>
      <c r="F1195" s="66"/>
      <c r="G1195" s="63"/>
      <c r="H1195" s="67"/>
      <c r="I1195" s="68"/>
      <c r="J1195" s="68"/>
      <c r="K1195" s="32"/>
      <c r="L1195" s="75">
        <v>1195</v>
      </c>
      <c r="M1195" s="75"/>
      <c r="N1195" s="70"/>
      <c r="O1195" s="77" t="s">
        <v>2078</v>
      </c>
      <c r="P1195" s="79">
        <v>45141.769780092596</v>
      </c>
      <c r="Q1195" s="77" t="s">
        <v>3116</v>
      </c>
      <c r="R1195" s="77">
        <v>0</v>
      </c>
      <c r="S1195" s="77">
        <v>1</v>
      </c>
      <c r="T1195" s="77">
        <v>0</v>
      </c>
      <c r="U1195" s="77">
        <v>0</v>
      </c>
      <c r="V1195" s="77">
        <v>45</v>
      </c>
      <c r="W1195" s="80" t="s">
        <v>6741</v>
      </c>
      <c r="X1195" s="77"/>
      <c r="Y1195" s="77"/>
      <c r="Z1195" s="77"/>
      <c r="AA1195" s="77"/>
      <c r="AB1195" s="77"/>
      <c r="AC1195" s="80" t="s">
        <v>10542</v>
      </c>
      <c r="AD1195" s="77" t="s">
        <v>10617</v>
      </c>
      <c r="AE1195" s="83" t="str">
        <f>HYPERLINK("https://twitter.com/carlosteles__/status/1687168577684537344")</f>
        <v>https://twitter.com/carlosteles__/status/1687168577684537344</v>
      </c>
      <c r="AF1195" s="79">
        <v>45141.769780092596</v>
      </c>
      <c r="AG1195" s="85">
        <v>45141</v>
      </c>
      <c r="AH1195" s="80" t="s">
        <v>11678</v>
      </c>
      <c r="AI1195" s="77"/>
      <c r="AJ1195" s="77"/>
      <c r="AK1195" s="77"/>
      <c r="AL1195" s="77"/>
      <c r="AM1195" s="77"/>
      <c r="AN1195" s="77"/>
      <c r="AO1195" s="77"/>
      <c r="AP1195" s="77"/>
      <c r="AQ1195" s="77"/>
      <c r="AR1195" s="77"/>
      <c r="AS1195" s="77"/>
      <c r="AT1195" s="77"/>
      <c r="AU1195" s="77"/>
      <c r="AV1195" s="83" t="str">
        <f>HYPERLINK("https://pbs.twimg.com/profile_images/1686086918222589952/6Iva1pFO_normal.jpg")</f>
        <v>https://pbs.twimg.com/profile_images/1686086918222589952/6Iva1pFO_normal.jpg</v>
      </c>
      <c r="AW1195" s="80" t="s">
        <v>17082</v>
      </c>
      <c r="AX1195" s="80" t="s">
        <v>20013</v>
      </c>
      <c r="AY1195" s="80" t="s">
        <v>20265</v>
      </c>
      <c r="AZ1195" s="80" t="s">
        <v>20013</v>
      </c>
      <c r="BA1195" s="80" t="s">
        <v>20380</v>
      </c>
      <c r="BB1195" s="80" t="s">
        <v>20380</v>
      </c>
      <c r="BC1195" s="80" t="s">
        <v>20013</v>
      </c>
      <c r="BD1195" s="80" t="s">
        <v>20265</v>
      </c>
      <c r="BE1195" s="77"/>
      <c r="BF1195" s="77"/>
      <c r="BG1195" s="77"/>
      <c r="BH1195" s="77"/>
      <c r="BI1195" s="77"/>
    </row>
    <row r="1196" spans="1:61" x14ac:dyDescent="0.25">
      <c r="A1196" s="62" t="s">
        <v>687</v>
      </c>
      <c r="B1196" s="62" t="s">
        <v>1850</v>
      </c>
      <c r="C1196" s="63"/>
      <c r="D1196" s="64"/>
      <c r="E1196" s="65"/>
      <c r="F1196" s="66"/>
      <c r="G1196" s="63"/>
      <c r="H1196" s="67"/>
      <c r="I1196" s="68"/>
      <c r="J1196" s="68"/>
      <c r="K1196" s="32"/>
      <c r="L1196" s="75">
        <v>1196</v>
      </c>
      <c r="M1196" s="75"/>
      <c r="N1196" s="70"/>
      <c r="O1196" s="77" t="s">
        <v>2081</v>
      </c>
      <c r="P1196" s="79">
        <v>45163.307534722226</v>
      </c>
      <c r="Q1196" s="77" t="s">
        <v>3117</v>
      </c>
      <c r="R1196" s="77">
        <v>0</v>
      </c>
      <c r="S1196" s="77">
        <v>1</v>
      </c>
      <c r="T1196" s="77">
        <v>0</v>
      </c>
      <c r="U1196" s="77">
        <v>0</v>
      </c>
      <c r="V1196" s="77">
        <v>169</v>
      </c>
      <c r="W1196" s="80" t="s">
        <v>6742</v>
      </c>
      <c r="X1196" s="83" t="str">
        <f>HYPERLINK("https://tinyurl.com/mv2jp88n")</f>
        <v>https://tinyurl.com/mv2jp88n</v>
      </c>
      <c r="Y1196" s="77" t="s">
        <v>8670</v>
      </c>
      <c r="Z1196" s="77" t="s">
        <v>1850</v>
      </c>
      <c r="AA1196" s="77" t="s">
        <v>9425</v>
      </c>
      <c r="AB1196" s="77" t="s">
        <v>10535</v>
      </c>
      <c r="AC1196" s="80" t="s">
        <v>10541</v>
      </c>
      <c r="AD1196" s="77" t="s">
        <v>10620</v>
      </c>
      <c r="AE1196" s="83" t="str">
        <f>HYPERLINK("https://twitter.com/consensomercado/status/1694973596005761355")</f>
        <v>https://twitter.com/consensomercado/status/1694973596005761355</v>
      </c>
      <c r="AF1196" s="79">
        <v>45163.307534722226</v>
      </c>
      <c r="AG1196" s="85">
        <v>45163</v>
      </c>
      <c r="AH1196" s="80" t="s">
        <v>11679</v>
      </c>
      <c r="AI1196" s="77" t="b">
        <v>0</v>
      </c>
      <c r="AJ1196" s="77"/>
      <c r="AK1196" s="77"/>
      <c r="AL1196" s="77"/>
      <c r="AM1196" s="77"/>
      <c r="AN1196" s="77"/>
      <c r="AO1196" s="77"/>
      <c r="AP1196" s="77"/>
      <c r="AQ1196" s="77" t="s">
        <v>14907</v>
      </c>
      <c r="AR1196" s="77"/>
      <c r="AS1196" s="77"/>
      <c r="AT1196" s="77"/>
      <c r="AU1196" s="77"/>
      <c r="AV1196" s="83" t="str">
        <f>HYPERLINK("https://pbs.twimg.com/media/F4XBf3BWYAAjhH7.jpg")</f>
        <v>https://pbs.twimg.com/media/F4XBf3BWYAAjhH7.jpg</v>
      </c>
      <c r="AW1196" s="80" t="s">
        <v>17083</v>
      </c>
      <c r="AX1196" s="80" t="s">
        <v>17083</v>
      </c>
      <c r="AY1196" s="77"/>
      <c r="AZ1196" s="80" t="s">
        <v>20380</v>
      </c>
      <c r="BA1196" s="80" t="s">
        <v>20380</v>
      </c>
      <c r="BB1196" s="80" t="s">
        <v>20380</v>
      </c>
      <c r="BC1196" s="80" t="s">
        <v>17083</v>
      </c>
      <c r="BD1196" s="77">
        <v>270329897</v>
      </c>
      <c r="BE1196" s="77"/>
      <c r="BF1196" s="77"/>
      <c r="BG1196" s="77"/>
      <c r="BH1196" s="77"/>
      <c r="BI1196" s="77"/>
    </row>
    <row r="1197" spans="1:61" x14ac:dyDescent="0.25">
      <c r="A1197" s="62" t="s">
        <v>687</v>
      </c>
      <c r="B1197" s="62" t="s">
        <v>1851</v>
      </c>
      <c r="C1197" s="63"/>
      <c r="D1197" s="64"/>
      <c r="E1197" s="65"/>
      <c r="F1197" s="66"/>
      <c r="G1197" s="63"/>
      <c r="H1197" s="67"/>
      <c r="I1197" s="68"/>
      <c r="J1197" s="68"/>
      <c r="K1197" s="32"/>
      <c r="L1197" s="75">
        <v>1197</v>
      </c>
      <c r="M1197" s="75"/>
      <c r="N1197" s="70"/>
      <c r="O1197" s="77" t="s">
        <v>2081</v>
      </c>
      <c r="P1197" s="79">
        <v>45125.711111111108</v>
      </c>
      <c r="Q1197" s="77" t="s">
        <v>3118</v>
      </c>
      <c r="R1197" s="77">
        <v>0</v>
      </c>
      <c r="S1197" s="77">
        <v>0</v>
      </c>
      <c r="T1197" s="77">
        <v>0</v>
      </c>
      <c r="U1197" s="77">
        <v>0</v>
      </c>
      <c r="V1197" s="77">
        <v>97</v>
      </c>
      <c r="W1197" s="80" t="s">
        <v>6743</v>
      </c>
      <c r="X1197" s="83" t="str">
        <f>HYPERLINK("https://tinyurl.com/2p9f46kt")</f>
        <v>https://tinyurl.com/2p9f46kt</v>
      </c>
      <c r="Y1197" s="77" t="s">
        <v>8670</v>
      </c>
      <c r="Z1197" s="77" t="s">
        <v>1851</v>
      </c>
      <c r="AA1197" s="77" t="s">
        <v>9426</v>
      </c>
      <c r="AB1197" s="77" t="s">
        <v>10535</v>
      </c>
      <c r="AC1197" s="80" t="s">
        <v>10555</v>
      </c>
      <c r="AD1197" s="77" t="s">
        <v>10620</v>
      </c>
      <c r="AE1197" s="83" t="str">
        <f>HYPERLINK("https://twitter.com/consensomercado/status/1681349109285007360")</f>
        <v>https://twitter.com/consensomercado/status/1681349109285007360</v>
      </c>
      <c r="AF1197" s="79">
        <v>45125.711111111108</v>
      </c>
      <c r="AG1197" s="85">
        <v>45125</v>
      </c>
      <c r="AH1197" s="80" t="s">
        <v>11680</v>
      </c>
      <c r="AI1197" s="77" t="b">
        <v>0</v>
      </c>
      <c r="AJ1197" s="77"/>
      <c r="AK1197" s="77"/>
      <c r="AL1197" s="77"/>
      <c r="AM1197" s="77"/>
      <c r="AN1197" s="77"/>
      <c r="AO1197" s="77"/>
      <c r="AP1197" s="77"/>
      <c r="AQ1197" s="77" t="s">
        <v>14908</v>
      </c>
      <c r="AR1197" s="77"/>
      <c r="AS1197" s="77"/>
      <c r="AT1197" s="77"/>
      <c r="AU1197" s="77"/>
      <c r="AV1197" s="83" t="str">
        <f>HYPERLINK("https://pbs.twimg.com/media/F1UHiXrWIAAU9AI.jpg")</f>
        <v>https://pbs.twimg.com/media/F1UHiXrWIAAU9AI.jpg</v>
      </c>
      <c r="AW1197" s="80" t="s">
        <v>17084</v>
      </c>
      <c r="AX1197" s="80" t="s">
        <v>17084</v>
      </c>
      <c r="AY1197" s="77"/>
      <c r="AZ1197" s="80" t="s">
        <v>20380</v>
      </c>
      <c r="BA1197" s="80" t="s">
        <v>20380</v>
      </c>
      <c r="BB1197" s="80" t="s">
        <v>20380</v>
      </c>
      <c r="BC1197" s="80" t="s">
        <v>17084</v>
      </c>
      <c r="BD1197" s="77">
        <v>270329897</v>
      </c>
      <c r="BE1197" s="77"/>
      <c r="BF1197" s="77"/>
      <c r="BG1197" s="77"/>
      <c r="BH1197" s="77"/>
      <c r="BI1197" s="77"/>
    </row>
    <row r="1198" spans="1:61" x14ac:dyDescent="0.25">
      <c r="A1198" s="62" t="s">
        <v>687</v>
      </c>
      <c r="B1198" s="62" t="s">
        <v>1852</v>
      </c>
      <c r="C1198" s="63"/>
      <c r="D1198" s="64"/>
      <c r="E1198" s="65"/>
      <c r="F1198" s="66"/>
      <c r="G1198" s="63"/>
      <c r="H1198" s="67"/>
      <c r="I1198" s="68"/>
      <c r="J1198" s="68"/>
      <c r="K1198" s="32"/>
      <c r="L1198" s="75">
        <v>1198</v>
      </c>
      <c r="M1198" s="75"/>
      <c r="N1198" s="70"/>
      <c r="O1198" s="77" t="s">
        <v>2081</v>
      </c>
      <c r="P1198" s="79">
        <v>45190.333356481482</v>
      </c>
      <c r="Q1198" s="77" t="s">
        <v>3119</v>
      </c>
      <c r="R1198" s="77">
        <v>0</v>
      </c>
      <c r="S1198" s="77">
        <v>0</v>
      </c>
      <c r="T1198" s="77">
        <v>0</v>
      </c>
      <c r="U1198" s="77">
        <v>0</v>
      </c>
      <c r="V1198" s="77">
        <v>115</v>
      </c>
      <c r="W1198" s="80" t="s">
        <v>5884</v>
      </c>
      <c r="X1198" s="83" t="str">
        <f>HYPERLINK("https://tinyurl.com/5hd5f7hx")</f>
        <v>https://tinyurl.com/5hd5f7hx</v>
      </c>
      <c r="Y1198" s="77" t="s">
        <v>8670</v>
      </c>
      <c r="Z1198" s="77" t="s">
        <v>1852</v>
      </c>
      <c r="AA1198" s="77" t="s">
        <v>9427</v>
      </c>
      <c r="AB1198" s="77" t="s">
        <v>10535</v>
      </c>
      <c r="AC1198" s="80" t="s">
        <v>10541</v>
      </c>
      <c r="AD1198" s="77" t="s">
        <v>10620</v>
      </c>
      <c r="AE1198" s="83" t="str">
        <f>HYPERLINK("https://twitter.com/consensomercado/status/1704767427278770301")</f>
        <v>https://twitter.com/consensomercado/status/1704767427278770301</v>
      </c>
      <c r="AF1198" s="79">
        <v>45190.333356481482</v>
      </c>
      <c r="AG1198" s="85">
        <v>45190</v>
      </c>
      <c r="AH1198" s="80" t="s">
        <v>11681</v>
      </c>
      <c r="AI1198" s="77" t="b">
        <v>0</v>
      </c>
      <c r="AJ1198" s="77"/>
      <c r="AK1198" s="77"/>
      <c r="AL1198" s="77"/>
      <c r="AM1198" s="77"/>
      <c r="AN1198" s="77"/>
      <c r="AO1198" s="77"/>
      <c r="AP1198" s="77"/>
      <c r="AQ1198" s="77" t="s">
        <v>14909</v>
      </c>
      <c r="AR1198" s="77"/>
      <c r="AS1198" s="77"/>
      <c r="AT1198" s="77"/>
      <c r="AU1198" s="77"/>
      <c r="AV1198" s="83" t="str">
        <f>HYPERLINK("https://pbs.twimg.com/media/F6iG6k9XwAANVKG.jpg")</f>
        <v>https://pbs.twimg.com/media/F6iG6k9XwAANVKG.jpg</v>
      </c>
      <c r="AW1198" s="80" t="s">
        <v>17085</v>
      </c>
      <c r="AX1198" s="80" t="s">
        <v>17085</v>
      </c>
      <c r="AY1198" s="77"/>
      <c r="AZ1198" s="80" t="s">
        <v>20380</v>
      </c>
      <c r="BA1198" s="80" t="s">
        <v>20380</v>
      </c>
      <c r="BB1198" s="80" t="s">
        <v>20380</v>
      </c>
      <c r="BC1198" s="80" t="s">
        <v>17085</v>
      </c>
      <c r="BD1198" s="77">
        <v>270329897</v>
      </c>
      <c r="BE1198" s="77"/>
      <c r="BF1198" s="77"/>
      <c r="BG1198" s="77"/>
      <c r="BH1198" s="77"/>
      <c r="BI1198" s="77"/>
    </row>
    <row r="1199" spans="1:61" x14ac:dyDescent="0.25">
      <c r="A1199" s="62" t="s">
        <v>687</v>
      </c>
      <c r="B1199" s="62" t="s">
        <v>1853</v>
      </c>
      <c r="C1199" s="63"/>
      <c r="D1199" s="64"/>
      <c r="E1199" s="65"/>
      <c r="F1199" s="66"/>
      <c r="G1199" s="63"/>
      <c r="H1199" s="67"/>
      <c r="I1199" s="68"/>
      <c r="J1199" s="68"/>
      <c r="K1199" s="32"/>
      <c r="L1199" s="75">
        <v>1199</v>
      </c>
      <c r="M1199" s="75"/>
      <c r="N1199" s="70"/>
      <c r="O1199" s="77" t="s">
        <v>2081</v>
      </c>
      <c r="P1199" s="79">
        <v>45063.875</v>
      </c>
      <c r="Q1199" s="77" t="s">
        <v>3120</v>
      </c>
      <c r="R1199" s="77">
        <v>0</v>
      </c>
      <c r="S1199" s="77">
        <v>0</v>
      </c>
      <c r="T1199" s="77">
        <v>0</v>
      </c>
      <c r="U1199" s="77">
        <v>0</v>
      </c>
      <c r="V1199" s="77">
        <v>173</v>
      </c>
      <c r="W1199" s="80" t="s">
        <v>6744</v>
      </c>
      <c r="X1199" s="83" t="str">
        <f>HYPERLINK("https://bit.ly/3o7EiPS")</f>
        <v>https://bit.ly/3o7EiPS</v>
      </c>
      <c r="Y1199" s="77" t="s">
        <v>8618</v>
      </c>
      <c r="Z1199" s="77" t="s">
        <v>1853</v>
      </c>
      <c r="AA1199" s="77" t="s">
        <v>9428</v>
      </c>
      <c r="AB1199" s="77" t="s">
        <v>10535</v>
      </c>
      <c r="AC1199" s="80" t="s">
        <v>10551</v>
      </c>
      <c r="AD1199" s="77" t="s">
        <v>10620</v>
      </c>
      <c r="AE1199" s="83" t="str">
        <f>HYPERLINK("https://twitter.com/consensomercado/status/1658940455193812996")</f>
        <v>https://twitter.com/consensomercado/status/1658940455193812996</v>
      </c>
      <c r="AF1199" s="79">
        <v>45063.875</v>
      </c>
      <c r="AG1199" s="85">
        <v>45063</v>
      </c>
      <c r="AH1199" s="80" t="s">
        <v>11175</v>
      </c>
      <c r="AI1199" s="77" t="b">
        <v>0</v>
      </c>
      <c r="AJ1199" s="77"/>
      <c r="AK1199" s="77"/>
      <c r="AL1199" s="77"/>
      <c r="AM1199" s="77"/>
      <c r="AN1199" s="77"/>
      <c r="AO1199" s="77"/>
      <c r="AP1199" s="77"/>
      <c r="AQ1199" s="77" t="s">
        <v>14910</v>
      </c>
      <c r="AR1199" s="77"/>
      <c r="AS1199" s="77"/>
      <c r="AT1199" s="77"/>
      <c r="AU1199" s="77"/>
      <c r="AV1199" s="83" t="str">
        <f>HYPERLINK("https://pbs.twimg.com/media/FwUaXSZWcAEtgOi.jpg")</f>
        <v>https://pbs.twimg.com/media/FwUaXSZWcAEtgOi.jpg</v>
      </c>
      <c r="AW1199" s="80" t="s">
        <v>17086</v>
      </c>
      <c r="AX1199" s="80" t="s">
        <v>17086</v>
      </c>
      <c r="AY1199" s="77"/>
      <c r="AZ1199" s="80" t="s">
        <v>20380</v>
      </c>
      <c r="BA1199" s="80" t="s">
        <v>20380</v>
      </c>
      <c r="BB1199" s="80" t="s">
        <v>20380</v>
      </c>
      <c r="BC1199" s="80" t="s">
        <v>17086</v>
      </c>
      <c r="BD1199" s="77">
        <v>270329897</v>
      </c>
      <c r="BE1199" s="77"/>
      <c r="BF1199" s="77"/>
      <c r="BG1199" s="77"/>
      <c r="BH1199" s="77"/>
      <c r="BI1199" s="77"/>
    </row>
    <row r="1200" spans="1:61" x14ac:dyDescent="0.25">
      <c r="A1200" s="62" t="s">
        <v>687</v>
      </c>
      <c r="B1200" s="62" t="s">
        <v>1853</v>
      </c>
      <c r="C1200" s="63"/>
      <c r="D1200" s="64"/>
      <c r="E1200" s="65"/>
      <c r="F1200" s="66"/>
      <c r="G1200" s="63"/>
      <c r="H1200" s="67"/>
      <c r="I1200" s="68"/>
      <c r="J1200" s="68"/>
      <c r="K1200" s="32"/>
      <c r="L1200" s="75">
        <v>1200</v>
      </c>
      <c r="M1200" s="75"/>
      <c r="N1200" s="70"/>
      <c r="O1200" s="77" t="s">
        <v>2081</v>
      </c>
      <c r="P1200" s="79">
        <v>45062.500011574077</v>
      </c>
      <c r="Q1200" s="77" t="s">
        <v>3121</v>
      </c>
      <c r="R1200" s="77">
        <v>0</v>
      </c>
      <c r="S1200" s="77">
        <v>0</v>
      </c>
      <c r="T1200" s="77">
        <v>0</v>
      </c>
      <c r="U1200" s="77">
        <v>0</v>
      </c>
      <c r="V1200" s="77">
        <v>94</v>
      </c>
      <c r="W1200" s="80" t="s">
        <v>6744</v>
      </c>
      <c r="X1200" s="83" t="str">
        <f>HYPERLINK("https://bit.ly/3o7EiPS")</f>
        <v>https://bit.ly/3o7EiPS</v>
      </c>
      <c r="Y1200" s="77" t="s">
        <v>8618</v>
      </c>
      <c r="Z1200" s="77" t="s">
        <v>1853</v>
      </c>
      <c r="AA1200" s="77" t="s">
        <v>9429</v>
      </c>
      <c r="AB1200" s="77" t="s">
        <v>10535</v>
      </c>
      <c r="AC1200" s="80" t="s">
        <v>10551</v>
      </c>
      <c r="AD1200" s="77" t="s">
        <v>10620</v>
      </c>
      <c r="AE1200" s="83" t="str">
        <f>HYPERLINK("https://twitter.com/consensomercado/status/1658442174336311296")</f>
        <v>https://twitter.com/consensomercado/status/1658442174336311296</v>
      </c>
      <c r="AF1200" s="79">
        <v>45062.500011574077</v>
      </c>
      <c r="AG1200" s="85">
        <v>45062</v>
      </c>
      <c r="AH1200" s="80" t="s">
        <v>11209</v>
      </c>
      <c r="AI1200" s="77" t="b">
        <v>0</v>
      </c>
      <c r="AJ1200" s="77"/>
      <c r="AK1200" s="77"/>
      <c r="AL1200" s="77"/>
      <c r="AM1200" s="77"/>
      <c r="AN1200" s="77"/>
      <c r="AO1200" s="77"/>
      <c r="AP1200" s="77"/>
      <c r="AQ1200" s="77" t="s">
        <v>14911</v>
      </c>
      <c r="AR1200" s="77"/>
      <c r="AS1200" s="77"/>
      <c r="AT1200" s="77"/>
      <c r="AU1200" s="77"/>
      <c r="AV1200" s="83" t="str">
        <f>HYPERLINK("https://pbs.twimg.com/media/FwPXKfYWIAEeANu.jpg")</f>
        <v>https://pbs.twimg.com/media/FwPXKfYWIAEeANu.jpg</v>
      </c>
      <c r="AW1200" s="80" t="s">
        <v>17087</v>
      </c>
      <c r="AX1200" s="80" t="s">
        <v>17087</v>
      </c>
      <c r="AY1200" s="77"/>
      <c r="AZ1200" s="80" t="s">
        <v>20380</v>
      </c>
      <c r="BA1200" s="80" t="s">
        <v>20380</v>
      </c>
      <c r="BB1200" s="80" t="s">
        <v>20380</v>
      </c>
      <c r="BC1200" s="80" t="s">
        <v>17087</v>
      </c>
      <c r="BD1200" s="77">
        <v>270329897</v>
      </c>
      <c r="BE1200" s="77"/>
      <c r="BF1200" s="77"/>
      <c r="BG1200" s="77"/>
      <c r="BH1200" s="77"/>
      <c r="BI1200" s="77"/>
    </row>
    <row r="1201" spans="1:61" x14ac:dyDescent="0.25">
      <c r="A1201" s="62" t="s">
        <v>687</v>
      </c>
      <c r="B1201" s="62" t="s">
        <v>1853</v>
      </c>
      <c r="C1201" s="63"/>
      <c r="D1201" s="64"/>
      <c r="E1201" s="65"/>
      <c r="F1201" s="66"/>
      <c r="G1201" s="63"/>
      <c r="H1201" s="67"/>
      <c r="I1201" s="68"/>
      <c r="J1201" s="68"/>
      <c r="K1201" s="32"/>
      <c r="L1201" s="75">
        <v>1201</v>
      </c>
      <c r="M1201" s="75"/>
      <c r="N1201" s="70"/>
      <c r="O1201" s="77" t="s">
        <v>2081</v>
      </c>
      <c r="P1201" s="79">
        <v>45175.541689814818</v>
      </c>
      <c r="Q1201" s="77" t="s">
        <v>3122</v>
      </c>
      <c r="R1201" s="77">
        <v>0</v>
      </c>
      <c r="S1201" s="77">
        <v>1</v>
      </c>
      <c r="T1201" s="77">
        <v>0</v>
      </c>
      <c r="U1201" s="77">
        <v>0</v>
      </c>
      <c r="V1201" s="77">
        <v>95</v>
      </c>
      <c r="W1201" s="80" t="s">
        <v>6745</v>
      </c>
      <c r="X1201" s="83" t="str">
        <f>HYPERLINK("https://tinyurl.com/3swjn4d4")</f>
        <v>https://tinyurl.com/3swjn4d4</v>
      </c>
      <c r="Y1201" s="77" t="s">
        <v>8670</v>
      </c>
      <c r="Z1201" s="77" t="s">
        <v>1853</v>
      </c>
      <c r="AA1201" s="77" t="s">
        <v>9430</v>
      </c>
      <c r="AB1201" s="77" t="s">
        <v>10535</v>
      </c>
      <c r="AC1201" s="80" t="s">
        <v>10541</v>
      </c>
      <c r="AD1201" s="77" t="s">
        <v>10620</v>
      </c>
      <c r="AE1201" s="83" t="str">
        <f>HYPERLINK("https://twitter.com/consensomercado/status/1699407105638207913")</f>
        <v>https://twitter.com/consensomercado/status/1699407105638207913</v>
      </c>
      <c r="AF1201" s="79">
        <v>45175.541689814818</v>
      </c>
      <c r="AG1201" s="85">
        <v>45175</v>
      </c>
      <c r="AH1201" s="80" t="s">
        <v>11682</v>
      </c>
      <c r="AI1201" s="77" t="b">
        <v>0</v>
      </c>
      <c r="AJ1201" s="77"/>
      <c r="AK1201" s="77"/>
      <c r="AL1201" s="77"/>
      <c r="AM1201" s="77"/>
      <c r="AN1201" s="77"/>
      <c r="AO1201" s="77"/>
      <c r="AP1201" s="77"/>
      <c r="AQ1201" s="77" t="s">
        <v>14912</v>
      </c>
      <c r="AR1201" s="77"/>
      <c r="AS1201" s="77"/>
      <c r="AT1201" s="77"/>
      <c r="AU1201" s="77"/>
      <c r="AV1201" s="83" t="str">
        <f>HYPERLINK("https://pbs.twimg.com/media/F5VvZ_XXkAAOC2m.jpg")</f>
        <v>https://pbs.twimg.com/media/F5VvZ_XXkAAOC2m.jpg</v>
      </c>
      <c r="AW1201" s="80" t="s">
        <v>17088</v>
      </c>
      <c r="AX1201" s="80" t="s">
        <v>17088</v>
      </c>
      <c r="AY1201" s="77"/>
      <c r="AZ1201" s="80" t="s">
        <v>20380</v>
      </c>
      <c r="BA1201" s="80" t="s">
        <v>20380</v>
      </c>
      <c r="BB1201" s="80" t="s">
        <v>20380</v>
      </c>
      <c r="BC1201" s="80" t="s">
        <v>17088</v>
      </c>
      <c r="BD1201" s="77">
        <v>270329897</v>
      </c>
      <c r="BE1201" s="77"/>
      <c r="BF1201" s="77"/>
      <c r="BG1201" s="77"/>
      <c r="BH1201" s="77"/>
      <c r="BI1201" s="77"/>
    </row>
    <row r="1202" spans="1:61" x14ac:dyDescent="0.25">
      <c r="A1202" s="62" t="s">
        <v>687</v>
      </c>
      <c r="B1202" s="62" t="s">
        <v>687</v>
      </c>
      <c r="C1202" s="63"/>
      <c r="D1202" s="64"/>
      <c r="E1202" s="65"/>
      <c r="F1202" s="66"/>
      <c r="G1202" s="63"/>
      <c r="H1202" s="67"/>
      <c r="I1202" s="68"/>
      <c r="J1202" s="68"/>
      <c r="K1202" s="32"/>
      <c r="L1202" s="75">
        <v>1202</v>
      </c>
      <c r="M1202" s="75"/>
      <c r="N1202" s="70"/>
      <c r="O1202" s="77" t="s">
        <v>179</v>
      </c>
      <c r="P1202" s="79">
        <v>45071.875</v>
      </c>
      <c r="Q1202" s="77" t="s">
        <v>3123</v>
      </c>
      <c r="R1202" s="77">
        <v>0</v>
      </c>
      <c r="S1202" s="77">
        <v>0</v>
      </c>
      <c r="T1202" s="77">
        <v>0</v>
      </c>
      <c r="U1202" s="77">
        <v>0</v>
      </c>
      <c r="V1202" s="77">
        <v>118</v>
      </c>
      <c r="W1202" s="80" t="s">
        <v>6746</v>
      </c>
      <c r="X1202" s="83" t="str">
        <f>HYPERLINK("https://t.ly/bE3Q")</f>
        <v>https://t.ly/bE3Q</v>
      </c>
      <c r="Y1202" s="77" t="s">
        <v>8726</v>
      </c>
      <c r="Z1202" s="77"/>
      <c r="AA1202" s="77" t="s">
        <v>9431</v>
      </c>
      <c r="AB1202" s="77" t="s">
        <v>10535</v>
      </c>
      <c r="AC1202" s="80" t="s">
        <v>10551</v>
      </c>
      <c r="AD1202" s="77" t="s">
        <v>10620</v>
      </c>
      <c r="AE1202" s="83" t="str">
        <f>HYPERLINK("https://twitter.com/consensomercado/status/1661839557174632469")</f>
        <v>https://twitter.com/consensomercado/status/1661839557174632469</v>
      </c>
      <c r="AF1202" s="79">
        <v>45071.875</v>
      </c>
      <c r="AG1202" s="85">
        <v>45071</v>
      </c>
      <c r="AH1202" s="80" t="s">
        <v>11175</v>
      </c>
      <c r="AI1202" s="77" t="b">
        <v>0</v>
      </c>
      <c r="AJ1202" s="77"/>
      <c r="AK1202" s="77"/>
      <c r="AL1202" s="77"/>
      <c r="AM1202" s="77"/>
      <c r="AN1202" s="77"/>
      <c r="AO1202" s="77"/>
      <c r="AP1202" s="77"/>
      <c r="AQ1202" s="77" t="s">
        <v>14913</v>
      </c>
      <c r="AR1202" s="77"/>
      <c r="AS1202" s="77"/>
      <c r="AT1202" s="77"/>
      <c r="AU1202" s="77"/>
      <c r="AV1202" s="83" t="str">
        <f>HYPERLINK("https://pbs.twimg.com/media/Fw-WHBbWIAEqedl.jpg")</f>
        <v>https://pbs.twimg.com/media/Fw-WHBbWIAEqedl.jpg</v>
      </c>
      <c r="AW1202" s="80" t="s">
        <v>17089</v>
      </c>
      <c r="AX1202" s="80" t="s">
        <v>17089</v>
      </c>
      <c r="AY1202" s="77"/>
      <c r="AZ1202" s="80" t="s">
        <v>20380</v>
      </c>
      <c r="BA1202" s="80" t="s">
        <v>20380</v>
      </c>
      <c r="BB1202" s="80" t="s">
        <v>20380</v>
      </c>
      <c r="BC1202" s="80" t="s">
        <v>17089</v>
      </c>
      <c r="BD1202" s="77">
        <v>270329897</v>
      </c>
      <c r="BE1202" s="77"/>
      <c r="BF1202" s="77"/>
      <c r="BG1202" s="77"/>
      <c r="BH1202" s="77"/>
      <c r="BI1202" s="77"/>
    </row>
    <row r="1203" spans="1:61" x14ac:dyDescent="0.25">
      <c r="A1203" s="62" t="s">
        <v>687</v>
      </c>
      <c r="B1203" s="62" t="s">
        <v>687</v>
      </c>
      <c r="C1203" s="63"/>
      <c r="D1203" s="64"/>
      <c r="E1203" s="65"/>
      <c r="F1203" s="66"/>
      <c r="G1203" s="63"/>
      <c r="H1203" s="67"/>
      <c r="I1203" s="68"/>
      <c r="J1203" s="68"/>
      <c r="K1203" s="32"/>
      <c r="L1203" s="75">
        <v>1203</v>
      </c>
      <c r="M1203" s="75"/>
      <c r="N1203" s="70"/>
      <c r="O1203" s="77" t="s">
        <v>179</v>
      </c>
      <c r="P1203" s="79">
        <v>45070.520844907405</v>
      </c>
      <c r="Q1203" s="77" t="s">
        <v>3124</v>
      </c>
      <c r="R1203" s="77">
        <v>0</v>
      </c>
      <c r="S1203" s="77">
        <v>0</v>
      </c>
      <c r="T1203" s="77">
        <v>0</v>
      </c>
      <c r="U1203" s="77">
        <v>0</v>
      </c>
      <c r="V1203" s="77">
        <v>117</v>
      </c>
      <c r="W1203" s="80" t="s">
        <v>6746</v>
      </c>
      <c r="X1203" s="77"/>
      <c r="Y1203" s="77"/>
      <c r="Z1203" s="77"/>
      <c r="AA1203" s="77" t="s">
        <v>9432</v>
      </c>
      <c r="AB1203" s="77" t="s">
        <v>10535</v>
      </c>
      <c r="AC1203" s="80" t="s">
        <v>10551</v>
      </c>
      <c r="AD1203" s="77" t="s">
        <v>10620</v>
      </c>
      <c r="AE1203" s="83" t="str">
        <f>HYPERLINK("https://twitter.com/consensomercado/status/1661348825439641608")</f>
        <v>https://twitter.com/consensomercado/status/1661348825439641608</v>
      </c>
      <c r="AF1203" s="79">
        <v>45070.520844907405</v>
      </c>
      <c r="AG1203" s="85">
        <v>45070</v>
      </c>
      <c r="AH1203" s="80" t="s">
        <v>11298</v>
      </c>
      <c r="AI1203" s="77" t="b">
        <v>0</v>
      </c>
      <c r="AJ1203" s="77"/>
      <c r="AK1203" s="77"/>
      <c r="AL1203" s="77"/>
      <c r="AM1203" s="77"/>
      <c r="AN1203" s="77"/>
      <c r="AO1203" s="77"/>
      <c r="AP1203" s="77"/>
      <c r="AQ1203" s="77" t="s">
        <v>14914</v>
      </c>
      <c r="AR1203" s="77"/>
      <c r="AS1203" s="77"/>
      <c r="AT1203" s="77"/>
      <c r="AU1203" s="77"/>
      <c r="AV1203" s="83" t="str">
        <f>HYPERLINK("https://pbs.twimg.com/media/Fw4_vRsXwAAWtOs.jpg")</f>
        <v>https://pbs.twimg.com/media/Fw4_vRsXwAAWtOs.jpg</v>
      </c>
      <c r="AW1203" s="80" t="s">
        <v>17090</v>
      </c>
      <c r="AX1203" s="80" t="s">
        <v>17090</v>
      </c>
      <c r="AY1203" s="77"/>
      <c r="AZ1203" s="80" t="s">
        <v>20380</v>
      </c>
      <c r="BA1203" s="80" t="s">
        <v>20380</v>
      </c>
      <c r="BB1203" s="80" t="s">
        <v>20380</v>
      </c>
      <c r="BC1203" s="80" t="s">
        <v>17090</v>
      </c>
      <c r="BD1203" s="77">
        <v>270329897</v>
      </c>
      <c r="BE1203" s="77"/>
      <c r="BF1203" s="77"/>
      <c r="BG1203" s="77"/>
      <c r="BH1203" s="77"/>
      <c r="BI1203" s="77"/>
    </row>
    <row r="1204" spans="1:61" x14ac:dyDescent="0.25">
      <c r="A1204" s="62" t="s">
        <v>687</v>
      </c>
      <c r="B1204" s="62" t="s">
        <v>687</v>
      </c>
      <c r="C1204" s="63"/>
      <c r="D1204" s="64"/>
      <c r="E1204" s="65"/>
      <c r="F1204" s="66"/>
      <c r="G1204" s="63"/>
      <c r="H1204" s="67"/>
      <c r="I1204" s="68"/>
      <c r="J1204" s="68"/>
      <c r="K1204" s="32"/>
      <c r="L1204" s="75">
        <v>1204</v>
      </c>
      <c r="M1204" s="75"/>
      <c r="N1204" s="70"/>
      <c r="O1204" s="77" t="s">
        <v>179</v>
      </c>
      <c r="P1204" s="79">
        <v>45069.958344907405</v>
      </c>
      <c r="Q1204" s="77" t="s">
        <v>3125</v>
      </c>
      <c r="R1204" s="77">
        <v>0</v>
      </c>
      <c r="S1204" s="77">
        <v>1</v>
      </c>
      <c r="T1204" s="77">
        <v>0</v>
      </c>
      <c r="U1204" s="77">
        <v>0</v>
      </c>
      <c r="V1204" s="77">
        <v>100</v>
      </c>
      <c r="W1204" s="80" t="s">
        <v>6747</v>
      </c>
      <c r="X1204" s="83" t="str">
        <f>HYPERLINK("https://bit.ly/45lyDq0")</f>
        <v>https://bit.ly/45lyDq0</v>
      </c>
      <c r="Y1204" s="77" t="s">
        <v>8618</v>
      </c>
      <c r="Z1204" s="77"/>
      <c r="AA1204" s="77" t="s">
        <v>9433</v>
      </c>
      <c r="AB1204" s="77" t="s">
        <v>10535</v>
      </c>
      <c r="AC1204" s="80" t="s">
        <v>10551</v>
      </c>
      <c r="AD1204" s="77" t="s">
        <v>10620</v>
      </c>
      <c r="AE1204" s="83" t="str">
        <f>HYPERLINK("https://twitter.com/consensomercado/status/1661144986061262849")</f>
        <v>https://twitter.com/consensomercado/status/1661144986061262849</v>
      </c>
      <c r="AF1204" s="79">
        <v>45069.958344907405</v>
      </c>
      <c r="AG1204" s="85">
        <v>45069</v>
      </c>
      <c r="AH1204" s="80" t="s">
        <v>11211</v>
      </c>
      <c r="AI1204" s="77" t="b">
        <v>0</v>
      </c>
      <c r="AJ1204" s="77"/>
      <c r="AK1204" s="77"/>
      <c r="AL1204" s="77"/>
      <c r="AM1204" s="77"/>
      <c r="AN1204" s="77"/>
      <c r="AO1204" s="77"/>
      <c r="AP1204" s="77"/>
      <c r="AQ1204" s="77" t="s">
        <v>14915</v>
      </c>
      <c r="AR1204" s="77"/>
      <c r="AS1204" s="77"/>
      <c r="AT1204" s="77"/>
      <c r="AU1204" s="77"/>
      <c r="AV1204" s="83" t="str">
        <f>HYPERLINK("https://pbs.twimg.com/media/Fw1MgpyXwCUnrx0.jpg")</f>
        <v>https://pbs.twimg.com/media/Fw1MgpyXwCUnrx0.jpg</v>
      </c>
      <c r="AW1204" s="80" t="s">
        <v>17091</v>
      </c>
      <c r="AX1204" s="80" t="s">
        <v>17091</v>
      </c>
      <c r="AY1204" s="77"/>
      <c r="AZ1204" s="80" t="s">
        <v>20380</v>
      </c>
      <c r="BA1204" s="80" t="s">
        <v>20380</v>
      </c>
      <c r="BB1204" s="80" t="s">
        <v>20380</v>
      </c>
      <c r="BC1204" s="80" t="s">
        <v>17091</v>
      </c>
      <c r="BD1204" s="77">
        <v>270329897</v>
      </c>
      <c r="BE1204" s="77"/>
      <c r="BF1204" s="77"/>
      <c r="BG1204" s="77"/>
      <c r="BH1204" s="77"/>
      <c r="BI1204" s="77"/>
    </row>
    <row r="1205" spans="1:61" x14ac:dyDescent="0.25">
      <c r="A1205" s="62" t="s">
        <v>687</v>
      </c>
      <c r="B1205" s="62" t="s">
        <v>687</v>
      </c>
      <c r="C1205" s="63"/>
      <c r="D1205" s="64"/>
      <c r="E1205" s="65"/>
      <c r="F1205" s="66"/>
      <c r="G1205" s="63"/>
      <c r="H1205" s="67"/>
      <c r="I1205" s="68"/>
      <c r="J1205" s="68"/>
      <c r="K1205" s="32"/>
      <c r="L1205" s="75">
        <v>1205</v>
      </c>
      <c r="M1205" s="75"/>
      <c r="N1205" s="70"/>
      <c r="O1205" s="77" t="s">
        <v>179</v>
      </c>
      <c r="P1205" s="79">
        <v>45138.481249999997</v>
      </c>
      <c r="Q1205" s="77" t="s">
        <v>3126</v>
      </c>
      <c r="R1205" s="77">
        <v>1</v>
      </c>
      <c r="S1205" s="77">
        <v>1</v>
      </c>
      <c r="T1205" s="77">
        <v>0</v>
      </c>
      <c r="U1205" s="77">
        <v>0</v>
      </c>
      <c r="V1205" s="77">
        <v>139</v>
      </c>
      <c r="W1205" s="80" t="s">
        <v>6748</v>
      </c>
      <c r="X1205" s="83" t="str">
        <f>HYPERLINK("https://tinyurl.com/2wx37a3v")</f>
        <v>https://tinyurl.com/2wx37a3v</v>
      </c>
      <c r="Y1205" s="77" t="s">
        <v>8670</v>
      </c>
      <c r="Z1205" s="77"/>
      <c r="AA1205" s="77" t="s">
        <v>9434</v>
      </c>
      <c r="AB1205" s="77" t="s">
        <v>10535</v>
      </c>
      <c r="AC1205" s="80" t="s">
        <v>10555</v>
      </c>
      <c r="AD1205" s="77" t="s">
        <v>10620</v>
      </c>
      <c r="AE1205" s="83" t="str">
        <f>HYPERLINK("https://twitter.com/consensomercado/status/1685976852664299520")</f>
        <v>https://twitter.com/consensomercado/status/1685976852664299520</v>
      </c>
      <c r="AF1205" s="79">
        <v>45138.481249999997</v>
      </c>
      <c r="AG1205" s="85">
        <v>45138</v>
      </c>
      <c r="AH1205" s="80" t="s">
        <v>11683</v>
      </c>
      <c r="AI1205" s="77" t="b">
        <v>0</v>
      </c>
      <c r="AJ1205" s="77"/>
      <c r="AK1205" s="77"/>
      <c r="AL1205" s="77"/>
      <c r="AM1205" s="77"/>
      <c r="AN1205" s="77"/>
      <c r="AO1205" s="77"/>
      <c r="AP1205" s="77"/>
      <c r="AQ1205" s="77" t="s">
        <v>14916</v>
      </c>
      <c r="AR1205" s="77"/>
      <c r="AS1205" s="77"/>
      <c r="AT1205" s="77"/>
      <c r="AU1205" s="77"/>
      <c r="AV1205" s="83" t="str">
        <f>HYPERLINK("https://pbs.twimg.com/media/F2WvlELWIAEiMjO.jpg")</f>
        <v>https://pbs.twimg.com/media/F2WvlELWIAEiMjO.jpg</v>
      </c>
      <c r="AW1205" s="80" t="s">
        <v>17092</v>
      </c>
      <c r="AX1205" s="80" t="s">
        <v>17092</v>
      </c>
      <c r="AY1205" s="77"/>
      <c r="AZ1205" s="80" t="s">
        <v>20380</v>
      </c>
      <c r="BA1205" s="80" t="s">
        <v>20380</v>
      </c>
      <c r="BB1205" s="80" t="s">
        <v>20380</v>
      </c>
      <c r="BC1205" s="80" t="s">
        <v>17092</v>
      </c>
      <c r="BD1205" s="77">
        <v>270329897</v>
      </c>
      <c r="BE1205" s="77"/>
      <c r="BF1205" s="77"/>
      <c r="BG1205" s="77"/>
      <c r="BH1205" s="77"/>
      <c r="BI1205" s="77"/>
    </row>
    <row r="1206" spans="1:61" x14ac:dyDescent="0.25">
      <c r="A1206" s="62" t="s">
        <v>687</v>
      </c>
      <c r="B1206" s="62" t="s">
        <v>687</v>
      </c>
      <c r="C1206" s="63"/>
      <c r="D1206" s="64"/>
      <c r="E1206" s="65"/>
      <c r="F1206" s="66"/>
      <c r="G1206" s="63"/>
      <c r="H1206" s="67"/>
      <c r="I1206" s="68"/>
      <c r="J1206" s="68"/>
      <c r="K1206" s="32"/>
      <c r="L1206" s="75">
        <v>1206</v>
      </c>
      <c r="M1206" s="75"/>
      <c r="N1206" s="70"/>
      <c r="O1206" s="77" t="s">
        <v>179</v>
      </c>
      <c r="P1206" s="79">
        <v>45138.347222222219</v>
      </c>
      <c r="Q1206" s="77" t="s">
        <v>3127</v>
      </c>
      <c r="R1206" s="77">
        <v>0</v>
      </c>
      <c r="S1206" s="77">
        <v>0</v>
      </c>
      <c r="T1206" s="77">
        <v>0</v>
      </c>
      <c r="U1206" s="77">
        <v>0</v>
      </c>
      <c r="V1206" s="77">
        <v>98</v>
      </c>
      <c r="W1206" s="80" t="s">
        <v>6749</v>
      </c>
      <c r="X1206" s="83" t="str">
        <f>HYPERLINK("https://tinyurl.com/52usjmn3")</f>
        <v>https://tinyurl.com/52usjmn3</v>
      </c>
      <c r="Y1206" s="77" t="s">
        <v>8670</v>
      </c>
      <c r="Z1206" s="77"/>
      <c r="AA1206" s="77" t="s">
        <v>9435</v>
      </c>
      <c r="AB1206" s="77" t="s">
        <v>10535</v>
      </c>
      <c r="AC1206" s="80" t="s">
        <v>10555</v>
      </c>
      <c r="AD1206" s="77" t="s">
        <v>10620</v>
      </c>
      <c r="AE1206" s="83" t="str">
        <f>HYPERLINK("https://twitter.com/consensomercado/status/1685928282594955264")</f>
        <v>https://twitter.com/consensomercado/status/1685928282594955264</v>
      </c>
      <c r="AF1206" s="79">
        <v>45138.347222222219</v>
      </c>
      <c r="AG1206" s="85">
        <v>45138</v>
      </c>
      <c r="AH1206" s="80" t="s">
        <v>11684</v>
      </c>
      <c r="AI1206" s="77" t="b">
        <v>0</v>
      </c>
      <c r="AJ1206" s="77"/>
      <c r="AK1206" s="77"/>
      <c r="AL1206" s="77"/>
      <c r="AM1206" s="77"/>
      <c r="AN1206" s="77"/>
      <c r="AO1206" s="77"/>
      <c r="AP1206" s="77"/>
      <c r="AQ1206" s="77" t="s">
        <v>14917</v>
      </c>
      <c r="AR1206" s="77"/>
      <c r="AS1206" s="77"/>
      <c r="AT1206" s="77"/>
      <c r="AU1206" s="77"/>
      <c r="AV1206" s="83" t="str">
        <f>HYPERLINK("https://pbs.twimg.com/media/F2WdE73WEAArHIW.jpg")</f>
        <v>https://pbs.twimg.com/media/F2WdE73WEAArHIW.jpg</v>
      </c>
      <c r="AW1206" s="80" t="s">
        <v>17093</v>
      </c>
      <c r="AX1206" s="80" t="s">
        <v>17093</v>
      </c>
      <c r="AY1206" s="77"/>
      <c r="AZ1206" s="80" t="s">
        <v>20380</v>
      </c>
      <c r="BA1206" s="80" t="s">
        <v>20380</v>
      </c>
      <c r="BB1206" s="80" t="s">
        <v>20380</v>
      </c>
      <c r="BC1206" s="80" t="s">
        <v>17093</v>
      </c>
      <c r="BD1206" s="77">
        <v>270329897</v>
      </c>
      <c r="BE1206" s="77"/>
      <c r="BF1206" s="77"/>
      <c r="BG1206" s="77"/>
      <c r="BH1206" s="77"/>
      <c r="BI1206" s="77"/>
    </row>
    <row r="1207" spans="1:61" x14ac:dyDescent="0.25">
      <c r="A1207" s="62" t="s">
        <v>687</v>
      </c>
      <c r="B1207" s="62" t="s">
        <v>687</v>
      </c>
      <c r="C1207" s="63"/>
      <c r="D1207" s="64"/>
      <c r="E1207" s="65"/>
      <c r="F1207" s="66"/>
      <c r="G1207" s="63"/>
      <c r="H1207" s="67"/>
      <c r="I1207" s="68"/>
      <c r="J1207" s="68"/>
      <c r="K1207" s="32"/>
      <c r="L1207" s="75">
        <v>1207</v>
      </c>
      <c r="M1207" s="75"/>
      <c r="N1207" s="70"/>
      <c r="O1207" s="77" t="s">
        <v>179</v>
      </c>
      <c r="P1207" s="79">
        <v>45135.746527777781</v>
      </c>
      <c r="Q1207" s="77" t="s">
        <v>3128</v>
      </c>
      <c r="R1207" s="77">
        <v>0</v>
      </c>
      <c r="S1207" s="77">
        <v>2</v>
      </c>
      <c r="T1207" s="77">
        <v>0</v>
      </c>
      <c r="U1207" s="77">
        <v>0</v>
      </c>
      <c r="V1207" s="77">
        <v>146</v>
      </c>
      <c r="W1207" s="80" t="s">
        <v>6750</v>
      </c>
      <c r="X1207" s="83" t="str">
        <f>HYPERLINK("https://tinyurl.com/23und6k9")</f>
        <v>https://tinyurl.com/23und6k9</v>
      </c>
      <c r="Y1207" s="77" t="s">
        <v>8670</v>
      </c>
      <c r="Z1207" s="77"/>
      <c r="AA1207" s="77" t="s">
        <v>9436</v>
      </c>
      <c r="AB1207" s="77" t="s">
        <v>10535</v>
      </c>
      <c r="AC1207" s="80" t="s">
        <v>10555</v>
      </c>
      <c r="AD1207" s="77" t="s">
        <v>10620</v>
      </c>
      <c r="AE1207" s="83" t="str">
        <f>HYPERLINK("https://twitter.com/consensomercado/status/1684985822309957632")</f>
        <v>https://twitter.com/consensomercado/status/1684985822309957632</v>
      </c>
      <c r="AF1207" s="79">
        <v>45135.746527777781</v>
      </c>
      <c r="AG1207" s="85">
        <v>45135</v>
      </c>
      <c r="AH1207" s="80" t="s">
        <v>11685</v>
      </c>
      <c r="AI1207" s="77" t="b">
        <v>0</v>
      </c>
      <c r="AJ1207" s="77"/>
      <c r="AK1207" s="77"/>
      <c r="AL1207" s="77"/>
      <c r="AM1207" s="77"/>
      <c r="AN1207" s="77"/>
      <c r="AO1207" s="77"/>
      <c r="AP1207" s="77"/>
      <c r="AQ1207" s="77" t="s">
        <v>14918</v>
      </c>
      <c r="AR1207" s="77"/>
      <c r="AS1207" s="77"/>
      <c r="AT1207" s="77"/>
      <c r="AU1207" s="77"/>
      <c r="AV1207" s="83" t="str">
        <f>HYPERLINK("https://pbs.twimg.com/media/F2JBiJNWsBAWohv.jpg")</f>
        <v>https://pbs.twimg.com/media/F2JBiJNWsBAWohv.jpg</v>
      </c>
      <c r="AW1207" s="80" t="s">
        <v>17094</v>
      </c>
      <c r="AX1207" s="80" t="s">
        <v>17094</v>
      </c>
      <c r="AY1207" s="77"/>
      <c r="AZ1207" s="80" t="s">
        <v>20380</v>
      </c>
      <c r="BA1207" s="80" t="s">
        <v>20380</v>
      </c>
      <c r="BB1207" s="80" t="s">
        <v>20380</v>
      </c>
      <c r="BC1207" s="80" t="s">
        <v>17094</v>
      </c>
      <c r="BD1207" s="77">
        <v>270329897</v>
      </c>
      <c r="BE1207" s="77"/>
      <c r="BF1207" s="77"/>
      <c r="BG1207" s="77"/>
      <c r="BH1207" s="77"/>
      <c r="BI1207" s="77"/>
    </row>
    <row r="1208" spans="1:61" x14ac:dyDescent="0.25">
      <c r="A1208" s="62" t="s">
        <v>687</v>
      </c>
      <c r="B1208" s="62" t="s">
        <v>687</v>
      </c>
      <c r="C1208" s="63"/>
      <c r="D1208" s="64"/>
      <c r="E1208" s="65"/>
      <c r="F1208" s="66"/>
      <c r="G1208" s="63"/>
      <c r="H1208" s="67"/>
      <c r="I1208" s="68"/>
      <c r="J1208" s="68"/>
      <c r="K1208" s="32"/>
      <c r="L1208" s="75">
        <v>1208</v>
      </c>
      <c r="M1208" s="75"/>
      <c r="N1208" s="70"/>
      <c r="O1208" s="77" t="s">
        <v>179</v>
      </c>
      <c r="P1208" s="79">
        <v>45135.316666666666</v>
      </c>
      <c r="Q1208" s="77" t="s">
        <v>3129</v>
      </c>
      <c r="R1208" s="77">
        <v>1</v>
      </c>
      <c r="S1208" s="77">
        <v>1</v>
      </c>
      <c r="T1208" s="77">
        <v>0</v>
      </c>
      <c r="U1208" s="77">
        <v>0</v>
      </c>
      <c r="V1208" s="77">
        <v>118</v>
      </c>
      <c r="W1208" s="80" t="s">
        <v>6751</v>
      </c>
      <c r="X1208" s="83" t="str">
        <f>HYPERLINK("http://tinyurl.com/y37e2dxn")</f>
        <v>http://tinyurl.com/y37e2dxn</v>
      </c>
      <c r="Y1208" s="77" t="s">
        <v>8670</v>
      </c>
      <c r="Z1208" s="77"/>
      <c r="AA1208" s="77" t="s">
        <v>9437</v>
      </c>
      <c r="AB1208" s="77" t="s">
        <v>10535</v>
      </c>
      <c r="AC1208" s="80" t="s">
        <v>10555</v>
      </c>
      <c r="AD1208" s="77" t="s">
        <v>10620</v>
      </c>
      <c r="AE1208" s="83" t="str">
        <f>HYPERLINK("https://twitter.com/consensomercado/status/1684830045724934144")</f>
        <v>https://twitter.com/consensomercado/status/1684830045724934144</v>
      </c>
      <c r="AF1208" s="79">
        <v>45135.316666666666</v>
      </c>
      <c r="AG1208" s="85">
        <v>45135</v>
      </c>
      <c r="AH1208" s="80" t="s">
        <v>11686</v>
      </c>
      <c r="AI1208" s="77" t="b">
        <v>0</v>
      </c>
      <c r="AJ1208" s="77"/>
      <c r="AK1208" s="77"/>
      <c r="AL1208" s="77"/>
      <c r="AM1208" s="77"/>
      <c r="AN1208" s="77"/>
      <c r="AO1208" s="77"/>
      <c r="AP1208" s="77"/>
      <c r="AQ1208" s="77" t="s">
        <v>14919</v>
      </c>
      <c r="AR1208" s="77"/>
      <c r="AS1208" s="77"/>
      <c r="AT1208" s="77"/>
      <c r="AU1208" s="77"/>
      <c r="AV1208" s="83" t="str">
        <f>HYPERLINK("https://pbs.twimg.com/media/F2G0QY7WAAEZpkq.jpg")</f>
        <v>https://pbs.twimg.com/media/F2G0QY7WAAEZpkq.jpg</v>
      </c>
      <c r="AW1208" s="80" t="s">
        <v>17095</v>
      </c>
      <c r="AX1208" s="80" t="s">
        <v>17095</v>
      </c>
      <c r="AY1208" s="77"/>
      <c r="AZ1208" s="80" t="s">
        <v>20380</v>
      </c>
      <c r="BA1208" s="80" t="s">
        <v>20380</v>
      </c>
      <c r="BB1208" s="80" t="s">
        <v>20380</v>
      </c>
      <c r="BC1208" s="80" t="s">
        <v>17095</v>
      </c>
      <c r="BD1208" s="77">
        <v>270329897</v>
      </c>
      <c r="BE1208" s="77"/>
      <c r="BF1208" s="77"/>
      <c r="BG1208" s="77"/>
      <c r="BH1208" s="77"/>
      <c r="BI1208" s="77"/>
    </row>
    <row r="1209" spans="1:61" x14ac:dyDescent="0.25">
      <c r="A1209" s="62" t="s">
        <v>687</v>
      </c>
      <c r="B1209" s="62" t="s">
        <v>687</v>
      </c>
      <c r="C1209" s="63"/>
      <c r="D1209" s="64"/>
      <c r="E1209" s="65"/>
      <c r="F1209" s="66"/>
      <c r="G1209" s="63"/>
      <c r="H1209" s="67"/>
      <c r="I1209" s="68"/>
      <c r="J1209" s="68"/>
      <c r="K1209" s="32"/>
      <c r="L1209" s="75">
        <v>1209</v>
      </c>
      <c r="M1209" s="75"/>
      <c r="N1209" s="70"/>
      <c r="O1209" s="77" t="s">
        <v>179</v>
      </c>
      <c r="P1209" s="79">
        <v>45162.523611111108</v>
      </c>
      <c r="Q1209" s="77" t="s">
        <v>3130</v>
      </c>
      <c r="R1209" s="77">
        <v>0</v>
      </c>
      <c r="S1209" s="77">
        <v>0</v>
      </c>
      <c r="T1209" s="77">
        <v>0</v>
      </c>
      <c r="U1209" s="77">
        <v>0</v>
      </c>
      <c r="V1209" s="77">
        <v>110</v>
      </c>
      <c r="W1209" s="80" t="s">
        <v>6752</v>
      </c>
      <c r="X1209" s="83" t="str">
        <f>HYPERLINK("https://tinyurl.com/y2mtdzcv")</f>
        <v>https://tinyurl.com/y2mtdzcv</v>
      </c>
      <c r="Y1209" s="77" t="s">
        <v>8670</v>
      </c>
      <c r="Z1209" s="77"/>
      <c r="AA1209" s="77" t="s">
        <v>9438</v>
      </c>
      <c r="AB1209" s="77" t="s">
        <v>10535</v>
      </c>
      <c r="AC1209" s="80" t="s">
        <v>10541</v>
      </c>
      <c r="AD1209" s="77" t="s">
        <v>10620</v>
      </c>
      <c r="AE1209" s="83" t="str">
        <f>HYPERLINK("https://twitter.com/consensomercado/status/1694689512620724686")</f>
        <v>https://twitter.com/consensomercado/status/1694689512620724686</v>
      </c>
      <c r="AF1209" s="79">
        <v>45162.523611111108</v>
      </c>
      <c r="AG1209" s="85">
        <v>45162</v>
      </c>
      <c r="AH1209" s="80" t="s">
        <v>11687</v>
      </c>
      <c r="AI1209" s="77" t="b">
        <v>0</v>
      </c>
      <c r="AJ1209" s="77"/>
      <c r="AK1209" s="77"/>
      <c r="AL1209" s="77"/>
      <c r="AM1209" s="77"/>
      <c r="AN1209" s="77"/>
      <c r="AO1209" s="77"/>
      <c r="AP1209" s="77"/>
      <c r="AQ1209" s="77" t="s">
        <v>14920</v>
      </c>
      <c r="AR1209" s="77"/>
      <c r="AS1209" s="77"/>
      <c r="AT1209" s="77"/>
      <c r="AU1209" s="77"/>
      <c r="AV1209" s="83" t="str">
        <f>HYPERLINK("https://pbs.twimg.com/media/F4Smef4XUAA_xiG.jpg")</f>
        <v>https://pbs.twimg.com/media/F4Smef4XUAA_xiG.jpg</v>
      </c>
      <c r="AW1209" s="80" t="s">
        <v>17096</v>
      </c>
      <c r="AX1209" s="80" t="s">
        <v>17096</v>
      </c>
      <c r="AY1209" s="77"/>
      <c r="AZ1209" s="80" t="s">
        <v>20380</v>
      </c>
      <c r="BA1209" s="80" t="s">
        <v>20380</v>
      </c>
      <c r="BB1209" s="80" t="s">
        <v>20380</v>
      </c>
      <c r="BC1209" s="80" t="s">
        <v>17096</v>
      </c>
      <c r="BD1209" s="77">
        <v>270329897</v>
      </c>
      <c r="BE1209" s="77"/>
      <c r="BF1209" s="77"/>
      <c r="BG1209" s="77"/>
      <c r="BH1209" s="77"/>
      <c r="BI1209" s="77"/>
    </row>
    <row r="1210" spans="1:61" x14ac:dyDescent="0.25">
      <c r="A1210" s="62" t="s">
        <v>687</v>
      </c>
      <c r="B1210" s="62" t="s">
        <v>687</v>
      </c>
      <c r="C1210" s="63"/>
      <c r="D1210" s="64"/>
      <c r="E1210" s="65"/>
      <c r="F1210" s="66"/>
      <c r="G1210" s="63"/>
      <c r="H1210" s="67"/>
      <c r="I1210" s="68"/>
      <c r="J1210" s="68"/>
      <c r="K1210" s="32"/>
      <c r="L1210" s="75">
        <v>1210</v>
      </c>
      <c r="M1210" s="75"/>
      <c r="N1210" s="70"/>
      <c r="O1210" s="77" t="s">
        <v>179</v>
      </c>
      <c r="P1210" s="79">
        <v>45134.550185185188</v>
      </c>
      <c r="Q1210" s="77" t="s">
        <v>3131</v>
      </c>
      <c r="R1210" s="77">
        <v>0</v>
      </c>
      <c r="S1210" s="77">
        <v>1</v>
      </c>
      <c r="T1210" s="77">
        <v>0</v>
      </c>
      <c r="U1210" s="77">
        <v>0</v>
      </c>
      <c r="V1210" s="77">
        <v>135</v>
      </c>
      <c r="W1210" s="80" t="s">
        <v>6753</v>
      </c>
      <c r="X1210" s="83" t="str">
        <f>HYPERLINK("https://tinyurl.com/9sej788r")</f>
        <v>https://tinyurl.com/9sej788r</v>
      </c>
      <c r="Y1210" s="77" t="s">
        <v>8670</v>
      </c>
      <c r="Z1210" s="77"/>
      <c r="AA1210" s="77" t="s">
        <v>9439</v>
      </c>
      <c r="AB1210" s="77" t="s">
        <v>10535</v>
      </c>
      <c r="AC1210" s="80" t="s">
        <v>10541</v>
      </c>
      <c r="AD1210" s="77" t="s">
        <v>10620</v>
      </c>
      <c r="AE1210" s="83" t="str">
        <f>HYPERLINK("https://twitter.com/consensomercado/status/1684552282027831296")</f>
        <v>https://twitter.com/consensomercado/status/1684552282027831296</v>
      </c>
      <c r="AF1210" s="79">
        <v>45134.550185185188</v>
      </c>
      <c r="AG1210" s="85">
        <v>45134</v>
      </c>
      <c r="AH1210" s="80" t="s">
        <v>11688</v>
      </c>
      <c r="AI1210" s="77" t="b">
        <v>0</v>
      </c>
      <c r="AJ1210" s="77"/>
      <c r="AK1210" s="77"/>
      <c r="AL1210" s="77"/>
      <c r="AM1210" s="77"/>
      <c r="AN1210" s="77"/>
      <c r="AO1210" s="77"/>
      <c r="AP1210" s="77"/>
      <c r="AQ1210" s="77" t="s">
        <v>14921</v>
      </c>
      <c r="AR1210" s="77"/>
      <c r="AS1210" s="77"/>
      <c r="AT1210" s="77"/>
      <c r="AU1210" s="77"/>
      <c r="AV1210" s="83" t="str">
        <f>HYPERLINK("https://pbs.twimg.com/media/F2C7Xk2WUAMdeNO.jpg")</f>
        <v>https://pbs.twimg.com/media/F2C7Xk2WUAMdeNO.jpg</v>
      </c>
      <c r="AW1210" s="80" t="s">
        <v>17097</v>
      </c>
      <c r="AX1210" s="80" t="s">
        <v>17097</v>
      </c>
      <c r="AY1210" s="77"/>
      <c r="AZ1210" s="80" t="s">
        <v>20380</v>
      </c>
      <c r="BA1210" s="80" t="s">
        <v>20380</v>
      </c>
      <c r="BB1210" s="80" t="s">
        <v>20380</v>
      </c>
      <c r="BC1210" s="80" t="s">
        <v>17097</v>
      </c>
      <c r="BD1210" s="77">
        <v>270329897</v>
      </c>
      <c r="BE1210" s="77"/>
      <c r="BF1210" s="77"/>
      <c r="BG1210" s="77"/>
      <c r="BH1210" s="77"/>
      <c r="BI1210" s="77"/>
    </row>
    <row r="1211" spans="1:61" x14ac:dyDescent="0.25">
      <c r="A1211" s="62" t="s">
        <v>687</v>
      </c>
      <c r="B1211" s="62" t="s">
        <v>687</v>
      </c>
      <c r="C1211" s="63"/>
      <c r="D1211" s="64"/>
      <c r="E1211" s="65"/>
      <c r="F1211" s="66"/>
      <c r="G1211" s="63"/>
      <c r="H1211" s="67"/>
      <c r="I1211" s="68"/>
      <c r="J1211" s="68"/>
      <c r="K1211" s="32"/>
      <c r="L1211" s="75">
        <v>1211</v>
      </c>
      <c r="M1211" s="75"/>
      <c r="N1211" s="70"/>
      <c r="O1211" s="77" t="s">
        <v>179</v>
      </c>
      <c r="P1211" s="79">
        <v>45068.4375</v>
      </c>
      <c r="Q1211" s="77" t="s">
        <v>3132</v>
      </c>
      <c r="R1211" s="77">
        <v>0</v>
      </c>
      <c r="S1211" s="77">
        <v>0</v>
      </c>
      <c r="T1211" s="77">
        <v>0</v>
      </c>
      <c r="U1211" s="77">
        <v>0</v>
      </c>
      <c r="V1211" s="77">
        <v>107</v>
      </c>
      <c r="W1211" s="80" t="s">
        <v>6747</v>
      </c>
      <c r="X1211" s="77"/>
      <c r="Y1211" s="77"/>
      <c r="Z1211" s="77"/>
      <c r="AA1211" s="77" t="s">
        <v>9440</v>
      </c>
      <c r="AB1211" s="77" t="s">
        <v>10535</v>
      </c>
      <c r="AC1211" s="80" t="s">
        <v>10551</v>
      </c>
      <c r="AD1211" s="77" t="s">
        <v>10620</v>
      </c>
      <c r="AE1211" s="83" t="str">
        <f>HYPERLINK("https://twitter.com/consensomercado/status/1660593847699664897")</f>
        <v>https://twitter.com/consensomercado/status/1660593847699664897</v>
      </c>
      <c r="AF1211" s="79">
        <v>45068.4375</v>
      </c>
      <c r="AG1211" s="85">
        <v>45068</v>
      </c>
      <c r="AH1211" s="80" t="s">
        <v>11689</v>
      </c>
      <c r="AI1211" s="77" t="b">
        <v>0</v>
      </c>
      <c r="AJ1211" s="77"/>
      <c r="AK1211" s="77"/>
      <c r="AL1211" s="77"/>
      <c r="AM1211" s="77"/>
      <c r="AN1211" s="77"/>
      <c r="AO1211" s="77"/>
      <c r="AP1211" s="77"/>
      <c r="AQ1211" s="77" t="s">
        <v>14922</v>
      </c>
      <c r="AR1211" s="77"/>
      <c r="AS1211" s="77"/>
      <c r="AT1211" s="77"/>
      <c r="AU1211" s="77"/>
      <c r="AV1211" s="83" t="str">
        <f>HYPERLINK("https://pbs.twimg.com/media/FwuPhfpWwAMI7HS.jpg")</f>
        <v>https://pbs.twimg.com/media/FwuPhfpWwAMI7HS.jpg</v>
      </c>
      <c r="AW1211" s="80" t="s">
        <v>17098</v>
      </c>
      <c r="AX1211" s="80" t="s">
        <v>17098</v>
      </c>
      <c r="AY1211" s="77"/>
      <c r="AZ1211" s="80" t="s">
        <v>20380</v>
      </c>
      <c r="BA1211" s="80" t="s">
        <v>20380</v>
      </c>
      <c r="BB1211" s="80" t="s">
        <v>20380</v>
      </c>
      <c r="BC1211" s="80" t="s">
        <v>17098</v>
      </c>
      <c r="BD1211" s="77">
        <v>270329897</v>
      </c>
      <c r="BE1211" s="77"/>
      <c r="BF1211" s="77"/>
      <c r="BG1211" s="77"/>
      <c r="BH1211" s="77"/>
      <c r="BI1211" s="77"/>
    </row>
    <row r="1212" spans="1:61" x14ac:dyDescent="0.25">
      <c r="A1212" s="62" t="s">
        <v>687</v>
      </c>
      <c r="B1212" s="62" t="s">
        <v>687</v>
      </c>
      <c r="C1212" s="63"/>
      <c r="D1212" s="64"/>
      <c r="E1212" s="65"/>
      <c r="F1212" s="66"/>
      <c r="G1212" s="63"/>
      <c r="H1212" s="67"/>
      <c r="I1212" s="68"/>
      <c r="J1212" s="68"/>
      <c r="K1212" s="32"/>
      <c r="L1212" s="75">
        <v>1212</v>
      </c>
      <c r="M1212" s="75"/>
      <c r="N1212" s="70"/>
      <c r="O1212" s="77" t="s">
        <v>179</v>
      </c>
      <c r="P1212" s="79">
        <v>45089.324999999997</v>
      </c>
      <c r="Q1212" s="77" t="s">
        <v>3133</v>
      </c>
      <c r="R1212" s="77">
        <v>0</v>
      </c>
      <c r="S1212" s="77">
        <v>0</v>
      </c>
      <c r="T1212" s="77">
        <v>0</v>
      </c>
      <c r="U1212" s="77">
        <v>0</v>
      </c>
      <c r="V1212" s="77">
        <v>149</v>
      </c>
      <c r="W1212" s="80" t="s">
        <v>6754</v>
      </c>
      <c r="X1212" s="83" t="str">
        <f>HYPERLINK("https://shorturl.at/deiE0")</f>
        <v>https://shorturl.at/deiE0</v>
      </c>
      <c r="Y1212" s="77" t="s">
        <v>8727</v>
      </c>
      <c r="Z1212" s="77"/>
      <c r="AA1212" s="77" t="s">
        <v>9441</v>
      </c>
      <c r="AB1212" s="77" t="s">
        <v>10535</v>
      </c>
      <c r="AC1212" s="80" t="s">
        <v>10551</v>
      </c>
      <c r="AD1212" s="77" t="s">
        <v>10620</v>
      </c>
      <c r="AE1212" s="83" t="str">
        <f>HYPERLINK("https://twitter.com/consensomercado/status/1668163223952998400")</f>
        <v>https://twitter.com/consensomercado/status/1668163223952998400</v>
      </c>
      <c r="AF1212" s="79">
        <v>45089.324999999997</v>
      </c>
      <c r="AG1212" s="85">
        <v>45089</v>
      </c>
      <c r="AH1212" s="80" t="s">
        <v>11690</v>
      </c>
      <c r="AI1212" s="77" t="b">
        <v>0</v>
      </c>
      <c r="AJ1212" s="77"/>
      <c r="AK1212" s="77"/>
      <c r="AL1212" s="77"/>
      <c r="AM1212" s="77"/>
      <c r="AN1212" s="77"/>
      <c r="AO1212" s="77"/>
      <c r="AP1212" s="77"/>
      <c r="AQ1212" s="77" t="s">
        <v>14923</v>
      </c>
      <c r="AR1212" s="77"/>
      <c r="AS1212" s="77"/>
      <c r="AT1212" s="77"/>
      <c r="AU1212" s="77"/>
      <c r="AV1212" s="83" t="str">
        <f>HYPERLINK("https://pbs.twimg.com/media/FyZ7fExXsAAwp-r.jpg")</f>
        <v>https://pbs.twimg.com/media/FyZ7fExXsAAwp-r.jpg</v>
      </c>
      <c r="AW1212" s="80" t="s">
        <v>17099</v>
      </c>
      <c r="AX1212" s="80" t="s">
        <v>17099</v>
      </c>
      <c r="AY1212" s="77"/>
      <c r="AZ1212" s="80" t="s">
        <v>20380</v>
      </c>
      <c r="BA1212" s="80" t="s">
        <v>20380</v>
      </c>
      <c r="BB1212" s="80" t="s">
        <v>20380</v>
      </c>
      <c r="BC1212" s="80" t="s">
        <v>17099</v>
      </c>
      <c r="BD1212" s="77">
        <v>270329897</v>
      </c>
      <c r="BE1212" s="77"/>
      <c r="BF1212" s="77"/>
      <c r="BG1212" s="77"/>
      <c r="BH1212" s="77"/>
      <c r="BI1212" s="77"/>
    </row>
    <row r="1213" spans="1:61" x14ac:dyDescent="0.25">
      <c r="A1213" s="62" t="s">
        <v>687</v>
      </c>
      <c r="B1213" s="62" t="s">
        <v>687</v>
      </c>
      <c r="C1213" s="63"/>
      <c r="D1213" s="64"/>
      <c r="E1213" s="65"/>
      <c r="F1213" s="66"/>
      <c r="G1213" s="63"/>
      <c r="H1213" s="67"/>
      <c r="I1213" s="68"/>
      <c r="J1213" s="68"/>
      <c r="K1213" s="32"/>
      <c r="L1213" s="75">
        <v>1213</v>
      </c>
      <c r="M1213" s="75"/>
      <c r="N1213" s="70"/>
      <c r="O1213" s="77" t="s">
        <v>179</v>
      </c>
      <c r="P1213" s="79">
        <v>45085.481249999997</v>
      </c>
      <c r="Q1213" s="77" t="s">
        <v>3134</v>
      </c>
      <c r="R1213" s="77">
        <v>0</v>
      </c>
      <c r="S1213" s="77">
        <v>0</v>
      </c>
      <c r="T1213" s="77">
        <v>0</v>
      </c>
      <c r="U1213" s="77">
        <v>0</v>
      </c>
      <c r="V1213" s="77">
        <v>114</v>
      </c>
      <c r="W1213" s="80" t="s">
        <v>6755</v>
      </c>
      <c r="X1213" s="83" t="str">
        <f>HYPERLINK("https://shorturl.at/uNWZ3")</f>
        <v>https://shorturl.at/uNWZ3</v>
      </c>
      <c r="Y1213" s="77" t="s">
        <v>8727</v>
      </c>
      <c r="Z1213" s="77"/>
      <c r="AA1213" s="77" t="s">
        <v>9442</v>
      </c>
      <c r="AB1213" s="77" t="s">
        <v>10535</v>
      </c>
      <c r="AC1213" s="80" t="s">
        <v>10551</v>
      </c>
      <c r="AD1213" s="77" t="s">
        <v>10620</v>
      </c>
      <c r="AE1213" s="83" t="str">
        <f>HYPERLINK("https://twitter.com/consensomercado/status/1666770295880048725")</f>
        <v>https://twitter.com/consensomercado/status/1666770295880048725</v>
      </c>
      <c r="AF1213" s="79">
        <v>45085.481249999997</v>
      </c>
      <c r="AG1213" s="85">
        <v>45085</v>
      </c>
      <c r="AH1213" s="80" t="s">
        <v>11683</v>
      </c>
      <c r="AI1213" s="77" t="b">
        <v>0</v>
      </c>
      <c r="AJ1213" s="77"/>
      <c r="AK1213" s="77"/>
      <c r="AL1213" s="77"/>
      <c r="AM1213" s="77"/>
      <c r="AN1213" s="77"/>
      <c r="AO1213" s="77"/>
      <c r="AP1213" s="77"/>
      <c r="AQ1213" s="77" t="s">
        <v>14924</v>
      </c>
      <c r="AR1213" s="77"/>
      <c r="AS1213" s="77"/>
      <c r="AT1213" s="77"/>
      <c r="AU1213" s="77"/>
      <c r="AV1213" s="83" t="str">
        <f>HYPERLINK("https://pbs.twimg.com/media/FyFq1IzXgAEnifP.jpg")</f>
        <v>https://pbs.twimg.com/media/FyFq1IzXgAEnifP.jpg</v>
      </c>
      <c r="AW1213" s="80" t="s">
        <v>17100</v>
      </c>
      <c r="AX1213" s="80" t="s">
        <v>17100</v>
      </c>
      <c r="AY1213" s="77"/>
      <c r="AZ1213" s="80" t="s">
        <v>20380</v>
      </c>
      <c r="BA1213" s="80" t="s">
        <v>20380</v>
      </c>
      <c r="BB1213" s="80" t="s">
        <v>20380</v>
      </c>
      <c r="BC1213" s="80" t="s">
        <v>17100</v>
      </c>
      <c r="BD1213" s="77">
        <v>270329897</v>
      </c>
      <c r="BE1213" s="77"/>
      <c r="BF1213" s="77"/>
      <c r="BG1213" s="77"/>
      <c r="BH1213" s="77"/>
      <c r="BI1213" s="77"/>
    </row>
    <row r="1214" spans="1:61" x14ac:dyDescent="0.25">
      <c r="A1214" s="62" t="s">
        <v>687</v>
      </c>
      <c r="B1214" s="62" t="s">
        <v>687</v>
      </c>
      <c r="C1214" s="63"/>
      <c r="D1214" s="64"/>
      <c r="E1214" s="65"/>
      <c r="F1214" s="66"/>
      <c r="G1214" s="63"/>
      <c r="H1214" s="67"/>
      <c r="I1214" s="68"/>
      <c r="J1214" s="68"/>
      <c r="K1214" s="32"/>
      <c r="L1214" s="75">
        <v>1214</v>
      </c>
      <c r="M1214" s="75"/>
      <c r="N1214" s="70"/>
      <c r="O1214" s="77" t="s">
        <v>179</v>
      </c>
      <c r="P1214" s="79">
        <v>45188.324999999997</v>
      </c>
      <c r="Q1214" s="77" t="s">
        <v>3135</v>
      </c>
      <c r="R1214" s="77">
        <v>0</v>
      </c>
      <c r="S1214" s="77">
        <v>0</v>
      </c>
      <c r="T1214" s="77">
        <v>0</v>
      </c>
      <c r="U1214" s="77">
        <v>0</v>
      </c>
      <c r="V1214" s="77">
        <v>83</v>
      </c>
      <c r="W1214" s="80" t="s">
        <v>6756</v>
      </c>
      <c r="X1214" s="83" t="str">
        <f>HYPERLINK("https://tinyurl.com/285tnwrb")</f>
        <v>https://tinyurl.com/285tnwrb</v>
      </c>
      <c r="Y1214" s="77" t="s">
        <v>8670</v>
      </c>
      <c r="Z1214" s="77"/>
      <c r="AA1214" s="77" t="s">
        <v>9443</v>
      </c>
      <c r="AB1214" s="77" t="s">
        <v>10535</v>
      </c>
      <c r="AC1214" s="80" t="s">
        <v>10541</v>
      </c>
      <c r="AD1214" s="77" t="s">
        <v>10620</v>
      </c>
      <c r="AE1214" s="83" t="str">
        <f>HYPERLINK("https://twitter.com/consensomercado/status/1704039622626673080")</f>
        <v>https://twitter.com/consensomercado/status/1704039622626673080</v>
      </c>
      <c r="AF1214" s="79">
        <v>45188.324999999997</v>
      </c>
      <c r="AG1214" s="85">
        <v>45188</v>
      </c>
      <c r="AH1214" s="80" t="s">
        <v>11690</v>
      </c>
      <c r="AI1214" s="77" t="b">
        <v>0</v>
      </c>
      <c r="AJ1214" s="77"/>
      <c r="AK1214" s="77"/>
      <c r="AL1214" s="77"/>
      <c r="AM1214" s="77"/>
      <c r="AN1214" s="77"/>
      <c r="AO1214" s="77"/>
      <c r="AP1214" s="77"/>
      <c r="AQ1214" s="77" t="s">
        <v>14925</v>
      </c>
      <c r="AR1214" s="77"/>
      <c r="AS1214" s="77"/>
      <c r="AT1214" s="77"/>
      <c r="AU1214" s="77"/>
      <c r="AV1214" s="83" t="str">
        <f>HYPERLINK("https://pbs.twimg.com/media/F6XyMooXgAAesur.jpg")</f>
        <v>https://pbs.twimg.com/media/F6XyMooXgAAesur.jpg</v>
      </c>
      <c r="AW1214" s="80" t="s">
        <v>17101</v>
      </c>
      <c r="AX1214" s="80" t="s">
        <v>17101</v>
      </c>
      <c r="AY1214" s="77"/>
      <c r="AZ1214" s="80" t="s">
        <v>20380</v>
      </c>
      <c r="BA1214" s="80" t="s">
        <v>20380</v>
      </c>
      <c r="BB1214" s="80" t="s">
        <v>20380</v>
      </c>
      <c r="BC1214" s="80" t="s">
        <v>17101</v>
      </c>
      <c r="BD1214" s="77">
        <v>270329897</v>
      </c>
      <c r="BE1214" s="77"/>
      <c r="BF1214" s="77"/>
      <c r="BG1214" s="77"/>
      <c r="BH1214" s="77"/>
      <c r="BI1214" s="77"/>
    </row>
    <row r="1215" spans="1:61" x14ac:dyDescent="0.25">
      <c r="A1215" s="62" t="s">
        <v>687</v>
      </c>
      <c r="B1215" s="62" t="s">
        <v>687</v>
      </c>
      <c r="C1215" s="63"/>
      <c r="D1215" s="64"/>
      <c r="E1215" s="65"/>
      <c r="F1215" s="66"/>
      <c r="G1215" s="63"/>
      <c r="H1215" s="67"/>
      <c r="I1215" s="68"/>
      <c r="J1215" s="68"/>
      <c r="K1215" s="32"/>
      <c r="L1215" s="75">
        <v>1215</v>
      </c>
      <c r="M1215" s="75"/>
      <c r="N1215" s="70"/>
      <c r="O1215" s="77" t="s">
        <v>179</v>
      </c>
      <c r="P1215" s="79">
        <v>45191.127083333333</v>
      </c>
      <c r="Q1215" s="77" t="s">
        <v>3136</v>
      </c>
      <c r="R1215" s="77">
        <v>0</v>
      </c>
      <c r="S1215" s="77">
        <v>1</v>
      </c>
      <c r="T1215" s="77">
        <v>0</v>
      </c>
      <c r="U1215" s="77">
        <v>0</v>
      </c>
      <c r="V1215" s="77">
        <v>77</v>
      </c>
      <c r="W1215" s="80" t="s">
        <v>6757</v>
      </c>
      <c r="X1215" s="83" t="str">
        <f>HYPERLINK("https://tinyurl.com/5cczjm43")</f>
        <v>https://tinyurl.com/5cczjm43</v>
      </c>
      <c r="Y1215" s="77" t="s">
        <v>8670</v>
      </c>
      <c r="Z1215" s="77"/>
      <c r="AA1215" s="77" t="s">
        <v>9444</v>
      </c>
      <c r="AB1215" s="77" t="s">
        <v>10535</v>
      </c>
      <c r="AC1215" s="80" t="s">
        <v>10541</v>
      </c>
      <c r="AD1215" s="77" t="s">
        <v>10620</v>
      </c>
      <c r="AE1215" s="83" t="str">
        <f>HYPERLINK("https://twitter.com/consensomercado/status/1705055064166158496")</f>
        <v>https://twitter.com/consensomercado/status/1705055064166158496</v>
      </c>
      <c r="AF1215" s="79">
        <v>45191.127083333333</v>
      </c>
      <c r="AG1215" s="85">
        <v>45191</v>
      </c>
      <c r="AH1215" s="80" t="s">
        <v>11691</v>
      </c>
      <c r="AI1215" s="77" t="b">
        <v>0</v>
      </c>
      <c r="AJ1215" s="77"/>
      <c r="AK1215" s="77"/>
      <c r="AL1215" s="77"/>
      <c r="AM1215" s="77"/>
      <c r="AN1215" s="77"/>
      <c r="AO1215" s="77"/>
      <c r="AP1215" s="77"/>
      <c r="AQ1215" s="77" t="s">
        <v>14926</v>
      </c>
      <c r="AR1215" s="77"/>
      <c r="AS1215" s="77"/>
      <c r="AT1215" s="77"/>
      <c r="AU1215" s="77"/>
      <c r="AV1215" s="83" t="str">
        <f>HYPERLINK("https://pbs.twimg.com/media/F6jMXldXwAAiVxl.jpg")</f>
        <v>https://pbs.twimg.com/media/F6jMXldXwAAiVxl.jpg</v>
      </c>
      <c r="AW1215" s="80" t="s">
        <v>17102</v>
      </c>
      <c r="AX1215" s="80" t="s">
        <v>17102</v>
      </c>
      <c r="AY1215" s="77"/>
      <c r="AZ1215" s="80" t="s">
        <v>20380</v>
      </c>
      <c r="BA1215" s="80" t="s">
        <v>20380</v>
      </c>
      <c r="BB1215" s="80" t="s">
        <v>20380</v>
      </c>
      <c r="BC1215" s="80" t="s">
        <v>17102</v>
      </c>
      <c r="BD1215" s="77">
        <v>270329897</v>
      </c>
      <c r="BE1215" s="77"/>
      <c r="BF1215" s="77"/>
      <c r="BG1215" s="77"/>
      <c r="BH1215" s="77"/>
      <c r="BI1215" s="77"/>
    </row>
    <row r="1216" spans="1:61" x14ac:dyDescent="0.25">
      <c r="A1216" s="62" t="s">
        <v>687</v>
      </c>
      <c r="B1216" s="62" t="s">
        <v>687</v>
      </c>
      <c r="C1216" s="63"/>
      <c r="D1216" s="64"/>
      <c r="E1216" s="65"/>
      <c r="F1216" s="66"/>
      <c r="G1216" s="63"/>
      <c r="H1216" s="67"/>
      <c r="I1216" s="68"/>
      <c r="J1216" s="68"/>
      <c r="K1216" s="32"/>
      <c r="L1216" s="75">
        <v>1216</v>
      </c>
      <c r="M1216" s="75"/>
      <c r="N1216" s="70"/>
      <c r="O1216" s="77" t="s">
        <v>179</v>
      </c>
      <c r="P1216" s="79">
        <v>45189.458344907405</v>
      </c>
      <c r="Q1216" s="77" t="s">
        <v>3137</v>
      </c>
      <c r="R1216" s="77">
        <v>0</v>
      </c>
      <c r="S1216" s="77">
        <v>0</v>
      </c>
      <c r="T1216" s="77">
        <v>0</v>
      </c>
      <c r="U1216" s="77">
        <v>0</v>
      </c>
      <c r="V1216" s="77">
        <v>58</v>
      </c>
      <c r="W1216" s="80" t="s">
        <v>6757</v>
      </c>
      <c r="X1216" s="83" t="str">
        <f>HYPERLINK("https://tinyurl.com/5cczjm43")</f>
        <v>https://tinyurl.com/5cczjm43</v>
      </c>
      <c r="Y1216" s="77" t="s">
        <v>8670</v>
      </c>
      <c r="Z1216" s="77"/>
      <c r="AA1216" s="77" t="s">
        <v>9445</v>
      </c>
      <c r="AB1216" s="77" t="s">
        <v>10535</v>
      </c>
      <c r="AC1216" s="80" t="s">
        <v>10541</v>
      </c>
      <c r="AD1216" s="77" t="s">
        <v>10620</v>
      </c>
      <c r="AE1216" s="83" t="str">
        <f>HYPERLINK("https://twitter.com/consensomercado/status/1704450334553485447")</f>
        <v>https://twitter.com/consensomercado/status/1704450334553485447</v>
      </c>
      <c r="AF1216" s="79">
        <v>45189.458344907405</v>
      </c>
      <c r="AG1216" s="85">
        <v>45189</v>
      </c>
      <c r="AH1216" s="80" t="s">
        <v>11692</v>
      </c>
      <c r="AI1216" s="77" t="b">
        <v>0</v>
      </c>
      <c r="AJ1216" s="77"/>
      <c r="AK1216" s="77"/>
      <c r="AL1216" s="77"/>
      <c r="AM1216" s="77"/>
      <c r="AN1216" s="77"/>
      <c r="AO1216" s="77"/>
      <c r="AP1216" s="77"/>
      <c r="AQ1216" s="77" t="s">
        <v>14927</v>
      </c>
      <c r="AR1216" s="77"/>
      <c r="AS1216" s="77"/>
      <c r="AT1216" s="77"/>
      <c r="AU1216" s="77"/>
      <c r="AV1216" s="83" t="str">
        <f>HYPERLINK("https://pbs.twimg.com/media/F6dhs8IW4AAFxWD.jpg")</f>
        <v>https://pbs.twimg.com/media/F6dhs8IW4AAFxWD.jpg</v>
      </c>
      <c r="AW1216" s="80" t="s">
        <v>17103</v>
      </c>
      <c r="AX1216" s="80" t="s">
        <v>17103</v>
      </c>
      <c r="AY1216" s="77"/>
      <c r="AZ1216" s="80" t="s">
        <v>20380</v>
      </c>
      <c r="BA1216" s="80" t="s">
        <v>20380</v>
      </c>
      <c r="BB1216" s="80" t="s">
        <v>20380</v>
      </c>
      <c r="BC1216" s="80" t="s">
        <v>17103</v>
      </c>
      <c r="BD1216" s="77">
        <v>270329897</v>
      </c>
      <c r="BE1216" s="77"/>
      <c r="BF1216" s="77"/>
      <c r="BG1216" s="77"/>
      <c r="BH1216" s="77"/>
      <c r="BI1216" s="77"/>
    </row>
    <row r="1217" spans="1:61" x14ac:dyDescent="0.25">
      <c r="A1217" s="62" t="s">
        <v>687</v>
      </c>
      <c r="B1217" s="62" t="s">
        <v>687</v>
      </c>
      <c r="C1217" s="63"/>
      <c r="D1217" s="64"/>
      <c r="E1217" s="65"/>
      <c r="F1217" s="66"/>
      <c r="G1217" s="63"/>
      <c r="H1217" s="67"/>
      <c r="I1217" s="68"/>
      <c r="J1217" s="68"/>
      <c r="K1217" s="32"/>
      <c r="L1217" s="75">
        <v>1217</v>
      </c>
      <c r="M1217" s="75"/>
      <c r="N1217" s="70"/>
      <c r="O1217" s="77" t="s">
        <v>179</v>
      </c>
      <c r="P1217" s="79">
        <v>45173.459027777775</v>
      </c>
      <c r="Q1217" s="77" t="s">
        <v>3138</v>
      </c>
      <c r="R1217" s="77">
        <v>0</v>
      </c>
      <c r="S1217" s="77">
        <v>0</v>
      </c>
      <c r="T1217" s="77">
        <v>0</v>
      </c>
      <c r="U1217" s="77">
        <v>0</v>
      </c>
      <c r="V1217" s="77">
        <v>90</v>
      </c>
      <c r="W1217" s="80" t="s">
        <v>6758</v>
      </c>
      <c r="X1217" s="83" t="str">
        <f>HYPERLINK("http://tinyurl.com/bde8h8d7")</f>
        <v>http://tinyurl.com/bde8h8d7</v>
      </c>
      <c r="Y1217" s="77" t="s">
        <v>8670</v>
      </c>
      <c r="Z1217" s="77"/>
      <c r="AA1217" s="77" t="s">
        <v>9446</v>
      </c>
      <c r="AB1217" s="77" t="s">
        <v>10535</v>
      </c>
      <c r="AC1217" s="80" t="s">
        <v>10541</v>
      </c>
      <c r="AD1217" s="77" t="s">
        <v>10620</v>
      </c>
      <c r="AE1217" s="83" t="str">
        <f>HYPERLINK("https://twitter.com/consensomercado/status/1698652374959554665")</f>
        <v>https://twitter.com/consensomercado/status/1698652374959554665</v>
      </c>
      <c r="AF1217" s="79">
        <v>45173.459027777775</v>
      </c>
      <c r="AG1217" s="85">
        <v>45173</v>
      </c>
      <c r="AH1217" s="80" t="s">
        <v>11693</v>
      </c>
      <c r="AI1217" s="77" t="b">
        <v>0</v>
      </c>
      <c r="AJ1217" s="77"/>
      <c r="AK1217" s="77"/>
      <c r="AL1217" s="77"/>
      <c r="AM1217" s="77"/>
      <c r="AN1217" s="77"/>
      <c r="AO1217" s="77"/>
      <c r="AP1217" s="77"/>
      <c r="AQ1217" s="77" t="s">
        <v>14928</v>
      </c>
      <c r="AR1217" s="77"/>
      <c r="AS1217" s="77"/>
      <c r="AT1217" s="77"/>
      <c r="AU1217" s="77"/>
      <c r="AV1217" s="83" t="str">
        <f>HYPERLINK("https://pbs.twimg.com/media/F5LIKjAXoAAqsB-.jpg")</f>
        <v>https://pbs.twimg.com/media/F5LIKjAXoAAqsB-.jpg</v>
      </c>
      <c r="AW1217" s="80" t="s">
        <v>17104</v>
      </c>
      <c r="AX1217" s="80" t="s">
        <v>17104</v>
      </c>
      <c r="AY1217" s="77"/>
      <c r="AZ1217" s="80" t="s">
        <v>20380</v>
      </c>
      <c r="BA1217" s="80" t="s">
        <v>20380</v>
      </c>
      <c r="BB1217" s="80" t="s">
        <v>20380</v>
      </c>
      <c r="BC1217" s="80" t="s">
        <v>17104</v>
      </c>
      <c r="BD1217" s="77">
        <v>270329897</v>
      </c>
      <c r="BE1217" s="77"/>
      <c r="BF1217" s="77"/>
      <c r="BG1217" s="77"/>
      <c r="BH1217" s="77"/>
      <c r="BI1217" s="77"/>
    </row>
    <row r="1218" spans="1:61" x14ac:dyDescent="0.25">
      <c r="A1218" s="62" t="s">
        <v>687</v>
      </c>
      <c r="B1218" s="62" t="s">
        <v>687</v>
      </c>
      <c r="C1218" s="63"/>
      <c r="D1218" s="64"/>
      <c r="E1218" s="65"/>
      <c r="F1218" s="66"/>
      <c r="G1218" s="63"/>
      <c r="H1218" s="67"/>
      <c r="I1218" s="68"/>
      <c r="J1218" s="68"/>
      <c r="K1218" s="32"/>
      <c r="L1218" s="75">
        <v>1218</v>
      </c>
      <c r="M1218" s="75"/>
      <c r="N1218" s="70"/>
      <c r="O1218" s="77" t="s">
        <v>179</v>
      </c>
      <c r="P1218" s="79">
        <v>45132.324999999997</v>
      </c>
      <c r="Q1218" s="77" t="s">
        <v>3139</v>
      </c>
      <c r="R1218" s="77">
        <v>1</v>
      </c>
      <c r="S1218" s="77">
        <v>1</v>
      </c>
      <c r="T1218" s="77">
        <v>0</v>
      </c>
      <c r="U1218" s="77">
        <v>0</v>
      </c>
      <c r="V1218" s="77">
        <v>141</v>
      </c>
      <c r="W1218" s="80" t="s">
        <v>6759</v>
      </c>
      <c r="X1218" s="83" t="str">
        <f>HYPERLINK("https://tinyurl.com/3h9eedaa")</f>
        <v>https://tinyurl.com/3h9eedaa</v>
      </c>
      <c r="Y1218" s="77" t="s">
        <v>8670</v>
      </c>
      <c r="Z1218" s="77"/>
      <c r="AA1218" s="77" t="s">
        <v>9447</v>
      </c>
      <c r="AB1218" s="77" t="s">
        <v>10535</v>
      </c>
      <c r="AC1218" s="80" t="s">
        <v>10555</v>
      </c>
      <c r="AD1218" s="77" t="s">
        <v>10620</v>
      </c>
      <c r="AE1218" s="83" t="str">
        <f>HYPERLINK("https://twitter.com/consensomercado/status/1683745902115315713")</f>
        <v>https://twitter.com/consensomercado/status/1683745902115315713</v>
      </c>
      <c r="AF1218" s="79">
        <v>45132.324999999997</v>
      </c>
      <c r="AG1218" s="85">
        <v>45132</v>
      </c>
      <c r="AH1218" s="80" t="s">
        <v>11690</v>
      </c>
      <c r="AI1218" s="77" t="b">
        <v>0</v>
      </c>
      <c r="AJ1218" s="77"/>
      <c r="AK1218" s="77"/>
      <c r="AL1218" s="77"/>
      <c r="AM1218" s="77"/>
      <c r="AN1218" s="77"/>
      <c r="AO1218" s="77"/>
      <c r="AP1218" s="77"/>
      <c r="AQ1218" s="77" t="s">
        <v>14929</v>
      </c>
      <c r="AR1218" s="77"/>
      <c r="AS1218" s="77"/>
      <c r="AT1218" s="77"/>
      <c r="AU1218" s="77"/>
      <c r="AV1218" s="83" t="str">
        <f>HYPERLINK("https://pbs.twimg.com/media/F13aqQTWIAE7wab.jpg")</f>
        <v>https://pbs.twimg.com/media/F13aqQTWIAE7wab.jpg</v>
      </c>
      <c r="AW1218" s="80" t="s">
        <v>17105</v>
      </c>
      <c r="AX1218" s="80" t="s">
        <v>17105</v>
      </c>
      <c r="AY1218" s="77"/>
      <c r="AZ1218" s="80" t="s">
        <v>20380</v>
      </c>
      <c r="BA1218" s="80" t="s">
        <v>20380</v>
      </c>
      <c r="BB1218" s="80" t="s">
        <v>20380</v>
      </c>
      <c r="BC1218" s="80" t="s">
        <v>17105</v>
      </c>
      <c r="BD1218" s="77">
        <v>270329897</v>
      </c>
      <c r="BE1218" s="77"/>
      <c r="BF1218" s="77"/>
      <c r="BG1218" s="77"/>
      <c r="BH1218" s="77"/>
      <c r="BI1218" s="77"/>
    </row>
    <row r="1219" spans="1:61" x14ac:dyDescent="0.25">
      <c r="A1219" s="62" t="s">
        <v>687</v>
      </c>
      <c r="B1219" s="62" t="s">
        <v>687</v>
      </c>
      <c r="C1219" s="63"/>
      <c r="D1219" s="64"/>
      <c r="E1219" s="65"/>
      <c r="F1219" s="66"/>
      <c r="G1219" s="63"/>
      <c r="H1219" s="67"/>
      <c r="I1219" s="68"/>
      <c r="J1219" s="68"/>
      <c r="K1219" s="32"/>
      <c r="L1219" s="75">
        <v>1219</v>
      </c>
      <c r="M1219" s="75"/>
      <c r="N1219" s="70"/>
      <c r="O1219" s="77" t="s">
        <v>179</v>
      </c>
      <c r="P1219" s="79">
        <v>45128.648611111108</v>
      </c>
      <c r="Q1219" s="77" t="s">
        <v>3140</v>
      </c>
      <c r="R1219" s="77">
        <v>0</v>
      </c>
      <c r="S1219" s="77">
        <v>0</v>
      </c>
      <c r="T1219" s="77">
        <v>0</v>
      </c>
      <c r="U1219" s="77">
        <v>0</v>
      </c>
      <c r="V1219" s="77">
        <v>112</v>
      </c>
      <c r="W1219" s="80" t="s">
        <v>6750</v>
      </c>
      <c r="X1219" s="83" t="str">
        <f>HYPERLINK("https://tinyurl.com/23und6k9")</f>
        <v>https://tinyurl.com/23und6k9</v>
      </c>
      <c r="Y1219" s="77" t="s">
        <v>8670</v>
      </c>
      <c r="Z1219" s="77"/>
      <c r="AA1219" s="77" t="s">
        <v>9448</v>
      </c>
      <c r="AB1219" s="77" t="s">
        <v>10535</v>
      </c>
      <c r="AC1219" s="80" t="s">
        <v>10555</v>
      </c>
      <c r="AD1219" s="77" t="s">
        <v>10620</v>
      </c>
      <c r="AE1219" s="83" t="str">
        <f>HYPERLINK("https://twitter.com/consensomercado/status/1682413624034463744")</f>
        <v>https://twitter.com/consensomercado/status/1682413624034463744</v>
      </c>
      <c r="AF1219" s="79">
        <v>45128.648611111108</v>
      </c>
      <c r="AG1219" s="85">
        <v>45128</v>
      </c>
      <c r="AH1219" s="80" t="s">
        <v>11694</v>
      </c>
      <c r="AI1219" s="77" t="b">
        <v>0</v>
      </c>
      <c r="AJ1219" s="77"/>
      <c r="AK1219" s="77"/>
      <c r="AL1219" s="77"/>
      <c r="AM1219" s="77"/>
      <c r="AN1219" s="77"/>
      <c r="AO1219" s="77"/>
      <c r="AP1219" s="77"/>
      <c r="AQ1219" s="77" t="s">
        <v>14930</v>
      </c>
      <c r="AR1219" s="77"/>
      <c r="AS1219" s="77"/>
      <c r="AT1219" s="77"/>
      <c r="AU1219" s="77"/>
      <c r="AV1219" s="83" t="str">
        <f>HYPERLINK("https://pbs.twimg.com/media/F1jnRVmXsAAl045.jpg")</f>
        <v>https://pbs.twimg.com/media/F1jnRVmXsAAl045.jpg</v>
      </c>
      <c r="AW1219" s="80" t="s">
        <v>17106</v>
      </c>
      <c r="AX1219" s="80" t="s">
        <v>17106</v>
      </c>
      <c r="AY1219" s="77"/>
      <c r="AZ1219" s="80" t="s">
        <v>20380</v>
      </c>
      <c r="BA1219" s="80" t="s">
        <v>20380</v>
      </c>
      <c r="BB1219" s="80" t="s">
        <v>20380</v>
      </c>
      <c r="BC1219" s="80" t="s">
        <v>17106</v>
      </c>
      <c r="BD1219" s="77">
        <v>270329897</v>
      </c>
      <c r="BE1219" s="77"/>
      <c r="BF1219" s="77"/>
      <c r="BG1219" s="77"/>
      <c r="BH1219" s="77"/>
      <c r="BI1219" s="77"/>
    </row>
    <row r="1220" spans="1:61" x14ac:dyDescent="0.25">
      <c r="A1220" s="62" t="s">
        <v>688</v>
      </c>
      <c r="B1220" s="62" t="s">
        <v>688</v>
      </c>
      <c r="C1220" s="63"/>
      <c r="D1220" s="64"/>
      <c r="E1220" s="65"/>
      <c r="F1220" s="66"/>
      <c r="G1220" s="63"/>
      <c r="H1220" s="67"/>
      <c r="I1220" s="68"/>
      <c r="J1220" s="68"/>
      <c r="K1220" s="32"/>
      <c r="L1220" s="75">
        <v>1220</v>
      </c>
      <c r="M1220" s="75"/>
      <c r="N1220" s="70"/>
      <c r="O1220" s="77" t="s">
        <v>179</v>
      </c>
      <c r="P1220" s="79">
        <v>45106.542141203703</v>
      </c>
      <c r="Q1220" s="77" t="s">
        <v>3141</v>
      </c>
      <c r="R1220" s="77">
        <v>0</v>
      </c>
      <c r="S1220" s="77">
        <v>40</v>
      </c>
      <c r="T1220" s="77">
        <v>1</v>
      </c>
      <c r="U1220" s="77">
        <v>1</v>
      </c>
      <c r="V1220" s="77">
        <v>145</v>
      </c>
      <c r="W1220" s="80" t="s">
        <v>6760</v>
      </c>
      <c r="X1220" s="83" t="str">
        <f>HYPERLINK("https://brasilnft.art.br/")</f>
        <v>https://brasilnft.art.br/</v>
      </c>
      <c r="Y1220" s="77" t="s">
        <v>8728</v>
      </c>
      <c r="Z1220" s="77"/>
      <c r="AA1220" s="77" t="s">
        <v>9449</v>
      </c>
      <c r="AB1220" s="77" t="s">
        <v>10535</v>
      </c>
      <c r="AC1220" s="80" t="s">
        <v>10550</v>
      </c>
      <c r="AD1220" s="77" t="s">
        <v>10617</v>
      </c>
      <c r="AE1220" s="83" t="str">
        <f>HYPERLINK("https://twitter.com/brasilnft/status/1674402508314226688")</f>
        <v>https://twitter.com/brasilnft/status/1674402508314226688</v>
      </c>
      <c r="AF1220" s="79">
        <v>45106.542141203703</v>
      </c>
      <c r="AG1220" s="85">
        <v>45106</v>
      </c>
      <c r="AH1220" s="80" t="s">
        <v>11695</v>
      </c>
      <c r="AI1220" s="77" t="b">
        <v>0</v>
      </c>
      <c r="AJ1220" s="77"/>
      <c r="AK1220" s="77"/>
      <c r="AL1220" s="77"/>
      <c r="AM1220" s="77"/>
      <c r="AN1220" s="77"/>
      <c r="AO1220" s="77"/>
      <c r="AP1220" s="77"/>
      <c r="AQ1220" s="77" t="s">
        <v>14931</v>
      </c>
      <c r="AR1220" s="77"/>
      <c r="AS1220" s="77"/>
      <c r="AT1220" s="77"/>
      <c r="AU1220" s="77"/>
      <c r="AV1220" s="83" t="str">
        <f>HYPERLINK("https://pbs.twimg.com/media/FzysNT3XsAQrSo_.jpg")</f>
        <v>https://pbs.twimg.com/media/FzysNT3XsAQrSo_.jpg</v>
      </c>
      <c r="AW1220" s="80" t="s">
        <v>17107</v>
      </c>
      <c r="AX1220" s="80" t="s">
        <v>17107</v>
      </c>
      <c r="AY1220" s="77"/>
      <c r="AZ1220" s="80" t="s">
        <v>20380</v>
      </c>
      <c r="BA1220" s="80" t="s">
        <v>20380</v>
      </c>
      <c r="BB1220" s="80" t="s">
        <v>20380</v>
      </c>
      <c r="BC1220" s="80" t="s">
        <v>17107</v>
      </c>
      <c r="BD1220" s="80" t="s">
        <v>20717</v>
      </c>
      <c r="BE1220" s="77"/>
      <c r="BF1220" s="77"/>
      <c r="BG1220" s="77"/>
      <c r="BH1220" s="77"/>
      <c r="BI1220" s="77"/>
    </row>
    <row r="1221" spans="1:61" x14ac:dyDescent="0.25">
      <c r="A1221" s="62" t="s">
        <v>688</v>
      </c>
      <c r="B1221" s="62" t="s">
        <v>688</v>
      </c>
      <c r="C1221" s="63"/>
      <c r="D1221" s="64"/>
      <c r="E1221" s="65"/>
      <c r="F1221" s="66"/>
      <c r="G1221" s="63"/>
      <c r="H1221" s="67"/>
      <c r="I1221" s="68"/>
      <c r="J1221" s="68"/>
      <c r="K1221" s="32"/>
      <c r="L1221" s="75">
        <v>1221</v>
      </c>
      <c r="M1221" s="75"/>
      <c r="N1221" s="70"/>
      <c r="O1221" s="77" t="s">
        <v>179</v>
      </c>
      <c r="P1221" s="79">
        <v>45104.548773148148</v>
      </c>
      <c r="Q1221" s="77" t="s">
        <v>3142</v>
      </c>
      <c r="R1221" s="77">
        <v>0</v>
      </c>
      <c r="S1221" s="77">
        <v>37</v>
      </c>
      <c r="T1221" s="77">
        <v>0</v>
      </c>
      <c r="U1221" s="77">
        <v>0</v>
      </c>
      <c r="V1221" s="77">
        <v>114</v>
      </c>
      <c r="W1221" s="80" t="s">
        <v>6760</v>
      </c>
      <c r="X1221" s="83" t="str">
        <f>HYPERLINK("https://brasilnft.art.br/")</f>
        <v>https://brasilnft.art.br/</v>
      </c>
      <c r="Y1221" s="77" t="s">
        <v>8728</v>
      </c>
      <c r="Z1221" s="77"/>
      <c r="AA1221" s="77" t="s">
        <v>9450</v>
      </c>
      <c r="AB1221" s="77" t="s">
        <v>10535</v>
      </c>
      <c r="AC1221" s="80" t="s">
        <v>10550</v>
      </c>
      <c r="AD1221" s="77" t="s">
        <v>10617</v>
      </c>
      <c r="AE1221" s="83" t="str">
        <f>HYPERLINK("https://twitter.com/brasilnft/status/1673680136560955396")</f>
        <v>https://twitter.com/brasilnft/status/1673680136560955396</v>
      </c>
      <c r="AF1221" s="79">
        <v>45104.548773148148</v>
      </c>
      <c r="AG1221" s="85">
        <v>45104</v>
      </c>
      <c r="AH1221" s="80" t="s">
        <v>11696</v>
      </c>
      <c r="AI1221" s="77" t="b">
        <v>0</v>
      </c>
      <c r="AJ1221" s="77"/>
      <c r="AK1221" s="77"/>
      <c r="AL1221" s="77"/>
      <c r="AM1221" s="77"/>
      <c r="AN1221" s="77"/>
      <c r="AO1221" s="77"/>
      <c r="AP1221" s="77"/>
      <c r="AQ1221" s="77" t="s">
        <v>14932</v>
      </c>
      <c r="AR1221" s="77"/>
      <c r="AS1221" s="77"/>
      <c r="AT1221" s="77"/>
      <c r="AU1221" s="77"/>
      <c r="AV1221" s="83" t="str">
        <f>HYPERLINK("https://pbs.twimg.com/media/FzobNveXoAIIY1B.jpg")</f>
        <v>https://pbs.twimg.com/media/FzobNveXoAIIY1B.jpg</v>
      </c>
      <c r="AW1221" s="80" t="s">
        <v>17108</v>
      </c>
      <c r="AX1221" s="80" t="s">
        <v>17108</v>
      </c>
      <c r="AY1221" s="77"/>
      <c r="AZ1221" s="80" t="s">
        <v>20380</v>
      </c>
      <c r="BA1221" s="80" t="s">
        <v>20380</v>
      </c>
      <c r="BB1221" s="80" t="s">
        <v>20380</v>
      </c>
      <c r="BC1221" s="80" t="s">
        <v>17108</v>
      </c>
      <c r="BD1221" s="80" t="s">
        <v>20717</v>
      </c>
      <c r="BE1221" s="77"/>
      <c r="BF1221" s="77"/>
      <c r="BG1221" s="77"/>
      <c r="BH1221" s="77"/>
      <c r="BI1221" s="77"/>
    </row>
    <row r="1222" spans="1:61" x14ac:dyDescent="0.25">
      <c r="A1222" s="62" t="s">
        <v>689</v>
      </c>
      <c r="B1222" s="62" t="s">
        <v>689</v>
      </c>
      <c r="C1222" s="63"/>
      <c r="D1222" s="64"/>
      <c r="E1222" s="65"/>
      <c r="F1222" s="66"/>
      <c r="G1222" s="63"/>
      <c r="H1222" s="67"/>
      <c r="I1222" s="68"/>
      <c r="J1222" s="68"/>
      <c r="K1222" s="32"/>
      <c r="L1222" s="75">
        <v>1222</v>
      </c>
      <c r="M1222" s="75"/>
      <c r="N1222" s="70"/>
      <c r="O1222" s="77" t="s">
        <v>2081</v>
      </c>
      <c r="P1222" s="79">
        <v>45078.526377314818</v>
      </c>
      <c r="Q1222" s="77" t="s">
        <v>3143</v>
      </c>
      <c r="R1222" s="77">
        <v>1</v>
      </c>
      <c r="S1222" s="77">
        <v>8</v>
      </c>
      <c r="T1222" s="77">
        <v>0</v>
      </c>
      <c r="U1222" s="77">
        <v>0</v>
      </c>
      <c r="V1222" s="77">
        <v>1392</v>
      </c>
      <c r="W1222" s="80" t="s">
        <v>6761</v>
      </c>
      <c r="X1222" s="83" t="str">
        <f>HYPERLINK("https://jcconcursos.com.br/noticia/concursos/concurso-bacen-novo-pedido-de-autorizacao-para-545-vagas-de-niveis-medio-e-superior-111865")</f>
        <v>https://jcconcursos.com.br/noticia/concursos/concurso-bacen-novo-pedido-de-autorizacao-para-545-vagas-de-niveis-medio-e-superior-111865</v>
      </c>
      <c r="Y1222" s="77" t="s">
        <v>8611</v>
      </c>
      <c r="Z1222" s="77" t="s">
        <v>689</v>
      </c>
      <c r="AA1222" s="77"/>
      <c r="AB1222" s="77"/>
      <c r="AC1222" s="80" t="s">
        <v>10542</v>
      </c>
      <c r="AD1222" s="77" t="s">
        <v>10617</v>
      </c>
      <c r="AE1222" s="83" t="str">
        <f>HYPERLINK("https://twitter.com/jcconcursos/status/1664249936509116416")</f>
        <v>https://twitter.com/jcconcursos/status/1664249936509116416</v>
      </c>
      <c r="AF1222" s="79">
        <v>45078.526377314818</v>
      </c>
      <c r="AG1222" s="85">
        <v>45078</v>
      </c>
      <c r="AH1222" s="80" t="s">
        <v>11697</v>
      </c>
      <c r="AI1222" s="77" t="b">
        <v>0</v>
      </c>
      <c r="AJ1222" s="77" t="s">
        <v>14341</v>
      </c>
      <c r="AK1222" s="77" t="s">
        <v>14382</v>
      </c>
      <c r="AL1222" s="77" t="s">
        <v>14391</v>
      </c>
      <c r="AM1222" s="77" t="s">
        <v>14400</v>
      </c>
      <c r="AN1222" s="77" t="s">
        <v>14438</v>
      </c>
      <c r="AO1222" s="77" t="s">
        <v>14479</v>
      </c>
      <c r="AP1222" s="77" t="s">
        <v>14516</v>
      </c>
      <c r="AQ1222" s="77"/>
      <c r="AR1222" s="77"/>
      <c r="AS1222" s="77"/>
      <c r="AT1222" s="77"/>
      <c r="AU1222" s="77"/>
      <c r="AV1222" s="83" t="str">
        <f>HYPERLINK("https://pbs.twimg.com/profile_images/418807469477863424/OLeboMoW_normal.jpeg")</f>
        <v>https://pbs.twimg.com/profile_images/418807469477863424/OLeboMoW_normal.jpeg</v>
      </c>
      <c r="AW1222" s="80" t="s">
        <v>17109</v>
      </c>
      <c r="AX1222" s="80" t="s">
        <v>17109</v>
      </c>
      <c r="AY1222" s="77"/>
      <c r="AZ1222" s="80" t="s">
        <v>20380</v>
      </c>
      <c r="BA1222" s="80" t="s">
        <v>20380</v>
      </c>
      <c r="BB1222" s="80" t="s">
        <v>20380</v>
      </c>
      <c r="BC1222" s="80" t="s">
        <v>17109</v>
      </c>
      <c r="BD1222" s="77">
        <v>31182040</v>
      </c>
      <c r="BE1222" s="77"/>
      <c r="BF1222" s="77"/>
      <c r="BG1222" s="77"/>
      <c r="BH1222" s="77"/>
      <c r="BI1222" s="77"/>
    </row>
    <row r="1223" spans="1:61" x14ac:dyDescent="0.25">
      <c r="A1223" s="62" t="s">
        <v>689</v>
      </c>
      <c r="B1223" s="62" t="s">
        <v>689</v>
      </c>
      <c r="C1223" s="63"/>
      <c r="D1223" s="64"/>
      <c r="E1223" s="65"/>
      <c r="F1223" s="66"/>
      <c r="G1223" s="63"/>
      <c r="H1223" s="67"/>
      <c r="I1223" s="68"/>
      <c r="J1223" s="68"/>
      <c r="K1223" s="32"/>
      <c r="L1223" s="75">
        <v>1223</v>
      </c>
      <c r="M1223" s="75"/>
      <c r="N1223" s="70"/>
      <c r="O1223" s="77" t="s">
        <v>179</v>
      </c>
      <c r="P1223" s="79">
        <v>45111.591527777775</v>
      </c>
      <c r="Q1223" s="77" t="s">
        <v>3144</v>
      </c>
      <c r="R1223" s="77">
        <v>0</v>
      </c>
      <c r="S1223" s="77">
        <v>3</v>
      </c>
      <c r="T1223" s="77">
        <v>0</v>
      </c>
      <c r="U1223" s="77">
        <v>0</v>
      </c>
      <c r="V1223" s="77">
        <v>610</v>
      </c>
      <c r="W1223" s="80" t="s">
        <v>6762</v>
      </c>
      <c r="X1223" s="83" t="str">
        <f>HYPERLINK("https://jcconcursos.com.br/noticia/concursos/concurso-bacen-presidente-confirma-necessidade-de-contratacoes-113166")</f>
        <v>https://jcconcursos.com.br/noticia/concursos/concurso-bacen-presidente-confirma-necessidade-de-contratacoes-113166</v>
      </c>
      <c r="Y1223" s="77" t="s">
        <v>8611</v>
      </c>
      <c r="Z1223" s="77"/>
      <c r="AA1223" s="77"/>
      <c r="AB1223" s="77"/>
      <c r="AC1223" s="80" t="s">
        <v>10542</v>
      </c>
      <c r="AD1223" s="77" t="s">
        <v>10617</v>
      </c>
      <c r="AE1223" s="83" t="str">
        <f>HYPERLINK("https://twitter.com/jcconcursos/status/1676232346230575106")</f>
        <v>https://twitter.com/jcconcursos/status/1676232346230575106</v>
      </c>
      <c r="AF1223" s="79">
        <v>45111.591527777775</v>
      </c>
      <c r="AG1223" s="85">
        <v>45111</v>
      </c>
      <c r="AH1223" s="80" t="s">
        <v>11698</v>
      </c>
      <c r="AI1223" s="77" t="b">
        <v>0</v>
      </c>
      <c r="AJ1223" s="77"/>
      <c r="AK1223" s="77"/>
      <c r="AL1223" s="77"/>
      <c r="AM1223" s="77"/>
      <c r="AN1223" s="77"/>
      <c r="AO1223" s="77"/>
      <c r="AP1223" s="77"/>
      <c r="AQ1223" s="77"/>
      <c r="AR1223" s="77"/>
      <c r="AS1223" s="77"/>
      <c r="AT1223" s="77"/>
      <c r="AU1223" s="77"/>
      <c r="AV1223" s="83" t="str">
        <f>HYPERLINK("https://pbs.twimg.com/profile_images/418807469477863424/OLeboMoW_normal.jpeg")</f>
        <v>https://pbs.twimg.com/profile_images/418807469477863424/OLeboMoW_normal.jpeg</v>
      </c>
      <c r="AW1223" s="80" t="s">
        <v>17110</v>
      </c>
      <c r="AX1223" s="80" t="s">
        <v>17110</v>
      </c>
      <c r="AY1223" s="77"/>
      <c r="AZ1223" s="80" t="s">
        <v>20380</v>
      </c>
      <c r="BA1223" s="80" t="s">
        <v>20380</v>
      </c>
      <c r="BB1223" s="80" t="s">
        <v>20380</v>
      </c>
      <c r="BC1223" s="80" t="s">
        <v>17110</v>
      </c>
      <c r="BD1223" s="77">
        <v>31182040</v>
      </c>
      <c r="BE1223" s="77"/>
      <c r="BF1223" s="77"/>
      <c r="BG1223" s="77"/>
      <c r="BH1223" s="77"/>
      <c r="BI1223" s="77"/>
    </row>
    <row r="1224" spans="1:61" x14ac:dyDescent="0.25">
      <c r="A1224" s="62" t="s">
        <v>689</v>
      </c>
      <c r="B1224" s="62" t="s">
        <v>689</v>
      </c>
      <c r="C1224" s="63"/>
      <c r="D1224" s="64"/>
      <c r="E1224" s="65"/>
      <c r="F1224" s="66"/>
      <c r="G1224" s="63"/>
      <c r="H1224" s="67"/>
      <c r="I1224" s="68"/>
      <c r="J1224" s="68"/>
      <c r="K1224" s="32"/>
      <c r="L1224" s="75">
        <v>1224</v>
      </c>
      <c r="M1224" s="75"/>
      <c r="N1224" s="70"/>
      <c r="O1224" s="77" t="s">
        <v>2081</v>
      </c>
      <c r="P1224" s="79">
        <v>45120.480868055558</v>
      </c>
      <c r="Q1224" s="77" t="s">
        <v>3145</v>
      </c>
      <c r="R1224" s="77">
        <v>0</v>
      </c>
      <c r="S1224" s="77">
        <v>1</v>
      </c>
      <c r="T1224" s="77">
        <v>0</v>
      </c>
      <c r="U1224" s="77">
        <v>0</v>
      </c>
      <c r="V1224" s="77">
        <v>673</v>
      </c>
      <c r="W1224" s="80" t="s">
        <v>6762</v>
      </c>
      <c r="X1224" s="83" t="str">
        <f>HYPERLINK("https://jcconcursos.com.br/noticia/concursos/concurso-bacen-em-carta-aberta-abranet-cobra-contratacao-de-pessoal-113529")</f>
        <v>https://jcconcursos.com.br/noticia/concursos/concurso-bacen-em-carta-aberta-abranet-cobra-contratacao-de-pessoal-113529</v>
      </c>
      <c r="Y1224" s="77" t="s">
        <v>8611</v>
      </c>
      <c r="Z1224" s="77" t="s">
        <v>689</v>
      </c>
      <c r="AA1224" s="77"/>
      <c r="AB1224" s="77"/>
      <c r="AC1224" s="80" t="s">
        <v>10542</v>
      </c>
      <c r="AD1224" s="77" t="s">
        <v>10617</v>
      </c>
      <c r="AE1224" s="83" t="str">
        <f>HYPERLINK("https://twitter.com/jcconcursos/status/1679453732965064705")</f>
        <v>https://twitter.com/jcconcursos/status/1679453732965064705</v>
      </c>
      <c r="AF1224" s="79">
        <v>45120.480868055558</v>
      </c>
      <c r="AG1224" s="85">
        <v>45120</v>
      </c>
      <c r="AH1224" s="80" t="s">
        <v>11699</v>
      </c>
      <c r="AI1224" s="77" t="b">
        <v>0</v>
      </c>
      <c r="AJ1224" s="77" t="s">
        <v>14341</v>
      </c>
      <c r="AK1224" s="77" t="s">
        <v>14382</v>
      </c>
      <c r="AL1224" s="77" t="s">
        <v>14391</v>
      </c>
      <c r="AM1224" s="77" t="s">
        <v>14400</v>
      </c>
      <c r="AN1224" s="77" t="s">
        <v>14438</v>
      </c>
      <c r="AO1224" s="77" t="s">
        <v>14479</v>
      </c>
      <c r="AP1224" s="77" t="s">
        <v>14516</v>
      </c>
      <c r="AQ1224" s="77"/>
      <c r="AR1224" s="77"/>
      <c r="AS1224" s="77"/>
      <c r="AT1224" s="77"/>
      <c r="AU1224" s="77"/>
      <c r="AV1224" s="83" t="str">
        <f>HYPERLINK("https://pbs.twimg.com/profile_images/418807469477863424/OLeboMoW_normal.jpeg")</f>
        <v>https://pbs.twimg.com/profile_images/418807469477863424/OLeboMoW_normal.jpeg</v>
      </c>
      <c r="AW1224" s="80" t="s">
        <v>17111</v>
      </c>
      <c r="AX1224" s="80" t="s">
        <v>17111</v>
      </c>
      <c r="AY1224" s="77"/>
      <c r="AZ1224" s="80" t="s">
        <v>20380</v>
      </c>
      <c r="BA1224" s="80" t="s">
        <v>20380</v>
      </c>
      <c r="BB1224" s="80" t="s">
        <v>20380</v>
      </c>
      <c r="BC1224" s="80" t="s">
        <v>17111</v>
      </c>
      <c r="BD1224" s="77">
        <v>31182040</v>
      </c>
      <c r="BE1224" s="77"/>
      <c r="BF1224" s="77"/>
      <c r="BG1224" s="77"/>
      <c r="BH1224" s="77"/>
      <c r="BI1224" s="77"/>
    </row>
    <row r="1225" spans="1:61" x14ac:dyDescent="0.25">
      <c r="A1225" s="62" t="s">
        <v>689</v>
      </c>
      <c r="B1225" s="62" t="s">
        <v>689</v>
      </c>
      <c r="C1225" s="63"/>
      <c r="D1225" s="64"/>
      <c r="E1225" s="65"/>
      <c r="F1225" s="66"/>
      <c r="G1225" s="63"/>
      <c r="H1225" s="67"/>
      <c r="I1225" s="68"/>
      <c r="J1225" s="68"/>
      <c r="K1225" s="32"/>
      <c r="L1225" s="75">
        <v>1225</v>
      </c>
      <c r="M1225" s="75"/>
      <c r="N1225" s="70"/>
      <c r="O1225" s="77" t="s">
        <v>179</v>
      </c>
      <c r="P1225" s="79">
        <v>45125.804675925923</v>
      </c>
      <c r="Q1225" s="77" t="s">
        <v>3146</v>
      </c>
      <c r="R1225" s="77">
        <v>0</v>
      </c>
      <c r="S1225" s="77">
        <v>2</v>
      </c>
      <c r="T1225" s="77">
        <v>0</v>
      </c>
      <c r="U1225" s="77">
        <v>0</v>
      </c>
      <c r="V1225" s="77">
        <v>793</v>
      </c>
      <c r="W1225" s="80" t="s">
        <v>6763</v>
      </c>
      <c r="X1225" s="83" t="str">
        <f>HYPERLINK("https://jcconcursos.com.br/noticia/concursos/concurso-bacen-urgente-nova-selecao-e-autorizada-para-100-vagas-de-nivel-superior-113764")</f>
        <v>https://jcconcursos.com.br/noticia/concursos/concurso-bacen-urgente-nova-selecao-e-autorizada-para-100-vagas-de-nivel-superior-113764</v>
      </c>
      <c r="Y1225" s="77" t="s">
        <v>8611</v>
      </c>
      <c r="Z1225" s="77"/>
      <c r="AA1225" s="77"/>
      <c r="AB1225" s="77"/>
      <c r="AC1225" s="80" t="s">
        <v>10542</v>
      </c>
      <c r="AD1225" s="77" t="s">
        <v>10617</v>
      </c>
      <c r="AE1225" s="83" t="str">
        <f>HYPERLINK("https://twitter.com/jcconcursos/status/1681383018198335490")</f>
        <v>https://twitter.com/jcconcursos/status/1681383018198335490</v>
      </c>
      <c r="AF1225" s="79">
        <v>45125.804675925923</v>
      </c>
      <c r="AG1225" s="85">
        <v>45125</v>
      </c>
      <c r="AH1225" s="80" t="s">
        <v>11700</v>
      </c>
      <c r="AI1225" s="77" t="b">
        <v>0</v>
      </c>
      <c r="AJ1225" s="77"/>
      <c r="AK1225" s="77"/>
      <c r="AL1225" s="77"/>
      <c r="AM1225" s="77"/>
      <c r="AN1225" s="77"/>
      <c r="AO1225" s="77"/>
      <c r="AP1225" s="77"/>
      <c r="AQ1225" s="77"/>
      <c r="AR1225" s="77"/>
      <c r="AS1225" s="77"/>
      <c r="AT1225" s="77"/>
      <c r="AU1225" s="77"/>
      <c r="AV1225" s="83" t="str">
        <f>HYPERLINK("https://pbs.twimg.com/profile_images/418807469477863424/OLeboMoW_normal.jpeg")</f>
        <v>https://pbs.twimg.com/profile_images/418807469477863424/OLeboMoW_normal.jpeg</v>
      </c>
      <c r="AW1225" s="80" t="s">
        <v>17112</v>
      </c>
      <c r="AX1225" s="80" t="s">
        <v>17112</v>
      </c>
      <c r="AY1225" s="77"/>
      <c r="AZ1225" s="80" t="s">
        <v>20380</v>
      </c>
      <c r="BA1225" s="80" t="s">
        <v>20380</v>
      </c>
      <c r="BB1225" s="80" t="s">
        <v>20380</v>
      </c>
      <c r="BC1225" s="80" t="s">
        <v>17112</v>
      </c>
      <c r="BD1225" s="77">
        <v>31182040</v>
      </c>
      <c r="BE1225" s="77"/>
      <c r="BF1225" s="77"/>
      <c r="BG1225" s="77"/>
      <c r="BH1225" s="77"/>
      <c r="BI1225" s="77"/>
    </row>
    <row r="1226" spans="1:61" x14ac:dyDescent="0.25">
      <c r="A1226" s="62" t="s">
        <v>690</v>
      </c>
      <c r="B1226" s="62" t="s">
        <v>690</v>
      </c>
      <c r="C1226" s="63"/>
      <c r="D1226" s="64"/>
      <c r="E1226" s="65"/>
      <c r="F1226" s="66"/>
      <c r="G1226" s="63"/>
      <c r="H1226" s="67"/>
      <c r="I1226" s="68"/>
      <c r="J1226" s="68"/>
      <c r="K1226" s="32"/>
      <c r="L1226" s="75">
        <v>1226</v>
      </c>
      <c r="M1226" s="75"/>
      <c r="N1226" s="70"/>
      <c r="O1226" s="77" t="s">
        <v>2078</v>
      </c>
      <c r="P1226" s="79">
        <v>45139.630347222221</v>
      </c>
      <c r="Q1226" s="77" t="s">
        <v>3147</v>
      </c>
      <c r="R1226" s="77">
        <v>0</v>
      </c>
      <c r="S1226" s="77">
        <v>0</v>
      </c>
      <c r="T1226" s="77">
        <v>0</v>
      </c>
      <c r="U1226" s="77">
        <v>0</v>
      </c>
      <c r="V1226" s="77">
        <v>30</v>
      </c>
      <c r="W1226" s="80" t="s">
        <v>6764</v>
      </c>
      <c r="X1226" s="77"/>
      <c r="Y1226" s="77"/>
      <c r="Z1226" s="77"/>
      <c r="AA1226" s="77" t="s">
        <v>9451</v>
      </c>
      <c r="AB1226" s="77" t="s">
        <v>10535</v>
      </c>
      <c r="AC1226" s="80" t="s">
        <v>10541</v>
      </c>
      <c r="AD1226" s="77" t="s">
        <v>10619</v>
      </c>
      <c r="AE1226" s="83" t="str">
        <f>HYPERLINK("https://twitter.com/elcatmanok/status/1686393270559981568")</f>
        <v>https://twitter.com/elcatmanok/status/1686393270559981568</v>
      </c>
      <c r="AF1226" s="79">
        <v>45139.630347222221</v>
      </c>
      <c r="AG1226" s="85">
        <v>45139</v>
      </c>
      <c r="AH1226" s="80" t="s">
        <v>11675</v>
      </c>
      <c r="AI1226" s="77" t="b">
        <v>0</v>
      </c>
      <c r="AJ1226" s="77"/>
      <c r="AK1226" s="77"/>
      <c r="AL1226" s="77"/>
      <c r="AM1226" s="77"/>
      <c r="AN1226" s="77"/>
      <c r="AO1226" s="77"/>
      <c r="AP1226" s="77"/>
      <c r="AQ1226" s="77" t="s">
        <v>14933</v>
      </c>
      <c r="AR1226" s="77"/>
      <c r="AS1226" s="77"/>
      <c r="AT1226" s="77"/>
      <c r="AU1226" s="77"/>
      <c r="AV1226" s="83" t="str">
        <f>HYPERLINK("https://pbs.twimg.com/media/F2dFWuMXQAAQpMZ.jpg")</f>
        <v>https://pbs.twimg.com/media/F2dFWuMXQAAQpMZ.jpg</v>
      </c>
      <c r="AW1226" s="80" t="s">
        <v>17113</v>
      </c>
      <c r="AX1226" s="80" t="s">
        <v>20014</v>
      </c>
      <c r="AY1226" s="80" t="s">
        <v>20266</v>
      </c>
      <c r="AZ1226" s="80" t="s">
        <v>20014</v>
      </c>
      <c r="BA1226" s="80" t="s">
        <v>20380</v>
      </c>
      <c r="BB1226" s="80" t="s">
        <v>20380</v>
      </c>
      <c r="BC1226" s="80" t="s">
        <v>20014</v>
      </c>
      <c r="BD1226" s="80" t="s">
        <v>20266</v>
      </c>
      <c r="BE1226" s="77"/>
      <c r="BF1226" s="77"/>
      <c r="BG1226" s="77"/>
      <c r="BH1226" s="77"/>
      <c r="BI1226" s="77"/>
    </row>
    <row r="1227" spans="1:61" x14ac:dyDescent="0.25">
      <c r="A1227" s="62" t="s">
        <v>690</v>
      </c>
      <c r="B1227" s="62" t="s">
        <v>690</v>
      </c>
      <c r="C1227" s="63"/>
      <c r="D1227" s="64"/>
      <c r="E1227" s="65"/>
      <c r="F1227" s="66"/>
      <c r="G1227" s="63"/>
      <c r="H1227" s="67"/>
      <c r="I1227" s="68"/>
      <c r="J1227" s="68"/>
      <c r="K1227" s="32"/>
      <c r="L1227" s="75">
        <v>1227</v>
      </c>
      <c r="M1227" s="75"/>
      <c r="N1227" s="70"/>
      <c r="O1227" s="77" t="s">
        <v>179</v>
      </c>
      <c r="P1227" s="79">
        <v>45152.598564814813</v>
      </c>
      <c r="Q1227" s="77" t="s">
        <v>3148</v>
      </c>
      <c r="R1227" s="77">
        <v>0</v>
      </c>
      <c r="S1227" s="77">
        <v>0</v>
      </c>
      <c r="T1227" s="77">
        <v>0</v>
      </c>
      <c r="U1227" s="77">
        <v>1</v>
      </c>
      <c r="V1227" s="77">
        <v>76</v>
      </c>
      <c r="W1227" s="80" t="s">
        <v>6765</v>
      </c>
      <c r="X1227" s="83" t="str">
        <f>HYPERLINK("https://www.eldia.com/nota/2023-3-25-1-3-58-antes-de-devaluar-me-voy-dijo-sergio-massa-politica-y-economia")</f>
        <v>https://www.eldia.com/nota/2023-3-25-1-3-58-antes-de-devaluar-me-voy-dijo-sergio-massa-politica-y-economia</v>
      </c>
      <c r="Y1227" s="77" t="s">
        <v>8729</v>
      </c>
      <c r="Z1227" s="77"/>
      <c r="AA1227" s="77" t="s">
        <v>9452</v>
      </c>
      <c r="AB1227" s="77" t="s">
        <v>10535</v>
      </c>
      <c r="AC1227" s="80" t="s">
        <v>10541</v>
      </c>
      <c r="AD1227" s="77" t="s">
        <v>10620</v>
      </c>
      <c r="AE1227" s="83" t="str">
        <f>HYPERLINK("https://twitter.com/elcatmanok/status/1691092795182710784")</f>
        <v>https://twitter.com/elcatmanok/status/1691092795182710784</v>
      </c>
      <c r="AF1227" s="79">
        <v>45152.598564814813</v>
      </c>
      <c r="AG1227" s="85">
        <v>45152</v>
      </c>
      <c r="AH1227" s="80" t="s">
        <v>11701</v>
      </c>
      <c r="AI1227" s="77" t="b">
        <v>0</v>
      </c>
      <c r="AJ1227" s="77"/>
      <c r="AK1227" s="77"/>
      <c r="AL1227" s="77"/>
      <c r="AM1227" s="77"/>
      <c r="AN1227" s="77"/>
      <c r="AO1227" s="77"/>
      <c r="AP1227" s="77"/>
      <c r="AQ1227" s="77" t="s">
        <v>14934</v>
      </c>
      <c r="AR1227" s="77"/>
      <c r="AS1227" s="77"/>
      <c r="AT1227" s="77"/>
      <c r="AU1227" s="77"/>
      <c r="AV1227" s="83" t="str">
        <f>HYPERLINK("https://pbs.twimg.com/media/F3f3UirXcAAlVCd.jpg")</f>
        <v>https://pbs.twimg.com/media/F3f3UirXcAAlVCd.jpg</v>
      </c>
      <c r="AW1227" s="80" t="s">
        <v>17114</v>
      </c>
      <c r="AX1227" s="80" t="s">
        <v>17114</v>
      </c>
      <c r="AY1227" s="77"/>
      <c r="AZ1227" s="80" t="s">
        <v>20380</v>
      </c>
      <c r="BA1227" s="80" t="s">
        <v>20380</v>
      </c>
      <c r="BB1227" s="80" t="s">
        <v>20380</v>
      </c>
      <c r="BC1227" s="80" t="s">
        <v>17114</v>
      </c>
      <c r="BD1227" s="80" t="s">
        <v>20266</v>
      </c>
      <c r="BE1227" s="77"/>
      <c r="BF1227" s="77"/>
      <c r="BG1227" s="77"/>
      <c r="BH1227" s="77"/>
      <c r="BI1227" s="77"/>
    </row>
    <row r="1228" spans="1:61" x14ac:dyDescent="0.25">
      <c r="A1228" s="62" t="s">
        <v>690</v>
      </c>
      <c r="B1228" s="62" t="s">
        <v>690</v>
      </c>
      <c r="C1228" s="63"/>
      <c r="D1228" s="64"/>
      <c r="E1228" s="65"/>
      <c r="F1228" s="66"/>
      <c r="G1228" s="63"/>
      <c r="H1228" s="67"/>
      <c r="I1228" s="68"/>
      <c r="J1228" s="68"/>
      <c r="K1228" s="32"/>
      <c r="L1228" s="75">
        <v>1228</v>
      </c>
      <c r="M1228" s="75"/>
      <c r="N1228" s="70"/>
      <c r="O1228" s="77" t="s">
        <v>179</v>
      </c>
      <c r="P1228" s="79">
        <v>45152.574293981481</v>
      </c>
      <c r="Q1228" s="77" t="s">
        <v>3149</v>
      </c>
      <c r="R1228" s="77">
        <v>0</v>
      </c>
      <c r="S1228" s="77">
        <v>2</v>
      </c>
      <c r="T1228" s="77">
        <v>0</v>
      </c>
      <c r="U1228" s="77">
        <v>1</v>
      </c>
      <c r="V1228" s="77">
        <v>531</v>
      </c>
      <c r="W1228" s="80" t="s">
        <v>6766</v>
      </c>
      <c r="X1228" s="77"/>
      <c r="Y1228" s="77"/>
      <c r="Z1228" s="77"/>
      <c r="AA1228" s="77" t="s">
        <v>9453</v>
      </c>
      <c r="AB1228" s="77" t="s">
        <v>10535</v>
      </c>
      <c r="AC1228" s="80" t="s">
        <v>10541</v>
      </c>
      <c r="AD1228" s="77" t="s">
        <v>10620</v>
      </c>
      <c r="AE1228" s="83" t="str">
        <f>HYPERLINK("https://twitter.com/elcatmanok/status/1691084000041881600")</f>
        <v>https://twitter.com/elcatmanok/status/1691084000041881600</v>
      </c>
      <c r="AF1228" s="79">
        <v>45152.574293981481</v>
      </c>
      <c r="AG1228" s="85">
        <v>45152</v>
      </c>
      <c r="AH1228" s="80" t="s">
        <v>11702</v>
      </c>
      <c r="AI1228" s="77" t="b">
        <v>0</v>
      </c>
      <c r="AJ1228" s="77"/>
      <c r="AK1228" s="77"/>
      <c r="AL1228" s="77"/>
      <c r="AM1228" s="77"/>
      <c r="AN1228" s="77"/>
      <c r="AO1228" s="77"/>
      <c r="AP1228" s="77"/>
      <c r="AQ1228" s="77" t="s">
        <v>14935</v>
      </c>
      <c r="AR1228" s="77"/>
      <c r="AS1228" s="77"/>
      <c r="AT1228" s="77"/>
      <c r="AU1228" s="77"/>
      <c r="AV1228" s="83" t="str">
        <f>HYPERLINK("https://pbs.twimg.com/media/F3fu902WsAISMsM.jpg")</f>
        <v>https://pbs.twimg.com/media/F3fu902WsAISMsM.jpg</v>
      </c>
      <c r="AW1228" s="80" t="s">
        <v>17115</v>
      </c>
      <c r="AX1228" s="80" t="s">
        <v>17115</v>
      </c>
      <c r="AY1228" s="77"/>
      <c r="AZ1228" s="80" t="s">
        <v>20380</v>
      </c>
      <c r="BA1228" s="80" t="s">
        <v>20380</v>
      </c>
      <c r="BB1228" s="80" t="s">
        <v>20380</v>
      </c>
      <c r="BC1228" s="80" t="s">
        <v>17115</v>
      </c>
      <c r="BD1228" s="80" t="s">
        <v>20266</v>
      </c>
      <c r="BE1228" s="77"/>
      <c r="BF1228" s="77"/>
      <c r="BG1228" s="77"/>
      <c r="BH1228" s="77"/>
      <c r="BI1228" s="77"/>
    </row>
    <row r="1229" spans="1:61" x14ac:dyDescent="0.25">
      <c r="A1229" s="62" t="s">
        <v>691</v>
      </c>
      <c r="B1229" s="62" t="s">
        <v>691</v>
      </c>
      <c r="C1229" s="63"/>
      <c r="D1229" s="64"/>
      <c r="E1229" s="65"/>
      <c r="F1229" s="66"/>
      <c r="G1229" s="63"/>
      <c r="H1229" s="67"/>
      <c r="I1229" s="68"/>
      <c r="J1229" s="68"/>
      <c r="K1229" s="32"/>
      <c r="L1229" s="75">
        <v>1229</v>
      </c>
      <c r="M1229" s="75"/>
      <c r="N1229" s="70"/>
      <c r="O1229" s="77" t="s">
        <v>179</v>
      </c>
      <c r="P1229" s="79">
        <v>45138.843680555554</v>
      </c>
      <c r="Q1229" s="77" t="s">
        <v>3150</v>
      </c>
      <c r="R1229" s="77">
        <v>0</v>
      </c>
      <c r="S1229" s="77">
        <v>0</v>
      </c>
      <c r="T1229" s="77">
        <v>0</v>
      </c>
      <c r="U1229" s="77">
        <v>0</v>
      </c>
      <c r="V1229" s="77">
        <v>46</v>
      </c>
      <c r="W1229" s="77"/>
      <c r="X1229" s="77"/>
      <c r="Y1229" s="77"/>
      <c r="Z1229" s="77"/>
      <c r="AA1229" s="77"/>
      <c r="AB1229" s="77"/>
      <c r="AC1229" s="80" t="s">
        <v>10542</v>
      </c>
      <c r="AD1229" s="77" t="s">
        <v>10617</v>
      </c>
      <c r="AE1229" s="83" t="str">
        <f>HYPERLINK("https://twitter.com/rjezini/status/1686108192810364929")</f>
        <v>https://twitter.com/rjezini/status/1686108192810364929</v>
      </c>
      <c r="AF1229" s="79">
        <v>45138.843680555554</v>
      </c>
      <c r="AG1229" s="85">
        <v>45138</v>
      </c>
      <c r="AH1229" s="80" t="s">
        <v>11703</v>
      </c>
      <c r="AI1229" s="77"/>
      <c r="AJ1229" s="77"/>
      <c r="AK1229" s="77"/>
      <c r="AL1229" s="77"/>
      <c r="AM1229" s="77"/>
      <c r="AN1229" s="77"/>
      <c r="AO1229" s="77"/>
      <c r="AP1229" s="77"/>
      <c r="AQ1229" s="77"/>
      <c r="AR1229" s="77"/>
      <c r="AS1229" s="77"/>
      <c r="AT1229" s="77"/>
      <c r="AU1229" s="77"/>
      <c r="AV1229" s="83" t="str">
        <f>HYPERLINK("https://pbs.twimg.com/profile_images/674412315069063168/xGDSuErH_normal.jpg")</f>
        <v>https://pbs.twimg.com/profile_images/674412315069063168/xGDSuErH_normal.jpg</v>
      </c>
      <c r="AW1229" s="80" t="s">
        <v>17116</v>
      </c>
      <c r="AX1229" s="80" t="s">
        <v>17116</v>
      </c>
      <c r="AY1229" s="77"/>
      <c r="AZ1229" s="80" t="s">
        <v>20380</v>
      </c>
      <c r="BA1229" s="80" t="s">
        <v>20380</v>
      </c>
      <c r="BB1229" s="80" t="s">
        <v>20380</v>
      </c>
      <c r="BC1229" s="80" t="s">
        <v>17116</v>
      </c>
      <c r="BD1229" s="77">
        <v>240555602</v>
      </c>
      <c r="BE1229" s="77"/>
      <c r="BF1229" s="77"/>
      <c r="BG1229" s="77"/>
      <c r="BH1229" s="77"/>
      <c r="BI1229" s="77"/>
    </row>
    <row r="1230" spans="1:61" x14ac:dyDescent="0.25">
      <c r="A1230" s="62" t="s">
        <v>691</v>
      </c>
      <c r="B1230" s="62" t="s">
        <v>691</v>
      </c>
      <c r="C1230" s="63"/>
      <c r="D1230" s="64"/>
      <c r="E1230" s="65"/>
      <c r="F1230" s="66"/>
      <c r="G1230" s="63"/>
      <c r="H1230" s="67"/>
      <c r="I1230" s="68"/>
      <c r="J1230" s="68"/>
      <c r="K1230" s="32"/>
      <c r="L1230" s="75">
        <v>1230</v>
      </c>
      <c r="M1230" s="75"/>
      <c r="N1230" s="70"/>
      <c r="O1230" s="77" t="s">
        <v>179</v>
      </c>
      <c r="P1230" s="79">
        <v>45143.19326388889</v>
      </c>
      <c r="Q1230" s="77" t="s">
        <v>3151</v>
      </c>
      <c r="R1230" s="77">
        <v>0</v>
      </c>
      <c r="S1230" s="77">
        <v>0</v>
      </c>
      <c r="T1230" s="77">
        <v>0</v>
      </c>
      <c r="U1230" s="77">
        <v>1</v>
      </c>
      <c r="V1230" s="77">
        <v>126</v>
      </c>
      <c r="W1230" s="77"/>
      <c r="X1230" s="77"/>
      <c r="Y1230" s="77"/>
      <c r="Z1230" s="77"/>
      <c r="AA1230" s="77"/>
      <c r="AB1230" s="77"/>
      <c r="AC1230" s="80" t="s">
        <v>10542</v>
      </c>
      <c r="AD1230" s="77" t="s">
        <v>10617</v>
      </c>
      <c r="AE1230" s="83" t="str">
        <f>HYPERLINK("https://twitter.com/rjezini/status/1687684432008822784")</f>
        <v>https://twitter.com/rjezini/status/1687684432008822784</v>
      </c>
      <c r="AF1230" s="79">
        <v>45143.19326388889</v>
      </c>
      <c r="AG1230" s="85">
        <v>45143</v>
      </c>
      <c r="AH1230" s="80" t="s">
        <v>11704</v>
      </c>
      <c r="AI1230" s="77"/>
      <c r="AJ1230" s="77"/>
      <c r="AK1230" s="77"/>
      <c r="AL1230" s="77"/>
      <c r="AM1230" s="77"/>
      <c r="AN1230" s="77"/>
      <c r="AO1230" s="77"/>
      <c r="AP1230" s="77"/>
      <c r="AQ1230" s="77"/>
      <c r="AR1230" s="77"/>
      <c r="AS1230" s="77"/>
      <c r="AT1230" s="77"/>
      <c r="AU1230" s="77"/>
      <c r="AV1230" s="83" t="str">
        <f>HYPERLINK("https://pbs.twimg.com/profile_images/674412315069063168/xGDSuErH_normal.jpg")</f>
        <v>https://pbs.twimg.com/profile_images/674412315069063168/xGDSuErH_normal.jpg</v>
      </c>
      <c r="AW1230" s="80" t="s">
        <v>17117</v>
      </c>
      <c r="AX1230" s="80" t="s">
        <v>17117</v>
      </c>
      <c r="AY1230" s="77"/>
      <c r="AZ1230" s="80" t="s">
        <v>20380</v>
      </c>
      <c r="BA1230" s="80" t="s">
        <v>20380</v>
      </c>
      <c r="BB1230" s="80" t="s">
        <v>20380</v>
      </c>
      <c r="BC1230" s="80" t="s">
        <v>17117</v>
      </c>
      <c r="BD1230" s="77">
        <v>240555602</v>
      </c>
      <c r="BE1230" s="77"/>
      <c r="BF1230" s="77"/>
      <c r="BG1230" s="77"/>
      <c r="BH1230" s="77"/>
      <c r="BI1230" s="77"/>
    </row>
    <row r="1231" spans="1:61" x14ac:dyDescent="0.25">
      <c r="A1231" s="62" t="s">
        <v>691</v>
      </c>
      <c r="B1231" s="62" t="s">
        <v>691</v>
      </c>
      <c r="C1231" s="63"/>
      <c r="D1231" s="64"/>
      <c r="E1231" s="65"/>
      <c r="F1231" s="66"/>
      <c r="G1231" s="63"/>
      <c r="H1231" s="67"/>
      <c r="I1231" s="68"/>
      <c r="J1231" s="68"/>
      <c r="K1231" s="32"/>
      <c r="L1231" s="75">
        <v>1231</v>
      </c>
      <c r="M1231" s="75"/>
      <c r="N1231" s="70"/>
      <c r="O1231" s="77" t="s">
        <v>2082</v>
      </c>
      <c r="P1231" s="79">
        <v>45143.19672453704</v>
      </c>
      <c r="Q1231" s="77" t="s">
        <v>3152</v>
      </c>
      <c r="R1231" s="77">
        <v>0</v>
      </c>
      <c r="S1231" s="77">
        <v>0</v>
      </c>
      <c r="T1231" s="77">
        <v>0</v>
      </c>
      <c r="U1231" s="77">
        <v>0</v>
      </c>
      <c r="V1231" s="77">
        <v>98</v>
      </c>
      <c r="W1231" s="77"/>
      <c r="X1231" s="77"/>
      <c r="Y1231" s="77"/>
      <c r="Z1231" s="77"/>
      <c r="AA1231" s="77"/>
      <c r="AB1231" s="77"/>
      <c r="AC1231" s="80" t="s">
        <v>10542</v>
      </c>
      <c r="AD1231" s="77" t="s">
        <v>10617</v>
      </c>
      <c r="AE1231" s="83" t="str">
        <f>HYPERLINK("https://twitter.com/rjezini/status/1687685683333242880")</f>
        <v>https://twitter.com/rjezini/status/1687685683333242880</v>
      </c>
      <c r="AF1231" s="79">
        <v>45143.19672453704</v>
      </c>
      <c r="AG1231" s="85">
        <v>45143</v>
      </c>
      <c r="AH1231" s="80" t="s">
        <v>11705</v>
      </c>
      <c r="AI1231" s="77"/>
      <c r="AJ1231" s="77"/>
      <c r="AK1231" s="77"/>
      <c r="AL1231" s="77"/>
      <c r="AM1231" s="77"/>
      <c r="AN1231" s="77"/>
      <c r="AO1231" s="77"/>
      <c r="AP1231" s="77"/>
      <c r="AQ1231" s="77"/>
      <c r="AR1231" s="77"/>
      <c r="AS1231" s="77"/>
      <c r="AT1231" s="77"/>
      <c r="AU1231" s="77"/>
      <c r="AV1231" s="83" t="str">
        <f>HYPERLINK("https://pbs.twimg.com/profile_images/674412315069063168/xGDSuErH_normal.jpg")</f>
        <v>https://pbs.twimg.com/profile_images/674412315069063168/xGDSuErH_normal.jpg</v>
      </c>
      <c r="AW1231" s="80" t="s">
        <v>17118</v>
      </c>
      <c r="AX1231" s="80" t="s">
        <v>17118</v>
      </c>
      <c r="AY1231" s="77"/>
      <c r="AZ1231" s="80" t="s">
        <v>20380</v>
      </c>
      <c r="BA1231" s="80" t="s">
        <v>17117</v>
      </c>
      <c r="BB1231" s="80" t="s">
        <v>20380</v>
      </c>
      <c r="BC1231" s="80" t="s">
        <v>17117</v>
      </c>
      <c r="BD1231" s="77">
        <v>240555602</v>
      </c>
      <c r="BE1231" s="77"/>
      <c r="BF1231" s="77"/>
      <c r="BG1231" s="77"/>
      <c r="BH1231" s="77"/>
      <c r="BI1231" s="77"/>
    </row>
    <row r="1232" spans="1:61" x14ac:dyDescent="0.25">
      <c r="A1232" s="62" t="s">
        <v>691</v>
      </c>
      <c r="B1232" s="62" t="s">
        <v>691</v>
      </c>
      <c r="C1232" s="63"/>
      <c r="D1232" s="64"/>
      <c r="E1232" s="65"/>
      <c r="F1232" s="66"/>
      <c r="G1232" s="63"/>
      <c r="H1232" s="67"/>
      <c r="I1232" s="68"/>
      <c r="J1232" s="68"/>
      <c r="K1232" s="32"/>
      <c r="L1232" s="75">
        <v>1232</v>
      </c>
      <c r="M1232" s="75"/>
      <c r="N1232" s="70"/>
      <c r="O1232" s="77" t="s">
        <v>179</v>
      </c>
      <c r="P1232" s="79">
        <v>45139.983668981484</v>
      </c>
      <c r="Q1232" s="77" t="s">
        <v>3153</v>
      </c>
      <c r="R1232" s="77">
        <v>0</v>
      </c>
      <c r="S1232" s="77">
        <v>0</v>
      </c>
      <c r="T1232" s="77">
        <v>0</v>
      </c>
      <c r="U1232" s="77">
        <v>0</v>
      </c>
      <c r="V1232" s="77">
        <v>40</v>
      </c>
      <c r="W1232" s="77"/>
      <c r="X1232" s="77"/>
      <c r="Y1232" s="77"/>
      <c r="Z1232" s="77"/>
      <c r="AA1232" s="77"/>
      <c r="AB1232" s="77"/>
      <c r="AC1232" s="80" t="s">
        <v>10542</v>
      </c>
      <c r="AD1232" s="77" t="s">
        <v>10617</v>
      </c>
      <c r="AE1232" s="83" t="str">
        <f>HYPERLINK("https://twitter.com/rjezini/status/1686521311063887873")</f>
        <v>https://twitter.com/rjezini/status/1686521311063887873</v>
      </c>
      <c r="AF1232" s="79">
        <v>45139.983668981484</v>
      </c>
      <c r="AG1232" s="85">
        <v>45139</v>
      </c>
      <c r="AH1232" s="80" t="s">
        <v>11706</v>
      </c>
      <c r="AI1232" s="77"/>
      <c r="AJ1232" s="77"/>
      <c r="AK1232" s="77"/>
      <c r="AL1232" s="77"/>
      <c r="AM1232" s="77"/>
      <c r="AN1232" s="77"/>
      <c r="AO1232" s="77"/>
      <c r="AP1232" s="77"/>
      <c r="AQ1232" s="77"/>
      <c r="AR1232" s="77"/>
      <c r="AS1232" s="77"/>
      <c r="AT1232" s="77"/>
      <c r="AU1232" s="77"/>
      <c r="AV1232" s="83" t="str">
        <f>HYPERLINK("https://pbs.twimg.com/profile_images/674412315069063168/xGDSuErH_normal.jpg")</f>
        <v>https://pbs.twimg.com/profile_images/674412315069063168/xGDSuErH_normal.jpg</v>
      </c>
      <c r="AW1232" s="80" t="s">
        <v>17119</v>
      </c>
      <c r="AX1232" s="80" t="s">
        <v>17119</v>
      </c>
      <c r="AY1232" s="77"/>
      <c r="AZ1232" s="80" t="s">
        <v>20380</v>
      </c>
      <c r="BA1232" s="80" t="s">
        <v>20380</v>
      </c>
      <c r="BB1232" s="80" t="s">
        <v>20380</v>
      </c>
      <c r="BC1232" s="80" t="s">
        <v>17119</v>
      </c>
      <c r="BD1232" s="77">
        <v>240555602</v>
      </c>
      <c r="BE1232" s="77"/>
      <c r="BF1232" s="77"/>
      <c r="BG1232" s="77"/>
      <c r="BH1232" s="77"/>
      <c r="BI1232" s="77"/>
    </row>
    <row r="1233" spans="1:61" x14ac:dyDescent="0.25">
      <c r="A1233" s="62" t="s">
        <v>691</v>
      </c>
      <c r="B1233" s="62" t="s">
        <v>691</v>
      </c>
      <c r="C1233" s="63"/>
      <c r="D1233" s="64"/>
      <c r="E1233" s="65"/>
      <c r="F1233" s="66"/>
      <c r="G1233" s="63"/>
      <c r="H1233" s="67"/>
      <c r="I1233" s="68"/>
      <c r="J1233" s="68"/>
      <c r="K1233" s="32"/>
      <c r="L1233" s="75">
        <v>1233</v>
      </c>
      <c r="M1233" s="75"/>
      <c r="N1233" s="70"/>
      <c r="O1233" s="77" t="s">
        <v>179</v>
      </c>
      <c r="P1233" s="79">
        <v>45139.822951388887</v>
      </c>
      <c r="Q1233" s="77" t="s">
        <v>3154</v>
      </c>
      <c r="R1233" s="77">
        <v>0</v>
      </c>
      <c r="S1233" s="77">
        <v>0</v>
      </c>
      <c r="T1233" s="77">
        <v>0</v>
      </c>
      <c r="U1233" s="77">
        <v>0</v>
      </c>
      <c r="V1233" s="77">
        <v>43</v>
      </c>
      <c r="W1233" s="77"/>
      <c r="X1233" s="77"/>
      <c r="Y1233" s="77"/>
      <c r="Z1233" s="77"/>
      <c r="AA1233" s="77"/>
      <c r="AB1233" s="77"/>
      <c r="AC1233" s="80" t="s">
        <v>10542</v>
      </c>
      <c r="AD1233" s="77" t="s">
        <v>10617</v>
      </c>
      <c r="AE1233" s="83" t="str">
        <f>HYPERLINK("https://twitter.com/rjezini/status/1686463070044921858")</f>
        <v>https://twitter.com/rjezini/status/1686463070044921858</v>
      </c>
      <c r="AF1233" s="79">
        <v>45139.822951388887</v>
      </c>
      <c r="AG1233" s="85">
        <v>45139</v>
      </c>
      <c r="AH1233" s="80" t="s">
        <v>11707</v>
      </c>
      <c r="AI1233" s="77"/>
      <c r="AJ1233" s="77"/>
      <c r="AK1233" s="77"/>
      <c r="AL1233" s="77"/>
      <c r="AM1233" s="77"/>
      <c r="AN1233" s="77"/>
      <c r="AO1233" s="77"/>
      <c r="AP1233" s="77"/>
      <c r="AQ1233" s="77"/>
      <c r="AR1233" s="77"/>
      <c r="AS1233" s="77"/>
      <c r="AT1233" s="77"/>
      <c r="AU1233" s="77"/>
      <c r="AV1233" s="83" t="str">
        <f>HYPERLINK("https://pbs.twimg.com/profile_images/674412315069063168/xGDSuErH_normal.jpg")</f>
        <v>https://pbs.twimg.com/profile_images/674412315069063168/xGDSuErH_normal.jpg</v>
      </c>
      <c r="AW1233" s="80" t="s">
        <v>17120</v>
      </c>
      <c r="AX1233" s="80" t="s">
        <v>17120</v>
      </c>
      <c r="AY1233" s="77"/>
      <c r="AZ1233" s="80" t="s">
        <v>20380</v>
      </c>
      <c r="BA1233" s="80" t="s">
        <v>20380</v>
      </c>
      <c r="BB1233" s="80" t="s">
        <v>20380</v>
      </c>
      <c r="BC1233" s="80" t="s">
        <v>17120</v>
      </c>
      <c r="BD1233" s="77">
        <v>240555602</v>
      </c>
      <c r="BE1233" s="77"/>
      <c r="BF1233" s="77"/>
      <c r="BG1233" s="77"/>
      <c r="BH1233" s="77"/>
      <c r="BI1233" s="77"/>
    </row>
    <row r="1234" spans="1:61" x14ac:dyDescent="0.25">
      <c r="A1234" s="62" t="s">
        <v>691</v>
      </c>
      <c r="B1234" s="62" t="s">
        <v>691</v>
      </c>
      <c r="C1234" s="63"/>
      <c r="D1234" s="64"/>
      <c r="E1234" s="65"/>
      <c r="F1234" s="66"/>
      <c r="G1234" s="63"/>
      <c r="H1234" s="67"/>
      <c r="I1234" s="68"/>
      <c r="J1234" s="68"/>
      <c r="K1234" s="32"/>
      <c r="L1234" s="75">
        <v>1234</v>
      </c>
      <c r="M1234" s="75"/>
      <c r="N1234" s="70"/>
      <c r="O1234" s="77" t="s">
        <v>179</v>
      </c>
      <c r="P1234" s="79">
        <v>45149.782812500001</v>
      </c>
      <c r="Q1234" s="77" t="s">
        <v>3155</v>
      </c>
      <c r="R1234" s="77">
        <v>0</v>
      </c>
      <c r="S1234" s="77">
        <v>0</v>
      </c>
      <c r="T1234" s="77">
        <v>0</v>
      </c>
      <c r="U1234" s="77">
        <v>0</v>
      </c>
      <c r="V1234" s="77">
        <v>49</v>
      </c>
      <c r="W1234" s="80" t="s">
        <v>5884</v>
      </c>
      <c r="X1234" s="77"/>
      <c r="Y1234" s="77"/>
      <c r="Z1234" s="77"/>
      <c r="AA1234" s="77"/>
      <c r="AB1234" s="77"/>
      <c r="AC1234" s="80" t="s">
        <v>10542</v>
      </c>
      <c r="AD1234" s="77" t="s">
        <v>10617</v>
      </c>
      <c r="AE1234" s="83" t="str">
        <f>HYPERLINK("https://twitter.com/rjezini/status/1690072404050030593")</f>
        <v>https://twitter.com/rjezini/status/1690072404050030593</v>
      </c>
      <c r="AF1234" s="79">
        <v>45149.782812500001</v>
      </c>
      <c r="AG1234" s="85">
        <v>45149</v>
      </c>
      <c r="AH1234" s="80" t="s">
        <v>11708</v>
      </c>
      <c r="AI1234" s="77"/>
      <c r="AJ1234" s="77"/>
      <c r="AK1234" s="77"/>
      <c r="AL1234" s="77"/>
      <c r="AM1234" s="77"/>
      <c r="AN1234" s="77"/>
      <c r="AO1234" s="77"/>
      <c r="AP1234" s="77"/>
      <c r="AQ1234" s="77"/>
      <c r="AR1234" s="77"/>
      <c r="AS1234" s="77"/>
      <c r="AT1234" s="77"/>
      <c r="AU1234" s="77"/>
      <c r="AV1234" s="83" t="str">
        <f>HYPERLINK("https://pbs.twimg.com/profile_images/674412315069063168/xGDSuErH_normal.jpg")</f>
        <v>https://pbs.twimg.com/profile_images/674412315069063168/xGDSuErH_normal.jpg</v>
      </c>
      <c r="AW1234" s="80" t="s">
        <v>17121</v>
      </c>
      <c r="AX1234" s="80" t="s">
        <v>17121</v>
      </c>
      <c r="AY1234" s="77"/>
      <c r="AZ1234" s="80" t="s">
        <v>20380</v>
      </c>
      <c r="BA1234" s="80" t="s">
        <v>20380</v>
      </c>
      <c r="BB1234" s="80" t="s">
        <v>20380</v>
      </c>
      <c r="BC1234" s="80" t="s">
        <v>17121</v>
      </c>
      <c r="BD1234" s="77">
        <v>240555602</v>
      </c>
      <c r="BE1234" s="77"/>
      <c r="BF1234" s="77"/>
      <c r="BG1234" s="77"/>
      <c r="BH1234" s="77"/>
      <c r="BI1234" s="77"/>
    </row>
    <row r="1235" spans="1:61" x14ac:dyDescent="0.25">
      <c r="A1235" s="62" t="s">
        <v>691</v>
      </c>
      <c r="B1235" s="62" t="s">
        <v>691</v>
      </c>
      <c r="C1235" s="63"/>
      <c r="D1235" s="64"/>
      <c r="E1235" s="65"/>
      <c r="F1235" s="66"/>
      <c r="G1235" s="63"/>
      <c r="H1235" s="67"/>
      <c r="I1235" s="68"/>
      <c r="J1235" s="68"/>
      <c r="K1235" s="32"/>
      <c r="L1235" s="75">
        <v>1235</v>
      </c>
      <c r="M1235" s="75"/>
      <c r="N1235" s="70"/>
      <c r="O1235" s="77" t="s">
        <v>179</v>
      </c>
      <c r="P1235" s="79">
        <v>45147.186180555553</v>
      </c>
      <c r="Q1235" s="77" t="s">
        <v>3156</v>
      </c>
      <c r="R1235" s="77">
        <v>0</v>
      </c>
      <c r="S1235" s="77">
        <v>0</v>
      </c>
      <c r="T1235" s="77">
        <v>0</v>
      </c>
      <c r="U1235" s="77">
        <v>0</v>
      </c>
      <c r="V1235" s="77">
        <v>33</v>
      </c>
      <c r="W1235" s="80" t="s">
        <v>5884</v>
      </c>
      <c r="X1235" s="77"/>
      <c r="Y1235" s="77"/>
      <c r="Z1235" s="77"/>
      <c r="AA1235" s="77"/>
      <c r="AB1235" s="77"/>
      <c r="AC1235" s="80" t="s">
        <v>10542</v>
      </c>
      <c r="AD1235" s="77" t="s">
        <v>10617</v>
      </c>
      <c r="AE1235" s="83" t="str">
        <f>HYPERLINK("https://twitter.com/rjezini/status/1689131413847572481")</f>
        <v>https://twitter.com/rjezini/status/1689131413847572481</v>
      </c>
      <c r="AF1235" s="79">
        <v>45147.186180555553</v>
      </c>
      <c r="AG1235" s="85">
        <v>45147</v>
      </c>
      <c r="AH1235" s="80" t="s">
        <v>11709</v>
      </c>
      <c r="AI1235" s="77"/>
      <c r="AJ1235" s="77"/>
      <c r="AK1235" s="77"/>
      <c r="AL1235" s="77"/>
      <c r="AM1235" s="77"/>
      <c r="AN1235" s="77"/>
      <c r="AO1235" s="77"/>
      <c r="AP1235" s="77"/>
      <c r="AQ1235" s="77"/>
      <c r="AR1235" s="77"/>
      <c r="AS1235" s="77"/>
      <c r="AT1235" s="77"/>
      <c r="AU1235" s="77"/>
      <c r="AV1235" s="83" t="str">
        <f>HYPERLINK("https://pbs.twimg.com/profile_images/674412315069063168/xGDSuErH_normal.jpg")</f>
        <v>https://pbs.twimg.com/profile_images/674412315069063168/xGDSuErH_normal.jpg</v>
      </c>
      <c r="AW1235" s="80" t="s">
        <v>17122</v>
      </c>
      <c r="AX1235" s="80" t="s">
        <v>17122</v>
      </c>
      <c r="AY1235" s="77"/>
      <c r="AZ1235" s="80" t="s">
        <v>20380</v>
      </c>
      <c r="BA1235" s="80" t="s">
        <v>20380</v>
      </c>
      <c r="BB1235" s="80" t="s">
        <v>20380</v>
      </c>
      <c r="BC1235" s="80" t="s">
        <v>17122</v>
      </c>
      <c r="BD1235" s="77">
        <v>240555602</v>
      </c>
      <c r="BE1235" s="77"/>
      <c r="BF1235" s="77"/>
      <c r="BG1235" s="77"/>
      <c r="BH1235" s="77"/>
      <c r="BI1235" s="77"/>
    </row>
    <row r="1236" spans="1:61" x14ac:dyDescent="0.25">
      <c r="A1236" s="62" t="s">
        <v>691</v>
      </c>
      <c r="B1236" s="62" t="s">
        <v>691</v>
      </c>
      <c r="C1236" s="63"/>
      <c r="D1236" s="64"/>
      <c r="E1236" s="65"/>
      <c r="F1236" s="66"/>
      <c r="G1236" s="63"/>
      <c r="H1236" s="67"/>
      <c r="I1236" s="68"/>
      <c r="J1236" s="68"/>
      <c r="K1236" s="32"/>
      <c r="L1236" s="75">
        <v>1236</v>
      </c>
      <c r="M1236" s="75"/>
      <c r="N1236" s="70"/>
      <c r="O1236" s="77" t="s">
        <v>179</v>
      </c>
      <c r="P1236" s="79">
        <v>45146.896805555552</v>
      </c>
      <c r="Q1236" s="77" t="s">
        <v>3157</v>
      </c>
      <c r="R1236" s="77">
        <v>0</v>
      </c>
      <c r="S1236" s="77">
        <v>0</v>
      </c>
      <c r="T1236" s="77">
        <v>0</v>
      </c>
      <c r="U1236" s="77">
        <v>0</v>
      </c>
      <c r="V1236" s="77">
        <v>38</v>
      </c>
      <c r="W1236" s="77"/>
      <c r="X1236" s="77"/>
      <c r="Y1236" s="77"/>
      <c r="Z1236" s="77"/>
      <c r="AA1236" s="77"/>
      <c r="AB1236" s="77"/>
      <c r="AC1236" s="80" t="s">
        <v>10542</v>
      </c>
      <c r="AD1236" s="77" t="s">
        <v>10617</v>
      </c>
      <c r="AE1236" s="83" t="str">
        <f>HYPERLINK("https://twitter.com/rjezini/status/1689026548643328000")</f>
        <v>https://twitter.com/rjezini/status/1689026548643328000</v>
      </c>
      <c r="AF1236" s="79">
        <v>45146.896805555552</v>
      </c>
      <c r="AG1236" s="85">
        <v>45146</v>
      </c>
      <c r="AH1236" s="80" t="s">
        <v>11710</v>
      </c>
      <c r="AI1236" s="77"/>
      <c r="AJ1236" s="77"/>
      <c r="AK1236" s="77"/>
      <c r="AL1236" s="77"/>
      <c r="AM1236" s="77"/>
      <c r="AN1236" s="77"/>
      <c r="AO1236" s="77"/>
      <c r="AP1236" s="77"/>
      <c r="AQ1236" s="77"/>
      <c r="AR1236" s="77"/>
      <c r="AS1236" s="77"/>
      <c r="AT1236" s="77"/>
      <c r="AU1236" s="77"/>
      <c r="AV1236" s="83" t="str">
        <f>HYPERLINK("https://pbs.twimg.com/profile_images/674412315069063168/xGDSuErH_normal.jpg")</f>
        <v>https://pbs.twimg.com/profile_images/674412315069063168/xGDSuErH_normal.jpg</v>
      </c>
      <c r="AW1236" s="80" t="s">
        <v>17123</v>
      </c>
      <c r="AX1236" s="80" t="s">
        <v>17123</v>
      </c>
      <c r="AY1236" s="77"/>
      <c r="AZ1236" s="80" t="s">
        <v>20380</v>
      </c>
      <c r="BA1236" s="80" t="s">
        <v>20380</v>
      </c>
      <c r="BB1236" s="80" t="s">
        <v>20380</v>
      </c>
      <c r="BC1236" s="80" t="s">
        <v>17123</v>
      </c>
      <c r="BD1236" s="77">
        <v>240555602</v>
      </c>
      <c r="BE1236" s="77"/>
      <c r="BF1236" s="77"/>
      <c r="BG1236" s="77"/>
      <c r="BH1236" s="77"/>
      <c r="BI1236" s="77"/>
    </row>
    <row r="1237" spans="1:61" x14ac:dyDescent="0.25">
      <c r="A1237" s="62" t="s">
        <v>692</v>
      </c>
      <c r="B1237" s="62" t="s">
        <v>692</v>
      </c>
      <c r="C1237" s="63"/>
      <c r="D1237" s="64"/>
      <c r="E1237" s="65"/>
      <c r="F1237" s="66"/>
      <c r="G1237" s="63"/>
      <c r="H1237" s="67"/>
      <c r="I1237" s="68"/>
      <c r="J1237" s="68"/>
      <c r="K1237" s="32"/>
      <c r="L1237" s="75">
        <v>1237</v>
      </c>
      <c r="M1237" s="75"/>
      <c r="N1237" s="70"/>
      <c r="O1237" s="77" t="s">
        <v>179</v>
      </c>
      <c r="P1237" s="79">
        <v>45188.762233796297</v>
      </c>
      <c r="Q1237" s="77" t="s">
        <v>3158</v>
      </c>
      <c r="R1237" s="77">
        <v>0</v>
      </c>
      <c r="S1237" s="77">
        <v>0</v>
      </c>
      <c r="T1237" s="77">
        <v>0</v>
      </c>
      <c r="U1237" s="77">
        <v>0</v>
      </c>
      <c r="V1237" s="77">
        <v>11</v>
      </c>
      <c r="W1237" s="80" t="s">
        <v>5884</v>
      </c>
      <c r="X1237" s="77"/>
      <c r="Y1237" s="77"/>
      <c r="Z1237" s="77"/>
      <c r="AA1237" s="77" t="s">
        <v>9454</v>
      </c>
      <c r="AB1237" s="77" t="s">
        <v>10534</v>
      </c>
      <c r="AC1237" s="80" t="s">
        <v>10540</v>
      </c>
      <c r="AD1237" s="77" t="s">
        <v>10620</v>
      </c>
      <c r="AE1237" s="83" t="str">
        <f>HYPERLINK("https://twitter.com/carlosasosa1/status/1704198073772110216")</f>
        <v>https://twitter.com/carlosasosa1/status/1704198073772110216</v>
      </c>
      <c r="AF1237" s="79">
        <v>45188.762233796297</v>
      </c>
      <c r="AG1237" s="85">
        <v>45188</v>
      </c>
      <c r="AH1237" s="80" t="s">
        <v>11711</v>
      </c>
      <c r="AI1237" s="77" t="b">
        <v>0</v>
      </c>
      <c r="AJ1237" s="77"/>
      <c r="AK1237" s="77"/>
      <c r="AL1237" s="77"/>
      <c r="AM1237" s="77"/>
      <c r="AN1237" s="77"/>
      <c r="AO1237" s="77"/>
      <c r="AP1237" s="77"/>
      <c r="AQ1237" s="77" t="s">
        <v>14936</v>
      </c>
      <c r="AR1237" s="77">
        <v>80640</v>
      </c>
      <c r="AS1237" s="77"/>
      <c r="AT1237" s="77"/>
      <c r="AU1237" s="77"/>
      <c r="AV1237" s="83" t="str">
        <f>HYPERLINK("https://pbs.twimg.com/ext_tw_video_thumb/1704197904099856384/pu/img/Oi8eO4LexxIha40d.jpg")</f>
        <v>https://pbs.twimg.com/ext_tw_video_thumb/1704197904099856384/pu/img/Oi8eO4LexxIha40d.jpg</v>
      </c>
      <c r="AW1237" s="80" t="s">
        <v>17124</v>
      </c>
      <c r="AX1237" s="80" t="s">
        <v>17124</v>
      </c>
      <c r="AY1237" s="77"/>
      <c r="AZ1237" s="80" t="s">
        <v>20380</v>
      </c>
      <c r="BA1237" s="80" t="s">
        <v>20380</v>
      </c>
      <c r="BB1237" s="80" t="s">
        <v>20380</v>
      </c>
      <c r="BC1237" s="80" t="s">
        <v>17124</v>
      </c>
      <c r="BD1237" s="77">
        <v>2960977114</v>
      </c>
      <c r="BE1237" s="77"/>
      <c r="BF1237" s="77"/>
      <c r="BG1237" s="77"/>
      <c r="BH1237" s="77"/>
      <c r="BI1237" s="77"/>
    </row>
    <row r="1238" spans="1:61" x14ac:dyDescent="0.25">
      <c r="A1238" s="62" t="s">
        <v>693</v>
      </c>
      <c r="B1238" s="62" t="s">
        <v>693</v>
      </c>
      <c r="C1238" s="63"/>
      <c r="D1238" s="64"/>
      <c r="E1238" s="65"/>
      <c r="F1238" s="66"/>
      <c r="G1238" s="63"/>
      <c r="H1238" s="67"/>
      <c r="I1238" s="68"/>
      <c r="J1238" s="68"/>
      <c r="K1238" s="32"/>
      <c r="L1238" s="75">
        <v>1238</v>
      </c>
      <c r="M1238" s="75"/>
      <c r="N1238" s="70"/>
      <c r="O1238" s="77" t="s">
        <v>179</v>
      </c>
      <c r="P1238" s="79">
        <v>45165.541689814818</v>
      </c>
      <c r="Q1238" s="77" t="s">
        <v>3159</v>
      </c>
      <c r="R1238" s="77">
        <v>0</v>
      </c>
      <c r="S1238" s="77">
        <v>4</v>
      </c>
      <c r="T1238" s="77">
        <v>1</v>
      </c>
      <c r="U1238" s="77">
        <v>0</v>
      </c>
      <c r="V1238" s="77">
        <v>155</v>
      </c>
      <c r="W1238" s="80" t="s">
        <v>6767</v>
      </c>
      <c r="X1238" s="77"/>
      <c r="Y1238" s="77"/>
      <c r="Z1238" s="77"/>
      <c r="AA1238" s="77" t="s">
        <v>9455</v>
      </c>
      <c r="AB1238" s="77" t="s">
        <v>10534</v>
      </c>
      <c r="AC1238" s="80" t="s">
        <v>10541</v>
      </c>
      <c r="AD1238" s="77" t="s">
        <v>10617</v>
      </c>
      <c r="AE1238" s="83" t="str">
        <f>HYPERLINK("https://twitter.com/drancelmoramos/status/1695783229469667508")</f>
        <v>https://twitter.com/drancelmoramos/status/1695783229469667508</v>
      </c>
      <c r="AF1238" s="79">
        <v>45165.541689814818</v>
      </c>
      <c r="AG1238" s="85">
        <v>45165</v>
      </c>
      <c r="AH1238" s="80" t="s">
        <v>11682</v>
      </c>
      <c r="AI1238" s="77" t="b">
        <v>0</v>
      </c>
      <c r="AJ1238" s="77"/>
      <c r="AK1238" s="77"/>
      <c r="AL1238" s="77"/>
      <c r="AM1238" s="77"/>
      <c r="AN1238" s="77"/>
      <c r="AO1238" s="77"/>
      <c r="AP1238" s="77"/>
      <c r="AQ1238" s="77" t="s">
        <v>14937</v>
      </c>
      <c r="AR1238" s="77">
        <v>5100</v>
      </c>
      <c r="AS1238" s="77"/>
      <c r="AT1238" s="77"/>
      <c r="AU1238" s="77"/>
      <c r="AV1238" s="83" t="str">
        <f>HYPERLINK("https://pbs.twimg.com/ext_tw_video_thumb/1691457925401993216/pu/img/iRMv4ndpLC9mmoSM.jpg")</f>
        <v>https://pbs.twimg.com/ext_tw_video_thumb/1691457925401993216/pu/img/iRMv4ndpLC9mmoSM.jpg</v>
      </c>
      <c r="AW1238" s="80" t="s">
        <v>17125</v>
      </c>
      <c r="AX1238" s="80" t="s">
        <v>17125</v>
      </c>
      <c r="AY1238" s="77"/>
      <c r="AZ1238" s="80" t="s">
        <v>20380</v>
      </c>
      <c r="BA1238" s="80" t="s">
        <v>20380</v>
      </c>
      <c r="BB1238" s="80" t="s">
        <v>20380</v>
      </c>
      <c r="BC1238" s="80" t="s">
        <v>17125</v>
      </c>
      <c r="BD1238" s="80" t="s">
        <v>20718</v>
      </c>
      <c r="BE1238" s="77"/>
      <c r="BF1238" s="77"/>
      <c r="BG1238" s="77"/>
      <c r="BH1238" s="77"/>
      <c r="BI1238" s="77"/>
    </row>
    <row r="1239" spans="1:61" x14ac:dyDescent="0.25">
      <c r="A1239" s="62" t="s">
        <v>694</v>
      </c>
      <c r="B1239" s="62" t="s">
        <v>694</v>
      </c>
      <c r="C1239" s="63"/>
      <c r="D1239" s="64"/>
      <c r="E1239" s="65"/>
      <c r="F1239" s="66"/>
      <c r="G1239" s="63"/>
      <c r="H1239" s="67"/>
      <c r="I1239" s="68"/>
      <c r="J1239" s="68"/>
      <c r="K1239" s="32"/>
      <c r="L1239" s="75">
        <v>1239</v>
      </c>
      <c r="M1239" s="75"/>
      <c r="N1239" s="70"/>
      <c r="O1239" s="77" t="s">
        <v>179</v>
      </c>
      <c r="P1239" s="79">
        <v>45118.899097222224</v>
      </c>
      <c r="Q1239" s="77" t="s">
        <v>3160</v>
      </c>
      <c r="R1239" s="77">
        <v>0</v>
      </c>
      <c r="S1239" s="77">
        <v>0</v>
      </c>
      <c r="T1239" s="77">
        <v>0</v>
      </c>
      <c r="U1239" s="77">
        <v>0</v>
      </c>
      <c r="V1239" s="77">
        <v>60</v>
      </c>
      <c r="W1239" s="80" t="s">
        <v>6768</v>
      </c>
      <c r="X1239" s="83" t="str">
        <f>HYPERLINK("https://acortar.link/NGpepK")</f>
        <v>https://acortar.link/NGpepK</v>
      </c>
      <c r="Y1239" s="77" t="s">
        <v>8649</v>
      </c>
      <c r="Z1239" s="77"/>
      <c r="AA1239" s="77"/>
      <c r="AB1239" s="77"/>
      <c r="AC1239" s="80" t="s">
        <v>10541</v>
      </c>
      <c r="AD1239" s="77" t="s">
        <v>10620</v>
      </c>
      <c r="AE1239" s="83" t="str">
        <f>HYPERLINK("https://twitter.com/neahoycom/status/1678880520996790272")</f>
        <v>https://twitter.com/neahoycom/status/1678880520996790272</v>
      </c>
      <c r="AF1239" s="79">
        <v>45118.899097222224</v>
      </c>
      <c r="AG1239" s="85">
        <v>45118</v>
      </c>
      <c r="AH1239" s="80" t="s">
        <v>11712</v>
      </c>
      <c r="AI1239" s="77" t="b">
        <v>0</v>
      </c>
      <c r="AJ1239" s="77"/>
      <c r="AK1239" s="77"/>
      <c r="AL1239" s="77"/>
      <c r="AM1239" s="77"/>
      <c r="AN1239" s="77"/>
      <c r="AO1239" s="77"/>
      <c r="AP1239" s="77"/>
      <c r="AQ1239" s="77"/>
      <c r="AR1239" s="77"/>
      <c r="AS1239" s="77"/>
      <c r="AT1239" s="77"/>
      <c r="AU1239" s="77"/>
      <c r="AV1239" s="83" t="str">
        <f>HYPERLINK("https://pbs.twimg.com/profile_images/1296877862600028165/xMs0qQaA_normal.jpg")</f>
        <v>https://pbs.twimg.com/profile_images/1296877862600028165/xMs0qQaA_normal.jpg</v>
      </c>
      <c r="AW1239" s="80" t="s">
        <v>17126</v>
      </c>
      <c r="AX1239" s="80" t="s">
        <v>17126</v>
      </c>
      <c r="AY1239" s="77"/>
      <c r="AZ1239" s="80" t="s">
        <v>20380</v>
      </c>
      <c r="BA1239" s="80" t="s">
        <v>20380</v>
      </c>
      <c r="BB1239" s="80" t="s">
        <v>20380</v>
      </c>
      <c r="BC1239" s="80" t="s">
        <v>17126</v>
      </c>
      <c r="BD1239" s="80" t="s">
        <v>20719</v>
      </c>
      <c r="BE1239" s="77"/>
      <c r="BF1239" s="77"/>
      <c r="BG1239" s="77"/>
      <c r="BH1239" s="77"/>
      <c r="BI1239" s="77"/>
    </row>
    <row r="1240" spans="1:61" x14ac:dyDescent="0.25">
      <c r="A1240" s="62" t="s">
        <v>694</v>
      </c>
      <c r="B1240" s="62" t="s">
        <v>694</v>
      </c>
      <c r="C1240" s="63"/>
      <c r="D1240" s="64"/>
      <c r="E1240" s="65"/>
      <c r="F1240" s="66"/>
      <c r="G1240" s="63"/>
      <c r="H1240" s="67"/>
      <c r="I1240" s="68"/>
      <c r="J1240" s="68"/>
      <c r="K1240" s="32"/>
      <c r="L1240" s="75">
        <v>1240</v>
      </c>
      <c r="M1240" s="75"/>
      <c r="N1240" s="70"/>
      <c r="O1240" s="77" t="s">
        <v>179</v>
      </c>
      <c r="P1240" s="79">
        <v>45075.987303240741</v>
      </c>
      <c r="Q1240" s="77" t="s">
        <v>3161</v>
      </c>
      <c r="R1240" s="77">
        <v>0</v>
      </c>
      <c r="S1240" s="77">
        <v>0</v>
      </c>
      <c r="T1240" s="77">
        <v>0</v>
      </c>
      <c r="U1240" s="77">
        <v>0</v>
      </c>
      <c r="V1240" s="77">
        <v>75</v>
      </c>
      <c r="W1240" s="80" t="s">
        <v>6769</v>
      </c>
      <c r="X1240" s="83" t="str">
        <f>HYPERLINK("https://www.neahoy.com/2023/05/29/cuanta-ganancia-me-va-a-dar-un-plazo-fijo-si-invierto-mi-aguinaldo/?swcfpc=1?utm_source=Argentina&amp;utm_medium=Twitter&amp;utm_campaign=Feed")</f>
        <v>https://www.neahoy.com/2023/05/29/cuanta-ganancia-me-va-a-dar-un-plazo-fijo-si-invierto-mi-aguinaldo/?swcfpc=1?utm_source=Argentina&amp;utm_medium=Twitter&amp;utm_campaign=Feed</v>
      </c>
      <c r="Y1240" s="77" t="s">
        <v>8730</v>
      </c>
      <c r="Z1240" s="77"/>
      <c r="AA1240" s="77"/>
      <c r="AB1240" s="77"/>
      <c r="AC1240" s="80" t="s">
        <v>10541</v>
      </c>
      <c r="AD1240" s="77" t="s">
        <v>10620</v>
      </c>
      <c r="AE1240" s="83" t="str">
        <f>HYPERLINK("https://twitter.com/neahoycom/status/1663329805457149955")</f>
        <v>https://twitter.com/neahoycom/status/1663329805457149955</v>
      </c>
      <c r="AF1240" s="79">
        <v>45075.987303240741</v>
      </c>
      <c r="AG1240" s="85">
        <v>45075</v>
      </c>
      <c r="AH1240" s="80" t="s">
        <v>11713</v>
      </c>
      <c r="AI1240" s="77" t="b">
        <v>0</v>
      </c>
      <c r="AJ1240" s="77"/>
      <c r="AK1240" s="77"/>
      <c r="AL1240" s="77"/>
      <c r="AM1240" s="77"/>
      <c r="AN1240" s="77"/>
      <c r="AO1240" s="77"/>
      <c r="AP1240" s="77"/>
      <c r="AQ1240" s="77"/>
      <c r="AR1240" s="77"/>
      <c r="AS1240" s="77"/>
      <c r="AT1240" s="77"/>
      <c r="AU1240" s="77"/>
      <c r="AV1240" s="83" t="str">
        <f>HYPERLINK("https://pbs.twimg.com/profile_images/1296877862600028165/xMs0qQaA_normal.jpg")</f>
        <v>https://pbs.twimg.com/profile_images/1296877862600028165/xMs0qQaA_normal.jpg</v>
      </c>
      <c r="AW1240" s="80" t="s">
        <v>17127</v>
      </c>
      <c r="AX1240" s="80" t="s">
        <v>17127</v>
      </c>
      <c r="AY1240" s="77"/>
      <c r="AZ1240" s="80" t="s">
        <v>20380</v>
      </c>
      <c r="BA1240" s="80" t="s">
        <v>20380</v>
      </c>
      <c r="BB1240" s="80" t="s">
        <v>20380</v>
      </c>
      <c r="BC1240" s="80" t="s">
        <v>17127</v>
      </c>
      <c r="BD1240" s="80" t="s">
        <v>20719</v>
      </c>
      <c r="BE1240" s="77"/>
      <c r="BF1240" s="77"/>
      <c r="BG1240" s="77"/>
      <c r="BH1240" s="77"/>
      <c r="BI1240" s="77"/>
    </row>
    <row r="1241" spans="1:61" x14ac:dyDescent="0.25">
      <c r="A1241" s="62" t="s">
        <v>694</v>
      </c>
      <c r="B1241" s="62" t="s">
        <v>694</v>
      </c>
      <c r="C1241" s="63"/>
      <c r="D1241" s="64"/>
      <c r="E1241" s="65"/>
      <c r="F1241" s="66"/>
      <c r="G1241" s="63"/>
      <c r="H1241" s="67"/>
      <c r="I1241" s="68"/>
      <c r="J1241" s="68"/>
      <c r="K1241" s="32"/>
      <c r="L1241" s="75">
        <v>1241</v>
      </c>
      <c r="M1241" s="75"/>
      <c r="N1241" s="70"/>
      <c r="O1241" s="77" t="s">
        <v>179</v>
      </c>
      <c r="P1241" s="79">
        <v>45156.880115740743</v>
      </c>
      <c r="Q1241" s="77" t="s">
        <v>3162</v>
      </c>
      <c r="R1241" s="77">
        <v>0</v>
      </c>
      <c r="S1241" s="77">
        <v>0</v>
      </c>
      <c r="T1241" s="77">
        <v>1</v>
      </c>
      <c r="U1241" s="77">
        <v>0</v>
      </c>
      <c r="V1241" s="77">
        <v>356</v>
      </c>
      <c r="W1241" s="80" t="s">
        <v>6770</v>
      </c>
      <c r="X1241" s="83" t="str">
        <f>HYPERLINK("https://acortar.link/iXK1Ll")</f>
        <v>https://acortar.link/iXK1Ll</v>
      </c>
      <c r="Y1241" s="77" t="s">
        <v>8649</v>
      </c>
      <c r="Z1241" s="77"/>
      <c r="AA1241" s="77"/>
      <c r="AB1241" s="77"/>
      <c r="AC1241" s="80" t="s">
        <v>10541</v>
      </c>
      <c r="AD1241" s="77" t="s">
        <v>10620</v>
      </c>
      <c r="AE1241" s="83" t="str">
        <f>HYPERLINK("https://twitter.com/neahoycom/status/1692644381033935238")</f>
        <v>https://twitter.com/neahoycom/status/1692644381033935238</v>
      </c>
      <c r="AF1241" s="79">
        <v>45156.880115740743</v>
      </c>
      <c r="AG1241" s="85">
        <v>45156</v>
      </c>
      <c r="AH1241" s="80" t="s">
        <v>11714</v>
      </c>
      <c r="AI1241" s="77" t="b">
        <v>0</v>
      </c>
      <c r="AJ1241" s="77"/>
      <c r="AK1241" s="77"/>
      <c r="AL1241" s="77"/>
      <c r="AM1241" s="77"/>
      <c r="AN1241" s="77"/>
      <c r="AO1241" s="77"/>
      <c r="AP1241" s="77"/>
      <c r="AQ1241" s="77"/>
      <c r="AR1241" s="77"/>
      <c r="AS1241" s="77"/>
      <c r="AT1241" s="77"/>
      <c r="AU1241" s="77"/>
      <c r="AV1241" s="83" t="str">
        <f>HYPERLINK("https://pbs.twimg.com/profile_images/1296877862600028165/xMs0qQaA_normal.jpg")</f>
        <v>https://pbs.twimg.com/profile_images/1296877862600028165/xMs0qQaA_normal.jpg</v>
      </c>
      <c r="AW1241" s="80" t="s">
        <v>17128</v>
      </c>
      <c r="AX1241" s="80" t="s">
        <v>17128</v>
      </c>
      <c r="AY1241" s="77"/>
      <c r="AZ1241" s="80" t="s">
        <v>20380</v>
      </c>
      <c r="BA1241" s="80" t="s">
        <v>20380</v>
      </c>
      <c r="BB1241" s="80" t="s">
        <v>20380</v>
      </c>
      <c r="BC1241" s="80" t="s">
        <v>17128</v>
      </c>
      <c r="BD1241" s="80" t="s">
        <v>20719</v>
      </c>
      <c r="BE1241" s="77"/>
      <c r="BF1241" s="77"/>
      <c r="BG1241" s="77"/>
      <c r="BH1241" s="77"/>
      <c r="BI1241" s="77"/>
    </row>
    <row r="1242" spans="1:61" x14ac:dyDescent="0.25">
      <c r="A1242" s="62" t="s">
        <v>694</v>
      </c>
      <c r="B1242" s="62" t="s">
        <v>694</v>
      </c>
      <c r="C1242" s="63"/>
      <c r="D1242" s="64"/>
      <c r="E1242" s="65"/>
      <c r="F1242" s="66"/>
      <c r="G1242" s="63"/>
      <c r="H1242" s="67"/>
      <c r="I1242" s="68"/>
      <c r="J1242" s="68"/>
      <c r="K1242" s="32"/>
      <c r="L1242" s="75">
        <v>1242</v>
      </c>
      <c r="M1242" s="75"/>
      <c r="N1242" s="70"/>
      <c r="O1242" s="77" t="s">
        <v>179</v>
      </c>
      <c r="P1242" s="79">
        <v>45141.898854166669</v>
      </c>
      <c r="Q1242" s="77" t="s">
        <v>3163</v>
      </c>
      <c r="R1242" s="77">
        <v>0</v>
      </c>
      <c r="S1242" s="77">
        <v>0</v>
      </c>
      <c r="T1242" s="77">
        <v>0</v>
      </c>
      <c r="U1242" s="77">
        <v>0</v>
      </c>
      <c r="V1242" s="77">
        <v>58</v>
      </c>
      <c r="W1242" s="80" t="s">
        <v>6768</v>
      </c>
      <c r="X1242" s="83" t="str">
        <f>HYPERLINK("https://acortar.link/3Z29PS")</f>
        <v>https://acortar.link/3Z29PS</v>
      </c>
      <c r="Y1242" s="77" t="s">
        <v>8649</v>
      </c>
      <c r="Z1242" s="77"/>
      <c r="AA1242" s="77"/>
      <c r="AB1242" s="77"/>
      <c r="AC1242" s="80" t="s">
        <v>10541</v>
      </c>
      <c r="AD1242" s="77" t="s">
        <v>10620</v>
      </c>
      <c r="AE1242" s="83" t="str">
        <f>HYPERLINK("https://twitter.com/neahoycom/status/1687215350721413121")</f>
        <v>https://twitter.com/neahoycom/status/1687215350721413121</v>
      </c>
      <c r="AF1242" s="79">
        <v>45141.898854166669</v>
      </c>
      <c r="AG1242" s="85">
        <v>45141</v>
      </c>
      <c r="AH1242" s="80" t="s">
        <v>11715</v>
      </c>
      <c r="AI1242" s="77" t="b">
        <v>0</v>
      </c>
      <c r="AJ1242" s="77"/>
      <c r="AK1242" s="77"/>
      <c r="AL1242" s="77"/>
      <c r="AM1242" s="77"/>
      <c r="AN1242" s="77"/>
      <c r="AO1242" s="77"/>
      <c r="AP1242" s="77"/>
      <c r="AQ1242" s="77"/>
      <c r="AR1242" s="77"/>
      <c r="AS1242" s="77"/>
      <c r="AT1242" s="77"/>
      <c r="AU1242" s="77"/>
      <c r="AV1242" s="83" t="str">
        <f>HYPERLINK("https://pbs.twimg.com/profile_images/1296877862600028165/xMs0qQaA_normal.jpg")</f>
        <v>https://pbs.twimg.com/profile_images/1296877862600028165/xMs0qQaA_normal.jpg</v>
      </c>
      <c r="AW1242" s="80" t="s">
        <v>17129</v>
      </c>
      <c r="AX1242" s="80" t="s">
        <v>17129</v>
      </c>
      <c r="AY1242" s="77"/>
      <c r="AZ1242" s="80" t="s">
        <v>20380</v>
      </c>
      <c r="BA1242" s="80" t="s">
        <v>20380</v>
      </c>
      <c r="BB1242" s="80" t="s">
        <v>20380</v>
      </c>
      <c r="BC1242" s="80" t="s">
        <v>17129</v>
      </c>
      <c r="BD1242" s="80" t="s">
        <v>20719</v>
      </c>
      <c r="BE1242" s="77"/>
      <c r="BF1242" s="77"/>
      <c r="BG1242" s="77"/>
      <c r="BH1242" s="77"/>
      <c r="BI1242" s="77"/>
    </row>
    <row r="1243" spans="1:61" x14ac:dyDescent="0.25">
      <c r="A1243" s="62" t="s">
        <v>694</v>
      </c>
      <c r="B1243" s="62" t="s">
        <v>1669</v>
      </c>
      <c r="C1243" s="63"/>
      <c r="D1243" s="64"/>
      <c r="E1243" s="65"/>
      <c r="F1243" s="66"/>
      <c r="G1243" s="63"/>
      <c r="H1243" s="67"/>
      <c r="I1243" s="68"/>
      <c r="J1243" s="68"/>
      <c r="K1243" s="32"/>
      <c r="L1243" s="75">
        <v>1243</v>
      </c>
      <c r="M1243" s="75"/>
      <c r="N1243" s="70"/>
      <c r="O1243" s="77" t="s">
        <v>2081</v>
      </c>
      <c r="P1243" s="79">
        <v>45152.949421296296</v>
      </c>
      <c r="Q1243" s="77" t="s">
        <v>3164</v>
      </c>
      <c r="R1243" s="77">
        <v>0</v>
      </c>
      <c r="S1243" s="77">
        <v>0</v>
      </c>
      <c r="T1243" s="77">
        <v>0</v>
      </c>
      <c r="U1243" s="77">
        <v>0</v>
      </c>
      <c r="V1243" s="77">
        <v>113</v>
      </c>
      <c r="W1243" s="80" t="s">
        <v>6771</v>
      </c>
      <c r="X1243" s="83" t="str">
        <f>HYPERLINK("https://acortar.link/QYHU36")</f>
        <v>https://acortar.link/QYHU36</v>
      </c>
      <c r="Y1243" s="77" t="s">
        <v>8649</v>
      </c>
      <c r="Z1243" s="77" t="s">
        <v>1669</v>
      </c>
      <c r="AA1243" s="77"/>
      <c r="AB1243" s="77"/>
      <c r="AC1243" s="80" t="s">
        <v>10541</v>
      </c>
      <c r="AD1243" s="77" t="s">
        <v>10620</v>
      </c>
      <c r="AE1243" s="83" t="str">
        <f>HYPERLINK("https://twitter.com/neahoycom/status/1691219944380174337")</f>
        <v>https://twitter.com/neahoycom/status/1691219944380174337</v>
      </c>
      <c r="AF1243" s="79">
        <v>45152.949421296296</v>
      </c>
      <c r="AG1243" s="85">
        <v>45152</v>
      </c>
      <c r="AH1243" s="80" t="s">
        <v>10839</v>
      </c>
      <c r="AI1243" s="77" t="b">
        <v>0</v>
      </c>
      <c r="AJ1243" s="77"/>
      <c r="AK1243" s="77"/>
      <c r="AL1243" s="77"/>
      <c r="AM1243" s="77"/>
      <c r="AN1243" s="77"/>
      <c r="AO1243" s="77"/>
      <c r="AP1243" s="77"/>
      <c r="AQ1243" s="77"/>
      <c r="AR1243" s="77"/>
      <c r="AS1243" s="77"/>
      <c r="AT1243" s="77"/>
      <c r="AU1243" s="77"/>
      <c r="AV1243" s="83" t="str">
        <f>HYPERLINK("https://pbs.twimg.com/profile_images/1296877862600028165/xMs0qQaA_normal.jpg")</f>
        <v>https://pbs.twimg.com/profile_images/1296877862600028165/xMs0qQaA_normal.jpg</v>
      </c>
      <c r="AW1243" s="80" t="s">
        <v>17130</v>
      </c>
      <c r="AX1243" s="80" t="s">
        <v>17130</v>
      </c>
      <c r="AY1243" s="77"/>
      <c r="AZ1243" s="80" t="s">
        <v>20380</v>
      </c>
      <c r="BA1243" s="80" t="s">
        <v>20380</v>
      </c>
      <c r="BB1243" s="80" t="s">
        <v>20380</v>
      </c>
      <c r="BC1243" s="80" t="s">
        <v>17130</v>
      </c>
      <c r="BD1243" s="80" t="s">
        <v>20719</v>
      </c>
      <c r="BE1243" s="77"/>
      <c r="BF1243" s="77"/>
      <c r="BG1243" s="77"/>
      <c r="BH1243" s="77"/>
      <c r="BI1243" s="77"/>
    </row>
    <row r="1244" spans="1:61" x14ac:dyDescent="0.25">
      <c r="A1244" s="62" t="s">
        <v>694</v>
      </c>
      <c r="B1244" s="62" t="s">
        <v>694</v>
      </c>
      <c r="C1244" s="63"/>
      <c r="D1244" s="64"/>
      <c r="E1244" s="65"/>
      <c r="F1244" s="66"/>
      <c r="G1244" s="63"/>
      <c r="H1244" s="67"/>
      <c r="I1244" s="68"/>
      <c r="J1244" s="68"/>
      <c r="K1244" s="32"/>
      <c r="L1244" s="75">
        <v>1244</v>
      </c>
      <c r="M1244" s="75"/>
      <c r="N1244" s="70"/>
      <c r="O1244" s="77" t="s">
        <v>179</v>
      </c>
      <c r="P1244" s="79">
        <v>45167.822187500002</v>
      </c>
      <c r="Q1244" s="77" t="s">
        <v>3165</v>
      </c>
      <c r="R1244" s="77">
        <v>0</v>
      </c>
      <c r="S1244" s="77">
        <v>0</v>
      </c>
      <c r="T1244" s="77">
        <v>0</v>
      </c>
      <c r="U1244" s="77">
        <v>0</v>
      </c>
      <c r="V1244" s="77">
        <v>80</v>
      </c>
      <c r="W1244" s="80" t="s">
        <v>6772</v>
      </c>
      <c r="X1244" s="83" t="str">
        <f>HYPERLINK("https://acortar.link/OG8fqB")</f>
        <v>https://acortar.link/OG8fqB</v>
      </c>
      <c r="Y1244" s="77" t="s">
        <v>8649</v>
      </c>
      <c r="Z1244" s="77"/>
      <c r="AA1244" s="77"/>
      <c r="AB1244" s="77"/>
      <c r="AC1244" s="80" t="s">
        <v>10541</v>
      </c>
      <c r="AD1244" s="77" t="s">
        <v>10620</v>
      </c>
      <c r="AE1244" s="83" t="str">
        <f>HYPERLINK("https://twitter.com/neahoycom/status/1696609654116065393")</f>
        <v>https://twitter.com/neahoycom/status/1696609654116065393</v>
      </c>
      <c r="AF1244" s="79">
        <v>45167.822187500002</v>
      </c>
      <c r="AG1244" s="85">
        <v>45167</v>
      </c>
      <c r="AH1244" s="80" t="s">
        <v>11716</v>
      </c>
      <c r="AI1244" s="77" t="b">
        <v>0</v>
      </c>
      <c r="AJ1244" s="77"/>
      <c r="AK1244" s="77"/>
      <c r="AL1244" s="77"/>
      <c r="AM1244" s="77"/>
      <c r="AN1244" s="77"/>
      <c r="AO1244" s="77"/>
      <c r="AP1244" s="77"/>
      <c r="AQ1244" s="77"/>
      <c r="AR1244" s="77"/>
      <c r="AS1244" s="77"/>
      <c r="AT1244" s="77"/>
      <c r="AU1244" s="77"/>
      <c r="AV1244" s="83" t="str">
        <f>HYPERLINK("https://pbs.twimg.com/profile_images/1296877862600028165/xMs0qQaA_normal.jpg")</f>
        <v>https://pbs.twimg.com/profile_images/1296877862600028165/xMs0qQaA_normal.jpg</v>
      </c>
      <c r="AW1244" s="80" t="s">
        <v>17131</v>
      </c>
      <c r="AX1244" s="80" t="s">
        <v>17131</v>
      </c>
      <c r="AY1244" s="77"/>
      <c r="AZ1244" s="80" t="s">
        <v>20380</v>
      </c>
      <c r="BA1244" s="80" t="s">
        <v>20380</v>
      </c>
      <c r="BB1244" s="80" t="s">
        <v>20380</v>
      </c>
      <c r="BC1244" s="80" t="s">
        <v>17131</v>
      </c>
      <c r="BD1244" s="80" t="s">
        <v>20719</v>
      </c>
      <c r="BE1244" s="77"/>
      <c r="BF1244" s="77"/>
      <c r="BG1244" s="77"/>
      <c r="BH1244" s="77"/>
      <c r="BI1244" s="77"/>
    </row>
    <row r="1245" spans="1:61" x14ac:dyDescent="0.25">
      <c r="A1245" s="62" t="s">
        <v>694</v>
      </c>
      <c r="B1245" s="62" t="s">
        <v>1669</v>
      </c>
      <c r="C1245" s="63"/>
      <c r="D1245" s="64"/>
      <c r="E1245" s="65"/>
      <c r="F1245" s="66"/>
      <c r="G1245" s="63"/>
      <c r="H1245" s="67"/>
      <c r="I1245" s="68"/>
      <c r="J1245" s="68"/>
      <c r="K1245" s="32"/>
      <c r="L1245" s="75">
        <v>1245</v>
      </c>
      <c r="M1245" s="75"/>
      <c r="N1245" s="70"/>
      <c r="O1245" s="77" t="s">
        <v>2081</v>
      </c>
      <c r="P1245" s="79">
        <v>45153.961365740739</v>
      </c>
      <c r="Q1245" s="77" t="s">
        <v>3166</v>
      </c>
      <c r="R1245" s="77">
        <v>1</v>
      </c>
      <c r="S1245" s="77">
        <v>5</v>
      </c>
      <c r="T1245" s="77">
        <v>1</v>
      </c>
      <c r="U1245" s="77">
        <v>0</v>
      </c>
      <c r="V1245" s="77">
        <v>1738</v>
      </c>
      <c r="W1245" s="80" t="s">
        <v>6773</v>
      </c>
      <c r="X1245" s="83" t="str">
        <f>HYPERLINK("https://acortar.link/NLT8OJ")</f>
        <v>https://acortar.link/NLT8OJ</v>
      </c>
      <c r="Y1245" s="77" t="s">
        <v>8649</v>
      </c>
      <c r="Z1245" s="77" t="s">
        <v>1669</v>
      </c>
      <c r="AA1245" s="77"/>
      <c r="AB1245" s="77"/>
      <c r="AC1245" s="80" t="s">
        <v>10541</v>
      </c>
      <c r="AD1245" s="77" t="s">
        <v>10620</v>
      </c>
      <c r="AE1245" s="83" t="str">
        <f>HYPERLINK("https://twitter.com/neahoycom/status/1691586658381054332")</f>
        <v>https://twitter.com/neahoycom/status/1691586658381054332</v>
      </c>
      <c r="AF1245" s="79">
        <v>45153.961365740739</v>
      </c>
      <c r="AG1245" s="85">
        <v>45153</v>
      </c>
      <c r="AH1245" s="80" t="s">
        <v>11717</v>
      </c>
      <c r="AI1245" s="77" t="b">
        <v>0</v>
      </c>
      <c r="AJ1245" s="77"/>
      <c r="AK1245" s="77"/>
      <c r="AL1245" s="77"/>
      <c r="AM1245" s="77"/>
      <c r="AN1245" s="77"/>
      <c r="AO1245" s="77"/>
      <c r="AP1245" s="77"/>
      <c r="AQ1245" s="77"/>
      <c r="AR1245" s="77"/>
      <c r="AS1245" s="77"/>
      <c r="AT1245" s="77"/>
      <c r="AU1245" s="77"/>
      <c r="AV1245" s="83" t="str">
        <f>HYPERLINK("https://pbs.twimg.com/profile_images/1296877862600028165/xMs0qQaA_normal.jpg")</f>
        <v>https://pbs.twimg.com/profile_images/1296877862600028165/xMs0qQaA_normal.jpg</v>
      </c>
      <c r="AW1245" s="80" t="s">
        <v>17132</v>
      </c>
      <c r="AX1245" s="80" t="s">
        <v>17132</v>
      </c>
      <c r="AY1245" s="77"/>
      <c r="AZ1245" s="80" t="s">
        <v>20380</v>
      </c>
      <c r="BA1245" s="80" t="s">
        <v>20380</v>
      </c>
      <c r="BB1245" s="80" t="s">
        <v>20380</v>
      </c>
      <c r="BC1245" s="80" t="s">
        <v>17132</v>
      </c>
      <c r="BD1245" s="80" t="s">
        <v>20719</v>
      </c>
      <c r="BE1245" s="77"/>
      <c r="BF1245" s="77"/>
      <c r="BG1245" s="77"/>
      <c r="BH1245" s="77"/>
      <c r="BI1245" s="77"/>
    </row>
    <row r="1246" spans="1:61" x14ac:dyDescent="0.25">
      <c r="A1246" s="62" t="s">
        <v>694</v>
      </c>
      <c r="B1246" s="62" t="s">
        <v>694</v>
      </c>
      <c r="C1246" s="63"/>
      <c r="D1246" s="64"/>
      <c r="E1246" s="65"/>
      <c r="F1246" s="66"/>
      <c r="G1246" s="63"/>
      <c r="H1246" s="67"/>
      <c r="I1246" s="68"/>
      <c r="J1246" s="68"/>
      <c r="K1246" s="32"/>
      <c r="L1246" s="75">
        <v>1246</v>
      </c>
      <c r="M1246" s="75"/>
      <c r="N1246" s="70"/>
      <c r="O1246" s="77" t="s">
        <v>179</v>
      </c>
      <c r="P1246" s="79">
        <v>45146.83494212963</v>
      </c>
      <c r="Q1246" s="77" t="s">
        <v>3167</v>
      </c>
      <c r="R1246" s="77">
        <v>0</v>
      </c>
      <c r="S1246" s="77">
        <v>0</v>
      </c>
      <c r="T1246" s="77">
        <v>0</v>
      </c>
      <c r="U1246" s="77">
        <v>0</v>
      </c>
      <c r="V1246" s="77">
        <v>72</v>
      </c>
      <c r="W1246" s="80" t="s">
        <v>6770</v>
      </c>
      <c r="X1246" s="83" t="str">
        <f>HYPERLINK("https://acortar.link/nPDlhi")</f>
        <v>https://acortar.link/nPDlhi</v>
      </c>
      <c r="Y1246" s="77" t="s">
        <v>8649</v>
      </c>
      <c r="Z1246" s="77"/>
      <c r="AA1246" s="77"/>
      <c r="AB1246" s="77"/>
      <c r="AC1246" s="80" t="s">
        <v>10541</v>
      </c>
      <c r="AD1246" s="77" t="s">
        <v>10620</v>
      </c>
      <c r="AE1246" s="83" t="str">
        <f>HYPERLINK("https://twitter.com/neahoycom/status/1689004132139675648")</f>
        <v>https://twitter.com/neahoycom/status/1689004132139675648</v>
      </c>
      <c r="AF1246" s="79">
        <v>45146.83494212963</v>
      </c>
      <c r="AG1246" s="85">
        <v>45146</v>
      </c>
      <c r="AH1246" s="80" t="s">
        <v>11718</v>
      </c>
      <c r="AI1246" s="77" t="b">
        <v>0</v>
      </c>
      <c r="AJ1246" s="77"/>
      <c r="AK1246" s="77"/>
      <c r="AL1246" s="77"/>
      <c r="AM1246" s="77"/>
      <c r="AN1246" s="77"/>
      <c r="AO1246" s="77"/>
      <c r="AP1246" s="77"/>
      <c r="AQ1246" s="77"/>
      <c r="AR1246" s="77"/>
      <c r="AS1246" s="77"/>
      <c r="AT1246" s="77"/>
      <c r="AU1246" s="77"/>
      <c r="AV1246" s="83" t="str">
        <f>HYPERLINK("https://pbs.twimg.com/profile_images/1296877862600028165/xMs0qQaA_normal.jpg")</f>
        <v>https://pbs.twimg.com/profile_images/1296877862600028165/xMs0qQaA_normal.jpg</v>
      </c>
      <c r="AW1246" s="80" t="s">
        <v>17133</v>
      </c>
      <c r="AX1246" s="80" t="s">
        <v>17133</v>
      </c>
      <c r="AY1246" s="77"/>
      <c r="AZ1246" s="80" t="s">
        <v>20380</v>
      </c>
      <c r="BA1246" s="80" t="s">
        <v>20380</v>
      </c>
      <c r="BB1246" s="80" t="s">
        <v>20380</v>
      </c>
      <c r="BC1246" s="80" t="s">
        <v>17133</v>
      </c>
      <c r="BD1246" s="80" t="s">
        <v>20719</v>
      </c>
      <c r="BE1246" s="77"/>
      <c r="BF1246" s="77"/>
      <c r="BG1246" s="77"/>
      <c r="BH1246" s="77"/>
      <c r="BI1246" s="77"/>
    </row>
    <row r="1247" spans="1:61" x14ac:dyDescent="0.25">
      <c r="A1247" s="62" t="s">
        <v>694</v>
      </c>
      <c r="B1247" s="62" t="s">
        <v>694</v>
      </c>
      <c r="C1247" s="63"/>
      <c r="D1247" s="64"/>
      <c r="E1247" s="65"/>
      <c r="F1247" s="66"/>
      <c r="G1247" s="63"/>
      <c r="H1247" s="67"/>
      <c r="I1247" s="68"/>
      <c r="J1247" s="68"/>
      <c r="K1247" s="32"/>
      <c r="L1247" s="75">
        <v>1247</v>
      </c>
      <c r="M1247" s="75"/>
      <c r="N1247" s="70"/>
      <c r="O1247" s="77" t="s">
        <v>179</v>
      </c>
      <c r="P1247" s="79">
        <v>45134.736701388887</v>
      </c>
      <c r="Q1247" s="77" t="s">
        <v>3168</v>
      </c>
      <c r="R1247" s="77">
        <v>0</v>
      </c>
      <c r="S1247" s="77">
        <v>0</v>
      </c>
      <c r="T1247" s="77">
        <v>0</v>
      </c>
      <c r="U1247" s="77">
        <v>0</v>
      </c>
      <c r="V1247" s="77">
        <v>90</v>
      </c>
      <c r="W1247" s="80" t="s">
        <v>6768</v>
      </c>
      <c r="X1247" s="83" t="str">
        <f>HYPERLINK("https://acortar.link/gVAzqb")</f>
        <v>https://acortar.link/gVAzqb</v>
      </c>
      <c r="Y1247" s="77" t="s">
        <v>8649</v>
      </c>
      <c r="Z1247" s="77"/>
      <c r="AA1247" s="77"/>
      <c r="AB1247" s="77"/>
      <c r="AC1247" s="80" t="s">
        <v>10541</v>
      </c>
      <c r="AD1247" s="77" t="s">
        <v>10620</v>
      </c>
      <c r="AE1247" s="83" t="str">
        <f>HYPERLINK("https://twitter.com/neahoycom/status/1684619875363192832")</f>
        <v>https://twitter.com/neahoycom/status/1684619875363192832</v>
      </c>
      <c r="AF1247" s="79">
        <v>45134.736701388887</v>
      </c>
      <c r="AG1247" s="85">
        <v>45134</v>
      </c>
      <c r="AH1247" s="80" t="s">
        <v>11719</v>
      </c>
      <c r="AI1247" s="77" t="b">
        <v>0</v>
      </c>
      <c r="AJ1247" s="77"/>
      <c r="AK1247" s="77"/>
      <c r="AL1247" s="77"/>
      <c r="AM1247" s="77"/>
      <c r="AN1247" s="77"/>
      <c r="AO1247" s="77"/>
      <c r="AP1247" s="77"/>
      <c r="AQ1247" s="77"/>
      <c r="AR1247" s="77"/>
      <c r="AS1247" s="77"/>
      <c r="AT1247" s="77"/>
      <c r="AU1247" s="77"/>
      <c r="AV1247" s="83" t="str">
        <f>HYPERLINK("https://pbs.twimg.com/profile_images/1296877862600028165/xMs0qQaA_normal.jpg")</f>
        <v>https://pbs.twimg.com/profile_images/1296877862600028165/xMs0qQaA_normal.jpg</v>
      </c>
      <c r="AW1247" s="80" t="s">
        <v>17134</v>
      </c>
      <c r="AX1247" s="80" t="s">
        <v>17134</v>
      </c>
      <c r="AY1247" s="77"/>
      <c r="AZ1247" s="80" t="s">
        <v>20380</v>
      </c>
      <c r="BA1247" s="80" t="s">
        <v>20380</v>
      </c>
      <c r="BB1247" s="80" t="s">
        <v>20380</v>
      </c>
      <c r="BC1247" s="80" t="s">
        <v>17134</v>
      </c>
      <c r="BD1247" s="80" t="s">
        <v>20719</v>
      </c>
      <c r="BE1247" s="77"/>
      <c r="BF1247" s="77"/>
      <c r="BG1247" s="77"/>
      <c r="BH1247" s="77"/>
      <c r="BI1247" s="77"/>
    </row>
    <row r="1248" spans="1:61" x14ac:dyDescent="0.25">
      <c r="A1248" s="62" t="s">
        <v>694</v>
      </c>
      <c r="B1248" s="62" t="s">
        <v>694</v>
      </c>
      <c r="C1248" s="63"/>
      <c r="D1248" s="64"/>
      <c r="E1248" s="65"/>
      <c r="F1248" s="66"/>
      <c r="G1248" s="63"/>
      <c r="H1248" s="67"/>
      <c r="I1248" s="68"/>
      <c r="J1248" s="68"/>
      <c r="K1248" s="32"/>
      <c r="L1248" s="75">
        <v>1248</v>
      </c>
      <c r="M1248" s="75"/>
      <c r="N1248" s="70"/>
      <c r="O1248" s="77" t="s">
        <v>179</v>
      </c>
      <c r="P1248" s="79">
        <v>45169.865497685183</v>
      </c>
      <c r="Q1248" s="77" t="s">
        <v>3169</v>
      </c>
      <c r="R1248" s="77">
        <v>0</v>
      </c>
      <c r="S1248" s="77">
        <v>0</v>
      </c>
      <c r="T1248" s="77">
        <v>0</v>
      </c>
      <c r="U1248" s="77">
        <v>0</v>
      </c>
      <c r="V1248" s="77">
        <v>88</v>
      </c>
      <c r="W1248" s="80" t="s">
        <v>6769</v>
      </c>
      <c r="X1248" s="83" t="str">
        <f>HYPERLINK("https://acortar.link/MbFFAl")</f>
        <v>https://acortar.link/MbFFAl</v>
      </c>
      <c r="Y1248" s="77" t="s">
        <v>8649</v>
      </c>
      <c r="Z1248" s="77"/>
      <c r="AA1248" s="77"/>
      <c r="AB1248" s="77"/>
      <c r="AC1248" s="80" t="s">
        <v>10541</v>
      </c>
      <c r="AD1248" s="77" t="s">
        <v>10620</v>
      </c>
      <c r="AE1248" s="83" t="str">
        <f>HYPERLINK("https://twitter.com/neahoycom/status/1697350124178198705")</f>
        <v>https://twitter.com/neahoycom/status/1697350124178198705</v>
      </c>
      <c r="AF1248" s="79">
        <v>45169.865497685183</v>
      </c>
      <c r="AG1248" s="85">
        <v>45169</v>
      </c>
      <c r="AH1248" s="80" t="s">
        <v>11720</v>
      </c>
      <c r="AI1248" s="77" t="b">
        <v>0</v>
      </c>
      <c r="AJ1248" s="77"/>
      <c r="AK1248" s="77"/>
      <c r="AL1248" s="77"/>
      <c r="AM1248" s="77"/>
      <c r="AN1248" s="77"/>
      <c r="AO1248" s="77"/>
      <c r="AP1248" s="77"/>
      <c r="AQ1248" s="77"/>
      <c r="AR1248" s="77"/>
      <c r="AS1248" s="77"/>
      <c r="AT1248" s="77"/>
      <c r="AU1248" s="77"/>
      <c r="AV1248" s="83" t="str">
        <f>HYPERLINK("https://pbs.twimg.com/profile_images/1296877862600028165/xMs0qQaA_normal.jpg")</f>
        <v>https://pbs.twimg.com/profile_images/1296877862600028165/xMs0qQaA_normal.jpg</v>
      </c>
      <c r="AW1248" s="80" t="s">
        <v>17135</v>
      </c>
      <c r="AX1248" s="80" t="s">
        <v>17135</v>
      </c>
      <c r="AY1248" s="77"/>
      <c r="AZ1248" s="80" t="s">
        <v>20380</v>
      </c>
      <c r="BA1248" s="80" t="s">
        <v>20380</v>
      </c>
      <c r="BB1248" s="80" t="s">
        <v>20380</v>
      </c>
      <c r="BC1248" s="80" t="s">
        <v>17135</v>
      </c>
      <c r="BD1248" s="80" t="s">
        <v>20719</v>
      </c>
      <c r="BE1248" s="77"/>
      <c r="BF1248" s="77"/>
      <c r="BG1248" s="77"/>
      <c r="BH1248" s="77"/>
      <c r="BI1248" s="77"/>
    </row>
    <row r="1249" spans="1:61" x14ac:dyDescent="0.25">
      <c r="A1249" s="62" t="s">
        <v>694</v>
      </c>
      <c r="B1249" s="62" t="s">
        <v>694</v>
      </c>
      <c r="C1249" s="63"/>
      <c r="D1249" s="64"/>
      <c r="E1249" s="65"/>
      <c r="F1249" s="66"/>
      <c r="G1249" s="63"/>
      <c r="H1249" s="67"/>
      <c r="I1249" s="68"/>
      <c r="J1249" s="68"/>
      <c r="K1249" s="32"/>
      <c r="L1249" s="75">
        <v>1249</v>
      </c>
      <c r="M1249" s="75"/>
      <c r="N1249" s="70"/>
      <c r="O1249" s="77" t="s">
        <v>179</v>
      </c>
      <c r="P1249" s="79">
        <v>45124.8440162037</v>
      </c>
      <c r="Q1249" s="77" t="s">
        <v>3170</v>
      </c>
      <c r="R1249" s="77">
        <v>0</v>
      </c>
      <c r="S1249" s="77">
        <v>0</v>
      </c>
      <c r="T1249" s="77">
        <v>0</v>
      </c>
      <c r="U1249" s="77">
        <v>0</v>
      </c>
      <c r="V1249" s="77">
        <v>106</v>
      </c>
      <c r="W1249" s="80" t="s">
        <v>6768</v>
      </c>
      <c r="X1249" s="77"/>
      <c r="Y1249" s="77"/>
      <c r="Z1249" s="77"/>
      <c r="AA1249" s="77"/>
      <c r="AB1249" s="77"/>
      <c r="AC1249" s="80" t="s">
        <v>10541</v>
      </c>
      <c r="AD1249" s="77" t="s">
        <v>10620</v>
      </c>
      <c r="AE1249" s="83" t="str">
        <f>HYPERLINK("https://twitter.com/neahoycom/status/1681034884922454016")</f>
        <v>https://twitter.com/neahoycom/status/1681034884922454016</v>
      </c>
      <c r="AF1249" s="79">
        <v>45124.8440162037</v>
      </c>
      <c r="AG1249" s="85">
        <v>45124</v>
      </c>
      <c r="AH1249" s="80" t="s">
        <v>11721</v>
      </c>
      <c r="AI1249" s="77"/>
      <c r="AJ1249" s="77"/>
      <c r="AK1249" s="77"/>
      <c r="AL1249" s="77"/>
      <c r="AM1249" s="77"/>
      <c r="AN1249" s="77"/>
      <c r="AO1249" s="77"/>
      <c r="AP1249" s="77"/>
      <c r="AQ1249" s="77"/>
      <c r="AR1249" s="77"/>
      <c r="AS1249" s="77"/>
      <c r="AT1249" s="77"/>
      <c r="AU1249" s="77"/>
      <c r="AV1249" s="83" t="str">
        <f>HYPERLINK("https://pbs.twimg.com/profile_images/1296877862600028165/xMs0qQaA_normal.jpg")</f>
        <v>https://pbs.twimg.com/profile_images/1296877862600028165/xMs0qQaA_normal.jpg</v>
      </c>
      <c r="AW1249" s="80" t="s">
        <v>17136</v>
      </c>
      <c r="AX1249" s="80" t="s">
        <v>17136</v>
      </c>
      <c r="AY1249" s="77"/>
      <c r="AZ1249" s="80" t="s">
        <v>20380</v>
      </c>
      <c r="BA1249" s="80" t="s">
        <v>20380</v>
      </c>
      <c r="BB1249" s="80" t="s">
        <v>20380</v>
      </c>
      <c r="BC1249" s="80" t="s">
        <v>17136</v>
      </c>
      <c r="BD1249" s="80" t="s">
        <v>20719</v>
      </c>
      <c r="BE1249" s="77"/>
      <c r="BF1249" s="77"/>
      <c r="BG1249" s="77"/>
      <c r="BH1249" s="77"/>
      <c r="BI1249" s="77"/>
    </row>
    <row r="1250" spans="1:61" x14ac:dyDescent="0.25">
      <c r="A1250" s="62" t="s">
        <v>694</v>
      </c>
      <c r="B1250" s="62" t="s">
        <v>694</v>
      </c>
      <c r="C1250" s="63"/>
      <c r="D1250" s="64"/>
      <c r="E1250" s="65"/>
      <c r="F1250" s="66"/>
      <c r="G1250" s="63"/>
      <c r="H1250" s="67"/>
      <c r="I1250" s="68"/>
      <c r="J1250" s="68"/>
      <c r="K1250" s="32"/>
      <c r="L1250" s="75">
        <v>1250</v>
      </c>
      <c r="M1250" s="75"/>
      <c r="N1250" s="70"/>
      <c r="O1250" s="77" t="s">
        <v>179</v>
      </c>
      <c r="P1250" s="79">
        <v>45174.828738425924</v>
      </c>
      <c r="Q1250" s="77" t="s">
        <v>3171</v>
      </c>
      <c r="R1250" s="77">
        <v>1</v>
      </c>
      <c r="S1250" s="77">
        <v>3</v>
      </c>
      <c r="T1250" s="77">
        <v>0</v>
      </c>
      <c r="U1250" s="77">
        <v>0</v>
      </c>
      <c r="V1250" s="77">
        <v>1146</v>
      </c>
      <c r="W1250" s="80" t="s">
        <v>6772</v>
      </c>
      <c r="X1250" s="83" t="str">
        <f>HYPERLINK("https://acortar.link/PeOhKH")</f>
        <v>https://acortar.link/PeOhKH</v>
      </c>
      <c r="Y1250" s="77" t="s">
        <v>8649</v>
      </c>
      <c r="Z1250" s="77"/>
      <c r="AA1250" s="77"/>
      <c r="AB1250" s="77"/>
      <c r="AC1250" s="80" t="s">
        <v>10541</v>
      </c>
      <c r="AD1250" s="77" t="s">
        <v>10620</v>
      </c>
      <c r="AE1250" s="83" t="str">
        <f>HYPERLINK("https://twitter.com/neahoycom/status/1699148744279708034")</f>
        <v>https://twitter.com/neahoycom/status/1699148744279708034</v>
      </c>
      <c r="AF1250" s="79">
        <v>45174.828738425924</v>
      </c>
      <c r="AG1250" s="85">
        <v>45174</v>
      </c>
      <c r="AH1250" s="80" t="s">
        <v>11722</v>
      </c>
      <c r="AI1250" s="77" t="b">
        <v>0</v>
      </c>
      <c r="AJ1250" s="77"/>
      <c r="AK1250" s="77"/>
      <c r="AL1250" s="77"/>
      <c r="AM1250" s="77"/>
      <c r="AN1250" s="77"/>
      <c r="AO1250" s="77"/>
      <c r="AP1250" s="77"/>
      <c r="AQ1250" s="77"/>
      <c r="AR1250" s="77"/>
      <c r="AS1250" s="77"/>
      <c r="AT1250" s="77"/>
      <c r="AU1250" s="77"/>
      <c r="AV1250" s="83" t="str">
        <f>HYPERLINK("https://pbs.twimg.com/profile_images/1296877862600028165/xMs0qQaA_normal.jpg")</f>
        <v>https://pbs.twimg.com/profile_images/1296877862600028165/xMs0qQaA_normal.jpg</v>
      </c>
      <c r="AW1250" s="80" t="s">
        <v>17137</v>
      </c>
      <c r="AX1250" s="80" t="s">
        <v>17137</v>
      </c>
      <c r="AY1250" s="77"/>
      <c r="AZ1250" s="80" t="s">
        <v>20380</v>
      </c>
      <c r="BA1250" s="80" t="s">
        <v>20380</v>
      </c>
      <c r="BB1250" s="80" t="s">
        <v>20380</v>
      </c>
      <c r="BC1250" s="80" t="s">
        <v>17137</v>
      </c>
      <c r="BD1250" s="80" t="s">
        <v>20719</v>
      </c>
      <c r="BE1250" s="77"/>
      <c r="BF1250" s="77"/>
      <c r="BG1250" s="77"/>
      <c r="BH1250" s="77"/>
      <c r="BI1250" s="77"/>
    </row>
    <row r="1251" spans="1:61" x14ac:dyDescent="0.25">
      <c r="A1251" s="62" t="s">
        <v>694</v>
      </c>
      <c r="B1251" s="62" t="s">
        <v>694</v>
      </c>
      <c r="C1251" s="63"/>
      <c r="D1251" s="64"/>
      <c r="E1251" s="65"/>
      <c r="F1251" s="66"/>
      <c r="G1251" s="63"/>
      <c r="H1251" s="67"/>
      <c r="I1251" s="68"/>
      <c r="J1251" s="68"/>
      <c r="K1251" s="32"/>
      <c r="L1251" s="75">
        <v>1251</v>
      </c>
      <c r="M1251" s="75"/>
      <c r="N1251" s="70"/>
      <c r="O1251" s="77" t="s">
        <v>179</v>
      </c>
      <c r="P1251" s="79">
        <v>45152.665960648148</v>
      </c>
      <c r="Q1251" s="77" t="s">
        <v>3172</v>
      </c>
      <c r="R1251" s="77">
        <v>0</v>
      </c>
      <c r="S1251" s="77">
        <v>0</v>
      </c>
      <c r="T1251" s="77">
        <v>0</v>
      </c>
      <c r="U1251" s="77">
        <v>0</v>
      </c>
      <c r="V1251" s="77">
        <v>65</v>
      </c>
      <c r="W1251" s="80" t="s">
        <v>6774</v>
      </c>
      <c r="X1251" s="83" t="str">
        <f>HYPERLINK("https://acortar.link/cVuck4")</f>
        <v>https://acortar.link/cVuck4</v>
      </c>
      <c r="Y1251" s="77" t="s">
        <v>8649</v>
      </c>
      <c r="Z1251" s="77"/>
      <c r="AA1251" s="77"/>
      <c r="AB1251" s="77"/>
      <c r="AC1251" s="80" t="s">
        <v>10541</v>
      </c>
      <c r="AD1251" s="77" t="s">
        <v>10620</v>
      </c>
      <c r="AE1251" s="83" t="str">
        <f>HYPERLINK("https://twitter.com/neahoycom/status/1691117221769363456")</f>
        <v>https://twitter.com/neahoycom/status/1691117221769363456</v>
      </c>
      <c r="AF1251" s="79">
        <v>45152.665960648148</v>
      </c>
      <c r="AG1251" s="85">
        <v>45152</v>
      </c>
      <c r="AH1251" s="80" t="s">
        <v>11723</v>
      </c>
      <c r="AI1251" s="77" t="b">
        <v>0</v>
      </c>
      <c r="AJ1251" s="77"/>
      <c r="AK1251" s="77"/>
      <c r="AL1251" s="77"/>
      <c r="AM1251" s="77"/>
      <c r="AN1251" s="77"/>
      <c r="AO1251" s="77"/>
      <c r="AP1251" s="77"/>
      <c r="AQ1251" s="77"/>
      <c r="AR1251" s="77"/>
      <c r="AS1251" s="77"/>
      <c r="AT1251" s="77"/>
      <c r="AU1251" s="77"/>
      <c r="AV1251" s="83" t="str">
        <f>HYPERLINK("https://pbs.twimg.com/profile_images/1296877862600028165/xMs0qQaA_normal.jpg")</f>
        <v>https://pbs.twimg.com/profile_images/1296877862600028165/xMs0qQaA_normal.jpg</v>
      </c>
      <c r="AW1251" s="80" t="s">
        <v>17138</v>
      </c>
      <c r="AX1251" s="80" t="s">
        <v>17138</v>
      </c>
      <c r="AY1251" s="77"/>
      <c r="AZ1251" s="80" t="s">
        <v>20380</v>
      </c>
      <c r="BA1251" s="80" t="s">
        <v>20380</v>
      </c>
      <c r="BB1251" s="80" t="s">
        <v>20380</v>
      </c>
      <c r="BC1251" s="80" t="s">
        <v>17138</v>
      </c>
      <c r="BD1251" s="80" t="s">
        <v>20719</v>
      </c>
      <c r="BE1251" s="77"/>
      <c r="BF1251" s="77"/>
      <c r="BG1251" s="77"/>
      <c r="BH1251" s="77"/>
      <c r="BI1251" s="77"/>
    </row>
    <row r="1252" spans="1:61" x14ac:dyDescent="0.25">
      <c r="A1252" s="62" t="s">
        <v>694</v>
      </c>
      <c r="B1252" s="62" t="s">
        <v>694</v>
      </c>
      <c r="C1252" s="63"/>
      <c r="D1252" s="64"/>
      <c r="E1252" s="65"/>
      <c r="F1252" s="66"/>
      <c r="G1252" s="63"/>
      <c r="H1252" s="67"/>
      <c r="I1252" s="68"/>
      <c r="J1252" s="68"/>
      <c r="K1252" s="32"/>
      <c r="L1252" s="75">
        <v>1252</v>
      </c>
      <c r="M1252" s="75"/>
      <c r="N1252" s="70"/>
      <c r="O1252" s="77" t="s">
        <v>179</v>
      </c>
      <c r="P1252" s="79">
        <v>45120.855694444443</v>
      </c>
      <c r="Q1252" s="77" t="s">
        <v>3173</v>
      </c>
      <c r="R1252" s="77">
        <v>0</v>
      </c>
      <c r="S1252" s="77">
        <v>0</v>
      </c>
      <c r="T1252" s="77">
        <v>0</v>
      </c>
      <c r="U1252" s="77">
        <v>0</v>
      </c>
      <c r="V1252" s="77">
        <v>63</v>
      </c>
      <c r="W1252" s="80" t="s">
        <v>6768</v>
      </c>
      <c r="X1252" s="83" t="str">
        <f>HYPERLINK("https://acortar.link/KDPcg5")</f>
        <v>https://acortar.link/KDPcg5</v>
      </c>
      <c r="Y1252" s="77" t="s">
        <v>8649</v>
      </c>
      <c r="Z1252" s="77"/>
      <c r="AA1252" s="77"/>
      <c r="AB1252" s="77"/>
      <c r="AC1252" s="80" t="s">
        <v>10541</v>
      </c>
      <c r="AD1252" s="77" t="s">
        <v>10620</v>
      </c>
      <c r="AE1252" s="83" t="str">
        <f>HYPERLINK("https://twitter.com/neahoycom/status/1679589568138432512")</f>
        <v>https://twitter.com/neahoycom/status/1679589568138432512</v>
      </c>
      <c r="AF1252" s="79">
        <v>45120.855694444443</v>
      </c>
      <c r="AG1252" s="85">
        <v>45120</v>
      </c>
      <c r="AH1252" s="80" t="s">
        <v>11724</v>
      </c>
      <c r="AI1252" s="77" t="b">
        <v>0</v>
      </c>
      <c r="AJ1252" s="77"/>
      <c r="AK1252" s="77"/>
      <c r="AL1252" s="77"/>
      <c r="AM1252" s="77"/>
      <c r="AN1252" s="77"/>
      <c r="AO1252" s="77"/>
      <c r="AP1252" s="77"/>
      <c r="AQ1252" s="77"/>
      <c r="AR1252" s="77"/>
      <c r="AS1252" s="77"/>
      <c r="AT1252" s="77"/>
      <c r="AU1252" s="77"/>
      <c r="AV1252" s="83" t="str">
        <f>HYPERLINK("https://pbs.twimg.com/profile_images/1296877862600028165/xMs0qQaA_normal.jpg")</f>
        <v>https://pbs.twimg.com/profile_images/1296877862600028165/xMs0qQaA_normal.jpg</v>
      </c>
      <c r="AW1252" s="80" t="s">
        <v>17139</v>
      </c>
      <c r="AX1252" s="80" t="s">
        <v>17139</v>
      </c>
      <c r="AY1252" s="77"/>
      <c r="AZ1252" s="80" t="s">
        <v>20380</v>
      </c>
      <c r="BA1252" s="80" t="s">
        <v>20380</v>
      </c>
      <c r="BB1252" s="80" t="s">
        <v>20380</v>
      </c>
      <c r="BC1252" s="80" t="s">
        <v>17139</v>
      </c>
      <c r="BD1252" s="80" t="s">
        <v>20719</v>
      </c>
      <c r="BE1252" s="77"/>
      <c r="BF1252" s="77"/>
      <c r="BG1252" s="77"/>
      <c r="BH1252" s="77"/>
      <c r="BI1252" s="77"/>
    </row>
    <row r="1253" spans="1:61" x14ac:dyDescent="0.25">
      <c r="A1253" s="62" t="s">
        <v>694</v>
      </c>
      <c r="B1253" s="62" t="s">
        <v>694</v>
      </c>
      <c r="C1253" s="63"/>
      <c r="D1253" s="64"/>
      <c r="E1253" s="65"/>
      <c r="F1253" s="66"/>
      <c r="G1253" s="63"/>
      <c r="H1253" s="67"/>
      <c r="I1253" s="68"/>
      <c r="J1253" s="68"/>
      <c r="K1253" s="32"/>
      <c r="L1253" s="75">
        <v>1253</v>
      </c>
      <c r="M1253" s="75"/>
      <c r="N1253" s="70"/>
      <c r="O1253" s="77" t="s">
        <v>179</v>
      </c>
      <c r="P1253" s="79">
        <v>45177.861712962964</v>
      </c>
      <c r="Q1253" s="77" t="s">
        <v>3174</v>
      </c>
      <c r="R1253" s="77">
        <v>0</v>
      </c>
      <c r="S1253" s="77">
        <v>2</v>
      </c>
      <c r="T1253" s="77">
        <v>1</v>
      </c>
      <c r="U1253" s="77">
        <v>0</v>
      </c>
      <c r="V1253" s="77">
        <v>2321</v>
      </c>
      <c r="W1253" s="80" t="s">
        <v>6772</v>
      </c>
      <c r="X1253" s="83" t="str">
        <f>HYPERLINK("https://acortar.link/c3N6Af")</f>
        <v>https://acortar.link/c3N6Af</v>
      </c>
      <c r="Y1253" s="77" t="s">
        <v>8649</v>
      </c>
      <c r="Z1253" s="77"/>
      <c r="AA1253" s="77"/>
      <c r="AB1253" s="77"/>
      <c r="AC1253" s="80" t="s">
        <v>10541</v>
      </c>
      <c r="AD1253" s="77" t="s">
        <v>10620</v>
      </c>
      <c r="AE1253" s="83" t="str">
        <f>HYPERLINK("https://twitter.com/neahoycom/status/1700247857524289909")</f>
        <v>https://twitter.com/neahoycom/status/1700247857524289909</v>
      </c>
      <c r="AF1253" s="79">
        <v>45177.861712962964</v>
      </c>
      <c r="AG1253" s="85">
        <v>45177</v>
      </c>
      <c r="AH1253" s="80" t="s">
        <v>11725</v>
      </c>
      <c r="AI1253" s="77" t="b">
        <v>0</v>
      </c>
      <c r="AJ1253" s="77"/>
      <c r="AK1253" s="77"/>
      <c r="AL1253" s="77"/>
      <c r="AM1253" s="77"/>
      <c r="AN1253" s="77"/>
      <c r="AO1253" s="77"/>
      <c r="AP1253" s="77"/>
      <c r="AQ1253" s="77"/>
      <c r="AR1253" s="77"/>
      <c r="AS1253" s="77"/>
      <c r="AT1253" s="77"/>
      <c r="AU1253" s="77"/>
      <c r="AV1253" s="83" t="str">
        <f>HYPERLINK("https://pbs.twimg.com/profile_images/1296877862600028165/xMs0qQaA_normal.jpg")</f>
        <v>https://pbs.twimg.com/profile_images/1296877862600028165/xMs0qQaA_normal.jpg</v>
      </c>
      <c r="AW1253" s="80" t="s">
        <v>17140</v>
      </c>
      <c r="AX1253" s="80" t="s">
        <v>17140</v>
      </c>
      <c r="AY1253" s="77"/>
      <c r="AZ1253" s="80" t="s">
        <v>20380</v>
      </c>
      <c r="BA1253" s="80" t="s">
        <v>20380</v>
      </c>
      <c r="BB1253" s="80" t="s">
        <v>20380</v>
      </c>
      <c r="BC1253" s="80" t="s">
        <v>17140</v>
      </c>
      <c r="BD1253" s="80" t="s">
        <v>20719</v>
      </c>
      <c r="BE1253" s="77"/>
      <c r="BF1253" s="77"/>
      <c r="BG1253" s="77"/>
      <c r="BH1253" s="77"/>
      <c r="BI1253" s="77"/>
    </row>
    <row r="1254" spans="1:61" x14ac:dyDescent="0.25">
      <c r="A1254" s="62" t="s">
        <v>694</v>
      </c>
      <c r="B1254" s="62" t="s">
        <v>694</v>
      </c>
      <c r="C1254" s="63"/>
      <c r="D1254" s="64"/>
      <c r="E1254" s="65"/>
      <c r="F1254" s="66"/>
      <c r="G1254" s="63"/>
      <c r="H1254" s="67"/>
      <c r="I1254" s="68"/>
      <c r="J1254" s="68"/>
      <c r="K1254" s="32"/>
      <c r="L1254" s="75">
        <v>1254</v>
      </c>
      <c r="M1254" s="75"/>
      <c r="N1254" s="70"/>
      <c r="O1254" s="77" t="s">
        <v>179</v>
      </c>
      <c r="P1254" s="79">
        <v>45112.910567129627</v>
      </c>
      <c r="Q1254" s="77" t="s">
        <v>3175</v>
      </c>
      <c r="R1254" s="77">
        <v>0</v>
      </c>
      <c r="S1254" s="77">
        <v>0</v>
      </c>
      <c r="T1254" s="77">
        <v>0</v>
      </c>
      <c r="U1254" s="77">
        <v>0</v>
      </c>
      <c r="V1254" s="77">
        <v>55</v>
      </c>
      <c r="W1254" s="80" t="s">
        <v>6768</v>
      </c>
      <c r="X1254" s="83" t="str">
        <f>HYPERLINK("https://acortar.link/RClsZL")</f>
        <v>https://acortar.link/RClsZL</v>
      </c>
      <c r="Y1254" s="77" t="s">
        <v>8649</v>
      </c>
      <c r="Z1254" s="77"/>
      <c r="AA1254" s="77"/>
      <c r="AB1254" s="77"/>
      <c r="AC1254" s="80" t="s">
        <v>10541</v>
      </c>
      <c r="AD1254" s="77" t="s">
        <v>10620</v>
      </c>
      <c r="AE1254" s="83" t="str">
        <f>HYPERLINK("https://twitter.com/neahoycom/status/1676710347032473600")</f>
        <v>https://twitter.com/neahoycom/status/1676710347032473600</v>
      </c>
      <c r="AF1254" s="79">
        <v>45112.910567129627</v>
      </c>
      <c r="AG1254" s="85">
        <v>45112</v>
      </c>
      <c r="AH1254" s="80" t="s">
        <v>11726</v>
      </c>
      <c r="AI1254" s="77" t="b">
        <v>0</v>
      </c>
      <c r="AJ1254" s="77"/>
      <c r="AK1254" s="77"/>
      <c r="AL1254" s="77"/>
      <c r="AM1254" s="77"/>
      <c r="AN1254" s="77"/>
      <c r="AO1254" s="77"/>
      <c r="AP1254" s="77"/>
      <c r="AQ1254" s="77"/>
      <c r="AR1254" s="77"/>
      <c r="AS1254" s="77"/>
      <c r="AT1254" s="77"/>
      <c r="AU1254" s="77"/>
      <c r="AV1254" s="83" t="str">
        <f>HYPERLINK("https://pbs.twimg.com/profile_images/1296877862600028165/xMs0qQaA_normal.jpg")</f>
        <v>https://pbs.twimg.com/profile_images/1296877862600028165/xMs0qQaA_normal.jpg</v>
      </c>
      <c r="AW1254" s="80" t="s">
        <v>17141</v>
      </c>
      <c r="AX1254" s="80" t="s">
        <v>17141</v>
      </c>
      <c r="AY1254" s="77"/>
      <c r="AZ1254" s="80" t="s">
        <v>20380</v>
      </c>
      <c r="BA1254" s="80" t="s">
        <v>20380</v>
      </c>
      <c r="BB1254" s="80" t="s">
        <v>20380</v>
      </c>
      <c r="BC1254" s="80" t="s">
        <v>17141</v>
      </c>
      <c r="BD1254" s="80" t="s">
        <v>20719</v>
      </c>
      <c r="BE1254" s="77"/>
      <c r="BF1254" s="77"/>
      <c r="BG1254" s="77"/>
      <c r="BH1254" s="77"/>
      <c r="BI1254" s="77"/>
    </row>
    <row r="1255" spans="1:61" x14ac:dyDescent="0.25">
      <c r="A1255" s="62" t="s">
        <v>695</v>
      </c>
      <c r="B1255" s="62" t="s">
        <v>695</v>
      </c>
      <c r="C1255" s="63"/>
      <c r="D1255" s="64"/>
      <c r="E1255" s="65"/>
      <c r="F1255" s="66"/>
      <c r="G1255" s="63"/>
      <c r="H1255" s="67"/>
      <c r="I1255" s="68"/>
      <c r="J1255" s="68"/>
      <c r="K1255" s="32"/>
      <c r="L1255" s="75">
        <v>1255</v>
      </c>
      <c r="M1255" s="75"/>
      <c r="N1255" s="70"/>
      <c r="O1255" s="77" t="s">
        <v>2078</v>
      </c>
      <c r="P1255" s="79">
        <v>45155.550613425927</v>
      </c>
      <c r="Q1255" s="77" t="s">
        <v>3176</v>
      </c>
      <c r="R1255" s="77">
        <v>0</v>
      </c>
      <c r="S1255" s="77">
        <v>0</v>
      </c>
      <c r="T1255" s="77">
        <v>0</v>
      </c>
      <c r="U1255" s="77">
        <v>0</v>
      </c>
      <c r="V1255" s="77">
        <v>10</v>
      </c>
      <c r="W1255" s="80" t="s">
        <v>6775</v>
      </c>
      <c r="X1255" s="77"/>
      <c r="Y1255" s="77"/>
      <c r="Z1255" s="77"/>
      <c r="AA1255" s="77"/>
      <c r="AB1255" s="77"/>
      <c r="AC1255" s="80" t="s">
        <v>10541</v>
      </c>
      <c r="AD1255" s="77" t="s">
        <v>10617</v>
      </c>
      <c r="AE1255" s="83" t="str">
        <f>HYPERLINK("https://twitter.com/barbruno8/status/1692162584894386241")</f>
        <v>https://twitter.com/barbruno8/status/1692162584894386241</v>
      </c>
      <c r="AF1255" s="79">
        <v>45155.550613425927</v>
      </c>
      <c r="AG1255" s="85">
        <v>45155</v>
      </c>
      <c r="AH1255" s="80" t="s">
        <v>11727</v>
      </c>
      <c r="AI1255" s="77"/>
      <c r="AJ1255" s="77"/>
      <c r="AK1255" s="77"/>
      <c r="AL1255" s="77"/>
      <c r="AM1255" s="77"/>
      <c r="AN1255" s="77"/>
      <c r="AO1255" s="77"/>
      <c r="AP1255" s="77"/>
      <c r="AQ1255" s="77"/>
      <c r="AR1255" s="77"/>
      <c r="AS1255" s="77"/>
      <c r="AT1255" s="77"/>
      <c r="AU1255" s="77"/>
      <c r="AV1255" s="83" t="str">
        <f>HYPERLINK("https://pbs.twimg.com/profile_images/1698832046875918336/WWQGjory_normal.jpg")</f>
        <v>https://pbs.twimg.com/profile_images/1698832046875918336/WWQGjory_normal.jpg</v>
      </c>
      <c r="AW1255" s="80" t="s">
        <v>17142</v>
      </c>
      <c r="AX1255" s="80" t="s">
        <v>20015</v>
      </c>
      <c r="AY1255" s="80" t="s">
        <v>20267</v>
      </c>
      <c r="AZ1255" s="80" t="s">
        <v>20015</v>
      </c>
      <c r="BA1255" s="80" t="s">
        <v>20380</v>
      </c>
      <c r="BB1255" s="80" t="s">
        <v>20380</v>
      </c>
      <c r="BC1255" s="80" t="s">
        <v>20015</v>
      </c>
      <c r="BD1255" s="77">
        <v>3345800861</v>
      </c>
      <c r="BE1255" s="77"/>
      <c r="BF1255" s="77"/>
      <c r="BG1255" s="77"/>
      <c r="BH1255" s="77"/>
      <c r="BI1255" s="77"/>
    </row>
    <row r="1256" spans="1:61" x14ac:dyDescent="0.25">
      <c r="A1256" s="62" t="s">
        <v>696</v>
      </c>
      <c r="B1256" s="62" t="s">
        <v>696</v>
      </c>
      <c r="C1256" s="63"/>
      <c r="D1256" s="64"/>
      <c r="E1256" s="65"/>
      <c r="F1256" s="66"/>
      <c r="G1256" s="63"/>
      <c r="H1256" s="67"/>
      <c r="I1256" s="68"/>
      <c r="J1256" s="68"/>
      <c r="K1256" s="32"/>
      <c r="L1256" s="75">
        <v>1256</v>
      </c>
      <c r="M1256" s="75"/>
      <c r="N1256" s="70"/>
      <c r="O1256" s="77" t="s">
        <v>179</v>
      </c>
      <c r="P1256" s="79">
        <v>45129.458877314813</v>
      </c>
      <c r="Q1256" s="77" t="s">
        <v>3177</v>
      </c>
      <c r="R1256" s="77">
        <v>1</v>
      </c>
      <c r="S1256" s="77">
        <v>1</v>
      </c>
      <c r="T1256" s="77">
        <v>0</v>
      </c>
      <c r="U1256" s="77">
        <v>0</v>
      </c>
      <c r="V1256" s="77">
        <v>7</v>
      </c>
      <c r="W1256" s="80" t="s">
        <v>6776</v>
      </c>
      <c r="X1256" s="77"/>
      <c r="Y1256" s="77"/>
      <c r="Z1256" s="77"/>
      <c r="AA1256" s="77"/>
      <c r="AB1256" s="77"/>
      <c r="AC1256" s="80" t="s">
        <v>10541</v>
      </c>
      <c r="AD1256" s="77" t="s">
        <v>10620</v>
      </c>
      <c r="AE1256" s="83" t="str">
        <f>HYPERLINK("https://twitter.com/fredkarma/status/1682707256071127040")</f>
        <v>https://twitter.com/fredkarma/status/1682707256071127040</v>
      </c>
      <c r="AF1256" s="79">
        <v>45129.458877314813</v>
      </c>
      <c r="AG1256" s="85">
        <v>45129</v>
      </c>
      <c r="AH1256" s="80" t="s">
        <v>11728</v>
      </c>
      <c r="AI1256" s="77"/>
      <c r="AJ1256" s="77"/>
      <c r="AK1256" s="77"/>
      <c r="AL1256" s="77"/>
      <c r="AM1256" s="77"/>
      <c r="AN1256" s="77"/>
      <c r="AO1256" s="77"/>
      <c r="AP1256" s="77"/>
      <c r="AQ1256" s="77"/>
      <c r="AR1256" s="77"/>
      <c r="AS1256" s="77"/>
      <c r="AT1256" s="77"/>
      <c r="AU1256" s="77"/>
      <c r="AV1256" s="83" t="str">
        <f>HYPERLINK("https://pbs.twimg.com/profile_images/1680681874203574273/He7sgewo_normal.jpg")</f>
        <v>https://pbs.twimg.com/profile_images/1680681874203574273/He7sgewo_normal.jpg</v>
      </c>
      <c r="AW1256" s="80" t="s">
        <v>17143</v>
      </c>
      <c r="AX1256" s="80" t="s">
        <v>17143</v>
      </c>
      <c r="AY1256" s="77"/>
      <c r="AZ1256" s="80" t="s">
        <v>20380</v>
      </c>
      <c r="BA1256" s="80" t="s">
        <v>20380</v>
      </c>
      <c r="BB1256" s="80" t="s">
        <v>20380</v>
      </c>
      <c r="BC1256" s="80" t="s">
        <v>17143</v>
      </c>
      <c r="BD1256" s="77">
        <v>230057888</v>
      </c>
      <c r="BE1256" s="77"/>
      <c r="BF1256" s="77"/>
      <c r="BG1256" s="77"/>
      <c r="BH1256" s="77"/>
      <c r="BI1256" s="77"/>
    </row>
    <row r="1257" spans="1:61" x14ac:dyDescent="0.25">
      <c r="A1257" s="62" t="s">
        <v>697</v>
      </c>
      <c r="B1257" s="62" t="s">
        <v>871</v>
      </c>
      <c r="C1257" s="63"/>
      <c r="D1257" s="64"/>
      <c r="E1257" s="65"/>
      <c r="F1257" s="66"/>
      <c r="G1257" s="63"/>
      <c r="H1257" s="67"/>
      <c r="I1257" s="68"/>
      <c r="J1257" s="68"/>
      <c r="K1257" s="32"/>
      <c r="L1257" s="75">
        <v>1257</v>
      </c>
      <c r="M1257" s="75"/>
      <c r="N1257" s="70"/>
      <c r="O1257" s="77" t="s">
        <v>2082</v>
      </c>
      <c r="P1257" s="79">
        <v>45140.909583333334</v>
      </c>
      <c r="Q1257" s="77" t="s">
        <v>3178</v>
      </c>
      <c r="R1257" s="77">
        <v>0</v>
      </c>
      <c r="S1257" s="77">
        <v>0</v>
      </c>
      <c r="T1257" s="77">
        <v>0</v>
      </c>
      <c r="U1257" s="77">
        <v>0</v>
      </c>
      <c r="V1257" s="77">
        <v>42</v>
      </c>
      <c r="W1257" s="80" t="s">
        <v>6777</v>
      </c>
      <c r="X1257" s="77"/>
      <c r="Y1257" s="77"/>
      <c r="Z1257" s="77"/>
      <c r="AA1257" s="77"/>
      <c r="AB1257" s="77"/>
      <c r="AC1257" s="80" t="s">
        <v>10555</v>
      </c>
      <c r="AD1257" s="77" t="s">
        <v>10618</v>
      </c>
      <c r="AE1257" s="83" t="str">
        <f>HYPERLINK("https://twitter.com/poetwittar/status/1686856853853003776")</f>
        <v>https://twitter.com/poetwittar/status/1686856853853003776</v>
      </c>
      <c r="AF1257" s="79">
        <v>45140.909583333334</v>
      </c>
      <c r="AG1257" s="85">
        <v>45140</v>
      </c>
      <c r="AH1257" s="80" t="s">
        <v>11729</v>
      </c>
      <c r="AI1257" s="77"/>
      <c r="AJ1257" s="77"/>
      <c r="AK1257" s="77"/>
      <c r="AL1257" s="77"/>
      <c r="AM1257" s="77"/>
      <c r="AN1257" s="77"/>
      <c r="AO1257" s="77"/>
      <c r="AP1257" s="77"/>
      <c r="AQ1257" s="77"/>
      <c r="AR1257" s="77"/>
      <c r="AS1257" s="77"/>
      <c r="AT1257" s="77"/>
      <c r="AU1257" s="77"/>
      <c r="AV1257" s="83" t="str">
        <f>HYPERLINK("https://pbs.twimg.com/profile_images/1654893116501917696/kPctmXJg_normal.jpg")</f>
        <v>https://pbs.twimg.com/profile_images/1654893116501917696/kPctmXJg_normal.jpg</v>
      </c>
      <c r="AW1257" s="80" t="s">
        <v>17144</v>
      </c>
      <c r="AX1257" s="80" t="s">
        <v>17144</v>
      </c>
      <c r="AY1257" s="77"/>
      <c r="AZ1257" s="80" t="s">
        <v>20380</v>
      </c>
      <c r="BA1257" s="80" t="s">
        <v>17948</v>
      </c>
      <c r="BB1257" s="80" t="s">
        <v>20380</v>
      </c>
      <c r="BC1257" s="80" t="s">
        <v>17948</v>
      </c>
      <c r="BD1257" s="77">
        <v>17314674</v>
      </c>
      <c r="BE1257" s="77"/>
      <c r="BF1257" s="77"/>
      <c r="BG1257" s="77"/>
      <c r="BH1257" s="77"/>
      <c r="BI1257" s="77"/>
    </row>
    <row r="1258" spans="1:61" x14ac:dyDescent="0.25">
      <c r="A1258" s="62" t="s">
        <v>698</v>
      </c>
      <c r="B1258" s="62" t="s">
        <v>698</v>
      </c>
      <c r="C1258" s="63"/>
      <c r="D1258" s="64"/>
      <c r="E1258" s="65"/>
      <c r="F1258" s="66"/>
      <c r="G1258" s="63"/>
      <c r="H1258" s="67"/>
      <c r="I1258" s="68"/>
      <c r="J1258" s="68"/>
      <c r="K1258" s="32"/>
      <c r="L1258" s="75">
        <v>1258</v>
      </c>
      <c r="M1258" s="75"/>
      <c r="N1258" s="70"/>
      <c r="O1258" s="77" t="s">
        <v>179</v>
      </c>
      <c r="P1258" s="79">
        <v>45076.876215277778</v>
      </c>
      <c r="Q1258" s="77" t="s">
        <v>3179</v>
      </c>
      <c r="R1258" s="77">
        <v>2</v>
      </c>
      <c r="S1258" s="77">
        <v>2</v>
      </c>
      <c r="T1258" s="77">
        <v>0</v>
      </c>
      <c r="U1258" s="77">
        <v>0</v>
      </c>
      <c r="V1258" s="77">
        <v>40</v>
      </c>
      <c r="W1258" s="80" t="s">
        <v>6778</v>
      </c>
      <c r="X1258" s="83" t="str">
        <f>HYPERLINK("https://mtr.cool/wvnejohyxn")</f>
        <v>https://mtr.cool/wvnejohyxn</v>
      </c>
      <c r="Y1258" s="77" t="s">
        <v>8632</v>
      </c>
      <c r="Z1258" s="77"/>
      <c r="AA1258" s="77" t="s">
        <v>9456</v>
      </c>
      <c r="AB1258" s="77" t="s">
        <v>10535</v>
      </c>
      <c r="AC1258" s="80" t="s">
        <v>10543</v>
      </c>
      <c r="AD1258" s="77" t="s">
        <v>10620</v>
      </c>
      <c r="AE1258" s="83" t="str">
        <f>HYPERLINK("https://twitter.com/tamarillano/status/1663651937756098561")</f>
        <v>https://twitter.com/tamarillano/status/1663651937756098561</v>
      </c>
      <c r="AF1258" s="79">
        <v>45076.876215277778</v>
      </c>
      <c r="AG1258" s="85">
        <v>45076</v>
      </c>
      <c r="AH1258" s="80" t="s">
        <v>11730</v>
      </c>
      <c r="AI1258" s="77" t="b">
        <v>0</v>
      </c>
      <c r="AJ1258" s="77"/>
      <c r="AK1258" s="77"/>
      <c r="AL1258" s="77"/>
      <c r="AM1258" s="77"/>
      <c r="AN1258" s="77"/>
      <c r="AO1258" s="77"/>
      <c r="AP1258" s="77"/>
      <c r="AQ1258" s="77" t="s">
        <v>14938</v>
      </c>
      <c r="AR1258" s="77"/>
      <c r="AS1258" s="77"/>
      <c r="AT1258" s="77"/>
      <c r="AU1258" s="77"/>
      <c r="AV1258" s="83" t="str">
        <f>HYPERLINK("https://pbs.twimg.com/media/FxZ6nDyXsAYQLXp.jpg")</f>
        <v>https://pbs.twimg.com/media/FxZ6nDyXsAYQLXp.jpg</v>
      </c>
      <c r="AW1258" s="80" t="s">
        <v>17145</v>
      </c>
      <c r="AX1258" s="80" t="s">
        <v>17145</v>
      </c>
      <c r="AY1258" s="77"/>
      <c r="AZ1258" s="80" t="s">
        <v>20380</v>
      </c>
      <c r="BA1258" s="80" t="s">
        <v>20380</v>
      </c>
      <c r="BB1258" s="80" t="s">
        <v>20380</v>
      </c>
      <c r="BC1258" s="80" t="s">
        <v>17145</v>
      </c>
      <c r="BD1258" s="77">
        <v>1420922660</v>
      </c>
      <c r="BE1258" s="77"/>
      <c r="BF1258" s="77"/>
      <c r="BG1258" s="77"/>
      <c r="BH1258" s="77"/>
      <c r="BI1258" s="77"/>
    </row>
    <row r="1259" spans="1:61" x14ac:dyDescent="0.25">
      <c r="A1259" s="62" t="s">
        <v>699</v>
      </c>
      <c r="B1259" s="62" t="s">
        <v>699</v>
      </c>
      <c r="C1259" s="63"/>
      <c r="D1259" s="64"/>
      <c r="E1259" s="65"/>
      <c r="F1259" s="66"/>
      <c r="G1259" s="63"/>
      <c r="H1259" s="67"/>
      <c r="I1259" s="68"/>
      <c r="J1259" s="68"/>
      <c r="K1259" s="32"/>
      <c r="L1259" s="75">
        <v>1259</v>
      </c>
      <c r="M1259" s="75"/>
      <c r="N1259" s="70"/>
      <c r="O1259" s="77" t="s">
        <v>179</v>
      </c>
      <c r="P1259" s="79">
        <v>45147.542314814818</v>
      </c>
      <c r="Q1259" s="77" t="s">
        <v>3180</v>
      </c>
      <c r="R1259" s="77">
        <v>0</v>
      </c>
      <c r="S1259" s="77">
        <v>0</v>
      </c>
      <c r="T1259" s="77">
        <v>0</v>
      </c>
      <c r="U1259" s="77">
        <v>0</v>
      </c>
      <c r="V1259" s="77">
        <v>7</v>
      </c>
      <c r="W1259" s="80" t="s">
        <v>6779</v>
      </c>
      <c r="X1259" s="83" t="str">
        <f>HYPERLINK("http://www.saltaaldianoticias.com.ar")</f>
        <v>http://www.saltaaldianoticias.com.ar</v>
      </c>
      <c r="Y1259" s="77" t="s">
        <v>8624</v>
      </c>
      <c r="Z1259" s="77"/>
      <c r="AA1259" s="77" t="s">
        <v>9457</v>
      </c>
      <c r="AB1259" s="77" t="s">
        <v>10535</v>
      </c>
      <c r="AC1259" s="80" t="s">
        <v>10540</v>
      </c>
      <c r="AD1259" s="77" t="s">
        <v>10620</v>
      </c>
      <c r="AE1259" s="83" t="str">
        <f>HYPERLINK("https://twitter.com/saltaaldiaok/status/1689260472338460678")</f>
        <v>https://twitter.com/saltaaldiaok/status/1689260472338460678</v>
      </c>
      <c r="AF1259" s="79">
        <v>45147.542314814818</v>
      </c>
      <c r="AG1259" s="85">
        <v>45147</v>
      </c>
      <c r="AH1259" s="80" t="s">
        <v>11731</v>
      </c>
      <c r="AI1259" s="77" t="b">
        <v>0</v>
      </c>
      <c r="AJ1259" s="77" t="s">
        <v>14353</v>
      </c>
      <c r="AK1259" s="77" t="s">
        <v>14385</v>
      </c>
      <c r="AL1259" s="77" t="s">
        <v>14394</v>
      </c>
      <c r="AM1259" s="77" t="s">
        <v>14410</v>
      </c>
      <c r="AN1259" s="77" t="s">
        <v>14450</v>
      </c>
      <c r="AO1259" s="77" t="s">
        <v>14489</v>
      </c>
      <c r="AP1259" s="77" t="s">
        <v>14516</v>
      </c>
      <c r="AQ1259" s="77" t="s">
        <v>14939</v>
      </c>
      <c r="AR1259" s="77"/>
      <c r="AS1259" s="77"/>
      <c r="AT1259" s="77"/>
      <c r="AU1259" s="77"/>
      <c r="AV1259" s="83" t="str">
        <f>HYPERLINK("https://pbs.twimg.com/media/F3F1btsWIAA9Z-v.jpg")</f>
        <v>https://pbs.twimg.com/media/F3F1btsWIAA9Z-v.jpg</v>
      </c>
      <c r="AW1259" s="80" t="s">
        <v>17146</v>
      </c>
      <c r="AX1259" s="80" t="s">
        <v>17146</v>
      </c>
      <c r="AY1259" s="77"/>
      <c r="AZ1259" s="80" t="s">
        <v>20380</v>
      </c>
      <c r="BA1259" s="80" t="s">
        <v>20380</v>
      </c>
      <c r="BB1259" s="80" t="s">
        <v>20380</v>
      </c>
      <c r="BC1259" s="80" t="s">
        <v>17146</v>
      </c>
      <c r="BD1259" s="80" t="s">
        <v>20720</v>
      </c>
      <c r="BE1259" s="77"/>
      <c r="BF1259" s="77"/>
      <c r="BG1259" s="77"/>
      <c r="BH1259" s="77"/>
      <c r="BI1259" s="77"/>
    </row>
    <row r="1260" spans="1:61" x14ac:dyDescent="0.25">
      <c r="A1260" s="62" t="s">
        <v>700</v>
      </c>
      <c r="B1260" s="62" t="s">
        <v>700</v>
      </c>
      <c r="C1260" s="63"/>
      <c r="D1260" s="64"/>
      <c r="E1260" s="65"/>
      <c r="F1260" s="66"/>
      <c r="G1260" s="63"/>
      <c r="H1260" s="67"/>
      <c r="I1260" s="68"/>
      <c r="J1260" s="68"/>
      <c r="K1260" s="32"/>
      <c r="L1260" s="75">
        <v>1260</v>
      </c>
      <c r="M1260" s="75"/>
      <c r="N1260" s="70"/>
      <c r="O1260" s="77" t="s">
        <v>179</v>
      </c>
      <c r="P1260" s="79">
        <v>45155.652546296296</v>
      </c>
      <c r="Q1260" s="77" t="s">
        <v>3181</v>
      </c>
      <c r="R1260" s="77">
        <v>0</v>
      </c>
      <c r="S1260" s="77">
        <v>4</v>
      </c>
      <c r="T1260" s="77">
        <v>0</v>
      </c>
      <c r="U1260" s="77">
        <v>0</v>
      </c>
      <c r="V1260" s="77">
        <v>574</v>
      </c>
      <c r="W1260" s="80" t="s">
        <v>6780</v>
      </c>
      <c r="X1260" s="77"/>
      <c r="Y1260" s="77"/>
      <c r="Z1260" s="77"/>
      <c r="AA1260" s="77" t="s">
        <v>9458</v>
      </c>
      <c r="AB1260" s="77" t="s">
        <v>10534</v>
      </c>
      <c r="AC1260" s="80" t="s">
        <v>10540</v>
      </c>
      <c r="AD1260" s="77" t="s">
        <v>10620</v>
      </c>
      <c r="AE1260" s="83" t="str">
        <f>HYPERLINK("https://twitter.com/netsysmx1/status/1692199525035725095")</f>
        <v>https://twitter.com/netsysmx1/status/1692199525035725095</v>
      </c>
      <c r="AF1260" s="79">
        <v>45155.652546296296</v>
      </c>
      <c r="AG1260" s="85">
        <v>45155</v>
      </c>
      <c r="AH1260" s="80" t="s">
        <v>11732</v>
      </c>
      <c r="AI1260" s="77" t="b">
        <v>0</v>
      </c>
      <c r="AJ1260" s="77"/>
      <c r="AK1260" s="77"/>
      <c r="AL1260" s="77"/>
      <c r="AM1260" s="77"/>
      <c r="AN1260" s="77"/>
      <c r="AO1260" s="77"/>
      <c r="AP1260" s="77"/>
      <c r="AQ1260" s="77" t="s">
        <v>14940</v>
      </c>
      <c r="AR1260" s="77">
        <v>49481</v>
      </c>
      <c r="AS1260" s="77"/>
      <c r="AT1260" s="77"/>
      <c r="AU1260" s="77"/>
      <c r="AV1260" s="83" t="str">
        <f>HYPERLINK("https://pbs.twimg.com/ext_tw_video_thumb/1692199471155675136/pu/img/u3Q47xKvBPXb6jEH.jpg")</f>
        <v>https://pbs.twimg.com/ext_tw_video_thumb/1692199471155675136/pu/img/u3Q47xKvBPXb6jEH.jpg</v>
      </c>
      <c r="AW1260" s="80" t="s">
        <v>17147</v>
      </c>
      <c r="AX1260" s="80" t="s">
        <v>17147</v>
      </c>
      <c r="AY1260" s="77"/>
      <c r="AZ1260" s="80" t="s">
        <v>20380</v>
      </c>
      <c r="BA1260" s="80" t="s">
        <v>20380</v>
      </c>
      <c r="BB1260" s="80" t="s">
        <v>20380</v>
      </c>
      <c r="BC1260" s="80" t="s">
        <v>17147</v>
      </c>
      <c r="BD1260" s="77">
        <v>387855674</v>
      </c>
      <c r="BE1260" s="77"/>
      <c r="BF1260" s="77"/>
      <c r="BG1260" s="77"/>
      <c r="BH1260" s="77"/>
      <c r="BI1260" s="77"/>
    </row>
    <row r="1261" spans="1:61" x14ac:dyDescent="0.25">
      <c r="A1261" s="62" t="s">
        <v>701</v>
      </c>
      <c r="B1261" s="62" t="s">
        <v>701</v>
      </c>
      <c r="C1261" s="63"/>
      <c r="D1261" s="64"/>
      <c r="E1261" s="65"/>
      <c r="F1261" s="66"/>
      <c r="G1261" s="63"/>
      <c r="H1261" s="67"/>
      <c r="I1261" s="68"/>
      <c r="J1261" s="68"/>
      <c r="K1261" s="32"/>
      <c r="L1261" s="75">
        <v>1261</v>
      </c>
      <c r="M1261" s="75"/>
      <c r="N1261" s="70"/>
      <c r="O1261" s="77" t="s">
        <v>179</v>
      </c>
      <c r="P1261" s="79">
        <v>45085.821435185186</v>
      </c>
      <c r="Q1261" s="77" t="s">
        <v>3182</v>
      </c>
      <c r="R1261" s="77">
        <v>13</v>
      </c>
      <c r="S1261" s="77">
        <v>22</v>
      </c>
      <c r="T1261" s="77">
        <v>4</v>
      </c>
      <c r="U1261" s="77">
        <v>0</v>
      </c>
      <c r="V1261" s="77">
        <v>601</v>
      </c>
      <c r="W1261" s="80" t="s">
        <v>6781</v>
      </c>
      <c r="X1261" s="77"/>
      <c r="Y1261" s="77"/>
      <c r="Z1261" s="77"/>
      <c r="AA1261" s="77"/>
      <c r="AB1261" s="77"/>
      <c r="AC1261" s="80" t="s">
        <v>10542</v>
      </c>
      <c r="AD1261" s="77" t="s">
        <v>10617</v>
      </c>
      <c r="AE1261" s="83" t="str">
        <f>HYPERLINK("https://twitter.com/arte_prima/status/1666893573894070291")</f>
        <v>https://twitter.com/arte_prima/status/1666893573894070291</v>
      </c>
      <c r="AF1261" s="79">
        <v>45085.821435185186</v>
      </c>
      <c r="AG1261" s="85">
        <v>45085</v>
      </c>
      <c r="AH1261" s="80" t="s">
        <v>11733</v>
      </c>
      <c r="AI1261" s="77"/>
      <c r="AJ1261" s="77"/>
      <c r="AK1261" s="77"/>
      <c r="AL1261" s="77"/>
      <c r="AM1261" s="77"/>
      <c r="AN1261" s="77"/>
      <c r="AO1261" s="77"/>
      <c r="AP1261" s="77"/>
      <c r="AQ1261" s="77"/>
      <c r="AR1261" s="77"/>
      <c r="AS1261" s="77"/>
      <c r="AT1261" s="77"/>
      <c r="AU1261" s="77"/>
      <c r="AV1261" s="83" t="str">
        <f>HYPERLINK("https://pbs.twimg.com/profile_images/779866396918448128/y0ovyIDg_normal.jpg")</f>
        <v>https://pbs.twimg.com/profile_images/779866396918448128/y0ovyIDg_normal.jpg</v>
      </c>
      <c r="AW1261" s="80" t="s">
        <v>17148</v>
      </c>
      <c r="AX1261" s="80" t="s">
        <v>17148</v>
      </c>
      <c r="AY1261" s="77"/>
      <c r="AZ1261" s="80" t="s">
        <v>20380</v>
      </c>
      <c r="BA1261" s="80" t="s">
        <v>20380</v>
      </c>
      <c r="BB1261" s="80" t="s">
        <v>20380</v>
      </c>
      <c r="BC1261" s="80" t="s">
        <v>17148</v>
      </c>
      <c r="BD1261" s="77">
        <v>1645736942</v>
      </c>
      <c r="BE1261" s="77"/>
      <c r="BF1261" s="77"/>
      <c r="BG1261" s="77"/>
      <c r="BH1261" s="77"/>
      <c r="BI1261" s="77"/>
    </row>
    <row r="1262" spans="1:61" x14ac:dyDescent="0.25">
      <c r="A1262" s="62" t="s">
        <v>702</v>
      </c>
      <c r="B1262" s="62" t="s">
        <v>1667</v>
      </c>
      <c r="C1262" s="63"/>
      <c r="D1262" s="64"/>
      <c r="E1262" s="65"/>
      <c r="F1262" s="66"/>
      <c r="G1262" s="63"/>
      <c r="H1262" s="67"/>
      <c r="I1262" s="68"/>
      <c r="J1262" s="68"/>
      <c r="K1262" s="32"/>
      <c r="L1262" s="75">
        <v>1262</v>
      </c>
      <c r="M1262" s="75"/>
      <c r="N1262" s="70"/>
      <c r="O1262" s="77" t="s">
        <v>2082</v>
      </c>
      <c r="P1262" s="79">
        <v>45161.891342592593</v>
      </c>
      <c r="Q1262" s="77" t="s">
        <v>3183</v>
      </c>
      <c r="R1262" s="77">
        <v>3</v>
      </c>
      <c r="S1262" s="77">
        <v>11</v>
      </c>
      <c r="T1262" s="77">
        <v>0</v>
      </c>
      <c r="U1262" s="77">
        <v>0</v>
      </c>
      <c r="V1262" s="77">
        <v>1640</v>
      </c>
      <c r="W1262" s="80" t="s">
        <v>5884</v>
      </c>
      <c r="X1262" s="77"/>
      <c r="Y1262" s="77"/>
      <c r="Z1262" s="77"/>
      <c r="AA1262" s="77"/>
      <c r="AB1262" s="77"/>
      <c r="AC1262" s="80" t="s">
        <v>10541</v>
      </c>
      <c r="AD1262" s="77" t="s">
        <v>10620</v>
      </c>
      <c r="AE1262" s="83" t="str">
        <f>HYPERLINK("https://twitter.com/acostasamu/status/1694460386932596934")</f>
        <v>https://twitter.com/acostasamu/status/1694460386932596934</v>
      </c>
      <c r="AF1262" s="79">
        <v>45161.891342592593</v>
      </c>
      <c r="AG1262" s="85">
        <v>45161</v>
      </c>
      <c r="AH1262" s="80" t="s">
        <v>11734</v>
      </c>
      <c r="AI1262" s="77"/>
      <c r="AJ1262" s="77"/>
      <c r="AK1262" s="77"/>
      <c r="AL1262" s="77"/>
      <c r="AM1262" s="77"/>
      <c r="AN1262" s="77"/>
      <c r="AO1262" s="77"/>
      <c r="AP1262" s="77"/>
      <c r="AQ1262" s="77"/>
      <c r="AR1262" s="77"/>
      <c r="AS1262" s="77"/>
      <c r="AT1262" s="77"/>
      <c r="AU1262" s="77"/>
      <c r="AV1262" s="83" t="str">
        <f>HYPERLINK("https://pbs.twimg.com/profile_images/1654888059559636993/Iqc4kr6O_normal.jpg")</f>
        <v>https://pbs.twimg.com/profile_images/1654888059559636993/Iqc4kr6O_normal.jpg</v>
      </c>
      <c r="AW1262" s="80" t="s">
        <v>17149</v>
      </c>
      <c r="AX1262" s="80" t="s">
        <v>17149</v>
      </c>
      <c r="AY1262" s="77"/>
      <c r="AZ1262" s="80" t="s">
        <v>20380</v>
      </c>
      <c r="BA1262" s="80" t="s">
        <v>19871</v>
      </c>
      <c r="BB1262" s="80" t="s">
        <v>20380</v>
      </c>
      <c r="BC1262" s="80" t="s">
        <v>19871</v>
      </c>
      <c r="BD1262" s="77">
        <v>573729744</v>
      </c>
      <c r="BE1262" s="77"/>
      <c r="BF1262" s="77"/>
      <c r="BG1262" s="77"/>
      <c r="BH1262" s="77"/>
      <c r="BI1262" s="77"/>
    </row>
    <row r="1263" spans="1:61" x14ac:dyDescent="0.25">
      <c r="A1263" s="62" t="s">
        <v>703</v>
      </c>
      <c r="B1263" s="62" t="s">
        <v>703</v>
      </c>
      <c r="C1263" s="63"/>
      <c r="D1263" s="64"/>
      <c r="E1263" s="65"/>
      <c r="F1263" s="66"/>
      <c r="G1263" s="63"/>
      <c r="H1263" s="67"/>
      <c r="I1263" s="68"/>
      <c r="J1263" s="68"/>
      <c r="K1263" s="32"/>
      <c r="L1263" s="75">
        <v>1263</v>
      </c>
      <c r="M1263" s="75"/>
      <c r="N1263" s="70"/>
      <c r="O1263" s="77" t="s">
        <v>179</v>
      </c>
      <c r="P1263" s="79">
        <v>45055.788842592592</v>
      </c>
      <c r="Q1263" s="77" t="s">
        <v>3184</v>
      </c>
      <c r="R1263" s="77">
        <v>0</v>
      </c>
      <c r="S1263" s="77">
        <v>0</v>
      </c>
      <c r="T1263" s="77">
        <v>0</v>
      </c>
      <c r="U1263" s="77">
        <v>0</v>
      </c>
      <c r="V1263" s="77">
        <v>4</v>
      </c>
      <c r="W1263" s="80" t="s">
        <v>6782</v>
      </c>
      <c r="X1263" s="83" t="str">
        <f>HYPERLINK("https://diamondbrasil.com/novo-padrao-para-cheques/")</f>
        <v>https://diamondbrasil.com/novo-padrao-para-cheques/</v>
      </c>
      <c r="Y1263" s="77" t="s">
        <v>8731</v>
      </c>
      <c r="Z1263" s="77"/>
      <c r="AA1263" s="77" t="s">
        <v>9459</v>
      </c>
      <c r="AB1263" s="77" t="s">
        <v>10535</v>
      </c>
      <c r="AC1263" s="80" t="s">
        <v>10541</v>
      </c>
      <c r="AD1263" s="77" t="s">
        <v>10617</v>
      </c>
      <c r="AE1263" s="83" t="str">
        <f>HYPERLINK("https://twitter.com/diamondbrasil/status/1656010127110021125")</f>
        <v>https://twitter.com/diamondbrasil/status/1656010127110021125</v>
      </c>
      <c r="AF1263" s="79">
        <v>45055.788842592592</v>
      </c>
      <c r="AG1263" s="85">
        <v>45055</v>
      </c>
      <c r="AH1263" s="80" t="s">
        <v>11735</v>
      </c>
      <c r="AI1263" s="77" t="b">
        <v>0</v>
      </c>
      <c r="AJ1263" s="77"/>
      <c r="AK1263" s="77"/>
      <c r="AL1263" s="77"/>
      <c r="AM1263" s="77"/>
      <c r="AN1263" s="77"/>
      <c r="AO1263" s="77"/>
      <c r="AP1263" s="77"/>
      <c r="AQ1263" s="77" t="s">
        <v>14941</v>
      </c>
      <c r="AR1263" s="77"/>
      <c r="AS1263" s="77"/>
      <c r="AT1263" s="77"/>
      <c r="AU1263" s="77"/>
      <c r="AV1263" s="83" t="str">
        <f>HYPERLINK("https://pbs.twimg.com/media/FvtUbWsWwAA3Shk.jpg")</f>
        <v>https://pbs.twimg.com/media/FvtUbWsWwAA3Shk.jpg</v>
      </c>
      <c r="AW1263" s="80" t="s">
        <v>17150</v>
      </c>
      <c r="AX1263" s="80" t="s">
        <v>17150</v>
      </c>
      <c r="AY1263" s="77"/>
      <c r="AZ1263" s="80" t="s">
        <v>20380</v>
      </c>
      <c r="BA1263" s="80" t="s">
        <v>20380</v>
      </c>
      <c r="BB1263" s="80" t="s">
        <v>20380</v>
      </c>
      <c r="BC1263" s="80" t="s">
        <v>17150</v>
      </c>
      <c r="BD1263" s="77">
        <v>90683850</v>
      </c>
      <c r="BE1263" s="77"/>
      <c r="BF1263" s="77"/>
      <c r="BG1263" s="77"/>
      <c r="BH1263" s="77"/>
      <c r="BI1263" s="77"/>
    </row>
    <row r="1264" spans="1:61" x14ac:dyDescent="0.25">
      <c r="A1264" s="62" t="s">
        <v>704</v>
      </c>
      <c r="B1264" s="62" t="s">
        <v>704</v>
      </c>
      <c r="C1264" s="63"/>
      <c r="D1264" s="64"/>
      <c r="E1264" s="65"/>
      <c r="F1264" s="66"/>
      <c r="G1264" s="63"/>
      <c r="H1264" s="67"/>
      <c r="I1264" s="68"/>
      <c r="J1264" s="68"/>
      <c r="K1264" s="32"/>
      <c r="L1264" s="75">
        <v>1264</v>
      </c>
      <c r="M1264" s="75"/>
      <c r="N1264" s="70"/>
      <c r="O1264" s="77" t="s">
        <v>179</v>
      </c>
      <c r="P1264" s="79">
        <v>45091.911273148151</v>
      </c>
      <c r="Q1264" s="77" t="s">
        <v>3185</v>
      </c>
      <c r="R1264" s="77">
        <v>0</v>
      </c>
      <c r="S1264" s="77">
        <v>0</v>
      </c>
      <c r="T1264" s="77">
        <v>0</v>
      </c>
      <c r="U1264" s="77">
        <v>0</v>
      </c>
      <c r="V1264" s="77">
        <v>12</v>
      </c>
      <c r="W1264" s="80" t="s">
        <v>6783</v>
      </c>
      <c r="X1264" s="83" t="str">
        <f>HYPERLINK("https://www.primicias.ec/noticias/economia/exportaciones-latinoamerica-desaceleracion-ecuador-petroleo/")</f>
        <v>https://www.primicias.ec/noticias/economia/exportaciones-latinoamerica-desaceleracion-ecuador-petroleo/</v>
      </c>
      <c r="Y1264" s="77" t="s">
        <v>8732</v>
      </c>
      <c r="Z1264" s="77"/>
      <c r="AA1264" s="77" t="s">
        <v>9460</v>
      </c>
      <c r="AB1264" s="77" t="s">
        <v>10535</v>
      </c>
      <c r="AC1264" s="80" t="s">
        <v>10541</v>
      </c>
      <c r="AD1264" s="77" t="s">
        <v>10620</v>
      </c>
      <c r="AE1264" s="83" t="str">
        <f>HYPERLINK("https://twitter.com/ecuatorianalec/status/1669100459565391877")</f>
        <v>https://twitter.com/ecuatorianalec/status/1669100459565391877</v>
      </c>
      <c r="AF1264" s="79">
        <v>45091.911273148151</v>
      </c>
      <c r="AG1264" s="85">
        <v>45091</v>
      </c>
      <c r="AH1264" s="80" t="s">
        <v>11736</v>
      </c>
      <c r="AI1264" s="77" t="b">
        <v>0</v>
      </c>
      <c r="AJ1264" s="77"/>
      <c r="AK1264" s="77"/>
      <c r="AL1264" s="77"/>
      <c r="AM1264" s="77"/>
      <c r="AN1264" s="77"/>
      <c r="AO1264" s="77"/>
      <c r="AP1264" s="77"/>
      <c r="AQ1264" s="77" t="s">
        <v>14942</v>
      </c>
      <c r="AR1264" s="77"/>
      <c r="AS1264" s="77"/>
      <c r="AT1264" s="77"/>
      <c r="AU1264" s="77"/>
      <c r="AV1264" s="83" t="str">
        <f>HYPERLINK("https://pbs.twimg.com/media/FynVnRiXoAEdhFE.jpg")</f>
        <v>https://pbs.twimg.com/media/FynVnRiXoAEdhFE.jpg</v>
      </c>
      <c r="AW1264" s="80" t="s">
        <v>17151</v>
      </c>
      <c r="AX1264" s="80" t="s">
        <v>17151</v>
      </c>
      <c r="AY1264" s="77"/>
      <c r="AZ1264" s="80" t="s">
        <v>20380</v>
      </c>
      <c r="BA1264" s="80" t="s">
        <v>20380</v>
      </c>
      <c r="BB1264" s="80" t="s">
        <v>20380</v>
      </c>
      <c r="BC1264" s="80" t="s">
        <v>17151</v>
      </c>
      <c r="BD1264" s="80" t="s">
        <v>20721</v>
      </c>
      <c r="BE1264" s="77"/>
      <c r="BF1264" s="77"/>
      <c r="BG1264" s="77"/>
      <c r="BH1264" s="77"/>
      <c r="BI1264" s="77"/>
    </row>
    <row r="1265" spans="1:61" x14ac:dyDescent="0.25">
      <c r="A1265" s="62" t="s">
        <v>705</v>
      </c>
      <c r="B1265" s="62" t="s">
        <v>705</v>
      </c>
      <c r="C1265" s="63"/>
      <c r="D1265" s="64"/>
      <c r="E1265" s="65"/>
      <c r="F1265" s="66"/>
      <c r="G1265" s="63"/>
      <c r="H1265" s="67"/>
      <c r="I1265" s="68"/>
      <c r="J1265" s="68"/>
      <c r="K1265" s="32"/>
      <c r="L1265" s="75">
        <v>1265</v>
      </c>
      <c r="M1265" s="75"/>
      <c r="N1265" s="70"/>
      <c r="O1265" s="77" t="s">
        <v>179</v>
      </c>
      <c r="P1265" s="79">
        <v>45103.703865740739</v>
      </c>
      <c r="Q1265" s="77" t="s">
        <v>3186</v>
      </c>
      <c r="R1265" s="77">
        <v>0</v>
      </c>
      <c r="S1265" s="77">
        <v>0</v>
      </c>
      <c r="T1265" s="77">
        <v>0</v>
      </c>
      <c r="U1265" s="77">
        <v>0</v>
      </c>
      <c r="V1265" s="77">
        <v>1</v>
      </c>
      <c r="W1265" s="80" t="s">
        <v>6447</v>
      </c>
      <c r="X1265" s="83" t="str">
        <f>HYPERLINK("https://eldia.com.do/ciclos-de-politicas-monetarias")</f>
        <v>https://eldia.com.do/ciclos-de-politicas-monetarias</v>
      </c>
      <c r="Y1265" s="77" t="s">
        <v>8625</v>
      </c>
      <c r="Z1265" s="77"/>
      <c r="AA1265" s="77"/>
      <c r="AB1265" s="77"/>
      <c r="AC1265" s="80" t="s">
        <v>10541</v>
      </c>
      <c r="AD1265" s="77" t="s">
        <v>10620</v>
      </c>
      <c r="AE1265" s="83" t="str">
        <f>HYPERLINK("https://twitter.com/acarreras01/status/1673373951378989057")</f>
        <v>https://twitter.com/acarreras01/status/1673373951378989057</v>
      </c>
      <c r="AF1265" s="79">
        <v>45103.703865740739</v>
      </c>
      <c r="AG1265" s="85">
        <v>45103</v>
      </c>
      <c r="AH1265" s="80" t="s">
        <v>11737</v>
      </c>
      <c r="AI1265" s="77" t="b">
        <v>0</v>
      </c>
      <c r="AJ1265" s="77"/>
      <c r="AK1265" s="77"/>
      <c r="AL1265" s="77"/>
      <c r="AM1265" s="77"/>
      <c r="AN1265" s="77"/>
      <c r="AO1265" s="77"/>
      <c r="AP1265" s="77"/>
      <c r="AQ1265" s="77"/>
      <c r="AR1265" s="77"/>
      <c r="AS1265" s="77"/>
      <c r="AT1265" s="77"/>
      <c r="AU1265" s="77"/>
      <c r="AV1265" s="83" t="str">
        <f>HYPERLINK("https://pbs.twimg.com/profile_images/1051054370161389568/1FDGLbT__normal.jpg")</f>
        <v>https://pbs.twimg.com/profile_images/1051054370161389568/1FDGLbT__normal.jpg</v>
      </c>
      <c r="AW1265" s="80" t="s">
        <v>17152</v>
      </c>
      <c r="AX1265" s="80" t="s">
        <v>17152</v>
      </c>
      <c r="AY1265" s="77"/>
      <c r="AZ1265" s="80" t="s">
        <v>20380</v>
      </c>
      <c r="BA1265" s="80" t="s">
        <v>20380</v>
      </c>
      <c r="BB1265" s="80" t="s">
        <v>20380</v>
      </c>
      <c r="BC1265" s="80" t="s">
        <v>17152</v>
      </c>
      <c r="BD1265" s="80" t="s">
        <v>20722</v>
      </c>
      <c r="BE1265" s="77"/>
      <c r="BF1265" s="77"/>
      <c r="BG1265" s="77"/>
      <c r="BH1265" s="77"/>
      <c r="BI1265" s="77"/>
    </row>
    <row r="1266" spans="1:61" x14ac:dyDescent="0.25">
      <c r="A1266" s="62" t="s">
        <v>705</v>
      </c>
      <c r="B1266" s="62" t="s">
        <v>705</v>
      </c>
      <c r="C1266" s="63"/>
      <c r="D1266" s="64"/>
      <c r="E1266" s="65"/>
      <c r="F1266" s="66"/>
      <c r="G1266" s="63"/>
      <c r="H1266" s="67"/>
      <c r="I1266" s="68"/>
      <c r="J1266" s="68"/>
      <c r="K1266" s="32"/>
      <c r="L1266" s="75">
        <v>1266</v>
      </c>
      <c r="M1266" s="75"/>
      <c r="N1266" s="70"/>
      <c r="O1266" s="77" t="s">
        <v>179</v>
      </c>
      <c r="P1266" s="79">
        <v>45103.51358796296</v>
      </c>
      <c r="Q1266" s="77" t="s">
        <v>3187</v>
      </c>
      <c r="R1266" s="77">
        <v>0</v>
      </c>
      <c r="S1266" s="77">
        <v>0</v>
      </c>
      <c r="T1266" s="77">
        <v>0</v>
      </c>
      <c r="U1266" s="77">
        <v>0</v>
      </c>
      <c r="V1266" s="77">
        <v>4</v>
      </c>
      <c r="W1266" s="80" t="s">
        <v>6470</v>
      </c>
      <c r="X1266" s="83" t="str">
        <f>HYPERLINK("https://eldia.com.do/el-banco-central-tendra-que-acelerar-el-paso")</f>
        <v>https://eldia.com.do/el-banco-central-tendra-que-acelerar-el-paso</v>
      </c>
      <c r="Y1266" s="77" t="s">
        <v>8625</v>
      </c>
      <c r="Z1266" s="77"/>
      <c r="AA1266" s="77"/>
      <c r="AB1266" s="77"/>
      <c r="AC1266" s="80" t="s">
        <v>10541</v>
      </c>
      <c r="AD1266" s="77" t="s">
        <v>10620</v>
      </c>
      <c r="AE1266" s="83" t="str">
        <f>HYPERLINK("https://twitter.com/acarreras01/status/1673304996723539968")</f>
        <v>https://twitter.com/acarreras01/status/1673304996723539968</v>
      </c>
      <c r="AF1266" s="79">
        <v>45103.51358796296</v>
      </c>
      <c r="AG1266" s="85">
        <v>45103</v>
      </c>
      <c r="AH1266" s="80" t="s">
        <v>11738</v>
      </c>
      <c r="AI1266" s="77" t="b">
        <v>0</v>
      </c>
      <c r="AJ1266" s="77"/>
      <c r="AK1266" s="77"/>
      <c r="AL1266" s="77"/>
      <c r="AM1266" s="77"/>
      <c r="AN1266" s="77"/>
      <c r="AO1266" s="77"/>
      <c r="AP1266" s="77"/>
      <c r="AQ1266" s="77"/>
      <c r="AR1266" s="77"/>
      <c r="AS1266" s="77"/>
      <c r="AT1266" s="77"/>
      <c r="AU1266" s="77"/>
      <c r="AV1266" s="83" t="str">
        <f>HYPERLINK("https://pbs.twimg.com/profile_images/1051054370161389568/1FDGLbT__normal.jpg")</f>
        <v>https://pbs.twimg.com/profile_images/1051054370161389568/1FDGLbT__normal.jpg</v>
      </c>
      <c r="AW1266" s="80" t="s">
        <v>17153</v>
      </c>
      <c r="AX1266" s="80" t="s">
        <v>17153</v>
      </c>
      <c r="AY1266" s="77"/>
      <c r="AZ1266" s="80" t="s">
        <v>20380</v>
      </c>
      <c r="BA1266" s="80" t="s">
        <v>20380</v>
      </c>
      <c r="BB1266" s="80" t="s">
        <v>20380</v>
      </c>
      <c r="BC1266" s="80" t="s">
        <v>17153</v>
      </c>
      <c r="BD1266" s="80" t="s">
        <v>20722</v>
      </c>
      <c r="BE1266" s="77"/>
      <c r="BF1266" s="77"/>
      <c r="BG1266" s="77"/>
      <c r="BH1266" s="77"/>
      <c r="BI1266" s="77"/>
    </row>
    <row r="1267" spans="1:61" x14ac:dyDescent="0.25">
      <c r="A1267" s="62" t="s">
        <v>706</v>
      </c>
      <c r="B1267" s="62" t="s">
        <v>706</v>
      </c>
      <c r="C1267" s="63"/>
      <c r="D1267" s="64"/>
      <c r="E1267" s="65"/>
      <c r="F1267" s="66"/>
      <c r="G1267" s="63"/>
      <c r="H1267" s="67"/>
      <c r="I1267" s="68"/>
      <c r="J1267" s="68"/>
      <c r="K1267" s="32"/>
      <c r="L1267" s="75">
        <v>1267</v>
      </c>
      <c r="M1267" s="75"/>
      <c r="N1267" s="70"/>
      <c r="O1267" s="77" t="s">
        <v>2081</v>
      </c>
      <c r="P1267" s="79">
        <v>45156.461145833331</v>
      </c>
      <c r="Q1267" s="77" t="s">
        <v>3188</v>
      </c>
      <c r="R1267" s="77">
        <v>2</v>
      </c>
      <c r="S1267" s="77">
        <v>3</v>
      </c>
      <c r="T1267" s="77">
        <v>0</v>
      </c>
      <c r="U1267" s="77">
        <v>0</v>
      </c>
      <c r="V1267" s="77">
        <v>44</v>
      </c>
      <c r="W1267" s="80" t="s">
        <v>6784</v>
      </c>
      <c r="X1267" s="77"/>
      <c r="Y1267" s="77"/>
      <c r="Z1267" s="77" t="s">
        <v>706</v>
      </c>
      <c r="AA1267" s="77" t="s">
        <v>9461</v>
      </c>
      <c r="AB1267" s="77" t="s">
        <v>10535</v>
      </c>
      <c r="AC1267" s="80" t="s">
        <v>10540</v>
      </c>
      <c r="AD1267" s="77" t="s">
        <v>10620</v>
      </c>
      <c r="AE1267" s="83" t="str">
        <f>HYPERLINK("https://twitter.com/empresaalgrec/status/1692492549192139060")</f>
        <v>https://twitter.com/empresaalgrec/status/1692492549192139060</v>
      </c>
      <c r="AF1267" s="79">
        <v>45156.461145833331</v>
      </c>
      <c r="AG1267" s="85">
        <v>45156</v>
      </c>
      <c r="AH1267" s="80" t="s">
        <v>11739</v>
      </c>
      <c r="AI1267" s="77" t="b">
        <v>0</v>
      </c>
      <c r="AJ1267" s="77"/>
      <c r="AK1267" s="77"/>
      <c r="AL1267" s="77"/>
      <c r="AM1267" s="77"/>
      <c r="AN1267" s="77"/>
      <c r="AO1267" s="77"/>
      <c r="AP1267" s="77"/>
      <c r="AQ1267" s="77" t="s">
        <v>14943</v>
      </c>
      <c r="AR1267" s="77"/>
      <c r="AS1267" s="77"/>
      <c r="AT1267" s="77"/>
      <c r="AU1267" s="77"/>
      <c r="AV1267" s="83" t="str">
        <f>HYPERLINK("https://pbs.twimg.com/media/F3zw_10XIAAasji.jpg")</f>
        <v>https://pbs.twimg.com/media/F3zw_10XIAAasji.jpg</v>
      </c>
      <c r="AW1267" s="80" t="s">
        <v>17154</v>
      </c>
      <c r="AX1267" s="80" t="s">
        <v>17154</v>
      </c>
      <c r="AY1267" s="77"/>
      <c r="AZ1267" s="80" t="s">
        <v>20380</v>
      </c>
      <c r="BA1267" s="80" t="s">
        <v>20380</v>
      </c>
      <c r="BB1267" s="80" t="s">
        <v>20380</v>
      </c>
      <c r="BC1267" s="80" t="s">
        <v>17154</v>
      </c>
      <c r="BD1267" s="80" t="s">
        <v>20723</v>
      </c>
      <c r="BE1267" s="77"/>
      <c r="BF1267" s="77"/>
      <c r="BG1267" s="77"/>
      <c r="BH1267" s="77"/>
      <c r="BI1267" s="77"/>
    </row>
    <row r="1268" spans="1:61" x14ac:dyDescent="0.25">
      <c r="A1268" s="62" t="s">
        <v>707</v>
      </c>
      <c r="B1268" s="62" t="s">
        <v>707</v>
      </c>
      <c r="C1268" s="63"/>
      <c r="D1268" s="64"/>
      <c r="E1268" s="65"/>
      <c r="F1268" s="66"/>
      <c r="G1268" s="63"/>
      <c r="H1268" s="67"/>
      <c r="I1268" s="68"/>
      <c r="J1268" s="68"/>
      <c r="K1268" s="32"/>
      <c r="L1268" s="75">
        <v>1268</v>
      </c>
      <c r="M1268" s="75"/>
      <c r="N1268" s="70"/>
      <c r="O1268" s="77" t="s">
        <v>179</v>
      </c>
      <c r="P1268" s="79">
        <v>45112.910844907405</v>
      </c>
      <c r="Q1268" s="77" t="s">
        <v>3189</v>
      </c>
      <c r="R1268" s="77">
        <v>0</v>
      </c>
      <c r="S1268" s="77">
        <v>0</v>
      </c>
      <c r="T1268" s="77">
        <v>0</v>
      </c>
      <c r="U1268" s="77">
        <v>0</v>
      </c>
      <c r="V1268" s="77">
        <v>57</v>
      </c>
      <c r="W1268" s="80" t="s">
        <v>6785</v>
      </c>
      <c r="X1268" s="77"/>
      <c r="Y1268" s="77"/>
      <c r="Z1268" s="77"/>
      <c r="AA1268" s="77" t="s">
        <v>9462</v>
      </c>
      <c r="AB1268" s="77" t="s">
        <v>10534</v>
      </c>
      <c r="AC1268" s="80" t="s">
        <v>10540</v>
      </c>
      <c r="AD1268" s="77" t="s">
        <v>10617</v>
      </c>
      <c r="AE1268" s="83" t="str">
        <f>HYPERLINK("https://twitter.com/felipefleandro/status/1676710447712534528")</f>
        <v>https://twitter.com/felipefleandro/status/1676710447712534528</v>
      </c>
      <c r="AF1268" s="79">
        <v>45112.910844907405</v>
      </c>
      <c r="AG1268" s="85">
        <v>45112</v>
      </c>
      <c r="AH1268" s="80" t="s">
        <v>11740</v>
      </c>
      <c r="AI1268" s="77" t="b">
        <v>0</v>
      </c>
      <c r="AJ1268" s="77" t="s">
        <v>14354</v>
      </c>
      <c r="AK1268" s="77" t="s">
        <v>14382</v>
      </c>
      <c r="AL1268" s="77" t="s">
        <v>14391</v>
      </c>
      <c r="AM1268" s="77" t="s">
        <v>14411</v>
      </c>
      <c r="AN1268" s="77" t="s">
        <v>14451</v>
      </c>
      <c r="AO1268" s="77" t="s">
        <v>14490</v>
      </c>
      <c r="AP1268" s="77" t="s">
        <v>14516</v>
      </c>
      <c r="AQ1268" s="77" t="s">
        <v>14944</v>
      </c>
      <c r="AR1268" s="77">
        <v>62346</v>
      </c>
      <c r="AS1268" s="77"/>
      <c r="AT1268" s="77"/>
      <c r="AU1268" s="77"/>
      <c r="AV1268" s="83" t="str">
        <f>HYPERLINK("https://pbs.twimg.com/ext_tw_video_thumb/1676710381987987456/pu/img/dAAGiYZ4EQ6sahyd.jpg")</f>
        <v>https://pbs.twimg.com/ext_tw_video_thumb/1676710381987987456/pu/img/dAAGiYZ4EQ6sahyd.jpg</v>
      </c>
      <c r="AW1268" s="80" t="s">
        <v>17155</v>
      </c>
      <c r="AX1268" s="80" t="s">
        <v>17155</v>
      </c>
      <c r="AY1268" s="77"/>
      <c r="AZ1268" s="80" t="s">
        <v>20380</v>
      </c>
      <c r="BA1268" s="80" t="s">
        <v>20380</v>
      </c>
      <c r="BB1268" s="80" t="s">
        <v>20380</v>
      </c>
      <c r="BC1268" s="80" t="s">
        <v>17155</v>
      </c>
      <c r="BD1268" s="80" t="s">
        <v>20724</v>
      </c>
      <c r="BE1268" s="77"/>
      <c r="BF1268" s="77"/>
      <c r="BG1268" s="77"/>
      <c r="BH1268" s="77"/>
      <c r="BI1268" s="77"/>
    </row>
    <row r="1269" spans="1:61" x14ac:dyDescent="0.25">
      <c r="A1269" s="62" t="s">
        <v>708</v>
      </c>
      <c r="B1269" s="62" t="s">
        <v>708</v>
      </c>
      <c r="C1269" s="63"/>
      <c r="D1269" s="64"/>
      <c r="E1269" s="65"/>
      <c r="F1269" s="66"/>
      <c r="G1269" s="63"/>
      <c r="H1269" s="67"/>
      <c r="I1269" s="68"/>
      <c r="J1269" s="68"/>
      <c r="K1269" s="32"/>
      <c r="L1269" s="75">
        <v>1269</v>
      </c>
      <c r="M1269" s="75"/>
      <c r="N1269" s="70"/>
      <c r="O1269" s="77" t="s">
        <v>179</v>
      </c>
      <c r="P1269" s="79">
        <v>45152.579143518517</v>
      </c>
      <c r="Q1269" s="77" t="s">
        <v>3190</v>
      </c>
      <c r="R1269" s="77">
        <v>0</v>
      </c>
      <c r="S1269" s="77">
        <v>0</v>
      </c>
      <c r="T1269" s="77">
        <v>0</v>
      </c>
      <c r="U1269" s="77">
        <v>0</v>
      </c>
      <c r="V1269" s="77">
        <v>112</v>
      </c>
      <c r="W1269" s="80" t="s">
        <v>6786</v>
      </c>
      <c r="X1269" s="83" t="str">
        <f>HYPERLINK("https://elconfidencialonline.com/tras-ganar-milei-el-banco-central-fijo-el-tipo-de-cambio-oficial-a-350-hasta-octubre/")</f>
        <v>https://elconfidencialonline.com/tras-ganar-milei-el-banco-central-fijo-el-tipo-de-cambio-oficial-a-350-hasta-octubre/</v>
      </c>
      <c r="Y1269" s="77" t="s">
        <v>8733</v>
      </c>
      <c r="Z1269" s="77"/>
      <c r="AA1269" s="77"/>
      <c r="AB1269" s="77"/>
      <c r="AC1269" s="80" t="s">
        <v>10541</v>
      </c>
      <c r="AD1269" s="77" t="s">
        <v>10620</v>
      </c>
      <c r="AE1269" s="83" t="str">
        <f>HYPERLINK("https://twitter.com/confidencial_ol/status/1691085758067621889")</f>
        <v>https://twitter.com/confidencial_ol/status/1691085758067621889</v>
      </c>
      <c r="AF1269" s="79">
        <v>45152.579143518517</v>
      </c>
      <c r="AG1269" s="85">
        <v>45152</v>
      </c>
      <c r="AH1269" s="80" t="s">
        <v>11741</v>
      </c>
      <c r="AI1269" s="77" t="b">
        <v>0</v>
      </c>
      <c r="AJ1269" s="77"/>
      <c r="AK1269" s="77"/>
      <c r="AL1269" s="77"/>
      <c r="AM1269" s="77"/>
      <c r="AN1269" s="77"/>
      <c r="AO1269" s="77"/>
      <c r="AP1269" s="77"/>
      <c r="AQ1269" s="77"/>
      <c r="AR1269" s="77"/>
      <c r="AS1269" s="77"/>
      <c r="AT1269" s="77"/>
      <c r="AU1269" s="77"/>
      <c r="AV1269" s="83" t="str">
        <f>HYPERLINK("https://pbs.twimg.com/profile_images/1657196307327401987/8xBdGtwM_normal.jpg")</f>
        <v>https://pbs.twimg.com/profile_images/1657196307327401987/8xBdGtwM_normal.jpg</v>
      </c>
      <c r="AW1269" s="80" t="s">
        <v>17156</v>
      </c>
      <c r="AX1269" s="80" t="s">
        <v>17156</v>
      </c>
      <c r="AY1269" s="77"/>
      <c r="AZ1269" s="80" t="s">
        <v>20380</v>
      </c>
      <c r="BA1269" s="80" t="s">
        <v>20380</v>
      </c>
      <c r="BB1269" s="80" t="s">
        <v>20380</v>
      </c>
      <c r="BC1269" s="80" t="s">
        <v>17156</v>
      </c>
      <c r="BD1269" s="80" t="s">
        <v>20725</v>
      </c>
      <c r="BE1269" s="77"/>
      <c r="BF1269" s="77"/>
      <c r="BG1269" s="77"/>
      <c r="BH1269" s="77"/>
      <c r="BI1269" s="77"/>
    </row>
    <row r="1270" spans="1:61" x14ac:dyDescent="0.25">
      <c r="A1270" s="62" t="s">
        <v>709</v>
      </c>
      <c r="B1270" s="62" t="s">
        <v>709</v>
      </c>
      <c r="C1270" s="63"/>
      <c r="D1270" s="64"/>
      <c r="E1270" s="65"/>
      <c r="F1270" s="66"/>
      <c r="G1270" s="63"/>
      <c r="H1270" s="67"/>
      <c r="I1270" s="68"/>
      <c r="J1270" s="68"/>
      <c r="K1270" s="32"/>
      <c r="L1270" s="75">
        <v>1270</v>
      </c>
      <c r="M1270" s="75"/>
      <c r="N1270" s="70"/>
      <c r="O1270" s="77" t="s">
        <v>179</v>
      </c>
      <c r="P1270" s="79">
        <v>45077.764270833337</v>
      </c>
      <c r="Q1270" s="77" t="s">
        <v>3191</v>
      </c>
      <c r="R1270" s="77">
        <v>0</v>
      </c>
      <c r="S1270" s="77">
        <v>0</v>
      </c>
      <c r="T1270" s="77">
        <v>0</v>
      </c>
      <c r="U1270" s="77">
        <v>0</v>
      </c>
      <c r="V1270" s="77">
        <v>7</v>
      </c>
      <c r="W1270" s="80" t="s">
        <v>6787</v>
      </c>
      <c r="X1270" s="83" t="str">
        <f>HYPERLINK("https://www.abcagora.com.br/setor-publico-tem-superavit-primario-de-r-203-bi-em-abril/")</f>
        <v>https://www.abcagora.com.br/setor-publico-tem-superavit-primario-de-r-203-bi-em-abril/</v>
      </c>
      <c r="Y1270" s="77" t="s">
        <v>8611</v>
      </c>
      <c r="Z1270" s="77"/>
      <c r="AA1270" s="77"/>
      <c r="AB1270" s="77"/>
      <c r="AC1270" s="80" t="s">
        <v>10541</v>
      </c>
      <c r="AD1270" s="77" t="s">
        <v>10617</v>
      </c>
      <c r="AE1270" s="83" t="str">
        <f>HYPERLINK("https://twitter.com/abcagora_/status/1663973757319348225")</f>
        <v>https://twitter.com/abcagora_/status/1663973757319348225</v>
      </c>
      <c r="AF1270" s="79">
        <v>45077.764270833337</v>
      </c>
      <c r="AG1270" s="85">
        <v>45077</v>
      </c>
      <c r="AH1270" s="80" t="s">
        <v>11742</v>
      </c>
      <c r="AI1270" s="77" t="b">
        <v>0</v>
      </c>
      <c r="AJ1270" s="77"/>
      <c r="AK1270" s="77"/>
      <c r="AL1270" s="77"/>
      <c r="AM1270" s="77"/>
      <c r="AN1270" s="77"/>
      <c r="AO1270" s="77"/>
      <c r="AP1270" s="77"/>
      <c r="AQ1270" s="77"/>
      <c r="AR1270" s="77"/>
      <c r="AS1270" s="77"/>
      <c r="AT1270" s="77"/>
      <c r="AU1270" s="77"/>
      <c r="AV1270" s="83" t="str">
        <f>HYPERLINK("https://pbs.twimg.com/profile_images/1448786957706964994/gxdjDQ8A_normal.jpg")</f>
        <v>https://pbs.twimg.com/profile_images/1448786957706964994/gxdjDQ8A_normal.jpg</v>
      </c>
      <c r="AW1270" s="80" t="s">
        <v>17157</v>
      </c>
      <c r="AX1270" s="80" t="s">
        <v>17157</v>
      </c>
      <c r="AY1270" s="77"/>
      <c r="AZ1270" s="80" t="s">
        <v>20380</v>
      </c>
      <c r="BA1270" s="80" t="s">
        <v>20380</v>
      </c>
      <c r="BB1270" s="80" t="s">
        <v>20380</v>
      </c>
      <c r="BC1270" s="80" t="s">
        <v>17157</v>
      </c>
      <c r="BD1270" s="80" t="s">
        <v>20726</v>
      </c>
      <c r="BE1270" s="77"/>
      <c r="BF1270" s="77"/>
      <c r="BG1270" s="77"/>
      <c r="BH1270" s="77"/>
      <c r="BI1270" s="77"/>
    </row>
    <row r="1271" spans="1:61" x14ac:dyDescent="0.25">
      <c r="A1271" s="62" t="s">
        <v>710</v>
      </c>
      <c r="B1271" s="62" t="s">
        <v>1827</v>
      </c>
      <c r="C1271" s="63"/>
      <c r="D1271" s="64"/>
      <c r="E1271" s="65"/>
      <c r="F1271" s="66"/>
      <c r="G1271" s="63"/>
      <c r="H1271" s="67"/>
      <c r="I1271" s="68"/>
      <c r="J1271" s="68"/>
      <c r="K1271" s="32"/>
      <c r="L1271" s="75">
        <v>1271</v>
      </c>
      <c r="M1271" s="75"/>
      <c r="N1271" s="70"/>
      <c r="O1271" s="77" t="s">
        <v>2081</v>
      </c>
      <c r="P1271" s="79">
        <v>45083.601157407407</v>
      </c>
      <c r="Q1271" s="77" t="s">
        <v>3192</v>
      </c>
      <c r="R1271" s="77">
        <v>0</v>
      </c>
      <c r="S1271" s="77">
        <v>0</v>
      </c>
      <c r="T1271" s="77">
        <v>1</v>
      </c>
      <c r="U1271" s="77">
        <v>0</v>
      </c>
      <c r="V1271" s="77">
        <v>2</v>
      </c>
      <c r="W1271" s="80" t="s">
        <v>6788</v>
      </c>
      <c r="X1271" s="83" t="str">
        <f>HYPERLINK("https://youtube.com/shorts/mVbcKK2zYyU?feature=share")</f>
        <v>https://youtube.com/shorts/mVbcKK2zYyU?feature=share</v>
      </c>
      <c r="Y1271" s="77" t="s">
        <v>8612</v>
      </c>
      <c r="Z1271" s="77" t="s">
        <v>1827</v>
      </c>
      <c r="AA1271" s="77"/>
      <c r="AB1271" s="77"/>
      <c r="AC1271" s="80" t="s">
        <v>10542</v>
      </c>
      <c r="AD1271" s="77" t="s">
        <v>10617</v>
      </c>
      <c r="AE1271" s="83" t="str">
        <f>HYPERLINK("https://twitter.com/pastorjcnas/status/1666088975214469121")</f>
        <v>https://twitter.com/pastorjcnas/status/1666088975214469121</v>
      </c>
      <c r="AF1271" s="79">
        <v>45083.601157407407</v>
      </c>
      <c r="AG1271" s="85">
        <v>45083</v>
      </c>
      <c r="AH1271" s="80" t="s">
        <v>11743</v>
      </c>
      <c r="AI1271" s="77" t="b">
        <v>0</v>
      </c>
      <c r="AJ1271" s="77"/>
      <c r="AK1271" s="77"/>
      <c r="AL1271" s="77"/>
      <c r="AM1271" s="77"/>
      <c r="AN1271" s="77"/>
      <c r="AO1271" s="77"/>
      <c r="AP1271" s="77"/>
      <c r="AQ1271" s="77"/>
      <c r="AR1271" s="77"/>
      <c r="AS1271" s="77"/>
      <c r="AT1271" s="77"/>
      <c r="AU1271" s="77"/>
      <c r="AV1271" s="83" t="str">
        <f>HYPERLINK("https://pbs.twimg.com/profile_images/1519107674918559755/X-qbWtgn_normal.jpg")</f>
        <v>https://pbs.twimg.com/profile_images/1519107674918559755/X-qbWtgn_normal.jpg</v>
      </c>
      <c r="AW1271" s="80" t="s">
        <v>17158</v>
      </c>
      <c r="AX1271" s="80" t="s">
        <v>17158</v>
      </c>
      <c r="AY1271" s="77"/>
      <c r="AZ1271" s="80" t="s">
        <v>20380</v>
      </c>
      <c r="BA1271" s="80" t="s">
        <v>20380</v>
      </c>
      <c r="BB1271" s="80" t="s">
        <v>20380</v>
      </c>
      <c r="BC1271" s="80" t="s">
        <v>17158</v>
      </c>
      <c r="BD1271" s="80" t="s">
        <v>20727</v>
      </c>
      <c r="BE1271" s="77"/>
      <c r="BF1271" s="77"/>
      <c r="BG1271" s="77"/>
      <c r="BH1271" s="77"/>
      <c r="BI1271" s="77"/>
    </row>
    <row r="1272" spans="1:61" x14ac:dyDescent="0.25">
      <c r="A1272" s="62" t="s">
        <v>711</v>
      </c>
      <c r="B1272" s="62" t="s">
        <v>1655</v>
      </c>
      <c r="C1272" s="63"/>
      <c r="D1272" s="64"/>
      <c r="E1272" s="65"/>
      <c r="F1272" s="66"/>
      <c r="G1272" s="63"/>
      <c r="H1272" s="67"/>
      <c r="I1272" s="68"/>
      <c r="J1272" s="68"/>
      <c r="K1272" s="32"/>
      <c r="L1272" s="75">
        <v>1272</v>
      </c>
      <c r="M1272" s="75"/>
      <c r="N1272" s="70"/>
      <c r="O1272" s="77" t="s">
        <v>2083</v>
      </c>
      <c r="P1272" s="79">
        <v>45191.004745370374</v>
      </c>
      <c r="Q1272" s="77" t="s">
        <v>2120</v>
      </c>
      <c r="R1272" s="77">
        <v>25</v>
      </c>
      <c r="S1272" s="77">
        <v>0</v>
      </c>
      <c r="T1272" s="77">
        <v>0</v>
      </c>
      <c r="U1272" s="77">
        <v>0</v>
      </c>
      <c r="V1272" s="77"/>
      <c r="W1272" s="80" t="s">
        <v>5917</v>
      </c>
      <c r="X1272" s="77"/>
      <c r="Y1272" s="77"/>
      <c r="Z1272" s="77" t="s">
        <v>1655</v>
      </c>
      <c r="AA1272" s="77"/>
      <c r="AB1272" s="77"/>
      <c r="AC1272" s="80" t="s">
        <v>10540</v>
      </c>
      <c r="AD1272" s="77" t="s">
        <v>10617</v>
      </c>
      <c r="AE1272" s="83" t="str">
        <f>HYPERLINK("https://twitter.com/ibarraibar1/status/1705010732914405616")</f>
        <v>https://twitter.com/ibarraibar1/status/1705010732914405616</v>
      </c>
      <c r="AF1272" s="79">
        <v>45191.004745370374</v>
      </c>
      <c r="AG1272" s="85">
        <v>45191</v>
      </c>
      <c r="AH1272" s="80" t="s">
        <v>11744</v>
      </c>
      <c r="AI1272" s="77"/>
      <c r="AJ1272" s="77"/>
      <c r="AK1272" s="77"/>
      <c r="AL1272" s="77"/>
      <c r="AM1272" s="77"/>
      <c r="AN1272" s="77"/>
      <c r="AO1272" s="77"/>
      <c r="AP1272" s="77"/>
      <c r="AQ1272" s="77"/>
      <c r="AR1272" s="77"/>
      <c r="AS1272" s="77"/>
      <c r="AT1272" s="77"/>
      <c r="AU1272" s="77"/>
      <c r="AV1272" s="83" t="str">
        <f>HYPERLINK("https://pbs.twimg.com/profile_images/1611558816658735105/oi963nKH_normal.jpg")</f>
        <v>https://pbs.twimg.com/profile_images/1611558816658735105/oi963nKH_normal.jpg</v>
      </c>
      <c r="AW1272" s="80" t="s">
        <v>17159</v>
      </c>
      <c r="AX1272" s="80" t="s">
        <v>17159</v>
      </c>
      <c r="AY1272" s="77"/>
      <c r="AZ1272" s="80" t="s">
        <v>20380</v>
      </c>
      <c r="BA1272" s="80" t="s">
        <v>20380</v>
      </c>
      <c r="BB1272" s="80" t="s">
        <v>19844</v>
      </c>
      <c r="BC1272" s="80" t="s">
        <v>19844</v>
      </c>
      <c r="BD1272" s="80" t="s">
        <v>20728</v>
      </c>
      <c r="BE1272" s="77"/>
      <c r="BF1272" s="77"/>
      <c r="BG1272" s="77"/>
      <c r="BH1272" s="77"/>
      <c r="BI1272" s="77"/>
    </row>
    <row r="1273" spans="1:61" x14ac:dyDescent="0.25">
      <c r="A1273" s="62" t="s">
        <v>712</v>
      </c>
      <c r="B1273" s="62" t="s">
        <v>712</v>
      </c>
      <c r="C1273" s="63"/>
      <c r="D1273" s="64"/>
      <c r="E1273" s="65"/>
      <c r="F1273" s="66"/>
      <c r="G1273" s="63"/>
      <c r="H1273" s="67"/>
      <c r="I1273" s="68"/>
      <c r="J1273" s="68"/>
      <c r="K1273" s="32"/>
      <c r="L1273" s="75">
        <v>1273</v>
      </c>
      <c r="M1273" s="75"/>
      <c r="N1273" s="70"/>
      <c r="O1273" s="77" t="s">
        <v>179</v>
      </c>
      <c r="P1273" s="79">
        <v>45184.461793981478</v>
      </c>
      <c r="Q1273" s="77" t="s">
        <v>3193</v>
      </c>
      <c r="R1273" s="77">
        <v>0</v>
      </c>
      <c r="S1273" s="77">
        <v>1</v>
      </c>
      <c r="T1273" s="77">
        <v>1</v>
      </c>
      <c r="U1273" s="77">
        <v>0</v>
      </c>
      <c r="V1273" s="77">
        <v>948</v>
      </c>
      <c r="W1273" s="80" t="s">
        <v>6789</v>
      </c>
      <c r="X1273" s="77"/>
      <c r="Y1273" s="77"/>
      <c r="Z1273" s="77"/>
      <c r="AA1273" s="77"/>
      <c r="AB1273" s="77"/>
      <c r="AC1273" s="80" t="s">
        <v>10541</v>
      </c>
      <c r="AD1273" s="77" t="s">
        <v>10620</v>
      </c>
      <c r="AE1273" s="83" t="str">
        <f>HYPERLINK("https://twitter.com/exnesslatam/status/1702639643613610373")</f>
        <v>https://twitter.com/exnesslatam/status/1702639643613610373</v>
      </c>
      <c r="AF1273" s="79">
        <v>45184.461793981478</v>
      </c>
      <c r="AG1273" s="85">
        <v>45184</v>
      </c>
      <c r="AH1273" s="80" t="s">
        <v>11745</v>
      </c>
      <c r="AI1273" s="77"/>
      <c r="AJ1273" s="77"/>
      <c r="AK1273" s="77"/>
      <c r="AL1273" s="77"/>
      <c r="AM1273" s="77"/>
      <c r="AN1273" s="77"/>
      <c r="AO1273" s="77"/>
      <c r="AP1273" s="77"/>
      <c r="AQ1273" s="77"/>
      <c r="AR1273" s="77"/>
      <c r="AS1273" s="77"/>
      <c r="AT1273" s="77"/>
      <c r="AU1273" s="77"/>
      <c r="AV1273" s="83" t="str">
        <f>HYPERLINK("https://pbs.twimg.com/profile_images/1420305531374391296/2UITBCK2_normal.jpg")</f>
        <v>https://pbs.twimg.com/profile_images/1420305531374391296/2UITBCK2_normal.jpg</v>
      </c>
      <c r="AW1273" s="80" t="s">
        <v>17160</v>
      </c>
      <c r="AX1273" s="80" t="s">
        <v>17160</v>
      </c>
      <c r="AY1273" s="77"/>
      <c r="AZ1273" s="80" t="s">
        <v>20380</v>
      </c>
      <c r="BA1273" s="80" t="s">
        <v>20380</v>
      </c>
      <c r="BB1273" s="80" t="s">
        <v>20380</v>
      </c>
      <c r="BC1273" s="80" t="s">
        <v>17160</v>
      </c>
      <c r="BD1273" s="80" t="s">
        <v>20268</v>
      </c>
      <c r="BE1273" s="77"/>
      <c r="BF1273" s="77"/>
      <c r="BG1273" s="77"/>
      <c r="BH1273" s="77"/>
      <c r="BI1273" s="77"/>
    </row>
    <row r="1274" spans="1:61" x14ac:dyDescent="0.25">
      <c r="A1274" s="62" t="s">
        <v>712</v>
      </c>
      <c r="B1274" s="62" t="s">
        <v>712</v>
      </c>
      <c r="C1274" s="63"/>
      <c r="D1274" s="64"/>
      <c r="E1274" s="65"/>
      <c r="F1274" s="66"/>
      <c r="G1274" s="63"/>
      <c r="H1274" s="67"/>
      <c r="I1274" s="68"/>
      <c r="J1274" s="68"/>
      <c r="K1274" s="32"/>
      <c r="L1274" s="75">
        <v>1274</v>
      </c>
      <c r="M1274" s="75"/>
      <c r="N1274" s="70"/>
      <c r="O1274" s="77" t="s">
        <v>2078</v>
      </c>
      <c r="P1274" s="79">
        <v>45189.482511574075</v>
      </c>
      <c r="Q1274" s="77" t="s">
        <v>3194</v>
      </c>
      <c r="R1274" s="77">
        <v>0</v>
      </c>
      <c r="S1274" s="77">
        <v>0</v>
      </c>
      <c r="T1274" s="77">
        <v>1</v>
      </c>
      <c r="U1274" s="77">
        <v>0</v>
      </c>
      <c r="V1274" s="77">
        <v>28</v>
      </c>
      <c r="W1274" s="80" t="s">
        <v>6789</v>
      </c>
      <c r="X1274" s="77"/>
      <c r="Y1274" s="77"/>
      <c r="Z1274" s="77"/>
      <c r="AA1274" s="77"/>
      <c r="AB1274" s="77"/>
      <c r="AC1274" s="80" t="s">
        <v>10541</v>
      </c>
      <c r="AD1274" s="77" t="s">
        <v>10620</v>
      </c>
      <c r="AE1274" s="83" t="str">
        <f>HYPERLINK("https://twitter.com/exnesslatam/status/1704459092985590254")</f>
        <v>https://twitter.com/exnesslatam/status/1704459092985590254</v>
      </c>
      <c r="AF1274" s="79">
        <v>45189.482511574075</v>
      </c>
      <c r="AG1274" s="85">
        <v>45189</v>
      </c>
      <c r="AH1274" s="80" t="s">
        <v>11746</v>
      </c>
      <c r="AI1274" s="77"/>
      <c r="AJ1274" s="77"/>
      <c r="AK1274" s="77"/>
      <c r="AL1274" s="77"/>
      <c r="AM1274" s="77"/>
      <c r="AN1274" s="77"/>
      <c r="AO1274" s="77"/>
      <c r="AP1274" s="77"/>
      <c r="AQ1274" s="77"/>
      <c r="AR1274" s="77"/>
      <c r="AS1274" s="77"/>
      <c r="AT1274" s="77"/>
      <c r="AU1274" s="77"/>
      <c r="AV1274" s="83" t="str">
        <f>HYPERLINK("https://pbs.twimg.com/profile_images/1420305531374391296/2UITBCK2_normal.jpg")</f>
        <v>https://pbs.twimg.com/profile_images/1420305531374391296/2UITBCK2_normal.jpg</v>
      </c>
      <c r="AW1274" s="80" t="s">
        <v>17161</v>
      </c>
      <c r="AX1274" s="80" t="s">
        <v>20016</v>
      </c>
      <c r="AY1274" s="80" t="s">
        <v>20268</v>
      </c>
      <c r="AZ1274" s="80" t="s">
        <v>20410</v>
      </c>
      <c r="BA1274" s="80" t="s">
        <v>20380</v>
      </c>
      <c r="BB1274" s="80" t="s">
        <v>20380</v>
      </c>
      <c r="BC1274" s="80" t="s">
        <v>20410</v>
      </c>
      <c r="BD1274" s="80" t="s">
        <v>20268</v>
      </c>
      <c r="BE1274" s="77"/>
      <c r="BF1274" s="77"/>
      <c r="BG1274" s="77"/>
      <c r="BH1274" s="77"/>
      <c r="BI1274" s="77"/>
    </row>
    <row r="1275" spans="1:61" x14ac:dyDescent="0.25">
      <c r="A1275" s="62" t="s">
        <v>712</v>
      </c>
      <c r="B1275" s="62" t="s">
        <v>712</v>
      </c>
      <c r="C1275" s="63"/>
      <c r="D1275" s="64"/>
      <c r="E1275" s="65"/>
      <c r="F1275" s="66"/>
      <c r="G1275" s="63"/>
      <c r="H1275" s="67"/>
      <c r="I1275" s="68"/>
      <c r="J1275" s="68"/>
      <c r="K1275" s="32"/>
      <c r="L1275" s="75">
        <v>1275</v>
      </c>
      <c r="M1275" s="75"/>
      <c r="N1275" s="70"/>
      <c r="O1275" s="77" t="s">
        <v>179</v>
      </c>
      <c r="P1275" s="79">
        <v>45174.542071759257</v>
      </c>
      <c r="Q1275" s="77" t="s">
        <v>3195</v>
      </c>
      <c r="R1275" s="77">
        <v>2</v>
      </c>
      <c r="S1275" s="77">
        <v>85</v>
      </c>
      <c r="T1275" s="77">
        <v>0</v>
      </c>
      <c r="U1275" s="77">
        <v>1</v>
      </c>
      <c r="V1275" s="77">
        <v>43122</v>
      </c>
      <c r="W1275" s="80" t="s">
        <v>6790</v>
      </c>
      <c r="X1275" s="77"/>
      <c r="Y1275" s="77"/>
      <c r="Z1275" s="77"/>
      <c r="AA1275" s="77" t="s">
        <v>9463</v>
      </c>
      <c r="AB1275" s="77" t="s">
        <v>10535</v>
      </c>
      <c r="AC1275" s="80" t="s">
        <v>10580</v>
      </c>
      <c r="AD1275" s="77" t="s">
        <v>10620</v>
      </c>
      <c r="AE1275" s="83" t="str">
        <f>HYPERLINK("https://twitter.com/exnesslatam/status/1699044858688688164")</f>
        <v>https://twitter.com/exnesslatam/status/1699044858688688164</v>
      </c>
      <c r="AF1275" s="79">
        <v>45174.542071759257</v>
      </c>
      <c r="AG1275" s="85">
        <v>45174</v>
      </c>
      <c r="AH1275" s="80" t="s">
        <v>11747</v>
      </c>
      <c r="AI1275" s="77" t="b">
        <v>0</v>
      </c>
      <c r="AJ1275" s="77"/>
      <c r="AK1275" s="77"/>
      <c r="AL1275" s="77"/>
      <c r="AM1275" s="77"/>
      <c r="AN1275" s="77"/>
      <c r="AO1275" s="77"/>
      <c r="AP1275" s="77"/>
      <c r="AQ1275" s="77" t="s">
        <v>14945</v>
      </c>
      <c r="AR1275" s="77"/>
      <c r="AS1275" s="77"/>
      <c r="AT1275" s="77"/>
      <c r="AU1275" s="77"/>
      <c r="AV1275" s="83" t="str">
        <f>HYPERLINK("https://pbs.twimg.com/media/F5Q4S3PXIAAznJy.jpg")</f>
        <v>https://pbs.twimg.com/media/F5Q4S3PXIAAznJy.jpg</v>
      </c>
      <c r="AW1275" s="80" t="s">
        <v>17162</v>
      </c>
      <c r="AX1275" s="80" t="s">
        <v>17162</v>
      </c>
      <c r="AY1275" s="77"/>
      <c r="AZ1275" s="80" t="s">
        <v>20380</v>
      </c>
      <c r="BA1275" s="80" t="s">
        <v>20380</v>
      </c>
      <c r="BB1275" s="80" t="s">
        <v>20380</v>
      </c>
      <c r="BC1275" s="80" t="s">
        <v>17162</v>
      </c>
      <c r="BD1275" s="80" t="s">
        <v>20268</v>
      </c>
      <c r="BE1275" s="77"/>
      <c r="BF1275" s="77"/>
      <c r="BG1275" s="77"/>
      <c r="BH1275" s="77"/>
      <c r="BI1275" s="77"/>
    </row>
    <row r="1276" spans="1:61" x14ac:dyDescent="0.25">
      <c r="A1276" s="62" t="s">
        <v>712</v>
      </c>
      <c r="B1276" s="62" t="s">
        <v>712</v>
      </c>
      <c r="C1276" s="63"/>
      <c r="D1276" s="64"/>
      <c r="E1276" s="65"/>
      <c r="F1276" s="66"/>
      <c r="G1276" s="63"/>
      <c r="H1276" s="67"/>
      <c r="I1276" s="68"/>
      <c r="J1276" s="68"/>
      <c r="K1276" s="32"/>
      <c r="L1276" s="75">
        <v>1276</v>
      </c>
      <c r="M1276" s="75"/>
      <c r="N1276" s="70"/>
      <c r="O1276" s="77" t="s">
        <v>2078</v>
      </c>
      <c r="P1276" s="79">
        <v>45191.571388888886</v>
      </c>
      <c r="Q1276" s="77" t="s">
        <v>3196</v>
      </c>
      <c r="R1276" s="77">
        <v>0</v>
      </c>
      <c r="S1276" s="77">
        <v>0</v>
      </c>
      <c r="T1276" s="77">
        <v>1</v>
      </c>
      <c r="U1276" s="77">
        <v>0</v>
      </c>
      <c r="V1276" s="77">
        <v>29</v>
      </c>
      <c r="W1276" s="80" t="s">
        <v>6791</v>
      </c>
      <c r="X1276" s="77"/>
      <c r="Y1276" s="77"/>
      <c r="Z1276" s="77"/>
      <c r="AA1276" s="77"/>
      <c r="AB1276" s="77"/>
      <c r="AC1276" s="80" t="s">
        <v>10541</v>
      </c>
      <c r="AD1276" s="77" t="s">
        <v>10620</v>
      </c>
      <c r="AE1276" s="83" t="str">
        <f>HYPERLINK("https://twitter.com/exnesslatam/status/1705216077204988091")</f>
        <v>https://twitter.com/exnesslatam/status/1705216077204988091</v>
      </c>
      <c r="AF1276" s="79">
        <v>45191.571388888886</v>
      </c>
      <c r="AG1276" s="85">
        <v>45191</v>
      </c>
      <c r="AH1276" s="80" t="s">
        <v>11748</v>
      </c>
      <c r="AI1276" s="77"/>
      <c r="AJ1276" s="77"/>
      <c r="AK1276" s="77"/>
      <c r="AL1276" s="77"/>
      <c r="AM1276" s="77"/>
      <c r="AN1276" s="77"/>
      <c r="AO1276" s="77"/>
      <c r="AP1276" s="77"/>
      <c r="AQ1276" s="77"/>
      <c r="AR1276" s="77"/>
      <c r="AS1276" s="77"/>
      <c r="AT1276" s="77"/>
      <c r="AU1276" s="77"/>
      <c r="AV1276" s="83" t="str">
        <f>HYPERLINK("https://pbs.twimg.com/profile_images/1420305531374391296/2UITBCK2_normal.jpg")</f>
        <v>https://pbs.twimg.com/profile_images/1420305531374391296/2UITBCK2_normal.jpg</v>
      </c>
      <c r="AW1276" s="80" t="s">
        <v>17163</v>
      </c>
      <c r="AX1276" s="80" t="s">
        <v>20017</v>
      </c>
      <c r="AY1276" s="80" t="s">
        <v>20268</v>
      </c>
      <c r="AZ1276" s="80" t="s">
        <v>20411</v>
      </c>
      <c r="BA1276" s="80" t="s">
        <v>20380</v>
      </c>
      <c r="BB1276" s="80" t="s">
        <v>20380</v>
      </c>
      <c r="BC1276" s="80" t="s">
        <v>20411</v>
      </c>
      <c r="BD1276" s="80" t="s">
        <v>20268</v>
      </c>
      <c r="BE1276" s="77"/>
      <c r="BF1276" s="77"/>
      <c r="BG1276" s="77"/>
      <c r="BH1276" s="77"/>
      <c r="BI1276" s="77"/>
    </row>
    <row r="1277" spans="1:61" x14ac:dyDescent="0.25">
      <c r="A1277" s="62" t="s">
        <v>713</v>
      </c>
      <c r="B1277" s="62" t="s">
        <v>713</v>
      </c>
      <c r="C1277" s="63"/>
      <c r="D1277" s="64"/>
      <c r="E1277" s="65"/>
      <c r="F1277" s="66"/>
      <c r="G1277" s="63"/>
      <c r="H1277" s="67"/>
      <c r="I1277" s="68"/>
      <c r="J1277" s="68"/>
      <c r="K1277" s="32"/>
      <c r="L1277" s="75">
        <v>1277</v>
      </c>
      <c r="M1277" s="75"/>
      <c r="N1277" s="70"/>
      <c r="O1277" s="77" t="s">
        <v>179</v>
      </c>
      <c r="P1277" s="79">
        <v>45075.944895833331</v>
      </c>
      <c r="Q1277" s="77" t="s">
        <v>3197</v>
      </c>
      <c r="R1277" s="77">
        <v>0</v>
      </c>
      <c r="S1277" s="77">
        <v>2</v>
      </c>
      <c r="T1277" s="77">
        <v>0</v>
      </c>
      <c r="U1277" s="77">
        <v>0</v>
      </c>
      <c r="V1277" s="77">
        <v>55</v>
      </c>
      <c r="W1277" s="80" t="s">
        <v>6792</v>
      </c>
      <c r="X1277" s="83" t="str">
        <f>HYPERLINK("https://www.youtube.com/watch?v=TpmGDnUFMeE")</f>
        <v>https://www.youtube.com/watch?v=TpmGDnUFMeE</v>
      </c>
      <c r="Y1277" s="77" t="s">
        <v>8612</v>
      </c>
      <c r="Z1277" s="77"/>
      <c r="AA1277" s="77"/>
      <c r="AB1277" s="77"/>
      <c r="AC1277" s="80" t="s">
        <v>10541</v>
      </c>
      <c r="AD1277" s="77" t="s">
        <v>10620</v>
      </c>
      <c r="AE1277" s="83" t="str">
        <f>HYPERLINK("https://twitter.com/fgmediacl/status/1663314437179097088")</f>
        <v>https://twitter.com/fgmediacl/status/1663314437179097088</v>
      </c>
      <c r="AF1277" s="79">
        <v>45075.944895833331</v>
      </c>
      <c r="AG1277" s="85">
        <v>45075</v>
      </c>
      <c r="AH1277" s="80" t="s">
        <v>11749</v>
      </c>
      <c r="AI1277" s="77" t="b">
        <v>0</v>
      </c>
      <c r="AJ1277" s="77"/>
      <c r="AK1277" s="77"/>
      <c r="AL1277" s="77"/>
      <c r="AM1277" s="77"/>
      <c r="AN1277" s="77"/>
      <c r="AO1277" s="77"/>
      <c r="AP1277" s="77"/>
      <c r="AQ1277" s="77"/>
      <c r="AR1277" s="77"/>
      <c r="AS1277" s="77"/>
      <c r="AT1277" s="77"/>
      <c r="AU1277" s="77"/>
      <c r="AV1277" s="83" t="str">
        <f>HYPERLINK("https://pbs.twimg.com/profile_images/1160017136217186304/a4xcHgYt_normal.jpg")</f>
        <v>https://pbs.twimg.com/profile_images/1160017136217186304/a4xcHgYt_normal.jpg</v>
      </c>
      <c r="AW1277" s="80" t="s">
        <v>17164</v>
      </c>
      <c r="AX1277" s="80" t="s">
        <v>17164</v>
      </c>
      <c r="AY1277" s="77"/>
      <c r="AZ1277" s="80" t="s">
        <v>20380</v>
      </c>
      <c r="BA1277" s="80" t="s">
        <v>20380</v>
      </c>
      <c r="BB1277" s="80" t="s">
        <v>20380</v>
      </c>
      <c r="BC1277" s="80" t="s">
        <v>17164</v>
      </c>
      <c r="BD1277" s="77">
        <v>2794742326</v>
      </c>
      <c r="BE1277" s="77"/>
      <c r="BF1277" s="77"/>
      <c r="BG1277" s="77"/>
      <c r="BH1277" s="77"/>
      <c r="BI1277" s="77"/>
    </row>
    <row r="1278" spans="1:61" x14ac:dyDescent="0.25">
      <c r="A1278" s="62" t="s">
        <v>714</v>
      </c>
      <c r="B1278" s="62" t="s">
        <v>714</v>
      </c>
      <c r="C1278" s="63"/>
      <c r="D1278" s="64"/>
      <c r="E1278" s="65"/>
      <c r="F1278" s="66"/>
      <c r="G1278" s="63"/>
      <c r="H1278" s="67"/>
      <c r="I1278" s="68"/>
      <c r="J1278" s="68"/>
      <c r="K1278" s="32"/>
      <c r="L1278" s="75">
        <v>1278</v>
      </c>
      <c r="M1278" s="75"/>
      <c r="N1278" s="70"/>
      <c r="O1278" s="77" t="s">
        <v>179</v>
      </c>
      <c r="P1278" s="79">
        <v>45048.918553240743</v>
      </c>
      <c r="Q1278" s="77" t="s">
        <v>3198</v>
      </c>
      <c r="R1278" s="77">
        <v>0</v>
      </c>
      <c r="S1278" s="77">
        <v>0</v>
      </c>
      <c r="T1278" s="77">
        <v>3</v>
      </c>
      <c r="U1278" s="77">
        <v>1</v>
      </c>
      <c r="V1278" s="77">
        <v>38</v>
      </c>
      <c r="W1278" s="80" t="s">
        <v>6793</v>
      </c>
      <c r="X1278" s="77"/>
      <c r="Y1278" s="77"/>
      <c r="Z1278" s="77"/>
      <c r="AA1278" s="77" t="s">
        <v>9464</v>
      </c>
      <c r="AB1278" s="77" t="s">
        <v>10535</v>
      </c>
      <c r="AC1278" s="80" t="s">
        <v>10540</v>
      </c>
      <c r="AD1278" s="77" t="s">
        <v>10617</v>
      </c>
      <c r="AE1278" s="83" t="str">
        <f>HYPERLINK("https://twitter.com/marcosmanguelli/status/1653520417670197250")</f>
        <v>https://twitter.com/marcosmanguelli/status/1653520417670197250</v>
      </c>
      <c r="AF1278" s="79">
        <v>45048.918553240743</v>
      </c>
      <c r="AG1278" s="85">
        <v>45048</v>
      </c>
      <c r="AH1278" s="80" t="s">
        <v>11750</v>
      </c>
      <c r="AI1278" s="77" t="b">
        <v>0</v>
      </c>
      <c r="AJ1278" s="77"/>
      <c r="AK1278" s="77"/>
      <c r="AL1278" s="77"/>
      <c r="AM1278" s="77"/>
      <c r="AN1278" s="77"/>
      <c r="AO1278" s="77"/>
      <c r="AP1278" s="77"/>
      <c r="AQ1278" s="77" t="s">
        <v>14946</v>
      </c>
      <c r="AR1278" s="77"/>
      <c r="AS1278" s="77"/>
      <c r="AT1278" s="77"/>
      <c r="AU1278" s="77"/>
      <c r="AV1278" s="83" t="str">
        <f>HYPERLINK("https://pbs.twimg.com/media/FvJ8DqPWwAEE1n1.jpg")</f>
        <v>https://pbs.twimg.com/media/FvJ8DqPWwAEE1n1.jpg</v>
      </c>
      <c r="AW1278" s="80" t="s">
        <v>17165</v>
      </c>
      <c r="AX1278" s="80" t="s">
        <v>17165</v>
      </c>
      <c r="AY1278" s="77"/>
      <c r="AZ1278" s="80" t="s">
        <v>20380</v>
      </c>
      <c r="BA1278" s="80" t="s">
        <v>20380</v>
      </c>
      <c r="BB1278" s="80" t="s">
        <v>20380</v>
      </c>
      <c r="BC1278" s="80" t="s">
        <v>17165</v>
      </c>
      <c r="BD1278" s="77">
        <v>466084954</v>
      </c>
      <c r="BE1278" s="77"/>
      <c r="BF1278" s="77"/>
      <c r="BG1278" s="77"/>
      <c r="BH1278" s="77"/>
      <c r="BI1278" s="77"/>
    </row>
    <row r="1279" spans="1:61" x14ac:dyDescent="0.25">
      <c r="A1279" s="62" t="s">
        <v>714</v>
      </c>
      <c r="B1279" s="62" t="s">
        <v>714</v>
      </c>
      <c r="C1279" s="63"/>
      <c r="D1279" s="64"/>
      <c r="E1279" s="65"/>
      <c r="F1279" s="66"/>
      <c r="G1279" s="63"/>
      <c r="H1279" s="67"/>
      <c r="I1279" s="68"/>
      <c r="J1279" s="68"/>
      <c r="K1279" s="32"/>
      <c r="L1279" s="75">
        <v>1279</v>
      </c>
      <c r="M1279" s="75"/>
      <c r="N1279" s="70"/>
      <c r="O1279" s="77" t="s">
        <v>2082</v>
      </c>
      <c r="P1279" s="79">
        <v>45048.929594907408</v>
      </c>
      <c r="Q1279" s="77" t="s">
        <v>3199</v>
      </c>
      <c r="R1279" s="77">
        <v>0</v>
      </c>
      <c r="S1279" s="77">
        <v>1</v>
      </c>
      <c r="T1279" s="77">
        <v>0</v>
      </c>
      <c r="U1279" s="77">
        <v>0</v>
      </c>
      <c r="V1279" s="77">
        <v>13</v>
      </c>
      <c r="W1279" s="80" t="s">
        <v>6794</v>
      </c>
      <c r="X1279" s="77"/>
      <c r="Y1279" s="77"/>
      <c r="Z1279" s="77"/>
      <c r="AA1279" s="77"/>
      <c r="AB1279" s="77"/>
      <c r="AC1279" s="80" t="s">
        <v>10540</v>
      </c>
      <c r="AD1279" s="77" t="s">
        <v>10617</v>
      </c>
      <c r="AE1279" s="83" t="str">
        <f>HYPERLINK("https://twitter.com/marcosmanguelli/status/1653524421565378562")</f>
        <v>https://twitter.com/marcosmanguelli/status/1653524421565378562</v>
      </c>
      <c r="AF1279" s="79">
        <v>45048.929594907408</v>
      </c>
      <c r="AG1279" s="85">
        <v>45048</v>
      </c>
      <c r="AH1279" s="80" t="s">
        <v>11751</v>
      </c>
      <c r="AI1279" s="77"/>
      <c r="AJ1279" s="77"/>
      <c r="AK1279" s="77"/>
      <c r="AL1279" s="77"/>
      <c r="AM1279" s="77"/>
      <c r="AN1279" s="77"/>
      <c r="AO1279" s="77"/>
      <c r="AP1279" s="77"/>
      <c r="AQ1279" s="77"/>
      <c r="AR1279" s="77"/>
      <c r="AS1279" s="77"/>
      <c r="AT1279" s="77"/>
      <c r="AU1279" s="77"/>
      <c r="AV1279" s="83" t="str">
        <f>HYPERLINK("https://pbs.twimg.com/profile_images/1671233527365394432/L20yfc7f_normal.jpg")</f>
        <v>https://pbs.twimg.com/profile_images/1671233527365394432/L20yfc7f_normal.jpg</v>
      </c>
      <c r="AW1279" s="80" t="s">
        <v>17166</v>
      </c>
      <c r="AX1279" s="80" t="s">
        <v>17166</v>
      </c>
      <c r="AY1279" s="77"/>
      <c r="AZ1279" s="80" t="s">
        <v>20380</v>
      </c>
      <c r="BA1279" s="80" t="s">
        <v>17165</v>
      </c>
      <c r="BB1279" s="80" t="s">
        <v>20380</v>
      </c>
      <c r="BC1279" s="80" t="s">
        <v>17165</v>
      </c>
      <c r="BD1279" s="77">
        <v>466084954</v>
      </c>
      <c r="BE1279" s="77"/>
      <c r="BF1279" s="77"/>
      <c r="BG1279" s="77"/>
      <c r="BH1279" s="77"/>
      <c r="BI1279" s="77"/>
    </row>
    <row r="1280" spans="1:61" x14ac:dyDescent="0.25">
      <c r="A1280" s="62" t="s">
        <v>714</v>
      </c>
      <c r="B1280" s="62" t="s">
        <v>714</v>
      </c>
      <c r="C1280" s="63"/>
      <c r="D1280" s="64"/>
      <c r="E1280" s="65"/>
      <c r="F1280" s="66"/>
      <c r="G1280" s="63"/>
      <c r="H1280" s="67"/>
      <c r="I1280" s="68"/>
      <c r="J1280" s="68"/>
      <c r="K1280" s="32"/>
      <c r="L1280" s="75">
        <v>1280</v>
      </c>
      <c r="M1280" s="75"/>
      <c r="N1280" s="70"/>
      <c r="O1280" s="77" t="s">
        <v>2078</v>
      </c>
      <c r="P1280" s="79">
        <v>45048.918553240743</v>
      </c>
      <c r="Q1280" s="77" t="s">
        <v>3200</v>
      </c>
      <c r="R1280" s="77">
        <v>0</v>
      </c>
      <c r="S1280" s="77">
        <v>0</v>
      </c>
      <c r="T1280" s="77">
        <v>0</v>
      </c>
      <c r="U1280" s="77">
        <v>0</v>
      </c>
      <c r="V1280" s="77">
        <v>45</v>
      </c>
      <c r="W1280" s="80" t="s">
        <v>6795</v>
      </c>
      <c r="X1280" s="77"/>
      <c r="Y1280" s="77"/>
      <c r="Z1280" s="77"/>
      <c r="AA1280" s="77"/>
      <c r="AB1280" s="77"/>
      <c r="AC1280" s="80" t="s">
        <v>10540</v>
      </c>
      <c r="AD1280" s="77" t="s">
        <v>10617</v>
      </c>
      <c r="AE1280" s="83" t="str">
        <f>HYPERLINK("https://twitter.com/marcosmanguelli/status/1653520420300111875")</f>
        <v>https://twitter.com/marcosmanguelli/status/1653520420300111875</v>
      </c>
      <c r="AF1280" s="79">
        <v>45048.918553240743</v>
      </c>
      <c r="AG1280" s="85">
        <v>45048</v>
      </c>
      <c r="AH1280" s="80" t="s">
        <v>11750</v>
      </c>
      <c r="AI1280" s="77"/>
      <c r="AJ1280" s="77"/>
      <c r="AK1280" s="77"/>
      <c r="AL1280" s="77"/>
      <c r="AM1280" s="77"/>
      <c r="AN1280" s="77"/>
      <c r="AO1280" s="77"/>
      <c r="AP1280" s="77"/>
      <c r="AQ1280" s="77"/>
      <c r="AR1280" s="77"/>
      <c r="AS1280" s="77"/>
      <c r="AT1280" s="77"/>
      <c r="AU1280" s="77"/>
      <c r="AV1280" s="83" t="str">
        <f>HYPERLINK("https://pbs.twimg.com/profile_images/1671233527365394432/L20yfc7f_normal.jpg")</f>
        <v>https://pbs.twimg.com/profile_images/1671233527365394432/L20yfc7f_normal.jpg</v>
      </c>
      <c r="AW1280" s="80" t="s">
        <v>17167</v>
      </c>
      <c r="AX1280" s="80" t="s">
        <v>17165</v>
      </c>
      <c r="AY1280" s="80" t="s">
        <v>20269</v>
      </c>
      <c r="AZ1280" s="80" t="s">
        <v>17165</v>
      </c>
      <c r="BA1280" s="80" t="s">
        <v>20380</v>
      </c>
      <c r="BB1280" s="80" t="s">
        <v>20380</v>
      </c>
      <c r="BC1280" s="80" t="s">
        <v>17165</v>
      </c>
      <c r="BD1280" s="77">
        <v>466084954</v>
      </c>
      <c r="BE1280" s="77"/>
      <c r="BF1280" s="77"/>
      <c r="BG1280" s="77"/>
      <c r="BH1280" s="77"/>
      <c r="BI1280" s="77"/>
    </row>
    <row r="1281" spans="1:61" x14ac:dyDescent="0.25">
      <c r="A1281" s="62" t="s">
        <v>715</v>
      </c>
      <c r="B1281" s="62" t="s">
        <v>715</v>
      </c>
      <c r="C1281" s="63"/>
      <c r="D1281" s="64"/>
      <c r="E1281" s="65"/>
      <c r="F1281" s="66"/>
      <c r="G1281" s="63"/>
      <c r="H1281" s="67"/>
      <c r="I1281" s="68"/>
      <c r="J1281" s="68"/>
      <c r="K1281" s="32"/>
      <c r="L1281" s="75">
        <v>1281</v>
      </c>
      <c r="M1281" s="75"/>
      <c r="N1281" s="70"/>
      <c r="O1281" s="77" t="s">
        <v>179</v>
      </c>
      <c r="P1281" s="79">
        <v>45057.625023148146</v>
      </c>
      <c r="Q1281" s="77" t="s">
        <v>3201</v>
      </c>
      <c r="R1281" s="77">
        <v>0</v>
      </c>
      <c r="S1281" s="77">
        <v>0</v>
      </c>
      <c r="T1281" s="77">
        <v>0</v>
      </c>
      <c r="U1281" s="77">
        <v>0</v>
      </c>
      <c r="V1281" s="77">
        <v>20</v>
      </c>
      <c r="W1281" s="80" t="s">
        <v>6796</v>
      </c>
      <c r="X1281" s="83" t="str">
        <f>HYPERLINK("https://radar24.do/el-dolar-varia-ligeramente-para-la-venta-y-se-cambia-a-54-61-pesos/")</f>
        <v>https://radar24.do/el-dolar-varia-ligeramente-para-la-venta-y-se-cambia-a-54-61-pesos/</v>
      </c>
      <c r="Y1281" s="77" t="s">
        <v>8734</v>
      </c>
      <c r="Z1281" s="77"/>
      <c r="AA1281" s="77"/>
      <c r="AB1281" s="77"/>
      <c r="AC1281" s="80" t="s">
        <v>10541</v>
      </c>
      <c r="AD1281" s="77" t="s">
        <v>10620</v>
      </c>
      <c r="AE1281" s="83" t="str">
        <f>HYPERLINK("https://twitter.com/radar24rd/status/1656675538927497218")</f>
        <v>https://twitter.com/radar24rd/status/1656675538927497218</v>
      </c>
      <c r="AF1281" s="79">
        <v>45057.625023148146</v>
      </c>
      <c r="AG1281" s="85">
        <v>45057</v>
      </c>
      <c r="AH1281" s="80" t="s">
        <v>11752</v>
      </c>
      <c r="AI1281" s="77" t="b">
        <v>0</v>
      </c>
      <c r="AJ1281" s="77"/>
      <c r="AK1281" s="77"/>
      <c r="AL1281" s="77"/>
      <c r="AM1281" s="77"/>
      <c r="AN1281" s="77"/>
      <c r="AO1281" s="77"/>
      <c r="AP1281" s="77"/>
      <c r="AQ1281" s="77"/>
      <c r="AR1281" s="77"/>
      <c r="AS1281" s="77"/>
      <c r="AT1281" s="77"/>
      <c r="AU1281" s="77"/>
      <c r="AV1281" s="83" t="str">
        <f>HYPERLINK("https://pbs.twimg.com/profile_images/1171870283462057985/PU6NnmZ0_normal.jpg")</f>
        <v>https://pbs.twimg.com/profile_images/1171870283462057985/PU6NnmZ0_normal.jpg</v>
      </c>
      <c r="AW1281" s="80" t="s">
        <v>17168</v>
      </c>
      <c r="AX1281" s="80" t="s">
        <v>17168</v>
      </c>
      <c r="AY1281" s="77"/>
      <c r="AZ1281" s="80" t="s">
        <v>20380</v>
      </c>
      <c r="BA1281" s="80" t="s">
        <v>20380</v>
      </c>
      <c r="BB1281" s="80" t="s">
        <v>20380</v>
      </c>
      <c r="BC1281" s="80" t="s">
        <v>17168</v>
      </c>
      <c r="BD1281" s="77">
        <v>337430562</v>
      </c>
      <c r="BE1281" s="77"/>
      <c r="BF1281" s="77"/>
      <c r="BG1281" s="77"/>
      <c r="BH1281" s="77"/>
      <c r="BI1281" s="77"/>
    </row>
    <row r="1282" spans="1:61" x14ac:dyDescent="0.25">
      <c r="A1282" s="62" t="s">
        <v>715</v>
      </c>
      <c r="B1282" s="62" t="s">
        <v>715</v>
      </c>
      <c r="C1282" s="63"/>
      <c r="D1282" s="64"/>
      <c r="E1282" s="65"/>
      <c r="F1282" s="66"/>
      <c r="G1282" s="63"/>
      <c r="H1282" s="67"/>
      <c r="I1282" s="68"/>
      <c r="J1282" s="68"/>
      <c r="K1282" s="32"/>
      <c r="L1282" s="75">
        <v>1282</v>
      </c>
      <c r="M1282" s="75"/>
      <c r="N1282" s="70"/>
      <c r="O1282" s="77" t="s">
        <v>179</v>
      </c>
      <c r="P1282" s="79">
        <v>45089.66710648148</v>
      </c>
      <c r="Q1282" s="77" t="s">
        <v>3202</v>
      </c>
      <c r="R1282" s="77">
        <v>0</v>
      </c>
      <c r="S1282" s="77">
        <v>0</v>
      </c>
      <c r="T1282" s="77">
        <v>0</v>
      </c>
      <c r="U1282" s="77">
        <v>0</v>
      </c>
      <c r="V1282" s="77">
        <v>130</v>
      </c>
      <c r="W1282" s="80" t="s">
        <v>6796</v>
      </c>
      <c r="X1282" s="83" t="str">
        <f>HYPERLINK("https://radar24.do/el-dolar-estadounidense-se-vende-a-rd54-86-este-lunes/")</f>
        <v>https://radar24.do/el-dolar-estadounidense-se-vende-a-rd54-86-este-lunes/</v>
      </c>
      <c r="Y1282" s="77" t="s">
        <v>8734</v>
      </c>
      <c r="Z1282" s="77"/>
      <c r="AA1282" s="77"/>
      <c r="AB1282" s="77"/>
      <c r="AC1282" s="80" t="s">
        <v>10541</v>
      </c>
      <c r="AD1282" s="77" t="s">
        <v>10620</v>
      </c>
      <c r="AE1282" s="83" t="str">
        <f>HYPERLINK("https://twitter.com/radar24rd/status/1668287199958249473")</f>
        <v>https://twitter.com/radar24rd/status/1668287199958249473</v>
      </c>
      <c r="AF1282" s="79">
        <v>45089.66710648148</v>
      </c>
      <c r="AG1282" s="85">
        <v>45089</v>
      </c>
      <c r="AH1282" s="80" t="s">
        <v>11753</v>
      </c>
      <c r="AI1282" s="77" t="b">
        <v>0</v>
      </c>
      <c r="AJ1282" s="77"/>
      <c r="AK1282" s="77"/>
      <c r="AL1282" s="77"/>
      <c r="AM1282" s="77"/>
      <c r="AN1282" s="77"/>
      <c r="AO1282" s="77"/>
      <c r="AP1282" s="77"/>
      <c r="AQ1282" s="77"/>
      <c r="AR1282" s="77"/>
      <c r="AS1282" s="77"/>
      <c r="AT1282" s="77"/>
      <c r="AU1282" s="77"/>
      <c r="AV1282" s="83" t="str">
        <f>HYPERLINK("https://pbs.twimg.com/profile_images/1171870283462057985/PU6NnmZ0_normal.jpg")</f>
        <v>https://pbs.twimg.com/profile_images/1171870283462057985/PU6NnmZ0_normal.jpg</v>
      </c>
      <c r="AW1282" s="80" t="s">
        <v>17169</v>
      </c>
      <c r="AX1282" s="80" t="s">
        <v>17169</v>
      </c>
      <c r="AY1282" s="77"/>
      <c r="AZ1282" s="80" t="s">
        <v>20380</v>
      </c>
      <c r="BA1282" s="80" t="s">
        <v>20380</v>
      </c>
      <c r="BB1282" s="80" t="s">
        <v>20380</v>
      </c>
      <c r="BC1282" s="80" t="s">
        <v>17169</v>
      </c>
      <c r="BD1282" s="77">
        <v>337430562</v>
      </c>
      <c r="BE1282" s="77"/>
      <c r="BF1282" s="77"/>
      <c r="BG1282" s="77"/>
      <c r="BH1282" s="77"/>
      <c r="BI1282" s="77"/>
    </row>
    <row r="1283" spans="1:61" x14ac:dyDescent="0.25">
      <c r="A1283" s="62" t="s">
        <v>715</v>
      </c>
      <c r="B1283" s="62" t="s">
        <v>715</v>
      </c>
      <c r="C1283" s="63"/>
      <c r="D1283" s="64"/>
      <c r="E1283" s="65"/>
      <c r="F1283" s="66"/>
      <c r="G1283" s="63"/>
      <c r="H1283" s="67"/>
      <c r="I1283" s="68"/>
      <c r="J1283" s="68"/>
      <c r="K1283" s="32"/>
      <c r="L1283" s="75">
        <v>1283</v>
      </c>
      <c r="M1283" s="75"/>
      <c r="N1283" s="70"/>
      <c r="O1283" s="77" t="s">
        <v>179</v>
      </c>
      <c r="P1283" s="79">
        <v>45084.638888888891</v>
      </c>
      <c r="Q1283" s="77" t="s">
        <v>3203</v>
      </c>
      <c r="R1283" s="77">
        <v>0</v>
      </c>
      <c r="S1283" s="77">
        <v>0</v>
      </c>
      <c r="T1283" s="77">
        <v>0</v>
      </c>
      <c r="U1283" s="77">
        <v>0</v>
      </c>
      <c r="V1283" s="77">
        <v>12</v>
      </c>
      <c r="W1283" s="80" t="s">
        <v>6796</v>
      </c>
      <c r="X1283" s="83" t="str">
        <f>HYPERLINK("https://radar24.do/el-dolar-se-mantiene-invariable-para-la-venta-en-el-mercado-de-divisas/")</f>
        <v>https://radar24.do/el-dolar-se-mantiene-invariable-para-la-venta-en-el-mercado-de-divisas/</v>
      </c>
      <c r="Y1283" s="77" t="s">
        <v>8734</v>
      </c>
      <c r="Z1283" s="77"/>
      <c r="AA1283" s="77"/>
      <c r="AB1283" s="77"/>
      <c r="AC1283" s="80" t="s">
        <v>10541</v>
      </c>
      <c r="AD1283" s="77" t="s">
        <v>10620</v>
      </c>
      <c r="AE1283" s="83" t="str">
        <f>HYPERLINK("https://twitter.com/radar24rd/status/1666465034665426944")</f>
        <v>https://twitter.com/radar24rd/status/1666465034665426944</v>
      </c>
      <c r="AF1283" s="79">
        <v>45084.638888888891</v>
      </c>
      <c r="AG1283" s="85">
        <v>45084</v>
      </c>
      <c r="AH1283" s="80" t="s">
        <v>11754</v>
      </c>
      <c r="AI1283" s="77" t="b">
        <v>0</v>
      </c>
      <c r="AJ1283" s="77"/>
      <c r="AK1283" s="77"/>
      <c r="AL1283" s="77"/>
      <c r="AM1283" s="77"/>
      <c r="AN1283" s="77"/>
      <c r="AO1283" s="77"/>
      <c r="AP1283" s="77"/>
      <c r="AQ1283" s="77"/>
      <c r="AR1283" s="77"/>
      <c r="AS1283" s="77"/>
      <c r="AT1283" s="77"/>
      <c r="AU1283" s="77"/>
      <c r="AV1283" s="83" t="str">
        <f>HYPERLINK("https://pbs.twimg.com/profile_images/1171870283462057985/PU6NnmZ0_normal.jpg")</f>
        <v>https://pbs.twimg.com/profile_images/1171870283462057985/PU6NnmZ0_normal.jpg</v>
      </c>
      <c r="AW1283" s="80" t="s">
        <v>17170</v>
      </c>
      <c r="AX1283" s="80" t="s">
        <v>17170</v>
      </c>
      <c r="AY1283" s="77"/>
      <c r="AZ1283" s="80" t="s">
        <v>20380</v>
      </c>
      <c r="BA1283" s="80" t="s">
        <v>20380</v>
      </c>
      <c r="BB1283" s="80" t="s">
        <v>20380</v>
      </c>
      <c r="BC1283" s="80" t="s">
        <v>17170</v>
      </c>
      <c r="BD1283" s="77">
        <v>337430562</v>
      </c>
      <c r="BE1283" s="77"/>
      <c r="BF1283" s="77"/>
      <c r="BG1283" s="77"/>
      <c r="BH1283" s="77"/>
      <c r="BI1283" s="77"/>
    </row>
    <row r="1284" spans="1:61" x14ac:dyDescent="0.25">
      <c r="A1284" s="62" t="s">
        <v>715</v>
      </c>
      <c r="B1284" s="62" t="s">
        <v>715</v>
      </c>
      <c r="C1284" s="63"/>
      <c r="D1284" s="64"/>
      <c r="E1284" s="65"/>
      <c r="F1284" s="66"/>
      <c r="G1284" s="63"/>
      <c r="H1284" s="67"/>
      <c r="I1284" s="68"/>
      <c r="J1284" s="68"/>
      <c r="K1284" s="32"/>
      <c r="L1284" s="75">
        <v>1284</v>
      </c>
      <c r="M1284" s="75"/>
      <c r="N1284" s="70"/>
      <c r="O1284" s="77" t="s">
        <v>179</v>
      </c>
      <c r="P1284" s="79">
        <v>45082.615856481483</v>
      </c>
      <c r="Q1284" s="77" t="s">
        <v>3204</v>
      </c>
      <c r="R1284" s="77">
        <v>0</v>
      </c>
      <c r="S1284" s="77">
        <v>0</v>
      </c>
      <c r="T1284" s="77">
        <v>0</v>
      </c>
      <c r="U1284" s="77">
        <v>0</v>
      </c>
      <c r="V1284" s="77">
        <v>20</v>
      </c>
      <c r="W1284" s="80" t="s">
        <v>6797</v>
      </c>
      <c r="X1284" s="83" t="str">
        <f>HYPERLINK("https://radar24.do/la-inflacion-en-republica-dominicana-bajo-al-4-43-en-mayo-segun-banco-central/")</f>
        <v>https://radar24.do/la-inflacion-en-republica-dominicana-bajo-al-4-43-en-mayo-segun-banco-central/</v>
      </c>
      <c r="Y1284" s="77" t="s">
        <v>8734</v>
      </c>
      <c r="Z1284" s="77"/>
      <c r="AA1284" s="77"/>
      <c r="AB1284" s="77"/>
      <c r="AC1284" s="80" t="s">
        <v>10541</v>
      </c>
      <c r="AD1284" s="77" t="s">
        <v>10620</v>
      </c>
      <c r="AE1284" s="83" t="str">
        <f>HYPERLINK("https://twitter.com/radar24rd/status/1665731912415993860")</f>
        <v>https://twitter.com/radar24rd/status/1665731912415993860</v>
      </c>
      <c r="AF1284" s="79">
        <v>45082.615856481483</v>
      </c>
      <c r="AG1284" s="85">
        <v>45082</v>
      </c>
      <c r="AH1284" s="80" t="s">
        <v>11755</v>
      </c>
      <c r="AI1284" s="77" t="b">
        <v>0</v>
      </c>
      <c r="AJ1284" s="77"/>
      <c r="AK1284" s="77"/>
      <c r="AL1284" s="77"/>
      <c r="AM1284" s="77"/>
      <c r="AN1284" s="77"/>
      <c r="AO1284" s="77"/>
      <c r="AP1284" s="77"/>
      <c r="AQ1284" s="77"/>
      <c r="AR1284" s="77"/>
      <c r="AS1284" s="77"/>
      <c r="AT1284" s="77"/>
      <c r="AU1284" s="77"/>
      <c r="AV1284" s="83" t="str">
        <f>HYPERLINK("https://pbs.twimg.com/profile_images/1171870283462057985/PU6NnmZ0_normal.jpg")</f>
        <v>https://pbs.twimg.com/profile_images/1171870283462057985/PU6NnmZ0_normal.jpg</v>
      </c>
      <c r="AW1284" s="80" t="s">
        <v>17171</v>
      </c>
      <c r="AX1284" s="80" t="s">
        <v>17171</v>
      </c>
      <c r="AY1284" s="77"/>
      <c r="AZ1284" s="80" t="s">
        <v>20380</v>
      </c>
      <c r="BA1284" s="80" t="s">
        <v>20380</v>
      </c>
      <c r="BB1284" s="80" t="s">
        <v>20380</v>
      </c>
      <c r="BC1284" s="80" t="s">
        <v>17171</v>
      </c>
      <c r="BD1284" s="77">
        <v>337430562</v>
      </c>
      <c r="BE1284" s="77"/>
      <c r="BF1284" s="77"/>
      <c r="BG1284" s="77"/>
      <c r="BH1284" s="77"/>
      <c r="BI1284" s="77"/>
    </row>
    <row r="1285" spans="1:61" x14ac:dyDescent="0.25">
      <c r="A1285" s="62" t="s">
        <v>716</v>
      </c>
      <c r="B1285" s="62" t="s">
        <v>716</v>
      </c>
      <c r="C1285" s="63"/>
      <c r="D1285" s="64"/>
      <c r="E1285" s="65"/>
      <c r="F1285" s="66"/>
      <c r="G1285" s="63"/>
      <c r="H1285" s="67"/>
      <c r="I1285" s="68"/>
      <c r="J1285" s="68"/>
      <c r="K1285" s="32"/>
      <c r="L1285" s="75">
        <v>1285</v>
      </c>
      <c r="M1285" s="75"/>
      <c r="N1285" s="70"/>
      <c r="O1285" s="77" t="s">
        <v>179</v>
      </c>
      <c r="P1285" s="79">
        <v>45135.885775462964</v>
      </c>
      <c r="Q1285" s="77" t="s">
        <v>3205</v>
      </c>
      <c r="R1285" s="77">
        <v>0</v>
      </c>
      <c r="S1285" s="77">
        <v>2</v>
      </c>
      <c r="T1285" s="77">
        <v>1</v>
      </c>
      <c r="U1285" s="77">
        <v>0</v>
      </c>
      <c r="V1285" s="77">
        <v>137</v>
      </c>
      <c r="W1285" s="80" t="s">
        <v>6798</v>
      </c>
      <c r="X1285" s="83" t="str">
        <f>HYPERLINK("http://bit.ly/3OJgxYZ")</f>
        <v>http://bit.ly/3OJgxYZ</v>
      </c>
      <c r="Y1285" s="77" t="s">
        <v>8618</v>
      </c>
      <c r="Z1285" s="77"/>
      <c r="AA1285" s="77" t="s">
        <v>9465</v>
      </c>
      <c r="AB1285" s="77" t="s">
        <v>10534</v>
      </c>
      <c r="AC1285" s="80" t="s">
        <v>10541</v>
      </c>
      <c r="AD1285" s="77" t="s">
        <v>10620</v>
      </c>
      <c r="AE1285" s="83" t="str">
        <f>HYPERLINK("https://twitter.com/alvaronass_arq/status/1685036285172371456")</f>
        <v>https://twitter.com/alvaronass_arq/status/1685036285172371456</v>
      </c>
      <c r="AF1285" s="79">
        <v>45135.885775462964</v>
      </c>
      <c r="AG1285" s="85">
        <v>45135</v>
      </c>
      <c r="AH1285" s="80" t="s">
        <v>11756</v>
      </c>
      <c r="AI1285" s="77" t="b">
        <v>0</v>
      </c>
      <c r="AJ1285" s="77"/>
      <c r="AK1285" s="77"/>
      <c r="AL1285" s="77"/>
      <c r="AM1285" s="77"/>
      <c r="AN1285" s="77"/>
      <c r="AO1285" s="77"/>
      <c r="AP1285" s="77"/>
      <c r="AQ1285" s="77" t="s">
        <v>14947</v>
      </c>
      <c r="AR1285" s="77">
        <v>96800</v>
      </c>
      <c r="AS1285" s="77"/>
      <c r="AT1285" s="77"/>
      <c r="AU1285" s="77"/>
      <c r="AV1285" s="83" t="str">
        <f>HYPERLINK("https://pbs.twimg.com/ext_tw_video_thumb/1685033524313600000/pu/img/pmTCzHZskZjJWwbd.jpg")</f>
        <v>https://pbs.twimg.com/ext_tw_video_thumb/1685033524313600000/pu/img/pmTCzHZskZjJWwbd.jpg</v>
      </c>
      <c r="AW1285" s="80" t="s">
        <v>17172</v>
      </c>
      <c r="AX1285" s="80" t="s">
        <v>17172</v>
      </c>
      <c r="AY1285" s="77"/>
      <c r="AZ1285" s="80" t="s">
        <v>20380</v>
      </c>
      <c r="BA1285" s="80" t="s">
        <v>20380</v>
      </c>
      <c r="BB1285" s="80" t="s">
        <v>20380</v>
      </c>
      <c r="BC1285" s="80" t="s">
        <v>17172</v>
      </c>
      <c r="BD1285" s="77">
        <v>223932614</v>
      </c>
      <c r="BE1285" s="77"/>
      <c r="BF1285" s="77"/>
      <c r="BG1285" s="77"/>
      <c r="BH1285" s="77"/>
      <c r="BI1285" s="77"/>
    </row>
    <row r="1286" spans="1:61" x14ac:dyDescent="0.25">
      <c r="A1286" s="62" t="s">
        <v>717</v>
      </c>
      <c r="B1286" s="62" t="s">
        <v>1425</v>
      </c>
      <c r="C1286" s="63"/>
      <c r="D1286" s="64"/>
      <c r="E1286" s="65"/>
      <c r="F1286" s="66"/>
      <c r="G1286" s="63"/>
      <c r="H1286" s="67"/>
      <c r="I1286" s="68"/>
      <c r="J1286" s="68"/>
      <c r="K1286" s="32"/>
      <c r="L1286" s="75">
        <v>1286</v>
      </c>
      <c r="M1286" s="75"/>
      <c r="N1286" s="70"/>
      <c r="O1286" s="77" t="s">
        <v>2083</v>
      </c>
      <c r="P1286" s="79">
        <v>45194.911527777775</v>
      </c>
      <c r="Q1286" s="77" t="s">
        <v>2640</v>
      </c>
      <c r="R1286" s="77">
        <v>6</v>
      </c>
      <c r="S1286" s="77">
        <v>0</v>
      </c>
      <c r="T1286" s="77">
        <v>0</v>
      </c>
      <c r="U1286" s="77">
        <v>0</v>
      </c>
      <c r="V1286" s="77"/>
      <c r="W1286" s="80" t="s">
        <v>6346</v>
      </c>
      <c r="X1286" s="77"/>
      <c r="Y1286" s="77"/>
      <c r="Z1286" s="77" t="s">
        <v>1425</v>
      </c>
      <c r="AA1286" s="77"/>
      <c r="AB1286" s="77"/>
      <c r="AC1286" s="80" t="s">
        <v>10541</v>
      </c>
      <c r="AD1286" s="77" t="s">
        <v>10620</v>
      </c>
      <c r="AE1286" s="83" t="str">
        <f>HYPERLINK("https://twitter.com/ros_ro38/status/1706426503242932328")</f>
        <v>https://twitter.com/ros_ro38/status/1706426503242932328</v>
      </c>
      <c r="AF1286" s="79">
        <v>45194.911527777775</v>
      </c>
      <c r="AG1286" s="85">
        <v>45194</v>
      </c>
      <c r="AH1286" s="80" t="s">
        <v>11757</v>
      </c>
      <c r="AI1286" s="77"/>
      <c r="AJ1286" s="77"/>
      <c r="AK1286" s="77"/>
      <c r="AL1286" s="77"/>
      <c r="AM1286" s="77"/>
      <c r="AN1286" s="77"/>
      <c r="AO1286" s="77"/>
      <c r="AP1286" s="77"/>
      <c r="AQ1286" s="77"/>
      <c r="AR1286" s="77"/>
      <c r="AS1286" s="77"/>
      <c r="AT1286" s="77"/>
      <c r="AU1286" s="77"/>
      <c r="AV1286" s="83" t="str">
        <f>HYPERLINK("https://pbs.twimg.com/profile_images/1653480882445926450/mgDViI_P_normal.jpg")</f>
        <v>https://pbs.twimg.com/profile_images/1653480882445926450/mgDViI_P_normal.jpg</v>
      </c>
      <c r="AW1286" s="80" t="s">
        <v>17173</v>
      </c>
      <c r="AX1286" s="80" t="s">
        <v>17173</v>
      </c>
      <c r="AY1286" s="77"/>
      <c r="AZ1286" s="80" t="s">
        <v>20380</v>
      </c>
      <c r="BA1286" s="80" t="s">
        <v>20380</v>
      </c>
      <c r="BB1286" s="80" t="s">
        <v>19289</v>
      </c>
      <c r="BC1286" s="80" t="s">
        <v>19289</v>
      </c>
      <c r="BD1286" s="80" t="s">
        <v>20729</v>
      </c>
      <c r="BE1286" s="77"/>
      <c r="BF1286" s="77"/>
      <c r="BG1286" s="77"/>
      <c r="BH1286" s="77"/>
      <c r="BI1286" s="77"/>
    </row>
    <row r="1287" spans="1:61" x14ac:dyDescent="0.25">
      <c r="A1287" s="62" t="s">
        <v>718</v>
      </c>
      <c r="B1287" s="62" t="s">
        <v>718</v>
      </c>
      <c r="C1287" s="63"/>
      <c r="D1287" s="64"/>
      <c r="E1287" s="65"/>
      <c r="F1287" s="66"/>
      <c r="G1287" s="63"/>
      <c r="H1287" s="67"/>
      <c r="I1287" s="68"/>
      <c r="J1287" s="68"/>
      <c r="K1287" s="32"/>
      <c r="L1287" s="75">
        <v>1287</v>
      </c>
      <c r="M1287" s="75"/>
      <c r="N1287" s="70"/>
      <c r="O1287" s="77" t="s">
        <v>179</v>
      </c>
      <c r="P1287" s="79">
        <v>45176.544918981483</v>
      </c>
      <c r="Q1287" s="77" t="s">
        <v>3206</v>
      </c>
      <c r="R1287" s="77">
        <v>0</v>
      </c>
      <c r="S1287" s="77">
        <v>0</v>
      </c>
      <c r="T1287" s="77">
        <v>3</v>
      </c>
      <c r="U1287" s="77">
        <v>0</v>
      </c>
      <c r="V1287" s="77">
        <v>338</v>
      </c>
      <c r="W1287" s="80" t="s">
        <v>6799</v>
      </c>
      <c r="X1287" s="77"/>
      <c r="Y1287" s="77"/>
      <c r="Z1287" s="77"/>
      <c r="AA1287" s="77"/>
      <c r="AB1287" s="77"/>
      <c r="AC1287" s="80" t="s">
        <v>10540</v>
      </c>
      <c r="AD1287" s="77" t="s">
        <v>10620</v>
      </c>
      <c r="AE1287" s="83" t="str">
        <f>HYPERLINK("https://twitter.com/fernandodelaco7/status/1699770667128803695")</f>
        <v>https://twitter.com/fernandodelaco7/status/1699770667128803695</v>
      </c>
      <c r="AF1287" s="79">
        <v>45176.544918981483</v>
      </c>
      <c r="AG1287" s="85">
        <v>45176</v>
      </c>
      <c r="AH1287" s="80" t="s">
        <v>11758</v>
      </c>
      <c r="AI1287" s="77"/>
      <c r="AJ1287" s="77"/>
      <c r="AK1287" s="77"/>
      <c r="AL1287" s="77"/>
      <c r="AM1287" s="77"/>
      <c r="AN1287" s="77"/>
      <c r="AO1287" s="77"/>
      <c r="AP1287" s="77"/>
      <c r="AQ1287" s="77"/>
      <c r="AR1287" s="77"/>
      <c r="AS1287" s="77"/>
      <c r="AT1287" s="77"/>
      <c r="AU1287" s="77"/>
      <c r="AV1287" s="83" t="str">
        <f>HYPERLINK("https://pbs.twimg.com/profile_images/1171040852988350464/1NB1RHgy_normal.jpg")</f>
        <v>https://pbs.twimg.com/profile_images/1171040852988350464/1NB1RHgy_normal.jpg</v>
      </c>
      <c r="AW1287" s="80" t="s">
        <v>17174</v>
      </c>
      <c r="AX1287" s="80" t="s">
        <v>17174</v>
      </c>
      <c r="AY1287" s="77"/>
      <c r="AZ1287" s="80" t="s">
        <v>20380</v>
      </c>
      <c r="BA1287" s="80" t="s">
        <v>20380</v>
      </c>
      <c r="BB1287" s="80" t="s">
        <v>20380</v>
      </c>
      <c r="BC1287" s="80" t="s">
        <v>17174</v>
      </c>
      <c r="BD1287" s="80" t="s">
        <v>20730</v>
      </c>
      <c r="BE1287" s="77"/>
      <c r="BF1287" s="77"/>
      <c r="BG1287" s="77"/>
      <c r="BH1287" s="77"/>
      <c r="BI1287" s="77"/>
    </row>
    <row r="1288" spans="1:61" x14ac:dyDescent="0.25">
      <c r="A1288" s="62" t="s">
        <v>719</v>
      </c>
      <c r="B1288" s="62" t="s">
        <v>719</v>
      </c>
      <c r="C1288" s="63"/>
      <c r="D1288" s="64"/>
      <c r="E1288" s="65"/>
      <c r="F1288" s="66"/>
      <c r="G1288" s="63"/>
      <c r="H1288" s="67"/>
      <c r="I1288" s="68"/>
      <c r="J1288" s="68"/>
      <c r="K1288" s="32"/>
      <c r="L1288" s="75">
        <v>1288</v>
      </c>
      <c r="M1288" s="75"/>
      <c r="N1288" s="70"/>
      <c r="O1288" s="77" t="s">
        <v>179</v>
      </c>
      <c r="P1288" s="79">
        <v>45156.183344907404</v>
      </c>
      <c r="Q1288" s="77" t="s">
        <v>3207</v>
      </c>
      <c r="R1288" s="77">
        <v>4</v>
      </c>
      <c r="S1288" s="77">
        <v>6</v>
      </c>
      <c r="T1288" s="77">
        <v>0</v>
      </c>
      <c r="U1288" s="77">
        <v>1</v>
      </c>
      <c r="V1288" s="77">
        <v>322</v>
      </c>
      <c r="W1288" s="80" t="s">
        <v>6800</v>
      </c>
      <c r="X1288" s="77"/>
      <c r="Y1288" s="77"/>
      <c r="Z1288" s="77"/>
      <c r="AA1288" s="77" t="s">
        <v>9466</v>
      </c>
      <c r="AB1288" s="77" t="s">
        <v>10534</v>
      </c>
      <c r="AC1288" s="80" t="s">
        <v>10540</v>
      </c>
      <c r="AD1288" s="77" t="s">
        <v>10620</v>
      </c>
      <c r="AE1288" s="83" t="str">
        <f>HYPERLINK("https://twitter.com/facupa31/status/1692391878983893096")</f>
        <v>https://twitter.com/facupa31/status/1692391878983893096</v>
      </c>
      <c r="AF1288" s="79">
        <v>45156.183344907404</v>
      </c>
      <c r="AG1288" s="85">
        <v>45156</v>
      </c>
      <c r="AH1288" s="80" t="s">
        <v>11759</v>
      </c>
      <c r="AI1288" s="77" t="b">
        <v>0</v>
      </c>
      <c r="AJ1288" s="77"/>
      <c r="AK1288" s="77"/>
      <c r="AL1288" s="77"/>
      <c r="AM1288" s="77"/>
      <c r="AN1288" s="77"/>
      <c r="AO1288" s="77"/>
      <c r="AP1288" s="77"/>
      <c r="AQ1288" s="77" t="s">
        <v>14948</v>
      </c>
      <c r="AR1288" s="77">
        <v>44951</v>
      </c>
      <c r="AS1288" s="77"/>
      <c r="AT1288" s="77"/>
      <c r="AU1288" s="77"/>
      <c r="AV1288" s="83" t="str">
        <f>HYPERLINK("https://pbs.twimg.com/ext_tw_video_thumb/1692391515274854401/pu/img/AZeKM3HUvNgJIwH6.jpg")</f>
        <v>https://pbs.twimg.com/ext_tw_video_thumb/1692391515274854401/pu/img/AZeKM3HUvNgJIwH6.jpg</v>
      </c>
      <c r="AW1288" s="80" t="s">
        <v>17175</v>
      </c>
      <c r="AX1288" s="80" t="s">
        <v>17175</v>
      </c>
      <c r="AY1288" s="77"/>
      <c r="AZ1288" s="80" t="s">
        <v>20380</v>
      </c>
      <c r="BA1288" s="80" t="s">
        <v>20380</v>
      </c>
      <c r="BB1288" s="80" t="s">
        <v>20380</v>
      </c>
      <c r="BC1288" s="80" t="s">
        <v>17175</v>
      </c>
      <c r="BD1288" s="77">
        <v>146263639</v>
      </c>
      <c r="BE1288" s="77"/>
      <c r="BF1288" s="77"/>
      <c r="BG1288" s="77"/>
      <c r="BH1288" s="77"/>
      <c r="BI1288" s="77"/>
    </row>
    <row r="1289" spans="1:61" x14ac:dyDescent="0.25">
      <c r="A1289" s="62" t="s">
        <v>720</v>
      </c>
      <c r="B1289" s="62" t="s">
        <v>720</v>
      </c>
      <c r="C1289" s="63"/>
      <c r="D1289" s="64"/>
      <c r="E1289" s="65"/>
      <c r="F1289" s="66"/>
      <c r="G1289" s="63"/>
      <c r="H1289" s="67"/>
      <c r="I1289" s="68"/>
      <c r="J1289" s="68"/>
      <c r="K1289" s="32"/>
      <c r="L1289" s="75">
        <v>1289</v>
      </c>
      <c r="M1289" s="75"/>
      <c r="N1289" s="70"/>
      <c r="O1289" s="77" t="s">
        <v>179</v>
      </c>
      <c r="P1289" s="79">
        <v>45078.503333333334</v>
      </c>
      <c r="Q1289" s="77" t="s">
        <v>3208</v>
      </c>
      <c r="R1289" s="77">
        <v>0</v>
      </c>
      <c r="S1289" s="77">
        <v>0</v>
      </c>
      <c r="T1289" s="77">
        <v>0</v>
      </c>
      <c r="U1289" s="77">
        <v>0</v>
      </c>
      <c r="V1289" s="77"/>
      <c r="W1289" s="80" t="s">
        <v>5884</v>
      </c>
      <c r="X1289" s="83" t="str">
        <f>HYPERLINK("https://deultimahorard.com/banco-central-reduce-en-50-puntos-basicos-su-tasa-de-politica-monetaria/")</f>
        <v>https://deultimahorard.com/banco-central-reduce-en-50-puntos-basicos-su-tasa-de-politica-monetaria/</v>
      </c>
      <c r="Y1289" s="77" t="s">
        <v>8735</v>
      </c>
      <c r="Z1289" s="77"/>
      <c r="AA1289" s="77"/>
      <c r="AB1289" s="77"/>
      <c r="AC1289" s="80" t="s">
        <v>10542</v>
      </c>
      <c r="AD1289" s="77" t="s">
        <v>10619</v>
      </c>
      <c r="AE1289" s="83" t="str">
        <f>HYPERLINK("https://twitter.com/deultimahorard/status/1664241582847975425")</f>
        <v>https://twitter.com/deultimahorard/status/1664241582847975425</v>
      </c>
      <c r="AF1289" s="79">
        <v>45078.503333333334</v>
      </c>
      <c r="AG1289" s="85">
        <v>45078</v>
      </c>
      <c r="AH1289" s="80" t="s">
        <v>11760</v>
      </c>
      <c r="AI1289" s="77" t="b">
        <v>0</v>
      </c>
      <c r="AJ1289" s="77"/>
      <c r="AK1289" s="77"/>
      <c r="AL1289" s="77"/>
      <c r="AM1289" s="77"/>
      <c r="AN1289" s="77"/>
      <c r="AO1289" s="77"/>
      <c r="AP1289" s="77"/>
      <c r="AQ1289" s="77"/>
      <c r="AR1289" s="77"/>
      <c r="AS1289" s="77"/>
      <c r="AT1289" s="77"/>
      <c r="AU1289" s="77"/>
      <c r="AV1289" s="83" t="str">
        <f>HYPERLINK("https://pbs.twimg.com/profile_images/1175414018795872261/56Vm4gR__normal.jpg")</f>
        <v>https://pbs.twimg.com/profile_images/1175414018795872261/56Vm4gR__normal.jpg</v>
      </c>
      <c r="AW1289" s="80" t="s">
        <v>17176</v>
      </c>
      <c r="AX1289" s="80" t="s">
        <v>17176</v>
      </c>
      <c r="AY1289" s="77"/>
      <c r="AZ1289" s="80" t="s">
        <v>20380</v>
      </c>
      <c r="BA1289" s="80" t="s">
        <v>20380</v>
      </c>
      <c r="BB1289" s="80" t="s">
        <v>20380</v>
      </c>
      <c r="BC1289" s="80" t="s">
        <v>17176</v>
      </c>
      <c r="BD1289" s="80" t="s">
        <v>20731</v>
      </c>
      <c r="BE1289" s="77"/>
      <c r="BF1289" s="77"/>
      <c r="BG1289" s="77"/>
      <c r="BH1289" s="77"/>
      <c r="BI1289" s="77"/>
    </row>
    <row r="1290" spans="1:61" x14ac:dyDescent="0.25">
      <c r="A1290" s="62" t="s">
        <v>721</v>
      </c>
      <c r="B1290" s="62" t="s">
        <v>721</v>
      </c>
      <c r="C1290" s="63"/>
      <c r="D1290" s="64"/>
      <c r="E1290" s="65"/>
      <c r="F1290" s="66"/>
      <c r="G1290" s="63"/>
      <c r="H1290" s="67"/>
      <c r="I1290" s="68"/>
      <c r="J1290" s="68"/>
      <c r="K1290" s="32"/>
      <c r="L1290" s="75">
        <v>1290</v>
      </c>
      <c r="M1290" s="75"/>
      <c r="N1290" s="70"/>
      <c r="O1290" s="77" t="s">
        <v>179</v>
      </c>
      <c r="P1290" s="79">
        <v>45151.646817129629</v>
      </c>
      <c r="Q1290" s="77" t="s">
        <v>3209</v>
      </c>
      <c r="R1290" s="77">
        <v>0</v>
      </c>
      <c r="S1290" s="77">
        <v>0</v>
      </c>
      <c r="T1290" s="77">
        <v>0</v>
      </c>
      <c r="U1290" s="77">
        <v>0</v>
      </c>
      <c r="V1290" s="77">
        <v>72</v>
      </c>
      <c r="W1290" s="80" t="s">
        <v>6801</v>
      </c>
      <c r="X1290" s="83" t="str">
        <f>HYPERLINK("https://www.cunadelanoticia.com/?p=209414")</f>
        <v>https://www.cunadelanoticia.com/?p=209414</v>
      </c>
      <c r="Y1290" s="77" t="s">
        <v>8736</v>
      </c>
      <c r="Z1290" s="77"/>
      <c r="AA1290" s="77" t="s">
        <v>9467</v>
      </c>
      <c r="AB1290" s="77" t="s">
        <v>10535</v>
      </c>
      <c r="AC1290" s="80" t="s">
        <v>10540</v>
      </c>
      <c r="AD1290" s="77" t="s">
        <v>10620</v>
      </c>
      <c r="AE1290" s="83" t="str">
        <f>HYPERLINK("https://twitter.com/cunadelanoticia/status/1690747894465273856")</f>
        <v>https://twitter.com/cunadelanoticia/status/1690747894465273856</v>
      </c>
      <c r="AF1290" s="79">
        <v>45151.646817129629</v>
      </c>
      <c r="AG1290" s="85">
        <v>45151</v>
      </c>
      <c r="AH1290" s="80" t="s">
        <v>11761</v>
      </c>
      <c r="AI1290" s="77" t="b">
        <v>0</v>
      </c>
      <c r="AJ1290" s="77"/>
      <c r="AK1290" s="77"/>
      <c r="AL1290" s="77"/>
      <c r="AM1290" s="77"/>
      <c r="AN1290" s="77"/>
      <c r="AO1290" s="77"/>
      <c r="AP1290" s="77"/>
      <c r="AQ1290" s="77" t="s">
        <v>14949</v>
      </c>
      <c r="AR1290" s="77"/>
      <c r="AS1290" s="77"/>
      <c r="AT1290" s="77"/>
      <c r="AU1290" s="77"/>
      <c r="AV1290" s="83" t="str">
        <f>HYPERLINK("https://pbs.twimg.com/media/F3a-QBQXsAEs-Ku.jpg")</f>
        <v>https://pbs.twimg.com/media/F3a-QBQXsAEs-Ku.jpg</v>
      </c>
      <c r="AW1290" s="80" t="s">
        <v>17177</v>
      </c>
      <c r="AX1290" s="80" t="s">
        <v>17177</v>
      </c>
      <c r="AY1290" s="77"/>
      <c r="AZ1290" s="80" t="s">
        <v>20380</v>
      </c>
      <c r="BA1290" s="80" t="s">
        <v>20380</v>
      </c>
      <c r="BB1290" s="80" t="s">
        <v>20380</v>
      </c>
      <c r="BC1290" s="80" t="s">
        <v>17177</v>
      </c>
      <c r="BD1290" s="77">
        <v>184951603</v>
      </c>
      <c r="BE1290" s="77"/>
      <c r="BF1290" s="77"/>
      <c r="BG1290" s="77"/>
      <c r="BH1290" s="77"/>
      <c r="BI1290" s="77"/>
    </row>
    <row r="1291" spans="1:61" x14ac:dyDescent="0.25">
      <c r="A1291" s="62" t="s">
        <v>722</v>
      </c>
      <c r="B1291" s="62" t="s">
        <v>722</v>
      </c>
      <c r="C1291" s="63"/>
      <c r="D1291" s="64"/>
      <c r="E1291" s="65"/>
      <c r="F1291" s="66"/>
      <c r="G1291" s="63"/>
      <c r="H1291" s="67"/>
      <c r="I1291" s="68"/>
      <c r="J1291" s="68"/>
      <c r="K1291" s="32"/>
      <c r="L1291" s="75">
        <v>1291</v>
      </c>
      <c r="M1291" s="75"/>
      <c r="N1291" s="70"/>
      <c r="O1291" s="77" t="s">
        <v>179</v>
      </c>
      <c r="P1291" s="79">
        <v>45093.76048611111</v>
      </c>
      <c r="Q1291" s="77" t="s">
        <v>3210</v>
      </c>
      <c r="R1291" s="77">
        <v>0</v>
      </c>
      <c r="S1291" s="77">
        <v>2</v>
      </c>
      <c r="T1291" s="77">
        <v>0</v>
      </c>
      <c r="U1291" s="77">
        <v>1</v>
      </c>
      <c r="V1291" s="77">
        <v>656</v>
      </c>
      <c r="W1291" s="77"/>
      <c r="X1291" s="83" t="str">
        <f>HYPERLINK("https://www.estudiospublicos.cl/index.php/cep/article/view/89/95")</f>
        <v>https://www.estudiospublicos.cl/index.php/cep/article/view/89/95</v>
      </c>
      <c r="Y1291" s="77" t="s">
        <v>8737</v>
      </c>
      <c r="Z1291" s="77"/>
      <c r="AA1291" s="77" t="s">
        <v>9468</v>
      </c>
      <c r="AB1291" s="77" t="s">
        <v>10535</v>
      </c>
      <c r="AC1291" s="80" t="s">
        <v>10540</v>
      </c>
      <c r="AD1291" s="77" t="s">
        <v>10620</v>
      </c>
      <c r="AE1291" s="83" t="str">
        <f>HYPERLINK("https://twitter.com/estpublicos/status/1669770591199526920")</f>
        <v>https://twitter.com/estpublicos/status/1669770591199526920</v>
      </c>
      <c r="AF1291" s="79">
        <v>45093.76048611111</v>
      </c>
      <c r="AG1291" s="85">
        <v>45093</v>
      </c>
      <c r="AH1291" s="80" t="s">
        <v>11762</v>
      </c>
      <c r="AI1291" s="77" t="b">
        <v>0</v>
      </c>
      <c r="AJ1291" s="77"/>
      <c r="AK1291" s="77"/>
      <c r="AL1291" s="77"/>
      <c r="AM1291" s="77"/>
      <c r="AN1291" s="77"/>
      <c r="AO1291" s="77"/>
      <c r="AP1291" s="77"/>
      <c r="AQ1291" s="77" t="s">
        <v>14950</v>
      </c>
      <c r="AR1291" s="77"/>
      <c r="AS1291" s="77"/>
      <c r="AT1291" s="77"/>
      <c r="AU1291" s="77"/>
      <c r="AV1291" s="83" t="str">
        <f>HYPERLINK("https://pbs.twimg.com/media/Fyw3gPHXgAge-xC.jpg")</f>
        <v>https://pbs.twimg.com/media/Fyw3gPHXgAge-xC.jpg</v>
      </c>
      <c r="AW1291" s="80" t="s">
        <v>17178</v>
      </c>
      <c r="AX1291" s="80" t="s">
        <v>17178</v>
      </c>
      <c r="AY1291" s="77"/>
      <c r="AZ1291" s="80" t="s">
        <v>20380</v>
      </c>
      <c r="BA1291" s="80" t="s">
        <v>20380</v>
      </c>
      <c r="BB1291" s="80" t="s">
        <v>20380</v>
      </c>
      <c r="BC1291" s="80" t="s">
        <v>17178</v>
      </c>
      <c r="BD1291" s="80" t="s">
        <v>20732</v>
      </c>
      <c r="BE1291" s="77"/>
      <c r="BF1291" s="77"/>
      <c r="BG1291" s="77"/>
      <c r="BH1291" s="77"/>
      <c r="BI1291" s="77"/>
    </row>
    <row r="1292" spans="1:61" x14ac:dyDescent="0.25">
      <c r="A1292" s="62" t="s">
        <v>722</v>
      </c>
      <c r="B1292" s="62" t="s">
        <v>722</v>
      </c>
      <c r="C1292" s="63"/>
      <c r="D1292" s="64"/>
      <c r="E1292" s="65"/>
      <c r="F1292" s="66"/>
      <c r="G1292" s="63"/>
      <c r="H1292" s="67"/>
      <c r="I1292" s="68"/>
      <c r="J1292" s="68"/>
      <c r="K1292" s="32"/>
      <c r="L1292" s="75">
        <v>1292</v>
      </c>
      <c r="M1292" s="75"/>
      <c r="N1292" s="70"/>
      <c r="O1292" s="77" t="s">
        <v>2082</v>
      </c>
      <c r="P1292" s="79">
        <v>45093.88212962963</v>
      </c>
      <c r="Q1292" s="77" t="s">
        <v>3211</v>
      </c>
      <c r="R1292" s="77">
        <v>0</v>
      </c>
      <c r="S1292" s="77">
        <v>2</v>
      </c>
      <c r="T1292" s="77">
        <v>0</v>
      </c>
      <c r="U1292" s="77">
        <v>0</v>
      </c>
      <c r="V1292" s="77">
        <v>330</v>
      </c>
      <c r="W1292" s="80" t="s">
        <v>6802</v>
      </c>
      <c r="X1292" s="77"/>
      <c r="Y1292" s="77"/>
      <c r="Z1292" s="77"/>
      <c r="AA1292" s="77"/>
      <c r="AB1292" s="77"/>
      <c r="AC1292" s="80" t="s">
        <v>10540</v>
      </c>
      <c r="AD1292" s="77" t="s">
        <v>10620</v>
      </c>
      <c r="AE1292" s="83" t="str">
        <f>HYPERLINK("https://twitter.com/estpublicos/status/1669814673678512130")</f>
        <v>https://twitter.com/estpublicos/status/1669814673678512130</v>
      </c>
      <c r="AF1292" s="79">
        <v>45093.88212962963</v>
      </c>
      <c r="AG1292" s="85">
        <v>45093</v>
      </c>
      <c r="AH1292" s="80" t="s">
        <v>11763</v>
      </c>
      <c r="AI1292" s="77"/>
      <c r="AJ1292" s="77"/>
      <c r="AK1292" s="77"/>
      <c r="AL1292" s="77"/>
      <c r="AM1292" s="77"/>
      <c r="AN1292" s="77"/>
      <c r="AO1292" s="77"/>
      <c r="AP1292" s="77"/>
      <c r="AQ1292" s="77"/>
      <c r="AR1292" s="77"/>
      <c r="AS1292" s="77"/>
      <c r="AT1292" s="77"/>
      <c r="AU1292" s="77"/>
      <c r="AV1292" s="83" t="str">
        <f>HYPERLINK("https://pbs.twimg.com/profile_images/1433196728690384896/jyJeeKm7_normal.jpg")</f>
        <v>https://pbs.twimg.com/profile_images/1433196728690384896/jyJeeKm7_normal.jpg</v>
      </c>
      <c r="AW1292" s="80" t="s">
        <v>17179</v>
      </c>
      <c r="AX1292" s="80" t="s">
        <v>17179</v>
      </c>
      <c r="AY1292" s="77"/>
      <c r="AZ1292" s="80" t="s">
        <v>20380</v>
      </c>
      <c r="BA1292" s="80" t="s">
        <v>17178</v>
      </c>
      <c r="BB1292" s="80" t="s">
        <v>20380</v>
      </c>
      <c r="BC1292" s="80" t="s">
        <v>17178</v>
      </c>
      <c r="BD1292" s="80" t="s">
        <v>20732</v>
      </c>
      <c r="BE1292" s="77"/>
      <c r="BF1292" s="77"/>
      <c r="BG1292" s="77"/>
      <c r="BH1292" s="77"/>
      <c r="BI1292" s="77"/>
    </row>
    <row r="1293" spans="1:61" x14ac:dyDescent="0.25">
      <c r="A1293" s="62" t="s">
        <v>723</v>
      </c>
      <c r="B1293" s="62" t="s">
        <v>723</v>
      </c>
      <c r="C1293" s="63"/>
      <c r="D1293" s="64"/>
      <c r="E1293" s="65"/>
      <c r="F1293" s="66"/>
      <c r="G1293" s="63"/>
      <c r="H1293" s="67"/>
      <c r="I1293" s="68"/>
      <c r="J1293" s="68"/>
      <c r="K1293" s="32"/>
      <c r="L1293" s="75">
        <v>1293</v>
      </c>
      <c r="M1293" s="75"/>
      <c r="N1293" s="70"/>
      <c r="O1293" s="77" t="s">
        <v>179</v>
      </c>
      <c r="P1293" s="79">
        <v>45086.636134259257</v>
      </c>
      <c r="Q1293" s="77" t="s">
        <v>3212</v>
      </c>
      <c r="R1293" s="77">
        <v>0</v>
      </c>
      <c r="S1293" s="77">
        <v>0</v>
      </c>
      <c r="T1293" s="77">
        <v>0</v>
      </c>
      <c r="U1293" s="77">
        <v>0</v>
      </c>
      <c r="V1293" s="77">
        <v>12</v>
      </c>
      <c r="W1293" s="80" t="s">
        <v>6803</v>
      </c>
      <c r="X1293" s="83" t="str">
        <f>HYPERLINK("https://www.entrelinhasgoias.com.br/ipca-menor-aumenta-expectativa-de-queda-nos-juros-do-bc/")</f>
        <v>https://www.entrelinhasgoias.com.br/ipca-menor-aumenta-expectativa-de-queda-nos-juros-do-bc/</v>
      </c>
      <c r="Y1293" s="77" t="s">
        <v>8611</v>
      </c>
      <c r="Z1293" s="77"/>
      <c r="AA1293" s="77"/>
      <c r="AB1293" s="77"/>
      <c r="AC1293" s="80" t="s">
        <v>10541</v>
      </c>
      <c r="AD1293" s="77" t="s">
        <v>10617</v>
      </c>
      <c r="AE1293" s="83" t="str">
        <f>HYPERLINK("https://twitter.com/entrelinhasg/status/1667188810730307587")</f>
        <v>https://twitter.com/entrelinhasg/status/1667188810730307587</v>
      </c>
      <c r="AF1293" s="79">
        <v>45086.636134259257</v>
      </c>
      <c r="AG1293" s="85">
        <v>45086</v>
      </c>
      <c r="AH1293" s="80" t="s">
        <v>11764</v>
      </c>
      <c r="AI1293" s="77" t="b">
        <v>0</v>
      </c>
      <c r="AJ1293" s="77"/>
      <c r="AK1293" s="77"/>
      <c r="AL1293" s="77"/>
      <c r="AM1293" s="77"/>
      <c r="AN1293" s="77"/>
      <c r="AO1293" s="77"/>
      <c r="AP1293" s="77"/>
      <c r="AQ1293" s="77"/>
      <c r="AR1293" s="77"/>
      <c r="AS1293" s="77"/>
      <c r="AT1293" s="77"/>
      <c r="AU1293" s="77"/>
      <c r="AV1293" s="83" t="str">
        <f>HYPERLINK("https://pbs.twimg.com/profile_images/1413136186571296773/F2PEXIQ-_normal.jpg")</f>
        <v>https://pbs.twimg.com/profile_images/1413136186571296773/F2PEXIQ-_normal.jpg</v>
      </c>
      <c r="AW1293" s="80" t="s">
        <v>17180</v>
      </c>
      <c r="AX1293" s="80" t="s">
        <v>17180</v>
      </c>
      <c r="AY1293" s="77"/>
      <c r="AZ1293" s="80" t="s">
        <v>20380</v>
      </c>
      <c r="BA1293" s="80" t="s">
        <v>20380</v>
      </c>
      <c r="BB1293" s="80" t="s">
        <v>20380</v>
      </c>
      <c r="BC1293" s="80" t="s">
        <v>17180</v>
      </c>
      <c r="BD1293" s="80" t="s">
        <v>20733</v>
      </c>
      <c r="BE1293" s="77"/>
      <c r="BF1293" s="77"/>
      <c r="BG1293" s="77"/>
      <c r="BH1293" s="77"/>
      <c r="BI1293" s="77"/>
    </row>
    <row r="1294" spans="1:61" x14ac:dyDescent="0.25">
      <c r="A1294" s="62" t="s">
        <v>723</v>
      </c>
      <c r="B1294" s="62" t="s">
        <v>723</v>
      </c>
      <c r="C1294" s="63"/>
      <c r="D1294" s="64"/>
      <c r="E1294" s="65"/>
      <c r="F1294" s="66"/>
      <c r="G1294" s="63"/>
      <c r="H1294" s="67"/>
      <c r="I1294" s="68"/>
      <c r="J1294" s="68"/>
      <c r="K1294" s="32"/>
      <c r="L1294" s="75">
        <v>1294</v>
      </c>
      <c r="M1294" s="75"/>
      <c r="N1294" s="70"/>
      <c r="O1294" s="77" t="s">
        <v>179</v>
      </c>
      <c r="P1294" s="79">
        <v>45104.735000000001</v>
      </c>
      <c r="Q1294" s="77" t="s">
        <v>3213</v>
      </c>
      <c r="R1294" s="77">
        <v>1</v>
      </c>
      <c r="S1294" s="77">
        <v>0</v>
      </c>
      <c r="T1294" s="77">
        <v>0</v>
      </c>
      <c r="U1294" s="77">
        <v>0</v>
      </c>
      <c r="V1294" s="77">
        <v>33</v>
      </c>
      <c r="W1294" s="80" t="s">
        <v>6804</v>
      </c>
      <c r="X1294" s="83" t="str">
        <f>HYPERLINK("https://www.entrelinhasgoias.com.br/bc-sinaliza-para-queda-gradual-dos-juros-em-agosto/")</f>
        <v>https://www.entrelinhasgoias.com.br/bc-sinaliza-para-queda-gradual-dos-juros-em-agosto/</v>
      </c>
      <c r="Y1294" s="77" t="s">
        <v>8611</v>
      </c>
      <c r="Z1294" s="77"/>
      <c r="AA1294" s="77"/>
      <c r="AB1294" s="77"/>
      <c r="AC1294" s="80" t="s">
        <v>10541</v>
      </c>
      <c r="AD1294" s="77" t="s">
        <v>10617</v>
      </c>
      <c r="AE1294" s="83" t="str">
        <f>HYPERLINK("https://twitter.com/entrelinhasg/status/1673747623868596225")</f>
        <v>https://twitter.com/entrelinhasg/status/1673747623868596225</v>
      </c>
      <c r="AF1294" s="79">
        <v>45104.735000000001</v>
      </c>
      <c r="AG1294" s="85">
        <v>45104</v>
      </c>
      <c r="AH1294" s="80" t="s">
        <v>11765</v>
      </c>
      <c r="AI1294" s="77" t="b">
        <v>0</v>
      </c>
      <c r="AJ1294" s="77"/>
      <c r="AK1294" s="77"/>
      <c r="AL1294" s="77"/>
      <c r="AM1294" s="77"/>
      <c r="AN1294" s="77"/>
      <c r="AO1294" s="77"/>
      <c r="AP1294" s="77"/>
      <c r="AQ1294" s="77"/>
      <c r="AR1294" s="77"/>
      <c r="AS1294" s="77"/>
      <c r="AT1294" s="77"/>
      <c r="AU1294" s="77"/>
      <c r="AV1294" s="83" t="str">
        <f>HYPERLINK("https://pbs.twimg.com/profile_images/1413136186571296773/F2PEXIQ-_normal.jpg")</f>
        <v>https://pbs.twimg.com/profile_images/1413136186571296773/F2PEXIQ-_normal.jpg</v>
      </c>
      <c r="AW1294" s="80" t="s">
        <v>17181</v>
      </c>
      <c r="AX1294" s="80" t="s">
        <v>17181</v>
      </c>
      <c r="AY1294" s="77"/>
      <c r="AZ1294" s="80" t="s">
        <v>20380</v>
      </c>
      <c r="BA1294" s="80" t="s">
        <v>20380</v>
      </c>
      <c r="BB1294" s="80" t="s">
        <v>20380</v>
      </c>
      <c r="BC1294" s="80" t="s">
        <v>17181</v>
      </c>
      <c r="BD1294" s="80" t="s">
        <v>20733</v>
      </c>
      <c r="BE1294" s="77"/>
      <c r="BF1294" s="77"/>
      <c r="BG1294" s="77"/>
      <c r="BH1294" s="77"/>
      <c r="BI1294" s="77"/>
    </row>
    <row r="1295" spans="1:61" x14ac:dyDescent="0.25">
      <c r="A1295" s="62" t="s">
        <v>724</v>
      </c>
      <c r="B1295" s="62" t="s">
        <v>724</v>
      </c>
      <c r="C1295" s="63"/>
      <c r="D1295" s="64"/>
      <c r="E1295" s="65"/>
      <c r="F1295" s="66"/>
      <c r="G1295" s="63"/>
      <c r="H1295" s="67"/>
      <c r="I1295" s="68"/>
      <c r="J1295" s="68"/>
      <c r="K1295" s="32"/>
      <c r="L1295" s="75">
        <v>1295</v>
      </c>
      <c r="M1295" s="75"/>
      <c r="N1295" s="70"/>
      <c r="O1295" s="77" t="s">
        <v>179</v>
      </c>
      <c r="P1295" s="79">
        <v>45085.947476851848</v>
      </c>
      <c r="Q1295" s="77" t="s">
        <v>3214</v>
      </c>
      <c r="R1295" s="77">
        <v>0</v>
      </c>
      <c r="S1295" s="77">
        <v>1</v>
      </c>
      <c r="T1295" s="77">
        <v>0</v>
      </c>
      <c r="U1295" s="77">
        <v>0</v>
      </c>
      <c r="V1295" s="77">
        <v>1064</v>
      </c>
      <c r="W1295" s="80" t="s">
        <v>6805</v>
      </c>
      <c r="X1295" s="83" t="str">
        <f>HYPERLINK("https://www.larepublica.net/noticia/acciones-urgentes-para-frenar-la-volatilidad-del-dolar-exigen-empresarios-al-banco-central?utm_medium=Social&amp;utm_source=Twitter#Echobox=1686253151-1")</f>
        <v>https://www.larepublica.net/noticia/acciones-urgentes-para-frenar-la-volatilidad-del-dolar-exigen-empresarios-al-banco-central?utm_medium=Social&amp;utm_source=Twitter#Echobox=1686253151-1</v>
      </c>
      <c r="Y1295" s="77" t="s">
        <v>8738</v>
      </c>
      <c r="Z1295" s="77"/>
      <c r="AA1295" s="77"/>
      <c r="AB1295" s="77"/>
      <c r="AC1295" s="80" t="s">
        <v>10581</v>
      </c>
      <c r="AD1295" s="77" t="s">
        <v>10620</v>
      </c>
      <c r="AE1295" s="83" t="str">
        <f>HYPERLINK("https://twitter.com/la_republica/status/1666939251978543104")</f>
        <v>https://twitter.com/la_republica/status/1666939251978543104</v>
      </c>
      <c r="AF1295" s="79">
        <v>45085.947476851848</v>
      </c>
      <c r="AG1295" s="85">
        <v>45085</v>
      </c>
      <c r="AH1295" s="80" t="s">
        <v>11766</v>
      </c>
      <c r="AI1295" s="77" t="b">
        <v>0</v>
      </c>
      <c r="AJ1295" s="77"/>
      <c r="AK1295" s="77"/>
      <c r="AL1295" s="77"/>
      <c r="AM1295" s="77"/>
      <c r="AN1295" s="77"/>
      <c r="AO1295" s="77"/>
      <c r="AP1295" s="77"/>
      <c r="AQ1295" s="77"/>
      <c r="AR1295" s="77"/>
      <c r="AS1295" s="77"/>
      <c r="AT1295" s="77"/>
      <c r="AU1295" s="77"/>
      <c r="AV1295" s="83" t="str">
        <f>HYPERLINK("https://pbs.twimg.com/profile_images/1678779436647485440/_4xjIZIh_normal.jpg")</f>
        <v>https://pbs.twimg.com/profile_images/1678779436647485440/_4xjIZIh_normal.jpg</v>
      </c>
      <c r="AW1295" s="80" t="s">
        <v>17182</v>
      </c>
      <c r="AX1295" s="80" t="s">
        <v>17182</v>
      </c>
      <c r="AY1295" s="77"/>
      <c r="AZ1295" s="80" t="s">
        <v>20380</v>
      </c>
      <c r="BA1295" s="80" t="s">
        <v>20380</v>
      </c>
      <c r="BB1295" s="80" t="s">
        <v>20380</v>
      </c>
      <c r="BC1295" s="80" t="s">
        <v>17182</v>
      </c>
      <c r="BD1295" s="77">
        <v>50475393</v>
      </c>
      <c r="BE1295" s="77"/>
      <c r="BF1295" s="77"/>
      <c r="BG1295" s="77"/>
      <c r="BH1295" s="77"/>
      <c r="BI1295" s="77"/>
    </row>
    <row r="1296" spans="1:61" x14ac:dyDescent="0.25">
      <c r="A1296" s="62" t="s">
        <v>724</v>
      </c>
      <c r="B1296" s="62" t="s">
        <v>724</v>
      </c>
      <c r="C1296" s="63"/>
      <c r="D1296" s="64"/>
      <c r="E1296" s="65"/>
      <c r="F1296" s="66"/>
      <c r="G1296" s="63"/>
      <c r="H1296" s="67"/>
      <c r="I1296" s="68"/>
      <c r="J1296" s="68"/>
      <c r="K1296" s="32"/>
      <c r="L1296" s="75">
        <v>1296</v>
      </c>
      <c r="M1296" s="75"/>
      <c r="N1296" s="70"/>
      <c r="O1296" s="77" t="s">
        <v>179</v>
      </c>
      <c r="P1296" s="79">
        <v>45116.73945601852</v>
      </c>
      <c r="Q1296" s="77" t="s">
        <v>3215</v>
      </c>
      <c r="R1296" s="77">
        <v>0</v>
      </c>
      <c r="S1296" s="77">
        <v>0</v>
      </c>
      <c r="T1296" s="77">
        <v>0</v>
      </c>
      <c r="U1296" s="77">
        <v>0</v>
      </c>
      <c r="V1296" s="77">
        <v>1034</v>
      </c>
      <c r="W1296" s="80" t="s">
        <v>6806</v>
      </c>
      <c r="X1296" s="83" t="str">
        <f>HYPERLINK("https://www.larepublica.net/noticia/rodrigo-chaves-solicita-al-banco-central-disminuir-las-tasas-de-interes?utm_medium=Social&amp;utm_source=Twitter#Echobox=1688770899-1")</f>
        <v>https://www.larepublica.net/noticia/rodrigo-chaves-solicita-al-banco-central-disminuir-las-tasas-de-interes?utm_medium=Social&amp;utm_source=Twitter#Echobox=1688770899-1</v>
      </c>
      <c r="Y1296" s="77" t="s">
        <v>8738</v>
      </c>
      <c r="Z1296" s="77"/>
      <c r="AA1296" s="77"/>
      <c r="AB1296" s="77"/>
      <c r="AC1296" s="80" t="s">
        <v>10581</v>
      </c>
      <c r="AD1296" s="77" t="s">
        <v>10620</v>
      </c>
      <c r="AE1296" s="83" t="str">
        <f>HYPERLINK("https://twitter.com/la_republica/status/1678097891552837634")</f>
        <v>https://twitter.com/la_republica/status/1678097891552837634</v>
      </c>
      <c r="AF1296" s="79">
        <v>45116.73945601852</v>
      </c>
      <c r="AG1296" s="85">
        <v>45116</v>
      </c>
      <c r="AH1296" s="80" t="s">
        <v>11767</v>
      </c>
      <c r="AI1296" s="77" t="b">
        <v>0</v>
      </c>
      <c r="AJ1296" s="77"/>
      <c r="AK1296" s="77"/>
      <c r="AL1296" s="77"/>
      <c r="AM1296" s="77"/>
      <c r="AN1296" s="77"/>
      <c r="AO1296" s="77"/>
      <c r="AP1296" s="77"/>
      <c r="AQ1296" s="77"/>
      <c r="AR1296" s="77"/>
      <c r="AS1296" s="77"/>
      <c r="AT1296" s="77"/>
      <c r="AU1296" s="77"/>
      <c r="AV1296" s="83" t="str">
        <f>HYPERLINK("https://pbs.twimg.com/profile_images/1678779436647485440/_4xjIZIh_normal.jpg")</f>
        <v>https://pbs.twimg.com/profile_images/1678779436647485440/_4xjIZIh_normal.jpg</v>
      </c>
      <c r="AW1296" s="80" t="s">
        <v>17183</v>
      </c>
      <c r="AX1296" s="80" t="s">
        <v>17183</v>
      </c>
      <c r="AY1296" s="77"/>
      <c r="AZ1296" s="80" t="s">
        <v>20380</v>
      </c>
      <c r="BA1296" s="80" t="s">
        <v>20380</v>
      </c>
      <c r="BB1296" s="80" t="s">
        <v>20380</v>
      </c>
      <c r="BC1296" s="80" t="s">
        <v>17183</v>
      </c>
      <c r="BD1296" s="77">
        <v>50475393</v>
      </c>
      <c r="BE1296" s="77"/>
      <c r="BF1296" s="77"/>
      <c r="BG1296" s="77"/>
      <c r="BH1296" s="77"/>
      <c r="BI1296" s="77"/>
    </row>
    <row r="1297" spans="1:61" x14ac:dyDescent="0.25">
      <c r="A1297" s="62" t="s">
        <v>724</v>
      </c>
      <c r="B1297" s="62" t="s">
        <v>724</v>
      </c>
      <c r="C1297" s="63"/>
      <c r="D1297" s="64"/>
      <c r="E1297" s="65"/>
      <c r="F1297" s="66"/>
      <c r="G1297" s="63"/>
      <c r="H1297" s="67"/>
      <c r="I1297" s="68"/>
      <c r="J1297" s="68"/>
      <c r="K1297" s="32"/>
      <c r="L1297" s="75">
        <v>1297</v>
      </c>
      <c r="M1297" s="75"/>
      <c r="N1297" s="70"/>
      <c r="O1297" s="77" t="s">
        <v>179</v>
      </c>
      <c r="P1297" s="79">
        <v>45170.696782407409</v>
      </c>
      <c r="Q1297" s="77" t="s">
        <v>3216</v>
      </c>
      <c r="R1297" s="77">
        <v>0</v>
      </c>
      <c r="S1297" s="77">
        <v>0</v>
      </c>
      <c r="T1297" s="77">
        <v>0</v>
      </c>
      <c r="U1297" s="77">
        <v>0</v>
      </c>
      <c r="V1297" s="77">
        <v>723</v>
      </c>
      <c r="W1297" s="80" t="s">
        <v>6807</v>
      </c>
      <c r="X1297" s="83" t="str">
        <f>HYPERLINK("https://www.larepublica.net/noticia/fiscalia-allana-oficinas-de-conassif-en-el-banco-central-para-incautar-documentos?utm_medium=Social&amp;utm_source=Twitter#Echobox=1693586598-1")</f>
        <v>https://www.larepublica.net/noticia/fiscalia-allana-oficinas-de-conassif-en-el-banco-central-para-incautar-documentos?utm_medium=Social&amp;utm_source=Twitter#Echobox=1693586598-1</v>
      </c>
      <c r="Y1297" s="77" t="s">
        <v>8738</v>
      </c>
      <c r="Z1297" s="77"/>
      <c r="AA1297" s="77"/>
      <c r="AB1297" s="77"/>
      <c r="AC1297" s="80" t="s">
        <v>10581</v>
      </c>
      <c r="AD1297" s="77" t="s">
        <v>10620</v>
      </c>
      <c r="AE1297" s="83" t="str">
        <f>HYPERLINK("https://twitter.com/la_republica/status/1697651370663301183")</f>
        <v>https://twitter.com/la_republica/status/1697651370663301183</v>
      </c>
      <c r="AF1297" s="79">
        <v>45170.696782407409</v>
      </c>
      <c r="AG1297" s="85">
        <v>45170</v>
      </c>
      <c r="AH1297" s="80" t="s">
        <v>11768</v>
      </c>
      <c r="AI1297" s="77" t="b">
        <v>0</v>
      </c>
      <c r="AJ1297" s="77"/>
      <c r="AK1297" s="77"/>
      <c r="AL1297" s="77"/>
      <c r="AM1297" s="77"/>
      <c r="AN1297" s="77"/>
      <c r="AO1297" s="77"/>
      <c r="AP1297" s="77"/>
      <c r="AQ1297" s="77"/>
      <c r="AR1297" s="77"/>
      <c r="AS1297" s="77"/>
      <c r="AT1297" s="77"/>
      <c r="AU1297" s="77"/>
      <c r="AV1297" s="83" t="str">
        <f>HYPERLINK("https://pbs.twimg.com/profile_images/1678779436647485440/_4xjIZIh_normal.jpg")</f>
        <v>https://pbs.twimg.com/profile_images/1678779436647485440/_4xjIZIh_normal.jpg</v>
      </c>
      <c r="AW1297" s="80" t="s">
        <v>17184</v>
      </c>
      <c r="AX1297" s="80" t="s">
        <v>17184</v>
      </c>
      <c r="AY1297" s="77"/>
      <c r="AZ1297" s="80" t="s">
        <v>20380</v>
      </c>
      <c r="BA1297" s="80" t="s">
        <v>20380</v>
      </c>
      <c r="BB1297" s="80" t="s">
        <v>20380</v>
      </c>
      <c r="BC1297" s="80" t="s">
        <v>17184</v>
      </c>
      <c r="BD1297" s="77">
        <v>50475393</v>
      </c>
      <c r="BE1297" s="77"/>
      <c r="BF1297" s="77"/>
      <c r="BG1297" s="77"/>
      <c r="BH1297" s="77"/>
      <c r="BI1297" s="77"/>
    </row>
    <row r="1298" spans="1:61" x14ac:dyDescent="0.25">
      <c r="A1298" s="62" t="s">
        <v>724</v>
      </c>
      <c r="B1298" s="62" t="s">
        <v>724</v>
      </c>
      <c r="C1298" s="63"/>
      <c r="D1298" s="64"/>
      <c r="E1298" s="65"/>
      <c r="F1298" s="66"/>
      <c r="G1298" s="63"/>
      <c r="H1298" s="67"/>
      <c r="I1298" s="68"/>
      <c r="J1298" s="68"/>
      <c r="K1298" s="32"/>
      <c r="L1298" s="75">
        <v>1298</v>
      </c>
      <c r="M1298" s="75"/>
      <c r="N1298" s="70"/>
      <c r="O1298" s="77" t="s">
        <v>179</v>
      </c>
      <c r="P1298" s="79">
        <v>45114.604166666664</v>
      </c>
      <c r="Q1298" s="77" t="s">
        <v>3217</v>
      </c>
      <c r="R1298" s="77">
        <v>0</v>
      </c>
      <c r="S1298" s="77">
        <v>4</v>
      </c>
      <c r="T1298" s="77">
        <v>0</v>
      </c>
      <c r="U1298" s="77">
        <v>0</v>
      </c>
      <c r="V1298" s="77">
        <v>635</v>
      </c>
      <c r="W1298" s="80" t="s">
        <v>6808</v>
      </c>
      <c r="X1298" s="83" t="str">
        <f>HYPERLINK("https://www.larepublica.net/noticia/sector-turistico-acuerpa-a-rodrigo-chaves-en-llamado-a-reducir-la-tasa-politica-monetaria?utm_medium=Social&amp;utm_source=Twitter#Echobox=1688739930")</f>
        <v>https://www.larepublica.net/noticia/sector-turistico-acuerpa-a-rodrigo-chaves-en-llamado-a-reducir-la-tasa-politica-monetaria?utm_medium=Social&amp;utm_source=Twitter#Echobox=1688739930</v>
      </c>
      <c r="Y1298" s="77" t="s">
        <v>8738</v>
      </c>
      <c r="Z1298" s="77"/>
      <c r="AA1298" s="77"/>
      <c r="AB1298" s="77"/>
      <c r="AC1298" s="80" t="s">
        <v>10541</v>
      </c>
      <c r="AD1298" s="77" t="s">
        <v>10620</v>
      </c>
      <c r="AE1298" s="83" t="str">
        <f>HYPERLINK("https://twitter.com/la_republica/status/1677324087146717184")</f>
        <v>https://twitter.com/la_republica/status/1677324087146717184</v>
      </c>
      <c r="AF1298" s="79">
        <v>45114.604166666664</v>
      </c>
      <c r="AG1298" s="85">
        <v>45114</v>
      </c>
      <c r="AH1298" s="80" t="s">
        <v>10855</v>
      </c>
      <c r="AI1298" s="77" t="b">
        <v>0</v>
      </c>
      <c r="AJ1298" s="77"/>
      <c r="AK1298" s="77"/>
      <c r="AL1298" s="77"/>
      <c r="AM1298" s="77"/>
      <c r="AN1298" s="77"/>
      <c r="AO1298" s="77"/>
      <c r="AP1298" s="77"/>
      <c r="AQ1298" s="77"/>
      <c r="AR1298" s="77"/>
      <c r="AS1298" s="77"/>
      <c r="AT1298" s="77"/>
      <c r="AU1298" s="77"/>
      <c r="AV1298" s="83" t="str">
        <f>HYPERLINK("https://pbs.twimg.com/profile_images/1678779436647485440/_4xjIZIh_normal.jpg")</f>
        <v>https://pbs.twimg.com/profile_images/1678779436647485440/_4xjIZIh_normal.jpg</v>
      </c>
      <c r="AW1298" s="80" t="s">
        <v>17185</v>
      </c>
      <c r="AX1298" s="80" t="s">
        <v>17185</v>
      </c>
      <c r="AY1298" s="77"/>
      <c r="AZ1298" s="80" t="s">
        <v>20380</v>
      </c>
      <c r="BA1298" s="80" t="s">
        <v>20380</v>
      </c>
      <c r="BB1298" s="80" t="s">
        <v>20380</v>
      </c>
      <c r="BC1298" s="80" t="s">
        <v>17185</v>
      </c>
      <c r="BD1298" s="77">
        <v>50475393</v>
      </c>
      <c r="BE1298" s="77"/>
      <c r="BF1298" s="77"/>
      <c r="BG1298" s="77"/>
      <c r="BH1298" s="77"/>
      <c r="BI1298" s="77"/>
    </row>
    <row r="1299" spans="1:61" x14ac:dyDescent="0.25">
      <c r="A1299" s="62" t="s">
        <v>724</v>
      </c>
      <c r="B1299" s="62" t="s">
        <v>724</v>
      </c>
      <c r="C1299" s="63"/>
      <c r="D1299" s="64"/>
      <c r="E1299" s="65"/>
      <c r="F1299" s="66"/>
      <c r="G1299" s="63"/>
      <c r="H1299" s="67"/>
      <c r="I1299" s="68"/>
      <c r="J1299" s="68"/>
      <c r="K1299" s="32"/>
      <c r="L1299" s="75">
        <v>1299</v>
      </c>
      <c r="M1299" s="75"/>
      <c r="N1299" s="70"/>
      <c r="O1299" s="77" t="s">
        <v>179</v>
      </c>
      <c r="P1299" s="79">
        <v>45112.98333333333</v>
      </c>
      <c r="Q1299" s="77" t="s">
        <v>3218</v>
      </c>
      <c r="R1299" s="77">
        <v>1</v>
      </c>
      <c r="S1299" s="77">
        <v>6</v>
      </c>
      <c r="T1299" s="77">
        <v>0</v>
      </c>
      <c r="U1299" s="77">
        <v>0</v>
      </c>
      <c r="V1299" s="77">
        <v>844</v>
      </c>
      <c r="W1299" s="80" t="s">
        <v>6809</v>
      </c>
      <c r="X1299" s="83" t="str">
        <f>HYPERLINK("https://www.larepublica.net/noticia/pago-electronico-en-servicios-publicos-debe-analizarse-con-prudencia-asegura-presidente-del-banco-central?utm_medium=Social&amp;utm_source=Twitter#Echobox=1688599512")</f>
        <v>https://www.larepublica.net/noticia/pago-electronico-en-servicios-publicos-debe-analizarse-con-prudencia-asegura-presidente-del-banco-central?utm_medium=Social&amp;utm_source=Twitter#Echobox=1688599512</v>
      </c>
      <c r="Y1299" s="77" t="s">
        <v>8738</v>
      </c>
      <c r="Z1299" s="77"/>
      <c r="AA1299" s="77"/>
      <c r="AB1299" s="77"/>
      <c r="AC1299" s="80" t="s">
        <v>10541</v>
      </c>
      <c r="AD1299" s="77" t="s">
        <v>10620</v>
      </c>
      <c r="AE1299" s="83" t="str">
        <f>HYPERLINK("https://twitter.com/la_republica/status/1676736716693213184")</f>
        <v>https://twitter.com/la_republica/status/1676736716693213184</v>
      </c>
      <c r="AF1299" s="79">
        <v>45112.98333333333</v>
      </c>
      <c r="AG1299" s="85">
        <v>45112</v>
      </c>
      <c r="AH1299" s="80" t="s">
        <v>11769</v>
      </c>
      <c r="AI1299" s="77" t="b">
        <v>0</v>
      </c>
      <c r="AJ1299" s="77"/>
      <c r="AK1299" s="77"/>
      <c r="AL1299" s="77"/>
      <c r="AM1299" s="77"/>
      <c r="AN1299" s="77"/>
      <c r="AO1299" s="77"/>
      <c r="AP1299" s="77"/>
      <c r="AQ1299" s="77"/>
      <c r="AR1299" s="77"/>
      <c r="AS1299" s="77"/>
      <c r="AT1299" s="77"/>
      <c r="AU1299" s="77"/>
      <c r="AV1299" s="83" t="str">
        <f>HYPERLINK("https://pbs.twimg.com/profile_images/1678779436647485440/_4xjIZIh_normal.jpg")</f>
        <v>https://pbs.twimg.com/profile_images/1678779436647485440/_4xjIZIh_normal.jpg</v>
      </c>
      <c r="AW1299" s="80" t="s">
        <v>17186</v>
      </c>
      <c r="AX1299" s="80" t="s">
        <v>17186</v>
      </c>
      <c r="AY1299" s="77"/>
      <c r="AZ1299" s="80" t="s">
        <v>20380</v>
      </c>
      <c r="BA1299" s="80" t="s">
        <v>20380</v>
      </c>
      <c r="BB1299" s="80" t="s">
        <v>20380</v>
      </c>
      <c r="BC1299" s="80" t="s">
        <v>17186</v>
      </c>
      <c r="BD1299" s="77">
        <v>50475393</v>
      </c>
      <c r="BE1299" s="77"/>
      <c r="BF1299" s="77"/>
      <c r="BG1299" s="77"/>
      <c r="BH1299" s="77"/>
      <c r="BI1299" s="77"/>
    </row>
    <row r="1300" spans="1:61" x14ac:dyDescent="0.25">
      <c r="A1300" s="62" t="s">
        <v>725</v>
      </c>
      <c r="B1300" s="62" t="s">
        <v>725</v>
      </c>
      <c r="C1300" s="63"/>
      <c r="D1300" s="64"/>
      <c r="E1300" s="65"/>
      <c r="F1300" s="66"/>
      <c r="G1300" s="63"/>
      <c r="H1300" s="67"/>
      <c r="I1300" s="68"/>
      <c r="J1300" s="68"/>
      <c r="K1300" s="32"/>
      <c r="L1300" s="75">
        <v>1300</v>
      </c>
      <c r="M1300" s="75"/>
      <c r="N1300" s="70"/>
      <c r="O1300" s="77" t="s">
        <v>179</v>
      </c>
      <c r="P1300" s="79">
        <v>45092.90016203704</v>
      </c>
      <c r="Q1300" s="77" t="s">
        <v>3219</v>
      </c>
      <c r="R1300" s="77">
        <v>0</v>
      </c>
      <c r="S1300" s="77">
        <v>0</v>
      </c>
      <c r="T1300" s="77">
        <v>0</v>
      </c>
      <c r="U1300" s="77">
        <v>0</v>
      </c>
      <c r="V1300" s="77">
        <v>61</v>
      </c>
      <c r="W1300" s="80" t="s">
        <v>6199</v>
      </c>
      <c r="X1300" s="83" t="str">
        <f>HYPERLINK("https://br61.com.br/q/BRAS238543")</f>
        <v>https://br61.com.br/q/BRAS238543</v>
      </c>
      <c r="Y1300" s="77" t="s">
        <v>8611</v>
      </c>
      <c r="Z1300" s="77"/>
      <c r="AA1300" s="77" t="s">
        <v>9469</v>
      </c>
      <c r="AB1300" s="77" t="s">
        <v>10535</v>
      </c>
      <c r="AC1300" s="80" t="s">
        <v>10565</v>
      </c>
      <c r="AD1300" s="77" t="s">
        <v>10617</v>
      </c>
      <c r="AE1300" s="83" t="str">
        <f>HYPERLINK("https://twitter.com/brasil61_/status/1669458821587124225")</f>
        <v>https://twitter.com/brasil61_/status/1669458821587124225</v>
      </c>
      <c r="AF1300" s="79">
        <v>45092.90016203704</v>
      </c>
      <c r="AG1300" s="85">
        <v>45092</v>
      </c>
      <c r="AH1300" s="80" t="s">
        <v>11770</v>
      </c>
      <c r="AI1300" s="77" t="b">
        <v>0</v>
      </c>
      <c r="AJ1300" s="77"/>
      <c r="AK1300" s="77"/>
      <c r="AL1300" s="77"/>
      <c r="AM1300" s="77"/>
      <c r="AN1300" s="77"/>
      <c r="AO1300" s="77"/>
      <c r="AP1300" s="77"/>
      <c r="AQ1300" s="77" t="s">
        <v>14951</v>
      </c>
      <c r="AR1300" s="77"/>
      <c r="AS1300" s="77"/>
      <c r="AT1300" s="77"/>
      <c r="AU1300" s="77"/>
      <c r="AV1300" s="83" t="str">
        <f>HYPERLINK("https://pbs.twimg.com/media/Fysb847XoAIIxWX.jpg")</f>
        <v>https://pbs.twimg.com/media/Fysb847XoAIIxWX.jpg</v>
      </c>
      <c r="AW1300" s="80" t="s">
        <v>17187</v>
      </c>
      <c r="AX1300" s="80" t="s">
        <v>17187</v>
      </c>
      <c r="AY1300" s="77"/>
      <c r="AZ1300" s="80" t="s">
        <v>20380</v>
      </c>
      <c r="BA1300" s="80" t="s">
        <v>20380</v>
      </c>
      <c r="BB1300" s="80" t="s">
        <v>20380</v>
      </c>
      <c r="BC1300" s="80" t="s">
        <v>17187</v>
      </c>
      <c r="BD1300" s="77">
        <v>36115008</v>
      </c>
      <c r="BE1300" s="77"/>
      <c r="BF1300" s="77"/>
      <c r="BG1300" s="77"/>
      <c r="BH1300" s="77"/>
      <c r="BI1300" s="77"/>
    </row>
    <row r="1301" spans="1:61" x14ac:dyDescent="0.25">
      <c r="A1301" s="62" t="s">
        <v>725</v>
      </c>
      <c r="B1301" s="62" t="s">
        <v>725</v>
      </c>
      <c r="C1301" s="63"/>
      <c r="D1301" s="64"/>
      <c r="E1301" s="65"/>
      <c r="F1301" s="66"/>
      <c r="G1301" s="63"/>
      <c r="H1301" s="67"/>
      <c r="I1301" s="68"/>
      <c r="J1301" s="68"/>
      <c r="K1301" s="32"/>
      <c r="L1301" s="75">
        <v>1301</v>
      </c>
      <c r="M1301" s="75"/>
      <c r="N1301" s="70"/>
      <c r="O1301" s="77" t="s">
        <v>179</v>
      </c>
      <c r="P1301" s="79">
        <v>45048.791979166665</v>
      </c>
      <c r="Q1301" s="77" t="s">
        <v>3220</v>
      </c>
      <c r="R1301" s="77">
        <v>0</v>
      </c>
      <c r="S1301" s="77">
        <v>3</v>
      </c>
      <c r="T1301" s="77">
        <v>0</v>
      </c>
      <c r="U1301" s="77">
        <v>0</v>
      </c>
      <c r="V1301" s="77">
        <v>81</v>
      </c>
      <c r="W1301" s="80" t="s">
        <v>6810</v>
      </c>
      <c r="X1301" s="83" t="str">
        <f>HYPERLINK("https://bit.ly/3Hyn84q")</f>
        <v>https://bit.ly/3Hyn84q</v>
      </c>
      <c r="Y1301" s="77" t="s">
        <v>8618</v>
      </c>
      <c r="Z1301" s="77"/>
      <c r="AA1301" s="77" t="s">
        <v>9470</v>
      </c>
      <c r="AB1301" s="77" t="s">
        <v>10535</v>
      </c>
      <c r="AC1301" s="80" t="s">
        <v>10565</v>
      </c>
      <c r="AD1301" s="77" t="s">
        <v>10617</v>
      </c>
      <c r="AE1301" s="83" t="str">
        <f>HYPERLINK("https://twitter.com/brasil61_/status/1653474551416668163")</f>
        <v>https://twitter.com/brasil61_/status/1653474551416668163</v>
      </c>
      <c r="AF1301" s="79">
        <v>45048.791979166665</v>
      </c>
      <c r="AG1301" s="85">
        <v>45048</v>
      </c>
      <c r="AH1301" s="80" t="s">
        <v>11771</v>
      </c>
      <c r="AI1301" s="77" t="b">
        <v>0</v>
      </c>
      <c r="AJ1301" s="77"/>
      <c r="AK1301" s="77"/>
      <c r="AL1301" s="77"/>
      <c r="AM1301" s="77"/>
      <c r="AN1301" s="77"/>
      <c r="AO1301" s="77"/>
      <c r="AP1301" s="77"/>
      <c r="AQ1301" s="77" t="s">
        <v>14952</v>
      </c>
      <c r="AR1301" s="77"/>
      <c r="AS1301" s="77"/>
      <c r="AT1301" s="77"/>
      <c r="AU1301" s="77"/>
      <c r="AV1301" s="83" t="str">
        <f>HYPERLINK("https://pbs.twimg.com/media/FvJSV6oWwBoxn5I.jpg")</f>
        <v>https://pbs.twimg.com/media/FvJSV6oWwBoxn5I.jpg</v>
      </c>
      <c r="AW1301" s="80" t="s">
        <v>17188</v>
      </c>
      <c r="AX1301" s="80" t="s">
        <v>17188</v>
      </c>
      <c r="AY1301" s="77"/>
      <c r="AZ1301" s="80" t="s">
        <v>20380</v>
      </c>
      <c r="BA1301" s="80" t="s">
        <v>20380</v>
      </c>
      <c r="BB1301" s="80" t="s">
        <v>20380</v>
      </c>
      <c r="BC1301" s="80" t="s">
        <v>17188</v>
      </c>
      <c r="BD1301" s="77">
        <v>36115008</v>
      </c>
      <c r="BE1301" s="77"/>
      <c r="BF1301" s="77"/>
      <c r="BG1301" s="77"/>
      <c r="BH1301" s="77"/>
      <c r="BI1301" s="77"/>
    </row>
    <row r="1302" spans="1:61" x14ac:dyDescent="0.25">
      <c r="A1302" s="62" t="s">
        <v>725</v>
      </c>
      <c r="B1302" s="62" t="s">
        <v>725</v>
      </c>
      <c r="C1302" s="63"/>
      <c r="D1302" s="64"/>
      <c r="E1302" s="65"/>
      <c r="F1302" s="66"/>
      <c r="G1302" s="63"/>
      <c r="H1302" s="67"/>
      <c r="I1302" s="68"/>
      <c r="J1302" s="68"/>
      <c r="K1302" s="32"/>
      <c r="L1302" s="75">
        <v>1302</v>
      </c>
      <c r="M1302" s="75"/>
      <c r="N1302" s="70"/>
      <c r="O1302" s="77" t="s">
        <v>179</v>
      </c>
      <c r="P1302" s="79">
        <v>45115.625960648147</v>
      </c>
      <c r="Q1302" s="77" t="s">
        <v>3221</v>
      </c>
      <c r="R1302" s="77">
        <v>0</v>
      </c>
      <c r="S1302" s="77">
        <v>1</v>
      </c>
      <c r="T1302" s="77">
        <v>0</v>
      </c>
      <c r="U1302" s="77">
        <v>0</v>
      </c>
      <c r="V1302" s="77">
        <v>61</v>
      </c>
      <c r="W1302" s="80" t="s">
        <v>6811</v>
      </c>
      <c r="X1302" s="83" t="str">
        <f>HYPERLINK("https://br61.com.br/q/BRAS238834")</f>
        <v>https://br61.com.br/q/BRAS238834</v>
      </c>
      <c r="Y1302" s="77" t="s">
        <v>8611</v>
      </c>
      <c r="Z1302" s="77"/>
      <c r="AA1302" s="77" t="s">
        <v>9471</v>
      </c>
      <c r="AB1302" s="77" t="s">
        <v>10535</v>
      </c>
      <c r="AC1302" s="80" t="s">
        <v>10565</v>
      </c>
      <c r="AD1302" s="77" t="s">
        <v>10617</v>
      </c>
      <c r="AE1302" s="83" t="str">
        <f>HYPERLINK("https://twitter.com/brasil61_/status/1677694374392602624")</f>
        <v>https://twitter.com/brasil61_/status/1677694374392602624</v>
      </c>
      <c r="AF1302" s="79">
        <v>45115.625960648147</v>
      </c>
      <c r="AG1302" s="85">
        <v>45115</v>
      </c>
      <c r="AH1302" s="80" t="s">
        <v>11772</v>
      </c>
      <c r="AI1302" s="77" t="b">
        <v>0</v>
      </c>
      <c r="AJ1302" s="77"/>
      <c r="AK1302" s="77"/>
      <c r="AL1302" s="77"/>
      <c r="AM1302" s="77"/>
      <c r="AN1302" s="77"/>
      <c r="AO1302" s="77"/>
      <c r="AP1302" s="77"/>
      <c r="AQ1302" s="77" t="s">
        <v>14953</v>
      </c>
      <c r="AR1302" s="77"/>
      <c r="AS1302" s="77"/>
      <c r="AT1302" s="77"/>
      <c r="AU1302" s="77"/>
      <c r="AV1302" s="83" t="str">
        <f>HYPERLINK("https://pbs.twimg.com/media/F0heJHDXgAAd8r-.jpg")</f>
        <v>https://pbs.twimg.com/media/F0heJHDXgAAd8r-.jpg</v>
      </c>
      <c r="AW1302" s="80" t="s">
        <v>17189</v>
      </c>
      <c r="AX1302" s="80" t="s">
        <v>17189</v>
      </c>
      <c r="AY1302" s="77"/>
      <c r="AZ1302" s="80" t="s">
        <v>20380</v>
      </c>
      <c r="BA1302" s="80" t="s">
        <v>20380</v>
      </c>
      <c r="BB1302" s="80" t="s">
        <v>20380</v>
      </c>
      <c r="BC1302" s="80" t="s">
        <v>17189</v>
      </c>
      <c r="BD1302" s="77">
        <v>36115008</v>
      </c>
      <c r="BE1302" s="77"/>
      <c r="BF1302" s="77"/>
      <c r="BG1302" s="77"/>
      <c r="BH1302" s="77"/>
      <c r="BI1302" s="77"/>
    </row>
    <row r="1303" spans="1:61" x14ac:dyDescent="0.25">
      <c r="A1303" s="62" t="s">
        <v>725</v>
      </c>
      <c r="B1303" s="62" t="s">
        <v>725</v>
      </c>
      <c r="C1303" s="63"/>
      <c r="D1303" s="64"/>
      <c r="E1303" s="65"/>
      <c r="F1303" s="66"/>
      <c r="G1303" s="63"/>
      <c r="H1303" s="67"/>
      <c r="I1303" s="68"/>
      <c r="J1303" s="68"/>
      <c r="K1303" s="32"/>
      <c r="L1303" s="75">
        <v>1303</v>
      </c>
      <c r="M1303" s="75"/>
      <c r="N1303" s="70"/>
      <c r="O1303" s="77" t="s">
        <v>179</v>
      </c>
      <c r="P1303" s="79">
        <v>45099.684918981482</v>
      </c>
      <c r="Q1303" s="77" t="s">
        <v>3222</v>
      </c>
      <c r="R1303" s="77">
        <v>0</v>
      </c>
      <c r="S1303" s="77">
        <v>0</v>
      </c>
      <c r="T1303" s="77">
        <v>0</v>
      </c>
      <c r="U1303" s="77">
        <v>0</v>
      </c>
      <c r="V1303" s="77">
        <v>61</v>
      </c>
      <c r="W1303" s="80" t="s">
        <v>6812</v>
      </c>
      <c r="X1303" s="83" t="str">
        <f>HYPERLINK("https://br61.com.br/q/BRAS238638")</f>
        <v>https://br61.com.br/q/BRAS238638</v>
      </c>
      <c r="Y1303" s="77" t="s">
        <v>8611</v>
      </c>
      <c r="Z1303" s="77"/>
      <c r="AA1303" s="77" t="s">
        <v>9472</v>
      </c>
      <c r="AB1303" s="77" t="s">
        <v>10535</v>
      </c>
      <c r="AC1303" s="80" t="s">
        <v>10565</v>
      </c>
      <c r="AD1303" s="77" t="s">
        <v>10617</v>
      </c>
      <c r="AE1303" s="83" t="str">
        <f>HYPERLINK("https://twitter.com/brasil61_/status/1671917532066861057")</f>
        <v>https://twitter.com/brasil61_/status/1671917532066861057</v>
      </c>
      <c r="AF1303" s="79">
        <v>45099.684918981482</v>
      </c>
      <c r="AG1303" s="85">
        <v>45099</v>
      </c>
      <c r="AH1303" s="80" t="s">
        <v>11773</v>
      </c>
      <c r="AI1303" s="77" t="b">
        <v>0</v>
      </c>
      <c r="AJ1303" s="77"/>
      <c r="AK1303" s="77"/>
      <c r="AL1303" s="77"/>
      <c r="AM1303" s="77"/>
      <c r="AN1303" s="77"/>
      <c r="AO1303" s="77"/>
      <c r="AP1303" s="77"/>
      <c r="AQ1303" s="77" t="s">
        <v>14954</v>
      </c>
      <c r="AR1303" s="77"/>
      <c r="AS1303" s="77"/>
      <c r="AT1303" s="77"/>
      <c r="AU1303" s="77"/>
      <c r="AV1303" s="83" t="str">
        <f>HYPERLINK("https://pbs.twimg.com/media/FzPYIniWYAI5udc.jpg")</f>
        <v>https://pbs.twimg.com/media/FzPYIniWYAI5udc.jpg</v>
      </c>
      <c r="AW1303" s="80" t="s">
        <v>17190</v>
      </c>
      <c r="AX1303" s="80" t="s">
        <v>17190</v>
      </c>
      <c r="AY1303" s="77"/>
      <c r="AZ1303" s="80" t="s">
        <v>20380</v>
      </c>
      <c r="BA1303" s="80" t="s">
        <v>20380</v>
      </c>
      <c r="BB1303" s="80" t="s">
        <v>20380</v>
      </c>
      <c r="BC1303" s="80" t="s">
        <v>17190</v>
      </c>
      <c r="BD1303" s="77">
        <v>36115008</v>
      </c>
      <c r="BE1303" s="77"/>
      <c r="BF1303" s="77"/>
      <c r="BG1303" s="77"/>
      <c r="BH1303" s="77"/>
      <c r="BI1303" s="77"/>
    </row>
    <row r="1304" spans="1:61" x14ac:dyDescent="0.25">
      <c r="A1304" s="62" t="s">
        <v>725</v>
      </c>
      <c r="B1304" s="62" t="s">
        <v>725</v>
      </c>
      <c r="C1304" s="63"/>
      <c r="D1304" s="64"/>
      <c r="E1304" s="65"/>
      <c r="F1304" s="66"/>
      <c r="G1304" s="63"/>
      <c r="H1304" s="67"/>
      <c r="I1304" s="68"/>
      <c r="J1304" s="68"/>
      <c r="K1304" s="32"/>
      <c r="L1304" s="75">
        <v>1304</v>
      </c>
      <c r="M1304" s="75"/>
      <c r="N1304" s="70"/>
      <c r="O1304" s="77" t="s">
        <v>179</v>
      </c>
      <c r="P1304" s="79">
        <v>45147.844074074077</v>
      </c>
      <c r="Q1304" s="77" t="s">
        <v>3223</v>
      </c>
      <c r="R1304" s="77">
        <v>0</v>
      </c>
      <c r="S1304" s="77">
        <v>1</v>
      </c>
      <c r="T1304" s="77">
        <v>0</v>
      </c>
      <c r="U1304" s="77">
        <v>0</v>
      </c>
      <c r="V1304" s="77">
        <v>48</v>
      </c>
      <c r="W1304" s="80" t="s">
        <v>6813</v>
      </c>
      <c r="X1304" s="83" t="str">
        <f>HYPERLINK("https://br61.com.br/q/BRAS239151")</f>
        <v>https://br61.com.br/q/BRAS239151</v>
      </c>
      <c r="Y1304" s="77" t="s">
        <v>8611</v>
      </c>
      <c r="Z1304" s="77"/>
      <c r="AA1304" s="77" t="s">
        <v>9473</v>
      </c>
      <c r="AB1304" s="77" t="s">
        <v>10535</v>
      </c>
      <c r="AC1304" s="80" t="s">
        <v>10565</v>
      </c>
      <c r="AD1304" s="77" t="s">
        <v>10617</v>
      </c>
      <c r="AE1304" s="83" t="str">
        <f>HYPERLINK("https://twitter.com/brasil61_/status/1689369826689474560")</f>
        <v>https://twitter.com/brasil61_/status/1689369826689474560</v>
      </c>
      <c r="AF1304" s="79">
        <v>45147.844074074077</v>
      </c>
      <c r="AG1304" s="85">
        <v>45147</v>
      </c>
      <c r="AH1304" s="80" t="s">
        <v>11774</v>
      </c>
      <c r="AI1304" s="77" t="b">
        <v>0</v>
      </c>
      <c r="AJ1304" s="77"/>
      <c r="AK1304" s="77"/>
      <c r="AL1304" s="77"/>
      <c r="AM1304" s="77"/>
      <c r="AN1304" s="77"/>
      <c r="AO1304" s="77"/>
      <c r="AP1304" s="77"/>
      <c r="AQ1304" s="77" t="s">
        <v>14955</v>
      </c>
      <c r="AR1304" s="77"/>
      <c r="AS1304" s="77"/>
      <c r="AT1304" s="77"/>
      <c r="AU1304" s="77"/>
      <c r="AV1304" s="83" t="str">
        <f>HYPERLINK("https://pbs.twimg.com/media/F3HY540WwAEyS0L.jpg")</f>
        <v>https://pbs.twimg.com/media/F3HY540WwAEyS0L.jpg</v>
      </c>
      <c r="AW1304" s="80" t="s">
        <v>17191</v>
      </c>
      <c r="AX1304" s="80" t="s">
        <v>17191</v>
      </c>
      <c r="AY1304" s="77"/>
      <c r="AZ1304" s="80" t="s">
        <v>20380</v>
      </c>
      <c r="BA1304" s="80" t="s">
        <v>20380</v>
      </c>
      <c r="BB1304" s="80" t="s">
        <v>20380</v>
      </c>
      <c r="BC1304" s="80" t="s">
        <v>17191</v>
      </c>
      <c r="BD1304" s="77">
        <v>36115008</v>
      </c>
      <c r="BE1304" s="77"/>
      <c r="BF1304" s="77"/>
      <c r="BG1304" s="77"/>
      <c r="BH1304" s="77"/>
      <c r="BI1304" s="77"/>
    </row>
    <row r="1305" spans="1:61" x14ac:dyDescent="0.25">
      <c r="A1305" s="62" t="s">
        <v>725</v>
      </c>
      <c r="B1305" s="62" t="s">
        <v>725</v>
      </c>
      <c r="C1305" s="63"/>
      <c r="D1305" s="64"/>
      <c r="E1305" s="65"/>
      <c r="F1305" s="66"/>
      <c r="G1305" s="63"/>
      <c r="H1305" s="67"/>
      <c r="I1305" s="68"/>
      <c r="J1305" s="68"/>
      <c r="K1305" s="32"/>
      <c r="L1305" s="75">
        <v>1305</v>
      </c>
      <c r="M1305" s="75"/>
      <c r="N1305" s="70"/>
      <c r="O1305" s="77" t="s">
        <v>179</v>
      </c>
      <c r="P1305" s="79">
        <v>45152.521134259259</v>
      </c>
      <c r="Q1305" s="77" t="s">
        <v>3224</v>
      </c>
      <c r="R1305" s="77">
        <v>0</v>
      </c>
      <c r="S1305" s="77">
        <v>0</v>
      </c>
      <c r="T1305" s="77">
        <v>0</v>
      </c>
      <c r="U1305" s="77">
        <v>0</v>
      </c>
      <c r="V1305" s="77">
        <v>33</v>
      </c>
      <c r="W1305" s="80" t="s">
        <v>6814</v>
      </c>
      <c r="X1305" s="83" t="str">
        <f>HYPERLINK("https://brasil61.com/q/BRAS239197")</f>
        <v>https://brasil61.com/q/BRAS239197</v>
      </c>
      <c r="Y1305" s="77" t="s">
        <v>8739</v>
      </c>
      <c r="Z1305" s="77"/>
      <c r="AA1305" s="77" t="s">
        <v>9474</v>
      </c>
      <c r="AB1305" s="77" t="s">
        <v>10535</v>
      </c>
      <c r="AC1305" s="80" t="s">
        <v>10565</v>
      </c>
      <c r="AD1305" s="77" t="s">
        <v>10617</v>
      </c>
      <c r="AE1305" s="83" t="str">
        <f>HYPERLINK("https://twitter.com/brasil61_/status/1691064737147047936")</f>
        <v>https://twitter.com/brasil61_/status/1691064737147047936</v>
      </c>
      <c r="AF1305" s="79">
        <v>45152.521134259259</v>
      </c>
      <c r="AG1305" s="85">
        <v>45152</v>
      </c>
      <c r="AH1305" s="80" t="s">
        <v>11775</v>
      </c>
      <c r="AI1305" s="77" t="b">
        <v>0</v>
      </c>
      <c r="AJ1305" s="77"/>
      <c r="AK1305" s="77"/>
      <c r="AL1305" s="77"/>
      <c r="AM1305" s="77"/>
      <c r="AN1305" s="77"/>
      <c r="AO1305" s="77"/>
      <c r="AP1305" s="77"/>
      <c r="AQ1305" s="77" t="s">
        <v>14956</v>
      </c>
      <c r="AR1305" s="77"/>
      <c r="AS1305" s="77"/>
      <c r="AT1305" s="77"/>
      <c r="AU1305" s="77"/>
      <c r="AV1305" s="83" t="str">
        <f>HYPERLINK("https://pbs.twimg.com/media/F3feasuXEAEcQpQ.jpg")</f>
        <v>https://pbs.twimg.com/media/F3feasuXEAEcQpQ.jpg</v>
      </c>
      <c r="AW1305" s="80" t="s">
        <v>17192</v>
      </c>
      <c r="AX1305" s="80" t="s">
        <v>17192</v>
      </c>
      <c r="AY1305" s="77"/>
      <c r="AZ1305" s="80" t="s">
        <v>20380</v>
      </c>
      <c r="BA1305" s="80" t="s">
        <v>20380</v>
      </c>
      <c r="BB1305" s="80" t="s">
        <v>20380</v>
      </c>
      <c r="BC1305" s="80" t="s">
        <v>17192</v>
      </c>
      <c r="BD1305" s="77">
        <v>36115008</v>
      </c>
      <c r="BE1305" s="77"/>
      <c r="BF1305" s="77"/>
      <c r="BG1305" s="77"/>
      <c r="BH1305" s="77"/>
      <c r="BI1305" s="77"/>
    </row>
    <row r="1306" spans="1:61" x14ac:dyDescent="0.25">
      <c r="A1306" s="62" t="s">
        <v>725</v>
      </c>
      <c r="B1306" s="62" t="s">
        <v>725</v>
      </c>
      <c r="C1306" s="63"/>
      <c r="D1306" s="64"/>
      <c r="E1306" s="65"/>
      <c r="F1306" s="66"/>
      <c r="G1306" s="63"/>
      <c r="H1306" s="67"/>
      <c r="I1306" s="68"/>
      <c r="J1306" s="68"/>
      <c r="K1306" s="32"/>
      <c r="L1306" s="75">
        <v>1306</v>
      </c>
      <c r="M1306" s="75"/>
      <c r="N1306" s="70"/>
      <c r="O1306" s="77" t="s">
        <v>179</v>
      </c>
      <c r="P1306" s="79">
        <v>45141.666666666664</v>
      </c>
      <c r="Q1306" s="77" t="s">
        <v>3225</v>
      </c>
      <c r="R1306" s="77">
        <v>0</v>
      </c>
      <c r="S1306" s="77">
        <v>1</v>
      </c>
      <c r="T1306" s="77">
        <v>0</v>
      </c>
      <c r="U1306" s="77">
        <v>0</v>
      </c>
      <c r="V1306" s="77">
        <v>47</v>
      </c>
      <c r="W1306" s="80" t="s">
        <v>6815</v>
      </c>
      <c r="X1306" s="83" t="str">
        <f>HYPERLINK("https://br61.com.br/q/BRAS239112")</f>
        <v>https://br61.com.br/q/BRAS239112</v>
      </c>
      <c r="Y1306" s="77" t="s">
        <v>8611</v>
      </c>
      <c r="Z1306" s="77"/>
      <c r="AA1306" s="77"/>
      <c r="AB1306" s="77"/>
      <c r="AC1306" s="80" t="s">
        <v>10541</v>
      </c>
      <c r="AD1306" s="77" t="s">
        <v>10617</v>
      </c>
      <c r="AE1306" s="83" t="str">
        <f>HYPERLINK("https://twitter.com/brasil61_/status/1687131208763822082")</f>
        <v>https://twitter.com/brasil61_/status/1687131208763822082</v>
      </c>
      <c r="AF1306" s="79">
        <v>45141.666666666664</v>
      </c>
      <c r="AG1306" s="85">
        <v>45141</v>
      </c>
      <c r="AH1306" s="80" t="s">
        <v>11776</v>
      </c>
      <c r="AI1306" s="77" t="b">
        <v>0</v>
      </c>
      <c r="AJ1306" s="77"/>
      <c r="AK1306" s="77"/>
      <c r="AL1306" s="77"/>
      <c r="AM1306" s="77"/>
      <c r="AN1306" s="77"/>
      <c r="AO1306" s="77"/>
      <c r="AP1306" s="77"/>
      <c r="AQ1306" s="77"/>
      <c r="AR1306" s="77"/>
      <c r="AS1306" s="77"/>
      <c r="AT1306" s="77"/>
      <c r="AU1306" s="77"/>
      <c r="AV1306" s="83" t="str">
        <f>HYPERLINK("https://pbs.twimg.com/profile_images/1478016741871652864/b_NJh157_normal.jpg")</f>
        <v>https://pbs.twimg.com/profile_images/1478016741871652864/b_NJh157_normal.jpg</v>
      </c>
      <c r="AW1306" s="80" t="s">
        <v>17193</v>
      </c>
      <c r="AX1306" s="80" t="s">
        <v>17193</v>
      </c>
      <c r="AY1306" s="77"/>
      <c r="AZ1306" s="80" t="s">
        <v>20380</v>
      </c>
      <c r="BA1306" s="80" t="s">
        <v>20380</v>
      </c>
      <c r="BB1306" s="80" t="s">
        <v>20380</v>
      </c>
      <c r="BC1306" s="80" t="s">
        <v>17193</v>
      </c>
      <c r="BD1306" s="77">
        <v>36115008</v>
      </c>
      <c r="BE1306" s="77"/>
      <c r="BF1306" s="77"/>
      <c r="BG1306" s="77"/>
      <c r="BH1306" s="77"/>
      <c r="BI1306" s="77"/>
    </row>
    <row r="1307" spans="1:61" x14ac:dyDescent="0.25">
      <c r="A1307" s="62" t="s">
        <v>725</v>
      </c>
      <c r="B1307" s="62" t="s">
        <v>725</v>
      </c>
      <c r="C1307" s="63"/>
      <c r="D1307" s="64"/>
      <c r="E1307" s="65"/>
      <c r="F1307" s="66"/>
      <c r="G1307" s="63"/>
      <c r="H1307" s="67"/>
      <c r="I1307" s="68"/>
      <c r="J1307" s="68"/>
      <c r="K1307" s="32"/>
      <c r="L1307" s="75">
        <v>1307</v>
      </c>
      <c r="M1307" s="75"/>
      <c r="N1307" s="70"/>
      <c r="O1307" s="77" t="s">
        <v>179</v>
      </c>
      <c r="P1307" s="79">
        <v>45077.708645833336</v>
      </c>
      <c r="Q1307" s="77" t="s">
        <v>3226</v>
      </c>
      <c r="R1307" s="77">
        <v>0</v>
      </c>
      <c r="S1307" s="77">
        <v>1</v>
      </c>
      <c r="T1307" s="77">
        <v>0</v>
      </c>
      <c r="U1307" s="77">
        <v>0</v>
      </c>
      <c r="V1307" s="77">
        <v>53</v>
      </c>
      <c r="W1307" s="80" t="s">
        <v>6816</v>
      </c>
      <c r="X1307" s="83" t="str">
        <f>HYPERLINK("https://bit.ly/43tXSEO")</f>
        <v>https://bit.ly/43tXSEO</v>
      </c>
      <c r="Y1307" s="77" t="s">
        <v>8618</v>
      </c>
      <c r="Z1307" s="77"/>
      <c r="AA1307" s="77" t="s">
        <v>9475</v>
      </c>
      <c r="AB1307" s="77" t="s">
        <v>10535</v>
      </c>
      <c r="AC1307" s="80" t="s">
        <v>10565</v>
      </c>
      <c r="AD1307" s="77" t="s">
        <v>10617</v>
      </c>
      <c r="AE1307" s="83" t="str">
        <f>HYPERLINK("https://twitter.com/brasil61_/status/1663953600484179972")</f>
        <v>https://twitter.com/brasil61_/status/1663953600484179972</v>
      </c>
      <c r="AF1307" s="79">
        <v>45077.708645833336</v>
      </c>
      <c r="AG1307" s="85">
        <v>45077</v>
      </c>
      <c r="AH1307" s="80" t="s">
        <v>11777</v>
      </c>
      <c r="AI1307" s="77" t="b">
        <v>0</v>
      </c>
      <c r="AJ1307" s="77"/>
      <c r="AK1307" s="77"/>
      <c r="AL1307" s="77"/>
      <c r="AM1307" s="77"/>
      <c r="AN1307" s="77"/>
      <c r="AO1307" s="77"/>
      <c r="AP1307" s="77"/>
      <c r="AQ1307" s="77" t="s">
        <v>14957</v>
      </c>
      <c r="AR1307" s="77"/>
      <c r="AS1307" s="77"/>
      <c r="AT1307" s="77"/>
      <c r="AU1307" s="77"/>
      <c r="AV1307" s="83" t="str">
        <f>HYPERLINK("https://pbs.twimg.com/media/FxeM-10WACYot0w.jpg")</f>
        <v>https://pbs.twimg.com/media/FxeM-10WACYot0w.jpg</v>
      </c>
      <c r="AW1307" s="80" t="s">
        <v>17194</v>
      </c>
      <c r="AX1307" s="80" t="s">
        <v>17194</v>
      </c>
      <c r="AY1307" s="77"/>
      <c r="AZ1307" s="80" t="s">
        <v>20380</v>
      </c>
      <c r="BA1307" s="80" t="s">
        <v>20380</v>
      </c>
      <c r="BB1307" s="80" t="s">
        <v>20380</v>
      </c>
      <c r="BC1307" s="80" t="s">
        <v>17194</v>
      </c>
      <c r="BD1307" s="77">
        <v>36115008</v>
      </c>
      <c r="BE1307" s="77"/>
      <c r="BF1307" s="77"/>
      <c r="BG1307" s="77"/>
      <c r="BH1307" s="77"/>
      <c r="BI1307" s="77"/>
    </row>
    <row r="1308" spans="1:61" x14ac:dyDescent="0.25">
      <c r="A1308" s="62" t="s">
        <v>725</v>
      </c>
      <c r="B1308" s="62" t="s">
        <v>725</v>
      </c>
      <c r="C1308" s="63"/>
      <c r="D1308" s="64"/>
      <c r="E1308" s="65"/>
      <c r="F1308" s="66"/>
      <c r="G1308" s="63"/>
      <c r="H1308" s="67"/>
      <c r="I1308" s="68"/>
      <c r="J1308" s="68"/>
      <c r="K1308" s="32"/>
      <c r="L1308" s="75">
        <v>1308</v>
      </c>
      <c r="M1308" s="75"/>
      <c r="N1308" s="70"/>
      <c r="O1308" s="77" t="s">
        <v>179</v>
      </c>
      <c r="P1308" s="79">
        <v>45165.501585648148</v>
      </c>
      <c r="Q1308" s="77" t="s">
        <v>3227</v>
      </c>
      <c r="R1308" s="77">
        <v>1</v>
      </c>
      <c r="S1308" s="77">
        <v>2</v>
      </c>
      <c r="T1308" s="77">
        <v>0</v>
      </c>
      <c r="U1308" s="77">
        <v>1</v>
      </c>
      <c r="V1308" s="77">
        <v>198</v>
      </c>
      <c r="W1308" s="80" t="s">
        <v>6817</v>
      </c>
      <c r="X1308" s="83" t="str">
        <f>HYPERLINK("https://br61.com.br/q/BRAS239340")</f>
        <v>https://br61.com.br/q/BRAS239340</v>
      </c>
      <c r="Y1308" s="77" t="s">
        <v>8611</v>
      </c>
      <c r="Z1308" s="77"/>
      <c r="AA1308" s="77" t="s">
        <v>9476</v>
      </c>
      <c r="AB1308" s="77" t="s">
        <v>10535</v>
      </c>
      <c r="AC1308" s="80" t="s">
        <v>10565</v>
      </c>
      <c r="AD1308" s="77" t="s">
        <v>10617</v>
      </c>
      <c r="AE1308" s="83" t="str">
        <f>HYPERLINK("https://twitter.com/brasil61_/status/1695768694834475420")</f>
        <v>https://twitter.com/brasil61_/status/1695768694834475420</v>
      </c>
      <c r="AF1308" s="79">
        <v>45165.501585648148</v>
      </c>
      <c r="AG1308" s="85">
        <v>45165</v>
      </c>
      <c r="AH1308" s="80" t="s">
        <v>11778</v>
      </c>
      <c r="AI1308" s="77" t="b">
        <v>0</v>
      </c>
      <c r="AJ1308" s="77"/>
      <c r="AK1308" s="77"/>
      <c r="AL1308" s="77"/>
      <c r="AM1308" s="77"/>
      <c r="AN1308" s="77"/>
      <c r="AO1308" s="77"/>
      <c r="AP1308" s="77"/>
      <c r="AQ1308" s="77" t="s">
        <v>14958</v>
      </c>
      <c r="AR1308" s="77"/>
      <c r="AS1308" s="77"/>
      <c r="AT1308" s="77"/>
      <c r="AU1308" s="77"/>
      <c r="AV1308" s="83" t="str">
        <f>HYPERLINK("https://pbs.twimg.com/media/F4iUpC4XAAAWHck.jpg")</f>
        <v>https://pbs.twimg.com/media/F4iUpC4XAAAWHck.jpg</v>
      </c>
      <c r="AW1308" s="80" t="s">
        <v>17195</v>
      </c>
      <c r="AX1308" s="80" t="s">
        <v>17195</v>
      </c>
      <c r="AY1308" s="77"/>
      <c r="AZ1308" s="80" t="s">
        <v>20380</v>
      </c>
      <c r="BA1308" s="80" t="s">
        <v>20380</v>
      </c>
      <c r="BB1308" s="80" t="s">
        <v>20380</v>
      </c>
      <c r="BC1308" s="80" t="s">
        <v>17195</v>
      </c>
      <c r="BD1308" s="77">
        <v>36115008</v>
      </c>
      <c r="BE1308" s="77"/>
      <c r="BF1308" s="77"/>
      <c r="BG1308" s="77"/>
      <c r="BH1308" s="77"/>
      <c r="BI1308" s="77"/>
    </row>
    <row r="1309" spans="1:61" x14ac:dyDescent="0.25">
      <c r="A1309" s="62" t="s">
        <v>725</v>
      </c>
      <c r="B1309" s="62" t="s">
        <v>725</v>
      </c>
      <c r="C1309" s="63"/>
      <c r="D1309" s="64"/>
      <c r="E1309" s="65"/>
      <c r="F1309" s="66"/>
      <c r="G1309" s="63"/>
      <c r="H1309" s="67"/>
      <c r="I1309" s="68"/>
      <c r="J1309" s="68"/>
      <c r="K1309" s="32"/>
      <c r="L1309" s="75">
        <v>1309</v>
      </c>
      <c r="M1309" s="75"/>
      <c r="N1309" s="70"/>
      <c r="O1309" s="77" t="s">
        <v>179</v>
      </c>
      <c r="P1309" s="79">
        <v>45144.625</v>
      </c>
      <c r="Q1309" s="77" t="s">
        <v>3228</v>
      </c>
      <c r="R1309" s="77">
        <v>0</v>
      </c>
      <c r="S1309" s="77">
        <v>2</v>
      </c>
      <c r="T1309" s="77">
        <v>0</v>
      </c>
      <c r="U1309" s="77">
        <v>0</v>
      </c>
      <c r="V1309" s="77">
        <v>72</v>
      </c>
      <c r="W1309" s="80" t="s">
        <v>6818</v>
      </c>
      <c r="X1309" s="83" t="str">
        <f>HYPERLINK("https://br61.com.br/q/BRAS239119")</f>
        <v>https://br61.com.br/q/BRAS239119</v>
      </c>
      <c r="Y1309" s="77" t="s">
        <v>8611</v>
      </c>
      <c r="Z1309" s="77"/>
      <c r="AA1309" s="77"/>
      <c r="AB1309" s="77"/>
      <c r="AC1309" s="80" t="s">
        <v>10541</v>
      </c>
      <c r="AD1309" s="77" t="s">
        <v>10617</v>
      </c>
      <c r="AE1309" s="83" t="str">
        <f>HYPERLINK("https://twitter.com/brasil61_/status/1688203275101941760")</f>
        <v>https://twitter.com/brasil61_/status/1688203275101941760</v>
      </c>
      <c r="AF1309" s="79">
        <v>45144.625</v>
      </c>
      <c r="AG1309" s="85">
        <v>45144</v>
      </c>
      <c r="AH1309" s="80" t="s">
        <v>11779</v>
      </c>
      <c r="AI1309" s="77" t="b">
        <v>0</v>
      </c>
      <c r="AJ1309" s="77"/>
      <c r="AK1309" s="77"/>
      <c r="AL1309" s="77"/>
      <c r="AM1309" s="77"/>
      <c r="AN1309" s="77"/>
      <c r="AO1309" s="77"/>
      <c r="AP1309" s="77"/>
      <c r="AQ1309" s="77"/>
      <c r="AR1309" s="77"/>
      <c r="AS1309" s="77"/>
      <c r="AT1309" s="77"/>
      <c r="AU1309" s="77"/>
      <c r="AV1309" s="83" t="str">
        <f>HYPERLINK("https://pbs.twimg.com/profile_images/1478016741871652864/b_NJh157_normal.jpg")</f>
        <v>https://pbs.twimg.com/profile_images/1478016741871652864/b_NJh157_normal.jpg</v>
      </c>
      <c r="AW1309" s="80" t="s">
        <v>17196</v>
      </c>
      <c r="AX1309" s="80" t="s">
        <v>17196</v>
      </c>
      <c r="AY1309" s="77"/>
      <c r="AZ1309" s="80" t="s">
        <v>20380</v>
      </c>
      <c r="BA1309" s="80" t="s">
        <v>20380</v>
      </c>
      <c r="BB1309" s="80" t="s">
        <v>20380</v>
      </c>
      <c r="BC1309" s="80" t="s">
        <v>17196</v>
      </c>
      <c r="BD1309" s="77">
        <v>36115008</v>
      </c>
      <c r="BE1309" s="77"/>
      <c r="BF1309" s="77"/>
      <c r="BG1309" s="77"/>
      <c r="BH1309" s="77"/>
      <c r="BI1309" s="77"/>
    </row>
    <row r="1310" spans="1:61" x14ac:dyDescent="0.25">
      <c r="A1310" s="62" t="s">
        <v>725</v>
      </c>
      <c r="B1310" s="62" t="s">
        <v>725</v>
      </c>
      <c r="C1310" s="63"/>
      <c r="D1310" s="64"/>
      <c r="E1310" s="65"/>
      <c r="F1310" s="66"/>
      <c r="G1310" s="63"/>
      <c r="H1310" s="67"/>
      <c r="I1310" s="68"/>
      <c r="J1310" s="68"/>
      <c r="K1310" s="32"/>
      <c r="L1310" s="75">
        <v>1310</v>
      </c>
      <c r="M1310" s="75"/>
      <c r="N1310" s="70"/>
      <c r="O1310" s="77" t="s">
        <v>179</v>
      </c>
      <c r="P1310" s="79">
        <v>45132.708356481482</v>
      </c>
      <c r="Q1310" s="77" t="s">
        <v>3229</v>
      </c>
      <c r="R1310" s="77">
        <v>0</v>
      </c>
      <c r="S1310" s="77">
        <v>0</v>
      </c>
      <c r="T1310" s="77">
        <v>0</v>
      </c>
      <c r="U1310" s="77">
        <v>0</v>
      </c>
      <c r="V1310" s="77">
        <v>38</v>
      </c>
      <c r="W1310" s="80" t="s">
        <v>6819</v>
      </c>
      <c r="X1310" s="83" t="str">
        <f>HYPERLINK("https://br61.com.br/q/BRAS239014")</f>
        <v>https://br61.com.br/q/BRAS239014</v>
      </c>
      <c r="Y1310" s="77" t="s">
        <v>8611</v>
      </c>
      <c r="Z1310" s="77"/>
      <c r="AA1310" s="77"/>
      <c r="AB1310" s="77"/>
      <c r="AC1310" s="80" t="s">
        <v>10541</v>
      </c>
      <c r="AD1310" s="77" t="s">
        <v>10617</v>
      </c>
      <c r="AE1310" s="83" t="str">
        <f>HYPERLINK("https://twitter.com/brasil61_/status/1683884825885769728")</f>
        <v>https://twitter.com/brasil61_/status/1683884825885769728</v>
      </c>
      <c r="AF1310" s="79">
        <v>45132.708356481482</v>
      </c>
      <c r="AG1310" s="85">
        <v>45132</v>
      </c>
      <c r="AH1310" s="80" t="s">
        <v>11041</v>
      </c>
      <c r="AI1310" s="77" t="b">
        <v>0</v>
      </c>
      <c r="AJ1310" s="77"/>
      <c r="AK1310" s="77"/>
      <c r="AL1310" s="77"/>
      <c r="AM1310" s="77"/>
      <c r="AN1310" s="77"/>
      <c r="AO1310" s="77"/>
      <c r="AP1310" s="77"/>
      <c r="AQ1310" s="77"/>
      <c r="AR1310" s="77"/>
      <c r="AS1310" s="77"/>
      <c r="AT1310" s="77"/>
      <c r="AU1310" s="77"/>
      <c r="AV1310" s="83" t="str">
        <f>HYPERLINK("https://pbs.twimg.com/profile_images/1478016741871652864/b_NJh157_normal.jpg")</f>
        <v>https://pbs.twimg.com/profile_images/1478016741871652864/b_NJh157_normal.jpg</v>
      </c>
      <c r="AW1310" s="80" t="s">
        <v>17197</v>
      </c>
      <c r="AX1310" s="80" t="s">
        <v>17197</v>
      </c>
      <c r="AY1310" s="77"/>
      <c r="AZ1310" s="80" t="s">
        <v>20380</v>
      </c>
      <c r="BA1310" s="80" t="s">
        <v>20380</v>
      </c>
      <c r="BB1310" s="80" t="s">
        <v>20380</v>
      </c>
      <c r="BC1310" s="80" t="s">
        <v>17197</v>
      </c>
      <c r="BD1310" s="77">
        <v>36115008</v>
      </c>
      <c r="BE1310" s="77"/>
      <c r="BF1310" s="77"/>
      <c r="BG1310" s="77"/>
      <c r="BH1310" s="77"/>
      <c r="BI1310" s="77"/>
    </row>
    <row r="1311" spans="1:61" x14ac:dyDescent="0.25">
      <c r="A1311" s="62" t="s">
        <v>725</v>
      </c>
      <c r="B1311" s="62" t="s">
        <v>725</v>
      </c>
      <c r="C1311" s="63"/>
      <c r="D1311" s="64"/>
      <c r="E1311" s="65"/>
      <c r="F1311" s="66"/>
      <c r="G1311" s="63"/>
      <c r="H1311" s="67"/>
      <c r="I1311" s="68"/>
      <c r="J1311" s="68"/>
      <c r="K1311" s="32"/>
      <c r="L1311" s="75">
        <v>1311</v>
      </c>
      <c r="M1311" s="75"/>
      <c r="N1311" s="70"/>
      <c r="O1311" s="77" t="s">
        <v>179</v>
      </c>
      <c r="P1311" s="79">
        <v>45104.697384259256</v>
      </c>
      <c r="Q1311" s="77" t="s">
        <v>3230</v>
      </c>
      <c r="R1311" s="77">
        <v>0</v>
      </c>
      <c r="S1311" s="77">
        <v>0</v>
      </c>
      <c r="T1311" s="77">
        <v>0</v>
      </c>
      <c r="U1311" s="77">
        <v>0</v>
      </c>
      <c r="V1311" s="77">
        <v>69</v>
      </c>
      <c r="W1311" s="80" t="s">
        <v>6820</v>
      </c>
      <c r="X1311" s="83" t="str">
        <f>HYPERLINK("https://br61.com.br/q/BRAS238677")</f>
        <v>https://br61.com.br/q/BRAS238677</v>
      </c>
      <c r="Y1311" s="77" t="s">
        <v>8611</v>
      </c>
      <c r="Z1311" s="77"/>
      <c r="AA1311" s="77" t="s">
        <v>9477</v>
      </c>
      <c r="AB1311" s="77" t="s">
        <v>10535</v>
      </c>
      <c r="AC1311" s="80" t="s">
        <v>10565</v>
      </c>
      <c r="AD1311" s="77" t="s">
        <v>10617</v>
      </c>
      <c r="AE1311" s="83" t="str">
        <f>HYPERLINK("https://twitter.com/brasil61_/status/1673733992376352768")</f>
        <v>https://twitter.com/brasil61_/status/1673733992376352768</v>
      </c>
      <c r="AF1311" s="79">
        <v>45104.697384259256</v>
      </c>
      <c r="AG1311" s="85">
        <v>45104</v>
      </c>
      <c r="AH1311" s="80" t="s">
        <v>11780</v>
      </c>
      <c r="AI1311" s="77" t="b">
        <v>0</v>
      </c>
      <c r="AJ1311" s="77"/>
      <c r="AK1311" s="77"/>
      <c r="AL1311" s="77"/>
      <c r="AM1311" s="77"/>
      <c r="AN1311" s="77"/>
      <c r="AO1311" s="77"/>
      <c r="AP1311" s="77"/>
      <c r="AQ1311" s="77" t="s">
        <v>14959</v>
      </c>
      <c r="AR1311" s="77"/>
      <c r="AS1311" s="77"/>
      <c r="AT1311" s="77"/>
      <c r="AU1311" s="77"/>
      <c r="AV1311" s="83" t="str">
        <f>HYPERLINK("https://pbs.twimg.com/media/FzpMMg2XwA8TkE0.jpg")</f>
        <v>https://pbs.twimg.com/media/FzpMMg2XwA8TkE0.jpg</v>
      </c>
      <c r="AW1311" s="80" t="s">
        <v>17198</v>
      </c>
      <c r="AX1311" s="80" t="s">
        <v>17198</v>
      </c>
      <c r="AY1311" s="77"/>
      <c r="AZ1311" s="80" t="s">
        <v>20380</v>
      </c>
      <c r="BA1311" s="80" t="s">
        <v>20380</v>
      </c>
      <c r="BB1311" s="80" t="s">
        <v>20380</v>
      </c>
      <c r="BC1311" s="80" t="s">
        <v>17198</v>
      </c>
      <c r="BD1311" s="77">
        <v>36115008</v>
      </c>
      <c r="BE1311" s="77"/>
      <c r="BF1311" s="77"/>
      <c r="BG1311" s="77"/>
      <c r="BH1311" s="77"/>
      <c r="BI1311" s="77"/>
    </row>
    <row r="1312" spans="1:61" x14ac:dyDescent="0.25">
      <c r="A1312" s="62" t="s">
        <v>725</v>
      </c>
      <c r="B1312" s="62" t="s">
        <v>725</v>
      </c>
      <c r="C1312" s="63"/>
      <c r="D1312" s="64"/>
      <c r="E1312" s="65"/>
      <c r="F1312" s="66"/>
      <c r="G1312" s="63"/>
      <c r="H1312" s="67"/>
      <c r="I1312" s="68"/>
      <c r="J1312" s="68"/>
      <c r="K1312" s="32"/>
      <c r="L1312" s="75">
        <v>1312</v>
      </c>
      <c r="M1312" s="75"/>
      <c r="N1312" s="70"/>
      <c r="O1312" s="77" t="s">
        <v>179</v>
      </c>
      <c r="P1312" s="79">
        <v>45180.854409722226</v>
      </c>
      <c r="Q1312" s="77" t="s">
        <v>3231</v>
      </c>
      <c r="R1312" s="77">
        <v>0</v>
      </c>
      <c r="S1312" s="77">
        <v>0</v>
      </c>
      <c r="T1312" s="77">
        <v>0</v>
      </c>
      <c r="U1312" s="77">
        <v>0</v>
      </c>
      <c r="V1312" s="77">
        <v>118</v>
      </c>
      <c r="W1312" s="80" t="s">
        <v>6814</v>
      </c>
      <c r="X1312" s="83" t="str">
        <f>HYPERLINK("https://brasil61.com/q/BRAS239504")</f>
        <v>https://brasil61.com/q/BRAS239504</v>
      </c>
      <c r="Y1312" s="77" t="s">
        <v>8739</v>
      </c>
      <c r="Z1312" s="77"/>
      <c r="AA1312" s="77" t="s">
        <v>9478</v>
      </c>
      <c r="AB1312" s="77" t="s">
        <v>10535</v>
      </c>
      <c r="AC1312" s="80" t="s">
        <v>10565</v>
      </c>
      <c r="AD1312" s="77" t="s">
        <v>10617</v>
      </c>
      <c r="AE1312" s="83" t="str">
        <f>HYPERLINK("https://twitter.com/brasil61_/status/1701332373676151107")</f>
        <v>https://twitter.com/brasil61_/status/1701332373676151107</v>
      </c>
      <c r="AF1312" s="79">
        <v>45180.854409722226</v>
      </c>
      <c r="AG1312" s="85">
        <v>45180</v>
      </c>
      <c r="AH1312" s="80" t="s">
        <v>11781</v>
      </c>
      <c r="AI1312" s="77" t="b">
        <v>0</v>
      </c>
      <c r="AJ1312" s="77"/>
      <c r="AK1312" s="77"/>
      <c r="AL1312" s="77"/>
      <c r="AM1312" s="77"/>
      <c r="AN1312" s="77"/>
      <c r="AO1312" s="77"/>
      <c r="AP1312" s="77"/>
      <c r="AQ1312" s="77" t="s">
        <v>14960</v>
      </c>
      <c r="AR1312" s="77"/>
      <c r="AS1312" s="77"/>
      <c r="AT1312" s="77"/>
      <c r="AU1312" s="77"/>
      <c r="AV1312" s="83" t="str">
        <f>HYPERLINK("https://pbs.twimg.com/media/F5xYxzYXcAAiA0c.jpg")</f>
        <v>https://pbs.twimg.com/media/F5xYxzYXcAAiA0c.jpg</v>
      </c>
      <c r="AW1312" s="80" t="s">
        <v>17199</v>
      </c>
      <c r="AX1312" s="80" t="s">
        <v>17199</v>
      </c>
      <c r="AY1312" s="77"/>
      <c r="AZ1312" s="80" t="s">
        <v>20380</v>
      </c>
      <c r="BA1312" s="80" t="s">
        <v>20380</v>
      </c>
      <c r="BB1312" s="80" t="s">
        <v>20380</v>
      </c>
      <c r="BC1312" s="80" t="s">
        <v>17199</v>
      </c>
      <c r="BD1312" s="77">
        <v>36115008</v>
      </c>
      <c r="BE1312" s="77"/>
      <c r="BF1312" s="77"/>
      <c r="BG1312" s="77"/>
      <c r="BH1312" s="77"/>
      <c r="BI1312" s="77"/>
    </row>
    <row r="1313" spans="1:61" x14ac:dyDescent="0.25">
      <c r="A1313" s="62" t="s">
        <v>725</v>
      </c>
      <c r="B1313" s="62" t="s">
        <v>725</v>
      </c>
      <c r="C1313" s="63"/>
      <c r="D1313" s="64"/>
      <c r="E1313" s="65"/>
      <c r="F1313" s="66"/>
      <c r="G1313" s="63"/>
      <c r="H1313" s="67"/>
      <c r="I1313" s="68"/>
      <c r="J1313" s="68"/>
      <c r="K1313" s="32"/>
      <c r="L1313" s="75">
        <v>1313</v>
      </c>
      <c r="M1313" s="75"/>
      <c r="N1313" s="70"/>
      <c r="O1313" s="77" t="s">
        <v>179</v>
      </c>
      <c r="P1313" s="79">
        <v>45180.752280092594</v>
      </c>
      <c r="Q1313" s="77" t="s">
        <v>3232</v>
      </c>
      <c r="R1313" s="77">
        <v>0</v>
      </c>
      <c r="S1313" s="77">
        <v>0</v>
      </c>
      <c r="T1313" s="77">
        <v>0</v>
      </c>
      <c r="U1313" s="77">
        <v>0</v>
      </c>
      <c r="V1313" s="77">
        <v>72</v>
      </c>
      <c r="W1313" s="80" t="s">
        <v>6310</v>
      </c>
      <c r="X1313" s="83" t="str">
        <f>HYPERLINK("https://brasil61.com/q/BRAS239502")</f>
        <v>https://brasil61.com/q/BRAS239502</v>
      </c>
      <c r="Y1313" s="77" t="s">
        <v>8739</v>
      </c>
      <c r="Z1313" s="77"/>
      <c r="AA1313" s="77" t="s">
        <v>9479</v>
      </c>
      <c r="AB1313" s="77" t="s">
        <v>10535</v>
      </c>
      <c r="AC1313" s="80" t="s">
        <v>10565</v>
      </c>
      <c r="AD1313" s="77" t="s">
        <v>10617</v>
      </c>
      <c r="AE1313" s="83" t="str">
        <f>HYPERLINK("https://twitter.com/brasil61_/status/1701295362512663012")</f>
        <v>https://twitter.com/brasil61_/status/1701295362512663012</v>
      </c>
      <c r="AF1313" s="79">
        <v>45180.752280092594</v>
      </c>
      <c r="AG1313" s="85">
        <v>45180</v>
      </c>
      <c r="AH1313" s="80" t="s">
        <v>11782</v>
      </c>
      <c r="AI1313" s="77" t="b">
        <v>0</v>
      </c>
      <c r="AJ1313" s="77"/>
      <c r="AK1313" s="77"/>
      <c r="AL1313" s="77"/>
      <c r="AM1313" s="77"/>
      <c r="AN1313" s="77"/>
      <c r="AO1313" s="77"/>
      <c r="AP1313" s="77"/>
      <c r="AQ1313" s="77" t="s">
        <v>14961</v>
      </c>
      <c r="AR1313" s="77"/>
      <c r="AS1313" s="77"/>
      <c r="AT1313" s="77"/>
      <c r="AU1313" s="77"/>
      <c r="AV1313" s="83" t="str">
        <f>HYPERLINK("https://pbs.twimg.com/media/F5w3HcmWsAAkREX.jpg")</f>
        <v>https://pbs.twimg.com/media/F5w3HcmWsAAkREX.jpg</v>
      </c>
      <c r="AW1313" s="80" t="s">
        <v>17200</v>
      </c>
      <c r="AX1313" s="80" t="s">
        <v>17200</v>
      </c>
      <c r="AY1313" s="77"/>
      <c r="AZ1313" s="80" t="s">
        <v>20380</v>
      </c>
      <c r="BA1313" s="80" t="s">
        <v>20380</v>
      </c>
      <c r="BB1313" s="80" t="s">
        <v>20380</v>
      </c>
      <c r="BC1313" s="80" t="s">
        <v>17200</v>
      </c>
      <c r="BD1313" s="77">
        <v>36115008</v>
      </c>
      <c r="BE1313" s="77"/>
      <c r="BF1313" s="77"/>
      <c r="BG1313" s="77"/>
      <c r="BH1313" s="77"/>
      <c r="BI1313" s="77"/>
    </row>
    <row r="1314" spans="1:61" x14ac:dyDescent="0.25">
      <c r="A1314" s="62" t="s">
        <v>725</v>
      </c>
      <c r="B1314" s="62" t="s">
        <v>725</v>
      </c>
      <c r="C1314" s="63"/>
      <c r="D1314" s="64"/>
      <c r="E1314" s="65"/>
      <c r="F1314" s="66"/>
      <c r="G1314" s="63"/>
      <c r="H1314" s="67"/>
      <c r="I1314" s="68"/>
      <c r="J1314" s="68"/>
      <c r="K1314" s="32"/>
      <c r="L1314" s="75">
        <v>1314</v>
      </c>
      <c r="M1314" s="75"/>
      <c r="N1314" s="70"/>
      <c r="O1314" s="77" t="s">
        <v>179</v>
      </c>
      <c r="P1314" s="79">
        <v>45142.767361111109</v>
      </c>
      <c r="Q1314" s="77" t="s">
        <v>3233</v>
      </c>
      <c r="R1314" s="77">
        <v>0</v>
      </c>
      <c r="S1314" s="77">
        <v>1</v>
      </c>
      <c r="T1314" s="77">
        <v>0</v>
      </c>
      <c r="U1314" s="77">
        <v>0</v>
      </c>
      <c r="V1314" s="77">
        <v>37</v>
      </c>
      <c r="W1314" s="80" t="s">
        <v>6821</v>
      </c>
      <c r="X1314" s="83" t="str">
        <f>HYPERLINK("https://br61.com.br/q/PIND234167")</f>
        <v>https://br61.com.br/q/PIND234167</v>
      </c>
      <c r="Y1314" s="77" t="s">
        <v>8611</v>
      </c>
      <c r="Z1314" s="77"/>
      <c r="AA1314" s="77"/>
      <c r="AB1314" s="77"/>
      <c r="AC1314" s="80" t="s">
        <v>10541</v>
      </c>
      <c r="AD1314" s="77" t="s">
        <v>10617</v>
      </c>
      <c r="AE1314" s="83" t="str">
        <f>HYPERLINK("https://twitter.com/brasil61_/status/1687530087036706816")</f>
        <v>https://twitter.com/brasil61_/status/1687530087036706816</v>
      </c>
      <c r="AF1314" s="79">
        <v>45142.767361111109</v>
      </c>
      <c r="AG1314" s="85">
        <v>45142</v>
      </c>
      <c r="AH1314" s="80" t="s">
        <v>11783</v>
      </c>
      <c r="AI1314" s="77" t="b">
        <v>0</v>
      </c>
      <c r="AJ1314" s="77"/>
      <c r="AK1314" s="77"/>
      <c r="AL1314" s="77"/>
      <c r="AM1314" s="77"/>
      <c r="AN1314" s="77"/>
      <c r="AO1314" s="77"/>
      <c r="AP1314" s="77"/>
      <c r="AQ1314" s="77"/>
      <c r="AR1314" s="77"/>
      <c r="AS1314" s="77"/>
      <c r="AT1314" s="77"/>
      <c r="AU1314" s="77"/>
      <c r="AV1314" s="83" t="str">
        <f>HYPERLINK("https://pbs.twimg.com/profile_images/1478016741871652864/b_NJh157_normal.jpg")</f>
        <v>https://pbs.twimg.com/profile_images/1478016741871652864/b_NJh157_normal.jpg</v>
      </c>
      <c r="AW1314" s="80" t="s">
        <v>17201</v>
      </c>
      <c r="AX1314" s="80" t="s">
        <v>17201</v>
      </c>
      <c r="AY1314" s="77"/>
      <c r="AZ1314" s="80" t="s">
        <v>20380</v>
      </c>
      <c r="BA1314" s="80" t="s">
        <v>20380</v>
      </c>
      <c r="BB1314" s="80" t="s">
        <v>20380</v>
      </c>
      <c r="BC1314" s="80" t="s">
        <v>17201</v>
      </c>
      <c r="BD1314" s="77">
        <v>36115008</v>
      </c>
      <c r="BE1314" s="77"/>
      <c r="BF1314" s="77"/>
      <c r="BG1314" s="77"/>
      <c r="BH1314" s="77"/>
      <c r="BI1314" s="77"/>
    </row>
    <row r="1315" spans="1:61" x14ac:dyDescent="0.25">
      <c r="A1315" s="62" t="s">
        <v>725</v>
      </c>
      <c r="B1315" s="62" t="s">
        <v>725</v>
      </c>
      <c r="C1315" s="63"/>
      <c r="D1315" s="64"/>
      <c r="E1315" s="65"/>
      <c r="F1315" s="66"/>
      <c r="G1315" s="63"/>
      <c r="H1315" s="67"/>
      <c r="I1315" s="68"/>
      <c r="J1315" s="68"/>
      <c r="K1315" s="32"/>
      <c r="L1315" s="75">
        <v>1315</v>
      </c>
      <c r="M1315" s="75"/>
      <c r="N1315" s="70"/>
      <c r="O1315" s="77" t="s">
        <v>179</v>
      </c>
      <c r="P1315" s="79">
        <v>45103.87667824074</v>
      </c>
      <c r="Q1315" s="77" t="s">
        <v>3234</v>
      </c>
      <c r="R1315" s="77">
        <v>0</v>
      </c>
      <c r="S1315" s="77">
        <v>1</v>
      </c>
      <c r="T1315" s="77">
        <v>0</v>
      </c>
      <c r="U1315" s="77">
        <v>0</v>
      </c>
      <c r="V1315" s="77">
        <v>51</v>
      </c>
      <c r="W1315" s="80" t="s">
        <v>6310</v>
      </c>
      <c r="X1315" s="83" t="str">
        <f>HYPERLINK("https://br61.com.br/q/BRAS238674")</f>
        <v>https://br61.com.br/q/BRAS238674</v>
      </c>
      <c r="Y1315" s="77" t="s">
        <v>8611</v>
      </c>
      <c r="Z1315" s="77"/>
      <c r="AA1315" s="77" t="s">
        <v>9480</v>
      </c>
      <c r="AB1315" s="77" t="s">
        <v>10535</v>
      </c>
      <c r="AC1315" s="80" t="s">
        <v>10565</v>
      </c>
      <c r="AD1315" s="77" t="s">
        <v>10617</v>
      </c>
      <c r="AE1315" s="83" t="str">
        <f>HYPERLINK("https://twitter.com/brasil61_/status/1673436576221650945")</f>
        <v>https://twitter.com/brasil61_/status/1673436576221650945</v>
      </c>
      <c r="AF1315" s="79">
        <v>45103.87667824074</v>
      </c>
      <c r="AG1315" s="85">
        <v>45103</v>
      </c>
      <c r="AH1315" s="80" t="s">
        <v>11784</v>
      </c>
      <c r="AI1315" s="77" t="b">
        <v>0</v>
      </c>
      <c r="AJ1315" s="77"/>
      <c r="AK1315" s="77"/>
      <c r="AL1315" s="77"/>
      <c r="AM1315" s="77"/>
      <c r="AN1315" s="77"/>
      <c r="AO1315" s="77"/>
      <c r="AP1315" s="77"/>
      <c r="AQ1315" s="77" t="s">
        <v>14962</v>
      </c>
      <c r="AR1315" s="77"/>
      <c r="AS1315" s="77"/>
      <c r="AT1315" s="77"/>
      <c r="AU1315" s="77"/>
      <c r="AV1315" s="83" t="str">
        <f>HYPERLINK("https://pbs.twimg.com/media/Fzk9sqoWwAEn95g.jpg")</f>
        <v>https://pbs.twimg.com/media/Fzk9sqoWwAEn95g.jpg</v>
      </c>
      <c r="AW1315" s="80" t="s">
        <v>17202</v>
      </c>
      <c r="AX1315" s="80" t="s">
        <v>17202</v>
      </c>
      <c r="AY1315" s="77"/>
      <c r="AZ1315" s="80" t="s">
        <v>20380</v>
      </c>
      <c r="BA1315" s="80" t="s">
        <v>20380</v>
      </c>
      <c r="BB1315" s="80" t="s">
        <v>20380</v>
      </c>
      <c r="BC1315" s="80" t="s">
        <v>17202</v>
      </c>
      <c r="BD1315" s="77">
        <v>36115008</v>
      </c>
      <c r="BE1315" s="77"/>
      <c r="BF1315" s="77"/>
      <c r="BG1315" s="77"/>
      <c r="BH1315" s="77"/>
      <c r="BI1315" s="77"/>
    </row>
    <row r="1316" spans="1:61" x14ac:dyDescent="0.25">
      <c r="A1316" s="62" t="s">
        <v>725</v>
      </c>
      <c r="B1316" s="62" t="s">
        <v>725</v>
      </c>
      <c r="C1316" s="63"/>
      <c r="D1316" s="64"/>
      <c r="E1316" s="65"/>
      <c r="F1316" s="66"/>
      <c r="G1316" s="63"/>
      <c r="H1316" s="67"/>
      <c r="I1316" s="68"/>
      <c r="J1316" s="68"/>
      <c r="K1316" s="32"/>
      <c r="L1316" s="75">
        <v>1316</v>
      </c>
      <c r="M1316" s="75"/>
      <c r="N1316" s="70"/>
      <c r="O1316" s="77" t="s">
        <v>179</v>
      </c>
      <c r="P1316" s="79">
        <v>45190.792048611111</v>
      </c>
      <c r="Q1316" s="77" t="s">
        <v>3235</v>
      </c>
      <c r="R1316" s="77">
        <v>0</v>
      </c>
      <c r="S1316" s="77">
        <v>0</v>
      </c>
      <c r="T1316" s="77">
        <v>0</v>
      </c>
      <c r="U1316" s="77">
        <v>0</v>
      </c>
      <c r="V1316" s="77">
        <v>173</v>
      </c>
      <c r="W1316" s="80" t="s">
        <v>6818</v>
      </c>
      <c r="X1316" s="83" t="str">
        <f>HYPERLINK("https://brasil61.com/q/BRAS239625")</f>
        <v>https://brasil61.com/q/BRAS239625</v>
      </c>
      <c r="Y1316" s="77" t="s">
        <v>8739</v>
      </c>
      <c r="Z1316" s="77"/>
      <c r="AA1316" s="77" t="s">
        <v>9481</v>
      </c>
      <c r="AB1316" s="77" t="s">
        <v>10535</v>
      </c>
      <c r="AC1316" s="80" t="s">
        <v>10565</v>
      </c>
      <c r="AD1316" s="77" t="s">
        <v>10617</v>
      </c>
      <c r="AE1316" s="83" t="str">
        <f>HYPERLINK("https://twitter.com/brasil61_/status/1704933650444296362")</f>
        <v>https://twitter.com/brasil61_/status/1704933650444296362</v>
      </c>
      <c r="AF1316" s="79">
        <v>45190.792048611111</v>
      </c>
      <c r="AG1316" s="85">
        <v>45190</v>
      </c>
      <c r="AH1316" s="80" t="s">
        <v>11785</v>
      </c>
      <c r="AI1316" s="77" t="b">
        <v>0</v>
      </c>
      <c r="AJ1316" s="77"/>
      <c r="AK1316" s="77"/>
      <c r="AL1316" s="77"/>
      <c r="AM1316" s="77"/>
      <c r="AN1316" s="77"/>
      <c r="AO1316" s="77"/>
      <c r="AP1316" s="77"/>
      <c r="AQ1316" s="77" t="s">
        <v>14963</v>
      </c>
      <c r="AR1316" s="77"/>
      <c r="AS1316" s="77"/>
      <c r="AT1316" s="77"/>
      <c r="AU1316" s="77"/>
      <c r="AV1316" s="83" t="str">
        <f>HYPERLINK("https://pbs.twimg.com/media/F6kkHrxXYAASLcb.jpg")</f>
        <v>https://pbs.twimg.com/media/F6kkHrxXYAASLcb.jpg</v>
      </c>
      <c r="AW1316" s="80" t="s">
        <v>17203</v>
      </c>
      <c r="AX1316" s="80" t="s">
        <v>17203</v>
      </c>
      <c r="AY1316" s="77"/>
      <c r="AZ1316" s="80" t="s">
        <v>20380</v>
      </c>
      <c r="BA1316" s="80" t="s">
        <v>20380</v>
      </c>
      <c r="BB1316" s="80" t="s">
        <v>20380</v>
      </c>
      <c r="BC1316" s="80" t="s">
        <v>17203</v>
      </c>
      <c r="BD1316" s="77">
        <v>36115008</v>
      </c>
      <c r="BE1316" s="77"/>
      <c r="BF1316" s="77"/>
      <c r="BG1316" s="77"/>
      <c r="BH1316" s="77"/>
      <c r="BI1316" s="77"/>
    </row>
    <row r="1317" spans="1:61" x14ac:dyDescent="0.25">
      <c r="A1317" s="62" t="s">
        <v>725</v>
      </c>
      <c r="B1317" s="62" t="s">
        <v>725</v>
      </c>
      <c r="C1317" s="63"/>
      <c r="D1317" s="64"/>
      <c r="E1317" s="65"/>
      <c r="F1317" s="66"/>
      <c r="G1317" s="63"/>
      <c r="H1317" s="67"/>
      <c r="I1317" s="68"/>
      <c r="J1317" s="68"/>
      <c r="K1317" s="32"/>
      <c r="L1317" s="75">
        <v>1317</v>
      </c>
      <c r="M1317" s="75"/>
      <c r="N1317" s="70"/>
      <c r="O1317" s="77" t="s">
        <v>179</v>
      </c>
      <c r="P1317" s="79">
        <v>45096.705069444448</v>
      </c>
      <c r="Q1317" s="77" t="s">
        <v>3236</v>
      </c>
      <c r="R1317" s="77">
        <v>0</v>
      </c>
      <c r="S1317" s="77">
        <v>1</v>
      </c>
      <c r="T1317" s="77">
        <v>0</v>
      </c>
      <c r="U1317" s="77">
        <v>0</v>
      </c>
      <c r="V1317" s="77">
        <v>50</v>
      </c>
      <c r="W1317" s="80" t="s">
        <v>6822</v>
      </c>
      <c r="X1317" s="83" t="str">
        <f>HYPERLINK("https://br61.com.br/q/BRAS238577")</f>
        <v>https://br61.com.br/q/BRAS238577</v>
      </c>
      <c r="Y1317" s="77" t="s">
        <v>8611</v>
      </c>
      <c r="Z1317" s="77"/>
      <c r="AA1317" s="77" t="s">
        <v>9482</v>
      </c>
      <c r="AB1317" s="77" t="s">
        <v>10535</v>
      </c>
      <c r="AC1317" s="80" t="s">
        <v>10565</v>
      </c>
      <c r="AD1317" s="77" t="s">
        <v>10617</v>
      </c>
      <c r="AE1317" s="83" t="str">
        <f>HYPERLINK("https://twitter.com/brasil61_/status/1670837671747371029")</f>
        <v>https://twitter.com/brasil61_/status/1670837671747371029</v>
      </c>
      <c r="AF1317" s="79">
        <v>45096.705069444448</v>
      </c>
      <c r="AG1317" s="85">
        <v>45096</v>
      </c>
      <c r="AH1317" s="80" t="s">
        <v>11786</v>
      </c>
      <c r="AI1317" s="77" t="b">
        <v>0</v>
      </c>
      <c r="AJ1317" s="77"/>
      <c r="AK1317" s="77"/>
      <c r="AL1317" s="77"/>
      <c r="AM1317" s="77"/>
      <c r="AN1317" s="77"/>
      <c r="AO1317" s="77"/>
      <c r="AP1317" s="77"/>
      <c r="AQ1317" s="77" t="s">
        <v>14964</v>
      </c>
      <c r="AR1317" s="77"/>
      <c r="AS1317" s="77"/>
      <c r="AT1317" s="77"/>
      <c r="AU1317" s="77"/>
      <c r="AV1317" s="83" t="str">
        <f>HYPERLINK("https://pbs.twimg.com/media/FzACAfsWwAAMZjn.jpg")</f>
        <v>https://pbs.twimg.com/media/FzACAfsWwAAMZjn.jpg</v>
      </c>
      <c r="AW1317" s="80" t="s">
        <v>17204</v>
      </c>
      <c r="AX1317" s="80" t="s">
        <v>17204</v>
      </c>
      <c r="AY1317" s="77"/>
      <c r="AZ1317" s="80" t="s">
        <v>20380</v>
      </c>
      <c r="BA1317" s="80" t="s">
        <v>20380</v>
      </c>
      <c r="BB1317" s="80" t="s">
        <v>20380</v>
      </c>
      <c r="BC1317" s="80" t="s">
        <v>17204</v>
      </c>
      <c r="BD1317" s="77">
        <v>36115008</v>
      </c>
      <c r="BE1317" s="77"/>
      <c r="BF1317" s="77"/>
      <c r="BG1317" s="77"/>
      <c r="BH1317" s="77"/>
      <c r="BI1317" s="77"/>
    </row>
    <row r="1318" spans="1:61" x14ac:dyDescent="0.25">
      <c r="A1318" s="62" t="s">
        <v>725</v>
      </c>
      <c r="B1318" s="62" t="s">
        <v>725</v>
      </c>
      <c r="C1318" s="63"/>
      <c r="D1318" s="64"/>
      <c r="E1318" s="65"/>
      <c r="F1318" s="66"/>
      <c r="G1318" s="63"/>
      <c r="H1318" s="67"/>
      <c r="I1318" s="68"/>
      <c r="J1318" s="68"/>
      <c r="K1318" s="32"/>
      <c r="L1318" s="75">
        <v>1318</v>
      </c>
      <c r="M1318" s="75"/>
      <c r="N1318" s="70"/>
      <c r="O1318" s="77" t="s">
        <v>179</v>
      </c>
      <c r="P1318" s="79">
        <v>45051.708668981482</v>
      </c>
      <c r="Q1318" s="77" t="s">
        <v>3237</v>
      </c>
      <c r="R1318" s="77">
        <v>0</v>
      </c>
      <c r="S1318" s="77">
        <v>3</v>
      </c>
      <c r="T1318" s="77">
        <v>0</v>
      </c>
      <c r="U1318" s="77">
        <v>0</v>
      </c>
      <c r="V1318" s="77">
        <v>93</v>
      </c>
      <c r="W1318" s="80" t="s">
        <v>6815</v>
      </c>
      <c r="X1318" s="83" t="str">
        <f>HYPERLINK("https://bit.ly/429MGwR")</f>
        <v>https://bit.ly/429MGwR</v>
      </c>
      <c r="Y1318" s="77" t="s">
        <v>8618</v>
      </c>
      <c r="Z1318" s="77"/>
      <c r="AA1318" s="77" t="s">
        <v>9483</v>
      </c>
      <c r="AB1318" s="77" t="s">
        <v>10535</v>
      </c>
      <c r="AC1318" s="80" t="s">
        <v>10565</v>
      </c>
      <c r="AD1318" s="77" t="s">
        <v>10617</v>
      </c>
      <c r="AE1318" s="83" t="str">
        <f>HYPERLINK("https://twitter.com/brasil61_/status/1654531524690051096")</f>
        <v>https://twitter.com/brasil61_/status/1654531524690051096</v>
      </c>
      <c r="AF1318" s="79">
        <v>45051.708668981482</v>
      </c>
      <c r="AG1318" s="85">
        <v>45051</v>
      </c>
      <c r="AH1318" s="80" t="s">
        <v>11787</v>
      </c>
      <c r="AI1318" s="77" t="b">
        <v>0</v>
      </c>
      <c r="AJ1318" s="77"/>
      <c r="AK1318" s="77"/>
      <c r="AL1318" s="77"/>
      <c r="AM1318" s="77"/>
      <c r="AN1318" s="77"/>
      <c r="AO1318" s="77"/>
      <c r="AP1318" s="77"/>
      <c r="AQ1318" s="77" t="s">
        <v>14965</v>
      </c>
      <c r="AR1318" s="77"/>
      <c r="AS1318" s="77"/>
      <c r="AT1318" s="77"/>
      <c r="AU1318" s="77"/>
      <c r="AV1318" s="83" t="str">
        <f>HYPERLINK("https://pbs.twimg.com/media/FvYTp2cWAA0DaGF.jpg")</f>
        <v>https://pbs.twimg.com/media/FvYTp2cWAA0DaGF.jpg</v>
      </c>
      <c r="AW1318" s="80" t="s">
        <v>17205</v>
      </c>
      <c r="AX1318" s="80" t="s">
        <v>17205</v>
      </c>
      <c r="AY1318" s="77"/>
      <c r="AZ1318" s="80" t="s">
        <v>20380</v>
      </c>
      <c r="BA1318" s="80" t="s">
        <v>20380</v>
      </c>
      <c r="BB1318" s="80" t="s">
        <v>20380</v>
      </c>
      <c r="BC1318" s="80" t="s">
        <v>17205</v>
      </c>
      <c r="BD1318" s="77">
        <v>36115008</v>
      </c>
      <c r="BE1318" s="77"/>
      <c r="BF1318" s="77"/>
      <c r="BG1318" s="77"/>
      <c r="BH1318" s="77"/>
      <c r="BI1318" s="77"/>
    </row>
    <row r="1319" spans="1:61" x14ac:dyDescent="0.25">
      <c r="A1319" s="62" t="s">
        <v>726</v>
      </c>
      <c r="B1319" s="62" t="s">
        <v>726</v>
      </c>
      <c r="C1319" s="63"/>
      <c r="D1319" s="64"/>
      <c r="E1319" s="65"/>
      <c r="F1319" s="66"/>
      <c r="G1319" s="63"/>
      <c r="H1319" s="67"/>
      <c r="I1319" s="68"/>
      <c r="J1319" s="68"/>
      <c r="K1319" s="32"/>
      <c r="L1319" s="75">
        <v>1319</v>
      </c>
      <c r="M1319" s="75"/>
      <c r="N1319" s="70"/>
      <c r="O1319" s="77" t="s">
        <v>179</v>
      </c>
      <c r="P1319" s="79">
        <v>45184.708333333336</v>
      </c>
      <c r="Q1319" s="77" t="s">
        <v>3238</v>
      </c>
      <c r="R1319" s="77">
        <v>0</v>
      </c>
      <c r="S1319" s="77">
        <v>0</v>
      </c>
      <c r="T1319" s="77">
        <v>0</v>
      </c>
      <c r="U1319" s="77">
        <v>0</v>
      </c>
      <c r="V1319" s="77">
        <v>8</v>
      </c>
      <c r="W1319" s="80" t="s">
        <v>6823</v>
      </c>
      <c r="X1319" s="83" t="str">
        <f>HYPERLINK("https://bitly.ws/TYe9")</f>
        <v>https://bitly.ws/TYe9</v>
      </c>
      <c r="Y1319" s="77" t="s">
        <v>8621</v>
      </c>
      <c r="Z1319" s="77"/>
      <c r="AA1319" s="77" t="s">
        <v>9484</v>
      </c>
      <c r="AB1319" s="77" t="s">
        <v>10535</v>
      </c>
      <c r="AC1319" s="80" t="s">
        <v>10541</v>
      </c>
      <c r="AD1319" s="77" t="s">
        <v>10620</v>
      </c>
      <c r="AE1319" s="83" t="str">
        <f>HYPERLINK("https://twitter.com/themoneypost_/status/1702728987724882000")</f>
        <v>https://twitter.com/themoneypost_/status/1702728987724882000</v>
      </c>
      <c r="AF1319" s="79">
        <v>45184.708333333336</v>
      </c>
      <c r="AG1319" s="85">
        <v>45184</v>
      </c>
      <c r="AH1319" s="80" t="s">
        <v>11788</v>
      </c>
      <c r="AI1319" s="77" t="b">
        <v>0</v>
      </c>
      <c r="AJ1319" s="77"/>
      <c r="AK1319" s="77"/>
      <c r="AL1319" s="77"/>
      <c r="AM1319" s="77"/>
      <c r="AN1319" s="77"/>
      <c r="AO1319" s="77"/>
      <c r="AP1319" s="77"/>
      <c r="AQ1319" s="77" t="s">
        <v>14966</v>
      </c>
      <c r="AR1319" s="77"/>
      <c r="AS1319" s="77"/>
      <c r="AT1319" s="77"/>
      <c r="AU1319" s="77"/>
      <c r="AV1319" s="83" t="str">
        <f>HYPERLINK("https://pbs.twimg.com/media/F6BOpbCWYAAeLbX.jpg")</f>
        <v>https://pbs.twimg.com/media/F6BOpbCWYAAeLbX.jpg</v>
      </c>
      <c r="AW1319" s="80" t="s">
        <v>17206</v>
      </c>
      <c r="AX1319" s="80" t="s">
        <v>17206</v>
      </c>
      <c r="AY1319" s="77"/>
      <c r="AZ1319" s="80" t="s">
        <v>20380</v>
      </c>
      <c r="BA1319" s="80" t="s">
        <v>20380</v>
      </c>
      <c r="BB1319" s="80" t="s">
        <v>20380</v>
      </c>
      <c r="BC1319" s="80" t="s">
        <v>17206</v>
      </c>
      <c r="BD1319" s="80" t="s">
        <v>20734</v>
      </c>
      <c r="BE1319" s="77"/>
      <c r="BF1319" s="77"/>
      <c r="BG1319" s="77"/>
      <c r="BH1319" s="77"/>
      <c r="BI1319" s="77"/>
    </row>
    <row r="1320" spans="1:61" x14ac:dyDescent="0.25">
      <c r="A1320" s="62" t="s">
        <v>726</v>
      </c>
      <c r="B1320" s="62" t="s">
        <v>726</v>
      </c>
      <c r="C1320" s="63"/>
      <c r="D1320" s="64"/>
      <c r="E1320" s="65"/>
      <c r="F1320" s="66"/>
      <c r="G1320" s="63"/>
      <c r="H1320" s="67"/>
      <c r="I1320" s="68"/>
      <c r="J1320" s="68"/>
      <c r="K1320" s="32"/>
      <c r="L1320" s="75">
        <v>1320</v>
      </c>
      <c r="M1320" s="75"/>
      <c r="N1320" s="70"/>
      <c r="O1320" s="77" t="s">
        <v>179</v>
      </c>
      <c r="P1320" s="79">
        <v>45184.500011574077</v>
      </c>
      <c r="Q1320" s="77" t="s">
        <v>3239</v>
      </c>
      <c r="R1320" s="77">
        <v>0</v>
      </c>
      <c r="S1320" s="77">
        <v>0</v>
      </c>
      <c r="T1320" s="77">
        <v>0</v>
      </c>
      <c r="U1320" s="77">
        <v>0</v>
      </c>
      <c r="V1320" s="77">
        <v>12</v>
      </c>
      <c r="W1320" s="80" t="s">
        <v>6824</v>
      </c>
      <c r="X1320" s="83" t="str">
        <f>HYPERLINK("https://bitly.ws/U6oS")</f>
        <v>https://bitly.ws/U6oS</v>
      </c>
      <c r="Y1320" s="77" t="s">
        <v>8621</v>
      </c>
      <c r="Z1320" s="77"/>
      <c r="AA1320" s="77" t="s">
        <v>9485</v>
      </c>
      <c r="AB1320" s="77" t="s">
        <v>10535</v>
      </c>
      <c r="AC1320" s="80" t="s">
        <v>10541</v>
      </c>
      <c r="AD1320" s="77" t="s">
        <v>10620</v>
      </c>
      <c r="AE1320" s="83" t="str">
        <f>HYPERLINK("https://twitter.com/themoneypost_/status/1702653492928847941")</f>
        <v>https://twitter.com/themoneypost_/status/1702653492928847941</v>
      </c>
      <c r="AF1320" s="79">
        <v>45184.500011574077</v>
      </c>
      <c r="AG1320" s="85">
        <v>45184</v>
      </c>
      <c r="AH1320" s="80" t="s">
        <v>11209</v>
      </c>
      <c r="AI1320" s="77" t="b">
        <v>0</v>
      </c>
      <c r="AJ1320" s="77"/>
      <c r="AK1320" s="77"/>
      <c r="AL1320" s="77"/>
      <c r="AM1320" s="77"/>
      <c r="AN1320" s="77"/>
      <c r="AO1320" s="77"/>
      <c r="AP1320" s="77"/>
      <c r="AQ1320" s="77" t="s">
        <v>14967</v>
      </c>
      <c r="AR1320" s="77"/>
      <c r="AS1320" s="77"/>
      <c r="AT1320" s="77"/>
      <c r="AU1320" s="77"/>
      <c r="AV1320" s="83" t="str">
        <f>HYPERLINK("https://pbs.twimg.com/media/F58PgxRWoAA1Rt6.jpg")</f>
        <v>https://pbs.twimg.com/media/F58PgxRWoAA1Rt6.jpg</v>
      </c>
      <c r="AW1320" s="80" t="s">
        <v>17207</v>
      </c>
      <c r="AX1320" s="80" t="s">
        <v>17207</v>
      </c>
      <c r="AY1320" s="77"/>
      <c r="AZ1320" s="80" t="s">
        <v>20380</v>
      </c>
      <c r="BA1320" s="80" t="s">
        <v>20380</v>
      </c>
      <c r="BB1320" s="80" t="s">
        <v>20380</v>
      </c>
      <c r="BC1320" s="80" t="s">
        <v>17207</v>
      </c>
      <c r="BD1320" s="80" t="s">
        <v>20734</v>
      </c>
      <c r="BE1320" s="77"/>
      <c r="BF1320" s="77"/>
      <c r="BG1320" s="77"/>
      <c r="BH1320" s="77"/>
      <c r="BI1320" s="77"/>
    </row>
    <row r="1321" spans="1:61" x14ac:dyDescent="0.25">
      <c r="A1321" s="62" t="s">
        <v>726</v>
      </c>
      <c r="B1321" s="62" t="s">
        <v>726</v>
      </c>
      <c r="C1321" s="63"/>
      <c r="D1321" s="64"/>
      <c r="E1321" s="65"/>
      <c r="F1321" s="66"/>
      <c r="G1321" s="63"/>
      <c r="H1321" s="67"/>
      <c r="I1321" s="68"/>
      <c r="J1321" s="68"/>
      <c r="K1321" s="32"/>
      <c r="L1321" s="75">
        <v>1321</v>
      </c>
      <c r="M1321" s="75"/>
      <c r="N1321" s="70"/>
      <c r="O1321" s="77" t="s">
        <v>179</v>
      </c>
      <c r="P1321" s="79">
        <v>45191.833344907405</v>
      </c>
      <c r="Q1321" s="77" t="s">
        <v>3240</v>
      </c>
      <c r="R1321" s="77">
        <v>0</v>
      </c>
      <c r="S1321" s="77">
        <v>0</v>
      </c>
      <c r="T1321" s="77">
        <v>0</v>
      </c>
      <c r="U1321" s="77">
        <v>0</v>
      </c>
      <c r="V1321" s="77">
        <v>12</v>
      </c>
      <c r="W1321" s="80" t="s">
        <v>6825</v>
      </c>
      <c r="X1321" s="83" t="str">
        <f>HYPERLINK("https://bitly.ws/TYe9")</f>
        <v>https://bitly.ws/TYe9</v>
      </c>
      <c r="Y1321" s="77" t="s">
        <v>8621</v>
      </c>
      <c r="Z1321" s="77"/>
      <c r="AA1321" s="77" t="s">
        <v>9486</v>
      </c>
      <c r="AB1321" s="77" t="s">
        <v>10535</v>
      </c>
      <c r="AC1321" s="80" t="s">
        <v>10541</v>
      </c>
      <c r="AD1321" s="77" t="s">
        <v>10620</v>
      </c>
      <c r="AE1321" s="83" t="str">
        <f>HYPERLINK("https://twitter.com/themoneypost_/status/1705311007344820297")</f>
        <v>https://twitter.com/themoneypost_/status/1705311007344820297</v>
      </c>
      <c r="AF1321" s="79">
        <v>45191.833344907405</v>
      </c>
      <c r="AG1321" s="85">
        <v>45191</v>
      </c>
      <c r="AH1321" s="80" t="s">
        <v>11789</v>
      </c>
      <c r="AI1321" s="77" t="b">
        <v>0</v>
      </c>
      <c r="AJ1321" s="77"/>
      <c r="AK1321" s="77"/>
      <c r="AL1321" s="77"/>
      <c r="AM1321" s="77"/>
      <c r="AN1321" s="77"/>
      <c r="AO1321" s="77"/>
      <c r="AP1321" s="77"/>
      <c r="AQ1321" s="77" t="s">
        <v>14968</v>
      </c>
      <c r="AR1321" s="77"/>
      <c r="AS1321" s="77"/>
      <c r="AT1321" s="77"/>
      <c r="AU1321" s="77"/>
      <c r="AV1321" s="83" t="str">
        <f>HYPERLINK("https://pbs.twimg.com/media/F6ljLwaWsAAHjM-.jpg")</f>
        <v>https://pbs.twimg.com/media/F6ljLwaWsAAHjM-.jpg</v>
      </c>
      <c r="AW1321" s="80" t="s">
        <v>17208</v>
      </c>
      <c r="AX1321" s="80" t="s">
        <v>17208</v>
      </c>
      <c r="AY1321" s="77"/>
      <c r="AZ1321" s="80" t="s">
        <v>20380</v>
      </c>
      <c r="BA1321" s="80" t="s">
        <v>20380</v>
      </c>
      <c r="BB1321" s="80" t="s">
        <v>20380</v>
      </c>
      <c r="BC1321" s="80" t="s">
        <v>17208</v>
      </c>
      <c r="BD1321" s="80" t="s">
        <v>20734</v>
      </c>
      <c r="BE1321" s="77"/>
      <c r="BF1321" s="77"/>
      <c r="BG1321" s="77"/>
      <c r="BH1321" s="77"/>
      <c r="BI1321" s="77"/>
    </row>
    <row r="1322" spans="1:61" x14ac:dyDescent="0.25">
      <c r="A1322" s="62" t="s">
        <v>726</v>
      </c>
      <c r="B1322" s="62" t="s">
        <v>726</v>
      </c>
      <c r="C1322" s="63"/>
      <c r="D1322" s="64"/>
      <c r="E1322" s="65"/>
      <c r="F1322" s="66"/>
      <c r="G1322" s="63"/>
      <c r="H1322" s="67"/>
      <c r="I1322" s="68"/>
      <c r="J1322" s="68"/>
      <c r="K1322" s="32"/>
      <c r="L1322" s="75">
        <v>1322</v>
      </c>
      <c r="M1322" s="75"/>
      <c r="N1322" s="70"/>
      <c r="O1322" s="77" t="s">
        <v>179</v>
      </c>
      <c r="P1322" s="79">
        <v>45187.541689814818</v>
      </c>
      <c r="Q1322" s="77" t="s">
        <v>3241</v>
      </c>
      <c r="R1322" s="77">
        <v>0</v>
      </c>
      <c r="S1322" s="77">
        <v>0</v>
      </c>
      <c r="T1322" s="77">
        <v>0</v>
      </c>
      <c r="U1322" s="77">
        <v>0</v>
      </c>
      <c r="V1322" s="77">
        <v>21</v>
      </c>
      <c r="W1322" s="80" t="s">
        <v>6826</v>
      </c>
      <c r="X1322" s="83" t="str">
        <f>HYPERLINK("https://bitly.ws/U6oS")</f>
        <v>https://bitly.ws/U6oS</v>
      </c>
      <c r="Y1322" s="77" t="s">
        <v>8621</v>
      </c>
      <c r="Z1322" s="77"/>
      <c r="AA1322" s="77" t="s">
        <v>9487</v>
      </c>
      <c r="AB1322" s="77" t="s">
        <v>10535</v>
      </c>
      <c r="AC1322" s="80" t="s">
        <v>10541</v>
      </c>
      <c r="AD1322" s="77" t="s">
        <v>10620</v>
      </c>
      <c r="AE1322" s="83" t="str">
        <f>HYPERLINK("https://twitter.com/themoneypost_/status/1703755762051559669")</f>
        <v>https://twitter.com/themoneypost_/status/1703755762051559669</v>
      </c>
      <c r="AF1322" s="79">
        <v>45187.541689814818</v>
      </c>
      <c r="AG1322" s="85">
        <v>45187</v>
      </c>
      <c r="AH1322" s="80" t="s">
        <v>11682</v>
      </c>
      <c r="AI1322" s="77" t="b">
        <v>0</v>
      </c>
      <c r="AJ1322" s="77"/>
      <c r="AK1322" s="77"/>
      <c r="AL1322" s="77"/>
      <c r="AM1322" s="77"/>
      <c r="AN1322" s="77"/>
      <c r="AO1322" s="77"/>
      <c r="AP1322" s="77"/>
      <c r="AQ1322" s="77" t="s">
        <v>14969</v>
      </c>
      <c r="AR1322" s="77"/>
      <c r="AS1322" s="77"/>
      <c r="AT1322" s="77"/>
      <c r="AU1322" s="77"/>
      <c r="AV1322" s="83" t="str">
        <f>HYPERLINK("https://pbs.twimg.com/media/F6QrsTbXMAAJW09.jpg")</f>
        <v>https://pbs.twimg.com/media/F6QrsTbXMAAJW09.jpg</v>
      </c>
      <c r="AW1322" s="80" t="s">
        <v>17209</v>
      </c>
      <c r="AX1322" s="80" t="s">
        <v>17209</v>
      </c>
      <c r="AY1322" s="77"/>
      <c r="AZ1322" s="80" t="s">
        <v>20380</v>
      </c>
      <c r="BA1322" s="80" t="s">
        <v>20380</v>
      </c>
      <c r="BB1322" s="80" t="s">
        <v>20380</v>
      </c>
      <c r="BC1322" s="80" t="s">
        <v>17209</v>
      </c>
      <c r="BD1322" s="80" t="s">
        <v>20734</v>
      </c>
      <c r="BE1322" s="77"/>
      <c r="BF1322" s="77"/>
      <c r="BG1322" s="77"/>
      <c r="BH1322" s="77"/>
      <c r="BI1322" s="77"/>
    </row>
    <row r="1323" spans="1:61" x14ac:dyDescent="0.25">
      <c r="A1323" s="62" t="s">
        <v>726</v>
      </c>
      <c r="B1323" s="62" t="s">
        <v>726</v>
      </c>
      <c r="C1323" s="63"/>
      <c r="D1323" s="64"/>
      <c r="E1323" s="65"/>
      <c r="F1323" s="66"/>
      <c r="G1323" s="63"/>
      <c r="H1323" s="67"/>
      <c r="I1323" s="68"/>
      <c r="J1323" s="68"/>
      <c r="K1323" s="32"/>
      <c r="L1323" s="75">
        <v>1323</v>
      </c>
      <c r="M1323" s="75"/>
      <c r="N1323" s="70"/>
      <c r="O1323" s="77" t="s">
        <v>179</v>
      </c>
      <c r="P1323" s="79">
        <v>45112.416678240741</v>
      </c>
      <c r="Q1323" s="77" t="s">
        <v>3242</v>
      </c>
      <c r="R1323" s="77">
        <v>0</v>
      </c>
      <c r="S1323" s="77">
        <v>0</v>
      </c>
      <c r="T1323" s="77">
        <v>0</v>
      </c>
      <c r="U1323" s="77">
        <v>0</v>
      </c>
      <c r="V1323" s="77">
        <v>8</v>
      </c>
      <c r="W1323" s="80" t="s">
        <v>6827</v>
      </c>
      <c r="X1323" s="83" t="str">
        <f>HYPERLINK("http://bitly.ws/JZuY")</f>
        <v>http://bitly.ws/JZuY</v>
      </c>
      <c r="Y1323" s="77" t="s">
        <v>8621</v>
      </c>
      <c r="Z1323" s="77"/>
      <c r="AA1323" s="77" t="s">
        <v>9488</v>
      </c>
      <c r="AB1323" s="77" t="s">
        <v>10535</v>
      </c>
      <c r="AC1323" s="80" t="s">
        <v>10555</v>
      </c>
      <c r="AD1323" s="77" t="s">
        <v>10620</v>
      </c>
      <c r="AE1323" s="83" t="str">
        <f>HYPERLINK("https://twitter.com/themoneypost_/status/1676531367889498112")</f>
        <v>https://twitter.com/themoneypost_/status/1676531367889498112</v>
      </c>
      <c r="AF1323" s="79">
        <v>45112.416678240741</v>
      </c>
      <c r="AG1323" s="85">
        <v>45112</v>
      </c>
      <c r="AH1323" s="80" t="s">
        <v>11790</v>
      </c>
      <c r="AI1323" s="77" t="b">
        <v>0</v>
      </c>
      <c r="AJ1323" s="77"/>
      <c r="AK1323" s="77"/>
      <c r="AL1323" s="77"/>
      <c r="AM1323" s="77"/>
      <c r="AN1323" s="77"/>
      <c r="AO1323" s="77"/>
      <c r="AP1323" s="77"/>
      <c r="AQ1323" s="77" t="s">
        <v>14970</v>
      </c>
      <c r="AR1323" s="77"/>
      <c r="AS1323" s="77"/>
      <c r="AT1323" s="77"/>
      <c r="AU1323" s="77"/>
      <c r="AV1323" s="83" t="str">
        <f>HYPERLINK("https://pbs.twimg.com/media/F0JnqRkXoAEQxoe.jpg")</f>
        <v>https://pbs.twimg.com/media/F0JnqRkXoAEQxoe.jpg</v>
      </c>
      <c r="AW1323" s="80" t="s">
        <v>17210</v>
      </c>
      <c r="AX1323" s="80" t="s">
        <v>17210</v>
      </c>
      <c r="AY1323" s="77"/>
      <c r="AZ1323" s="80" t="s">
        <v>20380</v>
      </c>
      <c r="BA1323" s="80" t="s">
        <v>20380</v>
      </c>
      <c r="BB1323" s="80" t="s">
        <v>20380</v>
      </c>
      <c r="BC1323" s="80" t="s">
        <v>17210</v>
      </c>
      <c r="BD1323" s="80" t="s">
        <v>20734</v>
      </c>
      <c r="BE1323" s="77"/>
      <c r="BF1323" s="77"/>
      <c r="BG1323" s="77"/>
      <c r="BH1323" s="77"/>
      <c r="BI1323" s="77"/>
    </row>
    <row r="1324" spans="1:61" x14ac:dyDescent="0.25">
      <c r="A1324" s="62" t="s">
        <v>727</v>
      </c>
      <c r="B1324" s="62" t="s">
        <v>727</v>
      </c>
      <c r="C1324" s="63"/>
      <c r="D1324" s="64"/>
      <c r="E1324" s="65"/>
      <c r="F1324" s="66"/>
      <c r="G1324" s="63"/>
      <c r="H1324" s="67"/>
      <c r="I1324" s="68"/>
      <c r="J1324" s="68"/>
      <c r="K1324" s="32"/>
      <c r="L1324" s="75">
        <v>1324</v>
      </c>
      <c r="M1324" s="75"/>
      <c r="N1324" s="70"/>
      <c r="O1324" s="77" t="s">
        <v>179</v>
      </c>
      <c r="P1324" s="79">
        <v>45124.497337962966</v>
      </c>
      <c r="Q1324" s="77" t="s">
        <v>3243</v>
      </c>
      <c r="R1324" s="77">
        <v>0</v>
      </c>
      <c r="S1324" s="77">
        <v>0</v>
      </c>
      <c r="T1324" s="77">
        <v>0</v>
      </c>
      <c r="U1324" s="77">
        <v>0</v>
      </c>
      <c r="V1324" s="77">
        <v>77</v>
      </c>
      <c r="W1324" s="80" t="s">
        <v>6828</v>
      </c>
      <c r="X1324" s="77"/>
      <c r="Y1324" s="77"/>
      <c r="Z1324" s="77"/>
      <c r="AA1324" s="77" t="s">
        <v>9489</v>
      </c>
      <c r="AB1324" s="77" t="s">
        <v>10535</v>
      </c>
      <c r="AC1324" s="80" t="s">
        <v>10550</v>
      </c>
      <c r="AD1324" s="77" t="s">
        <v>10617</v>
      </c>
      <c r="AE1324" s="83" t="str">
        <f>HYPERLINK("https://twitter.com/smartbrain_br/status/1680909254025179136")</f>
        <v>https://twitter.com/smartbrain_br/status/1680909254025179136</v>
      </c>
      <c r="AF1324" s="79">
        <v>45124.497337962966</v>
      </c>
      <c r="AG1324" s="85">
        <v>45124</v>
      </c>
      <c r="AH1324" s="80" t="s">
        <v>11791</v>
      </c>
      <c r="AI1324" s="77" t="b">
        <v>0</v>
      </c>
      <c r="AJ1324" s="77"/>
      <c r="AK1324" s="77"/>
      <c r="AL1324" s="77"/>
      <c r="AM1324" s="77"/>
      <c r="AN1324" s="77"/>
      <c r="AO1324" s="77"/>
      <c r="AP1324" s="77"/>
      <c r="AQ1324" s="77" t="s">
        <v>14971</v>
      </c>
      <c r="AR1324" s="77"/>
      <c r="AS1324" s="77"/>
      <c r="AT1324" s="77"/>
      <c r="AU1324" s="77"/>
      <c r="AV1324" s="83" t="str">
        <f>HYPERLINK("https://pbs.twimg.com/media/F1PKDwRWAAEwveM.jpg")</f>
        <v>https://pbs.twimg.com/media/F1PKDwRWAAEwveM.jpg</v>
      </c>
      <c r="AW1324" s="80" t="s">
        <v>17211</v>
      </c>
      <c r="AX1324" s="80" t="s">
        <v>17211</v>
      </c>
      <c r="AY1324" s="77"/>
      <c r="AZ1324" s="80" t="s">
        <v>20380</v>
      </c>
      <c r="BA1324" s="80" t="s">
        <v>20380</v>
      </c>
      <c r="BB1324" s="80" t="s">
        <v>20380</v>
      </c>
      <c r="BC1324" s="80" t="s">
        <v>17211</v>
      </c>
      <c r="BD1324" s="80" t="s">
        <v>20735</v>
      </c>
      <c r="BE1324" s="77"/>
      <c r="BF1324" s="77"/>
      <c r="BG1324" s="77"/>
      <c r="BH1324" s="77"/>
      <c r="BI1324" s="77"/>
    </row>
    <row r="1325" spans="1:61" x14ac:dyDescent="0.25">
      <c r="A1325" s="62" t="s">
        <v>728</v>
      </c>
      <c r="B1325" s="62" t="s">
        <v>728</v>
      </c>
      <c r="C1325" s="63"/>
      <c r="D1325" s="64"/>
      <c r="E1325" s="65"/>
      <c r="F1325" s="66"/>
      <c r="G1325" s="63"/>
      <c r="H1325" s="67"/>
      <c r="I1325" s="68"/>
      <c r="J1325" s="68"/>
      <c r="K1325" s="32"/>
      <c r="L1325" s="75">
        <v>1325</v>
      </c>
      <c r="M1325" s="75"/>
      <c r="N1325" s="70"/>
      <c r="O1325" s="77" t="s">
        <v>2078</v>
      </c>
      <c r="P1325" s="79">
        <v>45152.797395833331</v>
      </c>
      <c r="Q1325" s="77" t="s">
        <v>3244</v>
      </c>
      <c r="R1325" s="77">
        <v>0</v>
      </c>
      <c r="S1325" s="77">
        <v>1</v>
      </c>
      <c r="T1325" s="77">
        <v>0</v>
      </c>
      <c r="U1325" s="77">
        <v>0</v>
      </c>
      <c r="V1325" s="77">
        <v>29</v>
      </c>
      <c r="W1325" s="80" t="s">
        <v>6829</v>
      </c>
      <c r="X1325" s="77"/>
      <c r="Y1325" s="77"/>
      <c r="Z1325" s="77"/>
      <c r="AA1325" s="77"/>
      <c r="AB1325" s="77"/>
      <c r="AC1325" s="80" t="s">
        <v>10542</v>
      </c>
      <c r="AD1325" s="77" t="s">
        <v>10620</v>
      </c>
      <c r="AE1325" s="83" t="str">
        <f>HYPERLINK("https://twitter.com/michidenise/status/1691164850108473345")</f>
        <v>https://twitter.com/michidenise/status/1691164850108473345</v>
      </c>
      <c r="AF1325" s="79">
        <v>45152.797395833331</v>
      </c>
      <c r="AG1325" s="85">
        <v>45152</v>
      </c>
      <c r="AH1325" s="80" t="s">
        <v>11792</v>
      </c>
      <c r="AI1325" s="77"/>
      <c r="AJ1325" s="77" t="s">
        <v>14355</v>
      </c>
      <c r="AK1325" s="77" t="s">
        <v>14387</v>
      </c>
      <c r="AL1325" s="77" t="s">
        <v>14396</v>
      </c>
      <c r="AM1325" s="77" t="s">
        <v>14412</v>
      </c>
      <c r="AN1325" s="77" t="s">
        <v>14452</v>
      </c>
      <c r="AO1325" s="77" t="s">
        <v>14491</v>
      </c>
      <c r="AP1325" s="77" t="s">
        <v>14516</v>
      </c>
      <c r="AQ1325" s="77"/>
      <c r="AR1325" s="77"/>
      <c r="AS1325" s="77"/>
      <c r="AT1325" s="77"/>
      <c r="AU1325" s="77"/>
      <c r="AV1325" s="83" t="str">
        <f>HYPERLINK("https://pbs.twimg.com/profile_images/1618192310080081922/lULdLmHS_normal.jpg")</f>
        <v>https://pbs.twimg.com/profile_images/1618192310080081922/lULdLmHS_normal.jpg</v>
      </c>
      <c r="AW1325" s="80" t="s">
        <v>17212</v>
      </c>
      <c r="AX1325" s="80" t="s">
        <v>20018</v>
      </c>
      <c r="AY1325" s="80" t="s">
        <v>20270</v>
      </c>
      <c r="AZ1325" s="80" t="s">
        <v>20412</v>
      </c>
      <c r="BA1325" s="80" t="s">
        <v>20380</v>
      </c>
      <c r="BB1325" s="80" t="s">
        <v>20380</v>
      </c>
      <c r="BC1325" s="80" t="s">
        <v>20412</v>
      </c>
      <c r="BD1325" s="77">
        <v>105283145</v>
      </c>
      <c r="BE1325" s="77"/>
      <c r="BF1325" s="77"/>
      <c r="BG1325" s="77"/>
      <c r="BH1325" s="77"/>
      <c r="BI1325" s="77"/>
    </row>
    <row r="1326" spans="1:61" x14ac:dyDescent="0.25">
      <c r="A1326" s="62" t="s">
        <v>729</v>
      </c>
      <c r="B1326" s="62" t="s">
        <v>729</v>
      </c>
      <c r="C1326" s="63"/>
      <c r="D1326" s="64"/>
      <c r="E1326" s="65"/>
      <c r="F1326" s="66"/>
      <c r="G1326" s="63"/>
      <c r="H1326" s="67"/>
      <c r="I1326" s="68"/>
      <c r="J1326" s="68"/>
      <c r="K1326" s="32"/>
      <c r="L1326" s="75">
        <v>1326</v>
      </c>
      <c r="M1326" s="75"/>
      <c r="N1326" s="70"/>
      <c r="O1326" s="77" t="s">
        <v>179</v>
      </c>
      <c r="P1326" s="79">
        <v>45072.777453703704</v>
      </c>
      <c r="Q1326" s="77" t="s">
        <v>3245</v>
      </c>
      <c r="R1326" s="77">
        <v>0</v>
      </c>
      <c r="S1326" s="77">
        <v>0</v>
      </c>
      <c r="T1326" s="77">
        <v>0</v>
      </c>
      <c r="U1326" s="77">
        <v>0</v>
      </c>
      <c r="V1326" s="77">
        <v>26</v>
      </c>
      <c r="W1326" s="80" t="s">
        <v>6830</v>
      </c>
      <c r="X1326" s="83" t="str">
        <f>HYPERLINK("https://arabia.watch/egipto-aplaza-los-pagos-de-las-importaciones-de-trigo-en-medio-de-la-crisis-del-dolar/")</f>
        <v>https://arabia.watch/egipto-aplaza-los-pagos-de-las-importaciones-de-trigo-en-medio-de-la-crisis-del-dolar/</v>
      </c>
      <c r="Y1326" s="77" t="s">
        <v>8740</v>
      </c>
      <c r="Z1326" s="77"/>
      <c r="AA1326" s="77" t="s">
        <v>9490</v>
      </c>
      <c r="AB1326" s="77" t="s">
        <v>10535</v>
      </c>
      <c r="AC1326" s="80" t="s">
        <v>10546</v>
      </c>
      <c r="AD1326" s="77" t="s">
        <v>10620</v>
      </c>
      <c r="AE1326" s="83" t="str">
        <f>HYPERLINK("https://twitter.com/arabiawa/status/1662166597052530699")</f>
        <v>https://twitter.com/arabiawa/status/1662166597052530699</v>
      </c>
      <c r="AF1326" s="79">
        <v>45072.777453703704</v>
      </c>
      <c r="AG1326" s="85">
        <v>45072</v>
      </c>
      <c r="AH1326" s="80" t="s">
        <v>11793</v>
      </c>
      <c r="AI1326" s="77" t="b">
        <v>0</v>
      </c>
      <c r="AJ1326" s="77"/>
      <c r="AK1326" s="77"/>
      <c r="AL1326" s="77"/>
      <c r="AM1326" s="77"/>
      <c r="AN1326" s="77"/>
      <c r="AO1326" s="77"/>
      <c r="AP1326" s="77"/>
      <c r="AQ1326" s="77" t="s">
        <v>14972</v>
      </c>
      <c r="AR1326" s="77"/>
      <c r="AS1326" s="77"/>
      <c r="AT1326" s="77"/>
      <c r="AU1326" s="77"/>
      <c r="AV1326" s="83" t="str">
        <f>HYPERLINK("https://pbs.twimg.com/media/FxEztitWABcFGGj.jpg")</f>
        <v>https://pbs.twimg.com/media/FxEztitWABcFGGj.jpg</v>
      </c>
      <c r="AW1326" s="80" t="s">
        <v>17213</v>
      </c>
      <c r="AX1326" s="80" t="s">
        <v>17213</v>
      </c>
      <c r="AY1326" s="77"/>
      <c r="AZ1326" s="80" t="s">
        <v>20380</v>
      </c>
      <c r="BA1326" s="80" t="s">
        <v>20380</v>
      </c>
      <c r="BB1326" s="80" t="s">
        <v>20380</v>
      </c>
      <c r="BC1326" s="80" t="s">
        <v>17213</v>
      </c>
      <c r="BD1326" s="77">
        <v>2830654988</v>
      </c>
      <c r="BE1326" s="77"/>
      <c r="BF1326" s="77"/>
      <c r="BG1326" s="77"/>
      <c r="BH1326" s="77"/>
      <c r="BI1326" s="77"/>
    </row>
    <row r="1327" spans="1:61" x14ac:dyDescent="0.25">
      <c r="A1327" s="62" t="s">
        <v>729</v>
      </c>
      <c r="B1327" s="62" t="s">
        <v>729</v>
      </c>
      <c r="C1327" s="63"/>
      <c r="D1327" s="64"/>
      <c r="E1327" s="65"/>
      <c r="F1327" s="66"/>
      <c r="G1327" s="63"/>
      <c r="H1327" s="67"/>
      <c r="I1327" s="68"/>
      <c r="J1327" s="68"/>
      <c r="K1327" s="32"/>
      <c r="L1327" s="75">
        <v>1327</v>
      </c>
      <c r="M1327" s="75"/>
      <c r="N1327" s="70"/>
      <c r="O1327" s="77" t="s">
        <v>179</v>
      </c>
      <c r="P1327" s="79">
        <v>45089.797025462962</v>
      </c>
      <c r="Q1327" s="77" t="s">
        <v>3246</v>
      </c>
      <c r="R1327" s="77">
        <v>0</v>
      </c>
      <c r="S1327" s="77">
        <v>0</v>
      </c>
      <c r="T1327" s="77">
        <v>1</v>
      </c>
      <c r="U1327" s="77">
        <v>0</v>
      </c>
      <c r="V1327" s="77">
        <v>47</v>
      </c>
      <c r="W1327" s="80" t="s">
        <v>6831</v>
      </c>
      <c r="X1327" s="83" t="str">
        <f>HYPERLINK("https://arabia.watch/jpmorgan-espera-que-el-banco-central-de-turquia-eleve-las-tasas-al-25-el-22-de-junio/")</f>
        <v>https://arabia.watch/jpmorgan-espera-que-el-banco-central-de-turquia-eleve-las-tasas-al-25-el-22-de-junio/</v>
      </c>
      <c r="Y1327" s="77" t="s">
        <v>8740</v>
      </c>
      <c r="Z1327" s="77"/>
      <c r="AA1327" s="77" t="s">
        <v>9491</v>
      </c>
      <c r="AB1327" s="77" t="s">
        <v>10535</v>
      </c>
      <c r="AC1327" s="80" t="s">
        <v>10546</v>
      </c>
      <c r="AD1327" s="77" t="s">
        <v>10620</v>
      </c>
      <c r="AE1327" s="83" t="str">
        <f>HYPERLINK("https://twitter.com/arabiawa/status/1668334280982814737")</f>
        <v>https://twitter.com/arabiawa/status/1668334280982814737</v>
      </c>
      <c r="AF1327" s="79">
        <v>45089.797025462962</v>
      </c>
      <c r="AG1327" s="85">
        <v>45089</v>
      </c>
      <c r="AH1327" s="80" t="s">
        <v>11794</v>
      </c>
      <c r="AI1327" s="77" t="b">
        <v>0</v>
      </c>
      <c r="AJ1327" s="77"/>
      <c r="AK1327" s="77"/>
      <c r="AL1327" s="77"/>
      <c r="AM1327" s="77"/>
      <c r="AN1327" s="77"/>
      <c r="AO1327" s="77"/>
      <c r="AP1327" s="77"/>
      <c r="AQ1327" s="77" t="s">
        <v>14973</v>
      </c>
      <c r="AR1327" s="77"/>
      <c r="AS1327" s="77"/>
      <c r="AT1327" s="77"/>
      <c r="AU1327" s="77"/>
      <c r="AV1327" s="83" t="str">
        <f>HYPERLINK("https://pbs.twimg.com/media/FycdL_IXwAArvb8.jpg")</f>
        <v>https://pbs.twimg.com/media/FycdL_IXwAArvb8.jpg</v>
      </c>
      <c r="AW1327" s="80" t="s">
        <v>17214</v>
      </c>
      <c r="AX1327" s="80" t="s">
        <v>17214</v>
      </c>
      <c r="AY1327" s="77"/>
      <c r="AZ1327" s="80" t="s">
        <v>20380</v>
      </c>
      <c r="BA1327" s="80" t="s">
        <v>20380</v>
      </c>
      <c r="BB1327" s="80" t="s">
        <v>20380</v>
      </c>
      <c r="BC1327" s="80" t="s">
        <v>17214</v>
      </c>
      <c r="BD1327" s="77">
        <v>2830654988</v>
      </c>
      <c r="BE1327" s="77"/>
      <c r="BF1327" s="77"/>
      <c r="BG1327" s="77"/>
      <c r="BH1327" s="77"/>
      <c r="BI1327" s="77"/>
    </row>
    <row r="1328" spans="1:61" x14ac:dyDescent="0.25">
      <c r="A1328" s="62" t="s">
        <v>730</v>
      </c>
      <c r="B1328" s="62" t="s">
        <v>730</v>
      </c>
      <c r="C1328" s="63"/>
      <c r="D1328" s="64"/>
      <c r="E1328" s="65"/>
      <c r="F1328" s="66"/>
      <c r="G1328" s="63"/>
      <c r="H1328" s="67"/>
      <c r="I1328" s="68"/>
      <c r="J1328" s="68"/>
      <c r="K1328" s="32"/>
      <c r="L1328" s="75">
        <v>1328</v>
      </c>
      <c r="M1328" s="75"/>
      <c r="N1328" s="70"/>
      <c r="O1328" s="77" t="s">
        <v>179</v>
      </c>
      <c r="P1328" s="79">
        <v>45050.544652777775</v>
      </c>
      <c r="Q1328" s="77" t="s">
        <v>3247</v>
      </c>
      <c r="R1328" s="77">
        <v>0</v>
      </c>
      <c r="S1328" s="77">
        <v>2</v>
      </c>
      <c r="T1328" s="77">
        <v>0</v>
      </c>
      <c r="U1328" s="77">
        <v>0</v>
      </c>
      <c r="V1328" s="77">
        <v>108</v>
      </c>
      <c r="W1328" s="80" t="s">
        <v>6832</v>
      </c>
      <c r="X1328" s="83" t="str">
        <f>HYPERLINK("https://www.canalrural.com.br/noticias/economia/selic-banco-central-juros-governo-expectativas-daoud/")</f>
        <v>https://www.canalrural.com.br/noticias/economia/selic-banco-central-juros-governo-expectativas-daoud/</v>
      </c>
      <c r="Y1328" s="77" t="s">
        <v>8611</v>
      </c>
      <c r="Z1328" s="77"/>
      <c r="AA1328" s="77"/>
      <c r="AB1328" s="77"/>
      <c r="AC1328" s="80" t="s">
        <v>10541</v>
      </c>
      <c r="AD1328" s="77" t="s">
        <v>10617</v>
      </c>
      <c r="AE1328" s="83" t="str">
        <f>HYPERLINK("https://twitter.com/migueldaoud/status/1654109698029674499")</f>
        <v>https://twitter.com/migueldaoud/status/1654109698029674499</v>
      </c>
      <c r="AF1328" s="79">
        <v>45050.544652777775</v>
      </c>
      <c r="AG1328" s="85">
        <v>45050</v>
      </c>
      <c r="AH1328" s="80" t="s">
        <v>11795</v>
      </c>
      <c r="AI1328" s="77" t="b">
        <v>0</v>
      </c>
      <c r="AJ1328" s="77"/>
      <c r="AK1328" s="77"/>
      <c r="AL1328" s="77"/>
      <c r="AM1328" s="77"/>
      <c r="AN1328" s="77"/>
      <c r="AO1328" s="77"/>
      <c r="AP1328" s="77"/>
      <c r="AQ1328" s="77"/>
      <c r="AR1328" s="77"/>
      <c r="AS1328" s="77"/>
      <c r="AT1328" s="77"/>
      <c r="AU1328" s="77"/>
      <c r="AV1328" s="83" t="str">
        <f>HYPERLINK("https://pbs.twimg.com/profile_images/431178046930817024/__w8n2rt_normal.png")</f>
        <v>https://pbs.twimg.com/profile_images/431178046930817024/__w8n2rt_normal.png</v>
      </c>
      <c r="AW1328" s="80" t="s">
        <v>17215</v>
      </c>
      <c r="AX1328" s="80" t="s">
        <v>17215</v>
      </c>
      <c r="AY1328" s="77"/>
      <c r="AZ1328" s="80" t="s">
        <v>20380</v>
      </c>
      <c r="BA1328" s="80" t="s">
        <v>20380</v>
      </c>
      <c r="BB1328" s="80" t="s">
        <v>20380</v>
      </c>
      <c r="BC1328" s="80" t="s">
        <v>17215</v>
      </c>
      <c r="BD1328" s="77">
        <v>54628339</v>
      </c>
      <c r="BE1328" s="77"/>
      <c r="BF1328" s="77"/>
      <c r="BG1328" s="77"/>
      <c r="BH1328" s="77"/>
      <c r="BI1328" s="77"/>
    </row>
    <row r="1329" spans="1:61" x14ac:dyDescent="0.25">
      <c r="A1329" s="62" t="s">
        <v>731</v>
      </c>
      <c r="B1329" s="62" t="s">
        <v>731</v>
      </c>
      <c r="C1329" s="63"/>
      <c r="D1329" s="64"/>
      <c r="E1329" s="65"/>
      <c r="F1329" s="66"/>
      <c r="G1329" s="63"/>
      <c r="H1329" s="67"/>
      <c r="I1329" s="68"/>
      <c r="J1329" s="68"/>
      <c r="K1329" s="32"/>
      <c r="L1329" s="75">
        <v>1329</v>
      </c>
      <c r="M1329" s="75"/>
      <c r="N1329" s="70"/>
      <c r="O1329" s="77" t="s">
        <v>179</v>
      </c>
      <c r="P1329" s="79">
        <v>45155.851759259262</v>
      </c>
      <c r="Q1329" s="77" t="s">
        <v>3248</v>
      </c>
      <c r="R1329" s="77">
        <v>1</v>
      </c>
      <c r="S1329" s="77">
        <v>1</v>
      </c>
      <c r="T1329" s="77">
        <v>0</v>
      </c>
      <c r="U1329" s="77">
        <v>0</v>
      </c>
      <c r="V1329" s="77">
        <v>27</v>
      </c>
      <c r="W1329" s="80" t="s">
        <v>6833</v>
      </c>
      <c r="X1329" s="77"/>
      <c r="Y1329" s="77"/>
      <c r="Z1329" s="77"/>
      <c r="AA1329" s="77"/>
      <c r="AB1329" s="77"/>
      <c r="AC1329" s="80" t="s">
        <v>10540</v>
      </c>
      <c r="AD1329" s="77" t="s">
        <v>10620</v>
      </c>
      <c r="AE1329" s="83" t="str">
        <f>HYPERLINK("https://twitter.com/2016peka/status/1692271714644730359")</f>
        <v>https://twitter.com/2016peka/status/1692271714644730359</v>
      </c>
      <c r="AF1329" s="79">
        <v>45155.851759259262</v>
      </c>
      <c r="AG1329" s="85">
        <v>45155</v>
      </c>
      <c r="AH1329" s="80" t="s">
        <v>11796</v>
      </c>
      <c r="AI1329" s="77"/>
      <c r="AJ1329" s="77"/>
      <c r="AK1329" s="77"/>
      <c r="AL1329" s="77"/>
      <c r="AM1329" s="77"/>
      <c r="AN1329" s="77"/>
      <c r="AO1329" s="77"/>
      <c r="AP1329" s="77"/>
      <c r="AQ1329" s="77"/>
      <c r="AR1329" s="77"/>
      <c r="AS1329" s="77"/>
      <c r="AT1329" s="77"/>
      <c r="AU1329" s="77"/>
      <c r="AV1329" s="83" t="str">
        <f>HYPERLINK("https://pbs.twimg.com/profile_images/1134583033590423558/sl2JyfOI_normal.jpg")</f>
        <v>https://pbs.twimg.com/profile_images/1134583033590423558/sl2JyfOI_normal.jpg</v>
      </c>
      <c r="AW1329" s="80" t="s">
        <v>17216</v>
      </c>
      <c r="AX1329" s="80" t="s">
        <v>17216</v>
      </c>
      <c r="AY1329" s="77"/>
      <c r="AZ1329" s="80" t="s">
        <v>20380</v>
      </c>
      <c r="BA1329" s="80" t="s">
        <v>20380</v>
      </c>
      <c r="BB1329" s="80" t="s">
        <v>20380</v>
      </c>
      <c r="BC1329" s="80" t="s">
        <v>17216</v>
      </c>
      <c r="BD1329" s="80" t="s">
        <v>20736</v>
      </c>
      <c r="BE1329" s="77"/>
      <c r="BF1329" s="77"/>
      <c r="BG1329" s="77"/>
      <c r="BH1329" s="77"/>
      <c r="BI1329" s="77"/>
    </row>
    <row r="1330" spans="1:61" x14ac:dyDescent="0.25">
      <c r="A1330" s="62" t="s">
        <v>732</v>
      </c>
      <c r="B1330" s="62" t="s">
        <v>732</v>
      </c>
      <c r="C1330" s="63"/>
      <c r="D1330" s="64"/>
      <c r="E1330" s="65"/>
      <c r="F1330" s="66"/>
      <c r="G1330" s="63"/>
      <c r="H1330" s="67"/>
      <c r="I1330" s="68"/>
      <c r="J1330" s="68"/>
      <c r="K1330" s="32"/>
      <c r="L1330" s="75">
        <v>1330</v>
      </c>
      <c r="M1330" s="75"/>
      <c r="N1330" s="70"/>
      <c r="O1330" s="77" t="s">
        <v>179</v>
      </c>
      <c r="P1330" s="79">
        <v>45141.071909722225</v>
      </c>
      <c r="Q1330" s="77" t="s">
        <v>3249</v>
      </c>
      <c r="R1330" s="77">
        <v>0</v>
      </c>
      <c r="S1330" s="77">
        <v>0</v>
      </c>
      <c r="T1330" s="77">
        <v>1</v>
      </c>
      <c r="U1330" s="77">
        <v>0</v>
      </c>
      <c r="V1330" s="77">
        <v>26</v>
      </c>
      <c r="W1330" s="80" t="s">
        <v>5884</v>
      </c>
      <c r="X1330" s="77"/>
      <c r="Y1330" s="77"/>
      <c r="Z1330" s="77"/>
      <c r="AA1330" s="77"/>
      <c r="AB1330" s="77"/>
      <c r="AC1330" s="80" t="s">
        <v>10540</v>
      </c>
      <c r="AD1330" s="77" t="s">
        <v>10617</v>
      </c>
      <c r="AE1330" s="83" t="str">
        <f>HYPERLINK("https://twitter.com/luizoc2001/status/1686915677251067904")</f>
        <v>https://twitter.com/luizoc2001/status/1686915677251067904</v>
      </c>
      <c r="AF1330" s="79">
        <v>45141.071909722225</v>
      </c>
      <c r="AG1330" s="85">
        <v>45141</v>
      </c>
      <c r="AH1330" s="80" t="s">
        <v>11797</v>
      </c>
      <c r="AI1330" s="77"/>
      <c r="AJ1330" s="77"/>
      <c r="AK1330" s="77"/>
      <c r="AL1330" s="77"/>
      <c r="AM1330" s="77"/>
      <c r="AN1330" s="77"/>
      <c r="AO1330" s="77"/>
      <c r="AP1330" s="77"/>
      <c r="AQ1330" s="77"/>
      <c r="AR1330" s="77"/>
      <c r="AS1330" s="77"/>
      <c r="AT1330" s="77"/>
      <c r="AU1330" s="77"/>
      <c r="AV1330" s="83" t="str">
        <f>HYPERLINK("https://pbs.twimg.com/profile_images/1647234694784724992/rI3YdJo9_normal.jpg")</f>
        <v>https://pbs.twimg.com/profile_images/1647234694784724992/rI3YdJo9_normal.jpg</v>
      </c>
      <c r="AW1330" s="80" t="s">
        <v>17217</v>
      </c>
      <c r="AX1330" s="80" t="s">
        <v>17217</v>
      </c>
      <c r="AY1330" s="77"/>
      <c r="AZ1330" s="80" t="s">
        <v>20380</v>
      </c>
      <c r="BA1330" s="80" t="s">
        <v>20380</v>
      </c>
      <c r="BB1330" s="80" t="s">
        <v>20380</v>
      </c>
      <c r="BC1330" s="80" t="s">
        <v>17217</v>
      </c>
      <c r="BD1330" s="77">
        <v>63971962</v>
      </c>
      <c r="BE1330" s="77"/>
      <c r="BF1330" s="77"/>
      <c r="BG1330" s="77"/>
      <c r="BH1330" s="77"/>
      <c r="BI1330" s="77"/>
    </row>
    <row r="1331" spans="1:61" x14ac:dyDescent="0.25">
      <c r="A1331" s="62" t="s">
        <v>733</v>
      </c>
      <c r="B1331" s="62" t="s">
        <v>733</v>
      </c>
      <c r="C1331" s="63"/>
      <c r="D1331" s="64"/>
      <c r="E1331" s="65"/>
      <c r="F1331" s="66"/>
      <c r="G1331" s="63"/>
      <c r="H1331" s="67"/>
      <c r="I1331" s="68"/>
      <c r="J1331" s="68"/>
      <c r="K1331" s="32"/>
      <c r="L1331" s="75">
        <v>1331</v>
      </c>
      <c r="M1331" s="75"/>
      <c r="N1331" s="70"/>
      <c r="O1331" s="77" t="s">
        <v>179</v>
      </c>
      <c r="P1331" s="79">
        <v>45070.614189814813</v>
      </c>
      <c r="Q1331" s="77" t="s">
        <v>3250</v>
      </c>
      <c r="R1331" s="77">
        <v>7</v>
      </c>
      <c r="S1331" s="77">
        <v>16</v>
      </c>
      <c r="T1331" s="77">
        <v>1</v>
      </c>
      <c r="U1331" s="77">
        <v>0</v>
      </c>
      <c r="V1331" s="77">
        <v>2482</v>
      </c>
      <c r="W1331" s="80" t="s">
        <v>6834</v>
      </c>
      <c r="X1331" s="83" t="str">
        <f>HYPERLINK("https://www.adninversionista.com/post/qu%C3%A9-podemos-esperar-en-los-bancos-aumento-de-capital-en-bci-bbch-activa-rcc-en-un-0-5-b-iii")</f>
        <v>https://www.adninversionista.com/post/qu%C3%A9-podemos-esperar-en-los-bancos-aumento-de-capital-en-bci-bbch-activa-rcc-en-un-0-5-b-iii</v>
      </c>
      <c r="Y1331" s="77" t="s">
        <v>8741</v>
      </c>
      <c r="Z1331" s="77"/>
      <c r="AA1331" s="77"/>
      <c r="AB1331" s="77"/>
      <c r="AC1331" s="80" t="s">
        <v>10541</v>
      </c>
      <c r="AD1331" s="77" t="s">
        <v>10620</v>
      </c>
      <c r="AE1331" s="83" t="str">
        <f>HYPERLINK("https://twitter.com/adninversionist/status/1661382653893910529")</f>
        <v>https://twitter.com/adninversionist/status/1661382653893910529</v>
      </c>
      <c r="AF1331" s="79">
        <v>45070.614189814813</v>
      </c>
      <c r="AG1331" s="85">
        <v>45070</v>
      </c>
      <c r="AH1331" s="80" t="s">
        <v>11798</v>
      </c>
      <c r="AI1331" s="77" t="b">
        <v>0</v>
      </c>
      <c r="AJ1331" s="77"/>
      <c r="AK1331" s="77"/>
      <c r="AL1331" s="77"/>
      <c r="AM1331" s="77"/>
      <c r="AN1331" s="77"/>
      <c r="AO1331" s="77"/>
      <c r="AP1331" s="77"/>
      <c r="AQ1331" s="77"/>
      <c r="AR1331" s="77"/>
      <c r="AS1331" s="77"/>
      <c r="AT1331" s="77"/>
      <c r="AU1331" s="77"/>
      <c r="AV1331" s="83" t="str">
        <f>HYPERLINK("https://pbs.twimg.com/profile_images/1627828949148438529/v1MXiqRN_normal.jpg")</f>
        <v>https://pbs.twimg.com/profile_images/1627828949148438529/v1MXiqRN_normal.jpg</v>
      </c>
      <c r="AW1331" s="80" t="s">
        <v>17218</v>
      </c>
      <c r="AX1331" s="80" t="s">
        <v>17218</v>
      </c>
      <c r="AY1331" s="77"/>
      <c r="AZ1331" s="80" t="s">
        <v>20380</v>
      </c>
      <c r="BA1331" s="80" t="s">
        <v>20380</v>
      </c>
      <c r="BB1331" s="80" t="s">
        <v>20380</v>
      </c>
      <c r="BC1331" s="80" t="s">
        <v>17218</v>
      </c>
      <c r="BD1331" s="80" t="s">
        <v>20737</v>
      </c>
      <c r="BE1331" s="77"/>
      <c r="BF1331" s="77"/>
      <c r="BG1331" s="77"/>
      <c r="BH1331" s="77"/>
      <c r="BI1331" s="77"/>
    </row>
    <row r="1332" spans="1:61" x14ac:dyDescent="0.25">
      <c r="A1332" s="62" t="s">
        <v>733</v>
      </c>
      <c r="B1332" s="62" t="s">
        <v>733</v>
      </c>
      <c r="C1332" s="63"/>
      <c r="D1332" s="64"/>
      <c r="E1332" s="65"/>
      <c r="F1332" s="66"/>
      <c r="G1332" s="63"/>
      <c r="H1332" s="67"/>
      <c r="I1332" s="68"/>
      <c r="J1332" s="68"/>
      <c r="K1332" s="32"/>
      <c r="L1332" s="75">
        <v>1332</v>
      </c>
      <c r="M1332" s="75"/>
      <c r="N1332" s="70"/>
      <c r="O1332" s="77" t="s">
        <v>179</v>
      </c>
      <c r="P1332" s="79">
        <v>45070.575127314813</v>
      </c>
      <c r="Q1332" s="77" t="s">
        <v>3251</v>
      </c>
      <c r="R1332" s="77">
        <v>2</v>
      </c>
      <c r="S1332" s="77">
        <v>31</v>
      </c>
      <c r="T1332" s="77">
        <v>2</v>
      </c>
      <c r="U1332" s="77">
        <v>0</v>
      </c>
      <c r="V1332" s="77">
        <v>4216</v>
      </c>
      <c r="W1332" s="80" t="s">
        <v>5884</v>
      </c>
      <c r="X1332" s="77"/>
      <c r="Y1332" s="77"/>
      <c r="Z1332" s="77"/>
      <c r="AA1332" s="77"/>
      <c r="AB1332" s="77"/>
      <c r="AC1332" s="80" t="s">
        <v>10541</v>
      </c>
      <c r="AD1332" s="77" t="s">
        <v>10620</v>
      </c>
      <c r="AE1332" s="83" t="str">
        <f>HYPERLINK("https://twitter.com/adninversionist/status/1661368499409649673")</f>
        <v>https://twitter.com/adninversionist/status/1661368499409649673</v>
      </c>
      <c r="AF1332" s="79">
        <v>45070.575127314813</v>
      </c>
      <c r="AG1332" s="85">
        <v>45070</v>
      </c>
      <c r="AH1332" s="80" t="s">
        <v>11799</v>
      </c>
      <c r="AI1332" s="77"/>
      <c r="AJ1332" s="77"/>
      <c r="AK1332" s="77"/>
      <c r="AL1332" s="77"/>
      <c r="AM1332" s="77"/>
      <c r="AN1332" s="77"/>
      <c r="AO1332" s="77"/>
      <c r="AP1332" s="77"/>
      <c r="AQ1332" s="77"/>
      <c r="AR1332" s="77"/>
      <c r="AS1332" s="77"/>
      <c r="AT1332" s="77"/>
      <c r="AU1332" s="77"/>
      <c r="AV1332" s="83" t="str">
        <f>HYPERLINK("https://pbs.twimg.com/profile_images/1627828949148438529/v1MXiqRN_normal.jpg")</f>
        <v>https://pbs.twimg.com/profile_images/1627828949148438529/v1MXiqRN_normal.jpg</v>
      </c>
      <c r="AW1332" s="80" t="s">
        <v>17219</v>
      </c>
      <c r="AX1332" s="80" t="s">
        <v>17219</v>
      </c>
      <c r="AY1332" s="77"/>
      <c r="AZ1332" s="80" t="s">
        <v>20380</v>
      </c>
      <c r="BA1332" s="80" t="s">
        <v>20380</v>
      </c>
      <c r="BB1332" s="80" t="s">
        <v>20380</v>
      </c>
      <c r="BC1332" s="80" t="s">
        <v>17219</v>
      </c>
      <c r="BD1332" s="80" t="s">
        <v>20737</v>
      </c>
      <c r="BE1332" s="77"/>
      <c r="BF1332" s="77"/>
      <c r="BG1332" s="77"/>
      <c r="BH1332" s="77"/>
      <c r="BI1332" s="77"/>
    </row>
    <row r="1333" spans="1:61" x14ac:dyDescent="0.25">
      <c r="A1333" s="62" t="s">
        <v>733</v>
      </c>
      <c r="B1333" s="62" t="s">
        <v>1231</v>
      </c>
      <c r="C1333" s="63"/>
      <c r="D1333" s="64"/>
      <c r="E1333" s="65"/>
      <c r="F1333" s="66"/>
      <c r="G1333" s="63"/>
      <c r="H1333" s="67"/>
      <c r="I1333" s="68"/>
      <c r="J1333" s="68"/>
      <c r="K1333" s="32"/>
      <c r="L1333" s="75">
        <v>1333</v>
      </c>
      <c r="M1333" s="75"/>
      <c r="N1333" s="70"/>
      <c r="O1333" s="77" t="s">
        <v>2082</v>
      </c>
      <c r="P1333" s="79">
        <v>45069.959849537037</v>
      </c>
      <c r="Q1333" s="77" t="s">
        <v>3252</v>
      </c>
      <c r="R1333" s="77">
        <v>3</v>
      </c>
      <c r="S1333" s="77">
        <v>20</v>
      </c>
      <c r="T1333" s="77">
        <v>5</v>
      </c>
      <c r="U1333" s="77">
        <v>1</v>
      </c>
      <c r="V1333" s="77">
        <v>29261</v>
      </c>
      <c r="W1333" s="80" t="s">
        <v>6835</v>
      </c>
      <c r="X1333" s="77"/>
      <c r="Y1333" s="77"/>
      <c r="Z1333" s="77"/>
      <c r="AA1333" s="77"/>
      <c r="AB1333" s="77"/>
      <c r="AC1333" s="80" t="s">
        <v>10542</v>
      </c>
      <c r="AD1333" s="77" t="s">
        <v>10620</v>
      </c>
      <c r="AE1333" s="83" t="str">
        <f>HYPERLINK("https://twitter.com/adninversionist/status/1661145529848590339")</f>
        <v>https://twitter.com/adninversionist/status/1661145529848590339</v>
      </c>
      <c r="AF1333" s="79">
        <v>45069.959849537037</v>
      </c>
      <c r="AG1333" s="85">
        <v>45069</v>
      </c>
      <c r="AH1333" s="80" t="s">
        <v>11800</v>
      </c>
      <c r="AI1333" s="77"/>
      <c r="AJ1333" s="77"/>
      <c r="AK1333" s="77"/>
      <c r="AL1333" s="77"/>
      <c r="AM1333" s="77"/>
      <c r="AN1333" s="77"/>
      <c r="AO1333" s="77"/>
      <c r="AP1333" s="77"/>
      <c r="AQ1333" s="77"/>
      <c r="AR1333" s="77"/>
      <c r="AS1333" s="77"/>
      <c r="AT1333" s="77"/>
      <c r="AU1333" s="77"/>
      <c r="AV1333" s="83" t="str">
        <f>HYPERLINK("https://pbs.twimg.com/profile_images/1627828949148438529/v1MXiqRN_normal.jpg")</f>
        <v>https://pbs.twimg.com/profile_images/1627828949148438529/v1MXiqRN_normal.jpg</v>
      </c>
      <c r="AW1333" s="80" t="s">
        <v>17220</v>
      </c>
      <c r="AX1333" s="80" t="s">
        <v>17220</v>
      </c>
      <c r="AY1333" s="77"/>
      <c r="AZ1333" s="80" t="s">
        <v>20380</v>
      </c>
      <c r="BA1333" s="80" t="s">
        <v>18851</v>
      </c>
      <c r="BB1333" s="80" t="s">
        <v>20380</v>
      </c>
      <c r="BC1333" s="80" t="s">
        <v>18851</v>
      </c>
      <c r="BD1333" s="80" t="s">
        <v>20737</v>
      </c>
      <c r="BE1333" s="77"/>
      <c r="BF1333" s="77"/>
      <c r="BG1333" s="77"/>
      <c r="BH1333" s="77"/>
      <c r="BI1333" s="77"/>
    </row>
    <row r="1334" spans="1:61" x14ac:dyDescent="0.25">
      <c r="A1334" s="62" t="s">
        <v>734</v>
      </c>
      <c r="B1334" s="62" t="s">
        <v>734</v>
      </c>
      <c r="C1334" s="63"/>
      <c r="D1334" s="64"/>
      <c r="E1334" s="65"/>
      <c r="F1334" s="66"/>
      <c r="G1334" s="63"/>
      <c r="H1334" s="67"/>
      <c r="I1334" s="68"/>
      <c r="J1334" s="68"/>
      <c r="K1334" s="32"/>
      <c r="L1334" s="75">
        <v>1334</v>
      </c>
      <c r="M1334" s="75"/>
      <c r="N1334" s="70"/>
      <c r="O1334" s="77" t="s">
        <v>179</v>
      </c>
      <c r="P1334" s="79">
        <v>45148.48233796296</v>
      </c>
      <c r="Q1334" s="77" t="s">
        <v>3253</v>
      </c>
      <c r="R1334" s="77">
        <v>12</v>
      </c>
      <c r="S1334" s="77">
        <v>8</v>
      </c>
      <c r="T1334" s="77">
        <v>0</v>
      </c>
      <c r="U1334" s="77">
        <v>0</v>
      </c>
      <c r="V1334" s="77">
        <v>39</v>
      </c>
      <c r="W1334" s="80" t="s">
        <v>6836</v>
      </c>
      <c r="X1334" s="77"/>
      <c r="Y1334" s="77"/>
      <c r="Z1334" s="77"/>
      <c r="AA1334" s="77" t="s">
        <v>9492</v>
      </c>
      <c r="AB1334" s="77" t="s">
        <v>10535</v>
      </c>
      <c r="AC1334" s="80" t="s">
        <v>10540</v>
      </c>
      <c r="AD1334" s="77" t="s">
        <v>10625</v>
      </c>
      <c r="AE1334" s="83" t="str">
        <f>HYPERLINK("https://twitter.com/alejandrorodro8/status/1689601124808941568")</f>
        <v>https://twitter.com/alejandrorodro8/status/1689601124808941568</v>
      </c>
      <c r="AF1334" s="79">
        <v>45148.48233796296</v>
      </c>
      <c r="AG1334" s="85">
        <v>45148</v>
      </c>
      <c r="AH1334" s="80" t="s">
        <v>11801</v>
      </c>
      <c r="AI1334" s="77" t="b">
        <v>0</v>
      </c>
      <c r="AJ1334" s="77"/>
      <c r="AK1334" s="77"/>
      <c r="AL1334" s="77"/>
      <c r="AM1334" s="77"/>
      <c r="AN1334" s="77"/>
      <c r="AO1334" s="77"/>
      <c r="AP1334" s="77"/>
      <c r="AQ1334" s="77" t="s">
        <v>14974</v>
      </c>
      <c r="AR1334" s="77"/>
      <c r="AS1334" s="77"/>
      <c r="AT1334" s="77"/>
      <c r="AU1334" s="77"/>
      <c r="AV1334" s="83" t="str">
        <f>HYPERLINK("https://pbs.twimg.com/media/F3KrQ9oWMAA44Sh.jpg")</f>
        <v>https://pbs.twimg.com/media/F3KrQ9oWMAA44Sh.jpg</v>
      </c>
      <c r="AW1334" s="80" t="s">
        <v>17221</v>
      </c>
      <c r="AX1334" s="80" t="s">
        <v>17221</v>
      </c>
      <c r="AY1334" s="77"/>
      <c r="AZ1334" s="80" t="s">
        <v>20380</v>
      </c>
      <c r="BA1334" s="80" t="s">
        <v>20380</v>
      </c>
      <c r="BB1334" s="80" t="s">
        <v>20380</v>
      </c>
      <c r="BC1334" s="80" t="s">
        <v>17221</v>
      </c>
      <c r="BD1334" s="80" t="s">
        <v>20738</v>
      </c>
      <c r="BE1334" s="77"/>
      <c r="BF1334" s="77"/>
      <c r="BG1334" s="77"/>
      <c r="BH1334" s="77"/>
      <c r="BI1334" s="77"/>
    </row>
    <row r="1335" spans="1:61" x14ac:dyDescent="0.25">
      <c r="A1335" s="62" t="s">
        <v>734</v>
      </c>
      <c r="B1335" s="62" t="s">
        <v>734</v>
      </c>
      <c r="C1335" s="63"/>
      <c r="D1335" s="64"/>
      <c r="E1335" s="65"/>
      <c r="F1335" s="66"/>
      <c r="G1335" s="63"/>
      <c r="H1335" s="67"/>
      <c r="I1335" s="68"/>
      <c r="J1335" s="68"/>
      <c r="K1335" s="32"/>
      <c r="L1335" s="75">
        <v>1335</v>
      </c>
      <c r="M1335" s="75"/>
      <c r="N1335" s="70"/>
      <c r="O1335" s="77" t="s">
        <v>179</v>
      </c>
      <c r="P1335" s="79">
        <v>45148.481793981482</v>
      </c>
      <c r="Q1335" s="77" t="s">
        <v>3254</v>
      </c>
      <c r="R1335" s="77">
        <v>9</v>
      </c>
      <c r="S1335" s="77">
        <v>7</v>
      </c>
      <c r="T1335" s="77">
        <v>0</v>
      </c>
      <c r="U1335" s="77">
        <v>0</v>
      </c>
      <c r="V1335" s="77">
        <v>30</v>
      </c>
      <c r="W1335" s="80" t="s">
        <v>6836</v>
      </c>
      <c r="X1335" s="77"/>
      <c r="Y1335" s="77"/>
      <c r="Z1335" s="77"/>
      <c r="AA1335" s="77" t="s">
        <v>9493</v>
      </c>
      <c r="AB1335" s="77" t="s">
        <v>10535</v>
      </c>
      <c r="AC1335" s="80" t="s">
        <v>10540</v>
      </c>
      <c r="AD1335" s="77" t="s">
        <v>10625</v>
      </c>
      <c r="AE1335" s="83" t="str">
        <f>HYPERLINK("https://twitter.com/alejandrorodro8/status/1689600930344247296")</f>
        <v>https://twitter.com/alejandrorodro8/status/1689600930344247296</v>
      </c>
      <c r="AF1335" s="79">
        <v>45148.481793981482</v>
      </c>
      <c r="AG1335" s="85">
        <v>45148</v>
      </c>
      <c r="AH1335" s="80" t="s">
        <v>11802</v>
      </c>
      <c r="AI1335" s="77" t="b">
        <v>0</v>
      </c>
      <c r="AJ1335" s="77"/>
      <c r="AK1335" s="77"/>
      <c r="AL1335" s="77"/>
      <c r="AM1335" s="77"/>
      <c r="AN1335" s="77"/>
      <c r="AO1335" s="77"/>
      <c r="AP1335" s="77"/>
      <c r="AQ1335" s="77" t="s">
        <v>14975</v>
      </c>
      <c r="AR1335" s="77"/>
      <c r="AS1335" s="77"/>
      <c r="AT1335" s="77"/>
      <c r="AU1335" s="77"/>
      <c r="AV1335" s="83" t="str">
        <f>HYPERLINK("https://pbs.twimg.com/media/F3KrFnLWcAAf1e_.jpg")</f>
        <v>https://pbs.twimg.com/media/F3KrFnLWcAAf1e_.jpg</v>
      </c>
      <c r="AW1335" s="80" t="s">
        <v>17222</v>
      </c>
      <c r="AX1335" s="80" t="s">
        <v>17222</v>
      </c>
      <c r="AY1335" s="77"/>
      <c r="AZ1335" s="80" t="s">
        <v>20380</v>
      </c>
      <c r="BA1335" s="80" t="s">
        <v>20380</v>
      </c>
      <c r="BB1335" s="80" t="s">
        <v>20380</v>
      </c>
      <c r="BC1335" s="80" t="s">
        <v>17222</v>
      </c>
      <c r="BD1335" s="80" t="s">
        <v>20738</v>
      </c>
      <c r="BE1335" s="77"/>
      <c r="BF1335" s="77"/>
      <c r="BG1335" s="77"/>
      <c r="BH1335" s="77"/>
      <c r="BI1335" s="77"/>
    </row>
    <row r="1336" spans="1:61" x14ac:dyDescent="0.25">
      <c r="A1336" s="62" t="s">
        <v>734</v>
      </c>
      <c r="B1336" s="62" t="s">
        <v>734</v>
      </c>
      <c r="C1336" s="63"/>
      <c r="D1336" s="64"/>
      <c r="E1336" s="65"/>
      <c r="F1336" s="66"/>
      <c r="G1336" s="63"/>
      <c r="H1336" s="67"/>
      <c r="I1336" s="68"/>
      <c r="J1336" s="68"/>
      <c r="K1336" s="32"/>
      <c r="L1336" s="75">
        <v>1336</v>
      </c>
      <c r="M1336" s="75"/>
      <c r="N1336" s="70"/>
      <c r="O1336" s="77" t="s">
        <v>179</v>
      </c>
      <c r="P1336" s="79">
        <v>45148.136724537035</v>
      </c>
      <c r="Q1336" s="77" t="s">
        <v>3255</v>
      </c>
      <c r="R1336" s="77">
        <v>8</v>
      </c>
      <c r="S1336" s="77">
        <v>7</v>
      </c>
      <c r="T1336" s="77">
        <v>0</v>
      </c>
      <c r="U1336" s="77">
        <v>0</v>
      </c>
      <c r="V1336" s="77">
        <v>38</v>
      </c>
      <c r="W1336" s="80" t="s">
        <v>6836</v>
      </c>
      <c r="X1336" s="77"/>
      <c r="Y1336" s="77"/>
      <c r="Z1336" s="77"/>
      <c r="AA1336" s="77" t="s">
        <v>9494</v>
      </c>
      <c r="AB1336" s="77" t="s">
        <v>10535</v>
      </c>
      <c r="AC1336" s="80" t="s">
        <v>10540</v>
      </c>
      <c r="AD1336" s="77" t="s">
        <v>10625</v>
      </c>
      <c r="AE1336" s="83" t="str">
        <f>HYPERLINK("https://twitter.com/alejandrorodro8/status/1689475882224664576")</f>
        <v>https://twitter.com/alejandrorodro8/status/1689475882224664576</v>
      </c>
      <c r="AF1336" s="79">
        <v>45148.136724537035</v>
      </c>
      <c r="AG1336" s="85">
        <v>45148</v>
      </c>
      <c r="AH1336" s="80" t="s">
        <v>11803</v>
      </c>
      <c r="AI1336" s="77" t="b">
        <v>0</v>
      </c>
      <c r="AJ1336" s="77"/>
      <c r="AK1336" s="77"/>
      <c r="AL1336" s="77"/>
      <c r="AM1336" s="77"/>
      <c r="AN1336" s="77"/>
      <c r="AO1336" s="77"/>
      <c r="AP1336" s="77"/>
      <c r="AQ1336" s="77" t="s">
        <v>14976</v>
      </c>
      <c r="AR1336" s="77"/>
      <c r="AS1336" s="77"/>
      <c r="AT1336" s="77"/>
      <c r="AU1336" s="77"/>
      <c r="AV1336" s="83" t="str">
        <f>HYPERLINK("https://pbs.twimg.com/media/F3I5VDtXEAAhY0n.jpg")</f>
        <v>https://pbs.twimg.com/media/F3I5VDtXEAAhY0n.jpg</v>
      </c>
      <c r="AW1336" s="80" t="s">
        <v>17223</v>
      </c>
      <c r="AX1336" s="80" t="s">
        <v>17223</v>
      </c>
      <c r="AY1336" s="77"/>
      <c r="AZ1336" s="80" t="s">
        <v>20380</v>
      </c>
      <c r="BA1336" s="80" t="s">
        <v>20380</v>
      </c>
      <c r="BB1336" s="80" t="s">
        <v>20380</v>
      </c>
      <c r="BC1336" s="80" t="s">
        <v>17223</v>
      </c>
      <c r="BD1336" s="80" t="s">
        <v>20738</v>
      </c>
      <c r="BE1336" s="77"/>
      <c r="BF1336" s="77"/>
      <c r="BG1336" s="77"/>
      <c r="BH1336" s="77"/>
      <c r="BI1336" s="77"/>
    </row>
    <row r="1337" spans="1:61" x14ac:dyDescent="0.25">
      <c r="A1337" s="62" t="s">
        <v>734</v>
      </c>
      <c r="B1337" s="62" t="s">
        <v>734</v>
      </c>
      <c r="C1337" s="63"/>
      <c r="D1337" s="64"/>
      <c r="E1337" s="65"/>
      <c r="F1337" s="66"/>
      <c r="G1337" s="63"/>
      <c r="H1337" s="67"/>
      <c r="I1337" s="68"/>
      <c r="J1337" s="68"/>
      <c r="K1337" s="32"/>
      <c r="L1337" s="75">
        <v>1337</v>
      </c>
      <c r="M1337" s="75"/>
      <c r="N1337" s="70"/>
      <c r="O1337" s="77" t="s">
        <v>179</v>
      </c>
      <c r="P1337" s="79">
        <v>45148.103391203702</v>
      </c>
      <c r="Q1337" s="77" t="s">
        <v>3256</v>
      </c>
      <c r="R1337" s="77">
        <v>9</v>
      </c>
      <c r="S1337" s="77">
        <v>7</v>
      </c>
      <c r="T1337" s="77">
        <v>0</v>
      </c>
      <c r="U1337" s="77">
        <v>0</v>
      </c>
      <c r="V1337" s="77">
        <v>36</v>
      </c>
      <c r="W1337" s="80" t="s">
        <v>6836</v>
      </c>
      <c r="X1337" s="77"/>
      <c r="Y1337" s="77"/>
      <c r="Z1337" s="77"/>
      <c r="AA1337" s="77" t="s">
        <v>9495</v>
      </c>
      <c r="AB1337" s="77" t="s">
        <v>10535</v>
      </c>
      <c r="AC1337" s="80" t="s">
        <v>10540</v>
      </c>
      <c r="AD1337" s="77" t="s">
        <v>10625</v>
      </c>
      <c r="AE1337" s="83" t="str">
        <f>HYPERLINK("https://twitter.com/alejandrorodro8/status/1689463798900367360")</f>
        <v>https://twitter.com/alejandrorodro8/status/1689463798900367360</v>
      </c>
      <c r="AF1337" s="79">
        <v>45148.103391203702</v>
      </c>
      <c r="AG1337" s="85">
        <v>45148</v>
      </c>
      <c r="AH1337" s="80" t="s">
        <v>11804</v>
      </c>
      <c r="AI1337" s="77" t="b">
        <v>0</v>
      </c>
      <c r="AJ1337" s="77"/>
      <c r="AK1337" s="77"/>
      <c r="AL1337" s="77"/>
      <c r="AM1337" s="77"/>
      <c r="AN1337" s="77"/>
      <c r="AO1337" s="77"/>
      <c r="AP1337" s="77"/>
      <c r="AQ1337" s="77" t="s">
        <v>14977</v>
      </c>
      <c r="AR1337" s="77"/>
      <c r="AS1337" s="77"/>
      <c r="AT1337" s="77"/>
      <c r="AU1337" s="77"/>
      <c r="AV1337" s="83" t="str">
        <f>HYPERLINK("https://pbs.twimg.com/media/F3IuTahXYAA0zkE.jpg")</f>
        <v>https://pbs.twimg.com/media/F3IuTahXYAA0zkE.jpg</v>
      </c>
      <c r="AW1337" s="80" t="s">
        <v>17224</v>
      </c>
      <c r="AX1337" s="80" t="s">
        <v>17224</v>
      </c>
      <c r="AY1337" s="77"/>
      <c r="AZ1337" s="80" t="s">
        <v>20380</v>
      </c>
      <c r="BA1337" s="80" t="s">
        <v>20380</v>
      </c>
      <c r="BB1337" s="80" t="s">
        <v>20380</v>
      </c>
      <c r="BC1337" s="80" t="s">
        <v>17224</v>
      </c>
      <c r="BD1337" s="80" t="s">
        <v>20738</v>
      </c>
      <c r="BE1337" s="77"/>
      <c r="BF1337" s="77"/>
      <c r="BG1337" s="77"/>
      <c r="BH1337" s="77"/>
      <c r="BI1337" s="77"/>
    </row>
    <row r="1338" spans="1:61" x14ac:dyDescent="0.25">
      <c r="A1338" s="62" t="s">
        <v>735</v>
      </c>
      <c r="B1338" s="62" t="s">
        <v>735</v>
      </c>
      <c r="C1338" s="63"/>
      <c r="D1338" s="64"/>
      <c r="E1338" s="65"/>
      <c r="F1338" s="66"/>
      <c r="G1338" s="63"/>
      <c r="H1338" s="67"/>
      <c r="I1338" s="68"/>
      <c r="J1338" s="68"/>
      <c r="K1338" s="32"/>
      <c r="L1338" s="75">
        <v>1338</v>
      </c>
      <c r="M1338" s="75"/>
      <c r="N1338" s="70"/>
      <c r="O1338" s="77" t="s">
        <v>179</v>
      </c>
      <c r="P1338" s="79">
        <v>45138.693310185183</v>
      </c>
      <c r="Q1338" s="77" t="s">
        <v>3257</v>
      </c>
      <c r="R1338" s="77">
        <v>0</v>
      </c>
      <c r="S1338" s="77">
        <v>3</v>
      </c>
      <c r="T1338" s="77">
        <v>0</v>
      </c>
      <c r="U1338" s="77">
        <v>1</v>
      </c>
      <c r="V1338" s="77">
        <v>198</v>
      </c>
      <c r="W1338" s="80" t="s">
        <v>6837</v>
      </c>
      <c r="X1338" s="77"/>
      <c r="Y1338" s="77"/>
      <c r="Z1338" s="77"/>
      <c r="AA1338" s="77" t="s">
        <v>9496</v>
      </c>
      <c r="AB1338" s="77" t="s">
        <v>10535</v>
      </c>
      <c r="AC1338" s="80" t="s">
        <v>10541</v>
      </c>
      <c r="AD1338" s="77" t="s">
        <v>10617</v>
      </c>
      <c r="AE1338" s="83" t="str">
        <f>HYPERLINK("https://twitter.com/sindbancarios/status/1686053702233116672")</f>
        <v>https://twitter.com/sindbancarios/status/1686053702233116672</v>
      </c>
      <c r="AF1338" s="79">
        <v>45138.693310185183</v>
      </c>
      <c r="AG1338" s="85">
        <v>45138</v>
      </c>
      <c r="AH1338" s="80" t="s">
        <v>11805</v>
      </c>
      <c r="AI1338" s="77" t="b">
        <v>0</v>
      </c>
      <c r="AJ1338" s="77"/>
      <c r="AK1338" s="77"/>
      <c r="AL1338" s="77"/>
      <c r="AM1338" s="77"/>
      <c r="AN1338" s="77"/>
      <c r="AO1338" s="77"/>
      <c r="AP1338" s="77"/>
      <c r="AQ1338" s="77" t="s">
        <v>14978</v>
      </c>
      <c r="AR1338" s="77"/>
      <c r="AS1338" s="77"/>
      <c r="AT1338" s="77"/>
      <c r="AU1338" s="77"/>
      <c r="AV1338" s="83" t="str">
        <f>HYPERLINK("https://pbs.twimg.com/media/F2YQm0WWkAAXvdx.jpg")</f>
        <v>https://pbs.twimg.com/media/F2YQm0WWkAAXvdx.jpg</v>
      </c>
      <c r="AW1338" s="80" t="s">
        <v>17225</v>
      </c>
      <c r="AX1338" s="80" t="s">
        <v>17225</v>
      </c>
      <c r="AY1338" s="77"/>
      <c r="AZ1338" s="80" t="s">
        <v>20380</v>
      </c>
      <c r="BA1338" s="80" t="s">
        <v>20380</v>
      </c>
      <c r="BB1338" s="80" t="s">
        <v>20380</v>
      </c>
      <c r="BC1338" s="80" t="s">
        <v>17225</v>
      </c>
      <c r="BD1338" s="77">
        <v>92037820</v>
      </c>
      <c r="BE1338" s="77"/>
      <c r="BF1338" s="77"/>
      <c r="BG1338" s="77"/>
      <c r="BH1338" s="77"/>
      <c r="BI1338" s="77"/>
    </row>
    <row r="1339" spans="1:61" x14ac:dyDescent="0.25">
      <c r="A1339" s="62" t="s">
        <v>736</v>
      </c>
      <c r="B1339" s="62" t="s">
        <v>1733</v>
      </c>
      <c r="C1339" s="63"/>
      <c r="D1339" s="64"/>
      <c r="E1339" s="65"/>
      <c r="F1339" s="66"/>
      <c r="G1339" s="63"/>
      <c r="H1339" s="67"/>
      <c r="I1339" s="68"/>
      <c r="J1339" s="68"/>
      <c r="K1339" s="32"/>
      <c r="L1339" s="75">
        <v>1339</v>
      </c>
      <c r="M1339" s="75"/>
      <c r="N1339" s="70"/>
      <c r="O1339" s="77" t="s">
        <v>2085</v>
      </c>
      <c r="P1339" s="79">
        <v>45192.702303240738</v>
      </c>
      <c r="Q1339" s="77" t="s">
        <v>2409</v>
      </c>
      <c r="R1339" s="77">
        <v>10</v>
      </c>
      <c r="S1339" s="77">
        <v>0</v>
      </c>
      <c r="T1339" s="77">
        <v>0</v>
      </c>
      <c r="U1339" s="77">
        <v>0</v>
      </c>
      <c r="V1339" s="77"/>
      <c r="W1339" s="77"/>
      <c r="X1339" s="77"/>
      <c r="Y1339" s="77"/>
      <c r="Z1339" s="77" t="s">
        <v>8915</v>
      </c>
      <c r="AA1339" s="77"/>
      <c r="AB1339" s="77"/>
      <c r="AC1339" s="80" t="s">
        <v>10540</v>
      </c>
      <c r="AD1339" s="77" t="s">
        <v>10620</v>
      </c>
      <c r="AE1339" s="83" t="str">
        <f>HYPERLINK("https://twitter.com/alegriasc50/status/1705625904825655395")</f>
        <v>https://twitter.com/alegriasc50/status/1705625904825655395</v>
      </c>
      <c r="AF1339" s="79">
        <v>45192.702303240738</v>
      </c>
      <c r="AG1339" s="85">
        <v>45192</v>
      </c>
      <c r="AH1339" s="80" t="s">
        <v>11806</v>
      </c>
      <c r="AI1339" s="77"/>
      <c r="AJ1339" s="77"/>
      <c r="AK1339" s="77"/>
      <c r="AL1339" s="77"/>
      <c r="AM1339" s="77"/>
      <c r="AN1339" s="77"/>
      <c r="AO1339" s="77"/>
      <c r="AP1339" s="77"/>
      <c r="AQ1339" s="77"/>
      <c r="AR1339" s="77"/>
      <c r="AS1339" s="77"/>
      <c r="AT1339" s="77"/>
      <c r="AU1339" s="77"/>
      <c r="AV1339" s="83" t="str">
        <f>HYPERLINK("https://pbs.twimg.com/profile_images/1704112849327378432/sST55-W3_normal.jpg")</f>
        <v>https://pbs.twimg.com/profile_images/1704112849327378432/sST55-W3_normal.jpg</v>
      </c>
      <c r="AW1339" s="80" t="s">
        <v>17226</v>
      </c>
      <c r="AX1339" s="80" t="s">
        <v>17226</v>
      </c>
      <c r="AY1339" s="77"/>
      <c r="AZ1339" s="80" t="s">
        <v>20380</v>
      </c>
      <c r="BA1339" s="80" t="s">
        <v>20380</v>
      </c>
      <c r="BB1339" s="80" t="s">
        <v>19426</v>
      </c>
      <c r="BC1339" s="80" t="s">
        <v>19426</v>
      </c>
      <c r="BD1339" s="77">
        <v>2778521722</v>
      </c>
      <c r="BE1339" s="77"/>
      <c r="BF1339" s="77"/>
      <c r="BG1339" s="77"/>
      <c r="BH1339" s="77"/>
      <c r="BI1339" s="77"/>
    </row>
    <row r="1340" spans="1:61" x14ac:dyDescent="0.25">
      <c r="A1340" s="62" t="s">
        <v>736</v>
      </c>
      <c r="B1340" s="62" t="s">
        <v>1734</v>
      </c>
      <c r="C1340" s="63"/>
      <c r="D1340" s="64"/>
      <c r="E1340" s="65"/>
      <c r="F1340" s="66"/>
      <c r="G1340" s="63"/>
      <c r="H1340" s="67"/>
      <c r="I1340" s="68"/>
      <c r="J1340" s="68"/>
      <c r="K1340" s="32"/>
      <c r="L1340" s="75">
        <v>1340</v>
      </c>
      <c r="M1340" s="75"/>
      <c r="N1340" s="70"/>
      <c r="O1340" s="77" t="s">
        <v>2085</v>
      </c>
      <c r="P1340" s="79">
        <v>45192.702303240738</v>
      </c>
      <c r="Q1340" s="77" t="s">
        <v>2409</v>
      </c>
      <c r="R1340" s="77">
        <v>10</v>
      </c>
      <c r="S1340" s="77">
        <v>0</v>
      </c>
      <c r="T1340" s="77">
        <v>0</v>
      </c>
      <c r="U1340" s="77">
        <v>0</v>
      </c>
      <c r="V1340" s="77"/>
      <c r="W1340" s="77"/>
      <c r="X1340" s="77"/>
      <c r="Y1340" s="77"/>
      <c r="Z1340" s="77" t="s">
        <v>8915</v>
      </c>
      <c r="AA1340" s="77"/>
      <c r="AB1340" s="77"/>
      <c r="AC1340" s="80" t="s">
        <v>10540</v>
      </c>
      <c r="AD1340" s="77" t="s">
        <v>10620</v>
      </c>
      <c r="AE1340" s="83" t="str">
        <f>HYPERLINK("https://twitter.com/alegriasc50/status/1705625904825655395")</f>
        <v>https://twitter.com/alegriasc50/status/1705625904825655395</v>
      </c>
      <c r="AF1340" s="79">
        <v>45192.702303240738</v>
      </c>
      <c r="AG1340" s="85">
        <v>45192</v>
      </c>
      <c r="AH1340" s="80" t="s">
        <v>11806</v>
      </c>
      <c r="AI1340" s="77"/>
      <c r="AJ1340" s="77"/>
      <c r="AK1340" s="77"/>
      <c r="AL1340" s="77"/>
      <c r="AM1340" s="77"/>
      <c r="AN1340" s="77"/>
      <c r="AO1340" s="77"/>
      <c r="AP1340" s="77"/>
      <c r="AQ1340" s="77"/>
      <c r="AR1340" s="77"/>
      <c r="AS1340" s="77"/>
      <c r="AT1340" s="77"/>
      <c r="AU1340" s="77"/>
      <c r="AV1340" s="83" t="str">
        <f>HYPERLINK("https://pbs.twimg.com/profile_images/1704112849327378432/sST55-W3_normal.jpg")</f>
        <v>https://pbs.twimg.com/profile_images/1704112849327378432/sST55-W3_normal.jpg</v>
      </c>
      <c r="AW1340" s="80" t="s">
        <v>17226</v>
      </c>
      <c r="AX1340" s="80" t="s">
        <v>17226</v>
      </c>
      <c r="AY1340" s="77"/>
      <c r="AZ1340" s="80" t="s">
        <v>20380</v>
      </c>
      <c r="BA1340" s="80" t="s">
        <v>20380</v>
      </c>
      <c r="BB1340" s="80" t="s">
        <v>19426</v>
      </c>
      <c r="BC1340" s="80" t="s">
        <v>19426</v>
      </c>
      <c r="BD1340" s="77">
        <v>2778521722</v>
      </c>
      <c r="BE1340" s="77"/>
      <c r="BF1340" s="77"/>
      <c r="BG1340" s="77"/>
      <c r="BH1340" s="77"/>
      <c r="BI1340" s="77"/>
    </row>
    <row r="1341" spans="1:61" x14ac:dyDescent="0.25">
      <c r="A1341" s="62" t="s">
        <v>736</v>
      </c>
      <c r="B1341" s="62" t="s">
        <v>1735</v>
      </c>
      <c r="C1341" s="63"/>
      <c r="D1341" s="64"/>
      <c r="E1341" s="65"/>
      <c r="F1341" s="66"/>
      <c r="G1341" s="63"/>
      <c r="H1341" s="67"/>
      <c r="I1341" s="68"/>
      <c r="J1341" s="68"/>
      <c r="K1341" s="32"/>
      <c r="L1341" s="75">
        <v>1341</v>
      </c>
      <c r="M1341" s="75"/>
      <c r="N1341" s="70"/>
      <c r="O1341" s="77" t="s">
        <v>2085</v>
      </c>
      <c r="P1341" s="79">
        <v>45192.702303240738</v>
      </c>
      <c r="Q1341" s="77" t="s">
        <v>2409</v>
      </c>
      <c r="R1341" s="77">
        <v>10</v>
      </c>
      <c r="S1341" s="77">
        <v>0</v>
      </c>
      <c r="T1341" s="77">
        <v>0</v>
      </c>
      <c r="U1341" s="77">
        <v>0</v>
      </c>
      <c r="V1341" s="77"/>
      <c r="W1341" s="77"/>
      <c r="X1341" s="77"/>
      <c r="Y1341" s="77"/>
      <c r="Z1341" s="77" t="s">
        <v>8915</v>
      </c>
      <c r="AA1341" s="77"/>
      <c r="AB1341" s="77"/>
      <c r="AC1341" s="80" t="s">
        <v>10540</v>
      </c>
      <c r="AD1341" s="77" t="s">
        <v>10620</v>
      </c>
      <c r="AE1341" s="83" t="str">
        <f>HYPERLINK("https://twitter.com/alegriasc50/status/1705625904825655395")</f>
        <v>https://twitter.com/alegriasc50/status/1705625904825655395</v>
      </c>
      <c r="AF1341" s="79">
        <v>45192.702303240738</v>
      </c>
      <c r="AG1341" s="85">
        <v>45192</v>
      </c>
      <c r="AH1341" s="80" t="s">
        <v>11806</v>
      </c>
      <c r="AI1341" s="77"/>
      <c r="AJ1341" s="77"/>
      <c r="AK1341" s="77"/>
      <c r="AL1341" s="77"/>
      <c r="AM1341" s="77"/>
      <c r="AN1341" s="77"/>
      <c r="AO1341" s="77"/>
      <c r="AP1341" s="77"/>
      <c r="AQ1341" s="77"/>
      <c r="AR1341" s="77"/>
      <c r="AS1341" s="77"/>
      <c r="AT1341" s="77"/>
      <c r="AU1341" s="77"/>
      <c r="AV1341" s="83" t="str">
        <f>HYPERLINK("https://pbs.twimg.com/profile_images/1704112849327378432/sST55-W3_normal.jpg")</f>
        <v>https://pbs.twimg.com/profile_images/1704112849327378432/sST55-W3_normal.jpg</v>
      </c>
      <c r="AW1341" s="80" t="s">
        <v>17226</v>
      </c>
      <c r="AX1341" s="80" t="s">
        <v>17226</v>
      </c>
      <c r="AY1341" s="77"/>
      <c r="AZ1341" s="80" t="s">
        <v>20380</v>
      </c>
      <c r="BA1341" s="80" t="s">
        <v>20380</v>
      </c>
      <c r="BB1341" s="80" t="s">
        <v>19426</v>
      </c>
      <c r="BC1341" s="80" t="s">
        <v>19426</v>
      </c>
      <c r="BD1341" s="77">
        <v>2778521722</v>
      </c>
      <c r="BE1341" s="77"/>
      <c r="BF1341" s="77"/>
      <c r="BG1341" s="77"/>
      <c r="BH1341" s="77"/>
      <c r="BI1341" s="77"/>
    </row>
    <row r="1342" spans="1:61" x14ac:dyDescent="0.25">
      <c r="A1342" s="62" t="s">
        <v>736</v>
      </c>
      <c r="B1342" s="62" t="s">
        <v>1736</v>
      </c>
      <c r="C1342" s="63"/>
      <c r="D1342" s="64"/>
      <c r="E1342" s="65"/>
      <c r="F1342" s="66"/>
      <c r="G1342" s="63"/>
      <c r="H1342" s="67"/>
      <c r="I1342" s="68"/>
      <c r="J1342" s="68"/>
      <c r="K1342" s="32"/>
      <c r="L1342" s="75">
        <v>1342</v>
      </c>
      <c r="M1342" s="75"/>
      <c r="N1342" s="70"/>
      <c r="O1342" s="77" t="s">
        <v>2085</v>
      </c>
      <c r="P1342" s="79">
        <v>45192.702303240738</v>
      </c>
      <c r="Q1342" s="77" t="s">
        <v>2409</v>
      </c>
      <c r="R1342" s="77">
        <v>10</v>
      </c>
      <c r="S1342" s="77">
        <v>0</v>
      </c>
      <c r="T1342" s="77">
        <v>0</v>
      </c>
      <c r="U1342" s="77">
        <v>0</v>
      </c>
      <c r="V1342" s="77"/>
      <c r="W1342" s="77"/>
      <c r="X1342" s="77"/>
      <c r="Y1342" s="77"/>
      <c r="Z1342" s="77" t="s">
        <v>8915</v>
      </c>
      <c r="AA1342" s="77"/>
      <c r="AB1342" s="77"/>
      <c r="AC1342" s="80" t="s">
        <v>10540</v>
      </c>
      <c r="AD1342" s="77" t="s">
        <v>10620</v>
      </c>
      <c r="AE1342" s="83" t="str">
        <f>HYPERLINK("https://twitter.com/alegriasc50/status/1705625904825655395")</f>
        <v>https://twitter.com/alegriasc50/status/1705625904825655395</v>
      </c>
      <c r="AF1342" s="79">
        <v>45192.702303240738</v>
      </c>
      <c r="AG1342" s="85">
        <v>45192</v>
      </c>
      <c r="AH1342" s="80" t="s">
        <v>11806</v>
      </c>
      <c r="AI1342" s="77"/>
      <c r="AJ1342" s="77"/>
      <c r="AK1342" s="77"/>
      <c r="AL1342" s="77"/>
      <c r="AM1342" s="77"/>
      <c r="AN1342" s="77"/>
      <c r="AO1342" s="77"/>
      <c r="AP1342" s="77"/>
      <c r="AQ1342" s="77"/>
      <c r="AR1342" s="77"/>
      <c r="AS1342" s="77"/>
      <c r="AT1342" s="77"/>
      <c r="AU1342" s="77"/>
      <c r="AV1342" s="83" t="str">
        <f>HYPERLINK("https://pbs.twimg.com/profile_images/1704112849327378432/sST55-W3_normal.jpg")</f>
        <v>https://pbs.twimg.com/profile_images/1704112849327378432/sST55-W3_normal.jpg</v>
      </c>
      <c r="AW1342" s="80" t="s">
        <v>17226</v>
      </c>
      <c r="AX1342" s="80" t="s">
        <v>17226</v>
      </c>
      <c r="AY1342" s="77"/>
      <c r="AZ1342" s="80" t="s">
        <v>20380</v>
      </c>
      <c r="BA1342" s="80" t="s">
        <v>20380</v>
      </c>
      <c r="BB1342" s="80" t="s">
        <v>19426</v>
      </c>
      <c r="BC1342" s="80" t="s">
        <v>19426</v>
      </c>
      <c r="BD1342" s="77">
        <v>2778521722</v>
      </c>
      <c r="BE1342" s="77"/>
      <c r="BF1342" s="77"/>
      <c r="BG1342" s="77"/>
      <c r="BH1342" s="77"/>
      <c r="BI1342" s="77"/>
    </row>
    <row r="1343" spans="1:61" x14ac:dyDescent="0.25">
      <c r="A1343" s="62" t="s">
        <v>736</v>
      </c>
      <c r="B1343" s="62" t="s">
        <v>1737</v>
      </c>
      <c r="C1343" s="63"/>
      <c r="D1343" s="64"/>
      <c r="E1343" s="65"/>
      <c r="F1343" s="66"/>
      <c r="G1343" s="63"/>
      <c r="H1343" s="67"/>
      <c r="I1343" s="68"/>
      <c r="J1343" s="68"/>
      <c r="K1343" s="32"/>
      <c r="L1343" s="75">
        <v>1343</v>
      </c>
      <c r="M1343" s="75"/>
      <c r="N1343" s="70"/>
      <c r="O1343" s="77" t="s">
        <v>2085</v>
      </c>
      <c r="P1343" s="79">
        <v>45192.702303240738</v>
      </c>
      <c r="Q1343" s="77" t="s">
        <v>2409</v>
      </c>
      <c r="R1343" s="77">
        <v>10</v>
      </c>
      <c r="S1343" s="77">
        <v>0</v>
      </c>
      <c r="T1343" s="77">
        <v>0</v>
      </c>
      <c r="U1343" s="77">
        <v>0</v>
      </c>
      <c r="V1343" s="77"/>
      <c r="W1343" s="77"/>
      <c r="X1343" s="77"/>
      <c r="Y1343" s="77"/>
      <c r="Z1343" s="77" t="s">
        <v>8915</v>
      </c>
      <c r="AA1343" s="77"/>
      <c r="AB1343" s="77"/>
      <c r="AC1343" s="80" t="s">
        <v>10540</v>
      </c>
      <c r="AD1343" s="77" t="s">
        <v>10620</v>
      </c>
      <c r="AE1343" s="83" t="str">
        <f>HYPERLINK("https://twitter.com/alegriasc50/status/1705625904825655395")</f>
        <v>https://twitter.com/alegriasc50/status/1705625904825655395</v>
      </c>
      <c r="AF1343" s="79">
        <v>45192.702303240738</v>
      </c>
      <c r="AG1343" s="85">
        <v>45192</v>
      </c>
      <c r="AH1343" s="80" t="s">
        <v>11806</v>
      </c>
      <c r="AI1343" s="77"/>
      <c r="AJ1343" s="77"/>
      <c r="AK1343" s="77"/>
      <c r="AL1343" s="77"/>
      <c r="AM1343" s="77"/>
      <c r="AN1343" s="77"/>
      <c r="AO1343" s="77"/>
      <c r="AP1343" s="77"/>
      <c r="AQ1343" s="77"/>
      <c r="AR1343" s="77"/>
      <c r="AS1343" s="77"/>
      <c r="AT1343" s="77"/>
      <c r="AU1343" s="77"/>
      <c r="AV1343" s="83" t="str">
        <f>HYPERLINK("https://pbs.twimg.com/profile_images/1704112849327378432/sST55-W3_normal.jpg")</f>
        <v>https://pbs.twimg.com/profile_images/1704112849327378432/sST55-W3_normal.jpg</v>
      </c>
      <c r="AW1343" s="80" t="s">
        <v>17226</v>
      </c>
      <c r="AX1343" s="80" t="s">
        <v>17226</v>
      </c>
      <c r="AY1343" s="77"/>
      <c r="AZ1343" s="80" t="s">
        <v>20380</v>
      </c>
      <c r="BA1343" s="80" t="s">
        <v>20380</v>
      </c>
      <c r="BB1343" s="80" t="s">
        <v>19426</v>
      </c>
      <c r="BC1343" s="80" t="s">
        <v>19426</v>
      </c>
      <c r="BD1343" s="77">
        <v>2778521722</v>
      </c>
      <c r="BE1343" s="77"/>
      <c r="BF1343" s="77"/>
      <c r="BG1343" s="77"/>
      <c r="BH1343" s="77"/>
      <c r="BI1343" s="77"/>
    </row>
    <row r="1344" spans="1:61" x14ac:dyDescent="0.25">
      <c r="A1344" s="62" t="s">
        <v>736</v>
      </c>
      <c r="B1344" s="62" t="s">
        <v>1738</v>
      </c>
      <c r="C1344" s="63"/>
      <c r="D1344" s="64"/>
      <c r="E1344" s="65"/>
      <c r="F1344" s="66"/>
      <c r="G1344" s="63"/>
      <c r="H1344" s="67"/>
      <c r="I1344" s="68"/>
      <c r="J1344" s="68"/>
      <c r="K1344" s="32"/>
      <c r="L1344" s="75">
        <v>1344</v>
      </c>
      <c r="M1344" s="75"/>
      <c r="N1344" s="70"/>
      <c r="O1344" s="77" t="s">
        <v>2085</v>
      </c>
      <c r="P1344" s="79">
        <v>45192.702303240738</v>
      </c>
      <c r="Q1344" s="77" t="s">
        <v>2409</v>
      </c>
      <c r="R1344" s="77">
        <v>10</v>
      </c>
      <c r="S1344" s="77">
        <v>0</v>
      </c>
      <c r="T1344" s="77">
        <v>0</v>
      </c>
      <c r="U1344" s="77">
        <v>0</v>
      </c>
      <c r="V1344" s="77"/>
      <c r="W1344" s="77"/>
      <c r="X1344" s="77"/>
      <c r="Y1344" s="77"/>
      <c r="Z1344" s="77" t="s">
        <v>8915</v>
      </c>
      <c r="AA1344" s="77"/>
      <c r="AB1344" s="77"/>
      <c r="AC1344" s="80" t="s">
        <v>10540</v>
      </c>
      <c r="AD1344" s="77" t="s">
        <v>10620</v>
      </c>
      <c r="AE1344" s="83" t="str">
        <f>HYPERLINK("https://twitter.com/alegriasc50/status/1705625904825655395")</f>
        <v>https://twitter.com/alegriasc50/status/1705625904825655395</v>
      </c>
      <c r="AF1344" s="79">
        <v>45192.702303240738</v>
      </c>
      <c r="AG1344" s="85">
        <v>45192</v>
      </c>
      <c r="AH1344" s="80" t="s">
        <v>11806</v>
      </c>
      <c r="AI1344" s="77"/>
      <c r="AJ1344" s="77"/>
      <c r="AK1344" s="77"/>
      <c r="AL1344" s="77"/>
      <c r="AM1344" s="77"/>
      <c r="AN1344" s="77"/>
      <c r="AO1344" s="77"/>
      <c r="AP1344" s="77"/>
      <c r="AQ1344" s="77"/>
      <c r="AR1344" s="77"/>
      <c r="AS1344" s="77"/>
      <c r="AT1344" s="77"/>
      <c r="AU1344" s="77"/>
      <c r="AV1344" s="83" t="str">
        <f>HYPERLINK("https://pbs.twimg.com/profile_images/1704112849327378432/sST55-W3_normal.jpg")</f>
        <v>https://pbs.twimg.com/profile_images/1704112849327378432/sST55-W3_normal.jpg</v>
      </c>
      <c r="AW1344" s="80" t="s">
        <v>17226</v>
      </c>
      <c r="AX1344" s="80" t="s">
        <v>17226</v>
      </c>
      <c r="AY1344" s="77"/>
      <c r="AZ1344" s="80" t="s">
        <v>20380</v>
      </c>
      <c r="BA1344" s="80" t="s">
        <v>20380</v>
      </c>
      <c r="BB1344" s="80" t="s">
        <v>19426</v>
      </c>
      <c r="BC1344" s="80" t="s">
        <v>19426</v>
      </c>
      <c r="BD1344" s="77">
        <v>2778521722</v>
      </c>
      <c r="BE1344" s="77"/>
      <c r="BF1344" s="77"/>
      <c r="BG1344" s="77"/>
      <c r="BH1344" s="77"/>
      <c r="BI1344" s="77"/>
    </row>
    <row r="1345" spans="1:61" x14ac:dyDescent="0.25">
      <c r="A1345" s="62" t="s">
        <v>736</v>
      </c>
      <c r="B1345" s="62" t="s">
        <v>1739</v>
      </c>
      <c r="C1345" s="63"/>
      <c r="D1345" s="64"/>
      <c r="E1345" s="65"/>
      <c r="F1345" s="66"/>
      <c r="G1345" s="63"/>
      <c r="H1345" s="67"/>
      <c r="I1345" s="68"/>
      <c r="J1345" s="68"/>
      <c r="K1345" s="32"/>
      <c r="L1345" s="75">
        <v>1345</v>
      </c>
      <c r="M1345" s="75"/>
      <c r="N1345" s="70"/>
      <c r="O1345" s="77" t="s">
        <v>2085</v>
      </c>
      <c r="P1345" s="79">
        <v>45192.702303240738</v>
      </c>
      <c r="Q1345" s="77" t="s">
        <v>2409</v>
      </c>
      <c r="R1345" s="77">
        <v>10</v>
      </c>
      <c r="S1345" s="77">
        <v>0</v>
      </c>
      <c r="T1345" s="77">
        <v>0</v>
      </c>
      <c r="U1345" s="77">
        <v>0</v>
      </c>
      <c r="V1345" s="77"/>
      <c r="W1345" s="77"/>
      <c r="X1345" s="77"/>
      <c r="Y1345" s="77"/>
      <c r="Z1345" s="77" t="s">
        <v>8915</v>
      </c>
      <c r="AA1345" s="77"/>
      <c r="AB1345" s="77"/>
      <c r="AC1345" s="80" t="s">
        <v>10540</v>
      </c>
      <c r="AD1345" s="77" t="s">
        <v>10620</v>
      </c>
      <c r="AE1345" s="83" t="str">
        <f>HYPERLINK("https://twitter.com/alegriasc50/status/1705625904825655395")</f>
        <v>https://twitter.com/alegriasc50/status/1705625904825655395</v>
      </c>
      <c r="AF1345" s="79">
        <v>45192.702303240738</v>
      </c>
      <c r="AG1345" s="85">
        <v>45192</v>
      </c>
      <c r="AH1345" s="80" t="s">
        <v>11806</v>
      </c>
      <c r="AI1345" s="77"/>
      <c r="AJ1345" s="77"/>
      <c r="AK1345" s="77"/>
      <c r="AL1345" s="77"/>
      <c r="AM1345" s="77"/>
      <c r="AN1345" s="77"/>
      <c r="AO1345" s="77"/>
      <c r="AP1345" s="77"/>
      <c r="AQ1345" s="77"/>
      <c r="AR1345" s="77"/>
      <c r="AS1345" s="77"/>
      <c r="AT1345" s="77"/>
      <c r="AU1345" s="77"/>
      <c r="AV1345" s="83" t="str">
        <f>HYPERLINK("https://pbs.twimg.com/profile_images/1704112849327378432/sST55-W3_normal.jpg")</f>
        <v>https://pbs.twimg.com/profile_images/1704112849327378432/sST55-W3_normal.jpg</v>
      </c>
      <c r="AW1345" s="80" t="s">
        <v>17226</v>
      </c>
      <c r="AX1345" s="80" t="s">
        <v>17226</v>
      </c>
      <c r="AY1345" s="77"/>
      <c r="AZ1345" s="80" t="s">
        <v>20380</v>
      </c>
      <c r="BA1345" s="80" t="s">
        <v>20380</v>
      </c>
      <c r="BB1345" s="80" t="s">
        <v>19426</v>
      </c>
      <c r="BC1345" s="80" t="s">
        <v>19426</v>
      </c>
      <c r="BD1345" s="77">
        <v>2778521722</v>
      </c>
      <c r="BE1345" s="77"/>
      <c r="BF1345" s="77"/>
      <c r="BG1345" s="77"/>
      <c r="BH1345" s="77"/>
      <c r="BI1345" s="77"/>
    </row>
    <row r="1346" spans="1:61" x14ac:dyDescent="0.25">
      <c r="A1346" s="62" t="s">
        <v>736</v>
      </c>
      <c r="B1346" s="62" t="s">
        <v>1740</v>
      </c>
      <c r="C1346" s="63"/>
      <c r="D1346" s="64"/>
      <c r="E1346" s="65"/>
      <c r="F1346" s="66"/>
      <c r="G1346" s="63"/>
      <c r="H1346" s="67"/>
      <c r="I1346" s="68"/>
      <c r="J1346" s="68"/>
      <c r="K1346" s="32"/>
      <c r="L1346" s="75">
        <v>1346</v>
      </c>
      <c r="M1346" s="75"/>
      <c r="N1346" s="70"/>
      <c r="O1346" s="77" t="s">
        <v>2085</v>
      </c>
      <c r="P1346" s="79">
        <v>45192.702303240738</v>
      </c>
      <c r="Q1346" s="77" t="s">
        <v>2409</v>
      </c>
      <c r="R1346" s="77">
        <v>10</v>
      </c>
      <c r="S1346" s="77">
        <v>0</v>
      </c>
      <c r="T1346" s="77">
        <v>0</v>
      </c>
      <c r="U1346" s="77">
        <v>0</v>
      </c>
      <c r="V1346" s="77"/>
      <c r="W1346" s="77"/>
      <c r="X1346" s="77"/>
      <c r="Y1346" s="77"/>
      <c r="Z1346" s="77" t="s">
        <v>8915</v>
      </c>
      <c r="AA1346" s="77"/>
      <c r="AB1346" s="77"/>
      <c r="AC1346" s="80" t="s">
        <v>10540</v>
      </c>
      <c r="AD1346" s="77" t="s">
        <v>10620</v>
      </c>
      <c r="AE1346" s="83" t="str">
        <f>HYPERLINK("https://twitter.com/alegriasc50/status/1705625904825655395")</f>
        <v>https://twitter.com/alegriasc50/status/1705625904825655395</v>
      </c>
      <c r="AF1346" s="79">
        <v>45192.702303240738</v>
      </c>
      <c r="AG1346" s="85">
        <v>45192</v>
      </c>
      <c r="AH1346" s="80" t="s">
        <v>11806</v>
      </c>
      <c r="AI1346" s="77"/>
      <c r="AJ1346" s="77"/>
      <c r="AK1346" s="77"/>
      <c r="AL1346" s="77"/>
      <c r="AM1346" s="77"/>
      <c r="AN1346" s="77"/>
      <c r="AO1346" s="77"/>
      <c r="AP1346" s="77"/>
      <c r="AQ1346" s="77"/>
      <c r="AR1346" s="77"/>
      <c r="AS1346" s="77"/>
      <c r="AT1346" s="77"/>
      <c r="AU1346" s="77"/>
      <c r="AV1346" s="83" t="str">
        <f>HYPERLINK("https://pbs.twimg.com/profile_images/1704112849327378432/sST55-W3_normal.jpg")</f>
        <v>https://pbs.twimg.com/profile_images/1704112849327378432/sST55-W3_normal.jpg</v>
      </c>
      <c r="AW1346" s="80" t="s">
        <v>17226</v>
      </c>
      <c r="AX1346" s="80" t="s">
        <v>17226</v>
      </c>
      <c r="AY1346" s="77"/>
      <c r="AZ1346" s="80" t="s">
        <v>20380</v>
      </c>
      <c r="BA1346" s="80" t="s">
        <v>20380</v>
      </c>
      <c r="BB1346" s="80" t="s">
        <v>19426</v>
      </c>
      <c r="BC1346" s="80" t="s">
        <v>19426</v>
      </c>
      <c r="BD1346" s="77">
        <v>2778521722</v>
      </c>
      <c r="BE1346" s="77"/>
      <c r="BF1346" s="77"/>
      <c r="BG1346" s="77"/>
      <c r="BH1346" s="77"/>
      <c r="BI1346" s="77"/>
    </row>
    <row r="1347" spans="1:61" x14ac:dyDescent="0.25">
      <c r="A1347" s="62" t="s">
        <v>736</v>
      </c>
      <c r="B1347" s="62" t="s">
        <v>1741</v>
      </c>
      <c r="C1347" s="63"/>
      <c r="D1347" s="64"/>
      <c r="E1347" s="65"/>
      <c r="F1347" s="66"/>
      <c r="G1347" s="63"/>
      <c r="H1347" s="67"/>
      <c r="I1347" s="68"/>
      <c r="J1347" s="68"/>
      <c r="K1347" s="32"/>
      <c r="L1347" s="75">
        <v>1347</v>
      </c>
      <c r="M1347" s="75"/>
      <c r="N1347" s="70"/>
      <c r="O1347" s="77" t="s">
        <v>2085</v>
      </c>
      <c r="P1347" s="79">
        <v>45192.702303240738</v>
      </c>
      <c r="Q1347" s="77" t="s">
        <v>2409</v>
      </c>
      <c r="R1347" s="77">
        <v>10</v>
      </c>
      <c r="S1347" s="77">
        <v>0</v>
      </c>
      <c r="T1347" s="77">
        <v>0</v>
      </c>
      <c r="U1347" s="77">
        <v>0</v>
      </c>
      <c r="V1347" s="77"/>
      <c r="W1347" s="77"/>
      <c r="X1347" s="77"/>
      <c r="Y1347" s="77"/>
      <c r="Z1347" s="77" t="s">
        <v>8915</v>
      </c>
      <c r="AA1347" s="77"/>
      <c r="AB1347" s="77"/>
      <c r="AC1347" s="80" t="s">
        <v>10540</v>
      </c>
      <c r="AD1347" s="77" t="s">
        <v>10620</v>
      </c>
      <c r="AE1347" s="83" t="str">
        <f>HYPERLINK("https://twitter.com/alegriasc50/status/1705625904825655395")</f>
        <v>https://twitter.com/alegriasc50/status/1705625904825655395</v>
      </c>
      <c r="AF1347" s="79">
        <v>45192.702303240738</v>
      </c>
      <c r="AG1347" s="85">
        <v>45192</v>
      </c>
      <c r="AH1347" s="80" t="s">
        <v>11806</v>
      </c>
      <c r="AI1347" s="77"/>
      <c r="AJ1347" s="77"/>
      <c r="AK1347" s="77"/>
      <c r="AL1347" s="77"/>
      <c r="AM1347" s="77"/>
      <c r="AN1347" s="77"/>
      <c r="AO1347" s="77"/>
      <c r="AP1347" s="77"/>
      <c r="AQ1347" s="77"/>
      <c r="AR1347" s="77"/>
      <c r="AS1347" s="77"/>
      <c r="AT1347" s="77"/>
      <c r="AU1347" s="77"/>
      <c r="AV1347" s="83" t="str">
        <f>HYPERLINK("https://pbs.twimg.com/profile_images/1704112849327378432/sST55-W3_normal.jpg")</f>
        <v>https://pbs.twimg.com/profile_images/1704112849327378432/sST55-W3_normal.jpg</v>
      </c>
      <c r="AW1347" s="80" t="s">
        <v>17226</v>
      </c>
      <c r="AX1347" s="80" t="s">
        <v>17226</v>
      </c>
      <c r="AY1347" s="77"/>
      <c r="AZ1347" s="80" t="s">
        <v>20380</v>
      </c>
      <c r="BA1347" s="80" t="s">
        <v>20380</v>
      </c>
      <c r="BB1347" s="80" t="s">
        <v>19426</v>
      </c>
      <c r="BC1347" s="80" t="s">
        <v>19426</v>
      </c>
      <c r="BD1347" s="77">
        <v>2778521722</v>
      </c>
      <c r="BE1347" s="77"/>
      <c r="BF1347" s="77"/>
      <c r="BG1347" s="77"/>
      <c r="BH1347" s="77"/>
      <c r="BI1347" s="77"/>
    </row>
    <row r="1348" spans="1:61" x14ac:dyDescent="0.25">
      <c r="A1348" s="62" t="s">
        <v>736</v>
      </c>
      <c r="B1348" s="62" t="s">
        <v>1492</v>
      </c>
      <c r="C1348" s="63"/>
      <c r="D1348" s="64"/>
      <c r="E1348" s="65"/>
      <c r="F1348" s="66"/>
      <c r="G1348" s="63"/>
      <c r="H1348" s="67"/>
      <c r="I1348" s="68"/>
      <c r="J1348" s="68"/>
      <c r="K1348" s="32"/>
      <c r="L1348" s="75">
        <v>1348</v>
      </c>
      <c r="M1348" s="75"/>
      <c r="N1348" s="70"/>
      <c r="O1348" s="77" t="s">
        <v>2083</v>
      </c>
      <c r="P1348" s="79">
        <v>45192.702303240738</v>
      </c>
      <c r="Q1348" s="77" t="s">
        <v>2409</v>
      </c>
      <c r="R1348" s="77">
        <v>10</v>
      </c>
      <c r="S1348" s="77">
        <v>0</v>
      </c>
      <c r="T1348" s="77">
        <v>0</v>
      </c>
      <c r="U1348" s="77">
        <v>0</v>
      </c>
      <c r="V1348" s="77"/>
      <c r="W1348" s="77"/>
      <c r="X1348" s="77"/>
      <c r="Y1348" s="77"/>
      <c r="Z1348" s="77" t="s">
        <v>8915</v>
      </c>
      <c r="AA1348" s="77"/>
      <c r="AB1348" s="77"/>
      <c r="AC1348" s="80" t="s">
        <v>10540</v>
      </c>
      <c r="AD1348" s="77" t="s">
        <v>10620</v>
      </c>
      <c r="AE1348" s="83" t="str">
        <f>HYPERLINK("https://twitter.com/alegriasc50/status/1705625904825655395")</f>
        <v>https://twitter.com/alegriasc50/status/1705625904825655395</v>
      </c>
      <c r="AF1348" s="79">
        <v>45192.702303240738</v>
      </c>
      <c r="AG1348" s="85">
        <v>45192</v>
      </c>
      <c r="AH1348" s="80" t="s">
        <v>11806</v>
      </c>
      <c r="AI1348" s="77"/>
      <c r="AJ1348" s="77"/>
      <c r="AK1348" s="77"/>
      <c r="AL1348" s="77"/>
      <c r="AM1348" s="77"/>
      <c r="AN1348" s="77"/>
      <c r="AO1348" s="77"/>
      <c r="AP1348" s="77"/>
      <c r="AQ1348" s="77"/>
      <c r="AR1348" s="77"/>
      <c r="AS1348" s="77"/>
      <c r="AT1348" s="77"/>
      <c r="AU1348" s="77"/>
      <c r="AV1348" s="83" t="str">
        <f>HYPERLINK("https://pbs.twimg.com/profile_images/1704112849327378432/sST55-W3_normal.jpg")</f>
        <v>https://pbs.twimg.com/profile_images/1704112849327378432/sST55-W3_normal.jpg</v>
      </c>
      <c r="AW1348" s="80" t="s">
        <v>17226</v>
      </c>
      <c r="AX1348" s="80" t="s">
        <v>17226</v>
      </c>
      <c r="AY1348" s="77"/>
      <c r="AZ1348" s="80" t="s">
        <v>20380</v>
      </c>
      <c r="BA1348" s="80" t="s">
        <v>20380</v>
      </c>
      <c r="BB1348" s="80" t="s">
        <v>19426</v>
      </c>
      <c r="BC1348" s="80" t="s">
        <v>19426</v>
      </c>
      <c r="BD1348" s="77">
        <v>2778521722</v>
      </c>
      <c r="BE1348" s="77"/>
      <c r="BF1348" s="77"/>
      <c r="BG1348" s="77"/>
      <c r="BH1348" s="77"/>
      <c r="BI1348" s="77"/>
    </row>
    <row r="1349" spans="1:61" x14ac:dyDescent="0.25">
      <c r="A1349" s="62" t="s">
        <v>737</v>
      </c>
      <c r="B1349" s="62" t="s">
        <v>737</v>
      </c>
      <c r="C1349" s="63"/>
      <c r="D1349" s="64"/>
      <c r="E1349" s="65"/>
      <c r="F1349" s="66"/>
      <c r="G1349" s="63"/>
      <c r="H1349" s="67"/>
      <c r="I1349" s="68"/>
      <c r="J1349" s="68"/>
      <c r="K1349" s="32"/>
      <c r="L1349" s="75">
        <v>1349</v>
      </c>
      <c r="M1349" s="75"/>
      <c r="N1349" s="70"/>
      <c r="O1349" s="77" t="s">
        <v>179</v>
      </c>
      <c r="P1349" s="79">
        <v>45183.796643518515</v>
      </c>
      <c r="Q1349" s="77" t="s">
        <v>3258</v>
      </c>
      <c r="R1349" s="77">
        <v>0</v>
      </c>
      <c r="S1349" s="77">
        <v>0</v>
      </c>
      <c r="T1349" s="77">
        <v>0</v>
      </c>
      <c r="U1349" s="77">
        <v>0</v>
      </c>
      <c r="V1349" s="77">
        <v>30</v>
      </c>
      <c r="W1349" s="80" t="s">
        <v>6838</v>
      </c>
      <c r="X1349" s="83" t="str">
        <f>HYPERLINK("https://bairesenlinea.com/a-pesar-de-la-disparada-de-la-inflacion-el-banco-central-no-sube-la-tasa-de-plazos-fijos/")</f>
        <v>https://bairesenlinea.com/a-pesar-de-la-disparada-de-la-inflacion-el-banco-central-no-sube-la-tasa-de-plazos-fijos/</v>
      </c>
      <c r="Y1349" s="77" t="s">
        <v>8742</v>
      </c>
      <c r="Z1349" s="77"/>
      <c r="AA1349" s="77"/>
      <c r="AB1349" s="77"/>
      <c r="AC1349" s="80" t="s">
        <v>10541</v>
      </c>
      <c r="AD1349" s="77" t="s">
        <v>10620</v>
      </c>
      <c r="AE1349" s="83" t="str">
        <f>HYPERLINK("https://twitter.com/baireslinea/status/1702398602155377037")</f>
        <v>https://twitter.com/baireslinea/status/1702398602155377037</v>
      </c>
      <c r="AF1349" s="79">
        <v>45183.796643518515</v>
      </c>
      <c r="AG1349" s="85">
        <v>45183</v>
      </c>
      <c r="AH1349" s="80" t="s">
        <v>11807</v>
      </c>
      <c r="AI1349" s="77" t="b">
        <v>0</v>
      </c>
      <c r="AJ1349" s="77"/>
      <c r="AK1349" s="77"/>
      <c r="AL1349" s="77"/>
      <c r="AM1349" s="77"/>
      <c r="AN1349" s="77"/>
      <c r="AO1349" s="77"/>
      <c r="AP1349" s="77"/>
      <c r="AQ1349" s="77"/>
      <c r="AR1349" s="77"/>
      <c r="AS1349" s="77"/>
      <c r="AT1349" s="77"/>
      <c r="AU1349" s="77"/>
      <c r="AV1349" s="83" t="str">
        <f>HYPERLINK("https://pbs.twimg.com/profile_images/1549463651861635076/U27gNkRO_normal.jpg")</f>
        <v>https://pbs.twimg.com/profile_images/1549463651861635076/U27gNkRO_normal.jpg</v>
      </c>
      <c r="AW1349" s="80" t="s">
        <v>17227</v>
      </c>
      <c r="AX1349" s="80" t="s">
        <v>17227</v>
      </c>
      <c r="AY1349" s="77"/>
      <c r="AZ1349" s="80" t="s">
        <v>20380</v>
      </c>
      <c r="BA1349" s="80" t="s">
        <v>20380</v>
      </c>
      <c r="BB1349" s="80" t="s">
        <v>20380</v>
      </c>
      <c r="BC1349" s="80" t="s">
        <v>17227</v>
      </c>
      <c r="BD1349" s="77">
        <v>1722639798</v>
      </c>
      <c r="BE1349" s="77"/>
      <c r="BF1349" s="77"/>
      <c r="BG1349" s="77"/>
      <c r="BH1349" s="77"/>
      <c r="BI1349" s="77"/>
    </row>
    <row r="1350" spans="1:61" x14ac:dyDescent="0.25">
      <c r="A1350" s="62" t="s">
        <v>738</v>
      </c>
      <c r="B1350" s="62" t="s">
        <v>738</v>
      </c>
      <c r="C1350" s="63"/>
      <c r="D1350" s="64"/>
      <c r="E1350" s="65"/>
      <c r="F1350" s="66"/>
      <c r="G1350" s="63"/>
      <c r="H1350" s="67"/>
      <c r="I1350" s="68"/>
      <c r="J1350" s="68"/>
      <c r="K1350" s="32"/>
      <c r="L1350" s="75">
        <v>1350</v>
      </c>
      <c r="M1350" s="75"/>
      <c r="N1350" s="70"/>
      <c r="O1350" s="77" t="s">
        <v>179</v>
      </c>
      <c r="P1350" s="79">
        <v>45131.908206018517</v>
      </c>
      <c r="Q1350" s="77" t="s">
        <v>3259</v>
      </c>
      <c r="R1350" s="77">
        <v>0</v>
      </c>
      <c r="S1350" s="77">
        <v>1</v>
      </c>
      <c r="T1350" s="77">
        <v>0</v>
      </c>
      <c r="U1350" s="77">
        <v>0</v>
      </c>
      <c r="V1350" s="77">
        <v>25</v>
      </c>
      <c r="W1350" s="80" t="s">
        <v>6839</v>
      </c>
      <c r="X1350" s="83" t="str">
        <f>HYPERLINK("https://fxopen.com/blog/en/em-economic-calendar-for-july-24-28-ecb-boj-and-fed-meetings-rebalance-of-the-nasdaq-100-and-q2-earnings-season/")</f>
        <v>https://fxopen.com/blog/en/em-economic-calendar-for-july-24-28-ecb-boj-and-fed-meetings-rebalance-of-the-nasdaq-100-and-q2-earnings-season/</v>
      </c>
      <c r="Y1350" s="77" t="s">
        <v>8743</v>
      </c>
      <c r="Z1350" s="77"/>
      <c r="AA1350" s="77" t="s">
        <v>9497</v>
      </c>
      <c r="AB1350" s="77" t="s">
        <v>10535</v>
      </c>
      <c r="AC1350" s="80" t="s">
        <v>10541</v>
      </c>
      <c r="AD1350" s="77" t="s">
        <v>10617</v>
      </c>
      <c r="AE1350" s="83" t="str">
        <f>HYPERLINK("https://twitter.com/rintaroufx/status/1683594862271053826")</f>
        <v>https://twitter.com/rintaroufx/status/1683594862271053826</v>
      </c>
      <c r="AF1350" s="79">
        <v>45131.908206018517</v>
      </c>
      <c r="AG1350" s="85">
        <v>45131</v>
      </c>
      <c r="AH1350" s="80" t="s">
        <v>11808</v>
      </c>
      <c r="AI1350" s="77" t="b">
        <v>0</v>
      </c>
      <c r="AJ1350" s="77"/>
      <c r="AK1350" s="77"/>
      <c r="AL1350" s="77"/>
      <c r="AM1350" s="77"/>
      <c r="AN1350" s="77"/>
      <c r="AO1350" s="77"/>
      <c r="AP1350" s="77"/>
      <c r="AQ1350" s="77" t="s">
        <v>14979</v>
      </c>
      <c r="AR1350" s="77"/>
      <c r="AS1350" s="77"/>
      <c r="AT1350" s="77"/>
      <c r="AU1350" s="77"/>
      <c r="AV1350" s="83" t="str">
        <f>HYPERLINK("https://pbs.twimg.com/media/F11UhkUXsAALNmw.jpg")</f>
        <v>https://pbs.twimg.com/media/F11UhkUXsAALNmw.jpg</v>
      </c>
      <c r="AW1350" s="80" t="s">
        <v>17228</v>
      </c>
      <c r="AX1350" s="80" t="s">
        <v>17228</v>
      </c>
      <c r="AY1350" s="77"/>
      <c r="AZ1350" s="80" t="s">
        <v>20380</v>
      </c>
      <c r="BA1350" s="80" t="s">
        <v>20380</v>
      </c>
      <c r="BB1350" s="80" t="s">
        <v>20380</v>
      </c>
      <c r="BC1350" s="80" t="s">
        <v>17228</v>
      </c>
      <c r="BD1350" s="80" t="s">
        <v>20739</v>
      </c>
      <c r="BE1350" s="77"/>
      <c r="BF1350" s="77"/>
      <c r="BG1350" s="77"/>
      <c r="BH1350" s="77"/>
      <c r="BI1350" s="77"/>
    </row>
    <row r="1351" spans="1:61" x14ac:dyDescent="0.25">
      <c r="A1351" s="62" t="s">
        <v>739</v>
      </c>
      <c r="B1351" s="62" t="s">
        <v>1596</v>
      </c>
      <c r="C1351" s="63"/>
      <c r="D1351" s="64"/>
      <c r="E1351" s="65"/>
      <c r="F1351" s="66"/>
      <c r="G1351" s="63"/>
      <c r="H1351" s="67"/>
      <c r="I1351" s="68"/>
      <c r="J1351" s="68"/>
      <c r="K1351" s="32"/>
      <c r="L1351" s="75">
        <v>1351</v>
      </c>
      <c r="M1351" s="75"/>
      <c r="N1351" s="70"/>
      <c r="O1351" s="77" t="s">
        <v>2081</v>
      </c>
      <c r="P1351" s="79">
        <v>45189.910486111112</v>
      </c>
      <c r="Q1351" s="77" t="s">
        <v>3260</v>
      </c>
      <c r="R1351" s="77">
        <v>0</v>
      </c>
      <c r="S1351" s="77">
        <v>36</v>
      </c>
      <c r="T1351" s="77">
        <v>5</v>
      </c>
      <c r="U1351" s="77">
        <v>0</v>
      </c>
      <c r="V1351" s="77">
        <v>6048</v>
      </c>
      <c r="W1351" s="80" t="s">
        <v>6008</v>
      </c>
      <c r="X1351" s="83" t="str">
        <f>HYPERLINK("https://www.bcb.gov.br/detalhenoticia/17981/nota")</f>
        <v>https://www.bcb.gov.br/detalhenoticia/17981/nota</v>
      </c>
      <c r="Y1351" s="77" t="s">
        <v>8633</v>
      </c>
      <c r="Z1351" s="77" t="s">
        <v>1596</v>
      </c>
      <c r="AA1351" s="77"/>
      <c r="AB1351" s="77"/>
      <c r="AC1351" s="80" t="s">
        <v>10541</v>
      </c>
      <c r="AD1351" s="77" t="s">
        <v>10620</v>
      </c>
      <c r="AE1351" s="83" t="str">
        <f>HYPERLINK("https://twitter.com/smgestor/status/1704614183826813136")</f>
        <v>https://twitter.com/smgestor/status/1704614183826813136</v>
      </c>
      <c r="AF1351" s="79">
        <v>45189.910486111112</v>
      </c>
      <c r="AG1351" s="85">
        <v>45189</v>
      </c>
      <c r="AH1351" s="80" t="s">
        <v>11809</v>
      </c>
      <c r="AI1351" s="77" t="b">
        <v>0</v>
      </c>
      <c r="AJ1351" s="77"/>
      <c r="AK1351" s="77"/>
      <c r="AL1351" s="77"/>
      <c r="AM1351" s="77"/>
      <c r="AN1351" s="77"/>
      <c r="AO1351" s="77"/>
      <c r="AP1351" s="77"/>
      <c r="AQ1351" s="77"/>
      <c r="AR1351" s="77"/>
      <c r="AS1351" s="77"/>
      <c r="AT1351" s="77"/>
      <c r="AU1351" s="77"/>
      <c r="AV1351" s="83" t="str">
        <f>HYPERLINK("https://pbs.twimg.com/profile_images/1587523640274321408/F7wvetK-_normal.jpg")</f>
        <v>https://pbs.twimg.com/profile_images/1587523640274321408/F7wvetK-_normal.jpg</v>
      </c>
      <c r="AW1351" s="80" t="s">
        <v>17229</v>
      </c>
      <c r="AX1351" s="80" t="s">
        <v>17229</v>
      </c>
      <c r="AY1351" s="77"/>
      <c r="AZ1351" s="80" t="s">
        <v>20380</v>
      </c>
      <c r="BA1351" s="80" t="s">
        <v>20380</v>
      </c>
      <c r="BB1351" s="80" t="s">
        <v>20380</v>
      </c>
      <c r="BC1351" s="80" t="s">
        <v>17229</v>
      </c>
      <c r="BD1351" s="80" t="s">
        <v>20740</v>
      </c>
      <c r="BE1351" s="77"/>
      <c r="BF1351" s="77"/>
      <c r="BG1351" s="77"/>
      <c r="BH1351" s="77"/>
      <c r="BI1351" s="77"/>
    </row>
    <row r="1352" spans="1:61" x14ac:dyDescent="0.25">
      <c r="A1352" s="62" t="s">
        <v>740</v>
      </c>
      <c r="B1352" s="62" t="s">
        <v>740</v>
      </c>
      <c r="C1352" s="63"/>
      <c r="D1352" s="64"/>
      <c r="E1352" s="65"/>
      <c r="F1352" s="66"/>
      <c r="G1352" s="63"/>
      <c r="H1352" s="67"/>
      <c r="I1352" s="68"/>
      <c r="J1352" s="68"/>
      <c r="K1352" s="32"/>
      <c r="L1352" s="75">
        <v>1352</v>
      </c>
      <c r="M1352" s="75"/>
      <c r="N1352" s="70"/>
      <c r="O1352" s="77" t="s">
        <v>2078</v>
      </c>
      <c r="P1352" s="79">
        <v>45113.719884259262</v>
      </c>
      <c r="Q1352" s="77" t="s">
        <v>3261</v>
      </c>
      <c r="R1352" s="77">
        <v>0</v>
      </c>
      <c r="S1352" s="77">
        <v>0</v>
      </c>
      <c r="T1352" s="77">
        <v>0</v>
      </c>
      <c r="U1352" s="77">
        <v>0</v>
      </c>
      <c r="V1352" s="77">
        <v>2</v>
      </c>
      <c r="W1352" s="80" t="s">
        <v>6840</v>
      </c>
      <c r="X1352" s="77"/>
      <c r="Y1352" s="77"/>
      <c r="Z1352" s="77"/>
      <c r="AA1352" s="77"/>
      <c r="AB1352" s="77"/>
      <c r="AC1352" s="80" t="s">
        <v>10541</v>
      </c>
      <c r="AD1352" s="77" t="s">
        <v>10617</v>
      </c>
      <c r="AE1352" s="83" t="str">
        <f>HYPERLINK("https://twitter.com/recuperabrasil_/status/1677003635689914395")</f>
        <v>https://twitter.com/recuperabrasil_/status/1677003635689914395</v>
      </c>
      <c r="AF1352" s="79">
        <v>45113.719884259262</v>
      </c>
      <c r="AG1352" s="85">
        <v>45113</v>
      </c>
      <c r="AH1352" s="80" t="s">
        <v>11810</v>
      </c>
      <c r="AI1352" s="77"/>
      <c r="AJ1352" s="77"/>
      <c r="AK1352" s="77"/>
      <c r="AL1352" s="77"/>
      <c r="AM1352" s="77"/>
      <c r="AN1352" s="77"/>
      <c r="AO1352" s="77"/>
      <c r="AP1352" s="77"/>
      <c r="AQ1352" s="77"/>
      <c r="AR1352" s="77"/>
      <c r="AS1352" s="77"/>
      <c r="AT1352" s="77"/>
      <c r="AU1352" s="77"/>
      <c r="AV1352" s="83" t="str">
        <f>HYPERLINK("https://pbs.twimg.com/profile_images/1651600072566534144/j5Vpd-tH_normal.jpg")</f>
        <v>https://pbs.twimg.com/profile_images/1651600072566534144/j5Vpd-tH_normal.jpg</v>
      </c>
      <c r="AW1352" s="80" t="s">
        <v>17230</v>
      </c>
      <c r="AX1352" s="80" t="s">
        <v>20019</v>
      </c>
      <c r="AY1352" s="80" t="s">
        <v>20271</v>
      </c>
      <c r="AZ1352" s="80" t="s">
        <v>20413</v>
      </c>
      <c r="BA1352" s="80" t="s">
        <v>20380</v>
      </c>
      <c r="BB1352" s="80" t="s">
        <v>20380</v>
      </c>
      <c r="BC1352" s="80" t="s">
        <v>20413</v>
      </c>
      <c r="BD1352" s="80" t="s">
        <v>20271</v>
      </c>
      <c r="BE1352" s="77"/>
      <c r="BF1352" s="77"/>
      <c r="BG1352" s="77"/>
      <c r="BH1352" s="77"/>
      <c r="BI1352" s="77"/>
    </row>
    <row r="1353" spans="1:61" x14ac:dyDescent="0.25">
      <c r="A1353" s="62" t="s">
        <v>740</v>
      </c>
      <c r="B1353" s="62" t="s">
        <v>740</v>
      </c>
      <c r="C1353" s="63"/>
      <c r="D1353" s="64"/>
      <c r="E1353" s="65"/>
      <c r="F1353" s="66"/>
      <c r="G1353" s="63"/>
      <c r="H1353" s="67"/>
      <c r="I1353" s="68"/>
      <c r="J1353" s="68"/>
      <c r="K1353" s="32"/>
      <c r="L1353" s="75">
        <v>1353</v>
      </c>
      <c r="M1353" s="75"/>
      <c r="N1353" s="70"/>
      <c r="O1353" s="77" t="s">
        <v>2078</v>
      </c>
      <c r="P1353" s="79">
        <v>45104.636192129627</v>
      </c>
      <c r="Q1353" s="77" t="s">
        <v>3262</v>
      </c>
      <c r="R1353" s="77">
        <v>0</v>
      </c>
      <c r="S1353" s="77">
        <v>0</v>
      </c>
      <c r="T1353" s="77">
        <v>0</v>
      </c>
      <c r="U1353" s="77">
        <v>0</v>
      </c>
      <c r="V1353" s="77">
        <v>50</v>
      </c>
      <c r="W1353" s="80" t="s">
        <v>6841</v>
      </c>
      <c r="X1353" s="77"/>
      <c r="Y1353" s="77"/>
      <c r="Z1353" s="77"/>
      <c r="AA1353" s="77"/>
      <c r="AB1353" s="77"/>
      <c r="AC1353" s="80" t="s">
        <v>10541</v>
      </c>
      <c r="AD1353" s="77" t="s">
        <v>10617</v>
      </c>
      <c r="AE1353" s="83" t="str">
        <f>HYPERLINK("https://twitter.com/recuperabrasil_/status/1673711814016745473")</f>
        <v>https://twitter.com/recuperabrasil_/status/1673711814016745473</v>
      </c>
      <c r="AF1353" s="79">
        <v>45104.636192129627</v>
      </c>
      <c r="AG1353" s="85">
        <v>45104</v>
      </c>
      <c r="AH1353" s="80" t="s">
        <v>11811</v>
      </c>
      <c r="AI1353" s="77"/>
      <c r="AJ1353" s="77"/>
      <c r="AK1353" s="77"/>
      <c r="AL1353" s="77"/>
      <c r="AM1353" s="77"/>
      <c r="AN1353" s="77"/>
      <c r="AO1353" s="77"/>
      <c r="AP1353" s="77"/>
      <c r="AQ1353" s="77"/>
      <c r="AR1353" s="77"/>
      <c r="AS1353" s="77"/>
      <c r="AT1353" s="77"/>
      <c r="AU1353" s="77"/>
      <c r="AV1353" s="83" t="str">
        <f>HYPERLINK("https://pbs.twimg.com/profile_images/1651600072566534144/j5Vpd-tH_normal.jpg")</f>
        <v>https://pbs.twimg.com/profile_images/1651600072566534144/j5Vpd-tH_normal.jpg</v>
      </c>
      <c r="AW1353" s="80" t="s">
        <v>17231</v>
      </c>
      <c r="AX1353" s="80" t="s">
        <v>20020</v>
      </c>
      <c r="AY1353" s="80" t="s">
        <v>20271</v>
      </c>
      <c r="AZ1353" s="80" t="s">
        <v>20414</v>
      </c>
      <c r="BA1353" s="80" t="s">
        <v>20380</v>
      </c>
      <c r="BB1353" s="80" t="s">
        <v>20380</v>
      </c>
      <c r="BC1353" s="80" t="s">
        <v>20414</v>
      </c>
      <c r="BD1353" s="80" t="s">
        <v>20271</v>
      </c>
      <c r="BE1353" s="77"/>
      <c r="BF1353" s="77"/>
      <c r="BG1353" s="77"/>
      <c r="BH1353" s="77"/>
      <c r="BI1353" s="77"/>
    </row>
    <row r="1354" spans="1:61" x14ac:dyDescent="0.25">
      <c r="A1354" s="62" t="s">
        <v>741</v>
      </c>
      <c r="B1354" s="62" t="s">
        <v>1669</v>
      </c>
      <c r="C1354" s="63"/>
      <c r="D1354" s="64"/>
      <c r="E1354" s="65"/>
      <c r="F1354" s="66"/>
      <c r="G1354" s="63"/>
      <c r="H1354" s="67"/>
      <c r="I1354" s="68"/>
      <c r="J1354" s="68"/>
      <c r="K1354" s="32"/>
      <c r="L1354" s="75">
        <v>1354</v>
      </c>
      <c r="M1354" s="75"/>
      <c r="N1354" s="70"/>
      <c r="O1354" s="77" t="s">
        <v>2081</v>
      </c>
      <c r="P1354" s="79">
        <v>45152.709270833337</v>
      </c>
      <c r="Q1354" s="77" t="s">
        <v>3263</v>
      </c>
      <c r="R1354" s="77">
        <v>0</v>
      </c>
      <c r="S1354" s="77">
        <v>0</v>
      </c>
      <c r="T1354" s="77">
        <v>0</v>
      </c>
      <c r="U1354" s="77">
        <v>0</v>
      </c>
      <c r="V1354" s="77">
        <v>16</v>
      </c>
      <c r="W1354" s="80" t="s">
        <v>6842</v>
      </c>
      <c r="X1354" s="83" t="str">
        <f>HYPERLINK("https://cordobaahora.com/el-central-devalua-fija-el-dolar-oficial-a-350-por-tres-meses-y-sube-la-tasa-al-118/")</f>
        <v>https://cordobaahora.com/el-central-devalua-fija-el-dolar-oficial-a-350-por-tres-meses-y-sube-la-tasa-al-118/</v>
      </c>
      <c r="Y1354" s="77" t="s">
        <v>8744</v>
      </c>
      <c r="Z1354" s="77" t="s">
        <v>1669</v>
      </c>
      <c r="AA1354" s="77"/>
      <c r="AB1354" s="77"/>
      <c r="AC1354" s="80" t="s">
        <v>10541</v>
      </c>
      <c r="AD1354" s="77" t="s">
        <v>10620</v>
      </c>
      <c r="AE1354" s="83" t="str">
        <f>HYPERLINK("https://twitter.com/cordoba_ahora/status/1691132915189534721")</f>
        <v>https://twitter.com/cordoba_ahora/status/1691132915189534721</v>
      </c>
      <c r="AF1354" s="79">
        <v>45152.709270833337</v>
      </c>
      <c r="AG1354" s="85">
        <v>45152</v>
      </c>
      <c r="AH1354" s="80" t="s">
        <v>11812</v>
      </c>
      <c r="AI1354" s="77" t="b">
        <v>0</v>
      </c>
      <c r="AJ1354" s="77"/>
      <c r="AK1354" s="77"/>
      <c r="AL1354" s="77"/>
      <c r="AM1354" s="77"/>
      <c r="AN1354" s="77"/>
      <c r="AO1354" s="77"/>
      <c r="AP1354" s="77"/>
      <c r="AQ1354" s="77"/>
      <c r="AR1354" s="77"/>
      <c r="AS1354" s="77"/>
      <c r="AT1354" s="77"/>
      <c r="AU1354" s="77"/>
      <c r="AV1354" s="83" t="str">
        <f>HYPERLINK("https://pbs.twimg.com/profile_images/1381558528113053700/J57iE0RY_normal.jpg")</f>
        <v>https://pbs.twimg.com/profile_images/1381558528113053700/J57iE0RY_normal.jpg</v>
      </c>
      <c r="AW1354" s="80" t="s">
        <v>17232</v>
      </c>
      <c r="AX1354" s="80" t="s">
        <v>17232</v>
      </c>
      <c r="AY1354" s="77"/>
      <c r="AZ1354" s="80" t="s">
        <v>20380</v>
      </c>
      <c r="BA1354" s="80" t="s">
        <v>20380</v>
      </c>
      <c r="BB1354" s="80" t="s">
        <v>20380</v>
      </c>
      <c r="BC1354" s="80" t="s">
        <v>17232</v>
      </c>
      <c r="BD1354" s="80" t="s">
        <v>20741</v>
      </c>
      <c r="BE1354" s="77"/>
      <c r="BF1354" s="77"/>
      <c r="BG1354" s="77"/>
      <c r="BH1354" s="77"/>
      <c r="BI1354" s="77"/>
    </row>
    <row r="1355" spans="1:61" x14ac:dyDescent="0.25">
      <c r="A1355" s="62" t="s">
        <v>742</v>
      </c>
      <c r="B1355" s="62" t="s">
        <v>742</v>
      </c>
      <c r="C1355" s="63"/>
      <c r="D1355" s="64"/>
      <c r="E1355" s="65"/>
      <c r="F1355" s="66"/>
      <c r="G1355" s="63"/>
      <c r="H1355" s="67"/>
      <c r="I1355" s="68"/>
      <c r="J1355" s="68"/>
      <c r="K1355" s="32"/>
      <c r="L1355" s="75">
        <v>1355</v>
      </c>
      <c r="M1355" s="75"/>
      <c r="N1355" s="70"/>
      <c r="O1355" s="77" t="s">
        <v>179</v>
      </c>
      <c r="P1355" s="79">
        <v>45152.607268518521</v>
      </c>
      <c r="Q1355" s="77" t="s">
        <v>3264</v>
      </c>
      <c r="R1355" s="77">
        <v>0</v>
      </c>
      <c r="S1355" s="77">
        <v>0</v>
      </c>
      <c r="T1355" s="77">
        <v>0</v>
      </c>
      <c r="U1355" s="77">
        <v>0</v>
      </c>
      <c r="V1355" s="77">
        <v>909</v>
      </c>
      <c r="W1355" s="80" t="s">
        <v>6843</v>
      </c>
      <c r="X1355" s="77"/>
      <c r="Y1355" s="77"/>
      <c r="Z1355" s="77"/>
      <c r="AA1355" s="77" t="s">
        <v>9498</v>
      </c>
      <c r="AB1355" s="77" t="s">
        <v>10535</v>
      </c>
      <c r="AC1355" s="80" t="s">
        <v>10541</v>
      </c>
      <c r="AD1355" s="77" t="s">
        <v>10620</v>
      </c>
      <c r="AE1355" s="83" t="str">
        <f>HYPERLINK("https://twitter.com/lacielo1035/status/1691095952357224449")</f>
        <v>https://twitter.com/lacielo1035/status/1691095952357224449</v>
      </c>
      <c r="AF1355" s="79">
        <v>45152.607268518521</v>
      </c>
      <c r="AG1355" s="85">
        <v>45152</v>
      </c>
      <c r="AH1355" s="80" t="s">
        <v>11813</v>
      </c>
      <c r="AI1355" s="77" t="b">
        <v>0</v>
      </c>
      <c r="AJ1355" s="77"/>
      <c r="AK1355" s="77"/>
      <c r="AL1355" s="77"/>
      <c r="AM1355" s="77"/>
      <c r="AN1355" s="77"/>
      <c r="AO1355" s="77"/>
      <c r="AP1355" s="77"/>
      <c r="AQ1355" s="77" t="s">
        <v>14980</v>
      </c>
      <c r="AR1355" s="77"/>
      <c r="AS1355" s="77"/>
      <c r="AT1355" s="77"/>
      <c r="AU1355" s="77"/>
      <c r="AV1355" s="83" t="str">
        <f>HYPERLINK("https://pbs.twimg.com/media/F3f6lspWkAAg0yo.jpg")</f>
        <v>https://pbs.twimg.com/media/F3f6lspWkAAg0yo.jpg</v>
      </c>
      <c r="AW1355" s="80" t="s">
        <v>17233</v>
      </c>
      <c r="AX1355" s="80" t="s">
        <v>17233</v>
      </c>
      <c r="AY1355" s="77"/>
      <c r="AZ1355" s="80" t="s">
        <v>20380</v>
      </c>
      <c r="BA1355" s="80" t="s">
        <v>20380</v>
      </c>
      <c r="BB1355" s="80" t="s">
        <v>20380</v>
      </c>
      <c r="BC1355" s="80" t="s">
        <v>17233</v>
      </c>
      <c r="BD1355" s="77">
        <v>1037124626</v>
      </c>
      <c r="BE1355" s="77"/>
      <c r="BF1355" s="77"/>
      <c r="BG1355" s="77"/>
      <c r="BH1355" s="77"/>
      <c r="BI1355" s="77"/>
    </row>
    <row r="1356" spans="1:61" x14ac:dyDescent="0.25">
      <c r="A1356" s="62" t="s">
        <v>743</v>
      </c>
      <c r="B1356" s="62" t="s">
        <v>743</v>
      </c>
      <c r="C1356" s="63"/>
      <c r="D1356" s="64"/>
      <c r="E1356" s="65"/>
      <c r="F1356" s="66"/>
      <c r="G1356" s="63"/>
      <c r="H1356" s="67"/>
      <c r="I1356" s="68"/>
      <c r="J1356" s="68"/>
      <c r="K1356" s="32"/>
      <c r="L1356" s="75">
        <v>1356</v>
      </c>
      <c r="M1356" s="75"/>
      <c r="N1356" s="70"/>
      <c r="O1356" s="77" t="s">
        <v>179</v>
      </c>
      <c r="P1356" s="79">
        <v>45158.714618055557</v>
      </c>
      <c r="Q1356" s="77" t="s">
        <v>3265</v>
      </c>
      <c r="R1356" s="77">
        <v>0</v>
      </c>
      <c r="S1356" s="77">
        <v>0</v>
      </c>
      <c r="T1356" s="77">
        <v>0</v>
      </c>
      <c r="U1356" s="77">
        <v>0</v>
      </c>
      <c r="V1356" s="77">
        <v>172</v>
      </c>
      <c r="W1356" s="80" t="s">
        <v>6510</v>
      </c>
      <c r="X1356" s="77"/>
      <c r="Y1356" s="77"/>
      <c r="Z1356" s="77"/>
      <c r="AA1356" s="77" t="s">
        <v>9499</v>
      </c>
      <c r="AB1356" s="77" t="s">
        <v>10534</v>
      </c>
      <c r="AC1356" s="80" t="s">
        <v>10541</v>
      </c>
      <c r="AD1356" s="77" t="s">
        <v>10620</v>
      </c>
      <c r="AE1356" s="83" t="str">
        <f>HYPERLINK("https://twitter.com/jorgekurrle/status/1693309181355233408")</f>
        <v>https://twitter.com/jorgekurrle/status/1693309181355233408</v>
      </c>
      <c r="AF1356" s="79">
        <v>45158.714618055557</v>
      </c>
      <c r="AG1356" s="85">
        <v>45158</v>
      </c>
      <c r="AH1356" s="80" t="s">
        <v>11814</v>
      </c>
      <c r="AI1356" s="77" t="b">
        <v>0</v>
      </c>
      <c r="AJ1356" s="77"/>
      <c r="AK1356" s="77"/>
      <c r="AL1356" s="77"/>
      <c r="AM1356" s="77"/>
      <c r="AN1356" s="77"/>
      <c r="AO1356" s="77"/>
      <c r="AP1356" s="77"/>
      <c r="AQ1356" s="77" t="s">
        <v>14981</v>
      </c>
      <c r="AR1356" s="77">
        <v>135803</v>
      </c>
      <c r="AS1356" s="77"/>
      <c r="AT1356" s="77"/>
      <c r="AU1356" s="77"/>
      <c r="AV1356" s="83" t="str">
        <f>HYPERLINK("https://pbs.twimg.com/ext_tw_video_thumb/1693309042188283906/pu/img/WIXDMvvkEHyuMrtF.jpg")</f>
        <v>https://pbs.twimg.com/ext_tw_video_thumb/1693309042188283906/pu/img/WIXDMvvkEHyuMrtF.jpg</v>
      </c>
      <c r="AW1356" s="80" t="s">
        <v>17234</v>
      </c>
      <c r="AX1356" s="80" t="s">
        <v>17234</v>
      </c>
      <c r="AY1356" s="77"/>
      <c r="AZ1356" s="80" t="s">
        <v>20380</v>
      </c>
      <c r="BA1356" s="80" t="s">
        <v>20380</v>
      </c>
      <c r="BB1356" s="80" t="s">
        <v>20380</v>
      </c>
      <c r="BC1356" s="80" t="s">
        <v>17234</v>
      </c>
      <c r="BD1356" s="77">
        <v>190622905</v>
      </c>
      <c r="BE1356" s="77"/>
      <c r="BF1356" s="77"/>
      <c r="BG1356" s="77"/>
      <c r="BH1356" s="77"/>
      <c r="BI1356" s="77"/>
    </row>
    <row r="1357" spans="1:61" x14ac:dyDescent="0.25">
      <c r="A1357" s="62" t="s">
        <v>744</v>
      </c>
      <c r="B1357" s="62" t="s">
        <v>744</v>
      </c>
      <c r="C1357" s="63"/>
      <c r="D1357" s="64"/>
      <c r="E1357" s="65"/>
      <c r="F1357" s="66"/>
      <c r="G1357" s="63"/>
      <c r="H1357" s="67"/>
      <c r="I1357" s="68"/>
      <c r="J1357" s="68"/>
      <c r="K1357" s="32"/>
      <c r="L1357" s="75">
        <v>1357</v>
      </c>
      <c r="M1357" s="75"/>
      <c r="N1357" s="70"/>
      <c r="O1357" s="77" t="s">
        <v>179</v>
      </c>
      <c r="P1357" s="79">
        <v>45145.824363425927</v>
      </c>
      <c r="Q1357" s="77" t="s">
        <v>3266</v>
      </c>
      <c r="R1357" s="77">
        <v>0</v>
      </c>
      <c r="S1357" s="77">
        <v>0</v>
      </c>
      <c r="T1357" s="77">
        <v>0</v>
      </c>
      <c r="U1357" s="77">
        <v>0</v>
      </c>
      <c r="V1357" s="77">
        <v>96</v>
      </c>
      <c r="W1357" s="80" t="s">
        <v>6844</v>
      </c>
      <c r="X1357" s="83" t="str">
        <f>HYPERLINK("https://www.dolarlido.com/inflacion-en-2023-llega-a-115-comunicaciones-educacion-hoteles-y-restaurantes-y-salud-son-los-sectores-con-mas-aumentos-dolar/")</f>
        <v>https://www.dolarlido.com/inflacion-en-2023-llega-a-115-comunicaciones-educacion-hoteles-y-restaurantes-y-salud-son-los-sectores-con-mas-aumentos-dolar/</v>
      </c>
      <c r="Y1357" s="77" t="s">
        <v>8745</v>
      </c>
      <c r="Z1357" s="77"/>
      <c r="AA1357" s="77"/>
      <c r="AB1357" s="77"/>
      <c r="AC1357" s="80" t="s">
        <v>10540</v>
      </c>
      <c r="AD1357" s="77" t="s">
        <v>10620</v>
      </c>
      <c r="AE1357" s="83" t="str">
        <f>HYPERLINK("https://twitter.com/dolarlido/status/1688637907379093504")</f>
        <v>https://twitter.com/dolarlido/status/1688637907379093504</v>
      </c>
      <c r="AF1357" s="79">
        <v>45145.824363425927</v>
      </c>
      <c r="AG1357" s="85">
        <v>45145</v>
      </c>
      <c r="AH1357" s="80" t="s">
        <v>11815</v>
      </c>
      <c r="AI1357" s="77" t="b">
        <v>0</v>
      </c>
      <c r="AJ1357" s="77"/>
      <c r="AK1357" s="77"/>
      <c r="AL1357" s="77"/>
      <c r="AM1357" s="77"/>
      <c r="AN1357" s="77"/>
      <c r="AO1357" s="77"/>
      <c r="AP1357" s="77"/>
      <c r="AQ1357" s="77"/>
      <c r="AR1357" s="77"/>
      <c r="AS1357" s="77"/>
      <c r="AT1357" s="77"/>
      <c r="AU1357" s="77"/>
      <c r="AV1357" s="83" t="str">
        <f>HYPERLINK("https://pbs.twimg.com/profile_images/988396751429267456/j_8bJ2ST_normal.jpg")</f>
        <v>https://pbs.twimg.com/profile_images/988396751429267456/j_8bJ2ST_normal.jpg</v>
      </c>
      <c r="AW1357" s="80" t="s">
        <v>17235</v>
      </c>
      <c r="AX1357" s="80" t="s">
        <v>17235</v>
      </c>
      <c r="AY1357" s="77"/>
      <c r="AZ1357" s="80" t="s">
        <v>20380</v>
      </c>
      <c r="BA1357" s="80" t="s">
        <v>20380</v>
      </c>
      <c r="BB1357" s="80" t="s">
        <v>20380</v>
      </c>
      <c r="BC1357" s="80" t="s">
        <v>17235</v>
      </c>
      <c r="BD1357" s="77">
        <v>1494862898</v>
      </c>
      <c r="BE1357" s="77"/>
      <c r="BF1357" s="77"/>
      <c r="BG1357" s="77"/>
      <c r="BH1357" s="77"/>
      <c r="BI1357" s="77"/>
    </row>
    <row r="1358" spans="1:61" x14ac:dyDescent="0.25">
      <c r="A1358" s="62" t="s">
        <v>745</v>
      </c>
      <c r="B1358" s="62" t="s">
        <v>745</v>
      </c>
      <c r="C1358" s="63"/>
      <c r="D1358" s="64"/>
      <c r="E1358" s="65"/>
      <c r="F1358" s="66"/>
      <c r="G1358" s="63"/>
      <c r="H1358" s="67"/>
      <c r="I1358" s="68"/>
      <c r="J1358" s="68"/>
      <c r="K1358" s="32"/>
      <c r="L1358" s="75">
        <v>1358</v>
      </c>
      <c r="M1358" s="75"/>
      <c r="N1358" s="70"/>
      <c r="O1358" s="77" t="s">
        <v>179</v>
      </c>
      <c r="P1358" s="79">
        <v>45149.76662037037</v>
      </c>
      <c r="Q1358" s="77" t="s">
        <v>3267</v>
      </c>
      <c r="R1358" s="77">
        <v>0</v>
      </c>
      <c r="S1358" s="77">
        <v>1</v>
      </c>
      <c r="T1358" s="77">
        <v>0</v>
      </c>
      <c r="U1358" s="77">
        <v>0</v>
      </c>
      <c r="V1358" s="77">
        <v>529</v>
      </c>
      <c r="W1358" s="80" t="s">
        <v>6845</v>
      </c>
      <c r="X1358" s="83" t="str">
        <f>HYPERLINK("https://www.meiahora.com.br/geral/2023/08/6689141-presidente-do-banco-central-reitera-que-objetivo-da-instituicao-e-combater-inflacao-com-pouso-suave-na-economia.html")</f>
        <v>https://www.meiahora.com.br/geral/2023/08/6689141-presidente-do-banco-central-reitera-que-objetivo-da-instituicao-e-combater-inflacao-com-pouso-suave-na-economia.html</v>
      </c>
      <c r="Y1358" s="77" t="s">
        <v>8611</v>
      </c>
      <c r="Z1358" s="77"/>
      <c r="AA1358" s="77"/>
      <c r="AB1358" s="77"/>
      <c r="AC1358" s="80" t="s">
        <v>10541</v>
      </c>
      <c r="AD1358" s="77" t="s">
        <v>10617</v>
      </c>
      <c r="AE1358" s="83" t="str">
        <f>HYPERLINK("https://twitter.com/meiahora/status/1690066536860471297")</f>
        <v>https://twitter.com/meiahora/status/1690066536860471297</v>
      </c>
      <c r="AF1358" s="79">
        <v>45149.76662037037</v>
      </c>
      <c r="AG1358" s="85">
        <v>45149</v>
      </c>
      <c r="AH1358" s="80" t="s">
        <v>11816</v>
      </c>
      <c r="AI1358" s="77" t="b">
        <v>0</v>
      </c>
      <c r="AJ1358" s="77"/>
      <c r="AK1358" s="77"/>
      <c r="AL1358" s="77"/>
      <c r="AM1358" s="77"/>
      <c r="AN1358" s="77"/>
      <c r="AO1358" s="77"/>
      <c r="AP1358" s="77"/>
      <c r="AQ1358" s="77"/>
      <c r="AR1358" s="77"/>
      <c r="AS1358" s="77"/>
      <c r="AT1358" s="77"/>
      <c r="AU1358" s="77"/>
      <c r="AV1358" s="83" t="str">
        <f>HYPERLINK("https://pbs.twimg.com/profile_images/1080512434635501569/kuYSZzx-_normal.jpg")</f>
        <v>https://pbs.twimg.com/profile_images/1080512434635501569/kuYSZzx-_normal.jpg</v>
      </c>
      <c r="AW1358" s="80" t="s">
        <v>17236</v>
      </c>
      <c r="AX1358" s="80" t="s">
        <v>17236</v>
      </c>
      <c r="AY1358" s="77"/>
      <c r="AZ1358" s="80" t="s">
        <v>20380</v>
      </c>
      <c r="BA1358" s="80" t="s">
        <v>20380</v>
      </c>
      <c r="BB1358" s="80" t="s">
        <v>20380</v>
      </c>
      <c r="BC1358" s="80" t="s">
        <v>17236</v>
      </c>
      <c r="BD1358" s="77">
        <v>20766595</v>
      </c>
      <c r="BE1358" s="77"/>
      <c r="BF1358" s="77"/>
      <c r="BG1358" s="77"/>
      <c r="BH1358" s="77"/>
      <c r="BI1358" s="77"/>
    </row>
    <row r="1359" spans="1:61" x14ac:dyDescent="0.25">
      <c r="A1359" s="62" t="s">
        <v>746</v>
      </c>
      <c r="B1359" s="62" t="s">
        <v>746</v>
      </c>
      <c r="C1359" s="63"/>
      <c r="D1359" s="64"/>
      <c r="E1359" s="65"/>
      <c r="F1359" s="66"/>
      <c r="G1359" s="63"/>
      <c r="H1359" s="67"/>
      <c r="I1359" s="68"/>
      <c r="J1359" s="68"/>
      <c r="K1359" s="32"/>
      <c r="L1359" s="75">
        <v>1359</v>
      </c>
      <c r="M1359" s="75"/>
      <c r="N1359" s="70"/>
      <c r="O1359" s="77" t="s">
        <v>179</v>
      </c>
      <c r="P1359" s="79">
        <v>45173.753472222219</v>
      </c>
      <c r="Q1359" s="77" t="s">
        <v>3268</v>
      </c>
      <c r="R1359" s="77">
        <v>0</v>
      </c>
      <c r="S1359" s="77">
        <v>0</v>
      </c>
      <c r="T1359" s="77">
        <v>0</v>
      </c>
      <c r="U1359" s="77">
        <v>0</v>
      </c>
      <c r="V1359" s="77">
        <v>6</v>
      </c>
      <c r="W1359" s="80" t="s">
        <v>6250</v>
      </c>
      <c r="X1359" s="83" t="str">
        <f>HYPERLINK("https://tagnoticias.com.br/pix-de-r-12-bilhao-feito-em-dezembro-de-2022-foi-o-maior-valor-ja-registrado-no-banco-central/")</f>
        <v>https://tagnoticias.com.br/pix-de-r-12-bilhao-feito-em-dezembro-de-2022-foi-o-maior-valor-ja-registrado-no-banco-central/</v>
      </c>
      <c r="Y1359" s="77" t="s">
        <v>8611</v>
      </c>
      <c r="Z1359" s="77"/>
      <c r="AA1359" s="77"/>
      <c r="AB1359" s="77"/>
      <c r="AC1359" s="80" t="s">
        <v>10541</v>
      </c>
      <c r="AD1359" s="77" t="s">
        <v>10617</v>
      </c>
      <c r="AE1359" s="83" t="str">
        <f>HYPERLINK("https://twitter.com/tagnoticias/status/1698759078628003940")</f>
        <v>https://twitter.com/tagnoticias/status/1698759078628003940</v>
      </c>
      <c r="AF1359" s="79">
        <v>45173.753472222219</v>
      </c>
      <c r="AG1359" s="85">
        <v>45173</v>
      </c>
      <c r="AH1359" s="80" t="s">
        <v>11817</v>
      </c>
      <c r="AI1359" s="77" t="b">
        <v>0</v>
      </c>
      <c r="AJ1359" s="77"/>
      <c r="AK1359" s="77"/>
      <c r="AL1359" s="77"/>
      <c r="AM1359" s="77"/>
      <c r="AN1359" s="77"/>
      <c r="AO1359" s="77"/>
      <c r="AP1359" s="77"/>
      <c r="AQ1359" s="77"/>
      <c r="AR1359" s="77"/>
      <c r="AS1359" s="77"/>
      <c r="AT1359" s="77"/>
      <c r="AU1359" s="77"/>
      <c r="AV1359" s="83" t="str">
        <f>HYPERLINK("https://pbs.twimg.com/profile_images/1700596722433499137/3gnqLn6a_normal.png")</f>
        <v>https://pbs.twimg.com/profile_images/1700596722433499137/3gnqLn6a_normal.png</v>
      </c>
      <c r="AW1359" s="80" t="s">
        <v>17237</v>
      </c>
      <c r="AX1359" s="80" t="s">
        <v>17237</v>
      </c>
      <c r="AY1359" s="77"/>
      <c r="AZ1359" s="80" t="s">
        <v>20380</v>
      </c>
      <c r="BA1359" s="80" t="s">
        <v>20380</v>
      </c>
      <c r="BB1359" s="80" t="s">
        <v>20380</v>
      </c>
      <c r="BC1359" s="80" t="s">
        <v>17237</v>
      </c>
      <c r="BD1359" s="80" t="s">
        <v>20742</v>
      </c>
      <c r="BE1359" s="77"/>
      <c r="BF1359" s="77"/>
      <c r="BG1359" s="77"/>
      <c r="BH1359" s="77"/>
      <c r="BI1359" s="77"/>
    </row>
    <row r="1360" spans="1:61" x14ac:dyDescent="0.25">
      <c r="A1360" s="62" t="s">
        <v>747</v>
      </c>
      <c r="B1360" s="62" t="s">
        <v>747</v>
      </c>
      <c r="C1360" s="63"/>
      <c r="D1360" s="64"/>
      <c r="E1360" s="65"/>
      <c r="F1360" s="66"/>
      <c r="G1360" s="63"/>
      <c r="H1360" s="67"/>
      <c r="I1360" s="68"/>
      <c r="J1360" s="68"/>
      <c r="K1360" s="32"/>
      <c r="L1360" s="75">
        <v>1360</v>
      </c>
      <c r="M1360" s="75"/>
      <c r="N1360" s="70"/>
      <c r="O1360" s="77" t="s">
        <v>179</v>
      </c>
      <c r="P1360" s="79">
        <v>45176.050925925927</v>
      </c>
      <c r="Q1360" s="77" t="s">
        <v>3269</v>
      </c>
      <c r="R1360" s="77">
        <v>0</v>
      </c>
      <c r="S1360" s="77">
        <v>0</v>
      </c>
      <c r="T1360" s="77">
        <v>1</v>
      </c>
      <c r="U1360" s="77">
        <v>0</v>
      </c>
      <c r="V1360" s="77">
        <v>17</v>
      </c>
      <c r="W1360" s="80" t="s">
        <v>6846</v>
      </c>
      <c r="X1360" s="83" t="str">
        <f>HYPERLINK("https://rothbardbrasil.com/como-uma-moeda-digital-do-banco-central-criou-o-caos-e-a-pobreza-na-nigeria/")</f>
        <v>https://rothbardbrasil.com/como-uma-moeda-digital-do-banco-central-criou-o-caos-e-a-pobreza-na-nigeria/</v>
      </c>
      <c r="Y1360" s="77" t="s">
        <v>8746</v>
      </c>
      <c r="Z1360" s="77"/>
      <c r="AA1360" s="77"/>
      <c r="AB1360" s="77"/>
      <c r="AC1360" s="80" t="s">
        <v>10541</v>
      </c>
      <c r="AD1360" s="77" t="s">
        <v>10617</v>
      </c>
      <c r="AE1360" s="83" t="str">
        <f>HYPERLINK("https://twitter.com/robersoncassol/status/1699591647548346649")</f>
        <v>https://twitter.com/robersoncassol/status/1699591647548346649</v>
      </c>
      <c r="AF1360" s="79">
        <v>45176.050925925927</v>
      </c>
      <c r="AG1360" s="85">
        <v>45176</v>
      </c>
      <c r="AH1360" s="80" t="s">
        <v>11818</v>
      </c>
      <c r="AI1360" s="77" t="b">
        <v>0</v>
      </c>
      <c r="AJ1360" s="77"/>
      <c r="AK1360" s="77"/>
      <c r="AL1360" s="77"/>
      <c r="AM1360" s="77"/>
      <c r="AN1360" s="77"/>
      <c r="AO1360" s="77"/>
      <c r="AP1360" s="77"/>
      <c r="AQ1360" s="77"/>
      <c r="AR1360" s="77"/>
      <c r="AS1360" s="77"/>
      <c r="AT1360" s="77"/>
      <c r="AU1360" s="77"/>
      <c r="AV1360" s="83" t="str">
        <f>HYPERLINK("https://pbs.twimg.com/profile_images/1348463351819620355/Fw_bONDq_normal.jpg")</f>
        <v>https://pbs.twimg.com/profile_images/1348463351819620355/Fw_bONDq_normal.jpg</v>
      </c>
      <c r="AW1360" s="80" t="s">
        <v>17238</v>
      </c>
      <c r="AX1360" s="80" t="s">
        <v>17238</v>
      </c>
      <c r="AY1360" s="77"/>
      <c r="AZ1360" s="80" t="s">
        <v>20380</v>
      </c>
      <c r="BA1360" s="80" t="s">
        <v>20380</v>
      </c>
      <c r="BB1360" s="80" t="s">
        <v>20380</v>
      </c>
      <c r="BC1360" s="80" t="s">
        <v>17238</v>
      </c>
      <c r="BD1360" s="77">
        <v>21046784</v>
      </c>
      <c r="BE1360" s="77"/>
      <c r="BF1360" s="77"/>
      <c r="BG1360" s="77"/>
      <c r="BH1360" s="77"/>
      <c r="BI1360" s="77"/>
    </row>
    <row r="1361" spans="1:61" x14ac:dyDescent="0.25">
      <c r="A1361" s="62" t="s">
        <v>748</v>
      </c>
      <c r="B1361" s="62" t="s">
        <v>1655</v>
      </c>
      <c r="C1361" s="63"/>
      <c r="D1361" s="64"/>
      <c r="E1361" s="65"/>
      <c r="F1361" s="66"/>
      <c r="G1361" s="63"/>
      <c r="H1361" s="67"/>
      <c r="I1361" s="68"/>
      <c r="J1361" s="68"/>
      <c r="K1361" s="32"/>
      <c r="L1361" s="75">
        <v>1361</v>
      </c>
      <c r="M1361" s="75"/>
      <c r="N1361" s="70"/>
      <c r="O1361" s="77" t="s">
        <v>2083</v>
      </c>
      <c r="P1361" s="79">
        <v>45191.75341435185</v>
      </c>
      <c r="Q1361" s="77" t="s">
        <v>2120</v>
      </c>
      <c r="R1361" s="77">
        <v>57</v>
      </c>
      <c r="S1361" s="77">
        <v>0</v>
      </c>
      <c r="T1361" s="77">
        <v>0</v>
      </c>
      <c r="U1361" s="77">
        <v>0</v>
      </c>
      <c r="V1361" s="77"/>
      <c r="W1361" s="80" t="s">
        <v>5917</v>
      </c>
      <c r="X1361" s="77"/>
      <c r="Y1361" s="77"/>
      <c r="Z1361" s="77" t="s">
        <v>1655</v>
      </c>
      <c r="AA1361" s="77"/>
      <c r="AB1361" s="77"/>
      <c r="AC1361" s="80" t="s">
        <v>10540</v>
      </c>
      <c r="AD1361" s="77" t="s">
        <v>10617</v>
      </c>
      <c r="AE1361" s="83" t="str">
        <f>HYPERLINK("https://twitter.com/anamarialemete2/status/1705282041460211771")</f>
        <v>https://twitter.com/anamarialemete2/status/1705282041460211771</v>
      </c>
      <c r="AF1361" s="79">
        <v>45191.75341435185</v>
      </c>
      <c r="AG1361" s="85">
        <v>45191</v>
      </c>
      <c r="AH1361" s="80" t="s">
        <v>11819</v>
      </c>
      <c r="AI1361" s="77"/>
      <c r="AJ1361" s="77"/>
      <c r="AK1361" s="77"/>
      <c r="AL1361" s="77"/>
      <c r="AM1361" s="77"/>
      <c r="AN1361" s="77"/>
      <c r="AO1361" s="77"/>
      <c r="AP1361" s="77"/>
      <c r="AQ1361" s="77"/>
      <c r="AR1361" s="77"/>
      <c r="AS1361" s="77"/>
      <c r="AT1361" s="77"/>
      <c r="AU1361" s="77"/>
      <c r="AV1361" s="83" t="str">
        <f>HYPERLINK("https://pbs.twimg.com/profile_images/1660436438696050688/xCKLS7PO_normal.jpg")</f>
        <v>https://pbs.twimg.com/profile_images/1660436438696050688/xCKLS7PO_normal.jpg</v>
      </c>
      <c r="AW1361" s="80" t="s">
        <v>17239</v>
      </c>
      <c r="AX1361" s="80" t="s">
        <v>17239</v>
      </c>
      <c r="AY1361" s="77"/>
      <c r="AZ1361" s="80" t="s">
        <v>20380</v>
      </c>
      <c r="BA1361" s="80" t="s">
        <v>20380</v>
      </c>
      <c r="BB1361" s="80" t="s">
        <v>19843</v>
      </c>
      <c r="BC1361" s="80" t="s">
        <v>19843</v>
      </c>
      <c r="BD1361" s="80" t="s">
        <v>20743</v>
      </c>
      <c r="BE1361" s="77"/>
      <c r="BF1361" s="77"/>
      <c r="BG1361" s="77"/>
      <c r="BH1361" s="77"/>
      <c r="BI1361" s="77"/>
    </row>
    <row r="1362" spans="1:61" x14ac:dyDescent="0.25">
      <c r="A1362" s="62" t="s">
        <v>749</v>
      </c>
      <c r="B1362" s="62" t="s">
        <v>749</v>
      </c>
      <c r="C1362" s="63"/>
      <c r="D1362" s="64"/>
      <c r="E1362" s="65"/>
      <c r="F1362" s="66"/>
      <c r="G1362" s="63"/>
      <c r="H1362" s="67"/>
      <c r="I1362" s="68"/>
      <c r="J1362" s="68"/>
      <c r="K1362" s="32"/>
      <c r="L1362" s="75">
        <v>1362</v>
      </c>
      <c r="M1362" s="75"/>
      <c r="N1362" s="70"/>
      <c r="O1362" s="77" t="s">
        <v>179</v>
      </c>
      <c r="P1362" s="79">
        <v>45139.866539351853</v>
      </c>
      <c r="Q1362" s="77" t="s">
        <v>3270</v>
      </c>
      <c r="R1362" s="77">
        <v>0</v>
      </c>
      <c r="S1362" s="77">
        <v>0</v>
      </c>
      <c r="T1362" s="77">
        <v>0</v>
      </c>
      <c r="U1362" s="77">
        <v>0</v>
      </c>
      <c r="V1362" s="77">
        <v>22</v>
      </c>
      <c r="W1362" s="80" t="s">
        <v>6847</v>
      </c>
      <c r="X1362" s="77"/>
      <c r="Y1362" s="77"/>
      <c r="Z1362" s="77"/>
      <c r="AA1362" s="77"/>
      <c r="AB1362" s="77"/>
      <c r="AC1362" s="80" t="s">
        <v>10541</v>
      </c>
      <c r="AD1362" s="77" t="s">
        <v>10620</v>
      </c>
      <c r="AE1362" s="83" t="str">
        <f>HYPERLINK("https://twitter.com/voces101/status/1686478865609170944")</f>
        <v>https://twitter.com/voces101/status/1686478865609170944</v>
      </c>
      <c r="AF1362" s="79">
        <v>45139.866539351853</v>
      </c>
      <c r="AG1362" s="85">
        <v>45139</v>
      </c>
      <c r="AH1362" s="80" t="s">
        <v>11820</v>
      </c>
      <c r="AI1362" s="77"/>
      <c r="AJ1362" s="77"/>
      <c r="AK1362" s="77"/>
      <c r="AL1362" s="77"/>
      <c r="AM1362" s="77"/>
      <c r="AN1362" s="77"/>
      <c r="AO1362" s="77"/>
      <c r="AP1362" s="77"/>
      <c r="AQ1362" s="77"/>
      <c r="AR1362" s="77"/>
      <c r="AS1362" s="77"/>
      <c r="AT1362" s="77"/>
      <c r="AU1362" s="77"/>
      <c r="AV1362" s="83" t="str">
        <f>HYPERLINK("https://pbs.twimg.com/profile_images/1653839139941261343/uNIE79ss_normal.jpg")</f>
        <v>https://pbs.twimg.com/profile_images/1653839139941261343/uNIE79ss_normal.jpg</v>
      </c>
      <c r="AW1362" s="80" t="s">
        <v>17240</v>
      </c>
      <c r="AX1362" s="80" t="s">
        <v>17240</v>
      </c>
      <c r="AY1362" s="77"/>
      <c r="AZ1362" s="80" t="s">
        <v>20380</v>
      </c>
      <c r="BA1362" s="80" t="s">
        <v>20380</v>
      </c>
      <c r="BB1362" s="80" t="s">
        <v>20380</v>
      </c>
      <c r="BC1362" s="80" t="s">
        <v>17240</v>
      </c>
      <c r="BD1362" s="80" t="s">
        <v>20744</v>
      </c>
      <c r="BE1362" s="77"/>
      <c r="BF1362" s="77"/>
      <c r="BG1362" s="77"/>
      <c r="BH1362" s="77"/>
      <c r="BI1362" s="77"/>
    </row>
    <row r="1363" spans="1:61" x14ac:dyDescent="0.25">
      <c r="A1363" s="62" t="s">
        <v>750</v>
      </c>
      <c r="B1363" s="62" t="s">
        <v>1681</v>
      </c>
      <c r="C1363" s="63"/>
      <c r="D1363" s="64"/>
      <c r="E1363" s="65"/>
      <c r="F1363" s="66"/>
      <c r="G1363" s="63"/>
      <c r="H1363" s="67"/>
      <c r="I1363" s="68"/>
      <c r="J1363" s="68"/>
      <c r="K1363" s="32"/>
      <c r="L1363" s="75">
        <v>1363</v>
      </c>
      <c r="M1363" s="75"/>
      <c r="N1363" s="70"/>
      <c r="O1363" s="77" t="s">
        <v>2083</v>
      </c>
      <c r="P1363" s="79">
        <v>45192.900081018517</v>
      </c>
      <c r="Q1363" s="77" t="s">
        <v>2237</v>
      </c>
      <c r="R1363" s="77">
        <v>18</v>
      </c>
      <c r="S1363" s="77">
        <v>0</v>
      </c>
      <c r="T1363" s="77">
        <v>0</v>
      </c>
      <c r="U1363" s="77">
        <v>0</v>
      </c>
      <c r="V1363" s="77"/>
      <c r="W1363" s="80" t="s">
        <v>6018</v>
      </c>
      <c r="X1363" s="77"/>
      <c r="Y1363" s="77"/>
      <c r="Z1363" s="77" t="s">
        <v>1681</v>
      </c>
      <c r="AA1363" s="77"/>
      <c r="AB1363" s="77"/>
      <c r="AC1363" s="80" t="s">
        <v>10542</v>
      </c>
      <c r="AD1363" s="77" t="s">
        <v>10617</v>
      </c>
      <c r="AE1363" s="83" t="str">
        <f>HYPERLINK("https://twitter.com/jurandirsocolo1/status/1705697578656915769")</f>
        <v>https://twitter.com/jurandirsocolo1/status/1705697578656915769</v>
      </c>
      <c r="AF1363" s="79">
        <v>45192.900081018517</v>
      </c>
      <c r="AG1363" s="85">
        <v>45192</v>
      </c>
      <c r="AH1363" s="80" t="s">
        <v>11821</v>
      </c>
      <c r="AI1363" s="77"/>
      <c r="AJ1363" s="77"/>
      <c r="AK1363" s="77"/>
      <c r="AL1363" s="77"/>
      <c r="AM1363" s="77"/>
      <c r="AN1363" s="77"/>
      <c r="AO1363" s="77"/>
      <c r="AP1363" s="77"/>
      <c r="AQ1363" s="77"/>
      <c r="AR1363" s="77"/>
      <c r="AS1363" s="77"/>
      <c r="AT1363" s="77"/>
      <c r="AU1363" s="77"/>
      <c r="AV1363" s="83" t="str">
        <f>HYPERLINK("https://pbs.twimg.com/profile_images/1277718802390753292/R_fWakMe_normal.jpg")</f>
        <v>https://pbs.twimg.com/profile_images/1277718802390753292/R_fWakMe_normal.jpg</v>
      </c>
      <c r="AW1363" s="80" t="s">
        <v>17241</v>
      </c>
      <c r="AX1363" s="80" t="s">
        <v>17241</v>
      </c>
      <c r="AY1363" s="77"/>
      <c r="AZ1363" s="80" t="s">
        <v>20380</v>
      </c>
      <c r="BA1363" s="80" t="s">
        <v>20380</v>
      </c>
      <c r="BB1363" s="80" t="s">
        <v>19932</v>
      </c>
      <c r="BC1363" s="80" t="s">
        <v>19932</v>
      </c>
      <c r="BD1363" s="80" t="s">
        <v>20745</v>
      </c>
      <c r="BE1363" s="77"/>
      <c r="BF1363" s="77"/>
      <c r="BG1363" s="77"/>
      <c r="BH1363" s="77"/>
      <c r="BI1363" s="77"/>
    </row>
    <row r="1364" spans="1:61" x14ac:dyDescent="0.25">
      <c r="A1364" s="62" t="s">
        <v>751</v>
      </c>
      <c r="B1364" s="62" t="s">
        <v>751</v>
      </c>
      <c r="C1364" s="63"/>
      <c r="D1364" s="64"/>
      <c r="E1364" s="65"/>
      <c r="F1364" s="66"/>
      <c r="G1364" s="63"/>
      <c r="H1364" s="67"/>
      <c r="I1364" s="68"/>
      <c r="J1364" s="68"/>
      <c r="K1364" s="32"/>
      <c r="L1364" s="75">
        <v>1364</v>
      </c>
      <c r="M1364" s="75"/>
      <c r="N1364" s="70"/>
      <c r="O1364" s="77" t="s">
        <v>179</v>
      </c>
      <c r="P1364" s="79">
        <v>45086.799537037034</v>
      </c>
      <c r="Q1364" s="77" t="s">
        <v>3271</v>
      </c>
      <c r="R1364" s="77">
        <v>0</v>
      </c>
      <c r="S1364" s="77">
        <v>0</v>
      </c>
      <c r="T1364" s="77">
        <v>0</v>
      </c>
      <c r="U1364" s="77">
        <v>0</v>
      </c>
      <c r="V1364" s="77">
        <v>49</v>
      </c>
      <c r="W1364" s="80" t="s">
        <v>6848</v>
      </c>
      <c r="X1364" s="77"/>
      <c r="Y1364" s="77"/>
      <c r="Z1364" s="77"/>
      <c r="AA1364" s="77" t="s">
        <v>9500</v>
      </c>
      <c r="AB1364" s="77" t="s">
        <v>10535</v>
      </c>
      <c r="AC1364" s="80" t="s">
        <v>10540</v>
      </c>
      <c r="AD1364" s="77" t="s">
        <v>10617</v>
      </c>
      <c r="AE1364" s="83" t="str">
        <f>HYPERLINK("https://twitter.com/gylk/status/1667248027579367424")</f>
        <v>https://twitter.com/gylk/status/1667248027579367424</v>
      </c>
      <c r="AF1364" s="79">
        <v>45086.799537037034</v>
      </c>
      <c r="AG1364" s="85">
        <v>45086</v>
      </c>
      <c r="AH1364" s="80" t="s">
        <v>11822</v>
      </c>
      <c r="AI1364" s="77" t="b">
        <v>0</v>
      </c>
      <c r="AJ1364" s="77" t="s">
        <v>14356</v>
      </c>
      <c r="AK1364" s="77" t="s">
        <v>14382</v>
      </c>
      <c r="AL1364" s="77" t="s">
        <v>14391</v>
      </c>
      <c r="AM1364" s="77" t="s">
        <v>14413</v>
      </c>
      <c r="AN1364" s="77" t="s">
        <v>14453</v>
      </c>
      <c r="AO1364" s="77" t="s">
        <v>14492</v>
      </c>
      <c r="AP1364" s="77" t="s">
        <v>14516</v>
      </c>
      <c r="AQ1364" s="77" t="s">
        <v>14982</v>
      </c>
      <c r="AR1364" s="77"/>
      <c r="AS1364" s="77"/>
      <c r="AT1364" s="77"/>
      <c r="AU1364" s="77"/>
      <c r="AV1364" s="83" t="str">
        <f>HYPERLINK("https://pbs.twimg.com/media/FyNBPhdX0AQKKA2.jpg")</f>
        <v>https://pbs.twimg.com/media/FyNBPhdX0AQKKA2.jpg</v>
      </c>
      <c r="AW1364" s="80" t="s">
        <v>17242</v>
      </c>
      <c r="AX1364" s="80" t="s">
        <v>17242</v>
      </c>
      <c r="AY1364" s="77"/>
      <c r="AZ1364" s="80" t="s">
        <v>20380</v>
      </c>
      <c r="BA1364" s="80" t="s">
        <v>20380</v>
      </c>
      <c r="BB1364" s="80" t="s">
        <v>20380</v>
      </c>
      <c r="BC1364" s="80" t="s">
        <v>17242</v>
      </c>
      <c r="BD1364" s="77">
        <v>71314398</v>
      </c>
      <c r="BE1364" s="77"/>
      <c r="BF1364" s="77"/>
      <c r="BG1364" s="77"/>
      <c r="BH1364" s="77"/>
      <c r="BI1364" s="77"/>
    </row>
    <row r="1365" spans="1:61" x14ac:dyDescent="0.25">
      <c r="A1365" s="62" t="s">
        <v>752</v>
      </c>
      <c r="B1365" s="62" t="s">
        <v>752</v>
      </c>
      <c r="C1365" s="63"/>
      <c r="D1365" s="64"/>
      <c r="E1365" s="65"/>
      <c r="F1365" s="66"/>
      <c r="G1365" s="63"/>
      <c r="H1365" s="67"/>
      <c r="I1365" s="68"/>
      <c r="J1365" s="68"/>
      <c r="K1365" s="32"/>
      <c r="L1365" s="75">
        <v>1365</v>
      </c>
      <c r="M1365" s="75"/>
      <c r="N1365" s="70"/>
      <c r="O1365" s="77" t="s">
        <v>179</v>
      </c>
      <c r="P1365" s="79">
        <v>45069.6875</v>
      </c>
      <c r="Q1365" s="77" t="s">
        <v>3272</v>
      </c>
      <c r="R1365" s="77">
        <v>0</v>
      </c>
      <c r="S1365" s="77">
        <v>10</v>
      </c>
      <c r="T1365" s="77">
        <v>0</v>
      </c>
      <c r="U1365" s="77">
        <v>0</v>
      </c>
      <c r="V1365" s="77">
        <v>47</v>
      </c>
      <c r="W1365" s="80" t="s">
        <v>6849</v>
      </c>
      <c r="X1365" s="83" t="str">
        <f>HYPERLINK("https://bit.ly/45huJ1v")</f>
        <v>https://bit.ly/45huJ1v</v>
      </c>
      <c r="Y1365" s="77" t="s">
        <v>8618</v>
      </c>
      <c r="Z1365" s="77"/>
      <c r="AA1365" s="77"/>
      <c r="AB1365" s="77"/>
      <c r="AC1365" s="80" t="s">
        <v>10541</v>
      </c>
      <c r="AD1365" s="77" t="s">
        <v>10620</v>
      </c>
      <c r="AE1365" s="83" t="str">
        <f>HYPERLINK("https://twitter.com/ecperiodistas/status/1661046833362407424")</f>
        <v>https://twitter.com/ecperiodistas/status/1661046833362407424</v>
      </c>
      <c r="AF1365" s="79">
        <v>45069.6875</v>
      </c>
      <c r="AG1365" s="85">
        <v>45069</v>
      </c>
      <c r="AH1365" s="80" t="s">
        <v>10759</v>
      </c>
      <c r="AI1365" s="77" t="b">
        <v>0</v>
      </c>
      <c r="AJ1365" s="77"/>
      <c r="AK1365" s="77"/>
      <c r="AL1365" s="77"/>
      <c r="AM1365" s="77"/>
      <c r="AN1365" s="77"/>
      <c r="AO1365" s="77"/>
      <c r="AP1365" s="77"/>
      <c r="AQ1365" s="77"/>
      <c r="AR1365" s="77"/>
      <c r="AS1365" s="77"/>
      <c r="AT1365" s="77"/>
      <c r="AU1365" s="77"/>
      <c r="AV1365" s="83" t="str">
        <f>HYPERLINK("https://pbs.twimg.com/profile_images/1215254201980186624/BTzelTID_normal.jpg")</f>
        <v>https://pbs.twimg.com/profile_images/1215254201980186624/BTzelTID_normal.jpg</v>
      </c>
      <c r="AW1365" s="80" t="s">
        <v>17243</v>
      </c>
      <c r="AX1365" s="80" t="s">
        <v>17243</v>
      </c>
      <c r="AY1365" s="77"/>
      <c r="AZ1365" s="80" t="s">
        <v>20380</v>
      </c>
      <c r="BA1365" s="80" t="s">
        <v>20380</v>
      </c>
      <c r="BB1365" s="80" t="s">
        <v>20380</v>
      </c>
      <c r="BC1365" s="80" t="s">
        <v>17243</v>
      </c>
      <c r="BD1365" s="80" t="s">
        <v>20746</v>
      </c>
      <c r="BE1365" s="77"/>
      <c r="BF1365" s="77"/>
      <c r="BG1365" s="77"/>
      <c r="BH1365" s="77"/>
      <c r="BI1365" s="77"/>
    </row>
    <row r="1366" spans="1:61" x14ac:dyDescent="0.25">
      <c r="A1366" s="62" t="s">
        <v>752</v>
      </c>
      <c r="B1366" s="62" t="s">
        <v>752</v>
      </c>
      <c r="C1366" s="63"/>
      <c r="D1366" s="64"/>
      <c r="E1366" s="65"/>
      <c r="F1366" s="66"/>
      <c r="G1366" s="63"/>
      <c r="H1366" s="67"/>
      <c r="I1366" s="68"/>
      <c r="J1366" s="68"/>
      <c r="K1366" s="32"/>
      <c r="L1366" s="75">
        <v>1366</v>
      </c>
      <c r="M1366" s="75"/>
      <c r="N1366" s="70"/>
      <c r="O1366" s="77" t="s">
        <v>179</v>
      </c>
      <c r="P1366" s="79">
        <v>45142.6875</v>
      </c>
      <c r="Q1366" s="77" t="s">
        <v>3273</v>
      </c>
      <c r="R1366" s="77">
        <v>0</v>
      </c>
      <c r="S1366" s="77">
        <v>7</v>
      </c>
      <c r="T1366" s="77">
        <v>0</v>
      </c>
      <c r="U1366" s="77">
        <v>0</v>
      </c>
      <c r="V1366" s="77">
        <v>32</v>
      </c>
      <c r="W1366" s="80" t="s">
        <v>6850</v>
      </c>
      <c r="X1366" s="83" t="str">
        <f>HYPERLINK("https://bit.ly/47l4A2y")</f>
        <v>https://bit.ly/47l4A2y</v>
      </c>
      <c r="Y1366" s="77" t="s">
        <v>8618</v>
      </c>
      <c r="Z1366" s="77"/>
      <c r="AA1366" s="77"/>
      <c r="AB1366" s="77"/>
      <c r="AC1366" s="80" t="s">
        <v>10541</v>
      </c>
      <c r="AD1366" s="77" t="s">
        <v>10620</v>
      </c>
      <c r="AE1366" s="83" t="str">
        <f>HYPERLINK("https://twitter.com/ecperiodistas/status/1687501148222341120")</f>
        <v>https://twitter.com/ecperiodistas/status/1687501148222341120</v>
      </c>
      <c r="AF1366" s="79">
        <v>45142.6875</v>
      </c>
      <c r="AG1366" s="85">
        <v>45142</v>
      </c>
      <c r="AH1366" s="80" t="s">
        <v>10759</v>
      </c>
      <c r="AI1366" s="77" t="b">
        <v>0</v>
      </c>
      <c r="AJ1366" s="77"/>
      <c r="AK1366" s="77"/>
      <c r="AL1366" s="77"/>
      <c r="AM1366" s="77"/>
      <c r="AN1366" s="77"/>
      <c r="AO1366" s="77"/>
      <c r="AP1366" s="77"/>
      <c r="AQ1366" s="77"/>
      <c r="AR1366" s="77"/>
      <c r="AS1366" s="77"/>
      <c r="AT1366" s="77"/>
      <c r="AU1366" s="77"/>
      <c r="AV1366" s="83" t="str">
        <f>HYPERLINK("https://pbs.twimg.com/profile_images/1215254201980186624/BTzelTID_normal.jpg")</f>
        <v>https://pbs.twimg.com/profile_images/1215254201980186624/BTzelTID_normal.jpg</v>
      </c>
      <c r="AW1366" s="80" t="s">
        <v>17244</v>
      </c>
      <c r="AX1366" s="80" t="s">
        <v>17244</v>
      </c>
      <c r="AY1366" s="77"/>
      <c r="AZ1366" s="80" t="s">
        <v>20380</v>
      </c>
      <c r="BA1366" s="80" t="s">
        <v>20380</v>
      </c>
      <c r="BB1366" s="80" t="s">
        <v>20380</v>
      </c>
      <c r="BC1366" s="80" t="s">
        <v>17244</v>
      </c>
      <c r="BD1366" s="80" t="s">
        <v>20746</v>
      </c>
      <c r="BE1366" s="77"/>
      <c r="BF1366" s="77"/>
      <c r="BG1366" s="77"/>
      <c r="BH1366" s="77"/>
      <c r="BI1366" s="77"/>
    </row>
    <row r="1367" spans="1:61" x14ac:dyDescent="0.25">
      <c r="A1367" s="62" t="s">
        <v>753</v>
      </c>
      <c r="B1367" s="62" t="s">
        <v>753</v>
      </c>
      <c r="C1367" s="63"/>
      <c r="D1367" s="64"/>
      <c r="E1367" s="65"/>
      <c r="F1367" s="66"/>
      <c r="G1367" s="63"/>
      <c r="H1367" s="67"/>
      <c r="I1367" s="68"/>
      <c r="J1367" s="68"/>
      <c r="K1367" s="32"/>
      <c r="L1367" s="75">
        <v>1367</v>
      </c>
      <c r="M1367" s="75"/>
      <c r="N1367" s="70"/>
      <c r="O1367" s="77" t="s">
        <v>179</v>
      </c>
      <c r="P1367" s="79">
        <v>45114.704872685186</v>
      </c>
      <c r="Q1367" s="77" t="s">
        <v>3274</v>
      </c>
      <c r="R1367" s="77">
        <v>0</v>
      </c>
      <c r="S1367" s="77">
        <v>0</v>
      </c>
      <c r="T1367" s="77">
        <v>0</v>
      </c>
      <c r="U1367" s="77">
        <v>0</v>
      </c>
      <c r="V1367" s="77">
        <v>248</v>
      </c>
      <c r="W1367" s="80" t="s">
        <v>6851</v>
      </c>
      <c r="X1367" s="83" t="str">
        <f>HYPERLINK("http://senal.mediabanco.com")</f>
        <v>http://senal.mediabanco.com</v>
      </c>
      <c r="Y1367" s="77" t="s">
        <v>8747</v>
      </c>
      <c r="Z1367" s="77"/>
      <c r="AA1367" s="77" t="s">
        <v>9501</v>
      </c>
      <c r="AB1367" s="77" t="s">
        <v>10534</v>
      </c>
      <c r="AC1367" s="80" t="s">
        <v>10541</v>
      </c>
      <c r="AD1367" s="77" t="s">
        <v>10620</v>
      </c>
      <c r="AE1367" s="83" t="str">
        <f>HYPERLINK("https://twitter.com/mediabanco/status/1677360583442669583")</f>
        <v>https://twitter.com/mediabanco/status/1677360583442669583</v>
      </c>
      <c r="AF1367" s="79">
        <v>45114.704872685186</v>
      </c>
      <c r="AG1367" s="85">
        <v>45114</v>
      </c>
      <c r="AH1367" s="80" t="s">
        <v>11823</v>
      </c>
      <c r="AI1367" s="77" t="b">
        <v>0</v>
      </c>
      <c r="AJ1367" s="77"/>
      <c r="AK1367" s="77"/>
      <c r="AL1367" s="77"/>
      <c r="AM1367" s="77"/>
      <c r="AN1367" s="77"/>
      <c r="AO1367" s="77"/>
      <c r="AP1367" s="77"/>
      <c r="AQ1367" s="77" t="s">
        <v>14983</v>
      </c>
      <c r="AR1367" s="77">
        <v>66232</v>
      </c>
      <c r="AS1367" s="77"/>
      <c r="AT1367" s="77"/>
      <c r="AU1367" s="77"/>
      <c r="AV1367" s="83" t="str">
        <f>HYPERLINK("https://pbs.twimg.com/ext_tw_video_thumb/1677359041184497664/pu/img/1kBBAFCnFxm8ZspC.jpg")</f>
        <v>https://pbs.twimg.com/ext_tw_video_thumb/1677359041184497664/pu/img/1kBBAFCnFxm8ZspC.jpg</v>
      </c>
      <c r="AW1367" s="80" t="s">
        <v>17245</v>
      </c>
      <c r="AX1367" s="80" t="s">
        <v>17245</v>
      </c>
      <c r="AY1367" s="77"/>
      <c r="AZ1367" s="80" t="s">
        <v>20380</v>
      </c>
      <c r="BA1367" s="80" t="s">
        <v>20380</v>
      </c>
      <c r="BB1367" s="80" t="s">
        <v>20380</v>
      </c>
      <c r="BC1367" s="80" t="s">
        <v>17245</v>
      </c>
      <c r="BD1367" s="77">
        <v>2273826763</v>
      </c>
      <c r="BE1367" s="77"/>
      <c r="BF1367" s="77"/>
      <c r="BG1367" s="77"/>
      <c r="BH1367" s="77"/>
      <c r="BI1367" s="77"/>
    </row>
    <row r="1368" spans="1:61" x14ac:dyDescent="0.25">
      <c r="A1368" s="62" t="s">
        <v>754</v>
      </c>
      <c r="B1368" s="62" t="s">
        <v>754</v>
      </c>
      <c r="C1368" s="63"/>
      <c r="D1368" s="64"/>
      <c r="E1368" s="65"/>
      <c r="F1368" s="66"/>
      <c r="G1368" s="63"/>
      <c r="H1368" s="67"/>
      <c r="I1368" s="68"/>
      <c r="J1368" s="68"/>
      <c r="K1368" s="32"/>
      <c r="L1368" s="75">
        <v>1368</v>
      </c>
      <c r="M1368" s="75"/>
      <c r="N1368" s="70"/>
      <c r="O1368" s="77" t="s">
        <v>179</v>
      </c>
      <c r="P1368" s="79">
        <v>45152.729490740741</v>
      </c>
      <c r="Q1368" s="77" t="s">
        <v>3275</v>
      </c>
      <c r="R1368" s="77">
        <v>1</v>
      </c>
      <c r="S1368" s="77">
        <v>0</v>
      </c>
      <c r="T1368" s="77">
        <v>0</v>
      </c>
      <c r="U1368" s="77">
        <v>0</v>
      </c>
      <c r="V1368" s="77">
        <v>964</v>
      </c>
      <c r="W1368" s="80" t="s">
        <v>6852</v>
      </c>
      <c r="X1368" s="77"/>
      <c r="Y1368" s="77"/>
      <c r="Z1368" s="77"/>
      <c r="AA1368" s="77"/>
      <c r="AB1368" s="77"/>
      <c r="AC1368" s="80" t="s">
        <v>10540</v>
      </c>
      <c r="AD1368" s="77" t="s">
        <v>10620</v>
      </c>
      <c r="AE1368" s="83" t="str">
        <f>HYPERLINK("https://twitter.com/hablarxpolitica/status/1691140245146710018")</f>
        <v>https://twitter.com/hablarxpolitica/status/1691140245146710018</v>
      </c>
      <c r="AF1368" s="79">
        <v>45152.729490740741</v>
      </c>
      <c r="AG1368" s="85">
        <v>45152</v>
      </c>
      <c r="AH1368" s="80" t="s">
        <v>11824</v>
      </c>
      <c r="AI1368" s="77"/>
      <c r="AJ1368" s="77"/>
      <c r="AK1368" s="77"/>
      <c r="AL1368" s="77"/>
      <c r="AM1368" s="77"/>
      <c r="AN1368" s="77"/>
      <c r="AO1368" s="77"/>
      <c r="AP1368" s="77"/>
      <c r="AQ1368" s="77"/>
      <c r="AR1368" s="77"/>
      <c r="AS1368" s="77"/>
      <c r="AT1368" s="77"/>
      <c r="AU1368" s="77"/>
      <c r="AV1368" s="83" t="str">
        <f>HYPERLINK("https://pbs.twimg.com/profile_images/1690898446029398016/SGu1hkdg_normal.jpg")</f>
        <v>https://pbs.twimg.com/profile_images/1690898446029398016/SGu1hkdg_normal.jpg</v>
      </c>
      <c r="AW1368" s="80" t="s">
        <v>17246</v>
      </c>
      <c r="AX1368" s="80" t="s">
        <v>17246</v>
      </c>
      <c r="AY1368" s="77"/>
      <c r="AZ1368" s="80" t="s">
        <v>20380</v>
      </c>
      <c r="BA1368" s="80" t="s">
        <v>20380</v>
      </c>
      <c r="BB1368" s="80" t="s">
        <v>20380</v>
      </c>
      <c r="BC1368" s="80" t="s">
        <v>17246</v>
      </c>
      <c r="BD1368" s="80" t="s">
        <v>20747</v>
      </c>
      <c r="BE1368" s="77"/>
      <c r="BF1368" s="77"/>
      <c r="BG1368" s="77"/>
      <c r="BH1368" s="77"/>
      <c r="BI1368" s="77"/>
    </row>
    <row r="1369" spans="1:61" x14ac:dyDescent="0.25">
      <c r="A1369" s="62" t="s">
        <v>755</v>
      </c>
      <c r="B1369" s="62" t="s">
        <v>755</v>
      </c>
      <c r="C1369" s="63"/>
      <c r="D1369" s="64"/>
      <c r="E1369" s="65"/>
      <c r="F1369" s="66"/>
      <c r="G1369" s="63"/>
      <c r="H1369" s="67"/>
      <c r="I1369" s="68"/>
      <c r="J1369" s="68"/>
      <c r="K1369" s="32"/>
      <c r="L1369" s="75">
        <v>1369</v>
      </c>
      <c r="M1369" s="75"/>
      <c r="N1369" s="70"/>
      <c r="O1369" s="77" t="s">
        <v>179</v>
      </c>
      <c r="P1369" s="79">
        <v>45079.030300925922</v>
      </c>
      <c r="Q1369" s="77" t="s">
        <v>3276</v>
      </c>
      <c r="R1369" s="77">
        <v>0</v>
      </c>
      <c r="S1369" s="77">
        <v>0</v>
      </c>
      <c r="T1369" s="77">
        <v>0</v>
      </c>
      <c r="U1369" s="77">
        <v>0</v>
      </c>
      <c r="V1369" s="77">
        <v>36</v>
      </c>
      <c r="W1369" s="80" t="s">
        <v>6853</v>
      </c>
      <c r="X1369" s="83" t="str">
        <f>HYPERLINK("https://www.elcucodigital.com/cepo-al-dolar-mendoza-entre-las-provincias-afectadas-por-el-banco-central/")</f>
        <v>https://www.elcucodigital.com/cepo-al-dolar-mendoza-entre-las-provincias-afectadas-por-el-banco-central/</v>
      </c>
      <c r="Y1369" s="77" t="s">
        <v>8748</v>
      </c>
      <c r="Z1369" s="77"/>
      <c r="AA1369" s="77" t="s">
        <v>9502</v>
      </c>
      <c r="AB1369" s="77" t="s">
        <v>10535</v>
      </c>
      <c r="AC1369" s="80" t="s">
        <v>10541</v>
      </c>
      <c r="AD1369" s="77" t="s">
        <v>10620</v>
      </c>
      <c r="AE1369" s="83" t="str">
        <f>HYPERLINK("https://twitter.com/elcucodigital/status/1664432549190332417")</f>
        <v>https://twitter.com/elcucodigital/status/1664432549190332417</v>
      </c>
      <c r="AF1369" s="79">
        <v>45079.030300925922</v>
      </c>
      <c r="AG1369" s="85">
        <v>45079</v>
      </c>
      <c r="AH1369" s="80" t="s">
        <v>11825</v>
      </c>
      <c r="AI1369" s="77" t="b">
        <v>0</v>
      </c>
      <c r="AJ1369" s="77"/>
      <c r="AK1369" s="77"/>
      <c r="AL1369" s="77"/>
      <c r="AM1369" s="77"/>
      <c r="AN1369" s="77"/>
      <c r="AO1369" s="77"/>
      <c r="AP1369" s="77"/>
      <c r="AQ1369" s="77" t="s">
        <v>14984</v>
      </c>
      <c r="AR1369" s="77"/>
      <c r="AS1369" s="77"/>
      <c r="AT1369" s="77"/>
      <c r="AU1369" s="77"/>
      <c r="AV1369" s="83" t="str">
        <f>HYPERLINK("https://pbs.twimg.com/media/FxlAkl_WwAAHGtX.png")</f>
        <v>https://pbs.twimg.com/media/FxlAkl_WwAAHGtX.png</v>
      </c>
      <c r="AW1369" s="80" t="s">
        <v>17247</v>
      </c>
      <c r="AX1369" s="80" t="s">
        <v>17247</v>
      </c>
      <c r="AY1369" s="77"/>
      <c r="AZ1369" s="80" t="s">
        <v>20380</v>
      </c>
      <c r="BA1369" s="80" t="s">
        <v>20380</v>
      </c>
      <c r="BB1369" s="80" t="s">
        <v>20380</v>
      </c>
      <c r="BC1369" s="80" t="s">
        <v>17247</v>
      </c>
      <c r="BD1369" s="77">
        <v>254611669</v>
      </c>
      <c r="BE1369" s="77"/>
      <c r="BF1369" s="77"/>
      <c r="BG1369" s="77"/>
      <c r="BH1369" s="77"/>
      <c r="BI1369" s="77"/>
    </row>
    <row r="1370" spans="1:61" x14ac:dyDescent="0.25">
      <c r="A1370" s="62" t="s">
        <v>755</v>
      </c>
      <c r="B1370" s="62" t="s">
        <v>755</v>
      </c>
      <c r="C1370" s="63"/>
      <c r="D1370" s="64"/>
      <c r="E1370" s="65"/>
      <c r="F1370" s="66"/>
      <c r="G1370" s="63"/>
      <c r="H1370" s="67"/>
      <c r="I1370" s="68"/>
      <c r="J1370" s="68"/>
      <c r="K1370" s="32"/>
      <c r="L1370" s="75">
        <v>1370</v>
      </c>
      <c r="M1370" s="75"/>
      <c r="N1370" s="70"/>
      <c r="O1370" s="77" t="s">
        <v>179</v>
      </c>
      <c r="P1370" s="79">
        <v>45075.701388888891</v>
      </c>
      <c r="Q1370" s="77" t="s">
        <v>3277</v>
      </c>
      <c r="R1370" s="77">
        <v>0</v>
      </c>
      <c r="S1370" s="77">
        <v>0</v>
      </c>
      <c r="T1370" s="77">
        <v>0</v>
      </c>
      <c r="U1370" s="77">
        <v>0</v>
      </c>
      <c r="V1370" s="77">
        <v>28</v>
      </c>
      <c r="W1370" s="80" t="s">
        <v>6854</v>
      </c>
      <c r="X1370" s="83" t="str">
        <f>HYPERLINK("https://www.elcucodigital.com/sergio-massa-partio-hacia-china-para-cerrar-acuerdos-en-energia-y-fortalecer-las-reservas-del-banco-central/")</f>
        <v>https://www.elcucodigital.com/sergio-massa-partio-hacia-china-para-cerrar-acuerdos-en-energia-y-fortalecer-las-reservas-del-banco-central/</v>
      </c>
      <c r="Y1370" s="77" t="s">
        <v>8748</v>
      </c>
      <c r="Z1370" s="77"/>
      <c r="AA1370" s="77" t="s">
        <v>9503</v>
      </c>
      <c r="AB1370" s="77" t="s">
        <v>10535</v>
      </c>
      <c r="AC1370" s="80" t="s">
        <v>10541</v>
      </c>
      <c r="AD1370" s="77" t="s">
        <v>10620</v>
      </c>
      <c r="AE1370" s="83" t="str">
        <f>HYPERLINK("https://twitter.com/elcucodigital/status/1663226192550592512")</f>
        <v>https://twitter.com/elcucodigital/status/1663226192550592512</v>
      </c>
      <c r="AF1370" s="79">
        <v>45075.701388888891</v>
      </c>
      <c r="AG1370" s="85">
        <v>45075</v>
      </c>
      <c r="AH1370" s="80" t="s">
        <v>11826</v>
      </c>
      <c r="AI1370" s="77" t="b">
        <v>0</v>
      </c>
      <c r="AJ1370" s="77"/>
      <c r="AK1370" s="77"/>
      <c r="AL1370" s="77"/>
      <c r="AM1370" s="77"/>
      <c r="AN1370" s="77"/>
      <c r="AO1370" s="77"/>
      <c r="AP1370" s="77"/>
      <c r="AQ1370" s="77" t="s">
        <v>14985</v>
      </c>
      <c r="AR1370" s="77"/>
      <c r="AS1370" s="77"/>
      <c r="AT1370" s="77"/>
      <c r="AU1370" s="77"/>
      <c r="AV1370" s="83" t="str">
        <f>HYPERLINK("https://pbs.twimg.com/media/FxTzYYBX0AA3KAA.jpg")</f>
        <v>https://pbs.twimg.com/media/FxTzYYBX0AA3KAA.jpg</v>
      </c>
      <c r="AW1370" s="80" t="s">
        <v>17248</v>
      </c>
      <c r="AX1370" s="80" t="s">
        <v>17248</v>
      </c>
      <c r="AY1370" s="77"/>
      <c r="AZ1370" s="80" t="s">
        <v>20380</v>
      </c>
      <c r="BA1370" s="80" t="s">
        <v>20380</v>
      </c>
      <c r="BB1370" s="80" t="s">
        <v>20380</v>
      </c>
      <c r="BC1370" s="80" t="s">
        <v>17248</v>
      </c>
      <c r="BD1370" s="77">
        <v>254611669</v>
      </c>
      <c r="BE1370" s="77"/>
      <c r="BF1370" s="77"/>
      <c r="BG1370" s="77"/>
      <c r="BH1370" s="77"/>
      <c r="BI1370" s="77"/>
    </row>
    <row r="1371" spans="1:61" x14ac:dyDescent="0.25">
      <c r="A1371" s="62" t="s">
        <v>755</v>
      </c>
      <c r="B1371" s="62" t="s">
        <v>755</v>
      </c>
      <c r="C1371" s="63"/>
      <c r="D1371" s="64"/>
      <c r="E1371" s="65"/>
      <c r="F1371" s="66"/>
      <c r="G1371" s="63"/>
      <c r="H1371" s="67"/>
      <c r="I1371" s="68"/>
      <c r="J1371" s="68"/>
      <c r="K1371" s="32"/>
      <c r="L1371" s="75">
        <v>1371</v>
      </c>
      <c r="M1371" s="75"/>
      <c r="N1371" s="70"/>
      <c r="O1371" s="77" t="s">
        <v>179</v>
      </c>
      <c r="P1371" s="79">
        <v>45125.708344907405</v>
      </c>
      <c r="Q1371" s="77" t="s">
        <v>3278</v>
      </c>
      <c r="R1371" s="77">
        <v>0</v>
      </c>
      <c r="S1371" s="77">
        <v>0</v>
      </c>
      <c r="T1371" s="77">
        <v>0</v>
      </c>
      <c r="U1371" s="77">
        <v>0</v>
      </c>
      <c r="V1371" s="77">
        <v>16</v>
      </c>
      <c r="W1371" s="80" t="s">
        <v>6855</v>
      </c>
      <c r="X1371" s="83" t="str">
        <f>HYPERLINK("https://www.elcucodigital.com/inflacion-lo-que-proyecta-el-banco-central-para-los-proximos-meses/")</f>
        <v>https://www.elcucodigital.com/inflacion-lo-que-proyecta-el-banco-central-para-los-proximos-meses/</v>
      </c>
      <c r="Y1371" s="77" t="s">
        <v>8748</v>
      </c>
      <c r="Z1371" s="77"/>
      <c r="AA1371" s="77" t="s">
        <v>9504</v>
      </c>
      <c r="AB1371" s="77" t="s">
        <v>10535</v>
      </c>
      <c r="AC1371" s="80" t="s">
        <v>10541</v>
      </c>
      <c r="AD1371" s="77" t="s">
        <v>10620</v>
      </c>
      <c r="AE1371" s="83" t="str">
        <f>HYPERLINK("https://twitter.com/elcucodigital/status/1681348107559407616")</f>
        <v>https://twitter.com/elcucodigital/status/1681348107559407616</v>
      </c>
      <c r="AF1371" s="79">
        <v>45125.708344907405</v>
      </c>
      <c r="AG1371" s="85">
        <v>45125</v>
      </c>
      <c r="AH1371" s="80" t="s">
        <v>11180</v>
      </c>
      <c r="AI1371" s="77" t="b">
        <v>0</v>
      </c>
      <c r="AJ1371" s="77"/>
      <c r="AK1371" s="77"/>
      <c r="AL1371" s="77"/>
      <c r="AM1371" s="77"/>
      <c r="AN1371" s="77"/>
      <c r="AO1371" s="77"/>
      <c r="AP1371" s="77"/>
      <c r="AQ1371" s="77" t="s">
        <v>14986</v>
      </c>
      <c r="AR1371" s="77"/>
      <c r="AS1371" s="77"/>
      <c r="AT1371" s="77"/>
      <c r="AU1371" s="77"/>
      <c r="AV1371" s="83" t="str">
        <f>HYPERLINK("https://pbs.twimg.com/media/F1VJCiKWYAAf1p0.jpg")</f>
        <v>https://pbs.twimg.com/media/F1VJCiKWYAAf1p0.jpg</v>
      </c>
      <c r="AW1371" s="80" t="s">
        <v>17249</v>
      </c>
      <c r="AX1371" s="80" t="s">
        <v>17249</v>
      </c>
      <c r="AY1371" s="77"/>
      <c r="AZ1371" s="80" t="s">
        <v>20380</v>
      </c>
      <c r="BA1371" s="80" t="s">
        <v>20380</v>
      </c>
      <c r="BB1371" s="80" t="s">
        <v>20380</v>
      </c>
      <c r="BC1371" s="80" t="s">
        <v>17249</v>
      </c>
      <c r="BD1371" s="77">
        <v>254611669</v>
      </c>
      <c r="BE1371" s="77"/>
      <c r="BF1371" s="77"/>
      <c r="BG1371" s="77"/>
      <c r="BH1371" s="77"/>
      <c r="BI1371" s="77"/>
    </row>
    <row r="1372" spans="1:61" x14ac:dyDescent="0.25">
      <c r="A1372" s="62" t="s">
        <v>755</v>
      </c>
      <c r="B1372" s="62" t="s">
        <v>755</v>
      </c>
      <c r="C1372" s="63"/>
      <c r="D1372" s="64"/>
      <c r="E1372" s="65"/>
      <c r="F1372" s="66"/>
      <c r="G1372" s="63"/>
      <c r="H1372" s="67"/>
      <c r="I1372" s="68"/>
      <c r="J1372" s="68"/>
      <c r="K1372" s="32"/>
      <c r="L1372" s="75">
        <v>1372</v>
      </c>
      <c r="M1372" s="75"/>
      <c r="N1372" s="70"/>
      <c r="O1372" s="77" t="s">
        <v>179</v>
      </c>
      <c r="P1372" s="79">
        <v>45133.708344907405</v>
      </c>
      <c r="Q1372" s="77" t="s">
        <v>3279</v>
      </c>
      <c r="R1372" s="77">
        <v>0</v>
      </c>
      <c r="S1372" s="77">
        <v>0</v>
      </c>
      <c r="T1372" s="77">
        <v>0</v>
      </c>
      <c r="U1372" s="77">
        <v>0</v>
      </c>
      <c r="V1372" s="77">
        <v>71</v>
      </c>
      <c r="W1372" s="80" t="s">
        <v>6856</v>
      </c>
      <c r="X1372" s="83" t="str">
        <f>HYPERLINK("https://www.elcucodigital.com/nueva-tasa-de-interes-en-el-plazo-fijo-cuanto-gano-por-mes-si-deposito-800-mil/")</f>
        <v>https://www.elcucodigital.com/nueva-tasa-de-interes-en-el-plazo-fijo-cuanto-gano-por-mes-si-deposito-800-mil/</v>
      </c>
      <c r="Y1372" s="77" t="s">
        <v>8748</v>
      </c>
      <c r="Z1372" s="77"/>
      <c r="AA1372" s="77" t="s">
        <v>9505</v>
      </c>
      <c r="AB1372" s="77" t="s">
        <v>10535</v>
      </c>
      <c r="AC1372" s="80" t="s">
        <v>10541</v>
      </c>
      <c r="AD1372" s="77" t="s">
        <v>10620</v>
      </c>
      <c r="AE1372" s="83" t="str">
        <f>HYPERLINK("https://twitter.com/elcucodigital/status/1684247211406925824")</f>
        <v>https://twitter.com/elcucodigital/status/1684247211406925824</v>
      </c>
      <c r="AF1372" s="79">
        <v>45133.708344907405</v>
      </c>
      <c r="AG1372" s="85">
        <v>45133</v>
      </c>
      <c r="AH1372" s="80" t="s">
        <v>11180</v>
      </c>
      <c r="AI1372" s="77" t="b">
        <v>0</v>
      </c>
      <c r="AJ1372" s="77"/>
      <c r="AK1372" s="77"/>
      <c r="AL1372" s="77"/>
      <c r="AM1372" s="77"/>
      <c r="AN1372" s="77"/>
      <c r="AO1372" s="77"/>
      <c r="AP1372" s="77"/>
      <c r="AQ1372" s="77" t="s">
        <v>14987</v>
      </c>
      <c r="AR1372" s="77"/>
      <c r="AS1372" s="77"/>
      <c r="AT1372" s="77"/>
      <c r="AU1372" s="77"/>
      <c r="AV1372" s="83" t="str">
        <f>HYPERLINK("https://pbs.twimg.com/media/F1-gkMtXsAEOe_m.png")</f>
        <v>https://pbs.twimg.com/media/F1-gkMtXsAEOe_m.png</v>
      </c>
      <c r="AW1372" s="80" t="s">
        <v>17250</v>
      </c>
      <c r="AX1372" s="80" t="s">
        <v>17250</v>
      </c>
      <c r="AY1372" s="77"/>
      <c r="AZ1372" s="80" t="s">
        <v>20380</v>
      </c>
      <c r="BA1372" s="80" t="s">
        <v>20380</v>
      </c>
      <c r="BB1372" s="80" t="s">
        <v>20380</v>
      </c>
      <c r="BC1372" s="80" t="s">
        <v>17250</v>
      </c>
      <c r="BD1372" s="77">
        <v>254611669</v>
      </c>
      <c r="BE1372" s="77"/>
      <c r="BF1372" s="77"/>
      <c r="BG1372" s="77"/>
      <c r="BH1372" s="77"/>
      <c r="BI1372" s="77"/>
    </row>
    <row r="1373" spans="1:61" x14ac:dyDescent="0.25">
      <c r="A1373" s="62" t="s">
        <v>756</v>
      </c>
      <c r="B1373" s="62" t="s">
        <v>756</v>
      </c>
      <c r="C1373" s="63"/>
      <c r="D1373" s="64"/>
      <c r="E1373" s="65"/>
      <c r="F1373" s="66"/>
      <c r="G1373" s="63"/>
      <c r="H1373" s="67"/>
      <c r="I1373" s="68"/>
      <c r="J1373" s="68"/>
      <c r="K1373" s="32"/>
      <c r="L1373" s="75">
        <v>1373</v>
      </c>
      <c r="M1373" s="75"/>
      <c r="N1373" s="70"/>
      <c r="O1373" s="77" t="s">
        <v>179</v>
      </c>
      <c r="P1373" s="79">
        <v>45097.787685185183</v>
      </c>
      <c r="Q1373" s="77" t="s">
        <v>3280</v>
      </c>
      <c r="R1373" s="77">
        <v>0</v>
      </c>
      <c r="S1373" s="77">
        <v>0</v>
      </c>
      <c r="T1373" s="77">
        <v>0</v>
      </c>
      <c r="U1373" s="77">
        <v>0</v>
      </c>
      <c r="V1373" s="77">
        <v>25</v>
      </c>
      <c r="W1373" s="80" t="s">
        <v>6857</v>
      </c>
      <c r="X1373" s="83" t="str">
        <f>HYPERLINK("https://www.selecoes.com.br/cultura-lazer/fim-cartao-de-credito-presidente-faz-declaracao-polemica/")</f>
        <v>https://www.selecoes.com.br/cultura-lazer/fim-cartao-de-credito-presidente-faz-declaracao-polemica/</v>
      </c>
      <c r="Y1373" s="77" t="s">
        <v>8611</v>
      </c>
      <c r="Z1373" s="77"/>
      <c r="AA1373" s="77"/>
      <c r="AB1373" s="77"/>
      <c r="AC1373" s="80" t="s">
        <v>10541</v>
      </c>
      <c r="AD1373" s="77" t="s">
        <v>10617</v>
      </c>
      <c r="AE1373" s="83" t="str">
        <f>HYPERLINK("https://twitter.com/selecoesbrasil/status/1671229998823292928")</f>
        <v>https://twitter.com/selecoesbrasil/status/1671229998823292928</v>
      </c>
      <c r="AF1373" s="79">
        <v>45097.787685185183</v>
      </c>
      <c r="AG1373" s="85">
        <v>45097</v>
      </c>
      <c r="AH1373" s="80" t="s">
        <v>11827</v>
      </c>
      <c r="AI1373" s="77" t="b">
        <v>0</v>
      </c>
      <c r="AJ1373" s="77"/>
      <c r="AK1373" s="77"/>
      <c r="AL1373" s="77"/>
      <c r="AM1373" s="77"/>
      <c r="AN1373" s="77"/>
      <c r="AO1373" s="77"/>
      <c r="AP1373" s="77"/>
      <c r="AQ1373" s="77"/>
      <c r="AR1373" s="77"/>
      <c r="AS1373" s="77"/>
      <c r="AT1373" s="77"/>
      <c r="AU1373" s="77"/>
      <c r="AV1373" s="83" t="str">
        <f>HYPERLINK("https://pbs.twimg.com/profile_images/1228318282719121408/OcrZg7Vr_normal.jpg")</f>
        <v>https://pbs.twimg.com/profile_images/1228318282719121408/OcrZg7Vr_normal.jpg</v>
      </c>
      <c r="AW1373" s="80" t="s">
        <v>17251</v>
      </c>
      <c r="AX1373" s="80" t="s">
        <v>17251</v>
      </c>
      <c r="AY1373" s="77"/>
      <c r="AZ1373" s="80" t="s">
        <v>20380</v>
      </c>
      <c r="BA1373" s="80" t="s">
        <v>20380</v>
      </c>
      <c r="BB1373" s="80" t="s">
        <v>20380</v>
      </c>
      <c r="BC1373" s="80" t="s">
        <v>17251</v>
      </c>
      <c r="BD1373" s="80" t="s">
        <v>20748</v>
      </c>
      <c r="BE1373" s="77"/>
      <c r="BF1373" s="77"/>
      <c r="BG1373" s="77"/>
      <c r="BH1373" s="77"/>
      <c r="BI1373" s="77"/>
    </row>
    <row r="1374" spans="1:61" x14ac:dyDescent="0.25">
      <c r="A1374" s="62" t="s">
        <v>757</v>
      </c>
      <c r="B1374" s="62" t="s">
        <v>1854</v>
      </c>
      <c r="C1374" s="63"/>
      <c r="D1374" s="64"/>
      <c r="E1374" s="65"/>
      <c r="F1374" s="66"/>
      <c r="G1374" s="63"/>
      <c r="H1374" s="67"/>
      <c r="I1374" s="68"/>
      <c r="J1374" s="68"/>
      <c r="K1374" s="32"/>
      <c r="L1374" s="75">
        <v>1374</v>
      </c>
      <c r="M1374" s="75"/>
      <c r="N1374" s="70"/>
      <c r="O1374" s="77" t="s">
        <v>2081</v>
      </c>
      <c r="P1374" s="79">
        <v>45100.682083333333</v>
      </c>
      <c r="Q1374" s="77" t="s">
        <v>3281</v>
      </c>
      <c r="R1374" s="77">
        <v>0</v>
      </c>
      <c r="S1374" s="77">
        <v>1</v>
      </c>
      <c r="T1374" s="77">
        <v>0</v>
      </c>
      <c r="U1374" s="77">
        <v>0</v>
      </c>
      <c r="V1374" s="77">
        <v>12</v>
      </c>
      <c r="W1374" s="80" t="s">
        <v>6858</v>
      </c>
      <c r="X1374" s="77"/>
      <c r="Y1374" s="77"/>
      <c r="Z1374" s="77" t="s">
        <v>1854</v>
      </c>
      <c r="AA1374" s="77"/>
      <c r="AB1374" s="77"/>
      <c r="AC1374" s="80" t="s">
        <v>10540</v>
      </c>
      <c r="AD1374" s="77" t="s">
        <v>10617</v>
      </c>
      <c r="AE1374" s="83" t="str">
        <f>HYPERLINK("https://twitter.com/odeiran/status/1672278893259108357")</f>
        <v>https://twitter.com/odeiran/status/1672278893259108357</v>
      </c>
      <c r="AF1374" s="79">
        <v>45100.682083333333</v>
      </c>
      <c r="AG1374" s="85">
        <v>45100</v>
      </c>
      <c r="AH1374" s="80" t="s">
        <v>11828</v>
      </c>
      <c r="AI1374" s="77"/>
      <c r="AJ1374" s="77"/>
      <c r="AK1374" s="77"/>
      <c r="AL1374" s="77"/>
      <c r="AM1374" s="77"/>
      <c r="AN1374" s="77"/>
      <c r="AO1374" s="77"/>
      <c r="AP1374" s="77"/>
      <c r="AQ1374" s="77"/>
      <c r="AR1374" s="77"/>
      <c r="AS1374" s="77"/>
      <c r="AT1374" s="77"/>
      <c r="AU1374" s="77"/>
      <c r="AV1374" s="83" t="str">
        <f>HYPERLINK("https://pbs.twimg.com/profile_images/1493579914796273667/ZltIBkdt_normal.jpg")</f>
        <v>https://pbs.twimg.com/profile_images/1493579914796273667/ZltIBkdt_normal.jpg</v>
      </c>
      <c r="AW1374" s="80" t="s">
        <v>17252</v>
      </c>
      <c r="AX1374" s="80" t="s">
        <v>17252</v>
      </c>
      <c r="AY1374" s="77"/>
      <c r="AZ1374" s="80" t="s">
        <v>20380</v>
      </c>
      <c r="BA1374" s="80" t="s">
        <v>20380</v>
      </c>
      <c r="BB1374" s="80" t="s">
        <v>20380</v>
      </c>
      <c r="BC1374" s="80" t="s">
        <v>17252</v>
      </c>
      <c r="BD1374" s="77">
        <v>555622888</v>
      </c>
      <c r="BE1374" s="77"/>
      <c r="BF1374" s="77"/>
      <c r="BG1374" s="77"/>
      <c r="BH1374" s="77"/>
      <c r="BI1374" s="77"/>
    </row>
    <row r="1375" spans="1:61" x14ac:dyDescent="0.25">
      <c r="A1375" s="62" t="s">
        <v>758</v>
      </c>
      <c r="B1375" s="62" t="s">
        <v>1596</v>
      </c>
      <c r="C1375" s="63"/>
      <c r="D1375" s="64"/>
      <c r="E1375" s="65"/>
      <c r="F1375" s="66"/>
      <c r="G1375" s="63"/>
      <c r="H1375" s="67"/>
      <c r="I1375" s="68"/>
      <c r="J1375" s="68"/>
      <c r="K1375" s="32"/>
      <c r="L1375" s="75">
        <v>1375</v>
      </c>
      <c r="M1375" s="75"/>
      <c r="N1375" s="70"/>
      <c r="O1375" s="77" t="s">
        <v>2081</v>
      </c>
      <c r="P1375" s="79">
        <v>45054.55878472222</v>
      </c>
      <c r="Q1375" s="77" t="s">
        <v>3282</v>
      </c>
      <c r="R1375" s="77">
        <v>0</v>
      </c>
      <c r="S1375" s="77">
        <v>0</v>
      </c>
      <c r="T1375" s="77">
        <v>0</v>
      </c>
      <c r="U1375" s="77">
        <v>0</v>
      </c>
      <c r="V1375" s="77">
        <v>6</v>
      </c>
      <c r="W1375" s="80" t="s">
        <v>6008</v>
      </c>
      <c r="X1375" s="83" t="str">
        <f>HYPERLINK("https://www.bcb.gov.br/publicacoes/focus")</f>
        <v>https://www.bcb.gov.br/publicacoes/focus</v>
      </c>
      <c r="Y1375" s="77" t="s">
        <v>8633</v>
      </c>
      <c r="Z1375" s="77" t="s">
        <v>1596</v>
      </c>
      <c r="AA1375" s="77"/>
      <c r="AB1375" s="77"/>
      <c r="AC1375" s="80" t="s">
        <v>10541</v>
      </c>
      <c r="AD1375" s="77" t="s">
        <v>10617</v>
      </c>
      <c r="AE1375" s="83" t="str">
        <f>HYPERLINK("https://twitter.com/levysil04752419/status/1655564372188577792")</f>
        <v>https://twitter.com/levysil04752419/status/1655564372188577792</v>
      </c>
      <c r="AF1375" s="79">
        <v>45054.55878472222</v>
      </c>
      <c r="AG1375" s="85">
        <v>45054</v>
      </c>
      <c r="AH1375" s="80" t="s">
        <v>11829</v>
      </c>
      <c r="AI1375" s="77" t="b">
        <v>0</v>
      </c>
      <c r="AJ1375" s="77"/>
      <c r="AK1375" s="77"/>
      <c r="AL1375" s="77"/>
      <c r="AM1375" s="77"/>
      <c r="AN1375" s="77"/>
      <c r="AO1375" s="77"/>
      <c r="AP1375" s="77"/>
      <c r="AQ1375" s="77"/>
      <c r="AR1375" s="77"/>
      <c r="AS1375" s="77"/>
      <c r="AT1375" s="77"/>
      <c r="AU1375" s="77"/>
      <c r="AV1375" s="83" t="str">
        <f>HYPERLINK("https://pbs.twimg.com/profile_images/1219013624590630914/IEpvfRLF_normal.jpg")</f>
        <v>https://pbs.twimg.com/profile_images/1219013624590630914/IEpvfRLF_normal.jpg</v>
      </c>
      <c r="AW1375" s="80" t="s">
        <v>17253</v>
      </c>
      <c r="AX1375" s="80" t="s">
        <v>17253</v>
      </c>
      <c r="AY1375" s="77"/>
      <c r="AZ1375" s="80" t="s">
        <v>20380</v>
      </c>
      <c r="BA1375" s="80" t="s">
        <v>20380</v>
      </c>
      <c r="BB1375" s="80" t="s">
        <v>20380</v>
      </c>
      <c r="BC1375" s="80" t="s">
        <v>17253</v>
      </c>
      <c r="BD1375" s="80" t="s">
        <v>20749</v>
      </c>
      <c r="BE1375" s="77"/>
      <c r="BF1375" s="77"/>
      <c r="BG1375" s="77"/>
      <c r="BH1375" s="77"/>
      <c r="BI1375" s="77"/>
    </row>
    <row r="1376" spans="1:61" x14ac:dyDescent="0.25">
      <c r="A1376" s="62" t="s">
        <v>759</v>
      </c>
      <c r="B1376" s="62" t="s">
        <v>759</v>
      </c>
      <c r="C1376" s="63"/>
      <c r="D1376" s="64"/>
      <c r="E1376" s="65"/>
      <c r="F1376" s="66"/>
      <c r="G1376" s="63"/>
      <c r="H1376" s="67"/>
      <c r="I1376" s="68"/>
      <c r="J1376" s="68"/>
      <c r="K1376" s="32"/>
      <c r="L1376" s="75">
        <v>1376</v>
      </c>
      <c r="M1376" s="75"/>
      <c r="N1376" s="70"/>
      <c r="O1376" s="77" t="s">
        <v>179</v>
      </c>
      <c r="P1376" s="79">
        <v>45070.79074074074</v>
      </c>
      <c r="Q1376" s="77" t="s">
        <v>3283</v>
      </c>
      <c r="R1376" s="77">
        <v>0</v>
      </c>
      <c r="S1376" s="77">
        <v>0</v>
      </c>
      <c r="T1376" s="77">
        <v>0</v>
      </c>
      <c r="U1376" s="77">
        <v>0</v>
      </c>
      <c r="V1376" s="77">
        <v>12</v>
      </c>
      <c r="W1376" s="80" t="s">
        <v>6859</v>
      </c>
      <c r="X1376" s="83" t="str">
        <f>HYPERLINK("https://hoy.com.do/banco-central-anuncia-inflacion-entraria-dentro-del-rango-meta-al-cierre-de-mayo")</f>
        <v>https://hoy.com.do/banco-central-anuncia-inflacion-entraria-dentro-del-rango-meta-al-cierre-de-mayo</v>
      </c>
      <c r="Y1376" s="77" t="s">
        <v>8625</v>
      </c>
      <c r="Z1376" s="77"/>
      <c r="AA1376" s="77"/>
      <c r="AB1376" s="77"/>
      <c r="AC1376" s="80" t="s">
        <v>10541</v>
      </c>
      <c r="AD1376" s="77" t="s">
        <v>10620</v>
      </c>
      <c r="AE1376" s="83" t="str">
        <f>HYPERLINK("https://twitter.com/xiomaralaran/status/1661446632720793626")</f>
        <v>https://twitter.com/xiomaralaran/status/1661446632720793626</v>
      </c>
      <c r="AF1376" s="79">
        <v>45070.79074074074</v>
      </c>
      <c r="AG1376" s="85">
        <v>45070</v>
      </c>
      <c r="AH1376" s="80" t="s">
        <v>11830</v>
      </c>
      <c r="AI1376" s="77" t="b">
        <v>0</v>
      </c>
      <c r="AJ1376" s="77"/>
      <c r="AK1376" s="77"/>
      <c r="AL1376" s="77"/>
      <c r="AM1376" s="77"/>
      <c r="AN1376" s="77"/>
      <c r="AO1376" s="77"/>
      <c r="AP1376" s="77"/>
      <c r="AQ1376" s="77"/>
      <c r="AR1376" s="77"/>
      <c r="AS1376" s="77"/>
      <c r="AT1376" s="77"/>
      <c r="AU1376" s="77"/>
      <c r="AV1376" s="83" t="str">
        <f>HYPERLINK("https://pbs.twimg.com/profile_images/1693751524160151552/gBjahoLH_normal.jpg")</f>
        <v>https://pbs.twimg.com/profile_images/1693751524160151552/gBjahoLH_normal.jpg</v>
      </c>
      <c r="AW1376" s="80" t="s">
        <v>17254</v>
      </c>
      <c r="AX1376" s="80" t="s">
        <v>17254</v>
      </c>
      <c r="AY1376" s="77"/>
      <c r="AZ1376" s="80" t="s">
        <v>20380</v>
      </c>
      <c r="BA1376" s="80" t="s">
        <v>20380</v>
      </c>
      <c r="BB1376" s="80" t="s">
        <v>20380</v>
      </c>
      <c r="BC1376" s="80" t="s">
        <v>17254</v>
      </c>
      <c r="BD1376" s="77">
        <v>270178975</v>
      </c>
      <c r="BE1376" s="77"/>
      <c r="BF1376" s="77"/>
      <c r="BG1376" s="77"/>
      <c r="BH1376" s="77"/>
      <c r="BI1376" s="77"/>
    </row>
    <row r="1377" spans="1:61" x14ac:dyDescent="0.25">
      <c r="A1377" s="62" t="s">
        <v>759</v>
      </c>
      <c r="B1377" s="62" t="s">
        <v>759</v>
      </c>
      <c r="C1377" s="63"/>
      <c r="D1377" s="64"/>
      <c r="E1377" s="65"/>
      <c r="F1377" s="66"/>
      <c r="G1377" s="63"/>
      <c r="H1377" s="67"/>
      <c r="I1377" s="68"/>
      <c r="J1377" s="68"/>
      <c r="K1377" s="32"/>
      <c r="L1377" s="75">
        <v>1377</v>
      </c>
      <c r="M1377" s="75"/>
      <c r="N1377" s="70"/>
      <c r="O1377" s="77" t="s">
        <v>179</v>
      </c>
      <c r="P1377" s="79">
        <v>45116.66369212963</v>
      </c>
      <c r="Q1377" s="77" t="s">
        <v>3284</v>
      </c>
      <c r="R1377" s="77">
        <v>0</v>
      </c>
      <c r="S1377" s="77">
        <v>0</v>
      </c>
      <c r="T1377" s="77">
        <v>0</v>
      </c>
      <c r="U1377" s="77">
        <v>0</v>
      </c>
      <c r="V1377" s="77">
        <v>43</v>
      </c>
      <c r="W1377" s="80" t="s">
        <v>6860</v>
      </c>
      <c r="X1377" s="83" t="str">
        <f>HYPERLINK("https://hoy.com.do/banco-central-en-primer-semestre-los-flujos-de-remesas-alcanzaron-los-us5019-9-millones")</f>
        <v>https://hoy.com.do/banco-central-en-primer-semestre-los-flujos-de-remesas-alcanzaron-los-us5019-9-millones</v>
      </c>
      <c r="Y1377" s="77" t="s">
        <v>8625</v>
      </c>
      <c r="Z1377" s="77"/>
      <c r="AA1377" s="77"/>
      <c r="AB1377" s="77"/>
      <c r="AC1377" s="80" t="s">
        <v>10541</v>
      </c>
      <c r="AD1377" s="77" t="s">
        <v>10620</v>
      </c>
      <c r="AE1377" s="83" t="str">
        <f>HYPERLINK("https://twitter.com/xiomaralaran/status/1678070435689250817")</f>
        <v>https://twitter.com/xiomaralaran/status/1678070435689250817</v>
      </c>
      <c r="AF1377" s="79">
        <v>45116.66369212963</v>
      </c>
      <c r="AG1377" s="85">
        <v>45116</v>
      </c>
      <c r="AH1377" s="80" t="s">
        <v>11831</v>
      </c>
      <c r="AI1377" s="77" t="b">
        <v>0</v>
      </c>
      <c r="AJ1377" s="77"/>
      <c r="AK1377" s="77"/>
      <c r="AL1377" s="77"/>
      <c r="AM1377" s="77"/>
      <c r="AN1377" s="77"/>
      <c r="AO1377" s="77"/>
      <c r="AP1377" s="77"/>
      <c r="AQ1377" s="77"/>
      <c r="AR1377" s="77"/>
      <c r="AS1377" s="77"/>
      <c r="AT1377" s="77"/>
      <c r="AU1377" s="77"/>
      <c r="AV1377" s="83" t="str">
        <f>HYPERLINK("https://pbs.twimg.com/profile_images/1693751524160151552/gBjahoLH_normal.jpg")</f>
        <v>https://pbs.twimg.com/profile_images/1693751524160151552/gBjahoLH_normal.jpg</v>
      </c>
      <c r="AW1377" s="80" t="s">
        <v>17255</v>
      </c>
      <c r="AX1377" s="80" t="s">
        <v>17255</v>
      </c>
      <c r="AY1377" s="77"/>
      <c r="AZ1377" s="80" t="s">
        <v>20380</v>
      </c>
      <c r="BA1377" s="80" t="s">
        <v>20380</v>
      </c>
      <c r="BB1377" s="80" t="s">
        <v>20380</v>
      </c>
      <c r="BC1377" s="80" t="s">
        <v>17255</v>
      </c>
      <c r="BD1377" s="77">
        <v>270178975</v>
      </c>
      <c r="BE1377" s="77"/>
      <c r="BF1377" s="77"/>
      <c r="BG1377" s="77"/>
      <c r="BH1377" s="77"/>
      <c r="BI1377" s="77"/>
    </row>
    <row r="1378" spans="1:61" x14ac:dyDescent="0.25">
      <c r="A1378" s="62" t="s">
        <v>759</v>
      </c>
      <c r="B1378" s="62" t="s">
        <v>759</v>
      </c>
      <c r="C1378" s="63"/>
      <c r="D1378" s="64"/>
      <c r="E1378" s="65"/>
      <c r="F1378" s="66"/>
      <c r="G1378" s="63"/>
      <c r="H1378" s="67"/>
      <c r="I1378" s="68"/>
      <c r="J1378" s="68"/>
      <c r="K1378" s="32"/>
      <c r="L1378" s="75">
        <v>1378</v>
      </c>
      <c r="M1378" s="75"/>
      <c r="N1378" s="70"/>
      <c r="O1378" s="77" t="s">
        <v>179</v>
      </c>
      <c r="P1378" s="79">
        <v>45127.665208333332</v>
      </c>
      <c r="Q1378" s="77" t="s">
        <v>3285</v>
      </c>
      <c r="R1378" s="77">
        <v>0</v>
      </c>
      <c r="S1378" s="77">
        <v>0</v>
      </c>
      <c r="T1378" s="77">
        <v>0</v>
      </c>
      <c r="U1378" s="77">
        <v>0</v>
      </c>
      <c r="V1378" s="77">
        <v>7</v>
      </c>
      <c r="W1378" s="80" t="s">
        <v>6861</v>
      </c>
      <c r="X1378" s="83" t="str">
        <f>HYPERLINK("https://hoy.com.do/fuerza-del-pueblo-reacciona-a-respuesta-del-banco-central")</f>
        <v>https://hoy.com.do/fuerza-del-pueblo-reacciona-a-respuesta-del-banco-central</v>
      </c>
      <c r="Y1378" s="77" t="s">
        <v>8625</v>
      </c>
      <c r="Z1378" s="77"/>
      <c r="AA1378" s="77"/>
      <c r="AB1378" s="77"/>
      <c r="AC1378" s="80" t="s">
        <v>10541</v>
      </c>
      <c r="AD1378" s="77" t="s">
        <v>10620</v>
      </c>
      <c r="AE1378" s="83" t="str">
        <f>HYPERLINK("https://twitter.com/xiomaralaran/status/1682057252964794368")</f>
        <v>https://twitter.com/xiomaralaran/status/1682057252964794368</v>
      </c>
      <c r="AF1378" s="79">
        <v>45127.665208333332</v>
      </c>
      <c r="AG1378" s="85">
        <v>45127</v>
      </c>
      <c r="AH1378" s="80" t="s">
        <v>11832</v>
      </c>
      <c r="AI1378" s="77" t="b">
        <v>0</v>
      </c>
      <c r="AJ1378" s="77"/>
      <c r="AK1378" s="77"/>
      <c r="AL1378" s="77"/>
      <c r="AM1378" s="77"/>
      <c r="AN1378" s="77"/>
      <c r="AO1378" s="77"/>
      <c r="AP1378" s="77"/>
      <c r="AQ1378" s="77"/>
      <c r="AR1378" s="77"/>
      <c r="AS1378" s="77"/>
      <c r="AT1378" s="77"/>
      <c r="AU1378" s="77"/>
      <c r="AV1378" s="83" t="str">
        <f>HYPERLINK("https://pbs.twimg.com/profile_images/1693751524160151552/gBjahoLH_normal.jpg")</f>
        <v>https://pbs.twimg.com/profile_images/1693751524160151552/gBjahoLH_normal.jpg</v>
      </c>
      <c r="AW1378" s="80" t="s">
        <v>17256</v>
      </c>
      <c r="AX1378" s="80" t="s">
        <v>17256</v>
      </c>
      <c r="AY1378" s="77"/>
      <c r="AZ1378" s="80" t="s">
        <v>20380</v>
      </c>
      <c r="BA1378" s="80" t="s">
        <v>20380</v>
      </c>
      <c r="BB1378" s="80" t="s">
        <v>20380</v>
      </c>
      <c r="BC1378" s="80" t="s">
        <v>17256</v>
      </c>
      <c r="BD1378" s="77">
        <v>270178975</v>
      </c>
      <c r="BE1378" s="77"/>
      <c r="BF1378" s="77"/>
      <c r="BG1378" s="77"/>
      <c r="BH1378" s="77"/>
      <c r="BI1378" s="77"/>
    </row>
    <row r="1379" spans="1:61" x14ac:dyDescent="0.25">
      <c r="A1379" s="62" t="s">
        <v>759</v>
      </c>
      <c r="B1379" s="62" t="s">
        <v>759</v>
      </c>
      <c r="C1379" s="63"/>
      <c r="D1379" s="64"/>
      <c r="E1379" s="65"/>
      <c r="F1379" s="66"/>
      <c r="G1379" s="63"/>
      <c r="H1379" s="67"/>
      <c r="I1379" s="68"/>
      <c r="J1379" s="68"/>
      <c r="K1379" s="32"/>
      <c r="L1379" s="75">
        <v>1379</v>
      </c>
      <c r="M1379" s="75"/>
      <c r="N1379" s="70"/>
      <c r="O1379" s="77" t="s">
        <v>179</v>
      </c>
      <c r="P1379" s="79">
        <v>45090.562523148146</v>
      </c>
      <c r="Q1379" s="77" t="s">
        <v>3286</v>
      </c>
      <c r="R1379" s="77">
        <v>0</v>
      </c>
      <c r="S1379" s="77">
        <v>0</v>
      </c>
      <c r="T1379" s="77">
        <v>0</v>
      </c>
      <c r="U1379" s="77">
        <v>0</v>
      </c>
      <c r="V1379" s="77">
        <v>11</v>
      </c>
      <c r="W1379" s="80" t="s">
        <v>6862</v>
      </c>
      <c r="X1379" s="83" t="str">
        <f>HYPERLINK("https://hoy.com.do/billetes-de-rd500-con-nuevo-hilo-de-seguridad-circulan-desde-hoy")</f>
        <v>https://hoy.com.do/billetes-de-rd500-con-nuevo-hilo-de-seguridad-circulan-desde-hoy</v>
      </c>
      <c r="Y1379" s="77" t="s">
        <v>8625</v>
      </c>
      <c r="Z1379" s="77"/>
      <c r="AA1379" s="77"/>
      <c r="AB1379" s="77"/>
      <c r="AC1379" s="80" t="s">
        <v>10541</v>
      </c>
      <c r="AD1379" s="77" t="s">
        <v>10620</v>
      </c>
      <c r="AE1379" s="83" t="str">
        <f>HYPERLINK("https://twitter.com/xiomaralaran/status/1668611688256491521")</f>
        <v>https://twitter.com/xiomaralaran/status/1668611688256491521</v>
      </c>
      <c r="AF1379" s="79">
        <v>45090.562523148146</v>
      </c>
      <c r="AG1379" s="85">
        <v>45090</v>
      </c>
      <c r="AH1379" s="80" t="s">
        <v>11833</v>
      </c>
      <c r="AI1379" s="77" t="b">
        <v>0</v>
      </c>
      <c r="AJ1379" s="77"/>
      <c r="AK1379" s="77"/>
      <c r="AL1379" s="77"/>
      <c r="AM1379" s="77"/>
      <c r="AN1379" s="77"/>
      <c r="AO1379" s="77"/>
      <c r="AP1379" s="77"/>
      <c r="AQ1379" s="77"/>
      <c r="AR1379" s="77"/>
      <c r="AS1379" s="77"/>
      <c r="AT1379" s="77"/>
      <c r="AU1379" s="77"/>
      <c r="AV1379" s="83" t="str">
        <f>HYPERLINK("https://pbs.twimg.com/profile_images/1693751524160151552/gBjahoLH_normal.jpg")</f>
        <v>https://pbs.twimg.com/profile_images/1693751524160151552/gBjahoLH_normal.jpg</v>
      </c>
      <c r="AW1379" s="80" t="s">
        <v>17257</v>
      </c>
      <c r="AX1379" s="80" t="s">
        <v>17257</v>
      </c>
      <c r="AY1379" s="77"/>
      <c r="AZ1379" s="80" t="s">
        <v>20380</v>
      </c>
      <c r="BA1379" s="80" t="s">
        <v>20380</v>
      </c>
      <c r="BB1379" s="80" t="s">
        <v>20380</v>
      </c>
      <c r="BC1379" s="80" t="s">
        <v>17257</v>
      </c>
      <c r="BD1379" s="77">
        <v>270178975</v>
      </c>
      <c r="BE1379" s="77"/>
      <c r="BF1379" s="77"/>
      <c r="BG1379" s="77"/>
      <c r="BH1379" s="77"/>
      <c r="BI1379" s="77"/>
    </row>
    <row r="1380" spans="1:61" x14ac:dyDescent="0.25">
      <c r="A1380" s="62" t="s">
        <v>759</v>
      </c>
      <c r="B1380" s="62" t="s">
        <v>759</v>
      </c>
      <c r="C1380" s="63"/>
      <c r="D1380" s="64"/>
      <c r="E1380" s="65"/>
      <c r="F1380" s="66"/>
      <c r="G1380" s="63"/>
      <c r="H1380" s="67"/>
      <c r="I1380" s="68"/>
      <c r="J1380" s="68"/>
      <c r="K1380" s="32"/>
      <c r="L1380" s="75">
        <v>1380</v>
      </c>
      <c r="M1380" s="75"/>
      <c r="N1380" s="70"/>
      <c r="O1380" s="77" t="s">
        <v>179</v>
      </c>
      <c r="P1380" s="79">
        <v>45182.492094907408</v>
      </c>
      <c r="Q1380" s="77" t="s">
        <v>3287</v>
      </c>
      <c r="R1380" s="77">
        <v>0</v>
      </c>
      <c r="S1380" s="77">
        <v>0</v>
      </c>
      <c r="T1380" s="77">
        <v>0</v>
      </c>
      <c r="U1380" s="77">
        <v>0</v>
      </c>
      <c r="V1380" s="77">
        <v>8</v>
      </c>
      <c r="W1380" s="80" t="s">
        <v>6863</v>
      </c>
      <c r="X1380" s="83" t="str">
        <f>HYPERLINK("https://hoy.com.do/pollo-platanos-y-azucar-alimentos-que-subieron-de-precio")</f>
        <v>https://hoy.com.do/pollo-platanos-y-azucar-alimentos-que-subieron-de-precio</v>
      </c>
      <c r="Y1380" s="77" t="s">
        <v>8625</v>
      </c>
      <c r="Z1380" s="77"/>
      <c r="AA1380" s="77"/>
      <c r="AB1380" s="77"/>
      <c r="AC1380" s="80" t="s">
        <v>10541</v>
      </c>
      <c r="AD1380" s="77" t="s">
        <v>10620</v>
      </c>
      <c r="AE1380" s="83" t="str">
        <f>HYPERLINK("https://twitter.com/xiomaralaran/status/1701925851346915808")</f>
        <v>https://twitter.com/xiomaralaran/status/1701925851346915808</v>
      </c>
      <c r="AF1380" s="79">
        <v>45182.492094907408</v>
      </c>
      <c r="AG1380" s="85">
        <v>45182</v>
      </c>
      <c r="AH1380" s="80" t="s">
        <v>11834</v>
      </c>
      <c r="AI1380" s="77" t="b">
        <v>0</v>
      </c>
      <c r="AJ1380" s="77"/>
      <c r="AK1380" s="77"/>
      <c r="AL1380" s="77"/>
      <c r="AM1380" s="77"/>
      <c r="AN1380" s="77"/>
      <c r="AO1380" s="77"/>
      <c r="AP1380" s="77"/>
      <c r="AQ1380" s="77"/>
      <c r="AR1380" s="77"/>
      <c r="AS1380" s="77"/>
      <c r="AT1380" s="77"/>
      <c r="AU1380" s="77"/>
      <c r="AV1380" s="83" t="str">
        <f>HYPERLINK("https://pbs.twimg.com/profile_images/1693751524160151552/gBjahoLH_normal.jpg")</f>
        <v>https://pbs.twimg.com/profile_images/1693751524160151552/gBjahoLH_normal.jpg</v>
      </c>
      <c r="AW1380" s="80" t="s">
        <v>17258</v>
      </c>
      <c r="AX1380" s="80" t="s">
        <v>17258</v>
      </c>
      <c r="AY1380" s="77"/>
      <c r="AZ1380" s="80" t="s">
        <v>20380</v>
      </c>
      <c r="BA1380" s="80" t="s">
        <v>20380</v>
      </c>
      <c r="BB1380" s="80" t="s">
        <v>20380</v>
      </c>
      <c r="BC1380" s="80" t="s">
        <v>17258</v>
      </c>
      <c r="BD1380" s="77">
        <v>270178975</v>
      </c>
      <c r="BE1380" s="77"/>
      <c r="BF1380" s="77"/>
      <c r="BG1380" s="77"/>
      <c r="BH1380" s="77"/>
      <c r="BI1380" s="77"/>
    </row>
    <row r="1381" spans="1:61" x14ac:dyDescent="0.25">
      <c r="A1381" s="62" t="s">
        <v>760</v>
      </c>
      <c r="B1381" s="62" t="s">
        <v>760</v>
      </c>
      <c r="C1381" s="63"/>
      <c r="D1381" s="64"/>
      <c r="E1381" s="65"/>
      <c r="F1381" s="66"/>
      <c r="G1381" s="63"/>
      <c r="H1381" s="67"/>
      <c r="I1381" s="68"/>
      <c r="J1381" s="68"/>
      <c r="K1381" s="32"/>
      <c r="L1381" s="75">
        <v>1381</v>
      </c>
      <c r="M1381" s="75"/>
      <c r="N1381" s="70"/>
      <c r="O1381" s="77" t="s">
        <v>179</v>
      </c>
      <c r="P1381" s="79">
        <v>45103.860902777778</v>
      </c>
      <c r="Q1381" s="77" t="s">
        <v>3288</v>
      </c>
      <c r="R1381" s="77">
        <v>0</v>
      </c>
      <c r="S1381" s="77">
        <v>0</v>
      </c>
      <c r="T1381" s="77">
        <v>0</v>
      </c>
      <c r="U1381" s="77">
        <v>0</v>
      </c>
      <c r="V1381" s="77">
        <v>10</v>
      </c>
      <c r="W1381" s="80" t="s">
        <v>6864</v>
      </c>
      <c r="X1381" s="83" t="str">
        <f>HYPERLINK("https://eldia.com.do/el-banco-central-tendra-que-acelerar-el-paso")</f>
        <v>https://eldia.com.do/el-banco-central-tendra-que-acelerar-el-paso</v>
      </c>
      <c r="Y1381" s="77" t="s">
        <v>8625</v>
      </c>
      <c r="Z1381" s="77"/>
      <c r="AA1381" s="77"/>
      <c r="AB1381" s="77"/>
      <c r="AC1381" s="80" t="s">
        <v>10541</v>
      </c>
      <c r="AD1381" s="77" t="s">
        <v>10620</v>
      </c>
      <c r="AE1381" s="83" t="str">
        <f>HYPERLINK("https://twitter.com/tonygom79227681/status/1673430859792232453")</f>
        <v>https://twitter.com/tonygom79227681/status/1673430859792232453</v>
      </c>
      <c r="AF1381" s="79">
        <v>45103.860902777778</v>
      </c>
      <c r="AG1381" s="85">
        <v>45103</v>
      </c>
      <c r="AH1381" s="80" t="s">
        <v>11835</v>
      </c>
      <c r="AI1381" s="77" t="b">
        <v>0</v>
      </c>
      <c r="AJ1381" s="77"/>
      <c r="AK1381" s="77"/>
      <c r="AL1381" s="77"/>
      <c r="AM1381" s="77"/>
      <c r="AN1381" s="77"/>
      <c r="AO1381" s="77"/>
      <c r="AP1381" s="77"/>
      <c r="AQ1381" s="77"/>
      <c r="AR1381" s="77"/>
      <c r="AS1381" s="77"/>
      <c r="AT1381" s="77"/>
      <c r="AU1381" s="77"/>
      <c r="AV1381" s="83" t="str">
        <f>HYPERLINK("https://pbs.twimg.com/profile_images/1523726463530377222/qaYH9dMM_normal.jpg")</f>
        <v>https://pbs.twimg.com/profile_images/1523726463530377222/qaYH9dMM_normal.jpg</v>
      </c>
      <c r="AW1381" s="80" t="s">
        <v>17259</v>
      </c>
      <c r="AX1381" s="80" t="s">
        <v>17259</v>
      </c>
      <c r="AY1381" s="77"/>
      <c r="AZ1381" s="80" t="s">
        <v>20380</v>
      </c>
      <c r="BA1381" s="80" t="s">
        <v>20380</v>
      </c>
      <c r="BB1381" s="80" t="s">
        <v>20380</v>
      </c>
      <c r="BC1381" s="80" t="s">
        <v>17259</v>
      </c>
      <c r="BD1381" s="80" t="s">
        <v>20750</v>
      </c>
      <c r="BE1381" s="77"/>
      <c r="BF1381" s="77"/>
      <c r="BG1381" s="77"/>
      <c r="BH1381" s="77"/>
      <c r="BI1381" s="77"/>
    </row>
    <row r="1382" spans="1:61" x14ac:dyDescent="0.25">
      <c r="A1382" s="62" t="s">
        <v>761</v>
      </c>
      <c r="B1382" s="62" t="s">
        <v>761</v>
      </c>
      <c r="C1382" s="63"/>
      <c r="D1382" s="64"/>
      <c r="E1382" s="65"/>
      <c r="F1382" s="66"/>
      <c r="G1382" s="63"/>
      <c r="H1382" s="67"/>
      <c r="I1382" s="68"/>
      <c r="J1382" s="68"/>
      <c r="K1382" s="32"/>
      <c r="L1382" s="75">
        <v>1382</v>
      </c>
      <c r="M1382" s="75"/>
      <c r="N1382" s="70"/>
      <c r="O1382" s="77" t="s">
        <v>179</v>
      </c>
      <c r="P1382" s="79">
        <v>45065.532835648148</v>
      </c>
      <c r="Q1382" s="77" t="s">
        <v>3289</v>
      </c>
      <c r="R1382" s="77">
        <v>2</v>
      </c>
      <c r="S1382" s="77">
        <v>9</v>
      </c>
      <c r="T1382" s="77">
        <v>0</v>
      </c>
      <c r="U1382" s="77">
        <v>0</v>
      </c>
      <c r="V1382" s="77">
        <v>463</v>
      </c>
      <c r="W1382" s="80" t="s">
        <v>6319</v>
      </c>
      <c r="X1382" s="83" t="str">
        <f>HYPERLINK("https://www.cba24n.com.ar/argentina/comercios-con-codigo-qr-deberan-aceptar-pagos-con-cualquier-billetera-digital-interoperable_a646765c270119197b06c89cc")</f>
        <v>https://www.cba24n.com.ar/argentina/comercios-con-codigo-qr-deberan-aceptar-pagos-con-cualquier-billetera-digital-interoperable_a646765c270119197b06c89cc</v>
      </c>
      <c r="Y1382" s="77" t="s">
        <v>8624</v>
      </c>
      <c r="Z1382" s="77"/>
      <c r="AA1382" s="77"/>
      <c r="AB1382" s="77"/>
      <c r="AC1382" s="80" t="s">
        <v>10551</v>
      </c>
      <c r="AD1382" s="77" t="s">
        <v>10620</v>
      </c>
      <c r="AE1382" s="83" t="str">
        <f>HYPERLINK("https://twitter.com/cba24ncomar/status/1659541233826426881")</f>
        <v>https://twitter.com/cba24ncomar/status/1659541233826426881</v>
      </c>
      <c r="AF1382" s="79">
        <v>45065.532835648148</v>
      </c>
      <c r="AG1382" s="85">
        <v>45065</v>
      </c>
      <c r="AH1382" s="80" t="s">
        <v>11836</v>
      </c>
      <c r="AI1382" s="77" t="b">
        <v>0</v>
      </c>
      <c r="AJ1382" s="77"/>
      <c r="AK1382" s="77"/>
      <c r="AL1382" s="77"/>
      <c r="AM1382" s="77"/>
      <c r="AN1382" s="77"/>
      <c r="AO1382" s="77"/>
      <c r="AP1382" s="77"/>
      <c r="AQ1382" s="77"/>
      <c r="AR1382" s="77"/>
      <c r="AS1382" s="77"/>
      <c r="AT1382" s="77"/>
      <c r="AU1382" s="77"/>
      <c r="AV1382" s="83" t="str">
        <f>HYPERLINK("https://pbs.twimg.com/profile_images/1418303743892799489/p3b8Lbh9_normal.jpg")</f>
        <v>https://pbs.twimg.com/profile_images/1418303743892799489/p3b8Lbh9_normal.jpg</v>
      </c>
      <c r="AW1382" s="80" t="s">
        <v>17260</v>
      </c>
      <c r="AX1382" s="80" t="s">
        <v>17260</v>
      </c>
      <c r="AY1382" s="77"/>
      <c r="AZ1382" s="80" t="s">
        <v>20380</v>
      </c>
      <c r="BA1382" s="80" t="s">
        <v>20380</v>
      </c>
      <c r="BB1382" s="80" t="s">
        <v>20380</v>
      </c>
      <c r="BC1382" s="80" t="s">
        <v>17260</v>
      </c>
      <c r="BD1382" s="77">
        <v>307897148</v>
      </c>
      <c r="BE1382" s="77"/>
      <c r="BF1382" s="77"/>
      <c r="BG1382" s="77"/>
      <c r="BH1382" s="77"/>
      <c r="BI1382" s="77"/>
    </row>
    <row r="1383" spans="1:61" x14ac:dyDescent="0.25">
      <c r="A1383" s="62" t="s">
        <v>761</v>
      </c>
      <c r="B1383" s="62" t="s">
        <v>761</v>
      </c>
      <c r="C1383" s="63"/>
      <c r="D1383" s="64"/>
      <c r="E1383" s="65"/>
      <c r="F1383" s="66"/>
      <c r="G1383" s="63"/>
      <c r="H1383" s="67"/>
      <c r="I1383" s="68"/>
      <c r="J1383" s="68"/>
      <c r="K1383" s="32"/>
      <c r="L1383" s="75">
        <v>1383</v>
      </c>
      <c r="M1383" s="75"/>
      <c r="N1383" s="70"/>
      <c r="O1383" s="77" t="s">
        <v>179</v>
      </c>
      <c r="P1383" s="79">
        <v>45141.737141203703</v>
      </c>
      <c r="Q1383" s="77" t="s">
        <v>3290</v>
      </c>
      <c r="R1383" s="77">
        <v>0</v>
      </c>
      <c r="S1383" s="77">
        <v>0</v>
      </c>
      <c r="T1383" s="77">
        <v>0</v>
      </c>
      <c r="U1383" s="77">
        <v>0</v>
      </c>
      <c r="V1383" s="77">
        <v>381</v>
      </c>
      <c r="W1383" s="80" t="s">
        <v>5884</v>
      </c>
      <c r="X1383" s="83" t="str">
        <f>HYPERLINK("https://www.cba24n.com.ar/argentina/el-dolar--blue--imparable-tras-las-nuevas-medidas-del-gobierno--a-cuanto-cotiza-este-jueves-_a64cbd69a404c0ca2f7871a95")</f>
        <v>https://www.cba24n.com.ar/argentina/el-dolar--blue--imparable-tras-las-nuevas-medidas-del-gobierno--a-cuanto-cotiza-este-jueves-_a64cbd69a404c0ca2f7871a95</v>
      </c>
      <c r="Y1383" s="77" t="s">
        <v>8624</v>
      </c>
      <c r="Z1383" s="77"/>
      <c r="AA1383" s="77"/>
      <c r="AB1383" s="77"/>
      <c r="AC1383" s="80" t="s">
        <v>10541</v>
      </c>
      <c r="AD1383" s="77" t="s">
        <v>10620</v>
      </c>
      <c r="AE1383" s="83" t="str">
        <f>HYPERLINK("https://twitter.com/cba24ncomar/status/1687156747373330442")</f>
        <v>https://twitter.com/cba24ncomar/status/1687156747373330442</v>
      </c>
      <c r="AF1383" s="79">
        <v>45141.737141203703</v>
      </c>
      <c r="AG1383" s="85">
        <v>45141</v>
      </c>
      <c r="AH1383" s="80" t="s">
        <v>11837</v>
      </c>
      <c r="AI1383" s="77" t="b">
        <v>0</v>
      </c>
      <c r="AJ1383" s="77"/>
      <c r="AK1383" s="77"/>
      <c r="AL1383" s="77"/>
      <c r="AM1383" s="77"/>
      <c r="AN1383" s="77"/>
      <c r="AO1383" s="77"/>
      <c r="AP1383" s="77"/>
      <c r="AQ1383" s="77"/>
      <c r="AR1383" s="77"/>
      <c r="AS1383" s="77"/>
      <c r="AT1383" s="77"/>
      <c r="AU1383" s="77"/>
      <c r="AV1383" s="83" t="str">
        <f>HYPERLINK("https://pbs.twimg.com/profile_images/1418303743892799489/p3b8Lbh9_normal.jpg")</f>
        <v>https://pbs.twimg.com/profile_images/1418303743892799489/p3b8Lbh9_normal.jpg</v>
      </c>
      <c r="AW1383" s="80" t="s">
        <v>17261</v>
      </c>
      <c r="AX1383" s="80" t="s">
        <v>17261</v>
      </c>
      <c r="AY1383" s="77"/>
      <c r="AZ1383" s="80" t="s">
        <v>20380</v>
      </c>
      <c r="BA1383" s="80" t="s">
        <v>20380</v>
      </c>
      <c r="BB1383" s="80" t="s">
        <v>20380</v>
      </c>
      <c r="BC1383" s="80" t="s">
        <v>17261</v>
      </c>
      <c r="BD1383" s="77">
        <v>307897148</v>
      </c>
      <c r="BE1383" s="77"/>
      <c r="BF1383" s="77"/>
      <c r="BG1383" s="77"/>
      <c r="BH1383" s="77"/>
      <c r="BI1383" s="77"/>
    </row>
    <row r="1384" spans="1:61" x14ac:dyDescent="0.25">
      <c r="A1384" s="62" t="s">
        <v>420</v>
      </c>
      <c r="B1384" s="62" t="s">
        <v>420</v>
      </c>
      <c r="C1384" s="63"/>
      <c r="D1384" s="64"/>
      <c r="E1384" s="65"/>
      <c r="F1384" s="66"/>
      <c r="G1384" s="63"/>
      <c r="H1384" s="67"/>
      <c r="I1384" s="68"/>
      <c r="J1384" s="68"/>
      <c r="K1384" s="32"/>
      <c r="L1384" s="75">
        <v>1384</v>
      </c>
      <c r="M1384" s="75"/>
      <c r="N1384" s="70"/>
      <c r="O1384" s="77" t="s">
        <v>179</v>
      </c>
      <c r="P1384" s="79">
        <v>45090.776932870373</v>
      </c>
      <c r="Q1384" s="77" t="s">
        <v>3291</v>
      </c>
      <c r="R1384" s="77">
        <v>6</v>
      </c>
      <c r="S1384" s="77">
        <v>8</v>
      </c>
      <c r="T1384" s="77">
        <v>0</v>
      </c>
      <c r="U1384" s="77">
        <v>0</v>
      </c>
      <c r="V1384" s="77">
        <v>2791</v>
      </c>
      <c r="W1384" s="80" t="s">
        <v>6865</v>
      </c>
      <c r="X1384" s="77" t="s">
        <v>8603</v>
      </c>
      <c r="Y1384" s="77" t="s">
        <v>8749</v>
      </c>
      <c r="Z1384" s="77"/>
      <c r="AA1384" s="77"/>
      <c r="AB1384" s="77"/>
      <c r="AC1384" s="80" t="s">
        <v>10541</v>
      </c>
      <c r="AD1384" s="77" t="s">
        <v>10620</v>
      </c>
      <c r="AE1384" s="83" t="str">
        <f>HYPERLINK("https://twitter.com/sin24horas/status/1668689389898047496")</f>
        <v>https://twitter.com/sin24horas/status/1668689389898047496</v>
      </c>
      <c r="AF1384" s="79">
        <v>45090.776932870373</v>
      </c>
      <c r="AG1384" s="85">
        <v>45090</v>
      </c>
      <c r="AH1384" s="80" t="s">
        <v>11838</v>
      </c>
      <c r="AI1384" s="77" t="b">
        <v>0</v>
      </c>
      <c r="AJ1384" s="77"/>
      <c r="AK1384" s="77"/>
      <c r="AL1384" s="77"/>
      <c r="AM1384" s="77"/>
      <c r="AN1384" s="77"/>
      <c r="AO1384" s="77"/>
      <c r="AP1384" s="77"/>
      <c r="AQ1384" s="77"/>
      <c r="AR1384" s="77"/>
      <c r="AS1384" s="77"/>
      <c r="AT1384" s="77"/>
      <c r="AU1384" s="77"/>
      <c r="AV1384" s="83" t="str">
        <f>HYPERLINK("https://pbs.twimg.com/profile_images/1615391011059933185/lH32rvQq_normal.jpg")</f>
        <v>https://pbs.twimg.com/profile_images/1615391011059933185/lH32rvQq_normal.jpg</v>
      </c>
      <c r="AW1384" s="80" t="s">
        <v>17262</v>
      </c>
      <c r="AX1384" s="80" t="s">
        <v>17262</v>
      </c>
      <c r="AY1384" s="77"/>
      <c r="AZ1384" s="80" t="s">
        <v>20380</v>
      </c>
      <c r="BA1384" s="80" t="s">
        <v>20380</v>
      </c>
      <c r="BB1384" s="80" t="s">
        <v>20380</v>
      </c>
      <c r="BC1384" s="80" t="s">
        <v>17262</v>
      </c>
      <c r="BD1384" s="77">
        <v>55660696</v>
      </c>
      <c r="BE1384" s="77"/>
      <c r="BF1384" s="77"/>
      <c r="BG1384" s="77"/>
      <c r="BH1384" s="77"/>
      <c r="BI1384" s="77"/>
    </row>
    <row r="1385" spans="1:61" x14ac:dyDescent="0.25">
      <c r="A1385" s="62" t="s">
        <v>420</v>
      </c>
      <c r="B1385" s="62" t="s">
        <v>420</v>
      </c>
      <c r="C1385" s="63"/>
      <c r="D1385" s="64"/>
      <c r="E1385" s="65"/>
      <c r="F1385" s="66"/>
      <c r="G1385" s="63"/>
      <c r="H1385" s="67"/>
      <c r="I1385" s="68"/>
      <c r="J1385" s="68"/>
      <c r="K1385" s="32"/>
      <c r="L1385" s="75">
        <v>1385</v>
      </c>
      <c r="M1385" s="75"/>
      <c r="N1385" s="70"/>
      <c r="O1385" s="77" t="s">
        <v>179</v>
      </c>
      <c r="P1385" s="79">
        <v>45056.059282407405</v>
      </c>
      <c r="Q1385" s="77" t="s">
        <v>3292</v>
      </c>
      <c r="R1385" s="77">
        <v>0</v>
      </c>
      <c r="S1385" s="77">
        <v>1</v>
      </c>
      <c r="T1385" s="77">
        <v>0</v>
      </c>
      <c r="U1385" s="77">
        <v>1</v>
      </c>
      <c r="V1385" s="77">
        <v>3053</v>
      </c>
      <c r="W1385" s="80" t="s">
        <v>6866</v>
      </c>
      <c r="X1385" s="83" t="str">
        <f>HYPERLINK("https://noticiassin.com/economia/bcrd-la-inflacion-interanual-se-redujo-en-un-5-15-en-el-mes-de-abril-1420916/")</f>
        <v>https://noticiassin.com/economia/bcrd-la-inflacion-interanual-se-redujo-en-un-5-15-en-el-mes-de-abril-1420916/</v>
      </c>
      <c r="Y1385" s="77" t="s">
        <v>8665</v>
      </c>
      <c r="Z1385" s="77"/>
      <c r="AA1385" s="77"/>
      <c r="AB1385" s="77"/>
      <c r="AC1385" s="80" t="s">
        <v>10541</v>
      </c>
      <c r="AD1385" s="77" t="s">
        <v>10620</v>
      </c>
      <c r="AE1385" s="83" t="str">
        <f>HYPERLINK("https://twitter.com/sin24horas/status/1656108131536060416")</f>
        <v>https://twitter.com/sin24horas/status/1656108131536060416</v>
      </c>
      <c r="AF1385" s="79">
        <v>45056.059282407405</v>
      </c>
      <c r="AG1385" s="85">
        <v>45056</v>
      </c>
      <c r="AH1385" s="80" t="s">
        <v>11839</v>
      </c>
      <c r="AI1385" s="77" t="b">
        <v>0</v>
      </c>
      <c r="AJ1385" s="77"/>
      <c r="AK1385" s="77"/>
      <c r="AL1385" s="77"/>
      <c r="AM1385" s="77"/>
      <c r="AN1385" s="77"/>
      <c r="AO1385" s="77"/>
      <c r="AP1385" s="77"/>
      <c r="AQ1385" s="77"/>
      <c r="AR1385" s="77"/>
      <c r="AS1385" s="77"/>
      <c r="AT1385" s="77"/>
      <c r="AU1385" s="77"/>
      <c r="AV1385" s="83" t="str">
        <f>HYPERLINK("https://pbs.twimg.com/profile_images/1615391011059933185/lH32rvQq_normal.jpg")</f>
        <v>https://pbs.twimg.com/profile_images/1615391011059933185/lH32rvQq_normal.jpg</v>
      </c>
      <c r="AW1385" s="80" t="s">
        <v>17263</v>
      </c>
      <c r="AX1385" s="80" t="s">
        <v>17263</v>
      </c>
      <c r="AY1385" s="77"/>
      <c r="AZ1385" s="80" t="s">
        <v>20380</v>
      </c>
      <c r="BA1385" s="80" t="s">
        <v>20380</v>
      </c>
      <c r="BB1385" s="80" t="s">
        <v>20380</v>
      </c>
      <c r="BC1385" s="80" t="s">
        <v>17263</v>
      </c>
      <c r="BD1385" s="77">
        <v>55660696</v>
      </c>
      <c r="BE1385" s="77"/>
      <c r="BF1385" s="77"/>
      <c r="BG1385" s="77"/>
      <c r="BH1385" s="77"/>
      <c r="BI1385" s="77"/>
    </row>
    <row r="1386" spans="1:61" x14ac:dyDescent="0.25">
      <c r="A1386" s="62" t="s">
        <v>420</v>
      </c>
      <c r="B1386" s="62" t="s">
        <v>420</v>
      </c>
      <c r="C1386" s="63"/>
      <c r="D1386" s="64"/>
      <c r="E1386" s="65"/>
      <c r="F1386" s="66"/>
      <c r="G1386" s="63"/>
      <c r="H1386" s="67"/>
      <c r="I1386" s="68"/>
      <c r="J1386" s="68"/>
      <c r="K1386" s="32"/>
      <c r="L1386" s="75">
        <v>1386</v>
      </c>
      <c r="M1386" s="75"/>
      <c r="N1386" s="70"/>
      <c r="O1386" s="77" t="s">
        <v>179</v>
      </c>
      <c r="P1386" s="79">
        <v>45117.659594907411</v>
      </c>
      <c r="Q1386" s="77" t="s">
        <v>3293</v>
      </c>
      <c r="R1386" s="77">
        <v>3</v>
      </c>
      <c r="S1386" s="77">
        <v>5</v>
      </c>
      <c r="T1386" s="77">
        <v>0</v>
      </c>
      <c r="U1386" s="77">
        <v>0</v>
      </c>
      <c r="V1386" s="77">
        <v>2034</v>
      </c>
      <c r="W1386" s="80" t="s">
        <v>6867</v>
      </c>
      <c r="X1386" s="77" t="s">
        <v>8604</v>
      </c>
      <c r="Y1386" s="77" t="s">
        <v>8749</v>
      </c>
      <c r="Z1386" s="77"/>
      <c r="AA1386" s="77"/>
      <c r="AB1386" s="77"/>
      <c r="AC1386" s="80" t="s">
        <v>10541</v>
      </c>
      <c r="AD1386" s="77" t="s">
        <v>10620</v>
      </c>
      <c r="AE1386" s="83" t="str">
        <f>HYPERLINK("https://twitter.com/sin24horas/status/1678431338523762691")</f>
        <v>https://twitter.com/sin24horas/status/1678431338523762691</v>
      </c>
      <c r="AF1386" s="79">
        <v>45117.659594907411</v>
      </c>
      <c r="AG1386" s="85">
        <v>45117</v>
      </c>
      <c r="AH1386" s="80" t="s">
        <v>11840</v>
      </c>
      <c r="AI1386" s="77" t="b">
        <v>0</v>
      </c>
      <c r="AJ1386" s="77"/>
      <c r="AK1386" s="77"/>
      <c r="AL1386" s="77"/>
      <c r="AM1386" s="77"/>
      <c r="AN1386" s="77"/>
      <c r="AO1386" s="77"/>
      <c r="AP1386" s="77"/>
      <c r="AQ1386" s="77"/>
      <c r="AR1386" s="77"/>
      <c r="AS1386" s="77"/>
      <c r="AT1386" s="77"/>
      <c r="AU1386" s="77"/>
      <c r="AV1386" s="83" t="str">
        <f>HYPERLINK("https://pbs.twimg.com/profile_images/1615391011059933185/lH32rvQq_normal.jpg")</f>
        <v>https://pbs.twimg.com/profile_images/1615391011059933185/lH32rvQq_normal.jpg</v>
      </c>
      <c r="AW1386" s="80" t="s">
        <v>17264</v>
      </c>
      <c r="AX1386" s="80" t="s">
        <v>17264</v>
      </c>
      <c r="AY1386" s="77"/>
      <c r="AZ1386" s="80" t="s">
        <v>20380</v>
      </c>
      <c r="BA1386" s="80" t="s">
        <v>20380</v>
      </c>
      <c r="BB1386" s="80" t="s">
        <v>20380</v>
      </c>
      <c r="BC1386" s="80" t="s">
        <v>17264</v>
      </c>
      <c r="BD1386" s="77">
        <v>55660696</v>
      </c>
      <c r="BE1386" s="77"/>
      <c r="BF1386" s="77"/>
      <c r="BG1386" s="77"/>
      <c r="BH1386" s="77"/>
      <c r="BI1386" s="77"/>
    </row>
    <row r="1387" spans="1:61" x14ac:dyDescent="0.25">
      <c r="A1387" s="62" t="s">
        <v>420</v>
      </c>
      <c r="B1387" s="62" t="s">
        <v>420</v>
      </c>
      <c r="C1387" s="63"/>
      <c r="D1387" s="64"/>
      <c r="E1387" s="65"/>
      <c r="F1387" s="66"/>
      <c r="G1387" s="63"/>
      <c r="H1387" s="67"/>
      <c r="I1387" s="68"/>
      <c r="J1387" s="68"/>
      <c r="K1387" s="32"/>
      <c r="L1387" s="75">
        <v>1387</v>
      </c>
      <c r="M1387" s="75"/>
      <c r="N1387" s="70"/>
      <c r="O1387" s="77" t="s">
        <v>179</v>
      </c>
      <c r="P1387" s="79">
        <v>45078.888113425928</v>
      </c>
      <c r="Q1387" s="77" t="s">
        <v>3294</v>
      </c>
      <c r="R1387" s="77">
        <v>2</v>
      </c>
      <c r="S1387" s="77">
        <v>10</v>
      </c>
      <c r="T1387" s="77">
        <v>1</v>
      </c>
      <c r="U1387" s="77">
        <v>0</v>
      </c>
      <c r="V1387" s="77">
        <v>3045</v>
      </c>
      <c r="W1387" s="80" t="s">
        <v>6868</v>
      </c>
      <c r="X1387" s="83" t="str">
        <f>HYPERLINK("https://noticiassin.com/pais/junta-monetaria-aprueba-rd94-mil-millones-para-prestamos-a-sectores-productivos-hogares-y-sector-privado-1432386/")</f>
        <v>https://noticiassin.com/pais/junta-monetaria-aprueba-rd94-mil-millones-para-prestamos-a-sectores-productivos-hogares-y-sector-privado-1432386/</v>
      </c>
      <c r="Y1387" s="77" t="s">
        <v>8665</v>
      </c>
      <c r="Z1387" s="77"/>
      <c r="AA1387" s="77" t="s">
        <v>9506</v>
      </c>
      <c r="AB1387" s="77" t="s">
        <v>10535</v>
      </c>
      <c r="AC1387" s="80" t="s">
        <v>10541</v>
      </c>
      <c r="AD1387" s="77" t="s">
        <v>10620</v>
      </c>
      <c r="AE1387" s="83" t="str">
        <f>HYPERLINK("https://twitter.com/sin24horas/status/1664381025860845574")</f>
        <v>https://twitter.com/sin24horas/status/1664381025860845574</v>
      </c>
      <c r="AF1387" s="79">
        <v>45078.888113425928</v>
      </c>
      <c r="AG1387" s="85">
        <v>45078</v>
      </c>
      <c r="AH1387" s="80" t="s">
        <v>11841</v>
      </c>
      <c r="AI1387" s="77" t="b">
        <v>0</v>
      </c>
      <c r="AJ1387" s="77"/>
      <c r="AK1387" s="77"/>
      <c r="AL1387" s="77"/>
      <c r="AM1387" s="77"/>
      <c r="AN1387" s="77"/>
      <c r="AO1387" s="77"/>
      <c r="AP1387" s="77"/>
      <c r="AQ1387" s="77" t="s">
        <v>14988</v>
      </c>
      <c r="AR1387" s="77"/>
      <c r="AS1387" s="77"/>
      <c r="AT1387" s="77"/>
      <c r="AU1387" s="77"/>
      <c r="AV1387" s="83" t="str">
        <f>HYPERLINK("https://pbs.twimg.com/media/FxkRa0UX0AErKUq.jpg")</f>
        <v>https://pbs.twimg.com/media/FxkRa0UX0AErKUq.jpg</v>
      </c>
      <c r="AW1387" s="80" t="s">
        <v>17265</v>
      </c>
      <c r="AX1387" s="80" t="s">
        <v>17265</v>
      </c>
      <c r="AY1387" s="77"/>
      <c r="AZ1387" s="80" t="s">
        <v>20380</v>
      </c>
      <c r="BA1387" s="80" t="s">
        <v>20380</v>
      </c>
      <c r="BB1387" s="80" t="s">
        <v>20380</v>
      </c>
      <c r="BC1387" s="80" t="s">
        <v>17265</v>
      </c>
      <c r="BD1387" s="77">
        <v>55660696</v>
      </c>
      <c r="BE1387" s="77"/>
      <c r="BF1387" s="77"/>
      <c r="BG1387" s="77"/>
      <c r="BH1387" s="77"/>
      <c r="BI1387" s="77"/>
    </row>
    <row r="1388" spans="1:61" x14ac:dyDescent="0.25">
      <c r="A1388" s="62" t="s">
        <v>420</v>
      </c>
      <c r="B1388" s="62" t="s">
        <v>420</v>
      </c>
      <c r="C1388" s="63"/>
      <c r="D1388" s="64"/>
      <c r="E1388" s="65"/>
      <c r="F1388" s="66"/>
      <c r="G1388" s="63"/>
      <c r="H1388" s="67"/>
      <c r="I1388" s="68"/>
      <c r="J1388" s="68"/>
      <c r="K1388" s="32"/>
      <c r="L1388" s="75">
        <v>1388</v>
      </c>
      <c r="M1388" s="75"/>
      <c r="N1388" s="70"/>
      <c r="O1388" s="77" t="s">
        <v>179</v>
      </c>
      <c r="P1388" s="79">
        <v>45077.92597222222</v>
      </c>
      <c r="Q1388" s="77" t="s">
        <v>3295</v>
      </c>
      <c r="R1388" s="77">
        <v>9</v>
      </c>
      <c r="S1388" s="77">
        <v>24</v>
      </c>
      <c r="T1388" s="77">
        <v>5</v>
      </c>
      <c r="U1388" s="77">
        <v>0</v>
      </c>
      <c r="V1388" s="77">
        <v>6933</v>
      </c>
      <c r="W1388" s="80" t="s">
        <v>6869</v>
      </c>
      <c r="X1388" s="83" t="str">
        <f>HYPERLINK("https://noticiassin.com/pais/descenso-de-50-puntos-basicos-del-bc-repercutira-en-rebaja-de-precios-dice-brache-1431791/")</f>
        <v>https://noticiassin.com/pais/descenso-de-50-puntos-basicos-del-bc-repercutira-en-rebaja-de-precios-dice-brache-1431791/</v>
      </c>
      <c r="Y1388" s="77" t="s">
        <v>8665</v>
      </c>
      <c r="Z1388" s="77"/>
      <c r="AA1388" s="77" t="s">
        <v>9507</v>
      </c>
      <c r="AB1388" s="77" t="s">
        <v>10534</v>
      </c>
      <c r="AC1388" s="80" t="s">
        <v>10541</v>
      </c>
      <c r="AD1388" s="77" t="s">
        <v>10620</v>
      </c>
      <c r="AE1388" s="83" t="str">
        <f>HYPERLINK("https://twitter.com/sin24horas/status/1664032355164495873")</f>
        <v>https://twitter.com/sin24horas/status/1664032355164495873</v>
      </c>
      <c r="AF1388" s="79">
        <v>45077.92597222222</v>
      </c>
      <c r="AG1388" s="85">
        <v>45077</v>
      </c>
      <c r="AH1388" s="80" t="s">
        <v>11842</v>
      </c>
      <c r="AI1388" s="77" t="b">
        <v>0</v>
      </c>
      <c r="AJ1388" s="77"/>
      <c r="AK1388" s="77"/>
      <c r="AL1388" s="77"/>
      <c r="AM1388" s="77"/>
      <c r="AN1388" s="77"/>
      <c r="AO1388" s="77"/>
      <c r="AP1388" s="77"/>
      <c r="AQ1388" s="77" t="s">
        <v>14989</v>
      </c>
      <c r="AR1388" s="77">
        <v>79232</v>
      </c>
      <c r="AS1388" s="77"/>
      <c r="AT1388" s="77"/>
      <c r="AU1388" s="77"/>
      <c r="AV1388" s="83" t="str">
        <f>HYPERLINK("https://pbs.twimg.com/ext_tw_video_thumb/1664030505711415296/pu/img/RtbUHTDgQMNfymFC.jpg")</f>
        <v>https://pbs.twimg.com/ext_tw_video_thumb/1664030505711415296/pu/img/RtbUHTDgQMNfymFC.jpg</v>
      </c>
      <c r="AW1388" s="80" t="s">
        <v>17266</v>
      </c>
      <c r="AX1388" s="80" t="s">
        <v>17266</v>
      </c>
      <c r="AY1388" s="77"/>
      <c r="AZ1388" s="80" t="s">
        <v>20380</v>
      </c>
      <c r="BA1388" s="80" t="s">
        <v>20380</v>
      </c>
      <c r="BB1388" s="80" t="s">
        <v>20380</v>
      </c>
      <c r="BC1388" s="80" t="s">
        <v>17266</v>
      </c>
      <c r="BD1388" s="77">
        <v>55660696</v>
      </c>
      <c r="BE1388" s="77"/>
      <c r="BF1388" s="77"/>
      <c r="BG1388" s="77"/>
      <c r="BH1388" s="77"/>
      <c r="BI1388" s="77"/>
    </row>
    <row r="1389" spans="1:61" x14ac:dyDescent="0.25">
      <c r="A1389" s="62" t="s">
        <v>420</v>
      </c>
      <c r="B1389" s="62" t="s">
        <v>420</v>
      </c>
      <c r="C1389" s="63"/>
      <c r="D1389" s="64"/>
      <c r="E1389" s="65"/>
      <c r="F1389" s="66"/>
      <c r="G1389" s="63"/>
      <c r="H1389" s="67"/>
      <c r="I1389" s="68"/>
      <c r="J1389" s="68"/>
      <c r="K1389" s="32"/>
      <c r="L1389" s="75">
        <v>1389</v>
      </c>
      <c r="M1389" s="75"/>
      <c r="N1389" s="70"/>
      <c r="O1389" s="77" t="s">
        <v>179</v>
      </c>
      <c r="P1389" s="79">
        <v>45128.133668981478</v>
      </c>
      <c r="Q1389" s="77" t="s">
        <v>3296</v>
      </c>
      <c r="R1389" s="77">
        <v>1</v>
      </c>
      <c r="S1389" s="77">
        <v>4</v>
      </c>
      <c r="T1389" s="77">
        <v>5</v>
      </c>
      <c r="U1389" s="77">
        <v>1</v>
      </c>
      <c r="V1389" s="77">
        <v>3928</v>
      </c>
      <c r="W1389" s="80" t="s">
        <v>6870</v>
      </c>
      <c r="X1389" s="83" t="str">
        <f>HYPERLINK("https://noticiassin.com/economia/economista-asegura-banco-central-busca-dinamizar-la-economia-a-traves-de-medidas-monetarias-1462487/")</f>
        <v>https://noticiassin.com/economia/economista-asegura-banco-central-busca-dinamizar-la-economia-a-traves-de-medidas-monetarias-1462487/</v>
      </c>
      <c r="Y1389" s="77" t="s">
        <v>8665</v>
      </c>
      <c r="Z1389" s="77"/>
      <c r="AA1389" s="77" t="s">
        <v>9508</v>
      </c>
      <c r="AB1389" s="77" t="s">
        <v>10535</v>
      </c>
      <c r="AC1389" s="80" t="s">
        <v>10541</v>
      </c>
      <c r="AD1389" s="77" t="s">
        <v>10620</v>
      </c>
      <c r="AE1389" s="83" t="str">
        <f>HYPERLINK("https://twitter.com/sin24horas/status/1682227016307732485")</f>
        <v>https://twitter.com/sin24horas/status/1682227016307732485</v>
      </c>
      <c r="AF1389" s="79">
        <v>45128.133668981478</v>
      </c>
      <c r="AG1389" s="85">
        <v>45128</v>
      </c>
      <c r="AH1389" s="80" t="s">
        <v>11843</v>
      </c>
      <c r="AI1389" s="77" t="b">
        <v>0</v>
      </c>
      <c r="AJ1389" s="77"/>
      <c r="AK1389" s="77"/>
      <c r="AL1389" s="77"/>
      <c r="AM1389" s="77"/>
      <c r="AN1389" s="77"/>
      <c r="AO1389" s="77"/>
      <c r="AP1389" s="77"/>
      <c r="AQ1389" s="77" t="s">
        <v>14990</v>
      </c>
      <c r="AR1389" s="77"/>
      <c r="AS1389" s="77"/>
      <c r="AT1389" s="77"/>
      <c r="AU1389" s="77"/>
      <c r="AV1389" s="83" t="str">
        <f>HYPERLINK("https://pbs.twimg.com/media/F1h4cllWYAEmTZ5.jpg")</f>
        <v>https://pbs.twimg.com/media/F1h4cllWYAEmTZ5.jpg</v>
      </c>
      <c r="AW1389" s="80" t="s">
        <v>17267</v>
      </c>
      <c r="AX1389" s="80" t="s">
        <v>17267</v>
      </c>
      <c r="AY1389" s="77"/>
      <c r="AZ1389" s="80" t="s">
        <v>20380</v>
      </c>
      <c r="BA1389" s="80" t="s">
        <v>20380</v>
      </c>
      <c r="BB1389" s="80" t="s">
        <v>20380</v>
      </c>
      <c r="BC1389" s="80" t="s">
        <v>17267</v>
      </c>
      <c r="BD1389" s="77">
        <v>55660696</v>
      </c>
      <c r="BE1389" s="77"/>
      <c r="BF1389" s="77"/>
      <c r="BG1389" s="77"/>
      <c r="BH1389" s="77"/>
      <c r="BI1389" s="77"/>
    </row>
    <row r="1390" spans="1:61" x14ac:dyDescent="0.25">
      <c r="A1390" s="62" t="s">
        <v>420</v>
      </c>
      <c r="B1390" s="62" t="s">
        <v>420</v>
      </c>
      <c r="C1390" s="63"/>
      <c r="D1390" s="64"/>
      <c r="E1390" s="65"/>
      <c r="F1390" s="66"/>
      <c r="G1390" s="63"/>
      <c r="H1390" s="67"/>
      <c r="I1390" s="68"/>
      <c r="J1390" s="68"/>
      <c r="K1390" s="32"/>
      <c r="L1390" s="75">
        <v>1390</v>
      </c>
      <c r="M1390" s="75"/>
      <c r="N1390" s="70"/>
      <c r="O1390" s="77" t="s">
        <v>179</v>
      </c>
      <c r="P1390" s="79">
        <v>45126.951932870368</v>
      </c>
      <c r="Q1390" s="77" t="s">
        <v>3297</v>
      </c>
      <c r="R1390" s="77">
        <v>7</v>
      </c>
      <c r="S1390" s="77">
        <v>31</v>
      </c>
      <c r="T1390" s="77">
        <v>14</v>
      </c>
      <c r="U1390" s="77">
        <v>2</v>
      </c>
      <c r="V1390" s="77">
        <v>8025</v>
      </c>
      <c r="W1390" s="80" t="s">
        <v>6871</v>
      </c>
      <c r="X1390" s="83" t="str">
        <f>HYPERLINK("https://noticiassin.com/pais/bc-desembolsa-rd58741-millones-para-sectores-productivos-hogares-y-mipymes-1461587/")</f>
        <v>https://noticiassin.com/pais/bc-desembolsa-rd58741-millones-para-sectores-productivos-hogares-y-mipymes-1461587/</v>
      </c>
      <c r="Y1390" s="77" t="s">
        <v>8665</v>
      </c>
      <c r="Z1390" s="77"/>
      <c r="AA1390" s="77"/>
      <c r="AB1390" s="77"/>
      <c r="AC1390" s="80" t="s">
        <v>10541</v>
      </c>
      <c r="AD1390" s="77" t="s">
        <v>10620</v>
      </c>
      <c r="AE1390" s="83" t="str">
        <f>HYPERLINK("https://twitter.com/sin24horas/status/1681798767895257088")</f>
        <v>https://twitter.com/sin24horas/status/1681798767895257088</v>
      </c>
      <c r="AF1390" s="79">
        <v>45126.951932870368</v>
      </c>
      <c r="AG1390" s="85">
        <v>45126</v>
      </c>
      <c r="AH1390" s="80" t="s">
        <v>11844</v>
      </c>
      <c r="AI1390" s="77" t="b">
        <v>0</v>
      </c>
      <c r="AJ1390" s="77"/>
      <c r="AK1390" s="77"/>
      <c r="AL1390" s="77"/>
      <c r="AM1390" s="77"/>
      <c r="AN1390" s="77"/>
      <c r="AO1390" s="77"/>
      <c r="AP1390" s="77"/>
      <c r="AQ1390" s="77"/>
      <c r="AR1390" s="77"/>
      <c r="AS1390" s="77"/>
      <c r="AT1390" s="77"/>
      <c r="AU1390" s="77"/>
      <c r="AV1390" s="83" t="str">
        <f>HYPERLINK("https://pbs.twimg.com/profile_images/1615391011059933185/lH32rvQq_normal.jpg")</f>
        <v>https://pbs.twimg.com/profile_images/1615391011059933185/lH32rvQq_normal.jpg</v>
      </c>
      <c r="AW1390" s="80" t="s">
        <v>17268</v>
      </c>
      <c r="AX1390" s="80" t="s">
        <v>17268</v>
      </c>
      <c r="AY1390" s="77"/>
      <c r="AZ1390" s="80" t="s">
        <v>20380</v>
      </c>
      <c r="BA1390" s="80" t="s">
        <v>20380</v>
      </c>
      <c r="BB1390" s="80" t="s">
        <v>20380</v>
      </c>
      <c r="BC1390" s="80" t="s">
        <v>17268</v>
      </c>
      <c r="BD1390" s="77">
        <v>55660696</v>
      </c>
      <c r="BE1390" s="77"/>
      <c r="BF1390" s="77"/>
      <c r="BG1390" s="77"/>
      <c r="BH1390" s="77"/>
      <c r="BI1390" s="77"/>
    </row>
    <row r="1391" spans="1:61" x14ac:dyDescent="0.25">
      <c r="A1391" s="62" t="s">
        <v>420</v>
      </c>
      <c r="B1391" s="62" t="s">
        <v>420</v>
      </c>
      <c r="C1391" s="63"/>
      <c r="D1391" s="64"/>
      <c r="E1391" s="65"/>
      <c r="F1391" s="66"/>
      <c r="G1391" s="63"/>
      <c r="H1391" s="67"/>
      <c r="I1391" s="68"/>
      <c r="J1391" s="68"/>
      <c r="K1391" s="32"/>
      <c r="L1391" s="75">
        <v>1391</v>
      </c>
      <c r="M1391" s="75"/>
      <c r="N1391" s="70"/>
      <c r="O1391" s="77" t="s">
        <v>179</v>
      </c>
      <c r="P1391" s="79">
        <v>45089.985266203701</v>
      </c>
      <c r="Q1391" s="77" t="s">
        <v>3298</v>
      </c>
      <c r="R1391" s="77">
        <v>28</v>
      </c>
      <c r="S1391" s="77">
        <v>62</v>
      </c>
      <c r="T1391" s="77">
        <v>0</v>
      </c>
      <c r="U1391" s="77">
        <v>1</v>
      </c>
      <c r="V1391" s="77">
        <v>9571</v>
      </c>
      <c r="W1391" s="80" t="s">
        <v>6872</v>
      </c>
      <c r="X1391" s="83" t="str">
        <f>HYPERLINK("https://noticiassin.com/pais/a-partir-de-manana-circulara-nuevo-billete-de-rd500-1438739/")</f>
        <v>https://noticiassin.com/pais/a-partir-de-manana-circulara-nuevo-billete-de-rd500-1438739/</v>
      </c>
      <c r="Y1391" s="77" t="s">
        <v>8665</v>
      </c>
      <c r="Z1391" s="77"/>
      <c r="AA1391" s="77" t="s">
        <v>9509</v>
      </c>
      <c r="AB1391" s="77" t="s">
        <v>10535</v>
      </c>
      <c r="AC1391" s="80" t="s">
        <v>10541</v>
      </c>
      <c r="AD1391" s="77" t="s">
        <v>10620</v>
      </c>
      <c r="AE1391" s="83" t="str">
        <f>HYPERLINK("https://twitter.com/sin24horas/status/1668402496392372225")</f>
        <v>https://twitter.com/sin24horas/status/1668402496392372225</v>
      </c>
      <c r="AF1391" s="79">
        <v>45089.985266203701</v>
      </c>
      <c r="AG1391" s="85">
        <v>45089</v>
      </c>
      <c r="AH1391" s="80" t="s">
        <v>11845</v>
      </c>
      <c r="AI1391" s="77" t="b">
        <v>0</v>
      </c>
      <c r="AJ1391" s="77"/>
      <c r="AK1391" s="77"/>
      <c r="AL1391" s="77"/>
      <c r="AM1391" s="77"/>
      <c r="AN1391" s="77"/>
      <c r="AO1391" s="77"/>
      <c r="AP1391" s="77"/>
      <c r="AQ1391" s="77" t="s">
        <v>14991</v>
      </c>
      <c r="AR1391" s="77"/>
      <c r="AS1391" s="77"/>
      <c r="AT1391" s="77"/>
      <c r="AU1391" s="77"/>
      <c r="AV1391" s="83" t="str">
        <f>HYPERLINK("https://pbs.twimg.com/media/FydbA0EWIAMGeL_.jpg")</f>
        <v>https://pbs.twimg.com/media/FydbA0EWIAMGeL_.jpg</v>
      </c>
      <c r="AW1391" s="80" t="s">
        <v>17269</v>
      </c>
      <c r="AX1391" s="80" t="s">
        <v>17269</v>
      </c>
      <c r="AY1391" s="77"/>
      <c r="AZ1391" s="80" t="s">
        <v>20380</v>
      </c>
      <c r="BA1391" s="80" t="s">
        <v>20380</v>
      </c>
      <c r="BB1391" s="80" t="s">
        <v>20380</v>
      </c>
      <c r="BC1391" s="80" t="s">
        <v>17269</v>
      </c>
      <c r="BD1391" s="77">
        <v>55660696</v>
      </c>
      <c r="BE1391" s="77"/>
      <c r="BF1391" s="77"/>
      <c r="BG1391" s="77"/>
      <c r="BH1391" s="77"/>
      <c r="BI1391" s="77"/>
    </row>
    <row r="1392" spans="1:61" x14ac:dyDescent="0.25">
      <c r="A1392" s="62" t="s">
        <v>420</v>
      </c>
      <c r="B1392" s="62" t="s">
        <v>420</v>
      </c>
      <c r="C1392" s="63"/>
      <c r="D1392" s="64"/>
      <c r="E1392" s="65"/>
      <c r="F1392" s="66"/>
      <c r="G1392" s="63"/>
      <c r="H1392" s="67"/>
      <c r="I1392" s="68"/>
      <c r="J1392" s="68"/>
      <c r="K1392" s="32"/>
      <c r="L1392" s="75">
        <v>1392</v>
      </c>
      <c r="M1392" s="75"/>
      <c r="N1392" s="70"/>
      <c r="O1392" s="77" t="s">
        <v>179</v>
      </c>
      <c r="P1392" s="79">
        <v>45106.964282407411</v>
      </c>
      <c r="Q1392" s="77" t="s">
        <v>3299</v>
      </c>
      <c r="R1392" s="77">
        <v>2</v>
      </c>
      <c r="S1392" s="77">
        <v>4</v>
      </c>
      <c r="T1392" s="77">
        <v>0</v>
      </c>
      <c r="U1392" s="77">
        <v>0</v>
      </c>
      <c r="V1392" s="77">
        <v>2049</v>
      </c>
      <c r="W1392" s="80" t="s">
        <v>6873</v>
      </c>
      <c r="X1392" s="83" t="str">
        <f>HYPERLINK("https://noticiassin.com/pais/cuando-el-banco-central-reduce-tasa-de-politica-monetaria-cuales-aspectos-toma-en-cuenta-1449203/")</f>
        <v>https://noticiassin.com/pais/cuando-el-banco-central-reduce-tasa-de-politica-monetaria-cuales-aspectos-toma-en-cuenta-1449203/</v>
      </c>
      <c r="Y1392" s="77" t="s">
        <v>8665</v>
      </c>
      <c r="Z1392" s="77"/>
      <c r="AA1392" s="77" t="s">
        <v>9510</v>
      </c>
      <c r="AB1392" s="77" t="s">
        <v>10535</v>
      </c>
      <c r="AC1392" s="80" t="s">
        <v>10541</v>
      </c>
      <c r="AD1392" s="77" t="s">
        <v>10620</v>
      </c>
      <c r="AE1392" s="83" t="str">
        <f>HYPERLINK("https://twitter.com/sin24horas/status/1674555487080128512")</f>
        <v>https://twitter.com/sin24horas/status/1674555487080128512</v>
      </c>
      <c r="AF1392" s="79">
        <v>45106.964282407411</v>
      </c>
      <c r="AG1392" s="85">
        <v>45106</v>
      </c>
      <c r="AH1392" s="80" t="s">
        <v>11846</v>
      </c>
      <c r="AI1392" s="77" t="b">
        <v>0</v>
      </c>
      <c r="AJ1392" s="77"/>
      <c r="AK1392" s="77"/>
      <c r="AL1392" s="77"/>
      <c r="AM1392" s="77"/>
      <c r="AN1392" s="77"/>
      <c r="AO1392" s="77"/>
      <c r="AP1392" s="77"/>
      <c r="AQ1392" s="77" t="s">
        <v>14992</v>
      </c>
      <c r="AR1392" s="77"/>
      <c r="AS1392" s="77"/>
      <c r="AT1392" s="77"/>
      <c r="AU1392" s="77"/>
      <c r="AV1392" s="83" t="str">
        <f>HYPERLINK("https://pbs.twimg.com/media/Fz0wXXlWIAAmLkN.jpg")</f>
        <v>https://pbs.twimg.com/media/Fz0wXXlWIAAmLkN.jpg</v>
      </c>
      <c r="AW1392" s="80" t="s">
        <v>17270</v>
      </c>
      <c r="AX1392" s="80" t="s">
        <v>17270</v>
      </c>
      <c r="AY1392" s="77"/>
      <c r="AZ1392" s="80" t="s">
        <v>20380</v>
      </c>
      <c r="BA1392" s="80" t="s">
        <v>20380</v>
      </c>
      <c r="BB1392" s="80" t="s">
        <v>20380</v>
      </c>
      <c r="BC1392" s="80" t="s">
        <v>17270</v>
      </c>
      <c r="BD1392" s="77">
        <v>55660696</v>
      </c>
      <c r="BE1392" s="77"/>
      <c r="BF1392" s="77"/>
      <c r="BG1392" s="77"/>
      <c r="BH1392" s="77"/>
      <c r="BI1392" s="77"/>
    </row>
    <row r="1393" spans="1:61" x14ac:dyDescent="0.25">
      <c r="A1393" s="62" t="s">
        <v>420</v>
      </c>
      <c r="B1393" s="62" t="s">
        <v>420</v>
      </c>
      <c r="C1393" s="63"/>
      <c r="D1393" s="64"/>
      <c r="E1393" s="65"/>
      <c r="F1393" s="66"/>
      <c r="G1393" s="63"/>
      <c r="H1393" s="67"/>
      <c r="I1393" s="68"/>
      <c r="J1393" s="68"/>
      <c r="K1393" s="32"/>
      <c r="L1393" s="75">
        <v>1393</v>
      </c>
      <c r="M1393" s="75"/>
      <c r="N1393" s="70"/>
      <c r="O1393" s="77" t="s">
        <v>179</v>
      </c>
      <c r="P1393" s="79">
        <v>45106.898587962962</v>
      </c>
      <c r="Q1393" s="77" t="s">
        <v>3300</v>
      </c>
      <c r="R1393" s="77">
        <v>3</v>
      </c>
      <c r="S1393" s="77">
        <v>15</v>
      </c>
      <c r="T1393" s="77">
        <v>4</v>
      </c>
      <c r="U1393" s="77">
        <v>0</v>
      </c>
      <c r="V1393" s="77">
        <v>2449</v>
      </c>
      <c r="W1393" s="80" t="s">
        <v>6874</v>
      </c>
      <c r="X1393" s="83" t="str">
        <f>HYPERLINK("https://noticiassin.com/pais/bcrd-reduce-tasa-de-politica-monetaria-en-25-puntos-basicos-de-8-00-a-7-75-anual-1449150/")</f>
        <v>https://noticiassin.com/pais/bcrd-reduce-tasa-de-politica-monetaria-en-25-puntos-basicos-de-8-00-a-7-75-anual-1449150/</v>
      </c>
      <c r="Y1393" s="77" t="s">
        <v>8665</v>
      </c>
      <c r="Z1393" s="77"/>
      <c r="AA1393" s="77" t="s">
        <v>9511</v>
      </c>
      <c r="AB1393" s="77" t="s">
        <v>10535</v>
      </c>
      <c r="AC1393" s="80" t="s">
        <v>10541</v>
      </c>
      <c r="AD1393" s="77" t="s">
        <v>10620</v>
      </c>
      <c r="AE1393" s="83" t="str">
        <f>HYPERLINK("https://twitter.com/sin24horas/status/1674531681833721856")</f>
        <v>https://twitter.com/sin24horas/status/1674531681833721856</v>
      </c>
      <c r="AF1393" s="79">
        <v>45106.898587962962</v>
      </c>
      <c r="AG1393" s="85">
        <v>45106</v>
      </c>
      <c r="AH1393" s="80" t="s">
        <v>11847</v>
      </c>
      <c r="AI1393" s="77" t="b">
        <v>0</v>
      </c>
      <c r="AJ1393" s="77"/>
      <c r="AK1393" s="77"/>
      <c r="AL1393" s="77"/>
      <c r="AM1393" s="77"/>
      <c r="AN1393" s="77"/>
      <c r="AO1393" s="77"/>
      <c r="AP1393" s="77"/>
      <c r="AQ1393" s="77" t="s">
        <v>14993</v>
      </c>
      <c r="AR1393" s="77"/>
      <c r="AS1393" s="77"/>
      <c r="AT1393" s="77"/>
      <c r="AU1393" s="77"/>
      <c r="AV1393" s="83" t="str">
        <f>HYPERLINK("https://pbs.twimg.com/media/Fz0hazkXoAA4qog.jpg")</f>
        <v>https://pbs.twimg.com/media/Fz0hazkXoAA4qog.jpg</v>
      </c>
      <c r="AW1393" s="80" t="s">
        <v>17271</v>
      </c>
      <c r="AX1393" s="80" t="s">
        <v>17271</v>
      </c>
      <c r="AY1393" s="77"/>
      <c r="AZ1393" s="80" t="s">
        <v>20380</v>
      </c>
      <c r="BA1393" s="80" t="s">
        <v>20380</v>
      </c>
      <c r="BB1393" s="80" t="s">
        <v>20380</v>
      </c>
      <c r="BC1393" s="80" t="s">
        <v>17271</v>
      </c>
      <c r="BD1393" s="77">
        <v>55660696</v>
      </c>
      <c r="BE1393" s="77"/>
      <c r="BF1393" s="77"/>
      <c r="BG1393" s="77"/>
      <c r="BH1393" s="77"/>
      <c r="BI1393" s="77"/>
    </row>
    <row r="1394" spans="1:61" x14ac:dyDescent="0.25">
      <c r="A1394" s="62" t="s">
        <v>420</v>
      </c>
      <c r="B1394" s="62" t="s">
        <v>420</v>
      </c>
      <c r="C1394" s="63"/>
      <c r="D1394" s="64"/>
      <c r="E1394" s="65"/>
      <c r="F1394" s="66"/>
      <c r="G1394" s="63"/>
      <c r="H1394" s="67"/>
      <c r="I1394" s="68"/>
      <c r="J1394" s="68"/>
      <c r="K1394" s="32"/>
      <c r="L1394" s="75">
        <v>1394</v>
      </c>
      <c r="M1394" s="75"/>
      <c r="N1394" s="70"/>
      <c r="O1394" s="77" t="s">
        <v>179</v>
      </c>
      <c r="P1394" s="79">
        <v>45093.125636574077</v>
      </c>
      <c r="Q1394" s="77" t="s">
        <v>3301</v>
      </c>
      <c r="R1394" s="77">
        <v>0</v>
      </c>
      <c r="S1394" s="77">
        <v>1</v>
      </c>
      <c r="T1394" s="77">
        <v>0</v>
      </c>
      <c r="U1394" s="77">
        <v>0</v>
      </c>
      <c r="V1394" s="77">
        <v>2386</v>
      </c>
      <c r="W1394" s="80" t="s">
        <v>6875</v>
      </c>
      <c r="X1394" s="77" t="s">
        <v>8605</v>
      </c>
      <c r="Y1394" s="77" t="s">
        <v>8749</v>
      </c>
      <c r="Z1394" s="77"/>
      <c r="AA1394" s="77"/>
      <c r="AB1394" s="77"/>
      <c r="AC1394" s="80" t="s">
        <v>10541</v>
      </c>
      <c r="AD1394" s="77" t="s">
        <v>10620</v>
      </c>
      <c r="AE1394" s="83" t="str">
        <f>HYPERLINK("https://twitter.com/sin24horas/status/1669540529007214594")</f>
        <v>https://twitter.com/sin24horas/status/1669540529007214594</v>
      </c>
      <c r="AF1394" s="79">
        <v>45093.125636574077</v>
      </c>
      <c r="AG1394" s="85">
        <v>45093</v>
      </c>
      <c r="AH1394" s="80" t="s">
        <v>11848</v>
      </c>
      <c r="AI1394" s="77" t="b">
        <v>0</v>
      </c>
      <c r="AJ1394" s="77"/>
      <c r="AK1394" s="77"/>
      <c r="AL1394" s="77"/>
      <c r="AM1394" s="77"/>
      <c r="AN1394" s="77"/>
      <c r="AO1394" s="77"/>
      <c r="AP1394" s="77"/>
      <c r="AQ1394" s="77"/>
      <c r="AR1394" s="77"/>
      <c r="AS1394" s="77"/>
      <c r="AT1394" s="77"/>
      <c r="AU1394" s="77"/>
      <c r="AV1394" s="83" t="str">
        <f>HYPERLINK("https://pbs.twimg.com/profile_images/1615391011059933185/lH32rvQq_normal.jpg")</f>
        <v>https://pbs.twimg.com/profile_images/1615391011059933185/lH32rvQq_normal.jpg</v>
      </c>
      <c r="AW1394" s="80" t="s">
        <v>17272</v>
      </c>
      <c r="AX1394" s="80" t="s">
        <v>17272</v>
      </c>
      <c r="AY1394" s="77"/>
      <c r="AZ1394" s="80" t="s">
        <v>20380</v>
      </c>
      <c r="BA1394" s="80" t="s">
        <v>20380</v>
      </c>
      <c r="BB1394" s="80" t="s">
        <v>20380</v>
      </c>
      <c r="BC1394" s="80" t="s">
        <v>17272</v>
      </c>
      <c r="BD1394" s="77">
        <v>55660696</v>
      </c>
      <c r="BE1394" s="77"/>
      <c r="BF1394" s="77"/>
      <c r="BG1394" s="77"/>
      <c r="BH1394" s="77"/>
      <c r="BI1394" s="77"/>
    </row>
    <row r="1395" spans="1:61" x14ac:dyDescent="0.25">
      <c r="A1395" s="62" t="s">
        <v>420</v>
      </c>
      <c r="B1395" s="62" t="s">
        <v>420</v>
      </c>
      <c r="C1395" s="63"/>
      <c r="D1395" s="64"/>
      <c r="E1395" s="65"/>
      <c r="F1395" s="66"/>
      <c r="G1395" s="63"/>
      <c r="H1395" s="67"/>
      <c r="I1395" s="68"/>
      <c r="J1395" s="68"/>
      <c r="K1395" s="32"/>
      <c r="L1395" s="75">
        <v>1395</v>
      </c>
      <c r="M1395" s="75"/>
      <c r="N1395" s="70"/>
      <c r="O1395" s="77" t="s">
        <v>179</v>
      </c>
      <c r="P1395" s="79">
        <v>45166.908958333333</v>
      </c>
      <c r="Q1395" s="77" t="s">
        <v>3302</v>
      </c>
      <c r="R1395" s="77">
        <v>0</v>
      </c>
      <c r="S1395" s="77">
        <v>5</v>
      </c>
      <c r="T1395" s="77">
        <v>3</v>
      </c>
      <c r="U1395" s="77">
        <v>1</v>
      </c>
      <c r="V1395" s="77">
        <v>2677</v>
      </c>
      <c r="W1395" s="80" t="s">
        <v>6876</v>
      </c>
      <c r="X1395" s="83" t="str">
        <f>HYPERLINK("https://noticiassin.com/pais/economia-registra-expansion-de-2-9-en-el-mes-de-julio-dice-el-bc-1487512/")</f>
        <v>https://noticiassin.com/pais/economia-registra-expansion-de-2-9-en-el-mes-de-julio-dice-el-bc-1487512/</v>
      </c>
      <c r="Y1395" s="77" t="s">
        <v>8665</v>
      </c>
      <c r="Z1395" s="77"/>
      <c r="AA1395" s="77" t="s">
        <v>9512</v>
      </c>
      <c r="AB1395" s="77" t="s">
        <v>10535</v>
      </c>
      <c r="AC1395" s="80" t="s">
        <v>10541</v>
      </c>
      <c r="AD1395" s="77" t="s">
        <v>10620</v>
      </c>
      <c r="AE1395" s="83" t="str">
        <f>HYPERLINK("https://twitter.com/sin24horas/status/1696278709437595868")</f>
        <v>https://twitter.com/sin24horas/status/1696278709437595868</v>
      </c>
      <c r="AF1395" s="79">
        <v>45166.908958333333</v>
      </c>
      <c r="AG1395" s="85">
        <v>45166</v>
      </c>
      <c r="AH1395" s="80" t="s">
        <v>11487</v>
      </c>
      <c r="AI1395" s="77" t="b">
        <v>0</v>
      </c>
      <c r="AJ1395" s="77"/>
      <c r="AK1395" s="77"/>
      <c r="AL1395" s="77"/>
      <c r="AM1395" s="77"/>
      <c r="AN1395" s="77"/>
      <c r="AO1395" s="77"/>
      <c r="AP1395" s="77"/>
      <c r="AQ1395" s="77" t="s">
        <v>14994</v>
      </c>
      <c r="AR1395" s="77"/>
      <c r="AS1395" s="77"/>
      <c r="AT1395" s="77"/>
      <c r="AU1395" s="77"/>
      <c r="AV1395" s="83" t="str">
        <f>HYPERLINK("https://pbs.twimg.com/media/F4pkMKQW4AEWfqv.jpg")</f>
        <v>https://pbs.twimg.com/media/F4pkMKQW4AEWfqv.jpg</v>
      </c>
      <c r="AW1395" s="80" t="s">
        <v>17273</v>
      </c>
      <c r="AX1395" s="80" t="s">
        <v>17273</v>
      </c>
      <c r="AY1395" s="77"/>
      <c r="AZ1395" s="80" t="s">
        <v>20380</v>
      </c>
      <c r="BA1395" s="80" t="s">
        <v>20380</v>
      </c>
      <c r="BB1395" s="80" t="s">
        <v>20380</v>
      </c>
      <c r="BC1395" s="80" t="s">
        <v>17273</v>
      </c>
      <c r="BD1395" s="77">
        <v>55660696</v>
      </c>
      <c r="BE1395" s="77"/>
      <c r="BF1395" s="77"/>
      <c r="BG1395" s="77"/>
      <c r="BH1395" s="77"/>
      <c r="BI1395" s="77"/>
    </row>
    <row r="1396" spans="1:61" x14ac:dyDescent="0.25">
      <c r="A1396" s="62" t="s">
        <v>420</v>
      </c>
      <c r="B1396" s="62" t="s">
        <v>420</v>
      </c>
      <c r="C1396" s="63"/>
      <c r="D1396" s="64"/>
      <c r="E1396" s="65"/>
      <c r="F1396" s="66"/>
      <c r="G1396" s="63"/>
      <c r="H1396" s="67"/>
      <c r="I1396" s="68"/>
      <c r="J1396" s="68"/>
      <c r="K1396" s="32"/>
      <c r="L1396" s="75">
        <v>1396</v>
      </c>
      <c r="M1396" s="75"/>
      <c r="N1396" s="70"/>
      <c r="O1396" s="77" t="s">
        <v>179</v>
      </c>
      <c r="P1396" s="79">
        <v>45112.049861111111</v>
      </c>
      <c r="Q1396" s="77" t="s">
        <v>3303</v>
      </c>
      <c r="R1396" s="77">
        <v>1</v>
      </c>
      <c r="S1396" s="77">
        <v>5</v>
      </c>
      <c r="T1396" s="77">
        <v>1</v>
      </c>
      <c r="U1396" s="77">
        <v>0</v>
      </c>
      <c r="V1396" s="77">
        <v>2681</v>
      </c>
      <c r="W1396" s="80" t="s">
        <v>6877</v>
      </c>
      <c r="X1396" s="83" t="str">
        <f>HYPERLINK("https://noticiassin.com/economia/nuevo-billete-de-rd2000-mil-circulara-a-partir-de-hoy-1451896/")</f>
        <v>https://noticiassin.com/economia/nuevo-billete-de-rd2000-mil-circulara-a-partir-de-hoy-1451896/</v>
      </c>
      <c r="Y1396" s="77" t="s">
        <v>8665</v>
      </c>
      <c r="Z1396" s="77"/>
      <c r="AA1396" s="77"/>
      <c r="AB1396" s="77"/>
      <c r="AC1396" s="80" t="s">
        <v>10541</v>
      </c>
      <c r="AD1396" s="77" t="s">
        <v>10620</v>
      </c>
      <c r="AE1396" s="83" t="str">
        <f>HYPERLINK("https://twitter.com/sin24horas/status/1676398437481209862")</f>
        <v>https://twitter.com/sin24horas/status/1676398437481209862</v>
      </c>
      <c r="AF1396" s="79">
        <v>45112.049861111111</v>
      </c>
      <c r="AG1396" s="85">
        <v>45112</v>
      </c>
      <c r="AH1396" s="80" t="s">
        <v>11849</v>
      </c>
      <c r="AI1396" s="77" t="b">
        <v>0</v>
      </c>
      <c r="AJ1396" s="77"/>
      <c r="AK1396" s="77"/>
      <c r="AL1396" s="77"/>
      <c r="AM1396" s="77"/>
      <c r="AN1396" s="77"/>
      <c r="AO1396" s="77"/>
      <c r="AP1396" s="77"/>
      <c r="AQ1396" s="77"/>
      <c r="AR1396" s="77"/>
      <c r="AS1396" s="77"/>
      <c r="AT1396" s="77"/>
      <c r="AU1396" s="77"/>
      <c r="AV1396" s="83" t="str">
        <f>HYPERLINK("https://pbs.twimg.com/profile_images/1615391011059933185/lH32rvQq_normal.jpg")</f>
        <v>https://pbs.twimg.com/profile_images/1615391011059933185/lH32rvQq_normal.jpg</v>
      </c>
      <c r="AW1396" s="80" t="s">
        <v>17274</v>
      </c>
      <c r="AX1396" s="80" t="s">
        <v>17274</v>
      </c>
      <c r="AY1396" s="77"/>
      <c r="AZ1396" s="80" t="s">
        <v>20380</v>
      </c>
      <c r="BA1396" s="80" t="s">
        <v>20380</v>
      </c>
      <c r="BB1396" s="80" t="s">
        <v>20380</v>
      </c>
      <c r="BC1396" s="80" t="s">
        <v>17274</v>
      </c>
      <c r="BD1396" s="77">
        <v>55660696</v>
      </c>
      <c r="BE1396" s="77"/>
      <c r="BF1396" s="77"/>
      <c r="BG1396" s="77"/>
      <c r="BH1396" s="77"/>
      <c r="BI1396" s="77"/>
    </row>
    <row r="1397" spans="1:61" x14ac:dyDescent="0.25">
      <c r="A1397" s="62" t="s">
        <v>420</v>
      </c>
      <c r="B1397" s="62" t="s">
        <v>420</v>
      </c>
      <c r="C1397" s="63"/>
      <c r="D1397" s="64"/>
      <c r="E1397" s="65"/>
      <c r="F1397" s="66"/>
      <c r="G1397" s="63"/>
      <c r="H1397" s="67"/>
      <c r="I1397" s="68"/>
      <c r="J1397" s="68"/>
      <c r="K1397" s="32"/>
      <c r="L1397" s="75">
        <v>1397</v>
      </c>
      <c r="M1397" s="75"/>
      <c r="N1397" s="70"/>
      <c r="O1397" s="77" t="s">
        <v>179</v>
      </c>
      <c r="P1397" s="79">
        <v>45110.913553240738</v>
      </c>
      <c r="Q1397" s="77" t="s">
        <v>3304</v>
      </c>
      <c r="R1397" s="77">
        <v>3</v>
      </c>
      <c r="S1397" s="77">
        <v>8</v>
      </c>
      <c r="T1397" s="77">
        <v>1</v>
      </c>
      <c r="U1397" s="77">
        <v>4</v>
      </c>
      <c r="V1397" s="77">
        <v>2459</v>
      </c>
      <c r="W1397" s="80" t="s">
        <v>6878</v>
      </c>
      <c r="X1397" s="83" t="str">
        <f>HYPERLINK("https://noticiassin.com/pais/republica-dominicana-reporta-128-627-nuevos-empleos-en-el-primer-trimestre-1451132/")</f>
        <v>https://noticiassin.com/pais/republica-dominicana-reporta-128-627-nuevos-empleos-en-el-primer-trimestre-1451132/</v>
      </c>
      <c r="Y1397" s="77" t="s">
        <v>8665</v>
      </c>
      <c r="Z1397" s="77"/>
      <c r="AA1397" s="77" t="s">
        <v>9513</v>
      </c>
      <c r="AB1397" s="77" t="s">
        <v>10535</v>
      </c>
      <c r="AC1397" s="80" t="s">
        <v>10541</v>
      </c>
      <c r="AD1397" s="77" t="s">
        <v>10620</v>
      </c>
      <c r="AE1397" s="83" t="str">
        <f>HYPERLINK("https://twitter.com/sin24horas/status/1675986654153129985")</f>
        <v>https://twitter.com/sin24horas/status/1675986654153129985</v>
      </c>
      <c r="AF1397" s="79">
        <v>45110.913553240738</v>
      </c>
      <c r="AG1397" s="85">
        <v>45110</v>
      </c>
      <c r="AH1397" s="80" t="s">
        <v>11850</v>
      </c>
      <c r="AI1397" s="77" t="b">
        <v>0</v>
      </c>
      <c r="AJ1397" s="77"/>
      <c r="AK1397" s="77"/>
      <c r="AL1397" s="77"/>
      <c r="AM1397" s="77"/>
      <c r="AN1397" s="77"/>
      <c r="AO1397" s="77"/>
      <c r="AP1397" s="77"/>
      <c r="AQ1397" s="77" t="s">
        <v>14995</v>
      </c>
      <c r="AR1397" s="77"/>
      <c r="AS1397" s="77"/>
      <c r="AT1397" s="77"/>
      <c r="AU1397" s="77"/>
      <c r="AV1397" s="83" t="str">
        <f>HYPERLINK("https://pbs.twimg.com/media/F0JMionWcAE-vQt.jpg")</f>
        <v>https://pbs.twimg.com/media/F0JMionWcAE-vQt.jpg</v>
      </c>
      <c r="AW1397" s="80" t="s">
        <v>17275</v>
      </c>
      <c r="AX1397" s="80" t="s">
        <v>17275</v>
      </c>
      <c r="AY1397" s="77"/>
      <c r="AZ1397" s="80" t="s">
        <v>20380</v>
      </c>
      <c r="BA1397" s="80" t="s">
        <v>20380</v>
      </c>
      <c r="BB1397" s="80" t="s">
        <v>20380</v>
      </c>
      <c r="BC1397" s="80" t="s">
        <v>17275</v>
      </c>
      <c r="BD1397" s="77">
        <v>55660696</v>
      </c>
      <c r="BE1397" s="77"/>
      <c r="BF1397" s="77"/>
      <c r="BG1397" s="77"/>
      <c r="BH1397" s="77"/>
      <c r="BI1397" s="77"/>
    </row>
    <row r="1398" spans="1:61" x14ac:dyDescent="0.25">
      <c r="A1398" s="62" t="s">
        <v>420</v>
      </c>
      <c r="B1398" s="62" t="s">
        <v>420</v>
      </c>
      <c r="C1398" s="63"/>
      <c r="D1398" s="64"/>
      <c r="E1398" s="65"/>
      <c r="F1398" s="66"/>
      <c r="G1398" s="63"/>
      <c r="H1398" s="67"/>
      <c r="I1398" s="68"/>
      <c r="J1398" s="68"/>
      <c r="K1398" s="32"/>
      <c r="L1398" s="75">
        <v>1398</v>
      </c>
      <c r="M1398" s="75"/>
      <c r="N1398" s="70"/>
      <c r="O1398" s="77" t="s">
        <v>179</v>
      </c>
      <c r="P1398" s="79">
        <v>45153.862361111111</v>
      </c>
      <c r="Q1398" s="77" t="s">
        <v>3305</v>
      </c>
      <c r="R1398" s="77">
        <v>1</v>
      </c>
      <c r="S1398" s="77">
        <v>4</v>
      </c>
      <c r="T1398" s="77">
        <v>0</v>
      </c>
      <c r="U1398" s="77">
        <v>0</v>
      </c>
      <c r="V1398" s="77">
        <v>1785</v>
      </c>
      <c r="W1398" s="80" t="s">
        <v>6879</v>
      </c>
      <c r="X1398" s="83" t="str">
        <f>HYPERLINK("https://noticiassin.com/economia/bcrd-firmaron-acuerdo-con-prodominicana-en-materia-inversion-extranjera-1478475/")</f>
        <v>https://noticiassin.com/economia/bcrd-firmaron-acuerdo-con-prodominicana-en-materia-inversion-extranjera-1478475/</v>
      </c>
      <c r="Y1398" s="77" t="s">
        <v>8665</v>
      </c>
      <c r="Z1398" s="77"/>
      <c r="AA1398" s="77"/>
      <c r="AB1398" s="77"/>
      <c r="AC1398" s="80" t="s">
        <v>10541</v>
      </c>
      <c r="AD1398" s="77" t="s">
        <v>10620</v>
      </c>
      <c r="AE1398" s="83" t="str">
        <f>HYPERLINK("https://twitter.com/sin24horas/status/1691550780145193450")</f>
        <v>https://twitter.com/sin24horas/status/1691550780145193450</v>
      </c>
      <c r="AF1398" s="79">
        <v>45153.862361111111</v>
      </c>
      <c r="AG1398" s="85">
        <v>45153</v>
      </c>
      <c r="AH1398" s="80" t="s">
        <v>11851</v>
      </c>
      <c r="AI1398" s="77" t="b">
        <v>0</v>
      </c>
      <c r="AJ1398" s="77"/>
      <c r="AK1398" s="77"/>
      <c r="AL1398" s="77"/>
      <c r="AM1398" s="77"/>
      <c r="AN1398" s="77"/>
      <c r="AO1398" s="77"/>
      <c r="AP1398" s="77"/>
      <c r="AQ1398" s="77"/>
      <c r="AR1398" s="77"/>
      <c r="AS1398" s="77"/>
      <c r="AT1398" s="77"/>
      <c r="AU1398" s="77"/>
      <c r="AV1398" s="83" t="str">
        <f>HYPERLINK("https://pbs.twimg.com/profile_images/1615391011059933185/lH32rvQq_normal.jpg")</f>
        <v>https://pbs.twimg.com/profile_images/1615391011059933185/lH32rvQq_normal.jpg</v>
      </c>
      <c r="AW1398" s="80" t="s">
        <v>17276</v>
      </c>
      <c r="AX1398" s="80" t="s">
        <v>17276</v>
      </c>
      <c r="AY1398" s="77"/>
      <c r="AZ1398" s="80" t="s">
        <v>20380</v>
      </c>
      <c r="BA1398" s="80" t="s">
        <v>20380</v>
      </c>
      <c r="BB1398" s="80" t="s">
        <v>20380</v>
      </c>
      <c r="BC1398" s="80" t="s">
        <v>17276</v>
      </c>
      <c r="BD1398" s="77">
        <v>55660696</v>
      </c>
      <c r="BE1398" s="77"/>
      <c r="BF1398" s="77"/>
      <c r="BG1398" s="77"/>
      <c r="BH1398" s="77"/>
      <c r="BI1398" s="77"/>
    </row>
    <row r="1399" spans="1:61" x14ac:dyDescent="0.25">
      <c r="A1399" s="62" t="s">
        <v>420</v>
      </c>
      <c r="B1399" s="62" t="s">
        <v>420</v>
      </c>
      <c r="C1399" s="63"/>
      <c r="D1399" s="64"/>
      <c r="E1399" s="65"/>
      <c r="F1399" s="66"/>
      <c r="G1399" s="63"/>
      <c r="H1399" s="67"/>
      <c r="I1399" s="68"/>
      <c r="J1399" s="68"/>
      <c r="K1399" s="32"/>
      <c r="L1399" s="75">
        <v>1399</v>
      </c>
      <c r="M1399" s="75"/>
      <c r="N1399" s="70"/>
      <c r="O1399" s="77" t="s">
        <v>179</v>
      </c>
      <c r="P1399" s="79">
        <v>45064.196550925924</v>
      </c>
      <c r="Q1399" s="77" t="s">
        <v>3306</v>
      </c>
      <c r="R1399" s="77">
        <v>0</v>
      </c>
      <c r="S1399" s="77">
        <v>5</v>
      </c>
      <c r="T1399" s="77">
        <v>1</v>
      </c>
      <c r="U1399" s="77">
        <v>0</v>
      </c>
      <c r="V1399" s="77">
        <v>3643</v>
      </c>
      <c r="W1399" s="80" t="s">
        <v>6880</v>
      </c>
      <c r="X1399" s="83" t="str">
        <f>HYPERLINK("https://noticiassin.com/economia/pavel-isa-asegura-un-crecimiento-economico-para-este-ano-1424346/")</f>
        <v>https://noticiassin.com/economia/pavel-isa-asegura-un-crecimiento-economico-para-este-ano-1424346/</v>
      </c>
      <c r="Y1399" s="77" t="s">
        <v>8665</v>
      </c>
      <c r="Z1399" s="77"/>
      <c r="AA1399" s="77" t="s">
        <v>9514</v>
      </c>
      <c r="AB1399" s="77" t="s">
        <v>10535</v>
      </c>
      <c r="AC1399" s="80" t="s">
        <v>10541</v>
      </c>
      <c r="AD1399" s="77" t="s">
        <v>10620</v>
      </c>
      <c r="AE1399" s="83" t="str">
        <f>HYPERLINK("https://twitter.com/sin24horas/status/1659056979782893569")</f>
        <v>https://twitter.com/sin24horas/status/1659056979782893569</v>
      </c>
      <c r="AF1399" s="79">
        <v>45064.196550925924</v>
      </c>
      <c r="AG1399" s="85">
        <v>45064</v>
      </c>
      <c r="AH1399" s="80" t="s">
        <v>11852</v>
      </c>
      <c r="AI1399" s="77" t="b">
        <v>0</v>
      </c>
      <c r="AJ1399" s="77"/>
      <c r="AK1399" s="77"/>
      <c r="AL1399" s="77"/>
      <c r="AM1399" s="77"/>
      <c r="AN1399" s="77"/>
      <c r="AO1399" s="77"/>
      <c r="AP1399" s="77"/>
      <c r="AQ1399" s="77" t="s">
        <v>14996</v>
      </c>
      <c r="AR1399" s="77"/>
      <c r="AS1399" s="77"/>
      <c r="AT1399" s="77"/>
      <c r="AU1399" s="77"/>
      <c r="AV1399" s="83" t="str">
        <f>HYPERLINK("https://pbs.twimg.com/media/FwYngkLWIAQXTmD.jpg")</f>
        <v>https://pbs.twimg.com/media/FwYngkLWIAQXTmD.jpg</v>
      </c>
      <c r="AW1399" s="80" t="s">
        <v>17277</v>
      </c>
      <c r="AX1399" s="80" t="s">
        <v>17277</v>
      </c>
      <c r="AY1399" s="77"/>
      <c r="AZ1399" s="80" t="s">
        <v>20380</v>
      </c>
      <c r="BA1399" s="80" t="s">
        <v>20380</v>
      </c>
      <c r="BB1399" s="80" t="s">
        <v>20380</v>
      </c>
      <c r="BC1399" s="80" t="s">
        <v>17277</v>
      </c>
      <c r="BD1399" s="77">
        <v>55660696</v>
      </c>
      <c r="BE1399" s="77"/>
      <c r="BF1399" s="77"/>
      <c r="BG1399" s="77"/>
      <c r="BH1399" s="77"/>
      <c r="BI1399" s="77"/>
    </row>
    <row r="1400" spans="1:61" x14ac:dyDescent="0.25">
      <c r="A1400" s="62" t="s">
        <v>420</v>
      </c>
      <c r="B1400" s="62" t="s">
        <v>420</v>
      </c>
      <c r="C1400" s="63"/>
      <c r="D1400" s="64"/>
      <c r="E1400" s="65"/>
      <c r="F1400" s="66"/>
      <c r="G1400" s="63"/>
      <c r="H1400" s="67"/>
      <c r="I1400" s="68"/>
      <c r="J1400" s="68"/>
      <c r="K1400" s="32"/>
      <c r="L1400" s="75">
        <v>1400</v>
      </c>
      <c r="M1400" s="75"/>
      <c r="N1400" s="70"/>
      <c r="O1400" s="77" t="s">
        <v>179</v>
      </c>
      <c r="P1400" s="79">
        <v>45181.90011574074</v>
      </c>
      <c r="Q1400" s="77" t="s">
        <v>3307</v>
      </c>
      <c r="R1400" s="77">
        <v>45</v>
      </c>
      <c r="S1400" s="77">
        <v>54</v>
      </c>
      <c r="T1400" s="77">
        <v>24</v>
      </c>
      <c r="U1400" s="77">
        <v>18</v>
      </c>
      <c r="V1400" s="77">
        <v>13054</v>
      </c>
      <c r="W1400" s="80" t="s">
        <v>6881</v>
      </c>
      <c r="X1400" s="83" t="str">
        <f>HYPERLINK("https://noticiassin.com/pais/productos-como-el-pollo-platanos-papa-azucar-y-huevos-subieron-de-precio-dice-el-bc-1499200/")</f>
        <v>https://noticiassin.com/pais/productos-como-el-pollo-platanos-papa-azucar-y-huevos-subieron-de-precio-dice-el-bc-1499200/</v>
      </c>
      <c r="Y1400" s="77" t="s">
        <v>8665</v>
      </c>
      <c r="Z1400" s="77"/>
      <c r="AA1400" s="77" t="s">
        <v>9515</v>
      </c>
      <c r="AB1400" s="77" t="s">
        <v>10535</v>
      </c>
      <c r="AC1400" s="80" t="s">
        <v>10541</v>
      </c>
      <c r="AD1400" s="77" t="s">
        <v>10620</v>
      </c>
      <c r="AE1400" s="83" t="str">
        <f>HYPERLINK("https://twitter.com/sin24horas/status/1701711324042899861")</f>
        <v>https://twitter.com/sin24horas/status/1701711324042899861</v>
      </c>
      <c r="AF1400" s="79">
        <v>45181.90011574074</v>
      </c>
      <c r="AG1400" s="85">
        <v>45181</v>
      </c>
      <c r="AH1400" s="80" t="s">
        <v>11853</v>
      </c>
      <c r="AI1400" s="77" t="b">
        <v>0</v>
      </c>
      <c r="AJ1400" s="77"/>
      <c r="AK1400" s="77"/>
      <c r="AL1400" s="77"/>
      <c r="AM1400" s="77"/>
      <c r="AN1400" s="77"/>
      <c r="AO1400" s="77"/>
      <c r="AP1400" s="77"/>
      <c r="AQ1400" s="77" t="s">
        <v>14997</v>
      </c>
      <c r="AR1400" s="77"/>
      <c r="AS1400" s="77"/>
      <c r="AT1400" s="77"/>
      <c r="AU1400" s="77"/>
      <c r="AV1400" s="83" t="str">
        <f>HYPERLINK("https://pbs.twimg.com/media/F52xGkeWEAA1OXg.jpg")</f>
        <v>https://pbs.twimg.com/media/F52xGkeWEAA1OXg.jpg</v>
      </c>
      <c r="AW1400" s="80" t="s">
        <v>17278</v>
      </c>
      <c r="AX1400" s="80" t="s">
        <v>17278</v>
      </c>
      <c r="AY1400" s="77"/>
      <c r="AZ1400" s="80" t="s">
        <v>20380</v>
      </c>
      <c r="BA1400" s="80" t="s">
        <v>20380</v>
      </c>
      <c r="BB1400" s="80" t="s">
        <v>20380</v>
      </c>
      <c r="BC1400" s="80" t="s">
        <v>17278</v>
      </c>
      <c r="BD1400" s="77">
        <v>55660696</v>
      </c>
      <c r="BE1400" s="77"/>
      <c r="BF1400" s="77"/>
      <c r="BG1400" s="77"/>
      <c r="BH1400" s="77"/>
      <c r="BI1400" s="77"/>
    </row>
    <row r="1401" spans="1:61" x14ac:dyDescent="0.25">
      <c r="A1401" s="62" t="s">
        <v>762</v>
      </c>
      <c r="B1401" s="62" t="s">
        <v>420</v>
      </c>
      <c r="C1401" s="63"/>
      <c r="D1401" s="64"/>
      <c r="E1401" s="65"/>
      <c r="F1401" s="66"/>
      <c r="G1401" s="63"/>
      <c r="H1401" s="67"/>
      <c r="I1401" s="68"/>
      <c r="J1401" s="68"/>
      <c r="K1401" s="32"/>
      <c r="L1401" s="75">
        <v>1401</v>
      </c>
      <c r="M1401" s="75"/>
      <c r="N1401" s="70"/>
      <c r="O1401" s="77" t="s">
        <v>2083</v>
      </c>
      <c r="P1401" s="79">
        <v>45192.023645833331</v>
      </c>
      <c r="Q1401" s="77" t="s">
        <v>3308</v>
      </c>
      <c r="R1401" s="77">
        <v>45</v>
      </c>
      <c r="S1401" s="77">
        <v>0</v>
      </c>
      <c r="T1401" s="77">
        <v>0</v>
      </c>
      <c r="U1401" s="77">
        <v>0</v>
      </c>
      <c r="V1401" s="77"/>
      <c r="W1401" s="80" t="s">
        <v>6882</v>
      </c>
      <c r="X1401" s="77"/>
      <c r="Y1401" s="77"/>
      <c r="Z1401" s="77" t="s">
        <v>420</v>
      </c>
      <c r="AA1401" s="77"/>
      <c r="AB1401" s="77"/>
      <c r="AC1401" s="80" t="s">
        <v>10540</v>
      </c>
      <c r="AD1401" s="77" t="s">
        <v>10620</v>
      </c>
      <c r="AE1401" s="83" t="str">
        <f>HYPERLINK("https://twitter.com/conteolf2024/status/1705379969227251947")</f>
        <v>https://twitter.com/conteolf2024/status/1705379969227251947</v>
      </c>
      <c r="AF1401" s="79">
        <v>45192.023645833331</v>
      </c>
      <c r="AG1401" s="85">
        <v>45192</v>
      </c>
      <c r="AH1401" s="80" t="s">
        <v>11854</v>
      </c>
      <c r="AI1401" s="77"/>
      <c r="AJ1401" s="77"/>
      <c r="AK1401" s="77"/>
      <c r="AL1401" s="77"/>
      <c r="AM1401" s="77"/>
      <c r="AN1401" s="77"/>
      <c r="AO1401" s="77"/>
      <c r="AP1401" s="77"/>
      <c r="AQ1401" s="77"/>
      <c r="AR1401" s="77"/>
      <c r="AS1401" s="77"/>
      <c r="AT1401" s="77"/>
      <c r="AU1401" s="77"/>
      <c r="AV1401" s="83" t="str">
        <f>HYPERLINK("https://pbs.twimg.com/profile_images/1582970311527600128/ol1hR_i__normal.jpg")</f>
        <v>https://pbs.twimg.com/profile_images/1582970311527600128/ol1hR_i__normal.jpg</v>
      </c>
      <c r="AW1401" s="80" t="s">
        <v>17279</v>
      </c>
      <c r="AX1401" s="80" t="s">
        <v>17279</v>
      </c>
      <c r="AY1401" s="77"/>
      <c r="AZ1401" s="80" t="s">
        <v>20380</v>
      </c>
      <c r="BA1401" s="80" t="s">
        <v>20380</v>
      </c>
      <c r="BB1401" s="80" t="s">
        <v>17278</v>
      </c>
      <c r="BC1401" s="80" t="s">
        <v>17278</v>
      </c>
      <c r="BD1401" s="77">
        <v>4847205360</v>
      </c>
      <c r="BE1401" s="77"/>
      <c r="BF1401" s="77"/>
      <c r="BG1401" s="77"/>
      <c r="BH1401" s="77"/>
      <c r="BI1401" s="77"/>
    </row>
    <row r="1402" spans="1:61" x14ac:dyDescent="0.25">
      <c r="A1402" s="62" t="s">
        <v>763</v>
      </c>
      <c r="B1402" s="62" t="s">
        <v>763</v>
      </c>
      <c r="C1402" s="63"/>
      <c r="D1402" s="64"/>
      <c r="E1402" s="65"/>
      <c r="F1402" s="66"/>
      <c r="G1402" s="63"/>
      <c r="H1402" s="67"/>
      <c r="I1402" s="68"/>
      <c r="J1402" s="68"/>
      <c r="K1402" s="32"/>
      <c r="L1402" s="75">
        <v>1402</v>
      </c>
      <c r="M1402" s="75"/>
      <c r="N1402" s="70"/>
      <c r="O1402" s="77" t="s">
        <v>179</v>
      </c>
      <c r="P1402" s="79">
        <v>45139.212650462963</v>
      </c>
      <c r="Q1402" s="77" t="s">
        <v>3309</v>
      </c>
      <c r="R1402" s="77">
        <v>0</v>
      </c>
      <c r="S1402" s="77">
        <v>0</v>
      </c>
      <c r="T1402" s="77">
        <v>0</v>
      </c>
      <c r="U1402" s="77">
        <v>0</v>
      </c>
      <c r="V1402" s="77">
        <v>36</v>
      </c>
      <c r="W1402" s="80" t="s">
        <v>6883</v>
      </c>
      <c r="X1402" s="83" t="str">
        <f>HYPERLINK("https://vozdaturquia.com.br/economia/2023/08/01/abracando-o-holistico-a-nova-chefe-do-banco-central-da-turquia-propoe-politica-abrangente/")</f>
        <v>https://vozdaturquia.com.br/economia/2023/08/01/abracando-o-holistico-a-nova-chefe-do-banco-central-da-turquia-propoe-politica-abrangente/</v>
      </c>
      <c r="Y1402" s="77" t="s">
        <v>8611</v>
      </c>
      <c r="Z1402" s="77"/>
      <c r="AA1402" s="77"/>
      <c r="AB1402" s="77"/>
      <c r="AC1402" s="80" t="s">
        <v>10541</v>
      </c>
      <c r="AD1402" s="77" t="s">
        <v>10617</v>
      </c>
      <c r="AE1402" s="83" t="str">
        <f>HYPERLINK("https://twitter.com/vozdaturquia/status/1686241903535099904")</f>
        <v>https://twitter.com/vozdaturquia/status/1686241903535099904</v>
      </c>
      <c r="AF1402" s="79">
        <v>45139.212650462963</v>
      </c>
      <c r="AG1402" s="85">
        <v>45139</v>
      </c>
      <c r="AH1402" s="80" t="s">
        <v>11855</v>
      </c>
      <c r="AI1402" s="77" t="b">
        <v>0</v>
      </c>
      <c r="AJ1402" s="77"/>
      <c r="AK1402" s="77"/>
      <c r="AL1402" s="77"/>
      <c r="AM1402" s="77"/>
      <c r="AN1402" s="77"/>
      <c r="AO1402" s="77"/>
      <c r="AP1402" s="77"/>
      <c r="AQ1402" s="77"/>
      <c r="AR1402" s="77"/>
      <c r="AS1402" s="77"/>
      <c r="AT1402" s="77"/>
      <c r="AU1402" s="77"/>
      <c r="AV1402" s="83" t="str">
        <f>HYPERLINK("https://pbs.twimg.com/profile_images/720616826447728641/S793cCUo_normal.jpg")</f>
        <v>https://pbs.twimg.com/profile_images/720616826447728641/S793cCUo_normal.jpg</v>
      </c>
      <c r="AW1402" s="80" t="s">
        <v>17280</v>
      </c>
      <c r="AX1402" s="80" t="s">
        <v>17280</v>
      </c>
      <c r="AY1402" s="77"/>
      <c r="AZ1402" s="80" t="s">
        <v>20380</v>
      </c>
      <c r="BA1402" s="80" t="s">
        <v>20380</v>
      </c>
      <c r="BB1402" s="80" t="s">
        <v>20380</v>
      </c>
      <c r="BC1402" s="80" t="s">
        <v>17280</v>
      </c>
      <c r="BD1402" s="77">
        <v>4846281429</v>
      </c>
      <c r="BE1402" s="77"/>
      <c r="BF1402" s="77"/>
      <c r="BG1402" s="77"/>
      <c r="BH1402" s="77"/>
      <c r="BI1402" s="77"/>
    </row>
    <row r="1403" spans="1:61" x14ac:dyDescent="0.25">
      <c r="A1403" s="62" t="s">
        <v>764</v>
      </c>
      <c r="B1403" s="62" t="s">
        <v>1855</v>
      </c>
      <c r="C1403" s="63"/>
      <c r="D1403" s="64"/>
      <c r="E1403" s="65"/>
      <c r="F1403" s="66"/>
      <c r="G1403" s="63"/>
      <c r="H1403" s="67"/>
      <c r="I1403" s="68"/>
      <c r="J1403" s="68"/>
      <c r="K1403" s="32"/>
      <c r="L1403" s="75">
        <v>1403</v>
      </c>
      <c r="M1403" s="75"/>
      <c r="N1403" s="70"/>
      <c r="O1403" s="77" t="s">
        <v>2079</v>
      </c>
      <c r="P1403" s="79">
        <v>45123.906192129631</v>
      </c>
      <c r="Q1403" s="77" t="s">
        <v>3310</v>
      </c>
      <c r="R1403" s="77">
        <v>0</v>
      </c>
      <c r="S1403" s="77">
        <v>0</v>
      </c>
      <c r="T1403" s="77">
        <v>0</v>
      </c>
      <c r="U1403" s="77">
        <v>0</v>
      </c>
      <c r="V1403" s="77">
        <v>2</v>
      </c>
      <c r="W1403" s="80" t="s">
        <v>6884</v>
      </c>
      <c r="X1403" s="77"/>
      <c r="Y1403" s="77"/>
      <c r="Z1403" s="77" t="s">
        <v>8953</v>
      </c>
      <c r="AA1403" s="77" t="s">
        <v>9516</v>
      </c>
      <c r="AB1403" s="77" t="s">
        <v>10534</v>
      </c>
      <c r="AC1403" s="80" t="s">
        <v>10540</v>
      </c>
      <c r="AD1403" s="77" t="s">
        <v>10620</v>
      </c>
      <c r="AE1403" s="83" t="str">
        <f>HYPERLINK("https://twitter.com/gedeon_33/status/1680695028421652480")</f>
        <v>https://twitter.com/gedeon_33/status/1680695028421652480</v>
      </c>
      <c r="AF1403" s="79">
        <v>45123.906192129631</v>
      </c>
      <c r="AG1403" s="85">
        <v>45123</v>
      </c>
      <c r="AH1403" s="80" t="s">
        <v>11856</v>
      </c>
      <c r="AI1403" s="77" t="b">
        <v>0</v>
      </c>
      <c r="AJ1403" s="77"/>
      <c r="AK1403" s="77"/>
      <c r="AL1403" s="77"/>
      <c r="AM1403" s="77"/>
      <c r="AN1403" s="77"/>
      <c r="AO1403" s="77"/>
      <c r="AP1403" s="77"/>
      <c r="AQ1403" s="77" t="s">
        <v>14998</v>
      </c>
      <c r="AR1403" s="77">
        <v>68054</v>
      </c>
      <c r="AS1403" s="77"/>
      <c r="AT1403" s="77"/>
      <c r="AU1403" s="77"/>
      <c r="AV1403" s="83" t="str">
        <f>HYPERLINK("https://pbs.twimg.com/ext_tw_video_thumb/1680694928072929280/pu/img/4iiiLcLn_okH40Eg.jpg")</f>
        <v>https://pbs.twimg.com/ext_tw_video_thumb/1680694928072929280/pu/img/4iiiLcLn_okH40Eg.jpg</v>
      </c>
      <c r="AW1403" s="80" t="s">
        <v>17281</v>
      </c>
      <c r="AX1403" s="80" t="s">
        <v>20021</v>
      </c>
      <c r="AY1403" s="80" t="s">
        <v>20272</v>
      </c>
      <c r="AZ1403" s="80" t="s">
        <v>20021</v>
      </c>
      <c r="BA1403" s="80" t="s">
        <v>20380</v>
      </c>
      <c r="BB1403" s="80" t="s">
        <v>20380</v>
      </c>
      <c r="BC1403" s="80" t="s">
        <v>20021</v>
      </c>
      <c r="BD1403" s="77">
        <v>1620819319</v>
      </c>
      <c r="BE1403" s="77"/>
      <c r="BF1403" s="77"/>
      <c r="BG1403" s="77"/>
      <c r="BH1403" s="77"/>
      <c r="BI1403" s="77"/>
    </row>
    <row r="1404" spans="1:61" x14ac:dyDescent="0.25">
      <c r="A1404" s="62" t="s">
        <v>764</v>
      </c>
      <c r="B1404" s="62" t="s">
        <v>1856</v>
      </c>
      <c r="C1404" s="63"/>
      <c r="D1404" s="64"/>
      <c r="E1404" s="65"/>
      <c r="F1404" s="66"/>
      <c r="G1404" s="63"/>
      <c r="H1404" s="67"/>
      <c r="I1404" s="68"/>
      <c r="J1404" s="68"/>
      <c r="K1404" s="32"/>
      <c r="L1404" s="75">
        <v>1404</v>
      </c>
      <c r="M1404" s="75"/>
      <c r="N1404" s="70"/>
      <c r="O1404" s="77" t="s">
        <v>2078</v>
      </c>
      <c r="P1404" s="79">
        <v>45123.906192129631</v>
      </c>
      <c r="Q1404" s="77" t="s">
        <v>3310</v>
      </c>
      <c r="R1404" s="77">
        <v>0</v>
      </c>
      <c r="S1404" s="77">
        <v>0</v>
      </c>
      <c r="T1404" s="77">
        <v>0</v>
      </c>
      <c r="U1404" s="77">
        <v>0</v>
      </c>
      <c r="V1404" s="77">
        <v>2</v>
      </c>
      <c r="W1404" s="80" t="s">
        <v>6884</v>
      </c>
      <c r="X1404" s="77"/>
      <c r="Y1404" s="77"/>
      <c r="Z1404" s="77" t="s">
        <v>8953</v>
      </c>
      <c r="AA1404" s="77" t="s">
        <v>9516</v>
      </c>
      <c r="AB1404" s="77" t="s">
        <v>10534</v>
      </c>
      <c r="AC1404" s="80" t="s">
        <v>10540</v>
      </c>
      <c r="AD1404" s="77" t="s">
        <v>10620</v>
      </c>
      <c r="AE1404" s="83" t="str">
        <f>HYPERLINK("https://twitter.com/gedeon_33/status/1680695028421652480")</f>
        <v>https://twitter.com/gedeon_33/status/1680695028421652480</v>
      </c>
      <c r="AF1404" s="79">
        <v>45123.906192129631</v>
      </c>
      <c r="AG1404" s="85">
        <v>45123</v>
      </c>
      <c r="AH1404" s="80" t="s">
        <v>11856</v>
      </c>
      <c r="AI1404" s="77" t="b">
        <v>0</v>
      </c>
      <c r="AJ1404" s="77"/>
      <c r="AK1404" s="77"/>
      <c r="AL1404" s="77"/>
      <c r="AM1404" s="77"/>
      <c r="AN1404" s="77"/>
      <c r="AO1404" s="77"/>
      <c r="AP1404" s="77"/>
      <c r="AQ1404" s="77" t="s">
        <v>14998</v>
      </c>
      <c r="AR1404" s="77">
        <v>68054</v>
      </c>
      <c r="AS1404" s="77"/>
      <c r="AT1404" s="77"/>
      <c r="AU1404" s="77"/>
      <c r="AV1404" s="83" t="str">
        <f>HYPERLINK("https://pbs.twimg.com/ext_tw_video_thumb/1680694928072929280/pu/img/4iiiLcLn_okH40Eg.jpg")</f>
        <v>https://pbs.twimg.com/ext_tw_video_thumb/1680694928072929280/pu/img/4iiiLcLn_okH40Eg.jpg</v>
      </c>
      <c r="AW1404" s="80" t="s">
        <v>17281</v>
      </c>
      <c r="AX1404" s="80" t="s">
        <v>20021</v>
      </c>
      <c r="AY1404" s="80" t="s">
        <v>20272</v>
      </c>
      <c r="AZ1404" s="80" t="s">
        <v>20021</v>
      </c>
      <c r="BA1404" s="80" t="s">
        <v>20380</v>
      </c>
      <c r="BB1404" s="80" t="s">
        <v>20380</v>
      </c>
      <c r="BC1404" s="80" t="s">
        <v>20021</v>
      </c>
      <c r="BD1404" s="77">
        <v>1620819319</v>
      </c>
      <c r="BE1404" s="77"/>
      <c r="BF1404" s="77"/>
      <c r="BG1404" s="77"/>
      <c r="BH1404" s="77"/>
      <c r="BI1404" s="77"/>
    </row>
    <row r="1405" spans="1:61" x14ac:dyDescent="0.25">
      <c r="A1405" s="62" t="s">
        <v>765</v>
      </c>
      <c r="B1405" s="62" t="s">
        <v>765</v>
      </c>
      <c r="C1405" s="63"/>
      <c r="D1405" s="64"/>
      <c r="E1405" s="65"/>
      <c r="F1405" s="66"/>
      <c r="G1405" s="63"/>
      <c r="H1405" s="67"/>
      <c r="I1405" s="68"/>
      <c r="J1405" s="68"/>
      <c r="K1405" s="32"/>
      <c r="L1405" s="75">
        <v>1405</v>
      </c>
      <c r="M1405" s="75"/>
      <c r="N1405" s="70"/>
      <c r="O1405" s="77" t="s">
        <v>179</v>
      </c>
      <c r="P1405" s="79">
        <v>45157.176944444444</v>
      </c>
      <c r="Q1405" s="77" t="s">
        <v>3311</v>
      </c>
      <c r="R1405" s="77">
        <v>1</v>
      </c>
      <c r="S1405" s="77">
        <v>1</v>
      </c>
      <c r="T1405" s="77">
        <v>0</v>
      </c>
      <c r="U1405" s="77">
        <v>0</v>
      </c>
      <c r="V1405" s="77">
        <v>128</v>
      </c>
      <c r="W1405" s="80" t="s">
        <v>6885</v>
      </c>
      <c r="X1405" s="77"/>
      <c r="Y1405" s="77"/>
      <c r="Z1405" s="77"/>
      <c r="AA1405" s="77"/>
      <c r="AB1405" s="77"/>
      <c r="AC1405" s="80" t="s">
        <v>10540</v>
      </c>
      <c r="AD1405" s="77" t="s">
        <v>10620</v>
      </c>
      <c r="AE1405" s="83" t="str">
        <f>HYPERLINK("https://twitter.com/gitano99808444/status/1692751947831345385")</f>
        <v>https://twitter.com/gitano99808444/status/1692751947831345385</v>
      </c>
      <c r="AF1405" s="79">
        <v>45157.176944444444</v>
      </c>
      <c r="AG1405" s="85">
        <v>45157</v>
      </c>
      <c r="AH1405" s="80" t="s">
        <v>11857</v>
      </c>
      <c r="AI1405" s="77"/>
      <c r="AJ1405" s="77"/>
      <c r="AK1405" s="77"/>
      <c r="AL1405" s="77"/>
      <c r="AM1405" s="77"/>
      <c r="AN1405" s="77"/>
      <c r="AO1405" s="77"/>
      <c r="AP1405" s="77"/>
      <c r="AQ1405" s="77"/>
      <c r="AR1405" s="77"/>
      <c r="AS1405" s="77"/>
      <c r="AT1405" s="77"/>
      <c r="AU1405" s="77"/>
      <c r="AV1405" s="83" t="str">
        <f>HYPERLINK("https://pbs.twimg.com/profile_images/1594241223690272777/nNrpF1Uo_normal.jpg")</f>
        <v>https://pbs.twimg.com/profile_images/1594241223690272777/nNrpF1Uo_normal.jpg</v>
      </c>
      <c r="AW1405" s="80" t="s">
        <v>17282</v>
      </c>
      <c r="AX1405" s="80" t="s">
        <v>17282</v>
      </c>
      <c r="AY1405" s="77"/>
      <c r="AZ1405" s="80" t="s">
        <v>20380</v>
      </c>
      <c r="BA1405" s="80" t="s">
        <v>20380</v>
      </c>
      <c r="BB1405" s="80" t="s">
        <v>20380</v>
      </c>
      <c r="BC1405" s="80" t="s">
        <v>17282</v>
      </c>
      <c r="BD1405" s="80" t="s">
        <v>20751</v>
      </c>
      <c r="BE1405" s="77"/>
      <c r="BF1405" s="77"/>
      <c r="BG1405" s="77"/>
      <c r="BH1405" s="77"/>
      <c r="BI1405" s="77"/>
    </row>
    <row r="1406" spans="1:61" x14ac:dyDescent="0.25">
      <c r="A1406" s="62" t="s">
        <v>766</v>
      </c>
      <c r="B1406" s="62" t="s">
        <v>1857</v>
      </c>
      <c r="C1406" s="63"/>
      <c r="D1406" s="64"/>
      <c r="E1406" s="65"/>
      <c r="F1406" s="66"/>
      <c r="G1406" s="63"/>
      <c r="H1406" s="67"/>
      <c r="I1406" s="68"/>
      <c r="J1406" s="68"/>
      <c r="K1406" s="32"/>
      <c r="L1406" s="75">
        <v>1406</v>
      </c>
      <c r="M1406" s="75"/>
      <c r="N1406" s="70"/>
      <c r="O1406" s="77" t="s">
        <v>2081</v>
      </c>
      <c r="P1406" s="79">
        <v>45049.675821759258</v>
      </c>
      <c r="Q1406" s="77" t="s">
        <v>3312</v>
      </c>
      <c r="R1406" s="77">
        <v>0</v>
      </c>
      <c r="S1406" s="77">
        <v>0</v>
      </c>
      <c r="T1406" s="77">
        <v>0</v>
      </c>
      <c r="U1406" s="77">
        <v>0</v>
      </c>
      <c r="V1406" s="77">
        <v>305</v>
      </c>
      <c r="W1406" s="80" t="s">
        <v>6886</v>
      </c>
      <c r="X1406" s="83" t="str">
        <f>HYPERLINK("https://www.spreaker.com/user/9358572/23-05-03-primera-emision")</f>
        <v>https://www.spreaker.com/user/9358572/23-05-03-primera-emision</v>
      </c>
      <c r="Y1406" s="77" t="s">
        <v>8750</v>
      </c>
      <c r="Z1406" s="77" t="s">
        <v>1857</v>
      </c>
      <c r="AA1406" s="77"/>
      <c r="AB1406" s="77"/>
      <c r="AC1406" s="80" t="s">
        <v>10582</v>
      </c>
      <c r="AD1406" s="77" t="s">
        <v>10620</v>
      </c>
      <c r="AE1406" s="83" t="str">
        <f>HYPERLINK("https://twitter.com/centraleq/status/1653794844475572224")</f>
        <v>https://twitter.com/centraleq/status/1653794844475572224</v>
      </c>
      <c r="AF1406" s="79">
        <v>45049.675821759258</v>
      </c>
      <c r="AG1406" s="85">
        <v>45049</v>
      </c>
      <c r="AH1406" s="80" t="s">
        <v>11858</v>
      </c>
      <c r="AI1406" s="77" t="b">
        <v>0</v>
      </c>
      <c r="AJ1406" s="77"/>
      <c r="AK1406" s="77"/>
      <c r="AL1406" s="77"/>
      <c r="AM1406" s="77"/>
      <c r="AN1406" s="77"/>
      <c r="AO1406" s="77"/>
      <c r="AP1406" s="77"/>
      <c r="AQ1406" s="77"/>
      <c r="AR1406" s="77"/>
      <c r="AS1406" s="77"/>
      <c r="AT1406" s="77"/>
      <c r="AU1406" s="77"/>
      <c r="AV1406" s="83" t="str">
        <f>HYPERLINK("https://pbs.twimg.com/profile_images/1681755290645983232/XYCqXxn7_normal.jpg")</f>
        <v>https://pbs.twimg.com/profile_images/1681755290645983232/XYCqXxn7_normal.jpg</v>
      </c>
      <c r="AW1406" s="80" t="s">
        <v>17283</v>
      </c>
      <c r="AX1406" s="80" t="s">
        <v>17283</v>
      </c>
      <c r="AY1406" s="77"/>
      <c r="AZ1406" s="80" t="s">
        <v>20380</v>
      </c>
      <c r="BA1406" s="80" t="s">
        <v>20380</v>
      </c>
      <c r="BB1406" s="80" t="s">
        <v>20380</v>
      </c>
      <c r="BC1406" s="80" t="s">
        <v>17283</v>
      </c>
      <c r="BD1406" s="80" t="s">
        <v>20752</v>
      </c>
      <c r="BE1406" s="77"/>
      <c r="BF1406" s="77"/>
      <c r="BG1406" s="77"/>
      <c r="BH1406" s="77"/>
      <c r="BI1406" s="77"/>
    </row>
    <row r="1407" spans="1:61" x14ac:dyDescent="0.25">
      <c r="A1407" s="62" t="s">
        <v>767</v>
      </c>
      <c r="B1407" s="62" t="s">
        <v>767</v>
      </c>
      <c r="C1407" s="63"/>
      <c r="D1407" s="64"/>
      <c r="E1407" s="65"/>
      <c r="F1407" s="66"/>
      <c r="G1407" s="63"/>
      <c r="H1407" s="67"/>
      <c r="I1407" s="68"/>
      <c r="J1407" s="68"/>
      <c r="K1407" s="32"/>
      <c r="L1407" s="75">
        <v>1407</v>
      </c>
      <c r="M1407" s="75"/>
      <c r="N1407" s="70"/>
      <c r="O1407" s="77" t="s">
        <v>179</v>
      </c>
      <c r="P1407" s="79">
        <v>45141.526319444441</v>
      </c>
      <c r="Q1407" s="77" t="s">
        <v>3313</v>
      </c>
      <c r="R1407" s="77">
        <v>0</v>
      </c>
      <c r="S1407" s="77">
        <v>0</v>
      </c>
      <c r="T1407" s="77">
        <v>0</v>
      </c>
      <c r="U1407" s="77">
        <v>0</v>
      </c>
      <c r="V1407" s="77">
        <v>60</v>
      </c>
      <c r="W1407" s="80" t="s">
        <v>5896</v>
      </c>
      <c r="X1407" s="77"/>
      <c r="Y1407" s="77"/>
      <c r="Z1407" s="77"/>
      <c r="AA1407" s="77"/>
      <c r="AB1407" s="77"/>
      <c r="AC1407" s="80" t="s">
        <v>10541</v>
      </c>
      <c r="AD1407" s="77" t="s">
        <v>10620</v>
      </c>
      <c r="AE1407" s="83" t="str">
        <f>HYPERLINK("https://twitter.com/miriamacunar/status/1687080348729888768")</f>
        <v>https://twitter.com/miriamacunar/status/1687080348729888768</v>
      </c>
      <c r="AF1407" s="79">
        <v>45141.526319444441</v>
      </c>
      <c r="AG1407" s="85">
        <v>45141</v>
      </c>
      <c r="AH1407" s="80" t="s">
        <v>11859</v>
      </c>
      <c r="AI1407" s="77"/>
      <c r="AJ1407" s="77"/>
      <c r="AK1407" s="77"/>
      <c r="AL1407" s="77"/>
      <c r="AM1407" s="77"/>
      <c r="AN1407" s="77"/>
      <c r="AO1407" s="77"/>
      <c r="AP1407" s="77"/>
      <c r="AQ1407" s="77"/>
      <c r="AR1407" s="77"/>
      <c r="AS1407" s="77"/>
      <c r="AT1407" s="77"/>
      <c r="AU1407" s="77"/>
      <c r="AV1407" s="83" t="str">
        <f>HYPERLINK("https://pbs.twimg.com/profile_images/1280935979331858433/Ozq6z0Dv_normal.jpg")</f>
        <v>https://pbs.twimg.com/profile_images/1280935979331858433/Ozq6z0Dv_normal.jpg</v>
      </c>
      <c r="AW1407" s="80" t="s">
        <v>17284</v>
      </c>
      <c r="AX1407" s="80" t="s">
        <v>17284</v>
      </c>
      <c r="AY1407" s="77"/>
      <c r="AZ1407" s="80" t="s">
        <v>20380</v>
      </c>
      <c r="BA1407" s="80" t="s">
        <v>20380</v>
      </c>
      <c r="BB1407" s="80" t="s">
        <v>20380</v>
      </c>
      <c r="BC1407" s="80" t="s">
        <v>17284</v>
      </c>
      <c r="BD1407" s="77">
        <v>163963180</v>
      </c>
      <c r="BE1407" s="77"/>
      <c r="BF1407" s="77"/>
      <c r="BG1407" s="77"/>
      <c r="BH1407" s="77"/>
      <c r="BI1407" s="77"/>
    </row>
    <row r="1408" spans="1:61" x14ac:dyDescent="0.25">
      <c r="A1408" s="62" t="s">
        <v>768</v>
      </c>
      <c r="B1408" s="62" t="s">
        <v>768</v>
      </c>
      <c r="C1408" s="63"/>
      <c r="D1408" s="64"/>
      <c r="E1408" s="65"/>
      <c r="F1408" s="66"/>
      <c r="G1408" s="63"/>
      <c r="H1408" s="67"/>
      <c r="I1408" s="68"/>
      <c r="J1408" s="68"/>
      <c r="K1408" s="32"/>
      <c r="L1408" s="75">
        <v>1408</v>
      </c>
      <c r="M1408" s="75"/>
      <c r="N1408" s="70"/>
      <c r="O1408" s="77" t="s">
        <v>179</v>
      </c>
      <c r="P1408" s="79">
        <v>45154.586458333331</v>
      </c>
      <c r="Q1408" s="77" t="s">
        <v>3314</v>
      </c>
      <c r="R1408" s="77">
        <v>0</v>
      </c>
      <c r="S1408" s="77">
        <v>0</v>
      </c>
      <c r="T1408" s="77">
        <v>0</v>
      </c>
      <c r="U1408" s="77">
        <v>0</v>
      </c>
      <c r="V1408" s="77">
        <v>2</v>
      </c>
      <c r="W1408" s="80" t="s">
        <v>5884</v>
      </c>
      <c r="X1408" s="83" t="str">
        <f>HYPERLINK("https://jornaldiadia.com.br/educacao-publica-me-permitiu-chegar-aqui-diz-novo-diretor-do-banco-central-do-brasil/")</f>
        <v>https://jornaldiadia.com.br/educacao-publica-me-permitiu-chegar-aqui-diz-novo-diretor-do-banco-central-do-brasil/</v>
      </c>
      <c r="Y1408" s="77" t="s">
        <v>8611</v>
      </c>
      <c r="Z1408" s="77"/>
      <c r="AA1408" s="77" t="s">
        <v>9517</v>
      </c>
      <c r="AB1408" s="77" t="s">
        <v>10535</v>
      </c>
      <c r="AC1408" s="80" t="s">
        <v>10541</v>
      </c>
      <c r="AD1408" s="77" t="s">
        <v>10617</v>
      </c>
      <c r="AE1408" s="83" t="str">
        <f>HYPERLINK("https://twitter.com/jornaldiadiams/status/1691813186305925363")</f>
        <v>https://twitter.com/jornaldiadiams/status/1691813186305925363</v>
      </c>
      <c r="AF1408" s="79">
        <v>45154.586458333331</v>
      </c>
      <c r="AG1408" s="85">
        <v>45154</v>
      </c>
      <c r="AH1408" s="80" t="s">
        <v>11860</v>
      </c>
      <c r="AI1408" s="77" t="b">
        <v>0</v>
      </c>
      <c r="AJ1408" s="77"/>
      <c r="AK1408" s="77"/>
      <c r="AL1408" s="77"/>
      <c r="AM1408" s="77"/>
      <c r="AN1408" s="77"/>
      <c r="AO1408" s="77"/>
      <c r="AP1408" s="77"/>
      <c r="AQ1408" s="77" t="s">
        <v>14999</v>
      </c>
      <c r="AR1408" s="77"/>
      <c r="AS1408" s="77"/>
      <c r="AT1408" s="77"/>
      <c r="AU1408" s="77"/>
      <c r="AV1408" s="83" t="str">
        <f>HYPERLINK("https://pbs.twimg.com/media/F3qHF_qW0AAIFGF.jpg")</f>
        <v>https://pbs.twimg.com/media/F3qHF_qW0AAIFGF.jpg</v>
      </c>
      <c r="AW1408" s="80" t="s">
        <v>17285</v>
      </c>
      <c r="AX1408" s="80" t="s">
        <v>17285</v>
      </c>
      <c r="AY1408" s="77"/>
      <c r="AZ1408" s="80" t="s">
        <v>20380</v>
      </c>
      <c r="BA1408" s="80" t="s">
        <v>20380</v>
      </c>
      <c r="BB1408" s="80" t="s">
        <v>20380</v>
      </c>
      <c r="BC1408" s="80" t="s">
        <v>17285</v>
      </c>
      <c r="BD1408" s="80" t="s">
        <v>20753</v>
      </c>
      <c r="BE1408" s="77"/>
      <c r="BF1408" s="77"/>
      <c r="BG1408" s="77"/>
      <c r="BH1408" s="77"/>
      <c r="BI1408" s="77"/>
    </row>
    <row r="1409" spans="1:61" x14ac:dyDescent="0.25">
      <c r="A1409" s="62" t="s">
        <v>768</v>
      </c>
      <c r="B1409" s="62" t="s">
        <v>768</v>
      </c>
      <c r="C1409" s="63"/>
      <c r="D1409" s="64"/>
      <c r="E1409" s="65"/>
      <c r="F1409" s="66"/>
      <c r="G1409" s="63"/>
      <c r="H1409" s="67"/>
      <c r="I1409" s="68"/>
      <c r="J1409" s="68"/>
      <c r="K1409" s="32"/>
      <c r="L1409" s="75">
        <v>1409</v>
      </c>
      <c r="M1409" s="75"/>
      <c r="N1409" s="70"/>
      <c r="O1409" s="77" t="s">
        <v>179</v>
      </c>
      <c r="P1409" s="79">
        <v>45160.006354166668</v>
      </c>
      <c r="Q1409" s="77" t="s">
        <v>3315</v>
      </c>
      <c r="R1409" s="77">
        <v>0</v>
      </c>
      <c r="S1409" s="77">
        <v>0</v>
      </c>
      <c r="T1409" s="77">
        <v>0</v>
      </c>
      <c r="U1409" s="77">
        <v>0</v>
      </c>
      <c r="V1409" s="77">
        <v>2</v>
      </c>
      <c r="W1409" s="80" t="s">
        <v>6887</v>
      </c>
      <c r="X1409" s="83" t="str">
        <f>HYPERLINK("https://jornaldiadia.com.br/primeira-fase-do-drex-atrasa-e-so-terminara-em-maio-de-2024/")</f>
        <v>https://jornaldiadia.com.br/primeira-fase-do-drex-atrasa-e-so-terminara-em-maio-de-2024/</v>
      </c>
      <c r="Y1409" s="77" t="s">
        <v>8611</v>
      </c>
      <c r="Z1409" s="77"/>
      <c r="AA1409" s="77" t="s">
        <v>9518</v>
      </c>
      <c r="AB1409" s="77" t="s">
        <v>10535</v>
      </c>
      <c r="AC1409" s="80" t="s">
        <v>10541</v>
      </c>
      <c r="AD1409" s="77" t="s">
        <v>10617</v>
      </c>
      <c r="AE1409" s="83" t="str">
        <f>HYPERLINK("https://twitter.com/jornaldiadiams/status/1693777291074056528")</f>
        <v>https://twitter.com/jornaldiadiams/status/1693777291074056528</v>
      </c>
      <c r="AF1409" s="79">
        <v>45160.006354166668</v>
      </c>
      <c r="AG1409" s="85">
        <v>45160</v>
      </c>
      <c r="AH1409" s="80" t="s">
        <v>11861</v>
      </c>
      <c r="AI1409" s="77" t="b">
        <v>0</v>
      </c>
      <c r="AJ1409" s="77"/>
      <c r="AK1409" s="77"/>
      <c r="AL1409" s="77"/>
      <c r="AM1409" s="77"/>
      <c r="AN1409" s="77"/>
      <c r="AO1409" s="77"/>
      <c r="AP1409" s="77"/>
      <c r="AQ1409" s="77" t="s">
        <v>15000</v>
      </c>
      <c r="AR1409" s="77"/>
      <c r="AS1409" s="77"/>
      <c r="AT1409" s="77"/>
      <c r="AU1409" s="77"/>
      <c r="AV1409" s="83" t="str">
        <f>HYPERLINK("https://pbs.twimg.com/media/F4GBdr8WMAAZqZx.jpg")</f>
        <v>https://pbs.twimg.com/media/F4GBdr8WMAAZqZx.jpg</v>
      </c>
      <c r="AW1409" s="80" t="s">
        <v>17286</v>
      </c>
      <c r="AX1409" s="80" t="s">
        <v>17286</v>
      </c>
      <c r="AY1409" s="77"/>
      <c r="AZ1409" s="80" t="s">
        <v>20380</v>
      </c>
      <c r="BA1409" s="80" t="s">
        <v>20380</v>
      </c>
      <c r="BB1409" s="80" t="s">
        <v>20380</v>
      </c>
      <c r="BC1409" s="80" t="s">
        <v>17286</v>
      </c>
      <c r="BD1409" s="80" t="s">
        <v>20753</v>
      </c>
      <c r="BE1409" s="77"/>
      <c r="BF1409" s="77"/>
      <c r="BG1409" s="77"/>
      <c r="BH1409" s="77"/>
      <c r="BI1409" s="77"/>
    </row>
    <row r="1410" spans="1:61" x14ac:dyDescent="0.25">
      <c r="A1410" s="62" t="s">
        <v>769</v>
      </c>
      <c r="B1410" s="62" t="s">
        <v>769</v>
      </c>
      <c r="C1410" s="63"/>
      <c r="D1410" s="64"/>
      <c r="E1410" s="65"/>
      <c r="F1410" s="66"/>
      <c r="G1410" s="63"/>
      <c r="H1410" s="67"/>
      <c r="I1410" s="68"/>
      <c r="J1410" s="68"/>
      <c r="K1410" s="32"/>
      <c r="L1410" s="75">
        <v>1410</v>
      </c>
      <c r="M1410" s="75"/>
      <c r="N1410" s="70"/>
      <c r="O1410" s="77" t="s">
        <v>179</v>
      </c>
      <c r="P1410" s="79">
        <v>45054.424942129626</v>
      </c>
      <c r="Q1410" s="77" t="s">
        <v>3316</v>
      </c>
      <c r="R1410" s="77">
        <v>6</v>
      </c>
      <c r="S1410" s="77">
        <v>13</v>
      </c>
      <c r="T1410" s="77">
        <v>0</v>
      </c>
      <c r="U1410" s="77">
        <v>1</v>
      </c>
      <c r="V1410" s="77">
        <v>869</v>
      </c>
      <c r="W1410" s="80" t="s">
        <v>6517</v>
      </c>
      <c r="X1410" s="83" t="str">
        <f>HYPERLINK("https://es.azvision.az/news/110993/news.html")</f>
        <v>https://es.azvision.az/news/110993/news.html</v>
      </c>
      <c r="Y1410" s="77" t="s">
        <v>8691</v>
      </c>
      <c r="Z1410" s="77"/>
      <c r="AA1410" s="77" t="s">
        <v>9519</v>
      </c>
      <c r="AB1410" s="77" t="s">
        <v>10535</v>
      </c>
      <c r="AC1410" s="80" t="s">
        <v>10541</v>
      </c>
      <c r="AD1410" s="77" t="s">
        <v>10620</v>
      </c>
      <c r="AE1410" s="83" t="str">
        <f>HYPERLINK("https://twitter.com/esazvision/status/1655515869269639168")</f>
        <v>https://twitter.com/esazvision/status/1655515869269639168</v>
      </c>
      <c r="AF1410" s="79">
        <v>45054.424942129626</v>
      </c>
      <c r="AG1410" s="85">
        <v>45054</v>
      </c>
      <c r="AH1410" s="80" t="s">
        <v>11862</v>
      </c>
      <c r="AI1410" s="77" t="b">
        <v>0</v>
      </c>
      <c r="AJ1410" s="77"/>
      <c r="AK1410" s="77"/>
      <c r="AL1410" s="77"/>
      <c r="AM1410" s="77"/>
      <c r="AN1410" s="77"/>
      <c r="AO1410" s="77"/>
      <c r="AP1410" s="77"/>
      <c r="AQ1410" s="77" t="s">
        <v>15001</v>
      </c>
      <c r="AR1410" s="77"/>
      <c r="AS1410" s="77"/>
      <c r="AT1410" s="77"/>
      <c r="AU1410" s="77"/>
      <c r="AV1410" s="83" t="str">
        <f>HYPERLINK("https://pbs.twimg.com/media/FvmS5nTXoAA2bj3.jpg")</f>
        <v>https://pbs.twimg.com/media/FvmS5nTXoAA2bj3.jpg</v>
      </c>
      <c r="AW1410" s="80" t="s">
        <v>17287</v>
      </c>
      <c r="AX1410" s="80" t="s">
        <v>17287</v>
      </c>
      <c r="AY1410" s="77"/>
      <c r="AZ1410" s="80" t="s">
        <v>20380</v>
      </c>
      <c r="BA1410" s="80" t="s">
        <v>20380</v>
      </c>
      <c r="BB1410" s="80" t="s">
        <v>20380</v>
      </c>
      <c r="BC1410" s="80" t="s">
        <v>17287</v>
      </c>
      <c r="BD1410" s="80" t="s">
        <v>20754</v>
      </c>
      <c r="BE1410" s="77"/>
      <c r="BF1410" s="77"/>
      <c r="BG1410" s="77"/>
      <c r="BH1410" s="77"/>
      <c r="BI1410" s="77"/>
    </row>
    <row r="1411" spans="1:61" x14ac:dyDescent="0.25">
      <c r="A1411" s="62" t="s">
        <v>770</v>
      </c>
      <c r="B1411" s="62" t="s">
        <v>1596</v>
      </c>
      <c r="C1411" s="63"/>
      <c r="D1411" s="64"/>
      <c r="E1411" s="65"/>
      <c r="F1411" s="66"/>
      <c r="G1411" s="63"/>
      <c r="H1411" s="67"/>
      <c r="I1411" s="68"/>
      <c r="J1411" s="68"/>
      <c r="K1411" s="32"/>
      <c r="L1411" s="75">
        <v>1411</v>
      </c>
      <c r="M1411" s="75"/>
      <c r="N1411" s="70"/>
      <c r="O1411" s="77" t="s">
        <v>2081</v>
      </c>
      <c r="P1411" s="79">
        <v>45099.455416666664</v>
      </c>
      <c r="Q1411" s="77" t="s">
        <v>3317</v>
      </c>
      <c r="R1411" s="77">
        <v>0</v>
      </c>
      <c r="S1411" s="77">
        <v>0</v>
      </c>
      <c r="T1411" s="77">
        <v>0</v>
      </c>
      <c r="U1411" s="77">
        <v>0</v>
      </c>
      <c r="V1411" s="77">
        <v>10</v>
      </c>
      <c r="W1411" s="80" t="s">
        <v>6008</v>
      </c>
      <c r="X1411" s="83" t="str">
        <f>HYPERLINK("https://www.bcb.gov.br/detalhenoticia/17920/nota")</f>
        <v>https://www.bcb.gov.br/detalhenoticia/17920/nota</v>
      </c>
      <c r="Y1411" s="77" t="s">
        <v>8633</v>
      </c>
      <c r="Z1411" s="77" t="s">
        <v>1596</v>
      </c>
      <c r="AA1411" s="77"/>
      <c r="AB1411" s="77"/>
      <c r="AC1411" s="80" t="s">
        <v>10541</v>
      </c>
      <c r="AD1411" s="77" t="s">
        <v>10617</v>
      </c>
      <c r="AE1411" s="83" t="str">
        <f>HYPERLINK("https://twitter.com/chicoreisjr/status/1671834366425677825")</f>
        <v>https://twitter.com/chicoreisjr/status/1671834366425677825</v>
      </c>
      <c r="AF1411" s="79">
        <v>45099.455416666664</v>
      </c>
      <c r="AG1411" s="85">
        <v>45099</v>
      </c>
      <c r="AH1411" s="80" t="s">
        <v>11863</v>
      </c>
      <c r="AI1411" s="77" t="b">
        <v>0</v>
      </c>
      <c r="AJ1411" s="77"/>
      <c r="AK1411" s="77"/>
      <c r="AL1411" s="77"/>
      <c r="AM1411" s="77"/>
      <c r="AN1411" s="77"/>
      <c r="AO1411" s="77"/>
      <c r="AP1411" s="77"/>
      <c r="AQ1411" s="77"/>
      <c r="AR1411" s="77"/>
      <c r="AS1411" s="77"/>
      <c r="AT1411" s="77"/>
      <c r="AU1411" s="77"/>
      <c r="AV1411" s="83" t="str">
        <f>HYPERLINK("https://pbs.twimg.com/profile_images/378800000569200688/6b15b2a088aab8bcd4691359b7fff4df_normal.jpeg")</f>
        <v>https://pbs.twimg.com/profile_images/378800000569200688/6b15b2a088aab8bcd4691359b7fff4df_normal.jpeg</v>
      </c>
      <c r="AW1411" s="80" t="s">
        <v>17288</v>
      </c>
      <c r="AX1411" s="80" t="s">
        <v>17288</v>
      </c>
      <c r="AY1411" s="77"/>
      <c r="AZ1411" s="80" t="s">
        <v>20380</v>
      </c>
      <c r="BA1411" s="80" t="s">
        <v>20380</v>
      </c>
      <c r="BB1411" s="80" t="s">
        <v>20380</v>
      </c>
      <c r="BC1411" s="80" t="s">
        <v>17288</v>
      </c>
      <c r="BD1411" s="77">
        <v>102784519</v>
      </c>
      <c r="BE1411" s="77"/>
      <c r="BF1411" s="77"/>
      <c r="BG1411" s="77"/>
      <c r="BH1411" s="77"/>
      <c r="BI1411" s="77"/>
    </row>
    <row r="1412" spans="1:61" x14ac:dyDescent="0.25">
      <c r="A1412" s="62" t="s">
        <v>771</v>
      </c>
      <c r="B1412" s="62" t="s">
        <v>1679</v>
      </c>
      <c r="C1412" s="63"/>
      <c r="D1412" s="64"/>
      <c r="E1412" s="65"/>
      <c r="F1412" s="66"/>
      <c r="G1412" s="63"/>
      <c r="H1412" s="67"/>
      <c r="I1412" s="68"/>
      <c r="J1412" s="68"/>
      <c r="K1412" s="32"/>
      <c r="L1412" s="75">
        <v>1412</v>
      </c>
      <c r="M1412" s="75"/>
      <c r="N1412" s="70"/>
      <c r="O1412" s="77" t="s">
        <v>2082</v>
      </c>
      <c r="P1412" s="79">
        <v>45083.908217592594</v>
      </c>
      <c r="Q1412" s="77" t="s">
        <v>3318</v>
      </c>
      <c r="R1412" s="77">
        <v>0</v>
      </c>
      <c r="S1412" s="77">
        <v>0</v>
      </c>
      <c r="T1412" s="77">
        <v>0</v>
      </c>
      <c r="U1412" s="77">
        <v>0</v>
      </c>
      <c r="V1412" s="77">
        <v>10</v>
      </c>
      <c r="W1412" s="80" t="s">
        <v>6888</v>
      </c>
      <c r="X1412" s="77"/>
      <c r="Y1412" s="77"/>
      <c r="Z1412" s="77"/>
      <c r="AA1412" s="77"/>
      <c r="AB1412" s="77"/>
      <c r="AC1412" s="80" t="s">
        <v>10540</v>
      </c>
      <c r="AD1412" s="77" t="s">
        <v>10618</v>
      </c>
      <c r="AE1412" s="83" t="str">
        <f>HYPERLINK("https://twitter.com/conciroxana/status/1666200246907461661")</f>
        <v>https://twitter.com/conciroxana/status/1666200246907461661</v>
      </c>
      <c r="AF1412" s="79">
        <v>45083.908217592594</v>
      </c>
      <c r="AG1412" s="85">
        <v>45083</v>
      </c>
      <c r="AH1412" s="80" t="s">
        <v>11864</v>
      </c>
      <c r="AI1412" s="77"/>
      <c r="AJ1412" s="77"/>
      <c r="AK1412" s="77"/>
      <c r="AL1412" s="77"/>
      <c r="AM1412" s="77"/>
      <c r="AN1412" s="77"/>
      <c r="AO1412" s="77"/>
      <c r="AP1412" s="77"/>
      <c r="AQ1412" s="77"/>
      <c r="AR1412" s="77"/>
      <c r="AS1412" s="77"/>
      <c r="AT1412" s="77"/>
      <c r="AU1412" s="77"/>
      <c r="AV1412" s="83" t="str">
        <f>HYPERLINK("https://pbs.twimg.com/profile_images/1664270324488347648/WGgRbln9_normal.jpg")</f>
        <v>https://pbs.twimg.com/profile_images/1664270324488347648/WGgRbln9_normal.jpg</v>
      </c>
      <c r="AW1412" s="80" t="s">
        <v>17289</v>
      </c>
      <c r="AX1412" s="80" t="s">
        <v>17289</v>
      </c>
      <c r="AY1412" s="77"/>
      <c r="AZ1412" s="80" t="s">
        <v>20380</v>
      </c>
      <c r="BA1412" s="80" t="s">
        <v>19930</v>
      </c>
      <c r="BB1412" s="80" t="s">
        <v>20380</v>
      </c>
      <c r="BC1412" s="80" t="s">
        <v>19930</v>
      </c>
      <c r="BD1412" s="80" t="s">
        <v>20755</v>
      </c>
      <c r="BE1412" s="77"/>
      <c r="BF1412" s="77"/>
      <c r="BG1412" s="77"/>
      <c r="BH1412" s="77"/>
      <c r="BI1412" s="77"/>
    </row>
    <row r="1413" spans="1:61" x14ac:dyDescent="0.25">
      <c r="A1413" s="62" t="s">
        <v>772</v>
      </c>
      <c r="B1413" s="62" t="s">
        <v>1810</v>
      </c>
      <c r="C1413" s="63"/>
      <c r="D1413" s="64"/>
      <c r="E1413" s="65"/>
      <c r="F1413" s="66"/>
      <c r="G1413" s="63"/>
      <c r="H1413" s="67"/>
      <c r="I1413" s="68"/>
      <c r="J1413" s="68"/>
      <c r="K1413" s="32"/>
      <c r="L1413" s="75">
        <v>1413</v>
      </c>
      <c r="M1413" s="75"/>
      <c r="N1413" s="70"/>
      <c r="O1413" s="77" t="s">
        <v>2081</v>
      </c>
      <c r="P1413" s="79">
        <v>45196.598599537036</v>
      </c>
      <c r="Q1413" s="77" t="s">
        <v>3319</v>
      </c>
      <c r="R1413" s="77">
        <v>0</v>
      </c>
      <c r="S1413" s="77">
        <v>0</v>
      </c>
      <c r="T1413" s="77">
        <v>0</v>
      </c>
      <c r="U1413" s="77">
        <v>0</v>
      </c>
      <c r="V1413" s="77">
        <v>2</v>
      </c>
      <c r="W1413" s="80" t="s">
        <v>5884</v>
      </c>
      <c r="X1413" s="77"/>
      <c r="Y1413" s="77"/>
      <c r="Z1413" s="77" t="s">
        <v>1810</v>
      </c>
      <c r="AA1413" s="77"/>
      <c r="AB1413" s="77"/>
      <c r="AC1413" s="80" t="s">
        <v>10540</v>
      </c>
      <c r="AD1413" s="77" t="s">
        <v>10620</v>
      </c>
      <c r="AE1413" s="83" t="str">
        <f>HYPERLINK("https://twitter.com/notearrobonada/status/1707037877421392106")</f>
        <v>https://twitter.com/notearrobonada/status/1707037877421392106</v>
      </c>
      <c r="AF1413" s="79">
        <v>45196.598599537036</v>
      </c>
      <c r="AG1413" s="85">
        <v>45196</v>
      </c>
      <c r="AH1413" s="80" t="s">
        <v>11865</v>
      </c>
      <c r="AI1413" s="77"/>
      <c r="AJ1413" s="77"/>
      <c r="AK1413" s="77"/>
      <c r="AL1413" s="77"/>
      <c r="AM1413" s="77"/>
      <c r="AN1413" s="77"/>
      <c r="AO1413" s="77"/>
      <c r="AP1413" s="77"/>
      <c r="AQ1413" s="77"/>
      <c r="AR1413" s="77"/>
      <c r="AS1413" s="77"/>
      <c r="AT1413" s="77"/>
      <c r="AU1413" s="77"/>
      <c r="AV1413" s="83" t="str">
        <f>HYPERLINK("https://pbs.twimg.com/profile_images/1637210700270432256/J688GnnM_normal.jpg")</f>
        <v>https://pbs.twimg.com/profile_images/1637210700270432256/J688GnnM_normal.jpg</v>
      </c>
      <c r="AW1413" s="80" t="s">
        <v>17290</v>
      </c>
      <c r="AX1413" s="80" t="s">
        <v>17290</v>
      </c>
      <c r="AY1413" s="80" t="s">
        <v>20273</v>
      </c>
      <c r="AZ1413" s="80" t="s">
        <v>20380</v>
      </c>
      <c r="BA1413" s="80" t="s">
        <v>20380</v>
      </c>
      <c r="BB1413" s="80" t="s">
        <v>20380</v>
      </c>
      <c r="BC1413" s="80" t="s">
        <v>17290</v>
      </c>
      <c r="BD1413" s="80" t="s">
        <v>20756</v>
      </c>
      <c r="BE1413" s="77"/>
      <c r="BF1413" s="77"/>
      <c r="BG1413" s="77"/>
      <c r="BH1413" s="77"/>
      <c r="BI1413" s="77"/>
    </row>
    <row r="1414" spans="1:61" x14ac:dyDescent="0.25">
      <c r="A1414" s="62" t="s">
        <v>773</v>
      </c>
      <c r="B1414" s="62" t="s">
        <v>773</v>
      </c>
      <c r="C1414" s="63"/>
      <c r="D1414" s="64"/>
      <c r="E1414" s="65"/>
      <c r="F1414" s="66"/>
      <c r="G1414" s="63"/>
      <c r="H1414" s="67"/>
      <c r="I1414" s="68"/>
      <c r="J1414" s="68"/>
      <c r="K1414" s="32"/>
      <c r="L1414" s="75">
        <v>1414</v>
      </c>
      <c r="M1414" s="75"/>
      <c r="N1414" s="70"/>
      <c r="O1414" s="77" t="s">
        <v>179</v>
      </c>
      <c r="P1414" s="79">
        <v>45080.126331018517</v>
      </c>
      <c r="Q1414" s="77" t="s">
        <v>3320</v>
      </c>
      <c r="R1414" s="77">
        <v>0</v>
      </c>
      <c r="S1414" s="77">
        <v>0</v>
      </c>
      <c r="T1414" s="77">
        <v>0</v>
      </c>
      <c r="U1414" s="77">
        <v>0</v>
      </c>
      <c r="V1414" s="77">
        <v>19</v>
      </c>
      <c r="W1414" s="80" t="s">
        <v>5884</v>
      </c>
      <c r="X1414" s="83" t="str">
        <f>HYPERLINK("https://www.bcentral.cl/es/web/banco-central/contenido/-/details/mercado-inmobiliario-chileno-2022")</f>
        <v>https://www.bcentral.cl/es/web/banco-central/contenido/-/details/mercado-inmobiliario-chileno-2022</v>
      </c>
      <c r="Y1414" s="77" t="s">
        <v>8679</v>
      </c>
      <c r="Z1414" s="77"/>
      <c r="AA1414" s="77"/>
      <c r="AB1414" s="77"/>
      <c r="AC1414" s="80" t="s">
        <v>10540</v>
      </c>
      <c r="AD1414" s="77" t="s">
        <v>10620</v>
      </c>
      <c r="AE1414" s="83" t="str">
        <f>HYPERLINK("https://twitter.com/gerardoureta/status/1664829739524038657")</f>
        <v>https://twitter.com/gerardoureta/status/1664829739524038657</v>
      </c>
      <c r="AF1414" s="79">
        <v>45080.126331018517</v>
      </c>
      <c r="AG1414" s="85">
        <v>45080</v>
      </c>
      <c r="AH1414" s="80" t="s">
        <v>11866</v>
      </c>
      <c r="AI1414" s="77" t="b">
        <v>0</v>
      </c>
      <c r="AJ1414" s="77"/>
      <c r="AK1414" s="77"/>
      <c r="AL1414" s="77"/>
      <c r="AM1414" s="77"/>
      <c r="AN1414" s="77"/>
      <c r="AO1414" s="77"/>
      <c r="AP1414" s="77"/>
      <c r="AQ1414" s="77"/>
      <c r="AR1414" s="77"/>
      <c r="AS1414" s="77"/>
      <c r="AT1414" s="77"/>
      <c r="AU1414" s="77"/>
      <c r="AV1414" s="83" t="str">
        <f>HYPERLINK("https://pbs.twimg.com/profile_images/1638143792480935937/RRuYLYph_normal.jpg")</f>
        <v>https://pbs.twimg.com/profile_images/1638143792480935937/RRuYLYph_normal.jpg</v>
      </c>
      <c r="AW1414" s="80" t="s">
        <v>17291</v>
      </c>
      <c r="AX1414" s="80" t="s">
        <v>17291</v>
      </c>
      <c r="AY1414" s="77"/>
      <c r="AZ1414" s="80" t="s">
        <v>20380</v>
      </c>
      <c r="BA1414" s="80" t="s">
        <v>20380</v>
      </c>
      <c r="BB1414" s="80" t="s">
        <v>20380</v>
      </c>
      <c r="BC1414" s="80" t="s">
        <v>17291</v>
      </c>
      <c r="BD1414" s="80" t="s">
        <v>20757</v>
      </c>
      <c r="BE1414" s="77"/>
      <c r="BF1414" s="77"/>
      <c r="BG1414" s="77"/>
      <c r="BH1414" s="77"/>
      <c r="BI1414" s="77"/>
    </row>
    <row r="1415" spans="1:61" x14ac:dyDescent="0.25">
      <c r="A1415" s="62" t="s">
        <v>774</v>
      </c>
      <c r="B1415" s="62" t="s">
        <v>774</v>
      </c>
      <c r="C1415" s="63"/>
      <c r="D1415" s="64"/>
      <c r="E1415" s="65"/>
      <c r="F1415" s="66"/>
      <c r="G1415" s="63"/>
      <c r="H1415" s="67"/>
      <c r="I1415" s="68"/>
      <c r="J1415" s="68"/>
      <c r="K1415" s="32"/>
      <c r="L1415" s="75">
        <v>1415</v>
      </c>
      <c r="M1415" s="75"/>
      <c r="N1415" s="70"/>
      <c r="O1415" s="77" t="s">
        <v>179</v>
      </c>
      <c r="P1415" s="79">
        <v>45128.602384259262</v>
      </c>
      <c r="Q1415" s="77" t="s">
        <v>3321</v>
      </c>
      <c r="R1415" s="77">
        <v>666</v>
      </c>
      <c r="S1415" s="77">
        <v>1606</v>
      </c>
      <c r="T1415" s="77">
        <v>280</v>
      </c>
      <c r="U1415" s="77">
        <v>99</v>
      </c>
      <c r="V1415" s="77">
        <v>37962</v>
      </c>
      <c r="W1415" s="77"/>
      <c r="X1415" s="83" t="str">
        <f>HYPERLINK("https://urlday.cc/le3af")</f>
        <v>https://urlday.cc/le3af</v>
      </c>
      <c r="Y1415" s="77" t="s">
        <v>8751</v>
      </c>
      <c r="Z1415" s="77"/>
      <c r="AA1415" s="77" t="s">
        <v>9520</v>
      </c>
      <c r="AB1415" s="77" t="s">
        <v>10535</v>
      </c>
      <c r="AC1415" s="80" t="s">
        <v>10541</v>
      </c>
      <c r="AD1415" s="77" t="s">
        <v>10617</v>
      </c>
      <c r="AE1415" s="83" t="str">
        <f>HYPERLINK("https://twitter.com/revistaforum/status/1682396870901899265")</f>
        <v>https://twitter.com/revistaforum/status/1682396870901899265</v>
      </c>
      <c r="AF1415" s="79">
        <v>45128.602384259262</v>
      </c>
      <c r="AG1415" s="85">
        <v>45128</v>
      </c>
      <c r="AH1415" s="80" t="s">
        <v>11867</v>
      </c>
      <c r="AI1415" s="77" t="b">
        <v>0</v>
      </c>
      <c r="AJ1415" s="77"/>
      <c r="AK1415" s="77"/>
      <c r="AL1415" s="77"/>
      <c r="AM1415" s="77"/>
      <c r="AN1415" s="77"/>
      <c r="AO1415" s="77"/>
      <c r="AP1415" s="77"/>
      <c r="AQ1415" s="77" t="s">
        <v>15002</v>
      </c>
      <c r="AR1415" s="77"/>
      <c r="AS1415" s="77"/>
      <c r="AT1415" s="77"/>
      <c r="AU1415" s="77"/>
      <c r="AV1415" s="83" t="str">
        <f>HYPERLINK("https://pbs.twimg.com/media/F1kTBCrWYAI9rKl.jpg")</f>
        <v>https://pbs.twimg.com/media/F1kTBCrWYAI9rKl.jpg</v>
      </c>
      <c r="AW1415" s="80" t="s">
        <v>17292</v>
      </c>
      <c r="AX1415" s="80" t="s">
        <v>17292</v>
      </c>
      <c r="AY1415" s="77"/>
      <c r="AZ1415" s="80" t="s">
        <v>20380</v>
      </c>
      <c r="BA1415" s="80" t="s">
        <v>20380</v>
      </c>
      <c r="BB1415" s="80" t="s">
        <v>20380</v>
      </c>
      <c r="BC1415" s="80" t="s">
        <v>17292</v>
      </c>
      <c r="BD1415" s="77">
        <v>19593634</v>
      </c>
      <c r="BE1415" s="77"/>
      <c r="BF1415" s="77"/>
      <c r="BG1415" s="77"/>
      <c r="BH1415" s="77"/>
      <c r="BI1415" s="77"/>
    </row>
    <row r="1416" spans="1:61" x14ac:dyDescent="0.25">
      <c r="A1416" s="62" t="s">
        <v>775</v>
      </c>
      <c r="B1416" s="62" t="s">
        <v>774</v>
      </c>
      <c r="C1416" s="63"/>
      <c r="D1416" s="64"/>
      <c r="E1416" s="65"/>
      <c r="F1416" s="66"/>
      <c r="G1416" s="63"/>
      <c r="H1416" s="67"/>
      <c r="I1416" s="68"/>
      <c r="J1416" s="68"/>
      <c r="K1416" s="32"/>
      <c r="L1416" s="75">
        <v>1416</v>
      </c>
      <c r="M1416" s="75"/>
      <c r="N1416" s="70"/>
      <c r="O1416" s="77" t="s">
        <v>2082</v>
      </c>
      <c r="P1416" s="79">
        <v>45128.635104166664</v>
      </c>
      <c r="Q1416" s="77" t="s">
        <v>3322</v>
      </c>
      <c r="R1416" s="77">
        <v>0</v>
      </c>
      <c r="S1416" s="77">
        <v>0</v>
      </c>
      <c r="T1416" s="77">
        <v>0</v>
      </c>
      <c r="U1416" s="77">
        <v>0</v>
      </c>
      <c r="V1416" s="77">
        <v>26</v>
      </c>
      <c r="W1416" s="80" t="s">
        <v>5884</v>
      </c>
      <c r="X1416" s="77"/>
      <c r="Y1416" s="77"/>
      <c r="Z1416" s="77"/>
      <c r="AA1416" s="77"/>
      <c r="AB1416" s="77"/>
      <c r="AC1416" s="80" t="s">
        <v>10541</v>
      </c>
      <c r="AD1416" s="77" t="s">
        <v>10617</v>
      </c>
      <c r="AE1416" s="83" t="str">
        <f>HYPERLINK("https://twitter.com/comodetudo/status/1682408729977692161")</f>
        <v>https://twitter.com/comodetudo/status/1682408729977692161</v>
      </c>
      <c r="AF1416" s="79">
        <v>45128.635104166664</v>
      </c>
      <c r="AG1416" s="85">
        <v>45128</v>
      </c>
      <c r="AH1416" s="80" t="s">
        <v>11868</v>
      </c>
      <c r="AI1416" s="77"/>
      <c r="AJ1416" s="77"/>
      <c r="AK1416" s="77"/>
      <c r="AL1416" s="77"/>
      <c r="AM1416" s="77"/>
      <c r="AN1416" s="77"/>
      <c r="AO1416" s="77"/>
      <c r="AP1416" s="77"/>
      <c r="AQ1416" s="77"/>
      <c r="AR1416" s="77"/>
      <c r="AS1416" s="77"/>
      <c r="AT1416" s="77"/>
      <c r="AU1416" s="77"/>
      <c r="AV1416" s="83" t="str">
        <f>HYPERLINK("https://pbs.twimg.com/profile_images/860900851002507266/f3JagG98_normal.jpg")</f>
        <v>https://pbs.twimg.com/profile_images/860900851002507266/f3JagG98_normal.jpg</v>
      </c>
      <c r="AW1416" s="80" t="s">
        <v>17293</v>
      </c>
      <c r="AX1416" s="80" t="s">
        <v>17293</v>
      </c>
      <c r="AY1416" s="77"/>
      <c r="AZ1416" s="80" t="s">
        <v>20380</v>
      </c>
      <c r="BA1416" s="80" t="s">
        <v>17292</v>
      </c>
      <c r="BB1416" s="80" t="s">
        <v>20380</v>
      </c>
      <c r="BC1416" s="80" t="s">
        <v>17292</v>
      </c>
      <c r="BD1416" s="80" t="s">
        <v>20758</v>
      </c>
      <c r="BE1416" s="77"/>
      <c r="BF1416" s="77"/>
      <c r="BG1416" s="77"/>
      <c r="BH1416" s="77"/>
      <c r="BI1416" s="77"/>
    </row>
    <row r="1417" spans="1:61" x14ac:dyDescent="0.25">
      <c r="A1417" s="62" t="s">
        <v>776</v>
      </c>
      <c r="B1417" s="62" t="s">
        <v>1858</v>
      </c>
      <c r="C1417" s="63"/>
      <c r="D1417" s="64"/>
      <c r="E1417" s="65"/>
      <c r="F1417" s="66"/>
      <c r="G1417" s="63"/>
      <c r="H1417" s="67"/>
      <c r="I1417" s="68"/>
      <c r="J1417" s="68"/>
      <c r="K1417" s="32"/>
      <c r="L1417" s="75">
        <v>1417</v>
      </c>
      <c r="M1417" s="75"/>
      <c r="N1417" s="70"/>
      <c r="O1417" s="77" t="s">
        <v>2079</v>
      </c>
      <c r="P1417" s="79">
        <v>45083.441469907404</v>
      </c>
      <c r="Q1417" s="77" t="s">
        <v>3323</v>
      </c>
      <c r="R1417" s="77">
        <v>0</v>
      </c>
      <c r="S1417" s="77">
        <v>0</v>
      </c>
      <c r="T1417" s="77">
        <v>0</v>
      </c>
      <c r="U1417" s="77">
        <v>0</v>
      </c>
      <c r="V1417" s="77">
        <v>46</v>
      </c>
      <c r="W1417" s="80" t="s">
        <v>6889</v>
      </c>
      <c r="X1417" s="77"/>
      <c r="Y1417" s="77"/>
      <c r="Z1417" s="77" t="s">
        <v>8954</v>
      </c>
      <c r="AA1417" s="77"/>
      <c r="AB1417" s="77"/>
      <c r="AC1417" s="80" t="s">
        <v>10542</v>
      </c>
      <c r="AD1417" s="77" t="s">
        <v>10617</v>
      </c>
      <c r="AE1417" s="83" t="str">
        <f>HYPERLINK("https://twitter.com/brunoalefbigode/status/1666031103180668928")</f>
        <v>https://twitter.com/brunoalefbigode/status/1666031103180668928</v>
      </c>
      <c r="AF1417" s="79">
        <v>45083.441469907404</v>
      </c>
      <c r="AG1417" s="85">
        <v>45083</v>
      </c>
      <c r="AH1417" s="80" t="s">
        <v>11869</v>
      </c>
      <c r="AI1417" s="77"/>
      <c r="AJ1417" s="77" t="s">
        <v>14357</v>
      </c>
      <c r="AK1417" s="77" t="s">
        <v>14382</v>
      </c>
      <c r="AL1417" s="77" t="s">
        <v>14391</v>
      </c>
      <c r="AM1417" s="77" t="s">
        <v>14414</v>
      </c>
      <c r="AN1417" s="77" t="s">
        <v>14454</v>
      </c>
      <c r="AO1417" s="77" t="s">
        <v>14493</v>
      </c>
      <c r="AP1417" s="77" t="s">
        <v>14516</v>
      </c>
      <c r="AQ1417" s="77"/>
      <c r="AR1417" s="77"/>
      <c r="AS1417" s="77"/>
      <c r="AT1417" s="77"/>
      <c r="AU1417" s="77"/>
      <c r="AV1417" s="83" t="str">
        <f>HYPERLINK("https://pbs.twimg.com/profile_images/1686016553148456961/7DkWLskQ_normal.jpg")</f>
        <v>https://pbs.twimg.com/profile_images/1686016553148456961/7DkWLskQ_normal.jpg</v>
      </c>
      <c r="AW1417" s="80" t="s">
        <v>17294</v>
      </c>
      <c r="AX1417" s="80" t="s">
        <v>20022</v>
      </c>
      <c r="AY1417" s="80" t="s">
        <v>20274</v>
      </c>
      <c r="AZ1417" s="80" t="s">
        <v>20415</v>
      </c>
      <c r="BA1417" s="80" t="s">
        <v>20380</v>
      </c>
      <c r="BB1417" s="80" t="s">
        <v>20380</v>
      </c>
      <c r="BC1417" s="80" t="s">
        <v>20415</v>
      </c>
      <c r="BD1417" s="77">
        <v>276649540</v>
      </c>
      <c r="BE1417" s="77"/>
      <c r="BF1417" s="77"/>
      <c r="BG1417" s="77"/>
      <c r="BH1417" s="77"/>
      <c r="BI1417" s="77"/>
    </row>
    <row r="1418" spans="1:61" x14ac:dyDescent="0.25">
      <c r="A1418" s="62" t="s">
        <v>776</v>
      </c>
      <c r="B1418" s="62" t="s">
        <v>1859</v>
      </c>
      <c r="C1418" s="63"/>
      <c r="D1418" s="64"/>
      <c r="E1418" s="65"/>
      <c r="F1418" s="66"/>
      <c r="G1418" s="63"/>
      <c r="H1418" s="67"/>
      <c r="I1418" s="68"/>
      <c r="J1418" s="68"/>
      <c r="K1418" s="32"/>
      <c r="L1418" s="75">
        <v>1418</v>
      </c>
      <c r="M1418" s="75"/>
      <c r="N1418" s="70"/>
      <c r="O1418" s="77" t="s">
        <v>2079</v>
      </c>
      <c r="P1418" s="79">
        <v>45083.441469907404</v>
      </c>
      <c r="Q1418" s="77" t="s">
        <v>3323</v>
      </c>
      <c r="R1418" s="77">
        <v>0</v>
      </c>
      <c r="S1418" s="77">
        <v>0</v>
      </c>
      <c r="T1418" s="77">
        <v>0</v>
      </c>
      <c r="U1418" s="77">
        <v>0</v>
      </c>
      <c r="V1418" s="77">
        <v>46</v>
      </c>
      <c r="W1418" s="80" t="s">
        <v>6889</v>
      </c>
      <c r="X1418" s="77"/>
      <c r="Y1418" s="77"/>
      <c r="Z1418" s="77" t="s">
        <v>8954</v>
      </c>
      <c r="AA1418" s="77"/>
      <c r="AB1418" s="77"/>
      <c r="AC1418" s="80" t="s">
        <v>10542</v>
      </c>
      <c r="AD1418" s="77" t="s">
        <v>10617</v>
      </c>
      <c r="AE1418" s="83" t="str">
        <f>HYPERLINK("https://twitter.com/brunoalefbigode/status/1666031103180668928")</f>
        <v>https://twitter.com/brunoalefbigode/status/1666031103180668928</v>
      </c>
      <c r="AF1418" s="79">
        <v>45083.441469907404</v>
      </c>
      <c r="AG1418" s="85">
        <v>45083</v>
      </c>
      <c r="AH1418" s="80" t="s">
        <v>11869</v>
      </c>
      <c r="AI1418" s="77"/>
      <c r="AJ1418" s="77" t="s">
        <v>14357</v>
      </c>
      <c r="AK1418" s="77" t="s">
        <v>14382</v>
      </c>
      <c r="AL1418" s="77" t="s">
        <v>14391</v>
      </c>
      <c r="AM1418" s="77" t="s">
        <v>14414</v>
      </c>
      <c r="AN1418" s="77" t="s">
        <v>14454</v>
      </c>
      <c r="AO1418" s="77" t="s">
        <v>14493</v>
      </c>
      <c r="AP1418" s="77" t="s">
        <v>14516</v>
      </c>
      <c r="AQ1418" s="77"/>
      <c r="AR1418" s="77"/>
      <c r="AS1418" s="77"/>
      <c r="AT1418" s="77"/>
      <c r="AU1418" s="77"/>
      <c r="AV1418" s="83" t="str">
        <f>HYPERLINK("https://pbs.twimg.com/profile_images/1686016553148456961/7DkWLskQ_normal.jpg")</f>
        <v>https://pbs.twimg.com/profile_images/1686016553148456961/7DkWLskQ_normal.jpg</v>
      </c>
      <c r="AW1418" s="80" t="s">
        <v>17294</v>
      </c>
      <c r="AX1418" s="80" t="s">
        <v>20022</v>
      </c>
      <c r="AY1418" s="80" t="s">
        <v>20274</v>
      </c>
      <c r="AZ1418" s="80" t="s">
        <v>20415</v>
      </c>
      <c r="BA1418" s="80" t="s">
        <v>20380</v>
      </c>
      <c r="BB1418" s="80" t="s">
        <v>20380</v>
      </c>
      <c r="BC1418" s="80" t="s">
        <v>20415</v>
      </c>
      <c r="BD1418" s="77">
        <v>276649540</v>
      </c>
      <c r="BE1418" s="77"/>
      <c r="BF1418" s="77"/>
      <c r="BG1418" s="77"/>
      <c r="BH1418" s="77"/>
      <c r="BI1418" s="77"/>
    </row>
    <row r="1419" spans="1:61" x14ac:dyDescent="0.25">
      <c r="A1419" s="62" t="s">
        <v>776</v>
      </c>
      <c r="B1419" s="62" t="s">
        <v>1860</v>
      </c>
      <c r="C1419" s="63"/>
      <c r="D1419" s="64"/>
      <c r="E1419" s="65"/>
      <c r="F1419" s="66"/>
      <c r="G1419" s="63"/>
      <c r="H1419" s="67"/>
      <c r="I1419" s="68"/>
      <c r="J1419" s="68"/>
      <c r="K1419" s="32"/>
      <c r="L1419" s="75">
        <v>1419</v>
      </c>
      <c r="M1419" s="75"/>
      <c r="N1419" s="70"/>
      <c r="O1419" s="77" t="s">
        <v>2079</v>
      </c>
      <c r="P1419" s="79">
        <v>45083.441469907404</v>
      </c>
      <c r="Q1419" s="77" t="s">
        <v>3323</v>
      </c>
      <c r="R1419" s="77">
        <v>0</v>
      </c>
      <c r="S1419" s="77">
        <v>0</v>
      </c>
      <c r="T1419" s="77">
        <v>0</v>
      </c>
      <c r="U1419" s="77">
        <v>0</v>
      </c>
      <c r="V1419" s="77">
        <v>46</v>
      </c>
      <c r="W1419" s="80" t="s">
        <v>6889</v>
      </c>
      <c r="X1419" s="77"/>
      <c r="Y1419" s="77"/>
      <c r="Z1419" s="77" t="s">
        <v>8954</v>
      </c>
      <c r="AA1419" s="77"/>
      <c r="AB1419" s="77"/>
      <c r="AC1419" s="80" t="s">
        <v>10542</v>
      </c>
      <c r="AD1419" s="77" t="s">
        <v>10617</v>
      </c>
      <c r="AE1419" s="83" t="str">
        <f>HYPERLINK("https://twitter.com/brunoalefbigode/status/1666031103180668928")</f>
        <v>https://twitter.com/brunoalefbigode/status/1666031103180668928</v>
      </c>
      <c r="AF1419" s="79">
        <v>45083.441469907404</v>
      </c>
      <c r="AG1419" s="85">
        <v>45083</v>
      </c>
      <c r="AH1419" s="80" t="s">
        <v>11869</v>
      </c>
      <c r="AI1419" s="77"/>
      <c r="AJ1419" s="77" t="s">
        <v>14357</v>
      </c>
      <c r="AK1419" s="77" t="s">
        <v>14382</v>
      </c>
      <c r="AL1419" s="77" t="s">
        <v>14391</v>
      </c>
      <c r="AM1419" s="77" t="s">
        <v>14414</v>
      </c>
      <c r="AN1419" s="77" t="s">
        <v>14454</v>
      </c>
      <c r="AO1419" s="77" t="s">
        <v>14493</v>
      </c>
      <c r="AP1419" s="77" t="s">
        <v>14516</v>
      </c>
      <c r="AQ1419" s="77"/>
      <c r="AR1419" s="77"/>
      <c r="AS1419" s="77"/>
      <c r="AT1419" s="77"/>
      <c r="AU1419" s="77"/>
      <c r="AV1419" s="83" t="str">
        <f>HYPERLINK("https://pbs.twimg.com/profile_images/1686016553148456961/7DkWLskQ_normal.jpg")</f>
        <v>https://pbs.twimg.com/profile_images/1686016553148456961/7DkWLskQ_normal.jpg</v>
      </c>
      <c r="AW1419" s="80" t="s">
        <v>17294</v>
      </c>
      <c r="AX1419" s="80" t="s">
        <v>20022</v>
      </c>
      <c r="AY1419" s="80" t="s">
        <v>20274</v>
      </c>
      <c r="AZ1419" s="80" t="s">
        <v>20415</v>
      </c>
      <c r="BA1419" s="80" t="s">
        <v>20380</v>
      </c>
      <c r="BB1419" s="80" t="s">
        <v>20380</v>
      </c>
      <c r="BC1419" s="80" t="s">
        <v>20415</v>
      </c>
      <c r="BD1419" s="77">
        <v>276649540</v>
      </c>
      <c r="BE1419" s="77"/>
      <c r="BF1419" s="77"/>
      <c r="BG1419" s="77"/>
      <c r="BH1419" s="77"/>
      <c r="BI1419" s="77"/>
    </row>
    <row r="1420" spans="1:61" x14ac:dyDescent="0.25">
      <c r="A1420" s="62" t="s">
        <v>776</v>
      </c>
      <c r="B1420" s="62" t="s">
        <v>1861</v>
      </c>
      <c r="C1420" s="63"/>
      <c r="D1420" s="64"/>
      <c r="E1420" s="65"/>
      <c r="F1420" s="66"/>
      <c r="G1420" s="63"/>
      <c r="H1420" s="67"/>
      <c r="I1420" s="68"/>
      <c r="J1420" s="68"/>
      <c r="K1420" s="32"/>
      <c r="L1420" s="75">
        <v>1420</v>
      </c>
      <c r="M1420" s="75"/>
      <c r="N1420" s="70"/>
      <c r="O1420" s="77" t="s">
        <v>2078</v>
      </c>
      <c r="P1420" s="79">
        <v>45079.605023148149</v>
      </c>
      <c r="Q1420" s="77" t="s">
        <v>3324</v>
      </c>
      <c r="R1420" s="77">
        <v>0</v>
      </c>
      <c r="S1420" s="77">
        <v>1</v>
      </c>
      <c r="T1420" s="77">
        <v>4</v>
      </c>
      <c r="U1420" s="77">
        <v>0</v>
      </c>
      <c r="V1420" s="77">
        <v>76</v>
      </c>
      <c r="W1420" s="80" t="s">
        <v>6890</v>
      </c>
      <c r="X1420" s="77"/>
      <c r="Y1420" s="77"/>
      <c r="Z1420" s="77" t="s">
        <v>8955</v>
      </c>
      <c r="AA1420" s="77"/>
      <c r="AB1420" s="77"/>
      <c r="AC1420" s="80" t="s">
        <v>10542</v>
      </c>
      <c r="AD1420" s="77" t="s">
        <v>10617</v>
      </c>
      <c r="AE1420" s="83" t="str">
        <f>HYPERLINK("https://twitter.com/brunoalefbigode/status/1664640821390352385")</f>
        <v>https://twitter.com/brunoalefbigode/status/1664640821390352385</v>
      </c>
      <c r="AF1420" s="79">
        <v>45079.605023148149</v>
      </c>
      <c r="AG1420" s="85">
        <v>45079</v>
      </c>
      <c r="AH1420" s="80" t="s">
        <v>11870</v>
      </c>
      <c r="AI1420" s="77"/>
      <c r="AJ1420" s="77"/>
      <c r="AK1420" s="77"/>
      <c r="AL1420" s="77"/>
      <c r="AM1420" s="77"/>
      <c r="AN1420" s="77"/>
      <c r="AO1420" s="77"/>
      <c r="AP1420" s="77"/>
      <c r="AQ1420" s="77"/>
      <c r="AR1420" s="77"/>
      <c r="AS1420" s="77"/>
      <c r="AT1420" s="77"/>
      <c r="AU1420" s="77"/>
      <c r="AV1420" s="83" t="str">
        <f>HYPERLINK("https://pbs.twimg.com/profile_images/1686016553148456961/7DkWLskQ_normal.jpg")</f>
        <v>https://pbs.twimg.com/profile_images/1686016553148456961/7DkWLskQ_normal.jpg</v>
      </c>
      <c r="AW1420" s="80" t="s">
        <v>17295</v>
      </c>
      <c r="AX1420" s="80" t="s">
        <v>20022</v>
      </c>
      <c r="AY1420" s="80" t="s">
        <v>20275</v>
      </c>
      <c r="AZ1420" s="80" t="s">
        <v>20022</v>
      </c>
      <c r="BA1420" s="80" t="s">
        <v>20380</v>
      </c>
      <c r="BB1420" s="80" t="s">
        <v>20380</v>
      </c>
      <c r="BC1420" s="80" t="s">
        <v>20022</v>
      </c>
      <c r="BD1420" s="77">
        <v>276649540</v>
      </c>
      <c r="BE1420" s="77"/>
      <c r="BF1420" s="77"/>
      <c r="BG1420" s="77"/>
      <c r="BH1420" s="77"/>
      <c r="BI1420" s="77"/>
    </row>
    <row r="1421" spans="1:61" x14ac:dyDescent="0.25">
      <c r="A1421" s="62" t="s">
        <v>776</v>
      </c>
      <c r="B1421" s="62" t="s">
        <v>1861</v>
      </c>
      <c r="C1421" s="63"/>
      <c r="D1421" s="64"/>
      <c r="E1421" s="65"/>
      <c r="F1421" s="66"/>
      <c r="G1421" s="63"/>
      <c r="H1421" s="67"/>
      <c r="I1421" s="68"/>
      <c r="J1421" s="68"/>
      <c r="K1421" s="32"/>
      <c r="L1421" s="75">
        <v>1421</v>
      </c>
      <c r="M1421" s="75"/>
      <c r="N1421" s="70"/>
      <c r="O1421" s="77" t="s">
        <v>2079</v>
      </c>
      <c r="P1421" s="79">
        <v>45083.441469907404</v>
      </c>
      <c r="Q1421" s="77" t="s">
        <v>3323</v>
      </c>
      <c r="R1421" s="77">
        <v>0</v>
      </c>
      <c r="S1421" s="77">
        <v>0</v>
      </c>
      <c r="T1421" s="77">
        <v>0</v>
      </c>
      <c r="U1421" s="77">
        <v>0</v>
      </c>
      <c r="V1421" s="77">
        <v>46</v>
      </c>
      <c r="W1421" s="80" t="s">
        <v>6889</v>
      </c>
      <c r="X1421" s="77"/>
      <c r="Y1421" s="77"/>
      <c r="Z1421" s="77" t="s">
        <v>8954</v>
      </c>
      <c r="AA1421" s="77"/>
      <c r="AB1421" s="77"/>
      <c r="AC1421" s="80" t="s">
        <v>10542</v>
      </c>
      <c r="AD1421" s="77" t="s">
        <v>10617</v>
      </c>
      <c r="AE1421" s="83" t="str">
        <f>HYPERLINK("https://twitter.com/brunoalefbigode/status/1666031103180668928")</f>
        <v>https://twitter.com/brunoalefbigode/status/1666031103180668928</v>
      </c>
      <c r="AF1421" s="79">
        <v>45083.441469907404</v>
      </c>
      <c r="AG1421" s="85">
        <v>45083</v>
      </c>
      <c r="AH1421" s="80" t="s">
        <v>11869</v>
      </c>
      <c r="AI1421" s="77"/>
      <c r="AJ1421" s="77" t="s">
        <v>14357</v>
      </c>
      <c r="AK1421" s="77" t="s">
        <v>14382</v>
      </c>
      <c r="AL1421" s="77" t="s">
        <v>14391</v>
      </c>
      <c r="AM1421" s="77" t="s">
        <v>14414</v>
      </c>
      <c r="AN1421" s="77" t="s">
        <v>14454</v>
      </c>
      <c r="AO1421" s="77" t="s">
        <v>14493</v>
      </c>
      <c r="AP1421" s="77" t="s">
        <v>14516</v>
      </c>
      <c r="AQ1421" s="77"/>
      <c r="AR1421" s="77"/>
      <c r="AS1421" s="77"/>
      <c r="AT1421" s="77"/>
      <c r="AU1421" s="77"/>
      <c r="AV1421" s="83" t="str">
        <f>HYPERLINK("https://pbs.twimg.com/profile_images/1686016553148456961/7DkWLskQ_normal.jpg")</f>
        <v>https://pbs.twimg.com/profile_images/1686016553148456961/7DkWLskQ_normal.jpg</v>
      </c>
      <c r="AW1421" s="80" t="s">
        <v>17294</v>
      </c>
      <c r="AX1421" s="80" t="s">
        <v>20022</v>
      </c>
      <c r="AY1421" s="80" t="s">
        <v>20274</v>
      </c>
      <c r="AZ1421" s="80" t="s">
        <v>20415</v>
      </c>
      <c r="BA1421" s="80" t="s">
        <v>20380</v>
      </c>
      <c r="BB1421" s="80" t="s">
        <v>20380</v>
      </c>
      <c r="BC1421" s="80" t="s">
        <v>20415</v>
      </c>
      <c r="BD1421" s="77">
        <v>276649540</v>
      </c>
      <c r="BE1421" s="77"/>
      <c r="BF1421" s="77"/>
      <c r="BG1421" s="77"/>
      <c r="BH1421" s="77"/>
      <c r="BI1421" s="77"/>
    </row>
    <row r="1422" spans="1:61" x14ac:dyDescent="0.25">
      <c r="A1422" s="62" t="s">
        <v>776</v>
      </c>
      <c r="B1422" s="62" t="s">
        <v>1862</v>
      </c>
      <c r="C1422" s="63"/>
      <c r="D1422" s="64"/>
      <c r="E1422" s="65"/>
      <c r="F1422" s="66"/>
      <c r="G1422" s="63"/>
      <c r="H1422" s="67"/>
      <c r="I1422" s="68"/>
      <c r="J1422" s="68"/>
      <c r="K1422" s="32"/>
      <c r="L1422" s="75">
        <v>1422</v>
      </c>
      <c r="M1422" s="75"/>
      <c r="N1422" s="70"/>
      <c r="O1422" s="77" t="s">
        <v>2078</v>
      </c>
      <c r="P1422" s="79">
        <v>45083.441469907404</v>
      </c>
      <c r="Q1422" s="77" t="s">
        <v>3323</v>
      </c>
      <c r="R1422" s="77">
        <v>0</v>
      </c>
      <c r="S1422" s="77">
        <v>0</v>
      </c>
      <c r="T1422" s="77">
        <v>0</v>
      </c>
      <c r="U1422" s="77">
        <v>0</v>
      </c>
      <c r="V1422" s="77">
        <v>46</v>
      </c>
      <c r="W1422" s="80" t="s">
        <v>6889</v>
      </c>
      <c r="X1422" s="77"/>
      <c r="Y1422" s="77"/>
      <c r="Z1422" s="77" t="s">
        <v>8954</v>
      </c>
      <c r="AA1422" s="77"/>
      <c r="AB1422" s="77"/>
      <c r="AC1422" s="80" t="s">
        <v>10542</v>
      </c>
      <c r="AD1422" s="77" t="s">
        <v>10617</v>
      </c>
      <c r="AE1422" s="83" t="str">
        <f>HYPERLINK("https://twitter.com/brunoalefbigode/status/1666031103180668928")</f>
        <v>https://twitter.com/brunoalefbigode/status/1666031103180668928</v>
      </c>
      <c r="AF1422" s="79">
        <v>45083.441469907404</v>
      </c>
      <c r="AG1422" s="85">
        <v>45083</v>
      </c>
      <c r="AH1422" s="80" t="s">
        <v>11869</v>
      </c>
      <c r="AI1422" s="77"/>
      <c r="AJ1422" s="77" t="s">
        <v>14357</v>
      </c>
      <c r="AK1422" s="77" t="s">
        <v>14382</v>
      </c>
      <c r="AL1422" s="77" t="s">
        <v>14391</v>
      </c>
      <c r="AM1422" s="77" t="s">
        <v>14414</v>
      </c>
      <c r="AN1422" s="77" t="s">
        <v>14454</v>
      </c>
      <c r="AO1422" s="77" t="s">
        <v>14493</v>
      </c>
      <c r="AP1422" s="77" t="s">
        <v>14516</v>
      </c>
      <c r="AQ1422" s="77"/>
      <c r="AR1422" s="77"/>
      <c r="AS1422" s="77"/>
      <c r="AT1422" s="77"/>
      <c r="AU1422" s="77"/>
      <c r="AV1422" s="83" t="str">
        <f>HYPERLINK("https://pbs.twimg.com/profile_images/1686016553148456961/7DkWLskQ_normal.jpg")</f>
        <v>https://pbs.twimg.com/profile_images/1686016553148456961/7DkWLskQ_normal.jpg</v>
      </c>
      <c r="AW1422" s="80" t="s">
        <v>17294</v>
      </c>
      <c r="AX1422" s="80" t="s">
        <v>20022</v>
      </c>
      <c r="AY1422" s="80" t="s">
        <v>20274</v>
      </c>
      <c r="AZ1422" s="80" t="s">
        <v>20415</v>
      </c>
      <c r="BA1422" s="80" t="s">
        <v>20380</v>
      </c>
      <c r="BB1422" s="80" t="s">
        <v>20380</v>
      </c>
      <c r="BC1422" s="80" t="s">
        <v>20415</v>
      </c>
      <c r="BD1422" s="77">
        <v>276649540</v>
      </c>
      <c r="BE1422" s="77"/>
      <c r="BF1422" s="77"/>
      <c r="BG1422" s="77"/>
      <c r="BH1422" s="77"/>
      <c r="BI1422" s="77"/>
    </row>
    <row r="1423" spans="1:61" x14ac:dyDescent="0.25">
      <c r="A1423" s="62" t="s">
        <v>776</v>
      </c>
      <c r="B1423" s="62" t="s">
        <v>1863</v>
      </c>
      <c r="C1423" s="63"/>
      <c r="D1423" s="64"/>
      <c r="E1423" s="65"/>
      <c r="F1423" s="66"/>
      <c r="G1423" s="63"/>
      <c r="H1423" s="67"/>
      <c r="I1423" s="68"/>
      <c r="J1423" s="68"/>
      <c r="K1423" s="32"/>
      <c r="L1423" s="75">
        <v>1423</v>
      </c>
      <c r="M1423" s="75"/>
      <c r="N1423" s="70"/>
      <c r="O1423" s="77" t="s">
        <v>2078</v>
      </c>
      <c r="P1423" s="79">
        <v>45068.525231481479</v>
      </c>
      <c r="Q1423" s="77" t="s">
        <v>3325</v>
      </c>
      <c r="R1423" s="77">
        <v>0</v>
      </c>
      <c r="S1423" s="77">
        <v>0</v>
      </c>
      <c r="T1423" s="77">
        <v>1</v>
      </c>
      <c r="U1423" s="77">
        <v>0</v>
      </c>
      <c r="V1423" s="77">
        <v>105</v>
      </c>
      <c r="W1423" s="80" t="s">
        <v>6891</v>
      </c>
      <c r="X1423" s="77"/>
      <c r="Y1423" s="77"/>
      <c r="Z1423" s="77" t="s">
        <v>8956</v>
      </c>
      <c r="AA1423" s="77"/>
      <c r="AB1423" s="77"/>
      <c r="AC1423" s="80" t="s">
        <v>10542</v>
      </c>
      <c r="AD1423" s="77" t="s">
        <v>10617</v>
      </c>
      <c r="AE1423" s="83" t="str">
        <f>HYPERLINK("https://twitter.com/brunoalefbigode/status/1660625642629603334")</f>
        <v>https://twitter.com/brunoalefbigode/status/1660625642629603334</v>
      </c>
      <c r="AF1423" s="79">
        <v>45068.525231481479</v>
      </c>
      <c r="AG1423" s="85">
        <v>45068</v>
      </c>
      <c r="AH1423" s="80" t="s">
        <v>11871</v>
      </c>
      <c r="AI1423" s="77"/>
      <c r="AJ1423" s="77"/>
      <c r="AK1423" s="77"/>
      <c r="AL1423" s="77"/>
      <c r="AM1423" s="77"/>
      <c r="AN1423" s="77"/>
      <c r="AO1423" s="77"/>
      <c r="AP1423" s="77"/>
      <c r="AQ1423" s="77"/>
      <c r="AR1423" s="77"/>
      <c r="AS1423" s="77"/>
      <c r="AT1423" s="77"/>
      <c r="AU1423" s="77"/>
      <c r="AV1423" s="83" t="str">
        <f>HYPERLINK("https://pbs.twimg.com/profile_images/1686016553148456961/7DkWLskQ_normal.jpg")</f>
        <v>https://pbs.twimg.com/profile_images/1686016553148456961/7DkWLskQ_normal.jpg</v>
      </c>
      <c r="AW1423" s="80" t="s">
        <v>17296</v>
      </c>
      <c r="AX1423" s="80" t="s">
        <v>20023</v>
      </c>
      <c r="AY1423" s="80" t="s">
        <v>20276</v>
      </c>
      <c r="AZ1423" s="80" t="s">
        <v>20416</v>
      </c>
      <c r="BA1423" s="80" t="s">
        <v>20380</v>
      </c>
      <c r="BB1423" s="80" t="s">
        <v>20380</v>
      </c>
      <c r="BC1423" s="80" t="s">
        <v>20416</v>
      </c>
      <c r="BD1423" s="77">
        <v>276649540</v>
      </c>
      <c r="BE1423" s="77"/>
      <c r="BF1423" s="77"/>
      <c r="BG1423" s="77"/>
      <c r="BH1423" s="77"/>
      <c r="BI1423" s="77"/>
    </row>
    <row r="1424" spans="1:61" x14ac:dyDescent="0.25">
      <c r="A1424" s="62" t="s">
        <v>776</v>
      </c>
      <c r="B1424" s="62" t="s">
        <v>1863</v>
      </c>
      <c r="C1424" s="63"/>
      <c r="D1424" s="64"/>
      <c r="E1424" s="65"/>
      <c r="F1424" s="66"/>
      <c r="G1424" s="63"/>
      <c r="H1424" s="67"/>
      <c r="I1424" s="68"/>
      <c r="J1424" s="68"/>
      <c r="K1424" s="32"/>
      <c r="L1424" s="75">
        <v>1424</v>
      </c>
      <c r="M1424" s="75"/>
      <c r="N1424" s="70"/>
      <c r="O1424" s="77" t="s">
        <v>2078</v>
      </c>
      <c r="P1424" s="79">
        <v>45068.478217592594</v>
      </c>
      <c r="Q1424" s="77" t="s">
        <v>3326</v>
      </c>
      <c r="R1424" s="77">
        <v>0</v>
      </c>
      <c r="S1424" s="77">
        <v>1</v>
      </c>
      <c r="T1424" s="77">
        <v>1</v>
      </c>
      <c r="U1424" s="77">
        <v>0</v>
      </c>
      <c r="V1424" s="77">
        <v>85</v>
      </c>
      <c r="W1424" s="80" t="s">
        <v>6250</v>
      </c>
      <c r="X1424" s="77"/>
      <c r="Y1424" s="77"/>
      <c r="Z1424" s="77" t="s">
        <v>1863</v>
      </c>
      <c r="AA1424" s="77"/>
      <c r="AB1424" s="77"/>
      <c r="AC1424" s="80" t="s">
        <v>10542</v>
      </c>
      <c r="AD1424" s="77" t="s">
        <v>10617</v>
      </c>
      <c r="AE1424" s="83" t="str">
        <f>HYPERLINK("https://twitter.com/brunoalefbigode/status/1660608602401304578")</f>
        <v>https://twitter.com/brunoalefbigode/status/1660608602401304578</v>
      </c>
      <c r="AF1424" s="79">
        <v>45068.478217592594</v>
      </c>
      <c r="AG1424" s="85">
        <v>45068</v>
      </c>
      <c r="AH1424" s="80" t="s">
        <v>11872</v>
      </c>
      <c r="AI1424" s="77"/>
      <c r="AJ1424" s="77"/>
      <c r="AK1424" s="77"/>
      <c r="AL1424" s="77"/>
      <c r="AM1424" s="77"/>
      <c r="AN1424" s="77"/>
      <c r="AO1424" s="77"/>
      <c r="AP1424" s="77"/>
      <c r="AQ1424" s="77"/>
      <c r="AR1424" s="77"/>
      <c r="AS1424" s="77"/>
      <c r="AT1424" s="77"/>
      <c r="AU1424" s="77"/>
      <c r="AV1424" s="83" t="str">
        <f>HYPERLINK("https://pbs.twimg.com/profile_images/1686016553148456961/7DkWLskQ_normal.jpg")</f>
        <v>https://pbs.twimg.com/profile_images/1686016553148456961/7DkWLskQ_normal.jpg</v>
      </c>
      <c r="AW1424" s="80" t="s">
        <v>17297</v>
      </c>
      <c r="AX1424" s="80" t="s">
        <v>20023</v>
      </c>
      <c r="AY1424" s="80" t="s">
        <v>20276</v>
      </c>
      <c r="AZ1424" s="80" t="s">
        <v>20417</v>
      </c>
      <c r="BA1424" s="80" t="s">
        <v>20380</v>
      </c>
      <c r="BB1424" s="80" t="s">
        <v>20380</v>
      </c>
      <c r="BC1424" s="80" t="s">
        <v>20417</v>
      </c>
      <c r="BD1424" s="77">
        <v>276649540</v>
      </c>
      <c r="BE1424" s="77"/>
      <c r="BF1424" s="77"/>
      <c r="BG1424" s="77"/>
      <c r="BH1424" s="77"/>
      <c r="BI1424" s="77"/>
    </row>
    <row r="1425" spans="1:61" x14ac:dyDescent="0.25">
      <c r="A1425" s="62" t="s">
        <v>776</v>
      </c>
      <c r="B1425" s="62" t="s">
        <v>1864</v>
      </c>
      <c r="C1425" s="63"/>
      <c r="D1425" s="64"/>
      <c r="E1425" s="65"/>
      <c r="F1425" s="66"/>
      <c r="G1425" s="63"/>
      <c r="H1425" s="67"/>
      <c r="I1425" s="68"/>
      <c r="J1425" s="68"/>
      <c r="K1425" s="32"/>
      <c r="L1425" s="75">
        <v>1425</v>
      </c>
      <c r="M1425" s="75"/>
      <c r="N1425" s="70"/>
      <c r="O1425" s="77" t="s">
        <v>2079</v>
      </c>
      <c r="P1425" s="79">
        <v>45079.605023148149</v>
      </c>
      <c r="Q1425" s="77" t="s">
        <v>3324</v>
      </c>
      <c r="R1425" s="77">
        <v>0</v>
      </c>
      <c r="S1425" s="77">
        <v>1</v>
      </c>
      <c r="T1425" s="77">
        <v>4</v>
      </c>
      <c r="U1425" s="77">
        <v>0</v>
      </c>
      <c r="V1425" s="77">
        <v>76</v>
      </c>
      <c r="W1425" s="80" t="s">
        <v>6890</v>
      </c>
      <c r="X1425" s="77"/>
      <c r="Y1425" s="77"/>
      <c r="Z1425" s="77" t="s">
        <v>8955</v>
      </c>
      <c r="AA1425" s="77"/>
      <c r="AB1425" s="77"/>
      <c r="AC1425" s="80" t="s">
        <v>10542</v>
      </c>
      <c r="AD1425" s="77" t="s">
        <v>10617</v>
      </c>
      <c r="AE1425" s="83" t="str">
        <f>HYPERLINK("https://twitter.com/brunoalefbigode/status/1664640821390352385")</f>
        <v>https://twitter.com/brunoalefbigode/status/1664640821390352385</v>
      </c>
      <c r="AF1425" s="79">
        <v>45079.605023148149</v>
      </c>
      <c r="AG1425" s="85">
        <v>45079</v>
      </c>
      <c r="AH1425" s="80" t="s">
        <v>11870</v>
      </c>
      <c r="AI1425" s="77"/>
      <c r="AJ1425" s="77"/>
      <c r="AK1425" s="77"/>
      <c r="AL1425" s="77"/>
      <c r="AM1425" s="77"/>
      <c r="AN1425" s="77"/>
      <c r="AO1425" s="77"/>
      <c r="AP1425" s="77"/>
      <c r="AQ1425" s="77"/>
      <c r="AR1425" s="77"/>
      <c r="AS1425" s="77"/>
      <c r="AT1425" s="77"/>
      <c r="AU1425" s="77"/>
      <c r="AV1425" s="83" t="str">
        <f>HYPERLINK("https://pbs.twimg.com/profile_images/1686016553148456961/7DkWLskQ_normal.jpg")</f>
        <v>https://pbs.twimg.com/profile_images/1686016553148456961/7DkWLskQ_normal.jpg</v>
      </c>
      <c r="AW1425" s="80" t="s">
        <v>17295</v>
      </c>
      <c r="AX1425" s="80" t="s">
        <v>20022</v>
      </c>
      <c r="AY1425" s="80" t="s">
        <v>20275</v>
      </c>
      <c r="AZ1425" s="80" t="s">
        <v>20022</v>
      </c>
      <c r="BA1425" s="80" t="s">
        <v>20380</v>
      </c>
      <c r="BB1425" s="80" t="s">
        <v>20380</v>
      </c>
      <c r="BC1425" s="80" t="s">
        <v>20022</v>
      </c>
      <c r="BD1425" s="77">
        <v>276649540</v>
      </c>
      <c r="BE1425" s="77"/>
      <c r="BF1425" s="77"/>
      <c r="BG1425" s="77"/>
      <c r="BH1425" s="77"/>
      <c r="BI1425" s="77"/>
    </row>
    <row r="1426" spans="1:61" x14ac:dyDescent="0.25">
      <c r="A1426" s="62" t="s">
        <v>776</v>
      </c>
      <c r="B1426" s="62" t="s">
        <v>1864</v>
      </c>
      <c r="C1426" s="63"/>
      <c r="D1426" s="64"/>
      <c r="E1426" s="65"/>
      <c r="F1426" s="66"/>
      <c r="G1426" s="63"/>
      <c r="H1426" s="67"/>
      <c r="I1426" s="68"/>
      <c r="J1426" s="68"/>
      <c r="K1426" s="32"/>
      <c r="L1426" s="75">
        <v>1426</v>
      </c>
      <c r="M1426" s="75"/>
      <c r="N1426" s="70"/>
      <c r="O1426" s="77" t="s">
        <v>2079</v>
      </c>
      <c r="P1426" s="79">
        <v>45083.441469907404</v>
      </c>
      <c r="Q1426" s="77" t="s">
        <v>3323</v>
      </c>
      <c r="R1426" s="77">
        <v>0</v>
      </c>
      <c r="S1426" s="77">
        <v>0</v>
      </c>
      <c r="T1426" s="77">
        <v>0</v>
      </c>
      <c r="U1426" s="77">
        <v>0</v>
      </c>
      <c r="V1426" s="77">
        <v>46</v>
      </c>
      <c r="W1426" s="80" t="s">
        <v>6889</v>
      </c>
      <c r="X1426" s="77"/>
      <c r="Y1426" s="77"/>
      <c r="Z1426" s="77" t="s">
        <v>8954</v>
      </c>
      <c r="AA1426" s="77"/>
      <c r="AB1426" s="77"/>
      <c r="AC1426" s="80" t="s">
        <v>10542</v>
      </c>
      <c r="AD1426" s="77" t="s">
        <v>10617</v>
      </c>
      <c r="AE1426" s="83" t="str">
        <f>HYPERLINK("https://twitter.com/brunoalefbigode/status/1666031103180668928")</f>
        <v>https://twitter.com/brunoalefbigode/status/1666031103180668928</v>
      </c>
      <c r="AF1426" s="79">
        <v>45083.441469907404</v>
      </c>
      <c r="AG1426" s="85">
        <v>45083</v>
      </c>
      <c r="AH1426" s="80" t="s">
        <v>11869</v>
      </c>
      <c r="AI1426" s="77"/>
      <c r="AJ1426" s="77" t="s">
        <v>14357</v>
      </c>
      <c r="AK1426" s="77" t="s">
        <v>14382</v>
      </c>
      <c r="AL1426" s="77" t="s">
        <v>14391</v>
      </c>
      <c r="AM1426" s="77" t="s">
        <v>14414</v>
      </c>
      <c r="AN1426" s="77" t="s">
        <v>14454</v>
      </c>
      <c r="AO1426" s="77" t="s">
        <v>14493</v>
      </c>
      <c r="AP1426" s="77" t="s">
        <v>14516</v>
      </c>
      <c r="AQ1426" s="77"/>
      <c r="AR1426" s="77"/>
      <c r="AS1426" s="77"/>
      <c r="AT1426" s="77"/>
      <c r="AU1426" s="77"/>
      <c r="AV1426" s="83" t="str">
        <f>HYPERLINK("https://pbs.twimg.com/profile_images/1686016553148456961/7DkWLskQ_normal.jpg")</f>
        <v>https://pbs.twimg.com/profile_images/1686016553148456961/7DkWLskQ_normal.jpg</v>
      </c>
      <c r="AW1426" s="80" t="s">
        <v>17294</v>
      </c>
      <c r="AX1426" s="80" t="s">
        <v>20022</v>
      </c>
      <c r="AY1426" s="80" t="s">
        <v>20274</v>
      </c>
      <c r="AZ1426" s="80" t="s">
        <v>20415</v>
      </c>
      <c r="BA1426" s="80" t="s">
        <v>20380</v>
      </c>
      <c r="BB1426" s="80" t="s">
        <v>20380</v>
      </c>
      <c r="BC1426" s="80" t="s">
        <v>20415</v>
      </c>
      <c r="BD1426" s="77">
        <v>276649540</v>
      </c>
      <c r="BE1426" s="77"/>
      <c r="BF1426" s="77"/>
      <c r="BG1426" s="77"/>
      <c r="BH1426" s="77"/>
      <c r="BI1426" s="77"/>
    </row>
    <row r="1427" spans="1:61" x14ac:dyDescent="0.25">
      <c r="A1427" s="62" t="s">
        <v>776</v>
      </c>
      <c r="B1427" s="62" t="s">
        <v>1864</v>
      </c>
      <c r="C1427" s="63"/>
      <c r="D1427" s="64"/>
      <c r="E1427" s="65"/>
      <c r="F1427" s="66"/>
      <c r="G1427" s="63"/>
      <c r="H1427" s="67"/>
      <c r="I1427" s="68"/>
      <c r="J1427" s="68"/>
      <c r="K1427" s="32"/>
      <c r="L1427" s="75">
        <v>1427</v>
      </c>
      <c r="M1427" s="75"/>
      <c r="N1427" s="70"/>
      <c r="O1427" s="77" t="s">
        <v>2079</v>
      </c>
      <c r="P1427" s="79">
        <v>45068.525231481479</v>
      </c>
      <c r="Q1427" s="77" t="s">
        <v>3325</v>
      </c>
      <c r="R1427" s="77">
        <v>0</v>
      </c>
      <c r="S1427" s="77">
        <v>0</v>
      </c>
      <c r="T1427" s="77">
        <v>1</v>
      </c>
      <c r="U1427" s="77">
        <v>0</v>
      </c>
      <c r="V1427" s="77">
        <v>105</v>
      </c>
      <c r="W1427" s="80" t="s">
        <v>6891</v>
      </c>
      <c r="X1427" s="77"/>
      <c r="Y1427" s="77"/>
      <c r="Z1427" s="77" t="s">
        <v>8956</v>
      </c>
      <c r="AA1427" s="77"/>
      <c r="AB1427" s="77"/>
      <c r="AC1427" s="80" t="s">
        <v>10542</v>
      </c>
      <c r="AD1427" s="77" t="s">
        <v>10617</v>
      </c>
      <c r="AE1427" s="83" t="str">
        <f>HYPERLINK("https://twitter.com/brunoalefbigode/status/1660625642629603334")</f>
        <v>https://twitter.com/brunoalefbigode/status/1660625642629603334</v>
      </c>
      <c r="AF1427" s="79">
        <v>45068.525231481479</v>
      </c>
      <c r="AG1427" s="85">
        <v>45068</v>
      </c>
      <c r="AH1427" s="80" t="s">
        <v>11871</v>
      </c>
      <c r="AI1427" s="77"/>
      <c r="AJ1427" s="77"/>
      <c r="AK1427" s="77"/>
      <c r="AL1427" s="77"/>
      <c r="AM1427" s="77"/>
      <c r="AN1427" s="77"/>
      <c r="AO1427" s="77"/>
      <c r="AP1427" s="77"/>
      <c r="AQ1427" s="77"/>
      <c r="AR1427" s="77"/>
      <c r="AS1427" s="77"/>
      <c r="AT1427" s="77"/>
      <c r="AU1427" s="77"/>
      <c r="AV1427" s="83" t="str">
        <f>HYPERLINK("https://pbs.twimg.com/profile_images/1686016553148456961/7DkWLskQ_normal.jpg")</f>
        <v>https://pbs.twimg.com/profile_images/1686016553148456961/7DkWLskQ_normal.jpg</v>
      </c>
      <c r="AW1427" s="80" t="s">
        <v>17296</v>
      </c>
      <c r="AX1427" s="80" t="s">
        <v>20023</v>
      </c>
      <c r="AY1427" s="80" t="s">
        <v>20276</v>
      </c>
      <c r="AZ1427" s="80" t="s">
        <v>20416</v>
      </c>
      <c r="BA1427" s="80" t="s">
        <v>20380</v>
      </c>
      <c r="BB1427" s="80" t="s">
        <v>20380</v>
      </c>
      <c r="BC1427" s="80" t="s">
        <v>20416</v>
      </c>
      <c r="BD1427" s="77">
        <v>276649540</v>
      </c>
      <c r="BE1427" s="77"/>
      <c r="BF1427" s="77"/>
      <c r="BG1427" s="77"/>
      <c r="BH1427" s="77"/>
      <c r="BI1427" s="77"/>
    </row>
    <row r="1428" spans="1:61" x14ac:dyDescent="0.25">
      <c r="A1428" s="62" t="s">
        <v>776</v>
      </c>
      <c r="B1428" s="62" t="s">
        <v>1864</v>
      </c>
      <c r="C1428" s="63"/>
      <c r="D1428" s="64"/>
      <c r="E1428" s="65"/>
      <c r="F1428" s="66"/>
      <c r="G1428" s="63"/>
      <c r="H1428" s="67"/>
      <c r="I1428" s="68"/>
      <c r="J1428" s="68"/>
      <c r="K1428" s="32"/>
      <c r="L1428" s="75">
        <v>1428</v>
      </c>
      <c r="M1428" s="75"/>
      <c r="N1428" s="70"/>
      <c r="O1428" s="77" t="s">
        <v>2081</v>
      </c>
      <c r="P1428" s="79">
        <v>45078.735208333332</v>
      </c>
      <c r="Q1428" s="77" t="s">
        <v>3327</v>
      </c>
      <c r="R1428" s="77">
        <v>0</v>
      </c>
      <c r="S1428" s="77">
        <v>0</v>
      </c>
      <c r="T1428" s="77">
        <v>0</v>
      </c>
      <c r="U1428" s="77">
        <v>0</v>
      </c>
      <c r="V1428" s="77">
        <v>128</v>
      </c>
      <c r="W1428" s="80" t="s">
        <v>6892</v>
      </c>
      <c r="X1428" s="77"/>
      <c r="Y1428" s="77"/>
      <c r="Z1428" s="77" t="s">
        <v>8957</v>
      </c>
      <c r="AA1428" s="77"/>
      <c r="AB1428" s="77"/>
      <c r="AC1428" s="80" t="s">
        <v>10542</v>
      </c>
      <c r="AD1428" s="77" t="s">
        <v>10617</v>
      </c>
      <c r="AE1428" s="83" t="str">
        <f>HYPERLINK("https://twitter.com/brunoalefbigode/status/1664325612859736074")</f>
        <v>https://twitter.com/brunoalefbigode/status/1664325612859736074</v>
      </c>
      <c r="AF1428" s="79">
        <v>45078.735208333332</v>
      </c>
      <c r="AG1428" s="85">
        <v>45078</v>
      </c>
      <c r="AH1428" s="80" t="s">
        <v>11873</v>
      </c>
      <c r="AI1428" s="77"/>
      <c r="AJ1428" s="77" t="s">
        <v>14357</v>
      </c>
      <c r="AK1428" s="77" t="s">
        <v>14382</v>
      </c>
      <c r="AL1428" s="77" t="s">
        <v>14391</v>
      </c>
      <c r="AM1428" s="77" t="s">
        <v>14414</v>
      </c>
      <c r="AN1428" s="77" t="s">
        <v>14454</v>
      </c>
      <c r="AO1428" s="77" t="s">
        <v>14493</v>
      </c>
      <c r="AP1428" s="77" t="s">
        <v>14516</v>
      </c>
      <c r="AQ1428" s="77"/>
      <c r="AR1428" s="77"/>
      <c r="AS1428" s="77"/>
      <c r="AT1428" s="77"/>
      <c r="AU1428" s="77"/>
      <c r="AV1428" s="83" t="str">
        <f>HYPERLINK("https://pbs.twimg.com/profile_images/1686016553148456961/7DkWLskQ_normal.jpg")</f>
        <v>https://pbs.twimg.com/profile_images/1686016553148456961/7DkWLskQ_normal.jpg</v>
      </c>
      <c r="AW1428" s="80" t="s">
        <v>17298</v>
      </c>
      <c r="AX1428" s="80" t="s">
        <v>17298</v>
      </c>
      <c r="AY1428" s="77"/>
      <c r="AZ1428" s="80" t="s">
        <v>20380</v>
      </c>
      <c r="BA1428" s="80" t="s">
        <v>20380</v>
      </c>
      <c r="BB1428" s="80" t="s">
        <v>20380</v>
      </c>
      <c r="BC1428" s="80" t="s">
        <v>17298</v>
      </c>
      <c r="BD1428" s="77">
        <v>276649540</v>
      </c>
      <c r="BE1428" s="77"/>
      <c r="BF1428" s="77"/>
      <c r="BG1428" s="77"/>
      <c r="BH1428" s="77"/>
      <c r="BI1428" s="77"/>
    </row>
    <row r="1429" spans="1:61" x14ac:dyDescent="0.25">
      <c r="A1429" s="62" t="s">
        <v>776</v>
      </c>
      <c r="B1429" s="62" t="s">
        <v>1865</v>
      </c>
      <c r="C1429" s="63"/>
      <c r="D1429" s="64"/>
      <c r="E1429" s="65"/>
      <c r="F1429" s="66"/>
      <c r="G1429" s="63"/>
      <c r="H1429" s="67"/>
      <c r="I1429" s="68"/>
      <c r="J1429" s="68"/>
      <c r="K1429" s="32"/>
      <c r="L1429" s="75">
        <v>1429</v>
      </c>
      <c r="M1429" s="75"/>
      <c r="N1429" s="70"/>
      <c r="O1429" s="77" t="s">
        <v>2079</v>
      </c>
      <c r="P1429" s="79">
        <v>45083.441469907404</v>
      </c>
      <c r="Q1429" s="77" t="s">
        <v>3323</v>
      </c>
      <c r="R1429" s="77">
        <v>0</v>
      </c>
      <c r="S1429" s="77">
        <v>0</v>
      </c>
      <c r="T1429" s="77">
        <v>0</v>
      </c>
      <c r="U1429" s="77">
        <v>0</v>
      </c>
      <c r="V1429" s="77">
        <v>46</v>
      </c>
      <c r="W1429" s="80" t="s">
        <v>6889</v>
      </c>
      <c r="X1429" s="77"/>
      <c r="Y1429" s="77"/>
      <c r="Z1429" s="77" t="s">
        <v>8954</v>
      </c>
      <c r="AA1429" s="77"/>
      <c r="AB1429" s="77"/>
      <c r="AC1429" s="80" t="s">
        <v>10542</v>
      </c>
      <c r="AD1429" s="77" t="s">
        <v>10617</v>
      </c>
      <c r="AE1429" s="83" t="str">
        <f>HYPERLINK("https://twitter.com/brunoalefbigode/status/1666031103180668928")</f>
        <v>https://twitter.com/brunoalefbigode/status/1666031103180668928</v>
      </c>
      <c r="AF1429" s="79">
        <v>45083.441469907404</v>
      </c>
      <c r="AG1429" s="85">
        <v>45083</v>
      </c>
      <c r="AH1429" s="80" t="s">
        <v>11869</v>
      </c>
      <c r="AI1429" s="77"/>
      <c r="AJ1429" s="77" t="s">
        <v>14357</v>
      </c>
      <c r="AK1429" s="77" t="s">
        <v>14382</v>
      </c>
      <c r="AL1429" s="77" t="s">
        <v>14391</v>
      </c>
      <c r="AM1429" s="77" t="s">
        <v>14414</v>
      </c>
      <c r="AN1429" s="77" t="s">
        <v>14454</v>
      </c>
      <c r="AO1429" s="77" t="s">
        <v>14493</v>
      </c>
      <c r="AP1429" s="77" t="s">
        <v>14516</v>
      </c>
      <c r="AQ1429" s="77"/>
      <c r="AR1429" s="77"/>
      <c r="AS1429" s="77"/>
      <c r="AT1429" s="77"/>
      <c r="AU1429" s="77"/>
      <c r="AV1429" s="83" t="str">
        <f>HYPERLINK("https://pbs.twimg.com/profile_images/1686016553148456961/7DkWLskQ_normal.jpg")</f>
        <v>https://pbs.twimg.com/profile_images/1686016553148456961/7DkWLskQ_normal.jpg</v>
      </c>
      <c r="AW1429" s="80" t="s">
        <v>17294</v>
      </c>
      <c r="AX1429" s="80" t="s">
        <v>20022</v>
      </c>
      <c r="AY1429" s="80" t="s">
        <v>20274</v>
      </c>
      <c r="AZ1429" s="80" t="s">
        <v>20415</v>
      </c>
      <c r="BA1429" s="80" t="s">
        <v>20380</v>
      </c>
      <c r="BB1429" s="80" t="s">
        <v>20380</v>
      </c>
      <c r="BC1429" s="80" t="s">
        <v>20415</v>
      </c>
      <c r="BD1429" s="77">
        <v>276649540</v>
      </c>
      <c r="BE1429" s="77"/>
      <c r="BF1429" s="77"/>
      <c r="BG1429" s="77"/>
      <c r="BH1429" s="77"/>
      <c r="BI1429" s="77"/>
    </row>
    <row r="1430" spans="1:61" x14ac:dyDescent="0.25">
      <c r="A1430" s="62" t="s">
        <v>776</v>
      </c>
      <c r="B1430" s="62" t="s">
        <v>1596</v>
      </c>
      <c r="C1430" s="63"/>
      <c r="D1430" s="64"/>
      <c r="E1430" s="65"/>
      <c r="F1430" s="66"/>
      <c r="G1430" s="63"/>
      <c r="H1430" s="67"/>
      <c r="I1430" s="68"/>
      <c r="J1430" s="68"/>
      <c r="K1430" s="32"/>
      <c r="L1430" s="75">
        <v>1430</v>
      </c>
      <c r="M1430" s="75"/>
      <c r="N1430" s="70"/>
      <c r="O1430" s="77" t="s">
        <v>2079</v>
      </c>
      <c r="P1430" s="79">
        <v>45083.441469907404</v>
      </c>
      <c r="Q1430" s="77" t="s">
        <v>3323</v>
      </c>
      <c r="R1430" s="77">
        <v>0</v>
      </c>
      <c r="S1430" s="77">
        <v>0</v>
      </c>
      <c r="T1430" s="77">
        <v>0</v>
      </c>
      <c r="U1430" s="77">
        <v>0</v>
      </c>
      <c r="V1430" s="77">
        <v>46</v>
      </c>
      <c r="W1430" s="80" t="s">
        <v>6889</v>
      </c>
      <c r="X1430" s="77"/>
      <c r="Y1430" s="77"/>
      <c r="Z1430" s="77" t="s">
        <v>8954</v>
      </c>
      <c r="AA1430" s="77"/>
      <c r="AB1430" s="77"/>
      <c r="AC1430" s="80" t="s">
        <v>10542</v>
      </c>
      <c r="AD1430" s="77" t="s">
        <v>10617</v>
      </c>
      <c r="AE1430" s="83" t="str">
        <f>HYPERLINK("https://twitter.com/brunoalefbigode/status/1666031103180668928")</f>
        <v>https://twitter.com/brunoalefbigode/status/1666031103180668928</v>
      </c>
      <c r="AF1430" s="79">
        <v>45083.441469907404</v>
      </c>
      <c r="AG1430" s="85">
        <v>45083</v>
      </c>
      <c r="AH1430" s="80" t="s">
        <v>11869</v>
      </c>
      <c r="AI1430" s="77"/>
      <c r="AJ1430" s="77" t="s">
        <v>14357</v>
      </c>
      <c r="AK1430" s="77" t="s">
        <v>14382</v>
      </c>
      <c r="AL1430" s="77" t="s">
        <v>14391</v>
      </c>
      <c r="AM1430" s="77" t="s">
        <v>14414</v>
      </c>
      <c r="AN1430" s="77" t="s">
        <v>14454</v>
      </c>
      <c r="AO1430" s="77" t="s">
        <v>14493</v>
      </c>
      <c r="AP1430" s="77" t="s">
        <v>14516</v>
      </c>
      <c r="AQ1430" s="77"/>
      <c r="AR1430" s="77"/>
      <c r="AS1430" s="77"/>
      <c r="AT1430" s="77"/>
      <c r="AU1430" s="77"/>
      <c r="AV1430" s="83" t="str">
        <f>HYPERLINK("https://pbs.twimg.com/profile_images/1686016553148456961/7DkWLskQ_normal.jpg")</f>
        <v>https://pbs.twimg.com/profile_images/1686016553148456961/7DkWLskQ_normal.jpg</v>
      </c>
      <c r="AW1430" s="80" t="s">
        <v>17294</v>
      </c>
      <c r="AX1430" s="80" t="s">
        <v>20022</v>
      </c>
      <c r="AY1430" s="80" t="s">
        <v>20274</v>
      </c>
      <c r="AZ1430" s="80" t="s">
        <v>20415</v>
      </c>
      <c r="BA1430" s="80" t="s">
        <v>20380</v>
      </c>
      <c r="BB1430" s="80" t="s">
        <v>20380</v>
      </c>
      <c r="BC1430" s="80" t="s">
        <v>20415</v>
      </c>
      <c r="BD1430" s="77">
        <v>276649540</v>
      </c>
      <c r="BE1430" s="77"/>
      <c r="BF1430" s="77"/>
      <c r="BG1430" s="77"/>
      <c r="BH1430" s="77"/>
      <c r="BI1430" s="77"/>
    </row>
    <row r="1431" spans="1:61" x14ac:dyDescent="0.25">
      <c r="A1431" s="62" t="s">
        <v>776</v>
      </c>
      <c r="B1431" s="62" t="s">
        <v>1866</v>
      </c>
      <c r="C1431" s="63"/>
      <c r="D1431" s="64"/>
      <c r="E1431" s="65"/>
      <c r="F1431" s="66"/>
      <c r="G1431" s="63"/>
      <c r="H1431" s="67"/>
      <c r="I1431" s="68"/>
      <c r="J1431" s="68"/>
      <c r="K1431" s="32"/>
      <c r="L1431" s="75">
        <v>1431</v>
      </c>
      <c r="M1431" s="75"/>
      <c r="N1431" s="70"/>
      <c r="O1431" s="77" t="s">
        <v>2081</v>
      </c>
      <c r="P1431" s="79">
        <v>45078.735208333332</v>
      </c>
      <c r="Q1431" s="77" t="s">
        <v>3327</v>
      </c>
      <c r="R1431" s="77">
        <v>0</v>
      </c>
      <c r="S1431" s="77">
        <v>0</v>
      </c>
      <c r="T1431" s="77">
        <v>0</v>
      </c>
      <c r="U1431" s="77">
        <v>0</v>
      </c>
      <c r="V1431" s="77">
        <v>128</v>
      </c>
      <c r="W1431" s="80" t="s">
        <v>6892</v>
      </c>
      <c r="X1431" s="77"/>
      <c r="Y1431" s="77"/>
      <c r="Z1431" s="77" t="s">
        <v>8957</v>
      </c>
      <c r="AA1431" s="77"/>
      <c r="AB1431" s="77"/>
      <c r="AC1431" s="80" t="s">
        <v>10542</v>
      </c>
      <c r="AD1431" s="77" t="s">
        <v>10617</v>
      </c>
      <c r="AE1431" s="83" t="str">
        <f>HYPERLINK("https://twitter.com/brunoalefbigode/status/1664325612859736074")</f>
        <v>https://twitter.com/brunoalefbigode/status/1664325612859736074</v>
      </c>
      <c r="AF1431" s="79">
        <v>45078.735208333332</v>
      </c>
      <c r="AG1431" s="85">
        <v>45078</v>
      </c>
      <c r="AH1431" s="80" t="s">
        <v>11873</v>
      </c>
      <c r="AI1431" s="77"/>
      <c r="AJ1431" s="77" t="s">
        <v>14357</v>
      </c>
      <c r="AK1431" s="77" t="s">
        <v>14382</v>
      </c>
      <c r="AL1431" s="77" t="s">
        <v>14391</v>
      </c>
      <c r="AM1431" s="77" t="s">
        <v>14414</v>
      </c>
      <c r="AN1431" s="77" t="s">
        <v>14454</v>
      </c>
      <c r="AO1431" s="77" t="s">
        <v>14493</v>
      </c>
      <c r="AP1431" s="77" t="s">
        <v>14516</v>
      </c>
      <c r="AQ1431" s="77"/>
      <c r="AR1431" s="77"/>
      <c r="AS1431" s="77"/>
      <c r="AT1431" s="77"/>
      <c r="AU1431" s="77"/>
      <c r="AV1431" s="83" t="str">
        <f>HYPERLINK("https://pbs.twimg.com/profile_images/1686016553148456961/7DkWLskQ_normal.jpg")</f>
        <v>https://pbs.twimg.com/profile_images/1686016553148456961/7DkWLskQ_normal.jpg</v>
      </c>
      <c r="AW1431" s="80" t="s">
        <v>17298</v>
      </c>
      <c r="AX1431" s="80" t="s">
        <v>17298</v>
      </c>
      <c r="AY1431" s="77"/>
      <c r="AZ1431" s="80" t="s">
        <v>20380</v>
      </c>
      <c r="BA1431" s="80" t="s">
        <v>20380</v>
      </c>
      <c r="BB1431" s="80" t="s">
        <v>20380</v>
      </c>
      <c r="BC1431" s="80" t="s">
        <v>17298</v>
      </c>
      <c r="BD1431" s="77">
        <v>276649540</v>
      </c>
      <c r="BE1431" s="77"/>
      <c r="BF1431" s="77"/>
      <c r="BG1431" s="77"/>
      <c r="BH1431" s="77"/>
      <c r="BI1431" s="77"/>
    </row>
    <row r="1432" spans="1:61" x14ac:dyDescent="0.25">
      <c r="A1432" s="62" t="s">
        <v>776</v>
      </c>
      <c r="B1432" s="62" t="s">
        <v>1866</v>
      </c>
      <c r="C1432" s="63"/>
      <c r="D1432" s="64"/>
      <c r="E1432" s="65"/>
      <c r="F1432" s="66"/>
      <c r="G1432" s="63"/>
      <c r="H1432" s="67"/>
      <c r="I1432" s="68"/>
      <c r="J1432" s="68"/>
      <c r="K1432" s="32"/>
      <c r="L1432" s="75">
        <v>1432</v>
      </c>
      <c r="M1432" s="75"/>
      <c r="N1432" s="70"/>
      <c r="O1432" s="77" t="s">
        <v>2078</v>
      </c>
      <c r="P1432" s="79">
        <v>45078.481851851851</v>
      </c>
      <c r="Q1432" s="77" t="s">
        <v>3328</v>
      </c>
      <c r="R1432" s="77">
        <v>0</v>
      </c>
      <c r="S1432" s="77">
        <v>0</v>
      </c>
      <c r="T1432" s="77">
        <v>1</v>
      </c>
      <c r="U1432" s="77">
        <v>0</v>
      </c>
      <c r="V1432" s="77">
        <v>57</v>
      </c>
      <c r="W1432" s="80" t="s">
        <v>6893</v>
      </c>
      <c r="X1432" s="77"/>
      <c r="Y1432" s="77"/>
      <c r="Z1432" s="77" t="s">
        <v>1866</v>
      </c>
      <c r="AA1432" s="77"/>
      <c r="AB1432" s="77"/>
      <c r="AC1432" s="80" t="s">
        <v>10542</v>
      </c>
      <c r="AD1432" s="77" t="s">
        <v>10617</v>
      </c>
      <c r="AE1432" s="83" t="str">
        <f>HYPERLINK("https://twitter.com/brunoalefbigode/status/1664233797791932417")</f>
        <v>https://twitter.com/brunoalefbigode/status/1664233797791932417</v>
      </c>
      <c r="AF1432" s="79">
        <v>45078.481851851851</v>
      </c>
      <c r="AG1432" s="85">
        <v>45078</v>
      </c>
      <c r="AH1432" s="80" t="s">
        <v>11874</v>
      </c>
      <c r="AI1432" s="77"/>
      <c r="AJ1432" s="77"/>
      <c r="AK1432" s="77"/>
      <c r="AL1432" s="77"/>
      <c r="AM1432" s="77"/>
      <c r="AN1432" s="77"/>
      <c r="AO1432" s="77"/>
      <c r="AP1432" s="77"/>
      <c r="AQ1432" s="77"/>
      <c r="AR1432" s="77"/>
      <c r="AS1432" s="77"/>
      <c r="AT1432" s="77"/>
      <c r="AU1432" s="77"/>
      <c r="AV1432" s="83" t="str">
        <f>HYPERLINK("https://pbs.twimg.com/profile_images/1686016553148456961/7DkWLskQ_normal.jpg")</f>
        <v>https://pbs.twimg.com/profile_images/1686016553148456961/7DkWLskQ_normal.jpg</v>
      </c>
      <c r="AW1432" s="80" t="s">
        <v>17299</v>
      </c>
      <c r="AX1432" s="80" t="s">
        <v>20024</v>
      </c>
      <c r="AY1432" s="80" t="s">
        <v>20277</v>
      </c>
      <c r="AZ1432" s="80" t="s">
        <v>20418</v>
      </c>
      <c r="BA1432" s="80" t="s">
        <v>20380</v>
      </c>
      <c r="BB1432" s="80" t="s">
        <v>20380</v>
      </c>
      <c r="BC1432" s="80" t="s">
        <v>20418</v>
      </c>
      <c r="BD1432" s="77">
        <v>276649540</v>
      </c>
      <c r="BE1432" s="77"/>
      <c r="BF1432" s="77"/>
      <c r="BG1432" s="77"/>
      <c r="BH1432" s="77"/>
      <c r="BI1432" s="77"/>
    </row>
    <row r="1433" spans="1:61" x14ac:dyDescent="0.25">
      <c r="A1433" s="62" t="s">
        <v>776</v>
      </c>
      <c r="B1433" s="62" t="s">
        <v>776</v>
      </c>
      <c r="C1433" s="63"/>
      <c r="D1433" s="64"/>
      <c r="E1433" s="65"/>
      <c r="F1433" s="66"/>
      <c r="G1433" s="63"/>
      <c r="H1433" s="67"/>
      <c r="I1433" s="68"/>
      <c r="J1433" s="68"/>
      <c r="K1433" s="32"/>
      <c r="L1433" s="75">
        <v>1433</v>
      </c>
      <c r="M1433" s="75"/>
      <c r="N1433" s="70"/>
      <c r="O1433" s="77" t="s">
        <v>179</v>
      </c>
      <c r="P1433" s="79">
        <v>45111.523043981484</v>
      </c>
      <c r="Q1433" s="77" t="s">
        <v>3329</v>
      </c>
      <c r="R1433" s="77">
        <v>0</v>
      </c>
      <c r="S1433" s="77">
        <v>1</v>
      </c>
      <c r="T1433" s="77">
        <v>0</v>
      </c>
      <c r="U1433" s="77">
        <v>0</v>
      </c>
      <c r="V1433" s="77">
        <v>92</v>
      </c>
      <c r="W1433" s="80" t="s">
        <v>6258</v>
      </c>
      <c r="X1433" s="77"/>
      <c r="Y1433" s="77"/>
      <c r="Z1433" s="77"/>
      <c r="AA1433" s="77"/>
      <c r="AB1433" s="77"/>
      <c r="AC1433" s="80" t="s">
        <v>10542</v>
      </c>
      <c r="AD1433" s="77" t="s">
        <v>10617</v>
      </c>
      <c r="AE1433" s="83" t="str">
        <f>HYPERLINK("https://twitter.com/brunoalefbigode/status/1676207526491070464")</f>
        <v>https://twitter.com/brunoalefbigode/status/1676207526491070464</v>
      </c>
      <c r="AF1433" s="79">
        <v>45111.523043981484</v>
      </c>
      <c r="AG1433" s="85">
        <v>45111</v>
      </c>
      <c r="AH1433" s="80" t="s">
        <v>11875</v>
      </c>
      <c r="AI1433" s="77"/>
      <c r="AJ1433" s="77" t="s">
        <v>14357</v>
      </c>
      <c r="AK1433" s="77" t="s">
        <v>14382</v>
      </c>
      <c r="AL1433" s="77" t="s">
        <v>14391</v>
      </c>
      <c r="AM1433" s="77" t="s">
        <v>14414</v>
      </c>
      <c r="AN1433" s="77" t="s">
        <v>14454</v>
      </c>
      <c r="AO1433" s="77" t="s">
        <v>14493</v>
      </c>
      <c r="AP1433" s="77" t="s">
        <v>14516</v>
      </c>
      <c r="AQ1433" s="77"/>
      <c r="AR1433" s="77"/>
      <c r="AS1433" s="77"/>
      <c r="AT1433" s="77"/>
      <c r="AU1433" s="77"/>
      <c r="AV1433" s="83" t="str">
        <f>HYPERLINK("https://pbs.twimg.com/profile_images/1686016553148456961/7DkWLskQ_normal.jpg")</f>
        <v>https://pbs.twimg.com/profile_images/1686016553148456961/7DkWLskQ_normal.jpg</v>
      </c>
      <c r="AW1433" s="80" t="s">
        <v>17300</v>
      </c>
      <c r="AX1433" s="80" t="s">
        <v>17300</v>
      </c>
      <c r="AY1433" s="77"/>
      <c r="AZ1433" s="80" t="s">
        <v>20380</v>
      </c>
      <c r="BA1433" s="80" t="s">
        <v>20380</v>
      </c>
      <c r="BB1433" s="80" t="s">
        <v>20380</v>
      </c>
      <c r="BC1433" s="80" t="s">
        <v>17300</v>
      </c>
      <c r="BD1433" s="77">
        <v>276649540</v>
      </c>
      <c r="BE1433" s="77"/>
      <c r="BF1433" s="77"/>
      <c r="BG1433" s="77"/>
      <c r="BH1433" s="77"/>
      <c r="BI1433" s="77"/>
    </row>
    <row r="1434" spans="1:61" x14ac:dyDescent="0.25">
      <c r="A1434" s="62" t="s">
        <v>776</v>
      </c>
      <c r="B1434" s="62" t="s">
        <v>1760</v>
      </c>
      <c r="C1434" s="63"/>
      <c r="D1434" s="64"/>
      <c r="E1434" s="65"/>
      <c r="F1434" s="66"/>
      <c r="G1434" s="63"/>
      <c r="H1434" s="67"/>
      <c r="I1434" s="68"/>
      <c r="J1434" s="68"/>
      <c r="K1434" s="32"/>
      <c r="L1434" s="75">
        <v>1434</v>
      </c>
      <c r="M1434" s="75"/>
      <c r="N1434" s="70"/>
      <c r="O1434" s="77" t="s">
        <v>2081</v>
      </c>
      <c r="P1434" s="79">
        <v>45110.797280092593</v>
      </c>
      <c r="Q1434" s="77" t="s">
        <v>3330</v>
      </c>
      <c r="R1434" s="77">
        <v>0</v>
      </c>
      <c r="S1434" s="77">
        <v>0</v>
      </c>
      <c r="T1434" s="77">
        <v>1</v>
      </c>
      <c r="U1434" s="77">
        <v>0</v>
      </c>
      <c r="V1434" s="77">
        <v>85</v>
      </c>
      <c r="W1434" s="80" t="s">
        <v>6894</v>
      </c>
      <c r="X1434" s="77"/>
      <c r="Y1434" s="77"/>
      <c r="Z1434" s="77" t="s">
        <v>1760</v>
      </c>
      <c r="AA1434" s="77"/>
      <c r="AB1434" s="77"/>
      <c r="AC1434" s="80" t="s">
        <v>10542</v>
      </c>
      <c r="AD1434" s="77" t="s">
        <v>10617</v>
      </c>
      <c r="AE1434" s="83" t="str">
        <f>HYPERLINK("https://twitter.com/brunoalefbigode/status/1675944520070885393")</f>
        <v>https://twitter.com/brunoalefbigode/status/1675944520070885393</v>
      </c>
      <c r="AF1434" s="79">
        <v>45110.797280092593</v>
      </c>
      <c r="AG1434" s="85">
        <v>45110</v>
      </c>
      <c r="AH1434" s="80" t="s">
        <v>11876</v>
      </c>
      <c r="AI1434" s="77"/>
      <c r="AJ1434" s="77" t="s">
        <v>14358</v>
      </c>
      <c r="AK1434" s="77" t="s">
        <v>14382</v>
      </c>
      <c r="AL1434" s="77" t="s">
        <v>14391</v>
      </c>
      <c r="AM1434" s="77" t="s">
        <v>14415</v>
      </c>
      <c r="AN1434" s="77" t="s">
        <v>14455</v>
      </c>
      <c r="AO1434" s="77" t="s">
        <v>14494</v>
      </c>
      <c r="AP1434" s="77" t="s">
        <v>14516</v>
      </c>
      <c r="AQ1434" s="77"/>
      <c r="AR1434" s="77"/>
      <c r="AS1434" s="77"/>
      <c r="AT1434" s="77"/>
      <c r="AU1434" s="77"/>
      <c r="AV1434" s="83" t="str">
        <f>HYPERLINK("https://pbs.twimg.com/profile_images/1686016553148456961/7DkWLskQ_normal.jpg")</f>
        <v>https://pbs.twimg.com/profile_images/1686016553148456961/7DkWLskQ_normal.jpg</v>
      </c>
      <c r="AW1434" s="80" t="s">
        <v>17301</v>
      </c>
      <c r="AX1434" s="80" t="s">
        <v>17301</v>
      </c>
      <c r="AY1434" s="77"/>
      <c r="AZ1434" s="80" t="s">
        <v>20380</v>
      </c>
      <c r="BA1434" s="80" t="s">
        <v>20380</v>
      </c>
      <c r="BB1434" s="80" t="s">
        <v>20380</v>
      </c>
      <c r="BC1434" s="80" t="s">
        <v>17301</v>
      </c>
      <c r="BD1434" s="77">
        <v>276649540</v>
      </c>
      <c r="BE1434" s="77"/>
      <c r="BF1434" s="77"/>
      <c r="BG1434" s="77"/>
      <c r="BH1434" s="77"/>
      <c r="BI1434" s="77"/>
    </row>
    <row r="1435" spans="1:61" x14ac:dyDescent="0.25">
      <c r="A1435" s="62" t="s">
        <v>777</v>
      </c>
      <c r="B1435" s="62" t="s">
        <v>777</v>
      </c>
      <c r="C1435" s="63"/>
      <c r="D1435" s="64"/>
      <c r="E1435" s="65"/>
      <c r="F1435" s="66"/>
      <c r="G1435" s="63"/>
      <c r="H1435" s="67"/>
      <c r="I1435" s="68"/>
      <c r="J1435" s="68"/>
      <c r="K1435" s="32"/>
      <c r="L1435" s="75">
        <v>1435</v>
      </c>
      <c r="M1435" s="75"/>
      <c r="N1435" s="70"/>
      <c r="O1435" s="77" t="s">
        <v>179</v>
      </c>
      <c r="P1435" s="79">
        <v>45101.584965277776</v>
      </c>
      <c r="Q1435" s="77" t="s">
        <v>3331</v>
      </c>
      <c r="R1435" s="77">
        <v>0</v>
      </c>
      <c r="S1435" s="77">
        <v>1</v>
      </c>
      <c r="T1435" s="77">
        <v>0</v>
      </c>
      <c r="U1435" s="77">
        <v>0</v>
      </c>
      <c r="V1435" s="77">
        <v>8</v>
      </c>
      <c r="W1435" s="80" t="s">
        <v>6895</v>
      </c>
      <c r="X1435" s="77"/>
      <c r="Y1435" s="77"/>
      <c r="Z1435" s="77"/>
      <c r="AA1435" s="77" t="s">
        <v>9521</v>
      </c>
      <c r="AB1435" s="77" t="s">
        <v>10535</v>
      </c>
      <c r="AC1435" s="80" t="s">
        <v>10542</v>
      </c>
      <c r="AD1435" s="77" t="s">
        <v>10617</v>
      </c>
      <c r="AE1435" s="83" t="str">
        <f>HYPERLINK("https://twitter.com/autorbrunorocha/status/1672606088170962944")</f>
        <v>https://twitter.com/autorbrunorocha/status/1672606088170962944</v>
      </c>
      <c r="AF1435" s="79">
        <v>45101.584965277776</v>
      </c>
      <c r="AG1435" s="85">
        <v>45101</v>
      </c>
      <c r="AH1435" s="80" t="s">
        <v>11877</v>
      </c>
      <c r="AI1435" s="77" t="b">
        <v>1</v>
      </c>
      <c r="AJ1435" s="77"/>
      <c r="AK1435" s="77"/>
      <c r="AL1435" s="77"/>
      <c r="AM1435" s="77"/>
      <c r="AN1435" s="77"/>
      <c r="AO1435" s="77"/>
      <c r="AP1435" s="77"/>
      <c r="AQ1435" s="77" t="s">
        <v>15003</v>
      </c>
      <c r="AR1435" s="77"/>
      <c r="AS1435" s="77"/>
      <c r="AT1435" s="77"/>
      <c r="AU1435" s="77"/>
      <c r="AV1435" s="83" t="str">
        <f>HYPERLINK("https://pbs.twimg.com/media/FzZKXvXX0AIcJwa.jpg")</f>
        <v>https://pbs.twimg.com/media/FzZKXvXX0AIcJwa.jpg</v>
      </c>
      <c r="AW1435" s="80" t="s">
        <v>17302</v>
      </c>
      <c r="AX1435" s="80" t="s">
        <v>17302</v>
      </c>
      <c r="AY1435" s="77"/>
      <c r="AZ1435" s="80" t="s">
        <v>20380</v>
      </c>
      <c r="BA1435" s="80" t="s">
        <v>20380</v>
      </c>
      <c r="BB1435" s="80" t="s">
        <v>20380</v>
      </c>
      <c r="BC1435" s="80" t="s">
        <v>17302</v>
      </c>
      <c r="BD1435" s="80" t="s">
        <v>20759</v>
      </c>
      <c r="BE1435" s="77"/>
      <c r="BF1435" s="77"/>
      <c r="BG1435" s="77"/>
      <c r="BH1435" s="77"/>
      <c r="BI1435" s="77"/>
    </row>
    <row r="1436" spans="1:61" x14ac:dyDescent="0.25">
      <c r="A1436" s="62" t="s">
        <v>778</v>
      </c>
      <c r="B1436" s="62" t="s">
        <v>778</v>
      </c>
      <c r="C1436" s="63"/>
      <c r="D1436" s="64"/>
      <c r="E1436" s="65"/>
      <c r="F1436" s="66"/>
      <c r="G1436" s="63"/>
      <c r="H1436" s="67"/>
      <c r="I1436" s="68"/>
      <c r="J1436" s="68"/>
      <c r="K1436" s="32"/>
      <c r="L1436" s="75">
        <v>1436</v>
      </c>
      <c r="M1436" s="75"/>
      <c r="N1436" s="70"/>
      <c r="O1436" s="77" t="s">
        <v>179</v>
      </c>
      <c r="P1436" s="79">
        <v>45106.927210648151</v>
      </c>
      <c r="Q1436" s="77" t="s">
        <v>3332</v>
      </c>
      <c r="R1436" s="77">
        <v>2</v>
      </c>
      <c r="S1436" s="77">
        <v>3</v>
      </c>
      <c r="T1436" s="77">
        <v>1</v>
      </c>
      <c r="U1436" s="77">
        <v>0</v>
      </c>
      <c r="V1436" s="77">
        <v>2237</v>
      </c>
      <c r="W1436" s="80" t="s">
        <v>6896</v>
      </c>
      <c r="X1436" s="83" t="str">
        <f>HYPERLINK("https://ow.ly/AlFG50P0YIy")</f>
        <v>https://ow.ly/AlFG50P0YIy</v>
      </c>
      <c r="Y1436" s="77" t="s">
        <v>8709</v>
      </c>
      <c r="Z1436" s="77"/>
      <c r="AA1436" s="77" t="s">
        <v>9522</v>
      </c>
      <c r="AB1436" s="77" t="s">
        <v>10535</v>
      </c>
      <c r="AC1436" s="80" t="s">
        <v>10552</v>
      </c>
      <c r="AD1436" s="77" t="s">
        <v>10620</v>
      </c>
      <c r="AE1436" s="83" t="str">
        <f>HYPERLINK("https://twitter.com/diariolibre/status/1674542051931586564")</f>
        <v>https://twitter.com/diariolibre/status/1674542051931586564</v>
      </c>
      <c r="AF1436" s="79">
        <v>45106.927210648151</v>
      </c>
      <c r="AG1436" s="85">
        <v>45106</v>
      </c>
      <c r="AH1436" s="80" t="s">
        <v>11878</v>
      </c>
      <c r="AI1436" s="77" t="b">
        <v>0</v>
      </c>
      <c r="AJ1436" s="77"/>
      <c r="AK1436" s="77"/>
      <c r="AL1436" s="77"/>
      <c r="AM1436" s="77"/>
      <c r="AN1436" s="77"/>
      <c r="AO1436" s="77"/>
      <c r="AP1436" s="77"/>
      <c r="AQ1436" s="77" t="s">
        <v>15004</v>
      </c>
      <c r="AR1436" s="77"/>
      <c r="AS1436" s="77"/>
      <c r="AT1436" s="77"/>
      <c r="AU1436" s="77"/>
      <c r="AV1436" s="83" t="str">
        <f>HYPERLINK("https://pbs.twimg.com/media/Fz0rH2UWAAI6afK.jpg")</f>
        <v>https://pbs.twimg.com/media/Fz0rH2UWAAI6afK.jpg</v>
      </c>
      <c r="AW1436" s="80" t="s">
        <v>17303</v>
      </c>
      <c r="AX1436" s="80" t="s">
        <v>17303</v>
      </c>
      <c r="AY1436" s="77"/>
      <c r="AZ1436" s="80" t="s">
        <v>20380</v>
      </c>
      <c r="BA1436" s="80" t="s">
        <v>20380</v>
      </c>
      <c r="BB1436" s="80" t="s">
        <v>20380</v>
      </c>
      <c r="BC1436" s="80" t="s">
        <v>17303</v>
      </c>
      <c r="BD1436" s="77">
        <v>34639484</v>
      </c>
      <c r="BE1436" s="77"/>
      <c r="BF1436" s="77"/>
      <c r="BG1436" s="77"/>
      <c r="BH1436" s="77"/>
      <c r="BI1436" s="77"/>
    </row>
    <row r="1437" spans="1:61" x14ac:dyDescent="0.25">
      <c r="A1437" s="62" t="s">
        <v>778</v>
      </c>
      <c r="B1437" s="62" t="s">
        <v>778</v>
      </c>
      <c r="C1437" s="63"/>
      <c r="D1437" s="64"/>
      <c r="E1437" s="65"/>
      <c r="F1437" s="66"/>
      <c r="G1437" s="63"/>
      <c r="H1437" s="67"/>
      <c r="I1437" s="68"/>
      <c r="J1437" s="68"/>
      <c r="K1437" s="32"/>
      <c r="L1437" s="75">
        <v>1437</v>
      </c>
      <c r="M1437" s="75"/>
      <c r="N1437" s="70"/>
      <c r="O1437" s="77" t="s">
        <v>179</v>
      </c>
      <c r="P1437" s="79">
        <v>45117.875023148146</v>
      </c>
      <c r="Q1437" s="77" t="s">
        <v>3333</v>
      </c>
      <c r="R1437" s="77">
        <v>10</v>
      </c>
      <c r="S1437" s="77">
        <v>20</v>
      </c>
      <c r="T1437" s="77">
        <v>1</v>
      </c>
      <c r="U1437" s="77">
        <v>1</v>
      </c>
      <c r="V1437" s="77">
        <v>6792</v>
      </c>
      <c r="W1437" s="80" t="s">
        <v>6897</v>
      </c>
      <c r="X1437" s="83" t="str">
        <f>HYPERLINK("https://ow.ly/b4Jx50P8078")</f>
        <v>https://ow.ly/b4Jx50P8078</v>
      </c>
      <c r="Y1437" s="77" t="s">
        <v>8709</v>
      </c>
      <c r="Z1437" s="77"/>
      <c r="AA1437" s="77" t="s">
        <v>9523</v>
      </c>
      <c r="AB1437" s="77" t="s">
        <v>10534</v>
      </c>
      <c r="AC1437" s="80" t="s">
        <v>10541</v>
      </c>
      <c r="AD1437" s="77" t="s">
        <v>10620</v>
      </c>
      <c r="AE1437" s="83" t="str">
        <f>HYPERLINK("https://twitter.com/diariolibre/status/1678509406030561281")</f>
        <v>https://twitter.com/diariolibre/status/1678509406030561281</v>
      </c>
      <c r="AF1437" s="79">
        <v>45117.875023148146</v>
      </c>
      <c r="AG1437" s="85">
        <v>45117</v>
      </c>
      <c r="AH1437" s="80" t="s">
        <v>11879</v>
      </c>
      <c r="AI1437" s="77" t="b">
        <v>0</v>
      </c>
      <c r="AJ1437" s="77"/>
      <c r="AK1437" s="77"/>
      <c r="AL1437" s="77"/>
      <c r="AM1437" s="77"/>
      <c r="AN1437" s="77"/>
      <c r="AO1437" s="77"/>
      <c r="AP1437" s="77"/>
      <c r="AQ1437" s="77" t="s">
        <v>15005</v>
      </c>
      <c r="AR1437" s="77">
        <v>23881</v>
      </c>
      <c r="AS1437" s="77"/>
      <c r="AT1437" s="77"/>
      <c r="AU1437" s="77"/>
      <c r="AV1437" s="83" t="str">
        <f>HYPERLINK("https://pbs.twimg.com/ext_tw_video_thumb/1678493389224833032/pu/img/BIPPYxP9DC_oqh-k.jpg")</f>
        <v>https://pbs.twimg.com/ext_tw_video_thumb/1678493389224833032/pu/img/BIPPYxP9DC_oqh-k.jpg</v>
      </c>
      <c r="AW1437" s="80" t="s">
        <v>17304</v>
      </c>
      <c r="AX1437" s="80" t="s">
        <v>17304</v>
      </c>
      <c r="AY1437" s="77"/>
      <c r="AZ1437" s="80" t="s">
        <v>20380</v>
      </c>
      <c r="BA1437" s="80" t="s">
        <v>20380</v>
      </c>
      <c r="BB1437" s="80" t="s">
        <v>20380</v>
      </c>
      <c r="BC1437" s="80" t="s">
        <v>17304</v>
      </c>
      <c r="BD1437" s="77">
        <v>34639484</v>
      </c>
      <c r="BE1437" s="77"/>
      <c r="BF1437" s="77"/>
      <c r="BG1437" s="77"/>
      <c r="BH1437" s="77"/>
      <c r="BI1437" s="77"/>
    </row>
    <row r="1438" spans="1:61" x14ac:dyDescent="0.25">
      <c r="A1438" s="62" t="s">
        <v>778</v>
      </c>
      <c r="B1438" s="62" t="s">
        <v>778</v>
      </c>
      <c r="C1438" s="63"/>
      <c r="D1438" s="64"/>
      <c r="E1438" s="65"/>
      <c r="F1438" s="66"/>
      <c r="G1438" s="63"/>
      <c r="H1438" s="67"/>
      <c r="I1438" s="68"/>
      <c r="J1438" s="68"/>
      <c r="K1438" s="32"/>
      <c r="L1438" s="75">
        <v>1438</v>
      </c>
      <c r="M1438" s="75"/>
      <c r="N1438" s="70"/>
      <c r="O1438" s="77" t="s">
        <v>179</v>
      </c>
      <c r="P1438" s="79">
        <v>45116.63554398148</v>
      </c>
      <c r="Q1438" s="77" t="s">
        <v>3334</v>
      </c>
      <c r="R1438" s="77">
        <v>2</v>
      </c>
      <c r="S1438" s="77">
        <v>11</v>
      </c>
      <c r="T1438" s="77">
        <v>3</v>
      </c>
      <c r="U1438" s="77">
        <v>1</v>
      </c>
      <c r="V1438" s="77">
        <v>5741</v>
      </c>
      <c r="W1438" s="80" t="s">
        <v>6898</v>
      </c>
      <c r="X1438" s="83" t="str">
        <f>HYPERLINK("https://ow.ly/JkNw50P75IM")</f>
        <v>https://ow.ly/JkNw50P75IM</v>
      </c>
      <c r="Y1438" s="77" t="s">
        <v>8709</v>
      </c>
      <c r="Z1438" s="77"/>
      <c r="AA1438" s="77" t="s">
        <v>9524</v>
      </c>
      <c r="AB1438" s="77" t="s">
        <v>10535</v>
      </c>
      <c r="AC1438" s="80" t="s">
        <v>10552</v>
      </c>
      <c r="AD1438" s="77" t="s">
        <v>10620</v>
      </c>
      <c r="AE1438" s="83" t="str">
        <f>HYPERLINK("https://twitter.com/diariolibre/status/1678060235670405120")</f>
        <v>https://twitter.com/diariolibre/status/1678060235670405120</v>
      </c>
      <c r="AF1438" s="79">
        <v>45116.63554398148</v>
      </c>
      <c r="AG1438" s="85">
        <v>45116</v>
      </c>
      <c r="AH1438" s="80" t="s">
        <v>11880</v>
      </c>
      <c r="AI1438" s="77" t="b">
        <v>0</v>
      </c>
      <c r="AJ1438" s="77"/>
      <c r="AK1438" s="77"/>
      <c r="AL1438" s="77"/>
      <c r="AM1438" s="77"/>
      <c r="AN1438" s="77"/>
      <c r="AO1438" s="77"/>
      <c r="AP1438" s="77"/>
      <c r="AQ1438" s="77" t="s">
        <v>15006</v>
      </c>
      <c r="AR1438" s="77"/>
      <c r="AS1438" s="77"/>
      <c r="AT1438" s="77"/>
      <c r="AU1438" s="77"/>
      <c r="AV1438" s="83" t="str">
        <f>HYPERLINK("https://pbs.twimg.com/media/F0mq5FGWYAIhTsF.jpg")</f>
        <v>https://pbs.twimg.com/media/F0mq5FGWYAIhTsF.jpg</v>
      </c>
      <c r="AW1438" s="80" t="s">
        <v>17305</v>
      </c>
      <c r="AX1438" s="80" t="s">
        <v>17305</v>
      </c>
      <c r="AY1438" s="77"/>
      <c r="AZ1438" s="80" t="s">
        <v>20380</v>
      </c>
      <c r="BA1438" s="80" t="s">
        <v>20380</v>
      </c>
      <c r="BB1438" s="80" t="s">
        <v>20380</v>
      </c>
      <c r="BC1438" s="80" t="s">
        <v>17305</v>
      </c>
      <c r="BD1438" s="77">
        <v>34639484</v>
      </c>
      <c r="BE1438" s="77"/>
      <c r="BF1438" s="77"/>
      <c r="BG1438" s="77"/>
      <c r="BH1438" s="77"/>
      <c r="BI1438" s="77"/>
    </row>
    <row r="1439" spans="1:61" x14ac:dyDescent="0.25">
      <c r="A1439" s="62" t="s">
        <v>778</v>
      </c>
      <c r="B1439" s="62" t="s">
        <v>778</v>
      </c>
      <c r="C1439" s="63"/>
      <c r="D1439" s="64"/>
      <c r="E1439" s="65"/>
      <c r="F1439" s="66"/>
      <c r="G1439" s="63"/>
      <c r="H1439" s="67"/>
      <c r="I1439" s="68"/>
      <c r="J1439" s="68"/>
      <c r="K1439" s="32"/>
      <c r="L1439" s="75">
        <v>1439</v>
      </c>
      <c r="M1439" s="75"/>
      <c r="N1439" s="70"/>
      <c r="O1439" s="77" t="s">
        <v>179</v>
      </c>
      <c r="P1439" s="79">
        <v>45079.542025462964</v>
      </c>
      <c r="Q1439" s="77" t="s">
        <v>3335</v>
      </c>
      <c r="R1439" s="77">
        <v>33</v>
      </c>
      <c r="S1439" s="77">
        <v>62</v>
      </c>
      <c r="T1439" s="77">
        <v>16</v>
      </c>
      <c r="U1439" s="77">
        <v>0</v>
      </c>
      <c r="V1439" s="77">
        <v>16795</v>
      </c>
      <c r="W1439" s="80" t="s">
        <v>6899</v>
      </c>
      <c r="X1439" s="83" t="str">
        <f>HYPERLINK("http://ow.ly/fg3C50OE2iI")</f>
        <v>http://ow.ly/fg3C50OE2iI</v>
      </c>
      <c r="Y1439" s="77" t="s">
        <v>8709</v>
      </c>
      <c r="Z1439" s="77"/>
      <c r="AA1439" s="77" t="s">
        <v>9525</v>
      </c>
      <c r="AB1439" s="77" t="s">
        <v>10535</v>
      </c>
      <c r="AC1439" s="80" t="s">
        <v>10552</v>
      </c>
      <c r="AD1439" s="77" t="s">
        <v>10620</v>
      </c>
      <c r="AE1439" s="83" t="str">
        <f>HYPERLINK("https://twitter.com/diariolibre/status/1664617993483976707")</f>
        <v>https://twitter.com/diariolibre/status/1664617993483976707</v>
      </c>
      <c r="AF1439" s="79">
        <v>45079.542025462964</v>
      </c>
      <c r="AG1439" s="85">
        <v>45079</v>
      </c>
      <c r="AH1439" s="80" t="s">
        <v>11881</v>
      </c>
      <c r="AI1439" s="77" t="b">
        <v>0</v>
      </c>
      <c r="AJ1439" s="77"/>
      <c r="AK1439" s="77"/>
      <c r="AL1439" s="77"/>
      <c r="AM1439" s="77"/>
      <c r="AN1439" s="77"/>
      <c r="AO1439" s="77"/>
      <c r="AP1439" s="77"/>
      <c r="AQ1439" s="77" t="s">
        <v>15007</v>
      </c>
      <c r="AR1439" s="77"/>
      <c r="AS1439" s="77"/>
      <c r="AT1439" s="77"/>
      <c r="AU1439" s="77"/>
      <c r="AV1439" s="83" t="str">
        <f>HYPERLINK("https://pbs.twimg.com/media/FxnpPpzXsAgRvgH.jpg")</f>
        <v>https://pbs.twimg.com/media/FxnpPpzXsAgRvgH.jpg</v>
      </c>
      <c r="AW1439" s="80" t="s">
        <v>17306</v>
      </c>
      <c r="AX1439" s="80" t="s">
        <v>17306</v>
      </c>
      <c r="AY1439" s="77"/>
      <c r="AZ1439" s="80" t="s">
        <v>20380</v>
      </c>
      <c r="BA1439" s="80" t="s">
        <v>20380</v>
      </c>
      <c r="BB1439" s="80" t="s">
        <v>20380</v>
      </c>
      <c r="BC1439" s="80" t="s">
        <v>17306</v>
      </c>
      <c r="BD1439" s="77">
        <v>34639484</v>
      </c>
      <c r="BE1439" s="77"/>
      <c r="BF1439" s="77"/>
      <c r="BG1439" s="77"/>
      <c r="BH1439" s="77"/>
      <c r="BI1439" s="77"/>
    </row>
    <row r="1440" spans="1:61" x14ac:dyDescent="0.25">
      <c r="A1440" s="62" t="s">
        <v>778</v>
      </c>
      <c r="B1440" s="62" t="s">
        <v>778</v>
      </c>
      <c r="C1440" s="63"/>
      <c r="D1440" s="64"/>
      <c r="E1440" s="65"/>
      <c r="F1440" s="66"/>
      <c r="G1440" s="63"/>
      <c r="H1440" s="67"/>
      <c r="I1440" s="68"/>
      <c r="J1440" s="68"/>
      <c r="K1440" s="32"/>
      <c r="L1440" s="75">
        <v>1440</v>
      </c>
      <c r="M1440" s="75"/>
      <c r="N1440" s="70"/>
      <c r="O1440" s="77" t="s">
        <v>179</v>
      </c>
      <c r="P1440" s="79">
        <v>45138.964305555557</v>
      </c>
      <c r="Q1440" s="77" t="s">
        <v>3336</v>
      </c>
      <c r="R1440" s="77">
        <v>2</v>
      </c>
      <c r="S1440" s="77">
        <v>4</v>
      </c>
      <c r="T1440" s="77">
        <v>1</v>
      </c>
      <c r="U1440" s="77">
        <v>0</v>
      </c>
      <c r="V1440" s="77">
        <v>2614</v>
      </c>
      <c r="W1440" s="80" t="s">
        <v>6900</v>
      </c>
      <c r="X1440" s="83" t="str">
        <f>HYPERLINK("https://ow.ly/oeZb50PpvEv")</f>
        <v>https://ow.ly/oeZb50PpvEv</v>
      </c>
      <c r="Y1440" s="77" t="s">
        <v>8709</v>
      </c>
      <c r="Z1440" s="77"/>
      <c r="AA1440" s="77" t="s">
        <v>9526</v>
      </c>
      <c r="AB1440" s="77" t="s">
        <v>10535</v>
      </c>
      <c r="AC1440" s="80" t="s">
        <v>10552</v>
      </c>
      <c r="AD1440" s="77" t="s">
        <v>10620</v>
      </c>
      <c r="AE1440" s="83" t="str">
        <f>HYPERLINK("https://twitter.com/diariolibre/status/1686151908342267905")</f>
        <v>https://twitter.com/diariolibre/status/1686151908342267905</v>
      </c>
      <c r="AF1440" s="79">
        <v>45138.964305555557</v>
      </c>
      <c r="AG1440" s="85">
        <v>45138</v>
      </c>
      <c r="AH1440" s="80" t="s">
        <v>11882</v>
      </c>
      <c r="AI1440" s="77" t="b">
        <v>0</v>
      </c>
      <c r="AJ1440" s="77"/>
      <c r="AK1440" s="77"/>
      <c r="AL1440" s="77"/>
      <c r="AM1440" s="77"/>
      <c r="AN1440" s="77"/>
      <c r="AO1440" s="77"/>
      <c r="AP1440" s="77"/>
      <c r="AQ1440" s="77" t="s">
        <v>15008</v>
      </c>
      <c r="AR1440" s="77"/>
      <c r="AS1440" s="77"/>
      <c r="AT1440" s="77"/>
      <c r="AU1440" s="77"/>
      <c r="AV1440" s="83" t="str">
        <f>HYPERLINK("https://pbs.twimg.com/media/F2ZqOdnXkAAFHCX.jpg")</f>
        <v>https://pbs.twimg.com/media/F2ZqOdnXkAAFHCX.jpg</v>
      </c>
      <c r="AW1440" s="80" t="s">
        <v>17307</v>
      </c>
      <c r="AX1440" s="80" t="s">
        <v>17307</v>
      </c>
      <c r="AY1440" s="77"/>
      <c r="AZ1440" s="80" t="s">
        <v>20380</v>
      </c>
      <c r="BA1440" s="80" t="s">
        <v>20380</v>
      </c>
      <c r="BB1440" s="80" t="s">
        <v>20380</v>
      </c>
      <c r="BC1440" s="80" t="s">
        <v>17307</v>
      </c>
      <c r="BD1440" s="77">
        <v>34639484</v>
      </c>
      <c r="BE1440" s="77"/>
      <c r="BF1440" s="77"/>
      <c r="BG1440" s="77"/>
      <c r="BH1440" s="77"/>
      <c r="BI1440" s="77"/>
    </row>
    <row r="1441" spans="1:61" x14ac:dyDescent="0.25">
      <c r="A1441" s="62" t="s">
        <v>778</v>
      </c>
      <c r="B1441" s="62" t="s">
        <v>778</v>
      </c>
      <c r="C1441" s="63"/>
      <c r="D1441" s="64"/>
      <c r="E1441" s="65"/>
      <c r="F1441" s="66"/>
      <c r="G1441" s="63"/>
      <c r="H1441" s="67"/>
      <c r="I1441" s="68"/>
      <c r="J1441" s="68"/>
      <c r="K1441" s="32"/>
      <c r="L1441" s="75">
        <v>1441</v>
      </c>
      <c r="M1441" s="75"/>
      <c r="N1441" s="70"/>
      <c r="O1441" s="77" t="s">
        <v>179</v>
      </c>
      <c r="P1441" s="79">
        <v>45127.937627314815</v>
      </c>
      <c r="Q1441" s="77" t="s">
        <v>3337</v>
      </c>
      <c r="R1441" s="77">
        <v>6</v>
      </c>
      <c r="S1441" s="77">
        <v>8</v>
      </c>
      <c r="T1441" s="77">
        <v>4</v>
      </c>
      <c r="U1441" s="77">
        <v>1</v>
      </c>
      <c r="V1441" s="77">
        <v>2590</v>
      </c>
      <c r="W1441" s="80" t="s">
        <v>6901</v>
      </c>
      <c r="X1441" s="83" t="str">
        <f>HYPERLINK("https://ow.ly/jW2F50PhHa1")</f>
        <v>https://ow.ly/jW2F50PhHa1</v>
      </c>
      <c r="Y1441" s="77" t="s">
        <v>8709</v>
      </c>
      <c r="Z1441" s="77"/>
      <c r="AA1441" s="77" t="s">
        <v>9527</v>
      </c>
      <c r="AB1441" s="77" t="s">
        <v>10535</v>
      </c>
      <c r="AC1441" s="80" t="s">
        <v>10552</v>
      </c>
      <c r="AD1441" s="77" t="s">
        <v>10620</v>
      </c>
      <c r="AE1441" s="83" t="str">
        <f>HYPERLINK("https://twitter.com/diariolibre/status/1682155972465238017")</f>
        <v>https://twitter.com/diariolibre/status/1682155972465238017</v>
      </c>
      <c r="AF1441" s="79">
        <v>45127.937627314815</v>
      </c>
      <c r="AG1441" s="85">
        <v>45127</v>
      </c>
      <c r="AH1441" s="80" t="s">
        <v>11883</v>
      </c>
      <c r="AI1441" s="77" t="b">
        <v>0</v>
      </c>
      <c r="AJ1441" s="77"/>
      <c r="AK1441" s="77"/>
      <c r="AL1441" s="77"/>
      <c r="AM1441" s="77"/>
      <c r="AN1441" s="77"/>
      <c r="AO1441" s="77"/>
      <c r="AP1441" s="77"/>
      <c r="AQ1441" s="77" t="s">
        <v>15009</v>
      </c>
      <c r="AR1441" s="77"/>
      <c r="AS1441" s="77"/>
      <c r="AT1441" s="77"/>
      <c r="AU1441" s="77"/>
      <c r="AV1441" s="83" t="str">
        <f>HYPERLINK("https://pbs.twimg.com/media/F1g38XHWwAAzKP2.jpg")</f>
        <v>https://pbs.twimg.com/media/F1g38XHWwAAzKP2.jpg</v>
      </c>
      <c r="AW1441" s="80" t="s">
        <v>17308</v>
      </c>
      <c r="AX1441" s="80" t="s">
        <v>17308</v>
      </c>
      <c r="AY1441" s="77"/>
      <c r="AZ1441" s="80" t="s">
        <v>20380</v>
      </c>
      <c r="BA1441" s="80" t="s">
        <v>20380</v>
      </c>
      <c r="BB1441" s="80" t="s">
        <v>20380</v>
      </c>
      <c r="BC1441" s="80" t="s">
        <v>17308</v>
      </c>
      <c r="BD1441" s="77">
        <v>34639484</v>
      </c>
      <c r="BE1441" s="77"/>
      <c r="BF1441" s="77"/>
      <c r="BG1441" s="77"/>
      <c r="BH1441" s="77"/>
      <c r="BI1441" s="77"/>
    </row>
    <row r="1442" spans="1:61" x14ac:dyDescent="0.25">
      <c r="A1442" s="62" t="s">
        <v>778</v>
      </c>
      <c r="B1442" s="62" t="s">
        <v>778</v>
      </c>
      <c r="C1442" s="63"/>
      <c r="D1442" s="64"/>
      <c r="E1442" s="65"/>
      <c r="F1442" s="66"/>
      <c r="G1442" s="63"/>
      <c r="H1442" s="67"/>
      <c r="I1442" s="68"/>
      <c r="J1442" s="68"/>
      <c r="K1442" s="32"/>
      <c r="L1442" s="75">
        <v>1442</v>
      </c>
      <c r="M1442" s="75"/>
      <c r="N1442" s="70"/>
      <c r="O1442" s="77" t="s">
        <v>179</v>
      </c>
      <c r="P1442" s="79">
        <v>45127.614699074074</v>
      </c>
      <c r="Q1442" s="77" t="s">
        <v>3338</v>
      </c>
      <c r="R1442" s="77">
        <v>2</v>
      </c>
      <c r="S1442" s="77">
        <v>5</v>
      </c>
      <c r="T1442" s="77">
        <v>1</v>
      </c>
      <c r="U1442" s="77">
        <v>0</v>
      </c>
      <c r="V1442" s="77">
        <v>2216</v>
      </c>
      <c r="W1442" s="80" t="s">
        <v>6902</v>
      </c>
      <c r="X1442" s="83" t="str">
        <f>HYPERLINK("https://ow.ly/9exV50Ph8yg")</f>
        <v>https://ow.ly/9exV50Ph8yg</v>
      </c>
      <c r="Y1442" s="77" t="s">
        <v>8709</v>
      </c>
      <c r="Z1442" s="77"/>
      <c r="AA1442" s="77" t="s">
        <v>9528</v>
      </c>
      <c r="AB1442" s="77" t="s">
        <v>10535</v>
      </c>
      <c r="AC1442" s="80" t="s">
        <v>10552</v>
      </c>
      <c r="AD1442" s="77" t="s">
        <v>10620</v>
      </c>
      <c r="AE1442" s="83" t="str">
        <f>HYPERLINK("https://twitter.com/diariolibre/status/1682038948359716865")</f>
        <v>https://twitter.com/diariolibre/status/1682038948359716865</v>
      </c>
      <c r="AF1442" s="79">
        <v>45127.614699074074</v>
      </c>
      <c r="AG1442" s="85">
        <v>45127</v>
      </c>
      <c r="AH1442" s="80" t="s">
        <v>11884</v>
      </c>
      <c r="AI1442" s="77" t="b">
        <v>0</v>
      </c>
      <c r="AJ1442" s="77"/>
      <c r="AK1442" s="77"/>
      <c r="AL1442" s="77"/>
      <c r="AM1442" s="77"/>
      <c r="AN1442" s="77"/>
      <c r="AO1442" s="77"/>
      <c r="AP1442" s="77"/>
      <c r="AQ1442" s="77" t="s">
        <v>15010</v>
      </c>
      <c r="AR1442" s="77"/>
      <c r="AS1442" s="77"/>
      <c r="AT1442" s="77"/>
      <c r="AU1442" s="77"/>
      <c r="AV1442" s="83" t="str">
        <f>HYPERLINK("https://pbs.twimg.com/media/F1fNgoSaYAEPqW2.jpg")</f>
        <v>https://pbs.twimg.com/media/F1fNgoSaYAEPqW2.jpg</v>
      </c>
      <c r="AW1442" s="80" t="s">
        <v>17309</v>
      </c>
      <c r="AX1442" s="80" t="s">
        <v>17309</v>
      </c>
      <c r="AY1442" s="77"/>
      <c r="AZ1442" s="80" t="s">
        <v>20380</v>
      </c>
      <c r="BA1442" s="80" t="s">
        <v>20380</v>
      </c>
      <c r="BB1442" s="80" t="s">
        <v>20380</v>
      </c>
      <c r="BC1442" s="80" t="s">
        <v>17309</v>
      </c>
      <c r="BD1442" s="77">
        <v>34639484</v>
      </c>
      <c r="BE1442" s="77"/>
      <c r="BF1442" s="77"/>
      <c r="BG1442" s="77"/>
      <c r="BH1442" s="77"/>
      <c r="BI1442" s="77"/>
    </row>
    <row r="1443" spans="1:61" x14ac:dyDescent="0.25">
      <c r="A1443" s="62" t="s">
        <v>778</v>
      </c>
      <c r="B1443" s="62" t="s">
        <v>778</v>
      </c>
      <c r="C1443" s="63"/>
      <c r="D1443" s="64"/>
      <c r="E1443" s="65"/>
      <c r="F1443" s="66"/>
      <c r="G1443" s="63"/>
      <c r="H1443" s="67"/>
      <c r="I1443" s="68"/>
      <c r="J1443" s="68"/>
      <c r="K1443" s="32"/>
      <c r="L1443" s="75">
        <v>1443</v>
      </c>
      <c r="M1443" s="75"/>
      <c r="N1443" s="70"/>
      <c r="O1443" s="77" t="s">
        <v>179</v>
      </c>
      <c r="P1443" s="79">
        <v>45090.000173611108</v>
      </c>
      <c r="Q1443" s="77" t="s">
        <v>3339</v>
      </c>
      <c r="R1443" s="77">
        <v>13</v>
      </c>
      <c r="S1443" s="77">
        <v>22</v>
      </c>
      <c r="T1443" s="77">
        <v>1</v>
      </c>
      <c r="U1443" s="77">
        <v>0</v>
      </c>
      <c r="V1443" s="77">
        <v>4238</v>
      </c>
      <c r="W1443" s="80" t="s">
        <v>6903</v>
      </c>
      <c r="X1443" s="83" t="str">
        <f>HYPERLINK("https://ow.ly/MWj650OMq9m")</f>
        <v>https://ow.ly/MWj650OMq9m</v>
      </c>
      <c r="Y1443" s="77" t="s">
        <v>8709</v>
      </c>
      <c r="Z1443" s="77"/>
      <c r="AA1443" s="77" t="s">
        <v>9529</v>
      </c>
      <c r="AB1443" s="77" t="s">
        <v>10535</v>
      </c>
      <c r="AC1443" s="80" t="s">
        <v>10552</v>
      </c>
      <c r="AD1443" s="77" t="s">
        <v>10620</v>
      </c>
      <c r="AE1443" s="83" t="str">
        <f>HYPERLINK("https://twitter.com/diariolibre/status/1668407900237168640")</f>
        <v>https://twitter.com/diariolibre/status/1668407900237168640</v>
      </c>
      <c r="AF1443" s="79">
        <v>45090.000173611108</v>
      </c>
      <c r="AG1443" s="85">
        <v>45090</v>
      </c>
      <c r="AH1443" s="80" t="s">
        <v>11885</v>
      </c>
      <c r="AI1443" s="77" t="b">
        <v>0</v>
      </c>
      <c r="AJ1443" s="77"/>
      <c r="AK1443" s="77"/>
      <c r="AL1443" s="77"/>
      <c r="AM1443" s="77"/>
      <c r="AN1443" s="77"/>
      <c r="AO1443" s="77"/>
      <c r="AP1443" s="77"/>
      <c r="AQ1443" s="77" t="s">
        <v>15011</v>
      </c>
      <c r="AR1443" s="77"/>
      <c r="AS1443" s="77"/>
      <c r="AT1443" s="77"/>
      <c r="AU1443" s="77"/>
      <c r="AV1443" s="83" t="str">
        <f>HYPERLINK("https://pbs.twimg.com/media/FydgJPSXwAEtKzx.jpg")</f>
        <v>https://pbs.twimg.com/media/FydgJPSXwAEtKzx.jpg</v>
      </c>
      <c r="AW1443" s="80" t="s">
        <v>17310</v>
      </c>
      <c r="AX1443" s="80" t="s">
        <v>17310</v>
      </c>
      <c r="AY1443" s="77"/>
      <c r="AZ1443" s="80" t="s">
        <v>20380</v>
      </c>
      <c r="BA1443" s="80" t="s">
        <v>20380</v>
      </c>
      <c r="BB1443" s="80" t="s">
        <v>20380</v>
      </c>
      <c r="BC1443" s="80" t="s">
        <v>17310</v>
      </c>
      <c r="BD1443" s="77">
        <v>34639484</v>
      </c>
      <c r="BE1443" s="77"/>
      <c r="BF1443" s="77"/>
      <c r="BG1443" s="77"/>
      <c r="BH1443" s="77"/>
      <c r="BI1443" s="77"/>
    </row>
    <row r="1444" spans="1:61" x14ac:dyDescent="0.25">
      <c r="A1444" s="62" t="s">
        <v>778</v>
      </c>
      <c r="B1444" s="62" t="s">
        <v>778</v>
      </c>
      <c r="C1444" s="63"/>
      <c r="D1444" s="64"/>
      <c r="E1444" s="65"/>
      <c r="F1444" s="66"/>
      <c r="G1444" s="63"/>
      <c r="H1444" s="67"/>
      <c r="I1444" s="68"/>
      <c r="J1444" s="68"/>
      <c r="K1444" s="32"/>
      <c r="L1444" s="75">
        <v>1444</v>
      </c>
      <c r="M1444" s="75"/>
      <c r="N1444" s="70"/>
      <c r="O1444" s="77" t="s">
        <v>179</v>
      </c>
      <c r="P1444" s="79">
        <v>45175.104305555556</v>
      </c>
      <c r="Q1444" s="77" t="s">
        <v>3340</v>
      </c>
      <c r="R1444" s="77">
        <v>0</v>
      </c>
      <c r="S1444" s="77">
        <v>5</v>
      </c>
      <c r="T1444" s="77">
        <v>2</v>
      </c>
      <c r="U1444" s="77">
        <v>0</v>
      </c>
      <c r="V1444" s="77">
        <v>2319</v>
      </c>
      <c r="W1444" s="80" t="s">
        <v>6904</v>
      </c>
      <c r="X1444" s="83" t="str">
        <f>HYPERLINK("https://ow.ly/T2br50PI6Np")</f>
        <v>https://ow.ly/T2br50PI6Np</v>
      </c>
      <c r="Y1444" s="77" t="s">
        <v>8709</v>
      </c>
      <c r="Z1444" s="77"/>
      <c r="AA1444" s="77" t="s">
        <v>9530</v>
      </c>
      <c r="AB1444" s="77" t="s">
        <v>10535</v>
      </c>
      <c r="AC1444" s="80" t="s">
        <v>10552</v>
      </c>
      <c r="AD1444" s="77" t="s">
        <v>10620</v>
      </c>
      <c r="AE1444" s="83" t="str">
        <f>HYPERLINK("https://twitter.com/diariolibre/status/1699248604823593194")</f>
        <v>https://twitter.com/diariolibre/status/1699248604823593194</v>
      </c>
      <c r="AF1444" s="79">
        <v>45175.104305555556</v>
      </c>
      <c r="AG1444" s="85">
        <v>45175</v>
      </c>
      <c r="AH1444" s="80" t="s">
        <v>11886</v>
      </c>
      <c r="AI1444" s="77" t="b">
        <v>0</v>
      </c>
      <c r="AJ1444" s="77"/>
      <c r="AK1444" s="77"/>
      <c r="AL1444" s="77"/>
      <c r="AM1444" s="77"/>
      <c r="AN1444" s="77"/>
      <c r="AO1444" s="77"/>
      <c r="AP1444" s="77"/>
      <c r="AQ1444" s="77" t="s">
        <v>15012</v>
      </c>
      <c r="AR1444" s="77"/>
      <c r="AS1444" s="77"/>
      <c r="AT1444" s="77"/>
      <c r="AU1444" s="77"/>
      <c r="AV1444" s="83" t="str">
        <f>HYPERLINK("https://pbs.twimg.com/media/F5TxmgpXkAA6nXq.jpg")</f>
        <v>https://pbs.twimg.com/media/F5TxmgpXkAA6nXq.jpg</v>
      </c>
      <c r="AW1444" s="80" t="s">
        <v>17311</v>
      </c>
      <c r="AX1444" s="80" t="s">
        <v>17311</v>
      </c>
      <c r="AY1444" s="77"/>
      <c r="AZ1444" s="80" t="s">
        <v>20380</v>
      </c>
      <c r="BA1444" s="80" t="s">
        <v>20380</v>
      </c>
      <c r="BB1444" s="80" t="s">
        <v>20380</v>
      </c>
      <c r="BC1444" s="80" t="s">
        <v>17311</v>
      </c>
      <c r="BD1444" s="77">
        <v>34639484</v>
      </c>
      <c r="BE1444" s="77"/>
      <c r="BF1444" s="77"/>
      <c r="BG1444" s="77"/>
      <c r="BH1444" s="77"/>
      <c r="BI1444" s="77"/>
    </row>
    <row r="1445" spans="1:61" x14ac:dyDescent="0.25">
      <c r="A1445" s="62" t="s">
        <v>778</v>
      </c>
      <c r="B1445" s="62" t="s">
        <v>778</v>
      </c>
      <c r="C1445" s="63"/>
      <c r="D1445" s="64"/>
      <c r="E1445" s="65"/>
      <c r="F1445" s="66"/>
      <c r="G1445" s="63"/>
      <c r="H1445" s="67"/>
      <c r="I1445" s="68"/>
      <c r="J1445" s="68"/>
      <c r="K1445" s="32"/>
      <c r="L1445" s="75">
        <v>1445</v>
      </c>
      <c r="M1445" s="75"/>
      <c r="N1445" s="70"/>
      <c r="O1445" s="77" t="s">
        <v>179</v>
      </c>
      <c r="P1445" s="79">
        <v>45166.479386574072</v>
      </c>
      <c r="Q1445" s="77" t="s">
        <v>3341</v>
      </c>
      <c r="R1445" s="77">
        <v>17</v>
      </c>
      <c r="S1445" s="77">
        <v>27</v>
      </c>
      <c r="T1445" s="77">
        <v>8</v>
      </c>
      <c r="U1445" s="77">
        <v>8</v>
      </c>
      <c r="V1445" s="77">
        <v>9929</v>
      </c>
      <c r="W1445" s="80" t="s">
        <v>6905</v>
      </c>
      <c r="X1445" s="83" t="str">
        <f>HYPERLINK("https://ow.ly/rgnW50PEP7T")</f>
        <v>https://ow.ly/rgnW50PEP7T</v>
      </c>
      <c r="Y1445" s="77" t="s">
        <v>8709</v>
      </c>
      <c r="Z1445" s="77"/>
      <c r="AA1445" s="77" t="s">
        <v>9531</v>
      </c>
      <c r="AB1445" s="77" t="s">
        <v>10536</v>
      </c>
      <c r="AC1445" s="80" t="s">
        <v>10552</v>
      </c>
      <c r="AD1445" s="77" t="s">
        <v>10620</v>
      </c>
      <c r="AE1445" s="83" t="str">
        <f>HYPERLINK("https://twitter.com/diariolibre/status/1696123037899174095")</f>
        <v>https://twitter.com/diariolibre/status/1696123037899174095</v>
      </c>
      <c r="AF1445" s="79">
        <v>45166.479386574072</v>
      </c>
      <c r="AG1445" s="85">
        <v>45166</v>
      </c>
      <c r="AH1445" s="80" t="s">
        <v>11887</v>
      </c>
      <c r="AI1445" s="77" t="b">
        <v>0</v>
      </c>
      <c r="AJ1445" s="77"/>
      <c r="AK1445" s="77"/>
      <c r="AL1445" s="77"/>
      <c r="AM1445" s="77"/>
      <c r="AN1445" s="77"/>
      <c r="AO1445" s="77"/>
      <c r="AP1445" s="77"/>
      <c r="AQ1445" s="77" t="s">
        <v>15013</v>
      </c>
      <c r="AR1445" s="77"/>
      <c r="AS1445" s="77"/>
      <c r="AT1445" s="77"/>
      <c r="AU1445" s="77"/>
      <c r="AV1445" s="83" t="str">
        <f>HYPERLINK("https://pbs.twimg.com/media/F4nW6fuWAAAFje5.jpg")</f>
        <v>https://pbs.twimg.com/media/F4nW6fuWAAAFje5.jpg</v>
      </c>
      <c r="AW1445" s="80" t="s">
        <v>17312</v>
      </c>
      <c r="AX1445" s="80" t="s">
        <v>17312</v>
      </c>
      <c r="AY1445" s="77"/>
      <c r="AZ1445" s="80" t="s">
        <v>20380</v>
      </c>
      <c r="BA1445" s="80" t="s">
        <v>20380</v>
      </c>
      <c r="BB1445" s="80" t="s">
        <v>20380</v>
      </c>
      <c r="BC1445" s="80" t="s">
        <v>17312</v>
      </c>
      <c r="BD1445" s="77">
        <v>34639484</v>
      </c>
      <c r="BE1445" s="77"/>
      <c r="BF1445" s="77"/>
      <c r="BG1445" s="77"/>
      <c r="BH1445" s="77"/>
      <c r="BI1445" s="77"/>
    </row>
    <row r="1446" spans="1:61" x14ac:dyDescent="0.25">
      <c r="A1446" s="62" t="s">
        <v>778</v>
      </c>
      <c r="B1446" s="62" t="s">
        <v>778</v>
      </c>
      <c r="C1446" s="63"/>
      <c r="D1446" s="64"/>
      <c r="E1446" s="65"/>
      <c r="F1446" s="66"/>
      <c r="G1446" s="63"/>
      <c r="H1446" s="67"/>
      <c r="I1446" s="68"/>
      <c r="J1446" s="68"/>
      <c r="K1446" s="32"/>
      <c r="L1446" s="75">
        <v>1446</v>
      </c>
      <c r="M1446" s="75"/>
      <c r="N1446" s="70"/>
      <c r="O1446" s="77" t="s">
        <v>179</v>
      </c>
      <c r="P1446" s="79">
        <v>45059.01053240741</v>
      </c>
      <c r="Q1446" s="77" t="s">
        <v>3342</v>
      </c>
      <c r="R1446" s="77">
        <v>4</v>
      </c>
      <c r="S1446" s="77">
        <v>7</v>
      </c>
      <c r="T1446" s="77">
        <v>1</v>
      </c>
      <c r="U1446" s="77">
        <v>1</v>
      </c>
      <c r="V1446" s="77">
        <v>4326</v>
      </c>
      <c r="W1446" s="80" t="s">
        <v>6906</v>
      </c>
      <c r="X1446" s="83" t="str">
        <f>HYPERLINK("http://ow.ly/Gkma50On7Wv")</f>
        <v>http://ow.ly/Gkma50On7Wv</v>
      </c>
      <c r="Y1446" s="77" t="s">
        <v>8709</v>
      </c>
      <c r="Z1446" s="77"/>
      <c r="AA1446" s="77" t="s">
        <v>9532</v>
      </c>
      <c r="AB1446" s="77" t="s">
        <v>10535</v>
      </c>
      <c r="AC1446" s="80" t="s">
        <v>10552</v>
      </c>
      <c r="AD1446" s="77" t="s">
        <v>10620</v>
      </c>
      <c r="AE1446" s="83" t="str">
        <f>HYPERLINK("https://twitter.com/diariolibre/status/1657177630288797703")</f>
        <v>https://twitter.com/diariolibre/status/1657177630288797703</v>
      </c>
      <c r="AF1446" s="79">
        <v>45059.01053240741</v>
      </c>
      <c r="AG1446" s="85">
        <v>45059</v>
      </c>
      <c r="AH1446" s="80" t="s">
        <v>11888</v>
      </c>
      <c r="AI1446" s="77" t="b">
        <v>0</v>
      </c>
      <c r="AJ1446" s="77"/>
      <c r="AK1446" s="77"/>
      <c r="AL1446" s="77"/>
      <c r="AM1446" s="77"/>
      <c r="AN1446" s="77"/>
      <c r="AO1446" s="77"/>
      <c r="AP1446" s="77"/>
      <c r="AQ1446" s="77" t="s">
        <v>15014</v>
      </c>
      <c r="AR1446" s="77"/>
      <c r="AS1446" s="77"/>
      <c r="AT1446" s="77"/>
      <c r="AU1446" s="77"/>
      <c r="AV1446" s="83" t="str">
        <f>HYPERLINK("https://pbs.twimg.com/media/Fv96RhHWIAADJBO.jpg")</f>
        <v>https://pbs.twimg.com/media/Fv96RhHWIAADJBO.jpg</v>
      </c>
      <c r="AW1446" s="80" t="s">
        <v>17313</v>
      </c>
      <c r="AX1446" s="80" t="s">
        <v>17313</v>
      </c>
      <c r="AY1446" s="77"/>
      <c r="AZ1446" s="80" t="s">
        <v>20380</v>
      </c>
      <c r="BA1446" s="80" t="s">
        <v>20380</v>
      </c>
      <c r="BB1446" s="80" t="s">
        <v>20380</v>
      </c>
      <c r="BC1446" s="80" t="s">
        <v>17313</v>
      </c>
      <c r="BD1446" s="77">
        <v>34639484</v>
      </c>
      <c r="BE1446" s="77"/>
      <c r="BF1446" s="77"/>
      <c r="BG1446" s="77"/>
      <c r="BH1446" s="77"/>
      <c r="BI1446" s="77"/>
    </row>
    <row r="1447" spans="1:61" x14ac:dyDescent="0.25">
      <c r="A1447" s="62" t="s">
        <v>778</v>
      </c>
      <c r="B1447" s="62" t="s">
        <v>778</v>
      </c>
      <c r="C1447" s="63"/>
      <c r="D1447" s="64"/>
      <c r="E1447" s="65"/>
      <c r="F1447" s="66"/>
      <c r="G1447" s="63"/>
      <c r="H1447" s="67"/>
      <c r="I1447" s="68"/>
      <c r="J1447" s="68"/>
      <c r="K1447" s="32"/>
      <c r="L1447" s="75">
        <v>1447</v>
      </c>
      <c r="M1447" s="75"/>
      <c r="N1447" s="70"/>
      <c r="O1447" s="77" t="s">
        <v>179</v>
      </c>
      <c r="P1447" s="79">
        <v>45179.698425925926</v>
      </c>
      <c r="Q1447" s="77" t="s">
        <v>3343</v>
      </c>
      <c r="R1447" s="77">
        <v>0</v>
      </c>
      <c r="S1447" s="77">
        <v>2</v>
      </c>
      <c r="T1447" s="77">
        <v>1</v>
      </c>
      <c r="U1447" s="77">
        <v>5</v>
      </c>
      <c r="V1447" s="77">
        <v>2504</v>
      </c>
      <c r="W1447" s="80" t="s">
        <v>6907</v>
      </c>
      <c r="X1447" s="83" t="str">
        <f>HYPERLINK("https://ow.ly/8zxg50PJQn8")</f>
        <v>https://ow.ly/8zxg50PJQn8</v>
      </c>
      <c r="Y1447" s="77" t="s">
        <v>8709</v>
      </c>
      <c r="Z1447" s="77"/>
      <c r="AA1447" s="77" t="s">
        <v>9533</v>
      </c>
      <c r="AB1447" s="77" t="s">
        <v>10535</v>
      </c>
      <c r="AC1447" s="80" t="s">
        <v>10552</v>
      </c>
      <c r="AD1447" s="77" t="s">
        <v>10620</v>
      </c>
      <c r="AE1447" s="83" t="str">
        <f>HYPERLINK("https://twitter.com/diariolibre/status/1700913456331813141")</f>
        <v>https://twitter.com/diariolibre/status/1700913456331813141</v>
      </c>
      <c r="AF1447" s="79">
        <v>45179.698425925926</v>
      </c>
      <c r="AG1447" s="85">
        <v>45179</v>
      </c>
      <c r="AH1447" s="80" t="s">
        <v>11889</v>
      </c>
      <c r="AI1447" s="77" t="b">
        <v>0</v>
      </c>
      <c r="AJ1447" s="77"/>
      <c r="AK1447" s="77"/>
      <c r="AL1447" s="77"/>
      <c r="AM1447" s="77"/>
      <c r="AN1447" s="77"/>
      <c r="AO1447" s="77"/>
      <c r="AP1447" s="77"/>
      <c r="AQ1447" s="77" t="s">
        <v>15015</v>
      </c>
      <c r="AR1447" s="77"/>
      <c r="AS1447" s="77"/>
      <c r="AT1447" s="77"/>
      <c r="AU1447" s="77"/>
      <c r="AV1447" s="83" t="str">
        <f>HYPERLINK("https://pbs.twimg.com/media/F5rbxpTW4AA70fA.jpg")</f>
        <v>https://pbs.twimg.com/media/F5rbxpTW4AA70fA.jpg</v>
      </c>
      <c r="AW1447" s="80" t="s">
        <v>17314</v>
      </c>
      <c r="AX1447" s="80" t="s">
        <v>17314</v>
      </c>
      <c r="AY1447" s="77"/>
      <c r="AZ1447" s="80" t="s">
        <v>20380</v>
      </c>
      <c r="BA1447" s="80" t="s">
        <v>20380</v>
      </c>
      <c r="BB1447" s="80" t="s">
        <v>20380</v>
      </c>
      <c r="BC1447" s="80" t="s">
        <v>17314</v>
      </c>
      <c r="BD1447" s="77">
        <v>34639484</v>
      </c>
      <c r="BE1447" s="77"/>
      <c r="BF1447" s="77"/>
      <c r="BG1447" s="77"/>
      <c r="BH1447" s="77"/>
      <c r="BI1447" s="77"/>
    </row>
    <row r="1448" spans="1:61" x14ac:dyDescent="0.25">
      <c r="A1448" s="62" t="s">
        <v>778</v>
      </c>
      <c r="B1448" s="62" t="s">
        <v>778</v>
      </c>
      <c r="C1448" s="63"/>
      <c r="D1448" s="64"/>
      <c r="E1448" s="65"/>
      <c r="F1448" s="66"/>
      <c r="G1448" s="63"/>
      <c r="H1448" s="67"/>
      <c r="I1448" s="68"/>
      <c r="J1448" s="68"/>
      <c r="K1448" s="32"/>
      <c r="L1448" s="75">
        <v>1448</v>
      </c>
      <c r="M1448" s="75"/>
      <c r="N1448" s="70"/>
      <c r="O1448" s="77" t="s">
        <v>179</v>
      </c>
      <c r="P1448" s="79">
        <v>45082.542037037034</v>
      </c>
      <c r="Q1448" s="77" t="s">
        <v>3344</v>
      </c>
      <c r="R1448" s="77">
        <v>17</v>
      </c>
      <c r="S1448" s="77">
        <v>24</v>
      </c>
      <c r="T1448" s="77">
        <v>4</v>
      </c>
      <c r="U1448" s="77">
        <v>11</v>
      </c>
      <c r="V1448" s="77">
        <v>5127</v>
      </c>
      <c r="W1448" s="80" t="s">
        <v>6908</v>
      </c>
      <c r="X1448" s="83" t="str">
        <f>HYPERLINK("http://ow.ly/tco650OFw36")</f>
        <v>http://ow.ly/tco650OFw36</v>
      </c>
      <c r="Y1448" s="77" t="s">
        <v>8709</v>
      </c>
      <c r="Z1448" s="77"/>
      <c r="AA1448" s="77" t="s">
        <v>9534</v>
      </c>
      <c r="AB1448" s="77" t="s">
        <v>10535</v>
      </c>
      <c r="AC1448" s="80" t="s">
        <v>10552</v>
      </c>
      <c r="AD1448" s="77" t="s">
        <v>10620</v>
      </c>
      <c r="AE1448" s="83" t="str">
        <f>HYPERLINK("https://twitter.com/diariolibre/status/1665705159643607041")</f>
        <v>https://twitter.com/diariolibre/status/1665705159643607041</v>
      </c>
      <c r="AF1448" s="79">
        <v>45082.542037037034</v>
      </c>
      <c r="AG1448" s="85">
        <v>45082</v>
      </c>
      <c r="AH1448" s="80" t="s">
        <v>11890</v>
      </c>
      <c r="AI1448" s="77" t="b">
        <v>0</v>
      </c>
      <c r="AJ1448" s="77"/>
      <c r="AK1448" s="77"/>
      <c r="AL1448" s="77"/>
      <c r="AM1448" s="77"/>
      <c r="AN1448" s="77"/>
      <c r="AO1448" s="77"/>
      <c r="AP1448" s="77"/>
      <c r="AQ1448" s="77" t="s">
        <v>15016</v>
      </c>
      <c r="AR1448" s="77"/>
      <c r="AS1448" s="77"/>
      <c r="AT1448" s="77"/>
      <c r="AU1448" s="77"/>
      <c r="AV1448" s="83" t="str">
        <f>HYPERLINK("https://pbs.twimg.com/media/Fx3GBCpX0AETw3H.jpg")</f>
        <v>https://pbs.twimg.com/media/Fx3GBCpX0AETw3H.jpg</v>
      </c>
      <c r="AW1448" s="80" t="s">
        <v>17315</v>
      </c>
      <c r="AX1448" s="80" t="s">
        <v>17315</v>
      </c>
      <c r="AY1448" s="77"/>
      <c r="AZ1448" s="80" t="s">
        <v>20380</v>
      </c>
      <c r="BA1448" s="80" t="s">
        <v>20380</v>
      </c>
      <c r="BB1448" s="80" t="s">
        <v>20380</v>
      </c>
      <c r="BC1448" s="80" t="s">
        <v>17315</v>
      </c>
      <c r="BD1448" s="77">
        <v>34639484</v>
      </c>
      <c r="BE1448" s="77"/>
      <c r="BF1448" s="77"/>
      <c r="BG1448" s="77"/>
      <c r="BH1448" s="77"/>
      <c r="BI1448" s="77"/>
    </row>
    <row r="1449" spans="1:61" x14ac:dyDescent="0.25">
      <c r="A1449" s="62" t="s">
        <v>778</v>
      </c>
      <c r="B1449" s="62" t="s">
        <v>778</v>
      </c>
      <c r="C1449" s="63"/>
      <c r="D1449" s="64"/>
      <c r="E1449" s="65"/>
      <c r="F1449" s="66"/>
      <c r="G1449" s="63"/>
      <c r="H1449" s="67"/>
      <c r="I1449" s="68"/>
      <c r="J1449" s="68"/>
      <c r="K1449" s="32"/>
      <c r="L1449" s="75">
        <v>1449</v>
      </c>
      <c r="M1449" s="75"/>
      <c r="N1449" s="70"/>
      <c r="O1449" s="77" t="s">
        <v>179</v>
      </c>
      <c r="P1449" s="79">
        <v>45081.718854166669</v>
      </c>
      <c r="Q1449" s="77" t="s">
        <v>3345</v>
      </c>
      <c r="R1449" s="77">
        <v>5</v>
      </c>
      <c r="S1449" s="77">
        <v>23</v>
      </c>
      <c r="T1449" s="77">
        <v>0</v>
      </c>
      <c r="U1449" s="77">
        <v>1</v>
      </c>
      <c r="V1449" s="77">
        <v>4545</v>
      </c>
      <c r="W1449" s="80" t="s">
        <v>6909</v>
      </c>
      <c r="X1449" s="83" t="str">
        <f>HYPERLINK("http://ow.ly/kTwc50OF2HL")</f>
        <v>http://ow.ly/kTwc50OF2HL</v>
      </c>
      <c r="Y1449" s="77" t="s">
        <v>8709</v>
      </c>
      <c r="Z1449" s="77"/>
      <c r="AA1449" s="77" t="s">
        <v>9535</v>
      </c>
      <c r="AB1449" s="77" t="s">
        <v>10535</v>
      </c>
      <c r="AC1449" s="80" t="s">
        <v>10552</v>
      </c>
      <c r="AD1449" s="77" t="s">
        <v>10620</v>
      </c>
      <c r="AE1449" s="83" t="str">
        <f>HYPERLINK("https://twitter.com/diariolibre/status/1665406851788288002")</f>
        <v>https://twitter.com/diariolibre/status/1665406851788288002</v>
      </c>
      <c r="AF1449" s="79">
        <v>45081.718854166669</v>
      </c>
      <c r="AG1449" s="85">
        <v>45081</v>
      </c>
      <c r="AH1449" s="80" t="s">
        <v>11891</v>
      </c>
      <c r="AI1449" s="77" t="b">
        <v>0</v>
      </c>
      <c r="AJ1449" s="77"/>
      <c r="AK1449" s="77"/>
      <c r="AL1449" s="77"/>
      <c r="AM1449" s="77"/>
      <c r="AN1449" s="77"/>
      <c r="AO1449" s="77"/>
      <c r="AP1449" s="77"/>
      <c r="AQ1449" s="77" t="s">
        <v>15017</v>
      </c>
      <c r="AR1449" s="77"/>
      <c r="AS1449" s="77"/>
      <c r="AT1449" s="77"/>
      <c r="AU1449" s="77"/>
      <c r="AV1449" s="83" t="str">
        <f>HYPERLINK("https://pbs.twimg.com/media/Fxy2tPqXsAAmiVv.jpg")</f>
        <v>https://pbs.twimg.com/media/Fxy2tPqXsAAmiVv.jpg</v>
      </c>
      <c r="AW1449" s="80" t="s">
        <v>17316</v>
      </c>
      <c r="AX1449" s="80" t="s">
        <v>17316</v>
      </c>
      <c r="AY1449" s="77"/>
      <c r="AZ1449" s="80" t="s">
        <v>20380</v>
      </c>
      <c r="BA1449" s="80" t="s">
        <v>20380</v>
      </c>
      <c r="BB1449" s="80" t="s">
        <v>20380</v>
      </c>
      <c r="BC1449" s="80" t="s">
        <v>17316</v>
      </c>
      <c r="BD1449" s="77">
        <v>34639484</v>
      </c>
      <c r="BE1449" s="77"/>
      <c r="BF1449" s="77"/>
      <c r="BG1449" s="77"/>
      <c r="BH1449" s="77"/>
      <c r="BI1449" s="77"/>
    </row>
    <row r="1450" spans="1:61" x14ac:dyDescent="0.25">
      <c r="A1450" s="62" t="s">
        <v>779</v>
      </c>
      <c r="B1450" s="62" t="s">
        <v>779</v>
      </c>
      <c r="C1450" s="63"/>
      <c r="D1450" s="64"/>
      <c r="E1450" s="65"/>
      <c r="F1450" s="66"/>
      <c r="G1450" s="63"/>
      <c r="H1450" s="67"/>
      <c r="I1450" s="68"/>
      <c r="J1450" s="68"/>
      <c r="K1450" s="32"/>
      <c r="L1450" s="75">
        <v>1450</v>
      </c>
      <c r="M1450" s="75"/>
      <c r="N1450" s="70"/>
      <c r="O1450" s="77" t="s">
        <v>179</v>
      </c>
      <c r="P1450" s="79">
        <v>45145.830405092594</v>
      </c>
      <c r="Q1450" s="77" t="s">
        <v>3346</v>
      </c>
      <c r="R1450" s="77">
        <v>0</v>
      </c>
      <c r="S1450" s="77">
        <v>0</v>
      </c>
      <c r="T1450" s="77">
        <v>0</v>
      </c>
      <c r="U1450" s="77">
        <v>0</v>
      </c>
      <c r="V1450" s="77">
        <v>46</v>
      </c>
      <c r="W1450" s="80" t="s">
        <v>6501</v>
      </c>
      <c r="X1450" s="77"/>
      <c r="Y1450" s="77"/>
      <c r="Z1450" s="77"/>
      <c r="AA1450" s="77"/>
      <c r="AB1450" s="77"/>
      <c r="AC1450" s="80" t="s">
        <v>10542</v>
      </c>
      <c r="AD1450" s="77" t="s">
        <v>10617</v>
      </c>
      <c r="AE1450" s="83" t="str">
        <f>HYPERLINK("https://twitter.com/elvis_boateng/status/1688640097619501058")</f>
        <v>https://twitter.com/elvis_boateng/status/1688640097619501058</v>
      </c>
      <c r="AF1450" s="79">
        <v>45145.830405092594</v>
      </c>
      <c r="AG1450" s="85">
        <v>45145</v>
      </c>
      <c r="AH1450" s="80" t="s">
        <v>11892</v>
      </c>
      <c r="AI1450" s="77"/>
      <c r="AJ1450" s="77"/>
      <c r="AK1450" s="77"/>
      <c r="AL1450" s="77"/>
      <c r="AM1450" s="77"/>
      <c r="AN1450" s="77"/>
      <c r="AO1450" s="77"/>
      <c r="AP1450" s="77"/>
      <c r="AQ1450" s="77"/>
      <c r="AR1450" s="77"/>
      <c r="AS1450" s="77"/>
      <c r="AT1450" s="77"/>
      <c r="AU1450" s="77"/>
      <c r="AV1450" s="83" t="str">
        <f>HYPERLINK("https://pbs.twimg.com/profile_images/1570161185009319937/SG8piThY_normal.jpg")</f>
        <v>https://pbs.twimg.com/profile_images/1570161185009319937/SG8piThY_normal.jpg</v>
      </c>
      <c r="AW1450" s="80" t="s">
        <v>17317</v>
      </c>
      <c r="AX1450" s="80" t="s">
        <v>17317</v>
      </c>
      <c r="AY1450" s="77"/>
      <c r="AZ1450" s="80" t="s">
        <v>20380</v>
      </c>
      <c r="BA1450" s="80" t="s">
        <v>20380</v>
      </c>
      <c r="BB1450" s="80" t="s">
        <v>20380</v>
      </c>
      <c r="BC1450" s="80" t="s">
        <v>17317</v>
      </c>
      <c r="BD1450" s="77">
        <v>191171142</v>
      </c>
      <c r="BE1450" s="77"/>
      <c r="BF1450" s="77"/>
      <c r="BG1450" s="77"/>
      <c r="BH1450" s="77"/>
      <c r="BI1450" s="77"/>
    </row>
    <row r="1451" spans="1:61" x14ac:dyDescent="0.25">
      <c r="A1451" s="62" t="s">
        <v>780</v>
      </c>
      <c r="B1451" s="62" t="s">
        <v>1596</v>
      </c>
      <c r="C1451" s="63"/>
      <c r="D1451" s="64"/>
      <c r="E1451" s="65"/>
      <c r="F1451" s="66"/>
      <c r="G1451" s="63"/>
      <c r="H1451" s="67"/>
      <c r="I1451" s="68"/>
      <c r="J1451" s="68"/>
      <c r="K1451" s="32"/>
      <c r="L1451" s="75">
        <v>1451</v>
      </c>
      <c r="M1451" s="75"/>
      <c r="N1451" s="70"/>
      <c r="O1451" s="77" t="s">
        <v>2081</v>
      </c>
      <c r="P1451" s="79">
        <v>45062.485729166663</v>
      </c>
      <c r="Q1451" s="77" t="s">
        <v>3347</v>
      </c>
      <c r="R1451" s="77">
        <v>0</v>
      </c>
      <c r="S1451" s="77">
        <v>2</v>
      </c>
      <c r="T1451" s="77">
        <v>0</v>
      </c>
      <c r="U1451" s="77">
        <v>0</v>
      </c>
      <c r="V1451" s="77">
        <v>156</v>
      </c>
      <c r="W1451" s="80" t="s">
        <v>6008</v>
      </c>
      <c r="X1451" s="83" t="str">
        <f>HYPERLINK("https://www.bcb.gov.br/en/about/events/69")</f>
        <v>https://www.bcb.gov.br/en/about/events/69</v>
      </c>
      <c r="Y1451" s="77" t="s">
        <v>8633</v>
      </c>
      <c r="Z1451" s="77" t="s">
        <v>1596</v>
      </c>
      <c r="AA1451" s="77"/>
      <c r="AB1451" s="77"/>
      <c r="AC1451" s="80" t="s">
        <v>10541</v>
      </c>
      <c r="AD1451" s="77" t="s">
        <v>10622</v>
      </c>
      <c r="AE1451" s="83" t="str">
        <f>HYPERLINK("https://twitter.com/toniricardoes/status/1658436998124695556")</f>
        <v>https://twitter.com/toniricardoes/status/1658436998124695556</v>
      </c>
      <c r="AF1451" s="79">
        <v>45062.485729166663</v>
      </c>
      <c r="AG1451" s="85">
        <v>45062</v>
      </c>
      <c r="AH1451" s="80" t="s">
        <v>11893</v>
      </c>
      <c r="AI1451" s="77" t="b">
        <v>0</v>
      </c>
      <c r="AJ1451" s="77"/>
      <c r="AK1451" s="77"/>
      <c r="AL1451" s="77"/>
      <c r="AM1451" s="77"/>
      <c r="AN1451" s="77"/>
      <c r="AO1451" s="77"/>
      <c r="AP1451" s="77"/>
      <c r="AQ1451" s="77"/>
      <c r="AR1451" s="77"/>
      <c r="AS1451" s="77"/>
      <c r="AT1451" s="77"/>
      <c r="AU1451" s="77"/>
      <c r="AV1451" s="83" t="str">
        <f>HYPERLINK("https://pbs.twimg.com/profile_images/764447661328048128/Ax3zdHuv_normal.jpg")</f>
        <v>https://pbs.twimg.com/profile_images/764447661328048128/Ax3zdHuv_normal.jpg</v>
      </c>
      <c r="AW1451" s="80" t="s">
        <v>17318</v>
      </c>
      <c r="AX1451" s="80" t="s">
        <v>17318</v>
      </c>
      <c r="AY1451" s="77"/>
      <c r="AZ1451" s="80" t="s">
        <v>20380</v>
      </c>
      <c r="BA1451" s="80" t="s">
        <v>20380</v>
      </c>
      <c r="BB1451" s="80" t="s">
        <v>20380</v>
      </c>
      <c r="BC1451" s="80" t="s">
        <v>17318</v>
      </c>
      <c r="BD1451" s="77">
        <v>33534495</v>
      </c>
      <c r="BE1451" s="77"/>
      <c r="BF1451" s="77"/>
      <c r="BG1451" s="77"/>
      <c r="BH1451" s="77"/>
      <c r="BI1451" s="77"/>
    </row>
    <row r="1452" spans="1:61" x14ac:dyDescent="0.25">
      <c r="A1452" s="62" t="s">
        <v>780</v>
      </c>
      <c r="B1452" s="62" t="s">
        <v>1596</v>
      </c>
      <c r="C1452" s="63"/>
      <c r="D1452" s="64"/>
      <c r="E1452" s="65"/>
      <c r="F1452" s="66"/>
      <c r="G1452" s="63"/>
      <c r="H1452" s="67"/>
      <c r="I1452" s="68"/>
      <c r="J1452" s="68"/>
      <c r="K1452" s="32"/>
      <c r="L1452" s="75">
        <v>1452</v>
      </c>
      <c r="M1452" s="75"/>
      <c r="N1452" s="70"/>
      <c r="O1452" s="77" t="s">
        <v>2081</v>
      </c>
      <c r="P1452" s="79">
        <v>45062.484849537039</v>
      </c>
      <c r="Q1452" s="77" t="s">
        <v>3348</v>
      </c>
      <c r="R1452" s="77">
        <v>0</v>
      </c>
      <c r="S1452" s="77">
        <v>1</v>
      </c>
      <c r="T1452" s="77">
        <v>0</v>
      </c>
      <c r="U1452" s="77">
        <v>0</v>
      </c>
      <c r="V1452" s="77">
        <v>211</v>
      </c>
      <c r="W1452" s="80" t="s">
        <v>6008</v>
      </c>
      <c r="X1452" s="83" t="str">
        <f>HYPERLINK("https://www.bcb.gov.br/acessoinformacao/eventos/136")</f>
        <v>https://www.bcb.gov.br/acessoinformacao/eventos/136</v>
      </c>
      <c r="Y1452" s="77" t="s">
        <v>8633</v>
      </c>
      <c r="Z1452" s="77" t="s">
        <v>1596</v>
      </c>
      <c r="AA1452" s="77"/>
      <c r="AB1452" s="77"/>
      <c r="AC1452" s="80" t="s">
        <v>10541</v>
      </c>
      <c r="AD1452" s="77" t="s">
        <v>10617</v>
      </c>
      <c r="AE1452" s="83" t="str">
        <f>HYPERLINK("https://twitter.com/toniricardoes/status/1658436681907724288")</f>
        <v>https://twitter.com/toniricardoes/status/1658436681907724288</v>
      </c>
      <c r="AF1452" s="79">
        <v>45062.484849537039</v>
      </c>
      <c r="AG1452" s="85">
        <v>45062</v>
      </c>
      <c r="AH1452" s="80" t="s">
        <v>11894</v>
      </c>
      <c r="AI1452" s="77" t="b">
        <v>0</v>
      </c>
      <c r="AJ1452" s="77"/>
      <c r="AK1452" s="77"/>
      <c r="AL1452" s="77"/>
      <c r="AM1452" s="77"/>
      <c r="AN1452" s="77"/>
      <c r="AO1452" s="77"/>
      <c r="AP1452" s="77"/>
      <c r="AQ1452" s="77"/>
      <c r="AR1452" s="77"/>
      <c r="AS1452" s="77"/>
      <c r="AT1452" s="77"/>
      <c r="AU1452" s="77"/>
      <c r="AV1452" s="83" t="str">
        <f>HYPERLINK("https://pbs.twimg.com/profile_images/764447661328048128/Ax3zdHuv_normal.jpg")</f>
        <v>https://pbs.twimg.com/profile_images/764447661328048128/Ax3zdHuv_normal.jpg</v>
      </c>
      <c r="AW1452" s="80" t="s">
        <v>17319</v>
      </c>
      <c r="AX1452" s="80" t="s">
        <v>17319</v>
      </c>
      <c r="AY1452" s="77"/>
      <c r="AZ1452" s="80" t="s">
        <v>20380</v>
      </c>
      <c r="BA1452" s="80" t="s">
        <v>20380</v>
      </c>
      <c r="BB1452" s="80" t="s">
        <v>20380</v>
      </c>
      <c r="BC1452" s="80" t="s">
        <v>17319</v>
      </c>
      <c r="BD1452" s="77">
        <v>33534495</v>
      </c>
      <c r="BE1452" s="77"/>
      <c r="BF1452" s="77"/>
      <c r="BG1452" s="77"/>
      <c r="BH1452" s="77"/>
      <c r="BI1452" s="77"/>
    </row>
    <row r="1453" spans="1:61" x14ac:dyDescent="0.25">
      <c r="A1453" s="62" t="s">
        <v>781</v>
      </c>
      <c r="B1453" s="62" t="s">
        <v>781</v>
      </c>
      <c r="C1453" s="63"/>
      <c r="D1453" s="64"/>
      <c r="E1453" s="65"/>
      <c r="F1453" s="66"/>
      <c r="G1453" s="63"/>
      <c r="H1453" s="67"/>
      <c r="I1453" s="68"/>
      <c r="J1453" s="68"/>
      <c r="K1453" s="32"/>
      <c r="L1453" s="75">
        <v>1453</v>
      </c>
      <c r="M1453" s="75"/>
      <c r="N1453" s="70"/>
      <c r="O1453" s="77" t="s">
        <v>179</v>
      </c>
      <c r="P1453" s="79">
        <v>45155.453275462962</v>
      </c>
      <c r="Q1453" s="77" t="s">
        <v>3349</v>
      </c>
      <c r="R1453" s="77">
        <v>2</v>
      </c>
      <c r="S1453" s="77">
        <v>3</v>
      </c>
      <c r="T1453" s="77">
        <v>0</v>
      </c>
      <c r="U1453" s="77">
        <v>0</v>
      </c>
      <c r="V1453" s="77">
        <v>623</v>
      </c>
      <c r="W1453" s="80" t="s">
        <v>6910</v>
      </c>
      <c r="X1453" s="83" t="str">
        <f>HYPERLINK("https://twitter.com/Davend22/status/1596571867921498112/video/1")</f>
        <v>https://twitter.com/Davend22/status/1596571867921498112/video/1</v>
      </c>
      <c r="Y1453" s="77" t="s">
        <v>8610</v>
      </c>
      <c r="Z1453" s="77"/>
      <c r="AA1453" s="77"/>
      <c r="AB1453" s="77"/>
      <c r="AC1453" s="80" t="s">
        <v>10541</v>
      </c>
      <c r="AD1453" s="77" t="s">
        <v>10620</v>
      </c>
      <c r="AE1453" s="83" t="str">
        <f>HYPERLINK("https://twitter.com/ana_deportes/status/1692127309334032727")</f>
        <v>https://twitter.com/ana_deportes/status/1692127309334032727</v>
      </c>
      <c r="AF1453" s="79">
        <v>45155.453275462962</v>
      </c>
      <c r="AG1453" s="85">
        <v>45155</v>
      </c>
      <c r="AH1453" s="80" t="s">
        <v>11895</v>
      </c>
      <c r="AI1453" s="77" t="b">
        <v>0</v>
      </c>
      <c r="AJ1453" s="77"/>
      <c r="AK1453" s="77"/>
      <c r="AL1453" s="77"/>
      <c r="AM1453" s="77"/>
      <c r="AN1453" s="77"/>
      <c r="AO1453" s="77"/>
      <c r="AP1453" s="77"/>
      <c r="AQ1453" s="77"/>
      <c r="AR1453" s="77"/>
      <c r="AS1453" s="77"/>
      <c r="AT1453" s="77"/>
      <c r="AU1453" s="77"/>
      <c r="AV1453" s="83" t="str">
        <f>HYPERLINK("https://pbs.twimg.com/profile_images/1686230982465142784/Wl6otbEc_normal.jpg")</f>
        <v>https://pbs.twimg.com/profile_images/1686230982465142784/Wl6otbEc_normal.jpg</v>
      </c>
      <c r="AW1453" s="80" t="s">
        <v>17320</v>
      </c>
      <c r="AX1453" s="80" t="s">
        <v>17320</v>
      </c>
      <c r="AY1453" s="77"/>
      <c r="AZ1453" s="80" t="s">
        <v>20380</v>
      </c>
      <c r="BA1453" s="80" t="s">
        <v>20380</v>
      </c>
      <c r="BB1453" s="80" t="s">
        <v>20380</v>
      </c>
      <c r="BC1453" s="80" t="s">
        <v>17320</v>
      </c>
      <c r="BD1453" s="80" t="s">
        <v>20760</v>
      </c>
      <c r="BE1453" s="77"/>
      <c r="BF1453" s="77"/>
      <c r="BG1453" s="77"/>
      <c r="BH1453" s="77"/>
      <c r="BI1453" s="77"/>
    </row>
    <row r="1454" spans="1:61" x14ac:dyDescent="0.25">
      <c r="A1454" s="62" t="s">
        <v>781</v>
      </c>
      <c r="B1454" s="62" t="s">
        <v>781</v>
      </c>
      <c r="C1454" s="63"/>
      <c r="D1454" s="64"/>
      <c r="E1454" s="65"/>
      <c r="F1454" s="66"/>
      <c r="G1454" s="63"/>
      <c r="H1454" s="67"/>
      <c r="I1454" s="68"/>
      <c r="J1454" s="68"/>
      <c r="K1454" s="32"/>
      <c r="L1454" s="75">
        <v>1454</v>
      </c>
      <c r="M1454" s="75"/>
      <c r="N1454" s="70"/>
      <c r="O1454" s="77" t="s">
        <v>179</v>
      </c>
      <c r="P1454" s="79">
        <v>45153.072141203702</v>
      </c>
      <c r="Q1454" s="77" t="s">
        <v>3350</v>
      </c>
      <c r="R1454" s="77">
        <v>0</v>
      </c>
      <c r="S1454" s="77">
        <v>2</v>
      </c>
      <c r="T1454" s="77">
        <v>0</v>
      </c>
      <c r="U1454" s="77">
        <v>0</v>
      </c>
      <c r="V1454" s="77">
        <v>453</v>
      </c>
      <c r="W1454" s="80" t="s">
        <v>6911</v>
      </c>
      <c r="X1454" s="77"/>
      <c r="Y1454" s="77"/>
      <c r="Z1454" s="77"/>
      <c r="AA1454" s="77" t="s">
        <v>9536</v>
      </c>
      <c r="AB1454" s="77" t="s">
        <v>10534</v>
      </c>
      <c r="AC1454" s="80" t="s">
        <v>10541</v>
      </c>
      <c r="AD1454" s="77" t="s">
        <v>10620</v>
      </c>
      <c r="AE1454" s="83" t="str">
        <f>HYPERLINK("https://twitter.com/ana_deportes/status/1691264413699895296")</f>
        <v>https://twitter.com/ana_deportes/status/1691264413699895296</v>
      </c>
      <c r="AF1454" s="79">
        <v>45153.072141203702</v>
      </c>
      <c r="AG1454" s="85">
        <v>45153</v>
      </c>
      <c r="AH1454" s="80" t="s">
        <v>11896</v>
      </c>
      <c r="AI1454" s="77" t="b">
        <v>0</v>
      </c>
      <c r="AJ1454" s="77"/>
      <c r="AK1454" s="77"/>
      <c r="AL1454" s="77"/>
      <c r="AM1454" s="77"/>
      <c r="AN1454" s="77"/>
      <c r="AO1454" s="77"/>
      <c r="AP1454" s="77"/>
      <c r="AQ1454" s="77" t="s">
        <v>15018</v>
      </c>
      <c r="AR1454" s="77">
        <v>6687</v>
      </c>
      <c r="AS1454" s="77"/>
      <c r="AT1454" s="77"/>
      <c r="AU1454" s="77"/>
      <c r="AV1454" s="83" t="str">
        <f>HYPERLINK("https://pbs.twimg.com/ext_tw_video_thumb/1691084229164122112/pu/img/2iKz0ZmiLpzvqdWU.jpg")</f>
        <v>https://pbs.twimg.com/ext_tw_video_thumb/1691084229164122112/pu/img/2iKz0ZmiLpzvqdWU.jpg</v>
      </c>
      <c r="AW1454" s="80" t="s">
        <v>17321</v>
      </c>
      <c r="AX1454" s="80" t="s">
        <v>17321</v>
      </c>
      <c r="AY1454" s="77"/>
      <c r="AZ1454" s="80" t="s">
        <v>20380</v>
      </c>
      <c r="BA1454" s="80" t="s">
        <v>20380</v>
      </c>
      <c r="BB1454" s="80" t="s">
        <v>20380</v>
      </c>
      <c r="BC1454" s="80" t="s">
        <v>17321</v>
      </c>
      <c r="BD1454" s="80" t="s">
        <v>20760</v>
      </c>
      <c r="BE1454" s="77"/>
      <c r="BF1454" s="77"/>
      <c r="BG1454" s="77"/>
      <c r="BH1454" s="77"/>
      <c r="BI1454" s="77"/>
    </row>
    <row r="1455" spans="1:61" x14ac:dyDescent="0.25">
      <c r="A1455" s="62" t="s">
        <v>782</v>
      </c>
      <c r="B1455" s="62" t="s">
        <v>1867</v>
      </c>
      <c r="C1455" s="63"/>
      <c r="D1455" s="64"/>
      <c r="E1455" s="65"/>
      <c r="F1455" s="66"/>
      <c r="G1455" s="63"/>
      <c r="H1455" s="67"/>
      <c r="I1455" s="68"/>
      <c r="J1455" s="68"/>
      <c r="K1455" s="32"/>
      <c r="L1455" s="75">
        <v>1455</v>
      </c>
      <c r="M1455" s="75"/>
      <c r="N1455" s="70"/>
      <c r="O1455" s="77" t="s">
        <v>2081</v>
      </c>
      <c r="P1455" s="79">
        <v>45148.921412037038</v>
      </c>
      <c r="Q1455" s="77" t="s">
        <v>3351</v>
      </c>
      <c r="R1455" s="77">
        <v>0</v>
      </c>
      <c r="S1455" s="77">
        <v>4</v>
      </c>
      <c r="T1455" s="77">
        <v>0</v>
      </c>
      <c r="U1455" s="77">
        <v>0</v>
      </c>
      <c r="V1455" s="77">
        <v>1235</v>
      </c>
      <c r="W1455" s="80" t="s">
        <v>6912</v>
      </c>
      <c r="X1455" s="83" t="str">
        <f>HYPERLINK("https://www.otempo.com.br/")</f>
        <v>https://www.otempo.com.br/</v>
      </c>
      <c r="Y1455" s="77" t="s">
        <v>8611</v>
      </c>
      <c r="Z1455" s="77" t="s">
        <v>1867</v>
      </c>
      <c r="AA1455" s="77" t="s">
        <v>9537</v>
      </c>
      <c r="AB1455" s="77" t="s">
        <v>10534</v>
      </c>
      <c r="AC1455" s="80" t="s">
        <v>10541</v>
      </c>
      <c r="AD1455" s="77" t="s">
        <v>10617</v>
      </c>
      <c r="AE1455" s="83" t="str">
        <f>HYPERLINK("https://twitter.com/otempo/status/1689760243436195840")</f>
        <v>https://twitter.com/otempo/status/1689760243436195840</v>
      </c>
      <c r="AF1455" s="79">
        <v>45148.921412037038</v>
      </c>
      <c r="AG1455" s="85">
        <v>45148</v>
      </c>
      <c r="AH1455" s="80" t="s">
        <v>11897</v>
      </c>
      <c r="AI1455" s="77" t="b">
        <v>0</v>
      </c>
      <c r="AJ1455" s="77"/>
      <c r="AK1455" s="77"/>
      <c r="AL1455" s="77"/>
      <c r="AM1455" s="77"/>
      <c r="AN1455" s="77"/>
      <c r="AO1455" s="77"/>
      <c r="AP1455" s="77"/>
      <c r="AQ1455" s="77" t="s">
        <v>15019</v>
      </c>
      <c r="AR1455" s="77">
        <v>57557</v>
      </c>
      <c r="AS1455" s="77"/>
      <c r="AT1455" s="77"/>
      <c r="AU1455" s="77"/>
      <c r="AV1455" s="83" t="str">
        <f>HYPERLINK("https://pbs.twimg.com/ext_tw_video_thumb/1689759597672665088/pu/img/SFjGdknOX2E5QSiI.jpg")</f>
        <v>https://pbs.twimg.com/ext_tw_video_thumb/1689759597672665088/pu/img/SFjGdknOX2E5QSiI.jpg</v>
      </c>
      <c r="AW1455" s="80" t="s">
        <v>17322</v>
      </c>
      <c r="AX1455" s="80" t="s">
        <v>17322</v>
      </c>
      <c r="AY1455" s="77"/>
      <c r="AZ1455" s="80" t="s">
        <v>20380</v>
      </c>
      <c r="BA1455" s="80" t="s">
        <v>20380</v>
      </c>
      <c r="BB1455" s="80" t="s">
        <v>20380</v>
      </c>
      <c r="BC1455" s="80" t="s">
        <v>17322</v>
      </c>
      <c r="BD1455" s="77">
        <v>29274419</v>
      </c>
      <c r="BE1455" s="77"/>
      <c r="BF1455" s="77"/>
      <c r="BG1455" s="77"/>
      <c r="BH1455" s="77"/>
      <c r="BI1455" s="77"/>
    </row>
    <row r="1456" spans="1:61" x14ac:dyDescent="0.25">
      <c r="A1456" s="62" t="s">
        <v>782</v>
      </c>
      <c r="B1456" s="62" t="s">
        <v>782</v>
      </c>
      <c r="C1456" s="63"/>
      <c r="D1456" s="64"/>
      <c r="E1456" s="65"/>
      <c r="F1456" s="66"/>
      <c r="G1456" s="63"/>
      <c r="H1456" s="67"/>
      <c r="I1456" s="68"/>
      <c r="J1456" s="68"/>
      <c r="K1456" s="32"/>
      <c r="L1456" s="75">
        <v>1456</v>
      </c>
      <c r="M1456" s="75"/>
      <c r="N1456" s="70"/>
      <c r="O1456" s="77" t="s">
        <v>179</v>
      </c>
      <c r="P1456" s="79">
        <v>45115.015787037039</v>
      </c>
      <c r="Q1456" s="77" t="s">
        <v>3352</v>
      </c>
      <c r="R1456" s="77">
        <v>0</v>
      </c>
      <c r="S1456" s="77">
        <v>2</v>
      </c>
      <c r="T1456" s="77">
        <v>0</v>
      </c>
      <c r="U1456" s="77">
        <v>0</v>
      </c>
      <c r="V1456" s="77">
        <v>1873</v>
      </c>
      <c r="W1456" s="80" t="s">
        <v>6913</v>
      </c>
      <c r="X1456" s="83" t="str">
        <f>HYPERLINK("https://www.otempo.com.br")</f>
        <v>https://www.otempo.com.br</v>
      </c>
      <c r="Y1456" s="77" t="s">
        <v>8611</v>
      </c>
      <c r="Z1456" s="77"/>
      <c r="AA1456" s="77" t="s">
        <v>9538</v>
      </c>
      <c r="AB1456" s="77" t="s">
        <v>10534</v>
      </c>
      <c r="AC1456" s="80" t="s">
        <v>10541</v>
      </c>
      <c r="AD1456" s="77" t="s">
        <v>10617</v>
      </c>
      <c r="AE1456" s="83" t="str">
        <f>HYPERLINK("https://twitter.com/otempo/status/1677473253948813312")</f>
        <v>https://twitter.com/otempo/status/1677473253948813312</v>
      </c>
      <c r="AF1456" s="79">
        <v>45115.015787037039</v>
      </c>
      <c r="AG1456" s="85">
        <v>45115</v>
      </c>
      <c r="AH1456" s="80" t="s">
        <v>11898</v>
      </c>
      <c r="AI1456" s="77" t="b">
        <v>0</v>
      </c>
      <c r="AJ1456" s="77"/>
      <c r="AK1456" s="77"/>
      <c r="AL1456" s="77"/>
      <c r="AM1456" s="77"/>
      <c r="AN1456" s="77"/>
      <c r="AO1456" s="77"/>
      <c r="AP1456" s="77"/>
      <c r="AQ1456" s="77" t="s">
        <v>15020</v>
      </c>
      <c r="AR1456" s="77">
        <v>58558</v>
      </c>
      <c r="AS1456" s="77"/>
      <c r="AT1456" s="77"/>
      <c r="AU1456" s="77"/>
      <c r="AV1456" s="83" t="str">
        <f>HYPERLINK("https://pbs.twimg.com/ext_tw_video_thumb/1677473009546715138/pu/img/grUzj1dlDrJ0cQRu.jpg")</f>
        <v>https://pbs.twimg.com/ext_tw_video_thumb/1677473009546715138/pu/img/grUzj1dlDrJ0cQRu.jpg</v>
      </c>
      <c r="AW1456" s="80" t="s">
        <v>17323</v>
      </c>
      <c r="AX1456" s="80" t="s">
        <v>17323</v>
      </c>
      <c r="AY1456" s="77"/>
      <c r="AZ1456" s="80" t="s">
        <v>20380</v>
      </c>
      <c r="BA1456" s="80" t="s">
        <v>20380</v>
      </c>
      <c r="BB1456" s="80" t="s">
        <v>20380</v>
      </c>
      <c r="BC1456" s="80" t="s">
        <v>17323</v>
      </c>
      <c r="BD1456" s="77">
        <v>29274419</v>
      </c>
      <c r="BE1456" s="77"/>
      <c r="BF1456" s="77"/>
      <c r="BG1456" s="77"/>
      <c r="BH1456" s="77"/>
      <c r="BI1456" s="77"/>
    </row>
    <row r="1457" spans="1:61" x14ac:dyDescent="0.25">
      <c r="A1457" s="62" t="s">
        <v>783</v>
      </c>
      <c r="B1457" s="62" t="s">
        <v>1596</v>
      </c>
      <c r="C1457" s="63"/>
      <c r="D1457" s="64"/>
      <c r="E1457" s="65"/>
      <c r="F1457" s="66"/>
      <c r="G1457" s="63"/>
      <c r="H1457" s="67"/>
      <c r="I1457" s="68"/>
      <c r="J1457" s="68"/>
      <c r="K1457" s="32"/>
      <c r="L1457" s="75">
        <v>1457</v>
      </c>
      <c r="M1457" s="75"/>
      <c r="N1457" s="70"/>
      <c r="O1457" s="77" t="s">
        <v>2081</v>
      </c>
      <c r="P1457" s="79">
        <v>45146.673113425924</v>
      </c>
      <c r="Q1457" s="77" t="s">
        <v>3353</v>
      </c>
      <c r="R1457" s="77">
        <v>0</v>
      </c>
      <c r="S1457" s="77">
        <v>0</v>
      </c>
      <c r="T1457" s="77">
        <v>0</v>
      </c>
      <c r="U1457" s="77">
        <v>0</v>
      </c>
      <c r="V1457" s="77">
        <v>19</v>
      </c>
      <c r="W1457" s="80" t="s">
        <v>6914</v>
      </c>
      <c r="X1457" s="83" t="str">
        <f>HYPERLINK("https://ovies.com.br/real-digital-se-chamara-drex-confirma-banco-central/")</f>
        <v>https://ovies.com.br/real-digital-se-chamara-drex-confirma-banco-central/</v>
      </c>
      <c r="Y1457" s="77" t="s">
        <v>8611</v>
      </c>
      <c r="Z1457" s="77" t="s">
        <v>1596</v>
      </c>
      <c r="AA1457" s="77"/>
      <c r="AB1457" s="77"/>
      <c r="AC1457" s="80" t="s">
        <v>10541</v>
      </c>
      <c r="AD1457" s="77" t="s">
        <v>10617</v>
      </c>
      <c r="AE1457" s="83" t="str">
        <f>HYPERLINK("https://twitter.com/viesdanoticia/status/1688945487187976192")</f>
        <v>https://twitter.com/viesdanoticia/status/1688945487187976192</v>
      </c>
      <c r="AF1457" s="79">
        <v>45146.673113425924</v>
      </c>
      <c r="AG1457" s="85">
        <v>45146</v>
      </c>
      <c r="AH1457" s="80" t="s">
        <v>11899</v>
      </c>
      <c r="AI1457" s="77" t="b">
        <v>0</v>
      </c>
      <c r="AJ1457" s="77"/>
      <c r="AK1457" s="77"/>
      <c r="AL1457" s="77"/>
      <c r="AM1457" s="77"/>
      <c r="AN1457" s="77"/>
      <c r="AO1457" s="77"/>
      <c r="AP1457" s="77"/>
      <c r="AQ1457" s="77"/>
      <c r="AR1457" s="77"/>
      <c r="AS1457" s="77"/>
      <c r="AT1457" s="77"/>
      <c r="AU1457" s="77"/>
      <c r="AV1457" s="83" t="str">
        <f>HYPERLINK("https://pbs.twimg.com/profile_images/1631749166748631050/Rgr4ToBl_normal.jpg")</f>
        <v>https://pbs.twimg.com/profile_images/1631749166748631050/Rgr4ToBl_normal.jpg</v>
      </c>
      <c r="AW1457" s="80" t="s">
        <v>17324</v>
      </c>
      <c r="AX1457" s="80" t="s">
        <v>17324</v>
      </c>
      <c r="AY1457" s="77"/>
      <c r="AZ1457" s="80" t="s">
        <v>20380</v>
      </c>
      <c r="BA1457" s="80" t="s">
        <v>20380</v>
      </c>
      <c r="BB1457" s="80" t="s">
        <v>20380</v>
      </c>
      <c r="BC1457" s="80" t="s">
        <v>17324</v>
      </c>
      <c r="BD1457" s="80" t="s">
        <v>20761</v>
      </c>
      <c r="BE1457" s="77"/>
      <c r="BF1457" s="77"/>
      <c r="BG1457" s="77"/>
      <c r="BH1457" s="77"/>
      <c r="BI1457" s="77"/>
    </row>
    <row r="1458" spans="1:61" x14ac:dyDescent="0.25">
      <c r="A1458" s="62" t="s">
        <v>784</v>
      </c>
      <c r="B1458" s="62" t="s">
        <v>784</v>
      </c>
      <c r="C1458" s="63"/>
      <c r="D1458" s="64"/>
      <c r="E1458" s="65"/>
      <c r="F1458" s="66"/>
      <c r="G1458" s="63"/>
      <c r="H1458" s="67"/>
      <c r="I1458" s="68"/>
      <c r="J1458" s="68"/>
      <c r="K1458" s="32"/>
      <c r="L1458" s="75">
        <v>1458</v>
      </c>
      <c r="M1458" s="75"/>
      <c r="N1458" s="70"/>
      <c r="O1458" s="77" t="s">
        <v>179</v>
      </c>
      <c r="P1458" s="79">
        <v>45051.583356481482</v>
      </c>
      <c r="Q1458" s="77" t="s">
        <v>3354</v>
      </c>
      <c r="R1458" s="77">
        <v>0</v>
      </c>
      <c r="S1458" s="77">
        <v>0</v>
      </c>
      <c r="T1458" s="77">
        <v>0</v>
      </c>
      <c r="U1458" s="77">
        <v>0</v>
      </c>
      <c r="V1458" s="77">
        <v>50</v>
      </c>
      <c r="W1458" s="80" t="s">
        <v>6915</v>
      </c>
      <c r="X1458" s="77"/>
      <c r="Y1458" s="77"/>
      <c r="Z1458" s="77"/>
      <c r="AA1458" s="77" t="s">
        <v>9539</v>
      </c>
      <c r="AB1458" s="77" t="s">
        <v>10535</v>
      </c>
      <c r="AC1458" s="80" t="s">
        <v>10540</v>
      </c>
      <c r="AD1458" s="77" t="s">
        <v>10617</v>
      </c>
      <c r="AE1458" s="83" t="str">
        <f>HYPERLINK("https://twitter.com/umempreendedor/status/1654486111882715141")</f>
        <v>https://twitter.com/umempreendedor/status/1654486111882715141</v>
      </c>
      <c r="AF1458" s="79">
        <v>45051.583356481482</v>
      </c>
      <c r="AG1458" s="85">
        <v>45051</v>
      </c>
      <c r="AH1458" s="80" t="s">
        <v>10845</v>
      </c>
      <c r="AI1458" s="77" t="b">
        <v>0</v>
      </c>
      <c r="AJ1458" s="77"/>
      <c r="AK1458" s="77"/>
      <c r="AL1458" s="77"/>
      <c r="AM1458" s="77"/>
      <c r="AN1458" s="77"/>
      <c r="AO1458" s="77"/>
      <c r="AP1458" s="77"/>
      <c r="AQ1458" s="77" t="s">
        <v>15021</v>
      </c>
      <c r="AR1458" s="77"/>
      <c r="AS1458" s="77"/>
      <c r="AT1458" s="77"/>
      <c r="AU1458" s="77"/>
      <c r="AV1458" s="83" t="str">
        <f>HYPERLINK("https://pbs.twimg.com/media/FvXqWJ6XoAI-BEo.jpg")</f>
        <v>https://pbs.twimg.com/media/FvXqWJ6XoAI-BEo.jpg</v>
      </c>
      <c r="AW1458" s="80" t="s">
        <v>17325</v>
      </c>
      <c r="AX1458" s="80" t="s">
        <v>17325</v>
      </c>
      <c r="AY1458" s="77"/>
      <c r="AZ1458" s="80" t="s">
        <v>20380</v>
      </c>
      <c r="BA1458" s="80" t="s">
        <v>20380</v>
      </c>
      <c r="BB1458" s="80" t="s">
        <v>20380</v>
      </c>
      <c r="BC1458" s="80" t="s">
        <v>17325</v>
      </c>
      <c r="BD1458" s="77">
        <v>61106922</v>
      </c>
      <c r="BE1458" s="77"/>
      <c r="BF1458" s="77"/>
      <c r="BG1458" s="77"/>
      <c r="BH1458" s="77"/>
      <c r="BI1458" s="77"/>
    </row>
    <row r="1459" spans="1:61" x14ac:dyDescent="0.25">
      <c r="A1459" s="62" t="s">
        <v>785</v>
      </c>
      <c r="B1459" s="62" t="s">
        <v>785</v>
      </c>
      <c r="C1459" s="63"/>
      <c r="D1459" s="64"/>
      <c r="E1459" s="65"/>
      <c r="F1459" s="66"/>
      <c r="G1459" s="63"/>
      <c r="H1459" s="67"/>
      <c r="I1459" s="68"/>
      <c r="J1459" s="68"/>
      <c r="K1459" s="32"/>
      <c r="L1459" s="75">
        <v>1459</v>
      </c>
      <c r="M1459" s="75"/>
      <c r="N1459" s="70"/>
      <c r="O1459" s="77" t="s">
        <v>179</v>
      </c>
      <c r="P1459" s="79">
        <v>45053.604456018518</v>
      </c>
      <c r="Q1459" s="77" t="s">
        <v>3355</v>
      </c>
      <c r="R1459" s="77">
        <v>0</v>
      </c>
      <c r="S1459" s="77">
        <v>0</v>
      </c>
      <c r="T1459" s="77">
        <v>0</v>
      </c>
      <c r="U1459" s="77">
        <v>0</v>
      </c>
      <c r="V1459" s="77">
        <v>2</v>
      </c>
      <c r="W1459" s="80" t="s">
        <v>5884</v>
      </c>
      <c r="X1459" s="77"/>
      <c r="Y1459" s="77"/>
      <c r="Z1459" s="77"/>
      <c r="AA1459" s="77"/>
      <c r="AB1459" s="77"/>
      <c r="AC1459" s="80" t="s">
        <v>10540</v>
      </c>
      <c r="AD1459" s="77" t="s">
        <v>10617</v>
      </c>
      <c r="AE1459" s="83" t="str">
        <f>HYPERLINK("https://twitter.com/freireoni/status/1655218534169952259")</f>
        <v>https://twitter.com/freireoni/status/1655218534169952259</v>
      </c>
      <c r="AF1459" s="79">
        <v>45053.604456018518</v>
      </c>
      <c r="AG1459" s="85">
        <v>45053</v>
      </c>
      <c r="AH1459" s="80" t="s">
        <v>11900</v>
      </c>
      <c r="AI1459" s="77"/>
      <c r="AJ1459" s="77" t="s">
        <v>14359</v>
      </c>
      <c r="AK1459" s="77" t="s">
        <v>14382</v>
      </c>
      <c r="AL1459" s="77" t="s">
        <v>14391</v>
      </c>
      <c r="AM1459" s="77" t="s">
        <v>14416</v>
      </c>
      <c r="AN1459" s="77" t="s">
        <v>14456</v>
      </c>
      <c r="AO1459" s="77" t="s">
        <v>14495</v>
      </c>
      <c r="AP1459" s="77" t="s">
        <v>14516</v>
      </c>
      <c r="AQ1459" s="77"/>
      <c r="AR1459" s="77"/>
      <c r="AS1459" s="77"/>
      <c r="AT1459" s="77"/>
      <c r="AU1459" s="77"/>
      <c r="AV1459" s="83" t="str">
        <f>HYPERLINK("https://pbs.twimg.com/profile_images/1153725216138452992/MrbZ3nzs_normal.jpg")</f>
        <v>https://pbs.twimg.com/profile_images/1153725216138452992/MrbZ3nzs_normal.jpg</v>
      </c>
      <c r="AW1459" s="80" t="s">
        <v>17326</v>
      </c>
      <c r="AX1459" s="80" t="s">
        <v>17326</v>
      </c>
      <c r="AY1459" s="77"/>
      <c r="AZ1459" s="80" t="s">
        <v>20380</v>
      </c>
      <c r="BA1459" s="80" t="s">
        <v>20380</v>
      </c>
      <c r="BB1459" s="80" t="s">
        <v>20380</v>
      </c>
      <c r="BC1459" s="80" t="s">
        <v>17326</v>
      </c>
      <c r="BD1459" s="80" t="s">
        <v>20762</v>
      </c>
      <c r="BE1459" s="77"/>
      <c r="BF1459" s="77"/>
      <c r="BG1459" s="77"/>
      <c r="BH1459" s="77"/>
      <c r="BI1459" s="77"/>
    </row>
    <row r="1460" spans="1:61" x14ac:dyDescent="0.25">
      <c r="A1460" s="62" t="s">
        <v>786</v>
      </c>
      <c r="B1460" s="62" t="s">
        <v>786</v>
      </c>
      <c r="C1460" s="63"/>
      <c r="D1460" s="64"/>
      <c r="E1460" s="65"/>
      <c r="F1460" s="66"/>
      <c r="G1460" s="63"/>
      <c r="H1460" s="67"/>
      <c r="I1460" s="68"/>
      <c r="J1460" s="68"/>
      <c r="K1460" s="32"/>
      <c r="L1460" s="75">
        <v>1460</v>
      </c>
      <c r="M1460" s="75"/>
      <c r="N1460" s="70"/>
      <c r="O1460" s="77" t="s">
        <v>179</v>
      </c>
      <c r="P1460" s="79">
        <v>45068.727187500001</v>
      </c>
      <c r="Q1460" s="77" t="s">
        <v>3356</v>
      </c>
      <c r="R1460" s="77">
        <v>0</v>
      </c>
      <c r="S1460" s="77">
        <v>0</v>
      </c>
      <c r="T1460" s="77">
        <v>0</v>
      </c>
      <c r="U1460" s="77">
        <v>0</v>
      </c>
      <c r="V1460" s="77">
        <v>91</v>
      </c>
      <c r="W1460" s="80" t="s">
        <v>6916</v>
      </c>
      <c r="X1460" s="83" t="str">
        <f>HYPERLINK("https://www.eldiariocba.com.ar/nacionales/2023/5/22/ya-pusieron-en-circulacion-el-billete-de-2000-pesos-96610.html")</f>
        <v>https://www.eldiariocba.com.ar/nacionales/2023/5/22/ya-pusieron-en-circulacion-el-billete-de-2000-pesos-96610.html</v>
      </c>
      <c r="Y1460" s="77" t="s">
        <v>8624</v>
      </c>
      <c r="Z1460" s="77"/>
      <c r="AA1460" s="77"/>
      <c r="AB1460" s="77"/>
      <c r="AC1460" s="80" t="s">
        <v>10541</v>
      </c>
      <c r="AD1460" s="77" t="s">
        <v>10620</v>
      </c>
      <c r="AE1460" s="83" t="str">
        <f>HYPERLINK("https://twitter.com/eldiariocba/status/1660698825802039308")</f>
        <v>https://twitter.com/eldiariocba/status/1660698825802039308</v>
      </c>
      <c r="AF1460" s="79">
        <v>45068.727187500001</v>
      </c>
      <c r="AG1460" s="85">
        <v>45068</v>
      </c>
      <c r="AH1460" s="80" t="s">
        <v>11901</v>
      </c>
      <c r="AI1460" s="77" t="b">
        <v>0</v>
      </c>
      <c r="AJ1460" s="77"/>
      <c r="AK1460" s="77"/>
      <c r="AL1460" s="77"/>
      <c r="AM1460" s="77"/>
      <c r="AN1460" s="77"/>
      <c r="AO1460" s="77"/>
      <c r="AP1460" s="77"/>
      <c r="AQ1460" s="77"/>
      <c r="AR1460" s="77"/>
      <c r="AS1460" s="77"/>
      <c r="AT1460" s="77"/>
      <c r="AU1460" s="77"/>
      <c r="AV1460" s="83" t="str">
        <f>HYPERLINK("https://pbs.twimg.com/profile_images/1519904131841855488/8bTL0yz__normal.jpg")</f>
        <v>https://pbs.twimg.com/profile_images/1519904131841855488/8bTL0yz__normal.jpg</v>
      </c>
      <c r="AW1460" s="80" t="s">
        <v>17327</v>
      </c>
      <c r="AX1460" s="80" t="s">
        <v>17327</v>
      </c>
      <c r="AY1460" s="77"/>
      <c r="AZ1460" s="80" t="s">
        <v>20380</v>
      </c>
      <c r="BA1460" s="80" t="s">
        <v>20380</v>
      </c>
      <c r="BB1460" s="80" t="s">
        <v>20380</v>
      </c>
      <c r="BC1460" s="80" t="s">
        <v>17327</v>
      </c>
      <c r="BD1460" s="77">
        <v>262788220</v>
      </c>
      <c r="BE1460" s="77"/>
      <c r="BF1460" s="77"/>
      <c r="BG1460" s="77"/>
      <c r="BH1460" s="77"/>
      <c r="BI1460" s="77"/>
    </row>
    <row r="1461" spans="1:61" x14ac:dyDescent="0.25">
      <c r="A1461" s="62" t="s">
        <v>787</v>
      </c>
      <c r="B1461" s="62" t="s">
        <v>787</v>
      </c>
      <c r="C1461" s="63"/>
      <c r="D1461" s="64"/>
      <c r="E1461" s="65"/>
      <c r="F1461" s="66"/>
      <c r="G1461" s="63"/>
      <c r="H1461" s="67"/>
      <c r="I1461" s="68"/>
      <c r="J1461" s="68"/>
      <c r="K1461" s="32"/>
      <c r="L1461" s="75">
        <v>1461</v>
      </c>
      <c r="M1461" s="75"/>
      <c r="N1461" s="70"/>
      <c r="O1461" s="77" t="s">
        <v>179</v>
      </c>
      <c r="P1461" s="79">
        <v>45163.000011574077</v>
      </c>
      <c r="Q1461" s="77" t="s">
        <v>3357</v>
      </c>
      <c r="R1461" s="77">
        <v>1</v>
      </c>
      <c r="S1461" s="77">
        <v>1</v>
      </c>
      <c r="T1461" s="77">
        <v>0</v>
      </c>
      <c r="U1461" s="77">
        <v>0</v>
      </c>
      <c r="V1461" s="77">
        <v>89</v>
      </c>
      <c r="W1461" s="80" t="s">
        <v>6917</v>
      </c>
      <c r="X1461" s="77"/>
      <c r="Y1461" s="77"/>
      <c r="Z1461" s="77"/>
      <c r="AA1461" s="77" t="s">
        <v>9540</v>
      </c>
      <c r="AB1461" s="77" t="s">
        <v>10535</v>
      </c>
      <c r="AC1461" s="80" t="s">
        <v>10541</v>
      </c>
      <c r="AD1461" s="77" t="s">
        <v>10620</v>
      </c>
      <c r="AE1461" s="83" t="str">
        <f>HYPERLINK("https://twitter.com/bol_teletrabajo/status/1694862154455806381")</f>
        <v>https://twitter.com/bol_teletrabajo/status/1694862154455806381</v>
      </c>
      <c r="AF1461" s="79">
        <v>45163.000011574077</v>
      </c>
      <c r="AG1461" s="85">
        <v>45163</v>
      </c>
      <c r="AH1461" s="80" t="s">
        <v>11210</v>
      </c>
      <c r="AI1461" s="77" t="b">
        <v>0</v>
      </c>
      <c r="AJ1461" s="77"/>
      <c r="AK1461" s="77"/>
      <c r="AL1461" s="77"/>
      <c r="AM1461" s="77"/>
      <c r="AN1461" s="77"/>
      <c r="AO1461" s="77"/>
      <c r="AP1461" s="77"/>
      <c r="AQ1461" s="77" t="s">
        <v>15022</v>
      </c>
      <c r="AR1461" s="77"/>
      <c r="AS1461" s="77"/>
      <c r="AT1461" s="77"/>
      <c r="AU1461" s="77"/>
      <c r="AV1461" s="83" t="str">
        <f>HYPERLINK("https://pbs.twimg.com/media/F4Q8GluWIAAaksX.jpg")</f>
        <v>https://pbs.twimg.com/media/F4Q8GluWIAAaksX.jpg</v>
      </c>
      <c r="AW1461" s="80" t="s">
        <v>17328</v>
      </c>
      <c r="AX1461" s="80" t="s">
        <v>17328</v>
      </c>
      <c r="AY1461" s="77"/>
      <c r="AZ1461" s="80" t="s">
        <v>20380</v>
      </c>
      <c r="BA1461" s="80" t="s">
        <v>20380</v>
      </c>
      <c r="BB1461" s="80" t="s">
        <v>20380</v>
      </c>
      <c r="BC1461" s="80" t="s">
        <v>17328</v>
      </c>
      <c r="BD1461" s="80" t="s">
        <v>20763</v>
      </c>
      <c r="BE1461" s="77"/>
      <c r="BF1461" s="77"/>
      <c r="BG1461" s="77"/>
      <c r="BH1461" s="77"/>
      <c r="BI1461" s="77"/>
    </row>
    <row r="1462" spans="1:61" x14ac:dyDescent="0.25">
      <c r="A1462" s="62" t="s">
        <v>787</v>
      </c>
      <c r="B1462" s="62" t="s">
        <v>787</v>
      </c>
      <c r="C1462" s="63"/>
      <c r="D1462" s="64"/>
      <c r="E1462" s="65"/>
      <c r="F1462" s="66"/>
      <c r="G1462" s="63"/>
      <c r="H1462" s="67"/>
      <c r="I1462" s="68"/>
      <c r="J1462" s="68"/>
      <c r="K1462" s="32"/>
      <c r="L1462" s="75">
        <v>1462</v>
      </c>
      <c r="M1462" s="75"/>
      <c r="N1462" s="70"/>
      <c r="O1462" s="77" t="s">
        <v>179</v>
      </c>
      <c r="P1462" s="79">
        <v>45164.000011574077</v>
      </c>
      <c r="Q1462" s="77" t="s">
        <v>3358</v>
      </c>
      <c r="R1462" s="77">
        <v>0</v>
      </c>
      <c r="S1462" s="77">
        <v>1</v>
      </c>
      <c r="T1462" s="77">
        <v>0</v>
      </c>
      <c r="U1462" s="77">
        <v>0</v>
      </c>
      <c r="V1462" s="77">
        <v>103</v>
      </c>
      <c r="W1462" s="80" t="s">
        <v>6918</v>
      </c>
      <c r="X1462" s="77"/>
      <c r="Y1462" s="77"/>
      <c r="Z1462" s="77"/>
      <c r="AA1462" s="77" t="s">
        <v>9541</v>
      </c>
      <c r="AB1462" s="77" t="s">
        <v>10535</v>
      </c>
      <c r="AC1462" s="80" t="s">
        <v>10541</v>
      </c>
      <c r="AD1462" s="77" t="s">
        <v>10620</v>
      </c>
      <c r="AE1462" s="83" t="str">
        <f>HYPERLINK("https://twitter.com/bol_teletrabajo/status/1695224542413951141")</f>
        <v>https://twitter.com/bol_teletrabajo/status/1695224542413951141</v>
      </c>
      <c r="AF1462" s="79">
        <v>45164.000011574077</v>
      </c>
      <c r="AG1462" s="85">
        <v>45164</v>
      </c>
      <c r="AH1462" s="80" t="s">
        <v>11210</v>
      </c>
      <c r="AI1462" s="77" t="b">
        <v>0</v>
      </c>
      <c r="AJ1462" s="77"/>
      <c r="AK1462" s="77"/>
      <c r="AL1462" s="77"/>
      <c r="AM1462" s="77"/>
      <c r="AN1462" s="77"/>
      <c r="AO1462" s="77"/>
      <c r="AP1462" s="77"/>
      <c r="AQ1462" s="77" t="s">
        <v>15023</v>
      </c>
      <c r="AR1462" s="77"/>
      <c r="AS1462" s="77"/>
      <c r="AT1462" s="77"/>
      <c r="AU1462" s="77"/>
      <c r="AV1462" s="83" t="str">
        <f>HYPERLINK("https://pbs.twimg.com/media/F4TA7NLWoAAGYwa.jpg")</f>
        <v>https://pbs.twimg.com/media/F4TA7NLWoAAGYwa.jpg</v>
      </c>
      <c r="AW1462" s="80" t="s">
        <v>17329</v>
      </c>
      <c r="AX1462" s="80" t="s">
        <v>17329</v>
      </c>
      <c r="AY1462" s="77"/>
      <c r="AZ1462" s="80" t="s">
        <v>20380</v>
      </c>
      <c r="BA1462" s="80" t="s">
        <v>20380</v>
      </c>
      <c r="BB1462" s="80" t="s">
        <v>20380</v>
      </c>
      <c r="BC1462" s="80" t="s">
        <v>17329</v>
      </c>
      <c r="BD1462" s="80" t="s">
        <v>20763</v>
      </c>
      <c r="BE1462" s="77"/>
      <c r="BF1462" s="77"/>
      <c r="BG1462" s="77"/>
      <c r="BH1462" s="77"/>
      <c r="BI1462" s="77"/>
    </row>
    <row r="1463" spans="1:61" x14ac:dyDescent="0.25">
      <c r="A1463" s="62" t="s">
        <v>788</v>
      </c>
      <c r="B1463" s="62" t="s">
        <v>1810</v>
      </c>
      <c r="C1463" s="63"/>
      <c r="D1463" s="64"/>
      <c r="E1463" s="65"/>
      <c r="F1463" s="66"/>
      <c r="G1463" s="63"/>
      <c r="H1463" s="67"/>
      <c r="I1463" s="68"/>
      <c r="J1463" s="68"/>
      <c r="K1463" s="32"/>
      <c r="L1463" s="75">
        <v>1463</v>
      </c>
      <c r="M1463" s="75"/>
      <c r="N1463" s="70"/>
      <c r="O1463" s="77" t="s">
        <v>2081</v>
      </c>
      <c r="P1463" s="79">
        <v>45150.933136574073</v>
      </c>
      <c r="Q1463" s="77" t="s">
        <v>3359</v>
      </c>
      <c r="R1463" s="77">
        <v>0</v>
      </c>
      <c r="S1463" s="77">
        <v>0</v>
      </c>
      <c r="T1463" s="77">
        <v>0</v>
      </c>
      <c r="U1463" s="77">
        <v>0</v>
      </c>
      <c r="V1463" s="77">
        <v>358</v>
      </c>
      <c r="W1463" s="80" t="s">
        <v>6919</v>
      </c>
      <c r="X1463" s="77"/>
      <c r="Y1463" s="77"/>
      <c r="Z1463" s="77" t="s">
        <v>1810</v>
      </c>
      <c r="AA1463" s="77" t="s">
        <v>9542</v>
      </c>
      <c r="AB1463" s="77" t="s">
        <v>10534</v>
      </c>
      <c r="AC1463" s="80" t="s">
        <v>10542</v>
      </c>
      <c r="AD1463" s="77" t="s">
        <v>10620</v>
      </c>
      <c r="AE1463" s="83" t="str">
        <f>HYPERLINK("https://twitter.com/miguelbraunn/status/1690489267552727040")</f>
        <v>https://twitter.com/miguelbraunn/status/1690489267552727040</v>
      </c>
      <c r="AF1463" s="79">
        <v>45150.933136574073</v>
      </c>
      <c r="AG1463" s="85">
        <v>45150</v>
      </c>
      <c r="AH1463" s="80" t="s">
        <v>11902</v>
      </c>
      <c r="AI1463" s="77" t="b">
        <v>0</v>
      </c>
      <c r="AJ1463" s="77"/>
      <c r="AK1463" s="77"/>
      <c r="AL1463" s="77"/>
      <c r="AM1463" s="77"/>
      <c r="AN1463" s="77"/>
      <c r="AO1463" s="77"/>
      <c r="AP1463" s="77"/>
      <c r="AQ1463" s="77" t="s">
        <v>15024</v>
      </c>
      <c r="AR1463" s="77">
        <v>31696</v>
      </c>
      <c r="AS1463" s="77"/>
      <c r="AT1463" s="77"/>
      <c r="AU1463" s="77"/>
      <c r="AV1463" s="83" t="str">
        <f>HYPERLINK("https://pbs.twimg.com/ext_tw_video_thumb/1690489166671323136/pu/img/A25nroSf5rmL_zI7.jpg")</f>
        <v>https://pbs.twimg.com/ext_tw_video_thumb/1690489166671323136/pu/img/A25nroSf5rmL_zI7.jpg</v>
      </c>
      <c r="AW1463" s="80" t="s">
        <v>17330</v>
      </c>
      <c r="AX1463" s="80" t="s">
        <v>17330</v>
      </c>
      <c r="AY1463" s="77"/>
      <c r="AZ1463" s="80" t="s">
        <v>20380</v>
      </c>
      <c r="BA1463" s="80" t="s">
        <v>20380</v>
      </c>
      <c r="BB1463" s="80" t="s">
        <v>20380</v>
      </c>
      <c r="BC1463" s="80" t="s">
        <v>17330</v>
      </c>
      <c r="BD1463" s="77">
        <v>214626795</v>
      </c>
      <c r="BE1463" s="77"/>
      <c r="BF1463" s="77"/>
      <c r="BG1463" s="77"/>
      <c r="BH1463" s="77"/>
      <c r="BI1463" s="77"/>
    </row>
    <row r="1464" spans="1:61" x14ac:dyDescent="0.25">
      <c r="A1464" s="62" t="s">
        <v>789</v>
      </c>
      <c r="B1464" s="62" t="s">
        <v>789</v>
      </c>
      <c r="C1464" s="63"/>
      <c r="D1464" s="64"/>
      <c r="E1464" s="65"/>
      <c r="F1464" s="66"/>
      <c r="G1464" s="63"/>
      <c r="H1464" s="67"/>
      <c r="I1464" s="68"/>
      <c r="J1464" s="68"/>
      <c r="K1464" s="32"/>
      <c r="L1464" s="75">
        <v>1464</v>
      </c>
      <c r="M1464" s="75"/>
      <c r="N1464" s="70"/>
      <c r="O1464" s="77" t="s">
        <v>179</v>
      </c>
      <c r="P1464" s="79">
        <v>45175.51767361111</v>
      </c>
      <c r="Q1464" s="77" t="s">
        <v>3360</v>
      </c>
      <c r="R1464" s="77">
        <v>0</v>
      </c>
      <c r="S1464" s="77">
        <v>0</v>
      </c>
      <c r="T1464" s="77">
        <v>0</v>
      </c>
      <c r="U1464" s="77">
        <v>0</v>
      </c>
      <c r="V1464" s="77">
        <v>12</v>
      </c>
      <c r="W1464" s="80" t="s">
        <v>6920</v>
      </c>
      <c r="X1464" s="83" t="str">
        <f>HYPERLINK("https://www.informaciondemercados.cl/2023/09/noticia-diaria-banco-central-recorta-tasa-de-interes-en-75-puntos-base-hasta-95/")</f>
        <v>https://www.informaciondemercados.cl/2023/09/noticia-diaria-banco-central-recorta-tasa-de-interes-en-75-puntos-base-hasta-95/</v>
      </c>
      <c r="Y1464" s="77" t="s">
        <v>8752</v>
      </c>
      <c r="Z1464" s="77"/>
      <c r="AA1464" s="77"/>
      <c r="AB1464" s="77"/>
      <c r="AC1464" s="80" t="s">
        <v>10541</v>
      </c>
      <c r="AD1464" s="77" t="s">
        <v>10620</v>
      </c>
      <c r="AE1464" s="83" t="str">
        <f>HYPERLINK("https://twitter.com/imercadoscl/status/1699398403678175528")</f>
        <v>https://twitter.com/imercadoscl/status/1699398403678175528</v>
      </c>
      <c r="AF1464" s="79">
        <v>45175.51767361111</v>
      </c>
      <c r="AG1464" s="85">
        <v>45175</v>
      </c>
      <c r="AH1464" s="80" t="s">
        <v>11903</v>
      </c>
      <c r="AI1464" s="77" t="b">
        <v>0</v>
      </c>
      <c r="AJ1464" s="77"/>
      <c r="AK1464" s="77"/>
      <c r="AL1464" s="77"/>
      <c r="AM1464" s="77"/>
      <c r="AN1464" s="77"/>
      <c r="AO1464" s="77"/>
      <c r="AP1464" s="77"/>
      <c r="AQ1464" s="77"/>
      <c r="AR1464" s="77"/>
      <c r="AS1464" s="77"/>
      <c r="AT1464" s="77"/>
      <c r="AU1464" s="77"/>
      <c r="AV1464" s="83" t="str">
        <f>HYPERLINK("https://pbs.twimg.com/profile_images/914947150672474112/yccvY1T__normal.jpg")</f>
        <v>https://pbs.twimg.com/profile_images/914947150672474112/yccvY1T__normal.jpg</v>
      </c>
      <c r="AW1464" s="80" t="s">
        <v>17331</v>
      </c>
      <c r="AX1464" s="80" t="s">
        <v>17331</v>
      </c>
      <c r="AY1464" s="77"/>
      <c r="AZ1464" s="80" t="s">
        <v>20380</v>
      </c>
      <c r="BA1464" s="80" t="s">
        <v>20380</v>
      </c>
      <c r="BB1464" s="80" t="s">
        <v>20380</v>
      </c>
      <c r="BC1464" s="80" t="s">
        <v>17331</v>
      </c>
      <c r="BD1464" s="80" t="s">
        <v>20764</v>
      </c>
      <c r="BE1464" s="77"/>
      <c r="BF1464" s="77"/>
      <c r="BG1464" s="77"/>
      <c r="BH1464" s="77"/>
      <c r="BI1464" s="77"/>
    </row>
    <row r="1465" spans="1:61" x14ac:dyDescent="0.25">
      <c r="A1465" s="62" t="s">
        <v>789</v>
      </c>
      <c r="B1465" s="62" t="s">
        <v>789</v>
      </c>
      <c r="C1465" s="63"/>
      <c r="D1465" s="64"/>
      <c r="E1465" s="65"/>
      <c r="F1465" s="66"/>
      <c r="G1465" s="63"/>
      <c r="H1465" s="67"/>
      <c r="I1465" s="68"/>
      <c r="J1465" s="68"/>
      <c r="K1465" s="32"/>
      <c r="L1465" s="75">
        <v>1465</v>
      </c>
      <c r="M1465" s="75"/>
      <c r="N1465" s="70"/>
      <c r="O1465" s="77" t="s">
        <v>179</v>
      </c>
      <c r="P1465" s="79">
        <v>45175.865289351852</v>
      </c>
      <c r="Q1465" s="77" t="s">
        <v>3361</v>
      </c>
      <c r="R1465" s="77">
        <v>0</v>
      </c>
      <c r="S1465" s="77">
        <v>0</v>
      </c>
      <c r="T1465" s="77">
        <v>0</v>
      </c>
      <c r="U1465" s="77">
        <v>0</v>
      </c>
      <c r="V1465" s="77">
        <v>12</v>
      </c>
      <c r="W1465" s="80" t="s">
        <v>6920</v>
      </c>
      <c r="X1465" s="83" t="str">
        <f>HYPERLINK("https://www.informaciondemercados.cl/2023/09/noticia-diaria-banco-central-recorta-tasa-de-interes-en-75-puntos-base-hasta-95/")</f>
        <v>https://www.informaciondemercados.cl/2023/09/noticia-diaria-banco-central-recorta-tasa-de-interes-en-75-puntos-base-hasta-95/</v>
      </c>
      <c r="Y1465" s="77" t="s">
        <v>8752</v>
      </c>
      <c r="Z1465" s="77"/>
      <c r="AA1465" s="77"/>
      <c r="AB1465" s="77"/>
      <c r="AC1465" s="80" t="s">
        <v>10541</v>
      </c>
      <c r="AD1465" s="77" t="s">
        <v>10620</v>
      </c>
      <c r="AE1465" s="83" t="str">
        <f>HYPERLINK("https://twitter.com/imercadoscl/status/1699524376981299611")</f>
        <v>https://twitter.com/imercadoscl/status/1699524376981299611</v>
      </c>
      <c r="AF1465" s="79">
        <v>45175.865289351852</v>
      </c>
      <c r="AG1465" s="85">
        <v>45175</v>
      </c>
      <c r="AH1465" s="80" t="s">
        <v>11904</v>
      </c>
      <c r="AI1465" s="77" t="b">
        <v>0</v>
      </c>
      <c r="AJ1465" s="77"/>
      <c r="AK1465" s="77"/>
      <c r="AL1465" s="77"/>
      <c r="AM1465" s="77"/>
      <c r="AN1465" s="77"/>
      <c r="AO1465" s="77"/>
      <c r="AP1465" s="77"/>
      <c r="AQ1465" s="77"/>
      <c r="AR1465" s="77"/>
      <c r="AS1465" s="77"/>
      <c r="AT1465" s="77"/>
      <c r="AU1465" s="77"/>
      <c r="AV1465" s="83" t="str">
        <f>HYPERLINK("https://pbs.twimg.com/profile_images/914947150672474112/yccvY1T__normal.jpg")</f>
        <v>https://pbs.twimg.com/profile_images/914947150672474112/yccvY1T__normal.jpg</v>
      </c>
      <c r="AW1465" s="80" t="s">
        <v>17332</v>
      </c>
      <c r="AX1465" s="80" t="s">
        <v>17332</v>
      </c>
      <c r="AY1465" s="77"/>
      <c r="AZ1465" s="80" t="s">
        <v>20380</v>
      </c>
      <c r="BA1465" s="80" t="s">
        <v>20380</v>
      </c>
      <c r="BB1465" s="80" t="s">
        <v>20380</v>
      </c>
      <c r="BC1465" s="80" t="s">
        <v>17332</v>
      </c>
      <c r="BD1465" s="80" t="s">
        <v>20764</v>
      </c>
      <c r="BE1465" s="77"/>
      <c r="BF1465" s="77"/>
      <c r="BG1465" s="77"/>
      <c r="BH1465" s="77"/>
      <c r="BI1465" s="77"/>
    </row>
    <row r="1466" spans="1:61" x14ac:dyDescent="0.25">
      <c r="A1466" s="62" t="s">
        <v>789</v>
      </c>
      <c r="B1466" s="62" t="s">
        <v>789</v>
      </c>
      <c r="C1466" s="63"/>
      <c r="D1466" s="64"/>
      <c r="E1466" s="65"/>
      <c r="F1466" s="66"/>
      <c r="G1466" s="63"/>
      <c r="H1466" s="67"/>
      <c r="I1466" s="68"/>
      <c r="J1466" s="68"/>
      <c r="K1466" s="32"/>
      <c r="L1466" s="75">
        <v>1466</v>
      </c>
      <c r="M1466" s="75"/>
      <c r="N1466" s="70"/>
      <c r="O1466" s="77" t="s">
        <v>179</v>
      </c>
      <c r="P1466" s="79">
        <v>45138.896226851852</v>
      </c>
      <c r="Q1466" s="77" t="s">
        <v>3362</v>
      </c>
      <c r="R1466" s="77">
        <v>0</v>
      </c>
      <c r="S1466" s="77">
        <v>0</v>
      </c>
      <c r="T1466" s="77">
        <v>0</v>
      </c>
      <c r="U1466" s="77">
        <v>0</v>
      </c>
      <c r="V1466" s="77">
        <v>8</v>
      </c>
      <c r="W1466" s="80" t="s">
        <v>6921</v>
      </c>
      <c r="X1466" s="83" t="str">
        <f>HYPERLINK("https://www.informaciondemercados.cl/2023/07/noticia-diaria-banco-central-reduce-la-tpm-en-100-puntos-base-hasta-1025/")</f>
        <v>https://www.informaciondemercados.cl/2023/07/noticia-diaria-banco-central-reduce-la-tpm-en-100-puntos-base-hasta-1025/</v>
      </c>
      <c r="Y1466" s="77" t="s">
        <v>8752</v>
      </c>
      <c r="Z1466" s="77"/>
      <c r="AA1466" s="77"/>
      <c r="AB1466" s="77"/>
      <c r="AC1466" s="80" t="s">
        <v>10541</v>
      </c>
      <c r="AD1466" s="77" t="s">
        <v>10620</v>
      </c>
      <c r="AE1466" s="83" t="str">
        <f>HYPERLINK("https://twitter.com/imercadoscl/status/1686127234505990145")</f>
        <v>https://twitter.com/imercadoscl/status/1686127234505990145</v>
      </c>
      <c r="AF1466" s="79">
        <v>45138.896226851852</v>
      </c>
      <c r="AG1466" s="85">
        <v>45138</v>
      </c>
      <c r="AH1466" s="80" t="s">
        <v>11905</v>
      </c>
      <c r="AI1466" s="77" t="b">
        <v>0</v>
      </c>
      <c r="AJ1466" s="77"/>
      <c r="AK1466" s="77"/>
      <c r="AL1466" s="77"/>
      <c r="AM1466" s="77"/>
      <c r="AN1466" s="77"/>
      <c r="AO1466" s="77"/>
      <c r="AP1466" s="77"/>
      <c r="AQ1466" s="77"/>
      <c r="AR1466" s="77"/>
      <c r="AS1466" s="77"/>
      <c r="AT1466" s="77"/>
      <c r="AU1466" s="77"/>
      <c r="AV1466" s="83" t="str">
        <f>HYPERLINK("https://pbs.twimg.com/profile_images/914947150672474112/yccvY1T__normal.jpg")</f>
        <v>https://pbs.twimg.com/profile_images/914947150672474112/yccvY1T__normal.jpg</v>
      </c>
      <c r="AW1466" s="80" t="s">
        <v>17333</v>
      </c>
      <c r="AX1466" s="80" t="s">
        <v>17333</v>
      </c>
      <c r="AY1466" s="77"/>
      <c r="AZ1466" s="80" t="s">
        <v>20380</v>
      </c>
      <c r="BA1466" s="80" t="s">
        <v>20380</v>
      </c>
      <c r="BB1466" s="80" t="s">
        <v>20380</v>
      </c>
      <c r="BC1466" s="80" t="s">
        <v>17333</v>
      </c>
      <c r="BD1466" s="80" t="s">
        <v>20764</v>
      </c>
      <c r="BE1466" s="77"/>
      <c r="BF1466" s="77"/>
      <c r="BG1466" s="77"/>
      <c r="BH1466" s="77"/>
      <c r="BI1466" s="77"/>
    </row>
    <row r="1467" spans="1:61" x14ac:dyDescent="0.25">
      <c r="A1467" s="62" t="s">
        <v>789</v>
      </c>
      <c r="B1467" s="62" t="s">
        <v>789</v>
      </c>
      <c r="C1467" s="63"/>
      <c r="D1467" s="64"/>
      <c r="E1467" s="65"/>
      <c r="F1467" s="66"/>
      <c r="G1467" s="63"/>
      <c r="H1467" s="67"/>
      <c r="I1467" s="68"/>
      <c r="J1467" s="68"/>
      <c r="K1467" s="32"/>
      <c r="L1467" s="75">
        <v>1467</v>
      </c>
      <c r="M1467" s="75"/>
      <c r="N1467" s="70"/>
      <c r="O1467" s="77" t="s">
        <v>179</v>
      </c>
      <c r="P1467" s="79">
        <v>45138.557025462964</v>
      </c>
      <c r="Q1467" s="77" t="s">
        <v>3363</v>
      </c>
      <c r="R1467" s="77">
        <v>0</v>
      </c>
      <c r="S1467" s="77">
        <v>0</v>
      </c>
      <c r="T1467" s="77">
        <v>0</v>
      </c>
      <c r="U1467" s="77">
        <v>0</v>
      </c>
      <c r="V1467" s="77">
        <v>5</v>
      </c>
      <c r="W1467" s="80" t="s">
        <v>6921</v>
      </c>
      <c r="X1467" s="83" t="str">
        <f>HYPERLINK("https://www.informaciondemercados.cl/2023/07/noticia-diaria-banco-central-reduce-la-tpm-en-100-puntos-base-hasta-1025/")</f>
        <v>https://www.informaciondemercados.cl/2023/07/noticia-diaria-banco-central-reduce-la-tpm-en-100-puntos-base-hasta-1025/</v>
      </c>
      <c r="Y1467" s="77" t="s">
        <v>8752</v>
      </c>
      <c r="Z1467" s="77"/>
      <c r="AA1467" s="77"/>
      <c r="AB1467" s="77"/>
      <c r="AC1467" s="80" t="s">
        <v>10541</v>
      </c>
      <c r="AD1467" s="77" t="s">
        <v>10620</v>
      </c>
      <c r="AE1467" s="83" t="str">
        <f>HYPERLINK("https://twitter.com/imercadoscl/status/1686004313145913344")</f>
        <v>https://twitter.com/imercadoscl/status/1686004313145913344</v>
      </c>
      <c r="AF1467" s="79">
        <v>45138.557025462964</v>
      </c>
      <c r="AG1467" s="85">
        <v>45138</v>
      </c>
      <c r="AH1467" s="80" t="s">
        <v>11906</v>
      </c>
      <c r="AI1467" s="77" t="b">
        <v>0</v>
      </c>
      <c r="AJ1467" s="77"/>
      <c r="AK1467" s="77"/>
      <c r="AL1467" s="77"/>
      <c r="AM1467" s="77"/>
      <c r="AN1467" s="77"/>
      <c r="AO1467" s="77"/>
      <c r="AP1467" s="77"/>
      <c r="AQ1467" s="77"/>
      <c r="AR1467" s="77"/>
      <c r="AS1467" s="77"/>
      <c r="AT1467" s="77"/>
      <c r="AU1467" s="77"/>
      <c r="AV1467" s="83" t="str">
        <f>HYPERLINK("https://pbs.twimg.com/profile_images/914947150672474112/yccvY1T__normal.jpg")</f>
        <v>https://pbs.twimg.com/profile_images/914947150672474112/yccvY1T__normal.jpg</v>
      </c>
      <c r="AW1467" s="80" t="s">
        <v>17334</v>
      </c>
      <c r="AX1467" s="80" t="s">
        <v>17334</v>
      </c>
      <c r="AY1467" s="77"/>
      <c r="AZ1467" s="80" t="s">
        <v>20380</v>
      </c>
      <c r="BA1467" s="80" t="s">
        <v>20380</v>
      </c>
      <c r="BB1467" s="80" t="s">
        <v>20380</v>
      </c>
      <c r="BC1467" s="80" t="s">
        <v>17334</v>
      </c>
      <c r="BD1467" s="80" t="s">
        <v>20764</v>
      </c>
      <c r="BE1467" s="77"/>
      <c r="BF1467" s="77"/>
      <c r="BG1467" s="77"/>
      <c r="BH1467" s="77"/>
      <c r="BI1467" s="77"/>
    </row>
    <row r="1468" spans="1:61" x14ac:dyDescent="0.25">
      <c r="A1468" s="62" t="s">
        <v>790</v>
      </c>
      <c r="B1468" s="62" t="s">
        <v>790</v>
      </c>
      <c r="C1468" s="63"/>
      <c r="D1468" s="64"/>
      <c r="E1468" s="65"/>
      <c r="F1468" s="66"/>
      <c r="G1468" s="63"/>
      <c r="H1468" s="67"/>
      <c r="I1468" s="68"/>
      <c r="J1468" s="68"/>
      <c r="K1468" s="32"/>
      <c r="L1468" s="75">
        <v>1468</v>
      </c>
      <c r="M1468" s="75"/>
      <c r="N1468" s="70"/>
      <c r="O1468" s="77" t="s">
        <v>179</v>
      </c>
      <c r="P1468" s="79">
        <v>45163.459143518521</v>
      </c>
      <c r="Q1468" s="77" t="s">
        <v>3364</v>
      </c>
      <c r="R1468" s="77">
        <v>0</v>
      </c>
      <c r="S1468" s="77">
        <v>2</v>
      </c>
      <c r="T1468" s="77">
        <v>1</v>
      </c>
      <c r="U1468" s="77">
        <v>0</v>
      </c>
      <c r="V1468" s="77">
        <v>1042</v>
      </c>
      <c r="W1468" s="80" t="s">
        <v>6922</v>
      </c>
      <c r="X1468" s="83" t="str">
        <f>HYPERLINK("https://www.moneytimes.com.br/o-sinal-amarelo-com-os-dados-da-inflacao-segundo-gestora-de-ex-bc/")</f>
        <v>https://www.moneytimes.com.br/o-sinal-amarelo-com-os-dados-da-inflacao-segundo-gestora-de-ex-bc/</v>
      </c>
      <c r="Y1468" s="77" t="s">
        <v>8611</v>
      </c>
      <c r="Z1468" s="77"/>
      <c r="AA1468" s="77"/>
      <c r="AB1468" s="77"/>
      <c r="AC1468" s="80" t="s">
        <v>10558</v>
      </c>
      <c r="AD1468" s="77" t="s">
        <v>10617</v>
      </c>
      <c r="AE1468" s="83" t="str">
        <f>HYPERLINK("https://twitter.com/leiamoneytimes/status/1695028537579667593")</f>
        <v>https://twitter.com/leiamoneytimes/status/1695028537579667593</v>
      </c>
      <c r="AF1468" s="79">
        <v>45163.459143518521</v>
      </c>
      <c r="AG1468" s="85">
        <v>45163</v>
      </c>
      <c r="AH1468" s="80" t="s">
        <v>11907</v>
      </c>
      <c r="AI1468" s="77" t="b">
        <v>0</v>
      </c>
      <c r="AJ1468" s="77"/>
      <c r="AK1468" s="77"/>
      <c r="AL1468" s="77"/>
      <c r="AM1468" s="77"/>
      <c r="AN1468" s="77"/>
      <c r="AO1468" s="77"/>
      <c r="AP1468" s="77"/>
      <c r="AQ1468" s="77"/>
      <c r="AR1468" s="77"/>
      <c r="AS1468" s="77"/>
      <c r="AT1468" s="77"/>
      <c r="AU1468" s="77"/>
      <c r="AV1468" s="83" t="str">
        <f>HYPERLINK("https://pbs.twimg.com/profile_images/1559883556846977024/bXHnQFY0_normal.jpg")</f>
        <v>https://pbs.twimg.com/profile_images/1559883556846977024/bXHnQFY0_normal.jpg</v>
      </c>
      <c r="AW1468" s="80" t="s">
        <v>17335</v>
      </c>
      <c r="AX1468" s="80" t="s">
        <v>17335</v>
      </c>
      <c r="AY1468" s="77"/>
      <c r="AZ1468" s="80" t="s">
        <v>20380</v>
      </c>
      <c r="BA1468" s="80" t="s">
        <v>20380</v>
      </c>
      <c r="BB1468" s="80" t="s">
        <v>20380</v>
      </c>
      <c r="BC1468" s="80" t="s">
        <v>17335</v>
      </c>
      <c r="BD1468" s="77">
        <v>51150679</v>
      </c>
      <c r="BE1468" s="77"/>
      <c r="BF1468" s="77"/>
      <c r="BG1468" s="77"/>
      <c r="BH1468" s="77"/>
      <c r="BI1468" s="77"/>
    </row>
    <row r="1469" spans="1:61" x14ac:dyDescent="0.25">
      <c r="A1469" s="62" t="s">
        <v>790</v>
      </c>
      <c r="B1469" s="62" t="s">
        <v>790</v>
      </c>
      <c r="C1469" s="63"/>
      <c r="D1469" s="64"/>
      <c r="E1469" s="65"/>
      <c r="F1469" s="66"/>
      <c r="G1469" s="63"/>
      <c r="H1469" s="67"/>
      <c r="I1469" s="68"/>
      <c r="J1469" s="68"/>
      <c r="K1469" s="32"/>
      <c r="L1469" s="75">
        <v>1469</v>
      </c>
      <c r="M1469" s="75"/>
      <c r="N1469" s="70"/>
      <c r="O1469" s="77" t="s">
        <v>179</v>
      </c>
      <c r="P1469" s="79">
        <v>45154.948692129627</v>
      </c>
      <c r="Q1469" s="77" t="s">
        <v>3365</v>
      </c>
      <c r="R1469" s="77">
        <v>0</v>
      </c>
      <c r="S1469" s="77">
        <v>4</v>
      </c>
      <c r="T1469" s="77">
        <v>1</v>
      </c>
      <c r="U1469" s="77">
        <v>0</v>
      </c>
      <c r="V1469" s="77">
        <v>1194</v>
      </c>
      <c r="W1469" s="80" t="s">
        <v>6923</v>
      </c>
      <c r="X1469" s="83" t="str">
        <f>HYPERLINK("https://www.moneytimes.com.br/campos-neto-ajuda-lula-saiba-um-dos-principais-motivos-da-aprovacao-do-governo/")</f>
        <v>https://www.moneytimes.com.br/campos-neto-ajuda-lula-saiba-um-dos-principais-motivos-da-aprovacao-do-governo/</v>
      </c>
      <c r="Y1469" s="77" t="s">
        <v>8611</v>
      </c>
      <c r="Z1469" s="77"/>
      <c r="AA1469" s="77"/>
      <c r="AB1469" s="77"/>
      <c r="AC1469" s="80" t="s">
        <v>10558</v>
      </c>
      <c r="AD1469" s="77" t="s">
        <v>10617</v>
      </c>
      <c r="AE1469" s="83" t="str">
        <f>HYPERLINK("https://twitter.com/leiamoneytimes/status/1691944456210018634")</f>
        <v>https://twitter.com/leiamoneytimes/status/1691944456210018634</v>
      </c>
      <c r="AF1469" s="79">
        <v>45154.948692129627</v>
      </c>
      <c r="AG1469" s="85">
        <v>45154</v>
      </c>
      <c r="AH1469" s="80" t="s">
        <v>11908</v>
      </c>
      <c r="AI1469" s="77" t="b">
        <v>0</v>
      </c>
      <c r="AJ1469" s="77"/>
      <c r="AK1469" s="77"/>
      <c r="AL1469" s="77"/>
      <c r="AM1469" s="77"/>
      <c r="AN1469" s="77"/>
      <c r="AO1469" s="77"/>
      <c r="AP1469" s="77"/>
      <c r="AQ1469" s="77"/>
      <c r="AR1469" s="77"/>
      <c r="AS1469" s="77"/>
      <c r="AT1469" s="77"/>
      <c r="AU1469" s="77"/>
      <c r="AV1469" s="83" t="str">
        <f>HYPERLINK("https://pbs.twimg.com/profile_images/1559883556846977024/bXHnQFY0_normal.jpg")</f>
        <v>https://pbs.twimg.com/profile_images/1559883556846977024/bXHnQFY0_normal.jpg</v>
      </c>
      <c r="AW1469" s="80" t="s">
        <v>17336</v>
      </c>
      <c r="AX1469" s="80" t="s">
        <v>17336</v>
      </c>
      <c r="AY1469" s="77"/>
      <c r="AZ1469" s="80" t="s">
        <v>20380</v>
      </c>
      <c r="BA1469" s="80" t="s">
        <v>20380</v>
      </c>
      <c r="BB1469" s="80" t="s">
        <v>20380</v>
      </c>
      <c r="BC1469" s="80" t="s">
        <v>17336</v>
      </c>
      <c r="BD1469" s="77">
        <v>51150679</v>
      </c>
      <c r="BE1469" s="77"/>
      <c r="BF1469" s="77"/>
      <c r="BG1469" s="77"/>
      <c r="BH1469" s="77"/>
      <c r="BI1469" s="77"/>
    </row>
    <row r="1470" spans="1:61" x14ac:dyDescent="0.25">
      <c r="A1470" s="62" t="s">
        <v>790</v>
      </c>
      <c r="B1470" s="62" t="s">
        <v>790</v>
      </c>
      <c r="C1470" s="63"/>
      <c r="D1470" s="64"/>
      <c r="E1470" s="65"/>
      <c r="F1470" s="66"/>
      <c r="G1470" s="63"/>
      <c r="H1470" s="67"/>
      <c r="I1470" s="68"/>
      <c r="J1470" s="68"/>
      <c r="K1470" s="32"/>
      <c r="L1470" s="75">
        <v>1470</v>
      </c>
      <c r="M1470" s="75"/>
      <c r="N1470" s="70"/>
      <c r="O1470" s="77" t="s">
        <v>179</v>
      </c>
      <c r="P1470" s="79">
        <v>45154.66269675926</v>
      </c>
      <c r="Q1470" s="77" t="s">
        <v>3366</v>
      </c>
      <c r="R1470" s="77">
        <v>0</v>
      </c>
      <c r="S1470" s="77">
        <v>0</v>
      </c>
      <c r="T1470" s="77">
        <v>2</v>
      </c>
      <c r="U1470" s="77">
        <v>0</v>
      </c>
      <c r="V1470" s="77">
        <v>1073</v>
      </c>
      <c r="W1470" s="80" t="s">
        <v>6924</v>
      </c>
      <c r="X1470" s="83" t="str">
        <f>HYPERLINK("https://www.moneytimes.com.br/onde-campos-neto-acha-que-a-argentina-errou/")</f>
        <v>https://www.moneytimes.com.br/onde-campos-neto-acha-que-a-argentina-errou/</v>
      </c>
      <c r="Y1470" s="77" t="s">
        <v>8611</v>
      </c>
      <c r="Z1470" s="77"/>
      <c r="AA1470" s="77"/>
      <c r="AB1470" s="77"/>
      <c r="AC1470" s="80" t="s">
        <v>10558</v>
      </c>
      <c r="AD1470" s="77" t="s">
        <v>10617</v>
      </c>
      <c r="AE1470" s="83" t="str">
        <f>HYPERLINK("https://twitter.com/leiamoneytimes/status/1691840813888684125")</f>
        <v>https://twitter.com/leiamoneytimes/status/1691840813888684125</v>
      </c>
      <c r="AF1470" s="79">
        <v>45154.66269675926</v>
      </c>
      <c r="AG1470" s="85">
        <v>45154</v>
      </c>
      <c r="AH1470" s="80" t="s">
        <v>11909</v>
      </c>
      <c r="AI1470" s="77" t="b">
        <v>0</v>
      </c>
      <c r="AJ1470" s="77"/>
      <c r="AK1470" s="77"/>
      <c r="AL1470" s="77"/>
      <c r="AM1470" s="77"/>
      <c r="AN1470" s="77"/>
      <c r="AO1470" s="77"/>
      <c r="AP1470" s="77"/>
      <c r="AQ1470" s="77"/>
      <c r="AR1470" s="77"/>
      <c r="AS1470" s="77"/>
      <c r="AT1470" s="77"/>
      <c r="AU1470" s="77"/>
      <c r="AV1470" s="83" t="str">
        <f>HYPERLINK("https://pbs.twimg.com/profile_images/1559883556846977024/bXHnQFY0_normal.jpg")</f>
        <v>https://pbs.twimg.com/profile_images/1559883556846977024/bXHnQFY0_normal.jpg</v>
      </c>
      <c r="AW1470" s="80" t="s">
        <v>17337</v>
      </c>
      <c r="AX1470" s="80" t="s">
        <v>17337</v>
      </c>
      <c r="AY1470" s="77"/>
      <c r="AZ1470" s="80" t="s">
        <v>20380</v>
      </c>
      <c r="BA1470" s="80" t="s">
        <v>20380</v>
      </c>
      <c r="BB1470" s="80" t="s">
        <v>20380</v>
      </c>
      <c r="BC1470" s="80" t="s">
        <v>17337</v>
      </c>
      <c r="BD1470" s="77">
        <v>51150679</v>
      </c>
      <c r="BE1470" s="77"/>
      <c r="BF1470" s="77"/>
      <c r="BG1470" s="77"/>
      <c r="BH1470" s="77"/>
      <c r="BI1470" s="77"/>
    </row>
    <row r="1471" spans="1:61" x14ac:dyDescent="0.25">
      <c r="A1471" s="62" t="s">
        <v>790</v>
      </c>
      <c r="B1471" s="62" t="s">
        <v>790</v>
      </c>
      <c r="C1471" s="63"/>
      <c r="D1471" s="64"/>
      <c r="E1471" s="65"/>
      <c r="F1471" s="66"/>
      <c r="G1471" s="63"/>
      <c r="H1471" s="67"/>
      <c r="I1471" s="68"/>
      <c r="J1471" s="68"/>
      <c r="K1471" s="32"/>
      <c r="L1471" s="75">
        <v>1471</v>
      </c>
      <c r="M1471" s="75"/>
      <c r="N1471" s="70"/>
      <c r="O1471" s="77" t="s">
        <v>179</v>
      </c>
      <c r="P1471" s="79">
        <v>45154.60869212963</v>
      </c>
      <c r="Q1471" s="77" t="s">
        <v>3367</v>
      </c>
      <c r="R1471" s="77">
        <v>1</v>
      </c>
      <c r="S1471" s="77">
        <v>16</v>
      </c>
      <c r="T1471" s="77">
        <v>1</v>
      </c>
      <c r="U1471" s="77">
        <v>0</v>
      </c>
      <c r="V1471" s="77">
        <v>1237</v>
      </c>
      <c r="W1471" s="80" t="s">
        <v>6925</v>
      </c>
      <c r="X1471" s="83" t="str">
        <f>HYPERLINK("https://www.moneytimes.com.br/e-ruim-mas-e-bom-campos-neto-avalia-reajuste-no-preco-dos-combustiveis-como-uma-decisao-acertada/")</f>
        <v>https://www.moneytimes.com.br/e-ruim-mas-e-bom-campos-neto-avalia-reajuste-no-preco-dos-combustiveis-como-uma-decisao-acertada/</v>
      </c>
      <c r="Y1471" s="77" t="s">
        <v>8611</v>
      </c>
      <c r="Z1471" s="77"/>
      <c r="AA1471" s="77"/>
      <c r="AB1471" s="77"/>
      <c r="AC1471" s="80" t="s">
        <v>10558</v>
      </c>
      <c r="AD1471" s="77" t="s">
        <v>10617</v>
      </c>
      <c r="AE1471" s="83" t="str">
        <f>HYPERLINK("https://twitter.com/leiamoneytimes/status/1691821241924018437")</f>
        <v>https://twitter.com/leiamoneytimes/status/1691821241924018437</v>
      </c>
      <c r="AF1471" s="79">
        <v>45154.60869212963</v>
      </c>
      <c r="AG1471" s="85">
        <v>45154</v>
      </c>
      <c r="AH1471" s="80" t="s">
        <v>11910</v>
      </c>
      <c r="AI1471" s="77" t="b">
        <v>0</v>
      </c>
      <c r="AJ1471" s="77"/>
      <c r="AK1471" s="77"/>
      <c r="AL1471" s="77"/>
      <c r="AM1471" s="77"/>
      <c r="AN1471" s="77"/>
      <c r="AO1471" s="77"/>
      <c r="AP1471" s="77"/>
      <c r="AQ1471" s="77"/>
      <c r="AR1471" s="77"/>
      <c r="AS1471" s="77"/>
      <c r="AT1471" s="77"/>
      <c r="AU1471" s="77"/>
      <c r="AV1471" s="83" t="str">
        <f>HYPERLINK("https://pbs.twimg.com/profile_images/1559883556846977024/bXHnQFY0_normal.jpg")</f>
        <v>https://pbs.twimg.com/profile_images/1559883556846977024/bXHnQFY0_normal.jpg</v>
      </c>
      <c r="AW1471" s="80" t="s">
        <v>17338</v>
      </c>
      <c r="AX1471" s="80" t="s">
        <v>17338</v>
      </c>
      <c r="AY1471" s="77"/>
      <c r="AZ1471" s="80" t="s">
        <v>20380</v>
      </c>
      <c r="BA1471" s="80" t="s">
        <v>20380</v>
      </c>
      <c r="BB1471" s="80" t="s">
        <v>20380</v>
      </c>
      <c r="BC1471" s="80" t="s">
        <v>17338</v>
      </c>
      <c r="BD1471" s="77">
        <v>51150679</v>
      </c>
      <c r="BE1471" s="77"/>
      <c r="BF1471" s="77"/>
      <c r="BG1471" s="77"/>
      <c r="BH1471" s="77"/>
      <c r="BI1471" s="77"/>
    </row>
    <row r="1472" spans="1:61" x14ac:dyDescent="0.25">
      <c r="A1472" s="62" t="s">
        <v>790</v>
      </c>
      <c r="B1472" s="62" t="s">
        <v>790</v>
      </c>
      <c r="C1472" s="63"/>
      <c r="D1472" s="64"/>
      <c r="E1472" s="65"/>
      <c r="F1472" s="66"/>
      <c r="G1472" s="63"/>
      <c r="H1472" s="67"/>
      <c r="I1472" s="68"/>
      <c r="J1472" s="68"/>
      <c r="K1472" s="32"/>
      <c r="L1472" s="75">
        <v>1472</v>
      </c>
      <c r="M1472" s="75"/>
      <c r="N1472" s="70"/>
      <c r="O1472" s="77" t="s">
        <v>179</v>
      </c>
      <c r="P1472" s="79">
        <v>45148.560925925929</v>
      </c>
      <c r="Q1472" s="77" t="s">
        <v>3368</v>
      </c>
      <c r="R1472" s="77">
        <v>0</v>
      </c>
      <c r="S1472" s="77">
        <v>2</v>
      </c>
      <c r="T1472" s="77">
        <v>1</v>
      </c>
      <c r="U1472" s="77">
        <v>0</v>
      </c>
      <c r="V1472" s="77">
        <v>752</v>
      </c>
      <c r="W1472" s="80" t="s">
        <v>6926</v>
      </c>
      <c r="X1472" s="83" t="str">
        <f>HYPERLINK("https://www.moneytimes.com.br/ao-vivo-campos-neto-acerta-as-contas-com-o-governo-veja-sabatina-no-senado/")</f>
        <v>https://www.moneytimes.com.br/ao-vivo-campos-neto-acerta-as-contas-com-o-governo-veja-sabatina-no-senado/</v>
      </c>
      <c r="Y1472" s="77" t="s">
        <v>8611</v>
      </c>
      <c r="Z1472" s="77"/>
      <c r="AA1472" s="77"/>
      <c r="AB1472" s="77"/>
      <c r="AC1472" s="80" t="s">
        <v>10558</v>
      </c>
      <c r="AD1472" s="77" t="s">
        <v>10617</v>
      </c>
      <c r="AE1472" s="83" t="str">
        <f>HYPERLINK("https://twitter.com/leiamoneytimes/status/1689629603868835840")</f>
        <v>https://twitter.com/leiamoneytimes/status/1689629603868835840</v>
      </c>
      <c r="AF1472" s="79">
        <v>45148.560925925929</v>
      </c>
      <c r="AG1472" s="85">
        <v>45148</v>
      </c>
      <c r="AH1472" s="80" t="s">
        <v>11911</v>
      </c>
      <c r="AI1472" s="77" t="b">
        <v>0</v>
      </c>
      <c r="AJ1472" s="77"/>
      <c r="AK1472" s="77"/>
      <c r="AL1472" s="77"/>
      <c r="AM1472" s="77"/>
      <c r="AN1472" s="77"/>
      <c r="AO1472" s="77"/>
      <c r="AP1472" s="77"/>
      <c r="AQ1472" s="77"/>
      <c r="AR1472" s="77"/>
      <c r="AS1472" s="77"/>
      <c r="AT1472" s="77"/>
      <c r="AU1472" s="77"/>
      <c r="AV1472" s="83" t="str">
        <f>HYPERLINK("https://pbs.twimg.com/profile_images/1559883556846977024/bXHnQFY0_normal.jpg")</f>
        <v>https://pbs.twimg.com/profile_images/1559883556846977024/bXHnQFY0_normal.jpg</v>
      </c>
      <c r="AW1472" s="80" t="s">
        <v>17339</v>
      </c>
      <c r="AX1472" s="80" t="s">
        <v>17339</v>
      </c>
      <c r="AY1472" s="77"/>
      <c r="AZ1472" s="80" t="s">
        <v>20380</v>
      </c>
      <c r="BA1472" s="80" t="s">
        <v>20380</v>
      </c>
      <c r="BB1472" s="80" t="s">
        <v>20380</v>
      </c>
      <c r="BC1472" s="80" t="s">
        <v>17339</v>
      </c>
      <c r="BD1472" s="77">
        <v>51150679</v>
      </c>
      <c r="BE1472" s="77"/>
      <c r="BF1472" s="77"/>
      <c r="BG1472" s="77"/>
      <c r="BH1472" s="77"/>
      <c r="BI1472" s="77"/>
    </row>
    <row r="1473" spans="1:61" x14ac:dyDescent="0.25">
      <c r="A1473" s="62" t="s">
        <v>790</v>
      </c>
      <c r="B1473" s="62" t="s">
        <v>790</v>
      </c>
      <c r="C1473" s="63"/>
      <c r="D1473" s="64"/>
      <c r="E1473" s="65"/>
      <c r="F1473" s="66"/>
      <c r="G1473" s="63"/>
      <c r="H1473" s="67"/>
      <c r="I1473" s="68"/>
      <c r="J1473" s="68"/>
      <c r="K1473" s="32"/>
      <c r="L1473" s="75">
        <v>1473</v>
      </c>
      <c r="M1473" s="75"/>
      <c r="N1473" s="70"/>
      <c r="O1473" s="77" t="s">
        <v>179</v>
      </c>
      <c r="P1473" s="79">
        <v>45148.456076388888</v>
      </c>
      <c r="Q1473" s="77" t="s">
        <v>3369</v>
      </c>
      <c r="R1473" s="77">
        <v>1</v>
      </c>
      <c r="S1473" s="77">
        <v>6</v>
      </c>
      <c r="T1473" s="77">
        <v>0</v>
      </c>
      <c r="U1473" s="77">
        <v>0</v>
      </c>
      <c r="V1473" s="77">
        <v>1022</v>
      </c>
      <c r="W1473" s="80" t="s">
        <v>6927</v>
      </c>
      <c r="X1473" s="83" t="str">
        <f>HYPERLINK("https://www.moneytimes.com.br/campos-neto-vai-ao-senado-defender-banco-central-veja-a-agenda-desta-quinta-10/")</f>
        <v>https://www.moneytimes.com.br/campos-neto-vai-ao-senado-defender-banco-central-veja-a-agenda-desta-quinta-10/</v>
      </c>
      <c r="Y1473" s="77" t="s">
        <v>8611</v>
      </c>
      <c r="Z1473" s="77"/>
      <c r="AA1473" s="77"/>
      <c r="AB1473" s="77"/>
      <c r="AC1473" s="80" t="s">
        <v>10558</v>
      </c>
      <c r="AD1473" s="77" t="s">
        <v>10617</v>
      </c>
      <c r="AE1473" s="83" t="str">
        <f>HYPERLINK("https://twitter.com/leiamoneytimes/status/1689591607928999936")</f>
        <v>https://twitter.com/leiamoneytimes/status/1689591607928999936</v>
      </c>
      <c r="AF1473" s="79">
        <v>45148.456076388888</v>
      </c>
      <c r="AG1473" s="85">
        <v>45148</v>
      </c>
      <c r="AH1473" s="80" t="s">
        <v>11912</v>
      </c>
      <c r="AI1473" s="77" t="b">
        <v>0</v>
      </c>
      <c r="AJ1473" s="77"/>
      <c r="AK1473" s="77"/>
      <c r="AL1473" s="77"/>
      <c r="AM1473" s="77"/>
      <c r="AN1473" s="77"/>
      <c r="AO1473" s="77"/>
      <c r="AP1473" s="77"/>
      <c r="AQ1473" s="77"/>
      <c r="AR1473" s="77"/>
      <c r="AS1473" s="77"/>
      <c r="AT1473" s="77"/>
      <c r="AU1473" s="77"/>
      <c r="AV1473" s="83" t="str">
        <f>HYPERLINK("https://pbs.twimg.com/profile_images/1559883556846977024/bXHnQFY0_normal.jpg")</f>
        <v>https://pbs.twimg.com/profile_images/1559883556846977024/bXHnQFY0_normal.jpg</v>
      </c>
      <c r="AW1473" s="80" t="s">
        <v>17340</v>
      </c>
      <c r="AX1473" s="80" t="s">
        <v>17340</v>
      </c>
      <c r="AY1473" s="77"/>
      <c r="AZ1473" s="80" t="s">
        <v>20380</v>
      </c>
      <c r="BA1473" s="80" t="s">
        <v>20380</v>
      </c>
      <c r="BB1473" s="80" t="s">
        <v>20380</v>
      </c>
      <c r="BC1473" s="80" t="s">
        <v>17340</v>
      </c>
      <c r="BD1473" s="77">
        <v>51150679</v>
      </c>
      <c r="BE1473" s="77"/>
      <c r="BF1473" s="77"/>
      <c r="BG1473" s="77"/>
      <c r="BH1473" s="77"/>
      <c r="BI1473" s="77"/>
    </row>
    <row r="1474" spans="1:61" x14ac:dyDescent="0.25">
      <c r="A1474" s="62" t="s">
        <v>790</v>
      </c>
      <c r="B1474" s="62" t="s">
        <v>790</v>
      </c>
      <c r="C1474" s="63"/>
      <c r="D1474" s="64"/>
      <c r="E1474" s="65"/>
      <c r="F1474" s="66"/>
      <c r="G1474" s="63"/>
      <c r="H1474" s="67"/>
      <c r="I1474" s="68"/>
      <c r="J1474" s="68"/>
      <c r="K1474" s="32"/>
      <c r="L1474" s="75">
        <v>1474</v>
      </c>
      <c r="M1474" s="75"/>
      <c r="N1474" s="70"/>
      <c r="O1474" s="77" t="s">
        <v>179</v>
      </c>
      <c r="P1474" s="79">
        <v>45147.83971064815</v>
      </c>
      <c r="Q1474" s="77" t="s">
        <v>3370</v>
      </c>
      <c r="R1474" s="77">
        <v>0</v>
      </c>
      <c r="S1474" s="77">
        <v>3</v>
      </c>
      <c r="T1474" s="77">
        <v>1</v>
      </c>
      <c r="U1474" s="77">
        <v>0</v>
      </c>
      <c r="V1474" s="77">
        <v>1003</v>
      </c>
      <c r="W1474" s="80" t="s">
        <v>6272</v>
      </c>
      <c r="X1474" s="83" t="str">
        <f>HYPERLINK("https://www.moneytimes.com.br/075-pp-e-demais-veja-o-que-o-mercado-espera-da-selic-nas-proximas-reunioes-do-copom/")</f>
        <v>https://www.moneytimes.com.br/075-pp-e-demais-veja-o-que-o-mercado-espera-da-selic-nas-proximas-reunioes-do-copom/</v>
      </c>
      <c r="Y1474" s="77" t="s">
        <v>8611</v>
      </c>
      <c r="Z1474" s="77"/>
      <c r="AA1474" s="77"/>
      <c r="AB1474" s="77"/>
      <c r="AC1474" s="80" t="s">
        <v>10558</v>
      </c>
      <c r="AD1474" s="77" t="s">
        <v>10617</v>
      </c>
      <c r="AE1474" s="83" t="str">
        <f>HYPERLINK("https://twitter.com/leiamoneytimes/status/1689368245571104768")</f>
        <v>https://twitter.com/leiamoneytimes/status/1689368245571104768</v>
      </c>
      <c r="AF1474" s="79">
        <v>45147.83971064815</v>
      </c>
      <c r="AG1474" s="85">
        <v>45147</v>
      </c>
      <c r="AH1474" s="80" t="s">
        <v>11913</v>
      </c>
      <c r="AI1474" s="77" t="b">
        <v>0</v>
      </c>
      <c r="AJ1474" s="77"/>
      <c r="AK1474" s="77"/>
      <c r="AL1474" s="77"/>
      <c r="AM1474" s="77"/>
      <c r="AN1474" s="77"/>
      <c r="AO1474" s="77"/>
      <c r="AP1474" s="77"/>
      <c r="AQ1474" s="77"/>
      <c r="AR1474" s="77"/>
      <c r="AS1474" s="77"/>
      <c r="AT1474" s="77"/>
      <c r="AU1474" s="77"/>
      <c r="AV1474" s="83" t="str">
        <f>HYPERLINK("https://pbs.twimg.com/profile_images/1559883556846977024/bXHnQFY0_normal.jpg")</f>
        <v>https://pbs.twimg.com/profile_images/1559883556846977024/bXHnQFY0_normal.jpg</v>
      </c>
      <c r="AW1474" s="80" t="s">
        <v>17341</v>
      </c>
      <c r="AX1474" s="80" t="s">
        <v>17341</v>
      </c>
      <c r="AY1474" s="77"/>
      <c r="AZ1474" s="80" t="s">
        <v>20380</v>
      </c>
      <c r="BA1474" s="80" t="s">
        <v>20380</v>
      </c>
      <c r="BB1474" s="80" t="s">
        <v>20380</v>
      </c>
      <c r="BC1474" s="80" t="s">
        <v>17341</v>
      </c>
      <c r="BD1474" s="77">
        <v>51150679</v>
      </c>
      <c r="BE1474" s="77"/>
      <c r="BF1474" s="77"/>
      <c r="BG1474" s="77"/>
      <c r="BH1474" s="77"/>
      <c r="BI1474" s="77"/>
    </row>
    <row r="1475" spans="1:61" x14ac:dyDescent="0.25">
      <c r="A1475" s="62" t="s">
        <v>790</v>
      </c>
      <c r="B1475" s="62" t="s">
        <v>790</v>
      </c>
      <c r="C1475" s="63"/>
      <c r="D1475" s="64"/>
      <c r="E1475" s="65"/>
      <c r="F1475" s="66"/>
      <c r="G1475" s="63"/>
      <c r="H1475" s="67"/>
      <c r="I1475" s="68"/>
      <c r="J1475" s="68"/>
      <c r="K1475" s="32"/>
      <c r="L1475" s="75">
        <v>1475</v>
      </c>
      <c r="M1475" s="75"/>
      <c r="N1475" s="70"/>
      <c r="O1475" s="77" t="s">
        <v>179</v>
      </c>
      <c r="P1475" s="79">
        <v>45147.630254629628</v>
      </c>
      <c r="Q1475" s="77" t="s">
        <v>3371</v>
      </c>
      <c r="R1475" s="77">
        <v>0</v>
      </c>
      <c r="S1475" s="77">
        <v>1</v>
      </c>
      <c r="T1475" s="77">
        <v>1</v>
      </c>
      <c r="U1475" s="77">
        <v>0</v>
      </c>
      <c r="V1475" s="77">
        <v>855</v>
      </c>
      <c r="W1475" s="80" t="s">
        <v>6928</v>
      </c>
      <c r="X1475" s="83" t="str">
        <f>HYPERLINK("https://www.moneytimes.com.br/franquias-baratas-nao-tem-sorte-na-mega-sena-aposte-na-marca-que-fatura-milhoes-e-te-faz-lucrar-r-105-mil-ao-mes/")</f>
        <v>https://www.moneytimes.com.br/franquias-baratas-nao-tem-sorte-na-mega-sena-aposte-na-marca-que-fatura-milhoes-e-te-faz-lucrar-r-105-mil-ao-mes/</v>
      </c>
      <c r="Y1475" s="77" t="s">
        <v>8611</v>
      </c>
      <c r="Z1475" s="77"/>
      <c r="AA1475" s="77"/>
      <c r="AB1475" s="77"/>
      <c r="AC1475" s="80" t="s">
        <v>10558</v>
      </c>
      <c r="AD1475" s="77" t="s">
        <v>10617</v>
      </c>
      <c r="AE1475" s="83" t="str">
        <f>HYPERLINK("https://twitter.com/leiamoneytimes/status/1689292342589583360")</f>
        <v>https://twitter.com/leiamoneytimes/status/1689292342589583360</v>
      </c>
      <c r="AF1475" s="79">
        <v>45147.630254629628</v>
      </c>
      <c r="AG1475" s="85">
        <v>45147</v>
      </c>
      <c r="AH1475" s="80" t="s">
        <v>11914</v>
      </c>
      <c r="AI1475" s="77" t="b">
        <v>0</v>
      </c>
      <c r="AJ1475" s="77"/>
      <c r="AK1475" s="77"/>
      <c r="AL1475" s="77"/>
      <c r="AM1475" s="77"/>
      <c r="AN1475" s="77"/>
      <c r="AO1475" s="77"/>
      <c r="AP1475" s="77"/>
      <c r="AQ1475" s="77"/>
      <c r="AR1475" s="77"/>
      <c r="AS1475" s="77"/>
      <c r="AT1475" s="77"/>
      <c r="AU1475" s="77"/>
      <c r="AV1475" s="83" t="str">
        <f>HYPERLINK("https://pbs.twimg.com/profile_images/1559883556846977024/bXHnQFY0_normal.jpg")</f>
        <v>https://pbs.twimg.com/profile_images/1559883556846977024/bXHnQFY0_normal.jpg</v>
      </c>
      <c r="AW1475" s="80" t="s">
        <v>17342</v>
      </c>
      <c r="AX1475" s="80" t="s">
        <v>17342</v>
      </c>
      <c r="AY1475" s="77"/>
      <c r="AZ1475" s="80" t="s">
        <v>20380</v>
      </c>
      <c r="BA1475" s="80" t="s">
        <v>20380</v>
      </c>
      <c r="BB1475" s="80" t="s">
        <v>20380</v>
      </c>
      <c r="BC1475" s="80" t="s">
        <v>17342</v>
      </c>
      <c r="BD1475" s="77">
        <v>51150679</v>
      </c>
      <c r="BE1475" s="77"/>
      <c r="BF1475" s="77"/>
      <c r="BG1475" s="77"/>
      <c r="BH1475" s="77"/>
      <c r="BI1475" s="77"/>
    </row>
    <row r="1476" spans="1:61" x14ac:dyDescent="0.25">
      <c r="A1476" s="62" t="s">
        <v>790</v>
      </c>
      <c r="B1476" s="62" t="s">
        <v>790</v>
      </c>
      <c r="C1476" s="63"/>
      <c r="D1476" s="64"/>
      <c r="E1476" s="65"/>
      <c r="F1476" s="66"/>
      <c r="G1476" s="63"/>
      <c r="H1476" s="67"/>
      <c r="I1476" s="68"/>
      <c r="J1476" s="68"/>
      <c r="K1476" s="32"/>
      <c r="L1476" s="75">
        <v>1476</v>
      </c>
      <c r="M1476" s="75"/>
      <c r="N1476" s="70"/>
      <c r="O1476" s="77" t="s">
        <v>179</v>
      </c>
      <c r="P1476" s="79">
        <v>45140.552905092591</v>
      </c>
      <c r="Q1476" s="77" t="s">
        <v>3372</v>
      </c>
      <c r="R1476" s="77">
        <v>1</v>
      </c>
      <c r="S1476" s="77">
        <v>4</v>
      </c>
      <c r="T1476" s="77">
        <v>1</v>
      </c>
      <c r="U1476" s="77">
        <v>0</v>
      </c>
      <c r="V1476" s="77">
        <v>1268</v>
      </c>
      <c r="W1476" s="80" t="s">
        <v>6272</v>
      </c>
      <c r="X1476" s="83" t="str">
        <f>HYPERLINK("https://www.moneytimes.com.br/copom-qual-sera-o-tamanho-do-corte-na-selic/")</f>
        <v>https://www.moneytimes.com.br/copom-qual-sera-o-tamanho-do-corte-na-selic/</v>
      </c>
      <c r="Y1476" s="77" t="s">
        <v>8611</v>
      </c>
      <c r="Z1476" s="77"/>
      <c r="AA1476" s="77"/>
      <c r="AB1476" s="77"/>
      <c r="AC1476" s="80" t="s">
        <v>10558</v>
      </c>
      <c r="AD1476" s="77" t="s">
        <v>10617</v>
      </c>
      <c r="AE1476" s="83" t="str">
        <f>HYPERLINK("https://twitter.com/leiamoneytimes/status/1686727597642657793")</f>
        <v>https://twitter.com/leiamoneytimes/status/1686727597642657793</v>
      </c>
      <c r="AF1476" s="79">
        <v>45140.552905092591</v>
      </c>
      <c r="AG1476" s="85">
        <v>45140</v>
      </c>
      <c r="AH1476" s="80" t="s">
        <v>10697</v>
      </c>
      <c r="AI1476" s="77" t="b">
        <v>0</v>
      </c>
      <c r="AJ1476" s="77"/>
      <c r="AK1476" s="77"/>
      <c r="AL1476" s="77"/>
      <c r="AM1476" s="77"/>
      <c r="AN1476" s="77"/>
      <c r="AO1476" s="77"/>
      <c r="AP1476" s="77"/>
      <c r="AQ1476" s="77"/>
      <c r="AR1476" s="77"/>
      <c r="AS1476" s="77"/>
      <c r="AT1476" s="77"/>
      <c r="AU1476" s="77"/>
      <c r="AV1476" s="83" t="str">
        <f>HYPERLINK("https://pbs.twimg.com/profile_images/1559883556846977024/bXHnQFY0_normal.jpg")</f>
        <v>https://pbs.twimg.com/profile_images/1559883556846977024/bXHnQFY0_normal.jpg</v>
      </c>
      <c r="AW1476" s="80" t="s">
        <v>17343</v>
      </c>
      <c r="AX1476" s="80" t="s">
        <v>17343</v>
      </c>
      <c r="AY1476" s="77"/>
      <c r="AZ1476" s="80" t="s">
        <v>20380</v>
      </c>
      <c r="BA1476" s="80" t="s">
        <v>20380</v>
      </c>
      <c r="BB1476" s="80" t="s">
        <v>20380</v>
      </c>
      <c r="BC1476" s="80" t="s">
        <v>17343</v>
      </c>
      <c r="BD1476" s="77">
        <v>51150679</v>
      </c>
      <c r="BE1476" s="77"/>
      <c r="BF1476" s="77"/>
      <c r="BG1476" s="77"/>
      <c r="BH1476" s="77"/>
      <c r="BI1476" s="77"/>
    </row>
    <row r="1477" spans="1:61" x14ac:dyDescent="0.25">
      <c r="A1477" s="62" t="s">
        <v>790</v>
      </c>
      <c r="B1477" s="62" t="s">
        <v>790</v>
      </c>
      <c r="C1477" s="63"/>
      <c r="D1477" s="64"/>
      <c r="E1477" s="65"/>
      <c r="F1477" s="66"/>
      <c r="G1477" s="63"/>
      <c r="H1477" s="67"/>
      <c r="I1477" s="68"/>
      <c r="J1477" s="68"/>
      <c r="K1477" s="32"/>
      <c r="L1477" s="75">
        <v>1477</v>
      </c>
      <c r="M1477" s="75"/>
      <c r="N1477" s="70"/>
      <c r="O1477" s="77" t="s">
        <v>179</v>
      </c>
      <c r="P1477" s="79">
        <v>45140.465648148151</v>
      </c>
      <c r="Q1477" s="77" t="s">
        <v>3373</v>
      </c>
      <c r="R1477" s="77">
        <v>0</v>
      </c>
      <c r="S1477" s="77">
        <v>8</v>
      </c>
      <c r="T1477" s="77">
        <v>2</v>
      </c>
      <c r="U1477" s="77">
        <v>0</v>
      </c>
      <c r="V1477" s="77">
        <v>1360</v>
      </c>
      <c r="W1477" s="80" t="s">
        <v>6927</v>
      </c>
      <c r="X1477" s="83" t="str">
        <f>HYPERLINK("https://www.moneytimes.com.br/agenda-do-dia-copom-02-08-2023/")</f>
        <v>https://www.moneytimes.com.br/agenda-do-dia-copom-02-08-2023/</v>
      </c>
      <c r="Y1477" s="77" t="s">
        <v>8611</v>
      </c>
      <c r="Z1477" s="77"/>
      <c r="AA1477" s="77"/>
      <c r="AB1477" s="77"/>
      <c r="AC1477" s="80" t="s">
        <v>10558</v>
      </c>
      <c r="AD1477" s="77" t="s">
        <v>10617</v>
      </c>
      <c r="AE1477" s="83" t="str">
        <f>HYPERLINK("https://twitter.com/leiamoneytimes/status/1686695974872223746")</f>
        <v>https://twitter.com/leiamoneytimes/status/1686695974872223746</v>
      </c>
      <c r="AF1477" s="79">
        <v>45140.465648148151</v>
      </c>
      <c r="AG1477" s="85">
        <v>45140</v>
      </c>
      <c r="AH1477" s="80" t="s">
        <v>11915</v>
      </c>
      <c r="AI1477" s="77" t="b">
        <v>0</v>
      </c>
      <c r="AJ1477" s="77"/>
      <c r="AK1477" s="77"/>
      <c r="AL1477" s="77"/>
      <c r="AM1477" s="77"/>
      <c r="AN1477" s="77"/>
      <c r="AO1477" s="77"/>
      <c r="AP1477" s="77"/>
      <c r="AQ1477" s="77"/>
      <c r="AR1477" s="77"/>
      <c r="AS1477" s="77"/>
      <c r="AT1477" s="77"/>
      <c r="AU1477" s="77"/>
      <c r="AV1477" s="83" t="str">
        <f>HYPERLINK("https://pbs.twimg.com/profile_images/1559883556846977024/bXHnQFY0_normal.jpg")</f>
        <v>https://pbs.twimg.com/profile_images/1559883556846977024/bXHnQFY0_normal.jpg</v>
      </c>
      <c r="AW1477" s="80" t="s">
        <v>17344</v>
      </c>
      <c r="AX1477" s="80" t="s">
        <v>17344</v>
      </c>
      <c r="AY1477" s="77"/>
      <c r="AZ1477" s="80" t="s">
        <v>20380</v>
      </c>
      <c r="BA1477" s="80" t="s">
        <v>20380</v>
      </c>
      <c r="BB1477" s="80" t="s">
        <v>20380</v>
      </c>
      <c r="BC1477" s="80" t="s">
        <v>17344</v>
      </c>
      <c r="BD1477" s="77">
        <v>51150679</v>
      </c>
      <c r="BE1477" s="77"/>
      <c r="BF1477" s="77"/>
      <c r="BG1477" s="77"/>
      <c r="BH1477" s="77"/>
      <c r="BI1477" s="77"/>
    </row>
    <row r="1478" spans="1:61" x14ac:dyDescent="0.25">
      <c r="A1478" s="62" t="s">
        <v>790</v>
      </c>
      <c r="B1478" s="62" t="s">
        <v>790</v>
      </c>
      <c r="C1478" s="63"/>
      <c r="D1478" s="64"/>
      <c r="E1478" s="65"/>
      <c r="F1478" s="66"/>
      <c r="G1478" s="63"/>
      <c r="H1478" s="67"/>
      <c r="I1478" s="68"/>
      <c r="J1478" s="68"/>
      <c r="K1478" s="32"/>
      <c r="L1478" s="75">
        <v>1478</v>
      </c>
      <c r="M1478" s="75"/>
      <c r="N1478" s="70"/>
      <c r="O1478" s="77" t="s">
        <v>179</v>
      </c>
      <c r="P1478" s="79">
        <v>45140.438796296294</v>
      </c>
      <c r="Q1478" s="77" t="s">
        <v>3374</v>
      </c>
      <c r="R1478" s="77">
        <v>0</v>
      </c>
      <c r="S1478" s="77">
        <v>4</v>
      </c>
      <c r="T1478" s="77">
        <v>1</v>
      </c>
      <c r="U1478" s="77">
        <v>0</v>
      </c>
      <c r="V1478" s="77">
        <v>1123</v>
      </c>
      <c r="W1478" s="80" t="s">
        <v>6929</v>
      </c>
      <c r="X1478" s="83" t="str">
        <f>HYPERLINK("https://www.moneytimes.com.br/morning-times-copom-rating-eua-02-08-2023/")</f>
        <v>https://www.moneytimes.com.br/morning-times-copom-rating-eua-02-08-2023/</v>
      </c>
      <c r="Y1478" s="77" t="s">
        <v>8611</v>
      </c>
      <c r="Z1478" s="77"/>
      <c r="AA1478" s="77"/>
      <c r="AB1478" s="77"/>
      <c r="AC1478" s="80" t="s">
        <v>10558</v>
      </c>
      <c r="AD1478" s="77" t="s">
        <v>10617</v>
      </c>
      <c r="AE1478" s="83" t="str">
        <f>HYPERLINK("https://twitter.com/leiamoneytimes/status/1686686244401520640")</f>
        <v>https://twitter.com/leiamoneytimes/status/1686686244401520640</v>
      </c>
      <c r="AF1478" s="79">
        <v>45140.438796296294</v>
      </c>
      <c r="AG1478" s="85">
        <v>45140</v>
      </c>
      <c r="AH1478" s="80" t="s">
        <v>11916</v>
      </c>
      <c r="AI1478" s="77" t="b">
        <v>0</v>
      </c>
      <c r="AJ1478" s="77"/>
      <c r="AK1478" s="77"/>
      <c r="AL1478" s="77"/>
      <c r="AM1478" s="77"/>
      <c r="AN1478" s="77"/>
      <c r="AO1478" s="77"/>
      <c r="AP1478" s="77"/>
      <c r="AQ1478" s="77"/>
      <c r="AR1478" s="77"/>
      <c r="AS1478" s="77"/>
      <c r="AT1478" s="77"/>
      <c r="AU1478" s="77"/>
      <c r="AV1478" s="83" t="str">
        <f>HYPERLINK("https://pbs.twimg.com/profile_images/1559883556846977024/bXHnQFY0_normal.jpg")</f>
        <v>https://pbs.twimg.com/profile_images/1559883556846977024/bXHnQFY0_normal.jpg</v>
      </c>
      <c r="AW1478" s="80" t="s">
        <v>17345</v>
      </c>
      <c r="AX1478" s="80" t="s">
        <v>17345</v>
      </c>
      <c r="AY1478" s="77"/>
      <c r="AZ1478" s="80" t="s">
        <v>20380</v>
      </c>
      <c r="BA1478" s="80" t="s">
        <v>20380</v>
      </c>
      <c r="BB1478" s="80" t="s">
        <v>20380</v>
      </c>
      <c r="BC1478" s="80" t="s">
        <v>17345</v>
      </c>
      <c r="BD1478" s="77">
        <v>51150679</v>
      </c>
      <c r="BE1478" s="77"/>
      <c r="BF1478" s="77"/>
      <c r="BG1478" s="77"/>
      <c r="BH1478" s="77"/>
      <c r="BI1478" s="77"/>
    </row>
    <row r="1479" spans="1:61" x14ac:dyDescent="0.25">
      <c r="A1479" s="62" t="s">
        <v>790</v>
      </c>
      <c r="B1479" s="62" t="s">
        <v>790</v>
      </c>
      <c r="C1479" s="63"/>
      <c r="D1479" s="64"/>
      <c r="E1479" s="65"/>
      <c r="F1479" s="66"/>
      <c r="G1479" s="63"/>
      <c r="H1479" s="67"/>
      <c r="I1479" s="68"/>
      <c r="J1479" s="68"/>
      <c r="K1479" s="32"/>
      <c r="L1479" s="75">
        <v>1479</v>
      </c>
      <c r="M1479" s="75"/>
      <c r="N1479" s="70"/>
      <c r="O1479" s="77" t="s">
        <v>179</v>
      </c>
      <c r="P1479" s="79">
        <v>45139.803310185183</v>
      </c>
      <c r="Q1479" s="77" t="s">
        <v>3375</v>
      </c>
      <c r="R1479" s="77">
        <v>0</v>
      </c>
      <c r="S1479" s="77">
        <v>6</v>
      </c>
      <c r="T1479" s="77">
        <v>1</v>
      </c>
      <c r="U1479" s="77">
        <v>0</v>
      </c>
      <c r="V1479" s="77">
        <v>1106</v>
      </c>
      <c r="W1479" s="80" t="s">
        <v>6930</v>
      </c>
      <c r="X1479" s="83" t="str">
        <f>HYPERLINK("https://www.moneytimes.com.br/empresarios-batem-de-frente-com-banco-central-e-criticam-selic-em-1375/")</f>
        <v>https://www.moneytimes.com.br/empresarios-batem-de-frente-com-banco-central-e-criticam-selic-em-1375/</v>
      </c>
      <c r="Y1479" s="77" t="s">
        <v>8611</v>
      </c>
      <c r="Z1479" s="77"/>
      <c r="AA1479" s="77"/>
      <c r="AB1479" s="77"/>
      <c r="AC1479" s="80" t="s">
        <v>10558</v>
      </c>
      <c r="AD1479" s="77" t="s">
        <v>10617</v>
      </c>
      <c r="AE1479" s="83" t="str">
        <f>HYPERLINK("https://twitter.com/leiamoneytimes/status/1686455952172531732")</f>
        <v>https://twitter.com/leiamoneytimes/status/1686455952172531732</v>
      </c>
      <c r="AF1479" s="79">
        <v>45139.803310185183</v>
      </c>
      <c r="AG1479" s="85">
        <v>45139</v>
      </c>
      <c r="AH1479" s="80" t="s">
        <v>11917</v>
      </c>
      <c r="AI1479" s="77" t="b">
        <v>0</v>
      </c>
      <c r="AJ1479" s="77"/>
      <c r="AK1479" s="77"/>
      <c r="AL1479" s="77"/>
      <c r="AM1479" s="77"/>
      <c r="AN1479" s="77"/>
      <c r="AO1479" s="77"/>
      <c r="AP1479" s="77"/>
      <c r="AQ1479" s="77"/>
      <c r="AR1479" s="77"/>
      <c r="AS1479" s="77"/>
      <c r="AT1479" s="77"/>
      <c r="AU1479" s="77"/>
      <c r="AV1479" s="83" t="str">
        <f>HYPERLINK("https://pbs.twimg.com/profile_images/1559883556846977024/bXHnQFY0_normal.jpg")</f>
        <v>https://pbs.twimg.com/profile_images/1559883556846977024/bXHnQFY0_normal.jpg</v>
      </c>
      <c r="AW1479" s="80" t="s">
        <v>17346</v>
      </c>
      <c r="AX1479" s="80" t="s">
        <v>17346</v>
      </c>
      <c r="AY1479" s="77"/>
      <c r="AZ1479" s="80" t="s">
        <v>20380</v>
      </c>
      <c r="BA1479" s="80" t="s">
        <v>20380</v>
      </c>
      <c r="BB1479" s="80" t="s">
        <v>20380</v>
      </c>
      <c r="BC1479" s="80" t="s">
        <v>17346</v>
      </c>
      <c r="BD1479" s="77">
        <v>51150679</v>
      </c>
      <c r="BE1479" s="77"/>
      <c r="BF1479" s="77"/>
      <c r="BG1479" s="77"/>
      <c r="BH1479" s="77"/>
      <c r="BI1479" s="77"/>
    </row>
    <row r="1480" spans="1:61" x14ac:dyDescent="0.25">
      <c r="A1480" s="62" t="s">
        <v>790</v>
      </c>
      <c r="B1480" s="62" t="s">
        <v>790</v>
      </c>
      <c r="C1480" s="63"/>
      <c r="D1480" s="64"/>
      <c r="E1480" s="65"/>
      <c r="F1480" s="66"/>
      <c r="G1480" s="63"/>
      <c r="H1480" s="67"/>
      <c r="I1480" s="68"/>
      <c r="J1480" s="68"/>
      <c r="K1480" s="32"/>
      <c r="L1480" s="75">
        <v>1480</v>
      </c>
      <c r="M1480" s="75"/>
      <c r="N1480" s="70"/>
      <c r="O1480" s="77" t="s">
        <v>179</v>
      </c>
      <c r="P1480" s="79">
        <v>45139.76059027778</v>
      </c>
      <c r="Q1480" s="77" t="s">
        <v>3376</v>
      </c>
      <c r="R1480" s="77">
        <v>0</v>
      </c>
      <c r="S1480" s="77">
        <v>1</v>
      </c>
      <c r="T1480" s="77">
        <v>2</v>
      </c>
      <c r="U1480" s="77">
        <v>0</v>
      </c>
      <c r="V1480" s="77">
        <v>1055</v>
      </c>
      <c r="W1480" s="80" t="s">
        <v>6931</v>
      </c>
      <c r="X1480" s="83" t="str">
        <f>HYPERLINK("https://www.moneytimes.com.br/aprende-eua-queda-na-selic-prova-que-brasil-conseguiu-pouso-suave/")</f>
        <v>https://www.moneytimes.com.br/aprende-eua-queda-na-selic-prova-que-brasil-conseguiu-pouso-suave/</v>
      </c>
      <c r="Y1480" s="77" t="s">
        <v>8611</v>
      </c>
      <c r="Z1480" s="77"/>
      <c r="AA1480" s="77"/>
      <c r="AB1480" s="77"/>
      <c r="AC1480" s="80" t="s">
        <v>10558</v>
      </c>
      <c r="AD1480" s="77" t="s">
        <v>10617</v>
      </c>
      <c r="AE1480" s="83" t="str">
        <f>HYPERLINK("https://twitter.com/leiamoneytimes/status/1686440471562768394")</f>
        <v>https://twitter.com/leiamoneytimes/status/1686440471562768394</v>
      </c>
      <c r="AF1480" s="79">
        <v>45139.76059027778</v>
      </c>
      <c r="AG1480" s="85">
        <v>45139</v>
      </c>
      <c r="AH1480" s="80" t="s">
        <v>11918</v>
      </c>
      <c r="AI1480" s="77" t="b">
        <v>0</v>
      </c>
      <c r="AJ1480" s="77"/>
      <c r="AK1480" s="77"/>
      <c r="AL1480" s="77"/>
      <c r="AM1480" s="77"/>
      <c r="AN1480" s="77"/>
      <c r="AO1480" s="77"/>
      <c r="AP1480" s="77"/>
      <c r="AQ1480" s="77"/>
      <c r="AR1480" s="77"/>
      <c r="AS1480" s="77"/>
      <c r="AT1480" s="77"/>
      <c r="AU1480" s="77"/>
      <c r="AV1480" s="83" t="str">
        <f>HYPERLINK("https://pbs.twimg.com/profile_images/1559883556846977024/bXHnQFY0_normal.jpg")</f>
        <v>https://pbs.twimg.com/profile_images/1559883556846977024/bXHnQFY0_normal.jpg</v>
      </c>
      <c r="AW1480" s="80" t="s">
        <v>17347</v>
      </c>
      <c r="AX1480" s="80" t="s">
        <v>17347</v>
      </c>
      <c r="AY1480" s="77"/>
      <c r="AZ1480" s="80" t="s">
        <v>20380</v>
      </c>
      <c r="BA1480" s="80" t="s">
        <v>20380</v>
      </c>
      <c r="BB1480" s="80" t="s">
        <v>20380</v>
      </c>
      <c r="BC1480" s="80" t="s">
        <v>17347</v>
      </c>
      <c r="BD1480" s="77">
        <v>51150679</v>
      </c>
      <c r="BE1480" s="77"/>
      <c r="BF1480" s="77"/>
      <c r="BG1480" s="77"/>
      <c r="BH1480" s="77"/>
      <c r="BI1480" s="77"/>
    </row>
    <row r="1481" spans="1:61" x14ac:dyDescent="0.25">
      <c r="A1481" s="62" t="s">
        <v>790</v>
      </c>
      <c r="B1481" s="62" t="s">
        <v>790</v>
      </c>
      <c r="C1481" s="63"/>
      <c r="D1481" s="64"/>
      <c r="E1481" s="65"/>
      <c r="F1481" s="66"/>
      <c r="G1481" s="63"/>
      <c r="H1481" s="67"/>
      <c r="I1481" s="68"/>
      <c r="J1481" s="68"/>
      <c r="K1481" s="32"/>
      <c r="L1481" s="75">
        <v>1481</v>
      </c>
      <c r="M1481" s="75"/>
      <c r="N1481" s="70"/>
      <c r="O1481" s="77" t="s">
        <v>179</v>
      </c>
      <c r="P1481" s="79">
        <v>45125.790717592594</v>
      </c>
      <c r="Q1481" s="77" t="s">
        <v>3377</v>
      </c>
      <c r="R1481" s="77">
        <v>0</v>
      </c>
      <c r="S1481" s="77">
        <v>3</v>
      </c>
      <c r="T1481" s="77">
        <v>0</v>
      </c>
      <c r="U1481" s="77">
        <v>0</v>
      </c>
      <c r="V1481" s="77">
        <v>1040</v>
      </c>
      <c r="W1481" s="80" t="s">
        <v>6932</v>
      </c>
      <c r="X1481" s="83" t="str">
        <f>HYPERLINK("https://www.moneytimes.com.br/afago-pre-copom-banco-central-ganha-100-vagas-de-concurso-publico-apesar-de-tensao-com-lula/")</f>
        <v>https://www.moneytimes.com.br/afago-pre-copom-banco-central-ganha-100-vagas-de-concurso-publico-apesar-de-tensao-com-lula/</v>
      </c>
      <c r="Y1481" s="77" t="s">
        <v>8611</v>
      </c>
      <c r="Z1481" s="77"/>
      <c r="AA1481" s="77"/>
      <c r="AB1481" s="77"/>
      <c r="AC1481" s="80" t="s">
        <v>10558</v>
      </c>
      <c r="AD1481" s="77" t="s">
        <v>10617</v>
      </c>
      <c r="AE1481" s="83" t="str">
        <f>HYPERLINK("https://twitter.com/leiamoneytimes/status/1681377957502124039")</f>
        <v>https://twitter.com/leiamoneytimes/status/1681377957502124039</v>
      </c>
      <c r="AF1481" s="79">
        <v>45125.790717592594</v>
      </c>
      <c r="AG1481" s="85">
        <v>45125</v>
      </c>
      <c r="AH1481" s="80" t="s">
        <v>11919</v>
      </c>
      <c r="AI1481" s="77" t="b">
        <v>0</v>
      </c>
      <c r="AJ1481" s="77"/>
      <c r="AK1481" s="77"/>
      <c r="AL1481" s="77"/>
      <c r="AM1481" s="77"/>
      <c r="AN1481" s="77"/>
      <c r="AO1481" s="77"/>
      <c r="AP1481" s="77"/>
      <c r="AQ1481" s="77"/>
      <c r="AR1481" s="77"/>
      <c r="AS1481" s="77"/>
      <c r="AT1481" s="77"/>
      <c r="AU1481" s="77"/>
      <c r="AV1481" s="83" t="str">
        <f>HYPERLINK("https://pbs.twimg.com/profile_images/1559883556846977024/bXHnQFY0_normal.jpg")</f>
        <v>https://pbs.twimg.com/profile_images/1559883556846977024/bXHnQFY0_normal.jpg</v>
      </c>
      <c r="AW1481" s="80" t="s">
        <v>17348</v>
      </c>
      <c r="AX1481" s="80" t="s">
        <v>17348</v>
      </c>
      <c r="AY1481" s="77"/>
      <c r="AZ1481" s="80" t="s">
        <v>20380</v>
      </c>
      <c r="BA1481" s="80" t="s">
        <v>20380</v>
      </c>
      <c r="BB1481" s="80" t="s">
        <v>20380</v>
      </c>
      <c r="BC1481" s="80" t="s">
        <v>17348</v>
      </c>
      <c r="BD1481" s="77">
        <v>51150679</v>
      </c>
      <c r="BE1481" s="77"/>
      <c r="BF1481" s="77"/>
      <c r="BG1481" s="77"/>
      <c r="BH1481" s="77"/>
      <c r="BI1481" s="77"/>
    </row>
    <row r="1482" spans="1:61" x14ac:dyDescent="0.25">
      <c r="A1482" s="62" t="s">
        <v>790</v>
      </c>
      <c r="B1482" s="62" t="s">
        <v>790</v>
      </c>
      <c r="C1482" s="63"/>
      <c r="D1482" s="64"/>
      <c r="E1482" s="65"/>
      <c r="F1482" s="66"/>
      <c r="G1482" s="63"/>
      <c r="H1482" s="67"/>
      <c r="I1482" s="68"/>
      <c r="J1482" s="68"/>
      <c r="K1482" s="32"/>
      <c r="L1482" s="75">
        <v>1482</v>
      </c>
      <c r="M1482" s="75"/>
      <c r="N1482" s="70"/>
      <c r="O1482" s="77" t="s">
        <v>179</v>
      </c>
      <c r="P1482" s="79">
        <v>45125.518171296295</v>
      </c>
      <c r="Q1482" s="77" t="s">
        <v>3378</v>
      </c>
      <c r="R1482" s="77">
        <v>0</v>
      </c>
      <c r="S1482" s="77">
        <v>3</v>
      </c>
      <c r="T1482" s="77">
        <v>1</v>
      </c>
      <c r="U1482" s="77">
        <v>0</v>
      </c>
      <c r="V1482" s="77">
        <v>1177</v>
      </c>
      <c r="W1482" s="80" t="s">
        <v>6933</v>
      </c>
      <c r="X1482" s="83" t="str">
        <f>HYPERLINK("https://www.moneytimes.com.br/fim-da-lua-de-mel-haddad-espera-resistencia-para-taxacao-de-lucros-e-dividendos-entenda/")</f>
        <v>https://www.moneytimes.com.br/fim-da-lua-de-mel-haddad-espera-resistencia-para-taxacao-de-lucros-e-dividendos-entenda/</v>
      </c>
      <c r="Y1482" s="77" t="s">
        <v>8611</v>
      </c>
      <c r="Z1482" s="77"/>
      <c r="AA1482" s="77"/>
      <c r="AB1482" s="77"/>
      <c r="AC1482" s="80" t="s">
        <v>10558</v>
      </c>
      <c r="AD1482" s="77" t="s">
        <v>10617</v>
      </c>
      <c r="AE1482" s="83" t="str">
        <f>HYPERLINK("https://twitter.com/leiamoneytimes/status/1681279191940038658")</f>
        <v>https://twitter.com/leiamoneytimes/status/1681279191940038658</v>
      </c>
      <c r="AF1482" s="79">
        <v>45125.518171296295</v>
      </c>
      <c r="AG1482" s="85">
        <v>45125</v>
      </c>
      <c r="AH1482" s="80" t="s">
        <v>11920</v>
      </c>
      <c r="AI1482" s="77" t="b">
        <v>0</v>
      </c>
      <c r="AJ1482" s="77"/>
      <c r="AK1482" s="77"/>
      <c r="AL1482" s="77"/>
      <c r="AM1482" s="77"/>
      <c r="AN1482" s="77"/>
      <c r="AO1482" s="77"/>
      <c r="AP1482" s="77"/>
      <c r="AQ1482" s="77"/>
      <c r="AR1482" s="77"/>
      <c r="AS1482" s="77"/>
      <c r="AT1482" s="77"/>
      <c r="AU1482" s="77"/>
      <c r="AV1482" s="83" t="str">
        <f>HYPERLINK("https://pbs.twimg.com/profile_images/1559883556846977024/bXHnQFY0_normal.jpg")</f>
        <v>https://pbs.twimg.com/profile_images/1559883556846977024/bXHnQFY0_normal.jpg</v>
      </c>
      <c r="AW1482" s="80" t="s">
        <v>17349</v>
      </c>
      <c r="AX1482" s="80" t="s">
        <v>17349</v>
      </c>
      <c r="AY1482" s="77"/>
      <c r="AZ1482" s="80" t="s">
        <v>20380</v>
      </c>
      <c r="BA1482" s="80" t="s">
        <v>20380</v>
      </c>
      <c r="BB1482" s="80" t="s">
        <v>20380</v>
      </c>
      <c r="BC1482" s="80" t="s">
        <v>17349</v>
      </c>
      <c r="BD1482" s="77">
        <v>51150679</v>
      </c>
      <c r="BE1482" s="77"/>
      <c r="BF1482" s="77"/>
      <c r="BG1482" s="77"/>
      <c r="BH1482" s="77"/>
      <c r="BI1482" s="77"/>
    </row>
    <row r="1483" spans="1:61" x14ac:dyDescent="0.25">
      <c r="A1483" s="62" t="s">
        <v>790</v>
      </c>
      <c r="B1483" s="62" t="s">
        <v>790</v>
      </c>
      <c r="C1483" s="63"/>
      <c r="D1483" s="64"/>
      <c r="E1483" s="65"/>
      <c r="F1483" s="66"/>
      <c r="G1483" s="63"/>
      <c r="H1483" s="67"/>
      <c r="I1483" s="68"/>
      <c r="J1483" s="68"/>
      <c r="K1483" s="32"/>
      <c r="L1483" s="75">
        <v>1483</v>
      </c>
      <c r="M1483" s="75"/>
      <c r="N1483" s="70"/>
      <c r="O1483" s="77" t="s">
        <v>179</v>
      </c>
      <c r="P1483" s="79">
        <v>45124.499884259261</v>
      </c>
      <c r="Q1483" s="77" t="s">
        <v>3379</v>
      </c>
      <c r="R1483" s="77">
        <v>0</v>
      </c>
      <c r="S1483" s="77">
        <v>5</v>
      </c>
      <c r="T1483" s="77">
        <v>1</v>
      </c>
      <c r="U1483" s="77">
        <v>0</v>
      </c>
      <c r="V1483" s="77">
        <v>1055</v>
      </c>
      <c r="W1483" s="80" t="s">
        <v>6934</v>
      </c>
      <c r="X1483" s="83" t="str">
        <f>HYPERLINK("https://www.moneytimes.com.br/mercado-pausa-projecoes-de-queda-da-inflacao-apos-oito-semanas-confira-o-focus-desta-segunda-17/")</f>
        <v>https://www.moneytimes.com.br/mercado-pausa-projecoes-de-queda-da-inflacao-apos-oito-semanas-confira-o-focus-desta-segunda-17/</v>
      </c>
      <c r="Y1483" s="77" t="s">
        <v>8611</v>
      </c>
      <c r="Z1483" s="77"/>
      <c r="AA1483" s="77"/>
      <c r="AB1483" s="77"/>
      <c r="AC1483" s="80" t="s">
        <v>10558</v>
      </c>
      <c r="AD1483" s="77" t="s">
        <v>10617</v>
      </c>
      <c r="AE1483" s="83" t="str">
        <f>HYPERLINK("https://twitter.com/leiamoneytimes/status/1680910174721126401")</f>
        <v>https://twitter.com/leiamoneytimes/status/1680910174721126401</v>
      </c>
      <c r="AF1483" s="79">
        <v>45124.499884259261</v>
      </c>
      <c r="AG1483" s="85">
        <v>45124</v>
      </c>
      <c r="AH1483" s="80" t="s">
        <v>11921</v>
      </c>
      <c r="AI1483" s="77" t="b">
        <v>0</v>
      </c>
      <c r="AJ1483" s="77"/>
      <c r="AK1483" s="77"/>
      <c r="AL1483" s="77"/>
      <c r="AM1483" s="77"/>
      <c r="AN1483" s="77"/>
      <c r="AO1483" s="77"/>
      <c r="AP1483" s="77"/>
      <c r="AQ1483" s="77"/>
      <c r="AR1483" s="77"/>
      <c r="AS1483" s="77"/>
      <c r="AT1483" s="77"/>
      <c r="AU1483" s="77"/>
      <c r="AV1483" s="83" t="str">
        <f>HYPERLINK("https://pbs.twimg.com/profile_images/1559883556846977024/bXHnQFY0_normal.jpg")</f>
        <v>https://pbs.twimg.com/profile_images/1559883556846977024/bXHnQFY0_normal.jpg</v>
      </c>
      <c r="AW1483" s="80" t="s">
        <v>17350</v>
      </c>
      <c r="AX1483" s="80" t="s">
        <v>17350</v>
      </c>
      <c r="AY1483" s="77"/>
      <c r="AZ1483" s="80" t="s">
        <v>20380</v>
      </c>
      <c r="BA1483" s="80" t="s">
        <v>20380</v>
      </c>
      <c r="BB1483" s="80" t="s">
        <v>20380</v>
      </c>
      <c r="BC1483" s="80" t="s">
        <v>17350</v>
      </c>
      <c r="BD1483" s="77">
        <v>51150679</v>
      </c>
      <c r="BE1483" s="77"/>
      <c r="BF1483" s="77"/>
      <c r="BG1483" s="77"/>
      <c r="BH1483" s="77"/>
      <c r="BI1483" s="77"/>
    </row>
    <row r="1484" spans="1:61" x14ac:dyDescent="0.25">
      <c r="A1484" s="62" t="s">
        <v>790</v>
      </c>
      <c r="B1484" s="62" t="s">
        <v>790</v>
      </c>
      <c r="C1484" s="63"/>
      <c r="D1484" s="64"/>
      <c r="E1484" s="65"/>
      <c r="F1484" s="66"/>
      <c r="G1484" s="63"/>
      <c r="H1484" s="67"/>
      <c r="I1484" s="68"/>
      <c r="J1484" s="68"/>
      <c r="K1484" s="32"/>
      <c r="L1484" s="75">
        <v>1484</v>
      </c>
      <c r="M1484" s="75"/>
      <c r="N1484" s="70"/>
      <c r="O1484" s="77" t="s">
        <v>179</v>
      </c>
      <c r="P1484" s="79">
        <v>45103.503333333334</v>
      </c>
      <c r="Q1484" s="77" t="s">
        <v>3380</v>
      </c>
      <c r="R1484" s="77">
        <v>0</v>
      </c>
      <c r="S1484" s="77">
        <v>3</v>
      </c>
      <c r="T1484" s="77">
        <v>1</v>
      </c>
      <c r="U1484" s="77">
        <v>0</v>
      </c>
      <c r="V1484" s="77">
        <v>1072</v>
      </c>
      <c r="W1484" s="80" t="s">
        <v>6934</v>
      </c>
      <c r="X1484" s="83" t="str">
        <f>HYPERLINK("https://www.moneytimes.com.br/projecoes-de-inflacao-seguem-otimistas-mesmo-com-comunicado-duro-do-copom-confira-o-focus-desta-segunda-26/")</f>
        <v>https://www.moneytimes.com.br/projecoes-de-inflacao-seguem-otimistas-mesmo-com-comunicado-duro-do-copom-confira-o-focus-desta-segunda-26/</v>
      </c>
      <c r="Y1484" s="77" t="s">
        <v>8611</v>
      </c>
      <c r="Z1484" s="77"/>
      <c r="AA1484" s="77"/>
      <c r="AB1484" s="77"/>
      <c r="AC1484" s="80" t="s">
        <v>10558</v>
      </c>
      <c r="AD1484" s="77" t="s">
        <v>10617</v>
      </c>
      <c r="AE1484" s="83" t="str">
        <f>HYPERLINK("https://twitter.com/leiamoneytimes/status/1673301281316696064")</f>
        <v>https://twitter.com/leiamoneytimes/status/1673301281316696064</v>
      </c>
      <c r="AF1484" s="79">
        <v>45103.503333333334</v>
      </c>
      <c r="AG1484" s="85">
        <v>45103</v>
      </c>
      <c r="AH1484" s="80" t="s">
        <v>11760</v>
      </c>
      <c r="AI1484" s="77" t="b">
        <v>0</v>
      </c>
      <c r="AJ1484" s="77"/>
      <c r="AK1484" s="77"/>
      <c r="AL1484" s="77"/>
      <c r="AM1484" s="77"/>
      <c r="AN1484" s="77"/>
      <c r="AO1484" s="77"/>
      <c r="AP1484" s="77"/>
      <c r="AQ1484" s="77"/>
      <c r="AR1484" s="77"/>
      <c r="AS1484" s="77"/>
      <c r="AT1484" s="77"/>
      <c r="AU1484" s="77"/>
      <c r="AV1484" s="83" t="str">
        <f>HYPERLINK("https://pbs.twimg.com/profile_images/1559883556846977024/bXHnQFY0_normal.jpg")</f>
        <v>https://pbs.twimg.com/profile_images/1559883556846977024/bXHnQFY0_normal.jpg</v>
      </c>
      <c r="AW1484" s="80" t="s">
        <v>17351</v>
      </c>
      <c r="AX1484" s="80" t="s">
        <v>17351</v>
      </c>
      <c r="AY1484" s="77"/>
      <c r="AZ1484" s="80" t="s">
        <v>20380</v>
      </c>
      <c r="BA1484" s="80" t="s">
        <v>20380</v>
      </c>
      <c r="BB1484" s="80" t="s">
        <v>20380</v>
      </c>
      <c r="BC1484" s="80" t="s">
        <v>17351</v>
      </c>
      <c r="BD1484" s="77">
        <v>51150679</v>
      </c>
      <c r="BE1484" s="77"/>
      <c r="BF1484" s="77"/>
      <c r="BG1484" s="77"/>
      <c r="BH1484" s="77"/>
      <c r="BI1484" s="77"/>
    </row>
    <row r="1485" spans="1:61" x14ac:dyDescent="0.25">
      <c r="A1485" s="62" t="s">
        <v>790</v>
      </c>
      <c r="B1485" s="62" t="s">
        <v>790</v>
      </c>
      <c r="C1485" s="63"/>
      <c r="D1485" s="64"/>
      <c r="E1485" s="65"/>
      <c r="F1485" s="66"/>
      <c r="G1485" s="63"/>
      <c r="H1485" s="67"/>
      <c r="I1485" s="68"/>
      <c r="J1485" s="68"/>
      <c r="K1485" s="32"/>
      <c r="L1485" s="75">
        <v>1485</v>
      </c>
      <c r="M1485" s="75"/>
      <c r="N1485" s="70"/>
      <c r="O1485" s="77" t="s">
        <v>179</v>
      </c>
      <c r="P1485" s="79">
        <v>45103.433333333334</v>
      </c>
      <c r="Q1485" s="77" t="s">
        <v>3381</v>
      </c>
      <c r="R1485" s="77">
        <v>0</v>
      </c>
      <c r="S1485" s="77">
        <v>3</v>
      </c>
      <c r="T1485" s="77">
        <v>1</v>
      </c>
      <c r="U1485" s="77">
        <v>0</v>
      </c>
      <c r="V1485" s="77">
        <v>1709</v>
      </c>
      <c r="W1485" s="80" t="s">
        <v>6935</v>
      </c>
      <c r="X1485" s="83" t="str">
        <f>HYPERLINK("https://www.moneytimes.com.br/morning-times-bolsas-encarnam-o-espirito-da-segunda-feira-e-comecam-semana-de-mau-humor/")</f>
        <v>https://www.moneytimes.com.br/morning-times-bolsas-encarnam-o-espirito-da-segunda-feira-e-comecam-semana-de-mau-humor/</v>
      </c>
      <c r="Y1485" s="77" t="s">
        <v>8611</v>
      </c>
      <c r="Z1485" s="77"/>
      <c r="AA1485" s="77"/>
      <c r="AB1485" s="77"/>
      <c r="AC1485" s="80" t="s">
        <v>10558</v>
      </c>
      <c r="AD1485" s="77" t="s">
        <v>10617</v>
      </c>
      <c r="AE1485" s="83" t="str">
        <f>HYPERLINK("https://twitter.com/leiamoneytimes/status/1673275913276911616")</f>
        <v>https://twitter.com/leiamoneytimes/status/1673275913276911616</v>
      </c>
      <c r="AF1485" s="79">
        <v>45103.433333333334</v>
      </c>
      <c r="AG1485" s="85">
        <v>45103</v>
      </c>
      <c r="AH1485" s="80" t="s">
        <v>11922</v>
      </c>
      <c r="AI1485" s="77" t="b">
        <v>0</v>
      </c>
      <c r="AJ1485" s="77"/>
      <c r="AK1485" s="77"/>
      <c r="AL1485" s="77"/>
      <c r="AM1485" s="77"/>
      <c r="AN1485" s="77"/>
      <c r="AO1485" s="77"/>
      <c r="AP1485" s="77"/>
      <c r="AQ1485" s="77"/>
      <c r="AR1485" s="77"/>
      <c r="AS1485" s="77"/>
      <c r="AT1485" s="77"/>
      <c r="AU1485" s="77"/>
      <c r="AV1485" s="83" t="str">
        <f>HYPERLINK("https://pbs.twimg.com/profile_images/1559883556846977024/bXHnQFY0_normal.jpg")</f>
        <v>https://pbs.twimg.com/profile_images/1559883556846977024/bXHnQFY0_normal.jpg</v>
      </c>
      <c r="AW1485" s="80" t="s">
        <v>17352</v>
      </c>
      <c r="AX1485" s="80" t="s">
        <v>17352</v>
      </c>
      <c r="AY1485" s="77"/>
      <c r="AZ1485" s="80" t="s">
        <v>20380</v>
      </c>
      <c r="BA1485" s="80" t="s">
        <v>20380</v>
      </c>
      <c r="BB1485" s="80" t="s">
        <v>20380</v>
      </c>
      <c r="BC1485" s="80" t="s">
        <v>17352</v>
      </c>
      <c r="BD1485" s="77">
        <v>51150679</v>
      </c>
      <c r="BE1485" s="77"/>
      <c r="BF1485" s="77"/>
      <c r="BG1485" s="77"/>
      <c r="BH1485" s="77"/>
      <c r="BI1485" s="77"/>
    </row>
    <row r="1486" spans="1:61" x14ac:dyDescent="0.25">
      <c r="A1486" s="62" t="s">
        <v>790</v>
      </c>
      <c r="B1486" s="62" t="s">
        <v>790</v>
      </c>
      <c r="C1486" s="63"/>
      <c r="D1486" s="64"/>
      <c r="E1486" s="65"/>
      <c r="F1486" s="66"/>
      <c r="G1486" s="63"/>
      <c r="H1486" s="67"/>
      <c r="I1486" s="68"/>
      <c r="J1486" s="68"/>
      <c r="K1486" s="32"/>
      <c r="L1486" s="75">
        <v>1486</v>
      </c>
      <c r="M1486" s="75"/>
      <c r="N1486" s="70"/>
      <c r="O1486" s="77" t="s">
        <v>179</v>
      </c>
      <c r="P1486" s="79">
        <v>45101.66747685185</v>
      </c>
      <c r="Q1486" s="77" t="s">
        <v>3382</v>
      </c>
      <c r="R1486" s="77">
        <v>2</v>
      </c>
      <c r="S1486" s="77">
        <v>6</v>
      </c>
      <c r="T1486" s="77">
        <v>1</v>
      </c>
      <c r="U1486" s="77">
        <v>0</v>
      </c>
      <c r="V1486" s="77">
        <v>1688</v>
      </c>
      <c r="W1486" s="80" t="s">
        <v>6936</v>
      </c>
      <c r="X1486" s="83" t="str">
        <f>HYPERLINK("https://www.moneytimes.com.br/julgamento-de-bolsonaro-e-ata-do-copom-veja-o-que-movimenta-a-semana/")</f>
        <v>https://www.moneytimes.com.br/julgamento-de-bolsonaro-e-ata-do-copom-veja-o-que-movimenta-a-semana/</v>
      </c>
      <c r="Y1486" s="77" t="s">
        <v>8611</v>
      </c>
      <c r="Z1486" s="77"/>
      <c r="AA1486" s="77"/>
      <c r="AB1486" s="77"/>
      <c r="AC1486" s="80" t="s">
        <v>10558</v>
      </c>
      <c r="AD1486" s="77" t="s">
        <v>10617</v>
      </c>
      <c r="AE1486" s="83" t="str">
        <f>HYPERLINK("https://twitter.com/leiamoneytimes/status/1672635987455868928")</f>
        <v>https://twitter.com/leiamoneytimes/status/1672635987455868928</v>
      </c>
      <c r="AF1486" s="79">
        <v>45101.66747685185</v>
      </c>
      <c r="AG1486" s="85">
        <v>45101</v>
      </c>
      <c r="AH1486" s="80" t="s">
        <v>11923</v>
      </c>
      <c r="AI1486" s="77" t="b">
        <v>0</v>
      </c>
      <c r="AJ1486" s="77"/>
      <c r="AK1486" s="77"/>
      <c r="AL1486" s="77"/>
      <c r="AM1486" s="77"/>
      <c r="AN1486" s="77"/>
      <c r="AO1486" s="77"/>
      <c r="AP1486" s="77"/>
      <c r="AQ1486" s="77"/>
      <c r="AR1486" s="77"/>
      <c r="AS1486" s="77"/>
      <c r="AT1486" s="77"/>
      <c r="AU1486" s="77"/>
      <c r="AV1486" s="83" t="str">
        <f>HYPERLINK("https://pbs.twimg.com/profile_images/1559883556846977024/bXHnQFY0_normal.jpg")</f>
        <v>https://pbs.twimg.com/profile_images/1559883556846977024/bXHnQFY0_normal.jpg</v>
      </c>
      <c r="AW1486" s="80" t="s">
        <v>17353</v>
      </c>
      <c r="AX1486" s="80" t="s">
        <v>17353</v>
      </c>
      <c r="AY1486" s="77"/>
      <c r="AZ1486" s="80" t="s">
        <v>20380</v>
      </c>
      <c r="BA1486" s="80" t="s">
        <v>20380</v>
      </c>
      <c r="BB1486" s="80" t="s">
        <v>20380</v>
      </c>
      <c r="BC1486" s="80" t="s">
        <v>17353</v>
      </c>
      <c r="BD1486" s="77">
        <v>51150679</v>
      </c>
      <c r="BE1486" s="77"/>
      <c r="BF1486" s="77"/>
      <c r="BG1486" s="77"/>
      <c r="BH1486" s="77"/>
      <c r="BI1486" s="77"/>
    </row>
    <row r="1487" spans="1:61" x14ac:dyDescent="0.25">
      <c r="A1487" s="62" t="s">
        <v>790</v>
      </c>
      <c r="B1487" s="62" t="s">
        <v>790</v>
      </c>
      <c r="C1487" s="63"/>
      <c r="D1487" s="64"/>
      <c r="E1487" s="65"/>
      <c r="F1487" s="66"/>
      <c r="G1487" s="63"/>
      <c r="H1487" s="67"/>
      <c r="I1487" s="68"/>
      <c r="J1487" s="68"/>
      <c r="K1487" s="32"/>
      <c r="L1487" s="75">
        <v>1487</v>
      </c>
      <c r="M1487" s="75"/>
      <c r="N1487" s="70"/>
      <c r="O1487" s="77" t="s">
        <v>179</v>
      </c>
      <c r="P1487" s="79">
        <v>45101.584131944444</v>
      </c>
      <c r="Q1487" s="77" t="s">
        <v>3383</v>
      </c>
      <c r="R1487" s="77">
        <v>0</v>
      </c>
      <c r="S1487" s="77">
        <v>4</v>
      </c>
      <c r="T1487" s="77">
        <v>1</v>
      </c>
      <c r="U1487" s="77">
        <v>0</v>
      </c>
      <c r="V1487" s="77">
        <v>1346</v>
      </c>
      <c r="W1487" s="80" t="s">
        <v>6934</v>
      </c>
      <c r="X1487" s="83" t="str">
        <f>HYPERLINK("https://www.moneytimes.com.br/fantasma-do-copom-ata-e-reuniao-do-cmn-prometem-agitar-o-ibovespa-ibov-confira-a-agenda-da-semana/")</f>
        <v>https://www.moneytimes.com.br/fantasma-do-copom-ata-e-reuniao-do-cmn-prometem-agitar-o-ibovespa-ibov-confira-a-agenda-da-semana/</v>
      </c>
      <c r="Y1487" s="77" t="s">
        <v>8611</v>
      </c>
      <c r="Z1487" s="77"/>
      <c r="AA1487" s="77"/>
      <c r="AB1487" s="77"/>
      <c r="AC1487" s="80" t="s">
        <v>10558</v>
      </c>
      <c r="AD1487" s="77" t="s">
        <v>10617</v>
      </c>
      <c r="AE1487" s="83" t="str">
        <f>HYPERLINK("https://twitter.com/leiamoneytimes/status/1672605786286039043")</f>
        <v>https://twitter.com/leiamoneytimes/status/1672605786286039043</v>
      </c>
      <c r="AF1487" s="79">
        <v>45101.584131944444</v>
      </c>
      <c r="AG1487" s="85">
        <v>45101</v>
      </c>
      <c r="AH1487" s="80" t="s">
        <v>11924</v>
      </c>
      <c r="AI1487" s="77" t="b">
        <v>0</v>
      </c>
      <c r="AJ1487" s="77"/>
      <c r="AK1487" s="77"/>
      <c r="AL1487" s="77"/>
      <c r="AM1487" s="77"/>
      <c r="AN1487" s="77"/>
      <c r="AO1487" s="77"/>
      <c r="AP1487" s="77"/>
      <c r="AQ1487" s="77"/>
      <c r="AR1487" s="77"/>
      <c r="AS1487" s="77"/>
      <c r="AT1487" s="77"/>
      <c r="AU1487" s="77"/>
      <c r="AV1487" s="83" t="str">
        <f>HYPERLINK("https://pbs.twimg.com/profile_images/1559883556846977024/bXHnQFY0_normal.jpg")</f>
        <v>https://pbs.twimg.com/profile_images/1559883556846977024/bXHnQFY0_normal.jpg</v>
      </c>
      <c r="AW1487" s="80" t="s">
        <v>17354</v>
      </c>
      <c r="AX1487" s="80" t="s">
        <v>17354</v>
      </c>
      <c r="AY1487" s="77"/>
      <c r="AZ1487" s="80" t="s">
        <v>20380</v>
      </c>
      <c r="BA1487" s="80" t="s">
        <v>20380</v>
      </c>
      <c r="BB1487" s="80" t="s">
        <v>20380</v>
      </c>
      <c r="BC1487" s="80" t="s">
        <v>17354</v>
      </c>
      <c r="BD1487" s="77">
        <v>51150679</v>
      </c>
      <c r="BE1487" s="77"/>
      <c r="BF1487" s="77"/>
      <c r="BG1487" s="77"/>
      <c r="BH1487" s="77"/>
      <c r="BI1487" s="77"/>
    </row>
    <row r="1488" spans="1:61" x14ac:dyDescent="0.25">
      <c r="A1488" s="62" t="s">
        <v>790</v>
      </c>
      <c r="B1488" s="62" t="s">
        <v>790</v>
      </c>
      <c r="C1488" s="63"/>
      <c r="D1488" s="64"/>
      <c r="E1488" s="65"/>
      <c r="F1488" s="66"/>
      <c r="G1488" s="63"/>
      <c r="H1488" s="67"/>
      <c r="I1488" s="68"/>
      <c r="J1488" s="68"/>
      <c r="K1488" s="32"/>
      <c r="L1488" s="75">
        <v>1488</v>
      </c>
      <c r="M1488" s="75"/>
      <c r="N1488" s="70"/>
      <c r="O1488" s="77" t="s">
        <v>179</v>
      </c>
      <c r="P1488" s="79">
        <v>45100.577453703707</v>
      </c>
      <c r="Q1488" s="77" t="s">
        <v>3384</v>
      </c>
      <c r="R1488" s="77">
        <v>0</v>
      </c>
      <c r="S1488" s="77">
        <v>5</v>
      </c>
      <c r="T1488" s="77">
        <v>0</v>
      </c>
      <c r="U1488" s="77">
        <v>0</v>
      </c>
      <c r="V1488" s="77">
        <v>1042</v>
      </c>
      <c r="W1488" s="80" t="s">
        <v>6931</v>
      </c>
      <c r="X1488" s="83" t="str">
        <f>HYPERLINK("https://www.moneytimes.com.br/entenda-o-plano-do-banco-central-para-explicar-sua-politica-monetaria/")</f>
        <v>https://www.moneytimes.com.br/entenda-o-plano-do-banco-central-para-explicar-sua-politica-monetaria/</v>
      </c>
      <c r="Y1488" s="77" t="s">
        <v>8611</v>
      </c>
      <c r="Z1488" s="77"/>
      <c r="AA1488" s="77"/>
      <c r="AB1488" s="77"/>
      <c r="AC1488" s="80" t="s">
        <v>10558</v>
      </c>
      <c r="AD1488" s="77" t="s">
        <v>10617</v>
      </c>
      <c r="AE1488" s="83" t="str">
        <f>HYPERLINK("https://twitter.com/leiamoneytimes/status/1672240979292614656")</f>
        <v>https://twitter.com/leiamoneytimes/status/1672240979292614656</v>
      </c>
      <c r="AF1488" s="79">
        <v>45100.577453703707</v>
      </c>
      <c r="AG1488" s="85">
        <v>45100</v>
      </c>
      <c r="AH1488" s="80" t="s">
        <v>11925</v>
      </c>
      <c r="AI1488" s="77" t="b">
        <v>0</v>
      </c>
      <c r="AJ1488" s="77"/>
      <c r="AK1488" s="77"/>
      <c r="AL1488" s="77"/>
      <c r="AM1488" s="77"/>
      <c r="AN1488" s="77"/>
      <c r="AO1488" s="77"/>
      <c r="AP1488" s="77"/>
      <c r="AQ1488" s="77"/>
      <c r="AR1488" s="77"/>
      <c r="AS1488" s="77"/>
      <c r="AT1488" s="77"/>
      <c r="AU1488" s="77"/>
      <c r="AV1488" s="83" t="str">
        <f>HYPERLINK("https://pbs.twimg.com/profile_images/1559883556846977024/bXHnQFY0_normal.jpg")</f>
        <v>https://pbs.twimg.com/profile_images/1559883556846977024/bXHnQFY0_normal.jpg</v>
      </c>
      <c r="AW1488" s="80" t="s">
        <v>17355</v>
      </c>
      <c r="AX1488" s="80" t="s">
        <v>17355</v>
      </c>
      <c r="AY1488" s="77"/>
      <c r="AZ1488" s="80" t="s">
        <v>20380</v>
      </c>
      <c r="BA1488" s="80" t="s">
        <v>20380</v>
      </c>
      <c r="BB1488" s="80" t="s">
        <v>20380</v>
      </c>
      <c r="BC1488" s="80" t="s">
        <v>17355</v>
      </c>
      <c r="BD1488" s="77">
        <v>51150679</v>
      </c>
      <c r="BE1488" s="77"/>
      <c r="BF1488" s="77"/>
      <c r="BG1488" s="77"/>
      <c r="BH1488" s="77"/>
      <c r="BI1488" s="77"/>
    </row>
    <row r="1489" spans="1:61" x14ac:dyDescent="0.25">
      <c r="A1489" s="62" t="s">
        <v>790</v>
      </c>
      <c r="B1489" s="62" t="s">
        <v>790</v>
      </c>
      <c r="C1489" s="63"/>
      <c r="D1489" s="64"/>
      <c r="E1489" s="65"/>
      <c r="F1489" s="66"/>
      <c r="G1489" s="63"/>
      <c r="H1489" s="67"/>
      <c r="I1489" s="68"/>
      <c r="J1489" s="68"/>
      <c r="K1489" s="32"/>
      <c r="L1489" s="75">
        <v>1489</v>
      </c>
      <c r="M1489" s="75"/>
      <c r="N1489" s="70"/>
      <c r="O1489" s="77" t="s">
        <v>179</v>
      </c>
      <c r="P1489" s="79">
        <v>45089.491435185184</v>
      </c>
      <c r="Q1489" s="77" t="s">
        <v>3385</v>
      </c>
      <c r="R1489" s="77">
        <v>0</v>
      </c>
      <c r="S1489" s="77">
        <v>5</v>
      </c>
      <c r="T1489" s="77">
        <v>1</v>
      </c>
      <c r="U1489" s="77">
        <v>0</v>
      </c>
      <c r="V1489" s="77">
        <v>1910</v>
      </c>
      <c r="W1489" s="80" t="s">
        <v>6934</v>
      </c>
      <c r="X1489" s="83" t="str">
        <f>HYPERLINK("https://www.moneytimes.com.br/projecao-de-inflacao-desaba-apos-ipca-de-maio-confira-o-focus-desta-segunda-12/")</f>
        <v>https://www.moneytimes.com.br/projecao-de-inflacao-desaba-apos-ipca-de-maio-confira-o-focus-desta-segunda-12/</v>
      </c>
      <c r="Y1489" s="77" t="s">
        <v>8611</v>
      </c>
      <c r="Z1489" s="77"/>
      <c r="AA1489" s="77"/>
      <c r="AB1489" s="77"/>
      <c r="AC1489" s="80" t="s">
        <v>10558</v>
      </c>
      <c r="AD1489" s="77" t="s">
        <v>10617</v>
      </c>
      <c r="AE1489" s="83" t="str">
        <f>HYPERLINK("https://twitter.com/leiamoneytimes/status/1668223538614923264")</f>
        <v>https://twitter.com/leiamoneytimes/status/1668223538614923264</v>
      </c>
      <c r="AF1489" s="79">
        <v>45089.491435185184</v>
      </c>
      <c r="AG1489" s="85">
        <v>45089</v>
      </c>
      <c r="AH1489" s="80" t="s">
        <v>11926</v>
      </c>
      <c r="AI1489" s="77" t="b">
        <v>0</v>
      </c>
      <c r="AJ1489" s="77"/>
      <c r="AK1489" s="77"/>
      <c r="AL1489" s="77"/>
      <c r="AM1489" s="77"/>
      <c r="AN1489" s="77"/>
      <c r="AO1489" s="77"/>
      <c r="AP1489" s="77"/>
      <c r="AQ1489" s="77"/>
      <c r="AR1489" s="77"/>
      <c r="AS1489" s="77"/>
      <c r="AT1489" s="77"/>
      <c r="AU1489" s="77"/>
      <c r="AV1489" s="83" t="str">
        <f>HYPERLINK("https://pbs.twimg.com/profile_images/1559883556846977024/bXHnQFY0_normal.jpg")</f>
        <v>https://pbs.twimg.com/profile_images/1559883556846977024/bXHnQFY0_normal.jpg</v>
      </c>
      <c r="AW1489" s="80" t="s">
        <v>17356</v>
      </c>
      <c r="AX1489" s="80" t="s">
        <v>17356</v>
      </c>
      <c r="AY1489" s="77"/>
      <c r="AZ1489" s="80" t="s">
        <v>20380</v>
      </c>
      <c r="BA1489" s="80" t="s">
        <v>20380</v>
      </c>
      <c r="BB1489" s="80" t="s">
        <v>20380</v>
      </c>
      <c r="BC1489" s="80" t="s">
        <v>17356</v>
      </c>
      <c r="BD1489" s="77">
        <v>51150679</v>
      </c>
      <c r="BE1489" s="77"/>
      <c r="BF1489" s="77"/>
      <c r="BG1489" s="77"/>
      <c r="BH1489" s="77"/>
      <c r="BI1489" s="77"/>
    </row>
    <row r="1490" spans="1:61" x14ac:dyDescent="0.25">
      <c r="A1490" s="62" t="s">
        <v>790</v>
      </c>
      <c r="B1490" s="62" t="s">
        <v>790</v>
      </c>
      <c r="C1490" s="63"/>
      <c r="D1490" s="64"/>
      <c r="E1490" s="65"/>
      <c r="F1490" s="66"/>
      <c r="G1490" s="63"/>
      <c r="H1490" s="67"/>
      <c r="I1490" s="68"/>
      <c r="J1490" s="68"/>
      <c r="K1490" s="32"/>
      <c r="L1490" s="75">
        <v>1490</v>
      </c>
      <c r="M1490" s="75"/>
      <c r="N1490" s="70"/>
      <c r="O1490" s="77" t="s">
        <v>179</v>
      </c>
      <c r="P1490" s="79">
        <v>45087.730729166666</v>
      </c>
      <c r="Q1490" s="77" t="s">
        <v>3386</v>
      </c>
      <c r="R1490" s="77">
        <v>2</v>
      </c>
      <c r="S1490" s="77">
        <v>11</v>
      </c>
      <c r="T1490" s="77">
        <v>0</v>
      </c>
      <c r="U1490" s="77">
        <v>0</v>
      </c>
      <c r="V1490" s="77">
        <v>2845</v>
      </c>
      <c r="W1490" s="80" t="s">
        <v>6931</v>
      </c>
      <c r="X1490" s="83" t="str">
        <f>HYPERLINK("https://www.moneytimes.com.br/dinheiro-esquecido-r-7-bilhoes-nao-foram-recuperados-veja-como-consultar-e-reaver-valores/")</f>
        <v>https://www.moneytimes.com.br/dinheiro-esquecido-r-7-bilhoes-nao-foram-recuperados-veja-como-consultar-e-reaver-valores/</v>
      </c>
      <c r="Y1490" s="77" t="s">
        <v>8611</v>
      </c>
      <c r="Z1490" s="77"/>
      <c r="AA1490" s="77"/>
      <c r="AB1490" s="77"/>
      <c r="AC1490" s="80" t="s">
        <v>10558</v>
      </c>
      <c r="AD1490" s="77" t="s">
        <v>10617</v>
      </c>
      <c r="AE1490" s="83" t="str">
        <f>HYPERLINK("https://twitter.com/leiamoneytimes/status/1667585478814576640")</f>
        <v>https://twitter.com/leiamoneytimes/status/1667585478814576640</v>
      </c>
      <c r="AF1490" s="79">
        <v>45087.730729166666</v>
      </c>
      <c r="AG1490" s="85">
        <v>45087</v>
      </c>
      <c r="AH1490" s="80" t="s">
        <v>11927</v>
      </c>
      <c r="AI1490" s="77" t="b">
        <v>0</v>
      </c>
      <c r="AJ1490" s="77"/>
      <c r="AK1490" s="77"/>
      <c r="AL1490" s="77"/>
      <c r="AM1490" s="77"/>
      <c r="AN1490" s="77"/>
      <c r="AO1490" s="77"/>
      <c r="AP1490" s="77"/>
      <c r="AQ1490" s="77"/>
      <c r="AR1490" s="77"/>
      <c r="AS1490" s="77"/>
      <c r="AT1490" s="77"/>
      <c r="AU1490" s="77"/>
      <c r="AV1490" s="83" t="str">
        <f>HYPERLINK("https://pbs.twimg.com/profile_images/1559883556846977024/bXHnQFY0_normal.jpg")</f>
        <v>https://pbs.twimg.com/profile_images/1559883556846977024/bXHnQFY0_normal.jpg</v>
      </c>
      <c r="AW1490" s="80" t="s">
        <v>17357</v>
      </c>
      <c r="AX1490" s="80" t="s">
        <v>17357</v>
      </c>
      <c r="AY1490" s="77"/>
      <c r="AZ1490" s="80" t="s">
        <v>20380</v>
      </c>
      <c r="BA1490" s="80" t="s">
        <v>20380</v>
      </c>
      <c r="BB1490" s="80" t="s">
        <v>20380</v>
      </c>
      <c r="BC1490" s="80" t="s">
        <v>17357</v>
      </c>
      <c r="BD1490" s="77">
        <v>51150679</v>
      </c>
      <c r="BE1490" s="77"/>
      <c r="BF1490" s="77"/>
      <c r="BG1490" s="77"/>
      <c r="BH1490" s="77"/>
      <c r="BI1490" s="77"/>
    </row>
    <row r="1491" spans="1:61" x14ac:dyDescent="0.25">
      <c r="A1491" s="62" t="s">
        <v>790</v>
      </c>
      <c r="B1491" s="62" t="s">
        <v>790</v>
      </c>
      <c r="C1491" s="63"/>
      <c r="D1491" s="64"/>
      <c r="E1491" s="65"/>
      <c r="F1491" s="66"/>
      <c r="G1491" s="63"/>
      <c r="H1491" s="67"/>
      <c r="I1491" s="68"/>
      <c r="J1491" s="68"/>
      <c r="K1491" s="32"/>
      <c r="L1491" s="75">
        <v>1491</v>
      </c>
      <c r="M1491" s="75"/>
      <c r="N1491" s="70"/>
      <c r="O1491" s="77" t="s">
        <v>179</v>
      </c>
      <c r="P1491" s="79">
        <v>45087.584143518521</v>
      </c>
      <c r="Q1491" s="77" t="s">
        <v>3387</v>
      </c>
      <c r="R1491" s="77">
        <v>2</v>
      </c>
      <c r="S1491" s="77">
        <v>6</v>
      </c>
      <c r="T1491" s="77">
        <v>0</v>
      </c>
      <c r="U1491" s="77">
        <v>0</v>
      </c>
      <c r="V1491" s="77">
        <v>2173</v>
      </c>
      <c r="W1491" s="80" t="s">
        <v>6937</v>
      </c>
      <c r="X1491" s="83" t="str">
        <f>HYPERLINK("https://www.moneytimes.com.br/inflacao-e-federal-reserve-testam-saude-cardiaca-do-mercado-confira-a-agenda/")</f>
        <v>https://www.moneytimes.com.br/inflacao-e-federal-reserve-testam-saude-cardiaca-do-mercado-confira-a-agenda/</v>
      </c>
      <c r="Y1491" s="77" t="s">
        <v>8611</v>
      </c>
      <c r="Z1491" s="77"/>
      <c r="AA1491" s="77"/>
      <c r="AB1491" s="77"/>
      <c r="AC1491" s="80" t="s">
        <v>10558</v>
      </c>
      <c r="AD1491" s="77" t="s">
        <v>10617</v>
      </c>
      <c r="AE1491" s="83" t="str">
        <f>HYPERLINK("https://twitter.com/leiamoneytimes/status/1667532359812493313")</f>
        <v>https://twitter.com/leiamoneytimes/status/1667532359812493313</v>
      </c>
      <c r="AF1491" s="79">
        <v>45087.584143518521</v>
      </c>
      <c r="AG1491" s="85">
        <v>45087</v>
      </c>
      <c r="AH1491" s="80" t="s">
        <v>11928</v>
      </c>
      <c r="AI1491" s="77" t="b">
        <v>0</v>
      </c>
      <c r="AJ1491" s="77"/>
      <c r="AK1491" s="77"/>
      <c r="AL1491" s="77"/>
      <c r="AM1491" s="77"/>
      <c r="AN1491" s="77"/>
      <c r="AO1491" s="77"/>
      <c r="AP1491" s="77"/>
      <c r="AQ1491" s="77"/>
      <c r="AR1491" s="77"/>
      <c r="AS1491" s="77"/>
      <c r="AT1491" s="77"/>
      <c r="AU1491" s="77"/>
      <c r="AV1491" s="83" t="str">
        <f>HYPERLINK("https://pbs.twimg.com/profile_images/1559883556846977024/bXHnQFY0_normal.jpg")</f>
        <v>https://pbs.twimg.com/profile_images/1559883556846977024/bXHnQFY0_normal.jpg</v>
      </c>
      <c r="AW1491" s="80" t="s">
        <v>17358</v>
      </c>
      <c r="AX1491" s="80" t="s">
        <v>17358</v>
      </c>
      <c r="AY1491" s="77"/>
      <c r="AZ1491" s="80" t="s">
        <v>20380</v>
      </c>
      <c r="BA1491" s="80" t="s">
        <v>20380</v>
      </c>
      <c r="BB1491" s="80" t="s">
        <v>20380</v>
      </c>
      <c r="BC1491" s="80" t="s">
        <v>17358</v>
      </c>
      <c r="BD1491" s="77">
        <v>51150679</v>
      </c>
      <c r="BE1491" s="77"/>
      <c r="BF1491" s="77"/>
      <c r="BG1491" s="77"/>
      <c r="BH1491" s="77"/>
      <c r="BI1491" s="77"/>
    </row>
    <row r="1492" spans="1:61" x14ac:dyDescent="0.25">
      <c r="A1492" s="62" t="s">
        <v>790</v>
      </c>
      <c r="B1492" s="62" t="s">
        <v>790</v>
      </c>
      <c r="C1492" s="63"/>
      <c r="D1492" s="64"/>
      <c r="E1492" s="65"/>
      <c r="F1492" s="66"/>
      <c r="G1492" s="63"/>
      <c r="H1492" s="67"/>
      <c r="I1492" s="68"/>
      <c r="J1492" s="68"/>
      <c r="K1492" s="32"/>
      <c r="L1492" s="75">
        <v>1492</v>
      </c>
      <c r="M1492" s="75"/>
      <c r="N1492" s="70"/>
      <c r="O1492" s="77" t="s">
        <v>179</v>
      </c>
      <c r="P1492" s="79">
        <v>45085.709120370368</v>
      </c>
      <c r="Q1492" s="77" t="s">
        <v>3388</v>
      </c>
      <c r="R1492" s="77">
        <v>0</v>
      </c>
      <c r="S1492" s="77">
        <v>5</v>
      </c>
      <c r="T1492" s="77">
        <v>0</v>
      </c>
      <c r="U1492" s="77">
        <v>0</v>
      </c>
      <c r="V1492" s="77">
        <v>1878</v>
      </c>
      <c r="W1492" s="80" t="s">
        <v>6938</v>
      </c>
      <c r="X1492" s="83" t="str">
        <f>HYPERLINK("https://www.moneytimes.com.br/desenrola-programa-de-renegociacao-de-dividas-pode-piorar-mercado-de-credito-entenda/")</f>
        <v>https://www.moneytimes.com.br/desenrola-programa-de-renegociacao-de-dividas-pode-piorar-mercado-de-credito-entenda/</v>
      </c>
      <c r="Y1492" s="77" t="s">
        <v>8611</v>
      </c>
      <c r="Z1492" s="77"/>
      <c r="AA1492" s="77"/>
      <c r="AB1492" s="77"/>
      <c r="AC1492" s="80" t="s">
        <v>10558</v>
      </c>
      <c r="AD1492" s="77" t="s">
        <v>10617</v>
      </c>
      <c r="AE1492" s="83" t="str">
        <f>HYPERLINK("https://twitter.com/leiamoneytimes/status/1666852875903938571")</f>
        <v>https://twitter.com/leiamoneytimes/status/1666852875903938571</v>
      </c>
      <c r="AF1492" s="79">
        <v>45085.709120370368</v>
      </c>
      <c r="AG1492" s="85">
        <v>45085</v>
      </c>
      <c r="AH1492" s="80" t="s">
        <v>11929</v>
      </c>
      <c r="AI1492" s="77" t="b">
        <v>0</v>
      </c>
      <c r="AJ1492" s="77"/>
      <c r="AK1492" s="77"/>
      <c r="AL1492" s="77"/>
      <c r="AM1492" s="77"/>
      <c r="AN1492" s="77"/>
      <c r="AO1492" s="77"/>
      <c r="AP1492" s="77"/>
      <c r="AQ1492" s="77"/>
      <c r="AR1492" s="77"/>
      <c r="AS1492" s="77"/>
      <c r="AT1492" s="77"/>
      <c r="AU1492" s="77"/>
      <c r="AV1492" s="83" t="str">
        <f>HYPERLINK("https://pbs.twimg.com/profile_images/1559883556846977024/bXHnQFY0_normal.jpg")</f>
        <v>https://pbs.twimg.com/profile_images/1559883556846977024/bXHnQFY0_normal.jpg</v>
      </c>
      <c r="AW1492" s="80" t="s">
        <v>17359</v>
      </c>
      <c r="AX1492" s="80" t="s">
        <v>17359</v>
      </c>
      <c r="AY1492" s="77"/>
      <c r="AZ1492" s="80" t="s">
        <v>20380</v>
      </c>
      <c r="BA1492" s="80" t="s">
        <v>20380</v>
      </c>
      <c r="BB1492" s="80" t="s">
        <v>20380</v>
      </c>
      <c r="BC1492" s="80" t="s">
        <v>17359</v>
      </c>
      <c r="BD1492" s="77">
        <v>51150679</v>
      </c>
      <c r="BE1492" s="77"/>
      <c r="BF1492" s="77"/>
      <c r="BG1492" s="77"/>
      <c r="BH1492" s="77"/>
      <c r="BI1492" s="77"/>
    </row>
    <row r="1493" spans="1:61" x14ac:dyDescent="0.25">
      <c r="A1493" s="62" t="s">
        <v>790</v>
      </c>
      <c r="B1493" s="62" t="s">
        <v>790</v>
      </c>
      <c r="C1493" s="63"/>
      <c r="D1493" s="64"/>
      <c r="E1493" s="65"/>
      <c r="F1493" s="66"/>
      <c r="G1493" s="63"/>
      <c r="H1493" s="67"/>
      <c r="I1493" s="68"/>
      <c r="J1493" s="68"/>
      <c r="K1493" s="32"/>
      <c r="L1493" s="75">
        <v>1493</v>
      </c>
      <c r="M1493" s="75"/>
      <c r="N1493" s="70"/>
      <c r="O1493" s="77" t="s">
        <v>179</v>
      </c>
      <c r="P1493" s="79">
        <v>45085.665567129632</v>
      </c>
      <c r="Q1493" s="77" t="s">
        <v>3389</v>
      </c>
      <c r="R1493" s="77">
        <v>0</v>
      </c>
      <c r="S1493" s="77">
        <v>1</v>
      </c>
      <c r="T1493" s="77">
        <v>1</v>
      </c>
      <c r="U1493" s="77">
        <v>0</v>
      </c>
      <c r="V1493" s="77">
        <v>1411</v>
      </c>
      <c r="W1493" s="80" t="s">
        <v>6939</v>
      </c>
      <c r="X1493" s="83" t="str">
        <f>HYPERLINK("https://www.moneytimes.com.br/cae-marca-sabatina-de-galipolo-para-27-de-junho/")</f>
        <v>https://www.moneytimes.com.br/cae-marca-sabatina-de-galipolo-para-27-de-junho/</v>
      </c>
      <c r="Y1493" s="77" t="s">
        <v>8611</v>
      </c>
      <c r="Z1493" s="77"/>
      <c r="AA1493" s="77"/>
      <c r="AB1493" s="77"/>
      <c r="AC1493" s="80" t="s">
        <v>10558</v>
      </c>
      <c r="AD1493" s="77" t="s">
        <v>10617</v>
      </c>
      <c r="AE1493" s="83" t="str">
        <f>HYPERLINK("https://twitter.com/leiamoneytimes/status/1666837091504750593")</f>
        <v>https://twitter.com/leiamoneytimes/status/1666837091504750593</v>
      </c>
      <c r="AF1493" s="79">
        <v>45085.665567129632</v>
      </c>
      <c r="AG1493" s="85">
        <v>45085</v>
      </c>
      <c r="AH1493" s="80" t="s">
        <v>11930</v>
      </c>
      <c r="AI1493" s="77" t="b">
        <v>0</v>
      </c>
      <c r="AJ1493" s="77"/>
      <c r="AK1493" s="77"/>
      <c r="AL1493" s="77"/>
      <c r="AM1493" s="77"/>
      <c r="AN1493" s="77"/>
      <c r="AO1493" s="77"/>
      <c r="AP1493" s="77"/>
      <c r="AQ1493" s="77"/>
      <c r="AR1493" s="77"/>
      <c r="AS1493" s="77"/>
      <c r="AT1493" s="77"/>
      <c r="AU1493" s="77"/>
      <c r="AV1493" s="83" t="str">
        <f>HYPERLINK("https://pbs.twimg.com/profile_images/1559883556846977024/bXHnQFY0_normal.jpg")</f>
        <v>https://pbs.twimg.com/profile_images/1559883556846977024/bXHnQFY0_normal.jpg</v>
      </c>
      <c r="AW1493" s="80" t="s">
        <v>17360</v>
      </c>
      <c r="AX1493" s="80" t="s">
        <v>17360</v>
      </c>
      <c r="AY1493" s="77"/>
      <c r="AZ1493" s="80" t="s">
        <v>20380</v>
      </c>
      <c r="BA1493" s="80" t="s">
        <v>20380</v>
      </c>
      <c r="BB1493" s="80" t="s">
        <v>20380</v>
      </c>
      <c r="BC1493" s="80" t="s">
        <v>17360</v>
      </c>
      <c r="BD1493" s="77">
        <v>51150679</v>
      </c>
      <c r="BE1493" s="77"/>
      <c r="BF1493" s="77"/>
      <c r="BG1493" s="77"/>
      <c r="BH1493" s="77"/>
      <c r="BI1493" s="77"/>
    </row>
    <row r="1494" spans="1:61" x14ac:dyDescent="0.25">
      <c r="A1494" s="62" t="s">
        <v>790</v>
      </c>
      <c r="B1494" s="62" t="s">
        <v>790</v>
      </c>
      <c r="C1494" s="63"/>
      <c r="D1494" s="64"/>
      <c r="E1494" s="65"/>
      <c r="F1494" s="66"/>
      <c r="G1494" s="63"/>
      <c r="H1494" s="67"/>
      <c r="I1494" s="68"/>
      <c r="J1494" s="68"/>
      <c r="K1494" s="32"/>
      <c r="L1494" s="75">
        <v>1494</v>
      </c>
      <c r="M1494" s="75"/>
      <c r="N1494" s="70"/>
      <c r="O1494" s="77" t="s">
        <v>179</v>
      </c>
      <c r="P1494" s="79">
        <v>45050.741122685184</v>
      </c>
      <c r="Q1494" s="77" t="s">
        <v>3390</v>
      </c>
      <c r="R1494" s="77">
        <v>1</v>
      </c>
      <c r="S1494" s="77">
        <v>3</v>
      </c>
      <c r="T1494" s="77">
        <v>1</v>
      </c>
      <c r="U1494" s="77">
        <v>0</v>
      </c>
      <c r="V1494" s="77">
        <v>942</v>
      </c>
      <c r="W1494" s="80" t="s">
        <v>6940</v>
      </c>
      <c r="X1494" s="83" t="str">
        <f>HYPERLINK("https://www.moneytimes.com.br/banco-central-acena-para-arcabouco-fiscal-mas-proposta-original-esta-por-um-fio-veja-o-que-pode-mudar-no-congresso/")</f>
        <v>https://www.moneytimes.com.br/banco-central-acena-para-arcabouco-fiscal-mas-proposta-original-esta-por-um-fio-veja-o-que-pode-mudar-no-congresso/</v>
      </c>
      <c r="Y1494" s="77" t="s">
        <v>8611</v>
      </c>
      <c r="Z1494" s="77"/>
      <c r="AA1494" s="77"/>
      <c r="AB1494" s="77"/>
      <c r="AC1494" s="80" t="s">
        <v>10558</v>
      </c>
      <c r="AD1494" s="77" t="s">
        <v>10617</v>
      </c>
      <c r="AE1494" s="83" t="str">
        <f>HYPERLINK("https://twitter.com/leiamoneytimes/status/1654180897858506763")</f>
        <v>https://twitter.com/leiamoneytimes/status/1654180897858506763</v>
      </c>
      <c r="AF1494" s="79">
        <v>45050.741122685184</v>
      </c>
      <c r="AG1494" s="85">
        <v>45050</v>
      </c>
      <c r="AH1494" s="80" t="s">
        <v>11931</v>
      </c>
      <c r="AI1494" s="77" t="b">
        <v>0</v>
      </c>
      <c r="AJ1494" s="77"/>
      <c r="AK1494" s="77"/>
      <c r="AL1494" s="77"/>
      <c r="AM1494" s="77"/>
      <c r="AN1494" s="77"/>
      <c r="AO1494" s="77"/>
      <c r="AP1494" s="77"/>
      <c r="AQ1494" s="77"/>
      <c r="AR1494" s="77"/>
      <c r="AS1494" s="77"/>
      <c r="AT1494" s="77"/>
      <c r="AU1494" s="77"/>
      <c r="AV1494" s="83" t="str">
        <f>HYPERLINK("https://pbs.twimg.com/profile_images/1559883556846977024/bXHnQFY0_normal.jpg")</f>
        <v>https://pbs.twimg.com/profile_images/1559883556846977024/bXHnQFY0_normal.jpg</v>
      </c>
      <c r="AW1494" s="80" t="s">
        <v>17361</v>
      </c>
      <c r="AX1494" s="80" t="s">
        <v>17361</v>
      </c>
      <c r="AY1494" s="77"/>
      <c r="AZ1494" s="80" t="s">
        <v>20380</v>
      </c>
      <c r="BA1494" s="80" t="s">
        <v>20380</v>
      </c>
      <c r="BB1494" s="80" t="s">
        <v>20380</v>
      </c>
      <c r="BC1494" s="80" t="s">
        <v>17361</v>
      </c>
      <c r="BD1494" s="77">
        <v>51150679</v>
      </c>
      <c r="BE1494" s="77"/>
      <c r="BF1494" s="77"/>
      <c r="BG1494" s="77"/>
      <c r="BH1494" s="77"/>
      <c r="BI1494" s="77"/>
    </row>
    <row r="1495" spans="1:61" x14ac:dyDescent="0.25">
      <c r="A1495" s="62" t="s">
        <v>790</v>
      </c>
      <c r="B1495" s="62" t="s">
        <v>790</v>
      </c>
      <c r="C1495" s="63"/>
      <c r="D1495" s="64"/>
      <c r="E1495" s="65"/>
      <c r="F1495" s="66"/>
      <c r="G1495" s="63"/>
      <c r="H1495" s="67"/>
      <c r="I1495" s="68"/>
      <c r="J1495" s="68"/>
      <c r="K1495" s="32"/>
      <c r="L1495" s="75">
        <v>1495</v>
      </c>
      <c r="M1495" s="75"/>
      <c r="N1495" s="70"/>
      <c r="O1495" s="77" t="s">
        <v>179</v>
      </c>
      <c r="P1495" s="79">
        <v>45050.727754629632</v>
      </c>
      <c r="Q1495" s="77" t="s">
        <v>3391</v>
      </c>
      <c r="R1495" s="77">
        <v>1</v>
      </c>
      <c r="S1495" s="77">
        <v>6</v>
      </c>
      <c r="T1495" s="77">
        <v>2</v>
      </c>
      <c r="U1495" s="77">
        <v>0</v>
      </c>
      <c r="V1495" s="77">
        <v>1679</v>
      </c>
      <c r="W1495" s="80" t="s">
        <v>6941</v>
      </c>
      <c r="X1495" s="83" t="str">
        <f>HYPERLINK("https://www.moneytimes.com.br/selic-a-1375-quanto-pode-render-um-cdb-prefixado-a-14-ao-ano-apos-12-meses/")</f>
        <v>https://www.moneytimes.com.br/selic-a-1375-quanto-pode-render-um-cdb-prefixado-a-14-ao-ano-apos-12-meses/</v>
      </c>
      <c r="Y1495" s="77" t="s">
        <v>8611</v>
      </c>
      <c r="Z1495" s="77"/>
      <c r="AA1495" s="77"/>
      <c r="AB1495" s="77"/>
      <c r="AC1495" s="80" t="s">
        <v>10558</v>
      </c>
      <c r="AD1495" s="77" t="s">
        <v>10617</v>
      </c>
      <c r="AE1495" s="83" t="str">
        <f>HYPERLINK("https://twitter.com/leiamoneytimes/status/1654176052178976774")</f>
        <v>https://twitter.com/leiamoneytimes/status/1654176052178976774</v>
      </c>
      <c r="AF1495" s="79">
        <v>45050.727754629632</v>
      </c>
      <c r="AG1495" s="85">
        <v>45050</v>
      </c>
      <c r="AH1495" s="80" t="s">
        <v>11932</v>
      </c>
      <c r="AI1495" s="77" t="b">
        <v>0</v>
      </c>
      <c r="AJ1495" s="77"/>
      <c r="AK1495" s="77"/>
      <c r="AL1495" s="77"/>
      <c r="AM1495" s="77"/>
      <c r="AN1495" s="77"/>
      <c r="AO1495" s="77"/>
      <c r="AP1495" s="77"/>
      <c r="AQ1495" s="77"/>
      <c r="AR1495" s="77"/>
      <c r="AS1495" s="77"/>
      <c r="AT1495" s="77"/>
      <c r="AU1495" s="77"/>
      <c r="AV1495" s="83" t="str">
        <f>HYPERLINK("https://pbs.twimg.com/profile_images/1559883556846977024/bXHnQFY0_normal.jpg")</f>
        <v>https://pbs.twimg.com/profile_images/1559883556846977024/bXHnQFY0_normal.jpg</v>
      </c>
      <c r="AW1495" s="80" t="s">
        <v>17362</v>
      </c>
      <c r="AX1495" s="80" t="s">
        <v>17362</v>
      </c>
      <c r="AY1495" s="77"/>
      <c r="AZ1495" s="80" t="s">
        <v>20380</v>
      </c>
      <c r="BA1495" s="80" t="s">
        <v>20380</v>
      </c>
      <c r="BB1495" s="80" t="s">
        <v>20380</v>
      </c>
      <c r="BC1495" s="80" t="s">
        <v>17362</v>
      </c>
      <c r="BD1495" s="77">
        <v>51150679</v>
      </c>
      <c r="BE1495" s="77"/>
      <c r="BF1495" s="77"/>
      <c r="BG1495" s="77"/>
      <c r="BH1495" s="77"/>
      <c r="BI1495" s="77"/>
    </row>
    <row r="1496" spans="1:61" x14ac:dyDescent="0.25">
      <c r="A1496" s="62" t="s">
        <v>790</v>
      </c>
      <c r="B1496" s="62" t="s">
        <v>790</v>
      </c>
      <c r="C1496" s="63"/>
      <c r="D1496" s="64"/>
      <c r="E1496" s="65"/>
      <c r="F1496" s="66"/>
      <c r="G1496" s="63"/>
      <c r="H1496" s="67"/>
      <c r="I1496" s="68"/>
      <c r="J1496" s="68"/>
      <c r="K1496" s="32"/>
      <c r="L1496" s="75">
        <v>1496</v>
      </c>
      <c r="M1496" s="75"/>
      <c r="N1496" s="70"/>
      <c r="O1496" s="77" t="s">
        <v>179</v>
      </c>
      <c r="P1496" s="79">
        <v>45050.696863425925</v>
      </c>
      <c r="Q1496" s="77" t="s">
        <v>3392</v>
      </c>
      <c r="R1496" s="77">
        <v>0</v>
      </c>
      <c r="S1496" s="77">
        <v>1</v>
      </c>
      <c r="T1496" s="77">
        <v>1</v>
      </c>
      <c r="U1496" s="77">
        <v>0</v>
      </c>
      <c r="V1496" s="77">
        <v>69</v>
      </c>
      <c r="W1496" s="80" t="s">
        <v>6942</v>
      </c>
      <c r="X1496" s="83" t="str">
        <f>HYPERLINK("https://www.moneytimes.com.br/localiza-rent3-espera-crescimento-relevante-em-2023-afirma-presidente/")</f>
        <v>https://www.moneytimes.com.br/localiza-rent3-espera-crescimento-relevante-em-2023-afirma-presidente/</v>
      </c>
      <c r="Y1496" s="77" t="s">
        <v>8611</v>
      </c>
      <c r="Z1496" s="77"/>
      <c r="AA1496" s="77"/>
      <c r="AB1496" s="77"/>
      <c r="AC1496" s="80" t="s">
        <v>10558</v>
      </c>
      <c r="AD1496" s="77" t="s">
        <v>10617</v>
      </c>
      <c r="AE1496" s="83" t="str">
        <f>HYPERLINK("https://twitter.com/leiamoneytimes/status/1654164858022010882")</f>
        <v>https://twitter.com/leiamoneytimes/status/1654164858022010882</v>
      </c>
      <c r="AF1496" s="79">
        <v>45050.696863425925</v>
      </c>
      <c r="AG1496" s="85">
        <v>45050</v>
      </c>
      <c r="AH1496" s="80" t="s">
        <v>11933</v>
      </c>
      <c r="AI1496" s="77" t="b">
        <v>0</v>
      </c>
      <c r="AJ1496" s="77"/>
      <c r="AK1496" s="77"/>
      <c r="AL1496" s="77"/>
      <c r="AM1496" s="77"/>
      <c r="AN1496" s="77"/>
      <c r="AO1496" s="77"/>
      <c r="AP1496" s="77"/>
      <c r="AQ1496" s="77"/>
      <c r="AR1496" s="77"/>
      <c r="AS1496" s="77"/>
      <c r="AT1496" s="77"/>
      <c r="AU1496" s="77"/>
      <c r="AV1496" s="83" t="str">
        <f>HYPERLINK("https://pbs.twimg.com/profile_images/1559883556846977024/bXHnQFY0_normal.jpg")</f>
        <v>https://pbs.twimg.com/profile_images/1559883556846977024/bXHnQFY0_normal.jpg</v>
      </c>
      <c r="AW1496" s="80" t="s">
        <v>17363</v>
      </c>
      <c r="AX1496" s="80" t="s">
        <v>17363</v>
      </c>
      <c r="AY1496" s="77"/>
      <c r="AZ1496" s="80" t="s">
        <v>20380</v>
      </c>
      <c r="BA1496" s="80" t="s">
        <v>20380</v>
      </c>
      <c r="BB1496" s="80" t="s">
        <v>20380</v>
      </c>
      <c r="BC1496" s="80" t="s">
        <v>17363</v>
      </c>
      <c r="BD1496" s="77">
        <v>51150679</v>
      </c>
      <c r="BE1496" s="77"/>
      <c r="BF1496" s="77"/>
      <c r="BG1496" s="77"/>
      <c r="BH1496" s="77"/>
      <c r="BI1496" s="77"/>
    </row>
    <row r="1497" spans="1:61" x14ac:dyDescent="0.25">
      <c r="A1497" s="62" t="s">
        <v>790</v>
      </c>
      <c r="B1497" s="62" t="s">
        <v>790</v>
      </c>
      <c r="C1497" s="63"/>
      <c r="D1497" s="64"/>
      <c r="E1497" s="65"/>
      <c r="F1497" s="66"/>
      <c r="G1497" s="63"/>
      <c r="H1497" s="67"/>
      <c r="I1497" s="68"/>
      <c r="J1497" s="68"/>
      <c r="K1497" s="32"/>
      <c r="L1497" s="75">
        <v>1497</v>
      </c>
      <c r="M1497" s="75"/>
      <c r="N1497" s="70"/>
      <c r="O1497" s="77" t="s">
        <v>179</v>
      </c>
      <c r="P1497" s="79">
        <v>45050.683622685188</v>
      </c>
      <c r="Q1497" s="77" t="s">
        <v>3393</v>
      </c>
      <c r="R1497" s="77">
        <v>0</v>
      </c>
      <c r="S1497" s="77">
        <v>3</v>
      </c>
      <c r="T1497" s="77">
        <v>1</v>
      </c>
      <c r="U1497" s="77">
        <v>0</v>
      </c>
      <c r="V1497" s="77">
        <v>52</v>
      </c>
      <c r="W1497" s="80" t="s">
        <v>6943</v>
      </c>
      <c r="X1497" s="83" t="str">
        <f>HYPERLINK("https://www.moneytimes.com.br/lula-volta-a-criticar-campos-neto-apos-bc-manter-selic-em-1375-confira/")</f>
        <v>https://www.moneytimes.com.br/lula-volta-a-criticar-campos-neto-apos-bc-manter-selic-em-1375-confira/</v>
      </c>
      <c r="Y1497" s="77" t="s">
        <v>8611</v>
      </c>
      <c r="Z1497" s="77"/>
      <c r="AA1497" s="77"/>
      <c r="AB1497" s="77"/>
      <c r="AC1497" s="80" t="s">
        <v>10558</v>
      </c>
      <c r="AD1497" s="77" t="s">
        <v>10617</v>
      </c>
      <c r="AE1497" s="83" t="str">
        <f>HYPERLINK("https://twitter.com/leiamoneytimes/status/1654160060589670411")</f>
        <v>https://twitter.com/leiamoneytimes/status/1654160060589670411</v>
      </c>
      <c r="AF1497" s="79">
        <v>45050.683622685188</v>
      </c>
      <c r="AG1497" s="85">
        <v>45050</v>
      </c>
      <c r="AH1497" s="80" t="s">
        <v>11934</v>
      </c>
      <c r="AI1497" s="77" t="b">
        <v>0</v>
      </c>
      <c r="AJ1497" s="77"/>
      <c r="AK1497" s="77"/>
      <c r="AL1497" s="77"/>
      <c r="AM1497" s="77"/>
      <c r="AN1497" s="77"/>
      <c r="AO1497" s="77"/>
      <c r="AP1497" s="77"/>
      <c r="AQ1497" s="77"/>
      <c r="AR1497" s="77"/>
      <c r="AS1497" s="77"/>
      <c r="AT1497" s="77"/>
      <c r="AU1497" s="77"/>
      <c r="AV1497" s="83" t="str">
        <f>HYPERLINK("https://pbs.twimg.com/profile_images/1559883556846977024/bXHnQFY0_normal.jpg")</f>
        <v>https://pbs.twimg.com/profile_images/1559883556846977024/bXHnQFY0_normal.jpg</v>
      </c>
      <c r="AW1497" s="80" t="s">
        <v>17364</v>
      </c>
      <c r="AX1497" s="80" t="s">
        <v>17364</v>
      </c>
      <c r="AY1497" s="77"/>
      <c r="AZ1497" s="80" t="s">
        <v>20380</v>
      </c>
      <c r="BA1497" s="80" t="s">
        <v>20380</v>
      </c>
      <c r="BB1497" s="80" t="s">
        <v>20380</v>
      </c>
      <c r="BC1497" s="80" t="s">
        <v>17364</v>
      </c>
      <c r="BD1497" s="77">
        <v>51150679</v>
      </c>
      <c r="BE1497" s="77"/>
      <c r="BF1497" s="77"/>
      <c r="BG1497" s="77"/>
      <c r="BH1497" s="77"/>
      <c r="BI1497" s="77"/>
    </row>
    <row r="1498" spans="1:61" x14ac:dyDescent="0.25">
      <c r="A1498" s="62" t="s">
        <v>790</v>
      </c>
      <c r="B1498" s="62" t="s">
        <v>790</v>
      </c>
      <c r="C1498" s="63"/>
      <c r="D1498" s="64"/>
      <c r="E1498" s="65"/>
      <c r="F1498" s="66"/>
      <c r="G1498" s="63"/>
      <c r="H1498" s="67"/>
      <c r="I1498" s="68"/>
      <c r="J1498" s="68"/>
      <c r="K1498" s="32"/>
      <c r="L1498" s="75">
        <v>1498</v>
      </c>
      <c r="M1498" s="75"/>
      <c r="N1498" s="70"/>
      <c r="O1498" s="77" t="s">
        <v>179</v>
      </c>
      <c r="P1498" s="79">
        <v>45050.644571759258</v>
      </c>
      <c r="Q1498" s="77" t="s">
        <v>3394</v>
      </c>
      <c r="R1498" s="77">
        <v>0</v>
      </c>
      <c r="S1498" s="77">
        <v>2</v>
      </c>
      <c r="T1498" s="77">
        <v>2</v>
      </c>
      <c r="U1498" s="77">
        <v>0</v>
      </c>
      <c r="V1498" s="77">
        <v>1342</v>
      </c>
      <c r="W1498" s="80" t="s">
        <v>6944</v>
      </c>
      <c r="X1498" s="83" t="str">
        <f>HYPERLINK("https://www.moneytimes.com.br/ibovespa-ibov-cai-contaminado-pela-selic-fed-e-bce-ignorando-agenda-de-indicadores/")</f>
        <v>https://www.moneytimes.com.br/ibovespa-ibov-cai-contaminado-pela-selic-fed-e-bce-ignorando-agenda-de-indicadores/</v>
      </c>
      <c r="Y1498" s="77" t="s">
        <v>8611</v>
      </c>
      <c r="Z1498" s="77"/>
      <c r="AA1498" s="77"/>
      <c r="AB1498" s="77"/>
      <c r="AC1498" s="80" t="s">
        <v>10558</v>
      </c>
      <c r="AD1498" s="77" t="s">
        <v>10617</v>
      </c>
      <c r="AE1498" s="83" t="str">
        <f>HYPERLINK("https://twitter.com/leiamoneytimes/status/1654145907661717505")</f>
        <v>https://twitter.com/leiamoneytimes/status/1654145907661717505</v>
      </c>
      <c r="AF1498" s="79">
        <v>45050.644571759258</v>
      </c>
      <c r="AG1498" s="85">
        <v>45050</v>
      </c>
      <c r="AH1498" s="80" t="s">
        <v>11935</v>
      </c>
      <c r="AI1498" s="77" t="b">
        <v>0</v>
      </c>
      <c r="AJ1498" s="77"/>
      <c r="AK1498" s="77"/>
      <c r="AL1498" s="77"/>
      <c r="AM1498" s="77"/>
      <c r="AN1498" s="77"/>
      <c r="AO1498" s="77"/>
      <c r="AP1498" s="77"/>
      <c r="AQ1498" s="77"/>
      <c r="AR1498" s="77"/>
      <c r="AS1498" s="77"/>
      <c r="AT1498" s="77"/>
      <c r="AU1498" s="77"/>
      <c r="AV1498" s="83" t="str">
        <f>HYPERLINK("https://pbs.twimg.com/profile_images/1559883556846977024/bXHnQFY0_normal.jpg")</f>
        <v>https://pbs.twimg.com/profile_images/1559883556846977024/bXHnQFY0_normal.jpg</v>
      </c>
      <c r="AW1498" s="80" t="s">
        <v>17365</v>
      </c>
      <c r="AX1498" s="80" t="s">
        <v>17365</v>
      </c>
      <c r="AY1498" s="77"/>
      <c r="AZ1498" s="80" t="s">
        <v>20380</v>
      </c>
      <c r="BA1498" s="80" t="s">
        <v>20380</v>
      </c>
      <c r="BB1498" s="80" t="s">
        <v>20380</v>
      </c>
      <c r="BC1498" s="80" t="s">
        <v>17365</v>
      </c>
      <c r="BD1498" s="77">
        <v>51150679</v>
      </c>
      <c r="BE1498" s="77"/>
      <c r="BF1498" s="77"/>
      <c r="BG1498" s="77"/>
      <c r="BH1498" s="77"/>
      <c r="BI1498" s="77"/>
    </row>
    <row r="1499" spans="1:61" x14ac:dyDescent="0.25">
      <c r="A1499" s="62" t="s">
        <v>790</v>
      </c>
      <c r="B1499" s="62" t="s">
        <v>790</v>
      </c>
      <c r="C1499" s="63"/>
      <c r="D1499" s="64"/>
      <c r="E1499" s="65"/>
      <c r="F1499" s="66"/>
      <c r="G1499" s="63"/>
      <c r="H1499" s="67"/>
      <c r="I1499" s="68"/>
      <c r="J1499" s="68"/>
      <c r="K1499" s="32"/>
      <c r="L1499" s="75">
        <v>1499</v>
      </c>
      <c r="M1499" s="75"/>
      <c r="N1499" s="70"/>
      <c r="O1499" s="77" t="s">
        <v>179</v>
      </c>
      <c r="P1499" s="79">
        <v>45050.589849537035</v>
      </c>
      <c r="Q1499" s="77" t="s">
        <v>3395</v>
      </c>
      <c r="R1499" s="77">
        <v>1</v>
      </c>
      <c r="S1499" s="77">
        <v>8</v>
      </c>
      <c r="T1499" s="77">
        <v>2</v>
      </c>
      <c r="U1499" s="77">
        <v>0</v>
      </c>
      <c r="V1499" s="77">
        <v>1783</v>
      </c>
      <c r="W1499" s="80" t="s">
        <v>6945</v>
      </c>
      <c r="X1499" s="83" t="str">
        <f>HYPERLINK("https://www.moneytimes.com.br/cao-que-ladra-nao-morde-veja-o-contra-ataque-de-lula-sobre-manutencao-da-selic-em-1375/")</f>
        <v>https://www.moneytimes.com.br/cao-que-ladra-nao-morde-veja-o-contra-ataque-de-lula-sobre-manutencao-da-selic-em-1375/</v>
      </c>
      <c r="Y1499" s="77" t="s">
        <v>8611</v>
      </c>
      <c r="Z1499" s="77"/>
      <c r="AA1499" s="77"/>
      <c r="AB1499" s="77"/>
      <c r="AC1499" s="80" t="s">
        <v>10558</v>
      </c>
      <c r="AD1499" s="77" t="s">
        <v>10617</v>
      </c>
      <c r="AE1499" s="83" t="str">
        <f>HYPERLINK("https://twitter.com/leiamoneytimes/status/1654126076791250945")</f>
        <v>https://twitter.com/leiamoneytimes/status/1654126076791250945</v>
      </c>
      <c r="AF1499" s="79">
        <v>45050.589849537035</v>
      </c>
      <c r="AG1499" s="85">
        <v>45050</v>
      </c>
      <c r="AH1499" s="80" t="s">
        <v>11936</v>
      </c>
      <c r="AI1499" s="77" t="b">
        <v>0</v>
      </c>
      <c r="AJ1499" s="77"/>
      <c r="AK1499" s="77"/>
      <c r="AL1499" s="77"/>
      <c r="AM1499" s="77"/>
      <c r="AN1499" s="77"/>
      <c r="AO1499" s="77"/>
      <c r="AP1499" s="77"/>
      <c r="AQ1499" s="77"/>
      <c r="AR1499" s="77"/>
      <c r="AS1499" s="77"/>
      <c r="AT1499" s="77"/>
      <c r="AU1499" s="77"/>
      <c r="AV1499" s="83" t="str">
        <f>HYPERLINK("https://pbs.twimg.com/profile_images/1559883556846977024/bXHnQFY0_normal.jpg")</f>
        <v>https://pbs.twimg.com/profile_images/1559883556846977024/bXHnQFY0_normal.jpg</v>
      </c>
      <c r="AW1499" s="80" t="s">
        <v>17366</v>
      </c>
      <c r="AX1499" s="80" t="s">
        <v>17366</v>
      </c>
      <c r="AY1499" s="77"/>
      <c r="AZ1499" s="80" t="s">
        <v>20380</v>
      </c>
      <c r="BA1499" s="80" t="s">
        <v>20380</v>
      </c>
      <c r="BB1499" s="80" t="s">
        <v>20380</v>
      </c>
      <c r="BC1499" s="80" t="s">
        <v>17366</v>
      </c>
      <c r="BD1499" s="77">
        <v>51150679</v>
      </c>
      <c r="BE1499" s="77"/>
      <c r="BF1499" s="77"/>
      <c r="BG1499" s="77"/>
      <c r="BH1499" s="77"/>
      <c r="BI1499" s="77"/>
    </row>
    <row r="1500" spans="1:61" x14ac:dyDescent="0.25">
      <c r="A1500" s="62" t="s">
        <v>790</v>
      </c>
      <c r="B1500" s="62" t="s">
        <v>790</v>
      </c>
      <c r="C1500" s="63"/>
      <c r="D1500" s="64"/>
      <c r="E1500" s="65"/>
      <c r="F1500" s="66"/>
      <c r="G1500" s="63"/>
      <c r="H1500" s="67"/>
      <c r="I1500" s="68"/>
      <c r="J1500" s="68"/>
      <c r="K1500" s="32"/>
      <c r="L1500" s="75">
        <v>1500</v>
      </c>
      <c r="M1500" s="75"/>
      <c r="N1500" s="70"/>
      <c r="O1500" s="77" t="s">
        <v>179</v>
      </c>
      <c r="P1500" s="79">
        <v>45050.516782407409</v>
      </c>
      <c r="Q1500" s="77" t="s">
        <v>3396</v>
      </c>
      <c r="R1500" s="77">
        <v>0</v>
      </c>
      <c r="S1500" s="77">
        <v>3</v>
      </c>
      <c r="T1500" s="77">
        <v>1</v>
      </c>
      <c r="U1500" s="77">
        <v>0</v>
      </c>
      <c r="V1500" s="77">
        <v>1028</v>
      </c>
      <c r="W1500" s="80" t="s">
        <v>6946</v>
      </c>
      <c r="X1500" s="83" t="str">
        <f>HYPERLINK("https://www.moneytimes.com.br/dolar-tem-leve-queda-frente-ao-real-apos-decisoes-de-politica-monetaria/")</f>
        <v>https://www.moneytimes.com.br/dolar-tem-leve-queda-frente-ao-real-apos-decisoes-de-politica-monetaria/</v>
      </c>
      <c r="Y1500" s="77" t="s">
        <v>8611</v>
      </c>
      <c r="Z1500" s="77"/>
      <c r="AA1500" s="77"/>
      <c r="AB1500" s="77"/>
      <c r="AC1500" s="80" t="s">
        <v>10558</v>
      </c>
      <c r="AD1500" s="77" t="s">
        <v>10617</v>
      </c>
      <c r="AE1500" s="83" t="str">
        <f>HYPERLINK("https://twitter.com/leiamoneytimes/status/1654099598640570370")</f>
        <v>https://twitter.com/leiamoneytimes/status/1654099598640570370</v>
      </c>
      <c r="AF1500" s="79">
        <v>45050.516782407409</v>
      </c>
      <c r="AG1500" s="85">
        <v>45050</v>
      </c>
      <c r="AH1500" s="80" t="s">
        <v>11937</v>
      </c>
      <c r="AI1500" s="77" t="b">
        <v>0</v>
      </c>
      <c r="AJ1500" s="77"/>
      <c r="AK1500" s="77"/>
      <c r="AL1500" s="77"/>
      <c r="AM1500" s="77"/>
      <c r="AN1500" s="77"/>
      <c r="AO1500" s="77"/>
      <c r="AP1500" s="77"/>
      <c r="AQ1500" s="77"/>
      <c r="AR1500" s="77"/>
      <c r="AS1500" s="77"/>
      <c r="AT1500" s="77"/>
      <c r="AU1500" s="77"/>
      <c r="AV1500" s="83" t="str">
        <f>HYPERLINK("https://pbs.twimg.com/profile_images/1559883556846977024/bXHnQFY0_normal.jpg")</f>
        <v>https://pbs.twimg.com/profile_images/1559883556846977024/bXHnQFY0_normal.jpg</v>
      </c>
      <c r="AW1500" s="80" t="s">
        <v>17367</v>
      </c>
      <c r="AX1500" s="80" t="s">
        <v>17367</v>
      </c>
      <c r="AY1500" s="77"/>
      <c r="AZ1500" s="80" t="s">
        <v>20380</v>
      </c>
      <c r="BA1500" s="80" t="s">
        <v>20380</v>
      </c>
      <c r="BB1500" s="80" t="s">
        <v>20380</v>
      </c>
      <c r="BC1500" s="80" t="s">
        <v>17367</v>
      </c>
      <c r="BD1500" s="77">
        <v>51150679</v>
      </c>
      <c r="BE1500" s="77"/>
      <c r="BF1500" s="77"/>
      <c r="BG1500" s="77"/>
      <c r="BH1500" s="77"/>
      <c r="BI1500" s="77"/>
    </row>
    <row r="1501" spans="1:61" x14ac:dyDescent="0.25">
      <c r="A1501" s="62" t="s">
        <v>790</v>
      </c>
      <c r="B1501" s="62" t="s">
        <v>790</v>
      </c>
      <c r="C1501" s="63"/>
      <c r="D1501" s="64"/>
      <c r="E1501" s="65"/>
      <c r="F1501" s="66"/>
      <c r="G1501" s="63"/>
      <c r="H1501" s="67"/>
      <c r="I1501" s="68"/>
      <c r="J1501" s="68"/>
      <c r="K1501" s="32"/>
      <c r="L1501" s="75">
        <v>1501</v>
      </c>
      <c r="M1501" s="75"/>
      <c r="N1501" s="70"/>
      <c r="O1501" s="77" t="s">
        <v>179</v>
      </c>
      <c r="P1501" s="79">
        <v>45050.489432870374</v>
      </c>
      <c r="Q1501" s="77" t="s">
        <v>3397</v>
      </c>
      <c r="R1501" s="77">
        <v>1</v>
      </c>
      <c r="S1501" s="77">
        <v>6</v>
      </c>
      <c r="T1501" s="77">
        <v>1</v>
      </c>
      <c r="U1501" s="77">
        <v>1</v>
      </c>
      <c r="V1501" s="77">
        <v>1234</v>
      </c>
      <c r="W1501" s="80" t="s">
        <v>6927</v>
      </c>
      <c r="X1501" s="83" t="str">
        <f>HYPERLINK("https://www.moneytimes.com.br/selic-abaixo-dos-1375-so-daqui-a-alguns-meses-veja-o-que-movimenta-a-quinta-feira-04/")</f>
        <v>https://www.moneytimes.com.br/selic-abaixo-dos-1375-so-daqui-a-alguns-meses-veja-o-que-movimenta-a-quinta-feira-04/</v>
      </c>
      <c r="Y1501" s="77" t="s">
        <v>8611</v>
      </c>
      <c r="Z1501" s="77"/>
      <c r="AA1501" s="77"/>
      <c r="AB1501" s="77"/>
      <c r="AC1501" s="80" t="s">
        <v>10558</v>
      </c>
      <c r="AD1501" s="77" t="s">
        <v>10617</v>
      </c>
      <c r="AE1501" s="83" t="str">
        <f>HYPERLINK("https://twitter.com/leiamoneytimes/status/1654089685600198657")</f>
        <v>https://twitter.com/leiamoneytimes/status/1654089685600198657</v>
      </c>
      <c r="AF1501" s="79">
        <v>45050.489432870374</v>
      </c>
      <c r="AG1501" s="85">
        <v>45050</v>
      </c>
      <c r="AH1501" s="80" t="s">
        <v>11938</v>
      </c>
      <c r="AI1501" s="77" t="b">
        <v>0</v>
      </c>
      <c r="AJ1501" s="77"/>
      <c r="AK1501" s="77"/>
      <c r="AL1501" s="77"/>
      <c r="AM1501" s="77"/>
      <c r="AN1501" s="77"/>
      <c r="AO1501" s="77"/>
      <c r="AP1501" s="77"/>
      <c r="AQ1501" s="77"/>
      <c r="AR1501" s="77"/>
      <c r="AS1501" s="77"/>
      <c r="AT1501" s="77"/>
      <c r="AU1501" s="77"/>
      <c r="AV1501" s="83" t="str">
        <f>HYPERLINK("https://pbs.twimg.com/profile_images/1559883556846977024/bXHnQFY0_normal.jpg")</f>
        <v>https://pbs.twimg.com/profile_images/1559883556846977024/bXHnQFY0_normal.jpg</v>
      </c>
      <c r="AW1501" s="80" t="s">
        <v>17368</v>
      </c>
      <c r="AX1501" s="80" t="s">
        <v>17368</v>
      </c>
      <c r="AY1501" s="77"/>
      <c r="AZ1501" s="80" t="s">
        <v>20380</v>
      </c>
      <c r="BA1501" s="80" t="s">
        <v>20380</v>
      </c>
      <c r="BB1501" s="80" t="s">
        <v>20380</v>
      </c>
      <c r="BC1501" s="80" t="s">
        <v>17368</v>
      </c>
      <c r="BD1501" s="77">
        <v>51150679</v>
      </c>
      <c r="BE1501" s="77"/>
      <c r="BF1501" s="77"/>
      <c r="BG1501" s="77"/>
      <c r="BH1501" s="77"/>
      <c r="BI1501" s="77"/>
    </row>
    <row r="1502" spans="1:61" x14ac:dyDescent="0.25">
      <c r="A1502" s="62" t="s">
        <v>790</v>
      </c>
      <c r="B1502" s="62" t="s">
        <v>790</v>
      </c>
      <c r="C1502" s="63"/>
      <c r="D1502" s="64"/>
      <c r="E1502" s="65"/>
      <c r="F1502" s="66"/>
      <c r="G1502" s="63"/>
      <c r="H1502" s="67"/>
      <c r="I1502" s="68"/>
      <c r="J1502" s="68"/>
      <c r="K1502" s="32"/>
      <c r="L1502" s="75">
        <v>1502</v>
      </c>
      <c r="M1502" s="75"/>
      <c r="N1502" s="70"/>
      <c r="O1502" s="77" t="s">
        <v>179</v>
      </c>
      <c r="P1502" s="79">
        <v>45050.483472222222</v>
      </c>
      <c r="Q1502" s="77" t="s">
        <v>3398</v>
      </c>
      <c r="R1502" s="77">
        <v>1</v>
      </c>
      <c r="S1502" s="77">
        <v>8</v>
      </c>
      <c r="T1502" s="77">
        <v>2</v>
      </c>
      <c r="U1502" s="77">
        <v>0</v>
      </c>
      <c r="V1502" s="77">
        <v>1799</v>
      </c>
      <c r="W1502" s="80" t="s">
        <v>6947</v>
      </c>
      <c r="X1502" s="83" t="str">
        <f>HYPERLINK("https://www.moneytimes.com.br/roberto-campos-neto-duro-na-queda-poupanca-e-a-selic-lucro-da-ambev-balanco-do-bradesco-e-outros-destaques/")</f>
        <v>https://www.moneytimes.com.br/roberto-campos-neto-duro-na-queda-poupanca-e-a-selic-lucro-da-ambev-balanco-do-bradesco-e-outros-destaques/</v>
      </c>
      <c r="Y1502" s="77" t="s">
        <v>8611</v>
      </c>
      <c r="Z1502" s="77"/>
      <c r="AA1502" s="77"/>
      <c r="AB1502" s="77"/>
      <c r="AC1502" s="80" t="s">
        <v>10558</v>
      </c>
      <c r="AD1502" s="77" t="s">
        <v>10617</v>
      </c>
      <c r="AE1502" s="83" t="str">
        <f>HYPERLINK("https://twitter.com/leiamoneytimes/status/1654087525437145089")</f>
        <v>https://twitter.com/leiamoneytimes/status/1654087525437145089</v>
      </c>
      <c r="AF1502" s="79">
        <v>45050.483472222222</v>
      </c>
      <c r="AG1502" s="85">
        <v>45050</v>
      </c>
      <c r="AH1502" s="80" t="s">
        <v>11939</v>
      </c>
      <c r="AI1502" s="77" t="b">
        <v>0</v>
      </c>
      <c r="AJ1502" s="77"/>
      <c r="AK1502" s="77"/>
      <c r="AL1502" s="77"/>
      <c r="AM1502" s="77"/>
      <c r="AN1502" s="77"/>
      <c r="AO1502" s="77"/>
      <c r="AP1502" s="77"/>
      <c r="AQ1502" s="77"/>
      <c r="AR1502" s="77"/>
      <c r="AS1502" s="77"/>
      <c r="AT1502" s="77"/>
      <c r="AU1502" s="77"/>
      <c r="AV1502" s="83" t="str">
        <f>HYPERLINK("https://pbs.twimg.com/profile_images/1559883556846977024/bXHnQFY0_normal.jpg")</f>
        <v>https://pbs.twimg.com/profile_images/1559883556846977024/bXHnQFY0_normal.jpg</v>
      </c>
      <c r="AW1502" s="80" t="s">
        <v>17369</v>
      </c>
      <c r="AX1502" s="80" t="s">
        <v>17369</v>
      </c>
      <c r="AY1502" s="77"/>
      <c r="AZ1502" s="80" t="s">
        <v>20380</v>
      </c>
      <c r="BA1502" s="80" t="s">
        <v>20380</v>
      </c>
      <c r="BB1502" s="80" t="s">
        <v>20380</v>
      </c>
      <c r="BC1502" s="80" t="s">
        <v>17369</v>
      </c>
      <c r="BD1502" s="77">
        <v>51150679</v>
      </c>
      <c r="BE1502" s="77"/>
      <c r="BF1502" s="77"/>
      <c r="BG1502" s="77"/>
      <c r="BH1502" s="77"/>
      <c r="BI1502" s="77"/>
    </row>
    <row r="1503" spans="1:61" x14ac:dyDescent="0.25">
      <c r="A1503" s="62" t="s">
        <v>790</v>
      </c>
      <c r="B1503" s="62" t="s">
        <v>790</v>
      </c>
      <c r="C1503" s="63"/>
      <c r="D1503" s="64"/>
      <c r="E1503" s="65"/>
      <c r="F1503" s="66"/>
      <c r="G1503" s="63"/>
      <c r="H1503" s="67"/>
      <c r="I1503" s="68"/>
      <c r="J1503" s="68"/>
      <c r="K1503" s="32"/>
      <c r="L1503" s="75">
        <v>1503</v>
      </c>
      <c r="M1503" s="75"/>
      <c r="N1503" s="70"/>
      <c r="O1503" s="77" t="s">
        <v>179</v>
      </c>
      <c r="P1503" s="79">
        <v>45049.945173611108</v>
      </c>
      <c r="Q1503" s="77" t="s">
        <v>3399</v>
      </c>
      <c r="R1503" s="77">
        <v>0</v>
      </c>
      <c r="S1503" s="77">
        <v>11</v>
      </c>
      <c r="T1503" s="77">
        <v>1</v>
      </c>
      <c r="U1503" s="77">
        <v>0</v>
      </c>
      <c r="V1503" s="77">
        <v>2106</v>
      </c>
      <c r="W1503" s="80" t="s">
        <v>6272</v>
      </c>
      <c r="X1503" s="83" t="str">
        <f>HYPERLINK("https://www.moneytimes.com.br/nao-foi-dessa-vez-mas-esta-perto-banco-central-pode-comecar-a-cortar-a-selic-no-segundo-semestre/")</f>
        <v>https://www.moneytimes.com.br/nao-foi-dessa-vez-mas-esta-perto-banco-central-pode-comecar-a-cortar-a-selic-no-segundo-semestre/</v>
      </c>
      <c r="Y1503" s="77" t="s">
        <v>8611</v>
      </c>
      <c r="Z1503" s="77"/>
      <c r="AA1503" s="77"/>
      <c r="AB1503" s="77"/>
      <c r="AC1503" s="80" t="s">
        <v>10558</v>
      </c>
      <c r="AD1503" s="77" t="s">
        <v>10617</v>
      </c>
      <c r="AE1503" s="83" t="str">
        <f>HYPERLINK("https://twitter.com/leiamoneytimes/status/1653892454456672259")</f>
        <v>https://twitter.com/leiamoneytimes/status/1653892454456672259</v>
      </c>
      <c r="AF1503" s="79">
        <v>45049.945173611108</v>
      </c>
      <c r="AG1503" s="85">
        <v>45049</v>
      </c>
      <c r="AH1503" s="80" t="s">
        <v>11940</v>
      </c>
      <c r="AI1503" s="77" t="b">
        <v>0</v>
      </c>
      <c r="AJ1503" s="77"/>
      <c r="AK1503" s="77"/>
      <c r="AL1503" s="77"/>
      <c r="AM1503" s="77"/>
      <c r="AN1503" s="77"/>
      <c r="AO1503" s="77"/>
      <c r="AP1503" s="77"/>
      <c r="AQ1503" s="77"/>
      <c r="AR1503" s="77"/>
      <c r="AS1503" s="77"/>
      <c r="AT1503" s="77"/>
      <c r="AU1503" s="77"/>
      <c r="AV1503" s="83" t="str">
        <f>HYPERLINK("https://pbs.twimg.com/profile_images/1559883556846977024/bXHnQFY0_normal.jpg")</f>
        <v>https://pbs.twimg.com/profile_images/1559883556846977024/bXHnQFY0_normal.jpg</v>
      </c>
      <c r="AW1503" s="80" t="s">
        <v>17370</v>
      </c>
      <c r="AX1503" s="80" t="s">
        <v>17370</v>
      </c>
      <c r="AY1503" s="77"/>
      <c r="AZ1503" s="80" t="s">
        <v>20380</v>
      </c>
      <c r="BA1503" s="80" t="s">
        <v>20380</v>
      </c>
      <c r="BB1503" s="80" t="s">
        <v>20380</v>
      </c>
      <c r="BC1503" s="80" t="s">
        <v>17370</v>
      </c>
      <c r="BD1503" s="77">
        <v>51150679</v>
      </c>
      <c r="BE1503" s="77"/>
      <c r="BF1503" s="77"/>
      <c r="BG1503" s="77"/>
      <c r="BH1503" s="77"/>
      <c r="BI1503" s="77"/>
    </row>
    <row r="1504" spans="1:61" x14ac:dyDescent="0.25">
      <c r="A1504" s="62" t="s">
        <v>790</v>
      </c>
      <c r="B1504" s="62" t="s">
        <v>790</v>
      </c>
      <c r="C1504" s="63"/>
      <c r="D1504" s="64"/>
      <c r="E1504" s="65"/>
      <c r="F1504" s="66"/>
      <c r="G1504" s="63"/>
      <c r="H1504" s="67"/>
      <c r="I1504" s="68"/>
      <c r="J1504" s="68"/>
      <c r="K1504" s="32"/>
      <c r="L1504" s="75">
        <v>1504</v>
      </c>
      <c r="M1504" s="75"/>
      <c r="N1504" s="70"/>
      <c r="O1504" s="77" t="s">
        <v>179</v>
      </c>
      <c r="P1504" s="79">
        <v>45049.94090277778</v>
      </c>
      <c r="Q1504" s="77" t="s">
        <v>3400</v>
      </c>
      <c r="R1504" s="77">
        <v>0</v>
      </c>
      <c r="S1504" s="77">
        <v>6</v>
      </c>
      <c r="T1504" s="77">
        <v>2</v>
      </c>
      <c r="U1504" s="77">
        <v>0</v>
      </c>
      <c r="V1504" s="77">
        <v>1799</v>
      </c>
      <c r="W1504" s="80" t="s">
        <v>6272</v>
      </c>
      <c r="X1504" s="83" t="str">
        <f>HYPERLINK("https://www.moneytimes.com.br/copom-se-mantem-firme-mas-segura-o-tom-sobre-eventual-aumento-de-juros-cenario-menos-provavel-pondera/")</f>
        <v>https://www.moneytimes.com.br/copom-se-mantem-firme-mas-segura-o-tom-sobre-eventual-aumento-de-juros-cenario-menos-provavel-pondera/</v>
      </c>
      <c r="Y1504" s="77" t="s">
        <v>8611</v>
      </c>
      <c r="Z1504" s="77"/>
      <c r="AA1504" s="77"/>
      <c r="AB1504" s="77"/>
      <c r="AC1504" s="80" t="s">
        <v>10558</v>
      </c>
      <c r="AD1504" s="77" t="s">
        <v>10617</v>
      </c>
      <c r="AE1504" s="83" t="str">
        <f>HYPERLINK("https://twitter.com/leiamoneytimes/status/1653890905626013701")</f>
        <v>https://twitter.com/leiamoneytimes/status/1653890905626013701</v>
      </c>
      <c r="AF1504" s="79">
        <v>45049.94090277778</v>
      </c>
      <c r="AG1504" s="85">
        <v>45049</v>
      </c>
      <c r="AH1504" s="80" t="s">
        <v>11941</v>
      </c>
      <c r="AI1504" s="77" t="b">
        <v>0</v>
      </c>
      <c r="AJ1504" s="77"/>
      <c r="AK1504" s="77"/>
      <c r="AL1504" s="77"/>
      <c r="AM1504" s="77"/>
      <c r="AN1504" s="77"/>
      <c r="AO1504" s="77"/>
      <c r="AP1504" s="77"/>
      <c r="AQ1504" s="77"/>
      <c r="AR1504" s="77"/>
      <c r="AS1504" s="77"/>
      <c r="AT1504" s="77"/>
      <c r="AU1504" s="77"/>
      <c r="AV1504" s="83" t="str">
        <f>HYPERLINK("https://pbs.twimg.com/profile_images/1559883556846977024/bXHnQFY0_normal.jpg")</f>
        <v>https://pbs.twimg.com/profile_images/1559883556846977024/bXHnQFY0_normal.jpg</v>
      </c>
      <c r="AW1504" s="80" t="s">
        <v>17371</v>
      </c>
      <c r="AX1504" s="80" t="s">
        <v>17371</v>
      </c>
      <c r="AY1504" s="77"/>
      <c r="AZ1504" s="80" t="s">
        <v>20380</v>
      </c>
      <c r="BA1504" s="80" t="s">
        <v>20380</v>
      </c>
      <c r="BB1504" s="80" t="s">
        <v>20380</v>
      </c>
      <c r="BC1504" s="80" t="s">
        <v>17371</v>
      </c>
      <c r="BD1504" s="77">
        <v>51150679</v>
      </c>
      <c r="BE1504" s="77"/>
      <c r="BF1504" s="77"/>
      <c r="BG1504" s="77"/>
      <c r="BH1504" s="77"/>
      <c r="BI1504" s="77"/>
    </row>
    <row r="1505" spans="1:61" x14ac:dyDescent="0.25">
      <c r="A1505" s="62" t="s">
        <v>790</v>
      </c>
      <c r="B1505" s="62" t="s">
        <v>790</v>
      </c>
      <c r="C1505" s="63"/>
      <c r="D1505" s="64"/>
      <c r="E1505" s="65"/>
      <c r="F1505" s="66"/>
      <c r="G1505" s="63"/>
      <c r="H1505" s="67"/>
      <c r="I1505" s="68"/>
      <c r="J1505" s="68"/>
      <c r="K1505" s="32"/>
      <c r="L1505" s="75">
        <v>1505</v>
      </c>
      <c r="M1505" s="75"/>
      <c r="N1505" s="70"/>
      <c r="O1505" s="77" t="s">
        <v>179</v>
      </c>
      <c r="P1505" s="79">
        <v>45049.912743055553</v>
      </c>
      <c r="Q1505" s="77" t="s">
        <v>3401</v>
      </c>
      <c r="R1505" s="77">
        <v>0</v>
      </c>
      <c r="S1505" s="77">
        <v>3</v>
      </c>
      <c r="T1505" s="77">
        <v>2</v>
      </c>
      <c r="U1505" s="77">
        <v>0</v>
      </c>
      <c r="V1505" s="77">
        <v>1608</v>
      </c>
      <c r="W1505" s="80" t="s">
        <v>6948</v>
      </c>
      <c r="X1505" s="83" t="str">
        <f>HYPERLINK("https://www.moneytimes.com.br/dividendos-de-ate-73-petr4-e-mais-5-acoes-pagam-mais-que-a-selic-de-1375/")</f>
        <v>https://www.moneytimes.com.br/dividendos-de-ate-73-petr4-e-mais-5-acoes-pagam-mais-que-a-selic-de-1375/</v>
      </c>
      <c r="Y1505" s="77" t="s">
        <v>8611</v>
      </c>
      <c r="Z1505" s="77"/>
      <c r="AA1505" s="77"/>
      <c r="AB1505" s="77"/>
      <c r="AC1505" s="80" t="s">
        <v>10558</v>
      </c>
      <c r="AD1505" s="77" t="s">
        <v>10617</v>
      </c>
      <c r="AE1505" s="83" t="str">
        <f>HYPERLINK("https://twitter.com/leiamoneytimes/status/1653880701488443394")</f>
        <v>https://twitter.com/leiamoneytimes/status/1653880701488443394</v>
      </c>
      <c r="AF1505" s="79">
        <v>45049.912743055553</v>
      </c>
      <c r="AG1505" s="85">
        <v>45049</v>
      </c>
      <c r="AH1505" s="80" t="s">
        <v>11942</v>
      </c>
      <c r="AI1505" s="77" t="b">
        <v>0</v>
      </c>
      <c r="AJ1505" s="77"/>
      <c r="AK1505" s="77"/>
      <c r="AL1505" s="77"/>
      <c r="AM1505" s="77"/>
      <c r="AN1505" s="77"/>
      <c r="AO1505" s="77"/>
      <c r="AP1505" s="77"/>
      <c r="AQ1505" s="77"/>
      <c r="AR1505" s="77"/>
      <c r="AS1505" s="77"/>
      <c r="AT1505" s="77"/>
      <c r="AU1505" s="77"/>
      <c r="AV1505" s="83" t="str">
        <f>HYPERLINK("https://pbs.twimg.com/profile_images/1559883556846977024/bXHnQFY0_normal.jpg")</f>
        <v>https://pbs.twimg.com/profile_images/1559883556846977024/bXHnQFY0_normal.jpg</v>
      </c>
      <c r="AW1505" s="80" t="s">
        <v>17372</v>
      </c>
      <c r="AX1505" s="80" t="s">
        <v>17372</v>
      </c>
      <c r="AY1505" s="77"/>
      <c r="AZ1505" s="80" t="s">
        <v>20380</v>
      </c>
      <c r="BA1505" s="80" t="s">
        <v>20380</v>
      </c>
      <c r="BB1505" s="80" t="s">
        <v>20380</v>
      </c>
      <c r="BC1505" s="80" t="s">
        <v>17372</v>
      </c>
      <c r="BD1505" s="77">
        <v>51150679</v>
      </c>
      <c r="BE1505" s="77"/>
      <c r="BF1505" s="77"/>
      <c r="BG1505" s="77"/>
      <c r="BH1505" s="77"/>
      <c r="BI1505" s="77"/>
    </row>
    <row r="1506" spans="1:61" x14ac:dyDescent="0.25">
      <c r="A1506" s="62" t="s">
        <v>790</v>
      </c>
      <c r="B1506" s="62" t="s">
        <v>790</v>
      </c>
      <c r="C1506" s="63"/>
      <c r="D1506" s="64"/>
      <c r="E1506" s="65"/>
      <c r="F1506" s="66"/>
      <c r="G1506" s="63"/>
      <c r="H1506" s="67"/>
      <c r="I1506" s="68"/>
      <c r="J1506" s="68"/>
      <c r="K1506" s="32"/>
      <c r="L1506" s="75">
        <v>1506</v>
      </c>
      <c r="M1506" s="75"/>
      <c r="N1506" s="70"/>
      <c r="O1506" s="77" t="s">
        <v>179</v>
      </c>
      <c r="P1506" s="79">
        <v>45049.909166666665</v>
      </c>
      <c r="Q1506" s="77" t="s">
        <v>3402</v>
      </c>
      <c r="R1506" s="77">
        <v>6</v>
      </c>
      <c r="S1506" s="77">
        <v>89</v>
      </c>
      <c r="T1506" s="77">
        <v>9</v>
      </c>
      <c r="U1506" s="77">
        <v>3</v>
      </c>
      <c r="V1506" s="77">
        <v>9813</v>
      </c>
      <c r="W1506" s="80" t="s">
        <v>6940</v>
      </c>
      <c r="X1506" s="83" t="str">
        <f>HYPERLINK("https://www.moneytimes.com.br/banco-central-bate-o-pe-e-mantem-selic-em-1375/")</f>
        <v>https://www.moneytimes.com.br/banco-central-bate-o-pe-e-mantem-selic-em-1375/</v>
      </c>
      <c r="Y1506" s="77" t="s">
        <v>8611</v>
      </c>
      <c r="Z1506" s="77"/>
      <c r="AA1506" s="77"/>
      <c r="AB1506" s="77"/>
      <c r="AC1506" s="80" t="s">
        <v>10558</v>
      </c>
      <c r="AD1506" s="77" t="s">
        <v>10617</v>
      </c>
      <c r="AE1506" s="83" t="str">
        <f>HYPERLINK("https://twitter.com/leiamoneytimes/status/1653879407218421760")</f>
        <v>https://twitter.com/leiamoneytimes/status/1653879407218421760</v>
      </c>
      <c r="AF1506" s="79">
        <v>45049.909166666665</v>
      </c>
      <c r="AG1506" s="85">
        <v>45049</v>
      </c>
      <c r="AH1506" s="80" t="s">
        <v>11943</v>
      </c>
      <c r="AI1506" s="77" t="b">
        <v>0</v>
      </c>
      <c r="AJ1506" s="77"/>
      <c r="AK1506" s="77"/>
      <c r="AL1506" s="77"/>
      <c r="AM1506" s="77"/>
      <c r="AN1506" s="77"/>
      <c r="AO1506" s="77"/>
      <c r="AP1506" s="77"/>
      <c r="AQ1506" s="77"/>
      <c r="AR1506" s="77"/>
      <c r="AS1506" s="77"/>
      <c r="AT1506" s="77"/>
      <c r="AU1506" s="77"/>
      <c r="AV1506" s="83" t="str">
        <f>HYPERLINK("https://pbs.twimg.com/profile_images/1559883556846977024/bXHnQFY0_normal.jpg")</f>
        <v>https://pbs.twimg.com/profile_images/1559883556846977024/bXHnQFY0_normal.jpg</v>
      </c>
      <c r="AW1506" s="80" t="s">
        <v>17373</v>
      </c>
      <c r="AX1506" s="80" t="s">
        <v>17373</v>
      </c>
      <c r="AY1506" s="77"/>
      <c r="AZ1506" s="80" t="s">
        <v>20380</v>
      </c>
      <c r="BA1506" s="80" t="s">
        <v>20380</v>
      </c>
      <c r="BB1506" s="80" t="s">
        <v>20380</v>
      </c>
      <c r="BC1506" s="80" t="s">
        <v>17373</v>
      </c>
      <c r="BD1506" s="77">
        <v>51150679</v>
      </c>
      <c r="BE1506" s="77"/>
      <c r="BF1506" s="77"/>
      <c r="BG1506" s="77"/>
      <c r="BH1506" s="77"/>
      <c r="BI1506" s="77"/>
    </row>
    <row r="1507" spans="1:61" x14ac:dyDescent="0.25">
      <c r="A1507" s="62" t="s">
        <v>790</v>
      </c>
      <c r="B1507" s="62" t="s">
        <v>790</v>
      </c>
      <c r="C1507" s="63"/>
      <c r="D1507" s="64"/>
      <c r="E1507" s="65"/>
      <c r="F1507" s="66"/>
      <c r="G1507" s="63"/>
      <c r="H1507" s="67"/>
      <c r="I1507" s="68"/>
      <c r="J1507" s="68"/>
      <c r="K1507" s="32"/>
      <c r="L1507" s="75">
        <v>1507</v>
      </c>
      <c r="M1507" s="75"/>
      <c r="N1507" s="70"/>
      <c r="O1507" s="77" t="s">
        <v>179</v>
      </c>
      <c r="P1507" s="79">
        <v>45049.880173611113</v>
      </c>
      <c r="Q1507" s="77" t="s">
        <v>3403</v>
      </c>
      <c r="R1507" s="77">
        <v>0</v>
      </c>
      <c r="S1507" s="77">
        <v>1</v>
      </c>
      <c r="T1507" s="77">
        <v>1</v>
      </c>
      <c r="U1507" s="77">
        <v>0</v>
      </c>
      <c r="V1507" s="77">
        <v>1326</v>
      </c>
      <c r="W1507" s="80" t="s">
        <v>6949</v>
      </c>
      <c r="X1507" s="83" t="str">
        <f>HYPERLINK("https://www.moneytimes.com.br/como-fundos-imobiliarios-se-comportaram-na-super-quarta-antes-do-copom/")</f>
        <v>https://www.moneytimes.com.br/como-fundos-imobiliarios-se-comportaram-na-super-quarta-antes-do-copom/</v>
      </c>
      <c r="Y1507" s="77" t="s">
        <v>8611</v>
      </c>
      <c r="Z1507" s="77"/>
      <c r="AA1507" s="77"/>
      <c r="AB1507" s="77"/>
      <c r="AC1507" s="80" t="s">
        <v>10558</v>
      </c>
      <c r="AD1507" s="77" t="s">
        <v>10617</v>
      </c>
      <c r="AE1507" s="83" t="str">
        <f>HYPERLINK("https://twitter.com/leiamoneytimes/status/1653868899312496640")</f>
        <v>https://twitter.com/leiamoneytimes/status/1653868899312496640</v>
      </c>
      <c r="AF1507" s="79">
        <v>45049.880173611113</v>
      </c>
      <c r="AG1507" s="85">
        <v>45049</v>
      </c>
      <c r="AH1507" s="80" t="s">
        <v>11944</v>
      </c>
      <c r="AI1507" s="77" t="b">
        <v>0</v>
      </c>
      <c r="AJ1507" s="77"/>
      <c r="AK1507" s="77"/>
      <c r="AL1507" s="77"/>
      <c r="AM1507" s="77"/>
      <c r="AN1507" s="77"/>
      <c r="AO1507" s="77"/>
      <c r="AP1507" s="77"/>
      <c r="AQ1507" s="77"/>
      <c r="AR1507" s="77"/>
      <c r="AS1507" s="77"/>
      <c r="AT1507" s="77"/>
      <c r="AU1507" s="77"/>
      <c r="AV1507" s="83" t="str">
        <f>HYPERLINK("https://pbs.twimg.com/profile_images/1559883556846977024/bXHnQFY0_normal.jpg")</f>
        <v>https://pbs.twimg.com/profile_images/1559883556846977024/bXHnQFY0_normal.jpg</v>
      </c>
      <c r="AW1507" s="80" t="s">
        <v>17374</v>
      </c>
      <c r="AX1507" s="80" t="s">
        <v>17374</v>
      </c>
      <c r="AY1507" s="77"/>
      <c r="AZ1507" s="80" t="s">
        <v>20380</v>
      </c>
      <c r="BA1507" s="80" t="s">
        <v>20380</v>
      </c>
      <c r="BB1507" s="80" t="s">
        <v>20380</v>
      </c>
      <c r="BC1507" s="80" t="s">
        <v>17374</v>
      </c>
      <c r="BD1507" s="77">
        <v>51150679</v>
      </c>
      <c r="BE1507" s="77"/>
      <c r="BF1507" s="77"/>
      <c r="BG1507" s="77"/>
      <c r="BH1507" s="77"/>
      <c r="BI1507" s="77"/>
    </row>
    <row r="1508" spans="1:61" x14ac:dyDescent="0.25">
      <c r="A1508" s="62" t="s">
        <v>790</v>
      </c>
      <c r="B1508" s="62" t="s">
        <v>790</v>
      </c>
      <c r="C1508" s="63"/>
      <c r="D1508" s="64"/>
      <c r="E1508" s="65"/>
      <c r="F1508" s="66"/>
      <c r="G1508" s="63"/>
      <c r="H1508" s="67"/>
      <c r="I1508" s="68"/>
      <c r="J1508" s="68"/>
      <c r="K1508" s="32"/>
      <c r="L1508" s="75">
        <v>1508</v>
      </c>
      <c r="M1508" s="75"/>
      <c r="N1508" s="70"/>
      <c r="O1508" s="77" t="s">
        <v>179</v>
      </c>
      <c r="P1508" s="79">
        <v>45167.582812499997</v>
      </c>
      <c r="Q1508" s="77" t="s">
        <v>3404</v>
      </c>
      <c r="R1508" s="77">
        <v>0</v>
      </c>
      <c r="S1508" s="77">
        <v>1</v>
      </c>
      <c r="T1508" s="77">
        <v>0</v>
      </c>
      <c r="U1508" s="77">
        <v>0</v>
      </c>
      <c r="V1508" s="77">
        <v>1296</v>
      </c>
      <c r="W1508" s="80" t="s">
        <v>6922</v>
      </c>
      <c r="X1508" s="83" t="str">
        <f>HYPERLINK("https://www.moneytimes.com.br/dinheiro-esquecido-uma-pessoa-recuperou-r-28-milhoes-veja-como-consultar-seus-valores/")</f>
        <v>https://www.moneytimes.com.br/dinheiro-esquecido-uma-pessoa-recuperou-r-28-milhoes-veja-como-consultar-seus-valores/</v>
      </c>
      <c r="Y1508" s="77" t="s">
        <v>8611</v>
      </c>
      <c r="Z1508" s="77"/>
      <c r="AA1508" s="77"/>
      <c r="AB1508" s="77"/>
      <c r="AC1508" s="80" t="s">
        <v>10558</v>
      </c>
      <c r="AD1508" s="77" t="s">
        <v>10617</v>
      </c>
      <c r="AE1508" s="83" t="str">
        <f>HYPERLINK("https://twitter.com/leiamoneytimes/status/1696522908338975096")</f>
        <v>https://twitter.com/leiamoneytimes/status/1696522908338975096</v>
      </c>
      <c r="AF1508" s="79">
        <v>45167.582812499997</v>
      </c>
      <c r="AG1508" s="85">
        <v>45167</v>
      </c>
      <c r="AH1508" s="80" t="s">
        <v>11945</v>
      </c>
      <c r="AI1508" s="77" t="b">
        <v>0</v>
      </c>
      <c r="AJ1508" s="77"/>
      <c r="AK1508" s="77"/>
      <c r="AL1508" s="77"/>
      <c r="AM1508" s="77"/>
      <c r="AN1508" s="77"/>
      <c r="AO1508" s="77"/>
      <c r="AP1508" s="77"/>
      <c r="AQ1508" s="77"/>
      <c r="AR1508" s="77"/>
      <c r="AS1508" s="77"/>
      <c r="AT1508" s="77"/>
      <c r="AU1508" s="77"/>
      <c r="AV1508" s="83" t="str">
        <f>HYPERLINK("https://pbs.twimg.com/profile_images/1559883556846977024/bXHnQFY0_normal.jpg")</f>
        <v>https://pbs.twimg.com/profile_images/1559883556846977024/bXHnQFY0_normal.jpg</v>
      </c>
      <c r="AW1508" s="80" t="s">
        <v>17375</v>
      </c>
      <c r="AX1508" s="80" t="s">
        <v>17375</v>
      </c>
      <c r="AY1508" s="77"/>
      <c r="AZ1508" s="80" t="s">
        <v>20380</v>
      </c>
      <c r="BA1508" s="80" t="s">
        <v>20380</v>
      </c>
      <c r="BB1508" s="80" t="s">
        <v>20380</v>
      </c>
      <c r="BC1508" s="80" t="s">
        <v>17375</v>
      </c>
      <c r="BD1508" s="77">
        <v>51150679</v>
      </c>
      <c r="BE1508" s="77"/>
      <c r="BF1508" s="77"/>
      <c r="BG1508" s="77"/>
      <c r="BH1508" s="77"/>
      <c r="BI1508" s="77"/>
    </row>
    <row r="1509" spans="1:61" x14ac:dyDescent="0.25">
      <c r="A1509" s="62" t="s">
        <v>790</v>
      </c>
      <c r="B1509" s="62" t="s">
        <v>790</v>
      </c>
      <c r="C1509" s="63"/>
      <c r="D1509" s="64"/>
      <c r="E1509" s="65"/>
      <c r="F1509" s="66"/>
      <c r="G1509" s="63"/>
      <c r="H1509" s="67"/>
      <c r="I1509" s="68"/>
      <c r="J1509" s="68"/>
      <c r="K1509" s="32"/>
      <c r="L1509" s="75">
        <v>1509</v>
      </c>
      <c r="M1509" s="75"/>
      <c r="N1509" s="70"/>
      <c r="O1509" s="77" t="s">
        <v>179</v>
      </c>
      <c r="P1509" s="79">
        <v>45167.568449074075</v>
      </c>
      <c r="Q1509" s="77" t="s">
        <v>3405</v>
      </c>
      <c r="R1509" s="77">
        <v>0</v>
      </c>
      <c r="S1509" s="77">
        <v>0</v>
      </c>
      <c r="T1509" s="77">
        <v>0</v>
      </c>
      <c r="U1509" s="77">
        <v>0</v>
      </c>
      <c r="V1509" s="77">
        <v>892</v>
      </c>
      <c r="W1509" s="80" t="s">
        <v>6922</v>
      </c>
      <c r="X1509" s="83" t="str">
        <f>HYPERLINK("https://www.moneytimes.com.br/taxacao-de-offshore-e-super-ricos-as-projecoes-de-arrecadacao-do-governo/")</f>
        <v>https://www.moneytimes.com.br/taxacao-de-offshore-e-super-ricos-as-projecoes-de-arrecadacao-do-governo/</v>
      </c>
      <c r="Y1509" s="77" t="s">
        <v>8611</v>
      </c>
      <c r="Z1509" s="77"/>
      <c r="AA1509" s="77"/>
      <c r="AB1509" s="77"/>
      <c r="AC1509" s="80" t="s">
        <v>10558</v>
      </c>
      <c r="AD1509" s="77" t="s">
        <v>10617</v>
      </c>
      <c r="AE1509" s="83" t="str">
        <f>HYPERLINK("https://twitter.com/leiamoneytimes/status/1696517700892156268")</f>
        <v>https://twitter.com/leiamoneytimes/status/1696517700892156268</v>
      </c>
      <c r="AF1509" s="79">
        <v>45167.568449074075</v>
      </c>
      <c r="AG1509" s="85">
        <v>45167</v>
      </c>
      <c r="AH1509" s="80" t="s">
        <v>11946</v>
      </c>
      <c r="AI1509" s="77" t="b">
        <v>0</v>
      </c>
      <c r="AJ1509" s="77"/>
      <c r="AK1509" s="77"/>
      <c r="AL1509" s="77"/>
      <c r="AM1509" s="77"/>
      <c r="AN1509" s="77"/>
      <c r="AO1509" s="77"/>
      <c r="AP1509" s="77"/>
      <c r="AQ1509" s="77"/>
      <c r="AR1509" s="77"/>
      <c r="AS1509" s="77"/>
      <c r="AT1509" s="77"/>
      <c r="AU1509" s="77"/>
      <c r="AV1509" s="83" t="str">
        <f>HYPERLINK("https://pbs.twimg.com/profile_images/1559883556846977024/bXHnQFY0_normal.jpg")</f>
        <v>https://pbs.twimg.com/profile_images/1559883556846977024/bXHnQFY0_normal.jpg</v>
      </c>
      <c r="AW1509" s="80" t="s">
        <v>17376</v>
      </c>
      <c r="AX1509" s="80" t="s">
        <v>17376</v>
      </c>
      <c r="AY1509" s="77"/>
      <c r="AZ1509" s="80" t="s">
        <v>20380</v>
      </c>
      <c r="BA1509" s="80" t="s">
        <v>20380</v>
      </c>
      <c r="BB1509" s="80" t="s">
        <v>20380</v>
      </c>
      <c r="BC1509" s="80" t="s">
        <v>17376</v>
      </c>
      <c r="BD1509" s="77">
        <v>51150679</v>
      </c>
      <c r="BE1509" s="77"/>
      <c r="BF1509" s="77"/>
      <c r="BG1509" s="77"/>
      <c r="BH1509" s="77"/>
      <c r="BI1509" s="77"/>
    </row>
    <row r="1510" spans="1:61" x14ac:dyDescent="0.25">
      <c r="A1510" s="62" t="s">
        <v>790</v>
      </c>
      <c r="B1510" s="62" t="s">
        <v>790</v>
      </c>
      <c r="C1510" s="63"/>
      <c r="D1510" s="64"/>
      <c r="E1510" s="65"/>
      <c r="F1510" s="66"/>
      <c r="G1510" s="63"/>
      <c r="H1510" s="67"/>
      <c r="I1510" s="68"/>
      <c r="J1510" s="68"/>
      <c r="K1510" s="32"/>
      <c r="L1510" s="75">
        <v>1510</v>
      </c>
      <c r="M1510" s="75"/>
      <c r="N1510" s="70"/>
      <c r="O1510" s="77" t="s">
        <v>179</v>
      </c>
      <c r="P1510" s="79">
        <v>45166.808541666665</v>
      </c>
      <c r="Q1510" s="77" t="s">
        <v>3406</v>
      </c>
      <c r="R1510" s="77">
        <v>3</v>
      </c>
      <c r="S1510" s="77">
        <v>34</v>
      </c>
      <c r="T1510" s="77">
        <v>1</v>
      </c>
      <c r="U1510" s="77">
        <v>0</v>
      </c>
      <c r="V1510" s="77">
        <v>3489</v>
      </c>
      <c r="W1510" s="80" t="s">
        <v>6931</v>
      </c>
      <c r="X1510" s="83" t="str">
        <f>HYPERLINK("https://www.moneytimes.com.br/campos-neto-se-governo-piorar-expectativas-banco-central-pode-reagir/")</f>
        <v>https://www.moneytimes.com.br/campos-neto-se-governo-piorar-expectativas-banco-central-pode-reagir/</v>
      </c>
      <c r="Y1510" s="77" t="s">
        <v>8611</v>
      </c>
      <c r="Z1510" s="77"/>
      <c r="AA1510" s="77"/>
      <c r="AB1510" s="77"/>
      <c r="AC1510" s="80" t="s">
        <v>10558</v>
      </c>
      <c r="AD1510" s="77" t="s">
        <v>10617</v>
      </c>
      <c r="AE1510" s="83" t="str">
        <f>HYPERLINK("https://twitter.com/leiamoneytimes/status/1696242318863421616")</f>
        <v>https://twitter.com/leiamoneytimes/status/1696242318863421616</v>
      </c>
      <c r="AF1510" s="79">
        <v>45166.808541666665</v>
      </c>
      <c r="AG1510" s="85">
        <v>45166</v>
      </c>
      <c r="AH1510" s="80" t="s">
        <v>11947</v>
      </c>
      <c r="AI1510" s="77" t="b">
        <v>0</v>
      </c>
      <c r="AJ1510" s="77"/>
      <c r="AK1510" s="77"/>
      <c r="AL1510" s="77"/>
      <c r="AM1510" s="77"/>
      <c r="AN1510" s="77"/>
      <c r="AO1510" s="77"/>
      <c r="AP1510" s="77"/>
      <c r="AQ1510" s="77"/>
      <c r="AR1510" s="77"/>
      <c r="AS1510" s="77"/>
      <c r="AT1510" s="77"/>
      <c r="AU1510" s="77"/>
      <c r="AV1510" s="83" t="str">
        <f>HYPERLINK("https://pbs.twimg.com/profile_images/1559883556846977024/bXHnQFY0_normal.jpg")</f>
        <v>https://pbs.twimg.com/profile_images/1559883556846977024/bXHnQFY0_normal.jpg</v>
      </c>
      <c r="AW1510" s="80" t="s">
        <v>17377</v>
      </c>
      <c r="AX1510" s="80" t="s">
        <v>17377</v>
      </c>
      <c r="AY1510" s="77"/>
      <c r="AZ1510" s="80" t="s">
        <v>20380</v>
      </c>
      <c r="BA1510" s="80" t="s">
        <v>20380</v>
      </c>
      <c r="BB1510" s="80" t="s">
        <v>20380</v>
      </c>
      <c r="BC1510" s="80" t="s">
        <v>17377</v>
      </c>
      <c r="BD1510" s="77">
        <v>51150679</v>
      </c>
      <c r="BE1510" s="77"/>
      <c r="BF1510" s="77"/>
      <c r="BG1510" s="77"/>
      <c r="BH1510" s="77"/>
      <c r="BI1510" s="77"/>
    </row>
    <row r="1511" spans="1:61" x14ac:dyDescent="0.25">
      <c r="A1511" s="62" t="s">
        <v>790</v>
      </c>
      <c r="B1511" s="62" t="s">
        <v>790</v>
      </c>
      <c r="C1511" s="63"/>
      <c r="D1511" s="64"/>
      <c r="E1511" s="65"/>
      <c r="F1511" s="66"/>
      <c r="G1511" s="63"/>
      <c r="H1511" s="67"/>
      <c r="I1511" s="68"/>
      <c r="J1511" s="68"/>
      <c r="K1511" s="32"/>
      <c r="L1511" s="75">
        <v>1511</v>
      </c>
      <c r="M1511" s="75"/>
      <c r="N1511" s="70"/>
      <c r="O1511" s="77" t="s">
        <v>179</v>
      </c>
      <c r="P1511" s="79">
        <v>45152.815335648149</v>
      </c>
      <c r="Q1511" s="77" t="s">
        <v>3407</v>
      </c>
      <c r="R1511" s="77">
        <v>0</v>
      </c>
      <c r="S1511" s="77">
        <v>1</v>
      </c>
      <c r="T1511" s="77">
        <v>1</v>
      </c>
      <c r="U1511" s="77">
        <v>0</v>
      </c>
      <c r="V1511" s="77">
        <v>1075</v>
      </c>
      <c r="W1511" s="80" t="s">
        <v>6931</v>
      </c>
      <c r="X1511" s="83" t="str">
        <f>HYPERLINK("https://www.moneytimes.com.br/o-problema-grave-que-o-brasil-escapou-com-a-queda-da-selic-segundo-haddad/")</f>
        <v>https://www.moneytimes.com.br/o-problema-grave-que-o-brasil-escapou-com-a-queda-da-selic-segundo-haddad/</v>
      </c>
      <c r="Y1511" s="77" t="s">
        <v>8611</v>
      </c>
      <c r="Z1511" s="77"/>
      <c r="AA1511" s="77"/>
      <c r="AB1511" s="77"/>
      <c r="AC1511" s="80" t="s">
        <v>10558</v>
      </c>
      <c r="AD1511" s="77" t="s">
        <v>10617</v>
      </c>
      <c r="AE1511" s="83" t="str">
        <f>HYPERLINK("https://twitter.com/leiamoneytimes/status/1691171354379456517")</f>
        <v>https://twitter.com/leiamoneytimes/status/1691171354379456517</v>
      </c>
      <c r="AF1511" s="79">
        <v>45152.815335648149</v>
      </c>
      <c r="AG1511" s="85">
        <v>45152</v>
      </c>
      <c r="AH1511" s="80" t="s">
        <v>11948</v>
      </c>
      <c r="AI1511" s="77" t="b">
        <v>0</v>
      </c>
      <c r="AJ1511" s="77"/>
      <c r="AK1511" s="77"/>
      <c r="AL1511" s="77"/>
      <c r="AM1511" s="77"/>
      <c r="AN1511" s="77"/>
      <c r="AO1511" s="77"/>
      <c r="AP1511" s="77"/>
      <c r="AQ1511" s="77"/>
      <c r="AR1511" s="77"/>
      <c r="AS1511" s="77"/>
      <c r="AT1511" s="77"/>
      <c r="AU1511" s="77"/>
      <c r="AV1511" s="83" t="str">
        <f>HYPERLINK("https://pbs.twimg.com/profile_images/1559883556846977024/bXHnQFY0_normal.jpg")</f>
        <v>https://pbs.twimg.com/profile_images/1559883556846977024/bXHnQFY0_normal.jpg</v>
      </c>
      <c r="AW1511" s="80" t="s">
        <v>17378</v>
      </c>
      <c r="AX1511" s="80" t="s">
        <v>17378</v>
      </c>
      <c r="AY1511" s="77"/>
      <c r="AZ1511" s="80" t="s">
        <v>20380</v>
      </c>
      <c r="BA1511" s="80" t="s">
        <v>20380</v>
      </c>
      <c r="BB1511" s="80" t="s">
        <v>20380</v>
      </c>
      <c r="BC1511" s="80" t="s">
        <v>17378</v>
      </c>
      <c r="BD1511" s="77">
        <v>51150679</v>
      </c>
      <c r="BE1511" s="77"/>
      <c r="BF1511" s="77"/>
      <c r="BG1511" s="77"/>
      <c r="BH1511" s="77"/>
      <c r="BI1511" s="77"/>
    </row>
    <row r="1512" spans="1:61" x14ac:dyDescent="0.25">
      <c r="A1512" s="62" t="s">
        <v>790</v>
      </c>
      <c r="B1512" s="62" t="s">
        <v>790</v>
      </c>
      <c r="C1512" s="63"/>
      <c r="D1512" s="64"/>
      <c r="E1512" s="65"/>
      <c r="F1512" s="66"/>
      <c r="G1512" s="63"/>
      <c r="H1512" s="67"/>
      <c r="I1512" s="68"/>
      <c r="J1512" s="68"/>
      <c r="K1512" s="32"/>
      <c r="L1512" s="75">
        <v>1512</v>
      </c>
      <c r="M1512" s="75"/>
      <c r="N1512" s="70"/>
      <c r="O1512" s="77" t="s">
        <v>179</v>
      </c>
      <c r="P1512" s="79">
        <v>45146.605729166666</v>
      </c>
      <c r="Q1512" s="77" t="s">
        <v>3408</v>
      </c>
      <c r="R1512" s="77">
        <v>0</v>
      </c>
      <c r="S1512" s="77">
        <v>2</v>
      </c>
      <c r="T1512" s="77">
        <v>2</v>
      </c>
      <c r="U1512" s="77">
        <v>0</v>
      </c>
      <c r="V1512" s="77">
        <v>973</v>
      </c>
      <c r="W1512" s="80" t="s">
        <v>6272</v>
      </c>
      <c r="X1512" s="83" t="str">
        <f>HYPERLINK("https://www.moneytimes.com.br/075-pp-fora-do-radar-ate-onde-vai-o-corte-da-selic-fim-do-ciclo-pode-estar-mais-perto-do-que-esperado/")</f>
        <v>https://www.moneytimes.com.br/075-pp-fora-do-radar-ate-onde-vai-o-corte-da-selic-fim-do-ciclo-pode-estar-mais-perto-do-que-esperado/</v>
      </c>
      <c r="Y1512" s="77" t="s">
        <v>8611</v>
      </c>
      <c r="Z1512" s="77"/>
      <c r="AA1512" s="77"/>
      <c r="AB1512" s="77"/>
      <c r="AC1512" s="80" t="s">
        <v>10558</v>
      </c>
      <c r="AD1512" s="77" t="s">
        <v>10617</v>
      </c>
      <c r="AE1512" s="83" t="str">
        <f>HYPERLINK("https://twitter.com/leiamoneytimes/status/1688921068374036480")</f>
        <v>https://twitter.com/leiamoneytimes/status/1688921068374036480</v>
      </c>
      <c r="AF1512" s="79">
        <v>45146.605729166666</v>
      </c>
      <c r="AG1512" s="85">
        <v>45146</v>
      </c>
      <c r="AH1512" s="80" t="s">
        <v>11949</v>
      </c>
      <c r="AI1512" s="77" t="b">
        <v>0</v>
      </c>
      <c r="AJ1512" s="77"/>
      <c r="AK1512" s="77"/>
      <c r="AL1512" s="77"/>
      <c r="AM1512" s="77"/>
      <c r="AN1512" s="77"/>
      <c r="AO1512" s="77"/>
      <c r="AP1512" s="77"/>
      <c r="AQ1512" s="77"/>
      <c r="AR1512" s="77"/>
      <c r="AS1512" s="77"/>
      <c r="AT1512" s="77"/>
      <c r="AU1512" s="77"/>
      <c r="AV1512" s="83" t="str">
        <f>HYPERLINK("https://pbs.twimg.com/profile_images/1559883556846977024/bXHnQFY0_normal.jpg")</f>
        <v>https://pbs.twimg.com/profile_images/1559883556846977024/bXHnQFY0_normal.jpg</v>
      </c>
      <c r="AW1512" s="80" t="s">
        <v>17379</v>
      </c>
      <c r="AX1512" s="80" t="s">
        <v>17379</v>
      </c>
      <c r="AY1512" s="77"/>
      <c r="AZ1512" s="80" t="s">
        <v>20380</v>
      </c>
      <c r="BA1512" s="80" t="s">
        <v>20380</v>
      </c>
      <c r="BB1512" s="80" t="s">
        <v>20380</v>
      </c>
      <c r="BC1512" s="80" t="s">
        <v>17379</v>
      </c>
      <c r="BD1512" s="77">
        <v>51150679</v>
      </c>
      <c r="BE1512" s="77"/>
      <c r="BF1512" s="77"/>
      <c r="BG1512" s="77"/>
      <c r="BH1512" s="77"/>
      <c r="BI1512" s="77"/>
    </row>
    <row r="1513" spans="1:61" x14ac:dyDescent="0.25">
      <c r="A1513" s="62" t="s">
        <v>790</v>
      </c>
      <c r="B1513" s="62" t="s">
        <v>790</v>
      </c>
      <c r="C1513" s="63"/>
      <c r="D1513" s="64"/>
      <c r="E1513" s="65"/>
      <c r="F1513" s="66"/>
      <c r="G1513" s="63"/>
      <c r="H1513" s="67"/>
      <c r="I1513" s="68"/>
      <c r="J1513" s="68"/>
      <c r="K1513" s="32"/>
      <c r="L1513" s="75">
        <v>1513</v>
      </c>
      <c r="M1513" s="75"/>
      <c r="N1513" s="70"/>
      <c r="O1513" s="77" t="s">
        <v>179</v>
      </c>
      <c r="P1513" s="79">
        <v>45146.601620370369</v>
      </c>
      <c r="Q1513" s="77" t="s">
        <v>3409</v>
      </c>
      <c r="R1513" s="77">
        <v>0</v>
      </c>
      <c r="S1513" s="77">
        <v>0</v>
      </c>
      <c r="T1513" s="77">
        <v>1</v>
      </c>
      <c r="U1513" s="77">
        <v>0</v>
      </c>
      <c r="V1513" s="77">
        <v>737</v>
      </c>
      <c r="W1513" s="80" t="s">
        <v>6945</v>
      </c>
      <c r="X1513" s="83" t="str">
        <f>HYPERLINK("https://www.moneytimes.com.br/6-dicas-na-ata-do-copom-para-entender-o-futuro-das-quedas-da-selic/")</f>
        <v>https://www.moneytimes.com.br/6-dicas-na-ata-do-copom-para-entender-o-futuro-das-quedas-da-selic/</v>
      </c>
      <c r="Y1513" s="77" t="s">
        <v>8611</v>
      </c>
      <c r="Z1513" s="77"/>
      <c r="AA1513" s="77"/>
      <c r="AB1513" s="77"/>
      <c r="AC1513" s="80" t="s">
        <v>10558</v>
      </c>
      <c r="AD1513" s="77" t="s">
        <v>10617</v>
      </c>
      <c r="AE1513" s="83" t="str">
        <f>HYPERLINK("https://twitter.com/leiamoneytimes/status/1688919575373766657")</f>
        <v>https://twitter.com/leiamoneytimes/status/1688919575373766657</v>
      </c>
      <c r="AF1513" s="79">
        <v>45146.601620370369</v>
      </c>
      <c r="AG1513" s="85">
        <v>45146</v>
      </c>
      <c r="AH1513" s="80" t="s">
        <v>11950</v>
      </c>
      <c r="AI1513" s="77" t="b">
        <v>0</v>
      </c>
      <c r="AJ1513" s="77"/>
      <c r="AK1513" s="77"/>
      <c r="AL1513" s="77"/>
      <c r="AM1513" s="77"/>
      <c r="AN1513" s="77"/>
      <c r="AO1513" s="77"/>
      <c r="AP1513" s="77"/>
      <c r="AQ1513" s="77"/>
      <c r="AR1513" s="77"/>
      <c r="AS1513" s="77"/>
      <c r="AT1513" s="77"/>
      <c r="AU1513" s="77"/>
      <c r="AV1513" s="83" t="str">
        <f>HYPERLINK("https://pbs.twimg.com/profile_images/1559883556846977024/bXHnQFY0_normal.jpg")</f>
        <v>https://pbs.twimg.com/profile_images/1559883556846977024/bXHnQFY0_normal.jpg</v>
      </c>
      <c r="AW1513" s="80" t="s">
        <v>17380</v>
      </c>
      <c r="AX1513" s="80" t="s">
        <v>17380</v>
      </c>
      <c r="AY1513" s="77"/>
      <c r="AZ1513" s="80" t="s">
        <v>20380</v>
      </c>
      <c r="BA1513" s="80" t="s">
        <v>20380</v>
      </c>
      <c r="BB1513" s="80" t="s">
        <v>20380</v>
      </c>
      <c r="BC1513" s="80" t="s">
        <v>17380</v>
      </c>
      <c r="BD1513" s="77">
        <v>51150679</v>
      </c>
      <c r="BE1513" s="77"/>
      <c r="BF1513" s="77"/>
      <c r="BG1513" s="77"/>
      <c r="BH1513" s="77"/>
      <c r="BI1513" s="77"/>
    </row>
    <row r="1514" spans="1:61" x14ac:dyDescent="0.25">
      <c r="A1514" s="62" t="s">
        <v>790</v>
      </c>
      <c r="B1514" s="62" t="s">
        <v>790</v>
      </c>
      <c r="C1514" s="63"/>
      <c r="D1514" s="64"/>
      <c r="E1514" s="65"/>
      <c r="F1514" s="66"/>
      <c r="G1514" s="63"/>
      <c r="H1514" s="67"/>
      <c r="I1514" s="68"/>
      <c r="J1514" s="68"/>
      <c r="K1514" s="32"/>
      <c r="L1514" s="75">
        <v>1514</v>
      </c>
      <c r="M1514" s="75"/>
      <c r="N1514" s="70"/>
      <c r="O1514" s="77" t="s">
        <v>179</v>
      </c>
      <c r="P1514" s="79">
        <v>45146.556203703702</v>
      </c>
      <c r="Q1514" s="77" t="s">
        <v>3410</v>
      </c>
      <c r="R1514" s="77">
        <v>0</v>
      </c>
      <c r="S1514" s="77">
        <v>1</v>
      </c>
      <c r="T1514" s="77">
        <v>0</v>
      </c>
      <c r="U1514" s="77">
        <v>0</v>
      </c>
      <c r="V1514" s="77">
        <v>791</v>
      </c>
      <c r="W1514" s="80" t="s">
        <v>6950</v>
      </c>
      <c r="X1514" s="83" t="str">
        <f>HYPERLINK("https://www.moneytimes.com.br/dinheiro-esquecido-ainda-e-possivel-recuperar-r-7-bilhoes-veja-como/")</f>
        <v>https://www.moneytimes.com.br/dinheiro-esquecido-ainda-e-possivel-recuperar-r-7-bilhoes-veja-como/</v>
      </c>
      <c r="Y1514" s="77" t="s">
        <v>8611</v>
      </c>
      <c r="Z1514" s="77"/>
      <c r="AA1514" s="77"/>
      <c r="AB1514" s="77"/>
      <c r="AC1514" s="80" t="s">
        <v>10558</v>
      </c>
      <c r="AD1514" s="77" t="s">
        <v>10617</v>
      </c>
      <c r="AE1514" s="83" t="str">
        <f>HYPERLINK("https://twitter.com/leiamoneytimes/status/1688903119629938688")</f>
        <v>https://twitter.com/leiamoneytimes/status/1688903119629938688</v>
      </c>
      <c r="AF1514" s="79">
        <v>45146.556203703702</v>
      </c>
      <c r="AG1514" s="85">
        <v>45146</v>
      </c>
      <c r="AH1514" s="80" t="s">
        <v>11951</v>
      </c>
      <c r="AI1514" s="77" t="b">
        <v>0</v>
      </c>
      <c r="AJ1514" s="77"/>
      <c r="AK1514" s="77"/>
      <c r="AL1514" s="77"/>
      <c r="AM1514" s="77"/>
      <c r="AN1514" s="77"/>
      <c r="AO1514" s="77"/>
      <c r="AP1514" s="77"/>
      <c r="AQ1514" s="77"/>
      <c r="AR1514" s="77"/>
      <c r="AS1514" s="77"/>
      <c r="AT1514" s="77"/>
      <c r="AU1514" s="77"/>
      <c r="AV1514" s="83" t="str">
        <f>HYPERLINK("https://pbs.twimg.com/profile_images/1559883556846977024/bXHnQFY0_normal.jpg")</f>
        <v>https://pbs.twimg.com/profile_images/1559883556846977024/bXHnQFY0_normal.jpg</v>
      </c>
      <c r="AW1514" s="80" t="s">
        <v>17381</v>
      </c>
      <c r="AX1514" s="80" t="s">
        <v>17381</v>
      </c>
      <c r="AY1514" s="77"/>
      <c r="AZ1514" s="80" t="s">
        <v>20380</v>
      </c>
      <c r="BA1514" s="80" t="s">
        <v>20380</v>
      </c>
      <c r="BB1514" s="80" t="s">
        <v>20380</v>
      </c>
      <c r="BC1514" s="80" t="s">
        <v>17381</v>
      </c>
      <c r="BD1514" s="77">
        <v>51150679</v>
      </c>
      <c r="BE1514" s="77"/>
      <c r="BF1514" s="77"/>
      <c r="BG1514" s="77"/>
      <c r="BH1514" s="77"/>
      <c r="BI1514" s="77"/>
    </row>
    <row r="1515" spans="1:61" x14ac:dyDescent="0.25">
      <c r="A1515" s="62" t="s">
        <v>790</v>
      </c>
      <c r="B1515" s="62" t="s">
        <v>790</v>
      </c>
      <c r="C1515" s="63"/>
      <c r="D1515" s="64"/>
      <c r="E1515" s="65"/>
      <c r="F1515" s="66"/>
      <c r="G1515" s="63"/>
      <c r="H1515" s="67"/>
      <c r="I1515" s="68"/>
      <c r="J1515" s="68"/>
      <c r="K1515" s="32"/>
      <c r="L1515" s="75">
        <v>1515</v>
      </c>
      <c r="M1515" s="75"/>
      <c r="N1515" s="70"/>
      <c r="O1515" s="77" t="s">
        <v>179</v>
      </c>
      <c r="P1515" s="79">
        <v>45146.478263888886</v>
      </c>
      <c r="Q1515" s="77" t="s">
        <v>3411</v>
      </c>
      <c r="R1515" s="77">
        <v>1</v>
      </c>
      <c r="S1515" s="77">
        <v>19</v>
      </c>
      <c r="T1515" s="77">
        <v>1</v>
      </c>
      <c r="U1515" s="77">
        <v>1</v>
      </c>
      <c r="V1515" s="77">
        <v>1981</v>
      </c>
      <c r="W1515" s="80" t="s">
        <v>6272</v>
      </c>
      <c r="X1515" s="83" t="str">
        <f>HYPERLINK("https://www.moneytimes.com.br/ata-do-copom-joga-balde-de-agua-fria-nas-apostas-de-corte-de-075-pp/")</f>
        <v>https://www.moneytimes.com.br/ata-do-copom-joga-balde-de-agua-fria-nas-apostas-de-corte-de-075-pp/</v>
      </c>
      <c r="Y1515" s="77" t="s">
        <v>8611</v>
      </c>
      <c r="Z1515" s="77"/>
      <c r="AA1515" s="77"/>
      <c r="AB1515" s="77"/>
      <c r="AC1515" s="80" t="s">
        <v>10558</v>
      </c>
      <c r="AD1515" s="77" t="s">
        <v>10617</v>
      </c>
      <c r="AE1515" s="83" t="str">
        <f>HYPERLINK("https://twitter.com/leiamoneytimes/status/1688874874947694592")</f>
        <v>https://twitter.com/leiamoneytimes/status/1688874874947694592</v>
      </c>
      <c r="AF1515" s="79">
        <v>45146.478263888886</v>
      </c>
      <c r="AG1515" s="85">
        <v>45146</v>
      </c>
      <c r="AH1515" s="80" t="s">
        <v>11952</v>
      </c>
      <c r="AI1515" s="77" t="b">
        <v>0</v>
      </c>
      <c r="AJ1515" s="77"/>
      <c r="AK1515" s="77"/>
      <c r="AL1515" s="77"/>
      <c r="AM1515" s="77"/>
      <c r="AN1515" s="77"/>
      <c r="AO1515" s="77"/>
      <c r="AP1515" s="77"/>
      <c r="AQ1515" s="77"/>
      <c r="AR1515" s="77"/>
      <c r="AS1515" s="77"/>
      <c r="AT1515" s="77"/>
      <c r="AU1515" s="77"/>
      <c r="AV1515" s="83" t="str">
        <f>HYPERLINK("https://pbs.twimg.com/profile_images/1559883556846977024/bXHnQFY0_normal.jpg")</f>
        <v>https://pbs.twimg.com/profile_images/1559883556846977024/bXHnQFY0_normal.jpg</v>
      </c>
      <c r="AW1515" s="80" t="s">
        <v>17382</v>
      </c>
      <c r="AX1515" s="80" t="s">
        <v>17382</v>
      </c>
      <c r="AY1515" s="77"/>
      <c r="AZ1515" s="80" t="s">
        <v>20380</v>
      </c>
      <c r="BA1515" s="80" t="s">
        <v>20380</v>
      </c>
      <c r="BB1515" s="80" t="s">
        <v>20380</v>
      </c>
      <c r="BC1515" s="80" t="s">
        <v>17382</v>
      </c>
      <c r="BD1515" s="77">
        <v>51150679</v>
      </c>
      <c r="BE1515" s="77"/>
      <c r="BF1515" s="77"/>
      <c r="BG1515" s="77"/>
      <c r="BH1515" s="77"/>
      <c r="BI1515" s="77"/>
    </row>
    <row r="1516" spans="1:61" x14ac:dyDescent="0.25">
      <c r="A1516" s="62" t="s">
        <v>790</v>
      </c>
      <c r="B1516" s="62" t="s">
        <v>790</v>
      </c>
      <c r="C1516" s="63"/>
      <c r="D1516" s="64"/>
      <c r="E1516" s="65"/>
      <c r="F1516" s="66"/>
      <c r="G1516" s="63"/>
      <c r="H1516" s="67"/>
      <c r="I1516" s="68"/>
      <c r="J1516" s="68"/>
      <c r="K1516" s="32"/>
      <c r="L1516" s="75">
        <v>1516</v>
      </c>
      <c r="M1516" s="75"/>
      <c r="N1516" s="70"/>
      <c r="O1516" s="77" t="s">
        <v>179</v>
      </c>
      <c r="P1516" s="79">
        <v>45146.453923611109</v>
      </c>
      <c r="Q1516" s="77" t="s">
        <v>3412</v>
      </c>
      <c r="R1516" s="77">
        <v>0</v>
      </c>
      <c r="S1516" s="77">
        <v>1</v>
      </c>
      <c r="T1516" s="77">
        <v>1</v>
      </c>
      <c r="U1516" s="77">
        <v>0</v>
      </c>
      <c r="V1516" s="77">
        <v>1041</v>
      </c>
      <c r="W1516" s="80" t="s">
        <v>6927</v>
      </c>
      <c r="X1516" s="83" t="str">
        <f>HYPERLINK("https://www.moneytimes.com.br/agenda-do-dia-lula-esta-de-olho-no-cargo-dois-diretores-banco-central-08-08-2023/")</f>
        <v>https://www.moneytimes.com.br/agenda-do-dia-lula-esta-de-olho-no-cargo-dois-diretores-banco-central-08-08-2023/</v>
      </c>
      <c r="Y1516" s="77" t="s">
        <v>8611</v>
      </c>
      <c r="Z1516" s="77"/>
      <c r="AA1516" s="77"/>
      <c r="AB1516" s="77"/>
      <c r="AC1516" s="80" t="s">
        <v>10558</v>
      </c>
      <c r="AD1516" s="77" t="s">
        <v>10617</v>
      </c>
      <c r="AE1516" s="83" t="str">
        <f>HYPERLINK("https://twitter.com/leiamoneytimes/status/1688866052233445377")</f>
        <v>https://twitter.com/leiamoneytimes/status/1688866052233445377</v>
      </c>
      <c r="AF1516" s="79">
        <v>45146.453923611109</v>
      </c>
      <c r="AG1516" s="85">
        <v>45146</v>
      </c>
      <c r="AH1516" s="80" t="s">
        <v>11467</v>
      </c>
      <c r="AI1516" s="77" t="b">
        <v>0</v>
      </c>
      <c r="AJ1516" s="77"/>
      <c r="AK1516" s="77"/>
      <c r="AL1516" s="77"/>
      <c r="AM1516" s="77"/>
      <c r="AN1516" s="77"/>
      <c r="AO1516" s="77"/>
      <c r="AP1516" s="77"/>
      <c r="AQ1516" s="77"/>
      <c r="AR1516" s="77"/>
      <c r="AS1516" s="77"/>
      <c r="AT1516" s="77"/>
      <c r="AU1516" s="77"/>
      <c r="AV1516" s="83" t="str">
        <f>HYPERLINK("https://pbs.twimg.com/profile_images/1559883556846977024/bXHnQFY0_normal.jpg")</f>
        <v>https://pbs.twimg.com/profile_images/1559883556846977024/bXHnQFY0_normal.jpg</v>
      </c>
      <c r="AW1516" s="80" t="s">
        <v>17383</v>
      </c>
      <c r="AX1516" s="80" t="s">
        <v>17383</v>
      </c>
      <c r="AY1516" s="77"/>
      <c r="AZ1516" s="80" t="s">
        <v>20380</v>
      </c>
      <c r="BA1516" s="80" t="s">
        <v>20380</v>
      </c>
      <c r="BB1516" s="80" t="s">
        <v>20380</v>
      </c>
      <c r="BC1516" s="80" t="s">
        <v>17383</v>
      </c>
      <c r="BD1516" s="77">
        <v>51150679</v>
      </c>
      <c r="BE1516" s="77"/>
      <c r="BF1516" s="77"/>
      <c r="BG1516" s="77"/>
      <c r="BH1516" s="77"/>
      <c r="BI1516" s="77"/>
    </row>
    <row r="1517" spans="1:61" x14ac:dyDescent="0.25">
      <c r="A1517" s="62" t="s">
        <v>790</v>
      </c>
      <c r="B1517" s="62" t="s">
        <v>790</v>
      </c>
      <c r="C1517" s="63"/>
      <c r="D1517" s="64"/>
      <c r="E1517" s="65"/>
      <c r="F1517" s="66"/>
      <c r="G1517" s="63"/>
      <c r="H1517" s="67"/>
      <c r="I1517" s="68"/>
      <c r="J1517" s="68"/>
      <c r="K1517" s="32"/>
      <c r="L1517" s="75">
        <v>1517</v>
      </c>
      <c r="M1517" s="75"/>
      <c r="N1517" s="70"/>
      <c r="O1517" s="77" t="s">
        <v>179</v>
      </c>
      <c r="P1517" s="79">
        <v>45146.433981481481</v>
      </c>
      <c r="Q1517" s="77" t="s">
        <v>3413</v>
      </c>
      <c r="R1517" s="77">
        <v>0</v>
      </c>
      <c r="S1517" s="77">
        <v>1</v>
      </c>
      <c r="T1517" s="77">
        <v>0</v>
      </c>
      <c r="U1517" s="77">
        <v>0</v>
      </c>
      <c r="V1517" s="77">
        <v>1129</v>
      </c>
      <c r="W1517" s="80" t="s">
        <v>6951</v>
      </c>
      <c r="X1517" s="83" t="str">
        <f>HYPERLINK("https://www.moneytimes.com.br/morning-times-racha-bc-mercado-encontrar-ata-copom-08-08-2023/")</f>
        <v>https://www.moneytimes.com.br/morning-times-racha-bc-mercado-encontrar-ata-copom-08-08-2023/</v>
      </c>
      <c r="Y1517" s="77" t="s">
        <v>8611</v>
      </c>
      <c r="Z1517" s="77"/>
      <c r="AA1517" s="77"/>
      <c r="AB1517" s="77"/>
      <c r="AC1517" s="80" t="s">
        <v>10558</v>
      </c>
      <c r="AD1517" s="77" t="s">
        <v>10617</v>
      </c>
      <c r="AE1517" s="83" t="str">
        <f>HYPERLINK("https://twitter.com/leiamoneytimes/status/1688858827695788033")</f>
        <v>https://twitter.com/leiamoneytimes/status/1688858827695788033</v>
      </c>
      <c r="AF1517" s="79">
        <v>45146.433981481481</v>
      </c>
      <c r="AG1517" s="85">
        <v>45146</v>
      </c>
      <c r="AH1517" s="80" t="s">
        <v>11953</v>
      </c>
      <c r="AI1517" s="77" t="b">
        <v>0</v>
      </c>
      <c r="AJ1517" s="77"/>
      <c r="AK1517" s="77"/>
      <c r="AL1517" s="77"/>
      <c r="AM1517" s="77"/>
      <c r="AN1517" s="77"/>
      <c r="AO1517" s="77"/>
      <c r="AP1517" s="77"/>
      <c r="AQ1517" s="77"/>
      <c r="AR1517" s="77"/>
      <c r="AS1517" s="77"/>
      <c r="AT1517" s="77"/>
      <c r="AU1517" s="77"/>
      <c r="AV1517" s="83" t="str">
        <f>HYPERLINK("https://pbs.twimg.com/profile_images/1559883556846977024/bXHnQFY0_normal.jpg")</f>
        <v>https://pbs.twimg.com/profile_images/1559883556846977024/bXHnQFY0_normal.jpg</v>
      </c>
      <c r="AW1517" s="80" t="s">
        <v>17384</v>
      </c>
      <c r="AX1517" s="80" t="s">
        <v>17384</v>
      </c>
      <c r="AY1517" s="77"/>
      <c r="AZ1517" s="80" t="s">
        <v>20380</v>
      </c>
      <c r="BA1517" s="80" t="s">
        <v>20380</v>
      </c>
      <c r="BB1517" s="80" t="s">
        <v>20380</v>
      </c>
      <c r="BC1517" s="80" t="s">
        <v>17384</v>
      </c>
      <c r="BD1517" s="77">
        <v>51150679</v>
      </c>
      <c r="BE1517" s="77"/>
      <c r="BF1517" s="77"/>
      <c r="BG1517" s="77"/>
      <c r="BH1517" s="77"/>
      <c r="BI1517" s="77"/>
    </row>
    <row r="1518" spans="1:61" x14ac:dyDescent="0.25">
      <c r="A1518" s="62" t="s">
        <v>790</v>
      </c>
      <c r="B1518" s="62" t="s">
        <v>790</v>
      </c>
      <c r="C1518" s="63"/>
      <c r="D1518" s="64"/>
      <c r="E1518" s="65"/>
      <c r="F1518" s="66"/>
      <c r="G1518" s="63"/>
      <c r="H1518" s="67"/>
      <c r="I1518" s="68"/>
      <c r="J1518" s="68"/>
      <c r="K1518" s="32"/>
      <c r="L1518" s="75">
        <v>1518</v>
      </c>
      <c r="M1518" s="75"/>
      <c r="N1518" s="70"/>
      <c r="O1518" s="77" t="s">
        <v>179</v>
      </c>
      <c r="P1518" s="79">
        <v>45139.652407407404</v>
      </c>
      <c r="Q1518" s="77" t="s">
        <v>3414</v>
      </c>
      <c r="R1518" s="77">
        <v>0</v>
      </c>
      <c r="S1518" s="77">
        <v>4</v>
      </c>
      <c r="T1518" s="77">
        <v>1</v>
      </c>
      <c r="U1518" s="77">
        <v>0</v>
      </c>
      <c r="V1518" s="77">
        <v>1073</v>
      </c>
      <c r="W1518" s="80" t="s">
        <v>6952</v>
      </c>
      <c r="X1518" s="83" t="str">
        <f>HYPERLINK("https://www.moneytimes.com.br/fmi-elogia-bc-lula-diz-que-organizacao-vai-errar-todas-projecoes-sobre-o-brasil/")</f>
        <v>https://www.moneytimes.com.br/fmi-elogia-bc-lula-diz-que-organizacao-vai-errar-todas-projecoes-sobre-o-brasil/</v>
      </c>
      <c r="Y1518" s="77" t="s">
        <v>8611</v>
      </c>
      <c r="Z1518" s="77"/>
      <c r="AA1518" s="77"/>
      <c r="AB1518" s="77"/>
      <c r="AC1518" s="80" t="s">
        <v>10558</v>
      </c>
      <c r="AD1518" s="77" t="s">
        <v>10617</v>
      </c>
      <c r="AE1518" s="83" t="str">
        <f>HYPERLINK("https://twitter.com/leiamoneytimes/status/1686401268162465792")</f>
        <v>https://twitter.com/leiamoneytimes/status/1686401268162465792</v>
      </c>
      <c r="AF1518" s="79">
        <v>45139.652407407404</v>
      </c>
      <c r="AG1518" s="85">
        <v>45139</v>
      </c>
      <c r="AH1518" s="80" t="s">
        <v>11954</v>
      </c>
      <c r="AI1518" s="77" t="b">
        <v>0</v>
      </c>
      <c r="AJ1518" s="77"/>
      <c r="AK1518" s="77"/>
      <c r="AL1518" s="77"/>
      <c r="AM1518" s="77"/>
      <c r="AN1518" s="77"/>
      <c r="AO1518" s="77"/>
      <c r="AP1518" s="77"/>
      <c r="AQ1518" s="77"/>
      <c r="AR1518" s="77"/>
      <c r="AS1518" s="77"/>
      <c r="AT1518" s="77"/>
      <c r="AU1518" s="77"/>
      <c r="AV1518" s="83" t="str">
        <f>HYPERLINK("https://pbs.twimg.com/profile_images/1559883556846977024/bXHnQFY0_normal.jpg")</f>
        <v>https://pbs.twimg.com/profile_images/1559883556846977024/bXHnQFY0_normal.jpg</v>
      </c>
      <c r="AW1518" s="80" t="s">
        <v>17385</v>
      </c>
      <c r="AX1518" s="80" t="s">
        <v>17385</v>
      </c>
      <c r="AY1518" s="77"/>
      <c r="AZ1518" s="80" t="s">
        <v>20380</v>
      </c>
      <c r="BA1518" s="80" t="s">
        <v>20380</v>
      </c>
      <c r="BB1518" s="80" t="s">
        <v>20380</v>
      </c>
      <c r="BC1518" s="80" t="s">
        <v>17385</v>
      </c>
      <c r="BD1518" s="77">
        <v>51150679</v>
      </c>
      <c r="BE1518" s="77"/>
      <c r="BF1518" s="77"/>
      <c r="BG1518" s="77"/>
      <c r="BH1518" s="77"/>
      <c r="BI1518" s="77"/>
    </row>
    <row r="1519" spans="1:61" x14ac:dyDescent="0.25">
      <c r="A1519" s="62" t="s">
        <v>790</v>
      </c>
      <c r="B1519" s="62" t="s">
        <v>790</v>
      </c>
      <c r="C1519" s="63"/>
      <c r="D1519" s="64"/>
      <c r="E1519" s="65"/>
      <c r="F1519" s="66"/>
      <c r="G1519" s="63"/>
      <c r="H1519" s="67"/>
      <c r="I1519" s="68"/>
      <c r="J1519" s="68"/>
      <c r="K1519" s="32"/>
      <c r="L1519" s="75">
        <v>1519</v>
      </c>
      <c r="M1519" s="75"/>
      <c r="N1519" s="70"/>
      <c r="O1519" s="77" t="s">
        <v>179</v>
      </c>
      <c r="P1519" s="79">
        <v>45139.507743055554</v>
      </c>
      <c r="Q1519" s="77" t="s">
        <v>3415</v>
      </c>
      <c r="R1519" s="77">
        <v>0</v>
      </c>
      <c r="S1519" s="77">
        <v>4</v>
      </c>
      <c r="T1519" s="77">
        <v>1</v>
      </c>
      <c r="U1519" s="77">
        <v>0</v>
      </c>
      <c r="V1519" s="77">
        <v>948</v>
      </c>
      <c r="W1519" s="80" t="s">
        <v>6953</v>
      </c>
      <c r="X1519" s="83" t="str">
        <f>HYPERLINK("https://www.moneytimes.com.br/queda-de-025-pp-na-selic-por-que-copom-deve-deixar-050-pp-de-lado-no-primeiro-corte/")</f>
        <v>https://www.moneytimes.com.br/queda-de-025-pp-na-selic-por-que-copom-deve-deixar-050-pp-de-lado-no-primeiro-corte/</v>
      </c>
      <c r="Y1519" s="77" t="s">
        <v>8611</v>
      </c>
      <c r="Z1519" s="77"/>
      <c r="AA1519" s="77"/>
      <c r="AB1519" s="77"/>
      <c r="AC1519" s="80" t="s">
        <v>10558</v>
      </c>
      <c r="AD1519" s="77" t="s">
        <v>10617</v>
      </c>
      <c r="AE1519" s="83" t="str">
        <f>HYPERLINK("https://twitter.com/leiamoneytimes/status/1686348843737100288")</f>
        <v>https://twitter.com/leiamoneytimes/status/1686348843737100288</v>
      </c>
      <c r="AF1519" s="79">
        <v>45139.507743055554</v>
      </c>
      <c r="AG1519" s="85">
        <v>45139</v>
      </c>
      <c r="AH1519" s="80" t="s">
        <v>11955</v>
      </c>
      <c r="AI1519" s="77" t="b">
        <v>0</v>
      </c>
      <c r="AJ1519" s="77"/>
      <c r="AK1519" s="77"/>
      <c r="AL1519" s="77"/>
      <c r="AM1519" s="77"/>
      <c r="AN1519" s="77"/>
      <c r="AO1519" s="77"/>
      <c r="AP1519" s="77"/>
      <c r="AQ1519" s="77"/>
      <c r="AR1519" s="77"/>
      <c r="AS1519" s="77"/>
      <c r="AT1519" s="77"/>
      <c r="AU1519" s="77"/>
      <c r="AV1519" s="83" t="str">
        <f>HYPERLINK("https://pbs.twimg.com/profile_images/1559883556846977024/bXHnQFY0_normal.jpg")</f>
        <v>https://pbs.twimg.com/profile_images/1559883556846977024/bXHnQFY0_normal.jpg</v>
      </c>
      <c r="AW1519" s="80" t="s">
        <v>17386</v>
      </c>
      <c r="AX1519" s="80" t="s">
        <v>17386</v>
      </c>
      <c r="AY1519" s="77"/>
      <c r="AZ1519" s="80" t="s">
        <v>20380</v>
      </c>
      <c r="BA1519" s="80" t="s">
        <v>20380</v>
      </c>
      <c r="BB1519" s="80" t="s">
        <v>20380</v>
      </c>
      <c r="BC1519" s="80" t="s">
        <v>17386</v>
      </c>
      <c r="BD1519" s="77">
        <v>51150679</v>
      </c>
      <c r="BE1519" s="77"/>
      <c r="BF1519" s="77"/>
      <c r="BG1519" s="77"/>
      <c r="BH1519" s="77"/>
      <c r="BI1519" s="77"/>
    </row>
    <row r="1520" spans="1:61" x14ac:dyDescent="0.25">
      <c r="A1520" s="62" t="s">
        <v>790</v>
      </c>
      <c r="B1520" s="62" t="s">
        <v>790</v>
      </c>
      <c r="C1520" s="63"/>
      <c r="D1520" s="64"/>
      <c r="E1520" s="65"/>
      <c r="F1520" s="66"/>
      <c r="G1520" s="63"/>
      <c r="H1520" s="67"/>
      <c r="I1520" s="68"/>
      <c r="J1520" s="68"/>
      <c r="K1520" s="32"/>
      <c r="L1520" s="75">
        <v>1520</v>
      </c>
      <c r="M1520" s="75"/>
      <c r="N1520" s="70"/>
      <c r="O1520" s="77" t="s">
        <v>179</v>
      </c>
      <c r="P1520" s="79">
        <v>45112.521527777775</v>
      </c>
      <c r="Q1520" s="77" t="s">
        <v>3416</v>
      </c>
      <c r="R1520" s="77">
        <v>1</v>
      </c>
      <c r="S1520" s="77">
        <v>1</v>
      </c>
      <c r="T1520" s="77">
        <v>1</v>
      </c>
      <c r="U1520" s="77">
        <v>0</v>
      </c>
      <c r="V1520" s="77">
        <v>1009</v>
      </c>
      <c r="W1520" s="80" t="s">
        <v>6272</v>
      </c>
      <c r="X1520" s="83" t="str">
        <f>HYPERLINK("https://www.moneytimes.com.br/corte-na-selic-inflacao-pode-jogar-contra-na-campanha-pela-queda-dos-juros-entenda/")</f>
        <v>https://www.moneytimes.com.br/corte-na-selic-inflacao-pode-jogar-contra-na-campanha-pela-queda-dos-juros-entenda/</v>
      </c>
      <c r="Y1520" s="77" t="s">
        <v>8611</v>
      </c>
      <c r="Z1520" s="77"/>
      <c r="AA1520" s="77"/>
      <c r="AB1520" s="77"/>
      <c r="AC1520" s="80" t="s">
        <v>10558</v>
      </c>
      <c r="AD1520" s="77" t="s">
        <v>10617</v>
      </c>
      <c r="AE1520" s="83" t="str">
        <f>HYPERLINK("https://twitter.com/leiamoneytimes/status/1676569363950850049")</f>
        <v>https://twitter.com/leiamoneytimes/status/1676569363950850049</v>
      </c>
      <c r="AF1520" s="79">
        <v>45112.521527777775</v>
      </c>
      <c r="AG1520" s="85">
        <v>45112</v>
      </c>
      <c r="AH1520" s="80" t="s">
        <v>11956</v>
      </c>
      <c r="AI1520" s="77" t="b">
        <v>0</v>
      </c>
      <c r="AJ1520" s="77"/>
      <c r="AK1520" s="77"/>
      <c r="AL1520" s="77"/>
      <c r="AM1520" s="77"/>
      <c r="AN1520" s="77"/>
      <c r="AO1520" s="77"/>
      <c r="AP1520" s="77"/>
      <c r="AQ1520" s="77"/>
      <c r="AR1520" s="77"/>
      <c r="AS1520" s="77"/>
      <c r="AT1520" s="77"/>
      <c r="AU1520" s="77"/>
      <c r="AV1520" s="83" t="str">
        <f>HYPERLINK("https://pbs.twimg.com/profile_images/1559883556846977024/bXHnQFY0_normal.jpg")</f>
        <v>https://pbs.twimg.com/profile_images/1559883556846977024/bXHnQFY0_normal.jpg</v>
      </c>
      <c r="AW1520" s="80" t="s">
        <v>17387</v>
      </c>
      <c r="AX1520" s="80" t="s">
        <v>17387</v>
      </c>
      <c r="AY1520" s="77"/>
      <c r="AZ1520" s="80" t="s">
        <v>20380</v>
      </c>
      <c r="BA1520" s="80" t="s">
        <v>20380</v>
      </c>
      <c r="BB1520" s="80" t="s">
        <v>20380</v>
      </c>
      <c r="BC1520" s="80" t="s">
        <v>17387</v>
      </c>
      <c r="BD1520" s="77">
        <v>51150679</v>
      </c>
      <c r="BE1520" s="77"/>
      <c r="BF1520" s="77"/>
      <c r="BG1520" s="77"/>
      <c r="BH1520" s="77"/>
      <c r="BI1520" s="77"/>
    </row>
    <row r="1521" spans="1:61" x14ac:dyDescent="0.25">
      <c r="A1521" s="62" t="s">
        <v>790</v>
      </c>
      <c r="B1521" s="62" t="s">
        <v>790</v>
      </c>
      <c r="C1521" s="63"/>
      <c r="D1521" s="64"/>
      <c r="E1521" s="65"/>
      <c r="F1521" s="66"/>
      <c r="G1521" s="63"/>
      <c r="H1521" s="67"/>
      <c r="I1521" s="68"/>
      <c r="J1521" s="68"/>
      <c r="K1521" s="32"/>
      <c r="L1521" s="75">
        <v>1521</v>
      </c>
      <c r="M1521" s="75"/>
      <c r="N1521" s="70"/>
      <c r="O1521" s="77" t="s">
        <v>179</v>
      </c>
      <c r="P1521" s="79">
        <v>45112.519988425927</v>
      </c>
      <c r="Q1521" s="77" t="s">
        <v>3417</v>
      </c>
      <c r="R1521" s="77">
        <v>0</v>
      </c>
      <c r="S1521" s="77">
        <v>1</v>
      </c>
      <c r="T1521" s="77">
        <v>1</v>
      </c>
      <c r="U1521" s="77">
        <v>0</v>
      </c>
      <c r="V1521" s="77">
        <v>838</v>
      </c>
      <c r="W1521" s="80" t="s">
        <v>6954</v>
      </c>
      <c r="X1521" s="83" t="str">
        <f>HYPERLINK("https://www.moneytimes.com.br/dolar-tem-leve-alta-ante-real-com-expectativa-por-ata-do-fed-e-de-olho-na-camara/")</f>
        <v>https://www.moneytimes.com.br/dolar-tem-leve-alta-ante-real-com-expectativa-por-ata-do-fed-e-de-olho-na-camara/</v>
      </c>
      <c r="Y1521" s="77" t="s">
        <v>8611</v>
      </c>
      <c r="Z1521" s="77"/>
      <c r="AA1521" s="77"/>
      <c r="AB1521" s="77"/>
      <c r="AC1521" s="80" t="s">
        <v>10558</v>
      </c>
      <c r="AD1521" s="77" t="s">
        <v>10617</v>
      </c>
      <c r="AE1521" s="83" t="str">
        <f>HYPERLINK("https://twitter.com/leiamoneytimes/status/1676568806582280194")</f>
        <v>https://twitter.com/leiamoneytimes/status/1676568806582280194</v>
      </c>
      <c r="AF1521" s="79">
        <v>45112.519988425927</v>
      </c>
      <c r="AG1521" s="85">
        <v>45112</v>
      </c>
      <c r="AH1521" s="80" t="s">
        <v>11957</v>
      </c>
      <c r="AI1521" s="77" t="b">
        <v>0</v>
      </c>
      <c r="AJ1521" s="77"/>
      <c r="AK1521" s="77"/>
      <c r="AL1521" s="77"/>
      <c r="AM1521" s="77"/>
      <c r="AN1521" s="77"/>
      <c r="AO1521" s="77"/>
      <c r="AP1521" s="77"/>
      <c r="AQ1521" s="77"/>
      <c r="AR1521" s="77"/>
      <c r="AS1521" s="77"/>
      <c r="AT1521" s="77"/>
      <c r="AU1521" s="77"/>
      <c r="AV1521" s="83" t="str">
        <f>HYPERLINK("https://pbs.twimg.com/profile_images/1559883556846977024/bXHnQFY0_normal.jpg")</f>
        <v>https://pbs.twimg.com/profile_images/1559883556846977024/bXHnQFY0_normal.jpg</v>
      </c>
      <c r="AW1521" s="80" t="s">
        <v>17388</v>
      </c>
      <c r="AX1521" s="80" t="s">
        <v>17388</v>
      </c>
      <c r="AY1521" s="77"/>
      <c r="AZ1521" s="80" t="s">
        <v>20380</v>
      </c>
      <c r="BA1521" s="80" t="s">
        <v>20380</v>
      </c>
      <c r="BB1521" s="80" t="s">
        <v>20380</v>
      </c>
      <c r="BC1521" s="80" t="s">
        <v>17388</v>
      </c>
      <c r="BD1521" s="77">
        <v>51150679</v>
      </c>
      <c r="BE1521" s="77"/>
      <c r="BF1521" s="77"/>
      <c r="BG1521" s="77"/>
      <c r="BH1521" s="77"/>
      <c r="BI1521" s="77"/>
    </row>
    <row r="1522" spans="1:61" x14ac:dyDescent="0.25">
      <c r="A1522" s="62" t="s">
        <v>790</v>
      </c>
      <c r="B1522" s="62" t="s">
        <v>790</v>
      </c>
      <c r="C1522" s="63"/>
      <c r="D1522" s="64"/>
      <c r="E1522" s="65"/>
      <c r="F1522" s="66"/>
      <c r="G1522" s="63"/>
      <c r="H1522" s="67"/>
      <c r="I1522" s="68"/>
      <c r="J1522" s="68"/>
      <c r="K1522" s="32"/>
      <c r="L1522" s="75">
        <v>1522</v>
      </c>
      <c r="M1522" s="75"/>
      <c r="N1522" s="70"/>
      <c r="O1522" s="77" t="s">
        <v>179</v>
      </c>
      <c r="P1522" s="79">
        <v>45111.689074074071</v>
      </c>
      <c r="Q1522" s="77" t="s">
        <v>3418</v>
      </c>
      <c r="R1522" s="77">
        <v>0</v>
      </c>
      <c r="S1522" s="77">
        <v>2</v>
      </c>
      <c r="T1522" s="77">
        <v>1</v>
      </c>
      <c r="U1522" s="77">
        <v>0</v>
      </c>
      <c r="V1522" s="77">
        <v>1001</v>
      </c>
      <c r="W1522" s="80" t="s">
        <v>6922</v>
      </c>
      <c r="X1522" s="83" t="str">
        <f>HYPERLINK("https://www.moneytimes.com.br/ponto-para-o-lula-comissao-do-senado-aprova-indicacoes-do-governo-para-diretoria-do-bc/")</f>
        <v>https://www.moneytimes.com.br/ponto-para-o-lula-comissao-do-senado-aprova-indicacoes-do-governo-para-diretoria-do-bc/</v>
      </c>
      <c r="Y1522" s="77" t="s">
        <v>8611</v>
      </c>
      <c r="Z1522" s="77"/>
      <c r="AA1522" s="77"/>
      <c r="AB1522" s="77"/>
      <c r="AC1522" s="80" t="s">
        <v>10558</v>
      </c>
      <c r="AD1522" s="77" t="s">
        <v>10617</v>
      </c>
      <c r="AE1522" s="83" t="str">
        <f>HYPERLINK("https://twitter.com/leiamoneytimes/status/1676267695178670080")</f>
        <v>https://twitter.com/leiamoneytimes/status/1676267695178670080</v>
      </c>
      <c r="AF1522" s="79">
        <v>45111.689074074071</v>
      </c>
      <c r="AG1522" s="85">
        <v>45111</v>
      </c>
      <c r="AH1522" s="80" t="s">
        <v>11958</v>
      </c>
      <c r="AI1522" s="77" t="b">
        <v>0</v>
      </c>
      <c r="AJ1522" s="77"/>
      <c r="AK1522" s="77"/>
      <c r="AL1522" s="77"/>
      <c r="AM1522" s="77"/>
      <c r="AN1522" s="77"/>
      <c r="AO1522" s="77"/>
      <c r="AP1522" s="77"/>
      <c r="AQ1522" s="77"/>
      <c r="AR1522" s="77"/>
      <c r="AS1522" s="77"/>
      <c r="AT1522" s="77"/>
      <c r="AU1522" s="77"/>
      <c r="AV1522" s="83" t="str">
        <f>HYPERLINK("https://pbs.twimg.com/profile_images/1559883556846977024/bXHnQFY0_normal.jpg")</f>
        <v>https://pbs.twimg.com/profile_images/1559883556846977024/bXHnQFY0_normal.jpg</v>
      </c>
      <c r="AW1522" s="80" t="s">
        <v>17389</v>
      </c>
      <c r="AX1522" s="80" t="s">
        <v>17389</v>
      </c>
      <c r="AY1522" s="77"/>
      <c r="AZ1522" s="80" t="s">
        <v>20380</v>
      </c>
      <c r="BA1522" s="80" t="s">
        <v>20380</v>
      </c>
      <c r="BB1522" s="80" t="s">
        <v>20380</v>
      </c>
      <c r="BC1522" s="80" t="s">
        <v>17389</v>
      </c>
      <c r="BD1522" s="77">
        <v>51150679</v>
      </c>
      <c r="BE1522" s="77"/>
      <c r="BF1522" s="77"/>
      <c r="BG1522" s="77"/>
      <c r="BH1522" s="77"/>
      <c r="BI1522" s="77"/>
    </row>
    <row r="1523" spans="1:61" x14ac:dyDescent="0.25">
      <c r="A1523" s="62" t="s">
        <v>790</v>
      </c>
      <c r="B1523" s="62" t="s">
        <v>790</v>
      </c>
      <c r="C1523" s="63"/>
      <c r="D1523" s="64"/>
      <c r="E1523" s="65"/>
      <c r="F1523" s="66"/>
      <c r="G1523" s="63"/>
      <c r="H1523" s="67"/>
      <c r="I1523" s="68"/>
      <c r="J1523" s="68"/>
      <c r="K1523" s="32"/>
      <c r="L1523" s="75">
        <v>1523</v>
      </c>
      <c r="M1523" s="75"/>
      <c r="N1523" s="70"/>
      <c r="O1523" s="77" t="s">
        <v>179</v>
      </c>
      <c r="P1523" s="79">
        <v>45111.585335648146</v>
      </c>
      <c r="Q1523" s="77" t="s">
        <v>3419</v>
      </c>
      <c r="R1523" s="77">
        <v>0</v>
      </c>
      <c r="S1523" s="77">
        <v>6</v>
      </c>
      <c r="T1523" s="77">
        <v>1</v>
      </c>
      <c r="U1523" s="77">
        <v>0</v>
      </c>
      <c r="V1523" s="77">
        <v>1145</v>
      </c>
      <c r="W1523" s="80" t="s">
        <v>6922</v>
      </c>
      <c r="X1523" s="83" t="str">
        <f>HYPERLINK("https://www.moneytimes.com.br/medidas-do-governo-geraram-perspectiva-de-flexibilizacao-monetaria-para-breve-diz-galipolo-em-sabatina/")</f>
        <v>https://www.moneytimes.com.br/medidas-do-governo-geraram-perspectiva-de-flexibilizacao-monetaria-para-breve-diz-galipolo-em-sabatina/</v>
      </c>
      <c r="Y1523" s="77" t="s">
        <v>8611</v>
      </c>
      <c r="Z1523" s="77"/>
      <c r="AA1523" s="77"/>
      <c r="AB1523" s="77"/>
      <c r="AC1523" s="80" t="s">
        <v>10558</v>
      </c>
      <c r="AD1523" s="77" t="s">
        <v>10617</v>
      </c>
      <c r="AE1523" s="83" t="str">
        <f>HYPERLINK("https://twitter.com/leiamoneytimes/status/1676230101225144321")</f>
        <v>https://twitter.com/leiamoneytimes/status/1676230101225144321</v>
      </c>
      <c r="AF1523" s="79">
        <v>45111.585335648146</v>
      </c>
      <c r="AG1523" s="85">
        <v>45111</v>
      </c>
      <c r="AH1523" s="80" t="s">
        <v>11959</v>
      </c>
      <c r="AI1523" s="77" t="b">
        <v>0</v>
      </c>
      <c r="AJ1523" s="77"/>
      <c r="AK1523" s="77"/>
      <c r="AL1523" s="77"/>
      <c r="AM1523" s="77"/>
      <c r="AN1523" s="77"/>
      <c r="AO1523" s="77"/>
      <c r="AP1523" s="77"/>
      <c r="AQ1523" s="77"/>
      <c r="AR1523" s="77"/>
      <c r="AS1523" s="77"/>
      <c r="AT1523" s="77"/>
      <c r="AU1523" s="77"/>
      <c r="AV1523" s="83" t="str">
        <f>HYPERLINK("https://pbs.twimg.com/profile_images/1559883556846977024/bXHnQFY0_normal.jpg")</f>
        <v>https://pbs.twimg.com/profile_images/1559883556846977024/bXHnQFY0_normal.jpg</v>
      </c>
      <c r="AW1523" s="80" t="s">
        <v>17390</v>
      </c>
      <c r="AX1523" s="80" t="s">
        <v>17390</v>
      </c>
      <c r="AY1523" s="77"/>
      <c r="AZ1523" s="80" t="s">
        <v>20380</v>
      </c>
      <c r="BA1523" s="80" t="s">
        <v>20380</v>
      </c>
      <c r="BB1523" s="80" t="s">
        <v>20380</v>
      </c>
      <c r="BC1523" s="80" t="s">
        <v>17390</v>
      </c>
      <c r="BD1523" s="77">
        <v>51150679</v>
      </c>
      <c r="BE1523" s="77"/>
      <c r="BF1523" s="77"/>
      <c r="BG1523" s="77"/>
      <c r="BH1523" s="77"/>
      <c r="BI1523" s="77"/>
    </row>
    <row r="1524" spans="1:61" x14ac:dyDescent="0.25">
      <c r="A1524" s="62" t="s">
        <v>790</v>
      </c>
      <c r="B1524" s="62" t="s">
        <v>790</v>
      </c>
      <c r="C1524" s="63"/>
      <c r="D1524" s="64"/>
      <c r="E1524" s="65"/>
      <c r="F1524" s="66"/>
      <c r="G1524" s="63"/>
      <c r="H1524" s="67"/>
      <c r="I1524" s="68"/>
      <c r="J1524" s="68"/>
      <c r="K1524" s="32"/>
      <c r="L1524" s="75">
        <v>1524</v>
      </c>
      <c r="M1524" s="75"/>
      <c r="N1524" s="70"/>
      <c r="O1524" s="77" t="s">
        <v>179</v>
      </c>
      <c r="P1524" s="79">
        <v>45111.51898148148</v>
      </c>
      <c r="Q1524" s="77" t="s">
        <v>3420</v>
      </c>
      <c r="R1524" s="77">
        <v>0</v>
      </c>
      <c r="S1524" s="77">
        <v>1</v>
      </c>
      <c r="T1524" s="77">
        <v>0</v>
      </c>
      <c r="U1524" s="77">
        <v>0</v>
      </c>
      <c r="V1524" s="77">
        <v>907</v>
      </c>
      <c r="W1524" s="80" t="s">
        <v>6955</v>
      </c>
      <c r="X1524" s="83" t="str">
        <f>HYPERLINK("https://www.moneytimes.com.br/bancos-centrais-surpreendem-e-fecham-junho-com-forte-movimento-de-altas-de-juros-entenda/")</f>
        <v>https://www.moneytimes.com.br/bancos-centrais-surpreendem-e-fecham-junho-com-forte-movimento-de-altas-de-juros-entenda/</v>
      </c>
      <c r="Y1524" s="77" t="s">
        <v>8611</v>
      </c>
      <c r="Z1524" s="77"/>
      <c r="AA1524" s="77"/>
      <c r="AB1524" s="77"/>
      <c r="AC1524" s="80" t="s">
        <v>10558</v>
      </c>
      <c r="AD1524" s="77" t="s">
        <v>10617</v>
      </c>
      <c r="AE1524" s="83" t="str">
        <f>HYPERLINK("https://twitter.com/leiamoneytimes/status/1676206056253317120")</f>
        <v>https://twitter.com/leiamoneytimes/status/1676206056253317120</v>
      </c>
      <c r="AF1524" s="79">
        <v>45111.51898148148</v>
      </c>
      <c r="AG1524" s="85">
        <v>45111</v>
      </c>
      <c r="AH1524" s="80" t="s">
        <v>11960</v>
      </c>
      <c r="AI1524" s="77" t="b">
        <v>0</v>
      </c>
      <c r="AJ1524" s="77"/>
      <c r="AK1524" s="77"/>
      <c r="AL1524" s="77"/>
      <c r="AM1524" s="77"/>
      <c r="AN1524" s="77"/>
      <c r="AO1524" s="77"/>
      <c r="AP1524" s="77"/>
      <c r="AQ1524" s="77"/>
      <c r="AR1524" s="77"/>
      <c r="AS1524" s="77"/>
      <c r="AT1524" s="77"/>
      <c r="AU1524" s="77"/>
      <c r="AV1524" s="83" t="str">
        <f>HYPERLINK("https://pbs.twimg.com/profile_images/1559883556846977024/bXHnQFY0_normal.jpg")</f>
        <v>https://pbs.twimg.com/profile_images/1559883556846977024/bXHnQFY0_normal.jpg</v>
      </c>
      <c r="AW1524" s="80" t="s">
        <v>17391</v>
      </c>
      <c r="AX1524" s="80" t="s">
        <v>17391</v>
      </c>
      <c r="AY1524" s="77"/>
      <c r="AZ1524" s="80" t="s">
        <v>20380</v>
      </c>
      <c r="BA1524" s="80" t="s">
        <v>20380</v>
      </c>
      <c r="BB1524" s="80" t="s">
        <v>20380</v>
      </c>
      <c r="BC1524" s="80" t="s">
        <v>17391</v>
      </c>
      <c r="BD1524" s="77">
        <v>51150679</v>
      </c>
      <c r="BE1524" s="77"/>
      <c r="BF1524" s="77"/>
      <c r="BG1524" s="77"/>
      <c r="BH1524" s="77"/>
      <c r="BI1524" s="77"/>
    </row>
    <row r="1525" spans="1:61" x14ac:dyDescent="0.25">
      <c r="A1525" s="62" t="s">
        <v>790</v>
      </c>
      <c r="B1525" s="62" t="s">
        <v>790</v>
      </c>
      <c r="C1525" s="63"/>
      <c r="D1525" s="64"/>
      <c r="E1525" s="65"/>
      <c r="F1525" s="66"/>
      <c r="G1525" s="63"/>
      <c r="H1525" s="67"/>
      <c r="I1525" s="68"/>
      <c r="J1525" s="68"/>
      <c r="K1525" s="32"/>
      <c r="L1525" s="75">
        <v>1525</v>
      </c>
      <c r="M1525" s="75"/>
      <c r="N1525" s="70"/>
      <c r="O1525" s="77" t="s">
        <v>179</v>
      </c>
      <c r="P1525" s="79">
        <v>45098.649363425924</v>
      </c>
      <c r="Q1525" s="77" t="s">
        <v>3421</v>
      </c>
      <c r="R1525" s="77">
        <v>2</v>
      </c>
      <c r="S1525" s="77">
        <v>10</v>
      </c>
      <c r="T1525" s="77">
        <v>1</v>
      </c>
      <c r="U1525" s="77">
        <v>0</v>
      </c>
      <c r="V1525" s="77">
        <v>1944</v>
      </c>
      <c r="W1525" s="80" t="s">
        <v>6931</v>
      </c>
      <c r="X1525" s="83" t="str">
        <f>HYPERLINK("https://www.moneytimes.com.br/fim-do-debito-automatico-banco-central-preve-nova-funcao-do-pix-entenda-como-ira-funcionar/")</f>
        <v>https://www.moneytimes.com.br/fim-do-debito-automatico-banco-central-preve-nova-funcao-do-pix-entenda-como-ira-funcionar/</v>
      </c>
      <c r="Y1525" s="77" t="s">
        <v>8611</v>
      </c>
      <c r="Z1525" s="77"/>
      <c r="AA1525" s="77"/>
      <c r="AB1525" s="77"/>
      <c r="AC1525" s="80" t="s">
        <v>10558</v>
      </c>
      <c r="AD1525" s="77" t="s">
        <v>10617</v>
      </c>
      <c r="AE1525" s="83" t="str">
        <f>HYPERLINK("https://twitter.com/leiamoneytimes/status/1671542259853013000")</f>
        <v>https://twitter.com/leiamoneytimes/status/1671542259853013000</v>
      </c>
      <c r="AF1525" s="79">
        <v>45098.649363425924</v>
      </c>
      <c r="AG1525" s="85">
        <v>45098</v>
      </c>
      <c r="AH1525" s="80" t="s">
        <v>11961</v>
      </c>
      <c r="AI1525" s="77" t="b">
        <v>0</v>
      </c>
      <c r="AJ1525" s="77"/>
      <c r="AK1525" s="77"/>
      <c r="AL1525" s="77"/>
      <c r="AM1525" s="77"/>
      <c r="AN1525" s="77"/>
      <c r="AO1525" s="77"/>
      <c r="AP1525" s="77"/>
      <c r="AQ1525" s="77"/>
      <c r="AR1525" s="77"/>
      <c r="AS1525" s="77"/>
      <c r="AT1525" s="77"/>
      <c r="AU1525" s="77"/>
      <c r="AV1525" s="83" t="str">
        <f>HYPERLINK("https://pbs.twimg.com/profile_images/1559883556846977024/bXHnQFY0_normal.jpg")</f>
        <v>https://pbs.twimg.com/profile_images/1559883556846977024/bXHnQFY0_normal.jpg</v>
      </c>
      <c r="AW1525" s="80" t="s">
        <v>17392</v>
      </c>
      <c r="AX1525" s="80" t="s">
        <v>17392</v>
      </c>
      <c r="AY1525" s="77"/>
      <c r="AZ1525" s="80" t="s">
        <v>20380</v>
      </c>
      <c r="BA1525" s="80" t="s">
        <v>20380</v>
      </c>
      <c r="BB1525" s="80" t="s">
        <v>20380</v>
      </c>
      <c r="BC1525" s="80" t="s">
        <v>17392</v>
      </c>
      <c r="BD1525" s="77">
        <v>51150679</v>
      </c>
      <c r="BE1525" s="77"/>
      <c r="BF1525" s="77"/>
      <c r="BG1525" s="77"/>
      <c r="BH1525" s="77"/>
      <c r="BI1525" s="77"/>
    </row>
    <row r="1526" spans="1:61" x14ac:dyDescent="0.25">
      <c r="A1526" s="62" t="s">
        <v>790</v>
      </c>
      <c r="B1526" s="62" t="s">
        <v>790</v>
      </c>
      <c r="C1526" s="63"/>
      <c r="D1526" s="64"/>
      <c r="E1526" s="65"/>
      <c r="F1526" s="66"/>
      <c r="G1526" s="63"/>
      <c r="H1526" s="67"/>
      <c r="I1526" s="68"/>
      <c r="J1526" s="68"/>
      <c r="K1526" s="32"/>
      <c r="L1526" s="75">
        <v>1526</v>
      </c>
      <c r="M1526" s="75"/>
      <c r="N1526" s="70"/>
      <c r="O1526" s="77" t="s">
        <v>179</v>
      </c>
      <c r="P1526" s="79">
        <v>45098.635833333334</v>
      </c>
      <c r="Q1526" s="77" t="s">
        <v>3422</v>
      </c>
      <c r="R1526" s="77">
        <v>0</v>
      </c>
      <c r="S1526" s="77">
        <v>2</v>
      </c>
      <c r="T1526" s="77">
        <v>0</v>
      </c>
      <c r="U1526" s="77">
        <v>0</v>
      </c>
      <c r="V1526" s="77">
        <v>1002</v>
      </c>
      <c r="W1526" s="80" t="s">
        <v>6956</v>
      </c>
      <c r="X1526" s="83" t="str">
        <f>HYPERLINK("https://www.moneytimes.com.br/pix-bancos-podem-cobrar-por-transacao-confira-o-que-diz-o-banco-central/")</f>
        <v>https://www.moneytimes.com.br/pix-bancos-podem-cobrar-por-transacao-confira-o-que-diz-o-banco-central/</v>
      </c>
      <c r="Y1526" s="77" t="s">
        <v>8611</v>
      </c>
      <c r="Z1526" s="77"/>
      <c r="AA1526" s="77"/>
      <c r="AB1526" s="77"/>
      <c r="AC1526" s="80" t="s">
        <v>10558</v>
      </c>
      <c r="AD1526" s="77" t="s">
        <v>10617</v>
      </c>
      <c r="AE1526" s="83" t="str">
        <f>HYPERLINK("https://twitter.com/leiamoneytimes/status/1671537358024392706")</f>
        <v>https://twitter.com/leiamoneytimes/status/1671537358024392706</v>
      </c>
      <c r="AF1526" s="79">
        <v>45098.635833333334</v>
      </c>
      <c r="AG1526" s="85">
        <v>45098</v>
      </c>
      <c r="AH1526" s="80" t="s">
        <v>11962</v>
      </c>
      <c r="AI1526" s="77" t="b">
        <v>0</v>
      </c>
      <c r="AJ1526" s="77"/>
      <c r="AK1526" s="77"/>
      <c r="AL1526" s="77"/>
      <c r="AM1526" s="77"/>
      <c r="AN1526" s="77"/>
      <c r="AO1526" s="77"/>
      <c r="AP1526" s="77"/>
      <c r="AQ1526" s="77"/>
      <c r="AR1526" s="77"/>
      <c r="AS1526" s="77"/>
      <c r="AT1526" s="77"/>
      <c r="AU1526" s="77"/>
      <c r="AV1526" s="83" t="str">
        <f>HYPERLINK("https://pbs.twimg.com/profile_images/1559883556846977024/bXHnQFY0_normal.jpg")</f>
        <v>https://pbs.twimg.com/profile_images/1559883556846977024/bXHnQFY0_normal.jpg</v>
      </c>
      <c r="AW1526" s="80" t="s">
        <v>17393</v>
      </c>
      <c r="AX1526" s="80" t="s">
        <v>17393</v>
      </c>
      <c r="AY1526" s="77"/>
      <c r="AZ1526" s="80" t="s">
        <v>20380</v>
      </c>
      <c r="BA1526" s="80" t="s">
        <v>20380</v>
      </c>
      <c r="BB1526" s="80" t="s">
        <v>20380</v>
      </c>
      <c r="BC1526" s="80" t="s">
        <v>17393</v>
      </c>
      <c r="BD1526" s="77">
        <v>51150679</v>
      </c>
      <c r="BE1526" s="77"/>
      <c r="BF1526" s="77"/>
      <c r="BG1526" s="77"/>
      <c r="BH1526" s="77"/>
      <c r="BI1526" s="77"/>
    </row>
    <row r="1527" spans="1:61" x14ac:dyDescent="0.25">
      <c r="A1527" s="62" t="s">
        <v>790</v>
      </c>
      <c r="B1527" s="62" t="s">
        <v>790</v>
      </c>
      <c r="C1527" s="63"/>
      <c r="D1527" s="64"/>
      <c r="E1527" s="65"/>
      <c r="F1527" s="66"/>
      <c r="G1527" s="63"/>
      <c r="H1527" s="67"/>
      <c r="I1527" s="68"/>
      <c r="J1527" s="68"/>
      <c r="K1527" s="32"/>
      <c r="L1527" s="75">
        <v>1527</v>
      </c>
      <c r="M1527" s="75"/>
      <c r="N1527" s="70"/>
      <c r="O1527" s="77" t="s">
        <v>179</v>
      </c>
      <c r="P1527" s="79">
        <v>45098.633738425924</v>
      </c>
      <c r="Q1527" s="77" t="s">
        <v>3423</v>
      </c>
      <c r="R1527" s="77">
        <v>0</v>
      </c>
      <c r="S1527" s="77">
        <v>4</v>
      </c>
      <c r="T1527" s="77">
        <v>1</v>
      </c>
      <c r="U1527" s="77">
        <v>0</v>
      </c>
      <c r="V1527" s="77">
        <v>1153</v>
      </c>
      <c r="W1527" s="80" t="s">
        <v>6272</v>
      </c>
      <c r="X1527" s="83" t="str">
        <f>HYPERLINK("https://www.moneytimes.com.br/ibovespa-ibov-sobe-em-dia-de-copom-e-powell-veja-os-indicadores-desta-quarta-21/")</f>
        <v>https://www.moneytimes.com.br/ibovespa-ibov-sobe-em-dia-de-copom-e-powell-veja-os-indicadores-desta-quarta-21/</v>
      </c>
      <c r="Y1527" s="77" t="s">
        <v>8611</v>
      </c>
      <c r="Z1527" s="77"/>
      <c r="AA1527" s="77"/>
      <c r="AB1527" s="77"/>
      <c r="AC1527" s="80" t="s">
        <v>10558</v>
      </c>
      <c r="AD1527" s="77" t="s">
        <v>10617</v>
      </c>
      <c r="AE1527" s="83" t="str">
        <f>HYPERLINK("https://twitter.com/leiamoneytimes/status/1671536597370560512")</f>
        <v>https://twitter.com/leiamoneytimes/status/1671536597370560512</v>
      </c>
      <c r="AF1527" s="79">
        <v>45098.633738425924</v>
      </c>
      <c r="AG1527" s="85">
        <v>45098</v>
      </c>
      <c r="AH1527" s="80" t="s">
        <v>11963</v>
      </c>
      <c r="AI1527" s="77" t="b">
        <v>0</v>
      </c>
      <c r="AJ1527" s="77"/>
      <c r="AK1527" s="77"/>
      <c r="AL1527" s="77"/>
      <c r="AM1527" s="77"/>
      <c r="AN1527" s="77"/>
      <c r="AO1527" s="77"/>
      <c r="AP1527" s="77"/>
      <c r="AQ1527" s="77"/>
      <c r="AR1527" s="77"/>
      <c r="AS1527" s="77"/>
      <c r="AT1527" s="77"/>
      <c r="AU1527" s="77"/>
      <c r="AV1527" s="83" t="str">
        <f>HYPERLINK("https://pbs.twimg.com/profile_images/1559883556846977024/bXHnQFY0_normal.jpg")</f>
        <v>https://pbs.twimg.com/profile_images/1559883556846977024/bXHnQFY0_normal.jpg</v>
      </c>
      <c r="AW1527" s="80" t="s">
        <v>17394</v>
      </c>
      <c r="AX1527" s="80" t="s">
        <v>17394</v>
      </c>
      <c r="AY1527" s="77"/>
      <c r="AZ1527" s="80" t="s">
        <v>20380</v>
      </c>
      <c r="BA1527" s="80" t="s">
        <v>20380</v>
      </c>
      <c r="BB1527" s="80" t="s">
        <v>20380</v>
      </c>
      <c r="BC1527" s="80" t="s">
        <v>17394</v>
      </c>
      <c r="BD1527" s="77">
        <v>51150679</v>
      </c>
      <c r="BE1527" s="77"/>
      <c r="BF1527" s="77"/>
      <c r="BG1527" s="77"/>
      <c r="BH1527" s="77"/>
      <c r="BI1527" s="77"/>
    </row>
    <row r="1528" spans="1:61" x14ac:dyDescent="0.25">
      <c r="A1528" s="62" t="s">
        <v>790</v>
      </c>
      <c r="B1528" s="62" t="s">
        <v>790</v>
      </c>
      <c r="C1528" s="63"/>
      <c r="D1528" s="64"/>
      <c r="E1528" s="65"/>
      <c r="F1528" s="66"/>
      <c r="G1528" s="63"/>
      <c r="H1528" s="67"/>
      <c r="I1528" s="68"/>
      <c r="J1528" s="68"/>
      <c r="K1528" s="32"/>
      <c r="L1528" s="75">
        <v>1528</v>
      </c>
      <c r="M1528" s="75"/>
      <c r="N1528" s="70"/>
      <c r="O1528" s="77" t="s">
        <v>179</v>
      </c>
      <c r="P1528" s="79">
        <v>45098.572268518517</v>
      </c>
      <c r="Q1528" s="77" t="s">
        <v>3424</v>
      </c>
      <c r="R1528" s="77">
        <v>0</v>
      </c>
      <c r="S1528" s="77">
        <v>6</v>
      </c>
      <c r="T1528" s="77">
        <v>1</v>
      </c>
      <c r="U1528" s="77">
        <v>1</v>
      </c>
      <c r="V1528" s="77">
        <v>1997</v>
      </c>
      <c r="W1528" s="80" t="s">
        <v>6272</v>
      </c>
      <c r="X1528" s="83" t="str">
        <f>HYPERLINK("https://www.moneytimes.com.br/por-que-o-copom-vai-manter-a-selic-em-1375/")</f>
        <v>https://www.moneytimes.com.br/por-que-o-copom-vai-manter-a-selic-em-1375/</v>
      </c>
      <c r="Y1528" s="77" t="s">
        <v>8611</v>
      </c>
      <c r="Z1528" s="77"/>
      <c r="AA1528" s="77"/>
      <c r="AB1528" s="77"/>
      <c r="AC1528" s="80" t="s">
        <v>10558</v>
      </c>
      <c r="AD1528" s="77" t="s">
        <v>10617</v>
      </c>
      <c r="AE1528" s="83" t="str">
        <f>HYPERLINK("https://twitter.com/leiamoneytimes/status/1671514323007463428")</f>
        <v>https://twitter.com/leiamoneytimes/status/1671514323007463428</v>
      </c>
      <c r="AF1528" s="79">
        <v>45098.572268518517</v>
      </c>
      <c r="AG1528" s="85">
        <v>45098</v>
      </c>
      <c r="AH1528" s="80" t="s">
        <v>11964</v>
      </c>
      <c r="AI1528" s="77" t="b">
        <v>0</v>
      </c>
      <c r="AJ1528" s="77"/>
      <c r="AK1528" s="77"/>
      <c r="AL1528" s="77"/>
      <c r="AM1528" s="77"/>
      <c r="AN1528" s="77"/>
      <c r="AO1528" s="77"/>
      <c r="AP1528" s="77"/>
      <c r="AQ1528" s="77"/>
      <c r="AR1528" s="77"/>
      <c r="AS1528" s="77"/>
      <c r="AT1528" s="77"/>
      <c r="AU1528" s="77"/>
      <c r="AV1528" s="83" t="str">
        <f>HYPERLINK("https://pbs.twimg.com/profile_images/1559883556846977024/bXHnQFY0_normal.jpg")</f>
        <v>https://pbs.twimg.com/profile_images/1559883556846977024/bXHnQFY0_normal.jpg</v>
      </c>
      <c r="AW1528" s="80" t="s">
        <v>17395</v>
      </c>
      <c r="AX1528" s="80" t="s">
        <v>17395</v>
      </c>
      <c r="AY1528" s="77"/>
      <c r="AZ1528" s="80" t="s">
        <v>20380</v>
      </c>
      <c r="BA1528" s="80" t="s">
        <v>20380</v>
      </c>
      <c r="BB1528" s="80" t="s">
        <v>20380</v>
      </c>
      <c r="BC1528" s="80" t="s">
        <v>17395</v>
      </c>
      <c r="BD1528" s="77">
        <v>51150679</v>
      </c>
      <c r="BE1528" s="77"/>
      <c r="BF1528" s="77"/>
      <c r="BG1528" s="77"/>
      <c r="BH1528" s="77"/>
      <c r="BI1528" s="77"/>
    </row>
    <row r="1529" spans="1:61" x14ac:dyDescent="0.25">
      <c r="A1529" s="62" t="s">
        <v>790</v>
      </c>
      <c r="B1529" s="62" t="s">
        <v>790</v>
      </c>
      <c r="C1529" s="63"/>
      <c r="D1529" s="64"/>
      <c r="E1529" s="65"/>
      <c r="F1529" s="66"/>
      <c r="G1529" s="63"/>
      <c r="H1529" s="67"/>
      <c r="I1529" s="68"/>
      <c r="J1529" s="68"/>
      <c r="K1529" s="32"/>
      <c r="L1529" s="75">
        <v>1529</v>
      </c>
      <c r="M1529" s="75"/>
      <c r="N1529" s="70"/>
      <c r="O1529" s="77" t="s">
        <v>179</v>
      </c>
      <c r="P1529" s="79">
        <v>45098.524039351854</v>
      </c>
      <c r="Q1529" s="77" t="s">
        <v>3425</v>
      </c>
      <c r="R1529" s="77">
        <v>0</v>
      </c>
      <c r="S1529" s="77">
        <v>1</v>
      </c>
      <c r="T1529" s="77">
        <v>0</v>
      </c>
      <c r="U1529" s="77">
        <v>0</v>
      </c>
      <c r="V1529" s="77">
        <v>915</v>
      </c>
      <c r="W1529" s="80" t="s">
        <v>6957</v>
      </c>
      <c r="X1529" s="83" t="str">
        <f>HYPERLINK("https://www.moneytimes.com.br/dolar-tem-leve-queda-frente-ao-real-antes-de-powell-e-copom/")</f>
        <v>https://www.moneytimes.com.br/dolar-tem-leve-queda-frente-ao-real-antes-de-powell-e-copom/</v>
      </c>
      <c r="Y1529" s="77" t="s">
        <v>8611</v>
      </c>
      <c r="Z1529" s="77"/>
      <c r="AA1529" s="77"/>
      <c r="AB1529" s="77"/>
      <c r="AC1529" s="80" t="s">
        <v>10558</v>
      </c>
      <c r="AD1529" s="77" t="s">
        <v>10617</v>
      </c>
      <c r="AE1529" s="83" t="str">
        <f>HYPERLINK("https://twitter.com/leiamoneytimes/status/1671496846403944449")</f>
        <v>https://twitter.com/leiamoneytimes/status/1671496846403944449</v>
      </c>
      <c r="AF1529" s="79">
        <v>45098.524039351854</v>
      </c>
      <c r="AG1529" s="85">
        <v>45098</v>
      </c>
      <c r="AH1529" s="80" t="s">
        <v>11965</v>
      </c>
      <c r="AI1529" s="77" t="b">
        <v>0</v>
      </c>
      <c r="AJ1529" s="77"/>
      <c r="AK1529" s="77"/>
      <c r="AL1529" s="77"/>
      <c r="AM1529" s="77"/>
      <c r="AN1529" s="77"/>
      <c r="AO1529" s="77"/>
      <c r="AP1529" s="77"/>
      <c r="AQ1529" s="77"/>
      <c r="AR1529" s="77"/>
      <c r="AS1529" s="77"/>
      <c r="AT1529" s="77"/>
      <c r="AU1529" s="77"/>
      <c r="AV1529" s="83" t="str">
        <f>HYPERLINK("https://pbs.twimg.com/profile_images/1559883556846977024/bXHnQFY0_normal.jpg")</f>
        <v>https://pbs.twimg.com/profile_images/1559883556846977024/bXHnQFY0_normal.jpg</v>
      </c>
      <c r="AW1529" s="80" t="s">
        <v>17396</v>
      </c>
      <c r="AX1529" s="80" t="s">
        <v>17396</v>
      </c>
      <c r="AY1529" s="77"/>
      <c r="AZ1529" s="80" t="s">
        <v>20380</v>
      </c>
      <c r="BA1529" s="80" t="s">
        <v>20380</v>
      </c>
      <c r="BB1529" s="80" t="s">
        <v>20380</v>
      </c>
      <c r="BC1529" s="80" t="s">
        <v>17396</v>
      </c>
      <c r="BD1529" s="77">
        <v>51150679</v>
      </c>
      <c r="BE1529" s="77"/>
      <c r="BF1529" s="77"/>
      <c r="BG1529" s="77"/>
      <c r="BH1529" s="77"/>
      <c r="BI1529" s="77"/>
    </row>
    <row r="1530" spans="1:61" x14ac:dyDescent="0.25">
      <c r="A1530" s="62" t="s">
        <v>790</v>
      </c>
      <c r="B1530" s="62" t="s">
        <v>790</v>
      </c>
      <c r="C1530" s="63"/>
      <c r="D1530" s="64"/>
      <c r="E1530" s="65"/>
      <c r="F1530" s="66"/>
      <c r="G1530" s="63"/>
      <c r="H1530" s="67"/>
      <c r="I1530" s="68"/>
      <c r="J1530" s="68"/>
      <c r="K1530" s="32"/>
      <c r="L1530" s="75">
        <v>1530</v>
      </c>
      <c r="M1530" s="75"/>
      <c r="N1530" s="70"/>
      <c r="O1530" s="77" t="s">
        <v>179</v>
      </c>
      <c r="P1530" s="79">
        <v>45098.463761574072</v>
      </c>
      <c r="Q1530" s="77" t="s">
        <v>3426</v>
      </c>
      <c r="R1530" s="77">
        <v>0</v>
      </c>
      <c r="S1530" s="77">
        <v>7</v>
      </c>
      <c r="T1530" s="77">
        <v>2</v>
      </c>
      <c r="U1530" s="77">
        <v>0</v>
      </c>
      <c r="V1530" s="77">
        <v>1551</v>
      </c>
      <c r="W1530" s="80" t="s">
        <v>6927</v>
      </c>
      <c r="X1530" s="83" t="str">
        <f>HYPERLINK("https://www.moneytimes.com.br/copom-caminha-para-ultima-reuniao-de-manutencao-da-selic-em-1375-veja-o-que-movimenta-a-quarta-21/")</f>
        <v>https://www.moneytimes.com.br/copom-caminha-para-ultima-reuniao-de-manutencao-da-selic-em-1375-veja-o-que-movimenta-a-quarta-21/</v>
      </c>
      <c r="Y1530" s="77" t="s">
        <v>8611</v>
      </c>
      <c r="Z1530" s="77"/>
      <c r="AA1530" s="77"/>
      <c r="AB1530" s="77"/>
      <c r="AC1530" s="80" t="s">
        <v>10558</v>
      </c>
      <c r="AD1530" s="77" t="s">
        <v>10617</v>
      </c>
      <c r="AE1530" s="83" t="str">
        <f>HYPERLINK("https://twitter.com/leiamoneytimes/status/1671475002967834624")</f>
        <v>https://twitter.com/leiamoneytimes/status/1671475002967834624</v>
      </c>
      <c r="AF1530" s="79">
        <v>45098.463761574072</v>
      </c>
      <c r="AG1530" s="85">
        <v>45098</v>
      </c>
      <c r="AH1530" s="80" t="s">
        <v>11966</v>
      </c>
      <c r="AI1530" s="77" t="b">
        <v>0</v>
      </c>
      <c r="AJ1530" s="77"/>
      <c r="AK1530" s="77"/>
      <c r="AL1530" s="77"/>
      <c r="AM1530" s="77"/>
      <c r="AN1530" s="77"/>
      <c r="AO1530" s="77"/>
      <c r="AP1530" s="77"/>
      <c r="AQ1530" s="77"/>
      <c r="AR1530" s="77"/>
      <c r="AS1530" s="77"/>
      <c r="AT1530" s="77"/>
      <c r="AU1530" s="77"/>
      <c r="AV1530" s="83" t="str">
        <f>HYPERLINK("https://pbs.twimg.com/profile_images/1559883556846977024/bXHnQFY0_normal.jpg")</f>
        <v>https://pbs.twimg.com/profile_images/1559883556846977024/bXHnQFY0_normal.jpg</v>
      </c>
      <c r="AW1530" s="80" t="s">
        <v>17397</v>
      </c>
      <c r="AX1530" s="80" t="s">
        <v>17397</v>
      </c>
      <c r="AY1530" s="77"/>
      <c r="AZ1530" s="80" t="s">
        <v>20380</v>
      </c>
      <c r="BA1530" s="80" t="s">
        <v>20380</v>
      </c>
      <c r="BB1530" s="80" t="s">
        <v>20380</v>
      </c>
      <c r="BC1530" s="80" t="s">
        <v>17397</v>
      </c>
      <c r="BD1530" s="77">
        <v>51150679</v>
      </c>
      <c r="BE1530" s="77"/>
      <c r="BF1530" s="77"/>
      <c r="BG1530" s="77"/>
      <c r="BH1530" s="77"/>
      <c r="BI1530" s="77"/>
    </row>
    <row r="1531" spans="1:61" x14ac:dyDescent="0.25">
      <c r="A1531" s="62" t="s">
        <v>790</v>
      </c>
      <c r="B1531" s="62" t="s">
        <v>790</v>
      </c>
      <c r="C1531" s="63"/>
      <c r="D1531" s="64"/>
      <c r="E1531" s="65"/>
      <c r="F1531" s="66"/>
      <c r="G1531" s="63"/>
      <c r="H1531" s="67"/>
      <c r="I1531" s="68"/>
      <c r="J1531" s="68"/>
      <c r="K1531" s="32"/>
      <c r="L1531" s="75">
        <v>1531</v>
      </c>
      <c r="M1531" s="75"/>
      <c r="N1531" s="70"/>
      <c r="O1531" s="77" t="s">
        <v>179</v>
      </c>
      <c r="P1531" s="79">
        <v>45097.816759259258</v>
      </c>
      <c r="Q1531" s="77" t="s">
        <v>3427</v>
      </c>
      <c r="R1531" s="77">
        <v>1</v>
      </c>
      <c r="S1531" s="77">
        <v>2</v>
      </c>
      <c r="T1531" s="77">
        <v>1</v>
      </c>
      <c r="U1531" s="77">
        <v>0</v>
      </c>
      <c r="V1531" s="77">
        <v>1250</v>
      </c>
      <c r="W1531" s="80" t="s">
        <v>6958</v>
      </c>
      <c r="X1531" s="83" t="str">
        <f>HYPERLINK("https://www.moneytimes.com.br/exclusivo-selic-a-12-nao-amanha-por-que-corte-e-dificil-segundo-gestora-de-ex-bc/")</f>
        <v>https://www.moneytimes.com.br/exclusivo-selic-a-12-nao-amanha-por-que-corte-e-dificil-segundo-gestora-de-ex-bc/</v>
      </c>
      <c r="Y1531" s="77" t="s">
        <v>8611</v>
      </c>
      <c r="Z1531" s="77"/>
      <c r="AA1531" s="77"/>
      <c r="AB1531" s="77"/>
      <c r="AC1531" s="80" t="s">
        <v>10558</v>
      </c>
      <c r="AD1531" s="77" t="s">
        <v>10617</v>
      </c>
      <c r="AE1531" s="83" t="str">
        <f>HYPERLINK("https://twitter.com/leiamoneytimes/status/1671240535737081857")</f>
        <v>https://twitter.com/leiamoneytimes/status/1671240535737081857</v>
      </c>
      <c r="AF1531" s="79">
        <v>45097.816759259258</v>
      </c>
      <c r="AG1531" s="85">
        <v>45097</v>
      </c>
      <c r="AH1531" s="80" t="s">
        <v>11967</v>
      </c>
      <c r="AI1531" s="77" t="b">
        <v>0</v>
      </c>
      <c r="AJ1531" s="77"/>
      <c r="AK1531" s="77"/>
      <c r="AL1531" s="77"/>
      <c r="AM1531" s="77"/>
      <c r="AN1531" s="77"/>
      <c r="AO1531" s="77"/>
      <c r="AP1531" s="77"/>
      <c r="AQ1531" s="77"/>
      <c r="AR1531" s="77"/>
      <c r="AS1531" s="77"/>
      <c r="AT1531" s="77"/>
      <c r="AU1531" s="77"/>
      <c r="AV1531" s="83" t="str">
        <f>HYPERLINK("https://pbs.twimg.com/profile_images/1559883556846977024/bXHnQFY0_normal.jpg")</f>
        <v>https://pbs.twimg.com/profile_images/1559883556846977024/bXHnQFY0_normal.jpg</v>
      </c>
      <c r="AW1531" s="80" t="s">
        <v>17398</v>
      </c>
      <c r="AX1531" s="80" t="s">
        <v>17398</v>
      </c>
      <c r="AY1531" s="77"/>
      <c r="AZ1531" s="80" t="s">
        <v>20380</v>
      </c>
      <c r="BA1531" s="80" t="s">
        <v>20380</v>
      </c>
      <c r="BB1531" s="80" t="s">
        <v>20380</v>
      </c>
      <c r="BC1531" s="80" t="s">
        <v>17398</v>
      </c>
      <c r="BD1531" s="77">
        <v>51150679</v>
      </c>
      <c r="BE1531" s="77"/>
      <c r="BF1531" s="77"/>
      <c r="BG1531" s="77"/>
      <c r="BH1531" s="77"/>
      <c r="BI1531" s="77"/>
    </row>
    <row r="1532" spans="1:61" x14ac:dyDescent="0.25">
      <c r="A1532" s="62" t="s">
        <v>790</v>
      </c>
      <c r="B1532" s="62" t="s">
        <v>790</v>
      </c>
      <c r="C1532" s="63"/>
      <c r="D1532" s="64"/>
      <c r="E1532" s="65"/>
      <c r="F1532" s="66"/>
      <c r="G1532" s="63"/>
      <c r="H1532" s="67"/>
      <c r="I1532" s="68"/>
      <c r="J1532" s="68"/>
      <c r="K1532" s="32"/>
      <c r="L1532" s="75">
        <v>1532</v>
      </c>
      <c r="M1532" s="75"/>
      <c r="N1532" s="70"/>
      <c r="O1532" s="77" t="s">
        <v>179</v>
      </c>
      <c r="P1532" s="79">
        <v>45097.761354166665</v>
      </c>
      <c r="Q1532" s="77" t="s">
        <v>3428</v>
      </c>
      <c r="R1532" s="77">
        <v>0</v>
      </c>
      <c r="S1532" s="77">
        <v>10</v>
      </c>
      <c r="T1532" s="77">
        <v>5</v>
      </c>
      <c r="U1532" s="77">
        <v>0</v>
      </c>
      <c r="V1532" s="77">
        <v>2142</v>
      </c>
      <c r="W1532" s="80" t="s">
        <v>6272</v>
      </c>
      <c r="X1532" s="83" t="str">
        <f>HYPERLINK("https://www.moneytimes.com.br/lula-leva-banco-central-para-lado-pessoal-e-se-desgasta-com-mercado-entenda/")</f>
        <v>https://www.moneytimes.com.br/lula-leva-banco-central-para-lado-pessoal-e-se-desgasta-com-mercado-entenda/</v>
      </c>
      <c r="Y1532" s="77" t="s">
        <v>8611</v>
      </c>
      <c r="Z1532" s="77"/>
      <c r="AA1532" s="77"/>
      <c r="AB1532" s="77"/>
      <c r="AC1532" s="80" t="s">
        <v>10558</v>
      </c>
      <c r="AD1532" s="77" t="s">
        <v>10617</v>
      </c>
      <c r="AE1532" s="83" t="str">
        <f>HYPERLINK("https://twitter.com/leiamoneytimes/status/1671220457024913410")</f>
        <v>https://twitter.com/leiamoneytimes/status/1671220457024913410</v>
      </c>
      <c r="AF1532" s="79">
        <v>45097.761354166665</v>
      </c>
      <c r="AG1532" s="85">
        <v>45097</v>
      </c>
      <c r="AH1532" s="80" t="s">
        <v>11968</v>
      </c>
      <c r="AI1532" s="77" t="b">
        <v>0</v>
      </c>
      <c r="AJ1532" s="77"/>
      <c r="AK1532" s="77"/>
      <c r="AL1532" s="77"/>
      <c r="AM1532" s="77"/>
      <c r="AN1532" s="77"/>
      <c r="AO1532" s="77"/>
      <c r="AP1532" s="77"/>
      <c r="AQ1532" s="77"/>
      <c r="AR1532" s="77"/>
      <c r="AS1532" s="77"/>
      <c r="AT1532" s="77"/>
      <c r="AU1532" s="77"/>
      <c r="AV1532" s="83" t="str">
        <f>HYPERLINK("https://pbs.twimg.com/profile_images/1559883556846977024/bXHnQFY0_normal.jpg")</f>
        <v>https://pbs.twimg.com/profile_images/1559883556846977024/bXHnQFY0_normal.jpg</v>
      </c>
      <c r="AW1532" s="80" t="s">
        <v>17399</v>
      </c>
      <c r="AX1532" s="80" t="s">
        <v>17399</v>
      </c>
      <c r="AY1532" s="77"/>
      <c r="AZ1532" s="80" t="s">
        <v>20380</v>
      </c>
      <c r="BA1532" s="80" t="s">
        <v>20380</v>
      </c>
      <c r="BB1532" s="80" t="s">
        <v>20380</v>
      </c>
      <c r="BC1532" s="80" t="s">
        <v>17399</v>
      </c>
      <c r="BD1532" s="77">
        <v>51150679</v>
      </c>
      <c r="BE1532" s="77"/>
      <c r="BF1532" s="77"/>
      <c r="BG1532" s="77"/>
      <c r="BH1532" s="77"/>
      <c r="BI1532" s="77"/>
    </row>
    <row r="1533" spans="1:61" x14ac:dyDescent="0.25">
      <c r="A1533" s="62" t="s">
        <v>790</v>
      </c>
      <c r="B1533" s="62" t="s">
        <v>790</v>
      </c>
      <c r="C1533" s="63"/>
      <c r="D1533" s="64"/>
      <c r="E1533" s="65"/>
      <c r="F1533" s="66"/>
      <c r="G1533" s="63"/>
      <c r="H1533" s="67"/>
      <c r="I1533" s="68"/>
      <c r="J1533" s="68"/>
      <c r="K1533" s="32"/>
      <c r="L1533" s="75">
        <v>1533</v>
      </c>
      <c r="M1533" s="75"/>
      <c r="N1533" s="70"/>
      <c r="O1533" s="77" t="s">
        <v>179</v>
      </c>
      <c r="P1533" s="79">
        <v>45097.729988425926</v>
      </c>
      <c r="Q1533" s="77" t="s">
        <v>3429</v>
      </c>
      <c r="R1533" s="77">
        <v>0</v>
      </c>
      <c r="S1533" s="77">
        <v>3</v>
      </c>
      <c r="T1533" s="77">
        <v>1</v>
      </c>
      <c r="U1533" s="77">
        <v>0</v>
      </c>
      <c r="V1533" s="77">
        <v>1309</v>
      </c>
      <c r="W1533" s="80" t="s">
        <v>6959</v>
      </c>
      <c r="X1533" s="83" t="str">
        <f>HYPERLINK("https://www.moneytimes.com.br/ainda-vale-a-pena-apostar-nos-fundos-imobiliarios-indexados-a-inflacao/")</f>
        <v>https://www.moneytimes.com.br/ainda-vale-a-pena-apostar-nos-fundos-imobiliarios-indexados-a-inflacao/</v>
      </c>
      <c r="Y1533" s="77" t="s">
        <v>8611</v>
      </c>
      <c r="Z1533" s="77"/>
      <c r="AA1533" s="77"/>
      <c r="AB1533" s="77"/>
      <c r="AC1533" s="80" t="s">
        <v>10558</v>
      </c>
      <c r="AD1533" s="77" t="s">
        <v>10617</v>
      </c>
      <c r="AE1533" s="83" t="str">
        <f>HYPERLINK("https://twitter.com/leiamoneytimes/status/1671209090410852362")</f>
        <v>https://twitter.com/leiamoneytimes/status/1671209090410852362</v>
      </c>
      <c r="AF1533" s="79">
        <v>45097.729988425926</v>
      </c>
      <c r="AG1533" s="85">
        <v>45097</v>
      </c>
      <c r="AH1533" s="80" t="s">
        <v>11969</v>
      </c>
      <c r="AI1533" s="77" t="b">
        <v>0</v>
      </c>
      <c r="AJ1533" s="77"/>
      <c r="AK1533" s="77"/>
      <c r="AL1533" s="77"/>
      <c r="AM1533" s="77"/>
      <c r="AN1533" s="77"/>
      <c r="AO1533" s="77"/>
      <c r="AP1533" s="77"/>
      <c r="AQ1533" s="77"/>
      <c r="AR1533" s="77"/>
      <c r="AS1533" s="77"/>
      <c r="AT1533" s="77"/>
      <c r="AU1533" s="77"/>
      <c r="AV1533" s="83" t="str">
        <f>HYPERLINK("https://pbs.twimg.com/profile_images/1559883556846977024/bXHnQFY0_normal.jpg")</f>
        <v>https://pbs.twimg.com/profile_images/1559883556846977024/bXHnQFY0_normal.jpg</v>
      </c>
      <c r="AW1533" s="80" t="s">
        <v>17400</v>
      </c>
      <c r="AX1533" s="80" t="s">
        <v>17400</v>
      </c>
      <c r="AY1533" s="77"/>
      <c r="AZ1533" s="80" t="s">
        <v>20380</v>
      </c>
      <c r="BA1533" s="80" t="s">
        <v>20380</v>
      </c>
      <c r="BB1533" s="80" t="s">
        <v>20380</v>
      </c>
      <c r="BC1533" s="80" t="s">
        <v>17400</v>
      </c>
      <c r="BD1533" s="77">
        <v>51150679</v>
      </c>
      <c r="BE1533" s="77"/>
      <c r="BF1533" s="77"/>
      <c r="BG1533" s="77"/>
      <c r="BH1533" s="77"/>
      <c r="BI1533" s="77"/>
    </row>
    <row r="1534" spans="1:61" x14ac:dyDescent="0.25">
      <c r="A1534" s="62" t="s">
        <v>790</v>
      </c>
      <c r="B1534" s="62" t="s">
        <v>790</v>
      </c>
      <c r="C1534" s="63"/>
      <c r="D1534" s="64"/>
      <c r="E1534" s="65"/>
      <c r="F1534" s="66"/>
      <c r="G1534" s="63"/>
      <c r="H1534" s="67"/>
      <c r="I1534" s="68"/>
      <c r="J1534" s="68"/>
      <c r="K1534" s="32"/>
      <c r="L1534" s="75">
        <v>1534</v>
      </c>
      <c r="M1534" s="75"/>
      <c r="N1534" s="70"/>
      <c r="O1534" s="77" t="s">
        <v>179</v>
      </c>
      <c r="P1534" s="79">
        <v>45097.667650462965</v>
      </c>
      <c r="Q1534" s="77" t="s">
        <v>3430</v>
      </c>
      <c r="R1534" s="77">
        <v>0</v>
      </c>
      <c r="S1534" s="77">
        <v>1</v>
      </c>
      <c r="T1534" s="77">
        <v>1</v>
      </c>
      <c r="U1534" s="77">
        <v>0</v>
      </c>
      <c r="V1534" s="77">
        <v>1242</v>
      </c>
      <c r="W1534" s="80" t="s">
        <v>6960</v>
      </c>
      <c r="X1534" s="83" t="str">
        <f>HYPERLINK("https://www.moneytimes.com.br/ibovespa-ibov-cai-na-vespera-do-copom-nesta-terca-20-veja-os-indicadores-do-dia/")</f>
        <v>https://www.moneytimes.com.br/ibovespa-ibov-cai-na-vespera-do-copom-nesta-terca-20-veja-os-indicadores-do-dia/</v>
      </c>
      <c r="Y1534" s="77" t="s">
        <v>8611</v>
      </c>
      <c r="Z1534" s="77"/>
      <c r="AA1534" s="77"/>
      <c r="AB1534" s="77"/>
      <c r="AC1534" s="80" t="s">
        <v>10558</v>
      </c>
      <c r="AD1534" s="77" t="s">
        <v>10617</v>
      </c>
      <c r="AE1534" s="83" t="str">
        <f>HYPERLINK("https://twitter.com/leiamoneytimes/status/1671186501525176327")</f>
        <v>https://twitter.com/leiamoneytimes/status/1671186501525176327</v>
      </c>
      <c r="AF1534" s="79">
        <v>45097.667650462965</v>
      </c>
      <c r="AG1534" s="85">
        <v>45097</v>
      </c>
      <c r="AH1534" s="80" t="s">
        <v>11970</v>
      </c>
      <c r="AI1534" s="77" t="b">
        <v>0</v>
      </c>
      <c r="AJ1534" s="77"/>
      <c r="AK1534" s="77"/>
      <c r="AL1534" s="77"/>
      <c r="AM1534" s="77"/>
      <c r="AN1534" s="77"/>
      <c r="AO1534" s="77"/>
      <c r="AP1534" s="77"/>
      <c r="AQ1534" s="77"/>
      <c r="AR1534" s="77"/>
      <c r="AS1534" s="77"/>
      <c r="AT1534" s="77"/>
      <c r="AU1534" s="77"/>
      <c r="AV1534" s="83" t="str">
        <f>HYPERLINK("https://pbs.twimg.com/profile_images/1559883556846977024/bXHnQFY0_normal.jpg")</f>
        <v>https://pbs.twimg.com/profile_images/1559883556846977024/bXHnQFY0_normal.jpg</v>
      </c>
      <c r="AW1534" s="80" t="s">
        <v>17401</v>
      </c>
      <c r="AX1534" s="80" t="s">
        <v>17401</v>
      </c>
      <c r="AY1534" s="77"/>
      <c r="AZ1534" s="80" t="s">
        <v>20380</v>
      </c>
      <c r="BA1534" s="80" t="s">
        <v>20380</v>
      </c>
      <c r="BB1534" s="80" t="s">
        <v>20380</v>
      </c>
      <c r="BC1534" s="80" t="s">
        <v>17401</v>
      </c>
      <c r="BD1534" s="77">
        <v>51150679</v>
      </c>
      <c r="BE1534" s="77"/>
      <c r="BF1534" s="77"/>
      <c r="BG1534" s="77"/>
      <c r="BH1534" s="77"/>
      <c r="BI1534" s="77"/>
    </row>
    <row r="1535" spans="1:61" x14ac:dyDescent="0.25">
      <c r="A1535" s="62" t="s">
        <v>790</v>
      </c>
      <c r="B1535" s="62" t="s">
        <v>790</v>
      </c>
      <c r="C1535" s="63"/>
      <c r="D1535" s="64"/>
      <c r="E1535" s="65"/>
      <c r="F1535" s="66"/>
      <c r="G1535" s="63"/>
      <c r="H1535" s="67"/>
      <c r="I1535" s="68"/>
      <c r="J1535" s="68"/>
      <c r="K1535" s="32"/>
      <c r="L1535" s="75">
        <v>1535</v>
      </c>
      <c r="M1535" s="75"/>
      <c r="N1535" s="70"/>
      <c r="O1535" s="77" t="s">
        <v>179</v>
      </c>
      <c r="P1535" s="79">
        <v>45097.552731481483</v>
      </c>
      <c r="Q1535" s="77" t="s">
        <v>3431</v>
      </c>
      <c r="R1535" s="77">
        <v>0</v>
      </c>
      <c r="S1535" s="77">
        <v>14</v>
      </c>
      <c r="T1535" s="77">
        <v>5</v>
      </c>
      <c r="U1535" s="77">
        <v>1</v>
      </c>
      <c r="V1535" s="77">
        <v>2991</v>
      </c>
      <c r="W1535" s="80" t="s">
        <v>6961</v>
      </c>
      <c r="X1535" s="83" t="str">
        <f>HYPERLINK("https://www.moneytimes.com.br/pix-caixa-vai-cobrar-taxa-de-transferencia-veja-quem-sera-cobrado/")</f>
        <v>https://www.moneytimes.com.br/pix-caixa-vai-cobrar-taxa-de-transferencia-veja-quem-sera-cobrado/</v>
      </c>
      <c r="Y1535" s="77" t="s">
        <v>8611</v>
      </c>
      <c r="Z1535" s="77"/>
      <c r="AA1535" s="77"/>
      <c r="AB1535" s="77"/>
      <c r="AC1535" s="80" t="s">
        <v>10558</v>
      </c>
      <c r="AD1535" s="77" t="s">
        <v>10617</v>
      </c>
      <c r="AE1535" s="83" t="str">
        <f>HYPERLINK("https://twitter.com/leiamoneytimes/status/1671144857170067456")</f>
        <v>https://twitter.com/leiamoneytimes/status/1671144857170067456</v>
      </c>
      <c r="AF1535" s="79">
        <v>45097.552731481483</v>
      </c>
      <c r="AG1535" s="85">
        <v>45097</v>
      </c>
      <c r="AH1535" s="80" t="s">
        <v>11971</v>
      </c>
      <c r="AI1535" s="77" t="b">
        <v>0</v>
      </c>
      <c r="AJ1535" s="77"/>
      <c r="AK1535" s="77"/>
      <c r="AL1535" s="77"/>
      <c r="AM1535" s="77"/>
      <c r="AN1535" s="77"/>
      <c r="AO1535" s="77"/>
      <c r="AP1535" s="77"/>
      <c r="AQ1535" s="77"/>
      <c r="AR1535" s="77"/>
      <c r="AS1535" s="77"/>
      <c r="AT1535" s="77"/>
      <c r="AU1535" s="77"/>
      <c r="AV1535" s="83" t="str">
        <f>HYPERLINK("https://pbs.twimg.com/profile_images/1559883556846977024/bXHnQFY0_normal.jpg")</f>
        <v>https://pbs.twimg.com/profile_images/1559883556846977024/bXHnQFY0_normal.jpg</v>
      </c>
      <c r="AW1535" s="80" t="s">
        <v>17402</v>
      </c>
      <c r="AX1535" s="80" t="s">
        <v>17402</v>
      </c>
      <c r="AY1535" s="77"/>
      <c r="AZ1535" s="80" t="s">
        <v>20380</v>
      </c>
      <c r="BA1535" s="80" t="s">
        <v>20380</v>
      </c>
      <c r="BB1535" s="80" t="s">
        <v>20380</v>
      </c>
      <c r="BC1535" s="80" t="s">
        <v>17402</v>
      </c>
      <c r="BD1535" s="77">
        <v>51150679</v>
      </c>
      <c r="BE1535" s="77"/>
      <c r="BF1535" s="77"/>
      <c r="BG1535" s="77"/>
      <c r="BH1535" s="77"/>
      <c r="BI1535" s="77"/>
    </row>
    <row r="1536" spans="1:61" x14ac:dyDescent="0.25">
      <c r="A1536" s="62" t="s">
        <v>790</v>
      </c>
      <c r="B1536" s="62" t="s">
        <v>790</v>
      </c>
      <c r="C1536" s="63"/>
      <c r="D1536" s="64"/>
      <c r="E1536" s="65"/>
      <c r="F1536" s="66"/>
      <c r="G1536" s="63"/>
      <c r="H1536" s="67"/>
      <c r="I1536" s="68"/>
      <c r="J1536" s="68"/>
      <c r="K1536" s="32"/>
      <c r="L1536" s="75">
        <v>1536</v>
      </c>
      <c r="M1536" s="75"/>
      <c r="N1536" s="70"/>
      <c r="O1536" s="77" t="s">
        <v>179</v>
      </c>
      <c r="P1536" s="79">
        <v>45097.47991898148</v>
      </c>
      <c r="Q1536" s="77" t="s">
        <v>3432</v>
      </c>
      <c r="R1536" s="77">
        <v>1</v>
      </c>
      <c r="S1536" s="77">
        <v>6</v>
      </c>
      <c r="T1536" s="77">
        <v>0</v>
      </c>
      <c r="U1536" s="77">
        <v>0</v>
      </c>
      <c r="V1536" s="77">
        <v>1376</v>
      </c>
      <c r="W1536" s="80" t="s">
        <v>6940</v>
      </c>
      <c r="X1536" s="83" t="str">
        <f>HYPERLINK("https://www.moneytimes.com.br/ultima-selic-de-1375-cinco-pontos-que-o-banco-central-vai-avaliar-antes-de-cortar-os-juros/")</f>
        <v>https://www.moneytimes.com.br/ultima-selic-de-1375-cinco-pontos-que-o-banco-central-vai-avaliar-antes-de-cortar-os-juros/</v>
      </c>
      <c r="Y1536" s="77" t="s">
        <v>8611</v>
      </c>
      <c r="Z1536" s="77"/>
      <c r="AA1536" s="77"/>
      <c r="AB1536" s="77"/>
      <c r="AC1536" s="80" t="s">
        <v>10558</v>
      </c>
      <c r="AD1536" s="77" t="s">
        <v>10617</v>
      </c>
      <c r="AE1536" s="83" t="str">
        <f>HYPERLINK("https://twitter.com/leiamoneytimes/status/1671118470057000960")</f>
        <v>https://twitter.com/leiamoneytimes/status/1671118470057000960</v>
      </c>
      <c r="AF1536" s="79">
        <v>45097.47991898148</v>
      </c>
      <c r="AG1536" s="85">
        <v>45097</v>
      </c>
      <c r="AH1536" s="80" t="s">
        <v>11972</v>
      </c>
      <c r="AI1536" s="77" t="b">
        <v>0</v>
      </c>
      <c r="AJ1536" s="77"/>
      <c r="AK1536" s="77"/>
      <c r="AL1536" s="77"/>
      <c r="AM1536" s="77"/>
      <c r="AN1536" s="77"/>
      <c r="AO1536" s="77"/>
      <c r="AP1536" s="77"/>
      <c r="AQ1536" s="77"/>
      <c r="AR1536" s="77"/>
      <c r="AS1536" s="77"/>
      <c r="AT1536" s="77"/>
      <c r="AU1536" s="77"/>
      <c r="AV1536" s="83" t="str">
        <f>HYPERLINK("https://pbs.twimg.com/profile_images/1559883556846977024/bXHnQFY0_normal.jpg")</f>
        <v>https://pbs.twimg.com/profile_images/1559883556846977024/bXHnQFY0_normal.jpg</v>
      </c>
      <c r="AW1536" s="80" t="s">
        <v>17403</v>
      </c>
      <c r="AX1536" s="80" t="s">
        <v>17403</v>
      </c>
      <c r="AY1536" s="77"/>
      <c r="AZ1536" s="80" t="s">
        <v>20380</v>
      </c>
      <c r="BA1536" s="80" t="s">
        <v>20380</v>
      </c>
      <c r="BB1536" s="80" t="s">
        <v>20380</v>
      </c>
      <c r="BC1536" s="80" t="s">
        <v>17403</v>
      </c>
      <c r="BD1536" s="77">
        <v>51150679</v>
      </c>
      <c r="BE1536" s="77"/>
      <c r="BF1536" s="77"/>
      <c r="BG1536" s="77"/>
      <c r="BH1536" s="77"/>
      <c r="BI1536" s="77"/>
    </row>
    <row r="1537" spans="1:61" x14ac:dyDescent="0.25">
      <c r="A1537" s="62" t="s">
        <v>790</v>
      </c>
      <c r="B1537" s="62" t="s">
        <v>790</v>
      </c>
      <c r="C1537" s="63"/>
      <c r="D1537" s="64"/>
      <c r="E1537" s="65"/>
      <c r="F1537" s="66"/>
      <c r="G1537" s="63"/>
      <c r="H1537" s="67"/>
      <c r="I1537" s="68"/>
      <c r="J1537" s="68"/>
      <c r="K1537" s="32"/>
      <c r="L1537" s="75">
        <v>1537</v>
      </c>
      <c r="M1537" s="75"/>
      <c r="N1537" s="70"/>
      <c r="O1537" s="77" t="s">
        <v>179</v>
      </c>
      <c r="P1537" s="79">
        <v>45097.476944444446</v>
      </c>
      <c r="Q1537" s="77" t="s">
        <v>3433</v>
      </c>
      <c r="R1537" s="77">
        <v>0</v>
      </c>
      <c r="S1537" s="77">
        <v>1</v>
      </c>
      <c r="T1537" s="77">
        <v>1</v>
      </c>
      <c r="U1537" s="77">
        <v>0</v>
      </c>
      <c r="V1537" s="77">
        <v>1230</v>
      </c>
      <c r="W1537" s="80" t="s">
        <v>6962</v>
      </c>
      <c r="X1537" s="83" t="str">
        <f>HYPERLINK("https://www.moneytimes.com.br/virando-a-chavinha-copom-e-as-perspectivas-do-mercado-dividendos-bilionarios-chatgpt-e-outros-destaques-do-dia/")</f>
        <v>https://www.moneytimes.com.br/virando-a-chavinha-copom-e-as-perspectivas-do-mercado-dividendos-bilionarios-chatgpt-e-outros-destaques-do-dia/</v>
      </c>
      <c r="Y1537" s="77" t="s">
        <v>8611</v>
      </c>
      <c r="Z1537" s="77"/>
      <c r="AA1537" s="77"/>
      <c r="AB1537" s="77"/>
      <c r="AC1537" s="80" t="s">
        <v>10558</v>
      </c>
      <c r="AD1537" s="77" t="s">
        <v>10617</v>
      </c>
      <c r="AE1537" s="83" t="str">
        <f>HYPERLINK("https://twitter.com/leiamoneytimes/status/1671117389453246464")</f>
        <v>https://twitter.com/leiamoneytimes/status/1671117389453246464</v>
      </c>
      <c r="AF1537" s="79">
        <v>45097.476944444446</v>
      </c>
      <c r="AG1537" s="85">
        <v>45097</v>
      </c>
      <c r="AH1537" s="80" t="s">
        <v>11973</v>
      </c>
      <c r="AI1537" s="77" t="b">
        <v>0</v>
      </c>
      <c r="AJ1537" s="77"/>
      <c r="AK1537" s="77"/>
      <c r="AL1537" s="77"/>
      <c r="AM1537" s="77"/>
      <c r="AN1537" s="77"/>
      <c r="AO1537" s="77"/>
      <c r="AP1537" s="77"/>
      <c r="AQ1537" s="77"/>
      <c r="AR1537" s="77"/>
      <c r="AS1537" s="77"/>
      <c r="AT1537" s="77"/>
      <c r="AU1537" s="77"/>
      <c r="AV1537" s="83" t="str">
        <f>HYPERLINK("https://pbs.twimg.com/profile_images/1559883556846977024/bXHnQFY0_normal.jpg")</f>
        <v>https://pbs.twimg.com/profile_images/1559883556846977024/bXHnQFY0_normal.jpg</v>
      </c>
      <c r="AW1537" s="80" t="s">
        <v>17404</v>
      </c>
      <c r="AX1537" s="80" t="s">
        <v>17404</v>
      </c>
      <c r="AY1537" s="77"/>
      <c r="AZ1537" s="80" t="s">
        <v>20380</v>
      </c>
      <c r="BA1537" s="80" t="s">
        <v>20380</v>
      </c>
      <c r="BB1537" s="80" t="s">
        <v>20380</v>
      </c>
      <c r="BC1537" s="80" t="s">
        <v>17404</v>
      </c>
      <c r="BD1537" s="77">
        <v>51150679</v>
      </c>
      <c r="BE1537" s="77"/>
      <c r="BF1537" s="77"/>
      <c r="BG1537" s="77"/>
      <c r="BH1537" s="77"/>
      <c r="BI1537" s="77"/>
    </row>
    <row r="1538" spans="1:61" x14ac:dyDescent="0.25">
      <c r="A1538" s="62" t="s">
        <v>790</v>
      </c>
      <c r="B1538" s="62" t="s">
        <v>790</v>
      </c>
      <c r="C1538" s="63"/>
      <c r="D1538" s="64"/>
      <c r="E1538" s="65"/>
      <c r="F1538" s="66"/>
      <c r="G1538" s="63"/>
      <c r="H1538" s="67"/>
      <c r="I1538" s="68"/>
      <c r="J1538" s="68"/>
      <c r="K1538" s="32"/>
      <c r="L1538" s="75">
        <v>1538</v>
      </c>
      <c r="M1538" s="75"/>
      <c r="N1538" s="70"/>
      <c r="O1538" s="77" t="s">
        <v>179</v>
      </c>
      <c r="P1538" s="79">
        <v>45097.469918981478</v>
      </c>
      <c r="Q1538" s="77" t="s">
        <v>3434</v>
      </c>
      <c r="R1538" s="77">
        <v>0</v>
      </c>
      <c r="S1538" s="77">
        <v>5</v>
      </c>
      <c r="T1538" s="77">
        <v>0</v>
      </c>
      <c r="U1538" s="77">
        <v>0</v>
      </c>
      <c r="V1538" s="77">
        <v>1280</v>
      </c>
      <c r="W1538" s="80" t="s">
        <v>6940</v>
      </c>
      <c r="X1538" s="83" t="str">
        <f>HYPERLINK("https://www.moneytimes.com.br/arcabouco-fiscal-deve-sofrer-mudancas-no-senado-veja-o-que-movimenta-a-terca-20/")</f>
        <v>https://www.moneytimes.com.br/arcabouco-fiscal-deve-sofrer-mudancas-no-senado-veja-o-que-movimenta-a-terca-20/</v>
      </c>
      <c r="Y1538" s="77" t="s">
        <v>8611</v>
      </c>
      <c r="Z1538" s="77"/>
      <c r="AA1538" s="77"/>
      <c r="AB1538" s="77"/>
      <c r="AC1538" s="80" t="s">
        <v>10558</v>
      </c>
      <c r="AD1538" s="77" t="s">
        <v>10617</v>
      </c>
      <c r="AE1538" s="83" t="str">
        <f>HYPERLINK("https://twitter.com/leiamoneytimes/status/1671114845918199810")</f>
        <v>https://twitter.com/leiamoneytimes/status/1671114845918199810</v>
      </c>
      <c r="AF1538" s="79">
        <v>45097.469918981478</v>
      </c>
      <c r="AG1538" s="85">
        <v>45097</v>
      </c>
      <c r="AH1538" s="80" t="s">
        <v>11974</v>
      </c>
      <c r="AI1538" s="77" t="b">
        <v>0</v>
      </c>
      <c r="AJ1538" s="77"/>
      <c r="AK1538" s="77"/>
      <c r="AL1538" s="77"/>
      <c r="AM1538" s="77"/>
      <c r="AN1538" s="77"/>
      <c r="AO1538" s="77"/>
      <c r="AP1538" s="77"/>
      <c r="AQ1538" s="77"/>
      <c r="AR1538" s="77"/>
      <c r="AS1538" s="77"/>
      <c r="AT1538" s="77"/>
      <c r="AU1538" s="77"/>
      <c r="AV1538" s="83" t="str">
        <f>HYPERLINK("https://pbs.twimg.com/profile_images/1559883556846977024/bXHnQFY0_normal.jpg")</f>
        <v>https://pbs.twimg.com/profile_images/1559883556846977024/bXHnQFY0_normal.jpg</v>
      </c>
      <c r="AW1538" s="80" t="s">
        <v>17405</v>
      </c>
      <c r="AX1538" s="80" t="s">
        <v>17405</v>
      </c>
      <c r="AY1538" s="77"/>
      <c r="AZ1538" s="80" t="s">
        <v>20380</v>
      </c>
      <c r="BA1538" s="80" t="s">
        <v>20380</v>
      </c>
      <c r="BB1538" s="80" t="s">
        <v>20380</v>
      </c>
      <c r="BC1538" s="80" t="s">
        <v>17405</v>
      </c>
      <c r="BD1538" s="77">
        <v>51150679</v>
      </c>
      <c r="BE1538" s="77"/>
      <c r="BF1538" s="77"/>
      <c r="BG1538" s="77"/>
      <c r="BH1538" s="77"/>
      <c r="BI1538" s="77"/>
    </row>
    <row r="1539" spans="1:61" x14ac:dyDescent="0.25">
      <c r="A1539" s="62" t="s">
        <v>790</v>
      </c>
      <c r="B1539" s="62" t="s">
        <v>790</v>
      </c>
      <c r="C1539" s="63"/>
      <c r="D1539" s="64"/>
      <c r="E1539" s="65"/>
      <c r="F1539" s="66"/>
      <c r="G1539" s="63"/>
      <c r="H1539" s="67"/>
      <c r="I1539" s="68"/>
      <c r="J1539" s="68"/>
      <c r="K1539" s="32"/>
      <c r="L1539" s="75">
        <v>1539</v>
      </c>
      <c r="M1539" s="75"/>
      <c r="N1539" s="70"/>
      <c r="O1539" s="77" t="s">
        <v>179</v>
      </c>
      <c r="P1539" s="79">
        <v>45074.502800925926</v>
      </c>
      <c r="Q1539" s="77" t="s">
        <v>3435</v>
      </c>
      <c r="R1539" s="77">
        <v>0</v>
      </c>
      <c r="S1539" s="77">
        <v>10</v>
      </c>
      <c r="T1539" s="77">
        <v>1</v>
      </c>
      <c r="U1539" s="77">
        <v>0</v>
      </c>
      <c r="V1539" s="77">
        <v>2301</v>
      </c>
      <c r="W1539" s="80" t="s">
        <v>6931</v>
      </c>
      <c r="X1539" s="83" t="str">
        <f>HYPERLINK("https://www.moneytimes.com.br/aceitando-a-inflacao-projecoes-da-fazenda-comecam-a-se-alinhar-com-o-mercado-confira/")</f>
        <v>https://www.moneytimes.com.br/aceitando-a-inflacao-projecoes-da-fazenda-comecam-a-se-alinhar-com-o-mercado-confira/</v>
      </c>
      <c r="Y1539" s="77" t="s">
        <v>8611</v>
      </c>
      <c r="Z1539" s="77"/>
      <c r="AA1539" s="77"/>
      <c r="AB1539" s="77"/>
      <c r="AC1539" s="80" t="s">
        <v>10558</v>
      </c>
      <c r="AD1539" s="77" t="s">
        <v>10617</v>
      </c>
      <c r="AE1539" s="83" t="str">
        <f>HYPERLINK("https://twitter.com/leiamoneytimes/status/1662791837944348672")</f>
        <v>https://twitter.com/leiamoneytimes/status/1662791837944348672</v>
      </c>
      <c r="AF1539" s="79">
        <v>45074.502800925926</v>
      </c>
      <c r="AG1539" s="85">
        <v>45074</v>
      </c>
      <c r="AH1539" s="80" t="s">
        <v>11975</v>
      </c>
      <c r="AI1539" s="77" t="b">
        <v>0</v>
      </c>
      <c r="AJ1539" s="77"/>
      <c r="AK1539" s="77"/>
      <c r="AL1539" s="77"/>
      <c r="AM1539" s="77"/>
      <c r="AN1539" s="77"/>
      <c r="AO1539" s="77"/>
      <c r="AP1539" s="77"/>
      <c r="AQ1539" s="77"/>
      <c r="AR1539" s="77"/>
      <c r="AS1539" s="77"/>
      <c r="AT1539" s="77"/>
      <c r="AU1539" s="77"/>
      <c r="AV1539" s="83" t="str">
        <f>HYPERLINK("https://pbs.twimg.com/profile_images/1559883556846977024/bXHnQFY0_normal.jpg")</f>
        <v>https://pbs.twimg.com/profile_images/1559883556846977024/bXHnQFY0_normal.jpg</v>
      </c>
      <c r="AW1539" s="80" t="s">
        <v>17406</v>
      </c>
      <c r="AX1539" s="80" t="s">
        <v>17406</v>
      </c>
      <c r="AY1539" s="77"/>
      <c r="AZ1539" s="80" t="s">
        <v>20380</v>
      </c>
      <c r="BA1539" s="80" t="s">
        <v>20380</v>
      </c>
      <c r="BB1539" s="80" t="s">
        <v>20380</v>
      </c>
      <c r="BC1539" s="80" t="s">
        <v>17406</v>
      </c>
      <c r="BD1539" s="77">
        <v>51150679</v>
      </c>
      <c r="BE1539" s="77"/>
      <c r="BF1539" s="77"/>
      <c r="BG1539" s="77"/>
      <c r="BH1539" s="77"/>
      <c r="BI1539" s="77"/>
    </row>
    <row r="1540" spans="1:61" x14ac:dyDescent="0.25">
      <c r="A1540" s="62" t="s">
        <v>790</v>
      </c>
      <c r="B1540" s="62" t="s">
        <v>790</v>
      </c>
      <c r="C1540" s="63"/>
      <c r="D1540" s="64"/>
      <c r="E1540" s="65"/>
      <c r="F1540" s="66"/>
      <c r="G1540" s="63"/>
      <c r="H1540" s="67"/>
      <c r="I1540" s="68"/>
      <c r="J1540" s="68"/>
      <c r="K1540" s="32"/>
      <c r="L1540" s="75">
        <v>1540</v>
      </c>
      <c r="M1540" s="75"/>
      <c r="N1540" s="70"/>
      <c r="O1540" s="77" t="s">
        <v>179</v>
      </c>
      <c r="P1540" s="79">
        <v>45072.949120370373</v>
      </c>
      <c r="Q1540" s="77" t="s">
        <v>3436</v>
      </c>
      <c r="R1540" s="77">
        <v>0</v>
      </c>
      <c r="S1540" s="77">
        <v>7</v>
      </c>
      <c r="T1540" s="77">
        <v>0</v>
      </c>
      <c r="U1540" s="77">
        <v>0</v>
      </c>
      <c r="V1540" s="77">
        <v>2082</v>
      </c>
      <c r="W1540" s="80" t="s">
        <v>6963</v>
      </c>
      <c r="X1540" s="83" t="str">
        <f>HYPERLINK("https://www.moneytimes.com.br/haddad-diz-que-programa-para-baratear-veiculos-deve-vigorar-ate-que-juros-comecem-a-cair/")</f>
        <v>https://www.moneytimes.com.br/haddad-diz-que-programa-para-baratear-veiculos-deve-vigorar-ate-que-juros-comecem-a-cair/</v>
      </c>
      <c r="Y1540" s="77" t="s">
        <v>8611</v>
      </c>
      <c r="Z1540" s="77"/>
      <c r="AA1540" s="77"/>
      <c r="AB1540" s="77"/>
      <c r="AC1540" s="80" t="s">
        <v>10558</v>
      </c>
      <c r="AD1540" s="77" t="s">
        <v>10617</v>
      </c>
      <c r="AE1540" s="83" t="str">
        <f>HYPERLINK("https://twitter.com/leiamoneytimes/status/1662228806449463296")</f>
        <v>https://twitter.com/leiamoneytimes/status/1662228806449463296</v>
      </c>
      <c r="AF1540" s="79">
        <v>45072.949120370373</v>
      </c>
      <c r="AG1540" s="85">
        <v>45072</v>
      </c>
      <c r="AH1540" s="80" t="s">
        <v>11976</v>
      </c>
      <c r="AI1540" s="77" t="b">
        <v>0</v>
      </c>
      <c r="AJ1540" s="77"/>
      <c r="AK1540" s="77"/>
      <c r="AL1540" s="77"/>
      <c r="AM1540" s="77"/>
      <c r="AN1540" s="77"/>
      <c r="AO1540" s="77"/>
      <c r="AP1540" s="77"/>
      <c r="AQ1540" s="77"/>
      <c r="AR1540" s="77"/>
      <c r="AS1540" s="77"/>
      <c r="AT1540" s="77"/>
      <c r="AU1540" s="77"/>
      <c r="AV1540" s="83" t="str">
        <f>HYPERLINK("https://pbs.twimg.com/profile_images/1559883556846977024/bXHnQFY0_normal.jpg")</f>
        <v>https://pbs.twimg.com/profile_images/1559883556846977024/bXHnQFY0_normal.jpg</v>
      </c>
      <c r="AW1540" s="80" t="s">
        <v>17407</v>
      </c>
      <c r="AX1540" s="80" t="s">
        <v>17407</v>
      </c>
      <c r="AY1540" s="77"/>
      <c r="AZ1540" s="80" t="s">
        <v>20380</v>
      </c>
      <c r="BA1540" s="80" t="s">
        <v>20380</v>
      </c>
      <c r="BB1540" s="80" t="s">
        <v>20380</v>
      </c>
      <c r="BC1540" s="80" t="s">
        <v>17407</v>
      </c>
      <c r="BD1540" s="77">
        <v>51150679</v>
      </c>
      <c r="BE1540" s="77"/>
      <c r="BF1540" s="77"/>
      <c r="BG1540" s="77"/>
      <c r="BH1540" s="77"/>
      <c r="BI1540" s="77"/>
    </row>
    <row r="1541" spans="1:61" x14ac:dyDescent="0.25">
      <c r="A1541" s="62" t="s">
        <v>790</v>
      </c>
      <c r="B1541" s="62" t="s">
        <v>790</v>
      </c>
      <c r="C1541" s="63"/>
      <c r="D1541" s="64"/>
      <c r="E1541" s="65"/>
      <c r="F1541" s="66"/>
      <c r="G1541" s="63"/>
      <c r="H1541" s="67"/>
      <c r="I1541" s="68"/>
      <c r="J1541" s="68"/>
      <c r="K1541" s="32"/>
      <c r="L1541" s="75">
        <v>1541</v>
      </c>
      <c r="M1541" s="75"/>
      <c r="N1541" s="70"/>
      <c r="O1541" s="77" t="s">
        <v>179</v>
      </c>
      <c r="P1541" s="79">
        <v>45072.642708333333</v>
      </c>
      <c r="Q1541" s="77" t="s">
        <v>3437</v>
      </c>
      <c r="R1541" s="77">
        <v>0</v>
      </c>
      <c r="S1541" s="77">
        <v>3</v>
      </c>
      <c r="T1541" s="77">
        <v>0</v>
      </c>
      <c r="U1541" s="77">
        <v>0</v>
      </c>
      <c r="V1541" s="77">
        <v>1352</v>
      </c>
      <c r="W1541" s="80" t="s">
        <v>6931</v>
      </c>
      <c r="X1541" s="83" t="str">
        <f>HYPERLINK("https://www.moneytimes.com.br/brasil-tem-deficit-externo-acima-do-esperado-em-abril-mas-acumula-o-melhor-desempenho-desde-2017-no-ano/")</f>
        <v>https://www.moneytimes.com.br/brasil-tem-deficit-externo-acima-do-esperado-em-abril-mas-acumula-o-melhor-desempenho-desde-2017-no-ano/</v>
      </c>
      <c r="Y1541" s="77" t="s">
        <v>8611</v>
      </c>
      <c r="Z1541" s="77"/>
      <c r="AA1541" s="77"/>
      <c r="AB1541" s="77"/>
      <c r="AC1541" s="80" t="s">
        <v>10558</v>
      </c>
      <c r="AD1541" s="77" t="s">
        <v>10617</v>
      </c>
      <c r="AE1541" s="83" t="str">
        <f>HYPERLINK("https://twitter.com/leiamoneytimes/status/1662117765820346374")</f>
        <v>https://twitter.com/leiamoneytimes/status/1662117765820346374</v>
      </c>
      <c r="AF1541" s="79">
        <v>45072.642708333333</v>
      </c>
      <c r="AG1541" s="85">
        <v>45072</v>
      </c>
      <c r="AH1541" s="80" t="s">
        <v>11977</v>
      </c>
      <c r="AI1541" s="77" t="b">
        <v>0</v>
      </c>
      <c r="AJ1541" s="77"/>
      <c r="AK1541" s="77"/>
      <c r="AL1541" s="77"/>
      <c r="AM1541" s="77"/>
      <c r="AN1541" s="77"/>
      <c r="AO1541" s="77"/>
      <c r="AP1541" s="77"/>
      <c r="AQ1541" s="77"/>
      <c r="AR1541" s="77"/>
      <c r="AS1541" s="77"/>
      <c r="AT1541" s="77"/>
      <c r="AU1541" s="77"/>
      <c r="AV1541" s="83" t="str">
        <f>HYPERLINK("https://pbs.twimg.com/profile_images/1559883556846977024/bXHnQFY0_normal.jpg")</f>
        <v>https://pbs.twimg.com/profile_images/1559883556846977024/bXHnQFY0_normal.jpg</v>
      </c>
      <c r="AW1541" s="80" t="s">
        <v>17408</v>
      </c>
      <c r="AX1541" s="80" t="s">
        <v>17408</v>
      </c>
      <c r="AY1541" s="77"/>
      <c r="AZ1541" s="80" t="s">
        <v>20380</v>
      </c>
      <c r="BA1541" s="80" t="s">
        <v>20380</v>
      </c>
      <c r="BB1541" s="80" t="s">
        <v>20380</v>
      </c>
      <c r="BC1541" s="80" t="s">
        <v>17408</v>
      </c>
      <c r="BD1541" s="77">
        <v>51150679</v>
      </c>
      <c r="BE1541" s="77"/>
      <c r="BF1541" s="77"/>
      <c r="BG1541" s="77"/>
      <c r="BH1541" s="77"/>
      <c r="BI1541" s="77"/>
    </row>
    <row r="1542" spans="1:61" x14ac:dyDescent="0.25">
      <c r="A1542" s="62" t="s">
        <v>790</v>
      </c>
      <c r="B1542" s="62" t="s">
        <v>790</v>
      </c>
      <c r="C1542" s="63"/>
      <c r="D1542" s="64"/>
      <c r="E1542" s="65"/>
      <c r="F1542" s="66"/>
      <c r="G1542" s="63"/>
      <c r="H1542" s="67"/>
      <c r="I1542" s="68"/>
      <c r="J1542" s="68"/>
      <c r="K1542" s="32"/>
      <c r="L1542" s="75">
        <v>1542</v>
      </c>
      <c r="M1542" s="75"/>
      <c r="N1542" s="70"/>
      <c r="O1542" s="77" t="s">
        <v>179</v>
      </c>
      <c r="P1542" s="79">
        <v>45072.627314814818</v>
      </c>
      <c r="Q1542" s="77" t="s">
        <v>3438</v>
      </c>
      <c r="R1542" s="77">
        <v>0</v>
      </c>
      <c r="S1542" s="77">
        <v>2</v>
      </c>
      <c r="T1542" s="77">
        <v>0</v>
      </c>
      <c r="U1542" s="77">
        <v>0</v>
      </c>
      <c r="V1542" s="77">
        <v>980</v>
      </c>
      <c r="W1542" s="80" t="s">
        <v>6964</v>
      </c>
      <c r="X1542" s="83" t="str">
        <f>HYPERLINK("https://www.moneytimes.com.br/mercado-local-deixa-claro-que-problema-era-ou-ainda-e-os-juros-deduz-gestor/")</f>
        <v>https://www.moneytimes.com.br/mercado-local-deixa-claro-que-problema-era-ou-ainda-e-os-juros-deduz-gestor/</v>
      </c>
      <c r="Y1542" s="77" t="s">
        <v>8611</v>
      </c>
      <c r="Z1542" s="77"/>
      <c r="AA1542" s="77"/>
      <c r="AB1542" s="77"/>
      <c r="AC1542" s="80" t="s">
        <v>10558</v>
      </c>
      <c r="AD1542" s="77" t="s">
        <v>10617</v>
      </c>
      <c r="AE1542" s="83" t="str">
        <f>HYPERLINK("https://twitter.com/leiamoneytimes/status/1662112185852604419")</f>
        <v>https://twitter.com/leiamoneytimes/status/1662112185852604419</v>
      </c>
      <c r="AF1542" s="79">
        <v>45072.627314814818</v>
      </c>
      <c r="AG1542" s="85">
        <v>45072</v>
      </c>
      <c r="AH1542" s="80" t="s">
        <v>11978</v>
      </c>
      <c r="AI1542" s="77" t="b">
        <v>0</v>
      </c>
      <c r="AJ1542" s="77"/>
      <c r="AK1542" s="77"/>
      <c r="AL1542" s="77"/>
      <c r="AM1542" s="77"/>
      <c r="AN1542" s="77"/>
      <c r="AO1542" s="77"/>
      <c r="AP1542" s="77"/>
      <c r="AQ1542" s="77"/>
      <c r="AR1542" s="77"/>
      <c r="AS1542" s="77"/>
      <c r="AT1542" s="77"/>
      <c r="AU1542" s="77"/>
      <c r="AV1542" s="83" t="str">
        <f>HYPERLINK("https://pbs.twimg.com/profile_images/1559883556846977024/bXHnQFY0_normal.jpg")</f>
        <v>https://pbs.twimg.com/profile_images/1559883556846977024/bXHnQFY0_normal.jpg</v>
      </c>
      <c r="AW1542" s="80" t="s">
        <v>17409</v>
      </c>
      <c r="AX1542" s="80" t="s">
        <v>17409</v>
      </c>
      <c r="AY1542" s="77"/>
      <c r="AZ1542" s="80" t="s">
        <v>20380</v>
      </c>
      <c r="BA1542" s="80" t="s">
        <v>20380</v>
      </c>
      <c r="BB1542" s="80" t="s">
        <v>20380</v>
      </c>
      <c r="BC1542" s="80" t="s">
        <v>17409</v>
      </c>
      <c r="BD1542" s="77">
        <v>51150679</v>
      </c>
      <c r="BE1542" s="77"/>
      <c r="BF1542" s="77"/>
      <c r="BG1542" s="77"/>
      <c r="BH1542" s="77"/>
      <c r="BI1542" s="77"/>
    </row>
    <row r="1543" spans="1:61" x14ac:dyDescent="0.25">
      <c r="A1543" s="62" t="s">
        <v>790</v>
      </c>
      <c r="B1543" s="62" t="s">
        <v>790</v>
      </c>
      <c r="C1543" s="63"/>
      <c r="D1543" s="64"/>
      <c r="E1543" s="65"/>
      <c r="F1543" s="66"/>
      <c r="G1543" s="63"/>
      <c r="H1543" s="67"/>
      <c r="I1543" s="68"/>
      <c r="J1543" s="68"/>
      <c r="K1543" s="32"/>
      <c r="L1543" s="75">
        <v>1543</v>
      </c>
      <c r="M1543" s="75"/>
      <c r="N1543" s="70"/>
      <c r="O1543" s="77" t="s">
        <v>179</v>
      </c>
      <c r="P1543" s="79">
        <v>45072.542453703703</v>
      </c>
      <c r="Q1543" s="77" t="s">
        <v>3439</v>
      </c>
      <c r="R1543" s="77">
        <v>0</v>
      </c>
      <c r="S1543" s="77">
        <v>0</v>
      </c>
      <c r="T1543" s="77">
        <v>0</v>
      </c>
      <c r="U1543" s="77">
        <v>0</v>
      </c>
      <c r="V1543" s="77">
        <v>839</v>
      </c>
      <c r="W1543" s="80" t="s">
        <v>6965</v>
      </c>
      <c r="X1543" s="83" t="str">
        <f>HYPERLINK("https://www.moneytimes.com.br/regime-de-metas-de-inflacao-pode-melhorar-sem-ser-abandonado-entenda/")</f>
        <v>https://www.moneytimes.com.br/regime-de-metas-de-inflacao-pode-melhorar-sem-ser-abandonado-entenda/</v>
      </c>
      <c r="Y1543" s="77" t="s">
        <v>8611</v>
      </c>
      <c r="Z1543" s="77"/>
      <c r="AA1543" s="77"/>
      <c r="AB1543" s="77"/>
      <c r="AC1543" s="80" t="s">
        <v>10558</v>
      </c>
      <c r="AD1543" s="77" t="s">
        <v>10617</v>
      </c>
      <c r="AE1543" s="83" t="str">
        <f>HYPERLINK("https://twitter.com/leiamoneytimes/status/1662081433739964417")</f>
        <v>https://twitter.com/leiamoneytimes/status/1662081433739964417</v>
      </c>
      <c r="AF1543" s="79">
        <v>45072.542453703703</v>
      </c>
      <c r="AG1543" s="85">
        <v>45072</v>
      </c>
      <c r="AH1543" s="80" t="s">
        <v>11979</v>
      </c>
      <c r="AI1543" s="77" t="b">
        <v>0</v>
      </c>
      <c r="AJ1543" s="77"/>
      <c r="AK1543" s="77"/>
      <c r="AL1543" s="77"/>
      <c r="AM1543" s="77"/>
      <c r="AN1543" s="77"/>
      <c r="AO1543" s="77"/>
      <c r="AP1543" s="77"/>
      <c r="AQ1543" s="77"/>
      <c r="AR1543" s="77"/>
      <c r="AS1543" s="77"/>
      <c r="AT1543" s="77"/>
      <c r="AU1543" s="77"/>
      <c r="AV1543" s="83" t="str">
        <f>HYPERLINK("https://pbs.twimg.com/profile_images/1559883556846977024/bXHnQFY0_normal.jpg")</f>
        <v>https://pbs.twimg.com/profile_images/1559883556846977024/bXHnQFY0_normal.jpg</v>
      </c>
      <c r="AW1543" s="80" t="s">
        <v>17410</v>
      </c>
      <c r="AX1543" s="80" t="s">
        <v>17410</v>
      </c>
      <c r="AY1543" s="77"/>
      <c r="AZ1543" s="80" t="s">
        <v>20380</v>
      </c>
      <c r="BA1543" s="80" t="s">
        <v>20380</v>
      </c>
      <c r="BB1543" s="80" t="s">
        <v>20380</v>
      </c>
      <c r="BC1543" s="80" t="s">
        <v>17410</v>
      </c>
      <c r="BD1543" s="77">
        <v>51150679</v>
      </c>
      <c r="BE1543" s="77"/>
      <c r="BF1543" s="77"/>
      <c r="BG1543" s="77"/>
      <c r="BH1543" s="77"/>
      <c r="BI1543" s="77"/>
    </row>
    <row r="1544" spans="1:61" x14ac:dyDescent="0.25">
      <c r="A1544" s="62" t="s">
        <v>790</v>
      </c>
      <c r="B1544" s="62" t="s">
        <v>790</v>
      </c>
      <c r="C1544" s="63"/>
      <c r="D1544" s="64"/>
      <c r="E1544" s="65"/>
      <c r="F1544" s="66"/>
      <c r="G1544" s="63"/>
      <c r="H1544" s="67"/>
      <c r="I1544" s="68"/>
      <c r="J1544" s="68"/>
      <c r="K1544" s="32"/>
      <c r="L1544" s="75">
        <v>1544</v>
      </c>
      <c r="M1544" s="75"/>
      <c r="N1544" s="70"/>
      <c r="O1544" s="77" t="s">
        <v>179</v>
      </c>
      <c r="P1544" s="79">
        <v>45072.517233796294</v>
      </c>
      <c r="Q1544" s="77" t="s">
        <v>3440</v>
      </c>
      <c r="R1544" s="77">
        <v>0</v>
      </c>
      <c r="S1544" s="77">
        <v>0</v>
      </c>
      <c r="T1544" s="77">
        <v>0</v>
      </c>
      <c r="U1544" s="77">
        <v>0</v>
      </c>
      <c r="V1544" s="77">
        <v>901</v>
      </c>
      <c r="W1544" s="80" t="s">
        <v>6966</v>
      </c>
      <c r="X1544" s="83" t="str">
        <f>HYPERLINK("https://www.moneytimes.com.br/dolar-acompanha-exterior-e-recua-frente-ao-real-a-espera-de-acordo-sobre-divida-dos-eua/")</f>
        <v>https://www.moneytimes.com.br/dolar-acompanha-exterior-e-recua-frente-ao-real-a-espera-de-acordo-sobre-divida-dos-eua/</v>
      </c>
      <c r="Y1544" s="77" t="s">
        <v>8611</v>
      </c>
      <c r="Z1544" s="77"/>
      <c r="AA1544" s="77"/>
      <c r="AB1544" s="77"/>
      <c r="AC1544" s="80" t="s">
        <v>10558</v>
      </c>
      <c r="AD1544" s="77" t="s">
        <v>10617</v>
      </c>
      <c r="AE1544" s="83" t="str">
        <f>HYPERLINK("https://twitter.com/leiamoneytimes/status/1662072293743292418")</f>
        <v>https://twitter.com/leiamoneytimes/status/1662072293743292418</v>
      </c>
      <c r="AF1544" s="79">
        <v>45072.517233796294</v>
      </c>
      <c r="AG1544" s="85">
        <v>45072</v>
      </c>
      <c r="AH1544" s="80" t="s">
        <v>11980</v>
      </c>
      <c r="AI1544" s="77" t="b">
        <v>0</v>
      </c>
      <c r="AJ1544" s="77"/>
      <c r="AK1544" s="77"/>
      <c r="AL1544" s="77"/>
      <c r="AM1544" s="77"/>
      <c r="AN1544" s="77"/>
      <c r="AO1544" s="77"/>
      <c r="AP1544" s="77"/>
      <c r="AQ1544" s="77"/>
      <c r="AR1544" s="77"/>
      <c r="AS1544" s="77"/>
      <c r="AT1544" s="77"/>
      <c r="AU1544" s="77"/>
      <c r="AV1544" s="83" t="str">
        <f>HYPERLINK("https://pbs.twimg.com/profile_images/1559883556846977024/bXHnQFY0_normal.jpg")</f>
        <v>https://pbs.twimg.com/profile_images/1559883556846977024/bXHnQFY0_normal.jpg</v>
      </c>
      <c r="AW1544" s="80" t="s">
        <v>17411</v>
      </c>
      <c r="AX1544" s="80" t="s">
        <v>17411</v>
      </c>
      <c r="AY1544" s="77"/>
      <c r="AZ1544" s="80" t="s">
        <v>20380</v>
      </c>
      <c r="BA1544" s="80" t="s">
        <v>20380</v>
      </c>
      <c r="BB1544" s="80" t="s">
        <v>20380</v>
      </c>
      <c r="BC1544" s="80" t="s">
        <v>17411</v>
      </c>
      <c r="BD1544" s="77">
        <v>51150679</v>
      </c>
      <c r="BE1544" s="77"/>
      <c r="BF1544" s="77"/>
      <c r="BG1544" s="77"/>
      <c r="BH1544" s="77"/>
      <c r="BI1544" s="77"/>
    </row>
    <row r="1545" spans="1:61" x14ac:dyDescent="0.25">
      <c r="A1545" s="62" t="s">
        <v>790</v>
      </c>
      <c r="B1545" s="62" t="s">
        <v>790</v>
      </c>
      <c r="C1545" s="63"/>
      <c r="D1545" s="64"/>
      <c r="E1545" s="65"/>
      <c r="F1545" s="66"/>
      <c r="G1545" s="63"/>
      <c r="H1545" s="67"/>
      <c r="I1545" s="68"/>
      <c r="J1545" s="68"/>
      <c r="K1545" s="32"/>
      <c r="L1545" s="75">
        <v>1545</v>
      </c>
      <c r="M1545" s="75"/>
      <c r="N1545" s="70"/>
      <c r="O1545" s="77" t="s">
        <v>179</v>
      </c>
      <c r="P1545" s="79">
        <v>45072.483113425929</v>
      </c>
      <c r="Q1545" s="77" t="s">
        <v>3441</v>
      </c>
      <c r="R1545" s="77">
        <v>1</v>
      </c>
      <c r="S1545" s="77">
        <v>9</v>
      </c>
      <c r="T1545" s="77">
        <v>1</v>
      </c>
      <c r="U1545" s="77">
        <v>0</v>
      </c>
      <c r="V1545" s="77">
        <v>1419</v>
      </c>
      <c r="W1545" s="80" t="s">
        <v>6927</v>
      </c>
      <c r="X1545" s="83" t="str">
        <f>HYPERLINK("https://www.moneytimes.com.br/campos-neto-e-banco-central-voltam-para-a-mira-de-lula-veja-o-que-movimenta-a-sexta-26/")</f>
        <v>https://www.moneytimes.com.br/campos-neto-e-banco-central-voltam-para-a-mira-de-lula-veja-o-que-movimenta-a-sexta-26/</v>
      </c>
      <c r="Y1545" s="77" t="s">
        <v>8611</v>
      </c>
      <c r="Z1545" s="77"/>
      <c r="AA1545" s="77"/>
      <c r="AB1545" s="77"/>
      <c r="AC1545" s="80" t="s">
        <v>10558</v>
      </c>
      <c r="AD1545" s="77" t="s">
        <v>10617</v>
      </c>
      <c r="AE1545" s="83" t="str">
        <f>HYPERLINK("https://twitter.com/leiamoneytimes/status/1662059927852941313")</f>
        <v>https://twitter.com/leiamoneytimes/status/1662059927852941313</v>
      </c>
      <c r="AF1545" s="79">
        <v>45072.483113425929</v>
      </c>
      <c r="AG1545" s="85">
        <v>45072</v>
      </c>
      <c r="AH1545" s="80" t="s">
        <v>11981</v>
      </c>
      <c r="AI1545" s="77" t="b">
        <v>0</v>
      </c>
      <c r="AJ1545" s="77"/>
      <c r="AK1545" s="77"/>
      <c r="AL1545" s="77"/>
      <c r="AM1545" s="77"/>
      <c r="AN1545" s="77"/>
      <c r="AO1545" s="77"/>
      <c r="AP1545" s="77"/>
      <c r="AQ1545" s="77"/>
      <c r="AR1545" s="77"/>
      <c r="AS1545" s="77"/>
      <c r="AT1545" s="77"/>
      <c r="AU1545" s="77"/>
      <c r="AV1545" s="83" t="str">
        <f>HYPERLINK("https://pbs.twimg.com/profile_images/1559883556846977024/bXHnQFY0_normal.jpg")</f>
        <v>https://pbs.twimg.com/profile_images/1559883556846977024/bXHnQFY0_normal.jpg</v>
      </c>
      <c r="AW1545" s="80" t="s">
        <v>17412</v>
      </c>
      <c r="AX1545" s="80" t="s">
        <v>17412</v>
      </c>
      <c r="AY1545" s="77"/>
      <c r="AZ1545" s="80" t="s">
        <v>20380</v>
      </c>
      <c r="BA1545" s="80" t="s">
        <v>20380</v>
      </c>
      <c r="BB1545" s="80" t="s">
        <v>20380</v>
      </c>
      <c r="BC1545" s="80" t="s">
        <v>17412</v>
      </c>
      <c r="BD1545" s="77">
        <v>51150679</v>
      </c>
      <c r="BE1545" s="77"/>
      <c r="BF1545" s="77"/>
      <c r="BG1545" s="77"/>
      <c r="BH1545" s="77"/>
      <c r="BI1545" s="77"/>
    </row>
    <row r="1546" spans="1:61" x14ac:dyDescent="0.25">
      <c r="A1546" s="62" t="s">
        <v>790</v>
      </c>
      <c r="B1546" s="62" t="s">
        <v>790</v>
      </c>
      <c r="C1546" s="63"/>
      <c r="D1546" s="64"/>
      <c r="E1546" s="65"/>
      <c r="F1546" s="66"/>
      <c r="G1546" s="63"/>
      <c r="H1546" s="67"/>
      <c r="I1546" s="68"/>
      <c r="J1546" s="68"/>
      <c r="K1546" s="32"/>
      <c r="L1546" s="75">
        <v>1546</v>
      </c>
      <c r="M1546" s="75"/>
      <c r="N1546" s="70"/>
      <c r="O1546" s="77" t="s">
        <v>179</v>
      </c>
      <c r="P1546" s="79">
        <v>45071.831458333334</v>
      </c>
      <c r="Q1546" s="77" t="s">
        <v>3442</v>
      </c>
      <c r="R1546" s="77">
        <v>0</v>
      </c>
      <c r="S1546" s="77">
        <v>1</v>
      </c>
      <c r="T1546" s="77">
        <v>0</v>
      </c>
      <c r="U1546" s="77">
        <v>0</v>
      </c>
      <c r="V1546" s="77">
        <v>974</v>
      </c>
      <c r="W1546" s="80" t="s">
        <v>6967</v>
      </c>
      <c r="X1546" s="83" t="str">
        <f>HYPERLINK("https://www.moneytimes.com.br/taxas-futuras-de-juros-tem-queda-forte-com-ipca-15-e-nucleos-de-inflacao-abaixo-do-esperado/")</f>
        <v>https://www.moneytimes.com.br/taxas-futuras-de-juros-tem-queda-forte-com-ipca-15-e-nucleos-de-inflacao-abaixo-do-esperado/</v>
      </c>
      <c r="Y1546" s="77" t="s">
        <v>8611</v>
      </c>
      <c r="Z1546" s="77"/>
      <c r="AA1546" s="77"/>
      <c r="AB1546" s="77"/>
      <c r="AC1546" s="80" t="s">
        <v>10558</v>
      </c>
      <c r="AD1546" s="77" t="s">
        <v>10617</v>
      </c>
      <c r="AE1546" s="83" t="str">
        <f>HYPERLINK("https://twitter.com/leiamoneytimes/status/1661823778207285249")</f>
        <v>https://twitter.com/leiamoneytimes/status/1661823778207285249</v>
      </c>
      <c r="AF1546" s="79">
        <v>45071.831458333334</v>
      </c>
      <c r="AG1546" s="85">
        <v>45071</v>
      </c>
      <c r="AH1546" s="80" t="s">
        <v>11982</v>
      </c>
      <c r="AI1546" s="77" t="b">
        <v>0</v>
      </c>
      <c r="AJ1546" s="77"/>
      <c r="AK1546" s="77"/>
      <c r="AL1546" s="77"/>
      <c r="AM1546" s="77"/>
      <c r="AN1546" s="77"/>
      <c r="AO1546" s="77"/>
      <c r="AP1546" s="77"/>
      <c r="AQ1546" s="77"/>
      <c r="AR1546" s="77"/>
      <c r="AS1546" s="77"/>
      <c r="AT1546" s="77"/>
      <c r="AU1546" s="77"/>
      <c r="AV1546" s="83" t="str">
        <f>HYPERLINK("https://pbs.twimg.com/profile_images/1559883556846977024/bXHnQFY0_normal.jpg")</f>
        <v>https://pbs.twimg.com/profile_images/1559883556846977024/bXHnQFY0_normal.jpg</v>
      </c>
      <c r="AW1546" s="80" t="s">
        <v>17413</v>
      </c>
      <c r="AX1546" s="80" t="s">
        <v>17413</v>
      </c>
      <c r="AY1546" s="77"/>
      <c r="AZ1546" s="80" t="s">
        <v>20380</v>
      </c>
      <c r="BA1546" s="80" t="s">
        <v>20380</v>
      </c>
      <c r="BB1546" s="80" t="s">
        <v>20380</v>
      </c>
      <c r="BC1546" s="80" t="s">
        <v>17413</v>
      </c>
      <c r="BD1546" s="77">
        <v>51150679</v>
      </c>
      <c r="BE1546" s="77"/>
      <c r="BF1546" s="77"/>
      <c r="BG1546" s="77"/>
      <c r="BH1546" s="77"/>
      <c r="BI1546" s="77"/>
    </row>
    <row r="1547" spans="1:61" x14ac:dyDescent="0.25">
      <c r="A1547" s="62" t="s">
        <v>790</v>
      </c>
      <c r="B1547" s="62" t="s">
        <v>790</v>
      </c>
      <c r="C1547" s="63"/>
      <c r="D1547" s="64"/>
      <c r="E1547" s="65"/>
      <c r="F1547" s="66"/>
      <c r="G1547" s="63"/>
      <c r="H1547" s="67"/>
      <c r="I1547" s="68"/>
      <c r="J1547" s="68"/>
      <c r="K1547" s="32"/>
      <c r="L1547" s="75">
        <v>1547</v>
      </c>
      <c r="M1547" s="75"/>
      <c r="N1547" s="70"/>
      <c r="O1547" s="77" t="s">
        <v>179</v>
      </c>
      <c r="P1547" s="79">
        <v>45071.814976851849</v>
      </c>
      <c r="Q1547" s="77" t="s">
        <v>3443</v>
      </c>
      <c r="R1547" s="77">
        <v>48</v>
      </c>
      <c r="S1547" s="77">
        <v>704</v>
      </c>
      <c r="T1547" s="77">
        <v>25</v>
      </c>
      <c r="U1547" s="77">
        <v>6</v>
      </c>
      <c r="V1547" s="77">
        <v>24335</v>
      </c>
      <c r="W1547" s="80" t="s">
        <v>6940</v>
      </c>
      <c r="X1547" s="83" t="str">
        <f>HYPERLINK("https://www.moneytimes.com.br/daqui-ninguem-me-tira-campos-neto-diz-que-nao-vai-deixar-banco-central-antes-de-2024-entenda/")</f>
        <v>https://www.moneytimes.com.br/daqui-ninguem-me-tira-campos-neto-diz-que-nao-vai-deixar-banco-central-antes-de-2024-entenda/</v>
      </c>
      <c r="Y1547" s="77" t="s">
        <v>8611</v>
      </c>
      <c r="Z1547" s="77"/>
      <c r="AA1547" s="77"/>
      <c r="AB1547" s="77"/>
      <c r="AC1547" s="80" t="s">
        <v>10558</v>
      </c>
      <c r="AD1547" s="77" t="s">
        <v>10617</v>
      </c>
      <c r="AE1547" s="83" t="str">
        <f>HYPERLINK("https://twitter.com/leiamoneytimes/status/1661817804620812301")</f>
        <v>https://twitter.com/leiamoneytimes/status/1661817804620812301</v>
      </c>
      <c r="AF1547" s="79">
        <v>45071.814976851849</v>
      </c>
      <c r="AG1547" s="85">
        <v>45071</v>
      </c>
      <c r="AH1547" s="80" t="s">
        <v>11983</v>
      </c>
      <c r="AI1547" s="77" t="b">
        <v>0</v>
      </c>
      <c r="AJ1547" s="77"/>
      <c r="AK1547" s="77"/>
      <c r="AL1547" s="77"/>
      <c r="AM1547" s="77"/>
      <c r="AN1547" s="77"/>
      <c r="AO1547" s="77"/>
      <c r="AP1547" s="77"/>
      <c r="AQ1547" s="77"/>
      <c r="AR1547" s="77"/>
      <c r="AS1547" s="77"/>
      <c r="AT1547" s="77"/>
      <c r="AU1547" s="77"/>
      <c r="AV1547" s="83" t="str">
        <f>HYPERLINK("https://pbs.twimg.com/profile_images/1559883556846977024/bXHnQFY0_normal.jpg")</f>
        <v>https://pbs.twimg.com/profile_images/1559883556846977024/bXHnQFY0_normal.jpg</v>
      </c>
      <c r="AW1547" s="80" t="s">
        <v>17414</v>
      </c>
      <c r="AX1547" s="80" t="s">
        <v>17414</v>
      </c>
      <c r="AY1547" s="77"/>
      <c r="AZ1547" s="80" t="s">
        <v>20380</v>
      </c>
      <c r="BA1547" s="80" t="s">
        <v>20380</v>
      </c>
      <c r="BB1547" s="80" t="s">
        <v>20380</v>
      </c>
      <c r="BC1547" s="80" t="s">
        <v>17414</v>
      </c>
      <c r="BD1547" s="77">
        <v>51150679</v>
      </c>
      <c r="BE1547" s="77"/>
      <c r="BF1547" s="77"/>
      <c r="BG1547" s="77"/>
      <c r="BH1547" s="77"/>
      <c r="BI1547" s="77"/>
    </row>
    <row r="1548" spans="1:61" x14ac:dyDescent="0.25">
      <c r="A1548" s="62" t="s">
        <v>790</v>
      </c>
      <c r="B1548" s="62" t="s">
        <v>790</v>
      </c>
      <c r="C1548" s="63"/>
      <c r="D1548" s="64"/>
      <c r="E1548" s="65"/>
      <c r="F1548" s="66"/>
      <c r="G1548" s="63"/>
      <c r="H1548" s="67"/>
      <c r="I1548" s="68"/>
      <c r="J1548" s="68"/>
      <c r="K1548" s="32"/>
      <c r="L1548" s="75">
        <v>1548</v>
      </c>
      <c r="M1548" s="75"/>
      <c r="N1548" s="70"/>
      <c r="O1548" s="77" t="s">
        <v>179</v>
      </c>
      <c r="P1548" s="79">
        <v>45071.602118055554</v>
      </c>
      <c r="Q1548" s="77" t="s">
        <v>3444</v>
      </c>
      <c r="R1548" s="77">
        <v>0</v>
      </c>
      <c r="S1548" s="77">
        <v>10</v>
      </c>
      <c r="T1548" s="77">
        <v>0</v>
      </c>
      <c r="U1548" s="77">
        <v>1</v>
      </c>
      <c r="V1548" s="77">
        <v>1318</v>
      </c>
      <c r="W1548" s="80" t="s">
        <v>6931</v>
      </c>
      <c r="X1548" s="83" t="str">
        <f>HYPERLINK("https://www.moneytimes.com.br/campos-neto-lembra-que-inflacao-ainda-nao-acabou-entenda-por-que-os-numeros-do-ipca-15-enganam/")</f>
        <v>https://www.moneytimes.com.br/campos-neto-lembra-que-inflacao-ainda-nao-acabou-entenda-por-que-os-numeros-do-ipca-15-enganam/</v>
      </c>
      <c r="Y1548" s="77" t="s">
        <v>8611</v>
      </c>
      <c r="Z1548" s="77"/>
      <c r="AA1548" s="77"/>
      <c r="AB1548" s="77"/>
      <c r="AC1548" s="80" t="s">
        <v>10558</v>
      </c>
      <c r="AD1548" s="77" t="s">
        <v>10617</v>
      </c>
      <c r="AE1548" s="83" t="str">
        <f>HYPERLINK("https://twitter.com/leiamoneytimes/status/1661740667704606729")</f>
        <v>https://twitter.com/leiamoneytimes/status/1661740667704606729</v>
      </c>
      <c r="AF1548" s="79">
        <v>45071.602118055554</v>
      </c>
      <c r="AG1548" s="85">
        <v>45071</v>
      </c>
      <c r="AH1548" s="80" t="s">
        <v>11984</v>
      </c>
      <c r="AI1548" s="77" t="b">
        <v>0</v>
      </c>
      <c r="AJ1548" s="77"/>
      <c r="AK1548" s="77"/>
      <c r="AL1548" s="77"/>
      <c r="AM1548" s="77"/>
      <c r="AN1548" s="77"/>
      <c r="AO1548" s="77"/>
      <c r="AP1548" s="77"/>
      <c r="AQ1548" s="77"/>
      <c r="AR1548" s="77"/>
      <c r="AS1548" s="77"/>
      <c r="AT1548" s="77"/>
      <c r="AU1548" s="77"/>
      <c r="AV1548" s="83" t="str">
        <f>HYPERLINK("https://pbs.twimg.com/profile_images/1559883556846977024/bXHnQFY0_normal.jpg")</f>
        <v>https://pbs.twimg.com/profile_images/1559883556846977024/bXHnQFY0_normal.jpg</v>
      </c>
      <c r="AW1548" s="80" t="s">
        <v>17415</v>
      </c>
      <c r="AX1548" s="80" t="s">
        <v>17415</v>
      </c>
      <c r="AY1548" s="77"/>
      <c r="AZ1548" s="80" t="s">
        <v>20380</v>
      </c>
      <c r="BA1548" s="80" t="s">
        <v>20380</v>
      </c>
      <c r="BB1548" s="80" t="s">
        <v>20380</v>
      </c>
      <c r="BC1548" s="80" t="s">
        <v>17415</v>
      </c>
      <c r="BD1548" s="77">
        <v>51150679</v>
      </c>
      <c r="BE1548" s="77"/>
      <c r="BF1548" s="77"/>
      <c r="BG1548" s="77"/>
      <c r="BH1548" s="77"/>
      <c r="BI1548" s="77"/>
    </row>
    <row r="1549" spans="1:61" x14ac:dyDescent="0.25">
      <c r="A1549" s="62" t="s">
        <v>790</v>
      </c>
      <c r="B1549" s="62" t="s">
        <v>790</v>
      </c>
      <c r="C1549" s="63"/>
      <c r="D1549" s="64"/>
      <c r="E1549" s="65"/>
      <c r="F1549" s="66"/>
      <c r="G1549" s="63"/>
      <c r="H1549" s="67"/>
      <c r="I1549" s="68"/>
      <c r="J1549" s="68"/>
      <c r="K1549" s="32"/>
      <c r="L1549" s="75">
        <v>1549</v>
      </c>
      <c r="M1549" s="75"/>
      <c r="N1549" s="70"/>
      <c r="O1549" s="77" t="s">
        <v>179</v>
      </c>
      <c r="P1549" s="79">
        <v>45071.511678240742</v>
      </c>
      <c r="Q1549" s="77" t="s">
        <v>3445</v>
      </c>
      <c r="R1549" s="77">
        <v>0</v>
      </c>
      <c r="S1549" s="77">
        <v>2</v>
      </c>
      <c r="T1549" s="77">
        <v>0</v>
      </c>
      <c r="U1549" s="77">
        <v>0</v>
      </c>
      <c r="V1549" s="77">
        <v>1122</v>
      </c>
      <c r="W1549" s="80" t="s">
        <v>6957</v>
      </c>
      <c r="X1549" s="83" t="str">
        <f>HYPERLINK("https://www.moneytimes.com.br/dolar-tem-leve-alta-com-cautela-sobre-divida-dos-eua-mercado-digere-ipca-15/")</f>
        <v>https://www.moneytimes.com.br/dolar-tem-leve-alta-com-cautela-sobre-divida-dos-eua-mercado-digere-ipca-15/</v>
      </c>
      <c r="Y1549" s="77" t="s">
        <v>8611</v>
      </c>
      <c r="Z1549" s="77"/>
      <c r="AA1549" s="77"/>
      <c r="AB1549" s="77"/>
      <c r="AC1549" s="80" t="s">
        <v>10558</v>
      </c>
      <c r="AD1549" s="77" t="s">
        <v>10617</v>
      </c>
      <c r="AE1549" s="83" t="str">
        <f>HYPERLINK("https://twitter.com/leiamoneytimes/status/1661707893366767618")</f>
        <v>https://twitter.com/leiamoneytimes/status/1661707893366767618</v>
      </c>
      <c r="AF1549" s="79">
        <v>45071.511678240742</v>
      </c>
      <c r="AG1549" s="85">
        <v>45071</v>
      </c>
      <c r="AH1549" s="80" t="s">
        <v>11985</v>
      </c>
      <c r="AI1549" s="77" t="b">
        <v>0</v>
      </c>
      <c r="AJ1549" s="77"/>
      <c r="AK1549" s="77"/>
      <c r="AL1549" s="77"/>
      <c r="AM1549" s="77"/>
      <c r="AN1549" s="77"/>
      <c r="AO1549" s="77"/>
      <c r="AP1549" s="77"/>
      <c r="AQ1549" s="77"/>
      <c r="AR1549" s="77"/>
      <c r="AS1549" s="77"/>
      <c r="AT1549" s="77"/>
      <c r="AU1549" s="77"/>
      <c r="AV1549" s="83" t="str">
        <f>HYPERLINK("https://pbs.twimg.com/profile_images/1559883556846977024/bXHnQFY0_normal.jpg")</f>
        <v>https://pbs.twimg.com/profile_images/1559883556846977024/bXHnQFY0_normal.jpg</v>
      </c>
      <c r="AW1549" s="80" t="s">
        <v>17416</v>
      </c>
      <c r="AX1549" s="80" t="s">
        <v>17416</v>
      </c>
      <c r="AY1549" s="77"/>
      <c r="AZ1549" s="80" t="s">
        <v>20380</v>
      </c>
      <c r="BA1549" s="80" t="s">
        <v>20380</v>
      </c>
      <c r="BB1549" s="80" t="s">
        <v>20380</v>
      </c>
      <c r="BC1549" s="80" t="s">
        <v>17416</v>
      </c>
      <c r="BD1549" s="77">
        <v>51150679</v>
      </c>
      <c r="BE1549" s="77"/>
      <c r="BF1549" s="77"/>
      <c r="BG1549" s="77"/>
      <c r="BH1549" s="77"/>
      <c r="BI1549" s="77"/>
    </row>
    <row r="1550" spans="1:61" x14ac:dyDescent="0.25">
      <c r="A1550" s="62" t="s">
        <v>790</v>
      </c>
      <c r="B1550" s="62" t="s">
        <v>790</v>
      </c>
      <c r="C1550" s="63"/>
      <c r="D1550" s="64"/>
      <c r="E1550" s="65"/>
      <c r="F1550" s="66"/>
      <c r="G1550" s="63"/>
      <c r="H1550" s="67"/>
      <c r="I1550" s="68"/>
      <c r="J1550" s="68"/>
      <c r="K1550" s="32"/>
      <c r="L1550" s="75">
        <v>1550</v>
      </c>
      <c r="M1550" s="75"/>
      <c r="N1550" s="70"/>
      <c r="O1550" s="77" t="s">
        <v>179</v>
      </c>
      <c r="P1550" s="79">
        <v>45070.721550925926</v>
      </c>
      <c r="Q1550" s="77" t="s">
        <v>3446</v>
      </c>
      <c r="R1550" s="77">
        <v>0</v>
      </c>
      <c r="S1550" s="77">
        <v>0</v>
      </c>
      <c r="T1550" s="77">
        <v>2</v>
      </c>
      <c r="U1550" s="77">
        <v>0</v>
      </c>
      <c r="V1550" s="77">
        <v>1148</v>
      </c>
      <c r="W1550" s="80" t="s">
        <v>6940</v>
      </c>
      <c r="X1550" s="83" t="str">
        <f>HYPERLINK("https://www.moneytimes.com.br/arcabouco-fiscal-mais-rigoroso-abre-espaco-para-cortes-na-selic-entenda/")</f>
        <v>https://www.moneytimes.com.br/arcabouco-fiscal-mais-rigoroso-abre-espaco-para-cortes-na-selic-entenda/</v>
      </c>
      <c r="Y1550" s="77" t="s">
        <v>8611</v>
      </c>
      <c r="Z1550" s="77"/>
      <c r="AA1550" s="77"/>
      <c r="AB1550" s="77"/>
      <c r="AC1550" s="80" t="s">
        <v>10558</v>
      </c>
      <c r="AD1550" s="77" t="s">
        <v>10617</v>
      </c>
      <c r="AE1550" s="83" t="str">
        <f>HYPERLINK("https://twitter.com/leiamoneytimes/status/1661421561029484544")</f>
        <v>https://twitter.com/leiamoneytimes/status/1661421561029484544</v>
      </c>
      <c r="AF1550" s="79">
        <v>45070.721550925926</v>
      </c>
      <c r="AG1550" s="85">
        <v>45070</v>
      </c>
      <c r="AH1550" s="80" t="s">
        <v>11986</v>
      </c>
      <c r="AI1550" s="77" t="b">
        <v>0</v>
      </c>
      <c r="AJ1550" s="77"/>
      <c r="AK1550" s="77"/>
      <c r="AL1550" s="77"/>
      <c r="AM1550" s="77"/>
      <c r="AN1550" s="77"/>
      <c r="AO1550" s="77"/>
      <c r="AP1550" s="77"/>
      <c r="AQ1550" s="77"/>
      <c r="AR1550" s="77"/>
      <c r="AS1550" s="77"/>
      <c r="AT1550" s="77"/>
      <c r="AU1550" s="77"/>
      <c r="AV1550" s="83" t="str">
        <f>HYPERLINK("https://pbs.twimg.com/profile_images/1559883556846977024/bXHnQFY0_normal.jpg")</f>
        <v>https://pbs.twimg.com/profile_images/1559883556846977024/bXHnQFY0_normal.jpg</v>
      </c>
      <c r="AW1550" s="80" t="s">
        <v>17417</v>
      </c>
      <c r="AX1550" s="80" t="s">
        <v>17417</v>
      </c>
      <c r="AY1550" s="77"/>
      <c r="AZ1550" s="80" t="s">
        <v>20380</v>
      </c>
      <c r="BA1550" s="80" t="s">
        <v>20380</v>
      </c>
      <c r="BB1550" s="80" t="s">
        <v>20380</v>
      </c>
      <c r="BC1550" s="80" t="s">
        <v>17417</v>
      </c>
      <c r="BD1550" s="77">
        <v>51150679</v>
      </c>
      <c r="BE1550" s="77"/>
      <c r="BF1550" s="77"/>
      <c r="BG1550" s="77"/>
      <c r="BH1550" s="77"/>
      <c r="BI1550" s="77"/>
    </row>
    <row r="1551" spans="1:61" x14ac:dyDescent="0.25">
      <c r="A1551" s="62" t="s">
        <v>790</v>
      </c>
      <c r="B1551" s="62" t="s">
        <v>790</v>
      </c>
      <c r="C1551" s="63"/>
      <c r="D1551" s="64"/>
      <c r="E1551" s="65"/>
      <c r="F1551" s="66"/>
      <c r="G1551" s="63"/>
      <c r="H1551" s="67"/>
      <c r="I1551" s="68"/>
      <c r="J1551" s="68"/>
      <c r="K1551" s="32"/>
      <c r="L1551" s="75">
        <v>1551</v>
      </c>
      <c r="M1551" s="75"/>
      <c r="N1551" s="70"/>
      <c r="O1551" s="77" t="s">
        <v>179</v>
      </c>
      <c r="P1551" s="79">
        <v>45070.665347222224</v>
      </c>
      <c r="Q1551" s="77" t="s">
        <v>3447</v>
      </c>
      <c r="R1551" s="77">
        <v>1</v>
      </c>
      <c r="S1551" s="77">
        <v>13</v>
      </c>
      <c r="T1551" s="77">
        <v>11</v>
      </c>
      <c r="U1551" s="77">
        <v>0</v>
      </c>
      <c r="V1551" s="77">
        <v>2986</v>
      </c>
      <c r="W1551" s="80" t="s">
        <v>6922</v>
      </c>
      <c r="X1551" s="83" t="str">
        <f>HYPERLINK("https://www.moneytimes.com.br/lula-ganha-nova-aliada-luiza-trajano-defende-queda-nos-juros-se-nao-tiver-sinal-vai-ser-muito-triste/")</f>
        <v>https://www.moneytimes.com.br/lula-ganha-nova-aliada-luiza-trajano-defende-queda-nos-juros-se-nao-tiver-sinal-vai-ser-muito-triste/</v>
      </c>
      <c r="Y1551" s="77" t="s">
        <v>8611</v>
      </c>
      <c r="Z1551" s="77"/>
      <c r="AA1551" s="77"/>
      <c r="AB1551" s="77"/>
      <c r="AC1551" s="80" t="s">
        <v>10558</v>
      </c>
      <c r="AD1551" s="77" t="s">
        <v>10617</v>
      </c>
      <c r="AE1551" s="83" t="str">
        <f>HYPERLINK("https://twitter.com/leiamoneytimes/status/1661401195334729728")</f>
        <v>https://twitter.com/leiamoneytimes/status/1661401195334729728</v>
      </c>
      <c r="AF1551" s="79">
        <v>45070.665347222224</v>
      </c>
      <c r="AG1551" s="85">
        <v>45070</v>
      </c>
      <c r="AH1551" s="80" t="s">
        <v>11987</v>
      </c>
      <c r="AI1551" s="77" t="b">
        <v>0</v>
      </c>
      <c r="AJ1551" s="77"/>
      <c r="AK1551" s="77"/>
      <c r="AL1551" s="77"/>
      <c r="AM1551" s="77"/>
      <c r="AN1551" s="77"/>
      <c r="AO1551" s="77"/>
      <c r="AP1551" s="77"/>
      <c r="AQ1551" s="77"/>
      <c r="AR1551" s="77"/>
      <c r="AS1551" s="77"/>
      <c r="AT1551" s="77"/>
      <c r="AU1551" s="77"/>
      <c r="AV1551" s="83" t="str">
        <f>HYPERLINK("https://pbs.twimg.com/profile_images/1559883556846977024/bXHnQFY0_normal.jpg")</f>
        <v>https://pbs.twimg.com/profile_images/1559883556846977024/bXHnQFY0_normal.jpg</v>
      </c>
      <c r="AW1551" s="80" t="s">
        <v>17418</v>
      </c>
      <c r="AX1551" s="80" t="s">
        <v>17418</v>
      </c>
      <c r="AY1551" s="77"/>
      <c r="AZ1551" s="80" t="s">
        <v>20380</v>
      </c>
      <c r="BA1551" s="80" t="s">
        <v>20380</v>
      </c>
      <c r="BB1551" s="80" t="s">
        <v>20380</v>
      </c>
      <c r="BC1551" s="80" t="s">
        <v>17418</v>
      </c>
      <c r="BD1551" s="77">
        <v>51150679</v>
      </c>
      <c r="BE1551" s="77"/>
      <c r="BF1551" s="77"/>
      <c r="BG1551" s="77"/>
      <c r="BH1551" s="77"/>
      <c r="BI1551" s="77"/>
    </row>
    <row r="1552" spans="1:61" x14ac:dyDescent="0.25">
      <c r="A1552" s="62" t="s">
        <v>790</v>
      </c>
      <c r="B1552" s="62" t="s">
        <v>790</v>
      </c>
      <c r="C1552" s="63"/>
      <c r="D1552" s="64"/>
      <c r="E1552" s="65"/>
      <c r="F1552" s="66"/>
      <c r="G1552" s="63"/>
      <c r="H1552" s="67"/>
      <c r="I1552" s="68"/>
      <c r="J1552" s="68"/>
      <c r="K1552" s="32"/>
      <c r="L1552" s="75">
        <v>1552</v>
      </c>
      <c r="M1552" s="75"/>
      <c r="N1552" s="70"/>
      <c r="O1552" s="77" t="s">
        <v>179</v>
      </c>
      <c r="P1552" s="79">
        <v>45070.592893518522</v>
      </c>
      <c r="Q1552" s="77" t="s">
        <v>3448</v>
      </c>
      <c r="R1552" s="77">
        <v>0</v>
      </c>
      <c r="S1552" s="77">
        <v>6</v>
      </c>
      <c r="T1552" s="77">
        <v>0</v>
      </c>
      <c r="U1552" s="77">
        <v>0</v>
      </c>
      <c r="V1552" s="77">
        <v>1324</v>
      </c>
      <c r="W1552" s="80" t="s">
        <v>6968</v>
      </c>
      <c r="X1552" s="83" t="str">
        <f>HYPERLINK("https://www.moneytimes.com.br/servidores-do-banco-central-prometem-ato-contra-haddad-entenda/")</f>
        <v>https://www.moneytimes.com.br/servidores-do-banco-central-prometem-ato-contra-haddad-entenda/</v>
      </c>
      <c r="Y1552" s="77" t="s">
        <v>8611</v>
      </c>
      <c r="Z1552" s="77"/>
      <c r="AA1552" s="77"/>
      <c r="AB1552" s="77"/>
      <c r="AC1552" s="80" t="s">
        <v>10558</v>
      </c>
      <c r="AD1552" s="77" t="s">
        <v>10617</v>
      </c>
      <c r="AE1552" s="83" t="str">
        <f>HYPERLINK("https://twitter.com/leiamoneytimes/status/1661374935539888130")</f>
        <v>https://twitter.com/leiamoneytimes/status/1661374935539888130</v>
      </c>
      <c r="AF1552" s="79">
        <v>45070.592893518522</v>
      </c>
      <c r="AG1552" s="85">
        <v>45070</v>
      </c>
      <c r="AH1552" s="80" t="s">
        <v>11988</v>
      </c>
      <c r="AI1552" s="77" t="b">
        <v>0</v>
      </c>
      <c r="AJ1552" s="77"/>
      <c r="AK1552" s="77"/>
      <c r="AL1552" s="77"/>
      <c r="AM1552" s="77"/>
      <c r="AN1552" s="77"/>
      <c r="AO1552" s="77"/>
      <c r="AP1552" s="77"/>
      <c r="AQ1552" s="77"/>
      <c r="AR1552" s="77"/>
      <c r="AS1552" s="77"/>
      <c r="AT1552" s="77"/>
      <c r="AU1552" s="77"/>
      <c r="AV1552" s="83" t="str">
        <f>HYPERLINK("https://pbs.twimg.com/profile_images/1559883556846977024/bXHnQFY0_normal.jpg")</f>
        <v>https://pbs.twimg.com/profile_images/1559883556846977024/bXHnQFY0_normal.jpg</v>
      </c>
      <c r="AW1552" s="80" t="s">
        <v>17419</v>
      </c>
      <c r="AX1552" s="80" t="s">
        <v>17419</v>
      </c>
      <c r="AY1552" s="77"/>
      <c r="AZ1552" s="80" t="s">
        <v>20380</v>
      </c>
      <c r="BA1552" s="80" t="s">
        <v>20380</v>
      </c>
      <c r="BB1552" s="80" t="s">
        <v>20380</v>
      </c>
      <c r="BC1552" s="80" t="s">
        <v>17419</v>
      </c>
      <c r="BD1552" s="77">
        <v>51150679</v>
      </c>
      <c r="BE1552" s="77"/>
      <c r="BF1552" s="77"/>
      <c r="BG1552" s="77"/>
      <c r="BH1552" s="77"/>
      <c r="BI1552" s="77"/>
    </row>
    <row r="1553" spans="1:61" x14ac:dyDescent="0.25">
      <c r="A1553" s="62" t="s">
        <v>790</v>
      </c>
      <c r="B1553" s="62" t="s">
        <v>790</v>
      </c>
      <c r="C1553" s="63"/>
      <c r="D1553" s="64"/>
      <c r="E1553" s="65"/>
      <c r="F1553" s="66"/>
      <c r="G1553" s="63"/>
      <c r="H1553" s="67"/>
      <c r="I1553" s="68"/>
      <c r="J1553" s="68"/>
      <c r="K1553" s="32"/>
      <c r="L1553" s="75">
        <v>1553</v>
      </c>
      <c r="M1553" s="75"/>
      <c r="N1553" s="70"/>
      <c r="O1553" s="77" t="s">
        <v>179</v>
      </c>
      <c r="P1553" s="79">
        <v>45070.512673611112</v>
      </c>
      <c r="Q1553" s="77" t="s">
        <v>3449</v>
      </c>
      <c r="R1553" s="77">
        <v>0</v>
      </c>
      <c r="S1553" s="77">
        <v>6</v>
      </c>
      <c r="T1553" s="77">
        <v>0</v>
      </c>
      <c r="U1553" s="77">
        <v>0</v>
      </c>
      <c r="V1553" s="77">
        <v>1204</v>
      </c>
      <c r="W1553" s="80" t="s">
        <v>6969</v>
      </c>
      <c r="X1553" s="83" t="str">
        <f>HYPERLINK("https://www.moneytimes.com.br/dolar-recua-apos-camara-aprovar-texto-base-do-arcabouco-mas-cautela-permanece-sobre-divida-dos-eua/")</f>
        <v>https://www.moneytimes.com.br/dolar-recua-apos-camara-aprovar-texto-base-do-arcabouco-mas-cautela-permanece-sobre-divida-dos-eua/</v>
      </c>
      <c r="Y1553" s="77" t="s">
        <v>8611</v>
      </c>
      <c r="Z1553" s="77"/>
      <c r="AA1553" s="77"/>
      <c r="AB1553" s="77"/>
      <c r="AC1553" s="80" t="s">
        <v>10558</v>
      </c>
      <c r="AD1553" s="77" t="s">
        <v>10617</v>
      </c>
      <c r="AE1553" s="83" t="str">
        <f>HYPERLINK("https://twitter.com/leiamoneytimes/status/1661345865305403394")</f>
        <v>https://twitter.com/leiamoneytimes/status/1661345865305403394</v>
      </c>
      <c r="AF1553" s="79">
        <v>45070.512673611112</v>
      </c>
      <c r="AG1553" s="85">
        <v>45070</v>
      </c>
      <c r="AH1553" s="80" t="s">
        <v>11989</v>
      </c>
      <c r="AI1553" s="77" t="b">
        <v>0</v>
      </c>
      <c r="AJ1553" s="77"/>
      <c r="AK1553" s="77"/>
      <c r="AL1553" s="77"/>
      <c r="AM1553" s="77"/>
      <c r="AN1553" s="77"/>
      <c r="AO1553" s="77"/>
      <c r="AP1553" s="77"/>
      <c r="AQ1553" s="77"/>
      <c r="AR1553" s="77"/>
      <c r="AS1553" s="77"/>
      <c r="AT1553" s="77"/>
      <c r="AU1553" s="77"/>
      <c r="AV1553" s="83" t="str">
        <f>HYPERLINK("https://pbs.twimg.com/profile_images/1559883556846977024/bXHnQFY0_normal.jpg")</f>
        <v>https://pbs.twimg.com/profile_images/1559883556846977024/bXHnQFY0_normal.jpg</v>
      </c>
      <c r="AW1553" s="80" t="s">
        <v>17420</v>
      </c>
      <c r="AX1553" s="80" t="s">
        <v>17420</v>
      </c>
      <c r="AY1553" s="77"/>
      <c r="AZ1553" s="80" t="s">
        <v>20380</v>
      </c>
      <c r="BA1553" s="80" t="s">
        <v>20380</v>
      </c>
      <c r="BB1553" s="80" t="s">
        <v>20380</v>
      </c>
      <c r="BC1553" s="80" t="s">
        <v>17420</v>
      </c>
      <c r="BD1553" s="77">
        <v>51150679</v>
      </c>
      <c r="BE1553" s="77"/>
      <c r="BF1553" s="77"/>
      <c r="BG1553" s="77"/>
      <c r="BH1553" s="77"/>
      <c r="BI1553" s="77"/>
    </row>
    <row r="1554" spans="1:61" x14ac:dyDescent="0.25">
      <c r="A1554" s="62" t="s">
        <v>790</v>
      </c>
      <c r="B1554" s="62" t="s">
        <v>790</v>
      </c>
      <c r="C1554" s="63"/>
      <c r="D1554" s="64"/>
      <c r="E1554" s="65"/>
      <c r="F1554" s="66"/>
      <c r="G1554" s="63"/>
      <c r="H1554" s="67"/>
      <c r="I1554" s="68"/>
      <c r="J1554" s="68"/>
      <c r="K1554" s="32"/>
      <c r="L1554" s="75">
        <v>1554</v>
      </c>
      <c r="M1554" s="75"/>
      <c r="N1554" s="70"/>
      <c r="O1554" s="77" t="s">
        <v>179</v>
      </c>
      <c r="P1554" s="79">
        <v>45069.578402777777</v>
      </c>
      <c r="Q1554" s="77" t="s">
        <v>3450</v>
      </c>
      <c r="R1554" s="77">
        <v>0</v>
      </c>
      <c r="S1554" s="77">
        <v>7</v>
      </c>
      <c r="T1554" s="77">
        <v>1</v>
      </c>
      <c r="U1554" s="77">
        <v>0</v>
      </c>
      <c r="V1554" s="77">
        <v>1354</v>
      </c>
      <c r="W1554" s="80" t="s">
        <v>6970</v>
      </c>
      <c r="X1554" s="83" t="str">
        <f>HYPERLINK("https://www.moneytimes.com.br/banco-central-nao-e-sadico-e-corte-nos-juros-pode-estar-proximo-avalia-economista-e-ex-presidente-do-bc/")</f>
        <v>https://www.moneytimes.com.br/banco-central-nao-e-sadico-e-corte-nos-juros-pode-estar-proximo-avalia-economista-e-ex-presidente-do-bc/</v>
      </c>
      <c r="Y1554" s="77" t="s">
        <v>8611</v>
      </c>
      <c r="Z1554" s="77"/>
      <c r="AA1554" s="77"/>
      <c r="AB1554" s="77"/>
      <c r="AC1554" s="80" t="s">
        <v>10558</v>
      </c>
      <c r="AD1554" s="77" t="s">
        <v>10617</v>
      </c>
      <c r="AE1554" s="83" t="str">
        <f>HYPERLINK("https://twitter.com/leiamoneytimes/status/1661007299865989120")</f>
        <v>https://twitter.com/leiamoneytimes/status/1661007299865989120</v>
      </c>
      <c r="AF1554" s="79">
        <v>45069.578402777777</v>
      </c>
      <c r="AG1554" s="85">
        <v>45069</v>
      </c>
      <c r="AH1554" s="80" t="s">
        <v>11990</v>
      </c>
      <c r="AI1554" s="77" t="b">
        <v>0</v>
      </c>
      <c r="AJ1554" s="77"/>
      <c r="AK1554" s="77"/>
      <c r="AL1554" s="77"/>
      <c r="AM1554" s="77"/>
      <c r="AN1554" s="77"/>
      <c r="AO1554" s="77"/>
      <c r="AP1554" s="77"/>
      <c r="AQ1554" s="77"/>
      <c r="AR1554" s="77"/>
      <c r="AS1554" s="77"/>
      <c r="AT1554" s="77"/>
      <c r="AU1554" s="77"/>
      <c r="AV1554" s="83" t="str">
        <f>HYPERLINK("https://pbs.twimg.com/profile_images/1559883556846977024/bXHnQFY0_normal.jpg")</f>
        <v>https://pbs.twimg.com/profile_images/1559883556846977024/bXHnQFY0_normal.jpg</v>
      </c>
      <c r="AW1554" s="80" t="s">
        <v>17421</v>
      </c>
      <c r="AX1554" s="80" t="s">
        <v>17421</v>
      </c>
      <c r="AY1554" s="77"/>
      <c r="AZ1554" s="80" t="s">
        <v>20380</v>
      </c>
      <c r="BA1554" s="80" t="s">
        <v>20380</v>
      </c>
      <c r="BB1554" s="80" t="s">
        <v>20380</v>
      </c>
      <c r="BC1554" s="80" t="s">
        <v>17421</v>
      </c>
      <c r="BD1554" s="77">
        <v>51150679</v>
      </c>
      <c r="BE1554" s="77"/>
      <c r="BF1554" s="77"/>
      <c r="BG1554" s="77"/>
      <c r="BH1554" s="77"/>
      <c r="BI1554" s="77"/>
    </row>
    <row r="1555" spans="1:61" x14ac:dyDescent="0.25">
      <c r="A1555" s="62" t="s">
        <v>790</v>
      </c>
      <c r="B1555" s="62" t="s">
        <v>790</v>
      </c>
      <c r="C1555" s="63"/>
      <c r="D1555" s="64"/>
      <c r="E1555" s="65"/>
      <c r="F1555" s="66"/>
      <c r="G1555" s="63"/>
      <c r="H1555" s="67"/>
      <c r="I1555" s="68"/>
      <c r="J1555" s="68"/>
      <c r="K1555" s="32"/>
      <c r="L1555" s="75">
        <v>1555</v>
      </c>
      <c r="M1555" s="75"/>
      <c r="N1555" s="70"/>
      <c r="O1555" s="77" t="s">
        <v>179</v>
      </c>
      <c r="P1555" s="79">
        <v>45075.520451388889</v>
      </c>
      <c r="Q1555" s="77" t="s">
        <v>3451</v>
      </c>
      <c r="R1555" s="77">
        <v>0</v>
      </c>
      <c r="S1555" s="77">
        <v>6</v>
      </c>
      <c r="T1555" s="77">
        <v>0</v>
      </c>
      <c r="U1555" s="77">
        <v>0</v>
      </c>
      <c r="V1555" s="77">
        <v>1145</v>
      </c>
      <c r="W1555" s="80" t="s">
        <v>6966</v>
      </c>
      <c r="X1555" s="83" t="str">
        <f>HYPERLINK("https://www.moneytimes.com.br/dolar-tem-leve-alta-em-sessao-de-volume-reduzido-apos-acordo-sobre-divida-dos-eua/")</f>
        <v>https://www.moneytimes.com.br/dolar-tem-leve-alta-em-sessao-de-volume-reduzido-apos-acordo-sobre-divida-dos-eua/</v>
      </c>
      <c r="Y1555" s="77" t="s">
        <v>8611</v>
      </c>
      <c r="Z1555" s="77"/>
      <c r="AA1555" s="77"/>
      <c r="AB1555" s="77"/>
      <c r="AC1555" s="80" t="s">
        <v>10558</v>
      </c>
      <c r="AD1555" s="77" t="s">
        <v>10617</v>
      </c>
      <c r="AE1555" s="83" t="str">
        <f>HYPERLINK("https://twitter.com/leiamoneytimes/status/1663160623541231618")</f>
        <v>https://twitter.com/leiamoneytimes/status/1663160623541231618</v>
      </c>
      <c r="AF1555" s="79">
        <v>45075.520451388889</v>
      </c>
      <c r="AG1555" s="85">
        <v>45075</v>
      </c>
      <c r="AH1555" s="80" t="s">
        <v>11991</v>
      </c>
      <c r="AI1555" s="77" t="b">
        <v>0</v>
      </c>
      <c r="AJ1555" s="77"/>
      <c r="AK1555" s="77"/>
      <c r="AL1555" s="77"/>
      <c r="AM1555" s="77"/>
      <c r="AN1555" s="77"/>
      <c r="AO1555" s="77"/>
      <c r="AP1555" s="77"/>
      <c r="AQ1555" s="77"/>
      <c r="AR1555" s="77"/>
      <c r="AS1555" s="77"/>
      <c r="AT1555" s="77"/>
      <c r="AU1555" s="77"/>
      <c r="AV1555" s="83" t="str">
        <f>HYPERLINK("https://pbs.twimg.com/profile_images/1559883556846977024/bXHnQFY0_normal.jpg")</f>
        <v>https://pbs.twimg.com/profile_images/1559883556846977024/bXHnQFY0_normal.jpg</v>
      </c>
      <c r="AW1555" s="80" t="s">
        <v>17422</v>
      </c>
      <c r="AX1555" s="80" t="s">
        <v>17422</v>
      </c>
      <c r="AY1555" s="77"/>
      <c r="AZ1555" s="80" t="s">
        <v>20380</v>
      </c>
      <c r="BA1555" s="80" t="s">
        <v>20380</v>
      </c>
      <c r="BB1555" s="80" t="s">
        <v>20380</v>
      </c>
      <c r="BC1555" s="80" t="s">
        <v>17422</v>
      </c>
      <c r="BD1555" s="77">
        <v>51150679</v>
      </c>
      <c r="BE1555" s="77"/>
      <c r="BF1555" s="77"/>
      <c r="BG1555" s="77"/>
      <c r="BH1555" s="77"/>
      <c r="BI1555" s="77"/>
    </row>
    <row r="1556" spans="1:61" x14ac:dyDescent="0.25">
      <c r="A1556" s="62" t="s">
        <v>790</v>
      </c>
      <c r="B1556" s="62" t="s">
        <v>790</v>
      </c>
      <c r="C1556" s="63"/>
      <c r="D1556" s="64"/>
      <c r="E1556" s="65"/>
      <c r="F1556" s="66"/>
      <c r="G1556" s="63"/>
      <c r="H1556" s="67"/>
      <c r="I1556" s="68"/>
      <c r="J1556" s="68"/>
      <c r="K1556" s="32"/>
      <c r="L1556" s="75">
        <v>1556</v>
      </c>
      <c r="M1556" s="75"/>
      <c r="N1556" s="70"/>
      <c r="O1556" s="77" t="s">
        <v>179</v>
      </c>
      <c r="P1556" s="79">
        <v>45075.492407407408</v>
      </c>
      <c r="Q1556" s="77" t="s">
        <v>3452</v>
      </c>
      <c r="R1556" s="77">
        <v>2</v>
      </c>
      <c r="S1556" s="77">
        <v>4</v>
      </c>
      <c r="T1556" s="77">
        <v>1</v>
      </c>
      <c r="U1556" s="77">
        <v>0</v>
      </c>
      <c r="V1556" s="77">
        <v>1568</v>
      </c>
      <c r="W1556" s="80" t="s">
        <v>6971</v>
      </c>
      <c r="X1556" s="83" t="str">
        <f>HYPERLINK("https://www.moneytimes.com.br/projecao-de-inflacao-segue-em-queda-com-arcabouco-fiscal-no-senado-confira-o-focus-desta-segunda-29/")</f>
        <v>https://www.moneytimes.com.br/projecao-de-inflacao-segue-em-queda-com-arcabouco-fiscal-no-senado-confira-o-focus-desta-segunda-29/</v>
      </c>
      <c r="Y1556" s="77" t="s">
        <v>8611</v>
      </c>
      <c r="Z1556" s="77"/>
      <c r="AA1556" s="77"/>
      <c r="AB1556" s="77"/>
      <c r="AC1556" s="80" t="s">
        <v>10558</v>
      </c>
      <c r="AD1556" s="77" t="s">
        <v>10617</v>
      </c>
      <c r="AE1556" s="83" t="str">
        <f>HYPERLINK("https://twitter.com/leiamoneytimes/status/1663150460893642752")</f>
        <v>https://twitter.com/leiamoneytimes/status/1663150460893642752</v>
      </c>
      <c r="AF1556" s="79">
        <v>45075.492407407408</v>
      </c>
      <c r="AG1556" s="85">
        <v>45075</v>
      </c>
      <c r="AH1556" s="80" t="s">
        <v>11992</v>
      </c>
      <c r="AI1556" s="77" t="b">
        <v>0</v>
      </c>
      <c r="AJ1556" s="77"/>
      <c r="AK1556" s="77"/>
      <c r="AL1556" s="77"/>
      <c r="AM1556" s="77"/>
      <c r="AN1556" s="77"/>
      <c r="AO1556" s="77"/>
      <c r="AP1556" s="77"/>
      <c r="AQ1556" s="77"/>
      <c r="AR1556" s="77"/>
      <c r="AS1556" s="77"/>
      <c r="AT1556" s="77"/>
      <c r="AU1556" s="77"/>
      <c r="AV1556" s="83" t="str">
        <f>HYPERLINK("https://pbs.twimg.com/profile_images/1559883556846977024/bXHnQFY0_normal.jpg")</f>
        <v>https://pbs.twimg.com/profile_images/1559883556846977024/bXHnQFY0_normal.jpg</v>
      </c>
      <c r="AW1556" s="80" t="s">
        <v>17423</v>
      </c>
      <c r="AX1556" s="80" t="s">
        <v>17423</v>
      </c>
      <c r="AY1556" s="77"/>
      <c r="AZ1556" s="80" t="s">
        <v>20380</v>
      </c>
      <c r="BA1556" s="80" t="s">
        <v>20380</v>
      </c>
      <c r="BB1556" s="80" t="s">
        <v>20380</v>
      </c>
      <c r="BC1556" s="80" t="s">
        <v>17423</v>
      </c>
      <c r="BD1556" s="77">
        <v>51150679</v>
      </c>
      <c r="BE1556" s="77"/>
      <c r="BF1556" s="77"/>
      <c r="BG1556" s="77"/>
      <c r="BH1556" s="77"/>
      <c r="BI1556" s="77"/>
    </row>
    <row r="1557" spans="1:61" x14ac:dyDescent="0.25">
      <c r="A1557" s="62" t="s">
        <v>790</v>
      </c>
      <c r="B1557" s="62" t="s">
        <v>790</v>
      </c>
      <c r="C1557" s="63"/>
      <c r="D1557" s="64"/>
      <c r="E1557" s="65"/>
      <c r="F1557" s="66"/>
      <c r="G1557" s="63"/>
      <c r="H1557" s="67"/>
      <c r="I1557" s="68"/>
      <c r="J1557" s="68"/>
      <c r="K1557" s="32"/>
      <c r="L1557" s="75">
        <v>1557</v>
      </c>
      <c r="M1557" s="75"/>
      <c r="N1557" s="70"/>
      <c r="O1557" s="77" t="s">
        <v>179</v>
      </c>
      <c r="P1557" s="79">
        <v>45173.796446759261</v>
      </c>
      <c r="Q1557" s="77" t="s">
        <v>3453</v>
      </c>
      <c r="R1557" s="77">
        <v>10</v>
      </c>
      <c r="S1557" s="77">
        <v>82</v>
      </c>
      <c r="T1557" s="77">
        <v>10</v>
      </c>
      <c r="U1557" s="77">
        <v>3</v>
      </c>
      <c r="V1557" s="77">
        <v>3983</v>
      </c>
      <c r="W1557" s="80" t="s">
        <v>6922</v>
      </c>
      <c r="X1557" s="83" t="str">
        <f>HYPERLINK("https://www.moneytimes.com.br/campos-neto-diz-que-surpresas-positivas-no-pib-sao-resultado-de-reformas-estruturais-feitas-nos-ultimos-anos/")</f>
        <v>https://www.moneytimes.com.br/campos-neto-diz-que-surpresas-positivas-no-pib-sao-resultado-de-reformas-estruturais-feitas-nos-ultimos-anos/</v>
      </c>
      <c r="Y1557" s="77" t="s">
        <v>8611</v>
      </c>
      <c r="Z1557" s="77"/>
      <c r="AA1557" s="77"/>
      <c r="AB1557" s="77"/>
      <c r="AC1557" s="80" t="s">
        <v>10558</v>
      </c>
      <c r="AD1557" s="77" t="s">
        <v>10617</v>
      </c>
      <c r="AE1557" s="83" t="str">
        <f>HYPERLINK("https://twitter.com/leiamoneytimes/status/1698774651298615380")</f>
        <v>https://twitter.com/leiamoneytimes/status/1698774651298615380</v>
      </c>
      <c r="AF1557" s="79">
        <v>45173.796446759261</v>
      </c>
      <c r="AG1557" s="85">
        <v>45173</v>
      </c>
      <c r="AH1557" s="80" t="s">
        <v>11993</v>
      </c>
      <c r="AI1557" s="77" t="b">
        <v>0</v>
      </c>
      <c r="AJ1557" s="77"/>
      <c r="AK1557" s="77"/>
      <c r="AL1557" s="77"/>
      <c r="AM1557" s="77"/>
      <c r="AN1557" s="77"/>
      <c r="AO1557" s="77"/>
      <c r="AP1557" s="77"/>
      <c r="AQ1557" s="77"/>
      <c r="AR1557" s="77"/>
      <c r="AS1557" s="77"/>
      <c r="AT1557" s="77"/>
      <c r="AU1557" s="77"/>
      <c r="AV1557" s="83" t="str">
        <f>HYPERLINK("https://pbs.twimg.com/profile_images/1559883556846977024/bXHnQFY0_normal.jpg")</f>
        <v>https://pbs.twimg.com/profile_images/1559883556846977024/bXHnQFY0_normal.jpg</v>
      </c>
      <c r="AW1557" s="80" t="s">
        <v>17424</v>
      </c>
      <c r="AX1557" s="80" t="s">
        <v>17424</v>
      </c>
      <c r="AY1557" s="77"/>
      <c r="AZ1557" s="80" t="s">
        <v>20380</v>
      </c>
      <c r="BA1557" s="80" t="s">
        <v>20380</v>
      </c>
      <c r="BB1557" s="80" t="s">
        <v>20380</v>
      </c>
      <c r="BC1557" s="80" t="s">
        <v>17424</v>
      </c>
      <c r="BD1557" s="77">
        <v>51150679</v>
      </c>
      <c r="BE1557" s="77"/>
      <c r="BF1557" s="77"/>
      <c r="BG1557" s="77"/>
      <c r="BH1557" s="77"/>
      <c r="BI1557" s="77"/>
    </row>
    <row r="1558" spans="1:61" x14ac:dyDescent="0.25">
      <c r="A1558" s="62" t="s">
        <v>790</v>
      </c>
      <c r="B1558" s="62" t="s">
        <v>790</v>
      </c>
      <c r="C1558" s="63"/>
      <c r="D1558" s="64"/>
      <c r="E1558" s="65"/>
      <c r="F1558" s="66"/>
      <c r="G1558" s="63"/>
      <c r="H1558" s="67"/>
      <c r="I1558" s="68"/>
      <c r="J1558" s="68"/>
      <c r="K1558" s="32"/>
      <c r="L1558" s="75">
        <v>1558</v>
      </c>
      <c r="M1558" s="75"/>
      <c r="N1558" s="70"/>
      <c r="O1558" s="77" t="s">
        <v>179</v>
      </c>
      <c r="P1558" s="79">
        <v>45173.756168981483</v>
      </c>
      <c r="Q1558" s="77" t="s">
        <v>3454</v>
      </c>
      <c r="R1558" s="77">
        <v>0</v>
      </c>
      <c r="S1558" s="77">
        <v>0</v>
      </c>
      <c r="T1558" s="77">
        <v>3</v>
      </c>
      <c r="U1558" s="77">
        <v>0</v>
      </c>
      <c r="V1558" s="77">
        <v>1161</v>
      </c>
      <c r="W1558" s="80" t="s">
        <v>6931</v>
      </c>
      <c r="X1558" s="83" t="str">
        <f>HYPERLINK("https://www.moneytimes.com.br/o-valor-do-maior-pix-ja-feito-segundo-o-bc/")</f>
        <v>https://www.moneytimes.com.br/o-valor-do-maior-pix-ja-feito-segundo-o-bc/</v>
      </c>
      <c r="Y1558" s="77" t="s">
        <v>8611</v>
      </c>
      <c r="Z1558" s="77"/>
      <c r="AA1558" s="77"/>
      <c r="AB1558" s="77"/>
      <c r="AC1558" s="80" t="s">
        <v>10558</v>
      </c>
      <c r="AD1558" s="77" t="s">
        <v>10617</v>
      </c>
      <c r="AE1558" s="83" t="str">
        <f>HYPERLINK("https://twitter.com/leiamoneytimes/status/1698760055552663961")</f>
        <v>https://twitter.com/leiamoneytimes/status/1698760055552663961</v>
      </c>
      <c r="AF1558" s="79">
        <v>45173.756168981483</v>
      </c>
      <c r="AG1558" s="85">
        <v>45173</v>
      </c>
      <c r="AH1558" s="80" t="s">
        <v>11994</v>
      </c>
      <c r="AI1558" s="77" t="b">
        <v>0</v>
      </c>
      <c r="AJ1558" s="77"/>
      <c r="AK1558" s="77"/>
      <c r="AL1558" s="77"/>
      <c r="AM1558" s="77"/>
      <c r="AN1558" s="77"/>
      <c r="AO1558" s="77"/>
      <c r="AP1558" s="77"/>
      <c r="AQ1558" s="77"/>
      <c r="AR1558" s="77"/>
      <c r="AS1558" s="77"/>
      <c r="AT1558" s="77"/>
      <c r="AU1558" s="77"/>
      <c r="AV1558" s="83" t="str">
        <f>HYPERLINK("https://pbs.twimg.com/profile_images/1559883556846977024/bXHnQFY0_normal.jpg")</f>
        <v>https://pbs.twimg.com/profile_images/1559883556846977024/bXHnQFY0_normal.jpg</v>
      </c>
      <c r="AW1558" s="80" t="s">
        <v>17425</v>
      </c>
      <c r="AX1558" s="80" t="s">
        <v>17425</v>
      </c>
      <c r="AY1558" s="77"/>
      <c r="AZ1558" s="80" t="s">
        <v>20380</v>
      </c>
      <c r="BA1558" s="80" t="s">
        <v>20380</v>
      </c>
      <c r="BB1558" s="80" t="s">
        <v>20380</v>
      </c>
      <c r="BC1558" s="80" t="s">
        <v>17425</v>
      </c>
      <c r="BD1558" s="77">
        <v>51150679</v>
      </c>
      <c r="BE1558" s="77"/>
      <c r="BF1558" s="77"/>
      <c r="BG1558" s="77"/>
      <c r="BH1558" s="77"/>
      <c r="BI1558" s="77"/>
    </row>
    <row r="1559" spans="1:61" x14ac:dyDescent="0.25">
      <c r="A1559" s="62" t="s">
        <v>790</v>
      </c>
      <c r="B1559" s="62" t="s">
        <v>790</v>
      </c>
      <c r="C1559" s="63"/>
      <c r="D1559" s="64"/>
      <c r="E1559" s="65"/>
      <c r="F1559" s="66"/>
      <c r="G1559" s="63"/>
      <c r="H1559" s="67"/>
      <c r="I1559" s="68"/>
      <c r="J1559" s="68"/>
      <c r="K1559" s="32"/>
      <c r="L1559" s="75">
        <v>1559</v>
      </c>
      <c r="M1559" s="75"/>
      <c r="N1559" s="70"/>
      <c r="O1559" s="77" t="s">
        <v>179</v>
      </c>
      <c r="P1559" s="79">
        <v>45163.915150462963</v>
      </c>
      <c r="Q1559" s="77" t="s">
        <v>3455</v>
      </c>
      <c r="R1559" s="77">
        <v>0</v>
      </c>
      <c r="S1559" s="77">
        <v>3</v>
      </c>
      <c r="T1559" s="77">
        <v>1</v>
      </c>
      <c r="U1559" s="77">
        <v>0</v>
      </c>
      <c r="V1559" s="77">
        <v>1374</v>
      </c>
      <c r="W1559" s="80" t="s">
        <v>6972</v>
      </c>
      <c r="X1559" s="83" t="str">
        <f>HYPERLINK("https://www.moneytimes.com.br/corte-da-selic-vem-mais-fraco-saiba-o-que-diz-campos-neto/")</f>
        <v>https://www.moneytimes.com.br/corte-da-selic-vem-mais-fraco-saiba-o-que-diz-campos-neto/</v>
      </c>
      <c r="Y1559" s="77" t="s">
        <v>8611</v>
      </c>
      <c r="Z1559" s="77"/>
      <c r="AA1559" s="77"/>
      <c r="AB1559" s="77"/>
      <c r="AC1559" s="80" t="s">
        <v>10558</v>
      </c>
      <c r="AD1559" s="77" t="s">
        <v>10617</v>
      </c>
      <c r="AE1559" s="83" t="str">
        <f>HYPERLINK("https://twitter.com/leiamoneytimes/status/1695193792125534464")</f>
        <v>https://twitter.com/leiamoneytimes/status/1695193792125534464</v>
      </c>
      <c r="AF1559" s="79">
        <v>45163.915150462963</v>
      </c>
      <c r="AG1559" s="85">
        <v>45163</v>
      </c>
      <c r="AH1559" s="80" t="s">
        <v>11995</v>
      </c>
      <c r="AI1559" s="77" t="b">
        <v>0</v>
      </c>
      <c r="AJ1559" s="77"/>
      <c r="AK1559" s="77"/>
      <c r="AL1559" s="77"/>
      <c r="AM1559" s="77"/>
      <c r="AN1559" s="77"/>
      <c r="AO1559" s="77"/>
      <c r="AP1559" s="77"/>
      <c r="AQ1559" s="77"/>
      <c r="AR1559" s="77"/>
      <c r="AS1559" s="77"/>
      <c r="AT1559" s="77"/>
      <c r="AU1559" s="77"/>
      <c r="AV1559" s="83" t="str">
        <f>HYPERLINK("https://pbs.twimg.com/profile_images/1559883556846977024/bXHnQFY0_normal.jpg")</f>
        <v>https://pbs.twimg.com/profile_images/1559883556846977024/bXHnQFY0_normal.jpg</v>
      </c>
      <c r="AW1559" s="80" t="s">
        <v>17426</v>
      </c>
      <c r="AX1559" s="80" t="s">
        <v>17426</v>
      </c>
      <c r="AY1559" s="77"/>
      <c r="AZ1559" s="80" t="s">
        <v>20380</v>
      </c>
      <c r="BA1559" s="80" t="s">
        <v>20380</v>
      </c>
      <c r="BB1559" s="80" t="s">
        <v>20380</v>
      </c>
      <c r="BC1559" s="80" t="s">
        <v>17426</v>
      </c>
      <c r="BD1559" s="77">
        <v>51150679</v>
      </c>
      <c r="BE1559" s="77"/>
      <c r="BF1559" s="77"/>
      <c r="BG1559" s="77"/>
      <c r="BH1559" s="77"/>
      <c r="BI1559" s="77"/>
    </row>
    <row r="1560" spans="1:61" x14ac:dyDescent="0.25">
      <c r="A1560" s="62" t="s">
        <v>790</v>
      </c>
      <c r="B1560" s="62" t="s">
        <v>790</v>
      </c>
      <c r="C1560" s="63"/>
      <c r="D1560" s="64"/>
      <c r="E1560" s="65"/>
      <c r="F1560" s="66"/>
      <c r="G1560" s="63"/>
      <c r="H1560" s="67"/>
      <c r="I1560" s="68"/>
      <c r="J1560" s="68"/>
      <c r="K1560" s="32"/>
      <c r="L1560" s="75">
        <v>1560</v>
      </c>
      <c r="M1560" s="75"/>
      <c r="N1560" s="70"/>
      <c r="O1560" s="77" t="s">
        <v>179</v>
      </c>
      <c r="P1560" s="79">
        <v>45163.839548611111</v>
      </c>
      <c r="Q1560" s="77" t="s">
        <v>3456</v>
      </c>
      <c r="R1560" s="77">
        <v>1</v>
      </c>
      <c r="S1560" s="77">
        <v>4</v>
      </c>
      <c r="T1560" s="77">
        <v>1</v>
      </c>
      <c r="U1560" s="77">
        <v>0</v>
      </c>
      <c r="V1560" s="77">
        <v>1416</v>
      </c>
      <c r="W1560" s="80" t="s">
        <v>6973</v>
      </c>
      <c r="X1560" s="83" t="str">
        <f>HYPERLINK("https://www.moneytimes.com.br/autoridades-terao-acesso-instantaneo-a-dados-do-pix-entenda-nova-medida-do-bc-contra-fraudes/")</f>
        <v>https://www.moneytimes.com.br/autoridades-terao-acesso-instantaneo-a-dados-do-pix-entenda-nova-medida-do-bc-contra-fraudes/</v>
      </c>
      <c r="Y1560" s="77" t="s">
        <v>8611</v>
      </c>
      <c r="Z1560" s="77"/>
      <c r="AA1560" s="77"/>
      <c r="AB1560" s="77"/>
      <c r="AC1560" s="80" t="s">
        <v>10558</v>
      </c>
      <c r="AD1560" s="77" t="s">
        <v>10617</v>
      </c>
      <c r="AE1560" s="83" t="str">
        <f>HYPERLINK("https://twitter.com/leiamoneytimes/status/1695166394952765469")</f>
        <v>https://twitter.com/leiamoneytimes/status/1695166394952765469</v>
      </c>
      <c r="AF1560" s="79">
        <v>45163.839548611111</v>
      </c>
      <c r="AG1560" s="85">
        <v>45163</v>
      </c>
      <c r="AH1560" s="80" t="s">
        <v>11996</v>
      </c>
      <c r="AI1560" s="77" t="b">
        <v>0</v>
      </c>
      <c r="AJ1560" s="77"/>
      <c r="AK1560" s="77"/>
      <c r="AL1560" s="77"/>
      <c r="AM1560" s="77"/>
      <c r="AN1560" s="77"/>
      <c r="AO1560" s="77"/>
      <c r="AP1560" s="77"/>
      <c r="AQ1560" s="77"/>
      <c r="AR1560" s="77"/>
      <c r="AS1560" s="77"/>
      <c r="AT1560" s="77"/>
      <c r="AU1560" s="77"/>
      <c r="AV1560" s="83" t="str">
        <f>HYPERLINK("https://pbs.twimg.com/profile_images/1559883556846977024/bXHnQFY0_normal.jpg")</f>
        <v>https://pbs.twimg.com/profile_images/1559883556846977024/bXHnQFY0_normal.jpg</v>
      </c>
      <c r="AW1560" s="80" t="s">
        <v>17427</v>
      </c>
      <c r="AX1560" s="80" t="s">
        <v>17427</v>
      </c>
      <c r="AY1560" s="77"/>
      <c r="AZ1560" s="80" t="s">
        <v>20380</v>
      </c>
      <c r="BA1560" s="80" t="s">
        <v>20380</v>
      </c>
      <c r="BB1560" s="80" t="s">
        <v>20380</v>
      </c>
      <c r="BC1560" s="80" t="s">
        <v>17427</v>
      </c>
      <c r="BD1560" s="77">
        <v>51150679</v>
      </c>
      <c r="BE1560" s="77"/>
      <c r="BF1560" s="77"/>
      <c r="BG1560" s="77"/>
      <c r="BH1560" s="77"/>
      <c r="BI1560" s="77"/>
    </row>
    <row r="1561" spans="1:61" x14ac:dyDescent="0.25">
      <c r="A1561" s="62" t="s">
        <v>790</v>
      </c>
      <c r="B1561" s="62" t="s">
        <v>790</v>
      </c>
      <c r="C1561" s="63"/>
      <c r="D1561" s="64"/>
      <c r="E1561" s="65"/>
      <c r="F1561" s="66"/>
      <c r="G1561" s="63"/>
      <c r="H1561" s="67"/>
      <c r="I1561" s="68"/>
      <c r="J1561" s="68"/>
      <c r="K1561" s="32"/>
      <c r="L1561" s="75">
        <v>1561</v>
      </c>
      <c r="M1561" s="75"/>
      <c r="N1561" s="70"/>
      <c r="O1561" s="77" t="s">
        <v>179</v>
      </c>
      <c r="P1561" s="79">
        <v>45159.492256944446</v>
      </c>
      <c r="Q1561" s="77" t="s">
        <v>3457</v>
      </c>
      <c r="R1561" s="77">
        <v>2</v>
      </c>
      <c r="S1561" s="77">
        <v>7</v>
      </c>
      <c r="T1561" s="77">
        <v>1</v>
      </c>
      <c r="U1561" s="77">
        <v>0</v>
      </c>
      <c r="V1561" s="77">
        <v>2061</v>
      </c>
      <c r="W1561" s="80" t="s">
        <v>6934</v>
      </c>
      <c r="X1561" s="83" t="str">
        <f>HYPERLINK("https://www.moneytimes.com.br/mercado-volta-a-subir-projecoes-de-inflacao-apos-alta-nos-combustiveis-confira-o-focus-desta-segunda-21/")</f>
        <v>https://www.moneytimes.com.br/mercado-volta-a-subir-projecoes-de-inflacao-apos-alta-nos-combustiveis-confira-o-focus-desta-segunda-21/</v>
      </c>
      <c r="Y1561" s="77" t="s">
        <v>8611</v>
      </c>
      <c r="Z1561" s="77"/>
      <c r="AA1561" s="77"/>
      <c r="AB1561" s="77"/>
      <c r="AC1561" s="80" t="s">
        <v>10558</v>
      </c>
      <c r="AD1561" s="77" t="s">
        <v>10617</v>
      </c>
      <c r="AE1561" s="83" t="str">
        <f>HYPERLINK("https://twitter.com/leiamoneytimes/status/1693590986109104366")</f>
        <v>https://twitter.com/leiamoneytimes/status/1693590986109104366</v>
      </c>
      <c r="AF1561" s="79">
        <v>45159.492256944446</v>
      </c>
      <c r="AG1561" s="85">
        <v>45159</v>
      </c>
      <c r="AH1561" s="80" t="s">
        <v>11997</v>
      </c>
      <c r="AI1561" s="77" t="b">
        <v>0</v>
      </c>
      <c r="AJ1561" s="77"/>
      <c r="AK1561" s="77"/>
      <c r="AL1561" s="77"/>
      <c r="AM1561" s="77"/>
      <c r="AN1561" s="77"/>
      <c r="AO1561" s="77"/>
      <c r="AP1561" s="77"/>
      <c r="AQ1561" s="77"/>
      <c r="AR1561" s="77"/>
      <c r="AS1561" s="77"/>
      <c r="AT1561" s="77"/>
      <c r="AU1561" s="77"/>
      <c r="AV1561" s="83" t="str">
        <f>HYPERLINK("https://pbs.twimg.com/profile_images/1559883556846977024/bXHnQFY0_normal.jpg")</f>
        <v>https://pbs.twimg.com/profile_images/1559883556846977024/bXHnQFY0_normal.jpg</v>
      </c>
      <c r="AW1561" s="80" t="s">
        <v>17428</v>
      </c>
      <c r="AX1561" s="80" t="s">
        <v>17428</v>
      </c>
      <c r="AY1561" s="77"/>
      <c r="AZ1561" s="80" t="s">
        <v>20380</v>
      </c>
      <c r="BA1561" s="80" t="s">
        <v>20380</v>
      </c>
      <c r="BB1561" s="80" t="s">
        <v>20380</v>
      </c>
      <c r="BC1561" s="80" t="s">
        <v>17428</v>
      </c>
      <c r="BD1561" s="77">
        <v>51150679</v>
      </c>
      <c r="BE1561" s="77"/>
      <c r="BF1561" s="77"/>
      <c r="BG1561" s="77"/>
      <c r="BH1561" s="77"/>
      <c r="BI1561" s="77"/>
    </row>
    <row r="1562" spans="1:61" x14ac:dyDescent="0.25">
      <c r="A1562" s="62" t="s">
        <v>790</v>
      </c>
      <c r="B1562" s="62" t="s">
        <v>790</v>
      </c>
      <c r="C1562" s="63"/>
      <c r="D1562" s="64"/>
      <c r="E1562" s="65"/>
      <c r="F1562" s="66"/>
      <c r="G1562" s="63"/>
      <c r="H1562" s="67"/>
      <c r="I1562" s="68"/>
      <c r="J1562" s="68"/>
      <c r="K1562" s="32"/>
      <c r="L1562" s="75">
        <v>1562</v>
      </c>
      <c r="M1562" s="75"/>
      <c r="N1562" s="70"/>
      <c r="O1562" s="77" t="s">
        <v>179</v>
      </c>
      <c r="P1562" s="79">
        <v>45158.709131944444</v>
      </c>
      <c r="Q1562" s="77" t="s">
        <v>3458</v>
      </c>
      <c r="R1562" s="77">
        <v>1</v>
      </c>
      <c r="S1562" s="77">
        <v>12</v>
      </c>
      <c r="T1562" s="77">
        <v>0</v>
      </c>
      <c r="U1562" s="77">
        <v>0</v>
      </c>
      <c r="V1562" s="77">
        <v>2391</v>
      </c>
      <c r="W1562" s="80" t="s">
        <v>6931</v>
      </c>
      <c r="X1562" s="83" t="str">
        <f>HYPERLINK("https://www.moneytimes.com.br/pix-internacional-paises-onde-ja-e-possivel-usar-o-meio-de-pagamento-do-banco-central/")</f>
        <v>https://www.moneytimes.com.br/pix-internacional-paises-onde-ja-e-possivel-usar-o-meio-de-pagamento-do-banco-central/</v>
      </c>
      <c r="Y1562" s="77" t="s">
        <v>8611</v>
      </c>
      <c r="Z1562" s="77"/>
      <c r="AA1562" s="77"/>
      <c r="AB1562" s="77"/>
      <c r="AC1562" s="80" t="s">
        <v>10558</v>
      </c>
      <c r="AD1562" s="77" t="s">
        <v>10617</v>
      </c>
      <c r="AE1562" s="83" t="str">
        <f>HYPERLINK("https://twitter.com/leiamoneytimes/status/1693307192525443325")</f>
        <v>https://twitter.com/leiamoneytimes/status/1693307192525443325</v>
      </c>
      <c r="AF1562" s="79">
        <v>45158.709131944444</v>
      </c>
      <c r="AG1562" s="85">
        <v>45158</v>
      </c>
      <c r="AH1562" s="80" t="s">
        <v>11998</v>
      </c>
      <c r="AI1562" s="77" t="b">
        <v>0</v>
      </c>
      <c r="AJ1562" s="77"/>
      <c r="AK1562" s="77"/>
      <c r="AL1562" s="77"/>
      <c r="AM1562" s="77"/>
      <c r="AN1562" s="77"/>
      <c r="AO1562" s="77"/>
      <c r="AP1562" s="77"/>
      <c r="AQ1562" s="77"/>
      <c r="AR1562" s="77"/>
      <c r="AS1562" s="77"/>
      <c r="AT1562" s="77"/>
      <c r="AU1562" s="77"/>
      <c r="AV1562" s="83" t="str">
        <f>HYPERLINK("https://pbs.twimg.com/profile_images/1559883556846977024/bXHnQFY0_normal.jpg")</f>
        <v>https://pbs.twimg.com/profile_images/1559883556846977024/bXHnQFY0_normal.jpg</v>
      </c>
      <c r="AW1562" s="80" t="s">
        <v>17429</v>
      </c>
      <c r="AX1562" s="80" t="s">
        <v>17429</v>
      </c>
      <c r="AY1562" s="77"/>
      <c r="AZ1562" s="80" t="s">
        <v>20380</v>
      </c>
      <c r="BA1562" s="80" t="s">
        <v>20380</v>
      </c>
      <c r="BB1562" s="80" t="s">
        <v>20380</v>
      </c>
      <c r="BC1562" s="80" t="s">
        <v>17429</v>
      </c>
      <c r="BD1562" s="77">
        <v>51150679</v>
      </c>
      <c r="BE1562" s="77"/>
      <c r="BF1562" s="77"/>
      <c r="BG1562" s="77"/>
      <c r="BH1562" s="77"/>
      <c r="BI1562" s="77"/>
    </row>
    <row r="1563" spans="1:61" x14ac:dyDescent="0.25">
      <c r="A1563" s="62" t="s">
        <v>790</v>
      </c>
      <c r="B1563" s="62" t="s">
        <v>790</v>
      </c>
      <c r="C1563" s="63"/>
      <c r="D1563" s="64"/>
      <c r="E1563" s="65"/>
      <c r="F1563" s="66"/>
      <c r="G1563" s="63"/>
      <c r="H1563" s="67"/>
      <c r="I1563" s="68"/>
      <c r="J1563" s="68"/>
      <c r="K1563" s="32"/>
      <c r="L1563" s="75">
        <v>1563</v>
      </c>
      <c r="M1563" s="75"/>
      <c r="N1563" s="70"/>
      <c r="O1563" s="77" t="s">
        <v>179</v>
      </c>
      <c r="P1563" s="79">
        <v>45156.796550925923</v>
      </c>
      <c r="Q1563" s="77" t="s">
        <v>3459</v>
      </c>
      <c r="R1563" s="77">
        <v>1</v>
      </c>
      <c r="S1563" s="77">
        <v>9</v>
      </c>
      <c r="T1563" s="77">
        <v>2</v>
      </c>
      <c r="U1563" s="77">
        <v>0</v>
      </c>
      <c r="V1563" s="77">
        <v>1355</v>
      </c>
      <c r="W1563" s="80" t="s">
        <v>6953</v>
      </c>
      <c r="X1563" s="83" t="str">
        <f>HYPERLINK("https://www.moneytimes.com.br/campos-neto-corte-na-selic-de-050-pp-e-apropriado-proximo-deve-ser-no-mesmo-patamar/")</f>
        <v>https://www.moneytimes.com.br/campos-neto-corte-na-selic-de-050-pp-e-apropriado-proximo-deve-ser-no-mesmo-patamar/</v>
      </c>
      <c r="Y1563" s="77" t="s">
        <v>8611</v>
      </c>
      <c r="Z1563" s="77"/>
      <c r="AA1563" s="77"/>
      <c r="AB1563" s="77"/>
      <c r="AC1563" s="80" t="s">
        <v>10558</v>
      </c>
      <c r="AD1563" s="77" t="s">
        <v>10617</v>
      </c>
      <c r="AE1563" s="83" t="str">
        <f>HYPERLINK("https://twitter.com/leiamoneytimes/status/1692614097488015408")</f>
        <v>https://twitter.com/leiamoneytimes/status/1692614097488015408</v>
      </c>
      <c r="AF1563" s="79">
        <v>45156.796550925923</v>
      </c>
      <c r="AG1563" s="85">
        <v>45156</v>
      </c>
      <c r="AH1563" s="80" t="s">
        <v>11999</v>
      </c>
      <c r="AI1563" s="77" t="b">
        <v>0</v>
      </c>
      <c r="AJ1563" s="77"/>
      <c r="AK1563" s="77"/>
      <c r="AL1563" s="77"/>
      <c r="AM1563" s="77"/>
      <c r="AN1563" s="77"/>
      <c r="AO1563" s="77"/>
      <c r="AP1563" s="77"/>
      <c r="AQ1563" s="77"/>
      <c r="AR1563" s="77"/>
      <c r="AS1563" s="77"/>
      <c r="AT1563" s="77"/>
      <c r="AU1563" s="77"/>
      <c r="AV1563" s="83" t="str">
        <f>HYPERLINK("https://pbs.twimg.com/profile_images/1559883556846977024/bXHnQFY0_normal.jpg")</f>
        <v>https://pbs.twimg.com/profile_images/1559883556846977024/bXHnQFY0_normal.jpg</v>
      </c>
      <c r="AW1563" s="80" t="s">
        <v>17430</v>
      </c>
      <c r="AX1563" s="80" t="s">
        <v>17430</v>
      </c>
      <c r="AY1563" s="77"/>
      <c r="AZ1563" s="80" t="s">
        <v>20380</v>
      </c>
      <c r="BA1563" s="80" t="s">
        <v>20380</v>
      </c>
      <c r="BB1563" s="80" t="s">
        <v>20380</v>
      </c>
      <c r="BC1563" s="80" t="s">
        <v>17430</v>
      </c>
      <c r="BD1563" s="77">
        <v>51150679</v>
      </c>
      <c r="BE1563" s="77"/>
      <c r="BF1563" s="77"/>
      <c r="BG1563" s="77"/>
      <c r="BH1563" s="77"/>
      <c r="BI1563" s="77"/>
    </row>
    <row r="1564" spans="1:61" x14ac:dyDescent="0.25">
      <c r="A1564" s="62" t="s">
        <v>790</v>
      </c>
      <c r="B1564" s="62" t="s">
        <v>790</v>
      </c>
      <c r="C1564" s="63"/>
      <c r="D1564" s="64"/>
      <c r="E1564" s="65"/>
      <c r="F1564" s="66"/>
      <c r="G1564" s="63"/>
      <c r="H1564" s="67"/>
      <c r="I1564" s="68"/>
      <c r="J1564" s="68"/>
      <c r="K1564" s="32"/>
      <c r="L1564" s="75">
        <v>1564</v>
      </c>
      <c r="M1564" s="75"/>
      <c r="N1564" s="70"/>
      <c r="O1564" s="77" t="s">
        <v>179</v>
      </c>
      <c r="P1564" s="79">
        <v>45149.768159722225</v>
      </c>
      <c r="Q1564" s="77" t="s">
        <v>3460</v>
      </c>
      <c r="R1564" s="77">
        <v>0</v>
      </c>
      <c r="S1564" s="77">
        <v>7</v>
      </c>
      <c r="T1564" s="77">
        <v>2</v>
      </c>
      <c r="U1564" s="77">
        <v>0</v>
      </c>
      <c r="V1564" s="77">
        <v>1260</v>
      </c>
      <c r="W1564" s="80" t="s">
        <v>6974</v>
      </c>
      <c r="X1564" s="83" t="str">
        <f>HYPERLINK("https://www.moneytimes.com.br/campos-neta-leva-puxao-de-orelha-apos-falar-em-extincao-do-rotativo-do-cartao-de-credito-entenda-qual-o-plano/")</f>
        <v>https://www.moneytimes.com.br/campos-neta-leva-puxao-de-orelha-apos-falar-em-extincao-do-rotativo-do-cartao-de-credito-entenda-qual-o-plano/</v>
      </c>
      <c r="Y1564" s="77" t="s">
        <v>8611</v>
      </c>
      <c r="Z1564" s="77"/>
      <c r="AA1564" s="77"/>
      <c r="AB1564" s="77"/>
      <c r="AC1564" s="80" t="s">
        <v>10558</v>
      </c>
      <c r="AD1564" s="77" t="s">
        <v>10617</v>
      </c>
      <c r="AE1564" s="83" t="str">
        <f>HYPERLINK("https://twitter.com/leiamoneytimes/status/1690067093524295680")</f>
        <v>https://twitter.com/leiamoneytimes/status/1690067093524295680</v>
      </c>
      <c r="AF1564" s="79">
        <v>45149.768159722225</v>
      </c>
      <c r="AG1564" s="85">
        <v>45149</v>
      </c>
      <c r="AH1564" s="80" t="s">
        <v>12000</v>
      </c>
      <c r="AI1564" s="77" t="b">
        <v>0</v>
      </c>
      <c r="AJ1564" s="77"/>
      <c r="AK1564" s="77"/>
      <c r="AL1564" s="77"/>
      <c r="AM1564" s="77"/>
      <c r="AN1564" s="77"/>
      <c r="AO1564" s="77"/>
      <c r="AP1564" s="77"/>
      <c r="AQ1564" s="77"/>
      <c r="AR1564" s="77"/>
      <c r="AS1564" s="77"/>
      <c r="AT1564" s="77"/>
      <c r="AU1564" s="77"/>
      <c r="AV1564" s="83" t="str">
        <f>HYPERLINK("https://pbs.twimg.com/profile_images/1559883556846977024/bXHnQFY0_normal.jpg")</f>
        <v>https://pbs.twimg.com/profile_images/1559883556846977024/bXHnQFY0_normal.jpg</v>
      </c>
      <c r="AW1564" s="80" t="s">
        <v>17431</v>
      </c>
      <c r="AX1564" s="80" t="s">
        <v>17431</v>
      </c>
      <c r="AY1564" s="77"/>
      <c r="AZ1564" s="80" t="s">
        <v>20380</v>
      </c>
      <c r="BA1564" s="80" t="s">
        <v>20380</v>
      </c>
      <c r="BB1564" s="80" t="s">
        <v>20380</v>
      </c>
      <c r="BC1564" s="80" t="s">
        <v>17431</v>
      </c>
      <c r="BD1564" s="77">
        <v>51150679</v>
      </c>
      <c r="BE1564" s="77"/>
      <c r="BF1564" s="77"/>
      <c r="BG1564" s="77"/>
      <c r="BH1564" s="77"/>
      <c r="BI1564" s="77"/>
    </row>
    <row r="1565" spans="1:61" x14ac:dyDescent="0.25">
      <c r="A1565" s="62" t="s">
        <v>790</v>
      </c>
      <c r="B1565" s="62" t="s">
        <v>790</v>
      </c>
      <c r="C1565" s="63"/>
      <c r="D1565" s="64"/>
      <c r="E1565" s="65"/>
      <c r="F1565" s="66"/>
      <c r="G1565" s="63"/>
      <c r="H1565" s="67"/>
      <c r="I1565" s="68"/>
      <c r="J1565" s="68"/>
      <c r="K1565" s="32"/>
      <c r="L1565" s="75">
        <v>1565</v>
      </c>
      <c r="M1565" s="75"/>
      <c r="N1565" s="70"/>
      <c r="O1565" s="77" t="s">
        <v>179</v>
      </c>
      <c r="P1565" s="79">
        <v>45149.66097222222</v>
      </c>
      <c r="Q1565" s="77" t="s">
        <v>3461</v>
      </c>
      <c r="R1565" s="77">
        <v>1</v>
      </c>
      <c r="S1565" s="77">
        <v>6</v>
      </c>
      <c r="T1565" s="77">
        <v>0</v>
      </c>
      <c r="U1565" s="77">
        <v>0</v>
      </c>
      <c r="V1565" s="77">
        <v>990</v>
      </c>
      <c r="W1565" s="80" t="s">
        <v>6975</v>
      </c>
      <c r="X1565" s="83" t="str">
        <f>HYPERLINK("https://www.moneytimes.com.br/pix-vai-ser-taxado-ou-nao-entenda-as-falas-de-campos-neto/")</f>
        <v>https://www.moneytimes.com.br/pix-vai-ser-taxado-ou-nao-entenda-as-falas-de-campos-neto/</v>
      </c>
      <c r="Y1565" s="77" t="s">
        <v>8611</v>
      </c>
      <c r="Z1565" s="77"/>
      <c r="AA1565" s="77"/>
      <c r="AB1565" s="77"/>
      <c r="AC1565" s="80" t="s">
        <v>10558</v>
      </c>
      <c r="AD1565" s="77" t="s">
        <v>10617</v>
      </c>
      <c r="AE1565" s="83" t="str">
        <f>HYPERLINK("https://twitter.com/leiamoneytimes/status/1690028250624385024")</f>
        <v>https://twitter.com/leiamoneytimes/status/1690028250624385024</v>
      </c>
      <c r="AF1565" s="79">
        <v>45149.66097222222</v>
      </c>
      <c r="AG1565" s="85">
        <v>45149</v>
      </c>
      <c r="AH1565" s="80" t="s">
        <v>12001</v>
      </c>
      <c r="AI1565" s="77" t="b">
        <v>0</v>
      </c>
      <c r="AJ1565" s="77"/>
      <c r="AK1565" s="77"/>
      <c r="AL1565" s="77"/>
      <c r="AM1565" s="77"/>
      <c r="AN1565" s="77"/>
      <c r="AO1565" s="77"/>
      <c r="AP1565" s="77"/>
      <c r="AQ1565" s="77"/>
      <c r="AR1565" s="77"/>
      <c r="AS1565" s="77"/>
      <c r="AT1565" s="77"/>
      <c r="AU1565" s="77"/>
      <c r="AV1565" s="83" t="str">
        <f>HYPERLINK("https://pbs.twimg.com/profile_images/1559883556846977024/bXHnQFY0_normal.jpg")</f>
        <v>https://pbs.twimg.com/profile_images/1559883556846977024/bXHnQFY0_normal.jpg</v>
      </c>
      <c r="AW1565" s="80" t="s">
        <v>17432</v>
      </c>
      <c r="AX1565" s="80" t="s">
        <v>17432</v>
      </c>
      <c r="AY1565" s="77"/>
      <c r="AZ1565" s="80" t="s">
        <v>20380</v>
      </c>
      <c r="BA1565" s="80" t="s">
        <v>20380</v>
      </c>
      <c r="BB1565" s="80" t="s">
        <v>20380</v>
      </c>
      <c r="BC1565" s="80" t="s">
        <v>17432</v>
      </c>
      <c r="BD1565" s="77">
        <v>51150679</v>
      </c>
      <c r="BE1565" s="77"/>
      <c r="BF1565" s="77"/>
      <c r="BG1565" s="77"/>
      <c r="BH1565" s="77"/>
      <c r="BI1565" s="77"/>
    </row>
    <row r="1566" spans="1:61" x14ac:dyDescent="0.25">
      <c r="A1566" s="62" t="s">
        <v>790</v>
      </c>
      <c r="B1566" s="62" t="s">
        <v>790</v>
      </c>
      <c r="C1566" s="63"/>
      <c r="D1566" s="64"/>
      <c r="E1566" s="65"/>
      <c r="F1566" s="66"/>
      <c r="G1566" s="63"/>
      <c r="H1566" s="67"/>
      <c r="I1566" s="68"/>
      <c r="J1566" s="68"/>
      <c r="K1566" s="32"/>
      <c r="L1566" s="75">
        <v>1566</v>
      </c>
      <c r="M1566" s="75"/>
      <c r="N1566" s="70"/>
      <c r="O1566" s="77" t="s">
        <v>179</v>
      </c>
      <c r="P1566" s="79">
        <v>45149.647673611114</v>
      </c>
      <c r="Q1566" s="77" t="s">
        <v>3462</v>
      </c>
      <c r="R1566" s="77">
        <v>2</v>
      </c>
      <c r="S1566" s="77">
        <v>4</v>
      </c>
      <c r="T1566" s="77">
        <v>0</v>
      </c>
      <c r="U1566" s="77">
        <v>0</v>
      </c>
      <c r="V1566" s="77">
        <v>983</v>
      </c>
      <c r="W1566" s="80" t="s">
        <v>6976</v>
      </c>
      <c r="X1566" s="83" t="str">
        <f>HYPERLINK("https://www.moneytimes.com.br/os-riscos-que-o-novo-copom-pode-trazer-para-o-brasil/")</f>
        <v>https://www.moneytimes.com.br/os-riscos-que-o-novo-copom-pode-trazer-para-o-brasil/</v>
      </c>
      <c r="Y1566" s="77" t="s">
        <v>8611</v>
      </c>
      <c r="Z1566" s="77"/>
      <c r="AA1566" s="77"/>
      <c r="AB1566" s="77"/>
      <c r="AC1566" s="80" t="s">
        <v>10558</v>
      </c>
      <c r="AD1566" s="77" t="s">
        <v>10617</v>
      </c>
      <c r="AE1566" s="83" t="str">
        <f>HYPERLINK("https://twitter.com/leiamoneytimes/status/1690023429498396672")</f>
        <v>https://twitter.com/leiamoneytimes/status/1690023429498396672</v>
      </c>
      <c r="AF1566" s="79">
        <v>45149.647673611114</v>
      </c>
      <c r="AG1566" s="85">
        <v>45149</v>
      </c>
      <c r="AH1566" s="80" t="s">
        <v>12002</v>
      </c>
      <c r="AI1566" s="77" t="b">
        <v>0</v>
      </c>
      <c r="AJ1566" s="77"/>
      <c r="AK1566" s="77"/>
      <c r="AL1566" s="77"/>
      <c r="AM1566" s="77"/>
      <c r="AN1566" s="77"/>
      <c r="AO1566" s="77"/>
      <c r="AP1566" s="77"/>
      <c r="AQ1566" s="77"/>
      <c r="AR1566" s="77"/>
      <c r="AS1566" s="77"/>
      <c r="AT1566" s="77"/>
      <c r="AU1566" s="77"/>
      <c r="AV1566" s="83" t="str">
        <f>HYPERLINK("https://pbs.twimg.com/profile_images/1559883556846977024/bXHnQFY0_normal.jpg")</f>
        <v>https://pbs.twimg.com/profile_images/1559883556846977024/bXHnQFY0_normal.jpg</v>
      </c>
      <c r="AW1566" s="80" t="s">
        <v>17433</v>
      </c>
      <c r="AX1566" s="80" t="s">
        <v>17433</v>
      </c>
      <c r="AY1566" s="77"/>
      <c r="AZ1566" s="80" t="s">
        <v>20380</v>
      </c>
      <c r="BA1566" s="80" t="s">
        <v>20380</v>
      </c>
      <c r="BB1566" s="80" t="s">
        <v>20380</v>
      </c>
      <c r="BC1566" s="80" t="s">
        <v>17433</v>
      </c>
      <c r="BD1566" s="77">
        <v>51150679</v>
      </c>
      <c r="BE1566" s="77"/>
      <c r="BF1566" s="77"/>
      <c r="BG1566" s="77"/>
      <c r="BH1566" s="77"/>
      <c r="BI1566" s="77"/>
    </row>
    <row r="1567" spans="1:61" x14ac:dyDescent="0.25">
      <c r="A1567" s="62" t="s">
        <v>790</v>
      </c>
      <c r="B1567" s="62" t="s">
        <v>790</v>
      </c>
      <c r="C1567" s="63"/>
      <c r="D1567" s="64"/>
      <c r="E1567" s="65"/>
      <c r="F1567" s="66"/>
      <c r="G1567" s="63"/>
      <c r="H1567" s="67"/>
      <c r="I1567" s="68"/>
      <c r="J1567" s="68"/>
      <c r="K1567" s="32"/>
      <c r="L1567" s="75">
        <v>1567</v>
      </c>
      <c r="M1567" s="75"/>
      <c r="N1567" s="70"/>
      <c r="O1567" s="77" t="s">
        <v>179</v>
      </c>
      <c r="P1567" s="79">
        <v>45142.917581018519</v>
      </c>
      <c r="Q1567" s="77" t="s">
        <v>3463</v>
      </c>
      <c r="R1567" s="77">
        <v>0</v>
      </c>
      <c r="S1567" s="77">
        <v>3</v>
      </c>
      <c r="T1567" s="77">
        <v>1</v>
      </c>
      <c r="U1567" s="77">
        <v>0</v>
      </c>
      <c r="V1567" s="77">
        <v>1298</v>
      </c>
      <c r="W1567" s="80" t="s">
        <v>6977</v>
      </c>
      <c r="X1567" s="83" t="str">
        <f>HYPERLINK("https://www.moneytimes.com.br/10-vezes-sem-juros-como-a-inflacao-fez-o-mundo-se-abrasileirar-quando-o-assunto-e-pagamentos/")</f>
        <v>https://www.moneytimes.com.br/10-vezes-sem-juros-como-a-inflacao-fez-o-mundo-se-abrasileirar-quando-o-assunto-e-pagamentos/</v>
      </c>
      <c r="Y1567" s="77" t="s">
        <v>8611</v>
      </c>
      <c r="Z1567" s="77"/>
      <c r="AA1567" s="77"/>
      <c r="AB1567" s="77"/>
      <c r="AC1567" s="80" t="s">
        <v>10558</v>
      </c>
      <c r="AD1567" s="77" t="s">
        <v>10617</v>
      </c>
      <c r="AE1567" s="83" t="str">
        <f>HYPERLINK("https://twitter.com/leiamoneytimes/status/1687584527395217408")</f>
        <v>https://twitter.com/leiamoneytimes/status/1687584527395217408</v>
      </c>
      <c r="AF1567" s="79">
        <v>45142.917581018519</v>
      </c>
      <c r="AG1567" s="85">
        <v>45142</v>
      </c>
      <c r="AH1567" s="80" t="s">
        <v>12003</v>
      </c>
      <c r="AI1567" s="77" t="b">
        <v>0</v>
      </c>
      <c r="AJ1567" s="77"/>
      <c r="AK1567" s="77"/>
      <c r="AL1567" s="77"/>
      <c r="AM1567" s="77"/>
      <c r="AN1567" s="77"/>
      <c r="AO1567" s="77"/>
      <c r="AP1567" s="77"/>
      <c r="AQ1567" s="77"/>
      <c r="AR1567" s="77"/>
      <c r="AS1567" s="77"/>
      <c r="AT1567" s="77"/>
      <c r="AU1567" s="77"/>
      <c r="AV1567" s="83" t="str">
        <f>HYPERLINK("https://pbs.twimg.com/profile_images/1559883556846977024/bXHnQFY0_normal.jpg")</f>
        <v>https://pbs.twimg.com/profile_images/1559883556846977024/bXHnQFY0_normal.jpg</v>
      </c>
      <c r="AW1567" s="80" t="s">
        <v>17434</v>
      </c>
      <c r="AX1567" s="80" t="s">
        <v>17434</v>
      </c>
      <c r="AY1567" s="77"/>
      <c r="AZ1567" s="80" t="s">
        <v>20380</v>
      </c>
      <c r="BA1567" s="80" t="s">
        <v>20380</v>
      </c>
      <c r="BB1567" s="80" t="s">
        <v>20380</v>
      </c>
      <c r="BC1567" s="80" t="s">
        <v>17434</v>
      </c>
      <c r="BD1567" s="77">
        <v>51150679</v>
      </c>
      <c r="BE1567" s="77"/>
      <c r="BF1567" s="77"/>
      <c r="BG1567" s="77"/>
      <c r="BH1567" s="77"/>
      <c r="BI1567" s="77"/>
    </row>
    <row r="1568" spans="1:61" x14ac:dyDescent="0.25">
      <c r="A1568" s="62" t="s">
        <v>790</v>
      </c>
      <c r="B1568" s="62" t="s">
        <v>790</v>
      </c>
      <c r="C1568" s="63"/>
      <c r="D1568" s="64"/>
      <c r="E1568" s="65"/>
      <c r="F1568" s="66"/>
      <c r="G1568" s="63"/>
      <c r="H1568" s="67"/>
      <c r="I1568" s="68"/>
      <c r="J1568" s="68"/>
      <c r="K1568" s="32"/>
      <c r="L1568" s="75">
        <v>1568</v>
      </c>
      <c r="M1568" s="75"/>
      <c r="N1568" s="70"/>
      <c r="O1568" s="77" t="s">
        <v>179</v>
      </c>
      <c r="P1568" s="79">
        <v>45142.826851851853</v>
      </c>
      <c r="Q1568" s="77" t="s">
        <v>3464</v>
      </c>
      <c r="R1568" s="77">
        <v>0</v>
      </c>
      <c r="S1568" s="77">
        <v>7</v>
      </c>
      <c r="T1568" s="77">
        <v>0</v>
      </c>
      <c r="U1568" s="77">
        <v>0</v>
      </c>
      <c r="V1568" s="77">
        <v>1111</v>
      </c>
      <c r="W1568" s="80" t="s">
        <v>6931</v>
      </c>
      <c r="X1568" s="83" t="str">
        <f>HYPERLINK("https://www.moneytimes.com.br/queda-de-075-pp-na-selic-haddad-ja-se-prepara-para-cortes-maiores-na-taxa-de-juros/")</f>
        <v>https://www.moneytimes.com.br/queda-de-075-pp-na-selic-haddad-ja-se-prepara-para-cortes-maiores-na-taxa-de-juros/</v>
      </c>
      <c r="Y1568" s="77" t="s">
        <v>8611</v>
      </c>
      <c r="Z1568" s="77"/>
      <c r="AA1568" s="77"/>
      <c r="AB1568" s="77"/>
      <c r="AC1568" s="80" t="s">
        <v>10558</v>
      </c>
      <c r="AD1568" s="77" t="s">
        <v>10617</v>
      </c>
      <c r="AE1568" s="83" t="str">
        <f>HYPERLINK("https://twitter.com/leiamoneytimes/status/1687551647365406720")</f>
        <v>https://twitter.com/leiamoneytimes/status/1687551647365406720</v>
      </c>
      <c r="AF1568" s="79">
        <v>45142.826851851853</v>
      </c>
      <c r="AG1568" s="85">
        <v>45142</v>
      </c>
      <c r="AH1568" s="80" t="s">
        <v>12004</v>
      </c>
      <c r="AI1568" s="77" t="b">
        <v>0</v>
      </c>
      <c r="AJ1568" s="77"/>
      <c r="AK1568" s="77"/>
      <c r="AL1568" s="77"/>
      <c r="AM1568" s="77"/>
      <c r="AN1568" s="77"/>
      <c r="AO1568" s="77"/>
      <c r="AP1568" s="77"/>
      <c r="AQ1568" s="77"/>
      <c r="AR1568" s="77"/>
      <c r="AS1568" s="77"/>
      <c r="AT1568" s="77"/>
      <c r="AU1568" s="77"/>
      <c r="AV1568" s="83" t="str">
        <f>HYPERLINK("https://pbs.twimg.com/profile_images/1559883556846977024/bXHnQFY0_normal.jpg")</f>
        <v>https://pbs.twimg.com/profile_images/1559883556846977024/bXHnQFY0_normal.jpg</v>
      </c>
      <c r="AW1568" s="80" t="s">
        <v>17435</v>
      </c>
      <c r="AX1568" s="80" t="s">
        <v>17435</v>
      </c>
      <c r="AY1568" s="77"/>
      <c r="AZ1568" s="80" t="s">
        <v>20380</v>
      </c>
      <c r="BA1568" s="80" t="s">
        <v>20380</v>
      </c>
      <c r="BB1568" s="80" t="s">
        <v>20380</v>
      </c>
      <c r="BC1568" s="80" t="s">
        <v>17435</v>
      </c>
      <c r="BD1568" s="77">
        <v>51150679</v>
      </c>
      <c r="BE1568" s="77"/>
      <c r="BF1568" s="77"/>
      <c r="BG1568" s="77"/>
      <c r="BH1568" s="77"/>
      <c r="BI1568" s="77"/>
    </row>
    <row r="1569" spans="1:61" x14ac:dyDescent="0.25">
      <c r="A1569" s="62" t="s">
        <v>790</v>
      </c>
      <c r="B1569" s="62" t="s">
        <v>790</v>
      </c>
      <c r="C1569" s="63"/>
      <c r="D1569" s="64"/>
      <c r="E1569" s="65"/>
      <c r="F1569" s="66"/>
      <c r="G1569" s="63"/>
      <c r="H1569" s="67"/>
      <c r="I1569" s="68"/>
      <c r="J1569" s="68"/>
      <c r="K1569" s="32"/>
      <c r="L1569" s="75">
        <v>1569</v>
      </c>
      <c r="M1569" s="75"/>
      <c r="N1569" s="70"/>
      <c r="O1569" s="77" t="s">
        <v>179</v>
      </c>
      <c r="P1569" s="79">
        <v>45142.479872685188</v>
      </c>
      <c r="Q1569" s="77" t="s">
        <v>3465</v>
      </c>
      <c r="R1569" s="77">
        <v>0</v>
      </c>
      <c r="S1569" s="77">
        <v>2</v>
      </c>
      <c r="T1569" s="77">
        <v>0</v>
      </c>
      <c r="U1569" s="77">
        <v>0</v>
      </c>
      <c r="V1569" s="77">
        <v>1027</v>
      </c>
      <c r="W1569" s="80" t="s">
        <v>6978</v>
      </c>
      <c r="X1569" s="83" t="str">
        <f>HYPERLINK("https://www.moneytimes.com.br/selic-em-queda-e-bom-para-qual-segmento-de-fundos-imobiliarios/")</f>
        <v>https://www.moneytimes.com.br/selic-em-queda-e-bom-para-qual-segmento-de-fundos-imobiliarios/</v>
      </c>
      <c r="Y1569" s="77" t="s">
        <v>8611</v>
      </c>
      <c r="Z1569" s="77"/>
      <c r="AA1569" s="77"/>
      <c r="AB1569" s="77"/>
      <c r="AC1569" s="80" t="s">
        <v>10558</v>
      </c>
      <c r="AD1569" s="77" t="s">
        <v>10617</v>
      </c>
      <c r="AE1569" s="83" t="str">
        <f>HYPERLINK("https://twitter.com/leiamoneytimes/status/1687425908041265152")</f>
        <v>https://twitter.com/leiamoneytimes/status/1687425908041265152</v>
      </c>
      <c r="AF1569" s="79">
        <v>45142.479872685188</v>
      </c>
      <c r="AG1569" s="85">
        <v>45142</v>
      </c>
      <c r="AH1569" s="80" t="s">
        <v>12005</v>
      </c>
      <c r="AI1569" s="77" t="b">
        <v>0</v>
      </c>
      <c r="AJ1569" s="77"/>
      <c r="AK1569" s="77"/>
      <c r="AL1569" s="77"/>
      <c r="AM1569" s="77"/>
      <c r="AN1569" s="77"/>
      <c r="AO1569" s="77"/>
      <c r="AP1569" s="77"/>
      <c r="AQ1569" s="77"/>
      <c r="AR1569" s="77"/>
      <c r="AS1569" s="77"/>
      <c r="AT1569" s="77"/>
      <c r="AU1569" s="77"/>
      <c r="AV1569" s="83" t="str">
        <f>HYPERLINK("https://pbs.twimg.com/profile_images/1559883556846977024/bXHnQFY0_normal.jpg")</f>
        <v>https://pbs.twimg.com/profile_images/1559883556846977024/bXHnQFY0_normal.jpg</v>
      </c>
      <c r="AW1569" s="80" t="s">
        <v>17436</v>
      </c>
      <c r="AX1569" s="80" t="s">
        <v>17436</v>
      </c>
      <c r="AY1569" s="77"/>
      <c r="AZ1569" s="80" t="s">
        <v>20380</v>
      </c>
      <c r="BA1569" s="80" t="s">
        <v>20380</v>
      </c>
      <c r="BB1569" s="80" t="s">
        <v>20380</v>
      </c>
      <c r="BC1569" s="80" t="s">
        <v>17436</v>
      </c>
      <c r="BD1569" s="77">
        <v>51150679</v>
      </c>
      <c r="BE1569" s="77"/>
      <c r="BF1569" s="77"/>
      <c r="BG1569" s="77"/>
      <c r="BH1569" s="77"/>
      <c r="BI1569" s="77"/>
    </row>
    <row r="1570" spans="1:61" x14ac:dyDescent="0.25">
      <c r="A1570" s="62" t="s">
        <v>790</v>
      </c>
      <c r="B1570" s="62" t="s">
        <v>790</v>
      </c>
      <c r="C1570" s="63"/>
      <c r="D1570" s="64"/>
      <c r="E1570" s="65"/>
      <c r="F1570" s="66"/>
      <c r="G1570" s="63"/>
      <c r="H1570" s="67"/>
      <c r="I1570" s="68"/>
      <c r="J1570" s="68"/>
      <c r="K1570" s="32"/>
      <c r="L1570" s="75">
        <v>1570</v>
      </c>
      <c r="M1570" s="75"/>
      <c r="N1570" s="70"/>
      <c r="O1570" s="77" t="s">
        <v>179</v>
      </c>
      <c r="P1570" s="79">
        <v>45141.899085648147</v>
      </c>
      <c r="Q1570" s="77" t="s">
        <v>3466</v>
      </c>
      <c r="R1570" s="77">
        <v>1</v>
      </c>
      <c r="S1570" s="77">
        <v>4</v>
      </c>
      <c r="T1570" s="77">
        <v>1</v>
      </c>
      <c r="U1570" s="77">
        <v>0</v>
      </c>
      <c r="V1570" s="77">
        <v>1250</v>
      </c>
      <c r="W1570" s="80" t="s">
        <v>6978</v>
      </c>
      <c r="X1570" s="83" t="str">
        <f>HYPERLINK("https://www.moneytimes.com.br/fundos-imobiliarios-o-gatilho-que-abriu-caminho-para-a-maxima-historica-do-ifix/")</f>
        <v>https://www.moneytimes.com.br/fundos-imobiliarios-o-gatilho-que-abriu-caminho-para-a-maxima-historica-do-ifix/</v>
      </c>
      <c r="Y1570" s="77" t="s">
        <v>8611</v>
      </c>
      <c r="Z1570" s="77"/>
      <c r="AA1570" s="77"/>
      <c r="AB1570" s="77"/>
      <c r="AC1570" s="80" t="s">
        <v>10558</v>
      </c>
      <c r="AD1570" s="77" t="s">
        <v>10617</v>
      </c>
      <c r="AE1570" s="83" t="str">
        <f>HYPERLINK("https://twitter.com/leiamoneytimes/status/1687215436767580160")</f>
        <v>https://twitter.com/leiamoneytimes/status/1687215436767580160</v>
      </c>
      <c r="AF1570" s="79">
        <v>45141.899085648147</v>
      </c>
      <c r="AG1570" s="85">
        <v>45141</v>
      </c>
      <c r="AH1570" s="80" t="s">
        <v>12006</v>
      </c>
      <c r="AI1570" s="77" t="b">
        <v>0</v>
      </c>
      <c r="AJ1570" s="77"/>
      <c r="AK1570" s="77"/>
      <c r="AL1570" s="77"/>
      <c r="AM1570" s="77"/>
      <c r="AN1570" s="77"/>
      <c r="AO1570" s="77"/>
      <c r="AP1570" s="77"/>
      <c r="AQ1570" s="77"/>
      <c r="AR1570" s="77"/>
      <c r="AS1570" s="77"/>
      <c r="AT1570" s="77"/>
      <c r="AU1570" s="77"/>
      <c r="AV1570" s="83" t="str">
        <f>HYPERLINK("https://pbs.twimg.com/profile_images/1559883556846977024/bXHnQFY0_normal.jpg")</f>
        <v>https://pbs.twimg.com/profile_images/1559883556846977024/bXHnQFY0_normal.jpg</v>
      </c>
      <c r="AW1570" s="80" t="s">
        <v>17437</v>
      </c>
      <c r="AX1570" s="80" t="s">
        <v>17437</v>
      </c>
      <c r="AY1570" s="77"/>
      <c r="AZ1570" s="80" t="s">
        <v>20380</v>
      </c>
      <c r="BA1570" s="80" t="s">
        <v>20380</v>
      </c>
      <c r="BB1570" s="80" t="s">
        <v>20380</v>
      </c>
      <c r="BC1570" s="80" t="s">
        <v>17437</v>
      </c>
      <c r="BD1570" s="77">
        <v>51150679</v>
      </c>
      <c r="BE1570" s="77"/>
      <c r="BF1570" s="77"/>
      <c r="BG1570" s="77"/>
      <c r="BH1570" s="77"/>
      <c r="BI1570" s="77"/>
    </row>
    <row r="1571" spans="1:61" x14ac:dyDescent="0.25">
      <c r="A1571" s="62" t="s">
        <v>790</v>
      </c>
      <c r="B1571" s="62" t="s">
        <v>790</v>
      </c>
      <c r="C1571" s="63"/>
      <c r="D1571" s="64"/>
      <c r="E1571" s="65"/>
      <c r="F1571" s="66"/>
      <c r="G1571" s="63"/>
      <c r="H1571" s="67"/>
      <c r="I1571" s="68"/>
      <c r="J1571" s="68"/>
      <c r="K1571" s="32"/>
      <c r="L1571" s="75">
        <v>1571</v>
      </c>
      <c r="M1571" s="75"/>
      <c r="N1571" s="70"/>
      <c r="O1571" s="77" t="s">
        <v>179</v>
      </c>
      <c r="P1571" s="79">
        <v>45141.82099537037</v>
      </c>
      <c r="Q1571" s="77" t="s">
        <v>3467</v>
      </c>
      <c r="R1571" s="77">
        <v>0</v>
      </c>
      <c r="S1571" s="77">
        <v>2</v>
      </c>
      <c r="T1571" s="77">
        <v>1</v>
      </c>
      <c r="U1571" s="77">
        <v>0</v>
      </c>
      <c r="V1571" s="77">
        <v>1446</v>
      </c>
      <c r="W1571" s="80" t="s">
        <v>6979</v>
      </c>
      <c r="X1571" s="83" t="str">
        <f>HYPERLINK("https://www.moneytimes.com.br/dolar-hoje-agora-salta-03-08-2023/")</f>
        <v>https://www.moneytimes.com.br/dolar-hoje-agora-salta-03-08-2023/</v>
      </c>
      <c r="Y1571" s="77" t="s">
        <v>8611</v>
      </c>
      <c r="Z1571" s="77"/>
      <c r="AA1571" s="77"/>
      <c r="AB1571" s="77"/>
      <c r="AC1571" s="80" t="s">
        <v>10558</v>
      </c>
      <c r="AD1571" s="77" t="s">
        <v>10617</v>
      </c>
      <c r="AE1571" s="83" t="str">
        <f>HYPERLINK("https://twitter.com/leiamoneytimes/status/1687187136817033216")</f>
        <v>https://twitter.com/leiamoneytimes/status/1687187136817033216</v>
      </c>
      <c r="AF1571" s="79">
        <v>45141.82099537037</v>
      </c>
      <c r="AG1571" s="85">
        <v>45141</v>
      </c>
      <c r="AH1571" s="80" t="s">
        <v>12007</v>
      </c>
      <c r="AI1571" s="77" t="b">
        <v>0</v>
      </c>
      <c r="AJ1571" s="77"/>
      <c r="AK1571" s="77"/>
      <c r="AL1571" s="77"/>
      <c r="AM1571" s="77"/>
      <c r="AN1571" s="77"/>
      <c r="AO1571" s="77"/>
      <c r="AP1571" s="77"/>
      <c r="AQ1571" s="77"/>
      <c r="AR1571" s="77"/>
      <c r="AS1571" s="77"/>
      <c r="AT1571" s="77"/>
      <c r="AU1571" s="77"/>
      <c r="AV1571" s="83" t="str">
        <f>HYPERLINK("https://pbs.twimg.com/profile_images/1559883556846977024/bXHnQFY0_normal.jpg")</f>
        <v>https://pbs.twimg.com/profile_images/1559883556846977024/bXHnQFY0_normal.jpg</v>
      </c>
      <c r="AW1571" s="80" t="s">
        <v>17438</v>
      </c>
      <c r="AX1571" s="80" t="s">
        <v>17438</v>
      </c>
      <c r="AY1571" s="77"/>
      <c r="AZ1571" s="80" t="s">
        <v>20380</v>
      </c>
      <c r="BA1571" s="80" t="s">
        <v>20380</v>
      </c>
      <c r="BB1571" s="80" t="s">
        <v>20380</v>
      </c>
      <c r="BC1571" s="80" t="s">
        <v>17438</v>
      </c>
      <c r="BD1571" s="77">
        <v>51150679</v>
      </c>
      <c r="BE1571" s="77"/>
      <c r="BF1571" s="77"/>
      <c r="BG1571" s="77"/>
      <c r="BH1571" s="77"/>
      <c r="BI1571" s="77"/>
    </row>
    <row r="1572" spans="1:61" x14ac:dyDescent="0.25">
      <c r="A1572" s="62" t="s">
        <v>790</v>
      </c>
      <c r="B1572" s="62" t="s">
        <v>790</v>
      </c>
      <c r="C1572" s="63"/>
      <c r="D1572" s="64"/>
      <c r="E1572" s="65"/>
      <c r="F1572" s="66"/>
      <c r="G1572" s="63"/>
      <c r="H1572" s="67"/>
      <c r="I1572" s="68"/>
      <c r="J1572" s="68"/>
      <c r="K1572" s="32"/>
      <c r="L1572" s="75">
        <v>1572</v>
      </c>
      <c r="M1572" s="75"/>
      <c r="N1572" s="70"/>
      <c r="O1572" s="77" t="s">
        <v>179</v>
      </c>
      <c r="P1572" s="79">
        <v>45128.457743055558</v>
      </c>
      <c r="Q1572" s="77" t="s">
        <v>3468</v>
      </c>
      <c r="R1572" s="77">
        <v>1</v>
      </c>
      <c r="S1572" s="77">
        <v>14</v>
      </c>
      <c r="T1572" s="77">
        <v>3</v>
      </c>
      <c r="U1572" s="77">
        <v>0</v>
      </c>
      <c r="V1572" s="77">
        <v>1189</v>
      </c>
      <c r="W1572" s="80" t="s">
        <v>6980</v>
      </c>
      <c r="X1572" s="83" t="str">
        <f>HYPERLINK("https://www.moneytimes.com.br/eua-copiou-pix-brasileiro-fed-lanca-servico-similar-ao-orgulho-de-campos-neto/")</f>
        <v>https://www.moneytimes.com.br/eua-copiou-pix-brasileiro-fed-lanca-servico-similar-ao-orgulho-de-campos-neto/</v>
      </c>
      <c r="Y1572" s="77" t="s">
        <v>8611</v>
      </c>
      <c r="Z1572" s="77"/>
      <c r="AA1572" s="77"/>
      <c r="AB1572" s="77"/>
      <c r="AC1572" s="80" t="s">
        <v>10558</v>
      </c>
      <c r="AD1572" s="77" t="s">
        <v>10617</v>
      </c>
      <c r="AE1572" s="83" t="str">
        <f>HYPERLINK("https://twitter.com/leiamoneytimes/status/1682344455691436032")</f>
        <v>https://twitter.com/leiamoneytimes/status/1682344455691436032</v>
      </c>
      <c r="AF1572" s="79">
        <v>45128.457743055558</v>
      </c>
      <c r="AG1572" s="85">
        <v>45128</v>
      </c>
      <c r="AH1572" s="80" t="s">
        <v>12008</v>
      </c>
      <c r="AI1572" s="77" t="b">
        <v>0</v>
      </c>
      <c r="AJ1572" s="77"/>
      <c r="AK1572" s="77"/>
      <c r="AL1572" s="77"/>
      <c r="AM1572" s="77"/>
      <c r="AN1572" s="77"/>
      <c r="AO1572" s="77"/>
      <c r="AP1572" s="77"/>
      <c r="AQ1572" s="77"/>
      <c r="AR1572" s="77"/>
      <c r="AS1572" s="77"/>
      <c r="AT1572" s="77"/>
      <c r="AU1572" s="77"/>
      <c r="AV1572" s="83" t="str">
        <f>HYPERLINK("https://pbs.twimg.com/profile_images/1559883556846977024/bXHnQFY0_normal.jpg")</f>
        <v>https://pbs.twimg.com/profile_images/1559883556846977024/bXHnQFY0_normal.jpg</v>
      </c>
      <c r="AW1572" s="80" t="s">
        <v>17439</v>
      </c>
      <c r="AX1572" s="80" t="s">
        <v>17439</v>
      </c>
      <c r="AY1572" s="77"/>
      <c r="AZ1572" s="80" t="s">
        <v>20380</v>
      </c>
      <c r="BA1572" s="80" t="s">
        <v>20380</v>
      </c>
      <c r="BB1572" s="80" t="s">
        <v>20380</v>
      </c>
      <c r="BC1572" s="80" t="s">
        <v>17439</v>
      </c>
      <c r="BD1572" s="77">
        <v>51150679</v>
      </c>
      <c r="BE1572" s="77"/>
      <c r="BF1572" s="77"/>
      <c r="BG1572" s="77"/>
      <c r="BH1572" s="77"/>
      <c r="BI1572" s="77"/>
    </row>
    <row r="1573" spans="1:61" x14ac:dyDescent="0.25">
      <c r="A1573" s="62" t="s">
        <v>790</v>
      </c>
      <c r="B1573" s="62" t="s">
        <v>790</v>
      </c>
      <c r="C1573" s="63"/>
      <c r="D1573" s="64"/>
      <c r="E1573" s="65"/>
      <c r="F1573" s="66"/>
      <c r="G1573" s="63"/>
      <c r="H1573" s="67"/>
      <c r="I1573" s="68"/>
      <c r="J1573" s="68"/>
      <c r="K1573" s="32"/>
      <c r="L1573" s="75">
        <v>1573</v>
      </c>
      <c r="M1573" s="75"/>
      <c r="N1573" s="70"/>
      <c r="O1573" s="77" t="s">
        <v>179</v>
      </c>
      <c r="P1573" s="79">
        <v>45127.853645833333</v>
      </c>
      <c r="Q1573" s="77" t="s">
        <v>3469</v>
      </c>
      <c r="R1573" s="77">
        <v>0</v>
      </c>
      <c r="S1573" s="77">
        <v>0</v>
      </c>
      <c r="T1573" s="77">
        <v>0</v>
      </c>
      <c r="U1573" s="77">
        <v>0</v>
      </c>
      <c r="V1573" s="77">
        <v>864</v>
      </c>
      <c r="W1573" s="80" t="s">
        <v>6981</v>
      </c>
      <c r="X1573" s="83" t="str">
        <f>HYPERLINK("https://www.moneytimes.com.br/campos-neto-x-galipolo-lacos-entre-banco-central-lula-e-haddad-devem-ser-estreitados-entenda/")</f>
        <v>https://www.moneytimes.com.br/campos-neto-x-galipolo-lacos-entre-banco-central-lula-e-haddad-devem-ser-estreitados-entenda/</v>
      </c>
      <c r="Y1573" s="77" t="s">
        <v>8611</v>
      </c>
      <c r="Z1573" s="77"/>
      <c r="AA1573" s="77"/>
      <c r="AB1573" s="77"/>
      <c r="AC1573" s="80" t="s">
        <v>10558</v>
      </c>
      <c r="AD1573" s="77" t="s">
        <v>10617</v>
      </c>
      <c r="AE1573" s="83" t="str">
        <f>HYPERLINK("https://twitter.com/leiamoneytimes/status/1682125538184265729")</f>
        <v>https://twitter.com/leiamoneytimes/status/1682125538184265729</v>
      </c>
      <c r="AF1573" s="79">
        <v>45127.853645833333</v>
      </c>
      <c r="AG1573" s="85">
        <v>45127</v>
      </c>
      <c r="AH1573" s="80" t="s">
        <v>12009</v>
      </c>
      <c r="AI1573" s="77" t="b">
        <v>0</v>
      </c>
      <c r="AJ1573" s="77"/>
      <c r="AK1573" s="77"/>
      <c r="AL1573" s="77"/>
      <c r="AM1573" s="77"/>
      <c r="AN1573" s="77"/>
      <c r="AO1573" s="77"/>
      <c r="AP1573" s="77"/>
      <c r="AQ1573" s="77"/>
      <c r="AR1573" s="77"/>
      <c r="AS1573" s="77"/>
      <c r="AT1573" s="77"/>
      <c r="AU1573" s="77"/>
      <c r="AV1573" s="83" t="str">
        <f>HYPERLINK("https://pbs.twimg.com/profile_images/1559883556846977024/bXHnQFY0_normal.jpg")</f>
        <v>https://pbs.twimg.com/profile_images/1559883556846977024/bXHnQFY0_normal.jpg</v>
      </c>
      <c r="AW1573" s="80" t="s">
        <v>17440</v>
      </c>
      <c r="AX1573" s="80" t="s">
        <v>17440</v>
      </c>
      <c r="AY1573" s="77"/>
      <c r="AZ1573" s="80" t="s">
        <v>20380</v>
      </c>
      <c r="BA1573" s="80" t="s">
        <v>20380</v>
      </c>
      <c r="BB1573" s="80" t="s">
        <v>20380</v>
      </c>
      <c r="BC1573" s="80" t="s">
        <v>17440</v>
      </c>
      <c r="BD1573" s="77">
        <v>51150679</v>
      </c>
      <c r="BE1573" s="77"/>
      <c r="BF1573" s="77"/>
      <c r="BG1573" s="77"/>
      <c r="BH1573" s="77"/>
      <c r="BI1573" s="77"/>
    </row>
    <row r="1574" spans="1:61" x14ac:dyDescent="0.25">
      <c r="A1574" s="62" t="s">
        <v>790</v>
      </c>
      <c r="B1574" s="62" t="s">
        <v>790</v>
      </c>
      <c r="C1574" s="63"/>
      <c r="D1574" s="64"/>
      <c r="E1574" s="65"/>
      <c r="F1574" s="66"/>
      <c r="G1574" s="63"/>
      <c r="H1574" s="67"/>
      <c r="I1574" s="68"/>
      <c r="J1574" s="68"/>
      <c r="K1574" s="32"/>
      <c r="L1574" s="75">
        <v>1574</v>
      </c>
      <c r="M1574" s="75"/>
      <c r="N1574" s="70"/>
      <c r="O1574" s="77" t="s">
        <v>179</v>
      </c>
      <c r="P1574" s="79">
        <v>45127.614722222221</v>
      </c>
      <c r="Q1574" s="77" t="s">
        <v>3470</v>
      </c>
      <c r="R1574" s="77">
        <v>0</v>
      </c>
      <c r="S1574" s="77">
        <v>3</v>
      </c>
      <c r="T1574" s="77">
        <v>0</v>
      </c>
      <c r="U1574" s="77">
        <v>0</v>
      </c>
      <c r="V1574" s="77">
        <v>1085</v>
      </c>
      <c r="W1574" s="80" t="s">
        <v>6982</v>
      </c>
      <c r="X1574" s="83" t="str">
        <f>HYPERLINK("https://www.moneytimes.com.br/dia-do-desenrola-caixa-prepara-mutirao-para-renegociar-dividas-confira/")</f>
        <v>https://www.moneytimes.com.br/dia-do-desenrola-caixa-prepara-mutirao-para-renegociar-dividas-confira/</v>
      </c>
      <c r="Y1574" s="77" t="s">
        <v>8611</v>
      </c>
      <c r="Z1574" s="77"/>
      <c r="AA1574" s="77"/>
      <c r="AB1574" s="77"/>
      <c r="AC1574" s="80" t="s">
        <v>10558</v>
      </c>
      <c r="AD1574" s="77" t="s">
        <v>10617</v>
      </c>
      <c r="AE1574" s="83" t="str">
        <f>HYPERLINK("https://twitter.com/leiamoneytimes/status/1682038955947233281")</f>
        <v>https://twitter.com/leiamoneytimes/status/1682038955947233281</v>
      </c>
      <c r="AF1574" s="79">
        <v>45127.614722222221</v>
      </c>
      <c r="AG1574" s="85">
        <v>45127</v>
      </c>
      <c r="AH1574" s="80" t="s">
        <v>12010</v>
      </c>
      <c r="AI1574" s="77" t="b">
        <v>0</v>
      </c>
      <c r="AJ1574" s="77"/>
      <c r="AK1574" s="77"/>
      <c r="AL1574" s="77"/>
      <c r="AM1574" s="77"/>
      <c r="AN1574" s="77"/>
      <c r="AO1574" s="77"/>
      <c r="AP1574" s="77"/>
      <c r="AQ1574" s="77"/>
      <c r="AR1574" s="77"/>
      <c r="AS1574" s="77"/>
      <c r="AT1574" s="77"/>
      <c r="AU1574" s="77"/>
      <c r="AV1574" s="83" t="str">
        <f>HYPERLINK("https://pbs.twimg.com/profile_images/1559883556846977024/bXHnQFY0_normal.jpg")</f>
        <v>https://pbs.twimg.com/profile_images/1559883556846977024/bXHnQFY0_normal.jpg</v>
      </c>
      <c r="AW1574" s="80" t="s">
        <v>17441</v>
      </c>
      <c r="AX1574" s="80" t="s">
        <v>17441</v>
      </c>
      <c r="AY1574" s="77"/>
      <c r="AZ1574" s="80" t="s">
        <v>20380</v>
      </c>
      <c r="BA1574" s="80" t="s">
        <v>20380</v>
      </c>
      <c r="BB1574" s="80" t="s">
        <v>20380</v>
      </c>
      <c r="BC1574" s="80" t="s">
        <v>17441</v>
      </c>
      <c r="BD1574" s="77">
        <v>51150679</v>
      </c>
      <c r="BE1574" s="77"/>
      <c r="BF1574" s="77"/>
      <c r="BG1574" s="77"/>
      <c r="BH1574" s="77"/>
      <c r="BI1574" s="77"/>
    </row>
    <row r="1575" spans="1:61" x14ac:dyDescent="0.25">
      <c r="A1575" s="62" t="s">
        <v>790</v>
      </c>
      <c r="B1575" s="62" t="s">
        <v>790</v>
      </c>
      <c r="C1575" s="63"/>
      <c r="D1575" s="64"/>
      <c r="E1575" s="65"/>
      <c r="F1575" s="66"/>
      <c r="G1575" s="63"/>
      <c r="H1575" s="67"/>
      <c r="I1575" s="68"/>
      <c r="J1575" s="68"/>
      <c r="K1575" s="32"/>
      <c r="L1575" s="75">
        <v>1575</v>
      </c>
      <c r="M1575" s="75"/>
      <c r="N1575" s="70"/>
      <c r="O1575" s="77" t="s">
        <v>179</v>
      </c>
      <c r="P1575" s="79">
        <v>45127.479953703703</v>
      </c>
      <c r="Q1575" s="77" t="s">
        <v>3471</v>
      </c>
      <c r="R1575" s="77">
        <v>0</v>
      </c>
      <c r="S1575" s="77">
        <v>2</v>
      </c>
      <c r="T1575" s="77">
        <v>0</v>
      </c>
      <c r="U1575" s="77">
        <v>0</v>
      </c>
      <c r="V1575" s="77">
        <v>1129</v>
      </c>
      <c r="W1575" s="80" t="s">
        <v>6959</v>
      </c>
      <c r="X1575" s="83" t="str">
        <f>HYPERLINK("https://www.moneytimes.com.br/queda-da-selic-vai-estimular-follow-on-de-fundos-imobiliarios-diz-gestor-da-tellus/")</f>
        <v>https://www.moneytimes.com.br/queda-da-selic-vai-estimular-follow-on-de-fundos-imobiliarios-diz-gestor-da-tellus/</v>
      </c>
      <c r="Y1575" s="77" t="s">
        <v>8611</v>
      </c>
      <c r="Z1575" s="77"/>
      <c r="AA1575" s="77"/>
      <c r="AB1575" s="77"/>
      <c r="AC1575" s="80" t="s">
        <v>10558</v>
      </c>
      <c r="AD1575" s="77" t="s">
        <v>10617</v>
      </c>
      <c r="AE1575" s="83" t="str">
        <f>HYPERLINK("https://twitter.com/leiamoneytimes/status/1681990115839602690")</f>
        <v>https://twitter.com/leiamoneytimes/status/1681990115839602690</v>
      </c>
      <c r="AF1575" s="79">
        <v>45127.479953703703</v>
      </c>
      <c r="AG1575" s="85">
        <v>45127</v>
      </c>
      <c r="AH1575" s="80" t="s">
        <v>12011</v>
      </c>
      <c r="AI1575" s="77" t="b">
        <v>0</v>
      </c>
      <c r="AJ1575" s="77"/>
      <c r="AK1575" s="77"/>
      <c r="AL1575" s="77"/>
      <c r="AM1575" s="77"/>
      <c r="AN1575" s="77"/>
      <c r="AO1575" s="77"/>
      <c r="AP1575" s="77"/>
      <c r="AQ1575" s="77"/>
      <c r="AR1575" s="77"/>
      <c r="AS1575" s="77"/>
      <c r="AT1575" s="77"/>
      <c r="AU1575" s="77"/>
      <c r="AV1575" s="83" t="str">
        <f>HYPERLINK("https://pbs.twimg.com/profile_images/1559883556846977024/bXHnQFY0_normal.jpg")</f>
        <v>https://pbs.twimg.com/profile_images/1559883556846977024/bXHnQFY0_normal.jpg</v>
      </c>
      <c r="AW1575" s="80" t="s">
        <v>17442</v>
      </c>
      <c r="AX1575" s="80" t="s">
        <v>17442</v>
      </c>
      <c r="AY1575" s="77"/>
      <c r="AZ1575" s="80" t="s">
        <v>20380</v>
      </c>
      <c r="BA1575" s="80" t="s">
        <v>20380</v>
      </c>
      <c r="BB1575" s="80" t="s">
        <v>20380</v>
      </c>
      <c r="BC1575" s="80" t="s">
        <v>17442</v>
      </c>
      <c r="BD1575" s="77">
        <v>51150679</v>
      </c>
      <c r="BE1575" s="77"/>
      <c r="BF1575" s="77"/>
      <c r="BG1575" s="77"/>
      <c r="BH1575" s="77"/>
      <c r="BI1575" s="77"/>
    </row>
    <row r="1576" spans="1:61" x14ac:dyDescent="0.25">
      <c r="A1576" s="62" t="s">
        <v>790</v>
      </c>
      <c r="B1576" s="62" t="s">
        <v>790</v>
      </c>
      <c r="C1576" s="63"/>
      <c r="D1576" s="64"/>
      <c r="E1576" s="65"/>
      <c r="F1576" s="66"/>
      <c r="G1576" s="63"/>
      <c r="H1576" s="67"/>
      <c r="I1576" s="68"/>
      <c r="J1576" s="68"/>
      <c r="K1576" s="32"/>
      <c r="L1576" s="75">
        <v>1576</v>
      </c>
      <c r="M1576" s="75"/>
      <c r="N1576" s="70"/>
      <c r="O1576" s="77" t="s">
        <v>179</v>
      </c>
      <c r="P1576" s="79">
        <v>45126.800810185188</v>
      </c>
      <c r="Q1576" s="77" t="s">
        <v>3472</v>
      </c>
      <c r="R1576" s="77">
        <v>0</v>
      </c>
      <c r="S1576" s="77">
        <v>1</v>
      </c>
      <c r="T1576" s="77">
        <v>0</v>
      </c>
      <c r="U1576" s="77">
        <v>0</v>
      </c>
      <c r="V1576" s="77">
        <v>1140</v>
      </c>
      <c r="W1576" s="80" t="s">
        <v>6983</v>
      </c>
      <c r="X1576" s="83" t="str">
        <f>HYPERLINK("https://www.moneytimes.com.br/campos-neto-teria-tentado-silenciar-galipolo-e-tensao-sobe-no-banco-central-entenda/")</f>
        <v>https://www.moneytimes.com.br/campos-neto-teria-tentado-silenciar-galipolo-e-tensao-sobe-no-banco-central-entenda/</v>
      </c>
      <c r="Y1576" s="77" t="s">
        <v>8611</v>
      </c>
      <c r="Z1576" s="77"/>
      <c r="AA1576" s="77"/>
      <c r="AB1576" s="77"/>
      <c r="AC1576" s="80" t="s">
        <v>10558</v>
      </c>
      <c r="AD1576" s="77" t="s">
        <v>10617</v>
      </c>
      <c r="AE1576" s="83" t="str">
        <f>HYPERLINK("https://twitter.com/leiamoneytimes/status/1681744003551690754")</f>
        <v>https://twitter.com/leiamoneytimes/status/1681744003551690754</v>
      </c>
      <c r="AF1576" s="79">
        <v>45126.800810185188</v>
      </c>
      <c r="AG1576" s="85">
        <v>45126</v>
      </c>
      <c r="AH1576" s="80" t="s">
        <v>12012</v>
      </c>
      <c r="AI1576" s="77" t="b">
        <v>0</v>
      </c>
      <c r="AJ1576" s="77"/>
      <c r="AK1576" s="77"/>
      <c r="AL1576" s="77"/>
      <c r="AM1576" s="77"/>
      <c r="AN1576" s="77"/>
      <c r="AO1576" s="77"/>
      <c r="AP1576" s="77"/>
      <c r="AQ1576" s="77"/>
      <c r="AR1576" s="77"/>
      <c r="AS1576" s="77"/>
      <c r="AT1576" s="77"/>
      <c r="AU1576" s="77"/>
      <c r="AV1576" s="83" t="str">
        <f>HYPERLINK("https://pbs.twimg.com/profile_images/1559883556846977024/bXHnQFY0_normal.jpg")</f>
        <v>https://pbs.twimg.com/profile_images/1559883556846977024/bXHnQFY0_normal.jpg</v>
      </c>
      <c r="AW1576" s="80" t="s">
        <v>17443</v>
      </c>
      <c r="AX1576" s="80" t="s">
        <v>17443</v>
      </c>
      <c r="AY1576" s="77"/>
      <c r="AZ1576" s="80" t="s">
        <v>20380</v>
      </c>
      <c r="BA1576" s="80" t="s">
        <v>20380</v>
      </c>
      <c r="BB1576" s="80" t="s">
        <v>20380</v>
      </c>
      <c r="BC1576" s="80" t="s">
        <v>17443</v>
      </c>
      <c r="BD1576" s="77">
        <v>51150679</v>
      </c>
      <c r="BE1576" s="77"/>
      <c r="BF1576" s="77"/>
      <c r="BG1576" s="77"/>
      <c r="BH1576" s="77"/>
      <c r="BI1576" s="77"/>
    </row>
    <row r="1577" spans="1:61" x14ac:dyDescent="0.25">
      <c r="A1577" s="62" t="s">
        <v>790</v>
      </c>
      <c r="B1577" s="62" t="s">
        <v>790</v>
      </c>
      <c r="C1577" s="63"/>
      <c r="D1577" s="64"/>
      <c r="E1577" s="65"/>
      <c r="F1577" s="66"/>
      <c r="G1577" s="63"/>
      <c r="H1577" s="67"/>
      <c r="I1577" s="68"/>
      <c r="J1577" s="68"/>
      <c r="K1577" s="32"/>
      <c r="L1577" s="75">
        <v>1577</v>
      </c>
      <c r="M1577" s="75"/>
      <c r="N1577" s="70"/>
      <c r="O1577" s="77" t="s">
        <v>179</v>
      </c>
      <c r="P1577" s="79">
        <v>45126.769965277781</v>
      </c>
      <c r="Q1577" s="77" t="s">
        <v>3473</v>
      </c>
      <c r="R1577" s="77">
        <v>0</v>
      </c>
      <c r="S1577" s="77">
        <v>5</v>
      </c>
      <c r="T1577" s="77">
        <v>0</v>
      </c>
      <c r="U1577" s="77">
        <v>0</v>
      </c>
      <c r="V1577" s="77">
        <v>1118</v>
      </c>
      <c r="W1577" s="80" t="s">
        <v>6984</v>
      </c>
      <c r="X1577" s="83" t="str">
        <f>HYPERLINK("https://www.moneytimes.com.br/greve-no-banco-central-concurso-publico-desagrada-servidores-que-podem-reforcar-paralisacoes-entenda/")</f>
        <v>https://www.moneytimes.com.br/greve-no-banco-central-concurso-publico-desagrada-servidores-que-podem-reforcar-paralisacoes-entenda/</v>
      </c>
      <c r="Y1577" s="77" t="s">
        <v>8611</v>
      </c>
      <c r="Z1577" s="77"/>
      <c r="AA1577" s="77"/>
      <c r="AB1577" s="77"/>
      <c r="AC1577" s="80" t="s">
        <v>10558</v>
      </c>
      <c r="AD1577" s="77" t="s">
        <v>10617</v>
      </c>
      <c r="AE1577" s="83" t="str">
        <f>HYPERLINK("https://twitter.com/leiamoneytimes/status/1681732827862188046")</f>
        <v>https://twitter.com/leiamoneytimes/status/1681732827862188046</v>
      </c>
      <c r="AF1577" s="79">
        <v>45126.769965277781</v>
      </c>
      <c r="AG1577" s="85">
        <v>45126</v>
      </c>
      <c r="AH1577" s="80" t="s">
        <v>12013</v>
      </c>
      <c r="AI1577" s="77" t="b">
        <v>0</v>
      </c>
      <c r="AJ1577" s="77"/>
      <c r="AK1577" s="77"/>
      <c r="AL1577" s="77"/>
      <c r="AM1577" s="77"/>
      <c r="AN1577" s="77"/>
      <c r="AO1577" s="77"/>
      <c r="AP1577" s="77"/>
      <c r="AQ1577" s="77"/>
      <c r="AR1577" s="77"/>
      <c r="AS1577" s="77"/>
      <c r="AT1577" s="77"/>
      <c r="AU1577" s="77"/>
      <c r="AV1577" s="83" t="str">
        <f>HYPERLINK("https://pbs.twimg.com/profile_images/1559883556846977024/bXHnQFY0_normal.jpg")</f>
        <v>https://pbs.twimg.com/profile_images/1559883556846977024/bXHnQFY0_normal.jpg</v>
      </c>
      <c r="AW1577" s="80" t="s">
        <v>17444</v>
      </c>
      <c r="AX1577" s="80" t="s">
        <v>17444</v>
      </c>
      <c r="AY1577" s="77"/>
      <c r="AZ1577" s="80" t="s">
        <v>20380</v>
      </c>
      <c r="BA1577" s="80" t="s">
        <v>20380</v>
      </c>
      <c r="BB1577" s="80" t="s">
        <v>20380</v>
      </c>
      <c r="BC1577" s="80" t="s">
        <v>17444</v>
      </c>
      <c r="BD1577" s="77">
        <v>51150679</v>
      </c>
      <c r="BE1577" s="77"/>
      <c r="BF1577" s="77"/>
      <c r="BG1577" s="77"/>
      <c r="BH1577" s="77"/>
      <c r="BI1577" s="77"/>
    </row>
    <row r="1578" spans="1:61" x14ac:dyDescent="0.25">
      <c r="A1578" s="62" t="s">
        <v>790</v>
      </c>
      <c r="B1578" s="62" t="s">
        <v>790</v>
      </c>
      <c r="C1578" s="63"/>
      <c r="D1578" s="64"/>
      <c r="E1578" s="65"/>
      <c r="F1578" s="66"/>
      <c r="G1578" s="63"/>
      <c r="H1578" s="67"/>
      <c r="I1578" s="68"/>
      <c r="J1578" s="68"/>
      <c r="K1578" s="32"/>
      <c r="L1578" s="75">
        <v>1578</v>
      </c>
      <c r="M1578" s="75"/>
      <c r="N1578" s="70"/>
      <c r="O1578" s="77" t="s">
        <v>179</v>
      </c>
      <c r="P1578" s="79">
        <v>45104.653067129628</v>
      </c>
      <c r="Q1578" s="77" t="s">
        <v>3474</v>
      </c>
      <c r="R1578" s="77">
        <v>0</v>
      </c>
      <c r="S1578" s="77">
        <v>5</v>
      </c>
      <c r="T1578" s="77">
        <v>2</v>
      </c>
      <c r="U1578" s="77">
        <v>0</v>
      </c>
      <c r="V1578" s="77">
        <v>1245</v>
      </c>
      <c r="W1578" s="80" t="s">
        <v>6945</v>
      </c>
      <c r="X1578" s="83" t="str">
        <f>HYPERLINK("https://www.moneytimes.com.br/corte-da-selic-depende-de-outro-fator-alem-de-copom-e-inflacao-entenda/")</f>
        <v>https://www.moneytimes.com.br/corte-da-selic-depende-de-outro-fator-alem-de-copom-e-inflacao-entenda/</v>
      </c>
      <c r="Y1578" s="77" t="s">
        <v>8611</v>
      </c>
      <c r="Z1578" s="77"/>
      <c r="AA1578" s="77"/>
      <c r="AB1578" s="77"/>
      <c r="AC1578" s="80" t="s">
        <v>10558</v>
      </c>
      <c r="AD1578" s="77" t="s">
        <v>10617</v>
      </c>
      <c r="AE1578" s="83" t="str">
        <f>HYPERLINK("https://twitter.com/leiamoneytimes/status/1673717930389827586")</f>
        <v>https://twitter.com/leiamoneytimes/status/1673717930389827586</v>
      </c>
      <c r="AF1578" s="79">
        <v>45104.653067129628</v>
      </c>
      <c r="AG1578" s="85">
        <v>45104</v>
      </c>
      <c r="AH1578" s="80" t="s">
        <v>12014</v>
      </c>
      <c r="AI1578" s="77" t="b">
        <v>0</v>
      </c>
      <c r="AJ1578" s="77"/>
      <c r="AK1578" s="77"/>
      <c r="AL1578" s="77"/>
      <c r="AM1578" s="77"/>
      <c r="AN1578" s="77"/>
      <c r="AO1578" s="77"/>
      <c r="AP1578" s="77"/>
      <c r="AQ1578" s="77"/>
      <c r="AR1578" s="77"/>
      <c r="AS1578" s="77"/>
      <c r="AT1578" s="77"/>
      <c r="AU1578" s="77"/>
      <c r="AV1578" s="83" t="str">
        <f>HYPERLINK("https://pbs.twimg.com/profile_images/1559883556846977024/bXHnQFY0_normal.jpg")</f>
        <v>https://pbs.twimg.com/profile_images/1559883556846977024/bXHnQFY0_normal.jpg</v>
      </c>
      <c r="AW1578" s="80" t="s">
        <v>17445</v>
      </c>
      <c r="AX1578" s="80" t="s">
        <v>17445</v>
      </c>
      <c r="AY1578" s="77"/>
      <c r="AZ1578" s="80" t="s">
        <v>20380</v>
      </c>
      <c r="BA1578" s="80" t="s">
        <v>20380</v>
      </c>
      <c r="BB1578" s="80" t="s">
        <v>20380</v>
      </c>
      <c r="BC1578" s="80" t="s">
        <v>17445</v>
      </c>
      <c r="BD1578" s="77">
        <v>51150679</v>
      </c>
      <c r="BE1578" s="77"/>
      <c r="BF1578" s="77"/>
      <c r="BG1578" s="77"/>
      <c r="BH1578" s="77"/>
      <c r="BI1578" s="77"/>
    </row>
    <row r="1579" spans="1:61" x14ac:dyDescent="0.25">
      <c r="A1579" s="62" t="s">
        <v>790</v>
      </c>
      <c r="B1579" s="62" t="s">
        <v>790</v>
      </c>
      <c r="C1579" s="63"/>
      <c r="D1579" s="64"/>
      <c r="E1579" s="65"/>
      <c r="F1579" s="66"/>
      <c r="G1579" s="63"/>
      <c r="H1579" s="67"/>
      <c r="I1579" s="68"/>
      <c r="J1579" s="68"/>
      <c r="K1579" s="32"/>
      <c r="L1579" s="75">
        <v>1579</v>
      </c>
      <c r="M1579" s="75"/>
      <c r="N1579" s="70"/>
      <c r="O1579" s="77" t="s">
        <v>179</v>
      </c>
      <c r="P1579" s="79">
        <v>45104.650057870371</v>
      </c>
      <c r="Q1579" s="77" t="s">
        <v>3475</v>
      </c>
      <c r="R1579" s="77">
        <v>1</v>
      </c>
      <c r="S1579" s="77">
        <v>4</v>
      </c>
      <c r="T1579" s="77">
        <v>1</v>
      </c>
      <c r="U1579" s="77">
        <v>0</v>
      </c>
      <c r="V1579" s="77">
        <v>1145</v>
      </c>
      <c r="W1579" s="80" t="s">
        <v>6272</v>
      </c>
      <c r="X1579" s="83" t="str">
        <f>HYPERLINK("https://www.moneytimes.com.br/corte-da-selic-em-agosto-entenda-a-ata-do-copom-em-quatro-pontos/")</f>
        <v>https://www.moneytimes.com.br/corte-da-selic-em-agosto-entenda-a-ata-do-copom-em-quatro-pontos/</v>
      </c>
      <c r="Y1579" s="77" t="s">
        <v>8611</v>
      </c>
      <c r="Z1579" s="77"/>
      <c r="AA1579" s="77"/>
      <c r="AB1579" s="77"/>
      <c r="AC1579" s="80" t="s">
        <v>10558</v>
      </c>
      <c r="AD1579" s="77" t="s">
        <v>10617</v>
      </c>
      <c r="AE1579" s="83" t="str">
        <f>HYPERLINK("https://twitter.com/leiamoneytimes/status/1673716838314782722")</f>
        <v>https://twitter.com/leiamoneytimes/status/1673716838314782722</v>
      </c>
      <c r="AF1579" s="79">
        <v>45104.650057870371</v>
      </c>
      <c r="AG1579" s="85">
        <v>45104</v>
      </c>
      <c r="AH1579" s="80" t="s">
        <v>12015</v>
      </c>
      <c r="AI1579" s="77" t="b">
        <v>0</v>
      </c>
      <c r="AJ1579" s="77"/>
      <c r="AK1579" s="77"/>
      <c r="AL1579" s="77"/>
      <c r="AM1579" s="77"/>
      <c r="AN1579" s="77"/>
      <c r="AO1579" s="77"/>
      <c r="AP1579" s="77"/>
      <c r="AQ1579" s="77"/>
      <c r="AR1579" s="77"/>
      <c r="AS1579" s="77"/>
      <c r="AT1579" s="77"/>
      <c r="AU1579" s="77"/>
      <c r="AV1579" s="83" t="str">
        <f>HYPERLINK("https://pbs.twimg.com/profile_images/1559883556846977024/bXHnQFY0_normal.jpg")</f>
        <v>https://pbs.twimg.com/profile_images/1559883556846977024/bXHnQFY0_normal.jpg</v>
      </c>
      <c r="AW1579" s="80" t="s">
        <v>17446</v>
      </c>
      <c r="AX1579" s="80" t="s">
        <v>17446</v>
      </c>
      <c r="AY1579" s="77"/>
      <c r="AZ1579" s="80" t="s">
        <v>20380</v>
      </c>
      <c r="BA1579" s="80" t="s">
        <v>20380</v>
      </c>
      <c r="BB1579" s="80" t="s">
        <v>20380</v>
      </c>
      <c r="BC1579" s="80" t="s">
        <v>17446</v>
      </c>
      <c r="BD1579" s="77">
        <v>51150679</v>
      </c>
      <c r="BE1579" s="77"/>
      <c r="BF1579" s="77"/>
      <c r="BG1579" s="77"/>
      <c r="BH1579" s="77"/>
      <c r="BI1579" s="77"/>
    </row>
    <row r="1580" spans="1:61" x14ac:dyDescent="0.25">
      <c r="A1580" s="62" t="s">
        <v>790</v>
      </c>
      <c r="B1580" s="62" t="s">
        <v>790</v>
      </c>
      <c r="C1580" s="63"/>
      <c r="D1580" s="64"/>
      <c r="E1580" s="65"/>
      <c r="F1580" s="66"/>
      <c r="G1580" s="63"/>
      <c r="H1580" s="67"/>
      <c r="I1580" s="68"/>
      <c r="J1580" s="68"/>
      <c r="K1580" s="32"/>
      <c r="L1580" s="75">
        <v>1580</v>
      </c>
      <c r="M1580" s="75"/>
      <c r="N1580" s="70"/>
      <c r="O1580" s="77" t="s">
        <v>179</v>
      </c>
      <c r="P1580" s="79">
        <v>45104.640173611115</v>
      </c>
      <c r="Q1580" s="77" t="s">
        <v>3476</v>
      </c>
      <c r="R1580" s="77">
        <v>0</v>
      </c>
      <c r="S1580" s="77">
        <v>4</v>
      </c>
      <c r="T1580" s="77">
        <v>2</v>
      </c>
      <c r="U1580" s="77">
        <v>0</v>
      </c>
      <c r="V1580" s="77">
        <v>1270</v>
      </c>
      <c r="W1580" s="80" t="s">
        <v>6953</v>
      </c>
      <c r="X1580" s="83" t="str">
        <f>HYPERLINK("https://www.moneytimes.com.br/haddad-diz-que-ata-do-copom-mostra-que-harmonizacao-entre-bc-e-governo-pode-acontecer/")</f>
        <v>https://www.moneytimes.com.br/haddad-diz-que-ata-do-copom-mostra-que-harmonizacao-entre-bc-e-governo-pode-acontecer/</v>
      </c>
      <c r="Y1580" s="77" t="s">
        <v>8611</v>
      </c>
      <c r="Z1580" s="77"/>
      <c r="AA1580" s="77"/>
      <c r="AB1580" s="77"/>
      <c r="AC1580" s="80" t="s">
        <v>10558</v>
      </c>
      <c r="AD1580" s="77" t="s">
        <v>10617</v>
      </c>
      <c r="AE1580" s="83" t="str">
        <f>HYPERLINK("https://twitter.com/leiamoneytimes/status/1673713256244936706")</f>
        <v>https://twitter.com/leiamoneytimes/status/1673713256244936706</v>
      </c>
      <c r="AF1580" s="79">
        <v>45104.640173611115</v>
      </c>
      <c r="AG1580" s="85">
        <v>45104</v>
      </c>
      <c r="AH1580" s="80" t="s">
        <v>12016</v>
      </c>
      <c r="AI1580" s="77" t="b">
        <v>0</v>
      </c>
      <c r="AJ1580" s="77"/>
      <c r="AK1580" s="77"/>
      <c r="AL1580" s="77"/>
      <c r="AM1580" s="77"/>
      <c r="AN1580" s="77"/>
      <c r="AO1580" s="77"/>
      <c r="AP1580" s="77"/>
      <c r="AQ1580" s="77"/>
      <c r="AR1580" s="77"/>
      <c r="AS1580" s="77"/>
      <c r="AT1580" s="77"/>
      <c r="AU1580" s="77"/>
      <c r="AV1580" s="83" t="str">
        <f>HYPERLINK("https://pbs.twimg.com/profile_images/1559883556846977024/bXHnQFY0_normal.jpg")</f>
        <v>https://pbs.twimg.com/profile_images/1559883556846977024/bXHnQFY0_normal.jpg</v>
      </c>
      <c r="AW1580" s="80" t="s">
        <v>17447</v>
      </c>
      <c r="AX1580" s="80" t="s">
        <v>17447</v>
      </c>
      <c r="AY1580" s="77"/>
      <c r="AZ1580" s="80" t="s">
        <v>20380</v>
      </c>
      <c r="BA1580" s="80" t="s">
        <v>20380</v>
      </c>
      <c r="BB1580" s="80" t="s">
        <v>20380</v>
      </c>
      <c r="BC1580" s="80" t="s">
        <v>17447</v>
      </c>
      <c r="BD1580" s="77">
        <v>51150679</v>
      </c>
      <c r="BE1580" s="77"/>
      <c r="BF1580" s="77"/>
      <c r="BG1580" s="77"/>
      <c r="BH1580" s="77"/>
      <c r="BI1580" s="77"/>
    </row>
    <row r="1581" spans="1:61" x14ac:dyDescent="0.25">
      <c r="A1581" s="62" t="s">
        <v>790</v>
      </c>
      <c r="B1581" s="62" t="s">
        <v>790</v>
      </c>
      <c r="C1581" s="63"/>
      <c r="D1581" s="64"/>
      <c r="E1581" s="65"/>
      <c r="F1581" s="66"/>
      <c r="G1581" s="63"/>
      <c r="H1581" s="67"/>
      <c r="I1581" s="68"/>
      <c r="J1581" s="68"/>
      <c r="K1581" s="32"/>
      <c r="L1581" s="75">
        <v>1581</v>
      </c>
      <c r="M1581" s="75"/>
      <c r="N1581" s="70"/>
      <c r="O1581" s="77" t="s">
        <v>179</v>
      </c>
      <c r="P1581" s="79">
        <v>45104.619490740741</v>
      </c>
      <c r="Q1581" s="77" t="s">
        <v>3477</v>
      </c>
      <c r="R1581" s="77">
        <v>1</v>
      </c>
      <c r="S1581" s="77">
        <v>8</v>
      </c>
      <c r="T1581" s="77">
        <v>1</v>
      </c>
      <c r="U1581" s="77">
        <v>0</v>
      </c>
      <c r="V1581" s="77">
        <v>1354</v>
      </c>
      <c r="W1581" s="80" t="s">
        <v>6985</v>
      </c>
      <c r="X1581" s="83" t="str">
        <f>HYPERLINK("https://www.moneytimes.com.br/ibovespa-ibov-cai-com-previa-de-inflacao-mais-alta-pesando-veja-os-indicadores-desta-terca-27/")</f>
        <v>https://www.moneytimes.com.br/ibovespa-ibov-cai-com-previa-de-inflacao-mais-alta-pesando-veja-os-indicadores-desta-terca-27/</v>
      </c>
      <c r="Y1581" s="77" t="s">
        <v>8611</v>
      </c>
      <c r="Z1581" s="77"/>
      <c r="AA1581" s="77"/>
      <c r="AB1581" s="77"/>
      <c r="AC1581" s="80" t="s">
        <v>10558</v>
      </c>
      <c r="AD1581" s="77" t="s">
        <v>10617</v>
      </c>
      <c r="AE1581" s="83" t="str">
        <f>HYPERLINK("https://twitter.com/leiamoneytimes/status/1673705762348990466")</f>
        <v>https://twitter.com/leiamoneytimes/status/1673705762348990466</v>
      </c>
      <c r="AF1581" s="79">
        <v>45104.619490740741</v>
      </c>
      <c r="AG1581" s="85">
        <v>45104</v>
      </c>
      <c r="AH1581" s="80" t="s">
        <v>12017</v>
      </c>
      <c r="AI1581" s="77" t="b">
        <v>0</v>
      </c>
      <c r="AJ1581" s="77"/>
      <c r="AK1581" s="77"/>
      <c r="AL1581" s="77"/>
      <c r="AM1581" s="77"/>
      <c r="AN1581" s="77"/>
      <c r="AO1581" s="77"/>
      <c r="AP1581" s="77"/>
      <c r="AQ1581" s="77"/>
      <c r="AR1581" s="77"/>
      <c r="AS1581" s="77"/>
      <c r="AT1581" s="77"/>
      <c r="AU1581" s="77"/>
      <c r="AV1581" s="83" t="str">
        <f>HYPERLINK("https://pbs.twimg.com/profile_images/1559883556846977024/bXHnQFY0_normal.jpg")</f>
        <v>https://pbs.twimg.com/profile_images/1559883556846977024/bXHnQFY0_normal.jpg</v>
      </c>
      <c r="AW1581" s="80" t="s">
        <v>17448</v>
      </c>
      <c r="AX1581" s="80" t="s">
        <v>17448</v>
      </c>
      <c r="AY1581" s="77"/>
      <c r="AZ1581" s="80" t="s">
        <v>20380</v>
      </c>
      <c r="BA1581" s="80" t="s">
        <v>20380</v>
      </c>
      <c r="BB1581" s="80" t="s">
        <v>20380</v>
      </c>
      <c r="BC1581" s="80" t="s">
        <v>17448</v>
      </c>
      <c r="BD1581" s="77">
        <v>51150679</v>
      </c>
      <c r="BE1581" s="77"/>
      <c r="BF1581" s="77"/>
      <c r="BG1581" s="77"/>
      <c r="BH1581" s="77"/>
      <c r="BI1581" s="77"/>
    </row>
    <row r="1582" spans="1:61" x14ac:dyDescent="0.25">
      <c r="A1582" s="62" t="s">
        <v>790</v>
      </c>
      <c r="B1582" s="62" t="s">
        <v>790</v>
      </c>
      <c r="C1582" s="63"/>
      <c r="D1582" s="64"/>
      <c r="E1582" s="65"/>
      <c r="F1582" s="66"/>
      <c r="G1582" s="63"/>
      <c r="H1582" s="67"/>
      <c r="I1582" s="68"/>
      <c r="J1582" s="68"/>
      <c r="K1582" s="32"/>
      <c r="L1582" s="75">
        <v>1582</v>
      </c>
      <c r="M1582" s="75"/>
      <c r="N1582" s="70"/>
      <c r="O1582" s="77" t="s">
        <v>179</v>
      </c>
      <c r="P1582" s="79">
        <v>45104.565752314818</v>
      </c>
      <c r="Q1582" s="77" t="s">
        <v>3478</v>
      </c>
      <c r="R1582" s="77">
        <v>0</v>
      </c>
      <c r="S1582" s="77">
        <v>1</v>
      </c>
      <c r="T1582" s="77">
        <v>1</v>
      </c>
      <c r="U1582" s="77">
        <v>0</v>
      </c>
      <c r="V1582" s="77">
        <v>953</v>
      </c>
      <c r="W1582" s="80" t="s">
        <v>6986</v>
      </c>
      <c r="X1582" s="83" t="str">
        <f>HYPERLINK("https://www.moneytimes.com.br/tesouro-direto-hoje-taxas-dos-prefixados-caem-para-1034-apos-corte-da-selic-em-agosto-voltar-ao-radar/")</f>
        <v>https://www.moneytimes.com.br/tesouro-direto-hoje-taxas-dos-prefixados-caem-para-1034-apos-corte-da-selic-em-agosto-voltar-ao-radar/</v>
      </c>
      <c r="Y1582" s="77" t="s">
        <v>8611</v>
      </c>
      <c r="Z1582" s="77"/>
      <c r="AA1582" s="77"/>
      <c r="AB1582" s="77"/>
      <c r="AC1582" s="80" t="s">
        <v>10558</v>
      </c>
      <c r="AD1582" s="77" t="s">
        <v>10617</v>
      </c>
      <c r="AE1582" s="83" t="str">
        <f>HYPERLINK("https://twitter.com/leiamoneytimes/status/1673686287767724034")</f>
        <v>https://twitter.com/leiamoneytimes/status/1673686287767724034</v>
      </c>
      <c r="AF1582" s="79">
        <v>45104.565752314818</v>
      </c>
      <c r="AG1582" s="85">
        <v>45104</v>
      </c>
      <c r="AH1582" s="80" t="s">
        <v>12018</v>
      </c>
      <c r="AI1582" s="77" t="b">
        <v>0</v>
      </c>
      <c r="AJ1582" s="77"/>
      <c r="AK1582" s="77"/>
      <c r="AL1582" s="77"/>
      <c r="AM1582" s="77"/>
      <c r="AN1582" s="77"/>
      <c r="AO1582" s="77"/>
      <c r="AP1582" s="77"/>
      <c r="AQ1582" s="77"/>
      <c r="AR1582" s="77"/>
      <c r="AS1582" s="77"/>
      <c r="AT1582" s="77"/>
      <c r="AU1582" s="77"/>
      <c r="AV1582" s="83" t="str">
        <f>HYPERLINK("https://pbs.twimg.com/profile_images/1559883556846977024/bXHnQFY0_normal.jpg")</f>
        <v>https://pbs.twimg.com/profile_images/1559883556846977024/bXHnQFY0_normal.jpg</v>
      </c>
      <c r="AW1582" s="80" t="s">
        <v>17449</v>
      </c>
      <c r="AX1582" s="80" t="s">
        <v>17449</v>
      </c>
      <c r="AY1582" s="77"/>
      <c r="AZ1582" s="80" t="s">
        <v>20380</v>
      </c>
      <c r="BA1582" s="80" t="s">
        <v>20380</v>
      </c>
      <c r="BB1582" s="80" t="s">
        <v>20380</v>
      </c>
      <c r="BC1582" s="80" t="s">
        <v>17449</v>
      </c>
      <c r="BD1582" s="77">
        <v>51150679</v>
      </c>
      <c r="BE1582" s="77"/>
      <c r="BF1582" s="77"/>
      <c r="BG1582" s="77"/>
      <c r="BH1582" s="77"/>
      <c r="BI1582" s="77"/>
    </row>
    <row r="1583" spans="1:61" x14ac:dyDescent="0.25">
      <c r="A1583" s="62" t="s">
        <v>790</v>
      </c>
      <c r="B1583" s="62" t="s">
        <v>790</v>
      </c>
      <c r="C1583" s="63"/>
      <c r="D1583" s="64"/>
      <c r="E1583" s="65"/>
      <c r="F1583" s="66"/>
      <c r="G1583" s="63"/>
      <c r="H1583" s="67"/>
      <c r="I1583" s="68"/>
      <c r="J1583" s="68"/>
      <c r="K1583" s="32"/>
      <c r="L1583" s="75">
        <v>1583</v>
      </c>
      <c r="M1583" s="75"/>
      <c r="N1583" s="70"/>
      <c r="O1583" s="77" t="s">
        <v>179</v>
      </c>
      <c r="P1583" s="79">
        <v>45104.5471875</v>
      </c>
      <c r="Q1583" s="77" t="s">
        <v>3479</v>
      </c>
      <c r="R1583" s="77">
        <v>0</v>
      </c>
      <c r="S1583" s="77">
        <v>1</v>
      </c>
      <c r="T1583" s="77">
        <v>1</v>
      </c>
      <c r="U1583" s="77">
        <v>0</v>
      </c>
      <c r="V1583" s="77">
        <v>952</v>
      </c>
      <c r="W1583" s="80" t="s">
        <v>6987</v>
      </c>
      <c r="X1583" s="83" t="str">
        <f>HYPERLINK("https://www.moneytimes.com.br/pix-vai-aposentar-o-cartao-de-credito-entenda-os-planos-do-banco-central/")</f>
        <v>https://www.moneytimes.com.br/pix-vai-aposentar-o-cartao-de-credito-entenda-os-planos-do-banco-central/</v>
      </c>
      <c r="Y1583" s="77" t="s">
        <v>8611</v>
      </c>
      <c r="Z1583" s="77"/>
      <c r="AA1583" s="77"/>
      <c r="AB1583" s="77"/>
      <c r="AC1583" s="80" t="s">
        <v>10558</v>
      </c>
      <c r="AD1583" s="77" t="s">
        <v>10617</v>
      </c>
      <c r="AE1583" s="83" t="str">
        <f>HYPERLINK("https://twitter.com/leiamoneytimes/status/1673679563002454020")</f>
        <v>https://twitter.com/leiamoneytimes/status/1673679563002454020</v>
      </c>
      <c r="AF1583" s="79">
        <v>45104.5471875</v>
      </c>
      <c r="AG1583" s="85">
        <v>45104</v>
      </c>
      <c r="AH1583" s="80" t="s">
        <v>12019</v>
      </c>
      <c r="AI1583" s="77" t="b">
        <v>0</v>
      </c>
      <c r="AJ1583" s="77"/>
      <c r="AK1583" s="77"/>
      <c r="AL1583" s="77"/>
      <c r="AM1583" s="77"/>
      <c r="AN1583" s="77"/>
      <c r="AO1583" s="77"/>
      <c r="AP1583" s="77"/>
      <c r="AQ1583" s="77"/>
      <c r="AR1583" s="77"/>
      <c r="AS1583" s="77"/>
      <c r="AT1583" s="77"/>
      <c r="AU1583" s="77"/>
      <c r="AV1583" s="83" t="str">
        <f>HYPERLINK("https://pbs.twimg.com/profile_images/1559883556846977024/bXHnQFY0_normal.jpg")</f>
        <v>https://pbs.twimg.com/profile_images/1559883556846977024/bXHnQFY0_normal.jpg</v>
      </c>
      <c r="AW1583" s="80" t="s">
        <v>17450</v>
      </c>
      <c r="AX1583" s="80" t="s">
        <v>17450</v>
      </c>
      <c r="AY1583" s="77"/>
      <c r="AZ1583" s="80" t="s">
        <v>20380</v>
      </c>
      <c r="BA1583" s="80" t="s">
        <v>20380</v>
      </c>
      <c r="BB1583" s="80" t="s">
        <v>20380</v>
      </c>
      <c r="BC1583" s="80" t="s">
        <v>17450</v>
      </c>
      <c r="BD1583" s="77">
        <v>51150679</v>
      </c>
      <c r="BE1583" s="77"/>
      <c r="BF1583" s="77"/>
      <c r="BG1583" s="77"/>
      <c r="BH1583" s="77"/>
      <c r="BI1583" s="77"/>
    </row>
    <row r="1584" spans="1:61" x14ac:dyDescent="0.25">
      <c r="A1584" s="62" t="s">
        <v>790</v>
      </c>
      <c r="B1584" s="62" t="s">
        <v>790</v>
      </c>
      <c r="C1584" s="63"/>
      <c r="D1584" s="64"/>
      <c r="E1584" s="65"/>
      <c r="F1584" s="66"/>
      <c r="G1584" s="63"/>
      <c r="H1584" s="67"/>
      <c r="I1584" s="68"/>
      <c r="J1584" s="68"/>
      <c r="K1584" s="32"/>
      <c r="L1584" s="75">
        <v>1584</v>
      </c>
      <c r="M1584" s="75"/>
      <c r="N1584" s="70"/>
      <c r="O1584" s="77" t="s">
        <v>179</v>
      </c>
      <c r="P1584" s="79">
        <v>45104.504675925928</v>
      </c>
      <c r="Q1584" s="77" t="s">
        <v>3480</v>
      </c>
      <c r="R1584" s="77">
        <v>3</v>
      </c>
      <c r="S1584" s="77">
        <v>14</v>
      </c>
      <c r="T1584" s="77">
        <v>3</v>
      </c>
      <c r="U1584" s="77">
        <v>0</v>
      </c>
      <c r="V1584" s="77">
        <v>1847</v>
      </c>
      <c r="W1584" s="80" t="s">
        <v>6272</v>
      </c>
      <c r="X1584" s="83" t="str">
        <f>HYPERLINK("https://www.moneytimes.com.br/ata-do-copom-banco-central-confirma-que-pode-cortar-selic-em-agosto-veja-o-que-falta-para-isso-acontecer/")</f>
        <v>https://www.moneytimes.com.br/ata-do-copom-banco-central-confirma-que-pode-cortar-selic-em-agosto-veja-o-que-falta-para-isso-acontecer/</v>
      </c>
      <c r="Y1584" s="77" t="s">
        <v>8611</v>
      </c>
      <c r="Z1584" s="77"/>
      <c r="AA1584" s="77"/>
      <c r="AB1584" s="77"/>
      <c r="AC1584" s="80" t="s">
        <v>10558</v>
      </c>
      <c r="AD1584" s="77" t="s">
        <v>10617</v>
      </c>
      <c r="AE1584" s="83" t="str">
        <f>HYPERLINK("https://twitter.com/leiamoneytimes/status/1673664153834205186")</f>
        <v>https://twitter.com/leiamoneytimes/status/1673664153834205186</v>
      </c>
      <c r="AF1584" s="79">
        <v>45104.504675925928</v>
      </c>
      <c r="AG1584" s="85">
        <v>45104</v>
      </c>
      <c r="AH1584" s="80" t="s">
        <v>10757</v>
      </c>
      <c r="AI1584" s="77" t="b">
        <v>0</v>
      </c>
      <c r="AJ1584" s="77"/>
      <c r="AK1584" s="77"/>
      <c r="AL1584" s="77"/>
      <c r="AM1584" s="77"/>
      <c r="AN1584" s="77"/>
      <c r="AO1584" s="77"/>
      <c r="AP1584" s="77"/>
      <c r="AQ1584" s="77"/>
      <c r="AR1584" s="77"/>
      <c r="AS1584" s="77"/>
      <c r="AT1584" s="77"/>
      <c r="AU1584" s="77"/>
      <c r="AV1584" s="83" t="str">
        <f>HYPERLINK("https://pbs.twimg.com/profile_images/1559883556846977024/bXHnQFY0_normal.jpg")</f>
        <v>https://pbs.twimg.com/profile_images/1559883556846977024/bXHnQFY0_normal.jpg</v>
      </c>
      <c r="AW1584" s="80" t="s">
        <v>17451</v>
      </c>
      <c r="AX1584" s="80" t="s">
        <v>17451</v>
      </c>
      <c r="AY1584" s="77"/>
      <c r="AZ1584" s="80" t="s">
        <v>20380</v>
      </c>
      <c r="BA1584" s="80" t="s">
        <v>20380</v>
      </c>
      <c r="BB1584" s="80" t="s">
        <v>20380</v>
      </c>
      <c r="BC1584" s="80" t="s">
        <v>17451</v>
      </c>
      <c r="BD1584" s="77">
        <v>51150679</v>
      </c>
      <c r="BE1584" s="77"/>
      <c r="BF1584" s="77"/>
      <c r="BG1584" s="77"/>
      <c r="BH1584" s="77"/>
      <c r="BI1584" s="77"/>
    </row>
    <row r="1585" spans="1:61" x14ac:dyDescent="0.25">
      <c r="A1585" s="62" t="s">
        <v>790</v>
      </c>
      <c r="B1585" s="62" t="s">
        <v>790</v>
      </c>
      <c r="C1585" s="63"/>
      <c r="D1585" s="64"/>
      <c r="E1585" s="65"/>
      <c r="F1585" s="66"/>
      <c r="G1585" s="63"/>
      <c r="H1585" s="67"/>
      <c r="I1585" s="68"/>
      <c r="J1585" s="68"/>
      <c r="K1585" s="32"/>
      <c r="L1585" s="75">
        <v>1585</v>
      </c>
      <c r="M1585" s="75"/>
      <c r="N1585" s="70"/>
      <c r="O1585" s="77" t="s">
        <v>179</v>
      </c>
      <c r="P1585" s="79">
        <v>45104.452662037038</v>
      </c>
      <c r="Q1585" s="77" t="s">
        <v>3481</v>
      </c>
      <c r="R1585" s="77">
        <v>0</v>
      </c>
      <c r="S1585" s="77">
        <v>4</v>
      </c>
      <c r="T1585" s="77">
        <v>1</v>
      </c>
      <c r="U1585" s="77">
        <v>0</v>
      </c>
      <c r="V1585" s="77">
        <v>1195</v>
      </c>
      <c r="W1585" s="80" t="s">
        <v>6927</v>
      </c>
      <c r="X1585" s="83" t="str">
        <f>HYPERLINK("https://www.moneytimes.com.br/bolsonaro-volta-para-o-banco-dos-reus-do-tse-veja-o-que-movimenta-a-terca-27/")</f>
        <v>https://www.moneytimes.com.br/bolsonaro-volta-para-o-banco-dos-reus-do-tse-veja-o-que-movimenta-a-terca-27/</v>
      </c>
      <c r="Y1585" s="77" t="s">
        <v>8611</v>
      </c>
      <c r="Z1585" s="77"/>
      <c r="AA1585" s="77"/>
      <c r="AB1585" s="77"/>
      <c r="AC1585" s="80" t="s">
        <v>10558</v>
      </c>
      <c r="AD1585" s="77" t="s">
        <v>10617</v>
      </c>
      <c r="AE1585" s="83" t="str">
        <f>HYPERLINK("https://twitter.com/leiamoneytimes/status/1673645305022099458")</f>
        <v>https://twitter.com/leiamoneytimes/status/1673645305022099458</v>
      </c>
      <c r="AF1585" s="79">
        <v>45104.452662037038</v>
      </c>
      <c r="AG1585" s="85">
        <v>45104</v>
      </c>
      <c r="AH1585" s="80" t="s">
        <v>12020</v>
      </c>
      <c r="AI1585" s="77" t="b">
        <v>0</v>
      </c>
      <c r="AJ1585" s="77"/>
      <c r="AK1585" s="77"/>
      <c r="AL1585" s="77"/>
      <c r="AM1585" s="77"/>
      <c r="AN1585" s="77"/>
      <c r="AO1585" s="77"/>
      <c r="AP1585" s="77"/>
      <c r="AQ1585" s="77"/>
      <c r="AR1585" s="77"/>
      <c r="AS1585" s="77"/>
      <c r="AT1585" s="77"/>
      <c r="AU1585" s="77"/>
      <c r="AV1585" s="83" t="str">
        <f>HYPERLINK("https://pbs.twimg.com/profile_images/1559883556846977024/bXHnQFY0_normal.jpg")</f>
        <v>https://pbs.twimg.com/profile_images/1559883556846977024/bXHnQFY0_normal.jpg</v>
      </c>
      <c r="AW1585" s="80" t="s">
        <v>17452</v>
      </c>
      <c r="AX1585" s="80" t="s">
        <v>17452</v>
      </c>
      <c r="AY1585" s="77"/>
      <c r="AZ1585" s="80" t="s">
        <v>20380</v>
      </c>
      <c r="BA1585" s="80" t="s">
        <v>20380</v>
      </c>
      <c r="BB1585" s="80" t="s">
        <v>20380</v>
      </c>
      <c r="BC1585" s="80" t="s">
        <v>17452</v>
      </c>
      <c r="BD1585" s="77">
        <v>51150679</v>
      </c>
      <c r="BE1585" s="77"/>
      <c r="BF1585" s="77"/>
      <c r="BG1585" s="77"/>
      <c r="BH1585" s="77"/>
      <c r="BI1585" s="77"/>
    </row>
    <row r="1586" spans="1:61" x14ac:dyDescent="0.25">
      <c r="A1586" s="62" t="s">
        <v>790</v>
      </c>
      <c r="B1586" s="62" t="s">
        <v>790</v>
      </c>
      <c r="C1586" s="63"/>
      <c r="D1586" s="64"/>
      <c r="E1586" s="65"/>
      <c r="F1586" s="66"/>
      <c r="G1586" s="63"/>
      <c r="H1586" s="67"/>
      <c r="I1586" s="68"/>
      <c r="J1586" s="68"/>
      <c r="K1586" s="32"/>
      <c r="L1586" s="75">
        <v>1586</v>
      </c>
      <c r="M1586" s="75"/>
      <c r="N1586" s="70"/>
      <c r="O1586" s="77" t="s">
        <v>179</v>
      </c>
      <c r="P1586" s="79">
        <v>45104.435844907406</v>
      </c>
      <c r="Q1586" s="77" t="s">
        <v>3482</v>
      </c>
      <c r="R1586" s="77">
        <v>0</v>
      </c>
      <c r="S1586" s="77">
        <v>4</v>
      </c>
      <c r="T1586" s="77">
        <v>2</v>
      </c>
      <c r="U1586" s="77">
        <v>0</v>
      </c>
      <c r="V1586" s="77">
        <v>1433</v>
      </c>
      <c r="W1586" s="80" t="s">
        <v>6929</v>
      </c>
      <c r="X1586" s="83" t="str">
        <f>HYPERLINK("https://www.moneytimes.com.br/morning-times-ata-do-copom-pode-ser-novo-balde-de-agua-fria-ou-um-cobertor-quente/")</f>
        <v>https://www.moneytimes.com.br/morning-times-ata-do-copom-pode-ser-novo-balde-de-agua-fria-ou-um-cobertor-quente/</v>
      </c>
      <c r="Y1586" s="77" t="s">
        <v>8611</v>
      </c>
      <c r="Z1586" s="77"/>
      <c r="AA1586" s="77"/>
      <c r="AB1586" s="77"/>
      <c r="AC1586" s="80" t="s">
        <v>10558</v>
      </c>
      <c r="AD1586" s="77" t="s">
        <v>10617</v>
      </c>
      <c r="AE1586" s="83" t="str">
        <f>HYPERLINK("https://twitter.com/leiamoneytimes/status/1673639212099223552")</f>
        <v>https://twitter.com/leiamoneytimes/status/1673639212099223552</v>
      </c>
      <c r="AF1586" s="79">
        <v>45104.435844907406</v>
      </c>
      <c r="AG1586" s="85">
        <v>45104</v>
      </c>
      <c r="AH1586" s="80" t="s">
        <v>12021</v>
      </c>
      <c r="AI1586" s="77" t="b">
        <v>0</v>
      </c>
      <c r="AJ1586" s="77"/>
      <c r="AK1586" s="77"/>
      <c r="AL1586" s="77"/>
      <c r="AM1586" s="77"/>
      <c r="AN1586" s="77"/>
      <c r="AO1586" s="77"/>
      <c r="AP1586" s="77"/>
      <c r="AQ1586" s="77"/>
      <c r="AR1586" s="77"/>
      <c r="AS1586" s="77"/>
      <c r="AT1586" s="77"/>
      <c r="AU1586" s="77"/>
      <c r="AV1586" s="83" t="str">
        <f>HYPERLINK("https://pbs.twimg.com/profile_images/1559883556846977024/bXHnQFY0_normal.jpg")</f>
        <v>https://pbs.twimg.com/profile_images/1559883556846977024/bXHnQFY0_normal.jpg</v>
      </c>
      <c r="AW1586" s="80" t="s">
        <v>17453</v>
      </c>
      <c r="AX1586" s="80" t="s">
        <v>17453</v>
      </c>
      <c r="AY1586" s="77"/>
      <c r="AZ1586" s="80" t="s">
        <v>20380</v>
      </c>
      <c r="BA1586" s="80" t="s">
        <v>20380</v>
      </c>
      <c r="BB1586" s="80" t="s">
        <v>20380</v>
      </c>
      <c r="BC1586" s="80" t="s">
        <v>17453</v>
      </c>
      <c r="BD1586" s="77">
        <v>51150679</v>
      </c>
      <c r="BE1586" s="77"/>
      <c r="BF1586" s="77"/>
      <c r="BG1586" s="77"/>
      <c r="BH1586" s="77"/>
      <c r="BI1586" s="77"/>
    </row>
    <row r="1587" spans="1:61" x14ac:dyDescent="0.25">
      <c r="A1587" s="62" t="s">
        <v>790</v>
      </c>
      <c r="B1587" s="62" t="s">
        <v>790</v>
      </c>
      <c r="C1587" s="63"/>
      <c r="D1587" s="64"/>
      <c r="E1587" s="65"/>
      <c r="F1587" s="66"/>
      <c r="G1587" s="63"/>
      <c r="H1587" s="67"/>
      <c r="I1587" s="68"/>
      <c r="J1587" s="68"/>
      <c r="K1587" s="32"/>
      <c r="L1587" s="75">
        <v>1587</v>
      </c>
      <c r="M1587" s="75"/>
      <c r="N1587" s="70"/>
      <c r="O1587" s="77" t="s">
        <v>179</v>
      </c>
      <c r="P1587" s="79">
        <v>45103.834120370368</v>
      </c>
      <c r="Q1587" s="77" t="s">
        <v>3483</v>
      </c>
      <c r="R1587" s="77">
        <v>0</v>
      </c>
      <c r="S1587" s="77">
        <v>9</v>
      </c>
      <c r="T1587" s="77">
        <v>1</v>
      </c>
      <c r="U1587" s="77">
        <v>0</v>
      </c>
      <c r="V1587" s="77">
        <v>1357</v>
      </c>
      <c r="W1587" s="80" t="s">
        <v>6931</v>
      </c>
      <c r="X1587" s="83" t="str">
        <f>HYPERLINK("https://www.moneytimes.com.br/inflacao-pode-pegar-mercado-de-surpresa-veja-o-que-esperar-do-ipca-15-de-junho/")</f>
        <v>https://www.moneytimes.com.br/inflacao-pode-pegar-mercado-de-surpresa-veja-o-que-esperar-do-ipca-15-de-junho/</v>
      </c>
      <c r="Y1587" s="77" t="s">
        <v>8611</v>
      </c>
      <c r="Z1587" s="77"/>
      <c r="AA1587" s="77"/>
      <c r="AB1587" s="77"/>
      <c r="AC1587" s="80" t="s">
        <v>10558</v>
      </c>
      <c r="AD1587" s="77" t="s">
        <v>10617</v>
      </c>
      <c r="AE1587" s="83" t="str">
        <f>HYPERLINK("https://twitter.com/leiamoneytimes/status/1673421152364949533")</f>
        <v>https://twitter.com/leiamoneytimes/status/1673421152364949533</v>
      </c>
      <c r="AF1587" s="79">
        <v>45103.834120370368</v>
      </c>
      <c r="AG1587" s="85">
        <v>45103</v>
      </c>
      <c r="AH1587" s="80" t="s">
        <v>12022</v>
      </c>
      <c r="AI1587" s="77" t="b">
        <v>0</v>
      </c>
      <c r="AJ1587" s="77"/>
      <c r="AK1587" s="77"/>
      <c r="AL1587" s="77"/>
      <c r="AM1587" s="77"/>
      <c r="AN1587" s="77"/>
      <c r="AO1587" s="77"/>
      <c r="AP1587" s="77"/>
      <c r="AQ1587" s="77"/>
      <c r="AR1587" s="77"/>
      <c r="AS1587" s="77"/>
      <c r="AT1587" s="77"/>
      <c r="AU1587" s="77"/>
      <c r="AV1587" s="83" t="str">
        <f>HYPERLINK("https://pbs.twimg.com/profile_images/1559883556846977024/bXHnQFY0_normal.jpg")</f>
        <v>https://pbs.twimg.com/profile_images/1559883556846977024/bXHnQFY0_normal.jpg</v>
      </c>
      <c r="AW1587" s="80" t="s">
        <v>17454</v>
      </c>
      <c r="AX1587" s="80" t="s">
        <v>17454</v>
      </c>
      <c r="AY1587" s="77"/>
      <c r="AZ1587" s="80" t="s">
        <v>20380</v>
      </c>
      <c r="BA1587" s="80" t="s">
        <v>20380</v>
      </c>
      <c r="BB1587" s="80" t="s">
        <v>20380</v>
      </c>
      <c r="BC1587" s="80" t="s">
        <v>17454</v>
      </c>
      <c r="BD1587" s="77">
        <v>51150679</v>
      </c>
      <c r="BE1587" s="77"/>
      <c r="BF1587" s="77"/>
      <c r="BG1587" s="77"/>
      <c r="BH1587" s="77"/>
      <c r="BI1587" s="77"/>
    </row>
    <row r="1588" spans="1:61" x14ac:dyDescent="0.25">
      <c r="A1588" s="62" t="s">
        <v>790</v>
      </c>
      <c r="B1588" s="62" t="s">
        <v>790</v>
      </c>
      <c r="C1588" s="63"/>
      <c r="D1588" s="64"/>
      <c r="E1588" s="65"/>
      <c r="F1588" s="66"/>
      <c r="G1588" s="63"/>
      <c r="H1588" s="67"/>
      <c r="I1588" s="68"/>
      <c r="J1588" s="68"/>
      <c r="K1588" s="32"/>
      <c r="L1588" s="75">
        <v>1588</v>
      </c>
      <c r="M1588" s="75"/>
      <c r="N1588" s="70"/>
      <c r="O1588" s="77" t="s">
        <v>179</v>
      </c>
      <c r="P1588" s="79">
        <v>45103.739641203705</v>
      </c>
      <c r="Q1588" s="77" t="s">
        <v>3484</v>
      </c>
      <c r="R1588" s="77">
        <v>1</v>
      </c>
      <c r="S1588" s="77">
        <v>3</v>
      </c>
      <c r="T1588" s="77">
        <v>2</v>
      </c>
      <c r="U1588" s="77">
        <v>0</v>
      </c>
      <c r="V1588" s="77">
        <v>1131</v>
      </c>
      <c r="W1588" s="80" t="s">
        <v>6945</v>
      </c>
      <c r="X1588" s="83" t="str">
        <f>HYPERLINK("https://www.moneytimes.com.br/reuniao-do-cmn-meta-de-inflacao-e-decisiva-para-futuro-da-selic-entenda/")</f>
        <v>https://www.moneytimes.com.br/reuniao-do-cmn-meta-de-inflacao-e-decisiva-para-futuro-da-selic-entenda/</v>
      </c>
      <c r="Y1588" s="77" t="s">
        <v>8611</v>
      </c>
      <c r="Z1588" s="77"/>
      <c r="AA1588" s="77"/>
      <c r="AB1588" s="77"/>
      <c r="AC1588" s="80" t="s">
        <v>10558</v>
      </c>
      <c r="AD1588" s="77" t="s">
        <v>10617</v>
      </c>
      <c r="AE1588" s="83" t="str">
        <f>HYPERLINK("https://twitter.com/leiamoneytimes/status/1673386914387296257")</f>
        <v>https://twitter.com/leiamoneytimes/status/1673386914387296257</v>
      </c>
      <c r="AF1588" s="79">
        <v>45103.739641203705</v>
      </c>
      <c r="AG1588" s="85">
        <v>45103</v>
      </c>
      <c r="AH1588" s="80" t="s">
        <v>12023</v>
      </c>
      <c r="AI1588" s="77" t="b">
        <v>0</v>
      </c>
      <c r="AJ1588" s="77"/>
      <c r="AK1588" s="77"/>
      <c r="AL1588" s="77"/>
      <c r="AM1588" s="77"/>
      <c r="AN1588" s="77"/>
      <c r="AO1588" s="77"/>
      <c r="AP1588" s="77"/>
      <c r="AQ1588" s="77"/>
      <c r="AR1588" s="77"/>
      <c r="AS1588" s="77"/>
      <c r="AT1588" s="77"/>
      <c r="AU1588" s="77"/>
      <c r="AV1588" s="83" t="str">
        <f>HYPERLINK("https://pbs.twimg.com/profile_images/1559883556846977024/bXHnQFY0_normal.jpg")</f>
        <v>https://pbs.twimg.com/profile_images/1559883556846977024/bXHnQFY0_normal.jpg</v>
      </c>
      <c r="AW1588" s="80" t="s">
        <v>17455</v>
      </c>
      <c r="AX1588" s="80" t="s">
        <v>17455</v>
      </c>
      <c r="AY1588" s="77"/>
      <c r="AZ1588" s="80" t="s">
        <v>20380</v>
      </c>
      <c r="BA1588" s="80" t="s">
        <v>20380</v>
      </c>
      <c r="BB1588" s="80" t="s">
        <v>20380</v>
      </c>
      <c r="BC1588" s="80" t="s">
        <v>17455</v>
      </c>
      <c r="BD1588" s="77">
        <v>51150679</v>
      </c>
      <c r="BE1588" s="77"/>
      <c r="BF1588" s="77"/>
      <c r="BG1588" s="77"/>
      <c r="BH1588" s="77"/>
      <c r="BI1588" s="77"/>
    </row>
    <row r="1589" spans="1:61" x14ac:dyDescent="0.25">
      <c r="A1589" s="62" t="s">
        <v>790</v>
      </c>
      <c r="B1589" s="62" t="s">
        <v>790</v>
      </c>
      <c r="C1589" s="63"/>
      <c r="D1589" s="64"/>
      <c r="E1589" s="65"/>
      <c r="F1589" s="66"/>
      <c r="G1589" s="63"/>
      <c r="H1589" s="67"/>
      <c r="I1589" s="68"/>
      <c r="J1589" s="68"/>
      <c r="K1589" s="32"/>
      <c r="L1589" s="75">
        <v>1589</v>
      </c>
      <c r="M1589" s="75"/>
      <c r="N1589" s="70"/>
      <c r="O1589" s="77" t="s">
        <v>179</v>
      </c>
      <c r="P1589" s="79">
        <v>45103.645185185182</v>
      </c>
      <c r="Q1589" s="77" t="s">
        <v>3485</v>
      </c>
      <c r="R1589" s="77">
        <v>0</v>
      </c>
      <c r="S1589" s="77">
        <v>2</v>
      </c>
      <c r="T1589" s="77">
        <v>1</v>
      </c>
      <c r="U1589" s="77">
        <v>0</v>
      </c>
      <c r="V1589" s="77">
        <v>1232</v>
      </c>
      <c r="W1589" s="80" t="s">
        <v>6988</v>
      </c>
      <c r="X1589" s="83" t="str">
        <f>HYPERLINK("https://www.moneytimes.com.br/america-latina-pode-liderar-cortes-de-juros-apos-aperto-monetario-recorde/")</f>
        <v>https://www.moneytimes.com.br/america-latina-pode-liderar-cortes-de-juros-apos-aperto-monetario-recorde/</v>
      </c>
      <c r="Y1589" s="77" t="s">
        <v>8611</v>
      </c>
      <c r="Z1589" s="77"/>
      <c r="AA1589" s="77"/>
      <c r="AB1589" s="77"/>
      <c r="AC1589" s="80" t="s">
        <v>10558</v>
      </c>
      <c r="AD1589" s="77" t="s">
        <v>10617</v>
      </c>
      <c r="AE1589" s="83" t="str">
        <f>HYPERLINK("https://twitter.com/leiamoneytimes/status/1673352686589050880")</f>
        <v>https://twitter.com/leiamoneytimes/status/1673352686589050880</v>
      </c>
      <c r="AF1589" s="79">
        <v>45103.645185185182</v>
      </c>
      <c r="AG1589" s="85">
        <v>45103</v>
      </c>
      <c r="AH1589" s="80" t="s">
        <v>12024</v>
      </c>
      <c r="AI1589" s="77" t="b">
        <v>0</v>
      </c>
      <c r="AJ1589" s="77"/>
      <c r="AK1589" s="77"/>
      <c r="AL1589" s="77"/>
      <c r="AM1589" s="77"/>
      <c r="AN1589" s="77"/>
      <c r="AO1589" s="77"/>
      <c r="AP1589" s="77"/>
      <c r="AQ1589" s="77"/>
      <c r="AR1589" s="77"/>
      <c r="AS1589" s="77"/>
      <c r="AT1589" s="77"/>
      <c r="AU1589" s="77"/>
      <c r="AV1589" s="83" t="str">
        <f>HYPERLINK("https://pbs.twimg.com/profile_images/1559883556846977024/bXHnQFY0_normal.jpg")</f>
        <v>https://pbs.twimg.com/profile_images/1559883556846977024/bXHnQFY0_normal.jpg</v>
      </c>
      <c r="AW1589" s="80" t="s">
        <v>17456</v>
      </c>
      <c r="AX1589" s="80" t="s">
        <v>17456</v>
      </c>
      <c r="AY1589" s="77"/>
      <c r="AZ1589" s="80" t="s">
        <v>20380</v>
      </c>
      <c r="BA1589" s="80" t="s">
        <v>20380</v>
      </c>
      <c r="BB1589" s="80" t="s">
        <v>20380</v>
      </c>
      <c r="BC1589" s="80" t="s">
        <v>17456</v>
      </c>
      <c r="BD1589" s="77">
        <v>51150679</v>
      </c>
      <c r="BE1589" s="77"/>
      <c r="BF1589" s="77"/>
      <c r="BG1589" s="77"/>
      <c r="BH1589" s="77"/>
      <c r="BI1589" s="77"/>
    </row>
    <row r="1590" spans="1:61" x14ac:dyDescent="0.25">
      <c r="A1590" s="62" t="s">
        <v>790</v>
      </c>
      <c r="B1590" s="62" t="s">
        <v>790</v>
      </c>
      <c r="C1590" s="63"/>
      <c r="D1590" s="64"/>
      <c r="E1590" s="65"/>
      <c r="F1590" s="66"/>
      <c r="G1590" s="63"/>
      <c r="H1590" s="67"/>
      <c r="I1590" s="68"/>
      <c r="J1590" s="68"/>
      <c r="K1590" s="32"/>
      <c r="L1590" s="75">
        <v>1590</v>
      </c>
      <c r="M1590" s="75"/>
      <c r="N1590" s="70"/>
      <c r="O1590" s="77" t="s">
        <v>179</v>
      </c>
      <c r="P1590" s="79">
        <v>45103.525254629632</v>
      </c>
      <c r="Q1590" s="77" t="s">
        <v>3486</v>
      </c>
      <c r="R1590" s="77">
        <v>0</v>
      </c>
      <c r="S1590" s="77">
        <v>1</v>
      </c>
      <c r="T1590" s="77">
        <v>1</v>
      </c>
      <c r="U1590" s="77">
        <v>0</v>
      </c>
      <c r="V1590" s="77">
        <v>1108</v>
      </c>
      <c r="W1590" s="80" t="s">
        <v>6966</v>
      </c>
      <c r="X1590" s="83" t="str">
        <f>HYPERLINK("https://www.moneytimes.com.br/dolar-ronda-estabilidade-de-olho-na-geopolitica-e-com-agenda-cheia-na-semana/")</f>
        <v>https://www.moneytimes.com.br/dolar-ronda-estabilidade-de-olho-na-geopolitica-e-com-agenda-cheia-na-semana/</v>
      </c>
      <c r="Y1590" s="77" t="s">
        <v>8611</v>
      </c>
      <c r="Z1590" s="77"/>
      <c r="AA1590" s="77"/>
      <c r="AB1590" s="77"/>
      <c r="AC1590" s="80" t="s">
        <v>10558</v>
      </c>
      <c r="AD1590" s="77" t="s">
        <v>10617</v>
      </c>
      <c r="AE1590" s="83" t="str">
        <f>HYPERLINK("https://twitter.com/leiamoneytimes/status/1673309223524892674")</f>
        <v>https://twitter.com/leiamoneytimes/status/1673309223524892674</v>
      </c>
      <c r="AF1590" s="79">
        <v>45103.525254629632</v>
      </c>
      <c r="AG1590" s="85">
        <v>45103</v>
      </c>
      <c r="AH1590" s="80" t="s">
        <v>12025</v>
      </c>
      <c r="AI1590" s="77" t="b">
        <v>0</v>
      </c>
      <c r="AJ1590" s="77"/>
      <c r="AK1590" s="77"/>
      <c r="AL1590" s="77"/>
      <c r="AM1590" s="77"/>
      <c r="AN1590" s="77"/>
      <c r="AO1590" s="77"/>
      <c r="AP1590" s="77"/>
      <c r="AQ1590" s="77"/>
      <c r="AR1590" s="77"/>
      <c r="AS1590" s="77"/>
      <c r="AT1590" s="77"/>
      <c r="AU1590" s="77"/>
      <c r="AV1590" s="83" t="str">
        <f>HYPERLINK("https://pbs.twimg.com/profile_images/1559883556846977024/bXHnQFY0_normal.jpg")</f>
        <v>https://pbs.twimg.com/profile_images/1559883556846977024/bXHnQFY0_normal.jpg</v>
      </c>
      <c r="AW1590" s="80" t="s">
        <v>17457</v>
      </c>
      <c r="AX1590" s="80" t="s">
        <v>17457</v>
      </c>
      <c r="AY1590" s="77"/>
      <c r="AZ1590" s="80" t="s">
        <v>20380</v>
      </c>
      <c r="BA1590" s="80" t="s">
        <v>20380</v>
      </c>
      <c r="BB1590" s="80" t="s">
        <v>20380</v>
      </c>
      <c r="BC1590" s="80" t="s">
        <v>17457</v>
      </c>
      <c r="BD1590" s="77">
        <v>51150679</v>
      </c>
      <c r="BE1590" s="77"/>
      <c r="BF1590" s="77"/>
      <c r="BG1590" s="77"/>
      <c r="BH1590" s="77"/>
      <c r="BI1590" s="77"/>
    </row>
    <row r="1591" spans="1:61" x14ac:dyDescent="0.25">
      <c r="A1591" s="62" t="s">
        <v>790</v>
      </c>
      <c r="B1591" s="62" t="s">
        <v>790</v>
      </c>
      <c r="C1591" s="63"/>
      <c r="D1591" s="64"/>
      <c r="E1591" s="65"/>
      <c r="F1591" s="66"/>
      <c r="G1591" s="63"/>
      <c r="H1591" s="67"/>
      <c r="I1591" s="68"/>
      <c r="J1591" s="68"/>
      <c r="K1591" s="32"/>
      <c r="L1591" s="75">
        <v>1591</v>
      </c>
      <c r="M1591" s="75"/>
      <c r="N1591" s="70"/>
      <c r="O1591" s="77" t="s">
        <v>179</v>
      </c>
      <c r="P1591" s="79">
        <v>45090.694004629629</v>
      </c>
      <c r="Q1591" s="77" t="s">
        <v>3487</v>
      </c>
      <c r="R1591" s="77">
        <v>3</v>
      </c>
      <c r="S1591" s="77">
        <v>18</v>
      </c>
      <c r="T1591" s="77">
        <v>0</v>
      </c>
      <c r="U1591" s="77">
        <v>1</v>
      </c>
      <c r="V1591" s="77">
        <v>2213</v>
      </c>
      <c r="W1591" s="80" t="s">
        <v>6931</v>
      </c>
      <c r="X1591" s="83" t="str">
        <f>HYPERLINK("https://www.moneytimes.com.br/fim-da-selic-a-1375-por-que-banco-central-pode-cortar-a-taxa-de-juros-em-agosto/")</f>
        <v>https://www.moneytimes.com.br/fim-da-selic-a-1375-por-que-banco-central-pode-cortar-a-taxa-de-juros-em-agosto/</v>
      </c>
      <c r="Y1591" s="77" t="s">
        <v>8611</v>
      </c>
      <c r="Z1591" s="77"/>
      <c r="AA1591" s="77"/>
      <c r="AB1591" s="77"/>
      <c r="AC1591" s="80" t="s">
        <v>10558</v>
      </c>
      <c r="AD1591" s="77" t="s">
        <v>10617</v>
      </c>
      <c r="AE1591" s="83" t="str">
        <f>HYPERLINK("https://twitter.com/leiamoneytimes/status/1668659337718378497")</f>
        <v>https://twitter.com/leiamoneytimes/status/1668659337718378497</v>
      </c>
      <c r="AF1591" s="79">
        <v>45090.694004629629</v>
      </c>
      <c r="AG1591" s="85">
        <v>45090</v>
      </c>
      <c r="AH1591" s="80" t="s">
        <v>12026</v>
      </c>
      <c r="AI1591" s="77" t="b">
        <v>0</v>
      </c>
      <c r="AJ1591" s="77"/>
      <c r="AK1591" s="77"/>
      <c r="AL1591" s="77"/>
      <c r="AM1591" s="77"/>
      <c r="AN1591" s="77"/>
      <c r="AO1591" s="77"/>
      <c r="AP1591" s="77"/>
      <c r="AQ1591" s="77"/>
      <c r="AR1591" s="77"/>
      <c r="AS1591" s="77"/>
      <c r="AT1591" s="77"/>
      <c r="AU1591" s="77"/>
      <c r="AV1591" s="83" t="str">
        <f>HYPERLINK("https://pbs.twimg.com/profile_images/1559883556846977024/bXHnQFY0_normal.jpg")</f>
        <v>https://pbs.twimg.com/profile_images/1559883556846977024/bXHnQFY0_normal.jpg</v>
      </c>
      <c r="AW1591" s="80" t="s">
        <v>17458</v>
      </c>
      <c r="AX1591" s="80" t="s">
        <v>17458</v>
      </c>
      <c r="AY1591" s="77"/>
      <c r="AZ1591" s="80" t="s">
        <v>20380</v>
      </c>
      <c r="BA1591" s="80" t="s">
        <v>20380</v>
      </c>
      <c r="BB1591" s="80" t="s">
        <v>20380</v>
      </c>
      <c r="BC1591" s="80" t="s">
        <v>17458</v>
      </c>
      <c r="BD1591" s="77">
        <v>51150679</v>
      </c>
      <c r="BE1591" s="77"/>
      <c r="BF1591" s="77"/>
      <c r="BG1591" s="77"/>
      <c r="BH1591" s="77"/>
      <c r="BI1591" s="77"/>
    </row>
    <row r="1592" spans="1:61" x14ac:dyDescent="0.25">
      <c r="A1592" s="62" t="s">
        <v>790</v>
      </c>
      <c r="B1592" s="62" t="s">
        <v>790</v>
      </c>
      <c r="C1592" s="63"/>
      <c r="D1592" s="64"/>
      <c r="E1592" s="65"/>
      <c r="F1592" s="66"/>
      <c r="G1592" s="63"/>
      <c r="H1592" s="67"/>
      <c r="I1592" s="68"/>
      <c r="J1592" s="68"/>
      <c r="K1592" s="32"/>
      <c r="L1592" s="75">
        <v>1592</v>
      </c>
      <c r="M1592" s="75"/>
      <c r="N1592" s="70"/>
      <c r="O1592" s="77" t="s">
        <v>179</v>
      </c>
      <c r="P1592" s="79">
        <v>45090.662511574075</v>
      </c>
      <c r="Q1592" s="77" t="s">
        <v>3488</v>
      </c>
      <c r="R1592" s="77">
        <v>0</v>
      </c>
      <c r="S1592" s="77">
        <v>15</v>
      </c>
      <c r="T1592" s="77">
        <v>7</v>
      </c>
      <c r="U1592" s="77">
        <v>1</v>
      </c>
      <c r="V1592" s="77">
        <v>3386</v>
      </c>
      <c r="W1592" s="80" t="s">
        <v>6922</v>
      </c>
      <c r="X1592" s="83" t="str">
        <f>HYPERLINK("https://www.moneytimes.com.br/luiza-trajano-enquadra-campos-neto-e-suplica-por-juros-mais-baixos-muita-gente-vai-quebrar/")</f>
        <v>https://www.moneytimes.com.br/luiza-trajano-enquadra-campos-neto-e-suplica-por-juros-mais-baixos-muita-gente-vai-quebrar/</v>
      </c>
      <c r="Y1592" s="77" t="s">
        <v>8611</v>
      </c>
      <c r="Z1592" s="77"/>
      <c r="AA1592" s="77"/>
      <c r="AB1592" s="77"/>
      <c r="AC1592" s="80" t="s">
        <v>10558</v>
      </c>
      <c r="AD1592" s="77" t="s">
        <v>10617</v>
      </c>
      <c r="AE1592" s="83" t="str">
        <f>HYPERLINK("https://twitter.com/leiamoneytimes/status/1668647922446090240")</f>
        <v>https://twitter.com/leiamoneytimes/status/1668647922446090240</v>
      </c>
      <c r="AF1592" s="79">
        <v>45090.662511574075</v>
      </c>
      <c r="AG1592" s="85">
        <v>45090</v>
      </c>
      <c r="AH1592" s="80" t="s">
        <v>10717</v>
      </c>
      <c r="AI1592" s="77" t="b">
        <v>0</v>
      </c>
      <c r="AJ1592" s="77"/>
      <c r="AK1592" s="77"/>
      <c r="AL1592" s="77"/>
      <c r="AM1592" s="77"/>
      <c r="AN1592" s="77"/>
      <c r="AO1592" s="77"/>
      <c r="AP1592" s="77"/>
      <c r="AQ1592" s="77"/>
      <c r="AR1592" s="77"/>
      <c r="AS1592" s="77"/>
      <c r="AT1592" s="77"/>
      <c r="AU1592" s="77"/>
      <c r="AV1592" s="83" t="str">
        <f>HYPERLINK("https://pbs.twimg.com/profile_images/1559883556846977024/bXHnQFY0_normal.jpg")</f>
        <v>https://pbs.twimg.com/profile_images/1559883556846977024/bXHnQFY0_normal.jpg</v>
      </c>
      <c r="AW1592" s="80" t="s">
        <v>17459</v>
      </c>
      <c r="AX1592" s="80" t="s">
        <v>17459</v>
      </c>
      <c r="AY1592" s="77"/>
      <c r="AZ1592" s="80" t="s">
        <v>20380</v>
      </c>
      <c r="BA1592" s="80" t="s">
        <v>20380</v>
      </c>
      <c r="BB1592" s="80" t="s">
        <v>20380</v>
      </c>
      <c r="BC1592" s="80" t="s">
        <v>17459</v>
      </c>
      <c r="BD1592" s="77">
        <v>51150679</v>
      </c>
      <c r="BE1592" s="77"/>
      <c r="BF1592" s="77"/>
      <c r="BG1592" s="77"/>
      <c r="BH1592" s="77"/>
      <c r="BI1592" s="77"/>
    </row>
    <row r="1593" spans="1:61" x14ac:dyDescent="0.25">
      <c r="A1593" s="62" t="s">
        <v>790</v>
      </c>
      <c r="B1593" s="62" t="s">
        <v>790</v>
      </c>
      <c r="C1593" s="63"/>
      <c r="D1593" s="64"/>
      <c r="E1593" s="65"/>
      <c r="F1593" s="66"/>
      <c r="G1593" s="63"/>
      <c r="H1593" s="67"/>
      <c r="I1593" s="68"/>
      <c r="J1593" s="68"/>
      <c r="K1593" s="32"/>
      <c r="L1593" s="75">
        <v>1593</v>
      </c>
      <c r="M1593" s="75"/>
      <c r="N1593" s="70"/>
      <c r="O1593" s="77" t="s">
        <v>179</v>
      </c>
      <c r="P1593" s="79">
        <v>45090.51390046296</v>
      </c>
      <c r="Q1593" s="77" t="s">
        <v>3489</v>
      </c>
      <c r="R1593" s="77">
        <v>0</v>
      </c>
      <c r="S1593" s="77">
        <v>2</v>
      </c>
      <c r="T1593" s="77">
        <v>1</v>
      </c>
      <c r="U1593" s="77">
        <v>0</v>
      </c>
      <c r="V1593" s="77">
        <v>1712</v>
      </c>
      <c r="W1593" s="80" t="s">
        <v>6931</v>
      </c>
      <c r="X1593" s="83" t="str">
        <f>HYPERLINK("https://www.moneytimes.com.br/dinheiro-esquecido-r-7-bilhoes-continuam-disponiveis-para-recuperacao-veja-como-pegar-parcela/")</f>
        <v>https://www.moneytimes.com.br/dinheiro-esquecido-r-7-bilhoes-continuam-disponiveis-para-recuperacao-veja-como-pegar-parcela/</v>
      </c>
      <c r="Y1593" s="77" t="s">
        <v>8611</v>
      </c>
      <c r="Z1593" s="77"/>
      <c r="AA1593" s="77"/>
      <c r="AB1593" s="77"/>
      <c r="AC1593" s="80" t="s">
        <v>10558</v>
      </c>
      <c r="AD1593" s="77" t="s">
        <v>10617</v>
      </c>
      <c r="AE1593" s="83" t="str">
        <f>HYPERLINK("https://twitter.com/leiamoneytimes/status/1668594066638946314")</f>
        <v>https://twitter.com/leiamoneytimes/status/1668594066638946314</v>
      </c>
      <c r="AF1593" s="79">
        <v>45090.51390046296</v>
      </c>
      <c r="AG1593" s="85">
        <v>45090</v>
      </c>
      <c r="AH1593" s="80" t="s">
        <v>12027</v>
      </c>
      <c r="AI1593" s="77" t="b">
        <v>0</v>
      </c>
      <c r="AJ1593" s="77"/>
      <c r="AK1593" s="77"/>
      <c r="AL1593" s="77"/>
      <c r="AM1593" s="77"/>
      <c r="AN1593" s="77"/>
      <c r="AO1593" s="77"/>
      <c r="AP1593" s="77"/>
      <c r="AQ1593" s="77"/>
      <c r="AR1593" s="77"/>
      <c r="AS1593" s="77"/>
      <c r="AT1593" s="77"/>
      <c r="AU1593" s="77"/>
      <c r="AV1593" s="83" t="str">
        <f>HYPERLINK("https://pbs.twimg.com/profile_images/1559883556846977024/bXHnQFY0_normal.jpg")</f>
        <v>https://pbs.twimg.com/profile_images/1559883556846977024/bXHnQFY0_normal.jpg</v>
      </c>
      <c r="AW1593" s="80" t="s">
        <v>17460</v>
      </c>
      <c r="AX1593" s="80" t="s">
        <v>17460</v>
      </c>
      <c r="AY1593" s="77"/>
      <c r="AZ1593" s="80" t="s">
        <v>20380</v>
      </c>
      <c r="BA1593" s="80" t="s">
        <v>20380</v>
      </c>
      <c r="BB1593" s="80" t="s">
        <v>20380</v>
      </c>
      <c r="BC1593" s="80" t="s">
        <v>17460</v>
      </c>
      <c r="BD1593" s="77">
        <v>51150679</v>
      </c>
      <c r="BE1593" s="77"/>
      <c r="BF1593" s="77"/>
      <c r="BG1593" s="77"/>
      <c r="BH1593" s="77"/>
      <c r="BI1593" s="77"/>
    </row>
    <row r="1594" spans="1:61" x14ac:dyDescent="0.25">
      <c r="A1594" s="62" t="s">
        <v>790</v>
      </c>
      <c r="B1594" s="62" t="s">
        <v>790</v>
      </c>
      <c r="C1594" s="63"/>
      <c r="D1594" s="64"/>
      <c r="E1594" s="65"/>
      <c r="F1594" s="66"/>
      <c r="G1594" s="63"/>
      <c r="H1594" s="67"/>
      <c r="I1594" s="68"/>
      <c r="J1594" s="68"/>
      <c r="K1594" s="32"/>
      <c r="L1594" s="75">
        <v>1594</v>
      </c>
      <c r="M1594" s="75"/>
      <c r="N1594" s="70"/>
      <c r="O1594" s="77" t="s">
        <v>179</v>
      </c>
      <c r="P1594" s="79">
        <v>45090.461192129631</v>
      </c>
      <c r="Q1594" s="77" t="s">
        <v>3490</v>
      </c>
      <c r="R1594" s="77">
        <v>0</v>
      </c>
      <c r="S1594" s="77">
        <v>3</v>
      </c>
      <c r="T1594" s="77">
        <v>1</v>
      </c>
      <c r="U1594" s="77">
        <v>0</v>
      </c>
      <c r="V1594" s="77">
        <v>1612</v>
      </c>
      <c r="W1594" s="80" t="s">
        <v>6989</v>
      </c>
      <c r="X1594" s="83" t="str">
        <f>HYPERLINK("https://www.moneytimes.com.br/arraia-da-b3-casamento-da-xp-e-modal-bomba-da-pis-cofins-as-previsoes-de-stuhlberger-e-outros-destaques-do-dia/")</f>
        <v>https://www.moneytimes.com.br/arraia-da-b3-casamento-da-xp-e-modal-bomba-da-pis-cofins-as-previsoes-de-stuhlberger-e-outros-destaques-do-dia/</v>
      </c>
      <c r="Y1594" s="77" t="s">
        <v>8611</v>
      </c>
      <c r="Z1594" s="77"/>
      <c r="AA1594" s="77"/>
      <c r="AB1594" s="77"/>
      <c r="AC1594" s="80" t="s">
        <v>10558</v>
      </c>
      <c r="AD1594" s="77" t="s">
        <v>10617</v>
      </c>
      <c r="AE1594" s="83" t="str">
        <f>HYPERLINK("https://twitter.com/leiamoneytimes/status/1668574966848057346")</f>
        <v>https://twitter.com/leiamoneytimes/status/1668574966848057346</v>
      </c>
      <c r="AF1594" s="79">
        <v>45090.461192129631</v>
      </c>
      <c r="AG1594" s="85">
        <v>45090</v>
      </c>
      <c r="AH1594" s="80" t="s">
        <v>12028</v>
      </c>
      <c r="AI1594" s="77" t="b">
        <v>0</v>
      </c>
      <c r="AJ1594" s="77"/>
      <c r="AK1594" s="77"/>
      <c r="AL1594" s="77"/>
      <c r="AM1594" s="77"/>
      <c r="AN1594" s="77"/>
      <c r="AO1594" s="77"/>
      <c r="AP1594" s="77"/>
      <c r="AQ1594" s="77"/>
      <c r="AR1594" s="77"/>
      <c r="AS1594" s="77"/>
      <c r="AT1594" s="77"/>
      <c r="AU1594" s="77"/>
      <c r="AV1594" s="83" t="str">
        <f>HYPERLINK("https://pbs.twimg.com/profile_images/1559883556846977024/bXHnQFY0_normal.jpg")</f>
        <v>https://pbs.twimg.com/profile_images/1559883556846977024/bXHnQFY0_normal.jpg</v>
      </c>
      <c r="AW1594" s="80" t="s">
        <v>17461</v>
      </c>
      <c r="AX1594" s="80" t="s">
        <v>17461</v>
      </c>
      <c r="AY1594" s="77"/>
      <c r="AZ1594" s="80" t="s">
        <v>20380</v>
      </c>
      <c r="BA1594" s="80" t="s">
        <v>20380</v>
      </c>
      <c r="BB1594" s="80" t="s">
        <v>20380</v>
      </c>
      <c r="BC1594" s="80" t="s">
        <v>17461</v>
      </c>
      <c r="BD1594" s="77">
        <v>51150679</v>
      </c>
      <c r="BE1594" s="77"/>
      <c r="BF1594" s="77"/>
      <c r="BG1594" s="77"/>
      <c r="BH1594" s="77"/>
      <c r="BI1594" s="77"/>
    </row>
    <row r="1595" spans="1:61" x14ac:dyDescent="0.25">
      <c r="A1595" s="62" t="s">
        <v>790</v>
      </c>
      <c r="B1595" s="62" t="s">
        <v>790</v>
      </c>
      <c r="C1595" s="63"/>
      <c r="D1595" s="64"/>
      <c r="E1595" s="65"/>
      <c r="F1595" s="66"/>
      <c r="G1595" s="63"/>
      <c r="H1595" s="67"/>
      <c r="I1595" s="68"/>
      <c r="J1595" s="68"/>
      <c r="K1595" s="32"/>
      <c r="L1595" s="75">
        <v>1595</v>
      </c>
      <c r="M1595" s="75"/>
      <c r="N1595" s="70"/>
      <c r="O1595" s="77" t="s">
        <v>179</v>
      </c>
      <c r="P1595" s="79">
        <v>45090.448692129627</v>
      </c>
      <c r="Q1595" s="77" t="s">
        <v>3491</v>
      </c>
      <c r="R1595" s="77">
        <v>2</v>
      </c>
      <c r="S1595" s="77">
        <v>16</v>
      </c>
      <c r="T1595" s="77">
        <v>1</v>
      </c>
      <c r="U1595" s="77">
        <v>0</v>
      </c>
      <c r="V1595" s="77">
        <v>2101</v>
      </c>
      <c r="W1595" s="80" t="s">
        <v>6927</v>
      </c>
      <c r="X1595" s="83" t="str">
        <f>HYPERLINK("https://www.moneytimes.com.br/banco-central-nao-tem-pressa-em-reduzir-juros-mas-ja-da-sinais-de-cortes-futuros-veja-o-que-movimenta-a-terca-3/")</f>
        <v>https://www.moneytimes.com.br/banco-central-nao-tem-pressa-em-reduzir-juros-mas-ja-da-sinais-de-cortes-futuros-veja-o-que-movimenta-a-terca-3/</v>
      </c>
      <c r="Y1595" s="77" t="s">
        <v>8611</v>
      </c>
      <c r="Z1595" s="77"/>
      <c r="AA1595" s="77"/>
      <c r="AB1595" s="77"/>
      <c r="AC1595" s="80" t="s">
        <v>10558</v>
      </c>
      <c r="AD1595" s="77" t="s">
        <v>10617</v>
      </c>
      <c r="AE1595" s="83" t="str">
        <f>HYPERLINK("https://twitter.com/leiamoneytimes/status/1668570439096958976")</f>
        <v>https://twitter.com/leiamoneytimes/status/1668570439096958976</v>
      </c>
      <c r="AF1595" s="79">
        <v>45090.448692129627</v>
      </c>
      <c r="AG1595" s="85">
        <v>45090</v>
      </c>
      <c r="AH1595" s="80" t="s">
        <v>12029</v>
      </c>
      <c r="AI1595" s="77" t="b">
        <v>0</v>
      </c>
      <c r="AJ1595" s="77"/>
      <c r="AK1595" s="77"/>
      <c r="AL1595" s="77"/>
      <c r="AM1595" s="77"/>
      <c r="AN1595" s="77"/>
      <c r="AO1595" s="77"/>
      <c r="AP1595" s="77"/>
      <c r="AQ1595" s="77"/>
      <c r="AR1595" s="77"/>
      <c r="AS1595" s="77"/>
      <c r="AT1595" s="77"/>
      <c r="AU1595" s="77"/>
      <c r="AV1595" s="83" t="str">
        <f>HYPERLINK("https://pbs.twimg.com/profile_images/1559883556846977024/bXHnQFY0_normal.jpg")</f>
        <v>https://pbs.twimg.com/profile_images/1559883556846977024/bXHnQFY0_normal.jpg</v>
      </c>
      <c r="AW1595" s="80" t="s">
        <v>17462</v>
      </c>
      <c r="AX1595" s="80" t="s">
        <v>17462</v>
      </c>
      <c r="AY1595" s="77"/>
      <c r="AZ1595" s="80" t="s">
        <v>20380</v>
      </c>
      <c r="BA1595" s="80" t="s">
        <v>20380</v>
      </c>
      <c r="BB1595" s="80" t="s">
        <v>20380</v>
      </c>
      <c r="BC1595" s="80" t="s">
        <v>17462</v>
      </c>
      <c r="BD1595" s="77">
        <v>51150679</v>
      </c>
      <c r="BE1595" s="77"/>
      <c r="BF1595" s="77"/>
      <c r="BG1595" s="77"/>
      <c r="BH1595" s="77"/>
      <c r="BI1595" s="77"/>
    </row>
    <row r="1596" spans="1:61" x14ac:dyDescent="0.25">
      <c r="A1596" s="62" t="s">
        <v>790</v>
      </c>
      <c r="B1596" s="62" t="s">
        <v>790</v>
      </c>
      <c r="C1596" s="63"/>
      <c r="D1596" s="64"/>
      <c r="E1596" s="65"/>
      <c r="F1596" s="66"/>
      <c r="G1596" s="63"/>
      <c r="H1596" s="67"/>
      <c r="I1596" s="68"/>
      <c r="J1596" s="68"/>
      <c r="K1596" s="32"/>
      <c r="L1596" s="75">
        <v>1596</v>
      </c>
      <c r="M1596" s="75"/>
      <c r="N1596" s="70"/>
      <c r="O1596" s="77" t="s">
        <v>179</v>
      </c>
      <c r="P1596" s="79">
        <v>45089.706562500003</v>
      </c>
      <c r="Q1596" s="77" t="s">
        <v>3492</v>
      </c>
      <c r="R1596" s="77">
        <v>2</v>
      </c>
      <c r="S1596" s="77">
        <v>11</v>
      </c>
      <c r="T1596" s="77">
        <v>1</v>
      </c>
      <c r="U1596" s="77">
        <v>2</v>
      </c>
      <c r="V1596" s="77">
        <v>2457</v>
      </c>
      <c r="W1596" s="80" t="s">
        <v>6940</v>
      </c>
      <c r="X1596" s="83" t="str">
        <f>HYPERLINK("https://www.moneytimes.com.br/governo-criou-condicoes-para-que-bc-indique-corte-de-juros-a-partir-de-agosto-diz-tebet/")</f>
        <v>https://www.moneytimes.com.br/governo-criou-condicoes-para-que-bc-indique-corte-de-juros-a-partir-de-agosto-diz-tebet/</v>
      </c>
      <c r="Y1596" s="77" t="s">
        <v>8611</v>
      </c>
      <c r="Z1596" s="77"/>
      <c r="AA1596" s="77"/>
      <c r="AB1596" s="77"/>
      <c r="AC1596" s="80" t="s">
        <v>10558</v>
      </c>
      <c r="AD1596" s="77" t="s">
        <v>10617</v>
      </c>
      <c r="AE1596" s="83" t="str">
        <f>HYPERLINK("https://twitter.com/leiamoneytimes/status/1668301500735528960")</f>
        <v>https://twitter.com/leiamoneytimes/status/1668301500735528960</v>
      </c>
      <c r="AF1596" s="79">
        <v>45089.706562500003</v>
      </c>
      <c r="AG1596" s="85">
        <v>45089</v>
      </c>
      <c r="AH1596" s="80" t="s">
        <v>12030</v>
      </c>
      <c r="AI1596" s="77" t="b">
        <v>0</v>
      </c>
      <c r="AJ1596" s="77"/>
      <c r="AK1596" s="77"/>
      <c r="AL1596" s="77"/>
      <c r="AM1596" s="77"/>
      <c r="AN1596" s="77"/>
      <c r="AO1596" s="77"/>
      <c r="AP1596" s="77"/>
      <c r="AQ1596" s="77"/>
      <c r="AR1596" s="77"/>
      <c r="AS1596" s="77"/>
      <c r="AT1596" s="77"/>
      <c r="AU1596" s="77"/>
      <c r="AV1596" s="83" t="str">
        <f>HYPERLINK("https://pbs.twimg.com/profile_images/1559883556846977024/bXHnQFY0_normal.jpg")</f>
        <v>https://pbs.twimg.com/profile_images/1559883556846977024/bXHnQFY0_normal.jpg</v>
      </c>
      <c r="AW1596" s="80" t="s">
        <v>17463</v>
      </c>
      <c r="AX1596" s="80" t="s">
        <v>17463</v>
      </c>
      <c r="AY1596" s="77"/>
      <c r="AZ1596" s="80" t="s">
        <v>20380</v>
      </c>
      <c r="BA1596" s="80" t="s">
        <v>20380</v>
      </c>
      <c r="BB1596" s="80" t="s">
        <v>20380</v>
      </c>
      <c r="BC1596" s="80" t="s">
        <v>17463</v>
      </c>
      <c r="BD1596" s="77">
        <v>51150679</v>
      </c>
      <c r="BE1596" s="77"/>
      <c r="BF1596" s="77"/>
      <c r="BG1596" s="77"/>
      <c r="BH1596" s="77"/>
      <c r="BI1596" s="77"/>
    </row>
    <row r="1597" spans="1:61" x14ac:dyDescent="0.25">
      <c r="A1597" s="62" t="s">
        <v>790</v>
      </c>
      <c r="B1597" s="62" t="s">
        <v>790</v>
      </c>
      <c r="C1597" s="63"/>
      <c r="D1597" s="64"/>
      <c r="E1597" s="65"/>
      <c r="F1597" s="66"/>
      <c r="G1597" s="63"/>
      <c r="H1597" s="67"/>
      <c r="I1597" s="68"/>
      <c r="J1597" s="68"/>
      <c r="K1597" s="32"/>
      <c r="L1597" s="75">
        <v>1597</v>
      </c>
      <c r="M1597" s="75"/>
      <c r="N1597" s="70"/>
      <c r="O1597" s="77" t="s">
        <v>179</v>
      </c>
      <c r="P1597" s="79">
        <v>45054.842870370368</v>
      </c>
      <c r="Q1597" s="77" t="s">
        <v>3493</v>
      </c>
      <c r="R1597" s="77">
        <v>0</v>
      </c>
      <c r="S1597" s="77">
        <v>3</v>
      </c>
      <c r="T1597" s="77">
        <v>1</v>
      </c>
      <c r="U1597" s="77">
        <v>0</v>
      </c>
      <c r="V1597" s="77">
        <v>1273</v>
      </c>
      <c r="W1597" s="80" t="s">
        <v>6922</v>
      </c>
      <c r="X1597" s="83" t="str">
        <f>HYPERLINK("https://www.moneytimes.com.br/taxas-futuras-de-juros-de-longo-prazo-sobem-com-anuncio-de-galipolo-no-bc/")</f>
        <v>https://www.moneytimes.com.br/taxas-futuras-de-juros-de-longo-prazo-sobem-com-anuncio-de-galipolo-no-bc/</v>
      </c>
      <c r="Y1597" s="77" t="s">
        <v>8611</v>
      </c>
      <c r="Z1597" s="77"/>
      <c r="AA1597" s="77"/>
      <c r="AB1597" s="77"/>
      <c r="AC1597" s="80" t="s">
        <v>10558</v>
      </c>
      <c r="AD1597" s="77" t="s">
        <v>10617</v>
      </c>
      <c r="AE1597" s="83" t="str">
        <f>HYPERLINK("https://twitter.com/leiamoneytimes/status/1655667319434104833")</f>
        <v>https://twitter.com/leiamoneytimes/status/1655667319434104833</v>
      </c>
      <c r="AF1597" s="79">
        <v>45054.842870370368</v>
      </c>
      <c r="AG1597" s="85">
        <v>45054</v>
      </c>
      <c r="AH1597" s="80" t="s">
        <v>12031</v>
      </c>
      <c r="AI1597" s="77" t="b">
        <v>0</v>
      </c>
      <c r="AJ1597" s="77"/>
      <c r="AK1597" s="77"/>
      <c r="AL1597" s="77"/>
      <c r="AM1597" s="77"/>
      <c r="AN1597" s="77"/>
      <c r="AO1597" s="77"/>
      <c r="AP1597" s="77"/>
      <c r="AQ1597" s="77"/>
      <c r="AR1597" s="77"/>
      <c r="AS1597" s="77"/>
      <c r="AT1597" s="77"/>
      <c r="AU1597" s="77"/>
      <c r="AV1597" s="83" t="str">
        <f>HYPERLINK("https://pbs.twimg.com/profile_images/1559883556846977024/bXHnQFY0_normal.jpg")</f>
        <v>https://pbs.twimg.com/profile_images/1559883556846977024/bXHnQFY0_normal.jpg</v>
      </c>
      <c r="AW1597" s="80" t="s">
        <v>17464</v>
      </c>
      <c r="AX1597" s="80" t="s">
        <v>17464</v>
      </c>
      <c r="AY1597" s="77"/>
      <c r="AZ1597" s="80" t="s">
        <v>20380</v>
      </c>
      <c r="BA1597" s="80" t="s">
        <v>20380</v>
      </c>
      <c r="BB1597" s="80" t="s">
        <v>20380</v>
      </c>
      <c r="BC1597" s="80" t="s">
        <v>17464</v>
      </c>
      <c r="BD1597" s="77">
        <v>51150679</v>
      </c>
      <c r="BE1597" s="77"/>
      <c r="BF1597" s="77"/>
      <c r="BG1597" s="77"/>
      <c r="BH1597" s="77"/>
      <c r="BI1597" s="77"/>
    </row>
    <row r="1598" spans="1:61" x14ac:dyDescent="0.25">
      <c r="A1598" s="62" t="s">
        <v>790</v>
      </c>
      <c r="B1598" s="62" t="s">
        <v>790</v>
      </c>
      <c r="C1598" s="63"/>
      <c r="D1598" s="64"/>
      <c r="E1598" s="65"/>
      <c r="F1598" s="66"/>
      <c r="G1598" s="63"/>
      <c r="H1598" s="67"/>
      <c r="I1598" s="68"/>
      <c r="J1598" s="68"/>
      <c r="K1598" s="32"/>
      <c r="L1598" s="75">
        <v>1598</v>
      </c>
      <c r="M1598" s="75"/>
      <c r="N1598" s="70"/>
      <c r="O1598" s="77" t="s">
        <v>179</v>
      </c>
      <c r="P1598" s="79">
        <v>45054.764016203706</v>
      </c>
      <c r="Q1598" s="77" t="s">
        <v>3494</v>
      </c>
      <c r="R1598" s="77">
        <v>0</v>
      </c>
      <c r="S1598" s="77">
        <v>3</v>
      </c>
      <c r="T1598" s="77">
        <v>1</v>
      </c>
      <c r="U1598" s="77">
        <v>0</v>
      </c>
      <c r="V1598" s="77">
        <v>1360</v>
      </c>
      <c r="W1598" s="80" t="s">
        <v>6931</v>
      </c>
      <c r="X1598" s="83" t="str">
        <f>HYPERLINK("https://www.moneytimes.com.br/galipolo-no-banco-central-jogada-de-mestre-de-lula-ou-torta-de-climao-no-copom/")</f>
        <v>https://www.moneytimes.com.br/galipolo-no-banco-central-jogada-de-mestre-de-lula-ou-torta-de-climao-no-copom/</v>
      </c>
      <c r="Y1598" s="77" t="s">
        <v>8611</v>
      </c>
      <c r="Z1598" s="77"/>
      <c r="AA1598" s="77"/>
      <c r="AB1598" s="77"/>
      <c r="AC1598" s="80" t="s">
        <v>10558</v>
      </c>
      <c r="AD1598" s="77" t="s">
        <v>10617</v>
      </c>
      <c r="AE1598" s="83" t="str">
        <f>HYPERLINK("https://twitter.com/leiamoneytimes/status/1655638743531806734")</f>
        <v>https://twitter.com/leiamoneytimes/status/1655638743531806734</v>
      </c>
      <c r="AF1598" s="79">
        <v>45054.764016203706</v>
      </c>
      <c r="AG1598" s="85">
        <v>45054</v>
      </c>
      <c r="AH1598" s="80" t="s">
        <v>12032</v>
      </c>
      <c r="AI1598" s="77" t="b">
        <v>0</v>
      </c>
      <c r="AJ1598" s="77"/>
      <c r="AK1598" s="77"/>
      <c r="AL1598" s="77"/>
      <c r="AM1598" s="77"/>
      <c r="AN1598" s="77"/>
      <c r="AO1598" s="77"/>
      <c r="AP1598" s="77"/>
      <c r="AQ1598" s="77"/>
      <c r="AR1598" s="77"/>
      <c r="AS1598" s="77"/>
      <c r="AT1598" s="77"/>
      <c r="AU1598" s="77"/>
      <c r="AV1598" s="83" t="str">
        <f>HYPERLINK("https://pbs.twimg.com/profile_images/1559883556846977024/bXHnQFY0_normal.jpg")</f>
        <v>https://pbs.twimg.com/profile_images/1559883556846977024/bXHnQFY0_normal.jpg</v>
      </c>
      <c r="AW1598" s="80" t="s">
        <v>17465</v>
      </c>
      <c r="AX1598" s="80" t="s">
        <v>17465</v>
      </c>
      <c r="AY1598" s="77"/>
      <c r="AZ1598" s="80" t="s">
        <v>20380</v>
      </c>
      <c r="BA1598" s="80" t="s">
        <v>20380</v>
      </c>
      <c r="BB1598" s="80" t="s">
        <v>20380</v>
      </c>
      <c r="BC1598" s="80" t="s">
        <v>17465</v>
      </c>
      <c r="BD1598" s="77">
        <v>51150679</v>
      </c>
      <c r="BE1598" s="77"/>
      <c r="BF1598" s="77"/>
      <c r="BG1598" s="77"/>
      <c r="BH1598" s="77"/>
      <c r="BI1598" s="77"/>
    </row>
    <row r="1599" spans="1:61" x14ac:dyDescent="0.25">
      <c r="A1599" s="62" t="s">
        <v>790</v>
      </c>
      <c r="B1599" s="62" t="s">
        <v>790</v>
      </c>
      <c r="C1599" s="63"/>
      <c r="D1599" s="64"/>
      <c r="E1599" s="65"/>
      <c r="F1599" s="66"/>
      <c r="G1599" s="63"/>
      <c r="H1599" s="67"/>
      <c r="I1599" s="68"/>
      <c r="J1599" s="68"/>
      <c r="K1599" s="32"/>
      <c r="L1599" s="75">
        <v>1599</v>
      </c>
      <c r="M1599" s="75"/>
      <c r="N1599" s="70"/>
      <c r="O1599" s="77" t="s">
        <v>179</v>
      </c>
      <c r="P1599" s="79">
        <v>45054.550636574073</v>
      </c>
      <c r="Q1599" s="77" t="s">
        <v>3495</v>
      </c>
      <c r="R1599" s="77">
        <v>0</v>
      </c>
      <c r="S1599" s="77">
        <v>2</v>
      </c>
      <c r="T1599" s="77">
        <v>1</v>
      </c>
      <c r="U1599" s="77">
        <v>0</v>
      </c>
      <c r="V1599" s="77">
        <v>1073</v>
      </c>
      <c r="W1599" s="80" t="s">
        <v>6990</v>
      </c>
      <c r="X1599" s="83" t="str">
        <f>HYPERLINK("https://www.moneytimes.com.br/inflacao-e-juros-calibram-o-ibovespa-ibov-nesta-segunda-8-indice-abre-em-alta/")</f>
        <v>https://www.moneytimes.com.br/inflacao-e-juros-calibram-o-ibovespa-ibov-nesta-segunda-8-indice-abre-em-alta/</v>
      </c>
      <c r="Y1599" s="77" t="s">
        <v>8611</v>
      </c>
      <c r="Z1599" s="77"/>
      <c r="AA1599" s="77"/>
      <c r="AB1599" s="77"/>
      <c r="AC1599" s="80" t="s">
        <v>10558</v>
      </c>
      <c r="AD1599" s="77" t="s">
        <v>10617</v>
      </c>
      <c r="AE1599" s="83" t="str">
        <f>HYPERLINK("https://twitter.com/leiamoneytimes/status/1655561418387738624")</f>
        <v>https://twitter.com/leiamoneytimes/status/1655561418387738624</v>
      </c>
      <c r="AF1599" s="79">
        <v>45054.550636574073</v>
      </c>
      <c r="AG1599" s="85">
        <v>45054</v>
      </c>
      <c r="AH1599" s="80" t="s">
        <v>12033</v>
      </c>
      <c r="AI1599" s="77" t="b">
        <v>0</v>
      </c>
      <c r="AJ1599" s="77"/>
      <c r="AK1599" s="77"/>
      <c r="AL1599" s="77"/>
      <c r="AM1599" s="77"/>
      <c r="AN1599" s="77"/>
      <c r="AO1599" s="77"/>
      <c r="AP1599" s="77"/>
      <c r="AQ1599" s="77"/>
      <c r="AR1599" s="77"/>
      <c r="AS1599" s="77"/>
      <c r="AT1599" s="77"/>
      <c r="AU1599" s="77"/>
      <c r="AV1599" s="83" t="str">
        <f>HYPERLINK("https://pbs.twimg.com/profile_images/1559883556846977024/bXHnQFY0_normal.jpg")</f>
        <v>https://pbs.twimg.com/profile_images/1559883556846977024/bXHnQFY0_normal.jpg</v>
      </c>
      <c r="AW1599" s="80" t="s">
        <v>17466</v>
      </c>
      <c r="AX1599" s="80" t="s">
        <v>17466</v>
      </c>
      <c r="AY1599" s="77"/>
      <c r="AZ1599" s="80" t="s">
        <v>20380</v>
      </c>
      <c r="BA1599" s="80" t="s">
        <v>20380</v>
      </c>
      <c r="BB1599" s="80" t="s">
        <v>20380</v>
      </c>
      <c r="BC1599" s="80" t="s">
        <v>17466</v>
      </c>
      <c r="BD1599" s="77">
        <v>51150679</v>
      </c>
      <c r="BE1599" s="77"/>
      <c r="BF1599" s="77"/>
      <c r="BG1599" s="77"/>
      <c r="BH1599" s="77"/>
      <c r="BI1599" s="77"/>
    </row>
    <row r="1600" spans="1:61" x14ac:dyDescent="0.25">
      <c r="A1600" s="62" t="s">
        <v>790</v>
      </c>
      <c r="B1600" s="62" t="s">
        <v>790</v>
      </c>
      <c r="C1600" s="63"/>
      <c r="D1600" s="64"/>
      <c r="E1600" s="65"/>
      <c r="F1600" s="66"/>
      <c r="G1600" s="63"/>
      <c r="H1600" s="67"/>
      <c r="I1600" s="68"/>
      <c r="J1600" s="68"/>
      <c r="K1600" s="32"/>
      <c r="L1600" s="75">
        <v>1600</v>
      </c>
      <c r="M1600" s="75"/>
      <c r="N1600" s="70"/>
      <c r="O1600" s="77" t="s">
        <v>179</v>
      </c>
      <c r="P1600" s="79">
        <v>45054.547951388886</v>
      </c>
      <c r="Q1600" s="77" t="s">
        <v>3496</v>
      </c>
      <c r="R1600" s="77">
        <v>0</v>
      </c>
      <c r="S1600" s="77">
        <v>3</v>
      </c>
      <c r="T1600" s="77">
        <v>1</v>
      </c>
      <c r="U1600" s="77">
        <v>0</v>
      </c>
      <c r="V1600" s="77">
        <v>1124</v>
      </c>
      <c r="W1600" s="80" t="s">
        <v>6990</v>
      </c>
      <c r="X1600" s="83" t="str">
        <f>HYPERLINK("https://www.moneytimes.com.br/?p=871654")</f>
        <v>https://www.moneytimes.com.br/?p=871654</v>
      </c>
      <c r="Y1600" s="77" t="s">
        <v>8611</v>
      </c>
      <c r="Z1600" s="77"/>
      <c r="AA1600" s="77"/>
      <c r="AB1600" s="77"/>
      <c r="AC1600" s="80" t="s">
        <v>10558</v>
      </c>
      <c r="AD1600" s="77" t="s">
        <v>10617</v>
      </c>
      <c r="AE1600" s="83" t="str">
        <f>HYPERLINK("https://twitter.com/leiamoneytimes/status/1655560444663267329")</f>
        <v>https://twitter.com/leiamoneytimes/status/1655560444663267329</v>
      </c>
      <c r="AF1600" s="79">
        <v>45054.547951388886</v>
      </c>
      <c r="AG1600" s="85">
        <v>45054</v>
      </c>
      <c r="AH1600" s="80" t="s">
        <v>12034</v>
      </c>
      <c r="AI1600" s="77" t="b">
        <v>0</v>
      </c>
      <c r="AJ1600" s="77"/>
      <c r="AK1600" s="77"/>
      <c r="AL1600" s="77"/>
      <c r="AM1600" s="77"/>
      <c r="AN1600" s="77"/>
      <c r="AO1600" s="77"/>
      <c r="AP1600" s="77"/>
      <c r="AQ1600" s="77"/>
      <c r="AR1600" s="77"/>
      <c r="AS1600" s="77"/>
      <c r="AT1600" s="77"/>
      <c r="AU1600" s="77"/>
      <c r="AV1600" s="83" t="str">
        <f>HYPERLINK("https://pbs.twimg.com/profile_images/1559883556846977024/bXHnQFY0_normal.jpg")</f>
        <v>https://pbs.twimg.com/profile_images/1559883556846977024/bXHnQFY0_normal.jpg</v>
      </c>
      <c r="AW1600" s="80" t="s">
        <v>17467</v>
      </c>
      <c r="AX1600" s="80" t="s">
        <v>17467</v>
      </c>
      <c r="AY1600" s="77"/>
      <c r="AZ1600" s="80" t="s">
        <v>20380</v>
      </c>
      <c r="BA1600" s="80" t="s">
        <v>20380</v>
      </c>
      <c r="BB1600" s="80" t="s">
        <v>20380</v>
      </c>
      <c r="BC1600" s="80" t="s">
        <v>17467</v>
      </c>
      <c r="BD1600" s="77">
        <v>51150679</v>
      </c>
      <c r="BE1600" s="77"/>
      <c r="BF1600" s="77"/>
      <c r="BG1600" s="77"/>
      <c r="BH1600" s="77"/>
      <c r="BI1600" s="77"/>
    </row>
    <row r="1601" spans="1:61" x14ac:dyDescent="0.25">
      <c r="A1601" s="62" t="s">
        <v>790</v>
      </c>
      <c r="B1601" s="62" t="s">
        <v>790</v>
      </c>
      <c r="C1601" s="63"/>
      <c r="D1601" s="64"/>
      <c r="E1601" s="65"/>
      <c r="F1601" s="66"/>
      <c r="G1601" s="63"/>
      <c r="H1601" s="67"/>
      <c r="I1601" s="68"/>
      <c r="J1601" s="68"/>
      <c r="K1601" s="32"/>
      <c r="L1601" s="75">
        <v>1601</v>
      </c>
      <c r="M1601" s="75"/>
      <c r="N1601" s="70"/>
      <c r="O1601" s="77" t="s">
        <v>179</v>
      </c>
      <c r="P1601" s="79">
        <v>45054.517430555556</v>
      </c>
      <c r="Q1601" s="77" t="s">
        <v>3497</v>
      </c>
      <c r="R1601" s="77">
        <v>1</v>
      </c>
      <c r="S1601" s="77">
        <v>3</v>
      </c>
      <c r="T1601" s="77">
        <v>1</v>
      </c>
      <c r="U1601" s="77">
        <v>0</v>
      </c>
      <c r="V1601" s="77">
        <v>1081</v>
      </c>
      <c r="W1601" s="80" t="s">
        <v>6979</v>
      </c>
      <c r="X1601" s="83" t="str">
        <f>HYPERLINK("https://www.moneytimes.com.br/dolar-tem-leve-alta-frente-ao-real-com-expectativa-por-dados-de-inflacao-dos-eua/")</f>
        <v>https://www.moneytimes.com.br/dolar-tem-leve-alta-frente-ao-real-com-expectativa-por-dados-de-inflacao-dos-eua/</v>
      </c>
      <c r="Y1601" s="77" t="s">
        <v>8611</v>
      </c>
      <c r="Z1601" s="77"/>
      <c r="AA1601" s="77"/>
      <c r="AB1601" s="77"/>
      <c r="AC1601" s="80" t="s">
        <v>10558</v>
      </c>
      <c r="AD1601" s="77" t="s">
        <v>10617</v>
      </c>
      <c r="AE1601" s="83" t="str">
        <f>HYPERLINK("https://twitter.com/leiamoneytimes/status/1655549384182976516")</f>
        <v>https://twitter.com/leiamoneytimes/status/1655549384182976516</v>
      </c>
      <c r="AF1601" s="79">
        <v>45054.517430555556</v>
      </c>
      <c r="AG1601" s="85">
        <v>45054</v>
      </c>
      <c r="AH1601" s="80" t="s">
        <v>12035</v>
      </c>
      <c r="AI1601" s="77" t="b">
        <v>0</v>
      </c>
      <c r="AJ1601" s="77"/>
      <c r="AK1601" s="77"/>
      <c r="AL1601" s="77"/>
      <c r="AM1601" s="77"/>
      <c r="AN1601" s="77"/>
      <c r="AO1601" s="77"/>
      <c r="AP1601" s="77"/>
      <c r="AQ1601" s="77"/>
      <c r="AR1601" s="77"/>
      <c r="AS1601" s="77"/>
      <c r="AT1601" s="77"/>
      <c r="AU1601" s="77"/>
      <c r="AV1601" s="83" t="str">
        <f>HYPERLINK("https://pbs.twimg.com/profile_images/1559883556846977024/bXHnQFY0_normal.jpg")</f>
        <v>https://pbs.twimg.com/profile_images/1559883556846977024/bXHnQFY0_normal.jpg</v>
      </c>
      <c r="AW1601" s="80" t="s">
        <v>17468</v>
      </c>
      <c r="AX1601" s="80" t="s">
        <v>17468</v>
      </c>
      <c r="AY1601" s="77"/>
      <c r="AZ1601" s="80" t="s">
        <v>20380</v>
      </c>
      <c r="BA1601" s="80" t="s">
        <v>20380</v>
      </c>
      <c r="BB1601" s="80" t="s">
        <v>20380</v>
      </c>
      <c r="BC1601" s="80" t="s">
        <v>17468</v>
      </c>
      <c r="BD1601" s="77">
        <v>51150679</v>
      </c>
      <c r="BE1601" s="77"/>
      <c r="BF1601" s="77"/>
      <c r="BG1601" s="77"/>
      <c r="BH1601" s="77"/>
      <c r="BI1601" s="77"/>
    </row>
    <row r="1602" spans="1:61" x14ac:dyDescent="0.25">
      <c r="A1602" s="62" t="s">
        <v>790</v>
      </c>
      <c r="B1602" s="62" t="s">
        <v>790</v>
      </c>
      <c r="C1602" s="63"/>
      <c r="D1602" s="64"/>
      <c r="E1602" s="65"/>
      <c r="F1602" s="66"/>
      <c r="G1602" s="63"/>
      <c r="H1602" s="67"/>
      <c r="I1602" s="68"/>
      <c r="J1602" s="68"/>
      <c r="K1602" s="32"/>
      <c r="L1602" s="75">
        <v>1602</v>
      </c>
      <c r="M1602" s="75"/>
      <c r="N1602" s="70"/>
      <c r="O1602" s="77" t="s">
        <v>179</v>
      </c>
      <c r="P1602" s="79">
        <v>45054.494942129626</v>
      </c>
      <c r="Q1602" s="77" t="s">
        <v>3498</v>
      </c>
      <c r="R1602" s="77">
        <v>1</v>
      </c>
      <c r="S1602" s="77">
        <v>2</v>
      </c>
      <c r="T1602" s="77">
        <v>1</v>
      </c>
      <c r="U1602" s="77">
        <v>0</v>
      </c>
      <c r="V1602" s="77">
        <v>1198</v>
      </c>
      <c r="W1602" s="80" t="s">
        <v>6934</v>
      </c>
      <c r="X1602" s="83" t="str">
        <f>HYPERLINK("https://www.moneytimes.com.br/projecoes-de-inflacao-caem-apos-banco-central-sinalizar-que-selic-de-1375-esta-com-dias-contados-confira-o-focus-desta-segunda-8/")</f>
        <v>https://www.moneytimes.com.br/projecoes-de-inflacao-caem-apos-banco-central-sinalizar-que-selic-de-1375-esta-com-dias-contados-confira-o-focus-desta-segunda-8/</v>
      </c>
      <c r="Y1602" s="77" t="s">
        <v>8611</v>
      </c>
      <c r="Z1602" s="77"/>
      <c r="AA1602" s="77"/>
      <c r="AB1602" s="77"/>
      <c r="AC1602" s="80" t="s">
        <v>10558</v>
      </c>
      <c r="AD1602" s="77" t="s">
        <v>10617</v>
      </c>
      <c r="AE1602" s="83" t="str">
        <f>HYPERLINK("https://twitter.com/leiamoneytimes/status/1655541235552010241")</f>
        <v>https://twitter.com/leiamoneytimes/status/1655541235552010241</v>
      </c>
      <c r="AF1602" s="79">
        <v>45054.494942129626</v>
      </c>
      <c r="AG1602" s="85">
        <v>45054</v>
      </c>
      <c r="AH1602" s="80" t="s">
        <v>12036</v>
      </c>
      <c r="AI1602" s="77" t="b">
        <v>0</v>
      </c>
      <c r="AJ1602" s="77"/>
      <c r="AK1602" s="77"/>
      <c r="AL1602" s="77"/>
      <c r="AM1602" s="77"/>
      <c r="AN1602" s="77"/>
      <c r="AO1602" s="77"/>
      <c r="AP1602" s="77"/>
      <c r="AQ1602" s="77"/>
      <c r="AR1602" s="77"/>
      <c r="AS1602" s="77"/>
      <c r="AT1602" s="77"/>
      <c r="AU1602" s="77"/>
      <c r="AV1602" s="83" t="str">
        <f>HYPERLINK("https://pbs.twimg.com/profile_images/1559883556846977024/bXHnQFY0_normal.jpg")</f>
        <v>https://pbs.twimg.com/profile_images/1559883556846977024/bXHnQFY0_normal.jpg</v>
      </c>
      <c r="AW1602" s="80" t="s">
        <v>17469</v>
      </c>
      <c r="AX1602" s="80" t="s">
        <v>17469</v>
      </c>
      <c r="AY1602" s="77"/>
      <c r="AZ1602" s="80" t="s">
        <v>20380</v>
      </c>
      <c r="BA1602" s="80" t="s">
        <v>20380</v>
      </c>
      <c r="BB1602" s="80" t="s">
        <v>20380</v>
      </c>
      <c r="BC1602" s="80" t="s">
        <v>17469</v>
      </c>
      <c r="BD1602" s="77">
        <v>51150679</v>
      </c>
      <c r="BE1602" s="77"/>
      <c r="BF1602" s="77"/>
      <c r="BG1602" s="77"/>
      <c r="BH1602" s="77"/>
      <c r="BI1602" s="77"/>
    </row>
    <row r="1603" spans="1:61" x14ac:dyDescent="0.25">
      <c r="A1603" s="62" t="s">
        <v>790</v>
      </c>
      <c r="B1603" s="62" t="s">
        <v>790</v>
      </c>
      <c r="C1603" s="63"/>
      <c r="D1603" s="64"/>
      <c r="E1603" s="65"/>
      <c r="F1603" s="66"/>
      <c r="G1603" s="63"/>
      <c r="H1603" s="67"/>
      <c r="I1603" s="68"/>
      <c r="J1603" s="68"/>
      <c r="K1603" s="32"/>
      <c r="L1603" s="75">
        <v>1603</v>
      </c>
      <c r="M1603" s="75"/>
      <c r="N1603" s="70"/>
      <c r="O1603" s="77" t="s">
        <v>179</v>
      </c>
      <c r="P1603" s="79">
        <v>45054.481574074074</v>
      </c>
      <c r="Q1603" s="77" t="s">
        <v>3499</v>
      </c>
      <c r="R1603" s="77">
        <v>1</v>
      </c>
      <c r="S1603" s="77">
        <v>7</v>
      </c>
      <c r="T1603" s="77">
        <v>1</v>
      </c>
      <c r="U1603" s="77">
        <v>0</v>
      </c>
      <c r="V1603" s="77">
        <v>1346</v>
      </c>
      <c r="W1603" s="80" t="s">
        <v>6927</v>
      </c>
      <c r="X1603" s="83" t="str">
        <f>HYPERLINK("https://www.moneytimes.com.br/lula-diz-que-campos-neto-esta-louco-e-que-nao-tem-compromisso-com-o-brasil-veja-o-que-movimenta-a-segunda-feira-08/")</f>
        <v>https://www.moneytimes.com.br/lula-diz-que-campos-neto-esta-louco-e-que-nao-tem-compromisso-com-o-brasil-veja-o-que-movimenta-a-segunda-feira-08/</v>
      </c>
      <c r="Y1603" s="77" t="s">
        <v>8611</v>
      </c>
      <c r="Z1603" s="77"/>
      <c r="AA1603" s="77"/>
      <c r="AB1603" s="77"/>
      <c r="AC1603" s="80" t="s">
        <v>10558</v>
      </c>
      <c r="AD1603" s="77" t="s">
        <v>10617</v>
      </c>
      <c r="AE1603" s="83" t="str">
        <f>HYPERLINK("https://twitter.com/leiamoneytimes/status/1655536389218357248")</f>
        <v>https://twitter.com/leiamoneytimes/status/1655536389218357248</v>
      </c>
      <c r="AF1603" s="79">
        <v>45054.481574074074</v>
      </c>
      <c r="AG1603" s="85">
        <v>45054</v>
      </c>
      <c r="AH1603" s="80" t="s">
        <v>12037</v>
      </c>
      <c r="AI1603" s="77" t="b">
        <v>0</v>
      </c>
      <c r="AJ1603" s="77"/>
      <c r="AK1603" s="77"/>
      <c r="AL1603" s="77"/>
      <c r="AM1603" s="77"/>
      <c r="AN1603" s="77"/>
      <c r="AO1603" s="77"/>
      <c r="AP1603" s="77"/>
      <c r="AQ1603" s="77"/>
      <c r="AR1603" s="77"/>
      <c r="AS1603" s="77"/>
      <c r="AT1603" s="77"/>
      <c r="AU1603" s="77"/>
      <c r="AV1603" s="83" t="str">
        <f>HYPERLINK("https://pbs.twimg.com/profile_images/1559883556846977024/bXHnQFY0_normal.jpg")</f>
        <v>https://pbs.twimg.com/profile_images/1559883556846977024/bXHnQFY0_normal.jpg</v>
      </c>
      <c r="AW1603" s="80" t="s">
        <v>17470</v>
      </c>
      <c r="AX1603" s="80" t="s">
        <v>17470</v>
      </c>
      <c r="AY1603" s="77"/>
      <c r="AZ1603" s="80" t="s">
        <v>20380</v>
      </c>
      <c r="BA1603" s="80" t="s">
        <v>20380</v>
      </c>
      <c r="BB1603" s="80" t="s">
        <v>20380</v>
      </c>
      <c r="BC1603" s="80" t="s">
        <v>17470</v>
      </c>
      <c r="BD1603" s="77">
        <v>51150679</v>
      </c>
      <c r="BE1603" s="77"/>
      <c r="BF1603" s="77"/>
      <c r="BG1603" s="77"/>
      <c r="BH1603" s="77"/>
      <c r="BI1603" s="77"/>
    </row>
    <row r="1604" spans="1:61" x14ac:dyDescent="0.25">
      <c r="A1604" s="62" t="s">
        <v>790</v>
      </c>
      <c r="B1604" s="62" t="s">
        <v>790</v>
      </c>
      <c r="C1604" s="63"/>
      <c r="D1604" s="64"/>
      <c r="E1604" s="65"/>
      <c r="F1604" s="66"/>
      <c r="G1604" s="63"/>
      <c r="H1604" s="67"/>
      <c r="I1604" s="68"/>
      <c r="J1604" s="68"/>
      <c r="K1604" s="32"/>
      <c r="L1604" s="75">
        <v>1604</v>
      </c>
      <c r="M1604" s="75"/>
      <c r="N1604" s="70"/>
      <c r="O1604" s="77" t="s">
        <v>179</v>
      </c>
      <c r="P1604" s="79">
        <v>45053.501250000001</v>
      </c>
      <c r="Q1604" s="77" t="s">
        <v>3500</v>
      </c>
      <c r="R1604" s="77">
        <v>1</v>
      </c>
      <c r="S1604" s="77">
        <v>18</v>
      </c>
      <c r="T1604" s="77">
        <v>3</v>
      </c>
      <c r="U1604" s="77">
        <v>0</v>
      </c>
      <c r="V1604" s="77">
        <v>3294</v>
      </c>
      <c r="W1604" s="80" t="s">
        <v>6991</v>
      </c>
      <c r="X1604" s="83" t="str">
        <f>HYPERLINK("https://www.moneytimes.com.br/brasil-tem-o-maior-juro-real-do-mundo-o-que-isso-significa-e-como-impacta-o-seu-bolso/")</f>
        <v>https://www.moneytimes.com.br/brasil-tem-o-maior-juro-real-do-mundo-o-que-isso-significa-e-como-impacta-o-seu-bolso/</v>
      </c>
      <c r="Y1604" s="77" t="s">
        <v>8611</v>
      </c>
      <c r="Z1604" s="77"/>
      <c r="AA1604" s="77"/>
      <c r="AB1604" s="77"/>
      <c r="AC1604" s="80" t="s">
        <v>10558</v>
      </c>
      <c r="AD1604" s="77" t="s">
        <v>10617</v>
      </c>
      <c r="AE1604" s="83" t="str">
        <f>HYPERLINK("https://twitter.com/leiamoneytimes/status/1655181133930217473")</f>
        <v>https://twitter.com/leiamoneytimes/status/1655181133930217473</v>
      </c>
      <c r="AF1604" s="79">
        <v>45053.501250000001</v>
      </c>
      <c r="AG1604" s="85">
        <v>45053</v>
      </c>
      <c r="AH1604" s="80" t="s">
        <v>12038</v>
      </c>
      <c r="AI1604" s="77" t="b">
        <v>0</v>
      </c>
      <c r="AJ1604" s="77"/>
      <c r="AK1604" s="77"/>
      <c r="AL1604" s="77"/>
      <c r="AM1604" s="77"/>
      <c r="AN1604" s="77"/>
      <c r="AO1604" s="77"/>
      <c r="AP1604" s="77"/>
      <c r="AQ1604" s="77"/>
      <c r="AR1604" s="77"/>
      <c r="AS1604" s="77"/>
      <c r="AT1604" s="77"/>
      <c r="AU1604" s="77"/>
      <c r="AV1604" s="83" t="str">
        <f>HYPERLINK("https://pbs.twimg.com/profile_images/1559883556846977024/bXHnQFY0_normal.jpg")</f>
        <v>https://pbs.twimg.com/profile_images/1559883556846977024/bXHnQFY0_normal.jpg</v>
      </c>
      <c r="AW1604" s="80" t="s">
        <v>17471</v>
      </c>
      <c r="AX1604" s="80" t="s">
        <v>17471</v>
      </c>
      <c r="AY1604" s="77"/>
      <c r="AZ1604" s="80" t="s">
        <v>20380</v>
      </c>
      <c r="BA1604" s="80" t="s">
        <v>20380</v>
      </c>
      <c r="BB1604" s="80" t="s">
        <v>20380</v>
      </c>
      <c r="BC1604" s="80" t="s">
        <v>17471</v>
      </c>
      <c r="BD1604" s="77">
        <v>51150679</v>
      </c>
      <c r="BE1604" s="77"/>
      <c r="BF1604" s="77"/>
      <c r="BG1604" s="77"/>
      <c r="BH1604" s="77"/>
      <c r="BI1604" s="77"/>
    </row>
    <row r="1605" spans="1:61" x14ac:dyDescent="0.25">
      <c r="A1605" s="62" t="s">
        <v>790</v>
      </c>
      <c r="B1605" s="62" t="s">
        <v>790</v>
      </c>
      <c r="C1605" s="63"/>
      <c r="D1605" s="64"/>
      <c r="E1605" s="65"/>
      <c r="F1605" s="66"/>
      <c r="G1605" s="63"/>
      <c r="H1605" s="67"/>
      <c r="I1605" s="68"/>
      <c r="J1605" s="68"/>
      <c r="K1605" s="32"/>
      <c r="L1605" s="75">
        <v>1605</v>
      </c>
      <c r="M1605" s="75"/>
      <c r="N1605" s="70"/>
      <c r="O1605" s="77" t="s">
        <v>179</v>
      </c>
      <c r="P1605" s="79">
        <v>45052.689965277779</v>
      </c>
      <c r="Q1605" s="77" t="s">
        <v>3501</v>
      </c>
      <c r="R1605" s="77">
        <v>1</v>
      </c>
      <c r="S1605" s="77">
        <v>10</v>
      </c>
      <c r="T1605" s="77">
        <v>2</v>
      </c>
      <c r="U1605" s="77">
        <v>0</v>
      </c>
      <c r="V1605" s="77">
        <v>2149</v>
      </c>
      <c r="W1605" s="80" t="s">
        <v>6992</v>
      </c>
      <c r="X1605" s="83" t="str">
        <f>HYPERLINK("https://www.moneytimes.com.br/lula-nao-bato-no-banco-central-mas-bc-nao-e-intocavel-confira-a-entrevista/")</f>
        <v>https://www.moneytimes.com.br/lula-nao-bato-no-banco-central-mas-bc-nao-e-intocavel-confira-a-entrevista/</v>
      </c>
      <c r="Y1605" s="77" t="s">
        <v>8611</v>
      </c>
      <c r="Z1605" s="77"/>
      <c r="AA1605" s="77"/>
      <c r="AB1605" s="77"/>
      <c r="AC1605" s="80" t="s">
        <v>10558</v>
      </c>
      <c r="AD1605" s="77" t="s">
        <v>10617</v>
      </c>
      <c r="AE1605" s="83" t="str">
        <f>HYPERLINK("https://twitter.com/leiamoneytimes/status/1654887131196563456")</f>
        <v>https://twitter.com/leiamoneytimes/status/1654887131196563456</v>
      </c>
      <c r="AF1605" s="79">
        <v>45052.689965277779</v>
      </c>
      <c r="AG1605" s="85">
        <v>45052</v>
      </c>
      <c r="AH1605" s="80" t="s">
        <v>12039</v>
      </c>
      <c r="AI1605" s="77" t="b">
        <v>0</v>
      </c>
      <c r="AJ1605" s="77"/>
      <c r="AK1605" s="77"/>
      <c r="AL1605" s="77"/>
      <c r="AM1605" s="77"/>
      <c r="AN1605" s="77"/>
      <c r="AO1605" s="77"/>
      <c r="AP1605" s="77"/>
      <c r="AQ1605" s="77"/>
      <c r="AR1605" s="77"/>
      <c r="AS1605" s="77"/>
      <c r="AT1605" s="77"/>
      <c r="AU1605" s="77"/>
      <c r="AV1605" s="83" t="str">
        <f>HYPERLINK("https://pbs.twimg.com/profile_images/1559883556846977024/bXHnQFY0_normal.jpg")</f>
        <v>https://pbs.twimg.com/profile_images/1559883556846977024/bXHnQFY0_normal.jpg</v>
      </c>
      <c r="AW1605" s="80" t="s">
        <v>17472</v>
      </c>
      <c r="AX1605" s="80" t="s">
        <v>17472</v>
      </c>
      <c r="AY1605" s="77"/>
      <c r="AZ1605" s="80" t="s">
        <v>20380</v>
      </c>
      <c r="BA1605" s="80" t="s">
        <v>20380</v>
      </c>
      <c r="BB1605" s="80" t="s">
        <v>20380</v>
      </c>
      <c r="BC1605" s="80" t="s">
        <v>17472</v>
      </c>
      <c r="BD1605" s="77">
        <v>51150679</v>
      </c>
      <c r="BE1605" s="77"/>
      <c r="BF1605" s="77"/>
      <c r="BG1605" s="77"/>
      <c r="BH1605" s="77"/>
      <c r="BI1605" s="77"/>
    </row>
    <row r="1606" spans="1:61" x14ac:dyDescent="0.25">
      <c r="A1606" s="62" t="s">
        <v>790</v>
      </c>
      <c r="B1606" s="62" t="s">
        <v>790</v>
      </c>
      <c r="C1606" s="63"/>
      <c r="D1606" s="64"/>
      <c r="E1606" s="65"/>
      <c r="F1606" s="66"/>
      <c r="G1606" s="63"/>
      <c r="H1606" s="67"/>
      <c r="I1606" s="68"/>
      <c r="J1606" s="68"/>
      <c r="K1606" s="32"/>
      <c r="L1606" s="75">
        <v>1606</v>
      </c>
      <c r="M1606" s="75"/>
      <c r="N1606" s="70"/>
      <c r="O1606" s="77" t="s">
        <v>179</v>
      </c>
      <c r="P1606" s="79">
        <v>45079.542557870373</v>
      </c>
      <c r="Q1606" s="77" t="s">
        <v>3502</v>
      </c>
      <c r="R1606" s="77">
        <v>0</v>
      </c>
      <c r="S1606" s="77">
        <v>0</v>
      </c>
      <c r="T1606" s="77">
        <v>0</v>
      </c>
      <c r="U1606" s="77">
        <v>0</v>
      </c>
      <c r="V1606" s="77">
        <v>867</v>
      </c>
      <c r="W1606" s="80" t="s">
        <v>6993</v>
      </c>
      <c r="X1606" s="83" t="str">
        <f>HYPERLINK("https://www.moneytimes.com.br/open-finance-o-brasil-como-referencia-mundial-de-implementacao/")</f>
        <v>https://www.moneytimes.com.br/open-finance-o-brasil-como-referencia-mundial-de-implementacao/</v>
      </c>
      <c r="Y1606" s="77" t="s">
        <v>8611</v>
      </c>
      <c r="Z1606" s="77"/>
      <c r="AA1606" s="77"/>
      <c r="AB1606" s="77"/>
      <c r="AC1606" s="80" t="s">
        <v>10558</v>
      </c>
      <c r="AD1606" s="77" t="s">
        <v>10617</v>
      </c>
      <c r="AE1606" s="83" t="str">
        <f>HYPERLINK("https://twitter.com/leiamoneytimes/status/1664618186224836610")</f>
        <v>https://twitter.com/leiamoneytimes/status/1664618186224836610</v>
      </c>
      <c r="AF1606" s="79">
        <v>45079.542557870373</v>
      </c>
      <c r="AG1606" s="85">
        <v>45079</v>
      </c>
      <c r="AH1606" s="80" t="s">
        <v>12040</v>
      </c>
      <c r="AI1606" s="77" t="b">
        <v>0</v>
      </c>
      <c r="AJ1606" s="77"/>
      <c r="AK1606" s="77"/>
      <c r="AL1606" s="77"/>
      <c r="AM1606" s="77"/>
      <c r="AN1606" s="77"/>
      <c r="AO1606" s="77"/>
      <c r="AP1606" s="77"/>
      <c r="AQ1606" s="77"/>
      <c r="AR1606" s="77"/>
      <c r="AS1606" s="77"/>
      <c r="AT1606" s="77"/>
      <c r="AU1606" s="77"/>
      <c r="AV1606" s="83" t="str">
        <f>HYPERLINK("https://pbs.twimg.com/profile_images/1559883556846977024/bXHnQFY0_normal.jpg")</f>
        <v>https://pbs.twimg.com/profile_images/1559883556846977024/bXHnQFY0_normal.jpg</v>
      </c>
      <c r="AW1606" s="80" t="s">
        <v>17473</v>
      </c>
      <c r="AX1606" s="80" t="s">
        <v>17473</v>
      </c>
      <c r="AY1606" s="77"/>
      <c r="AZ1606" s="80" t="s">
        <v>20380</v>
      </c>
      <c r="BA1606" s="80" t="s">
        <v>20380</v>
      </c>
      <c r="BB1606" s="80" t="s">
        <v>20380</v>
      </c>
      <c r="BC1606" s="80" t="s">
        <v>17473</v>
      </c>
      <c r="BD1606" s="77">
        <v>51150679</v>
      </c>
      <c r="BE1606" s="77"/>
      <c r="BF1606" s="77"/>
      <c r="BG1606" s="77"/>
      <c r="BH1606" s="77"/>
      <c r="BI1606" s="77"/>
    </row>
    <row r="1607" spans="1:61" x14ac:dyDescent="0.25">
      <c r="A1607" s="62" t="s">
        <v>790</v>
      </c>
      <c r="B1607" s="62" t="s">
        <v>790</v>
      </c>
      <c r="C1607" s="63"/>
      <c r="D1607" s="64"/>
      <c r="E1607" s="65"/>
      <c r="F1607" s="66"/>
      <c r="G1607" s="63"/>
      <c r="H1607" s="67"/>
      <c r="I1607" s="68"/>
      <c r="J1607" s="68"/>
      <c r="K1607" s="32"/>
      <c r="L1607" s="75">
        <v>1607</v>
      </c>
      <c r="M1607" s="75"/>
      <c r="N1607" s="70"/>
      <c r="O1607" s="77" t="s">
        <v>179</v>
      </c>
      <c r="P1607" s="79">
        <v>45174.73228009259</v>
      </c>
      <c r="Q1607" s="77" t="s">
        <v>3503</v>
      </c>
      <c r="R1607" s="77">
        <v>0</v>
      </c>
      <c r="S1607" s="77">
        <v>3</v>
      </c>
      <c r="T1607" s="77">
        <v>1</v>
      </c>
      <c r="U1607" s="77">
        <v>0</v>
      </c>
      <c r="V1607" s="77">
        <v>847</v>
      </c>
      <c r="W1607" s="80" t="s">
        <v>6950</v>
      </c>
      <c r="X1607" s="83" t="str">
        <f>HYPERLINK("https://www.moneytimes.com.br/rotativo-do-cartao-febraban-barra-comercial-sobre-parcelamento-entenda-por-que-e-o-que-esta-em-jogo/")</f>
        <v>https://www.moneytimes.com.br/rotativo-do-cartao-febraban-barra-comercial-sobre-parcelamento-entenda-por-que-e-o-que-esta-em-jogo/</v>
      </c>
      <c r="Y1607" s="77" t="s">
        <v>8611</v>
      </c>
      <c r="Z1607" s="77"/>
      <c r="AA1607" s="77"/>
      <c r="AB1607" s="77"/>
      <c r="AC1607" s="80" t="s">
        <v>10558</v>
      </c>
      <c r="AD1607" s="77" t="s">
        <v>10617</v>
      </c>
      <c r="AE1607" s="83" t="str">
        <f>HYPERLINK("https://twitter.com/leiamoneytimes/status/1699113786819420304")</f>
        <v>https://twitter.com/leiamoneytimes/status/1699113786819420304</v>
      </c>
      <c r="AF1607" s="79">
        <v>45174.73228009259</v>
      </c>
      <c r="AG1607" s="85">
        <v>45174</v>
      </c>
      <c r="AH1607" s="80" t="s">
        <v>12041</v>
      </c>
      <c r="AI1607" s="77" t="b">
        <v>0</v>
      </c>
      <c r="AJ1607" s="77"/>
      <c r="AK1607" s="77"/>
      <c r="AL1607" s="77"/>
      <c r="AM1607" s="77"/>
      <c r="AN1607" s="77"/>
      <c r="AO1607" s="77"/>
      <c r="AP1607" s="77"/>
      <c r="AQ1607" s="77"/>
      <c r="AR1607" s="77"/>
      <c r="AS1607" s="77"/>
      <c r="AT1607" s="77"/>
      <c r="AU1607" s="77"/>
      <c r="AV1607" s="83" t="str">
        <f>HYPERLINK("https://pbs.twimg.com/profile_images/1559883556846977024/bXHnQFY0_normal.jpg")</f>
        <v>https://pbs.twimg.com/profile_images/1559883556846977024/bXHnQFY0_normal.jpg</v>
      </c>
      <c r="AW1607" s="80" t="s">
        <v>17474</v>
      </c>
      <c r="AX1607" s="80" t="s">
        <v>17474</v>
      </c>
      <c r="AY1607" s="77"/>
      <c r="AZ1607" s="80" t="s">
        <v>20380</v>
      </c>
      <c r="BA1607" s="80" t="s">
        <v>20380</v>
      </c>
      <c r="BB1607" s="80" t="s">
        <v>20380</v>
      </c>
      <c r="BC1607" s="80" t="s">
        <v>17474</v>
      </c>
      <c r="BD1607" s="77">
        <v>51150679</v>
      </c>
      <c r="BE1607" s="77"/>
      <c r="BF1607" s="77"/>
      <c r="BG1607" s="77"/>
      <c r="BH1607" s="77"/>
      <c r="BI1607" s="77"/>
    </row>
    <row r="1608" spans="1:61" x14ac:dyDescent="0.25">
      <c r="A1608" s="62" t="s">
        <v>790</v>
      </c>
      <c r="B1608" s="62" t="s">
        <v>790</v>
      </c>
      <c r="C1608" s="63"/>
      <c r="D1608" s="64"/>
      <c r="E1608" s="65"/>
      <c r="F1608" s="66"/>
      <c r="G1608" s="63"/>
      <c r="H1608" s="67"/>
      <c r="I1608" s="68"/>
      <c r="J1608" s="68"/>
      <c r="K1608" s="32"/>
      <c r="L1608" s="75">
        <v>1608</v>
      </c>
      <c r="M1608" s="75"/>
      <c r="N1608" s="70"/>
      <c r="O1608" s="77" t="s">
        <v>179</v>
      </c>
      <c r="P1608" s="79">
        <v>45174.732106481482</v>
      </c>
      <c r="Q1608" s="77" t="s">
        <v>3504</v>
      </c>
      <c r="R1608" s="77">
        <v>0</v>
      </c>
      <c r="S1608" s="77">
        <v>1</v>
      </c>
      <c r="T1608" s="77">
        <v>1</v>
      </c>
      <c r="U1608" s="77">
        <v>0</v>
      </c>
      <c r="V1608" s="77">
        <v>701</v>
      </c>
      <c r="W1608" s="80" t="s">
        <v>6975</v>
      </c>
      <c r="X1608" s="83" t="str">
        <f>HYPERLINK("https://www.moneytimes.com.br/campos-neto-planeja-deixar-tudo-na-mao-da-inteligencia-artificial-veja-como-vai-funcionar/")</f>
        <v>https://www.moneytimes.com.br/campos-neto-planeja-deixar-tudo-na-mao-da-inteligencia-artificial-veja-como-vai-funcionar/</v>
      </c>
      <c r="Y1608" s="77" t="s">
        <v>8611</v>
      </c>
      <c r="Z1608" s="77"/>
      <c r="AA1608" s="77"/>
      <c r="AB1608" s="77"/>
      <c r="AC1608" s="80" t="s">
        <v>10558</v>
      </c>
      <c r="AD1608" s="77" t="s">
        <v>10617</v>
      </c>
      <c r="AE1608" s="83" t="str">
        <f>HYPERLINK("https://twitter.com/leiamoneytimes/status/1699113722852016510")</f>
        <v>https://twitter.com/leiamoneytimes/status/1699113722852016510</v>
      </c>
      <c r="AF1608" s="79">
        <v>45174.732106481482</v>
      </c>
      <c r="AG1608" s="85">
        <v>45174</v>
      </c>
      <c r="AH1608" s="80" t="s">
        <v>12042</v>
      </c>
      <c r="AI1608" s="77" t="b">
        <v>0</v>
      </c>
      <c r="AJ1608" s="77"/>
      <c r="AK1608" s="77"/>
      <c r="AL1608" s="77"/>
      <c r="AM1608" s="77"/>
      <c r="AN1608" s="77"/>
      <c r="AO1608" s="77"/>
      <c r="AP1608" s="77"/>
      <c r="AQ1608" s="77"/>
      <c r="AR1608" s="77"/>
      <c r="AS1608" s="77"/>
      <c r="AT1608" s="77"/>
      <c r="AU1608" s="77"/>
      <c r="AV1608" s="83" t="str">
        <f>HYPERLINK("https://pbs.twimg.com/profile_images/1559883556846977024/bXHnQFY0_normal.jpg")</f>
        <v>https://pbs.twimg.com/profile_images/1559883556846977024/bXHnQFY0_normal.jpg</v>
      </c>
      <c r="AW1608" s="80" t="s">
        <v>17475</v>
      </c>
      <c r="AX1608" s="80" t="s">
        <v>17475</v>
      </c>
      <c r="AY1608" s="77"/>
      <c r="AZ1608" s="80" t="s">
        <v>20380</v>
      </c>
      <c r="BA1608" s="80" t="s">
        <v>20380</v>
      </c>
      <c r="BB1608" s="80" t="s">
        <v>20380</v>
      </c>
      <c r="BC1608" s="80" t="s">
        <v>17475</v>
      </c>
      <c r="BD1608" s="77">
        <v>51150679</v>
      </c>
      <c r="BE1608" s="77"/>
      <c r="BF1608" s="77"/>
      <c r="BG1608" s="77"/>
      <c r="BH1608" s="77"/>
      <c r="BI1608" s="77"/>
    </row>
    <row r="1609" spans="1:61" x14ac:dyDescent="0.25">
      <c r="A1609" s="62" t="s">
        <v>790</v>
      </c>
      <c r="B1609" s="62" t="s">
        <v>790</v>
      </c>
      <c r="C1609" s="63"/>
      <c r="D1609" s="64"/>
      <c r="E1609" s="65"/>
      <c r="F1609" s="66"/>
      <c r="G1609" s="63"/>
      <c r="H1609" s="67"/>
      <c r="I1609" s="68"/>
      <c r="J1609" s="68"/>
      <c r="K1609" s="32"/>
      <c r="L1609" s="75">
        <v>1609</v>
      </c>
      <c r="M1609" s="75"/>
      <c r="N1609" s="70"/>
      <c r="O1609" s="77" t="s">
        <v>179</v>
      </c>
      <c r="P1609" s="79">
        <v>45174.614444444444</v>
      </c>
      <c r="Q1609" s="77" t="s">
        <v>3505</v>
      </c>
      <c r="R1609" s="77">
        <v>0</v>
      </c>
      <c r="S1609" s="77">
        <v>4</v>
      </c>
      <c r="T1609" s="77">
        <v>1</v>
      </c>
      <c r="U1609" s="77">
        <v>0</v>
      </c>
      <c r="V1609" s="77">
        <v>756</v>
      </c>
      <c r="W1609" s="80" t="s">
        <v>6922</v>
      </c>
      <c r="X1609" s="83" t="str">
        <f>HYPERLINK("https://www.moneytimes.com.br/ultima-apresentacao-antes-do-copom-campos-neto-fala-sobre-a-importancia-da-politica-monetaria-perseverar/")</f>
        <v>https://www.moneytimes.com.br/ultima-apresentacao-antes-do-copom-campos-neto-fala-sobre-a-importancia-da-politica-monetaria-perseverar/</v>
      </c>
      <c r="Y1609" s="77" t="s">
        <v>8611</v>
      </c>
      <c r="Z1609" s="77"/>
      <c r="AA1609" s="77"/>
      <c r="AB1609" s="77"/>
      <c r="AC1609" s="80" t="s">
        <v>10558</v>
      </c>
      <c r="AD1609" s="77" t="s">
        <v>10617</v>
      </c>
      <c r="AE1609" s="83" t="str">
        <f>HYPERLINK("https://twitter.com/leiamoneytimes/status/1699071085726380169")</f>
        <v>https://twitter.com/leiamoneytimes/status/1699071085726380169</v>
      </c>
      <c r="AF1609" s="79">
        <v>45174.614444444444</v>
      </c>
      <c r="AG1609" s="85">
        <v>45174</v>
      </c>
      <c r="AH1609" s="80" t="s">
        <v>12043</v>
      </c>
      <c r="AI1609" s="77" t="b">
        <v>0</v>
      </c>
      <c r="AJ1609" s="77"/>
      <c r="AK1609" s="77"/>
      <c r="AL1609" s="77"/>
      <c r="AM1609" s="77"/>
      <c r="AN1609" s="77"/>
      <c r="AO1609" s="77"/>
      <c r="AP1609" s="77"/>
      <c r="AQ1609" s="77"/>
      <c r="AR1609" s="77"/>
      <c r="AS1609" s="77"/>
      <c r="AT1609" s="77"/>
      <c r="AU1609" s="77"/>
      <c r="AV1609" s="83" t="str">
        <f>HYPERLINK("https://pbs.twimg.com/profile_images/1559883556846977024/bXHnQFY0_normal.jpg")</f>
        <v>https://pbs.twimg.com/profile_images/1559883556846977024/bXHnQFY0_normal.jpg</v>
      </c>
      <c r="AW1609" s="80" t="s">
        <v>17476</v>
      </c>
      <c r="AX1609" s="80" t="s">
        <v>17476</v>
      </c>
      <c r="AY1609" s="77"/>
      <c r="AZ1609" s="80" t="s">
        <v>20380</v>
      </c>
      <c r="BA1609" s="80" t="s">
        <v>20380</v>
      </c>
      <c r="BB1609" s="80" t="s">
        <v>20380</v>
      </c>
      <c r="BC1609" s="80" t="s">
        <v>17476</v>
      </c>
      <c r="BD1609" s="77">
        <v>51150679</v>
      </c>
      <c r="BE1609" s="77"/>
      <c r="BF1609" s="77"/>
      <c r="BG1609" s="77"/>
      <c r="BH1609" s="77"/>
      <c r="BI1609" s="77"/>
    </row>
    <row r="1610" spans="1:61" x14ac:dyDescent="0.25">
      <c r="A1610" s="62" t="s">
        <v>790</v>
      </c>
      <c r="B1610" s="62" t="s">
        <v>790</v>
      </c>
      <c r="C1610" s="63"/>
      <c r="D1610" s="64"/>
      <c r="E1610" s="65"/>
      <c r="F1610" s="66"/>
      <c r="G1610" s="63"/>
      <c r="H1610" s="67"/>
      <c r="I1610" s="68"/>
      <c r="J1610" s="68"/>
      <c r="K1610" s="32"/>
      <c r="L1610" s="75">
        <v>1610</v>
      </c>
      <c r="M1610" s="75"/>
      <c r="N1610" s="70"/>
      <c r="O1610" s="77" t="s">
        <v>179</v>
      </c>
      <c r="P1610" s="79">
        <v>45173.828310185185</v>
      </c>
      <c r="Q1610" s="77" t="s">
        <v>3506</v>
      </c>
      <c r="R1610" s="77">
        <v>0</v>
      </c>
      <c r="S1610" s="77">
        <v>3</v>
      </c>
      <c r="T1610" s="77">
        <v>1</v>
      </c>
      <c r="U1610" s="77">
        <v>0</v>
      </c>
      <c r="V1610" s="77">
        <v>953</v>
      </c>
      <c r="W1610" s="80" t="s">
        <v>6994</v>
      </c>
      <c r="X1610" s="83" t="str">
        <f>HYPERLINK("https://www.moneytimes.com.br/ja-aderiu-ao-open-finance-complemento-do-pix-ja-e-usado-por-28-milhoes-de-pessoas/")</f>
        <v>https://www.moneytimes.com.br/ja-aderiu-ao-open-finance-complemento-do-pix-ja-e-usado-por-28-milhoes-de-pessoas/</v>
      </c>
      <c r="Y1610" s="77" t="s">
        <v>8611</v>
      </c>
      <c r="Z1610" s="77"/>
      <c r="AA1610" s="77"/>
      <c r="AB1610" s="77"/>
      <c r="AC1610" s="80" t="s">
        <v>10558</v>
      </c>
      <c r="AD1610" s="77" t="s">
        <v>10617</v>
      </c>
      <c r="AE1610" s="83" t="str">
        <f>HYPERLINK("https://twitter.com/leiamoneytimes/status/1698786200633352693")</f>
        <v>https://twitter.com/leiamoneytimes/status/1698786200633352693</v>
      </c>
      <c r="AF1610" s="79">
        <v>45173.828310185185</v>
      </c>
      <c r="AG1610" s="85">
        <v>45173</v>
      </c>
      <c r="AH1610" s="80" t="s">
        <v>12044</v>
      </c>
      <c r="AI1610" s="77" t="b">
        <v>0</v>
      </c>
      <c r="AJ1610" s="77"/>
      <c r="AK1610" s="77"/>
      <c r="AL1610" s="77"/>
      <c r="AM1610" s="77"/>
      <c r="AN1610" s="77"/>
      <c r="AO1610" s="77"/>
      <c r="AP1610" s="77"/>
      <c r="AQ1610" s="77"/>
      <c r="AR1610" s="77"/>
      <c r="AS1610" s="77"/>
      <c r="AT1610" s="77"/>
      <c r="AU1610" s="77"/>
      <c r="AV1610" s="83" t="str">
        <f>HYPERLINK("https://pbs.twimg.com/profile_images/1559883556846977024/bXHnQFY0_normal.jpg")</f>
        <v>https://pbs.twimg.com/profile_images/1559883556846977024/bXHnQFY0_normal.jpg</v>
      </c>
      <c r="AW1610" s="80" t="s">
        <v>17477</v>
      </c>
      <c r="AX1610" s="80" t="s">
        <v>17477</v>
      </c>
      <c r="AY1610" s="77"/>
      <c r="AZ1610" s="80" t="s">
        <v>20380</v>
      </c>
      <c r="BA1610" s="80" t="s">
        <v>20380</v>
      </c>
      <c r="BB1610" s="80" t="s">
        <v>20380</v>
      </c>
      <c r="BC1610" s="80" t="s">
        <v>17477</v>
      </c>
      <c r="BD1610" s="77">
        <v>51150679</v>
      </c>
      <c r="BE1610" s="77"/>
      <c r="BF1610" s="77"/>
      <c r="BG1610" s="77"/>
      <c r="BH1610" s="77"/>
      <c r="BI1610" s="77"/>
    </row>
    <row r="1611" spans="1:61" x14ac:dyDescent="0.25">
      <c r="A1611" s="62" t="s">
        <v>790</v>
      </c>
      <c r="B1611" s="62" t="s">
        <v>790</v>
      </c>
      <c r="C1611" s="63"/>
      <c r="D1611" s="64"/>
      <c r="E1611" s="65"/>
      <c r="F1611" s="66"/>
      <c r="G1611" s="63"/>
      <c r="H1611" s="67"/>
      <c r="I1611" s="68"/>
      <c r="J1611" s="68"/>
      <c r="K1611" s="32"/>
      <c r="L1611" s="75">
        <v>1611</v>
      </c>
      <c r="M1611" s="75"/>
      <c r="N1611" s="70"/>
      <c r="O1611" s="77" t="s">
        <v>179</v>
      </c>
      <c r="P1611" s="79">
        <v>45160.79246527778</v>
      </c>
      <c r="Q1611" s="77" t="s">
        <v>3507</v>
      </c>
      <c r="R1611" s="77">
        <v>0</v>
      </c>
      <c r="S1611" s="77">
        <v>1</v>
      </c>
      <c r="T1611" s="77">
        <v>1</v>
      </c>
      <c r="U1611" s="77">
        <v>0</v>
      </c>
      <c r="V1611" s="77">
        <v>1229</v>
      </c>
      <c r="W1611" s="80" t="s">
        <v>6939</v>
      </c>
      <c r="X1611" s="83" t="str">
        <f>HYPERLINK("https://www.moneytimes.com.br/espaco-para-reduzir-a-selic-galipolo-explica-como-juros-podem-cair-e-continuar-restritivos/")</f>
        <v>https://www.moneytimes.com.br/espaco-para-reduzir-a-selic-galipolo-explica-como-juros-podem-cair-e-continuar-restritivos/</v>
      </c>
      <c r="Y1611" s="77" t="s">
        <v>8611</v>
      </c>
      <c r="Z1611" s="77"/>
      <c r="AA1611" s="77"/>
      <c r="AB1611" s="77"/>
      <c r="AC1611" s="80" t="s">
        <v>10558</v>
      </c>
      <c r="AD1611" s="77" t="s">
        <v>10617</v>
      </c>
      <c r="AE1611" s="83" t="str">
        <f>HYPERLINK("https://twitter.com/leiamoneytimes/status/1694062165919924445")</f>
        <v>https://twitter.com/leiamoneytimes/status/1694062165919924445</v>
      </c>
      <c r="AF1611" s="79">
        <v>45160.79246527778</v>
      </c>
      <c r="AG1611" s="85">
        <v>45160</v>
      </c>
      <c r="AH1611" s="80" t="s">
        <v>12045</v>
      </c>
      <c r="AI1611" s="77" t="b">
        <v>0</v>
      </c>
      <c r="AJ1611" s="77"/>
      <c r="AK1611" s="77"/>
      <c r="AL1611" s="77"/>
      <c r="AM1611" s="77"/>
      <c r="AN1611" s="77"/>
      <c r="AO1611" s="77"/>
      <c r="AP1611" s="77"/>
      <c r="AQ1611" s="77"/>
      <c r="AR1611" s="77"/>
      <c r="AS1611" s="77"/>
      <c r="AT1611" s="77"/>
      <c r="AU1611" s="77"/>
      <c r="AV1611" s="83" t="str">
        <f>HYPERLINK("https://pbs.twimg.com/profile_images/1559883556846977024/bXHnQFY0_normal.jpg")</f>
        <v>https://pbs.twimg.com/profile_images/1559883556846977024/bXHnQFY0_normal.jpg</v>
      </c>
      <c r="AW1611" s="80" t="s">
        <v>17478</v>
      </c>
      <c r="AX1611" s="80" t="s">
        <v>17478</v>
      </c>
      <c r="AY1611" s="77"/>
      <c r="AZ1611" s="80" t="s">
        <v>20380</v>
      </c>
      <c r="BA1611" s="80" t="s">
        <v>20380</v>
      </c>
      <c r="BB1611" s="80" t="s">
        <v>20380</v>
      </c>
      <c r="BC1611" s="80" t="s">
        <v>17478</v>
      </c>
      <c r="BD1611" s="77">
        <v>51150679</v>
      </c>
      <c r="BE1611" s="77"/>
      <c r="BF1611" s="77"/>
      <c r="BG1611" s="77"/>
      <c r="BH1611" s="77"/>
      <c r="BI1611" s="77"/>
    </row>
    <row r="1612" spans="1:61" x14ac:dyDescent="0.25">
      <c r="A1612" s="62" t="s">
        <v>790</v>
      </c>
      <c r="B1612" s="62" t="s">
        <v>790</v>
      </c>
      <c r="C1612" s="63"/>
      <c r="D1612" s="64"/>
      <c r="E1612" s="65"/>
      <c r="F1612" s="66"/>
      <c r="G1612" s="63"/>
      <c r="H1612" s="67"/>
      <c r="I1612" s="68"/>
      <c r="J1612" s="68"/>
      <c r="K1612" s="32"/>
      <c r="L1612" s="75">
        <v>1612</v>
      </c>
      <c r="M1612" s="75"/>
      <c r="N1612" s="70"/>
      <c r="O1612" s="77" t="s">
        <v>179</v>
      </c>
      <c r="P1612" s="79">
        <v>45160.606319444443</v>
      </c>
      <c r="Q1612" s="77" t="s">
        <v>3508</v>
      </c>
      <c r="R1612" s="77">
        <v>0</v>
      </c>
      <c r="S1612" s="77">
        <v>8</v>
      </c>
      <c r="T1612" s="77">
        <v>1</v>
      </c>
      <c r="U1612" s="77">
        <v>0</v>
      </c>
      <c r="V1612" s="77">
        <v>964</v>
      </c>
      <c r="W1612" s="80" t="s">
        <v>6931</v>
      </c>
      <c r="X1612" s="83" t="str">
        <f>HYPERLINK("https://www.moneytimes.com.br/o-fantasma-da-inflacao-voltou-campos-neto-diz-que-batalha-ainda-nao-esta-ganha/")</f>
        <v>https://www.moneytimes.com.br/o-fantasma-da-inflacao-voltou-campos-neto-diz-que-batalha-ainda-nao-esta-ganha/</v>
      </c>
      <c r="Y1612" s="77" t="s">
        <v>8611</v>
      </c>
      <c r="Z1612" s="77"/>
      <c r="AA1612" s="77"/>
      <c r="AB1612" s="77"/>
      <c r="AC1612" s="80" t="s">
        <v>10558</v>
      </c>
      <c r="AD1612" s="77" t="s">
        <v>10617</v>
      </c>
      <c r="AE1612" s="83" t="str">
        <f>HYPERLINK("https://twitter.com/leiamoneytimes/status/1693994710543818852")</f>
        <v>https://twitter.com/leiamoneytimes/status/1693994710543818852</v>
      </c>
      <c r="AF1612" s="79">
        <v>45160.606319444443</v>
      </c>
      <c r="AG1612" s="85">
        <v>45160</v>
      </c>
      <c r="AH1612" s="80" t="s">
        <v>12046</v>
      </c>
      <c r="AI1612" s="77" t="b">
        <v>0</v>
      </c>
      <c r="AJ1612" s="77"/>
      <c r="AK1612" s="77"/>
      <c r="AL1612" s="77"/>
      <c r="AM1612" s="77"/>
      <c r="AN1612" s="77"/>
      <c r="AO1612" s="77"/>
      <c r="AP1612" s="77"/>
      <c r="AQ1612" s="77"/>
      <c r="AR1612" s="77"/>
      <c r="AS1612" s="77"/>
      <c r="AT1612" s="77"/>
      <c r="AU1612" s="77"/>
      <c r="AV1612" s="83" t="str">
        <f>HYPERLINK("https://pbs.twimg.com/profile_images/1559883556846977024/bXHnQFY0_normal.jpg")</f>
        <v>https://pbs.twimg.com/profile_images/1559883556846977024/bXHnQFY0_normal.jpg</v>
      </c>
      <c r="AW1612" s="80" t="s">
        <v>17479</v>
      </c>
      <c r="AX1612" s="80" t="s">
        <v>17479</v>
      </c>
      <c r="AY1612" s="77"/>
      <c r="AZ1612" s="80" t="s">
        <v>20380</v>
      </c>
      <c r="BA1612" s="80" t="s">
        <v>20380</v>
      </c>
      <c r="BB1612" s="80" t="s">
        <v>20380</v>
      </c>
      <c r="BC1612" s="80" t="s">
        <v>17479</v>
      </c>
      <c r="BD1612" s="77">
        <v>51150679</v>
      </c>
      <c r="BE1612" s="77"/>
      <c r="BF1612" s="77"/>
      <c r="BG1612" s="77"/>
      <c r="BH1612" s="77"/>
      <c r="BI1612" s="77"/>
    </row>
    <row r="1613" spans="1:61" x14ac:dyDescent="0.25">
      <c r="A1613" s="62" t="s">
        <v>790</v>
      </c>
      <c r="B1613" s="62" t="s">
        <v>790</v>
      </c>
      <c r="C1613" s="63"/>
      <c r="D1613" s="64"/>
      <c r="E1613" s="65"/>
      <c r="F1613" s="66"/>
      <c r="G1613" s="63"/>
      <c r="H1613" s="67"/>
      <c r="I1613" s="68"/>
      <c r="J1613" s="68"/>
      <c r="K1613" s="32"/>
      <c r="L1613" s="75">
        <v>1613</v>
      </c>
      <c r="M1613" s="75"/>
      <c r="N1613" s="70"/>
      <c r="O1613" s="77" t="s">
        <v>179</v>
      </c>
      <c r="P1613" s="79">
        <v>45160.522048611114</v>
      </c>
      <c r="Q1613" s="77" t="s">
        <v>3509</v>
      </c>
      <c r="R1613" s="77">
        <v>0</v>
      </c>
      <c r="S1613" s="77">
        <v>6</v>
      </c>
      <c r="T1613" s="77">
        <v>2</v>
      </c>
      <c r="U1613" s="77">
        <v>0</v>
      </c>
      <c r="V1613" s="77">
        <v>1145</v>
      </c>
      <c r="W1613" s="80" t="s">
        <v>6975</v>
      </c>
      <c r="X1613" s="83" t="str">
        <f>HYPERLINK("https://www.moneytimes.com.br/drex-1a-fase-atrasa-em-3-meses-veja-como-isso-afeta-o-cronograma-do-real-digital/")</f>
        <v>https://www.moneytimes.com.br/drex-1a-fase-atrasa-em-3-meses-veja-como-isso-afeta-o-cronograma-do-real-digital/</v>
      </c>
      <c r="Y1613" s="77" t="s">
        <v>8611</v>
      </c>
      <c r="Z1613" s="77"/>
      <c r="AA1613" s="77"/>
      <c r="AB1613" s="77"/>
      <c r="AC1613" s="80" t="s">
        <v>10558</v>
      </c>
      <c r="AD1613" s="77" t="s">
        <v>10617</v>
      </c>
      <c r="AE1613" s="83" t="str">
        <f>HYPERLINK("https://twitter.com/leiamoneytimes/status/1693964170226487594")</f>
        <v>https://twitter.com/leiamoneytimes/status/1693964170226487594</v>
      </c>
      <c r="AF1613" s="79">
        <v>45160.522048611114</v>
      </c>
      <c r="AG1613" s="85">
        <v>45160</v>
      </c>
      <c r="AH1613" s="80" t="s">
        <v>12047</v>
      </c>
      <c r="AI1613" s="77" t="b">
        <v>0</v>
      </c>
      <c r="AJ1613" s="77"/>
      <c r="AK1613" s="77"/>
      <c r="AL1613" s="77"/>
      <c r="AM1613" s="77"/>
      <c r="AN1613" s="77"/>
      <c r="AO1613" s="77"/>
      <c r="AP1613" s="77"/>
      <c r="AQ1613" s="77"/>
      <c r="AR1613" s="77"/>
      <c r="AS1613" s="77"/>
      <c r="AT1613" s="77"/>
      <c r="AU1613" s="77"/>
      <c r="AV1613" s="83" t="str">
        <f>HYPERLINK("https://pbs.twimg.com/profile_images/1559883556846977024/bXHnQFY0_normal.jpg")</f>
        <v>https://pbs.twimg.com/profile_images/1559883556846977024/bXHnQFY0_normal.jpg</v>
      </c>
      <c r="AW1613" s="80" t="s">
        <v>17480</v>
      </c>
      <c r="AX1613" s="80" t="s">
        <v>17480</v>
      </c>
      <c r="AY1613" s="77"/>
      <c r="AZ1613" s="80" t="s">
        <v>20380</v>
      </c>
      <c r="BA1613" s="80" t="s">
        <v>20380</v>
      </c>
      <c r="BB1613" s="80" t="s">
        <v>20380</v>
      </c>
      <c r="BC1613" s="80" t="s">
        <v>17480</v>
      </c>
      <c r="BD1613" s="77">
        <v>51150679</v>
      </c>
      <c r="BE1613" s="77"/>
      <c r="BF1613" s="77"/>
      <c r="BG1613" s="77"/>
      <c r="BH1613" s="77"/>
      <c r="BI1613" s="77"/>
    </row>
    <row r="1614" spans="1:61" x14ac:dyDescent="0.25">
      <c r="A1614" s="62" t="s">
        <v>790</v>
      </c>
      <c r="B1614" s="62" t="s">
        <v>790</v>
      </c>
      <c r="C1614" s="63"/>
      <c r="D1614" s="64"/>
      <c r="E1614" s="65"/>
      <c r="F1614" s="66"/>
      <c r="G1614" s="63"/>
      <c r="H1614" s="67"/>
      <c r="I1614" s="68"/>
      <c r="J1614" s="68"/>
      <c r="K1614" s="32"/>
      <c r="L1614" s="75">
        <v>1614</v>
      </c>
      <c r="M1614" s="75"/>
      <c r="N1614" s="70"/>
      <c r="O1614" s="77" t="s">
        <v>179</v>
      </c>
      <c r="P1614" s="79">
        <v>45159.633032407408</v>
      </c>
      <c r="Q1614" s="77" t="s">
        <v>3510</v>
      </c>
      <c r="R1614" s="77">
        <v>0</v>
      </c>
      <c r="S1614" s="77">
        <v>3</v>
      </c>
      <c r="T1614" s="77">
        <v>2</v>
      </c>
      <c r="U1614" s="77">
        <v>0</v>
      </c>
      <c r="V1614" s="77">
        <v>1231</v>
      </c>
      <c r="W1614" s="80" t="s">
        <v>6995</v>
      </c>
      <c r="X1614" s="83" t="str">
        <f>HYPERLINK("https://www.moneytimes.com.br/indicadores-hoje-ibovespa-ibov-opera-em-baixa-apos-alta-nas-projecoes-do-focus-21-08-2023/")</f>
        <v>https://www.moneytimes.com.br/indicadores-hoje-ibovespa-ibov-opera-em-baixa-apos-alta-nas-projecoes-do-focus-21-08-2023/</v>
      </c>
      <c r="Y1614" s="77" t="s">
        <v>8611</v>
      </c>
      <c r="Z1614" s="77"/>
      <c r="AA1614" s="77"/>
      <c r="AB1614" s="77"/>
      <c r="AC1614" s="80" t="s">
        <v>10558</v>
      </c>
      <c r="AD1614" s="77" t="s">
        <v>10617</v>
      </c>
      <c r="AE1614" s="83" t="str">
        <f>HYPERLINK("https://twitter.com/leiamoneytimes/status/1693642004339569129")</f>
        <v>https://twitter.com/leiamoneytimes/status/1693642004339569129</v>
      </c>
      <c r="AF1614" s="79">
        <v>45159.633032407408</v>
      </c>
      <c r="AG1614" s="85">
        <v>45159</v>
      </c>
      <c r="AH1614" s="80" t="s">
        <v>12048</v>
      </c>
      <c r="AI1614" s="77" t="b">
        <v>0</v>
      </c>
      <c r="AJ1614" s="77"/>
      <c r="AK1614" s="77"/>
      <c r="AL1614" s="77"/>
      <c r="AM1614" s="77"/>
      <c r="AN1614" s="77"/>
      <c r="AO1614" s="77"/>
      <c r="AP1614" s="77"/>
      <c r="AQ1614" s="77"/>
      <c r="AR1614" s="77"/>
      <c r="AS1614" s="77"/>
      <c r="AT1614" s="77"/>
      <c r="AU1614" s="77"/>
      <c r="AV1614" s="83" t="str">
        <f>HYPERLINK("https://pbs.twimg.com/profile_images/1559883556846977024/bXHnQFY0_normal.jpg")</f>
        <v>https://pbs.twimg.com/profile_images/1559883556846977024/bXHnQFY0_normal.jpg</v>
      </c>
      <c r="AW1614" s="80" t="s">
        <v>17481</v>
      </c>
      <c r="AX1614" s="80" t="s">
        <v>17481</v>
      </c>
      <c r="AY1614" s="77"/>
      <c r="AZ1614" s="80" t="s">
        <v>20380</v>
      </c>
      <c r="BA1614" s="80" t="s">
        <v>20380</v>
      </c>
      <c r="BB1614" s="80" t="s">
        <v>20380</v>
      </c>
      <c r="BC1614" s="80" t="s">
        <v>17481</v>
      </c>
      <c r="BD1614" s="77">
        <v>51150679</v>
      </c>
      <c r="BE1614" s="77"/>
      <c r="BF1614" s="77"/>
      <c r="BG1614" s="77"/>
      <c r="BH1614" s="77"/>
      <c r="BI1614" s="77"/>
    </row>
    <row r="1615" spans="1:61" x14ac:dyDescent="0.25">
      <c r="A1615" s="62" t="s">
        <v>790</v>
      </c>
      <c r="B1615" s="62" t="s">
        <v>790</v>
      </c>
      <c r="C1615" s="63"/>
      <c r="D1615" s="64"/>
      <c r="E1615" s="65"/>
      <c r="F1615" s="66"/>
      <c r="G1615" s="63"/>
      <c r="H1615" s="67"/>
      <c r="I1615" s="68"/>
      <c r="J1615" s="68"/>
      <c r="K1615" s="32"/>
      <c r="L1615" s="75">
        <v>1615</v>
      </c>
      <c r="M1615" s="75"/>
      <c r="N1615" s="70"/>
      <c r="O1615" s="77" t="s">
        <v>179</v>
      </c>
      <c r="P1615" s="79">
        <v>45152.494004629632</v>
      </c>
      <c r="Q1615" s="77" t="s">
        <v>3511</v>
      </c>
      <c r="R1615" s="77">
        <v>0</v>
      </c>
      <c r="S1615" s="77">
        <v>5</v>
      </c>
      <c r="T1615" s="77">
        <v>1</v>
      </c>
      <c r="U1615" s="77">
        <v>0</v>
      </c>
      <c r="V1615" s="77">
        <v>1205</v>
      </c>
      <c r="W1615" s="80" t="s">
        <v>6934</v>
      </c>
      <c r="X1615" s="83" t="str">
        <f>HYPERLINK("https://www.moneytimes.com.br/focus-mercado-pausa-projecoes-de-inflacao-e-selic-apos-ata-do-copom-confira-o-relatoria-14-08-2023/")</f>
        <v>https://www.moneytimes.com.br/focus-mercado-pausa-projecoes-de-inflacao-e-selic-apos-ata-do-copom-confira-o-relatoria-14-08-2023/</v>
      </c>
      <c r="Y1615" s="77" t="s">
        <v>8611</v>
      </c>
      <c r="Z1615" s="77"/>
      <c r="AA1615" s="77"/>
      <c r="AB1615" s="77"/>
      <c r="AC1615" s="80" t="s">
        <v>10558</v>
      </c>
      <c r="AD1615" s="77" t="s">
        <v>10617</v>
      </c>
      <c r="AE1615" s="83" t="str">
        <f>HYPERLINK("https://twitter.com/leiamoneytimes/status/1691054907258716160")</f>
        <v>https://twitter.com/leiamoneytimes/status/1691054907258716160</v>
      </c>
      <c r="AF1615" s="79">
        <v>45152.494004629632</v>
      </c>
      <c r="AG1615" s="85">
        <v>45152</v>
      </c>
      <c r="AH1615" s="80" t="s">
        <v>12049</v>
      </c>
      <c r="AI1615" s="77" t="b">
        <v>0</v>
      </c>
      <c r="AJ1615" s="77"/>
      <c r="AK1615" s="77"/>
      <c r="AL1615" s="77"/>
      <c r="AM1615" s="77"/>
      <c r="AN1615" s="77"/>
      <c r="AO1615" s="77"/>
      <c r="AP1615" s="77"/>
      <c r="AQ1615" s="77"/>
      <c r="AR1615" s="77"/>
      <c r="AS1615" s="77"/>
      <c r="AT1615" s="77"/>
      <c r="AU1615" s="77"/>
      <c r="AV1615" s="83" t="str">
        <f>HYPERLINK("https://pbs.twimg.com/profile_images/1559883556846977024/bXHnQFY0_normal.jpg")</f>
        <v>https://pbs.twimg.com/profile_images/1559883556846977024/bXHnQFY0_normal.jpg</v>
      </c>
      <c r="AW1615" s="80" t="s">
        <v>17482</v>
      </c>
      <c r="AX1615" s="80" t="s">
        <v>17482</v>
      </c>
      <c r="AY1615" s="77"/>
      <c r="AZ1615" s="80" t="s">
        <v>20380</v>
      </c>
      <c r="BA1615" s="80" t="s">
        <v>20380</v>
      </c>
      <c r="BB1615" s="80" t="s">
        <v>20380</v>
      </c>
      <c r="BC1615" s="80" t="s">
        <v>17482</v>
      </c>
      <c r="BD1615" s="77">
        <v>51150679</v>
      </c>
      <c r="BE1615" s="77"/>
      <c r="BF1615" s="77"/>
      <c r="BG1615" s="77"/>
      <c r="BH1615" s="77"/>
      <c r="BI1615" s="77"/>
    </row>
    <row r="1616" spans="1:61" x14ac:dyDescent="0.25">
      <c r="A1616" s="62" t="s">
        <v>790</v>
      </c>
      <c r="B1616" s="62" t="s">
        <v>790</v>
      </c>
      <c r="C1616" s="63"/>
      <c r="D1616" s="64"/>
      <c r="E1616" s="65"/>
      <c r="F1616" s="66"/>
      <c r="G1616" s="63"/>
      <c r="H1616" s="67"/>
      <c r="I1616" s="68"/>
      <c r="J1616" s="68"/>
      <c r="K1616" s="32"/>
      <c r="L1616" s="75">
        <v>1616</v>
      </c>
      <c r="M1616" s="75"/>
      <c r="N1616" s="70"/>
      <c r="O1616" s="77" t="s">
        <v>179</v>
      </c>
      <c r="P1616" s="79">
        <v>45152.454976851855</v>
      </c>
      <c r="Q1616" s="77" t="s">
        <v>3512</v>
      </c>
      <c r="R1616" s="77">
        <v>1</v>
      </c>
      <c r="S1616" s="77">
        <v>17</v>
      </c>
      <c r="T1616" s="77">
        <v>1</v>
      </c>
      <c r="U1616" s="77">
        <v>0</v>
      </c>
      <c r="V1616" s="77">
        <v>2731</v>
      </c>
      <c r="W1616" s="80" t="s">
        <v>6927</v>
      </c>
      <c r="X1616" s="83" t="str">
        <f>HYPERLINK("https://www.moneytimes.com.br/agenda-petrobras-se-prepara-para-subir-preco-da-gasolina-e-do-diesel-veja-segunda-14-08-2023/")</f>
        <v>https://www.moneytimes.com.br/agenda-petrobras-se-prepara-para-subir-preco-da-gasolina-e-do-diesel-veja-segunda-14-08-2023/</v>
      </c>
      <c r="Y1616" s="77" t="s">
        <v>8611</v>
      </c>
      <c r="Z1616" s="77"/>
      <c r="AA1616" s="77"/>
      <c r="AB1616" s="77"/>
      <c r="AC1616" s="80" t="s">
        <v>10558</v>
      </c>
      <c r="AD1616" s="77" t="s">
        <v>10617</v>
      </c>
      <c r="AE1616" s="83" t="str">
        <f>HYPERLINK("https://twitter.com/leiamoneytimes/status/1691040762153078784")</f>
        <v>https://twitter.com/leiamoneytimes/status/1691040762153078784</v>
      </c>
      <c r="AF1616" s="79">
        <v>45152.454976851855</v>
      </c>
      <c r="AG1616" s="85">
        <v>45152</v>
      </c>
      <c r="AH1616" s="80" t="s">
        <v>10700</v>
      </c>
      <c r="AI1616" s="77" t="b">
        <v>0</v>
      </c>
      <c r="AJ1616" s="77"/>
      <c r="AK1616" s="77"/>
      <c r="AL1616" s="77"/>
      <c r="AM1616" s="77"/>
      <c r="AN1616" s="77"/>
      <c r="AO1616" s="77"/>
      <c r="AP1616" s="77"/>
      <c r="AQ1616" s="77"/>
      <c r="AR1616" s="77"/>
      <c r="AS1616" s="77"/>
      <c r="AT1616" s="77"/>
      <c r="AU1616" s="77"/>
      <c r="AV1616" s="83" t="str">
        <f>HYPERLINK("https://pbs.twimg.com/profile_images/1559883556846977024/bXHnQFY0_normal.jpg")</f>
        <v>https://pbs.twimg.com/profile_images/1559883556846977024/bXHnQFY0_normal.jpg</v>
      </c>
      <c r="AW1616" s="80" t="s">
        <v>17483</v>
      </c>
      <c r="AX1616" s="80" t="s">
        <v>17483</v>
      </c>
      <c r="AY1616" s="77"/>
      <c r="AZ1616" s="80" t="s">
        <v>20380</v>
      </c>
      <c r="BA1616" s="80" t="s">
        <v>20380</v>
      </c>
      <c r="BB1616" s="80" t="s">
        <v>20380</v>
      </c>
      <c r="BC1616" s="80" t="s">
        <v>17483</v>
      </c>
      <c r="BD1616" s="77">
        <v>51150679</v>
      </c>
      <c r="BE1616" s="77"/>
      <c r="BF1616" s="77"/>
      <c r="BG1616" s="77"/>
      <c r="BH1616" s="77"/>
      <c r="BI1616" s="77"/>
    </row>
    <row r="1617" spans="1:61" x14ac:dyDescent="0.25">
      <c r="A1617" s="62" t="s">
        <v>790</v>
      </c>
      <c r="B1617" s="62" t="s">
        <v>790</v>
      </c>
      <c r="C1617" s="63"/>
      <c r="D1617" s="64"/>
      <c r="E1617" s="65"/>
      <c r="F1617" s="66"/>
      <c r="G1617" s="63"/>
      <c r="H1617" s="67"/>
      <c r="I1617" s="68"/>
      <c r="J1617" s="68"/>
      <c r="K1617" s="32"/>
      <c r="L1617" s="75">
        <v>1617</v>
      </c>
      <c r="M1617" s="75"/>
      <c r="N1617" s="70"/>
      <c r="O1617" s="77" t="s">
        <v>179</v>
      </c>
      <c r="P1617" s="79">
        <v>45141.74927083333</v>
      </c>
      <c r="Q1617" s="77" t="s">
        <v>3513</v>
      </c>
      <c r="R1617" s="77">
        <v>0</v>
      </c>
      <c r="S1617" s="77">
        <v>0</v>
      </c>
      <c r="T1617" s="77">
        <v>0</v>
      </c>
      <c r="U1617" s="77">
        <v>0</v>
      </c>
      <c r="V1617" s="77">
        <v>912</v>
      </c>
      <c r="W1617" s="80" t="s">
        <v>6272</v>
      </c>
      <c r="X1617" s="83" t="str">
        <f>HYPERLINK("https://www.moneytimes.com.br/o-impacto-do-corte-de-050-pp-da-selic-no-governo-lula-e-na-economia/")</f>
        <v>https://www.moneytimes.com.br/o-impacto-do-corte-de-050-pp-da-selic-no-governo-lula-e-na-economia/</v>
      </c>
      <c r="Y1617" s="77" t="s">
        <v>8611</v>
      </c>
      <c r="Z1617" s="77"/>
      <c r="AA1617" s="77"/>
      <c r="AB1617" s="77"/>
      <c r="AC1617" s="80" t="s">
        <v>10558</v>
      </c>
      <c r="AD1617" s="77" t="s">
        <v>10617</v>
      </c>
      <c r="AE1617" s="83" t="str">
        <f>HYPERLINK("https://twitter.com/leiamoneytimes/status/1687161146644578311")</f>
        <v>https://twitter.com/leiamoneytimes/status/1687161146644578311</v>
      </c>
      <c r="AF1617" s="79">
        <v>45141.74927083333</v>
      </c>
      <c r="AG1617" s="85">
        <v>45141</v>
      </c>
      <c r="AH1617" s="80" t="s">
        <v>12050</v>
      </c>
      <c r="AI1617" s="77" t="b">
        <v>0</v>
      </c>
      <c r="AJ1617" s="77"/>
      <c r="AK1617" s="77"/>
      <c r="AL1617" s="77"/>
      <c r="AM1617" s="77"/>
      <c r="AN1617" s="77"/>
      <c r="AO1617" s="77"/>
      <c r="AP1617" s="77"/>
      <c r="AQ1617" s="77"/>
      <c r="AR1617" s="77"/>
      <c r="AS1617" s="77"/>
      <c r="AT1617" s="77"/>
      <c r="AU1617" s="77"/>
      <c r="AV1617" s="83" t="str">
        <f>HYPERLINK("https://pbs.twimg.com/profile_images/1559883556846977024/bXHnQFY0_normal.jpg")</f>
        <v>https://pbs.twimg.com/profile_images/1559883556846977024/bXHnQFY0_normal.jpg</v>
      </c>
      <c r="AW1617" s="80" t="s">
        <v>17484</v>
      </c>
      <c r="AX1617" s="80" t="s">
        <v>17484</v>
      </c>
      <c r="AY1617" s="77"/>
      <c r="AZ1617" s="80" t="s">
        <v>20380</v>
      </c>
      <c r="BA1617" s="80" t="s">
        <v>20380</v>
      </c>
      <c r="BB1617" s="80" t="s">
        <v>20380</v>
      </c>
      <c r="BC1617" s="80" t="s">
        <v>17484</v>
      </c>
      <c r="BD1617" s="77">
        <v>51150679</v>
      </c>
      <c r="BE1617" s="77"/>
      <c r="BF1617" s="77"/>
      <c r="BG1617" s="77"/>
      <c r="BH1617" s="77"/>
      <c r="BI1617" s="77"/>
    </row>
    <row r="1618" spans="1:61" x14ac:dyDescent="0.25">
      <c r="A1618" s="62" t="s">
        <v>790</v>
      </c>
      <c r="B1618" s="62" t="s">
        <v>790</v>
      </c>
      <c r="C1618" s="63"/>
      <c r="D1618" s="64"/>
      <c r="E1618" s="65"/>
      <c r="F1618" s="66"/>
      <c r="G1618" s="63"/>
      <c r="H1618" s="67"/>
      <c r="I1618" s="68"/>
      <c r="J1618" s="68"/>
      <c r="K1618" s="32"/>
      <c r="L1618" s="75">
        <v>1618</v>
      </c>
      <c r="M1618" s="75"/>
      <c r="N1618" s="70"/>
      <c r="O1618" s="77" t="s">
        <v>179</v>
      </c>
      <c r="P1618" s="79">
        <v>45141.737268518518</v>
      </c>
      <c r="Q1618" s="77" t="s">
        <v>3514</v>
      </c>
      <c r="R1618" s="77">
        <v>0</v>
      </c>
      <c r="S1618" s="77">
        <v>4</v>
      </c>
      <c r="T1618" s="77">
        <v>0</v>
      </c>
      <c r="U1618" s="77">
        <v>0</v>
      </c>
      <c r="V1618" s="77">
        <v>921</v>
      </c>
      <c r="W1618" s="80" t="s">
        <v>6996</v>
      </c>
      <c r="X1618" s="83" t="str">
        <f>HYPERLINK("https://www.moneytimes.com.br/ex-presidente-do-banco-central-elogia-a-decisao-de-reducao-na-taxa-de-juros-entenda/")</f>
        <v>https://www.moneytimes.com.br/ex-presidente-do-banco-central-elogia-a-decisao-de-reducao-na-taxa-de-juros-entenda/</v>
      </c>
      <c r="Y1618" s="77" t="s">
        <v>8611</v>
      </c>
      <c r="Z1618" s="77"/>
      <c r="AA1618" s="77"/>
      <c r="AB1618" s="77"/>
      <c r="AC1618" s="80" t="s">
        <v>10558</v>
      </c>
      <c r="AD1618" s="77" t="s">
        <v>10617</v>
      </c>
      <c r="AE1618" s="83" t="str">
        <f>HYPERLINK("https://twitter.com/leiamoneytimes/status/1687156795372945420")</f>
        <v>https://twitter.com/leiamoneytimes/status/1687156795372945420</v>
      </c>
      <c r="AF1618" s="79">
        <v>45141.737268518518</v>
      </c>
      <c r="AG1618" s="85">
        <v>45141</v>
      </c>
      <c r="AH1618" s="80" t="s">
        <v>12051</v>
      </c>
      <c r="AI1618" s="77" t="b">
        <v>0</v>
      </c>
      <c r="AJ1618" s="77"/>
      <c r="AK1618" s="77"/>
      <c r="AL1618" s="77"/>
      <c r="AM1618" s="77"/>
      <c r="AN1618" s="77"/>
      <c r="AO1618" s="77"/>
      <c r="AP1618" s="77"/>
      <c r="AQ1618" s="77"/>
      <c r="AR1618" s="77"/>
      <c r="AS1618" s="77"/>
      <c r="AT1618" s="77"/>
      <c r="AU1618" s="77"/>
      <c r="AV1618" s="83" t="str">
        <f>HYPERLINK("https://pbs.twimg.com/profile_images/1559883556846977024/bXHnQFY0_normal.jpg")</f>
        <v>https://pbs.twimg.com/profile_images/1559883556846977024/bXHnQFY0_normal.jpg</v>
      </c>
      <c r="AW1618" s="80" t="s">
        <v>17485</v>
      </c>
      <c r="AX1618" s="80" t="s">
        <v>17485</v>
      </c>
      <c r="AY1618" s="77"/>
      <c r="AZ1618" s="80" t="s">
        <v>20380</v>
      </c>
      <c r="BA1618" s="80" t="s">
        <v>20380</v>
      </c>
      <c r="BB1618" s="80" t="s">
        <v>20380</v>
      </c>
      <c r="BC1618" s="80" t="s">
        <v>17485</v>
      </c>
      <c r="BD1618" s="77">
        <v>51150679</v>
      </c>
      <c r="BE1618" s="77"/>
      <c r="BF1618" s="77"/>
      <c r="BG1618" s="77"/>
      <c r="BH1618" s="77"/>
      <c r="BI1618" s="77"/>
    </row>
    <row r="1619" spans="1:61" x14ac:dyDescent="0.25">
      <c r="A1619" s="62" t="s">
        <v>790</v>
      </c>
      <c r="B1619" s="62" t="s">
        <v>790</v>
      </c>
      <c r="C1619" s="63"/>
      <c r="D1619" s="64"/>
      <c r="E1619" s="65"/>
      <c r="F1619" s="66"/>
      <c r="G1619" s="63"/>
      <c r="H1619" s="67"/>
      <c r="I1619" s="68"/>
      <c r="J1619" s="68"/>
      <c r="K1619" s="32"/>
      <c r="L1619" s="75">
        <v>1619</v>
      </c>
      <c r="M1619" s="75"/>
      <c r="N1619" s="70"/>
      <c r="O1619" s="77" t="s">
        <v>179</v>
      </c>
      <c r="P1619" s="79">
        <v>45141.707465277781</v>
      </c>
      <c r="Q1619" s="77" t="s">
        <v>3515</v>
      </c>
      <c r="R1619" s="77">
        <v>0</v>
      </c>
      <c r="S1619" s="77">
        <v>1</v>
      </c>
      <c r="T1619" s="77">
        <v>0</v>
      </c>
      <c r="U1619" s="77">
        <v>0</v>
      </c>
      <c r="V1619" s="77">
        <v>840</v>
      </c>
      <c r="W1619" s="80" t="s">
        <v>6957</v>
      </c>
      <c r="X1619" s="83" t="str">
        <f>HYPERLINK("https://www.moneytimes.com.br/como-a-queda-da-selic-afeta-o-seu-dia-a-dia/")</f>
        <v>https://www.moneytimes.com.br/como-a-queda-da-selic-afeta-o-seu-dia-a-dia/</v>
      </c>
      <c r="Y1619" s="77" t="s">
        <v>8611</v>
      </c>
      <c r="Z1619" s="77"/>
      <c r="AA1619" s="77"/>
      <c r="AB1619" s="77"/>
      <c r="AC1619" s="80" t="s">
        <v>10558</v>
      </c>
      <c r="AD1619" s="77" t="s">
        <v>10617</v>
      </c>
      <c r="AE1619" s="83" t="str">
        <f>HYPERLINK("https://twitter.com/leiamoneytimes/status/1687145996499787790")</f>
        <v>https://twitter.com/leiamoneytimes/status/1687145996499787790</v>
      </c>
      <c r="AF1619" s="79">
        <v>45141.707465277781</v>
      </c>
      <c r="AG1619" s="85">
        <v>45141</v>
      </c>
      <c r="AH1619" s="80" t="s">
        <v>12052</v>
      </c>
      <c r="AI1619" s="77" t="b">
        <v>0</v>
      </c>
      <c r="AJ1619" s="77"/>
      <c r="AK1619" s="77"/>
      <c r="AL1619" s="77"/>
      <c r="AM1619" s="77"/>
      <c r="AN1619" s="77"/>
      <c r="AO1619" s="77"/>
      <c r="AP1619" s="77"/>
      <c r="AQ1619" s="77"/>
      <c r="AR1619" s="77"/>
      <c r="AS1619" s="77"/>
      <c r="AT1619" s="77"/>
      <c r="AU1619" s="77"/>
      <c r="AV1619" s="83" t="str">
        <f>HYPERLINK("https://pbs.twimg.com/profile_images/1559883556846977024/bXHnQFY0_normal.jpg")</f>
        <v>https://pbs.twimg.com/profile_images/1559883556846977024/bXHnQFY0_normal.jpg</v>
      </c>
      <c r="AW1619" s="80" t="s">
        <v>17486</v>
      </c>
      <c r="AX1619" s="80" t="s">
        <v>17486</v>
      </c>
      <c r="AY1619" s="77"/>
      <c r="AZ1619" s="80" t="s">
        <v>20380</v>
      </c>
      <c r="BA1619" s="80" t="s">
        <v>20380</v>
      </c>
      <c r="BB1619" s="80" t="s">
        <v>20380</v>
      </c>
      <c r="BC1619" s="80" t="s">
        <v>17486</v>
      </c>
      <c r="BD1619" s="77">
        <v>51150679</v>
      </c>
      <c r="BE1619" s="77"/>
      <c r="BF1619" s="77"/>
      <c r="BG1619" s="77"/>
      <c r="BH1619" s="77"/>
      <c r="BI1619" s="77"/>
    </row>
    <row r="1620" spans="1:61" x14ac:dyDescent="0.25">
      <c r="A1620" s="62" t="s">
        <v>790</v>
      </c>
      <c r="B1620" s="62" t="s">
        <v>790</v>
      </c>
      <c r="C1620" s="63"/>
      <c r="D1620" s="64"/>
      <c r="E1620" s="65"/>
      <c r="F1620" s="66"/>
      <c r="G1620" s="63"/>
      <c r="H1620" s="67"/>
      <c r="I1620" s="68"/>
      <c r="J1620" s="68"/>
      <c r="K1620" s="32"/>
      <c r="L1620" s="75">
        <v>1620</v>
      </c>
      <c r="M1620" s="75"/>
      <c r="N1620" s="70"/>
      <c r="O1620" s="77" t="s">
        <v>179</v>
      </c>
      <c r="P1620" s="79">
        <v>45141.636006944442</v>
      </c>
      <c r="Q1620" s="77" t="s">
        <v>3516</v>
      </c>
      <c r="R1620" s="77">
        <v>0</v>
      </c>
      <c r="S1620" s="77">
        <v>0</v>
      </c>
      <c r="T1620" s="77">
        <v>0</v>
      </c>
      <c r="U1620" s="77">
        <v>0</v>
      </c>
      <c r="V1620" s="77">
        <v>1030</v>
      </c>
      <c r="W1620" s="80" t="s">
        <v>6953</v>
      </c>
      <c r="X1620" s="83" t="str">
        <f>HYPERLINK("https://www.moneytimes.com.br/selic-a-1175-050-pp-ja-foi-e-agora-veja-de-quantos-devem-ser-os-proximos-cortes/")</f>
        <v>https://www.moneytimes.com.br/selic-a-1175-050-pp-ja-foi-e-agora-veja-de-quantos-devem-ser-os-proximos-cortes/</v>
      </c>
      <c r="Y1620" s="77" t="s">
        <v>8611</v>
      </c>
      <c r="Z1620" s="77"/>
      <c r="AA1620" s="77"/>
      <c r="AB1620" s="77"/>
      <c r="AC1620" s="80" t="s">
        <v>10558</v>
      </c>
      <c r="AD1620" s="77" t="s">
        <v>10617</v>
      </c>
      <c r="AE1620" s="83" t="str">
        <f>HYPERLINK("https://twitter.com/leiamoneytimes/status/1687120100527157248")</f>
        <v>https://twitter.com/leiamoneytimes/status/1687120100527157248</v>
      </c>
      <c r="AF1620" s="79">
        <v>45141.636006944442</v>
      </c>
      <c r="AG1620" s="85">
        <v>45141</v>
      </c>
      <c r="AH1620" s="80" t="s">
        <v>10744</v>
      </c>
      <c r="AI1620" s="77" t="b">
        <v>0</v>
      </c>
      <c r="AJ1620" s="77"/>
      <c r="AK1620" s="77"/>
      <c r="AL1620" s="77"/>
      <c r="AM1620" s="77"/>
      <c r="AN1620" s="77"/>
      <c r="AO1620" s="77"/>
      <c r="AP1620" s="77"/>
      <c r="AQ1620" s="77"/>
      <c r="AR1620" s="77"/>
      <c r="AS1620" s="77"/>
      <c r="AT1620" s="77"/>
      <c r="AU1620" s="77"/>
      <c r="AV1620" s="83" t="str">
        <f>HYPERLINK("https://pbs.twimg.com/profile_images/1559883556846977024/bXHnQFY0_normal.jpg")</f>
        <v>https://pbs.twimg.com/profile_images/1559883556846977024/bXHnQFY0_normal.jpg</v>
      </c>
      <c r="AW1620" s="80" t="s">
        <v>17487</v>
      </c>
      <c r="AX1620" s="80" t="s">
        <v>17487</v>
      </c>
      <c r="AY1620" s="77"/>
      <c r="AZ1620" s="80" t="s">
        <v>20380</v>
      </c>
      <c r="BA1620" s="80" t="s">
        <v>20380</v>
      </c>
      <c r="BB1620" s="80" t="s">
        <v>20380</v>
      </c>
      <c r="BC1620" s="80" t="s">
        <v>17487</v>
      </c>
      <c r="BD1620" s="77">
        <v>51150679</v>
      </c>
      <c r="BE1620" s="77"/>
      <c r="BF1620" s="77"/>
      <c r="BG1620" s="77"/>
      <c r="BH1620" s="77"/>
      <c r="BI1620" s="77"/>
    </row>
    <row r="1621" spans="1:61" x14ac:dyDescent="0.25">
      <c r="A1621" s="62" t="s">
        <v>790</v>
      </c>
      <c r="B1621" s="62" t="s">
        <v>790</v>
      </c>
      <c r="C1621" s="63"/>
      <c r="D1621" s="64"/>
      <c r="E1621" s="65"/>
      <c r="F1621" s="66"/>
      <c r="G1621" s="63"/>
      <c r="H1621" s="67"/>
      <c r="I1621" s="68"/>
      <c r="J1621" s="68"/>
      <c r="K1621" s="32"/>
      <c r="L1621" s="75">
        <v>1621</v>
      </c>
      <c r="M1621" s="75"/>
      <c r="N1621" s="70"/>
      <c r="O1621" s="77" t="s">
        <v>179</v>
      </c>
      <c r="P1621" s="79">
        <v>45141.613113425927</v>
      </c>
      <c r="Q1621" s="77" t="s">
        <v>3517</v>
      </c>
      <c r="R1621" s="77">
        <v>1</v>
      </c>
      <c r="S1621" s="77">
        <v>1</v>
      </c>
      <c r="T1621" s="77">
        <v>0</v>
      </c>
      <c r="U1621" s="77">
        <v>0</v>
      </c>
      <c r="V1621" s="77">
        <v>1143</v>
      </c>
      <c r="W1621" s="80" t="s">
        <v>6978</v>
      </c>
      <c r="X1621" s="83" t="str">
        <f>HYPERLINK("https://www.moneytimes.com.br/fundos-imobiliarios-ifix-hoje-avanca-03-08-2023/")</f>
        <v>https://www.moneytimes.com.br/fundos-imobiliarios-ifix-hoje-avanca-03-08-2023/</v>
      </c>
      <c r="Y1621" s="77" t="s">
        <v>8611</v>
      </c>
      <c r="Z1621" s="77"/>
      <c r="AA1621" s="77"/>
      <c r="AB1621" s="77"/>
      <c r="AC1621" s="80" t="s">
        <v>10558</v>
      </c>
      <c r="AD1621" s="77" t="s">
        <v>10617</v>
      </c>
      <c r="AE1621" s="83" t="str">
        <f>HYPERLINK("https://twitter.com/leiamoneytimes/status/1687111801119662082")</f>
        <v>https://twitter.com/leiamoneytimes/status/1687111801119662082</v>
      </c>
      <c r="AF1621" s="79">
        <v>45141.613113425927</v>
      </c>
      <c r="AG1621" s="85">
        <v>45141</v>
      </c>
      <c r="AH1621" s="80" t="s">
        <v>12053</v>
      </c>
      <c r="AI1621" s="77" t="b">
        <v>0</v>
      </c>
      <c r="AJ1621" s="77"/>
      <c r="AK1621" s="77"/>
      <c r="AL1621" s="77"/>
      <c r="AM1621" s="77"/>
      <c r="AN1621" s="77"/>
      <c r="AO1621" s="77"/>
      <c r="AP1621" s="77"/>
      <c r="AQ1621" s="77"/>
      <c r="AR1621" s="77"/>
      <c r="AS1621" s="77"/>
      <c r="AT1621" s="77"/>
      <c r="AU1621" s="77"/>
      <c r="AV1621" s="83" t="str">
        <f>HYPERLINK("https://pbs.twimg.com/profile_images/1559883556846977024/bXHnQFY0_normal.jpg")</f>
        <v>https://pbs.twimg.com/profile_images/1559883556846977024/bXHnQFY0_normal.jpg</v>
      </c>
      <c r="AW1621" s="80" t="s">
        <v>17488</v>
      </c>
      <c r="AX1621" s="80" t="s">
        <v>17488</v>
      </c>
      <c r="AY1621" s="77"/>
      <c r="AZ1621" s="80" t="s">
        <v>20380</v>
      </c>
      <c r="BA1621" s="80" t="s">
        <v>20380</v>
      </c>
      <c r="BB1621" s="80" t="s">
        <v>20380</v>
      </c>
      <c r="BC1621" s="80" t="s">
        <v>17488</v>
      </c>
      <c r="BD1621" s="77">
        <v>51150679</v>
      </c>
      <c r="BE1621" s="77"/>
      <c r="BF1621" s="77"/>
      <c r="BG1621" s="77"/>
      <c r="BH1621" s="77"/>
      <c r="BI1621" s="77"/>
    </row>
    <row r="1622" spans="1:61" x14ac:dyDescent="0.25">
      <c r="A1622" s="62" t="s">
        <v>790</v>
      </c>
      <c r="B1622" s="62" t="s">
        <v>790</v>
      </c>
      <c r="C1622" s="63"/>
      <c r="D1622" s="64"/>
      <c r="E1622" s="65"/>
      <c r="F1622" s="66"/>
      <c r="G1622" s="63"/>
      <c r="H1622" s="67"/>
      <c r="I1622" s="68"/>
      <c r="J1622" s="68"/>
      <c r="K1622" s="32"/>
      <c r="L1622" s="75">
        <v>1622</v>
      </c>
      <c r="M1622" s="75"/>
      <c r="N1622" s="70"/>
      <c r="O1622" s="77" t="s">
        <v>179</v>
      </c>
      <c r="P1622" s="79">
        <v>45141.527048611111</v>
      </c>
      <c r="Q1622" s="77" t="s">
        <v>3518</v>
      </c>
      <c r="R1622" s="77">
        <v>0</v>
      </c>
      <c r="S1622" s="77">
        <v>1</v>
      </c>
      <c r="T1622" s="77">
        <v>0</v>
      </c>
      <c r="U1622" s="77">
        <v>0</v>
      </c>
      <c r="V1622" s="77">
        <v>1035</v>
      </c>
      <c r="W1622" s="80" t="s">
        <v>6272</v>
      </c>
      <c r="X1622" s="83" t="str">
        <f>HYPERLINK("https://www.moneytimes.com.br/selic-em-1325-veja-quem-vai-sentir-o-corte-nos-juros-primeiro/")</f>
        <v>https://www.moneytimes.com.br/selic-em-1325-veja-quem-vai-sentir-o-corte-nos-juros-primeiro/</v>
      </c>
      <c r="Y1622" s="77" t="s">
        <v>8611</v>
      </c>
      <c r="Z1622" s="77"/>
      <c r="AA1622" s="77"/>
      <c r="AB1622" s="77"/>
      <c r="AC1622" s="80" t="s">
        <v>10558</v>
      </c>
      <c r="AD1622" s="77" t="s">
        <v>10617</v>
      </c>
      <c r="AE1622" s="83" t="str">
        <f>HYPERLINK("https://twitter.com/leiamoneytimes/status/1687080615944884224")</f>
        <v>https://twitter.com/leiamoneytimes/status/1687080615944884224</v>
      </c>
      <c r="AF1622" s="79">
        <v>45141.527048611111</v>
      </c>
      <c r="AG1622" s="85">
        <v>45141</v>
      </c>
      <c r="AH1622" s="80" t="s">
        <v>12054</v>
      </c>
      <c r="AI1622" s="77" t="b">
        <v>0</v>
      </c>
      <c r="AJ1622" s="77"/>
      <c r="AK1622" s="77"/>
      <c r="AL1622" s="77"/>
      <c r="AM1622" s="77"/>
      <c r="AN1622" s="77"/>
      <c r="AO1622" s="77"/>
      <c r="AP1622" s="77"/>
      <c r="AQ1622" s="77"/>
      <c r="AR1622" s="77"/>
      <c r="AS1622" s="77"/>
      <c r="AT1622" s="77"/>
      <c r="AU1622" s="77"/>
      <c r="AV1622" s="83" t="str">
        <f>HYPERLINK("https://pbs.twimg.com/profile_images/1559883556846977024/bXHnQFY0_normal.jpg")</f>
        <v>https://pbs.twimg.com/profile_images/1559883556846977024/bXHnQFY0_normal.jpg</v>
      </c>
      <c r="AW1622" s="80" t="s">
        <v>17489</v>
      </c>
      <c r="AX1622" s="80" t="s">
        <v>17489</v>
      </c>
      <c r="AY1622" s="77"/>
      <c r="AZ1622" s="80" t="s">
        <v>20380</v>
      </c>
      <c r="BA1622" s="80" t="s">
        <v>20380</v>
      </c>
      <c r="BB1622" s="80" t="s">
        <v>20380</v>
      </c>
      <c r="BC1622" s="80" t="s">
        <v>17489</v>
      </c>
      <c r="BD1622" s="77">
        <v>51150679</v>
      </c>
      <c r="BE1622" s="77"/>
      <c r="BF1622" s="77"/>
      <c r="BG1622" s="77"/>
      <c r="BH1622" s="77"/>
      <c r="BI1622" s="77"/>
    </row>
    <row r="1623" spans="1:61" x14ac:dyDescent="0.25">
      <c r="A1623" s="62" t="s">
        <v>790</v>
      </c>
      <c r="B1623" s="62" t="s">
        <v>790</v>
      </c>
      <c r="C1623" s="63"/>
      <c r="D1623" s="64"/>
      <c r="E1623" s="65"/>
      <c r="F1623" s="66"/>
      <c r="G1623" s="63"/>
      <c r="H1623" s="67"/>
      <c r="I1623" s="68"/>
      <c r="J1623" s="68"/>
      <c r="K1623" s="32"/>
      <c r="L1623" s="75">
        <v>1623</v>
      </c>
      <c r="M1623" s="75"/>
      <c r="N1623" s="70"/>
      <c r="O1623" s="77" t="s">
        <v>179</v>
      </c>
      <c r="P1623" s="79">
        <v>45141.469525462962</v>
      </c>
      <c r="Q1623" s="77" t="s">
        <v>3519</v>
      </c>
      <c r="R1623" s="77">
        <v>0</v>
      </c>
      <c r="S1623" s="77">
        <v>5</v>
      </c>
      <c r="T1623" s="77">
        <v>0</v>
      </c>
      <c r="U1623" s="77">
        <v>0</v>
      </c>
      <c r="V1623" s="77">
        <v>1387</v>
      </c>
      <c r="W1623" s="80" t="s">
        <v>6997</v>
      </c>
      <c r="X1623" s="83" t="str">
        <f>HYPERLINK("https://www.moneytimes.com.br/selic-a-1325-10-fundos-imobiliarios-com-dividendo-acima-da-taxa-que-vai-cair-mais/")</f>
        <v>https://www.moneytimes.com.br/selic-a-1325-10-fundos-imobiliarios-com-dividendo-acima-da-taxa-que-vai-cair-mais/</v>
      </c>
      <c r="Y1623" s="77" t="s">
        <v>8611</v>
      </c>
      <c r="Z1623" s="77"/>
      <c r="AA1623" s="77"/>
      <c r="AB1623" s="77"/>
      <c r="AC1623" s="80" t="s">
        <v>10558</v>
      </c>
      <c r="AD1623" s="77" t="s">
        <v>10617</v>
      </c>
      <c r="AE1623" s="83" t="str">
        <f>HYPERLINK("https://twitter.com/leiamoneytimes/status/1687059767577939968")</f>
        <v>https://twitter.com/leiamoneytimes/status/1687059767577939968</v>
      </c>
      <c r="AF1623" s="79">
        <v>45141.469525462962</v>
      </c>
      <c r="AG1623" s="85">
        <v>45141</v>
      </c>
      <c r="AH1623" s="80" t="s">
        <v>12055</v>
      </c>
      <c r="AI1623" s="77" t="b">
        <v>0</v>
      </c>
      <c r="AJ1623" s="77"/>
      <c r="AK1623" s="77"/>
      <c r="AL1623" s="77"/>
      <c r="AM1623" s="77"/>
      <c r="AN1623" s="77"/>
      <c r="AO1623" s="77"/>
      <c r="AP1623" s="77"/>
      <c r="AQ1623" s="77"/>
      <c r="AR1623" s="77"/>
      <c r="AS1623" s="77"/>
      <c r="AT1623" s="77"/>
      <c r="AU1623" s="77"/>
      <c r="AV1623" s="83" t="str">
        <f>HYPERLINK("https://pbs.twimg.com/profile_images/1559883556846977024/bXHnQFY0_normal.jpg")</f>
        <v>https://pbs.twimg.com/profile_images/1559883556846977024/bXHnQFY0_normal.jpg</v>
      </c>
      <c r="AW1623" s="80" t="s">
        <v>17490</v>
      </c>
      <c r="AX1623" s="80" t="s">
        <v>17490</v>
      </c>
      <c r="AY1623" s="77"/>
      <c r="AZ1623" s="80" t="s">
        <v>20380</v>
      </c>
      <c r="BA1623" s="80" t="s">
        <v>20380</v>
      </c>
      <c r="BB1623" s="80" t="s">
        <v>20380</v>
      </c>
      <c r="BC1623" s="80" t="s">
        <v>17490</v>
      </c>
      <c r="BD1623" s="77">
        <v>51150679</v>
      </c>
      <c r="BE1623" s="77"/>
      <c r="BF1623" s="77"/>
      <c r="BG1623" s="77"/>
      <c r="BH1623" s="77"/>
      <c r="BI1623" s="77"/>
    </row>
    <row r="1624" spans="1:61" x14ac:dyDescent="0.25">
      <c r="A1624" s="62" t="s">
        <v>790</v>
      </c>
      <c r="B1624" s="62" t="s">
        <v>790</v>
      </c>
      <c r="C1624" s="63"/>
      <c r="D1624" s="64"/>
      <c r="E1624" s="65"/>
      <c r="F1624" s="66"/>
      <c r="G1624" s="63"/>
      <c r="H1624" s="67"/>
      <c r="I1624" s="68"/>
      <c r="J1624" s="68"/>
      <c r="K1624" s="32"/>
      <c r="L1624" s="75">
        <v>1624</v>
      </c>
      <c r="M1624" s="75"/>
      <c r="N1624" s="70"/>
      <c r="O1624" s="77" t="s">
        <v>179</v>
      </c>
      <c r="P1624" s="79">
        <v>45141.457627314812</v>
      </c>
      <c r="Q1624" s="77" t="s">
        <v>3520</v>
      </c>
      <c r="R1624" s="77">
        <v>0</v>
      </c>
      <c r="S1624" s="77">
        <v>7</v>
      </c>
      <c r="T1624" s="77">
        <v>0</v>
      </c>
      <c r="U1624" s="77">
        <v>0</v>
      </c>
      <c r="V1624" s="77">
        <v>1083</v>
      </c>
      <c r="W1624" s="80" t="s">
        <v>6272</v>
      </c>
      <c r="X1624" s="83" t="str">
        <f>HYPERLINK("https://www.moneytimes.com.br/agenda-do-dia-haddad-vitoria-03-08-2023/")</f>
        <v>https://www.moneytimes.com.br/agenda-do-dia-haddad-vitoria-03-08-2023/</v>
      </c>
      <c r="Y1624" s="77" t="s">
        <v>8611</v>
      </c>
      <c r="Z1624" s="77"/>
      <c r="AA1624" s="77"/>
      <c r="AB1624" s="77"/>
      <c r="AC1624" s="80" t="s">
        <v>10558</v>
      </c>
      <c r="AD1624" s="77" t="s">
        <v>10617</v>
      </c>
      <c r="AE1624" s="83" t="str">
        <f>HYPERLINK("https://twitter.com/leiamoneytimes/status/1687055456315772928")</f>
        <v>https://twitter.com/leiamoneytimes/status/1687055456315772928</v>
      </c>
      <c r="AF1624" s="79">
        <v>45141.457627314812</v>
      </c>
      <c r="AG1624" s="85">
        <v>45141</v>
      </c>
      <c r="AH1624" s="80" t="s">
        <v>12056</v>
      </c>
      <c r="AI1624" s="77" t="b">
        <v>0</v>
      </c>
      <c r="AJ1624" s="77"/>
      <c r="AK1624" s="77"/>
      <c r="AL1624" s="77"/>
      <c r="AM1624" s="77"/>
      <c r="AN1624" s="77"/>
      <c r="AO1624" s="77"/>
      <c r="AP1624" s="77"/>
      <c r="AQ1624" s="77"/>
      <c r="AR1624" s="77"/>
      <c r="AS1624" s="77"/>
      <c r="AT1624" s="77"/>
      <c r="AU1624" s="77"/>
      <c r="AV1624" s="83" t="str">
        <f>HYPERLINK("https://pbs.twimg.com/profile_images/1559883556846977024/bXHnQFY0_normal.jpg")</f>
        <v>https://pbs.twimg.com/profile_images/1559883556846977024/bXHnQFY0_normal.jpg</v>
      </c>
      <c r="AW1624" s="80" t="s">
        <v>17491</v>
      </c>
      <c r="AX1624" s="80" t="s">
        <v>17491</v>
      </c>
      <c r="AY1624" s="77"/>
      <c r="AZ1624" s="80" t="s">
        <v>20380</v>
      </c>
      <c r="BA1624" s="80" t="s">
        <v>20380</v>
      </c>
      <c r="BB1624" s="80" t="s">
        <v>20380</v>
      </c>
      <c r="BC1624" s="80" t="s">
        <v>17491</v>
      </c>
      <c r="BD1624" s="77">
        <v>51150679</v>
      </c>
      <c r="BE1624" s="77"/>
      <c r="BF1624" s="77"/>
      <c r="BG1624" s="77"/>
      <c r="BH1624" s="77"/>
      <c r="BI1624" s="77"/>
    </row>
    <row r="1625" spans="1:61" x14ac:dyDescent="0.25">
      <c r="A1625" s="62" t="s">
        <v>790</v>
      </c>
      <c r="B1625" s="62" t="s">
        <v>790</v>
      </c>
      <c r="C1625" s="63"/>
      <c r="D1625" s="64"/>
      <c r="E1625" s="65"/>
      <c r="F1625" s="66"/>
      <c r="G1625" s="63"/>
      <c r="H1625" s="67"/>
      <c r="I1625" s="68"/>
      <c r="J1625" s="68"/>
      <c r="K1625" s="32"/>
      <c r="L1625" s="75">
        <v>1625</v>
      </c>
      <c r="M1625" s="75"/>
      <c r="N1625" s="70"/>
      <c r="O1625" s="77" t="s">
        <v>179</v>
      </c>
      <c r="P1625" s="79">
        <v>45141.436886574076</v>
      </c>
      <c r="Q1625" s="77" t="s">
        <v>3521</v>
      </c>
      <c r="R1625" s="77">
        <v>0</v>
      </c>
      <c r="S1625" s="77">
        <v>4</v>
      </c>
      <c r="T1625" s="77">
        <v>0</v>
      </c>
      <c r="U1625" s="77">
        <v>0</v>
      </c>
      <c r="V1625" s="77">
        <v>1217</v>
      </c>
      <c r="W1625" s="80" t="s">
        <v>6929</v>
      </c>
      <c r="X1625" s="83" t="str">
        <f>HYPERLINK("https://www.moneytimes.com.br/morning-times-bola-dentro-do-banco-central-deve-ser-bem-recebida-pelo-ibovespa/")</f>
        <v>https://www.moneytimes.com.br/morning-times-bola-dentro-do-banco-central-deve-ser-bem-recebida-pelo-ibovespa/</v>
      </c>
      <c r="Y1625" s="77" t="s">
        <v>8611</v>
      </c>
      <c r="Z1625" s="77"/>
      <c r="AA1625" s="77"/>
      <c r="AB1625" s="77"/>
      <c r="AC1625" s="80" t="s">
        <v>10558</v>
      </c>
      <c r="AD1625" s="77" t="s">
        <v>10617</v>
      </c>
      <c r="AE1625" s="83" t="str">
        <f>HYPERLINK("https://twitter.com/leiamoneytimes/status/1687047938399203329")</f>
        <v>https://twitter.com/leiamoneytimes/status/1687047938399203329</v>
      </c>
      <c r="AF1625" s="79">
        <v>45141.436886574076</v>
      </c>
      <c r="AG1625" s="85">
        <v>45141</v>
      </c>
      <c r="AH1625" s="80" t="s">
        <v>12057</v>
      </c>
      <c r="AI1625" s="77" t="b">
        <v>0</v>
      </c>
      <c r="AJ1625" s="77"/>
      <c r="AK1625" s="77"/>
      <c r="AL1625" s="77"/>
      <c r="AM1625" s="77"/>
      <c r="AN1625" s="77"/>
      <c r="AO1625" s="77"/>
      <c r="AP1625" s="77"/>
      <c r="AQ1625" s="77"/>
      <c r="AR1625" s="77"/>
      <c r="AS1625" s="77"/>
      <c r="AT1625" s="77"/>
      <c r="AU1625" s="77"/>
      <c r="AV1625" s="83" t="str">
        <f>HYPERLINK("https://pbs.twimg.com/profile_images/1559883556846977024/bXHnQFY0_normal.jpg")</f>
        <v>https://pbs.twimg.com/profile_images/1559883556846977024/bXHnQFY0_normal.jpg</v>
      </c>
      <c r="AW1625" s="80" t="s">
        <v>17492</v>
      </c>
      <c r="AX1625" s="80" t="s">
        <v>17492</v>
      </c>
      <c r="AY1625" s="77"/>
      <c r="AZ1625" s="80" t="s">
        <v>20380</v>
      </c>
      <c r="BA1625" s="80" t="s">
        <v>20380</v>
      </c>
      <c r="BB1625" s="80" t="s">
        <v>20380</v>
      </c>
      <c r="BC1625" s="80" t="s">
        <v>17492</v>
      </c>
      <c r="BD1625" s="77">
        <v>51150679</v>
      </c>
      <c r="BE1625" s="77"/>
      <c r="BF1625" s="77"/>
      <c r="BG1625" s="77"/>
      <c r="BH1625" s="77"/>
      <c r="BI1625" s="77"/>
    </row>
    <row r="1626" spans="1:61" x14ac:dyDescent="0.25">
      <c r="A1626" s="62" t="s">
        <v>790</v>
      </c>
      <c r="B1626" s="62" t="s">
        <v>790</v>
      </c>
      <c r="C1626" s="63"/>
      <c r="D1626" s="64"/>
      <c r="E1626" s="65"/>
      <c r="F1626" s="66"/>
      <c r="G1626" s="63"/>
      <c r="H1626" s="67"/>
      <c r="I1626" s="68"/>
      <c r="J1626" s="68"/>
      <c r="K1626" s="32"/>
      <c r="L1626" s="75">
        <v>1626</v>
      </c>
      <c r="M1626" s="75"/>
      <c r="N1626" s="70"/>
      <c r="O1626" s="77" t="s">
        <v>179</v>
      </c>
      <c r="P1626" s="79">
        <v>45141.02238425926</v>
      </c>
      <c r="Q1626" s="77" t="s">
        <v>3522</v>
      </c>
      <c r="R1626" s="77">
        <v>0</v>
      </c>
      <c r="S1626" s="77">
        <v>5</v>
      </c>
      <c r="T1626" s="77">
        <v>10</v>
      </c>
      <c r="U1626" s="77">
        <v>2</v>
      </c>
      <c r="V1626" s="77">
        <v>5416</v>
      </c>
      <c r="W1626" s="80" t="s">
        <v>6953</v>
      </c>
      <c r="X1626" s="83" t="str">
        <f>HYPERLINK("https://www.moneytimes.com.br/gleisi-hoffmann-ataca-campos-neto-apos-primeiro-corte-da-selic-em-tres-anos/")</f>
        <v>https://www.moneytimes.com.br/gleisi-hoffmann-ataca-campos-neto-apos-primeiro-corte-da-selic-em-tres-anos/</v>
      </c>
      <c r="Y1626" s="77" t="s">
        <v>8611</v>
      </c>
      <c r="Z1626" s="77"/>
      <c r="AA1626" s="77"/>
      <c r="AB1626" s="77"/>
      <c r="AC1626" s="80" t="s">
        <v>10558</v>
      </c>
      <c r="AD1626" s="77" t="s">
        <v>10617</v>
      </c>
      <c r="AE1626" s="83" t="str">
        <f>HYPERLINK("https://twitter.com/leiamoneytimes/status/1686897731690733569")</f>
        <v>https://twitter.com/leiamoneytimes/status/1686897731690733569</v>
      </c>
      <c r="AF1626" s="79">
        <v>45141.02238425926</v>
      </c>
      <c r="AG1626" s="85">
        <v>45141</v>
      </c>
      <c r="AH1626" s="80" t="s">
        <v>12058</v>
      </c>
      <c r="AI1626" s="77" t="b">
        <v>0</v>
      </c>
      <c r="AJ1626" s="77"/>
      <c r="AK1626" s="77"/>
      <c r="AL1626" s="77"/>
      <c r="AM1626" s="77"/>
      <c r="AN1626" s="77"/>
      <c r="AO1626" s="77"/>
      <c r="AP1626" s="77"/>
      <c r="AQ1626" s="77"/>
      <c r="AR1626" s="77"/>
      <c r="AS1626" s="77"/>
      <c r="AT1626" s="77"/>
      <c r="AU1626" s="77"/>
      <c r="AV1626" s="83" t="str">
        <f>HYPERLINK("https://pbs.twimg.com/profile_images/1559883556846977024/bXHnQFY0_normal.jpg")</f>
        <v>https://pbs.twimg.com/profile_images/1559883556846977024/bXHnQFY0_normal.jpg</v>
      </c>
      <c r="AW1626" s="80" t="s">
        <v>17493</v>
      </c>
      <c r="AX1626" s="80" t="s">
        <v>17493</v>
      </c>
      <c r="AY1626" s="77"/>
      <c r="AZ1626" s="80" t="s">
        <v>20380</v>
      </c>
      <c r="BA1626" s="80" t="s">
        <v>20380</v>
      </c>
      <c r="BB1626" s="80" t="s">
        <v>20380</v>
      </c>
      <c r="BC1626" s="80" t="s">
        <v>17493</v>
      </c>
      <c r="BD1626" s="77">
        <v>51150679</v>
      </c>
      <c r="BE1626" s="77"/>
      <c r="BF1626" s="77"/>
      <c r="BG1626" s="77"/>
      <c r="BH1626" s="77"/>
      <c r="BI1626" s="77"/>
    </row>
    <row r="1627" spans="1:61" x14ac:dyDescent="0.25">
      <c r="A1627" s="62" t="s">
        <v>790</v>
      </c>
      <c r="B1627" s="62" t="s">
        <v>790</v>
      </c>
      <c r="C1627" s="63"/>
      <c r="D1627" s="64"/>
      <c r="E1627" s="65"/>
      <c r="F1627" s="66"/>
      <c r="G1627" s="63"/>
      <c r="H1627" s="67"/>
      <c r="I1627" s="68"/>
      <c r="J1627" s="68"/>
      <c r="K1627" s="32"/>
      <c r="L1627" s="75">
        <v>1627</v>
      </c>
      <c r="M1627" s="75"/>
      <c r="N1627" s="70"/>
      <c r="O1627" s="77" t="s">
        <v>179</v>
      </c>
      <c r="P1627" s="79">
        <v>45118.753981481481</v>
      </c>
      <c r="Q1627" s="77" t="s">
        <v>3523</v>
      </c>
      <c r="R1627" s="77">
        <v>0</v>
      </c>
      <c r="S1627" s="77">
        <v>4</v>
      </c>
      <c r="T1627" s="77">
        <v>1</v>
      </c>
      <c r="U1627" s="77">
        <v>0</v>
      </c>
      <c r="V1627" s="77">
        <v>1044</v>
      </c>
      <c r="W1627" s="80" t="s">
        <v>6950</v>
      </c>
      <c r="X1627" s="83" t="str">
        <f>HYPERLINK("https://www.moneytimes.com.br/cortes-na-selic-projecao-de-reducao-nos-juros-ganha-mais-adeptos-entenda/")</f>
        <v>https://www.moneytimes.com.br/cortes-na-selic-projecao-de-reducao-nos-juros-ganha-mais-adeptos-entenda/</v>
      </c>
      <c r="Y1627" s="77" t="s">
        <v>8611</v>
      </c>
      <c r="Z1627" s="77"/>
      <c r="AA1627" s="77"/>
      <c r="AB1627" s="77"/>
      <c r="AC1627" s="80" t="s">
        <v>10558</v>
      </c>
      <c r="AD1627" s="77" t="s">
        <v>10617</v>
      </c>
      <c r="AE1627" s="83" t="str">
        <f>HYPERLINK("https://twitter.com/leiamoneytimes/status/1678827931286532119")</f>
        <v>https://twitter.com/leiamoneytimes/status/1678827931286532119</v>
      </c>
      <c r="AF1627" s="79">
        <v>45118.753981481481</v>
      </c>
      <c r="AG1627" s="85">
        <v>45118</v>
      </c>
      <c r="AH1627" s="80" t="s">
        <v>12059</v>
      </c>
      <c r="AI1627" s="77" t="b">
        <v>0</v>
      </c>
      <c r="AJ1627" s="77"/>
      <c r="AK1627" s="77"/>
      <c r="AL1627" s="77"/>
      <c r="AM1627" s="77"/>
      <c r="AN1627" s="77"/>
      <c r="AO1627" s="77"/>
      <c r="AP1627" s="77"/>
      <c r="AQ1627" s="77"/>
      <c r="AR1627" s="77"/>
      <c r="AS1627" s="77"/>
      <c r="AT1627" s="77"/>
      <c r="AU1627" s="77"/>
      <c r="AV1627" s="83" t="str">
        <f>HYPERLINK("https://pbs.twimg.com/profile_images/1559883556846977024/bXHnQFY0_normal.jpg")</f>
        <v>https://pbs.twimg.com/profile_images/1559883556846977024/bXHnQFY0_normal.jpg</v>
      </c>
      <c r="AW1627" s="80" t="s">
        <v>17494</v>
      </c>
      <c r="AX1627" s="80" t="s">
        <v>17494</v>
      </c>
      <c r="AY1627" s="77"/>
      <c r="AZ1627" s="80" t="s">
        <v>20380</v>
      </c>
      <c r="BA1627" s="80" t="s">
        <v>20380</v>
      </c>
      <c r="BB1627" s="80" t="s">
        <v>20380</v>
      </c>
      <c r="BC1627" s="80" t="s">
        <v>17494</v>
      </c>
      <c r="BD1627" s="77">
        <v>51150679</v>
      </c>
      <c r="BE1627" s="77"/>
      <c r="BF1627" s="77"/>
      <c r="BG1627" s="77"/>
      <c r="BH1627" s="77"/>
      <c r="BI1627" s="77"/>
    </row>
    <row r="1628" spans="1:61" x14ac:dyDescent="0.25">
      <c r="A1628" s="62" t="s">
        <v>790</v>
      </c>
      <c r="B1628" s="62" t="s">
        <v>790</v>
      </c>
      <c r="C1628" s="63"/>
      <c r="D1628" s="64"/>
      <c r="E1628" s="65"/>
      <c r="F1628" s="66"/>
      <c r="G1628" s="63"/>
      <c r="H1628" s="67"/>
      <c r="I1628" s="68"/>
      <c r="J1628" s="68"/>
      <c r="K1628" s="32"/>
      <c r="L1628" s="75">
        <v>1628</v>
      </c>
      <c r="M1628" s="75"/>
      <c r="N1628" s="70"/>
      <c r="O1628" s="77" t="s">
        <v>179</v>
      </c>
      <c r="P1628" s="79">
        <v>45118.472199074073</v>
      </c>
      <c r="Q1628" s="77" t="s">
        <v>3524</v>
      </c>
      <c r="R1628" s="77">
        <v>1</v>
      </c>
      <c r="S1628" s="77">
        <v>4</v>
      </c>
      <c r="T1628" s="77">
        <v>1</v>
      </c>
      <c r="U1628" s="77">
        <v>0</v>
      </c>
      <c r="V1628" s="77">
        <v>1272</v>
      </c>
      <c r="W1628" s="80" t="s">
        <v>6998</v>
      </c>
      <c r="X1628" s="83" t="str">
        <f>HYPERLINK("https://www.moneytimes.com.br/a-jornada-ou-o-destino-taxa-selic-e-meta-de-inflacao-privatizacao-da-copel-petrobras-na-venda-da-braskem-e-outros-destaques-do-dia/")</f>
        <v>https://www.moneytimes.com.br/a-jornada-ou-o-destino-taxa-selic-e-meta-de-inflacao-privatizacao-da-copel-petrobras-na-venda-da-braskem-e-outros-destaques-do-dia/</v>
      </c>
      <c r="Y1628" s="77" t="s">
        <v>8611</v>
      </c>
      <c r="Z1628" s="77"/>
      <c r="AA1628" s="77"/>
      <c r="AB1628" s="77"/>
      <c r="AC1628" s="80" t="s">
        <v>10558</v>
      </c>
      <c r="AD1628" s="77" t="s">
        <v>10617</v>
      </c>
      <c r="AE1628" s="83" t="str">
        <f>HYPERLINK("https://twitter.com/leiamoneytimes/status/1678725816065175552")</f>
        <v>https://twitter.com/leiamoneytimes/status/1678725816065175552</v>
      </c>
      <c r="AF1628" s="79">
        <v>45118.472199074073</v>
      </c>
      <c r="AG1628" s="85">
        <v>45118</v>
      </c>
      <c r="AH1628" s="80" t="s">
        <v>12060</v>
      </c>
      <c r="AI1628" s="77" t="b">
        <v>0</v>
      </c>
      <c r="AJ1628" s="77"/>
      <c r="AK1628" s="77"/>
      <c r="AL1628" s="77"/>
      <c r="AM1628" s="77"/>
      <c r="AN1628" s="77"/>
      <c r="AO1628" s="77"/>
      <c r="AP1628" s="77"/>
      <c r="AQ1628" s="77"/>
      <c r="AR1628" s="77"/>
      <c r="AS1628" s="77"/>
      <c r="AT1628" s="77"/>
      <c r="AU1628" s="77"/>
      <c r="AV1628" s="83" t="str">
        <f>HYPERLINK("https://pbs.twimg.com/profile_images/1559883556846977024/bXHnQFY0_normal.jpg")</f>
        <v>https://pbs.twimg.com/profile_images/1559883556846977024/bXHnQFY0_normal.jpg</v>
      </c>
      <c r="AW1628" s="80" t="s">
        <v>17495</v>
      </c>
      <c r="AX1628" s="80" t="s">
        <v>17495</v>
      </c>
      <c r="AY1628" s="77"/>
      <c r="AZ1628" s="80" t="s">
        <v>20380</v>
      </c>
      <c r="BA1628" s="80" t="s">
        <v>20380</v>
      </c>
      <c r="BB1628" s="80" t="s">
        <v>20380</v>
      </c>
      <c r="BC1628" s="80" t="s">
        <v>17495</v>
      </c>
      <c r="BD1628" s="77">
        <v>51150679</v>
      </c>
      <c r="BE1628" s="77"/>
      <c r="BF1628" s="77"/>
      <c r="BG1628" s="77"/>
      <c r="BH1628" s="77"/>
      <c r="BI1628" s="77"/>
    </row>
    <row r="1629" spans="1:61" x14ac:dyDescent="0.25">
      <c r="A1629" s="62" t="s">
        <v>790</v>
      </c>
      <c r="B1629" s="62" t="s">
        <v>790</v>
      </c>
      <c r="C1629" s="63"/>
      <c r="D1629" s="64"/>
      <c r="E1629" s="65"/>
      <c r="F1629" s="66"/>
      <c r="G1629" s="63"/>
      <c r="H1629" s="67"/>
      <c r="I1629" s="68"/>
      <c r="J1629" s="68"/>
      <c r="K1629" s="32"/>
      <c r="L1629" s="75">
        <v>1629</v>
      </c>
      <c r="M1629" s="75"/>
      <c r="N1629" s="70"/>
      <c r="O1629" s="77" t="s">
        <v>179</v>
      </c>
      <c r="P1629" s="79">
        <v>45118.437708333331</v>
      </c>
      <c r="Q1629" s="77" t="s">
        <v>3525</v>
      </c>
      <c r="R1629" s="77">
        <v>0</v>
      </c>
      <c r="S1629" s="77">
        <v>3</v>
      </c>
      <c r="T1629" s="77">
        <v>2</v>
      </c>
      <c r="U1629" s="77">
        <v>0</v>
      </c>
      <c r="V1629" s="77">
        <v>1394</v>
      </c>
      <c r="W1629" s="80" t="s">
        <v>6929</v>
      </c>
      <c r="X1629" s="83" t="str">
        <f>HYPERLINK("https://www.moneytimes.com.br/morning-times-promessa-de-deflacao-deve-animar-o-dia-com-esperanca-de-selic-baixa/")</f>
        <v>https://www.moneytimes.com.br/morning-times-promessa-de-deflacao-deve-animar-o-dia-com-esperanca-de-selic-baixa/</v>
      </c>
      <c r="Y1629" s="77" t="s">
        <v>8611</v>
      </c>
      <c r="Z1629" s="77"/>
      <c r="AA1629" s="77"/>
      <c r="AB1629" s="77"/>
      <c r="AC1629" s="80" t="s">
        <v>10558</v>
      </c>
      <c r="AD1629" s="77" t="s">
        <v>10617</v>
      </c>
      <c r="AE1629" s="83" t="str">
        <f>HYPERLINK("https://twitter.com/leiamoneytimes/status/1678713317295095810")</f>
        <v>https://twitter.com/leiamoneytimes/status/1678713317295095810</v>
      </c>
      <c r="AF1629" s="79">
        <v>45118.437708333331</v>
      </c>
      <c r="AG1629" s="85">
        <v>45118</v>
      </c>
      <c r="AH1629" s="80" t="s">
        <v>12061</v>
      </c>
      <c r="AI1629" s="77" t="b">
        <v>0</v>
      </c>
      <c r="AJ1629" s="77"/>
      <c r="AK1629" s="77"/>
      <c r="AL1629" s="77"/>
      <c r="AM1629" s="77"/>
      <c r="AN1629" s="77"/>
      <c r="AO1629" s="77"/>
      <c r="AP1629" s="77"/>
      <c r="AQ1629" s="77"/>
      <c r="AR1629" s="77"/>
      <c r="AS1629" s="77"/>
      <c r="AT1629" s="77"/>
      <c r="AU1629" s="77"/>
      <c r="AV1629" s="83" t="str">
        <f>HYPERLINK("https://pbs.twimg.com/profile_images/1559883556846977024/bXHnQFY0_normal.jpg")</f>
        <v>https://pbs.twimg.com/profile_images/1559883556846977024/bXHnQFY0_normal.jpg</v>
      </c>
      <c r="AW1629" s="80" t="s">
        <v>17496</v>
      </c>
      <c r="AX1629" s="80" t="s">
        <v>17496</v>
      </c>
      <c r="AY1629" s="77"/>
      <c r="AZ1629" s="80" t="s">
        <v>20380</v>
      </c>
      <c r="BA1629" s="80" t="s">
        <v>20380</v>
      </c>
      <c r="BB1629" s="80" t="s">
        <v>20380</v>
      </c>
      <c r="BC1629" s="80" t="s">
        <v>17496</v>
      </c>
      <c r="BD1629" s="77">
        <v>51150679</v>
      </c>
      <c r="BE1629" s="77"/>
      <c r="BF1629" s="77"/>
      <c r="BG1629" s="77"/>
      <c r="BH1629" s="77"/>
      <c r="BI1629" s="77"/>
    </row>
    <row r="1630" spans="1:61" x14ac:dyDescent="0.25">
      <c r="A1630" s="62" t="s">
        <v>790</v>
      </c>
      <c r="B1630" s="62" t="s">
        <v>790</v>
      </c>
      <c r="C1630" s="63"/>
      <c r="D1630" s="64"/>
      <c r="E1630" s="65"/>
      <c r="F1630" s="66"/>
      <c r="G1630" s="63"/>
      <c r="H1630" s="67"/>
      <c r="I1630" s="68"/>
      <c r="J1630" s="68"/>
      <c r="K1630" s="32"/>
      <c r="L1630" s="75">
        <v>1630</v>
      </c>
      <c r="M1630" s="75"/>
      <c r="N1630" s="70"/>
      <c r="O1630" s="77" t="s">
        <v>179</v>
      </c>
      <c r="P1630" s="79">
        <v>45117.762071759258</v>
      </c>
      <c r="Q1630" s="77" t="s">
        <v>3526</v>
      </c>
      <c r="R1630" s="77">
        <v>2</v>
      </c>
      <c r="S1630" s="77">
        <v>5</v>
      </c>
      <c r="T1630" s="77">
        <v>2</v>
      </c>
      <c r="U1630" s="77">
        <v>0</v>
      </c>
      <c r="V1630" s="77">
        <v>1264</v>
      </c>
      <c r="W1630" s="80" t="s">
        <v>6931</v>
      </c>
      <c r="X1630" s="83" t="str">
        <f>HYPERLINK("https://www.moneytimes.com.br/deflacao-em-junho-e-mais-um-motivo-para-cortar-selic-em-agosto-veja-o-que-esperar-do-ipca/")</f>
        <v>https://www.moneytimes.com.br/deflacao-em-junho-e-mais-um-motivo-para-cortar-selic-em-agosto-veja-o-que-esperar-do-ipca/</v>
      </c>
      <c r="Y1630" s="77" t="s">
        <v>8611</v>
      </c>
      <c r="Z1630" s="77"/>
      <c r="AA1630" s="77"/>
      <c r="AB1630" s="77"/>
      <c r="AC1630" s="80" t="s">
        <v>10558</v>
      </c>
      <c r="AD1630" s="77" t="s">
        <v>10617</v>
      </c>
      <c r="AE1630" s="83" t="str">
        <f>HYPERLINK("https://twitter.com/leiamoneytimes/status/1678468476044713986")</f>
        <v>https://twitter.com/leiamoneytimes/status/1678468476044713986</v>
      </c>
      <c r="AF1630" s="79">
        <v>45117.762071759258</v>
      </c>
      <c r="AG1630" s="85">
        <v>45117</v>
      </c>
      <c r="AH1630" s="80" t="s">
        <v>12062</v>
      </c>
      <c r="AI1630" s="77" t="b">
        <v>0</v>
      </c>
      <c r="AJ1630" s="77"/>
      <c r="AK1630" s="77"/>
      <c r="AL1630" s="77"/>
      <c r="AM1630" s="77"/>
      <c r="AN1630" s="77"/>
      <c r="AO1630" s="77"/>
      <c r="AP1630" s="77"/>
      <c r="AQ1630" s="77"/>
      <c r="AR1630" s="77"/>
      <c r="AS1630" s="77"/>
      <c r="AT1630" s="77"/>
      <c r="AU1630" s="77"/>
      <c r="AV1630" s="83" t="str">
        <f>HYPERLINK("https://pbs.twimg.com/profile_images/1559883556846977024/bXHnQFY0_normal.jpg")</f>
        <v>https://pbs.twimg.com/profile_images/1559883556846977024/bXHnQFY0_normal.jpg</v>
      </c>
      <c r="AW1630" s="80" t="s">
        <v>17497</v>
      </c>
      <c r="AX1630" s="80" t="s">
        <v>17497</v>
      </c>
      <c r="AY1630" s="77"/>
      <c r="AZ1630" s="80" t="s">
        <v>20380</v>
      </c>
      <c r="BA1630" s="80" t="s">
        <v>20380</v>
      </c>
      <c r="BB1630" s="80" t="s">
        <v>20380</v>
      </c>
      <c r="BC1630" s="80" t="s">
        <v>17497</v>
      </c>
      <c r="BD1630" s="77">
        <v>51150679</v>
      </c>
      <c r="BE1630" s="77"/>
      <c r="BF1630" s="77"/>
      <c r="BG1630" s="77"/>
      <c r="BH1630" s="77"/>
      <c r="BI1630" s="77"/>
    </row>
    <row r="1631" spans="1:61" x14ac:dyDescent="0.25">
      <c r="A1631" s="62" t="s">
        <v>790</v>
      </c>
      <c r="B1631" s="62" t="s">
        <v>790</v>
      </c>
      <c r="C1631" s="63"/>
      <c r="D1631" s="64"/>
      <c r="E1631" s="65"/>
      <c r="F1631" s="66"/>
      <c r="G1631" s="63"/>
      <c r="H1631" s="67"/>
      <c r="I1631" s="68"/>
      <c r="J1631" s="68"/>
      <c r="K1631" s="32"/>
      <c r="L1631" s="75">
        <v>1631</v>
      </c>
      <c r="M1631" s="75"/>
      <c r="N1631" s="70"/>
      <c r="O1631" s="77" t="s">
        <v>179</v>
      </c>
      <c r="P1631" s="79">
        <v>45117.722939814812</v>
      </c>
      <c r="Q1631" s="77" t="s">
        <v>3527</v>
      </c>
      <c r="R1631" s="77">
        <v>0</v>
      </c>
      <c r="S1631" s="77">
        <v>2</v>
      </c>
      <c r="T1631" s="77">
        <v>1</v>
      </c>
      <c r="U1631" s="77">
        <v>0</v>
      </c>
      <c r="V1631" s="77">
        <v>1205</v>
      </c>
      <c r="W1631" s="80" t="s">
        <v>6950</v>
      </c>
      <c r="X1631" s="83" t="str">
        <f>HYPERLINK("https://www.moneytimes.com.br/pix-tem-recorde-de-uso-confira-tres-novidades-que-estao-chegando-no-meio-de-pagamento/")</f>
        <v>https://www.moneytimes.com.br/pix-tem-recorde-de-uso-confira-tres-novidades-que-estao-chegando-no-meio-de-pagamento/</v>
      </c>
      <c r="Y1631" s="77" t="s">
        <v>8611</v>
      </c>
      <c r="Z1631" s="77"/>
      <c r="AA1631" s="77"/>
      <c r="AB1631" s="77"/>
      <c r="AC1631" s="80" t="s">
        <v>10558</v>
      </c>
      <c r="AD1631" s="77" t="s">
        <v>10617</v>
      </c>
      <c r="AE1631" s="83" t="str">
        <f>HYPERLINK("https://twitter.com/leiamoneytimes/status/1678454292464771073")</f>
        <v>https://twitter.com/leiamoneytimes/status/1678454292464771073</v>
      </c>
      <c r="AF1631" s="79">
        <v>45117.722939814812</v>
      </c>
      <c r="AG1631" s="85">
        <v>45117</v>
      </c>
      <c r="AH1631" s="80" t="s">
        <v>12063</v>
      </c>
      <c r="AI1631" s="77" t="b">
        <v>0</v>
      </c>
      <c r="AJ1631" s="77"/>
      <c r="AK1631" s="77"/>
      <c r="AL1631" s="77"/>
      <c r="AM1631" s="77"/>
      <c r="AN1631" s="77"/>
      <c r="AO1631" s="77"/>
      <c r="AP1631" s="77"/>
      <c r="AQ1631" s="77"/>
      <c r="AR1631" s="77"/>
      <c r="AS1631" s="77"/>
      <c r="AT1631" s="77"/>
      <c r="AU1631" s="77"/>
      <c r="AV1631" s="83" t="str">
        <f>HYPERLINK("https://pbs.twimg.com/profile_images/1559883556846977024/bXHnQFY0_normal.jpg")</f>
        <v>https://pbs.twimg.com/profile_images/1559883556846977024/bXHnQFY0_normal.jpg</v>
      </c>
      <c r="AW1631" s="80" t="s">
        <v>17498</v>
      </c>
      <c r="AX1631" s="80" t="s">
        <v>17498</v>
      </c>
      <c r="AY1631" s="77"/>
      <c r="AZ1631" s="80" t="s">
        <v>20380</v>
      </c>
      <c r="BA1631" s="80" t="s">
        <v>20380</v>
      </c>
      <c r="BB1631" s="80" t="s">
        <v>20380</v>
      </c>
      <c r="BC1631" s="80" t="s">
        <v>17498</v>
      </c>
      <c r="BD1631" s="77">
        <v>51150679</v>
      </c>
      <c r="BE1631" s="77"/>
      <c r="BF1631" s="77"/>
      <c r="BG1631" s="77"/>
      <c r="BH1631" s="77"/>
      <c r="BI1631" s="77"/>
    </row>
    <row r="1632" spans="1:61" x14ac:dyDescent="0.25">
      <c r="A1632" s="62" t="s">
        <v>790</v>
      </c>
      <c r="B1632" s="62" t="s">
        <v>790</v>
      </c>
      <c r="C1632" s="63"/>
      <c r="D1632" s="64"/>
      <c r="E1632" s="65"/>
      <c r="F1632" s="66"/>
      <c r="G1632" s="63"/>
      <c r="H1632" s="67"/>
      <c r="I1632" s="68"/>
      <c r="J1632" s="68"/>
      <c r="K1632" s="32"/>
      <c r="L1632" s="75">
        <v>1632</v>
      </c>
      <c r="M1632" s="75"/>
      <c r="N1632" s="70"/>
      <c r="O1632" s="77" t="s">
        <v>179</v>
      </c>
      <c r="P1632" s="79">
        <v>45117.49114583333</v>
      </c>
      <c r="Q1632" s="77" t="s">
        <v>3528</v>
      </c>
      <c r="R1632" s="77">
        <v>0</v>
      </c>
      <c r="S1632" s="77">
        <v>3</v>
      </c>
      <c r="T1632" s="77">
        <v>1</v>
      </c>
      <c r="U1632" s="77">
        <v>0</v>
      </c>
      <c r="V1632" s="77">
        <v>1202</v>
      </c>
      <c r="W1632" s="80" t="s">
        <v>6934</v>
      </c>
      <c r="X1632" s="83" t="str">
        <f>HYPERLINK("https://www.moneytimes.com.br/projecao-da-inflacao-cai-na-vespera-do-ipca-de-junho-confira-o-focus-desta-segunda-10/")</f>
        <v>https://www.moneytimes.com.br/projecao-da-inflacao-cai-na-vespera-do-ipca-de-junho-confira-o-focus-desta-segunda-10/</v>
      </c>
      <c r="Y1632" s="77" t="s">
        <v>8611</v>
      </c>
      <c r="Z1632" s="77"/>
      <c r="AA1632" s="77"/>
      <c r="AB1632" s="77"/>
      <c r="AC1632" s="80" t="s">
        <v>10558</v>
      </c>
      <c r="AD1632" s="77" t="s">
        <v>10617</v>
      </c>
      <c r="AE1632" s="83" t="str">
        <f>HYPERLINK("https://twitter.com/leiamoneytimes/status/1678370293172035584")</f>
        <v>https://twitter.com/leiamoneytimes/status/1678370293172035584</v>
      </c>
      <c r="AF1632" s="79">
        <v>45117.49114583333</v>
      </c>
      <c r="AG1632" s="85">
        <v>45117</v>
      </c>
      <c r="AH1632" s="80" t="s">
        <v>12064</v>
      </c>
      <c r="AI1632" s="77" t="b">
        <v>0</v>
      </c>
      <c r="AJ1632" s="77"/>
      <c r="AK1632" s="77"/>
      <c r="AL1632" s="77"/>
      <c r="AM1632" s="77"/>
      <c r="AN1632" s="77"/>
      <c r="AO1632" s="77"/>
      <c r="AP1632" s="77"/>
      <c r="AQ1632" s="77"/>
      <c r="AR1632" s="77"/>
      <c r="AS1632" s="77"/>
      <c r="AT1632" s="77"/>
      <c r="AU1632" s="77"/>
      <c r="AV1632" s="83" t="str">
        <f>HYPERLINK("https://pbs.twimg.com/profile_images/1559883556846977024/bXHnQFY0_normal.jpg")</f>
        <v>https://pbs.twimg.com/profile_images/1559883556846977024/bXHnQFY0_normal.jpg</v>
      </c>
      <c r="AW1632" s="80" t="s">
        <v>17499</v>
      </c>
      <c r="AX1632" s="80" t="s">
        <v>17499</v>
      </c>
      <c r="AY1632" s="77"/>
      <c r="AZ1632" s="80" t="s">
        <v>20380</v>
      </c>
      <c r="BA1632" s="80" t="s">
        <v>20380</v>
      </c>
      <c r="BB1632" s="80" t="s">
        <v>20380</v>
      </c>
      <c r="BC1632" s="80" t="s">
        <v>17499</v>
      </c>
      <c r="BD1632" s="77">
        <v>51150679</v>
      </c>
      <c r="BE1632" s="77"/>
      <c r="BF1632" s="77"/>
      <c r="BG1632" s="77"/>
      <c r="BH1632" s="77"/>
      <c r="BI1632" s="77"/>
    </row>
    <row r="1633" spans="1:61" x14ac:dyDescent="0.25">
      <c r="A1633" s="62" t="s">
        <v>790</v>
      </c>
      <c r="B1633" s="62" t="s">
        <v>790</v>
      </c>
      <c r="C1633" s="63"/>
      <c r="D1633" s="64"/>
      <c r="E1633" s="65"/>
      <c r="F1633" s="66"/>
      <c r="G1633" s="63"/>
      <c r="H1633" s="67"/>
      <c r="I1633" s="68"/>
      <c r="J1633" s="68"/>
      <c r="K1633" s="32"/>
      <c r="L1633" s="75">
        <v>1633</v>
      </c>
      <c r="M1633" s="75"/>
      <c r="N1633" s="70"/>
      <c r="O1633" s="77" t="s">
        <v>179</v>
      </c>
      <c r="P1633" s="79">
        <v>45116.758622685185</v>
      </c>
      <c r="Q1633" s="77" t="s">
        <v>3529</v>
      </c>
      <c r="R1633" s="77">
        <v>0</v>
      </c>
      <c r="S1633" s="77">
        <v>4</v>
      </c>
      <c r="T1633" s="77">
        <v>1</v>
      </c>
      <c r="U1633" s="77">
        <v>0</v>
      </c>
      <c r="V1633" s="77">
        <v>1719</v>
      </c>
      <c r="W1633" s="80" t="s">
        <v>6999</v>
      </c>
      <c r="X1633" s="83" t="str">
        <f>HYPERLINK("https://www.moneytimes.com.br/mudancas-no-copom-deputado-quer-ministro-da-fazenda-no-comite-entenda/")</f>
        <v>https://www.moneytimes.com.br/mudancas-no-copom-deputado-quer-ministro-da-fazenda-no-comite-entenda/</v>
      </c>
      <c r="Y1633" s="77" t="s">
        <v>8611</v>
      </c>
      <c r="Z1633" s="77"/>
      <c r="AA1633" s="77"/>
      <c r="AB1633" s="77"/>
      <c r="AC1633" s="80" t="s">
        <v>10558</v>
      </c>
      <c r="AD1633" s="77" t="s">
        <v>10617</v>
      </c>
      <c r="AE1633" s="83" t="str">
        <f>HYPERLINK("https://twitter.com/leiamoneytimes/status/1678104835982327808")</f>
        <v>https://twitter.com/leiamoneytimes/status/1678104835982327808</v>
      </c>
      <c r="AF1633" s="79">
        <v>45116.758622685185</v>
      </c>
      <c r="AG1633" s="85">
        <v>45116</v>
      </c>
      <c r="AH1633" s="80" t="s">
        <v>12065</v>
      </c>
      <c r="AI1633" s="77" t="b">
        <v>0</v>
      </c>
      <c r="AJ1633" s="77"/>
      <c r="AK1633" s="77"/>
      <c r="AL1633" s="77"/>
      <c r="AM1633" s="77"/>
      <c r="AN1633" s="77"/>
      <c r="AO1633" s="77"/>
      <c r="AP1633" s="77"/>
      <c r="AQ1633" s="77"/>
      <c r="AR1633" s="77"/>
      <c r="AS1633" s="77"/>
      <c r="AT1633" s="77"/>
      <c r="AU1633" s="77"/>
      <c r="AV1633" s="83" t="str">
        <f>HYPERLINK("https://pbs.twimg.com/profile_images/1559883556846977024/bXHnQFY0_normal.jpg")</f>
        <v>https://pbs.twimg.com/profile_images/1559883556846977024/bXHnQFY0_normal.jpg</v>
      </c>
      <c r="AW1633" s="80" t="s">
        <v>17500</v>
      </c>
      <c r="AX1633" s="80" t="s">
        <v>17500</v>
      </c>
      <c r="AY1633" s="77"/>
      <c r="AZ1633" s="80" t="s">
        <v>20380</v>
      </c>
      <c r="BA1633" s="80" t="s">
        <v>20380</v>
      </c>
      <c r="BB1633" s="80" t="s">
        <v>20380</v>
      </c>
      <c r="BC1633" s="80" t="s">
        <v>17500</v>
      </c>
      <c r="BD1633" s="77">
        <v>51150679</v>
      </c>
      <c r="BE1633" s="77"/>
      <c r="BF1633" s="77"/>
      <c r="BG1633" s="77"/>
      <c r="BH1633" s="77"/>
      <c r="BI1633" s="77"/>
    </row>
    <row r="1634" spans="1:61" x14ac:dyDescent="0.25">
      <c r="A1634" s="62" t="s">
        <v>790</v>
      </c>
      <c r="B1634" s="62" t="s">
        <v>790</v>
      </c>
      <c r="C1634" s="63"/>
      <c r="D1634" s="64"/>
      <c r="E1634" s="65"/>
      <c r="F1634" s="66"/>
      <c r="G1634" s="63"/>
      <c r="H1634" s="67"/>
      <c r="I1634" s="68"/>
      <c r="J1634" s="68"/>
      <c r="K1634" s="32"/>
      <c r="L1634" s="75">
        <v>1634</v>
      </c>
      <c r="M1634" s="75"/>
      <c r="N1634" s="70"/>
      <c r="O1634" s="77" t="s">
        <v>179</v>
      </c>
      <c r="P1634" s="79">
        <v>45099.528217592589</v>
      </c>
      <c r="Q1634" s="77" t="s">
        <v>3530</v>
      </c>
      <c r="R1634" s="77">
        <v>0</v>
      </c>
      <c r="S1634" s="77">
        <v>6</v>
      </c>
      <c r="T1634" s="77">
        <v>1</v>
      </c>
      <c r="U1634" s="77">
        <v>0</v>
      </c>
      <c r="V1634" s="77">
        <v>1164</v>
      </c>
      <c r="W1634" s="80" t="s">
        <v>6966</v>
      </c>
      <c r="X1634" s="83" t="str">
        <f>HYPERLINK("https://www.moneytimes.com.br/dolar-ronda-estabilidade-frente-ao-real-apos-copom/")</f>
        <v>https://www.moneytimes.com.br/dolar-ronda-estabilidade-frente-ao-real-apos-copom/</v>
      </c>
      <c r="Y1634" s="77" t="s">
        <v>8611</v>
      </c>
      <c r="Z1634" s="77"/>
      <c r="AA1634" s="77"/>
      <c r="AB1634" s="77"/>
      <c r="AC1634" s="80" t="s">
        <v>10558</v>
      </c>
      <c r="AD1634" s="77" t="s">
        <v>10617</v>
      </c>
      <c r="AE1634" s="83" t="str">
        <f>HYPERLINK("https://twitter.com/leiamoneytimes/status/1671860746206994433")</f>
        <v>https://twitter.com/leiamoneytimes/status/1671860746206994433</v>
      </c>
      <c r="AF1634" s="79">
        <v>45099.528217592589</v>
      </c>
      <c r="AG1634" s="85">
        <v>45099</v>
      </c>
      <c r="AH1634" s="80" t="s">
        <v>12066</v>
      </c>
      <c r="AI1634" s="77" t="b">
        <v>0</v>
      </c>
      <c r="AJ1634" s="77"/>
      <c r="AK1634" s="77"/>
      <c r="AL1634" s="77"/>
      <c r="AM1634" s="77"/>
      <c r="AN1634" s="77"/>
      <c r="AO1634" s="77"/>
      <c r="AP1634" s="77"/>
      <c r="AQ1634" s="77"/>
      <c r="AR1634" s="77"/>
      <c r="AS1634" s="77"/>
      <c r="AT1634" s="77"/>
      <c r="AU1634" s="77"/>
      <c r="AV1634" s="83" t="str">
        <f>HYPERLINK("https://pbs.twimg.com/profile_images/1559883556846977024/bXHnQFY0_normal.jpg")</f>
        <v>https://pbs.twimg.com/profile_images/1559883556846977024/bXHnQFY0_normal.jpg</v>
      </c>
      <c r="AW1634" s="80" t="s">
        <v>17501</v>
      </c>
      <c r="AX1634" s="80" t="s">
        <v>17501</v>
      </c>
      <c r="AY1634" s="77"/>
      <c r="AZ1634" s="80" t="s">
        <v>20380</v>
      </c>
      <c r="BA1634" s="80" t="s">
        <v>20380</v>
      </c>
      <c r="BB1634" s="80" t="s">
        <v>20380</v>
      </c>
      <c r="BC1634" s="80" t="s">
        <v>17501</v>
      </c>
      <c r="BD1634" s="77">
        <v>51150679</v>
      </c>
      <c r="BE1634" s="77"/>
      <c r="BF1634" s="77"/>
      <c r="BG1634" s="77"/>
      <c r="BH1634" s="77"/>
      <c r="BI1634" s="77"/>
    </row>
    <row r="1635" spans="1:61" x14ac:dyDescent="0.25">
      <c r="A1635" s="62" t="s">
        <v>790</v>
      </c>
      <c r="B1635" s="62" t="s">
        <v>790</v>
      </c>
      <c r="C1635" s="63"/>
      <c r="D1635" s="64"/>
      <c r="E1635" s="65"/>
      <c r="F1635" s="66"/>
      <c r="G1635" s="63"/>
      <c r="H1635" s="67"/>
      <c r="I1635" s="68"/>
      <c r="J1635" s="68"/>
      <c r="K1635" s="32"/>
      <c r="L1635" s="75">
        <v>1635</v>
      </c>
      <c r="M1635" s="75"/>
      <c r="N1635" s="70"/>
      <c r="O1635" s="77" t="s">
        <v>179</v>
      </c>
      <c r="P1635" s="79">
        <v>45099.473923611113</v>
      </c>
      <c r="Q1635" s="77" t="s">
        <v>3531</v>
      </c>
      <c r="R1635" s="77">
        <v>1</v>
      </c>
      <c r="S1635" s="77">
        <v>9</v>
      </c>
      <c r="T1635" s="77">
        <v>2</v>
      </c>
      <c r="U1635" s="77">
        <v>0</v>
      </c>
      <c r="V1635" s="77">
        <v>1398</v>
      </c>
      <c r="W1635" s="80" t="s">
        <v>6927</v>
      </c>
      <c r="X1635" s="83" t="str">
        <f>HYPERLINK("https://www.moneytimes.com.br/comeca-julgamento-que-pode-deixar-bolsonaro-inelegivel-veja-o-que-movimenta-a-quinta-22/")</f>
        <v>https://www.moneytimes.com.br/comeca-julgamento-que-pode-deixar-bolsonaro-inelegivel-veja-o-que-movimenta-a-quinta-22/</v>
      </c>
      <c r="Y1635" s="77" t="s">
        <v>8611</v>
      </c>
      <c r="Z1635" s="77"/>
      <c r="AA1635" s="77"/>
      <c r="AB1635" s="77"/>
      <c r="AC1635" s="80" t="s">
        <v>10558</v>
      </c>
      <c r="AD1635" s="77" t="s">
        <v>10617</v>
      </c>
      <c r="AE1635" s="83" t="str">
        <f>HYPERLINK("https://twitter.com/leiamoneytimes/status/1671841073331666948")</f>
        <v>https://twitter.com/leiamoneytimes/status/1671841073331666948</v>
      </c>
      <c r="AF1635" s="79">
        <v>45099.473923611113</v>
      </c>
      <c r="AG1635" s="85">
        <v>45099</v>
      </c>
      <c r="AH1635" s="80" t="s">
        <v>12067</v>
      </c>
      <c r="AI1635" s="77" t="b">
        <v>0</v>
      </c>
      <c r="AJ1635" s="77"/>
      <c r="AK1635" s="77"/>
      <c r="AL1635" s="77"/>
      <c r="AM1635" s="77"/>
      <c r="AN1635" s="77"/>
      <c r="AO1635" s="77"/>
      <c r="AP1635" s="77"/>
      <c r="AQ1635" s="77"/>
      <c r="AR1635" s="77"/>
      <c r="AS1635" s="77"/>
      <c r="AT1635" s="77"/>
      <c r="AU1635" s="77"/>
      <c r="AV1635" s="83" t="str">
        <f>HYPERLINK("https://pbs.twimg.com/profile_images/1559883556846977024/bXHnQFY0_normal.jpg")</f>
        <v>https://pbs.twimg.com/profile_images/1559883556846977024/bXHnQFY0_normal.jpg</v>
      </c>
      <c r="AW1635" s="80" t="s">
        <v>17502</v>
      </c>
      <c r="AX1635" s="80" t="s">
        <v>17502</v>
      </c>
      <c r="AY1635" s="77"/>
      <c r="AZ1635" s="80" t="s">
        <v>20380</v>
      </c>
      <c r="BA1635" s="80" t="s">
        <v>20380</v>
      </c>
      <c r="BB1635" s="80" t="s">
        <v>20380</v>
      </c>
      <c r="BC1635" s="80" t="s">
        <v>17502</v>
      </c>
      <c r="BD1635" s="77">
        <v>51150679</v>
      </c>
      <c r="BE1635" s="77"/>
      <c r="BF1635" s="77"/>
      <c r="BG1635" s="77"/>
      <c r="BH1635" s="77"/>
      <c r="BI1635" s="77"/>
    </row>
    <row r="1636" spans="1:61" x14ac:dyDescent="0.25">
      <c r="A1636" s="62" t="s">
        <v>790</v>
      </c>
      <c r="B1636" s="62" t="s">
        <v>790</v>
      </c>
      <c r="C1636" s="63"/>
      <c r="D1636" s="64"/>
      <c r="E1636" s="65"/>
      <c r="F1636" s="66"/>
      <c r="G1636" s="63"/>
      <c r="H1636" s="67"/>
      <c r="I1636" s="68"/>
      <c r="J1636" s="68"/>
      <c r="K1636" s="32"/>
      <c r="L1636" s="75">
        <v>1636</v>
      </c>
      <c r="M1636" s="75"/>
      <c r="N1636" s="70"/>
      <c r="O1636" s="77" t="s">
        <v>179</v>
      </c>
      <c r="P1636" s="79">
        <v>45099.459189814814</v>
      </c>
      <c r="Q1636" s="77" t="s">
        <v>3532</v>
      </c>
      <c r="R1636" s="77">
        <v>0</v>
      </c>
      <c r="S1636" s="77">
        <v>4</v>
      </c>
      <c r="T1636" s="77">
        <v>0</v>
      </c>
      <c r="U1636" s="77">
        <v>0</v>
      </c>
      <c r="V1636" s="77">
        <v>1307</v>
      </c>
      <c r="W1636" s="80" t="s">
        <v>6997</v>
      </c>
      <c r="X1636" s="83" t="str">
        <f>HYPERLINK("https://www.moneytimes.com.br/11-fundos-imobiliarios-com-retorno-de-dividendos-acima-da-selic-ainda-em-1375/")</f>
        <v>https://www.moneytimes.com.br/11-fundos-imobiliarios-com-retorno-de-dividendos-acima-da-selic-ainda-em-1375/</v>
      </c>
      <c r="Y1636" s="77" t="s">
        <v>8611</v>
      </c>
      <c r="Z1636" s="77"/>
      <c r="AA1636" s="77"/>
      <c r="AB1636" s="77"/>
      <c r="AC1636" s="80" t="s">
        <v>10558</v>
      </c>
      <c r="AD1636" s="77" t="s">
        <v>10617</v>
      </c>
      <c r="AE1636" s="83" t="str">
        <f>HYPERLINK("https://twitter.com/leiamoneytimes/status/1671835732527177734")</f>
        <v>https://twitter.com/leiamoneytimes/status/1671835732527177734</v>
      </c>
      <c r="AF1636" s="79">
        <v>45099.459189814814</v>
      </c>
      <c r="AG1636" s="85">
        <v>45099</v>
      </c>
      <c r="AH1636" s="80" t="s">
        <v>12068</v>
      </c>
      <c r="AI1636" s="77" t="b">
        <v>0</v>
      </c>
      <c r="AJ1636" s="77"/>
      <c r="AK1636" s="77"/>
      <c r="AL1636" s="77"/>
      <c r="AM1636" s="77"/>
      <c r="AN1636" s="77"/>
      <c r="AO1636" s="77"/>
      <c r="AP1636" s="77"/>
      <c r="AQ1636" s="77"/>
      <c r="AR1636" s="77"/>
      <c r="AS1636" s="77"/>
      <c r="AT1636" s="77"/>
      <c r="AU1636" s="77"/>
      <c r="AV1636" s="83" t="str">
        <f>HYPERLINK("https://pbs.twimg.com/profile_images/1559883556846977024/bXHnQFY0_normal.jpg")</f>
        <v>https://pbs.twimg.com/profile_images/1559883556846977024/bXHnQFY0_normal.jpg</v>
      </c>
      <c r="AW1636" s="80" t="s">
        <v>17503</v>
      </c>
      <c r="AX1636" s="80" t="s">
        <v>17503</v>
      </c>
      <c r="AY1636" s="77"/>
      <c r="AZ1636" s="80" t="s">
        <v>20380</v>
      </c>
      <c r="BA1636" s="80" t="s">
        <v>20380</v>
      </c>
      <c r="BB1636" s="80" t="s">
        <v>20380</v>
      </c>
      <c r="BC1636" s="80" t="s">
        <v>17503</v>
      </c>
      <c r="BD1636" s="77">
        <v>51150679</v>
      </c>
      <c r="BE1636" s="77"/>
      <c r="BF1636" s="77"/>
      <c r="BG1636" s="77"/>
      <c r="BH1636" s="77"/>
      <c r="BI1636" s="77"/>
    </row>
    <row r="1637" spans="1:61" x14ac:dyDescent="0.25">
      <c r="A1637" s="62" t="s">
        <v>790</v>
      </c>
      <c r="B1637" s="62" t="s">
        <v>790</v>
      </c>
      <c r="C1637" s="63"/>
      <c r="D1637" s="64"/>
      <c r="E1637" s="65"/>
      <c r="F1637" s="66"/>
      <c r="G1637" s="63"/>
      <c r="H1637" s="67"/>
      <c r="I1637" s="68"/>
      <c r="J1637" s="68"/>
      <c r="K1637" s="32"/>
      <c r="L1637" s="75">
        <v>1637</v>
      </c>
      <c r="M1637" s="75"/>
      <c r="N1637" s="70"/>
      <c r="O1637" s="77" t="s">
        <v>179</v>
      </c>
      <c r="P1637" s="79">
        <v>45099.448298611111</v>
      </c>
      <c r="Q1637" s="77" t="s">
        <v>3533</v>
      </c>
      <c r="R1637" s="77">
        <v>0</v>
      </c>
      <c r="S1637" s="77">
        <v>7</v>
      </c>
      <c r="T1637" s="77">
        <v>0</v>
      </c>
      <c r="U1637" s="77">
        <v>0</v>
      </c>
      <c r="V1637" s="77">
        <v>1568</v>
      </c>
      <c r="W1637" s="80" t="s">
        <v>6935</v>
      </c>
      <c r="X1637" s="83" t="str">
        <f>HYPERLINK("https://www.moneytimes.com.br/morning-times-mercado-foi-pego-de-surpresa-e-nao-foi-no-bom-sentido/")</f>
        <v>https://www.moneytimes.com.br/morning-times-mercado-foi-pego-de-surpresa-e-nao-foi-no-bom-sentido/</v>
      </c>
      <c r="Y1637" s="77" t="s">
        <v>8611</v>
      </c>
      <c r="Z1637" s="77"/>
      <c r="AA1637" s="77"/>
      <c r="AB1637" s="77"/>
      <c r="AC1637" s="80" t="s">
        <v>10558</v>
      </c>
      <c r="AD1637" s="77" t="s">
        <v>10617</v>
      </c>
      <c r="AE1637" s="83" t="str">
        <f>HYPERLINK("https://twitter.com/leiamoneytimes/status/1671831786710609921")</f>
        <v>https://twitter.com/leiamoneytimes/status/1671831786710609921</v>
      </c>
      <c r="AF1637" s="79">
        <v>45099.448298611111</v>
      </c>
      <c r="AG1637" s="85">
        <v>45099</v>
      </c>
      <c r="AH1637" s="80" t="s">
        <v>12069</v>
      </c>
      <c r="AI1637" s="77" t="b">
        <v>0</v>
      </c>
      <c r="AJ1637" s="77"/>
      <c r="AK1637" s="77"/>
      <c r="AL1637" s="77"/>
      <c r="AM1637" s="77"/>
      <c r="AN1637" s="77"/>
      <c r="AO1637" s="77"/>
      <c r="AP1637" s="77"/>
      <c r="AQ1637" s="77"/>
      <c r="AR1637" s="77"/>
      <c r="AS1637" s="77"/>
      <c r="AT1637" s="77"/>
      <c r="AU1637" s="77"/>
      <c r="AV1637" s="83" t="str">
        <f>HYPERLINK("https://pbs.twimg.com/profile_images/1559883556846977024/bXHnQFY0_normal.jpg")</f>
        <v>https://pbs.twimg.com/profile_images/1559883556846977024/bXHnQFY0_normal.jpg</v>
      </c>
      <c r="AW1637" s="80" t="s">
        <v>17504</v>
      </c>
      <c r="AX1637" s="80" t="s">
        <v>17504</v>
      </c>
      <c r="AY1637" s="77"/>
      <c r="AZ1637" s="80" t="s">
        <v>20380</v>
      </c>
      <c r="BA1637" s="80" t="s">
        <v>20380</v>
      </c>
      <c r="BB1637" s="80" t="s">
        <v>20380</v>
      </c>
      <c r="BC1637" s="80" t="s">
        <v>17504</v>
      </c>
      <c r="BD1637" s="77">
        <v>51150679</v>
      </c>
      <c r="BE1637" s="77"/>
      <c r="BF1637" s="77"/>
      <c r="BG1637" s="77"/>
      <c r="BH1637" s="77"/>
      <c r="BI1637" s="77"/>
    </row>
    <row r="1638" spans="1:61" x14ac:dyDescent="0.25">
      <c r="A1638" s="62" t="s">
        <v>790</v>
      </c>
      <c r="B1638" s="62" t="s">
        <v>790</v>
      </c>
      <c r="C1638" s="63"/>
      <c r="D1638" s="64"/>
      <c r="E1638" s="65"/>
      <c r="F1638" s="66"/>
      <c r="G1638" s="63"/>
      <c r="H1638" s="67"/>
      <c r="I1638" s="68"/>
      <c r="J1638" s="68"/>
      <c r="K1638" s="32"/>
      <c r="L1638" s="75">
        <v>1638</v>
      </c>
      <c r="M1638" s="75"/>
      <c r="N1638" s="70"/>
      <c r="O1638" s="77" t="s">
        <v>179</v>
      </c>
      <c r="P1638" s="79">
        <v>45098.934189814812</v>
      </c>
      <c r="Q1638" s="77" t="s">
        <v>3534</v>
      </c>
      <c r="R1638" s="77">
        <v>0</v>
      </c>
      <c r="S1638" s="77">
        <v>21</v>
      </c>
      <c r="T1638" s="77">
        <v>5</v>
      </c>
      <c r="U1638" s="77">
        <v>1</v>
      </c>
      <c r="V1638" s="77">
        <v>4434</v>
      </c>
      <c r="W1638" s="80" t="s">
        <v>6272</v>
      </c>
      <c r="X1638" s="83" t="str">
        <f>HYPERLINK("https://www.moneytimes.com.br/selic-em-1375-quatro-pontos-para-entender-o-comunicado-do-copom-e-a-decisao-do-banco-central/")</f>
        <v>https://www.moneytimes.com.br/selic-em-1375-quatro-pontos-para-entender-o-comunicado-do-copom-e-a-decisao-do-banco-central/</v>
      </c>
      <c r="Y1638" s="77" t="s">
        <v>8611</v>
      </c>
      <c r="Z1638" s="77"/>
      <c r="AA1638" s="77"/>
      <c r="AB1638" s="77"/>
      <c r="AC1638" s="80" t="s">
        <v>10558</v>
      </c>
      <c r="AD1638" s="77" t="s">
        <v>10617</v>
      </c>
      <c r="AE1638" s="83" t="str">
        <f>HYPERLINK("https://twitter.com/leiamoneytimes/status/1671645478730039296")</f>
        <v>https://twitter.com/leiamoneytimes/status/1671645478730039296</v>
      </c>
      <c r="AF1638" s="79">
        <v>45098.934189814812</v>
      </c>
      <c r="AG1638" s="85">
        <v>45098</v>
      </c>
      <c r="AH1638" s="80" t="s">
        <v>12070</v>
      </c>
      <c r="AI1638" s="77" t="b">
        <v>0</v>
      </c>
      <c r="AJ1638" s="77"/>
      <c r="AK1638" s="77"/>
      <c r="AL1638" s="77"/>
      <c r="AM1638" s="77"/>
      <c r="AN1638" s="77"/>
      <c r="AO1638" s="77"/>
      <c r="AP1638" s="77"/>
      <c r="AQ1638" s="77"/>
      <c r="AR1638" s="77"/>
      <c r="AS1638" s="77"/>
      <c r="AT1638" s="77"/>
      <c r="AU1638" s="77"/>
      <c r="AV1638" s="83" t="str">
        <f>HYPERLINK("https://pbs.twimg.com/profile_images/1559883556846977024/bXHnQFY0_normal.jpg")</f>
        <v>https://pbs.twimg.com/profile_images/1559883556846977024/bXHnQFY0_normal.jpg</v>
      </c>
      <c r="AW1638" s="80" t="s">
        <v>17505</v>
      </c>
      <c r="AX1638" s="80" t="s">
        <v>17505</v>
      </c>
      <c r="AY1638" s="77"/>
      <c r="AZ1638" s="80" t="s">
        <v>20380</v>
      </c>
      <c r="BA1638" s="80" t="s">
        <v>20380</v>
      </c>
      <c r="BB1638" s="80" t="s">
        <v>20380</v>
      </c>
      <c r="BC1638" s="80" t="s">
        <v>17505</v>
      </c>
      <c r="BD1638" s="77">
        <v>51150679</v>
      </c>
      <c r="BE1638" s="77"/>
      <c r="BF1638" s="77"/>
      <c r="BG1638" s="77"/>
      <c r="BH1638" s="77"/>
      <c r="BI1638" s="77"/>
    </row>
    <row r="1639" spans="1:61" x14ac:dyDescent="0.25">
      <c r="A1639" s="62" t="s">
        <v>790</v>
      </c>
      <c r="B1639" s="62" t="s">
        <v>790</v>
      </c>
      <c r="C1639" s="63"/>
      <c r="D1639" s="64"/>
      <c r="E1639" s="65"/>
      <c r="F1639" s="66"/>
      <c r="G1639" s="63"/>
      <c r="H1639" s="67"/>
      <c r="I1639" s="68"/>
      <c r="J1639" s="68"/>
      <c r="K1639" s="32"/>
      <c r="L1639" s="75">
        <v>1639</v>
      </c>
      <c r="M1639" s="75"/>
      <c r="N1639" s="70"/>
      <c r="O1639" s="77" t="s">
        <v>179</v>
      </c>
      <c r="P1639" s="79">
        <v>45098.933113425926</v>
      </c>
      <c r="Q1639" s="77" t="s">
        <v>3535</v>
      </c>
      <c r="R1639" s="77">
        <v>5</v>
      </c>
      <c r="S1639" s="77">
        <v>74</v>
      </c>
      <c r="T1639" s="77">
        <v>6</v>
      </c>
      <c r="U1639" s="77">
        <v>0</v>
      </c>
      <c r="V1639" s="77">
        <v>5350</v>
      </c>
      <c r="W1639" s="80" t="s">
        <v>6953</v>
      </c>
      <c r="X1639" s="83" t="str">
        <f>HYPERLINK("https://www.moneytimes.com.br/copom-mantem-selic-em-1375-mercado-se-surpreende-com-tom-mais-duro-que-esperado/")</f>
        <v>https://www.moneytimes.com.br/copom-mantem-selic-em-1375-mercado-se-surpreende-com-tom-mais-duro-que-esperado/</v>
      </c>
      <c r="Y1639" s="77" t="s">
        <v>8611</v>
      </c>
      <c r="Z1639" s="77"/>
      <c r="AA1639" s="77"/>
      <c r="AB1639" s="77"/>
      <c r="AC1639" s="80" t="s">
        <v>10558</v>
      </c>
      <c r="AD1639" s="77" t="s">
        <v>10617</v>
      </c>
      <c r="AE1639" s="83" t="str">
        <f>HYPERLINK("https://twitter.com/leiamoneytimes/status/1671645089527914496")</f>
        <v>https://twitter.com/leiamoneytimes/status/1671645089527914496</v>
      </c>
      <c r="AF1639" s="79">
        <v>45098.933113425926</v>
      </c>
      <c r="AG1639" s="85">
        <v>45098</v>
      </c>
      <c r="AH1639" s="80" t="s">
        <v>12071</v>
      </c>
      <c r="AI1639" s="77" t="b">
        <v>0</v>
      </c>
      <c r="AJ1639" s="77"/>
      <c r="AK1639" s="77"/>
      <c r="AL1639" s="77"/>
      <c r="AM1639" s="77"/>
      <c r="AN1639" s="77"/>
      <c r="AO1639" s="77"/>
      <c r="AP1639" s="77"/>
      <c r="AQ1639" s="77"/>
      <c r="AR1639" s="77"/>
      <c r="AS1639" s="77"/>
      <c r="AT1639" s="77"/>
      <c r="AU1639" s="77"/>
      <c r="AV1639" s="83" t="str">
        <f>HYPERLINK("https://pbs.twimg.com/profile_images/1559883556846977024/bXHnQFY0_normal.jpg")</f>
        <v>https://pbs.twimg.com/profile_images/1559883556846977024/bXHnQFY0_normal.jpg</v>
      </c>
      <c r="AW1639" s="80" t="s">
        <v>17506</v>
      </c>
      <c r="AX1639" s="80" t="s">
        <v>17506</v>
      </c>
      <c r="AY1639" s="77"/>
      <c r="AZ1639" s="80" t="s">
        <v>20380</v>
      </c>
      <c r="BA1639" s="80" t="s">
        <v>20380</v>
      </c>
      <c r="BB1639" s="80" t="s">
        <v>20380</v>
      </c>
      <c r="BC1639" s="80" t="s">
        <v>17506</v>
      </c>
      <c r="BD1639" s="77">
        <v>51150679</v>
      </c>
      <c r="BE1639" s="77"/>
      <c r="BF1639" s="77"/>
      <c r="BG1639" s="77"/>
      <c r="BH1639" s="77"/>
      <c r="BI1639" s="77"/>
    </row>
    <row r="1640" spans="1:61" x14ac:dyDescent="0.25">
      <c r="A1640" s="62" t="s">
        <v>790</v>
      </c>
      <c r="B1640" s="62" t="s">
        <v>790</v>
      </c>
      <c r="C1640" s="63"/>
      <c r="D1640" s="64"/>
      <c r="E1640" s="65"/>
      <c r="F1640" s="66"/>
      <c r="G1640" s="63"/>
      <c r="H1640" s="67"/>
      <c r="I1640" s="68"/>
      <c r="J1640" s="68"/>
      <c r="K1640" s="32"/>
      <c r="L1640" s="75">
        <v>1640</v>
      </c>
      <c r="M1640" s="75"/>
      <c r="N1640" s="70"/>
      <c r="O1640" s="77" t="s">
        <v>179</v>
      </c>
      <c r="P1640" s="79">
        <v>45098.901539351849</v>
      </c>
      <c r="Q1640" s="77" t="s">
        <v>3536</v>
      </c>
      <c r="R1640" s="77">
        <v>1</v>
      </c>
      <c r="S1640" s="77">
        <v>25</v>
      </c>
      <c r="T1640" s="77">
        <v>3</v>
      </c>
      <c r="U1640" s="77">
        <v>0</v>
      </c>
      <c r="V1640" s="77">
        <v>2771</v>
      </c>
      <c r="W1640" s="80" t="s">
        <v>6272</v>
      </c>
      <c r="X1640" s="83" t="str">
        <f>HYPERLINK("https://www.moneytimes.com.br/contagem-regressiva-copom-mantem-selic-em-1375/")</f>
        <v>https://www.moneytimes.com.br/contagem-regressiva-copom-mantem-selic-em-1375/</v>
      </c>
      <c r="Y1640" s="77" t="s">
        <v>8611</v>
      </c>
      <c r="Z1640" s="77"/>
      <c r="AA1640" s="77"/>
      <c r="AB1640" s="77"/>
      <c r="AC1640" s="80" t="s">
        <v>10558</v>
      </c>
      <c r="AD1640" s="77" t="s">
        <v>10617</v>
      </c>
      <c r="AE1640" s="83" t="str">
        <f>HYPERLINK("https://twitter.com/leiamoneytimes/status/1671633645499478016")</f>
        <v>https://twitter.com/leiamoneytimes/status/1671633645499478016</v>
      </c>
      <c r="AF1640" s="79">
        <v>45098.901539351849</v>
      </c>
      <c r="AG1640" s="85">
        <v>45098</v>
      </c>
      <c r="AH1640" s="80" t="s">
        <v>12072</v>
      </c>
      <c r="AI1640" s="77" t="b">
        <v>0</v>
      </c>
      <c r="AJ1640" s="77"/>
      <c r="AK1640" s="77"/>
      <c r="AL1640" s="77"/>
      <c r="AM1640" s="77"/>
      <c r="AN1640" s="77"/>
      <c r="AO1640" s="77"/>
      <c r="AP1640" s="77"/>
      <c r="AQ1640" s="77"/>
      <c r="AR1640" s="77"/>
      <c r="AS1640" s="77"/>
      <c r="AT1640" s="77"/>
      <c r="AU1640" s="77"/>
      <c r="AV1640" s="83" t="str">
        <f>HYPERLINK("https://pbs.twimg.com/profile_images/1559883556846977024/bXHnQFY0_normal.jpg")</f>
        <v>https://pbs.twimg.com/profile_images/1559883556846977024/bXHnQFY0_normal.jpg</v>
      </c>
      <c r="AW1640" s="80" t="s">
        <v>17507</v>
      </c>
      <c r="AX1640" s="80" t="s">
        <v>17507</v>
      </c>
      <c r="AY1640" s="77"/>
      <c r="AZ1640" s="80" t="s">
        <v>20380</v>
      </c>
      <c r="BA1640" s="80" t="s">
        <v>20380</v>
      </c>
      <c r="BB1640" s="80" t="s">
        <v>20380</v>
      </c>
      <c r="BC1640" s="80" t="s">
        <v>17507</v>
      </c>
      <c r="BD1640" s="77">
        <v>51150679</v>
      </c>
      <c r="BE1640" s="77"/>
      <c r="BF1640" s="77"/>
      <c r="BG1640" s="77"/>
      <c r="BH1640" s="77"/>
      <c r="BI1640" s="77"/>
    </row>
    <row r="1641" spans="1:61" x14ac:dyDescent="0.25">
      <c r="A1641" s="62" t="s">
        <v>790</v>
      </c>
      <c r="B1641" s="62" t="s">
        <v>790</v>
      </c>
      <c r="C1641" s="63"/>
      <c r="D1641" s="64"/>
      <c r="E1641" s="65"/>
      <c r="F1641" s="66"/>
      <c r="G1641" s="63"/>
      <c r="H1641" s="67"/>
      <c r="I1641" s="68"/>
      <c r="J1641" s="68"/>
      <c r="K1641" s="32"/>
      <c r="L1641" s="75">
        <v>1641</v>
      </c>
      <c r="M1641" s="75"/>
      <c r="N1641" s="70"/>
      <c r="O1641" s="77" t="s">
        <v>179</v>
      </c>
      <c r="P1641" s="79">
        <v>45098.799293981479</v>
      </c>
      <c r="Q1641" s="77" t="s">
        <v>3537</v>
      </c>
      <c r="R1641" s="77">
        <v>0</v>
      </c>
      <c r="S1641" s="77">
        <v>7</v>
      </c>
      <c r="T1641" s="77">
        <v>2</v>
      </c>
      <c r="U1641" s="77">
        <v>0</v>
      </c>
      <c r="V1641" s="77">
        <v>1667</v>
      </c>
      <c r="W1641" s="80" t="s">
        <v>6953</v>
      </c>
      <c r="X1641" s="83" t="str">
        <f>HYPERLINK("https://www.moneytimes.com.br/tesouro-direto-quais-titulos-ganham-com-corte-da-selic-so-em-agosto/")</f>
        <v>https://www.moneytimes.com.br/tesouro-direto-quais-titulos-ganham-com-corte-da-selic-so-em-agosto/</v>
      </c>
      <c r="Y1641" s="77" t="s">
        <v>8611</v>
      </c>
      <c r="Z1641" s="77"/>
      <c r="AA1641" s="77"/>
      <c r="AB1641" s="77"/>
      <c r="AC1641" s="80" t="s">
        <v>10558</v>
      </c>
      <c r="AD1641" s="77" t="s">
        <v>10617</v>
      </c>
      <c r="AE1641" s="83" t="str">
        <f>HYPERLINK("https://twitter.com/leiamoneytimes/status/1671596593529643020")</f>
        <v>https://twitter.com/leiamoneytimes/status/1671596593529643020</v>
      </c>
      <c r="AF1641" s="79">
        <v>45098.799293981479</v>
      </c>
      <c r="AG1641" s="85">
        <v>45098</v>
      </c>
      <c r="AH1641" s="80" t="s">
        <v>12073</v>
      </c>
      <c r="AI1641" s="77" t="b">
        <v>0</v>
      </c>
      <c r="AJ1641" s="77"/>
      <c r="AK1641" s="77"/>
      <c r="AL1641" s="77"/>
      <c r="AM1641" s="77"/>
      <c r="AN1641" s="77"/>
      <c r="AO1641" s="77"/>
      <c r="AP1641" s="77"/>
      <c r="AQ1641" s="77"/>
      <c r="AR1641" s="77"/>
      <c r="AS1641" s="77"/>
      <c r="AT1641" s="77"/>
      <c r="AU1641" s="77"/>
      <c r="AV1641" s="83" t="str">
        <f>HYPERLINK("https://pbs.twimg.com/profile_images/1559883556846977024/bXHnQFY0_normal.jpg")</f>
        <v>https://pbs.twimg.com/profile_images/1559883556846977024/bXHnQFY0_normal.jpg</v>
      </c>
      <c r="AW1641" s="80" t="s">
        <v>17508</v>
      </c>
      <c r="AX1641" s="80" t="s">
        <v>17508</v>
      </c>
      <c r="AY1641" s="77"/>
      <c r="AZ1641" s="80" t="s">
        <v>20380</v>
      </c>
      <c r="BA1641" s="80" t="s">
        <v>20380</v>
      </c>
      <c r="BB1641" s="80" t="s">
        <v>20380</v>
      </c>
      <c r="BC1641" s="80" t="s">
        <v>17508</v>
      </c>
      <c r="BD1641" s="77">
        <v>51150679</v>
      </c>
      <c r="BE1641" s="77"/>
      <c r="BF1641" s="77"/>
      <c r="BG1641" s="77"/>
      <c r="BH1641" s="77"/>
      <c r="BI1641" s="77"/>
    </row>
    <row r="1642" spans="1:61" x14ac:dyDescent="0.25">
      <c r="A1642" s="62" t="s">
        <v>790</v>
      </c>
      <c r="B1642" s="62" t="s">
        <v>790</v>
      </c>
      <c r="C1642" s="63"/>
      <c r="D1642" s="64"/>
      <c r="E1642" s="65"/>
      <c r="F1642" s="66"/>
      <c r="G1642" s="63"/>
      <c r="H1642" s="67"/>
      <c r="I1642" s="68"/>
      <c r="J1642" s="68"/>
      <c r="K1642" s="32"/>
      <c r="L1642" s="75">
        <v>1642</v>
      </c>
      <c r="M1642" s="75"/>
      <c r="N1642" s="70"/>
      <c r="O1642" s="77" t="s">
        <v>179</v>
      </c>
      <c r="P1642" s="79">
        <v>45098.726724537039</v>
      </c>
      <c r="Q1642" s="77" t="s">
        <v>3538</v>
      </c>
      <c r="R1642" s="77">
        <v>1</v>
      </c>
      <c r="S1642" s="77">
        <v>3</v>
      </c>
      <c r="T1642" s="77">
        <v>1</v>
      </c>
      <c r="U1642" s="77">
        <v>0</v>
      </c>
      <c r="V1642" s="77">
        <v>1122</v>
      </c>
      <c r="W1642" s="80" t="s">
        <v>7000</v>
      </c>
      <c r="X1642" s="83" t="str">
        <f>HYPERLINK("https://www.moneytimes.com.br/selic-a-1375-quanto-rende-ate-r-10-mil-no-tesouro-selic-cdb-a-110-do-cdi-e-poupanca/")</f>
        <v>https://www.moneytimes.com.br/selic-a-1375-quanto-rende-ate-r-10-mil-no-tesouro-selic-cdb-a-110-do-cdi-e-poupanca/</v>
      </c>
      <c r="Y1642" s="77" t="s">
        <v>8611</v>
      </c>
      <c r="Z1642" s="77"/>
      <c r="AA1642" s="77"/>
      <c r="AB1642" s="77"/>
      <c r="AC1642" s="80" t="s">
        <v>10558</v>
      </c>
      <c r="AD1642" s="77" t="s">
        <v>10617</v>
      </c>
      <c r="AE1642" s="83" t="str">
        <f>HYPERLINK("https://twitter.com/leiamoneytimes/status/1671570295767826450")</f>
        <v>https://twitter.com/leiamoneytimes/status/1671570295767826450</v>
      </c>
      <c r="AF1642" s="79">
        <v>45098.726724537039</v>
      </c>
      <c r="AG1642" s="85">
        <v>45098</v>
      </c>
      <c r="AH1642" s="80" t="s">
        <v>12074</v>
      </c>
      <c r="AI1642" s="77" t="b">
        <v>0</v>
      </c>
      <c r="AJ1642" s="77"/>
      <c r="AK1642" s="77"/>
      <c r="AL1642" s="77"/>
      <c r="AM1642" s="77"/>
      <c r="AN1642" s="77"/>
      <c r="AO1642" s="77"/>
      <c r="AP1642" s="77"/>
      <c r="AQ1642" s="77"/>
      <c r="AR1642" s="77"/>
      <c r="AS1642" s="77"/>
      <c r="AT1642" s="77"/>
      <c r="AU1642" s="77"/>
      <c r="AV1642" s="83" t="str">
        <f>HYPERLINK("https://pbs.twimg.com/profile_images/1559883556846977024/bXHnQFY0_normal.jpg")</f>
        <v>https://pbs.twimg.com/profile_images/1559883556846977024/bXHnQFY0_normal.jpg</v>
      </c>
      <c r="AW1642" s="80" t="s">
        <v>17509</v>
      </c>
      <c r="AX1642" s="80" t="s">
        <v>17509</v>
      </c>
      <c r="AY1642" s="77"/>
      <c r="AZ1642" s="80" t="s">
        <v>20380</v>
      </c>
      <c r="BA1642" s="80" t="s">
        <v>20380</v>
      </c>
      <c r="BB1642" s="80" t="s">
        <v>20380</v>
      </c>
      <c r="BC1642" s="80" t="s">
        <v>17509</v>
      </c>
      <c r="BD1642" s="77">
        <v>51150679</v>
      </c>
      <c r="BE1642" s="77"/>
      <c r="BF1642" s="77"/>
      <c r="BG1642" s="77"/>
      <c r="BH1642" s="77"/>
      <c r="BI1642" s="77"/>
    </row>
    <row r="1643" spans="1:61" x14ac:dyDescent="0.25">
      <c r="A1643" s="62" t="s">
        <v>790</v>
      </c>
      <c r="B1643" s="62" t="s">
        <v>790</v>
      </c>
      <c r="C1643" s="63"/>
      <c r="D1643" s="64"/>
      <c r="E1643" s="65"/>
      <c r="F1643" s="66"/>
      <c r="G1643" s="63"/>
      <c r="H1643" s="67"/>
      <c r="I1643" s="68"/>
      <c r="J1643" s="68"/>
      <c r="K1643" s="32"/>
      <c r="L1643" s="75">
        <v>1643</v>
      </c>
      <c r="M1643" s="75"/>
      <c r="N1643" s="70"/>
      <c r="O1643" s="77" t="s">
        <v>179</v>
      </c>
      <c r="P1643" s="79">
        <v>45079.513414351852</v>
      </c>
      <c r="Q1643" s="77" t="s">
        <v>3539</v>
      </c>
      <c r="R1643" s="77">
        <v>0</v>
      </c>
      <c r="S1643" s="77">
        <v>1</v>
      </c>
      <c r="T1643" s="77">
        <v>0</v>
      </c>
      <c r="U1643" s="77">
        <v>0</v>
      </c>
      <c r="V1643" s="77">
        <v>916</v>
      </c>
      <c r="W1643" s="80" t="s">
        <v>6966</v>
      </c>
      <c r="X1643" s="83" t="str">
        <f>HYPERLINK("https://www.moneytimes.com.br/dolar-recua-frente-ao-real-com-suspensao-do-teto-da-divida-dos-eua-e-antes-de-dados-de-emprego/")</f>
        <v>https://www.moneytimes.com.br/dolar-recua-frente-ao-real-com-suspensao-do-teto-da-divida-dos-eua-e-antes-de-dados-de-emprego/</v>
      </c>
      <c r="Y1643" s="77" t="s">
        <v>8611</v>
      </c>
      <c r="Z1643" s="77"/>
      <c r="AA1643" s="77"/>
      <c r="AB1643" s="77"/>
      <c r="AC1643" s="80" t="s">
        <v>10558</v>
      </c>
      <c r="AD1643" s="77" t="s">
        <v>10617</v>
      </c>
      <c r="AE1643" s="83" t="str">
        <f>HYPERLINK("https://twitter.com/leiamoneytimes/status/1664607626049495040")</f>
        <v>https://twitter.com/leiamoneytimes/status/1664607626049495040</v>
      </c>
      <c r="AF1643" s="79">
        <v>45079.513414351852</v>
      </c>
      <c r="AG1643" s="85">
        <v>45079</v>
      </c>
      <c r="AH1643" s="80" t="s">
        <v>12075</v>
      </c>
      <c r="AI1643" s="77" t="b">
        <v>0</v>
      </c>
      <c r="AJ1643" s="77"/>
      <c r="AK1643" s="77"/>
      <c r="AL1643" s="77"/>
      <c r="AM1643" s="77"/>
      <c r="AN1643" s="77"/>
      <c r="AO1643" s="77"/>
      <c r="AP1643" s="77"/>
      <c r="AQ1643" s="77"/>
      <c r="AR1643" s="77"/>
      <c r="AS1643" s="77"/>
      <c r="AT1643" s="77"/>
      <c r="AU1643" s="77"/>
      <c r="AV1643" s="83" t="str">
        <f>HYPERLINK("https://pbs.twimg.com/profile_images/1559883556846977024/bXHnQFY0_normal.jpg")</f>
        <v>https://pbs.twimg.com/profile_images/1559883556846977024/bXHnQFY0_normal.jpg</v>
      </c>
      <c r="AW1643" s="80" t="s">
        <v>17510</v>
      </c>
      <c r="AX1643" s="80" t="s">
        <v>17510</v>
      </c>
      <c r="AY1643" s="77"/>
      <c r="AZ1643" s="80" t="s">
        <v>20380</v>
      </c>
      <c r="BA1643" s="80" t="s">
        <v>20380</v>
      </c>
      <c r="BB1643" s="80" t="s">
        <v>20380</v>
      </c>
      <c r="BC1643" s="80" t="s">
        <v>17510</v>
      </c>
      <c r="BD1643" s="77">
        <v>51150679</v>
      </c>
      <c r="BE1643" s="77"/>
      <c r="BF1643" s="77"/>
      <c r="BG1643" s="77"/>
      <c r="BH1643" s="77"/>
      <c r="BI1643" s="77"/>
    </row>
    <row r="1644" spans="1:61" x14ac:dyDescent="0.25">
      <c r="A1644" s="62" t="s">
        <v>790</v>
      </c>
      <c r="B1644" s="62" t="s">
        <v>790</v>
      </c>
      <c r="C1644" s="63"/>
      <c r="D1644" s="64"/>
      <c r="E1644" s="65"/>
      <c r="F1644" s="66"/>
      <c r="G1644" s="63"/>
      <c r="H1644" s="67"/>
      <c r="I1644" s="68"/>
      <c r="J1644" s="68"/>
      <c r="K1644" s="32"/>
      <c r="L1644" s="75">
        <v>1644</v>
      </c>
      <c r="M1644" s="75"/>
      <c r="N1644" s="70"/>
      <c r="O1644" s="77" t="s">
        <v>179</v>
      </c>
      <c r="P1644" s="79">
        <v>45078.799166666664</v>
      </c>
      <c r="Q1644" s="77" t="s">
        <v>3540</v>
      </c>
      <c r="R1644" s="77">
        <v>0</v>
      </c>
      <c r="S1644" s="77">
        <v>1</v>
      </c>
      <c r="T1644" s="77">
        <v>0</v>
      </c>
      <c r="U1644" s="77">
        <v>0</v>
      </c>
      <c r="V1644" s="77">
        <v>950</v>
      </c>
      <c r="W1644" s="80" t="s">
        <v>6931</v>
      </c>
      <c r="X1644" s="83" t="str">
        <f>HYPERLINK("https://www.moneytimes.com.br/municao-contra-o-banco-central-ministros-de-lula-aproveitam-alta-do-pib-para-pesar-na-selic/")</f>
        <v>https://www.moneytimes.com.br/municao-contra-o-banco-central-ministros-de-lula-aproveitam-alta-do-pib-para-pesar-na-selic/</v>
      </c>
      <c r="Y1644" s="77" t="s">
        <v>8611</v>
      </c>
      <c r="Z1644" s="77"/>
      <c r="AA1644" s="77"/>
      <c r="AB1644" s="77"/>
      <c r="AC1644" s="80" t="s">
        <v>10558</v>
      </c>
      <c r="AD1644" s="77" t="s">
        <v>10617</v>
      </c>
      <c r="AE1644" s="83" t="str">
        <f>HYPERLINK("https://twitter.com/leiamoneytimes/status/1664348790143188992")</f>
        <v>https://twitter.com/leiamoneytimes/status/1664348790143188992</v>
      </c>
      <c r="AF1644" s="79">
        <v>45078.799166666664</v>
      </c>
      <c r="AG1644" s="85">
        <v>45078</v>
      </c>
      <c r="AH1644" s="80" t="s">
        <v>12076</v>
      </c>
      <c r="AI1644" s="77" t="b">
        <v>0</v>
      </c>
      <c r="AJ1644" s="77"/>
      <c r="AK1644" s="77"/>
      <c r="AL1644" s="77"/>
      <c r="AM1644" s="77"/>
      <c r="AN1644" s="77"/>
      <c r="AO1644" s="77"/>
      <c r="AP1644" s="77"/>
      <c r="AQ1644" s="77"/>
      <c r="AR1644" s="77"/>
      <c r="AS1644" s="77"/>
      <c r="AT1644" s="77"/>
      <c r="AU1644" s="77"/>
      <c r="AV1644" s="83" t="str">
        <f>HYPERLINK("https://pbs.twimg.com/profile_images/1559883556846977024/bXHnQFY0_normal.jpg")</f>
        <v>https://pbs.twimg.com/profile_images/1559883556846977024/bXHnQFY0_normal.jpg</v>
      </c>
      <c r="AW1644" s="80" t="s">
        <v>17511</v>
      </c>
      <c r="AX1644" s="80" t="s">
        <v>17511</v>
      </c>
      <c r="AY1644" s="77"/>
      <c r="AZ1644" s="80" t="s">
        <v>20380</v>
      </c>
      <c r="BA1644" s="80" t="s">
        <v>20380</v>
      </c>
      <c r="BB1644" s="80" t="s">
        <v>20380</v>
      </c>
      <c r="BC1644" s="80" t="s">
        <v>17511</v>
      </c>
      <c r="BD1644" s="77">
        <v>51150679</v>
      </c>
      <c r="BE1644" s="77"/>
      <c r="BF1644" s="77"/>
      <c r="BG1644" s="77"/>
      <c r="BH1644" s="77"/>
      <c r="BI1644" s="77"/>
    </row>
    <row r="1645" spans="1:61" x14ac:dyDescent="0.25">
      <c r="A1645" s="62" t="s">
        <v>790</v>
      </c>
      <c r="B1645" s="62" t="s">
        <v>790</v>
      </c>
      <c r="C1645" s="63"/>
      <c r="D1645" s="64"/>
      <c r="E1645" s="65"/>
      <c r="F1645" s="66"/>
      <c r="G1645" s="63"/>
      <c r="H1645" s="67"/>
      <c r="I1645" s="68"/>
      <c r="J1645" s="68"/>
      <c r="K1645" s="32"/>
      <c r="L1645" s="75">
        <v>1645</v>
      </c>
      <c r="M1645" s="75"/>
      <c r="N1645" s="70"/>
      <c r="O1645" s="77" t="s">
        <v>179</v>
      </c>
      <c r="P1645" s="79">
        <v>45078.794490740744</v>
      </c>
      <c r="Q1645" s="77" t="s">
        <v>3541</v>
      </c>
      <c r="R1645" s="77">
        <v>1</v>
      </c>
      <c r="S1645" s="77">
        <v>1</v>
      </c>
      <c r="T1645" s="77">
        <v>0</v>
      </c>
      <c r="U1645" s="77">
        <v>0</v>
      </c>
      <c r="V1645" s="77">
        <v>1013</v>
      </c>
      <c r="W1645" s="80" t="s">
        <v>7001</v>
      </c>
      <c r="X1645" s="83" t="str">
        <f>HYPERLINK("https://www.moneytimes.com.br/caiu-no-golpe-do-pix-veja-o-que-fazer-para-ter-o-seu-dinheiro-de-volta/")</f>
        <v>https://www.moneytimes.com.br/caiu-no-golpe-do-pix-veja-o-que-fazer-para-ter-o-seu-dinheiro-de-volta/</v>
      </c>
      <c r="Y1645" s="77" t="s">
        <v>8611</v>
      </c>
      <c r="Z1645" s="77"/>
      <c r="AA1645" s="77"/>
      <c r="AB1645" s="77"/>
      <c r="AC1645" s="80" t="s">
        <v>10558</v>
      </c>
      <c r="AD1645" s="77" t="s">
        <v>10617</v>
      </c>
      <c r="AE1645" s="83" t="str">
        <f>HYPERLINK("https://twitter.com/leiamoneytimes/status/1664347098018357257")</f>
        <v>https://twitter.com/leiamoneytimes/status/1664347098018357257</v>
      </c>
      <c r="AF1645" s="79">
        <v>45078.794490740744</v>
      </c>
      <c r="AG1645" s="85">
        <v>45078</v>
      </c>
      <c r="AH1645" s="80" t="s">
        <v>12077</v>
      </c>
      <c r="AI1645" s="77" t="b">
        <v>0</v>
      </c>
      <c r="AJ1645" s="77"/>
      <c r="AK1645" s="77"/>
      <c r="AL1645" s="77"/>
      <c r="AM1645" s="77"/>
      <c r="AN1645" s="77"/>
      <c r="AO1645" s="77"/>
      <c r="AP1645" s="77"/>
      <c r="AQ1645" s="77"/>
      <c r="AR1645" s="77"/>
      <c r="AS1645" s="77"/>
      <c r="AT1645" s="77"/>
      <c r="AU1645" s="77"/>
      <c r="AV1645" s="83" t="str">
        <f>HYPERLINK("https://pbs.twimg.com/profile_images/1559883556846977024/bXHnQFY0_normal.jpg")</f>
        <v>https://pbs.twimg.com/profile_images/1559883556846977024/bXHnQFY0_normal.jpg</v>
      </c>
      <c r="AW1645" s="80" t="s">
        <v>17512</v>
      </c>
      <c r="AX1645" s="80" t="s">
        <v>17512</v>
      </c>
      <c r="AY1645" s="77"/>
      <c r="AZ1645" s="80" t="s">
        <v>20380</v>
      </c>
      <c r="BA1645" s="80" t="s">
        <v>20380</v>
      </c>
      <c r="BB1645" s="80" t="s">
        <v>20380</v>
      </c>
      <c r="BC1645" s="80" t="s">
        <v>17512</v>
      </c>
      <c r="BD1645" s="77">
        <v>51150679</v>
      </c>
      <c r="BE1645" s="77"/>
      <c r="BF1645" s="77"/>
      <c r="BG1645" s="77"/>
      <c r="BH1645" s="77"/>
      <c r="BI1645" s="77"/>
    </row>
    <row r="1646" spans="1:61" x14ac:dyDescent="0.25">
      <c r="A1646" s="62" t="s">
        <v>790</v>
      </c>
      <c r="B1646" s="62" t="s">
        <v>790</v>
      </c>
      <c r="C1646" s="63"/>
      <c r="D1646" s="64"/>
      <c r="E1646" s="65"/>
      <c r="F1646" s="66"/>
      <c r="G1646" s="63"/>
      <c r="H1646" s="67"/>
      <c r="I1646" s="68"/>
      <c r="J1646" s="68"/>
      <c r="K1646" s="32"/>
      <c r="L1646" s="75">
        <v>1646</v>
      </c>
      <c r="M1646" s="75"/>
      <c r="N1646" s="70"/>
      <c r="O1646" s="77" t="s">
        <v>179</v>
      </c>
      <c r="P1646" s="79">
        <v>45078.513124999998</v>
      </c>
      <c r="Q1646" s="77" t="s">
        <v>3542</v>
      </c>
      <c r="R1646" s="77">
        <v>0</v>
      </c>
      <c r="S1646" s="77">
        <v>4</v>
      </c>
      <c r="T1646" s="77">
        <v>0</v>
      </c>
      <c r="U1646" s="77">
        <v>0</v>
      </c>
      <c r="V1646" s="77">
        <v>1117</v>
      </c>
      <c r="W1646" s="80" t="s">
        <v>7002</v>
      </c>
      <c r="X1646" s="83" t="str">
        <f>HYPERLINK("https://www.moneytimes.com.br/dolar-recua-com-otimismo-sobre-teto-da-divida-dos-eua-mercado-digere-pib-acima-do-esperado/")</f>
        <v>https://www.moneytimes.com.br/dolar-recua-com-otimismo-sobre-teto-da-divida-dos-eua-mercado-digere-pib-acima-do-esperado/</v>
      </c>
      <c r="Y1646" s="77" t="s">
        <v>8611</v>
      </c>
      <c r="Z1646" s="77"/>
      <c r="AA1646" s="77"/>
      <c r="AB1646" s="77"/>
      <c r="AC1646" s="80" t="s">
        <v>10558</v>
      </c>
      <c r="AD1646" s="77" t="s">
        <v>10617</v>
      </c>
      <c r="AE1646" s="83" t="str">
        <f>HYPERLINK("https://twitter.com/leiamoneytimes/status/1664245134328725504")</f>
        <v>https://twitter.com/leiamoneytimes/status/1664245134328725504</v>
      </c>
      <c r="AF1646" s="79">
        <v>45078.513124999998</v>
      </c>
      <c r="AG1646" s="85">
        <v>45078</v>
      </c>
      <c r="AH1646" s="80" t="s">
        <v>12078</v>
      </c>
      <c r="AI1646" s="77" t="b">
        <v>0</v>
      </c>
      <c r="AJ1646" s="77"/>
      <c r="AK1646" s="77"/>
      <c r="AL1646" s="77"/>
      <c r="AM1646" s="77"/>
      <c r="AN1646" s="77"/>
      <c r="AO1646" s="77"/>
      <c r="AP1646" s="77"/>
      <c r="AQ1646" s="77"/>
      <c r="AR1646" s="77"/>
      <c r="AS1646" s="77"/>
      <c r="AT1646" s="77"/>
      <c r="AU1646" s="77"/>
      <c r="AV1646" s="83" t="str">
        <f>HYPERLINK("https://pbs.twimg.com/profile_images/1559883556846977024/bXHnQFY0_normal.jpg")</f>
        <v>https://pbs.twimg.com/profile_images/1559883556846977024/bXHnQFY0_normal.jpg</v>
      </c>
      <c r="AW1646" s="80" t="s">
        <v>17513</v>
      </c>
      <c r="AX1646" s="80" t="s">
        <v>17513</v>
      </c>
      <c r="AY1646" s="77"/>
      <c r="AZ1646" s="80" t="s">
        <v>20380</v>
      </c>
      <c r="BA1646" s="80" t="s">
        <v>20380</v>
      </c>
      <c r="BB1646" s="80" t="s">
        <v>20380</v>
      </c>
      <c r="BC1646" s="80" t="s">
        <v>17513</v>
      </c>
      <c r="BD1646" s="77">
        <v>51150679</v>
      </c>
      <c r="BE1646" s="77"/>
      <c r="BF1646" s="77"/>
      <c r="BG1646" s="77"/>
      <c r="BH1646" s="77"/>
      <c r="BI1646" s="77"/>
    </row>
    <row r="1647" spans="1:61" x14ac:dyDescent="0.25">
      <c r="A1647" s="62" t="s">
        <v>790</v>
      </c>
      <c r="B1647" s="62" t="s">
        <v>790</v>
      </c>
      <c r="C1647" s="63"/>
      <c r="D1647" s="64"/>
      <c r="E1647" s="65"/>
      <c r="F1647" s="66"/>
      <c r="G1647" s="63"/>
      <c r="H1647" s="67"/>
      <c r="I1647" s="68"/>
      <c r="J1647" s="68"/>
      <c r="K1647" s="32"/>
      <c r="L1647" s="75">
        <v>1647</v>
      </c>
      <c r="M1647" s="75"/>
      <c r="N1647" s="70"/>
      <c r="O1647" s="77" t="s">
        <v>179</v>
      </c>
      <c r="P1647" s="79">
        <v>45077.794745370367</v>
      </c>
      <c r="Q1647" s="77" t="s">
        <v>3543</v>
      </c>
      <c r="R1647" s="77">
        <v>0</v>
      </c>
      <c r="S1647" s="77">
        <v>7</v>
      </c>
      <c r="T1647" s="77">
        <v>0</v>
      </c>
      <c r="U1647" s="77">
        <v>0</v>
      </c>
      <c r="V1647" s="77">
        <v>1148</v>
      </c>
      <c r="W1647" s="80" t="s">
        <v>7003</v>
      </c>
      <c r="X1647" s="83" t="str">
        <f>HYPERLINK("https://www.moneytimes.com.br/o-que-leva-o-dolar-a-disparar-ao-maior-valor-em-dois-meses/")</f>
        <v>https://www.moneytimes.com.br/o-que-leva-o-dolar-a-disparar-ao-maior-valor-em-dois-meses/</v>
      </c>
      <c r="Y1647" s="77" t="s">
        <v>8611</v>
      </c>
      <c r="Z1647" s="77"/>
      <c r="AA1647" s="77"/>
      <c r="AB1647" s="77"/>
      <c r="AC1647" s="80" t="s">
        <v>10558</v>
      </c>
      <c r="AD1647" s="77" t="s">
        <v>10617</v>
      </c>
      <c r="AE1647" s="83" t="str">
        <f>HYPERLINK("https://twitter.com/leiamoneytimes/status/1663984800435408896")</f>
        <v>https://twitter.com/leiamoneytimes/status/1663984800435408896</v>
      </c>
      <c r="AF1647" s="79">
        <v>45077.794745370367</v>
      </c>
      <c r="AG1647" s="85">
        <v>45077</v>
      </c>
      <c r="AH1647" s="80" t="s">
        <v>12079</v>
      </c>
      <c r="AI1647" s="77" t="b">
        <v>0</v>
      </c>
      <c r="AJ1647" s="77"/>
      <c r="AK1647" s="77"/>
      <c r="AL1647" s="77"/>
      <c r="AM1647" s="77"/>
      <c r="AN1647" s="77"/>
      <c r="AO1647" s="77"/>
      <c r="AP1647" s="77"/>
      <c r="AQ1647" s="77"/>
      <c r="AR1647" s="77"/>
      <c r="AS1647" s="77"/>
      <c r="AT1647" s="77"/>
      <c r="AU1647" s="77"/>
      <c r="AV1647" s="83" t="str">
        <f>HYPERLINK("https://pbs.twimg.com/profile_images/1559883556846977024/bXHnQFY0_normal.jpg")</f>
        <v>https://pbs.twimg.com/profile_images/1559883556846977024/bXHnQFY0_normal.jpg</v>
      </c>
      <c r="AW1647" s="80" t="s">
        <v>17514</v>
      </c>
      <c r="AX1647" s="80" t="s">
        <v>17514</v>
      </c>
      <c r="AY1647" s="77"/>
      <c r="AZ1647" s="80" t="s">
        <v>20380</v>
      </c>
      <c r="BA1647" s="80" t="s">
        <v>20380</v>
      </c>
      <c r="BB1647" s="80" t="s">
        <v>20380</v>
      </c>
      <c r="BC1647" s="80" t="s">
        <v>17514</v>
      </c>
      <c r="BD1647" s="77">
        <v>51150679</v>
      </c>
      <c r="BE1647" s="77"/>
      <c r="BF1647" s="77"/>
      <c r="BG1647" s="77"/>
      <c r="BH1647" s="77"/>
      <c r="BI1647" s="77"/>
    </row>
    <row r="1648" spans="1:61" x14ac:dyDescent="0.25">
      <c r="A1648" s="62" t="s">
        <v>790</v>
      </c>
      <c r="B1648" s="62" t="s">
        <v>790</v>
      </c>
      <c r="C1648" s="63"/>
      <c r="D1648" s="64"/>
      <c r="E1648" s="65"/>
      <c r="F1648" s="66"/>
      <c r="G1648" s="63"/>
      <c r="H1648" s="67"/>
      <c r="I1648" s="68"/>
      <c r="J1648" s="68"/>
      <c r="K1648" s="32"/>
      <c r="L1648" s="75">
        <v>1648</v>
      </c>
      <c r="M1648" s="75"/>
      <c r="N1648" s="70"/>
      <c r="O1648" s="77" t="s">
        <v>179</v>
      </c>
      <c r="P1648" s="79">
        <v>45077.749583333331</v>
      </c>
      <c r="Q1648" s="77" t="s">
        <v>3544</v>
      </c>
      <c r="R1648" s="77">
        <v>0</v>
      </c>
      <c r="S1648" s="77">
        <v>4</v>
      </c>
      <c r="T1648" s="77">
        <v>0</v>
      </c>
      <c r="U1648" s="77">
        <v>0</v>
      </c>
      <c r="V1648" s="77">
        <v>1090</v>
      </c>
      <c r="W1648" s="80" t="s">
        <v>6931</v>
      </c>
      <c r="X1648" s="83" t="str">
        <f>HYPERLINK("https://www.moneytimes.com.br/selic-abaixo-de-1375-em-agosto-mercado-e-governo-estao-desalinhados-sobre-cortes-na-taxa-de-juros/")</f>
        <v>https://www.moneytimes.com.br/selic-abaixo-de-1375-em-agosto-mercado-e-governo-estao-desalinhados-sobre-cortes-na-taxa-de-juros/</v>
      </c>
      <c r="Y1648" s="77" t="s">
        <v>8611</v>
      </c>
      <c r="Z1648" s="77"/>
      <c r="AA1648" s="77"/>
      <c r="AB1648" s="77"/>
      <c r="AC1648" s="80" t="s">
        <v>10558</v>
      </c>
      <c r="AD1648" s="77" t="s">
        <v>10617</v>
      </c>
      <c r="AE1648" s="83" t="str">
        <f>HYPERLINK("https://twitter.com/leiamoneytimes/status/1663968433602428930")</f>
        <v>https://twitter.com/leiamoneytimes/status/1663968433602428930</v>
      </c>
      <c r="AF1648" s="79">
        <v>45077.749583333331</v>
      </c>
      <c r="AG1648" s="85">
        <v>45077</v>
      </c>
      <c r="AH1648" s="80" t="s">
        <v>12080</v>
      </c>
      <c r="AI1648" s="77" t="b">
        <v>0</v>
      </c>
      <c r="AJ1648" s="77"/>
      <c r="AK1648" s="77"/>
      <c r="AL1648" s="77"/>
      <c r="AM1648" s="77"/>
      <c r="AN1648" s="77"/>
      <c r="AO1648" s="77"/>
      <c r="AP1648" s="77"/>
      <c r="AQ1648" s="77"/>
      <c r="AR1648" s="77"/>
      <c r="AS1648" s="77"/>
      <c r="AT1648" s="77"/>
      <c r="AU1648" s="77"/>
      <c r="AV1648" s="83" t="str">
        <f>HYPERLINK("https://pbs.twimg.com/profile_images/1559883556846977024/bXHnQFY0_normal.jpg")</f>
        <v>https://pbs.twimg.com/profile_images/1559883556846977024/bXHnQFY0_normal.jpg</v>
      </c>
      <c r="AW1648" s="80" t="s">
        <v>17515</v>
      </c>
      <c r="AX1648" s="80" t="s">
        <v>17515</v>
      </c>
      <c r="AY1648" s="77"/>
      <c r="AZ1648" s="80" t="s">
        <v>20380</v>
      </c>
      <c r="BA1648" s="80" t="s">
        <v>20380</v>
      </c>
      <c r="BB1648" s="80" t="s">
        <v>20380</v>
      </c>
      <c r="BC1648" s="80" t="s">
        <v>17515</v>
      </c>
      <c r="BD1648" s="77">
        <v>51150679</v>
      </c>
      <c r="BE1648" s="77"/>
      <c r="BF1648" s="77"/>
      <c r="BG1648" s="77"/>
      <c r="BH1648" s="77"/>
      <c r="BI1648" s="77"/>
    </row>
    <row r="1649" spans="1:61" x14ac:dyDescent="0.25">
      <c r="A1649" s="62" t="s">
        <v>790</v>
      </c>
      <c r="B1649" s="62" t="s">
        <v>790</v>
      </c>
      <c r="C1649" s="63"/>
      <c r="D1649" s="64"/>
      <c r="E1649" s="65"/>
      <c r="F1649" s="66"/>
      <c r="G1649" s="63"/>
      <c r="H1649" s="67"/>
      <c r="I1649" s="68"/>
      <c r="J1649" s="68"/>
      <c r="K1649" s="32"/>
      <c r="L1649" s="75">
        <v>1649</v>
      </c>
      <c r="M1649" s="75"/>
      <c r="N1649" s="70"/>
      <c r="O1649" s="77" t="s">
        <v>179</v>
      </c>
      <c r="P1649" s="79">
        <v>45077.748680555553</v>
      </c>
      <c r="Q1649" s="77" t="s">
        <v>3545</v>
      </c>
      <c r="R1649" s="77">
        <v>0</v>
      </c>
      <c r="S1649" s="77">
        <v>2</v>
      </c>
      <c r="T1649" s="77">
        <v>0</v>
      </c>
      <c r="U1649" s="77">
        <v>0</v>
      </c>
      <c r="V1649" s="77">
        <v>907</v>
      </c>
      <c r="W1649" s="80" t="s">
        <v>7004</v>
      </c>
      <c r="X1649" s="83" t="str">
        <f>HYPERLINK("https://www.moneytimes.com.br/brasil-tem-fluxo-cambial-negativo-de-us-2925-bi-em-maio-ate-dia-26-diz-bc/")</f>
        <v>https://www.moneytimes.com.br/brasil-tem-fluxo-cambial-negativo-de-us-2925-bi-em-maio-ate-dia-26-diz-bc/</v>
      </c>
      <c r="Y1649" s="77" t="s">
        <v>8611</v>
      </c>
      <c r="Z1649" s="77"/>
      <c r="AA1649" s="77"/>
      <c r="AB1649" s="77"/>
      <c r="AC1649" s="80" t="s">
        <v>10558</v>
      </c>
      <c r="AD1649" s="77" t="s">
        <v>10617</v>
      </c>
      <c r="AE1649" s="83" t="str">
        <f>HYPERLINK("https://twitter.com/leiamoneytimes/status/1663968105947709440")</f>
        <v>https://twitter.com/leiamoneytimes/status/1663968105947709440</v>
      </c>
      <c r="AF1649" s="79">
        <v>45077.748680555553</v>
      </c>
      <c r="AG1649" s="85">
        <v>45077</v>
      </c>
      <c r="AH1649" s="80" t="s">
        <v>12081</v>
      </c>
      <c r="AI1649" s="77" t="b">
        <v>0</v>
      </c>
      <c r="AJ1649" s="77"/>
      <c r="AK1649" s="77"/>
      <c r="AL1649" s="77"/>
      <c r="AM1649" s="77"/>
      <c r="AN1649" s="77"/>
      <c r="AO1649" s="77"/>
      <c r="AP1649" s="77"/>
      <c r="AQ1649" s="77"/>
      <c r="AR1649" s="77"/>
      <c r="AS1649" s="77"/>
      <c r="AT1649" s="77"/>
      <c r="AU1649" s="77"/>
      <c r="AV1649" s="83" t="str">
        <f>HYPERLINK("https://pbs.twimg.com/profile_images/1559883556846977024/bXHnQFY0_normal.jpg")</f>
        <v>https://pbs.twimg.com/profile_images/1559883556846977024/bXHnQFY0_normal.jpg</v>
      </c>
      <c r="AW1649" s="80" t="s">
        <v>17516</v>
      </c>
      <c r="AX1649" s="80" t="s">
        <v>17516</v>
      </c>
      <c r="AY1649" s="77"/>
      <c r="AZ1649" s="80" t="s">
        <v>20380</v>
      </c>
      <c r="BA1649" s="80" t="s">
        <v>20380</v>
      </c>
      <c r="BB1649" s="80" t="s">
        <v>20380</v>
      </c>
      <c r="BC1649" s="80" t="s">
        <v>17516</v>
      </c>
      <c r="BD1649" s="77">
        <v>51150679</v>
      </c>
      <c r="BE1649" s="77"/>
      <c r="BF1649" s="77"/>
      <c r="BG1649" s="77"/>
      <c r="BH1649" s="77"/>
      <c r="BI1649" s="77"/>
    </row>
    <row r="1650" spans="1:61" x14ac:dyDescent="0.25">
      <c r="A1650" s="62" t="s">
        <v>790</v>
      </c>
      <c r="B1650" s="62" t="s">
        <v>790</v>
      </c>
      <c r="C1650" s="63"/>
      <c r="D1650" s="64"/>
      <c r="E1650" s="65"/>
      <c r="F1650" s="66"/>
      <c r="G1650" s="63"/>
      <c r="H1650" s="67"/>
      <c r="I1650" s="68"/>
      <c r="J1650" s="68"/>
      <c r="K1650" s="32"/>
      <c r="L1650" s="75">
        <v>1650</v>
      </c>
      <c r="M1650" s="75"/>
      <c r="N1650" s="70"/>
      <c r="O1650" s="77" t="s">
        <v>179</v>
      </c>
      <c r="P1650" s="79">
        <v>45077.639988425923</v>
      </c>
      <c r="Q1650" s="77" t="s">
        <v>3546</v>
      </c>
      <c r="R1650" s="77">
        <v>0</v>
      </c>
      <c r="S1650" s="77">
        <v>1</v>
      </c>
      <c r="T1650" s="77">
        <v>0</v>
      </c>
      <c r="U1650" s="77">
        <v>0</v>
      </c>
      <c r="V1650" s="77">
        <v>1080</v>
      </c>
      <c r="W1650" s="80" t="s">
        <v>7005</v>
      </c>
      <c r="X1650" s="83" t="str">
        <f>HYPERLINK("https://www.moneytimes.com.br/ibovespa-ibov-afunda-em-ultimo-pregao-do-mes-junto-com-wall-street-veja-os-indicadores-desta-quarta-31/")</f>
        <v>https://www.moneytimes.com.br/ibovespa-ibov-afunda-em-ultimo-pregao-do-mes-junto-com-wall-street-veja-os-indicadores-desta-quarta-31/</v>
      </c>
      <c r="Y1650" s="77" t="s">
        <v>8611</v>
      </c>
      <c r="Z1650" s="77"/>
      <c r="AA1650" s="77"/>
      <c r="AB1650" s="77"/>
      <c r="AC1650" s="80" t="s">
        <v>10558</v>
      </c>
      <c r="AD1650" s="77" t="s">
        <v>10617</v>
      </c>
      <c r="AE1650" s="83" t="str">
        <f>HYPERLINK("https://twitter.com/leiamoneytimes/status/1663928720443207682")</f>
        <v>https://twitter.com/leiamoneytimes/status/1663928720443207682</v>
      </c>
      <c r="AF1650" s="79">
        <v>45077.639988425923</v>
      </c>
      <c r="AG1650" s="85">
        <v>45077</v>
      </c>
      <c r="AH1650" s="80" t="s">
        <v>12082</v>
      </c>
      <c r="AI1650" s="77" t="b">
        <v>0</v>
      </c>
      <c r="AJ1650" s="77"/>
      <c r="AK1650" s="77"/>
      <c r="AL1650" s="77"/>
      <c r="AM1650" s="77"/>
      <c r="AN1650" s="77"/>
      <c r="AO1650" s="77"/>
      <c r="AP1650" s="77"/>
      <c r="AQ1650" s="77"/>
      <c r="AR1650" s="77"/>
      <c r="AS1650" s="77"/>
      <c r="AT1650" s="77"/>
      <c r="AU1650" s="77"/>
      <c r="AV1650" s="83" t="str">
        <f>HYPERLINK("https://pbs.twimg.com/profile_images/1559883556846977024/bXHnQFY0_normal.jpg")</f>
        <v>https://pbs.twimg.com/profile_images/1559883556846977024/bXHnQFY0_normal.jpg</v>
      </c>
      <c r="AW1650" s="80" t="s">
        <v>17517</v>
      </c>
      <c r="AX1650" s="80" t="s">
        <v>17517</v>
      </c>
      <c r="AY1650" s="77"/>
      <c r="AZ1650" s="80" t="s">
        <v>20380</v>
      </c>
      <c r="BA1650" s="80" t="s">
        <v>20380</v>
      </c>
      <c r="BB1650" s="80" t="s">
        <v>20380</v>
      </c>
      <c r="BC1650" s="80" t="s">
        <v>17517</v>
      </c>
      <c r="BD1650" s="77">
        <v>51150679</v>
      </c>
      <c r="BE1650" s="77"/>
      <c r="BF1650" s="77"/>
      <c r="BG1650" s="77"/>
      <c r="BH1650" s="77"/>
      <c r="BI1650" s="77"/>
    </row>
    <row r="1651" spans="1:61" x14ac:dyDescent="0.25">
      <c r="A1651" s="62" t="s">
        <v>790</v>
      </c>
      <c r="B1651" s="62" t="s">
        <v>790</v>
      </c>
      <c r="C1651" s="63"/>
      <c r="D1651" s="64"/>
      <c r="E1651" s="65"/>
      <c r="F1651" s="66"/>
      <c r="G1651" s="63"/>
      <c r="H1651" s="67"/>
      <c r="I1651" s="68"/>
      <c r="J1651" s="68"/>
      <c r="K1651" s="32"/>
      <c r="L1651" s="75">
        <v>1651</v>
      </c>
      <c r="M1651" s="75"/>
      <c r="N1651" s="70"/>
      <c r="O1651" s="77" t="s">
        <v>179</v>
      </c>
      <c r="P1651" s="79">
        <v>45077.513483796298</v>
      </c>
      <c r="Q1651" s="77" t="s">
        <v>3547</v>
      </c>
      <c r="R1651" s="77">
        <v>0</v>
      </c>
      <c r="S1651" s="77">
        <v>4</v>
      </c>
      <c r="T1651" s="77">
        <v>0</v>
      </c>
      <c r="U1651" s="77">
        <v>0</v>
      </c>
      <c r="V1651" s="77">
        <v>1008</v>
      </c>
      <c r="W1651" s="80" t="s">
        <v>6931</v>
      </c>
      <c r="X1651" s="83" t="str">
        <f>HYPERLINK("https://www.moneytimes.com.br/bc-ve-desaceleracao-do-credito-compativel-com-politica-monetaria-e-cita-sistema-financeiro-resiliente/")</f>
        <v>https://www.moneytimes.com.br/bc-ve-desaceleracao-do-credito-compativel-com-politica-monetaria-e-cita-sistema-financeiro-resiliente/</v>
      </c>
      <c r="Y1651" s="77" t="s">
        <v>8611</v>
      </c>
      <c r="Z1651" s="77"/>
      <c r="AA1651" s="77"/>
      <c r="AB1651" s="77"/>
      <c r="AC1651" s="80" t="s">
        <v>10558</v>
      </c>
      <c r="AD1651" s="77" t="s">
        <v>10617</v>
      </c>
      <c r="AE1651" s="83" t="str">
        <f>HYPERLINK("https://twitter.com/leiamoneytimes/status/1663882874385231872")</f>
        <v>https://twitter.com/leiamoneytimes/status/1663882874385231872</v>
      </c>
      <c r="AF1651" s="79">
        <v>45077.513483796298</v>
      </c>
      <c r="AG1651" s="85">
        <v>45077</v>
      </c>
      <c r="AH1651" s="80" t="s">
        <v>12083</v>
      </c>
      <c r="AI1651" s="77" t="b">
        <v>0</v>
      </c>
      <c r="AJ1651" s="77"/>
      <c r="AK1651" s="77"/>
      <c r="AL1651" s="77"/>
      <c r="AM1651" s="77"/>
      <c r="AN1651" s="77"/>
      <c r="AO1651" s="77"/>
      <c r="AP1651" s="77"/>
      <c r="AQ1651" s="77"/>
      <c r="AR1651" s="77"/>
      <c r="AS1651" s="77"/>
      <c r="AT1651" s="77"/>
      <c r="AU1651" s="77"/>
      <c r="AV1651" s="83" t="str">
        <f>HYPERLINK("https://pbs.twimg.com/profile_images/1559883556846977024/bXHnQFY0_normal.jpg")</f>
        <v>https://pbs.twimg.com/profile_images/1559883556846977024/bXHnQFY0_normal.jpg</v>
      </c>
      <c r="AW1651" s="80" t="s">
        <v>17518</v>
      </c>
      <c r="AX1651" s="80" t="s">
        <v>17518</v>
      </c>
      <c r="AY1651" s="77"/>
      <c r="AZ1651" s="80" t="s">
        <v>20380</v>
      </c>
      <c r="BA1651" s="80" t="s">
        <v>20380</v>
      </c>
      <c r="BB1651" s="80" t="s">
        <v>20380</v>
      </c>
      <c r="BC1651" s="80" t="s">
        <v>17518</v>
      </c>
      <c r="BD1651" s="77">
        <v>51150679</v>
      </c>
      <c r="BE1651" s="77"/>
      <c r="BF1651" s="77"/>
      <c r="BG1651" s="77"/>
      <c r="BH1651" s="77"/>
      <c r="BI1651" s="77"/>
    </row>
    <row r="1652" spans="1:61" x14ac:dyDescent="0.25">
      <c r="A1652" s="62" t="s">
        <v>790</v>
      </c>
      <c r="B1652" s="62" t="s">
        <v>790</v>
      </c>
      <c r="C1652" s="63"/>
      <c r="D1652" s="64"/>
      <c r="E1652" s="65"/>
      <c r="F1652" s="66"/>
      <c r="G1652" s="63"/>
      <c r="H1652" s="67"/>
      <c r="I1652" s="68"/>
      <c r="J1652" s="68"/>
      <c r="K1652" s="32"/>
      <c r="L1652" s="75">
        <v>1652</v>
      </c>
      <c r="M1652" s="75"/>
      <c r="N1652" s="70"/>
      <c r="O1652" s="77" t="s">
        <v>179</v>
      </c>
      <c r="P1652" s="79">
        <v>45076.578182870369</v>
      </c>
      <c r="Q1652" s="77" t="s">
        <v>3548</v>
      </c>
      <c r="R1652" s="77">
        <v>0</v>
      </c>
      <c r="S1652" s="77">
        <v>4</v>
      </c>
      <c r="T1652" s="77">
        <v>0</v>
      </c>
      <c r="U1652" s="77">
        <v>0</v>
      </c>
      <c r="V1652" s="77">
        <v>1079</v>
      </c>
      <c r="W1652" s="80" t="s">
        <v>6940</v>
      </c>
      <c r="X1652" s="83" t="str">
        <f>HYPERLINK("https://www.moneytimes.com.br/fim-da-selic-a-1375-o-que-esta-levando-campos-neto-e-o-mercado-a-reduzirem-as-projecoes-de-inflacao/")</f>
        <v>https://www.moneytimes.com.br/fim-da-selic-a-1375-o-que-esta-levando-campos-neto-e-o-mercado-a-reduzirem-as-projecoes-de-inflacao/</v>
      </c>
      <c r="Y1652" s="77" t="s">
        <v>8611</v>
      </c>
      <c r="Z1652" s="77"/>
      <c r="AA1652" s="77"/>
      <c r="AB1652" s="77"/>
      <c r="AC1652" s="80" t="s">
        <v>10558</v>
      </c>
      <c r="AD1652" s="77" t="s">
        <v>10617</v>
      </c>
      <c r="AE1652" s="83" t="str">
        <f>HYPERLINK("https://twitter.com/leiamoneytimes/status/1663543932578328576")</f>
        <v>https://twitter.com/leiamoneytimes/status/1663543932578328576</v>
      </c>
      <c r="AF1652" s="79">
        <v>45076.578182870369</v>
      </c>
      <c r="AG1652" s="85">
        <v>45076</v>
      </c>
      <c r="AH1652" s="80" t="s">
        <v>12084</v>
      </c>
      <c r="AI1652" s="77" t="b">
        <v>0</v>
      </c>
      <c r="AJ1652" s="77"/>
      <c r="AK1652" s="77"/>
      <c r="AL1652" s="77"/>
      <c r="AM1652" s="77"/>
      <c r="AN1652" s="77"/>
      <c r="AO1652" s="77"/>
      <c r="AP1652" s="77"/>
      <c r="AQ1652" s="77"/>
      <c r="AR1652" s="77"/>
      <c r="AS1652" s="77"/>
      <c r="AT1652" s="77"/>
      <c r="AU1652" s="77"/>
      <c r="AV1652" s="83" t="str">
        <f>HYPERLINK("https://pbs.twimg.com/profile_images/1559883556846977024/bXHnQFY0_normal.jpg")</f>
        <v>https://pbs.twimg.com/profile_images/1559883556846977024/bXHnQFY0_normal.jpg</v>
      </c>
      <c r="AW1652" s="80" t="s">
        <v>17519</v>
      </c>
      <c r="AX1652" s="80" t="s">
        <v>17519</v>
      </c>
      <c r="AY1652" s="77"/>
      <c r="AZ1652" s="80" t="s">
        <v>20380</v>
      </c>
      <c r="BA1652" s="80" t="s">
        <v>20380</v>
      </c>
      <c r="BB1652" s="80" t="s">
        <v>20380</v>
      </c>
      <c r="BC1652" s="80" t="s">
        <v>17519</v>
      </c>
      <c r="BD1652" s="77">
        <v>51150679</v>
      </c>
      <c r="BE1652" s="77"/>
      <c r="BF1652" s="77"/>
      <c r="BG1652" s="77"/>
      <c r="BH1652" s="77"/>
      <c r="BI1652" s="77"/>
    </row>
    <row r="1653" spans="1:61" x14ac:dyDescent="0.25">
      <c r="A1653" s="62" t="s">
        <v>790</v>
      </c>
      <c r="B1653" s="62" t="s">
        <v>790</v>
      </c>
      <c r="C1653" s="63"/>
      <c r="D1653" s="64"/>
      <c r="E1653" s="65"/>
      <c r="F1653" s="66"/>
      <c r="G1653" s="63"/>
      <c r="H1653" s="67"/>
      <c r="I1653" s="68"/>
      <c r="J1653" s="68"/>
      <c r="K1653" s="32"/>
      <c r="L1653" s="75">
        <v>1653</v>
      </c>
      <c r="M1653" s="75"/>
      <c r="N1653" s="70"/>
      <c r="O1653" s="77" t="s">
        <v>179</v>
      </c>
      <c r="P1653" s="79">
        <v>45076.549849537034</v>
      </c>
      <c r="Q1653" s="77" t="s">
        <v>3549</v>
      </c>
      <c r="R1653" s="77">
        <v>0</v>
      </c>
      <c r="S1653" s="77">
        <v>1</v>
      </c>
      <c r="T1653" s="77">
        <v>1</v>
      </c>
      <c r="U1653" s="77">
        <v>0</v>
      </c>
      <c r="V1653" s="77">
        <v>950</v>
      </c>
      <c r="W1653" s="80" t="s">
        <v>7006</v>
      </c>
      <c r="X1653" s="83" t="str">
        <f>HYPERLINK("https://www.moneytimes.com.br/ibovespa-ibov-tenta-alta-nesta-terca-30-junto-com-ny/")</f>
        <v>https://www.moneytimes.com.br/ibovespa-ibov-tenta-alta-nesta-terca-30-junto-com-ny/</v>
      </c>
      <c r="Y1653" s="77" t="s">
        <v>8611</v>
      </c>
      <c r="Z1653" s="77"/>
      <c r="AA1653" s="77"/>
      <c r="AB1653" s="77"/>
      <c r="AC1653" s="80" t="s">
        <v>10558</v>
      </c>
      <c r="AD1653" s="77" t="s">
        <v>10617</v>
      </c>
      <c r="AE1653" s="83" t="str">
        <f>HYPERLINK("https://twitter.com/leiamoneytimes/status/1663533666075652096")</f>
        <v>https://twitter.com/leiamoneytimes/status/1663533666075652096</v>
      </c>
      <c r="AF1653" s="79">
        <v>45076.549849537034</v>
      </c>
      <c r="AG1653" s="85">
        <v>45076</v>
      </c>
      <c r="AH1653" s="80" t="s">
        <v>12085</v>
      </c>
      <c r="AI1653" s="77" t="b">
        <v>0</v>
      </c>
      <c r="AJ1653" s="77"/>
      <c r="AK1653" s="77"/>
      <c r="AL1653" s="77"/>
      <c r="AM1653" s="77"/>
      <c r="AN1653" s="77"/>
      <c r="AO1653" s="77"/>
      <c r="AP1653" s="77"/>
      <c r="AQ1653" s="77"/>
      <c r="AR1653" s="77"/>
      <c r="AS1653" s="77"/>
      <c r="AT1653" s="77"/>
      <c r="AU1653" s="77"/>
      <c r="AV1653" s="83" t="str">
        <f>HYPERLINK("https://pbs.twimg.com/profile_images/1559883556846977024/bXHnQFY0_normal.jpg")</f>
        <v>https://pbs.twimg.com/profile_images/1559883556846977024/bXHnQFY0_normal.jpg</v>
      </c>
      <c r="AW1653" s="80" t="s">
        <v>17520</v>
      </c>
      <c r="AX1653" s="80" t="s">
        <v>17520</v>
      </c>
      <c r="AY1653" s="77"/>
      <c r="AZ1653" s="80" t="s">
        <v>20380</v>
      </c>
      <c r="BA1653" s="80" t="s">
        <v>20380</v>
      </c>
      <c r="BB1653" s="80" t="s">
        <v>20380</v>
      </c>
      <c r="BC1653" s="80" t="s">
        <v>17520</v>
      </c>
      <c r="BD1653" s="77">
        <v>51150679</v>
      </c>
      <c r="BE1653" s="77"/>
      <c r="BF1653" s="77"/>
      <c r="BG1653" s="77"/>
      <c r="BH1653" s="77"/>
      <c r="BI1653" s="77"/>
    </row>
    <row r="1654" spans="1:61" x14ac:dyDescent="0.25">
      <c r="A1654" s="62" t="s">
        <v>790</v>
      </c>
      <c r="B1654" s="62" t="s">
        <v>790</v>
      </c>
      <c r="C1654" s="63"/>
      <c r="D1654" s="64"/>
      <c r="E1654" s="65"/>
      <c r="F1654" s="66"/>
      <c r="G1654" s="63"/>
      <c r="H1654" s="67"/>
      <c r="I1654" s="68"/>
      <c r="J1654" s="68"/>
      <c r="K1654" s="32"/>
      <c r="L1654" s="75">
        <v>1654</v>
      </c>
      <c r="M1654" s="75"/>
      <c r="N1654" s="70"/>
      <c r="O1654" s="77" t="s">
        <v>179</v>
      </c>
      <c r="P1654" s="79">
        <v>45076.483599537038</v>
      </c>
      <c r="Q1654" s="77" t="s">
        <v>3550</v>
      </c>
      <c r="R1654" s="77">
        <v>0</v>
      </c>
      <c r="S1654" s="77">
        <v>10</v>
      </c>
      <c r="T1654" s="77">
        <v>0</v>
      </c>
      <c r="U1654" s="77">
        <v>0</v>
      </c>
      <c r="V1654" s="77">
        <v>1398</v>
      </c>
      <c r="W1654" s="80" t="s">
        <v>6927</v>
      </c>
      <c r="X1654" s="83" t="str">
        <f>HYPERLINK("https://www.moneytimes.com.br/campos-neto-admite-melhora-na-inflacao-e-projeta-continuidade-nas-quedas-veja-o-que-movimenta-a-terca-30/")</f>
        <v>https://www.moneytimes.com.br/campos-neto-admite-melhora-na-inflacao-e-projeta-continuidade-nas-quedas-veja-o-que-movimenta-a-terca-30/</v>
      </c>
      <c r="Y1654" s="77" t="s">
        <v>8611</v>
      </c>
      <c r="Z1654" s="77"/>
      <c r="AA1654" s="77"/>
      <c r="AB1654" s="77"/>
      <c r="AC1654" s="80" t="s">
        <v>10558</v>
      </c>
      <c r="AD1654" s="77" t="s">
        <v>10617</v>
      </c>
      <c r="AE1654" s="83" t="str">
        <f>HYPERLINK("https://twitter.com/leiamoneytimes/status/1663509657804046343")</f>
        <v>https://twitter.com/leiamoneytimes/status/1663509657804046343</v>
      </c>
      <c r="AF1654" s="79">
        <v>45076.483599537038</v>
      </c>
      <c r="AG1654" s="85">
        <v>45076</v>
      </c>
      <c r="AH1654" s="80" t="s">
        <v>12086</v>
      </c>
      <c r="AI1654" s="77" t="b">
        <v>0</v>
      </c>
      <c r="AJ1654" s="77"/>
      <c r="AK1654" s="77"/>
      <c r="AL1654" s="77"/>
      <c r="AM1654" s="77"/>
      <c r="AN1654" s="77"/>
      <c r="AO1654" s="77"/>
      <c r="AP1654" s="77"/>
      <c r="AQ1654" s="77"/>
      <c r="AR1654" s="77"/>
      <c r="AS1654" s="77"/>
      <c r="AT1654" s="77"/>
      <c r="AU1654" s="77"/>
      <c r="AV1654" s="83" t="str">
        <f>HYPERLINK("https://pbs.twimg.com/profile_images/1559883556846977024/bXHnQFY0_normal.jpg")</f>
        <v>https://pbs.twimg.com/profile_images/1559883556846977024/bXHnQFY0_normal.jpg</v>
      </c>
      <c r="AW1654" s="80" t="s">
        <v>17521</v>
      </c>
      <c r="AX1654" s="80" t="s">
        <v>17521</v>
      </c>
      <c r="AY1654" s="77"/>
      <c r="AZ1654" s="80" t="s">
        <v>20380</v>
      </c>
      <c r="BA1654" s="80" t="s">
        <v>20380</v>
      </c>
      <c r="BB1654" s="80" t="s">
        <v>20380</v>
      </c>
      <c r="BC1654" s="80" t="s">
        <v>17521</v>
      </c>
      <c r="BD1654" s="77">
        <v>51150679</v>
      </c>
      <c r="BE1654" s="77"/>
      <c r="BF1654" s="77"/>
      <c r="BG1654" s="77"/>
      <c r="BH1654" s="77"/>
      <c r="BI1654" s="77"/>
    </row>
    <row r="1655" spans="1:61" x14ac:dyDescent="0.25">
      <c r="A1655" s="62" t="s">
        <v>790</v>
      </c>
      <c r="B1655" s="62" t="s">
        <v>790</v>
      </c>
      <c r="C1655" s="63"/>
      <c r="D1655" s="64"/>
      <c r="E1655" s="65"/>
      <c r="F1655" s="66"/>
      <c r="G1655" s="63"/>
      <c r="H1655" s="67"/>
      <c r="I1655" s="68"/>
      <c r="J1655" s="68"/>
      <c r="K1655" s="32"/>
      <c r="L1655" s="75">
        <v>1655</v>
      </c>
      <c r="M1655" s="75"/>
      <c r="N1655" s="70"/>
      <c r="O1655" s="77" t="s">
        <v>179</v>
      </c>
      <c r="P1655" s="79">
        <v>45076.446527777778</v>
      </c>
      <c r="Q1655" s="77" t="s">
        <v>3551</v>
      </c>
      <c r="R1655" s="77">
        <v>0</v>
      </c>
      <c r="S1655" s="77">
        <v>1</v>
      </c>
      <c r="T1655" s="77">
        <v>1</v>
      </c>
      <c r="U1655" s="77">
        <v>0</v>
      </c>
      <c r="V1655" s="77">
        <v>1200</v>
      </c>
      <c r="W1655" s="80" t="s">
        <v>7007</v>
      </c>
      <c r="X1655" s="83" t="str">
        <f>HYPERLINK("https://www.moneytimes.com.br/ibovespa-ibov-deve-ter-sessao-mais-animada-nesta-terca-feira-30-veja-o-que-esperar-para-o-dia/")</f>
        <v>https://www.moneytimes.com.br/ibovespa-ibov-deve-ter-sessao-mais-animada-nesta-terca-feira-30-veja-o-que-esperar-para-o-dia/</v>
      </c>
      <c r="Y1655" s="77" t="s">
        <v>8611</v>
      </c>
      <c r="Z1655" s="77"/>
      <c r="AA1655" s="77"/>
      <c r="AB1655" s="77"/>
      <c r="AC1655" s="80" t="s">
        <v>10558</v>
      </c>
      <c r="AD1655" s="77" t="s">
        <v>10617</v>
      </c>
      <c r="AE1655" s="83" t="str">
        <f>HYPERLINK("https://twitter.com/leiamoneytimes/status/1663496223163142144")</f>
        <v>https://twitter.com/leiamoneytimes/status/1663496223163142144</v>
      </c>
      <c r="AF1655" s="79">
        <v>45076.446527777778</v>
      </c>
      <c r="AG1655" s="85">
        <v>45076</v>
      </c>
      <c r="AH1655" s="80" t="s">
        <v>11280</v>
      </c>
      <c r="AI1655" s="77" t="b">
        <v>0</v>
      </c>
      <c r="AJ1655" s="77"/>
      <c r="AK1655" s="77"/>
      <c r="AL1655" s="77"/>
      <c r="AM1655" s="77"/>
      <c r="AN1655" s="77"/>
      <c r="AO1655" s="77"/>
      <c r="AP1655" s="77"/>
      <c r="AQ1655" s="77"/>
      <c r="AR1655" s="77"/>
      <c r="AS1655" s="77"/>
      <c r="AT1655" s="77"/>
      <c r="AU1655" s="77"/>
      <c r="AV1655" s="83" t="str">
        <f>HYPERLINK("https://pbs.twimg.com/profile_images/1559883556846977024/bXHnQFY0_normal.jpg")</f>
        <v>https://pbs.twimg.com/profile_images/1559883556846977024/bXHnQFY0_normal.jpg</v>
      </c>
      <c r="AW1655" s="80" t="s">
        <v>17522</v>
      </c>
      <c r="AX1655" s="80" t="s">
        <v>17522</v>
      </c>
      <c r="AY1655" s="77"/>
      <c r="AZ1655" s="80" t="s">
        <v>20380</v>
      </c>
      <c r="BA1655" s="80" t="s">
        <v>20380</v>
      </c>
      <c r="BB1655" s="80" t="s">
        <v>20380</v>
      </c>
      <c r="BC1655" s="80" t="s">
        <v>17522</v>
      </c>
      <c r="BD1655" s="77">
        <v>51150679</v>
      </c>
      <c r="BE1655" s="77"/>
      <c r="BF1655" s="77"/>
      <c r="BG1655" s="77"/>
      <c r="BH1655" s="77"/>
      <c r="BI1655" s="77"/>
    </row>
    <row r="1656" spans="1:61" x14ac:dyDescent="0.25">
      <c r="A1656" s="62" t="s">
        <v>790</v>
      </c>
      <c r="B1656" s="62" t="s">
        <v>790</v>
      </c>
      <c r="C1656" s="63"/>
      <c r="D1656" s="64"/>
      <c r="E1656" s="65"/>
      <c r="F1656" s="66"/>
      <c r="G1656" s="63"/>
      <c r="H1656" s="67"/>
      <c r="I1656" s="68"/>
      <c r="J1656" s="68"/>
      <c r="K1656" s="32"/>
      <c r="L1656" s="75">
        <v>1656</v>
      </c>
      <c r="M1656" s="75"/>
      <c r="N1656" s="70"/>
      <c r="O1656" s="77" t="s">
        <v>179</v>
      </c>
      <c r="P1656" s="79">
        <v>45075.72446759259</v>
      </c>
      <c r="Q1656" s="77" t="s">
        <v>3552</v>
      </c>
      <c r="R1656" s="77">
        <v>0</v>
      </c>
      <c r="S1656" s="77">
        <v>2</v>
      </c>
      <c r="T1656" s="77">
        <v>0</v>
      </c>
      <c r="U1656" s="77">
        <v>0</v>
      </c>
      <c r="V1656" s="77">
        <v>1074</v>
      </c>
      <c r="W1656" s="80" t="s">
        <v>7008</v>
      </c>
      <c r="X1656" s="83" t="str">
        <f>HYPERLINK("https://www.moneytimes.com.br/cartao-de-credito-uso-cresce-30-entre-2019-e-2022/")</f>
        <v>https://www.moneytimes.com.br/cartao-de-credito-uso-cresce-30-entre-2019-e-2022/</v>
      </c>
      <c r="Y1656" s="77" t="s">
        <v>8611</v>
      </c>
      <c r="Z1656" s="77"/>
      <c r="AA1656" s="77"/>
      <c r="AB1656" s="77"/>
      <c r="AC1656" s="80" t="s">
        <v>10558</v>
      </c>
      <c r="AD1656" s="77" t="s">
        <v>10617</v>
      </c>
      <c r="AE1656" s="83" t="str">
        <f>HYPERLINK("https://twitter.com/leiamoneytimes/status/1663234558970544151")</f>
        <v>https://twitter.com/leiamoneytimes/status/1663234558970544151</v>
      </c>
      <c r="AF1656" s="79">
        <v>45075.72446759259</v>
      </c>
      <c r="AG1656" s="85">
        <v>45075</v>
      </c>
      <c r="AH1656" s="80" t="s">
        <v>12087</v>
      </c>
      <c r="AI1656" s="77" t="b">
        <v>0</v>
      </c>
      <c r="AJ1656" s="77"/>
      <c r="AK1656" s="77"/>
      <c r="AL1656" s="77"/>
      <c r="AM1656" s="77"/>
      <c r="AN1656" s="77"/>
      <c r="AO1656" s="77"/>
      <c r="AP1656" s="77"/>
      <c r="AQ1656" s="77"/>
      <c r="AR1656" s="77"/>
      <c r="AS1656" s="77"/>
      <c r="AT1656" s="77"/>
      <c r="AU1656" s="77"/>
      <c r="AV1656" s="83" t="str">
        <f>HYPERLINK("https://pbs.twimg.com/profile_images/1559883556846977024/bXHnQFY0_normal.jpg")</f>
        <v>https://pbs.twimg.com/profile_images/1559883556846977024/bXHnQFY0_normal.jpg</v>
      </c>
      <c r="AW1656" s="80" t="s">
        <v>17523</v>
      </c>
      <c r="AX1656" s="80" t="s">
        <v>17523</v>
      </c>
      <c r="AY1656" s="77"/>
      <c r="AZ1656" s="80" t="s">
        <v>20380</v>
      </c>
      <c r="BA1656" s="80" t="s">
        <v>20380</v>
      </c>
      <c r="BB1656" s="80" t="s">
        <v>20380</v>
      </c>
      <c r="BC1656" s="80" t="s">
        <v>17523</v>
      </c>
      <c r="BD1656" s="77">
        <v>51150679</v>
      </c>
      <c r="BE1656" s="77"/>
      <c r="BF1656" s="77"/>
      <c r="BG1656" s="77"/>
      <c r="BH1656" s="77"/>
      <c r="BI1656" s="77"/>
    </row>
    <row r="1657" spans="1:61" x14ac:dyDescent="0.25">
      <c r="A1657" s="62" t="s">
        <v>790</v>
      </c>
      <c r="B1657" s="62" t="s">
        <v>790</v>
      </c>
      <c r="C1657" s="63"/>
      <c r="D1657" s="64"/>
      <c r="E1657" s="65"/>
      <c r="F1657" s="66"/>
      <c r="G1657" s="63"/>
      <c r="H1657" s="67"/>
      <c r="I1657" s="68"/>
      <c r="J1657" s="68"/>
      <c r="K1657" s="32"/>
      <c r="L1657" s="75">
        <v>1657</v>
      </c>
      <c r="M1657" s="75"/>
      <c r="N1657" s="70"/>
      <c r="O1657" s="77" t="s">
        <v>179</v>
      </c>
      <c r="P1657" s="79">
        <v>45075.542453703703</v>
      </c>
      <c r="Q1657" s="77" t="s">
        <v>3553</v>
      </c>
      <c r="R1657" s="77">
        <v>0</v>
      </c>
      <c r="S1657" s="77">
        <v>6</v>
      </c>
      <c r="T1657" s="77">
        <v>0</v>
      </c>
      <c r="U1657" s="77">
        <v>0</v>
      </c>
      <c r="V1657" s="77">
        <v>1639</v>
      </c>
      <c r="W1657" s="80" t="s">
        <v>7009</v>
      </c>
      <c r="X1657" s="83" t="str">
        <f>HYPERLINK("https://www.moneytimes.com.br/mercado-financeiro-brasileiro-vai-mudar-de-maneira-radical-saiba-por-que/")</f>
        <v>https://www.moneytimes.com.br/mercado-financeiro-brasileiro-vai-mudar-de-maneira-radical-saiba-por-que/</v>
      </c>
      <c r="Y1657" s="77" t="s">
        <v>8611</v>
      </c>
      <c r="Z1657" s="77"/>
      <c r="AA1657" s="77"/>
      <c r="AB1657" s="77"/>
      <c r="AC1657" s="80" t="s">
        <v>10558</v>
      </c>
      <c r="AD1657" s="77" t="s">
        <v>10617</v>
      </c>
      <c r="AE1657" s="83" t="str">
        <f>HYPERLINK("https://twitter.com/leiamoneytimes/status/1663168595587678210")</f>
        <v>https://twitter.com/leiamoneytimes/status/1663168595587678210</v>
      </c>
      <c r="AF1657" s="79">
        <v>45075.542453703703</v>
      </c>
      <c r="AG1657" s="85">
        <v>45075</v>
      </c>
      <c r="AH1657" s="80" t="s">
        <v>11979</v>
      </c>
      <c r="AI1657" s="77" t="b">
        <v>0</v>
      </c>
      <c r="AJ1657" s="77"/>
      <c r="AK1657" s="77"/>
      <c r="AL1657" s="77"/>
      <c r="AM1657" s="77"/>
      <c r="AN1657" s="77"/>
      <c r="AO1657" s="77"/>
      <c r="AP1657" s="77"/>
      <c r="AQ1657" s="77"/>
      <c r="AR1657" s="77"/>
      <c r="AS1657" s="77"/>
      <c r="AT1657" s="77"/>
      <c r="AU1657" s="77"/>
      <c r="AV1657" s="83" t="str">
        <f>HYPERLINK("https://pbs.twimg.com/profile_images/1559883556846977024/bXHnQFY0_normal.jpg")</f>
        <v>https://pbs.twimg.com/profile_images/1559883556846977024/bXHnQFY0_normal.jpg</v>
      </c>
      <c r="AW1657" s="80" t="s">
        <v>17524</v>
      </c>
      <c r="AX1657" s="80" t="s">
        <v>17524</v>
      </c>
      <c r="AY1657" s="77"/>
      <c r="AZ1657" s="80" t="s">
        <v>20380</v>
      </c>
      <c r="BA1657" s="80" t="s">
        <v>20380</v>
      </c>
      <c r="BB1657" s="80" t="s">
        <v>20380</v>
      </c>
      <c r="BC1657" s="80" t="s">
        <v>17524</v>
      </c>
      <c r="BD1657" s="77">
        <v>51150679</v>
      </c>
      <c r="BE1657" s="77"/>
      <c r="BF1657" s="77"/>
      <c r="BG1657" s="77"/>
      <c r="BH1657" s="77"/>
      <c r="BI1657" s="77"/>
    </row>
    <row r="1658" spans="1:61" x14ac:dyDescent="0.25">
      <c r="A1658" s="62" t="s">
        <v>790</v>
      </c>
      <c r="B1658" s="62" t="s">
        <v>790</v>
      </c>
      <c r="C1658" s="63"/>
      <c r="D1658" s="64"/>
      <c r="E1658" s="65"/>
      <c r="F1658" s="66"/>
      <c r="G1658" s="63"/>
      <c r="H1658" s="67"/>
      <c r="I1658" s="68"/>
      <c r="J1658" s="68"/>
      <c r="K1658" s="32"/>
      <c r="L1658" s="75">
        <v>1658</v>
      </c>
      <c r="M1658" s="75"/>
      <c r="N1658" s="70"/>
      <c r="O1658" s="77" t="s">
        <v>179</v>
      </c>
      <c r="P1658" s="79">
        <v>45075.541944444441</v>
      </c>
      <c r="Q1658" s="77" t="s">
        <v>3554</v>
      </c>
      <c r="R1658" s="77">
        <v>1</v>
      </c>
      <c r="S1658" s="77">
        <v>11</v>
      </c>
      <c r="T1658" s="77">
        <v>1</v>
      </c>
      <c r="U1658" s="77">
        <v>1</v>
      </c>
      <c r="V1658" s="77">
        <v>1941</v>
      </c>
      <c r="W1658" s="80" t="s">
        <v>7010</v>
      </c>
      <c r="X1658" s="83" t="str">
        <f>HYPERLINK("https://www.moneytimes.com.br/shein-shopee-e-aliexpress-taxacao-afugenta-compradores-e-brasileiros-reduzem-compras-no-exterior/")</f>
        <v>https://www.moneytimes.com.br/shein-shopee-e-aliexpress-taxacao-afugenta-compradores-e-brasileiros-reduzem-compras-no-exterior/</v>
      </c>
      <c r="Y1658" s="77" t="s">
        <v>8611</v>
      </c>
      <c r="Z1658" s="77"/>
      <c r="AA1658" s="77"/>
      <c r="AB1658" s="77"/>
      <c r="AC1658" s="80" t="s">
        <v>10558</v>
      </c>
      <c r="AD1658" s="77" t="s">
        <v>10617</v>
      </c>
      <c r="AE1658" s="83" t="str">
        <f>HYPERLINK("https://twitter.com/leiamoneytimes/status/1663168414150537216")</f>
        <v>https://twitter.com/leiamoneytimes/status/1663168414150537216</v>
      </c>
      <c r="AF1658" s="79">
        <v>45075.541944444441</v>
      </c>
      <c r="AG1658" s="85">
        <v>45075</v>
      </c>
      <c r="AH1658" s="80" t="s">
        <v>12088</v>
      </c>
      <c r="AI1658" s="77" t="b">
        <v>0</v>
      </c>
      <c r="AJ1658" s="77"/>
      <c r="AK1658" s="77"/>
      <c r="AL1658" s="77"/>
      <c r="AM1658" s="77"/>
      <c r="AN1658" s="77"/>
      <c r="AO1658" s="77"/>
      <c r="AP1658" s="77"/>
      <c r="AQ1658" s="77"/>
      <c r="AR1658" s="77"/>
      <c r="AS1658" s="77"/>
      <c r="AT1658" s="77"/>
      <c r="AU1658" s="77"/>
      <c r="AV1658" s="83" t="str">
        <f>HYPERLINK("https://pbs.twimg.com/profile_images/1559883556846977024/bXHnQFY0_normal.jpg")</f>
        <v>https://pbs.twimg.com/profile_images/1559883556846977024/bXHnQFY0_normal.jpg</v>
      </c>
      <c r="AW1658" s="80" t="s">
        <v>17525</v>
      </c>
      <c r="AX1658" s="80" t="s">
        <v>17525</v>
      </c>
      <c r="AY1658" s="77"/>
      <c r="AZ1658" s="80" t="s">
        <v>20380</v>
      </c>
      <c r="BA1658" s="80" t="s">
        <v>20380</v>
      </c>
      <c r="BB1658" s="80" t="s">
        <v>20380</v>
      </c>
      <c r="BC1658" s="80" t="s">
        <v>17525</v>
      </c>
      <c r="BD1658" s="77">
        <v>51150679</v>
      </c>
      <c r="BE1658" s="77"/>
      <c r="BF1658" s="77"/>
      <c r="BG1658" s="77"/>
      <c r="BH1658" s="77"/>
      <c r="BI1658" s="77"/>
    </row>
    <row r="1659" spans="1:61" x14ac:dyDescent="0.25">
      <c r="A1659" s="62" t="s">
        <v>790</v>
      </c>
      <c r="B1659" s="62" t="s">
        <v>790</v>
      </c>
      <c r="C1659" s="63"/>
      <c r="D1659" s="64"/>
      <c r="E1659" s="65"/>
      <c r="F1659" s="66"/>
      <c r="G1659" s="63"/>
      <c r="H1659" s="67"/>
      <c r="I1659" s="68"/>
      <c r="J1659" s="68"/>
      <c r="K1659" s="32"/>
      <c r="L1659" s="75">
        <v>1659</v>
      </c>
      <c r="M1659" s="75"/>
      <c r="N1659" s="70"/>
      <c r="O1659" s="77" t="s">
        <v>179</v>
      </c>
      <c r="P1659" s="79">
        <v>45061.543634259258</v>
      </c>
      <c r="Q1659" s="77" t="s">
        <v>3555</v>
      </c>
      <c r="R1659" s="77">
        <v>1</v>
      </c>
      <c r="S1659" s="77">
        <v>2</v>
      </c>
      <c r="T1659" s="77">
        <v>0</v>
      </c>
      <c r="U1659" s="77">
        <v>0</v>
      </c>
      <c r="V1659" s="77">
        <v>1257</v>
      </c>
      <c r="W1659" s="80" t="s">
        <v>7011</v>
      </c>
      <c r="X1659" s="83" t="str">
        <f>HYPERLINK("https://www.moneytimes.com.br/nao-se-acostume-com-a-inflacao-e-uma-armadilha/")</f>
        <v>https://www.moneytimes.com.br/nao-se-acostume-com-a-inflacao-e-uma-armadilha/</v>
      </c>
      <c r="Y1659" s="77" t="s">
        <v>8611</v>
      </c>
      <c r="Z1659" s="77"/>
      <c r="AA1659" s="77"/>
      <c r="AB1659" s="77"/>
      <c r="AC1659" s="80" t="s">
        <v>10558</v>
      </c>
      <c r="AD1659" s="77" t="s">
        <v>10617</v>
      </c>
      <c r="AE1659" s="83" t="str">
        <f>HYPERLINK("https://twitter.com/leiamoneytimes/status/1658095595301621768")</f>
        <v>https://twitter.com/leiamoneytimes/status/1658095595301621768</v>
      </c>
      <c r="AF1659" s="79">
        <v>45061.543634259258</v>
      </c>
      <c r="AG1659" s="85">
        <v>45061</v>
      </c>
      <c r="AH1659" s="80" t="s">
        <v>12089</v>
      </c>
      <c r="AI1659" s="77" t="b">
        <v>0</v>
      </c>
      <c r="AJ1659" s="77"/>
      <c r="AK1659" s="77"/>
      <c r="AL1659" s="77"/>
      <c r="AM1659" s="77"/>
      <c r="AN1659" s="77"/>
      <c r="AO1659" s="77"/>
      <c r="AP1659" s="77"/>
      <c r="AQ1659" s="77"/>
      <c r="AR1659" s="77"/>
      <c r="AS1659" s="77"/>
      <c r="AT1659" s="77"/>
      <c r="AU1659" s="77"/>
      <c r="AV1659" s="83" t="str">
        <f>HYPERLINK("https://pbs.twimg.com/profile_images/1559883556846977024/bXHnQFY0_normal.jpg")</f>
        <v>https://pbs.twimg.com/profile_images/1559883556846977024/bXHnQFY0_normal.jpg</v>
      </c>
      <c r="AW1659" s="80" t="s">
        <v>17526</v>
      </c>
      <c r="AX1659" s="80" t="s">
        <v>17526</v>
      </c>
      <c r="AY1659" s="77"/>
      <c r="AZ1659" s="80" t="s">
        <v>20380</v>
      </c>
      <c r="BA1659" s="80" t="s">
        <v>20380</v>
      </c>
      <c r="BB1659" s="80" t="s">
        <v>20380</v>
      </c>
      <c r="BC1659" s="80" t="s">
        <v>17526</v>
      </c>
      <c r="BD1659" s="77">
        <v>51150679</v>
      </c>
      <c r="BE1659" s="77"/>
      <c r="BF1659" s="77"/>
      <c r="BG1659" s="77"/>
      <c r="BH1659" s="77"/>
      <c r="BI1659" s="77"/>
    </row>
    <row r="1660" spans="1:61" x14ac:dyDescent="0.25">
      <c r="A1660" s="62" t="s">
        <v>790</v>
      </c>
      <c r="B1660" s="62" t="s">
        <v>790</v>
      </c>
      <c r="C1660" s="63"/>
      <c r="D1660" s="64"/>
      <c r="E1660" s="65"/>
      <c r="F1660" s="66"/>
      <c r="G1660" s="63"/>
      <c r="H1660" s="67"/>
      <c r="I1660" s="68"/>
      <c r="J1660" s="68"/>
      <c r="K1660" s="32"/>
      <c r="L1660" s="75">
        <v>1660</v>
      </c>
      <c r="M1660" s="75"/>
      <c r="N1660" s="70"/>
      <c r="O1660" s="77" t="s">
        <v>179</v>
      </c>
      <c r="P1660" s="79">
        <v>45061.512430555558</v>
      </c>
      <c r="Q1660" s="77" t="s">
        <v>3556</v>
      </c>
      <c r="R1660" s="77">
        <v>0</v>
      </c>
      <c r="S1660" s="77">
        <v>6</v>
      </c>
      <c r="T1660" s="77">
        <v>0</v>
      </c>
      <c r="U1660" s="77">
        <v>0</v>
      </c>
      <c r="V1660" s="77">
        <v>1708</v>
      </c>
      <c r="W1660" s="80" t="s">
        <v>6966</v>
      </c>
      <c r="X1660" s="83" t="str">
        <f>HYPERLINK("https://www.moneytimes.com.br/dolar-acompanha-exterior-e-recua-ante-real/")</f>
        <v>https://www.moneytimes.com.br/dolar-acompanha-exterior-e-recua-ante-real/</v>
      </c>
      <c r="Y1660" s="77" t="s">
        <v>8611</v>
      </c>
      <c r="Z1660" s="77"/>
      <c r="AA1660" s="77"/>
      <c r="AB1660" s="77"/>
      <c r="AC1660" s="80" t="s">
        <v>10558</v>
      </c>
      <c r="AD1660" s="77" t="s">
        <v>10617</v>
      </c>
      <c r="AE1660" s="83" t="str">
        <f>HYPERLINK("https://twitter.com/leiamoneytimes/status/1658084286283522054")</f>
        <v>https://twitter.com/leiamoneytimes/status/1658084286283522054</v>
      </c>
      <c r="AF1660" s="79">
        <v>45061.512430555558</v>
      </c>
      <c r="AG1660" s="85">
        <v>45061</v>
      </c>
      <c r="AH1660" s="80" t="s">
        <v>12090</v>
      </c>
      <c r="AI1660" s="77" t="b">
        <v>0</v>
      </c>
      <c r="AJ1660" s="77"/>
      <c r="AK1660" s="77"/>
      <c r="AL1660" s="77"/>
      <c r="AM1660" s="77"/>
      <c r="AN1660" s="77"/>
      <c r="AO1660" s="77"/>
      <c r="AP1660" s="77"/>
      <c r="AQ1660" s="77"/>
      <c r="AR1660" s="77"/>
      <c r="AS1660" s="77"/>
      <c r="AT1660" s="77"/>
      <c r="AU1660" s="77"/>
      <c r="AV1660" s="83" t="str">
        <f>HYPERLINK("https://pbs.twimg.com/profile_images/1559883556846977024/bXHnQFY0_normal.jpg")</f>
        <v>https://pbs.twimg.com/profile_images/1559883556846977024/bXHnQFY0_normal.jpg</v>
      </c>
      <c r="AW1660" s="80" t="s">
        <v>17527</v>
      </c>
      <c r="AX1660" s="80" t="s">
        <v>17527</v>
      </c>
      <c r="AY1660" s="77"/>
      <c r="AZ1660" s="80" t="s">
        <v>20380</v>
      </c>
      <c r="BA1660" s="80" t="s">
        <v>20380</v>
      </c>
      <c r="BB1660" s="80" t="s">
        <v>20380</v>
      </c>
      <c r="BC1660" s="80" t="s">
        <v>17527</v>
      </c>
      <c r="BD1660" s="77">
        <v>51150679</v>
      </c>
      <c r="BE1660" s="77"/>
      <c r="BF1660" s="77"/>
      <c r="BG1660" s="77"/>
      <c r="BH1660" s="77"/>
      <c r="BI1660" s="77"/>
    </row>
    <row r="1661" spans="1:61" x14ac:dyDescent="0.25">
      <c r="A1661" s="62" t="s">
        <v>790</v>
      </c>
      <c r="B1661" s="62" t="s">
        <v>790</v>
      </c>
      <c r="C1661" s="63"/>
      <c r="D1661" s="64"/>
      <c r="E1661" s="65"/>
      <c r="F1661" s="66"/>
      <c r="G1661" s="63"/>
      <c r="H1661" s="67"/>
      <c r="I1661" s="68"/>
      <c r="J1661" s="68"/>
      <c r="K1661" s="32"/>
      <c r="L1661" s="75">
        <v>1661</v>
      </c>
      <c r="M1661" s="75"/>
      <c r="N1661" s="70"/>
      <c r="O1661" s="77" t="s">
        <v>179</v>
      </c>
      <c r="P1661" s="79">
        <v>45061.49459490741</v>
      </c>
      <c r="Q1661" s="77" t="s">
        <v>3557</v>
      </c>
      <c r="R1661" s="77">
        <v>0</v>
      </c>
      <c r="S1661" s="77">
        <v>4</v>
      </c>
      <c r="T1661" s="77">
        <v>0</v>
      </c>
      <c r="U1661" s="77">
        <v>0</v>
      </c>
      <c r="V1661" s="77">
        <v>1652</v>
      </c>
      <c r="W1661" s="80" t="s">
        <v>7012</v>
      </c>
      <c r="X1661" s="83" t="str">
        <f>HYPERLINK("https://www.moneytimes.com.br/projecoes-de-inflacao-sobem-apos-ata-do-copom-e-ipca-de-abril-mais-alto-que-o-esperado-confira-o-focus-desta-segunda-15/")</f>
        <v>https://www.moneytimes.com.br/projecoes-de-inflacao-sobem-apos-ata-do-copom-e-ipca-de-abril-mais-alto-que-o-esperado-confira-o-focus-desta-segunda-15/</v>
      </c>
      <c r="Y1661" s="77" t="s">
        <v>8611</v>
      </c>
      <c r="Z1661" s="77"/>
      <c r="AA1661" s="77"/>
      <c r="AB1661" s="77"/>
      <c r="AC1661" s="80" t="s">
        <v>10558</v>
      </c>
      <c r="AD1661" s="77" t="s">
        <v>10617</v>
      </c>
      <c r="AE1661" s="83" t="str">
        <f>HYPERLINK("https://twitter.com/leiamoneytimes/status/1658077822131240962")</f>
        <v>https://twitter.com/leiamoneytimes/status/1658077822131240962</v>
      </c>
      <c r="AF1661" s="79">
        <v>45061.49459490741</v>
      </c>
      <c r="AG1661" s="85">
        <v>45061</v>
      </c>
      <c r="AH1661" s="80" t="s">
        <v>12091</v>
      </c>
      <c r="AI1661" s="77" t="b">
        <v>0</v>
      </c>
      <c r="AJ1661" s="77"/>
      <c r="AK1661" s="77"/>
      <c r="AL1661" s="77"/>
      <c r="AM1661" s="77"/>
      <c r="AN1661" s="77"/>
      <c r="AO1661" s="77"/>
      <c r="AP1661" s="77"/>
      <c r="AQ1661" s="77"/>
      <c r="AR1661" s="77"/>
      <c r="AS1661" s="77"/>
      <c r="AT1661" s="77"/>
      <c r="AU1661" s="77"/>
      <c r="AV1661" s="83" t="str">
        <f>HYPERLINK("https://pbs.twimg.com/profile_images/1559883556846977024/bXHnQFY0_normal.jpg")</f>
        <v>https://pbs.twimg.com/profile_images/1559883556846977024/bXHnQFY0_normal.jpg</v>
      </c>
      <c r="AW1661" s="80" t="s">
        <v>17528</v>
      </c>
      <c r="AX1661" s="80" t="s">
        <v>17528</v>
      </c>
      <c r="AY1661" s="77"/>
      <c r="AZ1661" s="80" t="s">
        <v>20380</v>
      </c>
      <c r="BA1661" s="80" t="s">
        <v>20380</v>
      </c>
      <c r="BB1661" s="80" t="s">
        <v>20380</v>
      </c>
      <c r="BC1661" s="80" t="s">
        <v>17528</v>
      </c>
      <c r="BD1661" s="77">
        <v>51150679</v>
      </c>
      <c r="BE1661" s="77"/>
      <c r="BF1661" s="77"/>
      <c r="BG1661" s="77"/>
      <c r="BH1661" s="77"/>
      <c r="BI1661" s="77"/>
    </row>
    <row r="1662" spans="1:61" x14ac:dyDescent="0.25">
      <c r="A1662" s="62" t="s">
        <v>790</v>
      </c>
      <c r="B1662" s="62" t="s">
        <v>790</v>
      </c>
      <c r="C1662" s="63"/>
      <c r="D1662" s="64"/>
      <c r="E1662" s="65"/>
      <c r="F1662" s="66"/>
      <c r="G1662" s="63"/>
      <c r="H1662" s="67"/>
      <c r="I1662" s="68"/>
      <c r="J1662" s="68"/>
      <c r="K1662" s="32"/>
      <c r="L1662" s="75">
        <v>1662</v>
      </c>
      <c r="M1662" s="75"/>
      <c r="N1662" s="70"/>
      <c r="O1662" s="77" t="s">
        <v>179</v>
      </c>
      <c r="P1662" s="79">
        <v>45180.501400462963</v>
      </c>
      <c r="Q1662" s="77" t="s">
        <v>3558</v>
      </c>
      <c r="R1662" s="77">
        <v>0</v>
      </c>
      <c r="S1662" s="77">
        <v>3</v>
      </c>
      <c r="T1662" s="77">
        <v>1</v>
      </c>
      <c r="U1662" s="77">
        <v>0</v>
      </c>
      <c r="V1662" s="77">
        <v>947</v>
      </c>
      <c r="W1662" s="80" t="s">
        <v>7013</v>
      </c>
      <c r="X1662" s="83" t="str">
        <f>HYPERLINK("https://www.moneytimes.com.br/projecoes-de-inflacao-tem-alta-pela-2a-vez-confira-o-focus-desta-segunda-11/")</f>
        <v>https://www.moneytimes.com.br/projecoes-de-inflacao-tem-alta-pela-2a-vez-confira-o-focus-desta-segunda-11/</v>
      </c>
      <c r="Y1662" s="77" t="s">
        <v>8611</v>
      </c>
      <c r="Z1662" s="77"/>
      <c r="AA1662" s="77"/>
      <c r="AB1662" s="77"/>
      <c r="AC1662" s="80" t="s">
        <v>10558</v>
      </c>
      <c r="AD1662" s="77" t="s">
        <v>10617</v>
      </c>
      <c r="AE1662" s="83" t="str">
        <f>HYPERLINK("https://twitter.com/leiamoneytimes/status/1701204445407625656")</f>
        <v>https://twitter.com/leiamoneytimes/status/1701204445407625656</v>
      </c>
      <c r="AF1662" s="79">
        <v>45180.501400462963</v>
      </c>
      <c r="AG1662" s="85">
        <v>45180</v>
      </c>
      <c r="AH1662" s="80" t="s">
        <v>12092</v>
      </c>
      <c r="AI1662" s="77" t="b">
        <v>0</v>
      </c>
      <c r="AJ1662" s="77"/>
      <c r="AK1662" s="77"/>
      <c r="AL1662" s="77"/>
      <c r="AM1662" s="77"/>
      <c r="AN1662" s="77"/>
      <c r="AO1662" s="77"/>
      <c r="AP1662" s="77"/>
      <c r="AQ1662" s="77"/>
      <c r="AR1662" s="77"/>
      <c r="AS1662" s="77"/>
      <c r="AT1662" s="77"/>
      <c r="AU1662" s="77"/>
      <c r="AV1662" s="83" t="str">
        <f>HYPERLINK("https://pbs.twimg.com/profile_images/1559883556846977024/bXHnQFY0_normal.jpg")</f>
        <v>https://pbs.twimg.com/profile_images/1559883556846977024/bXHnQFY0_normal.jpg</v>
      </c>
      <c r="AW1662" s="80" t="s">
        <v>17529</v>
      </c>
      <c r="AX1662" s="80" t="s">
        <v>17529</v>
      </c>
      <c r="AY1662" s="77"/>
      <c r="AZ1662" s="80" t="s">
        <v>20380</v>
      </c>
      <c r="BA1662" s="80" t="s">
        <v>20380</v>
      </c>
      <c r="BB1662" s="80" t="s">
        <v>20380</v>
      </c>
      <c r="BC1662" s="80" t="s">
        <v>17529</v>
      </c>
      <c r="BD1662" s="77">
        <v>51150679</v>
      </c>
      <c r="BE1662" s="77"/>
      <c r="BF1662" s="77"/>
      <c r="BG1662" s="77"/>
      <c r="BH1662" s="77"/>
      <c r="BI1662" s="77"/>
    </row>
    <row r="1663" spans="1:61" x14ac:dyDescent="0.25">
      <c r="A1663" s="62" t="s">
        <v>790</v>
      </c>
      <c r="B1663" s="62" t="s">
        <v>790</v>
      </c>
      <c r="C1663" s="63"/>
      <c r="D1663" s="64"/>
      <c r="E1663" s="65"/>
      <c r="F1663" s="66"/>
      <c r="G1663" s="63"/>
      <c r="H1663" s="67"/>
      <c r="I1663" s="68"/>
      <c r="J1663" s="68"/>
      <c r="K1663" s="32"/>
      <c r="L1663" s="75">
        <v>1663</v>
      </c>
      <c r="M1663" s="75"/>
      <c r="N1663" s="70"/>
      <c r="O1663" s="77" t="s">
        <v>179</v>
      </c>
      <c r="P1663" s="79">
        <v>45173.636331018519</v>
      </c>
      <c r="Q1663" s="77" t="s">
        <v>3559</v>
      </c>
      <c r="R1663" s="77">
        <v>0</v>
      </c>
      <c r="S1663" s="77">
        <v>3</v>
      </c>
      <c r="T1663" s="77">
        <v>1</v>
      </c>
      <c r="U1663" s="77">
        <v>0</v>
      </c>
      <c r="V1663" s="77">
        <v>810</v>
      </c>
      <c r="W1663" s="80" t="s">
        <v>6922</v>
      </c>
      <c r="X1663" s="83" t="str">
        <f>HYPERLINK("https://www.moneytimes.com.br/pix-sem-parar-banco-central-projeta-novas-funcionalidades-para-o-meio-de-pagamento-confira/")</f>
        <v>https://www.moneytimes.com.br/pix-sem-parar-banco-central-projeta-novas-funcionalidades-para-o-meio-de-pagamento-confira/</v>
      </c>
      <c r="Y1663" s="77" t="s">
        <v>8611</v>
      </c>
      <c r="Z1663" s="77"/>
      <c r="AA1663" s="77"/>
      <c r="AB1663" s="77"/>
      <c r="AC1663" s="80" t="s">
        <v>10558</v>
      </c>
      <c r="AD1663" s="77" t="s">
        <v>10617</v>
      </c>
      <c r="AE1663" s="83" t="str">
        <f>HYPERLINK("https://twitter.com/leiamoneytimes/status/1698716626378485999")</f>
        <v>https://twitter.com/leiamoneytimes/status/1698716626378485999</v>
      </c>
      <c r="AF1663" s="79">
        <v>45173.636331018519</v>
      </c>
      <c r="AG1663" s="85">
        <v>45173</v>
      </c>
      <c r="AH1663" s="80" t="s">
        <v>12093</v>
      </c>
      <c r="AI1663" s="77" t="b">
        <v>0</v>
      </c>
      <c r="AJ1663" s="77"/>
      <c r="AK1663" s="77"/>
      <c r="AL1663" s="77"/>
      <c r="AM1663" s="77"/>
      <c r="AN1663" s="77"/>
      <c r="AO1663" s="77"/>
      <c r="AP1663" s="77"/>
      <c r="AQ1663" s="77"/>
      <c r="AR1663" s="77"/>
      <c r="AS1663" s="77"/>
      <c r="AT1663" s="77"/>
      <c r="AU1663" s="77"/>
      <c r="AV1663" s="83" t="str">
        <f>HYPERLINK("https://pbs.twimg.com/profile_images/1559883556846977024/bXHnQFY0_normal.jpg")</f>
        <v>https://pbs.twimg.com/profile_images/1559883556846977024/bXHnQFY0_normal.jpg</v>
      </c>
      <c r="AW1663" s="80" t="s">
        <v>17530</v>
      </c>
      <c r="AX1663" s="80" t="s">
        <v>17530</v>
      </c>
      <c r="AY1663" s="77"/>
      <c r="AZ1663" s="80" t="s">
        <v>20380</v>
      </c>
      <c r="BA1663" s="80" t="s">
        <v>20380</v>
      </c>
      <c r="BB1663" s="80" t="s">
        <v>20380</v>
      </c>
      <c r="BC1663" s="80" t="s">
        <v>17530</v>
      </c>
      <c r="BD1663" s="77">
        <v>51150679</v>
      </c>
      <c r="BE1663" s="77"/>
      <c r="BF1663" s="77"/>
      <c r="BG1663" s="77"/>
      <c r="BH1663" s="77"/>
      <c r="BI1663" s="77"/>
    </row>
    <row r="1664" spans="1:61" x14ac:dyDescent="0.25">
      <c r="A1664" s="62" t="s">
        <v>790</v>
      </c>
      <c r="B1664" s="62" t="s">
        <v>790</v>
      </c>
      <c r="C1664" s="63"/>
      <c r="D1664" s="64"/>
      <c r="E1664" s="65"/>
      <c r="F1664" s="66"/>
      <c r="G1664" s="63"/>
      <c r="H1664" s="67"/>
      <c r="I1664" s="68"/>
      <c r="J1664" s="68"/>
      <c r="K1664" s="32"/>
      <c r="L1664" s="75">
        <v>1664</v>
      </c>
      <c r="M1664" s="75"/>
      <c r="N1664" s="70"/>
      <c r="O1664" s="77" t="s">
        <v>179</v>
      </c>
      <c r="P1664" s="79">
        <v>45173.6252662037</v>
      </c>
      <c r="Q1664" s="77" t="s">
        <v>3560</v>
      </c>
      <c r="R1664" s="77">
        <v>0</v>
      </c>
      <c r="S1664" s="77">
        <v>1</v>
      </c>
      <c r="T1664" s="77">
        <v>1</v>
      </c>
      <c r="U1664" s="77">
        <v>0</v>
      </c>
      <c r="V1664" s="77">
        <v>715</v>
      </c>
      <c r="W1664" s="80" t="s">
        <v>6929</v>
      </c>
      <c r="X1664" s="83" t="str">
        <f>HYPERLINK("https://www.moneytimes.com.br/indicadores-hoje-ibovespa-ibov-opera-em-alta-sem-wall-street-04-09-2023/")</f>
        <v>https://www.moneytimes.com.br/indicadores-hoje-ibovespa-ibov-opera-em-alta-sem-wall-street-04-09-2023/</v>
      </c>
      <c r="Y1664" s="77" t="s">
        <v>8611</v>
      </c>
      <c r="Z1664" s="77"/>
      <c r="AA1664" s="77"/>
      <c r="AB1664" s="77"/>
      <c r="AC1664" s="80" t="s">
        <v>10558</v>
      </c>
      <c r="AD1664" s="77" t="s">
        <v>10617</v>
      </c>
      <c r="AE1664" s="83" t="str">
        <f>HYPERLINK("https://twitter.com/leiamoneytimes/status/1698712619199107372")</f>
        <v>https://twitter.com/leiamoneytimes/status/1698712619199107372</v>
      </c>
      <c r="AF1664" s="79">
        <v>45173.6252662037</v>
      </c>
      <c r="AG1664" s="85">
        <v>45173</v>
      </c>
      <c r="AH1664" s="80" t="s">
        <v>12094</v>
      </c>
      <c r="AI1664" s="77" t="b">
        <v>0</v>
      </c>
      <c r="AJ1664" s="77"/>
      <c r="AK1664" s="77"/>
      <c r="AL1664" s="77"/>
      <c r="AM1664" s="77"/>
      <c r="AN1664" s="77"/>
      <c r="AO1664" s="77"/>
      <c r="AP1664" s="77"/>
      <c r="AQ1664" s="77"/>
      <c r="AR1664" s="77"/>
      <c r="AS1664" s="77"/>
      <c r="AT1664" s="77"/>
      <c r="AU1664" s="77"/>
      <c r="AV1664" s="83" t="str">
        <f>HYPERLINK("https://pbs.twimg.com/profile_images/1559883556846977024/bXHnQFY0_normal.jpg")</f>
        <v>https://pbs.twimg.com/profile_images/1559883556846977024/bXHnQFY0_normal.jpg</v>
      </c>
      <c r="AW1664" s="80" t="s">
        <v>17531</v>
      </c>
      <c r="AX1664" s="80" t="s">
        <v>17531</v>
      </c>
      <c r="AY1664" s="77"/>
      <c r="AZ1664" s="80" t="s">
        <v>20380</v>
      </c>
      <c r="BA1664" s="80" t="s">
        <v>20380</v>
      </c>
      <c r="BB1664" s="80" t="s">
        <v>20380</v>
      </c>
      <c r="BC1664" s="80" t="s">
        <v>17531</v>
      </c>
      <c r="BD1664" s="77">
        <v>51150679</v>
      </c>
      <c r="BE1664" s="77"/>
      <c r="BF1664" s="77"/>
      <c r="BG1664" s="77"/>
      <c r="BH1664" s="77"/>
      <c r="BI1664" s="77"/>
    </row>
    <row r="1665" spans="1:61" x14ac:dyDescent="0.25">
      <c r="A1665" s="62" t="s">
        <v>790</v>
      </c>
      <c r="B1665" s="62" t="s">
        <v>790</v>
      </c>
      <c r="C1665" s="63"/>
      <c r="D1665" s="64"/>
      <c r="E1665" s="65"/>
      <c r="F1665" s="66"/>
      <c r="G1665" s="63"/>
      <c r="H1665" s="67"/>
      <c r="I1665" s="68"/>
      <c r="J1665" s="68"/>
      <c r="K1665" s="32"/>
      <c r="L1665" s="75">
        <v>1665</v>
      </c>
      <c r="M1665" s="75"/>
      <c r="N1665" s="70"/>
      <c r="O1665" s="77" t="s">
        <v>179</v>
      </c>
      <c r="P1665" s="79">
        <v>45173.491087962961</v>
      </c>
      <c r="Q1665" s="77" t="s">
        <v>3561</v>
      </c>
      <c r="R1665" s="77">
        <v>0</v>
      </c>
      <c r="S1665" s="77">
        <v>3</v>
      </c>
      <c r="T1665" s="77">
        <v>1</v>
      </c>
      <c r="U1665" s="77">
        <v>0</v>
      </c>
      <c r="V1665" s="77">
        <v>885</v>
      </c>
      <c r="W1665" s="80" t="s">
        <v>6934</v>
      </c>
      <c r="X1665" s="83" t="str">
        <f>HYPERLINK("https://www.moneytimes.com.br/projecoes-de-inflacao-voltam-a-subir-com-meta-fiscal-em-risco-confira-o-focus-desta-segunda-04/")</f>
        <v>https://www.moneytimes.com.br/projecoes-de-inflacao-voltam-a-subir-com-meta-fiscal-em-risco-confira-o-focus-desta-segunda-04/</v>
      </c>
      <c r="Y1665" s="77" t="s">
        <v>8611</v>
      </c>
      <c r="Z1665" s="77"/>
      <c r="AA1665" s="77"/>
      <c r="AB1665" s="77"/>
      <c r="AC1665" s="80" t="s">
        <v>10558</v>
      </c>
      <c r="AD1665" s="77" t="s">
        <v>10617</v>
      </c>
      <c r="AE1665" s="83" t="str">
        <f>HYPERLINK("https://twitter.com/leiamoneytimes/status/1698663996126056872")</f>
        <v>https://twitter.com/leiamoneytimes/status/1698663996126056872</v>
      </c>
      <c r="AF1665" s="79">
        <v>45173.491087962961</v>
      </c>
      <c r="AG1665" s="85">
        <v>45173</v>
      </c>
      <c r="AH1665" s="80" t="s">
        <v>12095</v>
      </c>
      <c r="AI1665" s="77" t="b">
        <v>0</v>
      </c>
      <c r="AJ1665" s="77"/>
      <c r="AK1665" s="77"/>
      <c r="AL1665" s="77"/>
      <c r="AM1665" s="77"/>
      <c r="AN1665" s="77"/>
      <c r="AO1665" s="77"/>
      <c r="AP1665" s="77"/>
      <c r="AQ1665" s="77"/>
      <c r="AR1665" s="77"/>
      <c r="AS1665" s="77"/>
      <c r="AT1665" s="77"/>
      <c r="AU1665" s="77"/>
      <c r="AV1665" s="83" t="str">
        <f>HYPERLINK("https://pbs.twimg.com/profile_images/1559883556846977024/bXHnQFY0_normal.jpg")</f>
        <v>https://pbs.twimg.com/profile_images/1559883556846977024/bXHnQFY0_normal.jpg</v>
      </c>
      <c r="AW1665" s="80" t="s">
        <v>17532</v>
      </c>
      <c r="AX1665" s="80" t="s">
        <v>17532</v>
      </c>
      <c r="AY1665" s="77"/>
      <c r="AZ1665" s="80" t="s">
        <v>20380</v>
      </c>
      <c r="BA1665" s="80" t="s">
        <v>20380</v>
      </c>
      <c r="BB1665" s="80" t="s">
        <v>20380</v>
      </c>
      <c r="BC1665" s="80" t="s">
        <v>17532</v>
      </c>
      <c r="BD1665" s="77">
        <v>51150679</v>
      </c>
      <c r="BE1665" s="77"/>
      <c r="BF1665" s="77"/>
      <c r="BG1665" s="77"/>
      <c r="BH1665" s="77"/>
      <c r="BI1665" s="77"/>
    </row>
    <row r="1666" spans="1:61" x14ac:dyDescent="0.25">
      <c r="A1666" s="62" t="s">
        <v>790</v>
      </c>
      <c r="B1666" s="62" t="s">
        <v>790</v>
      </c>
      <c r="C1666" s="63"/>
      <c r="D1666" s="64"/>
      <c r="E1666" s="65"/>
      <c r="F1666" s="66"/>
      <c r="G1666" s="63"/>
      <c r="H1666" s="67"/>
      <c r="I1666" s="68"/>
      <c r="J1666" s="68"/>
      <c r="K1666" s="32"/>
      <c r="L1666" s="75">
        <v>1666</v>
      </c>
      <c r="M1666" s="75"/>
      <c r="N1666" s="70"/>
      <c r="O1666" s="77" t="s">
        <v>179</v>
      </c>
      <c r="P1666" s="79">
        <v>45170.693113425928</v>
      </c>
      <c r="Q1666" s="77" t="s">
        <v>3562</v>
      </c>
      <c r="R1666" s="77">
        <v>0</v>
      </c>
      <c r="S1666" s="77">
        <v>2</v>
      </c>
      <c r="T1666" s="77">
        <v>1</v>
      </c>
      <c r="U1666" s="77">
        <v>0</v>
      </c>
      <c r="V1666" s="77">
        <v>1221</v>
      </c>
      <c r="W1666" s="80" t="s">
        <v>6950</v>
      </c>
      <c r="X1666" s="83" t="str">
        <f>HYPERLINK("https://www.moneytimes.com.br/rotativo-do-cartao-entenda-o-que-e-e-o-que-o-governo-quer-mudar/")</f>
        <v>https://www.moneytimes.com.br/rotativo-do-cartao-entenda-o-que-e-e-o-que-o-governo-quer-mudar/</v>
      </c>
      <c r="Y1666" s="77" t="s">
        <v>8611</v>
      </c>
      <c r="Z1666" s="77"/>
      <c r="AA1666" s="77"/>
      <c r="AB1666" s="77"/>
      <c r="AC1666" s="80" t="s">
        <v>10558</v>
      </c>
      <c r="AD1666" s="77" t="s">
        <v>10617</v>
      </c>
      <c r="AE1666" s="83" t="str">
        <f>HYPERLINK("https://twitter.com/leiamoneytimes/status/1697650042650210694")</f>
        <v>https://twitter.com/leiamoneytimes/status/1697650042650210694</v>
      </c>
      <c r="AF1666" s="79">
        <v>45170.693113425928</v>
      </c>
      <c r="AG1666" s="85">
        <v>45170</v>
      </c>
      <c r="AH1666" s="80" t="s">
        <v>12096</v>
      </c>
      <c r="AI1666" s="77" t="b">
        <v>0</v>
      </c>
      <c r="AJ1666" s="77"/>
      <c r="AK1666" s="77"/>
      <c r="AL1666" s="77"/>
      <c r="AM1666" s="77"/>
      <c r="AN1666" s="77"/>
      <c r="AO1666" s="77"/>
      <c r="AP1666" s="77"/>
      <c r="AQ1666" s="77"/>
      <c r="AR1666" s="77"/>
      <c r="AS1666" s="77"/>
      <c r="AT1666" s="77"/>
      <c r="AU1666" s="77"/>
      <c r="AV1666" s="83" t="str">
        <f>HYPERLINK("https://pbs.twimg.com/profile_images/1559883556846977024/bXHnQFY0_normal.jpg")</f>
        <v>https://pbs.twimg.com/profile_images/1559883556846977024/bXHnQFY0_normal.jpg</v>
      </c>
      <c r="AW1666" s="80" t="s">
        <v>17533</v>
      </c>
      <c r="AX1666" s="80" t="s">
        <v>17533</v>
      </c>
      <c r="AY1666" s="77"/>
      <c r="AZ1666" s="80" t="s">
        <v>20380</v>
      </c>
      <c r="BA1666" s="80" t="s">
        <v>20380</v>
      </c>
      <c r="BB1666" s="80" t="s">
        <v>20380</v>
      </c>
      <c r="BC1666" s="80" t="s">
        <v>17533</v>
      </c>
      <c r="BD1666" s="77">
        <v>51150679</v>
      </c>
      <c r="BE1666" s="77"/>
      <c r="BF1666" s="77"/>
      <c r="BG1666" s="77"/>
      <c r="BH1666" s="77"/>
      <c r="BI1666" s="77"/>
    </row>
    <row r="1667" spans="1:61" x14ac:dyDescent="0.25">
      <c r="A1667" s="62" t="s">
        <v>790</v>
      </c>
      <c r="B1667" s="62" t="s">
        <v>790</v>
      </c>
      <c r="C1667" s="63"/>
      <c r="D1667" s="64"/>
      <c r="E1667" s="65"/>
      <c r="F1667" s="66"/>
      <c r="G1667" s="63"/>
      <c r="H1667" s="67"/>
      <c r="I1667" s="68"/>
      <c r="J1667" s="68"/>
      <c r="K1667" s="32"/>
      <c r="L1667" s="75">
        <v>1667</v>
      </c>
      <c r="M1667" s="75"/>
      <c r="N1667" s="70"/>
      <c r="O1667" s="77" t="s">
        <v>179</v>
      </c>
      <c r="P1667" s="79">
        <v>45155.817199074074</v>
      </c>
      <c r="Q1667" s="77" t="s">
        <v>3563</v>
      </c>
      <c r="R1667" s="77">
        <v>0</v>
      </c>
      <c r="S1667" s="77">
        <v>5</v>
      </c>
      <c r="T1667" s="77">
        <v>0</v>
      </c>
      <c r="U1667" s="77">
        <v>0</v>
      </c>
      <c r="V1667" s="77">
        <v>1017</v>
      </c>
      <c r="W1667" s="80" t="s">
        <v>6975</v>
      </c>
      <c r="X1667" s="83" t="str">
        <f>HYPERLINK("https://www.moneytimes.com.br/pix-open-finance-e-drex-campos-neto-avalia-o-futuro-dos-pagamentos-no-brasil/")</f>
        <v>https://www.moneytimes.com.br/pix-open-finance-e-drex-campos-neto-avalia-o-futuro-dos-pagamentos-no-brasil/</v>
      </c>
      <c r="Y1667" s="77" t="s">
        <v>8611</v>
      </c>
      <c r="Z1667" s="77"/>
      <c r="AA1667" s="77"/>
      <c r="AB1667" s="77"/>
      <c r="AC1667" s="80" t="s">
        <v>10558</v>
      </c>
      <c r="AD1667" s="77" t="s">
        <v>10617</v>
      </c>
      <c r="AE1667" s="83" t="str">
        <f>HYPERLINK("https://twitter.com/leiamoneytimes/status/1692259193128964179")</f>
        <v>https://twitter.com/leiamoneytimes/status/1692259193128964179</v>
      </c>
      <c r="AF1667" s="79">
        <v>45155.817199074074</v>
      </c>
      <c r="AG1667" s="85">
        <v>45155</v>
      </c>
      <c r="AH1667" s="80" t="s">
        <v>11480</v>
      </c>
      <c r="AI1667" s="77" t="b">
        <v>0</v>
      </c>
      <c r="AJ1667" s="77"/>
      <c r="AK1667" s="77"/>
      <c r="AL1667" s="77"/>
      <c r="AM1667" s="77"/>
      <c r="AN1667" s="77"/>
      <c r="AO1667" s="77"/>
      <c r="AP1667" s="77"/>
      <c r="AQ1667" s="77"/>
      <c r="AR1667" s="77"/>
      <c r="AS1667" s="77"/>
      <c r="AT1667" s="77"/>
      <c r="AU1667" s="77"/>
      <c r="AV1667" s="83" t="str">
        <f>HYPERLINK("https://pbs.twimg.com/profile_images/1559883556846977024/bXHnQFY0_normal.jpg")</f>
        <v>https://pbs.twimg.com/profile_images/1559883556846977024/bXHnQFY0_normal.jpg</v>
      </c>
      <c r="AW1667" s="80" t="s">
        <v>17534</v>
      </c>
      <c r="AX1667" s="80" t="s">
        <v>17534</v>
      </c>
      <c r="AY1667" s="77"/>
      <c r="AZ1667" s="80" t="s">
        <v>20380</v>
      </c>
      <c r="BA1667" s="80" t="s">
        <v>20380</v>
      </c>
      <c r="BB1667" s="80" t="s">
        <v>20380</v>
      </c>
      <c r="BC1667" s="80" t="s">
        <v>17534</v>
      </c>
      <c r="BD1667" s="77">
        <v>51150679</v>
      </c>
      <c r="BE1667" s="77"/>
      <c r="BF1667" s="77"/>
      <c r="BG1667" s="77"/>
      <c r="BH1667" s="77"/>
      <c r="BI1667" s="77"/>
    </row>
    <row r="1668" spans="1:61" x14ac:dyDescent="0.25">
      <c r="A1668" s="62" t="s">
        <v>790</v>
      </c>
      <c r="B1668" s="62" t="s">
        <v>790</v>
      </c>
      <c r="C1668" s="63"/>
      <c r="D1668" s="64"/>
      <c r="E1668" s="65"/>
      <c r="F1668" s="66"/>
      <c r="G1668" s="63"/>
      <c r="H1668" s="67"/>
      <c r="I1668" s="68"/>
      <c r="J1668" s="68"/>
      <c r="K1668" s="32"/>
      <c r="L1668" s="75">
        <v>1668</v>
      </c>
      <c r="M1668" s="75"/>
      <c r="N1668" s="70"/>
      <c r="O1668" s="77" t="s">
        <v>179</v>
      </c>
      <c r="P1668" s="79">
        <v>45155.742696759262</v>
      </c>
      <c r="Q1668" s="77" t="s">
        <v>3564</v>
      </c>
      <c r="R1668" s="77">
        <v>1</v>
      </c>
      <c r="S1668" s="77">
        <v>19</v>
      </c>
      <c r="T1668" s="77">
        <v>1</v>
      </c>
      <c r="U1668" s="77">
        <v>0</v>
      </c>
      <c r="V1668" s="77">
        <v>1196</v>
      </c>
      <c r="W1668" s="80" t="s">
        <v>6922</v>
      </c>
      <c r="X1668" s="83" t="str">
        <f>HYPERLINK("https://www.moneytimes.com.br/campos-neto-rebate-lula-e-quebra-expectativa-para-selic-banco-central-e-tecnico/")</f>
        <v>https://www.moneytimes.com.br/campos-neto-rebate-lula-e-quebra-expectativa-para-selic-banco-central-e-tecnico/</v>
      </c>
      <c r="Y1668" s="77" t="s">
        <v>8611</v>
      </c>
      <c r="Z1668" s="77"/>
      <c r="AA1668" s="77"/>
      <c r="AB1668" s="77"/>
      <c r="AC1668" s="80" t="s">
        <v>10558</v>
      </c>
      <c r="AD1668" s="77" t="s">
        <v>10617</v>
      </c>
      <c r="AE1668" s="83" t="str">
        <f>HYPERLINK("https://twitter.com/leiamoneytimes/status/1692232191709675579")</f>
        <v>https://twitter.com/leiamoneytimes/status/1692232191709675579</v>
      </c>
      <c r="AF1668" s="79">
        <v>45155.742696759262</v>
      </c>
      <c r="AG1668" s="85">
        <v>45155</v>
      </c>
      <c r="AH1668" s="80" t="s">
        <v>12097</v>
      </c>
      <c r="AI1668" s="77" t="b">
        <v>0</v>
      </c>
      <c r="AJ1668" s="77"/>
      <c r="AK1668" s="77"/>
      <c r="AL1668" s="77"/>
      <c r="AM1668" s="77"/>
      <c r="AN1668" s="77"/>
      <c r="AO1668" s="77"/>
      <c r="AP1668" s="77"/>
      <c r="AQ1668" s="77"/>
      <c r="AR1668" s="77"/>
      <c r="AS1668" s="77"/>
      <c r="AT1668" s="77"/>
      <c r="AU1668" s="77"/>
      <c r="AV1668" s="83" t="str">
        <f>HYPERLINK("https://pbs.twimg.com/profile_images/1559883556846977024/bXHnQFY0_normal.jpg")</f>
        <v>https://pbs.twimg.com/profile_images/1559883556846977024/bXHnQFY0_normal.jpg</v>
      </c>
      <c r="AW1668" s="80" t="s">
        <v>17535</v>
      </c>
      <c r="AX1668" s="80" t="s">
        <v>17535</v>
      </c>
      <c r="AY1668" s="77"/>
      <c r="AZ1668" s="80" t="s">
        <v>20380</v>
      </c>
      <c r="BA1668" s="80" t="s">
        <v>20380</v>
      </c>
      <c r="BB1668" s="80" t="s">
        <v>20380</v>
      </c>
      <c r="BC1668" s="80" t="s">
        <v>17535</v>
      </c>
      <c r="BD1668" s="77">
        <v>51150679</v>
      </c>
      <c r="BE1668" s="77"/>
      <c r="BF1668" s="77"/>
      <c r="BG1668" s="77"/>
      <c r="BH1668" s="77"/>
      <c r="BI1668" s="77"/>
    </row>
    <row r="1669" spans="1:61" x14ac:dyDescent="0.25">
      <c r="A1669" s="62" t="s">
        <v>790</v>
      </c>
      <c r="B1669" s="62" t="s">
        <v>790</v>
      </c>
      <c r="C1669" s="63"/>
      <c r="D1669" s="64"/>
      <c r="E1669" s="65"/>
      <c r="F1669" s="66"/>
      <c r="G1669" s="63"/>
      <c r="H1669" s="67"/>
      <c r="I1669" s="68"/>
      <c r="J1669" s="68"/>
      <c r="K1669" s="32"/>
      <c r="L1669" s="75">
        <v>1669</v>
      </c>
      <c r="M1669" s="75"/>
      <c r="N1669" s="70"/>
      <c r="O1669" s="77" t="s">
        <v>179</v>
      </c>
      <c r="P1669" s="79">
        <v>45155.661157407405</v>
      </c>
      <c r="Q1669" s="77" t="s">
        <v>3565</v>
      </c>
      <c r="R1669" s="77">
        <v>0</v>
      </c>
      <c r="S1669" s="77">
        <v>1</v>
      </c>
      <c r="T1669" s="77">
        <v>0</v>
      </c>
      <c r="U1669" s="77">
        <v>0</v>
      </c>
      <c r="V1669" s="77">
        <v>1134</v>
      </c>
      <c r="W1669" s="80" t="s">
        <v>6967</v>
      </c>
      <c r="X1669" s="83" t="str">
        <f>HYPERLINK("https://www.moneytimes.com.br/credores-que-esqueceram-de-resgatar-mais-de-r-118-milhoes-no-fgc-ainda-podem-solicitar-veja-como/")</f>
        <v>https://www.moneytimes.com.br/credores-que-esqueceram-de-resgatar-mais-de-r-118-milhoes-no-fgc-ainda-podem-solicitar-veja-como/</v>
      </c>
      <c r="Y1669" s="77" t="s">
        <v>8611</v>
      </c>
      <c r="Z1669" s="77"/>
      <c r="AA1669" s="77"/>
      <c r="AB1669" s="77"/>
      <c r="AC1669" s="80" t="s">
        <v>10558</v>
      </c>
      <c r="AD1669" s="77" t="s">
        <v>10617</v>
      </c>
      <c r="AE1669" s="83" t="str">
        <f>HYPERLINK("https://twitter.com/leiamoneytimes/status/1692202642993238036")</f>
        <v>https://twitter.com/leiamoneytimes/status/1692202642993238036</v>
      </c>
      <c r="AF1669" s="79">
        <v>45155.661157407405</v>
      </c>
      <c r="AG1669" s="85">
        <v>45155</v>
      </c>
      <c r="AH1669" s="80" t="s">
        <v>12098</v>
      </c>
      <c r="AI1669" s="77" t="b">
        <v>0</v>
      </c>
      <c r="AJ1669" s="77"/>
      <c r="AK1669" s="77"/>
      <c r="AL1669" s="77"/>
      <c r="AM1669" s="77"/>
      <c r="AN1669" s="77"/>
      <c r="AO1669" s="77"/>
      <c r="AP1669" s="77"/>
      <c r="AQ1669" s="77"/>
      <c r="AR1669" s="77"/>
      <c r="AS1669" s="77"/>
      <c r="AT1669" s="77"/>
      <c r="AU1669" s="77"/>
      <c r="AV1669" s="83" t="str">
        <f>HYPERLINK("https://pbs.twimg.com/profile_images/1559883556846977024/bXHnQFY0_normal.jpg")</f>
        <v>https://pbs.twimg.com/profile_images/1559883556846977024/bXHnQFY0_normal.jpg</v>
      </c>
      <c r="AW1669" s="80" t="s">
        <v>17536</v>
      </c>
      <c r="AX1669" s="80" t="s">
        <v>17536</v>
      </c>
      <c r="AY1669" s="77"/>
      <c r="AZ1669" s="80" t="s">
        <v>20380</v>
      </c>
      <c r="BA1669" s="80" t="s">
        <v>20380</v>
      </c>
      <c r="BB1669" s="80" t="s">
        <v>20380</v>
      </c>
      <c r="BC1669" s="80" t="s">
        <v>17536</v>
      </c>
      <c r="BD1669" s="77">
        <v>51150679</v>
      </c>
      <c r="BE1669" s="77"/>
      <c r="BF1669" s="77"/>
      <c r="BG1669" s="77"/>
      <c r="BH1669" s="77"/>
      <c r="BI1669" s="77"/>
    </row>
    <row r="1670" spans="1:61" x14ac:dyDescent="0.25">
      <c r="A1670" s="62" t="s">
        <v>790</v>
      </c>
      <c r="B1670" s="62" t="s">
        <v>790</v>
      </c>
      <c r="C1670" s="63"/>
      <c r="D1670" s="64"/>
      <c r="E1670" s="65"/>
      <c r="F1670" s="66"/>
      <c r="G1670" s="63"/>
      <c r="H1670" s="67"/>
      <c r="I1670" s="68"/>
      <c r="J1670" s="68"/>
      <c r="K1670" s="32"/>
      <c r="L1670" s="75">
        <v>1670</v>
      </c>
      <c r="M1670" s="75"/>
      <c r="N1670" s="70"/>
      <c r="O1670" s="77" t="s">
        <v>179</v>
      </c>
      <c r="P1670" s="79">
        <v>45155.619606481479</v>
      </c>
      <c r="Q1670" s="77" t="s">
        <v>3566</v>
      </c>
      <c r="R1670" s="77">
        <v>0</v>
      </c>
      <c r="S1670" s="77">
        <v>3</v>
      </c>
      <c r="T1670" s="77">
        <v>0</v>
      </c>
      <c r="U1670" s="77">
        <v>0</v>
      </c>
      <c r="V1670" s="77">
        <v>942</v>
      </c>
      <c r="W1670" s="80" t="s">
        <v>6922</v>
      </c>
      <c r="X1670" s="83" t="str">
        <f>HYPERLINK("https://www.moneytimes.com.br/campos-neto-alerta-sobre-inflacao-e-gastos-acima-da-media/")</f>
        <v>https://www.moneytimes.com.br/campos-neto-alerta-sobre-inflacao-e-gastos-acima-da-media/</v>
      </c>
      <c r="Y1670" s="77" t="s">
        <v>8611</v>
      </c>
      <c r="Z1670" s="77"/>
      <c r="AA1670" s="77"/>
      <c r="AB1670" s="77"/>
      <c r="AC1670" s="80" t="s">
        <v>10558</v>
      </c>
      <c r="AD1670" s="77" t="s">
        <v>10617</v>
      </c>
      <c r="AE1670" s="83" t="str">
        <f>HYPERLINK("https://twitter.com/leiamoneytimes/status/1692187587585229088")</f>
        <v>https://twitter.com/leiamoneytimes/status/1692187587585229088</v>
      </c>
      <c r="AF1670" s="79">
        <v>45155.619606481479</v>
      </c>
      <c r="AG1670" s="85">
        <v>45155</v>
      </c>
      <c r="AH1670" s="80" t="s">
        <v>12099</v>
      </c>
      <c r="AI1670" s="77" t="b">
        <v>0</v>
      </c>
      <c r="AJ1670" s="77"/>
      <c r="AK1670" s="77"/>
      <c r="AL1670" s="77"/>
      <c r="AM1670" s="77"/>
      <c r="AN1670" s="77"/>
      <c r="AO1670" s="77"/>
      <c r="AP1670" s="77"/>
      <c r="AQ1670" s="77"/>
      <c r="AR1670" s="77"/>
      <c r="AS1670" s="77"/>
      <c r="AT1670" s="77"/>
      <c r="AU1670" s="77"/>
      <c r="AV1670" s="83" t="str">
        <f>HYPERLINK("https://pbs.twimg.com/profile_images/1559883556846977024/bXHnQFY0_normal.jpg")</f>
        <v>https://pbs.twimg.com/profile_images/1559883556846977024/bXHnQFY0_normal.jpg</v>
      </c>
      <c r="AW1670" s="80" t="s">
        <v>17537</v>
      </c>
      <c r="AX1670" s="80" t="s">
        <v>17537</v>
      </c>
      <c r="AY1670" s="77"/>
      <c r="AZ1670" s="80" t="s">
        <v>20380</v>
      </c>
      <c r="BA1670" s="80" t="s">
        <v>20380</v>
      </c>
      <c r="BB1670" s="80" t="s">
        <v>20380</v>
      </c>
      <c r="BC1670" s="80" t="s">
        <v>17537</v>
      </c>
      <c r="BD1670" s="77">
        <v>51150679</v>
      </c>
      <c r="BE1670" s="77"/>
      <c r="BF1670" s="77"/>
      <c r="BG1670" s="77"/>
      <c r="BH1670" s="77"/>
      <c r="BI1670" s="77"/>
    </row>
    <row r="1671" spans="1:61" x14ac:dyDescent="0.25">
      <c r="A1671" s="62" t="s">
        <v>790</v>
      </c>
      <c r="B1671" s="62" t="s">
        <v>790</v>
      </c>
      <c r="C1671" s="63"/>
      <c r="D1671" s="64"/>
      <c r="E1671" s="65"/>
      <c r="F1671" s="66"/>
      <c r="G1671" s="63"/>
      <c r="H1671" s="67"/>
      <c r="I1671" s="68"/>
      <c r="J1671" s="68"/>
      <c r="K1671" s="32"/>
      <c r="L1671" s="75">
        <v>1671</v>
      </c>
      <c r="M1671" s="75"/>
      <c r="N1671" s="70"/>
      <c r="O1671" s="77" t="s">
        <v>179</v>
      </c>
      <c r="P1671" s="79">
        <v>45149.572118055556</v>
      </c>
      <c r="Q1671" s="77" t="s">
        <v>3567</v>
      </c>
      <c r="R1671" s="77">
        <v>0</v>
      </c>
      <c r="S1671" s="77">
        <v>1</v>
      </c>
      <c r="T1671" s="77">
        <v>1</v>
      </c>
      <c r="U1671" s="77">
        <v>0</v>
      </c>
      <c r="V1671" s="77">
        <v>775</v>
      </c>
      <c r="W1671" s="80" t="s">
        <v>6272</v>
      </c>
      <c r="X1671" s="83" t="str">
        <f>HYPERLINK("https://www.moneytimes.com.br/quebra-do-periodo-de-silencio-entenda-a-reuniao-secreta-de-campos-neto-e-e-bolsonaro-em-dia-do-copom/")</f>
        <v>https://www.moneytimes.com.br/quebra-do-periodo-de-silencio-entenda-a-reuniao-secreta-de-campos-neto-e-e-bolsonaro-em-dia-do-copom/</v>
      </c>
      <c r="Y1671" s="77" t="s">
        <v>8611</v>
      </c>
      <c r="Z1671" s="77"/>
      <c r="AA1671" s="77"/>
      <c r="AB1671" s="77"/>
      <c r="AC1671" s="80" t="s">
        <v>10558</v>
      </c>
      <c r="AD1671" s="77" t="s">
        <v>10617</v>
      </c>
      <c r="AE1671" s="83" t="str">
        <f>HYPERLINK("https://twitter.com/leiamoneytimes/status/1689996047718768640")</f>
        <v>https://twitter.com/leiamoneytimes/status/1689996047718768640</v>
      </c>
      <c r="AF1671" s="79">
        <v>45149.572118055556</v>
      </c>
      <c r="AG1671" s="85">
        <v>45149</v>
      </c>
      <c r="AH1671" s="80" t="s">
        <v>12100</v>
      </c>
      <c r="AI1671" s="77" t="b">
        <v>0</v>
      </c>
      <c r="AJ1671" s="77"/>
      <c r="AK1671" s="77"/>
      <c r="AL1671" s="77"/>
      <c r="AM1671" s="77"/>
      <c r="AN1671" s="77"/>
      <c r="AO1671" s="77"/>
      <c r="AP1671" s="77"/>
      <c r="AQ1671" s="77"/>
      <c r="AR1671" s="77"/>
      <c r="AS1671" s="77"/>
      <c r="AT1671" s="77"/>
      <c r="AU1671" s="77"/>
      <c r="AV1671" s="83" t="str">
        <f>HYPERLINK("https://pbs.twimg.com/profile_images/1559883556846977024/bXHnQFY0_normal.jpg")</f>
        <v>https://pbs.twimg.com/profile_images/1559883556846977024/bXHnQFY0_normal.jpg</v>
      </c>
      <c r="AW1671" s="80" t="s">
        <v>17538</v>
      </c>
      <c r="AX1671" s="80" t="s">
        <v>17538</v>
      </c>
      <c r="AY1671" s="77"/>
      <c r="AZ1671" s="80" t="s">
        <v>20380</v>
      </c>
      <c r="BA1671" s="80" t="s">
        <v>20380</v>
      </c>
      <c r="BB1671" s="80" t="s">
        <v>20380</v>
      </c>
      <c r="BC1671" s="80" t="s">
        <v>17538</v>
      </c>
      <c r="BD1671" s="77">
        <v>51150679</v>
      </c>
      <c r="BE1671" s="77"/>
      <c r="BF1671" s="77"/>
      <c r="BG1671" s="77"/>
      <c r="BH1671" s="77"/>
      <c r="BI1671" s="77"/>
    </row>
    <row r="1672" spans="1:61" x14ac:dyDescent="0.25">
      <c r="A1672" s="62" t="s">
        <v>790</v>
      </c>
      <c r="B1672" s="62" t="s">
        <v>790</v>
      </c>
      <c r="C1672" s="63"/>
      <c r="D1672" s="64"/>
      <c r="E1672" s="65"/>
      <c r="F1672" s="66"/>
      <c r="G1672" s="63"/>
      <c r="H1672" s="67"/>
      <c r="I1672" s="68"/>
      <c r="J1672" s="68"/>
      <c r="K1672" s="32"/>
      <c r="L1672" s="75">
        <v>1672</v>
      </c>
      <c r="M1672" s="75"/>
      <c r="N1672" s="70"/>
      <c r="O1672" s="77" t="s">
        <v>179</v>
      </c>
      <c r="P1672" s="79">
        <v>45140.956307870372</v>
      </c>
      <c r="Q1672" s="77" t="s">
        <v>3568</v>
      </c>
      <c r="R1672" s="77">
        <v>2</v>
      </c>
      <c r="S1672" s="77">
        <v>8</v>
      </c>
      <c r="T1672" s="77">
        <v>1</v>
      </c>
      <c r="U1672" s="77">
        <v>0</v>
      </c>
      <c r="V1672" s="77">
        <v>1499</v>
      </c>
      <c r="W1672" s="80" t="s">
        <v>6272</v>
      </c>
      <c r="X1672" s="83" t="str">
        <f>HYPERLINK("https://www.moneytimes.com.br/selic-em-1325-campos-neto-e-promessa-de-mais-cortes-tudo-o-que-surpreendeu-positivamente-o-mercado/")</f>
        <v>https://www.moneytimes.com.br/selic-em-1325-campos-neto-e-promessa-de-mais-cortes-tudo-o-que-surpreendeu-positivamente-o-mercado/</v>
      </c>
      <c r="Y1672" s="77" t="s">
        <v>8611</v>
      </c>
      <c r="Z1672" s="77"/>
      <c r="AA1672" s="77"/>
      <c r="AB1672" s="77"/>
      <c r="AC1672" s="80" t="s">
        <v>10558</v>
      </c>
      <c r="AD1672" s="77" t="s">
        <v>10617</v>
      </c>
      <c r="AE1672" s="83" t="str">
        <f>HYPERLINK("https://twitter.com/leiamoneytimes/status/1686873783238316033")</f>
        <v>https://twitter.com/leiamoneytimes/status/1686873783238316033</v>
      </c>
      <c r="AF1672" s="79">
        <v>45140.956307870372</v>
      </c>
      <c r="AG1672" s="85">
        <v>45140</v>
      </c>
      <c r="AH1672" s="80" t="s">
        <v>12101</v>
      </c>
      <c r="AI1672" s="77" t="b">
        <v>0</v>
      </c>
      <c r="AJ1672" s="77"/>
      <c r="AK1672" s="77"/>
      <c r="AL1672" s="77"/>
      <c r="AM1672" s="77"/>
      <c r="AN1672" s="77"/>
      <c r="AO1672" s="77"/>
      <c r="AP1672" s="77"/>
      <c r="AQ1672" s="77"/>
      <c r="AR1672" s="77"/>
      <c r="AS1672" s="77"/>
      <c r="AT1672" s="77"/>
      <c r="AU1672" s="77"/>
      <c r="AV1672" s="83" t="str">
        <f>HYPERLINK("https://pbs.twimg.com/profile_images/1559883556846977024/bXHnQFY0_normal.jpg")</f>
        <v>https://pbs.twimg.com/profile_images/1559883556846977024/bXHnQFY0_normal.jpg</v>
      </c>
      <c r="AW1672" s="80" t="s">
        <v>17539</v>
      </c>
      <c r="AX1672" s="80" t="s">
        <v>17539</v>
      </c>
      <c r="AY1672" s="77"/>
      <c r="AZ1672" s="80" t="s">
        <v>20380</v>
      </c>
      <c r="BA1672" s="80" t="s">
        <v>20380</v>
      </c>
      <c r="BB1672" s="80" t="s">
        <v>20380</v>
      </c>
      <c r="BC1672" s="80" t="s">
        <v>17539</v>
      </c>
      <c r="BD1672" s="77">
        <v>51150679</v>
      </c>
      <c r="BE1672" s="77"/>
      <c r="BF1672" s="77"/>
      <c r="BG1672" s="77"/>
      <c r="BH1672" s="77"/>
      <c r="BI1672" s="77"/>
    </row>
    <row r="1673" spans="1:61" x14ac:dyDescent="0.25">
      <c r="A1673" s="62" t="s">
        <v>790</v>
      </c>
      <c r="B1673" s="62" t="s">
        <v>790</v>
      </c>
      <c r="C1673" s="63"/>
      <c r="D1673" s="64"/>
      <c r="E1673" s="65"/>
      <c r="F1673" s="66"/>
      <c r="G1673" s="63"/>
      <c r="H1673" s="67"/>
      <c r="I1673" s="68"/>
      <c r="J1673" s="68"/>
      <c r="K1673" s="32"/>
      <c r="L1673" s="75">
        <v>1673</v>
      </c>
      <c r="M1673" s="75"/>
      <c r="N1673" s="70"/>
      <c r="O1673" s="77" t="s">
        <v>179</v>
      </c>
      <c r="P1673" s="79">
        <v>45140.938275462962</v>
      </c>
      <c r="Q1673" s="77" t="s">
        <v>3569</v>
      </c>
      <c r="R1673" s="77">
        <v>2</v>
      </c>
      <c r="S1673" s="77">
        <v>16</v>
      </c>
      <c r="T1673" s="77">
        <v>1</v>
      </c>
      <c r="U1673" s="77">
        <v>0</v>
      </c>
      <c r="V1673" s="77">
        <v>2295</v>
      </c>
      <c r="W1673" s="80" t="s">
        <v>7014</v>
      </c>
      <c r="X1673" s="83" t="str">
        <f>HYPERLINK("https://www.moneytimes.com.br/dividendos-de-ate-43-petr4-e-mais-4-acoes-pagam-mais-que-a-nova-selic-a-1325/")</f>
        <v>https://www.moneytimes.com.br/dividendos-de-ate-43-petr4-e-mais-4-acoes-pagam-mais-que-a-nova-selic-a-1325/</v>
      </c>
      <c r="Y1673" s="77" t="s">
        <v>8611</v>
      </c>
      <c r="Z1673" s="77"/>
      <c r="AA1673" s="77"/>
      <c r="AB1673" s="77"/>
      <c r="AC1673" s="80" t="s">
        <v>10558</v>
      </c>
      <c r="AD1673" s="77" t="s">
        <v>10617</v>
      </c>
      <c r="AE1673" s="83" t="str">
        <f>HYPERLINK("https://twitter.com/leiamoneytimes/status/1686867249242492928")</f>
        <v>https://twitter.com/leiamoneytimes/status/1686867249242492928</v>
      </c>
      <c r="AF1673" s="79">
        <v>45140.938275462962</v>
      </c>
      <c r="AG1673" s="85">
        <v>45140</v>
      </c>
      <c r="AH1673" s="80" t="s">
        <v>12102</v>
      </c>
      <c r="AI1673" s="77" t="b">
        <v>0</v>
      </c>
      <c r="AJ1673" s="77"/>
      <c r="AK1673" s="77"/>
      <c r="AL1673" s="77"/>
      <c r="AM1673" s="77"/>
      <c r="AN1673" s="77"/>
      <c r="AO1673" s="77"/>
      <c r="AP1673" s="77"/>
      <c r="AQ1673" s="77"/>
      <c r="AR1673" s="77"/>
      <c r="AS1673" s="77"/>
      <c r="AT1673" s="77"/>
      <c r="AU1673" s="77"/>
      <c r="AV1673" s="83" t="str">
        <f>HYPERLINK("https://pbs.twimg.com/profile_images/1559883556846977024/bXHnQFY0_normal.jpg")</f>
        <v>https://pbs.twimg.com/profile_images/1559883556846977024/bXHnQFY0_normal.jpg</v>
      </c>
      <c r="AW1673" s="80" t="s">
        <v>17540</v>
      </c>
      <c r="AX1673" s="80" t="s">
        <v>17540</v>
      </c>
      <c r="AY1673" s="77"/>
      <c r="AZ1673" s="80" t="s">
        <v>20380</v>
      </c>
      <c r="BA1673" s="80" t="s">
        <v>20380</v>
      </c>
      <c r="BB1673" s="80" t="s">
        <v>20380</v>
      </c>
      <c r="BC1673" s="80" t="s">
        <v>17540</v>
      </c>
      <c r="BD1673" s="77">
        <v>51150679</v>
      </c>
      <c r="BE1673" s="77"/>
      <c r="BF1673" s="77"/>
      <c r="BG1673" s="77"/>
      <c r="BH1673" s="77"/>
      <c r="BI1673" s="77"/>
    </row>
    <row r="1674" spans="1:61" x14ac:dyDescent="0.25">
      <c r="A1674" s="62" t="s">
        <v>790</v>
      </c>
      <c r="B1674" s="62" t="s">
        <v>790</v>
      </c>
      <c r="C1674" s="63"/>
      <c r="D1674" s="64"/>
      <c r="E1674" s="65"/>
      <c r="F1674" s="66"/>
      <c r="G1674" s="63"/>
      <c r="H1674" s="67"/>
      <c r="I1674" s="68"/>
      <c r="J1674" s="68"/>
      <c r="K1674" s="32"/>
      <c r="L1674" s="75">
        <v>1674</v>
      </c>
      <c r="M1674" s="75"/>
      <c r="N1674" s="70"/>
      <c r="O1674" s="77" t="s">
        <v>179</v>
      </c>
      <c r="P1674" s="79">
        <v>45140.928206018521</v>
      </c>
      <c r="Q1674" s="77" t="s">
        <v>3570</v>
      </c>
      <c r="R1674" s="77">
        <v>0</v>
      </c>
      <c r="S1674" s="77">
        <v>10</v>
      </c>
      <c r="T1674" s="77">
        <v>1</v>
      </c>
      <c r="U1674" s="77">
        <v>0</v>
      </c>
      <c r="V1674" s="77">
        <v>1365</v>
      </c>
      <c r="W1674" s="80" t="s">
        <v>6272</v>
      </c>
      <c r="X1674" s="83" t="str">
        <f>HYPERLINK("https://www.moneytimes.com.br/selic-em-1325-entenda-o-comunicado-do-copom-sobre-o-corte-nos-juros/")</f>
        <v>https://www.moneytimes.com.br/selic-em-1325-entenda-o-comunicado-do-copom-sobre-o-corte-nos-juros/</v>
      </c>
      <c r="Y1674" s="77" t="s">
        <v>8611</v>
      </c>
      <c r="Z1674" s="77"/>
      <c r="AA1674" s="77"/>
      <c r="AB1674" s="77"/>
      <c r="AC1674" s="80" t="s">
        <v>10558</v>
      </c>
      <c r="AD1674" s="77" t="s">
        <v>10617</v>
      </c>
      <c r="AE1674" s="83" t="str">
        <f>HYPERLINK("https://twitter.com/leiamoneytimes/status/1686863602819469312")</f>
        <v>https://twitter.com/leiamoneytimes/status/1686863602819469312</v>
      </c>
      <c r="AF1674" s="79">
        <v>45140.928206018521</v>
      </c>
      <c r="AG1674" s="85">
        <v>45140</v>
      </c>
      <c r="AH1674" s="80" t="s">
        <v>12103</v>
      </c>
      <c r="AI1674" s="77" t="b">
        <v>0</v>
      </c>
      <c r="AJ1674" s="77"/>
      <c r="AK1674" s="77"/>
      <c r="AL1674" s="77"/>
      <c r="AM1674" s="77"/>
      <c r="AN1674" s="77"/>
      <c r="AO1674" s="77"/>
      <c r="AP1674" s="77"/>
      <c r="AQ1674" s="77"/>
      <c r="AR1674" s="77"/>
      <c r="AS1674" s="77"/>
      <c r="AT1674" s="77"/>
      <c r="AU1674" s="77"/>
      <c r="AV1674" s="83" t="str">
        <f>HYPERLINK("https://pbs.twimg.com/profile_images/1559883556846977024/bXHnQFY0_normal.jpg")</f>
        <v>https://pbs.twimg.com/profile_images/1559883556846977024/bXHnQFY0_normal.jpg</v>
      </c>
      <c r="AW1674" s="80" t="s">
        <v>17541</v>
      </c>
      <c r="AX1674" s="80" t="s">
        <v>17541</v>
      </c>
      <c r="AY1674" s="77"/>
      <c r="AZ1674" s="80" t="s">
        <v>20380</v>
      </c>
      <c r="BA1674" s="80" t="s">
        <v>20380</v>
      </c>
      <c r="BB1674" s="80" t="s">
        <v>20380</v>
      </c>
      <c r="BC1674" s="80" t="s">
        <v>17541</v>
      </c>
      <c r="BD1674" s="77">
        <v>51150679</v>
      </c>
      <c r="BE1674" s="77"/>
      <c r="BF1674" s="77"/>
      <c r="BG1674" s="77"/>
      <c r="BH1674" s="77"/>
      <c r="BI1674" s="77"/>
    </row>
    <row r="1675" spans="1:61" x14ac:dyDescent="0.25">
      <c r="A1675" s="62" t="s">
        <v>790</v>
      </c>
      <c r="B1675" s="62" t="s">
        <v>790</v>
      </c>
      <c r="C1675" s="63"/>
      <c r="D1675" s="64"/>
      <c r="E1675" s="65"/>
      <c r="F1675" s="66"/>
      <c r="G1675" s="63"/>
      <c r="H1675" s="67"/>
      <c r="I1675" s="68"/>
      <c r="J1675" s="68"/>
      <c r="K1675" s="32"/>
      <c r="L1675" s="75">
        <v>1675</v>
      </c>
      <c r="M1675" s="75"/>
      <c r="N1675" s="70"/>
      <c r="O1675" s="77" t="s">
        <v>179</v>
      </c>
      <c r="P1675" s="79">
        <v>45140.916307870371</v>
      </c>
      <c r="Q1675" s="77" t="s">
        <v>3571</v>
      </c>
      <c r="R1675" s="77">
        <v>0</v>
      </c>
      <c r="S1675" s="77">
        <v>6</v>
      </c>
      <c r="T1675" s="77">
        <v>1</v>
      </c>
      <c r="U1675" s="77">
        <v>0</v>
      </c>
      <c r="V1675" s="77">
        <v>1334</v>
      </c>
      <c r="W1675" s="80" t="s">
        <v>6273</v>
      </c>
      <c r="X1675" s="83" t="str">
        <f>HYPERLINK("https://www.moneytimes.com.br/aceno-ao-pt-veja-qual-foi-o-voto-de-campos-neto-no-copom/")</f>
        <v>https://www.moneytimes.com.br/aceno-ao-pt-veja-qual-foi-o-voto-de-campos-neto-no-copom/</v>
      </c>
      <c r="Y1675" s="77" t="s">
        <v>8611</v>
      </c>
      <c r="Z1675" s="77"/>
      <c r="AA1675" s="77"/>
      <c r="AB1675" s="77"/>
      <c r="AC1675" s="80" t="s">
        <v>10558</v>
      </c>
      <c r="AD1675" s="77" t="s">
        <v>10617</v>
      </c>
      <c r="AE1675" s="83" t="str">
        <f>HYPERLINK("https://twitter.com/leiamoneytimes/status/1686859287115558912")</f>
        <v>https://twitter.com/leiamoneytimes/status/1686859287115558912</v>
      </c>
      <c r="AF1675" s="79">
        <v>45140.916307870371</v>
      </c>
      <c r="AG1675" s="85">
        <v>45140</v>
      </c>
      <c r="AH1675" s="80" t="s">
        <v>12104</v>
      </c>
      <c r="AI1675" s="77" t="b">
        <v>0</v>
      </c>
      <c r="AJ1675" s="77"/>
      <c r="AK1675" s="77"/>
      <c r="AL1675" s="77"/>
      <c r="AM1675" s="77"/>
      <c r="AN1675" s="77"/>
      <c r="AO1675" s="77"/>
      <c r="AP1675" s="77"/>
      <c r="AQ1675" s="77"/>
      <c r="AR1675" s="77"/>
      <c r="AS1675" s="77"/>
      <c r="AT1675" s="77"/>
      <c r="AU1675" s="77"/>
      <c r="AV1675" s="83" t="str">
        <f>HYPERLINK("https://pbs.twimg.com/profile_images/1559883556846977024/bXHnQFY0_normal.jpg")</f>
        <v>https://pbs.twimg.com/profile_images/1559883556846977024/bXHnQFY0_normal.jpg</v>
      </c>
      <c r="AW1675" s="80" t="s">
        <v>17542</v>
      </c>
      <c r="AX1675" s="80" t="s">
        <v>17542</v>
      </c>
      <c r="AY1675" s="77"/>
      <c r="AZ1675" s="80" t="s">
        <v>20380</v>
      </c>
      <c r="BA1675" s="80" t="s">
        <v>20380</v>
      </c>
      <c r="BB1675" s="80" t="s">
        <v>20380</v>
      </c>
      <c r="BC1675" s="80" t="s">
        <v>17542</v>
      </c>
      <c r="BD1675" s="77">
        <v>51150679</v>
      </c>
      <c r="BE1675" s="77"/>
      <c r="BF1675" s="77"/>
      <c r="BG1675" s="77"/>
      <c r="BH1675" s="77"/>
      <c r="BI1675" s="77"/>
    </row>
    <row r="1676" spans="1:61" x14ac:dyDescent="0.25">
      <c r="A1676" s="62" t="s">
        <v>790</v>
      </c>
      <c r="B1676" s="62" t="s">
        <v>790</v>
      </c>
      <c r="C1676" s="63"/>
      <c r="D1676" s="64"/>
      <c r="E1676" s="65"/>
      <c r="F1676" s="66"/>
      <c r="G1676" s="63"/>
      <c r="H1676" s="67"/>
      <c r="I1676" s="68"/>
      <c r="J1676" s="68"/>
      <c r="K1676" s="32"/>
      <c r="L1676" s="75">
        <v>1676</v>
      </c>
      <c r="M1676" s="75"/>
      <c r="N1676" s="70"/>
      <c r="O1676" s="77" t="s">
        <v>179</v>
      </c>
      <c r="P1676" s="79">
        <v>45140.908391203702</v>
      </c>
      <c r="Q1676" s="77" t="s">
        <v>3572</v>
      </c>
      <c r="R1676" s="77">
        <v>0</v>
      </c>
      <c r="S1676" s="77">
        <v>18</v>
      </c>
      <c r="T1676" s="77">
        <v>1</v>
      </c>
      <c r="U1676" s="77">
        <v>1</v>
      </c>
      <c r="V1676" s="77">
        <v>1896</v>
      </c>
      <c r="W1676" s="80" t="s">
        <v>6272</v>
      </c>
      <c r="X1676" s="83" t="str">
        <f>HYPERLINK("https://www.moneytimes.com.br/selic-1325-banco-central-copom-reduz-juros-050/")</f>
        <v>https://www.moneytimes.com.br/selic-1325-banco-central-copom-reduz-juros-050/</v>
      </c>
      <c r="Y1676" s="77" t="s">
        <v>8611</v>
      </c>
      <c r="Z1676" s="77"/>
      <c r="AA1676" s="77"/>
      <c r="AB1676" s="77"/>
      <c r="AC1676" s="80" t="s">
        <v>10558</v>
      </c>
      <c r="AD1676" s="77" t="s">
        <v>10617</v>
      </c>
      <c r="AE1676" s="83" t="str">
        <f>HYPERLINK("https://twitter.com/leiamoneytimes/status/1686856419377553408")</f>
        <v>https://twitter.com/leiamoneytimes/status/1686856419377553408</v>
      </c>
      <c r="AF1676" s="79">
        <v>45140.908391203702</v>
      </c>
      <c r="AG1676" s="85">
        <v>45140</v>
      </c>
      <c r="AH1676" s="80" t="s">
        <v>12105</v>
      </c>
      <c r="AI1676" s="77" t="b">
        <v>0</v>
      </c>
      <c r="AJ1676" s="77"/>
      <c r="AK1676" s="77"/>
      <c r="AL1676" s="77"/>
      <c r="AM1676" s="77"/>
      <c r="AN1676" s="77"/>
      <c r="AO1676" s="77"/>
      <c r="AP1676" s="77"/>
      <c r="AQ1676" s="77"/>
      <c r="AR1676" s="77"/>
      <c r="AS1676" s="77"/>
      <c r="AT1676" s="77"/>
      <c r="AU1676" s="77"/>
      <c r="AV1676" s="83" t="str">
        <f>HYPERLINK("https://pbs.twimg.com/profile_images/1559883556846977024/bXHnQFY0_normal.jpg")</f>
        <v>https://pbs.twimg.com/profile_images/1559883556846977024/bXHnQFY0_normal.jpg</v>
      </c>
      <c r="AW1676" s="80" t="s">
        <v>17543</v>
      </c>
      <c r="AX1676" s="80" t="s">
        <v>17543</v>
      </c>
      <c r="AY1676" s="77"/>
      <c r="AZ1676" s="80" t="s">
        <v>20380</v>
      </c>
      <c r="BA1676" s="80" t="s">
        <v>20380</v>
      </c>
      <c r="BB1676" s="80" t="s">
        <v>20380</v>
      </c>
      <c r="BC1676" s="80" t="s">
        <v>17543</v>
      </c>
      <c r="BD1676" s="77">
        <v>51150679</v>
      </c>
      <c r="BE1676" s="77"/>
      <c r="BF1676" s="77"/>
      <c r="BG1676" s="77"/>
      <c r="BH1676" s="77"/>
      <c r="BI1676" s="77"/>
    </row>
    <row r="1677" spans="1:61" x14ac:dyDescent="0.25">
      <c r="A1677" s="62" t="s">
        <v>790</v>
      </c>
      <c r="B1677" s="62" t="s">
        <v>790</v>
      </c>
      <c r="C1677" s="63"/>
      <c r="D1677" s="64"/>
      <c r="E1677" s="65"/>
      <c r="F1677" s="66"/>
      <c r="G1677" s="63"/>
      <c r="H1677" s="67"/>
      <c r="I1677" s="68"/>
      <c r="J1677" s="68"/>
      <c r="K1677" s="32"/>
      <c r="L1677" s="75">
        <v>1677</v>
      </c>
      <c r="M1677" s="75"/>
      <c r="N1677" s="70"/>
      <c r="O1677" s="77" t="s">
        <v>179</v>
      </c>
      <c r="P1677" s="79">
        <v>45140.883101851854</v>
      </c>
      <c r="Q1677" s="77" t="s">
        <v>3573</v>
      </c>
      <c r="R1677" s="77">
        <v>1</v>
      </c>
      <c r="S1677" s="77">
        <v>2</v>
      </c>
      <c r="T1677" s="77">
        <v>1</v>
      </c>
      <c r="U1677" s="77">
        <v>0</v>
      </c>
      <c r="V1677" s="77">
        <v>1338</v>
      </c>
      <c r="W1677" s="80" t="s">
        <v>7015</v>
      </c>
      <c r="X1677" s="83" t="str">
        <f>HYPERLINK("https://www.moneytimes.com.br/fundos-imobiliarios-voltam-a-subir-antes-do-copom-dividendo-negativo-por-culpa-de-gigante-da-bolsa/")</f>
        <v>https://www.moneytimes.com.br/fundos-imobiliarios-voltam-a-subir-antes-do-copom-dividendo-negativo-por-culpa-de-gigante-da-bolsa/</v>
      </c>
      <c r="Y1677" s="77" t="s">
        <v>8611</v>
      </c>
      <c r="Z1677" s="77"/>
      <c r="AA1677" s="77"/>
      <c r="AB1677" s="77"/>
      <c r="AC1677" s="80" t="s">
        <v>10558</v>
      </c>
      <c r="AD1677" s="77" t="s">
        <v>10617</v>
      </c>
      <c r="AE1677" s="83" t="str">
        <f>HYPERLINK("https://twitter.com/leiamoneytimes/status/1686847256786272257")</f>
        <v>https://twitter.com/leiamoneytimes/status/1686847256786272257</v>
      </c>
      <c r="AF1677" s="79">
        <v>45140.883101851854</v>
      </c>
      <c r="AG1677" s="85">
        <v>45140</v>
      </c>
      <c r="AH1677" s="80" t="s">
        <v>12106</v>
      </c>
      <c r="AI1677" s="77" t="b">
        <v>0</v>
      </c>
      <c r="AJ1677" s="77"/>
      <c r="AK1677" s="77"/>
      <c r="AL1677" s="77"/>
      <c r="AM1677" s="77"/>
      <c r="AN1677" s="77"/>
      <c r="AO1677" s="77"/>
      <c r="AP1677" s="77"/>
      <c r="AQ1677" s="77"/>
      <c r="AR1677" s="77"/>
      <c r="AS1677" s="77"/>
      <c r="AT1677" s="77"/>
      <c r="AU1677" s="77"/>
      <c r="AV1677" s="83" t="str">
        <f>HYPERLINK("https://pbs.twimg.com/profile_images/1559883556846977024/bXHnQFY0_normal.jpg")</f>
        <v>https://pbs.twimg.com/profile_images/1559883556846977024/bXHnQFY0_normal.jpg</v>
      </c>
      <c r="AW1677" s="80" t="s">
        <v>17544</v>
      </c>
      <c r="AX1677" s="80" t="s">
        <v>17544</v>
      </c>
      <c r="AY1677" s="77"/>
      <c r="AZ1677" s="80" t="s">
        <v>20380</v>
      </c>
      <c r="BA1677" s="80" t="s">
        <v>20380</v>
      </c>
      <c r="BB1677" s="80" t="s">
        <v>20380</v>
      </c>
      <c r="BC1677" s="80" t="s">
        <v>17544</v>
      </c>
      <c r="BD1677" s="77">
        <v>51150679</v>
      </c>
      <c r="BE1677" s="77"/>
      <c r="BF1677" s="77"/>
      <c r="BG1677" s="77"/>
      <c r="BH1677" s="77"/>
      <c r="BI1677" s="77"/>
    </row>
    <row r="1678" spans="1:61" x14ac:dyDescent="0.25">
      <c r="A1678" s="62" t="s">
        <v>790</v>
      </c>
      <c r="B1678" s="62" t="s">
        <v>790</v>
      </c>
      <c r="C1678" s="63"/>
      <c r="D1678" s="64"/>
      <c r="E1678" s="65"/>
      <c r="F1678" s="66"/>
      <c r="G1678" s="63"/>
      <c r="H1678" s="67"/>
      <c r="I1678" s="68"/>
      <c r="J1678" s="68"/>
      <c r="K1678" s="32"/>
      <c r="L1678" s="75">
        <v>1678</v>
      </c>
      <c r="M1678" s="75"/>
      <c r="N1678" s="70"/>
      <c r="O1678" s="77" t="s">
        <v>179</v>
      </c>
      <c r="P1678" s="79">
        <v>45140.754884259259</v>
      </c>
      <c r="Q1678" s="77" t="s">
        <v>3574</v>
      </c>
      <c r="R1678" s="77">
        <v>0</v>
      </c>
      <c r="S1678" s="77">
        <v>3</v>
      </c>
      <c r="T1678" s="77">
        <v>0</v>
      </c>
      <c r="U1678" s="77">
        <v>0</v>
      </c>
      <c r="V1678" s="77">
        <v>1015</v>
      </c>
      <c r="W1678" s="80" t="s">
        <v>7016</v>
      </c>
      <c r="X1678" s="83" t="str">
        <f>HYPERLINK("https://www.moneytimes.com.br/a-espera-do-copom-haddad-ve-espaco-para-o-corte-de-050-pp-na-selic/")</f>
        <v>https://www.moneytimes.com.br/a-espera-do-copom-haddad-ve-espaco-para-o-corte-de-050-pp-na-selic/</v>
      </c>
      <c r="Y1678" s="77" t="s">
        <v>8611</v>
      </c>
      <c r="Z1678" s="77"/>
      <c r="AA1678" s="77"/>
      <c r="AB1678" s="77"/>
      <c r="AC1678" s="80" t="s">
        <v>10558</v>
      </c>
      <c r="AD1678" s="77" t="s">
        <v>10617</v>
      </c>
      <c r="AE1678" s="83" t="str">
        <f>HYPERLINK("https://twitter.com/leiamoneytimes/status/1686800792903159808")</f>
        <v>https://twitter.com/leiamoneytimes/status/1686800792903159808</v>
      </c>
      <c r="AF1678" s="79">
        <v>45140.754884259259</v>
      </c>
      <c r="AG1678" s="85">
        <v>45140</v>
      </c>
      <c r="AH1678" s="80" t="s">
        <v>12107</v>
      </c>
      <c r="AI1678" s="77" t="b">
        <v>0</v>
      </c>
      <c r="AJ1678" s="77"/>
      <c r="AK1678" s="77"/>
      <c r="AL1678" s="77"/>
      <c r="AM1678" s="77"/>
      <c r="AN1678" s="77"/>
      <c r="AO1678" s="77"/>
      <c r="AP1678" s="77"/>
      <c r="AQ1678" s="77"/>
      <c r="AR1678" s="77"/>
      <c r="AS1678" s="77"/>
      <c r="AT1678" s="77"/>
      <c r="AU1678" s="77"/>
      <c r="AV1678" s="83" t="str">
        <f>HYPERLINK("https://pbs.twimg.com/profile_images/1559883556846977024/bXHnQFY0_normal.jpg")</f>
        <v>https://pbs.twimg.com/profile_images/1559883556846977024/bXHnQFY0_normal.jpg</v>
      </c>
      <c r="AW1678" s="80" t="s">
        <v>17545</v>
      </c>
      <c r="AX1678" s="80" t="s">
        <v>17545</v>
      </c>
      <c r="AY1678" s="77"/>
      <c r="AZ1678" s="80" t="s">
        <v>20380</v>
      </c>
      <c r="BA1678" s="80" t="s">
        <v>20380</v>
      </c>
      <c r="BB1678" s="80" t="s">
        <v>20380</v>
      </c>
      <c r="BC1678" s="80" t="s">
        <v>17545</v>
      </c>
      <c r="BD1678" s="77">
        <v>51150679</v>
      </c>
      <c r="BE1678" s="77"/>
      <c r="BF1678" s="77"/>
      <c r="BG1678" s="77"/>
      <c r="BH1678" s="77"/>
      <c r="BI1678" s="77"/>
    </row>
    <row r="1679" spans="1:61" x14ac:dyDescent="0.25">
      <c r="A1679" s="62" t="s">
        <v>790</v>
      </c>
      <c r="B1679" s="62" t="s">
        <v>790</v>
      </c>
      <c r="C1679" s="63"/>
      <c r="D1679" s="64"/>
      <c r="E1679" s="65"/>
      <c r="F1679" s="66"/>
      <c r="G1679" s="63"/>
      <c r="H1679" s="67"/>
      <c r="I1679" s="68"/>
      <c r="J1679" s="68"/>
      <c r="K1679" s="32"/>
      <c r="L1679" s="75">
        <v>1679</v>
      </c>
      <c r="M1679" s="75"/>
      <c r="N1679" s="70"/>
      <c r="O1679" s="77" t="s">
        <v>179</v>
      </c>
      <c r="P1679" s="79">
        <v>45140.748298611114</v>
      </c>
      <c r="Q1679" s="77" t="s">
        <v>3575</v>
      </c>
      <c r="R1679" s="77">
        <v>0</v>
      </c>
      <c r="S1679" s="77">
        <v>1</v>
      </c>
      <c r="T1679" s="77">
        <v>0</v>
      </c>
      <c r="U1679" s="77">
        <v>1</v>
      </c>
      <c r="V1679" s="77">
        <v>1286</v>
      </c>
      <c r="W1679" s="80" t="s">
        <v>7017</v>
      </c>
      <c r="X1679" s="83" t="str">
        <f>HYPERLINK("https://www.moneytimes.com.br/selic-a-1350-ou-1325-galipolo-pode-confundir-mercado-em-seu-1o-voto-no-copom/")</f>
        <v>https://www.moneytimes.com.br/selic-a-1350-ou-1325-galipolo-pode-confundir-mercado-em-seu-1o-voto-no-copom/</v>
      </c>
      <c r="Y1679" s="77" t="s">
        <v>8611</v>
      </c>
      <c r="Z1679" s="77"/>
      <c r="AA1679" s="77"/>
      <c r="AB1679" s="77"/>
      <c r="AC1679" s="80" t="s">
        <v>10558</v>
      </c>
      <c r="AD1679" s="77" t="s">
        <v>10617</v>
      </c>
      <c r="AE1679" s="83" t="str">
        <f>HYPERLINK("https://twitter.com/leiamoneytimes/status/1686798403605327874")</f>
        <v>https://twitter.com/leiamoneytimes/status/1686798403605327874</v>
      </c>
      <c r="AF1679" s="79">
        <v>45140.748298611114</v>
      </c>
      <c r="AG1679" s="85">
        <v>45140</v>
      </c>
      <c r="AH1679" s="80" t="s">
        <v>12108</v>
      </c>
      <c r="AI1679" s="77" t="b">
        <v>0</v>
      </c>
      <c r="AJ1679" s="77"/>
      <c r="AK1679" s="77"/>
      <c r="AL1679" s="77"/>
      <c r="AM1679" s="77"/>
      <c r="AN1679" s="77"/>
      <c r="AO1679" s="77"/>
      <c r="AP1679" s="77"/>
      <c r="AQ1679" s="77"/>
      <c r="AR1679" s="77"/>
      <c r="AS1679" s="77"/>
      <c r="AT1679" s="77"/>
      <c r="AU1679" s="77"/>
      <c r="AV1679" s="83" t="str">
        <f>HYPERLINK("https://pbs.twimg.com/profile_images/1559883556846977024/bXHnQFY0_normal.jpg")</f>
        <v>https://pbs.twimg.com/profile_images/1559883556846977024/bXHnQFY0_normal.jpg</v>
      </c>
      <c r="AW1679" s="80" t="s">
        <v>17546</v>
      </c>
      <c r="AX1679" s="80" t="s">
        <v>17546</v>
      </c>
      <c r="AY1679" s="77"/>
      <c r="AZ1679" s="80" t="s">
        <v>20380</v>
      </c>
      <c r="BA1679" s="80" t="s">
        <v>20380</v>
      </c>
      <c r="BB1679" s="80" t="s">
        <v>20380</v>
      </c>
      <c r="BC1679" s="80" t="s">
        <v>17546</v>
      </c>
      <c r="BD1679" s="77">
        <v>51150679</v>
      </c>
      <c r="BE1679" s="77"/>
      <c r="BF1679" s="77"/>
      <c r="BG1679" s="77"/>
      <c r="BH1679" s="77"/>
      <c r="BI1679" s="77"/>
    </row>
    <row r="1680" spans="1:61" x14ac:dyDescent="0.25">
      <c r="A1680" s="62" t="s">
        <v>790</v>
      </c>
      <c r="B1680" s="62" t="s">
        <v>790</v>
      </c>
      <c r="C1680" s="63"/>
      <c r="D1680" s="64"/>
      <c r="E1680" s="65"/>
      <c r="F1680" s="66"/>
      <c r="G1680" s="63"/>
      <c r="H1680" s="67"/>
      <c r="I1680" s="68"/>
      <c r="J1680" s="68"/>
      <c r="K1680" s="32"/>
      <c r="L1680" s="75">
        <v>1680</v>
      </c>
      <c r="M1680" s="75"/>
      <c r="N1680" s="70"/>
      <c r="O1680" s="77" t="s">
        <v>179</v>
      </c>
      <c r="P1680" s="79">
        <v>45140.737997685188</v>
      </c>
      <c r="Q1680" s="77" t="s">
        <v>3576</v>
      </c>
      <c r="R1680" s="77">
        <v>0</v>
      </c>
      <c r="S1680" s="77">
        <v>14</v>
      </c>
      <c r="T1680" s="77">
        <v>2</v>
      </c>
      <c r="U1680" s="77">
        <v>0</v>
      </c>
      <c r="V1680" s="77">
        <v>1313</v>
      </c>
      <c r="W1680" s="80" t="s">
        <v>6272</v>
      </c>
      <c r="X1680" s="83" t="str">
        <f>HYPERLINK("https://www.moneytimes.com.br/selic-em-1375-nova-nota-dos-eua-pode-fazer-campo-neto-mudar-de-ideia-sobre-corte/")</f>
        <v>https://www.moneytimes.com.br/selic-em-1375-nova-nota-dos-eua-pode-fazer-campo-neto-mudar-de-ideia-sobre-corte/</v>
      </c>
      <c r="Y1680" s="77" t="s">
        <v>8611</v>
      </c>
      <c r="Z1680" s="77"/>
      <c r="AA1680" s="77"/>
      <c r="AB1680" s="77"/>
      <c r="AC1680" s="80" t="s">
        <v>10558</v>
      </c>
      <c r="AD1680" s="77" t="s">
        <v>10617</v>
      </c>
      <c r="AE1680" s="83" t="str">
        <f>HYPERLINK("https://twitter.com/leiamoneytimes/status/1686794671261970443")</f>
        <v>https://twitter.com/leiamoneytimes/status/1686794671261970443</v>
      </c>
      <c r="AF1680" s="79">
        <v>45140.737997685188</v>
      </c>
      <c r="AG1680" s="85">
        <v>45140</v>
      </c>
      <c r="AH1680" s="80" t="s">
        <v>12109</v>
      </c>
      <c r="AI1680" s="77" t="b">
        <v>0</v>
      </c>
      <c r="AJ1680" s="77"/>
      <c r="AK1680" s="77"/>
      <c r="AL1680" s="77"/>
      <c r="AM1680" s="77"/>
      <c r="AN1680" s="77"/>
      <c r="AO1680" s="77"/>
      <c r="AP1680" s="77"/>
      <c r="AQ1680" s="77"/>
      <c r="AR1680" s="77"/>
      <c r="AS1680" s="77"/>
      <c r="AT1680" s="77"/>
      <c r="AU1680" s="77"/>
      <c r="AV1680" s="83" t="str">
        <f>HYPERLINK("https://pbs.twimg.com/profile_images/1559883556846977024/bXHnQFY0_normal.jpg")</f>
        <v>https://pbs.twimg.com/profile_images/1559883556846977024/bXHnQFY0_normal.jpg</v>
      </c>
      <c r="AW1680" s="80" t="s">
        <v>17547</v>
      </c>
      <c r="AX1680" s="80" t="s">
        <v>17547</v>
      </c>
      <c r="AY1680" s="77"/>
      <c r="AZ1680" s="80" t="s">
        <v>20380</v>
      </c>
      <c r="BA1680" s="80" t="s">
        <v>20380</v>
      </c>
      <c r="BB1680" s="80" t="s">
        <v>20380</v>
      </c>
      <c r="BC1680" s="80" t="s">
        <v>17547</v>
      </c>
      <c r="BD1680" s="77">
        <v>51150679</v>
      </c>
      <c r="BE1680" s="77"/>
      <c r="BF1680" s="77"/>
      <c r="BG1680" s="77"/>
      <c r="BH1680" s="77"/>
      <c r="BI1680" s="77"/>
    </row>
    <row r="1681" spans="1:61" x14ac:dyDescent="0.25">
      <c r="A1681" s="62" t="s">
        <v>790</v>
      </c>
      <c r="B1681" s="62" t="s">
        <v>790</v>
      </c>
      <c r="C1681" s="63"/>
      <c r="D1681" s="64"/>
      <c r="E1681" s="65"/>
      <c r="F1681" s="66"/>
      <c r="G1681" s="63"/>
      <c r="H1681" s="67"/>
      <c r="I1681" s="68"/>
      <c r="J1681" s="68"/>
      <c r="K1681" s="32"/>
      <c r="L1681" s="75">
        <v>1681</v>
      </c>
      <c r="M1681" s="75"/>
      <c r="N1681" s="70"/>
      <c r="O1681" s="77" t="s">
        <v>179</v>
      </c>
      <c r="P1681" s="79">
        <v>45140.707013888888</v>
      </c>
      <c r="Q1681" s="77" t="s">
        <v>3577</v>
      </c>
      <c r="R1681" s="77">
        <v>0</v>
      </c>
      <c r="S1681" s="77">
        <v>2</v>
      </c>
      <c r="T1681" s="77">
        <v>2</v>
      </c>
      <c r="U1681" s="77">
        <v>0</v>
      </c>
      <c r="V1681" s="77">
        <v>968</v>
      </c>
      <c r="W1681" s="80" t="s">
        <v>6272</v>
      </c>
      <c r="X1681" s="83" t="str">
        <f>HYPERLINK("https://www.moneytimes.com.br/campos-neto-nao-sai-da-cabeca-de-lula-presidente-pede-queda-da-selic-em-dia-do-copom/")</f>
        <v>https://www.moneytimes.com.br/campos-neto-nao-sai-da-cabeca-de-lula-presidente-pede-queda-da-selic-em-dia-do-copom/</v>
      </c>
      <c r="Y1681" s="77" t="s">
        <v>8611</v>
      </c>
      <c r="Z1681" s="77"/>
      <c r="AA1681" s="77"/>
      <c r="AB1681" s="77"/>
      <c r="AC1681" s="80" t="s">
        <v>10558</v>
      </c>
      <c r="AD1681" s="77" t="s">
        <v>10617</v>
      </c>
      <c r="AE1681" s="83" t="str">
        <f>HYPERLINK("https://twitter.com/leiamoneytimes/status/1686783443005325325")</f>
        <v>https://twitter.com/leiamoneytimes/status/1686783443005325325</v>
      </c>
      <c r="AF1681" s="79">
        <v>45140.707013888888</v>
      </c>
      <c r="AG1681" s="85">
        <v>45140</v>
      </c>
      <c r="AH1681" s="80" t="s">
        <v>12110</v>
      </c>
      <c r="AI1681" s="77" t="b">
        <v>0</v>
      </c>
      <c r="AJ1681" s="77"/>
      <c r="AK1681" s="77"/>
      <c r="AL1681" s="77"/>
      <c r="AM1681" s="77"/>
      <c r="AN1681" s="77"/>
      <c r="AO1681" s="77"/>
      <c r="AP1681" s="77"/>
      <c r="AQ1681" s="77"/>
      <c r="AR1681" s="77"/>
      <c r="AS1681" s="77"/>
      <c r="AT1681" s="77"/>
      <c r="AU1681" s="77"/>
      <c r="AV1681" s="83" t="str">
        <f>HYPERLINK("https://pbs.twimg.com/profile_images/1559883556846977024/bXHnQFY0_normal.jpg")</f>
        <v>https://pbs.twimg.com/profile_images/1559883556846977024/bXHnQFY0_normal.jpg</v>
      </c>
      <c r="AW1681" s="80" t="s">
        <v>17548</v>
      </c>
      <c r="AX1681" s="80" t="s">
        <v>17548</v>
      </c>
      <c r="AY1681" s="77"/>
      <c r="AZ1681" s="80" t="s">
        <v>20380</v>
      </c>
      <c r="BA1681" s="80" t="s">
        <v>20380</v>
      </c>
      <c r="BB1681" s="80" t="s">
        <v>20380</v>
      </c>
      <c r="BC1681" s="80" t="s">
        <v>17548</v>
      </c>
      <c r="BD1681" s="77">
        <v>51150679</v>
      </c>
      <c r="BE1681" s="77"/>
      <c r="BF1681" s="77"/>
      <c r="BG1681" s="77"/>
      <c r="BH1681" s="77"/>
      <c r="BI1681" s="77"/>
    </row>
    <row r="1682" spans="1:61" x14ac:dyDescent="0.25">
      <c r="A1682" s="62" t="s">
        <v>790</v>
      </c>
      <c r="B1682" s="62" t="s">
        <v>790</v>
      </c>
      <c r="C1682" s="63"/>
      <c r="D1682" s="64"/>
      <c r="E1682" s="65"/>
      <c r="F1682" s="66"/>
      <c r="G1682" s="63"/>
      <c r="H1682" s="67"/>
      <c r="I1682" s="68"/>
      <c r="J1682" s="68"/>
      <c r="K1682" s="32"/>
      <c r="L1682" s="75">
        <v>1682</v>
      </c>
      <c r="M1682" s="75"/>
      <c r="N1682" s="70"/>
      <c r="O1682" s="77" t="s">
        <v>179</v>
      </c>
      <c r="P1682" s="79">
        <v>45140.641145833331</v>
      </c>
      <c r="Q1682" s="77" t="s">
        <v>3578</v>
      </c>
      <c r="R1682" s="77">
        <v>0</v>
      </c>
      <c r="S1682" s="77">
        <v>1</v>
      </c>
      <c r="T1682" s="77">
        <v>1</v>
      </c>
      <c r="U1682" s="77">
        <v>0</v>
      </c>
      <c r="V1682" s="77">
        <v>1021</v>
      </c>
      <c r="W1682" s="80" t="s">
        <v>6929</v>
      </c>
      <c r="X1682" s="83" t="str">
        <f>HYPERLINK("https://www.moneytimes.com.br/indicadores-hoje-ibovespa-derrete-02-08-2023/")</f>
        <v>https://www.moneytimes.com.br/indicadores-hoje-ibovespa-derrete-02-08-2023/</v>
      </c>
      <c r="Y1682" s="77" t="s">
        <v>8611</v>
      </c>
      <c r="Z1682" s="77"/>
      <c r="AA1682" s="77"/>
      <c r="AB1682" s="77"/>
      <c r="AC1682" s="80" t="s">
        <v>10558</v>
      </c>
      <c r="AD1682" s="77" t="s">
        <v>10617</v>
      </c>
      <c r="AE1682" s="83" t="str">
        <f>HYPERLINK("https://twitter.com/leiamoneytimes/status/1686759573208682496")</f>
        <v>https://twitter.com/leiamoneytimes/status/1686759573208682496</v>
      </c>
      <c r="AF1682" s="79">
        <v>45140.641145833331</v>
      </c>
      <c r="AG1682" s="85">
        <v>45140</v>
      </c>
      <c r="AH1682" s="80" t="s">
        <v>12111</v>
      </c>
      <c r="AI1682" s="77" t="b">
        <v>0</v>
      </c>
      <c r="AJ1682" s="77"/>
      <c r="AK1682" s="77"/>
      <c r="AL1682" s="77"/>
      <c r="AM1682" s="77"/>
      <c r="AN1682" s="77"/>
      <c r="AO1682" s="77"/>
      <c r="AP1682" s="77"/>
      <c r="AQ1682" s="77"/>
      <c r="AR1682" s="77"/>
      <c r="AS1682" s="77"/>
      <c r="AT1682" s="77"/>
      <c r="AU1682" s="77"/>
      <c r="AV1682" s="83" t="str">
        <f>HYPERLINK("https://pbs.twimg.com/profile_images/1559883556846977024/bXHnQFY0_normal.jpg")</f>
        <v>https://pbs.twimg.com/profile_images/1559883556846977024/bXHnQFY0_normal.jpg</v>
      </c>
      <c r="AW1682" s="80" t="s">
        <v>17549</v>
      </c>
      <c r="AX1682" s="80" t="s">
        <v>17549</v>
      </c>
      <c r="AY1682" s="77"/>
      <c r="AZ1682" s="80" t="s">
        <v>20380</v>
      </c>
      <c r="BA1682" s="80" t="s">
        <v>20380</v>
      </c>
      <c r="BB1682" s="80" t="s">
        <v>20380</v>
      </c>
      <c r="BC1682" s="80" t="s">
        <v>17549</v>
      </c>
      <c r="BD1682" s="77">
        <v>51150679</v>
      </c>
      <c r="BE1682" s="77"/>
      <c r="BF1682" s="77"/>
      <c r="BG1682" s="77"/>
      <c r="BH1682" s="77"/>
      <c r="BI1682" s="77"/>
    </row>
    <row r="1683" spans="1:61" x14ac:dyDescent="0.25">
      <c r="A1683" s="62" t="s">
        <v>790</v>
      </c>
      <c r="B1683" s="62" t="s">
        <v>790</v>
      </c>
      <c r="C1683" s="63"/>
      <c r="D1683" s="64"/>
      <c r="E1683" s="65"/>
      <c r="F1683" s="66"/>
      <c r="G1683" s="63"/>
      <c r="H1683" s="67"/>
      <c r="I1683" s="68"/>
      <c r="J1683" s="68"/>
      <c r="K1683" s="32"/>
      <c r="L1683" s="75">
        <v>1683</v>
      </c>
      <c r="M1683" s="75"/>
      <c r="N1683" s="70"/>
      <c r="O1683" s="77" t="s">
        <v>179</v>
      </c>
      <c r="P1683" s="79">
        <v>45140.633171296293</v>
      </c>
      <c r="Q1683" s="77" t="s">
        <v>3579</v>
      </c>
      <c r="R1683" s="77">
        <v>0</v>
      </c>
      <c r="S1683" s="77">
        <v>3</v>
      </c>
      <c r="T1683" s="77">
        <v>1</v>
      </c>
      <c r="U1683" s="77">
        <v>0</v>
      </c>
      <c r="V1683" s="77">
        <v>1068</v>
      </c>
      <c r="W1683" s="80" t="s">
        <v>6272</v>
      </c>
      <c r="X1683" s="83" t="str">
        <f>HYPERLINK("https://www.moneytimes.com.br/o-que-o-banco-central-vai-levar-em-conta-na-hora-de-cortar-ou-nao-a-selic/")</f>
        <v>https://www.moneytimes.com.br/o-que-o-banco-central-vai-levar-em-conta-na-hora-de-cortar-ou-nao-a-selic/</v>
      </c>
      <c r="Y1683" s="77" t="s">
        <v>8611</v>
      </c>
      <c r="Z1683" s="77"/>
      <c r="AA1683" s="77"/>
      <c r="AB1683" s="77"/>
      <c r="AC1683" s="80" t="s">
        <v>10558</v>
      </c>
      <c r="AD1683" s="77" t="s">
        <v>10617</v>
      </c>
      <c r="AE1683" s="83" t="str">
        <f>HYPERLINK("https://twitter.com/leiamoneytimes/status/1686756685367414784")</f>
        <v>https://twitter.com/leiamoneytimes/status/1686756685367414784</v>
      </c>
      <c r="AF1683" s="79">
        <v>45140.633171296293</v>
      </c>
      <c r="AG1683" s="85">
        <v>45140</v>
      </c>
      <c r="AH1683" s="80" t="s">
        <v>12112</v>
      </c>
      <c r="AI1683" s="77" t="b">
        <v>0</v>
      </c>
      <c r="AJ1683" s="77"/>
      <c r="AK1683" s="77"/>
      <c r="AL1683" s="77"/>
      <c r="AM1683" s="77"/>
      <c r="AN1683" s="77"/>
      <c r="AO1683" s="77"/>
      <c r="AP1683" s="77"/>
      <c r="AQ1683" s="77"/>
      <c r="AR1683" s="77"/>
      <c r="AS1683" s="77"/>
      <c r="AT1683" s="77"/>
      <c r="AU1683" s="77"/>
      <c r="AV1683" s="83" t="str">
        <f>HYPERLINK("https://pbs.twimg.com/profile_images/1559883556846977024/bXHnQFY0_normal.jpg")</f>
        <v>https://pbs.twimg.com/profile_images/1559883556846977024/bXHnQFY0_normal.jpg</v>
      </c>
      <c r="AW1683" s="80" t="s">
        <v>17550</v>
      </c>
      <c r="AX1683" s="80" t="s">
        <v>17550</v>
      </c>
      <c r="AY1683" s="77"/>
      <c r="AZ1683" s="80" t="s">
        <v>20380</v>
      </c>
      <c r="BA1683" s="80" t="s">
        <v>20380</v>
      </c>
      <c r="BB1683" s="80" t="s">
        <v>20380</v>
      </c>
      <c r="BC1683" s="80" t="s">
        <v>17550</v>
      </c>
      <c r="BD1683" s="77">
        <v>51150679</v>
      </c>
      <c r="BE1683" s="77"/>
      <c r="BF1683" s="77"/>
      <c r="BG1683" s="77"/>
      <c r="BH1683" s="77"/>
      <c r="BI1683" s="77"/>
    </row>
    <row r="1684" spans="1:61" x14ac:dyDescent="0.25">
      <c r="A1684" s="62" t="s">
        <v>790</v>
      </c>
      <c r="B1684" s="62" t="s">
        <v>790</v>
      </c>
      <c r="C1684" s="63"/>
      <c r="D1684" s="64"/>
      <c r="E1684" s="65"/>
      <c r="F1684" s="66"/>
      <c r="G1684" s="63"/>
      <c r="H1684" s="67"/>
      <c r="I1684" s="68"/>
      <c r="J1684" s="68"/>
      <c r="K1684" s="32"/>
      <c r="L1684" s="75">
        <v>1684</v>
      </c>
      <c r="M1684" s="75"/>
      <c r="N1684" s="70"/>
      <c r="O1684" s="77" t="s">
        <v>179</v>
      </c>
      <c r="P1684" s="79">
        <v>45114.801504629628</v>
      </c>
      <c r="Q1684" s="77" t="s">
        <v>3580</v>
      </c>
      <c r="R1684" s="77">
        <v>0</v>
      </c>
      <c r="S1684" s="77">
        <v>3</v>
      </c>
      <c r="T1684" s="77">
        <v>1</v>
      </c>
      <c r="U1684" s="77">
        <v>0</v>
      </c>
      <c r="V1684" s="77">
        <v>1116</v>
      </c>
      <c r="W1684" s="80" t="s">
        <v>6922</v>
      </c>
      <c r="X1684" s="83" t="str">
        <f>HYPERLINK("https://www.moneytimes.com.br/gabriel-galipolo-e-ailton-aquino-sao-nomeados-diretores-do-banco-central/")</f>
        <v>https://www.moneytimes.com.br/gabriel-galipolo-e-ailton-aquino-sao-nomeados-diretores-do-banco-central/</v>
      </c>
      <c r="Y1684" s="77" t="s">
        <v>8611</v>
      </c>
      <c r="Z1684" s="77"/>
      <c r="AA1684" s="77"/>
      <c r="AB1684" s="77"/>
      <c r="AC1684" s="80" t="s">
        <v>10558</v>
      </c>
      <c r="AD1684" s="77" t="s">
        <v>10617</v>
      </c>
      <c r="AE1684" s="83" t="str">
        <f>HYPERLINK("https://twitter.com/leiamoneytimes/status/1677395600487096322")</f>
        <v>https://twitter.com/leiamoneytimes/status/1677395600487096322</v>
      </c>
      <c r="AF1684" s="79">
        <v>45114.801504629628</v>
      </c>
      <c r="AG1684" s="85">
        <v>45114</v>
      </c>
      <c r="AH1684" s="80" t="s">
        <v>12113</v>
      </c>
      <c r="AI1684" s="77" t="b">
        <v>0</v>
      </c>
      <c r="AJ1684" s="77"/>
      <c r="AK1684" s="77"/>
      <c r="AL1684" s="77"/>
      <c r="AM1684" s="77"/>
      <c r="AN1684" s="77"/>
      <c r="AO1684" s="77"/>
      <c r="AP1684" s="77"/>
      <c r="AQ1684" s="77"/>
      <c r="AR1684" s="77"/>
      <c r="AS1684" s="77"/>
      <c r="AT1684" s="77"/>
      <c r="AU1684" s="77"/>
      <c r="AV1684" s="83" t="str">
        <f>HYPERLINK("https://pbs.twimg.com/profile_images/1559883556846977024/bXHnQFY0_normal.jpg")</f>
        <v>https://pbs.twimg.com/profile_images/1559883556846977024/bXHnQFY0_normal.jpg</v>
      </c>
      <c r="AW1684" s="80" t="s">
        <v>17551</v>
      </c>
      <c r="AX1684" s="80" t="s">
        <v>17551</v>
      </c>
      <c r="AY1684" s="77"/>
      <c r="AZ1684" s="80" t="s">
        <v>20380</v>
      </c>
      <c r="BA1684" s="80" t="s">
        <v>20380</v>
      </c>
      <c r="BB1684" s="80" t="s">
        <v>20380</v>
      </c>
      <c r="BC1684" s="80" t="s">
        <v>17551</v>
      </c>
      <c r="BD1684" s="77">
        <v>51150679</v>
      </c>
      <c r="BE1684" s="77"/>
      <c r="BF1684" s="77"/>
      <c r="BG1684" s="77"/>
      <c r="BH1684" s="77"/>
      <c r="BI1684" s="77"/>
    </row>
    <row r="1685" spans="1:61" x14ac:dyDescent="0.25">
      <c r="A1685" s="62" t="s">
        <v>790</v>
      </c>
      <c r="B1685" s="62" t="s">
        <v>790</v>
      </c>
      <c r="C1685" s="63"/>
      <c r="D1685" s="64"/>
      <c r="E1685" s="65"/>
      <c r="F1685" s="66"/>
      <c r="G1685" s="63"/>
      <c r="H1685" s="67"/>
      <c r="I1685" s="68"/>
      <c r="J1685" s="68"/>
      <c r="K1685" s="32"/>
      <c r="L1685" s="75">
        <v>1685</v>
      </c>
      <c r="M1685" s="75"/>
      <c r="N1685" s="70"/>
      <c r="O1685" s="77" t="s">
        <v>179</v>
      </c>
      <c r="P1685" s="79">
        <v>45113.753622685188</v>
      </c>
      <c r="Q1685" s="77" t="s">
        <v>3581</v>
      </c>
      <c r="R1685" s="77">
        <v>0</v>
      </c>
      <c r="S1685" s="77">
        <v>0</v>
      </c>
      <c r="T1685" s="77">
        <v>1</v>
      </c>
      <c r="U1685" s="77">
        <v>0</v>
      </c>
      <c r="V1685" s="77">
        <v>939</v>
      </c>
      <c r="W1685" s="80" t="s">
        <v>6931</v>
      </c>
      <c r="X1685" s="83" t="str">
        <f>HYPERLINK("https://www.moneytimes.com.br/campos-neto-fora-do-banco-central-presidente-vai-ao-senado-prestar-esclarecimentos/")</f>
        <v>https://www.moneytimes.com.br/campos-neto-fora-do-banco-central-presidente-vai-ao-senado-prestar-esclarecimentos/</v>
      </c>
      <c r="Y1685" s="77" t="s">
        <v>8611</v>
      </c>
      <c r="Z1685" s="77"/>
      <c r="AA1685" s="77"/>
      <c r="AB1685" s="77"/>
      <c r="AC1685" s="80" t="s">
        <v>10558</v>
      </c>
      <c r="AD1685" s="77" t="s">
        <v>10617</v>
      </c>
      <c r="AE1685" s="83" t="str">
        <f>HYPERLINK("https://twitter.com/leiamoneytimes/status/1677015860609703955")</f>
        <v>https://twitter.com/leiamoneytimes/status/1677015860609703955</v>
      </c>
      <c r="AF1685" s="79">
        <v>45113.753622685188</v>
      </c>
      <c r="AG1685" s="85">
        <v>45113</v>
      </c>
      <c r="AH1685" s="80" t="s">
        <v>12114</v>
      </c>
      <c r="AI1685" s="77" t="b">
        <v>0</v>
      </c>
      <c r="AJ1685" s="77"/>
      <c r="AK1685" s="77"/>
      <c r="AL1685" s="77"/>
      <c r="AM1685" s="77"/>
      <c r="AN1685" s="77"/>
      <c r="AO1685" s="77"/>
      <c r="AP1685" s="77"/>
      <c r="AQ1685" s="77"/>
      <c r="AR1685" s="77"/>
      <c r="AS1685" s="77"/>
      <c r="AT1685" s="77"/>
      <c r="AU1685" s="77"/>
      <c r="AV1685" s="83" t="str">
        <f>HYPERLINK("https://pbs.twimg.com/profile_images/1559883556846977024/bXHnQFY0_normal.jpg")</f>
        <v>https://pbs.twimg.com/profile_images/1559883556846977024/bXHnQFY0_normal.jpg</v>
      </c>
      <c r="AW1685" s="80" t="s">
        <v>17552</v>
      </c>
      <c r="AX1685" s="80" t="s">
        <v>17552</v>
      </c>
      <c r="AY1685" s="77"/>
      <c r="AZ1685" s="80" t="s">
        <v>20380</v>
      </c>
      <c r="BA1685" s="80" t="s">
        <v>20380</v>
      </c>
      <c r="BB1685" s="80" t="s">
        <v>20380</v>
      </c>
      <c r="BC1685" s="80" t="s">
        <v>17552</v>
      </c>
      <c r="BD1685" s="77">
        <v>51150679</v>
      </c>
      <c r="BE1685" s="77"/>
      <c r="BF1685" s="77"/>
      <c r="BG1685" s="77"/>
      <c r="BH1685" s="77"/>
      <c r="BI1685" s="77"/>
    </row>
    <row r="1686" spans="1:61" x14ac:dyDescent="0.25">
      <c r="A1686" s="62" t="s">
        <v>790</v>
      </c>
      <c r="B1686" s="62" t="s">
        <v>790</v>
      </c>
      <c r="C1686" s="63"/>
      <c r="D1686" s="64"/>
      <c r="E1686" s="65"/>
      <c r="F1686" s="66"/>
      <c r="G1686" s="63"/>
      <c r="H1686" s="67"/>
      <c r="I1686" s="68"/>
      <c r="J1686" s="68"/>
      <c r="K1686" s="32"/>
      <c r="L1686" s="75">
        <v>1686</v>
      </c>
      <c r="M1686" s="75"/>
      <c r="N1686" s="70"/>
      <c r="O1686" s="77" t="s">
        <v>179</v>
      </c>
      <c r="P1686" s="79">
        <v>45113.535196759258</v>
      </c>
      <c r="Q1686" s="77" t="s">
        <v>3582</v>
      </c>
      <c r="R1686" s="77">
        <v>0</v>
      </c>
      <c r="S1686" s="77">
        <v>1</v>
      </c>
      <c r="T1686" s="77">
        <v>3</v>
      </c>
      <c r="U1686" s="77">
        <v>0</v>
      </c>
      <c r="V1686" s="77">
        <v>1161</v>
      </c>
      <c r="W1686" s="80" t="s">
        <v>7018</v>
      </c>
      <c r="X1686" s="83" t="str">
        <f>HYPERLINK("https://www.moneytimes.com.br/magalu-mglu3-luiza-trajano-errou-briga-pelo-corte-da-selic-nao-pega-bem-para-varejista-diz-analista/")</f>
        <v>https://www.moneytimes.com.br/magalu-mglu3-luiza-trajano-errou-briga-pelo-corte-da-selic-nao-pega-bem-para-varejista-diz-analista/</v>
      </c>
      <c r="Y1686" s="77" t="s">
        <v>8611</v>
      </c>
      <c r="Z1686" s="77"/>
      <c r="AA1686" s="77"/>
      <c r="AB1686" s="77"/>
      <c r="AC1686" s="80" t="s">
        <v>10558</v>
      </c>
      <c r="AD1686" s="77" t="s">
        <v>10617</v>
      </c>
      <c r="AE1686" s="83" t="str">
        <f>HYPERLINK("https://twitter.com/leiamoneytimes/status/1676936707155927040")</f>
        <v>https://twitter.com/leiamoneytimes/status/1676936707155927040</v>
      </c>
      <c r="AF1686" s="79">
        <v>45113.535196759258</v>
      </c>
      <c r="AG1686" s="85">
        <v>45113</v>
      </c>
      <c r="AH1686" s="80" t="s">
        <v>12115</v>
      </c>
      <c r="AI1686" s="77" t="b">
        <v>0</v>
      </c>
      <c r="AJ1686" s="77"/>
      <c r="AK1686" s="77"/>
      <c r="AL1686" s="77"/>
      <c r="AM1686" s="77"/>
      <c r="AN1686" s="77"/>
      <c r="AO1686" s="77"/>
      <c r="AP1686" s="77"/>
      <c r="AQ1686" s="77"/>
      <c r="AR1686" s="77"/>
      <c r="AS1686" s="77"/>
      <c r="AT1686" s="77"/>
      <c r="AU1686" s="77"/>
      <c r="AV1686" s="83" t="str">
        <f>HYPERLINK("https://pbs.twimg.com/profile_images/1559883556846977024/bXHnQFY0_normal.jpg")</f>
        <v>https://pbs.twimg.com/profile_images/1559883556846977024/bXHnQFY0_normal.jpg</v>
      </c>
      <c r="AW1686" s="80" t="s">
        <v>17553</v>
      </c>
      <c r="AX1686" s="80" t="s">
        <v>17553</v>
      </c>
      <c r="AY1686" s="77"/>
      <c r="AZ1686" s="80" t="s">
        <v>20380</v>
      </c>
      <c r="BA1686" s="80" t="s">
        <v>20380</v>
      </c>
      <c r="BB1686" s="80" t="s">
        <v>20380</v>
      </c>
      <c r="BC1686" s="80" t="s">
        <v>17553</v>
      </c>
      <c r="BD1686" s="77">
        <v>51150679</v>
      </c>
      <c r="BE1686" s="77"/>
      <c r="BF1686" s="77"/>
      <c r="BG1686" s="77"/>
      <c r="BH1686" s="77"/>
      <c r="BI1686" s="77"/>
    </row>
    <row r="1687" spans="1:61" x14ac:dyDescent="0.25">
      <c r="A1687" s="62" t="s">
        <v>790</v>
      </c>
      <c r="B1687" s="62" t="s">
        <v>790</v>
      </c>
      <c r="C1687" s="63"/>
      <c r="D1687" s="64"/>
      <c r="E1687" s="65"/>
      <c r="F1687" s="66"/>
      <c r="G1687" s="63"/>
      <c r="H1687" s="67"/>
      <c r="I1687" s="68"/>
      <c r="J1687" s="68"/>
      <c r="K1687" s="32"/>
      <c r="L1687" s="75">
        <v>1687</v>
      </c>
      <c r="M1687" s="75"/>
      <c r="N1687" s="70"/>
      <c r="O1687" s="77" t="s">
        <v>179</v>
      </c>
      <c r="P1687" s="79">
        <v>45113.523599537039</v>
      </c>
      <c r="Q1687" s="77" t="s">
        <v>3583</v>
      </c>
      <c r="R1687" s="77">
        <v>0</v>
      </c>
      <c r="S1687" s="77">
        <v>0</v>
      </c>
      <c r="T1687" s="77">
        <v>1</v>
      </c>
      <c r="U1687" s="77">
        <v>0</v>
      </c>
      <c r="V1687" s="77">
        <v>988</v>
      </c>
      <c r="W1687" s="80" t="s">
        <v>6966</v>
      </c>
      <c r="X1687" s="83" t="str">
        <f>HYPERLINK("https://www.moneytimes.com.br/dolar-tem-leve-alta-apos-ata-do-fed-e-com-expectativa-por-votacao-da-reforma-tributaria/")</f>
        <v>https://www.moneytimes.com.br/dolar-tem-leve-alta-apos-ata-do-fed-e-com-expectativa-por-votacao-da-reforma-tributaria/</v>
      </c>
      <c r="Y1687" s="77" t="s">
        <v>8611</v>
      </c>
      <c r="Z1687" s="77"/>
      <c r="AA1687" s="77"/>
      <c r="AB1687" s="77"/>
      <c r="AC1687" s="80" t="s">
        <v>10558</v>
      </c>
      <c r="AD1687" s="77" t="s">
        <v>10617</v>
      </c>
      <c r="AE1687" s="83" t="str">
        <f>HYPERLINK("https://twitter.com/leiamoneytimes/status/1676932503737597952")</f>
        <v>https://twitter.com/leiamoneytimes/status/1676932503737597952</v>
      </c>
      <c r="AF1687" s="79">
        <v>45113.523599537039</v>
      </c>
      <c r="AG1687" s="85">
        <v>45113</v>
      </c>
      <c r="AH1687" s="80" t="s">
        <v>12116</v>
      </c>
      <c r="AI1687" s="77" t="b">
        <v>0</v>
      </c>
      <c r="AJ1687" s="77"/>
      <c r="AK1687" s="77"/>
      <c r="AL1687" s="77"/>
      <c r="AM1687" s="77"/>
      <c r="AN1687" s="77"/>
      <c r="AO1687" s="77"/>
      <c r="AP1687" s="77"/>
      <c r="AQ1687" s="77"/>
      <c r="AR1687" s="77"/>
      <c r="AS1687" s="77"/>
      <c r="AT1687" s="77"/>
      <c r="AU1687" s="77"/>
      <c r="AV1687" s="83" t="str">
        <f>HYPERLINK("https://pbs.twimg.com/profile_images/1559883556846977024/bXHnQFY0_normal.jpg")</f>
        <v>https://pbs.twimg.com/profile_images/1559883556846977024/bXHnQFY0_normal.jpg</v>
      </c>
      <c r="AW1687" s="80" t="s">
        <v>17554</v>
      </c>
      <c r="AX1687" s="80" t="s">
        <v>17554</v>
      </c>
      <c r="AY1687" s="77"/>
      <c r="AZ1687" s="80" t="s">
        <v>20380</v>
      </c>
      <c r="BA1687" s="80" t="s">
        <v>20380</v>
      </c>
      <c r="BB1687" s="80" t="s">
        <v>20380</v>
      </c>
      <c r="BC1687" s="80" t="s">
        <v>17554</v>
      </c>
      <c r="BD1687" s="77">
        <v>51150679</v>
      </c>
      <c r="BE1687" s="77"/>
      <c r="BF1687" s="77"/>
      <c r="BG1687" s="77"/>
      <c r="BH1687" s="77"/>
      <c r="BI1687" s="77"/>
    </row>
    <row r="1688" spans="1:61" x14ac:dyDescent="0.25">
      <c r="A1688" s="62" t="s">
        <v>790</v>
      </c>
      <c r="B1688" s="62" t="s">
        <v>790</v>
      </c>
      <c r="C1688" s="63"/>
      <c r="D1688" s="64"/>
      <c r="E1688" s="65"/>
      <c r="F1688" s="66"/>
      <c r="G1688" s="63"/>
      <c r="H1688" s="67"/>
      <c r="I1688" s="68"/>
      <c r="J1688" s="68"/>
      <c r="K1688" s="32"/>
      <c r="L1688" s="75">
        <v>1688</v>
      </c>
      <c r="M1688" s="75"/>
      <c r="N1688" s="70"/>
      <c r="O1688" s="77" t="s">
        <v>179</v>
      </c>
      <c r="P1688" s="79">
        <v>45113.468252314815</v>
      </c>
      <c r="Q1688" s="77" t="s">
        <v>3584</v>
      </c>
      <c r="R1688" s="77">
        <v>0</v>
      </c>
      <c r="S1688" s="77">
        <v>2</v>
      </c>
      <c r="T1688" s="77">
        <v>2</v>
      </c>
      <c r="U1688" s="77">
        <v>0</v>
      </c>
      <c r="V1688" s="77">
        <v>1272</v>
      </c>
      <c r="W1688" s="80" t="s">
        <v>7019</v>
      </c>
      <c r="X1688" s="83" t="str">
        <f>HYPERLINK("https://www.moneytimes.com.br/quanto-custa-a-selic-a-1375-para-o-pais-governo-gastou-r-12-tri-com-aperto-monetario/")</f>
        <v>https://www.moneytimes.com.br/quanto-custa-a-selic-a-1375-para-o-pais-governo-gastou-r-12-tri-com-aperto-monetario/</v>
      </c>
      <c r="Y1688" s="77" t="s">
        <v>8611</v>
      </c>
      <c r="Z1688" s="77"/>
      <c r="AA1688" s="77"/>
      <c r="AB1688" s="77"/>
      <c r="AC1688" s="80" t="s">
        <v>10558</v>
      </c>
      <c r="AD1688" s="77" t="s">
        <v>10617</v>
      </c>
      <c r="AE1688" s="83" t="str">
        <f>HYPERLINK("https://twitter.com/leiamoneytimes/status/1676912448811540480")</f>
        <v>https://twitter.com/leiamoneytimes/status/1676912448811540480</v>
      </c>
      <c r="AF1688" s="79">
        <v>45113.468252314815</v>
      </c>
      <c r="AG1688" s="85">
        <v>45113</v>
      </c>
      <c r="AH1688" s="80" t="s">
        <v>12117</v>
      </c>
      <c r="AI1688" s="77" t="b">
        <v>0</v>
      </c>
      <c r="AJ1688" s="77"/>
      <c r="AK1688" s="77"/>
      <c r="AL1688" s="77"/>
      <c r="AM1688" s="77"/>
      <c r="AN1688" s="77"/>
      <c r="AO1688" s="77"/>
      <c r="AP1688" s="77"/>
      <c r="AQ1688" s="77"/>
      <c r="AR1688" s="77"/>
      <c r="AS1688" s="77"/>
      <c r="AT1688" s="77"/>
      <c r="AU1688" s="77"/>
      <c r="AV1688" s="83" t="str">
        <f>HYPERLINK("https://pbs.twimg.com/profile_images/1559883556846977024/bXHnQFY0_normal.jpg")</f>
        <v>https://pbs.twimg.com/profile_images/1559883556846977024/bXHnQFY0_normal.jpg</v>
      </c>
      <c r="AW1688" s="80" t="s">
        <v>17555</v>
      </c>
      <c r="AX1688" s="80" t="s">
        <v>17555</v>
      </c>
      <c r="AY1688" s="77"/>
      <c r="AZ1688" s="80" t="s">
        <v>20380</v>
      </c>
      <c r="BA1688" s="80" t="s">
        <v>20380</v>
      </c>
      <c r="BB1688" s="80" t="s">
        <v>20380</v>
      </c>
      <c r="BC1688" s="80" t="s">
        <v>17555</v>
      </c>
      <c r="BD1688" s="77">
        <v>51150679</v>
      </c>
      <c r="BE1688" s="77"/>
      <c r="BF1688" s="77"/>
      <c r="BG1688" s="77"/>
      <c r="BH1688" s="77"/>
      <c r="BI1688" s="77"/>
    </row>
    <row r="1689" spans="1:61" x14ac:dyDescent="0.25">
      <c r="A1689" s="62" t="s">
        <v>790</v>
      </c>
      <c r="B1689" s="62" t="s">
        <v>790</v>
      </c>
      <c r="C1689" s="63"/>
      <c r="D1689" s="64"/>
      <c r="E1689" s="65"/>
      <c r="F1689" s="66"/>
      <c r="G1689" s="63"/>
      <c r="H1689" s="67"/>
      <c r="I1689" s="68"/>
      <c r="J1689" s="68"/>
      <c r="K1689" s="32"/>
      <c r="L1689" s="75">
        <v>1689</v>
      </c>
      <c r="M1689" s="75"/>
      <c r="N1689" s="70"/>
      <c r="O1689" s="77" t="s">
        <v>179</v>
      </c>
      <c r="P1689" s="79">
        <v>45112.917199074072</v>
      </c>
      <c r="Q1689" s="77" t="s">
        <v>3585</v>
      </c>
      <c r="R1689" s="77">
        <v>1</v>
      </c>
      <c r="S1689" s="77">
        <v>7</v>
      </c>
      <c r="T1689" s="77">
        <v>1</v>
      </c>
      <c r="U1689" s="77">
        <v>1</v>
      </c>
      <c r="V1689" s="77">
        <v>1482</v>
      </c>
      <c r="W1689" s="80" t="s">
        <v>7020</v>
      </c>
      <c r="X1689" s="83" t="str">
        <f>HYPERLINK("https://www.moneytimes.com.br/dolar-veja-o-que-pode-atrapalhar-moeda-abaixo-de-r-480-ate-o-fim-do-ano/")</f>
        <v>https://www.moneytimes.com.br/dolar-veja-o-que-pode-atrapalhar-moeda-abaixo-de-r-480-ate-o-fim-do-ano/</v>
      </c>
      <c r="Y1689" s="77" t="s">
        <v>8611</v>
      </c>
      <c r="Z1689" s="77"/>
      <c r="AA1689" s="77"/>
      <c r="AB1689" s="77"/>
      <c r="AC1689" s="80" t="s">
        <v>10558</v>
      </c>
      <c r="AD1689" s="77" t="s">
        <v>10617</v>
      </c>
      <c r="AE1689" s="83" t="str">
        <f>HYPERLINK("https://twitter.com/leiamoneytimes/status/1676712750720925696")</f>
        <v>https://twitter.com/leiamoneytimes/status/1676712750720925696</v>
      </c>
      <c r="AF1689" s="79">
        <v>45112.917199074072</v>
      </c>
      <c r="AG1689" s="85">
        <v>45112</v>
      </c>
      <c r="AH1689" s="80" t="s">
        <v>12118</v>
      </c>
      <c r="AI1689" s="77" t="b">
        <v>0</v>
      </c>
      <c r="AJ1689" s="77"/>
      <c r="AK1689" s="77"/>
      <c r="AL1689" s="77"/>
      <c r="AM1689" s="77"/>
      <c r="AN1689" s="77"/>
      <c r="AO1689" s="77"/>
      <c r="AP1689" s="77"/>
      <c r="AQ1689" s="77"/>
      <c r="AR1689" s="77"/>
      <c r="AS1689" s="77"/>
      <c r="AT1689" s="77"/>
      <c r="AU1689" s="77"/>
      <c r="AV1689" s="83" t="str">
        <f>HYPERLINK("https://pbs.twimg.com/profile_images/1559883556846977024/bXHnQFY0_normal.jpg")</f>
        <v>https://pbs.twimg.com/profile_images/1559883556846977024/bXHnQFY0_normal.jpg</v>
      </c>
      <c r="AW1689" s="80" t="s">
        <v>17556</v>
      </c>
      <c r="AX1689" s="80" t="s">
        <v>17556</v>
      </c>
      <c r="AY1689" s="77"/>
      <c r="AZ1689" s="80" t="s">
        <v>20380</v>
      </c>
      <c r="BA1689" s="80" t="s">
        <v>20380</v>
      </c>
      <c r="BB1689" s="80" t="s">
        <v>20380</v>
      </c>
      <c r="BC1689" s="80" t="s">
        <v>17556</v>
      </c>
      <c r="BD1689" s="77">
        <v>51150679</v>
      </c>
      <c r="BE1689" s="77"/>
      <c r="BF1689" s="77"/>
      <c r="BG1689" s="77"/>
      <c r="BH1689" s="77"/>
      <c r="BI1689" s="77"/>
    </row>
    <row r="1690" spans="1:61" x14ac:dyDescent="0.25">
      <c r="A1690" s="62" t="s">
        <v>790</v>
      </c>
      <c r="B1690" s="62" t="s">
        <v>790</v>
      </c>
      <c r="C1690" s="63"/>
      <c r="D1690" s="64"/>
      <c r="E1690" s="65"/>
      <c r="F1690" s="66"/>
      <c r="G1690" s="63"/>
      <c r="H1690" s="67"/>
      <c r="I1690" s="68"/>
      <c r="J1690" s="68"/>
      <c r="K1690" s="32"/>
      <c r="L1690" s="75">
        <v>1690</v>
      </c>
      <c r="M1690" s="75"/>
      <c r="N1690" s="70"/>
      <c r="O1690" s="77" t="s">
        <v>179</v>
      </c>
      <c r="P1690" s="79">
        <v>45100.532465277778</v>
      </c>
      <c r="Q1690" s="77" t="s">
        <v>3586</v>
      </c>
      <c r="R1690" s="77">
        <v>0</v>
      </c>
      <c r="S1690" s="77">
        <v>6</v>
      </c>
      <c r="T1690" s="77">
        <v>0</v>
      </c>
      <c r="U1690" s="77">
        <v>0</v>
      </c>
      <c r="V1690" s="77">
        <v>1030</v>
      </c>
      <c r="W1690" s="80" t="s">
        <v>6966</v>
      </c>
      <c r="X1690" s="83" t="str">
        <f>HYPERLINK("https://www.moneytimes.com.br/dolar-avanca-ante-real-com-aversao-a-risco-externa/")</f>
        <v>https://www.moneytimes.com.br/dolar-avanca-ante-real-com-aversao-a-risco-externa/</v>
      </c>
      <c r="Y1690" s="77" t="s">
        <v>8611</v>
      </c>
      <c r="Z1690" s="77"/>
      <c r="AA1690" s="77"/>
      <c r="AB1690" s="77"/>
      <c r="AC1690" s="80" t="s">
        <v>10558</v>
      </c>
      <c r="AD1690" s="77" t="s">
        <v>10617</v>
      </c>
      <c r="AE1690" s="83" t="str">
        <f>HYPERLINK("https://twitter.com/leiamoneytimes/status/1672224675118686208")</f>
        <v>https://twitter.com/leiamoneytimes/status/1672224675118686208</v>
      </c>
      <c r="AF1690" s="79">
        <v>45100.532465277778</v>
      </c>
      <c r="AG1690" s="85">
        <v>45100</v>
      </c>
      <c r="AH1690" s="80" t="s">
        <v>12119</v>
      </c>
      <c r="AI1690" s="77" t="b">
        <v>0</v>
      </c>
      <c r="AJ1690" s="77"/>
      <c r="AK1690" s="77"/>
      <c r="AL1690" s="77"/>
      <c r="AM1690" s="77"/>
      <c r="AN1690" s="77"/>
      <c r="AO1690" s="77"/>
      <c r="AP1690" s="77"/>
      <c r="AQ1690" s="77"/>
      <c r="AR1690" s="77"/>
      <c r="AS1690" s="77"/>
      <c r="AT1690" s="77"/>
      <c r="AU1690" s="77"/>
      <c r="AV1690" s="83" t="str">
        <f>HYPERLINK("https://pbs.twimg.com/profile_images/1559883556846977024/bXHnQFY0_normal.jpg")</f>
        <v>https://pbs.twimg.com/profile_images/1559883556846977024/bXHnQFY0_normal.jpg</v>
      </c>
      <c r="AW1690" s="80" t="s">
        <v>17557</v>
      </c>
      <c r="AX1690" s="80" t="s">
        <v>17557</v>
      </c>
      <c r="AY1690" s="77"/>
      <c r="AZ1690" s="80" t="s">
        <v>20380</v>
      </c>
      <c r="BA1690" s="80" t="s">
        <v>20380</v>
      </c>
      <c r="BB1690" s="80" t="s">
        <v>20380</v>
      </c>
      <c r="BC1690" s="80" t="s">
        <v>17557</v>
      </c>
      <c r="BD1690" s="77">
        <v>51150679</v>
      </c>
      <c r="BE1690" s="77"/>
      <c r="BF1690" s="77"/>
      <c r="BG1690" s="77"/>
      <c r="BH1690" s="77"/>
      <c r="BI1690" s="77"/>
    </row>
    <row r="1691" spans="1:61" x14ac:dyDescent="0.25">
      <c r="A1691" s="62" t="s">
        <v>790</v>
      </c>
      <c r="B1691" s="62" t="s">
        <v>790</v>
      </c>
      <c r="C1691" s="63"/>
      <c r="D1691" s="64"/>
      <c r="E1691" s="65"/>
      <c r="F1691" s="66"/>
      <c r="G1691" s="63"/>
      <c r="H1691" s="67"/>
      <c r="I1691" s="68"/>
      <c r="J1691" s="68"/>
      <c r="K1691" s="32"/>
      <c r="L1691" s="75">
        <v>1691</v>
      </c>
      <c r="M1691" s="75"/>
      <c r="N1691" s="70"/>
      <c r="O1691" s="77" t="s">
        <v>179</v>
      </c>
      <c r="P1691" s="79">
        <v>45100.472696759258</v>
      </c>
      <c r="Q1691" s="77" t="s">
        <v>3587</v>
      </c>
      <c r="R1691" s="77">
        <v>0</v>
      </c>
      <c r="S1691" s="77">
        <v>2</v>
      </c>
      <c r="T1691" s="77">
        <v>2</v>
      </c>
      <c r="U1691" s="77">
        <v>1</v>
      </c>
      <c r="V1691" s="77">
        <v>1313</v>
      </c>
      <c r="W1691" s="80" t="s">
        <v>6927</v>
      </c>
      <c r="X1691" s="83" t="str">
        <f>HYPERLINK("https://www.moneytimes.com.br/lula-e-haddad-sobem-o-tom-com-o-banco-central-veja-o-que-movimenta-a-sexta-23/")</f>
        <v>https://www.moneytimes.com.br/lula-e-haddad-sobem-o-tom-com-o-banco-central-veja-o-que-movimenta-a-sexta-23/</v>
      </c>
      <c r="Y1691" s="77" t="s">
        <v>8611</v>
      </c>
      <c r="Z1691" s="77"/>
      <c r="AA1691" s="77"/>
      <c r="AB1691" s="77"/>
      <c r="AC1691" s="80" t="s">
        <v>10558</v>
      </c>
      <c r="AD1691" s="77" t="s">
        <v>10617</v>
      </c>
      <c r="AE1691" s="83" t="str">
        <f>HYPERLINK("https://twitter.com/leiamoneytimes/status/1672203015665643521")</f>
        <v>https://twitter.com/leiamoneytimes/status/1672203015665643521</v>
      </c>
      <c r="AF1691" s="79">
        <v>45100.472696759258</v>
      </c>
      <c r="AG1691" s="85">
        <v>45100</v>
      </c>
      <c r="AH1691" s="80" t="s">
        <v>12120</v>
      </c>
      <c r="AI1691" s="77" t="b">
        <v>0</v>
      </c>
      <c r="AJ1691" s="77"/>
      <c r="AK1691" s="77"/>
      <c r="AL1691" s="77"/>
      <c r="AM1691" s="77"/>
      <c r="AN1691" s="77"/>
      <c r="AO1691" s="77"/>
      <c r="AP1691" s="77"/>
      <c r="AQ1691" s="77"/>
      <c r="AR1691" s="77"/>
      <c r="AS1691" s="77"/>
      <c r="AT1691" s="77"/>
      <c r="AU1691" s="77"/>
      <c r="AV1691" s="83" t="str">
        <f>HYPERLINK("https://pbs.twimg.com/profile_images/1559883556846977024/bXHnQFY0_normal.jpg")</f>
        <v>https://pbs.twimg.com/profile_images/1559883556846977024/bXHnQFY0_normal.jpg</v>
      </c>
      <c r="AW1691" s="80" t="s">
        <v>17558</v>
      </c>
      <c r="AX1691" s="80" t="s">
        <v>17558</v>
      </c>
      <c r="AY1691" s="77"/>
      <c r="AZ1691" s="80" t="s">
        <v>20380</v>
      </c>
      <c r="BA1691" s="80" t="s">
        <v>20380</v>
      </c>
      <c r="BB1691" s="80" t="s">
        <v>20380</v>
      </c>
      <c r="BC1691" s="80" t="s">
        <v>17558</v>
      </c>
      <c r="BD1691" s="77">
        <v>51150679</v>
      </c>
      <c r="BE1691" s="77"/>
      <c r="BF1691" s="77"/>
      <c r="BG1691" s="77"/>
      <c r="BH1691" s="77"/>
      <c r="BI1691" s="77"/>
    </row>
    <row r="1692" spans="1:61" x14ac:dyDescent="0.25">
      <c r="A1692" s="62" t="s">
        <v>790</v>
      </c>
      <c r="B1692" s="62" t="s">
        <v>790</v>
      </c>
      <c r="C1692" s="63"/>
      <c r="D1692" s="64"/>
      <c r="E1692" s="65"/>
      <c r="F1692" s="66"/>
      <c r="G1692" s="63"/>
      <c r="H1692" s="67"/>
      <c r="I1692" s="68"/>
      <c r="J1692" s="68"/>
      <c r="K1692" s="32"/>
      <c r="L1692" s="75">
        <v>1692</v>
      </c>
      <c r="M1692" s="75"/>
      <c r="N1692" s="70"/>
      <c r="O1692" s="77" t="s">
        <v>179</v>
      </c>
      <c r="P1692" s="79">
        <v>45100.446701388886</v>
      </c>
      <c r="Q1692" s="77" t="s">
        <v>3588</v>
      </c>
      <c r="R1692" s="77">
        <v>0</v>
      </c>
      <c r="S1692" s="77">
        <v>3</v>
      </c>
      <c r="T1692" s="77">
        <v>0</v>
      </c>
      <c r="U1692" s="77">
        <v>0</v>
      </c>
      <c r="V1692" s="77">
        <v>1245</v>
      </c>
      <c r="W1692" s="80" t="s">
        <v>6935</v>
      </c>
      <c r="X1692" s="83" t="str">
        <f>HYPERLINK("https://www.moneytimes.com.br/morning-times-passado-o-susto-hora-do-mercado-buscar-o-balde/")</f>
        <v>https://www.moneytimes.com.br/morning-times-passado-o-susto-hora-do-mercado-buscar-o-balde/</v>
      </c>
      <c r="Y1692" s="77" t="s">
        <v>8611</v>
      </c>
      <c r="Z1692" s="77"/>
      <c r="AA1692" s="77"/>
      <c r="AB1692" s="77"/>
      <c r="AC1692" s="80" t="s">
        <v>10558</v>
      </c>
      <c r="AD1692" s="77" t="s">
        <v>10617</v>
      </c>
      <c r="AE1692" s="83" t="str">
        <f>HYPERLINK("https://twitter.com/leiamoneytimes/status/1672193595544154112")</f>
        <v>https://twitter.com/leiamoneytimes/status/1672193595544154112</v>
      </c>
      <c r="AF1692" s="79">
        <v>45100.446701388886</v>
      </c>
      <c r="AG1692" s="85">
        <v>45100</v>
      </c>
      <c r="AH1692" s="80" t="s">
        <v>12121</v>
      </c>
      <c r="AI1692" s="77" t="b">
        <v>0</v>
      </c>
      <c r="AJ1692" s="77"/>
      <c r="AK1692" s="77"/>
      <c r="AL1692" s="77"/>
      <c r="AM1692" s="77"/>
      <c r="AN1692" s="77"/>
      <c r="AO1692" s="77"/>
      <c r="AP1692" s="77"/>
      <c r="AQ1692" s="77"/>
      <c r="AR1692" s="77"/>
      <c r="AS1692" s="77"/>
      <c r="AT1692" s="77"/>
      <c r="AU1692" s="77"/>
      <c r="AV1692" s="83" t="str">
        <f>HYPERLINK("https://pbs.twimg.com/profile_images/1559883556846977024/bXHnQFY0_normal.jpg")</f>
        <v>https://pbs.twimg.com/profile_images/1559883556846977024/bXHnQFY0_normal.jpg</v>
      </c>
      <c r="AW1692" s="80" t="s">
        <v>17559</v>
      </c>
      <c r="AX1692" s="80" t="s">
        <v>17559</v>
      </c>
      <c r="AY1692" s="77"/>
      <c r="AZ1692" s="80" t="s">
        <v>20380</v>
      </c>
      <c r="BA1692" s="80" t="s">
        <v>20380</v>
      </c>
      <c r="BB1692" s="80" t="s">
        <v>20380</v>
      </c>
      <c r="BC1692" s="80" t="s">
        <v>17559</v>
      </c>
      <c r="BD1692" s="77">
        <v>51150679</v>
      </c>
      <c r="BE1692" s="77"/>
      <c r="BF1692" s="77"/>
      <c r="BG1692" s="77"/>
      <c r="BH1692" s="77"/>
      <c r="BI1692" s="77"/>
    </row>
    <row r="1693" spans="1:61" x14ac:dyDescent="0.25">
      <c r="A1693" s="62" t="s">
        <v>790</v>
      </c>
      <c r="B1693" s="62" t="s">
        <v>790</v>
      </c>
      <c r="C1693" s="63"/>
      <c r="D1693" s="64"/>
      <c r="E1693" s="65"/>
      <c r="F1693" s="66"/>
      <c r="G1693" s="63"/>
      <c r="H1693" s="67"/>
      <c r="I1693" s="68"/>
      <c r="J1693" s="68"/>
      <c r="K1693" s="32"/>
      <c r="L1693" s="75">
        <v>1693</v>
      </c>
      <c r="M1693" s="75"/>
      <c r="N1693" s="70"/>
      <c r="O1693" s="77" t="s">
        <v>179</v>
      </c>
      <c r="P1693" s="79">
        <v>45099.888171296298</v>
      </c>
      <c r="Q1693" s="77" t="s">
        <v>3589</v>
      </c>
      <c r="R1693" s="77">
        <v>0</v>
      </c>
      <c r="S1693" s="77">
        <v>3</v>
      </c>
      <c r="T1693" s="77">
        <v>1</v>
      </c>
      <c r="U1693" s="77">
        <v>0</v>
      </c>
      <c r="V1693" s="77">
        <v>1370</v>
      </c>
      <c r="W1693" s="80" t="s">
        <v>7021</v>
      </c>
      <c r="X1693" s="83" t="str">
        <f>HYPERLINK("https://www.moneytimes.com.br/fundos-imobiliarios-sangria-apos-copom-e-fim-de-sequencia-positiva/")</f>
        <v>https://www.moneytimes.com.br/fundos-imobiliarios-sangria-apos-copom-e-fim-de-sequencia-positiva/</v>
      </c>
      <c r="Y1693" s="77" t="s">
        <v>8611</v>
      </c>
      <c r="Z1693" s="77"/>
      <c r="AA1693" s="77"/>
      <c r="AB1693" s="77"/>
      <c r="AC1693" s="80" t="s">
        <v>10558</v>
      </c>
      <c r="AD1693" s="77" t="s">
        <v>10617</v>
      </c>
      <c r="AE1693" s="83" t="str">
        <f>HYPERLINK("https://twitter.com/leiamoneytimes/status/1671991190844227584")</f>
        <v>https://twitter.com/leiamoneytimes/status/1671991190844227584</v>
      </c>
      <c r="AF1693" s="79">
        <v>45099.888171296298</v>
      </c>
      <c r="AG1693" s="85">
        <v>45099</v>
      </c>
      <c r="AH1693" s="80" t="s">
        <v>12122</v>
      </c>
      <c r="AI1693" s="77" t="b">
        <v>0</v>
      </c>
      <c r="AJ1693" s="77"/>
      <c r="AK1693" s="77"/>
      <c r="AL1693" s="77"/>
      <c r="AM1693" s="77"/>
      <c r="AN1693" s="77"/>
      <c r="AO1693" s="77"/>
      <c r="AP1693" s="77"/>
      <c r="AQ1693" s="77"/>
      <c r="AR1693" s="77"/>
      <c r="AS1693" s="77"/>
      <c r="AT1693" s="77"/>
      <c r="AU1693" s="77"/>
      <c r="AV1693" s="83" t="str">
        <f>HYPERLINK("https://pbs.twimg.com/profile_images/1559883556846977024/bXHnQFY0_normal.jpg")</f>
        <v>https://pbs.twimg.com/profile_images/1559883556846977024/bXHnQFY0_normal.jpg</v>
      </c>
      <c r="AW1693" s="80" t="s">
        <v>17560</v>
      </c>
      <c r="AX1693" s="80" t="s">
        <v>17560</v>
      </c>
      <c r="AY1693" s="77"/>
      <c r="AZ1693" s="80" t="s">
        <v>20380</v>
      </c>
      <c r="BA1693" s="80" t="s">
        <v>20380</v>
      </c>
      <c r="BB1693" s="80" t="s">
        <v>20380</v>
      </c>
      <c r="BC1693" s="80" t="s">
        <v>17560</v>
      </c>
      <c r="BD1693" s="77">
        <v>51150679</v>
      </c>
      <c r="BE1693" s="77"/>
      <c r="BF1693" s="77"/>
      <c r="BG1693" s="77"/>
      <c r="BH1693" s="77"/>
      <c r="BI1693" s="77"/>
    </row>
    <row r="1694" spans="1:61" x14ac:dyDescent="0.25">
      <c r="A1694" s="62" t="s">
        <v>790</v>
      </c>
      <c r="B1694" s="62" t="s">
        <v>790</v>
      </c>
      <c r="C1694" s="63"/>
      <c r="D1694" s="64"/>
      <c r="E1694" s="65"/>
      <c r="F1694" s="66"/>
      <c r="G1694" s="63"/>
      <c r="H1694" s="67"/>
      <c r="I1694" s="68"/>
      <c r="J1694" s="68"/>
      <c r="K1694" s="32"/>
      <c r="L1694" s="75">
        <v>1694</v>
      </c>
      <c r="M1694" s="75"/>
      <c r="N1694" s="70"/>
      <c r="O1694" s="77" t="s">
        <v>179</v>
      </c>
      <c r="P1694" s="79">
        <v>45099.821296296293</v>
      </c>
      <c r="Q1694" s="77" t="s">
        <v>3590</v>
      </c>
      <c r="R1694" s="77">
        <v>2</v>
      </c>
      <c r="S1694" s="77">
        <v>13</v>
      </c>
      <c r="T1694" s="77">
        <v>6</v>
      </c>
      <c r="U1694" s="77">
        <v>0</v>
      </c>
      <c r="V1694" s="77">
        <v>2165</v>
      </c>
      <c r="W1694" s="80" t="s">
        <v>6953</v>
      </c>
      <c r="X1694" s="83" t="str">
        <f>HYPERLINK("https://www.moneytimes.com.br/haddad-critica-comunicacao-do-copom-sobre-decisao-da-taxa-selic-muito-ruim-diz/")</f>
        <v>https://www.moneytimes.com.br/haddad-critica-comunicacao-do-copom-sobre-decisao-da-taxa-selic-muito-ruim-diz/</v>
      </c>
      <c r="Y1694" s="77" t="s">
        <v>8611</v>
      </c>
      <c r="Z1694" s="77"/>
      <c r="AA1694" s="77"/>
      <c r="AB1694" s="77"/>
      <c r="AC1694" s="80" t="s">
        <v>10558</v>
      </c>
      <c r="AD1694" s="77" t="s">
        <v>10617</v>
      </c>
      <c r="AE1694" s="83" t="str">
        <f>HYPERLINK("https://twitter.com/leiamoneytimes/status/1671966954792296459")</f>
        <v>https://twitter.com/leiamoneytimes/status/1671966954792296459</v>
      </c>
      <c r="AF1694" s="79">
        <v>45099.821296296293</v>
      </c>
      <c r="AG1694" s="85">
        <v>45099</v>
      </c>
      <c r="AH1694" s="80" t="s">
        <v>12123</v>
      </c>
      <c r="AI1694" s="77" t="b">
        <v>0</v>
      </c>
      <c r="AJ1694" s="77"/>
      <c r="AK1694" s="77"/>
      <c r="AL1694" s="77"/>
      <c r="AM1694" s="77"/>
      <c r="AN1694" s="77"/>
      <c r="AO1694" s="77"/>
      <c r="AP1694" s="77"/>
      <c r="AQ1694" s="77"/>
      <c r="AR1694" s="77"/>
      <c r="AS1694" s="77"/>
      <c r="AT1694" s="77"/>
      <c r="AU1694" s="77"/>
      <c r="AV1694" s="83" t="str">
        <f>HYPERLINK("https://pbs.twimg.com/profile_images/1559883556846977024/bXHnQFY0_normal.jpg")</f>
        <v>https://pbs.twimg.com/profile_images/1559883556846977024/bXHnQFY0_normal.jpg</v>
      </c>
      <c r="AW1694" s="80" t="s">
        <v>17561</v>
      </c>
      <c r="AX1694" s="80" t="s">
        <v>17561</v>
      </c>
      <c r="AY1694" s="77"/>
      <c r="AZ1694" s="80" t="s">
        <v>20380</v>
      </c>
      <c r="BA1694" s="80" t="s">
        <v>20380</v>
      </c>
      <c r="BB1694" s="80" t="s">
        <v>20380</v>
      </c>
      <c r="BC1694" s="80" t="s">
        <v>17561</v>
      </c>
      <c r="BD1694" s="77">
        <v>51150679</v>
      </c>
      <c r="BE1694" s="77"/>
      <c r="BF1694" s="77"/>
      <c r="BG1694" s="77"/>
      <c r="BH1694" s="77"/>
      <c r="BI1694" s="77"/>
    </row>
    <row r="1695" spans="1:61" x14ac:dyDescent="0.25">
      <c r="A1695" s="62" t="s">
        <v>790</v>
      </c>
      <c r="B1695" s="62" t="s">
        <v>790</v>
      </c>
      <c r="C1695" s="63"/>
      <c r="D1695" s="64"/>
      <c r="E1695" s="65"/>
      <c r="F1695" s="66"/>
      <c r="G1695" s="63"/>
      <c r="H1695" s="67"/>
      <c r="I1695" s="68"/>
      <c r="J1695" s="68"/>
      <c r="K1695" s="32"/>
      <c r="L1695" s="75">
        <v>1695</v>
      </c>
      <c r="M1695" s="75"/>
      <c r="N1695" s="70"/>
      <c r="O1695" s="77" t="s">
        <v>179</v>
      </c>
      <c r="P1695" s="79">
        <v>45099.785740740743</v>
      </c>
      <c r="Q1695" s="77" t="s">
        <v>3591</v>
      </c>
      <c r="R1695" s="77">
        <v>1</v>
      </c>
      <c r="S1695" s="77">
        <v>17</v>
      </c>
      <c r="T1695" s="77">
        <v>1</v>
      </c>
      <c r="U1695" s="77">
        <v>0</v>
      </c>
      <c r="V1695" s="77">
        <v>1931</v>
      </c>
      <c r="W1695" s="80" t="s">
        <v>6990</v>
      </c>
      <c r="X1695" s="83" t="str">
        <f>HYPERLINK("https://www.moneytimes.com.br/tesouro-direto-hoje-taxas-caem-apos-manutencao-da-selic-e-prefixado-2029-sobe-19-na-marcacao-a-mercado/")</f>
        <v>https://www.moneytimes.com.br/tesouro-direto-hoje-taxas-caem-apos-manutencao-da-selic-e-prefixado-2029-sobe-19-na-marcacao-a-mercado/</v>
      </c>
      <c r="Y1695" s="77" t="s">
        <v>8611</v>
      </c>
      <c r="Z1695" s="77"/>
      <c r="AA1695" s="77"/>
      <c r="AB1695" s="77"/>
      <c r="AC1695" s="80" t="s">
        <v>10558</v>
      </c>
      <c r="AD1695" s="77" t="s">
        <v>10617</v>
      </c>
      <c r="AE1695" s="83" t="str">
        <f>HYPERLINK("https://twitter.com/leiamoneytimes/status/1671954071631134741")</f>
        <v>https://twitter.com/leiamoneytimes/status/1671954071631134741</v>
      </c>
      <c r="AF1695" s="79">
        <v>45099.785740740743</v>
      </c>
      <c r="AG1695" s="85">
        <v>45099</v>
      </c>
      <c r="AH1695" s="80" t="s">
        <v>12124</v>
      </c>
      <c r="AI1695" s="77" t="b">
        <v>0</v>
      </c>
      <c r="AJ1695" s="77"/>
      <c r="AK1695" s="77"/>
      <c r="AL1695" s="77"/>
      <c r="AM1695" s="77"/>
      <c r="AN1695" s="77"/>
      <c r="AO1695" s="77"/>
      <c r="AP1695" s="77"/>
      <c r="AQ1695" s="77"/>
      <c r="AR1695" s="77"/>
      <c r="AS1695" s="77"/>
      <c r="AT1695" s="77"/>
      <c r="AU1695" s="77"/>
      <c r="AV1695" s="83" t="str">
        <f>HYPERLINK("https://pbs.twimg.com/profile_images/1559883556846977024/bXHnQFY0_normal.jpg")</f>
        <v>https://pbs.twimg.com/profile_images/1559883556846977024/bXHnQFY0_normal.jpg</v>
      </c>
      <c r="AW1695" s="80" t="s">
        <v>17562</v>
      </c>
      <c r="AX1695" s="80" t="s">
        <v>17562</v>
      </c>
      <c r="AY1695" s="77"/>
      <c r="AZ1695" s="80" t="s">
        <v>20380</v>
      </c>
      <c r="BA1695" s="80" t="s">
        <v>20380</v>
      </c>
      <c r="BB1695" s="80" t="s">
        <v>20380</v>
      </c>
      <c r="BC1695" s="80" t="s">
        <v>17562</v>
      </c>
      <c r="BD1695" s="77">
        <v>51150679</v>
      </c>
      <c r="BE1695" s="77"/>
      <c r="BF1695" s="77"/>
      <c r="BG1695" s="77"/>
      <c r="BH1695" s="77"/>
      <c r="BI1695" s="77"/>
    </row>
    <row r="1696" spans="1:61" x14ac:dyDescent="0.25">
      <c r="A1696" s="62" t="s">
        <v>790</v>
      </c>
      <c r="B1696" s="62" t="s">
        <v>790</v>
      </c>
      <c r="C1696" s="63"/>
      <c r="D1696" s="64"/>
      <c r="E1696" s="65"/>
      <c r="F1696" s="66"/>
      <c r="G1696" s="63"/>
      <c r="H1696" s="67"/>
      <c r="I1696" s="68"/>
      <c r="J1696" s="68"/>
      <c r="K1696" s="32"/>
      <c r="L1696" s="75">
        <v>1696</v>
      </c>
      <c r="M1696" s="75"/>
      <c r="N1696" s="70"/>
      <c r="O1696" s="77" t="s">
        <v>179</v>
      </c>
      <c r="P1696" s="79">
        <v>45099.70988425926</v>
      </c>
      <c r="Q1696" s="77" t="s">
        <v>3592</v>
      </c>
      <c r="R1696" s="77">
        <v>2</v>
      </c>
      <c r="S1696" s="77">
        <v>18</v>
      </c>
      <c r="T1696" s="77">
        <v>2</v>
      </c>
      <c r="U1696" s="77">
        <v>0</v>
      </c>
      <c r="V1696" s="77">
        <v>1877</v>
      </c>
      <c r="W1696" s="80" t="s">
        <v>6272</v>
      </c>
      <c r="X1696" s="83" t="str">
        <f>HYPERLINK("https://www.moneytimes.com.br/selic-a-1375-quando-o-banco-central-vai-cortar-os-juros-reajuste-de-agosto-ainda-nao-foi-descartado/")</f>
        <v>https://www.moneytimes.com.br/selic-a-1375-quando-o-banco-central-vai-cortar-os-juros-reajuste-de-agosto-ainda-nao-foi-descartado/</v>
      </c>
      <c r="Y1696" s="77" t="s">
        <v>8611</v>
      </c>
      <c r="Z1696" s="77"/>
      <c r="AA1696" s="77"/>
      <c r="AB1696" s="77"/>
      <c r="AC1696" s="80" t="s">
        <v>10558</v>
      </c>
      <c r="AD1696" s="77" t="s">
        <v>10617</v>
      </c>
      <c r="AE1696" s="83" t="str">
        <f>HYPERLINK("https://twitter.com/leiamoneytimes/status/1671926583152590856")</f>
        <v>https://twitter.com/leiamoneytimes/status/1671926583152590856</v>
      </c>
      <c r="AF1696" s="79">
        <v>45099.70988425926</v>
      </c>
      <c r="AG1696" s="85">
        <v>45099</v>
      </c>
      <c r="AH1696" s="80" t="s">
        <v>12125</v>
      </c>
      <c r="AI1696" s="77" t="b">
        <v>0</v>
      </c>
      <c r="AJ1696" s="77"/>
      <c r="AK1696" s="77"/>
      <c r="AL1696" s="77"/>
      <c r="AM1696" s="77"/>
      <c r="AN1696" s="77"/>
      <c r="AO1696" s="77"/>
      <c r="AP1696" s="77"/>
      <c r="AQ1696" s="77"/>
      <c r="AR1696" s="77"/>
      <c r="AS1696" s="77"/>
      <c r="AT1696" s="77"/>
      <c r="AU1696" s="77"/>
      <c r="AV1696" s="83" t="str">
        <f>HYPERLINK("https://pbs.twimg.com/profile_images/1559883556846977024/bXHnQFY0_normal.jpg")</f>
        <v>https://pbs.twimg.com/profile_images/1559883556846977024/bXHnQFY0_normal.jpg</v>
      </c>
      <c r="AW1696" s="80" t="s">
        <v>17563</v>
      </c>
      <c r="AX1696" s="80" t="s">
        <v>17563</v>
      </c>
      <c r="AY1696" s="77"/>
      <c r="AZ1696" s="80" t="s">
        <v>20380</v>
      </c>
      <c r="BA1696" s="80" t="s">
        <v>20380</v>
      </c>
      <c r="BB1696" s="80" t="s">
        <v>20380</v>
      </c>
      <c r="BC1696" s="80" t="s">
        <v>17563</v>
      </c>
      <c r="BD1696" s="77">
        <v>51150679</v>
      </c>
      <c r="BE1696" s="77"/>
      <c r="BF1696" s="77"/>
      <c r="BG1696" s="77"/>
      <c r="BH1696" s="77"/>
      <c r="BI1696" s="77"/>
    </row>
    <row r="1697" spans="1:61" x14ac:dyDescent="0.25">
      <c r="A1697" s="62" t="s">
        <v>790</v>
      </c>
      <c r="B1697" s="62" t="s">
        <v>790</v>
      </c>
      <c r="C1697" s="63"/>
      <c r="D1697" s="64"/>
      <c r="E1697" s="65"/>
      <c r="F1697" s="66"/>
      <c r="G1697" s="63"/>
      <c r="H1697" s="67"/>
      <c r="I1697" s="68"/>
      <c r="J1697" s="68"/>
      <c r="K1697" s="32"/>
      <c r="L1697" s="75">
        <v>1697</v>
      </c>
      <c r="M1697" s="75"/>
      <c r="N1697" s="70"/>
      <c r="O1697" s="77" t="s">
        <v>179</v>
      </c>
      <c r="P1697" s="79">
        <v>45099.687118055554</v>
      </c>
      <c r="Q1697" s="77" t="s">
        <v>3593</v>
      </c>
      <c r="R1697" s="77">
        <v>0</v>
      </c>
      <c r="S1697" s="77">
        <v>6</v>
      </c>
      <c r="T1697" s="77">
        <v>2</v>
      </c>
      <c r="U1697" s="77">
        <v>0</v>
      </c>
      <c r="V1697" s="77">
        <v>1395</v>
      </c>
      <c r="W1697" s="80" t="s">
        <v>7022</v>
      </c>
      <c r="X1697" s="83" t="str">
        <f>HYPERLINK("https://www.moneytimes.com.br/ibovespa-ibov-3-fatores-que-levam-indice-a-derreter-nesta-quinta-feira/")</f>
        <v>https://www.moneytimes.com.br/ibovespa-ibov-3-fatores-que-levam-indice-a-derreter-nesta-quinta-feira/</v>
      </c>
      <c r="Y1697" s="77" t="s">
        <v>8611</v>
      </c>
      <c r="Z1697" s="77"/>
      <c r="AA1697" s="77"/>
      <c r="AB1697" s="77"/>
      <c r="AC1697" s="80" t="s">
        <v>10558</v>
      </c>
      <c r="AD1697" s="77" t="s">
        <v>10617</v>
      </c>
      <c r="AE1697" s="83" t="str">
        <f>HYPERLINK("https://twitter.com/leiamoneytimes/status/1671918329379045376")</f>
        <v>https://twitter.com/leiamoneytimes/status/1671918329379045376</v>
      </c>
      <c r="AF1697" s="79">
        <v>45099.687118055554</v>
      </c>
      <c r="AG1697" s="85">
        <v>45099</v>
      </c>
      <c r="AH1697" s="80" t="s">
        <v>12126</v>
      </c>
      <c r="AI1697" s="77" t="b">
        <v>0</v>
      </c>
      <c r="AJ1697" s="77"/>
      <c r="AK1697" s="77"/>
      <c r="AL1697" s="77"/>
      <c r="AM1697" s="77"/>
      <c r="AN1697" s="77"/>
      <c r="AO1697" s="77"/>
      <c r="AP1697" s="77"/>
      <c r="AQ1697" s="77"/>
      <c r="AR1697" s="77"/>
      <c r="AS1697" s="77"/>
      <c r="AT1697" s="77"/>
      <c r="AU1697" s="77"/>
      <c r="AV1697" s="83" t="str">
        <f>HYPERLINK("https://pbs.twimg.com/profile_images/1559883556846977024/bXHnQFY0_normal.jpg")</f>
        <v>https://pbs.twimg.com/profile_images/1559883556846977024/bXHnQFY0_normal.jpg</v>
      </c>
      <c r="AW1697" s="80" t="s">
        <v>17564</v>
      </c>
      <c r="AX1697" s="80" t="s">
        <v>17564</v>
      </c>
      <c r="AY1697" s="77"/>
      <c r="AZ1697" s="80" t="s">
        <v>20380</v>
      </c>
      <c r="BA1697" s="80" t="s">
        <v>20380</v>
      </c>
      <c r="BB1697" s="80" t="s">
        <v>20380</v>
      </c>
      <c r="BC1697" s="80" t="s">
        <v>17564</v>
      </c>
      <c r="BD1697" s="77">
        <v>51150679</v>
      </c>
      <c r="BE1697" s="77"/>
      <c r="BF1697" s="77"/>
      <c r="BG1697" s="77"/>
      <c r="BH1697" s="77"/>
      <c r="BI1697" s="77"/>
    </row>
    <row r="1698" spans="1:61" x14ac:dyDescent="0.25">
      <c r="A1698" s="62" t="s">
        <v>790</v>
      </c>
      <c r="B1698" s="62" t="s">
        <v>790</v>
      </c>
      <c r="C1698" s="63"/>
      <c r="D1698" s="64"/>
      <c r="E1698" s="65"/>
      <c r="F1698" s="66"/>
      <c r="G1698" s="63"/>
      <c r="H1698" s="67"/>
      <c r="I1698" s="68"/>
      <c r="J1698" s="68"/>
      <c r="K1698" s="32"/>
      <c r="L1698" s="75">
        <v>1698</v>
      </c>
      <c r="M1698" s="75"/>
      <c r="N1698" s="70"/>
      <c r="O1698" s="77" t="s">
        <v>179</v>
      </c>
      <c r="P1698" s="79">
        <v>45099.635763888888</v>
      </c>
      <c r="Q1698" s="77" t="s">
        <v>3594</v>
      </c>
      <c r="R1698" s="77">
        <v>2</v>
      </c>
      <c r="S1698" s="77">
        <v>8</v>
      </c>
      <c r="T1698" s="77">
        <v>2</v>
      </c>
      <c r="U1698" s="77">
        <v>0</v>
      </c>
      <c r="V1698" s="77">
        <v>1513</v>
      </c>
      <c r="W1698" s="80" t="s">
        <v>7023</v>
      </c>
      <c r="X1698" s="83" t="str">
        <f>HYPERLINK("https://www.moneytimes.com.br/ibovespa-ibov-afunda-apos-bater-no-iceberg-do-banco-central-veja-os-indicadores-desta-quinta-22/")</f>
        <v>https://www.moneytimes.com.br/ibovespa-ibov-afunda-apos-bater-no-iceberg-do-banco-central-veja-os-indicadores-desta-quinta-22/</v>
      </c>
      <c r="Y1698" s="77" t="s">
        <v>8611</v>
      </c>
      <c r="Z1698" s="77"/>
      <c r="AA1698" s="77"/>
      <c r="AB1698" s="77"/>
      <c r="AC1698" s="80" t="s">
        <v>10558</v>
      </c>
      <c r="AD1698" s="77" t="s">
        <v>10617</v>
      </c>
      <c r="AE1698" s="83" t="str">
        <f>HYPERLINK("https://twitter.com/leiamoneytimes/status/1671899719675592705")</f>
        <v>https://twitter.com/leiamoneytimes/status/1671899719675592705</v>
      </c>
      <c r="AF1698" s="79">
        <v>45099.635763888888</v>
      </c>
      <c r="AG1698" s="85">
        <v>45099</v>
      </c>
      <c r="AH1698" s="80" t="s">
        <v>12127</v>
      </c>
      <c r="AI1698" s="77" t="b">
        <v>0</v>
      </c>
      <c r="AJ1698" s="77"/>
      <c r="AK1698" s="77"/>
      <c r="AL1698" s="77"/>
      <c r="AM1698" s="77"/>
      <c r="AN1698" s="77"/>
      <c r="AO1698" s="77"/>
      <c r="AP1698" s="77"/>
      <c r="AQ1698" s="77"/>
      <c r="AR1698" s="77"/>
      <c r="AS1698" s="77"/>
      <c r="AT1698" s="77"/>
      <c r="AU1698" s="77"/>
      <c r="AV1698" s="83" t="str">
        <f>HYPERLINK("https://pbs.twimg.com/profile_images/1559883556846977024/bXHnQFY0_normal.jpg")</f>
        <v>https://pbs.twimg.com/profile_images/1559883556846977024/bXHnQFY0_normal.jpg</v>
      </c>
      <c r="AW1698" s="80" t="s">
        <v>17565</v>
      </c>
      <c r="AX1698" s="80" t="s">
        <v>17565</v>
      </c>
      <c r="AY1698" s="77"/>
      <c r="AZ1698" s="80" t="s">
        <v>20380</v>
      </c>
      <c r="BA1698" s="80" t="s">
        <v>20380</v>
      </c>
      <c r="BB1698" s="80" t="s">
        <v>20380</v>
      </c>
      <c r="BC1698" s="80" t="s">
        <v>17565</v>
      </c>
      <c r="BD1698" s="77">
        <v>51150679</v>
      </c>
      <c r="BE1698" s="77"/>
      <c r="BF1698" s="77"/>
      <c r="BG1698" s="77"/>
      <c r="BH1698" s="77"/>
      <c r="BI1698" s="77"/>
    </row>
    <row r="1699" spans="1:61" x14ac:dyDescent="0.25">
      <c r="A1699" s="62" t="s">
        <v>790</v>
      </c>
      <c r="B1699" s="62" t="s">
        <v>790</v>
      </c>
      <c r="C1699" s="63"/>
      <c r="D1699" s="64"/>
      <c r="E1699" s="65"/>
      <c r="F1699" s="66"/>
      <c r="G1699" s="63"/>
      <c r="H1699" s="67"/>
      <c r="I1699" s="68"/>
      <c r="J1699" s="68"/>
      <c r="K1699" s="32"/>
      <c r="L1699" s="75">
        <v>1699</v>
      </c>
      <c r="M1699" s="75"/>
      <c r="N1699" s="70"/>
      <c r="O1699" s="77" t="s">
        <v>179</v>
      </c>
      <c r="P1699" s="79">
        <v>45099.567627314813</v>
      </c>
      <c r="Q1699" s="77" t="s">
        <v>3595</v>
      </c>
      <c r="R1699" s="77">
        <v>1</v>
      </c>
      <c r="S1699" s="77">
        <v>13</v>
      </c>
      <c r="T1699" s="77">
        <v>0</v>
      </c>
      <c r="U1699" s="77">
        <v>0</v>
      </c>
      <c r="V1699" s="77">
        <v>1438</v>
      </c>
      <c r="W1699" s="80" t="s">
        <v>7024</v>
      </c>
      <c r="X1699" s="83" t="str">
        <f>HYPERLINK("https://www.moneytimes.com.br/e-guerra-lula-e-equipe-economica-recebem-mal-decisao-do-banco-central-sobre-selic/")</f>
        <v>https://www.moneytimes.com.br/e-guerra-lula-e-equipe-economica-recebem-mal-decisao-do-banco-central-sobre-selic/</v>
      </c>
      <c r="Y1699" s="77" t="s">
        <v>8611</v>
      </c>
      <c r="Z1699" s="77"/>
      <c r="AA1699" s="77"/>
      <c r="AB1699" s="77"/>
      <c r="AC1699" s="80" t="s">
        <v>10558</v>
      </c>
      <c r="AD1699" s="77" t="s">
        <v>10617</v>
      </c>
      <c r="AE1699" s="83" t="str">
        <f>HYPERLINK("https://twitter.com/leiamoneytimes/status/1671875028378419200")</f>
        <v>https://twitter.com/leiamoneytimes/status/1671875028378419200</v>
      </c>
      <c r="AF1699" s="79">
        <v>45099.567627314813</v>
      </c>
      <c r="AG1699" s="85">
        <v>45099</v>
      </c>
      <c r="AH1699" s="80" t="s">
        <v>12128</v>
      </c>
      <c r="AI1699" s="77" t="b">
        <v>0</v>
      </c>
      <c r="AJ1699" s="77"/>
      <c r="AK1699" s="77"/>
      <c r="AL1699" s="77"/>
      <c r="AM1699" s="77"/>
      <c r="AN1699" s="77"/>
      <c r="AO1699" s="77"/>
      <c r="AP1699" s="77"/>
      <c r="AQ1699" s="77"/>
      <c r="AR1699" s="77"/>
      <c r="AS1699" s="77"/>
      <c r="AT1699" s="77"/>
      <c r="AU1699" s="77"/>
      <c r="AV1699" s="83" t="str">
        <f>HYPERLINK("https://pbs.twimg.com/profile_images/1559883556846977024/bXHnQFY0_normal.jpg")</f>
        <v>https://pbs.twimg.com/profile_images/1559883556846977024/bXHnQFY0_normal.jpg</v>
      </c>
      <c r="AW1699" s="80" t="s">
        <v>17566</v>
      </c>
      <c r="AX1699" s="80" t="s">
        <v>17566</v>
      </c>
      <c r="AY1699" s="77"/>
      <c r="AZ1699" s="80" t="s">
        <v>20380</v>
      </c>
      <c r="BA1699" s="80" t="s">
        <v>20380</v>
      </c>
      <c r="BB1699" s="80" t="s">
        <v>20380</v>
      </c>
      <c r="BC1699" s="80" t="s">
        <v>17566</v>
      </c>
      <c r="BD1699" s="77">
        <v>51150679</v>
      </c>
      <c r="BE1699" s="77"/>
      <c r="BF1699" s="77"/>
      <c r="BG1699" s="77"/>
      <c r="BH1699" s="77"/>
      <c r="BI1699" s="77"/>
    </row>
    <row r="1700" spans="1:61" x14ac:dyDescent="0.25">
      <c r="A1700" s="62" t="s">
        <v>790</v>
      </c>
      <c r="B1700" s="62" t="s">
        <v>790</v>
      </c>
      <c r="C1700" s="63"/>
      <c r="D1700" s="64"/>
      <c r="E1700" s="65"/>
      <c r="F1700" s="66"/>
      <c r="G1700" s="63"/>
      <c r="H1700" s="67"/>
      <c r="I1700" s="68"/>
      <c r="J1700" s="68"/>
      <c r="K1700" s="32"/>
      <c r="L1700" s="75">
        <v>1700</v>
      </c>
      <c r="M1700" s="75"/>
      <c r="N1700" s="70"/>
      <c r="O1700" s="77" t="s">
        <v>179</v>
      </c>
      <c r="P1700" s="79">
        <v>45099.560277777775</v>
      </c>
      <c r="Q1700" s="77" t="s">
        <v>3596</v>
      </c>
      <c r="R1700" s="77">
        <v>0</v>
      </c>
      <c r="S1700" s="77">
        <v>0</v>
      </c>
      <c r="T1700" s="77">
        <v>1</v>
      </c>
      <c r="U1700" s="77">
        <v>0</v>
      </c>
      <c r="V1700" s="77">
        <v>899</v>
      </c>
      <c r="W1700" s="80" t="s">
        <v>7025</v>
      </c>
      <c r="X1700" s="83" t="str">
        <f>HYPERLINK("https://www.moneytimes.com.br/sabatina-de-galipolo-na-cae-do-senado-e-adiada-para-4-de-julho/")</f>
        <v>https://www.moneytimes.com.br/sabatina-de-galipolo-na-cae-do-senado-e-adiada-para-4-de-julho/</v>
      </c>
      <c r="Y1700" s="77" t="s">
        <v>8611</v>
      </c>
      <c r="Z1700" s="77"/>
      <c r="AA1700" s="77"/>
      <c r="AB1700" s="77"/>
      <c r="AC1700" s="80" t="s">
        <v>10558</v>
      </c>
      <c r="AD1700" s="77" t="s">
        <v>10617</v>
      </c>
      <c r="AE1700" s="83" t="str">
        <f>HYPERLINK("https://twitter.com/leiamoneytimes/status/1671872367105024003")</f>
        <v>https://twitter.com/leiamoneytimes/status/1671872367105024003</v>
      </c>
      <c r="AF1700" s="79">
        <v>45099.560277777775</v>
      </c>
      <c r="AG1700" s="85">
        <v>45099</v>
      </c>
      <c r="AH1700" s="80" t="s">
        <v>12129</v>
      </c>
      <c r="AI1700" s="77" t="b">
        <v>0</v>
      </c>
      <c r="AJ1700" s="77"/>
      <c r="AK1700" s="77"/>
      <c r="AL1700" s="77"/>
      <c r="AM1700" s="77"/>
      <c r="AN1700" s="77"/>
      <c r="AO1700" s="77"/>
      <c r="AP1700" s="77"/>
      <c r="AQ1700" s="77"/>
      <c r="AR1700" s="77"/>
      <c r="AS1700" s="77"/>
      <c r="AT1700" s="77"/>
      <c r="AU1700" s="77"/>
      <c r="AV1700" s="83" t="str">
        <f>HYPERLINK("https://pbs.twimg.com/profile_images/1559883556846977024/bXHnQFY0_normal.jpg")</f>
        <v>https://pbs.twimg.com/profile_images/1559883556846977024/bXHnQFY0_normal.jpg</v>
      </c>
      <c r="AW1700" s="80" t="s">
        <v>17567</v>
      </c>
      <c r="AX1700" s="80" t="s">
        <v>17567</v>
      </c>
      <c r="AY1700" s="77"/>
      <c r="AZ1700" s="80" t="s">
        <v>20380</v>
      </c>
      <c r="BA1700" s="80" t="s">
        <v>20380</v>
      </c>
      <c r="BB1700" s="80" t="s">
        <v>20380</v>
      </c>
      <c r="BC1700" s="80" t="s">
        <v>17567</v>
      </c>
      <c r="BD1700" s="77">
        <v>51150679</v>
      </c>
      <c r="BE1700" s="77"/>
      <c r="BF1700" s="77"/>
      <c r="BG1700" s="77"/>
      <c r="BH1700" s="77"/>
      <c r="BI1700" s="77"/>
    </row>
    <row r="1701" spans="1:61" x14ac:dyDescent="0.25">
      <c r="A1701" s="62" t="s">
        <v>790</v>
      </c>
      <c r="B1701" s="62" t="s">
        <v>790</v>
      </c>
      <c r="C1701" s="63"/>
      <c r="D1701" s="64"/>
      <c r="E1701" s="65"/>
      <c r="F1701" s="66"/>
      <c r="G1701" s="63"/>
      <c r="H1701" s="67"/>
      <c r="I1701" s="68"/>
      <c r="J1701" s="68"/>
      <c r="K1701" s="32"/>
      <c r="L1701" s="75">
        <v>1701</v>
      </c>
      <c r="M1701" s="75"/>
      <c r="N1701" s="70"/>
      <c r="O1701" s="77" t="s">
        <v>179</v>
      </c>
      <c r="P1701" s="79">
        <v>45084.785949074074</v>
      </c>
      <c r="Q1701" s="77" t="s">
        <v>3597</v>
      </c>
      <c r="R1701" s="77">
        <v>0</v>
      </c>
      <c r="S1701" s="77">
        <v>2</v>
      </c>
      <c r="T1701" s="77">
        <v>0</v>
      </c>
      <c r="U1701" s="77">
        <v>0</v>
      </c>
      <c r="V1701" s="77">
        <v>1148</v>
      </c>
      <c r="W1701" s="80" t="s">
        <v>7026</v>
      </c>
      <c r="X1701" s="83" t="str">
        <f>HYPERLINK("https://www.moneytimes.com.br/bancos-realizam-mudancas-aleatorias-e-silenciosas-nos-cartoes-de-credito-que-podem-gerar-dividas-aponta-idec/")</f>
        <v>https://www.moneytimes.com.br/bancos-realizam-mudancas-aleatorias-e-silenciosas-nos-cartoes-de-credito-que-podem-gerar-dividas-aponta-idec/</v>
      </c>
      <c r="Y1701" s="77" t="s">
        <v>8611</v>
      </c>
      <c r="Z1701" s="77"/>
      <c r="AA1701" s="77"/>
      <c r="AB1701" s="77"/>
      <c r="AC1701" s="80" t="s">
        <v>10558</v>
      </c>
      <c r="AD1701" s="77" t="s">
        <v>10617</v>
      </c>
      <c r="AE1701" s="83" t="str">
        <f>HYPERLINK("https://twitter.com/leiamoneytimes/status/1666518327567474688")</f>
        <v>https://twitter.com/leiamoneytimes/status/1666518327567474688</v>
      </c>
      <c r="AF1701" s="79">
        <v>45084.785949074074</v>
      </c>
      <c r="AG1701" s="85">
        <v>45084</v>
      </c>
      <c r="AH1701" s="80" t="s">
        <v>12130</v>
      </c>
      <c r="AI1701" s="77" t="b">
        <v>0</v>
      </c>
      <c r="AJ1701" s="77"/>
      <c r="AK1701" s="77"/>
      <c r="AL1701" s="77"/>
      <c r="AM1701" s="77"/>
      <c r="AN1701" s="77"/>
      <c r="AO1701" s="77"/>
      <c r="AP1701" s="77"/>
      <c r="AQ1701" s="77"/>
      <c r="AR1701" s="77"/>
      <c r="AS1701" s="77"/>
      <c r="AT1701" s="77"/>
      <c r="AU1701" s="77"/>
      <c r="AV1701" s="83" t="str">
        <f>HYPERLINK("https://pbs.twimg.com/profile_images/1559883556846977024/bXHnQFY0_normal.jpg")</f>
        <v>https://pbs.twimg.com/profile_images/1559883556846977024/bXHnQFY0_normal.jpg</v>
      </c>
      <c r="AW1701" s="80" t="s">
        <v>17568</v>
      </c>
      <c r="AX1701" s="80" t="s">
        <v>17568</v>
      </c>
      <c r="AY1701" s="77"/>
      <c r="AZ1701" s="80" t="s">
        <v>20380</v>
      </c>
      <c r="BA1701" s="80" t="s">
        <v>20380</v>
      </c>
      <c r="BB1701" s="80" t="s">
        <v>20380</v>
      </c>
      <c r="BC1701" s="80" t="s">
        <v>17568</v>
      </c>
      <c r="BD1701" s="77">
        <v>51150679</v>
      </c>
      <c r="BE1701" s="77"/>
      <c r="BF1701" s="77"/>
      <c r="BG1701" s="77"/>
      <c r="BH1701" s="77"/>
      <c r="BI1701" s="77"/>
    </row>
    <row r="1702" spans="1:61" x14ac:dyDescent="0.25">
      <c r="A1702" s="62" t="s">
        <v>790</v>
      </c>
      <c r="B1702" s="62" t="s">
        <v>790</v>
      </c>
      <c r="C1702" s="63"/>
      <c r="D1702" s="64"/>
      <c r="E1702" s="65"/>
      <c r="F1702" s="66"/>
      <c r="G1702" s="63"/>
      <c r="H1702" s="67"/>
      <c r="I1702" s="68"/>
      <c r="J1702" s="68"/>
      <c r="K1702" s="32"/>
      <c r="L1702" s="75">
        <v>1702</v>
      </c>
      <c r="M1702" s="75"/>
      <c r="N1702" s="70"/>
      <c r="O1702" s="77" t="s">
        <v>179</v>
      </c>
      <c r="P1702" s="79">
        <v>45084.592222222222</v>
      </c>
      <c r="Q1702" s="77" t="s">
        <v>3598</v>
      </c>
      <c r="R1702" s="77">
        <v>2</v>
      </c>
      <c r="S1702" s="77">
        <v>28</v>
      </c>
      <c r="T1702" s="77">
        <v>2</v>
      </c>
      <c r="U1702" s="77">
        <v>0</v>
      </c>
      <c r="V1702" s="77">
        <v>1939</v>
      </c>
      <c r="W1702" s="80" t="s">
        <v>6931</v>
      </c>
      <c r="X1702" s="83" t="str">
        <f>HYPERLINK("https://www.moneytimes.com.br/governo-deveria-parabenizar-banco-central-pela-inflacao-baixa-diz-economista/")</f>
        <v>https://www.moneytimes.com.br/governo-deveria-parabenizar-banco-central-pela-inflacao-baixa-diz-economista/</v>
      </c>
      <c r="Y1702" s="77" t="s">
        <v>8611</v>
      </c>
      <c r="Z1702" s="77"/>
      <c r="AA1702" s="77"/>
      <c r="AB1702" s="77"/>
      <c r="AC1702" s="80" t="s">
        <v>10558</v>
      </c>
      <c r="AD1702" s="77" t="s">
        <v>10617</v>
      </c>
      <c r="AE1702" s="83" t="str">
        <f>HYPERLINK("https://twitter.com/leiamoneytimes/status/1666448125626597380")</f>
        <v>https://twitter.com/leiamoneytimes/status/1666448125626597380</v>
      </c>
      <c r="AF1702" s="79">
        <v>45084.592222222222</v>
      </c>
      <c r="AG1702" s="85">
        <v>45084</v>
      </c>
      <c r="AH1702" s="80" t="s">
        <v>12131</v>
      </c>
      <c r="AI1702" s="77" t="b">
        <v>0</v>
      </c>
      <c r="AJ1702" s="77"/>
      <c r="AK1702" s="77"/>
      <c r="AL1702" s="77"/>
      <c r="AM1702" s="77"/>
      <c r="AN1702" s="77"/>
      <c r="AO1702" s="77"/>
      <c r="AP1702" s="77"/>
      <c r="AQ1702" s="77"/>
      <c r="AR1702" s="77"/>
      <c r="AS1702" s="77"/>
      <c r="AT1702" s="77"/>
      <c r="AU1702" s="77"/>
      <c r="AV1702" s="83" t="str">
        <f>HYPERLINK("https://pbs.twimg.com/profile_images/1559883556846977024/bXHnQFY0_normal.jpg")</f>
        <v>https://pbs.twimg.com/profile_images/1559883556846977024/bXHnQFY0_normal.jpg</v>
      </c>
      <c r="AW1702" s="80" t="s">
        <v>17569</v>
      </c>
      <c r="AX1702" s="80" t="s">
        <v>17569</v>
      </c>
      <c r="AY1702" s="77"/>
      <c r="AZ1702" s="80" t="s">
        <v>20380</v>
      </c>
      <c r="BA1702" s="80" t="s">
        <v>20380</v>
      </c>
      <c r="BB1702" s="80" t="s">
        <v>20380</v>
      </c>
      <c r="BC1702" s="80" t="s">
        <v>17569</v>
      </c>
      <c r="BD1702" s="77">
        <v>51150679</v>
      </c>
      <c r="BE1702" s="77"/>
      <c r="BF1702" s="77"/>
      <c r="BG1702" s="77"/>
      <c r="BH1702" s="77"/>
      <c r="BI1702" s="77"/>
    </row>
    <row r="1703" spans="1:61" x14ac:dyDescent="0.25">
      <c r="A1703" s="62" t="s">
        <v>790</v>
      </c>
      <c r="B1703" s="62" t="s">
        <v>790</v>
      </c>
      <c r="C1703" s="63"/>
      <c r="D1703" s="64"/>
      <c r="E1703" s="65"/>
      <c r="F1703" s="66"/>
      <c r="G1703" s="63"/>
      <c r="H1703" s="67"/>
      <c r="I1703" s="68"/>
      <c r="J1703" s="68"/>
      <c r="K1703" s="32"/>
      <c r="L1703" s="75">
        <v>1703</v>
      </c>
      <c r="M1703" s="75"/>
      <c r="N1703" s="70"/>
      <c r="O1703" s="77" t="s">
        <v>179</v>
      </c>
      <c r="P1703" s="79">
        <v>45084.435300925928</v>
      </c>
      <c r="Q1703" s="77" t="s">
        <v>3599</v>
      </c>
      <c r="R1703" s="77">
        <v>0</v>
      </c>
      <c r="S1703" s="77">
        <v>6</v>
      </c>
      <c r="T1703" s="77">
        <v>3</v>
      </c>
      <c r="U1703" s="77">
        <v>0</v>
      </c>
      <c r="V1703" s="77">
        <v>1985</v>
      </c>
      <c r="W1703" s="80" t="s">
        <v>6927</v>
      </c>
      <c r="X1703" s="83" t="str">
        <f>HYPERLINK("https://www.moneytimes.com.br/lula-volta-a-criticar-selic-em-1375-veja-o-que-movimenta-a-quarta-7/")</f>
        <v>https://www.moneytimes.com.br/lula-volta-a-criticar-selic-em-1375-veja-o-que-movimenta-a-quarta-7/</v>
      </c>
      <c r="Y1703" s="77" t="s">
        <v>8611</v>
      </c>
      <c r="Z1703" s="77"/>
      <c r="AA1703" s="77"/>
      <c r="AB1703" s="77"/>
      <c r="AC1703" s="80" t="s">
        <v>10558</v>
      </c>
      <c r="AD1703" s="77" t="s">
        <v>10617</v>
      </c>
      <c r="AE1703" s="83" t="str">
        <f>HYPERLINK("https://twitter.com/leiamoneytimes/status/1666391255767474177")</f>
        <v>https://twitter.com/leiamoneytimes/status/1666391255767474177</v>
      </c>
      <c r="AF1703" s="79">
        <v>45084.435300925928</v>
      </c>
      <c r="AG1703" s="85">
        <v>45084</v>
      </c>
      <c r="AH1703" s="80" t="s">
        <v>12132</v>
      </c>
      <c r="AI1703" s="77" t="b">
        <v>0</v>
      </c>
      <c r="AJ1703" s="77"/>
      <c r="AK1703" s="77"/>
      <c r="AL1703" s="77"/>
      <c r="AM1703" s="77"/>
      <c r="AN1703" s="77"/>
      <c r="AO1703" s="77"/>
      <c r="AP1703" s="77"/>
      <c r="AQ1703" s="77"/>
      <c r="AR1703" s="77"/>
      <c r="AS1703" s="77"/>
      <c r="AT1703" s="77"/>
      <c r="AU1703" s="77"/>
      <c r="AV1703" s="83" t="str">
        <f>HYPERLINK("https://pbs.twimg.com/profile_images/1559883556846977024/bXHnQFY0_normal.jpg")</f>
        <v>https://pbs.twimg.com/profile_images/1559883556846977024/bXHnQFY0_normal.jpg</v>
      </c>
      <c r="AW1703" s="80" t="s">
        <v>17570</v>
      </c>
      <c r="AX1703" s="80" t="s">
        <v>17570</v>
      </c>
      <c r="AY1703" s="77"/>
      <c r="AZ1703" s="80" t="s">
        <v>20380</v>
      </c>
      <c r="BA1703" s="80" t="s">
        <v>20380</v>
      </c>
      <c r="BB1703" s="80" t="s">
        <v>20380</v>
      </c>
      <c r="BC1703" s="80" t="s">
        <v>17570</v>
      </c>
      <c r="BD1703" s="77">
        <v>51150679</v>
      </c>
      <c r="BE1703" s="77"/>
      <c r="BF1703" s="77"/>
      <c r="BG1703" s="77"/>
      <c r="BH1703" s="77"/>
      <c r="BI1703" s="77"/>
    </row>
    <row r="1704" spans="1:61" x14ac:dyDescent="0.25">
      <c r="A1704" s="62" t="s">
        <v>790</v>
      </c>
      <c r="B1704" s="62" t="s">
        <v>790</v>
      </c>
      <c r="C1704" s="63"/>
      <c r="D1704" s="64"/>
      <c r="E1704" s="65"/>
      <c r="F1704" s="66"/>
      <c r="G1704" s="63"/>
      <c r="H1704" s="67"/>
      <c r="I1704" s="68"/>
      <c r="J1704" s="68"/>
      <c r="K1704" s="32"/>
      <c r="L1704" s="75">
        <v>1704</v>
      </c>
      <c r="M1704" s="75"/>
      <c r="N1704" s="70"/>
      <c r="O1704" s="77" t="s">
        <v>179</v>
      </c>
      <c r="P1704" s="79">
        <v>45083.526354166665</v>
      </c>
      <c r="Q1704" s="77" t="s">
        <v>3600</v>
      </c>
      <c r="R1704" s="77">
        <v>1</v>
      </c>
      <c r="S1704" s="77">
        <v>2</v>
      </c>
      <c r="T1704" s="77">
        <v>0</v>
      </c>
      <c r="U1704" s="77">
        <v>0</v>
      </c>
      <c r="V1704" s="77">
        <v>1275</v>
      </c>
      <c r="W1704" s="80" t="s">
        <v>6999</v>
      </c>
      <c r="X1704" s="83" t="str">
        <f>HYPERLINK("https://www.moneytimes.com.br/lei-da-selic-projeto-preve-transparencia-na-decisao-da-taxa-de-juros/")</f>
        <v>https://www.moneytimes.com.br/lei-da-selic-projeto-preve-transparencia-na-decisao-da-taxa-de-juros/</v>
      </c>
      <c r="Y1704" s="77" t="s">
        <v>8611</v>
      </c>
      <c r="Z1704" s="77"/>
      <c r="AA1704" s="77"/>
      <c r="AB1704" s="77"/>
      <c r="AC1704" s="80" t="s">
        <v>10558</v>
      </c>
      <c r="AD1704" s="77" t="s">
        <v>10617</v>
      </c>
      <c r="AE1704" s="83" t="str">
        <f>HYPERLINK("https://twitter.com/leiamoneytimes/status/1666061867746222081")</f>
        <v>https://twitter.com/leiamoneytimes/status/1666061867746222081</v>
      </c>
      <c r="AF1704" s="79">
        <v>45083.526354166665</v>
      </c>
      <c r="AG1704" s="85">
        <v>45083</v>
      </c>
      <c r="AH1704" s="80" t="s">
        <v>12133</v>
      </c>
      <c r="AI1704" s="77" t="b">
        <v>0</v>
      </c>
      <c r="AJ1704" s="77"/>
      <c r="AK1704" s="77"/>
      <c r="AL1704" s="77"/>
      <c r="AM1704" s="77"/>
      <c r="AN1704" s="77"/>
      <c r="AO1704" s="77"/>
      <c r="AP1704" s="77"/>
      <c r="AQ1704" s="77"/>
      <c r="AR1704" s="77"/>
      <c r="AS1704" s="77"/>
      <c r="AT1704" s="77"/>
      <c r="AU1704" s="77"/>
      <c r="AV1704" s="83" t="str">
        <f>HYPERLINK("https://pbs.twimg.com/profile_images/1559883556846977024/bXHnQFY0_normal.jpg")</f>
        <v>https://pbs.twimg.com/profile_images/1559883556846977024/bXHnQFY0_normal.jpg</v>
      </c>
      <c r="AW1704" s="80" t="s">
        <v>17571</v>
      </c>
      <c r="AX1704" s="80" t="s">
        <v>17571</v>
      </c>
      <c r="AY1704" s="77"/>
      <c r="AZ1704" s="80" t="s">
        <v>20380</v>
      </c>
      <c r="BA1704" s="80" t="s">
        <v>20380</v>
      </c>
      <c r="BB1704" s="80" t="s">
        <v>20380</v>
      </c>
      <c r="BC1704" s="80" t="s">
        <v>17571</v>
      </c>
      <c r="BD1704" s="77">
        <v>51150679</v>
      </c>
      <c r="BE1704" s="77"/>
      <c r="BF1704" s="77"/>
      <c r="BG1704" s="77"/>
      <c r="BH1704" s="77"/>
      <c r="BI1704" s="77"/>
    </row>
    <row r="1705" spans="1:61" x14ac:dyDescent="0.25">
      <c r="A1705" s="62" t="s">
        <v>790</v>
      </c>
      <c r="B1705" s="62" t="s">
        <v>790</v>
      </c>
      <c r="C1705" s="63"/>
      <c r="D1705" s="64"/>
      <c r="E1705" s="65"/>
      <c r="F1705" s="66"/>
      <c r="G1705" s="63"/>
      <c r="H1705" s="67"/>
      <c r="I1705" s="68"/>
      <c r="J1705" s="68"/>
      <c r="K1705" s="32"/>
      <c r="L1705" s="75">
        <v>1705</v>
      </c>
      <c r="M1705" s="75"/>
      <c r="N1705" s="70"/>
      <c r="O1705" s="77" t="s">
        <v>179</v>
      </c>
      <c r="P1705" s="79">
        <v>45082.720219907409</v>
      </c>
      <c r="Q1705" s="77" t="s">
        <v>3601</v>
      </c>
      <c r="R1705" s="77">
        <v>0</v>
      </c>
      <c r="S1705" s="77">
        <v>0</v>
      </c>
      <c r="T1705" s="77">
        <v>0</v>
      </c>
      <c r="U1705" s="77">
        <v>0</v>
      </c>
      <c r="V1705" s="77">
        <v>1166</v>
      </c>
      <c r="W1705" s="80" t="s">
        <v>7027</v>
      </c>
      <c r="X1705" s="83" t="str">
        <f>HYPERLINK("https://www.moneytimes.com.br/horizonte-de-convergencia-da-inflacao-a-meta-deve-ser-flexivel-diz-diretor-do-banco-central/")</f>
        <v>https://www.moneytimes.com.br/horizonte-de-convergencia-da-inflacao-a-meta-deve-ser-flexivel-diz-diretor-do-banco-central/</v>
      </c>
      <c r="Y1705" s="77" t="s">
        <v>8611</v>
      </c>
      <c r="Z1705" s="77"/>
      <c r="AA1705" s="77"/>
      <c r="AB1705" s="77"/>
      <c r="AC1705" s="80" t="s">
        <v>10558</v>
      </c>
      <c r="AD1705" s="77" t="s">
        <v>10617</v>
      </c>
      <c r="AE1705" s="83" t="str">
        <f>HYPERLINK("https://twitter.com/leiamoneytimes/status/1665769731104690178")</f>
        <v>https://twitter.com/leiamoneytimes/status/1665769731104690178</v>
      </c>
      <c r="AF1705" s="79">
        <v>45082.720219907409</v>
      </c>
      <c r="AG1705" s="85">
        <v>45082</v>
      </c>
      <c r="AH1705" s="80" t="s">
        <v>12134</v>
      </c>
      <c r="AI1705" s="77" t="b">
        <v>0</v>
      </c>
      <c r="AJ1705" s="77"/>
      <c r="AK1705" s="77"/>
      <c r="AL1705" s="77"/>
      <c r="AM1705" s="77"/>
      <c r="AN1705" s="77"/>
      <c r="AO1705" s="77"/>
      <c r="AP1705" s="77"/>
      <c r="AQ1705" s="77"/>
      <c r="AR1705" s="77"/>
      <c r="AS1705" s="77"/>
      <c r="AT1705" s="77"/>
      <c r="AU1705" s="77"/>
      <c r="AV1705" s="83" t="str">
        <f>HYPERLINK("https://pbs.twimg.com/profile_images/1559883556846977024/bXHnQFY0_normal.jpg")</f>
        <v>https://pbs.twimg.com/profile_images/1559883556846977024/bXHnQFY0_normal.jpg</v>
      </c>
      <c r="AW1705" s="80" t="s">
        <v>17572</v>
      </c>
      <c r="AX1705" s="80" t="s">
        <v>17572</v>
      </c>
      <c r="AY1705" s="77"/>
      <c r="AZ1705" s="80" t="s">
        <v>20380</v>
      </c>
      <c r="BA1705" s="80" t="s">
        <v>20380</v>
      </c>
      <c r="BB1705" s="80" t="s">
        <v>20380</v>
      </c>
      <c r="BC1705" s="80" t="s">
        <v>17572</v>
      </c>
      <c r="BD1705" s="77">
        <v>51150679</v>
      </c>
      <c r="BE1705" s="77"/>
      <c r="BF1705" s="77"/>
      <c r="BG1705" s="77"/>
      <c r="BH1705" s="77"/>
      <c r="BI1705" s="77"/>
    </row>
    <row r="1706" spans="1:61" x14ac:dyDescent="0.25">
      <c r="A1706" s="62" t="s">
        <v>790</v>
      </c>
      <c r="B1706" s="62" t="s">
        <v>790</v>
      </c>
      <c r="C1706" s="63"/>
      <c r="D1706" s="64"/>
      <c r="E1706" s="65"/>
      <c r="F1706" s="66"/>
      <c r="G1706" s="63"/>
      <c r="H1706" s="67"/>
      <c r="I1706" s="68"/>
      <c r="J1706" s="68"/>
      <c r="K1706" s="32"/>
      <c r="L1706" s="75">
        <v>1706</v>
      </c>
      <c r="M1706" s="75"/>
      <c r="N1706" s="70"/>
      <c r="O1706" s="77" t="s">
        <v>179</v>
      </c>
      <c r="P1706" s="79">
        <v>45082.709050925929</v>
      </c>
      <c r="Q1706" s="77" t="s">
        <v>3602</v>
      </c>
      <c r="R1706" s="77">
        <v>1</v>
      </c>
      <c r="S1706" s="77">
        <v>1</v>
      </c>
      <c r="T1706" s="77">
        <v>0</v>
      </c>
      <c r="U1706" s="77">
        <v>0</v>
      </c>
      <c r="V1706" s="77">
        <v>1288</v>
      </c>
      <c r="W1706" s="80" t="s">
        <v>7027</v>
      </c>
      <c r="X1706" s="83" t="str">
        <f>HYPERLINK("https://www.moneytimes.com.br/surpresa-no-pib-veio-principalmente-do-agro-mas-confianca-segue-baixa-diz-guillen-do-bc/")</f>
        <v>https://www.moneytimes.com.br/surpresa-no-pib-veio-principalmente-do-agro-mas-confianca-segue-baixa-diz-guillen-do-bc/</v>
      </c>
      <c r="Y1706" s="77" t="s">
        <v>8611</v>
      </c>
      <c r="Z1706" s="77"/>
      <c r="AA1706" s="77"/>
      <c r="AB1706" s="77"/>
      <c r="AC1706" s="80" t="s">
        <v>10558</v>
      </c>
      <c r="AD1706" s="77" t="s">
        <v>10617</v>
      </c>
      <c r="AE1706" s="83" t="str">
        <f>HYPERLINK("https://twitter.com/leiamoneytimes/status/1665765684473651203")</f>
        <v>https://twitter.com/leiamoneytimes/status/1665765684473651203</v>
      </c>
      <c r="AF1706" s="79">
        <v>45082.709050925929</v>
      </c>
      <c r="AG1706" s="85">
        <v>45082</v>
      </c>
      <c r="AH1706" s="80" t="s">
        <v>12135</v>
      </c>
      <c r="AI1706" s="77" t="b">
        <v>0</v>
      </c>
      <c r="AJ1706" s="77"/>
      <c r="AK1706" s="77"/>
      <c r="AL1706" s="77"/>
      <c r="AM1706" s="77"/>
      <c r="AN1706" s="77"/>
      <c r="AO1706" s="77"/>
      <c r="AP1706" s="77"/>
      <c r="AQ1706" s="77"/>
      <c r="AR1706" s="77"/>
      <c r="AS1706" s="77"/>
      <c r="AT1706" s="77"/>
      <c r="AU1706" s="77"/>
      <c r="AV1706" s="83" t="str">
        <f>HYPERLINK("https://pbs.twimg.com/profile_images/1559883556846977024/bXHnQFY0_normal.jpg")</f>
        <v>https://pbs.twimg.com/profile_images/1559883556846977024/bXHnQFY0_normal.jpg</v>
      </c>
      <c r="AW1706" s="80" t="s">
        <v>17573</v>
      </c>
      <c r="AX1706" s="80" t="s">
        <v>17573</v>
      </c>
      <c r="AY1706" s="77"/>
      <c r="AZ1706" s="80" t="s">
        <v>20380</v>
      </c>
      <c r="BA1706" s="80" t="s">
        <v>20380</v>
      </c>
      <c r="BB1706" s="80" t="s">
        <v>20380</v>
      </c>
      <c r="BC1706" s="80" t="s">
        <v>17573</v>
      </c>
      <c r="BD1706" s="77">
        <v>51150679</v>
      </c>
      <c r="BE1706" s="77"/>
      <c r="BF1706" s="77"/>
      <c r="BG1706" s="77"/>
      <c r="BH1706" s="77"/>
      <c r="BI1706" s="77"/>
    </row>
    <row r="1707" spans="1:61" x14ac:dyDescent="0.25">
      <c r="A1707" s="62" t="s">
        <v>790</v>
      </c>
      <c r="B1707" s="62" t="s">
        <v>790</v>
      </c>
      <c r="C1707" s="63"/>
      <c r="D1707" s="64"/>
      <c r="E1707" s="65"/>
      <c r="F1707" s="66"/>
      <c r="G1707" s="63"/>
      <c r="H1707" s="67"/>
      <c r="I1707" s="68"/>
      <c r="J1707" s="68"/>
      <c r="K1707" s="32"/>
      <c r="L1707" s="75">
        <v>1707</v>
      </c>
      <c r="M1707" s="75"/>
      <c r="N1707" s="70"/>
      <c r="O1707" s="77" t="s">
        <v>179</v>
      </c>
      <c r="P1707" s="79">
        <v>45082.550810185188</v>
      </c>
      <c r="Q1707" s="77" t="s">
        <v>3603</v>
      </c>
      <c r="R1707" s="77">
        <v>0</v>
      </c>
      <c r="S1707" s="77">
        <v>6</v>
      </c>
      <c r="T1707" s="77">
        <v>0</v>
      </c>
      <c r="U1707" s="77">
        <v>0</v>
      </c>
      <c r="V1707" s="77">
        <v>1356</v>
      </c>
      <c r="W1707" s="80" t="s">
        <v>7006</v>
      </c>
      <c r="X1707" s="83" t="str">
        <f>HYPERLINK("https://www.moneytimes.com.br/ibovespa-ibov-busca-folego-nesta-segunda-5-com-dados-de-inflacao-e-petroleo/")</f>
        <v>https://www.moneytimes.com.br/ibovespa-ibov-busca-folego-nesta-segunda-5-com-dados-de-inflacao-e-petroleo/</v>
      </c>
      <c r="Y1707" s="77" t="s">
        <v>8611</v>
      </c>
      <c r="Z1707" s="77"/>
      <c r="AA1707" s="77"/>
      <c r="AB1707" s="77"/>
      <c r="AC1707" s="80" t="s">
        <v>10558</v>
      </c>
      <c r="AD1707" s="77" t="s">
        <v>10617</v>
      </c>
      <c r="AE1707" s="83" t="str">
        <f>HYPERLINK("https://twitter.com/leiamoneytimes/status/1665708341979406336")</f>
        <v>https://twitter.com/leiamoneytimes/status/1665708341979406336</v>
      </c>
      <c r="AF1707" s="79">
        <v>45082.550810185188</v>
      </c>
      <c r="AG1707" s="85">
        <v>45082</v>
      </c>
      <c r="AH1707" s="80" t="s">
        <v>12136</v>
      </c>
      <c r="AI1707" s="77" t="b">
        <v>0</v>
      </c>
      <c r="AJ1707" s="77"/>
      <c r="AK1707" s="77"/>
      <c r="AL1707" s="77"/>
      <c r="AM1707" s="77"/>
      <c r="AN1707" s="77"/>
      <c r="AO1707" s="77"/>
      <c r="AP1707" s="77"/>
      <c r="AQ1707" s="77"/>
      <c r="AR1707" s="77"/>
      <c r="AS1707" s="77"/>
      <c r="AT1707" s="77"/>
      <c r="AU1707" s="77"/>
      <c r="AV1707" s="83" t="str">
        <f>HYPERLINK("https://pbs.twimg.com/profile_images/1559883556846977024/bXHnQFY0_normal.jpg")</f>
        <v>https://pbs.twimg.com/profile_images/1559883556846977024/bXHnQFY0_normal.jpg</v>
      </c>
      <c r="AW1707" s="80" t="s">
        <v>17574</v>
      </c>
      <c r="AX1707" s="80" t="s">
        <v>17574</v>
      </c>
      <c r="AY1707" s="77"/>
      <c r="AZ1707" s="80" t="s">
        <v>20380</v>
      </c>
      <c r="BA1707" s="80" t="s">
        <v>20380</v>
      </c>
      <c r="BB1707" s="80" t="s">
        <v>20380</v>
      </c>
      <c r="BC1707" s="80" t="s">
        <v>17574</v>
      </c>
      <c r="BD1707" s="77">
        <v>51150679</v>
      </c>
      <c r="BE1707" s="77"/>
      <c r="BF1707" s="77"/>
      <c r="BG1707" s="77"/>
      <c r="BH1707" s="77"/>
      <c r="BI1707" s="77"/>
    </row>
    <row r="1708" spans="1:61" x14ac:dyDescent="0.25">
      <c r="A1708" s="62" t="s">
        <v>790</v>
      </c>
      <c r="B1708" s="62" t="s">
        <v>790</v>
      </c>
      <c r="C1708" s="63"/>
      <c r="D1708" s="64"/>
      <c r="E1708" s="65"/>
      <c r="F1708" s="66"/>
      <c r="G1708" s="63"/>
      <c r="H1708" s="67"/>
      <c r="I1708" s="68"/>
      <c r="J1708" s="68"/>
      <c r="K1708" s="32"/>
      <c r="L1708" s="75">
        <v>1708</v>
      </c>
      <c r="M1708" s="75"/>
      <c r="N1708" s="70"/>
      <c r="O1708" s="77" t="s">
        <v>179</v>
      </c>
      <c r="P1708" s="79">
        <v>45082.513310185182</v>
      </c>
      <c r="Q1708" s="77" t="s">
        <v>3604</v>
      </c>
      <c r="R1708" s="77">
        <v>0</v>
      </c>
      <c r="S1708" s="77">
        <v>5</v>
      </c>
      <c r="T1708" s="77">
        <v>0</v>
      </c>
      <c r="U1708" s="77">
        <v>0</v>
      </c>
      <c r="V1708" s="77">
        <v>1301</v>
      </c>
      <c r="W1708" s="80" t="s">
        <v>6966</v>
      </c>
      <c r="X1708" s="83" t="str">
        <f>HYPERLINK("https://www.moneytimes.com.br/dolar-tem-leve-alta-frente-ao-real-com-expectativas-sobre-fed/")</f>
        <v>https://www.moneytimes.com.br/dolar-tem-leve-alta-frente-ao-real-com-expectativas-sobre-fed/</v>
      </c>
      <c r="Y1708" s="77" t="s">
        <v>8611</v>
      </c>
      <c r="Z1708" s="77"/>
      <c r="AA1708" s="77"/>
      <c r="AB1708" s="77"/>
      <c r="AC1708" s="80" t="s">
        <v>10558</v>
      </c>
      <c r="AD1708" s="77" t="s">
        <v>10617</v>
      </c>
      <c r="AE1708" s="83" t="str">
        <f>HYPERLINK("https://twitter.com/leiamoneytimes/status/1665694751666970625")</f>
        <v>https://twitter.com/leiamoneytimes/status/1665694751666970625</v>
      </c>
      <c r="AF1708" s="79">
        <v>45082.513310185182</v>
      </c>
      <c r="AG1708" s="85">
        <v>45082</v>
      </c>
      <c r="AH1708" s="80" t="s">
        <v>12137</v>
      </c>
      <c r="AI1708" s="77" t="b">
        <v>0</v>
      </c>
      <c r="AJ1708" s="77"/>
      <c r="AK1708" s="77"/>
      <c r="AL1708" s="77"/>
      <c r="AM1708" s="77"/>
      <c r="AN1708" s="77"/>
      <c r="AO1708" s="77"/>
      <c r="AP1708" s="77"/>
      <c r="AQ1708" s="77"/>
      <c r="AR1708" s="77"/>
      <c r="AS1708" s="77"/>
      <c r="AT1708" s="77"/>
      <c r="AU1708" s="77"/>
      <c r="AV1708" s="83" t="str">
        <f>HYPERLINK("https://pbs.twimg.com/profile_images/1559883556846977024/bXHnQFY0_normal.jpg")</f>
        <v>https://pbs.twimg.com/profile_images/1559883556846977024/bXHnQFY0_normal.jpg</v>
      </c>
      <c r="AW1708" s="80" t="s">
        <v>17575</v>
      </c>
      <c r="AX1708" s="80" t="s">
        <v>17575</v>
      </c>
      <c r="AY1708" s="77"/>
      <c r="AZ1708" s="80" t="s">
        <v>20380</v>
      </c>
      <c r="BA1708" s="80" t="s">
        <v>20380</v>
      </c>
      <c r="BB1708" s="80" t="s">
        <v>20380</v>
      </c>
      <c r="BC1708" s="80" t="s">
        <v>17575</v>
      </c>
      <c r="BD1708" s="77">
        <v>51150679</v>
      </c>
      <c r="BE1708" s="77"/>
      <c r="BF1708" s="77"/>
      <c r="BG1708" s="77"/>
      <c r="BH1708" s="77"/>
      <c r="BI1708" s="77"/>
    </row>
    <row r="1709" spans="1:61" x14ac:dyDescent="0.25">
      <c r="A1709" s="62" t="s">
        <v>790</v>
      </c>
      <c r="B1709" s="62" t="s">
        <v>790</v>
      </c>
      <c r="C1709" s="63"/>
      <c r="D1709" s="64"/>
      <c r="E1709" s="65"/>
      <c r="F1709" s="66"/>
      <c r="G1709" s="63"/>
      <c r="H1709" s="67"/>
      <c r="I1709" s="68"/>
      <c r="J1709" s="68"/>
      <c r="K1709" s="32"/>
      <c r="L1709" s="75">
        <v>1709</v>
      </c>
      <c r="M1709" s="75"/>
      <c r="N1709" s="70"/>
      <c r="O1709" s="77" t="s">
        <v>179</v>
      </c>
      <c r="P1709" s="79">
        <v>45082.49322916667</v>
      </c>
      <c r="Q1709" s="77" t="s">
        <v>3605</v>
      </c>
      <c r="R1709" s="77">
        <v>1</v>
      </c>
      <c r="S1709" s="77">
        <v>5</v>
      </c>
      <c r="T1709" s="77">
        <v>0</v>
      </c>
      <c r="U1709" s="77">
        <v>0</v>
      </c>
      <c r="V1709" s="77">
        <v>1324</v>
      </c>
      <c r="W1709" s="80" t="s">
        <v>6957</v>
      </c>
      <c r="X1709" s="83" t="str">
        <f>HYPERLINK("https://www.moneytimes.com.br/projecao-de-inflacao-cai-pela-terceira-semana-seguida-confira-o-focus-desta-segunda-5/")</f>
        <v>https://www.moneytimes.com.br/projecao-de-inflacao-cai-pela-terceira-semana-seguida-confira-o-focus-desta-segunda-5/</v>
      </c>
      <c r="Y1709" s="77" t="s">
        <v>8611</v>
      </c>
      <c r="Z1709" s="77"/>
      <c r="AA1709" s="77"/>
      <c r="AB1709" s="77"/>
      <c r="AC1709" s="80" t="s">
        <v>10558</v>
      </c>
      <c r="AD1709" s="77" t="s">
        <v>10617</v>
      </c>
      <c r="AE1709" s="83" t="str">
        <f>HYPERLINK("https://twitter.com/leiamoneytimes/status/1665687472238370824")</f>
        <v>https://twitter.com/leiamoneytimes/status/1665687472238370824</v>
      </c>
      <c r="AF1709" s="79">
        <v>45082.49322916667</v>
      </c>
      <c r="AG1709" s="85">
        <v>45082</v>
      </c>
      <c r="AH1709" s="80" t="s">
        <v>12138</v>
      </c>
      <c r="AI1709" s="77" t="b">
        <v>0</v>
      </c>
      <c r="AJ1709" s="77"/>
      <c r="AK1709" s="77"/>
      <c r="AL1709" s="77"/>
      <c r="AM1709" s="77"/>
      <c r="AN1709" s="77"/>
      <c r="AO1709" s="77"/>
      <c r="AP1709" s="77"/>
      <c r="AQ1709" s="77"/>
      <c r="AR1709" s="77"/>
      <c r="AS1709" s="77"/>
      <c r="AT1709" s="77"/>
      <c r="AU1709" s="77"/>
      <c r="AV1709" s="83" t="str">
        <f>HYPERLINK("https://pbs.twimg.com/profile_images/1559883556846977024/bXHnQFY0_normal.jpg")</f>
        <v>https://pbs.twimg.com/profile_images/1559883556846977024/bXHnQFY0_normal.jpg</v>
      </c>
      <c r="AW1709" s="80" t="s">
        <v>17576</v>
      </c>
      <c r="AX1709" s="80" t="s">
        <v>17576</v>
      </c>
      <c r="AY1709" s="77"/>
      <c r="AZ1709" s="80" t="s">
        <v>20380</v>
      </c>
      <c r="BA1709" s="80" t="s">
        <v>20380</v>
      </c>
      <c r="BB1709" s="80" t="s">
        <v>20380</v>
      </c>
      <c r="BC1709" s="80" t="s">
        <v>17576</v>
      </c>
      <c r="BD1709" s="77">
        <v>51150679</v>
      </c>
      <c r="BE1709" s="77"/>
      <c r="BF1709" s="77"/>
      <c r="BG1709" s="77"/>
      <c r="BH1709" s="77"/>
      <c r="BI1709" s="77"/>
    </row>
    <row r="1710" spans="1:61" x14ac:dyDescent="0.25">
      <c r="A1710" s="62" t="s">
        <v>790</v>
      </c>
      <c r="B1710" s="62" t="s">
        <v>790</v>
      </c>
      <c r="C1710" s="63"/>
      <c r="D1710" s="64"/>
      <c r="E1710" s="65"/>
      <c r="F1710" s="66"/>
      <c r="G1710" s="63"/>
      <c r="H1710" s="67"/>
      <c r="I1710" s="68"/>
      <c r="J1710" s="68"/>
      <c r="K1710" s="32"/>
      <c r="L1710" s="75">
        <v>1710</v>
      </c>
      <c r="M1710" s="75"/>
      <c r="N1710" s="70"/>
      <c r="O1710" s="77" t="s">
        <v>179</v>
      </c>
      <c r="P1710" s="79">
        <v>45079.900833333333</v>
      </c>
      <c r="Q1710" s="77" t="s">
        <v>3606</v>
      </c>
      <c r="R1710" s="77">
        <v>0</v>
      </c>
      <c r="S1710" s="77">
        <v>8</v>
      </c>
      <c r="T1710" s="77">
        <v>0</v>
      </c>
      <c r="U1710" s="77">
        <v>0</v>
      </c>
      <c r="V1710" s="77">
        <v>1732</v>
      </c>
      <c r="W1710" s="80" t="s">
        <v>6922</v>
      </c>
      <c r="X1710" s="83" t="str">
        <f>HYPERLINK("https://www.moneytimes.com.br/campos-neto-na-mira-governo-espera-corte-nos-juros-e-ameaca-bc-com-desdobramentos/")</f>
        <v>https://www.moneytimes.com.br/campos-neto-na-mira-governo-espera-corte-nos-juros-e-ameaca-bc-com-desdobramentos/</v>
      </c>
      <c r="Y1710" s="77" t="s">
        <v>8611</v>
      </c>
      <c r="Z1710" s="77"/>
      <c r="AA1710" s="77"/>
      <c r="AB1710" s="77"/>
      <c r="AC1710" s="80" t="s">
        <v>10558</v>
      </c>
      <c r="AD1710" s="77" t="s">
        <v>10617</v>
      </c>
      <c r="AE1710" s="83" t="str">
        <f>HYPERLINK("https://twitter.com/leiamoneytimes/status/1664748021043658754")</f>
        <v>https://twitter.com/leiamoneytimes/status/1664748021043658754</v>
      </c>
      <c r="AF1710" s="79">
        <v>45079.900833333333</v>
      </c>
      <c r="AG1710" s="85">
        <v>45079</v>
      </c>
      <c r="AH1710" s="80" t="s">
        <v>12139</v>
      </c>
      <c r="AI1710" s="77" t="b">
        <v>0</v>
      </c>
      <c r="AJ1710" s="77"/>
      <c r="AK1710" s="77"/>
      <c r="AL1710" s="77"/>
      <c r="AM1710" s="77"/>
      <c r="AN1710" s="77"/>
      <c r="AO1710" s="77"/>
      <c r="AP1710" s="77"/>
      <c r="AQ1710" s="77"/>
      <c r="AR1710" s="77"/>
      <c r="AS1710" s="77"/>
      <c r="AT1710" s="77"/>
      <c r="AU1710" s="77"/>
      <c r="AV1710" s="83" t="str">
        <f>HYPERLINK("https://pbs.twimg.com/profile_images/1559883556846977024/bXHnQFY0_normal.jpg")</f>
        <v>https://pbs.twimg.com/profile_images/1559883556846977024/bXHnQFY0_normal.jpg</v>
      </c>
      <c r="AW1710" s="80" t="s">
        <v>17577</v>
      </c>
      <c r="AX1710" s="80" t="s">
        <v>17577</v>
      </c>
      <c r="AY1710" s="77"/>
      <c r="AZ1710" s="80" t="s">
        <v>20380</v>
      </c>
      <c r="BA1710" s="80" t="s">
        <v>20380</v>
      </c>
      <c r="BB1710" s="80" t="s">
        <v>20380</v>
      </c>
      <c r="BC1710" s="80" t="s">
        <v>17577</v>
      </c>
      <c r="BD1710" s="77">
        <v>51150679</v>
      </c>
      <c r="BE1710" s="77"/>
      <c r="BF1710" s="77"/>
      <c r="BG1710" s="77"/>
      <c r="BH1710" s="77"/>
      <c r="BI1710" s="77"/>
    </row>
    <row r="1711" spans="1:61" x14ac:dyDescent="0.25">
      <c r="A1711" s="62" t="s">
        <v>790</v>
      </c>
      <c r="B1711" s="62" t="s">
        <v>790</v>
      </c>
      <c r="C1711" s="63"/>
      <c r="D1711" s="64"/>
      <c r="E1711" s="65"/>
      <c r="F1711" s="66"/>
      <c r="G1711" s="63"/>
      <c r="H1711" s="67"/>
      <c r="I1711" s="68"/>
      <c r="J1711" s="68"/>
      <c r="K1711" s="32"/>
      <c r="L1711" s="75">
        <v>1711</v>
      </c>
      <c r="M1711" s="75"/>
      <c r="N1711" s="70"/>
      <c r="O1711" s="77" t="s">
        <v>179</v>
      </c>
      <c r="P1711" s="79">
        <v>45079.747916666667</v>
      </c>
      <c r="Q1711" s="77" t="s">
        <v>3607</v>
      </c>
      <c r="R1711" s="77">
        <v>15</v>
      </c>
      <c r="S1711" s="77">
        <v>268</v>
      </c>
      <c r="T1711" s="77">
        <v>20</v>
      </c>
      <c r="U1711" s="77">
        <v>0</v>
      </c>
      <c r="V1711" s="77">
        <v>11805</v>
      </c>
      <c r="W1711" s="80" t="s">
        <v>7028</v>
      </c>
      <c r="X1711" s="83" t="str">
        <f>HYPERLINK("https://www.moneytimes.com.br/campos-neto-sou-muito-contra-uma-eventual-moeda-comum-entre-brasil-e-outros-paises/")</f>
        <v>https://www.moneytimes.com.br/campos-neto-sou-muito-contra-uma-eventual-moeda-comum-entre-brasil-e-outros-paises/</v>
      </c>
      <c r="Y1711" s="77" t="s">
        <v>8611</v>
      </c>
      <c r="Z1711" s="77"/>
      <c r="AA1711" s="77"/>
      <c r="AB1711" s="77"/>
      <c r="AC1711" s="80" t="s">
        <v>10558</v>
      </c>
      <c r="AD1711" s="77" t="s">
        <v>10617</v>
      </c>
      <c r="AE1711" s="83" t="str">
        <f>HYPERLINK("https://twitter.com/leiamoneytimes/status/1664692607153315842")</f>
        <v>https://twitter.com/leiamoneytimes/status/1664692607153315842</v>
      </c>
      <c r="AF1711" s="79">
        <v>45079.747916666667</v>
      </c>
      <c r="AG1711" s="85">
        <v>45079</v>
      </c>
      <c r="AH1711" s="80" t="s">
        <v>12140</v>
      </c>
      <c r="AI1711" s="77" t="b">
        <v>0</v>
      </c>
      <c r="AJ1711" s="77"/>
      <c r="AK1711" s="77"/>
      <c r="AL1711" s="77"/>
      <c r="AM1711" s="77"/>
      <c r="AN1711" s="77"/>
      <c r="AO1711" s="77"/>
      <c r="AP1711" s="77"/>
      <c r="AQ1711" s="77"/>
      <c r="AR1711" s="77"/>
      <c r="AS1711" s="77"/>
      <c r="AT1711" s="77"/>
      <c r="AU1711" s="77"/>
      <c r="AV1711" s="83" t="str">
        <f>HYPERLINK("https://pbs.twimg.com/profile_images/1559883556846977024/bXHnQFY0_normal.jpg")</f>
        <v>https://pbs.twimg.com/profile_images/1559883556846977024/bXHnQFY0_normal.jpg</v>
      </c>
      <c r="AW1711" s="80" t="s">
        <v>17578</v>
      </c>
      <c r="AX1711" s="80" t="s">
        <v>17578</v>
      </c>
      <c r="AY1711" s="77"/>
      <c r="AZ1711" s="80" t="s">
        <v>20380</v>
      </c>
      <c r="BA1711" s="80" t="s">
        <v>20380</v>
      </c>
      <c r="BB1711" s="80" t="s">
        <v>20380</v>
      </c>
      <c r="BC1711" s="80" t="s">
        <v>17578</v>
      </c>
      <c r="BD1711" s="77">
        <v>51150679</v>
      </c>
      <c r="BE1711" s="77"/>
      <c r="BF1711" s="77"/>
      <c r="BG1711" s="77"/>
      <c r="BH1711" s="77"/>
      <c r="BI1711" s="77"/>
    </row>
    <row r="1712" spans="1:61" x14ac:dyDescent="0.25">
      <c r="A1712" s="62" t="s">
        <v>790</v>
      </c>
      <c r="B1712" s="62" t="s">
        <v>790</v>
      </c>
      <c r="C1712" s="63"/>
      <c r="D1712" s="64"/>
      <c r="E1712" s="65"/>
      <c r="F1712" s="66"/>
      <c r="G1712" s="63"/>
      <c r="H1712" s="67"/>
      <c r="I1712" s="68"/>
      <c r="J1712" s="68"/>
      <c r="K1712" s="32"/>
      <c r="L1712" s="75">
        <v>1712</v>
      </c>
      <c r="M1712" s="75"/>
      <c r="N1712" s="70"/>
      <c r="O1712" s="77" t="s">
        <v>179</v>
      </c>
      <c r="P1712" s="79">
        <v>45079.732916666668</v>
      </c>
      <c r="Q1712" s="77" t="s">
        <v>3608</v>
      </c>
      <c r="R1712" s="77">
        <v>0</v>
      </c>
      <c r="S1712" s="77">
        <v>0</v>
      </c>
      <c r="T1712" s="77">
        <v>0</v>
      </c>
      <c r="U1712" s="77">
        <v>0</v>
      </c>
      <c r="V1712" s="77">
        <v>903</v>
      </c>
      <c r="W1712" s="80" t="s">
        <v>6931</v>
      </c>
      <c r="X1712" s="83" t="str">
        <f>HYPERLINK("https://www.moneytimes.com.br/de-olho-na-selic-economia-da-sinais-de-que-alta-na-taxa-de-juros-fez-efeito-entenda/")</f>
        <v>https://www.moneytimes.com.br/de-olho-na-selic-economia-da-sinais-de-que-alta-na-taxa-de-juros-fez-efeito-entenda/</v>
      </c>
      <c r="Y1712" s="77" t="s">
        <v>8611</v>
      </c>
      <c r="Z1712" s="77"/>
      <c r="AA1712" s="77"/>
      <c r="AB1712" s="77"/>
      <c r="AC1712" s="80" t="s">
        <v>10558</v>
      </c>
      <c r="AD1712" s="77" t="s">
        <v>10617</v>
      </c>
      <c r="AE1712" s="83" t="str">
        <f>HYPERLINK("https://twitter.com/leiamoneytimes/status/1664687171389751321")</f>
        <v>https://twitter.com/leiamoneytimes/status/1664687171389751321</v>
      </c>
      <c r="AF1712" s="79">
        <v>45079.732916666668</v>
      </c>
      <c r="AG1712" s="85">
        <v>45079</v>
      </c>
      <c r="AH1712" s="80" t="s">
        <v>12141</v>
      </c>
      <c r="AI1712" s="77" t="b">
        <v>0</v>
      </c>
      <c r="AJ1712" s="77"/>
      <c r="AK1712" s="77"/>
      <c r="AL1712" s="77"/>
      <c r="AM1712" s="77"/>
      <c r="AN1712" s="77"/>
      <c r="AO1712" s="77"/>
      <c r="AP1712" s="77"/>
      <c r="AQ1712" s="77"/>
      <c r="AR1712" s="77"/>
      <c r="AS1712" s="77"/>
      <c r="AT1712" s="77"/>
      <c r="AU1712" s="77"/>
      <c r="AV1712" s="83" t="str">
        <f>HYPERLINK("https://pbs.twimg.com/profile_images/1559883556846977024/bXHnQFY0_normal.jpg")</f>
        <v>https://pbs.twimg.com/profile_images/1559883556846977024/bXHnQFY0_normal.jpg</v>
      </c>
      <c r="AW1712" s="80" t="s">
        <v>17579</v>
      </c>
      <c r="AX1712" s="80" t="s">
        <v>17579</v>
      </c>
      <c r="AY1712" s="77"/>
      <c r="AZ1712" s="80" t="s">
        <v>20380</v>
      </c>
      <c r="BA1712" s="80" t="s">
        <v>20380</v>
      </c>
      <c r="BB1712" s="80" t="s">
        <v>20380</v>
      </c>
      <c r="BC1712" s="80" t="s">
        <v>17579</v>
      </c>
      <c r="BD1712" s="77">
        <v>51150679</v>
      </c>
      <c r="BE1712" s="77"/>
      <c r="BF1712" s="77"/>
      <c r="BG1712" s="77"/>
      <c r="BH1712" s="77"/>
      <c r="BI1712" s="77"/>
    </row>
    <row r="1713" spans="1:61" x14ac:dyDescent="0.25">
      <c r="A1713" s="62" t="s">
        <v>790</v>
      </c>
      <c r="B1713" s="62" t="s">
        <v>790</v>
      </c>
      <c r="C1713" s="63"/>
      <c r="D1713" s="64"/>
      <c r="E1713" s="65"/>
      <c r="F1713" s="66"/>
      <c r="G1713" s="63"/>
      <c r="H1713" s="67"/>
      <c r="I1713" s="68"/>
      <c r="J1713" s="68"/>
      <c r="K1713" s="32"/>
      <c r="L1713" s="75">
        <v>1713</v>
      </c>
      <c r="M1713" s="75"/>
      <c r="N1713" s="70"/>
      <c r="O1713" s="77" t="s">
        <v>179</v>
      </c>
      <c r="P1713" s="79">
        <v>45079.72693287037</v>
      </c>
      <c r="Q1713" s="77" t="s">
        <v>3609</v>
      </c>
      <c r="R1713" s="77">
        <v>0</v>
      </c>
      <c r="S1713" s="77">
        <v>3</v>
      </c>
      <c r="T1713" s="77">
        <v>0</v>
      </c>
      <c r="U1713" s="77">
        <v>0</v>
      </c>
      <c r="V1713" s="77">
        <v>1030</v>
      </c>
      <c r="W1713" s="80" t="s">
        <v>7029</v>
      </c>
      <c r="X1713" s="83" t="str">
        <f>HYPERLINK("https://www.moneytimes.com.br/o-que-e-bom-para-o-real-e-ruim-para-o-dolar-e-menos-divida/")</f>
        <v>https://www.moneytimes.com.br/o-que-e-bom-para-o-real-e-ruim-para-o-dolar-e-menos-divida/</v>
      </c>
      <c r="Y1713" s="77" t="s">
        <v>8611</v>
      </c>
      <c r="Z1713" s="77"/>
      <c r="AA1713" s="77"/>
      <c r="AB1713" s="77"/>
      <c r="AC1713" s="80" t="s">
        <v>10558</v>
      </c>
      <c r="AD1713" s="77" t="s">
        <v>10617</v>
      </c>
      <c r="AE1713" s="83" t="str">
        <f>HYPERLINK("https://twitter.com/leiamoneytimes/status/1664685001277833253")</f>
        <v>https://twitter.com/leiamoneytimes/status/1664685001277833253</v>
      </c>
      <c r="AF1713" s="79">
        <v>45079.72693287037</v>
      </c>
      <c r="AG1713" s="85">
        <v>45079</v>
      </c>
      <c r="AH1713" s="80" t="s">
        <v>12142</v>
      </c>
      <c r="AI1713" s="77" t="b">
        <v>0</v>
      </c>
      <c r="AJ1713" s="77"/>
      <c r="AK1713" s="77"/>
      <c r="AL1713" s="77"/>
      <c r="AM1713" s="77"/>
      <c r="AN1713" s="77"/>
      <c r="AO1713" s="77"/>
      <c r="AP1713" s="77"/>
      <c r="AQ1713" s="77"/>
      <c r="AR1713" s="77"/>
      <c r="AS1713" s="77"/>
      <c r="AT1713" s="77"/>
      <c r="AU1713" s="77"/>
      <c r="AV1713" s="83" t="str">
        <f>HYPERLINK("https://pbs.twimg.com/profile_images/1559883556846977024/bXHnQFY0_normal.jpg")</f>
        <v>https://pbs.twimg.com/profile_images/1559883556846977024/bXHnQFY0_normal.jpg</v>
      </c>
      <c r="AW1713" s="80" t="s">
        <v>17580</v>
      </c>
      <c r="AX1713" s="80" t="s">
        <v>17580</v>
      </c>
      <c r="AY1713" s="77"/>
      <c r="AZ1713" s="80" t="s">
        <v>20380</v>
      </c>
      <c r="BA1713" s="80" t="s">
        <v>20380</v>
      </c>
      <c r="BB1713" s="80" t="s">
        <v>20380</v>
      </c>
      <c r="BC1713" s="80" t="s">
        <v>17580</v>
      </c>
      <c r="BD1713" s="77">
        <v>51150679</v>
      </c>
      <c r="BE1713" s="77"/>
      <c r="BF1713" s="77"/>
      <c r="BG1713" s="77"/>
      <c r="BH1713" s="77"/>
      <c r="BI1713" s="77"/>
    </row>
    <row r="1714" spans="1:61" x14ac:dyDescent="0.25">
      <c r="A1714" s="62" t="s">
        <v>790</v>
      </c>
      <c r="B1714" s="62" t="s">
        <v>790</v>
      </c>
      <c r="C1714" s="63"/>
      <c r="D1714" s="64"/>
      <c r="E1714" s="65"/>
      <c r="F1714" s="66"/>
      <c r="G1714" s="63"/>
      <c r="H1714" s="67"/>
      <c r="I1714" s="68"/>
      <c r="J1714" s="68"/>
      <c r="K1714" s="32"/>
      <c r="L1714" s="75">
        <v>1714</v>
      </c>
      <c r="M1714" s="75"/>
      <c r="N1714" s="70"/>
      <c r="O1714" s="77" t="s">
        <v>179</v>
      </c>
      <c r="P1714" s="79">
        <v>45049.830011574071</v>
      </c>
      <c r="Q1714" s="77" t="s">
        <v>3610</v>
      </c>
      <c r="R1714" s="77">
        <v>0</v>
      </c>
      <c r="S1714" s="77">
        <v>2</v>
      </c>
      <c r="T1714" s="77">
        <v>0</v>
      </c>
      <c r="U1714" s="77">
        <v>0</v>
      </c>
      <c r="V1714" s="77">
        <v>1029</v>
      </c>
      <c r="W1714" s="80" t="s">
        <v>6953</v>
      </c>
      <c r="X1714" s="83" t="str">
        <f>HYPERLINK("https://www.moneytimes.com.br/taxas-futuras-de-juros-caem-em-sintonia-com-o-exterior-e-a-espera-do-copom/")</f>
        <v>https://www.moneytimes.com.br/taxas-futuras-de-juros-caem-em-sintonia-com-o-exterior-e-a-espera-do-copom/</v>
      </c>
      <c r="Y1714" s="77" t="s">
        <v>8611</v>
      </c>
      <c r="Z1714" s="77"/>
      <c r="AA1714" s="77"/>
      <c r="AB1714" s="77"/>
      <c r="AC1714" s="80" t="s">
        <v>10558</v>
      </c>
      <c r="AD1714" s="77" t="s">
        <v>10617</v>
      </c>
      <c r="AE1714" s="83" t="str">
        <f>HYPERLINK("https://twitter.com/leiamoneytimes/status/1653850719508652035")</f>
        <v>https://twitter.com/leiamoneytimes/status/1653850719508652035</v>
      </c>
      <c r="AF1714" s="79">
        <v>45049.830011574071</v>
      </c>
      <c r="AG1714" s="85">
        <v>45049</v>
      </c>
      <c r="AH1714" s="80" t="s">
        <v>12143</v>
      </c>
      <c r="AI1714" s="77" t="b">
        <v>0</v>
      </c>
      <c r="AJ1714" s="77"/>
      <c r="AK1714" s="77"/>
      <c r="AL1714" s="77"/>
      <c r="AM1714" s="77"/>
      <c r="AN1714" s="77"/>
      <c r="AO1714" s="77"/>
      <c r="AP1714" s="77"/>
      <c r="AQ1714" s="77"/>
      <c r="AR1714" s="77"/>
      <c r="AS1714" s="77"/>
      <c r="AT1714" s="77"/>
      <c r="AU1714" s="77"/>
      <c r="AV1714" s="83" t="str">
        <f>HYPERLINK("https://pbs.twimg.com/profile_images/1559883556846977024/bXHnQFY0_normal.jpg")</f>
        <v>https://pbs.twimg.com/profile_images/1559883556846977024/bXHnQFY0_normal.jpg</v>
      </c>
      <c r="AW1714" s="80" t="s">
        <v>17581</v>
      </c>
      <c r="AX1714" s="80" t="s">
        <v>17581</v>
      </c>
      <c r="AY1714" s="77"/>
      <c r="AZ1714" s="80" t="s">
        <v>20380</v>
      </c>
      <c r="BA1714" s="80" t="s">
        <v>20380</v>
      </c>
      <c r="BB1714" s="80" t="s">
        <v>20380</v>
      </c>
      <c r="BC1714" s="80" t="s">
        <v>17581</v>
      </c>
      <c r="BD1714" s="77">
        <v>51150679</v>
      </c>
      <c r="BE1714" s="77"/>
      <c r="BF1714" s="77"/>
      <c r="BG1714" s="77"/>
      <c r="BH1714" s="77"/>
      <c r="BI1714" s="77"/>
    </row>
    <row r="1715" spans="1:61" x14ac:dyDescent="0.25">
      <c r="A1715" s="62" t="s">
        <v>790</v>
      </c>
      <c r="B1715" s="62" t="s">
        <v>790</v>
      </c>
      <c r="C1715" s="63"/>
      <c r="D1715" s="64"/>
      <c r="E1715" s="65"/>
      <c r="F1715" s="66"/>
      <c r="G1715" s="63"/>
      <c r="H1715" s="67"/>
      <c r="I1715" s="68"/>
      <c r="J1715" s="68"/>
      <c r="K1715" s="32"/>
      <c r="L1715" s="75">
        <v>1715</v>
      </c>
      <c r="M1715" s="75"/>
      <c r="N1715" s="70"/>
      <c r="O1715" s="77" t="s">
        <v>179</v>
      </c>
      <c r="P1715" s="79">
        <v>45049.754999999997</v>
      </c>
      <c r="Q1715" s="77" t="s">
        <v>3611</v>
      </c>
      <c r="R1715" s="77">
        <v>1</v>
      </c>
      <c r="S1715" s="77">
        <v>5</v>
      </c>
      <c r="T1715" s="77">
        <v>1</v>
      </c>
      <c r="U1715" s="77">
        <v>0</v>
      </c>
      <c r="V1715" s="77">
        <v>1064</v>
      </c>
      <c r="W1715" s="80" t="s">
        <v>7030</v>
      </c>
      <c r="X1715" s="83" t="str">
        <f>HYPERLINK("https://www.moneytimes.com.br/brasil-registra-fluxo-cambial-positivo-de-us-844-mi-em-abril-diz-banco-central/")</f>
        <v>https://www.moneytimes.com.br/brasil-registra-fluxo-cambial-positivo-de-us-844-mi-em-abril-diz-banco-central/</v>
      </c>
      <c r="Y1715" s="77" t="s">
        <v>8611</v>
      </c>
      <c r="Z1715" s="77"/>
      <c r="AA1715" s="77"/>
      <c r="AB1715" s="77"/>
      <c r="AC1715" s="80" t="s">
        <v>10558</v>
      </c>
      <c r="AD1715" s="77" t="s">
        <v>10617</v>
      </c>
      <c r="AE1715" s="83" t="str">
        <f>HYPERLINK("https://twitter.com/leiamoneytimes/status/1653823537369456643")</f>
        <v>https://twitter.com/leiamoneytimes/status/1653823537369456643</v>
      </c>
      <c r="AF1715" s="79">
        <v>45049.754999999997</v>
      </c>
      <c r="AG1715" s="85">
        <v>45049</v>
      </c>
      <c r="AH1715" s="80" t="s">
        <v>12144</v>
      </c>
      <c r="AI1715" s="77" t="b">
        <v>0</v>
      </c>
      <c r="AJ1715" s="77"/>
      <c r="AK1715" s="77"/>
      <c r="AL1715" s="77"/>
      <c r="AM1715" s="77"/>
      <c r="AN1715" s="77"/>
      <c r="AO1715" s="77"/>
      <c r="AP1715" s="77"/>
      <c r="AQ1715" s="77"/>
      <c r="AR1715" s="77"/>
      <c r="AS1715" s="77"/>
      <c r="AT1715" s="77"/>
      <c r="AU1715" s="77"/>
      <c r="AV1715" s="83" t="str">
        <f>HYPERLINK("https://pbs.twimg.com/profile_images/1559883556846977024/bXHnQFY0_normal.jpg")</f>
        <v>https://pbs.twimg.com/profile_images/1559883556846977024/bXHnQFY0_normal.jpg</v>
      </c>
      <c r="AW1715" s="80" t="s">
        <v>17582</v>
      </c>
      <c r="AX1715" s="80" t="s">
        <v>17582</v>
      </c>
      <c r="AY1715" s="77"/>
      <c r="AZ1715" s="80" t="s">
        <v>20380</v>
      </c>
      <c r="BA1715" s="80" t="s">
        <v>20380</v>
      </c>
      <c r="BB1715" s="80" t="s">
        <v>20380</v>
      </c>
      <c r="BC1715" s="80" t="s">
        <v>17582</v>
      </c>
      <c r="BD1715" s="77">
        <v>51150679</v>
      </c>
      <c r="BE1715" s="77"/>
      <c r="BF1715" s="77"/>
      <c r="BG1715" s="77"/>
      <c r="BH1715" s="77"/>
      <c r="BI1715" s="77"/>
    </row>
    <row r="1716" spans="1:61" x14ac:dyDescent="0.25">
      <c r="A1716" s="62" t="s">
        <v>790</v>
      </c>
      <c r="B1716" s="62" t="s">
        <v>790</v>
      </c>
      <c r="C1716" s="63"/>
      <c r="D1716" s="64"/>
      <c r="E1716" s="65"/>
      <c r="F1716" s="66"/>
      <c r="G1716" s="63"/>
      <c r="H1716" s="67"/>
      <c r="I1716" s="68"/>
      <c r="J1716" s="68"/>
      <c r="K1716" s="32"/>
      <c r="L1716" s="75">
        <v>1716</v>
      </c>
      <c r="M1716" s="75"/>
      <c r="N1716" s="70"/>
      <c r="O1716" s="77" t="s">
        <v>179</v>
      </c>
      <c r="P1716" s="79">
        <v>45049.634293981479</v>
      </c>
      <c r="Q1716" s="77" t="s">
        <v>3612</v>
      </c>
      <c r="R1716" s="77">
        <v>0</v>
      </c>
      <c r="S1716" s="77">
        <v>1</v>
      </c>
      <c r="T1716" s="77">
        <v>1</v>
      </c>
      <c r="U1716" s="77">
        <v>0</v>
      </c>
      <c r="V1716" s="77">
        <v>1102</v>
      </c>
      <c r="W1716" s="80" t="s">
        <v>6985</v>
      </c>
      <c r="X1716" s="83" t="str">
        <f>HYPERLINK("https://www.moneytimes.com.br/ibovespa-ibov-cai-em-dia-de-copom-e-agenda-de-indicadores-cheia-nesta-quarta-feria-3/")</f>
        <v>https://www.moneytimes.com.br/ibovespa-ibov-cai-em-dia-de-copom-e-agenda-de-indicadores-cheia-nesta-quarta-feria-3/</v>
      </c>
      <c r="Y1716" s="77" t="s">
        <v>8611</v>
      </c>
      <c r="Z1716" s="77"/>
      <c r="AA1716" s="77"/>
      <c r="AB1716" s="77"/>
      <c r="AC1716" s="80" t="s">
        <v>10558</v>
      </c>
      <c r="AD1716" s="77" t="s">
        <v>10617</v>
      </c>
      <c r="AE1716" s="83" t="str">
        <f>HYPERLINK("https://twitter.com/leiamoneytimes/status/1653779795119857664")</f>
        <v>https://twitter.com/leiamoneytimes/status/1653779795119857664</v>
      </c>
      <c r="AF1716" s="79">
        <v>45049.634293981479</v>
      </c>
      <c r="AG1716" s="85">
        <v>45049</v>
      </c>
      <c r="AH1716" s="80" t="s">
        <v>12145</v>
      </c>
      <c r="AI1716" s="77" t="b">
        <v>0</v>
      </c>
      <c r="AJ1716" s="77"/>
      <c r="AK1716" s="77"/>
      <c r="AL1716" s="77"/>
      <c r="AM1716" s="77"/>
      <c r="AN1716" s="77"/>
      <c r="AO1716" s="77"/>
      <c r="AP1716" s="77"/>
      <c r="AQ1716" s="77"/>
      <c r="AR1716" s="77"/>
      <c r="AS1716" s="77"/>
      <c r="AT1716" s="77"/>
      <c r="AU1716" s="77"/>
      <c r="AV1716" s="83" t="str">
        <f>HYPERLINK("https://pbs.twimg.com/profile_images/1559883556846977024/bXHnQFY0_normal.jpg")</f>
        <v>https://pbs.twimg.com/profile_images/1559883556846977024/bXHnQFY0_normal.jpg</v>
      </c>
      <c r="AW1716" s="80" t="s">
        <v>17583</v>
      </c>
      <c r="AX1716" s="80" t="s">
        <v>17583</v>
      </c>
      <c r="AY1716" s="77"/>
      <c r="AZ1716" s="80" t="s">
        <v>20380</v>
      </c>
      <c r="BA1716" s="80" t="s">
        <v>20380</v>
      </c>
      <c r="BB1716" s="80" t="s">
        <v>20380</v>
      </c>
      <c r="BC1716" s="80" t="s">
        <v>17583</v>
      </c>
      <c r="BD1716" s="77">
        <v>51150679</v>
      </c>
      <c r="BE1716" s="77"/>
      <c r="BF1716" s="77"/>
      <c r="BG1716" s="77"/>
      <c r="BH1716" s="77"/>
      <c r="BI1716" s="77"/>
    </row>
    <row r="1717" spans="1:61" x14ac:dyDescent="0.25">
      <c r="A1717" s="62" t="s">
        <v>790</v>
      </c>
      <c r="B1717" s="62" t="s">
        <v>790</v>
      </c>
      <c r="C1717" s="63"/>
      <c r="D1717" s="64"/>
      <c r="E1717" s="65"/>
      <c r="F1717" s="66"/>
      <c r="G1717" s="63"/>
      <c r="H1717" s="67"/>
      <c r="I1717" s="68"/>
      <c r="J1717" s="68"/>
      <c r="K1717" s="32"/>
      <c r="L1717" s="75">
        <v>1717</v>
      </c>
      <c r="M1717" s="75"/>
      <c r="N1717" s="70"/>
      <c r="O1717" s="77" t="s">
        <v>179</v>
      </c>
      <c r="P1717" s="79">
        <v>45049.580300925925</v>
      </c>
      <c r="Q1717" s="77" t="s">
        <v>3613</v>
      </c>
      <c r="R1717" s="77">
        <v>0</v>
      </c>
      <c r="S1717" s="77">
        <v>2</v>
      </c>
      <c r="T1717" s="77">
        <v>0</v>
      </c>
      <c r="U1717" s="77">
        <v>0</v>
      </c>
      <c r="V1717" s="77">
        <v>996</v>
      </c>
      <c r="W1717" s="80" t="s">
        <v>6931</v>
      </c>
      <c r="X1717" s="83" t="str">
        <f>HYPERLINK("https://www.moneytimes.com.br/lula-vai-indicar-novo-braco-direito-de-campos-neto-nesta-semana-veja-quem-sao-os-cotados/")</f>
        <v>https://www.moneytimes.com.br/lula-vai-indicar-novo-braco-direito-de-campos-neto-nesta-semana-veja-quem-sao-os-cotados/</v>
      </c>
      <c r="Y1717" s="77" t="s">
        <v>8611</v>
      </c>
      <c r="Z1717" s="77"/>
      <c r="AA1717" s="77"/>
      <c r="AB1717" s="77"/>
      <c r="AC1717" s="80" t="s">
        <v>10558</v>
      </c>
      <c r="AD1717" s="77" t="s">
        <v>10617</v>
      </c>
      <c r="AE1717" s="83" t="str">
        <f>HYPERLINK("https://twitter.com/leiamoneytimes/status/1653760227106344960")</f>
        <v>https://twitter.com/leiamoneytimes/status/1653760227106344960</v>
      </c>
      <c r="AF1717" s="79">
        <v>45049.580300925925</v>
      </c>
      <c r="AG1717" s="85">
        <v>45049</v>
      </c>
      <c r="AH1717" s="80" t="s">
        <v>11065</v>
      </c>
      <c r="AI1717" s="77" t="b">
        <v>0</v>
      </c>
      <c r="AJ1717" s="77"/>
      <c r="AK1717" s="77"/>
      <c r="AL1717" s="77"/>
      <c r="AM1717" s="77"/>
      <c r="AN1717" s="77"/>
      <c r="AO1717" s="77"/>
      <c r="AP1717" s="77"/>
      <c r="AQ1717" s="77"/>
      <c r="AR1717" s="77"/>
      <c r="AS1717" s="77"/>
      <c r="AT1717" s="77"/>
      <c r="AU1717" s="77"/>
      <c r="AV1717" s="83" t="str">
        <f>HYPERLINK("https://pbs.twimg.com/profile_images/1559883556846977024/bXHnQFY0_normal.jpg")</f>
        <v>https://pbs.twimg.com/profile_images/1559883556846977024/bXHnQFY0_normal.jpg</v>
      </c>
      <c r="AW1717" s="80" t="s">
        <v>17584</v>
      </c>
      <c r="AX1717" s="80" t="s">
        <v>17584</v>
      </c>
      <c r="AY1717" s="77"/>
      <c r="AZ1717" s="80" t="s">
        <v>20380</v>
      </c>
      <c r="BA1717" s="80" t="s">
        <v>20380</v>
      </c>
      <c r="BB1717" s="80" t="s">
        <v>20380</v>
      </c>
      <c r="BC1717" s="80" t="s">
        <v>17584</v>
      </c>
      <c r="BD1717" s="77">
        <v>51150679</v>
      </c>
      <c r="BE1717" s="77"/>
      <c r="BF1717" s="77"/>
      <c r="BG1717" s="77"/>
      <c r="BH1717" s="77"/>
      <c r="BI1717" s="77"/>
    </row>
    <row r="1718" spans="1:61" x14ac:dyDescent="0.25">
      <c r="A1718" s="62" t="s">
        <v>790</v>
      </c>
      <c r="B1718" s="62" t="s">
        <v>790</v>
      </c>
      <c r="C1718" s="63"/>
      <c r="D1718" s="64"/>
      <c r="E1718" s="65"/>
      <c r="F1718" s="66"/>
      <c r="G1718" s="63"/>
      <c r="H1718" s="67"/>
      <c r="I1718" s="68"/>
      <c r="J1718" s="68"/>
      <c r="K1718" s="32"/>
      <c r="L1718" s="75">
        <v>1718</v>
      </c>
      <c r="M1718" s="75"/>
      <c r="N1718" s="70"/>
      <c r="O1718" s="77" t="s">
        <v>179</v>
      </c>
      <c r="P1718" s="79">
        <v>45049.517766203702</v>
      </c>
      <c r="Q1718" s="77" t="s">
        <v>3614</v>
      </c>
      <c r="R1718" s="77">
        <v>0</v>
      </c>
      <c r="S1718" s="77">
        <v>4</v>
      </c>
      <c r="T1718" s="77">
        <v>1</v>
      </c>
      <c r="U1718" s="77">
        <v>0</v>
      </c>
      <c r="V1718" s="77">
        <v>1237</v>
      </c>
      <c r="W1718" s="80" t="s">
        <v>7002</v>
      </c>
      <c r="X1718" s="83" t="str">
        <f>HYPERLINK("https://www.moneytimes.com.br/dolar-cai-frente-ao-real-antes-de-decisoes-de-politica-monetaria/")</f>
        <v>https://www.moneytimes.com.br/dolar-cai-frente-ao-real-antes-de-decisoes-de-politica-monetaria/</v>
      </c>
      <c r="Y1718" s="77" t="s">
        <v>8611</v>
      </c>
      <c r="Z1718" s="77"/>
      <c r="AA1718" s="77"/>
      <c r="AB1718" s="77"/>
      <c r="AC1718" s="80" t="s">
        <v>10558</v>
      </c>
      <c r="AD1718" s="77" t="s">
        <v>10617</v>
      </c>
      <c r="AE1718" s="83" t="str">
        <f>HYPERLINK("https://twitter.com/leiamoneytimes/status/1653737566707875840")</f>
        <v>https://twitter.com/leiamoneytimes/status/1653737566707875840</v>
      </c>
      <c r="AF1718" s="79">
        <v>45049.517766203702</v>
      </c>
      <c r="AG1718" s="85">
        <v>45049</v>
      </c>
      <c r="AH1718" s="80" t="s">
        <v>12146</v>
      </c>
      <c r="AI1718" s="77" t="b">
        <v>0</v>
      </c>
      <c r="AJ1718" s="77"/>
      <c r="AK1718" s="77"/>
      <c r="AL1718" s="77"/>
      <c r="AM1718" s="77"/>
      <c r="AN1718" s="77"/>
      <c r="AO1718" s="77"/>
      <c r="AP1718" s="77"/>
      <c r="AQ1718" s="77"/>
      <c r="AR1718" s="77"/>
      <c r="AS1718" s="77"/>
      <c r="AT1718" s="77"/>
      <c r="AU1718" s="77"/>
      <c r="AV1718" s="83" t="str">
        <f>HYPERLINK("https://pbs.twimg.com/profile_images/1559883556846977024/bXHnQFY0_normal.jpg")</f>
        <v>https://pbs.twimg.com/profile_images/1559883556846977024/bXHnQFY0_normal.jpg</v>
      </c>
      <c r="AW1718" s="80" t="s">
        <v>17585</v>
      </c>
      <c r="AX1718" s="80" t="s">
        <v>17585</v>
      </c>
      <c r="AY1718" s="77"/>
      <c r="AZ1718" s="80" t="s">
        <v>20380</v>
      </c>
      <c r="BA1718" s="80" t="s">
        <v>20380</v>
      </c>
      <c r="BB1718" s="80" t="s">
        <v>20380</v>
      </c>
      <c r="BC1718" s="80" t="s">
        <v>17585</v>
      </c>
      <c r="BD1718" s="77">
        <v>51150679</v>
      </c>
      <c r="BE1718" s="77"/>
      <c r="BF1718" s="77"/>
      <c r="BG1718" s="77"/>
      <c r="BH1718" s="77"/>
      <c r="BI1718" s="77"/>
    </row>
    <row r="1719" spans="1:61" x14ac:dyDescent="0.25">
      <c r="A1719" s="62" t="s">
        <v>790</v>
      </c>
      <c r="B1719" s="62" t="s">
        <v>790</v>
      </c>
      <c r="C1719" s="63"/>
      <c r="D1719" s="64"/>
      <c r="E1719" s="65"/>
      <c r="F1719" s="66"/>
      <c r="G1719" s="63"/>
      <c r="H1719" s="67"/>
      <c r="I1719" s="68"/>
      <c r="J1719" s="68"/>
      <c r="K1719" s="32"/>
      <c r="L1719" s="75">
        <v>1719</v>
      </c>
      <c r="M1719" s="75"/>
      <c r="N1719" s="70"/>
      <c r="O1719" s="77" t="s">
        <v>179</v>
      </c>
      <c r="P1719" s="79">
        <v>45049.484027777777</v>
      </c>
      <c r="Q1719" s="77" t="s">
        <v>3615</v>
      </c>
      <c r="R1719" s="77">
        <v>0</v>
      </c>
      <c r="S1719" s="77">
        <v>1</v>
      </c>
      <c r="T1719" s="77">
        <v>1</v>
      </c>
      <c r="U1719" s="77">
        <v>0</v>
      </c>
      <c r="V1719" s="77">
        <v>1059</v>
      </c>
      <c r="W1719" s="80" t="s">
        <v>7031</v>
      </c>
      <c r="X1719" s="83" t="str">
        <f>HYPERLINK("https://www.moneytimes.com.br/campos-neto-de-orelha-quente-por-mais-45-dias-juros-no-brasil-e-nos-eua-pf-na-casa-de-bolsonaro-melhores-acoes-para-maio-e-outros-destaques-do-dia/")</f>
        <v>https://www.moneytimes.com.br/campos-neto-de-orelha-quente-por-mais-45-dias-juros-no-brasil-e-nos-eua-pf-na-casa-de-bolsonaro-melhores-acoes-para-maio-e-outros-destaques-do-dia/</v>
      </c>
      <c r="Y1719" s="77" t="s">
        <v>8611</v>
      </c>
      <c r="Z1719" s="77"/>
      <c r="AA1719" s="77"/>
      <c r="AB1719" s="77"/>
      <c r="AC1719" s="80" t="s">
        <v>10558</v>
      </c>
      <c r="AD1719" s="77" t="s">
        <v>10617</v>
      </c>
      <c r="AE1719" s="83" t="str">
        <f>HYPERLINK("https://twitter.com/leiamoneytimes/status/1653725340437475328")</f>
        <v>https://twitter.com/leiamoneytimes/status/1653725340437475328</v>
      </c>
      <c r="AF1719" s="79">
        <v>45049.484027777777</v>
      </c>
      <c r="AG1719" s="85">
        <v>45049</v>
      </c>
      <c r="AH1719" s="80" t="s">
        <v>12147</v>
      </c>
      <c r="AI1719" s="77" t="b">
        <v>0</v>
      </c>
      <c r="AJ1719" s="77"/>
      <c r="AK1719" s="77"/>
      <c r="AL1719" s="77"/>
      <c r="AM1719" s="77"/>
      <c r="AN1719" s="77"/>
      <c r="AO1719" s="77"/>
      <c r="AP1719" s="77"/>
      <c r="AQ1719" s="77"/>
      <c r="AR1719" s="77"/>
      <c r="AS1719" s="77"/>
      <c r="AT1719" s="77"/>
      <c r="AU1719" s="77"/>
      <c r="AV1719" s="83" t="str">
        <f>HYPERLINK("https://pbs.twimg.com/profile_images/1559883556846977024/bXHnQFY0_normal.jpg")</f>
        <v>https://pbs.twimg.com/profile_images/1559883556846977024/bXHnQFY0_normal.jpg</v>
      </c>
      <c r="AW1719" s="80" t="s">
        <v>17586</v>
      </c>
      <c r="AX1719" s="80" t="s">
        <v>17586</v>
      </c>
      <c r="AY1719" s="77"/>
      <c r="AZ1719" s="80" t="s">
        <v>20380</v>
      </c>
      <c r="BA1719" s="80" t="s">
        <v>20380</v>
      </c>
      <c r="BB1719" s="80" t="s">
        <v>20380</v>
      </c>
      <c r="BC1719" s="80" t="s">
        <v>17586</v>
      </c>
      <c r="BD1719" s="77">
        <v>51150679</v>
      </c>
      <c r="BE1719" s="77"/>
      <c r="BF1719" s="77"/>
      <c r="BG1719" s="77"/>
      <c r="BH1719" s="77"/>
      <c r="BI1719" s="77"/>
    </row>
    <row r="1720" spans="1:61" x14ac:dyDescent="0.25">
      <c r="A1720" s="62" t="s">
        <v>790</v>
      </c>
      <c r="B1720" s="62" t="s">
        <v>790</v>
      </c>
      <c r="C1720" s="63"/>
      <c r="D1720" s="64"/>
      <c r="E1720" s="65"/>
      <c r="F1720" s="66"/>
      <c r="G1720" s="63"/>
      <c r="H1720" s="67"/>
      <c r="I1720" s="68"/>
      <c r="J1720" s="68"/>
      <c r="K1720" s="32"/>
      <c r="L1720" s="75">
        <v>1720</v>
      </c>
      <c r="M1720" s="75"/>
      <c r="N1720" s="70"/>
      <c r="O1720" s="77" t="s">
        <v>179</v>
      </c>
      <c r="P1720" s="79">
        <v>45049.460138888891</v>
      </c>
      <c r="Q1720" s="77" t="s">
        <v>3616</v>
      </c>
      <c r="R1720" s="77">
        <v>0</v>
      </c>
      <c r="S1720" s="77">
        <v>0</v>
      </c>
      <c r="T1720" s="77">
        <v>1</v>
      </c>
      <c r="U1720" s="77">
        <v>0</v>
      </c>
      <c r="V1720" s="77">
        <v>1127</v>
      </c>
      <c r="W1720" s="80" t="s">
        <v>7032</v>
      </c>
      <c r="X1720" s="83" t="str">
        <f>HYPERLINK("https://www.moneytimes.com.br/ibovespa-ibov-enfrenta-fed-e-copom-sob-pressao-na-super-quarta/")</f>
        <v>https://www.moneytimes.com.br/ibovespa-ibov-enfrenta-fed-e-copom-sob-pressao-na-super-quarta/</v>
      </c>
      <c r="Y1720" s="77" t="s">
        <v>8611</v>
      </c>
      <c r="Z1720" s="77"/>
      <c r="AA1720" s="77"/>
      <c r="AB1720" s="77"/>
      <c r="AC1720" s="80" t="s">
        <v>10558</v>
      </c>
      <c r="AD1720" s="77" t="s">
        <v>10617</v>
      </c>
      <c r="AE1720" s="83" t="str">
        <f>HYPERLINK("https://twitter.com/leiamoneytimes/status/1653716681129172997")</f>
        <v>https://twitter.com/leiamoneytimes/status/1653716681129172997</v>
      </c>
      <c r="AF1720" s="79">
        <v>45049.460138888891</v>
      </c>
      <c r="AG1720" s="85">
        <v>45049</v>
      </c>
      <c r="AH1720" s="80" t="s">
        <v>12148</v>
      </c>
      <c r="AI1720" s="77" t="b">
        <v>0</v>
      </c>
      <c r="AJ1720" s="77"/>
      <c r="AK1720" s="77"/>
      <c r="AL1720" s="77"/>
      <c r="AM1720" s="77"/>
      <c r="AN1720" s="77"/>
      <c r="AO1720" s="77"/>
      <c r="AP1720" s="77"/>
      <c r="AQ1720" s="77"/>
      <c r="AR1720" s="77"/>
      <c r="AS1720" s="77"/>
      <c r="AT1720" s="77"/>
      <c r="AU1720" s="77"/>
      <c r="AV1720" s="83" t="str">
        <f>HYPERLINK("https://pbs.twimg.com/profile_images/1559883556846977024/bXHnQFY0_normal.jpg")</f>
        <v>https://pbs.twimg.com/profile_images/1559883556846977024/bXHnQFY0_normal.jpg</v>
      </c>
      <c r="AW1720" s="80" t="s">
        <v>17587</v>
      </c>
      <c r="AX1720" s="80" t="s">
        <v>17587</v>
      </c>
      <c r="AY1720" s="77"/>
      <c r="AZ1720" s="80" t="s">
        <v>20380</v>
      </c>
      <c r="BA1720" s="80" t="s">
        <v>20380</v>
      </c>
      <c r="BB1720" s="80" t="s">
        <v>20380</v>
      </c>
      <c r="BC1720" s="80" t="s">
        <v>17587</v>
      </c>
      <c r="BD1720" s="77">
        <v>51150679</v>
      </c>
      <c r="BE1720" s="77"/>
      <c r="BF1720" s="77"/>
      <c r="BG1720" s="77"/>
      <c r="BH1720" s="77"/>
      <c r="BI1720" s="77"/>
    </row>
    <row r="1721" spans="1:61" x14ac:dyDescent="0.25">
      <c r="A1721" s="62" t="s">
        <v>790</v>
      </c>
      <c r="B1721" s="62" t="s">
        <v>790</v>
      </c>
      <c r="C1721" s="63"/>
      <c r="D1721" s="64"/>
      <c r="E1721" s="65"/>
      <c r="F1721" s="66"/>
      <c r="G1721" s="63"/>
      <c r="H1721" s="67"/>
      <c r="I1721" s="68"/>
      <c r="J1721" s="68"/>
      <c r="K1721" s="32"/>
      <c r="L1721" s="75">
        <v>1721</v>
      </c>
      <c r="M1721" s="75"/>
      <c r="N1721" s="70"/>
      <c r="O1721" s="77" t="s">
        <v>179</v>
      </c>
      <c r="P1721" s="79">
        <v>45049.460127314815</v>
      </c>
      <c r="Q1721" s="77" t="s">
        <v>3617</v>
      </c>
      <c r="R1721" s="77">
        <v>1</v>
      </c>
      <c r="S1721" s="77">
        <v>2</v>
      </c>
      <c r="T1721" s="77">
        <v>0</v>
      </c>
      <c r="U1721" s="77">
        <v>0</v>
      </c>
      <c r="V1721" s="77">
        <v>1185</v>
      </c>
      <c r="W1721" s="80" t="s">
        <v>6927</v>
      </c>
      <c r="X1721" s="83" t="str">
        <f>HYPERLINK("https://www.moneytimes.com.br/banco-central-deve-manter-selic-em-1375-enquanto-federal-reserve-aperta-mais-a-economia-veja-o-que-movimenta-a-quarta-feira-03/")</f>
        <v>https://www.moneytimes.com.br/banco-central-deve-manter-selic-em-1375-enquanto-federal-reserve-aperta-mais-a-economia-veja-o-que-movimenta-a-quarta-feira-03/</v>
      </c>
      <c r="Y1721" s="77" t="s">
        <v>8611</v>
      </c>
      <c r="Z1721" s="77"/>
      <c r="AA1721" s="77"/>
      <c r="AB1721" s="77"/>
      <c r="AC1721" s="80" t="s">
        <v>10558</v>
      </c>
      <c r="AD1721" s="77" t="s">
        <v>10617</v>
      </c>
      <c r="AE1721" s="83" t="str">
        <f>HYPERLINK("https://twitter.com/leiamoneytimes/status/1653716678876835840")</f>
        <v>https://twitter.com/leiamoneytimes/status/1653716678876835840</v>
      </c>
      <c r="AF1721" s="79">
        <v>45049.460127314815</v>
      </c>
      <c r="AG1721" s="85">
        <v>45049</v>
      </c>
      <c r="AH1721" s="80" t="s">
        <v>12149</v>
      </c>
      <c r="AI1721" s="77" t="b">
        <v>0</v>
      </c>
      <c r="AJ1721" s="77"/>
      <c r="AK1721" s="77"/>
      <c r="AL1721" s="77"/>
      <c r="AM1721" s="77"/>
      <c r="AN1721" s="77"/>
      <c r="AO1721" s="77"/>
      <c r="AP1721" s="77"/>
      <c r="AQ1721" s="77"/>
      <c r="AR1721" s="77"/>
      <c r="AS1721" s="77"/>
      <c r="AT1721" s="77"/>
      <c r="AU1721" s="77"/>
      <c r="AV1721" s="83" t="str">
        <f>HYPERLINK("https://pbs.twimg.com/profile_images/1559883556846977024/bXHnQFY0_normal.jpg")</f>
        <v>https://pbs.twimg.com/profile_images/1559883556846977024/bXHnQFY0_normal.jpg</v>
      </c>
      <c r="AW1721" s="80" t="s">
        <v>17588</v>
      </c>
      <c r="AX1721" s="80" t="s">
        <v>17588</v>
      </c>
      <c r="AY1721" s="77"/>
      <c r="AZ1721" s="80" t="s">
        <v>20380</v>
      </c>
      <c r="BA1721" s="80" t="s">
        <v>20380</v>
      </c>
      <c r="BB1721" s="80" t="s">
        <v>20380</v>
      </c>
      <c r="BC1721" s="80" t="s">
        <v>17588</v>
      </c>
      <c r="BD1721" s="77">
        <v>51150679</v>
      </c>
      <c r="BE1721" s="77"/>
      <c r="BF1721" s="77"/>
      <c r="BG1721" s="77"/>
      <c r="BH1721" s="77"/>
      <c r="BI1721" s="77"/>
    </row>
    <row r="1722" spans="1:61" x14ac:dyDescent="0.25">
      <c r="A1722" s="62" t="s">
        <v>790</v>
      </c>
      <c r="B1722" s="62" t="s">
        <v>790</v>
      </c>
      <c r="C1722" s="63"/>
      <c r="D1722" s="64"/>
      <c r="E1722" s="65"/>
      <c r="F1722" s="66"/>
      <c r="G1722" s="63"/>
      <c r="H1722" s="67"/>
      <c r="I1722" s="68"/>
      <c r="J1722" s="68"/>
      <c r="K1722" s="32"/>
      <c r="L1722" s="75">
        <v>1722</v>
      </c>
      <c r="M1722" s="75"/>
      <c r="N1722" s="70"/>
      <c r="O1722" s="77" t="s">
        <v>179</v>
      </c>
      <c r="P1722" s="79">
        <v>45048.850324074076</v>
      </c>
      <c r="Q1722" s="77" t="s">
        <v>3618</v>
      </c>
      <c r="R1722" s="77">
        <v>0</v>
      </c>
      <c r="S1722" s="77">
        <v>4</v>
      </c>
      <c r="T1722" s="77">
        <v>1</v>
      </c>
      <c r="U1722" s="77">
        <v>0</v>
      </c>
      <c r="V1722" s="77">
        <v>1317</v>
      </c>
      <c r="W1722" s="80" t="s">
        <v>6922</v>
      </c>
      <c r="X1722" s="83" t="str">
        <f>HYPERLINK("https://www.moneytimes.com.br/pix-tera-seguranca-reforcada-para-prevenir-fraudes-veja-mudancas/")</f>
        <v>https://www.moneytimes.com.br/pix-tera-seguranca-reforcada-para-prevenir-fraudes-veja-mudancas/</v>
      </c>
      <c r="Y1722" s="77" t="s">
        <v>8611</v>
      </c>
      <c r="Z1722" s="77"/>
      <c r="AA1722" s="77"/>
      <c r="AB1722" s="77"/>
      <c r="AC1722" s="80" t="s">
        <v>10558</v>
      </c>
      <c r="AD1722" s="77" t="s">
        <v>10617</v>
      </c>
      <c r="AE1722" s="83" t="str">
        <f>HYPERLINK("https://twitter.com/leiamoneytimes/status/1653495694114668544")</f>
        <v>https://twitter.com/leiamoneytimes/status/1653495694114668544</v>
      </c>
      <c r="AF1722" s="79">
        <v>45048.850324074076</v>
      </c>
      <c r="AG1722" s="85">
        <v>45048</v>
      </c>
      <c r="AH1722" s="80" t="s">
        <v>12150</v>
      </c>
      <c r="AI1722" s="77" t="b">
        <v>0</v>
      </c>
      <c r="AJ1722" s="77"/>
      <c r="AK1722" s="77"/>
      <c r="AL1722" s="77"/>
      <c r="AM1722" s="77"/>
      <c r="AN1722" s="77"/>
      <c r="AO1722" s="77"/>
      <c r="AP1722" s="77"/>
      <c r="AQ1722" s="77"/>
      <c r="AR1722" s="77"/>
      <c r="AS1722" s="77"/>
      <c r="AT1722" s="77"/>
      <c r="AU1722" s="77"/>
      <c r="AV1722" s="83" t="str">
        <f>HYPERLINK("https://pbs.twimg.com/profile_images/1559883556846977024/bXHnQFY0_normal.jpg")</f>
        <v>https://pbs.twimg.com/profile_images/1559883556846977024/bXHnQFY0_normal.jpg</v>
      </c>
      <c r="AW1722" s="80" t="s">
        <v>17589</v>
      </c>
      <c r="AX1722" s="80" t="s">
        <v>17589</v>
      </c>
      <c r="AY1722" s="77"/>
      <c r="AZ1722" s="80" t="s">
        <v>20380</v>
      </c>
      <c r="BA1722" s="80" t="s">
        <v>20380</v>
      </c>
      <c r="BB1722" s="80" t="s">
        <v>20380</v>
      </c>
      <c r="BC1722" s="80" t="s">
        <v>17589</v>
      </c>
      <c r="BD1722" s="77">
        <v>51150679</v>
      </c>
      <c r="BE1722" s="77"/>
      <c r="BF1722" s="77"/>
      <c r="BG1722" s="77"/>
      <c r="BH1722" s="77"/>
      <c r="BI1722" s="77"/>
    </row>
    <row r="1723" spans="1:61" x14ac:dyDescent="0.25">
      <c r="A1723" s="62" t="s">
        <v>790</v>
      </c>
      <c r="B1723" s="62" t="s">
        <v>790</v>
      </c>
      <c r="C1723" s="63"/>
      <c r="D1723" s="64"/>
      <c r="E1723" s="65"/>
      <c r="F1723" s="66"/>
      <c r="G1723" s="63"/>
      <c r="H1723" s="67"/>
      <c r="I1723" s="68"/>
      <c r="J1723" s="68"/>
      <c r="K1723" s="32"/>
      <c r="L1723" s="75">
        <v>1723</v>
      </c>
      <c r="M1723" s="75"/>
      <c r="N1723" s="70"/>
      <c r="O1723" s="77" t="s">
        <v>179</v>
      </c>
      <c r="P1723" s="79">
        <v>45175.663668981484</v>
      </c>
      <c r="Q1723" s="77" t="s">
        <v>3619</v>
      </c>
      <c r="R1723" s="77">
        <v>1</v>
      </c>
      <c r="S1723" s="77">
        <v>22</v>
      </c>
      <c r="T1723" s="77">
        <v>1</v>
      </c>
      <c r="U1723" s="77">
        <v>0</v>
      </c>
      <c r="V1723" s="77">
        <v>4500</v>
      </c>
      <c r="W1723" s="80" t="s">
        <v>7033</v>
      </c>
      <c r="X1723" s="83" t="str">
        <f>HYPERLINK("https://www.moneytimes.com.br/pix-parcelado-confira-os-bancos-que-oferecem-a-modalidade/")</f>
        <v>https://www.moneytimes.com.br/pix-parcelado-confira-os-bancos-que-oferecem-a-modalidade/</v>
      </c>
      <c r="Y1723" s="77" t="s">
        <v>8611</v>
      </c>
      <c r="Z1723" s="77"/>
      <c r="AA1723" s="77"/>
      <c r="AB1723" s="77"/>
      <c r="AC1723" s="80" t="s">
        <v>10558</v>
      </c>
      <c r="AD1723" s="77" t="s">
        <v>10617</v>
      </c>
      <c r="AE1723" s="83" t="str">
        <f>HYPERLINK("https://twitter.com/leiamoneytimes/status/1699451311568130420")</f>
        <v>https://twitter.com/leiamoneytimes/status/1699451311568130420</v>
      </c>
      <c r="AF1723" s="79">
        <v>45175.663668981484</v>
      </c>
      <c r="AG1723" s="85">
        <v>45175</v>
      </c>
      <c r="AH1723" s="80" t="s">
        <v>12151</v>
      </c>
      <c r="AI1723" s="77" t="b">
        <v>0</v>
      </c>
      <c r="AJ1723" s="77"/>
      <c r="AK1723" s="77"/>
      <c r="AL1723" s="77"/>
      <c r="AM1723" s="77"/>
      <c r="AN1723" s="77"/>
      <c r="AO1723" s="77"/>
      <c r="AP1723" s="77"/>
      <c r="AQ1723" s="77"/>
      <c r="AR1723" s="77"/>
      <c r="AS1723" s="77"/>
      <c r="AT1723" s="77"/>
      <c r="AU1723" s="77"/>
      <c r="AV1723" s="83" t="str">
        <f>HYPERLINK("https://pbs.twimg.com/profile_images/1559883556846977024/bXHnQFY0_normal.jpg")</f>
        <v>https://pbs.twimg.com/profile_images/1559883556846977024/bXHnQFY0_normal.jpg</v>
      </c>
      <c r="AW1723" s="80" t="s">
        <v>17590</v>
      </c>
      <c r="AX1723" s="80" t="s">
        <v>17590</v>
      </c>
      <c r="AY1723" s="77"/>
      <c r="AZ1723" s="80" t="s">
        <v>20380</v>
      </c>
      <c r="BA1723" s="80" t="s">
        <v>20380</v>
      </c>
      <c r="BB1723" s="80" t="s">
        <v>20380</v>
      </c>
      <c r="BC1723" s="80" t="s">
        <v>17590</v>
      </c>
      <c r="BD1723" s="77">
        <v>51150679</v>
      </c>
      <c r="BE1723" s="77"/>
      <c r="BF1723" s="77"/>
      <c r="BG1723" s="77"/>
      <c r="BH1723" s="77"/>
      <c r="BI1723" s="77"/>
    </row>
    <row r="1724" spans="1:61" x14ac:dyDescent="0.25">
      <c r="A1724" s="62" t="s">
        <v>790</v>
      </c>
      <c r="B1724" s="62" t="s">
        <v>790</v>
      </c>
      <c r="C1724" s="63"/>
      <c r="D1724" s="64"/>
      <c r="E1724" s="65"/>
      <c r="F1724" s="66"/>
      <c r="G1724" s="63"/>
      <c r="H1724" s="67"/>
      <c r="I1724" s="68"/>
      <c r="J1724" s="68"/>
      <c r="K1724" s="32"/>
      <c r="L1724" s="75">
        <v>1724</v>
      </c>
      <c r="M1724" s="75"/>
      <c r="N1724" s="70"/>
      <c r="O1724" s="77" t="s">
        <v>179</v>
      </c>
      <c r="P1724" s="79">
        <v>45166.489502314813</v>
      </c>
      <c r="Q1724" s="77" t="s">
        <v>3620</v>
      </c>
      <c r="R1724" s="77">
        <v>0</v>
      </c>
      <c r="S1724" s="77">
        <v>4</v>
      </c>
      <c r="T1724" s="77">
        <v>1</v>
      </c>
      <c r="U1724" s="77">
        <v>0</v>
      </c>
      <c r="V1724" s="77">
        <v>1429</v>
      </c>
      <c r="W1724" s="80" t="s">
        <v>7013</v>
      </c>
      <c r="X1724" s="83" t="str">
        <f>HYPERLINK("https://www.moneytimes.com.br/mercado-pausa-projecoes-de-inflacao-diante-de-arcabouco-fiscal-e-ipca-15-confira-o-focus-desta-segunda-28/")</f>
        <v>https://www.moneytimes.com.br/mercado-pausa-projecoes-de-inflacao-diante-de-arcabouco-fiscal-e-ipca-15-confira-o-focus-desta-segunda-28/</v>
      </c>
      <c r="Y1724" s="77" t="s">
        <v>8611</v>
      </c>
      <c r="Z1724" s="77"/>
      <c r="AA1724" s="77"/>
      <c r="AB1724" s="77"/>
      <c r="AC1724" s="80" t="s">
        <v>10558</v>
      </c>
      <c r="AD1724" s="77" t="s">
        <v>10617</v>
      </c>
      <c r="AE1724" s="83" t="str">
        <f>HYPERLINK("https://twitter.com/leiamoneytimes/status/1696126704006164914")</f>
        <v>https://twitter.com/leiamoneytimes/status/1696126704006164914</v>
      </c>
      <c r="AF1724" s="79">
        <v>45166.489502314813</v>
      </c>
      <c r="AG1724" s="85">
        <v>45166</v>
      </c>
      <c r="AH1724" s="80" t="s">
        <v>12152</v>
      </c>
      <c r="AI1724" s="77" t="b">
        <v>0</v>
      </c>
      <c r="AJ1724" s="77"/>
      <c r="AK1724" s="77"/>
      <c r="AL1724" s="77"/>
      <c r="AM1724" s="77"/>
      <c r="AN1724" s="77"/>
      <c r="AO1724" s="77"/>
      <c r="AP1724" s="77"/>
      <c r="AQ1724" s="77"/>
      <c r="AR1724" s="77"/>
      <c r="AS1724" s="77"/>
      <c r="AT1724" s="77"/>
      <c r="AU1724" s="77"/>
      <c r="AV1724" s="83" t="str">
        <f>HYPERLINK("https://pbs.twimg.com/profile_images/1559883556846977024/bXHnQFY0_normal.jpg")</f>
        <v>https://pbs.twimg.com/profile_images/1559883556846977024/bXHnQFY0_normal.jpg</v>
      </c>
      <c r="AW1724" s="80" t="s">
        <v>17591</v>
      </c>
      <c r="AX1724" s="80" t="s">
        <v>17591</v>
      </c>
      <c r="AY1724" s="77"/>
      <c r="AZ1724" s="80" t="s">
        <v>20380</v>
      </c>
      <c r="BA1724" s="80" t="s">
        <v>20380</v>
      </c>
      <c r="BB1724" s="80" t="s">
        <v>20380</v>
      </c>
      <c r="BC1724" s="80" t="s">
        <v>17591</v>
      </c>
      <c r="BD1724" s="77">
        <v>51150679</v>
      </c>
      <c r="BE1724" s="77"/>
      <c r="BF1724" s="77"/>
      <c r="BG1724" s="77"/>
      <c r="BH1724" s="77"/>
      <c r="BI1724" s="77"/>
    </row>
    <row r="1725" spans="1:61" x14ac:dyDescent="0.25">
      <c r="A1725" s="62" t="s">
        <v>790</v>
      </c>
      <c r="B1725" s="62" t="s">
        <v>790</v>
      </c>
      <c r="C1725" s="63"/>
      <c r="D1725" s="64"/>
      <c r="E1725" s="65"/>
      <c r="F1725" s="66"/>
      <c r="G1725" s="63"/>
      <c r="H1725" s="67"/>
      <c r="I1725" s="68"/>
      <c r="J1725" s="68"/>
      <c r="K1725" s="32"/>
      <c r="L1725" s="75">
        <v>1725</v>
      </c>
      <c r="M1725" s="75"/>
      <c r="N1725" s="70"/>
      <c r="O1725" s="77" t="s">
        <v>179</v>
      </c>
      <c r="P1725" s="79">
        <v>45152.639189814814</v>
      </c>
      <c r="Q1725" s="77" t="s">
        <v>3621</v>
      </c>
      <c r="R1725" s="77">
        <v>0</v>
      </c>
      <c r="S1725" s="77">
        <v>5</v>
      </c>
      <c r="T1725" s="77">
        <v>1</v>
      </c>
      <c r="U1725" s="77">
        <v>0</v>
      </c>
      <c r="V1725" s="77">
        <v>1584</v>
      </c>
      <c r="W1725" s="80" t="s">
        <v>7034</v>
      </c>
      <c r="X1725" s="83" t="str">
        <f>HYPERLINK("https://www.moneytimes.com.br/o-plano-de-campos-neto-que-pode-acabar-com-aplicativos-de-bancos/")</f>
        <v>https://www.moneytimes.com.br/o-plano-de-campos-neto-que-pode-acabar-com-aplicativos-de-bancos/</v>
      </c>
      <c r="Y1725" s="77" t="s">
        <v>8611</v>
      </c>
      <c r="Z1725" s="77"/>
      <c r="AA1725" s="77"/>
      <c r="AB1725" s="77"/>
      <c r="AC1725" s="80" t="s">
        <v>10558</v>
      </c>
      <c r="AD1725" s="77" t="s">
        <v>10617</v>
      </c>
      <c r="AE1725" s="83" t="str">
        <f>HYPERLINK("https://twitter.com/leiamoneytimes/status/1691107519069077504")</f>
        <v>https://twitter.com/leiamoneytimes/status/1691107519069077504</v>
      </c>
      <c r="AF1725" s="79">
        <v>45152.639189814814</v>
      </c>
      <c r="AG1725" s="85">
        <v>45152</v>
      </c>
      <c r="AH1725" s="80" t="s">
        <v>12153</v>
      </c>
      <c r="AI1725" s="77" t="b">
        <v>0</v>
      </c>
      <c r="AJ1725" s="77"/>
      <c r="AK1725" s="77"/>
      <c r="AL1725" s="77"/>
      <c r="AM1725" s="77"/>
      <c r="AN1725" s="77"/>
      <c r="AO1725" s="77"/>
      <c r="AP1725" s="77"/>
      <c r="AQ1725" s="77"/>
      <c r="AR1725" s="77"/>
      <c r="AS1725" s="77"/>
      <c r="AT1725" s="77"/>
      <c r="AU1725" s="77"/>
      <c r="AV1725" s="83" t="str">
        <f>HYPERLINK("https://pbs.twimg.com/profile_images/1559883556846977024/bXHnQFY0_normal.jpg")</f>
        <v>https://pbs.twimg.com/profile_images/1559883556846977024/bXHnQFY0_normal.jpg</v>
      </c>
      <c r="AW1725" s="80" t="s">
        <v>17592</v>
      </c>
      <c r="AX1725" s="80" t="s">
        <v>17592</v>
      </c>
      <c r="AY1725" s="77"/>
      <c r="AZ1725" s="80" t="s">
        <v>20380</v>
      </c>
      <c r="BA1725" s="80" t="s">
        <v>20380</v>
      </c>
      <c r="BB1725" s="80" t="s">
        <v>20380</v>
      </c>
      <c r="BC1725" s="80" t="s">
        <v>17592</v>
      </c>
      <c r="BD1725" s="77">
        <v>51150679</v>
      </c>
      <c r="BE1725" s="77"/>
      <c r="BF1725" s="77"/>
      <c r="BG1725" s="77"/>
      <c r="BH1725" s="77"/>
      <c r="BI1725" s="77"/>
    </row>
    <row r="1726" spans="1:61" x14ac:dyDescent="0.25">
      <c r="A1726" s="62" t="s">
        <v>790</v>
      </c>
      <c r="B1726" s="62" t="s">
        <v>790</v>
      </c>
      <c r="C1726" s="63"/>
      <c r="D1726" s="64"/>
      <c r="E1726" s="65"/>
      <c r="F1726" s="66"/>
      <c r="G1726" s="63"/>
      <c r="H1726" s="67"/>
      <c r="I1726" s="68"/>
      <c r="J1726" s="68"/>
      <c r="K1726" s="32"/>
      <c r="L1726" s="75">
        <v>1726</v>
      </c>
      <c r="M1726" s="75"/>
      <c r="N1726" s="70"/>
      <c r="O1726" s="77" t="s">
        <v>179</v>
      </c>
      <c r="P1726" s="79">
        <v>45145.815706018519</v>
      </c>
      <c r="Q1726" s="77" t="s">
        <v>3622</v>
      </c>
      <c r="R1726" s="77">
        <v>0</v>
      </c>
      <c r="S1726" s="77">
        <v>3</v>
      </c>
      <c r="T1726" s="77">
        <v>1</v>
      </c>
      <c r="U1726" s="77">
        <v>0</v>
      </c>
      <c r="V1726" s="77">
        <v>1167</v>
      </c>
      <c r="W1726" s="80" t="s">
        <v>7035</v>
      </c>
      <c r="X1726" s="83" t="str">
        <f>HYPERLINK("https://www.moneytimes.com.br/ipca-a-influencia-do-indice-no-corte-da-taxa-selic/")</f>
        <v>https://www.moneytimes.com.br/ipca-a-influencia-do-indice-no-corte-da-taxa-selic/</v>
      </c>
      <c r="Y1726" s="77" t="s">
        <v>8611</v>
      </c>
      <c r="Z1726" s="77"/>
      <c r="AA1726" s="77"/>
      <c r="AB1726" s="77"/>
      <c r="AC1726" s="80" t="s">
        <v>10558</v>
      </c>
      <c r="AD1726" s="77" t="s">
        <v>10617</v>
      </c>
      <c r="AE1726" s="83" t="str">
        <f>HYPERLINK("https://twitter.com/leiamoneytimes/status/1688634772422053890")</f>
        <v>https://twitter.com/leiamoneytimes/status/1688634772422053890</v>
      </c>
      <c r="AF1726" s="79">
        <v>45145.815706018519</v>
      </c>
      <c r="AG1726" s="85">
        <v>45145</v>
      </c>
      <c r="AH1726" s="80" t="s">
        <v>12154</v>
      </c>
      <c r="AI1726" s="77" t="b">
        <v>0</v>
      </c>
      <c r="AJ1726" s="77"/>
      <c r="AK1726" s="77"/>
      <c r="AL1726" s="77"/>
      <c r="AM1726" s="77"/>
      <c r="AN1726" s="77"/>
      <c r="AO1726" s="77"/>
      <c r="AP1726" s="77"/>
      <c r="AQ1726" s="77"/>
      <c r="AR1726" s="77"/>
      <c r="AS1726" s="77"/>
      <c r="AT1726" s="77"/>
      <c r="AU1726" s="77"/>
      <c r="AV1726" s="83" t="str">
        <f>HYPERLINK("https://pbs.twimg.com/profile_images/1559883556846977024/bXHnQFY0_normal.jpg")</f>
        <v>https://pbs.twimg.com/profile_images/1559883556846977024/bXHnQFY0_normal.jpg</v>
      </c>
      <c r="AW1726" s="80" t="s">
        <v>17593</v>
      </c>
      <c r="AX1726" s="80" t="s">
        <v>17593</v>
      </c>
      <c r="AY1726" s="77"/>
      <c r="AZ1726" s="80" t="s">
        <v>20380</v>
      </c>
      <c r="BA1726" s="80" t="s">
        <v>20380</v>
      </c>
      <c r="BB1726" s="80" t="s">
        <v>20380</v>
      </c>
      <c r="BC1726" s="80" t="s">
        <v>17593</v>
      </c>
      <c r="BD1726" s="77">
        <v>51150679</v>
      </c>
      <c r="BE1726" s="77"/>
      <c r="BF1726" s="77"/>
      <c r="BG1726" s="77"/>
      <c r="BH1726" s="77"/>
      <c r="BI1726" s="77"/>
    </row>
    <row r="1727" spans="1:61" x14ac:dyDescent="0.25">
      <c r="A1727" s="62" t="s">
        <v>790</v>
      </c>
      <c r="B1727" s="62" t="s">
        <v>790</v>
      </c>
      <c r="C1727" s="63"/>
      <c r="D1727" s="64"/>
      <c r="E1727" s="65"/>
      <c r="F1727" s="66"/>
      <c r="G1727" s="63"/>
      <c r="H1727" s="67"/>
      <c r="I1727" s="68"/>
      <c r="J1727" s="68"/>
      <c r="K1727" s="32"/>
      <c r="L1727" s="75">
        <v>1727</v>
      </c>
      <c r="M1727" s="75"/>
      <c r="N1727" s="70"/>
      <c r="O1727" s="77" t="s">
        <v>179</v>
      </c>
      <c r="P1727" s="79">
        <v>45133.779953703706</v>
      </c>
      <c r="Q1727" s="77" t="s">
        <v>3623</v>
      </c>
      <c r="R1727" s="77">
        <v>0</v>
      </c>
      <c r="S1727" s="77">
        <v>5</v>
      </c>
      <c r="T1727" s="77">
        <v>2</v>
      </c>
      <c r="U1727" s="77">
        <v>0</v>
      </c>
      <c r="V1727" s="77">
        <v>1088</v>
      </c>
      <c r="W1727" s="80" t="s">
        <v>7036</v>
      </c>
      <c r="X1727" s="83" t="str">
        <f>HYPERLINK("https://www.moneytimes.com.br/governo-nao-quer-formar-oposicao-no-banco-central-diz-haddad/")</f>
        <v>https://www.moneytimes.com.br/governo-nao-quer-formar-oposicao-no-banco-central-diz-haddad/</v>
      </c>
      <c r="Y1727" s="77" t="s">
        <v>8611</v>
      </c>
      <c r="Z1727" s="77"/>
      <c r="AA1727" s="77"/>
      <c r="AB1727" s="77"/>
      <c r="AC1727" s="80" t="s">
        <v>10558</v>
      </c>
      <c r="AD1727" s="77" t="s">
        <v>10617</v>
      </c>
      <c r="AE1727" s="83" t="str">
        <f>HYPERLINK("https://twitter.com/leiamoneytimes/status/1684273160995188737")</f>
        <v>https://twitter.com/leiamoneytimes/status/1684273160995188737</v>
      </c>
      <c r="AF1727" s="79">
        <v>45133.779953703706</v>
      </c>
      <c r="AG1727" s="85">
        <v>45133</v>
      </c>
      <c r="AH1727" s="80" t="s">
        <v>12155</v>
      </c>
      <c r="AI1727" s="77" t="b">
        <v>0</v>
      </c>
      <c r="AJ1727" s="77"/>
      <c r="AK1727" s="77"/>
      <c r="AL1727" s="77"/>
      <c r="AM1727" s="77"/>
      <c r="AN1727" s="77"/>
      <c r="AO1727" s="77"/>
      <c r="AP1727" s="77"/>
      <c r="AQ1727" s="77"/>
      <c r="AR1727" s="77"/>
      <c r="AS1727" s="77"/>
      <c r="AT1727" s="77"/>
      <c r="AU1727" s="77"/>
      <c r="AV1727" s="83" t="str">
        <f>HYPERLINK("https://pbs.twimg.com/profile_images/1559883556846977024/bXHnQFY0_normal.jpg")</f>
        <v>https://pbs.twimg.com/profile_images/1559883556846977024/bXHnQFY0_normal.jpg</v>
      </c>
      <c r="AW1727" s="80" t="s">
        <v>17594</v>
      </c>
      <c r="AX1727" s="80" t="s">
        <v>17594</v>
      </c>
      <c r="AY1727" s="77"/>
      <c r="AZ1727" s="80" t="s">
        <v>20380</v>
      </c>
      <c r="BA1727" s="80" t="s">
        <v>20380</v>
      </c>
      <c r="BB1727" s="80" t="s">
        <v>20380</v>
      </c>
      <c r="BC1727" s="80" t="s">
        <v>17594</v>
      </c>
      <c r="BD1727" s="77">
        <v>51150679</v>
      </c>
      <c r="BE1727" s="77"/>
      <c r="BF1727" s="77"/>
      <c r="BG1727" s="77"/>
      <c r="BH1727" s="77"/>
      <c r="BI1727" s="77"/>
    </row>
    <row r="1728" spans="1:61" x14ac:dyDescent="0.25">
      <c r="A1728" s="62" t="s">
        <v>790</v>
      </c>
      <c r="B1728" s="62" t="s">
        <v>790</v>
      </c>
      <c r="C1728" s="63"/>
      <c r="D1728" s="64"/>
      <c r="E1728" s="65"/>
      <c r="F1728" s="66"/>
      <c r="G1728" s="63"/>
      <c r="H1728" s="67"/>
      <c r="I1728" s="68"/>
      <c r="J1728" s="68"/>
      <c r="K1728" s="32"/>
      <c r="L1728" s="75">
        <v>1728</v>
      </c>
      <c r="M1728" s="75"/>
      <c r="N1728" s="70"/>
      <c r="O1728" s="77" t="s">
        <v>179</v>
      </c>
      <c r="P1728" s="79">
        <v>45133.767546296294</v>
      </c>
      <c r="Q1728" s="77" t="s">
        <v>3624</v>
      </c>
      <c r="R1728" s="77">
        <v>0</v>
      </c>
      <c r="S1728" s="77">
        <v>1</v>
      </c>
      <c r="T1728" s="77">
        <v>1</v>
      </c>
      <c r="U1728" s="77">
        <v>0</v>
      </c>
      <c r="V1728" s="77">
        <v>880</v>
      </c>
      <c r="W1728" s="80" t="s">
        <v>7037</v>
      </c>
      <c r="X1728" s="83" t="str">
        <f>HYPERLINK("https://www.moneytimes.com.br/corte-da-selic-galipolo-no-copom-pode-acirrar-queda-de-braco-entre-lula-e-campos-neto/")</f>
        <v>https://www.moneytimes.com.br/corte-da-selic-galipolo-no-copom-pode-acirrar-queda-de-braco-entre-lula-e-campos-neto/</v>
      </c>
      <c r="Y1728" s="77" t="s">
        <v>8611</v>
      </c>
      <c r="Z1728" s="77"/>
      <c r="AA1728" s="77"/>
      <c r="AB1728" s="77"/>
      <c r="AC1728" s="80" t="s">
        <v>10558</v>
      </c>
      <c r="AD1728" s="77" t="s">
        <v>10617</v>
      </c>
      <c r="AE1728" s="83" t="str">
        <f>HYPERLINK("https://twitter.com/leiamoneytimes/status/1684268665313673216")</f>
        <v>https://twitter.com/leiamoneytimes/status/1684268665313673216</v>
      </c>
      <c r="AF1728" s="79">
        <v>45133.767546296294</v>
      </c>
      <c r="AG1728" s="85">
        <v>45133</v>
      </c>
      <c r="AH1728" s="80" t="s">
        <v>12156</v>
      </c>
      <c r="AI1728" s="77" t="b">
        <v>0</v>
      </c>
      <c r="AJ1728" s="77"/>
      <c r="AK1728" s="77"/>
      <c r="AL1728" s="77"/>
      <c r="AM1728" s="77"/>
      <c r="AN1728" s="77"/>
      <c r="AO1728" s="77"/>
      <c r="AP1728" s="77"/>
      <c r="AQ1728" s="77"/>
      <c r="AR1728" s="77"/>
      <c r="AS1728" s="77"/>
      <c r="AT1728" s="77"/>
      <c r="AU1728" s="77"/>
      <c r="AV1728" s="83" t="str">
        <f>HYPERLINK("https://pbs.twimg.com/profile_images/1559883556846977024/bXHnQFY0_normal.jpg")</f>
        <v>https://pbs.twimg.com/profile_images/1559883556846977024/bXHnQFY0_normal.jpg</v>
      </c>
      <c r="AW1728" s="80" t="s">
        <v>17595</v>
      </c>
      <c r="AX1728" s="80" t="s">
        <v>17595</v>
      </c>
      <c r="AY1728" s="77"/>
      <c r="AZ1728" s="80" t="s">
        <v>20380</v>
      </c>
      <c r="BA1728" s="80" t="s">
        <v>20380</v>
      </c>
      <c r="BB1728" s="80" t="s">
        <v>20380</v>
      </c>
      <c r="BC1728" s="80" t="s">
        <v>17595</v>
      </c>
      <c r="BD1728" s="77">
        <v>51150679</v>
      </c>
      <c r="BE1728" s="77"/>
      <c r="BF1728" s="77"/>
      <c r="BG1728" s="77"/>
      <c r="BH1728" s="77"/>
      <c r="BI1728" s="77"/>
    </row>
    <row r="1729" spans="1:61" x14ac:dyDescent="0.25">
      <c r="A1729" s="62" t="s">
        <v>790</v>
      </c>
      <c r="B1729" s="62" t="s">
        <v>790</v>
      </c>
      <c r="C1729" s="63"/>
      <c r="D1729" s="64"/>
      <c r="E1729" s="65"/>
      <c r="F1729" s="66"/>
      <c r="G1729" s="63"/>
      <c r="H1729" s="67"/>
      <c r="I1729" s="68"/>
      <c r="J1729" s="68"/>
      <c r="K1729" s="32"/>
      <c r="L1729" s="75">
        <v>1729</v>
      </c>
      <c r="M1729" s="75"/>
      <c r="N1729" s="70"/>
      <c r="O1729" s="77" t="s">
        <v>179</v>
      </c>
      <c r="P1729" s="79">
        <v>45133.759583333333</v>
      </c>
      <c r="Q1729" s="77" t="s">
        <v>3625</v>
      </c>
      <c r="R1729" s="77">
        <v>3</v>
      </c>
      <c r="S1729" s="77">
        <v>12</v>
      </c>
      <c r="T1729" s="77">
        <v>1</v>
      </c>
      <c r="U1729" s="77">
        <v>1</v>
      </c>
      <c r="V1729" s="77">
        <v>1200</v>
      </c>
      <c r="W1729" s="80" t="s">
        <v>6950</v>
      </c>
      <c r="X1729" s="83" t="str">
        <f>HYPERLINK("https://www.moneytimes.com.br/nubank-nubr33-atinge-80-milhoes-de-clientes-e-se-torna-o-4o-maior-banco-do-brasil/")</f>
        <v>https://www.moneytimes.com.br/nubank-nubr33-atinge-80-milhoes-de-clientes-e-se-torna-o-4o-maior-banco-do-brasil/</v>
      </c>
      <c r="Y1729" s="77" t="s">
        <v>8611</v>
      </c>
      <c r="Z1729" s="77"/>
      <c r="AA1729" s="77"/>
      <c r="AB1729" s="77"/>
      <c r="AC1729" s="80" t="s">
        <v>10558</v>
      </c>
      <c r="AD1729" s="77" t="s">
        <v>10617</v>
      </c>
      <c r="AE1729" s="83" t="str">
        <f>HYPERLINK("https://twitter.com/leiamoneytimes/status/1684265779292667918")</f>
        <v>https://twitter.com/leiamoneytimes/status/1684265779292667918</v>
      </c>
      <c r="AF1729" s="79">
        <v>45133.759583333333</v>
      </c>
      <c r="AG1729" s="85">
        <v>45133</v>
      </c>
      <c r="AH1729" s="80" t="s">
        <v>12157</v>
      </c>
      <c r="AI1729" s="77" t="b">
        <v>0</v>
      </c>
      <c r="AJ1729" s="77"/>
      <c r="AK1729" s="77"/>
      <c r="AL1729" s="77"/>
      <c r="AM1729" s="77"/>
      <c r="AN1729" s="77"/>
      <c r="AO1729" s="77"/>
      <c r="AP1729" s="77"/>
      <c r="AQ1729" s="77"/>
      <c r="AR1729" s="77"/>
      <c r="AS1729" s="77"/>
      <c r="AT1729" s="77"/>
      <c r="AU1729" s="77"/>
      <c r="AV1729" s="83" t="str">
        <f>HYPERLINK("https://pbs.twimg.com/profile_images/1559883556846977024/bXHnQFY0_normal.jpg")</f>
        <v>https://pbs.twimg.com/profile_images/1559883556846977024/bXHnQFY0_normal.jpg</v>
      </c>
      <c r="AW1729" s="80" t="s">
        <v>17596</v>
      </c>
      <c r="AX1729" s="80" t="s">
        <v>17596</v>
      </c>
      <c r="AY1729" s="77"/>
      <c r="AZ1729" s="80" t="s">
        <v>20380</v>
      </c>
      <c r="BA1729" s="80" t="s">
        <v>20380</v>
      </c>
      <c r="BB1729" s="80" t="s">
        <v>20380</v>
      </c>
      <c r="BC1729" s="80" t="s">
        <v>17596</v>
      </c>
      <c r="BD1729" s="77">
        <v>51150679</v>
      </c>
      <c r="BE1729" s="77"/>
      <c r="BF1729" s="77"/>
      <c r="BG1729" s="77"/>
      <c r="BH1729" s="77"/>
      <c r="BI1729" s="77"/>
    </row>
    <row r="1730" spans="1:61" x14ac:dyDescent="0.25">
      <c r="A1730" s="62" t="s">
        <v>790</v>
      </c>
      <c r="B1730" s="62" t="s">
        <v>790</v>
      </c>
      <c r="C1730" s="63"/>
      <c r="D1730" s="64"/>
      <c r="E1730" s="65"/>
      <c r="F1730" s="66"/>
      <c r="G1730" s="63"/>
      <c r="H1730" s="67"/>
      <c r="I1730" s="68"/>
      <c r="J1730" s="68"/>
      <c r="K1730" s="32"/>
      <c r="L1730" s="75">
        <v>1730</v>
      </c>
      <c r="M1730" s="75"/>
      <c r="N1730" s="70"/>
      <c r="O1730" s="77" t="s">
        <v>179</v>
      </c>
      <c r="P1730" s="79">
        <v>45133.569652777776</v>
      </c>
      <c r="Q1730" s="77" t="s">
        <v>3626</v>
      </c>
      <c r="R1730" s="77">
        <v>0</v>
      </c>
      <c r="S1730" s="77">
        <v>6</v>
      </c>
      <c r="T1730" s="77">
        <v>1</v>
      </c>
      <c r="U1730" s="77">
        <v>0</v>
      </c>
      <c r="V1730" s="77">
        <v>1524</v>
      </c>
      <c r="W1730" s="80" t="s">
        <v>6272</v>
      </c>
      <c r="X1730" s="83" t="str">
        <f>HYPERLINK("https://www.moneytimes.com.br/a-bola-da-vez-novo-rating-do-brasil-reforca-corte-de-050-pp-na-selic/")</f>
        <v>https://www.moneytimes.com.br/a-bola-da-vez-novo-rating-do-brasil-reforca-corte-de-050-pp-na-selic/</v>
      </c>
      <c r="Y1730" s="77" t="s">
        <v>8611</v>
      </c>
      <c r="Z1730" s="77"/>
      <c r="AA1730" s="77"/>
      <c r="AB1730" s="77"/>
      <c r="AC1730" s="80" t="s">
        <v>10558</v>
      </c>
      <c r="AD1730" s="77" t="s">
        <v>10617</v>
      </c>
      <c r="AE1730" s="83" t="str">
        <f>HYPERLINK("https://twitter.com/leiamoneytimes/status/1684196948692070402")</f>
        <v>https://twitter.com/leiamoneytimes/status/1684196948692070402</v>
      </c>
      <c r="AF1730" s="79">
        <v>45133.569652777776</v>
      </c>
      <c r="AG1730" s="85">
        <v>45133</v>
      </c>
      <c r="AH1730" s="80" t="s">
        <v>12158</v>
      </c>
      <c r="AI1730" s="77" t="b">
        <v>0</v>
      </c>
      <c r="AJ1730" s="77"/>
      <c r="AK1730" s="77"/>
      <c r="AL1730" s="77"/>
      <c r="AM1730" s="77"/>
      <c r="AN1730" s="77"/>
      <c r="AO1730" s="77"/>
      <c r="AP1730" s="77"/>
      <c r="AQ1730" s="77"/>
      <c r="AR1730" s="77"/>
      <c r="AS1730" s="77"/>
      <c r="AT1730" s="77"/>
      <c r="AU1730" s="77"/>
      <c r="AV1730" s="83" t="str">
        <f>HYPERLINK("https://pbs.twimg.com/profile_images/1559883556846977024/bXHnQFY0_normal.jpg")</f>
        <v>https://pbs.twimg.com/profile_images/1559883556846977024/bXHnQFY0_normal.jpg</v>
      </c>
      <c r="AW1730" s="80" t="s">
        <v>17597</v>
      </c>
      <c r="AX1730" s="80" t="s">
        <v>17597</v>
      </c>
      <c r="AY1730" s="77"/>
      <c r="AZ1730" s="80" t="s">
        <v>20380</v>
      </c>
      <c r="BA1730" s="80" t="s">
        <v>20380</v>
      </c>
      <c r="BB1730" s="80" t="s">
        <v>20380</v>
      </c>
      <c r="BC1730" s="80" t="s">
        <v>17597</v>
      </c>
      <c r="BD1730" s="77">
        <v>51150679</v>
      </c>
      <c r="BE1730" s="77"/>
      <c r="BF1730" s="77"/>
      <c r="BG1730" s="77"/>
      <c r="BH1730" s="77"/>
      <c r="BI1730" s="77"/>
    </row>
    <row r="1731" spans="1:61" x14ac:dyDescent="0.25">
      <c r="A1731" s="62" t="s">
        <v>790</v>
      </c>
      <c r="B1731" s="62" t="s">
        <v>790</v>
      </c>
      <c r="C1731" s="63"/>
      <c r="D1731" s="64"/>
      <c r="E1731" s="65"/>
      <c r="F1731" s="66"/>
      <c r="G1731" s="63"/>
      <c r="H1731" s="67"/>
      <c r="I1731" s="68"/>
      <c r="J1731" s="68"/>
      <c r="K1731" s="32"/>
      <c r="L1731" s="75">
        <v>1731</v>
      </c>
      <c r="M1731" s="75"/>
      <c r="N1731" s="70"/>
      <c r="O1731" s="77" t="s">
        <v>179</v>
      </c>
      <c r="P1731" s="79">
        <v>45132.797361111108</v>
      </c>
      <c r="Q1731" s="77" t="s">
        <v>3627</v>
      </c>
      <c r="R1731" s="77">
        <v>0</v>
      </c>
      <c r="S1731" s="77">
        <v>0</v>
      </c>
      <c r="T1731" s="77">
        <v>1</v>
      </c>
      <c r="U1731" s="77">
        <v>0</v>
      </c>
      <c r="V1731" s="77">
        <v>1114</v>
      </c>
      <c r="W1731" s="80" t="s">
        <v>6272</v>
      </c>
      <c r="X1731" s="83" t="str">
        <f>HYPERLINK("https://www.moneytimes.com.br/ipca-15-e-focus-sacramentam-corte-da-selic-na-semana-que-vem-veja-de-quanto-deve-ser-a-reducao/")</f>
        <v>https://www.moneytimes.com.br/ipca-15-e-focus-sacramentam-corte-da-selic-na-semana-que-vem-veja-de-quanto-deve-ser-a-reducao/</v>
      </c>
      <c r="Y1731" s="77" t="s">
        <v>8611</v>
      </c>
      <c r="Z1731" s="77"/>
      <c r="AA1731" s="77"/>
      <c r="AB1731" s="77"/>
      <c r="AC1731" s="80" t="s">
        <v>10558</v>
      </c>
      <c r="AD1731" s="77" t="s">
        <v>10617</v>
      </c>
      <c r="AE1731" s="83" t="str">
        <f>HYPERLINK("https://twitter.com/leiamoneytimes/status/1683917083178852369")</f>
        <v>https://twitter.com/leiamoneytimes/status/1683917083178852369</v>
      </c>
      <c r="AF1731" s="79">
        <v>45132.797361111108</v>
      </c>
      <c r="AG1731" s="85">
        <v>45132</v>
      </c>
      <c r="AH1731" s="80" t="s">
        <v>12159</v>
      </c>
      <c r="AI1731" s="77" t="b">
        <v>0</v>
      </c>
      <c r="AJ1731" s="77"/>
      <c r="AK1731" s="77"/>
      <c r="AL1731" s="77"/>
      <c r="AM1731" s="77"/>
      <c r="AN1731" s="77"/>
      <c r="AO1731" s="77"/>
      <c r="AP1731" s="77"/>
      <c r="AQ1731" s="77"/>
      <c r="AR1731" s="77"/>
      <c r="AS1731" s="77"/>
      <c r="AT1731" s="77"/>
      <c r="AU1731" s="77"/>
      <c r="AV1731" s="83" t="str">
        <f>HYPERLINK("https://pbs.twimg.com/profile_images/1559883556846977024/bXHnQFY0_normal.jpg")</f>
        <v>https://pbs.twimg.com/profile_images/1559883556846977024/bXHnQFY0_normal.jpg</v>
      </c>
      <c r="AW1731" s="80" t="s">
        <v>17598</v>
      </c>
      <c r="AX1731" s="80" t="s">
        <v>17598</v>
      </c>
      <c r="AY1731" s="77"/>
      <c r="AZ1731" s="80" t="s">
        <v>20380</v>
      </c>
      <c r="BA1731" s="80" t="s">
        <v>20380</v>
      </c>
      <c r="BB1731" s="80" t="s">
        <v>20380</v>
      </c>
      <c r="BC1731" s="80" t="s">
        <v>17598</v>
      </c>
      <c r="BD1731" s="77">
        <v>51150679</v>
      </c>
      <c r="BE1731" s="77"/>
      <c r="BF1731" s="77"/>
      <c r="BG1731" s="77"/>
      <c r="BH1731" s="77"/>
      <c r="BI1731" s="77"/>
    </row>
    <row r="1732" spans="1:61" x14ac:dyDescent="0.25">
      <c r="A1732" s="62" t="s">
        <v>790</v>
      </c>
      <c r="B1732" s="62" t="s">
        <v>790</v>
      </c>
      <c r="C1732" s="63"/>
      <c r="D1732" s="64"/>
      <c r="E1732" s="65"/>
      <c r="F1732" s="66"/>
      <c r="G1732" s="63"/>
      <c r="H1732" s="67"/>
      <c r="I1732" s="68"/>
      <c r="J1732" s="68"/>
      <c r="K1732" s="32"/>
      <c r="L1732" s="75">
        <v>1732</v>
      </c>
      <c r="M1732" s="75"/>
      <c r="N1732" s="70"/>
      <c r="O1732" s="77" t="s">
        <v>179</v>
      </c>
      <c r="P1732" s="79">
        <v>45132.724722222221</v>
      </c>
      <c r="Q1732" s="77" t="s">
        <v>3628</v>
      </c>
      <c r="R1732" s="77">
        <v>2</v>
      </c>
      <c r="S1732" s="77">
        <v>2</v>
      </c>
      <c r="T1732" s="77">
        <v>0</v>
      </c>
      <c r="U1732" s="77">
        <v>0</v>
      </c>
      <c r="V1732" s="77">
        <v>1114</v>
      </c>
      <c r="W1732" s="80" t="s">
        <v>6272</v>
      </c>
      <c r="X1732" s="83" t="str">
        <f>HYPERLINK("https://www.moneytimes.com.br/teimosia-de-campos-neto-veja-o-que-vai-pesar-na-decisao-do-copom-sobre-a-selic/")</f>
        <v>https://www.moneytimes.com.br/teimosia-de-campos-neto-veja-o-que-vai-pesar-na-decisao-do-copom-sobre-a-selic/</v>
      </c>
      <c r="Y1732" s="77" t="s">
        <v>8611</v>
      </c>
      <c r="Z1732" s="77"/>
      <c r="AA1732" s="77"/>
      <c r="AB1732" s="77"/>
      <c r="AC1732" s="80" t="s">
        <v>10558</v>
      </c>
      <c r="AD1732" s="77" t="s">
        <v>10617</v>
      </c>
      <c r="AE1732" s="83" t="str">
        <f>HYPERLINK("https://twitter.com/leiamoneytimes/status/1683890757889929240")</f>
        <v>https://twitter.com/leiamoneytimes/status/1683890757889929240</v>
      </c>
      <c r="AF1732" s="79">
        <v>45132.724722222221</v>
      </c>
      <c r="AG1732" s="85">
        <v>45132</v>
      </c>
      <c r="AH1732" s="80" t="s">
        <v>12160</v>
      </c>
      <c r="AI1732" s="77" t="b">
        <v>0</v>
      </c>
      <c r="AJ1732" s="77"/>
      <c r="AK1732" s="77"/>
      <c r="AL1732" s="77"/>
      <c r="AM1732" s="77"/>
      <c r="AN1732" s="77"/>
      <c r="AO1732" s="77"/>
      <c r="AP1732" s="77"/>
      <c r="AQ1732" s="77"/>
      <c r="AR1732" s="77"/>
      <c r="AS1732" s="77"/>
      <c r="AT1732" s="77"/>
      <c r="AU1732" s="77"/>
      <c r="AV1732" s="83" t="str">
        <f>HYPERLINK("https://pbs.twimg.com/profile_images/1559883556846977024/bXHnQFY0_normal.jpg")</f>
        <v>https://pbs.twimg.com/profile_images/1559883556846977024/bXHnQFY0_normal.jpg</v>
      </c>
      <c r="AW1732" s="80" t="s">
        <v>17599</v>
      </c>
      <c r="AX1732" s="80" t="s">
        <v>17599</v>
      </c>
      <c r="AY1732" s="77"/>
      <c r="AZ1732" s="80" t="s">
        <v>20380</v>
      </c>
      <c r="BA1732" s="80" t="s">
        <v>20380</v>
      </c>
      <c r="BB1732" s="80" t="s">
        <v>20380</v>
      </c>
      <c r="BC1732" s="80" t="s">
        <v>17599</v>
      </c>
      <c r="BD1732" s="77">
        <v>51150679</v>
      </c>
      <c r="BE1732" s="77"/>
      <c r="BF1732" s="77"/>
      <c r="BG1732" s="77"/>
      <c r="BH1732" s="77"/>
      <c r="BI1732" s="77"/>
    </row>
    <row r="1733" spans="1:61" x14ac:dyDescent="0.25">
      <c r="A1733" s="62" t="s">
        <v>790</v>
      </c>
      <c r="B1733" s="62" t="s">
        <v>790</v>
      </c>
      <c r="C1733" s="63"/>
      <c r="D1733" s="64"/>
      <c r="E1733" s="65"/>
      <c r="F1733" s="66"/>
      <c r="G1733" s="63"/>
      <c r="H1733" s="67"/>
      <c r="I1733" s="68"/>
      <c r="J1733" s="68"/>
      <c r="K1733" s="32"/>
      <c r="L1733" s="75">
        <v>1733</v>
      </c>
      <c r="M1733" s="75"/>
      <c r="N1733" s="70"/>
      <c r="O1733" s="77" t="s">
        <v>179</v>
      </c>
      <c r="P1733" s="79">
        <v>45121.66684027778</v>
      </c>
      <c r="Q1733" s="77" t="s">
        <v>3629</v>
      </c>
      <c r="R1733" s="77">
        <v>1</v>
      </c>
      <c r="S1733" s="77">
        <v>6</v>
      </c>
      <c r="T1733" s="77">
        <v>5</v>
      </c>
      <c r="U1733" s="77">
        <v>0</v>
      </c>
      <c r="V1733" s="77">
        <v>1648</v>
      </c>
      <c r="W1733" s="80" t="s">
        <v>7038</v>
      </c>
      <c r="X1733" s="83" t="str">
        <f>HYPERLINK("https://www.moneytimes.com.br/queda-da-selic-gigantes-da-bolsa-endossam-coro-de-luiza-trajano-para-queda-de-juros/")</f>
        <v>https://www.moneytimes.com.br/queda-da-selic-gigantes-da-bolsa-endossam-coro-de-luiza-trajano-para-queda-de-juros/</v>
      </c>
      <c r="Y1733" s="77" t="s">
        <v>8611</v>
      </c>
      <c r="Z1733" s="77"/>
      <c r="AA1733" s="77"/>
      <c r="AB1733" s="77"/>
      <c r="AC1733" s="80" t="s">
        <v>10558</v>
      </c>
      <c r="AD1733" s="77" t="s">
        <v>10620</v>
      </c>
      <c r="AE1733" s="83" t="str">
        <f>HYPERLINK("https://twitter.com/leiamoneytimes/status/1679883517394657280")</f>
        <v>https://twitter.com/leiamoneytimes/status/1679883517394657280</v>
      </c>
      <c r="AF1733" s="79">
        <v>45121.66684027778</v>
      </c>
      <c r="AG1733" s="85">
        <v>45121</v>
      </c>
      <c r="AH1733" s="80" t="s">
        <v>12161</v>
      </c>
      <c r="AI1733" s="77" t="b">
        <v>0</v>
      </c>
      <c r="AJ1733" s="77"/>
      <c r="AK1733" s="77"/>
      <c r="AL1733" s="77"/>
      <c r="AM1733" s="77"/>
      <c r="AN1733" s="77"/>
      <c r="AO1733" s="77"/>
      <c r="AP1733" s="77"/>
      <c r="AQ1733" s="77"/>
      <c r="AR1733" s="77"/>
      <c r="AS1733" s="77"/>
      <c r="AT1733" s="77"/>
      <c r="AU1733" s="77"/>
      <c r="AV1733" s="83" t="str">
        <f>HYPERLINK("https://pbs.twimg.com/profile_images/1559883556846977024/bXHnQFY0_normal.jpg")</f>
        <v>https://pbs.twimg.com/profile_images/1559883556846977024/bXHnQFY0_normal.jpg</v>
      </c>
      <c r="AW1733" s="80" t="s">
        <v>17600</v>
      </c>
      <c r="AX1733" s="80" t="s">
        <v>17600</v>
      </c>
      <c r="AY1733" s="77"/>
      <c r="AZ1733" s="80" t="s">
        <v>20380</v>
      </c>
      <c r="BA1733" s="80" t="s">
        <v>20380</v>
      </c>
      <c r="BB1733" s="80" t="s">
        <v>20380</v>
      </c>
      <c r="BC1733" s="80" t="s">
        <v>17600</v>
      </c>
      <c r="BD1733" s="77">
        <v>51150679</v>
      </c>
      <c r="BE1733" s="77"/>
      <c r="BF1733" s="77"/>
      <c r="BG1733" s="77"/>
      <c r="BH1733" s="77"/>
      <c r="BI1733" s="77"/>
    </row>
    <row r="1734" spans="1:61" x14ac:dyDescent="0.25">
      <c r="A1734" s="62" t="s">
        <v>790</v>
      </c>
      <c r="B1734" s="62" t="s">
        <v>790</v>
      </c>
      <c r="C1734" s="63"/>
      <c r="D1734" s="64"/>
      <c r="E1734" s="65"/>
      <c r="F1734" s="66"/>
      <c r="G1734" s="63"/>
      <c r="H1734" s="67"/>
      <c r="I1734" s="68"/>
      <c r="J1734" s="68"/>
      <c r="K1734" s="32"/>
      <c r="L1734" s="75">
        <v>1734</v>
      </c>
      <c r="M1734" s="75"/>
      <c r="N1734" s="70"/>
      <c r="O1734" s="77" t="s">
        <v>179</v>
      </c>
      <c r="P1734" s="79">
        <v>45121.614305555559</v>
      </c>
      <c r="Q1734" s="77" t="s">
        <v>3630</v>
      </c>
      <c r="R1734" s="77">
        <v>0</v>
      </c>
      <c r="S1734" s="77">
        <v>0</v>
      </c>
      <c r="T1734" s="77">
        <v>1</v>
      </c>
      <c r="U1734" s="77">
        <v>0</v>
      </c>
      <c r="V1734" s="77">
        <v>836</v>
      </c>
      <c r="W1734" s="80" t="s">
        <v>6978</v>
      </c>
      <c r="X1734" s="83" t="str">
        <f>HYPERLINK("https://www.moneytimes.com.br/sobe-pressao-para-corte-da-selic-lula-cobra-e-campos-neto-vai-responder-no-senado/")</f>
        <v>https://www.moneytimes.com.br/sobe-pressao-para-corte-da-selic-lula-cobra-e-campos-neto-vai-responder-no-senado/</v>
      </c>
      <c r="Y1734" s="77" t="s">
        <v>8611</v>
      </c>
      <c r="Z1734" s="77"/>
      <c r="AA1734" s="77"/>
      <c r="AB1734" s="77"/>
      <c r="AC1734" s="80" t="s">
        <v>10558</v>
      </c>
      <c r="AD1734" s="77" t="s">
        <v>10617</v>
      </c>
      <c r="AE1734" s="83" t="str">
        <f>HYPERLINK("https://twitter.com/leiamoneytimes/status/1679864479104876547")</f>
        <v>https://twitter.com/leiamoneytimes/status/1679864479104876547</v>
      </c>
      <c r="AF1734" s="79">
        <v>45121.614305555559</v>
      </c>
      <c r="AG1734" s="85">
        <v>45121</v>
      </c>
      <c r="AH1734" s="80" t="s">
        <v>12162</v>
      </c>
      <c r="AI1734" s="77" t="b">
        <v>0</v>
      </c>
      <c r="AJ1734" s="77"/>
      <c r="AK1734" s="77"/>
      <c r="AL1734" s="77"/>
      <c r="AM1734" s="77"/>
      <c r="AN1734" s="77"/>
      <c r="AO1734" s="77"/>
      <c r="AP1734" s="77"/>
      <c r="AQ1734" s="77"/>
      <c r="AR1734" s="77"/>
      <c r="AS1734" s="77"/>
      <c r="AT1734" s="77"/>
      <c r="AU1734" s="77"/>
      <c r="AV1734" s="83" t="str">
        <f>HYPERLINK("https://pbs.twimg.com/profile_images/1559883556846977024/bXHnQFY0_normal.jpg")</f>
        <v>https://pbs.twimg.com/profile_images/1559883556846977024/bXHnQFY0_normal.jpg</v>
      </c>
      <c r="AW1734" s="80" t="s">
        <v>17601</v>
      </c>
      <c r="AX1734" s="80" t="s">
        <v>17601</v>
      </c>
      <c r="AY1734" s="77"/>
      <c r="AZ1734" s="80" t="s">
        <v>20380</v>
      </c>
      <c r="BA1734" s="80" t="s">
        <v>20380</v>
      </c>
      <c r="BB1734" s="80" t="s">
        <v>20380</v>
      </c>
      <c r="BC1734" s="80" t="s">
        <v>17601</v>
      </c>
      <c r="BD1734" s="77">
        <v>51150679</v>
      </c>
      <c r="BE1734" s="77"/>
      <c r="BF1734" s="77"/>
      <c r="BG1734" s="77"/>
      <c r="BH1734" s="77"/>
      <c r="BI1734" s="77"/>
    </row>
    <row r="1735" spans="1:61" x14ac:dyDescent="0.25">
      <c r="A1735" s="62" t="s">
        <v>790</v>
      </c>
      <c r="B1735" s="62" t="s">
        <v>790</v>
      </c>
      <c r="C1735" s="63"/>
      <c r="D1735" s="64"/>
      <c r="E1735" s="65"/>
      <c r="F1735" s="66"/>
      <c r="G1735" s="63"/>
      <c r="H1735" s="67"/>
      <c r="I1735" s="68"/>
      <c r="J1735" s="68"/>
      <c r="K1735" s="32"/>
      <c r="L1735" s="75">
        <v>1735</v>
      </c>
      <c r="M1735" s="75"/>
      <c r="N1735" s="70"/>
      <c r="O1735" s="77" t="s">
        <v>179</v>
      </c>
      <c r="P1735" s="79">
        <v>45121.451238425929</v>
      </c>
      <c r="Q1735" s="77" t="s">
        <v>3631</v>
      </c>
      <c r="R1735" s="77">
        <v>0</v>
      </c>
      <c r="S1735" s="77">
        <v>5</v>
      </c>
      <c r="T1735" s="77">
        <v>1</v>
      </c>
      <c r="U1735" s="77">
        <v>0</v>
      </c>
      <c r="V1735" s="77">
        <v>1277</v>
      </c>
      <c r="W1735" s="80" t="s">
        <v>6931</v>
      </c>
      <c r="X1735" s="83" t="str">
        <f>HYPERLINK("https://www.moneytimes.com.br/lula-segue-alfinetando-campo-neto-sobre-selic-a-funcao-dele-nao-e-so-atingir-a-meta/")</f>
        <v>https://www.moneytimes.com.br/lula-segue-alfinetando-campo-neto-sobre-selic-a-funcao-dele-nao-e-so-atingir-a-meta/</v>
      </c>
      <c r="Y1735" s="77" t="s">
        <v>8611</v>
      </c>
      <c r="Z1735" s="77"/>
      <c r="AA1735" s="77"/>
      <c r="AB1735" s="77"/>
      <c r="AC1735" s="80" t="s">
        <v>10558</v>
      </c>
      <c r="AD1735" s="77" t="s">
        <v>10617</v>
      </c>
      <c r="AE1735" s="83" t="str">
        <f>HYPERLINK("https://twitter.com/leiamoneytimes/status/1679805382145847296")</f>
        <v>https://twitter.com/leiamoneytimes/status/1679805382145847296</v>
      </c>
      <c r="AF1735" s="79">
        <v>45121.451238425929</v>
      </c>
      <c r="AG1735" s="85">
        <v>45121</v>
      </c>
      <c r="AH1735" s="80" t="s">
        <v>12163</v>
      </c>
      <c r="AI1735" s="77" t="b">
        <v>0</v>
      </c>
      <c r="AJ1735" s="77"/>
      <c r="AK1735" s="77"/>
      <c r="AL1735" s="77"/>
      <c r="AM1735" s="77"/>
      <c r="AN1735" s="77"/>
      <c r="AO1735" s="77"/>
      <c r="AP1735" s="77"/>
      <c r="AQ1735" s="77"/>
      <c r="AR1735" s="77"/>
      <c r="AS1735" s="77"/>
      <c r="AT1735" s="77"/>
      <c r="AU1735" s="77"/>
      <c r="AV1735" s="83" t="str">
        <f>HYPERLINK("https://pbs.twimg.com/profile_images/1559883556846977024/bXHnQFY0_normal.jpg")</f>
        <v>https://pbs.twimg.com/profile_images/1559883556846977024/bXHnQFY0_normal.jpg</v>
      </c>
      <c r="AW1735" s="80" t="s">
        <v>17602</v>
      </c>
      <c r="AX1735" s="80" t="s">
        <v>17602</v>
      </c>
      <c r="AY1735" s="77"/>
      <c r="AZ1735" s="80" t="s">
        <v>20380</v>
      </c>
      <c r="BA1735" s="80" t="s">
        <v>20380</v>
      </c>
      <c r="BB1735" s="80" t="s">
        <v>20380</v>
      </c>
      <c r="BC1735" s="80" t="s">
        <v>17602</v>
      </c>
      <c r="BD1735" s="77">
        <v>51150679</v>
      </c>
      <c r="BE1735" s="77"/>
      <c r="BF1735" s="77"/>
      <c r="BG1735" s="77"/>
      <c r="BH1735" s="77"/>
      <c r="BI1735" s="77"/>
    </row>
    <row r="1736" spans="1:61" x14ac:dyDescent="0.25">
      <c r="A1736" s="62" t="s">
        <v>790</v>
      </c>
      <c r="B1736" s="62" t="s">
        <v>790</v>
      </c>
      <c r="C1736" s="63"/>
      <c r="D1736" s="64"/>
      <c r="E1736" s="65"/>
      <c r="F1736" s="66"/>
      <c r="G1736" s="63"/>
      <c r="H1736" s="67"/>
      <c r="I1736" s="68"/>
      <c r="J1736" s="68"/>
      <c r="K1736" s="32"/>
      <c r="L1736" s="75">
        <v>1736</v>
      </c>
      <c r="M1736" s="75"/>
      <c r="N1736" s="70"/>
      <c r="O1736" s="77" t="s">
        <v>179</v>
      </c>
      <c r="P1736" s="79">
        <v>45120.611990740741</v>
      </c>
      <c r="Q1736" s="77" t="s">
        <v>3632</v>
      </c>
      <c r="R1736" s="77">
        <v>0</v>
      </c>
      <c r="S1736" s="77">
        <v>4</v>
      </c>
      <c r="T1736" s="77">
        <v>1</v>
      </c>
      <c r="U1736" s="77">
        <v>0</v>
      </c>
      <c r="V1736" s="77">
        <v>926</v>
      </c>
      <c r="W1736" s="80" t="s">
        <v>6272</v>
      </c>
      <c r="X1736" s="83" t="str">
        <f>HYPERLINK("https://www.moneytimes.com.br/o-recado-de-haddad-sobre-a-selic-ha-espaco-para-cortar-mais-de-025-p-p-diz/")</f>
        <v>https://www.moneytimes.com.br/o-recado-de-haddad-sobre-a-selic-ha-espaco-para-cortar-mais-de-025-p-p-diz/</v>
      </c>
      <c r="Y1736" s="77" t="s">
        <v>8611</v>
      </c>
      <c r="Z1736" s="77"/>
      <c r="AA1736" s="77"/>
      <c r="AB1736" s="77"/>
      <c r="AC1736" s="80" t="s">
        <v>10558</v>
      </c>
      <c r="AD1736" s="77" t="s">
        <v>10617</v>
      </c>
      <c r="AE1736" s="83" t="str">
        <f>HYPERLINK("https://twitter.com/leiamoneytimes/status/1679501248905527297")</f>
        <v>https://twitter.com/leiamoneytimes/status/1679501248905527297</v>
      </c>
      <c r="AF1736" s="79">
        <v>45120.611990740741</v>
      </c>
      <c r="AG1736" s="85">
        <v>45120</v>
      </c>
      <c r="AH1736" s="80" t="s">
        <v>12164</v>
      </c>
      <c r="AI1736" s="77" t="b">
        <v>0</v>
      </c>
      <c r="AJ1736" s="77"/>
      <c r="AK1736" s="77"/>
      <c r="AL1736" s="77"/>
      <c r="AM1736" s="77"/>
      <c r="AN1736" s="77"/>
      <c r="AO1736" s="77"/>
      <c r="AP1736" s="77"/>
      <c r="AQ1736" s="77"/>
      <c r="AR1736" s="77"/>
      <c r="AS1736" s="77"/>
      <c r="AT1736" s="77"/>
      <c r="AU1736" s="77"/>
      <c r="AV1736" s="83" t="str">
        <f>HYPERLINK("https://pbs.twimg.com/profile_images/1559883556846977024/bXHnQFY0_normal.jpg")</f>
        <v>https://pbs.twimg.com/profile_images/1559883556846977024/bXHnQFY0_normal.jpg</v>
      </c>
      <c r="AW1736" s="80" t="s">
        <v>17603</v>
      </c>
      <c r="AX1736" s="80" t="s">
        <v>17603</v>
      </c>
      <c r="AY1736" s="77"/>
      <c r="AZ1736" s="80" t="s">
        <v>20380</v>
      </c>
      <c r="BA1736" s="80" t="s">
        <v>20380</v>
      </c>
      <c r="BB1736" s="80" t="s">
        <v>20380</v>
      </c>
      <c r="BC1736" s="80" t="s">
        <v>17603</v>
      </c>
      <c r="BD1736" s="77">
        <v>51150679</v>
      </c>
      <c r="BE1736" s="77"/>
      <c r="BF1736" s="77"/>
      <c r="BG1736" s="77"/>
      <c r="BH1736" s="77"/>
      <c r="BI1736" s="77"/>
    </row>
    <row r="1737" spans="1:61" x14ac:dyDescent="0.25">
      <c r="A1737" s="62" t="s">
        <v>790</v>
      </c>
      <c r="B1737" s="62" t="s">
        <v>790</v>
      </c>
      <c r="C1737" s="63"/>
      <c r="D1737" s="64"/>
      <c r="E1737" s="65"/>
      <c r="F1737" s="66"/>
      <c r="G1737" s="63"/>
      <c r="H1737" s="67"/>
      <c r="I1737" s="68"/>
      <c r="J1737" s="68"/>
      <c r="K1737" s="32"/>
      <c r="L1737" s="75">
        <v>1737</v>
      </c>
      <c r="M1737" s="75"/>
      <c r="N1737" s="70"/>
      <c r="O1737" s="77" t="s">
        <v>179</v>
      </c>
      <c r="P1737" s="79">
        <v>45107.560173611113</v>
      </c>
      <c r="Q1737" s="77" t="s">
        <v>3633</v>
      </c>
      <c r="R1737" s="77">
        <v>0</v>
      </c>
      <c r="S1737" s="77">
        <v>1</v>
      </c>
      <c r="T1737" s="77">
        <v>1</v>
      </c>
      <c r="U1737" s="77">
        <v>0</v>
      </c>
      <c r="V1737" s="77">
        <v>820</v>
      </c>
      <c r="W1737" s="80" t="s">
        <v>6945</v>
      </c>
      <c r="X1737" s="83" t="str">
        <f>HYPERLINK("https://www.moneytimes.com.br/selic-de-1325-em-agosto-corte-de-050-pp-ganha-forca-apos-meta-de-inflacao-em-3/")</f>
        <v>https://www.moneytimes.com.br/selic-de-1325-em-agosto-corte-de-050-pp-ganha-forca-apos-meta-de-inflacao-em-3/</v>
      </c>
      <c r="Y1737" s="77" t="s">
        <v>8611</v>
      </c>
      <c r="Z1737" s="77"/>
      <c r="AA1737" s="77"/>
      <c r="AB1737" s="77"/>
      <c r="AC1737" s="80" t="s">
        <v>10558</v>
      </c>
      <c r="AD1737" s="77" t="s">
        <v>10617</v>
      </c>
      <c r="AE1737" s="83" t="str">
        <f>HYPERLINK("https://twitter.com/leiamoneytimes/status/1674771430154575872")</f>
        <v>https://twitter.com/leiamoneytimes/status/1674771430154575872</v>
      </c>
      <c r="AF1737" s="79">
        <v>45107.560173611113</v>
      </c>
      <c r="AG1737" s="85">
        <v>45107</v>
      </c>
      <c r="AH1737" s="80" t="s">
        <v>12165</v>
      </c>
      <c r="AI1737" s="77" t="b">
        <v>0</v>
      </c>
      <c r="AJ1737" s="77"/>
      <c r="AK1737" s="77"/>
      <c r="AL1737" s="77"/>
      <c r="AM1737" s="77"/>
      <c r="AN1737" s="77"/>
      <c r="AO1737" s="77"/>
      <c r="AP1737" s="77"/>
      <c r="AQ1737" s="77"/>
      <c r="AR1737" s="77"/>
      <c r="AS1737" s="77"/>
      <c r="AT1737" s="77"/>
      <c r="AU1737" s="77"/>
      <c r="AV1737" s="83" t="str">
        <f>HYPERLINK("https://pbs.twimg.com/profile_images/1559883556846977024/bXHnQFY0_normal.jpg")</f>
        <v>https://pbs.twimg.com/profile_images/1559883556846977024/bXHnQFY0_normal.jpg</v>
      </c>
      <c r="AW1737" s="80" t="s">
        <v>17604</v>
      </c>
      <c r="AX1737" s="80" t="s">
        <v>17604</v>
      </c>
      <c r="AY1737" s="77"/>
      <c r="AZ1737" s="80" t="s">
        <v>20380</v>
      </c>
      <c r="BA1737" s="80" t="s">
        <v>20380</v>
      </c>
      <c r="BB1737" s="80" t="s">
        <v>20380</v>
      </c>
      <c r="BC1737" s="80" t="s">
        <v>17604</v>
      </c>
      <c r="BD1737" s="77">
        <v>51150679</v>
      </c>
      <c r="BE1737" s="77"/>
      <c r="BF1737" s="77"/>
      <c r="BG1737" s="77"/>
      <c r="BH1737" s="77"/>
      <c r="BI1737" s="77"/>
    </row>
    <row r="1738" spans="1:61" x14ac:dyDescent="0.25">
      <c r="A1738" s="62" t="s">
        <v>790</v>
      </c>
      <c r="B1738" s="62" t="s">
        <v>790</v>
      </c>
      <c r="C1738" s="63"/>
      <c r="D1738" s="64"/>
      <c r="E1738" s="65"/>
      <c r="F1738" s="66"/>
      <c r="G1738" s="63"/>
      <c r="H1738" s="67"/>
      <c r="I1738" s="68"/>
      <c r="J1738" s="68"/>
      <c r="K1738" s="32"/>
      <c r="L1738" s="75">
        <v>1738</v>
      </c>
      <c r="M1738" s="75"/>
      <c r="N1738" s="70"/>
      <c r="O1738" s="77" t="s">
        <v>179</v>
      </c>
      <c r="P1738" s="79">
        <v>45107.518171296295</v>
      </c>
      <c r="Q1738" s="77" t="s">
        <v>3634</v>
      </c>
      <c r="R1738" s="77">
        <v>0</v>
      </c>
      <c r="S1738" s="77">
        <v>1</v>
      </c>
      <c r="T1738" s="77">
        <v>1</v>
      </c>
      <c r="U1738" s="77">
        <v>0</v>
      </c>
      <c r="V1738" s="77">
        <v>918</v>
      </c>
      <c r="W1738" s="80" t="s">
        <v>6966</v>
      </c>
      <c r="X1738" s="83" t="str">
        <f>HYPERLINK("https://www.moneytimes.com.br/dolar-sobe-no-dia-com-cmn-e-dados-dos-eua-em-foco-mas-caminha-para-perdas-no-2-tri/")</f>
        <v>https://www.moneytimes.com.br/dolar-sobe-no-dia-com-cmn-e-dados-dos-eua-em-foco-mas-caminha-para-perdas-no-2-tri/</v>
      </c>
      <c r="Y1738" s="77" t="s">
        <v>8611</v>
      </c>
      <c r="Z1738" s="77"/>
      <c r="AA1738" s="77"/>
      <c r="AB1738" s="77"/>
      <c r="AC1738" s="80" t="s">
        <v>10558</v>
      </c>
      <c r="AD1738" s="77" t="s">
        <v>10617</v>
      </c>
      <c r="AE1738" s="83" t="str">
        <f>HYPERLINK("https://twitter.com/leiamoneytimes/status/1674756210946392064")</f>
        <v>https://twitter.com/leiamoneytimes/status/1674756210946392064</v>
      </c>
      <c r="AF1738" s="79">
        <v>45107.518171296295</v>
      </c>
      <c r="AG1738" s="85">
        <v>45107</v>
      </c>
      <c r="AH1738" s="80" t="s">
        <v>11920</v>
      </c>
      <c r="AI1738" s="77" t="b">
        <v>0</v>
      </c>
      <c r="AJ1738" s="77"/>
      <c r="AK1738" s="77"/>
      <c r="AL1738" s="77"/>
      <c r="AM1738" s="77"/>
      <c r="AN1738" s="77"/>
      <c r="AO1738" s="77"/>
      <c r="AP1738" s="77"/>
      <c r="AQ1738" s="77"/>
      <c r="AR1738" s="77"/>
      <c r="AS1738" s="77"/>
      <c r="AT1738" s="77"/>
      <c r="AU1738" s="77"/>
      <c r="AV1738" s="83" t="str">
        <f>HYPERLINK("https://pbs.twimg.com/profile_images/1559883556846977024/bXHnQFY0_normal.jpg")</f>
        <v>https://pbs.twimg.com/profile_images/1559883556846977024/bXHnQFY0_normal.jpg</v>
      </c>
      <c r="AW1738" s="80" t="s">
        <v>17605</v>
      </c>
      <c r="AX1738" s="80" t="s">
        <v>17605</v>
      </c>
      <c r="AY1738" s="77"/>
      <c r="AZ1738" s="80" t="s">
        <v>20380</v>
      </c>
      <c r="BA1738" s="80" t="s">
        <v>20380</v>
      </c>
      <c r="BB1738" s="80" t="s">
        <v>20380</v>
      </c>
      <c r="BC1738" s="80" t="s">
        <v>17605</v>
      </c>
      <c r="BD1738" s="77">
        <v>51150679</v>
      </c>
      <c r="BE1738" s="77"/>
      <c r="BF1738" s="77"/>
      <c r="BG1738" s="77"/>
      <c r="BH1738" s="77"/>
      <c r="BI1738" s="77"/>
    </row>
    <row r="1739" spans="1:61" x14ac:dyDescent="0.25">
      <c r="A1739" s="62" t="s">
        <v>790</v>
      </c>
      <c r="B1739" s="62" t="s">
        <v>790</v>
      </c>
      <c r="C1739" s="63"/>
      <c r="D1739" s="64"/>
      <c r="E1739" s="65"/>
      <c r="F1739" s="66"/>
      <c r="G1739" s="63"/>
      <c r="H1739" s="67"/>
      <c r="I1739" s="68"/>
      <c r="J1739" s="68"/>
      <c r="K1739" s="32"/>
      <c r="L1739" s="75">
        <v>1739</v>
      </c>
      <c r="M1739" s="75"/>
      <c r="N1739" s="70"/>
      <c r="O1739" s="77" t="s">
        <v>179</v>
      </c>
      <c r="P1739" s="79">
        <v>45106.883032407408</v>
      </c>
      <c r="Q1739" s="77" t="s">
        <v>3635</v>
      </c>
      <c r="R1739" s="77">
        <v>0</v>
      </c>
      <c r="S1739" s="77">
        <v>3</v>
      </c>
      <c r="T1739" s="77">
        <v>1</v>
      </c>
      <c r="U1739" s="77">
        <v>0</v>
      </c>
      <c r="V1739" s="77">
        <v>1201</v>
      </c>
      <c r="W1739" s="80" t="s">
        <v>6922</v>
      </c>
      <c r="X1739" s="83" t="str">
        <f>HYPERLINK("https://www.moneytimes.com.br/cmn-movimento-do-governo-antecipa-corte-da-selic-para-agosto-ve-rio-bravo/")</f>
        <v>https://www.moneytimes.com.br/cmn-movimento-do-governo-antecipa-corte-da-selic-para-agosto-ve-rio-bravo/</v>
      </c>
      <c r="Y1739" s="77" t="s">
        <v>8611</v>
      </c>
      <c r="Z1739" s="77"/>
      <c r="AA1739" s="77"/>
      <c r="AB1739" s="77"/>
      <c r="AC1739" s="80" t="s">
        <v>10558</v>
      </c>
      <c r="AD1739" s="77" t="s">
        <v>10617</v>
      </c>
      <c r="AE1739" s="83" t="str">
        <f>HYPERLINK("https://twitter.com/leiamoneytimes/status/1674526044097740800")</f>
        <v>https://twitter.com/leiamoneytimes/status/1674526044097740800</v>
      </c>
      <c r="AF1739" s="79">
        <v>45106.883032407408</v>
      </c>
      <c r="AG1739" s="85">
        <v>45106</v>
      </c>
      <c r="AH1739" s="80" t="s">
        <v>12166</v>
      </c>
      <c r="AI1739" s="77" t="b">
        <v>0</v>
      </c>
      <c r="AJ1739" s="77"/>
      <c r="AK1739" s="77"/>
      <c r="AL1739" s="77"/>
      <c r="AM1739" s="77"/>
      <c r="AN1739" s="77"/>
      <c r="AO1739" s="77"/>
      <c r="AP1739" s="77"/>
      <c r="AQ1739" s="77"/>
      <c r="AR1739" s="77"/>
      <c r="AS1739" s="77"/>
      <c r="AT1739" s="77"/>
      <c r="AU1739" s="77"/>
      <c r="AV1739" s="83" t="str">
        <f>HYPERLINK("https://pbs.twimg.com/profile_images/1559883556846977024/bXHnQFY0_normal.jpg")</f>
        <v>https://pbs.twimg.com/profile_images/1559883556846977024/bXHnQFY0_normal.jpg</v>
      </c>
      <c r="AW1739" s="80" t="s">
        <v>17606</v>
      </c>
      <c r="AX1739" s="80" t="s">
        <v>17606</v>
      </c>
      <c r="AY1739" s="77"/>
      <c r="AZ1739" s="80" t="s">
        <v>20380</v>
      </c>
      <c r="BA1739" s="80" t="s">
        <v>20380</v>
      </c>
      <c r="BB1739" s="80" t="s">
        <v>20380</v>
      </c>
      <c r="BC1739" s="80" t="s">
        <v>17606</v>
      </c>
      <c r="BD1739" s="77">
        <v>51150679</v>
      </c>
      <c r="BE1739" s="77"/>
      <c r="BF1739" s="77"/>
      <c r="BG1739" s="77"/>
      <c r="BH1739" s="77"/>
      <c r="BI1739" s="77"/>
    </row>
    <row r="1740" spans="1:61" x14ac:dyDescent="0.25">
      <c r="A1740" s="62" t="s">
        <v>790</v>
      </c>
      <c r="B1740" s="62" t="s">
        <v>790</v>
      </c>
      <c r="C1740" s="63"/>
      <c r="D1740" s="64"/>
      <c r="E1740" s="65"/>
      <c r="F1740" s="66"/>
      <c r="G1740" s="63"/>
      <c r="H1740" s="67"/>
      <c r="I1740" s="68"/>
      <c r="J1740" s="68"/>
      <c r="K1740" s="32"/>
      <c r="L1740" s="75">
        <v>1740</v>
      </c>
      <c r="M1740" s="75"/>
      <c r="N1740" s="70"/>
      <c r="O1740" s="77" t="s">
        <v>179</v>
      </c>
      <c r="P1740" s="79">
        <v>45106.729351851849</v>
      </c>
      <c r="Q1740" s="77" t="s">
        <v>3636</v>
      </c>
      <c r="R1740" s="77">
        <v>0</v>
      </c>
      <c r="S1740" s="77">
        <v>3</v>
      </c>
      <c r="T1740" s="77">
        <v>1</v>
      </c>
      <c r="U1740" s="77">
        <v>0</v>
      </c>
      <c r="V1740" s="77">
        <v>1006</v>
      </c>
      <c r="W1740" s="80" t="s">
        <v>6926</v>
      </c>
      <c r="X1740" s="83" t="str">
        <f>HYPERLINK("https://www.moneytimes.com.br/o-recado-de-campos-neto-sobre-o-corte-da-taxa-selic/")</f>
        <v>https://www.moneytimes.com.br/o-recado-de-campos-neto-sobre-o-corte-da-taxa-selic/</v>
      </c>
      <c r="Y1740" s="77" t="s">
        <v>8611</v>
      </c>
      <c r="Z1740" s="77"/>
      <c r="AA1740" s="77"/>
      <c r="AB1740" s="77"/>
      <c r="AC1740" s="80" t="s">
        <v>10558</v>
      </c>
      <c r="AD1740" s="77" t="s">
        <v>10617</v>
      </c>
      <c r="AE1740" s="83" t="str">
        <f>HYPERLINK("https://twitter.com/leiamoneytimes/status/1674470348958363648")</f>
        <v>https://twitter.com/leiamoneytimes/status/1674470348958363648</v>
      </c>
      <c r="AF1740" s="79">
        <v>45106.729351851849</v>
      </c>
      <c r="AG1740" s="85">
        <v>45106</v>
      </c>
      <c r="AH1740" s="80" t="s">
        <v>12167</v>
      </c>
      <c r="AI1740" s="77" t="b">
        <v>0</v>
      </c>
      <c r="AJ1740" s="77"/>
      <c r="AK1740" s="77"/>
      <c r="AL1740" s="77"/>
      <c r="AM1740" s="77"/>
      <c r="AN1740" s="77"/>
      <c r="AO1740" s="77"/>
      <c r="AP1740" s="77"/>
      <c r="AQ1740" s="77"/>
      <c r="AR1740" s="77"/>
      <c r="AS1740" s="77"/>
      <c r="AT1740" s="77"/>
      <c r="AU1740" s="77"/>
      <c r="AV1740" s="83" t="str">
        <f>HYPERLINK("https://pbs.twimg.com/profile_images/1559883556846977024/bXHnQFY0_normal.jpg")</f>
        <v>https://pbs.twimg.com/profile_images/1559883556846977024/bXHnQFY0_normal.jpg</v>
      </c>
      <c r="AW1740" s="80" t="s">
        <v>17607</v>
      </c>
      <c r="AX1740" s="80" t="s">
        <v>17607</v>
      </c>
      <c r="AY1740" s="77"/>
      <c r="AZ1740" s="80" t="s">
        <v>20380</v>
      </c>
      <c r="BA1740" s="80" t="s">
        <v>20380</v>
      </c>
      <c r="BB1740" s="80" t="s">
        <v>20380</v>
      </c>
      <c r="BC1740" s="80" t="s">
        <v>17607</v>
      </c>
      <c r="BD1740" s="77">
        <v>51150679</v>
      </c>
      <c r="BE1740" s="77"/>
      <c r="BF1740" s="77"/>
      <c r="BG1740" s="77"/>
      <c r="BH1740" s="77"/>
      <c r="BI1740" s="77"/>
    </row>
    <row r="1741" spans="1:61" x14ac:dyDescent="0.25">
      <c r="A1741" s="62" t="s">
        <v>790</v>
      </c>
      <c r="B1741" s="62" t="s">
        <v>790</v>
      </c>
      <c r="C1741" s="63"/>
      <c r="D1741" s="64"/>
      <c r="E1741" s="65"/>
      <c r="F1741" s="66"/>
      <c r="G1741" s="63"/>
      <c r="H1741" s="67"/>
      <c r="I1741" s="68"/>
      <c r="J1741" s="68"/>
      <c r="K1741" s="32"/>
      <c r="L1741" s="75">
        <v>1741</v>
      </c>
      <c r="M1741" s="75"/>
      <c r="N1741" s="70"/>
      <c r="O1741" s="77" t="s">
        <v>179</v>
      </c>
      <c r="P1741" s="79">
        <v>45106.678819444445</v>
      </c>
      <c r="Q1741" s="77" t="s">
        <v>3637</v>
      </c>
      <c r="R1741" s="77">
        <v>1</v>
      </c>
      <c r="S1741" s="77">
        <v>10</v>
      </c>
      <c r="T1741" s="77">
        <v>1</v>
      </c>
      <c r="U1741" s="77">
        <v>0</v>
      </c>
      <c r="V1741" s="77">
        <v>1555</v>
      </c>
      <c r="W1741" s="80" t="s">
        <v>7039</v>
      </c>
      <c r="X1741" s="83" t="str">
        <f>HYPERLINK("https://www.moneytimes.com.br/ibovespa-as-falas-de-roberto-campos-neto-que-fazem-indice-disparar/")</f>
        <v>https://www.moneytimes.com.br/ibovespa-as-falas-de-roberto-campos-neto-que-fazem-indice-disparar/</v>
      </c>
      <c r="Y1741" s="77" t="s">
        <v>8611</v>
      </c>
      <c r="Z1741" s="77"/>
      <c r="AA1741" s="77"/>
      <c r="AB1741" s="77"/>
      <c r="AC1741" s="80" t="s">
        <v>10558</v>
      </c>
      <c r="AD1741" s="77" t="s">
        <v>10617</v>
      </c>
      <c r="AE1741" s="83" t="str">
        <f>HYPERLINK("https://twitter.com/leiamoneytimes/status/1674452039311536131")</f>
        <v>https://twitter.com/leiamoneytimes/status/1674452039311536131</v>
      </c>
      <c r="AF1741" s="79">
        <v>45106.678819444445</v>
      </c>
      <c r="AG1741" s="85">
        <v>45106</v>
      </c>
      <c r="AH1741" s="80" t="s">
        <v>12168</v>
      </c>
      <c r="AI1741" s="77" t="b">
        <v>0</v>
      </c>
      <c r="AJ1741" s="77"/>
      <c r="AK1741" s="77"/>
      <c r="AL1741" s="77"/>
      <c r="AM1741" s="77"/>
      <c r="AN1741" s="77"/>
      <c r="AO1741" s="77"/>
      <c r="AP1741" s="77"/>
      <c r="AQ1741" s="77"/>
      <c r="AR1741" s="77"/>
      <c r="AS1741" s="77"/>
      <c r="AT1741" s="77"/>
      <c r="AU1741" s="77"/>
      <c r="AV1741" s="83" t="str">
        <f>HYPERLINK("https://pbs.twimg.com/profile_images/1559883556846977024/bXHnQFY0_normal.jpg")</f>
        <v>https://pbs.twimg.com/profile_images/1559883556846977024/bXHnQFY0_normal.jpg</v>
      </c>
      <c r="AW1741" s="80" t="s">
        <v>17608</v>
      </c>
      <c r="AX1741" s="80" t="s">
        <v>17608</v>
      </c>
      <c r="AY1741" s="77"/>
      <c r="AZ1741" s="80" t="s">
        <v>20380</v>
      </c>
      <c r="BA1741" s="80" t="s">
        <v>20380</v>
      </c>
      <c r="BB1741" s="80" t="s">
        <v>20380</v>
      </c>
      <c r="BC1741" s="80" t="s">
        <v>17608</v>
      </c>
      <c r="BD1741" s="77">
        <v>51150679</v>
      </c>
      <c r="BE1741" s="77"/>
      <c r="BF1741" s="77"/>
      <c r="BG1741" s="77"/>
      <c r="BH1741" s="77"/>
      <c r="BI1741" s="77"/>
    </row>
    <row r="1742" spans="1:61" x14ac:dyDescent="0.25">
      <c r="A1742" s="62" t="s">
        <v>790</v>
      </c>
      <c r="B1742" s="62" t="s">
        <v>790</v>
      </c>
      <c r="C1742" s="63"/>
      <c r="D1742" s="64"/>
      <c r="E1742" s="65"/>
      <c r="F1742" s="66"/>
      <c r="G1742" s="63"/>
      <c r="H1742" s="67"/>
      <c r="I1742" s="68"/>
      <c r="J1742" s="68"/>
      <c r="K1742" s="32"/>
      <c r="L1742" s="75">
        <v>1742</v>
      </c>
      <c r="M1742" s="75"/>
      <c r="N1742" s="70"/>
      <c r="O1742" s="77" t="s">
        <v>179</v>
      </c>
      <c r="P1742" s="79">
        <v>45106.622395833336</v>
      </c>
      <c r="Q1742" s="77" t="s">
        <v>3638</v>
      </c>
      <c r="R1742" s="77">
        <v>1</v>
      </c>
      <c r="S1742" s="77">
        <v>0</v>
      </c>
      <c r="T1742" s="77">
        <v>4</v>
      </c>
      <c r="U1742" s="77">
        <v>0</v>
      </c>
      <c r="V1742" s="77">
        <v>889</v>
      </c>
      <c r="W1742" s="80" t="s">
        <v>7040</v>
      </c>
      <c r="X1742" s="83" t="str">
        <f>HYPERLINK("https://www.moneytimes.com.br/ibovespa-ibov-sobe-a-espera-do-cmn-veja-os-indicadores-desta-quinta-29/")</f>
        <v>https://www.moneytimes.com.br/ibovespa-ibov-sobe-a-espera-do-cmn-veja-os-indicadores-desta-quinta-29/</v>
      </c>
      <c r="Y1742" s="77" t="s">
        <v>8611</v>
      </c>
      <c r="Z1742" s="77"/>
      <c r="AA1742" s="77"/>
      <c r="AB1742" s="77"/>
      <c r="AC1742" s="80" t="s">
        <v>10558</v>
      </c>
      <c r="AD1742" s="77" t="s">
        <v>10617</v>
      </c>
      <c r="AE1742" s="83" t="str">
        <f>HYPERLINK("https://twitter.com/leiamoneytimes/status/1674431590645260292")</f>
        <v>https://twitter.com/leiamoneytimes/status/1674431590645260292</v>
      </c>
      <c r="AF1742" s="79">
        <v>45106.622395833336</v>
      </c>
      <c r="AG1742" s="85">
        <v>45106</v>
      </c>
      <c r="AH1742" s="80" t="s">
        <v>12169</v>
      </c>
      <c r="AI1742" s="77" t="b">
        <v>0</v>
      </c>
      <c r="AJ1742" s="77"/>
      <c r="AK1742" s="77"/>
      <c r="AL1742" s="77"/>
      <c r="AM1742" s="77"/>
      <c r="AN1742" s="77"/>
      <c r="AO1742" s="77"/>
      <c r="AP1742" s="77"/>
      <c r="AQ1742" s="77"/>
      <c r="AR1742" s="77"/>
      <c r="AS1742" s="77"/>
      <c r="AT1742" s="77"/>
      <c r="AU1742" s="77"/>
      <c r="AV1742" s="83" t="str">
        <f>HYPERLINK("https://pbs.twimg.com/profile_images/1559883556846977024/bXHnQFY0_normal.jpg")</f>
        <v>https://pbs.twimg.com/profile_images/1559883556846977024/bXHnQFY0_normal.jpg</v>
      </c>
      <c r="AW1742" s="80" t="s">
        <v>17609</v>
      </c>
      <c r="AX1742" s="80" t="s">
        <v>17609</v>
      </c>
      <c r="AY1742" s="77"/>
      <c r="AZ1742" s="80" t="s">
        <v>20380</v>
      </c>
      <c r="BA1742" s="80" t="s">
        <v>20380</v>
      </c>
      <c r="BB1742" s="80" t="s">
        <v>20380</v>
      </c>
      <c r="BC1742" s="80" t="s">
        <v>17609</v>
      </c>
      <c r="BD1742" s="77">
        <v>51150679</v>
      </c>
      <c r="BE1742" s="77"/>
      <c r="BF1742" s="77"/>
      <c r="BG1742" s="77"/>
      <c r="BH1742" s="77"/>
      <c r="BI1742" s="77"/>
    </row>
    <row r="1743" spans="1:61" x14ac:dyDescent="0.25">
      <c r="A1743" s="62" t="s">
        <v>790</v>
      </c>
      <c r="B1743" s="62" t="s">
        <v>790</v>
      </c>
      <c r="C1743" s="63"/>
      <c r="D1743" s="64"/>
      <c r="E1743" s="65"/>
      <c r="F1743" s="66"/>
      <c r="G1743" s="63"/>
      <c r="H1743" s="67"/>
      <c r="I1743" s="68"/>
      <c r="J1743" s="68"/>
      <c r="K1743" s="32"/>
      <c r="L1743" s="75">
        <v>1743</v>
      </c>
      <c r="M1743" s="75"/>
      <c r="N1743" s="70"/>
      <c r="O1743" s="77" t="s">
        <v>179</v>
      </c>
      <c r="P1743" s="79">
        <v>45106.583449074074</v>
      </c>
      <c r="Q1743" s="77" t="s">
        <v>3639</v>
      </c>
      <c r="R1743" s="77">
        <v>0</v>
      </c>
      <c r="S1743" s="77">
        <v>2</v>
      </c>
      <c r="T1743" s="77">
        <v>1</v>
      </c>
      <c r="U1743" s="77">
        <v>0</v>
      </c>
      <c r="V1743" s="77">
        <v>819</v>
      </c>
      <c r="W1743" s="80" t="s">
        <v>6945</v>
      </c>
      <c r="X1743" s="83" t="str">
        <f>HYPERLINK("https://www.moneytimes.com.br/por-que-elevar-a-meta-de-inflacao-nao-e-uma-boa-ideia/")</f>
        <v>https://www.moneytimes.com.br/por-que-elevar-a-meta-de-inflacao-nao-e-uma-boa-ideia/</v>
      </c>
      <c r="Y1743" s="77" t="s">
        <v>8611</v>
      </c>
      <c r="Z1743" s="77"/>
      <c r="AA1743" s="77"/>
      <c r="AB1743" s="77"/>
      <c r="AC1743" s="80" t="s">
        <v>10558</v>
      </c>
      <c r="AD1743" s="77" t="s">
        <v>10617</v>
      </c>
      <c r="AE1743" s="83" t="str">
        <f>HYPERLINK("https://twitter.com/leiamoneytimes/status/1674417477831507975")</f>
        <v>https://twitter.com/leiamoneytimes/status/1674417477831507975</v>
      </c>
      <c r="AF1743" s="79">
        <v>45106.583449074074</v>
      </c>
      <c r="AG1743" s="85">
        <v>45106</v>
      </c>
      <c r="AH1743" s="80" t="s">
        <v>12170</v>
      </c>
      <c r="AI1743" s="77" t="b">
        <v>0</v>
      </c>
      <c r="AJ1743" s="77"/>
      <c r="AK1743" s="77"/>
      <c r="AL1743" s="77"/>
      <c r="AM1743" s="77"/>
      <c r="AN1743" s="77"/>
      <c r="AO1743" s="77"/>
      <c r="AP1743" s="77"/>
      <c r="AQ1743" s="77"/>
      <c r="AR1743" s="77"/>
      <c r="AS1743" s="77"/>
      <c r="AT1743" s="77"/>
      <c r="AU1743" s="77"/>
      <c r="AV1743" s="83" t="str">
        <f>HYPERLINK("https://pbs.twimg.com/profile_images/1559883556846977024/bXHnQFY0_normal.jpg")</f>
        <v>https://pbs.twimg.com/profile_images/1559883556846977024/bXHnQFY0_normal.jpg</v>
      </c>
      <c r="AW1743" s="80" t="s">
        <v>17610</v>
      </c>
      <c r="AX1743" s="80" t="s">
        <v>17610</v>
      </c>
      <c r="AY1743" s="77"/>
      <c r="AZ1743" s="80" t="s">
        <v>20380</v>
      </c>
      <c r="BA1743" s="80" t="s">
        <v>20380</v>
      </c>
      <c r="BB1743" s="80" t="s">
        <v>20380</v>
      </c>
      <c r="BC1743" s="80" t="s">
        <v>17610</v>
      </c>
      <c r="BD1743" s="77">
        <v>51150679</v>
      </c>
      <c r="BE1743" s="77"/>
      <c r="BF1743" s="77"/>
      <c r="BG1743" s="77"/>
      <c r="BH1743" s="77"/>
      <c r="BI1743" s="77"/>
    </row>
    <row r="1744" spans="1:61" x14ac:dyDescent="0.25">
      <c r="A1744" s="62" t="s">
        <v>790</v>
      </c>
      <c r="B1744" s="62" t="s">
        <v>790</v>
      </c>
      <c r="C1744" s="63"/>
      <c r="D1744" s="64"/>
      <c r="E1744" s="65"/>
      <c r="F1744" s="66"/>
      <c r="G1744" s="63"/>
      <c r="H1744" s="67"/>
      <c r="I1744" s="68"/>
      <c r="J1744" s="68"/>
      <c r="K1744" s="32"/>
      <c r="L1744" s="75">
        <v>1744</v>
      </c>
      <c r="M1744" s="75"/>
      <c r="N1744" s="70"/>
      <c r="O1744" s="77" t="s">
        <v>179</v>
      </c>
      <c r="P1744" s="79">
        <v>45106.576527777775</v>
      </c>
      <c r="Q1744" s="77" t="s">
        <v>3640</v>
      </c>
      <c r="R1744" s="77">
        <v>0</v>
      </c>
      <c r="S1744" s="77">
        <v>0</v>
      </c>
      <c r="T1744" s="77">
        <v>1</v>
      </c>
      <c r="U1744" s="77">
        <v>0</v>
      </c>
      <c r="V1744" s="77">
        <v>784</v>
      </c>
      <c r="W1744" s="80" t="s">
        <v>6926</v>
      </c>
      <c r="X1744" s="83" t="str">
        <f>HYPERLINK("https://www.moneytimes.com.br/ao-vivo-campos-neto-fala-sobre-otimismo-com-inflacao-acompanhe/")</f>
        <v>https://www.moneytimes.com.br/ao-vivo-campos-neto-fala-sobre-otimismo-com-inflacao-acompanhe/</v>
      </c>
      <c r="Y1744" s="77" t="s">
        <v>8611</v>
      </c>
      <c r="Z1744" s="77"/>
      <c r="AA1744" s="77"/>
      <c r="AB1744" s="77"/>
      <c r="AC1744" s="80" t="s">
        <v>10558</v>
      </c>
      <c r="AD1744" s="77" t="s">
        <v>10617</v>
      </c>
      <c r="AE1744" s="83" t="str">
        <f>HYPERLINK("https://twitter.com/leiamoneytimes/status/1674414968371032066")</f>
        <v>https://twitter.com/leiamoneytimes/status/1674414968371032066</v>
      </c>
      <c r="AF1744" s="79">
        <v>45106.576527777775</v>
      </c>
      <c r="AG1744" s="85">
        <v>45106</v>
      </c>
      <c r="AH1744" s="80" t="s">
        <v>12171</v>
      </c>
      <c r="AI1744" s="77" t="b">
        <v>0</v>
      </c>
      <c r="AJ1744" s="77"/>
      <c r="AK1744" s="77"/>
      <c r="AL1744" s="77"/>
      <c r="AM1744" s="77"/>
      <c r="AN1744" s="77"/>
      <c r="AO1744" s="77"/>
      <c r="AP1744" s="77"/>
      <c r="AQ1744" s="77"/>
      <c r="AR1744" s="77"/>
      <c r="AS1744" s="77"/>
      <c r="AT1744" s="77"/>
      <c r="AU1744" s="77"/>
      <c r="AV1744" s="83" t="str">
        <f>HYPERLINK("https://pbs.twimg.com/profile_images/1559883556846977024/bXHnQFY0_normal.jpg")</f>
        <v>https://pbs.twimg.com/profile_images/1559883556846977024/bXHnQFY0_normal.jpg</v>
      </c>
      <c r="AW1744" s="80" t="s">
        <v>17611</v>
      </c>
      <c r="AX1744" s="80" t="s">
        <v>17611</v>
      </c>
      <c r="AY1744" s="77"/>
      <c r="AZ1744" s="80" t="s">
        <v>20380</v>
      </c>
      <c r="BA1744" s="80" t="s">
        <v>20380</v>
      </c>
      <c r="BB1744" s="80" t="s">
        <v>20380</v>
      </c>
      <c r="BC1744" s="80" t="s">
        <v>17611</v>
      </c>
      <c r="BD1744" s="77">
        <v>51150679</v>
      </c>
      <c r="BE1744" s="77"/>
      <c r="BF1744" s="77"/>
      <c r="BG1744" s="77"/>
      <c r="BH1744" s="77"/>
      <c r="BI1744" s="77"/>
    </row>
    <row r="1745" spans="1:61" x14ac:dyDescent="0.25">
      <c r="A1745" s="62" t="s">
        <v>790</v>
      </c>
      <c r="B1745" s="62" t="s">
        <v>790</v>
      </c>
      <c r="C1745" s="63"/>
      <c r="D1745" s="64"/>
      <c r="E1745" s="65"/>
      <c r="F1745" s="66"/>
      <c r="G1745" s="63"/>
      <c r="H1745" s="67"/>
      <c r="I1745" s="68"/>
      <c r="J1745" s="68"/>
      <c r="K1745" s="32"/>
      <c r="L1745" s="75">
        <v>1745</v>
      </c>
      <c r="M1745" s="75"/>
      <c r="N1745" s="70"/>
      <c r="O1745" s="77" t="s">
        <v>179</v>
      </c>
      <c r="P1745" s="79">
        <v>45106.549513888887</v>
      </c>
      <c r="Q1745" s="77" t="s">
        <v>3641</v>
      </c>
      <c r="R1745" s="77">
        <v>0</v>
      </c>
      <c r="S1745" s="77">
        <v>0</v>
      </c>
      <c r="T1745" s="77">
        <v>1</v>
      </c>
      <c r="U1745" s="77">
        <v>0</v>
      </c>
      <c r="V1745" s="77">
        <v>832</v>
      </c>
      <c r="W1745" s="80" t="s">
        <v>7041</v>
      </c>
      <c r="X1745" s="83" t="str">
        <f>HYPERLINK("https://www.moneytimes.com.br/governo-central-tem-deficit-primario-de-r-45-bi-em-maio-mostra-tesouro/")</f>
        <v>https://www.moneytimes.com.br/governo-central-tem-deficit-primario-de-r-45-bi-em-maio-mostra-tesouro/</v>
      </c>
      <c r="Y1745" s="77" t="s">
        <v>8611</v>
      </c>
      <c r="Z1745" s="77"/>
      <c r="AA1745" s="77"/>
      <c r="AB1745" s="77"/>
      <c r="AC1745" s="80" t="s">
        <v>10558</v>
      </c>
      <c r="AD1745" s="77" t="s">
        <v>10617</v>
      </c>
      <c r="AE1745" s="83" t="str">
        <f>HYPERLINK("https://twitter.com/leiamoneytimes/status/1674405179523735554")</f>
        <v>https://twitter.com/leiamoneytimes/status/1674405179523735554</v>
      </c>
      <c r="AF1745" s="79">
        <v>45106.549513888887</v>
      </c>
      <c r="AG1745" s="85">
        <v>45106</v>
      </c>
      <c r="AH1745" s="80" t="s">
        <v>12172</v>
      </c>
      <c r="AI1745" s="77" t="b">
        <v>0</v>
      </c>
      <c r="AJ1745" s="77"/>
      <c r="AK1745" s="77"/>
      <c r="AL1745" s="77"/>
      <c r="AM1745" s="77"/>
      <c r="AN1745" s="77"/>
      <c r="AO1745" s="77"/>
      <c r="AP1745" s="77"/>
      <c r="AQ1745" s="77"/>
      <c r="AR1745" s="77"/>
      <c r="AS1745" s="77"/>
      <c r="AT1745" s="77"/>
      <c r="AU1745" s="77"/>
      <c r="AV1745" s="83" t="str">
        <f>HYPERLINK("https://pbs.twimg.com/profile_images/1559883556846977024/bXHnQFY0_normal.jpg")</f>
        <v>https://pbs.twimg.com/profile_images/1559883556846977024/bXHnQFY0_normal.jpg</v>
      </c>
      <c r="AW1745" s="80" t="s">
        <v>17612</v>
      </c>
      <c r="AX1745" s="80" t="s">
        <v>17612</v>
      </c>
      <c r="AY1745" s="77"/>
      <c r="AZ1745" s="80" t="s">
        <v>20380</v>
      </c>
      <c r="BA1745" s="80" t="s">
        <v>20380</v>
      </c>
      <c r="BB1745" s="80" t="s">
        <v>20380</v>
      </c>
      <c r="BC1745" s="80" t="s">
        <v>17612</v>
      </c>
      <c r="BD1745" s="77">
        <v>51150679</v>
      </c>
      <c r="BE1745" s="77"/>
      <c r="BF1745" s="77"/>
      <c r="BG1745" s="77"/>
      <c r="BH1745" s="77"/>
      <c r="BI1745" s="77"/>
    </row>
    <row r="1746" spans="1:61" x14ac:dyDescent="0.25">
      <c r="A1746" s="62" t="s">
        <v>790</v>
      </c>
      <c r="B1746" s="62" t="s">
        <v>790</v>
      </c>
      <c r="C1746" s="63"/>
      <c r="D1746" s="64"/>
      <c r="E1746" s="65"/>
      <c r="F1746" s="66"/>
      <c r="G1746" s="63"/>
      <c r="H1746" s="67"/>
      <c r="I1746" s="68"/>
      <c r="J1746" s="68"/>
      <c r="K1746" s="32"/>
      <c r="L1746" s="75">
        <v>1746</v>
      </c>
      <c r="M1746" s="75"/>
      <c r="N1746" s="70"/>
      <c r="O1746" s="77" t="s">
        <v>179</v>
      </c>
      <c r="P1746" s="79">
        <v>45106.511956018519</v>
      </c>
      <c r="Q1746" s="77" t="s">
        <v>3642</v>
      </c>
      <c r="R1746" s="77">
        <v>1</v>
      </c>
      <c r="S1746" s="77">
        <v>1</v>
      </c>
      <c r="T1746" s="77">
        <v>1</v>
      </c>
      <c r="U1746" s="77">
        <v>0</v>
      </c>
      <c r="V1746" s="77">
        <v>814</v>
      </c>
      <c r="W1746" s="80" t="s">
        <v>6966</v>
      </c>
      <c r="X1746" s="83" t="str">
        <f>HYPERLINK("https://www.moneytimes.com.br/dolar-recua-frente-ao-real-de-olho-em-dados-dos-eua-e-cmn-fim-do-semestre-deve-elevar-volatilidade/")</f>
        <v>https://www.moneytimes.com.br/dolar-recua-frente-ao-real-de-olho-em-dados-dos-eua-e-cmn-fim-do-semestre-deve-elevar-volatilidade/</v>
      </c>
      <c r="Y1746" s="77" t="s">
        <v>8611</v>
      </c>
      <c r="Z1746" s="77"/>
      <c r="AA1746" s="77"/>
      <c r="AB1746" s="77"/>
      <c r="AC1746" s="80" t="s">
        <v>10558</v>
      </c>
      <c r="AD1746" s="77" t="s">
        <v>10617</v>
      </c>
      <c r="AE1746" s="83" t="str">
        <f>HYPERLINK("https://twitter.com/leiamoneytimes/status/1674391570575966210")</f>
        <v>https://twitter.com/leiamoneytimes/status/1674391570575966210</v>
      </c>
      <c r="AF1746" s="79">
        <v>45106.511956018519</v>
      </c>
      <c r="AG1746" s="85">
        <v>45106</v>
      </c>
      <c r="AH1746" s="80" t="s">
        <v>12173</v>
      </c>
      <c r="AI1746" s="77" t="b">
        <v>0</v>
      </c>
      <c r="AJ1746" s="77"/>
      <c r="AK1746" s="77"/>
      <c r="AL1746" s="77"/>
      <c r="AM1746" s="77"/>
      <c r="AN1746" s="77"/>
      <c r="AO1746" s="77"/>
      <c r="AP1746" s="77"/>
      <c r="AQ1746" s="77"/>
      <c r="AR1746" s="77"/>
      <c r="AS1746" s="77"/>
      <c r="AT1746" s="77"/>
      <c r="AU1746" s="77"/>
      <c r="AV1746" s="83" t="str">
        <f>HYPERLINK("https://pbs.twimg.com/profile_images/1559883556846977024/bXHnQFY0_normal.jpg")</f>
        <v>https://pbs.twimg.com/profile_images/1559883556846977024/bXHnQFY0_normal.jpg</v>
      </c>
      <c r="AW1746" s="80" t="s">
        <v>17613</v>
      </c>
      <c r="AX1746" s="80" t="s">
        <v>17613</v>
      </c>
      <c r="AY1746" s="77"/>
      <c r="AZ1746" s="80" t="s">
        <v>20380</v>
      </c>
      <c r="BA1746" s="80" t="s">
        <v>20380</v>
      </c>
      <c r="BB1746" s="80" t="s">
        <v>20380</v>
      </c>
      <c r="BC1746" s="80" t="s">
        <v>17613</v>
      </c>
      <c r="BD1746" s="77">
        <v>51150679</v>
      </c>
      <c r="BE1746" s="77"/>
      <c r="BF1746" s="77"/>
      <c r="BG1746" s="77"/>
      <c r="BH1746" s="77"/>
      <c r="BI1746" s="77"/>
    </row>
    <row r="1747" spans="1:61" x14ac:dyDescent="0.25">
      <c r="A1747" s="62" t="s">
        <v>790</v>
      </c>
      <c r="B1747" s="62" t="s">
        <v>790</v>
      </c>
      <c r="C1747" s="63"/>
      <c r="D1747" s="64"/>
      <c r="E1747" s="65"/>
      <c r="F1747" s="66"/>
      <c r="G1747" s="63"/>
      <c r="H1747" s="67"/>
      <c r="I1747" s="68"/>
      <c r="J1747" s="68"/>
      <c r="K1747" s="32"/>
      <c r="L1747" s="75">
        <v>1747</v>
      </c>
      <c r="M1747" s="75"/>
      <c r="N1747" s="70"/>
      <c r="O1747" s="77" t="s">
        <v>179</v>
      </c>
      <c r="P1747" s="79">
        <v>45106.48678240741</v>
      </c>
      <c r="Q1747" s="77" t="s">
        <v>3643</v>
      </c>
      <c r="R1747" s="77">
        <v>0</v>
      </c>
      <c r="S1747" s="77">
        <v>7</v>
      </c>
      <c r="T1747" s="77">
        <v>2</v>
      </c>
      <c r="U1747" s="77">
        <v>1</v>
      </c>
      <c r="V1747" s="77">
        <v>1148</v>
      </c>
      <c r="W1747" s="80" t="s">
        <v>6272</v>
      </c>
      <c r="X1747" s="83" t="str">
        <f>HYPERLINK("https://www.moneytimes.com.br/bc-eleva-previsao-de-crescimento-da-economia-do-brasil-em-2023-para-20-mas-alerta-para-desaceleracao/")</f>
        <v>https://www.moneytimes.com.br/bc-eleva-previsao-de-crescimento-da-economia-do-brasil-em-2023-para-20-mas-alerta-para-desaceleracao/</v>
      </c>
      <c r="Y1747" s="77" t="s">
        <v>8611</v>
      </c>
      <c r="Z1747" s="77"/>
      <c r="AA1747" s="77"/>
      <c r="AB1747" s="77"/>
      <c r="AC1747" s="80" t="s">
        <v>10558</v>
      </c>
      <c r="AD1747" s="77" t="s">
        <v>10617</v>
      </c>
      <c r="AE1747" s="83" t="str">
        <f>HYPERLINK("https://twitter.com/leiamoneytimes/status/1674382448065478658")</f>
        <v>https://twitter.com/leiamoneytimes/status/1674382448065478658</v>
      </c>
      <c r="AF1747" s="79">
        <v>45106.48678240741</v>
      </c>
      <c r="AG1747" s="85">
        <v>45106</v>
      </c>
      <c r="AH1747" s="80" t="s">
        <v>12174</v>
      </c>
      <c r="AI1747" s="77" t="b">
        <v>0</v>
      </c>
      <c r="AJ1747" s="77"/>
      <c r="AK1747" s="77"/>
      <c r="AL1747" s="77"/>
      <c r="AM1747" s="77"/>
      <c r="AN1747" s="77"/>
      <c r="AO1747" s="77"/>
      <c r="AP1747" s="77"/>
      <c r="AQ1747" s="77"/>
      <c r="AR1747" s="77"/>
      <c r="AS1747" s="77"/>
      <c r="AT1747" s="77"/>
      <c r="AU1747" s="77"/>
      <c r="AV1747" s="83" t="str">
        <f>HYPERLINK("https://pbs.twimg.com/profile_images/1559883556846977024/bXHnQFY0_normal.jpg")</f>
        <v>https://pbs.twimg.com/profile_images/1559883556846977024/bXHnQFY0_normal.jpg</v>
      </c>
      <c r="AW1747" s="80" t="s">
        <v>17614</v>
      </c>
      <c r="AX1747" s="80" t="s">
        <v>17614</v>
      </c>
      <c r="AY1747" s="77"/>
      <c r="AZ1747" s="80" t="s">
        <v>20380</v>
      </c>
      <c r="BA1747" s="80" t="s">
        <v>20380</v>
      </c>
      <c r="BB1747" s="80" t="s">
        <v>20380</v>
      </c>
      <c r="BC1747" s="80" t="s">
        <v>17614</v>
      </c>
      <c r="BD1747" s="77">
        <v>51150679</v>
      </c>
      <c r="BE1747" s="77"/>
      <c r="BF1747" s="77"/>
      <c r="BG1747" s="77"/>
      <c r="BH1747" s="77"/>
      <c r="BI1747" s="77"/>
    </row>
    <row r="1748" spans="1:61" x14ac:dyDescent="0.25">
      <c r="A1748" s="62" t="s">
        <v>790</v>
      </c>
      <c r="B1748" s="62" t="s">
        <v>790</v>
      </c>
      <c r="C1748" s="63"/>
      <c r="D1748" s="64"/>
      <c r="E1748" s="65"/>
      <c r="F1748" s="66"/>
      <c r="G1748" s="63"/>
      <c r="H1748" s="67"/>
      <c r="I1748" s="68"/>
      <c r="J1748" s="68"/>
      <c r="K1748" s="32"/>
      <c r="L1748" s="75">
        <v>1748</v>
      </c>
      <c r="M1748" s="75"/>
      <c r="N1748" s="70"/>
      <c r="O1748" s="77" t="s">
        <v>179</v>
      </c>
      <c r="P1748" s="79">
        <v>45094.54247685185</v>
      </c>
      <c r="Q1748" s="77" t="s">
        <v>3644</v>
      </c>
      <c r="R1748" s="77">
        <v>3</v>
      </c>
      <c r="S1748" s="77">
        <v>14</v>
      </c>
      <c r="T1748" s="77">
        <v>1</v>
      </c>
      <c r="U1748" s="77">
        <v>1</v>
      </c>
      <c r="V1748" s="77">
        <v>2850</v>
      </c>
      <c r="W1748" s="80" t="s">
        <v>6927</v>
      </c>
      <c r="X1748" s="83" t="str">
        <f>HYPERLINK("https://www.moneytimes.com.br/copom-deve-manter-selic-em-1375-mesmo-com-pressao-de-brasilia-confira-a-agenda-da-semana/")</f>
        <v>https://www.moneytimes.com.br/copom-deve-manter-selic-em-1375-mesmo-com-pressao-de-brasilia-confira-a-agenda-da-semana/</v>
      </c>
      <c r="Y1748" s="77" t="s">
        <v>8611</v>
      </c>
      <c r="Z1748" s="77"/>
      <c r="AA1748" s="77"/>
      <c r="AB1748" s="77"/>
      <c r="AC1748" s="80" t="s">
        <v>10558</v>
      </c>
      <c r="AD1748" s="77" t="s">
        <v>10617</v>
      </c>
      <c r="AE1748" s="83" t="str">
        <f>HYPERLINK("https://twitter.com/leiamoneytimes/status/1670053975238819840")</f>
        <v>https://twitter.com/leiamoneytimes/status/1670053975238819840</v>
      </c>
      <c r="AF1748" s="79">
        <v>45094.54247685185</v>
      </c>
      <c r="AG1748" s="85">
        <v>45094</v>
      </c>
      <c r="AH1748" s="80" t="s">
        <v>12175</v>
      </c>
      <c r="AI1748" s="77" t="b">
        <v>0</v>
      </c>
      <c r="AJ1748" s="77"/>
      <c r="AK1748" s="77"/>
      <c r="AL1748" s="77"/>
      <c r="AM1748" s="77"/>
      <c r="AN1748" s="77"/>
      <c r="AO1748" s="77"/>
      <c r="AP1748" s="77"/>
      <c r="AQ1748" s="77"/>
      <c r="AR1748" s="77"/>
      <c r="AS1748" s="77"/>
      <c r="AT1748" s="77"/>
      <c r="AU1748" s="77"/>
      <c r="AV1748" s="83" t="str">
        <f>HYPERLINK("https://pbs.twimg.com/profile_images/1559883556846977024/bXHnQFY0_normal.jpg")</f>
        <v>https://pbs.twimg.com/profile_images/1559883556846977024/bXHnQFY0_normal.jpg</v>
      </c>
      <c r="AW1748" s="80" t="s">
        <v>17615</v>
      </c>
      <c r="AX1748" s="80" t="s">
        <v>17615</v>
      </c>
      <c r="AY1748" s="77"/>
      <c r="AZ1748" s="80" t="s">
        <v>20380</v>
      </c>
      <c r="BA1748" s="80" t="s">
        <v>20380</v>
      </c>
      <c r="BB1748" s="80" t="s">
        <v>20380</v>
      </c>
      <c r="BC1748" s="80" t="s">
        <v>17615</v>
      </c>
      <c r="BD1748" s="77">
        <v>51150679</v>
      </c>
      <c r="BE1748" s="77"/>
      <c r="BF1748" s="77"/>
      <c r="BG1748" s="77"/>
      <c r="BH1748" s="77"/>
      <c r="BI1748" s="77"/>
    </row>
    <row r="1749" spans="1:61" x14ac:dyDescent="0.25">
      <c r="A1749" s="62" t="s">
        <v>790</v>
      </c>
      <c r="B1749" s="62" t="s">
        <v>790</v>
      </c>
      <c r="C1749" s="63"/>
      <c r="D1749" s="64"/>
      <c r="E1749" s="65"/>
      <c r="F1749" s="66"/>
      <c r="G1749" s="63"/>
      <c r="H1749" s="67"/>
      <c r="I1749" s="68"/>
      <c r="J1749" s="68"/>
      <c r="K1749" s="32"/>
      <c r="L1749" s="75">
        <v>1749</v>
      </c>
      <c r="M1749" s="75"/>
      <c r="N1749" s="70"/>
      <c r="O1749" s="77" t="s">
        <v>179</v>
      </c>
      <c r="P1749" s="79">
        <v>45094.458749999998</v>
      </c>
      <c r="Q1749" s="77" t="s">
        <v>3645</v>
      </c>
      <c r="R1749" s="77">
        <v>0</v>
      </c>
      <c r="S1749" s="77">
        <v>4</v>
      </c>
      <c r="T1749" s="77">
        <v>1</v>
      </c>
      <c r="U1749" s="77">
        <v>0</v>
      </c>
      <c r="V1749" s="77">
        <v>2179</v>
      </c>
      <c r="W1749" s="80" t="s">
        <v>7042</v>
      </c>
      <c r="X1749" s="83" t="str">
        <f>HYPERLINK("https://www.moneytimes.com.br/taxa-de-juros-alta-atinge-diretamente-os-pequenos-negocios-entenda/")</f>
        <v>https://www.moneytimes.com.br/taxa-de-juros-alta-atinge-diretamente-os-pequenos-negocios-entenda/</v>
      </c>
      <c r="Y1749" s="77" t="s">
        <v>8611</v>
      </c>
      <c r="Z1749" s="77"/>
      <c r="AA1749" s="77"/>
      <c r="AB1749" s="77"/>
      <c r="AC1749" s="80" t="s">
        <v>10558</v>
      </c>
      <c r="AD1749" s="77" t="s">
        <v>10617</v>
      </c>
      <c r="AE1749" s="83" t="str">
        <f>HYPERLINK("https://twitter.com/leiamoneytimes/status/1670023633291411456")</f>
        <v>https://twitter.com/leiamoneytimes/status/1670023633291411456</v>
      </c>
      <c r="AF1749" s="79">
        <v>45094.458749999998</v>
      </c>
      <c r="AG1749" s="85">
        <v>45094</v>
      </c>
      <c r="AH1749" s="80" t="s">
        <v>12176</v>
      </c>
      <c r="AI1749" s="77" t="b">
        <v>0</v>
      </c>
      <c r="AJ1749" s="77"/>
      <c r="AK1749" s="77"/>
      <c r="AL1749" s="77"/>
      <c r="AM1749" s="77"/>
      <c r="AN1749" s="77"/>
      <c r="AO1749" s="77"/>
      <c r="AP1749" s="77"/>
      <c r="AQ1749" s="77"/>
      <c r="AR1749" s="77"/>
      <c r="AS1749" s="77"/>
      <c r="AT1749" s="77"/>
      <c r="AU1749" s="77"/>
      <c r="AV1749" s="83" t="str">
        <f>HYPERLINK("https://pbs.twimg.com/profile_images/1559883556846977024/bXHnQFY0_normal.jpg")</f>
        <v>https://pbs.twimg.com/profile_images/1559883556846977024/bXHnQFY0_normal.jpg</v>
      </c>
      <c r="AW1749" s="80" t="s">
        <v>17616</v>
      </c>
      <c r="AX1749" s="80" t="s">
        <v>17616</v>
      </c>
      <c r="AY1749" s="77"/>
      <c r="AZ1749" s="80" t="s">
        <v>20380</v>
      </c>
      <c r="BA1749" s="80" t="s">
        <v>20380</v>
      </c>
      <c r="BB1749" s="80" t="s">
        <v>20380</v>
      </c>
      <c r="BC1749" s="80" t="s">
        <v>17616</v>
      </c>
      <c r="BD1749" s="77">
        <v>51150679</v>
      </c>
      <c r="BE1749" s="77"/>
      <c r="BF1749" s="77"/>
      <c r="BG1749" s="77"/>
      <c r="BH1749" s="77"/>
      <c r="BI1749" s="77"/>
    </row>
    <row r="1750" spans="1:61" x14ac:dyDescent="0.25">
      <c r="A1750" s="62" t="s">
        <v>790</v>
      </c>
      <c r="B1750" s="62" t="s">
        <v>790</v>
      </c>
      <c r="C1750" s="63"/>
      <c r="D1750" s="64"/>
      <c r="E1750" s="65"/>
      <c r="F1750" s="66"/>
      <c r="G1750" s="63"/>
      <c r="H1750" s="67"/>
      <c r="I1750" s="68"/>
      <c r="J1750" s="68"/>
      <c r="K1750" s="32"/>
      <c r="L1750" s="75">
        <v>1750</v>
      </c>
      <c r="M1750" s="75"/>
      <c r="N1750" s="70"/>
      <c r="O1750" s="77" t="s">
        <v>179</v>
      </c>
      <c r="P1750" s="79">
        <v>45093.576053240744</v>
      </c>
      <c r="Q1750" s="77" t="s">
        <v>3646</v>
      </c>
      <c r="R1750" s="77">
        <v>0</v>
      </c>
      <c r="S1750" s="77">
        <v>1</v>
      </c>
      <c r="T1750" s="77">
        <v>1</v>
      </c>
      <c r="U1750" s="77">
        <v>0</v>
      </c>
      <c r="V1750" s="77">
        <v>1169</v>
      </c>
      <c r="W1750" s="80" t="s">
        <v>7043</v>
      </c>
      <c r="X1750" s="83" t="str">
        <f>HYPERLINK("https://www.moneytimes.com.br/gasolina-mais-barata-entenda-como-corte-nos-precos-da-petrobras-petr4-reforca-projecoes-de-deflacao-em-junho/")</f>
        <v>https://www.moneytimes.com.br/gasolina-mais-barata-entenda-como-corte-nos-precos-da-petrobras-petr4-reforca-projecoes-de-deflacao-em-junho/</v>
      </c>
      <c r="Y1750" s="77" t="s">
        <v>8611</v>
      </c>
      <c r="Z1750" s="77"/>
      <c r="AA1750" s="77"/>
      <c r="AB1750" s="77"/>
      <c r="AC1750" s="80" t="s">
        <v>10558</v>
      </c>
      <c r="AD1750" s="77" t="s">
        <v>10617</v>
      </c>
      <c r="AE1750" s="83" t="str">
        <f>HYPERLINK("https://twitter.com/leiamoneytimes/status/1669703754516508672")</f>
        <v>https://twitter.com/leiamoneytimes/status/1669703754516508672</v>
      </c>
      <c r="AF1750" s="79">
        <v>45093.576053240744</v>
      </c>
      <c r="AG1750" s="85">
        <v>45093</v>
      </c>
      <c r="AH1750" s="80" t="s">
        <v>12177</v>
      </c>
      <c r="AI1750" s="77" t="b">
        <v>0</v>
      </c>
      <c r="AJ1750" s="77"/>
      <c r="AK1750" s="77"/>
      <c r="AL1750" s="77"/>
      <c r="AM1750" s="77"/>
      <c r="AN1750" s="77"/>
      <c r="AO1750" s="77"/>
      <c r="AP1750" s="77"/>
      <c r="AQ1750" s="77"/>
      <c r="AR1750" s="77"/>
      <c r="AS1750" s="77"/>
      <c r="AT1750" s="77"/>
      <c r="AU1750" s="77"/>
      <c r="AV1750" s="83" t="str">
        <f>HYPERLINK("https://pbs.twimg.com/profile_images/1559883556846977024/bXHnQFY0_normal.jpg")</f>
        <v>https://pbs.twimg.com/profile_images/1559883556846977024/bXHnQFY0_normal.jpg</v>
      </c>
      <c r="AW1750" s="80" t="s">
        <v>17617</v>
      </c>
      <c r="AX1750" s="80" t="s">
        <v>17617</v>
      </c>
      <c r="AY1750" s="77"/>
      <c r="AZ1750" s="80" t="s">
        <v>20380</v>
      </c>
      <c r="BA1750" s="80" t="s">
        <v>20380</v>
      </c>
      <c r="BB1750" s="80" t="s">
        <v>20380</v>
      </c>
      <c r="BC1750" s="80" t="s">
        <v>17617</v>
      </c>
      <c r="BD1750" s="77">
        <v>51150679</v>
      </c>
      <c r="BE1750" s="77"/>
      <c r="BF1750" s="77"/>
      <c r="BG1750" s="77"/>
      <c r="BH1750" s="77"/>
      <c r="BI1750" s="77"/>
    </row>
    <row r="1751" spans="1:61" x14ac:dyDescent="0.25">
      <c r="A1751" s="62" t="s">
        <v>790</v>
      </c>
      <c r="B1751" s="62" t="s">
        <v>790</v>
      </c>
      <c r="C1751" s="63"/>
      <c r="D1751" s="64"/>
      <c r="E1751" s="65"/>
      <c r="F1751" s="66"/>
      <c r="G1751" s="63"/>
      <c r="H1751" s="67"/>
      <c r="I1751" s="68"/>
      <c r="J1751" s="68"/>
      <c r="K1751" s="32"/>
      <c r="L1751" s="75">
        <v>1751</v>
      </c>
      <c r="M1751" s="75"/>
      <c r="N1751" s="70"/>
      <c r="O1751" s="77" t="s">
        <v>179</v>
      </c>
      <c r="P1751" s="79">
        <v>45093.547395833331</v>
      </c>
      <c r="Q1751" s="77" t="s">
        <v>3647</v>
      </c>
      <c r="R1751" s="77">
        <v>0</v>
      </c>
      <c r="S1751" s="77">
        <v>0</v>
      </c>
      <c r="T1751" s="77">
        <v>1</v>
      </c>
      <c r="U1751" s="77">
        <v>0</v>
      </c>
      <c r="V1751" s="77">
        <v>1163</v>
      </c>
      <c r="W1751" s="80" t="s">
        <v>7044</v>
      </c>
      <c r="X1751" s="83" t="str">
        <f>HYPERLINK("https://www.moneytimes.com.br/ibovespa-ibov-contraria-ny-e-opera-em-queda-nesta-sexta-16/")</f>
        <v>https://www.moneytimes.com.br/ibovespa-ibov-contraria-ny-e-opera-em-queda-nesta-sexta-16/</v>
      </c>
      <c r="Y1751" s="77" t="s">
        <v>8611</v>
      </c>
      <c r="Z1751" s="77"/>
      <c r="AA1751" s="77"/>
      <c r="AB1751" s="77"/>
      <c r="AC1751" s="80" t="s">
        <v>10558</v>
      </c>
      <c r="AD1751" s="77" t="s">
        <v>10617</v>
      </c>
      <c r="AE1751" s="83" t="str">
        <f>HYPERLINK("https://twitter.com/leiamoneytimes/status/1669693371340685312")</f>
        <v>https://twitter.com/leiamoneytimes/status/1669693371340685312</v>
      </c>
      <c r="AF1751" s="79">
        <v>45093.547395833331</v>
      </c>
      <c r="AG1751" s="85">
        <v>45093</v>
      </c>
      <c r="AH1751" s="80" t="s">
        <v>12178</v>
      </c>
      <c r="AI1751" s="77" t="b">
        <v>0</v>
      </c>
      <c r="AJ1751" s="77"/>
      <c r="AK1751" s="77"/>
      <c r="AL1751" s="77"/>
      <c r="AM1751" s="77"/>
      <c r="AN1751" s="77"/>
      <c r="AO1751" s="77"/>
      <c r="AP1751" s="77"/>
      <c r="AQ1751" s="77"/>
      <c r="AR1751" s="77"/>
      <c r="AS1751" s="77"/>
      <c r="AT1751" s="77"/>
      <c r="AU1751" s="77"/>
      <c r="AV1751" s="83" t="str">
        <f>HYPERLINK("https://pbs.twimg.com/profile_images/1559883556846977024/bXHnQFY0_normal.jpg")</f>
        <v>https://pbs.twimg.com/profile_images/1559883556846977024/bXHnQFY0_normal.jpg</v>
      </c>
      <c r="AW1751" s="80" t="s">
        <v>17618</v>
      </c>
      <c r="AX1751" s="80" t="s">
        <v>17618</v>
      </c>
      <c r="AY1751" s="77"/>
      <c r="AZ1751" s="80" t="s">
        <v>20380</v>
      </c>
      <c r="BA1751" s="80" t="s">
        <v>20380</v>
      </c>
      <c r="BB1751" s="80" t="s">
        <v>20380</v>
      </c>
      <c r="BC1751" s="80" t="s">
        <v>17618</v>
      </c>
      <c r="BD1751" s="77">
        <v>51150679</v>
      </c>
      <c r="BE1751" s="77"/>
      <c r="BF1751" s="77"/>
      <c r="BG1751" s="77"/>
      <c r="BH1751" s="77"/>
      <c r="BI1751" s="77"/>
    </row>
    <row r="1752" spans="1:61" x14ac:dyDescent="0.25">
      <c r="A1752" s="62" t="s">
        <v>790</v>
      </c>
      <c r="B1752" s="62" t="s">
        <v>790</v>
      </c>
      <c r="C1752" s="63"/>
      <c r="D1752" s="64"/>
      <c r="E1752" s="65"/>
      <c r="F1752" s="66"/>
      <c r="G1752" s="63"/>
      <c r="H1752" s="67"/>
      <c r="I1752" s="68"/>
      <c r="J1752" s="68"/>
      <c r="K1752" s="32"/>
      <c r="L1752" s="75">
        <v>1752</v>
      </c>
      <c r="M1752" s="75"/>
      <c r="N1752" s="70"/>
      <c r="O1752" s="77" t="s">
        <v>179</v>
      </c>
      <c r="P1752" s="79">
        <v>45093.514965277776</v>
      </c>
      <c r="Q1752" s="77" t="s">
        <v>3648</v>
      </c>
      <c r="R1752" s="77">
        <v>0</v>
      </c>
      <c r="S1752" s="77">
        <v>4</v>
      </c>
      <c r="T1752" s="77">
        <v>1</v>
      </c>
      <c r="U1752" s="77">
        <v>0</v>
      </c>
      <c r="V1752" s="77">
        <v>1311</v>
      </c>
      <c r="W1752" s="80" t="s">
        <v>7002</v>
      </c>
      <c r="X1752" s="83" t="str">
        <f>HYPERLINK("https://www.moneytimes.com.br/dolar-sobe-de-olho-em-politica-monetaria-mas-segue-proximo-de-minimas-em-1-ano-contra-real/")</f>
        <v>https://www.moneytimes.com.br/dolar-sobe-de-olho-em-politica-monetaria-mas-segue-proximo-de-minimas-em-1-ano-contra-real/</v>
      </c>
      <c r="Y1752" s="77" t="s">
        <v>8611</v>
      </c>
      <c r="Z1752" s="77"/>
      <c r="AA1752" s="77"/>
      <c r="AB1752" s="77"/>
      <c r="AC1752" s="80" t="s">
        <v>10558</v>
      </c>
      <c r="AD1752" s="77" t="s">
        <v>10617</v>
      </c>
      <c r="AE1752" s="83" t="str">
        <f>HYPERLINK("https://twitter.com/leiamoneytimes/status/1669681617189699585")</f>
        <v>https://twitter.com/leiamoneytimes/status/1669681617189699585</v>
      </c>
      <c r="AF1752" s="79">
        <v>45093.514965277776</v>
      </c>
      <c r="AG1752" s="85">
        <v>45093</v>
      </c>
      <c r="AH1752" s="80" t="s">
        <v>12179</v>
      </c>
      <c r="AI1752" s="77" t="b">
        <v>0</v>
      </c>
      <c r="AJ1752" s="77"/>
      <c r="AK1752" s="77"/>
      <c r="AL1752" s="77"/>
      <c r="AM1752" s="77"/>
      <c r="AN1752" s="77"/>
      <c r="AO1752" s="77"/>
      <c r="AP1752" s="77"/>
      <c r="AQ1752" s="77"/>
      <c r="AR1752" s="77"/>
      <c r="AS1752" s="77"/>
      <c r="AT1752" s="77"/>
      <c r="AU1752" s="77"/>
      <c r="AV1752" s="83" t="str">
        <f>HYPERLINK("https://pbs.twimg.com/profile_images/1559883556846977024/bXHnQFY0_normal.jpg")</f>
        <v>https://pbs.twimg.com/profile_images/1559883556846977024/bXHnQFY0_normal.jpg</v>
      </c>
      <c r="AW1752" s="80" t="s">
        <v>17619</v>
      </c>
      <c r="AX1752" s="80" t="s">
        <v>17619</v>
      </c>
      <c r="AY1752" s="77"/>
      <c r="AZ1752" s="80" t="s">
        <v>20380</v>
      </c>
      <c r="BA1752" s="80" t="s">
        <v>20380</v>
      </c>
      <c r="BB1752" s="80" t="s">
        <v>20380</v>
      </c>
      <c r="BC1752" s="80" t="s">
        <v>17619</v>
      </c>
      <c r="BD1752" s="77">
        <v>51150679</v>
      </c>
      <c r="BE1752" s="77"/>
      <c r="BF1752" s="77"/>
      <c r="BG1752" s="77"/>
      <c r="BH1752" s="77"/>
      <c r="BI1752" s="77"/>
    </row>
    <row r="1753" spans="1:61" x14ac:dyDescent="0.25">
      <c r="A1753" s="62" t="s">
        <v>790</v>
      </c>
      <c r="B1753" s="62" t="s">
        <v>790</v>
      </c>
      <c r="C1753" s="63"/>
      <c r="D1753" s="64"/>
      <c r="E1753" s="65"/>
      <c r="F1753" s="66"/>
      <c r="G1753" s="63"/>
      <c r="H1753" s="67"/>
      <c r="I1753" s="68"/>
      <c r="J1753" s="68"/>
      <c r="K1753" s="32"/>
      <c r="L1753" s="75">
        <v>1753</v>
      </c>
      <c r="M1753" s="75"/>
      <c r="N1753" s="70"/>
      <c r="O1753" s="77" t="s">
        <v>179</v>
      </c>
      <c r="P1753" s="79">
        <v>45093.453159722223</v>
      </c>
      <c r="Q1753" s="77" t="s">
        <v>3649</v>
      </c>
      <c r="R1753" s="77">
        <v>1</v>
      </c>
      <c r="S1753" s="77">
        <v>7</v>
      </c>
      <c r="T1753" s="77">
        <v>3</v>
      </c>
      <c r="U1753" s="77">
        <v>0</v>
      </c>
      <c r="V1753" s="77">
        <v>2389</v>
      </c>
      <c r="W1753" s="80" t="s">
        <v>6927</v>
      </c>
      <c r="X1753" s="83" t="str">
        <f>HYPERLINK("https://www.moneytimes.com.br/lula-questiona-autonomia-do-banco-central-as-vesperas-do-copom-veja-o-que-movimenta-a-sexta-16/")</f>
        <v>https://www.moneytimes.com.br/lula-questiona-autonomia-do-banco-central-as-vesperas-do-copom-veja-o-que-movimenta-a-sexta-16/</v>
      </c>
      <c r="Y1753" s="77" t="s">
        <v>8611</v>
      </c>
      <c r="Z1753" s="77"/>
      <c r="AA1753" s="77"/>
      <c r="AB1753" s="77"/>
      <c r="AC1753" s="80" t="s">
        <v>10558</v>
      </c>
      <c r="AD1753" s="77" t="s">
        <v>10617</v>
      </c>
      <c r="AE1753" s="83" t="str">
        <f>HYPERLINK("https://twitter.com/leiamoneytimes/status/1669659220906573824")</f>
        <v>https://twitter.com/leiamoneytimes/status/1669659220906573824</v>
      </c>
      <c r="AF1753" s="79">
        <v>45093.453159722223</v>
      </c>
      <c r="AG1753" s="85">
        <v>45093</v>
      </c>
      <c r="AH1753" s="80" t="s">
        <v>12180</v>
      </c>
      <c r="AI1753" s="77" t="b">
        <v>0</v>
      </c>
      <c r="AJ1753" s="77"/>
      <c r="AK1753" s="77"/>
      <c r="AL1753" s="77"/>
      <c r="AM1753" s="77"/>
      <c r="AN1753" s="77"/>
      <c r="AO1753" s="77"/>
      <c r="AP1753" s="77"/>
      <c r="AQ1753" s="77"/>
      <c r="AR1753" s="77"/>
      <c r="AS1753" s="77"/>
      <c r="AT1753" s="77"/>
      <c r="AU1753" s="77"/>
      <c r="AV1753" s="83" t="str">
        <f>HYPERLINK("https://pbs.twimg.com/profile_images/1559883556846977024/bXHnQFY0_normal.jpg")</f>
        <v>https://pbs.twimg.com/profile_images/1559883556846977024/bXHnQFY0_normal.jpg</v>
      </c>
      <c r="AW1753" s="80" t="s">
        <v>17620</v>
      </c>
      <c r="AX1753" s="80" t="s">
        <v>17620</v>
      </c>
      <c r="AY1753" s="77"/>
      <c r="AZ1753" s="80" t="s">
        <v>20380</v>
      </c>
      <c r="BA1753" s="80" t="s">
        <v>20380</v>
      </c>
      <c r="BB1753" s="80" t="s">
        <v>20380</v>
      </c>
      <c r="BC1753" s="80" t="s">
        <v>17620</v>
      </c>
      <c r="BD1753" s="77">
        <v>51150679</v>
      </c>
      <c r="BE1753" s="77"/>
      <c r="BF1753" s="77"/>
      <c r="BG1753" s="77"/>
      <c r="BH1753" s="77"/>
      <c r="BI1753" s="77"/>
    </row>
    <row r="1754" spans="1:61" x14ac:dyDescent="0.25">
      <c r="A1754" s="62" t="s">
        <v>790</v>
      </c>
      <c r="B1754" s="62" t="s">
        <v>790</v>
      </c>
      <c r="C1754" s="63"/>
      <c r="D1754" s="64"/>
      <c r="E1754" s="65"/>
      <c r="F1754" s="66"/>
      <c r="G1754" s="63"/>
      <c r="H1754" s="67"/>
      <c r="I1754" s="68"/>
      <c r="J1754" s="68"/>
      <c r="K1754" s="32"/>
      <c r="L1754" s="75">
        <v>1754</v>
      </c>
      <c r="M1754" s="75"/>
      <c r="N1754" s="70"/>
      <c r="O1754" s="77" t="s">
        <v>179</v>
      </c>
      <c r="P1754" s="79">
        <v>45092.723113425927</v>
      </c>
      <c r="Q1754" s="77" t="s">
        <v>3650</v>
      </c>
      <c r="R1754" s="77">
        <v>0</v>
      </c>
      <c r="S1754" s="77">
        <v>2</v>
      </c>
      <c r="T1754" s="77">
        <v>1</v>
      </c>
      <c r="U1754" s="77">
        <v>0</v>
      </c>
      <c r="V1754" s="77">
        <v>1342</v>
      </c>
      <c r="W1754" s="80" t="s">
        <v>6940</v>
      </c>
      <c r="X1754" s="83" t="str">
        <f>HYPERLINK("https://www.moneytimes.com.br/3-fatores-que-podem-fazer-o-banco-central-manter-a-selic-em-1375-por-mais-tempo/")</f>
        <v>https://www.moneytimes.com.br/3-fatores-que-podem-fazer-o-banco-central-manter-a-selic-em-1375-por-mais-tempo/</v>
      </c>
      <c r="Y1754" s="77" t="s">
        <v>8611</v>
      </c>
      <c r="Z1754" s="77"/>
      <c r="AA1754" s="77"/>
      <c r="AB1754" s="77"/>
      <c r="AC1754" s="80" t="s">
        <v>10558</v>
      </c>
      <c r="AD1754" s="77" t="s">
        <v>10617</v>
      </c>
      <c r="AE1754" s="83" t="str">
        <f>HYPERLINK("https://twitter.com/leiamoneytimes/status/1669394661171920919")</f>
        <v>https://twitter.com/leiamoneytimes/status/1669394661171920919</v>
      </c>
      <c r="AF1754" s="79">
        <v>45092.723113425927</v>
      </c>
      <c r="AG1754" s="85">
        <v>45092</v>
      </c>
      <c r="AH1754" s="80" t="s">
        <v>12181</v>
      </c>
      <c r="AI1754" s="77" t="b">
        <v>0</v>
      </c>
      <c r="AJ1754" s="77"/>
      <c r="AK1754" s="77"/>
      <c r="AL1754" s="77"/>
      <c r="AM1754" s="77"/>
      <c r="AN1754" s="77"/>
      <c r="AO1754" s="77"/>
      <c r="AP1754" s="77"/>
      <c r="AQ1754" s="77"/>
      <c r="AR1754" s="77"/>
      <c r="AS1754" s="77"/>
      <c r="AT1754" s="77"/>
      <c r="AU1754" s="77"/>
      <c r="AV1754" s="83" t="str">
        <f>HYPERLINK("https://pbs.twimg.com/profile_images/1559883556846977024/bXHnQFY0_normal.jpg")</f>
        <v>https://pbs.twimg.com/profile_images/1559883556846977024/bXHnQFY0_normal.jpg</v>
      </c>
      <c r="AW1754" s="80" t="s">
        <v>17621</v>
      </c>
      <c r="AX1754" s="80" t="s">
        <v>17621</v>
      </c>
      <c r="AY1754" s="77"/>
      <c r="AZ1754" s="80" t="s">
        <v>20380</v>
      </c>
      <c r="BA1754" s="80" t="s">
        <v>20380</v>
      </c>
      <c r="BB1754" s="80" t="s">
        <v>20380</v>
      </c>
      <c r="BC1754" s="80" t="s">
        <v>17621</v>
      </c>
      <c r="BD1754" s="77">
        <v>51150679</v>
      </c>
      <c r="BE1754" s="77"/>
      <c r="BF1754" s="77"/>
      <c r="BG1754" s="77"/>
      <c r="BH1754" s="77"/>
      <c r="BI1754" s="77"/>
    </row>
    <row r="1755" spans="1:61" x14ac:dyDescent="0.25">
      <c r="A1755" s="62" t="s">
        <v>790</v>
      </c>
      <c r="B1755" s="62" t="s">
        <v>790</v>
      </c>
      <c r="C1755" s="63"/>
      <c r="D1755" s="64"/>
      <c r="E1755" s="65"/>
      <c r="F1755" s="66"/>
      <c r="G1755" s="63"/>
      <c r="H1755" s="67"/>
      <c r="I1755" s="68"/>
      <c r="J1755" s="68"/>
      <c r="K1755" s="32"/>
      <c r="L1755" s="75">
        <v>1755</v>
      </c>
      <c r="M1755" s="75"/>
      <c r="N1755" s="70"/>
      <c r="O1755" s="77" t="s">
        <v>179</v>
      </c>
      <c r="P1755" s="79">
        <v>45092.555474537039</v>
      </c>
      <c r="Q1755" s="77" t="s">
        <v>3651</v>
      </c>
      <c r="R1755" s="77">
        <v>0</v>
      </c>
      <c r="S1755" s="77">
        <v>8</v>
      </c>
      <c r="T1755" s="77">
        <v>1</v>
      </c>
      <c r="U1755" s="77">
        <v>0</v>
      </c>
      <c r="V1755" s="77">
        <v>1055</v>
      </c>
      <c r="W1755" s="80" t="s">
        <v>7045</v>
      </c>
      <c r="X1755" s="83" t="str">
        <f>HYPERLINK("https://www.moneytimes.com.br/lula-diz-que-economia-deve-crescer-2-ou-mais-em-2023/")</f>
        <v>https://www.moneytimes.com.br/lula-diz-que-economia-deve-crescer-2-ou-mais-em-2023/</v>
      </c>
      <c r="Y1755" s="77" t="s">
        <v>8611</v>
      </c>
      <c r="Z1755" s="77"/>
      <c r="AA1755" s="77"/>
      <c r="AB1755" s="77"/>
      <c r="AC1755" s="80" t="s">
        <v>10558</v>
      </c>
      <c r="AD1755" s="77" t="s">
        <v>10617</v>
      </c>
      <c r="AE1755" s="83" t="str">
        <f>HYPERLINK("https://twitter.com/leiamoneytimes/status/1669333908146511873")</f>
        <v>https://twitter.com/leiamoneytimes/status/1669333908146511873</v>
      </c>
      <c r="AF1755" s="79">
        <v>45092.555474537039</v>
      </c>
      <c r="AG1755" s="85">
        <v>45092</v>
      </c>
      <c r="AH1755" s="80" t="s">
        <v>12182</v>
      </c>
      <c r="AI1755" s="77" t="b">
        <v>0</v>
      </c>
      <c r="AJ1755" s="77"/>
      <c r="AK1755" s="77"/>
      <c r="AL1755" s="77"/>
      <c r="AM1755" s="77"/>
      <c r="AN1755" s="77"/>
      <c r="AO1755" s="77"/>
      <c r="AP1755" s="77"/>
      <c r="AQ1755" s="77"/>
      <c r="AR1755" s="77"/>
      <c r="AS1755" s="77"/>
      <c r="AT1755" s="77"/>
      <c r="AU1755" s="77"/>
      <c r="AV1755" s="83" t="str">
        <f>HYPERLINK("https://pbs.twimg.com/profile_images/1559883556846977024/bXHnQFY0_normal.jpg")</f>
        <v>https://pbs.twimg.com/profile_images/1559883556846977024/bXHnQFY0_normal.jpg</v>
      </c>
      <c r="AW1755" s="80" t="s">
        <v>17622</v>
      </c>
      <c r="AX1755" s="80" t="s">
        <v>17622</v>
      </c>
      <c r="AY1755" s="77"/>
      <c r="AZ1755" s="80" t="s">
        <v>20380</v>
      </c>
      <c r="BA1755" s="80" t="s">
        <v>20380</v>
      </c>
      <c r="BB1755" s="80" t="s">
        <v>20380</v>
      </c>
      <c r="BC1755" s="80" t="s">
        <v>17622</v>
      </c>
      <c r="BD1755" s="77">
        <v>51150679</v>
      </c>
      <c r="BE1755" s="77"/>
      <c r="BF1755" s="77"/>
      <c r="BG1755" s="77"/>
      <c r="BH1755" s="77"/>
      <c r="BI1755" s="77"/>
    </row>
    <row r="1756" spans="1:61" x14ac:dyDescent="0.25">
      <c r="A1756" s="62" t="s">
        <v>790</v>
      </c>
      <c r="B1756" s="62" t="s">
        <v>790</v>
      </c>
      <c r="C1756" s="63"/>
      <c r="D1756" s="64"/>
      <c r="E1756" s="65"/>
      <c r="F1756" s="66"/>
      <c r="G1756" s="63"/>
      <c r="H1756" s="67"/>
      <c r="I1756" s="68"/>
      <c r="J1756" s="68"/>
      <c r="K1756" s="32"/>
      <c r="L1756" s="75">
        <v>1756</v>
      </c>
      <c r="M1756" s="75"/>
      <c r="N1756" s="70"/>
      <c r="O1756" s="77" t="s">
        <v>179</v>
      </c>
      <c r="P1756" s="79">
        <v>45068.740347222221</v>
      </c>
      <c r="Q1756" s="77" t="s">
        <v>3652</v>
      </c>
      <c r="R1756" s="77">
        <v>1</v>
      </c>
      <c r="S1756" s="77">
        <v>10</v>
      </c>
      <c r="T1756" s="77">
        <v>1</v>
      </c>
      <c r="U1756" s="77">
        <v>0</v>
      </c>
      <c r="V1756" s="77">
        <v>1633</v>
      </c>
      <c r="W1756" s="80" t="s">
        <v>6931</v>
      </c>
      <c r="X1756" s="83" t="str">
        <f>HYPERLINK("https://www.moneytimes.com.br/campos-neto-rebate-criticas-de-lula-sobre-atuacao-do-bc-falta-de-compreensao-sobre-regras-do-jogo/")</f>
        <v>https://www.moneytimes.com.br/campos-neto-rebate-criticas-de-lula-sobre-atuacao-do-bc-falta-de-compreensao-sobre-regras-do-jogo/</v>
      </c>
      <c r="Y1756" s="77" t="s">
        <v>8611</v>
      </c>
      <c r="Z1756" s="77"/>
      <c r="AA1756" s="77"/>
      <c r="AB1756" s="77"/>
      <c r="AC1756" s="80" t="s">
        <v>10558</v>
      </c>
      <c r="AD1756" s="77" t="s">
        <v>10617</v>
      </c>
      <c r="AE1756" s="83" t="str">
        <f>HYPERLINK("https://twitter.com/leiamoneytimes/status/1660703596797673473")</f>
        <v>https://twitter.com/leiamoneytimes/status/1660703596797673473</v>
      </c>
      <c r="AF1756" s="79">
        <v>45068.740347222221</v>
      </c>
      <c r="AG1756" s="85">
        <v>45068</v>
      </c>
      <c r="AH1756" s="80" t="s">
        <v>12183</v>
      </c>
      <c r="AI1756" s="77" t="b">
        <v>0</v>
      </c>
      <c r="AJ1756" s="77"/>
      <c r="AK1756" s="77"/>
      <c r="AL1756" s="77"/>
      <c r="AM1756" s="77"/>
      <c r="AN1756" s="77"/>
      <c r="AO1756" s="77"/>
      <c r="AP1756" s="77"/>
      <c r="AQ1756" s="77"/>
      <c r="AR1756" s="77"/>
      <c r="AS1756" s="77"/>
      <c r="AT1756" s="77"/>
      <c r="AU1756" s="77"/>
      <c r="AV1756" s="83" t="str">
        <f>HYPERLINK("https://pbs.twimg.com/profile_images/1559883556846977024/bXHnQFY0_normal.jpg")</f>
        <v>https://pbs.twimg.com/profile_images/1559883556846977024/bXHnQFY0_normal.jpg</v>
      </c>
      <c r="AW1756" s="80" t="s">
        <v>17623</v>
      </c>
      <c r="AX1756" s="80" t="s">
        <v>17623</v>
      </c>
      <c r="AY1756" s="77"/>
      <c r="AZ1756" s="80" t="s">
        <v>20380</v>
      </c>
      <c r="BA1756" s="80" t="s">
        <v>20380</v>
      </c>
      <c r="BB1756" s="80" t="s">
        <v>20380</v>
      </c>
      <c r="BC1756" s="80" t="s">
        <v>17623</v>
      </c>
      <c r="BD1756" s="77">
        <v>51150679</v>
      </c>
      <c r="BE1756" s="77"/>
      <c r="BF1756" s="77"/>
      <c r="BG1756" s="77"/>
      <c r="BH1756" s="77"/>
      <c r="BI1756" s="77"/>
    </row>
    <row r="1757" spans="1:61" x14ac:dyDescent="0.25">
      <c r="A1757" s="62" t="s">
        <v>790</v>
      </c>
      <c r="B1757" s="62" t="s">
        <v>790</v>
      </c>
      <c r="C1757" s="63"/>
      <c r="D1757" s="64"/>
      <c r="E1757" s="65"/>
      <c r="F1757" s="66"/>
      <c r="G1757" s="63"/>
      <c r="H1757" s="67"/>
      <c r="I1757" s="68"/>
      <c r="J1757" s="68"/>
      <c r="K1757" s="32"/>
      <c r="L1757" s="75">
        <v>1757</v>
      </c>
      <c r="M1757" s="75"/>
      <c r="N1757" s="70"/>
      <c r="O1757" s="77" t="s">
        <v>179</v>
      </c>
      <c r="P1757" s="79">
        <v>45068.71539351852</v>
      </c>
      <c r="Q1757" s="77" t="s">
        <v>3653</v>
      </c>
      <c r="R1757" s="77">
        <v>0</v>
      </c>
      <c r="S1757" s="77">
        <v>6</v>
      </c>
      <c r="T1757" s="77">
        <v>0</v>
      </c>
      <c r="U1757" s="77">
        <v>0</v>
      </c>
      <c r="V1757" s="77">
        <v>1438</v>
      </c>
      <c r="W1757" s="80" t="s">
        <v>6931</v>
      </c>
      <c r="X1757" s="83" t="str">
        <f>HYPERLINK("https://www.moneytimes.com.br/numeros-da-economia-nacional-estao-mais-proximos-do-lado-otimista-diz-haddad/")</f>
        <v>https://www.moneytimes.com.br/numeros-da-economia-nacional-estao-mais-proximos-do-lado-otimista-diz-haddad/</v>
      </c>
      <c r="Y1757" s="77" t="s">
        <v>8611</v>
      </c>
      <c r="Z1757" s="77"/>
      <c r="AA1757" s="77"/>
      <c r="AB1757" s="77"/>
      <c r="AC1757" s="80" t="s">
        <v>10558</v>
      </c>
      <c r="AD1757" s="77" t="s">
        <v>10617</v>
      </c>
      <c r="AE1757" s="83" t="str">
        <f>HYPERLINK("https://twitter.com/leiamoneytimes/status/1660694552238276632")</f>
        <v>https://twitter.com/leiamoneytimes/status/1660694552238276632</v>
      </c>
      <c r="AF1757" s="79">
        <v>45068.71539351852</v>
      </c>
      <c r="AG1757" s="85">
        <v>45068</v>
      </c>
      <c r="AH1757" s="80" t="s">
        <v>12184</v>
      </c>
      <c r="AI1757" s="77" t="b">
        <v>0</v>
      </c>
      <c r="AJ1757" s="77"/>
      <c r="AK1757" s="77"/>
      <c r="AL1757" s="77"/>
      <c r="AM1757" s="77"/>
      <c r="AN1757" s="77"/>
      <c r="AO1757" s="77"/>
      <c r="AP1757" s="77"/>
      <c r="AQ1757" s="77"/>
      <c r="AR1757" s="77"/>
      <c r="AS1757" s="77"/>
      <c r="AT1757" s="77"/>
      <c r="AU1757" s="77"/>
      <c r="AV1757" s="83" t="str">
        <f>HYPERLINK("https://pbs.twimg.com/profile_images/1559883556846977024/bXHnQFY0_normal.jpg")</f>
        <v>https://pbs.twimg.com/profile_images/1559883556846977024/bXHnQFY0_normal.jpg</v>
      </c>
      <c r="AW1757" s="80" t="s">
        <v>17624</v>
      </c>
      <c r="AX1757" s="80" t="s">
        <v>17624</v>
      </c>
      <c r="AY1757" s="77"/>
      <c r="AZ1757" s="80" t="s">
        <v>20380</v>
      </c>
      <c r="BA1757" s="80" t="s">
        <v>20380</v>
      </c>
      <c r="BB1757" s="80" t="s">
        <v>20380</v>
      </c>
      <c r="BC1757" s="80" t="s">
        <v>17624</v>
      </c>
      <c r="BD1757" s="77">
        <v>51150679</v>
      </c>
      <c r="BE1757" s="77"/>
      <c r="BF1757" s="77"/>
      <c r="BG1757" s="77"/>
      <c r="BH1757" s="77"/>
      <c r="BI1757" s="77"/>
    </row>
    <row r="1758" spans="1:61" x14ac:dyDescent="0.25">
      <c r="A1758" s="62" t="s">
        <v>790</v>
      </c>
      <c r="B1758" s="62" t="s">
        <v>790</v>
      </c>
      <c r="C1758" s="63"/>
      <c r="D1758" s="64"/>
      <c r="E1758" s="65"/>
      <c r="F1758" s="66"/>
      <c r="G1758" s="63"/>
      <c r="H1758" s="67"/>
      <c r="I1758" s="68"/>
      <c r="J1758" s="68"/>
      <c r="K1758" s="32"/>
      <c r="L1758" s="75">
        <v>1758</v>
      </c>
      <c r="M1758" s="75"/>
      <c r="N1758" s="70"/>
      <c r="O1758" s="77" t="s">
        <v>179</v>
      </c>
      <c r="P1758" s="79">
        <v>45068.650902777779</v>
      </c>
      <c r="Q1758" s="77" t="s">
        <v>3654</v>
      </c>
      <c r="R1758" s="77">
        <v>2</v>
      </c>
      <c r="S1758" s="77">
        <v>65</v>
      </c>
      <c r="T1758" s="77">
        <v>2</v>
      </c>
      <c r="U1758" s="77">
        <v>0</v>
      </c>
      <c r="V1758" s="77">
        <v>3969</v>
      </c>
      <c r="W1758" s="80" t="s">
        <v>7046</v>
      </c>
      <c r="X1758" s="83" t="str">
        <f>HYPERLINK("https://www.moneytimes.com.br/pacheco-diz-que-nao-havera-retrocesso-em-autonomia-do-bc-marco-do-saneamento-e-privatizacao-da-eletrobras/")</f>
        <v>https://www.moneytimes.com.br/pacheco-diz-que-nao-havera-retrocesso-em-autonomia-do-bc-marco-do-saneamento-e-privatizacao-da-eletrobras/</v>
      </c>
      <c r="Y1758" s="77" t="s">
        <v>8611</v>
      </c>
      <c r="Z1758" s="77"/>
      <c r="AA1758" s="77"/>
      <c r="AB1758" s="77"/>
      <c r="AC1758" s="80" t="s">
        <v>10558</v>
      </c>
      <c r="AD1758" s="77" t="s">
        <v>10617</v>
      </c>
      <c r="AE1758" s="83" t="str">
        <f>HYPERLINK("https://twitter.com/leiamoneytimes/status/1660671183770058755")</f>
        <v>https://twitter.com/leiamoneytimes/status/1660671183770058755</v>
      </c>
      <c r="AF1758" s="79">
        <v>45068.650902777779</v>
      </c>
      <c r="AG1758" s="85">
        <v>45068</v>
      </c>
      <c r="AH1758" s="80" t="s">
        <v>12185</v>
      </c>
      <c r="AI1758" s="77" t="b">
        <v>0</v>
      </c>
      <c r="AJ1758" s="77"/>
      <c r="AK1758" s="77"/>
      <c r="AL1758" s="77"/>
      <c r="AM1758" s="77"/>
      <c r="AN1758" s="77"/>
      <c r="AO1758" s="77"/>
      <c r="AP1758" s="77"/>
      <c r="AQ1758" s="77"/>
      <c r="AR1758" s="77"/>
      <c r="AS1758" s="77"/>
      <c r="AT1758" s="77"/>
      <c r="AU1758" s="77"/>
      <c r="AV1758" s="83" t="str">
        <f>HYPERLINK("https://pbs.twimg.com/profile_images/1559883556846977024/bXHnQFY0_normal.jpg")</f>
        <v>https://pbs.twimg.com/profile_images/1559883556846977024/bXHnQFY0_normal.jpg</v>
      </c>
      <c r="AW1758" s="80" t="s">
        <v>17625</v>
      </c>
      <c r="AX1758" s="80" t="s">
        <v>17625</v>
      </c>
      <c r="AY1758" s="77"/>
      <c r="AZ1758" s="80" t="s">
        <v>20380</v>
      </c>
      <c r="BA1758" s="80" t="s">
        <v>20380</v>
      </c>
      <c r="BB1758" s="80" t="s">
        <v>20380</v>
      </c>
      <c r="BC1758" s="80" t="s">
        <v>17625</v>
      </c>
      <c r="BD1758" s="77">
        <v>51150679</v>
      </c>
      <c r="BE1758" s="77"/>
      <c r="BF1758" s="77"/>
      <c r="BG1758" s="77"/>
      <c r="BH1758" s="77"/>
      <c r="BI1758" s="77"/>
    </row>
    <row r="1759" spans="1:61" x14ac:dyDescent="0.25">
      <c r="A1759" s="62" t="s">
        <v>790</v>
      </c>
      <c r="B1759" s="62" t="s">
        <v>790</v>
      </c>
      <c r="C1759" s="63"/>
      <c r="D1759" s="64"/>
      <c r="E1759" s="65"/>
      <c r="F1759" s="66"/>
      <c r="G1759" s="63"/>
      <c r="H1759" s="67"/>
      <c r="I1759" s="68"/>
      <c r="J1759" s="68"/>
      <c r="K1759" s="32"/>
      <c r="L1759" s="75">
        <v>1759</v>
      </c>
      <c r="M1759" s="75"/>
      <c r="N1759" s="70"/>
      <c r="O1759" s="77" t="s">
        <v>179</v>
      </c>
      <c r="P1759" s="79">
        <v>45068.590046296296</v>
      </c>
      <c r="Q1759" s="77" t="s">
        <v>3655</v>
      </c>
      <c r="R1759" s="77">
        <v>0</v>
      </c>
      <c r="S1759" s="77">
        <v>2</v>
      </c>
      <c r="T1759" s="77">
        <v>0</v>
      </c>
      <c r="U1759" s="77">
        <v>0</v>
      </c>
      <c r="V1759" s="77">
        <v>1248</v>
      </c>
      <c r="W1759" s="80" t="s">
        <v>6945</v>
      </c>
      <c r="X1759" s="83" t="str">
        <f>HYPERLINK("https://www.moneytimes.com.br/metas-de-inflacao-ministerio-da-fazenda-estuda-alteracoes-saiba-o-que-pode-mudar/")</f>
        <v>https://www.moneytimes.com.br/metas-de-inflacao-ministerio-da-fazenda-estuda-alteracoes-saiba-o-que-pode-mudar/</v>
      </c>
      <c r="Y1759" s="77" t="s">
        <v>8611</v>
      </c>
      <c r="Z1759" s="77"/>
      <c r="AA1759" s="77"/>
      <c r="AB1759" s="77"/>
      <c r="AC1759" s="80" t="s">
        <v>10558</v>
      </c>
      <c r="AD1759" s="77" t="s">
        <v>10617</v>
      </c>
      <c r="AE1759" s="83" t="str">
        <f>HYPERLINK("https://twitter.com/leiamoneytimes/status/1660649130568368129")</f>
        <v>https://twitter.com/leiamoneytimes/status/1660649130568368129</v>
      </c>
      <c r="AF1759" s="79">
        <v>45068.590046296296</v>
      </c>
      <c r="AG1759" s="85">
        <v>45068</v>
      </c>
      <c r="AH1759" s="80" t="s">
        <v>12186</v>
      </c>
      <c r="AI1759" s="77" t="b">
        <v>0</v>
      </c>
      <c r="AJ1759" s="77"/>
      <c r="AK1759" s="77"/>
      <c r="AL1759" s="77"/>
      <c r="AM1759" s="77"/>
      <c r="AN1759" s="77"/>
      <c r="AO1759" s="77"/>
      <c r="AP1759" s="77"/>
      <c r="AQ1759" s="77"/>
      <c r="AR1759" s="77"/>
      <c r="AS1759" s="77"/>
      <c r="AT1759" s="77"/>
      <c r="AU1759" s="77"/>
      <c r="AV1759" s="83" t="str">
        <f>HYPERLINK("https://pbs.twimg.com/profile_images/1559883556846977024/bXHnQFY0_normal.jpg")</f>
        <v>https://pbs.twimg.com/profile_images/1559883556846977024/bXHnQFY0_normal.jpg</v>
      </c>
      <c r="AW1759" s="80" t="s">
        <v>17626</v>
      </c>
      <c r="AX1759" s="80" t="s">
        <v>17626</v>
      </c>
      <c r="AY1759" s="77"/>
      <c r="AZ1759" s="80" t="s">
        <v>20380</v>
      </c>
      <c r="BA1759" s="80" t="s">
        <v>20380</v>
      </c>
      <c r="BB1759" s="80" t="s">
        <v>20380</v>
      </c>
      <c r="BC1759" s="80" t="s">
        <v>17626</v>
      </c>
      <c r="BD1759" s="77">
        <v>51150679</v>
      </c>
      <c r="BE1759" s="77"/>
      <c r="BF1759" s="77"/>
      <c r="BG1759" s="77"/>
      <c r="BH1759" s="77"/>
      <c r="BI1759" s="77"/>
    </row>
    <row r="1760" spans="1:61" x14ac:dyDescent="0.25">
      <c r="A1760" s="62" t="s">
        <v>790</v>
      </c>
      <c r="B1760" s="62" t="s">
        <v>790</v>
      </c>
      <c r="C1760" s="63"/>
      <c r="D1760" s="64"/>
      <c r="E1760" s="65"/>
      <c r="F1760" s="66"/>
      <c r="G1760" s="63"/>
      <c r="H1760" s="67"/>
      <c r="I1760" s="68"/>
      <c r="J1760" s="68"/>
      <c r="K1760" s="32"/>
      <c r="L1760" s="75">
        <v>1760</v>
      </c>
      <c r="M1760" s="75"/>
      <c r="N1760" s="70"/>
      <c r="O1760" s="77" t="s">
        <v>179</v>
      </c>
      <c r="P1760" s="79">
        <v>45068.501782407409</v>
      </c>
      <c r="Q1760" s="77" t="s">
        <v>3656</v>
      </c>
      <c r="R1760" s="77">
        <v>1</v>
      </c>
      <c r="S1760" s="77">
        <v>14</v>
      </c>
      <c r="T1760" s="77">
        <v>1</v>
      </c>
      <c r="U1760" s="77">
        <v>1</v>
      </c>
      <c r="V1760" s="77">
        <v>2029</v>
      </c>
      <c r="W1760" s="80" t="s">
        <v>6934</v>
      </c>
      <c r="X1760" s="83" t="str">
        <f>HYPERLINK("https://www.moneytimes.com.br/projecao-de-inflacao-desaba-apos-mudanca-nos-precos-da-petrobras-petr4-confira-o-focus-desta-segunda-22/")</f>
        <v>https://www.moneytimes.com.br/projecao-de-inflacao-desaba-apos-mudanca-nos-precos-da-petrobras-petr4-confira-o-focus-desta-segunda-22/</v>
      </c>
      <c r="Y1760" s="77" t="s">
        <v>8611</v>
      </c>
      <c r="Z1760" s="77"/>
      <c r="AA1760" s="77"/>
      <c r="AB1760" s="77"/>
      <c r="AC1760" s="80" t="s">
        <v>10558</v>
      </c>
      <c r="AD1760" s="77" t="s">
        <v>10617</v>
      </c>
      <c r="AE1760" s="83" t="str">
        <f>HYPERLINK("https://twitter.com/leiamoneytimes/status/1660617141744222212")</f>
        <v>https://twitter.com/leiamoneytimes/status/1660617141744222212</v>
      </c>
      <c r="AF1760" s="79">
        <v>45068.501782407409</v>
      </c>
      <c r="AG1760" s="85">
        <v>45068</v>
      </c>
      <c r="AH1760" s="80" t="s">
        <v>12187</v>
      </c>
      <c r="AI1760" s="77" t="b">
        <v>0</v>
      </c>
      <c r="AJ1760" s="77"/>
      <c r="AK1760" s="77"/>
      <c r="AL1760" s="77"/>
      <c r="AM1760" s="77"/>
      <c r="AN1760" s="77"/>
      <c r="AO1760" s="77"/>
      <c r="AP1760" s="77"/>
      <c r="AQ1760" s="77"/>
      <c r="AR1760" s="77"/>
      <c r="AS1760" s="77"/>
      <c r="AT1760" s="77"/>
      <c r="AU1760" s="77"/>
      <c r="AV1760" s="83" t="str">
        <f>HYPERLINK("https://pbs.twimg.com/profile_images/1559883556846977024/bXHnQFY0_normal.jpg")</f>
        <v>https://pbs.twimg.com/profile_images/1559883556846977024/bXHnQFY0_normal.jpg</v>
      </c>
      <c r="AW1760" s="80" t="s">
        <v>17627</v>
      </c>
      <c r="AX1760" s="80" t="s">
        <v>17627</v>
      </c>
      <c r="AY1760" s="77"/>
      <c r="AZ1760" s="80" t="s">
        <v>20380</v>
      </c>
      <c r="BA1760" s="80" t="s">
        <v>20380</v>
      </c>
      <c r="BB1760" s="80" t="s">
        <v>20380</v>
      </c>
      <c r="BC1760" s="80" t="s">
        <v>17627</v>
      </c>
      <c r="BD1760" s="77">
        <v>51150679</v>
      </c>
      <c r="BE1760" s="77"/>
      <c r="BF1760" s="77"/>
      <c r="BG1760" s="77"/>
      <c r="BH1760" s="77"/>
      <c r="BI1760" s="77"/>
    </row>
    <row r="1761" spans="1:61" x14ac:dyDescent="0.25">
      <c r="A1761" s="62" t="s">
        <v>790</v>
      </c>
      <c r="B1761" s="62" t="s">
        <v>790</v>
      </c>
      <c r="C1761" s="63"/>
      <c r="D1761" s="64"/>
      <c r="E1761" s="65"/>
      <c r="F1761" s="66"/>
      <c r="G1761" s="63"/>
      <c r="H1761" s="67"/>
      <c r="I1761" s="68"/>
      <c r="J1761" s="68"/>
      <c r="K1761" s="32"/>
      <c r="L1761" s="75">
        <v>1761</v>
      </c>
      <c r="M1761" s="75"/>
      <c r="N1761" s="70"/>
      <c r="O1761" s="77" t="s">
        <v>179</v>
      </c>
      <c r="P1761" s="79">
        <v>45067.793124999997</v>
      </c>
      <c r="Q1761" s="77" t="s">
        <v>3657</v>
      </c>
      <c r="R1761" s="77">
        <v>0</v>
      </c>
      <c r="S1761" s="77">
        <v>12</v>
      </c>
      <c r="T1761" s="77">
        <v>0</v>
      </c>
      <c r="U1761" s="77">
        <v>0</v>
      </c>
      <c r="V1761" s="77">
        <v>2295</v>
      </c>
      <c r="W1761" s="80" t="s">
        <v>7047</v>
      </c>
      <c r="X1761" s="83" t="str">
        <f>HYPERLINK("https://www.moneytimes.com.br/e-a-politica-que-dita-o-rumo-dos-mercados-nesta-semana/")</f>
        <v>https://www.moneytimes.com.br/e-a-politica-que-dita-o-rumo-dos-mercados-nesta-semana/</v>
      </c>
      <c r="Y1761" s="77" t="s">
        <v>8611</v>
      </c>
      <c r="Z1761" s="77"/>
      <c r="AA1761" s="77"/>
      <c r="AB1761" s="77"/>
      <c r="AC1761" s="80" t="s">
        <v>10558</v>
      </c>
      <c r="AD1761" s="77" t="s">
        <v>10617</v>
      </c>
      <c r="AE1761" s="83" t="str">
        <f>HYPERLINK("https://twitter.com/leiamoneytimes/status/1660360334408810497")</f>
        <v>https://twitter.com/leiamoneytimes/status/1660360334408810497</v>
      </c>
      <c r="AF1761" s="79">
        <v>45067.793124999997</v>
      </c>
      <c r="AG1761" s="85">
        <v>45067</v>
      </c>
      <c r="AH1761" s="80" t="s">
        <v>12188</v>
      </c>
      <c r="AI1761" s="77" t="b">
        <v>0</v>
      </c>
      <c r="AJ1761" s="77"/>
      <c r="AK1761" s="77"/>
      <c r="AL1761" s="77"/>
      <c r="AM1761" s="77"/>
      <c r="AN1761" s="77"/>
      <c r="AO1761" s="77"/>
      <c r="AP1761" s="77"/>
      <c r="AQ1761" s="77"/>
      <c r="AR1761" s="77"/>
      <c r="AS1761" s="77"/>
      <c r="AT1761" s="77"/>
      <c r="AU1761" s="77"/>
      <c r="AV1761" s="83" t="str">
        <f>HYPERLINK("https://pbs.twimg.com/profile_images/1559883556846977024/bXHnQFY0_normal.jpg")</f>
        <v>https://pbs.twimg.com/profile_images/1559883556846977024/bXHnQFY0_normal.jpg</v>
      </c>
      <c r="AW1761" s="80" t="s">
        <v>17628</v>
      </c>
      <c r="AX1761" s="80" t="s">
        <v>17628</v>
      </c>
      <c r="AY1761" s="77"/>
      <c r="AZ1761" s="80" t="s">
        <v>20380</v>
      </c>
      <c r="BA1761" s="80" t="s">
        <v>20380</v>
      </c>
      <c r="BB1761" s="80" t="s">
        <v>20380</v>
      </c>
      <c r="BC1761" s="80" t="s">
        <v>17628</v>
      </c>
      <c r="BD1761" s="77">
        <v>51150679</v>
      </c>
      <c r="BE1761" s="77"/>
      <c r="BF1761" s="77"/>
      <c r="BG1761" s="77"/>
      <c r="BH1761" s="77"/>
      <c r="BI1761" s="77"/>
    </row>
    <row r="1762" spans="1:61" x14ac:dyDescent="0.25">
      <c r="A1762" s="62" t="s">
        <v>790</v>
      </c>
      <c r="B1762" s="62" t="s">
        <v>790</v>
      </c>
      <c r="C1762" s="63"/>
      <c r="D1762" s="64"/>
      <c r="E1762" s="65"/>
      <c r="F1762" s="66"/>
      <c r="G1762" s="63"/>
      <c r="H1762" s="67"/>
      <c r="I1762" s="68"/>
      <c r="J1762" s="68"/>
      <c r="K1762" s="32"/>
      <c r="L1762" s="75">
        <v>1762</v>
      </c>
      <c r="M1762" s="75"/>
      <c r="N1762" s="70"/>
      <c r="O1762" s="77" t="s">
        <v>179</v>
      </c>
      <c r="P1762" s="79">
        <v>45067.501331018517</v>
      </c>
      <c r="Q1762" s="77" t="s">
        <v>3658</v>
      </c>
      <c r="R1762" s="77">
        <v>5</v>
      </c>
      <c r="S1762" s="77">
        <v>47</v>
      </c>
      <c r="T1762" s="77">
        <v>2</v>
      </c>
      <c r="U1762" s="77">
        <v>1</v>
      </c>
      <c r="V1762" s="77">
        <v>4252</v>
      </c>
      <c r="W1762" s="80" t="s">
        <v>7048</v>
      </c>
      <c r="X1762" s="83" t="str">
        <f>HYPERLINK("https://www.moneytimes.com.br/inflacao-seguira-alta-e-quem-diz-isso-nao-e-o-banco-central-mas-sim-os-balancos-do-1t23-entenda/")</f>
        <v>https://www.moneytimes.com.br/inflacao-seguira-alta-e-quem-diz-isso-nao-e-o-banco-central-mas-sim-os-balancos-do-1t23-entenda/</v>
      </c>
      <c r="Y1762" s="77" t="s">
        <v>8611</v>
      </c>
      <c r="Z1762" s="77"/>
      <c r="AA1762" s="77"/>
      <c r="AB1762" s="77"/>
      <c r="AC1762" s="80" t="s">
        <v>10558</v>
      </c>
      <c r="AD1762" s="77" t="s">
        <v>10617</v>
      </c>
      <c r="AE1762" s="83" t="str">
        <f>HYPERLINK("https://twitter.com/leiamoneytimes/status/1660254593362583553")</f>
        <v>https://twitter.com/leiamoneytimes/status/1660254593362583553</v>
      </c>
      <c r="AF1762" s="79">
        <v>45067.501331018517</v>
      </c>
      <c r="AG1762" s="85">
        <v>45067</v>
      </c>
      <c r="AH1762" s="80" t="s">
        <v>12189</v>
      </c>
      <c r="AI1762" s="77" t="b">
        <v>0</v>
      </c>
      <c r="AJ1762" s="77"/>
      <c r="AK1762" s="77"/>
      <c r="AL1762" s="77"/>
      <c r="AM1762" s="77"/>
      <c r="AN1762" s="77"/>
      <c r="AO1762" s="77"/>
      <c r="AP1762" s="77"/>
      <c r="AQ1762" s="77"/>
      <c r="AR1762" s="77"/>
      <c r="AS1762" s="77"/>
      <c r="AT1762" s="77"/>
      <c r="AU1762" s="77"/>
      <c r="AV1762" s="83" t="str">
        <f>HYPERLINK("https://pbs.twimg.com/profile_images/1559883556846977024/bXHnQFY0_normal.jpg")</f>
        <v>https://pbs.twimg.com/profile_images/1559883556846977024/bXHnQFY0_normal.jpg</v>
      </c>
      <c r="AW1762" s="80" t="s">
        <v>17629</v>
      </c>
      <c r="AX1762" s="80" t="s">
        <v>17629</v>
      </c>
      <c r="AY1762" s="77"/>
      <c r="AZ1762" s="80" t="s">
        <v>20380</v>
      </c>
      <c r="BA1762" s="80" t="s">
        <v>20380</v>
      </c>
      <c r="BB1762" s="80" t="s">
        <v>20380</v>
      </c>
      <c r="BC1762" s="80" t="s">
        <v>17629</v>
      </c>
      <c r="BD1762" s="77">
        <v>51150679</v>
      </c>
      <c r="BE1762" s="77"/>
      <c r="BF1762" s="77"/>
      <c r="BG1762" s="77"/>
      <c r="BH1762" s="77"/>
      <c r="BI1762" s="77"/>
    </row>
    <row r="1763" spans="1:61" x14ac:dyDescent="0.25">
      <c r="A1763" s="62" t="s">
        <v>790</v>
      </c>
      <c r="B1763" s="62" t="s">
        <v>790</v>
      </c>
      <c r="C1763" s="63"/>
      <c r="D1763" s="64"/>
      <c r="E1763" s="65"/>
      <c r="F1763" s="66"/>
      <c r="G1763" s="63"/>
      <c r="H1763" s="67"/>
      <c r="I1763" s="68"/>
      <c r="J1763" s="68"/>
      <c r="K1763" s="32"/>
      <c r="L1763" s="75">
        <v>1763</v>
      </c>
      <c r="M1763" s="75"/>
      <c r="N1763" s="70"/>
      <c r="O1763" s="77" t="s">
        <v>179</v>
      </c>
      <c r="P1763" s="79">
        <v>45065.926574074074</v>
      </c>
      <c r="Q1763" s="77" t="s">
        <v>3659</v>
      </c>
      <c r="R1763" s="77">
        <v>12</v>
      </c>
      <c r="S1763" s="77">
        <v>64</v>
      </c>
      <c r="T1763" s="77">
        <v>6</v>
      </c>
      <c r="U1763" s="77">
        <v>0</v>
      </c>
      <c r="V1763" s="77">
        <v>3486</v>
      </c>
      <c r="W1763" s="80" t="s">
        <v>7049</v>
      </c>
      <c r="X1763" s="83" t="str">
        <f>HYPERLINK("https://www.moneytimes.com.br/campos-neto-passamos-muito-tempo-discutindo-nivel-dos-juros-mas-precisamos-falar-de-reformas/")</f>
        <v>https://www.moneytimes.com.br/campos-neto-passamos-muito-tempo-discutindo-nivel-dos-juros-mas-precisamos-falar-de-reformas/</v>
      </c>
      <c r="Y1763" s="77" t="s">
        <v>8611</v>
      </c>
      <c r="Z1763" s="77"/>
      <c r="AA1763" s="77"/>
      <c r="AB1763" s="77"/>
      <c r="AC1763" s="80" t="s">
        <v>10558</v>
      </c>
      <c r="AD1763" s="77" t="s">
        <v>10617</v>
      </c>
      <c r="AE1763" s="83" t="str">
        <f>HYPERLINK("https://twitter.com/leiamoneytimes/status/1659683920055607303")</f>
        <v>https://twitter.com/leiamoneytimes/status/1659683920055607303</v>
      </c>
      <c r="AF1763" s="79">
        <v>45065.926574074074</v>
      </c>
      <c r="AG1763" s="85">
        <v>45065</v>
      </c>
      <c r="AH1763" s="80" t="s">
        <v>12190</v>
      </c>
      <c r="AI1763" s="77" t="b">
        <v>0</v>
      </c>
      <c r="AJ1763" s="77"/>
      <c r="AK1763" s="77"/>
      <c r="AL1763" s="77"/>
      <c r="AM1763" s="77"/>
      <c r="AN1763" s="77"/>
      <c r="AO1763" s="77"/>
      <c r="AP1763" s="77"/>
      <c r="AQ1763" s="77"/>
      <c r="AR1763" s="77"/>
      <c r="AS1763" s="77"/>
      <c r="AT1763" s="77"/>
      <c r="AU1763" s="77"/>
      <c r="AV1763" s="83" t="str">
        <f>HYPERLINK("https://pbs.twimg.com/profile_images/1559883556846977024/bXHnQFY0_normal.jpg")</f>
        <v>https://pbs.twimg.com/profile_images/1559883556846977024/bXHnQFY0_normal.jpg</v>
      </c>
      <c r="AW1763" s="80" t="s">
        <v>17630</v>
      </c>
      <c r="AX1763" s="80" t="s">
        <v>17630</v>
      </c>
      <c r="AY1763" s="77"/>
      <c r="AZ1763" s="80" t="s">
        <v>20380</v>
      </c>
      <c r="BA1763" s="80" t="s">
        <v>20380</v>
      </c>
      <c r="BB1763" s="80" t="s">
        <v>20380</v>
      </c>
      <c r="BC1763" s="80" t="s">
        <v>17630</v>
      </c>
      <c r="BD1763" s="77">
        <v>51150679</v>
      </c>
      <c r="BE1763" s="77"/>
      <c r="BF1763" s="77"/>
      <c r="BG1763" s="77"/>
      <c r="BH1763" s="77"/>
      <c r="BI1763" s="77"/>
    </row>
    <row r="1764" spans="1:61" x14ac:dyDescent="0.25">
      <c r="A1764" s="62" t="s">
        <v>790</v>
      </c>
      <c r="B1764" s="62" t="s">
        <v>790</v>
      </c>
      <c r="C1764" s="63"/>
      <c r="D1764" s="64"/>
      <c r="E1764" s="65"/>
      <c r="F1764" s="66"/>
      <c r="G1764" s="63"/>
      <c r="H1764" s="67"/>
      <c r="I1764" s="68"/>
      <c r="J1764" s="68"/>
      <c r="K1764" s="32"/>
      <c r="L1764" s="75">
        <v>1764</v>
      </c>
      <c r="M1764" s="75"/>
      <c r="N1764" s="70"/>
      <c r="O1764" s="77" t="s">
        <v>179</v>
      </c>
      <c r="P1764" s="79">
        <v>45065.856585648151</v>
      </c>
      <c r="Q1764" s="77" t="s">
        <v>3660</v>
      </c>
      <c r="R1764" s="77">
        <v>0</v>
      </c>
      <c r="S1764" s="77">
        <v>2</v>
      </c>
      <c r="T1764" s="77">
        <v>0</v>
      </c>
      <c r="U1764" s="77">
        <v>0</v>
      </c>
      <c r="V1764" s="77">
        <v>1183</v>
      </c>
      <c r="W1764" s="80" t="s">
        <v>7050</v>
      </c>
      <c r="X1764" s="83" t="str">
        <f>HYPERLINK("https://www.moneytimes.com.br/bce-fara-o-que-for-necessario-para-garantir-estabilidade-de-precos-diz-lagarde/")</f>
        <v>https://www.moneytimes.com.br/bce-fara-o-que-for-necessario-para-garantir-estabilidade-de-precos-diz-lagarde/</v>
      </c>
      <c r="Y1764" s="77" t="s">
        <v>8611</v>
      </c>
      <c r="Z1764" s="77"/>
      <c r="AA1764" s="77"/>
      <c r="AB1764" s="77"/>
      <c r="AC1764" s="80" t="s">
        <v>10558</v>
      </c>
      <c r="AD1764" s="77" t="s">
        <v>10617</v>
      </c>
      <c r="AE1764" s="83" t="str">
        <f>HYPERLINK("https://twitter.com/leiamoneytimes/status/1659658554708467726")</f>
        <v>https://twitter.com/leiamoneytimes/status/1659658554708467726</v>
      </c>
      <c r="AF1764" s="79">
        <v>45065.856585648151</v>
      </c>
      <c r="AG1764" s="85">
        <v>45065</v>
      </c>
      <c r="AH1764" s="80" t="s">
        <v>12191</v>
      </c>
      <c r="AI1764" s="77" t="b">
        <v>0</v>
      </c>
      <c r="AJ1764" s="77"/>
      <c r="AK1764" s="77"/>
      <c r="AL1764" s="77"/>
      <c r="AM1764" s="77"/>
      <c r="AN1764" s="77"/>
      <c r="AO1764" s="77"/>
      <c r="AP1764" s="77"/>
      <c r="AQ1764" s="77"/>
      <c r="AR1764" s="77"/>
      <c r="AS1764" s="77"/>
      <c r="AT1764" s="77"/>
      <c r="AU1764" s="77"/>
      <c r="AV1764" s="83" t="str">
        <f>HYPERLINK("https://pbs.twimg.com/profile_images/1559883556846977024/bXHnQFY0_normal.jpg")</f>
        <v>https://pbs.twimg.com/profile_images/1559883556846977024/bXHnQFY0_normal.jpg</v>
      </c>
      <c r="AW1764" s="80" t="s">
        <v>17631</v>
      </c>
      <c r="AX1764" s="80" t="s">
        <v>17631</v>
      </c>
      <c r="AY1764" s="77"/>
      <c r="AZ1764" s="80" t="s">
        <v>20380</v>
      </c>
      <c r="BA1764" s="80" t="s">
        <v>20380</v>
      </c>
      <c r="BB1764" s="80" t="s">
        <v>20380</v>
      </c>
      <c r="BC1764" s="80" t="s">
        <v>17631</v>
      </c>
      <c r="BD1764" s="77">
        <v>51150679</v>
      </c>
      <c r="BE1764" s="77"/>
      <c r="BF1764" s="77"/>
      <c r="BG1764" s="77"/>
      <c r="BH1764" s="77"/>
      <c r="BI1764" s="77"/>
    </row>
    <row r="1765" spans="1:61" x14ac:dyDescent="0.25">
      <c r="A1765" s="62" t="s">
        <v>790</v>
      </c>
      <c r="B1765" s="62" t="s">
        <v>790</v>
      </c>
      <c r="C1765" s="63"/>
      <c r="D1765" s="64"/>
      <c r="E1765" s="65"/>
      <c r="F1765" s="66"/>
      <c r="G1765" s="63"/>
      <c r="H1765" s="67"/>
      <c r="I1765" s="68"/>
      <c r="J1765" s="68"/>
      <c r="K1765" s="32"/>
      <c r="L1765" s="75">
        <v>1765</v>
      </c>
      <c r="M1765" s="75"/>
      <c r="N1765" s="70"/>
      <c r="O1765" s="77" t="s">
        <v>179</v>
      </c>
      <c r="P1765" s="79">
        <v>45065.741018518522</v>
      </c>
      <c r="Q1765" s="77" t="s">
        <v>3661</v>
      </c>
      <c r="R1765" s="77">
        <v>0</v>
      </c>
      <c r="S1765" s="77">
        <v>4</v>
      </c>
      <c r="T1765" s="77">
        <v>0</v>
      </c>
      <c r="U1765" s="77">
        <v>0</v>
      </c>
      <c r="V1765" s="77">
        <v>1384</v>
      </c>
      <c r="W1765" s="80" t="s">
        <v>6931</v>
      </c>
      <c r="X1765" s="83" t="str">
        <f>HYPERLINK("https://www.moneytimes.com.br/haddad-diz-que-brasil-tem-obrigacao-de-perseguir-crescimento-superior-a-media-mundial/")</f>
        <v>https://www.moneytimes.com.br/haddad-diz-que-brasil-tem-obrigacao-de-perseguir-crescimento-superior-a-media-mundial/</v>
      </c>
      <c r="Y1765" s="77" t="s">
        <v>8611</v>
      </c>
      <c r="Z1765" s="77"/>
      <c r="AA1765" s="77"/>
      <c r="AB1765" s="77"/>
      <c r="AC1765" s="80" t="s">
        <v>10558</v>
      </c>
      <c r="AD1765" s="77" t="s">
        <v>10617</v>
      </c>
      <c r="AE1765" s="83" t="str">
        <f>HYPERLINK("https://twitter.com/leiamoneytimes/status/1659616674738315265")</f>
        <v>https://twitter.com/leiamoneytimes/status/1659616674738315265</v>
      </c>
      <c r="AF1765" s="79">
        <v>45065.741018518522</v>
      </c>
      <c r="AG1765" s="85">
        <v>45065</v>
      </c>
      <c r="AH1765" s="80" t="s">
        <v>12192</v>
      </c>
      <c r="AI1765" s="77" t="b">
        <v>0</v>
      </c>
      <c r="AJ1765" s="77"/>
      <c r="AK1765" s="77"/>
      <c r="AL1765" s="77"/>
      <c r="AM1765" s="77"/>
      <c r="AN1765" s="77"/>
      <c r="AO1765" s="77"/>
      <c r="AP1765" s="77"/>
      <c r="AQ1765" s="77"/>
      <c r="AR1765" s="77"/>
      <c r="AS1765" s="77"/>
      <c r="AT1765" s="77"/>
      <c r="AU1765" s="77"/>
      <c r="AV1765" s="83" t="str">
        <f>HYPERLINK("https://pbs.twimg.com/profile_images/1559883556846977024/bXHnQFY0_normal.jpg")</f>
        <v>https://pbs.twimg.com/profile_images/1559883556846977024/bXHnQFY0_normal.jpg</v>
      </c>
      <c r="AW1765" s="80" t="s">
        <v>17632</v>
      </c>
      <c r="AX1765" s="80" t="s">
        <v>17632</v>
      </c>
      <c r="AY1765" s="77"/>
      <c r="AZ1765" s="80" t="s">
        <v>20380</v>
      </c>
      <c r="BA1765" s="80" t="s">
        <v>20380</v>
      </c>
      <c r="BB1765" s="80" t="s">
        <v>20380</v>
      </c>
      <c r="BC1765" s="80" t="s">
        <v>17632</v>
      </c>
      <c r="BD1765" s="77">
        <v>51150679</v>
      </c>
      <c r="BE1765" s="77"/>
      <c r="BF1765" s="77"/>
      <c r="BG1765" s="77"/>
      <c r="BH1765" s="77"/>
      <c r="BI1765" s="77"/>
    </row>
    <row r="1766" spans="1:61" x14ac:dyDescent="0.25">
      <c r="A1766" s="62" t="s">
        <v>790</v>
      </c>
      <c r="B1766" s="62" t="s">
        <v>790</v>
      </c>
      <c r="C1766" s="63"/>
      <c r="D1766" s="64"/>
      <c r="E1766" s="65"/>
      <c r="F1766" s="66"/>
      <c r="G1766" s="63"/>
      <c r="H1766" s="67"/>
      <c r="I1766" s="68"/>
      <c r="J1766" s="68"/>
      <c r="K1766" s="32"/>
      <c r="L1766" s="75">
        <v>1766</v>
      </c>
      <c r="M1766" s="75"/>
      <c r="N1766" s="70"/>
      <c r="O1766" s="77" t="s">
        <v>179</v>
      </c>
      <c r="P1766" s="79">
        <v>45048.699421296296</v>
      </c>
      <c r="Q1766" s="77" t="s">
        <v>3662</v>
      </c>
      <c r="R1766" s="77">
        <v>0</v>
      </c>
      <c r="S1766" s="77">
        <v>4</v>
      </c>
      <c r="T1766" s="77">
        <v>1</v>
      </c>
      <c r="U1766" s="77">
        <v>0</v>
      </c>
      <c r="V1766" s="77">
        <v>1227</v>
      </c>
      <c r="W1766" s="80" t="s">
        <v>6272</v>
      </c>
      <c r="X1766" s="83" t="str">
        <f>HYPERLINK("https://www.moneytimes.com.br/selic-a-1375-tres-fatores-que-vao-pesar-mais-na-decisao-do-copom-que-o-lula/")</f>
        <v>https://www.moneytimes.com.br/selic-a-1375-tres-fatores-que-vao-pesar-mais-na-decisao-do-copom-que-o-lula/</v>
      </c>
      <c r="Y1766" s="77" t="s">
        <v>8611</v>
      </c>
      <c r="Z1766" s="77"/>
      <c r="AA1766" s="77"/>
      <c r="AB1766" s="77"/>
      <c r="AC1766" s="80" t="s">
        <v>10558</v>
      </c>
      <c r="AD1766" s="77" t="s">
        <v>10617</v>
      </c>
      <c r="AE1766" s="83" t="str">
        <f>HYPERLINK("https://twitter.com/leiamoneytimes/status/1653441008191799316")</f>
        <v>https://twitter.com/leiamoneytimes/status/1653441008191799316</v>
      </c>
      <c r="AF1766" s="79">
        <v>45048.699421296296</v>
      </c>
      <c r="AG1766" s="85">
        <v>45048</v>
      </c>
      <c r="AH1766" s="80" t="s">
        <v>12193</v>
      </c>
      <c r="AI1766" s="77" t="b">
        <v>0</v>
      </c>
      <c r="AJ1766" s="77"/>
      <c r="AK1766" s="77"/>
      <c r="AL1766" s="77"/>
      <c r="AM1766" s="77"/>
      <c r="AN1766" s="77"/>
      <c r="AO1766" s="77"/>
      <c r="AP1766" s="77"/>
      <c r="AQ1766" s="77"/>
      <c r="AR1766" s="77"/>
      <c r="AS1766" s="77"/>
      <c r="AT1766" s="77"/>
      <c r="AU1766" s="77"/>
      <c r="AV1766" s="83" t="str">
        <f>HYPERLINK("https://pbs.twimg.com/profile_images/1559883556846977024/bXHnQFY0_normal.jpg")</f>
        <v>https://pbs.twimg.com/profile_images/1559883556846977024/bXHnQFY0_normal.jpg</v>
      </c>
      <c r="AW1766" s="80" t="s">
        <v>17633</v>
      </c>
      <c r="AX1766" s="80" t="s">
        <v>17633</v>
      </c>
      <c r="AY1766" s="77"/>
      <c r="AZ1766" s="80" t="s">
        <v>20380</v>
      </c>
      <c r="BA1766" s="80" t="s">
        <v>20380</v>
      </c>
      <c r="BB1766" s="80" t="s">
        <v>20380</v>
      </c>
      <c r="BC1766" s="80" t="s">
        <v>17633</v>
      </c>
      <c r="BD1766" s="77">
        <v>51150679</v>
      </c>
      <c r="BE1766" s="77"/>
      <c r="BF1766" s="77"/>
      <c r="BG1766" s="77"/>
      <c r="BH1766" s="77"/>
      <c r="BI1766" s="77"/>
    </row>
    <row r="1767" spans="1:61" x14ac:dyDescent="0.25">
      <c r="A1767" s="62" t="s">
        <v>790</v>
      </c>
      <c r="B1767" s="62" t="s">
        <v>790</v>
      </c>
      <c r="C1767" s="63"/>
      <c r="D1767" s="64"/>
      <c r="E1767" s="65"/>
      <c r="F1767" s="66"/>
      <c r="G1767" s="63"/>
      <c r="H1767" s="67"/>
      <c r="I1767" s="68"/>
      <c r="J1767" s="68"/>
      <c r="K1767" s="32"/>
      <c r="L1767" s="75">
        <v>1767</v>
      </c>
      <c r="M1767" s="75"/>
      <c r="N1767" s="70"/>
      <c r="O1767" s="77" t="s">
        <v>179</v>
      </c>
      <c r="P1767" s="79">
        <v>45069.003645833334</v>
      </c>
      <c r="Q1767" s="77" t="s">
        <v>3663</v>
      </c>
      <c r="R1767" s="77">
        <v>2</v>
      </c>
      <c r="S1767" s="77">
        <v>22</v>
      </c>
      <c r="T1767" s="77">
        <v>7</v>
      </c>
      <c r="U1767" s="77">
        <v>1</v>
      </c>
      <c r="V1767" s="77">
        <v>4433</v>
      </c>
      <c r="W1767" s="80" t="s">
        <v>7051</v>
      </c>
      <c r="X1767" s="83" t="str">
        <f>HYPERLINK("https://www.moneytimes.com.br/lider-do-governo-afirma-que-havera-desdobramentos-no-2o-semestre-caso-taxa-de-juros-siga-alta/")</f>
        <v>https://www.moneytimes.com.br/lider-do-governo-afirma-que-havera-desdobramentos-no-2o-semestre-caso-taxa-de-juros-siga-alta/</v>
      </c>
      <c r="Y1767" s="77" t="s">
        <v>8611</v>
      </c>
      <c r="Z1767" s="77"/>
      <c r="AA1767" s="77"/>
      <c r="AB1767" s="77"/>
      <c r="AC1767" s="80" t="s">
        <v>10558</v>
      </c>
      <c r="AD1767" s="77" t="s">
        <v>10617</v>
      </c>
      <c r="AE1767" s="83" t="str">
        <f>HYPERLINK("https://twitter.com/leiamoneytimes/status/1660799013749178373")</f>
        <v>https://twitter.com/leiamoneytimes/status/1660799013749178373</v>
      </c>
      <c r="AF1767" s="79">
        <v>45069.003645833334</v>
      </c>
      <c r="AG1767" s="85">
        <v>45069</v>
      </c>
      <c r="AH1767" s="80" t="s">
        <v>12194</v>
      </c>
      <c r="AI1767" s="77" t="b">
        <v>0</v>
      </c>
      <c r="AJ1767" s="77"/>
      <c r="AK1767" s="77"/>
      <c r="AL1767" s="77"/>
      <c r="AM1767" s="77"/>
      <c r="AN1767" s="77"/>
      <c r="AO1767" s="77"/>
      <c r="AP1767" s="77"/>
      <c r="AQ1767" s="77"/>
      <c r="AR1767" s="77"/>
      <c r="AS1767" s="77"/>
      <c r="AT1767" s="77"/>
      <c r="AU1767" s="77"/>
      <c r="AV1767" s="83" t="str">
        <f>HYPERLINK("https://pbs.twimg.com/profile_images/1559883556846977024/bXHnQFY0_normal.jpg")</f>
        <v>https://pbs.twimg.com/profile_images/1559883556846977024/bXHnQFY0_normal.jpg</v>
      </c>
      <c r="AW1767" s="80" t="s">
        <v>17634</v>
      </c>
      <c r="AX1767" s="80" t="s">
        <v>17634</v>
      </c>
      <c r="AY1767" s="77"/>
      <c r="AZ1767" s="80" t="s">
        <v>20380</v>
      </c>
      <c r="BA1767" s="80" t="s">
        <v>20380</v>
      </c>
      <c r="BB1767" s="80" t="s">
        <v>20380</v>
      </c>
      <c r="BC1767" s="80" t="s">
        <v>17634</v>
      </c>
      <c r="BD1767" s="77">
        <v>51150679</v>
      </c>
      <c r="BE1767" s="77"/>
      <c r="BF1767" s="77"/>
      <c r="BG1767" s="77"/>
      <c r="BH1767" s="77"/>
      <c r="BI1767" s="77"/>
    </row>
    <row r="1768" spans="1:61" x14ac:dyDescent="0.25">
      <c r="A1768" s="62" t="s">
        <v>790</v>
      </c>
      <c r="B1768" s="62" t="s">
        <v>790</v>
      </c>
      <c r="C1768" s="63"/>
      <c r="D1768" s="64"/>
      <c r="E1768" s="65"/>
      <c r="F1768" s="66"/>
      <c r="G1768" s="63"/>
      <c r="H1768" s="67"/>
      <c r="I1768" s="68"/>
      <c r="J1768" s="68"/>
      <c r="K1768" s="32"/>
      <c r="L1768" s="75">
        <v>1768</v>
      </c>
      <c r="M1768" s="75"/>
      <c r="N1768" s="70"/>
      <c r="O1768" s="77" t="s">
        <v>179</v>
      </c>
      <c r="P1768" s="79">
        <v>45182.742268518516</v>
      </c>
      <c r="Q1768" s="77" t="s">
        <v>3664</v>
      </c>
      <c r="R1768" s="77">
        <v>1</v>
      </c>
      <c r="S1768" s="77">
        <v>10</v>
      </c>
      <c r="T1768" s="77">
        <v>3</v>
      </c>
      <c r="U1768" s="77">
        <v>1</v>
      </c>
      <c r="V1768" s="77">
        <v>2130</v>
      </c>
      <c r="W1768" s="80" t="s">
        <v>6272</v>
      </c>
      <c r="X1768" s="83" t="str">
        <f>HYPERLINK("https://www.moneytimes.com.br/selic-a-1150-por-que-o-itau-bba-ve-espaco-para-corte-de-075-pp-na-taxa/")</f>
        <v>https://www.moneytimes.com.br/selic-a-1150-por-que-o-itau-bba-ve-espaco-para-corte-de-075-pp-na-taxa/</v>
      </c>
      <c r="Y1768" s="77" t="s">
        <v>8611</v>
      </c>
      <c r="Z1768" s="77"/>
      <c r="AA1768" s="77"/>
      <c r="AB1768" s="77"/>
      <c r="AC1768" s="80" t="s">
        <v>10558</v>
      </c>
      <c r="AD1768" s="77" t="s">
        <v>10617</v>
      </c>
      <c r="AE1768" s="83" t="str">
        <f>HYPERLINK("https://twitter.com/leiamoneytimes/status/1702016509537632372")</f>
        <v>https://twitter.com/leiamoneytimes/status/1702016509537632372</v>
      </c>
      <c r="AF1768" s="79">
        <v>45182.742268518516</v>
      </c>
      <c r="AG1768" s="85">
        <v>45182</v>
      </c>
      <c r="AH1768" s="80" t="s">
        <v>12195</v>
      </c>
      <c r="AI1768" s="77" t="b">
        <v>0</v>
      </c>
      <c r="AJ1768" s="77"/>
      <c r="AK1768" s="77"/>
      <c r="AL1768" s="77"/>
      <c r="AM1768" s="77"/>
      <c r="AN1768" s="77"/>
      <c r="AO1768" s="77"/>
      <c r="AP1768" s="77"/>
      <c r="AQ1768" s="77"/>
      <c r="AR1768" s="77"/>
      <c r="AS1768" s="77"/>
      <c r="AT1768" s="77"/>
      <c r="AU1768" s="77"/>
      <c r="AV1768" s="83" t="str">
        <f>HYPERLINK("https://pbs.twimg.com/profile_images/1559883556846977024/bXHnQFY0_normal.jpg")</f>
        <v>https://pbs.twimg.com/profile_images/1559883556846977024/bXHnQFY0_normal.jpg</v>
      </c>
      <c r="AW1768" s="80" t="s">
        <v>17635</v>
      </c>
      <c r="AX1768" s="80" t="s">
        <v>17635</v>
      </c>
      <c r="AY1768" s="77"/>
      <c r="AZ1768" s="80" t="s">
        <v>20380</v>
      </c>
      <c r="BA1768" s="80" t="s">
        <v>20380</v>
      </c>
      <c r="BB1768" s="80" t="s">
        <v>20380</v>
      </c>
      <c r="BC1768" s="80" t="s">
        <v>17635</v>
      </c>
      <c r="BD1768" s="77">
        <v>51150679</v>
      </c>
      <c r="BE1768" s="77"/>
      <c r="BF1768" s="77"/>
      <c r="BG1768" s="77"/>
      <c r="BH1768" s="77"/>
      <c r="BI1768" s="77"/>
    </row>
    <row r="1769" spans="1:61" x14ac:dyDescent="0.25">
      <c r="A1769" s="62" t="s">
        <v>790</v>
      </c>
      <c r="B1769" s="62" t="s">
        <v>790</v>
      </c>
      <c r="C1769" s="63"/>
      <c r="D1769" s="64"/>
      <c r="E1769" s="65"/>
      <c r="F1769" s="66"/>
      <c r="G1769" s="63"/>
      <c r="H1769" s="67"/>
      <c r="I1769" s="68"/>
      <c r="J1769" s="68"/>
      <c r="K1769" s="32"/>
      <c r="L1769" s="75">
        <v>1769</v>
      </c>
      <c r="M1769" s="75"/>
      <c r="N1769" s="70"/>
      <c r="O1769" s="77" t="s">
        <v>179</v>
      </c>
      <c r="P1769" s="79">
        <v>45182.592662037037</v>
      </c>
      <c r="Q1769" s="77" t="s">
        <v>3665</v>
      </c>
      <c r="R1769" s="77">
        <v>0</v>
      </c>
      <c r="S1769" s="77">
        <v>1</v>
      </c>
      <c r="T1769" s="77">
        <v>1</v>
      </c>
      <c r="U1769" s="77">
        <v>0</v>
      </c>
      <c r="V1769" s="77">
        <v>817</v>
      </c>
      <c r="W1769" s="80" t="s">
        <v>6922</v>
      </c>
      <c r="X1769" s="83" t="str">
        <f>HYPERLINK("https://www.moneytimes.com.br/dinheiro-esquecido-veja-como-receber-fatia-dos-r-71-bilhoes-disponiveis/")</f>
        <v>https://www.moneytimes.com.br/dinheiro-esquecido-veja-como-receber-fatia-dos-r-71-bilhoes-disponiveis/</v>
      </c>
      <c r="Y1769" s="77" t="s">
        <v>8611</v>
      </c>
      <c r="Z1769" s="77"/>
      <c r="AA1769" s="77"/>
      <c r="AB1769" s="77"/>
      <c r="AC1769" s="80" t="s">
        <v>10558</v>
      </c>
      <c r="AD1769" s="77" t="s">
        <v>10617</v>
      </c>
      <c r="AE1769" s="83" t="str">
        <f>HYPERLINK("https://twitter.com/leiamoneytimes/status/1701962295998296501")</f>
        <v>https://twitter.com/leiamoneytimes/status/1701962295998296501</v>
      </c>
      <c r="AF1769" s="79">
        <v>45182.592662037037</v>
      </c>
      <c r="AG1769" s="85">
        <v>45182</v>
      </c>
      <c r="AH1769" s="80" t="s">
        <v>12196</v>
      </c>
      <c r="AI1769" s="77" t="b">
        <v>0</v>
      </c>
      <c r="AJ1769" s="77"/>
      <c r="AK1769" s="77"/>
      <c r="AL1769" s="77"/>
      <c r="AM1769" s="77"/>
      <c r="AN1769" s="77"/>
      <c r="AO1769" s="77"/>
      <c r="AP1769" s="77"/>
      <c r="AQ1769" s="77"/>
      <c r="AR1769" s="77"/>
      <c r="AS1769" s="77"/>
      <c r="AT1769" s="77"/>
      <c r="AU1769" s="77"/>
      <c r="AV1769" s="83" t="str">
        <f>HYPERLINK("https://pbs.twimg.com/profile_images/1559883556846977024/bXHnQFY0_normal.jpg")</f>
        <v>https://pbs.twimg.com/profile_images/1559883556846977024/bXHnQFY0_normal.jpg</v>
      </c>
      <c r="AW1769" s="80" t="s">
        <v>17636</v>
      </c>
      <c r="AX1769" s="80" t="s">
        <v>17636</v>
      </c>
      <c r="AY1769" s="77"/>
      <c r="AZ1769" s="80" t="s">
        <v>20380</v>
      </c>
      <c r="BA1769" s="80" t="s">
        <v>20380</v>
      </c>
      <c r="BB1769" s="80" t="s">
        <v>20380</v>
      </c>
      <c r="BC1769" s="80" t="s">
        <v>17636</v>
      </c>
      <c r="BD1769" s="77">
        <v>51150679</v>
      </c>
      <c r="BE1769" s="77"/>
      <c r="BF1769" s="77"/>
      <c r="BG1769" s="77"/>
      <c r="BH1769" s="77"/>
      <c r="BI1769" s="77"/>
    </row>
    <row r="1770" spans="1:61" x14ac:dyDescent="0.25">
      <c r="A1770" s="62" t="s">
        <v>790</v>
      </c>
      <c r="B1770" s="62" t="s">
        <v>790</v>
      </c>
      <c r="C1770" s="63"/>
      <c r="D1770" s="64"/>
      <c r="E1770" s="65"/>
      <c r="F1770" s="66"/>
      <c r="G1770" s="63"/>
      <c r="H1770" s="67"/>
      <c r="I1770" s="68"/>
      <c r="J1770" s="68"/>
      <c r="K1770" s="32"/>
      <c r="L1770" s="75">
        <v>1770</v>
      </c>
      <c r="M1770" s="75"/>
      <c r="N1770" s="70"/>
      <c r="O1770" s="77" t="s">
        <v>179</v>
      </c>
      <c r="P1770" s="79">
        <v>45174.943240740744</v>
      </c>
      <c r="Q1770" s="77" t="s">
        <v>3666</v>
      </c>
      <c r="R1770" s="77">
        <v>0</v>
      </c>
      <c r="S1770" s="77">
        <v>0</v>
      </c>
      <c r="T1770" s="77">
        <v>1</v>
      </c>
      <c r="U1770" s="77">
        <v>0</v>
      </c>
      <c r="V1770" s="77">
        <v>1107</v>
      </c>
      <c r="W1770" s="80" t="s">
        <v>7052</v>
      </c>
      <c r="X1770" s="83" t="str">
        <f>HYPERLINK("https://www.moneytimes.com.br/bandeira-da-paz-o-numero-que-faz-a-anfavea-fazer-as-pazes-com-campos-neto/")</f>
        <v>https://www.moneytimes.com.br/bandeira-da-paz-o-numero-que-faz-a-anfavea-fazer-as-pazes-com-campos-neto/</v>
      </c>
      <c r="Y1770" s="77" t="s">
        <v>8611</v>
      </c>
      <c r="Z1770" s="77"/>
      <c r="AA1770" s="77"/>
      <c r="AB1770" s="77"/>
      <c r="AC1770" s="80" t="s">
        <v>10558</v>
      </c>
      <c r="AD1770" s="77" t="s">
        <v>10617</v>
      </c>
      <c r="AE1770" s="83" t="str">
        <f>HYPERLINK("https://twitter.com/leiamoneytimes/status/1699190235215614312")</f>
        <v>https://twitter.com/leiamoneytimes/status/1699190235215614312</v>
      </c>
      <c r="AF1770" s="79">
        <v>45174.943240740744</v>
      </c>
      <c r="AG1770" s="85">
        <v>45174</v>
      </c>
      <c r="AH1770" s="80" t="s">
        <v>12197</v>
      </c>
      <c r="AI1770" s="77" t="b">
        <v>0</v>
      </c>
      <c r="AJ1770" s="77"/>
      <c r="AK1770" s="77"/>
      <c r="AL1770" s="77"/>
      <c r="AM1770" s="77"/>
      <c r="AN1770" s="77"/>
      <c r="AO1770" s="77"/>
      <c r="AP1770" s="77"/>
      <c r="AQ1770" s="77"/>
      <c r="AR1770" s="77"/>
      <c r="AS1770" s="77"/>
      <c r="AT1770" s="77"/>
      <c r="AU1770" s="77"/>
      <c r="AV1770" s="83" t="str">
        <f>HYPERLINK("https://pbs.twimg.com/profile_images/1559883556846977024/bXHnQFY0_normal.jpg")</f>
        <v>https://pbs.twimg.com/profile_images/1559883556846977024/bXHnQFY0_normal.jpg</v>
      </c>
      <c r="AW1770" s="80" t="s">
        <v>17637</v>
      </c>
      <c r="AX1770" s="80" t="s">
        <v>17637</v>
      </c>
      <c r="AY1770" s="77"/>
      <c r="AZ1770" s="80" t="s">
        <v>20380</v>
      </c>
      <c r="BA1770" s="80" t="s">
        <v>20380</v>
      </c>
      <c r="BB1770" s="80" t="s">
        <v>20380</v>
      </c>
      <c r="BC1770" s="80" t="s">
        <v>17637</v>
      </c>
      <c r="BD1770" s="77">
        <v>51150679</v>
      </c>
      <c r="BE1770" s="77"/>
      <c r="BF1770" s="77"/>
      <c r="BG1770" s="77"/>
      <c r="BH1770" s="77"/>
      <c r="BI1770" s="77"/>
    </row>
    <row r="1771" spans="1:61" x14ac:dyDescent="0.25">
      <c r="A1771" s="62" t="s">
        <v>790</v>
      </c>
      <c r="B1771" s="62" t="s">
        <v>790</v>
      </c>
      <c r="C1771" s="63"/>
      <c r="D1771" s="64"/>
      <c r="E1771" s="65"/>
      <c r="F1771" s="66"/>
      <c r="G1771" s="63"/>
      <c r="H1771" s="67"/>
      <c r="I1771" s="68"/>
      <c r="J1771" s="68"/>
      <c r="K1771" s="32"/>
      <c r="L1771" s="75">
        <v>1771</v>
      </c>
      <c r="M1771" s="75"/>
      <c r="N1771" s="70"/>
      <c r="O1771" s="77" t="s">
        <v>179</v>
      </c>
      <c r="P1771" s="79">
        <v>45164.868692129632</v>
      </c>
      <c r="Q1771" s="77" t="s">
        <v>3667</v>
      </c>
      <c r="R1771" s="77">
        <v>5</v>
      </c>
      <c r="S1771" s="77">
        <v>12</v>
      </c>
      <c r="T1771" s="77">
        <v>1</v>
      </c>
      <c r="U1771" s="77">
        <v>1</v>
      </c>
      <c r="V1771" s="77">
        <v>2967</v>
      </c>
      <c r="W1771" s="80" t="s">
        <v>7053</v>
      </c>
      <c r="X1771" s="83" t="str">
        <f>HYPERLINK("https://www.moneytimes.com.br/real-digital-10-perguntas-e-respostas-sobre-o-drex-e-como-vai-mudar-a-relacao-do-brasileiro-com-dinheiro/")</f>
        <v>https://www.moneytimes.com.br/real-digital-10-perguntas-e-respostas-sobre-o-drex-e-como-vai-mudar-a-relacao-do-brasileiro-com-dinheiro/</v>
      </c>
      <c r="Y1771" s="77" t="s">
        <v>8611</v>
      </c>
      <c r="Z1771" s="77"/>
      <c r="AA1771" s="77"/>
      <c r="AB1771" s="77"/>
      <c r="AC1771" s="80" t="s">
        <v>10558</v>
      </c>
      <c r="AD1771" s="77" t="s">
        <v>10617</v>
      </c>
      <c r="AE1771" s="83" t="str">
        <f>HYPERLINK("https://twitter.com/leiamoneytimes/status/1695539343908106546")</f>
        <v>https://twitter.com/leiamoneytimes/status/1695539343908106546</v>
      </c>
      <c r="AF1771" s="79">
        <v>45164.868692129632</v>
      </c>
      <c r="AG1771" s="85">
        <v>45164</v>
      </c>
      <c r="AH1771" s="80" t="s">
        <v>12198</v>
      </c>
      <c r="AI1771" s="77" t="b">
        <v>0</v>
      </c>
      <c r="AJ1771" s="77"/>
      <c r="AK1771" s="77"/>
      <c r="AL1771" s="77"/>
      <c r="AM1771" s="77"/>
      <c r="AN1771" s="77"/>
      <c r="AO1771" s="77"/>
      <c r="AP1771" s="77"/>
      <c r="AQ1771" s="77"/>
      <c r="AR1771" s="77"/>
      <c r="AS1771" s="77"/>
      <c r="AT1771" s="77"/>
      <c r="AU1771" s="77"/>
      <c r="AV1771" s="83" t="str">
        <f>HYPERLINK("https://pbs.twimg.com/profile_images/1559883556846977024/bXHnQFY0_normal.jpg")</f>
        <v>https://pbs.twimg.com/profile_images/1559883556846977024/bXHnQFY0_normal.jpg</v>
      </c>
      <c r="AW1771" s="80" t="s">
        <v>17638</v>
      </c>
      <c r="AX1771" s="80" t="s">
        <v>17638</v>
      </c>
      <c r="AY1771" s="77"/>
      <c r="AZ1771" s="80" t="s">
        <v>20380</v>
      </c>
      <c r="BA1771" s="80" t="s">
        <v>20380</v>
      </c>
      <c r="BB1771" s="80" t="s">
        <v>20380</v>
      </c>
      <c r="BC1771" s="80" t="s">
        <v>17638</v>
      </c>
      <c r="BD1771" s="77">
        <v>51150679</v>
      </c>
      <c r="BE1771" s="77"/>
      <c r="BF1771" s="77"/>
      <c r="BG1771" s="77"/>
      <c r="BH1771" s="77"/>
      <c r="BI1771" s="77"/>
    </row>
    <row r="1772" spans="1:61" x14ac:dyDescent="0.25">
      <c r="A1772" s="62" t="s">
        <v>790</v>
      </c>
      <c r="B1772" s="62" t="s">
        <v>790</v>
      </c>
      <c r="C1772" s="63"/>
      <c r="D1772" s="64"/>
      <c r="E1772" s="65"/>
      <c r="F1772" s="66"/>
      <c r="G1772" s="63"/>
      <c r="H1772" s="67"/>
      <c r="I1772" s="68"/>
      <c r="J1772" s="68"/>
      <c r="K1772" s="32"/>
      <c r="L1772" s="75">
        <v>1772</v>
      </c>
      <c r="M1772" s="75"/>
      <c r="N1772" s="70"/>
      <c r="O1772" s="77" t="s">
        <v>179</v>
      </c>
      <c r="P1772" s="79">
        <v>45164.781354166669</v>
      </c>
      <c r="Q1772" s="77" t="s">
        <v>3668</v>
      </c>
      <c r="R1772" s="77">
        <v>3</v>
      </c>
      <c r="S1772" s="77">
        <v>16</v>
      </c>
      <c r="T1772" s="77">
        <v>2</v>
      </c>
      <c r="U1772" s="77">
        <v>0</v>
      </c>
      <c r="V1772" s="77">
        <v>2177</v>
      </c>
      <c r="W1772" s="80" t="s">
        <v>6931</v>
      </c>
      <c r="X1772" s="83" t="str">
        <f>HYPERLINK("https://www.moneytimes.com.br/campos-neto-da-recado-inflacao-do-brasil-esta-um-pouco-pior-entenda-motivos/")</f>
        <v>https://www.moneytimes.com.br/campos-neto-da-recado-inflacao-do-brasil-esta-um-pouco-pior-entenda-motivos/</v>
      </c>
      <c r="Y1772" s="77" t="s">
        <v>8611</v>
      </c>
      <c r="Z1772" s="77"/>
      <c r="AA1772" s="77"/>
      <c r="AB1772" s="77"/>
      <c r="AC1772" s="80" t="s">
        <v>10558</v>
      </c>
      <c r="AD1772" s="77" t="s">
        <v>10617</v>
      </c>
      <c r="AE1772" s="83" t="str">
        <f>HYPERLINK("https://twitter.com/leiamoneytimes/status/1695507690250764389")</f>
        <v>https://twitter.com/leiamoneytimes/status/1695507690250764389</v>
      </c>
      <c r="AF1772" s="79">
        <v>45164.781354166669</v>
      </c>
      <c r="AG1772" s="85">
        <v>45164</v>
      </c>
      <c r="AH1772" s="80" t="s">
        <v>12199</v>
      </c>
      <c r="AI1772" s="77" t="b">
        <v>0</v>
      </c>
      <c r="AJ1772" s="77"/>
      <c r="AK1772" s="77"/>
      <c r="AL1772" s="77"/>
      <c r="AM1772" s="77"/>
      <c r="AN1772" s="77"/>
      <c r="AO1772" s="77"/>
      <c r="AP1772" s="77"/>
      <c r="AQ1772" s="77"/>
      <c r="AR1772" s="77"/>
      <c r="AS1772" s="77"/>
      <c r="AT1772" s="77"/>
      <c r="AU1772" s="77"/>
      <c r="AV1772" s="83" t="str">
        <f>HYPERLINK("https://pbs.twimg.com/profile_images/1559883556846977024/bXHnQFY0_normal.jpg")</f>
        <v>https://pbs.twimg.com/profile_images/1559883556846977024/bXHnQFY0_normal.jpg</v>
      </c>
      <c r="AW1772" s="80" t="s">
        <v>17639</v>
      </c>
      <c r="AX1772" s="80" t="s">
        <v>17639</v>
      </c>
      <c r="AY1772" s="77"/>
      <c r="AZ1772" s="80" t="s">
        <v>20380</v>
      </c>
      <c r="BA1772" s="80" t="s">
        <v>20380</v>
      </c>
      <c r="BB1772" s="80" t="s">
        <v>20380</v>
      </c>
      <c r="BC1772" s="80" t="s">
        <v>17639</v>
      </c>
      <c r="BD1772" s="77">
        <v>51150679</v>
      </c>
      <c r="BE1772" s="77"/>
      <c r="BF1772" s="77"/>
      <c r="BG1772" s="77"/>
      <c r="BH1772" s="77"/>
      <c r="BI1772" s="77"/>
    </row>
    <row r="1773" spans="1:61" x14ac:dyDescent="0.25">
      <c r="A1773" s="62" t="s">
        <v>790</v>
      </c>
      <c r="B1773" s="62" t="s">
        <v>790</v>
      </c>
      <c r="C1773" s="63"/>
      <c r="D1773" s="64"/>
      <c r="E1773" s="65"/>
      <c r="F1773" s="66"/>
      <c r="G1773" s="63"/>
      <c r="H1773" s="67"/>
      <c r="I1773" s="68"/>
      <c r="J1773" s="68"/>
      <c r="K1773" s="32"/>
      <c r="L1773" s="75">
        <v>1773</v>
      </c>
      <c r="M1773" s="75"/>
      <c r="N1773" s="70"/>
      <c r="O1773" s="77" t="s">
        <v>179</v>
      </c>
      <c r="P1773" s="79">
        <v>45161.760891203703</v>
      </c>
      <c r="Q1773" s="77" t="s">
        <v>3669</v>
      </c>
      <c r="R1773" s="77">
        <v>1</v>
      </c>
      <c r="S1773" s="77">
        <v>2</v>
      </c>
      <c r="T1773" s="77">
        <v>2</v>
      </c>
      <c r="U1773" s="77">
        <v>0</v>
      </c>
      <c r="V1773" s="77">
        <v>989</v>
      </c>
      <c r="W1773" s="80" t="s">
        <v>7054</v>
      </c>
      <c r="X1773" s="83" t="str">
        <f>HYPERLINK("https://www.moneytimes.com.br/olha-o-golpe-brasil-tem-28-mil-tentativas-de-fraude-por-minuto-veja-como-se-proteger/")</f>
        <v>https://www.moneytimes.com.br/olha-o-golpe-brasil-tem-28-mil-tentativas-de-fraude-por-minuto-veja-como-se-proteger/</v>
      </c>
      <c r="Y1773" s="77" t="s">
        <v>8611</v>
      </c>
      <c r="Z1773" s="77"/>
      <c r="AA1773" s="77"/>
      <c r="AB1773" s="77"/>
      <c r="AC1773" s="80" t="s">
        <v>10558</v>
      </c>
      <c r="AD1773" s="77" t="s">
        <v>10617</v>
      </c>
      <c r="AE1773" s="83" t="str">
        <f>HYPERLINK("https://twitter.com/leiamoneytimes/status/1694413114320543747")</f>
        <v>https://twitter.com/leiamoneytimes/status/1694413114320543747</v>
      </c>
      <c r="AF1773" s="79">
        <v>45161.760891203703</v>
      </c>
      <c r="AG1773" s="85">
        <v>45161</v>
      </c>
      <c r="AH1773" s="80" t="s">
        <v>12200</v>
      </c>
      <c r="AI1773" s="77" t="b">
        <v>0</v>
      </c>
      <c r="AJ1773" s="77"/>
      <c r="AK1773" s="77"/>
      <c r="AL1773" s="77"/>
      <c r="AM1773" s="77"/>
      <c r="AN1773" s="77"/>
      <c r="AO1773" s="77"/>
      <c r="AP1773" s="77"/>
      <c r="AQ1773" s="77"/>
      <c r="AR1773" s="77"/>
      <c r="AS1773" s="77"/>
      <c r="AT1773" s="77"/>
      <c r="AU1773" s="77"/>
      <c r="AV1773" s="83" t="str">
        <f>HYPERLINK("https://pbs.twimg.com/profile_images/1559883556846977024/bXHnQFY0_normal.jpg")</f>
        <v>https://pbs.twimg.com/profile_images/1559883556846977024/bXHnQFY0_normal.jpg</v>
      </c>
      <c r="AW1773" s="80" t="s">
        <v>17640</v>
      </c>
      <c r="AX1773" s="80" t="s">
        <v>17640</v>
      </c>
      <c r="AY1773" s="77"/>
      <c r="AZ1773" s="80" t="s">
        <v>20380</v>
      </c>
      <c r="BA1773" s="80" t="s">
        <v>20380</v>
      </c>
      <c r="BB1773" s="80" t="s">
        <v>20380</v>
      </c>
      <c r="BC1773" s="80" t="s">
        <v>17640</v>
      </c>
      <c r="BD1773" s="77">
        <v>51150679</v>
      </c>
      <c r="BE1773" s="77"/>
      <c r="BF1773" s="77"/>
      <c r="BG1773" s="77"/>
      <c r="BH1773" s="77"/>
      <c r="BI1773" s="77"/>
    </row>
    <row r="1774" spans="1:61" x14ac:dyDescent="0.25">
      <c r="A1774" s="62" t="s">
        <v>790</v>
      </c>
      <c r="B1774" s="62" t="s">
        <v>790</v>
      </c>
      <c r="C1774" s="63"/>
      <c r="D1774" s="64"/>
      <c r="E1774" s="65"/>
      <c r="F1774" s="66"/>
      <c r="G1774" s="63"/>
      <c r="H1774" s="67"/>
      <c r="I1774" s="68"/>
      <c r="J1774" s="68"/>
      <c r="K1774" s="32"/>
      <c r="L1774" s="75">
        <v>1774</v>
      </c>
      <c r="M1774" s="75"/>
      <c r="N1774" s="70"/>
      <c r="O1774" s="77" t="s">
        <v>179</v>
      </c>
      <c r="P1774" s="79">
        <v>45160.953460648147</v>
      </c>
      <c r="Q1774" s="77" t="s">
        <v>3670</v>
      </c>
      <c r="R1774" s="77">
        <v>1</v>
      </c>
      <c r="S1774" s="77">
        <v>5</v>
      </c>
      <c r="T1774" s="77">
        <v>1</v>
      </c>
      <c r="U1774" s="77">
        <v>0</v>
      </c>
      <c r="V1774" s="77">
        <v>1633</v>
      </c>
      <c r="W1774" s="80" t="s">
        <v>7055</v>
      </c>
      <c r="X1774" s="83" t="str">
        <f>HYPERLINK("https://www.moneytimes.com.br/banco-central-falha-provoca-vazamento-de-dados-do-pix-entenda/")</f>
        <v>https://www.moneytimes.com.br/banco-central-falha-provoca-vazamento-de-dados-do-pix-entenda/</v>
      </c>
      <c r="Y1774" s="77" t="s">
        <v>8611</v>
      </c>
      <c r="Z1774" s="77"/>
      <c r="AA1774" s="77"/>
      <c r="AB1774" s="77"/>
      <c r="AC1774" s="80" t="s">
        <v>10558</v>
      </c>
      <c r="AD1774" s="77" t="s">
        <v>10617</v>
      </c>
      <c r="AE1774" s="83" t="str">
        <f>HYPERLINK("https://twitter.com/leiamoneytimes/status/1694120509003456975")</f>
        <v>https://twitter.com/leiamoneytimes/status/1694120509003456975</v>
      </c>
      <c r="AF1774" s="79">
        <v>45160.953460648147</v>
      </c>
      <c r="AG1774" s="85">
        <v>45160</v>
      </c>
      <c r="AH1774" s="80" t="s">
        <v>12201</v>
      </c>
      <c r="AI1774" s="77" t="b">
        <v>0</v>
      </c>
      <c r="AJ1774" s="77"/>
      <c r="AK1774" s="77"/>
      <c r="AL1774" s="77"/>
      <c r="AM1774" s="77"/>
      <c r="AN1774" s="77"/>
      <c r="AO1774" s="77"/>
      <c r="AP1774" s="77"/>
      <c r="AQ1774" s="77"/>
      <c r="AR1774" s="77"/>
      <c r="AS1774" s="77"/>
      <c r="AT1774" s="77"/>
      <c r="AU1774" s="77"/>
      <c r="AV1774" s="83" t="str">
        <f>HYPERLINK("https://pbs.twimg.com/profile_images/1559883556846977024/bXHnQFY0_normal.jpg")</f>
        <v>https://pbs.twimg.com/profile_images/1559883556846977024/bXHnQFY0_normal.jpg</v>
      </c>
      <c r="AW1774" s="80" t="s">
        <v>17641</v>
      </c>
      <c r="AX1774" s="80" t="s">
        <v>17641</v>
      </c>
      <c r="AY1774" s="77"/>
      <c r="AZ1774" s="80" t="s">
        <v>20380</v>
      </c>
      <c r="BA1774" s="80" t="s">
        <v>20380</v>
      </c>
      <c r="BB1774" s="80" t="s">
        <v>20380</v>
      </c>
      <c r="BC1774" s="80" t="s">
        <v>17641</v>
      </c>
      <c r="BD1774" s="77">
        <v>51150679</v>
      </c>
      <c r="BE1774" s="77"/>
      <c r="BF1774" s="77"/>
      <c r="BG1774" s="77"/>
      <c r="BH1774" s="77"/>
      <c r="BI1774" s="77"/>
    </row>
    <row r="1775" spans="1:61" x14ac:dyDescent="0.25">
      <c r="A1775" s="62" t="s">
        <v>790</v>
      </c>
      <c r="B1775" s="62" t="s">
        <v>790</v>
      </c>
      <c r="C1775" s="63"/>
      <c r="D1775" s="64"/>
      <c r="E1775" s="65"/>
      <c r="F1775" s="66"/>
      <c r="G1775" s="63"/>
      <c r="H1775" s="67"/>
      <c r="I1775" s="68"/>
      <c r="J1775" s="68"/>
      <c r="K1775" s="32"/>
      <c r="L1775" s="75">
        <v>1775</v>
      </c>
      <c r="M1775" s="75"/>
      <c r="N1775" s="70"/>
      <c r="O1775" s="77" t="s">
        <v>179</v>
      </c>
      <c r="P1775" s="79">
        <v>45160.839178240742</v>
      </c>
      <c r="Q1775" s="77" t="s">
        <v>3671</v>
      </c>
      <c r="R1775" s="77">
        <v>0</v>
      </c>
      <c r="S1775" s="77">
        <v>2</v>
      </c>
      <c r="T1775" s="77">
        <v>1</v>
      </c>
      <c r="U1775" s="77">
        <v>0</v>
      </c>
      <c r="V1775" s="77">
        <v>1406</v>
      </c>
      <c r="W1775" s="80" t="s">
        <v>6977</v>
      </c>
      <c r="X1775" s="83" t="str">
        <f>HYPERLINK("https://www.moneytimes.com.br/pai-de-todos-os-ativos-entenda-como-o-tesouro-americano-impacta-o-ibovespa-e-por-que-sua-alta-e-um-perigo/")</f>
        <v>https://www.moneytimes.com.br/pai-de-todos-os-ativos-entenda-como-o-tesouro-americano-impacta-o-ibovespa-e-por-que-sua-alta-e-um-perigo/</v>
      </c>
      <c r="Y1775" s="77" t="s">
        <v>8611</v>
      </c>
      <c r="Z1775" s="77"/>
      <c r="AA1775" s="77"/>
      <c r="AB1775" s="77"/>
      <c r="AC1775" s="80" t="s">
        <v>10558</v>
      </c>
      <c r="AD1775" s="77" t="s">
        <v>10617</v>
      </c>
      <c r="AE1775" s="83" t="str">
        <f>HYPERLINK("https://twitter.com/leiamoneytimes/status/1694079096894939273")</f>
        <v>https://twitter.com/leiamoneytimes/status/1694079096894939273</v>
      </c>
      <c r="AF1775" s="79">
        <v>45160.839178240742</v>
      </c>
      <c r="AG1775" s="85">
        <v>45160</v>
      </c>
      <c r="AH1775" s="80" t="s">
        <v>12202</v>
      </c>
      <c r="AI1775" s="77" t="b">
        <v>0</v>
      </c>
      <c r="AJ1775" s="77"/>
      <c r="AK1775" s="77"/>
      <c r="AL1775" s="77"/>
      <c r="AM1775" s="77"/>
      <c r="AN1775" s="77"/>
      <c r="AO1775" s="77"/>
      <c r="AP1775" s="77"/>
      <c r="AQ1775" s="77"/>
      <c r="AR1775" s="77"/>
      <c r="AS1775" s="77"/>
      <c r="AT1775" s="77"/>
      <c r="AU1775" s="77"/>
      <c r="AV1775" s="83" t="str">
        <f>HYPERLINK("https://pbs.twimg.com/profile_images/1559883556846977024/bXHnQFY0_normal.jpg")</f>
        <v>https://pbs.twimg.com/profile_images/1559883556846977024/bXHnQFY0_normal.jpg</v>
      </c>
      <c r="AW1775" s="80" t="s">
        <v>17642</v>
      </c>
      <c r="AX1775" s="80" t="s">
        <v>17642</v>
      </c>
      <c r="AY1775" s="77"/>
      <c r="AZ1775" s="80" t="s">
        <v>20380</v>
      </c>
      <c r="BA1775" s="80" t="s">
        <v>20380</v>
      </c>
      <c r="BB1775" s="80" t="s">
        <v>20380</v>
      </c>
      <c r="BC1775" s="80" t="s">
        <v>17642</v>
      </c>
      <c r="BD1775" s="77">
        <v>51150679</v>
      </c>
      <c r="BE1775" s="77"/>
      <c r="BF1775" s="77"/>
      <c r="BG1775" s="77"/>
      <c r="BH1775" s="77"/>
      <c r="BI1775" s="77"/>
    </row>
    <row r="1776" spans="1:61" x14ac:dyDescent="0.25">
      <c r="A1776" s="62" t="s">
        <v>790</v>
      </c>
      <c r="B1776" s="62" t="s">
        <v>790</v>
      </c>
      <c r="C1776" s="63"/>
      <c r="D1776" s="64"/>
      <c r="E1776" s="65"/>
      <c r="F1776" s="66"/>
      <c r="G1776" s="63"/>
      <c r="H1776" s="67"/>
      <c r="I1776" s="68"/>
      <c r="J1776" s="68"/>
      <c r="K1776" s="32"/>
      <c r="L1776" s="75">
        <v>1776</v>
      </c>
      <c r="M1776" s="75"/>
      <c r="N1776" s="70"/>
      <c r="O1776" s="77" t="s">
        <v>179</v>
      </c>
      <c r="P1776" s="79">
        <v>45145.492615740739</v>
      </c>
      <c r="Q1776" s="77" t="s">
        <v>3672</v>
      </c>
      <c r="R1776" s="77">
        <v>0</v>
      </c>
      <c r="S1776" s="77">
        <v>4</v>
      </c>
      <c r="T1776" s="77">
        <v>1</v>
      </c>
      <c r="U1776" s="77">
        <v>0</v>
      </c>
      <c r="V1776" s="77">
        <v>1306</v>
      </c>
      <c r="W1776" s="80" t="s">
        <v>6957</v>
      </c>
      <c r="X1776" s="83" t="str">
        <f>HYPERLINK("https://www.moneytimes.com.br/mercado-derruba-projecoes-da-selic-e-ja-fala-em-1175-para-2023-confira-o-focus-desta-segunda-07/")</f>
        <v>https://www.moneytimes.com.br/mercado-derruba-projecoes-da-selic-e-ja-fala-em-1175-para-2023-confira-o-focus-desta-segunda-07/</v>
      </c>
      <c r="Y1776" s="77" t="s">
        <v>8611</v>
      </c>
      <c r="Z1776" s="77"/>
      <c r="AA1776" s="77"/>
      <c r="AB1776" s="77"/>
      <c r="AC1776" s="80" t="s">
        <v>10558</v>
      </c>
      <c r="AD1776" s="77" t="s">
        <v>10617</v>
      </c>
      <c r="AE1776" s="83" t="str">
        <f>HYPERLINK("https://twitter.com/leiamoneytimes/status/1688517688253894657")</f>
        <v>https://twitter.com/leiamoneytimes/status/1688517688253894657</v>
      </c>
      <c r="AF1776" s="79">
        <v>45145.492615740739</v>
      </c>
      <c r="AG1776" s="85">
        <v>45145</v>
      </c>
      <c r="AH1776" s="80" t="s">
        <v>12203</v>
      </c>
      <c r="AI1776" s="77" t="b">
        <v>0</v>
      </c>
      <c r="AJ1776" s="77"/>
      <c r="AK1776" s="77"/>
      <c r="AL1776" s="77"/>
      <c r="AM1776" s="77"/>
      <c r="AN1776" s="77"/>
      <c r="AO1776" s="77"/>
      <c r="AP1776" s="77"/>
      <c r="AQ1776" s="77"/>
      <c r="AR1776" s="77"/>
      <c r="AS1776" s="77"/>
      <c r="AT1776" s="77"/>
      <c r="AU1776" s="77"/>
      <c r="AV1776" s="83" t="str">
        <f>HYPERLINK("https://pbs.twimg.com/profile_images/1559883556846977024/bXHnQFY0_normal.jpg")</f>
        <v>https://pbs.twimg.com/profile_images/1559883556846977024/bXHnQFY0_normal.jpg</v>
      </c>
      <c r="AW1776" s="80" t="s">
        <v>17643</v>
      </c>
      <c r="AX1776" s="80" t="s">
        <v>17643</v>
      </c>
      <c r="AY1776" s="77"/>
      <c r="AZ1776" s="80" t="s">
        <v>20380</v>
      </c>
      <c r="BA1776" s="80" t="s">
        <v>20380</v>
      </c>
      <c r="BB1776" s="80" t="s">
        <v>20380</v>
      </c>
      <c r="BC1776" s="80" t="s">
        <v>17643</v>
      </c>
      <c r="BD1776" s="77">
        <v>51150679</v>
      </c>
      <c r="BE1776" s="77"/>
      <c r="BF1776" s="77"/>
      <c r="BG1776" s="77"/>
      <c r="BH1776" s="77"/>
      <c r="BI1776" s="77"/>
    </row>
    <row r="1777" spans="1:61" x14ac:dyDescent="0.25">
      <c r="A1777" s="62" t="s">
        <v>790</v>
      </c>
      <c r="B1777" s="62" t="s">
        <v>790</v>
      </c>
      <c r="C1777" s="63"/>
      <c r="D1777" s="64"/>
      <c r="E1777" s="65"/>
      <c r="F1777" s="66"/>
      <c r="G1777" s="63"/>
      <c r="H1777" s="67"/>
      <c r="I1777" s="68"/>
      <c r="J1777" s="68"/>
      <c r="K1777" s="32"/>
      <c r="L1777" s="75">
        <v>1777</v>
      </c>
      <c r="M1777" s="75"/>
      <c r="N1777" s="70"/>
      <c r="O1777" s="77" t="s">
        <v>179</v>
      </c>
      <c r="P1777" s="79">
        <v>45143.459120370368</v>
      </c>
      <c r="Q1777" s="77" t="s">
        <v>3673</v>
      </c>
      <c r="R1777" s="77">
        <v>1</v>
      </c>
      <c r="S1777" s="77">
        <v>2</v>
      </c>
      <c r="T1777" s="77">
        <v>1</v>
      </c>
      <c r="U1777" s="77">
        <v>0</v>
      </c>
      <c r="V1777" s="77">
        <v>1671</v>
      </c>
      <c r="W1777" s="80" t="s">
        <v>7056</v>
      </c>
      <c r="X1777" s="83" t="str">
        <f>HYPERLINK("https://www.moneytimes.com.br/queda-da-selic-precos-dos-imoveis-e-taxas-de-financiamento-caem-juntos/")</f>
        <v>https://www.moneytimes.com.br/queda-da-selic-precos-dos-imoveis-e-taxas-de-financiamento-caem-juntos/</v>
      </c>
      <c r="Y1777" s="77" t="s">
        <v>8611</v>
      </c>
      <c r="Z1777" s="77"/>
      <c r="AA1777" s="77"/>
      <c r="AB1777" s="77"/>
      <c r="AC1777" s="80" t="s">
        <v>10558</v>
      </c>
      <c r="AD1777" s="77" t="s">
        <v>10617</v>
      </c>
      <c r="AE1777" s="83" t="str">
        <f>HYPERLINK("https://twitter.com/leiamoneytimes/status/1687780775008018432")</f>
        <v>https://twitter.com/leiamoneytimes/status/1687780775008018432</v>
      </c>
      <c r="AF1777" s="79">
        <v>45143.459120370368</v>
      </c>
      <c r="AG1777" s="85">
        <v>45143</v>
      </c>
      <c r="AH1777" s="80" t="s">
        <v>12204</v>
      </c>
      <c r="AI1777" s="77" t="b">
        <v>0</v>
      </c>
      <c r="AJ1777" s="77"/>
      <c r="AK1777" s="77"/>
      <c r="AL1777" s="77"/>
      <c r="AM1777" s="77"/>
      <c r="AN1777" s="77"/>
      <c r="AO1777" s="77"/>
      <c r="AP1777" s="77"/>
      <c r="AQ1777" s="77"/>
      <c r="AR1777" s="77"/>
      <c r="AS1777" s="77"/>
      <c r="AT1777" s="77"/>
      <c r="AU1777" s="77"/>
      <c r="AV1777" s="83" t="str">
        <f>HYPERLINK("https://pbs.twimg.com/profile_images/1559883556846977024/bXHnQFY0_normal.jpg")</f>
        <v>https://pbs.twimg.com/profile_images/1559883556846977024/bXHnQFY0_normal.jpg</v>
      </c>
      <c r="AW1777" s="80" t="s">
        <v>17644</v>
      </c>
      <c r="AX1777" s="80" t="s">
        <v>17644</v>
      </c>
      <c r="AY1777" s="77"/>
      <c r="AZ1777" s="80" t="s">
        <v>20380</v>
      </c>
      <c r="BA1777" s="80" t="s">
        <v>20380</v>
      </c>
      <c r="BB1777" s="80" t="s">
        <v>20380</v>
      </c>
      <c r="BC1777" s="80" t="s">
        <v>17644</v>
      </c>
      <c r="BD1777" s="77">
        <v>51150679</v>
      </c>
      <c r="BE1777" s="77"/>
      <c r="BF1777" s="77"/>
      <c r="BG1777" s="77"/>
      <c r="BH1777" s="77"/>
      <c r="BI1777" s="77"/>
    </row>
    <row r="1778" spans="1:61" x14ac:dyDescent="0.25">
      <c r="A1778" s="62" t="s">
        <v>790</v>
      </c>
      <c r="B1778" s="62" t="s">
        <v>790</v>
      </c>
      <c r="C1778" s="63"/>
      <c r="D1778" s="64"/>
      <c r="E1778" s="65"/>
      <c r="F1778" s="66"/>
      <c r="G1778" s="63"/>
      <c r="H1778" s="67"/>
      <c r="I1778" s="68"/>
      <c r="J1778" s="68"/>
      <c r="K1778" s="32"/>
      <c r="L1778" s="75">
        <v>1778</v>
      </c>
      <c r="M1778" s="75"/>
      <c r="N1778" s="70"/>
      <c r="O1778" s="77" t="s">
        <v>179</v>
      </c>
      <c r="P1778" s="79">
        <v>45132.500810185185</v>
      </c>
      <c r="Q1778" s="77" t="s">
        <v>3674</v>
      </c>
      <c r="R1778" s="77">
        <v>0</v>
      </c>
      <c r="S1778" s="77">
        <v>6</v>
      </c>
      <c r="T1778" s="77">
        <v>2</v>
      </c>
      <c r="U1778" s="77">
        <v>0</v>
      </c>
      <c r="V1778" s="77">
        <v>1250</v>
      </c>
      <c r="W1778" s="80" t="s">
        <v>6957</v>
      </c>
      <c r="X1778" s="83" t="str">
        <f>HYPERLINK("https://www.moneytimes.com.br/mercado-volta-a-reduzir-projecoes-de-inflacao-confira-o-focus-desta-terca-25/")</f>
        <v>https://www.moneytimes.com.br/mercado-volta-a-reduzir-projecoes-de-inflacao-confira-o-focus-desta-terca-25/</v>
      </c>
      <c r="Y1778" s="77" t="s">
        <v>8611</v>
      </c>
      <c r="Z1778" s="77"/>
      <c r="AA1778" s="77"/>
      <c r="AB1778" s="77"/>
      <c r="AC1778" s="80" t="s">
        <v>10558</v>
      </c>
      <c r="AD1778" s="77" t="s">
        <v>10617</v>
      </c>
      <c r="AE1778" s="83" t="str">
        <f>HYPERLINK("https://twitter.com/leiamoneytimes/status/1683809614586843137")</f>
        <v>https://twitter.com/leiamoneytimes/status/1683809614586843137</v>
      </c>
      <c r="AF1778" s="79">
        <v>45132.500810185185</v>
      </c>
      <c r="AG1778" s="85">
        <v>45132</v>
      </c>
      <c r="AH1778" s="80" t="s">
        <v>12205</v>
      </c>
      <c r="AI1778" s="77" t="b">
        <v>0</v>
      </c>
      <c r="AJ1778" s="77"/>
      <c r="AK1778" s="77"/>
      <c r="AL1778" s="77"/>
      <c r="AM1778" s="77"/>
      <c r="AN1778" s="77"/>
      <c r="AO1778" s="77"/>
      <c r="AP1778" s="77"/>
      <c r="AQ1778" s="77"/>
      <c r="AR1778" s="77"/>
      <c r="AS1778" s="77"/>
      <c r="AT1778" s="77"/>
      <c r="AU1778" s="77"/>
      <c r="AV1778" s="83" t="str">
        <f>HYPERLINK("https://pbs.twimg.com/profile_images/1559883556846977024/bXHnQFY0_normal.jpg")</f>
        <v>https://pbs.twimg.com/profile_images/1559883556846977024/bXHnQFY0_normal.jpg</v>
      </c>
      <c r="AW1778" s="80" t="s">
        <v>17645</v>
      </c>
      <c r="AX1778" s="80" t="s">
        <v>17645</v>
      </c>
      <c r="AY1778" s="77"/>
      <c r="AZ1778" s="80" t="s">
        <v>20380</v>
      </c>
      <c r="BA1778" s="80" t="s">
        <v>20380</v>
      </c>
      <c r="BB1778" s="80" t="s">
        <v>20380</v>
      </c>
      <c r="BC1778" s="80" t="s">
        <v>17645</v>
      </c>
      <c r="BD1778" s="77">
        <v>51150679</v>
      </c>
      <c r="BE1778" s="77"/>
      <c r="BF1778" s="77"/>
      <c r="BG1778" s="77"/>
      <c r="BH1778" s="77"/>
      <c r="BI1778" s="77"/>
    </row>
    <row r="1779" spans="1:61" x14ac:dyDescent="0.25">
      <c r="A1779" s="62" t="s">
        <v>790</v>
      </c>
      <c r="B1779" s="62" t="s">
        <v>790</v>
      </c>
      <c r="C1779" s="63"/>
      <c r="D1779" s="64"/>
      <c r="E1779" s="65"/>
      <c r="F1779" s="66"/>
      <c r="G1779" s="63"/>
      <c r="H1779" s="67"/>
      <c r="I1779" s="68"/>
      <c r="J1779" s="68"/>
      <c r="K1779" s="32"/>
      <c r="L1779" s="75">
        <v>1779</v>
      </c>
      <c r="M1779" s="75"/>
      <c r="N1779" s="70"/>
      <c r="O1779" s="77" t="s">
        <v>179</v>
      </c>
      <c r="P1779" s="79">
        <v>45132.465833333335</v>
      </c>
      <c r="Q1779" s="77" t="s">
        <v>3675</v>
      </c>
      <c r="R1779" s="77">
        <v>2</v>
      </c>
      <c r="S1779" s="77">
        <v>3</v>
      </c>
      <c r="T1779" s="77">
        <v>2</v>
      </c>
      <c r="U1779" s="77">
        <v>0</v>
      </c>
      <c r="V1779" s="77">
        <v>1819</v>
      </c>
      <c r="W1779" s="80" t="s">
        <v>6927</v>
      </c>
      <c r="X1779" s="83" t="str">
        <f>HYPERLINK("https://www.moneytimes.com.br/agenda-do-dia-campos-neto-25-07-2023/")</f>
        <v>https://www.moneytimes.com.br/agenda-do-dia-campos-neto-25-07-2023/</v>
      </c>
      <c r="Y1779" s="77" t="s">
        <v>8611</v>
      </c>
      <c r="Z1779" s="77"/>
      <c r="AA1779" s="77"/>
      <c r="AB1779" s="77"/>
      <c r="AC1779" s="80" t="s">
        <v>10558</v>
      </c>
      <c r="AD1779" s="77" t="s">
        <v>10617</v>
      </c>
      <c r="AE1779" s="83" t="str">
        <f>HYPERLINK("https://twitter.com/leiamoneytimes/status/1683796938104217601")</f>
        <v>https://twitter.com/leiamoneytimes/status/1683796938104217601</v>
      </c>
      <c r="AF1779" s="79">
        <v>45132.465833333335</v>
      </c>
      <c r="AG1779" s="85">
        <v>45132</v>
      </c>
      <c r="AH1779" s="80" t="s">
        <v>12206</v>
      </c>
      <c r="AI1779" s="77" t="b">
        <v>0</v>
      </c>
      <c r="AJ1779" s="77"/>
      <c r="AK1779" s="77"/>
      <c r="AL1779" s="77"/>
      <c r="AM1779" s="77"/>
      <c r="AN1779" s="77"/>
      <c r="AO1779" s="77"/>
      <c r="AP1779" s="77"/>
      <c r="AQ1779" s="77"/>
      <c r="AR1779" s="77"/>
      <c r="AS1779" s="77"/>
      <c r="AT1779" s="77"/>
      <c r="AU1779" s="77"/>
      <c r="AV1779" s="83" t="str">
        <f>HYPERLINK("https://pbs.twimg.com/profile_images/1559883556846977024/bXHnQFY0_normal.jpg")</f>
        <v>https://pbs.twimg.com/profile_images/1559883556846977024/bXHnQFY0_normal.jpg</v>
      </c>
      <c r="AW1779" s="80" t="s">
        <v>17646</v>
      </c>
      <c r="AX1779" s="80" t="s">
        <v>17646</v>
      </c>
      <c r="AY1779" s="77"/>
      <c r="AZ1779" s="80" t="s">
        <v>20380</v>
      </c>
      <c r="BA1779" s="80" t="s">
        <v>20380</v>
      </c>
      <c r="BB1779" s="80" t="s">
        <v>20380</v>
      </c>
      <c r="BC1779" s="80" t="s">
        <v>17646</v>
      </c>
      <c r="BD1779" s="77">
        <v>51150679</v>
      </c>
      <c r="BE1779" s="77"/>
      <c r="BF1779" s="77"/>
      <c r="BG1779" s="77"/>
      <c r="BH1779" s="77"/>
      <c r="BI1779" s="77"/>
    </row>
    <row r="1780" spans="1:61" x14ac:dyDescent="0.25">
      <c r="A1780" s="62" t="s">
        <v>790</v>
      </c>
      <c r="B1780" s="62" t="s">
        <v>790</v>
      </c>
      <c r="C1780" s="63"/>
      <c r="D1780" s="64"/>
      <c r="E1780" s="65"/>
      <c r="F1780" s="66"/>
      <c r="G1780" s="63"/>
      <c r="H1780" s="67"/>
      <c r="I1780" s="68"/>
      <c r="J1780" s="68"/>
      <c r="K1780" s="32"/>
      <c r="L1780" s="75">
        <v>1780</v>
      </c>
      <c r="M1780" s="75"/>
      <c r="N1780" s="70"/>
      <c r="O1780" s="77" t="s">
        <v>179</v>
      </c>
      <c r="P1780" s="79">
        <v>45131.789282407408</v>
      </c>
      <c r="Q1780" s="77" t="s">
        <v>3676</v>
      </c>
      <c r="R1780" s="77">
        <v>1</v>
      </c>
      <c r="S1780" s="77">
        <v>9</v>
      </c>
      <c r="T1780" s="77">
        <v>1</v>
      </c>
      <c r="U1780" s="77">
        <v>0</v>
      </c>
      <c r="V1780" s="77">
        <v>1531</v>
      </c>
      <c r="W1780" s="80" t="s">
        <v>7057</v>
      </c>
      <c r="X1780" s="83" t="str">
        <f>HYPERLINK("https://www.moneytimes.com.br/selic-a-1325-em-agosto-aumenta-aposta-de-corte-de-juro-em-05-ponto-percentual/")</f>
        <v>https://www.moneytimes.com.br/selic-a-1325-em-agosto-aumenta-aposta-de-corte-de-juro-em-05-ponto-percentual/</v>
      </c>
      <c r="Y1780" s="77" t="s">
        <v>8611</v>
      </c>
      <c r="Z1780" s="77"/>
      <c r="AA1780" s="77"/>
      <c r="AB1780" s="77"/>
      <c r="AC1780" s="80" t="s">
        <v>10558</v>
      </c>
      <c r="AD1780" s="77" t="s">
        <v>10617</v>
      </c>
      <c r="AE1780" s="83" t="str">
        <f>HYPERLINK("https://twitter.com/leiamoneytimes/status/1683551767533944834")</f>
        <v>https://twitter.com/leiamoneytimes/status/1683551767533944834</v>
      </c>
      <c r="AF1780" s="79">
        <v>45131.789282407408</v>
      </c>
      <c r="AG1780" s="85">
        <v>45131</v>
      </c>
      <c r="AH1780" s="80" t="s">
        <v>12207</v>
      </c>
      <c r="AI1780" s="77" t="b">
        <v>0</v>
      </c>
      <c r="AJ1780" s="77"/>
      <c r="AK1780" s="77"/>
      <c r="AL1780" s="77"/>
      <c r="AM1780" s="77"/>
      <c r="AN1780" s="77"/>
      <c r="AO1780" s="77"/>
      <c r="AP1780" s="77"/>
      <c r="AQ1780" s="77"/>
      <c r="AR1780" s="77"/>
      <c r="AS1780" s="77"/>
      <c r="AT1780" s="77"/>
      <c r="AU1780" s="77"/>
      <c r="AV1780" s="83" t="str">
        <f>HYPERLINK("https://pbs.twimg.com/profile_images/1559883556846977024/bXHnQFY0_normal.jpg")</f>
        <v>https://pbs.twimg.com/profile_images/1559883556846977024/bXHnQFY0_normal.jpg</v>
      </c>
      <c r="AW1780" s="80" t="s">
        <v>17647</v>
      </c>
      <c r="AX1780" s="80" t="s">
        <v>17647</v>
      </c>
      <c r="AY1780" s="77"/>
      <c r="AZ1780" s="80" t="s">
        <v>20380</v>
      </c>
      <c r="BA1780" s="80" t="s">
        <v>20380</v>
      </c>
      <c r="BB1780" s="80" t="s">
        <v>20380</v>
      </c>
      <c r="BC1780" s="80" t="s">
        <v>17647</v>
      </c>
      <c r="BD1780" s="77">
        <v>51150679</v>
      </c>
      <c r="BE1780" s="77"/>
      <c r="BF1780" s="77"/>
      <c r="BG1780" s="77"/>
      <c r="BH1780" s="77"/>
      <c r="BI1780" s="77"/>
    </row>
    <row r="1781" spans="1:61" x14ac:dyDescent="0.25">
      <c r="A1781" s="62" t="s">
        <v>790</v>
      </c>
      <c r="B1781" s="62" t="s">
        <v>790</v>
      </c>
      <c r="C1781" s="63"/>
      <c r="D1781" s="64"/>
      <c r="E1781" s="65"/>
      <c r="F1781" s="66"/>
      <c r="G1781" s="63"/>
      <c r="H1781" s="67"/>
      <c r="I1781" s="68"/>
      <c r="J1781" s="68"/>
      <c r="K1781" s="32"/>
      <c r="L1781" s="75">
        <v>1781</v>
      </c>
      <c r="M1781" s="75"/>
      <c r="N1781" s="70"/>
      <c r="O1781" s="77" t="s">
        <v>179</v>
      </c>
      <c r="P1781" s="79">
        <v>45131.532777777778</v>
      </c>
      <c r="Q1781" s="77" t="s">
        <v>3677</v>
      </c>
      <c r="R1781" s="77">
        <v>0</v>
      </c>
      <c r="S1781" s="77">
        <v>0</v>
      </c>
      <c r="T1781" s="77">
        <v>1</v>
      </c>
      <c r="U1781" s="77">
        <v>0</v>
      </c>
      <c r="V1781" s="77">
        <v>1011</v>
      </c>
      <c r="W1781" s="80" t="s">
        <v>6934</v>
      </c>
      <c r="X1781" s="83" t="str">
        <f>HYPERLINK("https://www.moneytimes.com.br/por-que-o-banco-central-nao-publicou-o-relatorio-focus-nesta-segunda-24/")</f>
        <v>https://www.moneytimes.com.br/por-que-o-banco-central-nao-publicou-o-relatorio-focus-nesta-segunda-24/</v>
      </c>
      <c r="Y1781" s="77" t="s">
        <v>8611</v>
      </c>
      <c r="Z1781" s="77"/>
      <c r="AA1781" s="77"/>
      <c r="AB1781" s="77"/>
      <c r="AC1781" s="80" t="s">
        <v>10558</v>
      </c>
      <c r="AD1781" s="77" t="s">
        <v>10617</v>
      </c>
      <c r="AE1781" s="83" t="str">
        <f>HYPERLINK("https://twitter.com/leiamoneytimes/status/1683458810281705473")</f>
        <v>https://twitter.com/leiamoneytimes/status/1683458810281705473</v>
      </c>
      <c r="AF1781" s="79">
        <v>45131.532777777778</v>
      </c>
      <c r="AG1781" s="85">
        <v>45131</v>
      </c>
      <c r="AH1781" s="80" t="s">
        <v>12208</v>
      </c>
      <c r="AI1781" s="77" t="b">
        <v>0</v>
      </c>
      <c r="AJ1781" s="77"/>
      <c r="AK1781" s="77"/>
      <c r="AL1781" s="77"/>
      <c r="AM1781" s="77"/>
      <c r="AN1781" s="77"/>
      <c r="AO1781" s="77"/>
      <c r="AP1781" s="77"/>
      <c r="AQ1781" s="77"/>
      <c r="AR1781" s="77"/>
      <c r="AS1781" s="77"/>
      <c r="AT1781" s="77"/>
      <c r="AU1781" s="77"/>
      <c r="AV1781" s="83" t="str">
        <f>HYPERLINK("https://pbs.twimg.com/profile_images/1559883556846977024/bXHnQFY0_normal.jpg")</f>
        <v>https://pbs.twimg.com/profile_images/1559883556846977024/bXHnQFY0_normal.jpg</v>
      </c>
      <c r="AW1781" s="80" t="s">
        <v>17648</v>
      </c>
      <c r="AX1781" s="80" t="s">
        <v>17648</v>
      </c>
      <c r="AY1781" s="77"/>
      <c r="AZ1781" s="80" t="s">
        <v>20380</v>
      </c>
      <c r="BA1781" s="80" t="s">
        <v>20380</v>
      </c>
      <c r="BB1781" s="80" t="s">
        <v>20380</v>
      </c>
      <c r="BC1781" s="80" t="s">
        <v>17648</v>
      </c>
      <c r="BD1781" s="77">
        <v>51150679</v>
      </c>
      <c r="BE1781" s="77"/>
      <c r="BF1781" s="77"/>
      <c r="BG1781" s="77"/>
      <c r="BH1781" s="77"/>
      <c r="BI1781" s="77"/>
    </row>
    <row r="1782" spans="1:61" x14ac:dyDescent="0.25">
      <c r="A1782" s="62" t="s">
        <v>790</v>
      </c>
      <c r="B1782" s="62" t="s">
        <v>790</v>
      </c>
      <c r="C1782" s="63"/>
      <c r="D1782" s="64"/>
      <c r="E1782" s="65"/>
      <c r="F1782" s="66"/>
      <c r="G1782" s="63"/>
      <c r="H1782" s="67"/>
      <c r="I1782" s="68"/>
      <c r="J1782" s="68"/>
      <c r="K1782" s="32"/>
      <c r="L1782" s="75">
        <v>1782</v>
      </c>
      <c r="M1782" s="75"/>
      <c r="N1782" s="70"/>
      <c r="O1782" s="77" t="s">
        <v>179</v>
      </c>
      <c r="P1782" s="79">
        <v>45131.464641203704</v>
      </c>
      <c r="Q1782" s="77" t="s">
        <v>3678</v>
      </c>
      <c r="R1782" s="77">
        <v>0</v>
      </c>
      <c r="S1782" s="77">
        <v>3</v>
      </c>
      <c r="T1782" s="77">
        <v>1</v>
      </c>
      <c r="U1782" s="77">
        <v>0</v>
      </c>
      <c r="V1782" s="77">
        <v>1270</v>
      </c>
      <c r="W1782" s="80" t="s">
        <v>6927</v>
      </c>
      <c r="X1782" s="83" t="str">
        <f>HYPERLINK("https://www.moneytimes.com.br/agenda-do-dia-empresarios-haddad-24-07-2023/")</f>
        <v>https://www.moneytimes.com.br/agenda-do-dia-empresarios-haddad-24-07-2023/</v>
      </c>
      <c r="Y1782" s="77" t="s">
        <v>8611</v>
      </c>
      <c r="Z1782" s="77"/>
      <c r="AA1782" s="77"/>
      <c r="AB1782" s="77"/>
      <c r="AC1782" s="80" t="s">
        <v>10558</v>
      </c>
      <c r="AD1782" s="77" t="s">
        <v>10617</v>
      </c>
      <c r="AE1782" s="83" t="str">
        <f>HYPERLINK("https://twitter.com/leiamoneytimes/status/1683434119810756611")</f>
        <v>https://twitter.com/leiamoneytimes/status/1683434119810756611</v>
      </c>
      <c r="AF1782" s="79">
        <v>45131.464641203704</v>
      </c>
      <c r="AG1782" s="85">
        <v>45131</v>
      </c>
      <c r="AH1782" s="80" t="s">
        <v>12209</v>
      </c>
      <c r="AI1782" s="77" t="b">
        <v>0</v>
      </c>
      <c r="AJ1782" s="77"/>
      <c r="AK1782" s="77"/>
      <c r="AL1782" s="77"/>
      <c r="AM1782" s="77"/>
      <c r="AN1782" s="77"/>
      <c r="AO1782" s="77"/>
      <c r="AP1782" s="77"/>
      <c r="AQ1782" s="77"/>
      <c r="AR1782" s="77"/>
      <c r="AS1782" s="77"/>
      <c r="AT1782" s="77"/>
      <c r="AU1782" s="77"/>
      <c r="AV1782" s="83" t="str">
        <f>HYPERLINK("https://pbs.twimg.com/profile_images/1559883556846977024/bXHnQFY0_normal.jpg")</f>
        <v>https://pbs.twimg.com/profile_images/1559883556846977024/bXHnQFY0_normal.jpg</v>
      </c>
      <c r="AW1782" s="80" t="s">
        <v>17649</v>
      </c>
      <c r="AX1782" s="80" t="s">
        <v>17649</v>
      </c>
      <c r="AY1782" s="77"/>
      <c r="AZ1782" s="80" t="s">
        <v>20380</v>
      </c>
      <c r="BA1782" s="80" t="s">
        <v>20380</v>
      </c>
      <c r="BB1782" s="80" t="s">
        <v>20380</v>
      </c>
      <c r="BC1782" s="80" t="s">
        <v>17649</v>
      </c>
      <c r="BD1782" s="77">
        <v>51150679</v>
      </c>
      <c r="BE1782" s="77"/>
      <c r="BF1782" s="77"/>
      <c r="BG1782" s="77"/>
      <c r="BH1782" s="77"/>
      <c r="BI1782" s="77"/>
    </row>
    <row r="1783" spans="1:61" x14ac:dyDescent="0.25">
      <c r="A1783" s="62" t="s">
        <v>790</v>
      </c>
      <c r="B1783" s="62" t="s">
        <v>790</v>
      </c>
      <c r="C1783" s="63"/>
      <c r="D1783" s="64"/>
      <c r="E1783" s="65"/>
      <c r="F1783" s="66"/>
      <c r="G1783" s="63"/>
      <c r="H1783" s="67"/>
      <c r="I1783" s="68"/>
      <c r="J1783" s="68"/>
      <c r="K1783" s="32"/>
      <c r="L1783" s="75">
        <v>1783</v>
      </c>
      <c r="M1783" s="75"/>
      <c r="N1783" s="70"/>
      <c r="O1783" s="77" t="s">
        <v>179</v>
      </c>
      <c r="P1783" s="79">
        <v>45131.435833333337</v>
      </c>
      <c r="Q1783" s="77" t="s">
        <v>3679</v>
      </c>
      <c r="R1783" s="77">
        <v>0</v>
      </c>
      <c r="S1783" s="77">
        <v>4</v>
      </c>
      <c r="T1783" s="77">
        <v>1</v>
      </c>
      <c r="U1783" s="77">
        <v>0</v>
      </c>
      <c r="V1783" s="77">
        <v>1110</v>
      </c>
      <c r="W1783" s="80" t="s">
        <v>6929</v>
      </c>
      <c r="X1783" s="83" t="str">
        <f>HYPERLINK("https://www.moneytimes.com.br/morning-times-bolsas-mistas-fed-pce-24-07-2023/")</f>
        <v>https://www.moneytimes.com.br/morning-times-bolsas-mistas-fed-pce-24-07-2023/</v>
      </c>
      <c r="Y1783" s="77" t="s">
        <v>8611</v>
      </c>
      <c r="Z1783" s="77"/>
      <c r="AA1783" s="77"/>
      <c r="AB1783" s="77"/>
      <c r="AC1783" s="80" t="s">
        <v>10558</v>
      </c>
      <c r="AD1783" s="77" t="s">
        <v>10617</v>
      </c>
      <c r="AE1783" s="83" t="str">
        <f>HYPERLINK("https://twitter.com/leiamoneytimes/status/1683423679365955585")</f>
        <v>https://twitter.com/leiamoneytimes/status/1683423679365955585</v>
      </c>
      <c r="AF1783" s="79">
        <v>45131.435833333337</v>
      </c>
      <c r="AG1783" s="85">
        <v>45131</v>
      </c>
      <c r="AH1783" s="80" t="s">
        <v>12210</v>
      </c>
      <c r="AI1783" s="77" t="b">
        <v>0</v>
      </c>
      <c r="AJ1783" s="77"/>
      <c r="AK1783" s="77"/>
      <c r="AL1783" s="77"/>
      <c r="AM1783" s="77"/>
      <c r="AN1783" s="77"/>
      <c r="AO1783" s="77"/>
      <c r="AP1783" s="77"/>
      <c r="AQ1783" s="77"/>
      <c r="AR1783" s="77"/>
      <c r="AS1783" s="77"/>
      <c r="AT1783" s="77"/>
      <c r="AU1783" s="77"/>
      <c r="AV1783" s="83" t="str">
        <f>HYPERLINK("https://pbs.twimg.com/profile_images/1559883556846977024/bXHnQFY0_normal.jpg")</f>
        <v>https://pbs.twimg.com/profile_images/1559883556846977024/bXHnQFY0_normal.jpg</v>
      </c>
      <c r="AW1783" s="80" t="s">
        <v>17650</v>
      </c>
      <c r="AX1783" s="80" t="s">
        <v>17650</v>
      </c>
      <c r="AY1783" s="77"/>
      <c r="AZ1783" s="80" t="s">
        <v>20380</v>
      </c>
      <c r="BA1783" s="80" t="s">
        <v>20380</v>
      </c>
      <c r="BB1783" s="80" t="s">
        <v>20380</v>
      </c>
      <c r="BC1783" s="80" t="s">
        <v>17650</v>
      </c>
      <c r="BD1783" s="77">
        <v>51150679</v>
      </c>
      <c r="BE1783" s="77"/>
      <c r="BF1783" s="77"/>
      <c r="BG1783" s="77"/>
      <c r="BH1783" s="77"/>
      <c r="BI1783" s="77"/>
    </row>
    <row r="1784" spans="1:61" x14ac:dyDescent="0.25">
      <c r="A1784" s="62" t="s">
        <v>790</v>
      </c>
      <c r="B1784" s="62" t="s">
        <v>790</v>
      </c>
      <c r="C1784" s="63"/>
      <c r="D1784" s="64"/>
      <c r="E1784" s="65"/>
      <c r="F1784" s="66"/>
      <c r="G1784" s="63"/>
      <c r="H1784" s="67"/>
      <c r="I1784" s="68"/>
      <c r="J1784" s="68"/>
      <c r="K1784" s="32"/>
      <c r="L1784" s="75">
        <v>1784</v>
      </c>
      <c r="M1784" s="75"/>
      <c r="N1784" s="70"/>
      <c r="O1784" s="77" t="s">
        <v>179</v>
      </c>
      <c r="P1784" s="79">
        <v>45106.126076388886</v>
      </c>
      <c r="Q1784" s="77" t="s">
        <v>3680</v>
      </c>
      <c r="R1784" s="77">
        <v>1</v>
      </c>
      <c r="S1784" s="77">
        <v>6</v>
      </c>
      <c r="T1784" s="77">
        <v>5</v>
      </c>
      <c r="U1784" s="77">
        <v>0</v>
      </c>
      <c r="V1784" s="77">
        <v>1268</v>
      </c>
      <c r="W1784" s="80" t="s">
        <v>6285</v>
      </c>
      <c r="X1784" s="83" t="str">
        <f>HYPERLINK("https://www.moneytimes.com.br/meta-de-inflacao-haddad-descarta-mudar-meta-de-2024-e-2025-mas-defende-prazos-maiores/")</f>
        <v>https://www.moneytimes.com.br/meta-de-inflacao-haddad-descarta-mudar-meta-de-2024-e-2025-mas-defende-prazos-maiores/</v>
      </c>
      <c r="Y1784" s="77" t="s">
        <v>8611</v>
      </c>
      <c r="Z1784" s="77"/>
      <c r="AA1784" s="77"/>
      <c r="AB1784" s="77"/>
      <c r="AC1784" s="80" t="s">
        <v>10558</v>
      </c>
      <c r="AD1784" s="77" t="s">
        <v>10617</v>
      </c>
      <c r="AE1784" s="83" t="str">
        <f>HYPERLINK("https://twitter.com/leiamoneytimes/status/1674251730874253314")</f>
        <v>https://twitter.com/leiamoneytimes/status/1674251730874253314</v>
      </c>
      <c r="AF1784" s="79">
        <v>45106.126076388886</v>
      </c>
      <c r="AG1784" s="85">
        <v>45106</v>
      </c>
      <c r="AH1784" s="80" t="s">
        <v>12211</v>
      </c>
      <c r="AI1784" s="77" t="b">
        <v>0</v>
      </c>
      <c r="AJ1784" s="77"/>
      <c r="AK1784" s="77"/>
      <c r="AL1784" s="77"/>
      <c r="AM1784" s="77"/>
      <c r="AN1784" s="77"/>
      <c r="AO1784" s="77"/>
      <c r="AP1784" s="77"/>
      <c r="AQ1784" s="77"/>
      <c r="AR1784" s="77"/>
      <c r="AS1784" s="77"/>
      <c r="AT1784" s="77"/>
      <c r="AU1784" s="77"/>
      <c r="AV1784" s="83" t="str">
        <f>HYPERLINK("https://pbs.twimg.com/profile_images/1559883556846977024/bXHnQFY0_normal.jpg")</f>
        <v>https://pbs.twimg.com/profile_images/1559883556846977024/bXHnQFY0_normal.jpg</v>
      </c>
      <c r="AW1784" s="80" t="s">
        <v>17651</v>
      </c>
      <c r="AX1784" s="80" t="s">
        <v>17651</v>
      </c>
      <c r="AY1784" s="77"/>
      <c r="AZ1784" s="80" t="s">
        <v>20380</v>
      </c>
      <c r="BA1784" s="80" t="s">
        <v>20380</v>
      </c>
      <c r="BB1784" s="80" t="s">
        <v>20380</v>
      </c>
      <c r="BC1784" s="80" t="s">
        <v>17651</v>
      </c>
      <c r="BD1784" s="77">
        <v>51150679</v>
      </c>
      <c r="BE1784" s="77"/>
      <c r="BF1784" s="77"/>
      <c r="BG1784" s="77"/>
      <c r="BH1784" s="77"/>
      <c r="BI1784" s="77"/>
    </row>
    <row r="1785" spans="1:61" x14ac:dyDescent="0.25">
      <c r="A1785" s="62" t="s">
        <v>790</v>
      </c>
      <c r="B1785" s="62" t="s">
        <v>790</v>
      </c>
      <c r="C1785" s="63"/>
      <c r="D1785" s="64"/>
      <c r="E1785" s="65"/>
      <c r="F1785" s="66"/>
      <c r="G1785" s="63"/>
      <c r="H1785" s="67"/>
      <c r="I1785" s="68"/>
      <c r="J1785" s="68"/>
      <c r="K1785" s="32"/>
      <c r="L1785" s="75">
        <v>1785</v>
      </c>
      <c r="M1785" s="75"/>
      <c r="N1785" s="70"/>
      <c r="O1785" s="77" t="s">
        <v>179</v>
      </c>
      <c r="P1785" s="79">
        <v>45105.974247685182</v>
      </c>
      <c r="Q1785" s="77" t="s">
        <v>3681</v>
      </c>
      <c r="R1785" s="77">
        <v>1</v>
      </c>
      <c r="S1785" s="77">
        <v>15</v>
      </c>
      <c r="T1785" s="77">
        <v>2</v>
      </c>
      <c r="U1785" s="77">
        <v>0</v>
      </c>
      <c r="V1785" s="77">
        <v>1635</v>
      </c>
      <c r="W1785" s="80" t="s">
        <v>7058</v>
      </c>
      <c r="X1785" s="83" t="str">
        <f>HYPERLINK("https://www.moneytimes.com.br/selic-abaixo-de-12-em-dezembro-para-mansueto-almeida-do-btg-pactual-e-possivel/")</f>
        <v>https://www.moneytimes.com.br/selic-abaixo-de-12-em-dezembro-para-mansueto-almeida-do-btg-pactual-e-possivel/</v>
      </c>
      <c r="Y1785" s="77" t="s">
        <v>8611</v>
      </c>
      <c r="Z1785" s="77"/>
      <c r="AA1785" s="77"/>
      <c r="AB1785" s="77"/>
      <c r="AC1785" s="80" t="s">
        <v>10558</v>
      </c>
      <c r="AD1785" s="77" t="s">
        <v>10617</v>
      </c>
      <c r="AE1785" s="83" t="str">
        <f>HYPERLINK("https://twitter.com/leiamoneytimes/status/1674196710094938114")</f>
        <v>https://twitter.com/leiamoneytimes/status/1674196710094938114</v>
      </c>
      <c r="AF1785" s="79">
        <v>45105.974247685182</v>
      </c>
      <c r="AG1785" s="85">
        <v>45105</v>
      </c>
      <c r="AH1785" s="80" t="s">
        <v>12212</v>
      </c>
      <c r="AI1785" s="77" t="b">
        <v>0</v>
      </c>
      <c r="AJ1785" s="77"/>
      <c r="AK1785" s="77"/>
      <c r="AL1785" s="77"/>
      <c r="AM1785" s="77"/>
      <c r="AN1785" s="77"/>
      <c r="AO1785" s="77"/>
      <c r="AP1785" s="77"/>
      <c r="AQ1785" s="77"/>
      <c r="AR1785" s="77"/>
      <c r="AS1785" s="77"/>
      <c r="AT1785" s="77"/>
      <c r="AU1785" s="77"/>
      <c r="AV1785" s="83" t="str">
        <f>HYPERLINK("https://pbs.twimg.com/profile_images/1559883556846977024/bXHnQFY0_normal.jpg")</f>
        <v>https://pbs.twimg.com/profile_images/1559883556846977024/bXHnQFY0_normal.jpg</v>
      </c>
      <c r="AW1785" s="80" t="s">
        <v>17652</v>
      </c>
      <c r="AX1785" s="80" t="s">
        <v>17652</v>
      </c>
      <c r="AY1785" s="77"/>
      <c r="AZ1785" s="80" t="s">
        <v>20380</v>
      </c>
      <c r="BA1785" s="80" t="s">
        <v>20380</v>
      </c>
      <c r="BB1785" s="80" t="s">
        <v>20380</v>
      </c>
      <c r="BC1785" s="80" t="s">
        <v>17652</v>
      </c>
      <c r="BD1785" s="77">
        <v>51150679</v>
      </c>
      <c r="BE1785" s="77"/>
      <c r="BF1785" s="77"/>
      <c r="BG1785" s="77"/>
      <c r="BH1785" s="77"/>
      <c r="BI1785" s="77"/>
    </row>
    <row r="1786" spans="1:61" x14ac:dyDescent="0.25">
      <c r="A1786" s="62" t="s">
        <v>790</v>
      </c>
      <c r="B1786" s="62" t="s">
        <v>790</v>
      </c>
      <c r="C1786" s="63"/>
      <c r="D1786" s="64"/>
      <c r="E1786" s="65"/>
      <c r="F1786" s="66"/>
      <c r="G1786" s="63"/>
      <c r="H1786" s="67"/>
      <c r="I1786" s="68"/>
      <c r="J1786" s="68"/>
      <c r="K1786" s="32"/>
      <c r="L1786" s="75">
        <v>1786</v>
      </c>
      <c r="M1786" s="75"/>
      <c r="N1786" s="70"/>
      <c r="O1786" s="77" t="s">
        <v>179</v>
      </c>
      <c r="P1786" s="79">
        <v>45105.76421296296</v>
      </c>
      <c r="Q1786" s="77" t="s">
        <v>3682</v>
      </c>
      <c r="R1786" s="77">
        <v>0</v>
      </c>
      <c r="S1786" s="77">
        <v>1</v>
      </c>
      <c r="T1786" s="77">
        <v>1</v>
      </c>
      <c r="U1786" s="77">
        <v>0</v>
      </c>
      <c r="V1786" s="77">
        <v>1031</v>
      </c>
      <c r="W1786" s="80" t="s">
        <v>6945</v>
      </c>
      <c r="X1786" s="83" t="str">
        <f>HYPERLINK("https://www.moneytimes.com.br/o-que-e-meta-de-inflacao-entenda-como-funciona-o-sistema-e-o-que-pode-mudar/")</f>
        <v>https://www.moneytimes.com.br/o-que-e-meta-de-inflacao-entenda-como-funciona-o-sistema-e-o-que-pode-mudar/</v>
      </c>
      <c r="Y1786" s="77" t="s">
        <v>8611</v>
      </c>
      <c r="Z1786" s="77"/>
      <c r="AA1786" s="77"/>
      <c r="AB1786" s="77"/>
      <c r="AC1786" s="80" t="s">
        <v>10558</v>
      </c>
      <c r="AD1786" s="77" t="s">
        <v>10617</v>
      </c>
      <c r="AE1786" s="83" t="str">
        <f>HYPERLINK("https://twitter.com/leiamoneytimes/status/1674120596475596800")</f>
        <v>https://twitter.com/leiamoneytimes/status/1674120596475596800</v>
      </c>
      <c r="AF1786" s="79">
        <v>45105.76421296296</v>
      </c>
      <c r="AG1786" s="85">
        <v>45105</v>
      </c>
      <c r="AH1786" s="80" t="s">
        <v>12213</v>
      </c>
      <c r="AI1786" s="77" t="b">
        <v>0</v>
      </c>
      <c r="AJ1786" s="77"/>
      <c r="AK1786" s="77"/>
      <c r="AL1786" s="77"/>
      <c r="AM1786" s="77"/>
      <c r="AN1786" s="77"/>
      <c r="AO1786" s="77"/>
      <c r="AP1786" s="77"/>
      <c r="AQ1786" s="77"/>
      <c r="AR1786" s="77"/>
      <c r="AS1786" s="77"/>
      <c r="AT1786" s="77"/>
      <c r="AU1786" s="77"/>
      <c r="AV1786" s="83" t="str">
        <f>HYPERLINK("https://pbs.twimg.com/profile_images/1559883556846977024/bXHnQFY0_normal.jpg")</f>
        <v>https://pbs.twimg.com/profile_images/1559883556846977024/bXHnQFY0_normal.jpg</v>
      </c>
      <c r="AW1786" s="80" t="s">
        <v>17653</v>
      </c>
      <c r="AX1786" s="80" t="s">
        <v>17653</v>
      </c>
      <c r="AY1786" s="77"/>
      <c r="AZ1786" s="80" t="s">
        <v>20380</v>
      </c>
      <c r="BA1786" s="80" t="s">
        <v>20380</v>
      </c>
      <c r="BB1786" s="80" t="s">
        <v>20380</v>
      </c>
      <c r="BC1786" s="80" t="s">
        <v>17653</v>
      </c>
      <c r="BD1786" s="77">
        <v>51150679</v>
      </c>
      <c r="BE1786" s="77"/>
      <c r="BF1786" s="77"/>
      <c r="BG1786" s="77"/>
      <c r="BH1786" s="77"/>
      <c r="BI1786" s="77"/>
    </row>
    <row r="1787" spans="1:61" x14ac:dyDescent="0.25">
      <c r="A1787" s="62" t="s">
        <v>790</v>
      </c>
      <c r="B1787" s="62" t="s">
        <v>790</v>
      </c>
      <c r="C1787" s="63"/>
      <c r="D1787" s="64"/>
      <c r="E1787" s="65"/>
      <c r="F1787" s="66"/>
      <c r="G1787" s="63"/>
      <c r="H1787" s="67"/>
      <c r="I1787" s="68"/>
      <c r="J1787" s="68"/>
      <c r="K1787" s="32"/>
      <c r="L1787" s="75">
        <v>1787</v>
      </c>
      <c r="M1787" s="75"/>
      <c r="N1787" s="70"/>
      <c r="O1787" s="77" t="s">
        <v>179</v>
      </c>
      <c r="P1787" s="79">
        <v>45105.695555555554</v>
      </c>
      <c r="Q1787" s="77" t="s">
        <v>3683</v>
      </c>
      <c r="R1787" s="77">
        <v>0</v>
      </c>
      <c r="S1787" s="77">
        <v>4</v>
      </c>
      <c r="T1787" s="77">
        <v>1</v>
      </c>
      <c r="U1787" s="77">
        <v>0</v>
      </c>
      <c r="V1787" s="77">
        <v>1058</v>
      </c>
      <c r="W1787" s="80" t="s">
        <v>6272</v>
      </c>
      <c r="X1787" s="83" t="str">
        <f>HYPERLINK("https://www.moneytimes.com.br/reducao-da-selic-pior-cenario-e-cortar-e-ter-que-voltar-a-subir-diz-ex-bc-e-economista-do-itau/")</f>
        <v>https://www.moneytimes.com.br/reducao-da-selic-pior-cenario-e-cortar-e-ter-que-voltar-a-subir-diz-ex-bc-e-economista-do-itau/</v>
      </c>
      <c r="Y1787" s="77" t="s">
        <v>8611</v>
      </c>
      <c r="Z1787" s="77"/>
      <c r="AA1787" s="77"/>
      <c r="AB1787" s="77"/>
      <c r="AC1787" s="80" t="s">
        <v>10558</v>
      </c>
      <c r="AD1787" s="77" t="s">
        <v>10617</v>
      </c>
      <c r="AE1787" s="83" t="str">
        <f>HYPERLINK("https://twitter.com/leiamoneytimes/status/1674095715260170248")</f>
        <v>https://twitter.com/leiamoneytimes/status/1674095715260170248</v>
      </c>
      <c r="AF1787" s="79">
        <v>45105.695555555554</v>
      </c>
      <c r="AG1787" s="85">
        <v>45105</v>
      </c>
      <c r="AH1787" s="80" t="s">
        <v>12214</v>
      </c>
      <c r="AI1787" s="77" t="b">
        <v>0</v>
      </c>
      <c r="AJ1787" s="77"/>
      <c r="AK1787" s="77"/>
      <c r="AL1787" s="77"/>
      <c r="AM1787" s="77"/>
      <c r="AN1787" s="77"/>
      <c r="AO1787" s="77"/>
      <c r="AP1787" s="77"/>
      <c r="AQ1787" s="77"/>
      <c r="AR1787" s="77"/>
      <c r="AS1787" s="77"/>
      <c r="AT1787" s="77"/>
      <c r="AU1787" s="77"/>
      <c r="AV1787" s="83" t="str">
        <f>HYPERLINK("https://pbs.twimg.com/profile_images/1559883556846977024/bXHnQFY0_normal.jpg")</f>
        <v>https://pbs.twimg.com/profile_images/1559883556846977024/bXHnQFY0_normal.jpg</v>
      </c>
      <c r="AW1787" s="80" t="s">
        <v>17654</v>
      </c>
      <c r="AX1787" s="80" t="s">
        <v>17654</v>
      </c>
      <c r="AY1787" s="77"/>
      <c r="AZ1787" s="80" t="s">
        <v>20380</v>
      </c>
      <c r="BA1787" s="80" t="s">
        <v>20380</v>
      </c>
      <c r="BB1787" s="80" t="s">
        <v>20380</v>
      </c>
      <c r="BC1787" s="80" t="s">
        <v>17654</v>
      </c>
      <c r="BD1787" s="77">
        <v>51150679</v>
      </c>
      <c r="BE1787" s="77"/>
      <c r="BF1787" s="77"/>
      <c r="BG1787" s="77"/>
      <c r="BH1787" s="77"/>
      <c r="BI1787" s="77"/>
    </row>
    <row r="1788" spans="1:61" x14ac:dyDescent="0.25">
      <c r="A1788" s="62" t="s">
        <v>790</v>
      </c>
      <c r="B1788" s="62" t="s">
        <v>790</v>
      </c>
      <c r="C1788" s="63"/>
      <c r="D1788" s="64"/>
      <c r="E1788" s="65"/>
      <c r="F1788" s="66"/>
      <c r="G1788" s="63"/>
      <c r="H1788" s="67"/>
      <c r="I1788" s="68"/>
      <c r="J1788" s="68"/>
      <c r="K1788" s="32"/>
      <c r="L1788" s="75">
        <v>1788</v>
      </c>
      <c r="M1788" s="75"/>
      <c r="N1788" s="70"/>
      <c r="O1788" s="77" t="s">
        <v>179</v>
      </c>
      <c r="P1788" s="79">
        <v>45105.628032407411</v>
      </c>
      <c r="Q1788" s="77" t="s">
        <v>3684</v>
      </c>
      <c r="R1788" s="77">
        <v>0</v>
      </c>
      <c r="S1788" s="77">
        <v>1</v>
      </c>
      <c r="T1788" s="77">
        <v>1</v>
      </c>
      <c r="U1788" s="77">
        <v>0</v>
      </c>
      <c r="V1788" s="77">
        <v>984</v>
      </c>
      <c r="W1788" s="80" t="s">
        <v>6272</v>
      </c>
      <c r="X1788" s="83" t="str">
        <f>HYPERLINK("https://www.moneytimes.com.br/copom-veja-o-calendario-de-reunioes-para-2024/")</f>
        <v>https://www.moneytimes.com.br/copom-veja-o-calendario-de-reunioes-para-2024/</v>
      </c>
      <c r="Y1788" s="77" t="s">
        <v>8611</v>
      </c>
      <c r="Z1788" s="77"/>
      <c r="AA1788" s="77"/>
      <c r="AB1788" s="77"/>
      <c r="AC1788" s="80" t="s">
        <v>10558</v>
      </c>
      <c r="AD1788" s="77" t="s">
        <v>10617</v>
      </c>
      <c r="AE1788" s="83" t="str">
        <f>HYPERLINK("https://twitter.com/leiamoneytimes/status/1674071247632596993")</f>
        <v>https://twitter.com/leiamoneytimes/status/1674071247632596993</v>
      </c>
      <c r="AF1788" s="79">
        <v>45105.628032407411</v>
      </c>
      <c r="AG1788" s="85">
        <v>45105</v>
      </c>
      <c r="AH1788" s="80" t="s">
        <v>12215</v>
      </c>
      <c r="AI1788" s="77" t="b">
        <v>0</v>
      </c>
      <c r="AJ1788" s="77"/>
      <c r="AK1788" s="77"/>
      <c r="AL1788" s="77"/>
      <c r="AM1788" s="77"/>
      <c r="AN1788" s="77"/>
      <c r="AO1788" s="77"/>
      <c r="AP1788" s="77"/>
      <c r="AQ1788" s="77"/>
      <c r="AR1788" s="77"/>
      <c r="AS1788" s="77"/>
      <c r="AT1788" s="77"/>
      <c r="AU1788" s="77"/>
      <c r="AV1788" s="83" t="str">
        <f>HYPERLINK("https://pbs.twimg.com/profile_images/1559883556846977024/bXHnQFY0_normal.jpg")</f>
        <v>https://pbs.twimg.com/profile_images/1559883556846977024/bXHnQFY0_normal.jpg</v>
      </c>
      <c r="AW1788" s="80" t="s">
        <v>17655</v>
      </c>
      <c r="AX1788" s="80" t="s">
        <v>17655</v>
      </c>
      <c r="AY1788" s="77"/>
      <c r="AZ1788" s="80" t="s">
        <v>20380</v>
      </c>
      <c r="BA1788" s="80" t="s">
        <v>20380</v>
      </c>
      <c r="BB1788" s="80" t="s">
        <v>20380</v>
      </c>
      <c r="BC1788" s="80" t="s">
        <v>17655</v>
      </c>
      <c r="BD1788" s="77">
        <v>51150679</v>
      </c>
      <c r="BE1788" s="77"/>
      <c r="BF1788" s="77"/>
      <c r="BG1788" s="77"/>
      <c r="BH1788" s="77"/>
      <c r="BI1788" s="77"/>
    </row>
    <row r="1789" spans="1:61" x14ac:dyDescent="0.25">
      <c r="A1789" s="62" t="s">
        <v>790</v>
      </c>
      <c r="B1789" s="62" t="s">
        <v>790</v>
      </c>
      <c r="C1789" s="63"/>
      <c r="D1789" s="64"/>
      <c r="E1789" s="65"/>
      <c r="F1789" s="66"/>
      <c r="G1789" s="63"/>
      <c r="H1789" s="67"/>
      <c r="I1789" s="68"/>
      <c r="J1789" s="68"/>
      <c r="K1789" s="32"/>
      <c r="L1789" s="75">
        <v>1789</v>
      </c>
      <c r="M1789" s="75"/>
      <c r="N1789" s="70"/>
      <c r="O1789" s="77" t="s">
        <v>179</v>
      </c>
      <c r="P1789" s="79">
        <v>45105.622546296298</v>
      </c>
      <c r="Q1789" s="77" t="s">
        <v>3685</v>
      </c>
      <c r="R1789" s="77">
        <v>0</v>
      </c>
      <c r="S1789" s="77">
        <v>5</v>
      </c>
      <c r="T1789" s="77">
        <v>1</v>
      </c>
      <c r="U1789" s="77">
        <v>0</v>
      </c>
      <c r="V1789" s="77">
        <v>1034</v>
      </c>
      <c r="W1789" s="80" t="s">
        <v>7023</v>
      </c>
      <c r="X1789" s="83" t="str">
        <f>HYPERLINK("https://www.moneytimes.com.br/ibovespa-ibov-cai-com-powell-falando-em-possivel-recessao-veja-os-indicadores-desta-quarta-28/")</f>
        <v>https://www.moneytimes.com.br/ibovespa-ibov-cai-com-powell-falando-em-possivel-recessao-veja-os-indicadores-desta-quarta-28/</v>
      </c>
      <c r="Y1789" s="77" t="s">
        <v>8611</v>
      </c>
      <c r="Z1789" s="77"/>
      <c r="AA1789" s="77"/>
      <c r="AB1789" s="77"/>
      <c r="AC1789" s="80" t="s">
        <v>10558</v>
      </c>
      <c r="AD1789" s="77" t="s">
        <v>10617</v>
      </c>
      <c r="AE1789" s="83" t="str">
        <f>HYPERLINK("https://twitter.com/leiamoneytimes/status/1674069260144984067")</f>
        <v>https://twitter.com/leiamoneytimes/status/1674069260144984067</v>
      </c>
      <c r="AF1789" s="79">
        <v>45105.622546296298</v>
      </c>
      <c r="AG1789" s="85">
        <v>45105</v>
      </c>
      <c r="AH1789" s="80" t="s">
        <v>12216</v>
      </c>
      <c r="AI1789" s="77" t="b">
        <v>0</v>
      </c>
      <c r="AJ1789" s="77"/>
      <c r="AK1789" s="77"/>
      <c r="AL1789" s="77"/>
      <c r="AM1789" s="77"/>
      <c r="AN1789" s="77"/>
      <c r="AO1789" s="77"/>
      <c r="AP1789" s="77"/>
      <c r="AQ1789" s="77"/>
      <c r="AR1789" s="77"/>
      <c r="AS1789" s="77"/>
      <c r="AT1789" s="77"/>
      <c r="AU1789" s="77"/>
      <c r="AV1789" s="83" t="str">
        <f>HYPERLINK("https://pbs.twimg.com/profile_images/1559883556846977024/bXHnQFY0_normal.jpg")</f>
        <v>https://pbs.twimg.com/profile_images/1559883556846977024/bXHnQFY0_normal.jpg</v>
      </c>
      <c r="AW1789" s="80" t="s">
        <v>17656</v>
      </c>
      <c r="AX1789" s="80" t="s">
        <v>17656</v>
      </c>
      <c r="AY1789" s="77"/>
      <c r="AZ1789" s="80" t="s">
        <v>20380</v>
      </c>
      <c r="BA1789" s="80" t="s">
        <v>20380</v>
      </c>
      <c r="BB1789" s="80" t="s">
        <v>20380</v>
      </c>
      <c r="BC1789" s="80" t="s">
        <v>17656</v>
      </c>
      <c r="BD1789" s="77">
        <v>51150679</v>
      </c>
      <c r="BE1789" s="77"/>
      <c r="BF1789" s="77"/>
      <c r="BG1789" s="77"/>
      <c r="BH1789" s="77"/>
      <c r="BI1789" s="77"/>
    </row>
    <row r="1790" spans="1:61" x14ac:dyDescent="0.25">
      <c r="A1790" s="62" t="s">
        <v>790</v>
      </c>
      <c r="B1790" s="62" t="s">
        <v>790</v>
      </c>
      <c r="C1790" s="63"/>
      <c r="D1790" s="64"/>
      <c r="E1790" s="65"/>
      <c r="F1790" s="66"/>
      <c r="G1790" s="63"/>
      <c r="H1790" s="67"/>
      <c r="I1790" s="68"/>
      <c r="J1790" s="68"/>
      <c r="K1790" s="32"/>
      <c r="L1790" s="75">
        <v>1790</v>
      </c>
      <c r="M1790" s="75"/>
      <c r="N1790" s="70"/>
      <c r="O1790" s="77" t="s">
        <v>179</v>
      </c>
      <c r="P1790" s="79">
        <v>45105.576342592591</v>
      </c>
      <c r="Q1790" s="77" t="s">
        <v>3686</v>
      </c>
      <c r="R1790" s="77">
        <v>0</v>
      </c>
      <c r="S1790" s="77">
        <v>6</v>
      </c>
      <c r="T1790" s="77">
        <v>1</v>
      </c>
      <c r="U1790" s="77">
        <v>2</v>
      </c>
      <c r="V1790" s="77">
        <v>2253</v>
      </c>
      <c r="W1790" s="80" t="s">
        <v>6931</v>
      </c>
      <c r="X1790" s="83" t="str">
        <f>HYPERLINK("https://www.moneytimes.com.br/inadimplencia-no-brasil-atinge-em-maio-nivel-mais-alto-em-mais-de-5-anos/")</f>
        <v>https://www.moneytimes.com.br/inadimplencia-no-brasil-atinge-em-maio-nivel-mais-alto-em-mais-de-5-anos/</v>
      </c>
      <c r="Y1790" s="77" t="s">
        <v>8611</v>
      </c>
      <c r="Z1790" s="77"/>
      <c r="AA1790" s="77"/>
      <c r="AB1790" s="77"/>
      <c r="AC1790" s="80" t="s">
        <v>10558</v>
      </c>
      <c r="AD1790" s="77" t="s">
        <v>10617</v>
      </c>
      <c r="AE1790" s="83" t="str">
        <f>HYPERLINK("https://twitter.com/leiamoneytimes/status/1674052515216740353")</f>
        <v>https://twitter.com/leiamoneytimes/status/1674052515216740353</v>
      </c>
      <c r="AF1790" s="79">
        <v>45105.576342592591</v>
      </c>
      <c r="AG1790" s="85">
        <v>45105</v>
      </c>
      <c r="AH1790" s="80" t="s">
        <v>12217</v>
      </c>
      <c r="AI1790" s="77" t="b">
        <v>0</v>
      </c>
      <c r="AJ1790" s="77"/>
      <c r="AK1790" s="77"/>
      <c r="AL1790" s="77"/>
      <c r="AM1790" s="77"/>
      <c r="AN1790" s="77"/>
      <c r="AO1790" s="77"/>
      <c r="AP1790" s="77"/>
      <c r="AQ1790" s="77"/>
      <c r="AR1790" s="77"/>
      <c r="AS1790" s="77"/>
      <c r="AT1790" s="77"/>
      <c r="AU1790" s="77"/>
      <c r="AV1790" s="83" t="str">
        <f>HYPERLINK("https://pbs.twimg.com/profile_images/1559883556846977024/bXHnQFY0_normal.jpg")</f>
        <v>https://pbs.twimg.com/profile_images/1559883556846977024/bXHnQFY0_normal.jpg</v>
      </c>
      <c r="AW1790" s="80" t="s">
        <v>17657</v>
      </c>
      <c r="AX1790" s="80" t="s">
        <v>17657</v>
      </c>
      <c r="AY1790" s="77"/>
      <c r="AZ1790" s="80" t="s">
        <v>20380</v>
      </c>
      <c r="BA1790" s="80" t="s">
        <v>20380</v>
      </c>
      <c r="BB1790" s="80" t="s">
        <v>20380</v>
      </c>
      <c r="BC1790" s="80" t="s">
        <v>17657</v>
      </c>
      <c r="BD1790" s="77">
        <v>51150679</v>
      </c>
      <c r="BE1790" s="77"/>
      <c r="BF1790" s="77"/>
      <c r="BG1790" s="77"/>
      <c r="BH1790" s="77"/>
      <c r="BI1790" s="77"/>
    </row>
    <row r="1791" spans="1:61" x14ac:dyDescent="0.25">
      <c r="A1791" s="62" t="s">
        <v>790</v>
      </c>
      <c r="B1791" s="62" t="s">
        <v>790</v>
      </c>
      <c r="C1791" s="63"/>
      <c r="D1791" s="64"/>
      <c r="E1791" s="65"/>
      <c r="F1791" s="66"/>
      <c r="G1791" s="63"/>
      <c r="H1791" s="67"/>
      <c r="I1791" s="68"/>
      <c r="J1791" s="68"/>
      <c r="K1791" s="32"/>
      <c r="L1791" s="75">
        <v>1791</v>
      </c>
      <c r="M1791" s="75"/>
      <c r="N1791" s="70"/>
      <c r="O1791" s="77" t="s">
        <v>179</v>
      </c>
      <c r="P1791" s="79">
        <v>45105.515439814815</v>
      </c>
      <c r="Q1791" s="77" t="s">
        <v>3687</v>
      </c>
      <c r="R1791" s="77">
        <v>0</v>
      </c>
      <c r="S1791" s="77">
        <v>0</v>
      </c>
      <c r="T1791" s="77">
        <v>1</v>
      </c>
      <c r="U1791" s="77">
        <v>0</v>
      </c>
      <c r="V1791" s="77">
        <v>906</v>
      </c>
      <c r="W1791" s="80" t="s">
        <v>6966</v>
      </c>
      <c r="X1791" s="83" t="str">
        <f>HYPERLINK("https://www.moneytimes.com.br/dolar-sobe-ante-real-com-foco-em-falas-de-chefes-de-bcs-globais/")</f>
        <v>https://www.moneytimes.com.br/dolar-sobe-ante-real-com-foco-em-falas-de-chefes-de-bcs-globais/</v>
      </c>
      <c r="Y1791" s="77" t="s">
        <v>8611</v>
      </c>
      <c r="Z1791" s="77"/>
      <c r="AA1791" s="77"/>
      <c r="AB1791" s="77"/>
      <c r="AC1791" s="80" t="s">
        <v>10558</v>
      </c>
      <c r="AD1791" s="77" t="s">
        <v>10617</v>
      </c>
      <c r="AE1791" s="83" t="str">
        <f>HYPERLINK("https://twitter.com/leiamoneytimes/status/1674030445451780097")</f>
        <v>https://twitter.com/leiamoneytimes/status/1674030445451780097</v>
      </c>
      <c r="AF1791" s="79">
        <v>45105.515439814815</v>
      </c>
      <c r="AG1791" s="85">
        <v>45105</v>
      </c>
      <c r="AH1791" s="80" t="s">
        <v>12218</v>
      </c>
      <c r="AI1791" s="77" t="b">
        <v>0</v>
      </c>
      <c r="AJ1791" s="77"/>
      <c r="AK1791" s="77"/>
      <c r="AL1791" s="77"/>
      <c r="AM1791" s="77"/>
      <c r="AN1791" s="77"/>
      <c r="AO1791" s="77"/>
      <c r="AP1791" s="77"/>
      <c r="AQ1791" s="77"/>
      <c r="AR1791" s="77"/>
      <c r="AS1791" s="77"/>
      <c r="AT1791" s="77"/>
      <c r="AU1791" s="77"/>
      <c r="AV1791" s="83" t="str">
        <f>HYPERLINK("https://pbs.twimg.com/profile_images/1559883556846977024/bXHnQFY0_normal.jpg")</f>
        <v>https://pbs.twimg.com/profile_images/1559883556846977024/bXHnQFY0_normal.jpg</v>
      </c>
      <c r="AW1791" s="80" t="s">
        <v>17658</v>
      </c>
      <c r="AX1791" s="80" t="s">
        <v>17658</v>
      </c>
      <c r="AY1791" s="77"/>
      <c r="AZ1791" s="80" t="s">
        <v>20380</v>
      </c>
      <c r="BA1791" s="80" t="s">
        <v>20380</v>
      </c>
      <c r="BB1791" s="80" t="s">
        <v>20380</v>
      </c>
      <c r="BC1791" s="80" t="s">
        <v>17658</v>
      </c>
      <c r="BD1791" s="77">
        <v>51150679</v>
      </c>
      <c r="BE1791" s="77"/>
      <c r="BF1791" s="77"/>
      <c r="BG1791" s="77"/>
      <c r="BH1791" s="77"/>
      <c r="BI1791" s="77"/>
    </row>
    <row r="1792" spans="1:61" x14ac:dyDescent="0.25">
      <c r="A1792" s="62" t="s">
        <v>790</v>
      </c>
      <c r="B1792" s="62" t="s">
        <v>790</v>
      </c>
      <c r="C1792" s="63"/>
      <c r="D1792" s="64"/>
      <c r="E1792" s="65"/>
      <c r="F1792" s="66"/>
      <c r="G1792" s="63"/>
      <c r="H1792" s="67"/>
      <c r="I1792" s="68"/>
      <c r="J1792" s="68"/>
      <c r="K1792" s="32"/>
      <c r="L1792" s="75">
        <v>1792</v>
      </c>
      <c r="M1792" s="75"/>
      <c r="N1792" s="70"/>
      <c r="O1792" s="77" t="s">
        <v>179</v>
      </c>
      <c r="P1792" s="79">
        <v>45105.47184027778</v>
      </c>
      <c r="Q1792" s="77" t="s">
        <v>3688</v>
      </c>
      <c r="R1792" s="77">
        <v>0</v>
      </c>
      <c r="S1792" s="77">
        <v>2</v>
      </c>
      <c r="T1792" s="77">
        <v>1</v>
      </c>
      <c r="U1792" s="77">
        <v>0</v>
      </c>
      <c r="V1792" s="77">
        <v>1092</v>
      </c>
      <c r="W1792" s="80" t="s">
        <v>7059</v>
      </c>
      <c r="X1792" s="83" t="str">
        <f>HYPERLINK("https://www.moneytimes.com.br/um-debate-do-barulho-o-quarteto-dos-bancos-centrais-etf-de-renda-fixa-acao-contra-a-petrobras-e-outros-destaques-do-dia/")</f>
        <v>https://www.moneytimes.com.br/um-debate-do-barulho-o-quarteto-dos-bancos-centrais-etf-de-renda-fixa-acao-contra-a-petrobras-e-outros-destaques-do-dia/</v>
      </c>
      <c r="Y1792" s="77" t="s">
        <v>8611</v>
      </c>
      <c r="Z1792" s="77"/>
      <c r="AA1792" s="77"/>
      <c r="AB1792" s="77"/>
      <c r="AC1792" s="80" t="s">
        <v>10558</v>
      </c>
      <c r="AD1792" s="77" t="s">
        <v>10617</v>
      </c>
      <c r="AE1792" s="83" t="str">
        <f>HYPERLINK("https://twitter.com/leiamoneytimes/status/1674014645416230916")</f>
        <v>https://twitter.com/leiamoneytimes/status/1674014645416230916</v>
      </c>
      <c r="AF1792" s="79">
        <v>45105.47184027778</v>
      </c>
      <c r="AG1792" s="85">
        <v>45105</v>
      </c>
      <c r="AH1792" s="80" t="s">
        <v>12219</v>
      </c>
      <c r="AI1792" s="77" t="b">
        <v>0</v>
      </c>
      <c r="AJ1792" s="77"/>
      <c r="AK1792" s="77"/>
      <c r="AL1792" s="77"/>
      <c r="AM1792" s="77"/>
      <c r="AN1792" s="77"/>
      <c r="AO1792" s="77"/>
      <c r="AP1792" s="77"/>
      <c r="AQ1792" s="77"/>
      <c r="AR1792" s="77"/>
      <c r="AS1792" s="77"/>
      <c r="AT1792" s="77"/>
      <c r="AU1792" s="77"/>
      <c r="AV1792" s="83" t="str">
        <f>HYPERLINK("https://pbs.twimg.com/profile_images/1559883556846977024/bXHnQFY0_normal.jpg")</f>
        <v>https://pbs.twimg.com/profile_images/1559883556846977024/bXHnQFY0_normal.jpg</v>
      </c>
      <c r="AW1792" s="80" t="s">
        <v>17659</v>
      </c>
      <c r="AX1792" s="80" t="s">
        <v>17659</v>
      </c>
      <c r="AY1792" s="77"/>
      <c r="AZ1792" s="80" t="s">
        <v>20380</v>
      </c>
      <c r="BA1792" s="80" t="s">
        <v>20380</v>
      </c>
      <c r="BB1792" s="80" t="s">
        <v>20380</v>
      </c>
      <c r="BC1792" s="80" t="s">
        <v>17659</v>
      </c>
      <c r="BD1792" s="77">
        <v>51150679</v>
      </c>
      <c r="BE1792" s="77"/>
      <c r="BF1792" s="77"/>
      <c r="BG1792" s="77"/>
      <c r="BH1792" s="77"/>
      <c r="BI1792" s="77"/>
    </row>
    <row r="1793" spans="1:61" x14ac:dyDescent="0.25">
      <c r="A1793" s="62" t="s">
        <v>790</v>
      </c>
      <c r="B1793" s="62" t="s">
        <v>790</v>
      </c>
      <c r="C1793" s="63"/>
      <c r="D1793" s="64"/>
      <c r="E1793" s="65"/>
      <c r="F1793" s="66"/>
      <c r="G1793" s="63"/>
      <c r="H1793" s="67"/>
      <c r="I1793" s="68"/>
      <c r="J1793" s="68"/>
      <c r="K1793" s="32"/>
      <c r="L1793" s="75">
        <v>1793</v>
      </c>
      <c r="M1793" s="75"/>
      <c r="N1793" s="70"/>
      <c r="O1793" s="77" t="s">
        <v>179</v>
      </c>
      <c r="P1793" s="79">
        <v>45105.435173611113</v>
      </c>
      <c r="Q1793" s="77" t="s">
        <v>3689</v>
      </c>
      <c r="R1793" s="77">
        <v>0</v>
      </c>
      <c r="S1793" s="77">
        <v>0</v>
      </c>
      <c r="T1793" s="77">
        <v>1</v>
      </c>
      <c r="U1793" s="77">
        <v>0</v>
      </c>
      <c r="V1793" s="77">
        <v>1214</v>
      </c>
      <c r="W1793" s="80" t="s">
        <v>7060</v>
      </c>
      <c r="X1793" s="83" t="str">
        <f>HYPERLINK("https://www.moneytimes.com.br/morning-times-ata-do-copom-traz-esperancas-mas-falas-de-bcs-podem-pesar/")</f>
        <v>https://www.moneytimes.com.br/morning-times-ata-do-copom-traz-esperancas-mas-falas-de-bcs-podem-pesar/</v>
      </c>
      <c r="Y1793" s="77" t="s">
        <v>8611</v>
      </c>
      <c r="Z1793" s="77"/>
      <c r="AA1793" s="77"/>
      <c r="AB1793" s="77"/>
      <c r="AC1793" s="80" t="s">
        <v>10558</v>
      </c>
      <c r="AD1793" s="77" t="s">
        <v>10617</v>
      </c>
      <c r="AE1793" s="83" t="str">
        <f>HYPERLINK("https://twitter.com/leiamoneytimes/status/1674001356183486465")</f>
        <v>https://twitter.com/leiamoneytimes/status/1674001356183486465</v>
      </c>
      <c r="AF1793" s="79">
        <v>45105.435173611113</v>
      </c>
      <c r="AG1793" s="85">
        <v>45105</v>
      </c>
      <c r="AH1793" s="80" t="s">
        <v>12220</v>
      </c>
      <c r="AI1793" s="77" t="b">
        <v>0</v>
      </c>
      <c r="AJ1793" s="77"/>
      <c r="AK1793" s="77"/>
      <c r="AL1793" s="77"/>
      <c r="AM1793" s="77"/>
      <c r="AN1793" s="77"/>
      <c r="AO1793" s="77"/>
      <c r="AP1793" s="77"/>
      <c r="AQ1793" s="77"/>
      <c r="AR1793" s="77"/>
      <c r="AS1793" s="77"/>
      <c r="AT1793" s="77"/>
      <c r="AU1793" s="77"/>
      <c r="AV1793" s="83" t="str">
        <f>HYPERLINK("https://pbs.twimg.com/profile_images/1559883556846977024/bXHnQFY0_normal.jpg")</f>
        <v>https://pbs.twimg.com/profile_images/1559883556846977024/bXHnQFY0_normal.jpg</v>
      </c>
      <c r="AW1793" s="80" t="s">
        <v>17660</v>
      </c>
      <c r="AX1793" s="80" t="s">
        <v>17660</v>
      </c>
      <c r="AY1793" s="77"/>
      <c r="AZ1793" s="80" t="s">
        <v>20380</v>
      </c>
      <c r="BA1793" s="80" t="s">
        <v>20380</v>
      </c>
      <c r="BB1793" s="80" t="s">
        <v>20380</v>
      </c>
      <c r="BC1793" s="80" t="s">
        <v>17660</v>
      </c>
      <c r="BD1793" s="77">
        <v>51150679</v>
      </c>
      <c r="BE1793" s="77"/>
      <c r="BF1793" s="77"/>
      <c r="BG1793" s="77"/>
      <c r="BH1793" s="77"/>
      <c r="BI1793" s="77"/>
    </row>
    <row r="1794" spans="1:61" x14ac:dyDescent="0.25">
      <c r="A1794" s="62" t="s">
        <v>790</v>
      </c>
      <c r="B1794" s="62" t="s">
        <v>790</v>
      </c>
      <c r="C1794" s="63"/>
      <c r="D1794" s="64"/>
      <c r="E1794" s="65"/>
      <c r="F1794" s="66"/>
      <c r="G1794" s="63"/>
      <c r="H1794" s="67"/>
      <c r="I1794" s="68"/>
      <c r="J1794" s="68"/>
      <c r="K1794" s="32"/>
      <c r="L1794" s="75">
        <v>1794</v>
      </c>
      <c r="M1794" s="75"/>
      <c r="N1794" s="70"/>
      <c r="O1794" s="77" t="s">
        <v>179</v>
      </c>
      <c r="P1794" s="79">
        <v>45104.793252314812</v>
      </c>
      <c r="Q1794" s="77" t="s">
        <v>3690</v>
      </c>
      <c r="R1794" s="77">
        <v>0</v>
      </c>
      <c r="S1794" s="77">
        <v>1</v>
      </c>
      <c r="T1794" s="77">
        <v>1</v>
      </c>
      <c r="U1794" s="77">
        <v>0</v>
      </c>
      <c r="V1794" s="77">
        <v>1059</v>
      </c>
      <c r="W1794" s="80" t="s">
        <v>6945</v>
      </c>
      <c r="X1794" s="83" t="str">
        <f>HYPERLINK("https://www.moneytimes.com.br/meta-de-inflacao-entenda-o-que-pode-mudar-e-o-que-acontece-com-o-banco-central/")</f>
        <v>https://www.moneytimes.com.br/meta-de-inflacao-entenda-o-que-pode-mudar-e-o-que-acontece-com-o-banco-central/</v>
      </c>
      <c r="Y1794" s="77" t="s">
        <v>8611</v>
      </c>
      <c r="Z1794" s="77"/>
      <c r="AA1794" s="77"/>
      <c r="AB1794" s="77"/>
      <c r="AC1794" s="80" t="s">
        <v>10558</v>
      </c>
      <c r="AD1794" s="77" t="s">
        <v>10617</v>
      </c>
      <c r="AE1794" s="83" t="str">
        <f>HYPERLINK("https://twitter.com/leiamoneytimes/status/1673768733150421004")</f>
        <v>https://twitter.com/leiamoneytimes/status/1673768733150421004</v>
      </c>
      <c r="AF1794" s="79">
        <v>45104.793252314812</v>
      </c>
      <c r="AG1794" s="85">
        <v>45104</v>
      </c>
      <c r="AH1794" s="80" t="s">
        <v>12221</v>
      </c>
      <c r="AI1794" s="77" t="b">
        <v>0</v>
      </c>
      <c r="AJ1794" s="77"/>
      <c r="AK1794" s="77"/>
      <c r="AL1794" s="77"/>
      <c r="AM1794" s="77"/>
      <c r="AN1794" s="77"/>
      <c r="AO1794" s="77"/>
      <c r="AP1794" s="77"/>
      <c r="AQ1794" s="77"/>
      <c r="AR1794" s="77"/>
      <c r="AS1794" s="77"/>
      <c r="AT1794" s="77"/>
      <c r="AU1794" s="77"/>
      <c r="AV1794" s="83" t="str">
        <f>HYPERLINK("https://pbs.twimg.com/profile_images/1559883556846977024/bXHnQFY0_normal.jpg")</f>
        <v>https://pbs.twimg.com/profile_images/1559883556846977024/bXHnQFY0_normal.jpg</v>
      </c>
      <c r="AW1794" s="80" t="s">
        <v>17661</v>
      </c>
      <c r="AX1794" s="80" t="s">
        <v>17661</v>
      </c>
      <c r="AY1794" s="77"/>
      <c r="AZ1794" s="80" t="s">
        <v>20380</v>
      </c>
      <c r="BA1794" s="80" t="s">
        <v>20380</v>
      </c>
      <c r="BB1794" s="80" t="s">
        <v>20380</v>
      </c>
      <c r="BC1794" s="80" t="s">
        <v>17661</v>
      </c>
      <c r="BD1794" s="77">
        <v>51150679</v>
      </c>
      <c r="BE1794" s="77"/>
      <c r="BF1794" s="77"/>
      <c r="BG1794" s="77"/>
      <c r="BH1794" s="77"/>
      <c r="BI1794" s="77"/>
    </row>
    <row r="1795" spans="1:61" x14ac:dyDescent="0.25">
      <c r="A1795" s="62" t="s">
        <v>790</v>
      </c>
      <c r="B1795" s="62" t="s">
        <v>790</v>
      </c>
      <c r="C1795" s="63"/>
      <c r="D1795" s="64"/>
      <c r="E1795" s="65"/>
      <c r="F1795" s="66"/>
      <c r="G1795" s="63"/>
      <c r="H1795" s="67"/>
      <c r="I1795" s="68"/>
      <c r="J1795" s="68"/>
      <c r="K1795" s="32"/>
      <c r="L1795" s="75">
        <v>1795</v>
      </c>
      <c r="M1795" s="75"/>
      <c r="N1795" s="70"/>
      <c r="O1795" s="77" t="s">
        <v>179</v>
      </c>
      <c r="P1795" s="79">
        <v>45104.724768518521</v>
      </c>
      <c r="Q1795" s="77" t="s">
        <v>3691</v>
      </c>
      <c r="R1795" s="77">
        <v>0</v>
      </c>
      <c r="S1795" s="77">
        <v>1</v>
      </c>
      <c r="T1795" s="77">
        <v>1</v>
      </c>
      <c r="U1795" s="77">
        <v>0</v>
      </c>
      <c r="V1795" s="77">
        <v>991</v>
      </c>
      <c r="W1795" s="80" t="s">
        <v>6272</v>
      </c>
      <c r="X1795" s="83" t="str">
        <f>HYPERLINK("https://www.moneytimes.com.br/selic-em-contagem-regressiva-confira-de-quanto-deve-ser-o-corte-de-agosto/")</f>
        <v>https://www.moneytimes.com.br/selic-em-contagem-regressiva-confira-de-quanto-deve-ser-o-corte-de-agosto/</v>
      </c>
      <c r="Y1795" s="77" t="s">
        <v>8611</v>
      </c>
      <c r="Z1795" s="77"/>
      <c r="AA1795" s="77"/>
      <c r="AB1795" s="77"/>
      <c r="AC1795" s="80" t="s">
        <v>10558</v>
      </c>
      <c r="AD1795" s="77" t="s">
        <v>10617</v>
      </c>
      <c r="AE1795" s="83" t="str">
        <f>HYPERLINK("https://twitter.com/leiamoneytimes/status/1673743913285304325")</f>
        <v>https://twitter.com/leiamoneytimes/status/1673743913285304325</v>
      </c>
      <c r="AF1795" s="79">
        <v>45104.724768518521</v>
      </c>
      <c r="AG1795" s="85">
        <v>45104</v>
      </c>
      <c r="AH1795" s="80" t="s">
        <v>12222</v>
      </c>
      <c r="AI1795" s="77" t="b">
        <v>0</v>
      </c>
      <c r="AJ1795" s="77"/>
      <c r="AK1795" s="77"/>
      <c r="AL1795" s="77"/>
      <c r="AM1795" s="77"/>
      <c r="AN1795" s="77"/>
      <c r="AO1795" s="77"/>
      <c r="AP1795" s="77"/>
      <c r="AQ1795" s="77"/>
      <c r="AR1795" s="77"/>
      <c r="AS1795" s="77"/>
      <c r="AT1795" s="77"/>
      <c r="AU1795" s="77"/>
      <c r="AV1795" s="83" t="str">
        <f>HYPERLINK("https://pbs.twimg.com/profile_images/1559883556846977024/bXHnQFY0_normal.jpg")</f>
        <v>https://pbs.twimg.com/profile_images/1559883556846977024/bXHnQFY0_normal.jpg</v>
      </c>
      <c r="AW1795" s="80" t="s">
        <v>17662</v>
      </c>
      <c r="AX1795" s="80" t="s">
        <v>17662</v>
      </c>
      <c r="AY1795" s="77"/>
      <c r="AZ1795" s="80" t="s">
        <v>20380</v>
      </c>
      <c r="BA1795" s="80" t="s">
        <v>20380</v>
      </c>
      <c r="BB1795" s="80" t="s">
        <v>20380</v>
      </c>
      <c r="BC1795" s="80" t="s">
        <v>17662</v>
      </c>
      <c r="BD1795" s="77">
        <v>51150679</v>
      </c>
      <c r="BE1795" s="77"/>
      <c r="BF1795" s="77"/>
      <c r="BG1795" s="77"/>
      <c r="BH1795" s="77"/>
      <c r="BI1795" s="77"/>
    </row>
    <row r="1796" spans="1:61" x14ac:dyDescent="0.25">
      <c r="A1796" s="62" t="s">
        <v>790</v>
      </c>
      <c r="B1796" s="62" t="s">
        <v>790</v>
      </c>
      <c r="C1796" s="63"/>
      <c r="D1796" s="64"/>
      <c r="E1796" s="65"/>
      <c r="F1796" s="66"/>
      <c r="G1796" s="63"/>
      <c r="H1796" s="67"/>
      <c r="I1796" s="68"/>
      <c r="J1796" s="68"/>
      <c r="K1796" s="32"/>
      <c r="L1796" s="75">
        <v>1796</v>
      </c>
      <c r="M1796" s="75"/>
      <c r="N1796" s="70"/>
      <c r="O1796" s="77" t="s">
        <v>179</v>
      </c>
      <c r="P1796" s="79">
        <v>45092.522615740738</v>
      </c>
      <c r="Q1796" s="77" t="s">
        <v>3692</v>
      </c>
      <c r="R1796" s="77">
        <v>0</v>
      </c>
      <c r="S1796" s="77">
        <v>5</v>
      </c>
      <c r="T1796" s="77">
        <v>1</v>
      </c>
      <c r="U1796" s="77">
        <v>0</v>
      </c>
      <c r="V1796" s="77">
        <v>1142</v>
      </c>
      <c r="W1796" s="80" t="s">
        <v>7002</v>
      </c>
      <c r="X1796" s="83" t="str">
        <f>HYPERLINK("https://www.moneytimes.com.br/dolar-sobe-frente-ao-real-apos-tombo-da-vespera-e-com-fed-no-radar/")</f>
        <v>https://www.moneytimes.com.br/dolar-sobe-frente-ao-real-apos-tombo-da-vespera-e-com-fed-no-radar/</v>
      </c>
      <c r="Y1796" s="77" t="s">
        <v>8611</v>
      </c>
      <c r="Z1796" s="77"/>
      <c r="AA1796" s="77"/>
      <c r="AB1796" s="77"/>
      <c r="AC1796" s="80" t="s">
        <v>10558</v>
      </c>
      <c r="AD1796" s="77" t="s">
        <v>10617</v>
      </c>
      <c r="AE1796" s="83" t="str">
        <f>HYPERLINK("https://twitter.com/leiamoneytimes/status/1669322002727940098")</f>
        <v>https://twitter.com/leiamoneytimes/status/1669322002727940098</v>
      </c>
      <c r="AF1796" s="79">
        <v>45092.522615740738</v>
      </c>
      <c r="AG1796" s="85">
        <v>45092</v>
      </c>
      <c r="AH1796" s="80" t="s">
        <v>12223</v>
      </c>
      <c r="AI1796" s="77" t="b">
        <v>0</v>
      </c>
      <c r="AJ1796" s="77"/>
      <c r="AK1796" s="77"/>
      <c r="AL1796" s="77"/>
      <c r="AM1796" s="77"/>
      <c r="AN1796" s="77"/>
      <c r="AO1796" s="77"/>
      <c r="AP1796" s="77"/>
      <c r="AQ1796" s="77"/>
      <c r="AR1796" s="77"/>
      <c r="AS1796" s="77"/>
      <c r="AT1796" s="77"/>
      <c r="AU1796" s="77"/>
      <c r="AV1796" s="83" t="str">
        <f>HYPERLINK("https://pbs.twimg.com/profile_images/1559883556846977024/bXHnQFY0_normal.jpg")</f>
        <v>https://pbs.twimg.com/profile_images/1559883556846977024/bXHnQFY0_normal.jpg</v>
      </c>
      <c r="AW1796" s="80" t="s">
        <v>17663</v>
      </c>
      <c r="AX1796" s="80" t="s">
        <v>17663</v>
      </c>
      <c r="AY1796" s="77"/>
      <c r="AZ1796" s="80" t="s">
        <v>20380</v>
      </c>
      <c r="BA1796" s="80" t="s">
        <v>20380</v>
      </c>
      <c r="BB1796" s="80" t="s">
        <v>20380</v>
      </c>
      <c r="BC1796" s="80" t="s">
        <v>17663</v>
      </c>
      <c r="BD1796" s="77">
        <v>51150679</v>
      </c>
      <c r="BE1796" s="77"/>
      <c r="BF1796" s="77"/>
      <c r="BG1796" s="77"/>
      <c r="BH1796" s="77"/>
      <c r="BI1796" s="77"/>
    </row>
    <row r="1797" spans="1:61" x14ac:dyDescent="0.25">
      <c r="A1797" s="62" t="s">
        <v>790</v>
      </c>
      <c r="B1797" s="62" t="s">
        <v>790</v>
      </c>
      <c r="C1797" s="63"/>
      <c r="D1797" s="64"/>
      <c r="E1797" s="65"/>
      <c r="F1797" s="66"/>
      <c r="G1797" s="63"/>
      <c r="H1797" s="67"/>
      <c r="I1797" s="68"/>
      <c r="J1797" s="68"/>
      <c r="K1797" s="32"/>
      <c r="L1797" s="75">
        <v>1797</v>
      </c>
      <c r="M1797" s="75"/>
      <c r="N1797" s="70"/>
      <c r="O1797" s="77" t="s">
        <v>179</v>
      </c>
      <c r="P1797" s="79">
        <v>45092.471388888887</v>
      </c>
      <c r="Q1797" s="77" t="s">
        <v>3693</v>
      </c>
      <c r="R1797" s="77">
        <v>0</v>
      </c>
      <c r="S1797" s="77">
        <v>7</v>
      </c>
      <c r="T1797" s="77">
        <v>2</v>
      </c>
      <c r="U1797" s="77">
        <v>0</v>
      </c>
      <c r="V1797" s="77">
        <v>1596</v>
      </c>
      <c r="W1797" s="80" t="s">
        <v>7061</v>
      </c>
      <c r="X1797" s="83" t="str">
        <f>HYPERLINK("https://www.moneytimes.com.br/agora-so-falta-voce-campos-neto-prejuizo-da-oi-a-volta-da-hapvida-brasileirao-financeiro-e-outros-destaques-do-dia/")</f>
        <v>https://www.moneytimes.com.br/agora-so-falta-voce-campos-neto-prejuizo-da-oi-a-volta-da-hapvida-brasileirao-financeiro-e-outros-destaques-do-dia/</v>
      </c>
      <c r="Y1797" s="77" t="s">
        <v>8611</v>
      </c>
      <c r="Z1797" s="77"/>
      <c r="AA1797" s="77"/>
      <c r="AB1797" s="77"/>
      <c r="AC1797" s="80" t="s">
        <v>10558</v>
      </c>
      <c r="AD1797" s="77" t="s">
        <v>10617</v>
      </c>
      <c r="AE1797" s="83" t="str">
        <f>HYPERLINK("https://twitter.com/leiamoneytimes/status/1669303439015247872")</f>
        <v>https://twitter.com/leiamoneytimes/status/1669303439015247872</v>
      </c>
      <c r="AF1797" s="79">
        <v>45092.471388888887</v>
      </c>
      <c r="AG1797" s="85">
        <v>45092</v>
      </c>
      <c r="AH1797" s="80" t="s">
        <v>12224</v>
      </c>
      <c r="AI1797" s="77" t="b">
        <v>0</v>
      </c>
      <c r="AJ1797" s="77"/>
      <c r="AK1797" s="77"/>
      <c r="AL1797" s="77"/>
      <c r="AM1797" s="77"/>
      <c r="AN1797" s="77"/>
      <c r="AO1797" s="77"/>
      <c r="AP1797" s="77"/>
      <c r="AQ1797" s="77"/>
      <c r="AR1797" s="77"/>
      <c r="AS1797" s="77"/>
      <c r="AT1797" s="77"/>
      <c r="AU1797" s="77"/>
      <c r="AV1797" s="83" t="str">
        <f>HYPERLINK("https://pbs.twimg.com/profile_images/1559883556846977024/bXHnQFY0_normal.jpg")</f>
        <v>https://pbs.twimg.com/profile_images/1559883556846977024/bXHnQFY0_normal.jpg</v>
      </c>
      <c r="AW1797" s="80" t="s">
        <v>17664</v>
      </c>
      <c r="AX1797" s="80" t="s">
        <v>17664</v>
      </c>
      <c r="AY1797" s="77"/>
      <c r="AZ1797" s="80" t="s">
        <v>20380</v>
      </c>
      <c r="BA1797" s="80" t="s">
        <v>20380</v>
      </c>
      <c r="BB1797" s="80" t="s">
        <v>20380</v>
      </c>
      <c r="BC1797" s="80" t="s">
        <v>17664</v>
      </c>
      <c r="BD1797" s="77">
        <v>51150679</v>
      </c>
      <c r="BE1797" s="77"/>
      <c r="BF1797" s="77"/>
      <c r="BG1797" s="77"/>
      <c r="BH1797" s="77"/>
      <c r="BI1797" s="77"/>
    </row>
    <row r="1798" spans="1:61" x14ac:dyDescent="0.25">
      <c r="A1798" s="62" t="s">
        <v>790</v>
      </c>
      <c r="B1798" s="62" t="s">
        <v>790</v>
      </c>
      <c r="C1798" s="63"/>
      <c r="D1798" s="64"/>
      <c r="E1798" s="65"/>
      <c r="F1798" s="66"/>
      <c r="G1798" s="63"/>
      <c r="H1798" s="67"/>
      <c r="I1798" s="68"/>
      <c r="J1798" s="68"/>
      <c r="K1798" s="32"/>
      <c r="L1798" s="75">
        <v>1798</v>
      </c>
      <c r="M1798" s="75"/>
      <c r="N1798" s="70"/>
      <c r="O1798" s="77" t="s">
        <v>179</v>
      </c>
      <c r="P1798" s="79">
        <v>45092.448020833333</v>
      </c>
      <c r="Q1798" s="77" t="s">
        <v>3694</v>
      </c>
      <c r="R1798" s="77">
        <v>5</v>
      </c>
      <c r="S1798" s="77">
        <v>29</v>
      </c>
      <c r="T1798" s="77">
        <v>8</v>
      </c>
      <c r="U1798" s="77">
        <v>0</v>
      </c>
      <c r="V1798" s="77">
        <v>4157</v>
      </c>
      <c r="W1798" s="80" t="s">
        <v>6927</v>
      </c>
      <c r="X1798" s="83" t="str">
        <f>HYPERLINK("https://www.moneytimes.com.br/haddad-cai-nas-gracas-do-mercado-com-revisao-do-rating-do-brasil-veja-o-que-movimenta-a-quinta-15/")</f>
        <v>https://www.moneytimes.com.br/haddad-cai-nas-gracas-do-mercado-com-revisao-do-rating-do-brasil-veja-o-que-movimenta-a-quinta-15/</v>
      </c>
      <c r="Y1798" s="77" t="s">
        <v>8611</v>
      </c>
      <c r="Z1798" s="77"/>
      <c r="AA1798" s="77"/>
      <c r="AB1798" s="77"/>
      <c r="AC1798" s="80" t="s">
        <v>10558</v>
      </c>
      <c r="AD1798" s="77" t="s">
        <v>10617</v>
      </c>
      <c r="AE1798" s="83" t="str">
        <f>HYPERLINK("https://twitter.com/leiamoneytimes/status/1669294970342191106")</f>
        <v>https://twitter.com/leiamoneytimes/status/1669294970342191106</v>
      </c>
      <c r="AF1798" s="79">
        <v>45092.448020833333</v>
      </c>
      <c r="AG1798" s="85">
        <v>45092</v>
      </c>
      <c r="AH1798" s="80" t="s">
        <v>12225</v>
      </c>
      <c r="AI1798" s="77" t="b">
        <v>0</v>
      </c>
      <c r="AJ1798" s="77"/>
      <c r="AK1798" s="77"/>
      <c r="AL1798" s="77"/>
      <c r="AM1798" s="77"/>
      <c r="AN1798" s="77"/>
      <c r="AO1798" s="77"/>
      <c r="AP1798" s="77"/>
      <c r="AQ1798" s="77"/>
      <c r="AR1798" s="77"/>
      <c r="AS1798" s="77"/>
      <c r="AT1798" s="77"/>
      <c r="AU1798" s="77"/>
      <c r="AV1798" s="83" t="str">
        <f>HYPERLINK("https://pbs.twimg.com/profile_images/1559883556846977024/bXHnQFY0_normal.jpg")</f>
        <v>https://pbs.twimg.com/profile_images/1559883556846977024/bXHnQFY0_normal.jpg</v>
      </c>
      <c r="AW1798" s="80" t="s">
        <v>17665</v>
      </c>
      <c r="AX1798" s="80" t="s">
        <v>17665</v>
      </c>
      <c r="AY1798" s="77"/>
      <c r="AZ1798" s="80" t="s">
        <v>20380</v>
      </c>
      <c r="BA1798" s="80" t="s">
        <v>20380</v>
      </c>
      <c r="BB1798" s="80" t="s">
        <v>20380</v>
      </c>
      <c r="BC1798" s="80" t="s">
        <v>17665</v>
      </c>
      <c r="BD1798" s="77">
        <v>51150679</v>
      </c>
      <c r="BE1798" s="77"/>
      <c r="BF1798" s="77"/>
      <c r="BG1798" s="77"/>
      <c r="BH1798" s="77"/>
      <c r="BI1798" s="77"/>
    </row>
    <row r="1799" spans="1:61" x14ac:dyDescent="0.25">
      <c r="A1799" s="62" t="s">
        <v>790</v>
      </c>
      <c r="B1799" s="62" t="s">
        <v>790</v>
      </c>
      <c r="C1799" s="63"/>
      <c r="D1799" s="64"/>
      <c r="E1799" s="65"/>
      <c r="F1799" s="66"/>
      <c r="G1799" s="63"/>
      <c r="H1799" s="67"/>
      <c r="I1799" s="68"/>
      <c r="J1799" s="68"/>
      <c r="K1799" s="32"/>
      <c r="L1799" s="75">
        <v>1799</v>
      </c>
      <c r="M1799" s="75"/>
      <c r="N1799" s="70"/>
      <c r="O1799" s="77" t="s">
        <v>179</v>
      </c>
      <c r="P1799" s="79">
        <v>45091.903287037036</v>
      </c>
      <c r="Q1799" s="77" t="s">
        <v>3695</v>
      </c>
      <c r="R1799" s="77">
        <v>0</v>
      </c>
      <c r="S1799" s="77">
        <v>24</v>
      </c>
      <c r="T1799" s="77">
        <v>2</v>
      </c>
      <c r="U1799" s="77">
        <v>0</v>
      </c>
      <c r="V1799" s="77">
        <v>2605</v>
      </c>
      <c r="W1799" s="80" t="s">
        <v>6922</v>
      </c>
      <c r="X1799" s="83" t="str">
        <f>HYPERLINK("https://www.moneytimes.com.br/haddad-comemora-melhora-de-rating-da-s-e-so-o-comeco-diz/")</f>
        <v>https://www.moneytimes.com.br/haddad-comemora-melhora-de-rating-da-s-e-so-o-comeco-diz/</v>
      </c>
      <c r="Y1799" s="77" t="s">
        <v>8611</v>
      </c>
      <c r="Z1799" s="77"/>
      <c r="AA1799" s="77"/>
      <c r="AB1799" s="77"/>
      <c r="AC1799" s="80" t="s">
        <v>10558</v>
      </c>
      <c r="AD1799" s="77" t="s">
        <v>10617</v>
      </c>
      <c r="AE1799" s="83" t="str">
        <f>HYPERLINK("https://twitter.com/leiamoneytimes/status/1669097563041964033")</f>
        <v>https://twitter.com/leiamoneytimes/status/1669097563041964033</v>
      </c>
      <c r="AF1799" s="79">
        <v>45091.903287037036</v>
      </c>
      <c r="AG1799" s="85">
        <v>45091</v>
      </c>
      <c r="AH1799" s="80" t="s">
        <v>12226</v>
      </c>
      <c r="AI1799" s="77" t="b">
        <v>0</v>
      </c>
      <c r="AJ1799" s="77"/>
      <c r="AK1799" s="77"/>
      <c r="AL1799" s="77"/>
      <c r="AM1799" s="77"/>
      <c r="AN1799" s="77"/>
      <c r="AO1799" s="77"/>
      <c r="AP1799" s="77"/>
      <c r="AQ1799" s="77"/>
      <c r="AR1799" s="77"/>
      <c r="AS1799" s="77"/>
      <c r="AT1799" s="77"/>
      <c r="AU1799" s="77"/>
      <c r="AV1799" s="83" t="str">
        <f>HYPERLINK("https://pbs.twimg.com/profile_images/1559883556846977024/bXHnQFY0_normal.jpg")</f>
        <v>https://pbs.twimg.com/profile_images/1559883556846977024/bXHnQFY0_normal.jpg</v>
      </c>
      <c r="AW1799" s="80" t="s">
        <v>17666</v>
      </c>
      <c r="AX1799" s="80" t="s">
        <v>17666</v>
      </c>
      <c r="AY1799" s="77"/>
      <c r="AZ1799" s="80" t="s">
        <v>20380</v>
      </c>
      <c r="BA1799" s="80" t="s">
        <v>20380</v>
      </c>
      <c r="BB1799" s="80" t="s">
        <v>20380</v>
      </c>
      <c r="BC1799" s="80" t="s">
        <v>17666</v>
      </c>
      <c r="BD1799" s="77">
        <v>51150679</v>
      </c>
      <c r="BE1799" s="77"/>
      <c r="BF1799" s="77"/>
      <c r="BG1799" s="77"/>
      <c r="BH1799" s="77"/>
      <c r="BI1799" s="77"/>
    </row>
    <row r="1800" spans="1:61" x14ac:dyDescent="0.25">
      <c r="A1800" s="62" t="s">
        <v>790</v>
      </c>
      <c r="B1800" s="62" t="s">
        <v>790</v>
      </c>
      <c r="C1800" s="63"/>
      <c r="D1800" s="64"/>
      <c r="E1800" s="65"/>
      <c r="F1800" s="66"/>
      <c r="G1800" s="63"/>
      <c r="H1800" s="67"/>
      <c r="I1800" s="68"/>
      <c r="J1800" s="68"/>
      <c r="K1800" s="32"/>
      <c r="L1800" s="75">
        <v>1800</v>
      </c>
      <c r="M1800" s="75"/>
      <c r="N1800" s="70"/>
      <c r="O1800" s="77" t="s">
        <v>179</v>
      </c>
      <c r="P1800" s="79">
        <v>45091.766111111108</v>
      </c>
      <c r="Q1800" s="77" t="s">
        <v>3696</v>
      </c>
      <c r="R1800" s="77">
        <v>1</v>
      </c>
      <c r="S1800" s="77">
        <v>3</v>
      </c>
      <c r="T1800" s="77">
        <v>1</v>
      </c>
      <c r="U1800" s="77">
        <v>0</v>
      </c>
      <c r="V1800" s="77">
        <v>1164</v>
      </c>
      <c r="W1800" s="80" t="s">
        <v>6922</v>
      </c>
      <c r="X1800" s="83" t="str">
        <f>HYPERLINK("https://www.moneytimes.com.br/varejo-vs-taxa-de-juros-alckmin-engrossa-coro-de-criticas-ao-banco-central/")</f>
        <v>https://www.moneytimes.com.br/varejo-vs-taxa-de-juros-alckmin-engrossa-coro-de-criticas-ao-banco-central/</v>
      </c>
      <c r="Y1800" s="77" t="s">
        <v>8611</v>
      </c>
      <c r="Z1800" s="77"/>
      <c r="AA1800" s="77"/>
      <c r="AB1800" s="77"/>
      <c r="AC1800" s="80" t="s">
        <v>10558</v>
      </c>
      <c r="AD1800" s="77" t="s">
        <v>10617</v>
      </c>
      <c r="AE1800" s="83" t="str">
        <f>HYPERLINK("https://twitter.com/leiamoneytimes/status/1669047856227811328")</f>
        <v>https://twitter.com/leiamoneytimes/status/1669047856227811328</v>
      </c>
      <c r="AF1800" s="79">
        <v>45091.766111111108</v>
      </c>
      <c r="AG1800" s="85">
        <v>45091</v>
      </c>
      <c r="AH1800" s="80" t="s">
        <v>12227</v>
      </c>
      <c r="AI1800" s="77" t="b">
        <v>0</v>
      </c>
      <c r="AJ1800" s="77"/>
      <c r="AK1800" s="77"/>
      <c r="AL1800" s="77"/>
      <c r="AM1800" s="77"/>
      <c r="AN1800" s="77"/>
      <c r="AO1800" s="77"/>
      <c r="AP1800" s="77"/>
      <c r="AQ1800" s="77"/>
      <c r="AR1800" s="77"/>
      <c r="AS1800" s="77"/>
      <c r="AT1800" s="77"/>
      <c r="AU1800" s="77"/>
      <c r="AV1800" s="83" t="str">
        <f>HYPERLINK("https://pbs.twimg.com/profile_images/1559883556846977024/bXHnQFY0_normal.jpg")</f>
        <v>https://pbs.twimg.com/profile_images/1559883556846977024/bXHnQFY0_normal.jpg</v>
      </c>
      <c r="AW1800" s="80" t="s">
        <v>17667</v>
      </c>
      <c r="AX1800" s="80" t="s">
        <v>17667</v>
      </c>
      <c r="AY1800" s="77"/>
      <c r="AZ1800" s="80" t="s">
        <v>20380</v>
      </c>
      <c r="BA1800" s="80" t="s">
        <v>20380</v>
      </c>
      <c r="BB1800" s="80" t="s">
        <v>20380</v>
      </c>
      <c r="BC1800" s="80" t="s">
        <v>17667</v>
      </c>
      <c r="BD1800" s="77">
        <v>51150679</v>
      </c>
      <c r="BE1800" s="77"/>
      <c r="BF1800" s="77"/>
      <c r="BG1800" s="77"/>
      <c r="BH1800" s="77"/>
      <c r="BI1800" s="77"/>
    </row>
    <row r="1801" spans="1:61" x14ac:dyDescent="0.25">
      <c r="A1801" s="62" t="s">
        <v>790</v>
      </c>
      <c r="B1801" s="62" t="s">
        <v>790</v>
      </c>
      <c r="C1801" s="63"/>
      <c r="D1801" s="64"/>
      <c r="E1801" s="65"/>
      <c r="F1801" s="66"/>
      <c r="G1801" s="63"/>
      <c r="H1801" s="67"/>
      <c r="I1801" s="68"/>
      <c r="J1801" s="68"/>
      <c r="K1801" s="32"/>
      <c r="L1801" s="75">
        <v>1801</v>
      </c>
      <c r="M1801" s="75"/>
      <c r="N1801" s="70"/>
      <c r="O1801" s="77" t="s">
        <v>179</v>
      </c>
      <c r="P1801" s="79">
        <v>45091.64261574074</v>
      </c>
      <c r="Q1801" s="77" t="s">
        <v>3697</v>
      </c>
      <c r="R1801" s="77">
        <v>2</v>
      </c>
      <c r="S1801" s="77">
        <v>7</v>
      </c>
      <c r="T1801" s="77">
        <v>2</v>
      </c>
      <c r="U1801" s="77">
        <v>0</v>
      </c>
      <c r="V1801" s="77">
        <v>1591</v>
      </c>
      <c r="W1801" s="80" t="s">
        <v>7062</v>
      </c>
      <c r="X1801" s="83" t="str">
        <f>HYPERLINK("https://www.moneytimes.com.br/cripto-lula-aumenta-responsabilidade-do-campos-neto-entenda/")</f>
        <v>https://www.moneytimes.com.br/cripto-lula-aumenta-responsabilidade-do-campos-neto-entenda/</v>
      </c>
      <c r="Y1801" s="77" t="s">
        <v>8611</v>
      </c>
      <c r="Z1801" s="77"/>
      <c r="AA1801" s="77"/>
      <c r="AB1801" s="77"/>
      <c r="AC1801" s="80" t="s">
        <v>10558</v>
      </c>
      <c r="AD1801" s="77" t="s">
        <v>10617</v>
      </c>
      <c r="AE1801" s="83" t="str">
        <f>HYPERLINK("https://twitter.com/leiamoneytimes/status/1669003102316376065")</f>
        <v>https://twitter.com/leiamoneytimes/status/1669003102316376065</v>
      </c>
      <c r="AF1801" s="79">
        <v>45091.64261574074</v>
      </c>
      <c r="AG1801" s="85">
        <v>45091</v>
      </c>
      <c r="AH1801" s="80" t="s">
        <v>12228</v>
      </c>
      <c r="AI1801" s="77" t="b">
        <v>0</v>
      </c>
      <c r="AJ1801" s="77"/>
      <c r="AK1801" s="77"/>
      <c r="AL1801" s="77"/>
      <c r="AM1801" s="77"/>
      <c r="AN1801" s="77"/>
      <c r="AO1801" s="77"/>
      <c r="AP1801" s="77"/>
      <c r="AQ1801" s="77"/>
      <c r="AR1801" s="77"/>
      <c r="AS1801" s="77"/>
      <c r="AT1801" s="77"/>
      <c r="AU1801" s="77"/>
      <c r="AV1801" s="83" t="str">
        <f>HYPERLINK("https://pbs.twimg.com/profile_images/1559883556846977024/bXHnQFY0_normal.jpg")</f>
        <v>https://pbs.twimg.com/profile_images/1559883556846977024/bXHnQFY0_normal.jpg</v>
      </c>
      <c r="AW1801" s="80" t="s">
        <v>17668</v>
      </c>
      <c r="AX1801" s="80" t="s">
        <v>17668</v>
      </c>
      <c r="AY1801" s="77"/>
      <c r="AZ1801" s="80" t="s">
        <v>20380</v>
      </c>
      <c r="BA1801" s="80" t="s">
        <v>20380</v>
      </c>
      <c r="BB1801" s="80" t="s">
        <v>20380</v>
      </c>
      <c r="BC1801" s="80" t="s">
        <v>17668</v>
      </c>
      <c r="BD1801" s="77">
        <v>51150679</v>
      </c>
      <c r="BE1801" s="77"/>
      <c r="BF1801" s="77"/>
      <c r="BG1801" s="77"/>
      <c r="BH1801" s="77"/>
      <c r="BI1801" s="77"/>
    </row>
    <row r="1802" spans="1:61" x14ac:dyDescent="0.25">
      <c r="A1802" s="62" t="s">
        <v>790</v>
      </c>
      <c r="B1802" s="62" t="s">
        <v>790</v>
      </c>
      <c r="C1802" s="63"/>
      <c r="D1802" s="64"/>
      <c r="E1802" s="65"/>
      <c r="F1802" s="66"/>
      <c r="G1802" s="63"/>
      <c r="H1802" s="67"/>
      <c r="I1802" s="68"/>
      <c r="J1802" s="68"/>
      <c r="K1802" s="32"/>
      <c r="L1802" s="75">
        <v>1802</v>
      </c>
      <c r="M1802" s="75"/>
      <c r="N1802" s="70"/>
      <c r="O1802" s="77" t="s">
        <v>179</v>
      </c>
      <c r="P1802" s="79">
        <v>45091.511967592596</v>
      </c>
      <c r="Q1802" s="77" t="s">
        <v>3698</v>
      </c>
      <c r="R1802" s="77">
        <v>0</v>
      </c>
      <c r="S1802" s="77">
        <v>2</v>
      </c>
      <c r="T1802" s="77">
        <v>1</v>
      </c>
      <c r="U1802" s="77">
        <v>0</v>
      </c>
      <c r="V1802" s="77">
        <v>1236</v>
      </c>
      <c r="W1802" s="80" t="s">
        <v>6966</v>
      </c>
      <c r="X1802" s="83" t="str">
        <f>HYPERLINK("https://www.moneytimes.com.br/dolar-ronda-estabilidade-frente-ao-real-antes-de-provavel-pausa-do-fed/")</f>
        <v>https://www.moneytimes.com.br/dolar-ronda-estabilidade-frente-ao-real-antes-de-provavel-pausa-do-fed/</v>
      </c>
      <c r="Y1802" s="77" t="s">
        <v>8611</v>
      </c>
      <c r="Z1802" s="77"/>
      <c r="AA1802" s="77"/>
      <c r="AB1802" s="77"/>
      <c r="AC1802" s="80" t="s">
        <v>10558</v>
      </c>
      <c r="AD1802" s="77" t="s">
        <v>10617</v>
      </c>
      <c r="AE1802" s="83" t="str">
        <f>HYPERLINK("https://twitter.com/leiamoneytimes/status/1668955753925804033")</f>
        <v>https://twitter.com/leiamoneytimes/status/1668955753925804033</v>
      </c>
      <c r="AF1802" s="79">
        <v>45091.511967592596</v>
      </c>
      <c r="AG1802" s="85">
        <v>45091</v>
      </c>
      <c r="AH1802" s="80" t="s">
        <v>12229</v>
      </c>
      <c r="AI1802" s="77" t="b">
        <v>0</v>
      </c>
      <c r="AJ1802" s="77"/>
      <c r="AK1802" s="77"/>
      <c r="AL1802" s="77"/>
      <c r="AM1802" s="77"/>
      <c r="AN1802" s="77"/>
      <c r="AO1802" s="77"/>
      <c r="AP1802" s="77"/>
      <c r="AQ1802" s="77"/>
      <c r="AR1802" s="77"/>
      <c r="AS1802" s="77"/>
      <c r="AT1802" s="77"/>
      <c r="AU1802" s="77"/>
      <c r="AV1802" s="83" t="str">
        <f>HYPERLINK("https://pbs.twimg.com/profile_images/1559883556846977024/bXHnQFY0_normal.jpg")</f>
        <v>https://pbs.twimg.com/profile_images/1559883556846977024/bXHnQFY0_normal.jpg</v>
      </c>
      <c r="AW1802" s="80" t="s">
        <v>17669</v>
      </c>
      <c r="AX1802" s="80" t="s">
        <v>17669</v>
      </c>
      <c r="AY1802" s="77"/>
      <c r="AZ1802" s="80" t="s">
        <v>20380</v>
      </c>
      <c r="BA1802" s="80" t="s">
        <v>20380</v>
      </c>
      <c r="BB1802" s="80" t="s">
        <v>20380</v>
      </c>
      <c r="BC1802" s="80" t="s">
        <v>17669</v>
      </c>
      <c r="BD1802" s="77">
        <v>51150679</v>
      </c>
      <c r="BE1802" s="77"/>
      <c r="BF1802" s="77"/>
      <c r="BG1802" s="77"/>
      <c r="BH1802" s="77"/>
      <c r="BI1802" s="77"/>
    </row>
    <row r="1803" spans="1:61" x14ac:dyDescent="0.25">
      <c r="A1803" s="62" t="s">
        <v>790</v>
      </c>
      <c r="B1803" s="62" t="s">
        <v>790</v>
      </c>
      <c r="C1803" s="63"/>
      <c r="D1803" s="64"/>
      <c r="E1803" s="65"/>
      <c r="F1803" s="66"/>
      <c r="G1803" s="63"/>
      <c r="H1803" s="67"/>
      <c r="I1803" s="68"/>
      <c r="J1803" s="68"/>
      <c r="K1803" s="32"/>
      <c r="L1803" s="75">
        <v>1803</v>
      </c>
      <c r="M1803" s="75"/>
      <c r="N1803" s="70"/>
      <c r="O1803" s="77" t="s">
        <v>179</v>
      </c>
      <c r="P1803" s="79">
        <v>45090.998900462961</v>
      </c>
      <c r="Q1803" s="77" t="s">
        <v>3699</v>
      </c>
      <c r="R1803" s="77">
        <v>0</v>
      </c>
      <c r="S1803" s="77">
        <v>9</v>
      </c>
      <c r="T1803" s="77">
        <v>1</v>
      </c>
      <c r="U1803" s="77">
        <v>0</v>
      </c>
      <c r="V1803" s="77">
        <v>2021</v>
      </c>
      <c r="W1803" s="80" t="s">
        <v>6922</v>
      </c>
      <c r="X1803" s="83" t="str">
        <f>HYPERLINK("https://www.moneytimes.com.br/pix-automatico-garantido-e-bolepix-entenda-planos-do-bc-para-o-meio-de-pagamento/")</f>
        <v>https://www.moneytimes.com.br/pix-automatico-garantido-e-bolepix-entenda-planos-do-bc-para-o-meio-de-pagamento/</v>
      </c>
      <c r="Y1803" s="77" t="s">
        <v>8611</v>
      </c>
      <c r="Z1803" s="77"/>
      <c r="AA1803" s="77"/>
      <c r="AB1803" s="77"/>
      <c r="AC1803" s="80" t="s">
        <v>10558</v>
      </c>
      <c r="AD1803" s="77" t="s">
        <v>10617</v>
      </c>
      <c r="AE1803" s="83" t="str">
        <f>HYPERLINK("https://twitter.com/leiamoneytimes/status/1668769828302123009")</f>
        <v>https://twitter.com/leiamoneytimes/status/1668769828302123009</v>
      </c>
      <c r="AF1803" s="79">
        <v>45090.998900462961</v>
      </c>
      <c r="AG1803" s="85">
        <v>45090</v>
      </c>
      <c r="AH1803" s="80" t="s">
        <v>12230</v>
      </c>
      <c r="AI1803" s="77" t="b">
        <v>0</v>
      </c>
      <c r="AJ1803" s="77"/>
      <c r="AK1803" s="77"/>
      <c r="AL1803" s="77"/>
      <c r="AM1803" s="77"/>
      <c r="AN1803" s="77"/>
      <c r="AO1803" s="77"/>
      <c r="AP1803" s="77"/>
      <c r="AQ1803" s="77"/>
      <c r="AR1803" s="77"/>
      <c r="AS1803" s="77"/>
      <c r="AT1803" s="77"/>
      <c r="AU1803" s="77"/>
      <c r="AV1803" s="83" t="str">
        <f>HYPERLINK("https://pbs.twimg.com/profile_images/1559883556846977024/bXHnQFY0_normal.jpg")</f>
        <v>https://pbs.twimg.com/profile_images/1559883556846977024/bXHnQFY0_normal.jpg</v>
      </c>
      <c r="AW1803" s="80" t="s">
        <v>17670</v>
      </c>
      <c r="AX1803" s="80" t="s">
        <v>17670</v>
      </c>
      <c r="AY1803" s="77"/>
      <c r="AZ1803" s="80" t="s">
        <v>20380</v>
      </c>
      <c r="BA1803" s="80" t="s">
        <v>20380</v>
      </c>
      <c r="BB1803" s="80" t="s">
        <v>20380</v>
      </c>
      <c r="BC1803" s="80" t="s">
        <v>17670</v>
      </c>
      <c r="BD1803" s="77">
        <v>51150679</v>
      </c>
      <c r="BE1803" s="77"/>
      <c r="BF1803" s="77"/>
      <c r="BG1803" s="77"/>
      <c r="BH1803" s="77"/>
      <c r="BI1803" s="77"/>
    </row>
    <row r="1804" spans="1:61" x14ac:dyDescent="0.25">
      <c r="A1804" s="62" t="s">
        <v>790</v>
      </c>
      <c r="B1804" s="62" t="s">
        <v>790</v>
      </c>
      <c r="C1804" s="63"/>
      <c r="D1804" s="64"/>
      <c r="E1804" s="65"/>
      <c r="F1804" s="66"/>
      <c r="G1804" s="63"/>
      <c r="H1804" s="67"/>
      <c r="I1804" s="68"/>
      <c r="J1804" s="68"/>
      <c r="K1804" s="32"/>
      <c r="L1804" s="75">
        <v>1804</v>
      </c>
      <c r="M1804" s="75"/>
      <c r="N1804" s="70"/>
      <c r="O1804" s="77" t="s">
        <v>179</v>
      </c>
      <c r="P1804" s="79">
        <v>45059.817974537036</v>
      </c>
      <c r="Q1804" s="77" t="s">
        <v>3700</v>
      </c>
      <c r="R1804" s="77">
        <v>0</v>
      </c>
      <c r="S1804" s="77">
        <v>13</v>
      </c>
      <c r="T1804" s="77">
        <v>2</v>
      </c>
      <c r="U1804" s="77">
        <v>0</v>
      </c>
      <c r="V1804" s="77">
        <v>3019</v>
      </c>
      <c r="W1804" s="80" t="s">
        <v>7063</v>
      </c>
      <c r="X1804" s="83" t="str">
        <f>HYPERLINK("https://www.moneytimes.com.br/haddad-meta-de-inflacao-so-sera-discutida-depois-de-aprovar-arcabouco-fiscal/")</f>
        <v>https://www.moneytimes.com.br/haddad-meta-de-inflacao-so-sera-discutida-depois-de-aprovar-arcabouco-fiscal/</v>
      </c>
      <c r="Y1804" s="77" t="s">
        <v>8611</v>
      </c>
      <c r="Z1804" s="77"/>
      <c r="AA1804" s="77"/>
      <c r="AB1804" s="77"/>
      <c r="AC1804" s="80" t="s">
        <v>10558</v>
      </c>
      <c r="AD1804" s="77" t="s">
        <v>10617</v>
      </c>
      <c r="AE1804" s="83" t="str">
        <f>HYPERLINK("https://twitter.com/leiamoneytimes/status/1657470235157381124")</f>
        <v>https://twitter.com/leiamoneytimes/status/1657470235157381124</v>
      </c>
      <c r="AF1804" s="79">
        <v>45059.817974537036</v>
      </c>
      <c r="AG1804" s="85">
        <v>45059</v>
      </c>
      <c r="AH1804" s="80" t="s">
        <v>12231</v>
      </c>
      <c r="AI1804" s="77" t="b">
        <v>0</v>
      </c>
      <c r="AJ1804" s="77"/>
      <c r="AK1804" s="77"/>
      <c r="AL1804" s="77"/>
      <c r="AM1804" s="77"/>
      <c r="AN1804" s="77"/>
      <c r="AO1804" s="77"/>
      <c r="AP1804" s="77"/>
      <c r="AQ1804" s="77"/>
      <c r="AR1804" s="77"/>
      <c r="AS1804" s="77"/>
      <c r="AT1804" s="77"/>
      <c r="AU1804" s="77"/>
      <c r="AV1804" s="83" t="str">
        <f>HYPERLINK("https://pbs.twimg.com/profile_images/1559883556846977024/bXHnQFY0_normal.jpg")</f>
        <v>https://pbs.twimg.com/profile_images/1559883556846977024/bXHnQFY0_normal.jpg</v>
      </c>
      <c r="AW1804" s="80" t="s">
        <v>17671</v>
      </c>
      <c r="AX1804" s="80" t="s">
        <v>17671</v>
      </c>
      <c r="AY1804" s="77"/>
      <c r="AZ1804" s="80" t="s">
        <v>20380</v>
      </c>
      <c r="BA1804" s="80" t="s">
        <v>20380</v>
      </c>
      <c r="BB1804" s="80" t="s">
        <v>20380</v>
      </c>
      <c r="BC1804" s="80" t="s">
        <v>17671</v>
      </c>
      <c r="BD1804" s="77">
        <v>51150679</v>
      </c>
      <c r="BE1804" s="77"/>
      <c r="BF1804" s="77"/>
      <c r="BG1804" s="77"/>
      <c r="BH1804" s="77"/>
      <c r="BI1804" s="77"/>
    </row>
    <row r="1805" spans="1:61" x14ac:dyDescent="0.25">
      <c r="A1805" s="62" t="s">
        <v>790</v>
      </c>
      <c r="B1805" s="62" t="s">
        <v>790</v>
      </c>
      <c r="C1805" s="63"/>
      <c r="D1805" s="64"/>
      <c r="E1805" s="65"/>
      <c r="F1805" s="66"/>
      <c r="G1805" s="63"/>
      <c r="H1805" s="67"/>
      <c r="I1805" s="68"/>
      <c r="J1805" s="68"/>
      <c r="K1805" s="32"/>
      <c r="L1805" s="75">
        <v>1805</v>
      </c>
      <c r="M1805" s="75"/>
      <c r="N1805" s="70"/>
      <c r="O1805" s="77" t="s">
        <v>179</v>
      </c>
      <c r="P1805" s="79">
        <v>45059.640486111108</v>
      </c>
      <c r="Q1805" s="77" t="s">
        <v>3701</v>
      </c>
      <c r="R1805" s="77">
        <v>0</v>
      </c>
      <c r="S1805" s="77">
        <v>10</v>
      </c>
      <c r="T1805" s="77">
        <v>5</v>
      </c>
      <c r="U1805" s="77">
        <v>1</v>
      </c>
      <c r="V1805" s="77">
        <v>3908</v>
      </c>
      <c r="W1805" s="80" t="s">
        <v>7064</v>
      </c>
      <c r="X1805" s="83" t="str">
        <f>HYPERLINK("https://www.moneytimes.com.br/enquete-campos-neto-culpa-demanda-elevada-por-inflacao-voce-concorda/")</f>
        <v>https://www.moneytimes.com.br/enquete-campos-neto-culpa-demanda-elevada-por-inflacao-voce-concorda/</v>
      </c>
      <c r="Y1805" s="77" t="s">
        <v>8611</v>
      </c>
      <c r="Z1805" s="77"/>
      <c r="AA1805" s="77"/>
      <c r="AB1805" s="77"/>
      <c r="AC1805" s="80" t="s">
        <v>10558</v>
      </c>
      <c r="AD1805" s="77" t="s">
        <v>10617</v>
      </c>
      <c r="AE1805" s="83" t="str">
        <f>HYPERLINK("https://twitter.com/leiamoneytimes/status/1657405918235992070")</f>
        <v>https://twitter.com/leiamoneytimes/status/1657405918235992070</v>
      </c>
      <c r="AF1805" s="79">
        <v>45059.640486111108</v>
      </c>
      <c r="AG1805" s="85">
        <v>45059</v>
      </c>
      <c r="AH1805" s="80" t="s">
        <v>12232</v>
      </c>
      <c r="AI1805" s="77" t="b">
        <v>0</v>
      </c>
      <c r="AJ1805" s="77"/>
      <c r="AK1805" s="77"/>
      <c r="AL1805" s="77"/>
      <c r="AM1805" s="77"/>
      <c r="AN1805" s="77"/>
      <c r="AO1805" s="77"/>
      <c r="AP1805" s="77"/>
      <c r="AQ1805" s="77"/>
      <c r="AR1805" s="77"/>
      <c r="AS1805" s="77"/>
      <c r="AT1805" s="77"/>
      <c r="AU1805" s="77"/>
      <c r="AV1805" s="83" t="str">
        <f>HYPERLINK("https://pbs.twimg.com/profile_images/1559883556846977024/bXHnQFY0_normal.jpg")</f>
        <v>https://pbs.twimg.com/profile_images/1559883556846977024/bXHnQFY0_normal.jpg</v>
      </c>
      <c r="AW1805" s="80" t="s">
        <v>17672</v>
      </c>
      <c r="AX1805" s="80" t="s">
        <v>17672</v>
      </c>
      <c r="AY1805" s="77"/>
      <c r="AZ1805" s="80" t="s">
        <v>20380</v>
      </c>
      <c r="BA1805" s="80" t="s">
        <v>20380</v>
      </c>
      <c r="BB1805" s="80" t="s">
        <v>20380</v>
      </c>
      <c r="BC1805" s="80" t="s">
        <v>17672</v>
      </c>
      <c r="BD1805" s="77">
        <v>51150679</v>
      </c>
      <c r="BE1805" s="77"/>
      <c r="BF1805" s="77"/>
      <c r="BG1805" s="77"/>
      <c r="BH1805" s="77"/>
      <c r="BI1805" s="77"/>
    </row>
    <row r="1806" spans="1:61" x14ac:dyDescent="0.25">
      <c r="A1806" s="62" t="s">
        <v>790</v>
      </c>
      <c r="B1806" s="62" t="s">
        <v>790</v>
      </c>
      <c r="C1806" s="63"/>
      <c r="D1806" s="64"/>
      <c r="E1806" s="65"/>
      <c r="F1806" s="66"/>
      <c r="G1806" s="63"/>
      <c r="H1806" s="67"/>
      <c r="I1806" s="68"/>
      <c r="J1806" s="68"/>
      <c r="K1806" s="32"/>
      <c r="L1806" s="75">
        <v>1806</v>
      </c>
      <c r="M1806" s="75"/>
      <c r="N1806" s="70"/>
      <c r="O1806" s="77" t="s">
        <v>179</v>
      </c>
      <c r="P1806" s="79">
        <v>45059.497488425928</v>
      </c>
      <c r="Q1806" s="77" t="s">
        <v>3702</v>
      </c>
      <c r="R1806" s="77">
        <v>6</v>
      </c>
      <c r="S1806" s="77">
        <v>65</v>
      </c>
      <c r="T1806" s="77">
        <v>3</v>
      </c>
      <c r="U1806" s="77">
        <v>0</v>
      </c>
      <c r="V1806" s="77">
        <v>5531</v>
      </c>
      <c r="W1806" s="80" t="s">
        <v>6967</v>
      </c>
      <c r="X1806" s="83" t="str">
        <f>HYPERLINK("https://www.moneytimes.com.br/campos-neto-diz-que-e-falacia-defender-que-inflacao-no-brasil-hoje-nao-e-de-demanda/")</f>
        <v>https://www.moneytimes.com.br/campos-neto-diz-que-e-falacia-defender-que-inflacao-no-brasil-hoje-nao-e-de-demanda/</v>
      </c>
      <c r="Y1806" s="77" t="s">
        <v>8611</v>
      </c>
      <c r="Z1806" s="77"/>
      <c r="AA1806" s="77"/>
      <c r="AB1806" s="77"/>
      <c r="AC1806" s="80" t="s">
        <v>10558</v>
      </c>
      <c r="AD1806" s="77" t="s">
        <v>10617</v>
      </c>
      <c r="AE1806" s="83" t="str">
        <f>HYPERLINK("https://twitter.com/leiamoneytimes/status/1657354095278137345")</f>
        <v>https://twitter.com/leiamoneytimes/status/1657354095278137345</v>
      </c>
      <c r="AF1806" s="79">
        <v>45059.497488425928</v>
      </c>
      <c r="AG1806" s="85">
        <v>45059</v>
      </c>
      <c r="AH1806" s="80" t="s">
        <v>12233</v>
      </c>
      <c r="AI1806" s="77" t="b">
        <v>0</v>
      </c>
      <c r="AJ1806" s="77"/>
      <c r="AK1806" s="77"/>
      <c r="AL1806" s="77"/>
      <c r="AM1806" s="77"/>
      <c r="AN1806" s="77"/>
      <c r="AO1806" s="77"/>
      <c r="AP1806" s="77"/>
      <c r="AQ1806" s="77"/>
      <c r="AR1806" s="77"/>
      <c r="AS1806" s="77"/>
      <c r="AT1806" s="77"/>
      <c r="AU1806" s="77"/>
      <c r="AV1806" s="83" t="str">
        <f>HYPERLINK("https://pbs.twimg.com/profile_images/1559883556846977024/bXHnQFY0_normal.jpg")</f>
        <v>https://pbs.twimg.com/profile_images/1559883556846977024/bXHnQFY0_normal.jpg</v>
      </c>
      <c r="AW1806" s="80" t="s">
        <v>17673</v>
      </c>
      <c r="AX1806" s="80" t="s">
        <v>17673</v>
      </c>
      <c r="AY1806" s="77"/>
      <c r="AZ1806" s="80" t="s">
        <v>20380</v>
      </c>
      <c r="BA1806" s="80" t="s">
        <v>20380</v>
      </c>
      <c r="BB1806" s="80" t="s">
        <v>20380</v>
      </c>
      <c r="BC1806" s="80" t="s">
        <v>17673</v>
      </c>
      <c r="BD1806" s="77">
        <v>51150679</v>
      </c>
      <c r="BE1806" s="77"/>
      <c r="BF1806" s="77"/>
      <c r="BG1806" s="77"/>
      <c r="BH1806" s="77"/>
      <c r="BI1806" s="77"/>
    </row>
    <row r="1807" spans="1:61" x14ac:dyDescent="0.25">
      <c r="A1807" s="62" t="s">
        <v>790</v>
      </c>
      <c r="B1807" s="62" t="s">
        <v>790</v>
      </c>
      <c r="C1807" s="63"/>
      <c r="D1807" s="64"/>
      <c r="E1807" s="65"/>
      <c r="F1807" s="66"/>
      <c r="G1807" s="63"/>
      <c r="H1807" s="67"/>
      <c r="I1807" s="68"/>
      <c r="J1807" s="68"/>
      <c r="K1807" s="32"/>
      <c r="L1807" s="75">
        <v>1807</v>
      </c>
      <c r="M1807" s="75"/>
      <c r="N1807" s="70"/>
      <c r="O1807" s="77" t="s">
        <v>179</v>
      </c>
      <c r="P1807" s="79">
        <v>45058.717546296299</v>
      </c>
      <c r="Q1807" s="77" t="s">
        <v>3703</v>
      </c>
      <c r="R1807" s="77">
        <v>2</v>
      </c>
      <c r="S1807" s="77">
        <v>23</v>
      </c>
      <c r="T1807" s="77">
        <v>5</v>
      </c>
      <c r="U1807" s="77">
        <v>0</v>
      </c>
      <c r="V1807" s="77">
        <v>2902</v>
      </c>
      <c r="W1807" s="80" t="s">
        <v>6931</v>
      </c>
      <c r="X1807" s="83" t="str">
        <f>HYPERLINK("https://www.moneytimes.com.br/banco-central-esta-estrangulando-a-economia-brasileira-diz-nobel-de-economia-apos-encontro-com-haddad/")</f>
        <v>https://www.moneytimes.com.br/banco-central-esta-estrangulando-a-economia-brasileira-diz-nobel-de-economia-apos-encontro-com-haddad/</v>
      </c>
      <c r="Y1807" s="77" t="s">
        <v>8611</v>
      </c>
      <c r="Z1807" s="77"/>
      <c r="AA1807" s="77"/>
      <c r="AB1807" s="77"/>
      <c r="AC1807" s="80" t="s">
        <v>10558</v>
      </c>
      <c r="AD1807" s="77" t="s">
        <v>10617</v>
      </c>
      <c r="AE1807" s="83" t="str">
        <f>HYPERLINK("https://twitter.com/leiamoneytimes/status/1657071453919903744")</f>
        <v>https://twitter.com/leiamoneytimes/status/1657071453919903744</v>
      </c>
      <c r="AF1807" s="79">
        <v>45058.717546296299</v>
      </c>
      <c r="AG1807" s="85">
        <v>45058</v>
      </c>
      <c r="AH1807" s="80" t="s">
        <v>12234</v>
      </c>
      <c r="AI1807" s="77" t="b">
        <v>0</v>
      </c>
      <c r="AJ1807" s="77"/>
      <c r="AK1807" s="77"/>
      <c r="AL1807" s="77"/>
      <c r="AM1807" s="77"/>
      <c r="AN1807" s="77"/>
      <c r="AO1807" s="77"/>
      <c r="AP1807" s="77"/>
      <c r="AQ1807" s="77"/>
      <c r="AR1807" s="77"/>
      <c r="AS1807" s="77"/>
      <c r="AT1807" s="77"/>
      <c r="AU1807" s="77"/>
      <c r="AV1807" s="83" t="str">
        <f>HYPERLINK("https://pbs.twimg.com/profile_images/1559883556846977024/bXHnQFY0_normal.jpg")</f>
        <v>https://pbs.twimg.com/profile_images/1559883556846977024/bXHnQFY0_normal.jpg</v>
      </c>
      <c r="AW1807" s="80" t="s">
        <v>17674</v>
      </c>
      <c r="AX1807" s="80" t="s">
        <v>17674</v>
      </c>
      <c r="AY1807" s="77"/>
      <c r="AZ1807" s="80" t="s">
        <v>20380</v>
      </c>
      <c r="BA1807" s="80" t="s">
        <v>20380</v>
      </c>
      <c r="BB1807" s="80" t="s">
        <v>20380</v>
      </c>
      <c r="BC1807" s="80" t="s">
        <v>17674</v>
      </c>
      <c r="BD1807" s="77">
        <v>51150679</v>
      </c>
      <c r="BE1807" s="77"/>
      <c r="BF1807" s="77"/>
      <c r="BG1807" s="77"/>
      <c r="BH1807" s="77"/>
      <c r="BI1807" s="77"/>
    </row>
    <row r="1808" spans="1:61" x14ac:dyDescent="0.25">
      <c r="A1808" s="62" t="s">
        <v>790</v>
      </c>
      <c r="B1808" s="62" t="s">
        <v>790</v>
      </c>
      <c r="C1808" s="63"/>
      <c r="D1808" s="64"/>
      <c r="E1808" s="65"/>
      <c r="F1808" s="66"/>
      <c r="G1808" s="63"/>
      <c r="H1808" s="67"/>
      <c r="I1808" s="68"/>
      <c r="J1808" s="68"/>
      <c r="K1808" s="32"/>
      <c r="L1808" s="75">
        <v>1808</v>
      </c>
      <c r="M1808" s="75"/>
      <c r="N1808" s="70"/>
      <c r="O1808" s="77" t="s">
        <v>179</v>
      </c>
      <c r="P1808" s="79">
        <v>45058.634641203702</v>
      </c>
      <c r="Q1808" s="77" t="s">
        <v>3704</v>
      </c>
      <c r="R1808" s="77">
        <v>0</v>
      </c>
      <c r="S1808" s="77">
        <v>4</v>
      </c>
      <c r="T1808" s="77">
        <v>1</v>
      </c>
      <c r="U1808" s="77">
        <v>0</v>
      </c>
      <c r="V1808" s="77">
        <v>1244</v>
      </c>
      <c r="W1808" s="80" t="s">
        <v>7043</v>
      </c>
      <c r="X1808" s="83" t="str">
        <f>HYPERLINK("https://www.moneytimes.com.br/ipca-como-a-inflacao-acima-das-projecoes-reforca-discurso-de-paciencia-do-banco-central-na-queda-da-selic/")</f>
        <v>https://www.moneytimes.com.br/ipca-como-a-inflacao-acima-das-projecoes-reforca-discurso-de-paciencia-do-banco-central-na-queda-da-selic/</v>
      </c>
      <c r="Y1808" s="77" t="s">
        <v>8611</v>
      </c>
      <c r="Z1808" s="77"/>
      <c r="AA1808" s="77"/>
      <c r="AB1808" s="77"/>
      <c r="AC1808" s="80" t="s">
        <v>10558</v>
      </c>
      <c r="AD1808" s="77" t="s">
        <v>10617</v>
      </c>
      <c r="AE1808" s="83" t="str">
        <f>HYPERLINK("https://twitter.com/leiamoneytimes/status/1657041412716634116")</f>
        <v>https://twitter.com/leiamoneytimes/status/1657041412716634116</v>
      </c>
      <c r="AF1808" s="79">
        <v>45058.634641203702</v>
      </c>
      <c r="AG1808" s="85">
        <v>45058</v>
      </c>
      <c r="AH1808" s="80" t="s">
        <v>12235</v>
      </c>
      <c r="AI1808" s="77" t="b">
        <v>0</v>
      </c>
      <c r="AJ1808" s="77"/>
      <c r="AK1808" s="77"/>
      <c r="AL1808" s="77"/>
      <c r="AM1808" s="77"/>
      <c r="AN1808" s="77"/>
      <c r="AO1808" s="77"/>
      <c r="AP1808" s="77"/>
      <c r="AQ1808" s="77"/>
      <c r="AR1808" s="77"/>
      <c r="AS1808" s="77"/>
      <c r="AT1808" s="77"/>
      <c r="AU1808" s="77"/>
      <c r="AV1808" s="83" t="str">
        <f>HYPERLINK("https://pbs.twimg.com/profile_images/1559883556846977024/bXHnQFY0_normal.jpg")</f>
        <v>https://pbs.twimg.com/profile_images/1559883556846977024/bXHnQFY0_normal.jpg</v>
      </c>
      <c r="AW1808" s="80" t="s">
        <v>17675</v>
      </c>
      <c r="AX1808" s="80" t="s">
        <v>17675</v>
      </c>
      <c r="AY1808" s="77"/>
      <c r="AZ1808" s="80" t="s">
        <v>20380</v>
      </c>
      <c r="BA1808" s="80" t="s">
        <v>20380</v>
      </c>
      <c r="BB1808" s="80" t="s">
        <v>20380</v>
      </c>
      <c r="BC1808" s="80" t="s">
        <v>17675</v>
      </c>
      <c r="BD1808" s="77">
        <v>51150679</v>
      </c>
      <c r="BE1808" s="77"/>
      <c r="BF1808" s="77"/>
      <c r="BG1808" s="77"/>
      <c r="BH1808" s="77"/>
      <c r="BI1808" s="77"/>
    </row>
    <row r="1809" spans="1:61" x14ac:dyDescent="0.25">
      <c r="A1809" s="62" t="s">
        <v>790</v>
      </c>
      <c r="B1809" s="62" t="s">
        <v>790</v>
      </c>
      <c r="C1809" s="63"/>
      <c r="D1809" s="64"/>
      <c r="E1809" s="65"/>
      <c r="F1809" s="66"/>
      <c r="G1809" s="63"/>
      <c r="H1809" s="67"/>
      <c r="I1809" s="68"/>
      <c r="J1809" s="68"/>
      <c r="K1809" s="32"/>
      <c r="L1809" s="75">
        <v>1809</v>
      </c>
      <c r="M1809" s="75"/>
      <c r="N1809" s="70"/>
      <c r="O1809" s="77" t="s">
        <v>179</v>
      </c>
      <c r="P1809" s="79">
        <v>45058.543263888889</v>
      </c>
      <c r="Q1809" s="77" t="s">
        <v>3705</v>
      </c>
      <c r="R1809" s="77">
        <v>0</v>
      </c>
      <c r="S1809" s="77">
        <v>3</v>
      </c>
      <c r="T1809" s="77">
        <v>1</v>
      </c>
      <c r="U1809" s="77">
        <v>0</v>
      </c>
      <c r="V1809" s="77">
        <v>1164</v>
      </c>
      <c r="W1809" s="80" t="s">
        <v>6965</v>
      </c>
      <c r="X1809" s="83" t="str">
        <f>HYPERLINK("https://www.moneytimes.com.br/ipca-calculos-sobre-a-persistencia-inflacionaria-os-ajustes-necessarios-e-a-meta-de-medio-prazo/")</f>
        <v>https://www.moneytimes.com.br/ipca-calculos-sobre-a-persistencia-inflacionaria-os-ajustes-necessarios-e-a-meta-de-medio-prazo/</v>
      </c>
      <c r="Y1809" s="77" t="s">
        <v>8611</v>
      </c>
      <c r="Z1809" s="77"/>
      <c r="AA1809" s="77"/>
      <c r="AB1809" s="77"/>
      <c r="AC1809" s="80" t="s">
        <v>10558</v>
      </c>
      <c r="AD1809" s="77" t="s">
        <v>10617</v>
      </c>
      <c r="AE1809" s="83" t="str">
        <f>HYPERLINK("https://twitter.com/leiamoneytimes/status/1657008297252212739")</f>
        <v>https://twitter.com/leiamoneytimes/status/1657008297252212739</v>
      </c>
      <c r="AF1809" s="79">
        <v>45058.543263888889</v>
      </c>
      <c r="AG1809" s="85">
        <v>45058</v>
      </c>
      <c r="AH1809" s="80" t="s">
        <v>12236</v>
      </c>
      <c r="AI1809" s="77" t="b">
        <v>0</v>
      </c>
      <c r="AJ1809" s="77"/>
      <c r="AK1809" s="77"/>
      <c r="AL1809" s="77"/>
      <c r="AM1809" s="77"/>
      <c r="AN1809" s="77"/>
      <c r="AO1809" s="77"/>
      <c r="AP1809" s="77"/>
      <c r="AQ1809" s="77"/>
      <c r="AR1809" s="77"/>
      <c r="AS1809" s="77"/>
      <c r="AT1809" s="77"/>
      <c r="AU1809" s="77"/>
      <c r="AV1809" s="83" t="str">
        <f>HYPERLINK("https://pbs.twimg.com/profile_images/1559883556846977024/bXHnQFY0_normal.jpg")</f>
        <v>https://pbs.twimg.com/profile_images/1559883556846977024/bXHnQFY0_normal.jpg</v>
      </c>
      <c r="AW1809" s="80" t="s">
        <v>17676</v>
      </c>
      <c r="AX1809" s="80" t="s">
        <v>17676</v>
      </c>
      <c r="AY1809" s="77"/>
      <c r="AZ1809" s="80" t="s">
        <v>20380</v>
      </c>
      <c r="BA1809" s="80" t="s">
        <v>20380</v>
      </c>
      <c r="BB1809" s="80" t="s">
        <v>20380</v>
      </c>
      <c r="BC1809" s="80" t="s">
        <v>17676</v>
      </c>
      <c r="BD1809" s="77">
        <v>51150679</v>
      </c>
      <c r="BE1809" s="77"/>
      <c r="BF1809" s="77"/>
      <c r="BG1809" s="77"/>
      <c r="BH1809" s="77"/>
      <c r="BI1809" s="77"/>
    </row>
    <row r="1810" spans="1:61" x14ac:dyDescent="0.25">
      <c r="A1810" s="62" t="s">
        <v>790</v>
      </c>
      <c r="B1810" s="62" t="s">
        <v>790</v>
      </c>
      <c r="C1810" s="63"/>
      <c r="D1810" s="64"/>
      <c r="E1810" s="65"/>
      <c r="F1810" s="66"/>
      <c r="G1810" s="63"/>
      <c r="H1810" s="67"/>
      <c r="I1810" s="68"/>
      <c r="J1810" s="68"/>
      <c r="K1810" s="32"/>
      <c r="L1810" s="75">
        <v>1810</v>
      </c>
      <c r="M1810" s="75"/>
      <c r="N1810" s="70"/>
      <c r="O1810" s="77" t="s">
        <v>179</v>
      </c>
      <c r="P1810" s="79">
        <v>45058.51903935185</v>
      </c>
      <c r="Q1810" s="77" t="s">
        <v>3706</v>
      </c>
      <c r="R1810" s="77">
        <v>0</v>
      </c>
      <c r="S1810" s="77">
        <v>3</v>
      </c>
      <c r="T1810" s="77">
        <v>1</v>
      </c>
      <c r="U1810" s="77">
        <v>1</v>
      </c>
      <c r="V1810" s="77">
        <v>1395</v>
      </c>
      <c r="W1810" s="80" t="s">
        <v>7002</v>
      </c>
      <c r="X1810" s="83" t="str">
        <f>HYPERLINK("https://www.moneytimes.com.br/dolar-tem-leve-recuperacao-frente-ao-real-no-dia-mas-mira-forte-queda-semanal/")</f>
        <v>https://www.moneytimes.com.br/dolar-tem-leve-recuperacao-frente-ao-real-no-dia-mas-mira-forte-queda-semanal/</v>
      </c>
      <c r="Y1810" s="77" t="s">
        <v>8611</v>
      </c>
      <c r="Z1810" s="77"/>
      <c r="AA1810" s="77"/>
      <c r="AB1810" s="77"/>
      <c r="AC1810" s="80" t="s">
        <v>10558</v>
      </c>
      <c r="AD1810" s="77" t="s">
        <v>10617</v>
      </c>
      <c r="AE1810" s="83" t="str">
        <f>HYPERLINK("https://twitter.com/leiamoneytimes/status/1656999516766126080")</f>
        <v>https://twitter.com/leiamoneytimes/status/1656999516766126080</v>
      </c>
      <c r="AF1810" s="79">
        <v>45058.51903935185</v>
      </c>
      <c r="AG1810" s="85">
        <v>45058</v>
      </c>
      <c r="AH1810" s="80" t="s">
        <v>12237</v>
      </c>
      <c r="AI1810" s="77" t="b">
        <v>0</v>
      </c>
      <c r="AJ1810" s="77"/>
      <c r="AK1810" s="77"/>
      <c r="AL1810" s="77"/>
      <c r="AM1810" s="77"/>
      <c r="AN1810" s="77"/>
      <c r="AO1810" s="77"/>
      <c r="AP1810" s="77"/>
      <c r="AQ1810" s="77"/>
      <c r="AR1810" s="77"/>
      <c r="AS1810" s="77"/>
      <c r="AT1810" s="77"/>
      <c r="AU1810" s="77"/>
      <c r="AV1810" s="83" t="str">
        <f>HYPERLINK("https://pbs.twimg.com/profile_images/1559883556846977024/bXHnQFY0_normal.jpg")</f>
        <v>https://pbs.twimg.com/profile_images/1559883556846977024/bXHnQFY0_normal.jpg</v>
      </c>
      <c r="AW1810" s="80" t="s">
        <v>17677</v>
      </c>
      <c r="AX1810" s="80" t="s">
        <v>17677</v>
      </c>
      <c r="AY1810" s="77"/>
      <c r="AZ1810" s="80" t="s">
        <v>20380</v>
      </c>
      <c r="BA1810" s="80" t="s">
        <v>20380</v>
      </c>
      <c r="BB1810" s="80" t="s">
        <v>20380</v>
      </c>
      <c r="BC1810" s="80" t="s">
        <v>17677</v>
      </c>
      <c r="BD1810" s="77">
        <v>51150679</v>
      </c>
      <c r="BE1810" s="77"/>
      <c r="BF1810" s="77"/>
      <c r="BG1810" s="77"/>
      <c r="BH1810" s="77"/>
      <c r="BI1810" s="77"/>
    </row>
    <row r="1811" spans="1:61" x14ac:dyDescent="0.25">
      <c r="A1811" s="62" t="s">
        <v>790</v>
      </c>
      <c r="B1811" s="62" t="s">
        <v>790</v>
      </c>
      <c r="C1811" s="63"/>
      <c r="D1811" s="64"/>
      <c r="E1811" s="65"/>
      <c r="F1811" s="66"/>
      <c r="G1811" s="63"/>
      <c r="H1811" s="67"/>
      <c r="I1811" s="68"/>
      <c r="J1811" s="68"/>
      <c r="K1811" s="32"/>
      <c r="L1811" s="75">
        <v>1811</v>
      </c>
      <c r="M1811" s="75"/>
      <c r="N1811" s="70"/>
      <c r="O1811" s="77" t="s">
        <v>179</v>
      </c>
      <c r="P1811" s="79">
        <v>45057.73033564815</v>
      </c>
      <c r="Q1811" s="77" t="s">
        <v>3707</v>
      </c>
      <c r="R1811" s="77">
        <v>0</v>
      </c>
      <c r="S1811" s="77">
        <v>2</v>
      </c>
      <c r="T1811" s="77">
        <v>1</v>
      </c>
      <c r="U1811" s="77">
        <v>0</v>
      </c>
      <c r="V1811" s="77">
        <v>1179</v>
      </c>
      <c r="W1811" s="80" t="s">
        <v>7065</v>
      </c>
      <c r="X1811" s="83" t="str">
        <f>HYPERLINK("https://www.moneytimes.com.br/tebet-sensitiva-inflacao-acumulada-de-abril-pode-ser-a-mais-baixa-desde-outubro-de-2020/")</f>
        <v>https://www.moneytimes.com.br/tebet-sensitiva-inflacao-acumulada-de-abril-pode-ser-a-mais-baixa-desde-outubro-de-2020/</v>
      </c>
      <c r="Y1811" s="77" t="s">
        <v>8611</v>
      </c>
      <c r="Z1811" s="77"/>
      <c r="AA1811" s="77"/>
      <c r="AB1811" s="77"/>
      <c r="AC1811" s="80" t="s">
        <v>10558</v>
      </c>
      <c r="AD1811" s="77" t="s">
        <v>10617</v>
      </c>
      <c r="AE1811" s="83" t="str">
        <f>HYPERLINK("https://twitter.com/leiamoneytimes/status/1656713701586616323")</f>
        <v>https://twitter.com/leiamoneytimes/status/1656713701586616323</v>
      </c>
      <c r="AF1811" s="79">
        <v>45057.73033564815</v>
      </c>
      <c r="AG1811" s="85">
        <v>45057</v>
      </c>
      <c r="AH1811" s="80" t="s">
        <v>12238</v>
      </c>
      <c r="AI1811" s="77" t="b">
        <v>0</v>
      </c>
      <c r="AJ1811" s="77"/>
      <c r="AK1811" s="77"/>
      <c r="AL1811" s="77"/>
      <c r="AM1811" s="77"/>
      <c r="AN1811" s="77"/>
      <c r="AO1811" s="77"/>
      <c r="AP1811" s="77"/>
      <c r="AQ1811" s="77"/>
      <c r="AR1811" s="77"/>
      <c r="AS1811" s="77"/>
      <c r="AT1811" s="77"/>
      <c r="AU1811" s="77"/>
      <c r="AV1811" s="83" t="str">
        <f>HYPERLINK("https://pbs.twimg.com/profile_images/1559883556846977024/bXHnQFY0_normal.jpg")</f>
        <v>https://pbs.twimg.com/profile_images/1559883556846977024/bXHnQFY0_normal.jpg</v>
      </c>
      <c r="AW1811" s="80" t="s">
        <v>17678</v>
      </c>
      <c r="AX1811" s="80" t="s">
        <v>17678</v>
      </c>
      <c r="AY1811" s="77"/>
      <c r="AZ1811" s="80" t="s">
        <v>20380</v>
      </c>
      <c r="BA1811" s="80" t="s">
        <v>20380</v>
      </c>
      <c r="BB1811" s="80" t="s">
        <v>20380</v>
      </c>
      <c r="BC1811" s="80" t="s">
        <v>17678</v>
      </c>
      <c r="BD1811" s="77">
        <v>51150679</v>
      </c>
      <c r="BE1811" s="77"/>
      <c r="BF1811" s="77"/>
      <c r="BG1811" s="77"/>
      <c r="BH1811" s="77"/>
      <c r="BI1811" s="77"/>
    </row>
    <row r="1812" spans="1:61" x14ac:dyDescent="0.25">
      <c r="A1812" s="62" t="s">
        <v>790</v>
      </c>
      <c r="B1812" s="62" t="s">
        <v>790</v>
      </c>
      <c r="C1812" s="63"/>
      <c r="D1812" s="64"/>
      <c r="E1812" s="65"/>
      <c r="F1812" s="66"/>
      <c r="G1812" s="63"/>
      <c r="H1812" s="67"/>
      <c r="I1812" s="68"/>
      <c r="J1812" s="68"/>
      <c r="K1812" s="32"/>
      <c r="L1812" s="75">
        <v>1812</v>
      </c>
      <c r="M1812" s="75"/>
      <c r="N1812" s="70"/>
      <c r="O1812" s="77" t="s">
        <v>179</v>
      </c>
      <c r="P1812" s="79">
        <v>45056.886319444442</v>
      </c>
      <c r="Q1812" s="77" t="s">
        <v>3708</v>
      </c>
      <c r="R1812" s="77">
        <v>0</v>
      </c>
      <c r="S1812" s="77">
        <v>8</v>
      </c>
      <c r="T1812" s="77">
        <v>1</v>
      </c>
      <c r="U1812" s="77">
        <v>0</v>
      </c>
      <c r="V1812" s="77">
        <v>1506</v>
      </c>
      <c r="W1812" s="80" t="s">
        <v>7066</v>
      </c>
      <c r="X1812" s="83" t="str">
        <f>HYPERLINK("https://www.moneytimes.com.br/governo-ja-trabalha-com-pib-melhor-para-2023-em-cenario-desafiador-para-bc/")</f>
        <v>https://www.moneytimes.com.br/governo-ja-trabalha-com-pib-melhor-para-2023-em-cenario-desafiador-para-bc/</v>
      </c>
      <c r="Y1812" s="77" t="s">
        <v>8611</v>
      </c>
      <c r="Z1812" s="77"/>
      <c r="AA1812" s="77"/>
      <c r="AB1812" s="77"/>
      <c r="AC1812" s="80" t="s">
        <v>10558</v>
      </c>
      <c r="AD1812" s="77" t="s">
        <v>10617</v>
      </c>
      <c r="AE1812" s="83" t="str">
        <f>HYPERLINK("https://twitter.com/leiamoneytimes/status/1656407838992809987")</f>
        <v>https://twitter.com/leiamoneytimes/status/1656407838992809987</v>
      </c>
      <c r="AF1812" s="79">
        <v>45056.886319444442</v>
      </c>
      <c r="AG1812" s="85">
        <v>45056</v>
      </c>
      <c r="AH1812" s="80" t="s">
        <v>12239</v>
      </c>
      <c r="AI1812" s="77" t="b">
        <v>0</v>
      </c>
      <c r="AJ1812" s="77"/>
      <c r="AK1812" s="77"/>
      <c r="AL1812" s="77"/>
      <c r="AM1812" s="77"/>
      <c r="AN1812" s="77"/>
      <c r="AO1812" s="77"/>
      <c r="AP1812" s="77"/>
      <c r="AQ1812" s="77"/>
      <c r="AR1812" s="77"/>
      <c r="AS1812" s="77"/>
      <c r="AT1812" s="77"/>
      <c r="AU1812" s="77"/>
      <c r="AV1812" s="83" t="str">
        <f>HYPERLINK("https://pbs.twimg.com/profile_images/1559883556846977024/bXHnQFY0_normal.jpg")</f>
        <v>https://pbs.twimg.com/profile_images/1559883556846977024/bXHnQFY0_normal.jpg</v>
      </c>
      <c r="AW1812" s="80" t="s">
        <v>17679</v>
      </c>
      <c r="AX1812" s="80" t="s">
        <v>17679</v>
      </c>
      <c r="AY1812" s="77"/>
      <c r="AZ1812" s="80" t="s">
        <v>20380</v>
      </c>
      <c r="BA1812" s="80" t="s">
        <v>20380</v>
      </c>
      <c r="BB1812" s="80" t="s">
        <v>20380</v>
      </c>
      <c r="BC1812" s="80" t="s">
        <v>17679</v>
      </c>
      <c r="BD1812" s="77">
        <v>51150679</v>
      </c>
      <c r="BE1812" s="77"/>
      <c r="BF1812" s="77"/>
      <c r="BG1812" s="77"/>
      <c r="BH1812" s="77"/>
      <c r="BI1812" s="77"/>
    </row>
    <row r="1813" spans="1:61" x14ac:dyDescent="0.25">
      <c r="A1813" s="62" t="s">
        <v>790</v>
      </c>
      <c r="B1813" s="62" t="s">
        <v>790</v>
      </c>
      <c r="C1813" s="63"/>
      <c r="D1813" s="64"/>
      <c r="E1813" s="65"/>
      <c r="F1813" s="66"/>
      <c r="G1813" s="63"/>
      <c r="H1813" s="67"/>
      <c r="I1813" s="68"/>
      <c r="J1813" s="68"/>
      <c r="K1813" s="32"/>
      <c r="L1813" s="75">
        <v>1813</v>
      </c>
      <c r="M1813" s="75"/>
      <c r="N1813" s="70"/>
      <c r="O1813" s="77" t="s">
        <v>179</v>
      </c>
      <c r="P1813" s="79">
        <v>45056.852222222224</v>
      </c>
      <c r="Q1813" s="77" t="s">
        <v>3709</v>
      </c>
      <c r="R1813" s="77">
        <v>1</v>
      </c>
      <c r="S1813" s="77">
        <v>12</v>
      </c>
      <c r="T1813" s="77">
        <v>5</v>
      </c>
      <c r="U1813" s="77">
        <v>0</v>
      </c>
      <c r="V1813" s="77">
        <v>2309</v>
      </c>
      <c r="W1813" s="80" t="s">
        <v>6967</v>
      </c>
      <c r="X1813" s="83" t="str">
        <f>HYPERLINK("https://www.moneytimes.com.br/galipolo-diz-que-real-mais-forte-e-projecoes-de-primario-melhor-criam-cenario-mais-confortavel-para-politica-monetaria/")</f>
        <v>https://www.moneytimes.com.br/galipolo-diz-que-real-mais-forte-e-projecoes-de-primario-melhor-criam-cenario-mais-confortavel-para-politica-monetaria/</v>
      </c>
      <c r="Y1813" s="77" t="s">
        <v>8611</v>
      </c>
      <c r="Z1813" s="77"/>
      <c r="AA1813" s="77"/>
      <c r="AB1813" s="77"/>
      <c r="AC1813" s="80" t="s">
        <v>10558</v>
      </c>
      <c r="AD1813" s="77" t="s">
        <v>10617</v>
      </c>
      <c r="AE1813" s="83" t="str">
        <f>HYPERLINK("https://twitter.com/leiamoneytimes/status/1656395483227496449")</f>
        <v>https://twitter.com/leiamoneytimes/status/1656395483227496449</v>
      </c>
      <c r="AF1813" s="79">
        <v>45056.852222222224</v>
      </c>
      <c r="AG1813" s="85">
        <v>45056</v>
      </c>
      <c r="AH1813" s="80" t="s">
        <v>12240</v>
      </c>
      <c r="AI1813" s="77" t="b">
        <v>0</v>
      </c>
      <c r="AJ1813" s="77"/>
      <c r="AK1813" s="77"/>
      <c r="AL1813" s="77"/>
      <c r="AM1813" s="77"/>
      <c r="AN1813" s="77"/>
      <c r="AO1813" s="77"/>
      <c r="AP1813" s="77"/>
      <c r="AQ1813" s="77"/>
      <c r="AR1813" s="77"/>
      <c r="AS1813" s="77"/>
      <c r="AT1813" s="77"/>
      <c r="AU1813" s="77"/>
      <c r="AV1813" s="83" t="str">
        <f>HYPERLINK("https://pbs.twimg.com/profile_images/1559883556846977024/bXHnQFY0_normal.jpg")</f>
        <v>https://pbs.twimg.com/profile_images/1559883556846977024/bXHnQFY0_normal.jpg</v>
      </c>
      <c r="AW1813" s="80" t="s">
        <v>17680</v>
      </c>
      <c r="AX1813" s="80" t="s">
        <v>17680</v>
      </c>
      <c r="AY1813" s="77"/>
      <c r="AZ1813" s="80" t="s">
        <v>20380</v>
      </c>
      <c r="BA1813" s="80" t="s">
        <v>20380</v>
      </c>
      <c r="BB1813" s="80" t="s">
        <v>20380</v>
      </c>
      <c r="BC1813" s="80" t="s">
        <v>17680</v>
      </c>
      <c r="BD1813" s="77">
        <v>51150679</v>
      </c>
      <c r="BE1813" s="77"/>
      <c r="BF1813" s="77"/>
      <c r="BG1813" s="77"/>
      <c r="BH1813" s="77"/>
      <c r="BI1813" s="77"/>
    </row>
    <row r="1814" spans="1:61" x14ac:dyDescent="0.25">
      <c r="A1814" s="62" t="s">
        <v>790</v>
      </c>
      <c r="B1814" s="62" t="s">
        <v>790</v>
      </c>
      <c r="C1814" s="63"/>
      <c r="D1814" s="64"/>
      <c r="E1814" s="65"/>
      <c r="F1814" s="66"/>
      <c r="G1814" s="63"/>
      <c r="H1814" s="67"/>
      <c r="I1814" s="68"/>
      <c r="J1814" s="68"/>
      <c r="K1814" s="32"/>
      <c r="L1814" s="75">
        <v>1814</v>
      </c>
      <c r="M1814" s="75"/>
      <c r="N1814" s="70"/>
      <c r="O1814" s="77" t="s">
        <v>179</v>
      </c>
      <c r="P1814" s="79">
        <v>45056.825914351852</v>
      </c>
      <c r="Q1814" s="77" t="s">
        <v>3710</v>
      </c>
      <c r="R1814" s="77">
        <v>0</v>
      </c>
      <c r="S1814" s="77">
        <v>1</v>
      </c>
      <c r="T1814" s="77">
        <v>1</v>
      </c>
      <c r="U1814" s="77">
        <v>0</v>
      </c>
      <c r="V1814" s="77">
        <v>1090</v>
      </c>
      <c r="W1814" s="80" t="s">
        <v>6922</v>
      </c>
      <c r="X1814" s="83" t="str">
        <f>HYPERLINK("https://www.moneytimes.com.br/taxas-dos-dis-caem-em-sintonia-com-exterior-apos-dados-de-inflacao-nos-eua/")</f>
        <v>https://www.moneytimes.com.br/taxas-dos-dis-caem-em-sintonia-com-exterior-apos-dados-de-inflacao-nos-eua/</v>
      </c>
      <c r="Y1814" s="77" t="s">
        <v>8611</v>
      </c>
      <c r="Z1814" s="77"/>
      <c r="AA1814" s="77"/>
      <c r="AB1814" s="77"/>
      <c r="AC1814" s="80" t="s">
        <v>10558</v>
      </c>
      <c r="AD1814" s="77" t="s">
        <v>10617</v>
      </c>
      <c r="AE1814" s="83" t="str">
        <f>HYPERLINK("https://twitter.com/leiamoneytimes/status/1656385951264907264")</f>
        <v>https://twitter.com/leiamoneytimes/status/1656385951264907264</v>
      </c>
      <c r="AF1814" s="79">
        <v>45056.825914351852</v>
      </c>
      <c r="AG1814" s="85">
        <v>45056</v>
      </c>
      <c r="AH1814" s="80" t="s">
        <v>12241</v>
      </c>
      <c r="AI1814" s="77" t="b">
        <v>0</v>
      </c>
      <c r="AJ1814" s="77"/>
      <c r="AK1814" s="77"/>
      <c r="AL1814" s="77"/>
      <c r="AM1814" s="77"/>
      <c r="AN1814" s="77"/>
      <c r="AO1814" s="77"/>
      <c r="AP1814" s="77"/>
      <c r="AQ1814" s="77"/>
      <c r="AR1814" s="77"/>
      <c r="AS1814" s="77"/>
      <c r="AT1814" s="77"/>
      <c r="AU1814" s="77"/>
      <c r="AV1814" s="83" t="str">
        <f>HYPERLINK("https://pbs.twimg.com/profile_images/1559883556846977024/bXHnQFY0_normal.jpg")</f>
        <v>https://pbs.twimg.com/profile_images/1559883556846977024/bXHnQFY0_normal.jpg</v>
      </c>
      <c r="AW1814" s="80" t="s">
        <v>17681</v>
      </c>
      <c r="AX1814" s="80" t="s">
        <v>17681</v>
      </c>
      <c r="AY1814" s="77"/>
      <c r="AZ1814" s="80" t="s">
        <v>20380</v>
      </c>
      <c r="BA1814" s="80" t="s">
        <v>20380</v>
      </c>
      <c r="BB1814" s="80" t="s">
        <v>20380</v>
      </c>
      <c r="BC1814" s="80" t="s">
        <v>17681</v>
      </c>
      <c r="BD1814" s="77">
        <v>51150679</v>
      </c>
      <c r="BE1814" s="77"/>
      <c r="BF1814" s="77"/>
      <c r="BG1814" s="77"/>
      <c r="BH1814" s="77"/>
      <c r="BI1814" s="77"/>
    </row>
    <row r="1815" spans="1:61" x14ac:dyDescent="0.25">
      <c r="A1815" s="62" t="s">
        <v>790</v>
      </c>
      <c r="B1815" s="62" t="s">
        <v>790</v>
      </c>
      <c r="C1815" s="63"/>
      <c r="D1815" s="64"/>
      <c r="E1815" s="65"/>
      <c r="F1815" s="66"/>
      <c r="G1815" s="63"/>
      <c r="H1815" s="67"/>
      <c r="I1815" s="68"/>
      <c r="J1815" s="68"/>
      <c r="K1815" s="32"/>
      <c r="L1815" s="75">
        <v>1815</v>
      </c>
      <c r="M1815" s="75"/>
      <c r="N1815" s="70"/>
      <c r="O1815" s="77" t="s">
        <v>179</v>
      </c>
      <c r="P1815" s="79">
        <v>45056.746655092589</v>
      </c>
      <c r="Q1815" s="77" t="s">
        <v>3711</v>
      </c>
      <c r="R1815" s="77">
        <v>2</v>
      </c>
      <c r="S1815" s="77">
        <v>5</v>
      </c>
      <c r="T1815" s="77">
        <v>1</v>
      </c>
      <c r="U1815" s="77">
        <v>0</v>
      </c>
      <c r="V1815" s="77">
        <v>1076</v>
      </c>
      <c r="W1815" s="80" t="s">
        <v>6957</v>
      </c>
      <c r="X1815" s="83" t="str">
        <f>HYPERLINK("https://www.moneytimes.com.br/brasil-tem-fluxo-cambial-negativo-de-us-200-mi-em-maio-ate-dia-5-diz-bc/")</f>
        <v>https://www.moneytimes.com.br/brasil-tem-fluxo-cambial-negativo-de-us-200-mi-em-maio-ate-dia-5-diz-bc/</v>
      </c>
      <c r="Y1815" s="77" t="s">
        <v>8611</v>
      </c>
      <c r="Z1815" s="77"/>
      <c r="AA1815" s="77"/>
      <c r="AB1815" s="77"/>
      <c r="AC1815" s="80" t="s">
        <v>10558</v>
      </c>
      <c r="AD1815" s="77" t="s">
        <v>10617</v>
      </c>
      <c r="AE1815" s="83" t="str">
        <f>HYPERLINK("https://twitter.com/leiamoneytimes/status/1656357230034186248")</f>
        <v>https://twitter.com/leiamoneytimes/status/1656357230034186248</v>
      </c>
      <c r="AF1815" s="79">
        <v>45056.746655092589</v>
      </c>
      <c r="AG1815" s="85">
        <v>45056</v>
      </c>
      <c r="AH1815" s="80" t="s">
        <v>12242</v>
      </c>
      <c r="AI1815" s="77" t="b">
        <v>0</v>
      </c>
      <c r="AJ1815" s="77"/>
      <c r="AK1815" s="77"/>
      <c r="AL1815" s="77"/>
      <c r="AM1815" s="77"/>
      <c r="AN1815" s="77"/>
      <c r="AO1815" s="77"/>
      <c r="AP1815" s="77"/>
      <c r="AQ1815" s="77"/>
      <c r="AR1815" s="77"/>
      <c r="AS1815" s="77"/>
      <c r="AT1815" s="77"/>
      <c r="AU1815" s="77"/>
      <c r="AV1815" s="83" t="str">
        <f>HYPERLINK("https://pbs.twimg.com/profile_images/1559883556846977024/bXHnQFY0_normal.jpg")</f>
        <v>https://pbs.twimg.com/profile_images/1559883556846977024/bXHnQFY0_normal.jpg</v>
      </c>
      <c r="AW1815" s="80" t="s">
        <v>17682</v>
      </c>
      <c r="AX1815" s="80" t="s">
        <v>17682</v>
      </c>
      <c r="AY1815" s="77"/>
      <c r="AZ1815" s="80" t="s">
        <v>20380</v>
      </c>
      <c r="BA1815" s="80" t="s">
        <v>20380</v>
      </c>
      <c r="BB1815" s="80" t="s">
        <v>20380</v>
      </c>
      <c r="BC1815" s="80" t="s">
        <v>17682</v>
      </c>
      <c r="BD1815" s="77">
        <v>51150679</v>
      </c>
      <c r="BE1815" s="77"/>
      <c r="BF1815" s="77"/>
      <c r="BG1815" s="77"/>
      <c r="BH1815" s="77"/>
      <c r="BI1815" s="77"/>
    </row>
    <row r="1816" spans="1:61" x14ac:dyDescent="0.25">
      <c r="A1816" s="62" t="s">
        <v>790</v>
      </c>
      <c r="B1816" s="62" t="s">
        <v>790</v>
      </c>
      <c r="C1816" s="63"/>
      <c r="D1816" s="64"/>
      <c r="E1816" s="65"/>
      <c r="F1816" s="66"/>
      <c r="G1816" s="63"/>
      <c r="H1816" s="67"/>
      <c r="I1816" s="68"/>
      <c r="J1816" s="68"/>
      <c r="K1816" s="32"/>
      <c r="L1816" s="75">
        <v>1816</v>
      </c>
      <c r="M1816" s="75"/>
      <c r="N1816" s="70"/>
      <c r="O1816" s="77" t="s">
        <v>179</v>
      </c>
      <c r="P1816" s="79">
        <v>45056.617210648146</v>
      </c>
      <c r="Q1816" s="77" t="s">
        <v>3712</v>
      </c>
      <c r="R1816" s="77">
        <v>0</v>
      </c>
      <c r="S1816" s="77">
        <v>1</v>
      </c>
      <c r="T1816" s="77">
        <v>1</v>
      </c>
      <c r="U1816" s="77">
        <v>0</v>
      </c>
      <c r="V1816" s="77">
        <v>979</v>
      </c>
      <c r="W1816" s="80" t="s">
        <v>6985</v>
      </c>
      <c r="X1816" s="83" t="str">
        <f>HYPERLINK("https://www.moneytimes.com.br/ibovespa-ibov-anda-de-lado-com-inflacao-nos-eua-dando-espaco-para-fed-encerrar-ciclo-de-altas-confira-outros-indicadores-desta-quarta-10/")</f>
        <v>https://www.moneytimes.com.br/ibovespa-ibov-anda-de-lado-com-inflacao-nos-eua-dando-espaco-para-fed-encerrar-ciclo-de-altas-confira-outros-indicadores-desta-quarta-10/</v>
      </c>
      <c r="Y1816" s="77" t="s">
        <v>8611</v>
      </c>
      <c r="Z1816" s="77"/>
      <c r="AA1816" s="77"/>
      <c r="AB1816" s="77"/>
      <c r="AC1816" s="80" t="s">
        <v>10558</v>
      </c>
      <c r="AD1816" s="77" t="s">
        <v>10617</v>
      </c>
      <c r="AE1816" s="83" t="str">
        <f>HYPERLINK("https://twitter.com/leiamoneytimes/status/1656310320187490304")</f>
        <v>https://twitter.com/leiamoneytimes/status/1656310320187490304</v>
      </c>
      <c r="AF1816" s="79">
        <v>45056.617210648146</v>
      </c>
      <c r="AG1816" s="85">
        <v>45056</v>
      </c>
      <c r="AH1816" s="80" t="s">
        <v>12243</v>
      </c>
      <c r="AI1816" s="77" t="b">
        <v>0</v>
      </c>
      <c r="AJ1816" s="77"/>
      <c r="AK1816" s="77"/>
      <c r="AL1816" s="77"/>
      <c r="AM1816" s="77"/>
      <c r="AN1816" s="77"/>
      <c r="AO1816" s="77"/>
      <c r="AP1816" s="77"/>
      <c r="AQ1816" s="77"/>
      <c r="AR1816" s="77"/>
      <c r="AS1816" s="77"/>
      <c r="AT1816" s="77"/>
      <c r="AU1816" s="77"/>
      <c r="AV1816" s="83" t="str">
        <f>HYPERLINK("https://pbs.twimg.com/profile_images/1559883556846977024/bXHnQFY0_normal.jpg")</f>
        <v>https://pbs.twimg.com/profile_images/1559883556846977024/bXHnQFY0_normal.jpg</v>
      </c>
      <c r="AW1816" s="80" t="s">
        <v>17683</v>
      </c>
      <c r="AX1816" s="80" t="s">
        <v>17683</v>
      </c>
      <c r="AY1816" s="77"/>
      <c r="AZ1816" s="80" t="s">
        <v>20380</v>
      </c>
      <c r="BA1816" s="80" t="s">
        <v>20380</v>
      </c>
      <c r="BB1816" s="80" t="s">
        <v>20380</v>
      </c>
      <c r="BC1816" s="80" t="s">
        <v>17683</v>
      </c>
      <c r="BD1816" s="77">
        <v>51150679</v>
      </c>
      <c r="BE1816" s="77"/>
      <c r="BF1816" s="77"/>
      <c r="BG1816" s="77"/>
      <c r="BH1816" s="77"/>
      <c r="BI1816" s="77"/>
    </row>
    <row r="1817" spans="1:61" x14ac:dyDescent="0.25">
      <c r="A1817" s="62" t="s">
        <v>790</v>
      </c>
      <c r="B1817" s="62" t="s">
        <v>790</v>
      </c>
      <c r="C1817" s="63"/>
      <c r="D1817" s="64"/>
      <c r="E1817" s="65"/>
      <c r="F1817" s="66"/>
      <c r="G1817" s="63"/>
      <c r="H1817" s="67"/>
      <c r="I1817" s="68"/>
      <c r="J1817" s="68"/>
      <c r="K1817" s="32"/>
      <c r="L1817" s="75">
        <v>1817</v>
      </c>
      <c r="M1817" s="75"/>
      <c r="N1817" s="70"/>
      <c r="O1817" s="77" t="s">
        <v>179</v>
      </c>
      <c r="P1817" s="79">
        <v>45056.580717592595</v>
      </c>
      <c r="Q1817" s="77" t="s">
        <v>3713</v>
      </c>
      <c r="R1817" s="77">
        <v>0</v>
      </c>
      <c r="S1817" s="77">
        <v>6</v>
      </c>
      <c r="T1817" s="77">
        <v>1</v>
      </c>
      <c r="U1817" s="77">
        <v>0</v>
      </c>
      <c r="V1817" s="77">
        <v>1108</v>
      </c>
      <c r="W1817" s="80" t="s">
        <v>7067</v>
      </c>
      <c r="X1817" s="83" t="str">
        <f>HYPERLINK("https://www.moneytimes.com.br/americanas-amer3-afeta-resultado-de-bancos-que-lucram-r-139-bi-em-2022-entenda/")</f>
        <v>https://www.moneytimes.com.br/americanas-amer3-afeta-resultado-de-bancos-que-lucram-r-139-bi-em-2022-entenda/</v>
      </c>
      <c r="Y1817" s="77" t="s">
        <v>8611</v>
      </c>
      <c r="Z1817" s="77"/>
      <c r="AA1817" s="77"/>
      <c r="AB1817" s="77"/>
      <c r="AC1817" s="80" t="s">
        <v>10558</v>
      </c>
      <c r="AD1817" s="77" t="s">
        <v>10617</v>
      </c>
      <c r="AE1817" s="83" t="str">
        <f>HYPERLINK("https://twitter.com/leiamoneytimes/status/1656297095320547329")</f>
        <v>https://twitter.com/leiamoneytimes/status/1656297095320547329</v>
      </c>
      <c r="AF1817" s="79">
        <v>45056.580717592595</v>
      </c>
      <c r="AG1817" s="85">
        <v>45056</v>
      </c>
      <c r="AH1817" s="80" t="s">
        <v>12244</v>
      </c>
      <c r="AI1817" s="77" t="b">
        <v>0</v>
      </c>
      <c r="AJ1817" s="77"/>
      <c r="AK1817" s="77"/>
      <c r="AL1817" s="77"/>
      <c r="AM1817" s="77"/>
      <c r="AN1817" s="77"/>
      <c r="AO1817" s="77"/>
      <c r="AP1817" s="77"/>
      <c r="AQ1817" s="77"/>
      <c r="AR1817" s="77"/>
      <c r="AS1817" s="77"/>
      <c r="AT1817" s="77"/>
      <c r="AU1817" s="77"/>
      <c r="AV1817" s="83" t="str">
        <f>HYPERLINK("https://pbs.twimg.com/profile_images/1559883556846977024/bXHnQFY0_normal.jpg")</f>
        <v>https://pbs.twimg.com/profile_images/1559883556846977024/bXHnQFY0_normal.jpg</v>
      </c>
      <c r="AW1817" s="80" t="s">
        <v>17684</v>
      </c>
      <c r="AX1817" s="80" t="s">
        <v>17684</v>
      </c>
      <c r="AY1817" s="77"/>
      <c r="AZ1817" s="80" t="s">
        <v>20380</v>
      </c>
      <c r="BA1817" s="80" t="s">
        <v>20380</v>
      </c>
      <c r="BB1817" s="80" t="s">
        <v>20380</v>
      </c>
      <c r="BC1817" s="80" t="s">
        <v>17684</v>
      </c>
      <c r="BD1817" s="77">
        <v>51150679</v>
      </c>
      <c r="BE1817" s="77"/>
      <c r="BF1817" s="77"/>
      <c r="BG1817" s="77"/>
      <c r="BH1817" s="77"/>
      <c r="BI1817" s="77"/>
    </row>
    <row r="1818" spans="1:61" x14ac:dyDescent="0.25">
      <c r="A1818" s="62" t="s">
        <v>790</v>
      </c>
      <c r="B1818" s="62" t="s">
        <v>790</v>
      </c>
      <c r="C1818" s="63"/>
      <c r="D1818" s="64"/>
      <c r="E1818" s="65"/>
      <c r="F1818" s="66"/>
      <c r="G1818" s="63"/>
      <c r="H1818" s="67"/>
      <c r="I1818" s="68"/>
      <c r="J1818" s="68"/>
      <c r="K1818" s="32"/>
      <c r="L1818" s="75">
        <v>1818</v>
      </c>
      <c r="M1818" s="75"/>
      <c r="N1818" s="70"/>
      <c r="O1818" s="77" t="s">
        <v>179</v>
      </c>
      <c r="P1818" s="79">
        <v>45056.485636574071</v>
      </c>
      <c r="Q1818" s="77" t="s">
        <v>3714</v>
      </c>
      <c r="R1818" s="77">
        <v>0</v>
      </c>
      <c r="S1818" s="77">
        <v>3</v>
      </c>
      <c r="T1818" s="77">
        <v>1</v>
      </c>
      <c r="U1818" s="77">
        <v>0</v>
      </c>
      <c r="V1818" s="77">
        <v>1161</v>
      </c>
      <c r="W1818" s="80" t="s">
        <v>6927</v>
      </c>
      <c r="X1818" s="83" t="str">
        <f>HYPERLINK("https://www.moneytimes.com.br/inflacao-nos-eua-pode-confirmar-manutencao-dos-juros-pelo-fed-veja-o-que-movimenta-a-quarta-10/")</f>
        <v>https://www.moneytimes.com.br/inflacao-nos-eua-pode-confirmar-manutencao-dos-juros-pelo-fed-veja-o-que-movimenta-a-quarta-10/</v>
      </c>
      <c r="Y1818" s="77" t="s">
        <v>8611</v>
      </c>
      <c r="Z1818" s="77"/>
      <c r="AA1818" s="77"/>
      <c r="AB1818" s="77"/>
      <c r="AC1818" s="80" t="s">
        <v>10558</v>
      </c>
      <c r="AD1818" s="77" t="s">
        <v>10617</v>
      </c>
      <c r="AE1818" s="83" t="str">
        <f>HYPERLINK("https://twitter.com/leiamoneytimes/status/1656262638655897604")</f>
        <v>https://twitter.com/leiamoneytimes/status/1656262638655897604</v>
      </c>
      <c r="AF1818" s="79">
        <v>45056.485636574071</v>
      </c>
      <c r="AG1818" s="85">
        <v>45056</v>
      </c>
      <c r="AH1818" s="80" t="s">
        <v>12245</v>
      </c>
      <c r="AI1818" s="77" t="b">
        <v>0</v>
      </c>
      <c r="AJ1818" s="77"/>
      <c r="AK1818" s="77"/>
      <c r="AL1818" s="77"/>
      <c r="AM1818" s="77"/>
      <c r="AN1818" s="77"/>
      <c r="AO1818" s="77"/>
      <c r="AP1818" s="77"/>
      <c r="AQ1818" s="77"/>
      <c r="AR1818" s="77"/>
      <c r="AS1818" s="77"/>
      <c r="AT1818" s="77"/>
      <c r="AU1818" s="77"/>
      <c r="AV1818" s="83" t="str">
        <f>HYPERLINK("https://pbs.twimg.com/profile_images/1559883556846977024/bXHnQFY0_normal.jpg")</f>
        <v>https://pbs.twimg.com/profile_images/1559883556846977024/bXHnQFY0_normal.jpg</v>
      </c>
      <c r="AW1818" s="80" t="s">
        <v>17685</v>
      </c>
      <c r="AX1818" s="80" t="s">
        <v>17685</v>
      </c>
      <c r="AY1818" s="77"/>
      <c r="AZ1818" s="80" t="s">
        <v>20380</v>
      </c>
      <c r="BA1818" s="80" t="s">
        <v>20380</v>
      </c>
      <c r="BB1818" s="80" t="s">
        <v>20380</v>
      </c>
      <c r="BC1818" s="80" t="s">
        <v>17685</v>
      </c>
      <c r="BD1818" s="77">
        <v>51150679</v>
      </c>
      <c r="BE1818" s="77"/>
      <c r="BF1818" s="77"/>
      <c r="BG1818" s="77"/>
      <c r="BH1818" s="77"/>
      <c r="BI1818" s="77"/>
    </row>
    <row r="1819" spans="1:61" x14ac:dyDescent="0.25">
      <c r="A1819" s="62" t="s">
        <v>790</v>
      </c>
      <c r="B1819" s="62" t="s">
        <v>790</v>
      </c>
      <c r="C1819" s="63"/>
      <c r="D1819" s="64"/>
      <c r="E1819" s="65"/>
      <c r="F1819" s="66"/>
      <c r="G1819" s="63"/>
      <c r="H1819" s="67"/>
      <c r="I1819" s="68"/>
      <c r="J1819" s="68"/>
      <c r="K1819" s="32"/>
      <c r="L1819" s="75">
        <v>1819</v>
      </c>
      <c r="M1819" s="75"/>
      <c r="N1819" s="70"/>
      <c r="O1819" s="77" t="s">
        <v>179</v>
      </c>
      <c r="P1819" s="79">
        <v>45055.850914351853</v>
      </c>
      <c r="Q1819" s="77" t="s">
        <v>3715</v>
      </c>
      <c r="R1819" s="77">
        <v>0</v>
      </c>
      <c r="S1819" s="77">
        <v>2</v>
      </c>
      <c r="T1819" s="77">
        <v>1</v>
      </c>
      <c r="U1819" s="77">
        <v>0</v>
      </c>
      <c r="V1819" s="77">
        <v>1128</v>
      </c>
      <c r="W1819" s="80" t="s">
        <v>6922</v>
      </c>
      <c r="X1819" s="83" t="str">
        <f>HYPERLINK("https://www.moneytimes.com.br/taxas-de-juros-futuros-avancam-em-reacao-a-ata-do-copom-e-as-falas-de-galipolo/")</f>
        <v>https://www.moneytimes.com.br/taxas-de-juros-futuros-avancam-em-reacao-a-ata-do-copom-e-as-falas-de-galipolo/</v>
      </c>
      <c r="Y1819" s="77" t="s">
        <v>8611</v>
      </c>
      <c r="Z1819" s="77"/>
      <c r="AA1819" s="77"/>
      <c r="AB1819" s="77"/>
      <c r="AC1819" s="80" t="s">
        <v>10558</v>
      </c>
      <c r="AD1819" s="77" t="s">
        <v>10617</v>
      </c>
      <c r="AE1819" s="83" t="str">
        <f>HYPERLINK("https://twitter.com/leiamoneytimes/status/1656032624127688713")</f>
        <v>https://twitter.com/leiamoneytimes/status/1656032624127688713</v>
      </c>
      <c r="AF1819" s="79">
        <v>45055.850914351853</v>
      </c>
      <c r="AG1819" s="85">
        <v>45055</v>
      </c>
      <c r="AH1819" s="80" t="s">
        <v>12246</v>
      </c>
      <c r="AI1819" s="77" t="b">
        <v>0</v>
      </c>
      <c r="AJ1819" s="77"/>
      <c r="AK1819" s="77"/>
      <c r="AL1819" s="77"/>
      <c r="AM1819" s="77"/>
      <c r="AN1819" s="77"/>
      <c r="AO1819" s="77"/>
      <c r="AP1819" s="77"/>
      <c r="AQ1819" s="77"/>
      <c r="AR1819" s="77"/>
      <c r="AS1819" s="77"/>
      <c r="AT1819" s="77"/>
      <c r="AU1819" s="77"/>
      <c r="AV1819" s="83" t="str">
        <f>HYPERLINK("https://pbs.twimg.com/profile_images/1559883556846977024/bXHnQFY0_normal.jpg")</f>
        <v>https://pbs.twimg.com/profile_images/1559883556846977024/bXHnQFY0_normal.jpg</v>
      </c>
      <c r="AW1819" s="80" t="s">
        <v>17686</v>
      </c>
      <c r="AX1819" s="80" t="s">
        <v>17686</v>
      </c>
      <c r="AY1819" s="77"/>
      <c r="AZ1819" s="80" t="s">
        <v>20380</v>
      </c>
      <c r="BA1819" s="80" t="s">
        <v>20380</v>
      </c>
      <c r="BB1819" s="80" t="s">
        <v>20380</v>
      </c>
      <c r="BC1819" s="80" t="s">
        <v>17686</v>
      </c>
      <c r="BD1819" s="77">
        <v>51150679</v>
      </c>
      <c r="BE1819" s="77"/>
      <c r="BF1819" s="77"/>
      <c r="BG1819" s="77"/>
      <c r="BH1819" s="77"/>
      <c r="BI1819" s="77"/>
    </row>
    <row r="1820" spans="1:61" x14ac:dyDescent="0.25">
      <c r="A1820" s="62" t="s">
        <v>790</v>
      </c>
      <c r="B1820" s="62" t="s">
        <v>790</v>
      </c>
      <c r="C1820" s="63"/>
      <c r="D1820" s="64"/>
      <c r="E1820" s="65"/>
      <c r="F1820" s="66"/>
      <c r="G1820" s="63"/>
      <c r="H1820" s="67"/>
      <c r="I1820" s="68"/>
      <c r="J1820" s="68"/>
      <c r="K1820" s="32"/>
      <c r="L1820" s="75">
        <v>1820</v>
      </c>
      <c r="M1820" s="75"/>
      <c r="N1820" s="70"/>
      <c r="O1820" s="77" t="s">
        <v>179</v>
      </c>
      <c r="P1820" s="79">
        <v>45055.770752314813</v>
      </c>
      <c r="Q1820" s="77" t="s">
        <v>3716</v>
      </c>
      <c r="R1820" s="77">
        <v>0</v>
      </c>
      <c r="S1820" s="77">
        <v>5</v>
      </c>
      <c r="T1820" s="77">
        <v>1</v>
      </c>
      <c r="U1820" s="77">
        <v>1</v>
      </c>
      <c r="V1820" s="77">
        <v>923</v>
      </c>
      <c r="W1820" s="80" t="s">
        <v>6931</v>
      </c>
      <c r="X1820" s="83" t="str">
        <f>HYPERLINK("https://www.moneytimes.com.br/por-que-o-banco-central-nao-da-bola-para-dados-inflacao-e-deve-manter-selic-em-1375-ate-setembro/")</f>
        <v>https://www.moneytimes.com.br/por-que-o-banco-central-nao-da-bola-para-dados-inflacao-e-deve-manter-selic-em-1375-ate-setembro/</v>
      </c>
      <c r="Y1820" s="77" t="s">
        <v>8611</v>
      </c>
      <c r="Z1820" s="77"/>
      <c r="AA1820" s="77"/>
      <c r="AB1820" s="77"/>
      <c r="AC1820" s="80" t="s">
        <v>10558</v>
      </c>
      <c r="AD1820" s="77" t="s">
        <v>10617</v>
      </c>
      <c r="AE1820" s="83" t="str">
        <f>HYPERLINK("https://twitter.com/leiamoneytimes/status/1656003573828788242")</f>
        <v>https://twitter.com/leiamoneytimes/status/1656003573828788242</v>
      </c>
      <c r="AF1820" s="79">
        <v>45055.770752314813</v>
      </c>
      <c r="AG1820" s="85">
        <v>45055</v>
      </c>
      <c r="AH1820" s="80" t="s">
        <v>12247</v>
      </c>
      <c r="AI1820" s="77" t="b">
        <v>0</v>
      </c>
      <c r="AJ1820" s="77"/>
      <c r="AK1820" s="77"/>
      <c r="AL1820" s="77"/>
      <c r="AM1820" s="77"/>
      <c r="AN1820" s="77"/>
      <c r="AO1820" s="77"/>
      <c r="AP1820" s="77"/>
      <c r="AQ1820" s="77"/>
      <c r="AR1820" s="77"/>
      <c r="AS1820" s="77"/>
      <c r="AT1820" s="77"/>
      <c r="AU1820" s="77"/>
      <c r="AV1820" s="83" t="str">
        <f>HYPERLINK("https://pbs.twimg.com/profile_images/1559883556846977024/bXHnQFY0_normal.jpg")</f>
        <v>https://pbs.twimg.com/profile_images/1559883556846977024/bXHnQFY0_normal.jpg</v>
      </c>
      <c r="AW1820" s="80" t="s">
        <v>17687</v>
      </c>
      <c r="AX1820" s="80" t="s">
        <v>17687</v>
      </c>
      <c r="AY1820" s="77"/>
      <c r="AZ1820" s="80" t="s">
        <v>20380</v>
      </c>
      <c r="BA1820" s="80" t="s">
        <v>20380</v>
      </c>
      <c r="BB1820" s="80" t="s">
        <v>20380</v>
      </c>
      <c r="BC1820" s="80" t="s">
        <v>17687</v>
      </c>
      <c r="BD1820" s="77">
        <v>51150679</v>
      </c>
      <c r="BE1820" s="77"/>
      <c r="BF1820" s="77"/>
      <c r="BG1820" s="77"/>
      <c r="BH1820" s="77"/>
      <c r="BI1820" s="77"/>
    </row>
    <row r="1821" spans="1:61" x14ac:dyDescent="0.25">
      <c r="A1821" s="62" t="s">
        <v>790</v>
      </c>
      <c r="B1821" s="62" t="s">
        <v>790</v>
      </c>
      <c r="C1821" s="63"/>
      <c r="D1821" s="64"/>
      <c r="E1821" s="65"/>
      <c r="F1821" s="66"/>
      <c r="G1821" s="63"/>
      <c r="H1821" s="67"/>
      <c r="I1821" s="68"/>
      <c r="J1821" s="68"/>
      <c r="K1821" s="32"/>
      <c r="L1821" s="75">
        <v>1821</v>
      </c>
      <c r="M1821" s="75"/>
      <c r="N1821" s="70"/>
      <c r="O1821" s="77" t="s">
        <v>179</v>
      </c>
      <c r="P1821" s="79">
        <v>45055.638761574075</v>
      </c>
      <c r="Q1821" s="77" t="s">
        <v>3717</v>
      </c>
      <c r="R1821" s="77">
        <v>1</v>
      </c>
      <c r="S1821" s="77">
        <v>8</v>
      </c>
      <c r="T1821" s="77">
        <v>1</v>
      </c>
      <c r="U1821" s="77">
        <v>0</v>
      </c>
      <c r="V1821" s="77">
        <v>1284</v>
      </c>
      <c r="W1821" s="80" t="s">
        <v>6999</v>
      </c>
      <c r="X1821" s="83" t="str">
        <f>HYPERLINK("https://www.moneytimes.com.br/problemas-internos-sucessor-de-galipolo-aumenta-tensao-entre-haddad-e-pt-entenda/")</f>
        <v>https://www.moneytimes.com.br/problemas-internos-sucessor-de-galipolo-aumenta-tensao-entre-haddad-e-pt-entenda/</v>
      </c>
      <c r="Y1821" s="77" t="s">
        <v>8611</v>
      </c>
      <c r="Z1821" s="77"/>
      <c r="AA1821" s="77"/>
      <c r="AB1821" s="77"/>
      <c r="AC1821" s="80" t="s">
        <v>10558</v>
      </c>
      <c r="AD1821" s="77" t="s">
        <v>10617</v>
      </c>
      <c r="AE1821" s="83" t="str">
        <f>HYPERLINK("https://twitter.com/leiamoneytimes/status/1655955741721722881")</f>
        <v>https://twitter.com/leiamoneytimes/status/1655955741721722881</v>
      </c>
      <c r="AF1821" s="79">
        <v>45055.638761574075</v>
      </c>
      <c r="AG1821" s="85">
        <v>45055</v>
      </c>
      <c r="AH1821" s="80" t="s">
        <v>12248</v>
      </c>
      <c r="AI1821" s="77" t="b">
        <v>0</v>
      </c>
      <c r="AJ1821" s="77"/>
      <c r="AK1821" s="77"/>
      <c r="AL1821" s="77"/>
      <c r="AM1821" s="77"/>
      <c r="AN1821" s="77"/>
      <c r="AO1821" s="77"/>
      <c r="AP1821" s="77"/>
      <c r="AQ1821" s="77"/>
      <c r="AR1821" s="77"/>
      <c r="AS1821" s="77"/>
      <c r="AT1821" s="77"/>
      <c r="AU1821" s="77"/>
      <c r="AV1821" s="83" t="str">
        <f>HYPERLINK("https://pbs.twimg.com/profile_images/1559883556846977024/bXHnQFY0_normal.jpg")</f>
        <v>https://pbs.twimg.com/profile_images/1559883556846977024/bXHnQFY0_normal.jpg</v>
      </c>
      <c r="AW1821" s="80" t="s">
        <v>17688</v>
      </c>
      <c r="AX1821" s="80" t="s">
        <v>17688</v>
      </c>
      <c r="AY1821" s="77"/>
      <c r="AZ1821" s="80" t="s">
        <v>20380</v>
      </c>
      <c r="BA1821" s="80" t="s">
        <v>20380</v>
      </c>
      <c r="BB1821" s="80" t="s">
        <v>20380</v>
      </c>
      <c r="BC1821" s="80" t="s">
        <v>17688</v>
      </c>
      <c r="BD1821" s="77">
        <v>51150679</v>
      </c>
      <c r="BE1821" s="77"/>
      <c r="BF1821" s="77"/>
      <c r="BG1821" s="77"/>
      <c r="BH1821" s="77"/>
      <c r="BI1821" s="77"/>
    </row>
    <row r="1822" spans="1:61" x14ac:dyDescent="0.25">
      <c r="A1822" s="62" t="s">
        <v>790</v>
      </c>
      <c r="B1822" s="62" t="s">
        <v>790</v>
      </c>
      <c r="C1822" s="63"/>
      <c r="D1822" s="64"/>
      <c r="E1822" s="65"/>
      <c r="F1822" s="66"/>
      <c r="G1822" s="63"/>
      <c r="H1822" s="67"/>
      <c r="I1822" s="68"/>
      <c r="J1822" s="68"/>
      <c r="K1822" s="32"/>
      <c r="L1822" s="75">
        <v>1822</v>
      </c>
      <c r="M1822" s="75"/>
      <c r="N1822" s="70"/>
      <c r="O1822" s="77" t="s">
        <v>179</v>
      </c>
      <c r="P1822" s="79">
        <v>45055.635335648149</v>
      </c>
      <c r="Q1822" s="77" t="s">
        <v>3718</v>
      </c>
      <c r="R1822" s="77">
        <v>0</v>
      </c>
      <c r="S1822" s="77">
        <v>4</v>
      </c>
      <c r="T1822" s="77">
        <v>1</v>
      </c>
      <c r="U1822" s="77">
        <v>0</v>
      </c>
      <c r="V1822" s="77">
        <v>998</v>
      </c>
      <c r="W1822" s="80" t="s">
        <v>6934</v>
      </c>
      <c r="X1822" s="83" t="str">
        <f>HYPERLINK("https://www.moneytimes.com.br/ibovespa-ibov-sobe-diante-de-ata-do-copom-acenando-para-arcabouco-fiscal-confira-outros-indicadores-desta-terca-9/")</f>
        <v>https://www.moneytimes.com.br/ibovespa-ibov-sobe-diante-de-ata-do-copom-acenando-para-arcabouco-fiscal-confira-outros-indicadores-desta-terca-9/</v>
      </c>
      <c r="Y1822" s="77" t="s">
        <v>8611</v>
      </c>
      <c r="Z1822" s="77"/>
      <c r="AA1822" s="77"/>
      <c r="AB1822" s="77"/>
      <c r="AC1822" s="80" t="s">
        <v>10558</v>
      </c>
      <c r="AD1822" s="77" t="s">
        <v>10617</v>
      </c>
      <c r="AE1822" s="83" t="str">
        <f>HYPERLINK("https://twitter.com/leiamoneytimes/status/1655954497707843584")</f>
        <v>https://twitter.com/leiamoneytimes/status/1655954497707843584</v>
      </c>
      <c r="AF1822" s="79">
        <v>45055.635335648149</v>
      </c>
      <c r="AG1822" s="85">
        <v>45055</v>
      </c>
      <c r="AH1822" s="80" t="s">
        <v>12249</v>
      </c>
      <c r="AI1822" s="77" t="b">
        <v>0</v>
      </c>
      <c r="AJ1822" s="77"/>
      <c r="AK1822" s="77"/>
      <c r="AL1822" s="77"/>
      <c r="AM1822" s="77"/>
      <c r="AN1822" s="77"/>
      <c r="AO1822" s="77"/>
      <c r="AP1822" s="77"/>
      <c r="AQ1822" s="77"/>
      <c r="AR1822" s="77"/>
      <c r="AS1822" s="77"/>
      <c r="AT1822" s="77"/>
      <c r="AU1822" s="77"/>
      <c r="AV1822" s="83" t="str">
        <f>HYPERLINK("https://pbs.twimg.com/profile_images/1559883556846977024/bXHnQFY0_normal.jpg")</f>
        <v>https://pbs.twimg.com/profile_images/1559883556846977024/bXHnQFY0_normal.jpg</v>
      </c>
      <c r="AW1822" s="80" t="s">
        <v>17689</v>
      </c>
      <c r="AX1822" s="80" t="s">
        <v>17689</v>
      </c>
      <c r="AY1822" s="77"/>
      <c r="AZ1822" s="80" t="s">
        <v>20380</v>
      </c>
      <c r="BA1822" s="80" t="s">
        <v>20380</v>
      </c>
      <c r="BB1822" s="80" t="s">
        <v>20380</v>
      </c>
      <c r="BC1822" s="80" t="s">
        <v>17689</v>
      </c>
      <c r="BD1822" s="77">
        <v>51150679</v>
      </c>
      <c r="BE1822" s="77"/>
      <c r="BF1822" s="77"/>
      <c r="BG1822" s="77"/>
      <c r="BH1822" s="77"/>
      <c r="BI1822" s="77"/>
    </row>
    <row r="1823" spans="1:61" x14ac:dyDescent="0.25">
      <c r="A1823" s="62" t="s">
        <v>790</v>
      </c>
      <c r="B1823" s="62" t="s">
        <v>790</v>
      </c>
      <c r="C1823" s="63"/>
      <c r="D1823" s="64"/>
      <c r="E1823" s="65"/>
      <c r="F1823" s="66"/>
      <c r="G1823" s="63"/>
      <c r="H1823" s="67"/>
      <c r="I1823" s="68"/>
      <c r="J1823" s="68"/>
      <c r="K1823" s="32"/>
      <c r="L1823" s="75">
        <v>1823</v>
      </c>
      <c r="M1823" s="75"/>
      <c r="N1823" s="70"/>
      <c r="O1823" s="77" t="s">
        <v>179</v>
      </c>
      <c r="P1823" s="79">
        <v>45055.631655092591</v>
      </c>
      <c r="Q1823" s="77" t="s">
        <v>3719</v>
      </c>
      <c r="R1823" s="77">
        <v>1</v>
      </c>
      <c r="S1823" s="77">
        <v>6</v>
      </c>
      <c r="T1823" s="77">
        <v>3</v>
      </c>
      <c r="U1823" s="77">
        <v>1</v>
      </c>
      <c r="V1823" s="77">
        <v>1352</v>
      </c>
      <c r="W1823" s="80" t="s">
        <v>7068</v>
      </c>
      <c r="X1823" s="83" t="str">
        <f>HYPERLINK("https://www.moneytimes.com.br/nem-em-junho-nem-em-agosto-selic-a-1375-pode-durar-um-pouco-mais-antes-de-cair/")</f>
        <v>https://www.moneytimes.com.br/nem-em-junho-nem-em-agosto-selic-a-1375-pode-durar-um-pouco-mais-antes-de-cair/</v>
      </c>
      <c r="Y1823" s="77" t="s">
        <v>8611</v>
      </c>
      <c r="Z1823" s="77"/>
      <c r="AA1823" s="77"/>
      <c r="AB1823" s="77"/>
      <c r="AC1823" s="80" t="s">
        <v>10558</v>
      </c>
      <c r="AD1823" s="77" t="s">
        <v>10617</v>
      </c>
      <c r="AE1823" s="83" t="str">
        <f>HYPERLINK("https://twitter.com/leiamoneytimes/status/1655953164997124097")</f>
        <v>https://twitter.com/leiamoneytimes/status/1655953164997124097</v>
      </c>
      <c r="AF1823" s="79">
        <v>45055.631655092591</v>
      </c>
      <c r="AG1823" s="85">
        <v>45055</v>
      </c>
      <c r="AH1823" s="80" t="s">
        <v>12250</v>
      </c>
      <c r="AI1823" s="77" t="b">
        <v>0</v>
      </c>
      <c r="AJ1823" s="77"/>
      <c r="AK1823" s="77"/>
      <c r="AL1823" s="77"/>
      <c r="AM1823" s="77"/>
      <c r="AN1823" s="77"/>
      <c r="AO1823" s="77"/>
      <c r="AP1823" s="77"/>
      <c r="AQ1823" s="77"/>
      <c r="AR1823" s="77"/>
      <c r="AS1823" s="77"/>
      <c r="AT1823" s="77"/>
      <c r="AU1823" s="77"/>
      <c r="AV1823" s="83" t="str">
        <f>HYPERLINK("https://pbs.twimg.com/profile_images/1559883556846977024/bXHnQFY0_normal.jpg")</f>
        <v>https://pbs.twimg.com/profile_images/1559883556846977024/bXHnQFY0_normal.jpg</v>
      </c>
      <c r="AW1823" s="80" t="s">
        <v>17690</v>
      </c>
      <c r="AX1823" s="80" t="s">
        <v>17690</v>
      </c>
      <c r="AY1823" s="77"/>
      <c r="AZ1823" s="80" t="s">
        <v>20380</v>
      </c>
      <c r="BA1823" s="80" t="s">
        <v>20380</v>
      </c>
      <c r="BB1823" s="80" t="s">
        <v>20380</v>
      </c>
      <c r="BC1823" s="80" t="s">
        <v>17690</v>
      </c>
      <c r="BD1823" s="77">
        <v>51150679</v>
      </c>
      <c r="BE1823" s="77"/>
      <c r="BF1823" s="77"/>
      <c r="BG1823" s="77"/>
      <c r="BH1823" s="77"/>
      <c r="BI1823" s="77"/>
    </row>
    <row r="1824" spans="1:61" x14ac:dyDescent="0.25">
      <c r="A1824" s="62" t="s">
        <v>790</v>
      </c>
      <c r="B1824" s="62" t="s">
        <v>790</v>
      </c>
      <c r="C1824" s="63"/>
      <c r="D1824" s="64"/>
      <c r="E1824" s="65"/>
      <c r="F1824" s="66"/>
      <c r="G1824" s="63"/>
      <c r="H1824" s="67"/>
      <c r="I1824" s="68"/>
      <c r="J1824" s="68"/>
      <c r="K1824" s="32"/>
      <c r="L1824" s="75">
        <v>1824</v>
      </c>
      <c r="M1824" s="75"/>
      <c r="N1824" s="70"/>
      <c r="O1824" s="77" t="s">
        <v>179</v>
      </c>
      <c r="P1824" s="79">
        <v>45055.599351851852</v>
      </c>
      <c r="Q1824" s="77" t="s">
        <v>3720</v>
      </c>
      <c r="R1824" s="77">
        <v>0</v>
      </c>
      <c r="S1824" s="77">
        <v>9</v>
      </c>
      <c r="T1824" s="77">
        <v>1</v>
      </c>
      <c r="U1824" s="77">
        <v>1</v>
      </c>
      <c r="V1824" s="77">
        <v>8288</v>
      </c>
      <c r="W1824" s="80" t="s">
        <v>6272</v>
      </c>
      <c r="X1824" s="83" t="str">
        <f>HYPERLINK("https://www.moneytimes.com.br/substituto-de-campos-neto-galipolo-podera-ser-treinado-para-assumir-banco-central-em-2025/")</f>
        <v>https://www.moneytimes.com.br/substituto-de-campos-neto-galipolo-podera-ser-treinado-para-assumir-banco-central-em-2025/</v>
      </c>
      <c r="Y1824" s="77" t="s">
        <v>8611</v>
      </c>
      <c r="Z1824" s="77"/>
      <c r="AA1824" s="77"/>
      <c r="AB1824" s="77"/>
      <c r="AC1824" s="80" t="s">
        <v>10558</v>
      </c>
      <c r="AD1824" s="77" t="s">
        <v>10617</v>
      </c>
      <c r="AE1824" s="83" t="str">
        <f>HYPERLINK("https://twitter.com/leiamoneytimes/status/1655941461274394626")</f>
        <v>https://twitter.com/leiamoneytimes/status/1655941461274394626</v>
      </c>
      <c r="AF1824" s="79">
        <v>45055.599351851852</v>
      </c>
      <c r="AG1824" s="85">
        <v>45055</v>
      </c>
      <c r="AH1824" s="80" t="s">
        <v>12251</v>
      </c>
      <c r="AI1824" s="77" t="b">
        <v>0</v>
      </c>
      <c r="AJ1824" s="77"/>
      <c r="AK1824" s="77"/>
      <c r="AL1824" s="77"/>
      <c r="AM1824" s="77"/>
      <c r="AN1824" s="77"/>
      <c r="AO1824" s="77"/>
      <c r="AP1824" s="77"/>
      <c r="AQ1824" s="77"/>
      <c r="AR1824" s="77"/>
      <c r="AS1824" s="77"/>
      <c r="AT1824" s="77"/>
      <c r="AU1824" s="77"/>
      <c r="AV1824" s="83" t="str">
        <f>HYPERLINK("https://pbs.twimg.com/profile_images/1559883556846977024/bXHnQFY0_normal.jpg")</f>
        <v>https://pbs.twimg.com/profile_images/1559883556846977024/bXHnQFY0_normal.jpg</v>
      </c>
      <c r="AW1824" s="80" t="s">
        <v>17691</v>
      </c>
      <c r="AX1824" s="80" t="s">
        <v>17691</v>
      </c>
      <c r="AY1824" s="77"/>
      <c r="AZ1824" s="80" t="s">
        <v>20380</v>
      </c>
      <c r="BA1824" s="80" t="s">
        <v>20380</v>
      </c>
      <c r="BB1824" s="80" t="s">
        <v>20380</v>
      </c>
      <c r="BC1824" s="80" t="s">
        <v>17691</v>
      </c>
      <c r="BD1824" s="77">
        <v>51150679</v>
      </c>
      <c r="BE1824" s="77"/>
      <c r="BF1824" s="77"/>
      <c r="BG1824" s="77"/>
      <c r="BH1824" s="77"/>
      <c r="BI1824" s="77"/>
    </row>
    <row r="1825" spans="1:61" x14ac:dyDescent="0.25">
      <c r="A1825" s="62" t="s">
        <v>790</v>
      </c>
      <c r="B1825" s="62" t="s">
        <v>790</v>
      </c>
      <c r="C1825" s="63"/>
      <c r="D1825" s="64"/>
      <c r="E1825" s="65"/>
      <c r="F1825" s="66"/>
      <c r="G1825" s="63"/>
      <c r="H1825" s="67"/>
      <c r="I1825" s="68"/>
      <c r="J1825" s="68"/>
      <c r="K1825" s="32"/>
      <c r="L1825" s="75">
        <v>1825</v>
      </c>
      <c r="M1825" s="75"/>
      <c r="N1825" s="70"/>
      <c r="O1825" s="77" t="s">
        <v>179</v>
      </c>
      <c r="P1825" s="79">
        <v>45055.549421296295</v>
      </c>
      <c r="Q1825" s="77" t="s">
        <v>3721</v>
      </c>
      <c r="R1825" s="77">
        <v>0</v>
      </c>
      <c r="S1825" s="77">
        <v>6</v>
      </c>
      <c r="T1825" s="77">
        <v>1</v>
      </c>
      <c r="U1825" s="77">
        <v>0</v>
      </c>
      <c r="V1825" s="77">
        <v>1080</v>
      </c>
      <c r="W1825" s="80" t="s">
        <v>7069</v>
      </c>
      <c r="X1825" s="83" t="str">
        <f>HYPERLINK("https://www.moneytimes.com.br/china-e-copom-acabam-com-otimismo-do-ibovespa-ibov-indice-abre-em-queda/")</f>
        <v>https://www.moneytimes.com.br/china-e-copom-acabam-com-otimismo-do-ibovespa-ibov-indice-abre-em-queda/</v>
      </c>
      <c r="Y1825" s="77" t="s">
        <v>8611</v>
      </c>
      <c r="Z1825" s="77"/>
      <c r="AA1825" s="77"/>
      <c r="AB1825" s="77"/>
      <c r="AC1825" s="80" t="s">
        <v>10558</v>
      </c>
      <c r="AD1825" s="77" t="s">
        <v>10617</v>
      </c>
      <c r="AE1825" s="83" t="str">
        <f>HYPERLINK("https://twitter.com/leiamoneytimes/status/1655923364865748994")</f>
        <v>https://twitter.com/leiamoneytimes/status/1655923364865748994</v>
      </c>
      <c r="AF1825" s="79">
        <v>45055.549421296295</v>
      </c>
      <c r="AG1825" s="85">
        <v>45055</v>
      </c>
      <c r="AH1825" s="80" t="s">
        <v>12252</v>
      </c>
      <c r="AI1825" s="77" t="b">
        <v>0</v>
      </c>
      <c r="AJ1825" s="77"/>
      <c r="AK1825" s="77"/>
      <c r="AL1825" s="77"/>
      <c r="AM1825" s="77"/>
      <c r="AN1825" s="77"/>
      <c r="AO1825" s="77"/>
      <c r="AP1825" s="77"/>
      <c r="AQ1825" s="77"/>
      <c r="AR1825" s="77"/>
      <c r="AS1825" s="77"/>
      <c r="AT1825" s="77"/>
      <c r="AU1825" s="77"/>
      <c r="AV1825" s="83" t="str">
        <f>HYPERLINK("https://pbs.twimg.com/profile_images/1559883556846977024/bXHnQFY0_normal.jpg")</f>
        <v>https://pbs.twimg.com/profile_images/1559883556846977024/bXHnQFY0_normal.jpg</v>
      </c>
      <c r="AW1825" s="80" t="s">
        <v>17692</v>
      </c>
      <c r="AX1825" s="80" t="s">
        <v>17692</v>
      </c>
      <c r="AY1825" s="77"/>
      <c r="AZ1825" s="80" t="s">
        <v>20380</v>
      </c>
      <c r="BA1825" s="80" t="s">
        <v>20380</v>
      </c>
      <c r="BB1825" s="80" t="s">
        <v>20380</v>
      </c>
      <c r="BC1825" s="80" t="s">
        <v>17692</v>
      </c>
      <c r="BD1825" s="77">
        <v>51150679</v>
      </c>
      <c r="BE1825" s="77"/>
      <c r="BF1825" s="77"/>
      <c r="BG1825" s="77"/>
      <c r="BH1825" s="77"/>
      <c r="BI1825" s="77"/>
    </row>
    <row r="1826" spans="1:61" x14ac:dyDescent="0.25">
      <c r="A1826" s="62" t="s">
        <v>790</v>
      </c>
      <c r="B1826" s="62" t="s">
        <v>790</v>
      </c>
      <c r="C1826" s="63"/>
      <c r="D1826" s="64"/>
      <c r="E1826" s="65"/>
      <c r="F1826" s="66"/>
      <c r="G1826" s="63"/>
      <c r="H1826" s="67"/>
      <c r="I1826" s="68"/>
      <c r="J1826" s="68"/>
      <c r="K1826" s="32"/>
      <c r="L1826" s="75">
        <v>1826</v>
      </c>
      <c r="M1826" s="75"/>
      <c r="N1826" s="70"/>
      <c r="O1826" s="77" t="s">
        <v>179</v>
      </c>
      <c r="P1826" s="79">
        <v>45055.496620370373</v>
      </c>
      <c r="Q1826" s="77" t="s">
        <v>3722</v>
      </c>
      <c r="R1826" s="77">
        <v>0</v>
      </c>
      <c r="S1826" s="77">
        <v>4</v>
      </c>
      <c r="T1826" s="77">
        <v>2</v>
      </c>
      <c r="U1826" s="77">
        <v>0</v>
      </c>
      <c r="V1826" s="77">
        <v>1261</v>
      </c>
      <c r="W1826" s="80" t="s">
        <v>6940</v>
      </c>
      <c r="X1826" s="83" t="str">
        <f>HYPERLINK("https://www.moneytimes.com.br/tres-recados-que-o-banco-central-deixa-para-o-governo-e-o-mercado-na-ata-do-copom/")</f>
        <v>https://www.moneytimes.com.br/tres-recados-que-o-banco-central-deixa-para-o-governo-e-o-mercado-na-ata-do-copom/</v>
      </c>
      <c r="Y1826" s="77" t="s">
        <v>8611</v>
      </c>
      <c r="Z1826" s="77"/>
      <c r="AA1826" s="77"/>
      <c r="AB1826" s="77"/>
      <c r="AC1826" s="80" t="s">
        <v>10558</v>
      </c>
      <c r="AD1826" s="77" t="s">
        <v>10617</v>
      </c>
      <c r="AE1826" s="83" t="str">
        <f>HYPERLINK("https://twitter.com/leiamoneytimes/status/1655904230262095872")</f>
        <v>https://twitter.com/leiamoneytimes/status/1655904230262095872</v>
      </c>
      <c r="AF1826" s="79">
        <v>45055.496620370373</v>
      </c>
      <c r="AG1826" s="85">
        <v>45055</v>
      </c>
      <c r="AH1826" s="80" t="s">
        <v>12253</v>
      </c>
      <c r="AI1826" s="77" t="b">
        <v>0</v>
      </c>
      <c r="AJ1826" s="77"/>
      <c r="AK1826" s="77"/>
      <c r="AL1826" s="77"/>
      <c r="AM1826" s="77"/>
      <c r="AN1826" s="77"/>
      <c r="AO1826" s="77"/>
      <c r="AP1826" s="77"/>
      <c r="AQ1826" s="77"/>
      <c r="AR1826" s="77"/>
      <c r="AS1826" s="77"/>
      <c r="AT1826" s="77"/>
      <c r="AU1826" s="77"/>
      <c r="AV1826" s="83" t="str">
        <f>HYPERLINK("https://pbs.twimg.com/profile_images/1559883556846977024/bXHnQFY0_normal.jpg")</f>
        <v>https://pbs.twimg.com/profile_images/1559883556846977024/bXHnQFY0_normal.jpg</v>
      </c>
      <c r="AW1826" s="80" t="s">
        <v>17693</v>
      </c>
      <c r="AX1826" s="80" t="s">
        <v>17693</v>
      </c>
      <c r="AY1826" s="77"/>
      <c r="AZ1826" s="80" t="s">
        <v>20380</v>
      </c>
      <c r="BA1826" s="80" t="s">
        <v>20380</v>
      </c>
      <c r="BB1826" s="80" t="s">
        <v>20380</v>
      </c>
      <c r="BC1826" s="80" t="s">
        <v>17693</v>
      </c>
      <c r="BD1826" s="77">
        <v>51150679</v>
      </c>
      <c r="BE1826" s="77"/>
      <c r="BF1826" s="77"/>
      <c r="BG1826" s="77"/>
      <c r="BH1826" s="77"/>
      <c r="BI1826" s="77"/>
    </row>
    <row r="1827" spans="1:61" x14ac:dyDescent="0.25">
      <c r="A1827" s="62" t="s">
        <v>790</v>
      </c>
      <c r="B1827" s="62" t="s">
        <v>790</v>
      </c>
      <c r="C1827" s="63"/>
      <c r="D1827" s="64"/>
      <c r="E1827" s="65"/>
      <c r="F1827" s="66"/>
      <c r="G1827" s="63"/>
      <c r="H1827" s="67"/>
      <c r="I1827" s="68"/>
      <c r="J1827" s="68"/>
      <c r="K1827" s="32"/>
      <c r="L1827" s="75">
        <v>1827</v>
      </c>
      <c r="M1827" s="75"/>
      <c r="N1827" s="70"/>
      <c r="O1827" s="77" t="s">
        <v>179</v>
      </c>
      <c r="P1827" s="79">
        <v>45055.481423611112</v>
      </c>
      <c r="Q1827" s="77" t="s">
        <v>3723</v>
      </c>
      <c r="R1827" s="77">
        <v>0</v>
      </c>
      <c r="S1827" s="77">
        <v>5</v>
      </c>
      <c r="T1827" s="77">
        <v>1</v>
      </c>
      <c r="U1827" s="77">
        <v>0</v>
      </c>
      <c r="V1827" s="77">
        <v>1419</v>
      </c>
      <c r="W1827" s="80" t="s">
        <v>7070</v>
      </c>
      <c r="X1827" s="83" t="str">
        <f>HYPERLINK("https://www.moneytimes.com.br/um-estranho-no-ninho-do-copom-a-indicacao-de-haddad-ao-banco-central-ruidos-em-brasilia-ir-2023-e-outras-noticias-do-dia/")</f>
        <v>https://www.moneytimes.com.br/um-estranho-no-ninho-do-copom-a-indicacao-de-haddad-ao-banco-central-ruidos-em-brasilia-ir-2023-e-outras-noticias-do-dia/</v>
      </c>
      <c r="Y1827" s="77" t="s">
        <v>8611</v>
      </c>
      <c r="Z1827" s="77"/>
      <c r="AA1827" s="77"/>
      <c r="AB1827" s="77"/>
      <c r="AC1827" s="80" t="s">
        <v>10558</v>
      </c>
      <c r="AD1827" s="77" t="s">
        <v>10617</v>
      </c>
      <c r="AE1827" s="83" t="str">
        <f>HYPERLINK("https://twitter.com/leiamoneytimes/status/1655898723883311109")</f>
        <v>https://twitter.com/leiamoneytimes/status/1655898723883311109</v>
      </c>
      <c r="AF1827" s="79">
        <v>45055.481423611112</v>
      </c>
      <c r="AG1827" s="85">
        <v>45055</v>
      </c>
      <c r="AH1827" s="80" t="s">
        <v>12254</v>
      </c>
      <c r="AI1827" s="77" t="b">
        <v>0</v>
      </c>
      <c r="AJ1827" s="77"/>
      <c r="AK1827" s="77"/>
      <c r="AL1827" s="77"/>
      <c r="AM1827" s="77"/>
      <c r="AN1827" s="77"/>
      <c r="AO1827" s="77"/>
      <c r="AP1827" s="77"/>
      <c r="AQ1827" s="77"/>
      <c r="AR1827" s="77"/>
      <c r="AS1827" s="77"/>
      <c r="AT1827" s="77"/>
      <c r="AU1827" s="77"/>
      <c r="AV1827" s="83" t="str">
        <f>HYPERLINK("https://pbs.twimg.com/profile_images/1559883556846977024/bXHnQFY0_normal.jpg")</f>
        <v>https://pbs.twimg.com/profile_images/1559883556846977024/bXHnQFY0_normal.jpg</v>
      </c>
      <c r="AW1827" s="80" t="s">
        <v>17694</v>
      </c>
      <c r="AX1827" s="80" t="s">
        <v>17694</v>
      </c>
      <c r="AY1827" s="77"/>
      <c r="AZ1827" s="80" t="s">
        <v>20380</v>
      </c>
      <c r="BA1827" s="80" t="s">
        <v>20380</v>
      </c>
      <c r="BB1827" s="80" t="s">
        <v>20380</v>
      </c>
      <c r="BC1827" s="80" t="s">
        <v>17694</v>
      </c>
      <c r="BD1827" s="77">
        <v>51150679</v>
      </c>
      <c r="BE1827" s="77"/>
      <c r="BF1827" s="77"/>
      <c r="BG1827" s="77"/>
      <c r="BH1827" s="77"/>
      <c r="BI1827" s="77"/>
    </row>
    <row r="1828" spans="1:61" x14ac:dyDescent="0.25">
      <c r="A1828" s="62" t="s">
        <v>790</v>
      </c>
      <c r="B1828" s="62" t="s">
        <v>790</v>
      </c>
      <c r="C1828" s="63"/>
      <c r="D1828" s="64"/>
      <c r="E1828" s="65"/>
      <c r="F1828" s="66"/>
      <c r="G1828" s="63"/>
      <c r="H1828" s="67"/>
      <c r="I1828" s="68"/>
      <c r="J1828" s="68"/>
      <c r="K1828" s="32"/>
      <c r="L1828" s="75">
        <v>1828</v>
      </c>
      <c r="M1828" s="75"/>
      <c r="N1828" s="70"/>
      <c r="O1828" s="77" t="s">
        <v>179</v>
      </c>
      <c r="P1828" s="79">
        <v>45197.63989583333</v>
      </c>
      <c r="Q1828" s="77" t="s">
        <v>3724</v>
      </c>
      <c r="R1828" s="77">
        <v>0</v>
      </c>
      <c r="S1828" s="77">
        <v>0</v>
      </c>
      <c r="T1828" s="77">
        <v>1</v>
      </c>
      <c r="U1828" s="77">
        <v>0</v>
      </c>
      <c r="V1828" s="77">
        <v>815</v>
      </c>
      <c r="W1828" s="80" t="s">
        <v>7071</v>
      </c>
      <c r="X1828" s="83" t="str">
        <f>HYPERLINK("https://www.moneytimes.com.br/pix-mais-seguro-banco-central-aumenta-regras-de-seguranca-relacionadas-ao-pix/?ttmt")</f>
        <v>https://www.moneytimes.com.br/pix-mais-seguro-banco-central-aumenta-regras-de-seguranca-relacionadas-ao-pix/?ttmt</v>
      </c>
      <c r="Y1828" s="77" t="s">
        <v>8611</v>
      </c>
      <c r="Z1828" s="77"/>
      <c r="AA1828" s="77"/>
      <c r="AB1828" s="77"/>
      <c r="AC1828" s="80" t="s">
        <v>10541</v>
      </c>
      <c r="AD1828" s="77" t="s">
        <v>10617</v>
      </c>
      <c r="AE1828" s="83" t="str">
        <f>HYPERLINK("https://twitter.com/leiamoneytimes/status/1707415226977489129")</f>
        <v>https://twitter.com/leiamoneytimes/status/1707415226977489129</v>
      </c>
      <c r="AF1828" s="79">
        <v>45197.63989583333</v>
      </c>
      <c r="AG1828" s="85">
        <v>45197</v>
      </c>
      <c r="AH1828" s="80" t="s">
        <v>12255</v>
      </c>
      <c r="AI1828" s="77" t="b">
        <v>0</v>
      </c>
      <c r="AJ1828" s="77"/>
      <c r="AK1828" s="77"/>
      <c r="AL1828" s="77"/>
      <c r="AM1828" s="77"/>
      <c r="AN1828" s="77"/>
      <c r="AO1828" s="77"/>
      <c r="AP1828" s="77"/>
      <c r="AQ1828" s="77"/>
      <c r="AR1828" s="77"/>
      <c r="AS1828" s="77"/>
      <c r="AT1828" s="77"/>
      <c r="AU1828" s="77"/>
      <c r="AV1828" s="83" t="str">
        <f>HYPERLINK("https://pbs.twimg.com/profile_images/1559883556846977024/bXHnQFY0_normal.jpg")</f>
        <v>https://pbs.twimg.com/profile_images/1559883556846977024/bXHnQFY0_normal.jpg</v>
      </c>
      <c r="AW1828" s="80" t="s">
        <v>17695</v>
      </c>
      <c r="AX1828" s="80" t="s">
        <v>17695</v>
      </c>
      <c r="AY1828" s="77"/>
      <c r="AZ1828" s="80" t="s">
        <v>20380</v>
      </c>
      <c r="BA1828" s="80" t="s">
        <v>20380</v>
      </c>
      <c r="BB1828" s="80" t="s">
        <v>20380</v>
      </c>
      <c r="BC1828" s="80" t="s">
        <v>17695</v>
      </c>
      <c r="BD1828" s="77">
        <v>51150679</v>
      </c>
      <c r="BE1828" s="77"/>
      <c r="BF1828" s="77"/>
      <c r="BG1828" s="77"/>
      <c r="BH1828" s="77"/>
      <c r="BI1828" s="77"/>
    </row>
    <row r="1829" spans="1:61" x14ac:dyDescent="0.25">
      <c r="A1829" s="62" t="s">
        <v>790</v>
      </c>
      <c r="B1829" s="62" t="s">
        <v>790</v>
      </c>
      <c r="C1829" s="63"/>
      <c r="D1829" s="64"/>
      <c r="E1829" s="65"/>
      <c r="F1829" s="66"/>
      <c r="G1829" s="63"/>
      <c r="H1829" s="67"/>
      <c r="I1829" s="68"/>
      <c r="J1829" s="68"/>
      <c r="K1829" s="32"/>
      <c r="L1829" s="75">
        <v>1829</v>
      </c>
      <c r="M1829" s="75"/>
      <c r="N1829" s="70"/>
      <c r="O1829" s="77" t="s">
        <v>179</v>
      </c>
      <c r="P1829" s="79">
        <v>45194.577893518515</v>
      </c>
      <c r="Q1829" s="77" t="s">
        <v>3725</v>
      </c>
      <c r="R1829" s="77">
        <v>0</v>
      </c>
      <c r="S1829" s="77">
        <v>3</v>
      </c>
      <c r="T1829" s="77">
        <v>2</v>
      </c>
      <c r="U1829" s="77">
        <v>0</v>
      </c>
      <c r="V1829" s="77">
        <v>864</v>
      </c>
      <c r="W1829" s="80" t="s">
        <v>7072</v>
      </c>
      <c r="X1829" s="83" t="str">
        <f>HYPERLINK("https://www.moneytimes.com.br/projecoes-de-inflacao-seguem-em-486-confira-o-focus-desta-segunda-25/?ttmt")</f>
        <v>https://www.moneytimes.com.br/projecoes-de-inflacao-seguem-em-486-confira-o-focus-desta-segunda-25/?ttmt</v>
      </c>
      <c r="Y1829" s="77" t="s">
        <v>8611</v>
      </c>
      <c r="Z1829" s="77"/>
      <c r="AA1829" s="77"/>
      <c r="AB1829" s="77"/>
      <c r="AC1829" s="80" t="s">
        <v>10541</v>
      </c>
      <c r="AD1829" s="77" t="s">
        <v>10617</v>
      </c>
      <c r="AE1829" s="83" t="str">
        <f>HYPERLINK("https://twitter.com/leiamoneytimes/status/1706305595173675478")</f>
        <v>https://twitter.com/leiamoneytimes/status/1706305595173675478</v>
      </c>
      <c r="AF1829" s="79">
        <v>45194.577893518515</v>
      </c>
      <c r="AG1829" s="85">
        <v>45194</v>
      </c>
      <c r="AH1829" s="80" t="s">
        <v>12256</v>
      </c>
      <c r="AI1829" s="77" t="b">
        <v>0</v>
      </c>
      <c r="AJ1829" s="77"/>
      <c r="AK1829" s="77"/>
      <c r="AL1829" s="77"/>
      <c r="AM1829" s="77"/>
      <c r="AN1829" s="77"/>
      <c r="AO1829" s="77"/>
      <c r="AP1829" s="77"/>
      <c r="AQ1829" s="77"/>
      <c r="AR1829" s="77"/>
      <c r="AS1829" s="77"/>
      <c r="AT1829" s="77"/>
      <c r="AU1829" s="77"/>
      <c r="AV1829" s="83" t="str">
        <f>HYPERLINK("https://pbs.twimg.com/profile_images/1559883556846977024/bXHnQFY0_normal.jpg")</f>
        <v>https://pbs.twimg.com/profile_images/1559883556846977024/bXHnQFY0_normal.jpg</v>
      </c>
      <c r="AW1829" s="80" t="s">
        <v>17696</v>
      </c>
      <c r="AX1829" s="80" t="s">
        <v>17696</v>
      </c>
      <c r="AY1829" s="77"/>
      <c r="AZ1829" s="80" t="s">
        <v>20380</v>
      </c>
      <c r="BA1829" s="80" t="s">
        <v>20380</v>
      </c>
      <c r="BB1829" s="80" t="s">
        <v>20380</v>
      </c>
      <c r="BC1829" s="80" t="s">
        <v>17696</v>
      </c>
      <c r="BD1829" s="77">
        <v>51150679</v>
      </c>
      <c r="BE1829" s="77"/>
      <c r="BF1829" s="77"/>
      <c r="BG1829" s="77"/>
      <c r="BH1829" s="77"/>
      <c r="BI1829" s="77"/>
    </row>
    <row r="1830" spans="1:61" x14ac:dyDescent="0.25">
      <c r="A1830" s="62" t="s">
        <v>790</v>
      </c>
      <c r="B1830" s="62" t="s">
        <v>790</v>
      </c>
      <c r="C1830" s="63"/>
      <c r="D1830" s="64"/>
      <c r="E1830" s="65"/>
      <c r="F1830" s="66"/>
      <c r="G1830" s="63"/>
      <c r="H1830" s="67"/>
      <c r="I1830" s="68"/>
      <c r="J1830" s="68"/>
      <c r="K1830" s="32"/>
      <c r="L1830" s="75">
        <v>1830</v>
      </c>
      <c r="M1830" s="75"/>
      <c r="N1830" s="70"/>
      <c r="O1830" s="77" t="s">
        <v>179</v>
      </c>
      <c r="P1830" s="79">
        <v>45167.695856481485</v>
      </c>
      <c r="Q1830" s="77" t="s">
        <v>3726</v>
      </c>
      <c r="R1830" s="77">
        <v>0</v>
      </c>
      <c r="S1830" s="77">
        <v>6</v>
      </c>
      <c r="T1830" s="77">
        <v>2</v>
      </c>
      <c r="U1830" s="77">
        <v>0</v>
      </c>
      <c r="V1830" s="77">
        <v>1133</v>
      </c>
      <c r="W1830" s="80" t="s">
        <v>6974</v>
      </c>
      <c r="X1830" s="83" t="str">
        <f>HYPERLINK("https://www.moneytimes.com.br/juros-rotativos-chegam-a-4457-ao-ano-veja-os-planos-do-governo-para-mudar-isso/")</f>
        <v>https://www.moneytimes.com.br/juros-rotativos-chegam-a-4457-ao-ano-veja-os-planos-do-governo-para-mudar-isso/</v>
      </c>
      <c r="Y1830" s="77" t="s">
        <v>8611</v>
      </c>
      <c r="Z1830" s="77"/>
      <c r="AA1830" s="77"/>
      <c r="AB1830" s="77"/>
      <c r="AC1830" s="80" t="s">
        <v>10558</v>
      </c>
      <c r="AD1830" s="77" t="s">
        <v>10617</v>
      </c>
      <c r="AE1830" s="83" t="str">
        <f>HYPERLINK("https://twitter.com/leiamoneytimes/status/1696563873103466977")</f>
        <v>https://twitter.com/leiamoneytimes/status/1696563873103466977</v>
      </c>
      <c r="AF1830" s="79">
        <v>45167.695856481485</v>
      </c>
      <c r="AG1830" s="85">
        <v>45167</v>
      </c>
      <c r="AH1830" s="80" t="s">
        <v>12257</v>
      </c>
      <c r="AI1830" s="77" t="b">
        <v>0</v>
      </c>
      <c r="AJ1830" s="77"/>
      <c r="AK1830" s="77"/>
      <c r="AL1830" s="77"/>
      <c r="AM1830" s="77"/>
      <c r="AN1830" s="77"/>
      <c r="AO1830" s="77"/>
      <c r="AP1830" s="77"/>
      <c r="AQ1830" s="77"/>
      <c r="AR1830" s="77"/>
      <c r="AS1830" s="77"/>
      <c r="AT1830" s="77"/>
      <c r="AU1830" s="77"/>
      <c r="AV1830" s="83" t="str">
        <f>HYPERLINK("https://pbs.twimg.com/profile_images/1559883556846977024/bXHnQFY0_normal.jpg")</f>
        <v>https://pbs.twimg.com/profile_images/1559883556846977024/bXHnQFY0_normal.jpg</v>
      </c>
      <c r="AW1830" s="80" t="s">
        <v>17697</v>
      </c>
      <c r="AX1830" s="80" t="s">
        <v>17697</v>
      </c>
      <c r="AY1830" s="77"/>
      <c r="AZ1830" s="80" t="s">
        <v>20380</v>
      </c>
      <c r="BA1830" s="80" t="s">
        <v>20380</v>
      </c>
      <c r="BB1830" s="80" t="s">
        <v>20380</v>
      </c>
      <c r="BC1830" s="80" t="s">
        <v>17697</v>
      </c>
      <c r="BD1830" s="77">
        <v>51150679</v>
      </c>
      <c r="BE1830" s="77"/>
      <c r="BF1830" s="77"/>
      <c r="BG1830" s="77"/>
      <c r="BH1830" s="77"/>
      <c r="BI1830" s="77"/>
    </row>
    <row r="1831" spans="1:61" x14ac:dyDescent="0.25">
      <c r="A1831" s="62" t="s">
        <v>790</v>
      </c>
      <c r="B1831" s="62" t="s">
        <v>790</v>
      </c>
      <c r="C1831" s="63"/>
      <c r="D1831" s="64"/>
      <c r="E1831" s="65"/>
      <c r="F1831" s="66"/>
      <c r="G1831" s="63"/>
      <c r="H1831" s="67"/>
      <c r="I1831" s="68"/>
      <c r="J1831" s="68"/>
      <c r="K1831" s="32"/>
      <c r="L1831" s="75">
        <v>1831</v>
      </c>
      <c r="M1831" s="75"/>
      <c r="N1831" s="70"/>
      <c r="O1831" s="77" t="s">
        <v>179</v>
      </c>
      <c r="P1831" s="79">
        <v>45167.597731481481</v>
      </c>
      <c r="Q1831" s="77" t="s">
        <v>3727</v>
      </c>
      <c r="R1831" s="77">
        <v>0</v>
      </c>
      <c r="S1831" s="77">
        <v>3</v>
      </c>
      <c r="T1831" s="77">
        <v>0</v>
      </c>
      <c r="U1831" s="77">
        <v>0</v>
      </c>
      <c r="V1831" s="77">
        <v>1036</v>
      </c>
      <c r="W1831" s="80" t="s">
        <v>6950</v>
      </c>
      <c r="X1831" s="83" t="str">
        <f>HYPERLINK("https://www.moneytimes.com.br/pix-vai-substituir-o-cartao-de-credito-diz-campos-neto-entenda/")</f>
        <v>https://www.moneytimes.com.br/pix-vai-substituir-o-cartao-de-credito-diz-campos-neto-entenda/</v>
      </c>
      <c r="Y1831" s="77" t="s">
        <v>8611</v>
      </c>
      <c r="Z1831" s="77"/>
      <c r="AA1831" s="77"/>
      <c r="AB1831" s="77"/>
      <c r="AC1831" s="80" t="s">
        <v>10558</v>
      </c>
      <c r="AD1831" s="77" t="s">
        <v>10617</v>
      </c>
      <c r="AE1831" s="83" t="str">
        <f>HYPERLINK("https://twitter.com/leiamoneytimes/status/1696528311416168502")</f>
        <v>https://twitter.com/leiamoneytimes/status/1696528311416168502</v>
      </c>
      <c r="AF1831" s="79">
        <v>45167.597731481481</v>
      </c>
      <c r="AG1831" s="85">
        <v>45167</v>
      </c>
      <c r="AH1831" s="80" t="s">
        <v>12258</v>
      </c>
      <c r="AI1831" s="77" t="b">
        <v>0</v>
      </c>
      <c r="AJ1831" s="77"/>
      <c r="AK1831" s="77"/>
      <c r="AL1831" s="77"/>
      <c r="AM1831" s="77"/>
      <c r="AN1831" s="77"/>
      <c r="AO1831" s="77"/>
      <c r="AP1831" s="77"/>
      <c r="AQ1831" s="77"/>
      <c r="AR1831" s="77"/>
      <c r="AS1831" s="77"/>
      <c r="AT1831" s="77"/>
      <c r="AU1831" s="77"/>
      <c r="AV1831" s="83" t="str">
        <f>HYPERLINK("https://pbs.twimg.com/profile_images/1559883556846977024/bXHnQFY0_normal.jpg")</f>
        <v>https://pbs.twimg.com/profile_images/1559883556846977024/bXHnQFY0_normal.jpg</v>
      </c>
      <c r="AW1831" s="80" t="s">
        <v>17698</v>
      </c>
      <c r="AX1831" s="80" t="s">
        <v>17698</v>
      </c>
      <c r="AY1831" s="77"/>
      <c r="AZ1831" s="80" t="s">
        <v>20380</v>
      </c>
      <c r="BA1831" s="80" t="s">
        <v>20380</v>
      </c>
      <c r="BB1831" s="80" t="s">
        <v>20380</v>
      </c>
      <c r="BC1831" s="80" t="s">
        <v>17698</v>
      </c>
      <c r="BD1831" s="77">
        <v>51150679</v>
      </c>
      <c r="BE1831" s="77"/>
      <c r="BF1831" s="77"/>
      <c r="BG1831" s="77"/>
      <c r="BH1831" s="77"/>
      <c r="BI1831" s="77"/>
    </row>
    <row r="1832" spans="1:61" x14ac:dyDescent="0.25">
      <c r="A1832" s="62" t="s">
        <v>790</v>
      </c>
      <c r="B1832" s="62" t="s">
        <v>790</v>
      </c>
      <c r="C1832" s="63"/>
      <c r="D1832" s="64"/>
      <c r="E1832" s="65"/>
      <c r="F1832" s="66"/>
      <c r="G1832" s="63"/>
      <c r="H1832" s="67"/>
      <c r="I1832" s="68"/>
      <c r="J1832" s="68"/>
      <c r="K1832" s="32"/>
      <c r="L1832" s="75">
        <v>1832</v>
      </c>
      <c r="M1832" s="75"/>
      <c r="N1832" s="70"/>
      <c r="O1832" s="77" t="s">
        <v>179</v>
      </c>
      <c r="P1832" s="79">
        <v>45153.728356481479</v>
      </c>
      <c r="Q1832" s="77" t="s">
        <v>3728</v>
      </c>
      <c r="R1832" s="77">
        <v>0</v>
      </c>
      <c r="S1832" s="77">
        <v>4</v>
      </c>
      <c r="T1832" s="77">
        <v>0</v>
      </c>
      <c r="U1832" s="77">
        <v>0</v>
      </c>
      <c r="V1832" s="77">
        <v>835</v>
      </c>
      <c r="W1832" s="80" t="s">
        <v>7043</v>
      </c>
      <c r="X1832" s="83" t="str">
        <f>HYPERLINK("https://www.moneytimes.com.br/gasolina-mais-cara-queda-na-selic-entra-em-rota-de-colisao-com-reajuste-da-petrobras/")</f>
        <v>https://www.moneytimes.com.br/gasolina-mais-cara-queda-na-selic-entra-em-rota-de-colisao-com-reajuste-da-petrobras/</v>
      </c>
      <c r="Y1832" s="77" t="s">
        <v>8611</v>
      </c>
      <c r="Z1832" s="77"/>
      <c r="AA1832" s="77"/>
      <c r="AB1832" s="77"/>
      <c r="AC1832" s="80" t="s">
        <v>10558</v>
      </c>
      <c r="AD1832" s="77" t="s">
        <v>10617</v>
      </c>
      <c r="AE1832" s="83" t="str">
        <f>HYPERLINK("https://twitter.com/leiamoneytimes/status/1691502219600732169")</f>
        <v>https://twitter.com/leiamoneytimes/status/1691502219600732169</v>
      </c>
      <c r="AF1832" s="79">
        <v>45153.728356481479</v>
      </c>
      <c r="AG1832" s="85">
        <v>45153</v>
      </c>
      <c r="AH1832" s="80" t="s">
        <v>12259</v>
      </c>
      <c r="AI1832" s="77" t="b">
        <v>0</v>
      </c>
      <c r="AJ1832" s="77"/>
      <c r="AK1832" s="77"/>
      <c r="AL1832" s="77"/>
      <c r="AM1832" s="77"/>
      <c r="AN1832" s="77"/>
      <c r="AO1832" s="77"/>
      <c r="AP1832" s="77"/>
      <c r="AQ1832" s="77"/>
      <c r="AR1832" s="77"/>
      <c r="AS1832" s="77"/>
      <c r="AT1832" s="77"/>
      <c r="AU1832" s="77"/>
      <c r="AV1832" s="83" t="str">
        <f>HYPERLINK("https://pbs.twimg.com/profile_images/1559883556846977024/bXHnQFY0_normal.jpg")</f>
        <v>https://pbs.twimg.com/profile_images/1559883556846977024/bXHnQFY0_normal.jpg</v>
      </c>
      <c r="AW1832" s="80" t="s">
        <v>17699</v>
      </c>
      <c r="AX1832" s="80" t="s">
        <v>17699</v>
      </c>
      <c r="AY1832" s="77"/>
      <c r="AZ1832" s="80" t="s">
        <v>20380</v>
      </c>
      <c r="BA1832" s="80" t="s">
        <v>20380</v>
      </c>
      <c r="BB1832" s="80" t="s">
        <v>20380</v>
      </c>
      <c r="BC1832" s="80" t="s">
        <v>17699</v>
      </c>
      <c r="BD1832" s="77">
        <v>51150679</v>
      </c>
      <c r="BE1832" s="77"/>
      <c r="BF1832" s="77"/>
      <c r="BG1832" s="77"/>
      <c r="BH1832" s="77"/>
      <c r="BI1832" s="77"/>
    </row>
    <row r="1833" spans="1:61" x14ac:dyDescent="0.25">
      <c r="A1833" s="62" t="s">
        <v>790</v>
      </c>
      <c r="B1833" s="62" t="s">
        <v>790</v>
      </c>
      <c r="C1833" s="63"/>
      <c r="D1833" s="64"/>
      <c r="E1833" s="65"/>
      <c r="F1833" s="66"/>
      <c r="G1833" s="63"/>
      <c r="H1833" s="67"/>
      <c r="I1833" s="68"/>
      <c r="J1833" s="68"/>
      <c r="K1833" s="32"/>
      <c r="L1833" s="75">
        <v>1833</v>
      </c>
      <c r="M1833" s="75"/>
      <c r="N1833" s="70"/>
      <c r="O1833" s="77" t="s">
        <v>179</v>
      </c>
      <c r="P1833" s="79">
        <v>45147.440949074073</v>
      </c>
      <c r="Q1833" s="77" t="s">
        <v>3729</v>
      </c>
      <c r="R1833" s="77">
        <v>0</v>
      </c>
      <c r="S1833" s="77">
        <v>6</v>
      </c>
      <c r="T1833" s="77">
        <v>1</v>
      </c>
      <c r="U1833" s="77">
        <v>0</v>
      </c>
      <c r="V1833" s="77">
        <v>1109</v>
      </c>
      <c r="W1833" s="80" t="s">
        <v>6929</v>
      </c>
      <c r="X1833" s="83" t="str">
        <f>HYPERLINK("https://www.moneytimes.com.br/morning-times-copom-diz-que-nao-mas-mercado-ainda-sonha-com-o-075-pp-08-08-2023/")</f>
        <v>https://www.moneytimes.com.br/morning-times-copom-diz-que-nao-mas-mercado-ainda-sonha-com-o-075-pp-08-08-2023/</v>
      </c>
      <c r="Y1833" s="77" t="s">
        <v>8611</v>
      </c>
      <c r="Z1833" s="77"/>
      <c r="AA1833" s="77"/>
      <c r="AB1833" s="77"/>
      <c r="AC1833" s="80" t="s">
        <v>10558</v>
      </c>
      <c r="AD1833" s="77" t="s">
        <v>10617</v>
      </c>
      <c r="AE1833" s="83" t="str">
        <f>HYPERLINK("https://twitter.com/leiamoneytimes/status/1689223738200371200")</f>
        <v>https://twitter.com/leiamoneytimes/status/1689223738200371200</v>
      </c>
      <c r="AF1833" s="79">
        <v>45147.440949074073</v>
      </c>
      <c r="AG1833" s="85">
        <v>45147</v>
      </c>
      <c r="AH1833" s="80" t="s">
        <v>12260</v>
      </c>
      <c r="AI1833" s="77" t="b">
        <v>0</v>
      </c>
      <c r="AJ1833" s="77"/>
      <c r="AK1833" s="77"/>
      <c r="AL1833" s="77"/>
      <c r="AM1833" s="77"/>
      <c r="AN1833" s="77"/>
      <c r="AO1833" s="77"/>
      <c r="AP1833" s="77"/>
      <c r="AQ1833" s="77"/>
      <c r="AR1833" s="77"/>
      <c r="AS1833" s="77"/>
      <c r="AT1833" s="77"/>
      <c r="AU1833" s="77"/>
      <c r="AV1833" s="83" t="str">
        <f>HYPERLINK("https://pbs.twimg.com/profile_images/1559883556846977024/bXHnQFY0_normal.jpg")</f>
        <v>https://pbs.twimg.com/profile_images/1559883556846977024/bXHnQFY0_normal.jpg</v>
      </c>
      <c r="AW1833" s="80" t="s">
        <v>17700</v>
      </c>
      <c r="AX1833" s="80" t="s">
        <v>17700</v>
      </c>
      <c r="AY1833" s="77"/>
      <c r="AZ1833" s="80" t="s">
        <v>20380</v>
      </c>
      <c r="BA1833" s="80" t="s">
        <v>20380</v>
      </c>
      <c r="BB1833" s="80" t="s">
        <v>20380</v>
      </c>
      <c r="BC1833" s="80" t="s">
        <v>17700</v>
      </c>
      <c r="BD1833" s="77">
        <v>51150679</v>
      </c>
      <c r="BE1833" s="77"/>
      <c r="BF1833" s="77"/>
      <c r="BG1833" s="77"/>
      <c r="BH1833" s="77"/>
      <c r="BI1833" s="77"/>
    </row>
    <row r="1834" spans="1:61" x14ac:dyDescent="0.25">
      <c r="A1834" s="62" t="s">
        <v>790</v>
      </c>
      <c r="B1834" s="62" t="s">
        <v>790</v>
      </c>
      <c r="C1834" s="63"/>
      <c r="D1834" s="64"/>
      <c r="E1834" s="65"/>
      <c r="F1834" s="66"/>
      <c r="G1834" s="63"/>
      <c r="H1834" s="67"/>
      <c r="I1834" s="68"/>
      <c r="J1834" s="68"/>
      <c r="K1834" s="32"/>
      <c r="L1834" s="75">
        <v>1834</v>
      </c>
      <c r="M1834" s="75"/>
      <c r="N1834" s="70"/>
      <c r="O1834" s="77" t="s">
        <v>179</v>
      </c>
      <c r="P1834" s="79">
        <v>45138.498402777775</v>
      </c>
      <c r="Q1834" s="77" t="s">
        <v>3730</v>
      </c>
      <c r="R1834" s="77">
        <v>0</v>
      </c>
      <c r="S1834" s="77">
        <v>16</v>
      </c>
      <c r="T1834" s="77">
        <v>2</v>
      </c>
      <c r="U1834" s="77">
        <v>0</v>
      </c>
      <c r="V1834" s="77">
        <v>2160</v>
      </c>
      <c r="W1834" s="80" t="s">
        <v>7013</v>
      </c>
      <c r="X1834" s="83" t="str">
        <f>HYPERLINK("https://www.moneytimes.com.br/mercado-derruba-projecoes-de-inflacao-e-selic-as-vesperas-do-copom-confira-o-focus-desta-segunda-31/")</f>
        <v>https://www.moneytimes.com.br/mercado-derruba-projecoes-de-inflacao-e-selic-as-vesperas-do-copom-confira-o-focus-desta-segunda-31/</v>
      </c>
      <c r="Y1834" s="77" t="s">
        <v>8611</v>
      </c>
      <c r="Z1834" s="77"/>
      <c r="AA1834" s="77"/>
      <c r="AB1834" s="77"/>
      <c r="AC1834" s="80" t="s">
        <v>10558</v>
      </c>
      <c r="AD1834" s="77" t="s">
        <v>10617</v>
      </c>
      <c r="AE1834" s="83" t="str">
        <f>HYPERLINK("https://twitter.com/leiamoneytimes/status/1685983069465976832")</f>
        <v>https://twitter.com/leiamoneytimes/status/1685983069465976832</v>
      </c>
      <c r="AF1834" s="79">
        <v>45138.498402777775</v>
      </c>
      <c r="AG1834" s="85">
        <v>45138</v>
      </c>
      <c r="AH1834" s="80" t="s">
        <v>12261</v>
      </c>
      <c r="AI1834" s="77" t="b">
        <v>0</v>
      </c>
      <c r="AJ1834" s="77"/>
      <c r="AK1834" s="77"/>
      <c r="AL1834" s="77"/>
      <c r="AM1834" s="77"/>
      <c r="AN1834" s="77"/>
      <c r="AO1834" s="77"/>
      <c r="AP1834" s="77"/>
      <c r="AQ1834" s="77"/>
      <c r="AR1834" s="77"/>
      <c r="AS1834" s="77"/>
      <c r="AT1834" s="77"/>
      <c r="AU1834" s="77"/>
      <c r="AV1834" s="83" t="str">
        <f>HYPERLINK("https://pbs.twimg.com/profile_images/1559883556846977024/bXHnQFY0_normal.jpg")</f>
        <v>https://pbs.twimg.com/profile_images/1559883556846977024/bXHnQFY0_normal.jpg</v>
      </c>
      <c r="AW1834" s="80" t="s">
        <v>17701</v>
      </c>
      <c r="AX1834" s="80" t="s">
        <v>17701</v>
      </c>
      <c r="AY1834" s="77"/>
      <c r="AZ1834" s="80" t="s">
        <v>20380</v>
      </c>
      <c r="BA1834" s="80" t="s">
        <v>20380</v>
      </c>
      <c r="BB1834" s="80" t="s">
        <v>20380</v>
      </c>
      <c r="BC1834" s="80" t="s">
        <v>17701</v>
      </c>
      <c r="BD1834" s="77">
        <v>51150679</v>
      </c>
      <c r="BE1834" s="77"/>
      <c r="BF1834" s="77"/>
      <c r="BG1834" s="77"/>
      <c r="BH1834" s="77"/>
      <c r="BI1834" s="77"/>
    </row>
    <row r="1835" spans="1:61" x14ac:dyDescent="0.25">
      <c r="A1835" s="62" t="s">
        <v>790</v>
      </c>
      <c r="B1835" s="62" t="s">
        <v>790</v>
      </c>
      <c r="C1835" s="63"/>
      <c r="D1835" s="64"/>
      <c r="E1835" s="65"/>
      <c r="F1835" s="66"/>
      <c r="G1835" s="63"/>
      <c r="H1835" s="67"/>
      <c r="I1835" s="68"/>
      <c r="J1835" s="68"/>
      <c r="K1835" s="32"/>
      <c r="L1835" s="75">
        <v>1835</v>
      </c>
      <c r="M1835" s="75"/>
      <c r="N1835" s="70"/>
      <c r="O1835" s="77" t="s">
        <v>179</v>
      </c>
      <c r="P1835" s="79">
        <v>45138.460775462961</v>
      </c>
      <c r="Q1835" s="77" t="s">
        <v>3731</v>
      </c>
      <c r="R1835" s="77">
        <v>1</v>
      </c>
      <c r="S1835" s="77">
        <v>3</v>
      </c>
      <c r="T1835" s="77">
        <v>1</v>
      </c>
      <c r="U1835" s="77">
        <v>0</v>
      </c>
      <c r="V1835" s="77">
        <v>1240</v>
      </c>
      <c r="W1835" s="80" t="s">
        <v>6927</v>
      </c>
      <c r="X1835" s="83" t="str">
        <f>HYPERLINK("https://www.moneytimes.com.br/haddad-se-reune-com-banqueiros-dois-dias-antes-do-copom-veja-a-agenda-desta-segunda-31/")</f>
        <v>https://www.moneytimes.com.br/haddad-se-reune-com-banqueiros-dois-dias-antes-do-copom-veja-a-agenda-desta-segunda-31/</v>
      </c>
      <c r="Y1835" s="77" t="s">
        <v>8611</v>
      </c>
      <c r="Z1835" s="77"/>
      <c r="AA1835" s="77"/>
      <c r="AB1835" s="77"/>
      <c r="AC1835" s="80" t="s">
        <v>10558</v>
      </c>
      <c r="AD1835" s="77" t="s">
        <v>10617</v>
      </c>
      <c r="AE1835" s="83" t="str">
        <f>HYPERLINK("https://twitter.com/leiamoneytimes/status/1685969434672836609")</f>
        <v>https://twitter.com/leiamoneytimes/status/1685969434672836609</v>
      </c>
      <c r="AF1835" s="79">
        <v>45138.460775462961</v>
      </c>
      <c r="AG1835" s="85">
        <v>45138</v>
      </c>
      <c r="AH1835" s="80" t="s">
        <v>12262</v>
      </c>
      <c r="AI1835" s="77" t="b">
        <v>0</v>
      </c>
      <c r="AJ1835" s="77"/>
      <c r="AK1835" s="77"/>
      <c r="AL1835" s="77"/>
      <c r="AM1835" s="77"/>
      <c r="AN1835" s="77"/>
      <c r="AO1835" s="77"/>
      <c r="AP1835" s="77"/>
      <c r="AQ1835" s="77"/>
      <c r="AR1835" s="77"/>
      <c r="AS1835" s="77"/>
      <c r="AT1835" s="77"/>
      <c r="AU1835" s="77"/>
      <c r="AV1835" s="83" t="str">
        <f>HYPERLINK("https://pbs.twimg.com/profile_images/1559883556846977024/bXHnQFY0_normal.jpg")</f>
        <v>https://pbs.twimg.com/profile_images/1559883556846977024/bXHnQFY0_normal.jpg</v>
      </c>
      <c r="AW1835" s="80" t="s">
        <v>17702</v>
      </c>
      <c r="AX1835" s="80" t="s">
        <v>17702</v>
      </c>
      <c r="AY1835" s="77"/>
      <c r="AZ1835" s="80" t="s">
        <v>20380</v>
      </c>
      <c r="BA1835" s="80" t="s">
        <v>20380</v>
      </c>
      <c r="BB1835" s="80" t="s">
        <v>20380</v>
      </c>
      <c r="BC1835" s="80" t="s">
        <v>17702</v>
      </c>
      <c r="BD1835" s="77">
        <v>51150679</v>
      </c>
      <c r="BE1835" s="77"/>
      <c r="BF1835" s="77"/>
      <c r="BG1835" s="77"/>
      <c r="BH1835" s="77"/>
      <c r="BI1835" s="77"/>
    </row>
    <row r="1836" spans="1:61" x14ac:dyDescent="0.25">
      <c r="A1836" s="62" t="s">
        <v>790</v>
      </c>
      <c r="B1836" s="62" t="s">
        <v>790</v>
      </c>
      <c r="C1836" s="63"/>
      <c r="D1836" s="64"/>
      <c r="E1836" s="65"/>
      <c r="F1836" s="66"/>
      <c r="G1836" s="63"/>
      <c r="H1836" s="67"/>
      <c r="I1836" s="68"/>
      <c r="J1836" s="68"/>
      <c r="K1836" s="32"/>
      <c r="L1836" s="75">
        <v>1836</v>
      </c>
      <c r="M1836" s="75"/>
      <c r="N1836" s="70"/>
      <c r="O1836" s="77" t="s">
        <v>179</v>
      </c>
      <c r="P1836" s="79">
        <v>45138.438530092593</v>
      </c>
      <c r="Q1836" s="77" t="s">
        <v>3732</v>
      </c>
      <c r="R1836" s="77">
        <v>0</v>
      </c>
      <c r="S1836" s="77">
        <v>8</v>
      </c>
      <c r="T1836" s="77">
        <v>1</v>
      </c>
      <c r="U1836" s="77">
        <v>0</v>
      </c>
      <c r="V1836" s="77">
        <v>1477</v>
      </c>
      <c r="W1836" s="80" t="s">
        <v>6929</v>
      </c>
      <c r="X1836" s="83" t="str">
        <f>HYPERLINK("https://www.moneytimes.com.br/morning-times-bolsas-queda-selic-dd-mm-aaaa/")</f>
        <v>https://www.moneytimes.com.br/morning-times-bolsas-queda-selic-dd-mm-aaaa/</v>
      </c>
      <c r="Y1836" s="77" t="s">
        <v>8611</v>
      </c>
      <c r="Z1836" s="77"/>
      <c r="AA1836" s="77"/>
      <c r="AB1836" s="77"/>
      <c r="AC1836" s="80" t="s">
        <v>10558</v>
      </c>
      <c r="AD1836" s="77" t="s">
        <v>10617</v>
      </c>
      <c r="AE1836" s="83" t="str">
        <f>HYPERLINK("https://twitter.com/leiamoneytimes/status/1685961371106643968")</f>
        <v>https://twitter.com/leiamoneytimes/status/1685961371106643968</v>
      </c>
      <c r="AF1836" s="79">
        <v>45138.438530092593</v>
      </c>
      <c r="AG1836" s="85">
        <v>45138</v>
      </c>
      <c r="AH1836" s="80" t="s">
        <v>12263</v>
      </c>
      <c r="AI1836" s="77" t="b">
        <v>0</v>
      </c>
      <c r="AJ1836" s="77"/>
      <c r="AK1836" s="77"/>
      <c r="AL1836" s="77"/>
      <c r="AM1836" s="77"/>
      <c r="AN1836" s="77"/>
      <c r="AO1836" s="77"/>
      <c r="AP1836" s="77"/>
      <c r="AQ1836" s="77"/>
      <c r="AR1836" s="77"/>
      <c r="AS1836" s="77"/>
      <c r="AT1836" s="77"/>
      <c r="AU1836" s="77"/>
      <c r="AV1836" s="83" t="str">
        <f>HYPERLINK("https://pbs.twimg.com/profile_images/1559883556846977024/bXHnQFY0_normal.jpg")</f>
        <v>https://pbs.twimg.com/profile_images/1559883556846977024/bXHnQFY0_normal.jpg</v>
      </c>
      <c r="AW1836" s="80" t="s">
        <v>17703</v>
      </c>
      <c r="AX1836" s="80" t="s">
        <v>17703</v>
      </c>
      <c r="AY1836" s="77"/>
      <c r="AZ1836" s="80" t="s">
        <v>20380</v>
      </c>
      <c r="BA1836" s="80" t="s">
        <v>20380</v>
      </c>
      <c r="BB1836" s="80" t="s">
        <v>20380</v>
      </c>
      <c r="BC1836" s="80" t="s">
        <v>17703</v>
      </c>
      <c r="BD1836" s="77">
        <v>51150679</v>
      </c>
      <c r="BE1836" s="77"/>
      <c r="BF1836" s="77"/>
      <c r="BG1836" s="77"/>
      <c r="BH1836" s="77"/>
      <c r="BI1836" s="77"/>
    </row>
    <row r="1837" spans="1:61" x14ac:dyDescent="0.25">
      <c r="A1837" s="62" t="s">
        <v>790</v>
      </c>
      <c r="B1837" s="62" t="s">
        <v>790</v>
      </c>
      <c r="C1837" s="63"/>
      <c r="D1837" s="64"/>
      <c r="E1837" s="65"/>
      <c r="F1837" s="66"/>
      <c r="G1837" s="63"/>
      <c r="H1837" s="67"/>
      <c r="I1837" s="68"/>
      <c r="J1837" s="68"/>
      <c r="K1837" s="32"/>
      <c r="L1837" s="75">
        <v>1837</v>
      </c>
      <c r="M1837" s="75"/>
      <c r="N1837" s="70"/>
      <c r="O1837" s="77" t="s">
        <v>179</v>
      </c>
      <c r="P1837" s="79">
        <v>45136.584131944444</v>
      </c>
      <c r="Q1837" s="77" t="s">
        <v>3733</v>
      </c>
      <c r="R1837" s="77">
        <v>0</v>
      </c>
      <c r="S1837" s="77">
        <v>3</v>
      </c>
      <c r="T1837" s="77">
        <v>1</v>
      </c>
      <c r="U1837" s="77">
        <v>0</v>
      </c>
      <c r="V1837" s="77">
        <v>1486</v>
      </c>
      <c r="W1837" s="80" t="s">
        <v>7073</v>
      </c>
      <c r="X1837" s="83" t="str">
        <f>HYPERLINK("https://www.moneytimes.com.br/copom-coloca-economistas-para-quebrarem-a-cabeca-com-corte-da-selic-confira-a-agenda-da-semana/")</f>
        <v>https://www.moneytimes.com.br/copom-coloca-economistas-para-quebrarem-a-cabeca-com-corte-da-selic-confira-a-agenda-da-semana/</v>
      </c>
      <c r="Y1837" s="77" t="s">
        <v>8611</v>
      </c>
      <c r="Z1837" s="77"/>
      <c r="AA1837" s="77"/>
      <c r="AB1837" s="77"/>
      <c r="AC1837" s="80" t="s">
        <v>10558</v>
      </c>
      <c r="AD1837" s="77" t="s">
        <v>10617</v>
      </c>
      <c r="AE1837" s="83" t="str">
        <f>HYPERLINK("https://twitter.com/leiamoneytimes/status/1685289360143306752")</f>
        <v>https://twitter.com/leiamoneytimes/status/1685289360143306752</v>
      </c>
      <c r="AF1837" s="79">
        <v>45136.584131944444</v>
      </c>
      <c r="AG1837" s="85">
        <v>45136</v>
      </c>
      <c r="AH1837" s="80" t="s">
        <v>11924</v>
      </c>
      <c r="AI1837" s="77" t="b">
        <v>0</v>
      </c>
      <c r="AJ1837" s="77"/>
      <c r="AK1837" s="77"/>
      <c r="AL1837" s="77"/>
      <c r="AM1837" s="77"/>
      <c r="AN1837" s="77"/>
      <c r="AO1837" s="77"/>
      <c r="AP1837" s="77"/>
      <c r="AQ1837" s="77"/>
      <c r="AR1837" s="77"/>
      <c r="AS1837" s="77"/>
      <c r="AT1837" s="77"/>
      <c r="AU1837" s="77"/>
      <c r="AV1837" s="83" t="str">
        <f>HYPERLINK("https://pbs.twimg.com/profile_images/1559883556846977024/bXHnQFY0_normal.jpg")</f>
        <v>https://pbs.twimg.com/profile_images/1559883556846977024/bXHnQFY0_normal.jpg</v>
      </c>
      <c r="AW1837" s="80" t="s">
        <v>17704</v>
      </c>
      <c r="AX1837" s="80" t="s">
        <v>17704</v>
      </c>
      <c r="AY1837" s="77"/>
      <c r="AZ1837" s="80" t="s">
        <v>20380</v>
      </c>
      <c r="BA1837" s="80" t="s">
        <v>20380</v>
      </c>
      <c r="BB1837" s="80" t="s">
        <v>20380</v>
      </c>
      <c r="BC1837" s="80" t="s">
        <v>17704</v>
      </c>
      <c r="BD1837" s="77">
        <v>51150679</v>
      </c>
      <c r="BE1837" s="77"/>
      <c r="BF1837" s="77"/>
      <c r="BG1837" s="77"/>
      <c r="BH1837" s="77"/>
      <c r="BI1837" s="77"/>
    </row>
    <row r="1838" spans="1:61" x14ac:dyDescent="0.25">
      <c r="A1838" s="62" t="s">
        <v>790</v>
      </c>
      <c r="B1838" s="62" t="s">
        <v>790</v>
      </c>
      <c r="C1838" s="63"/>
      <c r="D1838" s="64"/>
      <c r="E1838" s="65"/>
      <c r="F1838" s="66"/>
      <c r="G1838" s="63"/>
      <c r="H1838" s="67"/>
      <c r="I1838" s="68"/>
      <c r="J1838" s="68"/>
      <c r="K1838" s="32"/>
      <c r="L1838" s="75">
        <v>1838</v>
      </c>
      <c r="M1838" s="75"/>
      <c r="N1838" s="70"/>
      <c r="O1838" s="77" t="s">
        <v>179</v>
      </c>
      <c r="P1838" s="79">
        <v>45135.853796296295</v>
      </c>
      <c r="Q1838" s="77" t="s">
        <v>3734</v>
      </c>
      <c r="R1838" s="77">
        <v>0</v>
      </c>
      <c r="S1838" s="77">
        <v>1</v>
      </c>
      <c r="T1838" s="77">
        <v>1</v>
      </c>
      <c r="U1838" s="77">
        <v>0</v>
      </c>
      <c r="V1838" s="77">
        <v>1187</v>
      </c>
      <c r="W1838" s="80" t="s">
        <v>6977</v>
      </c>
      <c r="X1838" s="83" t="str">
        <f>HYPERLINK("https://www.moneytimes.com.br/talvez-estejam-otimistas-demais-fmi-faz-alerta-para-euforia-de-mercados/")</f>
        <v>https://www.moneytimes.com.br/talvez-estejam-otimistas-demais-fmi-faz-alerta-para-euforia-de-mercados/</v>
      </c>
      <c r="Y1838" s="77" t="s">
        <v>8611</v>
      </c>
      <c r="Z1838" s="77"/>
      <c r="AA1838" s="77"/>
      <c r="AB1838" s="77"/>
      <c r="AC1838" s="80" t="s">
        <v>10558</v>
      </c>
      <c r="AD1838" s="77" t="s">
        <v>10617</v>
      </c>
      <c r="AE1838" s="83" t="str">
        <f>HYPERLINK("https://twitter.com/leiamoneytimes/status/1685024696851480576")</f>
        <v>https://twitter.com/leiamoneytimes/status/1685024696851480576</v>
      </c>
      <c r="AF1838" s="79">
        <v>45135.853796296295</v>
      </c>
      <c r="AG1838" s="85">
        <v>45135</v>
      </c>
      <c r="AH1838" s="80" t="s">
        <v>12264</v>
      </c>
      <c r="AI1838" s="77" t="b">
        <v>0</v>
      </c>
      <c r="AJ1838" s="77"/>
      <c r="AK1838" s="77"/>
      <c r="AL1838" s="77"/>
      <c r="AM1838" s="77"/>
      <c r="AN1838" s="77"/>
      <c r="AO1838" s="77"/>
      <c r="AP1838" s="77"/>
      <c r="AQ1838" s="77"/>
      <c r="AR1838" s="77"/>
      <c r="AS1838" s="77"/>
      <c r="AT1838" s="77"/>
      <c r="AU1838" s="77"/>
      <c r="AV1838" s="83" t="str">
        <f>HYPERLINK("https://pbs.twimg.com/profile_images/1559883556846977024/bXHnQFY0_normal.jpg")</f>
        <v>https://pbs.twimg.com/profile_images/1559883556846977024/bXHnQFY0_normal.jpg</v>
      </c>
      <c r="AW1838" s="80" t="s">
        <v>17705</v>
      </c>
      <c r="AX1838" s="80" t="s">
        <v>17705</v>
      </c>
      <c r="AY1838" s="77"/>
      <c r="AZ1838" s="80" t="s">
        <v>20380</v>
      </c>
      <c r="BA1838" s="80" t="s">
        <v>20380</v>
      </c>
      <c r="BB1838" s="80" t="s">
        <v>20380</v>
      </c>
      <c r="BC1838" s="80" t="s">
        <v>17705</v>
      </c>
      <c r="BD1838" s="77">
        <v>51150679</v>
      </c>
      <c r="BE1838" s="77"/>
      <c r="BF1838" s="77"/>
      <c r="BG1838" s="77"/>
      <c r="BH1838" s="77"/>
      <c r="BI1838" s="77"/>
    </row>
    <row r="1839" spans="1:61" x14ac:dyDescent="0.25">
      <c r="A1839" s="62" t="s">
        <v>790</v>
      </c>
      <c r="B1839" s="62" t="s">
        <v>790</v>
      </c>
      <c r="C1839" s="63"/>
      <c r="D1839" s="64"/>
      <c r="E1839" s="65"/>
      <c r="F1839" s="66"/>
      <c r="G1839" s="63"/>
      <c r="H1839" s="67"/>
      <c r="I1839" s="68"/>
      <c r="J1839" s="68"/>
      <c r="K1839" s="32"/>
      <c r="L1839" s="75">
        <v>1839</v>
      </c>
      <c r="M1839" s="75"/>
      <c r="N1839" s="70"/>
      <c r="O1839" s="77" t="s">
        <v>179</v>
      </c>
      <c r="P1839" s="79">
        <v>45135.65179398148</v>
      </c>
      <c r="Q1839" s="77" t="s">
        <v>3735</v>
      </c>
      <c r="R1839" s="77">
        <v>0</v>
      </c>
      <c r="S1839" s="77">
        <v>0</v>
      </c>
      <c r="T1839" s="77">
        <v>1</v>
      </c>
      <c r="U1839" s="77">
        <v>0</v>
      </c>
      <c r="V1839" s="77">
        <v>1224</v>
      </c>
      <c r="W1839" s="80" t="s">
        <v>6273</v>
      </c>
      <c r="X1839" s="83" t="str">
        <f>HYPERLINK("https://www.moneytimes.com.br/tinhoso-lacaio-e-outros-adjetivos-campos-neto-sofre-pressao-pre-copom/")</f>
        <v>https://www.moneytimes.com.br/tinhoso-lacaio-e-outros-adjetivos-campos-neto-sofre-pressao-pre-copom/</v>
      </c>
      <c r="Y1839" s="77" t="s">
        <v>8611</v>
      </c>
      <c r="Z1839" s="77"/>
      <c r="AA1839" s="77"/>
      <c r="AB1839" s="77"/>
      <c r="AC1839" s="80" t="s">
        <v>10558</v>
      </c>
      <c r="AD1839" s="77" t="s">
        <v>10617</v>
      </c>
      <c r="AE1839" s="83" t="str">
        <f>HYPERLINK("https://twitter.com/leiamoneytimes/status/1684951492539637760")</f>
        <v>https://twitter.com/leiamoneytimes/status/1684951492539637760</v>
      </c>
      <c r="AF1839" s="79">
        <v>45135.65179398148</v>
      </c>
      <c r="AG1839" s="85">
        <v>45135</v>
      </c>
      <c r="AH1839" s="80" t="s">
        <v>12265</v>
      </c>
      <c r="AI1839" s="77" t="b">
        <v>0</v>
      </c>
      <c r="AJ1839" s="77"/>
      <c r="AK1839" s="77"/>
      <c r="AL1839" s="77"/>
      <c r="AM1839" s="77"/>
      <c r="AN1839" s="77"/>
      <c r="AO1839" s="77"/>
      <c r="AP1839" s="77"/>
      <c r="AQ1839" s="77"/>
      <c r="AR1839" s="77"/>
      <c r="AS1839" s="77"/>
      <c r="AT1839" s="77"/>
      <c r="AU1839" s="77"/>
      <c r="AV1839" s="83" t="str">
        <f>HYPERLINK("https://pbs.twimg.com/profile_images/1559883556846977024/bXHnQFY0_normal.jpg")</f>
        <v>https://pbs.twimg.com/profile_images/1559883556846977024/bXHnQFY0_normal.jpg</v>
      </c>
      <c r="AW1839" s="80" t="s">
        <v>17706</v>
      </c>
      <c r="AX1839" s="80" t="s">
        <v>17706</v>
      </c>
      <c r="AY1839" s="77"/>
      <c r="AZ1839" s="80" t="s">
        <v>20380</v>
      </c>
      <c r="BA1839" s="80" t="s">
        <v>20380</v>
      </c>
      <c r="BB1839" s="80" t="s">
        <v>20380</v>
      </c>
      <c r="BC1839" s="80" t="s">
        <v>17706</v>
      </c>
      <c r="BD1839" s="77">
        <v>51150679</v>
      </c>
      <c r="BE1839" s="77"/>
      <c r="BF1839" s="77"/>
      <c r="BG1839" s="77"/>
      <c r="BH1839" s="77"/>
      <c r="BI1839" s="77"/>
    </row>
    <row r="1840" spans="1:61" x14ac:dyDescent="0.25">
      <c r="A1840" s="62" t="s">
        <v>790</v>
      </c>
      <c r="B1840" s="62" t="s">
        <v>790</v>
      </c>
      <c r="C1840" s="63"/>
      <c r="D1840" s="64"/>
      <c r="E1840" s="65"/>
      <c r="F1840" s="66"/>
      <c r="G1840" s="63"/>
      <c r="H1840" s="67"/>
      <c r="I1840" s="68"/>
      <c r="J1840" s="68"/>
      <c r="K1840" s="32"/>
      <c r="L1840" s="75">
        <v>1840</v>
      </c>
      <c r="M1840" s="75"/>
      <c r="N1840" s="70"/>
      <c r="O1840" s="77" t="s">
        <v>179</v>
      </c>
      <c r="P1840" s="79">
        <v>45135.500740740739</v>
      </c>
      <c r="Q1840" s="77" t="s">
        <v>3736</v>
      </c>
      <c r="R1840" s="77">
        <v>0</v>
      </c>
      <c r="S1840" s="77">
        <v>2</v>
      </c>
      <c r="T1840" s="77">
        <v>1</v>
      </c>
      <c r="U1840" s="77">
        <v>0</v>
      </c>
      <c r="V1840" s="77">
        <v>1059</v>
      </c>
      <c r="W1840" s="80" t="s">
        <v>6957</v>
      </c>
      <c r="X1840" s="83" t="str">
        <f>HYPERLINK("https://www.moneytimes.com.br/selic-em-queda-como-juros-do-fed-impactam-o-banco-central-brasileiro/")</f>
        <v>https://www.moneytimes.com.br/selic-em-queda-como-juros-do-fed-impactam-o-banco-central-brasileiro/</v>
      </c>
      <c r="Y1840" s="77" t="s">
        <v>8611</v>
      </c>
      <c r="Z1840" s="77"/>
      <c r="AA1840" s="77"/>
      <c r="AB1840" s="77"/>
      <c r="AC1840" s="80" t="s">
        <v>10558</v>
      </c>
      <c r="AD1840" s="77" t="s">
        <v>10617</v>
      </c>
      <c r="AE1840" s="83" t="str">
        <f>HYPERLINK("https://twitter.com/leiamoneytimes/status/1684896752250298369")</f>
        <v>https://twitter.com/leiamoneytimes/status/1684896752250298369</v>
      </c>
      <c r="AF1840" s="79">
        <v>45135.500740740739</v>
      </c>
      <c r="AG1840" s="85">
        <v>45135</v>
      </c>
      <c r="AH1840" s="80" t="s">
        <v>12266</v>
      </c>
      <c r="AI1840" s="77" t="b">
        <v>0</v>
      </c>
      <c r="AJ1840" s="77"/>
      <c r="AK1840" s="77"/>
      <c r="AL1840" s="77"/>
      <c r="AM1840" s="77"/>
      <c r="AN1840" s="77"/>
      <c r="AO1840" s="77"/>
      <c r="AP1840" s="77"/>
      <c r="AQ1840" s="77"/>
      <c r="AR1840" s="77"/>
      <c r="AS1840" s="77"/>
      <c r="AT1840" s="77"/>
      <c r="AU1840" s="77"/>
      <c r="AV1840" s="83" t="str">
        <f>HYPERLINK("https://pbs.twimg.com/profile_images/1559883556846977024/bXHnQFY0_normal.jpg")</f>
        <v>https://pbs.twimg.com/profile_images/1559883556846977024/bXHnQFY0_normal.jpg</v>
      </c>
      <c r="AW1840" s="80" t="s">
        <v>17707</v>
      </c>
      <c r="AX1840" s="80" t="s">
        <v>17707</v>
      </c>
      <c r="AY1840" s="77"/>
      <c r="AZ1840" s="80" t="s">
        <v>20380</v>
      </c>
      <c r="BA1840" s="80" t="s">
        <v>20380</v>
      </c>
      <c r="BB1840" s="80" t="s">
        <v>20380</v>
      </c>
      <c r="BC1840" s="80" t="s">
        <v>17707</v>
      </c>
      <c r="BD1840" s="77">
        <v>51150679</v>
      </c>
      <c r="BE1840" s="77"/>
      <c r="BF1840" s="77"/>
      <c r="BG1840" s="77"/>
      <c r="BH1840" s="77"/>
      <c r="BI1840" s="77"/>
    </row>
    <row r="1841" spans="1:61" x14ac:dyDescent="0.25">
      <c r="A1841" s="62" t="s">
        <v>790</v>
      </c>
      <c r="B1841" s="62" t="s">
        <v>790</v>
      </c>
      <c r="C1841" s="63"/>
      <c r="D1841" s="64"/>
      <c r="E1841" s="65"/>
      <c r="F1841" s="66"/>
      <c r="G1841" s="63"/>
      <c r="H1841" s="67"/>
      <c r="I1841" s="68"/>
      <c r="J1841" s="68"/>
      <c r="K1841" s="32"/>
      <c r="L1841" s="75">
        <v>1841</v>
      </c>
      <c r="M1841" s="75"/>
      <c r="N1841" s="70"/>
      <c r="O1841" s="77" t="s">
        <v>179</v>
      </c>
      <c r="P1841" s="79">
        <v>45110.698692129627</v>
      </c>
      <c r="Q1841" s="77" t="s">
        <v>3737</v>
      </c>
      <c r="R1841" s="77">
        <v>11</v>
      </c>
      <c r="S1841" s="77">
        <v>182</v>
      </c>
      <c r="T1841" s="77">
        <v>161</v>
      </c>
      <c r="U1841" s="77">
        <v>17</v>
      </c>
      <c r="V1841" s="77">
        <v>48921</v>
      </c>
      <c r="W1841" s="80" t="s">
        <v>6931</v>
      </c>
      <c r="X1841" s="83" t="str">
        <f>HYPERLINK("https://www.moneytimes.com.br/luiza-trajano-do-magazine-luiza-mglu3-faz-abaixo-assinado-pedindo-reducao-da-selic/")</f>
        <v>https://www.moneytimes.com.br/luiza-trajano-do-magazine-luiza-mglu3-faz-abaixo-assinado-pedindo-reducao-da-selic/</v>
      </c>
      <c r="Y1841" s="77" t="s">
        <v>8611</v>
      </c>
      <c r="Z1841" s="77"/>
      <c r="AA1841" s="77"/>
      <c r="AB1841" s="77"/>
      <c r="AC1841" s="80" t="s">
        <v>10558</v>
      </c>
      <c r="AD1841" s="77" t="s">
        <v>10617</v>
      </c>
      <c r="AE1841" s="83" t="str">
        <f>HYPERLINK("https://twitter.com/leiamoneytimes/status/1675908791362105350")</f>
        <v>https://twitter.com/leiamoneytimes/status/1675908791362105350</v>
      </c>
      <c r="AF1841" s="79">
        <v>45110.698692129627</v>
      </c>
      <c r="AG1841" s="85">
        <v>45110</v>
      </c>
      <c r="AH1841" s="80" t="s">
        <v>12267</v>
      </c>
      <c r="AI1841" s="77" t="b">
        <v>0</v>
      </c>
      <c r="AJ1841" s="77"/>
      <c r="AK1841" s="77"/>
      <c r="AL1841" s="77"/>
      <c r="AM1841" s="77"/>
      <c r="AN1841" s="77"/>
      <c r="AO1841" s="77"/>
      <c r="AP1841" s="77"/>
      <c r="AQ1841" s="77"/>
      <c r="AR1841" s="77"/>
      <c r="AS1841" s="77"/>
      <c r="AT1841" s="77"/>
      <c r="AU1841" s="77"/>
      <c r="AV1841" s="83" t="str">
        <f>HYPERLINK("https://pbs.twimg.com/profile_images/1559883556846977024/bXHnQFY0_normal.jpg")</f>
        <v>https://pbs.twimg.com/profile_images/1559883556846977024/bXHnQFY0_normal.jpg</v>
      </c>
      <c r="AW1841" s="80" t="s">
        <v>17708</v>
      </c>
      <c r="AX1841" s="80" t="s">
        <v>17708</v>
      </c>
      <c r="AY1841" s="77"/>
      <c r="AZ1841" s="80" t="s">
        <v>20380</v>
      </c>
      <c r="BA1841" s="80" t="s">
        <v>20380</v>
      </c>
      <c r="BB1841" s="80" t="s">
        <v>20380</v>
      </c>
      <c r="BC1841" s="80" t="s">
        <v>17708</v>
      </c>
      <c r="BD1841" s="77">
        <v>51150679</v>
      </c>
      <c r="BE1841" s="77"/>
      <c r="BF1841" s="77"/>
      <c r="BG1841" s="77"/>
      <c r="BH1841" s="77"/>
      <c r="BI1841" s="77"/>
    </row>
    <row r="1842" spans="1:61" x14ac:dyDescent="0.25">
      <c r="A1842" s="62" t="s">
        <v>790</v>
      </c>
      <c r="B1842" s="62" t="s">
        <v>790</v>
      </c>
      <c r="C1842" s="63"/>
      <c r="D1842" s="64"/>
      <c r="E1842" s="65"/>
      <c r="F1842" s="66"/>
      <c r="G1842" s="63"/>
      <c r="H1842" s="67"/>
      <c r="I1842" s="68"/>
      <c r="J1842" s="68"/>
      <c r="K1842" s="32"/>
      <c r="L1842" s="75">
        <v>1842</v>
      </c>
      <c r="M1842" s="75"/>
      <c r="N1842" s="70"/>
      <c r="O1842" s="77" t="s">
        <v>179</v>
      </c>
      <c r="P1842" s="79">
        <v>45110.559803240743</v>
      </c>
      <c r="Q1842" s="77" t="s">
        <v>3738</v>
      </c>
      <c r="R1842" s="77">
        <v>2</v>
      </c>
      <c r="S1842" s="77">
        <v>12</v>
      </c>
      <c r="T1842" s="77">
        <v>1</v>
      </c>
      <c r="U1842" s="77">
        <v>1</v>
      </c>
      <c r="V1842" s="77">
        <v>4791</v>
      </c>
      <c r="W1842" s="80" t="s">
        <v>6963</v>
      </c>
      <c r="X1842" s="83" t="str">
        <f>HYPERLINK("https://www.moneytimes.com.br/corte-da-selic-veja-quem-vai-sentir-a-queda-nos-juros-primeiro/")</f>
        <v>https://www.moneytimes.com.br/corte-da-selic-veja-quem-vai-sentir-a-queda-nos-juros-primeiro/</v>
      </c>
      <c r="Y1842" s="77" t="s">
        <v>8611</v>
      </c>
      <c r="Z1842" s="77"/>
      <c r="AA1842" s="77"/>
      <c r="AB1842" s="77"/>
      <c r="AC1842" s="80" t="s">
        <v>10558</v>
      </c>
      <c r="AD1842" s="77" t="s">
        <v>10617</v>
      </c>
      <c r="AE1842" s="83" t="str">
        <f>HYPERLINK("https://twitter.com/leiamoneytimes/status/1675858462188732418")</f>
        <v>https://twitter.com/leiamoneytimes/status/1675858462188732418</v>
      </c>
      <c r="AF1842" s="79">
        <v>45110.559803240743</v>
      </c>
      <c r="AG1842" s="85">
        <v>45110</v>
      </c>
      <c r="AH1842" s="80" t="s">
        <v>12268</v>
      </c>
      <c r="AI1842" s="77" t="b">
        <v>0</v>
      </c>
      <c r="AJ1842" s="77"/>
      <c r="AK1842" s="77"/>
      <c r="AL1842" s="77"/>
      <c r="AM1842" s="77"/>
      <c r="AN1842" s="77"/>
      <c r="AO1842" s="77"/>
      <c r="AP1842" s="77"/>
      <c r="AQ1842" s="77"/>
      <c r="AR1842" s="77"/>
      <c r="AS1842" s="77"/>
      <c r="AT1842" s="77"/>
      <c r="AU1842" s="77"/>
      <c r="AV1842" s="83" t="str">
        <f>HYPERLINK("https://pbs.twimg.com/profile_images/1559883556846977024/bXHnQFY0_normal.jpg")</f>
        <v>https://pbs.twimg.com/profile_images/1559883556846977024/bXHnQFY0_normal.jpg</v>
      </c>
      <c r="AW1842" s="80" t="s">
        <v>17709</v>
      </c>
      <c r="AX1842" s="80" t="s">
        <v>17709</v>
      </c>
      <c r="AY1842" s="77"/>
      <c r="AZ1842" s="80" t="s">
        <v>20380</v>
      </c>
      <c r="BA1842" s="80" t="s">
        <v>20380</v>
      </c>
      <c r="BB1842" s="80" t="s">
        <v>20380</v>
      </c>
      <c r="BC1842" s="80" t="s">
        <v>17709</v>
      </c>
      <c r="BD1842" s="77">
        <v>51150679</v>
      </c>
      <c r="BE1842" s="77"/>
      <c r="BF1842" s="77"/>
      <c r="BG1842" s="77"/>
      <c r="BH1842" s="77"/>
      <c r="BI1842" s="77"/>
    </row>
    <row r="1843" spans="1:61" x14ac:dyDescent="0.25">
      <c r="A1843" s="62" t="s">
        <v>790</v>
      </c>
      <c r="B1843" s="62" t="s">
        <v>790</v>
      </c>
      <c r="C1843" s="63"/>
      <c r="D1843" s="64"/>
      <c r="E1843" s="65"/>
      <c r="F1843" s="66"/>
      <c r="G1843" s="63"/>
      <c r="H1843" s="67"/>
      <c r="I1843" s="68"/>
      <c r="J1843" s="68"/>
      <c r="K1843" s="32"/>
      <c r="L1843" s="75">
        <v>1843</v>
      </c>
      <c r="M1843" s="75"/>
      <c r="N1843" s="70"/>
      <c r="O1843" s="77" t="s">
        <v>179</v>
      </c>
      <c r="P1843" s="79">
        <v>45110.503182870372</v>
      </c>
      <c r="Q1843" s="77" t="s">
        <v>3739</v>
      </c>
      <c r="R1843" s="77">
        <v>0</v>
      </c>
      <c r="S1843" s="77">
        <v>4</v>
      </c>
      <c r="T1843" s="77">
        <v>0</v>
      </c>
      <c r="U1843" s="77">
        <v>0</v>
      </c>
      <c r="V1843" s="77">
        <v>1050</v>
      </c>
      <c r="W1843" s="80" t="s">
        <v>6934</v>
      </c>
      <c r="X1843" s="83" t="str">
        <f>HYPERLINK("https://www.moneytimes.com.br/mercado-aposta-em-selic-a-12-ate-o-final-do-ano-confira-o-focus-desta-segunda-03/")</f>
        <v>https://www.moneytimes.com.br/mercado-aposta-em-selic-a-12-ate-o-final-do-ano-confira-o-focus-desta-segunda-03/</v>
      </c>
      <c r="Y1843" s="77" t="s">
        <v>8611</v>
      </c>
      <c r="Z1843" s="77"/>
      <c r="AA1843" s="77"/>
      <c r="AB1843" s="77"/>
      <c r="AC1843" s="80" t="s">
        <v>10558</v>
      </c>
      <c r="AD1843" s="77" t="s">
        <v>10617</v>
      </c>
      <c r="AE1843" s="83" t="str">
        <f>HYPERLINK("https://twitter.com/leiamoneytimes/status/1675837943166926849")</f>
        <v>https://twitter.com/leiamoneytimes/status/1675837943166926849</v>
      </c>
      <c r="AF1843" s="79">
        <v>45110.503182870372</v>
      </c>
      <c r="AG1843" s="85">
        <v>45110</v>
      </c>
      <c r="AH1843" s="80" t="s">
        <v>12269</v>
      </c>
      <c r="AI1843" s="77" t="b">
        <v>0</v>
      </c>
      <c r="AJ1843" s="77"/>
      <c r="AK1843" s="77"/>
      <c r="AL1843" s="77"/>
      <c r="AM1843" s="77"/>
      <c r="AN1843" s="77"/>
      <c r="AO1843" s="77"/>
      <c r="AP1843" s="77"/>
      <c r="AQ1843" s="77"/>
      <c r="AR1843" s="77"/>
      <c r="AS1843" s="77"/>
      <c r="AT1843" s="77"/>
      <c r="AU1843" s="77"/>
      <c r="AV1843" s="83" t="str">
        <f>HYPERLINK("https://pbs.twimg.com/profile_images/1559883556846977024/bXHnQFY0_normal.jpg")</f>
        <v>https://pbs.twimg.com/profile_images/1559883556846977024/bXHnQFY0_normal.jpg</v>
      </c>
      <c r="AW1843" s="80" t="s">
        <v>17710</v>
      </c>
      <c r="AX1843" s="80" t="s">
        <v>17710</v>
      </c>
      <c r="AY1843" s="77"/>
      <c r="AZ1843" s="80" t="s">
        <v>20380</v>
      </c>
      <c r="BA1843" s="80" t="s">
        <v>20380</v>
      </c>
      <c r="BB1843" s="80" t="s">
        <v>20380</v>
      </c>
      <c r="BC1843" s="80" t="s">
        <v>17710</v>
      </c>
      <c r="BD1843" s="77">
        <v>51150679</v>
      </c>
      <c r="BE1843" s="77"/>
      <c r="BF1843" s="77"/>
      <c r="BG1843" s="77"/>
      <c r="BH1843" s="77"/>
      <c r="BI1843" s="77"/>
    </row>
    <row r="1844" spans="1:61" x14ac:dyDescent="0.25">
      <c r="A1844" s="62" t="s">
        <v>790</v>
      </c>
      <c r="B1844" s="62" t="s">
        <v>790</v>
      </c>
      <c r="C1844" s="63"/>
      <c r="D1844" s="64"/>
      <c r="E1844" s="65"/>
      <c r="F1844" s="66"/>
      <c r="G1844" s="63"/>
      <c r="H1844" s="67"/>
      <c r="I1844" s="68"/>
      <c r="J1844" s="68"/>
      <c r="K1844" s="32"/>
      <c r="L1844" s="75">
        <v>1844</v>
      </c>
      <c r="M1844" s="75"/>
      <c r="N1844" s="70"/>
      <c r="O1844" s="77" t="s">
        <v>179</v>
      </c>
      <c r="P1844" s="79">
        <v>45108.827164351853</v>
      </c>
      <c r="Q1844" s="77" t="s">
        <v>3740</v>
      </c>
      <c r="R1844" s="77">
        <v>0</v>
      </c>
      <c r="S1844" s="77">
        <v>3</v>
      </c>
      <c r="T1844" s="77">
        <v>2</v>
      </c>
      <c r="U1844" s="77">
        <v>0</v>
      </c>
      <c r="V1844" s="77">
        <v>1490</v>
      </c>
      <c r="W1844" s="80" t="s">
        <v>6931</v>
      </c>
      <c r="X1844" s="83" t="str">
        <f>HYPERLINK("https://www.moneytimes.com.br/28-anos-do-real-voce-se-lembra-das-moedas-de-antes-do-plano-real-2/")</f>
        <v>https://www.moneytimes.com.br/28-anos-do-real-voce-se-lembra-das-moedas-de-antes-do-plano-real-2/</v>
      </c>
      <c r="Y1844" s="77" t="s">
        <v>8611</v>
      </c>
      <c r="Z1844" s="77"/>
      <c r="AA1844" s="77"/>
      <c r="AB1844" s="77"/>
      <c r="AC1844" s="80" t="s">
        <v>10558</v>
      </c>
      <c r="AD1844" s="77" t="s">
        <v>10617</v>
      </c>
      <c r="AE1844" s="83" t="str">
        <f>HYPERLINK("https://twitter.com/leiamoneytimes/status/1675230574670217216")</f>
        <v>https://twitter.com/leiamoneytimes/status/1675230574670217216</v>
      </c>
      <c r="AF1844" s="79">
        <v>45108.827164351853</v>
      </c>
      <c r="AG1844" s="85">
        <v>45108</v>
      </c>
      <c r="AH1844" s="80" t="s">
        <v>12270</v>
      </c>
      <c r="AI1844" s="77" t="b">
        <v>0</v>
      </c>
      <c r="AJ1844" s="77"/>
      <c r="AK1844" s="77"/>
      <c r="AL1844" s="77"/>
      <c r="AM1844" s="77"/>
      <c r="AN1844" s="77"/>
      <c r="AO1844" s="77"/>
      <c r="AP1844" s="77"/>
      <c r="AQ1844" s="77"/>
      <c r="AR1844" s="77"/>
      <c r="AS1844" s="77"/>
      <c r="AT1844" s="77"/>
      <c r="AU1844" s="77"/>
      <c r="AV1844" s="83" t="str">
        <f>HYPERLINK("https://pbs.twimg.com/profile_images/1559883556846977024/bXHnQFY0_normal.jpg")</f>
        <v>https://pbs.twimg.com/profile_images/1559883556846977024/bXHnQFY0_normal.jpg</v>
      </c>
      <c r="AW1844" s="80" t="s">
        <v>17711</v>
      </c>
      <c r="AX1844" s="80" t="s">
        <v>17711</v>
      </c>
      <c r="AY1844" s="77"/>
      <c r="AZ1844" s="80" t="s">
        <v>20380</v>
      </c>
      <c r="BA1844" s="80" t="s">
        <v>20380</v>
      </c>
      <c r="BB1844" s="80" t="s">
        <v>20380</v>
      </c>
      <c r="BC1844" s="80" t="s">
        <v>17711</v>
      </c>
      <c r="BD1844" s="77">
        <v>51150679</v>
      </c>
      <c r="BE1844" s="77"/>
      <c r="BF1844" s="77"/>
      <c r="BG1844" s="77"/>
      <c r="BH1844" s="77"/>
      <c r="BI1844" s="77"/>
    </row>
    <row r="1845" spans="1:61" x14ac:dyDescent="0.25">
      <c r="A1845" s="62" t="s">
        <v>790</v>
      </c>
      <c r="B1845" s="62" t="s">
        <v>790</v>
      </c>
      <c r="C1845" s="63"/>
      <c r="D1845" s="64"/>
      <c r="E1845" s="65"/>
      <c r="F1845" s="66"/>
      <c r="G1845" s="63"/>
      <c r="H1845" s="67"/>
      <c r="I1845" s="68"/>
      <c r="J1845" s="68"/>
      <c r="K1845" s="32"/>
      <c r="L1845" s="75">
        <v>1845</v>
      </c>
      <c r="M1845" s="75"/>
      <c r="N1845" s="70"/>
      <c r="O1845" s="77" t="s">
        <v>179</v>
      </c>
      <c r="P1845" s="79">
        <v>45108.521643518521</v>
      </c>
      <c r="Q1845" s="77" t="s">
        <v>3741</v>
      </c>
      <c r="R1845" s="77">
        <v>0</v>
      </c>
      <c r="S1845" s="77">
        <v>3</v>
      </c>
      <c r="T1845" s="77">
        <v>1</v>
      </c>
      <c r="U1845" s="77">
        <v>0</v>
      </c>
      <c r="V1845" s="77">
        <v>1589</v>
      </c>
      <c r="W1845" s="80" t="s">
        <v>6931</v>
      </c>
      <c r="X1845" s="83" t="str">
        <f>HYPERLINK("https://www.moneytimes.com.br/29-anos-do-real-quanto-r-1-da-epoca-valeria-hoje/")</f>
        <v>https://www.moneytimes.com.br/29-anos-do-real-quanto-r-1-da-epoca-valeria-hoje/</v>
      </c>
      <c r="Y1845" s="77" t="s">
        <v>8611</v>
      </c>
      <c r="Z1845" s="77"/>
      <c r="AA1845" s="77"/>
      <c r="AB1845" s="77"/>
      <c r="AC1845" s="80" t="s">
        <v>10558</v>
      </c>
      <c r="AD1845" s="77" t="s">
        <v>10617</v>
      </c>
      <c r="AE1845" s="83" t="str">
        <f>HYPERLINK("https://twitter.com/leiamoneytimes/status/1675119854901239809")</f>
        <v>https://twitter.com/leiamoneytimes/status/1675119854901239809</v>
      </c>
      <c r="AF1845" s="79">
        <v>45108.521643518521</v>
      </c>
      <c r="AG1845" s="85">
        <v>45108</v>
      </c>
      <c r="AH1845" s="80" t="s">
        <v>12271</v>
      </c>
      <c r="AI1845" s="77" t="b">
        <v>0</v>
      </c>
      <c r="AJ1845" s="77"/>
      <c r="AK1845" s="77"/>
      <c r="AL1845" s="77"/>
      <c r="AM1845" s="77"/>
      <c r="AN1845" s="77"/>
      <c r="AO1845" s="77"/>
      <c r="AP1845" s="77"/>
      <c r="AQ1845" s="77"/>
      <c r="AR1845" s="77"/>
      <c r="AS1845" s="77"/>
      <c r="AT1845" s="77"/>
      <c r="AU1845" s="77"/>
      <c r="AV1845" s="83" t="str">
        <f>HYPERLINK("https://pbs.twimg.com/profile_images/1559883556846977024/bXHnQFY0_normal.jpg")</f>
        <v>https://pbs.twimg.com/profile_images/1559883556846977024/bXHnQFY0_normal.jpg</v>
      </c>
      <c r="AW1845" s="80" t="s">
        <v>17712</v>
      </c>
      <c r="AX1845" s="80" t="s">
        <v>17712</v>
      </c>
      <c r="AY1845" s="77"/>
      <c r="AZ1845" s="80" t="s">
        <v>20380</v>
      </c>
      <c r="BA1845" s="80" t="s">
        <v>20380</v>
      </c>
      <c r="BB1845" s="80" t="s">
        <v>20380</v>
      </c>
      <c r="BC1845" s="80" t="s">
        <v>17712</v>
      </c>
      <c r="BD1845" s="77">
        <v>51150679</v>
      </c>
      <c r="BE1845" s="77"/>
      <c r="BF1845" s="77"/>
      <c r="BG1845" s="77"/>
      <c r="BH1845" s="77"/>
      <c r="BI1845" s="77"/>
    </row>
    <row r="1846" spans="1:61" x14ac:dyDescent="0.25">
      <c r="A1846" s="62" t="s">
        <v>790</v>
      </c>
      <c r="B1846" s="62" t="s">
        <v>790</v>
      </c>
      <c r="C1846" s="63"/>
      <c r="D1846" s="64"/>
      <c r="E1846" s="65"/>
      <c r="F1846" s="66"/>
      <c r="G1846" s="63"/>
      <c r="H1846" s="67"/>
      <c r="I1846" s="68"/>
      <c r="J1846" s="68"/>
      <c r="K1846" s="32"/>
      <c r="L1846" s="75">
        <v>1846</v>
      </c>
      <c r="M1846" s="75"/>
      <c r="N1846" s="70"/>
      <c r="O1846" s="77" t="s">
        <v>179</v>
      </c>
      <c r="P1846" s="79">
        <v>45096.825775462959</v>
      </c>
      <c r="Q1846" s="77" t="s">
        <v>3742</v>
      </c>
      <c r="R1846" s="77">
        <v>0</v>
      </c>
      <c r="S1846" s="77">
        <v>10</v>
      </c>
      <c r="T1846" s="77">
        <v>1</v>
      </c>
      <c r="U1846" s="77">
        <v>0</v>
      </c>
      <c r="V1846" s="77">
        <v>2768</v>
      </c>
      <c r="W1846" s="80" t="s">
        <v>7018</v>
      </c>
      <c r="X1846" s="83" t="str">
        <f>HYPERLINK("https://www.moneytimes.com.br/tesouro-direto-hoje-prefixado-2029-dispara-19-desde-minima-no-ano/")</f>
        <v>https://www.moneytimes.com.br/tesouro-direto-hoje-prefixado-2029-dispara-19-desde-minima-no-ano/</v>
      </c>
      <c r="Y1846" s="77" t="s">
        <v>8611</v>
      </c>
      <c r="Z1846" s="77"/>
      <c r="AA1846" s="77"/>
      <c r="AB1846" s="77"/>
      <c r="AC1846" s="80" t="s">
        <v>10558</v>
      </c>
      <c r="AD1846" s="77" t="s">
        <v>10617</v>
      </c>
      <c r="AE1846" s="83" t="str">
        <f>HYPERLINK("https://twitter.com/leiamoneytimes/status/1670881416408625174")</f>
        <v>https://twitter.com/leiamoneytimes/status/1670881416408625174</v>
      </c>
      <c r="AF1846" s="79">
        <v>45096.825775462959</v>
      </c>
      <c r="AG1846" s="85">
        <v>45096</v>
      </c>
      <c r="AH1846" s="80" t="s">
        <v>12272</v>
      </c>
      <c r="AI1846" s="77" t="b">
        <v>0</v>
      </c>
      <c r="AJ1846" s="77"/>
      <c r="AK1846" s="77"/>
      <c r="AL1846" s="77"/>
      <c r="AM1846" s="77"/>
      <c r="AN1846" s="77"/>
      <c r="AO1846" s="77"/>
      <c r="AP1846" s="77"/>
      <c r="AQ1846" s="77"/>
      <c r="AR1846" s="77"/>
      <c r="AS1846" s="77"/>
      <c r="AT1846" s="77"/>
      <c r="AU1846" s="77"/>
      <c r="AV1846" s="83" t="str">
        <f>HYPERLINK("https://pbs.twimg.com/profile_images/1559883556846977024/bXHnQFY0_normal.jpg")</f>
        <v>https://pbs.twimg.com/profile_images/1559883556846977024/bXHnQFY0_normal.jpg</v>
      </c>
      <c r="AW1846" s="80" t="s">
        <v>17713</v>
      </c>
      <c r="AX1846" s="80" t="s">
        <v>17713</v>
      </c>
      <c r="AY1846" s="77"/>
      <c r="AZ1846" s="80" t="s">
        <v>20380</v>
      </c>
      <c r="BA1846" s="80" t="s">
        <v>20380</v>
      </c>
      <c r="BB1846" s="80" t="s">
        <v>20380</v>
      </c>
      <c r="BC1846" s="80" t="s">
        <v>17713</v>
      </c>
      <c r="BD1846" s="77">
        <v>51150679</v>
      </c>
      <c r="BE1846" s="77"/>
      <c r="BF1846" s="77"/>
      <c r="BG1846" s="77"/>
      <c r="BH1846" s="77"/>
      <c r="BI1846" s="77"/>
    </row>
    <row r="1847" spans="1:61" x14ac:dyDescent="0.25">
      <c r="A1847" s="62" t="s">
        <v>790</v>
      </c>
      <c r="B1847" s="62" t="s">
        <v>790</v>
      </c>
      <c r="C1847" s="63"/>
      <c r="D1847" s="64"/>
      <c r="E1847" s="65"/>
      <c r="F1847" s="66"/>
      <c r="G1847" s="63"/>
      <c r="H1847" s="67"/>
      <c r="I1847" s="68"/>
      <c r="J1847" s="68"/>
      <c r="K1847" s="32"/>
      <c r="L1847" s="75">
        <v>1847</v>
      </c>
      <c r="M1847" s="75"/>
      <c r="N1847" s="70"/>
      <c r="O1847" s="77" t="s">
        <v>179</v>
      </c>
      <c r="P1847" s="79">
        <v>45096.716226851851</v>
      </c>
      <c r="Q1847" s="77" t="s">
        <v>3743</v>
      </c>
      <c r="R1847" s="77">
        <v>2</v>
      </c>
      <c r="S1847" s="77">
        <v>21</v>
      </c>
      <c r="T1847" s="77">
        <v>9</v>
      </c>
      <c r="U1847" s="77">
        <v>0</v>
      </c>
      <c r="V1847" s="77">
        <v>3776</v>
      </c>
      <c r="W1847" s="80" t="s">
        <v>6272</v>
      </c>
      <c r="X1847" s="83" t="str">
        <f>HYPERLINK("https://www.moneytimes.com.br/se-dependesse-de-haddad-banco-central-teria-cortado-a-selic-em-marco/")</f>
        <v>https://www.moneytimes.com.br/se-dependesse-de-haddad-banco-central-teria-cortado-a-selic-em-marco/</v>
      </c>
      <c r="Y1847" s="77" t="s">
        <v>8611</v>
      </c>
      <c r="Z1847" s="77"/>
      <c r="AA1847" s="77"/>
      <c r="AB1847" s="77"/>
      <c r="AC1847" s="80" t="s">
        <v>10558</v>
      </c>
      <c r="AD1847" s="77" t="s">
        <v>10617</v>
      </c>
      <c r="AE1847" s="83" t="str">
        <f>HYPERLINK("https://twitter.com/leiamoneytimes/status/1670841715366805525")</f>
        <v>https://twitter.com/leiamoneytimes/status/1670841715366805525</v>
      </c>
      <c r="AF1847" s="79">
        <v>45096.716226851851</v>
      </c>
      <c r="AG1847" s="85">
        <v>45096</v>
      </c>
      <c r="AH1847" s="80" t="s">
        <v>12273</v>
      </c>
      <c r="AI1847" s="77" t="b">
        <v>0</v>
      </c>
      <c r="AJ1847" s="77"/>
      <c r="AK1847" s="77"/>
      <c r="AL1847" s="77"/>
      <c r="AM1847" s="77"/>
      <c r="AN1847" s="77"/>
      <c r="AO1847" s="77"/>
      <c r="AP1847" s="77"/>
      <c r="AQ1847" s="77"/>
      <c r="AR1847" s="77"/>
      <c r="AS1847" s="77"/>
      <c r="AT1847" s="77"/>
      <c r="AU1847" s="77"/>
      <c r="AV1847" s="83" t="str">
        <f>HYPERLINK("https://pbs.twimg.com/profile_images/1559883556846977024/bXHnQFY0_normal.jpg")</f>
        <v>https://pbs.twimg.com/profile_images/1559883556846977024/bXHnQFY0_normal.jpg</v>
      </c>
      <c r="AW1847" s="80" t="s">
        <v>17714</v>
      </c>
      <c r="AX1847" s="80" t="s">
        <v>17714</v>
      </c>
      <c r="AY1847" s="77"/>
      <c r="AZ1847" s="80" t="s">
        <v>20380</v>
      </c>
      <c r="BA1847" s="80" t="s">
        <v>20380</v>
      </c>
      <c r="BB1847" s="80" t="s">
        <v>20380</v>
      </c>
      <c r="BC1847" s="80" t="s">
        <v>17714</v>
      </c>
      <c r="BD1847" s="77">
        <v>51150679</v>
      </c>
      <c r="BE1847" s="77"/>
      <c r="BF1847" s="77"/>
      <c r="BG1847" s="77"/>
      <c r="BH1847" s="77"/>
      <c r="BI1847" s="77"/>
    </row>
    <row r="1848" spans="1:61" x14ac:dyDescent="0.25">
      <c r="A1848" s="62" t="s">
        <v>790</v>
      </c>
      <c r="B1848" s="62" t="s">
        <v>790</v>
      </c>
      <c r="C1848" s="63"/>
      <c r="D1848" s="64"/>
      <c r="E1848" s="65"/>
      <c r="F1848" s="66"/>
      <c r="G1848" s="63"/>
      <c r="H1848" s="67"/>
      <c r="I1848" s="68"/>
      <c r="J1848" s="68"/>
      <c r="K1848" s="32"/>
      <c r="L1848" s="75">
        <v>1848</v>
      </c>
      <c r="M1848" s="75"/>
      <c r="N1848" s="70"/>
      <c r="O1848" s="77" t="s">
        <v>179</v>
      </c>
      <c r="P1848" s="79">
        <v>45096.715092592596</v>
      </c>
      <c r="Q1848" s="77" t="s">
        <v>3744</v>
      </c>
      <c r="R1848" s="77">
        <v>0</v>
      </c>
      <c r="S1848" s="77">
        <v>7</v>
      </c>
      <c r="T1848" s="77">
        <v>0</v>
      </c>
      <c r="U1848" s="77">
        <v>0</v>
      </c>
      <c r="V1848" s="77">
        <v>1613</v>
      </c>
      <c r="W1848" s="80" t="s">
        <v>6979</v>
      </c>
      <c r="X1848" s="83" t="str">
        <f>HYPERLINK("https://www.moneytimes.com.br/dolar-derrete-e-bancao-gringo-ve-moeda-despencando-ainda-mais-veja-projecao/")</f>
        <v>https://www.moneytimes.com.br/dolar-derrete-e-bancao-gringo-ve-moeda-despencando-ainda-mais-veja-projecao/</v>
      </c>
      <c r="Y1848" s="77" t="s">
        <v>8611</v>
      </c>
      <c r="Z1848" s="77"/>
      <c r="AA1848" s="77"/>
      <c r="AB1848" s="77"/>
      <c r="AC1848" s="80" t="s">
        <v>10558</v>
      </c>
      <c r="AD1848" s="77" t="s">
        <v>10617</v>
      </c>
      <c r="AE1848" s="83" t="str">
        <f>HYPERLINK("https://twitter.com/leiamoneytimes/status/1670841305134514195")</f>
        <v>https://twitter.com/leiamoneytimes/status/1670841305134514195</v>
      </c>
      <c r="AF1848" s="79">
        <v>45096.715092592596</v>
      </c>
      <c r="AG1848" s="85">
        <v>45096</v>
      </c>
      <c r="AH1848" s="80" t="s">
        <v>12274</v>
      </c>
      <c r="AI1848" s="77" t="b">
        <v>0</v>
      </c>
      <c r="AJ1848" s="77"/>
      <c r="AK1848" s="77"/>
      <c r="AL1848" s="77"/>
      <c r="AM1848" s="77"/>
      <c r="AN1848" s="77"/>
      <c r="AO1848" s="77"/>
      <c r="AP1848" s="77"/>
      <c r="AQ1848" s="77"/>
      <c r="AR1848" s="77"/>
      <c r="AS1848" s="77"/>
      <c r="AT1848" s="77"/>
      <c r="AU1848" s="77"/>
      <c r="AV1848" s="83" t="str">
        <f>HYPERLINK("https://pbs.twimg.com/profile_images/1559883556846977024/bXHnQFY0_normal.jpg")</f>
        <v>https://pbs.twimg.com/profile_images/1559883556846977024/bXHnQFY0_normal.jpg</v>
      </c>
      <c r="AW1848" s="80" t="s">
        <v>17715</v>
      </c>
      <c r="AX1848" s="80" t="s">
        <v>17715</v>
      </c>
      <c r="AY1848" s="77"/>
      <c r="AZ1848" s="80" t="s">
        <v>20380</v>
      </c>
      <c r="BA1848" s="80" t="s">
        <v>20380</v>
      </c>
      <c r="BB1848" s="80" t="s">
        <v>20380</v>
      </c>
      <c r="BC1848" s="80" t="s">
        <v>17715</v>
      </c>
      <c r="BD1848" s="77">
        <v>51150679</v>
      </c>
      <c r="BE1848" s="77"/>
      <c r="BF1848" s="77"/>
      <c r="BG1848" s="77"/>
      <c r="BH1848" s="77"/>
      <c r="BI1848" s="77"/>
    </row>
    <row r="1849" spans="1:61" x14ac:dyDescent="0.25">
      <c r="A1849" s="62" t="s">
        <v>790</v>
      </c>
      <c r="B1849" s="62" t="s">
        <v>790</v>
      </c>
      <c r="C1849" s="63"/>
      <c r="D1849" s="64"/>
      <c r="E1849" s="65"/>
      <c r="F1849" s="66"/>
      <c r="G1849" s="63"/>
      <c r="H1849" s="67"/>
      <c r="I1849" s="68"/>
      <c r="J1849" s="68"/>
      <c r="K1849" s="32"/>
      <c r="L1849" s="75">
        <v>1849</v>
      </c>
      <c r="M1849" s="75"/>
      <c r="N1849" s="70"/>
      <c r="O1849" s="77" t="s">
        <v>179</v>
      </c>
      <c r="P1849" s="79">
        <v>45096.563043981485</v>
      </c>
      <c r="Q1849" s="77" t="s">
        <v>3745</v>
      </c>
      <c r="R1849" s="77">
        <v>0</v>
      </c>
      <c r="S1849" s="77">
        <v>2</v>
      </c>
      <c r="T1849" s="77">
        <v>2</v>
      </c>
      <c r="U1849" s="77">
        <v>1</v>
      </c>
      <c r="V1849" s="77">
        <v>1596</v>
      </c>
      <c r="W1849" s="80" t="s">
        <v>7074</v>
      </c>
      <c r="X1849" s="83" t="str">
        <f>HYPERLINK("https://www.moneytimes.com.br/lula-diz-que-discutira-com-macron-resolucao-do-parlamento-frances-contra-acordo-com-mercosul/")</f>
        <v>https://www.moneytimes.com.br/lula-diz-que-discutira-com-macron-resolucao-do-parlamento-frances-contra-acordo-com-mercosul/</v>
      </c>
      <c r="Y1849" s="77" t="s">
        <v>8611</v>
      </c>
      <c r="Z1849" s="77"/>
      <c r="AA1849" s="77"/>
      <c r="AB1849" s="77"/>
      <c r="AC1849" s="80" t="s">
        <v>10558</v>
      </c>
      <c r="AD1849" s="77" t="s">
        <v>10617</v>
      </c>
      <c r="AE1849" s="83" t="str">
        <f>HYPERLINK("https://twitter.com/leiamoneytimes/status/1670786204151717890")</f>
        <v>https://twitter.com/leiamoneytimes/status/1670786204151717890</v>
      </c>
      <c r="AF1849" s="79">
        <v>45096.563043981485</v>
      </c>
      <c r="AG1849" s="85">
        <v>45096</v>
      </c>
      <c r="AH1849" s="80" t="s">
        <v>12275</v>
      </c>
      <c r="AI1849" s="77" t="b">
        <v>0</v>
      </c>
      <c r="AJ1849" s="77"/>
      <c r="AK1849" s="77"/>
      <c r="AL1849" s="77"/>
      <c r="AM1849" s="77"/>
      <c r="AN1849" s="77"/>
      <c r="AO1849" s="77"/>
      <c r="AP1849" s="77"/>
      <c r="AQ1849" s="77"/>
      <c r="AR1849" s="77"/>
      <c r="AS1849" s="77"/>
      <c r="AT1849" s="77"/>
      <c r="AU1849" s="77"/>
      <c r="AV1849" s="83" t="str">
        <f>HYPERLINK("https://pbs.twimg.com/profile_images/1559883556846977024/bXHnQFY0_normal.jpg")</f>
        <v>https://pbs.twimg.com/profile_images/1559883556846977024/bXHnQFY0_normal.jpg</v>
      </c>
      <c r="AW1849" s="80" t="s">
        <v>17716</v>
      </c>
      <c r="AX1849" s="80" t="s">
        <v>17716</v>
      </c>
      <c r="AY1849" s="77"/>
      <c r="AZ1849" s="80" t="s">
        <v>20380</v>
      </c>
      <c r="BA1849" s="80" t="s">
        <v>20380</v>
      </c>
      <c r="BB1849" s="80" t="s">
        <v>20380</v>
      </c>
      <c r="BC1849" s="80" t="s">
        <v>17716</v>
      </c>
      <c r="BD1849" s="77">
        <v>51150679</v>
      </c>
      <c r="BE1849" s="77"/>
      <c r="BF1849" s="77"/>
      <c r="BG1849" s="77"/>
      <c r="BH1849" s="77"/>
      <c r="BI1849" s="77"/>
    </row>
    <row r="1850" spans="1:61" x14ac:dyDescent="0.25">
      <c r="A1850" s="62" t="s">
        <v>790</v>
      </c>
      <c r="B1850" s="62" t="s">
        <v>790</v>
      </c>
      <c r="C1850" s="63"/>
      <c r="D1850" s="64"/>
      <c r="E1850" s="65"/>
      <c r="F1850" s="66"/>
      <c r="G1850" s="63"/>
      <c r="H1850" s="67"/>
      <c r="I1850" s="68"/>
      <c r="J1850" s="68"/>
      <c r="K1850" s="32"/>
      <c r="L1850" s="75">
        <v>1850</v>
      </c>
      <c r="M1850" s="75"/>
      <c r="N1850" s="70"/>
      <c r="O1850" s="77" t="s">
        <v>179</v>
      </c>
      <c r="P1850" s="79">
        <v>45096.519652777781</v>
      </c>
      <c r="Q1850" s="77" t="s">
        <v>3746</v>
      </c>
      <c r="R1850" s="77">
        <v>0</v>
      </c>
      <c r="S1850" s="77">
        <v>2</v>
      </c>
      <c r="T1850" s="77">
        <v>1</v>
      </c>
      <c r="U1850" s="77">
        <v>0</v>
      </c>
      <c r="V1850" s="77">
        <v>1169</v>
      </c>
      <c r="W1850" s="80" t="s">
        <v>6966</v>
      </c>
      <c r="X1850" s="83" t="str">
        <f>HYPERLINK("https://www.moneytimes.com.br/dolar-ronda-estabilidade-ante-real-com-politica-monetaria-em-foco/")</f>
        <v>https://www.moneytimes.com.br/dolar-ronda-estabilidade-ante-real-com-politica-monetaria-em-foco/</v>
      </c>
      <c r="Y1850" s="77" t="s">
        <v>8611</v>
      </c>
      <c r="Z1850" s="77"/>
      <c r="AA1850" s="77"/>
      <c r="AB1850" s="77"/>
      <c r="AC1850" s="80" t="s">
        <v>10558</v>
      </c>
      <c r="AD1850" s="77" t="s">
        <v>10617</v>
      </c>
      <c r="AE1850" s="83" t="str">
        <f>HYPERLINK("https://twitter.com/leiamoneytimes/status/1670770479093751813")</f>
        <v>https://twitter.com/leiamoneytimes/status/1670770479093751813</v>
      </c>
      <c r="AF1850" s="79">
        <v>45096.519652777781</v>
      </c>
      <c r="AG1850" s="85">
        <v>45096</v>
      </c>
      <c r="AH1850" s="80" t="s">
        <v>12276</v>
      </c>
      <c r="AI1850" s="77" t="b">
        <v>0</v>
      </c>
      <c r="AJ1850" s="77"/>
      <c r="AK1850" s="77"/>
      <c r="AL1850" s="77"/>
      <c r="AM1850" s="77"/>
      <c r="AN1850" s="77"/>
      <c r="AO1850" s="77"/>
      <c r="AP1850" s="77"/>
      <c r="AQ1850" s="77"/>
      <c r="AR1850" s="77"/>
      <c r="AS1850" s="77"/>
      <c r="AT1850" s="77"/>
      <c r="AU1850" s="77"/>
      <c r="AV1850" s="83" t="str">
        <f>HYPERLINK("https://pbs.twimg.com/profile_images/1559883556846977024/bXHnQFY0_normal.jpg")</f>
        <v>https://pbs.twimg.com/profile_images/1559883556846977024/bXHnQFY0_normal.jpg</v>
      </c>
      <c r="AW1850" s="80" t="s">
        <v>17717</v>
      </c>
      <c r="AX1850" s="80" t="s">
        <v>17717</v>
      </c>
      <c r="AY1850" s="77"/>
      <c r="AZ1850" s="80" t="s">
        <v>20380</v>
      </c>
      <c r="BA1850" s="80" t="s">
        <v>20380</v>
      </c>
      <c r="BB1850" s="80" t="s">
        <v>20380</v>
      </c>
      <c r="BC1850" s="80" t="s">
        <v>17717</v>
      </c>
      <c r="BD1850" s="77">
        <v>51150679</v>
      </c>
      <c r="BE1850" s="77"/>
      <c r="BF1850" s="77"/>
      <c r="BG1850" s="77"/>
      <c r="BH1850" s="77"/>
      <c r="BI1850" s="77"/>
    </row>
    <row r="1851" spans="1:61" x14ac:dyDescent="0.25">
      <c r="A1851" s="62" t="s">
        <v>790</v>
      </c>
      <c r="B1851" s="62" t="s">
        <v>790</v>
      </c>
      <c r="C1851" s="63"/>
      <c r="D1851" s="64"/>
      <c r="E1851" s="65"/>
      <c r="F1851" s="66"/>
      <c r="G1851" s="63"/>
      <c r="H1851" s="67"/>
      <c r="I1851" s="68"/>
      <c r="J1851" s="68"/>
      <c r="K1851" s="32"/>
      <c r="L1851" s="75">
        <v>1851</v>
      </c>
      <c r="M1851" s="75"/>
      <c r="N1851" s="70"/>
      <c r="O1851" s="77" t="s">
        <v>179</v>
      </c>
      <c r="P1851" s="79">
        <v>45096.491261574076</v>
      </c>
      <c r="Q1851" s="77" t="s">
        <v>3747</v>
      </c>
      <c r="R1851" s="77">
        <v>0</v>
      </c>
      <c r="S1851" s="77">
        <v>7</v>
      </c>
      <c r="T1851" s="77">
        <v>1</v>
      </c>
      <c r="U1851" s="77">
        <v>0</v>
      </c>
      <c r="V1851" s="77">
        <v>1642</v>
      </c>
      <c r="W1851" s="80" t="s">
        <v>6934</v>
      </c>
      <c r="X1851" s="83" t="str">
        <f>HYPERLINK("https://www.moneytimes.com.br/projecoes-da-selic-caem-as-vesperas-do-copom-apos-9-semanas-confira-o-focus-desta-segunda-19/")</f>
        <v>https://www.moneytimes.com.br/projecoes-da-selic-caem-as-vesperas-do-copom-apos-9-semanas-confira-o-focus-desta-segunda-19/</v>
      </c>
      <c r="Y1851" s="77" t="s">
        <v>8611</v>
      </c>
      <c r="Z1851" s="77"/>
      <c r="AA1851" s="77"/>
      <c r="AB1851" s="77"/>
      <c r="AC1851" s="80" t="s">
        <v>10558</v>
      </c>
      <c r="AD1851" s="77" t="s">
        <v>10617</v>
      </c>
      <c r="AE1851" s="83" t="str">
        <f>HYPERLINK("https://twitter.com/leiamoneytimes/status/1670760192374460420")</f>
        <v>https://twitter.com/leiamoneytimes/status/1670760192374460420</v>
      </c>
      <c r="AF1851" s="79">
        <v>45096.491261574076</v>
      </c>
      <c r="AG1851" s="85">
        <v>45096</v>
      </c>
      <c r="AH1851" s="80" t="s">
        <v>12277</v>
      </c>
      <c r="AI1851" s="77" t="b">
        <v>0</v>
      </c>
      <c r="AJ1851" s="77"/>
      <c r="AK1851" s="77"/>
      <c r="AL1851" s="77"/>
      <c r="AM1851" s="77"/>
      <c r="AN1851" s="77"/>
      <c r="AO1851" s="77"/>
      <c r="AP1851" s="77"/>
      <c r="AQ1851" s="77"/>
      <c r="AR1851" s="77"/>
      <c r="AS1851" s="77"/>
      <c r="AT1851" s="77"/>
      <c r="AU1851" s="77"/>
      <c r="AV1851" s="83" t="str">
        <f>HYPERLINK("https://pbs.twimg.com/profile_images/1559883556846977024/bXHnQFY0_normal.jpg")</f>
        <v>https://pbs.twimg.com/profile_images/1559883556846977024/bXHnQFY0_normal.jpg</v>
      </c>
      <c r="AW1851" s="80" t="s">
        <v>17718</v>
      </c>
      <c r="AX1851" s="80" t="s">
        <v>17718</v>
      </c>
      <c r="AY1851" s="77"/>
      <c r="AZ1851" s="80" t="s">
        <v>20380</v>
      </c>
      <c r="BA1851" s="80" t="s">
        <v>20380</v>
      </c>
      <c r="BB1851" s="80" t="s">
        <v>20380</v>
      </c>
      <c r="BC1851" s="80" t="s">
        <v>17718</v>
      </c>
      <c r="BD1851" s="77">
        <v>51150679</v>
      </c>
      <c r="BE1851" s="77"/>
      <c r="BF1851" s="77"/>
      <c r="BG1851" s="77"/>
      <c r="BH1851" s="77"/>
      <c r="BI1851" s="77"/>
    </row>
    <row r="1852" spans="1:61" x14ac:dyDescent="0.25">
      <c r="A1852" s="62" t="s">
        <v>790</v>
      </c>
      <c r="B1852" s="62" t="s">
        <v>790</v>
      </c>
      <c r="C1852" s="63"/>
      <c r="D1852" s="64"/>
      <c r="E1852" s="65"/>
      <c r="F1852" s="66"/>
      <c r="G1852" s="63"/>
      <c r="H1852" s="67"/>
      <c r="I1852" s="68"/>
      <c r="J1852" s="68"/>
      <c r="K1852" s="32"/>
      <c r="L1852" s="75">
        <v>1852</v>
      </c>
      <c r="M1852" s="75"/>
      <c r="N1852" s="70"/>
      <c r="O1852" s="77" t="s">
        <v>179</v>
      </c>
      <c r="P1852" s="79">
        <v>45096.465879629628</v>
      </c>
      <c r="Q1852" s="77" t="s">
        <v>3748</v>
      </c>
      <c r="R1852" s="77">
        <v>0</v>
      </c>
      <c r="S1852" s="77">
        <v>5</v>
      </c>
      <c r="T1852" s="77">
        <v>1</v>
      </c>
      <c r="U1852" s="77">
        <v>0</v>
      </c>
      <c r="V1852" s="77">
        <v>1987</v>
      </c>
      <c r="W1852" s="80" t="s">
        <v>6986</v>
      </c>
      <c r="X1852" s="83" t="str">
        <f>HYPERLINK("https://www.moneytimes.com.br/vai-estragar-a-quermesse-o-copom-e-o-balao-da-inflacao-acoes-de-inteligencia-artificial-o-que-esperar-do-dolar-e-outros-destaques-do-dia/")</f>
        <v>https://www.moneytimes.com.br/vai-estragar-a-quermesse-o-copom-e-o-balao-da-inflacao-acoes-de-inteligencia-artificial-o-que-esperar-do-dolar-e-outros-destaques-do-dia/</v>
      </c>
      <c r="Y1852" s="77" t="s">
        <v>8611</v>
      </c>
      <c r="Z1852" s="77"/>
      <c r="AA1852" s="77"/>
      <c r="AB1852" s="77"/>
      <c r="AC1852" s="80" t="s">
        <v>10558</v>
      </c>
      <c r="AD1852" s="77" t="s">
        <v>10617</v>
      </c>
      <c r="AE1852" s="83" t="str">
        <f>HYPERLINK("https://twitter.com/leiamoneytimes/status/1670750992231460865")</f>
        <v>https://twitter.com/leiamoneytimes/status/1670750992231460865</v>
      </c>
      <c r="AF1852" s="79">
        <v>45096.465879629628</v>
      </c>
      <c r="AG1852" s="85">
        <v>45096</v>
      </c>
      <c r="AH1852" s="80" t="s">
        <v>12278</v>
      </c>
      <c r="AI1852" s="77" t="b">
        <v>0</v>
      </c>
      <c r="AJ1852" s="77"/>
      <c r="AK1852" s="77"/>
      <c r="AL1852" s="77"/>
      <c r="AM1852" s="77"/>
      <c r="AN1852" s="77"/>
      <c r="AO1852" s="77"/>
      <c r="AP1852" s="77"/>
      <c r="AQ1852" s="77"/>
      <c r="AR1852" s="77"/>
      <c r="AS1852" s="77"/>
      <c r="AT1852" s="77"/>
      <c r="AU1852" s="77"/>
      <c r="AV1852" s="83" t="str">
        <f>HYPERLINK("https://pbs.twimg.com/profile_images/1559883556846977024/bXHnQFY0_normal.jpg")</f>
        <v>https://pbs.twimg.com/profile_images/1559883556846977024/bXHnQFY0_normal.jpg</v>
      </c>
      <c r="AW1852" s="80" t="s">
        <v>17719</v>
      </c>
      <c r="AX1852" s="80" t="s">
        <v>17719</v>
      </c>
      <c r="AY1852" s="77"/>
      <c r="AZ1852" s="80" t="s">
        <v>20380</v>
      </c>
      <c r="BA1852" s="80" t="s">
        <v>20380</v>
      </c>
      <c r="BB1852" s="80" t="s">
        <v>20380</v>
      </c>
      <c r="BC1852" s="80" t="s">
        <v>17719</v>
      </c>
      <c r="BD1852" s="77">
        <v>51150679</v>
      </c>
      <c r="BE1852" s="77"/>
      <c r="BF1852" s="77"/>
      <c r="BG1852" s="77"/>
      <c r="BH1852" s="77"/>
      <c r="BI1852" s="77"/>
    </row>
    <row r="1853" spans="1:61" x14ac:dyDescent="0.25">
      <c r="A1853" s="62" t="s">
        <v>790</v>
      </c>
      <c r="B1853" s="62" t="s">
        <v>790</v>
      </c>
      <c r="C1853" s="63"/>
      <c r="D1853" s="64"/>
      <c r="E1853" s="65"/>
      <c r="F1853" s="66"/>
      <c r="G1853" s="63"/>
      <c r="H1853" s="67"/>
      <c r="I1853" s="68"/>
      <c r="J1853" s="68"/>
      <c r="K1853" s="32"/>
      <c r="L1853" s="75">
        <v>1853</v>
      </c>
      <c r="M1853" s="75"/>
      <c r="N1853" s="70"/>
      <c r="O1853" s="77" t="s">
        <v>179</v>
      </c>
      <c r="P1853" s="79">
        <v>45095.709131944444</v>
      </c>
      <c r="Q1853" s="77" t="s">
        <v>3749</v>
      </c>
      <c r="R1853" s="77">
        <v>1</v>
      </c>
      <c r="S1853" s="77">
        <v>5</v>
      </c>
      <c r="T1853" s="77">
        <v>1</v>
      </c>
      <c r="U1853" s="77">
        <v>0</v>
      </c>
      <c r="V1853" s="77">
        <v>2472</v>
      </c>
      <c r="W1853" s="80" t="s">
        <v>7075</v>
      </c>
      <c r="X1853" s="83" t="str">
        <f>HYPERLINK("https://www.moneytimes.com.br/ibovespa-tem-selic-e-lula-no-radar-da-semana-oferta-da-cvc-cvcb3-e-destaque/")</f>
        <v>https://www.moneytimes.com.br/ibovespa-tem-selic-e-lula-no-radar-da-semana-oferta-da-cvc-cvcb3-e-destaque/</v>
      </c>
      <c r="Y1853" s="77" t="s">
        <v>8611</v>
      </c>
      <c r="Z1853" s="77"/>
      <c r="AA1853" s="77"/>
      <c r="AB1853" s="77"/>
      <c r="AC1853" s="80" t="s">
        <v>10558</v>
      </c>
      <c r="AD1853" s="77" t="s">
        <v>10617</v>
      </c>
      <c r="AE1853" s="83" t="str">
        <f>HYPERLINK("https://twitter.com/leiamoneytimes/status/1670476755285467137")</f>
        <v>https://twitter.com/leiamoneytimes/status/1670476755285467137</v>
      </c>
      <c r="AF1853" s="79">
        <v>45095.709131944444</v>
      </c>
      <c r="AG1853" s="85">
        <v>45095</v>
      </c>
      <c r="AH1853" s="80" t="s">
        <v>11998</v>
      </c>
      <c r="AI1853" s="77" t="b">
        <v>0</v>
      </c>
      <c r="AJ1853" s="77"/>
      <c r="AK1853" s="77"/>
      <c r="AL1853" s="77"/>
      <c r="AM1853" s="77"/>
      <c r="AN1853" s="77"/>
      <c r="AO1853" s="77"/>
      <c r="AP1853" s="77"/>
      <c r="AQ1853" s="77"/>
      <c r="AR1853" s="77"/>
      <c r="AS1853" s="77"/>
      <c r="AT1853" s="77"/>
      <c r="AU1853" s="77"/>
      <c r="AV1853" s="83" t="str">
        <f>HYPERLINK("https://pbs.twimg.com/profile_images/1559883556846977024/bXHnQFY0_normal.jpg")</f>
        <v>https://pbs.twimg.com/profile_images/1559883556846977024/bXHnQFY0_normal.jpg</v>
      </c>
      <c r="AW1853" s="80" t="s">
        <v>17720</v>
      </c>
      <c r="AX1853" s="80" t="s">
        <v>17720</v>
      </c>
      <c r="AY1853" s="77"/>
      <c r="AZ1853" s="80" t="s">
        <v>20380</v>
      </c>
      <c r="BA1853" s="80" t="s">
        <v>20380</v>
      </c>
      <c r="BB1853" s="80" t="s">
        <v>20380</v>
      </c>
      <c r="BC1853" s="80" t="s">
        <v>17720</v>
      </c>
      <c r="BD1853" s="77">
        <v>51150679</v>
      </c>
      <c r="BE1853" s="77"/>
      <c r="BF1853" s="77"/>
      <c r="BG1853" s="77"/>
      <c r="BH1853" s="77"/>
      <c r="BI1853" s="77"/>
    </row>
    <row r="1854" spans="1:61" x14ac:dyDescent="0.25">
      <c r="A1854" s="62" t="s">
        <v>790</v>
      </c>
      <c r="B1854" s="62" t="s">
        <v>790</v>
      </c>
      <c r="C1854" s="63"/>
      <c r="D1854" s="64"/>
      <c r="E1854" s="65"/>
      <c r="F1854" s="66"/>
      <c r="G1854" s="63"/>
      <c r="H1854" s="67"/>
      <c r="I1854" s="68"/>
      <c r="J1854" s="68"/>
      <c r="K1854" s="32"/>
      <c r="L1854" s="75">
        <v>1854</v>
      </c>
      <c r="M1854" s="75"/>
      <c r="N1854" s="70"/>
      <c r="O1854" s="77" t="s">
        <v>179</v>
      </c>
      <c r="P1854" s="79">
        <v>45065.543414351851</v>
      </c>
      <c r="Q1854" s="77" t="s">
        <v>3750</v>
      </c>
      <c r="R1854" s="77">
        <v>0</v>
      </c>
      <c r="S1854" s="77">
        <v>0</v>
      </c>
      <c r="T1854" s="77">
        <v>0</v>
      </c>
      <c r="U1854" s="77">
        <v>0</v>
      </c>
      <c r="V1854" s="77">
        <v>869</v>
      </c>
      <c r="W1854" s="80" t="s">
        <v>6985</v>
      </c>
      <c r="X1854" s="83" t="str">
        <f>HYPERLINK("https://www.moneytimes.com.br/recessao-nos-eua-entenda-os-impactos-de-uma-queda-dos-lucros-no-brasil/")</f>
        <v>https://www.moneytimes.com.br/recessao-nos-eua-entenda-os-impactos-de-uma-queda-dos-lucros-no-brasil/</v>
      </c>
      <c r="Y1854" s="77" t="s">
        <v>8611</v>
      </c>
      <c r="Z1854" s="77"/>
      <c r="AA1854" s="77"/>
      <c r="AB1854" s="77"/>
      <c r="AC1854" s="80" t="s">
        <v>10558</v>
      </c>
      <c r="AD1854" s="77" t="s">
        <v>10617</v>
      </c>
      <c r="AE1854" s="83" t="str">
        <f>HYPERLINK("https://twitter.com/leiamoneytimes/status/1659545065222447105")</f>
        <v>https://twitter.com/leiamoneytimes/status/1659545065222447105</v>
      </c>
      <c r="AF1854" s="79">
        <v>45065.543414351851</v>
      </c>
      <c r="AG1854" s="85">
        <v>45065</v>
      </c>
      <c r="AH1854" s="80" t="s">
        <v>12279</v>
      </c>
      <c r="AI1854" s="77" t="b">
        <v>0</v>
      </c>
      <c r="AJ1854" s="77"/>
      <c r="AK1854" s="77"/>
      <c r="AL1854" s="77"/>
      <c r="AM1854" s="77"/>
      <c r="AN1854" s="77"/>
      <c r="AO1854" s="77"/>
      <c r="AP1854" s="77"/>
      <c r="AQ1854" s="77"/>
      <c r="AR1854" s="77"/>
      <c r="AS1854" s="77"/>
      <c r="AT1854" s="77"/>
      <c r="AU1854" s="77"/>
      <c r="AV1854" s="83" t="str">
        <f>HYPERLINK("https://pbs.twimg.com/profile_images/1559883556846977024/bXHnQFY0_normal.jpg")</f>
        <v>https://pbs.twimg.com/profile_images/1559883556846977024/bXHnQFY0_normal.jpg</v>
      </c>
      <c r="AW1854" s="80" t="s">
        <v>17721</v>
      </c>
      <c r="AX1854" s="80" t="s">
        <v>17721</v>
      </c>
      <c r="AY1854" s="77"/>
      <c r="AZ1854" s="80" t="s">
        <v>20380</v>
      </c>
      <c r="BA1854" s="80" t="s">
        <v>20380</v>
      </c>
      <c r="BB1854" s="80" t="s">
        <v>20380</v>
      </c>
      <c r="BC1854" s="80" t="s">
        <v>17721</v>
      </c>
      <c r="BD1854" s="77">
        <v>51150679</v>
      </c>
      <c r="BE1854" s="77"/>
      <c r="BF1854" s="77"/>
      <c r="BG1854" s="77"/>
      <c r="BH1854" s="77"/>
      <c r="BI1854" s="77"/>
    </row>
    <row r="1855" spans="1:61" x14ac:dyDescent="0.25">
      <c r="A1855" s="62" t="s">
        <v>790</v>
      </c>
      <c r="B1855" s="62" t="s">
        <v>790</v>
      </c>
      <c r="C1855" s="63"/>
      <c r="D1855" s="64"/>
      <c r="E1855" s="65"/>
      <c r="F1855" s="66"/>
      <c r="G1855" s="63"/>
      <c r="H1855" s="67"/>
      <c r="I1855" s="68"/>
      <c r="J1855" s="68"/>
      <c r="K1855" s="32"/>
      <c r="L1855" s="75">
        <v>1855</v>
      </c>
      <c r="M1855" s="75"/>
      <c r="N1855" s="70"/>
      <c r="O1855" s="77" t="s">
        <v>179</v>
      </c>
      <c r="P1855" s="79">
        <v>45065.512094907404</v>
      </c>
      <c r="Q1855" s="77" t="s">
        <v>3751</v>
      </c>
      <c r="R1855" s="77">
        <v>1</v>
      </c>
      <c r="S1855" s="77">
        <v>11</v>
      </c>
      <c r="T1855" s="77">
        <v>1</v>
      </c>
      <c r="U1855" s="77">
        <v>0</v>
      </c>
      <c r="V1855" s="77">
        <v>1595</v>
      </c>
      <c r="W1855" s="80" t="s">
        <v>6966</v>
      </c>
      <c r="X1855" s="83" t="str">
        <f>HYPERLINK("https://www.moneytimes.com.br/dolar-acompanha-exterior-e-recua-frente-ao-real-em-meio-a-expectativa-por-powell/")</f>
        <v>https://www.moneytimes.com.br/dolar-acompanha-exterior-e-recua-frente-ao-real-em-meio-a-expectativa-por-powell/</v>
      </c>
      <c r="Y1855" s="77" t="s">
        <v>8611</v>
      </c>
      <c r="Z1855" s="77"/>
      <c r="AA1855" s="77"/>
      <c r="AB1855" s="77"/>
      <c r="AC1855" s="80" t="s">
        <v>10558</v>
      </c>
      <c r="AD1855" s="77" t="s">
        <v>10617</v>
      </c>
      <c r="AE1855" s="83" t="str">
        <f>HYPERLINK("https://twitter.com/leiamoneytimes/status/1659533718640287744")</f>
        <v>https://twitter.com/leiamoneytimes/status/1659533718640287744</v>
      </c>
      <c r="AF1855" s="79">
        <v>45065.512094907404</v>
      </c>
      <c r="AG1855" s="85">
        <v>45065</v>
      </c>
      <c r="AH1855" s="80" t="s">
        <v>12280</v>
      </c>
      <c r="AI1855" s="77" t="b">
        <v>0</v>
      </c>
      <c r="AJ1855" s="77"/>
      <c r="AK1855" s="77"/>
      <c r="AL1855" s="77"/>
      <c r="AM1855" s="77"/>
      <c r="AN1855" s="77"/>
      <c r="AO1855" s="77"/>
      <c r="AP1855" s="77"/>
      <c r="AQ1855" s="77"/>
      <c r="AR1855" s="77"/>
      <c r="AS1855" s="77"/>
      <c r="AT1855" s="77"/>
      <c r="AU1855" s="77"/>
      <c r="AV1855" s="83" t="str">
        <f>HYPERLINK("https://pbs.twimg.com/profile_images/1559883556846977024/bXHnQFY0_normal.jpg")</f>
        <v>https://pbs.twimg.com/profile_images/1559883556846977024/bXHnQFY0_normal.jpg</v>
      </c>
      <c r="AW1855" s="80" t="s">
        <v>17722</v>
      </c>
      <c r="AX1855" s="80" t="s">
        <v>17722</v>
      </c>
      <c r="AY1855" s="77"/>
      <c r="AZ1855" s="80" t="s">
        <v>20380</v>
      </c>
      <c r="BA1855" s="80" t="s">
        <v>20380</v>
      </c>
      <c r="BB1855" s="80" t="s">
        <v>20380</v>
      </c>
      <c r="BC1855" s="80" t="s">
        <v>17722</v>
      </c>
      <c r="BD1855" s="77">
        <v>51150679</v>
      </c>
      <c r="BE1855" s="77"/>
      <c r="BF1855" s="77"/>
      <c r="BG1855" s="77"/>
      <c r="BH1855" s="77"/>
      <c r="BI1855" s="77"/>
    </row>
    <row r="1856" spans="1:61" x14ac:dyDescent="0.25">
      <c r="A1856" s="62" t="s">
        <v>790</v>
      </c>
      <c r="B1856" s="62" t="s">
        <v>790</v>
      </c>
      <c r="C1856" s="63"/>
      <c r="D1856" s="64"/>
      <c r="E1856" s="65"/>
      <c r="F1856" s="66"/>
      <c r="G1856" s="63"/>
      <c r="H1856" s="67"/>
      <c r="I1856" s="68"/>
      <c r="J1856" s="68"/>
      <c r="K1856" s="32"/>
      <c r="L1856" s="75">
        <v>1856</v>
      </c>
      <c r="M1856" s="75"/>
      <c r="N1856" s="70"/>
      <c r="O1856" s="77" t="s">
        <v>179</v>
      </c>
      <c r="P1856" s="79">
        <v>45065.480891203704</v>
      </c>
      <c r="Q1856" s="77" t="s">
        <v>3752</v>
      </c>
      <c r="R1856" s="77">
        <v>0</v>
      </c>
      <c r="S1856" s="77">
        <v>2</v>
      </c>
      <c r="T1856" s="77">
        <v>0</v>
      </c>
      <c r="U1856" s="77">
        <v>0</v>
      </c>
      <c r="V1856" s="77">
        <v>1316</v>
      </c>
      <c r="W1856" s="80" t="s">
        <v>7076</v>
      </c>
      <c r="X1856" s="83" t="str">
        <f>HYPERLINK("https://www.moneytimes.com.br/sextou-com-jerome-christine-e-roberto-shein-em-crise-argentina-e-a-sangria-do-dolar-petrobras-e-outros-destaques-do-dia-miql-vinp/")</f>
        <v>https://www.moneytimes.com.br/sextou-com-jerome-christine-e-roberto-shein-em-crise-argentina-e-a-sangria-do-dolar-petrobras-e-outros-destaques-do-dia-miql-vinp/</v>
      </c>
      <c r="Y1856" s="77" t="s">
        <v>8611</v>
      </c>
      <c r="Z1856" s="77"/>
      <c r="AA1856" s="77"/>
      <c r="AB1856" s="77"/>
      <c r="AC1856" s="80" t="s">
        <v>10558</v>
      </c>
      <c r="AD1856" s="77" t="s">
        <v>10617</v>
      </c>
      <c r="AE1856" s="83" t="str">
        <f>HYPERLINK("https://twitter.com/leiamoneytimes/status/1659522408422801410")</f>
        <v>https://twitter.com/leiamoneytimes/status/1659522408422801410</v>
      </c>
      <c r="AF1856" s="79">
        <v>45065.480891203704</v>
      </c>
      <c r="AG1856" s="85">
        <v>45065</v>
      </c>
      <c r="AH1856" s="80" t="s">
        <v>12281</v>
      </c>
      <c r="AI1856" s="77" t="b">
        <v>0</v>
      </c>
      <c r="AJ1856" s="77"/>
      <c r="AK1856" s="77"/>
      <c r="AL1856" s="77"/>
      <c r="AM1856" s="77"/>
      <c r="AN1856" s="77"/>
      <c r="AO1856" s="77"/>
      <c r="AP1856" s="77"/>
      <c r="AQ1856" s="77"/>
      <c r="AR1856" s="77"/>
      <c r="AS1856" s="77"/>
      <c r="AT1856" s="77"/>
      <c r="AU1856" s="77"/>
      <c r="AV1856" s="83" t="str">
        <f>HYPERLINK("https://pbs.twimg.com/profile_images/1559883556846977024/bXHnQFY0_normal.jpg")</f>
        <v>https://pbs.twimg.com/profile_images/1559883556846977024/bXHnQFY0_normal.jpg</v>
      </c>
      <c r="AW1856" s="80" t="s">
        <v>17723</v>
      </c>
      <c r="AX1856" s="80" t="s">
        <v>17723</v>
      </c>
      <c r="AY1856" s="77"/>
      <c r="AZ1856" s="80" t="s">
        <v>20380</v>
      </c>
      <c r="BA1856" s="80" t="s">
        <v>20380</v>
      </c>
      <c r="BB1856" s="80" t="s">
        <v>20380</v>
      </c>
      <c r="BC1856" s="80" t="s">
        <v>17723</v>
      </c>
      <c r="BD1856" s="77">
        <v>51150679</v>
      </c>
      <c r="BE1856" s="77"/>
      <c r="BF1856" s="77"/>
      <c r="BG1856" s="77"/>
      <c r="BH1856" s="77"/>
      <c r="BI1856" s="77"/>
    </row>
    <row r="1857" spans="1:61" x14ac:dyDescent="0.25">
      <c r="A1857" s="62" t="s">
        <v>790</v>
      </c>
      <c r="B1857" s="62" t="s">
        <v>790</v>
      </c>
      <c r="C1857" s="63"/>
      <c r="D1857" s="64"/>
      <c r="E1857" s="65"/>
      <c r="F1857" s="66"/>
      <c r="G1857" s="63"/>
      <c r="H1857" s="67"/>
      <c r="I1857" s="68"/>
      <c r="J1857" s="68"/>
      <c r="K1857" s="32"/>
      <c r="L1857" s="75">
        <v>1857</v>
      </c>
      <c r="M1857" s="75"/>
      <c r="N1857" s="70"/>
      <c r="O1857" s="77" t="s">
        <v>179</v>
      </c>
      <c r="P1857" s="79">
        <v>45064.686585648145</v>
      </c>
      <c r="Q1857" s="77" t="s">
        <v>3753</v>
      </c>
      <c r="R1857" s="77">
        <v>0</v>
      </c>
      <c r="S1857" s="77">
        <v>2</v>
      </c>
      <c r="T1857" s="77">
        <v>0</v>
      </c>
      <c r="U1857" s="77">
        <v>0</v>
      </c>
      <c r="V1857" s="77">
        <v>1236</v>
      </c>
      <c r="W1857" s="80" t="s">
        <v>7077</v>
      </c>
      <c r="X1857" s="83" t="str">
        <f>HYPERLINK("https://www.moneytimes.com.br/governo-eleva-a-19-projecao-para-o-crescimento-do-pib-em-2023-dizem-fontes/")</f>
        <v>https://www.moneytimes.com.br/governo-eleva-a-19-projecao-para-o-crescimento-do-pib-em-2023-dizem-fontes/</v>
      </c>
      <c r="Y1857" s="77" t="s">
        <v>8611</v>
      </c>
      <c r="Z1857" s="77"/>
      <c r="AA1857" s="77"/>
      <c r="AB1857" s="77"/>
      <c r="AC1857" s="80" t="s">
        <v>10558</v>
      </c>
      <c r="AD1857" s="77" t="s">
        <v>10617</v>
      </c>
      <c r="AE1857" s="83" t="str">
        <f>HYPERLINK("https://twitter.com/leiamoneytimes/status/1659234562239524866")</f>
        <v>https://twitter.com/leiamoneytimes/status/1659234562239524866</v>
      </c>
      <c r="AF1857" s="79">
        <v>45064.686585648145</v>
      </c>
      <c r="AG1857" s="85">
        <v>45064</v>
      </c>
      <c r="AH1857" s="80" t="s">
        <v>12282</v>
      </c>
      <c r="AI1857" s="77" t="b">
        <v>0</v>
      </c>
      <c r="AJ1857" s="77"/>
      <c r="AK1857" s="77"/>
      <c r="AL1857" s="77"/>
      <c r="AM1857" s="77"/>
      <c r="AN1857" s="77"/>
      <c r="AO1857" s="77"/>
      <c r="AP1857" s="77"/>
      <c r="AQ1857" s="77"/>
      <c r="AR1857" s="77"/>
      <c r="AS1857" s="77"/>
      <c r="AT1857" s="77"/>
      <c r="AU1857" s="77"/>
      <c r="AV1857" s="83" t="str">
        <f>HYPERLINK("https://pbs.twimg.com/profile_images/1559883556846977024/bXHnQFY0_normal.jpg")</f>
        <v>https://pbs.twimg.com/profile_images/1559883556846977024/bXHnQFY0_normal.jpg</v>
      </c>
      <c r="AW1857" s="80" t="s">
        <v>17724</v>
      </c>
      <c r="AX1857" s="80" t="s">
        <v>17724</v>
      </c>
      <c r="AY1857" s="77"/>
      <c r="AZ1857" s="80" t="s">
        <v>20380</v>
      </c>
      <c r="BA1857" s="80" t="s">
        <v>20380</v>
      </c>
      <c r="BB1857" s="80" t="s">
        <v>20380</v>
      </c>
      <c r="BC1857" s="80" t="s">
        <v>17724</v>
      </c>
      <c r="BD1857" s="77">
        <v>51150679</v>
      </c>
      <c r="BE1857" s="77"/>
      <c r="BF1857" s="77"/>
      <c r="BG1857" s="77"/>
      <c r="BH1857" s="77"/>
      <c r="BI1857" s="77"/>
    </row>
    <row r="1858" spans="1:61" x14ac:dyDescent="0.25">
      <c r="A1858" s="62" t="s">
        <v>790</v>
      </c>
      <c r="B1858" s="62" t="s">
        <v>790</v>
      </c>
      <c r="C1858" s="63"/>
      <c r="D1858" s="64"/>
      <c r="E1858" s="65"/>
      <c r="F1858" s="66"/>
      <c r="G1858" s="63"/>
      <c r="H1858" s="67"/>
      <c r="I1858" s="68"/>
      <c r="J1858" s="68"/>
      <c r="K1858" s="32"/>
      <c r="L1858" s="75">
        <v>1858</v>
      </c>
      <c r="M1858" s="75"/>
      <c r="N1858" s="70"/>
      <c r="O1858" s="77" t="s">
        <v>179</v>
      </c>
      <c r="P1858" s="79">
        <v>45064.58016203704</v>
      </c>
      <c r="Q1858" s="77" t="s">
        <v>3754</v>
      </c>
      <c r="R1858" s="77">
        <v>0</v>
      </c>
      <c r="S1858" s="77">
        <v>1</v>
      </c>
      <c r="T1858" s="77">
        <v>0</v>
      </c>
      <c r="U1858" s="77">
        <v>0</v>
      </c>
      <c r="V1858" s="77">
        <v>966</v>
      </c>
      <c r="W1858" s="80" t="s">
        <v>6950</v>
      </c>
      <c r="X1858" s="83" t="str">
        <f>HYPERLINK("https://www.moneytimes.com.br/juros-do-cartao-de-credito-tabelado-e-reducao-das-taxas-veja-o-que-diz-secretario-da-fazenda/")</f>
        <v>https://www.moneytimes.com.br/juros-do-cartao-de-credito-tabelado-e-reducao-das-taxas-veja-o-que-diz-secretario-da-fazenda/</v>
      </c>
      <c r="Y1858" s="77" t="s">
        <v>8611</v>
      </c>
      <c r="Z1858" s="77"/>
      <c r="AA1858" s="77"/>
      <c r="AB1858" s="77"/>
      <c r="AC1858" s="80" t="s">
        <v>10558</v>
      </c>
      <c r="AD1858" s="77" t="s">
        <v>10617</v>
      </c>
      <c r="AE1858" s="83" t="str">
        <f>HYPERLINK("https://twitter.com/leiamoneytimes/status/1659195995585150978")</f>
        <v>https://twitter.com/leiamoneytimes/status/1659195995585150978</v>
      </c>
      <c r="AF1858" s="79">
        <v>45064.58016203704</v>
      </c>
      <c r="AG1858" s="85">
        <v>45064</v>
      </c>
      <c r="AH1858" s="80" t="s">
        <v>12283</v>
      </c>
      <c r="AI1858" s="77" t="b">
        <v>0</v>
      </c>
      <c r="AJ1858" s="77"/>
      <c r="AK1858" s="77"/>
      <c r="AL1858" s="77"/>
      <c r="AM1858" s="77"/>
      <c r="AN1858" s="77"/>
      <c r="AO1858" s="77"/>
      <c r="AP1858" s="77"/>
      <c r="AQ1858" s="77"/>
      <c r="AR1858" s="77"/>
      <c r="AS1858" s="77"/>
      <c r="AT1858" s="77"/>
      <c r="AU1858" s="77"/>
      <c r="AV1858" s="83" t="str">
        <f>HYPERLINK("https://pbs.twimg.com/profile_images/1559883556846977024/bXHnQFY0_normal.jpg")</f>
        <v>https://pbs.twimg.com/profile_images/1559883556846977024/bXHnQFY0_normal.jpg</v>
      </c>
      <c r="AW1858" s="80" t="s">
        <v>17725</v>
      </c>
      <c r="AX1858" s="80" t="s">
        <v>17725</v>
      </c>
      <c r="AY1858" s="77"/>
      <c r="AZ1858" s="80" t="s">
        <v>20380</v>
      </c>
      <c r="BA1858" s="80" t="s">
        <v>20380</v>
      </c>
      <c r="BB1858" s="80" t="s">
        <v>20380</v>
      </c>
      <c r="BC1858" s="80" t="s">
        <v>17725</v>
      </c>
      <c r="BD1858" s="77">
        <v>51150679</v>
      </c>
      <c r="BE1858" s="77"/>
      <c r="BF1858" s="77"/>
      <c r="BG1858" s="77"/>
      <c r="BH1858" s="77"/>
      <c r="BI1858" s="77"/>
    </row>
    <row r="1859" spans="1:61" x14ac:dyDescent="0.25">
      <c r="A1859" s="62" t="s">
        <v>790</v>
      </c>
      <c r="B1859" s="62" t="s">
        <v>790</v>
      </c>
      <c r="C1859" s="63"/>
      <c r="D1859" s="64"/>
      <c r="E1859" s="65"/>
      <c r="F1859" s="66"/>
      <c r="G1859" s="63"/>
      <c r="H1859" s="67"/>
      <c r="I1859" s="68"/>
      <c r="J1859" s="68"/>
      <c r="K1859" s="32"/>
      <c r="L1859" s="75">
        <v>1859</v>
      </c>
      <c r="M1859" s="75"/>
      <c r="N1859" s="70"/>
      <c r="O1859" s="77" t="s">
        <v>179</v>
      </c>
      <c r="P1859" s="79">
        <v>45064.554062499999</v>
      </c>
      <c r="Q1859" s="77" t="s">
        <v>3755</v>
      </c>
      <c r="R1859" s="77">
        <v>0</v>
      </c>
      <c r="S1859" s="77">
        <v>5</v>
      </c>
      <c r="T1859" s="77">
        <v>1</v>
      </c>
      <c r="U1859" s="77">
        <v>0</v>
      </c>
      <c r="V1859" s="77">
        <v>1327</v>
      </c>
      <c r="W1859" s="80" t="s">
        <v>7043</v>
      </c>
      <c r="X1859" s="83" t="str">
        <f>HYPERLINK("https://www.moneytimes.com.br/campos-neto-nao-se-anima-com-impacto-dos-combustiveis-na-inflacao-enfrentamos-desafios-para-consolidar-a-desinflacao/")</f>
        <v>https://www.moneytimes.com.br/campos-neto-nao-se-anima-com-impacto-dos-combustiveis-na-inflacao-enfrentamos-desafios-para-consolidar-a-desinflacao/</v>
      </c>
      <c r="Y1859" s="77" t="s">
        <v>8611</v>
      </c>
      <c r="Z1859" s="77"/>
      <c r="AA1859" s="77"/>
      <c r="AB1859" s="77"/>
      <c r="AC1859" s="80" t="s">
        <v>10558</v>
      </c>
      <c r="AD1859" s="77" t="s">
        <v>10617</v>
      </c>
      <c r="AE1859" s="83" t="str">
        <f>HYPERLINK("https://twitter.com/leiamoneytimes/status/1659186539522400256")</f>
        <v>https://twitter.com/leiamoneytimes/status/1659186539522400256</v>
      </c>
      <c r="AF1859" s="79">
        <v>45064.554062499999</v>
      </c>
      <c r="AG1859" s="85">
        <v>45064</v>
      </c>
      <c r="AH1859" s="80" t="s">
        <v>12284</v>
      </c>
      <c r="AI1859" s="77" t="b">
        <v>0</v>
      </c>
      <c r="AJ1859" s="77"/>
      <c r="AK1859" s="77"/>
      <c r="AL1859" s="77"/>
      <c r="AM1859" s="77"/>
      <c r="AN1859" s="77"/>
      <c r="AO1859" s="77"/>
      <c r="AP1859" s="77"/>
      <c r="AQ1859" s="77"/>
      <c r="AR1859" s="77"/>
      <c r="AS1859" s="77"/>
      <c r="AT1859" s="77"/>
      <c r="AU1859" s="77"/>
      <c r="AV1859" s="83" t="str">
        <f>HYPERLINK("https://pbs.twimg.com/profile_images/1559883556846977024/bXHnQFY0_normal.jpg")</f>
        <v>https://pbs.twimg.com/profile_images/1559883556846977024/bXHnQFY0_normal.jpg</v>
      </c>
      <c r="AW1859" s="80" t="s">
        <v>17726</v>
      </c>
      <c r="AX1859" s="80" t="s">
        <v>17726</v>
      </c>
      <c r="AY1859" s="77"/>
      <c r="AZ1859" s="80" t="s">
        <v>20380</v>
      </c>
      <c r="BA1859" s="80" t="s">
        <v>20380</v>
      </c>
      <c r="BB1859" s="80" t="s">
        <v>20380</v>
      </c>
      <c r="BC1859" s="80" t="s">
        <v>17726</v>
      </c>
      <c r="BD1859" s="77">
        <v>51150679</v>
      </c>
      <c r="BE1859" s="77"/>
      <c r="BF1859" s="77"/>
      <c r="BG1859" s="77"/>
      <c r="BH1859" s="77"/>
      <c r="BI1859" s="77"/>
    </row>
    <row r="1860" spans="1:61" x14ac:dyDescent="0.25">
      <c r="A1860" s="62" t="s">
        <v>790</v>
      </c>
      <c r="B1860" s="62" t="s">
        <v>790</v>
      </c>
      <c r="C1860" s="63"/>
      <c r="D1860" s="64"/>
      <c r="E1860" s="65"/>
      <c r="F1860" s="66"/>
      <c r="G1860" s="63"/>
      <c r="H1860" s="67"/>
      <c r="I1860" s="68"/>
      <c r="J1860" s="68"/>
      <c r="K1860" s="32"/>
      <c r="L1860" s="75">
        <v>1860</v>
      </c>
      <c r="M1860" s="75"/>
      <c r="N1860" s="70"/>
      <c r="O1860" s="77" t="s">
        <v>179</v>
      </c>
      <c r="P1860" s="79">
        <v>45064.514328703706</v>
      </c>
      <c r="Q1860" s="77" t="s">
        <v>3756</v>
      </c>
      <c r="R1860" s="77">
        <v>0</v>
      </c>
      <c r="S1860" s="77">
        <v>3</v>
      </c>
      <c r="T1860" s="77">
        <v>1</v>
      </c>
      <c r="U1860" s="77">
        <v>0</v>
      </c>
      <c r="V1860" s="77">
        <v>1338</v>
      </c>
      <c r="W1860" s="80" t="s">
        <v>6966</v>
      </c>
      <c r="X1860" s="83" t="str">
        <f>HYPERLINK("https://www.moneytimes.com.br/dolar-segue-exterior-e-avanca-frente-ao-real-com-teto-da-divida-dos-eua-e-fed-em-foco/")</f>
        <v>https://www.moneytimes.com.br/dolar-segue-exterior-e-avanca-frente-ao-real-com-teto-da-divida-dos-eua-e-fed-em-foco/</v>
      </c>
      <c r="Y1860" s="77" t="s">
        <v>8611</v>
      </c>
      <c r="Z1860" s="77"/>
      <c r="AA1860" s="77"/>
      <c r="AB1860" s="77"/>
      <c r="AC1860" s="80" t="s">
        <v>10558</v>
      </c>
      <c r="AD1860" s="77" t="s">
        <v>10617</v>
      </c>
      <c r="AE1860" s="83" t="str">
        <f>HYPERLINK("https://twitter.com/leiamoneytimes/status/1659172139763658752")</f>
        <v>https://twitter.com/leiamoneytimes/status/1659172139763658752</v>
      </c>
      <c r="AF1860" s="79">
        <v>45064.514328703706</v>
      </c>
      <c r="AG1860" s="85">
        <v>45064</v>
      </c>
      <c r="AH1860" s="80" t="s">
        <v>12285</v>
      </c>
      <c r="AI1860" s="77" t="b">
        <v>0</v>
      </c>
      <c r="AJ1860" s="77"/>
      <c r="AK1860" s="77"/>
      <c r="AL1860" s="77"/>
      <c r="AM1860" s="77"/>
      <c r="AN1860" s="77"/>
      <c r="AO1860" s="77"/>
      <c r="AP1860" s="77"/>
      <c r="AQ1860" s="77"/>
      <c r="AR1860" s="77"/>
      <c r="AS1860" s="77"/>
      <c r="AT1860" s="77"/>
      <c r="AU1860" s="77"/>
      <c r="AV1860" s="83" t="str">
        <f>HYPERLINK("https://pbs.twimg.com/profile_images/1559883556846977024/bXHnQFY0_normal.jpg")</f>
        <v>https://pbs.twimg.com/profile_images/1559883556846977024/bXHnQFY0_normal.jpg</v>
      </c>
      <c r="AW1860" s="80" t="s">
        <v>17727</v>
      </c>
      <c r="AX1860" s="80" t="s">
        <v>17727</v>
      </c>
      <c r="AY1860" s="77"/>
      <c r="AZ1860" s="80" t="s">
        <v>20380</v>
      </c>
      <c r="BA1860" s="80" t="s">
        <v>20380</v>
      </c>
      <c r="BB1860" s="80" t="s">
        <v>20380</v>
      </c>
      <c r="BC1860" s="80" t="s">
        <v>17727</v>
      </c>
      <c r="BD1860" s="77">
        <v>51150679</v>
      </c>
      <c r="BE1860" s="77"/>
      <c r="BF1860" s="77"/>
      <c r="BG1860" s="77"/>
      <c r="BH1860" s="77"/>
      <c r="BI1860" s="77"/>
    </row>
    <row r="1861" spans="1:61" x14ac:dyDescent="0.25">
      <c r="A1861" s="62" t="s">
        <v>790</v>
      </c>
      <c r="B1861" s="62" t="s">
        <v>790</v>
      </c>
      <c r="C1861" s="63"/>
      <c r="D1861" s="64"/>
      <c r="E1861" s="65"/>
      <c r="F1861" s="66"/>
      <c r="G1861" s="63"/>
      <c r="H1861" s="67"/>
      <c r="I1861" s="68"/>
      <c r="J1861" s="68"/>
      <c r="K1861" s="32"/>
      <c r="L1861" s="75">
        <v>1861</v>
      </c>
      <c r="M1861" s="75"/>
      <c r="N1861" s="70"/>
      <c r="O1861" s="77" t="s">
        <v>179</v>
      </c>
      <c r="P1861" s="79">
        <v>45064.455127314817</v>
      </c>
      <c r="Q1861" s="77" t="s">
        <v>3757</v>
      </c>
      <c r="R1861" s="77">
        <v>0</v>
      </c>
      <c r="S1861" s="77">
        <v>3</v>
      </c>
      <c r="T1861" s="77">
        <v>0</v>
      </c>
      <c r="U1861" s="77">
        <v>0</v>
      </c>
      <c r="V1861" s="77">
        <v>1654</v>
      </c>
      <c r="W1861" s="80" t="s">
        <v>7078</v>
      </c>
      <c r="X1861" s="83" t="str">
        <f>HYPERLINK("https://www.moneytimes.com.br/ibovespa-ibov-hoje-mira-nos-110-mil-pontos-com-prenuncio-de-cortes-na-selic/")</f>
        <v>https://www.moneytimes.com.br/ibovespa-ibov-hoje-mira-nos-110-mil-pontos-com-prenuncio-de-cortes-na-selic/</v>
      </c>
      <c r="Y1861" s="77" t="s">
        <v>8611</v>
      </c>
      <c r="Z1861" s="77"/>
      <c r="AA1861" s="77"/>
      <c r="AB1861" s="77"/>
      <c r="AC1861" s="80" t="s">
        <v>10558</v>
      </c>
      <c r="AD1861" s="77" t="s">
        <v>10617</v>
      </c>
      <c r="AE1861" s="83" t="str">
        <f>HYPERLINK("https://twitter.com/leiamoneytimes/status/1659150684850094081")</f>
        <v>https://twitter.com/leiamoneytimes/status/1659150684850094081</v>
      </c>
      <c r="AF1861" s="79">
        <v>45064.455127314817</v>
      </c>
      <c r="AG1861" s="85">
        <v>45064</v>
      </c>
      <c r="AH1861" s="80" t="s">
        <v>12286</v>
      </c>
      <c r="AI1861" s="77" t="b">
        <v>0</v>
      </c>
      <c r="AJ1861" s="77"/>
      <c r="AK1861" s="77"/>
      <c r="AL1861" s="77"/>
      <c r="AM1861" s="77"/>
      <c r="AN1861" s="77"/>
      <c r="AO1861" s="77"/>
      <c r="AP1861" s="77"/>
      <c r="AQ1861" s="77"/>
      <c r="AR1861" s="77"/>
      <c r="AS1861" s="77"/>
      <c r="AT1861" s="77"/>
      <c r="AU1861" s="77"/>
      <c r="AV1861" s="83" t="str">
        <f>HYPERLINK("https://pbs.twimg.com/profile_images/1559883556846977024/bXHnQFY0_normal.jpg")</f>
        <v>https://pbs.twimg.com/profile_images/1559883556846977024/bXHnQFY0_normal.jpg</v>
      </c>
      <c r="AW1861" s="80" t="s">
        <v>17728</v>
      </c>
      <c r="AX1861" s="80" t="s">
        <v>17728</v>
      </c>
      <c r="AY1861" s="77"/>
      <c r="AZ1861" s="80" t="s">
        <v>20380</v>
      </c>
      <c r="BA1861" s="80" t="s">
        <v>20380</v>
      </c>
      <c r="BB1861" s="80" t="s">
        <v>20380</v>
      </c>
      <c r="BC1861" s="80" t="s">
        <v>17728</v>
      </c>
      <c r="BD1861" s="77">
        <v>51150679</v>
      </c>
      <c r="BE1861" s="77"/>
      <c r="BF1861" s="77"/>
      <c r="BG1861" s="77"/>
      <c r="BH1861" s="77"/>
      <c r="BI1861" s="77"/>
    </row>
    <row r="1862" spans="1:61" x14ac:dyDescent="0.25">
      <c r="A1862" s="62" t="s">
        <v>790</v>
      </c>
      <c r="B1862" s="62" t="s">
        <v>790</v>
      </c>
      <c r="C1862" s="63"/>
      <c r="D1862" s="64"/>
      <c r="E1862" s="65"/>
      <c r="F1862" s="66"/>
      <c r="G1862" s="63"/>
      <c r="H1862" s="67"/>
      <c r="I1862" s="68"/>
      <c r="J1862" s="68"/>
      <c r="K1862" s="32"/>
      <c r="L1862" s="75">
        <v>1862</v>
      </c>
      <c r="M1862" s="75"/>
      <c r="N1862" s="70"/>
      <c r="O1862" s="77" t="s">
        <v>179</v>
      </c>
      <c r="P1862" s="79">
        <v>45063.831516203703</v>
      </c>
      <c r="Q1862" s="77" t="s">
        <v>3758</v>
      </c>
      <c r="R1862" s="77">
        <v>0</v>
      </c>
      <c r="S1862" s="77">
        <v>8</v>
      </c>
      <c r="T1862" s="77">
        <v>0</v>
      </c>
      <c r="U1862" s="77">
        <v>0</v>
      </c>
      <c r="V1862" s="77">
        <v>1690</v>
      </c>
      <c r="W1862" s="80" t="s">
        <v>6931</v>
      </c>
      <c r="X1862" s="83" t="str">
        <f>HYPERLINK("https://www.moneytimes.com.br/taxas-futuras-de-juros-sobem-por-2a-sessao-seguida-em-sintonia-com-treasuries/")</f>
        <v>https://www.moneytimes.com.br/taxas-futuras-de-juros-sobem-por-2a-sessao-seguida-em-sintonia-com-treasuries/</v>
      </c>
      <c r="Y1862" s="77" t="s">
        <v>8611</v>
      </c>
      <c r="Z1862" s="77"/>
      <c r="AA1862" s="77"/>
      <c r="AB1862" s="77"/>
      <c r="AC1862" s="80" t="s">
        <v>10558</v>
      </c>
      <c r="AD1862" s="77" t="s">
        <v>10617</v>
      </c>
      <c r="AE1862" s="83" t="str">
        <f>HYPERLINK("https://twitter.com/leiamoneytimes/status/1658924697654898695")</f>
        <v>https://twitter.com/leiamoneytimes/status/1658924697654898695</v>
      </c>
      <c r="AF1862" s="79">
        <v>45063.831516203703</v>
      </c>
      <c r="AG1862" s="85">
        <v>45063</v>
      </c>
      <c r="AH1862" s="80" t="s">
        <v>12287</v>
      </c>
      <c r="AI1862" s="77" t="b">
        <v>0</v>
      </c>
      <c r="AJ1862" s="77"/>
      <c r="AK1862" s="77"/>
      <c r="AL1862" s="77"/>
      <c r="AM1862" s="77"/>
      <c r="AN1862" s="77"/>
      <c r="AO1862" s="77"/>
      <c r="AP1862" s="77"/>
      <c r="AQ1862" s="77"/>
      <c r="AR1862" s="77"/>
      <c r="AS1862" s="77"/>
      <c r="AT1862" s="77"/>
      <c r="AU1862" s="77"/>
      <c r="AV1862" s="83" t="str">
        <f>HYPERLINK("https://pbs.twimg.com/profile_images/1559883556846977024/bXHnQFY0_normal.jpg")</f>
        <v>https://pbs.twimg.com/profile_images/1559883556846977024/bXHnQFY0_normal.jpg</v>
      </c>
      <c r="AW1862" s="80" t="s">
        <v>17729</v>
      </c>
      <c r="AX1862" s="80" t="s">
        <v>17729</v>
      </c>
      <c r="AY1862" s="77"/>
      <c r="AZ1862" s="80" t="s">
        <v>20380</v>
      </c>
      <c r="BA1862" s="80" t="s">
        <v>20380</v>
      </c>
      <c r="BB1862" s="80" t="s">
        <v>20380</v>
      </c>
      <c r="BC1862" s="80" t="s">
        <v>17729</v>
      </c>
      <c r="BD1862" s="77">
        <v>51150679</v>
      </c>
      <c r="BE1862" s="77"/>
      <c r="BF1862" s="77"/>
      <c r="BG1862" s="77"/>
      <c r="BH1862" s="77"/>
      <c r="BI1862" s="77"/>
    </row>
    <row r="1863" spans="1:61" x14ac:dyDescent="0.25">
      <c r="A1863" s="62" t="s">
        <v>790</v>
      </c>
      <c r="B1863" s="62" t="s">
        <v>790</v>
      </c>
      <c r="C1863" s="63"/>
      <c r="D1863" s="64"/>
      <c r="E1863" s="65"/>
      <c r="F1863" s="66"/>
      <c r="G1863" s="63"/>
      <c r="H1863" s="67"/>
      <c r="I1863" s="68"/>
      <c r="J1863" s="68"/>
      <c r="K1863" s="32"/>
      <c r="L1863" s="75">
        <v>1863</v>
      </c>
      <c r="M1863" s="75"/>
      <c r="N1863" s="70"/>
      <c r="O1863" s="77" t="s">
        <v>179</v>
      </c>
      <c r="P1863" s="79">
        <v>45063.721909722219</v>
      </c>
      <c r="Q1863" s="77" t="s">
        <v>3759</v>
      </c>
      <c r="R1863" s="77">
        <v>0</v>
      </c>
      <c r="S1863" s="77">
        <v>4</v>
      </c>
      <c r="T1863" s="77">
        <v>1</v>
      </c>
      <c r="U1863" s="77">
        <v>0</v>
      </c>
      <c r="V1863" s="77">
        <v>1193</v>
      </c>
      <c r="W1863" s="80" t="s">
        <v>7079</v>
      </c>
      <c r="X1863" s="83" t="str">
        <f>HYPERLINK("https://www.moneytimes.com.br/tesouro-direto-hoje-petrobras-petr4-puxa-tapete-dos-titulos-no-curto-prazo-selic-cai-em-2023/")</f>
        <v>https://www.moneytimes.com.br/tesouro-direto-hoje-petrobras-petr4-puxa-tapete-dos-titulos-no-curto-prazo-selic-cai-em-2023/</v>
      </c>
      <c r="Y1863" s="77" t="s">
        <v>8611</v>
      </c>
      <c r="Z1863" s="77"/>
      <c r="AA1863" s="77"/>
      <c r="AB1863" s="77"/>
      <c r="AC1863" s="80" t="s">
        <v>10558</v>
      </c>
      <c r="AD1863" s="77" t="s">
        <v>10617</v>
      </c>
      <c r="AE1863" s="83" t="str">
        <f>HYPERLINK("https://twitter.com/leiamoneytimes/status/1658884976824156173")</f>
        <v>https://twitter.com/leiamoneytimes/status/1658884976824156173</v>
      </c>
      <c r="AF1863" s="79">
        <v>45063.721909722219</v>
      </c>
      <c r="AG1863" s="85">
        <v>45063</v>
      </c>
      <c r="AH1863" s="80" t="s">
        <v>12288</v>
      </c>
      <c r="AI1863" s="77" t="b">
        <v>0</v>
      </c>
      <c r="AJ1863" s="77"/>
      <c r="AK1863" s="77"/>
      <c r="AL1863" s="77"/>
      <c r="AM1863" s="77"/>
      <c r="AN1863" s="77"/>
      <c r="AO1863" s="77"/>
      <c r="AP1863" s="77"/>
      <c r="AQ1863" s="77"/>
      <c r="AR1863" s="77"/>
      <c r="AS1863" s="77"/>
      <c r="AT1863" s="77"/>
      <c r="AU1863" s="77"/>
      <c r="AV1863" s="83" t="str">
        <f>HYPERLINK("https://pbs.twimg.com/profile_images/1559883556846977024/bXHnQFY0_normal.jpg")</f>
        <v>https://pbs.twimg.com/profile_images/1559883556846977024/bXHnQFY0_normal.jpg</v>
      </c>
      <c r="AW1863" s="80" t="s">
        <v>17730</v>
      </c>
      <c r="AX1863" s="80" t="s">
        <v>17730</v>
      </c>
      <c r="AY1863" s="77"/>
      <c r="AZ1863" s="80" t="s">
        <v>20380</v>
      </c>
      <c r="BA1863" s="80" t="s">
        <v>20380</v>
      </c>
      <c r="BB1863" s="80" t="s">
        <v>20380</v>
      </c>
      <c r="BC1863" s="80" t="s">
        <v>17730</v>
      </c>
      <c r="BD1863" s="77">
        <v>51150679</v>
      </c>
      <c r="BE1863" s="77"/>
      <c r="BF1863" s="77"/>
      <c r="BG1863" s="77"/>
      <c r="BH1863" s="77"/>
      <c r="BI1863" s="77"/>
    </row>
    <row r="1864" spans="1:61" x14ac:dyDescent="0.25">
      <c r="A1864" s="62" t="s">
        <v>790</v>
      </c>
      <c r="B1864" s="62" t="s">
        <v>790</v>
      </c>
      <c r="C1864" s="63"/>
      <c r="D1864" s="64"/>
      <c r="E1864" s="65"/>
      <c r="F1864" s="66"/>
      <c r="G1864" s="63"/>
      <c r="H1864" s="67"/>
      <c r="I1864" s="68"/>
      <c r="J1864" s="68"/>
      <c r="K1864" s="32"/>
      <c r="L1864" s="75">
        <v>1864</v>
      </c>
      <c r="M1864" s="75"/>
      <c r="N1864" s="70"/>
      <c r="O1864" s="77" t="s">
        <v>179</v>
      </c>
      <c r="P1864" s="79">
        <v>45063.636944444443</v>
      </c>
      <c r="Q1864" s="77" t="s">
        <v>3760</v>
      </c>
      <c r="R1864" s="77">
        <v>0</v>
      </c>
      <c r="S1864" s="77">
        <v>4</v>
      </c>
      <c r="T1864" s="77">
        <v>0</v>
      </c>
      <c r="U1864" s="77">
        <v>0</v>
      </c>
      <c r="V1864" s="77">
        <v>1254</v>
      </c>
      <c r="W1864" s="80" t="s">
        <v>6999</v>
      </c>
      <c r="X1864" s="83" t="str">
        <f>HYPERLINK("https://www.moneytimes.com.br/apos-indicados-diretores-do-bc-prestam-contas-ao-banco-e-ao-cmn-nao-ao-presidente-diz-haddad/")</f>
        <v>https://www.moneytimes.com.br/apos-indicados-diretores-do-bc-prestam-contas-ao-banco-e-ao-cmn-nao-ao-presidente-diz-haddad/</v>
      </c>
      <c r="Y1864" s="77" t="s">
        <v>8611</v>
      </c>
      <c r="Z1864" s="77"/>
      <c r="AA1864" s="77"/>
      <c r="AB1864" s="77"/>
      <c r="AC1864" s="80" t="s">
        <v>10558</v>
      </c>
      <c r="AD1864" s="77" t="s">
        <v>10617</v>
      </c>
      <c r="AE1864" s="83" t="str">
        <f>HYPERLINK("https://twitter.com/leiamoneytimes/status/1658854185285083136")</f>
        <v>https://twitter.com/leiamoneytimes/status/1658854185285083136</v>
      </c>
      <c r="AF1864" s="79">
        <v>45063.636944444443</v>
      </c>
      <c r="AG1864" s="85">
        <v>45063</v>
      </c>
      <c r="AH1864" s="80" t="s">
        <v>12289</v>
      </c>
      <c r="AI1864" s="77" t="b">
        <v>0</v>
      </c>
      <c r="AJ1864" s="77"/>
      <c r="AK1864" s="77"/>
      <c r="AL1864" s="77"/>
      <c r="AM1864" s="77"/>
      <c r="AN1864" s="77"/>
      <c r="AO1864" s="77"/>
      <c r="AP1864" s="77"/>
      <c r="AQ1864" s="77"/>
      <c r="AR1864" s="77"/>
      <c r="AS1864" s="77"/>
      <c r="AT1864" s="77"/>
      <c r="AU1864" s="77"/>
      <c r="AV1864" s="83" t="str">
        <f>HYPERLINK("https://pbs.twimg.com/profile_images/1559883556846977024/bXHnQFY0_normal.jpg")</f>
        <v>https://pbs.twimg.com/profile_images/1559883556846977024/bXHnQFY0_normal.jpg</v>
      </c>
      <c r="AW1864" s="80" t="s">
        <v>17731</v>
      </c>
      <c r="AX1864" s="80" t="s">
        <v>17731</v>
      </c>
      <c r="AY1864" s="77"/>
      <c r="AZ1864" s="80" t="s">
        <v>20380</v>
      </c>
      <c r="BA1864" s="80" t="s">
        <v>20380</v>
      </c>
      <c r="BB1864" s="80" t="s">
        <v>20380</v>
      </c>
      <c r="BC1864" s="80" t="s">
        <v>17731</v>
      </c>
      <c r="BD1864" s="77">
        <v>51150679</v>
      </c>
      <c r="BE1864" s="77"/>
      <c r="BF1864" s="77"/>
      <c r="BG1864" s="77"/>
      <c r="BH1864" s="77"/>
      <c r="BI1864" s="77"/>
    </row>
    <row r="1865" spans="1:61" x14ac:dyDescent="0.25">
      <c r="A1865" s="62" t="s">
        <v>790</v>
      </c>
      <c r="B1865" s="62" t="s">
        <v>790</v>
      </c>
      <c r="C1865" s="63"/>
      <c r="D1865" s="64"/>
      <c r="E1865" s="65"/>
      <c r="F1865" s="66"/>
      <c r="G1865" s="63"/>
      <c r="H1865" s="67"/>
      <c r="I1865" s="68"/>
      <c r="J1865" s="68"/>
      <c r="K1865" s="32"/>
      <c r="L1865" s="75">
        <v>1865</v>
      </c>
      <c r="M1865" s="75"/>
      <c r="N1865" s="70"/>
      <c r="O1865" s="77" t="s">
        <v>179</v>
      </c>
      <c r="P1865" s="79">
        <v>45063.619583333333</v>
      </c>
      <c r="Q1865" s="77" t="s">
        <v>3761</v>
      </c>
      <c r="R1865" s="77">
        <v>0</v>
      </c>
      <c r="S1865" s="77">
        <v>4</v>
      </c>
      <c r="T1865" s="77">
        <v>0</v>
      </c>
      <c r="U1865" s="77">
        <v>0</v>
      </c>
      <c r="V1865" s="77">
        <v>1168</v>
      </c>
      <c r="W1865" s="80" t="s">
        <v>6940</v>
      </c>
      <c r="X1865" s="83" t="str">
        <f>HYPERLINK("https://www.moneytimes.com.br/sinalizacao-de-responsabilidade-fiscal-do-governo-possibilitara-corte-de-juros-no-2-semestre-diz-tebet/")</f>
        <v>https://www.moneytimes.com.br/sinalizacao-de-responsabilidade-fiscal-do-governo-possibilitara-corte-de-juros-no-2-semestre-diz-tebet/</v>
      </c>
      <c r="Y1865" s="77" t="s">
        <v>8611</v>
      </c>
      <c r="Z1865" s="77"/>
      <c r="AA1865" s="77"/>
      <c r="AB1865" s="77"/>
      <c r="AC1865" s="80" t="s">
        <v>10558</v>
      </c>
      <c r="AD1865" s="77" t="s">
        <v>10617</v>
      </c>
      <c r="AE1865" s="83" t="str">
        <f>HYPERLINK("https://twitter.com/leiamoneytimes/status/1658847893795504131")</f>
        <v>https://twitter.com/leiamoneytimes/status/1658847893795504131</v>
      </c>
      <c r="AF1865" s="79">
        <v>45063.619583333333</v>
      </c>
      <c r="AG1865" s="85">
        <v>45063</v>
      </c>
      <c r="AH1865" s="80" t="s">
        <v>12290</v>
      </c>
      <c r="AI1865" s="77" t="b">
        <v>0</v>
      </c>
      <c r="AJ1865" s="77"/>
      <c r="AK1865" s="77"/>
      <c r="AL1865" s="77"/>
      <c r="AM1865" s="77"/>
      <c r="AN1865" s="77"/>
      <c r="AO1865" s="77"/>
      <c r="AP1865" s="77"/>
      <c r="AQ1865" s="77"/>
      <c r="AR1865" s="77"/>
      <c r="AS1865" s="77"/>
      <c r="AT1865" s="77"/>
      <c r="AU1865" s="77"/>
      <c r="AV1865" s="83" t="str">
        <f>HYPERLINK("https://pbs.twimg.com/profile_images/1559883556846977024/bXHnQFY0_normal.jpg")</f>
        <v>https://pbs.twimg.com/profile_images/1559883556846977024/bXHnQFY0_normal.jpg</v>
      </c>
      <c r="AW1865" s="80" t="s">
        <v>17732</v>
      </c>
      <c r="AX1865" s="80" t="s">
        <v>17732</v>
      </c>
      <c r="AY1865" s="77"/>
      <c r="AZ1865" s="80" t="s">
        <v>20380</v>
      </c>
      <c r="BA1865" s="80" t="s">
        <v>20380</v>
      </c>
      <c r="BB1865" s="80" t="s">
        <v>20380</v>
      </c>
      <c r="BC1865" s="80" t="s">
        <v>17732</v>
      </c>
      <c r="BD1865" s="77">
        <v>51150679</v>
      </c>
      <c r="BE1865" s="77"/>
      <c r="BF1865" s="77"/>
      <c r="BG1865" s="77"/>
      <c r="BH1865" s="77"/>
      <c r="BI1865" s="77"/>
    </row>
    <row r="1866" spans="1:61" x14ac:dyDescent="0.25">
      <c r="A1866" s="62" t="s">
        <v>790</v>
      </c>
      <c r="B1866" s="62" t="s">
        <v>790</v>
      </c>
      <c r="C1866" s="63"/>
      <c r="D1866" s="64"/>
      <c r="E1866" s="65"/>
      <c r="F1866" s="66"/>
      <c r="G1866" s="63"/>
      <c r="H1866" s="67"/>
      <c r="I1866" s="68"/>
      <c r="J1866" s="68"/>
      <c r="K1866" s="32"/>
      <c r="L1866" s="75">
        <v>1866</v>
      </c>
      <c r="M1866" s="75"/>
      <c r="N1866" s="70"/>
      <c r="O1866" s="77" t="s">
        <v>179</v>
      </c>
      <c r="P1866" s="79">
        <v>45063.594398148147</v>
      </c>
      <c r="Q1866" s="77" t="s">
        <v>3762</v>
      </c>
      <c r="R1866" s="77">
        <v>1</v>
      </c>
      <c r="S1866" s="77">
        <v>14</v>
      </c>
      <c r="T1866" s="77">
        <v>0</v>
      </c>
      <c r="U1866" s="77">
        <v>0</v>
      </c>
      <c r="V1866" s="77">
        <v>1841</v>
      </c>
      <c r="W1866" s="80" t="s">
        <v>7080</v>
      </c>
      <c r="X1866" s="83" t="str">
        <f>HYPERLINK("https://www.moneytimes.com.br/abordagem-proativa-do-bc-foi-oportuna-mas-desinflacao-agora-tende-a-ser-lenta-diz-campos-neto/")</f>
        <v>https://www.moneytimes.com.br/abordagem-proativa-do-bc-foi-oportuna-mas-desinflacao-agora-tende-a-ser-lenta-diz-campos-neto/</v>
      </c>
      <c r="Y1866" s="77" t="s">
        <v>8611</v>
      </c>
      <c r="Z1866" s="77"/>
      <c r="AA1866" s="77"/>
      <c r="AB1866" s="77"/>
      <c r="AC1866" s="80" t="s">
        <v>10558</v>
      </c>
      <c r="AD1866" s="77" t="s">
        <v>10617</v>
      </c>
      <c r="AE1866" s="83" t="str">
        <f>HYPERLINK("https://twitter.com/leiamoneytimes/status/1658838766297964549")</f>
        <v>https://twitter.com/leiamoneytimes/status/1658838766297964549</v>
      </c>
      <c r="AF1866" s="79">
        <v>45063.594398148147</v>
      </c>
      <c r="AG1866" s="85">
        <v>45063</v>
      </c>
      <c r="AH1866" s="80" t="s">
        <v>12291</v>
      </c>
      <c r="AI1866" s="77" t="b">
        <v>0</v>
      </c>
      <c r="AJ1866" s="77"/>
      <c r="AK1866" s="77"/>
      <c r="AL1866" s="77"/>
      <c r="AM1866" s="77"/>
      <c r="AN1866" s="77"/>
      <c r="AO1866" s="77"/>
      <c r="AP1866" s="77"/>
      <c r="AQ1866" s="77"/>
      <c r="AR1866" s="77"/>
      <c r="AS1866" s="77"/>
      <c r="AT1866" s="77"/>
      <c r="AU1866" s="77"/>
      <c r="AV1866" s="83" t="str">
        <f>HYPERLINK("https://pbs.twimg.com/profile_images/1559883556846977024/bXHnQFY0_normal.jpg")</f>
        <v>https://pbs.twimg.com/profile_images/1559883556846977024/bXHnQFY0_normal.jpg</v>
      </c>
      <c r="AW1866" s="80" t="s">
        <v>17733</v>
      </c>
      <c r="AX1866" s="80" t="s">
        <v>17733</v>
      </c>
      <c r="AY1866" s="77"/>
      <c r="AZ1866" s="80" t="s">
        <v>20380</v>
      </c>
      <c r="BA1866" s="80" t="s">
        <v>20380</v>
      </c>
      <c r="BB1866" s="80" t="s">
        <v>20380</v>
      </c>
      <c r="BC1866" s="80" t="s">
        <v>17733</v>
      </c>
      <c r="BD1866" s="77">
        <v>51150679</v>
      </c>
      <c r="BE1866" s="77"/>
      <c r="BF1866" s="77"/>
      <c r="BG1866" s="77"/>
      <c r="BH1866" s="77"/>
      <c r="BI1866" s="77"/>
    </row>
    <row r="1867" spans="1:61" x14ac:dyDescent="0.25">
      <c r="A1867" s="62" t="s">
        <v>790</v>
      </c>
      <c r="B1867" s="62" t="s">
        <v>790</v>
      </c>
      <c r="C1867" s="63"/>
      <c r="D1867" s="64"/>
      <c r="E1867" s="65"/>
      <c r="F1867" s="66"/>
      <c r="G1867" s="63"/>
      <c r="H1867" s="67"/>
      <c r="I1867" s="68"/>
      <c r="J1867" s="68"/>
      <c r="K1867" s="32"/>
      <c r="L1867" s="75">
        <v>1867</v>
      </c>
      <c r="M1867" s="75"/>
      <c r="N1867" s="70"/>
      <c r="O1867" s="77" t="s">
        <v>179</v>
      </c>
      <c r="P1867" s="79">
        <v>45063.514247685183</v>
      </c>
      <c r="Q1867" s="77" t="s">
        <v>3763</v>
      </c>
      <c r="R1867" s="77">
        <v>0</v>
      </c>
      <c r="S1867" s="77">
        <v>2</v>
      </c>
      <c r="T1867" s="77">
        <v>1</v>
      </c>
      <c r="U1867" s="77">
        <v>0</v>
      </c>
      <c r="V1867" s="77">
        <v>1185</v>
      </c>
      <c r="W1867" s="80" t="s">
        <v>7081</v>
      </c>
      <c r="X1867" s="83" t="str">
        <f>HYPERLINK("https://www.moneytimes.com.br/dolar-sobe-frente-ao-real-com-impasse-da-divida-dos-eua-e-arcabouco-fiscal-em-foco/")</f>
        <v>https://www.moneytimes.com.br/dolar-sobe-frente-ao-real-com-impasse-da-divida-dos-eua-e-arcabouco-fiscal-em-foco/</v>
      </c>
      <c r="Y1867" s="77" t="s">
        <v>8611</v>
      </c>
      <c r="Z1867" s="77"/>
      <c r="AA1867" s="77"/>
      <c r="AB1867" s="77"/>
      <c r="AC1867" s="80" t="s">
        <v>10558</v>
      </c>
      <c r="AD1867" s="77" t="s">
        <v>10617</v>
      </c>
      <c r="AE1867" s="83" t="str">
        <f>HYPERLINK("https://twitter.com/leiamoneytimes/status/1658809720818335747")</f>
        <v>https://twitter.com/leiamoneytimes/status/1658809720818335747</v>
      </c>
      <c r="AF1867" s="79">
        <v>45063.514247685183</v>
      </c>
      <c r="AG1867" s="85">
        <v>45063</v>
      </c>
      <c r="AH1867" s="80" t="s">
        <v>12292</v>
      </c>
      <c r="AI1867" s="77" t="b">
        <v>0</v>
      </c>
      <c r="AJ1867" s="77"/>
      <c r="AK1867" s="77"/>
      <c r="AL1867" s="77"/>
      <c r="AM1867" s="77"/>
      <c r="AN1867" s="77"/>
      <c r="AO1867" s="77"/>
      <c r="AP1867" s="77"/>
      <c r="AQ1867" s="77"/>
      <c r="AR1867" s="77"/>
      <c r="AS1867" s="77"/>
      <c r="AT1867" s="77"/>
      <c r="AU1867" s="77"/>
      <c r="AV1867" s="83" t="str">
        <f>HYPERLINK("https://pbs.twimg.com/profile_images/1559883556846977024/bXHnQFY0_normal.jpg")</f>
        <v>https://pbs.twimg.com/profile_images/1559883556846977024/bXHnQFY0_normal.jpg</v>
      </c>
      <c r="AW1867" s="80" t="s">
        <v>17734</v>
      </c>
      <c r="AX1867" s="80" t="s">
        <v>17734</v>
      </c>
      <c r="AY1867" s="77"/>
      <c r="AZ1867" s="80" t="s">
        <v>20380</v>
      </c>
      <c r="BA1867" s="80" t="s">
        <v>20380</v>
      </c>
      <c r="BB1867" s="80" t="s">
        <v>20380</v>
      </c>
      <c r="BC1867" s="80" t="s">
        <v>17734</v>
      </c>
      <c r="BD1867" s="77">
        <v>51150679</v>
      </c>
      <c r="BE1867" s="77"/>
      <c r="BF1867" s="77"/>
      <c r="BG1867" s="77"/>
      <c r="BH1867" s="77"/>
      <c r="BI1867" s="77"/>
    </row>
    <row r="1868" spans="1:61" x14ac:dyDescent="0.25">
      <c r="A1868" s="62" t="s">
        <v>790</v>
      </c>
      <c r="B1868" s="62" t="s">
        <v>790</v>
      </c>
      <c r="C1868" s="63"/>
      <c r="D1868" s="64"/>
      <c r="E1868" s="65"/>
      <c r="F1868" s="66"/>
      <c r="G1868" s="63"/>
      <c r="H1868" s="67"/>
      <c r="I1868" s="68"/>
      <c r="J1868" s="68"/>
      <c r="K1868" s="32"/>
      <c r="L1868" s="75">
        <v>1868</v>
      </c>
      <c r="M1868" s="75"/>
      <c r="N1868" s="70"/>
      <c r="O1868" s="77" t="s">
        <v>179</v>
      </c>
      <c r="P1868" s="79">
        <v>45062.888148148151</v>
      </c>
      <c r="Q1868" s="77" t="s">
        <v>3764</v>
      </c>
      <c r="R1868" s="77">
        <v>0</v>
      </c>
      <c r="S1868" s="77">
        <v>6</v>
      </c>
      <c r="T1868" s="77">
        <v>0</v>
      </c>
      <c r="U1868" s="77">
        <v>0</v>
      </c>
      <c r="V1868" s="77">
        <v>1408</v>
      </c>
      <c r="W1868" s="80" t="s">
        <v>6967</v>
      </c>
      <c r="X1868" s="83" t="str">
        <f>HYPERLINK("https://www.moneytimes.com.br/governo-encaminha-ao-senado-indicacoes-para-diretoria-do-bc-comissao-sinaliza-sabatinas-celeres/")</f>
        <v>https://www.moneytimes.com.br/governo-encaminha-ao-senado-indicacoes-para-diretoria-do-bc-comissao-sinaliza-sabatinas-celeres/</v>
      </c>
      <c r="Y1868" s="77" t="s">
        <v>8611</v>
      </c>
      <c r="Z1868" s="77"/>
      <c r="AA1868" s="77"/>
      <c r="AB1868" s="77"/>
      <c r="AC1868" s="80" t="s">
        <v>10558</v>
      </c>
      <c r="AD1868" s="77" t="s">
        <v>10617</v>
      </c>
      <c r="AE1868" s="83" t="str">
        <f>HYPERLINK("https://twitter.com/leiamoneytimes/status/1658582831319113730")</f>
        <v>https://twitter.com/leiamoneytimes/status/1658582831319113730</v>
      </c>
      <c r="AF1868" s="79">
        <v>45062.888148148151</v>
      </c>
      <c r="AG1868" s="85">
        <v>45062</v>
      </c>
      <c r="AH1868" s="80" t="s">
        <v>12293</v>
      </c>
      <c r="AI1868" s="77" t="b">
        <v>0</v>
      </c>
      <c r="AJ1868" s="77"/>
      <c r="AK1868" s="77"/>
      <c r="AL1868" s="77"/>
      <c r="AM1868" s="77"/>
      <c r="AN1868" s="77"/>
      <c r="AO1868" s="77"/>
      <c r="AP1868" s="77"/>
      <c r="AQ1868" s="77"/>
      <c r="AR1868" s="77"/>
      <c r="AS1868" s="77"/>
      <c r="AT1868" s="77"/>
      <c r="AU1868" s="77"/>
      <c r="AV1868" s="83" t="str">
        <f>HYPERLINK("https://pbs.twimg.com/profile_images/1559883556846977024/bXHnQFY0_normal.jpg")</f>
        <v>https://pbs.twimg.com/profile_images/1559883556846977024/bXHnQFY0_normal.jpg</v>
      </c>
      <c r="AW1868" s="80" t="s">
        <v>17735</v>
      </c>
      <c r="AX1868" s="80" t="s">
        <v>17735</v>
      </c>
      <c r="AY1868" s="77"/>
      <c r="AZ1868" s="80" t="s">
        <v>20380</v>
      </c>
      <c r="BA1868" s="80" t="s">
        <v>20380</v>
      </c>
      <c r="BB1868" s="80" t="s">
        <v>20380</v>
      </c>
      <c r="BC1868" s="80" t="s">
        <v>17735</v>
      </c>
      <c r="BD1868" s="77">
        <v>51150679</v>
      </c>
      <c r="BE1868" s="77"/>
      <c r="BF1868" s="77"/>
      <c r="BG1868" s="77"/>
      <c r="BH1868" s="77"/>
      <c r="BI1868" s="77"/>
    </row>
    <row r="1869" spans="1:61" x14ac:dyDescent="0.25">
      <c r="A1869" s="62" t="s">
        <v>790</v>
      </c>
      <c r="B1869" s="62" t="s">
        <v>790</v>
      </c>
      <c r="C1869" s="63"/>
      <c r="D1869" s="64"/>
      <c r="E1869" s="65"/>
      <c r="F1869" s="66"/>
      <c r="G1869" s="63"/>
      <c r="H1869" s="67"/>
      <c r="I1869" s="68"/>
      <c r="J1869" s="68"/>
      <c r="K1869" s="32"/>
      <c r="L1869" s="75">
        <v>1869</v>
      </c>
      <c r="M1869" s="75"/>
      <c r="N1869" s="70"/>
      <c r="O1869" s="77" t="s">
        <v>179</v>
      </c>
      <c r="P1869" s="79">
        <v>45062.884722222225</v>
      </c>
      <c r="Q1869" s="77" t="s">
        <v>3765</v>
      </c>
      <c r="R1869" s="77">
        <v>2</v>
      </c>
      <c r="S1869" s="77">
        <v>10</v>
      </c>
      <c r="T1869" s="77">
        <v>0</v>
      </c>
      <c r="U1869" s="77">
        <v>0</v>
      </c>
      <c r="V1869" s="77">
        <v>2375</v>
      </c>
      <c r="W1869" s="80" t="s">
        <v>7082</v>
      </c>
      <c r="X1869" s="83" t="str">
        <f>HYPERLINK("https://www.moneytimes.com.br/argentina-o-que-acontece-com-a-bolsa-de-um-pais-com-juros-beirando-100/")</f>
        <v>https://www.moneytimes.com.br/argentina-o-que-acontece-com-a-bolsa-de-um-pais-com-juros-beirando-100/</v>
      </c>
      <c r="Y1869" s="77" t="s">
        <v>8611</v>
      </c>
      <c r="Z1869" s="77"/>
      <c r="AA1869" s="77"/>
      <c r="AB1869" s="77"/>
      <c r="AC1869" s="80" t="s">
        <v>10558</v>
      </c>
      <c r="AD1869" s="77" t="s">
        <v>10617</v>
      </c>
      <c r="AE1869" s="83" t="str">
        <f>HYPERLINK("https://twitter.com/leiamoneytimes/status/1658581589566136325")</f>
        <v>https://twitter.com/leiamoneytimes/status/1658581589566136325</v>
      </c>
      <c r="AF1869" s="79">
        <v>45062.884722222225</v>
      </c>
      <c r="AG1869" s="85">
        <v>45062</v>
      </c>
      <c r="AH1869" s="80" t="s">
        <v>12294</v>
      </c>
      <c r="AI1869" s="77" t="b">
        <v>0</v>
      </c>
      <c r="AJ1869" s="77"/>
      <c r="AK1869" s="77"/>
      <c r="AL1869" s="77"/>
      <c r="AM1869" s="77"/>
      <c r="AN1869" s="77"/>
      <c r="AO1869" s="77"/>
      <c r="AP1869" s="77"/>
      <c r="AQ1869" s="77"/>
      <c r="AR1869" s="77"/>
      <c r="AS1869" s="77"/>
      <c r="AT1869" s="77"/>
      <c r="AU1869" s="77"/>
      <c r="AV1869" s="83" t="str">
        <f>HYPERLINK("https://pbs.twimg.com/profile_images/1559883556846977024/bXHnQFY0_normal.jpg")</f>
        <v>https://pbs.twimg.com/profile_images/1559883556846977024/bXHnQFY0_normal.jpg</v>
      </c>
      <c r="AW1869" s="80" t="s">
        <v>17736</v>
      </c>
      <c r="AX1869" s="80" t="s">
        <v>17736</v>
      </c>
      <c r="AY1869" s="77"/>
      <c r="AZ1869" s="80" t="s">
        <v>20380</v>
      </c>
      <c r="BA1869" s="80" t="s">
        <v>20380</v>
      </c>
      <c r="BB1869" s="80" t="s">
        <v>20380</v>
      </c>
      <c r="BC1869" s="80" t="s">
        <v>17736</v>
      </c>
      <c r="BD1869" s="77">
        <v>51150679</v>
      </c>
      <c r="BE1869" s="77"/>
      <c r="BF1869" s="77"/>
      <c r="BG1869" s="77"/>
      <c r="BH1869" s="77"/>
      <c r="BI1869" s="77"/>
    </row>
    <row r="1870" spans="1:61" x14ac:dyDescent="0.25">
      <c r="A1870" s="62" t="s">
        <v>790</v>
      </c>
      <c r="B1870" s="62" t="s">
        <v>790</v>
      </c>
      <c r="C1870" s="63"/>
      <c r="D1870" s="64"/>
      <c r="E1870" s="65"/>
      <c r="F1870" s="66"/>
      <c r="G1870" s="63"/>
      <c r="H1870" s="67"/>
      <c r="I1870" s="68"/>
      <c r="J1870" s="68"/>
      <c r="K1870" s="32"/>
      <c r="L1870" s="75">
        <v>1870</v>
      </c>
      <c r="M1870" s="75"/>
      <c r="N1870" s="70"/>
      <c r="O1870" s="77" t="s">
        <v>179</v>
      </c>
      <c r="P1870" s="79">
        <v>45062.801678240743</v>
      </c>
      <c r="Q1870" s="77" t="s">
        <v>3766</v>
      </c>
      <c r="R1870" s="77">
        <v>2</v>
      </c>
      <c r="S1870" s="77">
        <v>3</v>
      </c>
      <c r="T1870" s="77">
        <v>0</v>
      </c>
      <c r="U1870" s="77">
        <v>0</v>
      </c>
      <c r="V1870" s="77">
        <v>1292</v>
      </c>
      <c r="W1870" s="80" t="s">
        <v>7083</v>
      </c>
      <c r="X1870" s="83" t="str">
        <f>HYPERLINK("https://www.moneytimes.com.br/golpes-do-pix-crescem-no-pais-saiba-como-se-proteger-com-10-dicas/")</f>
        <v>https://www.moneytimes.com.br/golpes-do-pix-crescem-no-pais-saiba-como-se-proteger-com-10-dicas/</v>
      </c>
      <c r="Y1870" s="77" t="s">
        <v>8611</v>
      </c>
      <c r="Z1870" s="77"/>
      <c r="AA1870" s="77"/>
      <c r="AB1870" s="77"/>
      <c r="AC1870" s="80" t="s">
        <v>10558</v>
      </c>
      <c r="AD1870" s="77" t="s">
        <v>10617</v>
      </c>
      <c r="AE1870" s="83" t="str">
        <f>HYPERLINK("https://twitter.com/leiamoneytimes/status/1658551495917293572")</f>
        <v>https://twitter.com/leiamoneytimes/status/1658551495917293572</v>
      </c>
      <c r="AF1870" s="79">
        <v>45062.801678240743</v>
      </c>
      <c r="AG1870" s="85">
        <v>45062</v>
      </c>
      <c r="AH1870" s="80" t="s">
        <v>12295</v>
      </c>
      <c r="AI1870" s="77" t="b">
        <v>0</v>
      </c>
      <c r="AJ1870" s="77"/>
      <c r="AK1870" s="77"/>
      <c r="AL1870" s="77"/>
      <c r="AM1870" s="77"/>
      <c r="AN1870" s="77"/>
      <c r="AO1870" s="77"/>
      <c r="AP1870" s="77"/>
      <c r="AQ1870" s="77"/>
      <c r="AR1870" s="77"/>
      <c r="AS1870" s="77"/>
      <c r="AT1870" s="77"/>
      <c r="AU1870" s="77"/>
      <c r="AV1870" s="83" t="str">
        <f>HYPERLINK("https://pbs.twimg.com/profile_images/1559883556846977024/bXHnQFY0_normal.jpg")</f>
        <v>https://pbs.twimg.com/profile_images/1559883556846977024/bXHnQFY0_normal.jpg</v>
      </c>
      <c r="AW1870" s="80" t="s">
        <v>17737</v>
      </c>
      <c r="AX1870" s="80" t="s">
        <v>17737</v>
      </c>
      <c r="AY1870" s="77"/>
      <c r="AZ1870" s="80" t="s">
        <v>20380</v>
      </c>
      <c r="BA1870" s="80" t="s">
        <v>20380</v>
      </c>
      <c r="BB1870" s="80" t="s">
        <v>20380</v>
      </c>
      <c r="BC1870" s="80" t="s">
        <v>17737</v>
      </c>
      <c r="BD1870" s="77">
        <v>51150679</v>
      </c>
      <c r="BE1870" s="77"/>
      <c r="BF1870" s="77"/>
      <c r="BG1870" s="77"/>
      <c r="BH1870" s="77"/>
      <c r="BI1870" s="77"/>
    </row>
    <row r="1871" spans="1:61" x14ac:dyDescent="0.25">
      <c r="A1871" s="62" t="s">
        <v>790</v>
      </c>
      <c r="B1871" s="62" t="s">
        <v>790</v>
      </c>
      <c r="C1871" s="63"/>
      <c r="D1871" s="64"/>
      <c r="E1871" s="65"/>
      <c r="F1871" s="66"/>
      <c r="G1871" s="63"/>
      <c r="H1871" s="67"/>
      <c r="I1871" s="68"/>
      <c r="J1871" s="68"/>
      <c r="K1871" s="32"/>
      <c r="L1871" s="75">
        <v>1871</v>
      </c>
      <c r="M1871" s="75"/>
      <c r="N1871" s="70"/>
      <c r="O1871" s="77" t="s">
        <v>179</v>
      </c>
      <c r="P1871" s="79">
        <v>45062.798159722224</v>
      </c>
      <c r="Q1871" s="77" t="s">
        <v>3767</v>
      </c>
      <c r="R1871" s="77">
        <v>0</v>
      </c>
      <c r="S1871" s="77">
        <v>3</v>
      </c>
      <c r="T1871" s="77">
        <v>0</v>
      </c>
      <c r="U1871" s="77">
        <v>0</v>
      </c>
      <c r="V1871" s="77">
        <v>1081</v>
      </c>
      <c r="W1871" s="80" t="s">
        <v>7043</v>
      </c>
      <c r="X1871" s="83" t="str">
        <f>HYPERLINK("https://www.moneytimes.com.br/banco-central-novos-precos-da-petrobras-petr4-podem-acelerar-queda-da-selic-entenda/")</f>
        <v>https://www.moneytimes.com.br/banco-central-novos-precos-da-petrobras-petr4-podem-acelerar-queda-da-selic-entenda/</v>
      </c>
      <c r="Y1871" s="77" t="s">
        <v>8611</v>
      </c>
      <c r="Z1871" s="77"/>
      <c r="AA1871" s="77"/>
      <c r="AB1871" s="77"/>
      <c r="AC1871" s="80" t="s">
        <v>10558</v>
      </c>
      <c r="AD1871" s="77" t="s">
        <v>10617</v>
      </c>
      <c r="AE1871" s="83" t="str">
        <f>HYPERLINK("https://twitter.com/leiamoneytimes/status/1658550221394128897")</f>
        <v>https://twitter.com/leiamoneytimes/status/1658550221394128897</v>
      </c>
      <c r="AF1871" s="79">
        <v>45062.798159722224</v>
      </c>
      <c r="AG1871" s="85">
        <v>45062</v>
      </c>
      <c r="AH1871" s="80" t="s">
        <v>12296</v>
      </c>
      <c r="AI1871" s="77" t="b">
        <v>0</v>
      </c>
      <c r="AJ1871" s="77"/>
      <c r="AK1871" s="77"/>
      <c r="AL1871" s="77"/>
      <c r="AM1871" s="77"/>
      <c r="AN1871" s="77"/>
      <c r="AO1871" s="77"/>
      <c r="AP1871" s="77"/>
      <c r="AQ1871" s="77"/>
      <c r="AR1871" s="77"/>
      <c r="AS1871" s="77"/>
      <c r="AT1871" s="77"/>
      <c r="AU1871" s="77"/>
      <c r="AV1871" s="83" t="str">
        <f>HYPERLINK("https://pbs.twimg.com/profile_images/1559883556846977024/bXHnQFY0_normal.jpg")</f>
        <v>https://pbs.twimg.com/profile_images/1559883556846977024/bXHnQFY0_normal.jpg</v>
      </c>
      <c r="AW1871" s="80" t="s">
        <v>17738</v>
      </c>
      <c r="AX1871" s="80" t="s">
        <v>17738</v>
      </c>
      <c r="AY1871" s="77"/>
      <c r="AZ1871" s="80" t="s">
        <v>20380</v>
      </c>
      <c r="BA1871" s="80" t="s">
        <v>20380</v>
      </c>
      <c r="BB1871" s="80" t="s">
        <v>20380</v>
      </c>
      <c r="BC1871" s="80" t="s">
        <v>17738</v>
      </c>
      <c r="BD1871" s="77">
        <v>51150679</v>
      </c>
      <c r="BE1871" s="77"/>
      <c r="BF1871" s="77"/>
      <c r="BG1871" s="77"/>
      <c r="BH1871" s="77"/>
      <c r="BI1871" s="77"/>
    </row>
    <row r="1872" spans="1:61" x14ac:dyDescent="0.25">
      <c r="A1872" s="62" t="s">
        <v>790</v>
      </c>
      <c r="B1872" s="62" t="s">
        <v>790</v>
      </c>
      <c r="C1872" s="63"/>
      <c r="D1872" s="64"/>
      <c r="E1872" s="65"/>
      <c r="F1872" s="66"/>
      <c r="G1872" s="63"/>
      <c r="H1872" s="67"/>
      <c r="I1872" s="68"/>
      <c r="J1872" s="68"/>
      <c r="K1872" s="32"/>
      <c r="L1872" s="75">
        <v>1872</v>
      </c>
      <c r="M1872" s="75"/>
      <c r="N1872" s="70"/>
      <c r="O1872" s="77" t="s">
        <v>179</v>
      </c>
      <c r="P1872" s="79">
        <v>45062.552164351851</v>
      </c>
      <c r="Q1872" s="77" t="s">
        <v>3768</v>
      </c>
      <c r="R1872" s="77">
        <v>0</v>
      </c>
      <c r="S1872" s="77">
        <v>13</v>
      </c>
      <c r="T1872" s="77">
        <v>2</v>
      </c>
      <c r="U1872" s="77">
        <v>0</v>
      </c>
      <c r="V1872" s="77">
        <v>1750</v>
      </c>
      <c r="W1872" s="80" t="s">
        <v>7084</v>
      </c>
      <c r="X1872" s="83" t="str">
        <f>HYPERLINK("https://www.moneytimes.com.br/campos-neto-cancela-agenda-da-semana-e-perdera-encontro-com-representante-do-fmi-entenda-por-que/")</f>
        <v>https://www.moneytimes.com.br/campos-neto-cancela-agenda-da-semana-e-perdera-encontro-com-representante-do-fmi-entenda-por-que/</v>
      </c>
      <c r="Y1872" s="77" t="s">
        <v>8611</v>
      </c>
      <c r="Z1872" s="77"/>
      <c r="AA1872" s="77"/>
      <c r="AB1872" s="77"/>
      <c r="AC1872" s="80" t="s">
        <v>10558</v>
      </c>
      <c r="AD1872" s="77" t="s">
        <v>10617</v>
      </c>
      <c r="AE1872" s="83" t="str">
        <f>HYPERLINK("https://twitter.com/leiamoneytimes/status/1658461076361445376")</f>
        <v>https://twitter.com/leiamoneytimes/status/1658461076361445376</v>
      </c>
      <c r="AF1872" s="79">
        <v>45062.552164351851</v>
      </c>
      <c r="AG1872" s="85">
        <v>45062</v>
      </c>
      <c r="AH1872" s="80" t="s">
        <v>12297</v>
      </c>
      <c r="AI1872" s="77" t="b">
        <v>0</v>
      </c>
      <c r="AJ1872" s="77"/>
      <c r="AK1872" s="77"/>
      <c r="AL1872" s="77"/>
      <c r="AM1872" s="77"/>
      <c r="AN1872" s="77"/>
      <c r="AO1872" s="77"/>
      <c r="AP1872" s="77"/>
      <c r="AQ1872" s="77"/>
      <c r="AR1872" s="77"/>
      <c r="AS1872" s="77"/>
      <c r="AT1872" s="77"/>
      <c r="AU1872" s="77"/>
      <c r="AV1872" s="83" t="str">
        <f>HYPERLINK("https://pbs.twimg.com/profile_images/1559883556846977024/bXHnQFY0_normal.jpg")</f>
        <v>https://pbs.twimg.com/profile_images/1559883556846977024/bXHnQFY0_normal.jpg</v>
      </c>
      <c r="AW1872" s="80" t="s">
        <v>17739</v>
      </c>
      <c r="AX1872" s="80" t="s">
        <v>17739</v>
      </c>
      <c r="AY1872" s="77"/>
      <c r="AZ1872" s="80" t="s">
        <v>20380</v>
      </c>
      <c r="BA1872" s="80" t="s">
        <v>20380</v>
      </c>
      <c r="BB1872" s="80" t="s">
        <v>20380</v>
      </c>
      <c r="BC1872" s="80" t="s">
        <v>17739</v>
      </c>
      <c r="BD1872" s="77">
        <v>51150679</v>
      </c>
      <c r="BE1872" s="77"/>
      <c r="BF1872" s="77"/>
      <c r="BG1872" s="77"/>
      <c r="BH1872" s="77"/>
      <c r="BI1872" s="77"/>
    </row>
    <row r="1873" spans="1:61" x14ac:dyDescent="0.25">
      <c r="A1873" s="62" t="s">
        <v>790</v>
      </c>
      <c r="B1873" s="62" t="s">
        <v>790</v>
      </c>
      <c r="C1873" s="63"/>
      <c r="D1873" s="64"/>
      <c r="E1873" s="65"/>
      <c r="F1873" s="66"/>
      <c r="G1873" s="63"/>
      <c r="H1873" s="67"/>
      <c r="I1873" s="68"/>
      <c r="J1873" s="68"/>
      <c r="K1873" s="32"/>
      <c r="L1873" s="75">
        <v>1873</v>
      </c>
      <c r="M1873" s="75"/>
      <c r="N1873" s="70"/>
      <c r="O1873" s="77" t="s">
        <v>179</v>
      </c>
      <c r="P1873" s="79">
        <v>45062.501238425924</v>
      </c>
      <c r="Q1873" s="77" t="s">
        <v>3769</v>
      </c>
      <c r="R1873" s="77">
        <v>0</v>
      </c>
      <c r="S1873" s="77">
        <v>6</v>
      </c>
      <c r="T1873" s="77">
        <v>0</v>
      </c>
      <c r="U1873" s="77">
        <v>0</v>
      </c>
      <c r="V1873" s="77">
        <v>1421</v>
      </c>
      <c r="W1873" s="80" t="s">
        <v>7013</v>
      </c>
      <c r="X1873" s="83" t="str">
        <f>HYPERLINK("https://www.moneytimes.com.br/financiamento-em-yuan-chines-por-que-nao-experimentar/")</f>
        <v>https://www.moneytimes.com.br/financiamento-em-yuan-chines-por-que-nao-experimentar/</v>
      </c>
      <c r="Y1873" s="77" t="s">
        <v>8611</v>
      </c>
      <c r="Z1873" s="77"/>
      <c r="AA1873" s="77"/>
      <c r="AB1873" s="77"/>
      <c r="AC1873" s="80" t="s">
        <v>10558</v>
      </c>
      <c r="AD1873" s="77" t="s">
        <v>10617</v>
      </c>
      <c r="AE1873" s="83" t="str">
        <f>HYPERLINK("https://twitter.com/leiamoneytimes/status/1658442617942597637")</f>
        <v>https://twitter.com/leiamoneytimes/status/1658442617942597637</v>
      </c>
      <c r="AF1873" s="79">
        <v>45062.501238425924</v>
      </c>
      <c r="AG1873" s="85">
        <v>45062</v>
      </c>
      <c r="AH1873" s="80" t="s">
        <v>12298</v>
      </c>
      <c r="AI1873" s="77" t="b">
        <v>0</v>
      </c>
      <c r="AJ1873" s="77"/>
      <c r="AK1873" s="77"/>
      <c r="AL1873" s="77"/>
      <c r="AM1873" s="77"/>
      <c r="AN1873" s="77"/>
      <c r="AO1873" s="77"/>
      <c r="AP1873" s="77"/>
      <c r="AQ1873" s="77"/>
      <c r="AR1873" s="77"/>
      <c r="AS1873" s="77"/>
      <c r="AT1873" s="77"/>
      <c r="AU1873" s="77"/>
      <c r="AV1873" s="83" t="str">
        <f>HYPERLINK("https://pbs.twimg.com/profile_images/1559883556846977024/bXHnQFY0_normal.jpg")</f>
        <v>https://pbs.twimg.com/profile_images/1559883556846977024/bXHnQFY0_normal.jpg</v>
      </c>
      <c r="AW1873" s="80" t="s">
        <v>17740</v>
      </c>
      <c r="AX1873" s="80" t="s">
        <v>17740</v>
      </c>
      <c r="AY1873" s="77"/>
      <c r="AZ1873" s="80" t="s">
        <v>20380</v>
      </c>
      <c r="BA1873" s="80" t="s">
        <v>20380</v>
      </c>
      <c r="BB1873" s="80" t="s">
        <v>20380</v>
      </c>
      <c r="BC1873" s="80" t="s">
        <v>17740</v>
      </c>
      <c r="BD1873" s="77">
        <v>51150679</v>
      </c>
      <c r="BE1873" s="77"/>
      <c r="BF1873" s="77"/>
      <c r="BG1873" s="77"/>
      <c r="BH1873" s="77"/>
      <c r="BI1873" s="77"/>
    </row>
    <row r="1874" spans="1:61" x14ac:dyDescent="0.25">
      <c r="A1874" s="62" t="s">
        <v>790</v>
      </c>
      <c r="B1874" s="62" t="s">
        <v>790</v>
      </c>
      <c r="C1874" s="63"/>
      <c r="D1874" s="64"/>
      <c r="E1874" s="65"/>
      <c r="F1874" s="66"/>
      <c r="G1874" s="63"/>
      <c r="H1874" s="67"/>
      <c r="I1874" s="68"/>
      <c r="J1874" s="68"/>
      <c r="K1874" s="32"/>
      <c r="L1874" s="75">
        <v>1874</v>
      </c>
      <c r="M1874" s="75"/>
      <c r="N1874" s="70"/>
      <c r="O1874" s="77" t="s">
        <v>179</v>
      </c>
      <c r="P1874" s="79">
        <v>45061.75922453704</v>
      </c>
      <c r="Q1874" s="77" t="s">
        <v>3770</v>
      </c>
      <c r="R1874" s="77">
        <v>1</v>
      </c>
      <c r="S1874" s="77">
        <v>20</v>
      </c>
      <c r="T1874" s="77">
        <v>2</v>
      </c>
      <c r="U1874" s="77">
        <v>0</v>
      </c>
      <c r="V1874" s="77">
        <v>5454</v>
      </c>
      <c r="W1874" s="80" t="s">
        <v>6950</v>
      </c>
      <c r="X1874" s="83" t="str">
        <f>HYPERLINK("https://www.moneytimes.com.br/contas-bancarias-abertas-por-adolescentes-crescem-50-saiba-como-evitar-riscos/")</f>
        <v>https://www.moneytimes.com.br/contas-bancarias-abertas-por-adolescentes-crescem-50-saiba-como-evitar-riscos/</v>
      </c>
      <c r="Y1874" s="77" t="s">
        <v>8611</v>
      </c>
      <c r="Z1874" s="77"/>
      <c r="AA1874" s="77"/>
      <c r="AB1874" s="77"/>
      <c r="AC1874" s="80" t="s">
        <v>10558</v>
      </c>
      <c r="AD1874" s="77" t="s">
        <v>10617</v>
      </c>
      <c r="AE1874" s="83" t="str">
        <f>HYPERLINK("https://twitter.com/leiamoneytimes/status/1658173722287562766")</f>
        <v>https://twitter.com/leiamoneytimes/status/1658173722287562766</v>
      </c>
      <c r="AF1874" s="79">
        <v>45061.75922453704</v>
      </c>
      <c r="AG1874" s="85">
        <v>45061</v>
      </c>
      <c r="AH1874" s="80" t="s">
        <v>12299</v>
      </c>
      <c r="AI1874" s="77" t="b">
        <v>0</v>
      </c>
      <c r="AJ1874" s="77"/>
      <c r="AK1874" s="77"/>
      <c r="AL1874" s="77"/>
      <c r="AM1874" s="77"/>
      <c r="AN1874" s="77"/>
      <c r="AO1874" s="77"/>
      <c r="AP1874" s="77"/>
      <c r="AQ1874" s="77"/>
      <c r="AR1874" s="77"/>
      <c r="AS1874" s="77"/>
      <c r="AT1874" s="77"/>
      <c r="AU1874" s="77"/>
      <c r="AV1874" s="83" t="str">
        <f>HYPERLINK("https://pbs.twimg.com/profile_images/1559883556846977024/bXHnQFY0_normal.jpg")</f>
        <v>https://pbs.twimg.com/profile_images/1559883556846977024/bXHnQFY0_normal.jpg</v>
      </c>
      <c r="AW1874" s="80" t="s">
        <v>17741</v>
      </c>
      <c r="AX1874" s="80" t="s">
        <v>17741</v>
      </c>
      <c r="AY1874" s="77"/>
      <c r="AZ1874" s="80" t="s">
        <v>20380</v>
      </c>
      <c r="BA1874" s="80" t="s">
        <v>20380</v>
      </c>
      <c r="BB1874" s="80" t="s">
        <v>20380</v>
      </c>
      <c r="BC1874" s="80" t="s">
        <v>17741</v>
      </c>
      <c r="BD1874" s="77">
        <v>51150679</v>
      </c>
      <c r="BE1874" s="77"/>
      <c r="BF1874" s="77"/>
      <c r="BG1874" s="77"/>
      <c r="BH1874" s="77"/>
      <c r="BI1874" s="77"/>
    </row>
    <row r="1875" spans="1:61" x14ac:dyDescent="0.25">
      <c r="A1875" s="62" t="s">
        <v>790</v>
      </c>
      <c r="B1875" s="62" t="s">
        <v>790</v>
      </c>
      <c r="C1875" s="63"/>
      <c r="D1875" s="64"/>
      <c r="E1875" s="65"/>
      <c r="F1875" s="66"/>
      <c r="G1875" s="63"/>
      <c r="H1875" s="67"/>
      <c r="I1875" s="68"/>
      <c r="J1875" s="68"/>
      <c r="K1875" s="32"/>
      <c r="L1875" s="75">
        <v>1875</v>
      </c>
      <c r="M1875" s="75"/>
      <c r="N1875" s="70"/>
      <c r="O1875" s="77" t="s">
        <v>179</v>
      </c>
      <c r="P1875" s="79">
        <v>45061.711354166669</v>
      </c>
      <c r="Q1875" s="77" t="s">
        <v>3771</v>
      </c>
      <c r="R1875" s="77">
        <v>0</v>
      </c>
      <c r="S1875" s="77">
        <v>13</v>
      </c>
      <c r="T1875" s="77">
        <v>1</v>
      </c>
      <c r="U1875" s="77">
        <v>0</v>
      </c>
      <c r="V1875" s="77">
        <v>2159</v>
      </c>
      <c r="W1875" s="80" t="s">
        <v>6940</v>
      </c>
      <c r="X1875" s="83" t="str">
        <f>HYPERLINK("https://www.moneytimes.com.br/por-que-e-ate-quando-o-dolar-vai-resistir-aos-r-490/")</f>
        <v>https://www.moneytimes.com.br/por-que-e-ate-quando-o-dolar-vai-resistir-aos-r-490/</v>
      </c>
      <c r="Y1875" s="77" t="s">
        <v>8611</v>
      </c>
      <c r="Z1875" s="77"/>
      <c r="AA1875" s="77"/>
      <c r="AB1875" s="77"/>
      <c r="AC1875" s="80" t="s">
        <v>10558</v>
      </c>
      <c r="AD1875" s="77" t="s">
        <v>10617</v>
      </c>
      <c r="AE1875" s="83" t="str">
        <f>HYPERLINK("https://twitter.com/leiamoneytimes/status/1658156375996870657")</f>
        <v>https://twitter.com/leiamoneytimes/status/1658156375996870657</v>
      </c>
      <c r="AF1875" s="79">
        <v>45061.711354166669</v>
      </c>
      <c r="AG1875" s="85">
        <v>45061</v>
      </c>
      <c r="AH1875" s="80" t="s">
        <v>12300</v>
      </c>
      <c r="AI1875" s="77" t="b">
        <v>0</v>
      </c>
      <c r="AJ1875" s="77"/>
      <c r="AK1875" s="77"/>
      <c r="AL1875" s="77"/>
      <c r="AM1875" s="77"/>
      <c r="AN1875" s="77"/>
      <c r="AO1875" s="77"/>
      <c r="AP1875" s="77"/>
      <c r="AQ1875" s="77"/>
      <c r="AR1875" s="77"/>
      <c r="AS1875" s="77"/>
      <c r="AT1875" s="77"/>
      <c r="AU1875" s="77"/>
      <c r="AV1875" s="83" t="str">
        <f>HYPERLINK("https://pbs.twimg.com/profile_images/1559883556846977024/bXHnQFY0_normal.jpg")</f>
        <v>https://pbs.twimg.com/profile_images/1559883556846977024/bXHnQFY0_normal.jpg</v>
      </c>
      <c r="AW1875" s="80" t="s">
        <v>17742</v>
      </c>
      <c r="AX1875" s="80" t="s">
        <v>17742</v>
      </c>
      <c r="AY1875" s="77"/>
      <c r="AZ1875" s="80" t="s">
        <v>20380</v>
      </c>
      <c r="BA1875" s="80" t="s">
        <v>20380</v>
      </c>
      <c r="BB1875" s="80" t="s">
        <v>20380</v>
      </c>
      <c r="BC1875" s="80" t="s">
        <v>17742</v>
      </c>
      <c r="BD1875" s="77">
        <v>51150679</v>
      </c>
      <c r="BE1875" s="77"/>
      <c r="BF1875" s="77"/>
      <c r="BG1875" s="77"/>
      <c r="BH1875" s="77"/>
      <c r="BI1875" s="77"/>
    </row>
    <row r="1876" spans="1:61" x14ac:dyDescent="0.25">
      <c r="A1876" s="62" t="s">
        <v>790</v>
      </c>
      <c r="B1876" s="62" t="s">
        <v>790</v>
      </c>
      <c r="C1876" s="63"/>
      <c r="D1876" s="64"/>
      <c r="E1876" s="65"/>
      <c r="F1876" s="66"/>
      <c r="G1876" s="63"/>
      <c r="H1876" s="67"/>
      <c r="I1876" s="68"/>
      <c r="J1876" s="68"/>
      <c r="K1876" s="32"/>
      <c r="L1876" s="75">
        <v>1876</v>
      </c>
      <c r="M1876" s="75"/>
      <c r="N1876" s="70"/>
      <c r="O1876" s="77" t="s">
        <v>179</v>
      </c>
      <c r="P1876" s="79">
        <v>45051.994097222225</v>
      </c>
      <c r="Q1876" s="77" t="s">
        <v>3772</v>
      </c>
      <c r="R1876" s="77">
        <v>0</v>
      </c>
      <c r="S1876" s="77">
        <v>2</v>
      </c>
      <c r="T1876" s="77">
        <v>1</v>
      </c>
      <c r="U1876" s="77">
        <v>0</v>
      </c>
      <c r="V1876" s="77">
        <v>1957</v>
      </c>
      <c r="W1876" s="80" t="s">
        <v>7085</v>
      </c>
      <c r="X1876" s="83" t="str">
        <f>HYPERLINK("https://www.moneytimes.com.br/conselho-da-previdencia-social-pede-divulgacao-de-juros-do-consignado/")</f>
        <v>https://www.moneytimes.com.br/conselho-da-previdencia-social-pede-divulgacao-de-juros-do-consignado/</v>
      </c>
      <c r="Y1876" s="77" t="s">
        <v>8611</v>
      </c>
      <c r="Z1876" s="77"/>
      <c r="AA1876" s="77"/>
      <c r="AB1876" s="77"/>
      <c r="AC1876" s="80" t="s">
        <v>10558</v>
      </c>
      <c r="AD1876" s="77" t="s">
        <v>10617</v>
      </c>
      <c r="AE1876" s="83" t="str">
        <f>HYPERLINK("https://twitter.com/leiamoneytimes/status/1654634959947067404")</f>
        <v>https://twitter.com/leiamoneytimes/status/1654634959947067404</v>
      </c>
      <c r="AF1876" s="79">
        <v>45051.994097222225</v>
      </c>
      <c r="AG1876" s="85">
        <v>45051</v>
      </c>
      <c r="AH1876" s="80" t="s">
        <v>12301</v>
      </c>
      <c r="AI1876" s="77" t="b">
        <v>0</v>
      </c>
      <c r="AJ1876" s="77"/>
      <c r="AK1876" s="77"/>
      <c r="AL1876" s="77"/>
      <c r="AM1876" s="77"/>
      <c r="AN1876" s="77"/>
      <c r="AO1876" s="77"/>
      <c r="AP1876" s="77"/>
      <c r="AQ1876" s="77"/>
      <c r="AR1876" s="77"/>
      <c r="AS1876" s="77"/>
      <c r="AT1876" s="77"/>
      <c r="AU1876" s="77"/>
      <c r="AV1876" s="83" t="str">
        <f>HYPERLINK("https://pbs.twimg.com/profile_images/1559883556846977024/bXHnQFY0_normal.jpg")</f>
        <v>https://pbs.twimg.com/profile_images/1559883556846977024/bXHnQFY0_normal.jpg</v>
      </c>
      <c r="AW1876" s="80" t="s">
        <v>17743</v>
      </c>
      <c r="AX1876" s="80" t="s">
        <v>17743</v>
      </c>
      <c r="AY1876" s="77"/>
      <c r="AZ1876" s="80" t="s">
        <v>20380</v>
      </c>
      <c r="BA1876" s="80" t="s">
        <v>20380</v>
      </c>
      <c r="BB1876" s="80" t="s">
        <v>20380</v>
      </c>
      <c r="BC1876" s="80" t="s">
        <v>17743</v>
      </c>
      <c r="BD1876" s="77">
        <v>51150679</v>
      </c>
      <c r="BE1876" s="77"/>
      <c r="BF1876" s="77"/>
      <c r="BG1876" s="77"/>
      <c r="BH1876" s="77"/>
      <c r="BI1876" s="77"/>
    </row>
    <row r="1877" spans="1:61" x14ac:dyDescent="0.25">
      <c r="A1877" s="62" t="s">
        <v>790</v>
      </c>
      <c r="B1877" s="62" t="s">
        <v>790</v>
      </c>
      <c r="C1877" s="63"/>
      <c r="D1877" s="64"/>
      <c r="E1877" s="65"/>
      <c r="F1877" s="66"/>
      <c r="G1877" s="63"/>
      <c r="H1877" s="67"/>
      <c r="I1877" s="68"/>
      <c r="J1877" s="68"/>
      <c r="K1877" s="32"/>
      <c r="L1877" s="75">
        <v>1877</v>
      </c>
      <c r="M1877" s="75"/>
      <c r="N1877" s="70"/>
      <c r="O1877" s="77" t="s">
        <v>179</v>
      </c>
      <c r="P1877" s="79">
        <v>45051.51190972222</v>
      </c>
      <c r="Q1877" s="77" t="s">
        <v>3773</v>
      </c>
      <c r="R1877" s="77">
        <v>0</v>
      </c>
      <c r="S1877" s="77">
        <v>5</v>
      </c>
      <c r="T1877" s="77">
        <v>3</v>
      </c>
      <c r="U1877" s="77">
        <v>0</v>
      </c>
      <c r="V1877" s="77">
        <v>1455</v>
      </c>
      <c r="W1877" s="80" t="s">
        <v>6940</v>
      </c>
      <c r="X1877" s="83" t="str">
        <f>HYPERLINK("https://www.moneytimes.com.br/selic-a-1375-o-que-o-banco-central-esta-esperando-para-cortar-os-juros/")</f>
        <v>https://www.moneytimes.com.br/selic-a-1375-o-que-o-banco-central-esta-esperando-para-cortar-os-juros/</v>
      </c>
      <c r="Y1877" s="77" t="s">
        <v>8611</v>
      </c>
      <c r="Z1877" s="77"/>
      <c r="AA1877" s="77"/>
      <c r="AB1877" s="77"/>
      <c r="AC1877" s="80" t="s">
        <v>10558</v>
      </c>
      <c r="AD1877" s="77" t="s">
        <v>10617</v>
      </c>
      <c r="AE1877" s="83" t="str">
        <f>HYPERLINK("https://twitter.com/leiamoneytimes/status/1654460219903164417")</f>
        <v>https://twitter.com/leiamoneytimes/status/1654460219903164417</v>
      </c>
      <c r="AF1877" s="79">
        <v>45051.51190972222</v>
      </c>
      <c r="AG1877" s="85">
        <v>45051</v>
      </c>
      <c r="AH1877" s="80" t="s">
        <v>12302</v>
      </c>
      <c r="AI1877" s="77" t="b">
        <v>0</v>
      </c>
      <c r="AJ1877" s="77"/>
      <c r="AK1877" s="77"/>
      <c r="AL1877" s="77"/>
      <c r="AM1877" s="77"/>
      <c r="AN1877" s="77"/>
      <c r="AO1877" s="77"/>
      <c r="AP1877" s="77"/>
      <c r="AQ1877" s="77"/>
      <c r="AR1877" s="77"/>
      <c r="AS1877" s="77"/>
      <c r="AT1877" s="77"/>
      <c r="AU1877" s="77"/>
      <c r="AV1877" s="83" t="str">
        <f>HYPERLINK("https://pbs.twimg.com/profile_images/1559883556846977024/bXHnQFY0_normal.jpg")</f>
        <v>https://pbs.twimg.com/profile_images/1559883556846977024/bXHnQFY0_normal.jpg</v>
      </c>
      <c r="AW1877" s="80" t="s">
        <v>17744</v>
      </c>
      <c r="AX1877" s="80" t="s">
        <v>17744</v>
      </c>
      <c r="AY1877" s="77"/>
      <c r="AZ1877" s="80" t="s">
        <v>20380</v>
      </c>
      <c r="BA1877" s="80" t="s">
        <v>20380</v>
      </c>
      <c r="BB1877" s="80" t="s">
        <v>20380</v>
      </c>
      <c r="BC1877" s="80" t="s">
        <v>17744</v>
      </c>
      <c r="BD1877" s="77">
        <v>51150679</v>
      </c>
      <c r="BE1877" s="77"/>
      <c r="BF1877" s="77"/>
      <c r="BG1877" s="77"/>
      <c r="BH1877" s="77"/>
      <c r="BI1877" s="77"/>
    </row>
    <row r="1878" spans="1:61" x14ac:dyDescent="0.25">
      <c r="A1878" s="62" t="s">
        <v>791</v>
      </c>
      <c r="B1878" s="62" t="s">
        <v>791</v>
      </c>
      <c r="C1878" s="63"/>
      <c r="D1878" s="64"/>
      <c r="E1878" s="65"/>
      <c r="F1878" s="66"/>
      <c r="G1878" s="63"/>
      <c r="H1878" s="67"/>
      <c r="I1878" s="68"/>
      <c r="J1878" s="68"/>
      <c r="K1878" s="32"/>
      <c r="L1878" s="75">
        <v>1878</v>
      </c>
      <c r="M1878" s="75"/>
      <c r="N1878" s="70"/>
      <c r="O1878" s="77" t="s">
        <v>179</v>
      </c>
      <c r="P1878" s="79">
        <v>45132.716249999998</v>
      </c>
      <c r="Q1878" s="77" t="s">
        <v>3774</v>
      </c>
      <c r="R1878" s="77">
        <v>0</v>
      </c>
      <c r="S1878" s="77">
        <v>0</v>
      </c>
      <c r="T1878" s="77">
        <v>0</v>
      </c>
      <c r="U1878" s="77">
        <v>0</v>
      </c>
      <c r="V1878" s="77">
        <v>430</v>
      </c>
      <c r="W1878" s="80" t="s">
        <v>7086</v>
      </c>
      <c r="X1878" s="83" t="str">
        <f>HYPERLINK("https://nuevadata.com/record-del-blue-el-banco-central-realizo-la-mayor-compra-de-dolares-en-mas-de-un-mes/")</f>
        <v>https://nuevadata.com/record-del-blue-el-banco-central-realizo-la-mayor-compra-de-dolares-en-mas-de-un-mes/</v>
      </c>
      <c r="Y1878" s="77" t="s">
        <v>8753</v>
      </c>
      <c r="Z1878" s="77"/>
      <c r="AA1878" s="77"/>
      <c r="AB1878" s="77"/>
      <c r="AC1878" s="80" t="s">
        <v>10541</v>
      </c>
      <c r="AD1878" s="77" t="s">
        <v>10620</v>
      </c>
      <c r="AE1878" s="83" t="str">
        <f>HYPERLINK("https://twitter.com/nuevadataok/status/1683887688875749389")</f>
        <v>https://twitter.com/nuevadataok/status/1683887688875749389</v>
      </c>
      <c r="AF1878" s="79">
        <v>45132.716249999998</v>
      </c>
      <c r="AG1878" s="85">
        <v>45132</v>
      </c>
      <c r="AH1878" s="80" t="s">
        <v>12303</v>
      </c>
      <c r="AI1878" s="77" t="b">
        <v>0</v>
      </c>
      <c r="AJ1878" s="77"/>
      <c r="AK1878" s="77"/>
      <c r="AL1878" s="77"/>
      <c r="AM1878" s="77"/>
      <c r="AN1878" s="77"/>
      <c r="AO1878" s="77"/>
      <c r="AP1878" s="77"/>
      <c r="AQ1878" s="77"/>
      <c r="AR1878" s="77"/>
      <c r="AS1878" s="77"/>
      <c r="AT1878" s="77"/>
      <c r="AU1878" s="77"/>
      <c r="AV1878" s="83" t="str">
        <f>HYPERLINK("https://pbs.twimg.com/profile_images/1283515836108541956/FXHZpLeW_normal.jpg")</f>
        <v>https://pbs.twimg.com/profile_images/1283515836108541956/FXHZpLeW_normal.jpg</v>
      </c>
      <c r="AW1878" s="80" t="s">
        <v>17745</v>
      </c>
      <c r="AX1878" s="80" t="s">
        <v>17745</v>
      </c>
      <c r="AY1878" s="77"/>
      <c r="AZ1878" s="80" t="s">
        <v>20380</v>
      </c>
      <c r="BA1878" s="80" t="s">
        <v>20380</v>
      </c>
      <c r="BB1878" s="80" t="s">
        <v>20380</v>
      </c>
      <c r="BC1878" s="80" t="s">
        <v>17745</v>
      </c>
      <c r="BD1878" s="80" t="s">
        <v>20765</v>
      </c>
      <c r="BE1878" s="77"/>
      <c r="BF1878" s="77"/>
      <c r="BG1878" s="77"/>
      <c r="BH1878" s="77"/>
      <c r="BI1878" s="77"/>
    </row>
    <row r="1879" spans="1:61" x14ac:dyDescent="0.25">
      <c r="A1879" s="62" t="s">
        <v>792</v>
      </c>
      <c r="B1879" s="62" t="s">
        <v>1868</v>
      </c>
      <c r="C1879" s="63"/>
      <c r="D1879" s="64"/>
      <c r="E1879" s="65"/>
      <c r="F1879" s="66"/>
      <c r="G1879" s="63"/>
      <c r="H1879" s="67"/>
      <c r="I1879" s="68"/>
      <c r="J1879" s="68"/>
      <c r="K1879" s="32"/>
      <c r="L1879" s="75">
        <v>1879</v>
      </c>
      <c r="M1879" s="75"/>
      <c r="N1879" s="70"/>
      <c r="O1879" s="77" t="s">
        <v>2078</v>
      </c>
      <c r="P1879" s="79">
        <v>45068.678414351853</v>
      </c>
      <c r="Q1879" s="77" t="s">
        <v>3775</v>
      </c>
      <c r="R1879" s="77">
        <v>0</v>
      </c>
      <c r="S1879" s="77">
        <v>0</v>
      </c>
      <c r="T1879" s="77">
        <v>0</v>
      </c>
      <c r="U1879" s="77">
        <v>0</v>
      </c>
      <c r="V1879" s="77">
        <v>260</v>
      </c>
      <c r="W1879" s="80" t="s">
        <v>5884</v>
      </c>
      <c r="X1879" s="77"/>
      <c r="Y1879" s="77"/>
      <c r="Z1879" s="77" t="s">
        <v>1868</v>
      </c>
      <c r="AA1879" s="77"/>
      <c r="AB1879" s="77"/>
      <c r="AC1879" s="80" t="s">
        <v>10542</v>
      </c>
      <c r="AD1879" s="77" t="s">
        <v>10619</v>
      </c>
      <c r="AE1879" s="83" t="str">
        <f>HYPERLINK("https://twitter.com/george_hc1977/status/1660681151650856960")</f>
        <v>https://twitter.com/george_hc1977/status/1660681151650856960</v>
      </c>
      <c r="AF1879" s="79">
        <v>45068.678414351853</v>
      </c>
      <c r="AG1879" s="85">
        <v>45068</v>
      </c>
      <c r="AH1879" s="80" t="s">
        <v>12304</v>
      </c>
      <c r="AI1879" s="77"/>
      <c r="AJ1879" s="77"/>
      <c r="AK1879" s="77"/>
      <c r="AL1879" s="77"/>
      <c r="AM1879" s="77"/>
      <c r="AN1879" s="77"/>
      <c r="AO1879" s="77"/>
      <c r="AP1879" s="77"/>
      <c r="AQ1879" s="77"/>
      <c r="AR1879" s="77"/>
      <c r="AS1879" s="77"/>
      <c r="AT1879" s="77"/>
      <c r="AU1879" s="77"/>
      <c r="AV1879" s="83" t="str">
        <f>HYPERLINK("https://pbs.twimg.com/profile_images/1649593737020948480/AkNbUUFc_normal.jpg")</f>
        <v>https://pbs.twimg.com/profile_images/1649593737020948480/AkNbUUFc_normal.jpg</v>
      </c>
      <c r="AW1879" s="80" t="s">
        <v>17746</v>
      </c>
      <c r="AX1879" s="80" t="s">
        <v>20025</v>
      </c>
      <c r="AY1879" s="80" t="s">
        <v>20278</v>
      </c>
      <c r="AZ1879" s="80" t="s">
        <v>20025</v>
      </c>
      <c r="BA1879" s="80" t="s">
        <v>20380</v>
      </c>
      <c r="BB1879" s="80" t="s">
        <v>20380</v>
      </c>
      <c r="BC1879" s="80" t="s">
        <v>20025</v>
      </c>
      <c r="BD1879" s="80" t="s">
        <v>20766</v>
      </c>
      <c r="BE1879" s="77"/>
      <c r="BF1879" s="77"/>
      <c r="BG1879" s="77"/>
      <c r="BH1879" s="77"/>
      <c r="BI1879" s="77"/>
    </row>
    <row r="1880" spans="1:61" x14ac:dyDescent="0.25">
      <c r="A1880" s="62" t="s">
        <v>793</v>
      </c>
      <c r="B1880" s="62" t="s">
        <v>793</v>
      </c>
      <c r="C1880" s="63"/>
      <c r="D1880" s="64"/>
      <c r="E1880" s="65"/>
      <c r="F1880" s="66"/>
      <c r="G1880" s="63"/>
      <c r="H1880" s="67"/>
      <c r="I1880" s="68"/>
      <c r="J1880" s="68"/>
      <c r="K1880" s="32"/>
      <c r="L1880" s="75">
        <v>1880</v>
      </c>
      <c r="M1880" s="75"/>
      <c r="N1880" s="70"/>
      <c r="O1880" s="77" t="s">
        <v>179</v>
      </c>
      <c r="P1880" s="79">
        <v>45159.791678240741</v>
      </c>
      <c r="Q1880" s="77" t="s">
        <v>3776</v>
      </c>
      <c r="R1880" s="77">
        <v>0</v>
      </c>
      <c r="S1880" s="77">
        <v>0</v>
      </c>
      <c r="T1880" s="77">
        <v>1</v>
      </c>
      <c r="U1880" s="77">
        <v>0</v>
      </c>
      <c r="V1880" s="77">
        <v>54</v>
      </c>
      <c r="W1880" s="80" t="s">
        <v>7087</v>
      </c>
      <c r="X1880" s="83" t="str">
        <f>HYPERLINK("https://jovempan.com.br/programas/jornal-da-manha/com-aumento-no-preco-dos-combustiveis-previsao-da-inflacao-para-2023-sobe-para-49.html")</f>
        <v>https://jovempan.com.br/programas/jornal-da-manha/com-aumento-no-preco-dos-combustiveis-previsao-da-inflacao-para-2023-sobe-para-49.html</v>
      </c>
      <c r="Y1880" s="77" t="s">
        <v>8611</v>
      </c>
      <c r="Z1880" s="77"/>
      <c r="AA1880" s="77" t="s">
        <v>9543</v>
      </c>
      <c r="AB1880" s="77" t="s">
        <v>10535</v>
      </c>
      <c r="AC1880" s="80" t="s">
        <v>10541</v>
      </c>
      <c r="AD1880" s="77" t="s">
        <v>10617</v>
      </c>
      <c r="AE1880" s="83" t="str">
        <f>HYPERLINK("https://twitter.com/ricnoticias24h/status/1693699494825844863")</f>
        <v>https://twitter.com/ricnoticias24h/status/1693699494825844863</v>
      </c>
      <c r="AF1880" s="79">
        <v>45159.791678240741</v>
      </c>
      <c r="AG1880" s="85">
        <v>45159</v>
      </c>
      <c r="AH1880" s="80" t="s">
        <v>10866</v>
      </c>
      <c r="AI1880" s="77" t="b">
        <v>0</v>
      </c>
      <c r="AJ1880" s="77"/>
      <c r="AK1880" s="77"/>
      <c r="AL1880" s="77"/>
      <c r="AM1880" s="77"/>
      <c r="AN1880" s="77"/>
      <c r="AO1880" s="77"/>
      <c r="AP1880" s="77"/>
      <c r="AQ1880" s="77" t="s">
        <v>15025</v>
      </c>
      <c r="AR1880" s="77"/>
      <c r="AS1880" s="77"/>
      <c r="AT1880" s="77"/>
      <c r="AU1880" s="77"/>
      <c r="AV1880" s="83" t="str">
        <f>HYPERLINK("https://pbs.twimg.com/media/F4Emq6bW0AA7vSk.png")</f>
        <v>https://pbs.twimg.com/media/F4Emq6bW0AA7vSk.png</v>
      </c>
      <c r="AW1880" s="80" t="s">
        <v>17747</v>
      </c>
      <c r="AX1880" s="80" t="s">
        <v>17747</v>
      </c>
      <c r="AY1880" s="77"/>
      <c r="AZ1880" s="80" t="s">
        <v>20380</v>
      </c>
      <c r="BA1880" s="80" t="s">
        <v>20380</v>
      </c>
      <c r="BB1880" s="80" t="s">
        <v>20380</v>
      </c>
      <c r="BC1880" s="80" t="s">
        <v>17747</v>
      </c>
      <c r="BD1880" s="77">
        <v>86200684</v>
      </c>
      <c r="BE1880" s="77"/>
      <c r="BF1880" s="77"/>
      <c r="BG1880" s="77"/>
      <c r="BH1880" s="77"/>
      <c r="BI1880" s="77"/>
    </row>
    <row r="1881" spans="1:61" x14ac:dyDescent="0.25">
      <c r="A1881" s="62" t="s">
        <v>794</v>
      </c>
      <c r="B1881" s="62" t="s">
        <v>794</v>
      </c>
      <c r="C1881" s="63"/>
      <c r="D1881" s="64"/>
      <c r="E1881" s="65"/>
      <c r="F1881" s="66"/>
      <c r="G1881" s="63"/>
      <c r="H1881" s="67"/>
      <c r="I1881" s="68"/>
      <c r="J1881" s="68"/>
      <c r="K1881" s="32"/>
      <c r="L1881" s="75">
        <v>1881</v>
      </c>
      <c r="M1881" s="75"/>
      <c r="N1881" s="70"/>
      <c r="O1881" s="77" t="s">
        <v>179</v>
      </c>
      <c r="P1881" s="79">
        <v>45174.675706018519</v>
      </c>
      <c r="Q1881" s="77" t="s">
        <v>3777</v>
      </c>
      <c r="R1881" s="77">
        <v>0</v>
      </c>
      <c r="S1881" s="77">
        <v>0</v>
      </c>
      <c r="T1881" s="77">
        <v>0</v>
      </c>
      <c r="U1881" s="77">
        <v>0</v>
      </c>
      <c r="V1881" s="77">
        <v>127</v>
      </c>
      <c r="W1881" s="80" t="s">
        <v>7088</v>
      </c>
      <c r="X1881" s="77"/>
      <c r="Y1881" s="77"/>
      <c r="Z1881" s="77"/>
      <c r="AA1881" s="77" t="s">
        <v>9544</v>
      </c>
      <c r="AB1881" s="77" t="s">
        <v>10535</v>
      </c>
      <c r="AC1881" s="80" t="s">
        <v>10541</v>
      </c>
      <c r="AD1881" s="77" t="s">
        <v>10620</v>
      </c>
      <c r="AE1881" s="83" t="str">
        <f>HYPERLINK("https://twitter.com/estratosferaok/status/1699093283484430452")</f>
        <v>https://twitter.com/estratosferaok/status/1699093283484430452</v>
      </c>
      <c r="AF1881" s="79">
        <v>45174.675706018519</v>
      </c>
      <c r="AG1881" s="85">
        <v>45174</v>
      </c>
      <c r="AH1881" s="80" t="s">
        <v>12305</v>
      </c>
      <c r="AI1881" s="77" t="b">
        <v>0</v>
      </c>
      <c r="AJ1881" s="77"/>
      <c r="AK1881" s="77"/>
      <c r="AL1881" s="77"/>
      <c r="AM1881" s="77"/>
      <c r="AN1881" s="77"/>
      <c r="AO1881" s="77"/>
      <c r="AP1881" s="77"/>
      <c r="AQ1881" s="77" t="s">
        <v>15026</v>
      </c>
      <c r="AR1881" s="77"/>
      <c r="AS1881" s="77"/>
      <c r="AT1881" s="77"/>
      <c r="AU1881" s="77"/>
      <c r="AV1881" s="83" t="str">
        <f>HYPERLINK("https://pbs.twimg.com/media/F5Rj-KzWoAAA-BM.jpg")</f>
        <v>https://pbs.twimg.com/media/F5Rj-KzWoAAA-BM.jpg</v>
      </c>
      <c r="AW1881" s="80" t="s">
        <v>17748</v>
      </c>
      <c r="AX1881" s="80" t="s">
        <v>17748</v>
      </c>
      <c r="AY1881" s="77"/>
      <c r="AZ1881" s="80" t="s">
        <v>20380</v>
      </c>
      <c r="BA1881" s="80" t="s">
        <v>20380</v>
      </c>
      <c r="BB1881" s="80" t="s">
        <v>20380</v>
      </c>
      <c r="BC1881" s="80" t="s">
        <v>17748</v>
      </c>
      <c r="BD1881" s="80" t="s">
        <v>20767</v>
      </c>
      <c r="BE1881" s="77"/>
      <c r="BF1881" s="77"/>
      <c r="BG1881" s="77"/>
      <c r="BH1881" s="77"/>
      <c r="BI1881" s="77"/>
    </row>
    <row r="1882" spans="1:61" x14ac:dyDescent="0.25">
      <c r="A1882" s="62" t="s">
        <v>795</v>
      </c>
      <c r="B1882" s="62" t="s">
        <v>795</v>
      </c>
      <c r="C1882" s="63"/>
      <c r="D1882" s="64"/>
      <c r="E1882" s="65"/>
      <c r="F1882" s="66"/>
      <c r="G1882" s="63"/>
      <c r="H1882" s="67"/>
      <c r="I1882" s="68"/>
      <c r="J1882" s="68"/>
      <c r="K1882" s="32"/>
      <c r="L1882" s="75">
        <v>1882</v>
      </c>
      <c r="M1882" s="75"/>
      <c r="N1882" s="70"/>
      <c r="O1882" s="77" t="s">
        <v>179</v>
      </c>
      <c r="P1882" s="79">
        <v>45141.670370370368</v>
      </c>
      <c r="Q1882" s="77" t="s">
        <v>3778</v>
      </c>
      <c r="R1882" s="77">
        <v>0</v>
      </c>
      <c r="S1882" s="77">
        <v>1</v>
      </c>
      <c r="T1882" s="77">
        <v>0</v>
      </c>
      <c r="U1882" s="77">
        <v>0</v>
      </c>
      <c r="V1882" s="77">
        <v>6</v>
      </c>
      <c r="W1882" s="80" t="s">
        <v>7089</v>
      </c>
      <c r="X1882" s="83" t="str">
        <f>HYPERLINK("https://youtube.com/shorts/yRwkCfZ6HqA?feature=share")</f>
        <v>https://youtube.com/shorts/yRwkCfZ6HqA?feature=share</v>
      </c>
      <c r="Y1882" s="77" t="s">
        <v>8612</v>
      </c>
      <c r="Z1882" s="77"/>
      <c r="AA1882" s="77" t="s">
        <v>9545</v>
      </c>
      <c r="AB1882" s="77" t="s">
        <v>10535</v>
      </c>
      <c r="AC1882" s="80" t="s">
        <v>10540</v>
      </c>
      <c r="AD1882" s="77" t="s">
        <v>10620</v>
      </c>
      <c r="AE1882" s="83" t="str">
        <f>HYPERLINK("https://twitter.com/jano_barr/status/1687132552233148418")</f>
        <v>https://twitter.com/jano_barr/status/1687132552233148418</v>
      </c>
      <c r="AF1882" s="79">
        <v>45141.670370370368</v>
      </c>
      <c r="AG1882" s="85">
        <v>45141</v>
      </c>
      <c r="AH1882" s="80" t="s">
        <v>12306</v>
      </c>
      <c r="AI1882" s="77" t="b">
        <v>1</v>
      </c>
      <c r="AJ1882" s="77"/>
      <c r="AK1882" s="77"/>
      <c r="AL1882" s="77"/>
      <c r="AM1882" s="77"/>
      <c r="AN1882" s="77"/>
      <c r="AO1882" s="77"/>
      <c r="AP1882" s="77"/>
      <c r="AQ1882" s="77" t="s">
        <v>15027</v>
      </c>
      <c r="AR1882" s="77"/>
      <c r="AS1882" s="77"/>
      <c r="AT1882" s="77"/>
      <c r="AU1882" s="77"/>
      <c r="AV1882" s="83" t="str">
        <f>HYPERLINK("https://pbs.twimg.com/media/F2nmHXYWgAA6Ewf.jpg")</f>
        <v>https://pbs.twimg.com/media/F2nmHXYWgAA6Ewf.jpg</v>
      </c>
      <c r="AW1882" s="80" t="s">
        <v>17749</v>
      </c>
      <c r="AX1882" s="80" t="s">
        <v>17749</v>
      </c>
      <c r="AY1882" s="77"/>
      <c r="AZ1882" s="80" t="s">
        <v>20380</v>
      </c>
      <c r="BA1882" s="80" t="s">
        <v>20380</v>
      </c>
      <c r="BB1882" s="80" t="s">
        <v>20380</v>
      </c>
      <c r="BC1882" s="80" t="s">
        <v>17749</v>
      </c>
      <c r="BD1882" s="77">
        <v>229966200</v>
      </c>
      <c r="BE1882" s="77"/>
      <c r="BF1882" s="77"/>
      <c r="BG1882" s="77"/>
      <c r="BH1882" s="77"/>
      <c r="BI1882" s="77"/>
    </row>
    <row r="1883" spans="1:61" x14ac:dyDescent="0.25">
      <c r="A1883" s="62" t="s">
        <v>796</v>
      </c>
      <c r="B1883" s="62" t="s">
        <v>1728</v>
      </c>
      <c r="C1883" s="63"/>
      <c r="D1883" s="64"/>
      <c r="E1883" s="65"/>
      <c r="F1883" s="66"/>
      <c r="G1883" s="63"/>
      <c r="H1883" s="67"/>
      <c r="I1883" s="68"/>
      <c r="J1883" s="68"/>
      <c r="K1883" s="32"/>
      <c r="L1883" s="75">
        <v>1883</v>
      </c>
      <c r="M1883" s="75"/>
      <c r="N1883" s="70"/>
      <c r="O1883" s="77" t="s">
        <v>2081</v>
      </c>
      <c r="P1883" s="79">
        <v>45177.477777777778</v>
      </c>
      <c r="Q1883" s="77" t="s">
        <v>3779</v>
      </c>
      <c r="R1883" s="77">
        <v>0</v>
      </c>
      <c r="S1883" s="77">
        <v>0</v>
      </c>
      <c r="T1883" s="77">
        <v>0</v>
      </c>
      <c r="U1883" s="77">
        <v>0</v>
      </c>
      <c r="V1883" s="77">
        <v>5</v>
      </c>
      <c r="W1883" s="80" t="s">
        <v>6101</v>
      </c>
      <c r="X1883" s="83" t="str">
        <f>HYPERLINK("https://www.emol.com/noticias/Economia/2023/09/08/1106571/ipc-agosto-ine.html")</f>
        <v>https://www.emol.com/noticias/Economia/2023/09/08/1106571/ipc-agosto-ine.html</v>
      </c>
      <c r="Y1883" s="77" t="s">
        <v>8754</v>
      </c>
      <c r="Z1883" s="77" t="s">
        <v>1728</v>
      </c>
      <c r="AA1883" s="77"/>
      <c r="AB1883" s="77"/>
      <c r="AC1883" s="80" t="s">
        <v>10541</v>
      </c>
      <c r="AD1883" s="77" t="s">
        <v>10620</v>
      </c>
      <c r="AE1883" s="83" t="str">
        <f>HYPERLINK("https://twitter.com/nonocofre/status/1700108721978773673")</f>
        <v>https://twitter.com/nonocofre/status/1700108721978773673</v>
      </c>
      <c r="AF1883" s="79">
        <v>45177.477777777778</v>
      </c>
      <c r="AG1883" s="85">
        <v>45177</v>
      </c>
      <c r="AH1883" s="80" t="s">
        <v>12307</v>
      </c>
      <c r="AI1883" s="77" t="b">
        <v>0</v>
      </c>
      <c r="AJ1883" s="77"/>
      <c r="AK1883" s="77"/>
      <c r="AL1883" s="77"/>
      <c r="AM1883" s="77"/>
      <c r="AN1883" s="77"/>
      <c r="AO1883" s="77"/>
      <c r="AP1883" s="77"/>
      <c r="AQ1883" s="77"/>
      <c r="AR1883" s="77"/>
      <c r="AS1883" s="77"/>
      <c r="AT1883" s="77"/>
      <c r="AU1883" s="77"/>
      <c r="AV1883" s="83" t="str">
        <f>HYPERLINK("https://pbs.twimg.com/profile_images/1523862026484916225/83e8KNXH_normal.jpg")</f>
        <v>https://pbs.twimg.com/profile_images/1523862026484916225/83e8KNXH_normal.jpg</v>
      </c>
      <c r="AW1883" s="80" t="s">
        <v>17750</v>
      </c>
      <c r="AX1883" s="80" t="s">
        <v>17750</v>
      </c>
      <c r="AY1883" s="77"/>
      <c r="AZ1883" s="80" t="s">
        <v>20380</v>
      </c>
      <c r="BA1883" s="80" t="s">
        <v>20380</v>
      </c>
      <c r="BB1883" s="80" t="s">
        <v>20380</v>
      </c>
      <c r="BC1883" s="80" t="s">
        <v>17750</v>
      </c>
      <c r="BD1883" s="80" t="s">
        <v>20768</v>
      </c>
      <c r="BE1883" s="77"/>
      <c r="BF1883" s="77"/>
      <c r="BG1883" s="77"/>
      <c r="BH1883" s="77"/>
      <c r="BI1883" s="77"/>
    </row>
    <row r="1884" spans="1:61" x14ac:dyDescent="0.25">
      <c r="A1884" s="62" t="s">
        <v>797</v>
      </c>
      <c r="B1884" s="62" t="s">
        <v>1615</v>
      </c>
      <c r="C1884" s="63"/>
      <c r="D1884" s="64"/>
      <c r="E1884" s="65"/>
      <c r="F1884" s="66"/>
      <c r="G1884" s="63"/>
      <c r="H1884" s="67"/>
      <c r="I1884" s="68"/>
      <c r="J1884" s="68"/>
      <c r="K1884" s="32"/>
      <c r="L1884" s="75">
        <v>1884</v>
      </c>
      <c r="M1884" s="75"/>
      <c r="N1884" s="70"/>
      <c r="O1884" s="77" t="s">
        <v>2083</v>
      </c>
      <c r="P1884" s="79">
        <v>45189.783391203702</v>
      </c>
      <c r="Q1884" s="77" t="s">
        <v>2102</v>
      </c>
      <c r="R1884" s="77">
        <v>10</v>
      </c>
      <c r="S1884" s="77">
        <v>0</v>
      </c>
      <c r="T1884" s="77">
        <v>0</v>
      </c>
      <c r="U1884" s="77">
        <v>0</v>
      </c>
      <c r="V1884" s="77"/>
      <c r="W1884" s="80" t="s">
        <v>5899</v>
      </c>
      <c r="X1884" s="77"/>
      <c r="Y1884" s="77"/>
      <c r="Z1884" s="77" t="s">
        <v>1615</v>
      </c>
      <c r="AA1884" s="77" t="s">
        <v>9047</v>
      </c>
      <c r="AB1884" s="77" t="s">
        <v>10535</v>
      </c>
      <c r="AC1884" s="80" t="s">
        <v>10542</v>
      </c>
      <c r="AD1884" s="77" t="s">
        <v>10619</v>
      </c>
      <c r="AE1884" s="83" t="str">
        <f>HYPERLINK("https://twitter.com/insaneisann__/status/1704568125692228065")</f>
        <v>https://twitter.com/insaneisann__/status/1704568125692228065</v>
      </c>
      <c r="AF1884" s="79">
        <v>45189.783391203702</v>
      </c>
      <c r="AG1884" s="85">
        <v>45189</v>
      </c>
      <c r="AH1884" s="80" t="s">
        <v>12308</v>
      </c>
      <c r="AI1884" s="77" t="b">
        <v>0</v>
      </c>
      <c r="AJ1884" s="77"/>
      <c r="AK1884" s="77"/>
      <c r="AL1884" s="77"/>
      <c r="AM1884" s="77"/>
      <c r="AN1884" s="77"/>
      <c r="AO1884" s="77"/>
      <c r="AP1884" s="77"/>
      <c r="AQ1884" s="77" t="s">
        <v>14529</v>
      </c>
      <c r="AR1884" s="77"/>
      <c r="AS1884" s="77"/>
      <c r="AT1884" s="77"/>
      <c r="AU1884" s="77"/>
      <c r="AV1884" s="83" t="str">
        <f>HYPERLINK("https://pbs.twimg.com/media/F6c2kgoWAAAEEnO.jpg")</f>
        <v>https://pbs.twimg.com/media/F6c2kgoWAAAEEnO.jpg</v>
      </c>
      <c r="AW1884" s="80" t="s">
        <v>17751</v>
      </c>
      <c r="AX1884" s="80" t="s">
        <v>17751</v>
      </c>
      <c r="AY1884" s="77"/>
      <c r="AZ1884" s="80" t="s">
        <v>20380</v>
      </c>
      <c r="BA1884" s="80" t="s">
        <v>20380</v>
      </c>
      <c r="BB1884" s="80" t="s">
        <v>19728</v>
      </c>
      <c r="BC1884" s="80" t="s">
        <v>19728</v>
      </c>
      <c r="BD1884" s="77">
        <v>2480376386</v>
      </c>
      <c r="BE1884" s="77"/>
      <c r="BF1884" s="77"/>
      <c r="BG1884" s="77"/>
      <c r="BH1884" s="77"/>
      <c r="BI1884" s="77"/>
    </row>
    <row r="1885" spans="1:61" x14ac:dyDescent="0.25">
      <c r="A1885" s="62" t="s">
        <v>798</v>
      </c>
      <c r="B1885" s="62" t="s">
        <v>1672</v>
      </c>
      <c r="C1885" s="63"/>
      <c r="D1885" s="64"/>
      <c r="E1885" s="65"/>
      <c r="F1885" s="66"/>
      <c r="G1885" s="63"/>
      <c r="H1885" s="67"/>
      <c r="I1885" s="68"/>
      <c r="J1885" s="68"/>
      <c r="K1885" s="32"/>
      <c r="L1885" s="75">
        <v>1885</v>
      </c>
      <c r="M1885" s="75"/>
      <c r="N1885" s="70"/>
      <c r="O1885" s="77" t="s">
        <v>2083</v>
      </c>
      <c r="P1885" s="79">
        <v>45196.820150462961</v>
      </c>
      <c r="Q1885" s="77" t="s">
        <v>3780</v>
      </c>
      <c r="R1885" s="77">
        <v>3</v>
      </c>
      <c r="S1885" s="77">
        <v>0</v>
      </c>
      <c r="T1885" s="77">
        <v>0</v>
      </c>
      <c r="U1885" s="77">
        <v>0</v>
      </c>
      <c r="V1885" s="77"/>
      <c r="W1885" s="80" t="s">
        <v>7090</v>
      </c>
      <c r="X1885" s="77"/>
      <c r="Y1885" s="77"/>
      <c r="Z1885" s="77" t="s">
        <v>1672</v>
      </c>
      <c r="AA1885" s="77"/>
      <c r="AB1885" s="77"/>
      <c r="AC1885" s="80" t="s">
        <v>10542</v>
      </c>
      <c r="AD1885" s="77" t="s">
        <v>10620</v>
      </c>
      <c r="AE1885" s="83" t="str">
        <f>HYPERLINK("https://twitter.com/jucamorro6/status/1707118163756773780")</f>
        <v>https://twitter.com/jucamorro6/status/1707118163756773780</v>
      </c>
      <c r="AF1885" s="79">
        <v>45196.820150462961</v>
      </c>
      <c r="AG1885" s="85">
        <v>45196</v>
      </c>
      <c r="AH1885" s="80" t="s">
        <v>12309</v>
      </c>
      <c r="AI1885" s="77" t="b">
        <v>0</v>
      </c>
      <c r="AJ1885" s="77"/>
      <c r="AK1885" s="77"/>
      <c r="AL1885" s="77"/>
      <c r="AM1885" s="77"/>
      <c r="AN1885" s="77"/>
      <c r="AO1885" s="77"/>
      <c r="AP1885" s="77"/>
      <c r="AQ1885" s="77"/>
      <c r="AR1885" s="77"/>
      <c r="AS1885" s="77"/>
      <c r="AT1885" s="77"/>
      <c r="AU1885" s="77"/>
      <c r="AV1885" s="83" t="str">
        <f>HYPERLINK("https://abs.twimg.com/sticky/default_profile_images/default_profile_normal.png")</f>
        <v>https://abs.twimg.com/sticky/default_profile_images/default_profile_normal.png</v>
      </c>
      <c r="AW1885" s="80" t="s">
        <v>17752</v>
      </c>
      <c r="AX1885" s="80" t="s">
        <v>17752</v>
      </c>
      <c r="AY1885" s="77"/>
      <c r="AZ1885" s="80" t="s">
        <v>20380</v>
      </c>
      <c r="BA1885" s="80" t="s">
        <v>20380</v>
      </c>
      <c r="BB1885" s="80" t="s">
        <v>19890</v>
      </c>
      <c r="BC1885" s="80" t="s">
        <v>19890</v>
      </c>
      <c r="BD1885" s="80" t="s">
        <v>20769</v>
      </c>
      <c r="BE1885" s="77"/>
      <c r="BF1885" s="77"/>
      <c r="BG1885" s="77"/>
      <c r="BH1885" s="77"/>
      <c r="BI1885" s="77"/>
    </row>
    <row r="1886" spans="1:61" x14ac:dyDescent="0.25">
      <c r="A1886" s="62" t="s">
        <v>799</v>
      </c>
      <c r="B1886" s="62" t="s">
        <v>1869</v>
      </c>
      <c r="C1886" s="63"/>
      <c r="D1886" s="64"/>
      <c r="E1886" s="65"/>
      <c r="F1886" s="66"/>
      <c r="G1886" s="63"/>
      <c r="H1886" s="67"/>
      <c r="I1886" s="68"/>
      <c r="J1886" s="68"/>
      <c r="K1886" s="32"/>
      <c r="L1886" s="75">
        <v>1886</v>
      </c>
      <c r="M1886" s="75"/>
      <c r="N1886" s="70"/>
      <c r="O1886" s="77" t="s">
        <v>2079</v>
      </c>
      <c r="P1886" s="79">
        <v>45197.20034722222</v>
      </c>
      <c r="Q1886" s="77" t="s">
        <v>3781</v>
      </c>
      <c r="R1886" s="77">
        <v>0</v>
      </c>
      <c r="S1886" s="77">
        <v>1</v>
      </c>
      <c r="T1886" s="77">
        <v>1</v>
      </c>
      <c r="U1886" s="77">
        <v>0</v>
      </c>
      <c r="V1886" s="77">
        <v>34</v>
      </c>
      <c r="W1886" s="80" t="s">
        <v>7091</v>
      </c>
      <c r="X1886" s="77"/>
      <c r="Y1886" s="77"/>
      <c r="Z1886" s="77" t="s">
        <v>8958</v>
      </c>
      <c r="AA1886" s="77"/>
      <c r="AB1886" s="77"/>
      <c r="AC1886" s="80" t="s">
        <v>10540</v>
      </c>
      <c r="AD1886" s="77" t="s">
        <v>10620</v>
      </c>
      <c r="AE1886" s="83" t="str">
        <f>HYPERLINK("https://twitter.com/lnjgolsilver/status/1707255941412823085")</f>
        <v>https://twitter.com/lnjgolsilver/status/1707255941412823085</v>
      </c>
      <c r="AF1886" s="79">
        <v>45197.20034722222</v>
      </c>
      <c r="AG1886" s="85">
        <v>45197</v>
      </c>
      <c r="AH1886" s="80" t="s">
        <v>12310</v>
      </c>
      <c r="AI1886" s="77"/>
      <c r="AJ1886" s="77"/>
      <c r="AK1886" s="77"/>
      <c r="AL1886" s="77"/>
      <c r="AM1886" s="77"/>
      <c r="AN1886" s="77"/>
      <c r="AO1886" s="77"/>
      <c r="AP1886" s="77"/>
      <c r="AQ1886" s="77"/>
      <c r="AR1886" s="77"/>
      <c r="AS1886" s="77"/>
      <c r="AT1886" s="77"/>
      <c r="AU1886" s="77"/>
      <c r="AV1886" s="83" t="str">
        <f>HYPERLINK("https://pbs.twimg.com/profile_images/1233022922056458245/vCXzMs8k_normal.jpg")</f>
        <v>https://pbs.twimg.com/profile_images/1233022922056458245/vCXzMs8k_normal.jpg</v>
      </c>
      <c r="AW1886" s="80" t="s">
        <v>17753</v>
      </c>
      <c r="AX1886" s="80" t="s">
        <v>20026</v>
      </c>
      <c r="AY1886" s="80" t="s">
        <v>20279</v>
      </c>
      <c r="AZ1886" s="80" t="s">
        <v>20419</v>
      </c>
      <c r="BA1886" s="80" t="s">
        <v>20380</v>
      </c>
      <c r="BB1886" s="80" t="s">
        <v>20380</v>
      </c>
      <c r="BC1886" s="80" t="s">
        <v>20419</v>
      </c>
      <c r="BD1886" s="77">
        <v>280838027</v>
      </c>
      <c r="BE1886" s="77"/>
      <c r="BF1886" s="77"/>
      <c r="BG1886" s="77"/>
      <c r="BH1886" s="77"/>
      <c r="BI1886" s="77"/>
    </row>
    <row r="1887" spans="1:61" x14ac:dyDescent="0.25">
      <c r="A1887" s="62" t="s">
        <v>799</v>
      </c>
      <c r="B1887" s="62" t="s">
        <v>1870</v>
      </c>
      <c r="C1887" s="63"/>
      <c r="D1887" s="64"/>
      <c r="E1887" s="65"/>
      <c r="F1887" s="66"/>
      <c r="G1887" s="63"/>
      <c r="H1887" s="67"/>
      <c r="I1887" s="68"/>
      <c r="J1887" s="68"/>
      <c r="K1887" s="32"/>
      <c r="L1887" s="75">
        <v>1887</v>
      </c>
      <c r="M1887" s="75"/>
      <c r="N1887" s="70"/>
      <c r="O1887" s="77" t="s">
        <v>2079</v>
      </c>
      <c r="P1887" s="79">
        <v>45197.20034722222</v>
      </c>
      <c r="Q1887" s="77" t="s">
        <v>3781</v>
      </c>
      <c r="R1887" s="77">
        <v>0</v>
      </c>
      <c r="S1887" s="77">
        <v>1</v>
      </c>
      <c r="T1887" s="77">
        <v>1</v>
      </c>
      <c r="U1887" s="77">
        <v>0</v>
      </c>
      <c r="V1887" s="77">
        <v>34</v>
      </c>
      <c r="W1887" s="80" t="s">
        <v>7091</v>
      </c>
      <c r="X1887" s="77"/>
      <c r="Y1887" s="77"/>
      <c r="Z1887" s="77" t="s">
        <v>8958</v>
      </c>
      <c r="AA1887" s="77"/>
      <c r="AB1887" s="77"/>
      <c r="AC1887" s="80" t="s">
        <v>10540</v>
      </c>
      <c r="AD1887" s="77" t="s">
        <v>10620</v>
      </c>
      <c r="AE1887" s="83" t="str">
        <f>HYPERLINK("https://twitter.com/lnjgolsilver/status/1707255941412823085")</f>
        <v>https://twitter.com/lnjgolsilver/status/1707255941412823085</v>
      </c>
      <c r="AF1887" s="79">
        <v>45197.20034722222</v>
      </c>
      <c r="AG1887" s="85">
        <v>45197</v>
      </c>
      <c r="AH1887" s="80" t="s">
        <v>12310</v>
      </c>
      <c r="AI1887" s="77"/>
      <c r="AJ1887" s="77"/>
      <c r="AK1887" s="77"/>
      <c r="AL1887" s="77"/>
      <c r="AM1887" s="77"/>
      <c r="AN1887" s="77"/>
      <c r="AO1887" s="77"/>
      <c r="AP1887" s="77"/>
      <c r="AQ1887" s="77"/>
      <c r="AR1887" s="77"/>
      <c r="AS1887" s="77"/>
      <c r="AT1887" s="77"/>
      <c r="AU1887" s="77"/>
      <c r="AV1887" s="83" t="str">
        <f>HYPERLINK("https://pbs.twimg.com/profile_images/1233022922056458245/vCXzMs8k_normal.jpg")</f>
        <v>https://pbs.twimg.com/profile_images/1233022922056458245/vCXzMs8k_normal.jpg</v>
      </c>
      <c r="AW1887" s="80" t="s">
        <v>17753</v>
      </c>
      <c r="AX1887" s="80" t="s">
        <v>20026</v>
      </c>
      <c r="AY1887" s="80" t="s">
        <v>20279</v>
      </c>
      <c r="AZ1887" s="80" t="s">
        <v>20419</v>
      </c>
      <c r="BA1887" s="80" t="s">
        <v>20380</v>
      </c>
      <c r="BB1887" s="80" t="s">
        <v>20380</v>
      </c>
      <c r="BC1887" s="80" t="s">
        <v>20419</v>
      </c>
      <c r="BD1887" s="77">
        <v>280838027</v>
      </c>
      <c r="BE1887" s="77"/>
      <c r="BF1887" s="77"/>
      <c r="BG1887" s="77"/>
      <c r="BH1887" s="77"/>
      <c r="BI1887" s="77"/>
    </row>
    <row r="1888" spans="1:61" x14ac:dyDescent="0.25">
      <c r="A1888" s="62" t="s">
        <v>799</v>
      </c>
      <c r="B1888" s="62" t="s">
        <v>799</v>
      </c>
      <c r="C1888" s="63"/>
      <c r="D1888" s="64"/>
      <c r="E1888" s="65"/>
      <c r="F1888" s="66"/>
      <c r="G1888" s="63"/>
      <c r="H1888" s="67"/>
      <c r="I1888" s="68"/>
      <c r="J1888" s="68"/>
      <c r="K1888" s="32"/>
      <c r="L1888" s="75">
        <v>1888</v>
      </c>
      <c r="M1888" s="75"/>
      <c r="N1888" s="70"/>
      <c r="O1888" s="77" t="s">
        <v>2078</v>
      </c>
      <c r="P1888" s="79">
        <v>45197.20034722222</v>
      </c>
      <c r="Q1888" s="77" t="s">
        <v>3781</v>
      </c>
      <c r="R1888" s="77">
        <v>0</v>
      </c>
      <c r="S1888" s="77">
        <v>1</v>
      </c>
      <c r="T1888" s="77">
        <v>1</v>
      </c>
      <c r="U1888" s="77">
        <v>0</v>
      </c>
      <c r="V1888" s="77">
        <v>34</v>
      </c>
      <c r="W1888" s="80" t="s">
        <v>7091</v>
      </c>
      <c r="X1888" s="77"/>
      <c r="Y1888" s="77"/>
      <c r="Z1888" s="77" t="s">
        <v>8958</v>
      </c>
      <c r="AA1888" s="77"/>
      <c r="AB1888" s="77"/>
      <c r="AC1888" s="80" t="s">
        <v>10540</v>
      </c>
      <c r="AD1888" s="77" t="s">
        <v>10620</v>
      </c>
      <c r="AE1888" s="83" t="str">
        <f>HYPERLINK("https://twitter.com/lnjgolsilver/status/1707255941412823085")</f>
        <v>https://twitter.com/lnjgolsilver/status/1707255941412823085</v>
      </c>
      <c r="AF1888" s="79">
        <v>45197.20034722222</v>
      </c>
      <c r="AG1888" s="85">
        <v>45197</v>
      </c>
      <c r="AH1888" s="80" t="s">
        <v>12310</v>
      </c>
      <c r="AI1888" s="77"/>
      <c r="AJ1888" s="77"/>
      <c r="AK1888" s="77"/>
      <c r="AL1888" s="77"/>
      <c r="AM1888" s="77"/>
      <c r="AN1888" s="77"/>
      <c r="AO1888" s="77"/>
      <c r="AP1888" s="77"/>
      <c r="AQ1888" s="77"/>
      <c r="AR1888" s="77"/>
      <c r="AS1888" s="77"/>
      <c r="AT1888" s="77"/>
      <c r="AU1888" s="77"/>
      <c r="AV1888" s="83" t="str">
        <f>HYPERLINK("https://pbs.twimg.com/profile_images/1233022922056458245/vCXzMs8k_normal.jpg")</f>
        <v>https://pbs.twimg.com/profile_images/1233022922056458245/vCXzMs8k_normal.jpg</v>
      </c>
      <c r="AW1888" s="80" t="s">
        <v>17753</v>
      </c>
      <c r="AX1888" s="80" t="s">
        <v>20026</v>
      </c>
      <c r="AY1888" s="80" t="s">
        <v>20279</v>
      </c>
      <c r="AZ1888" s="80" t="s">
        <v>20419</v>
      </c>
      <c r="BA1888" s="80" t="s">
        <v>20380</v>
      </c>
      <c r="BB1888" s="80" t="s">
        <v>20380</v>
      </c>
      <c r="BC1888" s="80" t="s">
        <v>20419</v>
      </c>
      <c r="BD1888" s="77">
        <v>280838027</v>
      </c>
      <c r="BE1888" s="77"/>
      <c r="BF1888" s="77"/>
      <c r="BG1888" s="77"/>
      <c r="BH1888" s="77"/>
      <c r="BI1888" s="77"/>
    </row>
    <row r="1889" spans="1:61" x14ac:dyDescent="0.25">
      <c r="A1889" s="62" t="s">
        <v>800</v>
      </c>
      <c r="B1889" s="62" t="s">
        <v>1871</v>
      </c>
      <c r="C1889" s="63"/>
      <c r="D1889" s="64"/>
      <c r="E1889" s="65"/>
      <c r="F1889" s="66"/>
      <c r="G1889" s="63"/>
      <c r="H1889" s="67"/>
      <c r="I1889" s="68"/>
      <c r="J1889" s="68"/>
      <c r="K1889" s="32"/>
      <c r="L1889" s="75">
        <v>1889</v>
      </c>
      <c r="M1889" s="75"/>
      <c r="N1889" s="70"/>
      <c r="O1889" s="77" t="s">
        <v>2081</v>
      </c>
      <c r="P1889" s="79">
        <v>45135.319976851853</v>
      </c>
      <c r="Q1889" s="77" t="s">
        <v>3782</v>
      </c>
      <c r="R1889" s="77">
        <v>0</v>
      </c>
      <c r="S1889" s="77">
        <v>0</v>
      </c>
      <c r="T1889" s="77">
        <v>0</v>
      </c>
      <c r="U1889" s="77">
        <v>0</v>
      </c>
      <c r="V1889" s="77">
        <v>59</v>
      </c>
      <c r="W1889" s="80" t="s">
        <v>7092</v>
      </c>
      <c r="X1889" s="77"/>
      <c r="Y1889" s="77"/>
      <c r="Z1889" s="77" t="s">
        <v>8959</v>
      </c>
      <c r="AA1889" s="77" t="s">
        <v>9546</v>
      </c>
      <c r="AB1889" s="77" t="s">
        <v>10535</v>
      </c>
      <c r="AC1889" s="80" t="s">
        <v>10542</v>
      </c>
      <c r="AD1889" s="77" t="s">
        <v>10620</v>
      </c>
      <c r="AE1889" s="83" t="str">
        <f>HYPERLINK("https://twitter.com/putin_genocida/status/1684831245266542592")</f>
        <v>https://twitter.com/putin_genocida/status/1684831245266542592</v>
      </c>
      <c r="AF1889" s="79">
        <v>45135.319976851853</v>
      </c>
      <c r="AG1889" s="85">
        <v>45135</v>
      </c>
      <c r="AH1889" s="80" t="s">
        <v>12311</v>
      </c>
      <c r="AI1889" s="77" t="b">
        <v>1</v>
      </c>
      <c r="AJ1889" s="77"/>
      <c r="AK1889" s="77"/>
      <c r="AL1889" s="77"/>
      <c r="AM1889" s="77"/>
      <c r="AN1889" s="77"/>
      <c r="AO1889" s="77"/>
      <c r="AP1889" s="77"/>
      <c r="AQ1889" s="77" t="s">
        <v>15028</v>
      </c>
      <c r="AR1889" s="77"/>
      <c r="AS1889" s="77"/>
      <c r="AT1889" s="77"/>
      <c r="AU1889" s="77"/>
      <c r="AV1889" s="83" t="str">
        <f>HYPERLINK("https://pbs.twimg.com/media/F2G5Fi3XEAAyLe6.jpg")</f>
        <v>https://pbs.twimg.com/media/F2G5Fi3XEAAyLe6.jpg</v>
      </c>
      <c r="AW1889" s="80" t="s">
        <v>17754</v>
      </c>
      <c r="AX1889" s="80" t="s">
        <v>17754</v>
      </c>
      <c r="AY1889" s="77"/>
      <c r="AZ1889" s="80" t="s">
        <v>20380</v>
      </c>
      <c r="BA1889" s="80" t="s">
        <v>20380</v>
      </c>
      <c r="BB1889" s="80" t="s">
        <v>20380</v>
      </c>
      <c r="BC1889" s="80" t="s">
        <v>17754</v>
      </c>
      <c r="BD1889" s="80" t="s">
        <v>20770</v>
      </c>
      <c r="BE1889" s="77"/>
      <c r="BF1889" s="77"/>
      <c r="BG1889" s="77"/>
      <c r="BH1889" s="77"/>
      <c r="BI1889" s="77"/>
    </row>
    <row r="1890" spans="1:61" x14ac:dyDescent="0.25">
      <c r="A1890" s="62" t="s">
        <v>800</v>
      </c>
      <c r="B1890" s="62" t="s">
        <v>1872</v>
      </c>
      <c r="C1890" s="63"/>
      <c r="D1890" s="64"/>
      <c r="E1890" s="65"/>
      <c r="F1890" s="66"/>
      <c r="G1890" s="63"/>
      <c r="H1890" s="67"/>
      <c r="I1890" s="68"/>
      <c r="J1890" s="68"/>
      <c r="K1890" s="32"/>
      <c r="L1890" s="75">
        <v>1890</v>
      </c>
      <c r="M1890" s="75"/>
      <c r="N1890" s="70"/>
      <c r="O1890" s="77" t="s">
        <v>2081</v>
      </c>
      <c r="P1890" s="79">
        <v>45135.319976851853</v>
      </c>
      <c r="Q1890" s="77" t="s">
        <v>3782</v>
      </c>
      <c r="R1890" s="77">
        <v>0</v>
      </c>
      <c r="S1890" s="77">
        <v>0</v>
      </c>
      <c r="T1890" s="77">
        <v>0</v>
      </c>
      <c r="U1890" s="77">
        <v>0</v>
      </c>
      <c r="V1890" s="77">
        <v>59</v>
      </c>
      <c r="W1890" s="80" t="s">
        <v>7092</v>
      </c>
      <c r="X1890" s="77"/>
      <c r="Y1890" s="77"/>
      <c r="Z1890" s="77" t="s">
        <v>8959</v>
      </c>
      <c r="AA1890" s="77" t="s">
        <v>9546</v>
      </c>
      <c r="AB1890" s="77" t="s">
        <v>10535</v>
      </c>
      <c r="AC1890" s="80" t="s">
        <v>10542</v>
      </c>
      <c r="AD1890" s="77" t="s">
        <v>10620</v>
      </c>
      <c r="AE1890" s="83" t="str">
        <f>HYPERLINK("https://twitter.com/putin_genocida/status/1684831245266542592")</f>
        <v>https://twitter.com/putin_genocida/status/1684831245266542592</v>
      </c>
      <c r="AF1890" s="79">
        <v>45135.319976851853</v>
      </c>
      <c r="AG1890" s="85">
        <v>45135</v>
      </c>
      <c r="AH1890" s="80" t="s">
        <v>12311</v>
      </c>
      <c r="AI1890" s="77" t="b">
        <v>1</v>
      </c>
      <c r="AJ1890" s="77"/>
      <c r="AK1890" s="77"/>
      <c r="AL1890" s="77"/>
      <c r="AM1890" s="77"/>
      <c r="AN1890" s="77"/>
      <c r="AO1890" s="77"/>
      <c r="AP1890" s="77"/>
      <c r="AQ1890" s="77" t="s">
        <v>15028</v>
      </c>
      <c r="AR1890" s="77"/>
      <c r="AS1890" s="77"/>
      <c r="AT1890" s="77"/>
      <c r="AU1890" s="77"/>
      <c r="AV1890" s="83" t="str">
        <f>HYPERLINK("https://pbs.twimg.com/media/F2G5Fi3XEAAyLe6.jpg")</f>
        <v>https://pbs.twimg.com/media/F2G5Fi3XEAAyLe6.jpg</v>
      </c>
      <c r="AW1890" s="80" t="s">
        <v>17754</v>
      </c>
      <c r="AX1890" s="80" t="s">
        <v>17754</v>
      </c>
      <c r="AY1890" s="77"/>
      <c r="AZ1890" s="80" t="s">
        <v>20380</v>
      </c>
      <c r="BA1890" s="80" t="s">
        <v>20380</v>
      </c>
      <c r="BB1890" s="80" t="s">
        <v>20380</v>
      </c>
      <c r="BC1890" s="80" t="s">
        <v>17754</v>
      </c>
      <c r="BD1890" s="80" t="s">
        <v>20770</v>
      </c>
      <c r="BE1890" s="77"/>
      <c r="BF1890" s="77"/>
      <c r="BG1890" s="77"/>
      <c r="BH1890" s="77"/>
      <c r="BI1890" s="77"/>
    </row>
    <row r="1891" spans="1:61" x14ac:dyDescent="0.25">
      <c r="A1891" s="62" t="s">
        <v>801</v>
      </c>
      <c r="B1891" s="62" t="s">
        <v>801</v>
      </c>
      <c r="C1891" s="63"/>
      <c r="D1891" s="64"/>
      <c r="E1891" s="65"/>
      <c r="F1891" s="66"/>
      <c r="G1891" s="63"/>
      <c r="H1891" s="67"/>
      <c r="I1891" s="68"/>
      <c r="J1891" s="68"/>
      <c r="K1891" s="32"/>
      <c r="L1891" s="75">
        <v>1891</v>
      </c>
      <c r="M1891" s="75"/>
      <c r="N1891" s="70"/>
      <c r="O1891" s="77" t="s">
        <v>179</v>
      </c>
      <c r="P1891" s="79">
        <v>45093.602476851855</v>
      </c>
      <c r="Q1891" s="77" t="s">
        <v>3783</v>
      </c>
      <c r="R1891" s="77">
        <v>0</v>
      </c>
      <c r="S1891" s="77">
        <v>1</v>
      </c>
      <c r="T1891" s="77">
        <v>0</v>
      </c>
      <c r="U1891" s="77">
        <v>0</v>
      </c>
      <c r="V1891" s="77">
        <v>12</v>
      </c>
      <c r="W1891" s="80" t="s">
        <v>7093</v>
      </c>
      <c r="X1891" s="83" t="str">
        <f>HYPERLINK("https://sindviarios.org.br/juros-baixos-ja/")</f>
        <v>https://sindviarios.org.br/juros-baixos-ja/</v>
      </c>
      <c r="Y1891" s="77" t="s">
        <v>8667</v>
      </c>
      <c r="Z1891" s="77"/>
      <c r="AA1891" s="77" t="s">
        <v>9547</v>
      </c>
      <c r="AB1891" s="77" t="s">
        <v>10535</v>
      </c>
      <c r="AC1891" s="80" t="s">
        <v>10541</v>
      </c>
      <c r="AD1891" s="77" t="s">
        <v>10617</v>
      </c>
      <c r="AE1891" s="83" t="str">
        <f>HYPERLINK("https://twitter.com/sindviarioscut/status/1669713328854237191")</f>
        <v>https://twitter.com/sindviarioscut/status/1669713328854237191</v>
      </c>
      <c r="AF1891" s="79">
        <v>45093.602476851855</v>
      </c>
      <c r="AG1891" s="85">
        <v>45093</v>
      </c>
      <c r="AH1891" s="80" t="s">
        <v>12312</v>
      </c>
      <c r="AI1891" s="77" t="b">
        <v>0</v>
      </c>
      <c r="AJ1891" s="77"/>
      <c r="AK1891" s="77"/>
      <c r="AL1891" s="77"/>
      <c r="AM1891" s="77"/>
      <c r="AN1891" s="77"/>
      <c r="AO1891" s="77"/>
      <c r="AP1891" s="77"/>
      <c r="AQ1891" s="77" t="s">
        <v>15029</v>
      </c>
      <c r="AR1891" s="77"/>
      <c r="AS1891" s="77"/>
      <c r="AT1891" s="77"/>
      <c r="AU1891" s="77"/>
      <c r="AV1891" s="83" t="str">
        <f>HYPERLINK("https://pbs.twimg.com/media/FywDa-LWAAIljgY.jpg")</f>
        <v>https://pbs.twimg.com/media/FywDa-LWAAIljgY.jpg</v>
      </c>
      <c r="AW1891" s="80" t="s">
        <v>17755</v>
      </c>
      <c r="AX1891" s="80" t="s">
        <v>17755</v>
      </c>
      <c r="AY1891" s="77"/>
      <c r="AZ1891" s="80" t="s">
        <v>20380</v>
      </c>
      <c r="BA1891" s="80" t="s">
        <v>20380</v>
      </c>
      <c r="BB1891" s="80" t="s">
        <v>20380</v>
      </c>
      <c r="BC1891" s="80" t="s">
        <v>17755</v>
      </c>
      <c r="BD1891" s="80" t="s">
        <v>20771</v>
      </c>
      <c r="BE1891" s="77"/>
      <c r="BF1891" s="77"/>
      <c r="BG1891" s="77"/>
      <c r="BH1891" s="77"/>
      <c r="BI1891" s="77"/>
    </row>
    <row r="1892" spans="1:61" x14ac:dyDescent="0.25">
      <c r="A1892" s="62" t="s">
        <v>802</v>
      </c>
      <c r="B1892" s="62" t="s">
        <v>1873</v>
      </c>
      <c r="C1892" s="63"/>
      <c r="D1892" s="64"/>
      <c r="E1892" s="65"/>
      <c r="F1892" s="66"/>
      <c r="G1892" s="63"/>
      <c r="H1892" s="67"/>
      <c r="I1892" s="68"/>
      <c r="J1892" s="68"/>
      <c r="K1892" s="32"/>
      <c r="L1892" s="75">
        <v>1892</v>
      </c>
      <c r="M1892" s="75"/>
      <c r="N1892" s="70"/>
      <c r="O1892" s="77" t="s">
        <v>2078</v>
      </c>
      <c r="P1892" s="79">
        <v>45130.012546296297</v>
      </c>
      <c r="Q1892" s="77" t="s">
        <v>3784</v>
      </c>
      <c r="R1892" s="77">
        <v>0</v>
      </c>
      <c r="S1892" s="77">
        <v>1</v>
      </c>
      <c r="T1892" s="77">
        <v>0</v>
      </c>
      <c r="U1892" s="77">
        <v>0</v>
      </c>
      <c r="V1892" s="77">
        <v>13</v>
      </c>
      <c r="W1892" s="80" t="s">
        <v>7094</v>
      </c>
      <c r="X1892" s="77"/>
      <c r="Y1892" s="77"/>
      <c r="Z1892" s="77" t="s">
        <v>1873</v>
      </c>
      <c r="AA1892" s="77"/>
      <c r="AB1892" s="77"/>
      <c r="AC1892" s="80" t="s">
        <v>10542</v>
      </c>
      <c r="AD1892" s="77" t="s">
        <v>10617</v>
      </c>
      <c r="AE1892" s="83" t="str">
        <f>HYPERLINK("https://twitter.com/antonio27072324/status/1682907899323092993")</f>
        <v>https://twitter.com/antonio27072324/status/1682907899323092993</v>
      </c>
      <c r="AF1892" s="79">
        <v>45130.012546296297</v>
      </c>
      <c r="AG1892" s="85">
        <v>45130</v>
      </c>
      <c r="AH1892" s="80" t="s">
        <v>12313</v>
      </c>
      <c r="AI1892" s="77"/>
      <c r="AJ1892" s="77"/>
      <c r="AK1892" s="77"/>
      <c r="AL1892" s="77"/>
      <c r="AM1892" s="77"/>
      <c r="AN1892" s="77"/>
      <c r="AO1892" s="77"/>
      <c r="AP1892" s="77"/>
      <c r="AQ1892" s="77"/>
      <c r="AR1892" s="77"/>
      <c r="AS1892" s="77"/>
      <c r="AT1892" s="77"/>
      <c r="AU1892" s="77"/>
      <c r="AV1892" s="83" t="str">
        <f>HYPERLINK("https://pbs.twimg.com/profile_images/1464564522547621892/7oalRsQT_normal.jpg")</f>
        <v>https://pbs.twimg.com/profile_images/1464564522547621892/7oalRsQT_normal.jpg</v>
      </c>
      <c r="AW1892" s="80" t="s">
        <v>17756</v>
      </c>
      <c r="AX1892" s="80" t="s">
        <v>20027</v>
      </c>
      <c r="AY1892" s="80" t="s">
        <v>20280</v>
      </c>
      <c r="AZ1892" s="80" t="s">
        <v>20027</v>
      </c>
      <c r="BA1892" s="80" t="s">
        <v>20380</v>
      </c>
      <c r="BB1892" s="80" t="s">
        <v>20380</v>
      </c>
      <c r="BC1892" s="80" t="s">
        <v>20027</v>
      </c>
      <c r="BD1892" s="80" t="s">
        <v>20772</v>
      </c>
      <c r="BE1892" s="77"/>
      <c r="BF1892" s="77"/>
      <c r="BG1892" s="77"/>
      <c r="BH1892" s="77"/>
      <c r="BI1892" s="77"/>
    </row>
    <row r="1893" spans="1:61" x14ac:dyDescent="0.25">
      <c r="A1893" s="62" t="s">
        <v>802</v>
      </c>
      <c r="B1893" s="62" t="s">
        <v>1874</v>
      </c>
      <c r="C1893" s="63"/>
      <c r="D1893" s="64"/>
      <c r="E1893" s="65"/>
      <c r="F1893" s="66"/>
      <c r="G1893" s="63"/>
      <c r="H1893" s="67"/>
      <c r="I1893" s="68"/>
      <c r="J1893" s="68"/>
      <c r="K1893" s="32"/>
      <c r="L1893" s="75">
        <v>1893</v>
      </c>
      <c r="M1893" s="75"/>
      <c r="N1893" s="70"/>
      <c r="O1893" s="77" t="s">
        <v>2079</v>
      </c>
      <c r="P1893" s="79">
        <v>45172.963958333334</v>
      </c>
      <c r="Q1893" s="77" t="s">
        <v>3785</v>
      </c>
      <c r="R1893" s="77">
        <v>2</v>
      </c>
      <c r="S1893" s="77">
        <v>16</v>
      </c>
      <c r="T1893" s="77">
        <v>0</v>
      </c>
      <c r="U1893" s="77">
        <v>0</v>
      </c>
      <c r="V1893" s="77">
        <v>113</v>
      </c>
      <c r="W1893" s="80" t="s">
        <v>7095</v>
      </c>
      <c r="X1893" s="77"/>
      <c r="Y1893" s="77"/>
      <c r="Z1893" s="77" t="s">
        <v>8960</v>
      </c>
      <c r="AA1893" s="77"/>
      <c r="AB1893" s="77"/>
      <c r="AC1893" s="80" t="s">
        <v>10542</v>
      </c>
      <c r="AD1893" s="77" t="s">
        <v>10617</v>
      </c>
      <c r="AE1893" s="83" t="str">
        <f>HYPERLINK("https://twitter.com/antonio27072324/status/1698472967536075142")</f>
        <v>https://twitter.com/antonio27072324/status/1698472967536075142</v>
      </c>
      <c r="AF1893" s="79">
        <v>45172.963958333334</v>
      </c>
      <c r="AG1893" s="85">
        <v>45172</v>
      </c>
      <c r="AH1893" s="80" t="s">
        <v>12314</v>
      </c>
      <c r="AI1893" s="77"/>
      <c r="AJ1893" s="77"/>
      <c r="AK1893" s="77"/>
      <c r="AL1893" s="77"/>
      <c r="AM1893" s="77"/>
      <c r="AN1893" s="77"/>
      <c r="AO1893" s="77"/>
      <c r="AP1893" s="77"/>
      <c r="AQ1893" s="77"/>
      <c r="AR1893" s="77"/>
      <c r="AS1893" s="77"/>
      <c r="AT1893" s="77"/>
      <c r="AU1893" s="77"/>
      <c r="AV1893" s="83" t="str">
        <f>HYPERLINK("https://pbs.twimg.com/profile_images/1464564522547621892/7oalRsQT_normal.jpg")</f>
        <v>https://pbs.twimg.com/profile_images/1464564522547621892/7oalRsQT_normal.jpg</v>
      </c>
      <c r="AW1893" s="80" t="s">
        <v>17757</v>
      </c>
      <c r="AX1893" s="80" t="s">
        <v>20028</v>
      </c>
      <c r="AY1893" s="80" t="s">
        <v>20281</v>
      </c>
      <c r="AZ1893" s="80" t="s">
        <v>20028</v>
      </c>
      <c r="BA1893" s="80" t="s">
        <v>20380</v>
      </c>
      <c r="BB1893" s="80" t="s">
        <v>20380</v>
      </c>
      <c r="BC1893" s="80" t="s">
        <v>20028</v>
      </c>
      <c r="BD1893" s="80" t="s">
        <v>20772</v>
      </c>
      <c r="BE1893" s="77"/>
      <c r="BF1893" s="77"/>
      <c r="BG1893" s="77"/>
      <c r="BH1893" s="77"/>
      <c r="BI1893" s="77"/>
    </row>
    <row r="1894" spans="1:61" x14ac:dyDescent="0.25">
      <c r="A1894" s="62" t="s">
        <v>802</v>
      </c>
      <c r="B1894" s="62" t="s">
        <v>1875</v>
      </c>
      <c r="C1894" s="63"/>
      <c r="D1894" s="64"/>
      <c r="E1894" s="65"/>
      <c r="F1894" s="66"/>
      <c r="G1894" s="63"/>
      <c r="H1894" s="67"/>
      <c r="I1894" s="68"/>
      <c r="J1894" s="68"/>
      <c r="K1894" s="32"/>
      <c r="L1894" s="75">
        <v>1894</v>
      </c>
      <c r="M1894" s="75"/>
      <c r="N1894" s="70"/>
      <c r="O1894" s="77" t="s">
        <v>2079</v>
      </c>
      <c r="P1894" s="79">
        <v>45172.963958333334</v>
      </c>
      <c r="Q1894" s="77" t="s">
        <v>3785</v>
      </c>
      <c r="R1894" s="77">
        <v>2</v>
      </c>
      <c r="S1894" s="77">
        <v>16</v>
      </c>
      <c r="T1894" s="77">
        <v>0</v>
      </c>
      <c r="U1894" s="77">
        <v>0</v>
      </c>
      <c r="V1894" s="77">
        <v>113</v>
      </c>
      <c r="W1894" s="80" t="s">
        <v>7095</v>
      </c>
      <c r="X1894" s="77"/>
      <c r="Y1894" s="77"/>
      <c r="Z1894" s="77" t="s">
        <v>8960</v>
      </c>
      <c r="AA1894" s="77"/>
      <c r="AB1894" s="77"/>
      <c r="AC1894" s="80" t="s">
        <v>10542</v>
      </c>
      <c r="AD1894" s="77" t="s">
        <v>10617</v>
      </c>
      <c r="AE1894" s="83" t="str">
        <f>HYPERLINK("https://twitter.com/antonio27072324/status/1698472967536075142")</f>
        <v>https://twitter.com/antonio27072324/status/1698472967536075142</v>
      </c>
      <c r="AF1894" s="79">
        <v>45172.963958333334</v>
      </c>
      <c r="AG1894" s="85">
        <v>45172</v>
      </c>
      <c r="AH1894" s="80" t="s">
        <v>12314</v>
      </c>
      <c r="AI1894" s="77"/>
      <c r="AJ1894" s="77"/>
      <c r="AK1894" s="77"/>
      <c r="AL1894" s="77"/>
      <c r="AM1894" s="77"/>
      <c r="AN1894" s="77"/>
      <c r="AO1894" s="77"/>
      <c r="AP1894" s="77"/>
      <c r="AQ1894" s="77"/>
      <c r="AR1894" s="77"/>
      <c r="AS1894" s="77"/>
      <c r="AT1894" s="77"/>
      <c r="AU1894" s="77"/>
      <c r="AV1894" s="83" t="str">
        <f>HYPERLINK("https://pbs.twimg.com/profile_images/1464564522547621892/7oalRsQT_normal.jpg")</f>
        <v>https://pbs.twimg.com/profile_images/1464564522547621892/7oalRsQT_normal.jpg</v>
      </c>
      <c r="AW1894" s="80" t="s">
        <v>17757</v>
      </c>
      <c r="AX1894" s="80" t="s">
        <v>20028</v>
      </c>
      <c r="AY1894" s="80" t="s">
        <v>20281</v>
      </c>
      <c r="AZ1894" s="80" t="s">
        <v>20028</v>
      </c>
      <c r="BA1894" s="80" t="s">
        <v>20380</v>
      </c>
      <c r="BB1894" s="80" t="s">
        <v>20380</v>
      </c>
      <c r="BC1894" s="80" t="s">
        <v>20028</v>
      </c>
      <c r="BD1894" s="80" t="s">
        <v>20772</v>
      </c>
      <c r="BE1894" s="77"/>
      <c r="BF1894" s="77"/>
      <c r="BG1894" s="77"/>
      <c r="BH1894" s="77"/>
      <c r="BI1894" s="77"/>
    </row>
    <row r="1895" spans="1:61" x14ac:dyDescent="0.25">
      <c r="A1895" s="62" t="s">
        <v>802</v>
      </c>
      <c r="B1895" s="62" t="s">
        <v>1876</v>
      </c>
      <c r="C1895" s="63"/>
      <c r="D1895" s="64"/>
      <c r="E1895" s="65"/>
      <c r="F1895" s="66"/>
      <c r="G1895" s="63"/>
      <c r="H1895" s="67"/>
      <c r="I1895" s="68"/>
      <c r="J1895" s="68"/>
      <c r="K1895" s="32"/>
      <c r="L1895" s="75">
        <v>1895</v>
      </c>
      <c r="M1895" s="75"/>
      <c r="N1895" s="70"/>
      <c r="O1895" s="77" t="s">
        <v>2079</v>
      </c>
      <c r="P1895" s="79">
        <v>45172.963958333334</v>
      </c>
      <c r="Q1895" s="77" t="s">
        <v>3785</v>
      </c>
      <c r="R1895" s="77">
        <v>2</v>
      </c>
      <c r="S1895" s="77">
        <v>16</v>
      </c>
      <c r="T1895" s="77">
        <v>0</v>
      </c>
      <c r="U1895" s="77">
        <v>0</v>
      </c>
      <c r="V1895" s="77">
        <v>113</v>
      </c>
      <c r="W1895" s="80" t="s">
        <v>7095</v>
      </c>
      <c r="X1895" s="77"/>
      <c r="Y1895" s="77"/>
      <c r="Z1895" s="77" t="s">
        <v>8960</v>
      </c>
      <c r="AA1895" s="77"/>
      <c r="AB1895" s="77"/>
      <c r="AC1895" s="80" t="s">
        <v>10542</v>
      </c>
      <c r="AD1895" s="77" t="s">
        <v>10617</v>
      </c>
      <c r="AE1895" s="83" t="str">
        <f>HYPERLINK("https://twitter.com/antonio27072324/status/1698472967536075142")</f>
        <v>https://twitter.com/antonio27072324/status/1698472967536075142</v>
      </c>
      <c r="AF1895" s="79">
        <v>45172.963958333334</v>
      </c>
      <c r="AG1895" s="85">
        <v>45172</v>
      </c>
      <c r="AH1895" s="80" t="s">
        <v>12314</v>
      </c>
      <c r="AI1895" s="77"/>
      <c r="AJ1895" s="77"/>
      <c r="AK1895" s="77"/>
      <c r="AL1895" s="77"/>
      <c r="AM1895" s="77"/>
      <c r="AN1895" s="77"/>
      <c r="AO1895" s="77"/>
      <c r="AP1895" s="77"/>
      <c r="AQ1895" s="77"/>
      <c r="AR1895" s="77"/>
      <c r="AS1895" s="77"/>
      <c r="AT1895" s="77"/>
      <c r="AU1895" s="77"/>
      <c r="AV1895" s="83" t="str">
        <f>HYPERLINK("https://pbs.twimg.com/profile_images/1464564522547621892/7oalRsQT_normal.jpg")</f>
        <v>https://pbs.twimg.com/profile_images/1464564522547621892/7oalRsQT_normal.jpg</v>
      </c>
      <c r="AW1895" s="80" t="s">
        <v>17757</v>
      </c>
      <c r="AX1895" s="80" t="s">
        <v>20028</v>
      </c>
      <c r="AY1895" s="80" t="s">
        <v>20281</v>
      </c>
      <c r="AZ1895" s="80" t="s">
        <v>20028</v>
      </c>
      <c r="BA1895" s="80" t="s">
        <v>20380</v>
      </c>
      <c r="BB1895" s="80" t="s">
        <v>20380</v>
      </c>
      <c r="BC1895" s="80" t="s">
        <v>20028</v>
      </c>
      <c r="BD1895" s="80" t="s">
        <v>20772</v>
      </c>
      <c r="BE1895" s="77"/>
      <c r="BF1895" s="77"/>
      <c r="BG1895" s="77"/>
      <c r="BH1895" s="77"/>
      <c r="BI1895" s="77"/>
    </row>
    <row r="1896" spans="1:61" x14ac:dyDescent="0.25">
      <c r="A1896" s="62" t="s">
        <v>803</v>
      </c>
      <c r="B1896" s="62" t="s">
        <v>803</v>
      </c>
      <c r="C1896" s="63"/>
      <c r="D1896" s="64"/>
      <c r="E1896" s="65"/>
      <c r="F1896" s="66"/>
      <c r="G1896" s="63"/>
      <c r="H1896" s="67"/>
      <c r="I1896" s="68"/>
      <c r="J1896" s="68"/>
      <c r="K1896" s="32"/>
      <c r="L1896" s="75">
        <v>1896</v>
      </c>
      <c r="M1896" s="75"/>
      <c r="N1896" s="70"/>
      <c r="O1896" s="77" t="s">
        <v>179</v>
      </c>
      <c r="P1896" s="79">
        <v>45098.911944444444</v>
      </c>
      <c r="Q1896" s="77" t="s">
        <v>3786</v>
      </c>
      <c r="R1896" s="77">
        <v>24</v>
      </c>
      <c r="S1896" s="77">
        <v>191</v>
      </c>
      <c r="T1896" s="77">
        <v>6</v>
      </c>
      <c r="U1896" s="77">
        <v>3</v>
      </c>
      <c r="V1896" s="77">
        <v>4374</v>
      </c>
      <c r="W1896" s="80" t="s">
        <v>5884</v>
      </c>
      <c r="X1896" s="83" t="str">
        <f>HYPERLINK("https://gazetabrasil.com.br/economia/2023/06/21/copom-decide-manter-selic-em-1375/")</f>
        <v>https://gazetabrasil.com.br/economia/2023/06/21/copom-decide-manter-selic-em-1375/</v>
      </c>
      <c r="Y1896" s="77" t="s">
        <v>8611</v>
      </c>
      <c r="Z1896" s="77"/>
      <c r="AA1896" s="77"/>
      <c r="AB1896" s="77"/>
      <c r="AC1896" s="80" t="s">
        <v>10541</v>
      </c>
      <c r="AD1896" s="77" t="s">
        <v>10617</v>
      </c>
      <c r="AE1896" s="83" t="str">
        <f>HYPERLINK("https://twitter.com/sigagazetabr/status/1671637419240611840")</f>
        <v>https://twitter.com/sigagazetabr/status/1671637419240611840</v>
      </c>
      <c r="AF1896" s="79">
        <v>45098.911944444444</v>
      </c>
      <c r="AG1896" s="85">
        <v>45098</v>
      </c>
      <c r="AH1896" s="80" t="s">
        <v>12315</v>
      </c>
      <c r="AI1896" s="77" t="b">
        <v>0</v>
      </c>
      <c r="AJ1896" s="77"/>
      <c r="AK1896" s="77"/>
      <c r="AL1896" s="77"/>
      <c r="AM1896" s="77"/>
      <c r="AN1896" s="77"/>
      <c r="AO1896" s="77"/>
      <c r="AP1896" s="77"/>
      <c r="AQ1896" s="77"/>
      <c r="AR1896" s="77"/>
      <c r="AS1896" s="77"/>
      <c r="AT1896" s="77"/>
      <c r="AU1896" s="77"/>
      <c r="AV1896" s="83" t="str">
        <f>HYPERLINK("https://pbs.twimg.com/profile_images/1602344264251342848/kTLsCURa_normal.jpg")</f>
        <v>https://pbs.twimg.com/profile_images/1602344264251342848/kTLsCURa_normal.jpg</v>
      </c>
      <c r="AW1896" s="80" t="s">
        <v>17758</v>
      </c>
      <c r="AX1896" s="80" t="s">
        <v>17758</v>
      </c>
      <c r="AY1896" s="77"/>
      <c r="AZ1896" s="80" t="s">
        <v>20380</v>
      </c>
      <c r="BA1896" s="80" t="s">
        <v>20380</v>
      </c>
      <c r="BB1896" s="80" t="s">
        <v>20380</v>
      </c>
      <c r="BC1896" s="80" t="s">
        <v>17758</v>
      </c>
      <c r="BD1896" s="80" t="s">
        <v>20773</v>
      </c>
      <c r="BE1896" s="77"/>
      <c r="BF1896" s="77"/>
      <c r="BG1896" s="77"/>
      <c r="BH1896" s="77"/>
      <c r="BI1896" s="77"/>
    </row>
    <row r="1897" spans="1:61" x14ac:dyDescent="0.25">
      <c r="A1897" s="62" t="s">
        <v>802</v>
      </c>
      <c r="B1897" s="62" t="s">
        <v>803</v>
      </c>
      <c r="C1897" s="63"/>
      <c r="D1897" s="64"/>
      <c r="E1897" s="65"/>
      <c r="F1897" s="66"/>
      <c r="G1897" s="63"/>
      <c r="H1897" s="67"/>
      <c r="I1897" s="68"/>
      <c r="J1897" s="68"/>
      <c r="K1897" s="32"/>
      <c r="L1897" s="75">
        <v>1897</v>
      </c>
      <c r="M1897" s="75"/>
      <c r="N1897" s="70"/>
      <c r="O1897" s="77" t="s">
        <v>2079</v>
      </c>
      <c r="P1897" s="79">
        <v>45172.963958333334</v>
      </c>
      <c r="Q1897" s="77" t="s">
        <v>3785</v>
      </c>
      <c r="R1897" s="77">
        <v>2</v>
      </c>
      <c r="S1897" s="77">
        <v>16</v>
      </c>
      <c r="T1897" s="77">
        <v>0</v>
      </c>
      <c r="U1897" s="77">
        <v>0</v>
      </c>
      <c r="V1897" s="77">
        <v>113</v>
      </c>
      <c r="W1897" s="80" t="s">
        <v>7095</v>
      </c>
      <c r="X1897" s="77"/>
      <c r="Y1897" s="77"/>
      <c r="Z1897" s="77" t="s">
        <v>8960</v>
      </c>
      <c r="AA1897" s="77"/>
      <c r="AB1897" s="77"/>
      <c r="AC1897" s="80" t="s">
        <v>10542</v>
      </c>
      <c r="AD1897" s="77" t="s">
        <v>10617</v>
      </c>
      <c r="AE1897" s="83" t="str">
        <f>HYPERLINK("https://twitter.com/antonio27072324/status/1698472967536075142")</f>
        <v>https://twitter.com/antonio27072324/status/1698472967536075142</v>
      </c>
      <c r="AF1897" s="79">
        <v>45172.963958333334</v>
      </c>
      <c r="AG1897" s="85">
        <v>45172</v>
      </c>
      <c r="AH1897" s="80" t="s">
        <v>12314</v>
      </c>
      <c r="AI1897" s="77"/>
      <c r="AJ1897" s="77"/>
      <c r="AK1897" s="77"/>
      <c r="AL1897" s="77"/>
      <c r="AM1897" s="77"/>
      <c r="AN1897" s="77"/>
      <c r="AO1897" s="77"/>
      <c r="AP1897" s="77"/>
      <c r="AQ1897" s="77"/>
      <c r="AR1897" s="77"/>
      <c r="AS1897" s="77"/>
      <c r="AT1897" s="77"/>
      <c r="AU1897" s="77"/>
      <c r="AV1897" s="83" t="str">
        <f>HYPERLINK("https://pbs.twimg.com/profile_images/1464564522547621892/7oalRsQT_normal.jpg")</f>
        <v>https://pbs.twimg.com/profile_images/1464564522547621892/7oalRsQT_normal.jpg</v>
      </c>
      <c r="AW1897" s="80" t="s">
        <v>17757</v>
      </c>
      <c r="AX1897" s="80" t="s">
        <v>20028</v>
      </c>
      <c r="AY1897" s="80" t="s">
        <v>20281</v>
      </c>
      <c r="AZ1897" s="80" t="s">
        <v>20028</v>
      </c>
      <c r="BA1897" s="80" t="s">
        <v>20380</v>
      </c>
      <c r="BB1897" s="80" t="s">
        <v>20380</v>
      </c>
      <c r="BC1897" s="80" t="s">
        <v>20028</v>
      </c>
      <c r="BD1897" s="80" t="s">
        <v>20772</v>
      </c>
      <c r="BE1897" s="77"/>
      <c r="BF1897" s="77"/>
      <c r="BG1897" s="77"/>
      <c r="BH1897" s="77"/>
      <c r="BI1897" s="77"/>
    </row>
    <row r="1898" spans="1:61" x14ac:dyDescent="0.25">
      <c r="A1898" s="62" t="s">
        <v>802</v>
      </c>
      <c r="B1898" s="62" t="s">
        <v>1877</v>
      </c>
      <c r="C1898" s="63"/>
      <c r="D1898" s="64"/>
      <c r="E1898" s="65"/>
      <c r="F1898" s="66"/>
      <c r="G1898" s="63"/>
      <c r="H1898" s="67"/>
      <c r="I1898" s="68"/>
      <c r="J1898" s="68"/>
      <c r="K1898" s="32"/>
      <c r="L1898" s="75">
        <v>1898</v>
      </c>
      <c r="M1898" s="75"/>
      <c r="N1898" s="70"/>
      <c r="O1898" s="77" t="s">
        <v>2079</v>
      </c>
      <c r="P1898" s="79">
        <v>45172.963958333334</v>
      </c>
      <c r="Q1898" s="77" t="s">
        <v>3785</v>
      </c>
      <c r="R1898" s="77">
        <v>2</v>
      </c>
      <c r="S1898" s="77">
        <v>16</v>
      </c>
      <c r="T1898" s="77">
        <v>0</v>
      </c>
      <c r="U1898" s="77">
        <v>0</v>
      </c>
      <c r="V1898" s="77">
        <v>113</v>
      </c>
      <c r="W1898" s="80" t="s">
        <v>7095</v>
      </c>
      <c r="X1898" s="77"/>
      <c r="Y1898" s="77"/>
      <c r="Z1898" s="77" t="s">
        <v>8960</v>
      </c>
      <c r="AA1898" s="77"/>
      <c r="AB1898" s="77"/>
      <c r="AC1898" s="80" t="s">
        <v>10542</v>
      </c>
      <c r="AD1898" s="77" t="s">
        <v>10617</v>
      </c>
      <c r="AE1898" s="83" t="str">
        <f>HYPERLINK("https://twitter.com/antonio27072324/status/1698472967536075142")</f>
        <v>https://twitter.com/antonio27072324/status/1698472967536075142</v>
      </c>
      <c r="AF1898" s="79">
        <v>45172.963958333334</v>
      </c>
      <c r="AG1898" s="85">
        <v>45172</v>
      </c>
      <c r="AH1898" s="80" t="s">
        <v>12314</v>
      </c>
      <c r="AI1898" s="77"/>
      <c r="AJ1898" s="77"/>
      <c r="AK1898" s="77"/>
      <c r="AL1898" s="77"/>
      <c r="AM1898" s="77"/>
      <c r="AN1898" s="77"/>
      <c r="AO1898" s="77"/>
      <c r="AP1898" s="77"/>
      <c r="AQ1898" s="77"/>
      <c r="AR1898" s="77"/>
      <c r="AS1898" s="77"/>
      <c r="AT1898" s="77"/>
      <c r="AU1898" s="77"/>
      <c r="AV1898" s="83" t="str">
        <f>HYPERLINK("https://pbs.twimg.com/profile_images/1464564522547621892/7oalRsQT_normal.jpg")</f>
        <v>https://pbs.twimg.com/profile_images/1464564522547621892/7oalRsQT_normal.jpg</v>
      </c>
      <c r="AW1898" s="80" t="s">
        <v>17757</v>
      </c>
      <c r="AX1898" s="80" t="s">
        <v>20028</v>
      </c>
      <c r="AY1898" s="80" t="s">
        <v>20281</v>
      </c>
      <c r="AZ1898" s="80" t="s">
        <v>20028</v>
      </c>
      <c r="BA1898" s="80" t="s">
        <v>20380</v>
      </c>
      <c r="BB1898" s="80" t="s">
        <v>20380</v>
      </c>
      <c r="BC1898" s="80" t="s">
        <v>20028</v>
      </c>
      <c r="BD1898" s="80" t="s">
        <v>20772</v>
      </c>
      <c r="BE1898" s="77"/>
      <c r="BF1898" s="77"/>
      <c r="BG1898" s="77"/>
      <c r="BH1898" s="77"/>
      <c r="BI1898" s="77"/>
    </row>
    <row r="1899" spans="1:61" x14ac:dyDescent="0.25">
      <c r="A1899" s="62" t="s">
        <v>802</v>
      </c>
      <c r="B1899" s="62" t="s">
        <v>1878</v>
      </c>
      <c r="C1899" s="63"/>
      <c r="D1899" s="64"/>
      <c r="E1899" s="65"/>
      <c r="F1899" s="66"/>
      <c r="G1899" s="63"/>
      <c r="H1899" s="67"/>
      <c r="I1899" s="68"/>
      <c r="J1899" s="68"/>
      <c r="K1899" s="32"/>
      <c r="L1899" s="75">
        <v>1899</v>
      </c>
      <c r="M1899" s="75"/>
      <c r="N1899" s="70"/>
      <c r="O1899" s="77" t="s">
        <v>2079</v>
      </c>
      <c r="P1899" s="79">
        <v>45172.963958333334</v>
      </c>
      <c r="Q1899" s="77" t="s">
        <v>3785</v>
      </c>
      <c r="R1899" s="77">
        <v>2</v>
      </c>
      <c r="S1899" s="77">
        <v>16</v>
      </c>
      <c r="T1899" s="77">
        <v>0</v>
      </c>
      <c r="U1899" s="77">
        <v>0</v>
      </c>
      <c r="V1899" s="77">
        <v>113</v>
      </c>
      <c r="W1899" s="80" t="s">
        <v>7095</v>
      </c>
      <c r="X1899" s="77"/>
      <c r="Y1899" s="77"/>
      <c r="Z1899" s="77" t="s">
        <v>8960</v>
      </c>
      <c r="AA1899" s="77"/>
      <c r="AB1899" s="77"/>
      <c r="AC1899" s="80" t="s">
        <v>10542</v>
      </c>
      <c r="AD1899" s="77" t="s">
        <v>10617</v>
      </c>
      <c r="AE1899" s="83" t="str">
        <f>HYPERLINK("https://twitter.com/antonio27072324/status/1698472967536075142")</f>
        <v>https://twitter.com/antonio27072324/status/1698472967536075142</v>
      </c>
      <c r="AF1899" s="79">
        <v>45172.963958333334</v>
      </c>
      <c r="AG1899" s="85">
        <v>45172</v>
      </c>
      <c r="AH1899" s="80" t="s">
        <v>12314</v>
      </c>
      <c r="AI1899" s="77"/>
      <c r="AJ1899" s="77"/>
      <c r="AK1899" s="77"/>
      <c r="AL1899" s="77"/>
      <c r="AM1899" s="77"/>
      <c r="AN1899" s="77"/>
      <c r="AO1899" s="77"/>
      <c r="AP1899" s="77"/>
      <c r="AQ1899" s="77"/>
      <c r="AR1899" s="77"/>
      <c r="AS1899" s="77"/>
      <c r="AT1899" s="77"/>
      <c r="AU1899" s="77"/>
      <c r="AV1899" s="83" t="str">
        <f>HYPERLINK("https://pbs.twimg.com/profile_images/1464564522547621892/7oalRsQT_normal.jpg")</f>
        <v>https://pbs.twimg.com/profile_images/1464564522547621892/7oalRsQT_normal.jpg</v>
      </c>
      <c r="AW1899" s="80" t="s">
        <v>17757</v>
      </c>
      <c r="AX1899" s="80" t="s">
        <v>20028</v>
      </c>
      <c r="AY1899" s="80" t="s">
        <v>20281</v>
      </c>
      <c r="AZ1899" s="80" t="s">
        <v>20028</v>
      </c>
      <c r="BA1899" s="80" t="s">
        <v>20380</v>
      </c>
      <c r="BB1899" s="80" t="s">
        <v>20380</v>
      </c>
      <c r="BC1899" s="80" t="s">
        <v>20028</v>
      </c>
      <c r="BD1899" s="80" t="s">
        <v>20772</v>
      </c>
      <c r="BE1899" s="77"/>
      <c r="BF1899" s="77"/>
      <c r="BG1899" s="77"/>
      <c r="BH1899" s="77"/>
      <c r="BI1899" s="77"/>
    </row>
    <row r="1900" spans="1:61" x14ac:dyDescent="0.25">
      <c r="A1900" s="62" t="s">
        <v>802</v>
      </c>
      <c r="B1900" s="62" t="s">
        <v>1879</v>
      </c>
      <c r="C1900" s="63"/>
      <c r="D1900" s="64"/>
      <c r="E1900" s="65"/>
      <c r="F1900" s="66"/>
      <c r="G1900" s="63"/>
      <c r="H1900" s="67"/>
      <c r="I1900" s="68"/>
      <c r="J1900" s="68"/>
      <c r="K1900" s="32"/>
      <c r="L1900" s="75">
        <v>1900</v>
      </c>
      <c r="M1900" s="75"/>
      <c r="N1900" s="70"/>
      <c r="O1900" s="77" t="s">
        <v>2079</v>
      </c>
      <c r="P1900" s="79">
        <v>45172.963958333334</v>
      </c>
      <c r="Q1900" s="77" t="s">
        <v>3785</v>
      </c>
      <c r="R1900" s="77">
        <v>2</v>
      </c>
      <c r="S1900" s="77">
        <v>16</v>
      </c>
      <c r="T1900" s="77">
        <v>0</v>
      </c>
      <c r="U1900" s="77">
        <v>0</v>
      </c>
      <c r="V1900" s="77">
        <v>113</v>
      </c>
      <c r="W1900" s="80" t="s">
        <v>7095</v>
      </c>
      <c r="X1900" s="77"/>
      <c r="Y1900" s="77"/>
      <c r="Z1900" s="77" t="s">
        <v>8960</v>
      </c>
      <c r="AA1900" s="77"/>
      <c r="AB1900" s="77"/>
      <c r="AC1900" s="80" t="s">
        <v>10542</v>
      </c>
      <c r="AD1900" s="77" t="s">
        <v>10617</v>
      </c>
      <c r="AE1900" s="83" t="str">
        <f>HYPERLINK("https://twitter.com/antonio27072324/status/1698472967536075142")</f>
        <v>https://twitter.com/antonio27072324/status/1698472967536075142</v>
      </c>
      <c r="AF1900" s="79">
        <v>45172.963958333334</v>
      </c>
      <c r="AG1900" s="85">
        <v>45172</v>
      </c>
      <c r="AH1900" s="80" t="s">
        <v>12314</v>
      </c>
      <c r="AI1900" s="77"/>
      <c r="AJ1900" s="77"/>
      <c r="AK1900" s="77"/>
      <c r="AL1900" s="77"/>
      <c r="AM1900" s="77"/>
      <c r="AN1900" s="77"/>
      <c r="AO1900" s="77"/>
      <c r="AP1900" s="77"/>
      <c r="AQ1900" s="77"/>
      <c r="AR1900" s="77"/>
      <c r="AS1900" s="77"/>
      <c r="AT1900" s="77"/>
      <c r="AU1900" s="77"/>
      <c r="AV1900" s="83" t="str">
        <f>HYPERLINK("https://pbs.twimg.com/profile_images/1464564522547621892/7oalRsQT_normal.jpg")</f>
        <v>https://pbs.twimg.com/profile_images/1464564522547621892/7oalRsQT_normal.jpg</v>
      </c>
      <c r="AW1900" s="80" t="s">
        <v>17757</v>
      </c>
      <c r="AX1900" s="80" t="s">
        <v>20028</v>
      </c>
      <c r="AY1900" s="80" t="s">
        <v>20281</v>
      </c>
      <c r="AZ1900" s="80" t="s">
        <v>20028</v>
      </c>
      <c r="BA1900" s="80" t="s">
        <v>20380</v>
      </c>
      <c r="BB1900" s="80" t="s">
        <v>20380</v>
      </c>
      <c r="BC1900" s="80" t="s">
        <v>20028</v>
      </c>
      <c r="BD1900" s="80" t="s">
        <v>20772</v>
      </c>
      <c r="BE1900" s="77"/>
      <c r="BF1900" s="77"/>
      <c r="BG1900" s="77"/>
      <c r="BH1900" s="77"/>
      <c r="BI1900" s="77"/>
    </row>
    <row r="1901" spans="1:61" x14ac:dyDescent="0.25">
      <c r="A1901" s="62" t="s">
        <v>802</v>
      </c>
      <c r="B1901" s="62" t="s">
        <v>1880</v>
      </c>
      <c r="C1901" s="63"/>
      <c r="D1901" s="64"/>
      <c r="E1901" s="65"/>
      <c r="F1901" s="66"/>
      <c r="G1901" s="63"/>
      <c r="H1901" s="67"/>
      <c r="I1901" s="68"/>
      <c r="J1901" s="68"/>
      <c r="K1901" s="32"/>
      <c r="L1901" s="75">
        <v>1901</v>
      </c>
      <c r="M1901" s="75"/>
      <c r="N1901" s="70"/>
      <c r="O1901" s="77" t="s">
        <v>2079</v>
      </c>
      <c r="P1901" s="79">
        <v>45172.963958333334</v>
      </c>
      <c r="Q1901" s="77" t="s">
        <v>3785</v>
      </c>
      <c r="R1901" s="77">
        <v>2</v>
      </c>
      <c r="S1901" s="77">
        <v>16</v>
      </c>
      <c r="T1901" s="77">
        <v>0</v>
      </c>
      <c r="U1901" s="77">
        <v>0</v>
      </c>
      <c r="V1901" s="77">
        <v>113</v>
      </c>
      <c r="W1901" s="80" t="s">
        <v>7095</v>
      </c>
      <c r="X1901" s="77"/>
      <c r="Y1901" s="77"/>
      <c r="Z1901" s="77" t="s">
        <v>8960</v>
      </c>
      <c r="AA1901" s="77"/>
      <c r="AB1901" s="77"/>
      <c r="AC1901" s="80" t="s">
        <v>10542</v>
      </c>
      <c r="AD1901" s="77" t="s">
        <v>10617</v>
      </c>
      <c r="AE1901" s="83" t="str">
        <f>HYPERLINK("https://twitter.com/antonio27072324/status/1698472967536075142")</f>
        <v>https://twitter.com/antonio27072324/status/1698472967536075142</v>
      </c>
      <c r="AF1901" s="79">
        <v>45172.963958333334</v>
      </c>
      <c r="AG1901" s="85">
        <v>45172</v>
      </c>
      <c r="AH1901" s="80" t="s">
        <v>12314</v>
      </c>
      <c r="AI1901" s="77"/>
      <c r="AJ1901" s="77"/>
      <c r="AK1901" s="77"/>
      <c r="AL1901" s="77"/>
      <c r="AM1901" s="77"/>
      <c r="AN1901" s="77"/>
      <c r="AO1901" s="77"/>
      <c r="AP1901" s="77"/>
      <c r="AQ1901" s="77"/>
      <c r="AR1901" s="77"/>
      <c r="AS1901" s="77"/>
      <c r="AT1901" s="77"/>
      <c r="AU1901" s="77"/>
      <c r="AV1901" s="83" t="str">
        <f>HYPERLINK("https://pbs.twimg.com/profile_images/1464564522547621892/7oalRsQT_normal.jpg")</f>
        <v>https://pbs.twimg.com/profile_images/1464564522547621892/7oalRsQT_normal.jpg</v>
      </c>
      <c r="AW1901" s="80" t="s">
        <v>17757</v>
      </c>
      <c r="AX1901" s="80" t="s">
        <v>20028</v>
      </c>
      <c r="AY1901" s="80" t="s">
        <v>20281</v>
      </c>
      <c r="AZ1901" s="80" t="s">
        <v>20028</v>
      </c>
      <c r="BA1901" s="80" t="s">
        <v>20380</v>
      </c>
      <c r="BB1901" s="80" t="s">
        <v>20380</v>
      </c>
      <c r="BC1901" s="80" t="s">
        <v>20028</v>
      </c>
      <c r="BD1901" s="80" t="s">
        <v>20772</v>
      </c>
      <c r="BE1901" s="77"/>
      <c r="BF1901" s="77"/>
      <c r="BG1901" s="77"/>
      <c r="BH1901" s="77"/>
      <c r="BI1901" s="77"/>
    </row>
    <row r="1902" spans="1:61" x14ac:dyDescent="0.25">
      <c r="A1902" s="62" t="s">
        <v>802</v>
      </c>
      <c r="B1902" s="62" t="s">
        <v>1881</v>
      </c>
      <c r="C1902" s="63"/>
      <c r="D1902" s="64"/>
      <c r="E1902" s="65"/>
      <c r="F1902" s="66"/>
      <c r="G1902" s="63"/>
      <c r="H1902" s="67"/>
      <c r="I1902" s="68"/>
      <c r="J1902" s="68"/>
      <c r="K1902" s="32"/>
      <c r="L1902" s="75">
        <v>1902</v>
      </c>
      <c r="M1902" s="75"/>
      <c r="N1902" s="70"/>
      <c r="O1902" s="77" t="s">
        <v>2079</v>
      </c>
      <c r="P1902" s="79">
        <v>45172.963958333334</v>
      </c>
      <c r="Q1902" s="77" t="s">
        <v>3785</v>
      </c>
      <c r="R1902" s="77">
        <v>2</v>
      </c>
      <c r="S1902" s="77">
        <v>16</v>
      </c>
      <c r="T1902" s="77">
        <v>0</v>
      </c>
      <c r="U1902" s="77">
        <v>0</v>
      </c>
      <c r="V1902" s="77">
        <v>113</v>
      </c>
      <c r="W1902" s="80" t="s">
        <v>7095</v>
      </c>
      <c r="X1902" s="77"/>
      <c r="Y1902" s="77"/>
      <c r="Z1902" s="77" t="s">
        <v>8960</v>
      </c>
      <c r="AA1902" s="77"/>
      <c r="AB1902" s="77"/>
      <c r="AC1902" s="80" t="s">
        <v>10542</v>
      </c>
      <c r="AD1902" s="77" t="s">
        <v>10617</v>
      </c>
      <c r="AE1902" s="83" t="str">
        <f>HYPERLINK("https://twitter.com/antonio27072324/status/1698472967536075142")</f>
        <v>https://twitter.com/antonio27072324/status/1698472967536075142</v>
      </c>
      <c r="AF1902" s="79">
        <v>45172.963958333334</v>
      </c>
      <c r="AG1902" s="85">
        <v>45172</v>
      </c>
      <c r="AH1902" s="80" t="s">
        <v>12314</v>
      </c>
      <c r="AI1902" s="77"/>
      <c r="AJ1902" s="77"/>
      <c r="AK1902" s="77"/>
      <c r="AL1902" s="77"/>
      <c r="AM1902" s="77"/>
      <c r="AN1902" s="77"/>
      <c r="AO1902" s="77"/>
      <c r="AP1902" s="77"/>
      <c r="AQ1902" s="77"/>
      <c r="AR1902" s="77"/>
      <c r="AS1902" s="77"/>
      <c r="AT1902" s="77"/>
      <c r="AU1902" s="77"/>
      <c r="AV1902" s="83" t="str">
        <f>HYPERLINK("https://pbs.twimg.com/profile_images/1464564522547621892/7oalRsQT_normal.jpg")</f>
        <v>https://pbs.twimg.com/profile_images/1464564522547621892/7oalRsQT_normal.jpg</v>
      </c>
      <c r="AW1902" s="80" t="s">
        <v>17757</v>
      </c>
      <c r="AX1902" s="80" t="s">
        <v>20028</v>
      </c>
      <c r="AY1902" s="80" t="s">
        <v>20281</v>
      </c>
      <c r="AZ1902" s="80" t="s">
        <v>20028</v>
      </c>
      <c r="BA1902" s="80" t="s">
        <v>20380</v>
      </c>
      <c r="BB1902" s="80" t="s">
        <v>20380</v>
      </c>
      <c r="BC1902" s="80" t="s">
        <v>20028</v>
      </c>
      <c r="BD1902" s="80" t="s">
        <v>20772</v>
      </c>
      <c r="BE1902" s="77"/>
      <c r="BF1902" s="77"/>
      <c r="BG1902" s="77"/>
      <c r="BH1902" s="77"/>
      <c r="BI1902" s="77"/>
    </row>
    <row r="1903" spans="1:61" x14ac:dyDescent="0.25">
      <c r="A1903" s="62" t="s">
        <v>802</v>
      </c>
      <c r="B1903" s="62" t="s">
        <v>1830</v>
      </c>
      <c r="C1903" s="63"/>
      <c r="D1903" s="64"/>
      <c r="E1903" s="65"/>
      <c r="F1903" s="66"/>
      <c r="G1903" s="63"/>
      <c r="H1903" s="67"/>
      <c r="I1903" s="68"/>
      <c r="J1903" s="68"/>
      <c r="K1903" s="32"/>
      <c r="L1903" s="75">
        <v>1903</v>
      </c>
      <c r="M1903" s="75"/>
      <c r="N1903" s="70"/>
      <c r="O1903" s="77" t="s">
        <v>2079</v>
      </c>
      <c r="P1903" s="79">
        <v>45172.963958333334</v>
      </c>
      <c r="Q1903" s="77" t="s">
        <v>3785</v>
      </c>
      <c r="R1903" s="77">
        <v>2</v>
      </c>
      <c r="S1903" s="77">
        <v>16</v>
      </c>
      <c r="T1903" s="77">
        <v>0</v>
      </c>
      <c r="U1903" s="77">
        <v>0</v>
      </c>
      <c r="V1903" s="77">
        <v>113</v>
      </c>
      <c r="W1903" s="80" t="s">
        <v>7095</v>
      </c>
      <c r="X1903" s="77"/>
      <c r="Y1903" s="77"/>
      <c r="Z1903" s="77" t="s">
        <v>8960</v>
      </c>
      <c r="AA1903" s="77"/>
      <c r="AB1903" s="77"/>
      <c r="AC1903" s="80" t="s">
        <v>10542</v>
      </c>
      <c r="AD1903" s="77" t="s">
        <v>10617</v>
      </c>
      <c r="AE1903" s="83" t="str">
        <f>HYPERLINK("https://twitter.com/antonio27072324/status/1698472967536075142")</f>
        <v>https://twitter.com/antonio27072324/status/1698472967536075142</v>
      </c>
      <c r="AF1903" s="79">
        <v>45172.963958333334</v>
      </c>
      <c r="AG1903" s="85">
        <v>45172</v>
      </c>
      <c r="AH1903" s="80" t="s">
        <v>12314</v>
      </c>
      <c r="AI1903" s="77"/>
      <c r="AJ1903" s="77"/>
      <c r="AK1903" s="77"/>
      <c r="AL1903" s="77"/>
      <c r="AM1903" s="77"/>
      <c r="AN1903" s="77"/>
      <c r="AO1903" s="77"/>
      <c r="AP1903" s="77"/>
      <c r="AQ1903" s="77"/>
      <c r="AR1903" s="77"/>
      <c r="AS1903" s="77"/>
      <c r="AT1903" s="77"/>
      <c r="AU1903" s="77"/>
      <c r="AV1903" s="83" t="str">
        <f>HYPERLINK("https://pbs.twimg.com/profile_images/1464564522547621892/7oalRsQT_normal.jpg")</f>
        <v>https://pbs.twimg.com/profile_images/1464564522547621892/7oalRsQT_normal.jpg</v>
      </c>
      <c r="AW1903" s="80" t="s">
        <v>17757</v>
      </c>
      <c r="AX1903" s="80" t="s">
        <v>20028</v>
      </c>
      <c r="AY1903" s="80" t="s">
        <v>20281</v>
      </c>
      <c r="AZ1903" s="80" t="s">
        <v>20028</v>
      </c>
      <c r="BA1903" s="80" t="s">
        <v>20380</v>
      </c>
      <c r="BB1903" s="80" t="s">
        <v>20380</v>
      </c>
      <c r="BC1903" s="80" t="s">
        <v>20028</v>
      </c>
      <c r="BD1903" s="80" t="s">
        <v>20772</v>
      </c>
      <c r="BE1903" s="77"/>
      <c r="BF1903" s="77"/>
      <c r="BG1903" s="77"/>
      <c r="BH1903" s="77"/>
      <c r="BI1903" s="77"/>
    </row>
    <row r="1904" spans="1:61" x14ac:dyDescent="0.25">
      <c r="A1904" s="62" t="s">
        <v>802</v>
      </c>
      <c r="B1904" s="62" t="s">
        <v>1882</v>
      </c>
      <c r="C1904" s="63"/>
      <c r="D1904" s="64"/>
      <c r="E1904" s="65"/>
      <c r="F1904" s="66"/>
      <c r="G1904" s="63"/>
      <c r="H1904" s="67"/>
      <c r="I1904" s="68"/>
      <c r="J1904" s="68"/>
      <c r="K1904" s="32"/>
      <c r="L1904" s="75">
        <v>1904</v>
      </c>
      <c r="M1904" s="75"/>
      <c r="N1904" s="70"/>
      <c r="O1904" s="77" t="s">
        <v>2078</v>
      </c>
      <c r="P1904" s="79">
        <v>45172.963958333334</v>
      </c>
      <c r="Q1904" s="77" t="s">
        <v>3785</v>
      </c>
      <c r="R1904" s="77">
        <v>2</v>
      </c>
      <c r="S1904" s="77">
        <v>16</v>
      </c>
      <c r="T1904" s="77">
        <v>0</v>
      </c>
      <c r="U1904" s="77">
        <v>0</v>
      </c>
      <c r="V1904" s="77">
        <v>113</v>
      </c>
      <c r="W1904" s="80" t="s">
        <v>7095</v>
      </c>
      <c r="X1904" s="77"/>
      <c r="Y1904" s="77"/>
      <c r="Z1904" s="77" t="s">
        <v>8960</v>
      </c>
      <c r="AA1904" s="77"/>
      <c r="AB1904" s="77"/>
      <c r="AC1904" s="80" t="s">
        <v>10542</v>
      </c>
      <c r="AD1904" s="77" t="s">
        <v>10617</v>
      </c>
      <c r="AE1904" s="83" t="str">
        <f>HYPERLINK("https://twitter.com/antonio27072324/status/1698472967536075142")</f>
        <v>https://twitter.com/antonio27072324/status/1698472967536075142</v>
      </c>
      <c r="AF1904" s="79">
        <v>45172.963958333334</v>
      </c>
      <c r="AG1904" s="85">
        <v>45172</v>
      </c>
      <c r="AH1904" s="80" t="s">
        <v>12314</v>
      </c>
      <c r="AI1904" s="77"/>
      <c r="AJ1904" s="77"/>
      <c r="AK1904" s="77"/>
      <c r="AL1904" s="77"/>
      <c r="AM1904" s="77"/>
      <c r="AN1904" s="77"/>
      <c r="AO1904" s="77"/>
      <c r="AP1904" s="77"/>
      <c r="AQ1904" s="77"/>
      <c r="AR1904" s="77"/>
      <c r="AS1904" s="77"/>
      <c r="AT1904" s="77"/>
      <c r="AU1904" s="77"/>
      <c r="AV1904" s="83" t="str">
        <f>HYPERLINK("https://pbs.twimg.com/profile_images/1464564522547621892/7oalRsQT_normal.jpg")</f>
        <v>https://pbs.twimg.com/profile_images/1464564522547621892/7oalRsQT_normal.jpg</v>
      </c>
      <c r="AW1904" s="80" t="s">
        <v>17757</v>
      </c>
      <c r="AX1904" s="80" t="s">
        <v>20028</v>
      </c>
      <c r="AY1904" s="80" t="s">
        <v>20281</v>
      </c>
      <c r="AZ1904" s="80" t="s">
        <v>20028</v>
      </c>
      <c r="BA1904" s="80" t="s">
        <v>20380</v>
      </c>
      <c r="BB1904" s="80" t="s">
        <v>20380</v>
      </c>
      <c r="BC1904" s="80" t="s">
        <v>20028</v>
      </c>
      <c r="BD1904" s="80" t="s">
        <v>20772</v>
      </c>
      <c r="BE1904" s="77"/>
      <c r="BF1904" s="77"/>
      <c r="BG1904" s="77"/>
      <c r="BH1904" s="77"/>
      <c r="BI1904" s="77"/>
    </row>
    <row r="1905" spans="1:61" x14ac:dyDescent="0.25">
      <c r="A1905" s="62" t="s">
        <v>804</v>
      </c>
      <c r="B1905" s="62" t="s">
        <v>804</v>
      </c>
      <c r="C1905" s="63"/>
      <c r="D1905" s="64"/>
      <c r="E1905" s="65"/>
      <c r="F1905" s="66"/>
      <c r="G1905" s="63"/>
      <c r="H1905" s="67"/>
      <c r="I1905" s="68"/>
      <c r="J1905" s="68"/>
      <c r="K1905" s="32"/>
      <c r="L1905" s="75">
        <v>1905</v>
      </c>
      <c r="M1905" s="75"/>
      <c r="N1905" s="70"/>
      <c r="O1905" s="77" t="s">
        <v>179</v>
      </c>
      <c r="P1905" s="79">
        <v>45136.520879629628</v>
      </c>
      <c r="Q1905" s="77" t="s">
        <v>3787</v>
      </c>
      <c r="R1905" s="77">
        <v>0</v>
      </c>
      <c r="S1905" s="77">
        <v>0</v>
      </c>
      <c r="T1905" s="77">
        <v>0</v>
      </c>
      <c r="U1905" s="77">
        <v>0</v>
      </c>
      <c r="V1905" s="77">
        <v>7</v>
      </c>
      <c r="W1905" s="80" t="s">
        <v>7096</v>
      </c>
      <c r="X1905" s="77"/>
      <c r="Y1905" s="77"/>
      <c r="Z1905" s="77"/>
      <c r="AA1905" s="77" t="s">
        <v>9548</v>
      </c>
      <c r="AB1905" s="77" t="s">
        <v>10535</v>
      </c>
      <c r="AC1905" s="80" t="s">
        <v>10540</v>
      </c>
      <c r="AD1905" s="77" t="s">
        <v>10620</v>
      </c>
      <c r="AE1905" s="83" t="str">
        <f>HYPERLINK("https://twitter.com/pablofreedom2/status/1685266438326562816")</f>
        <v>https://twitter.com/pablofreedom2/status/1685266438326562816</v>
      </c>
      <c r="AF1905" s="79">
        <v>45136.520879629628</v>
      </c>
      <c r="AG1905" s="85">
        <v>45136</v>
      </c>
      <c r="AH1905" s="80" t="s">
        <v>12316</v>
      </c>
      <c r="AI1905" s="77" t="b">
        <v>0</v>
      </c>
      <c r="AJ1905" s="77"/>
      <c r="AK1905" s="77"/>
      <c r="AL1905" s="77"/>
      <c r="AM1905" s="77"/>
      <c r="AN1905" s="77"/>
      <c r="AO1905" s="77"/>
      <c r="AP1905" s="77"/>
      <c r="AQ1905" s="77" t="s">
        <v>15030</v>
      </c>
      <c r="AR1905" s="77"/>
      <c r="AS1905" s="77"/>
      <c r="AT1905" s="77"/>
      <c r="AU1905" s="77"/>
      <c r="AV1905" s="83" t="str">
        <f>HYPERLINK("https://pbs.twimg.com/media/F2NE4ocW4AEaNne.jpg")</f>
        <v>https://pbs.twimg.com/media/F2NE4ocW4AEaNne.jpg</v>
      </c>
      <c r="AW1905" s="80" t="s">
        <v>17759</v>
      </c>
      <c r="AX1905" s="80" t="s">
        <v>17759</v>
      </c>
      <c r="AY1905" s="77"/>
      <c r="AZ1905" s="80" t="s">
        <v>20380</v>
      </c>
      <c r="BA1905" s="80" t="s">
        <v>20380</v>
      </c>
      <c r="BB1905" s="80" t="s">
        <v>20380</v>
      </c>
      <c r="BC1905" s="80" t="s">
        <v>17759</v>
      </c>
      <c r="BD1905" s="80" t="s">
        <v>20774</v>
      </c>
      <c r="BE1905" s="77"/>
      <c r="BF1905" s="77"/>
      <c r="BG1905" s="77"/>
      <c r="BH1905" s="77"/>
      <c r="BI1905" s="77"/>
    </row>
    <row r="1906" spans="1:61" x14ac:dyDescent="0.25">
      <c r="A1906" s="62" t="s">
        <v>805</v>
      </c>
      <c r="B1906" s="62" t="s">
        <v>912</v>
      </c>
      <c r="C1906" s="63"/>
      <c r="D1906" s="64"/>
      <c r="E1906" s="65"/>
      <c r="F1906" s="66"/>
      <c r="G1906" s="63"/>
      <c r="H1906" s="67"/>
      <c r="I1906" s="68"/>
      <c r="J1906" s="68"/>
      <c r="K1906" s="32"/>
      <c r="L1906" s="75">
        <v>1906</v>
      </c>
      <c r="M1906" s="75"/>
      <c r="N1906" s="70"/>
      <c r="O1906" s="77" t="s">
        <v>2083</v>
      </c>
      <c r="P1906" s="79">
        <v>45189.591458333336</v>
      </c>
      <c r="Q1906" s="77" t="s">
        <v>2867</v>
      </c>
      <c r="R1906" s="77">
        <v>2</v>
      </c>
      <c r="S1906" s="77">
        <v>0</v>
      </c>
      <c r="T1906" s="77">
        <v>0</v>
      </c>
      <c r="U1906" s="77">
        <v>0</v>
      </c>
      <c r="V1906" s="77"/>
      <c r="W1906" s="80" t="s">
        <v>6541</v>
      </c>
      <c r="X1906" s="77"/>
      <c r="Y1906" s="77"/>
      <c r="Z1906" s="77" t="s">
        <v>912</v>
      </c>
      <c r="AA1906" s="77"/>
      <c r="AB1906" s="77"/>
      <c r="AC1906" s="80" t="s">
        <v>10540</v>
      </c>
      <c r="AD1906" s="77" t="s">
        <v>10617</v>
      </c>
      <c r="AE1906" s="83" t="str">
        <f>HYPERLINK("https://twitter.com/lucearaujo/status/1704498571502821491")</f>
        <v>https://twitter.com/lucearaujo/status/1704498571502821491</v>
      </c>
      <c r="AF1906" s="79">
        <v>45189.591458333336</v>
      </c>
      <c r="AG1906" s="85">
        <v>45189</v>
      </c>
      <c r="AH1906" s="80" t="s">
        <v>12317</v>
      </c>
      <c r="AI1906" s="77" t="b">
        <v>0</v>
      </c>
      <c r="AJ1906" s="77"/>
      <c r="AK1906" s="77"/>
      <c r="AL1906" s="77"/>
      <c r="AM1906" s="77"/>
      <c r="AN1906" s="77"/>
      <c r="AO1906" s="77"/>
      <c r="AP1906" s="77"/>
      <c r="AQ1906" s="77"/>
      <c r="AR1906" s="77"/>
      <c r="AS1906" s="77"/>
      <c r="AT1906" s="77"/>
      <c r="AU1906" s="77"/>
      <c r="AV1906" s="83" t="str">
        <f>HYPERLINK("https://pbs.twimg.com/profile_images/1679983252398899200/0zb56_f__normal.jpg")</f>
        <v>https://pbs.twimg.com/profile_images/1679983252398899200/0zb56_f__normal.jpg</v>
      </c>
      <c r="AW1906" s="80" t="s">
        <v>17760</v>
      </c>
      <c r="AX1906" s="80" t="s">
        <v>17760</v>
      </c>
      <c r="AY1906" s="77"/>
      <c r="AZ1906" s="80" t="s">
        <v>20380</v>
      </c>
      <c r="BA1906" s="80" t="s">
        <v>20380</v>
      </c>
      <c r="BB1906" s="80" t="s">
        <v>18056</v>
      </c>
      <c r="BC1906" s="80" t="s">
        <v>18056</v>
      </c>
      <c r="BD1906" s="77">
        <v>164088786</v>
      </c>
      <c r="BE1906" s="77"/>
      <c r="BF1906" s="77"/>
      <c r="BG1906" s="77"/>
      <c r="BH1906" s="77"/>
      <c r="BI1906" s="77"/>
    </row>
    <row r="1907" spans="1:61" x14ac:dyDescent="0.25">
      <c r="A1907" s="62" t="s">
        <v>806</v>
      </c>
      <c r="B1907" s="62" t="s">
        <v>806</v>
      </c>
      <c r="C1907" s="63"/>
      <c r="D1907" s="64"/>
      <c r="E1907" s="65"/>
      <c r="F1907" s="66"/>
      <c r="G1907" s="63"/>
      <c r="H1907" s="67"/>
      <c r="I1907" s="68"/>
      <c r="J1907" s="68"/>
      <c r="K1907" s="32"/>
      <c r="L1907" s="75">
        <v>1907</v>
      </c>
      <c r="M1907" s="75"/>
      <c r="N1907" s="70"/>
      <c r="O1907" s="77" t="s">
        <v>179</v>
      </c>
      <c r="P1907" s="79">
        <v>45085.057835648149</v>
      </c>
      <c r="Q1907" s="77" t="s">
        <v>3788</v>
      </c>
      <c r="R1907" s="77">
        <v>0</v>
      </c>
      <c r="S1907" s="77">
        <v>0</v>
      </c>
      <c r="T1907" s="77">
        <v>0</v>
      </c>
      <c r="U1907" s="77">
        <v>0</v>
      </c>
      <c r="V1907" s="77">
        <v>8</v>
      </c>
      <c r="W1907" s="80" t="s">
        <v>7097</v>
      </c>
      <c r="X1907" s="83" t="str">
        <f>HYPERLINK("https://www.sandromoraes.com.br/noticias/brasil/962337/1")</f>
        <v>https://www.sandromoraes.com.br/noticias/brasil/962337/1</v>
      </c>
      <c r="Y1907" s="77" t="s">
        <v>8611</v>
      </c>
      <c r="Z1907" s="77"/>
      <c r="AA1907" s="77" t="s">
        <v>9549</v>
      </c>
      <c r="AB1907" s="77" t="s">
        <v>10535</v>
      </c>
      <c r="AC1907" s="80" t="s">
        <v>10541</v>
      </c>
      <c r="AD1907" s="77" t="s">
        <v>10617</v>
      </c>
      <c r="AE1907" s="83" t="str">
        <f>HYPERLINK("https://twitter.com/sandromoraesvp/status/1666616858542211073")</f>
        <v>https://twitter.com/sandromoraesvp/status/1666616858542211073</v>
      </c>
      <c r="AF1907" s="79">
        <v>45085.057835648149</v>
      </c>
      <c r="AG1907" s="85">
        <v>45085</v>
      </c>
      <c r="AH1907" s="80" t="s">
        <v>12318</v>
      </c>
      <c r="AI1907" s="77" t="b">
        <v>0</v>
      </c>
      <c r="AJ1907" s="77"/>
      <c r="AK1907" s="77"/>
      <c r="AL1907" s="77"/>
      <c r="AM1907" s="77"/>
      <c r="AN1907" s="77"/>
      <c r="AO1907" s="77"/>
      <c r="AP1907" s="77"/>
      <c r="AQ1907" s="77" t="s">
        <v>15031</v>
      </c>
      <c r="AR1907" s="77"/>
      <c r="AS1907" s="77"/>
      <c r="AT1907" s="77"/>
      <c r="AU1907" s="77"/>
      <c r="AV1907" s="83" t="str">
        <f>HYPERLINK("https://pbs.twimg.com/media/FyEDLRcXsAEA8T1.jpg")</f>
        <v>https://pbs.twimg.com/media/FyEDLRcXsAEA8T1.jpg</v>
      </c>
      <c r="AW1907" s="80" t="s">
        <v>17761</v>
      </c>
      <c r="AX1907" s="80" t="s">
        <v>17761</v>
      </c>
      <c r="AY1907" s="77"/>
      <c r="AZ1907" s="80" t="s">
        <v>20380</v>
      </c>
      <c r="BA1907" s="80" t="s">
        <v>20380</v>
      </c>
      <c r="BB1907" s="80" t="s">
        <v>20380</v>
      </c>
      <c r="BC1907" s="80" t="s">
        <v>17761</v>
      </c>
      <c r="BD1907" s="77">
        <v>48585389</v>
      </c>
      <c r="BE1907" s="77"/>
      <c r="BF1907" s="77"/>
      <c r="BG1907" s="77"/>
      <c r="BH1907" s="77"/>
      <c r="BI1907" s="77"/>
    </row>
    <row r="1908" spans="1:61" x14ac:dyDescent="0.25">
      <c r="A1908" s="62" t="s">
        <v>807</v>
      </c>
      <c r="B1908" s="62" t="s">
        <v>807</v>
      </c>
      <c r="C1908" s="63"/>
      <c r="D1908" s="64"/>
      <c r="E1908" s="65"/>
      <c r="F1908" s="66"/>
      <c r="G1908" s="63"/>
      <c r="H1908" s="67"/>
      <c r="I1908" s="68"/>
      <c r="J1908" s="68"/>
      <c r="K1908" s="32"/>
      <c r="L1908" s="75">
        <v>1908</v>
      </c>
      <c r="M1908" s="75"/>
      <c r="N1908" s="70"/>
      <c r="O1908" s="77" t="s">
        <v>179</v>
      </c>
      <c r="P1908" s="79">
        <v>45132.628206018519</v>
      </c>
      <c r="Q1908" s="77" t="s">
        <v>3789</v>
      </c>
      <c r="R1908" s="77">
        <v>0</v>
      </c>
      <c r="S1908" s="77">
        <v>0</v>
      </c>
      <c r="T1908" s="77">
        <v>0</v>
      </c>
      <c r="U1908" s="77">
        <v>0</v>
      </c>
      <c r="V1908" s="77">
        <v>13</v>
      </c>
      <c r="W1908" s="80" t="s">
        <v>7098</v>
      </c>
      <c r="X1908" s="83" t="str">
        <f>HYPERLINK("https://www.instagram.com/p/CvH-r_ArgCd/?igshid=MTc4MmM1YmI2Ng==")</f>
        <v>https://www.instagram.com/p/CvH-r_ArgCd/?igshid=MTc4MmM1YmI2Ng==</v>
      </c>
      <c r="Y1908" s="77" t="s">
        <v>8630</v>
      </c>
      <c r="Z1908" s="77"/>
      <c r="AA1908" s="77"/>
      <c r="AB1908" s="77"/>
      <c r="AC1908" s="80" t="s">
        <v>10541</v>
      </c>
      <c r="AD1908" s="77" t="s">
        <v>10617</v>
      </c>
      <c r="AE1908" s="83" t="str">
        <f>HYPERLINK("https://twitter.com/lucia19517/status/1683855782259859459")</f>
        <v>https://twitter.com/lucia19517/status/1683855782259859459</v>
      </c>
      <c r="AF1908" s="79">
        <v>45132.628206018519</v>
      </c>
      <c r="AG1908" s="85">
        <v>45132</v>
      </c>
      <c r="AH1908" s="80" t="s">
        <v>12319</v>
      </c>
      <c r="AI1908" s="77" t="b">
        <v>0</v>
      </c>
      <c r="AJ1908" s="77"/>
      <c r="AK1908" s="77"/>
      <c r="AL1908" s="77"/>
      <c r="AM1908" s="77"/>
      <c r="AN1908" s="77"/>
      <c r="AO1908" s="77"/>
      <c r="AP1908" s="77"/>
      <c r="AQ1908" s="77"/>
      <c r="AR1908" s="77"/>
      <c r="AS1908" s="77"/>
      <c r="AT1908" s="77"/>
      <c r="AU1908" s="77"/>
      <c r="AV1908" s="83" t="str">
        <f>HYPERLINK("https://pbs.twimg.com/profile_images/1636354527623278599/DwWgY4sa_normal.png")</f>
        <v>https://pbs.twimg.com/profile_images/1636354527623278599/DwWgY4sa_normal.png</v>
      </c>
      <c r="AW1908" s="80" t="s">
        <v>17762</v>
      </c>
      <c r="AX1908" s="80" t="s">
        <v>17762</v>
      </c>
      <c r="AY1908" s="77"/>
      <c r="AZ1908" s="80" t="s">
        <v>20380</v>
      </c>
      <c r="BA1908" s="80" t="s">
        <v>20380</v>
      </c>
      <c r="BB1908" s="80" t="s">
        <v>20380</v>
      </c>
      <c r="BC1908" s="80" t="s">
        <v>17762</v>
      </c>
      <c r="BD1908" s="80" t="s">
        <v>20775</v>
      </c>
      <c r="BE1908" s="77"/>
      <c r="BF1908" s="77"/>
      <c r="BG1908" s="77"/>
      <c r="BH1908" s="77"/>
      <c r="BI1908" s="77"/>
    </row>
    <row r="1909" spans="1:61" x14ac:dyDescent="0.25">
      <c r="A1909" s="62" t="s">
        <v>808</v>
      </c>
      <c r="B1909" s="62" t="s">
        <v>1883</v>
      </c>
      <c r="C1909" s="63"/>
      <c r="D1909" s="64"/>
      <c r="E1909" s="65"/>
      <c r="F1909" s="66"/>
      <c r="G1909" s="63"/>
      <c r="H1909" s="67"/>
      <c r="I1909" s="68"/>
      <c r="J1909" s="68"/>
      <c r="K1909" s="32"/>
      <c r="L1909" s="75">
        <v>1909</v>
      </c>
      <c r="M1909" s="75"/>
      <c r="N1909" s="70"/>
      <c r="O1909" s="77" t="s">
        <v>2078</v>
      </c>
      <c r="P1909" s="79">
        <v>45052.966203703705</v>
      </c>
      <c r="Q1909" s="77" t="s">
        <v>3790</v>
      </c>
      <c r="R1909" s="77">
        <v>0</v>
      </c>
      <c r="S1909" s="77">
        <v>0</v>
      </c>
      <c r="T1909" s="77">
        <v>0</v>
      </c>
      <c r="U1909" s="77">
        <v>0</v>
      </c>
      <c r="V1909" s="77">
        <v>13</v>
      </c>
      <c r="W1909" s="80" t="s">
        <v>7099</v>
      </c>
      <c r="X1909" s="77"/>
      <c r="Y1909" s="77"/>
      <c r="Z1909" s="77" t="s">
        <v>1883</v>
      </c>
      <c r="AA1909" s="77"/>
      <c r="AB1909" s="77"/>
      <c r="AC1909" s="80" t="s">
        <v>10541</v>
      </c>
      <c r="AD1909" s="77" t="s">
        <v>10617</v>
      </c>
      <c r="AE1909" s="83" t="str">
        <f>HYPERLINK("https://twitter.com/riosrosineide/status/1654987240236351491")</f>
        <v>https://twitter.com/riosrosineide/status/1654987240236351491</v>
      </c>
      <c r="AF1909" s="79">
        <v>45052.966203703705</v>
      </c>
      <c r="AG1909" s="85">
        <v>45052</v>
      </c>
      <c r="AH1909" s="80" t="s">
        <v>12320</v>
      </c>
      <c r="AI1909" s="77"/>
      <c r="AJ1909" s="77"/>
      <c r="AK1909" s="77"/>
      <c r="AL1909" s="77"/>
      <c r="AM1909" s="77"/>
      <c r="AN1909" s="77"/>
      <c r="AO1909" s="77"/>
      <c r="AP1909" s="77"/>
      <c r="AQ1909" s="77"/>
      <c r="AR1909" s="77"/>
      <c r="AS1909" s="77"/>
      <c r="AT1909" s="77"/>
      <c r="AU1909" s="77"/>
      <c r="AV1909" s="83" t="str">
        <f>HYPERLINK("https://pbs.twimg.com/profile_images/1560009383823671298/DH6jh0mV_normal.jpg")</f>
        <v>https://pbs.twimg.com/profile_images/1560009383823671298/DH6jh0mV_normal.jpg</v>
      </c>
      <c r="AW1909" s="80" t="s">
        <v>17763</v>
      </c>
      <c r="AX1909" s="80" t="s">
        <v>20029</v>
      </c>
      <c r="AY1909" s="80" t="s">
        <v>20282</v>
      </c>
      <c r="AZ1909" s="80" t="s">
        <v>20029</v>
      </c>
      <c r="BA1909" s="80" t="s">
        <v>20380</v>
      </c>
      <c r="BB1909" s="80" t="s">
        <v>20380</v>
      </c>
      <c r="BC1909" s="80" t="s">
        <v>20029</v>
      </c>
      <c r="BD1909" s="80" t="s">
        <v>20776</v>
      </c>
      <c r="BE1909" s="77"/>
      <c r="BF1909" s="77"/>
      <c r="BG1909" s="77"/>
      <c r="BH1909" s="77"/>
      <c r="BI1909" s="77"/>
    </row>
    <row r="1910" spans="1:61" x14ac:dyDescent="0.25">
      <c r="A1910" s="62" t="s">
        <v>809</v>
      </c>
      <c r="B1910" s="62" t="s">
        <v>809</v>
      </c>
      <c r="C1910" s="63"/>
      <c r="D1910" s="64"/>
      <c r="E1910" s="65"/>
      <c r="F1910" s="66"/>
      <c r="G1910" s="63"/>
      <c r="H1910" s="67"/>
      <c r="I1910" s="68"/>
      <c r="J1910" s="68"/>
      <c r="K1910" s="32"/>
      <c r="L1910" s="75">
        <v>1910</v>
      </c>
      <c r="M1910" s="75"/>
      <c r="N1910" s="70"/>
      <c r="O1910" s="77" t="s">
        <v>179</v>
      </c>
      <c r="P1910" s="79">
        <v>45069.491956018515</v>
      </c>
      <c r="Q1910" s="77" t="s">
        <v>3791</v>
      </c>
      <c r="R1910" s="77">
        <v>0</v>
      </c>
      <c r="S1910" s="77">
        <v>0</v>
      </c>
      <c r="T1910" s="77">
        <v>0</v>
      </c>
      <c r="U1910" s="77">
        <v>0</v>
      </c>
      <c r="V1910" s="77">
        <v>5</v>
      </c>
      <c r="W1910" s="80" t="s">
        <v>7100</v>
      </c>
      <c r="X1910" s="83" t="str">
        <f>HYPERLINK("https://nexosdigital.com.ar/2023/05/23/como-reconocer-los-billetes-autenticos-de-2-000-para-evitar-estafas/")</f>
        <v>https://nexosdigital.com.ar/2023/05/23/como-reconocer-los-billetes-autenticos-de-2-000-para-evitar-estafas/</v>
      </c>
      <c r="Y1910" s="77" t="s">
        <v>8624</v>
      </c>
      <c r="Z1910" s="77"/>
      <c r="AA1910" s="77"/>
      <c r="AB1910" s="77"/>
      <c r="AC1910" s="80" t="s">
        <v>10583</v>
      </c>
      <c r="AD1910" s="77" t="s">
        <v>10619</v>
      </c>
      <c r="AE1910" s="83" t="str">
        <f>HYPERLINK("https://twitter.com/nexos_digital/status/1660975970986123265")</f>
        <v>https://twitter.com/nexos_digital/status/1660975970986123265</v>
      </c>
      <c r="AF1910" s="79">
        <v>45069.491956018515</v>
      </c>
      <c r="AG1910" s="85">
        <v>45069</v>
      </c>
      <c r="AH1910" s="80" t="s">
        <v>12321</v>
      </c>
      <c r="AI1910" s="77" t="b">
        <v>0</v>
      </c>
      <c r="AJ1910" s="77"/>
      <c r="AK1910" s="77"/>
      <c r="AL1910" s="77"/>
      <c r="AM1910" s="77"/>
      <c r="AN1910" s="77"/>
      <c r="AO1910" s="77"/>
      <c r="AP1910" s="77"/>
      <c r="AQ1910" s="77"/>
      <c r="AR1910" s="77"/>
      <c r="AS1910" s="77"/>
      <c r="AT1910" s="77"/>
      <c r="AU1910" s="77"/>
      <c r="AV1910" s="83" t="str">
        <f>HYPERLINK("https://pbs.twimg.com/profile_images/1586156121882066944/cmW2LuoB_normal.jpg")</f>
        <v>https://pbs.twimg.com/profile_images/1586156121882066944/cmW2LuoB_normal.jpg</v>
      </c>
      <c r="AW1910" s="80" t="s">
        <v>17764</v>
      </c>
      <c r="AX1910" s="80" t="s">
        <v>17764</v>
      </c>
      <c r="AY1910" s="77"/>
      <c r="AZ1910" s="80" t="s">
        <v>20380</v>
      </c>
      <c r="BA1910" s="80" t="s">
        <v>20380</v>
      </c>
      <c r="BB1910" s="80" t="s">
        <v>20380</v>
      </c>
      <c r="BC1910" s="80" t="s">
        <v>17764</v>
      </c>
      <c r="BD1910" s="80" t="s">
        <v>20777</v>
      </c>
      <c r="BE1910" s="77"/>
      <c r="BF1910" s="77"/>
      <c r="BG1910" s="77"/>
      <c r="BH1910" s="77"/>
      <c r="BI1910" s="77"/>
    </row>
    <row r="1911" spans="1:61" x14ac:dyDescent="0.25">
      <c r="A1911" s="62" t="s">
        <v>810</v>
      </c>
      <c r="B1911" s="62" t="s">
        <v>810</v>
      </c>
      <c r="C1911" s="63"/>
      <c r="D1911" s="64"/>
      <c r="E1911" s="65"/>
      <c r="F1911" s="66"/>
      <c r="G1911" s="63"/>
      <c r="H1911" s="67"/>
      <c r="I1911" s="68"/>
      <c r="J1911" s="68"/>
      <c r="K1911" s="32"/>
      <c r="L1911" s="75">
        <v>1911</v>
      </c>
      <c r="M1911" s="75"/>
      <c r="N1911" s="70"/>
      <c r="O1911" s="77" t="s">
        <v>179</v>
      </c>
      <c r="P1911" s="79">
        <v>45103.884027777778</v>
      </c>
      <c r="Q1911" s="77" t="s">
        <v>3792</v>
      </c>
      <c r="R1911" s="77">
        <v>0</v>
      </c>
      <c r="S1911" s="77">
        <v>1</v>
      </c>
      <c r="T1911" s="77">
        <v>0</v>
      </c>
      <c r="U1911" s="77">
        <v>0</v>
      </c>
      <c r="V1911" s="77">
        <v>19</v>
      </c>
      <c r="W1911" s="80" t="s">
        <v>7101</v>
      </c>
      <c r="X1911" s="77"/>
      <c r="Y1911" s="77"/>
      <c r="Z1911" s="77"/>
      <c r="AA1911" s="77" t="s">
        <v>9550</v>
      </c>
      <c r="AB1911" s="77" t="s">
        <v>10535</v>
      </c>
      <c r="AC1911" s="80" t="s">
        <v>10570</v>
      </c>
      <c r="AD1911" s="77" t="s">
        <v>10617</v>
      </c>
      <c r="AE1911" s="83" t="str">
        <f>HYPERLINK("https://twitter.com/cmswbr/status/1673439238384234499")</f>
        <v>https://twitter.com/cmswbr/status/1673439238384234499</v>
      </c>
      <c r="AF1911" s="79">
        <v>45103.884027777778</v>
      </c>
      <c r="AG1911" s="85">
        <v>45103</v>
      </c>
      <c r="AH1911" s="80" t="s">
        <v>12322</v>
      </c>
      <c r="AI1911" s="77" t="b">
        <v>0</v>
      </c>
      <c r="AJ1911" s="77"/>
      <c r="AK1911" s="77"/>
      <c r="AL1911" s="77"/>
      <c r="AM1911" s="77"/>
      <c r="AN1911" s="77"/>
      <c r="AO1911" s="77"/>
      <c r="AP1911" s="77"/>
      <c r="AQ1911" s="77" t="s">
        <v>15032</v>
      </c>
      <c r="AR1911" s="77"/>
      <c r="AS1911" s="77"/>
      <c r="AT1911" s="77"/>
      <c r="AU1911" s="77"/>
      <c r="AV1911" s="83" t="str">
        <f>HYPERLINK("https://pbs.twimg.com/media/Fzk-D6vWAAAwUlw.jpg")</f>
        <v>https://pbs.twimg.com/media/Fzk-D6vWAAAwUlw.jpg</v>
      </c>
      <c r="AW1911" s="80" t="s">
        <v>17765</v>
      </c>
      <c r="AX1911" s="80" t="s">
        <v>17765</v>
      </c>
      <c r="AY1911" s="77"/>
      <c r="AZ1911" s="80" t="s">
        <v>20380</v>
      </c>
      <c r="BA1911" s="80" t="s">
        <v>20380</v>
      </c>
      <c r="BB1911" s="80" t="s">
        <v>20380</v>
      </c>
      <c r="BC1911" s="80" t="s">
        <v>17765</v>
      </c>
      <c r="BD1911" s="77">
        <v>2325810834</v>
      </c>
      <c r="BE1911" s="77"/>
      <c r="BF1911" s="77"/>
      <c r="BG1911" s="77"/>
      <c r="BH1911" s="77"/>
      <c r="BI1911" s="77"/>
    </row>
    <row r="1912" spans="1:61" x14ac:dyDescent="0.25">
      <c r="A1912" s="62" t="s">
        <v>811</v>
      </c>
      <c r="B1912" s="62" t="s">
        <v>1884</v>
      </c>
      <c r="C1912" s="63"/>
      <c r="D1912" s="64"/>
      <c r="E1912" s="65"/>
      <c r="F1912" s="66"/>
      <c r="G1912" s="63"/>
      <c r="H1912" s="67"/>
      <c r="I1912" s="68"/>
      <c r="J1912" s="68"/>
      <c r="K1912" s="32"/>
      <c r="L1912" s="75">
        <v>1912</v>
      </c>
      <c r="M1912" s="75"/>
      <c r="N1912" s="70"/>
      <c r="O1912" s="77" t="s">
        <v>2081</v>
      </c>
      <c r="P1912" s="79">
        <v>45051.875694444447</v>
      </c>
      <c r="Q1912" s="77" t="s">
        <v>3793</v>
      </c>
      <c r="R1912" s="77">
        <v>0</v>
      </c>
      <c r="S1912" s="77">
        <v>1</v>
      </c>
      <c r="T1912" s="77">
        <v>0</v>
      </c>
      <c r="U1912" s="77">
        <v>0</v>
      </c>
      <c r="V1912" s="77">
        <v>14</v>
      </c>
      <c r="W1912" s="80" t="s">
        <v>7102</v>
      </c>
      <c r="X1912" s="83" t="str">
        <f>HYPERLINK("https://www.a24.com/crypto/banco-central-vs-cripto-que-dice-la-durisima-medida-que-anuncio-contra-las-criptomonedas-n1095440")</f>
        <v>https://www.a24.com/crypto/banco-central-vs-cripto-que-dice-la-durisima-medida-que-anuncio-contra-las-criptomonedas-n1095440</v>
      </c>
      <c r="Y1912" s="77" t="s">
        <v>8755</v>
      </c>
      <c r="Z1912" s="77" t="s">
        <v>1884</v>
      </c>
      <c r="AA1912" s="77"/>
      <c r="AB1912" s="77"/>
      <c r="AC1912" s="80" t="s">
        <v>10551</v>
      </c>
      <c r="AD1912" s="77" t="s">
        <v>10620</v>
      </c>
      <c r="AE1912" s="83" t="str">
        <f>HYPERLINK("https://twitter.com/planbit_ar/status/1654592050309001216")</f>
        <v>https://twitter.com/planbit_ar/status/1654592050309001216</v>
      </c>
      <c r="AF1912" s="79">
        <v>45051.875694444447</v>
      </c>
      <c r="AG1912" s="85">
        <v>45051</v>
      </c>
      <c r="AH1912" s="80" t="s">
        <v>12323</v>
      </c>
      <c r="AI1912" s="77" t="b">
        <v>0</v>
      </c>
      <c r="AJ1912" s="77"/>
      <c r="AK1912" s="77"/>
      <c r="AL1912" s="77"/>
      <c r="AM1912" s="77"/>
      <c r="AN1912" s="77"/>
      <c r="AO1912" s="77"/>
      <c r="AP1912" s="77"/>
      <c r="AQ1912" s="77"/>
      <c r="AR1912" s="77"/>
      <c r="AS1912" s="77"/>
      <c r="AT1912" s="77"/>
      <c r="AU1912" s="77"/>
      <c r="AV1912" s="83" t="str">
        <f>HYPERLINK("https://pbs.twimg.com/profile_images/1536749083892887553/FcMZ9u4o_normal.jpg")</f>
        <v>https://pbs.twimg.com/profile_images/1536749083892887553/FcMZ9u4o_normal.jpg</v>
      </c>
      <c r="AW1912" s="80" t="s">
        <v>17766</v>
      </c>
      <c r="AX1912" s="80" t="s">
        <v>17766</v>
      </c>
      <c r="AY1912" s="77"/>
      <c r="AZ1912" s="80" t="s">
        <v>20380</v>
      </c>
      <c r="BA1912" s="80" t="s">
        <v>20380</v>
      </c>
      <c r="BB1912" s="80" t="s">
        <v>20380</v>
      </c>
      <c r="BC1912" s="80" t="s">
        <v>17766</v>
      </c>
      <c r="BD1912" s="80" t="s">
        <v>20778</v>
      </c>
      <c r="BE1912" s="77"/>
      <c r="BF1912" s="77"/>
      <c r="BG1912" s="77"/>
      <c r="BH1912" s="77"/>
      <c r="BI1912" s="77"/>
    </row>
    <row r="1913" spans="1:61" x14ac:dyDescent="0.25">
      <c r="A1913" s="62" t="s">
        <v>811</v>
      </c>
      <c r="B1913" s="62" t="s">
        <v>1885</v>
      </c>
      <c r="C1913" s="63"/>
      <c r="D1913" s="64"/>
      <c r="E1913" s="65"/>
      <c r="F1913" s="66"/>
      <c r="G1913" s="63"/>
      <c r="H1913" s="67"/>
      <c r="I1913" s="68"/>
      <c r="J1913" s="68"/>
      <c r="K1913" s="32"/>
      <c r="L1913" s="75">
        <v>1913</v>
      </c>
      <c r="M1913" s="75"/>
      <c r="N1913" s="70"/>
      <c r="O1913" s="77" t="s">
        <v>2081</v>
      </c>
      <c r="P1913" s="79">
        <v>45092.795775462961</v>
      </c>
      <c r="Q1913" s="77" t="s">
        <v>3794</v>
      </c>
      <c r="R1913" s="77">
        <v>0</v>
      </c>
      <c r="S1913" s="77">
        <v>1</v>
      </c>
      <c r="T1913" s="77">
        <v>0</v>
      </c>
      <c r="U1913" s="77">
        <v>0</v>
      </c>
      <c r="V1913" s="77">
        <v>11</v>
      </c>
      <c r="W1913" s="80" t="s">
        <v>7103</v>
      </c>
      <c r="X1913" s="83" t="str">
        <f>HYPERLINK("https://iupana.com/2023/06/14/bcb-regulador-cripto-brasil/https://iupana.com/2023/06/14/bcb-regulador-cripto-brasil/")</f>
        <v>https://iupana.com/2023/06/14/bcb-regulador-cripto-brasil/https://iupana.com/2023/06/14/bcb-regulador-cripto-brasil/</v>
      </c>
      <c r="Y1913" s="77" t="s">
        <v>8756</v>
      </c>
      <c r="Z1913" s="77" t="s">
        <v>1885</v>
      </c>
      <c r="AA1913" s="77"/>
      <c r="AB1913" s="77"/>
      <c r="AC1913" s="80" t="s">
        <v>10540</v>
      </c>
      <c r="AD1913" s="77" t="s">
        <v>10620</v>
      </c>
      <c r="AE1913" s="83" t="str">
        <f>HYPERLINK("https://twitter.com/planbit_ar/status/1669420991963975694")</f>
        <v>https://twitter.com/planbit_ar/status/1669420991963975694</v>
      </c>
      <c r="AF1913" s="79">
        <v>45092.795775462961</v>
      </c>
      <c r="AG1913" s="85">
        <v>45092</v>
      </c>
      <c r="AH1913" s="80" t="s">
        <v>12324</v>
      </c>
      <c r="AI1913" s="77" t="b">
        <v>0</v>
      </c>
      <c r="AJ1913" s="77"/>
      <c r="AK1913" s="77"/>
      <c r="AL1913" s="77"/>
      <c r="AM1913" s="77"/>
      <c r="AN1913" s="77"/>
      <c r="AO1913" s="77"/>
      <c r="AP1913" s="77"/>
      <c r="AQ1913" s="77"/>
      <c r="AR1913" s="77"/>
      <c r="AS1913" s="77"/>
      <c r="AT1913" s="77"/>
      <c r="AU1913" s="77"/>
      <c r="AV1913" s="83" t="str">
        <f>HYPERLINK("https://pbs.twimg.com/profile_images/1536749083892887553/FcMZ9u4o_normal.jpg")</f>
        <v>https://pbs.twimg.com/profile_images/1536749083892887553/FcMZ9u4o_normal.jpg</v>
      </c>
      <c r="AW1913" s="80" t="s">
        <v>17767</v>
      </c>
      <c r="AX1913" s="80" t="s">
        <v>17767</v>
      </c>
      <c r="AY1913" s="77"/>
      <c r="AZ1913" s="80" t="s">
        <v>20380</v>
      </c>
      <c r="BA1913" s="80" t="s">
        <v>20380</v>
      </c>
      <c r="BB1913" s="80" t="s">
        <v>20380</v>
      </c>
      <c r="BC1913" s="80" t="s">
        <v>17767</v>
      </c>
      <c r="BD1913" s="80" t="s">
        <v>20778</v>
      </c>
      <c r="BE1913" s="77"/>
      <c r="BF1913" s="77"/>
      <c r="BG1913" s="77"/>
      <c r="BH1913" s="77"/>
      <c r="BI1913" s="77"/>
    </row>
    <row r="1914" spans="1:61" x14ac:dyDescent="0.25">
      <c r="A1914" s="62" t="s">
        <v>812</v>
      </c>
      <c r="B1914" s="62" t="s">
        <v>812</v>
      </c>
      <c r="C1914" s="63"/>
      <c r="D1914" s="64"/>
      <c r="E1914" s="65"/>
      <c r="F1914" s="66"/>
      <c r="G1914" s="63"/>
      <c r="H1914" s="67"/>
      <c r="I1914" s="68"/>
      <c r="J1914" s="68"/>
      <c r="K1914" s="32"/>
      <c r="L1914" s="75">
        <v>1914</v>
      </c>
      <c r="M1914" s="75"/>
      <c r="N1914" s="70"/>
      <c r="O1914" s="77" t="s">
        <v>2078</v>
      </c>
      <c r="P1914" s="79">
        <v>45190.384837962964</v>
      </c>
      <c r="Q1914" s="77" t="s">
        <v>3795</v>
      </c>
      <c r="R1914" s="77">
        <v>0</v>
      </c>
      <c r="S1914" s="77">
        <v>0</v>
      </c>
      <c r="T1914" s="77">
        <v>1</v>
      </c>
      <c r="U1914" s="77">
        <v>0</v>
      </c>
      <c r="V1914" s="77">
        <v>7</v>
      </c>
      <c r="W1914" s="80" t="s">
        <v>7104</v>
      </c>
      <c r="X1914" s="77"/>
      <c r="Y1914" s="77"/>
      <c r="Z1914" s="77"/>
      <c r="AA1914" s="77"/>
      <c r="AB1914" s="77"/>
      <c r="AC1914" s="80" t="s">
        <v>10540</v>
      </c>
      <c r="AD1914" s="77" t="s">
        <v>10625</v>
      </c>
      <c r="AE1914" s="83" t="str">
        <f>HYPERLINK("https://twitter.com/kapmehxu/status/1704786085895676062")</f>
        <v>https://twitter.com/kapmehxu/status/1704786085895676062</v>
      </c>
      <c r="AF1914" s="79">
        <v>45190.384837962964</v>
      </c>
      <c r="AG1914" s="85">
        <v>45190</v>
      </c>
      <c r="AH1914" s="80" t="s">
        <v>12325</v>
      </c>
      <c r="AI1914" s="77"/>
      <c r="AJ1914" s="77"/>
      <c r="AK1914" s="77"/>
      <c r="AL1914" s="77"/>
      <c r="AM1914" s="77"/>
      <c r="AN1914" s="77"/>
      <c r="AO1914" s="77"/>
      <c r="AP1914" s="77"/>
      <c r="AQ1914" s="77"/>
      <c r="AR1914" s="77"/>
      <c r="AS1914" s="77"/>
      <c r="AT1914" s="77"/>
      <c r="AU1914" s="77"/>
      <c r="AV1914" s="83" t="str">
        <f>HYPERLINK("https://pbs.twimg.com/profile_images/1650494618440433665/nTeBxHny_normal.jpg")</f>
        <v>https://pbs.twimg.com/profile_images/1650494618440433665/nTeBxHny_normal.jpg</v>
      </c>
      <c r="AW1914" s="80" t="s">
        <v>17768</v>
      </c>
      <c r="AX1914" s="80" t="s">
        <v>20030</v>
      </c>
      <c r="AY1914" s="80" t="s">
        <v>20283</v>
      </c>
      <c r="AZ1914" s="80" t="s">
        <v>20420</v>
      </c>
      <c r="BA1914" s="80" t="s">
        <v>20380</v>
      </c>
      <c r="BB1914" s="80" t="s">
        <v>20380</v>
      </c>
      <c r="BC1914" s="80" t="s">
        <v>20420</v>
      </c>
      <c r="BD1914" s="77">
        <v>234499844</v>
      </c>
      <c r="BE1914" s="77"/>
      <c r="BF1914" s="77"/>
      <c r="BG1914" s="77"/>
      <c r="BH1914" s="77"/>
      <c r="BI1914" s="77"/>
    </row>
    <row r="1915" spans="1:61" x14ac:dyDescent="0.25">
      <c r="A1915" s="62" t="s">
        <v>813</v>
      </c>
      <c r="B1915" s="62" t="s">
        <v>1866</v>
      </c>
      <c r="C1915" s="63"/>
      <c r="D1915" s="64"/>
      <c r="E1915" s="65"/>
      <c r="F1915" s="66"/>
      <c r="G1915" s="63"/>
      <c r="H1915" s="67"/>
      <c r="I1915" s="68"/>
      <c r="J1915" s="68"/>
      <c r="K1915" s="32"/>
      <c r="L1915" s="75">
        <v>1915</v>
      </c>
      <c r="M1915" s="75"/>
      <c r="N1915" s="70"/>
      <c r="O1915" s="77" t="s">
        <v>2081</v>
      </c>
      <c r="P1915" s="79">
        <v>45187.620937500003</v>
      </c>
      <c r="Q1915" s="77" t="s">
        <v>3796</v>
      </c>
      <c r="R1915" s="77">
        <v>0</v>
      </c>
      <c r="S1915" s="77">
        <v>0</v>
      </c>
      <c r="T1915" s="77">
        <v>3</v>
      </c>
      <c r="U1915" s="77">
        <v>0</v>
      </c>
      <c r="V1915" s="77">
        <v>117</v>
      </c>
      <c r="W1915" s="80" t="s">
        <v>7105</v>
      </c>
      <c r="X1915" s="77"/>
      <c r="Y1915" s="77"/>
      <c r="Z1915" s="77" t="s">
        <v>1866</v>
      </c>
      <c r="AA1915" s="77"/>
      <c r="AB1915" s="77"/>
      <c r="AC1915" s="80" t="s">
        <v>10542</v>
      </c>
      <c r="AD1915" s="77" t="s">
        <v>10617</v>
      </c>
      <c r="AE1915" s="83" t="str">
        <f>HYPERLINK("https://twitter.com/fabriciovelosoc/status/1703784478722646333")</f>
        <v>https://twitter.com/fabriciovelosoc/status/1703784478722646333</v>
      </c>
      <c r="AF1915" s="79">
        <v>45187.620937500003</v>
      </c>
      <c r="AG1915" s="85">
        <v>45187</v>
      </c>
      <c r="AH1915" s="80" t="s">
        <v>12326</v>
      </c>
      <c r="AI1915" s="77"/>
      <c r="AJ1915" s="77"/>
      <c r="AK1915" s="77"/>
      <c r="AL1915" s="77"/>
      <c r="AM1915" s="77"/>
      <c r="AN1915" s="77"/>
      <c r="AO1915" s="77"/>
      <c r="AP1915" s="77"/>
      <c r="AQ1915" s="77"/>
      <c r="AR1915" s="77"/>
      <c r="AS1915" s="77"/>
      <c r="AT1915" s="77"/>
      <c r="AU1915" s="77"/>
      <c r="AV1915" s="83" t="str">
        <f>HYPERLINK("https://pbs.twimg.com/profile_images/1614444789163859975/WYB7NCjH_normal.jpg")</f>
        <v>https://pbs.twimg.com/profile_images/1614444789163859975/WYB7NCjH_normal.jpg</v>
      </c>
      <c r="AW1915" s="80" t="s">
        <v>17769</v>
      </c>
      <c r="AX1915" s="80" t="s">
        <v>17769</v>
      </c>
      <c r="AY1915" s="80" t="s">
        <v>20277</v>
      </c>
      <c r="AZ1915" s="80" t="s">
        <v>20380</v>
      </c>
      <c r="BA1915" s="80" t="s">
        <v>20380</v>
      </c>
      <c r="BB1915" s="80" t="s">
        <v>20380</v>
      </c>
      <c r="BC1915" s="80" t="s">
        <v>17769</v>
      </c>
      <c r="BD1915" s="77">
        <v>204451183</v>
      </c>
      <c r="BE1915" s="77"/>
      <c r="BF1915" s="77"/>
      <c r="BG1915" s="77"/>
      <c r="BH1915" s="77"/>
      <c r="BI1915" s="77"/>
    </row>
    <row r="1916" spans="1:61" x14ac:dyDescent="0.25">
      <c r="A1916" s="62" t="s">
        <v>813</v>
      </c>
      <c r="B1916" s="62" t="s">
        <v>1866</v>
      </c>
      <c r="C1916" s="63"/>
      <c r="D1916" s="64"/>
      <c r="E1916" s="65"/>
      <c r="F1916" s="66"/>
      <c r="G1916" s="63"/>
      <c r="H1916" s="67"/>
      <c r="I1916" s="68"/>
      <c r="J1916" s="68"/>
      <c r="K1916" s="32"/>
      <c r="L1916" s="75">
        <v>1916</v>
      </c>
      <c r="M1916" s="75"/>
      <c r="N1916" s="70"/>
      <c r="O1916" s="77" t="s">
        <v>2081</v>
      </c>
      <c r="P1916" s="79">
        <v>45187.617743055554</v>
      </c>
      <c r="Q1916" s="77" t="s">
        <v>3797</v>
      </c>
      <c r="R1916" s="77">
        <v>0</v>
      </c>
      <c r="S1916" s="77">
        <v>1</v>
      </c>
      <c r="T1916" s="77">
        <v>0</v>
      </c>
      <c r="U1916" s="77">
        <v>0</v>
      </c>
      <c r="V1916" s="77">
        <v>77</v>
      </c>
      <c r="W1916" s="80" t="s">
        <v>7105</v>
      </c>
      <c r="X1916" s="77"/>
      <c r="Y1916" s="77"/>
      <c r="Z1916" s="77" t="s">
        <v>8961</v>
      </c>
      <c r="AA1916" s="77"/>
      <c r="AB1916" s="77"/>
      <c r="AC1916" s="80" t="s">
        <v>10542</v>
      </c>
      <c r="AD1916" s="77" t="s">
        <v>10617</v>
      </c>
      <c r="AE1916" s="83" t="str">
        <f>HYPERLINK("https://twitter.com/fabriciovelosoc/status/1703783321635811496")</f>
        <v>https://twitter.com/fabriciovelosoc/status/1703783321635811496</v>
      </c>
      <c r="AF1916" s="79">
        <v>45187.617743055554</v>
      </c>
      <c r="AG1916" s="85">
        <v>45187</v>
      </c>
      <c r="AH1916" s="80" t="s">
        <v>12327</v>
      </c>
      <c r="AI1916" s="77"/>
      <c r="AJ1916" s="77"/>
      <c r="AK1916" s="77"/>
      <c r="AL1916" s="77"/>
      <c r="AM1916" s="77"/>
      <c r="AN1916" s="77"/>
      <c r="AO1916" s="77"/>
      <c r="AP1916" s="77"/>
      <c r="AQ1916" s="77"/>
      <c r="AR1916" s="77"/>
      <c r="AS1916" s="77"/>
      <c r="AT1916" s="77"/>
      <c r="AU1916" s="77"/>
      <c r="AV1916" s="83" t="str">
        <f>HYPERLINK("https://pbs.twimg.com/profile_images/1614444789163859975/WYB7NCjH_normal.jpg")</f>
        <v>https://pbs.twimg.com/profile_images/1614444789163859975/WYB7NCjH_normal.jpg</v>
      </c>
      <c r="AW1916" s="80" t="s">
        <v>17770</v>
      </c>
      <c r="AX1916" s="80" t="s">
        <v>17770</v>
      </c>
      <c r="AY1916" s="77"/>
      <c r="AZ1916" s="80" t="s">
        <v>20380</v>
      </c>
      <c r="BA1916" s="80" t="s">
        <v>20380</v>
      </c>
      <c r="BB1916" s="80" t="s">
        <v>20380</v>
      </c>
      <c r="BC1916" s="80" t="s">
        <v>17770</v>
      </c>
      <c r="BD1916" s="77">
        <v>204451183</v>
      </c>
      <c r="BE1916" s="77"/>
      <c r="BF1916" s="77"/>
      <c r="BG1916" s="77"/>
      <c r="BH1916" s="77"/>
      <c r="BI1916" s="77"/>
    </row>
    <row r="1917" spans="1:61" x14ac:dyDescent="0.25">
      <c r="A1917" s="62" t="s">
        <v>813</v>
      </c>
      <c r="B1917" s="62" t="s">
        <v>1813</v>
      </c>
      <c r="C1917" s="63"/>
      <c r="D1917" s="64"/>
      <c r="E1917" s="65"/>
      <c r="F1917" s="66"/>
      <c r="G1917" s="63"/>
      <c r="H1917" s="67"/>
      <c r="I1917" s="68"/>
      <c r="J1917" s="68"/>
      <c r="K1917" s="32"/>
      <c r="L1917" s="75">
        <v>1917</v>
      </c>
      <c r="M1917" s="75"/>
      <c r="N1917" s="70"/>
      <c r="O1917" s="77" t="s">
        <v>2081</v>
      </c>
      <c r="P1917" s="79">
        <v>45187.617743055554</v>
      </c>
      <c r="Q1917" s="77" t="s">
        <v>3797</v>
      </c>
      <c r="R1917" s="77">
        <v>0</v>
      </c>
      <c r="S1917" s="77">
        <v>1</v>
      </c>
      <c r="T1917" s="77">
        <v>0</v>
      </c>
      <c r="U1917" s="77">
        <v>0</v>
      </c>
      <c r="V1917" s="77">
        <v>77</v>
      </c>
      <c r="W1917" s="80" t="s">
        <v>7105</v>
      </c>
      <c r="X1917" s="77"/>
      <c r="Y1917" s="77"/>
      <c r="Z1917" s="77" t="s">
        <v>8961</v>
      </c>
      <c r="AA1917" s="77"/>
      <c r="AB1917" s="77"/>
      <c r="AC1917" s="80" t="s">
        <v>10542</v>
      </c>
      <c r="AD1917" s="77" t="s">
        <v>10617</v>
      </c>
      <c r="AE1917" s="83" t="str">
        <f>HYPERLINK("https://twitter.com/fabriciovelosoc/status/1703783321635811496")</f>
        <v>https://twitter.com/fabriciovelosoc/status/1703783321635811496</v>
      </c>
      <c r="AF1917" s="79">
        <v>45187.617743055554</v>
      </c>
      <c r="AG1917" s="85">
        <v>45187</v>
      </c>
      <c r="AH1917" s="80" t="s">
        <v>12327</v>
      </c>
      <c r="AI1917" s="77"/>
      <c r="AJ1917" s="77"/>
      <c r="AK1917" s="77"/>
      <c r="AL1917" s="77"/>
      <c r="AM1917" s="77"/>
      <c r="AN1917" s="77"/>
      <c r="AO1917" s="77"/>
      <c r="AP1917" s="77"/>
      <c r="AQ1917" s="77"/>
      <c r="AR1917" s="77"/>
      <c r="AS1917" s="77"/>
      <c r="AT1917" s="77"/>
      <c r="AU1917" s="77"/>
      <c r="AV1917" s="83" t="str">
        <f>HYPERLINK("https://pbs.twimg.com/profile_images/1614444789163859975/WYB7NCjH_normal.jpg")</f>
        <v>https://pbs.twimg.com/profile_images/1614444789163859975/WYB7NCjH_normal.jpg</v>
      </c>
      <c r="AW1917" s="80" t="s">
        <v>17770</v>
      </c>
      <c r="AX1917" s="80" t="s">
        <v>17770</v>
      </c>
      <c r="AY1917" s="77"/>
      <c r="AZ1917" s="80" t="s">
        <v>20380</v>
      </c>
      <c r="BA1917" s="80" t="s">
        <v>20380</v>
      </c>
      <c r="BB1917" s="80" t="s">
        <v>20380</v>
      </c>
      <c r="BC1917" s="80" t="s">
        <v>17770</v>
      </c>
      <c r="BD1917" s="77">
        <v>204451183</v>
      </c>
      <c r="BE1917" s="77"/>
      <c r="BF1917" s="77"/>
      <c r="BG1917" s="77"/>
      <c r="BH1917" s="77"/>
      <c r="BI1917" s="77"/>
    </row>
    <row r="1918" spans="1:61" x14ac:dyDescent="0.25">
      <c r="A1918" s="62" t="s">
        <v>814</v>
      </c>
      <c r="B1918" s="62" t="s">
        <v>814</v>
      </c>
      <c r="C1918" s="63"/>
      <c r="D1918" s="64"/>
      <c r="E1918" s="65"/>
      <c r="F1918" s="66"/>
      <c r="G1918" s="63"/>
      <c r="H1918" s="67"/>
      <c r="I1918" s="68"/>
      <c r="J1918" s="68"/>
      <c r="K1918" s="32"/>
      <c r="L1918" s="75">
        <v>1918</v>
      </c>
      <c r="M1918" s="75"/>
      <c r="N1918" s="70"/>
      <c r="O1918" s="77" t="s">
        <v>179</v>
      </c>
      <c r="P1918" s="79">
        <v>45061.814942129633</v>
      </c>
      <c r="Q1918" s="77" t="s">
        <v>3798</v>
      </c>
      <c r="R1918" s="77">
        <v>0</v>
      </c>
      <c r="S1918" s="77">
        <v>0</v>
      </c>
      <c r="T1918" s="77">
        <v>0</v>
      </c>
      <c r="U1918" s="77">
        <v>0</v>
      </c>
      <c r="V1918" s="77">
        <v>69</v>
      </c>
      <c r="W1918" s="80" t="s">
        <v>7106</v>
      </c>
      <c r="X1918" s="83" t="str">
        <f>HYPERLINK("https://www.genteba.com/2023/05/15/el-banco-central-dispuso-subir-la-tasa-de-interes-para-plazos-fijos-al-97-anual/")</f>
        <v>https://www.genteba.com/2023/05/15/el-banco-central-dispuso-subir-la-tasa-de-interes-para-plazos-fijos-al-97-anual/</v>
      </c>
      <c r="Y1918" s="77" t="s">
        <v>8757</v>
      </c>
      <c r="Z1918" s="77"/>
      <c r="AA1918" s="77" t="s">
        <v>9551</v>
      </c>
      <c r="AB1918" s="77" t="s">
        <v>10535</v>
      </c>
      <c r="AC1918" s="80" t="s">
        <v>10541</v>
      </c>
      <c r="AD1918" s="77" t="s">
        <v>10620</v>
      </c>
      <c r="AE1918" s="83" t="str">
        <f>HYPERLINK("https://twitter.com/ba_gente/status/1658193914342383617")</f>
        <v>https://twitter.com/ba_gente/status/1658193914342383617</v>
      </c>
      <c r="AF1918" s="79">
        <v>45061.814942129633</v>
      </c>
      <c r="AG1918" s="85">
        <v>45061</v>
      </c>
      <c r="AH1918" s="80" t="s">
        <v>12328</v>
      </c>
      <c r="AI1918" s="77" t="b">
        <v>0</v>
      </c>
      <c r="AJ1918" s="77"/>
      <c r="AK1918" s="77"/>
      <c r="AL1918" s="77"/>
      <c r="AM1918" s="77"/>
      <c r="AN1918" s="77"/>
      <c r="AO1918" s="77"/>
      <c r="AP1918" s="77"/>
      <c r="AQ1918" s="77" t="s">
        <v>15033</v>
      </c>
      <c r="AR1918" s="77"/>
      <c r="AS1918" s="77"/>
      <c r="AT1918" s="77"/>
      <c r="AU1918" s="77"/>
      <c r="AV1918" s="83" t="str">
        <f>HYPERLINK("https://pbs.twimg.com/media/FwMWWfaXoAkq2BM.jpg")</f>
        <v>https://pbs.twimg.com/media/FwMWWfaXoAkq2BM.jpg</v>
      </c>
      <c r="AW1918" s="80" t="s">
        <v>17771</v>
      </c>
      <c r="AX1918" s="80" t="s">
        <v>17771</v>
      </c>
      <c r="AY1918" s="77"/>
      <c r="AZ1918" s="80" t="s">
        <v>20380</v>
      </c>
      <c r="BA1918" s="80" t="s">
        <v>20380</v>
      </c>
      <c r="BB1918" s="80" t="s">
        <v>20380</v>
      </c>
      <c r="BC1918" s="80" t="s">
        <v>17771</v>
      </c>
      <c r="BD1918" s="80" t="s">
        <v>20779</v>
      </c>
      <c r="BE1918" s="77"/>
      <c r="BF1918" s="77"/>
      <c r="BG1918" s="77"/>
      <c r="BH1918" s="77"/>
      <c r="BI1918" s="77"/>
    </row>
    <row r="1919" spans="1:61" x14ac:dyDescent="0.25">
      <c r="A1919" s="62" t="s">
        <v>814</v>
      </c>
      <c r="B1919" s="62" t="s">
        <v>814</v>
      </c>
      <c r="C1919" s="63"/>
      <c r="D1919" s="64"/>
      <c r="E1919" s="65"/>
      <c r="F1919" s="66"/>
      <c r="G1919" s="63"/>
      <c r="H1919" s="67"/>
      <c r="I1919" s="68"/>
      <c r="J1919" s="68"/>
      <c r="K1919" s="32"/>
      <c r="L1919" s="75">
        <v>1919</v>
      </c>
      <c r="M1919" s="75"/>
      <c r="N1919" s="70"/>
      <c r="O1919" s="77" t="s">
        <v>179</v>
      </c>
      <c r="P1919" s="79">
        <v>45153.030613425923</v>
      </c>
      <c r="Q1919" s="77" t="s">
        <v>3799</v>
      </c>
      <c r="R1919" s="77">
        <v>0</v>
      </c>
      <c r="S1919" s="77">
        <v>0</v>
      </c>
      <c r="T1919" s="77">
        <v>0</v>
      </c>
      <c r="U1919" s="77">
        <v>0</v>
      </c>
      <c r="V1919" s="77">
        <v>78</v>
      </c>
      <c r="W1919" s="80" t="s">
        <v>7107</v>
      </c>
      <c r="X1919" s="83" t="str">
        <f>HYPERLINK("https://www.genteba.com/2023/08/14/el-banco-central-sube-la-tasa-nominal-anual-de-plazos-fijos-al-118/")</f>
        <v>https://www.genteba.com/2023/08/14/el-banco-central-sube-la-tasa-nominal-anual-de-plazos-fijos-al-118/</v>
      </c>
      <c r="Y1919" s="77" t="s">
        <v>8757</v>
      </c>
      <c r="Z1919" s="77"/>
      <c r="AA1919" s="77" t="s">
        <v>9552</v>
      </c>
      <c r="AB1919" s="77" t="s">
        <v>10535</v>
      </c>
      <c r="AC1919" s="80" t="s">
        <v>10541</v>
      </c>
      <c r="AD1919" s="77" t="s">
        <v>10620</v>
      </c>
      <c r="AE1919" s="83" t="str">
        <f>HYPERLINK("https://twitter.com/ba_gente/status/1691249366453932033")</f>
        <v>https://twitter.com/ba_gente/status/1691249366453932033</v>
      </c>
      <c r="AF1919" s="79">
        <v>45153.030613425923</v>
      </c>
      <c r="AG1919" s="85">
        <v>45153</v>
      </c>
      <c r="AH1919" s="80" t="s">
        <v>12329</v>
      </c>
      <c r="AI1919" s="77" t="b">
        <v>0</v>
      </c>
      <c r="AJ1919" s="77"/>
      <c r="AK1919" s="77"/>
      <c r="AL1919" s="77"/>
      <c r="AM1919" s="77"/>
      <c r="AN1919" s="77"/>
      <c r="AO1919" s="77"/>
      <c r="AP1919" s="77"/>
      <c r="AQ1919" s="77" t="s">
        <v>15034</v>
      </c>
      <c r="AR1919" s="77"/>
      <c r="AS1919" s="77"/>
      <c r="AT1919" s="77"/>
      <c r="AU1919" s="77"/>
      <c r="AV1919" s="83" t="str">
        <f>HYPERLINK("https://pbs.twimg.com/media/F3iGMyFXIAA39-2.jpg")</f>
        <v>https://pbs.twimg.com/media/F3iGMyFXIAA39-2.jpg</v>
      </c>
      <c r="AW1919" s="80" t="s">
        <v>17772</v>
      </c>
      <c r="AX1919" s="80" t="s">
        <v>17772</v>
      </c>
      <c r="AY1919" s="77"/>
      <c r="AZ1919" s="80" t="s">
        <v>20380</v>
      </c>
      <c r="BA1919" s="80" t="s">
        <v>20380</v>
      </c>
      <c r="BB1919" s="80" t="s">
        <v>20380</v>
      </c>
      <c r="BC1919" s="80" t="s">
        <v>17772</v>
      </c>
      <c r="BD1919" s="80" t="s">
        <v>20779</v>
      </c>
      <c r="BE1919" s="77"/>
      <c r="BF1919" s="77"/>
      <c r="BG1919" s="77"/>
      <c r="BH1919" s="77"/>
      <c r="BI1919" s="77"/>
    </row>
    <row r="1920" spans="1:61" x14ac:dyDescent="0.25">
      <c r="A1920" s="62" t="s">
        <v>814</v>
      </c>
      <c r="B1920" s="62" t="s">
        <v>814</v>
      </c>
      <c r="C1920" s="63"/>
      <c r="D1920" s="64"/>
      <c r="E1920" s="65"/>
      <c r="F1920" s="66"/>
      <c r="G1920" s="63"/>
      <c r="H1920" s="67"/>
      <c r="I1920" s="68"/>
      <c r="J1920" s="68"/>
      <c r="K1920" s="32"/>
      <c r="L1920" s="75">
        <v>1920</v>
      </c>
      <c r="M1920" s="75"/>
      <c r="N1920" s="70"/>
      <c r="O1920" s="77" t="s">
        <v>179</v>
      </c>
      <c r="P1920" s="79">
        <v>45155.007800925923</v>
      </c>
      <c r="Q1920" s="77" t="s">
        <v>3800</v>
      </c>
      <c r="R1920" s="77">
        <v>0</v>
      </c>
      <c r="S1920" s="77">
        <v>0</v>
      </c>
      <c r="T1920" s="77">
        <v>0</v>
      </c>
      <c r="U1920" s="77">
        <v>0</v>
      </c>
      <c r="V1920" s="77">
        <v>20</v>
      </c>
      <c r="W1920" s="80" t="s">
        <v>7108</v>
      </c>
      <c r="X1920" s="83" t="str">
        <f>HYPERLINK("https://www.genteba.com/2023/08/16/el-banco-central-compro-us-117-millones-y-suma-tres-ruedas-consecutivas-con-saldo-positivo/")</f>
        <v>https://www.genteba.com/2023/08/16/el-banco-central-compro-us-117-millones-y-suma-tres-ruedas-consecutivas-con-saldo-positivo/</v>
      </c>
      <c r="Y1920" s="77" t="s">
        <v>8757</v>
      </c>
      <c r="Z1920" s="77"/>
      <c r="AA1920" s="77" t="s">
        <v>9553</v>
      </c>
      <c r="AB1920" s="77" t="s">
        <v>10535</v>
      </c>
      <c r="AC1920" s="80" t="s">
        <v>10541</v>
      </c>
      <c r="AD1920" s="77" t="s">
        <v>10620</v>
      </c>
      <c r="AE1920" s="83" t="str">
        <f>HYPERLINK("https://twitter.com/ba_gente/status/1691965875534934068")</f>
        <v>https://twitter.com/ba_gente/status/1691965875534934068</v>
      </c>
      <c r="AF1920" s="79">
        <v>45155.007800925923</v>
      </c>
      <c r="AG1920" s="85">
        <v>45155</v>
      </c>
      <c r="AH1920" s="80" t="s">
        <v>12330</v>
      </c>
      <c r="AI1920" s="77" t="b">
        <v>0</v>
      </c>
      <c r="AJ1920" s="77"/>
      <c r="AK1920" s="77"/>
      <c r="AL1920" s="77"/>
      <c r="AM1920" s="77"/>
      <c r="AN1920" s="77"/>
      <c r="AO1920" s="77"/>
      <c r="AP1920" s="77"/>
      <c r="AQ1920" s="77" t="s">
        <v>15035</v>
      </c>
      <c r="AR1920" s="77"/>
      <c r="AS1920" s="77"/>
      <c r="AT1920" s="77"/>
      <c r="AU1920" s="77"/>
      <c r="AV1920" s="83" t="str">
        <f>HYPERLINK("https://pbs.twimg.com/media/F3sR4hYXAAAXvvn.jpg")</f>
        <v>https://pbs.twimg.com/media/F3sR4hYXAAAXvvn.jpg</v>
      </c>
      <c r="AW1920" s="80" t="s">
        <v>17773</v>
      </c>
      <c r="AX1920" s="80" t="s">
        <v>17773</v>
      </c>
      <c r="AY1920" s="77"/>
      <c r="AZ1920" s="80" t="s">
        <v>20380</v>
      </c>
      <c r="BA1920" s="80" t="s">
        <v>20380</v>
      </c>
      <c r="BB1920" s="80" t="s">
        <v>20380</v>
      </c>
      <c r="BC1920" s="80" t="s">
        <v>17773</v>
      </c>
      <c r="BD1920" s="80" t="s">
        <v>20779</v>
      </c>
      <c r="BE1920" s="77"/>
      <c r="BF1920" s="77"/>
      <c r="BG1920" s="77"/>
      <c r="BH1920" s="77"/>
      <c r="BI1920" s="77"/>
    </row>
    <row r="1921" spans="1:61" x14ac:dyDescent="0.25">
      <c r="A1921" s="62" t="s">
        <v>815</v>
      </c>
      <c r="B1921" s="62" t="s">
        <v>815</v>
      </c>
      <c r="C1921" s="63"/>
      <c r="D1921" s="64"/>
      <c r="E1921" s="65"/>
      <c r="F1921" s="66"/>
      <c r="G1921" s="63"/>
      <c r="H1921" s="67"/>
      <c r="I1921" s="68"/>
      <c r="J1921" s="68"/>
      <c r="K1921" s="32"/>
      <c r="L1921" s="75">
        <v>1921</v>
      </c>
      <c r="M1921" s="75"/>
      <c r="N1921" s="70"/>
      <c r="O1921" s="77" t="s">
        <v>179</v>
      </c>
      <c r="P1921" s="79">
        <v>45092.393703703703</v>
      </c>
      <c r="Q1921" s="77" t="s">
        <v>3801</v>
      </c>
      <c r="R1921" s="77">
        <v>0</v>
      </c>
      <c r="S1921" s="77">
        <v>0</v>
      </c>
      <c r="T1921" s="77">
        <v>0</v>
      </c>
      <c r="U1921" s="77">
        <v>0</v>
      </c>
      <c r="V1921" s="77">
        <v>45</v>
      </c>
      <c r="W1921" s="80" t="s">
        <v>7109</v>
      </c>
      <c r="X1921" s="77"/>
      <c r="Y1921" s="77"/>
      <c r="Z1921" s="77"/>
      <c r="AA1921" s="77"/>
      <c r="AB1921" s="77"/>
      <c r="AC1921" s="80" t="s">
        <v>10541</v>
      </c>
      <c r="AD1921" s="77" t="s">
        <v>10620</v>
      </c>
      <c r="AE1921" s="83" t="str">
        <f>HYPERLINK("https://twitter.com/icexcroacia/status/1669275288105041920")</f>
        <v>https://twitter.com/icexcroacia/status/1669275288105041920</v>
      </c>
      <c r="AF1921" s="79">
        <v>45092.393703703703</v>
      </c>
      <c r="AG1921" s="85">
        <v>45092</v>
      </c>
      <c r="AH1921" s="80" t="s">
        <v>12331</v>
      </c>
      <c r="AI1921" s="77"/>
      <c r="AJ1921" s="77"/>
      <c r="AK1921" s="77"/>
      <c r="AL1921" s="77"/>
      <c r="AM1921" s="77"/>
      <c r="AN1921" s="77"/>
      <c r="AO1921" s="77"/>
      <c r="AP1921" s="77"/>
      <c r="AQ1921" s="77"/>
      <c r="AR1921" s="77"/>
      <c r="AS1921" s="77"/>
      <c r="AT1921" s="77"/>
      <c r="AU1921" s="77"/>
      <c r="AV1921" s="83" t="str">
        <f>HYPERLINK("https://pbs.twimg.com/profile_images/1068094830104985600/CpyLD1Sq_normal.jpg")</f>
        <v>https://pbs.twimg.com/profile_images/1068094830104985600/CpyLD1Sq_normal.jpg</v>
      </c>
      <c r="AW1921" s="80" t="s">
        <v>17774</v>
      </c>
      <c r="AX1921" s="80" t="s">
        <v>17774</v>
      </c>
      <c r="AY1921" s="77"/>
      <c r="AZ1921" s="80" t="s">
        <v>20380</v>
      </c>
      <c r="BA1921" s="80" t="s">
        <v>20380</v>
      </c>
      <c r="BB1921" s="80" t="s">
        <v>20380</v>
      </c>
      <c r="BC1921" s="80" t="s">
        <v>17774</v>
      </c>
      <c r="BD1921" s="77">
        <v>4425377655</v>
      </c>
      <c r="BE1921" s="77"/>
      <c r="BF1921" s="77"/>
      <c r="BG1921" s="77"/>
      <c r="BH1921" s="77"/>
      <c r="BI1921" s="77"/>
    </row>
    <row r="1922" spans="1:61" x14ac:dyDescent="0.25">
      <c r="A1922" s="62" t="s">
        <v>816</v>
      </c>
      <c r="B1922" s="62" t="s">
        <v>1596</v>
      </c>
      <c r="C1922" s="63"/>
      <c r="D1922" s="64"/>
      <c r="E1922" s="65"/>
      <c r="F1922" s="66"/>
      <c r="G1922" s="63"/>
      <c r="H1922" s="67"/>
      <c r="I1922" s="68"/>
      <c r="J1922" s="68"/>
      <c r="K1922" s="32"/>
      <c r="L1922" s="75">
        <v>1922</v>
      </c>
      <c r="M1922" s="75"/>
      <c r="N1922" s="70"/>
      <c r="O1922" s="77" t="s">
        <v>2081</v>
      </c>
      <c r="P1922" s="79">
        <v>45057.609467592592</v>
      </c>
      <c r="Q1922" s="77" t="s">
        <v>3802</v>
      </c>
      <c r="R1922" s="77">
        <v>0</v>
      </c>
      <c r="S1922" s="77">
        <v>0</v>
      </c>
      <c r="T1922" s="77">
        <v>0</v>
      </c>
      <c r="U1922" s="77">
        <v>0</v>
      </c>
      <c r="V1922" s="77">
        <v>24</v>
      </c>
      <c r="W1922" s="80" t="s">
        <v>6008</v>
      </c>
      <c r="X1922" s="83" t="str">
        <f>HYPERLINK("https://www.bcb.gov.br/detalhenoticia/17891/nota")</f>
        <v>https://www.bcb.gov.br/detalhenoticia/17891/nota</v>
      </c>
      <c r="Y1922" s="77" t="s">
        <v>8633</v>
      </c>
      <c r="Z1922" s="77" t="s">
        <v>1596</v>
      </c>
      <c r="AA1922" s="77"/>
      <c r="AB1922" s="77"/>
      <c r="AC1922" s="80" t="s">
        <v>10541</v>
      </c>
      <c r="AD1922" s="77" t="s">
        <v>10617</v>
      </c>
      <c r="AE1922" s="83" t="str">
        <f>HYPERLINK("https://twitter.com/cnastrojr/status/1656669899098587138")</f>
        <v>https://twitter.com/cnastrojr/status/1656669899098587138</v>
      </c>
      <c r="AF1922" s="79">
        <v>45057.609467592592</v>
      </c>
      <c r="AG1922" s="85">
        <v>45057</v>
      </c>
      <c r="AH1922" s="80" t="s">
        <v>12332</v>
      </c>
      <c r="AI1922" s="77" t="b">
        <v>0</v>
      </c>
      <c r="AJ1922" s="77"/>
      <c r="AK1922" s="77"/>
      <c r="AL1922" s="77"/>
      <c r="AM1922" s="77"/>
      <c r="AN1922" s="77"/>
      <c r="AO1922" s="77"/>
      <c r="AP1922" s="77"/>
      <c r="AQ1922" s="77"/>
      <c r="AR1922" s="77"/>
      <c r="AS1922" s="77"/>
      <c r="AT1922" s="77"/>
      <c r="AU1922" s="77"/>
      <c r="AV1922" s="83" t="str">
        <f>HYPERLINK("https://pbs.twimg.com/profile_images/1705389401893937152/AtzB8cwJ_normal.jpg")</f>
        <v>https://pbs.twimg.com/profile_images/1705389401893937152/AtzB8cwJ_normal.jpg</v>
      </c>
      <c r="AW1922" s="80" t="s">
        <v>17775</v>
      </c>
      <c r="AX1922" s="80" t="s">
        <v>17775</v>
      </c>
      <c r="AY1922" s="77"/>
      <c r="AZ1922" s="80" t="s">
        <v>20380</v>
      </c>
      <c r="BA1922" s="80" t="s">
        <v>20380</v>
      </c>
      <c r="BB1922" s="80" t="s">
        <v>20380</v>
      </c>
      <c r="BC1922" s="80" t="s">
        <v>17775</v>
      </c>
      <c r="BD1922" s="77">
        <v>45255097</v>
      </c>
      <c r="BE1922" s="77"/>
      <c r="BF1922" s="77"/>
      <c r="BG1922" s="77"/>
      <c r="BH1922" s="77"/>
      <c r="BI1922" s="77"/>
    </row>
    <row r="1923" spans="1:61" x14ac:dyDescent="0.25">
      <c r="A1923" s="62" t="s">
        <v>817</v>
      </c>
      <c r="B1923" s="62" t="s">
        <v>817</v>
      </c>
      <c r="C1923" s="63"/>
      <c r="D1923" s="64"/>
      <c r="E1923" s="65"/>
      <c r="F1923" s="66"/>
      <c r="G1923" s="63"/>
      <c r="H1923" s="67"/>
      <c r="I1923" s="68"/>
      <c r="J1923" s="68"/>
      <c r="K1923" s="32"/>
      <c r="L1923" s="75">
        <v>1923</v>
      </c>
      <c r="M1923" s="75"/>
      <c r="N1923" s="70"/>
      <c r="O1923" s="77" t="s">
        <v>179</v>
      </c>
      <c r="P1923" s="79">
        <v>45147.546458333331</v>
      </c>
      <c r="Q1923" s="77" t="s">
        <v>3803</v>
      </c>
      <c r="R1923" s="77">
        <v>0</v>
      </c>
      <c r="S1923" s="77">
        <v>0</v>
      </c>
      <c r="T1923" s="77">
        <v>0</v>
      </c>
      <c r="U1923" s="77">
        <v>0</v>
      </c>
      <c r="V1923" s="77">
        <v>3</v>
      </c>
      <c r="W1923" s="80" t="s">
        <v>7110</v>
      </c>
      <c r="X1923" s="77"/>
      <c r="Y1923" s="77"/>
      <c r="Z1923" s="77"/>
      <c r="AA1923" s="77" t="s">
        <v>9554</v>
      </c>
      <c r="AB1923" s="77" t="s">
        <v>10534</v>
      </c>
      <c r="AC1923" s="80" t="s">
        <v>10542</v>
      </c>
      <c r="AD1923" s="77" t="s">
        <v>10620</v>
      </c>
      <c r="AE1923" s="83" t="str">
        <f>HYPERLINK("https://twitter.com/daneraz/status/1689261974243127296")</f>
        <v>https://twitter.com/daneraz/status/1689261974243127296</v>
      </c>
      <c r="AF1923" s="79">
        <v>45147.546458333331</v>
      </c>
      <c r="AG1923" s="85">
        <v>45147</v>
      </c>
      <c r="AH1923" s="80" t="s">
        <v>12333</v>
      </c>
      <c r="AI1923" s="77" t="b">
        <v>1</v>
      </c>
      <c r="AJ1923" s="77"/>
      <c r="AK1923" s="77"/>
      <c r="AL1923" s="77"/>
      <c r="AM1923" s="77"/>
      <c r="AN1923" s="77"/>
      <c r="AO1923" s="77"/>
      <c r="AP1923" s="77"/>
      <c r="AQ1923" s="77" t="s">
        <v>15036</v>
      </c>
      <c r="AR1923" s="77">
        <v>33800</v>
      </c>
      <c r="AS1923" s="77"/>
      <c r="AT1923" s="77"/>
      <c r="AU1923" s="77"/>
      <c r="AV1923" s="83" t="str">
        <f>HYPERLINK("https://pbs.twimg.com/ext_tw_video_thumb/1689113430584696832/pu/img/jzxCJfJNokU44hUI.jpg")</f>
        <v>https://pbs.twimg.com/ext_tw_video_thumb/1689113430584696832/pu/img/jzxCJfJNokU44hUI.jpg</v>
      </c>
      <c r="AW1923" s="80" t="s">
        <v>17776</v>
      </c>
      <c r="AX1923" s="80" t="s">
        <v>17776</v>
      </c>
      <c r="AY1923" s="77"/>
      <c r="AZ1923" s="80" t="s">
        <v>20380</v>
      </c>
      <c r="BA1923" s="80" t="s">
        <v>20380</v>
      </c>
      <c r="BB1923" s="80" t="s">
        <v>20380</v>
      </c>
      <c r="BC1923" s="80" t="s">
        <v>17776</v>
      </c>
      <c r="BD1923" s="77">
        <v>369276324</v>
      </c>
      <c r="BE1923" s="77"/>
      <c r="BF1923" s="77"/>
      <c r="BG1923" s="77"/>
      <c r="BH1923" s="77"/>
      <c r="BI1923" s="77"/>
    </row>
    <row r="1924" spans="1:61" x14ac:dyDescent="0.25">
      <c r="A1924" s="62" t="s">
        <v>818</v>
      </c>
      <c r="B1924" s="62" t="s">
        <v>818</v>
      </c>
      <c r="C1924" s="63"/>
      <c r="D1924" s="64"/>
      <c r="E1924" s="65"/>
      <c r="F1924" s="66"/>
      <c r="G1924" s="63"/>
      <c r="H1924" s="67"/>
      <c r="I1924" s="68"/>
      <c r="J1924" s="68"/>
      <c r="K1924" s="32"/>
      <c r="L1924" s="75">
        <v>1924</v>
      </c>
      <c r="M1924" s="75"/>
      <c r="N1924" s="70"/>
      <c r="O1924" s="77" t="s">
        <v>179</v>
      </c>
      <c r="P1924" s="79">
        <v>45085.844965277778</v>
      </c>
      <c r="Q1924" s="77" t="s">
        <v>3804</v>
      </c>
      <c r="R1924" s="77">
        <v>28</v>
      </c>
      <c r="S1924" s="77">
        <v>222</v>
      </c>
      <c r="T1924" s="77">
        <v>89</v>
      </c>
      <c r="U1924" s="77">
        <v>6</v>
      </c>
      <c r="V1924" s="77">
        <v>75307</v>
      </c>
      <c r="W1924" s="80" t="s">
        <v>7111</v>
      </c>
      <c r="X1924" s="77"/>
      <c r="Y1924" s="77"/>
      <c r="Z1924" s="77"/>
      <c r="AA1924" s="77" t="s">
        <v>9555</v>
      </c>
      <c r="AB1924" s="77" t="s">
        <v>10534</v>
      </c>
      <c r="AC1924" s="80" t="s">
        <v>10542</v>
      </c>
      <c r="AD1924" s="77" t="s">
        <v>10617</v>
      </c>
      <c r="AE1924" s="83" t="str">
        <f>HYPERLINK("https://twitter.com/villamarcovilla/status/1666902103954972673")</f>
        <v>https://twitter.com/villamarcovilla/status/1666902103954972673</v>
      </c>
      <c r="AF1924" s="79">
        <v>45085.844965277778</v>
      </c>
      <c r="AG1924" s="85">
        <v>45085</v>
      </c>
      <c r="AH1924" s="80" t="s">
        <v>12334</v>
      </c>
      <c r="AI1924" s="77" t="b">
        <v>0</v>
      </c>
      <c r="AJ1924" s="77"/>
      <c r="AK1924" s="77"/>
      <c r="AL1924" s="77"/>
      <c r="AM1924" s="77"/>
      <c r="AN1924" s="77"/>
      <c r="AO1924" s="77"/>
      <c r="AP1924" s="77"/>
      <c r="AQ1924" s="77" t="s">
        <v>15037</v>
      </c>
      <c r="AR1924" s="77">
        <v>185818</v>
      </c>
      <c r="AS1924" s="77"/>
      <c r="AT1924" s="77"/>
      <c r="AU1924" s="77"/>
      <c r="AV1924" s="83" t="str">
        <f>HYPERLINK("https://pbs.twimg.com/amplify_video_thumb/1666901940150624285/img/qYKddJrEiA94TCaq.jpg")</f>
        <v>https://pbs.twimg.com/amplify_video_thumb/1666901940150624285/img/qYKddJrEiA94TCaq.jpg</v>
      </c>
      <c r="AW1924" s="80" t="s">
        <v>17777</v>
      </c>
      <c r="AX1924" s="80" t="s">
        <v>17777</v>
      </c>
      <c r="AY1924" s="77"/>
      <c r="AZ1924" s="80" t="s">
        <v>20380</v>
      </c>
      <c r="BA1924" s="80" t="s">
        <v>20380</v>
      </c>
      <c r="BB1924" s="80" t="s">
        <v>20380</v>
      </c>
      <c r="BC1924" s="80" t="s">
        <v>17777</v>
      </c>
      <c r="BD1924" s="77">
        <v>3021556996</v>
      </c>
      <c r="BE1924" s="77"/>
      <c r="BF1924" s="77"/>
      <c r="BG1924" s="77"/>
      <c r="BH1924" s="77"/>
      <c r="BI1924" s="77"/>
    </row>
    <row r="1925" spans="1:61" x14ac:dyDescent="0.25">
      <c r="A1925" s="62" t="s">
        <v>819</v>
      </c>
      <c r="B1925" s="62" t="s">
        <v>1886</v>
      </c>
      <c r="C1925" s="63"/>
      <c r="D1925" s="64"/>
      <c r="E1925" s="65"/>
      <c r="F1925" s="66"/>
      <c r="G1925" s="63"/>
      <c r="H1925" s="67"/>
      <c r="I1925" s="68"/>
      <c r="J1925" s="68"/>
      <c r="K1925" s="32"/>
      <c r="L1925" s="75">
        <v>1925</v>
      </c>
      <c r="M1925" s="75"/>
      <c r="N1925" s="70"/>
      <c r="O1925" s="77" t="s">
        <v>2081</v>
      </c>
      <c r="P1925" s="79">
        <v>45100.612592592595</v>
      </c>
      <c r="Q1925" s="77" t="s">
        <v>3805</v>
      </c>
      <c r="R1925" s="77">
        <v>3</v>
      </c>
      <c r="S1925" s="77">
        <v>7</v>
      </c>
      <c r="T1925" s="77">
        <v>0</v>
      </c>
      <c r="U1925" s="77">
        <v>0</v>
      </c>
      <c r="V1925" s="77">
        <v>32</v>
      </c>
      <c r="W1925" s="80" t="s">
        <v>7112</v>
      </c>
      <c r="X1925" s="83" t="str">
        <f>HYPERLINK("https://fetrafrjes.org.br/os-impactos-negativos-da-politica-de-juros-altos-do-banco-central-do-brasil-por-nilton-esperanca/")</f>
        <v>https://fetrafrjes.org.br/os-impactos-negativos-da-politica-de-juros-altos-do-banco-central-do-brasil-por-nilton-esperanca/</v>
      </c>
      <c r="Y1925" s="77" t="s">
        <v>8667</v>
      </c>
      <c r="Z1925" s="77" t="s">
        <v>8962</v>
      </c>
      <c r="AA1925" s="77"/>
      <c r="AB1925" s="77"/>
      <c r="AC1925" s="80" t="s">
        <v>10542</v>
      </c>
      <c r="AD1925" s="77" t="s">
        <v>10617</v>
      </c>
      <c r="AE1925" s="83" t="str">
        <f>HYPERLINK("https://twitter.com/fetrafrjes/status/1672253713677967360")</f>
        <v>https://twitter.com/fetrafrjes/status/1672253713677967360</v>
      </c>
      <c r="AF1925" s="79">
        <v>45100.612592592595</v>
      </c>
      <c r="AG1925" s="85">
        <v>45100</v>
      </c>
      <c r="AH1925" s="80" t="s">
        <v>12335</v>
      </c>
      <c r="AI1925" s="77" t="b">
        <v>1</v>
      </c>
      <c r="AJ1925" s="77"/>
      <c r="AK1925" s="77"/>
      <c r="AL1925" s="77"/>
      <c r="AM1925" s="77"/>
      <c r="AN1925" s="77"/>
      <c r="AO1925" s="77"/>
      <c r="AP1925" s="77"/>
      <c r="AQ1925" s="77"/>
      <c r="AR1925" s="77"/>
      <c r="AS1925" s="77"/>
      <c r="AT1925" s="77"/>
      <c r="AU1925" s="77"/>
      <c r="AV1925" s="83" t="str">
        <f>HYPERLINK("https://pbs.twimg.com/profile_images/1455243752969314310/7UGPG-IP_normal.jpg")</f>
        <v>https://pbs.twimg.com/profile_images/1455243752969314310/7UGPG-IP_normal.jpg</v>
      </c>
      <c r="AW1925" s="80" t="s">
        <v>17778</v>
      </c>
      <c r="AX1925" s="80" t="s">
        <v>17778</v>
      </c>
      <c r="AY1925" s="77"/>
      <c r="AZ1925" s="80" t="s">
        <v>20380</v>
      </c>
      <c r="BA1925" s="80" t="s">
        <v>20380</v>
      </c>
      <c r="BB1925" s="80" t="s">
        <v>20380</v>
      </c>
      <c r="BC1925" s="80" t="s">
        <v>17778</v>
      </c>
      <c r="BD1925" s="77">
        <v>132210617</v>
      </c>
      <c r="BE1925" s="77"/>
      <c r="BF1925" s="77"/>
      <c r="BG1925" s="77"/>
      <c r="BH1925" s="77"/>
      <c r="BI1925" s="77"/>
    </row>
    <row r="1926" spans="1:61" x14ac:dyDescent="0.25">
      <c r="A1926" s="62" t="s">
        <v>819</v>
      </c>
      <c r="B1926" s="62" t="s">
        <v>819</v>
      </c>
      <c r="C1926" s="63"/>
      <c r="D1926" s="64"/>
      <c r="E1926" s="65"/>
      <c r="F1926" s="66"/>
      <c r="G1926" s="63"/>
      <c r="H1926" s="67"/>
      <c r="I1926" s="68"/>
      <c r="J1926" s="68"/>
      <c r="K1926" s="32"/>
      <c r="L1926" s="75">
        <v>1926</v>
      </c>
      <c r="M1926" s="75"/>
      <c r="N1926" s="70"/>
      <c r="O1926" s="77" t="s">
        <v>2081</v>
      </c>
      <c r="P1926" s="79">
        <v>45100.612592592595</v>
      </c>
      <c r="Q1926" s="77" t="s">
        <v>3805</v>
      </c>
      <c r="R1926" s="77">
        <v>3</v>
      </c>
      <c r="S1926" s="77">
        <v>7</v>
      </c>
      <c r="T1926" s="77">
        <v>0</v>
      </c>
      <c r="U1926" s="77">
        <v>0</v>
      </c>
      <c r="V1926" s="77">
        <v>32</v>
      </c>
      <c r="W1926" s="80" t="s">
        <v>7112</v>
      </c>
      <c r="X1926" s="83" t="str">
        <f>HYPERLINK("https://fetrafrjes.org.br/os-impactos-negativos-da-politica-de-juros-altos-do-banco-central-do-brasil-por-nilton-esperanca/")</f>
        <v>https://fetrafrjes.org.br/os-impactos-negativos-da-politica-de-juros-altos-do-banco-central-do-brasil-por-nilton-esperanca/</v>
      </c>
      <c r="Y1926" s="77" t="s">
        <v>8667</v>
      </c>
      <c r="Z1926" s="77" t="s">
        <v>8962</v>
      </c>
      <c r="AA1926" s="77"/>
      <c r="AB1926" s="77"/>
      <c r="AC1926" s="80" t="s">
        <v>10542</v>
      </c>
      <c r="AD1926" s="77" t="s">
        <v>10617</v>
      </c>
      <c r="AE1926" s="83" t="str">
        <f>HYPERLINK("https://twitter.com/fetrafrjes/status/1672253713677967360")</f>
        <v>https://twitter.com/fetrafrjes/status/1672253713677967360</v>
      </c>
      <c r="AF1926" s="79">
        <v>45100.612592592595</v>
      </c>
      <c r="AG1926" s="85">
        <v>45100</v>
      </c>
      <c r="AH1926" s="80" t="s">
        <v>12335</v>
      </c>
      <c r="AI1926" s="77" t="b">
        <v>1</v>
      </c>
      <c r="AJ1926" s="77"/>
      <c r="AK1926" s="77"/>
      <c r="AL1926" s="77"/>
      <c r="AM1926" s="77"/>
      <c r="AN1926" s="77"/>
      <c r="AO1926" s="77"/>
      <c r="AP1926" s="77"/>
      <c r="AQ1926" s="77"/>
      <c r="AR1926" s="77"/>
      <c r="AS1926" s="77"/>
      <c r="AT1926" s="77"/>
      <c r="AU1926" s="77"/>
      <c r="AV1926" s="83" t="str">
        <f>HYPERLINK("https://pbs.twimg.com/profile_images/1455243752969314310/7UGPG-IP_normal.jpg")</f>
        <v>https://pbs.twimg.com/profile_images/1455243752969314310/7UGPG-IP_normal.jpg</v>
      </c>
      <c r="AW1926" s="80" t="s">
        <v>17778</v>
      </c>
      <c r="AX1926" s="80" t="s">
        <v>17778</v>
      </c>
      <c r="AY1926" s="77"/>
      <c r="AZ1926" s="80" t="s">
        <v>20380</v>
      </c>
      <c r="BA1926" s="80" t="s">
        <v>20380</v>
      </c>
      <c r="BB1926" s="80" t="s">
        <v>20380</v>
      </c>
      <c r="BC1926" s="80" t="s">
        <v>17778</v>
      </c>
      <c r="BD1926" s="77">
        <v>132210617</v>
      </c>
      <c r="BE1926" s="77"/>
      <c r="BF1926" s="77"/>
      <c r="BG1926" s="77"/>
      <c r="BH1926" s="77"/>
      <c r="BI1926" s="77"/>
    </row>
    <row r="1927" spans="1:61" x14ac:dyDescent="0.25">
      <c r="A1927" s="62" t="s">
        <v>820</v>
      </c>
      <c r="B1927" s="62" t="s">
        <v>859</v>
      </c>
      <c r="C1927" s="63"/>
      <c r="D1927" s="64"/>
      <c r="E1927" s="65"/>
      <c r="F1927" s="66"/>
      <c r="G1927" s="63"/>
      <c r="H1927" s="67"/>
      <c r="I1927" s="68"/>
      <c r="J1927" s="68"/>
      <c r="K1927" s="32"/>
      <c r="L1927" s="75">
        <v>1927</v>
      </c>
      <c r="M1927" s="75"/>
      <c r="N1927" s="70"/>
      <c r="O1927" s="77" t="s">
        <v>2083</v>
      </c>
      <c r="P1927" s="79">
        <v>45196.743784722225</v>
      </c>
      <c r="Q1927" s="77" t="s">
        <v>3806</v>
      </c>
      <c r="R1927" s="77">
        <v>2</v>
      </c>
      <c r="S1927" s="77">
        <v>0</v>
      </c>
      <c r="T1927" s="77">
        <v>0</v>
      </c>
      <c r="U1927" s="77">
        <v>0</v>
      </c>
      <c r="V1927" s="77"/>
      <c r="W1927" s="80" t="s">
        <v>7113</v>
      </c>
      <c r="X1927" s="77"/>
      <c r="Y1927" s="77"/>
      <c r="Z1927" s="77" t="s">
        <v>859</v>
      </c>
      <c r="AA1927" s="77"/>
      <c r="AB1927" s="77"/>
      <c r="AC1927" s="80" t="s">
        <v>10542</v>
      </c>
      <c r="AD1927" s="77" t="s">
        <v>10617</v>
      </c>
      <c r="AE1927" s="83" t="str">
        <f>HYPERLINK("https://twitter.com/fernandodsantos/status/1707090490766586097")</f>
        <v>https://twitter.com/fernandodsantos/status/1707090490766586097</v>
      </c>
      <c r="AF1927" s="79">
        <v>45196.743784722225</v>
      </c>
      <c r="AG1927" s="85">
        <v>45196</v>
      </c>
      <c r="AH1927" s="80" t="s">
        <v>12336</v>
      </c>
      <c r="AI1927" s="77"/>
      <c r="AJ1927" s="77"/>
      <c r="AK1927" s="77"/>
      <c r="AL1927" s="77"/>
      <c r="AM1927" s="77"/>
      <c r="AN1927" s="77"/>
      <c r="AO1927" s="77"/>
      <c r="AP1927" s="77"/>
      <c r="AQ1927" s="77"/>
      <c r="AR1927" s="77"/>
      <c r="AS1927" s="77"/>
      <c r="AT1927" s="77"/>
      <c r="AU1927" s="77"/>
      <c r="AV1927" s="83" t="str">
        <f>HYPERLINK("https://pbs.twimg.com/profile_images/1558146747544764417/oAm-8iqL_normal.jpg")</f>
        <v>https://pbs.twimg.com/profile_images/1558146747544764417/oAm-8iqL_normal.jpg</v>
      </c>
      <c r="AW1927" s="80" t="s">
        <v>17779</v>
      </c>
      <c r="AX1927" s="80" t="s">
        <v>17779</v>
      </c>
      <c r="AY1927" s="77"/>
      <c r="AZ1927" s="80" t="s">
        <v>20380</v>
      </c>
      <c r="BA1927" s="80" t="s">
        <v>20380</v>
      </c>
      <c r="BB1927" s="80" t="s">
        <v>17868</v>
      </c>
      <c r="BC1927" s="80" t="s">
        <v>17868</v>
      </c>
      <c r="BD1927" s="77">
        <v>33299033</v>
      </c>
      <c r="BE1927" s="77"/>
      <c r="BF1927" s="77"/>
      <c r="BG1927" s="77"/>
      <c r="BH1927" s="77"/>
      <c r="BI1927" s="77"/>
    </row>
    <row r="1928" spans="1:61" x14ac:dyDescent="0.25">
      <c r="A1928" s="62" t="s">
        <v>821</v>
      </c>
      <c r="B1928" s="62" t="s">
        <v>821</v>
      </c>
      <c r="C1928" s="63"/>
      <c r="D1928" s="64"/>
      <c r="E1928" s="65"/>
      <c r="F1928" s="66"/>
      <c r="G1928" s="63"/>
      <c r="H1928" s="67"/>
      <c r="I1928" s="68"/>
      <c r="J1928" s="68"/>
      <c r="K1928" s="32"/>
      <c r="L1928" s="75">
        <v>1928</v>
      </c>
      <c r="M1928" s="75"/>
      <c r="N1928" s="70"/>
      <c r="O1928" s="77" t="s">
        <v>179</v>
      </c>
      <c r="P1928" s="79">
        <v>45114.600034722222</v>
      </c>
      <c r="Q1928" s="77" t="s">
        <v>3807</v>
      </c>
      <c r="R1928" s="77">
        <v>0</v>
      </c>
      <c r="S1928" s="77">
        <v>3</v>
      </c>
      <c r="T1928" s="77">
        <v>1</v>
      </c>
      <c r="U1928" s="77">
        <v>1</v>
      </c>
      <c r="V1928" s="77">
        <v>294</v>
      </c>
      <c r="W1928" s="80" t="s">
        <v>7114</v>
      </c>
      <c r="X1928" s="77"/>
      <c r="Y1928" s="77"/>
      <c r="Z1928" s="77"/>
      <c r="AA1928" s="77"/>
      <c r="AB1928" s="77"/>
      <c r="AC1928" s="80" t="s">
        <v>10541</v>
      </c>
      <c r="AD1928" s="77" t="s">
        <v>10620</v>
      </c>
      <c r="AE1928" s="83" t="str">
        <f>HYPERLINK("https://twitter.com/cepocambiario/status/1677322591516651522")</f>
        <v>https://twitter.com/cepocambiario/status/1677322591516651522</v>
      </c>
      <c r="AF1928" s="79">
        <v>45114.600034722222</v>
      </c>
      <c r="AG1928" s="85">
        <v>45114</v>
      </c>
      <c r="AH1928" s="80" t="s">
        <v>12337</v>
      </c>
      <c r="AI1928" s="77"/>
      <c r="AJ1928" s="77"/>
      <c r="AK1928" s="77"/>
      <c r="AL1928" s="77"/>
      <c r="AM1928" s="77"/>
      <c r="AN1928" s="77"/>
      <c r="AO1928" s="77"/>
      <c r="AP1928" s="77"/>
      <c r="AQ1928" s="77"/>
      <c r="AR1928" s="77"/>
      <c r="AS1928" s="77"/>
      <c r="AT1928" s="77"/>
      <c r="AU1928" s="77"/>
      <c r="AV1928" s="83" t="str">
        <f>HYPERLINK("https://pbs.twimg.com/profile_images/1616813245897097218/j0ksfzyM_normal.jpg")</f>
        <v>https://pbs.twimg.com/profile_images/1616813245897097218/j0ksfzyM_normal.jpg</v>
      </c>
      <c r="AW1928" s="80" t="s">
        <v>17780</v>
      </c>
      <c r="AX1928" s="80" t="s">
        <v>17780</v>
      </c>
      <c r="AY1928" s="77"/>
      <c r="AZ1928" s="80" t="s">
        <v>20380</v>
      </c>
      <c r="BA1928" s="80" t="s">
        <v>20380</v>
      </c>
      <c r="BB1928" s="80" t="s">
        <v>20380</v>
      </c>
      <c r="BC1928" s="80" t="s">
        <v>17780</v>
      </c>
      <c r="BD1928" s="77">
        <v>806493398</v>
      </c>
      <c r="BE1928" s="77"/>
      <c r="BF1928" s="77"/>
      <c r="BG1928" s="77"/>
      <c r="BH1928" s="77"/>
      <c r="BI1928" s="77"/>
    </row>
    <row r="1929" spans="1:61" x14ac:dyDescent="0.25">
      <c r="A1929" s="62" t="s">
        <v>822</v>
      </c>
      <c r="B1929" s="62" t="s">
        <v>822</v>
      </c>
      <c r="C1929" s="63"/>
      <c r="D1929" s="64"/>
      <c r="E1929" s="65"/>
      <c r="F1929" s="66"/>
      <c r="G1929" s="63"/>
      <c r="H1929" s="67"/>
      <c r="I1929" s="68"/>
      <c r="J1929" s="68"/>
      <c r="K1929" s="32"/>
      <c r="L1929" s="75">
        <v>1929</v>
      </c>
      <c r="M1929" s="75"/>
      <c r="N1929" s="70"/>
      <c r="O1929" s="77" t="s">
        <v>179</v>
      </c>
      <c r="P1929" s="79">
        <v>45091.7028125</v>
      </c>
      <c r="Q1929" s="77" t="s">
        <v>3808</v>
      </c>
      <c r="R1929" s="77">
        <v>0</v>
      </c>
      <c r="S1929" s="77">
        <v>0</v>
      </c>
      <c r="T1929" s="77">
        <v>0</v>
      </c>
      <c r="U1929" s="77">
        <v>0</v>
      </c>
      <c r="V1929" s="77">
        <v>28</v>
      </c>
      <c r="W1929" s="80" t="s">
        <v>7115</v>
      </c>
      <c r="X1929" s="83" t="str">
        <f>HYPERLINK("https://sinapticas.com/2023/06/13/bitcoin-como-un-bote-salvavidas/")</f>
        <v>https://sinapticas.com/2023/06/13/bitcoin-como-un-bote-salvavidas/</v>
      </c>
      <c r="Y1929" s="77" t="s">
        <v>8758</v>
      </c>
      <c r="Z1929" s="77"/>
      <c r="AA1929" s="77"/>
      <c r="AB1929" s="77"/>
      <c r="AC1929" s="80" t="s">
        <v>10541</v>
      </c>
      <c r="AD1929" s="77" t="s">
        <v>10620</v>
      </c>
      <c r="AE1929" s="83" t="str">
        <f>HYPERLINK("https://twitter.com/lcasna1/status/1669024914144198657")</f>
        <v>https://twitter.com/lcasna1/status/1669024914144198657</v>
      </c>
      <c r="AF1929" s="79">
        <v>45091.7028125</v>
      </c>
      <c r="AG1929" s="85">
        <v>45091</v>
      </c>
      <c r="AH1929" s="80" t="s">
        <v>12338</v>
      </c>
      <c r="AI1929" s="77" t="b">
        <v>0</v>
      </c>
      <c r="AJ1929" s="77"/>
      <c r="AK1929" s="77"/>
      <c r="AL1929" s="77"/>
      <c r="AM1929" s="77"/>
      <c r="AN1929" s="77"/>
      <c r="AO1929" s="77"/>
      <c r="AP1929" s="77"/>
      <c r="AQ1929" s="77"/>
      <c r="AR1929" s="77"/>
      <c r="AS1929" s="77"/>
      <c r="AT1929" s="77"/>
      <c r="AU1929" s="77"/>
      <c r="AV1929" s="83" t="str">
        <f>HYPERLINK("https://pbs.twimg.com/profile_images/1593085692103491584/TTGltA6Z_normal.jpg")</f>
        <v>https://pbs.twimg.com/profile_images/1593085692103491584/TTGltA6Z_normal.jpg</v>
      </c>
      <c r="AW1929" s="80" t="s">
        <v>17781</v>
      </c>
      <c r="AX1929" s="80" t="s">
        <v>17781</v>
      </c>
      <c r="AY1929" s="77"/>
      <c r="AZ1929" s="80" t="s">
        <v>20380</v>
      </c>
      <c r="BA1929" s="80" t="s">
        <v>20380</v>
      </c>
      <c r="BB1929" s="80" t="s">
        <v>20380</v>
      </c>
      <c r="BC1929" s="80" t="s">
        <v>17781</v>
      </c>
      <c r="BD1929" s="77">
        <v>2871850902</v>
      </c>
      <c r="BE1929" s="77"/>
      <c r="BF1929" s="77"/>
      <c r="BG1929" s="77"/>
      <c r="BH1929" s="77"/>
      <c r="BI1929" s="77"/>
    </row>
    <row r="1930" spans="1:61" x14ac:dyDescent="0.25">
      <c r="A1930" s="62" t="s">
        <v>822</v>
      </c>
      <c r="B1930" s="62" t="s">
        <v>822</v>
      </c>
      <c r="C1930" s="63"/>
      <c r="D1930" s="64"/>
      <c r="E1930" s="65"/>
      <c r="F1930" s="66"/>
      <c r="G1930" s="63"/>
      <c r="H1930" s="67"/>
      <c r="I1930" s="68"/>
      <c r="J1930" s="68"/>
      <c r="K1930" s="32"/>
      <c r="L1930" s="75">
        <v>1930</v>
      </c>
      <c r="M1930" s="75"/>
      <c r="N1930" s="70"/>
      <c r="O1930" s="77" t="s">
        <v>179</v>
      </c>
      <c r="P1930" s="79">
        <v>45110.717187499999</v>
      </c>
      <c r="Q1930" s="77" t="s">
        <v>3809</v>
      </c>
      <c r="R1930" s="77">
        <v>0</v>
      </c>
      <c r="S1930" s="77">
        <v>0</v>
      </c>
      <c r="T1930" s="77">
        <v>0</v>
      </c>
      <c r="U1930" s="77">
        <v>0</v>
      </c>
      <c r="V1930" s="77">
        <v>15</v>
      </c>
      <c r="W1930" s="80" t="s">
        <v>7116</v>
      </c>
      <c r="X1930" s="83" t="str">
        <f>HYPERLINK("https://sinapticas.com/2023/07/03/el-caso-de-juan-y-la-soberania-individual/")</f>
        <v>https://sinapticas.com/2023/07/03/el-caso-de-juan-y-la-soberania-individual/</v>
      </c>
      <c r="Y1930" s="77" t="s">
        <v>8758</v>
      </c>
      <c r="Z1930" s="77"/>
      <c r="AA1930" s="77"/>
      <c r="AB1930" s="77"/>
      <c r="AC1930" s="80" t="s">
        <v>10541</v>
      </c>
      <c r="AD1930" s="77" t="s">
        <v>10620</v>
      </c>
      <c r="AE1930" s="83" t="str">
        <f>HYPERLINK("https://twitter.com/lcasna1/status/1675915494627454981")</f>
        <v>https://twitter.com/lcasna1/status/1675915494627454981</v>
      </c>
      <c r="AF1930" s="79">
        <v>45110.717187499999</v>
      </c>
      <c r="AG1930" s="85">
        <v>45110</v>
      </c>
      <c r="AH1930" s="80" t="s">
        <v>12339</v>
      </c>
      <c r="AI1930" s="77" t="b">
        <v>0</v>
      </c>
      <c r="AJ1930" s="77"/>
      <c r="AK1930" s="77"/>
      <c r="AL1930" s="77"/>
      <c r="AM1930" s="77"/>
      <c r="AN1930" s="77"/>
      <c r="AO1930" s="77"/>
      <c r="AP1930" s="77"/>
      <c r="AQ1930" s="77"/>
      <c r="AR1930" s="77"/>
      <c r="AS1930" s="77"/>
      <c r="AT1930" s="77"/>
      <c r="AU1930" s="77"/>
      <c r="AV1930" s="83" t="str">
        <f>HYPERLINK("https://pbs.twimg.com/profile_images/1593085692103491584/TTGltA6Z_normal.jpg")</f>
        <v>https://pbs.twimg.com/profile_images/1593085692103491584/TTGltA6Z_normal.jpg</v>
      </c>
      <c r="AW1930" s="80" t="s">
        <v>17782</v>
      </c>
      <c r="AX1930" s="80" t="s">
        <v>17782</v>
      </c>
      <c r="AY1930" s="77"/>
      <c r="AZ1930" s="80" t="s">
        <v>20380</v>
      </c>
      <c r="BA1930" s="80" t="s">
        <v>20380</v>
      </c>
      <c r="BB1930" s="80" t="s">
        <v>20380</v>
      </c>
      <c r="BC1930" s="80" t="s">
        <v>17782</v>
      </c>
      <c r="BD1930" s="77">
        <v>2871850902</v>
      </c>
      <c r="BE1930" s="77"/>
      <c r="BF1930" s="77"/>
      <c r="BG1930" s="77"/>
      <c r="BH1930" s="77"/>
      <c r="BI1930" s="77"/>
    </row>
    <row r="1931" spans="1:61" x14ac:dyDescent="0.25">
      <c r="A1931" s="62" t="s">
        <v>823</v>
      </c>
      <c r="B1931" s="62" t="s">
        <v>1887</v>
      </c>
      <c r="C1931" s="63"/>
      <c r="D1931" s="64"/>
      <c r="E1931" s="65"/>
      <c r="F1931" s="66"/>
      <c r="G1931" s="63"/>
      <c r="H1931" s="67"/>
      <c r="I1931" s="68"/>
      <c r="J1931" s="68"/>
      <c r="K1931" s="32"/>
      <c r="L1931" s="75">
        <v>1931</v>
      </c>
      <c r="M1931" s="75"/>
      <c r="N1931" s="70"/>
      <c r="O1931" s="77" t="s">
        <v>2081</v>
      </c>
      <c r="P1931" s="79">
        <v>45068.767164351855</v>
      </c>
      <c r="Q1931" s="77" t="s">
        <v>3810</v>
      </c>
      <c r="R1931" s="77">
        <v>2</v>
      </c>
      <c r="S1931" s="77">
        <v>7</v>
      </c>
      <c r="T1931" s="77">
        <v>3</v>
      </c>
      <c r="U1931" s="77">
        <v>0</v>
      </c>
      <c r="V1931" s="77">
        <v>453</v>
      </c>
      <c r="W1931" s="80" t="s">
        <v>6131</v>
      </c>
      <c r="X1931" s="77"/>
      <c r="Y1931" s="77"/>
      <c r="Z1931" s="77" t="s">
        <v>8963</v>
      </c>
      <c r="AA1931" s="77" t="s">
        <v>9556</v>
      </c>
      <c r="AB1931" s="77" t="s">
        <v>10534</v>
      </c>
      <c r="AC1931" s="80" t="s">
        <v>10571</v>
      </c>
      <c r="AD1931" s="77" t="s">
        <v>10617</v>
      </c>
      <c r="AE1931" s="83" t="str">
        <f>HYPERLINK("https://twitter.com/tvsenado/status/1660713315310395399")</f>
        <v>https://twitter.com/tvsenado/status/1660713315310395399</v>
      </c>
      <c r="AF1931" s="79">
        <v>45068.767164351855</v>
      </c>
      <c r="AG1931" s="85">
        <v>45068</v>
      </c>
      <c r="AH1931" s="80" t="s">
        <v>12340</v>
      </c>
      <c r="AI1931" s="77" t="b">
        <v>0</v>
      </c>
      <c r="AJ1931" s="77"/>
      <c r="AK1931" s="77"/>
      <c r="AL1931" s="77"/>
      <c r="AM1931" s="77"/>
      <c r="AN1931" s="77"/>
      <c r="AO1931" s="77"/>
      <c r="AP1931" s="77"/>
      <c r="AQ1931" s="77" t="s">
        <v>15038</v>
      </c>
      <c r="AR1931" s="77">
        <v>234590</v>
      </c>
      <c r="AS1931" s="77"/>
      <c r="AT1931" s="77"/>
      <c r="AU1931" s="77"/>
      <c r="AV1931" s="83" t="str">
        <f>HYPERLINK("https://pbs.twimg.com/amplify_video_thumb/1660701433044545538/img/iY6Gw_Fs2RQzwoUh.jpg")</f>
        <v>https://pbs.twimg.com/amplify_video_thumb/1660701433044545538/img/iY6Gw_Fs2RQzwoUh.jpg</v>
      </c>
      <c r="AW1931" s="80" t="s">
        <v>17783</v>
      </c>
      <c r="AX1931" s="80" t="s">
        <v>17783</v>
      </c>
      <c r="AY1931" s="77"/>
      <c r="AZ1931" s="80" t="s">
        <v>20380</v>
      </c>
      <c r="BA1931" s="80" t="s">
        <v>20380</v>
      </c>
      <c r="BB1931" s="80" t="s">
        <v>20380</v>
      </c>
      <c r="BC1931" s="80" t="s">
        <v>17783</v>
      </c>
      <c r="BD1931" s="77">
        <v>51075078</v>
      </c>
      <c r="BE1931" s="77"/>
      <c r="BF1931" s="77"/>
      <c r="BG1931" s="77"/>
      <c r="BH1931" s="77"/>
      <c r="BI1931" s="77"/>
    </row>
    <row r="1932" spans="1:61" x14ac:dyDescent="0.25">
      <c r="A1932" s="62" t="s">
        <v>823</v>
      </c>
      <c r="B1932" s="62" t="s">
        <v>1887</v>
      </c>
      <c r="C1932" s="63"/>
      <c r="D1932" s="64"/>
      <c r="E1932" s="65"/>
      <c r="F1932" s="66"/>
      <c r="G1932" s="63"/>
      <c r="H1932" s="67"/>
      <c r="I1932" s="68"/>
      <c r="J1932" s="68"/>
      <c r="K1932" s="32"/>
      <c r="L1932" s="75">
        <v>1932</v>
      </c>
      <c r="M1932" s="75"/>
      <c r="N1932" s="70"/>
      <c r="O1932" s="77" t="s">
        <v>2081</v>
      </c>
      <c r="P1932" s="79">
        <v>45111.945173611108</v>
      </c>
      <c r="Q1932" s="77" t="s">
        <v>3811</v>
      </c>
      <c r="R1932" s="77">
        <v>1</v>
      </c>
      <c r="S1932" s="77">
        <v>6</v>
      </c>
      <c r="T1932" s="77">
        <v>2</v>
      </c>
      <c r="U1932" s="77">
        <v>0</v>
      </c>
      <c r="V1932" s="77">
        <v>644</v>
      </c>
      <c r="W1932" s="80" t="s">
        <v>7117</v>
      </c>
      <c r="X1932" s="77"/>
      <c r="Y1932" s="77"/>
      <c r="Z1932" s="77" t="s">
        <v>1887</v>
      </c>
      <c r="AA1932" s="77" t="s">
        <v>9557</v>
      </c>
      <c r="AB1932" s="77" t="s">
        <v>10534</v>
      </c>
      <c r="AC1932" s="80" t="s">
        <v>10571</v>
      </c>
      <c r="AD1932" s="77" t="s">
        <v>10617</v>
      </c>
      <c r="AE1932" s="83" t="str">
        <f>HYPERLINK("https://twitter.com/tvsenado/status/1676360503285915648")</f>
        <v>https://twitter.com/tvsenado/status/1676360503285915648</v>
      </c>
      <c r="AF1932" s="79">
        <v>45111.945173611108</v>
      </c>
      <c r="AG1932" s="85">
        <v>45111</v>
      </c>
      <c r="AH1932" s="80" t="s">
        <v>11940</v>
      </c>
      <c r="AI1932" s="77" t="b">
        <v>0</v>
      </c>
      <c r="AJ1932" s="77"/>
      <c r="AK1932" s="77"/>
      <c r="AL1932" s="77"/>
      <c r="AM1932" s="77"/>
      <c r="AN1932" s="77"/>
      <c r="AO1932" s="77"/>
      <c r="AP1932" s="77"/>
      <c r="AQ1932" s="77" t="s">
        <v>15039</v>
      </c>
      <c r="AR1932" s="77">
        <v>19380</v>
      </c>
      <c r="AS1932" s="77"/>
      <c r="AT1932" s="77"/>
      <c r="AU1932" s="77"/>
      <c r="AV1932" s="83" t="str">
        <f>HYPERLINK("https://pbs.twimg.com/amplify_video_thumb/1676357353497825281/img/xszZhqswBC6__hoZ.jpg")</f>
        <v>https://pbs.twimg.com/amplify_video_thumb/1676357353497825281/img/xszZhqswBC6__hoZ.jpg</v>
      </c>
      <c r="AW1932" s="80" t="s">
        <v>17784</v>
      </c>
      <c r="AX1932" s="80" t="s">
        <v>17784</v>
      </c>
      <c r="AY1932" s="77"/>
      <c r="AZ1932" s="80" t="s">
        <v>20380</v>
      </c>
      <c r="BA1932" s="80" t="s">
        <v>20380</v>
      </c>
      <c r="BB1932" s="80" t="s">
        <v>20380</v>
      </c>
      <c r="BC1932" s="80" t="s">
        <v>17784</v>
      </c>
      <c r="BD1932" s="77">
        <v>51075078</v>
      </c>
      <c r="BE1932" s="77"/>
      <c r="BF1932" s="77"/>
      <c r="BG1932" s="77"/>
      <c r="BH1932" s="77"/>
      <c r="BI1932" s="77"/>
    </row>
    <row r="1933" spans="1:61" x14ac:dyDescent="0.25">
      <c r="A1933" s="62" t="s">
        <v>823</v>
      </c>
      <c r="B1933" s="62" t="s">
        <v>1596</v>
      </c>
      <c r="C1933" s="63"/>
      <c r="D1933" s="64"/>
      <c r="E1933" s="65"/>
      <c r="F1933" s="66"/>
      <c r="G1933" s="63"/>
      <c r="H1933" s="67"/>
      <c r="I1933" s="68"/>
      <c r="J1933" s="68"/>
      <c r="K1933" s="32"/>
      <c r="L1933" s="75">
        <v>1933</v>
      </c>
      <c r="M1933" s="75"/>
      <c r="N1933" s="70"/>
      <c r="O1933" s="77" t="s">
        <v>2081</v>
      </c>
      <c r="P1933" s="79">
        <v>45068.767164351855</v>
      </c>
      <c r="Q1933" s="77" t="s">
        <v>3810</v>
      </c>
      <c r="R1933" s="77">
        <v>2</v>
      </c>
      <c r="S1933" s="77">
        <v>7</v>
      </c>
      <c r="T1933" s="77">
        <v>3</v>
      </c>
      <c r="U1933" s="77">
        <v>0</v>
      </c>
      <c r="V1933" s="77">
        <v>453</v>
      </c>
      <c r="W1933" s="80" t="s">
        <v>6131</v>
      </c>
      <c r="X1933" s="77"/>
      <c r="Y1933" s="77"/>
      <c r="Z1933" s="77" t="s">
        <v>8963</v>
      </c>
      <c r="AA1933" s="77" t="s">
        <v>9556</v>
      </c>
      <c r="AB1933" s="77" t="s">
        <v>10534</v>
      </c>
      <c r="AC1933" s="80" t="s">
        <v>10571</v>
      </c>
      <c r="AD1933" s="77" t="s">
        <v>10617</v>
      </c>
      <c r="AE1933" s="83" t="str">
        <f>HYPERLINK("https://twitter.com/tvsenado/status/1660713315310395399")</f>
        <v>https://twitter.com/tvsenado/status/1660713315310395399</v>
      </c>
      <c r="AF1933" s="79">
        <v>45068.767164351855</v>
      </c>
      <c r="AG1933" s="85">
        <v>45068</v>
      </c>
      <c r="AH1933" s="80" t="s">
        <v>12340</v>
      </c>
      <c r="AI1933" s="77" t="b">
        <v>0</v>
      </c>
      <c r="AJ1933" s="77"/>
      <c r="AK1933" s="77"/>
      <c r="AL1933" s="77"/>
      <c r="AM1933" s="77"/>
      <c r="AN1933" s="77"/>
      <c r="AO1933" s="77"/>
      <c r="AP1933" s="77"/>
      <c r="AQ1933" s="77" t="s">
        <v>15038</v>
      </c>
      <c r="AR1933" s="77">
        <v>234590</v>
      </c>
      <c r="AS1933" s="77"/>
      <c r="AT1933" s="77"/>
      <c r="AU1933" s="77"/>
      <c r="AV1933" s="83" t="str">
        <f>HYPERLINK("https://pbs.twimg.com/amplify_video_thumb/1660701433044545538/img/iY6Gw_Fs2RQzwoUh.jpg")</f>
        <v>https://pbs.twimg.com/amplify_video_thumb/1660701433044545538/img/iY6Gw_Fs2RQzwoUh.jpg</v>
      </c>
      <c r="AW1933" s="80" t="s">
        <v>17783</v>
      </c>
      <c r="AX1933" s="80" t="s">
        <v>17783</v>
      </c>
      <c r="AY1933" s="77"/>
      <c r="AZ1933" s="80" t="s">
        <v>20380</v>
      </c>
      <c r="BA1933" s="80" t="s">
        <v>20380</v>
      </c>
      <c r="BB1933" s="80" t="s">
        <v>20380</v>
      </c>
      <c r="BC1933" s="80" t="s">
        <v>17783</v>
      </c>
      <c r="BD1933" s="77">
        <v>51075078</v>
      </c>
      <c r="BE1933" s="77"/>
      <c r="BF1933" s="77"/>
      <c r="BG1933" s="77"/>
      <c r="BH1933" s="77"/>
      <c r="BI1933" s="77"/>
    </row>
    <row r="1934" spans="1:61" x14ac:dyDescent="0.25">
      <c r="A1934" s="62" t="s">
        <v>823</v>
      </c>
      <c r="B1934" s="62" t="s">
        <v>823</v>
      </c>
      <c r="C1934" s="63"/>
      <c r="D1934" s="64"/>
      <c r="E1934" s="65"/>
      <c r="F1934" s="66"/>
      <c r="G1934" s="63"/>
      <c r="H1934" s="67"/>
      <c r="I1934" s="68"/>
      <c r="J1934" s="68"/>
      <c r="K1934" s="32"/>
      <c r="L1934" s="75">
        <v>1934</v>
      </c>
      <c r="M1934" s="75"/>
      <c r="N1934" s="70"/>
      <c r="O1934" s="77" t="s">
        <v>2078</v>
      </c>
      <c r="P1934" s="79">
        <v>45104.756967592592</v>
      </c>
      <c r="Q1934" s="77" t="s">
        <v>3812</v>
      </c>
      <c r="R1934" s="77">
        <v>1</v>
      </c>
      <c r="S1934" s="77">
        <v>2</v>
      </c>
      <c r="T1934" s="77">
        <v>0</v>
      </c>
      <c r="U1934" s="77">
        <v>0</v>
      </c>
      <c r="V1934" s="77">
        <v>384</v>
      </c>
      <c r="W1934" s="80" t="s">
        <v>7118</v>
      </c>
      <c r="X1934" s="77"/>
      <c r="Y1934" s="77"/>
      <c r="Z1934" s="77" t="s">
        <v>1596</v>
      </c>
      <c r="AA1934" s="77"/>
      <c r="AB1934" s="77"/>
      <c r="AC1934" s="80" t="s">
        <v>10541</v>
      </c>
      <c r="AD1934" s="77" t="s">
        <v>10617</v>
      </c>
      <c r="AE1934" s="83" t="str">
        <f>HYPERLINK("https://twitter.com/tvsenado/status/1673755581557948418")</f>
        <v>https://twitter.com/tvsenado/status/1673755581557948418</v>
      </c>
      <c r="AF1934" s="79">
        <v>45104.756967592592</v>
      </c>
      <c r="AG1934" s="85">
        <v>45104</v>
      </c>
      <c r="AH1934" s="80" t="s">
        <v>12341</v>
      </c>
      <c r="AI1934" s="77"/>
      <c r="AJ1934" s="77"/>
      <c r="AK1934" s="77"/>
      <c r="AL1934" s="77"/>
      <c r="AM1934" s="77"/>
      <c r="AN1934" s="77"/>
      <c r="AO1934" s="77"/>
      <c r="AP1934" s="77"/>
      <c r="AQ1934" s="77"/>
      <c r="AR1934" s="77"/>
      <c r="AS1934" s="77"/>
      <c r="AT1934" s="77"/>
      <c r="AU1934" s="77"/>
      <c r="AV1934" s="83" t="str">
        <f>HYPERLINK("https://pbs.twimg.com/profile_images/1674207887629983745/wDLk8ehQ_normal.jpg")</f>
        <v>https://pbs.twimg.com/profile_images/1674207887629983745/wDLk8ehQ_normal.jpg</v>
      </c>
      <c r="AW1934" s="80" t="s">
        <v>17785</v>
      </c>
      <c r="AX1934" s="80" t="s">
        <v>20031</v>
      </c>
      <c r="AY1934" s="80" t="s">
        <v>20284</v>
      </c>
      <c r="AZ1934" s="80" t="s">
        <v>20031</v>
      </c>
      <c r="BA1934" s="80" t="s">
        <v>20380</v>
      </c>
      <c r="BB1934" s="80" t="s">
        <v>20380</v>
      </c>
      <c r="BC1934" s="80" t="s">
        <v>20031</v>
      </c>
      <c r="BD1934" s="77">
        <v>51075078</v>
      </c>
      <c r="BE1934" s="77"/>
      <c r="BF1934" s="77"/>
      <c r="BG1934" s="77"/>
      <c r="BH1934" s="77"/>
      <c r="BI1934" s="77"/>
    </row>
    <row r="1935" spans="1:61" x14ac:dyDescent="0.25">
      <c r="A1935" s="62" t="s">
        <v>823</v>
      </c>
      <c r="B1935" s="62" t="s">
        <v>1596</v>
      </c>
      <c r="C1935" s="63"/>
      <c r="D1935" s="64"/>
      <c r="E1935" s="65"/>
      <c r="F1935" s="66"/>
      <c r="G1935" s="63"/>
      <c r="H1935" s="67"/>
      <c r="I1935" s="68"/>
      <c r="J1935" s="68"/>
      <c r="K1935" s="32"/>
      <c r="L1935" s="75">
        <v>1935</v>
      </c>
      <c r="M1935" s="75"/>
      <c r="N1935" s="70"/>
      <c r="O1935" s="77" t="s">
        <v>2081</v>
      </c>
      <c r="P1935" s="79">
        <v>45111.71802083333</v>
      </c>
      <c r="Q1935" s="77" t="s">
        <v>3813</v>
      </c>
      <c r="R1935" s="77">
        <v>2</v>
      </c>
      <c r="S1935" s="77">
        <v>6</v>
      </c>
      <c r="T1935" s="77">
        <v>1</v>
      </c>
      <c r="U1935" s="77">
        <v>0</v>
      </c>
      <c r="V1935" s="77">
        <v>2382</v>
      </c>
      <c r="W1935" s="80" t="s">
        <v>7119</v>
      </c>
      <c r="X1935" s="77"/>
      <c r="Y1935" s="77"/>
      <c r="Z1935" s="77" t="s">
        <v>1596</v>
      </c>
      <c r="AA1935" s="77" t="s">
        <v>9558</v>
      </c>
      <c r="AB1935" s="77" t="s">
        <v>10534</v>
      </c>
      <c r="AC1935" s="80" t="s">
        <v>10571</v>
      </c>
      <c r="AD1935" s="77" t="s">
        <v>10617</v>
      </c>
      <c r="AE1935" s="83" t="str">
        <f>HYPERLINK("https://twitter.com/tvsenado/status/1676278184348876800")</f>
        <v>https://twitter.com/tvsenado/status/1676278184348876800</v>
      </c>
      <c r="AF1935" s="79">
        <v>45111.71802083333</v>
      </c>
      <c r="AG1935" s="85">
        <v>45111</v>
      </c>
      <c r="AH1935" s="80" t="s">
        <v>12342</v>
      </c>
      <c r="AI1935" s="77" t="b">
        <v>0</v>
      </c>
      <c r="AJ1935" s="77"/>
      <c r="AK1935" s="77"/>
      <c r="AL1935" s="77"/>
      <c r="AM1935" s="77"/>
      <c r="AN1935" s="77"/>
      <c r="AO1935" s="77"/>
      <c r="AP1935" s="77"/>
      <c r="AQ1935" s="77" t="s">
        <v>15040</v>
      </c>
      <c r="AR1935" s="77">
        <v>187730</v>
      </c>
      <c r="AS1935" s="77"/>
      <c r="AT1935" s="77"/>
      <c r="AU1935" s="77"/>
      <c r="AV1935" s="83" t="str">
        <f>HYPERLINK("https://pbs.twimg.com/amplify_video_thumb/1676273549579886613/img/w-ErMWSrcNRNdaAQ.jpg")</f>
        <v>https://pbs.twimg.com/amplify_video_thumb/1676273549579886613/img/w-ErMWSrcNRNdaAQ.jpg</v>
      </c>
      <c r="AW1935" s="80" t="s">
        <v>17786</v>
      </c>
      <c r="AX1935" s="80" t="s">
        <v>17786</v>
      </c>
      <c r="AY1935" s="77"/>
      <c r="AZ1935" s="80" t="s">
        <v>20380</v>
      </c>
      <c r="BA1935" s="80" t="s">
        <v>20380</v>
      </c>
      <c r="BB1935" s="80" t="s">
        <v>20380</v>
      </c>
      <c r="BC1935" s="80" t="s">
        <v>17786</v>
      </c>
      <c r="BD1935" s="77">
        <v>51075078</v>
      </c>
      <c r="BE1935" s="77"/>
      <c r="BF1935" s="77"/>
      <c r="BG1935" s="77"/>
      <c r="BH1935" s="77"/>
      <c r="BI1935" s="77"/>
    </row>
    <row r="1936" spans="1:61" x14ac:dyDescent="0.25">
      <c r="A1936" s="62" t="s">
        <v>823</v>
      </c>
      <c r="B1936" s="62" t="s">
        <v>1596</v>
      </c>
      <c r="C1936" s="63"/>
      <c r="D1936" s="64"/>
      <c r="E1936" s="65"/>
      <c r="F1936" s="66"/>
      <c r="G1936" s="63"/>
      <c r="H1936" s="67"/>
      <c r="I1936" s="68"/>
      <c r="J1936" s="68"/>
      <c r="K1936" s="32"/>
      <c r="L1936" s="75">
        <v>1936</v>
      </c>
      <c r="M1936" s="75"/>
      <c r="N1936" s="70"/>
      <c r="O1936" s="77" t="s">
        <v>2081</v>
      </c>
      <c r="P1936" s="79">
        <v>45111.656435185185</v>
      </c>
      <c r="Q1936" s="77" t="s">
        <v>3814</v>
      </c>
      <c r="R1936" s="77">
        <v>3</v>
      </c>
      <c r="S1936" s="77">
        <v>6</v>
      </c>
      <c r="T1936" s="77">
        <v>2</v>
      </c>
      <c r="U1936" s="77">
        <v>0</v>
      </c>
      <c r="V1936" s="77">
        <v>2575</v>
      </c>
      <c r="W1936" s="80" t="s">
        <v>7120</v>
      </c>
      <c r="X1936" s="77"/>
      <c r="Y1936" s="77"/>
      <c r="Z1936" s="77" t="s">
        <v>1596</v>
      </c>
      <c r="AA1936" s="77" t="s">
        <v>9559</v>
      </c>
      <c r="AB1936" s="77" t="s">
        <v>10534</v>
      </c>
      <c r="AC1936" s="80" t="s">
        <v>10571</v>
      </c>
      <c r="AD1936" s="77" t="s">
        <v>10617</v>
      </c>
      <c r="AE1936" s="83" t="str">
        <f>HYPERLINK("https://twitter.com/tvsenado/status/1676255865525923840")</f>
        <v>https://twitter.com/tvsenado/status/1676255865525923840</v>
      </c>
      <c r="AF1936" s="79">
        <v>45111.656435185185</v>
      </c>
      <c r="AG1936" s="85">
        <v>45111</v>
      </c>
      <c r="AH1936" s="80" t="s">
        <v>12343</v>
      </c>
      <c r="AI1936" s="77" t="b">
        <v>0</v>
      </c>
      <c r="AJ1936" s="77"/>
      <c r="AK1936" s="77"/>
      <c r="AL1936" s="77"/>
      <c r="AM1936" s="77"/>
      <c r="AN1936" s="77"/>
      <c r="AO1936" s="77"/>
      <c r="AP1936" s="77"/>
      <c r="AQ1936" s="77" t="s">
        <v>15041</v>
      </c>
      <c r="AR1936" s="77">
        <v>38390</v>
      </c>
      <c r="AS1936" s="77"/>
      <c r="AT1936" s="77"/>
      <c r="AU1936" s="77"/>
      <c r="AV1936" s="83" t="str">
        <f>HYPERLINK("https://pbs.twimg.com/amplify_video_thumb/1676254327525056513/img/TtwXMsgh_rdDAcM5.jpg")</f>
        <v>https://pbs.twimg.com/amplify_video_thumb/1676254327525056513/img/TtwXMsgh_rdDAcM5.jpg</v>
      </c>
      <c r="AW1936" s="80" t="s">
        <v>17787</v>
      </c>
      <c r="AX1936" s="80" t="s">
        <v>17787</v>
      </c>
      <c r="AY1936" s="77"/>
      <c r="AZ1936" s="80" t="s">
        <v>20380</v>
      </c>
      <c r="BA1936" s="80" t="s">
        <v>20380</v>
      </c>
      <c r="BB1936" s="80" t="s">
        <v>20380</v>
      </c>
      <c r="BC1936" s="80" t="s">
        <v>17787</v>
      </c>
      <c r="BD1936" s="77">
        <v>51075078</v>
      </c>
      <c r="BE1936" s="77"/>
      <c r="BF1936" s="77"/>
      <c r="BG1936" s="77"/>
      <c r="BH1936" s="77"/>
      <c r="BI1936" s="77"/>
    </row>
    <row r="1937" spans="1:61" x14ac:dyDescent="0.25">
      <c r="A1937" s="62" t="s">
        <v>823</v>
      </c>
      <c r="B1937" s="62" t="s">
        <v>1596</v>
      </c>
      <c r="C1937" s="63"/>
      <c r="D1937" s="64"/>
      <c r="E1937" s="65"/>
      <c r="F1937" s="66"/>
      <c r="G1937" s="63"/>
      <c r="H1937" s="67"/>
      <c r="I1937" s="68"/>
      <c r="J1937" s="68"/>
      <c r="K1937" s="32"/>
      <c r="L1937" s="75">
        <v>1937</v>
      </c>
      <c r="M1937" s="75"/>
      <c r="N1937" s="70"/>
      <c r="O1937" s="77" t="s">
        <v>2081</v>
      </c>
      <c r="P1937" s="79">
        <v>45148.610173611109</v>
      </c>
      <c r="Q1937" s="77" t="s">
        <v>3815</v>
      </c>
      <c r="R1937" s="77">
        <v>0</v>
      </c>
      <c r="S1937" s="77">
        <v>1</v>
      </c>
      <c r="T1937" s="77">
        <v>1</v>
      </c>
      <c r="U1937" s="77">
        <v>0</v>
      </c>
      <c r="V1937" s="77">
        <v>299</v>
      </c>
      <c r="W1937" s="80" t="s">
        <v>5884</v>
      </c>
      <c r="X1937" s="77"/>
      <c r="Y1937" s="77"/>
      <c r="Z1937" s="77" t="s">
        <v>1596</v>
      </c>
      <c r="AA1937" s="77" t="s">
        <v>9560</v>
      </c>
      <c r="AB1937" s="77" t="s">
        <v>10534</v>
      </c>
      <c r="AC1937" s="80" t="s">
        <v>10571</v>
      </c>
      <c r="AD1937" s="77" t="s">
        <v>10617</v>
      </c>
      <c r="AE1937" s="83" t="str">
        <f>HYPERLINK("https://twitter.com/tvsenado/status/1689647452637507584")</f>
        <v>https://twitter.com/tvsenado/status/1689647452637507584</v>
      </c>
      <c r="AF1937" s="79">
        <v>45148.610173611109</v>
      </c>
      <c r="AG1937" s="85">
        <v>45148</v>
      </c>
      <c r="AH1937" s="80" t="s">
        <v>12344</v>
      </c>
      <c r="AI1937" s="77" t="b">
        <v>0</v>
      </c>
      <c r="AJ1937" s="77"/>
      <c r="AK1937" s="77"/>
      <c r="AL1937" s="77"/>
      <c r="AM1937" s="77"/>
      <c r="AN1937" s="77"/>
      <c r="AO1937" s="77"/>
      <c r="AP1937" s="77"/>
      <c r="AQ1937" s="77" t="s">
        <v>15042</v>
      </c>
      <c r="AR1937" s="77">
        <v>70940</v>
      </c>
      <c r="AS1937" s="77"/>
      <c r="AT1937" s="77"/>
      <c r="AU1937" s="77"/>
      <c r="AV1937" s="83" t="str">
        <f>HYPERLINK("https://pbs.twimg.com/amplify_video_thumb/1689642605792137217/img/0d9wpdhaurV6HCA9.jpg")</f>
        <v>https://pbs.twimg.com/amplify_video_thumb/1689642605792137217/img/0d9wpdhaurV6HCA9.jpg</v>
      </c>
      <c r="AW1937" s="80" t="s">
        <v>17788</v>
      </c>
      <c r="AX1937" s="80" t="s">
        <v>17788</v>
      </c>
      <c r="AY1937" s="77"/>
      <c r="AZ1937" s="80" t="s">
        <v>20380</v>
      </c>
      <c r="BA1937" s="80" t="s">
        <v>20380</v>
      </c>
      <c r="BB1937" s="80" t="s">
        <v>20380</v>
      </c>
      <c r="BC1937" s="80" t="s">
        <v>17788</v>
      </c>
      <c r="BD1937" s="77">
        <v>51075078</v>
      </c>
      <c r="BE1937" s="77"/>
      <c r="BF1937" s="77"/>
      <c r="BG1937" s="77"/>
      <c r="BH1937" s="77"/>
      <c r="BI1937" s="77"/>
    </row>
    <row r="1938" spans="1:61" x14ac:dyDescent="0.25">
      <c r="A1938" s="62" t="s">
        <v>823</v>
      </c>
      <c r="B1938" s="62" t="s">
        <v>1596</v>
      </c>
      <c r="C1938" s="63"/>
      <c r="D1938" s="64"/>
      <c r="E1938" s="65"/>
      <c r="F1938" s="66"/>
      <c r="G1938" s="63"/>
      <c r="H1938" s="67"/>
      <c r="I1938" s="68"/>
      <c r="J1938" s="68"/>
      <c r="K1938" s="32"/>
      <c r="L1938" s="75">
        <v>1938</v>
      </c>
      <c r="M1938" s="75"/>
      <c r="N1938" s="70"/>
      <c r="O1938" s="77" t="s">
        <v>2081</v>
      </c>
      <c r="P1938" s="79">
        <v>45148.604039351849</v>
      </c>
      <c r="Q1938" s="77" t="s">
        <v>3816</v>
      </c>
      <c r="R1938" s="77">
        <v>0</v>
      </c>
      <c r="S1938" s="77">
        <v>4</v>
      </c>
      <c r="T1938" s="77">
        <v>2</v>
      </c>
      <c r="U1938" s="77">
        <v>0</v>
      </c>
      <c r="V1938" s="77">
        <v>376</v>
      </c>
      <c r="W1938" s="80" t="s">
        <v>7121</v>
      </c>
      <c r="X1938" s="77"/>
      <c r="Y1938" s="77"/>
      <c r="Z1938" s="77" t="s">
        <v>1596</v>
      </c>
      <c r="AA1938" s="77" t="s">
        <v>9561</v>
      </c>
      <c r="AB1938" s="77" t="s">
        <v>10534</v>
      </c>
      <c r="AC1938" s="80" t="s">
        <v>10571</v>
      </c>
      <c r="AD1938" s="77" t="s">
        <v>10617</v>
      </c>
      <c r="AE1938" s="83" t="str">
        <f>HYPERLINK("https://twitter.com/tvsenado/status/1689645231044698113")</f>
        <v>https://twitter.com/tvsenado/status/1689645231044698113</v>
      </c>
      <c r="AF1938" s="79">
        <v>45148.604039351849</v>
      </c>
      <c r="AG1938" s="85">
        <v>45148</v>
      </c>
      <c r="AH1938" s="80" t="s">
        <v>12345</v>
      </c>
      <c r="AI1938" s="77" t="b">
        <v>0</v>
      </c>
      <c r="AJ1938" s="77"/>
      <c r="AK1938" s="77"/>
      <c r="AL1938" s="77"/>
      <c r="AM1938" s="77"/>
      <c r="AN1938" s="77"/>
      <c r="AO1938" s="77"/>
      <c r="AP1938" s="77"/>
      <c r="AQ1938" s="77" t="s">
        <v>15043</v>
      </c>
      <c r="AR1938" s="77">
        <v>25700</v>
      </c>
      <c r="AS1938" s="77"/>
      <c r="AT1938" s="77"/>
      <c r="AU1938" s="77"/>
      <c r="AV1938" s="83" t="str">
        <f>HYPERLINK("https://pbs.twimg.com/amplify_video_thumb/1689642680836628480/img/5lxgKQEuuuUFuV0q.jpg")</f>
        <v>https://pbs.twimg.com/amplify_video_thumb/1689642680836628480/img/5lxgKQEuuuUFuV0q.jpg</v>
      </c>
      <c r="AW1938" s="80" t="s">
        <v>17789</v>
      </c>
      <c r="AX1938" s="80" t="s">
        <v>17789</v>
      </c>
      <c r="AY1938" s="77"/>
      <c r="AZ1938" s="80" t="s">
        <v>20380</v>
      </c>
      <c r="BA1938" s="80" t="s">
        <v>20380</v>
      </c>
      <c r="BB1938" s="80" t="s">
        <v>20380</v>
      </c>
      <c r="BC1938" s="80" t="s">
        <v>17789</v>
      </c>
      <c r="BD1938" s="77">
        <v>51075078</v>
      </c>
      <c r="BE1938" s="77"/>
      <c r="BF1938" s="77"/>
      <c r="BG1938" s="77"/>
      <c r="BH1938" s="77"/>
      <c r="BI1938" s="77"/>
    </row>
    <row r="1939" spans="1:61" x14ac:dyDescent="0.25">
      <c r="A1939" s="62" t="s">
        <v>824</v>
      </c>
      <c r="B1939" s="62" t="s">
        <v>824</v>
      </c>
      <c r="C1939" s="63"/>
      <c r="D1939" s="64"/>
      <c r="E1939" s="65"/>
      <c r="F1939" s="66"/>
      <c r="G1939" s="63"/>
      <c r="H1939" s="67"/>
      <c r="I1939" s="68"/>
      <c r="J1939" s="68"/>
      <c r="K1939" s="32"/>
      <c r="L1939" s="75">
        <v>1939</v>
      </c>
      <c r="M1939" s="75"/>
      <c r="N1939" s="70"/>
      <c r="O1939" s="77" t="s">
        <v>179</v>
      </c>
      <c r="P1939" s="79">
        <v>45068.958333333336</v>
      </c>
      <c r="Q1939" s="77" t="s">
        <v>3817</v>
      </c>
      <c r="R1939" s="77">
        <v>0</v>
      </c>
      <c r="S1939" s="77">
        <v>0</v>
      </c>
      <c r="T1939" s="77">
        <v>0</v>
      </c>
      <c r="U1939" s="77">
        <v>0</v>
      </c>
      <c r="V1939" s="77">
        <v>382</v>
      </c>
      <c r="W1939" s="80" t="s">
        <v>5884</v>
      </c>
      <c r="X1939" s="83" t="str">
        <f>HYPERLINK("https://www.jornaldocomercio.com/economia/2023/05/1107764-mudanca-de-meta-pode-ser-interpretada-como-mudanca-para-ganhar-flexibilidade-diz-campos-neto.html")</f>
        <v>https://www.jornaldocomercio.com/economia/2023/05/1107764-mudanca-de-meta-pode-ser-interpretada-como-mudanca-para-ganhar-flexibilidade-diz-campos-neto.html</v>
      </c>
      <c r="Y1939" s="77" t="s">
        <v>8759</v>
      </c>
      <c r="Z1939" s="77"/>
      <c r="AA1939" s="77"/>
      <c r="AB1939" s="77"/>
      <c r="AC1939" s="80" t="s">
        <v>10551</v>
      </c>
      <c r="AD1939" s="77" t="s">
        <v>10617</v>
      </c>
      <c r="AE1939" s="83" t="str">
        <f>HYPERLINK("https://twitter.com/jc_rs/status/1660782591832920065")</f>
        <v>https://twitter.com/jc_rs/status/1660782591832920065</v>
      </c>
      <c r="AF1939" s="79">
        <v>45068.958333333336</v>
      </c>
      <c r="AG1939" s="85">
        <v>45068</v>
      </c>
      <c r="AH1939" s="80" t="s">
        <v>10891</v>
      </c>
      <c r="AI1939" s="77" t="b">
        <v>0</v>
      </c>
      <c r="AJ1939" s="77"/>
      <c r="AK1939" s="77"/>
      <c r="AL1939" s="77"/>
      <c r="AM1939" s="77"/>
      <c r="AN1939" s="77"/>
      <c r="AO1939" s="77"/>
      <c r="AP1939" s="77"/>
      <c r="AQ1939" s="77"/>
      <c r="AR1939" s="77"/>
      <c r="AS1939" s="77"/>
      <c r="AT1939" s="77"/>
      <c r="AU1939" s="77"/>
      <c r="AV1939" s="83" t="str">
        <f>HYPERLINK("https://pbs.twimg.com/profile_images/1531317937075806210/7oEvwlvr_normal.jpg")</f>
        <v>https://pbs.twimg.com/profile_images/1531317937075806210/7oEvwlvr_normal.jpg</v>
      </c>
      <c r="AW1939" s="80" t="s">
        <v>17790</v>
      </c>
      <c r="AX1939" s="80" t="s">
        <v>17790</v>
      </c>
      <c r="AY1939" s="77"/>
      <c r="AZ1939" s="80" t="s">
        <v>20380</v>
      </c>
      <c r="BA1939" s="80" t="s">
        <v>20380</v>
      </c>
      <c r="BB1939" s="80" t="s">
        <v>20380</v>
      </c>
      <c r="BC1939" s="80" t="s">
        <v>17790</v>
      </c>
      <c r="BD1939" s="77">
        <v>17118982</v>
      </c>
      <c r="BE1939" s="77"/>
      <c r="BF1939" s="77"/>
      <c r="BG1939" s="77"/>
      <c r="BH1939" s="77"/>
      <c r="BI1939" s="77"/>
    </row>
    <row r="1940" spans="1:61" x14ac:dyDescent="0.25">
      <c r="A1940" s="62" t="s">
        <v>824</v>
      </c>
      <c r="B1940" s="62" t="s">
        <v>824</v>
      </c>
      <c r="C1940" s="63"/>
      <c r="D1940" s="64"/>
      <c r="E1940" s="65"/>
      <c r="F1940" s="66"/>
      <c r="G1940" s="63"/>
      <c r="H1940" s="67"/>
      <c r="I1940" s="68"/>
      <c r="J1940" s="68"/>
      <c r="K1940" s="32"/>
      <c r="L1940" s="75">
        <v>1940</v>
      </c>
      <c r="M1940" s="75"/>
      <c r="N1940" s="70"/>
      <c r="O1940" s="77" t="s">
        <v>179</v>
      </c>
      <c r="P1940" s="79">
        <v>45089.840277777781</v>
      </c>
      <c r="Q1940" s="77" t="s">
        <v>3818</v>
      </c>
      <c r="R1940" s="77">
        <v>0</v>
      </c>
      <c r="S1940" s="77">
        <v>2</v>
      </c>
      <c r="T1940" s="77">
        <v>0</v>
      </c>
      <c r="U1940" s="77">
        <v>0</v>
      </c>
      <c r="V1940" s="77">
        <v>381</v>
      </c>
      <c r="W1940" s="80" t="s">
        <v>5884</v>
      </c>
      <c r="X1940" s="83" t="str">
        <f>HYPERLINK("https://www.jornaldocomercio.com/economia/2023/06/1110468-nao-ha-plano-para-taxar-pix-que-e-exemplo-de-inclusao-financeira-diz-diretor-do-bc.html")</f>
        <v>https://www.jornaldocomercio.com/economia/2023/06/1110468-nao-ha-plano-para-taxar-pix-que-e-exemplo-de-inclusao-financeira-diz-diretor-do-bc.html</v>
      </c>
      <c r="Y1940" s="77" t="s">
        <v>8759</v>
      </c>
      <c r="Z1940" s="77"/>
      <c r="AA1940" s="77"/>
      <c r="AB1940" s="77"/>
      <c r="AC1940" s="80" t="s">
        <v>10551</v>
      </c>
      <c r="AD1940" s="77" t="s">
        <v>10617</v>
      </c>
      <c r="AE1940" s="83" t="str">
        <f>HYPERLINK("https://twitter.com/jc_rs/status/1668349954375708672")</f>
        <v>https://twitter.com/jc_rs/status/1668349954375708672</v>
      </c>
      <c r="AF1940" s="79">
        <v>45089.840277777781</v>
      </c>
      <c r="AG1940" s="85">
        <v>45089</v>
      </c>
      <c r="AH1940" s="80" t="s">
        <v>12346</v>
      </c>
      <c r="AI1940" s="77" t="b">
        <v>0</v>
      </c>
      <c r="AJ1940" s="77"/>
      <c r="AK1940" s="77"/>
      <c r="AL1940" s="77"/>
      <c r="AM1940" s="77"/>
      <c r="AN1940" s="77"/>
      <c r="AO1940" s="77"/>
      <c r="AP1940" s="77"/>
      <c r="AQ1940" s="77"/>
      <c r="AR1940" s="77"/>
      <c r="AS1940" s="77"/>
      <c r="AT1940" s="77"/>
      <c r="AU1940" s="77"/>
      <c r="AV1940" s="83" t="str">
        <f>HYPERLINK("https://pbs.twimg.com/profile_images/1531317937075806210/7oEvwlvr_normal.jpg")</f>
        <v>https://pbs.twimg.com/profile_images/1531317937075806210/7oEvwlvr_normal.jpg</v>
      </c>
      <c r="AW1940" s="80" t="s">
        <v>17791</v>
      </c>
      <c r="AX1940" s="80" t="s">
        <v>17791</v>
      </c>
      <c r="AY1940" s="77"/>
      <c r="AZ1940" s="80" t="s">
        <v>20380</v>
      </c>
      <c r="BA1940" s="80" t="s">
        <v>20380</v>
      </c>
      <c r="BB1940" s="80" t="s">
        <v>20380</v>
      </c>
      <c r="BC1940" s="80" t="s">
        <v>17791</v>
      </c>
      <c r="BD1940" s="77">
        <v>17118982</v>
      </c>
      <c r="BE1940" s="77"/>
      <c r="BF1940" s="77"/>
      <c r="BG1940" s="77"/>
      <c r="BH1940" s="77"/>
      <c r="BI1940" s="77"/>
    </row>
    <row r="1941" spans="1:61" x14ac:dyDescent="0.25">
      <c r="A1941" s="62" t="s">
        <v>824</v>
      </c>
      <c r="B1941" s="62" t="s">
        <v>824</v>
      </c>
      <c r="C1941" s="63"/>
      <c r="D1941" s="64"/>
      <c r="E1941" s="65"/>
      <c r="F1941" s="66"/>
      <c r="G1941" s="63"/>
      <c r="H1941" s="67"/>
      <c r="I1941" s="68"/>
      <c r="J1941" s="68"/>
      <c r="K1941" s="32"/>
      <c r="L1941" s="75">
        <v>1941</v>
      </c>
      <c r="M1941" s="75"/>
      <c r="N1941" s="70"/>
      <c r="O1941" s="77" t="s">
        <v>179</v>
      </c>
      <c r="P1941" s="79">
        <v>45054.736111111109</v>
      </c>
      <c r="Q1941" s="77" t="s">
        <v>3819</v>
      </c>
      <c r="R1941" s="77">
        <v>0</v>
      </c>
      <c r="S1941" s="77">
        <v>0</v>
      </c>
      <c r="T1941" s="77">
        <v>0</v>
      </c>
      <c r="U1941" s="77">
        <v>0</v>
      </c>
      <c r="V1941" s="77">
        <v>314</v>
      </c>
      <c r="W1941" s="80" t="s">
        <v>5884</v>
      </c>
      <c r="X1941" s="83" t="str">
        <f>HYPERLINK("https://www.jornaldocomercio.com/economia/2023/05/1105671-haddad-galipolo-sera-indicado-para-politica-monetaria-do-bc-ailton-aquino-para-fiscalizacao.html")</f>
        <v>https://www.jornaldocomercio.com/economia/2023/05/1105671-haddad-galipolo-sera-indicado-para-politica-monetaria-do-bc-ailton-aquino-para-fiscalizacao.html</v>
      </c>
      <c r="Y1941" s="77" t="s">
        <v>8759</v>
      </c>
      <c r="Z1941" s="77"/>
      <c r="AA1941" s="77"/>
      <c r="AB1941" s="77"/>
      <c r="AC1941" s="80" t="s">
        <v>10551</v>
      </c>
      <c r="AD1941" s="77" t="s">
        <v>10617</v>
      </c>
      <c r="AE1941" s="83" t="str">
        <f>HYPERLINK("https://twitter.com/jc_rs/status/1655628630733512704")</f>
        <v>https://twitter.com/jc_rs/status/1655628630733512704</v>
      </c>
      <c r="AF1941" s="79">
        <v>45054.736111111109</v>
      </c>
      <c r="AG1941" s="85">
        <v>45054</v>
      </c>
      <c r="AH1941" s="80" t="s">
        <v>12347</v>
      </c>
      <c r="AI1941" s="77" t="b">
        <v>0</v>
      </c>
      <c r="AJ1941" s="77"/>
      <c r="AK1941" s="77"/>
      <c r="AL1941" s="77"/>
      <c r="AM1941" s="77"/>
      <c r="AN1941" s="77"/>
      <c r="AO1941" s="77"/>
      <c r="AP1941" s="77"/>
      <c r="AQ1941" s="77"/>
      <c r="AR1941" s="77"/>
      <c r="AS1941" s="77"/>
      <c r="AT1941" s="77"/>
      <c r="AU1941" s="77"/>
      <c r="AV1941" s="83" t="str">
        <f>HYPERLINK("https://pbs.twimg.com/profile_images/1531317937075806210/7oEvwlvr_normal.jpg")</f>
        <v>https://pbs.twimg.com/profile_images/1531317937075806210/7oEvwlvr_normal.jpg</v>
      </c>
      <c r="AW1941" s="80" t="s">
        <v>17792</v>
      </c>
      <c r="AX1941" s="80" t="s">
        <v>17792</v>
      </c>
      <c r="AY1941" s="77"/>
      <c r="AZ1941" s="80" t="s">
        <v>20380</v>
      </c>
      <c r="BA1941" s="80" t="s">
        <v>20380</v>
      </c>
      <c r="BB1941" s="80" t="s">
        <v>20380</v>
      </c>
      <c r="BC1941" s="80" t="s">
        <v>17792</v>
      </c>
      <c r="BD1941" s="77">
        <v>17118982</v>
      </c>
      <c r="BE1941" s="77"/>
      <c r="BF1941" s="77"/>
      <c r="BG1941" s="77"/>
      <c r="BH1941" s="77"/>
      <c r="BI1941" s="77"/>
    </row>
    <row r="1942" spans="1:61" x14ac:dyDescent="0.25">
      <c r="A1942" s="62" t="s">
        <v>824</v>
      </c>
      <c r="B1942" s="62" t="s">
        <v>824</v>
      </c>
      <c r="C1942" s="63"/>
      <c r="D1942" s="64"/>
      <c r="E1942" s="65"/>
      <c r="F1942" s="66"/>
      <c r="G1942" s="63"/>
      <c r="H1942" s="67"/>
      <c r="I1942" s="68"/>
      <c r="J1942" s="68"/>
      <c r="K1942" s="32"/>
      <c r="L1942" s="75">
        <v>1942</v>
      </c>
      <c r="M1942" s="75"/>
      <c r="N1942" s="70"/>
      <c r="O1942" s="77" t="s">
        <v>179</v>
      </c>
      <c r="P1942" s="79">
        <v>45124.888888888891</v>
      </c>
      <c r="Q1942" s="77" t="s">
        <v>3820</v>
      </c>
      <c r="R1942" s="77">
        <v>0</v>
      </c>
      <c r="S1942" s="77">
        <v>0</v>
      </c>
      <c r="T1942" s="77">
        <v>0</v>
      </c>
      <c r="U1942" s="77">
        <v>0</v>
      </c>
      <c r="V1942" s="77">
        <v>307</v>
      </c>
      <c r="W1942" s="80" t="s">
        <v>5884</v>
      </c>
      <c r="X1942" s="83" t="str">
        <f>HYPERLINK("https://www.jornaldocomercio.com/economia/2023/07/1115354-comunicacao-do-bc-pode-aumentar-a-potencia-da-politica-monetaria-comenta-diretor.html")</f>
        <v>https://www.jornaldocomercio.com/economia/2023/07/1115354-comunicacao-do-bc-pode-aumentar-a-potencia-da-politica-monetaria-comenta-diretor.html</v>
      </c>
      <c r="Y1942" s="77" t="s">
        <v>8759</v>
      </c>
      <c r="Z1942" s="77"/>
      <c r="AA1942" s="77"/>
      <c r="AB1942" s="77"/>
      <c r="AC1942" s="80" t="s">
        <v>10541</v>
      </c>
      <c r="AD1942" s="77" t="s">
        <v>10617</v>
      </c>
      <c r="AE1942" s="83" t="str">
        <f>HYPERLINK("https://twitter.com/jc_rs/status/1681051145748316160")</f>
        <v>https://twitter.com/jc_rs/status/1681051145748316160</v>
      </c>
      <c r="AF1942" s="79">
        <v>45124.888888888891</v>
      </c>
      <c r="AG1942" s="85">
        <v>45124</v>
      </c>
      <c r="AH1942" s="80" t="s">
        <v>12348</v>
      </c>
      <c r="AI1942" s="77" t="b">
        <v>0</v>
      </c>
      <c r="AJ1942" s="77"/>
      <c r="AK1942" s="77"/>
      <c r="AL1942" s="77"/>
      <c r="AM1942" s="77"/>
      <c r="AN1942" s="77"/>
      <c r="AO1942" s="77"/>
      <c r="AP1942" s="77"/>
      <c r="AQ1942" s="77"/>
      <c r="AR1942" s="77"/>
      <c r="AS1942" s="77"/>
      <c r="AT1942" s="77"/>
      <c r="AU1942" s="77"/>
      <c r="AV1942" s="83" t="str">
        <f>HYPERLINK("https://pbs.twimg.com/profile_images/1531317937075806210/7oEvwlvr_normal.jpg")</f>
        <v>https://pbs.twimg.com/profile_images/1531317937075806210/7oEvwlvr_normal.jpg</v>
      </c>
      <c r="AW1942" s="80" t="s">
        <v>17793</v>
      </c>
      <c r="AX1942" s="80" t="s">
        <v>17793</v>
      </c>
      <c r="AY1942" s="77"/>
      <c r="AZ1942" s="80" t="s">
        <v>20380</v>
      </c>
      <c r="BA1942" s="80" t="s">
        <v>20380</v>
      </c>
      <c r="BB1942" s="80" t="s">
        <v>20380</v>
      </c>
      <c r="BC1942" s="80" t="s">
        <v>17793</v>
      </c>
      <c r="BD1942" s="77">
        <v>17118982</v>
      </c>
      <c r="BE1942" s="77"/>
      <c r="BF1942" s="77"/>
      <c r="BG1942" s="77"/>
      <c r="BH1942" s="77"/>
      <c r="BI1942" s="77"/>
    </row>
    <row r="1943" spans="1:61" x14ac:dyDescent="0.25">
      <c r="A1943" s="62" t="s">
        <v>824</v>
      </c>
      <c r="B1943" s="62" t="s">
        <v>824</v>
      </c>
      <c r="C1943" s="63"/>
      <c r="D1943" s="64"/>
      <c r="E1943" s="65"/>
      <c r="F1943" s="66"/>
      <c r="G1943" s="63"/>
      <c r="H1943" s="67"/>
      <c r="I1943" s="68"/>
      <c r="J1943" s="68"/>
      <c r="K1943" s="32"/>
      <c r="L1943" s="75">
        <v>1943</v>
      </c>
      <c r="M1943" s="75"/>
      <c r="N1943" s="70"/>
      <c r="O1943" s="77" t="s">
        <v>179</v>
      </c>
      <c r="P1943" s="79">
        <v>45153.819444444445</v>
      </c>
      <c r="Q1943" s="77" t="s">
        <v>3821</v>
      </c>
      <c r="R1943" s="77">
        <v>0</v>
      </c>
      <c r="S1943" s="77">
        <v>1</v>
      </c>
      <c r="T1943" s="77">
        <v>0</v>
      </c>
      <c r="U1943" s="77">
        <v>0</v>
      </c>
      <c r="V1943" s="77">
        <v>201</v>
      </c>
      <c r="W1943" s="80" t="s">
        <v>5884</v>
      </c>
      <c r="X1943" s="83" t="str">
        <f>HYPERLINK("https://www.jornaldocomercio.com/economia/2023/08/1119249-debatemos-varios-tipos-de-solucao-para-o-cartao-de-credito-diz-campos-neto.html")</f>
        <v>https://www.jornaldocomercio.com/economia/2023/08/1119249-debatemos-varios-tipos-de-solucao-para-o-cartao-de-credito-diz-campos-neto.html</v>
      </c>
      <c r="Y1943" s="77" t="s">
        <v>8759</v>
      </c>
      <c r="Z1943" s="77"/>
      <c r="AA1943" s="77"/>
      <c r="AB1943" s="77"/>
      <c r="AC1943" s="80" t="s">
        <v>10555</v>
      </c>
      <c r="AD1943" s="77" t="s">
        <v>10617</v>
      </c>
      <c r="AE1943" s="83" t="str">
        <f>HYPERLINK("https://twitter.com/jc_rs/status/1691535228198875136")</f>
        <v>https://twitter.com/jc_rs/status/1691535228198875136</v>
      </c>
      <c r="AF1943" s="79">
        <v>45153.819444444445</v>
      </c>
      <c r="AG1943" s="85">
        <v>45153</v>
      </c>
      <c r="AH1943" s="80" t="s">
        <v>12349</v>
      </c>
      <c r="AI1943" s="77" t="b">
        <v>0</v>
      </c>
      <c r="AJ1943" s="77"/>
      <c r="AK1943" s="77"/>
      <c r="AL1943" s="77"/>
      <c r="AM1943" s="77"/>
      <c r="AN1943" s="77"/>
      <c r="AO1943" s="77"/>
      <c r="AP1943" s="77"/>
      <c r="AQ1943" s="77"/>
      <c r="AR1943" s="77"/>
      <c r="AS1943" s="77"/>
      <c r="AT1943" s="77"/>
      <c r="AU1943" s="77"/>
      <c r="AV1943" s="83" t="str">
        <f>HYPERLINK("https://pbs.twimg.com/profile_images/1531317937075806210/7oEvwlvr_normal.jpg")</f>
        <v>https://pbs.twimg.com/profile_images/1531317937075806210/7oEvwlvr_normal.jpg</v>
      </c>
      <c r="AW1943" s="80" t="s">
        <v>17794</v>
      </c>
      <c r="AX1943" s="80" t="s">
        <v>17794</v>
      </c>
      <c r="AY1943" s="77"/>
      <c r="AZ1943" s="80" t="s">
        <v>20380</v>
      </c>
      <c r="BA1943" s="80" t="s">
        <v>20380</v>
      </c>
      <c r="BB1943" s="80" t="s">
        <v>20380</v>
      </c>
      <c r="BC1943" s="80" t="s">
        <v>17794</v>
      </c>
      <c r="BD1943" s="77">
        <v>17118982</v>
      </c>
      <c r="BE1943" s="77"/>
      <c r="BF1943" s="77"/>
      <c r="BG1943" s="77"/>
      <c r="BH1943" s="77"/>
      <c r="BI1943" s="77"/>
    </row>
    <row r="1944" spans="1:61" x14ac:dyDescent="0.25">
      <c r="A1944" s="62" t="s">
        <v>824</v>
      </c>
      <c r="B1944" s="62" t="s">
        <v>824</v>
      </c>
      <c r="C1944" s="63"/>
      <c r="D1944" s="64"/>
      <c r="E1944" s="65"/>
      <c r="F1944" s="66"/>
      <c r="G1944" s="63"/>
      <c r="H1944" s="67"/>
      <c r="I1944" s="68"/>
      <c r="J1944" s="68"/>
      <c r="K1944" s="32"/>
      <c r="L1944" s="75">
        <v>1944</v>
      </c>
      <c r="M1944" s="75"/>
      <c r="N1944" s="70"/>
      <c r="O1944" s="77" t="s">
        <v>179</v>
      </c>
      <c r="P1944" s="79">
        <v>45107.833344907405</v>
      </c>
      <c r="Q1944" s="77" t="s">
        <v>3822</v>
      </c>
      <c r="R1944" s="77">
        <v>0</v>
      </c>
      <c r="S1944" s="77">
        <v>4</v>
      </c>
      <c r="T1944" s="77">
        <v>0</v>
      </c>
      <c r="U1944" s="77">
        <v>0</v>
      </c>
      <c r="V1944" s="77">
        <v>312</v>
      </c>
      <c r="W1944" s="80" t="s">
        <v>5884</v>
      </c>
      <c r="X1944" s="83" t="str">
        <f>HYPERLINK("https://www.jornaldocomercio.com/economia/2023/06/1113077-servidores-do-bc-decidem-iniciar-paralisacoes-parciais-na-proxima-segunda.html")</f>
        <v>https://www.jornaldocomercio.com/economia/2023/06/1113077-servidores-do-bc-decidem-iniciar-paralisacoes-parciais-na-proxima-segunda.html</v>
      </c>
      <c r="Y1944" s="77" t="s">
        <v>8759</v>
      </c>
      <c r="Z1944" s="77"/>
      <c r="AA1944" s="77"/>
      <c r="AB1944" s="77"/>
      <c r="AC1944" s="80" t="s">
        <v>10555</v>
      </c>
      <c r="AD1944" s="77" t="s">
        <v>10617</v>
      </c>
      <c r="AE1944" s="83" t="str">
        <f>HYPERLINK("https://twitter.com/jc_rs/status/1674870424071704576")</f>
        <v>https://twitter.com/jc_rs/status/1674870424071704576</v>
      </c>
      <c r="AF1944" s="79">
        <v>45107.833344907405</v>
      </c>
      <c r="AG1944" s="85">
        <v>45107</v>
      </c>
      <c r="AH1944" s="80" t="s">
        <v>11789</v>
      </c>
      <c r="AI1944" s="77" t="b">
        <v>0</v>
      </c>
      <c r="AJ1944" s="77"/>
      <c r="AK1944" s="77"/>
      <c r="AL1944" s="77"/>
      <c r="AM1944" s="77"/>
      <c r="AN1944" s="77"/>
      <c r="AO1944" s="77"/>
      <c r="AP1944" s="77"/>
      <c r="AQ1944" s="77"/>
      <c r="AR1944" s="77"/>
      <c r="AS1944" s="77"/>
      <c r="AT1944" s="77"/>
      <c r="AU1944" s="77"/>
      <c r="AV1944" s="83" t="str">
        <f>HYPERLINK("https://pbs.twimg.com/profile_images/1531317937075806210/7oEvwlvr_normal.jpg")</f>
        <v>https://pbs.twimg.com/profile_images/1531317937075806210/7oEvwlvr_normal.jpg</v>
      </c>
      <c r="AW1944" s="80" t="s">
        <v>17795</v>
      </c>
      <c r="AX1944" s="80" t="s">
        <v>17795</v>
      </c>
      <c r="AY1944" s="77"/>
      <c r="AZ1944" s="80" t="s">
        <v>20380</v>
      </c>
      <c r="BA1944" s="80" t="s">
        <v>20380</v>
      </c>
      <c r="BB1944" s="80" t="s">
        <v>20380</v>
      </c>
      <c r="BC1944" s="80" t="s">
        <v>17795</v>
      </c>
      <c r="BD1944" s="77">
        <v>17118982</v>
      </c>
      <c r="BE1944" s="77"/>
      <c r="BF1944" s="77"/>
      <c r="BG1944" s="77"/>
      <c r="BH1944" s="77"/>
      <c r="BI1944" s="77"/>
    </row>
    <row r="1945" spans="1:61" x14ac:dyDescent="0.25">
      <c r="A1945" s="62" t="s">
        <v>824</v>
      </c>
      <c r="B1945" s="62" t="s">
        <v>824</v>
      </c>
      <c r="C1945" s="63"/>
      <c r="D1945" s="64"/>
      <c r="E1945" s="65"/>
      <c r="F1945" s="66"/>
      <c r="G1945" s="63"/>
      <c r="H1945" s="67"/>
      <c r="I1945" s="68"/>
      <c r="J1945" s="68"/>
      <c r="K1945" s="32"/>
      <c r="L1945" s="75">
        <v>1945</v>
      </c>
      <c r="M1945" s="75"/>
      <c r="N1945" s="70"/>
      <c r="O1945" s="77" t="s">
        <v>179</v>
      </c>
      <c r="P1945" s="79">
        <v>45155.805555555555</v>
      </c>
      <c r="Q1945" s="77" t="s">
        <v>3823</v>
      </c>
      <c r="R1945" s="77">
        <v>1</v>
      </c>
      <c r="S1945" s="77">
        <v>1</v>
      </c>
      <c r="T1945" s="77">
        <v>0</v>
      </c>
      <c r="U1945" s="77">
        <v>0</v>
      </c>
      <c r="V1945" s="77">
        <v>305</v>
      </c>
      <c r="W1945" s="80" t="s">
        <v>5884</v>
      </c>
      <c r="X1945" s="83" t="str">
        <f>HYPERLINK("https://www.jornaldocomercio.com/economia/2023/08/1119645-campos-neto-diz-que-arrecadacao-tem-surpreendido-para-baixo-apesar-de-a-economia-crescer-mais.html")</f>
        <v>https://www.jornaldocomercio.com/economia/2023/08/1119645-campos-neto-diz-que-arrecadacao-tem-surpreendido-para-baixo-apesar-de-a-economia-crescer-mais.html</v>
      </c>
      <c r="Y1945" s="77" t="s">
        <v>8759</v>
      </c>
      <c r="Z1945" s="77"/>
      <c r="AA1945" s="77"/>
      <c r="AB1945" s="77"/>
      <c r="AC1945" s="80" t="s">
        <v>10541</v>
      </c>
      <c r="AD1945" s="77" t="s">
        <v>10617</v>
      </c>
      <c r="AE1945" s="83" t="str">
        <f>HYPERLINK("https://twitter.com/jc_rs/status/1692254970610082026")</f>
        <v>https://twitter.com/jc_rs/status/1692254970610082026</v>
      </c>
      <c r="AF1945" s="79">
        <v>45155.805555555555</v>
      </c>
      <c r="AG1945" s="85">
        <v>45155</v>
      </c>
      <c r="AH1945" s="80" t="s">
        <v>11518</v>
      </c>
      <c r="AI1945" s="77" t="b">
        <v>0</v>
      </c>
      <c r="AJ1945" s="77"/>
      <c r="AK1945" s="77"/>
      <c r="AL1945" s="77"/>
      <c r="AM1945" s="77"/>
      <c r="AN1945" s="77"/>
      <c r="AO1945" s="77"/>
      <c r="AP1945" s="77"/>
      <c r="AQ1945" s="77"/>
      <c r="AR1945" s="77"/>
      <c r="AS1945" s="77"/>
      <c r="AT1945" s="77"/>
      <c r="AU1945" s="77"/>
      <c r="AV1945" s="83" t="str">
        <f>HYPERLINK("https://pbs.twimg.com/profile_images/1531317937075806210/7oEvwlvr_normal.jpg")</f>
        <v>https://pbs.twimg.com/profile_images/1531317937075806210/7oEvwlvr_normal.jpg</v>
      </c>
      <c r="AW1945" s="80" t="s">
        <v>17796</v>
      </c>
      <c r="AX1945" s="80" t="s">
        <v>17796</v>
      </c>
      <c r="AY1945" s="77"/>
      <c r="AZ1945" s="80" t="s">
        <v>20380</v>
      </c>
      <c r="BA1945" s="80" t="s">
        <v>20380</v>
      </c>
      <c r="BB1945" s="80" t="s">
        <v>20380</v>
      </c>
      <c r="BC1945" s="80" t="s">
        <v>17796</v>
      </c>
      <c r="BD1945" s="77">
        <v>17118982</v>
      </c>
      <c r="BE1945" s="77"/>
      <c r="BF1945" s="77"/>
      <c r="BG1945" s="77"/>
      <c r="BH1945" s="77"/>
      <c r="BI1945" s="77"/>
    </row>
    <row r="1946" spans="1:61" x14ac:dyDescent="0.25">
      <c r="A1946" s="62" t="s">
        <v>825</v>
      </c>
      <c r="B1946" s="62" t="s">
        <v>825</v>
      </c>
      <c r="C1946" s="63"/>
      <c r="D1946" s="64"/>
      <c r="E1946" s="65"/>
      <c r="F1946" s="66"/>
      <c r="G1946" s="63"/>
      <c r="H1946" s="67"/>
      <c r="I1946" s="68"/>
      <c r="J1946" s="68"/>
      <c r="K1946" s="32"/>
      <c r="L1946" s="75">
        <v>1946</v>
      </c>
      <c r="M1946" s="75"/>
      <c r="N1946" s="70"/>
      <c r="O1946" s="77" t="s">
        <v>179</v>
      </c>
      <c r="P1946" s="79">
        <v>45163.503113425926</v>
      </c>
      <c r="Q1946" s="77" t="s">
        <v>3824</v>
      </c>
      <c r="R1946" s="77">
        <v>1</v>
      </c>
      <c r="S1946" s="77">
        <v>1</v>
      </c>
      <c r="T1946" s="77">
        <v>0</v>
      </c>
      <c r="U1946" s="77">
        <v>0</v>
      </c>
      <c r="V1946" s="77">
        <v>733</v>
      </c>
      <c r="W1946" s="80" t="s">
        <v>7122</v>
      </c>
      <c r="X1946" s="77"/>
      <c r="Y1946" s="77"/>
      <c r="Z1946" s="77"/>
      <c r="AA1946" s="77" t="s">
        <v>9562</v>
      </c>
      <c r="AB1946" s="77" t="s">
        <v>10534</v>
      </c>
      <c r="AC1946" s="80" t="s">
        <v>10541</v>
      </c>
      <c r="AD1946" s="77" t="s">
        <v>10620</v>
      </c>
      <c r="AE1946" s="83" t="str">
        <f>HYPERLINK("https://twitter.com/bastadefarsas/status/1695044471690273153")</f>
        <v>https://twitter.com/bastadefarsas/status/1695044471690273153</v>
      </c>
      <c r="AF1946" s="79">
        <v>45163.503113425926</v>
      </c>
      <c r="AG1946" s="85">
        <v>45163</v>
      </c>
      <c r="AH1946" s="80" t="s">
        <v>12350</v>
      </c>
      <c r="AI1946" s="77" t="b">
        <v>0</v>
      </c>
      <c r="AJ1946" s="77"/>
      <c r="AK1946" s="77"/>
      <c r="AL1946" s="77"/>
      <c r="AM1946" s="77"/>
      <c r="AN1946" s="77"/>
      <c r="AO1946" s="77"/>
      <c r="AP1946" s="77"/>
      <c r="AQ1946" s="77" t="s">
        <v>15044</v>
      </c>
      <c r="AR1946" s="77">
        <v>44905</v>
      </c>
      <c r="AS1946" s="77"/>
      <c r="AT1946" s="77"/>
      <c r="AU1946" s="77"/>
      <c r="AV1946" s="83" t="str">
        <f>HYPERLINK("https://pbs.twimg.com/ext_tw_video_thumb/1695043642082152449/pu/img/FC_dnkqXmHpP40Vo.jpg")</f>
        <v>https://pbs.twimg.com/ext_tw_video_thumb/1695043642082152449/pu/img/FC_dnkqXmHpP40Vo.jpg</v>
      </c>
      <c r="AW1946" s="80" t="s">
        <v>17797</v>
      </c>
      <c r="AX1946" s="80" t="s">
        <v>17797</v>
      </c>
      <c r="AY1946" s="77"/>
      <c r="AZ1946" s="80" t="s">
        <v>20380</v>
      </c>
      <c r="BA1946" s="80" t="s">
        <v>20380</v>
      </c>
      <c r="BB1946" s="80" t="s">
        <v>20380</v>
      </c>
      <c r="BC1946" s="80" t="s">
        <v>17797</v>
      </c>
      <c r="BD1946" s="80" t="s">
        <v>20780</v>
      </c>
      <c r="BE1946" s="77"/>
      <c r="BF1946" s="77"/>
      <c r="BG1946" s="77"/>
      <c r="BH1946" s="77"/>
      <c r="BI1946" s="77"/>
    </row>
    <row r="1947" spans="1:61" x14ac:dyDescent="0.25">
      <c r="A1947" s="62" t="s">
        <v>826</v>
      </c>
      <c r="B1947" s="62" t="s">
        <v>826</v>
      </c>
      <c r="C1947" s="63"/>
      <c r="D1947" s="64"/>
      <c r="E1947" s="65"/>
      <c r="F1947" s="66"/>
      <c r="G1947" s="63"/>
      <c r="H1947" s="67"/>
      <c r="I1947" s="68"/>
      <c r="J1947" s="68"/>
      <c r="K1947" s="32"/>
      <c r="L1947" s="75">
        <v>1947</v>
      </c>
      <c r="M1947" s="75"/>
      <c r="N1947" s="70"/>
      <c r="O1947" s="77" t="s">
        <v>179</v>
      </c>
      <c r="P1947" s="79">
        <v>45062.830347222225</v>
      </c>
      <c r="Q1947" s="77" t="s">
        <v>3825</v>
      </c>
      <c r="R1947" s="77">
        <v>0</v>
      </c>
      <c r="S1947" s="77">
        <v>6</v>
      </c>
      <c r="T1947" s="77">
        <v>2</v>
      </c>
      <c r="U1947" s="77">
        <v>0</v>
      </c>
      <c r="V1947" s="77">
        <v>155</v>
      </c>
      <c r="W1947" s="80" t="s">
        <v>7123</v>
      </c>
      <c r="X1947" s="77"/>
      <c r="Y1947" s="77"/>
      <c r="Z1947" s="77"/>
      <c r="AA1947" s="77"/>
      <c r="AB1947" s="77"/>
      <c r="AC1947" s="80" t="s">
        <v>10542</v>
      </c>
      <c r="AD1947" s="77" t="s">
        <v>10617</v>
      </c>
      <c r="AE1947" s="83" t="str">
        <f>HYPERLINK("https://twitter.com/vanderlan_vc/status/1658561885451571208")</f>
        <v>https://twitter.com/vanderlan_vc/status/1658561885451571208</v>
      </c>
      <c r="AF1947" s="79">
        <v>45062.830347222225</v>
      </c>
      <c r="AG1947" s="85">
        <v>45062</v>
      </c>
      <c r="AH1947" s="80" t="s">
        <v>12351</v>
      </c>
      <c r="AI1947" s="77"/>
      <c r="AJ1947" s="77"/>
      <c r="AK1947" s="77"/>
      <c r="AL1947" s="77"/>
      <c r="AM1947" s="77"/>
      <c r="AN1947" s="77"/>
      <c r="AO1947" s="77"/>
      <c r="AP1947" s="77"/>
      <c r="AQ1947" s="77"/>
      <c r="AR1947" s="77"/>
      <c r="AS1947" s="77"/>
      <c r="AT1947" s="77"/>
      <c r="AU1947" s="77"/>
      <c r="AV1947" s="83" t="str">
        <f>HYPERLINK("https://pbs.twimg.com/profile_images/1583147997013196800/BxHZaIoU_normal.jpg")</f>
        <v>https://pbs.twimg.com/profile_images/1583147997013196800/BxHZaIoU_normal.jpg</v>
      </c>
      <c r="AW1947" s="80" t="s">
        <v>17798</v>
      </c>
      <c r="AX1947" s="80" t="s">
        <v>17798</v>
      </c>
      <c r="AY1947" s="77"/>
      <c r="AZ1947" s="80" t="s">
        <v>20380</v>
      </c>
      <c r="BA1947" s="80" t="s">
        <v>20380</v>
      </c>
      <c r="BB1947" s="80" t="s">
        <v>20380</v>
      </c>
      <c r="BC1947" s="80" t="s">
        <v>17798</v>
      </c>
      <c r="BD1947" s="77">
        <v>162807255</v>
      </c>
      <c r="BE1947" s="77"/>
      <c r="BF1947" s="77"/>
      <c r="BG1947" s="77"/>
      <c r="BH1947" s="77"/>
      <c r="BI1947" s="77"/>
    </row>
    <row r="1948" spans="1:61" x14ac:dyDescent="0.25">
      <c r="A1948" s="62" t="s">
        <v>827</v>
      </c>
      <c r="B1948" s="62" t="s">
        <v>1888</v>
      </c>
      <c r="C1948" s="63"/>
      <c r="D1948" s="64"/>
      <c r="E1948" s="65"/>
      <c r="F1948" s="66"/>
      <c r="G1948" s="63"/>
      <c r="H1948" s="67"/>
      <c r="I1948" s="68"/>
      <c r="J1948" s="68"/>
      <c r="K1948" s="32"/>
      <c r="L1948" s="75">
        <v>1948</v>
      </c>
      <c r="M1948" s="75"/>
      <c r="N1948" s="70"/>
      <c r="O1948" s="77" t="s">
        <v>2081</v>
      </c>
      <c r="P1948" s="79">
        <v>45185.528761574074</v>
      </c>
      <c r="Q1948" s="77" t="s">
        <v>3826</v>
      </c>
      <c r="R1948" s="77">
        <v>1</v>
      </c>
      <c r="S1948" s="77">
        <v>1</v>
      </c>
      <c r="T1948" s="77">
        <v>1</v>
      </c>
      <c r="U1948" s="77">
        <v>0</v>
      </c>
      <c r="V1948" s="77">
        <v>34</v>
      </c>
      <c r="W1948" s="80" t="s">
        <v>5884</v>
      </c>
      <c r="X1948" s="77"/>
      <c r="Y1948" s="77"/>
      <c r="Z1948" s="77" t="s">
        <v>8964</v>
      </c>
      <c r="AA1948" s="77"/>
      <c r="AB1948" s="77"/>
      <c r="AC1948" s="80" t="s">
        <v>10541</v>
      </c>
      <c r="AD1948" s="77" t="s">
        <v>10620</v>
      </c>
      <c r="AE1948" s="83" t="str">
        <f>HYPERLINK("https://twitter.com/econometroprog1/status/1703026301949378664")</f>
        <v>https://twitter.com/econometroprog1/status/1703026301949378664</v>
      </c>
      <c r="AF1948" s="79">
        <v>45185.528761574074</v>
      </c>
      <c r="AG1948" s="85">
        <v>45185</v>
      </c>
      <c r="AH1948" s="80" t="s">
        <v>12352</v>
      </c>
      <c r="AI1948" s="77"/>
      <c r="AJ1948" s="77"/>
      <c r="AK1948" s="77"/>
      <c r="AL1948" s="77"/>
      <c r="AM1948" s="77"/>
      <c r="AN1948" s="77"/>
      <c r="AO1948" s="77"/>
      <c r="AP1948" s="77"/>
      <c r="AQ1948" s="77"/>
      <c r="AR1948" s="77"/>
      <c r="AS1948" s="77"/>
      <c r="AT1948" s="77"/>
      <c r="AU1948" s="77"/>
      <c r="AV1948" s="83" t="str">
        <f>HYPERLINK("https://pbs.twimg.com/profile_images/1677387698330386432/jnaFWNDi_normal.jpg")</f>
        <v>https://pbs.twimg.com/profile_images/1677387698330386432/jnaFWNDi_normal.jpg</v>
      </c>
      <c r="AW1948" s="80" t="s">
        <v>17799</v>
      </c>
      <c r="AX1948" s="80" t="s">
        <v>17799</v>
      </c>
      <c r="AY1948" s="77"/>
      <c r="AZ1948" s="80" t="s">
        <v>20380</v>
      </c>
      <c r="BA1948" s="80" t="s">
        <v>20380</v>
      </c>
      <c r="BB1948" s="80" t="s">
        <v>20380</v>
      </c>
      <c r="BC1948" s="80" t="s">
        <v>17799</v>
      </c>
      <c r="BD1948" s="80" t="s">
        <v>20781</v>
      </c>
      <c r="BE1948" s="77"/>
      <c r="BF1948" s="77"/>
      <c r="BG1948" s="77"/>
      <c r="BH1948" s="77"/>
      <c r="BI1948" s="77"/>
    </row>
    <row r="1949" spans="1:61" x14ac:dyDescent="0.25">
      <c r="A1949" s="62" t="s">
        <v>827</v>
      </c>
      <c r="B1949" s="62" t="s">
        <v>1889</v>
      </c>
      <c r="C1949" s="63"/>
      <c r="D1949" s="64"/>
      <c r="E1949" s="65"/>
      <c r="F1949" s="66"/>
      <c r="G1949" s="63"/>
      <c r="H1949" s="67"/>
      <c r="I1949" s="68"/>
      <c r="J1949" s="68"/>
      <c r="K1949" s="32"/>
      <c r="L1949" s="75">
        <v>1949</v>
      </c>
      <c r="M1949" s="75"/>
      <c r="N1949" s="70"/>
      <c r="O1949" s="77" t="s">
        <v>2081</v>
      </c>
      <c r="P1949" s="79">
        <v>45185.528761574074</v>
      </c>
      <c r="Q1949" s="77" t="s">
        <v>3826</v>
      </c>
      <c r="R1949" s="77">
        <v>1</v>
      </c>
      <c r="S1949" s="77">
        <v>1</v>
      </c>
      <c r="T1949" s="77">
        <v>1</v>
      </c>
      <c r="U1949" s="77">
        <v>0</v>
      </c>
      <c r="V1949" s="77">
        <v>34</v>
      </c>
      <c r="W1949" s="80" t="s">
        <v>5884</v>
      </c>
      <c r="X1949" s="77"/>
      <c r="Y1949" s="77"/>
      <c r="Z1949" s="77" t="s">
        <v>8964</v>
      </c>
      <c r="AA1949" s="77"/>
      <c r="AB1949" s="77"/>
      <c r="AC1949" s="80" t="s">
        <v>10541</v>
      </c>
      <c r="AD1949" s="77" t="s">
        <v>10620</v>
      </c>
      <c r="AE1949" s="83" t="str">
        <f>HYPERLINK("https://twitter.com/econometroprog1/status/1703026301949378664")</f>
        <v>https://twitter.com/econometroprog1/status/1703026301949378664</v>
      </c>
      <c r="AF1949" s="79">
        <v>45185.528761574074</v>
      </c>
      <c r="AG1949" s="85">
        <v>45185</v>
      </c>
      <c r="AH1949" s="80" t="s">
        <v>12352</v>
      </c>
      <c r="AI1949" s="77"/>
      <c r="AJ1949" s="77"/>
      <c r="AK1949" s="77"/>
      <c r="AL1949" s="77"/>
      <c r="AM1949" s="77"/>
      <c r="AN1949" s="77"/>
      <c r="AO1949" s="77"/>
      <c r="AP1949" s="77"/>
      <c r="AQ1949" s="77"/>
      <c r="AR1949" s="77"/>
      <c r="AS1949" s="77"/>
      <c r="AT1949" s="77"/>
      <c r="AU1949" s="77"/>
      <c r="AV1949" s="83" t="str">
        <f>HYPERLINK("https://pbs.twimg.com/profile_images/1677387698330386432/jnaFWNDi_normal.jpg")</f>
        <v>https://pbs.twimg.com/profile_images/1677387698330386432/jnaFWNDi_normal.jpg</v>
      </c>
      <c r="AW1949" s="80" t="s">
        <v>17799</v>
      </c>
      <c r="AX1949" s="80" t="s">
        <v>17799</v>
      </c>
      <c r="AY1949" s="77"/>
      <c r="AZ1949" s="80" t="s">
        <v>20380</v>
      </c>
      <c r="BA1949" s="80" t="s">
        <v>20380</v>
      </c>
      <c r="BB1949" s="80" t="s">
        <v>20380</v>
      </c>
      <c r="BC1949" s="80" t="s">
        <v>17799</v>
      </c>
      <c r="BD1949" s="80" t="s">
        <v>20781</v>
      </c>
      <c r="BE1949" s="77"/>
      <c r="BF1949" s="77"/>
      <c r="BG1949" s="77"/>
      <c r="BH1949" s="77"/>
      <c r="BI1949" s="77"/>
    </row>
    <row r="1950" spans="1:61" x14ac:dyDescent="0.25">
      <c r="A1950" s="62" t="s">
        <v>828</v>
      </c>
      <c r="B1950" s="62" t="s">
        <v>1890</v>
      </c>
      <c r="C1950" s="63"/>
      <c r="D1950" s="64"/>
      <c r="E1950" s="65"/>
      <c r="F1950" s="66"/>
      <c r="G1950" s="63"/>
      <c r="H1950" s="67"/>
      <c r="I1950" s="68"/>
      <c r="J1950" s="68"/>
      <c r="K1950" s="32"/>
      <c r="L1950" s="75">
        <v>1950</v>
      </c>
      <c r="M1950" s="75"/>
      <c r="N1950" s="70"/>
      <c r="O1950" s="77" t="s">
        <v>2081</v>
      </c>
      <c r="P1950" s="79">
        <v>45127.497488425928</v>
      </c>
      <c r="Q1950" s="77" t="s">
        <v>3827</v>
      </c>
      <c r="R1950" s="77">
        <v>43</v>
      </c>
      <c r="S1950" s="77">
        <v>77</v>
      </c>
      <c r="T1950" s="77">
        <v>4</v>
      </c>
      <c r="U1950" s="77">
        <v>3</v>
      </c>
      <c r="V1950" s="77">
        <v>1436</v>
      </c>
      <c r="W1950" s="80" t="s">
        <v>7124</v>
      </c>
      <c r="X1950" s="77"/>
      <c r="Y1950" s="77"/>
      <c r="Z1950" s="77" t="s">
        <v>1890</v>
      </c>
      <c r="AA1950" s="77" t="s">
        <v>9563</v>
      </c>
      <c r="AB1950" s="77" t="s">
        <v>10535</v>
      </c>
      <c r="AC1950" s="80" t="s">
        <v>10542</v>
      </c>
      <c r="AD1950" s="77" t="s">
        <v>10620</v>
      </c>
      <c r="AE1950" s="83" t="str">
        <f>HYPERLINK("https://twitter.com/miguelortega9/status/1681996471434977281")</f>
        <v>https://twitter.com/miguelortega9/status/1681996471434977281</v>
      </c>
      <c r="AF1950" s="79">
        <v>45127.497488425928</v>
      </c>
      <c r="AG1950" s="85">
        <v>45127</v>
      </c>
      <c r="AH1950" s="80" t="s">
        <v>12233</v>
      </c>
      <c r="AI1950" s="77" t="b">
        <v>0</v>
      </c>
      <c r="AJ1950" s="77" t="s">
        <v>14360</v>
      </c>
      <c r="AK1950" s="77" t="s">
        <v>14381</v>
      </c>
      <c r="AL1950" s="77" t="s">
        <v>14390</v>
      </c>
      <c r="AM1950" s="77" t="s">
        <v>14417</v>
      </c>
      <c r="AN1950" s="77" t="s">
        <v>14457</v>
      </c>
      <c r="AO1950" s="77" t="s">
        <v>14496</v>
      </c>
      <c r="AP1950" s="77" t="s">
        <v>14516</v>
      </c>
      <c r="AQ1950" s="77" t="s">
        <v>15045</v>
      </c>
      <c r="AR1950" s="77"/>
      <c r="AS1950" s="77"/>
      <c r="AT1950" s="77"/>
      <c r="AU1950" s="77"/>
      <c r="AV1950" s="83" t="str">
        <f>HYPERLINK("https://pbs.twimg.com/media/F1em37SWIAExe5h.jpg")</f>
        <v>https://pbs.twimg.com/media/F1em37SWIAExe5h.jpg</v>
      </c>
      <c r="AW1950" s="80" t="s">
        <v>17800</v>
      </c>
      <c r="AX1950" s="80" t="s">
        <v>17800</v>
      </c>
      <c r="AY1950" s="77"/>
      <c r="AZ1950" s="80" t="s">
        <v>20380</v>
      </c>
      <c r="BA1950" s="80" t="s">
        <v>20380</v>
      </c>
      <c r="BB1950" s="80" t="s">
        <v>20380</v>
      </c>
      <c r="BC1950" s="80" t="s">
        <v>17800</v>
      </c>
      <c r="BD1950" s="77">
        <v>214981600</v>
      </c>
      <c r="BE1950" s="77"/>
      <c r="BF1950" s="77"/>
      <c r="BG1950" s="77"/>
      <c r="BH1950" s="77"/>
      <c r="BI1950" s="77"/>
    </row>
    <row r="1951" spans="1:61" x14ac:dyDescent="0.25">
      <c r="A1951" s="62" t="s">
        <v>829</v>
      </c>
      <c r="B1951" s="62" t="s">
        <v>829</v>
      </c>
      <c r="C1951" s="63"/>
      <c r="D1951" s="64"/>
      <c r="E1951" s="65"/>
      <c r="F1951" s="66"/>
      <c r="G1951" s="63"/>
      <c r="H1951" s="67"/>
      <c r="I1951" s="68"/>
      <c r="J1951" s="68"/>
      <c r="K1951" s="32"/>
      <c r="L1951" s="75">
        <v>1951</v>
      </c>
      <c r="M1951" s="75"/>
      <c r="N1951" s="70"/>
      <c r="O1951" s="77" t="s">
        <v>179</v>
      </c>
      <c r="P1951" s="79">
        <v>45083.479872685188</v>
      </c>
      <c r="Q1951" s="77" t="s">
        <v>3828</v>
      </c>
      <c r="R1951" s="77">
        <v>0</v>
      </c>
      <c r="S1951" s="77">
        <v>0</v>
      </c>
      <c r="T1951" s="77">
        <v>0</v>
      </c>
      <c r="U1951" s="77">
        <v>0</v>
      </c>
      <c r="V1951" s="77">
        <v>8</v>
      </c>
      <c r="W1951" s="80" t="s">
        <v>7125</v>
      </c>
      <c r="X1951" s="77"/>
      <c r="Y1951" s="77"/>
      <c r="Z1951" s="77"/>
      <c r="AA1951" s="77"/>
      <c r="AB1951" s="77"/>
      <c r="AC1951" s="80" t="s">
        <v>10541</v>
      </c>
      <c r="AD1951" s="77" t="s">
        <v>10620</v>
      </c>
      <c r="AE1951" s="83" t="str">
        <f>HYPERLINK("https://twitter.com/planargentino/status/1666045020191817730")</f>
        <v>https://twitter.com/planargentino/status/1666045020191817730</v>
      </c>
      <c r="AF1951" s="79">
        <v>45083.479872685188</v>
      </c>
      <c r="AG1951" s="85">
        <v>45083</v>
      </c>
      <c r="AH1951" s="80" t="s">
        <v>12005</v>
      </c>
      <c r="AI1951" s="77"/>
      <c r="AJ1951" s="77"/>
      <c r="AK1951" s="77"/>
      <c r="AL1951" s="77"/>
      <c r="AM1951" s="77"/>
      <c r="AN1951" s="77"/>
      <c r="AO1951" s="77"/>
      <c r="AP1951" s="77"/>
      <c r="AQ1951" s="77"/>
      <c r="AR1951" s="77"/>
      <c r="AS1951" s="77"/>
      <c r="AT1951" s="77"/>
      <c r="AU1951" s="77"/>
      <c r="AV1951" s="83" t="str">
        <f>HYPERLINK("https://pbs.twimg.com/profile_images/1092409519299354624/G1tnyr9H_normal.jpg")</f>
        <v>https://pbs.twimg.com/profile_images/1092409519299354624/G1tnyr9H_normal.jpg</v>
      </c>
      <c r="AW1951" s="80" t="s">
        <v>17801</v>
      </c>
      <c r="AX1951" s="80" t="s">
        <v>17801</v>
      </c>
      <c r="AY1951" s="77"/>
      <c r="AZ1951" s="80" t="s">
        <v>20380</v>
      </c>
      <c r="BA1951" s="80" t="s">
        <v>20380</v>
      </c>
      <c r="BB1951" s="80" t="s">
        <v>20380</v>
      </c>
      <c r="BC1951" s="80" t="s">
        <v>17801</v>
      </c>
      <c r="BD1951" s="77">
        <v>98105432</v>
      </c>
      <c r="BE1951" s="77"/>
      <c r="BF1951" s="77"/>
      <c r="BG1951" s="77"/>
      <c r="BH1951" s="77"/>
      <c r="BI1951" s="77"/>
    </row>
    <row r="1952" spans="1:61" x14ac:dyDescent="0.25">
      <c r="A1952" s="62" t="s">
        <v>830</v>
      </c>
      <c r="B1952" s="62" t="s">
        <v>1891</v>
      </c>
      <c r="C1952" s="63"/>
      <c r="D1952" s="64"/>
      <c r="E1952" s="65"/>
      <c r="F1952" s="66"/>
      <c r="G1952" s="63"/>
      <c r="H1952" s="67"/>
      <c r="I1952" s="68"/>
      <c r="J1952" s="68"/>
      <c r="K1952" s="32"/>
      <c r="L1952" s="75">
        <v>1952</v>
      </c>
      <c r="M1952" s="75"/>
      <c r="N1952" s="70"/>
      <c r="O1952" s="77" t="s">
        <v>2078</v>
      </c>
      <c r="P1952" s="79">
        <v>45195.684004629627</v>
      </c>
      <c r="Q1952" s="77" t="s">
        <v>3829</v>
      </c>
      <c r="R1952" s="77">
        <v>0</v>
      </c>
      <c r="S1952" s="77">
        <v>0</v>
      </c>
      <c r="T1952" s="77">
        <v>0</v>
      </c>
      <c r="U1952" s="77">
        <v>0</v>
      </c>
      <c r="V1952" s="77">
        <v>177</v>
      </c>
      <c r="W1952" s="80" t="s">
        <v>7126</v>
      </c>
      <c r="X1952" s="77"/>
      <c r="Y1952" s="77"/>
      <c r="Z1952" s="77" t="s">
        <v>1891</v>
      </c>
      <c r="AA1952" s="77"/>
      <c r="AB1952" s="77"/>
      <c r="AC1952" s="80" t="s">
        <v>10540</v>
      </c>
      <c r="AD1952" s="77" t="s">
        <v>10620</v>
      </c>
      <c r="AE1952" s="83" t="str">
        <f>HYPERLINK("https://twitter.com/sill_dalla/status/1706706438913925582")</f>
        <v>https://twitter.com/sill_dalla/status/1706706438913925582</v>
      </c>
      <c r="AF1952" s="79">
        <v>45195.684004629627</v>
      </c>
      <c r="AG1952" s="85">
        <v>45195</v>
      </c>
      <c r="AH1952" s="80" t="s">
        <v>12353</v>
      </c>
      <c r="AI1952" s="77"/>
      <c r="AJ1952" s="77"/>
      <c r="AK1952" s="77"/>
      <c r="AL1952" s="77"/>
      <c r="AM1952" s="77"/>
      <c r="AN1952" s="77"/>
      <c r="AO1952" s="77"/>
      <c r="AP1952" s="77"/>
      <c r="AQ1952" s="77"/>
      <c r="AR1952" s="77"/>
      <c r="AS1952" s="77"/>
      <c r="AT1952" s="77"/>
      <c r="AU1952" s="77"/>
      <c r="AV1952" s="83" t="str">
        <f>HYPERLINK("https://pbs.twimg.com/profile_images/1523068370383360000/krLgedLa_normal.jpg")</f>
        <v>https://pbs.twimg.com/profile_images/1523068370383360000/krLgedLa_normal.jpg</v>
      </c>
      <c r="AW1952" s="80" t="s">
        <v>17802</v>
      </c>
      <c r="AX1952" s="80" t="s">
        <v>20032</v>
      </c>
      <c r="AY1952" s="80" t="s">
        <v>20285</v>
      </c>
      <c r="AZ1952" s="80" t="s">
        <v>20032</v>
      </c>
      <c r="BA1952" s="80" t="s">
        <v>20380</v>
      </c>
      <c r="BB1952" s="80" t="s">
        <v>20380</v>
      </c>
      <c r="BC1952" s="80" t="s">
        <v>20032</v>
      </c>
      <c r="BD1952" s="77">
        <v>3153998255</v>
      </c>
      <c r="BE1952" s="77"/>
      <c r="BF1952" s="77"/>
      <c r="BG1952" s="77"/>
      <c r="BH1952" s="77"/>
      <c r="BI1952" s="77"/>
    </row>
    <row r="1953" spans="1:61" x14ac:dyDescent="0.25">
      <c r="A1953" s="62" t="s">
        <v>831</v>
      </c>
      <c r="B1953" s="62" t="s">
        <v>1892</v>
      </c>
      <c r="C1953" s="63"/>
      <c r="D1953" s="64"/>
      <c r="E1953" s="65"/>
      <c r="F1953" s="66"/>
      <c r="G1953" s="63"/>
      <c r="H1953" s="67"/>
      <c r="I1953" s="68"/>
      <c r="J1953" s="68"/>
      <c r="K1953" s="32"/>
      <c r="L1953" s="75">
        <v>1953</v>
      </c>
      <c r="M1953" s="75"/>
      <c r="N1953" s="70"/>
      <c r="O1953" s="77" t="s">
        <v>2081</v>
      </c>
      <c r="P1953" s="79">
        <v>45071.6719212963</v>
      </c>
      <c r="Q1953" s="77" t="s">
        <v>3830</v>
      </c>
      <c r="R1953" s="77">
        <v>0</v>
      </c>
      <c r="S1953" s="77">
        <v>0</v>
      </c>
      <c r="T1953" s="77">
        <v>0</v>
      </c>
      <c r="U1953" s="77">
        <v>0</v>
      </c>
      <c r="V1953" s="77">
        <v>102</v>
      </c>
      <c r="W1953" s="80" t="s">
        <v>7127</v>
      </c>
      <c r="X1953" s="77"/>
      <c r="Y1953" s="77"/>
      <c r="Z1953" s="77" t="s">
        <v>1892</v>
      </c>
      <c r="AA1953" s="77" t="s">
        <v>9564</v>
      </c>
      <c r="AB1953" s="77" t="s">
        <v>10535</v>
      </c>
      <c r="AC1953" s="80" t="s">
        <v>10541</v>
      </c>
      <c r="AD1953" s="77" t="s">
        <v>10620</v>
      </c>
      <c r="AE1953" s="83" t="str">
        <f>HYPERLINK("https://twitter.com/negociosudd/status/1661765965300760580")</f>
        <v>https://twitter.com/negociosudd/status/1661765965300760580</v>
      </c>
      <c r="AF1953" s="79">
        <v>45071.6719212963</v>
      </c>
      <c r="AG1953" s="85">
        <v>45071</v>
      </c>
      <c r="AH1953" s="80" t="s">
        <v>12354</v>
      </c>
      <c r="AI1953" s="77" t="b">
        <v>0</v>
      </c>
      <c r="AJ1953" s="77"/>
      <c r="AK1953" s="77"/>
      <c r="AL1953" s="77"/>
      <c r="AM1953" s="77"/>
      <c r="AN1953" s="77"/>
      <c r="AO1953" s="77"/>
      <c r="AP1953" s="77"/>
      <c r="AQ1953" s="77" t="s">
        <v>15046</v>
      </c>
      <c r="AR1953" s="77"/>
      <c r="AS1953" s="77"/>
      <c r="AT1953" s="77"/>
      <c r="AU1953" s="77"/>
      <c r="AV1953" s="83" t="str">
        <f>HYPERLINK("https://pbs.twimg.com/media/Fw_FU1VWcAA5t_m.jpg")</f>
        <v>https://pbs.twimg.com/media/Fw_FU1VWcAA5t_m.jpg</v>
      </c>
      <c r="AW1953" s="80" t="s">
        <v>17803</v>
      </c>
      <c r="AX1953" s="80" t="s">
        <v>17803</v>
      </c>
      <c r="AY1953" s="77"/>
      <c r="AZ1953" s="80" t="s">
        <v>20380</v>
      </c>
      <c r="BA1953" s="80" t="s">
        <v>20380</v>
      </c>
      <c r="BB1953" s="80" t="s">
        <v>20380</v>
      </c>
      <c r="BC1953" s="80" t="s">
        <v>17803</v>
      </c>
      <c r="BD1953" s="77">
        <v>562137836</v>
      </c>
      <c r="BE1953" s="77"/>
      <c r="BF1953" s="77"/>
      <c r="BG1953" s="77"/>
      <c r="BH1953" s="77"/>
      <c r="BI1953" s="77"/>
    </row>
    <row r="1954" spans="1:61" x14ac:dyDescent="0.25">
      <c r="A1954" s="62" t="s">
        <v>832</v>
      </c>
      <c r="B1954" s="62" t="s">
        <v>1055</v>
      </c>
      <c r="C1954" s="63"/>
      <c r="D1954" s="64"/>
      <c r="E1954" s="65"/>
      <c r="F1954" s="66"/>
      <c r="G1954" s="63"/>
      <c r="H1954" s="67"/>
      <c r="I1954" s="68"/>
      <c r="J1954" s="68"/>
      <c r="K1954" s="32"/>
      <c r="L1954" s="75">
        <v>1954</v>
      </c>
      <c r="M1954" s="75"/>
      <c r="N1954" s="70"/>
      <c r="O1954" s="77" t="s">
        <v>2082</v>
      </c>
      <c r="P1954" s="79">
        <v>45080.847303240742</v>
      </c>
      <c r="Q1954" s="77" t="s">
        <v>3831</v>
      </c>
      <c r="R1954" s="77">
        <v>0</v>
      </c>
      <c r="S1954" s="77">
        <v>2</v>
      </c>
      <c r="T1954" s="77">
        <v>4</v>
      </c>
      <c r="U1954" s="77">
        <v>0</v>
      </c>
      <c r="V1954" s="77">
        <v>1106</v>
      </c>
      <c r="W1954" s="80" t="s">
        <v>7128</v>
      </c>
      <c r="X1954" s="77"/>
      <c r="Y1954" s="77"/>
      <c r="Z1954" s="77"/>
      <c r="AA1954" s="77"/>
      <c r="AB1954" s="77"/>
      <c r="AC1954" s="80" t="s">
        <v>10541</v>
      </c>
      <c r="AD1954" s="77" t="s">
        <v>10617</v>
      </c>
      <c r="AE1954" s="83" t="str">
        <f>HYPERLINK("https://twitter.com/leinsomniac/status/1665091011473821698")</f>
        <v>https://twitter.com/leinsomniac/status/1665091011473821698</v>
      </c>
      <c r="AF1954" s="79">
        <v>45080.847303240742</v>
      </c>
      <c r="AG1954" s="85">
        <v>45080</v>
      </c>
      <c r="AH1954" s="80" t="s">
        <v>12355</v>
      </c>
      <c r="AI1954" s="77"/>
      <c r="AJ1954" s="77"/>
      <c r="AK1954" s="77"/>
      <c r="AL1954" s="77"/>
      <c r="AM1954" s="77"/>
      <c r="AN1954" s="77"/>
      <c r="AO1954" s="77"/>
      <c r="AP1954" s="77"/>
      <c r="AQ1954" s="77"/>
      <c r="AR1954" s="77"/>
      <c r="AS1954" s="77"/>
      <c r="AT1954" s="77"/>
      <c r="AU1954" s="77"/>
      <c r="AV1954" s="83" t="str">
        <f>HYPERLINK("https://pbs.twimg.com/profile_images/1562594520138760192/G5z85uGd_normal.jpg")</f>
        <v>https://pbs.twimg.com/profile_images/1562594520138760192/G5z85uGd_normal.jpg</v>
      </c>
      <c r="AW1954" s="80" t="s">
        <v>17804</v>
      </c>
      <c r="AX1954" s="80" t="s">
        <v>17804</v>
      </c>
      <c r="AY1954" s="77"/>
      <c r="AZ1954" s="80" t="s">
        <v>20380</v>
      </c>
      <c r="BA1954" s="80" t="s">
        <v>18329</v>
      </c>
      <c r="BB1954" s="80" t="s">
        <v>20380</v>
      </c>
      <c r="BC1954" s="80" t="s">
        <v>18329</v>
      </c>
      <c r="BD1954" s="80" t="s">
        <v>20782</v>
      </c>
      <c r="BE1954" s="77"/>
      <c r="BF1954" s="77"/>
      <c r="BG1954" s="77"/>
      <c r="BH1954" s="77"/>
      <c r="BI1954" s="77"/>
    </row>
    <row r="1955" spans="1:61" x14ac:dyDescent="0.25">
      <c r="A1955" s="62" t="s">
        <v>833</v>
      </c>
      <c r="B1955" s="62" t="s">
        <v>1655</v>
      </c>
      <c r="C1955" s="63"/>
      <c r="D1955" s="64"/>
      <c r="E1955" s="65"/>
      <c r="F1955" s="66"/>
      <c r="G1955" s="63"/>
      <c r="H1955" s="67"/>
      <c r="I1955" s="68"/>
      <c r="J1955" s="68"/>
      <c r="K1955" s="32"/>
      <c r="L1955" s="75">
        <v>1955</v>
      </c>
      <c r="M1955" s="75"/>
      <c r="N1955" s="70"/>
      <c r="O1955" s="77" t="s">
        <v>2083</v>
      </c>
      <c r="P1955" s="79">
        <v>45190.997662037036</v>
      </c>
      <c r="Q1955" s="77" t="s">
        <v>2120</v>
      </c>
      <c r="R1955" s="77">
        <v>25</v>
      </c>
      <c r="S1955" s="77">
        <v>0</v>
      </c>
      <c r="T1955" s="77">
        <v>0</v>
      </c>
      <c r="U1955" s="77">
        <v>0</v>
      </c>
      <c r="V1955" s="77"/>
      <c r="W1955" s="80" t="s">
        <v>5917</v>
      </c>
      <c r="X1955" s="77"/>
      <c r="Y1955" s="77"/>
      <c r="Z1955" s="77" t="s">
        <v>1655</v>
      </c>
      <c r="AA1955" s="77"/>
      <c r="AB1955" s="77"/>
      <c r="AC1955" s="80" t="s">
        <v>10540</v>
      </c>
      <c r="AD1955" s="77" t="s">
        <v>10617</v>
      </c>
      <c r="AE1955" s="83" t="str">
        <f>HYPERLINK("https://twitter.com/jesusde69803209/status/1705008165136269678")</f>
        <v>https://twitter.com/jesusde69803209/status/1705008165136269678</v>
      </c>
      <c r="AF1955" s="79">
        <v>45190.997662037036</v>
      </c>
      <c r="AG1955" s="85">
        <v>45190</v>
      </c>
      <c r="AH1955" s="80" t="s">
        <v>12356</v>
      </c>
      <c r="AI1955" s="77"/>
      <c r="AJ1955" s="77"/>
      <c r="AK1955" s="77"/>
      <c r="AL1955" s="77"/>
      <c r="AM1955" s="77"/>
      <c r="AN1955" s="77"/>
      <c r="AO1955" s="77"/>
      <c r="AP1955" s="77"/>
      <c r="AQ1955" s="77"/>
      <c r="AR1955" s="77"/>
      <c r="AS1955" s="77"/>
      <c r="AT1955" s="77"/>
      <c r="AU1955" s="77"/>
      <c r="AV1955" s="83" t="str">
        <f>HYPERLINK("https://pbs.twimg.com/profile_images/1587236355255541765/xizHlygQ_normal.jpg")</f>
        <v>https://pbs.twimg.com/profile_images/1587236355255541765/xizHlygQ_normal.jpg</v>
      </c>
      <c r="AW1955" s="80" t="s">
        <v>17805</v>
      </c>
      <c r="AX1955" s="80" t="s">
        <v>17805</v>
      </c>
      <c r="AY1955" s="77"/>
      <c r="AZ1955" s="80" t="s">
        <v>20380</v>
      </c>
      <c r="BA1955" s="80" t="s">
        <v>20380</v>
      </c>
      <c r="BB1955" s="80" t="s">
        <v>19844</v>
      </c>
      <c r="BC1955" s="80" t="s">
        <v>19844</v>
      </c>
      <c r="BD1955" s="80" t="s">
        <v>20783</v>
      </c>
      <c r="BE1955" s="77"/>
      <c r="BF1955" s="77"/>
      <c r="BG1955" s="77"/>
      <c r="BH1955" s="77"/>
      <c r="BI1955" s="77"/>
    </row>
    <row r="1956" spans="1:61" x14ac:dyDescent="0.25">
      <c r="A1956" s="62" t="s">
        <v>833</v>
      </c>
      <c r="B1956" s="62" t="s">
        <v>1655</v>
      </c>
      <c r="C1956" s="63"/>
      <c r="D1956" s="64"/>
      <c r="E1956" s="65"/>
      <c r="F1956" s="66"/>
      <c r="G1956" s="63"/>
      <c r="H1956" s="67"/>
      <c r="I1956" s="68"/>
      <c r="J1956" s="68"/>
      <c r="K1956" s="32"/>
      <c r="L1956" s="75">
        <v>1956</v>
      </c>
      <c r="M1956" s="75"/>
      <c r="N1956" s="70"/>
      <c r="O1956" s="77" t="s">
        <v>2083</v>
      </c>
      <c r="P1956" s="79">
        <v>45191.054583333331</v>
      </c>
      <c r="Q1956" s="77" t="s">
        <v>2120</v>
      </c>
      <c r="R1956" s="77">
        <v>57</v>
      </c>
      <c r="S1956" s="77">
        <v>0</v>
      </c>
      <c r="T1956" s="77">
        <v>0</v>
      </c>
      <c r="U1956" s="77">
        <v>0</v>
      </c>
      <c r="V1956" s="77"/>
      <c r="W1956" s="80" t="s">
        <v>5917</v>
      </c>
      <c r="X1956" s="77"/>
      <c r="Y1956" s="77"/>
      <c r="Z1956" s="77" t="s">
        <v>1655</v>
      </c>
      <c r="AA1956" s="77"/>
      <c r="AB1956" s="77"/>
      <c r="AC1956" s="80" t="s">
        <v>10540</v>
      </c>
      <c r="AD1956" s="77" t="s">
        <v>10617</v>
      </c>
      <c r="AE1956" s="83" t="str">
        <f>HYPERLINK("https://twitter.com/jesusde69803209/status/1705028792308174976")</f>
        <v>https://twitter.com/jesusde69803209/status/1705028792308174976</v>
      </c>
      <c r="AF1956" s="79">
        <v>45191.054583333331</v>
      </c>
      <c r="AG1956" s="85">
        <v>45191</v>
      </c>
      <c r="AH1956" s="80" t="s">
        <v>12357</v>
      </c>
      <c r="AI1956" s="77"/>
      <c r="AJ1956" s="77"/>
      <c r="AK1956" s="77"/>
      <c r="AL1956" s="77"/>
      <c r="AM1956" s="77"/>
      <c r="AN1956" s="77"/>
      <c r="AO1956" s="77"/>
      <c r="AP1956" s="77"/>
      <c r="AQ1956" s="77"/>
      <c r="AR1956" s="77"/>
      <c r="AS1956" s="77"/>
      <c r="AT1956" s="77"/>
      <c r="AU1956" s="77"/>
      <c r="AV1956" s="83" t="str">
        <f>HYPERLINK("https://pbs.twimg.com/profile_images/1587236355255541765/xizHlygQ_normal.jpg")</f>
        <v>https://pbs.twimg.com/profile_images/1587236355255541765/xizHlygQ_normal.jpg</v>
      </c>
      <c r="AW1956" s="80" t="s">
        <v>17806</v>
      </c>
      <c r="AX1956" s="80" t="s">
        <v>17806</v>
      </c>
      <c r="AY1956" s="77"/>
      <c r="AZ1956" s="80" t="s">
        <v>20380</v>
      </c>
      <c r="BA1956" s="80" t="s">
        <v>20380</v>
      </c>
      <c r="BB1956" s="80" t="s">
        <v>19843</v>
      </c>
      <c r="BC1956" s="80" t="s">
        <v>19843</v>
      </c>
      <c r="BD1956" s="80" t="s">
        <v>20783</v>
      </c>
      <c r="BE1956" s="77"/>
      <c r="BF1956" s="77"/>
      <c r="BG1956" s="77"/>
      <c r="BH1956" s="77"/>
      <c r="BI1956" s="77"/>
    </row>
    <row r="1957" spans="1:61" x14ac:dyDescent="0.25">
      <c r="A1957" s="62" t="s">
        <v>834</v>
      </c>
      <c r="B1957" s="62" t="s">
        <v>1669</v>
      </c>
      <c r="C1957" s="63"/>
      <c r="D1957" s="64"/>
      <c r="E1957" s="65"/>
      <c r="F1957" s="66"/>
      <c r="G1957" s="63"/>
      <c r="H1957" s="67"/>
      <c r="I1957" s="68"/>
      <c r="J1957" s="68"/>
      <c r="K1957" s="32"/>
      <c r="L1957" s="75">
        <v>1957</v>
      </c>
      <c r="M1957" s="75"/>
      <c r="N1957" s="70"/>
      <c r="O1957" s="77" t="s">
        <v>2082</v>
      </c>
      <c r="P1957" s="79">
        <v>45069.926111111112</v>
      </c>
      <c r="Q1957" s="77" t="s">
        <v>3832</v>
      </c>
      <c r="R1957" s="77">
        <v>0</v>
      </c>
      <c r="S1957" s="77">
        <v>0</v>
      </c>
      <c r="T1957" s="77">
        <v>1</v>
      </c>
      <c r="U1957" s="77">
        <v>0</v>
      </c>
      <c r="V1957" s="77">
        <v>94</v>
      </c>
      <c r="W1957" s="80" t="s">
        <v>7129</v>
      </c>
      <c r="X1957" s="83" t="str">
        <f>HYPERLINK("https://twitter.com/BancoCentral_AR/status/1661122581410316289?t=v5SgfzxXpru45fM_cvziuw&amp;s=19")</f>
        <v>https://twitter.com/BancoCentral_AR/status/1661122581410316289?t=v5SgfzxXpru45fM_cvziuw&amp;s=19</v>
      </c>
      <c r="Y1957" s="77" t="s">
        <v>8610</v>
      </c>
      <c r="Z1957" s="77"/>
      <c r="AA1957" s="77"/>
      <c r="AB1957" s="77"/>
      <c r="AC1957" s="80" t="s">
        <v>10540</v>
      </c>
      <c r="AD1957" s="77" t="s">
        <v>10620</v>
      </c>
      <c r="AE1957" s="83" t="str">
        <f>HYPERLINK("https://twitter.com/reservadevalor/status/1661133304177803267")</f>
        <v>https://twitter.com/reservadevalor/status/1661133304177803267</v>
      </c>
      <c r="AF1957" s="79">
        <v>45069.926111111112</v>
      </c>
      <c r="AG1957" s="85">
        <v>45069</v>
      </c>
      <c r="AH1957" s="80" t="s">
        <v>12358</v>
      </c>
      <c r="AI1957" s="77" t="b">
        <v>0</v>
      </c>
      <c r="AJ1957" s="77"/>
      <c r="AK1957" s="77"/>
      <c r="AL1957" s="77"/>
      <c r="AM1957" s="77"/>
      <c r="AN1957" s="77"/>
      <c r="AO1957" s="77"/>
      <c r="AP1957" s="77"/>
      <c r="AQ1957" s="77"/>
      <c r="AR1957" s="77"/>
      <c r="AS1957" s="77"/>
      <c r="AT1957" s="77"/>
      <c r="AU1957" s="77"/>
      <c r="AV1957" s="83" t="str">
        <f>HYPERLINK("https://pbs.twimg.com/profile_images/1691003147114741760/CtORpLtz_normal.jpg")</f>
        <v>https://pbs.twimg.com/profile_images/1691003147114741760/CtORpLtz_normal.jpg</v>
      </c>
      <c r="AW1957" s="80" t="s">
        <v>17807</v>
      </c>
      <c r="AX1957" s="80" t="s">
        <v>20033</v>
      </c>
      <c r="AY1957" s="80" t="s">
        <v>20286</v>
      </c>
      <c r="AZ1957" s="80" t="s">
        <v>20421</v>
      </c>
      <c r="BA1957" s="80" t="s">
        <v>19877</v>
      </c>
      <c r="BB1957" s="80" t="s">
        <v>20380</v>
      </c>
      <c r="BC1957" s="80" t="s">
        <v>20421</v>
      </c>
      <c r="BD1957" s="77">
        <v>1695269539</v>
      </c>
      <c r="BE1957" s="77"/>
      <c r="BF1957" s="77"/>
      <c r="BG1957" s="77"/>
      <c r="BH1957" s="77"/>
      <c r="BI1957" s="77"/>
    </row>
    <row r="1958" spans="1:61" x14ac:dyDescent="0.25">
      <c r="A1958" s="62" t="s">
        <v>834</v>
      </c>
      <c r="B1958" s="62" t="s">
        <v>834</v>
      </c>
      <c r="C1958" s="63"/>
      <c r="D1958" s="64"/>
      <c r="E1958" s="65"/>
      <c r="F1958" s="66"/>
      <c r="G1958" s="63"/>
      <c r="H1958" s="67"/>
      <c r="I1958" s="68"/>
      <c r="J1958" s="68"/>
      <c r="K1958" s="32"/>
      <c r="L1958" s="75">
        <v>1958</v>
      </c>
      <c r="M1958" s="75"/>
      <c r="N1958" s="70"/>
      <c r="O1958" s="77" t="s">
        <v>2078</v>
      </c>
      <c r="P1958" s="79">
        <v>45069.926111111112</v>
      </c>
      <c r="Q1958" s="77" t="s">
        <v>3832</v>
      </c>
      <c r="R1958" s="77">
        <v>0</v>
      </c>
      <c r="S1958" s="77">
        <v>0</v>
      </c>
      <c r="T1958" s="77">
        <v>1</v>
      </c>
      <c r="U1958" s="77">
        <v>0</v>
      </c>
      <c r="V1958" s="77">
        <v>94</v>
      </c>
      <c r="W1958" s="80" t="s">
        <v>7129</v>
      </c>
      <c r="X1958" s="83" t="str">
        <f>HYPERLINK("https://twitter.com/BancoCentral_AR/status/1661122581410316289?t=v5SgfzxXpru45fM_cvziuw&amp;s=19")</f>
        <v>https://twitter.com/BancoCentral_AR/status/1661122581410316289?t=v5SgfzxXpru45fM_cvziuw&amp;s=19</v>
      </c>
      <c r="Y1958" s="77" t="s">
        <v>8610</v>
      </c>
      <c r="Z1958" s="77"/>
      <c r="AA1958" s="77"/>
      <c r="AB1958" s="77"/>
      <c r="AC1958" s="80" t="s">
        <v>10540</v>
      </c>
      <c r="AD1958" s="77" t="s">
        <v>10620</v>
      </c>
      <c r="AE1958" s="83" t="str">
        <f>HYPERLINK("https://twitter.com/reservadevalor/status/1661133304177803267")</f>
        <v>https://twitter.com/reservadevalor/status/1661133304177803267</v>
      </c>
      <c r="AF1958" s="79">
        <v>45069.926111111112</v>
      </c>
      <c r="AG1958" s="85">
        <v>45069</v>
      </c>
      <c r="AH1958" s="80" t="s">
        <v>12358</v>
      </c>
      <c r="AI1958" s="77" t="b">
        <v>0</v>
      </c>
      <c r="AJ1958" s="77"/>
      <c r="AK1958" s="77"/>
      <c r="AL1958" s="77"/>
      <c r="AM1958" s="77"/>
      <c r="AN1958" s="77"/>
      <c r="AO1958" s="77"/>
      <c r="AP1958" s="77"/>
      <c r="AQ1958" s="77"/>
      <c r="AR1958" s="77"/>
      <c r="AS1958" s="77"/>
      <c r="AT1958" s="77"/>
      <c r="AU1958" s="77"/>
      <c r="AV1958" s="83" t="str">
        <f>HYPERLINK("https://pbs.twimg.com/profile_images/1691003147114741760/CtORpLtz_normal.jpg")</f>
        <v>https://pbs.twimg.com/profile_images/1691003147114741760/CtORpLtz_normal.jpg</v>
      </c>
      <c r="AW1958" s="80" t="s">
        <v>17807</v>
      </c>
      <c r="AX1958" s="80" t="s">
        <v>20033</v>
      </c>
      <c r="AY1958" s="80" t="s">
        <v>20286</v>
      </c>
      <c r="AZ1958" s="80" t="s">
        <v>20421</v>
      </c>
      <c r="BA1958" s="80" t="s">
        <v>19877</v>
      </c>
      <c r="BB1958" s="80" t="s">
        <v>20380</v>
      </c>
      <c r="BC1958" s="80" t="s">
        <v>20421</v>
      </c>
      <c r="BD1958" s="77">
        <v>1695269539</v>
      </c>
      <c r="BE1958" s="77"/>
      <c r="BF1958" s="77"/>
      <c r="BG1958" s="77"/>
      <c r="BH1958" s="77"/>
      <c r="BI1958" s="77"/>
    </row>
    <row r="1959" spans="1:61" x14ac:dyDescent="0.25">
      <c r="A1959" s="62" t="s">
        <v>835</v>
      </c>
      <c r="B1959" s="62" t="s">
        <v>835</v>
      </c>
      <c r="C1959" s="63"/>
      <c r="D1959" s="64"/>
      <c r="E1959" s="65"/>
      <c r="F1959" s="66"/>
      <c r="G1959" s="63"/>
      <c r="H1959" s="67"/>
      <c r="I1959" s="68"/>
      <c r="J1959" s="68"/>
      <c r="K1959" s="32"/>
      <c r="L1959" s="75">
        <v>1959</v>
      </c>
      <c r="M1959" s="75"/>
      <c r="N1959" s="70"/>
      <c r="O1959" s="77" t="s">
        <v>179</v>
      </c>
      <c r="P1959" s="79">
        <v>45057.096608796295</v>
      </c>
      <c r="Q1959" s="77" t="s">
        <v>3833</v>
      </c>
      <c r="R1959" s="77">
        <v>0</v>
      </c>
      <c r="S1959" s="77">
        <v>1</v>
      </c>
      <c r="T1959" s="77">
        <v>0</v>
      </c>
      <c r="U1959" s="77">
        <v>0</v>
      </c>
      <c r="V1959" s="77">
        <v>98</v>
      </c>
      <c r="W1959" s="80" t="s">
        <v>7130</v>
      </c>
      <c r="X1959" s="77"/>
      <c r="Y1959" s="77"/>
      <c r="Z1959" s="77"/>
      <c r="AA1959" s="77" t="s">
        <v>9565</v>
      </c>
      <c r="AB1959" s="77" t="s">
        <v>10535</v>
      </c>
      <c r="AC1959" s="80" t="s">
        <v>10541</v>
      </c>
      <c r="AD1959" s="77" t="s">
        <v>10620</v>
      </c>
      <c r="AE1959" s="83" t="str">
        <f>HYPERLINK("https://twitter.com/dr_morfeoo/status/1656484048582090752")</f>
        <v>https://twitter.com/dr_morfeoo/status/1656484048582090752</v>
      </c>
      <c r="AF1959" s="79">
        <v>45057.096608796295</v>
      </c>
      <c r="AG1959" s="85">
        <v>45057</v>
      </c>
      <c r="AH1959" s="80" t="s">
        <v>12359</v>
      </c>
      <c r="AI1959" s="77" t="b">
        <v>0</v>
      </c>
      <c r="AJ1959" s="77"/>
      <c r="AK1959" s="77"/>
      <c r="AL1959" s="77"/>
      <c r="AM1959" s="77"/>
      <c r="AN1959" s="77"/>
      <c r="AO1959" s="77"/>
      <c r="AP1959" s="77"/>
      <c r="AQ1959" s="77" t="s">
        <v>15047</v>
      </c>
      <c r="AR1959" s="77"/>
      <c r="AS1959" s="77"/>
      <c r="AT1959" s="77"/>
      <c r="AU1959" s="77"/>
      <c r="AV1959" s="83" t="str">
        <f>HYPERLINK("https://pbs.twimg.com/media/Fv0CrpnWcAcDbLG.jpg")</f>
        <v>https://pbs.twimg.com/media/Fv0CrpnWcAcDbLG.jpg</v>
      </c>
      <c r="AW1959" s="80" t="s">
        <v>17808</v>
      </c>
      <c r="AX1959" s="80" t="s">
        <v>17808</v>
      </c>
      <c r="AY1959" s="77"/>
      <c r="AZ1959" s="80" t="s">
        <v>20380</v>
      </c>
      <c r="BA1959" s="80" t="s">
        <v>20380</v>
      </c>
      <c r="BB1959" s="80" t="s">
        <v>20380</v>
      </c>
      <c r="BC1959" s="80" t="s">
        <v>17808</v>
      </c>
      <c r="BD1959" s="77">
        <v>292421520</v>
      </c>
      <c r="BE1959" s="77"/>
      <c r="BF1959" s="77"/>
      <c r="BG1959" s="77"/>
      <c r="BH1959" s="77"/>
      <c r="BI1959" s="77"/>
    </row>
    <row r="1960" spans="1:61" x14ac:dyDescent="0.25">
      <c r="A1960" s="62" t="s">
        <v>835</v>
      </c>
      <c r="B1960" s="62" t="s">
        <v>835</v>
      </c>
      <c r="C1960" s="63"/>
      <c r="D1960" s="64"/>
      <c r="E1960" s="65"/>
      <c r="F1960" s="66"/>
      <c r="G1960" s="63"/>
      <c r="H1960" s="67"/>
      <c r="I1960" s="68"/>
      <c r="J1960" s="68"/>
      <c r="K1960" s="32"/>
      <c r="L1960" s="75">
        <v>1960</v>
      </c>
      <c r="M1960" s="75"/>
      <c r="N1960" s="70"/>
      <c r="O1960" s="77" t="s">
        <v>179</v>
      </c>
      <c r="P1960" s="79">
        <v>45057.059039351851</v>
      </c>
      <c r="Q1960" s="77" t="s">
        <v>3834</v>
      </c>
      <c r="R1960" s="77">
        <v>0</v>
      </c>
      <c r="S1960" s="77">
        <v>1</v>
      </c>
      <c r="T1960" s="77">
        <v>0</v>
      </c>
      <c r="U1960" s="77">
        <v>0</v>
      </c>
      <c r="V1960" s="77">
        <v>103</v>
      </c>
      <c r="W1960" s="80" t="s">
        <v>7131</v>
      </c>
      <c r="X1960" s="77"/>
      <c r="Y1960" s="77"/>
      <c r="Z1960" s="77"/>
      <c r="AA1960" s="77" t="s">
        <v>9566</v>
      </c>
      <c r="AB1960" s="77" t="s">
        <v>10535</v>
      </c>
      <c r="AC1960" s="80" t="s">
        <v>10541</v>
      </c>
      <c r="AD1960" s="77" t="s">
        <v>10620</v>
      </c>
      <c r="AE1960" s="83" t="str">
        <f>HYPERLINK("https://twitter.com/dr_morfeoo/status/1656470431375794178")</f>
        <v>https://twitter.com/dr_morfeoo/status/1656470431375794178</v>
      </c>
      <c r="AF1960" s="79">
        <v>45057.059039351851</v>
      </c>
      <c r="AG1960" s="85">
        <v>45057</v>
      </c>
      <c r="AH1960" s="80" t="s">
        <v>12360</v>
      </c>
      <c r="AI1960" s="77" t="b">
        <v>0</v>
      </c>
      <c r="AJ1960" s="77"/>
      <c r="AK1960" s="77"/>
      <c r="AL1960" s="77"/>
      <c r="AM1960" s="77"/>
      <c r="AN1960" s="77"/>
      <c r="AO1960" s="77"/>
      <c r="AP1960" s="77"/>
      <c r="AQ1960" s="77" t="s">
        <v>15048</v>
      </c>
      <c r="AR1960" s="77"/>
      <c r="AS1960" s="77"/>
      <c r="AT1960" s="77"/>
      <c r="AU1960" s="77"/>
      <c r="AV1960" s="83" t="str">
        <f>HYPERLINK("https://pbs.twimg.com/media/Fvz2S51XgAE90ax.jpg")</f>
        <v>https://pbs.twimg.com/media/Fvz2S51XgAE90ax.jpg</v>
      </c>
      <c r="AW1960" s="80" t="s">
        <v>17809</v>
      </c>
      <c r="AX1960" s="80" t="s">
        <v>17809</v>
      </c>
      <c r="AY1960" s="77"/>
      <c r="AZ1960" s="80" t="s">
        <v>20380</v>
      </c>
      <c r="BA1960" s="80" t="s">
        <v>20380</v>
      </c>
      <c r="BB1960" s="80" t="s">
        <v>20380</v>
      </c>
      <c r="BC1960" s="80" t="s">
        <v>17809</v>
      </c>
      <c r="BD1960" s="77">
        <v>292421520</v>
      </c>
      <c r="BE1960" s="77"/>
      <c r="BF1960" s="77"/>
      <c r="BG1960" s="77"/>
      <c r="BH1960" s="77"/>
      <c r="BI1960" s="77"/>
    </row>
    <row r="1961" spans="1:61" x14ac:dyDescent="0.25">
      <c r="A1961" s="62" t="s">
        <v>836</v>
      </c>
      <c r="B1961" s="62" t="s">
        <v>836</v>
      </c>
      <c r="C1961" s="63"/>
      <c r="D1961" s="64"/>
      <c r="E1961" s="65"/>
      <c r="F1961" s="66"/>
      <c r="G1961" s="63"/>
      <c r="H1961" s="67"/>
      <c r="I1961" s="68"/>
      <c r="J1961" s="68"/>
      <c r="K1961" s="32"/>
      <c r="L1961" s="75">
        <v>1961</v>
      </c>
      <c r="M1961" s="75"/>
      <c r="N1961" s="70"/>
      <c r="O1961" s="77" t="s">
        <v>179</v>
      </c>
      <c r="P1961" s="79">
        <v>45190.774861111109</v>
      </c>
      <c r="Q1961" s="77" t="s">
        <v>3835</v>
      </c>
      <c r="R1961" s="77">
        <v>0</v>
      </c>
      <c r="S1961" s="77">
        <v>0</v>
      </c>
      <c r="T1961" s="77">
        <v>0</v>
      </c>
      <c r="U1961" s="77">
        <v>0</v>
      </c>
      <c r="V1961" s="77">
        <v>492</v>
      </c>
      <c r="W1961" s="80" t="s">
        <v>7132</v>
      </c>
      <c r="X1961" s="83" t="str">
        <f>HYPERLINK("https://bit.ly/3t0eWoZ")</f>
        <v>https://bit.ly/3t0eWoZ</v>
      </c>
      <c r="Y1961" s="77" t="s">
        <v>8618</v>
      </c>
      <c r="Z1961" s="77"/>
      <c r="AA1961" s="77" t="s">
        <v>9567</v>
      </c>
      <c r="AB1961" s="77" t="s">
        <v>10535</v>
      </c>
      <c r="AC1961" s="80" t="s">
        <v>10584</v>
      </c>
      <c r="AD1961" s="77" t="s">
        <v>10620</v>
      </c>
      <c r="AE1961" s="83" t="str">
        <f>HYPERLINK("https://twitter.com/elfinancierocr/status/1704927425610535096")</f>
        <v>https://twitter.com/elfinancierocr/status/1704927425610535096</v>
      </c>
      <c r="AF1961" s="79">
        <v>45190.774861111109</v>
      </c>
      <c r="AG1961" s="85">
        <v>45190</v>
      </c>
      <c r="AH1961" s="80" t="s">
        <v>12361</v>
      </c>
      <c r="AI1961" s="77" t="b">
        <v>0</v>
      </c>
      <c r="AJ1961" s="77"/>
      <c r="AK1961" s="77"/>
      <c r="AL1961" s="77"/>
      <c r="AM1961" s="77"/>
      <c r="AN1961" s="77"/>
      <c r="AO1961" s="77"/>
      <c r="AP1961" s="77"/>
      <c r="AQ1961" s="77" t="s">
        <v>15049</v>
      </c>
      <c r="AR1961" s="77"/>
      <c r="AS1961" s="77"/>
      <c r="AT1961" s="77"/>
      <c r="AU1961" s="77"/>
      <c r="AV1961" s="83" t="str">
        <f>HYPERLINK("https://pbs.twimg.com/media/F6kedUUW8AAodTW.jpg")</f>
        <v>https://pbs.twimg.com/media/F6kedUUW8AAodTW.jpg</v>
      </c>
      <c r="AW1961" s="80" t="s">
        <v>17810</v>
      </c>
      <c r="AX1961" s="80" t="s">
        <v>17810</v>
      </c>
      <c r="AY1961" s="77"/>
      <c r="AZ1961" s="80" t="s">
        <v>20380</v>
      </c>
      <c r="BA1961" s="80" t="s">
        <v>20380</v>
      </c>
      <c r="BB1961" s="80" t="s">
        <v>20380</v>
      </c>
      <c r="BC1961" s="80" t="s">
        <v>17810</v>
      </c>
      <c r="BD1961" s="77">
        <v>17514805</v>
      </c>
      <c r="BE1961" s="77"/>
      <c r="BF1961" s="77"/>
      <c r="BG1961" s="77"/>
      <c r="BH1961" s="77"/>
      <c r="BI1961" s="77"/>
    </row>
    <row r="1962" spans="1:61" x14ac:dyDescent="0.25">
      <c r="A1962" s="62" t="s">
        <v>836</v>
      </c>
      <c r="B1962" s="62" t="s">
        <v>836</v>
      </c>
      <c r="C1962" s="63"/>
      <c r="D1962" s="64"/>
      <c r="E1962" s="65"/>
      <c r="F1962" s="66"/>
      <c r="G1962" s="63"/>
      <c r="H1962" s="67"/>
      <c r="I1962" s="68"/>
      <c r="J1962" s="68"/>
      <c r="K1962" s="32"/>
      <c r="L1962" s="75">
        <v>1962</v>
      </c>
      <c r="M1962" s="75"/>
      <c r="N1962" s="70"/>
      <c r="O1962" s="77" t="s">
        <v>179</v>
      </c>
      <c r="P1962" s="79">
        <v>45191.816608796296</v>
      </c>
      <c r="Q1962" s="77" t="s">
        <v>3836</v>
      </c>
      <c r="R1962" s="77">
        <v>0</v>
      </c>
      <c r="S1962" s="77">
        <v>0</v>
      </c>
      <c r="T1962" s="77">
        <v>0</v>
      </c>
      <c r="U1962" s="77">
        <v>0</v>
      </c>
      <c r="V1962" s="77">
        <v>540</v>
      </c>
      <c r="W1962" s="80" t="s">
        <v>7132</v>
      </c>
      <c r="X1962" s="83" t="str">
        <f>HYPERLINK("https://bit.ly/451USzY")</f>
        <v>https://bit.ly/451USzY</v>
      </c>
      <c r="Y1962" s="77" t="s">
        <v>8618</v>
      </c>
      <c r="Z1962" s="77"/>
      <c r="AA1962" s="77" t="s">
        <v>9568</v>
      </c>
      <c r="AB1962" s="77" t="s">
        <v>10535</v>
      </c>
      <c r="AC1962" s="80" t="s">
        <v>10584</v>
      </c>
      <c r="AD1962" s="77" t="s">
        <v>10620</v>
      </c>
      <c r="AE1962" s="83" t="str">
        <f>HYPERLINK("https://twitter.com/elfinancierocr/status/1705304940430631293")</f>
        <v>https://twitter.com/elfinancierocr/status/1705304940430631293</v>
      </c>
      <c r="AF1962" s="79">
        <v>45191.816608796296</v>
      </c>
      <c r="AG1962" s="85">
        <v>45191</v>
      </c>
      <c r="AH1962" s="80" t="s">
        <v>12362</v>
      </c>
      <c r="AI1962" s="77" t="b">
        <v>0</v>
      </c>
      <c r="AJ1962" s="77"/>
      <c r="AK1962" s="77"/>
      <c r="AL1962" s="77"/>
      <c r="AM1962" s="77"/>
      <c r="AN1962" s="77"/>
      <c r="AO1962" s="77"/>
      <c r="AP1962" s="77"/>
      <c r="AQ1962" s="77" t="s">
        <v>15050</v>
      </c>
      <c r="AR1962" s="77"/>
      <c r="AS1962" s="77"/>
      <c r="AT1962" s="77"/>
      <c r="AU1962" s="77"/>
      <c r="AV1962" s="83" t="str">
        <f>HYPERLINK("https://pbs.twimg.com/media/F6p1zi0WAAAISdn.jpg")</f>
        <v>https://pbs.twimg.com/media/F6p1zi0WAAAISdn.jpg</v>
      </c>
      <c r="AW1962" s="80" t="s">
        <v>17811</v>
      </c>
      <c r="AX1962" s="80" t="s">
        <v>17811</v>
      </c>
      <c r="AY1962" s="77"/>
      <c r="AZ1962" s="80" t="s">
        <v>20380</v>
      </c>
      <c r="BA1962" s="80" t="s">
        <v>20380</v>
      </c>
      <c r="BB1962" s="80" t="s">
        <v>20380</v>
      </c>
      <c r="BC1962" s="80" t="s">
        <v>17811</v>
      </c>
      <c r="BD1962" s="77">
        <v>17514805</v>
      </c>
      <c r="BE1962" s="77"/>
      <c r="BF1962" s="77"/>
      <c r="BG1962" s="77"/>
      <c r="BH1962" s="77"/>
      <c r="BI1962" s="77"/>
    </row>
    <row r="1963" spans="1:61" x14ac:dyDescent="0.25">
      <c r="A1963" s="62" t="s">
        <v>836</v>
      </c>
      <c r="B1963" s="62" t="s">
        <v>836</v>
      </c>
      <c r="C1963" s="63"/>
      <c r="D1963" s="64"/>
      <c r="E1963" s="65"/>
      <c r="F1963" s="66"/>
      <c r="G1963" s="63"/>
      <c r="H1963" s="67"/>
      <c r="I1963" s="68"/>
      <c r="J1963" s="68"/>
      <c r="K1963" s="32"/>
      <c r="L1963" s="75">
        <v>1963</v>
      </c>
      <c r="M1963" s="75"/>
      <c r="N1963" s="70"/>
      <c r="O1963" s="77" t="s">
        <v>179</v>
      </c>
      <c r="P1963" s="79">
        <v>45190.899745370371</v>
      </c>
      <c r="Q1963" s="77" t="s">
        <v>3837</v>
      </c>
      <c r="R1963" s="77">
        <v>0</v>
      </c>
      <c r="S1963" s="77">
        <v>0</v>
      </c>
      <c r="T1963" s="77">
        <v>1</v>
      </c>
      <c r="U1963" s="77">
        <v>0</v>
      </c>
      <c r="V1963" s="77">
        <v>553</v>
      </c>
      <c r="W1963" s="80" t="s">
        <v>7133</v>
      </c>
      <c r="X1963" s="83" t="str">
        <f>HYPERLINK("https://bit.ly/3t58woL")</f>
        <v>https://bit.ly/3t58woL</v>
      </c>
      <c r="Y1963" s="77" t="s">
        <v>8618</v>
      </c>
      <c r="Z1963" s="77"/>
      <c r="AA1963" s="77" t="s">
        <v>9569</v>
      </c>
      <c r="AB1963" s="77" t="s">
        <v>10535</v>
      </c>
      <c r="AC1963" s="80" t="s">
        <v>10584</v>
      </c>
      <c r="AD1963" s="77" t="s">
        <v>10620</v>
      </c>
      <c r="AE1963" s="83" t="str">
        <f>HYPERLINK("https://twitter.com/elfinancierocr/status/1704972680649224689")</f>
        <v>https://twitter.com/elfinancierocr/status/1704972680649224689</v>
      </c>
      <c r="AF1963" s="79">
        <v>45190.899745370371</v>
      </c>
      <c r="AG1963" s="85">
        <v>45190</v>
      </c>
      <c r="AH1963" s="80" t="s">
        <v>12363</v>
      </c>
      <c r="AI1963" s="77" t="b">
        <v>0</v>
      </c>
      <c r="AJ1963" s="77"/>
      <c r="AK1963" s="77"/>
      <c r="AL1963" s="77"/>
      <c r="AM1963" s="77"/>
      <c r="AN1963" s="77"/>
      <c r="AO1963" s="77"/>
      <c r="AP1963" s="77"/>
      <c r="AQ1963" s="77" t="s">
        <v>15051</v>
      </c>
      <c r="AR1963" s="77"/>
      <c r="AS1963" s="77"/>
      <c r="AT1963" s="77"/>
      <c r="AU1963" s="77"/>
      <c r="AV1963" s="83" t="str">
        <f>HYPERLINK("https://pbs.twimg.com/media/F6lHnjlWEAAawIx.jpg")</f>
        <v>https://pbs.twimg.com/media/F6lHnjlWEAAawIx.jpg</v>
      </c>
      <c r="AW1963" s="80" t="s">
        <v>17812</v>
      </c>
      <c r="AX1963" s="80" t="s">
        <v>17812</v>
      </c>
      <c r="AY1963" s="77"/>
      <c r="AZ1963" s="80" t="s">
        <v>20380</v>
      </c>
      <c r="BA1963" s="80" t="s">
        <v>20380</v>
      </c>
      <c r="BB1963" s="80" t="s">
        <v>20380</v>
      </c>
      <c r="BC1963" s="80" t="s">
        <v>17812</v>
      </c>
      <c r="BD1963" s="77">
        <v>17514805</v>
      </c>
      <c r="BE1963" s="77"/>
      <c r="BF1963" s="77"/>
      <c r="BG1963" s="77"/>
      <c r="BH1963" s="77"/>
      <c r="BI1963" s="77"/>
    </row>
    <row r="1964" spans="1:61" x14ac:dyDescent="0.25">
      <c r="A1964" s="62" t="s">
        <v>837</v>
      </c>
      <c r="B1964" s="62" t="s">
        <v>837</v>
      </c>
      <c r="C1964" s="63"/>
      <c r="D1964" s="64"/>
      <c r="E1964" s="65"/>
      <c r="F1964" s="66"/>
      <c r="G1964" s="63"/>
      <c r="H1964" s="67"/>
      <c r="I1964" s="68"/>
      <c r="J1964" s="68"/>
      <c r="K1964" s="32"/>
      <c r="L1964" s="75">
        <v>1964</v>
      </c>
      <c r="M1964" s="75"/>
      <c r="N1964" s="70"/>
      <c r="O1964" s="77" t="s">
        <v>179</v>
      </c>
      <c r="P1964" s="79">
        <v>45152.609212962961</v>
      </c>
      <c r="Q1964" s="77" t="s">
        <v>3838</v>
      </c>
      <c r="R1964" s="77">
        <v>1</v>
      </c>
      <c r="S1964" s="77">
        <v>1</v>
      </c>
      <c r="T1964" s="77">
        <v>0</v>
      </c>
      <c r="U1964" s="77">
        <v>0</v>
      </c>
      <c r="V1964" s="77">
        <v>430</v>
      </c>
      <c r="W1964" s="80" t="s">
        <v>7134</v>
      </c>
      <c r="X1964" s="83" t="str">
        <f>HYPERLINK("http://www.marianomorenonoticias.com.ar/tras-las-paso-el-banco-central-fijo-el-tipo-de-cambio-oficial-a-350-hasta-las-elecciones-de-octubre/")</f>
        <v>http://www.marianomorenonoticias.com.ar/tras-las-paso-el-banco-central-fijo-el-tipo-de-cambio-oficial-a-350-hasta-las-elecciones-de-octubre/</v>
      </c>
      <c r="Y1964" s="77" t="s">
        <v>8624</v>
      </c>
      <c r="Z1964" s="77"/>
      <c r="AA1964" s="77"/>
      <c r="AB1964" s="77"/>
      <c r="AC1964" s="80" t="s">
        <v>10540</v>
      </c>
      <c r="AD1964" s="77" t="s">
        <v>10620</v>
      </c>
      <c r="AE1964" s="83" t="str">
        <f>HYPERLINK("https://twitter.com/mmorenonoticias/status/1691096655066693632")</f>
        <v>https://twitter.com/mmorenonoticias/status/1691096655066693632</v>
      </c>
      <c r="AF1964" s="79">
        <v>45152.609212962961</v>
      </c>
      <c r="AG1964" s="85">
        <v>45152</v>
      </c>
      <c r="AH1964" s="80" t="s">
        <v>12364</v>
      </c>
      <c r="AI1964" s="77" t="b">
        <v>0</v>
      </c>
      <c r="AJ1964" s="77"/>
      <c r="AK1964" s="77"/>
      <c r="AL1964" s="77"/>
      <c r="AM1964" s="77"/>
      <c r="AN1964" s="77"/>
      <c r="AO1964" s="77"/>
      <c r="AP1964" s="77"/>
      <c r="AQ1964" s="77"/>
      <c r="AR1964" s="77"/>
      <c r="AS1964" s="77"/>
      <c r="AT1964" s="77"/>
      <c r="AU1964" s="77"/>
      <c r="AV1964" s="83" t="str">
        <f>HYPERLINK("https://pbs.twimg.com/profile_images/1067588277073526784/JzJYg2CR_normal.jpg")</f>
        <v>https://pbs.twimg.com/profile_images/1067588277073526784/JzJYg2CR_normal.jpg</v>
      </c>
      <c r="AW1964" s="80" t="s">
        <v>17813</v>
      </c>
      <c r="AX1964" s="80" t="s">
        <v>17813</v>
      </c>
      <c r="AY1964" s="77"/>
      <c r="AZ1964" s="80" t="s">
        <v>20380</v>
      </c>
      <c r="BA1964" s="80" t="s">
        <v>20380</v>
      </c>
      <c r="BB1964" s="80" t="s">
        <v>20380</v>
      </c>
      <c r="BC1964" s="80" t="s">
        <v>17813</v>
      </c>
      <c r="BD1964" s="80" t="s">
        <v>20784</v>
      </c>
      <c r="BE1964" s="77"/>
      <c r="BF1964" s="77"/>
      <c r="BG1964" s="77"/>
      <c r="BH1964" s="77"/>
      <c r="BI1964" s="77"/>
    </row>
    <row r="1965" spans="1:61" x14ac:dyDescent="0.25">
      <c r="A1965" s="62" t="s">
        <v>838</v>
      </c>
      <c r="B1965" s="62" t="s">
        <v>838</v>
      </c>
      <c r="C1965" s="63"/>
      <c r="D1965" s="64"/>
      <c r="E1965" s="65"/>
      <c r="F1965" s="66"/>
      <c r="G1965" s="63"/>
      <c r="H1965" s="67"/>
      <c r="I1965" s="68"/>
      <c r="J1965" s="68"/>
      <c r="K1965" s="32"/>
      <c r="L1965" s="75">
        <v>1965</v>
      </c>
      <c r="M1965" s="75"/>
      <c r="N1965" s="70"/>
      <c r="O1965" s="77" t="s">
        <v>2078</v>
      </c>
      <c r="P1965" s="79">
        <v>45094.838645833333</v>
      </c>
      <c r="Q1965" s="77" t="s">
        <v>3839</v>
      </c>
      <c r="R1965" s="77">
        <v>0</v>
      </c>
      <c r="S1965" s="77">
        <v>0</v>
      </c>
      <c r="T1965" s="77">
        <v>0</v>
      </c>
      <c r="U1965" s="77">
        <v>0</v>
      </c>
      <c r="V1965" s="77">
        <v>2</v>
      </c>
      <c r="W1965" s="80" t="s">
        <v>7135</v>
      </c>
      <c r="X1965" s="77"/>
      <c r="Y1965" s="77"/>
      <c r="Z1965" s="77"/>
      <c r="AA1965" s="77"/>
      <c r="AB1965" s="77"/>
      <c r="AC1965" s="80" t="s">
        <v>10540</v>
      </c>
      <c r="AD1965" s="77" t="s">
        <v>10617</v>
      </c>
      <c r="AE1965" s="83" t="str">
        <f>HYPERLINK("https://twitter.com/vivaned1/status/1670161303783067649")</f>
        <v>https://twitter.com/vivaned1/status/1670161303783067649</v>
      </c>
      <c r="AF1965" s="79">
        <v>45094.838645833333</v>
      </c>
      <c r="AG1965" s="85">
        <v>45094</v>
      </c>
      <c r="AH1965" s="80" t="s">
        <v>12365</v>
      </c>
      <c r="AI1965" s="77"/>
      <c r="AJ1965" s="77"/>
      <c r="AK1965" s="77"/>
      <c r="AL1965" s="77"/>
      <c r="AM1965" s="77"/>
      <c r="AN1965" s="77"/>
      <c r="AO1965" s="77"/>
      <c r="AP1965" s="77"/>
      <c r="AQ1965" s="77"/>
      <c r="AR1965" s="77"/>
      <c r="AS1965" s="77"/>
      <c r="AT1965" s="77"/>
      <c r="AU1965" s="77"/>
      <c r="AV1965" s="83" t="str">
        <f>HYPERLINK("https://pbs.twimg.com/profile_images/1348764367962198016/bOqALDPi_normal.jpg")</f>
        <v>https://pbs.twimg.com/profile_images/1348764367962198016/bOqALDPi_normal.jpg</v>
      </c>
      <c r="AW1965" s="80" t="s">
        <v>17814</v>
      </c>
      <c r="AX1965" s="80" t="s">
        <v>20034</v>
      </c>
      <c r="AY1965" s="80" t="s">
        <v>20287</v>
      </c>
      <c r="AZ1965" s="80" t="s">
        <v>20034</v>
      </c>
      <c r="BA1965" s="80" t="s">
        <v>20380</v>
      </c>
      <c r="BB1965" s="80" t="s">
        <v>20380</v>
      </c>
      <c r="BC1965" s="80" t="s">
        <v>20034</v>
      </c>
      <c r="BD1965" s="80" t="s">
        <v>20287</v>
      </c>
      <c r="BE1965" s="77"/>
      <c r="BF1965" s="77"/>
      <c r="BG1965" s="77"/>
      <c r="BH1965" s="77"/>
      <c r="BI1965" s="77"/>
    </row>
    <row r="1966" spans="1:61" x14ac:dyDescent="0.25">
      <c r="A1966" s="62" t="s">
        <v>838</v>
      </c>
      <c r="B1966" s="62" t="s">
        <v>838</v>
      </c>
      <c r="C1966" s="63"/>
      <c r="D1966" s="64"/>
      <c r="E1966" s="65"/>
      <c r="F1966" s="66"/>
      <c r="G1966" s="63"/>
      <c r="H1966" s="67"/>
      <c r="I1966" s="68"/>
      <c r="J1966" s="68"/>
      <c r="K1966" s="32"/>
      <c r="L1966" s="75">
        <v>1966</v>
      </c>
      <c r="M1966" s="75"/>
      <c r="N1966" s="70"/>
      <c r="O1966" s="77" t="s">
        <v>179</v>
      </c>
      <c r="P1966" s="79">
        <v>45148.167060185187</v>
      </c>
      <c r="Q1966" s="77" t="s">
        <v>3840</v>
      </c>
      <c r="R1966" s="77">
        <v>0</v>
      </c>
      <c r="S1966" s="77">
        <v>0</v>
      </c>
      <c r="T1966" s="77">
        <v>0</v>
      </c>
      <c r="U1966" s="77">
        <v>0</v>
      </c>
      <c r="V1966" s="77">
        <v>21</v>
      </c>
      <c r="W1966" s="80" t="s">
        <v>7136</v>
      </c>
      <c r="X1966" s="77"/>
      <c r="Y1966" s="77"/>
      <c r="Z1966" s="77"/>
      <c r="AA1966" s="77" t="s">
        <v>9570</v>
      </c>
      <c r="AB1966" s="77" t="s">
        <v>10535</v>
      </c>
      <c r="AC1966" s="80" t="s">
        <v>10540</v>
      </c>
      <c r="AD1966" s="77" t="s">
        <v>10617</v>
      </c>
      <c r="AE1966" s="83" t="str">
        <f>HYPERLINK("https://twitter.com/vivaned1/status/1689486872278396929")</f>
        <v>https://twitter.com/vivaned1/status/1689486872278396929</v>
      </c>
      <c r="AF1966" s="79">
        <v>45148.167060185187</v>
      </c>
      <c r="AG1966" s="85">
        <v>45148</v>
      </c>
      <c r="AH1966" s="80" t="s">
        <v>12366</v>
      </c>
      <c r="AI1966" s="77" t="b">
        <v>0</v>
      </c>
      <c r="AJ1966" s="77"/>
      <c r="AK1966" s="77"/>
      <c r="AL1966" s="77"/>
      <c r="AM1966" s="77"/>
      <c r="AN1966" s="77"/>
      <c r="AO1966" s="77"/>
      <c r="AP1966" s="77"/>
      <c r="AQ1966" s="77" t="s">
        <v>15052</v>
      </c>
      <c r="AR1966" s="77"/>
      <c r="AS1966" s="77"/>
      <c r="AT1966" s="77"/>
      <c r="AU1966" s="77"/>
      <c r="AV1966" s="83" t="str">
        <f>HYPERLINK("https://pbs.twimg.com/media/F3JDW35XsAALPdE.jpg")</f>
        <v>https://pbs.twimg.com/media/F3JDW35XsAALPdE.jpg</v>
      </c>
      <c r="AW1966" s="80" t="s">
        <v>17815</v>
      </c>
      <c r="AX1966" s="80" t="s">
        <v>17815</v>
      </c>
      <c r="AY1966" s="77"/>
      <c r="AZ1966" s="80" t="s">
        <v>20380</v>
      </c>
      <c r="BA1966" s="80" t="s">
        <v>20380</v>
      </c>
      <c r="BB1966" s="80" t="s">
        <v>20380</v>
      </c>
      <c r="BC1966" s="80" t="s">
        <v>17815</v>
      </c>
      <c r="BD1966" s="80" t="s">
        <v>20287</v>
      </c>
      <c r="BE1966" s="77"/>
      <c r="BF1966" s="77"/>
      <c r="BG1966" s="77"/>
      <c r="BH1966" s="77"/>
      <c r="BI1966" s="77"/>
    </row>
    <row r="1967" spans="1:61" x14ac:dyDescent="0.25">
      <c r="A1967" s="62" t="s">
        <v>838</v>
      </c>
      <c r="B1967" s="62" t="s">
        <v>838</v>
      </c>
      <c r="C1967" s="63"/>
      <c r="D1967" s="64"/>
      <c r="E1967" s="65"/>
      <c r="F1967" s="66"/>
      <c r="G1967" s="63"/>
      <c r="H1967" s="67"/>
      <c r="I1967" s="68"/>
      <c r="J1967" s="68"/>
      <c r="K1967" s="32"/>
      <c r="L1967" s="75">
        <v>1967</v>
      </c>
      <c r="M1967" s="75"/>
      <c r="N1967" s="70"/>
      <c r="O1967" s="77" t="s">
        <v>179</v>
      </c>
      <c r="P1967" s="79">
        <v>45155.630902777775</v>
      </c>
      <c r="Q1967" s="77" t="s">
        <v>3841</v>
      </c>
      <c r="R1967" s="77">
        <v>0</v>
      </c>
      <c r="S1967" s="77">
        <v>1</v>
      </c>
      <c r="T1967" s="77">
        <v>0</v>
      </c>
      <c r="U1967" s="77">
        <v>1</v>
      </c>
      <c r="V1967" s="77">
        <v>50</v>
      </c>
      <c r="W1967" s="80" t="s">
        <v>7136</v>
      </c>
      <c r="X1967" s="77"/>
      <c r="Y1967" s="77"/>
      <c r="Z1967" s="77"/>
      <c r="AA1967" s="77" t="s">
        <v>9571</v>
      </c>
      <c r="AB1967" s="77" t="s">
        <v>10535</v>
      </c>
      <c r="AC1967" s="80" t="s">
        <v>10540</v>
      </c>
      <c r="AD1967" s="77" t="s">
        <v>10617</v>
      </c>
      <c r="AE1967" s="83" t="str">
        <f>HYPERLINK("https://twitter.com/vivaned1/status/1692191677744640285")</f>
        <v>https://twitter.com/vivaned1/status/1692191677744640285</v>
      </c>
      <c r="AF1967" s="79">
        <v>45155.630902777775</v>
      </c>
      <c r="AG1967" s="85">
        <v>45155</v>
      </c>
      <c r="AH1967" s="80" t="s">
        <v>12367</v>
      </c>
      <c r="AI1967" s="77" t="b">
        <v>0</v>
      </c>
      <c r="AJ1967" s="77"/>
      <c r="AK1967" s="77"/>
      <c r="AL1967" s="77"/>
      <c r="AM1967" s="77"/>
      <c r="AN1967" s="77"/>
      <c r="AO1967" s="77"/>
      <c r="AP1967" s="77"/>
      <c r="AQ1967" s="77" t="s">
        <v>15053</v>
      </c>
      <c r="AR1967" s="77"/>
      <c r="AS1967" s="77"/>
      <c r="AT1967" s="77"/>
      <c r="AU1967" s="77"/>
      <c r="AV1967" s="83" t="str">
        <f>HYPERLINK("https://pbs.twimg.com/media/F3vfXRIXMAE-m2M.jpg")</f>
        <v>https://pbs.twimg.com/media/F3vfXRIXMAE-m2M.jpg</v>
      </c>
      <c r="AW1967" s="80" t="s">
        <v>17816</v>
      </c>
      <c r="AX1967" s="80" t="s">
        <v>17816</v>
      </c>
      <c r="AY1967" s="77"/>
      <c r="AZ1967" s="80" t="s">
        <v>20380</v>
      </c>
      <c r="BA1967" s="80" t="s">
        <v>20380</v>
      </c>
      <c r="BB1967" s="80" t="s">
        <v>20380</v>
      </c>
      <c r="BC1967" s="80" t="s">
        <v>17816</v>
      </c>
      <c r="BD1967" s="80" t="s">
        <v>20287</v>
      </c>
      <c r="BE1967" s="77"/>
      <c r="BF1967" s="77"/>
      <c r="BG1967" s="77"/>
      <c r="BH1967" s="77"/>
      <c r="BI1967" s="77"/>
    </row>
    <row r="1968" spans="1:61" x14ac:dyDescent="0.25">
      <c r="A1968" s="62" t="s">
        <v>838</v>
      </c>
      <c r="B1968" s="62" t="s">
        <v>838</v>
      </c>
      <c r="C1968" s="63"/>
      <c r="D1968" s="64"/>
      <c r="E1968" s="65"/>
      <c r="F1968" s="66"/>
      <c r="G1968" s="63"/>
      <c r="H1968" s="67"/>
      <c r="I1968" s="68"/>
      <c r="J1968" s="68"/>
      <c r="K1968" s="32"/>
      <c r="L1968" s="75">
        <v>1968</v>
      </c>
      <c r="M1968" s="75"/>
      <c r="N1968" s="70"/>
      <c r="O1968" s="77" t="s">
        <v>179</v>
      </c>
      <c r="P1968" s="79">
        <v>45155.185543981483</v>
      </c>
      <c r="Q1968" s="77" t="s">
        <v>3842</v>
      </c>
      <c r="R1968" s="77">
        <v>0</v>
      </c>
      <c r="S1968" s="77">
        <v>0</v>
      </c>
      <c r="T1968" s="77">
        <v>1</v>
      </c>
      <c r="U1968" s="77">
        <v>0</v>
      </c>
      <c r="V1968" s="77">
        <v>19</v>
      </c>
      <c r="W1968" s="80" t="s">
        <v>7137</v>
      </c>
      <c r="X1968" s="77"/>
      <c r="Y1968" s="77"/>
      <c r="Z1968" s="77"/>
      <c r="AA1968" s="77" t="s">
        <v>9572</v>
      </c>
      <c r="AB1968" s="77" t="s">
        <v>10535</v>
      </c>
      <c r="AC1968" s="80" t="s">
        <v>10540</v>
      </c>
      <c r="AD1968" s="77" t="s">
        <v>10617</v>
      </c>
      <c r="AE1968" s="83" t="str">
        <f>HYPERLINK("https://twitter.com/vivaned1/status/1692030289080471616")</f>
        <v>https://twitter.com/vivaned1/status/1692030289080471616</v>
      </c>
      <c r="AF1968" s="79">
        <v>45155.185543981483</v>
      </c>
      <c r="AG1968" s="85">
        <v>45155</v>
      </c>
      <c r="AH1968" s="80" t="s">
        <v>12368</v>
      </c>
      <c r="AI1968" s="77" t="b">
        <v>0</v>
      </c>
      <c r="AJ1968" s="77"/>
      <c r="AK1968" s="77"/>
      <c r="AL1968" s="77"/>
      <c r="AM1968" s="77"/>
      <c r="AN1968" s="77"/>
      <c r="AO1968" s="77"/>
      <c r="AP1968" s="77"/>
      <c r="AQ1968" s="77" t="s">
        <v>15054</v>
      </c>
      <c r="AR1968" s="77"/>
      <c r="AS1968" s="77"/>
      <c r="AT1968" s="77"/>
      <c r="AU1968" s="77"/>
      <c r="AV1968" s="83" t="str">
        <f>HYPERLINK("https://pbs.twimg.com/media/F3tMlMqWYAAJsVg.jpg")</f>
        <v>https://pbs.twimg.com/media/F3tMlMqWYAAJsVg.jpg</v>
      </c>
      <c r="AW1968" s="80" t="s">
        <v>17817</v>
      </c>
      <c r="AX1968" s="80" t="s">
        <v>17817</v>
      </c>
      <c r="AY1968" s="77"/>
      <c r="AZ1968" s="80" t="s">
        <v>20380</v>
      </c>
      <c r="BA1968" s="80" t="s">
        <v>20380</v>
      </c>
      <c r="BB1968" s="80" t="s">
        <v>20380</v>
      </c>
      <c r="BC1968" s="80" t="s">
        <v>17817</v>
      </c>
      <c r="BD1968" s="80" t="s">
        <v>20287</v>
      </c>
      <c r="BE1968" s="77"/>
      <c r="BF1968" s="77"/>
      <c r="BG1968" s="77"/>
      <c r="BH1968" s="77"/>
      <c r="BI1968" s="77"/>
    </row>
    <row r="1969" spans="1:61" x14ac:dyDescent="0.25">
      <c r="A1969" s="62" t="s">
        <v>838</v>
      </c>
      <c r="B1969" s="62" t="s">
        <v>838</v>
      </c>
      <c r="C1969" s="63"/>
      <c r="D1969" s="64"/>
      <c r="E1969" s="65"/>
      <c r="F1969" s="66"/>
      <c r="G1969" s="63"/>
      <c r="H1969" s="67"/>
      <c r="I1969" s="68"/>
      <c r="J1969" s="68"/>
      <c r="K1969" s="32"/>
      <c r="L1969" s="75">
        <v>1969</v>
      </c>
      <c r="M1969" s="75"/>
      <c r="N1969" s="70"/>
      <c r="O1969" s="77" t="s">
        <v>179</v>
      </c>
      <c r="P1969" s="79">
        <v>45149.043888888889</v>
      </c>
      <c r="Q1969" s="77" t="s">
        <v>3843</v>
      </c>
      <c r="R1969" s="77">
        <v>0</v>
      </c>
      <c r="S1969" s="77">
        <v>0</v>
      </c>
      <c r="T1969" s="77">
        <v>0</v>
      </c>
      <c r="U1969" s="77">
        <v>0</v>
      </c>
      <c r="V1969" s="77">
        <v>20</v>
      </c>
      <c r="W1969" s="80" t="s">
        <v>7136</v>
      </c>
      <c r="X1969" s="77"/>
      <c r="Y1969" s="77"/>
      <c r="Z1969" s="77"/>
      <c r="AA1969" s="77" t="s">
        <v>9573</v>
      </c>
      <c r="AB1969" s="77" t="s">
        <v>10535</v>
      </c>
      <c r="AC1969" s="80" t="s">
        <v>10540</v>
      </c>
      <c r="AD1969" s="77" t="s">
        <v>10617</v>
      </c>
      <c r="AE1969" s="83" t="str">
        <f>HYPERLINK("https://twitter.com/vivaned1/status/1689804625044557824")</f>
        <v>https://twitter.com/vivaned1/status/1689804625044557824</v>
      </c>
      <c r="AF1969" s="79">
        <v>45149.043888888889</v>
      </c>
      <c r="AG1969" s="85">
        <v>45149</v>
      </c>
      <c r="AH1969" s="80" t="s">
        <v>12369</v>
      </c>
      <c r="AI1969" s="77" t="b">
        <v>0</v>
      </c>
      <c r="AJ1969" s="77"/>
      <c r="AK1969" s="77"/>
      <c r="AL1969" s="77"/>
      <c r="AM1969" s="77"/>
      <c r="AN1969" s="77"/>
      <c r="AO1969" s="77"/>
      <c r="AP1969" s="77"/>
      <c r="AQ1969" s="77" t="s">
        <v>15055</v>
      </c>
      <c r="AR1969" s="77"/>
      <c r="AS1969" s="77"/>
      <c r="AT1969" s="77"/>
      <c r="AU1969" s="77"/>
      <c r="AV1969" s="83" t="str">
        <f>HYPERLINK("https://pbs.twimg.com/media/F3NkWhRXwAIS8Lw.jpg")</f>
        <v>https://pbs.twimg.com/media/F3NkWhRXwAIS8Lw.jpg</v>
      </c>
      <c r="AW1969" s="80" t="s">
        <v>17818</v>
      </c>
      <c r="AX1969" s="80" t="s">
        <v>17818</v>
      </c>
      <c r="AY1969" s="77"/>
      <c r="AZ1969" s="80" t="s">
        <v>20380</v>
      </c>
      <c r="BA1969" s="80" t="s">
        <v>20380</v>
      </c>
      <c r="BB1969" s="80" t="s">
        <v>20380</v>
      </c>
      <c r="BC1969" s="80" t="s">
        <v>17818</v>
      </c>
      <c r="BD1969" s="80" t="s">
        <v>20287</v>
      </c>
      <c r="BE1969" s="77"/>
      <c r="BF1969" s="77"/>
      <c r="BG1969" s="77"/>
      <c r="BH1969" s="77"/>
      <c r="BI1969" s="77"/>
    </row>
    <row r="1970" spans="1:61" x14ac:dyDescent="0.25">
      <c r="A1970" s="62" t="s">
        <v>838</v>
      </c>
      <c r="B1970" s="62" t="s">
        <v>838</v>
      </c>
      <c r="C1970" s="63"/>
      <c r="D1970" s="64"/>
      <c r="E1970" s="65"/>
      <c r="F1970" s="66"/>
      <c r="G1970" s="63"/>
      <c r="H1970" s="67"/>
      <c r="I1970" s="68"/>
      <c r="J1970" s="68"/>
      <c r="K1970" s="32"/>
      <c r="L1970" s="75">
        <v>1970</v>
      </c>
      <c r="M1970" s="75"/>
      <c r="N1970" s="70"/>
      <c r="O1970" s="77" t="s">
        <v>179</v>
      </c>
      <c r="P1970" s="79">
        <v>45140.927824074075</v>
      </c>
      <c r="Q1970" s="77" t="s">
        <v>3844</v>
      </c>
      <c r="R1970" s="77">
        <v>0</v>
      </c>
      <c r="S1970" s="77">
        <v>1</v>
      </c>
      <c r="T1970" s="77">
        <v>1</v>
      </c>
      <c r="U1970" s="77">
        <v>0</v>
      </c>
      <c r="V1970" s="77">
        <v>48</v>
      </c>
      <c r="W1970" s="80" t="s">
        <v>7138</v>
      </c>
      <c r="X1970" s="77"/>
      <c r="Y1970" s="77"/>
      <c r="Z1970" s="77"/>
      <c r="AA1970" s="77" t="s">
        <v>9574</v>
      </c>
      <c r="AB1970" s="77" t="s">
        <v>10535</v>
      </c>
      <c r="AC1970" s="80" t="s">
        <v>10540</v>
      </c>
      <c r="AD1970" s="77" t="s">
        <v>10617</v>
      </c>
      <c r="AE1970" s="83" t="str">
        <f>HYPERLINK("https://twitter.com/vivaned1/status/1686863463971246080")</f>
        <v>https://twitter.com/vivaned1/status/1686863463971246080</v>
      </c>
      <c r="AF1970" s="79">
        <v>45140.927824074075</v>
      </c>
      <c r="AG1970" s="85">
        <v>45140</v>
      </c>
      <c r="AH1970" s="80" t="s">
        <v>12370</v>
      </c>
      <c r="AI1970" s="77" t="b">
        <v>0</v>
      </c>
      <c r="AJ1970" s="77"/>
      <c r="AK1970" s="77"/>
      <c r="AL1970" s="77"/>
      <c r="AM1970" s="77"/>
      <c r="AN1970" s="77"/>
      <c r="AO1970" s="77"/>
      <c r="AP1970" s="77"/>
      <c r="AQ1970" s="77" t="s">
        <v>15056</v>
      </c>
      <c r="AR1970" s="77"/>
      <c r="AS1970" s="77"/>
      <c r="AT1970" s="77"/>
      <c r="AU1970" s="77"/>
      <c r="AV1970" s="83" t="str">
        <f>HYPERLINK("https://pbs.twimg.com/media/F2jxYaZXMAE-WY0.jpg")</f>
        <v>https://pbs.twimg.com/media/F2jxYaZXMAE-WY0.jpg</v>
      </c>
      <c r="AW1970" s="80" t="s">
        <v>17819</v>
      </c>
      <c r="AX1970" s="80" t="s">
        <v>17819</v>
      </c>
      <c r="AY1970" s="77"/>
      <c r="AZ1970" s="80" t="s">
        <v>20380</v>
      </c>
      <c r="BA1970" s="80" t="s">
        <v>20380</v>
      </c>
      <c r="BB1970" s="80" t="s">
        <v>20380</v>
      </c>
      <c r="BC1970" s="80" t="s">
        <v>17819</v>
      </c>
      <c r="BD1970" s="80" t="s">
        <v>20287</v>
      </c>
      <c r="BE1970" s="77"/>
      <c r="BF1970" s="77"/>
      <c r="BG1970" s="77"/>
      <c r="BH1970" s="77"/>
      <c r="BI1970" s="77"/>
    </row>
    <row r="1971" spans="1:61" x14ac:dyDescent="0.25">
      <c r="A1971" s="62" t="s">
        <v>838</v>
      </c>
      <c r="B1971" s="62" t="s">
        <v>838</v>
      </c>
      <c r="C1971" s="63"/>
      <c r="D1971" s="64"/>
      <c r="E1971" s="65"/>
      <c r="F1971" s="66"/>
      <c r="G1971" s="63"/>
      <c r="H1971" s="67"/>
      <c r="I1971" s="68"/>
      <c r="J1971" s="68"/>
      <c r="K1971" s="32"/>
      <c r="L1971" s="75">
        <v>1971</v>
      </c>
      <c r="M1971" s="75"/>
      <c r="N1971" s="70"/>
      <c r="O1971" s="77" t="s">
        <v>179</v>
      </c>
      <c r="P1971" s="79">
        <v>45159.798460648148</v>
      </c>
      <c r="Q1971" s="77" t="s">
        <v>3845</v>
      </c>
      <c r="R1971" s="77">
        <v>0</v>
      </c>
      <c r="S1971" s="77">
        <v>1</v>
      </c>
      <c r="T1971" s="77">
        <v>1</v>
      </c>
      <c r="U1971" s="77">
        <v>0</v>
      </c>
      <c r="V1971" s="77">
        <v>21</v>
      </c>
      <c r="W1971" s="80" t="s">
        <v>7137</v>
      </c>
      <c r="X1971" s="77"/>
      <c r="Y1971" s="77"/>
      <c r="Z1971" s="77"/>
      <c r="AA1971" s="77" t="s">
        <v>9575</v>
      </c>
      <c r="AB1971" s="77" t="s">
        <v>10535</v>
      </c>
      <c r="AC1971" s="80" t="s">
        <v>10540</v>
      </c>
      <c r="AD1971" s="77" t="s">
        <v>10617</v>
      </c>
      <c r="AE1971" s="83" t="str">
        <f>HYPERLINK("https://twitter.com/vivaned1/status/1693701950427054450")</f>
        <v>https://twitter.com/vivaned1/status/1693701950427054450</v>
      </c>
      <c r="AF1971" s="79">
        <v>45159.798460648148</v>
      </c>
      <c r="AG1971" s="85">
        <v>45159</v>
      </c>
      <c r="AH1971" s="80" t="s">
        <v>12371</v>
      </c>
      <c r="AI1971" s="77" t="b">
        <v>0</v>
      </c>
      <c r="AJ1971" s="77"/>
      <c r="AK1971" s="77"/>
      <c r="AL1971" s="77"/>
      <c r="AM1971" s="77"/>
      <c r="AN1971" s="77"/>
      <c r="AO1971" s="77"/>
      <c r="AP1971" s="77"/>
      <c r="AQ1971" s="77" t="s">
        <v>15057</v>
      </c>
      <c r="AR1971" s="77"/>
      <c r="AS1971" s="77"/>
      <c r="AT1971" s="77"/>
      <c r="AU1971" s="77"/>
      <c r="AV1971" s="83" t="str">
        <f>HYPERLINK("https://pbs.twimg.com/media/F4E88sdWwAA0NXH.jpg")</f>
        <v>https://pbs.twimg.com/media/F4E88sdWwAA0NXH.jpg</v>
      </c>
      <c r="AW1971" s="80" t="s">
        <v>17820</v>
      </c>
      <c r="AX1971" s="80" t="s">
        <v>17820</v>
      </c>
      <c r="AY1971" s="77"/>
      <c r="AZ1971" s="80" t="s">
        <v>20380</v>
      </c>
      <c r="BA1971" s="80" t="s">
        <v>20380</v>
      </c>
      <c r="BB1971" s="80" t="s">
        <v>20380</v>
      </c>
      <c r="BC1971" s="80" t="s">
        <v>17820</v>
      </c>
      <c r="BD1971" s="80" t="s">
        <v>20287</v>
      </c>
      <c r="BE1971" s="77"/>
      <c r="BF1971" s="77"/>
      <c r="BG1971" s="77"/>
      <c r="BH1971" s="77"/>
      <c r="BI1971" s="77"/>
    </row>
    <row r="1972" spans="1:61" x14ac:dyDescent="0.25">
      <c r="A1972" s="62" t="s">
        <v>838</v>
      </c>
      <c r="B1972" s="62" t="s">
        <v>838</v>
      </c>
      <c r="C1972" s="63"/>
      <c r="D1972" s="64"/>
      <c r="E1972" s="65"/>
      <c r="F1972" s="66"/>
      <c r="G1972" s="63"/>
      <c r="H1972" s="67"/>
      <c r="I1972" s="68"/>
      <c r="J1972" s="68"/>
      <c r="K1972" s="32"/>
      <c r="L1972" s="75">
        <v>1972</v>
      </c>
      <c r="M1972" s="75"/>
      <c r="N1972" s="70"/>
      <c r="O1972" s="77" t="s">
        <v>179</v>
      </c>
      <c r="P1972" s="79">
        <v>45141.636446759258</v>
      </c>
      <c r="Q1972" s="77" t="s">
        <v>3846</v>
      </c>
      <c r="R1972" s="77">
        <v>0</v>
      </c>
      <c r="S1972" s="77">
        <v>1</v>
      </c>
      <c r="T1972" s="77">
        <v>0</v>
      </c>
      <c r="U1972" s="77">
        <v>0</v>
      </c>
      <c r="V1972" s="77">
        <v>14</v>
      </c>
      <c r="W1972" s="80" t="s">
        <v>7139</v>
      </c>
      <c r="X1972" s="77"/>
      <c r="Y1972" s="77"/>
      <c r="Z1972" s="77"/>
      <c r="AA1972" s="77" t="s">
        <v>9576</v>
      </c>
      <c r="AB1972" s="77" t="s">
        <v>10535</v>
      </c>
      <c r="AC1972" s="80" t="s">
        <v>10540</v>
      </c>
      <c r="AD1972" s="77" t="s">
        <v>10617</v>
      </c>
      <c r="AE1972" s="83" t="str">
        <f>HYPERLINK("https://twitter.com/vivaned1/status/1687120260036476929")</f>
        <v>https://twitter.com/vivaned1/status/1687120260036476929</v>
      </c>
      <c r="AF1972" s="79">
        <v>45141.636446759258</v>
      </c>
      <c r="AG1972" s="85">
        <v>45141</v>
      </c>
      <c r="AH1972" s="80" t="s">
        <v>12372</v>
      </c>
      <c r="AI1972" s="77" t="b">
        <v>0</v>
      </c>
      <c r="AJ1972" s="77"/>
      <c r="AK1972" s="77"/>
      <c r="AL1972" s="77"/>
      <c r="AM1972" s="77"/>
      <c r="AN1972" s="77"/>
      <c r="AO1972" s="77"/>
      <c r="AP1972" s="77"/>
      <c r="AQ1972" s="77" t="s">
        <v>15058</v>
      </c>
      <c r="AR1972" s="77"/>
      <c r="AS1972" s="77"/>
      <c r="AT1972" s="77"/>
      <c r="AU1972" s="77"/>
      <c r="AV1972" s="83" t="str">
        <f>HYPERLINK("https://pbs.twimg.com/media/F2na729W8AACJ6S.jpg")</f>
        <v>https://pbs.twimg.com/media/F2na729W8AACJ6S.jpg</v>
      </c>
      <c r="AW1972" s="80" t="s">
        <v>17821</v>
      </c>
      <c r="AX1972" s="80" t="s">
        <v>17821</v>
      </c>
      <c r="AY1972" s="77"/>
      <c r="AZ1972" s="80" t="s">
        <v>20380</v>
      </c>
      <c r="BA1972" s="80" t="s">
        <v>20380</v>
      </c>
      <c r="BB1972" s="80" t="s">
        <v>20380</v>
      </c>
      <c r="BC1972" s="80" t="s">
        <v>17821</v>
      </c>
      <c r="BD1972" s="80" t="s">
        <v>20287</v>
      </c>
      <c r="BE1972" s="77"/>
      <c r="BF1972" s="77"/>
      <c r="BG1972" s="77"/>
      <c r="BH1972" s="77"/>
      <c r="BI1972" s="77"/>
    </row>
    <row r="1973" spans="1:61" x14ac:dyDescent="0.25">
      <c r="A1973" s="62" t="s">
        <v>838</v>
      </c>
      <c r="B1973" s="62" t="s">
        <v>838</v>
      </c>
      <c r="C1973" s="63"/>
      <c r="D1973" s="64"/>
      <c r="E1973" s="65"/>
      <c r="F1973" s="66"/>
      <c r="G1973" s="63"/>
      <c r="H1973" s="67"/>
      <c r="I1973" s="68"/>
      <c r="J1973" s="68"/>
      <c r="K1973" s="32"/>
      <c r="L1973" s="75">
        <v>1973</v>
      </c>
      <c r="M1973" s="75"/>
      <c r="N1973" s="70"/>
      <c r="O1973" s="77" t="s">
        <v>179</v>
      </c>
      <c r="P1973" s="79">
        <v>45161.546331018515</v>
      </c>
      <c r="Q1973" s="77" t="s">
        <v>3847</v>
      </c>
      <c r="R1973" s="77">
        <v>0</v>
      </c>
      <c r="S1973" s="77">
        <v>1</v>
      </c>
      <c r="T1973" s="77">
        <v>0</v>
      </c>
      <c r="U1973" s="77">
        <v>0</v>
      </c>
      <c r="V1973" s="77">
        <v>26</v>
      </c>
      <c r="W1973" s="80" t="s">
        <v>7137</v>
      </c>
      <c r="X1973" s="77"/>
      <c r="Y1973" s="77"/>
      <c r="Z1973" s="77"/>
      <c r="AA1973" s="77" t="s">
        <v>9577</v>
      </c>
      <c r="AB1973" s="77" t="s">
        <v>10535</v>
      </c>
      <c r="AC1973" s="80" t="s">
        <v>10540</v>
      </c>
      <c r="AD1973" s="77" t="s">
        <v>10617</v>
      </c>
      <c r="AE1973" s="83" t="str">
        <f>HYPERLINK("https://twitter.com/vivaned1/status/1694335359197348294")</f>
        <v>https://twitter.com/vivaned1/status/1694335359197348294</v>
      </c>
      <c r="AF1973" s="79">
        <v>45161.546331018515</v>
      </c>
      <c r="AG1973" s="85">
        <v>45161</v>
      </c>
      <c r="AH1973" s="80" t="s">
        <v>12373</v>
      </c>
      <c r="AI1973" s="77" t="b">
        <v>0</v>
      </c>
      <c r="AJ1973" s="77"/>
      <c r="AK1973" s="77"/>
      <c r="AL1973" s="77"/>
      <c r="AM1973" s="77"/>
      <c r="AN1973" s="77"/>
      <c r="AO1973" s="77"/>
      <c r="AP1973" s="77"/>
      <c r="AQ1973" s="77" t="s">
        <v>15059</v>
      </c>
      <c r="AR1973" s="77"/>
      <c r="AS1973" s="77"/>
      <c r="AT1973" s="77"/>
      <c r="AU1973" s="77"/>
      <c r="AV1973" s="83" t="str">
        <f>HYPERLINK("https://pbs.twimg.com/media/F4N9B7xWoAAdiTk.jpg")</f>
        <v>https://pbs.twimg.com/media/F4N9B7xWoAAdiTk.jpg</v>
      </c>
      <c r="AW1973" s="80" t="s">
        <v>17822</v>
      </c>
      <c r="AX1973" s="80" t="s">
        <v>17822</v>
      </c>
      <c r="AY1973" s="77"/>
      <c r="AZ1973" s="80" t="s">
        <v>20380</v>
      </c>
      <c r="BA1973" s="80" t="s">
        <v>20380</v>
      </c>
      <c r="BB1973" s="80" t="s">
        <v>20380</v>
      </c>
      <c r="BC1973" s="80" t="s">
        <v>17822</v>
      </c>
      <c r="BD1973" s="80" t="s">
        <v>20287</v>
      </c>
      <c r="BE1973" s="77"/>
      <c r="BF1973" s="77"/>
      <c r="BG1973" s="77"/>
      <c r="BH1973" s="77"/>
      <c r="BI1973" s="77"/>
    </row>
    <row r="1974" spans="1:61" x14ac:dyDescent="0.25">
      <c r="A1974" s="62" t="s">
        <v>838</v>
      </c>
      <c r="B1974" s="62" t="s">
        <v>838</v>
      </c>
      <c r="C1974" s="63"/>
      <c r="D1974" s="64"/>
      <c r="E1974" s="65"/>
      <c r="F1974" s="66"/>
      <c r="G1974" s="63"/>
      <c r="H1974" s="67"/>
      <c r="I1974" s="68"/>
      <c r="J1974" s="68"/>
      <c r="K1974" s="32"/>
      <c r="L1974" s="75">
        <v>1974</v>
      </c>
      <c r="M1974" s="75"/>
      <c r="N1974" s="70"/>
      <c r="O1974" s="77" t="s">
        <v>179</v>
      </c>
      <c r="P1974" s="79">
        <v>45131.963726851849</v>
      </c>
      <c r="Q1974" s="77" t="s">
        <v>3848</v>
      </c>
      <c r="R1974" s="77">
        <v>0</v>
      </c>
      <c r="S1974" s="77">
        <v>0</v>
      </c>
      <c r="T1974" s="77">
        <v>1</v>
      </c>
      <c r="U1974" s="77">
        <v>0</v>
      </c>
      <c r="V1974" s="77">
        <v>14</v>
      </c>
      <c r="W1974" s="80" t="s">
        <v>7140</v>
      </c>
      <c r="X1974" s="77"/>
      <c r="Y1974" s="77"/>
      <c r="Z1974" s="77"/>
      <c r="AA1974" s="77" t="s">
        <v>9578</v>
      </c>
      <c r="AB1974" s="77" t="s">
        <v>10538</v>
      </c>
      <c r="AC1974" s="80" t="s">
        <v>10540</v>
      </c>
      <c r="AD1974" s="77" t="s">
        <v>10617</v>
      </c>
      <c r="AE1974" s="83" t="str">
        <f>HYPERLINK("https://twitter.com/vivaned1/status/1683614984234758145")</f>
        <v>https://twitter.com/vivaned1/status/1683614984234758145</v>
      </c>
      <c r="AF1974" s="79">
        <v>45131.963726851849</v>
      </c>
      <c r="AG1974" s="85">
        <v>45131</v>
      </c>
      <c r="AH1974" s="80" t="s">
        <v>12374</v>
      </c>
      <c r="AI1974" s="77" t="b">
        <v>0</v>
      </c>
      <c r="AJ1974" s="77"/>
      <c r="AK1974" s="77"/>
      <c r="AL1974" s="77"/>
      <c r="AM1974" s="77"/>
      <c r="AN1974" s="77"/>
      <c r="AO1974" s="77"/>
      <c r="AP1974" s="77"/>
      <c r="AQ1974" s="77" t="s">
        <v>15060</v>
      </c>
      <c r="AR1974" s="77"/>
      <c r="AS1974" s="77"/>
      <c r="AT1974" s="77"/>
      <c r="AU1974" s="77"/>
      <c r="AV1974" s="83" t="str">
        <f>HYPERLINK("https://pbs.twimg.com/media/F11m5X-XwAAWHwF.jpg")</f>
        <v>https://pbs.twimg.com/media/F11m5X-XwAAWHwF.jpg</v>
      </c>
      <c r="AW1974" s="80" t="s">
        <v>17823</v>
      </c>
      <c r="AX1974" s="80" t="s">
        <v>17823</v>
      </c>
      <c r="AY1974" s="77"/>
      <c r="AZ1974" s="80" t="s">
        <v>20380</v>
      </c>
      <c r="BA1974" s="80" t="s">
        <v>20380</v>
      </c>
      <c r="BB1974" s="80" t="s">
        <v>20380</v>
      </c>
      <c r="BC1974" s="80" t="s">
        <v>17823</v>
      </c>
      <c r="BD1974" s="80" t="s">
        <v>20287</v>
      </c>
      <c r="BE1974" s="77"/>
      <c r="BF1974" s="77"/>
      <c r="BG1974" s="77"/>
      <c r="BH1974" s="77"/>
      <c r="BI1974" s="77"/>
    </row>
    <row r="1975" spans="1:61" x14ac:dyDescent="0.25">
      <c r="A1975" s="62" t="s">
        <v>838</v>
      </c>
      <c r="B1975" s="62" t="s">
        <v>838</v>
      </c>
      <c r="C1975" s="63"/>
      <c r="D1975" s="64"/>
      <c r="E1975" s="65"/>
      <c r="F1975" s="66"/>
      <c r="G1975" s="63"/>
      <c r="H1975" s="67"/>
      <c r="I1975" s="68"/>
      <c r="J1975" s="68"/>
      <c r="K1975" s="32"/>
      <c r="L1975" s="75">
        <v>1975</v>
      </c>
      <c r="M1975" s="75"/>
      <c r="N1975" s="70"/>
      <c r="O1975" s="77" t="s">
        <v>179</v>
      </c>
      <c r="P1975" s="79">
        <v>45188.149965277778</v>
      </c>
      <c r="Q1975" s="77" t="s">
        <v>3849</v>
      </c>
      <c r="R1975" s="77">
        <v>0</v>
      </c>
      <c r="S1975" s="77">
        <v>1</v>
      </c>
      <c r="T1975" s="77">
        <v>0</v>
      </c>
      <c r="U1975" s="77">
        <v>0</v>
      </c>
      <c r="V1975" s="77">
        <v>35</v>
      </c>
      <c r="W1975" s="80" t="s">
        <v>7141</v>
      </c>
      <c r="X1975" s="77"/>
      <c r="Y1975" s="77"/>
      <c r="Z1975" s="77"/>
      <c r="AA1975" s="77" t="s">
        <v>9579</v>
      </c>
      <c r="AB1975" s="77" t="s">
        <v>10535</v>
      </c>
      <c r="AC1975" s="80" t="s">
        <v>10540</v>
      </c>
      <c r="AD1975" s="77" t="s">
        <v>10617</v>
      </c>
      <c r="AE1975" s="83" t="str">
        <f>HYPERLINK("https://twitter.com/vivaned1/status/1703976194352271497")</f>
        <v>https://twitter.com/vivaned1/status/1703976194352271497</v>
      </c>
      <c r="AF1975" s="79">
        <v>45188.149965277778</v>
      </c>
      <c r="AG1975" s="85">
        <v>45188</v>
      </c>
      <c r="AH1975" s="80" t="s">
        <v>12375</v>
      </c>
      <c r="AI1975" s="77" t="b">
        <v>0</v>
      </c>
      <c r="AJ1975" s="77"/>
      <c r="AK1975" s="77"/>
      <c r="AL1975" s="77"/>
      <c r="AM1975" s="77"/>
      <c r="AN1975" s="77"/>
      <c r="AO1975" s="77"/>
      <c r="AP1975" s="77"/>
      <c r="AQ1975" s="77" t="s">
        <v>15061</v>
      </c>
      <c r="AR1975" s="77"/>
      <c r="AS1975" s="77"/>
      <c r="AT1975" s="77"/>
      <c r="AU1975" s="77"/>
      <c r="AV1975" s="83" t="str">
        <f>HYPERLINK("https://pbs.twimg.com/media/F6W9UJTWMAAVeYB.jpg")</f>
        <v>https://pbs.twimg.com/media/F6W9UJTWMAAVeYB.jpg</v>
      </c>
      <c r="AW1975" s="80" t="s">
        <v>17824</v>
      </c>
      <c r="AX1975" s="80" t="s">
        <v>17824</v>
      </c>
      <c r="AY1975" s="77"/>
      <c r="AZ1975" s="80" t="s">
        <v>20380</v>
      </c>
      <c r="BA1975" s="80" t="s">
        <v>20380</v>
      </c>
      <c r="BB1975" s="80" t="s">
        <v>20380</v>
      </c>
      <c r="BC1975" s="80" t="s">
        <v>17824</v>
      </c>
      <c r="BD1975" s="80" t="s">
        <v>20287</v>
      </c>
      <c r="BE1975" s="77"/>
      <c r="BF1975" s="77"/>
      <c r="BG1975" s="77"/>
      <c r="BH1975" s="77"/>
      <c r="BI1975" s="77"/>
    </row>
    <row r="1976" spans="1:61" x14ac:dyDescent="0.25">
      <c r="A1976" s="62" t="s">
        <v>838</v>
      </c>
      <c r="B1976" s="62" t="s">
        <v>838</v>
      </c>
      <c r="C1976" s="63"/>
      <c r="D1976" s="64"/>
      <c r="E1976" s="65"/>
      <c r="F1976" s="66"/>
      <c r="G1976" s="63"/>
      <c r="H1976" s="67"/>
      <c r="I1976" s="68"/>
      <c r="J1976" s="68"/>
      <c r="K1976" s="32"/>
      <c r="L1976" s="75">
        <v>1976</v>
      </c>
      <c r="M1976" s="75"/>
      <c r="N1976" s="70"/>
      <c r="O1976" s="77" t="s">
        <v>179</v>
      </c>
      <c r="P1976" s="79">
        <v>45173.793263888889</v>
      </c>
      <c r="Q1976" s="77" t="s">
        <v>3850</v>
      </c>
      <c r="R1976" s="77">
        <v>0</v>
      </c>
      <c r="S1976" s="77">
        <v>0</v>
      </c>
      <c r="T1976" s="77">
        <v>1</v>
      </c>
      <c r="U1976" s="77">
        <v>0</v>
      </c>
      <c r="V1976" s="77">
        <v>15</v>
      </c>
      <c r="W1976" s="80" t="s">
        <v>7142</v>
      </c>
      <c r="X1976" s="77"/>
      <c r="Y1976" s="77"/>
      <c r="Z1976" s="77"/>
      <c r="AA1976" s="77" t="s">
        <v>9580</v>
      </c>
      <c r="AB1976" s="77" t="s">
        <v>10535</v>
      </c>
      <c r="AC1976" s="80" t="s">
        <v>10540</v>
      </c>
      <c r="AD1976" s="77" t="s">
        <v>10617</v>
      </c>
      <c r="AE1976" s="83" t="str">
        <f>HYPERLINK("https://twitter.com/vivaned1/status/1698773499140034932")</f>
        <v>https://twitter.com/vivaned1/status/1698773499140034932</v>
      </c>
      <c r="AF1976" s="79">
        <v>45173.793263888889</v>
      </c>
      <c r="AG1976" s="85">
        <v>45173</v>
      </c>
      <c r="AH1976" s="80" t="s">
        <v>12376</v>
      </c>
      <c r="AI1976" s="77" t="b">
        <v>0</v>
      </c>
      <c r="AJ1976" s="77"/>
      <c r="AK1976" s="77"/>
      <c r="AL1976" s="77"/>
      <c r="AM1976" s="77"/>
      <c r="AN1976" s="77"/>
      <c r="AO1976" s="77"/>
      <c r="AP1976" s="77"/>
      <c r="AQ1976" s="77" t="s">
        <v>15062</v>
      </c>
      <c r="AR1976" s="77"/>
      <c r="AS1976" s="77"/>
      <c r="AT1976" s="77"/>
      <c r="AU1976" s="77"/>
      <c r="AV1976" s="83" t="str">
        <f>HYPERLINK("https://pbs.twimg.com/media/F5NBfq3WIAALIaL.jpg")</f>
        <v>https://pbs.twimg.com/media/F5NBfq3WIAALIaL.jpg</v>
      </c>
      <c r="AW1976" s="80" t="s">
        <v>17825</v>
      </c>
      <c r="AX1976" s="80" t="s">
        <v>17825</v>
      </c>
      <c r="AY1976" s="77"/>
      <c r="AZ1976" s="80" t="s">
        <v>20380</v>
      </c>
      <c r="BA1976" s="80" t="s">
        <v>20380</v>
      </c>
      <c r="BB1976" s="80" t="s">
        <v>20380</v>
      </c>
      <c r="BC1976" s="80" t="s">
        <v>17825</v>
      </c>
      <c r="BD1976" s="80" t="s">
        <v>20287</v>
      </c>
      <c r="BE1976" s="77"/>
      <c r="BF1976" s="77"/>
      <c r="BG1976" s="77"/>
      <c r="BH1976" s="77"/>
      <c r="BI1976" s="77"/>
    </row>
    <row r="1977" spans="1:61" x14ac:dyDescent="0.25">
      <c r="A1977" s="62" t="s">
        <v>838</v>
      </c>
      <c r="B1977" s="62" t="s">
        <v>838</v>
      </c>
      <c r="C1977" s="63"/>
      <c r="D1977" s="64"/>
      <c r="E1977" s="65"/>
      <c r="F1977" s="66"/>
      <c r="G1977" s="63"/>
      <c r="H1977" s="67"/>
      <c r="I1977" s="68"/>
      <c r="J1977" s="68"/>
      <c r="K1977" s="32"/>
      <c r="L1977" s="75">
        <v>1977</v>
      </c>
      <c r="M1977" s="75"/>
      <c r="N1977" s="70"/>
      <c r="O1977" s="77" t="s">
        <v>179</v>
      </c>
      <c r="P1977" s="79">
        <v>45187.137766203705</v>
      </c>
      <c r="Q1977" s="77" t="s">
        <v>3851</v>
      </c>
      <c r="R1977" s="77">
        <v>0</v>
      </c>
      <c r="S1977" s="77">
        <v>1</v>
      </c>
      <c r="T1977" s="77">
        <v>0</v>
      </c>
      <c r="U1977" s="77">
        <v>0</v>
      </c>
      <c r="V1977" s="77">
        <v>28</v>
      </c>
      <c r="W1977" s="80" t="s">
        <v>7142</v>
      </c>
      <c r="X1977" s="77"/>
      <c r="Y1977" s="77"/>
      <c r="Z1977" s="77"/>
      <c r="AA1977" s="77" t="s">
        <v>9581</v>
      </c>
      <c r="AB1977" s="77" t="s">
        <v>10535</v>
      </c>
      <c r="AC1977" s="80" t="s">
        <v>10540</v>
      </c>
      <c r="AD1977" s="77" t="s">
        <v>10617</v>
      </c>
      <c r="AE1977" s="83" t="str">
        <f>HYPERLINK("https://twitter.com/vivaned1/status/1703609383341416661")</f>
        <v>https://twitter.com/vivaned1/status/1703609383341416661</v>
      </c>
      <c r="AF1977" s="79">
        <v>45187.137766203705</v>
      </c>
      <c r="AG1977" s="85">
        <v>45187</v>
      </c>
      <c r="AH1977" s="80" t="s">
        <v>12377</v>
      </c>
      <c r="AI1977" s="77" t="b">
        <v>0</v>
      </c>
      <c r="AJ1977" s="77"/>
      <c r="AK1977" s="77"/>
      <c r="AL1977" s="77"/>
      <c r="AM1977" s="77"/>
      <c r="AN1977" s="77"/>
      <c r="AO1977" s="77"/>
      <c r="AP1977" s="77"/>
      <c r="AQ1977" s="77" t="s">
        <v>15063</v>
      </c>
      <c r="AR1977" s="77"/>
      <c r="AS1977" s="77"/>
      <c r="AT1977" s="77"/>
      <c r="AU1977" s="77"/>
      <c r="AV1977" s="83" t="str">
        <f>HYPERLINK("https://pbs.twimg.com/media/F6RvtJGWsAA74bH.jpg")</f>
        <v>https://pbs.twimg.com/media/F6RvtJGWsAA74bH.jpg</v>
      </c>
      <c r="AW1977" s="80" t="s">
        <v>17826</v>
      </c>
      <c r="AX1977" s="80" t="s">
        <v>17826</v>
      </c>
      <c r="AY1977" s="77"/>
      <c r="AZ1977" s="80" t="s">
        <v>20380</v>
      </c>
      <c r="BA1977" s="80" t="s">
        <v>20380</v>
      </c>
      <c r="BB1977" s="80" t="s">
        <v>20380</v>
      </c>
      <c r="BC1977" s="80" t="s">
        <v>17826</v>
      </c>
      <c r="BD1977" s="80" t="s">
        <v>20287</v>
      </c>
      <c r="BE1977" s="77"/>
      <c r="BF1977" s="77"/>
      <c r="BG1977" s="77"/>
      <c r="BH1977" s="77"/>
      <c r="BI1977" s="77"/>
    </row>
    <row r="1978" spans="1:61" x14ac:dyDescent="0.25">
      <c r="A1978" s="62" t="s">
        <v>838</v>
      </c>
      <c r="B1978" s="62" t="s">
        <v>838</v>
      </c>
      <c r="C1978" s="63"/>
      <c r="D1978" s="64"/>
      <c r="E1978" s="65"/>
      <c r="F1978" s="66"/>
      <c r="G1978" s="63"/>
      <c r="H1978" s="67"/>
      <c r="I1978" s="68"/>
      <c r="J1978" s="68"/>
      <c r="K1978" s="32"/>
      <c r="L1978" s="75">
        <v>1978</v>
      </c>
      <c r="M1978" s="75"/>
      <c r="N1978" s="70"/>
      <c r="O1978" s="77" t="s">
        <v>179</v>
      </c>
      <c r="P1978" s="79">
        <v>45169.513749999998</v>
      </c>
      <c r="Q1978" s="77" t="s">
        <v>3852</v>
      </c>
      <c r="R1978" s="77">
        <v>2</v>
      </c>
      <c r="S1978" s="77">
        <v>1</v>
      </c>
      <c r="T1978" s="77">
        <v>0</v>
      </c>
      <c r="U1978" s="77">
        <v>0</v>
      </c>
      <c r="V1978" s="77">
        <v>37</v>
      </c>
      <c r="W1978" s="80" t="s">
        <v>7136</v>
      </c>
      <c r="X1978" s="77"/>
      <c r="Y1978" s="77"/>
      <c r="Z1978" s="77"/>
      <c r="AA1978" s="77" t="s">
        <v>9582</v>
      </c>
      <c r="AB1978" s="77" t="s">
        <v>10535</v>
      </c>
      <c r="AC1978" s="80" t="s">
        <v>10540</v>
      </c>
      <c r="AD1978" s="77" t="s">
        <v>10617</v>
      </c>
      <c r="AE1978" s="83" t="str">
        <f>HYPERLINK("https://twitter.com/vivaned1/status/1697222654783033785")</f>
        <v>https://twitter.com/vivaned1/status/1697222654783033785</v>
      </c>
      <c r="AF1978" s="79">
        <v>45169.513749999998</v>
      </c>
      <c r="AG1978" s="85">
        <v>45169</v>
      </c>
      <c r="AH1978" s="80" t="s">
        <v>12378</v>
      </c>
      <c r="AI1978" s="77" t="b">
        <v>0</v>
      </c>
      <c r="AJ1978" s="77"/>
      <c r="AK1978" s="77"/>
      <c r="AL1978" s="77"/>
      <c r="AM1978" s="77"/>
      <c r="AN1978" s="77"/>
      <c r="AO1978" s="77"/>
      <c r="AP1978" s="77"/>
      <c r="AQ1978" s="77" t="s">
        <v>15064</v>
      </c>
      <c r="AR1978" s="77"/>
      <c r="AS1978" s="77"/>
      <c r="AT1978" s="77"/>
      <c r="AU1978" s="77"/>
      <c r="AV1978" s="83" t="str">
        <f>HYPERLINK("https://pbs.twimg.com/media/F42_ArXWsAAcEDe.jpg")</f>
        <v>https://pbs.twimg.com/media/F42_ArXWsAAcEDe.jpg</v>
      </c>
      <c r="AW1978" s="80" t="s">
        <v>17827</v>
      </c>
      <c r="AX1978" s="80" t="s">
        <v>17827</v>
      </c>
      <c r="AY1978" s="77"/>
      <c r="AZ1978" s="80" t="s">
        <v>20380</v>
      </c>
      <c r="BA1978" s="80" t="s">
        <v>20380</v>
      </c>
      <c r="BB1978" s="80" t="s">
        <v>20380</v>
      </c>
      <c r="BC1978" s="80" t="s">
        <v>17827</v>
      </c>
      <c r="BD1978" s="80" t="s">
        <v>20287</v>
      </c>
      <c r="BE1978" s="77"/>
      <c r="BF1978" s="77"/>
      <c r="BG1978" s="77"/>
      <c r="BH1978" s="77"/>
      <c r="BI1978" s="77"/>
    </row>
    <row r="1979" spans="1:61" x14ac:dyDescent="0.25">
      <c r="A1979" s="62" t="s">
        <v>838</v>
      </c>
      <c r="B1979" s="62" t="s">
        <v>838</v>
      </c>
      <c r="C1979" s="63"/>
      <c r="D1979" s="64"/>
      <c r="E1979" s="65"/>
      <c r="F1979" s="66"/>
      <c r="G1979" s="63"/>
      <c r="H1979" s="67"/>
      <c r="I1979" s="68"/>
      <c r="J1979" s="68"/>
      <c r="K1979" s="32"/>
      <c r="L1979" s="75">
        <v>1979</v>
      </c>
      <c r="M1979" s="75"/>
      <c r="N1979" s="70"/>
      <c r="O1979" s="77" t="s">
        <v>179</v>
      </c>
      <c r="P1979" s="79">
        <v>45167.935659722221</v>
      </c>
      <c r="Q1979" s="77" t="s">
        <v>3853</v>
      </c>
      <c r="R1979" s="77">
        <v>1</v>
      </c>
      <c r="S1979" s="77">
        <v>1</v>
      </c>
      <c r="T1979" s="77">
        <v>0</v>
      </c>
      <c r="U1979" s="77">
        <v>0</v>
      </c>
      <c r="V1979" s="77">
        <v>84</v>
      </c>
      <c r="W1979" s="80" t="s">
        <v>7136</v>
      </c>
      <c r="X1979" s="77"/>
      <c r="Y1979" s="77"/>
      <c r="Z1979" s="77"/>
      <c r="AA1979" s="77" t="s">
        <v>9583</v>
      </c>
      <c r="AB1979" s="77" t="s">
        <v>10535</v>
      </c>
      <c r="AC1979" s="80" t="s">
        <v>10540</v>
      </c>
      <c r="AD1979" s="77" t="s">
        <v>10617</v>
      </c>
      <c r="AE1979" s="83" t="str">
        <f>HYPERLINK("https://twitter.com/vivaned1/status/1696650775655559320")</f>
        <v>https://twitter.com/vivaned1/status/1696650775655559320</v>
      </c>
      <c r="AF1979" s="79">
        <v>45167.935659722221</v>
      </c>
      <c r="AG1979" s="85">
        <v>45167</v>
      </c>
      <c r="AH1979" s="80" t="s">
        <v>12379</v>
      </c>
      <c r="AI1979" s="77" t="b">
        <v>0</v>
      </c>
      <c r="AJ1979" s="77"/>
      <c r="AK1979" s="77"/>
      <c r="AL1979" s="77"/>
      <c r="AM1979" s="77"/>
      <c r="AN1979" s="77"/>
      <c r="AO1979" s="77"/>
      <c r="AP1979" s="77"/>
      <c r="AQ1979" s="77" t="s">
        <v>15065</v>
      </c>
      <c r="AR1979" s="77"/>
      <c r="AS1979" s="77"/>
      <c r="AT1979" s="77"/>
      <c r="AU1979" s="77"/>
      <c r="AV1979" s="83" t="str">
        <f>HYPERLINK("https://pbs.twimg.com/media/F4u247kXEAMN9jI.jpg")</f>
        <v>https://pbs.twimg.com/media/F4u247kXEAMN9jI.jpg</v>
      </c>
      <c r="AW1979" s="80" t="s">
        <v>17828</v>
      </c>
      <c r="AX1979" s="80" t="s">
        <v>17828</v>
      </c>
      <c r="AY1979" s="77"/>
      <c r="AZ1979" s="80" t="s">
        <v>20380</v>
      </c>
      <c r="BA1979" s="80" t="s">
        <v>20380</v>
      </c>
      <c r="BB1979" s="80" t="s">
        <v>20380</v>
      </c>
      <c r="BC1979" s="80" t="s">
        <v>17828</v>
      </c>
      <c r="BD1979" s="80" t="s">
        <v>20287</v>
      </c>
      <c r="BE1979" s="77"/>
      <c r="BF1979" s="77"/>
      <c r="BG1979" s="77"/>
      <c r="BH1979" s="77"/>
      <c r="BI1979" s="77"/>
    </row>
    <row r="1980" spans="1:61" x14ac:dyDescent="0.25">
      <c r="A1980" s="62" t="s">
        <v>838</v>
      </c>
      <c r="B1980" s="62" t="s">
        <v>838</v>
      </c>
      <c r="C1980" s="63"/>
      <c r="D1980" s="64"/>
      <c r="E1980" s="65"/>
      <c r="F1980" s="66"/>
      <c r="G1980" s="63"/>
      <c r="H1980" s="67"/>
      <c r="I1980" s="68"/>
      <c r="J1980" s="68"/>
      <c r="K1980" s="32"/>
      <c r="L1980" s="75">
        <v>1980</v>
      </c>
      <c r="M1980" s="75"/>
      <c r="N1980" s="70"/>
      <c r="O1980" s="77" t="s">
        <v>179</v>
      </c>
      <c r="P1980" s="79">
        <v>45153.984930555554</v>
      </c>
      <c r="Q1980" s="77" t="s">
        <v>3854</v>
      </c>
      <c r="R1980" s="77">
        <v>0</v>
      </c>
      <c r="S1980" s="77">
        <v>0</v>
      </c>
      <c r="T1980" s="77">
        <v>0</v>
      </c>
      <c r="U1980" s="77">
        <v>0</v>
      </c>
      <c r="V1980" s="77">
        <v>24</v>
      </c>
      <c r="W1980" s="80" t="s">
        <v>7136</v>
      </c>
      <c r="X1980" s="77"/>
      <c r="Y1980" s="77"/>
      <c r="Z1980" s="77"/>
      <c r="AA1980" s="77" t="s">
        <v>9584</v>
      </c>
      <c r="AB1980" s="77" t="s">
        <v>10535</v>
      </c>
      <c r="AC1980" s="80" t="s">
        <v>10540</v>
      </c>
      <c r="AD1980" s="77" t="s">
        <v>10617</v>
      </c>
      <c r="AE1980" s="83" t="str">
        <f>HYPERLINK("https://twitter.com/vivaned1/status/1691595201435906391")</f>
        <v>https://twitter.com/vivaned1/status/1691595201435906391</v>
      </c>
      <c r="AF1980" s="79">
        <v>45153.984930555554</v>
      </c>
      <c r="AG1980" s="85">
        <v>45153</v>
      </c>
      <c r="AH1980" s="80" t="s">
        <v>12380</v>
      </c>
      <c r="AI1980" s="77" t="b">
        <v>0</v>
      </c>
      <c r="AJ1980" s="77"/>
      <c r="AK1980" s="77"/>
      <c r="AL1980" s="77"/>
      <c r="AM1980" s="77"/>
      <c r="AN1980" s="77"/>
      <c r="AO1980" s="77"/>
      <c r="AP1980" s="77"/>
      <c r="AQ1980" s="77" t="s">
        <v>15066</v>
      </c>
      <c r="AR1980" s="77"/>
      <c r="AS1980" s="77"/>
      <c r="AT1980" s="77"/>
      <c r="AU1980" s="77"/>
      <c r="AV1980" s="83" t="str">
        <f>HYPERLINK("https://pbs.twimg.com/media/F3nA3wsXAAAOvBj.jpg")</f>
        <v>https://pbs.twimg.com/media/F3nA3wsXAAAOvBj.jpg</v>
      </c>
      <c r="AW1980" s="80" t="s">
        <v>17829</v>
      </c>
      <c r="AX1980" s="80" t="s">
        <v>17829</v>
      </c>
      <c r="AY1980" s="77"/>
      <c r="AZ1980" s="80" t="s">
        <v>20380</v>
      </c>
      <c r="BA1980" s="80" t="s">
        <v>20380</v>
      </c>
      <c r="BB1980" s="80" t="s">
        <v>20380</v>
      </c>
      <c r="BC1980" s="80" t="s">
        <v>17829</v>
      </c>
      <c r="BD1980" s="80" t="s">
        <v>20287</v>
      </c>
      <c r="BE1980" s="77"/>
      <c r="BF1980" s="77"/>
      <c r="BG1980" s="77"/>
      <c r="BH1980" s="77"/>
      <c r="BI1980" s="77"/>
    </row>
    <row r="1981" spans="1:61" x14ac:dyDescent="0.25">
      <c r="A1981" s="62" t="s">
        <v>838</v>
      </c>
      <c r="B1981" s="62" t="s">
        <v>838</v>
      </c>
      <c r="C1981" s="63"/>
      <c r="D1981" s="64"/>
      <c r="E1981" s="65"/>
      <c r="F1981" s="66"/>
      <c r="G1981" s="63"/>
      <c r="H1981" s="67"/>
      <c r="I1981" s="68"/>
      <c r="J1981" s="68"/>
      <c r="K1981" s="32"/>
      <c r="L1981" s="75">
        <v>1981</v>
      </c>
      <c r="M1981" s="75"/>
      <c r="N1981" s="70"/>
      <c r="O1981" s="77" t="s">
        <v>179</v>
      </c>
      <c r="P1981" s="79">
        <v>45147.107731481483</v>
      </c>
      <c r="Q1981" s="77" t="s">
        <v>3855</v>
      </c>
      <c r="R1981" s="77">
        <v>0</v>
      </c>
      <c r="S1981" s="77">
        <v>0</v>
      </c>
      <c r="T1981" s="77">
        <v>0</v>
      </c>
      <c r="U1981" s="77">
        <v>0</v>
      </c>
      <c r="V1981" s="77">
        <v>18</v>
      </c>
      <c r="W1981" s="80" t="s">
        <v>7136</v>
      </c>
      <c r="X1981" s="77"/>
      <c r="Y1981" s="77"/>
      <c r="Z1981" s="77"/>
      <c r="AA1981" s="77" t="s">
        <v>9585</v>
      </c>
      <c r="AB1981" s="77" t="s">
        <v>10535</v>
      </c>
      <c r="AC1981" s="80" t="s">
        <v>10540</v>
      </c>
      <c r="AD1981" s="77" t="s">
        <v>10617</v>
      </c>
      <c r="AE1981" s="83" t="str">
        <f>HYPERLINK("https://twitter.com/vivaned1/status/1689102986025271296")</f>
        <v>https://twitter.com/vivaned1/status/1689102986025271296</v>
      </c>
      <c r="AF1981" s="79">
        <v>45147.107731481483</v>
      </c>
      <c r="AG1981" s="85">
        <v>45147</v>
      </c>
      <c r="AH1981" s="80" t="s">
        <v>12381</v>
      </c>
      <c r="AI1981" s="77" t="b">
        <v>0</v>
      </c>
      <c r="AJ1981" s="77"/>
      <c r="AK1981" s="77"/>
      <c r="AL1981" s="77"/>
      <c r="AM1981" s="77"/>
      <c r="AN1981" s="77"/>
      <c r="AO1981" s="77"/>
      <c r="AP1981" s="77"/>
      <c r="AQ1981" s="77" t="s">
        <v>15067</v>
      </c>
      <c r="AR1981" s="77"/>
      <c r="AS1981" s="77"/>
      <c r="AT1981" s="77"/>
      <c r="AU1981" s="77"/>
      <c r="AV1981" s="83" t="str">
        <f>HYPERLINK("https://pbs.twimg.com/media/F3DmNvFW8AA9cib.jpg")</f>
        <v>https://pbs.twimg.com/media/F3DmNvFW8AA9cib.jpg</v>
      </c>
      <c r="AW1981" s="80" t="s">
        <v>17830</v>
      </c>
      <c r="AX1981" s="80" t="s">
        <v>17830</v>
      </c>
      <c r="AY1981" s="77"/>
      <c r="AZ1981" s="80" t="s">
        <v>20380</v>
      </c>
      <c r="BA1981" s="80" t="s">
        <v>20380</v>
      </c>
      <c r="BB1981" s="80" t="s">
        <v>20380</v>
      </c>
      <c r="BC1981" s="80" t="s">
        <v>17830</v>
      </c>
      <c r="BD1981" s="80" t="s">
        <v>20287</v>
      </c>
      <c r="BE1981" s="77"/>
      <c r="BF1981" s="77"/>
      <c r="BG1981" s="77"/>
      <c r="BH1981" s="77"/>
      <c r="BI1981" s="77"/>
    </row>
    <row r="1982" spans="1:61" x14ac:dyDescent="0.25">
      <c r="A1982" s="62" t="s">
        <v>839</v>
      </c>
      <c r="B1982" s="62" t="s">
        <v>839</v>
      </c>
      <c r="C1982" s="63"/>
      <c r="D1982" s="64"/>
      <c r="E1982" s="65"/>
      <c r="F1982" s="66"/>
      <c r="G1982" s="63"/>
      <c r="H1982" s="67"/>
      <c r="I1982" s="68"/>
      <c r="J1982" s="68"/>
      <c r="K1982" s="32"/>
      <c r="L1982" s="75">
        <v>1982</v>
      </c>
      <c r="M1982" s="75"/>
      <c r="N1982" s="70"/>
      <c r="O1982" s="77" t="s">
        <v>179</v>
      </c>
      <c r="P1982" s="79">
        <v>45141.631574074076</v>
      </c>
      <c r="Q1982" s="77" t="s">
        <v>3856</v>
      </c>
      <c r="R1982" s="77">
        <v>0</v>
      </c>
      <c r="S1982" s="77">
        <v>1</v>
      </c>
      <c r="T1982" s="77">
        <v>0</v>
      </c>
      <c r="U1982" s="77">
        <v>0</v>
      </c>
      <c r="V1982" s="77">
        <v>38</v>
      </c>
      <c r="W1982" s="80" t="s">
        <v>6642</v>
      </c>
      <c r="X1982" s="77"/>
      <c r="Y1982" s="77"/>
      <c r="Z1982" s="77"/>
      <c r="AA1982" s="77" t="s">
        <v>9586</v>
      </c>
      <c r="AB1982" s="77" t="s">
        <v>10535</v>
      </c>
      <c r="AC1982" s="80" t="s">
        <v>10541</v>
      </c>
      <c r="AD1982" s="77" t="s">
        <v>10617</v>
      </c>
      <c r="AE1982" s="83" t="str">
        <f>HYPERLINK("https://twitter.com/alessandroguede/status/1687118494175764481")</f>
        <v>https://twitter.com/alessandroguede/status/1687118494175764481</v>
      </c>
      <c r="AF1982" s="79">
        <v>45141.631574074076</v>
      </c>
      <c r="AG1982" s="85">
        <v>45141</v>
      </c>
      <c r="AH1982" s="80" t="s">
        <v>12382</v>
      </c>
      <c r="AI1982" s="77" t="b">
        <v>0</v>
      </c>
      <c r="AJ1982" s="77" t="s">
        <v>14341</v>
      </c>
      <c r="AK1982" s="77" t="s">
        <v>14382</v>
      </c>
      <c r="AL1982" s="77" t="s">
        <v>14391</v>
      </c>
      <c r="AM1982" s="77" t="s">
        <v>14400</v>
      </c>
      <c r="AN1982" s="77" t="s">
        <v>14438</v>
      </c>
      <c r="AO1982" s="77" t="s">
        <v>14479</v>
      </c>
      <c r="AP1982" s="77" t="s">
        <v>14516</v>
      </c>
      <c r="AQ1982" s="77" t="s">
        <v>15068</v>
      </c>
      <c r="AR1982" s="77"/>
      <c r="AS1982" s="77"/>
      <c r="AT1982" s="77"/>
      <c r="AU1982" s="77"/>
      <c r="AV1982" s="83" t="str">
        <f>HYPERLINK("https://pbs.twimg.com/media/F2nQr6VaUAMieJm.jpg")</f>
        <v>https://pbs.twimg.com/media/F2nQr6VaUAMieJm.jpg</v>
      </c>
      <c r="AW1982" s="80" t="s">
        <v>17831</v>
      </c>
      <c r="AX1982" s="80" t="s">
        <v>17831</v>
      </c>
      <c r="AY1982" s="77"/>
      <c r="AZ1982" s="80" t="s">
        <v>20380</v>
      </c>
      <c r="BA1982" s="80" t="s">
        <v>20380</v>
      </c>
      <c r="BB1982" s="80" t="s">
        <v>20380</v>
      </c>
      <c r="BC1982" s="80" t="s">
        <v>17831</v>
      </c>
      <c r="BD1982" s="77">
        <v>59211864</v>
      </c>
      <c r="BE1982" s="77"/>
      <c r="BF1982" s="77"/>
      <c r="BG1982" s="77"/>
      <c r="BH1982" s="77"/>
      <c r="BI1982" s="77"/>
    </row>
    <row r="1983" spans="1:61" x14ac:dyDescent="0.25">
      <c r="A1983" s="62" t="s">
        <v>561</v>
      </c>
      <c r="B1983" s="62" t="s">
        <v>1893</v>
      </c>
      <c r="C1983" s="63"/>
      <c r="D1983" s="64"/>
      <c r="E1983" s="65"/>
      <c r="F1983" s="66"/>
      <c r="G1983" s="63"/>
      <c r="H1983" s="67"/>
      <c r="I1983" s="68"/>
      <c r="J1983" s="68"/>
      <c r="K1983" s="32"/>
      <c r="L1983" s="75">
        <v>1983</v>
      </c>
      <c r="M1983" s="75"/>
      <c r="N1983" s="70"/>
      <c r="O1983" s="77" t="s">
        <v>2081</v>
      </c>
      <c r="P1983" s="79">
        <v>45196.816516203704</v>
      </c>
      <c r="Q1983" s="77" t="s">
        <v>3857</v>
      </c>
      <c r="R1983" s="77">
        <v>2</v>
      </c>
      <c r="S1983" s="77">
        <v>0</v>
      </c>
      <c r="T1983" s="77">
        <v>0</v>
      </c>
      <c r="U1983" s="77">
        <v>0</v>
      </c>
      <c r="V1983" s="77">
        <v>1126</v>
      </c>
      <c r="W1983" s="80" t="s">
        <v>7143</v>
      </c>
      <c r="X1983" s="83" t="str">
        <f>HYPERLINK("https://cbn.globoradio.globo.com/media/audio/420803/com-encontro-entre-lula-e-campos-neto-haddad-busca.htm")</f>
        <v>https://cbn.globoradio.globo.com/media/audio/420803/com-encontro-entre-lula-e-campos-neto-haddad-busca.htm</v>
      </c>
      <c r="Y1983" s="77" t="s">
        <v>8686</v>
      </c>
      <c r="Z1983" s="77" t="s">
        <v>1893</v>
      </c>
      <c r="AA1983" s="77"/>
      <c r="AB1983" s="77"/>
      <c r="AC1983" s="80" t="s">
        <v>10541</v>
      </c>
      <c r="AD1983" s="77" t="s">
        <v>10617</v>
      </c>
      <c r="AE1983" s="83" t="str">
        <f>HYPERLINK("https://twitter.com/cbnoficial/status/1707116844610437290")</f>
        <v>https://twitter.com/cbnoficial/status/1707116844610437290</v>
      </c>
      <c r="AF1983" s="79">
        <v>45196.816516203704</v>
      </c>
      <c r="AG1983" s="85">
        <v>45196</v>
      </c>
      <c r="AH1983" s="80" t="s">
        <v>12383</v>
      </c>
      <c r="AI1983" s="77" t="b">
        <v>0</v>
      </c>
      <c r="AJ1983" s="77"/>
      <c r="AK1983" s="77"/>
      <c r="AL1983" s="77"/>
      <c r="AM1983" s="77"/>
      <c r="AN1983" s="77"/>
      <c r="AO1983" s="77"/>
      <c r="AP1983" s="77"/>
      <c r="AQ1983" s="77"/>
      <c r="AR1983" s="77"/>
      <c r="AS1983" s="77"/>
      <c r="AT1983" s="77"/>
      <c r="AU1983" s="77"/>
      <c r="AV1983" s="83" t="str">
        <f>HYPERLINK("https://pbs.twimg.com/profile_images/1490726030239219715/NsSY2E9c_normal.jpg")</f>
        <v>https://pbs.twimg.com/profile_images/1490726030239219715/NsSY2E9c_normal.jpg</v>
      </c>
      <c r="AW1983" s="80" t="s">
        <v>17832</v>
      </c>
      <c r="AX1983" s="80" t="s">
        <v>17832</v>
      </c>
      <c r="AY1983" s="77"/>
      <c r="AZ1983" s="80" t="s">
        <v>20380</v>
      </c>
      <c r="BA1983" s="80" t="s">
        <v>20380</v>
      </c>
      <c r="BB1983" s="80" t="s">
        <v>20380</v>
      </c>
      <c r="BC1983" s="80" t="s">
        <v>17832</v>
      </c>
      <c r="BD1983" s="77">
        <v>785833176</v>
      </c>
      <c r="BE1983" s="77"/>
      <c r="BF1983" s="77"/>
      <c r="BG1983" s="77"/>
      <c r="BH1983" s="77"/>
      <c r="BI1983" s="77"/>
    </row>
    <row r="1984" spans="1:61" x14ac:dyDescent="0.25">
      <c r="A1984" s="62" t="s">
        <v>840</v>
      </c>
      <c r="B1984" s="62" t="s">
        <v>1893</v>
      </c>
      <c r="C1984" s="63"/>
      <c r="D1984" s="64"/>
      <c r="E1984" s="65"/>
      <c r="F1984" s="66"/>
      <c r="G1984" s="63"/>
      <c r="H1984" s="67"/>
      <c r="I1984" s="68"/>
      <c r="J1984" s="68"/>
      <c r="K1984" s="32"/>
      <c r="L1984" s="75">
        <v>1984</v>
      </c>
      <c r="M1984" s="75"/>
      <c r="N1984" s="70"/>
      <c r="O1984" s="77" t="s">
        <v>2085</v>
      </c>
      <c r="P1984" s="79">
        <v>45196.817986111113</v>
      </c>
      <c r="Q1984" s="77" t="s">
        <v>3858</v>
      </c>
      <c r="R1984" s="77">
        <v>2</v>
      </c>
      <c r="S1984" s="77">
        <v>0</v>
      </c>
      <c r="T1984" s="77">
        <v>0</v>
      </c>
      <c r="U1984" s="77">
        <v>0</v>
      </c>
      <c r="V1984" s="77"/>
      <c r="W1984" s="77"/>
      <c r="X1984" s="77"/>
      <c r="Y1984" s="77"/>
      <c r="Z1984" s="77" t="s">
        <v>8965</v>
      </c>
      <c r="AA1984" s="77"/>
      <c r="AB1984" s="77"/>
      <c r="AC1984" s="80" t="s">
        <v>10540</v>
      </c>
      <c r="AD1984" s="77" t="s">
        <v>10617</v>
      </c>
      <c r="AE1984" s="83" t="str">
        <f>HYPERLINK("https://twitter.com/pguerreiro97/status/1707117380034253005")</f>
        <v>https://twitter.com/pguerreiro97/status/1707117380034253005</v>
      </c>
      <c r="AF1984" s="79">
        <v>45196.817986111113</v>
      </c>
      <c r="AG1984" s="85">
        <v>45196</v>
      </c>
      <c r="AH1984" s="80" t="s">
        <v>12384</v>
      </c>
      <c r="AI1984" s="77" t="b">
        <v>0</v>
      </c>
      <c r="AJ1984" s="77"/>
      <c r="AK1984" s="77"/>
      <c r="AL1984" s="77"/>
      <c r="AM1984" s="77"/>
      <c r="AN1984" s="77"/>
      <c r="AO1984" s="77"/>
      <c r="AP1984" s="77"/>
      <c r="AQ1984" s="77"/>
      <c r="AR1984" s="77"/>
      <c r="AS1984" s="77"/>
      <c r="AT1984" s="77"/>
      <c r="AU1984" s="77"/>
      <c r="AV1984" s="83" t="str">
        <f>HYPERLINK("https://pbs.twimg.com/profile_images/1653250790771810307/Bp92l1QI_normal.jpg")</f>
        <v>https://pbs.twimg.com/profile_images/1653250790771810307/Bp92l1QI_normal.jpg</v>
      </c>
      <c r="AW1984" s="80" t="s">
        <v>17833</v>
      </c>
      <c r="AX1984" s="80" t="s">
        <v>17833</v>
      </c>
      <c r="AY1984" s="77"/>
      <c r="AZ1984" s="80" t="s">
        <v>20380</v>
      </c>
      <c r="BA1984" s="80" t="s">
        <v>20380</v>
      </c>
      <c r="BB1984" s="80" t="s">
        <v>17832</v>
      </c>
      <c r="BC1984" s="80" t="s">
        <v>17832</v>
      </c>
      <c r="BD1984" s="80" t="s">
        <v>20785</v>
      </c>
      <c r="BE1984" s="77"/>
      <c r="BF1984" s="77"/>
      <c r="BG1984" s="77"/>
      <c r="BH1984" s="77"/>
      <c r="BI1984" s="77"/>
    </row>
    <row r="1985" spans="1:61" x14ac:dyDescent="0.25">
      <c r="A1985" s="62" t="s">
        <v>561</v>
      </c>
      <c r="B1985" s="62" t="s">
        <v>561</v>
      </c>
      <c r="C1985" s="63"/>
      <c r="D1985" s="64"/>
      <c r="E1985" s="65"/>
      <c r="F1985" s="66"/>
      <c r="G1985" s="63"/>
      <c r="H1985" s="67"/>
      <c r="I1985" s="68"/>
      <c r="J1985" s="68"/>
      <c r="K1985" s="32"/>
      <c r="L1985" s="75">
        <v>1985</v>
      </c>
      <c r="M1985" s="75"/>
      <c r="N1985" s="70"/>
      <c r="O1985" s="77" t="s">
        <v>179</v>
      </c>
      <c r="P1985" s="79">
        <v>45062.508032407408</v>
      </c>
      <c r="Q1985" s="77" t="s">
        <v>3859</v>
      </c>
      <c r="R1985" s="77">
        <v>2</v>
      </c>
      <c r="S1985" s="77">
        <v>9</v>
      </c>
      <c r="T1985" s="77">
        <v>0</v>
      </c>
      <c r="U1985" s="77">
        <v>0</v>
      </c>
      <c r="V1985" s="77">
        <v>1459</v>
      </c>
      <c r="W1985" s="80" t="s">
        <v>7144</v>
      </c>
      <c r="X1985" s="83" t="str">
        <f>HYPERLINK("https://cbn.globoradio.globo.com/media/audio/408641/governo-enviou-ao-senado-nomes-de-galipolo-e-ailto.htm")</f>
        <v>https://cbn.globoradio.globo.com/media/audio/408641/governo-enviou-ao-senado-nomes-de-galipolo-e-ailto.htm</v>
      </c>
      <c r="Y1985" s="77" t="s">
        <v>8686</v>
      </c>
      <c r="Z1985" s="77"/>
      <c r="AA1985" s="77"/>
      <c r="AB1985" s="77"/>
      <c r="AC1985" s="80" t="s">
        <v>10551</v>
      </c>
      <c r="AD1985" s="77" t="s">
        <v>10617</v>
      </c>
      <c r="AE1985" s="83" t="str">
        <f>HYPERLINK("https://twitter.com/cbnoficial/status/1658445079776837632")</f>
        <v>https://twitter.com/cbnoficial/status/1658445079776837632</v>
      </c>
      <c r="AF1985" s="79">
        <v>45062.508032407408</v>
      </c>
      <c r="AG1985" s="85">
        <v>45062</v>
      </c>
      <c r="AH1985" s="80" t="s">
        <v>12385</v>
      </c>
      <c r="AI1985" s="77" t="b">
        <v>0</v>
      </c>
      <c r="AJ1985" s="77"/>
      <c r="AK1985" s="77"/>
      <c r="AL1985" s="77"/>
      <c r="AM1985" s="77"/>
      <c r="AN1985" s="77"/>
      <c r="AO1985" s="77"/>
      <c r="AP1985" s="77"/>
      <c r="AQ1985" s="77"/>
      <c r="AR1985" s="77"/>
      <c r="AS1985" s="77"/>
      <c r="AT1985" s="77"/>
      <c r="AU1985" s="77"/>
      <c r="AV1985" s="83" t="str">
        <f>HYPERLINK("https://pbs.twimg.com/profile_images/1490726030239219715/NsSY2E9c_normal.jpg")</f>
        <v>https://pbs.twimg.com/profile_images/1490726030239219715/NsSY2E9c_normal.jpg</v>
      </c>
      <c r="AW1985" s="80" t="s">
        <v>17834</v>
      </c>
      <c r="AX1985" s="80" t="s">
        <v>17834</v>
      </c>
      <c r="AY1985" s="77"/>
      <c r="AZ1985" s="80" t="s">
        <v>20380</v>
      </c>
      <c r="BA1985" s="80" t="s">
        <v>20380</v>
      </c>
      <c r="BB1985" s="80" t="s">
        <v>20380</v>
      </c>
      <c r="BC1985" s="80" t="s">
        <v>17834</v>
      </c>
      <c r="BD1985" s="77">
        <v>785833176</v>
      </c>
      <c r="BE1985" s="77"/>
      <c r="BF1985" s="77"/>
      <c r="BG1985" s="77"/>
      <c r="BH1985" s="77"/>
      <c r="BI1985" s="77"/>
    </row>
    <row r="1986" spans="1:61" x14ac:dyDescent="0.25">
      <c r="A1986" s="62" t="s">
        <v>561</v>
      </c>
      <c r="B1986" s="62" t="s">
        <v>561</v>
      </c>
      <c r="C1986" s="63"/>
      <c r="D1986" s="64"/>
      <c r="E1986" s="65"/>
      <c r="F1986" s="66"/>
      <c r="G1986" s="63"/>
      <c r="H1986" s="67"/>
      <c r="I1986" s="68"/>
      <c r="J1986" s="68"/>
      <c r="K1986" s="32"/>
      <c r="L1986" s="75">
        <v>1986</v>
      </c>
      <c r="M1986" s="75"/>
      <c r="N1986" s="70"/>
      <c r="O1986" s="77" t="s">
        <v>179</v>
      </c>
      <c r="P1986" s="79">
        <v>45111.595868055556</v>
      </c>
      <c r="Q1986" s="77" t="s">
        <v>3860</v>
      </c>
      <c r="R1986" s="77">
        <v>1</v>
      </c>
      <c r="S1986" s="77">
        <v>3</v>
      </c>
      <c r="T1986" s="77">
        <v>0</v>
      </c>
      <c r="U1986" s="77">
        <v>0</v>
      </c>
      <c r="V1986" s="77">
        <v>1502</v>
      </c>
      <c r="W1986" s="80" t="s">
        <v>6540</v>
      </c>
      <c r="X1986" s="83" t="str">
        <f>HYPERLINK("https://cbn.globoradio.globo.com/media/audio/413003/sabatina-no-senado-de-gabriel-galipolo-para-direto.htm")</f>
        <v>https://cbn.globoradio.globo.com/media/audio/413003/sabatina-no-senado-de-gabriel-galipolo-para-direto.htm</v>
      </c>
      <c r="Y1986" s="77" t="s">
        <v>8686</v>
      </c>
      <c r="Z1986" s="77"/>
      <c r="AA1986" s="77"/>
      <c r="AB1986" s="77"/>
      <c r="AC1986" s="80" t="s">
        <v>10541</v>
      </c>
      <c r="AD1986" s="77" t="s">
        <v>10617</v>
      </c>
      <c r="AE1986" s="83" t="str">
        <f>HYPERLINK("https://twitter.com/cbnoficial/status/1676233915420254208")</f>
        <v>https://twitter.com/cbnoficial/status/1676233915420254208</v>
      </c>
      <c r="AF1986" s="79">
        <v>45111.595868055556</v>
      </c>
      <c r="AG1986" s="85">
        <v>45111</v>
      </c>
      <c r="AH1986" s="80" t="s">
        <v>12386</v>
      </c>
      <c r="AI1986" s="77" t="b">
        <v>0</v>
      </c>
      <c r="AJ1986" s="77"/>
      <c r="AK1986" s="77"/>
      <c r="AL1986" s="77"/>
      <c r="AM1986" s="77"/>
      <c r="AN1986" s="77"/>
      <c r="AO1986" s="77"/>
      <c r="AP1986" s="77"/>
      <c r="AQ1986" s="77"/>
      <c r="AR1986" s="77"/>
      <c r="AS1986" s="77"/>
      <c r="AT1986" s="77"/>
      <c r="AU1986" s="77"/>
      <c r="AV1986" s="83" t="str">
        <f>HYPERLINK("https://pbs.twimg.com/profile_images/1490726030239219715/NsSY2E9c_normal.jpg")</f>
        <v>https://pbs.twimg.com/profile_images/1490726030239219715/NsSY2E9c_normal.jpg</v>
      </c>
      <c r="AW1986" s="80" t="s">
        <v>17835</v>
      </c>
      <c r="AX1986" s="80" t="s">
        <v>17835</v>
      </c>
      <c r="AY1986" s="77"/>
      <c r="AZ1986" s="80" t="s">
        <v>20380</v>
      </c>
      <c r="BA1986" s="80" t="s">
        <v>20380</v>
      </c>
      <c r="BB1986" s="80" t="s">
        <v>20380</v>
      </c>
      <c r="BC1986" s="80" t="s">
        <v>17835</v>
      </c>
      <c r="BD1986" s="77">
        <v>785833176</v>
      </c>
      <c r="BE1986" s="77"/>
      <c r="BF1986" s="77"/>
      <c r="BG1986" s="77"/>
      <c r="BH1986" s="77"/>
      <c r="BI1986" s="77"/>
    </row>
    <row r="1987" spans="1:61" x14ac:dyDescent="0.25">
      <c r="A1987" s="62" t="s">
        <v>840</v>
      </c>
      <c r="B1987" s="62" t="s">
        <v>561</v>
      </c>
      <c r="C1987" s="63"/>
      <c r="D1987" s="64"/>
      <c r="E1987" s="65"/>
      <c r="F1987" s="66"/>
      <c r="G1987" s="63"/>
      <c r="H1987" s="67"/>
      <c r="I1987" s="68"/>
      <c r="J1987" s="68"/>
      <c r="K1987" s="32"/>
      <c r="L1987" s="75">
        <v>1987</v>
      </c>
      <c r="M1987" s="75"/>
      <c r="N1987" s="70"/>
      <c r="O1987" s="77" t="s">
        <v>2083</v>
      </c>
      <c r="P1987" s="79">
        <v>45196.817986111113</v>
      </c>
      <c r="Q1987" s="77" t="s">
        <v>3858</v>
      </c>
      <c r="R1987" s="77">
        <v>2</v>
      </c>
      <c r="S1987" s="77">
        <v>0</v>
      </c>
      <c r="T1987" s="77">
        <v>0</v>
      </c>
      <c r="U1987" s="77">
        <v>0</v>
      </c>
      <c r="V1987" s="77"/>
      <c r="W1987" s="77"/>
      <c r="X1987" s="77"/>
      <c r="Y1987" s="77"/>
      <c r="Z1987" s="77" t="s">
        <v>8965</v>
      </c>
      <c r="AA1987" s="77"/>
      <c r="AB1987" s="77"/>
      <c r="AC1987" s="80" t="s">
        <v>10540</v>
      </c>
      <c r="AD1987" s="77" t="s">
        <v>10617</v>
      </c>
      <c r="AE1987" s="83" t="str">
        <f>HYPERLINK("https://twitter.com/pguerreiro97/status/1707117380034253005")</f>
        <v>https://twitter.com/pguerreiro97/status/1707117380034253005</v>
      </c>
      <c r="AF1987" s="79">
        <v>45196.817986111113</v>
      </c>
      <c r="AG1987" s="85">
        <v>45196</v>
      </c>
      <c r="AH1987" s="80" t="s">
        <v>12384</v>
      </c>
      <c r="AI1987" s="77" t="b">
        <v>0</v>
      </c>
      <c r="AJ1987" s="77"/>
      <c r="AK1987" s="77"/>
      <c r="AL1987" s="77"/>
      <c r="AM1987" s="77"/>
      <c r="AN1987" s="77"/>
      <c r="AO1987" s="77"/>
      <c r="AP1987" s="77"/>
      <c r="AQ1987" s="77"/>
      <c r="AR1987" s="77"/>
      <c r="AS1987" s="77"/>
      <c r="AT1987" s="77"/>
      <c r="AU1987" s="77"/>
      <c r="AV1987" s="83" t="str">
        <f>HYPERLINK("https://pbs.twimg.com/profile_images/1653250790771810307/Bp92l1QI_normal.jpg")</f>
        <v>https://pbs.twimg.com/profile_images/1653250790771810307/Bp92l1QI_normal.jpg</v>
      </c>
      <c r="AW1987" s="80" t="s">
        <v>17833</v>
      </c>
      <c r="AX1987" s="80" t="s">
        <v>17833</v>
      </c>
      <c r="AY1987" s="77"/>
      <c r="AZ1987" s="80" t="s">
        <v>20380</v>
      </c>
      <c r="BA1987" s="80" t="s">
        <v>20380</v>
      </c>
      <c r="BB1987" s="80" t="s">
        <v>17832</v>
      </c>
      <c r="BC1987" s="80" t="s">
        <v>17832</v>
      </c>
      <c r="BD1987" s="80" t="s">
        <v>20785</v>
      </c>
      <c r="BE1987" s="77"/>
      <c r="BF1987" s="77"/>
      <c r="BG1987" s="77"/>
      <c r="BH1987" s="77"/>
      <c r="BI1987" s="77"/>
    </row>
    <row r="1988" spans="1:61" x14ac:dyDescent="0.25">
      <c r="A1988" s="62" t="s">
        <v>841</v>
      </c>
      <c r="B1988" s="62" t="s">
        <v>1655</v>
      </c>
      <c r="C1988" s="63"/>
      <c r="D1988" s="64"/>
      <c r="E1988" s="65"/>
      <c r="F1988" s="66"/>
      <c r="G1988" s="63"/>
      <c r="H1988" s="67"/>
      <c r="I1988" s="68"/>
      <c r="J1988" s="68"/>
      <c r="K1988" s="32"/>
      <c r="L1988" s="75">
        <v>1988</v>
      </c>
      <c r="M1988" s="75"/>
      <c r="N1988" s="70"/>
      <c r="O1988" s="77" t="s">
        <v>2083</v>
      </c>
      <c r="P1988" s="79">
        <v>45191.005497685182</v>
      </c>
      <c r="Q1988" s="77" t="s">
        <v>2120</v>
      </c>
      <c r="R1988" s="77">
        <v>25</v>
      </c>
      <c r="S1988" s="77">
        <v>0</v>
      </c>
      <c r="T1988" s="77">
        <v>0</v>
      </c>
      <c r="U1988" s="77">
        <v>0</v>
      </c>
      <c r="V1988" s="77"/>
      <c r="W1988" s="80" t="s">
        <v>5917</v>
      </c>
      <c r="X1988" s="77"/>
      <c r="Y1988" s="77"/>
      <c r="Z1988" s="77" t="s">
        <v>1655</v>
      </c>
      <c r="AA1988" s="77"/>
      <c r="AB1988" s="77"/>
      <c r="AC1988" s="80" t="s">
        <v>10540</v>
      </c>
      <c r="AD1988" s="77" t="s">
        <v>10617</v>
      </c>
      <c r="AE1988" s="83" t="str">
        <f>HYPERLINK("https://twitter.com/zilafusaro7/status/1705011002482286894")</f>
        <v>https://twitter.com/zilafusaro7/status/1705011002482286894</v>
      </c>
      <c r="AF1988" s="79">
        <v>45191.005497685182</v>
      </c>
      <c r="AG1988" s="85">
        <v>45191</v>
      </c>
      <c r="AH1988" s="80" t="s">
        <v>12387</v>
      </c>
      <c r="AI1988" s="77"/>
      <c r="AJ1988" s="77"/>
      <c r="AK1988" s="77"/>
      <c r="AL1988" s="77"/>
      <c r="AM1988" s="77"/>
      <c r="AN1988" s="77"/>
      <c r="AO1988" s="77"/>
      <c r="AP1988" s="77"/>
      <c r="AQ1988" s="77"/>
      <c r="AR1988" s="77"/>
      <c r="AS1988" s="77"/>
      <c r="AT1988" s="77"/>
      <c r="AU1988" s="77"/>
      <c r="AV1988" s="83" t="str">
        <f>HYPERLINK("https://pbs.twimg.com/profile_images/1705426040443551744/Tdci0ymF_normal.jpg")</f>
        <v>https://pbs.twimg.com/profile_images/1705426040443551744/Tdci0ymF_normal.jpg</v>
      </c>
      <c r="AW1988" s="80" t="s">
        <v>17836</v>
      </c>
      <c r="AX1988" s="80" t="s">
        <v>17836</v>
      </c>
      <c r="AY1988" s="77"/>
      <c r="AZ1988" s="80" t="s">
        <v>20380</v>
      </c>
      <c r="BA1988" s="80" t="s">
        <v>20380</v>
      </c>
      <c r="BB1988" s="80" t="s">
        <v>19844</v>
      </c>
      <c r="BC1988" s="80" t="s">
        <v>19844</v>
      </c>
      <c r="BD1988" s="80" t="s">
        <v>20786</v>
      </c>
      <c r="BE1988" s="77"/>
      <c r="BF1988" s="77"/>
      <c r="BG1988" s="77"/>
      <c r="BH1988" s="77"/>
      <c r="BI1988" s="77"/>
    </row>
    <row r="1989" spans="1:61" x14ac:dyDescent="0.25">
      <c r="A1989" s="62" t="s">
        <v>842</v>
      </c>
      <c r="B1989" s="62" t="s">
        <v>842</v>
      </c>
      <c r="C1989" s="63"/>
      <c r="D1989" s="64"/>
      <c r="E1989" s="65"/>
      <c r="F1989" s="66"/>
      <c r="G1989" s="63"/>
      <c r="H1989" s="67"/>
      <c r="I1989" s="68"/>
      <c r="J1989" s="68"/>
      <c r="K1989" s="32"/>
      <c r="L1989" s="75">
        <v>1989</v>
      </c>
      <c r="M1989" s="75"/>
      <c r="N1989" s="70"/>
      <c r="O1989" s="77" t="s">
        <v>179</v>
      </c>
      <c r="P1989" s="79">
        <v>45073.705509259256</v>
      </c>
      <c r="Q1989" s="77" t="s">
        <v>3861</v>
      </c>
      <c r="R1989" s="77">
        <v>0</v>
      </c>
      <c r="S1989" s="77">
        <v>0</v>
      </c>
      <c r="T1989" s="77">
        <v>0</v>
      </c>
      <c r="U1989" s="77">
        <v>0</v>
      </c>
      <c r="V1989" s="77">
        <v>1</v>
      </c>
      <c r="W1989" s="80" t="s">
        <v>7145</v>
      </c>
      <c r="X1989" s="83" t="str">
        <f>HYPERLINK("https://youtu.be/mIm9Lf9sw9I")</f>
        <v>https://youtu.be/mIm9Lf9sw9I</v>
      </c>
      <c r="Y1989" s="77" t="s">
        <v>8635</v>
      </c>
      <c r="Z1989" s="77"/>
      <c r="AA1989" s="77"/>
      <c r="AB1989" s="77"/>
      <c r="AC1989" s="80" t="s">
        <v>10540</v>
      </c>
      <c r="AD1989" s="77" t="s">
        <v>10620</v>
      </c>
      <c r="AE1989" s="83" t="str">
        <f>HYPERLINK("https://twitter.com/yasnahm/status/1662502912625393667")</f>
        <v>https://twitter.com/yasnahm/status/1662502912625393667</v>
      </c>
      <c r="AF1989" s="79">
        <v>45073.705509259256</v>
      </c>
      <c r="AG1989" s="85">
        <v>45073</v>
      </c>
      <c r="AH1989" s="80" t="s">
        <v>12388</v>
      </c>
      <c r="AI1989" s="77" t="b">
        <v>0</v>
      </c>
      <c r="AJ1989" s="77"/>
      <c r="AK1989" s="77"/>
      <c r="AL1989" s="77"/>
      <c r="AM1989" s="77"/>
      <c r="AN1989" s="77"/>
      <c r="AO1989" s="77"/>
      <c r="AP1989" s="77"/>
      <c r="AQ1989" s="77"/>
      <c r="AR1989" s="77"/>
      <c r="AS1989" s="77"/>
      <c r="AT1989" s="77"/>
      <c r="AU1989" s="77"/>
      <c r="AV1989" s="83" t="str">
        <f>HYPERLINK("https://pbs.twimg.com/profile_images/1436901543962464260/qpkNI8dD_normal.jpg")</f>
        <v>https://pbs.twimg.com/profile_images/1436901543962464260/qpkNI8dD_normal.jpg</v>
      </c>
      <c r="AW1989" s="80" t="s">
        <v>17837</v>
      </c>
      <c r="AX1989" s="80" t="s">
        <v>17837</v>
      </c>
      <c r="AY1989" s="77"/>
      <c r="AZ1989" s="80" t="s">
        <v>20380</v>
      </c>
      <c r="BA1989" s="80" t="s">
        <v>20380</v>
      </c>
      <c r="BB1989" s="80" t="s">
        <v>20380</v>
      </c>
      <c r="BC1989" s="80" t="s">
        <v>17837</v>
      </c>
      <c r="BD1989" s="77">
        <v>146325983</v>
      </c>
      <c r="BE1989" s="77"/>
      <c r="BF1989" s="77"/>
      <c r="BG1989" s="77"/>
      <c r="BH1989" s="77"/>
      <c r="BI1989" s="77"/>
    </row>
    <row r="1990" spans="1:61" x14ac:dyDescent="0.25">
      <c r="A1990" s="62" t="s">
        <v>843</v>
      </c>
      <c r="B1990" s="62" t="s">
        <v>843</v>
      </c>
      <c r="C1990" s="63"/>
      <c r="D1990" s="64"/>
      <c r="E1990" s="65"/>
      <c r="F1990" s="66"/>
      <c r="G1990" s="63"/>
      <c r="H1990" s="67"/>
      <c r="I1990" s="68"/>
      <c r="J1990" s="68"/>
      <c r="K1990" s="32"/>
      <c r="L1990" s="75">
        <v>1990</v>
      </c>
      <c r="M1990" s="75"/>
      <c r="N1990" s="70"/>
      <c r="O1990" s="77" t="s">
        <v>179</v>
      </c>
      <c r="P1990" s="79">
        <v>45076.015752314815</v>
      </c>
      <c r="Q1990" s="77" t="s">
        <v>3862</v>
      </c>
      <c r="R1990" s="77">
        <v>0</v>
      </c>
      <c r="S1990" s="77">
        <v>0</v>
      </c>
      <c r="T1990" s="77">
        <v>0</v>
      </c>
      <c r="U1990" s="77">
        <v>0</v>
      </c>
      <c r="V1990" s="77">
        <v>14</v>
      </c>
      <c r="W1990" s="80" t="s">
        <v>7146</v>
      </c>
      <c r="X1990" s="77"/>
      <c r="Y1990" s="77"/>
      <c r="Z1990" s="77"/>
      <c r="AA1990" s="77"/>
      <c r="AB1990" s="77"/>
      <c r="AC1990" s="80" t="s">
        <v>10542</v>
      </c>
      <c r="AD1990" s="77" t="s">
        <v>10620</v>
      </c>
      <c r="AE1990" s="83" t="str">
        <f>HYPERLINK("https://twitter.com/drconsultingsrl/status/1663340113596751872")</f>
        <v>https://twitter.com/drconsultingsrl/status/1663340113596751872</v>
      </c>
      <c r="AF1990" s="79">
        <v>45076.015752314815</v>
      </c>
      <c r="AG1990" s="85">
        <v>45076</v>
      </c>
      <c r="AH1990" s="80" t="s">
        <v>12389</v>
      </c>
      <c r="AI1990" s="77"/>
      <c r="AJ1990" s="77"/>
      <c r="AK1990" s="77"/>
      <c r="AL1990" s="77"/>
      <c r="AM1990" s="77"/>
      <c r="AN1990" s="77"/>
      <c r="AO1990" s="77"/>
      <c r="AP1990" s="77"/>
      <c r="AQ1990" s="77"/>
      <c r="AR1990" s="77"/>
      <c r="AS1990" s="77"/>
      <c r="AT1990" s="77"/>
      <c r="AU1990" s="77"/>
      <c r="AV1990" s="83" t="str">
        <f>HYPERLINK("https://pbs.twimg.com/profile_images/1670573134037090308/6y5uXQN-_normal.jpg")</f>
        <v>https://pbs.twimg.com/profile_images/1670573134037090308/6y5uXQN-_normal.jpg</v>
      </c>
      <c r="AW1990" s="80" t="s">
        <v>17838</v>
      </c>
      <c r="AX1990" s="80" t="s">
        <v>17838</v>
      </c>
      <c r="AY1990" s="77"/>
      <c r="AZ1990" s="80" t="s">
        <v>20380</v>
      </c>
      <c r="BA1990" s="80" t="s">
        <v>20380</v>
      </c>
      <c r="BB1990" s="80" t="s">
        <v>20380</v>
      </c>
      <c r="BC1990" s="80" t="s">
        <v>17838</v>
      </c>
      <c r="BD1990" s="80" t="s">
        <v>20787</v>
      </c>
      <c r="BE1990" s="77"/>
      <c r="BF1990" s="77"/>
      <c r="BG1990" s="77"/>
      <c r="BH1990" s="77"/>
      <c r="BI1990" s="77"/>
    </row>
    <row r="1991" spans="1:61" x14ac:dyDescent="0.25">
      <c r="A1991" s="62" t="s">
        <v>844</v>
      </c>
      <c r="B1991" s="62" t="s">
        <v>955</v>
      </c>
      <c r="C1991" s="63"/>
      <c r="D1991" s="64"/>
      <c r="E1991" s="65"/>
      <c r="F1991" s="66"/>
      <c r="G1991" s="63"/>
      <c r="H1991" s="67"/>
      <c r="I1991" s="68"/>
      <c r="J1991" s="68"/>
      <c r="K1991" s="32"/>
      <c r="L1991" s="75">
        <v>1991</v>
      </c>
      <c r="M1991" s="75"/>
      <c r="N1991" s="70"/>
      <c r="O1991" s="77" t="s">
        <v>2082</v>
      </c>
      <c r="P1991" s="79">
        <v>45156.953981481478</v>
      </c>
      <c r="Q1991" s="77" t="s">
        <v>3863</v>
      </c>
      <c r="R1991" s="77">
        <v>0</v>
      </c>
      <c r="S1991" s="77">
        <v>0</v>
      </c>
      <c r="T1991" s="77">
        <v>0</v>
      </c>
      <c r="U1991" s="77">
        <v>0</v>
      </c>
      <c r="V1991" s="77">
        <v>6</v>
      </c>
      <c r="W1991" s="80" t="s">
        <v>5884</v>
      </c>
      <c r="X1991" s="77"/>
      <c r="Y1991" s="77"/>
      <c r="Z1991" s="77"/>
      <c r="AA1991" s="77"/>
      <c r="AB1991" s="77"/>
      <c r="AC1991" s="80" t="s">
        <v>10540</v>
      </c>
      <c r="AD1991" s="77" t="s">
        <v>10620</v>
      </c>
      <c r="AE1991" s="83" t="str">
        <f>HYPERLINK("https://twitter.com/1erjadiaz/status/1692671147907621343")</f>
        <v>https://twitter.com/1erjadiaz/status/1692671147907621343</v>
      </c>
      <c r="AF1991" s="79">
        <v>45156.953981481478</v>
      </c>
      <c r="AG1991" s="85">
        <v>45156</v>
      </c>
      <c r="AH1991" s="80" t="s">
        <v>12390</v>
      </c>
      <c r="AI1991" s="77"/>
      <c r="AJ1991" s="77"/>
      <c r="AK1991" s="77"/>
      <c r="AL1991" s="77"/>
      <c r="AM1991" s="77"/>
      <c r="AN1991" s="77"/>
      <c r="AO1991" s="77"/>
      <c r="AP1991" s="77"/>
      <c r="AQ1991" s="77"/>
      <c r="AR1991" s="77"/>
      <c r="AS1991" s="77"/>
      <c r="AT1991" s="77"/>
      <c r="AU1991" s="77"/>
      <c r="AV1991" s="83" t="str">
        <f>HYPERLINK("https://pbs.twimg.com/profile_images/998335927897341952/HMuCIvKi_normal.jpg")</f>
        <v>https://pbs.twimg.com/profile_images/998335927897341952/HMuCIvKi_normal.jpg</v>
      </c>
      <c r="AW1991" s="80" t="s">
        <v>17839</v>
      </c>
      <c r="AX1991" s="80" t="s">
        <v>17839</v>
      </c>
      <c r="AY1991" s="77"/>
      <c r="AZ1991" s="80" t="s">
        <v>20380</v>
      </c>
      <c r="BA1991" s="80" t="s">
        <v>18155</v>
      </c>
      <c r="BB1991" s="80" t="s">
        <v>20380</v>
      </c>
      <c r="BC1991" s="80" t="s">
        <v>18155</v>
      </c>
      <c r="BD1991" s="77">
        <v>151627290</v>
      </c>
      <c r="BE1991" s="77"/>
      <c r="BF1991" s="77"/>
      <c r="BG1991" s="77"/>
      <c r="BH1991" s="77"/>
      <c r="BI1991" s="77"/>
    </row>
    <row r="1992" spans="1:61" x14ac:dyDescent="0.25">
      <c r="A1992" s="62" t="s">
        <v>845</v>
      </c>
      <c r="B1992" s="62" t="s">
        <v>845</v>
      </c>
      <c r="C1992" s="63"/>
      <c r="D1992" s="64"/>
      <c r="E1992" s="65"/>
      <c r="F1992" s="66"/>
      <c r="G1992" s="63"/>
      <c r="H1992" s="67"/>
      <c r="I1992" s="68"/>
      <c r="J1992" s="68"/>
      <c r="K1992" s="32"/>
      <c r="L1992" s="75">
        <v>1992</v>
      </c>
      <c r="M1992" s="75"/>
      <c r="N1992" s="70"/>
      <c r="O1992" s="77" t="s">
        <v>179</v>
      </c>
      <c r="P1992" s="79">
        <v>45065.626435185186</v>
      </c>
      <c r="Q1992" s="77" t="s">
        <v>3864</v>
      </c>
      <c r="R1992" s="77">
        <v>0</v>
      </c>
      <c r="S1992" s="77">
        <v>1</v>
      </c>
      <c r="T1992" s="77">
        <v>0</v>
      </c>
      <c r="U1992" s="77">
        <v>0</v>
      </c>
      <c r="V1992" s="77">
        <v>15</v>
      </c>
      <c r="W1992" s="80" t="s">
        <v>7147</v>
      </c>
      <c r="X1992" s="77"/>
      <c r="Y1992" s="77"/>
      <c r="Z1992" s="77"/>
      <c r="AA1992" s="77" t="s">
        <v>9587</v>
      </c>
      <c r="AB1992" s="77" t="s">
        <v>10535</v>
      </c>
      <c r="AC1992" s="80" t="s">
        <v>10543</v>
      </c>
      <c r="AD1992" s="77" t="s">
        <v>10620</v>
      </c>
      <c r="AE1992" s="83" t="str">
        <f>HYPERLINK("https://twitter.com/revistaforex/status/1659575154018590721")</f>
        <v>https://twitter.com/revistaforex/status/1659575154018590721</v>
      </c>
      <c r="AF1992" s="79">
        <v>45065.626435185186</v>
      </c>
      <c r="AG1992" s="85">
        <v>45065</v>
      </c>
      <c r="AH1992" s="80" t="s">
        <v>12391</v>
      </c>
      <c r="AI1992" s="77" t="b">
        <v>0</v>
      </c>
      <c r="AJ1992" s="77"/>
      <c r="AK1992" s="77"/>
      <c r="AL1992" s="77"/>
      <c r="AM1992" s="77"/>
      <c r="AN1992" s="77"/>
      <c r="AO1992" s="77"/>
      <c r="AP1992" s="77"/>
      <c r="AQ1992" s="77" t="s">
        <v>15069</v>
      </c>
      <c r="AR1992" s="77"/>
      <c r="AS1992" s="77"/>
      <c r="AT1992" s="77"/>
      <c r="AU1992" s="77"/>
      <c r="AV1992" s="83" t="str">
        <f>HYPERLINK("https://pbs.twimg.com/media/Fwf-ziVWIAApxzG.jpg")</f>
        <v>https://pbs.twimg.com/media/Fwf-ziVWIAApxzG.jpg</v>
      </c>
      <c r="AW1992" s="80" t="s">
        <v>17840</v>
      </c>
      <c r="AX1992" s="80" t="s">
        <v>17840</v>
      </c>
      <c r="AY1992" s="77"/>
      <c r="AZ1992" s="80" t="s">
        <v>20380</v>
      </c>
      <c r="BA1992" s="80" t="s">
        <v>20380</v>
      </c>
      <c r="BB1992" s="80" t="s">
        <v>20380</v>
      </c>
      <c r="BC1992" s="80" t="s">
        <v>17840</v>
      </c>
      <c r="BD1992" s="80" t="s">
        <v>20788</v>
      </c>
      <c r="BE1992" s="77"/>
      <c r="BF1992" s="77"/>
      <c r="BG1992" s="77"/>
      <c r="BH1992" s="77"/>
      <c r="BI1992" s="77"/>
    </row>
    <row r="1993" spans="1:61" x14ac:dyDescent="0.25">
      <c r="A1993" s="62" t="s">
        <v>845</v>
      </c>
      <c r="B1993" s="62" t="s">
        <v>845</v>
      </c>
      <c r="C1993" s="63"/>
      <c r="D1993" s="64"/>
      <c r="E1993" s="65"/>
      <c r="F1993" s="66"/>
      <c r="G1993" s="63"/>
      <c r="H1993" s="67"/>
      <c r="I1993" s="68"/>
      <c r="J1993" s="68"/>
      <c r="K1993" s="32"/>
      <c r="L1993" s="75">
        <v>1993</v>
      </c>
      <c r="M1993" s="75"/>
      <c r="N1993" s="70"/>
      <c r="O1993" s="77" t="s">
        <v>179</v>
      </c>
      <c r="P1993" s="79">
        <v>45065.585682870369</v>
      </c>
      <c r="Q1993" s="77" t="s">
        <v>3865</v>
      </c>
      <c r="R1993" s="77">
        <v>0</v>
      </c>
      <c r="S1993" s="77">
        <v>0</v>
      </c>
      <c r="T1993" s="77">
        <v>0</v>
      </c>
      <c r="U1993" s="77">
        <v>0</v>
      </c>
      <c r="V1993" s="77">
        <v>17</v>
      </c>
      <c r="W1993" s="80" t="s">
        <v>7148</v>
      </c>
      <c r="X1993" s="77"/>
      <c r="Y1993" s="77"/>
      <c r="Z1993" s="77"/>
      <c r="AA1993" s="77" t="s">
        <v>9588</v>
      </c>
      <c r="AB1993" s="77" t="s">
        <v>10535</v>
      </c>
      <c r="AC1993" s="80" t="s">
        <v>10543</v>
      </c>
      <c r="AD1993" s="77" t="s">
        <v>10620</v>
      </c>
      <c r="AE1993" s="83" t="str">
        <f>HYPERLINK("https://twitter.com/revistaforex/status/1659560383630147586")</f>
        <v>https://twitter.com/revistaforex/status/1659560383630147586</v>
      </c>
      <c r="AF1993" s="79">
        <v>45065.585682870369</v>
      </c>
      <c r="AG1993" s="85">
        <v>45065</v>
      </c>
      <c r="AH1993" s="80" t="s">
        <v>12392</v>
      </c>
      <c r="AI1993" s="77" t="b">
        <v>0</v>
      </c>
      <c r="AJ1993" s="77"/>
      <c r="AK1993" s="77"/>
      <c r="AL1993" s="77"/>
      <c r="AM1993" s="77"/>
      <c r="AN1993" s="77"/>
      <c r="AO1993" s="77"/>
      <c r="AP1993" s="77"/>
      <c r="AQ1993" s="77" t="s">
        <v>15070</v>
      </c>
      <c r="AR1993" s="77"/>
      <c r="AS1993" s="77"/>
      <c r="AT1993" s="77"/>
      <c r="AU1993" s="77"/>
      <c r="AV1993" s="83" t="str">
        <f>HYPERLINK("https://pbs.twimg.com/media/FwfxX2YXgAA36DX.jpg")</f>
        <v>https://pbs.twimg.com/media/FwfxX2YXgAA36DX.jpg</v>
      </c>
      <c r="AW1993" s="80" t="s">
        <v>17841</v>
      </c>
      <c r="AX1993" s="80" t="s">
        <v>17841</v>
      </c>
      <c r="AY1993" s="77"/>
      <c r="AZ1993" s="80" t="s">
        <v>20380</v>
      </c>
      <c r="BA1993" s="80" t="s">
        <v>20380</v>
      </c>
      <c r="BB1993" s="80" t="s">
        <v>20380</v>
      </c>
      <c r="BC1993" s="80" t="s">
        <v>17841</v>
      </c>
      <c r="BD1993" s="80" t="s">
        <v>20788</v>
      </c>
      <c r="BE1993" s="77"/>
      <c r="BF1993" s="77"/>
      <c r="BG1993" s="77"/>
      <c r="BH1993" s="77"/>
      <c r="BI1993" s="77"/>
    </row>
    <row r="1994" spans="1:61" x14ac:dyDescent="0.25">
      <c r="A1994" s="62" t="s">
        <v>846</v>
      </c>
      <c r="B1994" s="62" t="s">
        <v>846</v>
      </c>
      <c r="C1994" s="63"/>
      <c r="D1994" s="64"/>
      <c r="E1994" s="65"/>
      <c r="F1994" s="66"/>
      <c r="G1994" s="63"/>
      <c r="H1994" s="67"/>
      <c r="I1994" s="68"/>
      <c r="J1994" s="68"/>
      <c r="K1994" s="32"/>
      <c r="L1994" s="75">
        <v>1994</v>
      </c>
      <c r="M1994" s="75"/>
      <c r="N1994" s="70"/>
      <c r="O1994" s="77" t="s">
        <v>179</v>
      </c>
      <c r="P1994" s="79">
        <v>45146.625023148146</v>
      </c>
      <c r="Q1994" s="77" t="s">
        <v>3866</v>
      </c>
      <c r="R1994" s="77">
        <v>0</v>
      </c>
      <c r="S1994" s="77">
        <v>0</v>
      </c>
      <c r="T1994" s="77">
        <v>1</v>
      </c>
      <c r="U1994" s="77">
        <v>0</v>
      </c>
      <c r="V1994" s="77">
        <v>43</v>
      </c>
      <c r="W1994" s="80" t="s">
        <v>7149</v>
      </c>
      <c r="X1994" s="77"/>
      <c r="Y1994" s="77"/>
      <c r="Z1994" s="77"/>
      <c r="AA1994" s="77" t="s">
        <v>9589</v>
      </c>
      <c r="AB1994" s="77" t="s">
        <v>10535</v>
      </c>
      <c r="AC1994" s="80" t="s">
        <v>10585</v>
      </c>
      <c r="AD1994" s="77" t="s">
        <v>10617</v>
      </c>
      <c r="AE1994" s="83" t="str">
        <f>HYPERLINK("https://twitter.com/galaxpay/status/1688928057548218368")</f>
        <v>https://twitter.com/galaxpay/status/1688928057548218368</v>
      </c>
      <c r="AF1994" s="79">
        <v>45146.625023148146</v>
      </c>
      <c r="AG1994" s="85">
        <v>45146</v>
      </c>
      <c r="AH1994" s="80" t="s">
        <v>11752</v>
      </c>
      <c r="AI1994" s="77" t="b">
        <v>0</v>
      </c>
      <c r="AJ1994" s="77"/>
      <c r="AK1994" s="77"/>
      <c r="AL1994" s="77"/>
      <c r="AM1994" s="77"/>
      <c r="AN1994" s="77"/>
      <c r="AO1994" s="77"/>
      <c r="AP1994" s="77"/>
      <c r="AQ1994" s="77" t="s">
        <v>15071</v>
      </c>
      <c r="AR1994" s="77"/>
      <c r="AS1994" s="77"/>
      <c r="AT1994" s="77"/>
      <c r="AU1994" s="77"/>
      <c r="AV1994" s="83" t="str">
        <f>HYPERLINK("https://pbs.twimg.com/media/F3BHHkibsAAmcG_.jpg")</f>
        <v>https://pbs.twimg.com/media/F3BHHkibsAAmcG_.jpg</v>
      </c>
      <c r="AW1994" s="80" t="s">
        <v>17842</v>
      </c>
      <c r="AX1994" s="80" t="s">
        <v>17842</v>
      </c>
      <c r="AY1994" s="77"/>
      <c r="AZ1994" s="80" t="s">
        <v>20380</v>
      </c>
      <c r="BA1994" s="80" t="s">
        <v>20380</v>
      </c>
      <c r="BB1994" s="80" t="s">
        <v>20380</v>
      </c>
      <c r="BC1994" s="80" t="s">
        <v>17842</v>
      </c>
      <c r="BD1994" s="80" t="s">
        <v>20789</v>
      </c>
      <c r="BE1994" s="77"/>
      <c r="BF1994" s="77"/>
      <c r="BG1994" s="77"/>
      <c r="BH1994" s="77"/>
      <c r="BI1994" s="77"/>
    </row>
    <row r="1995" spans="1:61" x14ac:dyDescent="0.25">
      <c r="A1995" s="62" t="s">
        <v>847</v>
      </c>
      <c r="B1995" s="62" t="s">
        <v>1596</v>
      </c>
      <c r="C1995" s="63"/>
      <c r="D1995" s="64"/>
      <c r="E1995" s="65"/>
      <c r="F1995" s="66"/>
      <c r="G1995" s="63"/>
      <c r="H1995" s="67"/>
      <c r="I1995" s="68"/>
      <c r="J1995" s="68"/>
      <c r="K1995" s="32"/>
      <c r="L1995" s="75">
        <v>1995</v>
      </c>
      <c r="M1995" s="75"/>
      <c r="N1995" s="70"/>
      <c r="O1995" s="77" t="s">
        <v>2081</v>
      </c>
      <c r="P1995" s="79">
        <v>45145.785370370373</v>
      </c>
      <c r="Q1995" s="77" t="s">
        <v>3867</v>
      </c>
      <c r="R1995" s="77">
        <v>0</v>
      </c>
      <c r="S1995" s="77">
        <v>0</v>
      </c>
      <c r="T1995" s="77">
        <v>0</v>
      </c>
      <c r="U1995" s="77">
        <v>0</v>
      </c>
      <c r="V1995" s="77">
        <v>250</v>
      </c>
      <c r="W1995" s="80" t="s">
        <v>7150</v>
      </c>
      <c r="X1995" s="77"/>
      <c r="Y1995" s="77"/>
      <c r="Z1995" s="77" t="s">
        <v>8966</v>
      </c>
      <c r="AA1995" s="77"/>
      <c r="AB1995" s="77"/>
      <c r="AC1995" s="80" t="s">
        <v>10542</v>
      </c>
      <c r="AD1995" s="77" t="s">
        <v>10617</v>
      </c>
      <c r="AE1995" s="83" t="str">
        <f>HYPERLINK("https://twitter.com/_srto21/status/1688623779608449024")</f>
        <v>https://twitter.com/_srto21/status/1688623779608449024</v>
      </c>
      <c r="AF1995" s="79">
        <v>45145.785370370373</v>
      </c>
      <c r="AG1995" s="85">
        <v>45145</v>
      </c>
      <c r="AH1995" s="80" t="s">
        <v>12393</v>
      </c>
      <c r="AI1995" s="77"/>
      <c r="AJ1995" s="77"/>
      <c r="AK1995" s="77"/>
      <c r="AL1995" s="77"/>
      <c r="AM1995" s="77"/>
      <c r="AN1995" s="77"/>
      <c r="AO1995" s="77"/>
      <c r="AP1995" s="77"/>
      <c r="AQ1995" s="77"/>
      <c r="AR1995" s="77"/>
      <c r="AS1995" s="77"/>
      <c r="AT1995" s="77"/>
      <c r="AU1995" s="77"/>
      <c r="AV1995" s="83" t="str">
        <f>HYPERLINK("https://pbs.twimg.com/profile_images/1455528531375575047/dFq6keZ__normal.jpg")</f>
        <v>https://pbs.twimg.com/profile_images/1455528531375575047/dFq6keZ__normal.jpg</v>
      </c>
      <c r="AW1995" s="80" t="s">
        <v>17843</v>
      </c>
      <c r="AX1995" s="80" t="s">
        <v>17843</v>
      </c>
      <c r="AY1995" s="80" t="s">
        <v>20288</v>
      </c>
      <c r="AZ1995" s="80" t="s">
        <v>20380</v>
      </c>
      <c r="BA1995" s="80" t="s">
        <v>20380</v>
      </c>
      <c r="BB1995" s="80" t="s">
        <v>20380</v>
      </c>
      <c r="BC1995" s="80" t="s">
        <v>17843</v>
      </c>
      <c r="BD1995" s="77">
        <v>297701533</v>
      </c>
      <c r="BE1995" s="77"/>
      <c r="BF1995" s="77"/>
      <c r="BG1995" s="77"/>
      <c r="BH1995" s="77"/>
      <c r="BI1995" s="77"/>
    </row>
    <row r="1996" spans="1:61" x14ac:dyDescent="0.25">
      <c r="A1996" s="62" t="s">
        <v>847</v>
      </c>
      <c r="B1996" s="62" t="s">
        <v>1760</v>
      </c>
      <c r="C1996" s="63"/>
      <c r="D1996" s="64"/>
      <c r="E1996" s="65"/>
      <c r="F1996" s="66"/>
      <c r="G1996" s="63"/>
      <c r="H1996" s="67"/>
      <c r="I1996" s="68"/>
      <c r="J1996" s="68"/>
      <c r="K1996" s="32"/>
      <c r="L1996" s="75">
        <v>1996</v>
      </c>
      <c r="M1996" s="75"/>
      <c r="N1996" s="70"/>
      <c r="O1996" s="77" t="s">
        <v>2081</v>
      </c>
      <c r="P1996" s="79">
        <v>45145.785370370373</v>
      </c>
      <c r="Q1996" s="77" t="s">
        <v>3867</v>
      </c>
      <c r="R1996" s="77">
        <v>0</v>
      </c>
      <c r="S1996" s="77">
        <v>0</v>
      </c>
      <c r="T1996" s="77">
        <v>0</v>
      </c>
      <c r="U1996" s="77">
        <v>0</v>
      </c>
      <c r="V1996" s="77">
        <v>250</v>
      </c>
      <c r="W1996" s="80" t="s">
        <v>7150</v>
      </c>
      <c r="X1996" s="77"/>
      <c r="Y1996" s="77"/>
      <c r="Z1996" s="77" t="s">
        <v>8966</v>
      </c>
      <c r="AA1996" s="77"/>
      <c r="AB1996" s="77"/>
      <c r="AC1996" s="80" t="s">
        <v>10542</v>
      </c>
      <c r="AD1996" s="77" t="s">
        <v>10617</v>
      </c>
      <c r="AE1996" s="83" t="str">
        <f>HYPERLINK("https://twitter.com/_srto21/status/1688623779608449024")</f>
        <v>https://twitter.com/_srto21/status/1688623779608449024</v>
      </c>
      <c r="AF1996" s="79">
        <v>45145.785370370373</v>
      </c>
      <c r="AG1996" s="85">
        <v>45145</v>
      </c>
      <c r="AH1996" s="80" t="s">
        <v>12393</v>
      </c>
      <c r="AI1996" s="77"/>
      <c r="AJ1996" s="77"/>
      <c r="AK1996" s="77"/>
      <c r="AL1996" s="77"/>
      <c r="AM1996" s="77"/>
      <c r="AN1996" s="77"/>
      <c r="AO1996" s="77"/>
      <c r="AP1996" s="77"/>
      <c r="AQ1996" s="77"/>
      <c r="AR1996" s="77"/>
      <c r="AS1996" s="77"/>
      <c r="AT1996" s="77"/>
      <c r="AU1996" s="77"/>
      <c r="AV1996" s="83" t="str">
        <f>HYPERLINK("https://pbs.twimg.com/profile_images/1455528531375575047/dFq6keZ__normal.jpg")</f>
        <v>https://pbs.twimg.com/profile_images/1455528531375575047/dFq6keZ__normal.jpg</v>
      </c>
      <c r="AW1996" s="80" t="s">
        <v>17843</v>
      </c>
      <c r="AX1996" s="80" t="s">
        <v>17843</v>
      </c>
      <c r="AY1996" s="80" t="s">
        <v>20288</v>
      </c>
      <c r="AZ1996" s="80" t="s">
        <v>20380</v>
      </c>
      <c r="BA1996" s="80" t="s">
        <v>20380</v>
      </c>
      <c r="BB1996" s="80" t="s">
        <v>20380</v>
      </c>
      <c r="BC1996" s="80" t="s">
        <v>17843</v>
      </c>
      <c r="BD1996" s="77">
        <v>297701533</v>
      </c>
      <c r="BE1996" s="77"/>
      <c r="BF1996" s="77"/>
      <c r="BG1996" s="77"/>
      <c r="BH1996" s="77"/>
      <c r="BI1996" s="77"/>
    </row>
    <row r="1997" spans="1:61" x14ac:dyDescent="0.25">
      <c r="A1997" s="62" t="s">
        <v>848</v>
      </c>
      <c r="B1997" s="62" t="s">
        <v>848</v>
      </c>
      <c r="C1997" s="63"/>
      <c r="D1997" s="64"/>
      <c r="E1997" s="65"/>
      <c r="F1997" s="66"/>
      <c r="G1997" s="63"/>
      <c r="H1997" s="67"/>
      <c r="I1997" s="68"/>
      <c r="J1997" s="68"/>
      <c r="K1997" s="32"/>
      <c r="L1997" s="75">
        <v>1997</v>
      </c>
      <c r="M1997" s="75"/>
      <c r="N1997" s="70"/>
      <c r="O1997" s="77" t="s">
        <v>179</v>
      </c>
      <c r="P1997" s="79">
        <v>45150.123796296299</v>
      </c>
      <c r="Q1997" s="77" t="s">
        <v>3868</v>
      </c>
      <c r="R1997" s="77">
        <v>1</v>
      </c>
      <c r="S1997" s="77">
        <v>2</v>
      </c>
      <c r="T1997" s="77">
        <v>0</v>
      </c>
      <c r="U1997" s="77">
        <v>0</v>
      </c>
      <c r="V1997" s="77">
        <v>68</v>
      </c>
      <c r="W1997" s="80" t="s">
        <v>7151</v>
      </c>
      <c r="X1997" s="77"/>
      <c r="Y1997" s="77"/>
      <c r="Z1997" s="77"/>
      <c r="AA1997" s="77" t="s">
        <v>9590</v>
      </c>
      <c r="AB1997" s="77" t="s">
        <v>10535</v>
      </c>
      <c r="AC1997" s="80" t="s">
        <v>10541</v>
      </c>
      <c r="AD1997" s="77" t="s">
        <v>10620</v>
      </c>
      <c r="AE1997" s="83" t="str">
        <f>HYPERLINK("https://twitter.com/shirley51198078/status/1690195971827798016")</f>
        <v>https://twitter.com/shirley51198078/status/1690195971827798016</v>
      </c>
      <c r="AF1997" s="79">
        <v>45150.123796296299</v>
      </c>
      <c r="AG1997" s="85">
        <v>45150</v>
      </c>
      <c r="AH1997" s="80" t="s">
        <v>12394</v>
      </c>
      <c r="AI1997" s="77" t="b">
        <v>0</v>
      </c>
      <c r="AJ1997" s="77"/>
      <c r="AK1997" s="77"/>
      <c r="AL1997" s="77"/>
      <c r="AM1997" s="77"/>
      <c r="AN1997" s="77"/>
      <c r="AO1997" s="77"/>
      <c r="AP1997" s="77"/>
      <c r="AQ1997" s="77" t="s">
        <v>15072</v>
      </c>
      <c r="AR1997" s="77"/>
      <c r="AS1997" s="77"/>
      <c r="AT1997" s="77"/>
      <c r="AU1997" s="77"/>
      <c r="AV1997" s="83" t="str">
        <f>HYPERLINK("https://pbs.twimg.com/media/F3TGYyxWQAMeSP-.jpg")</f>
        <v>https://pbs.twimg.com/media/F3TGYyxWQAMeSP-.jpg</v>
      </c>
      <c r="AW1997" s="80" t="s">
        <v>17844</v>
      </c>
      <c r="AX1997" s="80" t="s">
        <v>17844</v>
      </c>
      <c r="AY1997" s="77"/>
      <c r="AZ1997" s="80" t="s">
        <v>20380</v>
      </c>
      <c r="BA1997" s="80" t="s">
        <v>20380</v>
      </c>
      <c r="BB1997" s="80" t="s">
        <v>20380</v>
      </c>
      <c r="BC1997" s="80" t="s">
        <v>17844</v>
      </c>
      <c r="BD1997" s="80" t="s">
        <v>20790</v>
      </c>
      <c r="BE1997" s="77"/>
      <c r="BF1997" s="77"/>
      <c r="BG1997" s="77"/>
      <c r="BH1997" s="77"/>
      <c r="BI1997" s="77"/>
    </row>
    <row r="1998" spans="1:61" x14ac:dyDescent="0.25">
      <c r="A1998" s="62" t="s">
        <v>849</v>
      </c>
      <c r="B1998" s="62" t="s">
        <v>849</v>
      </c>
      <c r="C1998" s="63"/>
      <c r="D1998" s="64"/>
      <c r="E1998" s="65"/>
      <c r="F1998" s="66"/>
      <c r="G1998" s="63"/>
      <c r="H1998" s="67"/>
      <c r="I1998" s="68"/>
      <c r="J1998" s="68"/>
      <c r="K1998" s="32"/>
      <c r="L1998" s="75">
        <v>1998</v>
      </c>
      <c r="M1998" s="75"/>
      <c r="N1998" s="70"/>
      <c r="O1998" s="77" t="s">
        <v>179</v>
      </c>
      <c r="P1998" s="79">
        <v>45086.737013888887</v>
      </c>
      <c r="Q1998" s="77" t="s">
        <v>3869</v>
      </c>
      <c r="R1998" s="77">
        <v>14</v>
      </c>
      <c r="S1998" s="77">
        <v>28</v>
      </c>
      <c r="T1998" s="77">
        <v>1</v>
      </c>
      <c r="U1998" s="77">
        <v>3</v>
      </c>
      <c r="V1998" s="77">
        <v>531</v>
      </c>
      <c r="W1998" s="80" t="s">
        <v>7152</v>
      </c>
      <c r="X1998" s="77"/>
      <c r="Y1998" s="77"/>
      <c r="Z1998" s="77"/>
      <c r="AA1998" s="77" t="s">
        <v>9591</v>
      </c>
      <c r="AB1998" s="77" t="s">
        <v>10535</v>
      </c>
      <c r="AC1998" s="80" t="s">
        <v>10541</v>
      </c>
      <c r="AD1998" s="77" t="s">
        <v>10617</v>
      </c>
      <c r="AE1998" s="83" t="str">
        <f>HYPERLINK("https://twitter.com/contraf_cut/status/1667225369114554370")</f>
        <v>https://twitter.com/contraf_cut/status/1667225369114554370</v>
      </c>
      <c r="AF1998" s="79">
        <v>45086.737013888887</v>
      </c>
      <c r="AG1998" s="85">
        <v>45086</v>
      </c>
      <c r="AH1998" s="80" t="s">
        <v>12395</v>
      </c>
      <c r="AI1998" s="77" t="b">
        <v>0</v>
      </c>
      <c r="AJ1998" s="77"/>
      <c r="AK1998" s="77"/>
      <c r="AL1998" s="77"/>
      <c r="AM1998" s="77"/>
      <c r="AN1998" s="77"/>
      <c r="AO1998" s="77"/>
      <c r="AP1998" s="77"/>
      <c r="AQ1998" s="77" t="s">
        <v>15073</v>
      </c>
      <c r="AR1998" s="77"/>
      <c r="AS1998" s="77"/>
      <c r="AT1998" s="77"/>
      <c r="AU1998" s="77"/>
      <c r="AV1998" s="83" t="str">
        <f>HYPERLINK("https://pbs.twimg.com/media/FyMsWBjWIAgUrVt.jpg")</f>
        <v>https://pbs.twimg.com/media/FyMsWBjWIAgUrVt.jpg</v>
      </c>
      <c r="AW1998" s="80" t="s">
        <v>17845</v>
      </c>
      <c r="AX1998" s="80" t="s">
        <v>17845</v>
      </c>
      <c r="AY1998" s="77"/>
      <c r="AZ1998" s="80" t="s">
        <v>20380</v>
      </c>
      <c r="BA1998" s="80" t="s">
        <v>20380</v>
      </c>
      <c r="BB1998" s="80" t="s">
        <v>20380</v>
      </c>
      <c r="BC1998" s="80" t="s">
        <v>17845</v>
      </c>
      <c r="BD1998" s="80" t="s">
        <v>20791</v>
      </c>
      <c r="BE1998" s="77"/>
      <c r="BF1998" s="77"/>
      <c r="BG1998" s="77"/>
      <c r="BH1998" s="77"/>
      <c r="BI1998" s="77"/>
    </row>
    <row r="1999" spans="1:61" x14ac:dyDescent="0.25">
      <c r="A1999" s="62" t="s">
        <v>850</v>
      </c>
      <c r="B1999" s="62" t="s">
        <v>850</v>
      </c>
      <c r="C1999" s="63"/>
      <c r="D1999" s="64"/>
      <c r="E1999" s="65"/>
      <c r="F1999" s="66"/>
      <c r="G1999" s="63"/>
      <c r="H1999" s="67"/>
      <c r="I1999" s="68"/>
      <c r="J1999" s="68"/>
      <c r="K1999" s="32"/>
      <c r="L1999" s="75">
        <v>1999</v>
      </c>
      <c r="M1999" s="75"/>
      <c r="N1999" s="70"/>
      <c r="O1999" s="77" t="s">
        <v>179</v>
      </c>
      <c r="P1999" s="79">
        <v>45050.490162037036</v>
      </c>
      <c r="Q1999" s="77" t="s">
        <v>3870</v>
      </c>
      <c r="R1999" s="77">
        <v>0</v>
      </c>
      <c r="S1999" s="77">
        <v>0</v>
      </c>
      <c r="T1999" s="77">
        <v>0</v>
      </c>
      <c r="U1999" s="77">
        <v>0</v>
      </c>
      <c r="V1999" s="77">
        <v>21</v>
      </c>
      <c r="W1999" s="80" t="s">
        <v>7153</v>
      </c>
      <c r="X1999" s="83" t="str">
        <f>HYPERLINK("https://is.gd/HbSkYX")</f>
        <v>https://is.gd/HbSkYX</v>
      </c>
      <c r="Y1999" s="77" t="s">
        <v>8690</v>
      </c>
      <c r="Z1999" s="77"/>
      <c r="AA1999" s="77" t="s">
        <v>9592</v>
      </c>
      <c r="AB1999" s="77" t="s">
        <v>10535</v>
      </c>
      <c r="AC1999" s="80" t="s">
        <v>10586</v>
      </c>
      <c r="AD1999" s="77" t="s">
        <v>10617</v>
      </c>
      <c r="AE1999" s="83" t="str">
        <f>HYPERLINK("https://twitter.com/jadsonlimanovo/status/1654089949434507270")</f>
        <v>https://twitter.com/jadsonlimanovo/status/1654089949434507270</v>
      </c>
      <c r="AF1999" s="79">
        <v>45050.490162037036</v>
      </c>
      <c r="AG1999" s="85">
        <v>45050</v>
      </c>
      <c r="AH1999" s="80" t="s">
        <v>12396</v>
      </c>
      <c r="AI1999" s="77" t="b">
        <v>0</v>
      </c>
      <c r="AJ1999" s="77"/>
      <c r="AK1999" s="77"/>
      <c r="AL1999" s="77"/>
      <c r="AM1999" s="77"/>
      <c r="AN1999" s="77"/>
      <c r="AO1999" s="77"/>
      <c r="AP1999" s="77"/>
      <c r="AQ1999" s="77" t="s">
        <v>15074</v>
      </c>
      <c r="AR1999" s="77"/>
      <c r="AS1999" s="77"/>
      <c r="AT1999" s="77"/>
      <c r="AU1999" s="77"/>
      <c r="AV1999" s="83" t="str">
        <f>HYPERLINK("https://pbs.twimg.com/media/FvSCCw4XsAYBKoP.jpg")</f>
        <v>https://pbs.twimg.com/media/FvSCCw4XsAYBKoP.jpg</v>
      </c>
      <c r="AW1999" s="80" t="s">
        <v>17846</v>
      </c>
      <c r="AX1999" s="80" t="s">
        <v>17846</v>
      </c>
      <c r="AY1999" s="77"/>
      <c r="AZ1999" s="80" t="s">
        <v>20380</v>
      </c>
      <c r="BA1999" s="80" t="s">
        <v>20380</v>
      </c>
      <c r="BB1999" s="80" t="s">
        <v>20380</v>
      </c>
      <c r="BC1999" s="80" t="s">
        <v>17846</v>
      </c>
      <c r="BD1999" s="80" t="s">
        <v>20792</v>
      </c>
      <c r="BE1999" s="77"/>
      <c r="BF1999" s="77"/>
      <c r="BG1999" s="77"/>
      <c r="BH1999" s="77"/>
      <c r="BI1999" s="77"/>
    </row>
    <row r="2000" spans="1:61" x14ac:dyDescent="0.25">
      <c r="A2000" s="62" t="s">
        <v>851</v>
      </c>
      <c r="B2000" s="62" t="s">
        <v>851</v>
      </c>
      <c r="C2000" s="63"/>
      <c r="D2000" s="64"/>
      <c r="E2000" s="65"/>
      <c r="F2000" s="66"/>
      <c r="G2000" s="63"/>
      <c r="H2000" s="67"/>
      <c r="I2000" s="68"/>
      <c r="J2000" s="68"/>
      <c r="K2000" s="32"/>
      <c r="L2000" s="75">
        <v>2000</v>
      </c>
      <c r="M2000" s="75"/>
      <c r="N2000" s="70"/>
      <c r="O2000" s="77" t="s">
        <v>179</v>
      </c>
      <c r="P2000" s="79">
        <v>45061.685636574075</v>
      </c>
      <c r="Q2000" s="77" t="s">
        <v>3871</v>
      </c>
      <c r="R2000" s="77">
        <v>0</v>
      </c>
      <c r="S2000" s="77">
        <v>0</v>
      </c>
      <c r="T2000" s="77">
        <v>0</v>
      </c>
      <c r="U2000" s="77">
        <v>0</v>
      </c>
      <c r="V2000" s="77">
        <v>95</v>
      </c>
      <c r="W2000" s="80" t="s">
        <v>7154</v>
      </c>
      <c r="X2000" s="83" t="str">
        <f>HYPERLINK("https://www.diariochaco.com/638859-el-banco-central-oficializo-la-suba-de-tasas-de-interes-a-97")</f>
        <v>https://www.diariochaco.com/638859-el-banco-central-oficializo-la-suba-de-tasas-de-interes-a-97</v>
      </c>
      <c r="Y2000" s="77" t="s">
        <v>8760</v>
      </c>
      <c r="Z2000" s="77"/>
      <c r="AA2000" s="77"/>
      <c r="AB2000" s="77"/>
      <c r="AC2000" s="80" t="s">
        <v>10541</v>
      </c>
      <c r="AD2000" s="77" t="s">
        <v>10620</v>
      </c>
      <c r="AE2000" s="83" t="str">
        <f>HYPERLINK("https://twitter.com/diarioch/status/1658147056182079494")</f>
        <v>https://twitter.com/diarioch/status/1658147056182079494</v>
      </c>
      <c r="AF2000" s="79">
        <v>45061.685636574075</v>
      </c>
      <c r="AG2000" s="85">
        <v>45061</v>
      </c>
      <c r="AH2000" s="80" t="s">
        <v>12397</v>
      </c>
      <c r="AI2000" s="77" t="b">
        <v>0</v>
      </c>
      <c r="AJ2000" s="77"/>
      <c r="AK2000" s="77"/>
      <c r="AL2000" s="77"/>
      <c r="AM2000" s="77"/>
      <c r="AN2000" s="77"/>
      <c r="AO2000" s="77"/>
      <c r="AP2000" s="77"/>
      <c r="AQ2000" s="77"/>
      <c r="AR2000" s="77"/>
      <c r="AS2000" s="77"/>
      <c r="AT2000" s="77"/>
      <c r="AU2000" s="77"/>
      <c r="AV2000" s="83" t="str">
        <f>HYPERLINK("https://pbs.twimg.com/profile_images/1560283305966276611/neMjj7ZO_normal.jpg")</f>
        <v>https://pbs.twimg.com/profile_images/1560283305966276611/neMjj7ZO_normal.jpg</v>
      </c>
      <c r="AW2000" s="80" t="s">
        <v>17847</v>
      </c>
      <c r="AX2000" s="80" t="s">
        <v>17847</v>
      </c>
      <c r="AY2000" s="77"/>
      <c r="AZ2000" s="80" t="s">
        <v>20380</v>
      </c>
      <c r="BA2000" s="80" t="s">
        <v>20380</v>
      </c>
      <c r="BB2000" s="80" t="s">
        <v>20380</v>
      </c>
      <c r="BC2000" s="80" t="s">
        <v>17847</v>
      </c>
      <c r="BD2000" s="77">
        <v>142646733</v>
      </c>
      <c r="BE2000" s="77"/>
      <c r="BF2000" s="77"/>
      <c r="BG2000" s="77"/>
      <c r="BH2000" s="77"/>
      <c r="BI2000" s="77"/>
    </row>
    <row r="2001" spans="1:61" x14ac:dyDescent="0.25">
      <c r="A2001" s="62" t="s">
        <v>851</v>
      </c>
      <c r="B2001" s="62" t="s">
        <v>851</v>
      </c>
      <c r="C2001" s="63"/>
      <c r="D2001" s="64"/>
      <c r="E2001" s="65"/>
      <c r="F2001" s="66"/>
      <c r="G2001" s="63"/>
      <c r="H2001" s="67"/>
      <c r="I2001" s="68"/>
      <c r="J2001" s="68"/>
      <c r="K2001" s="32"/>
      <c r="L2001" s="75">
        <v>2001</v>
      </c>
      <c r="M2001" s="75"/>
      <c r="N2001" s="70"/>
      <c r="O2001" s="77" t="s">
        <v>179</v>
      </c>
      <c r="P2001" s="79">
        <v>45083.976099537038</v>
      </c>
      <c r="Q2001" s="77" t="s">
        <v>3872</v>
      </c>
      <c r="R2001" s="77">
        <v>0</v>
      </c>
      <c r="S2001" s="77">
        <v>1</v>
      </c>
      <c r="T2001" s="77">
        <v>0</v>
      </c>
      <c r="U2001" s="77">
        <v>0</v>
      </c>
      <c r="V2001" s="77">
        <v>135</v>
      </c>
      <c r="W2001" s="80" t="s">
        <v>6888</v>
      </c>
      <c r="X2001" s="83" t="str">
        <f>HYPERLINK("https://www.diariochaco.com/639926-la-justicia-fallo-a-favor-de-cordoba-y-la-provincia-accedera-a-145-millones-de-dolares-para-pagar-deudas")</f>
        <v>https://www.diariochaco.com/639926-la-justicia-fallo-a-favor-de-cordoba-y-la-provincia-accedera-a-145-millones-de-dolares-para-pagar-deudas</v>
      </c>
      <c r="Y2001" s="77" t="s">
        <v>8760</v>
      </c>
      <c r="Z2001" s="77"/>
      <c r="AA2001" s="77"/>
      <c r="AB2001" s="77"/>
      <c r="AC2001" s="80" t="s">
        <v>10541</v>
      </c>
      <c r="AD2001" s="77" t="s">
        <v>10620</v>
      </c>
      <c r="AE2001" s="83" t="str">
        <f>HYPERLINK("https://twitter.com/diarioch/status/1666224848765427712")</f>
        <v>https://twitter.com/diarioch/status/1666224848765427712</v>
      </c>
      <c r="AF2001" s="79">
        <v>45083.976099537038</v>
      </c>
      <c r="AG2001" s="85">
        <v>45083</v>
      </c>
      <c r="AH2001" s="80" t="s">
        <v>12398</v>
      </c>
      <c r="AI2001" s="77" t="b">
        <v>0</v>
      </c>
      <c r="AJ2001" s="77"/>
      <c r="AK2001" s="77"/>
      <c r="AL2001" s="77"/>
      <c r="AM2001" s="77"/>
      <c r="AN2001" s="77"/>
      <c r="AO2001" s="77"/>
      <c r="AP2001" s="77"/>
      <c r="AQ2001" s="77"/>
      <c r="AR2001" s="77"/>
      <c r="AS2001" s="77"/>
      <c r="AT2001" s="77"/>
      <c r="AU2001" s="77"/>
      <c r="AV2001" s="83" t="str">
        <f>HYPERLINK("https://pbs.twimg.com/profile_images/1560283305966276611/neMjj7ZO_normal.jpg")</f>
        <v>https://pbs.twimg.com/profile_images/1560283305966276611/neMjj7ZO_normal.jpg</v>
      </c>
      <c r="AW2001" s="80" t="s">
        <v>17848</v>
      </c>
      <c r="AX2001" s="80" t="s">
        <v>17848</v>
      </c>
      <c r="AY2001" s="77"/>
      <c r="AZ2001" s="80" t="s">
        <v>20380</v>
      </c>
      <c r="BA2001" s="80" t="s">
        <v>20380</v>
      </c>
      <c r="BB2001" s="80" t="s">
        <v>20380</v>
      </c>
      <c r="BC2001" s="80" t="s">
        <v>17848</v>
      </c>
      <c r="BD2001" s="77">
        <v>142646733</v>
      </c>
      <c r="BE2001" s="77"/>
      <c r="BF2001" s="77"/>
      <c r="BG2001" s="77"/>
      <c r="BH2001" s="77"/>
      <c r="BI2001" s="77"/>
    </row>
    <row r="2002" spans="1:61" x14ac:dyDescent="0.25">
      <c r="A2002" s="62" t="s">
        <v>851</v>
      </c>
      <c r="B2002" s="62" t="s">
        <v>851</v>
      </c>
      <c r="C2002" s="63"/>
      <c r="D2002" s="64"/>
      <c r="E2002" s="65"/>
      <c r="F2002" s="66"/>
      <c r="G2002" s="63"/>
      <c r="H2002" s="67"/>
      <c r="I2002" s="68"/>
      <c r="J2002" s="68"/>
      <c r="K2002" s="32"/>
      <c r="L2002" s="75">
        <v>2002</v>
      </c>
      <c r="M2002" s="75"/>
      <c r="N2002" s="70"/>
      <c r="O2002" s="77" t="s">
        <v>179</v>
      </c>
      <c r="P2002" s="79">
        <v>45125.539236111108</v>
      </c>
      <c r="Q2002" s="77" t="s">
        <v>3873</v>
      </c>
      <c r="R2002" s="77">
        <v>2</v>
      </c>
      <c r="S2002" s="77">
        <v>0</v>
      </c>
      <c r="T2002" s="77">
        <v>0</v>
      </c>
      <c r="U2002" s="77">
        <v>0</v>
      </c>
      <c r="V2002" s="77">
        <v>109</v>
      </c>
      <c r="W2002" s="80" t="s">
        <v>7155</v>
      </c>
      <c r="X2002" s="83" t="str">
        <f>HYPERLINK("https://www.diariochaco.com/641731-el-bcra-llego-a-su-nivel-mas-bajo-de-reservas-desde-2016-y-presiona-al-gobierno-para-que-logre-un-acuerdo-con-el-fmi")</f>
        <v>https://www.diariochaco.com/641731-el-bcra-llego-a-su-nivel-mas-bajo-de-reservas-desde-2016-y-presiona-al-gobierno-para-que-logre-un-acuerdo-con-el-fmi</v>
      </c>
      <c r="Y2002" s="77" t="s">
        <v>8760</v>
      </c>
      <c r="Z2002" s="77"/>
      <c r="AA2002" s="77"/>
      <c r="AB2002" s="77"/>
      <c r="AC2002" s="80" t="s">
        <v>10541</v>
      </c>
      <c r="AD2002" s="77" t="s">
        <v>10620</v>
      </c>
      <c r="AE2002" s="83" t="str">
        <f>HYPERLINK("https://twitter.com/diarioch/status/1681286825426714624")</f>
        <v>https://twitter.com/diarioch/status/1681286825426714624</v>
      </c>
      <c r="AF2002" s="79">
        <v>45125.539236111108</v>
      </c>
      <c r="AG2002" s="85">
        <v>45125</v>
      </c>
      <c r="AH2002" s="80" t="s">
        <v>12399</v>
      </c>
      <c r="AI2002" s="77" t="b">
        <v>0</v>
      </c>
      <c r="AJ2002" s="77"/>
      <c r="AK2002" s="77"/>
      <c r="AL2002" s="77"/>
      <c r="AM2002" s="77"/>
      <c r="AN2002" s="77"/>
      <c r="AO2002" s="77"/>
      <c r="AP2002" s="77"/>
      <c r="AQ2002" s="77"/>
      <c r="AR2002" s="77"/>
      <c r="AS2002" s="77"/>
      <c r="AT2002" s="77"/>
      <c r="AU2002" s="77"/>
      <c r="AV2002" s="83" t="str">
        <f>HYPERLINK("https://pbs.twimg.com/profile_images/1560283305966276611/neMjj7ZO_normal.jpg")</f>
        <v>https://pbs.twimg.com/profile_images/1560283305966276611/neMjj7ZO_normal.jpg</v>
      </c>
      <c r="AW2002" s="80" t="s">
        <v>17849</v>
      </c>
      <c r="AX2002" s="80" t="s">
        <v>17849</v>
      </c>
      <c r="AY2002" s="77"/>
      <c r="AZ2002" s="80" t="s">
        <v>20380</v>
      </c>
      <c r="BA2002" s="80" t="s">
        <v>20380</v>
      </c>
      <c r="BB2002" s="80" t="s">
        <v>20380</v>
      </c>
      <c r="BC2002" s="80" t="s">
        <v>17849</v>
      </c>
      <c r="BD2002" s="77">
        <v>142646733</v>
      </c>
      <c r="BE2002" s="77"/>
      <c r="BF2002" s="77"/>
      <c r="BG2002" s="77"/>
      <c r="BH2002" s="77"/>
      <c r="BI2002" s="77"/>
    </row>
    <row r="2003" spans="1:61" x14ac:dyDescent="0.25">
      <c r="A2003" s="62" t="s">
        <v>851</v>
      </c>
      <c r="B2003" s="62" t="s">
        <v>851</v>
      </c>
      <c r="C2003" s="63"/>
      <c r="D2003" s="64"/>
      <c r="E2003" s="65"/>
      <c r="F2003" s="66"/>
      <c r="G2003" s="63"/>
      <c r="H2003" s="67"/>
      <c r="I2003" s="68"/>
      <c r="J2003" s="68"/>
      <c r="K2003" s="32"/>
      <c r="L2003" s="75">
        <v>2003</v>
      </c>
      <c r="M2003" s="75"/>
      <c r="N2003" s="70"/>
      <c r="O2003" s="77" t="s">
        <v>179</v>
      </c>
      <c r="P2003" s="79">
        <v>45190.836076388892</v>
      </c>
      <c r="Q2003" s="77" t="s">
        <v>3874</v>
      </c>
      <c r="R2003" s="77">
        <v>0</v>
      </c>
      <c r="S2003" s="77">
        <v>0</v>
      </c>
      <c r="T2003" s="77">
        <v>0</v>
      </c>
      <c r="U2003" s="77">
        <v>0</v>
      </c>
      <c r="V2003" s="77">
        <v>90</v>
      </c>
      <c r="W2003" s="80" t="s">
        <v>5884</v>
      </c>
      <c r="X2003" s="83" t="str">
        <f>HYPERLINK("https://www.diariochaco.com/644815-el-bcra-mantuvo-la-racha-positiva-y-en-septiembre-lleva-comprados-513-millones-de-dolares")</f>
        <v>https://www.diariochaco.com/644815-el-bcra-mantuvo-la-racha-positiva-y-en-septiembre-lleva-comprados-513-millones-de-dolares</v>
      </c>
      <c r="Y2003" s="77" t="s">
        <v>8760</v>
      </c>
      <c r="Z2003" s="77"/>
      <c r="AA2003" s="77"/>
      <c r="AB2003" s="77"/>
      <c r="AC2003" s="80" t="s">
        <v>10541</v>
      </c>
      <c r="AD2003" s="77" t="s">
        <v>10620</v>
      </c>
      <c r="AE2003" s="83" t="str">
        <f>HYPERLINK("https://twitter.com/diarioch/status/1704949608273629382")</f>
        <v>https://twitter.com/diarioch/status/1704949608273629382</v>
      </c>
      <c r="AF2003" s="79">
        <v>45190.836076388892</v>
      </c>
      <c r="AG2003" s="85">
        <v>45190</v>
      </c>
      <c r="AH2003" s="80" t="s">
        <v>12400</v>
      </c>
      <c r="AI2003" s="77" t="b">
        <v>0</v>
      </c>
      <c r="AJ2003" s="77"/>
      <c r="AK2003" s="77"/>
      <c r="AL2003" s="77"/>
      <c r="AM2003" s="77"/>
      <c r="AN2003" s="77"/>
      <c r="AO2003" s="77"/>
      <c r="AP2003" s="77"/>
      <c r="AQ2003" s="77"/>
      <c r="AR2003" s="77"/>
      <c r="AS2003" s="77"/>
      <c r="AT2003" s="77"/>
      <c r="AU2003" s="77"/>
      <c r="AV2003" s="83" t="str">
        <f>HYPERLINK("https://pbs.twimg.com/profile_images/1560283305966276611/neMjj7ZO_normal.jpg")</f>
        <v>https://pbs.twimg.com/profile_images/1560283305966276611/neMjj7ZO_normal.jpg</v>
      </c>
      <c r="AW2003" s="80" t="s">
        <v>17850</v>
      </c>
      <c r="AX2003" s="80" t="s">
        <v>17850</v>
      </c>
      <c r="AY2003" s="77"/>
      <c r="AZ2003" s="80" t="s">
        <v>20380</v>
      </c>
      <c r="BA2003" s="80" t="s">
        <v>20380</v>
      </c>
      <c r="BB2003" s="80" t="s">
        <v>20380</v>
      </c>
      <c r="BC2003" s="80" t="s">
        <v>17850</v>
      </c>
      <c r="BD2003" s="77">
        <v>142646733</v>
      </c>
      <c r="BE2003" s="77"/>
      <c r="BF2003" s="77"/>
      <c r="BG2003" s="77"/>
      <c r="BH2003" s="77"/>
      <c r="BI2003" s="77"/>
    </row>
    <row r="2004" spans="1:61" x14ac:dyDescent="0.25">
      <c r="A2004" s="62" t="s">
        <v>852</v>
      </c>
      <c r="B2004" s="62" t="s">
        <v>852</v>
      </c>
      <c r="C2004" s="63"/>
      <c r="D2004" s="64"/>
      <c r="E2004" s="65"/>
      <c r="F2004" s="66"/>
      <c r="G2004" s="63"/>
      <c r="H2004" s="67"/>
      <c r="I2004" s="68"/>
      <c r="J2004" s="68"/>
      <c r="K2004" s="32"/>
      <c r="L2004" s="75">
        <v>2004</v>
      </c>
      <c r="M2004" s="75"/>
      <c r="N2004" s="70"/>
      <c r="O2004" s="77" t="s">
        <v>179</v>
      </c>
      <c r="P2004" s="79">
        <v>45196.638321759259</v>
      </c>
      <c r="Q2004" s="77" t="s">
        <v>3875</v>
      </c>
      <c r="R2004" s="77">
        <v>0</v>
      </c>
      <c r="S2004" s="77">
        <v>0</v>
      </c>
      <c r="T2004" s="77">
        <v>0</v>
      </c>
      <c r="U2004" s="77">
        <v>0</v>
      </c>
      <c r="V2004" s="77">
        <v>44</v>
      </c>
      <c r="W2004" s="80" t="s">
        <v>7156</v>
      </c>
      <c r="X2004" s="77"/>
      <c r="Y2004" s="77"/>
      <c r="Z2004" s="77"/>
      <c r="AA2004" s="77"/>
      <c r="AB2004" s="77"/>
      <c r="AC2004" s="80" t="s">
        <v>10540</v>
      </c>
      <c r="AD2004" s="77" t="s">
        <v>10620</v>
      </c>
      <c r="AE2004" s="83" t="str">
        <f>HYPERLINK("https://twitter.com/el_gatu/status/1707052271341625761")</f>
        <v>https://twitter.com/el_gatu/status/1707052271341625761</v>
      </c>
      <c r="AF2004" s="79">
        <v>45196.638321759259</v>
      </c>
      <c r="AG2004" s="85">
        <v>45196</v>
      </c>
      <c r="AH2004" s="80" t="s">
        <v>12401</v>
      </c>
      <c r="AI2004" s="77"/>
      <c r="AJ2004" s="77"/>
      <c r="AK2004" s="77"/>
      <c r="AL2004" s="77"/>
      <c r="AM2004" s="77"/>
      <c r="AN2004" s="77"/>
      <c r="AO2004" s="77"/>
      <c r="AP2004" s="77"/>
      <c r="AQ2004" s="77"/>
      <c r="AR2004" s="77"/>
      <c r="AS2004" s="77"/>
      <c r="AT2004" s="77"/>
      <c r="AU2004" s="77"/>
      <c r="AV2004" s="83" t="str">
        <f>HYPERLINK("https://pbs.twimg.com/profile_images/1663721036121010179/Jq985jk__normal.jpg")</f>
        <v>https://pbs.twimg.com/profile_images/1663721036121010179/Jq985jk__normal.jpg</v>
      </c>
      <c r="AW2004" s="80" t="s">
        <v>17851</v>
      </c>
      <c r="AX2004" s="80" t="s">
        <v>17851</v>
      </c>
      <c r="AY2004" s="77"/>
      <c r="AZ2004" s="80" t="s">
        <v>20380</v>
      </c>
      <c r="BA2004" s="80" t="s">
        <v>20380</v>
      </c>
      <c r="BB2004" s="80" t="s">
        <v>20380</v>
      </c>
      <c r="BC2004" s="80" t="s">
        <v>17851</v>
      </c>
      <c r="BD2004" s="77">
        <v>3050293225</v>
      </c>
      <c r="BE2004" s="77"/>
      <c r="BF2004" s="77"/>
      <c r="BG2004" s="77"/>
      <c r="BH2004" s="77"/>
      <c r="BI2004" s="77"/>
    </row>
    <row r="2005" spans="1:61" x14ac:dyDescent="0.25">
      <c r="A2005" s="62" t="s">
        <v>853</v>
      </c>
      <c r="B2005" s="62" t="s">
        <v>1716</v>
      </c>
      <c r="C2005" s="63"/>
      <c r="D2005" s="64"/>
      <c r="E2005" s="65"/>
      <c r="F2005" s="66"/>
      <c r="G2005" s="63"/>
      <c r="H2005" s="67"/>
      <c r="I2005" s="68"/>
      <c r="J2005" s="68"/>
      <c r="K2005" s="32"/>
      <c r="L2005" s="75">
        <v>2005</v>
      </c>
      <c r="M2005" s="75"/>
      <c r="N2005" s="70"/>
      <c r="O2005" s="77" t="s">
        <v>2081</v>
      </c>
      <c r="P2005" s="79">
        <v>45090.797442129631</v>
      </c>
      <c r="Q2005" s="77" t="s">
        <v>3876</v>
      </c>
      <c r="R2005" s="77">
        <v>0</v>
      </c>
      <c r="S2005" s="77">
        <v>0</v>
      </c>
      <c r="T2005" s="77">
        <v>0</v>
      </c>
      <c r="U2005" s="77">
        <v>0</v>
      </c>
      <c r="V2005" s="77">
        <v>72</v>
      </c>
      <c r="W2005" s="80" t="s">
        <v>7157</v>
      </c>
      <c r="X2005" s="83" t="str">
        <f>HYPERLINK("https://bit.ly/43tMKs1")</f>
        <v>https://bit.ly/43tMKs1</v>
      </c>
      <c r="Y2005" s="77" t="s">
        <v>8618</v>
      </c>
      <c r="Z2005" s="77" t="s">
        <v>1716</v>
      </c>
      <c r="AA2005" s="77" t="s">
        <v>9593</v>
      </c>
      <c r="AB2005" s="77" t="s">
        <v>10538</v>
      </c>
      <c r="AC2005" s="80" t="s">
        <v>10541</v>
      </c>
      <c r="AD2005" s="77" t="s">
        <v>10620</v>
      </c>
      <c r="AE2005" s="83" t="str">
        <f>HYPERLINK("https://twitter.com/lunavalienterd/status/1668696821386838026")</f>
        <v>https://twitter.com/lunavalienterd/status/1668696821386838026</v>
      </c>
      <c r="AF2005" s="79">
        <v>45090.797442129631</v>
      </c>
      <c r="AG2005" s="85">
        <v>45090</v>
      </c>
      <c r="AH2005" s="80" t="s">
        <v>12402</v>
      </c>
      <c r="AI2005" s="77" t="b">
        <v>0</v>
      </c>
      <c r="AJ2005" s="77"/>
      <c r="AK2005" s="77"/>
      <c r="AL2005" s="77"/>
      <c r="AM2005" s="77"/>
      <c r="AN2005" s="77"/>
      <c r="AO2005" s="77"/>
      <c r="AP2005" s="77"/>
      <c r="AQ2005" s="77" t="s">
        <v>15075</v>
      </c>
      <c r="AR2005" s="77"/>
      <c r="AS2005" s="77"/>
      <c r="AT2005" s="77"/>
      <c r="AU2005" s="77"/>
      <c r="AV2005" s="83" t="str">
        <f>HYPERLINK("https://pbs.twimg.com/media/FyhmOSgWIAYCRoY.jpg")</f>
        <v>https://pbs.twimg.com/media/FyhmOSgWIAYCRoY.jpg</v>
      </c>
      <c r="AW2005" s="80" t="s">
        <v>17852</v>
      </c>
      <c r="AX2005" s="80" t="s">
        <v>17852</v>
      </c>
      <c r="AY2005" s="77"/>
      <c r="AZ2005" s="80" t="s">
        <v>20380</v>
      </c>
      <c r="BA2005" s="80" t="s">
        <v>20380</v>
      </c>
      <c r="BB2005" s="80" t="s">
        <v>20380</v>
      </c>
      <c r="BC2005" s="80" t="s">
        <v>17852</v>
      </c>
      <c r="BD2005" s="77">
        <v>382205673</v>
      </c>
      <c r="BE2005" s="77"/>
      <c r="BF2005" s="77"/>
      <c r="BG2005" s="77"/>
      <c r="BH2005" s="77"/>
      <c r="BI2005" s="77"/>
    </row>
    <row r="2006" spans="1:61" x14ac:dyDescent="0.25">
      <c r="A2006" s="62" t="s">
        <v>853</v>
      </c>
      <c r="B2006" s="62" t="s">
        <v>1716</v>
      </c>
      <c r="C2006" s="63"/>
      <c r="D2006" s="64"/>
      <c r="E2006" s="65"/>
      <c r="F2006" s="66"/>
      <c r="G2006" s="63"/>
      <c r="H2006" s="67"/>
      <c r="I2006" s="68"/>
      <c r="J2006" s="68"/>
      <c r="K2006" s="32"/>
      <c r="L2006" s="75">
        <v>2006</v>
      </c>
      <c r="M2006" s="75"/>
      <c r="N2006" s="70"/>
      <c r="O2006" s="77" t="s">
        <v>2081</v>
      </c>
      <c r="P2006" s="79">
        <v>45139.414907407408</v>
      </c>
      <c r="Q2006" s="77" t="s">
        <v>3877</v>
      </c>
      <c r="R2006" s="77">
        <v>0</v>
      </c>
      <c r="S2006" s="77">
        <v>0</v>
      </c>
      <c r="T2006" s="77">
        <v>0</v>
      </c>
      <c r="U2006" s="77">
        <v>0</v>
      </c>
      <c r="V2006" s="77">
        <v>27</v>
      </c>
      <c r="W2006" s="80" t="s">
        <v>7158</v>
      </c>
      <c r="X2006" s="83" t="str">
        <f>HYPERLINK("https://www.bancentral.gov.do/a/d/5739-bcrd-mantiene-su-tasa-de-politica-monetaria-en-775--anual")</f>
        <v>https://www.bancentral.gov.do/a/d/5739-bcrd-mantiene-su-tasa-de-politica-monetaria-en-775--anual</v>
      </c>
      <c r="Y2006" s="77" t="s">
        <v>8761</v>
      </c>
      <c r="Z2006" s="77" t="s">
        <v>1716</v>
      </c>
      <c r="AA2006" s="77" t="s">
        <v>9594</v>
      </c>
      <c r="AB2006" s="77" t="s">
        <v>10535</v>
      </c>
      <c r="AC2006" s="80" t="s">
        <v>10541</v>
      </c>
      <c r="AD2006" s="77" t="s">
        <v>10620</v>
      </c>
      <c r="AE2006" s="83" t="str">
        <f>HYPERLINK("https://twitter.com/lunavalienterd/status/1686315201425993728")</f>
        <v>https://twitter.com/lunavalienterd/status/1686315201425993728</v>
      </c>
      <c r="AF2006" s="79">
        <v>45139.414907407408</v>
      </c>
      <c r="AG2006" s="85">
        <v>45139</v>
      </c>
      <c r="AH2006" s="80" t="s">
        <v>12403</v>
      </c>
      <c r="AI2006" s="77" t="b">
        <v>0</v>
      </c>
      <c r="AJ2006" s="77"/>
      <c r="AK2006" s="77"/>
      <c r="AL2006" s="77"/>
      <c r="AM2006" s="77"/>
      <c r="AN2006" s="77"/>
      <c r="AO2006" s="77"/>
      <c r="AP2006" s="77"/>
      <c r="AQ2006" s="77" t="s">
        <v>15076</v>
      </c>
      <c r="AR2006" s="77"/>
      <c r="AS2006" s="77"/>
      <c r="AT2006" s="77"/>
      <c r="AU2006" s="77"/>
      <c r="AV2006" s="83" t="str">
        <f>HYPERLINK("https://pbs.twimg.com/media/F2b-E7kWoAAUuks.jpg")</f>
        <v>https://pbs.twimg.com/media/F2b-E7kWoAAUuks.jpg</v>
      </c>
      <c r="AW2006" s="80" t="s">
        <v>17853</v>
      </c>
      <c r="AX2006" s="80" t="s">
        <v>17853</v>
      </c>
      <c r="AY2006" s="77"/>
      <c r="AZ2006" s="80" t="s">
        <v>20380</v>
      </c>
      <c r="BA2006" s="80" t="s">
        <v>20380</v>
      </c>
      <c r="BB2006" s="80" t="s">
        <v>20380</v>
      </c>
      <c r="BC2006" s="80" t="s">
        <v>17853</v>
      </c>
      <c r="BD2006" s="77">
        <v>382205673</v>
      </c>
      <c r="BE2006" s="77"/>
      <c r="BF2006" s="77"/>
      <c r="BG2006" s="77"/>
      <c r="BH2006" s="77"/>
      <c r="BI2006" s="77"/>
    </row>
    <row r="2007" spans="1:61" x14ac:dyDescent="0.25">
      <c r="A2007" s="62" t="s">
        <v>854</v>
      </c>
      <c r="B2007" s="62" t="s">
        <v>854</v>
      </c>
      <c r="C2007" s="63"/>
      <c r="D2007" s="64"/>
      <c r="E2007" s="65"/>
      <c r="F2007" s="66"/>
      <c r="G2007" s="63"/>
      <c r="H2007" s="67"/>
      <c r="I2007" s="68"/>
      <c r="J2007" s="68"/>
      <c r="K2007" s="32"/>
      <c r="L2007" s="75">
        <v>2007</v>
      </c>
      <c r="M2007" s="75"/>
      <c r="N2007" s="70"/>
      <c r="O2007" s="77" t="s">
        <v>179</v>
      </c>
      <c r="P2007" s="79">
        <v>45107.096597222226</v>
      </c>
      <c r="Q2007" s="77" t="s">
        <v>3878</v>
      </c>
      <c r="R2007" s="77">
        <v>0</v>
      </c>
      <c r="S2007" s="77">
        <v>0</v>
      </c>
      <c r="T2007" s="77">
        <v>1</v>
      </c>
      <c r="U2007" s="77">
        <v>0</v>
      </c>
      <c r="V2007" s="77">
        <v>12</v>
      </c>
      <c r="W2007" s="80" t="s">
        <v>7159</v>
      </c>
      <c r="X2007" s="77"/>
      <c r="Y2007" s="77"/>
      <c r="Z2007" s="77"/>
      <c r="AA2007" s="77" t="s">
        <v>9595</v>
      </c>
      <c r="AB2007" s="77" t="s">
        <v>10535</v>
      </c>
      <c r="AC2007" s="80" t="s">
        <v>10542</v>
      </c>
      <c r="AD2007" s="77" t="s">
        <v>10620</v>
      </c>
      <c r="AE2007" s="83" t="str">
        <f>HYPERLINK("https://twitter.com/asnotici/status/1674603435709145088")</f>
        <v>https://twitter.com/asnotici/status/1674603435709145088</v>
      </c>
      <c r="AF2007" s="79">
        <v>45107.096597222226</v>
      </c>
      <c r="AG2007" s="85">
        <v>45107</v>
      </c>
      <c r="AH2007" s="80" t="s">
        <v>12404</v>
      </c>
      <c r="AI2007" s="77" t="b">
        <v>0</v>
      </c>
      <c r="AJ2007" s="77"/>
      <c r="AK2007" s="77"/>
      <c r="AL2007" s="77"/>
      <c r="AM2007" s="77"/>
      <c r="AN2007" s="77"/>
      <c r="AO2007" s="77"/>
      <c r="AP2007" s="77"/>
      <c r="AQ2007" s="77" t="s">
        <v>15077</v>
      </c>
      <c r="AR2007" s="77"/>
      <c r="AS2007" s="77"/>
      <c r="AT2007" s="77"/>
      <c r="AU2007" s="77"/>
      <c r="AV2007" s="83" t="str">
        <f>HYPERLINK("https://pbs.twimg.com/media/Fz1i8k2WcAIW1iM.jpg")</f>
        <v>https://pbs.twimg.com/media/Fz1i8k2WcAIW1iM.jpg</v>
      </c>
      <c r="AW2007" s="80" t="s">
        <v>17854</v>
      </c>
      <c r="AX2007" s="80" t="s">
        <v>17854</v>
      </c>
      <c r="AY2007" s="77"/>
      <c r="AZ2007" s="80" t="s">
        <v>20380</v>
      </c>
      <c r="BA2007" s="80" t="s">
        <v>20380</v>
      </c>
      <c r="BB2007" s="80" t="s">
        <v>20380</v>
      </c>
      <c r="BC2007" s="80" t="s">
        <v>17854</v>
      </c>
      <c r="BD2007" s="80" t="s">
        <v>20793</v>
      </c>
      <c r="BE2007" s="77"/>
      <c r="BF2007" s="77"/>
      <c r="BG2007" s="77"/>
      <c r="BH2007" s="77"/>
      <c r="BI2007" s="77"/>
    </row>
    <row r="2008" spans="1:61" x14ac:dyDescent="0.25">
      <c r="A2008" s="62" t="s">
        <v>855</v>
      </c>
      <c r="B2008" s="62" t="s">
        <v>855</v>
      </c>
      <c r="C2008" s="63"/>
      <c r="D2008" s="64"/>
      <c r="E2008" s="65"/>
      <c r="F2008" s="66"/>
      <c r="G2008" s="63"/>
      <c r="H2008" s="67"/>
      <c r="I2008" s="68"/>
      <c r="J2008" s="68"/>
      <c r="K2008" s="32"/>
      <c r="L2008" s="75">
        <v>2008</v>
      </c>
      <c r="M2008" s="75"/>
      <c r="N2008" s="70"/>
      <c r="O2008" s="77" t="s">
        <v>2078</v>
      </c>
      <c r="P2008" s="79">
        <v>45051.576655092591</v>
      </c>
      <c r="Q2008" s="77" t="s">
        <v>3879</v>
      </c>
      <c r="R2008" s="77">
        <v>0</v>
      </c>
      <c r="S2008" s="77">
        <v>0</v>
      </c>
      <c r="T2008" s="77">
        <v>0</v>
      </c>
      <c r="U2008" s="77">
        <v>0</v>
      </c>
      <c r="V2008" s="77">
        <v>17</v>
      </c>
      <c r="W2008" s="80" t="s">
        <v>7160</v>
      </c>
      <c r="X2008" s="77"/>
      <c r="Y2008" s="77"/>
      <c r="Z2008" s="77"/>
      <c r="AA2008" s="77"/>
      <c r="AB2008" s="77"/>
      <c r="AC2008" s="80" t="s">
        <v>10542</v>
      </c>
      <c r="AD2008" s="77" t="s">
        <v>10617</v>
      </c>
      <c r="AE2008" s="83" t="str">
        <f>HYPERLINK("https://twitter.com/ismaelguerreir6/status/1654483681749217284")</f>
        <v>https://twitter.com/ismaelguerreir6/status/1654483681749217284</v>
      </c>
      <c r="AF2008" s="79">
        <v>45051.576655092591</v>
      </c>
      <c r="AG2008" s="85">
        <v>45051</v>
      </c>
      <c r="AH2008" s="80" t="s">
        <v>12405</v>
      </c>
      <c r="AI2008" s="77"/>
      <c r="AJ2008" s="77"/>
      <c r="AK2008" s="77"/>
      <c r="AL2008" s="77"/>
      <c r="AM2008" s="77"/>
      <c r="AN2008" s="77"/>
      <c r="AO2008" s="77"/>
      <c r="AP2008" s="77"/>
      <c r="AQ2008" s="77"/>
      <c r="AR2008" s="77"/>
      <c r="AS2008" s="77"/>
      <c r="AT2008" s="77"/>
      <c r="AU2008" s="77"/>
      <c r="AV2008" s="83" t="str">
        <f>HYPERLINK("https://pbs.twimg.com/profile_images/1645831886533476353/XaFU2cRF_normal.jpg")</f>
        <v>https://pbs.twimg.com/profile_images/1645831886533476353/XaFU2cRF_normal.jpg</v>
      </c>
      <c r="AW2008" s="80" t="s">
        <v>17855</v>
      </c>
      <c r="AX2008" s="80" t="s">
        <v>20035</v>
      </c>
      <c r="AY2008" s="80" t="s">
        <v>20289</v>
      </c>
      <c r="AZ2008" s="80" t="s">
        <v>20422</v>
      </c>
      <c r="BA2008" s="80" t="s">
        <v>20380</v>
      </c>
      <c r="BB2008" s="80" t="s">
        <v>20380</v>
      </c>
      <c r="BC2008" s="80" t="s">
        <v>20422</v>
      </c>
      <c r="BD2008" s="80" t="s">
        <v>20289</v>
      </c>
      <c r="BE2008" s="77"/>
      <c r="BF2008" s="77"/>
      <c r="BG2008" s="77"/>
      <c r="BH2008" s="77"/>
      <c r="BI2008" s="77"/>
    </row>
    <row r="2009" spans="1:61" x14ac:dyDescent="0.25">
      <c r="A2009" s="62" t="s">
        <v>855</v>
      </c>
      <c r="B2009" s="62" t="s">
        <v>855</v>
      </c>
      <c r="C2009" s="63"/>
      <c r="D2009" s="64"/>
      <c r="E2009" s="65"/>
      <c r="F2009" s="66"/>
      <c r="G2009" s="63"/>
      <c r="H2009" s="67"/>
      <c r="I2009" s="68"/>
      <c r="J2009" s="68"/>
      <c r="K2009" s="32"/>
      <c r="L2009" s="75">
        <v>2009</v>
      </c>
      <c r="M2009" s="75"/>
      <c r="N2009" s="70"/>
      <c r="O2009" s="77" t="s">
        <v>2078</v>
      </c>
      <c r="P2009" s="79">
        <v>45055.507800925923</v>
      </c>
      <c r="Q2009" s="77" t="s">
        <v>3880</v>
      </c>
      <c r="R2009" s="77">
        <v>0</v>
      </c>
      <c r="S2009" s="77">
        <v>0</v>
      </c>
      <c r="T2009" s="77">
        <v>0</v>
      </c>
      <c r="U2009" s="77">
        <v>0</v>
      </c>
      <c r="V2009" s="77">
        <v>22</v>
      </c>
      <c r="W2009" s="80" t="s">
        <v>7161</v>
      </c>
      <c r="X2009" s="77"/>
      <c r="Y2009" s="77"/>
      <c r="Z2009" s="77"/>
      <c r="AA2009" s="77"/>
      <c r="AB2009" s="77"/>
      <c r="AC2009" s="80" t="s">
        <v>10542</v>
      </c>
      <c r="AD2009" s="77" t="s">
        <v>10617</v>
      </c>
      <c r="AE2009" s="83" t="str">
        <f>HYPERLINK("https://twitter.com/ismaelguerreir6/status/1655908283742298112")</f>
        <v>https://twitter.com/ismaelguerreir6/status/1655908283742298112</v>
      </c>
      <c r="AF2009" s="79">
        <v>45055.507800925923</v>
      </c>
      <c r="AG2009" s="85">
        <v>45055</v>
      </c>
      <c r="AH2009" s="80" t="s">
        <v>12406</v>
      </c>
      <c r="AI2009" s="77"/>
      <c r="AJ2009" s="77"/>
      <c r="AK2009" s="77"/>
      <c r="AL2009" s="77"/>
      <c r="AM2009" s="77"/>
      <c r="AN2009" s="77"/>
      <c r="AO2009" s="77"/>
      <c r="AP2009" s="77"/>
      <c r="AQ2009" s="77"/>
      <c r="AR2009" s="77"/>
      <c r="AS2009" s="77"/>
      <c r="AT2009" s="77"/>
      <c r="AU2009" s="77"/>
      <c r="AV2009" s="83" t="str">
        <f>HYPERLINK("https://pbs.twimg.com/profile_images/1645831886533476353/XaFU2cRF_normal.jpg")</f>
        <v>https://pbs.twimg.com/profile_images/1645831886533476353/XaFU2cRF_normal.jpg</v>
      </c>
      <c r="AW2009" s="80" t="s">
        <v>17856</v>
      </c>
      <c r="AX2009" s="80" t="s">
        <v>20036</v>
      </c>
      <c r="AY2009" s="80" t="s">
        <v>20289</v>
      </c>
      <c r="AZ2009" s="80" t="s">
        <v>20423</v>
      </c>
      <c r="BA2009" s="80" t="s">
        <v>20380</v>
      </c>
      <c r="BB2009" s="80" t="s">
        <v>20380</v>
      </c>
      <c r="BC2009" s="80" t="s">
        <v>20423</v>
      </c>
      <c r="BD2009" s="80" t="s">
        <v>20289</v>
      </c>
      <c r="BE2009" s="77"/>
      <c r="BF2009" s="77"/>
      <c r="BG2009" s="77"/>
      <c r="BH2009" s="77"/>
      <c r="BI2009" s="77"/>
    </row>
    <row r="2010" spans="1:61" x14ac:dyDescent="0.25">
      <c r="A2010" s="62" t="s">
        <v>855</v>
      </c>
      <c r="B2010" s="62" t="s">
        <v>855</v>
      </c>
      <c r="C2010" s="63"/>
      <c r="D2010" s="64"/>
      <c r="E2010" s="65"/>
      <c r="F2010" s="66"/>
      <c r="G2010" s="63"/>
      <c r="H2010" s="67"/>
      <c r="I2010" s="68"/>
      <c r="J2010" s="68"/>
      <c r="K2010" s="32"/>
      <c r="L2010" s="75">
        <v>2010</v>
      </c>
      <c r="M2010" s="75"/>
      <c r="N2010" s="70"/>
      <c r="O2010" s="77" t="s">
        <v>2078</v>
      </c>
      <c r="P2010" s="79">
        <v>45050.554282407407</v>
      </c>
      <c r="Q2010" s="77" t="s">
        <v>3881</v>
      </c>
      <c r="R2010" s="77">
        <v>0</v>
      </c>
      <c r="S2010" s="77">
        <v>0</v>
      </c>
      <c r="T2010" s="77">
        <v>0</v>
      </c>
      <c r="U2010" s="77">
        <v>0</v>
      </c>
      <c r="V2010" s="77">
        <v>12</v>
      </c>
      <c r="W2010" s="80" t="s">
        <v>7162</v>
      </c>
      <c r="X2010" s="83" t="str">
        <f>HYPERLINK("http://Investing.com")</f>
        <v>http://Investing.com</v>
      </c>
      <c r="Y2010" s="77" t="s">
        <v>8720</v>
      </c>
      <c r="Z2010" s="77"/>
      <c r="AA2010" s="77"/>
      <c r="AB2010" s="77"/>
      <c r="AC2010" s="80" t="s">
        <v>10542</v>
      </c>
      <c r="AD2010" s="77" t="s">
        <v>10617</v>
      </c>
      <c r="AE2010" s="83" t="str">
        <f>HYPERLINK("https://twitter.com/ismaelguerreir6/status/1654113188517126144")</f>
        <v>https://twitter.com/ismaelguerreir6/status/1654113188517126144</v>
      </c>
      <c r="AF2010" s="79">
        <v>45050.554282407407</v>
      </c>
      <c r="AG2010" s="85">
        <v>45050</v>
      </c>
      <c r="AH2010" s="80" t="s">
        <v>11119</v>
      </c>
      <c r="AI2010" s="77" t="b">
        <v>0</v>
      </c>
      <c r="AJ2010" s="77"/>
      <c r="AK2010" s="77"/>
      <c r="AL2010" s="77"/>
      <c r="AM2010" s="77"/>
      <c r="AN2010" s="77"/>
      <c r="AO2010" s="77"/>
      <c r="AP2010" s="77"/>
      <c r="AQ2010" s="77"/>
      <c r="AR2010" s="77"/>
      <c r="AS2010" s="77"/>
      <c r="AT2010" s="77"/>
      <c r="AU2010" s="77"/>
      <c r="AV2010" s="83" t="str">
        <f>HYPERLINK("https://pbs.twimg.com/profile_images/1645831886533476353/XaFU2cRF_normal.jpg")</f>
        <v>https://pbs.twimg.com/profile_images/1645831886533476353/XaFU2cRF_normal.jpg</v>
      </c>
      <c r="AW2010" s="80" t="s">
        <v>17857</v>
      </c>
      <c r="AX2010" s="80" t="s">
        <v>20037</v>
      </c>
      <c r="AY2010" s="80" t="s">
        <v>20289</v>
      </c>
      <c r="AZ2010" s="80" t="s">
        <v>20037</v>
      </c>
      <c r="BA2010" s="80" t="s">
        <v>20380</v>
      </c>
      <c r="BB2010" s="80" t="s">
        <v>20380</v>
      </c>
      <c r="BC2010" s="80" t="s">
        <v>20037</v>
      </c>
      <c r="BD2010" s="80" t="s">
        <v>20289</v>
      </c>
      <c r="BE2010" s="77"/>
      <c r="BF2010" s="77"/>
      <c r="BG2010" s="77"/>
      <c r="BH2010" s="77"/>
      <c r="BI2010" s="77"/>
    </row>
    <row r="2011" spans="1:61" x14ac:dyDescent="0.25">
      <c r="A2011" s="62" t="s">
        <v>856</v>
      </c>
      <c r="B2011" s="62" t="s">
        <v>856</v>
      </c>
      <c r="C2011" s="63"/>
      <c r="D2011" s="64"/>
      <c r="E2011" s="65"/>
      <c r="F2011" s="66"/>
      <c r="G2011" s="63"/>
      <c r="H2011" s="67"/>
      <c r="I2011" s="68"/>
      <c r="J2011" s="68"/>
      <c r="K2011" s="32"/>
      <c r="L2011" s="75">
        <v>2011</v>
      </c>
      <c r="M2011" s="75"/>
      <c r="N2011" s="70"/>
      <c r="O2011" s="77" t="s">
        <v>179</v>
      </c>
      <c r="P2011" s="79">
        <v>45149.934502314813</v>
      </c>
      <c r="Q2011" s="77" t="s">
        <v>3882</v>
      </c>
      <c r="R2011" s="77">
        <v>0</v>
      </c>
      <c r="S2011" s="77">
        <v>0</v>
      </c>
      <c r="T2011" s="77">
        <v>0</v>
      </c>
      <c r="U2011" s="77">
        <v>0</v>
      </c>
      <c r="V2011" s="77">
        <v>14</v>
      </c>
      <c r="W2011" s="80" t="s">
        <v>7163</v>
      </c>
      <c r="X2011" s="83" t="str">
        <f>HYPERLINK("https://www.elaguijonnoticias.com.ar/post/compra-de-gas-un-desmadre-digno-de-un-sainete")</f>
        <v>https://www.elaguijonnoticias.com.ar/post/compra-de-gas-un-desmadre-digno-de-un-sainete</v>
      </c>
      <c r="Y2011" s="77" t="s">
        <v>8624</v>
      </c>
      <c r="Z2011" s="77"/>
      <c r="AA2011" s="77"/>
      <c r="AB2011" s="77"/>
      <c r="AC2011" s="80" t="s">
        <v>10541</v>
      </c>
      <c r="AD2011" s="77" t="s">
        <v>10620</v>
      </c>
      <c r="AE2011" s="83" t="str">
        <f>HYPERLINK("https://twitter.com/aguijonn/status/1690127373650264064")</f>
        <v>https://twitter.com/aguijonn/status/1690127373650264064</v>
      </c>
      <c r="AF2011" s="79">
        <v>45149.934502314813</v>
      </c>
      <c r="AG2011" s="85">
        <v>45149</v>
      </c>
      <c r="AH2011" s="80" t="s">
        <v>12407</v>
      </c>
      <c r="AI2011" s="77" t="b">
        <v>0</v>
      </c>
      <c r="AJ2011" s="77"/>
      <c r="AK2011" s="77"/>
      <c r="AL2011" s="77"/>
      <c r="AM2011" s="77"/>
      <c r="AN2011" s="77"/>
      <c r="AO2011" s="77"/>
      <c r="AP2011" s="77"/>
      <c r="AQ2011" s="77"/>
      <c r="AR2011" s="77"/>
      <c r="AS2011" s="77"/>
      <c r="AT2011" s="77"/>
      <c r="AU2011" s="77"/>
      <c r="AV2011" s="83" t="str">
        <f>HYPERLINK("https://pbs.twimg.com/profile_images/1547579885320753155/T6V48f9i_normal.jpg")</f>
        <v>https://pbs.twimg.com/profile_images/1547579885320753155/T6V48f9i_normal.jpg</v>
      </c>
      <c r="AW2011" s="80" t="s">
        <v>17858</v>
      </c>
      <c r="AX2011" s="80" t="s">
        <v>17858</v>
      </c>
      <c r="AY2011" s="77"/>
      <c r="AZ2011" s="80" t="s">
        <v>20380</v>
      </c>
      <c r="BA2011" s="80" t="s">
        <v>20380</v>
      </c>
      <c r="BB2011" s="80" t="s">
        <v>20380</v>
      </c>
      <c r="BC2011" s="80" t="s">
        <v>17858</v>
      </c>
      <c r="BD2011" s="80" t="s">
        <v>20794</v>
      </c>
      <c r="BE2011" s="77"/>
      <c r="BF2011" s="77"/>
      <c r="BG2011" s="77"/>
      <c r="BH2011" s="77"/>
      <c r="BI2011" s="77"/>
    </row>
    <row r="2012" spans="1:61" x14ac:dyDescent="0.25">
      <c r="A2012" s="62" t="s">
        <v>857</v>
      </c>
      <c r="B2012" s="62" t="s">
        <v>857</v>
      </c>
      <c r="C2012" s="63"/>
      <c r="D2012" s="64"/>
      <c r="E2012" s="65"/>
      <c r="F2012" s="66"/>
      <c r="G2012" s="63"/>
      <c r="H2012" s="67"/>
      <c r="I2012" s="68"/>
      <c r="J2012" s="68"/>
      <c r="K2012" s="32"/>
      <c r="L2012" s="75">
        <v>2012</v>
      </c>
      <c r="M2012" s="75"/>
      <c r="N2012" s="70"/>
      <c r="O2012" s="77" t="s">
        <v>179</v>
      </c>
      <c r="P2012" s="79">
        <v>45079.087175925924</v>
      </c>
      <c r="Q2012" s="77" t="s">
        <v>3883</v>
      </c>
      <c r="R2012" s="77">
        <v>0</v>
      </c>
      <c r="S2012" s="77">
        <v>0</v>
      </c>
      <c r="T2012" s="77">
        <v>0</v>
      </c>
      <c r="U2012" s="77">
        <v>0</v>
      </c>
      <c r="V2012" s="77">
        <v>9</v>
      </c>
      <c r="W2012" s="80" t="s">
        <v>7164</v>
      </c>
      <c r="X2012" s="77"/>
      <c r="Y2012" s="77"/>
      <c r="Z2012" s="77"/>
      <c r="AA2012" s="77"/>
      <c r="AB2012" s="77"/>
      <c r="AC2012" s="80" t="s">
        <v>10542</v>
      </c>
      <c r="AD2012" s="77" t="s">
        <v>10626</v>
      </c>
      <c r="AE2012" s="83" t="str">
        <f>HYPERLINK("https://twitter.com/nishimurapaulo/status/1664453162739146754")</f>
        <v>https://twitter.com/nishimurapaulo/status/1664453162739146754</v>
      </c>
      <c r="AF2012" s="79">
        <v>45079.087175925924</v>
      </c>
      <c r="AG2012" s="85">
        <v>45079</v>
      </c>
      <c r="AH2012" s="80" t="s">
        <v>12408</v>
      </c>
      <c r="AI2012" s="77"/>
      <c r="AJ2012" s="77"/>
      <c r="AK2012" s="77"/>
      <c r="AL2012" s="77"/>
      <c r="AM2012" s="77"/>
      <c r="AN2012" s="77"/>
      <c r="AO2012" s="77"/>
      <c r="AP2012" s="77"/>
      <c r="AQ2012" s="77"/>
      <c r="AR2012" s="77"/>
      <c r="AS2012" s="77"/>
      <c r="AT2012" s="77"/>
      <c r="AU2012" s="77"/>
      <c r="AV2012" s="83" t="str">
        <f>HYPERLINK("https://pbs.twimg.com/profile_images/1452829261157605378/dq7hkPUS_normal.jpg")</f>
        <v>https://pbs.twimg.com/profile_images/1452829261157605378/dq7hkPUS_normal.jpg</v>
      </c>
      <c r="AW2012" s="80" t="s">
        <v>17859</v>
      </c>
      <c r="AX2012" s="80" t="s">
        <v>17859</v>
      </c>
      <c r="AY2012" s="77"/>
      <c r="AZ2012" s="80" t="s">
        <v>20380</v>
      </c>
      <c r="BA2012" s="80" t="s">
        <v>20380</v>
      </c>
      <c r="BB2012" s="80" t="s">
        <v>20380</v>
      </c>
      <c r="BC2012" s="80" t="s">
        <v>17859</v>
      </c>
      <c r="BD2012" s="77">
        <v>2627081283</v>
      </c>
      <c r="BE2012" s="77"/>
      <c r="BF2012" s="77"/>
      <c r="BG2012" s="77"/>
      <c r="BH2012" s="77"/>
      <c r="BI2012" s="77"/>
    </row>
    <row r="2013" spans="1:61" x14ac:dyDescent="0.25">
      <c r="A2013" s="62" t="s">
        <v>857</v>
      </c>
      <c r="B2013" s="62" t="s">
        <v>857</v>
      </c>
      <c r="C2013" s="63"/>
      <c r="D2013" s="64"/>
      <c r="E2013" s="65"/>
      <c r="F2013" s="66"/>
      <c r="G2013" s="63"/>
      <c r="H2013" s="67"/>
      <c r="I2013" s="68"/>
      <c r="J2013" s="68"/>
      <c r="K2013" s="32"/>
      <c r="L2013" s="75">
        <v>2013</v>
      </c>
      <c r="M2013" s="75"/>
      <c r="N2013" s="70"/>
      <c r="O2013" s="77" t="s">
        <v>179</v>
      </c>
      <c r="P2013" s="79">
        <v>45079.085046296299</v>
      </c>
      <c r="Q2013" s="77" t="s">
        <v>3884</v>
      </c>
      <c r="R2013" s="77">
        <v>0</v>
      </c>
      <c r="S2013" s="77">
        <v>0</v>
      </c>
      <c r="T2013" s="77">
        <v>0</v>
      </c>
      <c r="U2013" s="77">
        <v>0</v>
      </c>
      <c r="V2013" s="77">
        <v>14</v>
      </c>
      <c r="W2013" s="80" t="s">
        <v>7165</v>
      </c>
      <c r="X2013" s="77"/>
      <c r="Y2013" s="77"/>
      <c r="Z2013" s="77"/>
      <c r="AA2013" s="77"/>
      <c r="AB2013" s="77"/>
      <c r="AC2013" s="80" t="s">
        <v>10542</v>
      </c>
      <c r="AD2013" s="77" t="s">
        <v>10622</v>
      </c>
      <c r="AE2013" s="83" t="str">
        <f>HYPERLINK("https://twitter.com/nishimurapaulo/status/1664452389531795459")</f>
        <v>https://twitter.com/nishimurapaulo/status/1664452389531795459</v>
      </c>
      <c r="AF2013" s="79">
        <v>45079.085046296299</v>
      </c>
      <c r="AG2013" s="85">
        <v>45079</v>
      </c>
      <c r="AH2013" s="80" t="s">
        <v>12409</v>
      </c>
      <c r="AI2013" s="77"/>
      <c r="AJ2013" s="77"/>
      <c r="AK2013" s="77"/>
      <c r="AL2013" s="77"/>
      <c r="AM2013" s="77"/>
      <c r="AN2013" s="77"/>
      <c r="AO2013" s="77"/>
      <c r="AP2013" s="77"/>
      <c r="AQ2013" s="77"/>
      <c r="AR2013" s="77"/>
      <c r="AS2013" s="77"/>
      <c r="AT2013" s="77"/>
      <c r="AU2013" s="77"/>
      <c r="AV2013" s="83" t="str">
        <f>HYPERLINK("https://pbs.twimg.com/profile_images/1452829261157605378/dq7hkPUS_normal.jpg")</f>
        <v>https://pbs.twimg.com/profile_images/1452829261157605378/dq7hkPUS_normal.jpg</v>
      </c>
      <c r="AW2013" s="80" t="s">
        <v>17860</v>
      </c>
      <c r="AX2013" s="80" t="s">
        <v>17860</v>
      </c>
      <c r="AY2013" s="77"/>
      <c r="AZ2013" s="80" t="s">
        <v>20380</v>
      </c>
      <c r="BA2013" s="80" t="s">
        <v>20380</v>
      </c>
      <c r="BB2013" s="80" t="s">
        <v>20380</v>
      </c>
      <c r="BC2013" s="80" t="s">
        <v>17860</v>
      </c>
      <c r="BD2013" s="77">
        <v>2627081283</v>
      </c>
      <c r="BE2013" s="77"/>
      <c r="BF2013" s="77"/>
      <c r="BG2013" s="77"/>
      <c r="BH2013" s="77"/>
      <c r="BI2013" s="77"/>
    </row>
    <row r="2014" spans="1:61" x14ac:dyDescent="0.25">
      <c r="A2014" s="62" t="s">
        <v>858</v>
      </c>
      <c r="B2014" s="62" t="s">
        <v>858</v>
      </c>
      <c r="C2014" s="63"/>
      <c r="D2014" s="64"/>
      <c r="E2014" s="65"/>
      <c r="F2014" s="66"/>
      <c r="G2014" s="63"/>
      <c r="H2014" s="67"/>
      <c r="I2014" s="68"/>
      <c r="J2014" s="68"/>
      <c r="K2014" s="32"/>
      <c r="L2014" s="75">
        <v>2014</v>
      </c>
      <c r="M2014" s="75"/>
      <c r="N2014" s="70"/>
      <c r="O2014" s="77" t="s">
        <v>179</v>
      </c>
      <c r="P2014" s="79">
        <v>45068.708668981482</v>
      </c>
      <c r="Q2014" s="77" t="s">
        <v>3885</v>
      </c>
      <c r="R2014" s="77">
        <v>0</v>
      </c>
      <c r="S2014" s="77">
        <v>1</v>
      </c>
      <c r="T2014" s="77">
        <v>0</v>
      </c>
      <c r="U2014" s="77">
        <v>1</v>
      </c>
      <c r="V2014" s="77">
        <v>195</v>
      </c>
      <c r="W2014" s="80" t="s">
        <v>7166</v>
      </c>
      <c r="X2014" s="77"/>
      <c r="Y2014" s="77"/>
      <c r="Z2014" s="77"/>
      <c r="AA2014" s="77" t="s">
        <v>9596</v>
      </c>
      <c r="AB2014" s="77" t="s">
        <v>10534</v>
      </c>
      <c r="AC2014" s="80" t="s">
        <v>10540</v>
      </c>
      <c r="AD2014" s="77" t="s">
        <v>10620</v>
      </c>
      <c r="AE2014" s="83" t="str">
        <f>HYPERLINK("https://twitter.com/mario_moray/status/1660692118292111362")</f>
        <v>https://twitter.com/mario_moray/status/1660692118292111362</v>
      </c>
      <c r="AF2014" s="79">
        <v>45068.708668981482</v>
      </c>
      <c r="AG2014" s="85">
        <v>45068</v>
      </c>
      <c r="AH2014" s="80" t="s">
        <v>11787</v>
      </c>
      <c r="AI2014" s="77" t="b">
        <v>0</v>
      </c>
      <c r="AJ2014" s="77"/>
      <c r="AK2014" s="77"/>
      <c r="AL2014" s="77"/>
      <c r="AM2014" s="77"/>
      <c r="AN2014" s="77"/>
      <c r="AO2014" s="77"/>
      <c r="AP2014" s="77"/>
      <c r="AQ2014" s="77" t="s">
        <v>15078</v>
      </c>
      <c r="AR2014" s="77">
        <v>65175</v>
      </c>
      <c r="AS2014" s="77"/>
      <c r="AT2014" s="77"/>
      <c r="AU2014" s="77"/>
      <c r="AV2014" s="83" t="str">
        <f>HYPERLINK("https://pbs.twimg.com/ext_tw_video_thumb/1660692078932705289/pu/img/GhlzGMcE4i21rBOW.jpg")</f>
        <v>https://pbs.twimg.com/ext_tw_video_thumb/1660692078932705289/pu/img/GhlzGMcE4i21rBOW.jpg</v>
      </c>
      <c r="AW2014" s="80" t="s">
        <v>17861</v>
      </c>
      <c r="AX2014" s="80" t="s">
        <v>17861</v>
      </c>
      <c r="AY2014" s="77"/>
      <c r="AZ2014" s="80" t="s">
        <v>20380</v>
      </c>
      <c r="BA2014" s="80" t="s">
        <v>20380</v>
      </c>
      <c r="BB2014" s="80" t="s">
        <v>20380</v>
      </c>
      <c r="BC2014" s="80" t="s">
        <v>17861</v>
      </c>
      <c r="BD2014" s="77">
        <v>246107898</v>
      </c>
      <c r="BE2014" s="77"/>
      <c r="BF2014" s="77"/>
      <c r="BG2014" s="77"/>
      <c r="BH2014" s="77"/>
      <c r="BI2014" s="77"/>
    </row>
    <row r="2015" spans="1:61" x14ac:dyDescent="0.25">
      <c r="A2015" s="62" t="s">
        <v>859</v>
      </c>
      <c r="B2015" s="62" t="s">
        <v>859</v>
      </c>
      <c r="C2015" s="63"/>
      <c r="D2015" s="64"/>
      <c r="E2015" s="65"/>
      <c r="F2015" s="66"/>
      <c r="G2015" s="63"/>
      <c r="H2015" s="67"/>
      <c r="I2015" s="68"/>
      <c r="J2015" s="68"/>
      <c r="K2015" s="32"/>
      <c r="L2015" s="75">
        <v>2015</v>
      </c>
      <c r="M2015" s="75"/>
      <c r="N2015" s="70"/>
      <c r="O2015" s="77" t="s">
        <v>179</v>
      </c>
      <c r="P2015" s="79">
        <v>45099.75</v>
      </c>
      <c r="Q2015" s="77" t="s">
        <v>3886</v>
      </c>
      <c r="R2015" s="77">
        <v>3</v>
      </c>
      <c r="S2015" s="77">
        <v>11</v>
      </c>
      <c r="T2015" s="77">
        <v>0</v>
      </c>
      <c r="U2015" s="77">
        <v>0</v>
      </c>
      <c r="V2015" s="77">
        <v>296</v>
      </c>
      <c r="W2015" s="80" t="s">
        <v>7167</v>
      </c>
      <c r="X2015" s="83" t="str">
        <f>HYPERLINK("https://www.youtube.com/live/OedI9buVMZ4?feature=share")</f>
        <v>https://www.youtube.com/live/OedI9buVMZ4?feature=share</v>
      </c>
      <c r="Y2015" s="77" t="s">
        <v>8612</v>
      </c>
      <c r="Z2015" s="77"/>
      <c r="AA2015" s="77" t="s">
        <v>9597</v>
      </c>
      <c r="AB2015" s="77" t="s">
        <v>10535</v>
      </c>
      <c r="AC2015" s="80" t="s">
        <v>10551</v>
      </c>
      <c r="AD2015" s="77" t="s">
        <v>10617</v>
      </c>
      <c r="AE2015" s="83" t="str">
        <f>HYPERLINK("https://twitter.com/redetvt/status/1671941119624744963")</f>
        <v>https://twitter.com/redetvt/status/1671941119624744963</v>
      </c>
      <c r="AF2015" s="79">
        <v>45099.75</v>
      </c>
      <c r="AG2015" s="85">
        <v>45099</v>
      </c>
      <c r="AH2015" s="80" t="s">
        <v>12410</v>
      </c>
      <c r="AI2015" s="77" t="b">
        <v>0</v>
      </c>
      <c r="AJ2015" s="77"/>
      <c r="AK2015" s="77"/>
      <c r="AL2015" s="77"/>
      <c r="AM2015" s="77"/>
      <c r="AN2015" s="77"/>
      <c r="AO2015" s="77"/>
      <c r="AP2015" s="77"/>
      <c r="AQ2015" s="77" t="s">
        <v>15079</v>
      </c>
      <c r="AR2015" s="77"/>
      <c r="AS2015" s="77"/>
      <c r="AT2015" s="77"/>
      <c r="AU2015" s="77"/>
      <c r="AV2015" s="83" t="str">
        <f>HYPERLINK("https://pbs.twimg.com/media/FzPsHIzXgAESvB6.jpg")</f>
        <v>https://pbs.twimg.com/media/FzPsHIzXgAESvB6.jpg</v>
      </c>
      <c r="AW2015" s="80" t="s">
        <v>17862</v>
      </c>
      <c r="AX2015" s="80" t="s">
        <v>17862</v>
      </c>
      <c r="AY2015" s="77"/>
      <c r="AZ2015" s="80" t="s">
        <v>20380</v>
      </c>
      <c r="BA2015" s="80" t="s">
        <v>20380</v>
      </c>
      <c r="BB2015" s="80" t="s">
        <v>20380</v>
      </c>
      <c r="BC2015" s="80" t="s">
        <v>17862</v>
      </c>
      <c r="BD2015" s="77">
        <v>169918595</v>
      </c>
      <c r="BE2015" s="77"/>
      <c r="BF2015" s="77"/>
      <c r="BG2015" s="77"/>
      <c r="BH2015" s="77"/>
      <c r="BI2015" s="77"/>
    </row>
    <row r="2016" spans="1:61" x14ac:dyDescent="0.25">
      <c r="A2016" s="62" t="s">
        <v>859</v>
      </c>
      <c r="B2016" s="62" t="s">
        <v>859</v>
      </c>
      <c r="C2016" s="63"/>
      <c r="D2016" s="64"/>
      <c r="E2016" s="65"/>
      <c r="F2016" s="66"/>
      <c r="G2016" s="63"/>
      <c r="H2016" s="67"/>
      <c r="I2016" s="68"/>
      <c r="J2016" s="68"/>
      <c r="K2016" s="32"/>
      <c r="L2016" s="75">
        <v>2016</v>
      </c>
      <c r="M2016" s="75"/>
      <c r="N2016" s="70"/>
      <c r="O2016" s="77" t="s">
        <v>179</v>
      </c>
      <c r="P2016" s="79">
        <v>45099.6875</v>
      </c>
      <c r="Q2016" s="77" t="s">
        <v>3887</v>
      </c>
      <c r="R2016" s="77">
        <v>1</v>
      </c>
      <c r="S2016" s="77">
        <v>4</v>
      </c>
      <c r="T2016" s="77">
        <v>1</v>
      </c>
      <c r="U2016" s="77">
        <v>0</v>
      </c>
      <c r="V2016" s="77">
        <v>318</v>
      </c>
      <c r="W2016" s="80" t="s">
        <v>7168</v>
      </c>
      <c r="X2016" s="83" t="str">
        <f>HYPERLINK("https://www.youtube.com/live/WoOJP6rJ0Zs?feature=share")</f>
        <v>https://www.youtube.com/live/WoOJP6rJ0Zs?feature=share</v>
      </c>
      <c r="Y2016" s="77" t="s">
        <v>8612</v>
      </c>
      <c r="Z2016" s="77"/>
      <c r="AA2016" s="77" t="s">
        <v>9598</v>
      </c>
      <c r="AB2016" s="77" t="s">
        <v>10535</v>
      </c>
      <c r="AC2016" s="80" t="s">
        <v>10551</v>
      </c>
      <c r="AD2016" s="77" t="s">
        <v>10617</v>
      </c>
      <c r="AE2016" s="83" t="str">
        <f>HYPERLINK("https://twitter.com/redetvt/status/1671918468046917632")</f>
        <v>https://twitter.com/redetvt/status/1671918468046917632</v>
      </c>
      <c r="AF2016" s="79">
        <v>45099.6875</v>
      </c>
      <c r="AG2016" s="85">
        <v>45099</v>
      </c>
      <c r="AH2016" s="80" t="s">
        <v>10759</v>
      </c>
      <c r="AI2016" s="77" t="b">
        <v>0</v>
      </c>
      <c r="AJ2016" s="77"/>
      <c r="AK2016" s="77"/>
      <c r="AL2016" s="77"/>
      <c r="AM2016" s="77"/>
      <c r="AN2016" s="77"/>
      <c r="AO2016" s="77"/>
      <c r="AP2016" s="77"/>
      <c r="AQ2016" s="77" t="s">
        <v>15080</v>
      </c>
      <c r="AR2016" s="77"/>
      <c r="AS2016" s="77"/>
      <c r="AT2016" s="77"/>
      <c r="AU2016" s="77"/>
      <c r="AV2016" s="83" t="str">
        <f>HYPERLINK("https://pbs.twimg.com/media/FzPWHJdWwAYBQpj.jpg")</f>
        <v>https://pbs.twimg.com/media/FzPWHJdWwAYBQpj.jpg</v>
      </c>
      <c r="AW2016" s="80" t="s">
        <v>17863</v>
      </c>
      <c r="AX2016" s="80" t="s">
        <v>17863</v>
      </c>
      <c r="AY2016" s="77"/>
      <c r="AZ2016" s="80" t="s">
        <v>20380</v>
      </c>
      <c r="BA2016" s="80" t="s">
        <v>20380</v>
      </c>
      <c r="BB2016" s="80" t="s">
        <v>20380</v>
      </c>
      <c r="BC2016" s="80" t="s">
        <v>17863</v>
      </c>
      <c r="BD2016" s="77">
        <v>169918595</v>
      </c>
      <c r="BE2016" s="77"/>
      <c r="BF2016" s="77"/>
      <c r="BG2016" s="77"/>
      <c r="BH2016" s="77"/>
      <c r="BI2016" s="77"/>
    </row>
    <row r="2017" spans="1:61" x14ac:dyDescent="0.25">
      <c r="A2017" s="62" t="s">
        <v>859</v>
      </c>
      <c r="B2017" s="62" t="s">
        <v>859</v>
      </c>
      <c r="C2017" s="63"/>
      <c r="D2017" s="64"/>
      <c r="E2017" s="65"/>
      <c r="F2017" s="66"/>
      <c r="G2017" s="63"/>
      <c r="H2017" s="67"/>
      <c r="I2017" s="68"/>
      <c r="J2017" s="68"/>
      <c r="K2017" s="32"/>
      <c r="L2017" s="75">
        <v>2017</v>
      </c>
      <c r="M2017" s="75"/>
      <c r="N2017" s="70"/>
      <c r="O2017" s="77" t="s">
        <v>179</v>
      </c>
      <c r="P2017" s="79">
        <v>45105.010416666664</v>
      </c>
      <c r="Q2017" s="77" t="s">
        <v>3888</v>
      </c>
      <c r="R2017" s="77">
        <v>1</v>
      </c>
      <c r="S2017" s="77">
        <v>3</v>
      </c>
      <c r="T2017" s="77">
        <v>0</v>
      </c>
      <c r="U2017" s="77">
        <v>0</v>
      </c>
      <c r="V2017" s="77">
        <v>406</v>
      </c>
      <c r="W2017" s="80" t="s">
        <v>7169</v>
      </c>
      <c r="X2017" s="83" t="str">
        <f>HYPERLINK("https://www.youtube.com/live/PMRHshbxyeo?feature=share")</f>
        <v>https://www.youtube.com/live/PMRHshbxyeo?feature=share</v>
      </c>
      <c r="Y2017" s="77" t="s">
        <v>8612</v>
      </c>
      <c r="Z2017" s="77"/>
      <c r="AA2017" s="77" t="s">
        <v>9599</v>
      </c>
      <c r="AB2017" s="77" t="s">
        <v>10535</v>
      </c>
      <c r="AC2017" s="80" t="s">
        <v>10551</v>
      </c>
      <c r="AD2017" s="77" t="s">
        <v>10617</v>
      </c>
      <c r="AE2017" s="83" t="str">
        <f>HYPERLINK("https://twitter.com/redetvt/status/1673847428615659521")</f>
        <v>https://twitter.com/redetvt/status/1673847428615659521</v>
      </c>
      <c r="AF2017" s="79">
        <v>45105.010416666664</v>
      </c>
      <c r="AG2017" s="85">
        <v>45105</v>
      </c>
      <c r="AH2017" s="80" t="s">
        <v>12411</v>
      </c>
      <c r="AI2017" s="77" t="b">
        <v>0</v>
      </c>
      <c r="AJ2017" s="77"/>
      <c r="AK2017" s="77"/>
      <c r="AL2017" s="77"/>
      <c r="AM2017" s="77"/>
      <c r="AN2017" s="77"/>
      <c r="AO2017" s="77"/>
      <c r="AP2017" s="77"/>
      <c r="AQ2017" s="77" t="s">
        <v>15081</v>
      </c>
      <c r="AR2017" s="77"/>
      <c r="AS2017" s="77"/>
      <c r="AT2017" s="77"/>
      <c r="AU2017" s="77"/>
      <c r="AV2017" s="83" t="str">
        <f>HYPERLINK("https://pbs.twimg.com/media/FzpuXbnWwAIJRJ7.jpg")</f>
        <v>https://pbs.twimg.com/media/FzpuXbnWwAIJRJ7.jpg</v>
      </c>
      <c r="AW2017" s="80" t="s">
        <v>17864</v>
      </c>
      <c r="AX2017" s="80" t="s">
        <v>17864</v>
      </c>
      <c r="AY2017" s="77"/>
      <c r="AZ2017" s="80" t="s">
        <v>20380</v>
      </c>
      <c r="BA2017" s="80" t="s">
        <v>20380</v>
      </c>
      <c r="BB2017" s="80" t="s">
        <v>20380</v>
      </c>
      <c r="BC2017" s="80" t="s">
        <v>17864</v>
      </c>
      <c r="BD2017" s="77">
        <v>169918595</v>
      </c>
      <c r="BE2017" s="77"/>
      <c r="BF2017" s="77"/>
      <c r="BG2017" s="77"/>
      <c r="BH2017" s="77"/>
      <c r="BI2017" s="77"/>
    </row>
    <row r="2018" spans="1:61" x14ac:dyDescent="0.25">
      <c r="A2018" s="62" t="s">
        <v>859</v>
      </c>
      <c r="B2018" s="62" t="s">
        <v>859</v>
      </c>
      <c r="C2018" s="63"/>
      <c r="D2018" s="64"/>
      <c r="E2018" s="65"/>
      <c r="F2018" s="66"/>
      <c r="G2018" s="63"/>
      <c r="H2018" s="67"/>
      <c r="I2018" s="68"/>
      <c r="J2018" s="68"/>
      <c r="K2018" s="32"/>
      <c r="L2018" s="75">
        <v>2018</v>
      </c>
      <c r="M2018" s="75"/>
      <c r="N2018" s="70"/>
      <c r="O2018" s="77" t="s">
        <v>179</v>
      </c>
      <c r="P2018" s="79">
        <v>45090.8125</v>
      </c>
      <c r="Q2018" s="77" t="s">
        <v>3889</v>
      </c>
      <c r="R2018" s="77">
        <v>5</v>
      </c>
      <c r="S2018" s="77">
        <v>12</v>
      </c>
      <c r="T2018" s="77">
        <v>2</v>
      </c>
      <c r="U2018" s="77">
        <v>3</v>
      </c>
      <c r="V2018" s="77">
        <v>482</v>
      </c>
      <c r="W2018" s="80" t="s">
        <v>7170</v>
      </c>
      <c r="X2018" s="77"/>
      <c r="Y2018" s="77"/>
      <c r="Z2018" s="77"/>
      <c r="AA2018" s="77" t="s">
        <v>9600</v>
      </c>
      <c r="AB2018" s="77" t="s">
        <v>10534</v>
      </c>
      <c r="AC2018" s="80" t="s">
        <v>10555</v>
      </c>
      <c r="AD2018" s="77" t="s">
        <v>10617</v>
      </c>
      <c r="AE2018" s="83" t="str">
        <f>HYPERLINK("https://twitter.com/redetvt/status/1668702278172438530")</f>
        <v>https://twitter.com/redetvt/status/1668702278172438530</v>
      </c>
      <c r="AF2018" s="79">
        <v>45090.8125</v>
      </c>
      <c r="AG2018" s="85">
        <v>45090</v>
      </c>
      <c r="AH2018" s="80" t="s">
        <v>10854</v>
      </c>
      <c r="AI2018" s="77" t="b">
        <v>0</v>
      </c>
      <c r="AJ2018" s="77"/>
      <c r="AK2018" s="77"/>
      <c r="AL2018" s="77"/>
      <c r="AM2018" s="77"/>
      <c r="AN2018" s="77"/>
      <c r="AO2018" s="77"/>
      <c r="AP2018" s="77"/>
      <c r="AQ2018" s="77" t="s">
        <v>15082</v>
      </c>
      <c r="AR2018" s="77">
        <v>54101</v>
      </c>
      <c r="AS2018" s="77"/>
      <c r="AT2018" s="77"/>
      <c r="AU2018" s="77"/>
      <c r="AV2018" s="83" t="str">
        <f>HYPERLINK("https://pbs.twimg.com/ext_tw_video_thumb/1668694146003902472/pu/img/ipPrhPhsJ3FL2MtM.jpg")</f>
        <v>https://pbs.twimg.com/ext_tw_video_thumb/1668694146003902472/pu/img/ipPrhPhsJ3FL2MtM.jpg</v>
      </c>
      <c r="AW2018" s="80" t="s">
        <v>17865</v>
      </c>
      <c r="AX2018" s="80" t="s">
        <v>17865</v>
      </c>
      <c r="AY2018" s="77"/>
      <c r="AZ2018" s="80" t="s">
        <v>20380</v>
      </c>
      <c r="BA2018" s="80" t="s">
        <v>20380</v>
      </c>
      <c r="BB2018" s="80" t="s">
        <v>20380</v>
      </c>
      <c r="BC2018" s="80" t="s">
        <v>17865</v>
      </c>
      <c r="BD2018" s="77">
        <v>169918595</v>
      </c>
      <c r="BE2018" s="77"/>
      <c r="BF2018" s="77"/>
      <c r="BG2018" s="77"/>
      <c r="BH2018" s="77"/>
      <c r="BI2018" s="77"/>
    </row>
    <row r="2019" spans="1:61" x14ac:dyDescent="0.25">
      <c r="A2019" s="62" t="s">
        <v>859</v>
      </c>
      <c r="B2019" s="62" t="s">
        <v>859</v>
      </c>
      <c r="C2019" s="63"/>
      <c r="D2019" s="64"/>
      <c r="E2019" s="65"/>
      <c r="F2019" s="66"/>
      <c r="G2019" s="63"/>
      <c r="H2019" s="67"/>
      <c r="I2019" s="68"/>
      <c r="J2019" s="68"/>
      <c r="K2019" s="32"/>
      <c r="L2019" s="75">
        <v>2019</v>
      </c>
      <c r="M2019" s="75"/>
      <c r="N2019" s="70"/>
      <c r="O2019" s="77" t="s">
        <v>179</v>
      </c>
      <c r="P2019" s="79">
        <v>45111.749236111114</v>
      </c>
      <c r="Q2019" s="77" t="s">
        <v>3890</v>
      </c>
      <c r="R2019" s="77">
        <v>0</v>
      </c>
      <c r="S2019" s="77">
        <v>3</v>
      </c>
      <c r="T2019" s="77">
        <v>0</v>
      </c>
      <c r="U2019" s="77">
        <v>0</v>
      </c>
      <c r="V2019" s="77">
        <v>249</v>
      </c>
      <c r="W2019" s="80" t="s">
        <v>7171</v>
      </c>
      <c r="X2019" s="83" t="str">
        <f>HYPERLINK("https://www.youtube.com/live/PqM00lkzulg?feature=share")</f>
        <v>https://www.youtube.com/live/PqM00lkzulg?feature=share</v>
      </c>
      <c r="Y2019" s="77" t="s">
        <v>8612</v>
      </c>
      <c r="Z2019" s="77"/>
      <c r="AA2019" s="77" t="s">
        <v>9601</v>
      </c>
      <c r="AB2019" s="77" t="s">
        <v>10535</v>
      </c>
      <c r="AC2019" s="80" t="s">
        <v>10541</v>
      </c>
      <c r="AD2019" s="77" t="s">
        <v>10617</v>
      </c>
      <c r="AE2019" s="83" t="str">
        <f>HYPERLINK("https://twitter.com/redetvt/status/1676289496613269504")</f>
        <v>https://twitter.com/redetvt/status/1676289496613269504</v>
      </c>
      <c r="AF2019" s="79">
        <v>45111.749236111114</v>
      </c>
      <c r="AG2019" s="85">
        <v>45111</v>
      </c>
      <c r="AH2019" s="80" t="s">
        <v>12412</v>
      </c>
      <c r="AI2019" s="77" t="b">
        <v>0</v>
      </c>
      <c r="AJ2019" s="77"/>
      <c r="AK2019" s="77"/>
      <c r="AL2019" s="77"/>
      <c r="AM2019" s="77"/>
      <c r="AN2019" s="77"/>
      <c r="AO2019" s="77"/>
      <c r="AP2019" s="77"/>
      <c r="AQ2019" s="77" t="s">
        <v>15083</v>
      </c>
      <c r="AR2019" s="77"/>
      <c r="AS2019" s="77"/>
      <c r="AT2019" s="77"/>
      <c r="AU2019" s="77"/>
      <c r="AV2019" s="83" t="str">
        <f>HYPERLINK("https://pbs.twimg.com/media/F0NgZY8WIAsHASl.jpg")</f>
        <v>https://pbs.twimg.com/media/F0NgZY8WIAsHASl.jpg</v>
      </c>
      <c r="AW2019" s="80" t="s">
        <v>17866</v>
      </c>
      <c r="AX2019" s="80" t="s">
        <v>17866</v>
      </c>
      <c r="AY2019" s="77"/>
      <c r="AZ2019" s="80" t="s">
        <v>20380</v>
      </c>
      <c r="BA2019" s="80" t="s">
        <v>20380</v>
      </c>
      <c r="BB2019" s="80" t="s">
        <v>20380</v>
      </c>
      <c r="BC2019" s="80" t="s">
        <v>17866</v>
      </c>
      <c r="BD2019" s="77">
        <v>169918595</v>
      </c>
      <c r="BE2019" s="77"/>
      <c r="BF2019" s="77"/>
      <c r="BG2019" s="77"/>
      <c r="BH2019" s="77"/>
      <c r="BI2019" s="77"/>
    </row>
    <row r="2020" spans="1:61" x14ac:dyDescent="0.25">
      <c r="A2020" s="62" t="s">
        <v>859</v>
      </c>
      <c r="B2020" s="62" t="s">
        <v>859</v>
      </c>
      <c r="C2020" s="63"/>
      <c r="D2020" s="64"/>
      <c r="E2020" s="65"/>
      <c r="F2020" s="66"/>
      <c r="G2020" s="63"/>
      <c r="H2020" s="67"/>
      <c r="I2020" s="68"/>
      <c r="J2020" s="68"/>
      <c r="K2020" s="32"/>
      <c r="L2020" s="75">
        <v>2020</v>
      </c>
      <c r="M2020" s="75"/>
      <c r="N2020" s="70"/>
      <c r="O2020" s="77" t="s">
        <v>179</v>
      </c>
      <c r="P2020" s="79">
        <v>45111.684710648151</v>
      </c>
      <c r="Q2020" s="77" t="s">
        <v>3891</v>
      </c>
      <c r="R2020" s="77">
        <v>3</v>
      </c>
      <c r="S2020" s="77">
        <v>10</v>
      </c>
      <c r="T2020" s="77">
        <v>0</v>
      </c>
      <c r="U2020" s="77">
        <v>0</v>
      </c>
      <c r="V2020" s="77">
        <v>304</v>
      </c>
      <c r="W2020" s="80" t="s">
        <v>7171</v>
      </c>
      <c r="X2020" s="83" t="str">
        <f>HYPERLINK("https://www.youtube.com/live/xqJpEpB_45I?feature=share")</f>
        <v>https://www.youtube.com/live/xqJpEpB_45I?feature=share</v>
      </c>
      <c r="Y2020" s="77" t="s">
        <v>8612</v>
      </c>
      <c r="Z2020" s="77"/>
      <c r="AA2020" s="77" t="s">
        <v>9602</v>
      </c>
      <c r="AB2020" s="77" t="s">
        <v>10535</v>
      </c>
      <c r="AC2020" s="80" t="s">
        <v>10541</v>
      </c>
      <c r="AD2020" s="77" t="s">
        <v>10617</v>
      </c>
      <c r="AE2020" s="83" t="str">
        <f>HYPERLINK("https://twitter.com/redetvt/status/1676266114744033287")</f>
        <v>https://twitter.com/redetvt/status/1676266114744033287</v>
      </c>
      <c r="AF2020" s="79">
        <v>45111.684710648151</v>
      </c>
      <c r="AG2020" s="85">
        <v>45111</v>
      </c>
      <c r="AH2020" s="80" t="s">
        <v>12413</v>
      </c>
      <c r="AI2020" s="77" t="b">
        <v>0</v>
      </c>
      <c r="AJ2020" s="77"/>
      <c r="AK2020" s="77"/>
      <c r="AL2020" s="77"/>
      <c r="AM2020" s="77"/>
      <c r="AN2020" s="77"/>
      <c r="AO2020" s="77"/>
      <c r="AP2020" s="77"/>
      <c r="AQ2020" s="77" t="s">
        <v>15084</v>
      </c>
      <c r="AR2020" s="77"/>
      <c r="AS2020" s="77"/>
      <c r="AT2020" s="77"/>
      <c r="AU2020" s="77"/>
      <c r="AV2020" s="83" t="str">
        <f>HYPERLINK("https://pbs.twimg.com/media/F0NLIz0WcAEu_Lv.jpg")</f>
        <v>https://pbs.twimg.com/media/F0NLIz0WcAEu_Lv.jpg</v>
      </c>
      <c r="AW2020" s="80" t="s">
        <v>17867</v>
      </c>
      <c r="AX2020" s="80" t="s">
        <v>17867</v>
      </c>
      <c r="AY2020" s="77"/>
      <c r="AZ2020" s="80" t="s">
        <v>20380</v>
      </c>
      <c r="BA2020" s="80" t="s">
        <v>20380</v>
      </c>
      <c r="BB2020" s="80" t="s">
        <v>20380</v>
      </c>
      <c r="BC2020" s="80" t="s">
        <v>17867</v>
      </c>
      <c r="BD2020" s="77">
        <v>169918595</v>
      </c>
      <c r="BE2020" s="77"/>
      <c r="BF2020" s="77"/>
      <c r="BG2020" s="77"/>
      <c r="BH2020" s="77"/>
      <c r="BI2020" s="77"/>
    </row>
    <row r="2021" spans="1:61" x14ac:dyDescent="0.25">
      <c r="A2021" s="62" t="s">
        <v>859</v>
      </c>
      <c r="B2021" s="62" t="s">
        <v>859</v>
      </c>
      <c r="C2021" s="63"/>
      <c r="D2021" s="64"/>
      <c r="E2021" s="65"/>
      <c r="F2021" s="66"/>
      <c r="G2021" s="63"/>
      <c r="H2021" s="67"/>
      <c r="I2021" s="68"/>
      <c r="J2021" s="68"/>
      <c r="K2021" s="32"/>
      <c r="L2021" s="75">
        <v>2021</v>
      </c>
      <c r="M2021" s="75"/>
      <c r="N2021" s="70"/>
      <c r="O2021" s="77" t="s">
        <v>179</v>
      </c>
      <c r="P2021" s="79">
        <v>45196.743495370371</v>
      </c>
      <c r="Q2021" s="77" t="s">
        <v>3892</v>
      </c>
      <c r="R2021" s="77">
        <v>2</v>
      </c>
      <c r="S2021" s="77">
        <v>4</v>
      </c>
      <c r="T2021" s="77">
        <v>0</v>
      </c>
      <c r="U2021" s="77">
        <v>0</v>
      </c>
      <c r="V2021" s="77">
        <v>227</v>
      </c>
      <c r="W2021" s="80" t="s">
        <v>7172</v>
      </c>
      <c r="X2021" s="83" t="str">
        <f>HYPERLINK("https://www.youtube.com/live/NyIdBhnJYn8?feature=shared")</f>
        <v>https://www.youtube.com/live/NyIdBhnJYn8?feature=shared</v>
      </c>
      <c r="Y2021" s="77" t="s">
        <v>8612</v>
      </c>
      <c r="Z2021" s="77"/>
      <c r="AA2021" s="77" t="s">
        <v>9603</v>
      </c>
      <c r="AB2021" s="77" t="s">
        <v>10535</v>
      </c>
      <c r="AC2021" s="80" t="s">
        <v>10541</v>
      </c>
      <c r="AD2021" s="77" t="s">
        <v>10617</v>
      </c>
      <c r="AE2021" s="83" t="str">
        <f>HYPERLINK("https://twitter.com/redetvt/status/1707090385443426476")</f>
        <v>https://twitter.com/redetvt/status/1707090385443426476</v>
      </c>
      <c r="AF2021" s="79">
        <v>45196.743495370371</v>
      </c>
      <c r="AG2021" s="85">
        <v>45196</v>
      </c>
      <c r="AH2021" s="80" t="s">
        <v>12414</v>
      </c>
      <c r="AI2021" s="77" t="b">
        <v>0</v>
      </c>
      <c r="AJ2021" s="77"/>
      <c r="AK2021" s="77"/>
      <c r="AL2021" s="77"/>
      <c r="AM2021" s="77"/>
      <c r="AN2021" s="77"/>
      <c r="AO2021" s="77"/>
      <c r="AP2021" s="77"/>
      <c r="AQ2021" s="77" t="s">
        <v>15085</v>
      </c>
      <c r="AR2021" s="77"/>
      <c r="AS2021" s="77"/>
      <c r="AT2021" s="77"/>
      <c r="AU2021" s="77"/>
      <c r="AV2021" s="83" t="str">
        <f>HYPERLINK("https://pbs.twimg.com/media/F7DNpugW0AEet0s.jpg")</f>
        <v>https://pbs.twimg.com/media/F7DNpugW0AEet0s.jpg</v>
      </c>
      <c r="AW2021" s="80" t="s">
        <v>17868</v>
      </c>
      <c r="AX2021" s="80" t="s">
        <v>17868</v>
      </c>
      <c r="AY2021" s="77"/>
      <c r="AZ2021" s="80" t="s">
        <v>20380</v>
      </c>
      <c r="BA2021" s="80" t="s">
        <v>20380</v>
      </c>
      <c r="BB2021" s="80" t="s">
        <v>20380</v>
      </c>
      <c r="BC2021" s="80" t="s">
        <v>17868</v>
      </c>
      <c r="BD2021" s="77">
        <v>169918595</v>
      </c>
      <c r="BE2021" s="77"/>
      <c r="BF2021" s="77"/>
      <c r="BG2021" s="77"/>
      <c r="BH2021" s="77"/>
      <c r="BI2021" s="77"/>
    </row>
    <row r="2022" spans="1:61" x14ac:dyDescent="0.25">
      <c r="A2022" s="62" t="s">
        <v>860</v>
      </c>
      <c r="B2022" s="62" t="s">
        <v>859</v>
      </c>
      <c r="C2022" s="63"/>
      <c r="D2022" s="64"/>
      <c r="E2022" s="65"/>
      <c r="F2022" s="66"/>
      <c r="G2022" s="63"/>
      <c r="H2022" s="67"/>
      <c r="I2022" s="68"/>
      <c r="J2022" s="68"/>
      <c r="K2022" s="32"/>
      <c r="L2022" s="75">
        <v>2022</v>
      </c>
      <c r="M2022" s="75"/>
      <c r="N2022" s="70"/>
      <c r="O2022" s="77" t="s">
        <v>2083</v>
      </c>
      <c r="P2022" s="79">
        <v>45196.744953703703</v>
      </c>
      <c r="Q2022" s="77" t="s">
        <v>3806</v>
      </c>
      <c r="R2022" s="77">
        <v>2</v>
      </c>
      <c r="S2022" s="77">
        <v>0</v>
      </c>
      <c r="T2022" s="77">
        <v>0</v>
      </c>
      <c r="U2022" s="77">
        <v>0</v>
      </c>
      <c r="V2022" s="77"/>
      <c r="W2022" s="80" t="s">
        <v>7113</v>
      </c>
      <c r="X2022" s="77"/>
      <c r="Y2022" s="77"/>
      <c r="Z2022" s="77" t="s">
        <v>859</v>
      </c>
      <c r="AA2022" s="77"/>
      <c r="AB2022" s="77"/>
      <c r="AC2022" s="80" t="s">
        <v>10540</v>
      </c>
      <c r="AD2022" s="77" t="s">
        <v>10617</v>
      </c>
      <c r="AE2022" s="83" t="str">
        <f>HYPERLINK("https://twitter.com/sergioronnie/status/1707090913309147144")</f>
        <v>https://twitter.com/sergioronnie/status/1707090913309147144</v>
      </c>
      <c r="AF2022" s="79">
        <v>45196.744953703703</v>
      </c>
      <c r="AG2022" s="85">
        <v>45196</v>
      </c>
      <c r="AH2022" s="80" t="s">
        <v>12415</v>
      </c>
      <c r="AI2022" s="77"/>
      <c r="AJ2022" s="77"/>
      <c r="AK2022" s="77"/>
      <c r="AL2022" s="77"/>
      <c r="AM2022" s="77"/>
      <c r="AN2022" s="77"/>
      <c r="AO2022" s="77"/>
      <c r="AP2022" s="77"/>
      <c r="AQ2022" s="77"/>
      <c r="AR2022" s="77"/>
      <c r="AS2022" s="77"/>
      <c r="AT2022" s="77"/>
      <c r="AU2022" s="77"/>
      <c r="AV2022" s="83" t="str">
        <f>HYPERLINK("https://pbs.twimg.com/profile_images/739924058704334849/flZNsUpg_normal.jpg")</f>
        <v>https://pbs.twimg.com/profile_images/739924058704334849/flZNsUpg_normal.jpg</v>
      </c>
      <c r="AW2022" s="80" t="s">
        <v>17869</v>
      </c>
      <c r="AX2022" s="80" t="s">
        <v>17869</v>
      </c>
      <c r="AY2022" s="77"/>
      <c r="AZ2022" s="80" t="s">
        <v>20380</v>
      </c>
      <c r="BA2022" s="80" t="s">
        <v>20380</v>
      </c>
      <c r="BB2022" s="80" t="s">
        <v>17868</v>
      </c>
      <c r="BC2022" s="80" t="s">
        <v>17868</v>
      </c>
      <c r="BD2022" s="77">
        <v>103739393</v>
      </c>
      <c r="BE2022" s="77"/>
      <c r="BF2022" s="77"/>
      <c r="BG2022" s="77"/>
      <c r="BH2022" s="77"/>
      <c r="BI2022" s="77"/>
    </row>
    <row r="2023" spans="1:61" x14ac:dyDescent="0.25">
      <c r="A2023" s="62" t="s">
        <v>861</v>
      </c>
      <c r="B2023" s="62" t="s">
        <v>1655</v>
      </c>
      <c r="C2023" s="63"/>
      <c r="D2023" s="64"/>
      <c r="E2023" s="65"/>
      <c r="F2023" s="66"/>
      <c r="G2023" s="63"/>
      <c r="H2023" s="67"/>
      <c r="I2023" s="68"/>
      <c r="J2023" s="68"/>
      <c r="K2023" s="32"/>
      <c r="L2023" s="75">
        <v>2023</v>
      </c>
      <c r="M2023" s="75"/>
      <c r="N2023" s="70"/>
      <c r="O2023" s="77" t="s">
        <v>2083</v>
      </c>
      <c r="P2023" s="79">
        <v>45191.37395833333</v>
      </c>
      <c r="Q2023" s="77" t="s">
        <v>2120</v>
      </c>
      <c r="R2023" s="77">
        <v>57</v>
      </c>
      <c r="S2023" s="77">
        <v>0</v>
      </c>
      <c r="T2023" s="77">
        <v>0</v>
      </c>
      <c r="U2023" s="77">
        <v>0</v>
      </c>
      <c r="V2023" s="77"/>
      <c r="W2023" s="80" t="s">
        <v>5917</v>
      </c>
      <c r="X2023" s="77"/>
      <c r="Y2023" s="77"/>
      <c r="Z2023" s="77" t="s">
        <v>1655</v>
      </c>
      <c r="AA2023" s="77"/>
      <c r="AB2023" s="77"/>
      <c r="AC2023" s="80" t="s">
        <v>10540</v>
      </c>
      <c r="AD2023" s="77" t="s">
        <v>10617</v>
      </c>
      <c r="AE2023" s="83" t="str">
        <f>HYPERLINK("https://twitter.com/ildelte22/status/1705144530486387142")</f>
        <v>https://twitter.com/ildelte22/status/1705144530486387142</v>
      </c>
      <c r="AF2023" s="79">
        <v>45191.37395833333</v>
      </c>
      <c r="AG2023" s="85">
        <v>45191</v>
      </c>
      <c r="AH2023" s="80" t="s">
        <v>12416</v>
      </c>
      <c r="AI2023" s="77"/>
      <c r="AJ2023" s="77"/>
      <c r="AK2023" s="77"/>
      <c r="AL2023" s="77"/>
      <c r="AM2023" s="77"/>
      <c r="AN2023" s="77"/>
      <c r="AO2023" s="77"/>
      <c r="AP2023" s="77"/>
      <c r="AQ2023" s="77"/>
      <c r="AR2023" s="77"/>
      <c r="AS2023" s="77"/>
      <c r="AT2023" s="77"/>
      <c r="AU2023" s="77"/>
      <c r="AV2023" s="83" t="str">
        <f>HYPERLINK("https://pbs.twimg.com/profile_images/1584193594570817537/TaKqi8U-_normal.jpg")</f>
        <v>https://pbs.twimg.com/profile_images/1584193594570817537/TaKqi8U-_normal.jpg</v>
      </c>
      <c r="AW2023" s="80" t="s">
        <v>17870</v>
      </c>
      <c r="AX2023" s="80" t="s">
        <v>17870</v>
      </c>
      <c r="AY2023" s="77"/>
      <c r="AZ2023" s="80" t="s">
        <v>20380</v>
      </c>
      <c r="BA2023" s="80" t="s">
        <v>20380</v>
      </c>
      <c r="BB2023" s="80" t="s">
        <v>19843</v>
      </c>
      <c r="BC2023" s="80" t="s">
        <v>19843</v>
      </c>
      <c r="BD2023" s="80" t="s">
        <v>20795</v>
      </c>
      <c r="BE2023" s="77"/>
      <c r="BF2023" s="77"/>
      <c r="BG2023" s="77"/>
      <c r="BH2023" s="77"/>
      <c r="BI2023" s="77"/>
    </row>
    <row r="2024" spans="1:61" x14ac:dyDescent="0.25">
      <c r="A2024" s="62" t="s">
        <v>862</v>
      </c>
      <c r="B2024" s="62" t="s">
        <v>862</v>
      </c>
      <c r="C2024" s="63"/>
      <c r="D2024" s="64"/>
      <c r="E2024" s="65"/>
      <c r="F2024" s="66"/>
      <c r="G2024" s="63"/>
      <c r="H2024" s="67"/>
      <c r="I2024" s="68"/>
      <c r="J2024" s="68"/>
      <c r="K2024" s="32"/>
      <c r="L2024" s="75">
        <v>2024</v>
      </c>
      <c r="M2024" s="75"/>
      <c r="N2024" s="70"/>
      <c r="O2024" s="77" t="s">
        <v>179</v>
      </c>
      <c r="P2024" s="79">
        <v>45074.85696759259</v>
      </c>
      <c r="Q2024" s="77" t="s">
        <v>3893</v>
      </c>
      <c r="R2024" s="77">
        <v>1</v>
      </c>
      <c r="S2024" s="77">
        <v>8</v>
      </c>
      <c r="T2024" s="77">
        <v>0</v>
      </c>
      <c r="U2024" s="77">
        <v>0</v>
      </c>
      <c r="V2024" s="77">
        <v>125</v>
      </c>
      <c r="W2024" s="80" t="s">
        <v>7173</v>
      </c>
      <c r="X2024" s="77"/>
      <c r="Y2024" s="77"/>
      <c r="Z2024" s="77"/>
      <c r="AA2024" s="77" t="s">
        <v>9604</v>
      </c>
      <c r="AB2024" s="77" t="s">
        <v>10536</v>
      </c>
      <c r="AC2024" s="80" t="s">
        <v>10540</v>
      </c>
      <c r="AD2024" s="77" t="s">
        <v>10620</v>
      </c>
      <c r="AE2024" s="83" t="str">
        <f>HYPERLINK("https://twitter.com/maxsilence/status/1662920184028340224")</f>
        <v>https://twitter.com/maxsilence/status/1662920184028340224</v>
      </c>
      <c r="AF2024" s="79">
        <v>45074.85696759259</v>
      </c>
      <c r="AG2024" s="85">
        <v>45074</v>
      </c>
      <c r="AH2024" s="80" t="s">
        <v>12417</v>
      </c>
      <c r="AI2024" s="77" t="b">
        <v>0</v>
      </c>
      <c r="AJ2024" s="77"/>
      <c r="AK2024" s="77"/>
      <c r="AL2024" s="77"/>
      <c r="AM2024" s="77"/>
      <c r="AN2024" s="77"/>
      <c r="AO2024" s="77"/>
      <c r="AP2024" s="77"/>
      <c r="AQ2024" s="77" t="s">
        <v>15086</v>
      </c>
      <c r="AR2024" s="77"/>
      <c r="AS2024" s="77"/>
      <c r="AT2024" s="77"/>
      <c r="AU2024" s="77"/>
      <c r="AV2024" s="83" t="str">
        <f>HYPERLINK("https://pbs.twimg.com/media/FxPhEatWcAAPOjS.jpg")</f>
        <v>https://pbs.twimg.com/media/FxPhEatWcAAPOjS.jpg</v>
      </c>
      <c r="AW2024" s="80" t="s">
        <v>17871</v>
      </c>
      <c r="AX2024" s="80" t="s">
        <v>17871</v>
      </c>
      <c r="AY2024" s="77"/>
      <c r="AZ2024" s="80" t="s">
        <v>20380</v>
      </c>
      <c r="BA2024" s="80" t="s">
        <v>20380</v>
      </c>
      <c r="BB2024" s="80" t="s">
        <v>20380</v>
      </c>
      <c r="BC2024" s="80" t="s">
        <v>17871</v>
      </c>
      <c r="BD2024" s="77">
        <v>68269479</v>
      </c>
      <c r="BE2024" s="77"/>
      <c r="BF2024" s="77"/>
      <c r="BG2024" s="77"/>
      <c r="BH2024" s="77"/>
      <c r="BI2024" s="77"/>
    </row>
    <row r="2025" spans="1:61" x14ac:dyDescent="0.25">
      <c r="A2025" s="62" t="s">
        <v>863</v>
      </c>
      <c r="B2025" s="62" t="s">
        <v>1894</v>
      </c>
      <c r="C2025" s="63"/>
      <c r="D2025" s="64"/>
      <c r="E2025" s="65"/>
      <c r="F2025" s="66"/>
      <c r="G2025" s="63"/>
      <c r="H2025" s="67"/>
      <c r="I2025" s="68"/>
      <c r="J2025" s="68"/>
      <c r="K2025" s="32"/>
      <c r="L2025" s="75">
        <v>2025</v>
      </c>
      <c r="M2025" s="75"/>
      <c r="N2025" s="70"/>
      <c r="O2025" s="77" t="s">
        <v>2078</v>
      </c>
      <c r="P2025" s="79">
        <v>45164.537997685184</v>
      </c>
      <c r="Q2025" s="77" t="s">
        <v>3894</v>
      </c>
      <c r="R2025" s="77">
        <v>0</v>
      </c>
      <c r="S2025" s="77">
        <v>0</v>
      </c>
      <c r="T2025" s="77">
        <v>0</v>
      </c>
      <c r="U2025" s="77">
        <v>0</v>
      </c>
      <c r="V2025" s="77">
        <v>12</v>
      </c>
      <c r="W2025" s="80" t="s">
        <v>7174</v>
      </c>
      <c r="X2025" s="77"/>
      <c r="Y2025" s="77"/>
      <c r="Z2025" s="77" t="s">
        <v>8967</v>
      </c>
      <c r="AA2025" s="77"/>
      <c r="AB2025" s="77"/>
      <c r="AC2025" s="80" t="s">
        <v>10540</v>
      </c>
      <c r="AD2025" s="77" t="s">
        <v>10620</v>
      </c>
      <c r="AE2025" s="83" t="str">
        <f>HYPERLINK("https://twitter.com/mauroflamini1/status/1695419501590794483")</f>
        <v>https://twitter.com/mauroflamini1/status/1695419501590794483</v>
      </c>
      <c r="AF2025" s="79">
        <v>45164.537997685184</v>
      </c>
      <c r="AG2025" s="85">
        <v>45164</v>
      </c>
      <c r="AH2025" s="80" t="s">
        <v>12418</v>
      </c>
      <c r="AI2025" s="77"/>
      <c r="AJ2025" s="77"/>
      <c r="AK2025" s="77"/>
      <c r="AL2025" s="77"/>
      <c r="AM2025" s="77"/>
      <c r="AN2025" s="77"/>
      <c r="AO2025" s="77"/>
      <c r="AP2025" s="77"/>
      <c r="AQ2025" s="77"/>
      <c r="AR2025" s="77"/>
      <c r="AS2025" s="77"/>
      <c r="AT2025" s="77"/>
      <c r="AU2025" s="77"/>
      <c r="AV2025" s="83" t="str">
        <f>HYPERLINK("https://pbs.twimg.com/profile_images/1628180544054755329/8GihhYXV_normal.jpg")</f>
        <v>https://pbs.twimg.com/profile_images/1628180544054755329/8GihhYXV_normal.jpg</v>
      </c>
      <c r="AW2025" s="80" t="s">
        <v>17872</v>
      </c>
      <c r="AX2025" s="80" t="s">
        <v>20038</v>
      </c>
      <c r="AY2025" s="80" t="s">
        <v>20290</v>
      </c>
      <c r="AZ2025" s="80" t="s">
        <v>20038</v>
      </c>
      <c r="BA2025" s="80" t="s">
        <v>20380</v>
      </c>
      <c r="BB2025" s="80" t="s">
        <v>20380</v>
      </c>
      <c r="BC2025" s="80" t="s">
        <v>20038</v>
      </c>
      <c r="BD2025" s="77">
        <v>2393074850</v>
      </c>
      <c r="BE2025" s="77"/>
      <c r="BF2025" s="77"/>
      <c r="BG2025" s="77"/>
      <c r="BH2025" s="77"/>
      <c r="BI2025" s="77"/>
    </row>
    <row r="2026" spans="1:61" x14ac:dyDescent="0.25">
      <c r="A2026" s="62" t="s">
        <v>863</v>
      </c>
      <c r="B2026" s="62" t="s">
        <v>1895</v>
      </c>
      <c r="C2026" s="63"/>
      <c r="D2026" s="64"/>
      <c r="E2026" s="65"/>
      <c r="F2026" s="66"/>
      <c r="G2026" s="63"/>
      <c r="H2026" s="67"/>
      <c r="I2026" s="68"/>
      <c r="J2026" s="68"/>
      <c r="K2026" s="32"/>
      <c r="L2026" s="75">
        <v>2026</v>
      </c>
      <c r="M2026" s="75"/>
      <c r="N2026" s="70"/>
      <c r="O2026" s="77" t="s">
        <v>2079</v>
      </c>
      <c r="P2026" s="79">
        <v>45164.537997685184</v>
      </c>
      <c r="Q2026" s="77" t="s">
        <v>3894</v>
      </c>
      <c r="R2026" s="77">
        <v>0</v>
      </c>
      <c r="S2026" s="77">
        <v>0</v>
      </c>
      <c r="T2026" s="77">
        <v>0</v>
      </c>
      <c r="U2026" s="77">
        <v>0</v>
      </c>
      <c r="V2026" s="77">
        <v>12</v>
      </c>
      <c r="W2026" s="80" t="s">
        <v>7174</v>
      </c>
      <c r="X2026" s="77"/>
      <c r="Y2026" s="77"/>
      <c r="Z2026" s="77" t="s">
        <v>8967</v>
      </c>
      <c r="AA2026" s="77"/>
      <c r="AB2026" s="77"/>
      <c r="AC2026" s="80" t="s">
        <v>10540</v>
      </c>
      <c r="AD2026" s="77" t="s">
        <v>10620</v>
      </c>
      <c r="AE2026" s="83" t="str">
        <f>HYPERLINK("https://twitter.com/mauroflamini1/status/1695419501590794483")</f>
        <v>https://twitter.com/mauroflamini1/status/1695419501590794483</v>
      </c>
      <c r="AF2026" s="79">
        <v>45164.537997685184</v>
      </c>
      <c r="AG2026" s="85">
        <v>45164</v>
      </c>
      <c r="AH2026" s="80" t="s">
        <v>12418</v>
      </c>
      <c r="AI2026" s="77"/>
      <c r="AJ2026" s="77"/>
      <c r="AK2026" s="77"/>
      <c r="AL2026" s="77"/>
      <c r="AM2026" s="77"/>
      <c r="AN2026" s="77"/>
      <c r="AO2026" s="77"/>
      <c r="AP2026" s="77"/>
      <c r="AQ2026" s="77"/>
      <c r="AR2026" s="77"/>
      <c r="AS2026" s="77"/>
      <c r="AT2026" s="77"/>
      <c r="AU2026" s="77"/>
      <c r="AV2026" s="83" t="str">
        <f>HYPERLINK("https://pbs.twimg.com/profile_images/1628180544054755329/8GihhYXV_normal.jpg")</f>
        <v>https://pbs.twimg.com/profile_images/1628180544054755329/8GihhYXV_normal.jpg</v>
      </c>
      <c r="AW2026" s="80" t="s">
        <v>17872</v>
      </c>
      <c r="AX2026" s="80" t="s">
        <v>20038</v>
      </c>
      <c r="AY2026" s="80" t="s">
        <v>20290</v>
      </c>
      <c r="AZ2026" s="80" t="s">
        <v>20038</v>
      </c>
      <c r="BA2026" s="80" t="s">
        <v>20380</v>
      </c>
      <c r="BB2026" s="80" t="s">
        <v>20380</v>
      </c>
      <c r="BC2026" s="80" t="s">
        <v>20038</v>
      </c>
      <c r="BD2026" s="77">
        <v>2393074850</v>
      </c>
      <c r="BE2026" s="77"/>
      <c r="BF2026" s="77"/>
      <c r="BG2026" s="77"/>
      <c r="BH2026" s="77"/>
      <c r="BI2026" s="77"/>
    </row>
    <row r="2027" spans="1:61" x14ac:dyDescent="0.25">
      <c r="A2027" s="62" t="s">
        <v>863</v>
      </c>
      <c r="B2027" s="62" t="s">
        <v>1895</v>
      </c>
      <c r="C2027" s="63"/>
      <c r="D2027" s="64"/>
      <c r="E2027" s="65"/>
      <c r="F2027" s="66"/>
      <c r="G2027" s="63"/>
      <c r="H2027" s="67"/>
      <c r="I2027" s="68"/>
      <c r="J2027" s="68"/>
      <c r="K2027" s="32"/>
      <c r="L2027" s="75">
        <v>2027</v>
      </c>
      <c r="M2027" s="75"/>
      <c r="N2027" s="70"/>
      <c r="O2027" s="77" t="s">
        <v>2079</v>
      </c>
      <c r="P2027" s="79">
        <v>45162.789305555554</v>
      </c>
      <c r="Q2027" s="77" t="s">
        <v>3895</v>
      </c>
      <c r="R2027" s="77">
        <v>0</v>
      </c>
      <c r="S2027" s="77">
        <v>0</v>
      </c>
      <c r="T2027" s="77">
        <v>1</v>
      </c>
      <c r="U2027" s="77">
        <v>0</v>
      </c>
      <c r="V2027" s="77">
        <v>13</v>
      </c>
      <c r="W2027" s="80" t="s">
        <v>7175</v>
      </c>
      <c r="X2027" s="77"/>
      <c r="Y2027" s="77"/>
      <c r="Z2027" s="77" t="s">
        <v>8968</v>
      </c>
      <c r="AA2027" s="77"/>
      <c r="AB2027" s="77"/>
      <c r="AC2027" s="80" t="s">
        <v>10540</v>
      </c>
      <c r="AD2027" s="77" t="s">
        <v>10620</v>
      </c>
      <c r="AE2027" s="83" t="str">
        <f>HYPERLINK("https://twitter.com/mauroflamini1/status/1694785798472618356")</f>
        <v>https://twitter.com/mauroflamini1/status/1694785798472618356</v>
      </c>
      <c r="AF2027" s="79">
        <v>45162.789305555554</v>
      </c>
      <c r="AG2027" s="85">
        <v>45162</v>
      </c>
      <c r="AH2027" s="80" t="s">
        <v>12419</v>
      </c>
      <c r="AI2027" s="77"/>
      <c r="AJ2027" s="77"/>
      <c r="AK2027" s="77"/>
      <c r="AL2027" s="77"/>
      <c r="AM2027" s="77"/>
      <c r="AN2027" s="77"/>
      <c r="AO2027" s="77"/>
      <c r="AP2027" s="77"/>
      <c r="AQ2027" s="77"/>
      <c r="AR2027" s="77"/>
      <c r="AS2027" s="77"/>
      <c r="AT2027" s="77"/>
      <c r="AU2027" s="77"/>
      <c r="AV2027" s="83" t="str">
        <f>HYPERLINK("https://pbs.twimg.com/profile_images/1628180544054755329/8GihhYXV_normal.jpg")</f>
        <v>https://pbs.twimg.com/profile_images/1628180544054755329/8GihhYXV_normal.jpg</v>
      </c>
      <c r="AW2027" s="80" t="s">
        <v>17873</v>
      </c>
      <c r="AX2027" s="80" t="s">
        <v>20039</v>
      </c>
      <c r="AY2027" s="80" t="s">
        <v>20291</v>
      </c>
      <c r="AZ2027" s="80" t="s">
        <v>20039</v>
      </c>
      <c r="BA2027" s="80" t="s">
        <v>20380</v>
      </c>
      <c r="BB2027" s="80" t="s">
        <v>20380</v>
      </c>
      <c r="BC2027" s="80" t="s">
        <v>20039</v>
      </c>
      <c r="BD2027" s="77">
        <v>2393074850</v>
      </c>
      <c r="BE2027" s="77"/>
      <c r="BF2027" s="77"/>
      <c r="BG2027" s="77"/>
      <c r="BH2027" s="77"/>
      <c r="BI2027" s="77"/>
    </row>
    <row r="2028" spans="1:61" x14ac:dyDescent="0.25">
      <c r="A2028" s="62" t="s">
        <v>863</v>
      </c>
      <c r="B2028" s="62" t="s">
        <v>1896</v>
      </c>
      <c r="C2028" s="63"/>
      <c r="D2028" s="64"/>
      <c r="E2028" s="65"/>
      <c r="F2028" s="66"/>
      <c r="G2028" s="63"/>
      <c r="H2028" s="67"/>
      <c r="I2028" s="68"/>
      <c r="J2028" s="68"/>
      <c r="K2028" s="32"/>
      <c r="L2028" s="75">
        <v>2028</v>
      </c>
      <c r="M2028" s="75"/>
      <c r="N2028" s="70"/>
      <c r="O2028" s="77" t="s">
        <v>2078</v>
      </c>
      <c r="P2028" s="79">
        <v>45162.789305555554</v>
      </c>
      <c r="Q2028" s="77" t="s">
        <v>3895</v>
      </c>
      <c r="R2028" s="77">
        <v>0</v>
      </c>
      <c r="S2028" s="77">
        <v>0</v>
      </c>
      <c r="T2028" s="77">
        <v>1</v>
      </c>
      <c r="U2028" s="77">
        <v>0</v>
      </c>
      <c r="V2028" s="77">
        <v>13</v>
      </c>
      <c r="W2028" s="80" t="s">
        <v>7175</v>
      </c>
      <c r="X2028" s="77"/>
      <c r="Y2028" s="77"/>
      <c r="Z2028" s="77" t="s">
        <v>8968</v>
      </c>
      <c r="AA2028" s="77"/>
      <c r="AB2028" s="77"/>
      <c r="AC2028" s="80" t="s">
        <v>10540</v>
      </c>
      <c r="AD2028" s="77" t="s">
        <v>10620</v>
      </c>
      <c r="AE2028" s="83" t="str">
        <f>HYPERLINK("https://twitter.com/mauroflamini1/status/1694785798472618356")</f>
        <v>https://twitter.com/mauroflamini1/status/1694785798472618356</v>
      </c>
      <c r="AF2028" s="79">
        <v>45162.789305555554</v>
      </c>
      <c r="AG2028" s="85">
        <v>45162</v>
      </c>
      <c r="AH2028" s="80" t="s">
        <v>12419</v>
      </c>
      <c r="AI2028" s="77"/>
      <c r="AJ2028" s="77"/>
      <c r="AK2028" s="77"/>
      <c r="AL2028" s="77"/>
      <c r="AM2028" s="77"/>
      <c r="AN2028" s="77"/>
      <c r="AO2028" s="77"/>
      <c r="AP2028" s="77"/>
      <c r="AQ2028" s="77"/>
      <c r="AR2028" s="77"/>
      <c r="AS2028" s="77"/>
      <c r="AT2028" s="77"/>
      <c r="AU2028" s="77"/>
      <c r="AV2028" s="83" t="str">
        <f>HYPERLINK("https://pbs.twimg.com/profile_images/1628180544054755329/8GihhYXV_normal.jpg")</f>
        <v>https://pbs.twimg.com/profile_images/1628180544054755329/8GihhYXV_normal.jpg</v>
      </c>
      <c r="AW2028" s="80" t="s">
        <v>17873</v>
      </c>
      <c r="AX2028" s="80" t="s">
        <v>20039</v>
      </c>
      <c r="AY2028" s="80" t="s">
        <v>20291</v>
      </c>
      <c r="AZ2028" s="80" t="s">
        <v>20039</v>
      </c>
      <c r="BA2028" s="80" t="s">
        <v>20380</v>
      </c>
      <c r="BB2028" s="80" t="s">
        <v>20380</v>
      </c>
      <c r="BC2028" s="80" t="s">
        <v>20039</v>
      </c>
      <c r="BD2028" s="77">
        <v>2393074850</v>
      </c>
      <c r="BE2028" s="77"/>
      <c r="BF2028" s="77"/>
      <c r="BG2028" s="77"/>
      <c r="BH2028" s="77"/>
      <c r="BI2028" s="77"/>
    </row>
    <row r="2029" spans="1:61" x14ac:dyDescent="0.25">
      <c r="A2029" s="62" t="s">
        <v>864</v>
      </c>
      <c r="B2029" s="62" t="s">
        <v>864</v>
      </c>
      <c r="C2029" s="63"/>
      <c r="D2029" s="64"/>
      <c r="E2029" s="65"/>
      <c r="F2029" s="66"/>
      <c r="G2029" s="63"/>
      <c r="H2029" s="67"/>
      <c r="I2029" s="68"/>
      <c r="J2029" s="68"/>
      <c r="K2029" s="32"/>
      <c r="L2029" s="75">
        <v>2029</v>
      </c>
      <c r="M2029" s="75"/>
      <c r="N2029" s="70"/>
      <c r="O2029" s="77" t="s">
        <v>179</v>
      </c>
      <c r="P2029" s="79">
        <v>45148.960266203707</v>
      </c>
      <c r="Q2029" s="77" t="s">
        <v>3896</v>
      </c>
      <c r="R2029" s="77">
        <v>0</v>
      </c>
      <c r="S2029" s="77">
        <v>0</v>
      </c>
      <c r="T2029" s="77">
        <v>0</v>
      </c>
      <c r="U2029" s="77">
        <v>0</v>
      </c>
      <c r="V2029" s="77">
        <v>91</v>
      </c>
      <c r="W2029" s="80" t="s">
        <v>6250</v>
      </c>
      <c r="X2029" s="83" t="str">
        <f>HYPERLINK("https://spdiario.com.br/noticias/economia/pix-sera-taxado-presidente-do-banco-central-tira-a-duvida.html")</f>
        <v>https://spdiario.com.br/noticias/economia/pix-sera-taxado-presidente-do-banco-central-tira-a-duvida.html</v>
      </c>
      <c r="Y2029" s="77" t="s">
        <v>8611</v>
      </c>
      <c r="Z2029" s="77"/>
      <c r="AA2029" s="77"/>
      <c r="AB2029" s="77"/>
      <c r="AC2029" s="80" t="s">
        <v>10541</v>
      </c>
      <c r="AD2029" s="77" t="s">
        <v>10617</v>
      </c>
      <c r="AE2029" s="83" t="str">
        <f>HYPERLINK("https://twitter.com/diariosp/status/1689774321487466497")</f>
        <v>https://twitter.com/diariosp/status/1689774321487466497</v>
      </c>
      <c r="AF2029" s="79">
        <v>45148.960266203707</v>
      </c>
      <c r="AG2029" s="85">
        <v>45148</v>
      </c>
      <c r="AH2029" s="80" t="s">
        <v>12420</v>
      </c>
      <c r="AI2029" s="77" t="b">
        <v>0</v>
      </c>
      <c r="AJ2029" s="77"/>
      <c r="AK2029" s="77"/>
      <c r="AL2029" s="77"/>
      <c r="AM2029" s="77"/>
      <c r="AN2029" s="77"/>
      <c r="AO2029" s="77"/>
      <c r="AP2029" s="77"/>
      <c r="AQ2029" s="77"/>
      <c r="AR2029" s="77"/>
      <c r="AS2029" s="77"/>
      <c r="AT2029" s="77"/>
      <c r="AU2029" s="77"/>
      <c r="AV2029" s="83" t="str">
        <f>HYPERLINK("https://pbs.twimg.com/profile_images/1262470918577836033/9GK57hyK_normal.jpg")</f>
        <v>https://pbs.twimg.com/profile_images/1262470918577836033/9GK57hyK_normal.jpg</v>
      </c>
      <c r="AW2029" s="80" t="s">
        <v>17874</v>
      </c>
      <c r="AX2029" s="80" t="s">
        <v>17874</v>
      </c>
      <c r="AY2029" s="77"/>
      <c r="AZ2029" s="80" t="s">
        <v>20380</v>
      </c>
      <c r="BA2029" s="80" t="s">
        <v>20380</v>
      </c>
      <c r="BB2029" s="80" t="s">
        <v>20380</v>
      </c>
      <c r="BC2029" s="80" t="s">
        <v>17874</v>
      </c>
      <c r="BD2029" s="77">
        <v>41806159</v>
      </c>
      <c r="BE2029" s="77"/>
      <c r="BF2029" s="77"/>
      <c r="BG2029" s="77"/>
      <c r="BH2029" s="77"/>
      <c r="BI2029" s="77"/>
    </row>
    <row r="2030" spans="1:61" x14ac:dyDescent="0.25">
      <c r="A2030" s="62" t="s">
        <v>864</v>
      </c>
      <c r="B2030" s="62" t="s">
        <v>864</v>
      </c>
      <c r="C2030" s="63"/>
      <c r="D2030" s="64"/>
      <c r="E2030" s="65"/>
      <c r="F2030" s="66"/>
      <c r="G2030" s="63"/>
      <c r="H2030" s="67"/>
      <c r="I2030" s="68"/>
      <c r="J2030" s="68"/>
      <c r="K2030" s="32"/>
      <c r="L2030" s="75">
        <v>2030</v>
      </c>
      <c r="M2030" s="75"/>
      <c r="N2030" s="70"/>
      <c r="O2030" s="77" t="s">
        <v>179</v>
      </c>
      <c r="P2030" s="79">
        <v>45115.618344907409</v>
      </c>
      <c r="Q2030" s="77" t="s">
        <v>3897</v>
      </c>
      <c r="R2030" s="77">
        <v>0</v>
      </c>
      <c r="S2030" s="77">
        <v>0</v>
      </c>
      <c r="T2030" s="77">
        <v>0</v>
      </c>
      <c r="U2030" s="77">
        <v>0</v>
      </c>
      <c r="V2030" s="77">
        <v>91</v>
      </c>
      <c r="W2030" s="80" t="s">
        <v>7176</v>
      </c>
      <c r="X2030" s="83" t="str">
        <f>HYPERLINK("https://spdiario.com.br/noticias/economia/dinheiro-esquecido-banco-central-divulga-que-r-7-bilhoes-ainda-estao-disponiveis.html")</f>
        <v>https://spdiario.com.br/noticias/economia/dinheiro-esquecido-banco-central-divulga-que-r-7-bilhoes-ainda-estao-disponiveis.html</v>
      </c>
      <c r="Y2030" s="77" t="s">
        <v>8611</v>
      </c>
      <c r="Z2030" s="77"/>
      <c r="AA2030" s="77"/>
      <c r="AB2030" s="77"/>
      <c r="AC2030" s="80" t="s">
        <v>10541</v>
      </c>
      <c r="AD2030" s="77" t="s">
        <v>10617</v>
      </c>
      <c r="AE2030" s="83" t="str">
        <f>HYPERLINK("https://twitter.com/diariosp/status/1677691615094140929")</f>
        <v>https://twitter.com/diariosp/status/1677691615094140929</v>
      </c>
      <c r="AF2030" s="79">
        <v>45115.618344907409</v>
      </c>
      <c r="AG2030" s="85">
        <v>45115</v>
      </c>
      <c r="AH2030" s="80" t="s">
        <v>12421</v>
      </c>
      <c r="AI2030" s="77" t="b">
        <v>0</v>
      </c>
      <c r="AJ2030" s="77"/>
      <c r="AK2030" s="77"/>
      <c r="AL2030" s="77"/>
      <c r="AM2030" s="77"/>
      <c r="AN2030" s="77"/>
      <c r="AO2030" s="77"/>
      <c r="AP2030" s="77"/>
      <c r="AQ2030" s="77"/>
      <c r="AR2030" s="77"/>
      <c r="AS2030" s="77"/>
      <c r="AT2030" s="77"/>
      <c r="AU2030" s="77"/>
      <c r="AV2030" s="83" t="str">
        <f>HYPERLINK("https://pbs.twimg.com/profile_images/1262470918577836033/9GK57hyK_normal.jpg")</f>
        <v>https://pbs.twimg.com/profile_images/1262470918577836033/9GK57hyK_normal.jpg</v>
      </c>
      <c r="AW2030" s="80" t="s">
        <v>17875</v>
      </c>
      <c r="AX2030" s="80" t="s">
        <v>17875</v>
      </c>
      <c r="AY2030" s="77"/>
      <c r="AZ2030" s="80" t="s">
        <v>20380</v>
      </c>
      <c r="BA2030" s="80" t="s">
        <v>20380</v>
      </c>
      <c r="BB2030" s="80" t="s">
        <v>20380</v>
      </c>
      <c r="BC2030" s="80" t="s">
        <v>17875</v>
      </c>
      <c r="BD2030" s="77">
        <v>41806159</v>
      </c>
      <c r="BE2030" s="77"/>
      <c r="BF2030" s="77"/>
      <c r="BG2030" s="77"/>
      <c r="BH2030" s="77"/>
      <c r="BI2030" s="77"/>
    </row>
    <row r="2031" spans="1:61" x14ac:dyDescent="0.25">
      <c r="A2031" s="62" t="s">
        <v>864</v>
      </c>
      <c r="B2031" s="62" t="s">
        <v>864</v>
      </c>
      <c r="C2031" s="63"/>
      <c r="D2031" s="64"/>
      <c r="E2031" s="65"/>
      <c r="F2031" s="66"/>
      <c r="G2031" s="63"/>
      <c r="H2031" s="67"/>
      <c r="I2031" s="68"/>
      <c r="J2031" s="68"/>
      <c r="K2031" s="32"/>
      <c r="L2031" s="75">
        <v>2031</v>
      </c>
      <c r="M2031" s="75"/>
      <c r="N2031" s="70"/>
      <c r="O2031" s="77" t="s">
        <v>179</v>
      </c>
      <c r="P2031" s="79">
        <v>45174.708009259259</v>
      </c>
      <c r="Q2031" s="77" t="s">
        <v>3898</v>
      </c>
      <c r="R2031" s="77">
        <v>0</v>
      </c>
      <c r="S2031" s="77">
        <v>0</v>
      </c>
      <c r="T2031" s="77">
        <v>0</v>
      </c>
      <c r="U2031" s="77">
        <v>0</v>
      </c>
      <c r="V2031" s="77">
        <v>52</v>
      </c>
      <c r="W2031" s="80" t="s">
        <v>7177</v>
      </c>
      <c r="X2031" s="83" t="str">
        <f>HYPERLINK("https://spdiario.com.br/noticias/economia/pix-sem-internet-confira-as-novidades-anunciadas-pelo-banco-central.html")</f>
        <v>https://spdiario.com.br/noticias/economia/pix-sem-internet-confira-as-novidades-anunciadas-pelo-banco-central.html</v>
      </c>
      <c r="Y2031" s="77" t="s">
        <v>8611</v>
      </c>
      <c r="Z2031" s="77"/>
      <c r="AA2031" s="77"/>
      <c r="AB2031" s="77"/>
      <c r="AC2031" s="80" t="s">
        <v>10541</v>
      </c>
      <c r="AD2031" s="77" t="s">
        <v>10617</v>
      </c>
      <c r="AE2031" s="83" t="str">
        <f>HYPERLINK("https://twitter.com/diariosp/status/1699104992903188609")</f>
        <v>https://twitter.com/diariosp/status/1699104992903188609</v>
      </c>
      <c r="AF2031" s="79">
        <v>45174.708009259259</v>
      </c>
      <c r="AG2031" s="85">
        <v>45174</v>
      </c>
      <c r="AH2031" s="80" t="s">
        <v>12422</v>
      </c>
      <c r="AI2031" s="77" t="b">
        <v>0</v>
      </c>
      <c r="AJ2031" s="77"/>
      <c r="AK2031" s="77"/>
      <c r="AL2031" s="77"/>
      <c r="AM2031" s="77"/>
      <c r="AN2031" s="77"/>
      <c r="AO2031" s="77"/>
      <c r="AP2031" s="77"/>
      <c r="AQ2031" s="77"/>
      <c r="AR2031" s="77"/>
      <c r="AS2031" s="77"/>
      <c r="AT2031" s="77"/>
      <c r="AU2031" s="77"/>
      <c r="AV2031" s="83" t="str">
        <f>HYPERLINK("https://pbs.twimg.com/profile_images/1262470918577836033/9GK57hyK_normal.jpg")</f>
        <v>https://pbs.twimg.com/profile_images/1262470918577836033/9GK57hyK_normal.jpg</v>
      </c>
      <c r="AW2031" s="80" t="s">
        <v>17876</v>
      </c>
      <c r="AX2031" s="80" t="s">
        <v>17876</v>
      </c>
      <c r="AY2031" s="77"/>
      <c r="AZ2031" s="80" t="s">
        <v>20380</v>
      </c>
      <c r="BA2031" s="80" t="s">
        <v>20380</v>
      </c>
      <c r="BB2031" s="80" t="s">
        <v>20380</v>
      </c>
      <c r="BC2031" s="80" t="s">
        <v>17876</v>
      </c>
      <c r="BD2031" s="77">
        <v>41806159</v>
      </c>
      <c r="BE2031" s="77"/>
      <c r="BF2031" s="77"/>
      <c r="BG2031" s="77"/>
      <c r="BH2031" s="77"/>
      <c r="BI2031" s="77"/>
    </row>
    <row r="2032" spans="1:61" x14ac:dyDescent="0.25">
      <c r="A2032" s="62" t="s">
        <v>865</v>
      </c>
      <c r="B2032" s="62" t="s">
        <v>1897</v>
      </c>
      <c r="C2032" s="63"/>
      <c r="D2032" s="64"/>
      <c r="E2032" s="65"/>
      <c r="F2032" s="66"/>
      <c r="G2032" s="63"/>
      <c r="H2032" s="67"/>
      <c r="I2032" s="68"/>
      <c r="J2032" s="68"/>
      <c r="K2032" s="32"/>
      <c r="L2032" s="75">
        <v>2032</v>
      </c>
      <c r="M2032" s="75"/>
      <c r="N2032" s="70"/>
      <c r="O2032" s="77" t="s">
        <v>2079</v>
      </c>
      <c r="P2032" s="79">
        <v>45116.177604166667</v>
      </c>
      <c r="Q2032" s="77" t="s">
        <v>3899</v>
      </c>
      <c r="R2032" s="77">
        <v>0</v>
      </c>
      <c r="S2032" s="77">
        <v>0</v>
      </c>
      <c r="T2032" s="77">
        <v>0</v>
      </c>
      <c r="U2032" s="77">
        <v>0</v>
      </c>
      <c r="V2032" s="77">
        <v>5</v>
      </c>
      <c r="W2032" s="80" t="s">
        <v>7178</v>
      </c>
      <c r="X2032" s="77"/>
      <c r="Y2032" s="77"/>
      <c r="Z2032" s="77" t="s">
        <v>8969</v>
      </c>
      <c r="AA2032" s="77" t="s">
        <v>9605</v>
      </c>
      <c r="AB2032" s="77" t="s">
        <v>10535</v>
      </c>
      <c r="AC2032" s="80" t="s">
        <v>10540</v>
      </c>
      <c r="AD2032" s="77" t="s">
        <v>10620</v>
      </c>
      <c r="AE2032" s="83" t="str">
        <f>HYPERLINK("https://twitter.com/chapulinmaldito/status/1677894284228395013")</f>
        <v>https://twitter.com/chapulinmaldito/status/1677894284228395013</v>
      </c>
      <c r="AF2032" s="79">
        <v>45116.177604166667</v>
      </c>
      <c r="AG2032" s="85">
        <v>45116</v>
      </c>
      <c r="AH2032" s="80" t="s">
        <v>12423</v>
      </c>
      <c r="AI2032" s="77" t="b">
        <v>0</v>
      </c>
      <c r="AJ2032" s="77"/>
      <c r="AK2032" s="77"/>
      <c r="AL2032" s="77"/>
      <c r="AM2032" s="77"/>
      <c r="AN2032" s="77"/>
      <c r="AO2032" s="77"/>
      <c r="AP2032" s="77"/>
      <c r="AQ2032" s="77" t="s">
        <v>15087</v>
      </c>
      <c r="AR2032" s="77"/>
      <c r="AS2032" s="77"/>
      <c r="AT2032" s="77"/>
      <c r="AU2032" s="77"/>
      <c r="AV2032" s="83" t="str">
        <f>HYPERLINK("https://pbs.twimg.com/media/F0kT9YbWcAEdkww.jpg")</f>
        <v>https://pbs.twimg.com/media/F0kT9YbWcAEdkww.jpg</v>
      </c>
      <c r="AW2032" s="80" t="s">
        <v>17877</v>
      </c>
      <c r="AX2032" s="80" t="s">
        <v>20040</v>
      </c>
      <c r="AY2032" s="80" t="s">
        <v>20292</v>
      </c>
      <c r="AZ2032" s="80" t="s">
        <v>20040</v>
      </c>
      <c r="BA2032" s="80" t="s">
        <v>20380</v>
      </c>
      <c r="BB2032" s="80" t="s">
        <v>20380</v>
      </c>
      <c r="BC2032" s="80" t="s">
        <v>20040</v>
      </c>
      <c r="BD2032" s="80" t="s">
        <v>20796</v>
      </c>
      <c r="BE2032" s="77"/>
      <c r="BF2032" s="77"/>
      <c r="BG2032" s="77"/>
      <c r="BH2032" s="77"/>
      <c r="BI2032" s="77"/>
    </row>
    <row r="2033" spans="1:61" x14ac:dyDescent="0.25">
      <c r="A2033" s="62" t="s">
        <v>865</v>
      </c>
      <c r="B2033" s="62" t="s">
        <v>1898</v>
      </c>
      <c r="C2033" s="63"/>
      <c r="D2033" s="64"/>
      <c r="E2033" s="65"/>
      <c r="F2033" s="66"/>
      <c r="G2033" s="63"/>
      <c r="H2033" s="67"/>
      <c r="I2033" s="68"/>
      <c r="J2033" s="68"/>
      <c r="K2033" s="32"/>
      <c r="L2033" s="75">
        <v>2033</v>
      </c>
      <c r="M2033" s="75"/>
      <c r="N2033" s="70"/>
      <c r="O2033" s="77" t="s">
        <v>2079</v>
      </c>
      <c r="P2033" s="79">
        <v>45116.177604166667</v>
      </c>
      <c r="Q2033" s="77" t="s">
        <v>3899</v>
      </c>
      <c r="R2033" s="77">
        <v>0</v>
      </c>
      <c r="S2033" s="77">
        <v>0</v>
      </c>
      <c r="T2033" s="77">
        <v>0</v>
      </c>
      <c r="U2033" s="77">
        <v>0</v>
      </c>
      <c r="V2033" s="77">
        <v>5</v>
      </c>
      <c r="W2033" s="80" t="s">
        <v>7178</v>
      </c>
      <c r="X2033" s="77"/>
      <c r="Y2033" s="77"/>
      <c r="Z2033" s="77" t="s">
        <v>8969</v>
      </c>
      <c r="AA2033" s="77" t="s">
        <v>9605</v>
      </c>
      <c r="AB2033" s="77" t="s">
        <v>10535</v>
      </c>
      <c r="AC2033" s="80" t="s">
        <v>10540</v>
      </c>
      <c r="AD2033" s="77" t="s">
        <v>10620</v>
      </c>
      <c r="AE2033" s="83" t="str">
        <f>HYPERLINK("https://twitter.com/chapulinmaldito/status/1677894284228395013")</f>
        <v>https://twitter.com/chapulinmaldito/status/1677894284228395013</v>
      </c>
      <c r="AF2033" s="79">
        <v>45116.177604166667</v>
      </c>
      <c r="AG2033" s="85">
        <v>45116</v>
      </c>
      <c r="AH2033" s="80" t="s">
        <v>12423</v>
      </c>
      <c r="AI2033" s="77" t="b">
        <v>0</v>
      </c>
      <c r="AJ2033" s="77"/>
      <c r="AK2033" s="77"/>
      <c r="AL2033" s="77"/>
      <c r="AM2033" s="77"/>
      <c r="AN2033" s="77"/>
      <c r="AO2033" s="77"/>
      <c r="AP2033" s="77"/>
      <c r="AQ2033" s="77" t="s">
        <v>15087</v>
      </c>
      <c r="AR2033" s="77"/>
      <c r="AS2033" s="77"/>
      <c r="AT2033" s="77"/>
      <c r="AU2033" s="77"/>
      <c r="AV2033" s="83" t="str">
        <f>HYPERLINK("https://pbs.twimg.com/media/F0kT9YbWcAEdkww.jpg")</f>
        <v>https://pbs.twimg.com/media/F0kT9YbWcAEdkww.jpg</v>
      </c>
      <c r="AW2033" s="80" t="s">
        <v>17877</v>
      </c>
      <c r="AX2033" s="80" t="s">
        <v>20040</v>
      </c>
      <c r="AY2033" s="80" t="s">
        <v>20292</v>
      </c>
      <c r="AZ2033" s="80" t="s">
        <v>20040</v>
      </c>
      <c r="BA2033" s="80" t="s">
        <v>20380</v>
      </c>
      <c r="BB2033" s="80" t="s">
        <v>20380</v>
      </c>
      <c r="BC2033" s="80" t="s">
        <v>20040</v>
      </c>
      <c r="BD2033" s="80" t="s">
        <v>20796</v>
      </c>
      <c r="BE2033" s="77"/>
      <c r="BF2033" s="77"/>
      <c r="BG2033" s="77"/>
      <c r="BH2033" s="77"/>
      <c r="BI2033" s="77"/>
    </row>
    <row r="2034" spans="1:61" x14ac:dyDescent="0.25">
      <c r="A2034" s="62" t="s">
        <v>865</v>
      </c>
      <c r="B2034" s="62" t="s">
        <v>1899</v>
      </c>
      <c r="C2034" s="63"/>
      <c r="D2034" s="64"/>
      <c r="E2034" s="65"/>
      <c r="F2034" s="66"/>
      <c r="G2034" s="63"/>
      <c r="H2034" s="67"/>
      <c r="I2034" s="68"/>
      <c r="J2034" s="68"/>
      <c r="K2034" s="32"/>
      <c r="L2034" s="75">
        <v>2034</v>
      </c>
      <c r="M2034" s="75"/>
      <c r="N2034" s="70"/>
      <c r="O2034" s="77" t="s">
        <v>2078</v>
      </c>
      <c r="P2034" s="79">
        <v>45116.177604166667</v>
      </c>
      <c r="Q2034" s="77" t="s">
        <v>3899</v>
      </c>
      <c r="R2034" s="77">
        <v>0</v>
      </c>
      <c r="S2034" s="77">
        <v>0</v>
      </c>
      <c r="T2034" s="77">
        <v>0</v>
      </c>
      <c r="U2034" s="77">
        <v>0</v>
      </c>
      <c r="V2034" s="77">
        <v>5</v>
      </c>
      <c r="W2034" s="80" t="s">
        <v>7178</v>
      </c>
      <c r="X2034" s="77"/>
      <c r="Y2034" s="77"/>
      <c r="Z2034" s="77" t="s">
        <v>8969</v>
      </c>
      <c r="AA2034" s="77" t="s">
        <v>9605</v>
      </c>
      <c r="AB2034" s="77" t="s">
        <v>10535</v>
      </c>
      <c r="AC2034" s="80" t="s">
        <v>10540</v>
      </c>
      <c r="AD2034" s="77" t="s">
        <v>10620</v>
      </c>
      <c r="AE2034" s="83" t="str">
        <f>HYPERLINK("https://twitter.com/chapulinmaldito/status/1677894284228395013")</f>
        <v>https://twitter.com/chapulinmaldito/status/1677894284228395013</v>
      </c>
      <c r="AF2034" s="79">
        <v>45116.177604166667</v>
      </c>
      <c r="AG2034" s="85">
        <v>45116</v>
      </c>
      <c r="AH2034" s="80" t="s">
        <v>12423</v>
      </c>
      <c r="AI2034" s="77" t="b">
        <v>0</v>
      </c>
      <c r="AJ2034" s="77"/>
      <c r="AK2034" s="77"/>
      <c r="AL2034" s="77"/>
      <c r="AM2034" s="77"/>
      <c r="AN2034" s="77"/>
      <c r="AO2034" s="77"/>
      <c r="AP2034" s="77"/>
      <c r="AQ2034" s="77" t="s">
        <v>15087</v>
      </c>
      <c r="AR2034" s="77"/>
      <c r="AS2034" s="77"/>
      <c r="AT2034" s="77"/>
      <c r="AU2034" s="77"/>
      <c r="AV2034" s="83" t="str">
        <f>HYPERLINK("https://pbs.twimg.com/media/F0kT9YbWcAEdkww.jpg")</f>
        <v>https://pbs.twimg.com/media/F0kT9YbWcAEdkww.jpg</v>
      </c>
      <c r="AW2034" s="80" t="s">
        <v>17877</v>
      </c>
      <c r="AX2034" s="80" t="s">
        <v>20040</v>
      </c>
      <c r="AY2034" s="80" t="s">
        <v>20292</v>
      </c>
      <c r="AZ2034" s="80" t="s">
        <v>20040</v>
      </c>
      <c r="BA2034" s="80" t="s">
        <v>20380</v>
      </c>
      <c r="BB2034" s="80" t="s">
        <v>20380</v>
      </c>
      <c r="BC2034" s="80" t="s">
        <v>20040</v>
      </c>
      <c r="BD2034" s="80" t="s">
        <v>20796</v>
      </c>
      <c r="BE2034" s="77"/>
      <c r="BF2034" s="77"/>
      <c r="BG2034" s="77"/>
      <c r="BH2034" s="77"/>
      <c r="BI2034" s="77"/>
    </row>
    <row r="2035" spans="1:61" x14ac:dyDescent="0.25">
      <c r="A2035" s="62" t="s">
        <v>865</v>
      </c>
      <c r="B2035" s="62" t="s">
        <v>1900</v>
      </c>
      <c r="C2035" s="63"/>
      <c r="D2035" s="64"/>
      <c r="E2035" s="65"/>
      <c r="F2035" s="66"/>
      <c r="G2035" s="63"/>
      <c r="H2035" s="67"/>
      <c r="I2035" s="68"/>
      <c r="J2035" s="68"/>
      <c r="K2035" s="32"/>
      <c r="L2035" s="75">
        <v>2035</v>
      </c>
      <c r="M2035" s="75"/>
      <c r="N2035" s="70"/>
      <c r="O2035" s="77" t="s">
        <v>2079</v>
      </c>
      <c r="P2035" s="79">
        <v>45116.177604166667</v>
      </c>
      <c r="Q2035" s="77" t="s">
        <v>3899</v>
      </c>
      <c r="R2035" s="77">
        <v>0</v>
      </c>
      <c r="S2035" s="77">
        <v>0</v>
      </c>
      <c r="T2035" s="77">
        <v>0</v>
      </c>
      <c r="U2035" s="77">
        <v>0</v>
      </c>
      <c r="V2035" s="77">
        <v>5</v>
      </c>
      <c r="W2035" s="80" t="s">
        <v>7178</v>
      </c>
      <c r="X2035" s="77"/>
      <c r="Y2035" s="77"/>
      <c r="Z2035" s="77" t="s">
        <v>8969</v>
      </c>
      <c r="AA2035" s="77" t="s">
        <v>9605</v>
      </c>
      <c r="AB2035" s="77" t="s">
        <v>10535</v>
      </c>
      <c r="AC2035" s="80" t="s">
        <v>10540</v>
      </c>
      <c r="AD2035" s="77" t="s">
        <v>10620</v>
      </c>
      <c r="AE2035" s="83" t="str">
        <f>HYPERLINK("https://twitter.com/chapulinmaldito/status/1677894284228395013")</f>
        <v>https://twitter.com/chapulinmaldito/status/1677894284228395013</v>
      </c>
      <c r="AF2035" s="79">
        <v>45116.177604166667</v>
      </c>
      <c r="AG2035" s="85">
        <v>45116</v>
      </c>
      <c r="AH2035" s="80" t="s">
        <v>12423</v>
      </c>
      <c r="AI2035" s="77" t="b">
        <v>0</v>
      </c>
      <c r="AJ2035" s="77"/>
      <c r="AK2035" s="77"/>
      <c r="AL2035" s="77"/>
      <c r="AM2035" s="77"/>
      <c r="AN2035" s="77"/>
      <c r="AO2035" s="77"/>
      <c r="AP2035" s="77"/>
      <c r="AQ2035" s="77" t="s">
        <v>15087</v>
      </c>
      <c r="AR2035" s="77"/>
      <c r="AS2035" s="77"/>
      <c r="AT2035" s="77"/>
      <c r="AU2035" s="77"/>
      <c r="AV2035" s="83" t="str">
        <f>HYPERLINK("https://pbs.twimg.com/media/F0kT9YbWcAEdkww.jpg")</f>
        <v>https://pbs.twimg.com/media/F0kT9YbWcAEdkww.jpg</v>
      </c>
      <c r="AW2035" s="80" t="s">
        <v>17877</v>
      </c>
      <c r="AX2035" s="80" t="s">
        <v>20040</v>
      </c>
      <c r="AY2035" s="80" t="s">
        <v>20292</v>
      </c>
      <c r="AZ2035" s="80" t="s">
        <v>20040</v>
      </c>
      <c r="BA2035" s="80" t="s">
        <v>20380</v>
      </c>
      <c r="BB2035" s="80" t="s">
        <v>20380</v>
      </c>
      <c r="BC2035" s="80" t="s">
        <v>20040</v>
      </c>
      <c r="BD2035" s="80" t="s">
        <v>20796</v>
      </c>
      <c r="BE2035" s="77"/>
      <c r="BF2035" s="77"/>
      <c r="BG2035" s="77"/>
      <c r="BH2035" s="77"/>
      <c r="BI2035" s="77"/>
    </row>
    <row r="2036" spans="1:61" x14ac:dyDescent="0.25">
      <c r="A2036" s="62" t="s">
        <v>865</v>
      </c>
      <c r="B2036" s="62" t="s">
        <v>1901</v>
      </c>
      <c r="C2036" s="63"/>
      <c r="D2036" s="64"/>
      <c r="E2036" s="65"/>
      <c r="F2036" s="66"/>
      <c r="G2036" s="63"/>
      <c r="H2036" s="67"/>
      <c r="I2036" s="68"/>
      <c r="J2036" s="68"/>
      <c r="K2036" s="32"/>
      <c r="L2036" s="75">
        <v>2036</v>
      </c>
      <c r="M2036" s="75"/>
      <c r="N2036" s="70"/>
      <c r="O2036" s="77" t="s">
        <v>2079</v>
      </c>
      <c r="P2036" s="79">
        <v>45116.177604166667</v>
      </c>
      <c r="Q2036" s="77" t="s">
        <v>3899</v>
      </c>
      <c r="R2036" s="77">
        <v>0</v>
      </c>
      <c r="S2036" s="77">
        <v>0</v>
      </c>
      <c r="T2036" s="77">
        <v>0</v>
      </c>
      <c r="U2036" s="77">
        <v>0</v>
      </c>
      <c r="V2036" s="77">
        <v>5</v>
      </c>
      <c r="W2036" s="80" t="s">
        <v>7178</v>
      </c>
      <c r="X2036" s="77"/>
      <c r="Y2036" s="77"/>
      <c r="Z2036" s="77" t="s">
        <v>8969</v>
      </c>
      <c r="AA2036" s="77" t="s">
        <v>9605</v>
      </c>
      <c r="AB2036" s="77" t="s">
        <v>10535</v>
      </c>
      <c r="AC2036" s="80" t="s">
        <v>10540</v>
      </c>
      <c r="AD2036" s="77" t="s">
        <v>10620</v>
      </c>
      <c r="AE2036" s="83" t="str">
        <f>HYPERLINK("https://twitter.com/chapulinmaldito/status/1677894284228395013")</f>
        <v>https://twitter.com/chapulinmaldito/status/1677894284228395013</v>
      </c>
      <c r="AF2036" s="79">
        <v>45116.177604166667</v>
      </c>
      <c r="AG2036" s="85">
        <v>45116</v>
      </c>
      <c r="AH2036" s="80" t="s">
        <v>12423</v>
      </c>
      <c r="AI2036" s="77" t="b">
        <v>0</v>
      </c>
      <c r="AJ2036" s="77"/>
      <c r="AK2036" s="77"/>
      <c r="AL2036" s="77"/>
      <c r="AM2036" s="77"/>
      <c r="AN2036" s="77"/>
      <c r="AO2036" s="77"/>
      <c r="AP2036" s="77"/>
      <c r="AQ2036" s="77" t="s">
        <v>15087</v>
      </c>
      <c r="AR2036" s="77"/>
      <c r="AS2036" s="77"/>
      <c r="AT2036" s="77"/>
      <c r="AU2036" s="77"/>
      <c r="AV2036" s="83" t="str">
        <f>HYPERLINK("https://pbs.twimg.com/media/F0kT9YbWcAEdkww.jpg")</f>
        <v>https://pbs.twimg.com/media/F0kT9YbWcAEdkww.jpg</v>
      </c>
      <c r="AW2036" s="80" t="s">
        <v>17877</v>
      </c>
      <c r="AX2036" s="80" t="s">
        <v>20040</v>
      </c>
      <c r="AY2036" s="80" t="s">
        <v>20292</v>
      </c>
      <c r="AZ2036" s="80" t="s">
        <v>20040</v>
      </c>
      <c r="BA2036" s="80" t="s">
        <v>20380</v>
      </c>
      <c r="BB2036" s="80" t="s">
        <v>20380</v>
      </c>
      <c r="BC2036" s="80" t="s">
        <v>20040</v>
      </c>
      <c r="BD2036" s="80" t="s">
        <v>20796</v>
      </c>
      <c r="BE2036" s="77"/>
      <c r="BF2036" s="77"/>
      <c r="BG2036" s="77"/>
      <c r="BH2036" s="77"/>
      <c r="BI2036" s="77"/>
    </row>
    <row r="2037" spans="1:61" x14ac:dyDescent="0.25">
      <c r="A2037" s="62" t="s">
        <v>866</v>
      </c>
      <c r="B2037" s="62" t="s">
        <v>866</v>
      </c>
      <c r="C2037" s="63"/>
      <c r="D2037" s="64"/>
      <c r="E2037" s="65"/>
      <c r="F2037" s="66"/>
      <c r="G2037" s="63"/>
      <c r="H2037" s="67"/>
      <c r="I2037" s="68"/>
      <c r="J2037" s="68"/>
      <c r="K2037" s="32"/>
      <c r="L2037" s="75">
        <v>2037</v>
      </c>
      <c r="M2037" s="75"/>
      <c r="N2037" s="70"/>
      <c r="O2037" s="77" t="s">
        <v>179</v>
      </c>
      <c r="P2037" s="79">
        <v>45098.666064814817</v>
      </c>
      <c r="Q2037" s="77" t="s">
        <v>3900</v>
      </c>
      <c r="R2037" s="77">
        <v>0</v>
      </c>
      <c r="S2037" s="77">
        <v>0</v>
      </c>
      <c r="T2037" s="77">
        <v>0</v>
      </c>
      <c r="U2037" s="77">
        <v>0</v>
      </c>
      <c r="V2037" s="77">
        <v>43</v>
      </c>
      <c r="W2037" s="80" t="s">
        <v>7179</v>
      </c>
      <c r="X2037" s="83" t="str">
        <f>HYPERLINK("https://tinyurl.com/yc86an5z")</f>
        <v>https://tinyurl.com/yc86an5z</v>
      </c>
      <c r="Y2037" s="77" t="s">
        <v>8670</v>
      </c>
      <c r="Z2037" s="77"/>
      <c r="AA2037" s="77"/>
      <c r="AB2037" s="77"/>
      <c r="AC2037" s="80" t="s">
        <v>10541</v>
      </c>
      <c r="AD2037" s="77" t="s">
        <v>10617</v>
      </c>
      <c r="AE2037" s="83" t="str">
        <f>HYPERLINK("https://twitter.com/biasaltarelli/status/1671548314158866433")</f>
        <v>https://twitter.com/biasaltarelli/status/1671548314158866433</v>
      </c>
      <c r="AF2037" s="79">
        <v>45098.666064814817</v>
      </c>
      <c r="AG2037" s="85">
        <v>45098</v>
      </c>
      <c r="AH2037" s="80" t="s">
        <v>12424</v>
      </c>
      <c r="AI2037" s="77" t="b">
        <v>0</v>
      </c>
      <c r="AJ2037" s="77"/>
      <c r="AK2037" s="77"/>
      <c r="AL2037" s="77"/>
      <c r="AM2037" s="77"/>
      <c r="AN2037" s="77"/>
      <c r="AO2037" s="77"/>
      <c r="AP2037" s="77"/>
      <c r="AQ2037" s="77"/>
      <c r="AR2037" s="77"/>
      <c r="AS2037" s="77"/>
      <c r="AT2037" s="77"/>
      <c r="AU2037" s="77"/>
      <c r="AV2037" s="83" t="str">
        <f>HYPERLINK("https://pbs.twimg.com/profile_images/1663197107283435521/EkvPRFfJ_normal.jpg")</f>
        <v>https://pbs.twimg.com/profile_images/1663197107283435521/EkvPRFfJ_normal.jpg</v>
      </c>
      <c r="AW2037" s="80" t="s">
        <v>17878</v>
      </c>
      <c r="AX2037" s="80" t="s">
        <v>17878</v>
      </c>
      <c r="AY2037" s="77"/>
      <c r="AZ2037" s="80" t="s">
        <v>20380</v>
      </c>
      <c r="BA2037" s="80" t="s">
        <v>20380</v>
      </c>
      <c r="BB2037" s="80" t="s">
        <v>20380</v>
      </c>
      <c r="BC2037" s="80" t="s">
        <v>17878</v>
      </c>
      <c r="BD2037" s="77">
        <v>23326155</v>
      </c>
      <c r="BE2037" s="77"/>
      <c r="BF2037" s="77"/>
      <c r="BG2037" s="77"/>
      <c r="BH2037" s="77"/>
      <c r="BI2037" s="77"/>
    </row>
    <row r="2038" spans="1:61" x14ac:dyDescent="0.25">
      <c r="A2038" s="62" t="s">
        <v>867</v>
      </c>
      <c r="B2038" s="62" t="s">
        <v>867</v>
      </c>
      <c r="C2038" s="63"/>
      <c r="D2038" s="64"/>
      <c r="E2038" s="65"/>
      <c r="F2038" s="66"/>
      <c r="G2038" s="63"/>
      <c r="H2038" s="67"/>
      <c r="I2038" s="68"/>
      <c r="J2038" s="68"/>
      <c r="K2038" s="32"/>
      <c r="L2038" s="75">
        <v>2038</v>
      </c>
      <c r="M2038" s="75"/>
      <c r="N2038" s="70"/>
      <c r="O2038" s="77" t="s">
        <v>179</v>
      </c>
      <c r="P2038" s="79">
        <v>45050.410381944443</v>
      </c>
      <c r="Q2038" s="77" t="s">
        <v>3901</v>
      </c>
      <c r="R2038" s="77">
        <v>2</v>
      </c>
      <c r="S2038" s="77">
        <v>1</v>
      </c>
      <c r="T2038" s="77">
        <v>0</v>
      </c>
      <c r="U2038" s="77">
        <v>0</v>
      </c>
      <c r="V2038" s="77">
        <v>71</v>
      </c>
      <c r="W2038" s="80" t="s">
        <v>7180</v>
      </c>
      <c r="X2038" s="77"/>
      <c r="Y2038" s="77"/>
      <c r="Z2038" s="77"/>
      <c r="AA2038" s="77"/>
      <c r="AB2038" s="77"/>
      <c r="AC2038" s="80" t="s">
        <v>10540</v>
      </c>
      <c r="AD2038" s="77" t="s">
        <v>10617</v>
      </c>
      <c r="AE2038" s="83" t="str">
        <f>HYPERLINK("https://twitter.com/xandaodalapa/status/1654061039498010624")</f>
        <v>https://twitter.com/xandaodalapa/status/1654061039498010624</v>
      </c>
      <c r="AF2038" s="79">
        <v>45050.410381944443</v>
      </c>
      <c r="AG2038" s="85">
        <v>45050</v>
      </c>
      <c r="AH2038" s="80" t="s">
        <v>12425</v>
      </c>
      <c r="AI2038" s="77"/>
      <c r="AJ2038" s="77"/>
      <c r="AK2038" s="77"/>
      <c r="AL2038" s="77"/>
      <c r="AM2038" s="77"/>
      <c r="AN2038" s="77"/>
      <c r="AO2038" s="77"/>
      <c r="AP2038" s="77"/>
      <c r="AQ2038" s="77"/>
      <c r="AR2038" s="77"/>
      <c r="AS2038" s="77"/>
      <c r="AT2038" s="77"/>
      <c r="AU2038" s="77"/>
      <c r="AV2038" s="83" t="str">
        <f>HYPERLINK("https://pbs.twimg.com/profile_images/952583619654176768/eZPnZTM6_normal.jpg")</f>
        <v>https://pbs.twimg.com/profile_images/952583619654176768/eZPnZTM6_normal.jpg</v>
      </c>
      <c r="AW2038" s="80" t="s">
        <v>17879</v>
      </c>
      <c r="AX2038" s="80" t="s">
        <v>17879</v>
      </c>
      <c r="AY2038" s="77"/>
      <c r="AZ2038" s="80" t="s">
        <v>20380</v>
      </c>
      <c r="BA2038" s="80" t="s">
        <v>20380</v>
      </c>
      <c r="BB2038" s="80" t="s">
        <v>20380</v>
      </c>
      <c r="BC2038" s="80" t="s">
        <v>17879</v>
      </c>
      <c r="BD2038" s="77">
        <v>1175390274</v>
      </c>
      <c r="BE2038" s="77"/>
      <c r="BF2038" s="77"/>
      <c r="BG2038" s="77"/>
      <c r="BH2038" s="77"/>
      <c r="BI2038" s="77"/>
    </row>
    <row r="2039" spans="1:61" x14ac:dyDescent="0.25">
      <c r="A2039" s="62" t="s">
        <v>868</v>
      </c>
      <c r="B2039" s="62" t="s">
        <v>868</v>
      </c>
      <c r="C2039" s="63"/>
      <c r="D2039" s="64"/>
      <c r="E2039" s="65"/>
      <c r="F2039" s="66"/>
      <c r="G2039" s="63"/>
      <c r="H2039" s="67"/>
      <c r="I2039" s="68"/>
      <c r="J2039" s="68"/>
      <c r="K2039" s="32"/>
      <c r="L2039" s="75">
        <v>2039</v>
      </c>
      <c r="M2039" s="75"/>
      <c r="N2039" s="70"/>
      <c r="O2039" s="77" t="s">
        <v>179</v>
      </c>
      <c r="P2039" s="79">
        <v>45166.516608796293</v>
      </c>
      <c r="Q2039" s="77" t="s">
        <v>3902</v>
      </c>
      <c r="R2039" s="77">
        <v>0</v>
      </c>
      <c r="S2039" s="77">
        <v>0</v>
      </c>
      <c r="T2039" s="77">
        <v>0</v>
      </c>
      <c r="U2039" s="77">
        <v>0</v>
      </c>
      <c r="V2039" s="77">
        <v>229</v>
      </c>
      <c r="W2039" s="80" t="s">
        <v>7181</v>
      </c>
      <c r="X2039" s="83" t="str">
        <f>HYPERLINK("https://dinheirama.com/estoque-de-credito-no-brasil-cai-02-em-julho-concessoes-recuam-54/")</f>
        <v>https://dinheirama.com/estoque-de-credito-no-brasil-cai-02-em-julho-concessoes-recuam-54/</v>
      </c>
      <c r="Y2039" s="77" t="s">
        <v>8762</v>
      </c>
      <c r="Z2039" s="77"/>
      <c r="AA2039" s="77"/>
      <c r="AB2039" s="77"/>
      <c r="AC2039" s="80" t="s">
        <v>10541</v>
      </c>
      <c r="AD2039" s="77" t="s">
        <v>10617</v>
      </c>
      <c r="AE2039" s="83" t="str">
        <f>HYPERLINK("https://twitter.com/dinheirama/status/1696136529406546387")</f>
        <v>https://twitter.com/dinheirama/status/1696136529406546387</v>
      </c>
      <c r="AF2039" s="79">
        <v>45166.516608796293</v>
      </c>
      <c r="AG2039" s="85">
        <v>45166</v>
      </c>
      <c r="AH2039" s="80" t="s">
        <v>12426</v>
      </c>
      <c r="AI2039" s="77" t="b">
        <v>0</v>
      </c>
      <c r="AJ2039" s="77"/>
      <c r="AK2039" s="77"/>
      <c r="AL2039" s="77"/>
      <c r="AM2039" s="77"/>
      <c r="AN2039" s="77"/>
      <c r="AO2039" s="77"/>
      <c r="AP2039" s="77"/>
      <c r="AQ2039" s="77"/>
      <c r="AR2039" s="77"/>
      <c r="AS2039" s="77"/>
      <c r="AT2039" s="77"/>
      <c r="AU2039" s="77"/>
      <c r="AV2039" s="83" t="str">
        <f>HYPERLINK("https://pbs.twimg.com/profile_images/1685831655976501248/p4Yj-D92_normal.jpg")</f>
        <v>https://pbs.twimg.com/profile_images/1685831655976501248/p4Yj-D92_normal.jpg</v>
      </c>
      <c r="AW2039" s="80" t="s">
        <v>17880</v>
      </c>
      <c r="AX2039" s="80" t="s">
        <v>17880</v>
      </c>
      <c r="AY2039" s="77"/>
      <c r="AZ2039" s="80" t="s">
        <v>20380</v>
      </c>
      <c r="BA2039" s="80" t="s">
        <v>20380</v>
      </c>
      <c r="BB2039" s="80" t="s">
        <v>20380</v>
      </c>
      <c r="BC2039" s="80" t="s">
        <v>17880</v>
      </c>
      <c r="BD2039" s="77">
        <v>23408209</v>
      </c>
      <c r="BE2039" s="77"/>
      <c r="BF2039" s="77"/>
      <c r="BG2039" s="77"/>
      <c r="BH2039" s="77"/>
      <c r="BI2039" s="77"/>
    </row>
    <row r="2040" spans="1:61" x14ac:dyDescent="0.25">
      <c r="A2040" s="62" t="s">
        <v>868</v>
      </c>
      <c r="B2040" s="62" t="s">
        <v>868</v>
      </c>
      <c r="C2040" s="63"/>
      <c r="D2040" s="64"/>
      <c r="E2040" s="65"/>
      <c r="F2040" s="66"/>
      <c r="G2040" s="63"/>
      <c r="H2040" s="67"/>
      <c r="I2040" s="68"/>
      <c r="J2040" s="68"/>
      <c r="K2040" s="32"/>
      <c r="L2040" s="75">
        <v>2040</v>
      </c>
      <c r="M2040" s="75"/>
      <c r="N2040" s="70"/>
      <c r="O2040" s="77" t="s">
        <v>179</v>
      </c>
      <c r="P2040" s="79">
        <v>45145.930648148147</v>
      </c>
      <c r="Q2040" s="77" t="s">
        <v>3903</v>
      </c>
      <c r="R2040" s="77">
        <v>0</v>
      </c>
      <c r="S2040" s="77">
        <v>1</v>
      </c>
      <c r="T2040" s="77">
        <v>0</v>
      </c>
      <c r="U2040" s="77">
        <v>0</v>
      </c>
      <c r="V2040" s="77">
        <v>323</v>
      </c>
      <c r="W2040" s="80" t="s">
        <v>7182</v>
      </c>
      <c r="X2040" s="83" t="str">
        <f>HYPERLINK("https://dinheirama.com/real-digital-se-chamara-drex-confirma-banco-central/")</f>
        <v>https://dinheirama.com/real-digital-se-chamara-drex-confirma-banco-central/</v>
      </c>
      <c r="Y2040" s="77" t="s">
        <v>8762</v>
      </c>
      <c r="Z2040" s="77"/>
      <c r="AA2040" s="77"/>
      <c r="AB2040" s="77"/>
      <c r="AC2040" s="80" t="s">
        <v>10541</v>
      </c>
      <c r="AD2040" s="77" t="s">
        <v>10617</v>
      </c>
      <c r="AE2040" s="83" t="str">
        <f>HYPERLINK("https://twitter.com/dinheirama/status/1688676425354588160")</f>
        <v>https://twitter.com/dinheirama/status/1688676425354588160</v>
      </c>
      <c r="AF2040" s="79">
        <v>45145.930648148147</v>
      </c>
      <c r="AG2040" s="85">
        <v>45145</v>
      </c>
      <c r="AH2040" s="80" t="s">
        <v>12427</v>
      </c>
      <c r="AI2040" s="77" t="b">
        <v>0</v>
      </c>
      <c r="AJ2040" s="77"/>
      <c r="AK2040" s="77"/>
      <c r="AL2040" s="77"/>
      <c r="AM2040" s="77"/>
      <c r="AN2040" s="77"/>
      <c r="AO2040" s="77"/>
      <c r="AP2040" s="77"/>
      <c r="AQ2040" s="77"/>
      <c r="AR2040" s="77"/>
      <c r="AS2040" s="77"/>
      <c r="AT2040" s="77"/>
      <c r="AU2040" s="77"/>
      <c r="AV2040" s="83" t="str">
        <f>HYPERLINK("https://pbs.twimg.com/profile_images/1685831655976501248/p4Yj-D92_normal.jpg")</f>
        <v>https://pbs.twimg.com/profile_images/1685831655976501248/p4Yj-D92_normal.jpg</v>
      </c>
      <c r="AW2040" s="80" t="s">
        <v>17881</v>
      </c>
      <c r="AX2040" s="80" t="s">
        <v>17881</v>
      </c>
      <c r="AY2040" s="77"/>
      <c r="AZ2040" s="80" t="s">
        <v>20380</v>
      </c>
      <c r="BA2040" s="80" t="s">
        <v>20380</v>
      </c>
      <c r="BB2040" s="80" t="s">
        <v>20380</v>
      </c>
      <c r="BC2040" s="80" t="s">
        <v>17881</v>
      </c>
      <c r="BD2040" s="77">
        <v>23408209</v>
      </c>
      <c r="BE2040" s="77"/>
      <c r="BF2040" s="77"/>
      <c r="BG2040" s="77"/>
      <c r="BH2040" s="77"/>
      <c r="BI2040" s="77"/>
    </row>
    <row r="2041" spans="1:61" x14ac:dyDescent="0.25">
      <c r="A2041" s="62" t="s">
        <v>868</v>
      </c>
      <c r="B2041" s="62" t="s">
        <v>868</v>
      </c>
      <c r="C2041" s="63"/>
      <c r="D2041" s="64"/>
      <c r="E2041" s="65"/>
      <c r="F2041" s="66"/>
      <c r="G2041" s="63"/>
      <c r="H2041" s="67"/>
      <c r="I2041" s="68"/>
      <c r="J2041" s="68"/>
      <c r="K2041" s="32"/>
      <c r="L2041" s="75">
        <v>2041</v>
      </c>
      <c r="M2041" s="75"/>
      <c r="N2041" s="70"/>
      <c r="O2041" s="77" t="s">
        <v>179</v>
      </c>
      <c r="P2041" s="79">
        <v>45145.813738425924</v>
      </c>
      <c r="Q2041" s="77" t="s">
        <v>3904</v>
      </c>
      <c r="R2041" s="77">
        <v>0</v>
      </c>
      <c r="S2041" s="77">
        <v>1</v>
      </c>
      <c r="T2041" s="77">
        <v>0</v>
      </c>
      <c r="U2041" s="77">
        <v>0</v>
      </c>
      <c r="V2041" s="77">
        <v>218</v>
      </c>
      <c r="W2041" s="80" t="s">
        <v>7183</v>
      </c>
      <c r="X2041" s="83" t="str">
        <f>HYPERLINK("https://dinheirama.com/pix-bate-recorde-e-supera-140-milhoes-de-transacoes-em-um-dia/")</f>
        <v>https://dinheirama.com/pix-bate-recorde-e-supera-140-milhoes-de-transacoes-em-um-dia/</v>
      </c>
      <c r="Y2041" s="77" t="s">
        <v>8762</v>
      </c>
      <c r="Z2041" s="77"/>
      <c r="AA2041" s="77"/>
      <c r="AB2041" s="77"/>
      <c r="AC2041" s="80" t="s">
        <v>10541</v>
      </c>
      <c r="AD2041" s="77" t="s">
        <v>10617</v>
      </c>
      <c r="AE2041" s="83" t="str">
        <f>HYPERLINK("https://twitter.com/dinheirama/status/1688634058169798656")</f>
        <v>https://twitter.com/dinheirama/status/1688634058169798656</v>
      </c>
      <c r="AF2041" s="79">
        <v>45145.813738425924</v>
      </c>
      <c r="AG2041" s="85">
        <v>45145</v>
      </c>
      <c r="AH2041" s="80" t="s">
        <v>12428</v>
      </c>
      <c r="AI2041" s="77" t="b">
        <v>0</v>
      </c>
      <c r="AJ2041" s="77"/>
      <c r="AK2041" s="77"/>
      <c r="AL2041" s="77"/>
      <c r="AM2041" s="77"/>
      <c r="AN2041" s="77"/>
      <c r="AO2041" s="77"/>
      <c r="AP2041" s="77"/>
      <c r="AQ2041" s="77"/>
      <c r="AR2041" s="77"/>
      <c r="AS2041" s="77"/>
      <c r="AT2041" s="77"/>
      <c r="AU2041" s="77"/>
      <c r="AV2041" s="83" t="str">
        <f>HYPERLINK("https://pbs.twimg.com/profile_images/1685831655976501248/p4Yj-D92_normal.jpg")</f>
        <v>https://pbs.twimg.com/profile_images/1685831655976501248/p4Yj-D92_normal.jpg</v>
      </c>
      <c r="AW2041" s="80" t="s">
        <v>17882</v>
      </c>
      <c r="AX2041" s="80" t="s">
        <v>17882</v>
      </c>
      <c r="AY2041" s="77"/>
      <c r="AZ2041" s="80" t="s">
        <v>20380</v>
      </c>
      <c r="BA2041" s="80" t="s">
        <v>20380</v>
      </c>
      <c r="BB2041" s="80" t="s">
        <v>20380</v>
      </c>
      <c r="BC2041" s="80" t="s">
        <v>17882</v>
      </c>
      <c r="BD2041" s="77">
        <v>23408209</v>
      </c>
      <c r="BE2041" s="77"/>
      <c r="BF2041" s="77"/>
      <c r="BG2041" s="77"/>
      <c r="BH2041" s="77"/>
      <c r="BI2041" s="77"/>
    </row>
    <row r="2042" spans="1:61" x14ac:dyDescent="0.25">
      <c r="A2042" s="62" t="s">
        <v>868</v>
      </c>
      <c r="B2042" s="62" t="s">
        <v>868</v>
      </c>
      <c r="C2042" s="63"/>
      <c r="D2042" s="64"/>
      <c r="E2042" s="65"/>
      <c r="F2042" s="66"/>
      <c r="G2042" s="63"/>
      <c r="H2042" s="67"/>
      <c r="I2042" s="68"/>
      <c r="J2042" s="68"/>
      <c r="K2042" s="32"/>
      <c r="L2042" s="75">
        <v>2042</v>
      </c>
      <c r="M2042" s="75"/>
      <c r="N2042" s="70"/>
      <c r="O2042" s="77" t="s">
        <v>179</v>
      </c>
      <c r="P2042" s="79">
        <v>45133.729942129627</v>
      </c>
      <c r="Q2042" s="77" t="s">
        <v>3905</v>
      </c>
      <c r="R2042" s="77">
        <v>0</v>
      </c>
      <c r="S2042" s="77">
        <v>0</v>
      </c>
      <c r="T2042" s="77">
        <v>0</v>
      </c>
      <c r="U2042" s="77">
        <v>0</v>
      </c>
      <c r="V2042" s="77">
        <v>222</v>
      </c>
      <c r="W2042" s="80" t="s">
        <v>6199</v>
      </c>
      <c r="X2042" s="83" t="str">
        <f>HYPERLINK("https://dinheirama.com/contas-externas-tem-saldo-negativo-de-us-843-milhoes-em-junho/")</f>
        <v>https://dinheirama.com/contas-externas-tem-saldo-negativo-de-us-843-milhoes-em-junho/</v>
      </c>
      <c r="Y2042" s="77" t="s">
        <v>8762</v>
      </c>
      <c r="Z2042" s="77"/>
      <c r="AA2042" s="77"/>
      <c r="AB2042" s="77"/>
      <c r="AC2042" s="80" t="s">
        <v>10541</v>
      </c>
      <c r="AD2042" s="77" t="s">
        <v>10617</v>
      </c>
      <c r="AE2042" s="83" t="str">
        <f>HYPERLINK("https://twitter.com/dinheirama/status/1684255037659152387")</f>
        <v>https://twitter.com/dinheirama/status/1684255037659152387</v>
      </c>
      <c r="AF2042" s="79">
        <v>45133.729942129627</v>
      </c>
      <c r="AG2042" s="85">
        <v>45133</v>
      </c>
      <c r="AH2042" s="80" t="s">
        <v>12429</v>
      </c>
      <c r="AI2042" s="77" t="b">
        <v>0</v>
      </c>
      <c r="AJ2042" s="77"/>
      <c r="AK2042" s="77"/>
      <c r="AL2042" s="77"/>
      <c r="AM2042" s="77"/>
      <c r="AN2042" s="77"/>
      <c r="AO2042" s="77"/>
      <c r="AP2042" s="77"/>
      <c r="AQ2042" s="77"/>
      <c r="AR2042" s="77"/>
      <c r="AS2042" s="77"/>
      <c r="AT2042" s="77"/>
      <c r="AU2042" s="77"/>
      <c r="AV2042" s="83" t="str">
        <f>HYPERLINK("https://pbs.twimg.com/profile_images/1685831655976501248/p4Yj-D92_normal.jpg")</f>
        <v>https://pbs.twimg.com/profile_images/1685831655976501248/p4Yj-D92_normal.jpg</v>
      </c>
      <c r="AW2042" s="80" t="s">
        <v>17883</v>
      </c>
      <c r="AX2042" s="80" t="s">
        <v>17883</v>
      </c>
      <c r="AY2042" s="77"/>
      <c r="AZ2042" s="80" t="s">
        <v>20380</v>
      </c>
      <c r="BA2042" s="80" t="s">
        <v>20380</v>
      </c>
      <c r="BB2042" s="80" t="s">
        <v>20380</v>
      </c>
      <c r="BC2042" s="80" t="s">
        <v>17883</v>
      </c>
      <c r="BD2042" s="77">
        <v>23408209</v>
      </c>
      <c r="BE2042" s="77"/>
      <c r="BF2042" s="77"/>
      <c r="BG2042" s="77"/>
      <c r="BH2042" s="77"/>
      <c r="BI2042" s="77"/>
    </row>
    <row r="2043" spans="1:61" x14ac:dyDescent="0.25">
      <c r="A2043" s="62" t="s">
        <v>868</v>
      </c>
      <c r="B2043" s="62" t="s">
        <v>868</v>
      </c>
      <c r="C2043" s="63"/>
      <c r="D2043" s="64"/>
      <c r="E2043" s="65"/>
      <c r="F2043" s="66"/>
      <c r="G2043" s="63"/>
      <c r="H2043" s="67"/>
      <c r="I2043" s="68"/>
      <c r="J2043" s="68"/>
      <c r="K2043" s="32"/>
      <c r="L2043" s="75">
        <v>2043</v>
      </c>
      <c r="M2043" s="75"/>
      <c r="N2043" s="70"/>
      <c r="O2043" s="77" t="s">
        <v>179</v>
      </c>
      <c r="P2043" s="79">
        <v>45120.623090277775</v>
      </c>
      <c r="Q2043" s="77" t="s">
        <v>3906</v>
      </c>
      <c r="R2043" s="77">
        <v>0</v>
      </c>
      <c r="S2043" s="77">
        <v>1</v>
      </c>
      <c r="T2043" s="77">
        <v>0</v>
      </c>
      <c r="U2043" s="77">
        <v>0</v>
      </c>
      <c r="V2043" s="77">
        <v>178</v>
      </c>
      <c r="W2043" s="80" t="s">
        <v>7184</v>
      </c>
      <c r="X2043" s="83" t="str">
        <f>HYPERLINK("https://dinheirama.com/cooperativas-de-credito-operam-em-mais-da-metade-dos-municipios/")</f>
        <v>https://dinheirama.com/cooperativas-de-credito-operam-em-mais-da-metade-dos-municipios/</v>
      </c>
      <c r="Y2043" s="77" t="s">
        <v>8762</v>
      </c>
      <c r="Z2043" s="77"/>
      <c r="AA2043" s="77"/>
      <c r="AB2043" s="77"/>
      <c r="AC2043" s="80" t="s">
        <v>10541</v>
      </c>
      <c r="AD2043" s="77" t="s">
        <v>10617</v>
      </c>
      <c r="AE2043" s="83" t="str">
        <f>HYPERLINK("https://twitter.com/dinheirama/status/1679505274489516033")</f>
        <v>https://twitter.com/dinheirama/status/1679505274489516033</v>
      </c>
      <c r="AF2043" s="79">
        <v>45120.623090277775</v>
      </c>
      <c r="AG2043" s="85">
        <v>45120</v>
      </c>
      <c r="AH2043" s="80" t="s">
        <v>12430</v>
      </c>
      <c r="AI2043" s="77" t="b">
        <v>0</v>
      </c>
      <c r="AJ2043" s="77"/>
      <c r="AK2043" s="77"/>
      <c r="AL2043" s="77"/>
      <c r="AM2043" s="77"/>
      <c r="AN2043" s="77"/>
      <c r="AO2043" s="77"/>
      <c r="AP2043" s="77"/>
      <c r="AQ2043" s="77"/>
      <c r="AR2043" s="77"/>
      <c r="AS2043" s="77"/>
      <c r="AT2043" s="77"/>
      <c r="AU2043" s="77"/>
      <c r="AV2043" s="83" t="str">
        <f>HYPERLINK("https://pbs.twimg.com/profile_images/1685831655976501248/p4Yj-D92_normal.jpg")</f>
        <v>https://pbs.twimg.com/profile_images/1685831655976501248/p4Yj-D92_normal.jpg</v>
      </c>
      <c r="AW2043" s="80" t="s">
        <v>17884</v>
      </c>
      <c r="AX2043" s="80" t="s">
        <v>17884</v>
      </c>
      <c r="AY2043" s="77"/>
      <c r="AZ2043" s="80" t="s">
        <v>20380</v>
      </c>
      <c r="BA2043" s="80" t="s">
        <v>20380</v>
      </c>
      <c r="BB2043" s="80" t="s">
        <v>20380</v>
      </c>
      <c r="BC2043" s="80" t="s">
        <v>17884</v>
      </c>
      <c r="BD2043" s="77">
        <v>23408209</v>
      </c>
      <c r="BE2043" s="77"/>
      <c r="BF2043" s="77"/>
      <c r="BG2043" s="77"/>
      <c r="BH2043" s="77"/>
      <c r="BI2043" s="77"/>
    </row>
    <row r="2044" spans="1:61" x14ac:dyDescent="0.25">
      <c r="A2044" s="62" t="s">
        <v>868</v>
      </c>
      <c r="B2044" s="62" t="s">
        <v>868</v>
      </c>
      <c r="C2044" s="63"/>
      <c r="D2044" s="64"/>
      <c r="E2044" s="65"/>
      <c r="F2044" s="66"/>
      <c r="G2044" s="63"/>
      <c r="H2044" s="67"/>
      <c r="I2044" s="68"/>
      <c r="J2044" s="68"/>
      <c r="K2044" s="32"/>
      <c r="L2044" s="75">
        <v>2044</v>
      </c>
      <c r="M2044" s="75"/>
      <c r="N2044" s="70"/>
      <c r="O2044" s="77" t="s">
        <v>179</v>
      </c>
      <c r="P2044" s="79">
        <v>45182.81925925926</v>
      </c>
      <c r="Q2044" s="77" t="s">
        <v>3907</v>
      </c>
      <c r="R2044" s="77">
        <v>0</v>
      </c>
      <c r="S2044" s="77">
        <v>0</v>
      </c>
      <c r="T2044" s="77">
        <v>0</v>
      </c>
      <c r="U2044" s="77">
        <v>0</v>
      </c>
      <c r="V2044" s="77">
        <v>156</v>
      </c>
      <c r="W2044" s="80" t="s">
        <v>7185</v>
      </c>
      <c r="X2044" s="83" t="str">
        <f>HYPERLINK("https://dinheirama.com/fluxo-cambial-do-brasil-e-negativo-em-us-1739-bi-ate-8-de-setembro-informa-bc/")</f>
        <v>https://dinheirama.com/fluxo-cambial-do-brasil-e-negativo-em-us-1739-bi-ate-8-de-setembro-informa-bc/</v>
      </c>
      <c r="Y2044" s="77" t="s">
        <v>8762</v>
      </c>
      <c r="Z2044" s="77"/>
      <c r="AA2044" s="77"/>
      <c r="AB2044" s="77"/>
      <c r="AC2044" s="80" t="s">
        <v>10541</v>
      </c>
      <c r="AD2044" s="77" t="s">
        <v>10617</v>
      </c>
      <c r="AE2044" s="83" t="str">
        <f>HYPERLINK("https://twitter.com/dinheirama/status/1702044411448766963")</f>
        <v>https://twitter.com/dinheirama/status/1702044411448766963</v>
      </c>
      <c r="AF2044" s="79">
        <v>45182.81925925926</v>
      </c>
      <c r="AG2044" s="85">
        <v>45182</v>
      </c>
      <c r="AH2044" s="80" t="s">
        <v>12431</v>
      </c>
      <c r="AI2044" s="77" t="b">
        <v>0</v>
      </c>
      <c r="AJ2044" s="77"/>
      <c r="AK2044" s="77"/>
      <c r="AL2044" s="77"/>
      <c r="AM2044" s="77"/>
      <c r="AN2044" s="77"/>
      <c r="AO2044" s="77"/>
      <c r="AP2044" s="77"/>
      <c r="AQ2044" s="77"/>
      <c r="AR2044" s="77"/>
      <c r="AS2044" s="77"/>
      <c r="AT2044" s="77"/>
      <c r="AU2044" s="77"/>
      <c r="AV2044" s="83" t="str">
        <f>HYPERLINK("https://pbs.twimg.com/profile_images/1685831655976501248/p4Yj-D92_normal.jpg")</f>
        <v>https://pbs.twimg.com/profile_images/1685831655976501248/p4Yj-D92_normal.jpg</v>
      </c>
      <c r="AW2044" s="80" t="s">
        <v>17885</v>
      </c>
      <c r="AX2044" s="80" t="s">
        <v>17885</v>
      </c>
      <c r="AY2044" s="77"/>
      <c r="AZ2044" s="80" t="s">
        <v>20380</v>
      </c>
      <c r="BA2044" s="80" t="s">
        <v>20380</v>
      </c>
      <c r="BB2044" s="80" t="s">
        <v>20380</v>
      </c>
      <c r="BC2044" s="80" t="s">
        <v>17885</v>
      </c>
      <c r="BD2044" s="77">
        <v>23408209</v>
      </c>
      <c r="BE2044" s="77"/>
      <c r="BF2044" s="77"/>
      <c r="BG2044" s="77"/>
      <c r="BH2044" s="77"/>
      <c r="BI2044" s="77"/>
    </row>
    <row r="2045" spans="1:61" x14ac:dyDescent="0.25">
      <c r="A2045" s="62" t="s">
        <v>868</v>
      </c>
      <c r="B2045" s="62" t="s">
        <v>868</v>
      </c>
      <c r="C2045" s="63"/>
      <c r="D2045" s="64"/>
      <c r="E2045" s="65"/>
      <c r="F2045" s="66"/>
      <c r="G2045" s="63"/>
      <c r="H2045" s="67"/>
      <c r="I2045" s="68"/>
      <c r="J2045" s="68"/>
      <c r="K2045" s="32"/>
      <c r="L2045" s="75">
        <v>2045</v>
      </c>
      <c r="M2045" s="75"/>
      <c r="N2045" s="70"/>
      <c r="O2045" s="77" t="s">
        <v>179</v>
      </c>
      <c r="P2045" s="79">
        <v>45182.69085648148</v>
      </c>
      <c r="Q2045" s="77" t="s">
        <v>3908</v>
      </c>
      <c r="R2045" s="77">
        <v>0</v>
      </c>
      <c r="S2045" s="77">
        <v>0</v>
      </c>
      <c r="T2045" s="77">
        <v>0</v>
      </c>
      <c r="U2045" s="77">
        <v>0</v>
      </c>
      <c r="V2045" s="77">
        <v>186</v>
      </c>
      <c r="W2045" s="80" t="s">
        <v>7186</v>
      </c>
      <c r="X2045" s="83" t="str">
        <f>HYPERLINK("https://dinheirama.com/drex-realiza-teste-com-titulo-publico-e-transferencias-e-bc-confirma-500-operacoes-bem-sucedidas/")</f>
        <v>https://dinheirama.com/drex-realiza-teste-com-titulo-publico-e-transferencias-e-bc-confirma-500-operacoes-bem-sucedidas/</v>
      </c>
      <c r="Y2045" s="77" t="s">
        <v>8762</v>
      </c>
      <c r="Z2045" s="77"/>
      <c r="AA2045" s="77"/>
      <c r="AB2045" s="77"/>
      <c r="AC2045" s="80" t="s">
        <v>10541</v>
      </c>
      <c r="AD2045" s="77" t="s">
        <v>10617</v>
      </c>
      <c r="AE2045" s="83" t="str">
        <f>HYPERLINK("https://twitter.com/dinheirama/status/1701997878460272669")</f>
        <v>https://twitter.com/dinheirama/status/1701997878460272669</v>
      </c>
      <c r="AF2045" s="79">
        <v>45182.69085648148</v>
      </c>
      <c r="AG2045" s="85">
        <v>45182</v>
      </c>
      <c r="AH2045" s="80" t="s">
        <v>12432</v>
      </c>
      <c r="AI2045" s="77" t="b">
        <v>0</v>
      </c>
      <c r="AJ2045" s="77"/>
      <c r="AK2045" s="77"/>
      <c r="AL2045" s="77"/>
      <c r="AM2045" s="77"/>
      <c r="AN2045" s="77"/>
      <c r="AO2045" s="77"/>
      <c r="AP2045" s="77"/>
      <c r="AQ2045" s="77"/>
      <c r="AR2045" s="77"/>
      <c r="AS2045" s="77"/>
      <c r="AT2045" s="77"/>
      <c r="AU2045" s="77"/>
      <c r="AV2045" s="83" t="str">
        <f>HYPERLINK("https://pbs.twimg.com/profile_images/1685831655976501248/p4Yj-D92_normal.jpg")</f>
        <v>https://pbs.twimg.com/profile_images/1685831655976501248/p4Yj-D92_normal.jpg</v>
      </c>
      <c r="AW2045" s="80" t="s">
        <v>17886</v>
      </c>
      <c r="AX2045" s="80" t="s">
        <v>17886</v>
      </c>
      <c r="AY2045" s="77"/>
      <c r="AZ2045" s="80" t="s">
        <v>20380</v>
      </c>
      <c r="BA2045" s="80" t="s">
        <v>20380</v>
      </c>
      <c r="BB2045" s="80" t="s">
        <v>20380</v>
      </c>
      <c r="BC2045" s="80" t="s">
        <v>17886</v>
      </c>
      <c r="BD2045" s="77">
        <v>23408209</v>
      </c>
      <c r="BE2045" s="77"/>
      <c r="BF2045" s="77"/>
      <c r="BG2045" s="77"/>
      <c r="BH2045" s="77"/>
      <c r="BI2045" s="77"/>
    </row>
    <row r="2046" spans="1:61" x14ac:dyDescent="0.25">
      <c r="A2046" s="62" t="s">
        <v>868</v>
      </c>
      <c r="B2046" s="62" t="s">
        <v>868</v>
      </c>
      <c r="C2046" s="63"/>
      <c r="D2046" s="64"/>
      <c r="E2046" s="65"/>
      <c r="F2046" s="66"/>
      <c r="G2046" s="63"/>
      <c r="H2046" s="67"/>
      <c r="I2046" s="68"/>
      <c r="J2046" s="68"/>
      <c r="K2046" s="32"/>
      <c r="L2046" s="75">
        <v>2046</v>
      </c>
      <c r="M2046" s="75"/>
      <c r="N2046" s="70"/>
      <c r="O2046" s="77" t="s">
        <v>179</v>
      </c>
      <c r="P2046" s="79">
        <v>45182.673854166664</v>
      </c>
      <c r="Q2046" s="77" t="s">
        <v>3909</v>
      </c>
      <c r="R2046" s="77">
        <v>0</v>
      </c>
      <c r="S2046" s="77">
        <v>1</v>
      </c>
      <c r="T2046" s="77">
        <v>0</v>
      </c>
      <c r="U2046" s="77">
        <v>0</v>
      </c>
      <c r="V2046" s="77">
        <v>177</v>
      </c>
      <c r="W2046" s="80" t="s">
        <v>7187</v>
      </c>
      <c r="X2046" s="83" t="str">
        <f>HYPERLINK("https://dinheirama.com/itau-eleva-expectativas-de-crescimento-do-brasil-para-2023-e-2024/")</f>
        <v>https://dinheirama.com/itau-eleva-expectativas-de-crescimento-do-brasil-para-2023-e-2024/</v>
      </c>
      <c r="Y2046" s="77" t="s">
        <v>8762</v>
      </c>
      <c r="Z2046" s="77"/>
      <c r="AA2046" s="77"/>
      <c r="AB2046" s="77"/>
      <c r="AC2046" s="80" t="s">
        <v>10541</v>
      </c>
      <c r="AD2046" s="77" t="s">
        <v>10617</v>
      </c>
      <c r="AE2046" s="83" t="str">
        <f>HYPERLINK("https://twitter.com/dinheirama/status/1701991716176154847")</f>
        <v>https://twitter.com/dinheirama/status/1701991716176154847</v>
      </c>
      <c r="AF2046" s="79">
        <v>45182.673854166664</v>
      </c>
      <c r="AG2046" s="85">
        <v>45182</v>
      </c>
      <c r="AH2046" s="80" t="s">
        <v>12433</v>
      </c>
      <c r="AI2046" s="77" t="b">
        <v>0</v>
      </c>
      <c r="AJ2046" s="77"/>
      <c r="AK2046" s="77"/>
      <c r="AL2046" s="77"/>
      <c r="AM2046" s="77"/>
      <c r="AN2046" s="77"/>
      <c r="AO2046" s="77"/>
      <c r="AP2046" s="77"/>
      <c r="AQ2046" s="77"/>
      <c r="AR2046" s="77"/>
      <c r="AS2046" s="77"/>
      <c r="AT2046" s="77"/>
      <c r="AU2046" s="77"/>
      <c r="AV2046" s="83" t="str">
        <f>HYPERLINK("https://pbs.twimg.com/profile_images/1685831655976501248/p4Yj-D92_normal.jpg")</f>
        <v>https://pbs.twimg.com/profile_images/1685831655976501248/p4Yj-D92_normal.jpg</v>
      </c>
      <c r="AW2046" s="80" t="s">
        <v>17887</v>
      </c>
      <c r="AX2046" s="80" t="s">
        <v>17887</v>
      </c>
      <c r="AY2046" s="77"/>
      <c r="AZ2046" s="80" t="s">
        <v>20380</v>
      </c>
      <c r="BA2046" s="80" t="s">
        <v>20380</v>
      </c>
      <c r="BB2046" s="80" t="s">
        <v>20380</v>
      </c>
      <c r="BC2046" s="80" t="s">
        <v>17887</v>
      </c>
      <c r="BD2046" s="77">
        <v>23408209</v>
      </c>
      <c r="BE2046" s="77"/>
      <c r="BF2046" s="77"/>
      <c r="BG2046" s="77"/>
      <c r="BH2046" s="77"/>
      <c r="BI2046" s="77"/>
    </row>
    <row r="2047" spans="1:61" x14ac:dyDescent="0.25">
      <c r="A2047" s="62" t="s">
        <v>868</v>
      </c>
      <c r="B2047" s="62" t="s">
        <v>868</v>
      </c>
      <c r="C2047" s="63"/>
      <c r="D2047" s="64"/>
      <c r="E2047" s="65"/>
      <c r="F2047" s="66"/>
      <c r="G2047" s="63"/>
      <c r="H2047" s="67"/>
      <c r="I2047" s="68"/>
      <c r="J2047" s="68"/>
      <c r="K2047" s="32"/>
      <c r="L2047" s="75">
        <v>2047</v>
      </c>
      <c r="M2047" s="75"/>
      <c r="N2047" s="70"/>
      <c r="O2047" s="77" t="s">
        <v>179</v>
      </c>
      <c r="P2047" s="79">
        <v>45164.787743055553</v>
      </c>
      <c r="Q2047" s="77" t="s">
        <v>3910</v>
      </c>
      <c r="R2047" s="77">
        <v>0</v>
      </c>
      <c r="S2047" s="77">
        <v>0</v>
      </c>
      <c r="T2047" s="77">
        <v>0</v>
      </c>
      <c r="U2047" s="77">
        <v>0</v>
      </c>
      <c r="V2047" s="77">
        <v>294</v>
      </c>
      <c r="W2047" s="80" t="s">
        <v>7188</v>
      </c>
      <c r="X2047" s="83" t="str">
        <f>HYPERLINK("https://dinheirama.com/inflacao-do-brasil-esta-um-pouco-pior-diz-presidente-do-banco-central/")</f>
        <v>https://dinheirama.com/inflacao-do-brasil-esta-um-pouco-pior-diz-presidente-do-banco-central/</v>
      </c>
      <c r="Y2047" s="77" t="s">
        <v>8762</v>
      </c>
      <c r="Z2047" s="77"/>
      <c r="AA2047" s="77"/>
      <c r="AB2047" s="77"/>
      <c r="AC2047" s="80" t="s">
        <v>10541</v>
      </c>
      <c r="AD2047" s="77" t="s">
        <v>10617</v>
      </c>
      <c r="AE2047" s="83" t="str">
        <f>HYPERLINK("https://twitter.com/dinheirama/status/1695510008086118884")</f>
        <v>https://twitter.com/dinheirama/status/1695510008086118884</v>
      </c>
      <c r="AF2047" s="79">
        <v>45164.787743055553</v>
      </c>
      <c r="AG2047" s="85">
        <v>45164</v>
      </c>
      <c r="AH2047" s="80" t="s">
        <v>12434</v>
      </c>
      <c r="AI2047" s="77" t="b">
        <v>0</v>
      </c>
      <c r="AJ2047" s="77"/>
      <c r="AK2047" s="77"/>
      <c r="AL2047" s="77"/>
      <c r="AM2047" s="77"/>
      <c r="AN2047" s="77"/>
      <c r="AO2047" s="77"/>
      <c r="AP2047" s="77"/>
      <c r="AQ2047" s="77"/>
      <c r="AR2047" s="77"/>
      <c r="AS2047" s="77"/>
      <c r="AT2047" s="77"/>
      <c r="AU2047" s="77"/>
      <c r="AV2047" s="83" t="str">
        <f>HYPERLINK("https://pbs.twimg.com/profile_images/1685831655976501248/p4Yj-D92_normal.jpg")</f>
        <v>https://pbs.twimg.com/profile_images/1685831655976501248/p4Yj-D92_normal.jpg</v>
      </c>
      <c r="AW2047" s="80" t="s">
        <v>17888</v>
      </c>
      <c r="AX2047" s="80" t="s">
        <v>17888</v>
      </c>
      <c r="AY2047" s="77"/>
      <c r="AZ2047" s="80" t="s">
        <v>20380</v>
      </c>
      <c r="BA2047" s="80" t="s">
        <v>20380</v>
      </c>
      <c r="BB2047" s="80" t="s">
        <v>20380</v>
      </c>
      <c r="BC2047" s="80" t="s">
        <v>17888</v>
      </c>
      <c r="BD2047" s="77">
        <v>23408209</v>
      </c>
      <c r="BE2047" s="77"/>
      <c r="BF2047" s="77"/>
      <c r="BG2047" s="77"/>
      <c r="BH2047" s="77"/>
      <c r="BI2047" s="77"/>
    </row>
    <row r="2048" spans="1:61" x14ac:dyDescent="0.25">
      <c r="A2048" s="62" t="s">
        <v>868</v>
      </c>
      <c r="B2048" s="62" t="s">
        <v>868</v>
      </c>
      <c r="C2048" s="63"/>
      <c r="D2048" s="64"/>
      <c r="E2048" s="65"/>
      <c r="F2048" s="66"/>
      <c r="G2048" s="63"/>
      <c r="H2048" s="67"/>
      <c r="I2048" s="68"/>
      <c r="J2048" s="68"/>
      <c r="K2048" s="32"/>
      <c r="L2048" s="75">
        <v>2048</v>
      </c>
      <c r="M2048" s="75"/>
      <c r="N2048" s="70"/>
      <c r="O2048" s="77" t="s">
        <v>179</v>
      </c>
      <c r="P2048" s="79">
        <v>45161.752500000002</v>
      </c>
      <c r="Q2048" s="77" t="s">
        <v>3911</v>
      </c>
      <c r="R2048" s="77">
        <v>0</v>
      </c>
      <c r="S2048" s="77">
        <v>2</v>
      </c>
      <c r="T2048" s="77">
        <v>0</v>
      </c>
      <c r="U2048" s="77">
        <v>0</v>
      </c>
      <c r="V2048" s="77">
        <v>190</v>
      </c>
      <c r="W2048" s="80" t="s">
        <v>7189</v>
      </c>
      <c r="X2048" s="83" t="str">
        <f>HYPERLINK("https://dinheirama.com/brasil-tem-fluxo-cambial-positivo-de-us-3790-bi-em-agosto-ate-dia-18-diz-banco-central/")</f>
        <v>https://dinheirama.com/brasil-tem-fluxo-cambial-positivo-de-us-3790-bi-em-agosto-ate-dia-18-diz-banco-central/</v>
      </c>
      <c r="Y2048" s="77" t="s">
        <v>8762</v>
      </c>
      <c r="Z2048" s="77"/>
      <c r="AA2048" s="77"/>
      <c r="AB2048" s="77"/>
      <c r="AC2048" s="80" t="s">
        <v>10541</v>
      </c>
      <c r="AD2048" s="77" t="s">
        <v>10617</v>
      </c>
      <c r="AE2048" s="83" t="str">
        <f>HYPERLINK("https://twitter.com/dinheirama/status/1694410073940906250")</f>
        <v>https://twitter.com/dinheirama/status/1694410073940906250</v>
      </c>
      <c r="AF2048" s="79">
        <v>45161.752500000002</v>
      </c>
      <c r="AG2048" s="85">
        <v>45161</v>
      </c>
      <c r="AH2048" s="80" t="s">
        <v>11291</v>
      </c>
      <c r="AI2048" s="77" t="b">
        <v>0</v>
      </c>
      <c r="AJ2048" s="77"/>
      <c r="AK2048" s="77"/>
      <c r="AL2048" s="77"/>
      <c r="AM2048" s="77"/>
      <c r="AN2048" s="77"/>
      <c r="AO2048" s="77"/>
      <c r="AP2048" s="77"/>
      <c r="AQ2048" s="77"/>
      <c r="AR2048" s="77"/>
      <c r="AS2048" s="77"/>
      <c r="AT2048" s="77"/>
      <c r="AU2048" s="77"/>
      <c r="AV2048" s="83" t="str">
        <f>HYPERLINK("https://pbs.twimg.com/profile_images/1685831655976501248/p4Yj-D92_normal.jpg")</f>
        <v>https://pbs.twimg.com/profile_images/1685831655976501248/p4Yj-D92_normal.jpg</v>
      </c>
      <c r="AW2048" s="80" t="s">
        <v>17889</v>
      </c>
      <c r="AX2048" s="80" t="s">
        <v>17889</v>
      </c>
      <c r="AY2048" s="77"/>
      <c r="AZ2048" s="80" t="s">
        <v>20380</v>
      </c>
      <c r="BA2048" s="80" t="s">
        <v>20380</v>
      </c>
      <c r="BB2048" s="80" t="s">
        <v>20380</v>
      </c>
      <c r="BC2048" s="80" t="s">
        <v>17889</v>
      </c>
      <c r="BD2048" s="77">
        <v>23408209</v>
      </c>
      <c r="BE2048" s="77"/>
      <c r="BF2048" s="77"/>
      <c r="BG2048" s="77"/>
      <c r="BH2048" s="77"/>
      <c r="BI2048" s="77"/>
    </row>
    <row r="2049" spans="1:61" x14ac:dyDescent="0.25">
      <c r="A2049" s="62" t="s">
        <v>868</v>
      </c>
      <c r="B2049" s="62" t="s">
        <v>868</v>
      </c>
      <c r="C2049" s="63"/>
      <c r="D2049" s="64"/>
      <c r="E2049" s="65"/>
      <c r="F2049" s="66"/>
      <c r="G2049" s="63"/>
      <c r="H2049" s="67"/>
      <c r="I2049" s="68"/>
      <c r="J2049" s="68"/>
      <c r="K2049" s="32"/>
      <c r="L2049" s="75">
        <v>2049</v>
      </c>
      <c r="M2049" s="75"/>
      <c r="N2049" s="70"/>
      <c r="O2049" s="77" t="s">
        <v>179</v>
      </c>
      <c r="P2049" s="79">
        <v>45160.852997685186</v>
      </c>
      <c r="Q2049" s="77" t="s">
        <v>3912</v>
      </c>
      <c r="R2049" s="77">
        <v>0</v>
      </c>
      <c r="S2049" s="77">
        <v>0</v>
      </c>
      <c r="T2049" s="77">
        <v>0</v>
      </c>
      <c r="U2049" s="77">
        <v>0</v>
      </c>
      <c r="V2049" s="77">
        <v>264</v>
      </c>
      <c r="W2049" s="80" t="s">
        <v>7190</v>
      </c>
      <c r="X2049" s="83" t="str">
        <f>HYPERLINK("https://dinheirama.com/dolar-tem-forte-queda-frente-ao-real-com-alivio-externo/")</f>
        <v>https://dinheirama.com/dolar-tem-forte-queda-frente-ao-real-com-alivio-externo/</v>
      </c>
      <c r="Y2049" s="77" t="s">
        <v>8762</v>
      </c>
      <c r="Z2049" s="77"/>
      <c r="AA2049" s="77"/>
      <c r="AB2049" s="77"/>
      <c r="AC2049" s="80" t="s">
        <v>10541</v>
      </c>
      <c r="AD2049" s="77" t="s">
        <v>10617</v>
      </c>
      <c r="AE2049" s="83" t="str">
        <f>HYPERLINK("https://twitter.com/dinheirama/status/1694084101655896502")</f>
        <v>https://twitter.com/dinheirama/status/1694084101655896502</v>
      </c>
      <c r="AF2049" s="79">
        <v>45160.852997685186</v>
      </c>
      <c r="AG2049" s="85">
        <v>45160</v>
      </c>
      <c r="AH2049" s="80" t="s">
        <v>12435</v>
      </c>
      <c r="AI2049" s="77" t="b">
        <v>0</v>
      </c>
      <c r="AJ2049" s="77"/>
      <c r="AK2049" s="77"/>
      <c r="AL2049" s="77"/>
      <c r="AM2049" s="77"/>
      <c r="AN2049" s="77"/>
      <c r="AO2049" s="77"/>
      <c r="AP2049" s="77"/>
      <c r="AQ2049" s="77"/>
      <c r="AR2049" s="77"/>
      <c r="AS2049" s="77"/>
      <c r="AT2049" s="77"/>
      <c r="AU2049" s="77"/>
      <c r="AV2049" s="83" t="str">
        <f>HYPERLINK("https://pbs.twimg.com/profile_images/1685831655976501248/p4Yj-D92_normal.jpg")</f>
        <v>https://pbs.twimg.com/profile_images/1685831655976501248/p4Yj-D92_normal.jpg</v>
      </c>
      <c r="AW2049" s="80" t="s">
        <v>17890</v>
      </c>
      <c r="AX2049" s="80" t="s">
        <v>17890</v>
      </c>
      <c r="AY2049" s="77"/>
      <c r="AZ2049" s="80" t="s">
        <v>20380</v>
      </c>
      <c r="BA2049" s="80" t="s">
        <v>20380</v>
      </c>
      <c r="BB2049" s="80" t="s">
        <v>20380</v>
      </c>
      <c r="BC2049" s="80" t="s">
        <v>17890</v>
      </c>
      <c r="BD2049" s="77">
        <v>23408209</v>
      </c>
      <c r="BE2049" s="77"/>
      <c r="BF2049" s="77"/>
      <c r="BG2049" s="77"/>
      <c r="BH2049" s="77"/>
      <c r="BI2049" s="77"/>
    </row>
    <row r="2050" spans="1:61" x14ac:dyDescent="0.25">
      <c r="A2050" s="62" t="s">
        <v>868</v>
      </c>
      <c r="B2050" s="62" t="s">
        <v>868</v>
      </c>
      <c r="C2050" s="63"/>
      <c r="D2050" s="64"/>
      <c r="E2050" s="65"/>
      <c r="F2050" s="66"/>
      <c r="G2050" s="63"/>
      <c r="H2050" s="67"/>
      <c r="I2050" s="68"/>
      <c r="J2050" s="68"/>
      <c r="K2050" s="32"/>
      <c r="L2050" s="75">
        <v>2050</v>
      </c>
      <c r="M2050" s="75"/>
      <c r="N2050" s="70"/>
      <c r="O2050" s="77" t="s">
        <v>179</v>
      </c>
      <c r="P2050" s="79">
        <v>45188.525497685187</v>
      </c>
      <c r="Q2050" s="77" t="s">
        <v>3913</v>
      </c>
      <c r="R2050" s="77">
        <v>0</v>
      </c>
      <c r="S2050" s="77">
        <v>2</v>
      </c>
      <c r="T2050" s="77">
        <v>0</v>
      </c>
      <c r="U2050" s="77">
        <v>0</v>
      </c>
      <c r="V2050" s="77">
        <v>172</v>
      </c>
      <c r="W2050" s="80" t="s">
        <v>7191</v>
      </c>
      <c r="X2050" s="83" t="str">
        <f>HYPERLINK("https://dinheirama.com/ibc-br-pib-sobe-044-em-julho-acima-do-esperado/")</f>
        <v>https://dinheirama.com/ibc-br-pib-sobe-044-em-julho-acima-do-esperado/</v>
      </c>
      <c r="Y2050" s="77" t="s">
        <v>8762</v>
      </c>
      <c r="Z2050" s="77"/>
      <c r="AA2050" s="77"/>
      <c r="AB2050" s="77"/>
      <c r="AC2050" s="80" t="s">
        <v>10541</v>
      </c>
      <c r="AD2050" s="77" t="s">
        <v>10617</v>
      </c>
      <c r="AE2050" s="83" t="str">
        <f>HYPERLINK("https://twitter.com/dinheirama/status/1704112281112420479")</f>
        <v>https://twitter.com/dinheirama/status/1704112281112420479</v>
      </c>
      <c r="AF2050" s="79">
        <v>45188.525497685187</v>
      </c>
      <c r="AG2050" s="85">
        <v>45188</v>
      </c>
      <c r="AH2050" s="80" t="s">
        <v>12436</v>
      </c>
      <c r="AI2050" s="77" t="b">
        <v>0</v>
      </c>
      <c r="AJ2050" s="77"/>
      <c r="AK2050" s="77"/>
      <c r="AL2050" s="77"/>
      <c r="AM2050" s="77"/>
      <c r="AN2050" s="77"/>
      <c r="AO2050" s="77"/>
      <c r="AP2050" s="77"/>
      <c r="AQ2050" s="77"/>
      <c r="AR2050" s="77"/>
      <c r="AS2050" s="77"/>
      <c r="AT2050" s="77"/>
      <c r="AU2050" s="77"/>
      <c r="AV2050" s="83" t="str">
        <f>HYPERLINK("https://pbs.twimg.com/profile_images/1685831655976501248/p4Yj-D92_normal.jpg")</f>
        <v>https://pbs.twimg.com/profile_images/1685831655976501248/p4Yj-D92_normal.jpg</v>
      </c>
      <c r="AW2050" s="80" t="s">
        <v>17891</v>
      </c>
      <c r="AX2050" s="80" t="s">
        <v>17891</v>
      </c>
      <c r="AY2050" s="77"/>
      <c r="AZ2050" s="80" t="s">
        <v>20380</v>
      </c>
      <c r="BA2050" s="80" t="s">
        <v>20380</v>
      </c>
      <c r="BB2050" s="80" t="s">
        <v>20380</v>
      </c>
      <c r="BC2050" s="80" t="s">
        <v>17891</v>
      </c>
      <c r="BD2050" s="77">
        <v>23408209</v>
      </c>
      <c r="BE2050" s="77"/>
      <c r="BF2050" s="77"/>
      <c r="BG2050" s="77"/>
      <c r="BH2050" s="77"/>
      <c r="BI2050" s="77"/>
    </row>
    <row r="2051" spans="1:61" x14ac:dyDescent="0.25">
      <c r="A2051" s="62" t="s">
        <v>868</v>
      </c>
      <c r="B2051" s="62" t="s">
        <v>868</v>
      </c>
      <c r="C2051" s="63"/>
      <c r="D2051" s="64"/>
      <c r="E2051" s="65"/>
      <c r="F2051" s="66"/>
      <c r="G2051" s="63"/>
      <c r="H2051" s="67"/>
      <c r="I2051" s="68"/>
      <c r="J2051" s="68"/>
      <c r="K2051" s="32"/>
      <c r="L2051" s="75">
        <v>2051</v>
      </c>
      <c r="M2051" s="75"/>
      <c r="N2051" s="70"/>
      <c r="O2051" s="77" t="s">
        <v>179</v>
      </c>
      <c r="P2051" s="79">
        <v>45183.92359953704</v>
      </c>
      <c r="Q2051" s="77" t="s">
        <v>3914</v>
      </c>
      <c r="R2051" s="77">
        <v>0</v>
      </c>
      <c r="S2051" s="77">
        <v>0</v>
      </c>
      <c r="T2051" s="77">
        <v>0</v>
      </c>
      <c r="U2051" s="77">
        <v>0</v>
      </c>
      <c r="V2051" s="77">
        <v>229</v>
      </c>
      <c r="W2051" s="80" t="s">
        <v>7192</v>
      </c>
      <c r="X2051" s="83" t="str">
        <f>HYPERLINK("https://dinheirama.com/vice-presidente-do-banco-do-brasil-preve-crescimento-do-credito-no-limite-da-expectativa/")</f>
        <v>https://dinheirama.com/vice-presidente-do-banco-do-brasil-preve-crescimento-do-credito-no-limite-da-expectativa/</v>
      </c>
      <c r="Y2051" s="77" t="s">
        <v>8762</v>
      </c>
      <c r="Z2051" s="77"/>
      <c r="AA2051" s="77"/>
      <c r="AB2051" s="77"/>
      <c r="AC2051" s="80" t="s">
        <v>10541</v>
      </c>
      <c r="AD2051" s="77" t="s">
        <v>10617</v>
      </c>
      <c r="AE2051" s="83" t="str">
        <f>HYPERLINK("https://twitter.com/dinheirama/status/1702444609673052185")</f>
        <v>https://twitter.com/dinheirama/status/1702444609673052185</v>
      </c>
      <c r="AF2051" s="79">
        <v>45183.92359953704</v>
      </c>
      <c r="AG2051" s="85">
        <v>45183</v>
      </c>
      <c r="AH2051" s="80" t="s">
        <v>12437</v>
      </c>
      <c r="AI2051" s="77" t="b">
        <v>0</v>
      </c>
      <c r="AJ2051" s="77"/>
      <c r="AK2051" s="77"/>
      <c r="AL2051" s="77"/>
      <c r="AM2051" s="77"/>
      <c r="AN2051" s="77"/>
      <c r="AO2051" s="77"/>
      <c r="AP2051" s="77"/>
      <c r="AQ2051" s="77"/>
      <c r="AR2051" s="77"/>
      <c r="AS2051" s="77"/>
      <c r="AT2051" s="77"/>
      <c r="AU2051" s="77"/>
      <c r="AV2051" s="83" t="str">
        <f>HYPERLINK("https://pbs.twimg.com/profile_images/1685831655976501248/p4Yj-D92_normal.jpg")</f>
        <v>https://pbs.twimg.com/profile_images/1685831655976501248/p4Yj-D92_normal.jpg</v>
      </c>
      <c r="AW2051" s="80" t="s">
        <v>17892</v>
      </c>
      <c r="AX2051" s="80" t="s">
        <v>17892</v>
      </c>
      <c r="AY2051" s="77"/>
      <c r="AZ2051" s="80" t="s">
        <v>20380</v>
      </c>
      <c r="BA2051" s="80" t="s">
        <v>20380</v>
      </c>
      <c r="BB2051" s="80" t="s">
        <v>20380</v>
      </c>
      <c r="BC2051" s="80" t="s">
        <v>17892</v>
      </c>
      <c r="BD2051" s="77">
        <v>23408209</v>
      </c>
      <c r="BE2051" s="77"/>
      <c r="BF2051" s="77"/>
      <c r="BG2051" s="77"/>
      <c r="BH2051" s="77"/>
      <c r="BI2051" s="77"/>
    </row>
    <row r="2052" spans="1:61" x14ac:dyDescent="0.25">
      <c r="A2052" s="62" t="s">
        <v>868</v>
      </c>
      <c r="B2052" s="62" t="s">
        <v>868</v>
      </c>
      <c r="C2052" s="63"/>
      <c r="D2052" s="64"/>
      <c r="E2052" s="65"/>
      <c r="F2052" s="66"/>
      <c r="G2052" s="63"/>
      <c r="H2052" s="67"/>
      <c r="I2052" s="68"/>
      <c r="J2052" s="68"/>
      <c r="K2052" s="32"/>
      <c r="L2052" s="75">
        <v>2052</v>
      </c>
      <c r="M2052" s="75"/>
      <c r="N2052" s="70"/>
      <c r="O2052" s="77" t="s">
        <v>179</v>
      </c>
      <c r="P2052" s="79">
        <v>45183.910231481481</v>
      </c>
      <c r="Q2052" s="77" t="s">
        <v>3915</v>
      </c>
      <c r="R2052" s="77">
        <v>0</v>
      </c>
      <c r="S2052" s="77">
        <v>0</v>
      </c>
      <c r="T2052" s="77">
        <v>0</v>
      </c>
      <c r="U2052" s="77">
        <v>0</v>
      </c>
      <c r="V2052" s="77">
        <v>201</v>
      </c>
      <c r="W2052" s="80" t="s">
        <v>7193</v>
      </c>
      <c r="X2052" s="83" t="str">
        <f>HYPERLINK("https://dinheirama.com/mobilizacao-de-servidores-faz-bc-postergar-divulgacao-do-ibc-br-de-julho-para-terca/")</f>
        <v>https://dinheirama.com/mobilizacao-de-servidores-faz-bc-postergar-divulgacao-do-ibc-br-de-julho-para-terca/</v>
      </c>
      <c r="Y2052" s="77" t="s">
        <v>8762</v>
      </c>
      <c r="Z2052" s="77"/>
      <c r="AA2052" s="77"/>
      <c r="AB2052" s="77"/>
      <c r="AC2052" s="80" t="s">
        <v>10541</v>
      </c>
      <c r="AD2052" s="77" t="s">
        <v>10617</v>
      </c>
      <c r="AE2052" s="83" t="str">
        <f>HYPERLINK("https://twitter.com/dinheirama/status/1702439766812135653")</f>
        <v>https://twitter.com/dinheirama/status/1702439766812135653</v>
      </c>
      <c r="AF2052" s="79">
        <v>45183.910231481481</v>
      </c>
      <c r="AG2052" s="85">
        <v>45183</v>
      </c>
      <c r="AH2052" s="80" t="s">
        <v>12438</v>
      </c>
      <c r="AI2052" s="77" t="b">
        <v>0</v>
      </c>
      <c r="AJ2052" s="77"/>
      <c r="AK2052" s="77"/>
      <c r="AL2052" s="77"/>
      <c r="AM2052" s="77"/>
      <c r="AN2052" s="77"/>
      <c r="AO2052" s="77"/>
      <c r="AP2052" s="77"/>
      <c r="AQ2052" s="77"/>
      <c r="AR2052" s="77"/>
      <c r="AS2052" s="77"/>
      <c r="AT2052" s="77"/>
      <c r="AU2052" s="77"/>
      <c r="AV2052" s="83" t="str">
        <f>HYPERLINK("https://pbs.twimg.com/profile_images/1685831655976501248/p4Yj-D92_normal.jpg")</f>
        <v>https://pbs.twimg.com/profile_images/1685831655976501248/p4Yj-D92_normal.jpg</v>
      </c>
      <c r="AW2052" s="80" t="s">
        <v>17893</v>
      </c>
      <c r="AX2052" s="80" t="s">
        <v>17893</v>
      </c>
      <c r="AY2052" s="77"/>
      <c r="AZ2052" s="80" t="s">
        <v>20380</v>
      </c>
      <c r="BA2052" s="80" t="s">
        <v>20380</v>
      </c>
      <c r="BB2052" s="80" t="s">
        <v>20380</v>
      </c>
      <c r="BC2052" s="80" t="s">
        <v>17893</v>
      </c>
      <c r="BD2052" s="77">
        <v>23408209</v>
      </c>
      <c r="BE2052" s="77"/>
      <c r="BF2052" s="77"/>
      <c r="BG2052" s="77"/>
      <c r="BH2052" s="77"/>
      <c r="BI2052" s="77"/>
    </row>
    <row r="2053" spans="1:61" x14ac:dyDescent="0.25">
      <c r="A2053" s="62" t="s">
        <v>868</v>
      </c>
      <c r="B2053" s="62" t="s">
        <v>868</v>
      </c>
      <c r="C2053" s="63"/>
      <c r="D2053" s="64"/>
      <c r="E2053" s="65"/>
      <c r="F2053" s="66"/>
      <c r="G2053" s="63"/>
      <c r="H2053" s="67"/>
      <c r="I2053" s="68"/>
      <c r="J2053" s="68"/>
      <c r="K2053" s="32"/>
      <c r="L2053" s="75">
        <v>2053</v>
      </c>
      <c r="M2053" s="75"/>
      <c r="N2053" s="70"/>
      <c r="O2053" s="77" t="s">
        <v>179</v>
      </c>
      <c r="P2053" s="79">
        <v>45173.817129629628</v>
      </c>
      <c r="Q2053" s="77" t="s">
        <v>3916</v>
      </c>
      <c r="R2053" s="77">
        <v>0</v>
      </c>
      <c r="S2053" s="77">
        <v>0</v>
      </c>
      <c r="T2053" s="77">
        <v>1</v>
      </c>
      <c r="U2053" s="77">
        <v>0</v>
      </c>
      <c r="V2053" s="77">
        <v>205</v>
      </c>
      <c r="W2053" s="80" t="s">
        <v>7194</v>
      </c>
      <c r="X2053" s="83" t="str">
        <f>HYPERLINK("https://dinheirama.com/reformas-economicas-podem-explicar-surpresas-positivas-no-pib-brasileiro-diz-campos-neto/")</f>
        <v>https://dinheirama.com/reformas-economicas-podem-explicar-surpresas-positivas-no-pib-brasileiro-diz-campos-neto/</v>
      </c>
      <c r="Y2053" s="77" t="s">
        <v>8762</v>
      </c>
      <c r="Z2053" s="77"/>
      <c r="AA2053" s="77"/>
      <c r="AB2053" s="77"/>
      <c r="AC2053" s="80" t="s">
        <v>10541</v>
      </c>
      <c r="AD2053" s="77" t="s">
        <v>10617</v>
      </c>
      <c r="AE2053" s="83" t="str">
        <f>HYPERLINK("https://twitter.com/dinheirama/status/1698782147669024885")</f>
        <v>https://twitter.com/dinheirama/status/1698782147669024885</v>
      </c>
      <c r="AF2053" s="79">
        <v>45173.817129629628</v>
      </c>
      <c r="AG2053" s="85">
        <v>45173</v>
      </c>
      <c r="AH2053" s="80" t="s">
        <v>12439</v>
      </c>
      <c r="AI2053" s="77" t="b">
        <v>0</v>
      </c>
      <c r="AJ2053" s="77"/>
      <c r="AK2053" s="77"/>
      <c r="AL2053" s="77"/>
      <c r="AM2053" s="77"/>
      <c r="AN2053" s="77"/>
      <c r="AO2053" s="77"/>
      <c r="AP2053" s="77"/>
      <c r="AQ2053" s="77"/>
      <c r="AR2053" s="77"/>
      <c r="AS2053" s="77"/>
      <c r="AT2053" s="77"/>
      <c r="AU2053" s="77"/>
      <c r="AV2053" s="83" t="str">
        <f>HYPERLINK("https://pbs.twimg.com/profile_images/1685831655976501248/p4Yj-D92_normal.jpg")</f>
        <v>https://pbs.twimg.com/profile_images/1685831655976501248/p4Yj-D92_normal.jpg</v>
      </c>
      <c r="AW2053" s="80" t="s">
        <v>17894</v>
      </c>
      <c r="AX2053" s="80" t="s">
        <v>17894</v>
      </c>
      <c r="AY2053" s="77"/>
      <c r="AZ2053" s="80" t="s">
        <v>20380</v>
      </c>
      <c r="BA2053" s="80" t="s">
        <v>20380</v>
      </c>
      <c r="BB2053" s="80" t="s">
        <v>20380</v>
      </c>
      <c r="BC2053" s="80" t="s">
        <v>17894</v>
      </c>
      <c r="BD2053" s="77">
        <v>23408209</v>
      </c>
      <c r="BE2053" s="77"/>
      <c r="BF2053" s="77"/>
      <c r="BG2053" s="77"/>
      <c r="BH2053" s="77"/>
      <c r="BI2053" s="77"/>
    </row>
    <row r="2054" spans="1:61" x14ac:dyDescent="0.25">
      <c r="A2054" s="62" t="s">
        <v>868</v>
      </c>
      <c r="B2054" s="62" t="s">
        <v>868</v>
      </c>
      <c r="C2054" s="63"/>
      <c r="D2054" s="64"/>
      <c r="E2054" s="65"/>
      <c r="F2054" s="66"/>
      <c r="G2054" s="63"/>
      <c r="H2054" s="67"/>
      <c r="I2054" s="68"/>
      <c r="J2054" s="68"/>
      <c r="K2054" s="32"/>
      <c r="L2054" s="75">
        <v>2054</v>
      </c>
      <c r="M2054" s="75"/>
      <c r="N2054" s="70"/>
      <c r="O2054" s="77" t="s">
        <v>179</v>
      </c>
      <c r="P2054" s="79">
        <v>45173.720995370371</v>
      </c>
      <c r="Q2054" s="77" t="s">
        <v>3917</v>
      </c>
      <c r="R2054" s="77">
        <v>0</v>
      </c>
      <c r="S2054" s="77">
        <v>1</v>
      </c>
      <c r="T2054" s="77">
        <v>0</v>
      </c>
      <c r="U2054" s="77">
        <v>1</v>
      </c>
      <c r="V2054" s="77">
        <v>192</v>
      </c>
      <c r="W2054" s="80" t="s">
        <v>7195</v>
      </c>
      <c r="X2054" s="83" t="str">
        <f>HYPERLINK("https://dinheirama.com/pix-permitira-debito-automatico-bc-ve-evolucao-para-pagamento-offline-parcelado-e-no-exterior/")</f>
        <v>https://dinheirama.com/pix-permitira-debito-automatico-bc-ve-evolucao-para-pagamento-offline-parcelado-e-no-exterior/</v>
      </c>
      <c r="Y2054" s="77" t="s">
        <v>8762</v>
      </c>
      <c r="Z2054" s="77"/>
      <c r="AA2054" s="77"/>
      <c r="AB2054" s="77"/>
      <c r="AC2054" s="80" t="s">
        <v>10541</v>
      </c>
      <c r="AD2054" s="77" t="s">
        <v>10617</v>
      </c>
      <c r="AE2054" s="83" t="str">
        <f>HYPERLINK("https://twitter.com/dinheirama/status/1698747308601446603")</f>
        <v>https://twitter.com/dinheirama/status/1698747308601446603</v>
      </c>
      <c r="AF2054" s="79">
        <v>45173.720995370371</v>
      </c>
      <c r="AG2054" s="85">
        <v>45173</v>
      </c>
      <c r="AH2054" s="80" t="s">
        <v>12440</v>
      </c>
      <c r="AI2054" s="77" t="b">
        <v>0</v>
      </c>
      <c r="AJ2054" s="77"/>
      <c r="AK2054" s="77"/>
      <c r="AL2054" s="77"/>
      <c r="AM2054" s="77"/>
      <c r="AN2054" s="77"/>
      <c r="AO2054" s="77"/>
      <c r="AP2054" s="77"/>
      <c r="AQ2054" s="77"/>
      <c r="AR2054" s="77"/>
      <c r="AS2054" s="77"/>
      <c r="AT2054" s="77"/>
      <c r="AU2054" s="77"/>
      <c r="AV2054" s="83" t="str">
        <f>HYPERLINK("https://pbs.twimg.com/profile_images/1685831655976501248/p4Yj-D92_normal.jpg")</f>
        <v>https://pbs.twimg.com/profile_images/1685831655976501248/p4Yj-D92_normal.jpg</v>
      </c>
      <c r="AW2054" s="80" t="s">
        <v>17895</v>
      </c>
      <c r="AX2054" s="80" t="s">
        <v>17895</v>
      </c>
      <c r="AY2054" s="77"/>
      <c r="AZ2054" s="80" t="s">
        <v>20380</v>
      </c>
      <c r="BA2054" s="80" t="s">
        <v>20380</v>
      </c>
      <c r="BB2054" s="80" t="s">
        <v>20380</v>
      </c>
      <c r="BC2054" s="80" t="s">
        <v>17895</v>
      </c>
      <c r="BD2054" s="77">
        <v>23408209</v>
      </c>
      <c r="BE2054" s="77"/>
      <c r="BF2054" s="77"/>
      <c r="BG2054" s="77"/>
      <c r="BH2054" s="77"/>
      <c r="BI2054" s="77"/>
    </row>
    <row r="2055" spans="1:61" x14ac:dyDescent="0.25">
      <c r="A2055" s="62" t="s">
        <v>868</v>
      </c>
      <c r="B2055" s="62" t="s">
        <v>868</v>
      </c>
      <c r="C2055" s="63"/>
      <c r="D2055" s="64"/>
      <c r="E2055" s="65"/>
      <c r="F2055" s="66"/>
      <c r="G2055" s="63"/>
      <c r="H2055" s="67"/>
      <c r="I2055" s="68"/>
      <c r="J2055" s="68"/>
      <c r="K2055" s="32"/>
      <c r="L2055" s="75">
        <v>2055</v>
      </c>
      <c r="M2055" s="75"/>
      <c r="N2055" s="70"/>
      <c r="O2055" s="77" t="s">
        <v>179</v>
      </c>
      <c r="P2055" s="79">
        <v>45163.832939814813</v>
      </c>
      <c r="Q2055" s="77" t="s">
        <v>3918</v>
      </c>
      <c r="R2055" s="77">
        <v>0</v>
      </c>
      <c r="S2055" s="77">
        <v>0</v>
      </c>
      <c r="T2055" s="77">
        <v>0</v>
      </c>
      <c r="U2055" s="77">
        <v>0</v>
      </c>
      <c r="V2055" s="77">
        <v>167</v>
      </c>
      <c r="W2055" s="80" t="s">
        <v>7196</v>
      </c>
      <c r="X2055" s="83" t="str">
        <f>HYPERLINK("https://dinheirama.com/deputados-podem-analisar-na-proxima-semana-proposta-que-regulamenta-juros-dos-cartoes-de-credito/")</f>
        <v>https://dinheirama.com/deputados-podem-analisar-na-proxima-semana-proposta-que-regulamenta-juros-dos-cartoes-de-credito/</v>
      </c>
      <c r="Y2055" s="77" t="s">
        <v>8762</v>
      </c>
      <c r="Z2055" s="77"/>
      <c r="AA2055" s="77"/>
      <c r="AB2055" s="77"/>
      <c r="AC2055" s="80" t="s">
        <v>10541</v>
      </c>
      <c r="AD2055" s="77" t="s">
        <v>10617</v>
      </c>
      <c r="AE2055" s="83" t="str">
        <f>HYPERLINK("https://twitter.com/dinheirama/status/1695163998457536583")</f>
        <v>https://twitter.com/dinheirama/status/1695163998457536583</v>
      </c>
      <c r="AF2055" s="79">
        <v>45163.832939814813</v>
      </c>
      <c r="AG2055" s="85">
        <v>45163</v>
      </c>
      <c r="AH2055" s="80" t="s">
        <v>12441</v>
      </c>
      <c r="AI2055" s="77" t="b">
        <v>0</v>
      </c>
      <c r="AJ2055" s="77"/>
      <c r="AK2055" s="77"/>
      <c r="AL2055" s="77"/>
      <c r="AM2055" s="77"/>
      <c r="AN2055" s="77"/>
      <c r="AO2055" s="77"/>
      <c r="AP2055" s="77"/>
      <c r="AQ2055" s="77"/>
      <c r="AR2055" s="77"/>
      <c r="AS2055" s="77"/>
      <c r="AT2055" s="77"/>
      <c r="AU2055" s="77"/>
      <c r="AV2055" s="83" t="str">
        <f>HYPERLINK("https://pbs.twimg.com/profile_images/1685831655976501248/p4Yj-D92_normal.jpg")</f>
        <v>https://pbs.twimg.com/profile_images/1685831655976501248/p4Yj-D92_normal.jpg</v>
      </c>
      <c r="AW2055" s="80" t="s">
        <v>17896</v>
      </c>
      <c r="AX2055" s="80" t="s">
        <v>17896</v>
      </c>
      <c r="AY2055" s="77"/>
      <c r="AZ2055" s="80" t="s">
        <v>20380</v>
      </c>
      <c r="BA2055" s="80" t="s">
        <v>20380</v>
      </c>
      <c r="BB2055" s="80" t="s">
        <v>20380</v>
      </c>
      <c r="BC2055" s="80" t="s">
        <v>17896</v>
      </c>
      <c r="BD2055" s="77">
        <v>23408209</v>
      </c>
      <c r="BE2055" s="77"/>
      <c r="BF2055" s="77"/>
      <c r="BG2055" s="77"/>
      <c r="BH2055" s="77"/>
      <c r="BI2055" s="77"/>
    </row>
    <row r="2056" spans="1:61" x14ac:dyDescent="0.25">
      <c r="A2056" s="62" t="s">
        <v>868</v>
      </c>
      <c r="B2056" s="62" t="s">
        <v>868</v>
      </c>
      <c r="C2056" s="63"/>
      <c r="D2056" s="64"/>
      <c r="E2056" s="65"/>
      <c r="F2056" s="66"/>
      <c r="G2056" s="63"/>
      <c r="H2056" s="67"/>
      <c r="I2056" s="68"/>
      <c r="J2056" s="68"/>
      <c r="K2056" s="32"/>
      <c r="L2056" s="75">
        <v>2056</v>
      </c>
      <c r="M2056" s="75"/>
      <c r="N2056" s="70"/>
      <c r="O2056" s="77" t="s">
        <v>179</v>
      </c>
      <c r="P2056" s="79">
        <v>45156.657500000001</v>
      </c>
      <c r="Q2056" s="77" t="s">
        <v>3919</v>
      </c>
      <c r="R2056" s="77">
        <v>0</v>
      </c>
      <c r="S2056" s="77">
        <v>1</v>
      </c>
      <c r="T2056" s="77">
        <v>0</v>
      </c>
      <c r="U2056" s="77">
        <v>0</v>
      </c>
      <c r="V2056" s="77">
        <v>197</v>
      </c>
      <c r="W2056" s="80" t="s">
        <v>6131</v>
      </c>
      <c r="X2056" s="83" t="str">
        <f>HYPERLINK("https://dinheirama.com/digitalizacao-de-pagamentos-e-nao-moeda-comum-e-caminho-para-facilitar-comercio-diz-campos-neto/")</f>
        <v>https://dinheirama.com/digitalizacao-de-pagamentos-e-nao-moeda-comum-e-caminho-para-facilitar-comercio-diz-campos-neto/</v>
      </c>
      <c r="Y2056" s="77" t="s">
        <v>8762</v>
      </c>
      <c r="Z2056" s="77"/>
      <c r="AA2056" s="77"/>
      <c r="AB2056" s="77"/>
      <c r="AC2056" s="80" t="s">
        <v>10541</v>
      </c>
      <c r="AD2056" s="77" t="s">
        <v>10617</v>
      </c>
      <c r="AE2056" s="83" t="str">
        <f>HYPERLINK("https://twitter.com/dinheirama/status/1692563706197012945")</f>
        <v>https://twitter.com/dinheirama/status/1692563706197012945</v>
      </c>
      <c r="AF2056" s="79">
        <v>45156.657500000001</v>
      </c>
      <c r="AG2056" s="85">
        <v>45156</v>
      </c>
      <c r="AH2056" s="80" t="s">
        <v>12442</v>
      </c>
      <c r="AI2056" s="77" t="b">
        <v>0</v>
      </c>
      <c r="AJ2056" s="77"/>
      <c r="AK2056" s="77"/>
      <c r="AL2056" s="77"/>
      <c r="AM2056" s="77"/>
      <c r="AN2056" s="77"/>
      <c r="AO2056" s="77"/>
      <c r="AP2056" s="77"/>
      <c r="AQ2056" s="77"/>
      <c r="AR2056" s="77"/>
      <c r="AS2056" s="77"/>
      <c r="AT2056" s="77"/>
      <c r="AU2056" s="77"/>
      <c r="AV2056" s="83" t="str">
        <f>HYPERLINK("https://pbs.twimg.com/profile_images/1685831655976501248/p4Yj-D92_normal.jpg")</f>
        <v>https://pbs.twimg.com/profile_images/1685831655976501248/p4Yj-D92_normal.jpg</v>
      </c>
      <c r="AW2056" s="80" t="s">
        <v>17897</v>
      </c>
      <c r="AX2056" s="80" t="s">
        <v>17897</v>
      </c>
      <c r="AY2056" s="77"/>
      <c r="AZ2056" s="80" t="s">
        <v>20380</v>
      </c>
      <c r="BA2056" s="80" t="s">
        <v>20380</v>
      </c>
      <c r="BB2056" s="80" t="s">
        <v>20380</v>
      </c>
      <c r="BC2056" s="80" t="s">
        <v>17897</v>
      </c>
      <c r="BD2056" s="77">
        <v>23408209</v>
      </c>
      <c r="BE2056" s="77"/>
      <c r="BF2056" s="77"/>
      <c r="BG2056" s="77"/>
      <c r="BH2056" s="77"/>
      <c r="BI2056" s="77"/>
    </row>
    <row r="2057" spans="1:61" x14ac:dyDescent="0.25">
      <c r="A2057" s="62" t="s">
        <v>868</v>
      </c>
      <c r="B2057" s="62" t="s">
        <v>868</v>
      </c>
      <c r="C2057" s="63"/>
      <c r="D2057" s="64"/>
      <c r="E2057" s="65"/>
      <c r="F2057" s="66"/>
      <c r="G2057" s="63"/>
      <c r="H2057" s="67"/>
      <c r="I2057" s="68"/>
      <c r="J2057" s="68"/>
      <c r="K2057" s="32"/>
      <c r="L2057" s="75">
        <v>2057</v>
      </c>
      <c r="M2057" s="75"/>
      <c r="N2057" s="70"/>
      <c r="O2057" s="77" t="s">
        <v>179</v>
      </c>
      <c r="P2057" s="79">
        <v>45142.520138888889</v>
      </c>
      <c r="Q2057" s="77" t="s">
        <v>3920</v>
      </c>
      <c r="R2057" s="77">
        <v>0</v>
      </c>
      <c r="S2057" s="77">
        <v>0</v>
      </c>
      <c r="T2057" s="77">
        <v>0</v>
      </c>
      <c r="U2057" s="77">
        <v>0</v>
      </c>
      <c r="V2057" s="77">
        <v>219</v>
      </c>
      <c r="W2057" s="80" t="s">
        <v>7197</v>
      </c>
      <c r="X2057" s="83" t="str">
        <f>HYPERLINK("https://dinheirama.com/dolar-a-vista-tem-leve-alta-no-inicio-do-dia-com-investidores-a-espera-de-dados-dos-eua/")</f>
        <v>https://dinheirama.com/dolar-a-vista-tem-leve-alta-no-inicio-do-dia-com-investidores-a-espera-de-dados-dos-eua/</v>
      </c>
      <c r="Y2057" s="77" t="s">
        <v>8762</v>
      </c>
      <c r="Z2057" s="77"/>
      <c r="AA2057" s="77"/>
      <c r="AB2057" s="77"/>
      <c r="AC2057" s="80" t="s">
        <v>10541</v>
      </c>
      <c r="AD2057" s="77" t="s">
        <v>10617</v>
      </c>
      <c r="AE2057" s="83" t="str">
        <f>HYPERLINK("https://twitter.com/dinheirama/status/1687440497541881856")</f>
        <v>https://twitter.com/dinheirama/status/1687440497541881856</v>
      </c>
      <c r="AF2057" s="79">
        <v>45142.520138888889</v>
      </c>
      <c r="AG2057" s="85">
        <v>45142</v>
      </c>
      <c r="AH2057" s="80" t="s">
        <v>12443</v>
      </c>
      <c r="AI2057" s="77" t="b">
        <v>0</v>
      </c>
      <c r="AJ2057" s="77"/>
      <c r="AK2057" s="77"/>
      <c r="AL2057" s="77"/>
      <c r="AM2057" s="77"/>
      <c r="AN2057" s="77"/>
      <c r="AO2057" s="77"/>
      <c r="AP2057" s="77"/>
      <c r="AQ2057" s="77"/>
      <c r="AR2057" s="77"/>
      <c r="AS2057" s="77"/>
      <c r="AT2057" s="77"/>
      <c r="AU2057" s="77"/>
      <c r="AV2057" s="83" t="str">
        <f>HYPERLINK("https://pbs.twimg.com/profile_images/1685831655976501248/p4Yj-D92_normal.jpg")</f>
        <v>https://pbs.twimg.com/profile_images/1685831655976501248/p4Yj-D92_normal.jpg</v>
      </c>
      <c r="AW2057" s="80" t="s">
        <v>17898</v>
      </c>
      <c r="AX2057" s="80" t="s">
        <v>17898</v>
      </c>
      <c r="AY2057" s="77"/>
      <c r="AZ2057" s="80" t="s">
        <v>20380</v>
      </c>
      <c r="BA2057" s="80" t="s">
        <v>20380</v>
      </c>
      <c r="BB2057" s="80" t="s">
        <v>20380</v>
      </c>
      <c r="BC2057" s="80" t="s">
        <v>17898</v>
      </c>
      <c r="BD2057" s="77">
        <v>23408209</v>
      </c>
      <c r="BE2057" s="77"/>
      <c r="BF2057" s="77"/>
      <c r="BG2057" s="77"/>
      <c r="BH2057" s="77"/>
      <c r="BI2057" s="77"/>
    </row>
    <row r="2058" spans="1:61" x14ac:dyDescent="0.25">
      <c r="A2058" s="62" t="s">
        <v>868</v>
      </c>
      <c r="B2058" s="62" t="s">
        <v>868</v>
      </c>
      <c r="C2058" s="63"/>
      <c r="D2058" s="64"/>
      <c r="E2058" s="65"/>
      <c r="F2058" s="66"/>
      <c r="G2058" s="63"/>
      <c r="H2058" s="67"/>
      <c r="I2058" s="68"/>
      <c r="J2058" s="68"/>
      <c r="K2058" s="32"/>
      <c r="L2058" s="75">
        <v>2058</v>
      </c>
      <c r="M2058" s="75"/>
      <c r="N2058" s="70"/>
      <c r="O2058" s="77" t="s">
        <v>179</v>
      </c>
      <c r="P2058" s="79">
        <v>45189.987997685188</v>
      </c>
      <c r="Q2058" s="77" t="s">
        <v>3921</v>
      </c>
      <c r="R2058" s="77">
        <v>0</v>
      </c>
      <c r="S2058" s="77">
        <v>0</v>
      </c>
      <c r="T2058" s="77">
        <v>0</v>
      </c>
      <c r="U2058" s="77">
        <v>0</v>
      </c>
      <c r="V2058" s="77">
        <v>280</v>
      </c>
      <c r="W2058" s="80" t="s">
        <v>7198</v>
      </c>
      <c r="X2058" s="83" t="str">
        <f>HYPERLINK("https://dinheirama.com/repercussao-bc-volta-a-cortar-selic-em-050-p-p-e-indica-mais-reducoes-da-mesma-magnitude-a-frente/")</f>
        <v>https://dinheirama.com/repercussao-bc-volta-a-cortar-selic-em-050-p-p-e-indica-mais-reducoes-da-mesma-magnitude-a-frente/</v>
      </c>
      <c r="Y2058" s="77" t="s">
        <v>8762</v>
      </c>
      <c r="Z2058" s="77"/>
      <c r="AA2058" s="77"/>
      <c r="AB2058" s="77"/>
      <c r="AC2058" s="80" t="s">
        <v>10541</v>
      </c>
      <c r="AD2058" s="77" t="s">
        <v>10617</v>
      </c>
      <c r="AE2058" s="83" t="str">
        <f>HYPERLINK("https://twitter.com/dinheirama/status/1704642273487560983")</f>
        <v>https://twitter.com/dinheirama/status/1704642273487560983</v>
      </c>
      <c r="AF2058" s="79">
        <v>45189.987997685188</v>
      </c>
      <c r="AG2058" s="85">
        <v>45189</v>
      </c>
      <c r="AH2058" s="80" t="s">
        <v>12444</v>
      </c>
      <c r="AI2058" s="77" t="b">
        <v>0</v>
      </c>
      <c r="AJ2058" s="77"/>
      <c r="AK2058" s="77"/>
      <c r="AL2058" s="77"/>
      <c r="AM2058" s="77"/>
      <c r="AN2058" s="77"/>
      <c r="AO2058" s="77"/>
      <c r="AP2058" s="77"/>
      <c r="AQ2058" s="77"/>
      <c r="AR2058" s="77"/>
      <c r="AS2058" s="77"/>
      <c r="AT2058" s="77"/>
      <c r="AU2058" s="77"/>
      <c r="AV2058" s="83" t="str">
        <f>HYPERLINK("https://pbs.twimg.com/profile_images/1685831655976501248/p4Yj-D92_normal.jpg")</f>
        <v>https://pbs.twimg.com/profile_images/1685831655976501248/p4Yj-D92_normal.jpg</v>
      </c>
      <c r="AW2058" s="80" t="s">
        <v>17899</v>
      </c>
      <c r="AX2058" s="80" t="s">
        <v>17899</v>
      </c>
      <c r="AY2058" s="77"/>
      <c r="AZ2058" s="80" t="s">
        <v>20380</v>
      </c>
      <c r="BA2058" s="80" t="s">
        <v>20380</v>
      </c>
      <c r="BB2058" s="80" t="s">
        <v>20380</v>
      </c>
      <c r="BC2058" s="80" t="s">
        <v>17899</v>
      </c>
      <c r="BD2058" s="77">
        <v>23408209</v>
      </c>
      <c r="BE2058" s="77"/>
      <c r="BF2058" s="77"/>
      <c r="BG2058" s="77"/>
      <c r="BH2058" s="77"/>
      <c r="BI2058" s="77"/>
    </row>
    <row r="2059" spans="1:61" x14ac:dyDescent="0.25">
      <c r="A2059" s="62" t="s">
        <v>868</v>
      </c>
      <c r="B2059" s="62" t="s">
        <v>868</v>
      </c>
      <c r="C2059" s="63"/>
      <c r="D2059" s="64"/>
      <c r="E2059" s="65"/>
      <c r="F2059" s="66"/>
      <c r="G2059" s="63"/>
      <c r="H2059" s="67"/>
      <c r="I2059" s="68"/>
      <c r="J2059" s="68"/>
      <c r="K2059" s="32"/>
      <c r="L2059" s="75">
        <v>2059</v>
      </c>
      <c r="M2059" s="75"/>
      <c r="N2059" s="70"/>
      <c r="O2059" s="77" t="s">
        <v>179</v>
      </c>
      <c r="P2059" s="79">
        <v>45154.585034722222</v>
      </c>
      <c r="Q2059" s="77" t="s">
        <v>3922</v>
      </c>
      <c r="R2059" s="77">
        <v>0</v>
      </c>
      <c r="S2059" s="77">
        <v>1</v>
      </c>
      <c r="T2059" s="77">
        <v>0</v>
      </c>
      <c r="U2059" s="77">
        <v>0</v>
      </c>
      <c r="V2059" s="77">
        <v>189</v>
      </c>
      <c r="W2059" s="80" t="s">
        <v>7199</v>
      </c>
      <c r="X2059" s="83" t="str">
        <f>HYPERLINK("https://dinheirama.com/reajuste-de-precos-de-combustiveis-foi-decisao-acertada-diz-campos-neto/")</f>
        <v>https://dinheirama.com/reajuste-de-precos-de-combustiveis-foi-decisao-acertada-diz-campos-neto/</v>
      </c>
      <c r="Y2059" s="77" t="s">
        <v>8762</v>
      </c>
      <c r="Z2059" s="77"/>
      <c r="AA2059" s="77"/>
      <c r="AB2059" s="77"/>
      <c r="AC2059" s="80" t="s">
        <v>10541</v>
      </c>
      <c r="AD2059" s="77" t="s">
        <v>10617</v>
      </c>
      <c r="AE2059" s="83" t="str">
        <f>HYPERLINK("https://twitter.com/dinheirama/status/1691812668313575843")</f>
        <v>https://twitter.com/dinheirama/status/1691812668313575843</v>
      </c>
      <c r="AF2059" s="79">
        <v>45154.585034722222</v>
      </c>
      <c r="AG2059" s="85">
        <v>45154</v>
      </c>
      <c r="AH2059" s="80" t="s">
        <v>12445</v>
      </c>
      <c r="AI2059" s="77" t="b">
        <v>0</v>
      </c>
      <c r="AJ2059" s="77"/>
      <c r="AK2059" s="77"/>
      <c r="AL2059" s="77"/>
      <c r="AM2059" s="77"/>
      <c r="AN2059" s="77"/>
      <c r="AO2059" s="77"/>
      <c r="AP2059" s="77"/>
      <c r="AQ2059" s="77"/>
      <c r="AR2059" s="77"/>
      <c r="AS2059" s="77"/>
      <c r="AT2059" s="77"/>
      <c r="AU2059" s="77"/>
      <c r="AV2059" s="83" t="str">
        <f>HYPERLINK("https://pbs.twimg.com/profile_images/1685831655976501248/p4Yj-D92_normal.jpg")</f>
        <v>https://pbs.twimg.com/profile_images/1685831655976501248/p4Yj-D92_normal.jpg</v>
      </c>
      <c r="AW2059" s="80" t="s">
        <v>17900</v>
      </c>
      <c r="AX2059" s="80" t="s">
        <v>17900</v>
      </c>
      <c r="AY2059" s="77"/>
      <c r="AZ2059" s="80" t="s">
        <v>20380</v>
      </c>
      <c r="BA2059" s="80" t="s">
        <v>20380</v>
      </c>
      <c r="BB2059" s="80" t="s">
        <v>20380</v>
      </c>
      <c r="BC2059" s="80" t="s">
        <v>17900</v>
      </c>
      <c r="BD2059" s="77">
        <v>23408209</v>
      </c>
      <c r="BE2059" s="77"/>
      <c r="BF2059" s="77"/>
      <c r="BG2059" s="77"/>
      <c r="BH2059" s="77"/>
      <c r="BI2059" s="77"/>
    </row>
    <row r="2060" spans="1:61" x14ac:dyDescent="0.25">
      <c r="A2060" s="62" t="s">
        <v>868</v>
      </c>
      <c r="B2060" s="62" t="s">
        <v>868</v>
      </c>
      <c r="C2060" s="63"/>
      <c r="D2060" s="64"/>
      <c r="E2060" s="65"/>
      <c r="F2060" s="66"/>
      <c r="G2060" s="63"/>
      <c r="H2060" s="67"/>
      <c r="I2060" s="68"/>
      <c r="J2060" s="68"/>
      <c r="K2060" s="32"/>
      <c r="L2060" s="75">
        <v>2060</v>
      </c>
      <c r="M2060" s="75"/>
      <c r="N2060" s="70"/>
      <c r="O2060" s="77" t="s">
        <v>179</v>
      </c>
      <c r="P2060" s="79">
        <v>45147.814131944448</v>
      </c>
      <c r="Q2060" s="77" t="s">
        <v>3923</v>
      </c>
      <c r="R2060" s="77">
        <v>0</v>
      </c>
      <c r="S2060" s="77">
        <v>1</v>
      </c>
      <c r="T2060" s="77">
        <v>0</v>
      </c>
      <c r="U2060" s="77">
        <v>0</v>
      </c>
      <c r="V2060" s="77">
        <v>235</v>
      </c>
      <c r="W2060" s="80" t="s">
        <v>7200</v>
      </c>
      <c r="X2060" s="83" t="str">
        <f>HYPERLINK("https://dinheirama.com/fintech-clara-muda-sede-para-o-brasil-apos-receber-licenca-do-banco-central/")</f>
        <v>https://dinheirama.com/fintech-clara-muda-sede-para-o-brasil-apos-receber-licenca-do-banco-central/</v>
      </c>
      <c r="Y2060" s="77" t="s">
        <v>8762</v>
      </c>
      <c r="Z2060" s="77"/>
      <c r="AA2060" s="77"/>
      <c r="AB2060" s="77"/>
      <c r="AC2060" s="80" t="s">
        <v>10541</v>
      </c>
      <c r="AD2060" s="77" t="s">
        <v>10617</v>
      </c>
      <c r="AE2060" s="83" t="str">
        <f>HYPERLINK("https://twitter.com/dinheirama/status/1689358975781769216")</f>
        <v>https://twitter.com/dinheirama/status/1689358975781769216</v>
      </c>
      <c r="AF2060" s="79">
        <v>45147.814131944448</v>
      </c>
      <c r="AG2060" s="85">
        <v>45147</v>
      </c>
      <c r="AH2060" s="80" t="s">
        <v>12446</v>
      </c>
      <c r="AI2060" s="77" t="b">
        <v>0</v>
      </c>
      <c r="AJ2060" s="77"/>
      <c r="AK2060" s="77"/>
      <c r="AL2060" s="77"/>
      <c r="AM2060" s="77"/>
      <c r="AN2060" s="77"/>
      <c r="AO2060" s="77"/>
      <c r="AP2060" s="77"/>
      <c r="AQ2060" s="77"/>
      <c r="AR2060" s="77"/>
      <c r="AS2060" s="77"/>
      <c r="AT2060" s="77"/>
      <c r="AU2060" s="77"/>
      <c r="AV2060" s="83" t="str">
        <f>HYPERLINK("https://pbs.twimg.com/profile_images/1685831655976501248/p4Yj-D92_normal.jpg")</f>
        <v>https://pbs.twimg.com/profile_images/1685831655976501248/p4Yj-D92_normal.jpg</v>
      </c>
      <c r="AW2060" s="80" t="s">
        <v>17901</v>
      </c>
      <c r="AX2060" s="80" t="s">
        <v>17901</v>
      </c>
      <c r="AY2060" s="77"/>
      <c r="AZ2060" s="80" t="s">
        <v>20380</v>
      </c>
      <c r="BA2060" s="80" t="s">
        <v>20380</v>
      </c>
      <c r="BB2060" s="80" t="s">
        <v>20380</v>
      </c>
      <c r="BC2060" s="80" t="s">
        <v>17901</v>
      </c>
      <c r="BD2060" s="77">
        <v>23408209</v>
      </c>
      <c r="BE2060" s="77"/>
      <c r="BF2060" s="77"/>
      <c r="BG2060" s="77"/>
      <c r="BH2060" s="77"/>
      <c r="BI2060" s="77"/>
    </row>
    <row r="2061" spans="1:61" x14ac:dyDescent="0.25">
      <c r="A2061" s="62" t="s">
        <v>868</v>
      </c>
      <c r="B2061" s="62" t="s">
        <v>868</v>
      </c>
      <c r="C2061" s="63"/>
      <c r="D2061" s="64"/>
      <c r="E2061" s="65"/>
      <c r="F2061" s="66"/>
      <c r="G2061" s="63"/>
      <c r="H2061" s="67"/>
      <c r="I2061" s="68"/>
      <c r="J2061" s="68"/>
      <c r="K2061" s="32"/>
      <c r="L2061" s="75">
        <v>2061</v>
      </c>
      <c r="M2061" s="75"/>
      <c r="N2061" s="70"/>
      <c r="O2061" s="77" t="s">
        <v>179</v>
      </c>
      <c r="P2061" s="79">
        <v>45140.601435185185</v>
      </c>
      <c r="Q2061" s="77" t="s">
        <v>3924</v>
      </c>
      <c r="R2061" s="77">
        <v>0</v>
      </c>
      <c r="S2061" s="77">
        <v>0</v>
      </c>
      <c r="T2061" s="77">
        <v>0</v>
      </c>
      <c r="U2061" s="77">
        <v>0</v>
      </c>
      <c r="V2061" s="77">
        <v>236</v>
      </c>
      <c r="W2061" s="80" t="s">
        <v>7201</v>
      </c>
      <c r="X2061" s="83" t="str">
        <f>HYPERLINK("https://dinheirama.com/haddad-diz-que-queda-de-juros-certamente-comeca-nesta-quarta-ve-espaco-para-corte-de-05-ponto/")</f>
        <v>https://dinheirama.com/haddad-diz-que-queda-de-juros-certamente-comeca-nesta-quarta-ve-espaco-para-corte-de-05-ponto/</v>
      </c>
      <c r="Y2061" s="77" t="s">
        <v>8762</v>
      </c>
      <c r="Z2061" s="77"/>
      <c r="AA2061" s="77"/>
      <c r="AB2061" s="77"/>
      <c r="AC2061" s="80" t="s">
        <v>10541</v>
      </c>
      <c r="AD2061" s="77" t="s">
        <v>10617</v>
      </c>
      <c r="AE2061" s="83" t="str">
        <f>HYPERLINK("https://twitter.com/dinheirama/status/1686745181884702720")</f>
        <v>https://twitter.com/dinheirama/status/1686745181884702720</v>
      </c>
      <c r="AF2061" s="79">
        <v>45140.601435185185</v>
      </c>
      <c r="AG2061" s="85">
        <v>45140</v>
      </c>
      <c r="AH2061" s="80" t="s">
        <v>12447</v>
      </c>
      <c r="AI2061" s="77" t="b">
        <v>0</v>
      </c>
      <c r="AJ2061" s="77"/>
      <c r="AK2061" s="77"/>
      <c r="AL2061" s="77"/>
      <c r="AM2061" s="77"/>
      <c r="AN2061" s="77"/>
      <c r="AO2061" s="77"/>
      <c r="AP2061" s="77"/>
      <c r="AQ2061" s="77"/>
      <c r="AR2061" s="77"/>
      <c r="AS2061" s="77"/>
      <c r="AT2061" s="77"/>
      <c r="AU2061" s="77"/>
      <c r="AV2061" s="83" t="str">
        <f>HYPERLINK("https://pbs.twimg.com/profile_images/1685831655976501248/p4Yj-D92_normal.jpg")</f>
        <v>https://pbs.twimg.com/profile_images/1685831655976501248/p4Yj-D92_normal.jpg</v>
      </c>
      <c r="AW2061" s="80" t="s">
        <v>17902</v>
      </c>
      <c r="AX2061" s="80" t="s">
        <v>17902</v>
      </c>
      <c r="AY2061" s="77"/>
      <c r="AZ2061" s="80" t="s">
        <v>20380</v>
      </c>
      <c r="BA2061" s="80" t="s">
        <v>20380</v>
      </c>
      <c r="BB2061" s="80" t="s">
        <v>20380</v>
      </c>
      <c r="BC2061" s="80" t="s">
        <v>17902</v>
      </c>
      <c r="BD2061" s="77">
        <v>23408209</v>
      </c>
      <c r="BE2061" s="77"/>
      <c r="BF2061" s="77"/>
      <c r="BG2061" s="77"/>
      <c r="BH2061" s="77"/>
      <c r="BI2061" s="77"/>
    </row>
    <row r="2062" spans="1:61" x14ac:dyDescent="0.25">
      <c r="A2062" s="62" t="s">
        <v>868</v>
      </c>
      <c r="B2062" s="62" t="s">
        <v>868</v>
      </c>
      <c r="C2062" s="63"/>
      <c r="D2062" s="64"/>
      <c r="E2062" s="65"/>
      <c r="F2062" s="66"/>
      <c r="G2062" s="63"/>
      <c r="H2062" s="67"/>
      <c r="I2062" s="68"/>
      <c r="J2062" s="68"/>
      <c r="K2062" s="32"/>
      <c r="L2062" s="75">
        <v>2062</v>
      </c>
      <c r="M2062" s="75"/>
      <c r="N2062" s="70"/>
      <c r="O2062" s="77" t="s">
        <v>179</v>
      </c>
      <c r="P2062" s="79">
        <v>45140.552118055559</v>
      </c>
      <c r="Q2062" s="77" t="s">
        <v>3925</v>
      </c>
      <c r="R2062" s="77">
        <v>0</v>
      </c>
      <c r="S2062" s="77">
        <v>0</v>
      </c>
      <c r="T2062" s="77">
        <v>0</v>
      </c>
      <c r="U2062" s="77">
        <v>0</v>
      </c>
      <c r="V2062" s="77">
        <v>181</v>
      </c>
      <c r="W2062" s="80" t="s">
        <v>7022</v>
      </c>
      <c r="X2062" s="83" t="str">
        <f>HYPERLINK("https://dinheirama.com/ibovespa-abre-com-vies-de-baixa-em-dia-de-decisao-de-juros/")</f>
        <v>https://dinheirama.com/ibovespa-abre-com-vies-de-baixa-em-dia-de-decisao-de-juros/</v>
      </c>
      <c r="Y2062" s="77" t="s">
        <v>8762</v>
      </c>
      <c r="Z2062" s="77"/>
      <c r="AA2062" s="77"/>
      <c r="AB2062" s="77"/>
      <c r="AC2062" s="80" t="s">
        <v>10541</v>
      </c>
      <c r="AD2062" s="77" t="s">
        <v>10617</v>
      </c>
      <c r="AE2062" s="83" t="str">
        <f>HYPERLINK("https://twitter.com/dinheirama/status/1686727310672560128")</f>
        <v>https://twitter.com/dinheirama/status/1686727310672560128</v>
      </c>
      <c r="AF2062" s="79">
        <v>45140.552118055559</v>
      </c>
      <c r="AG2062" s="85">
        <v>45140</v>
      </c>
      <c r="AH2062" s="80" t="s">
        <v>12448</v>
      </c>
      <c r="AI2062" s="77" t="b">
        <v>0</v>
      </c>
      <c r="AJ2062" s="77"/>
      <c r="AK2062" s="77"/>
      <c r="AL2062" s="77"/>
      <c r="AM2062" s="77"/>
      <c r="AN2062" s="77"/>
      <c r="AO2062" s="77"/>
      <c r="AP2062" s="77"/>
      <c r="AQ2062" s="77"/>
      <c r="AR2062" s="77"/>
      <c r="AS2062" s="77"/>
      <c r="AT2062" s="77"/>
      <c r="AU2062" s="77"/>
      <c r="AV2062" s="83" t="str">
        <f>HYPERLINK("https://pbs.twimg.com/profile_images/1685831655976501248/p4Yj-D92_normal.jpg")</f>
        <v>https://pbs.twimg.com/profile_images/1685831655976501248/p4Yj-D92_normal.jpg</v>
      </c>
      <c r="AW2062" s="80" t="s">
        <v>17903</v>
      </c>
      <c r="AX2062" s="80" t="s">
        <v>17903</v>
      </c>
      <c r="AY2062" s="77"/>
      <c r="AZ2062" s="80" t="s">
        <v>20380</v>
      </c>
      <c r="BA2062" s="80" t="s">
        <v>20380</v>
      </c>
      <c r="BB2062" s="80" t="s">
        <v>20380</v>
      </c>
      <c r="BC2062" s="80" t="s">
        <v>17903</v>
      </c>
      <c r="BD2062" s="77">
        <v>23408209</v>
      </c>
      <c r="BE2062" s="77"/>
      <c r="BF2062" s="77"/>
      <c r="BG2062" s="77"/>
      <c r="BH2062" s="77"/>
      <c r="BI2062" s="77"/>
    </row>
    <row r="2063" spans="1:61" x14ac:dyDescent="0.25">
      <c r="A2063" s="62" t="s">
        <v>868</v>
      </c>
      <c r="B2063" s="62" t="s">
        <v>868</v>
      </c>
      <c r="C2063" s="63"/>
      <c r="D2063" s="64"/>
      <c r="E2063" s="65"/>
      <c r="F2063" s="66"/>
      <c r="G2063" s="63"/>
      <c r="H2063" s="67"/>
      <c r="I2063" s="68"/>
      <c r="J2063" s="68"/>
      <c r="K2063" s="32"/>
      <c r="L2063" s="75">
        <v>2063</v>
      </c>
      <c r="M2063" s="75"/>
      <c r="N2063" s="70"/>
      <c r="O2063" s="77" t="s">
        <v>179</v>
      </c>
      <c r="P2063" s="79">
        <v>45140.516527777778</v>
      </c>
      <c r="Q2063" s="77" t="s">
        <v>3926</v>
      </c>
      <c r="R2063" s="77">
        <v>0</v>
      </c>
      <c r="S2063" s="77">
        <v>0</v>
      </c>
      <c r="T2063" s="77">
        <v>0</v>
      </c>
      <c r="U2063" s="77">
        <v>0</v>
      </c>
      <c r="V2063" s="77">
        <v>238</v>
      </c>
      <c r="W2063" s="80" t="s">
        <v>7202</v>
      </c>
      <c r="X2063" s="83" t="str">
        <f>HYPERLINK("https://dinheirama.com/dolar-tem-pouca-alteracao-com-expectativa-por-copom-e-apos-rebaixamento-dos-eua-pela-fitch/")</f>
        <v>https://dinheirama.com/dolar-tem-pouca-alteracao-com-expectativa-por-copom-e-apos-rebaixamento-dos-eua-pela-fitch/</v>
      </c>
      <c r="Y2063" s="77" t="s">
        <v>8762</v>
      </c>
      <c r="Z2063" s="77"/>
      <c r="AA2063" s="77"/>
      <c r="AB2063" s="77"/>
      <c r="AC2063" s="80" t="s">
        <v>10541</v>
      </c>
      <c r="AD2063" s="77" t="s">
        <v>10617</v>
      </c>
      <c r="AE2063" s="83" t="str">
        <f>HYPERLINK("https://twitter.com/dinheirama/status/1686714412806049792")</f>
        <v>https://twitter.com/dinheirama/status/1686714412806049792</v>
      </c>
      <c r="AF2063" s="79">
        <v>45140.516527777778</v>
      </c>
      <c r="AG2063" s="85">
        <v>45140</v>
      </c>
      <c r="AH2063" s="80" t="s">
        <v>12449</v>
      </c>
      <c r="AI2063" s="77" t="b">
        <v>0</v>
      </c>
      <c r="AJ2063" s="77"/>
      <c r="AK2063" s="77"/>
      <c r="AL2063" s="77"/>
      <c r="AM2063" s="77"/>
      <c r="AN2063" s="77"/>
      <c r="AO2063" s="77"/>
      <c r="AP2063" s="77"/>
      <c r="AQ2063" s="77"/>
      <c r="AR2063" s="77"/>
      <c r="AS2063" s="77"/>
      <c r="AT2063" s="77"/>
      <c r="AU2063" s="77"/>
      <c r="AV2063" s="83" t="str">
        <f>HYPERLINK("https://pbs.twimg.com/profile_images/1685831655976501248/p4Yj-D92_normal.jpg")</f>
        <v>https://pbs.twimg.com/profile_images/1685831655976501248/p4Yj-D92_normal.jpg</v>
      </c>
      <c r="AW2063" s="80" t="s">
        <v>17904</v>
      </c>
      <c r="AX2063" s="80" t="s">
        <v>17904</v>
      </c>
      <c r="AY2063" s="77"/>
      <c r="AZ2063" s="80" t="s">
        <v>20380</v>
      </c>
      <c r="BA2063" s="80" t="s">
        <v>20380</v>
      </c>
      <c r="BB2063" s="80" t="s">
        <v>20380</v>
      </c>
      <c r="BC2063" s="80" t="s">
        <v>17904</v>
      </c>
      <c r="BD2063" s="77">
        <v>23408209</v>
      </c>
      <c r="BE2063" s="77"/>
      <c r="BF2063" s="77"/>
      <c r="BG2063" s="77"/>
      <c r="BH2063" s="77"/>
      <c r="BI2063" s="77"/>
    </row>
    <row r="2064" spans="1:61" x14ac:dyDescent="0.25">
      <c r="A2064" s="62" t="s">
        <v>868</v>
      </c>
      <c r="B2064" s="62" t="s">
        <v>868</v>
      </c>
      <c r="C2064" s="63"/>
      <c r="D2064" s="64"/>
      <c r="E2064" s="65"/>
      <c r="F2064" s="66"/>
      <c r="G2064" s="63"/>
      <c r="H2064" s="67"/>
      <c r="I2064" s="68"/>
      <c r="J2064" s="68"/>
      <c r="K2064" s="32"/>
      <c r="L2064" s="75">
        <v>2064</v>
      </c>
      <c r="M2064" s="75"/>
      <c r="N2064" s="70"/>
      <c r="O2064" s="77" t="s">
        <v>179</v>
      </c>
      <c r="P2064" s="79">
        <v>45124.444710648146</v>
      </c>
      <c r="Q2064" s="77" t="s">
        <v>3927</v>
      </c>
      <c r="R2064" s="77">
        <v>0</v>
      </c>
      <c r="S2064" s="77">
        <v>1</v>
      </c>
      <c r="T2064" s="77">
        <v>0</v>
      </c>
      <c r="U2064" s="77">
        <v>0</v>
      </c>
      <c r="V2064" s="77">
        <v>294</v>
      </c>
      <c r="W2064" s="80" t="s">
        <v>7203</v>
      </c>
      <c r="X2064" s="83" t="str">
        <f>HYPERLINK("https://dinheirama.com/renegociacao-de-dividas-da-faixa-2-do-desenrola-brasil-comeca-hoje/")</f>
        <v>https://dinheirama.com/renegociacao-de-dividas-da-faixa-2-do-desenrola-brasil-comeca-hoje/</v>
      </c>
      <c r="Y2064" s="77" t="s">
        <v>8762</v>
      </c>
      <c r="Z2064" s="77"/>
      <c r="AA2064" s="77"/>
      <c r="AB2064" s="77"/>
      <c r="AC2064" s="80" t="s">
        <v>10541</v>
      </c>
      <c r="AD2064" s="77" t="s">
        <v>10617</v>
      </c>
      <c r="AE2064" s="83" t="str">
        <f>HYPERLINK("https://twitter.com/dinheirama/status/1680890183338582016")</f>
        <v>https://twitter.com/dinheirama/status/1680890183338582016</v>
      </c>
      <c r="AF2064" s="79">
        <v>45124.444710648146</v>
      </c>
      <c r="AG2064" s="85">
        <v>45124</v>
      </c>
      <c r="AH2064" s="80" t="s">
        <v>12450</v>
      </c>
      <c r="AI2064" s="77" t="b">
        <v>0</v>
      </c>
      <c r="AJ2064" s="77"/>
      <c r="AK2064" s="77"/>
      <c r="AL2064" s="77"/>
      <c r="AM2064" s="77"/>
      <c r="AN2064" s="77"/>
      <c r="AO2064" s="77"/>
      <c r="AP2064" s="77"/>
      <c r="AQ2064" s="77"/>
      <c r="AR2064" s="77"/>
      <c r="AS2064" s="77"/>
      <c r="AT2064" s="77"/>
      <c r="AU2064" s="77"/>
      <c r="AV2064" s="83" t="str">
        <f>HYPERLINK("https://pbs.twimg.com/profile_images/1685831655976501248/p4Yj-D92_normal.jpg")</f>
        <v>https://pbs.twimg.com/profile_images/1685831655976501248/p4Yj-D92_normal.jpg</v>
      </c>
      <c r="AW2064" s="80" t="s">
        <v>17905</v>
      </c>
      <c r="AX2064" s="80" t="s">
        <v>17905</v>
      </c>
      <c r="AY2064" s="77"/>
      <c r="AZ2064" s="80" t="s">
        <v>20380</v>
      </c>
      <c r="BA2064" s="80" t="s">
        <v>20380</v>
      </c>
      <c r="BB2064" s="80" t="s">
        <v>20380</v>
      </c>
      <c r="BC2064" s="80" t="s">
        <v>17905</v>
      </c>
      <c r="BD2064" s="77">
        <v>23408209</v>
      </c>
      <c r="BE2064" s="77"/>
      <c r="BF2064" s="77"/>
      <c r="BG2064" s="77"/>
      <c r="BH2064" s="77"/>
      <c r="BI2064" s="77"/>
    </row>
    <row r="2065" spans="1:61" x14ac:dyDescent="0.25">
      <c r="A2065" s="62" t="s">
        <v>868</v>
      </c>
      <c r="B2065" s="62" t="s">
        <v>868</v>
      </c>
      <c r="C2065" s="63"/>
      <c r="D2065" s="64"/>
      <c r="E2065" s="65"/>
      <c r="F2065" s="66"/>
      <c r="G2065" s="63"/>
      <c r="H2065" s="67"/>
      <c r="I2065" s="68"/>
      <c r="J2065" s="68"/>
      <c r="K2065" s="32"/>
      <c r="L2065" s="75">
        <v>2065</v>
      </c>
      <c r="M2065" s="75"/>
      <c r="N2065" s="70"/>
      <c r="O2065" s="77" t="s">
        <v>179</v>
      </c>
      <c r="P2065" s="79">
        <v>45195.976180555554</v>
      </c>
      <c r="Q2065" s="77" t="s">
        <v>3928</v>
      </c>
      <c r="R2065" s="77">
        <v>0</v>
      </c>
      <c r="S2065" s="77">
        <v>1</v>
      </c>
      <c r="T2065" s="77">
        <v>0</v>
      </c>
      <c r="U2065" s="77">
        <v>0</v>
      </c>
      <c r="V2065" s="77">
        <v>282</v>
      </c>
      <c r="W2065" s="80" t="s">
        <v>7204</v>
      </c>
      <c r="X2065" s="83" t="str">
        <f>HYPERLINK("https://dinheirama.com/bc-ve-cenario-de-desinflacao-resistente-e-lento-no-brasil-diz-galipolo/")</f>
        <v>https://dinheirama.com/bc-ve-cenario-de-desinflacao-resistente-e-lento-no-brasil-diz-galipolo/</v>
      </c>
      <c r="Y2065" s="77" t="s">
        <v>8762</v>
      </c>
      <c r="Z2065" s="77"/>
      <c r="AA2065" s="77" t="s">
        <v>9606</v>
      </c>
      <c r="AB2065" s="77" t="s">
        <v>10535</v>
      </c>
      <c r="AC2065" s="80" t="s">
        <v>10541</v>
      </c>
      <c r="AD2065" s="77" t="s">
        <v>10617</v>
      </c>
      <c r="AE2065" s="83" t="str">
        <f>HYPERLINK("https://twitter.com/dinheirama/status/1706812320847184085")</f>
        <v>https://twitter.com/dinheirama/status/1706812320847184085</v>
      </c>
      <c r="AF2065" s="79">
        <v>45195.976180555554</v>
      </c>
      <c r="AG2065" s="85">
        <v>45195</v>
      </c>
      <c r="AH2065" s="80" t="s">
        <v>12451</v>
      </c>
      <c r="AI2065" s="77" t="b">
        <v>0</v>
      </c>
      <c r="AJ2065" s="77"/>
      <c r="AK2065" s="77"/>
      <c r="AL2065" s="77"/>
      <c r="AM2065" s="77"/>
      <c r="AN2065" s="77"/>
      <c r="AO2065" s="77"/>
      <c r="AP2065" s="77"/>
      <c r="AQ2065" s="77" t="s">
        <v>15088</v>
      </c>
      <c r="AR2065" s="77"/>
      <c r="AS2065" s="77"/>
      <c r="AT2065" s="77"/>
      <c r="AU2065" s="77"/>
      <c r="AV2065" s="83" t="str">
        <f>HYPERLINK("https://pbs.twimg.com/media/F6_Qr7yXwAAmp4B.jpg")</f>
        <v>https://pbs.twimg.com/media/F6_Qr7yXwAAmp4B.jpg</v>
      </c>
      <c r="AW2065" s="80" t="s">
        <v>17906</v>
      </c>
      <c r="AX2065" s="80" t="s">
        <v>17906</v>
      </c>
      <c r="AY2065" s="77"/>
      <c r="AZ2065" s="80" t="s">
        <v>20380</v>
      </c>
      <c r="BA2065" s="80" t="s">
        <v>20380</v>
      </c>
      <c r="BB2065" s="80" t="s">
        <v>20380</v>
      </c>
      <c r="BC2065" s="80" t="s">
        <v>17906</v>
      </c>
      <c r="BD2065" s="77">
        <v>23408209</v>
      </c>
      <c r="BE2065" s="77"/>
      <c r="BF2065" s="77"/>
      <c r="BG2065" s="77"/>
      <c r="BH2065" s="77"/>
      <c r="BI2065" s="77"/>
    </row>
    <row r="2066" spans="1:61" x14ac:dyDescent="0.25">
      <c r="A2066" s="62" t="s">
        <v>868</v>
      </c>
      <c r="B2066" s="62" t="s">
        <v>868</v>
      </c>
      <c r="C2066" s="63"/>
      <c r="D2066" s="64"/>
      <c r="E2066" s="65"/>
      <c r="F2066" s="66"/>
      <c r="G2066" s="63"/>
      <c r="H2066" s="67"/>
      <c r="I2066" s="68"/>
      <c r="J2066" s="68"/>
      <c r="K2066" s="32"/>
      <c r="L2066" s="75">
        <v>2066</v>
      </c>
      <c r="M2066" s="75"/>
      <c r="N2066" s="70"/>
      <c r="O2066" s="77" t="s">
        <v>179</v>
      </c>
      <c r="P2066" s="79">
        <v>45188.928993055553</v>
      </c>
      <c r="Q2066" s="77" t="s">
        <v>3929</v>
      </c>
      <c r="R2066" s="77">
        <v>0</v>
      </c>
      <c r="S2066" s="77">
        <v>0</v>
      </c>
      <c r="T2066" s="77">
        <v>0</v>
      </c>
      <c r="U2066" s="77">
        <v>0</v>
      </c>
      <c r="V2066" s="77">
        <v>268</v>
      </c>
      <c r="W2066" s="80" t="s">
        <v>7198</v>
      </c>
      <c r="X2066" s="83" t="str">
        <f>HYPERLINK("https://dinheirama.com/taxas-longas-de-juros-sobem-sob-influencia-dos-treasuries-antes-de-decisoes-de-copom-e-fed/")</f>
        <v>https://dinheirama.com/taxas-longas-de-juros-sobem-sob-influencia-dos-treasuries-antes-de-decisoes-de-copom-e-fed/</v>
      </c>
      <c r="Y2066" s="77" t="s">
        <v>8762</v>
      </c>
      <c r="Z2066" s="77"/>
      <c r="AA2066" s="77"/>
      <c r="AB2066" s="77"/>
      <c r="AC2066" s="80" t="s">
        <v>10541</v>
      </c>
      <c r="AD2066" s="77" t="s">
        <v>10617</v>
      </c>
      <c r="AE2066" s="83" t="str">
        <f>HYPERLINK("https://twitter.com/dinheirama/status/1704258503492174065")</f>
        <v>https://twitter.com/dinheirama/status/1704258503492174065</v>
      </c>
      <c r="AF2066" s="79">
        <v>45188.928993055553</v>
      </c>
      <c r="AG2066" s="85">
        <v>45188</v>
      </c>
      <c r="AH2066" s="80" t="s">
        <v>12452</v>
      </c>
      <c r="AI2066" s="77" t="b">
        <v>0</v>
      </c>
      <c r="AJ2066" s="77"/>
      <c r="AK2066" s="77"/>
      <c r="AL2066" s="77"/>
      <c r="AM2066" s="77"/>
      <c r="AN2066" s="77"/>
      <c r="AO2066" s="77"/>
      <c r="AP2066" s="77"/>
      <c r="AQ2066" s="77"/>
      <c r="AR2066" s="77"/>
      <c r="AS2066" s="77"/>
      <c r="AT2066" s="77"/>
      <c r="AU2066" s="77"/>
      <c r="AV2066" s="83" t="str">
        <f>HYPERLINK("https://pbs.twimg.com/profile_images/1685831655976501248/p4Yj-D92_normal.jpg")</f>
        <v>https://pbs.twimg.com/profile_images/1685831655976501248/p4Yj-D92_normal.jpg</v>
      </c>
      <c r="AW2066" s="80" t="s">
        <v>17907</v>
      </c>
      <c r="AX2066" s="80" t="s">
        <v>17907</v>
      </c>
      <c r="AY2066" s="77"/>
      <c r="AZ2066" s="80" t="s">
        <v>20380</v>
      </c>
      <c r="BA2066" s="80" t="s">
        <v>20380</v>
      </c>
      <c r="BB2066" s="80" t="s">
        <v>20380</v>
      </c>
      <c r="BC2066" s="80" t="s">
        <v>17907</v>
      </c>
      <c r="BD2066" s="77">
        <v>23408209</v>
      </c>
      <c r="BE2066" s="77"/>
      <c r="BF2066" s="77"/>
      <c r="BG2066" s="77"/>
      <c r="BH2066" s="77"/>
      <c r="BI2066" s="77"/>
    </row>
    <row r="2067" spans="1:61" x14ac:dyDescent="0.25">
      <c r="A2067" s="62" t="s">
        <v>868</v>
      </c>
      <c r="B2067" s="62" t="s">
        <v>868</v>
      </c>
      <c r="C2067" s="63"/>
      <c r="D2067" s="64"/>
      <c r="E2067" s="65"/>
      <c r="F2067" s="66"/>
      <c r="G2067" s="63"/>
      <c r="H2067" s="67"/>
      <c r="I2067" s="68"/>
      <c r="J2067" s="68"/>
      <c r="K2067" s="32"/>
      <c r="L2067" s="75">
        <v>2067</v>
      </c>
      <c r="M2067" s="75"/>
      <c r="N2067" s="70"/>
      <c r="O2067" s="77" t="s">
        <v>179</v>
      </c>
      <c r="P2067" s="79">
        <v>45180.49417824074</v>
      </c>
      <c r="Q2067" s="77" t="s">
        <v>3930</v>
      </c>
      <c r="R2067" s="77">
        <v>0</v>
      </c>
      <c r="S2067" s="77">
        <v>0</v>
      </c>
      <c r="T2067" s="77">
        <v>0</v>
      </c>
      <c r="U2067" s="77">
        <v>0</v>
      </c>
      <c r="V2067" s="77">
        <v>164</v>
      </c>
      <c r="W2067" s="80" t="s">
        <v>7205</v>
      </c>
      <c r="X2067" s="83" t="str">
        <f>HYPERLINK("https://dinheirama.com/focus-pib-de-2023-e-revisado-para-cima-pela-3a-vez-consecutiva/")</f>
        <v>https://dinheirama.com/focus-pib-de-2023-e-revisado-para-cima-pela-3a-vez-consecutiva/</v>
      </c>
      <c r="Y2067" s="77" t="s">
        <v>8762</v>
      </c>
      <c r="Z2067" s="77"/>
      <c r="AA2067" s="77"/>
      <c r="AB2067" s="77"/>
      <c r="AC2067" s="80" t="s">
        <v>10541</v>
      </c>
      <c r="AD2067" s="77" t="s">
        <v>10617</v>
      </c>
      <c r="AE2067" s="83" t="str">
        <f>HYPERLINK("https://twitter.com/dinheirama/status/1701201830489837751")</f>
        <v>https://twitter.com/dinheirama/status/1701201830489837751</v>
      </c>
      <c r="AF2067" s="79">
        <v>45180.49417824074</v>
      </c>
      <c r="AG2067" s="85">
        <v>45180</v>
      </c>
      <c r="AH2067" s="80" t="s">
        <v>12453</v>
      </c>
      <c r="AI2067" s="77" t="b">
        <v>0</v>
      </c>
      <c r="AJ2067" s="77"/>
      <c r="AK2067" s="77"/>
      <c r="AL2067" s="77"/>
      <c r="AM2067" s="77"/>
      <c r="AN2067" s="77"/>
      <c r="AO2067" s="77"/>
      <c r="AP2067" s="77"/>
      <c r="AQ2067" s="77"/>
      <c r="AR2067" s="77"/>
      <c r="AS2067" s="77"/>
      <c r="AT2067" s="77"/>
      <c r="AU2067" s="77"/>
      <c r="AV2067" s="83" t="str">
        <f>HYPERLINK("https://pbs.twimg.com/profile_images/1685831655976501248/p4Yj-D92_normal.jpg")</f>
        <v>https://pbs.twimg.com/profile_images/1685831655976501248/p4Yj-D92_normal.jpg</v>
      </c>
      <c r="AW2067" s="80" t="s">
        <v>17908</v>
      </c>
      <c r="AX2067" s="80" t="s">
        <v>17908</v>
      </c>
      <c r="AY2067" s="77"/>
      <c r="AZ2067" s="80" t="s">
        <v>20380</v>
      </c>
      <c r="BA2067" s="80" t="s">
        <v>20380</v>
      </c>
      <c r="BB2067" s="80" t="s">
        <v>20380</v>
      </c>
      <c r="BC2067" s="80" t="s">
        <v>17908</v>
      </c>
      <c r="BD2067" s="77">
        <v>23408209</v>
      </c>
      <c r="BE2067" s="77"/>
      <c r="BF2067" s="77"/>
      <c r="BG2067" s="77"/>
      <c r="BH2067" s="77"/>
      <c r="BI2067" s="77"/>
    </row>
    <row r="2068" spans="1:61" x14ac:dyDescent="0.25">
      <c r="A2068" s="62" t="s">
        <v>868</v>
      </c>
      <c r="B2068" s="62" t="s">
        <v>868</v>
      </c>
      <c r="C2068" s="63"/>
      <c r="D2068" s="64"/>
      <c r="E2068" s="65"/>
      <c r="F2068" s="66"/>
      <c r="G2068" s="63"/>
      <c r="H2068" s="67"/>
      <c r="I2068" s="68"/>
      <c r="J2068" s="68"/>
      <c r="K2068" s="32"/>
      <c r="L2068" s="75">
        <v>2068</v>
      </c>
      <c r="M2068" s="75"/>
      <c r="N2068" s="70"/>
      <c r="O2068" s="77" t="s">
        <v>179</v>
      </c>
      <c r="P2068" s="79">
        <v>45173.520312499997</v>
      </c>
      <c r="Q2068" s="77" t="s">
        <v>3931</v>
      </c>
      <c r="R2068" s="77">
        <v>0</v>
      </c>
      <c r="S2068" s="77">
        <v>0</v>
      </c>
      <c r="T2068" s="77">
        <v>0</v>
      </c>
      <c r="U2068" s="77">
        <v>0</v>
      </c>
      <c r="V2068" s="77">
        <v>166</v>
      </c>
      <c r="W2068" s="80" t="s">
        <v>7206</v>
      </c>
      <c r="X2068" s="83" t="str">
        <f>HYPERLINK("https://dinheirama.com/mercado-melhora-projecao-para-crescimento-do-pib/")</f>
        <v>https://dinheirama.com/mercado-melhora-projecao-para-crescimento-do-pib/</v>
      </c>
      <c r="Y2068" s="77" t="s">
        <v>8762</v>
      </c>
      <c r="Z2068" s="77"/>
      <c r="AA2068" s="77"/>
      <c r="AB2068" s="77"/>
      <c r="AC2068" s="80" t="s">
        <v>10541</v>
      </c>
      <c r="AD2068" s="77" t="s">
        <v>10617</v>
      </c>
      <c r="AE2068" s="83" t="str">
        <f>HYPERLINK("https://twitter.com/dinheirama/status/1698674583405027581")</f>
        <v>https://twitter.com/dinheirama/status/1698674583405027581</v>
      </c>
      <c r="AF2068" s="79">
        <v>45173.520312499997</v>
      </c>
      <c r="AG2068" s="85">
        <v>45173</v>
      </c>
      <c r="AH2068" s="80" t="s">
        <v>12454</v>
      </c>
      <c r="AI2068" s="77" t="b">
        <v>0</v>
      </c>
      <c r="AJ2068" s="77"/>
      <c r="AK2068" s="77"/>
      <c r="AL2068" s="77"/>
      <c r="AM2068" s="77"/>
      <c r="AN2068" s="77"/>
      <c r="AO2068" s="77"/>
      <c r="AP2068" s="77"/>
      <c r="AQ2068" s="77"/>
      <c r="AR2068" s="77"/>
      <c r="AS2068" s="77"/>
      <c r="AT2068" s="77"/>
      <c r="AU2068" s="77"/>
      <c r="AV2068" s="83" t="str">
        <f>HYPERLINK("https://pbs.twimg.com/profile_images/1685831655976501248/p4Yj-D92_normal.jpg")</f>
        <v>https://pbs.twimg.com/profile_images/1685831655976501248/p4Yj-D92_normal.jpg</v>
      </c>
      <c r="AW2068" s="80" t="s">
        <v>17909</v>
      </c>
      <c r="AX2068" s="80" t="s">
        <v>17909</v>
      </c>
      <c r="AY2068" s="77"/>
      <c r="AZ2068" s="80" t="s">
        <v>20380</v>
      </c>
      <c r="BA2068" s="80" t="s">
        <v>20380</v>
      </c>
      <c r="BB2068" s="80" t="s">
        <v>20380</v>
      </c>
      <c r="BC2068" s="80" t="s">
        <v>17909</v>
      </c>
      <c r="BD2068" s="77">
        <v>23408209</v>
      </c>
      <c r="BE2068" s="77"/>
      <c r="BF2068" s="77"/>
      <c r="BG2068" s="77"/>
      <c r="BH2068" s="77"/>
      <c r="BI2068" s="77"/>
    </row>
    <row r="2069" spans="1:61" x14ac:dyDescent="0.25">
      <c r="A2069" s="62" t="s">
        <v>868</v>
      </c>
      <c r="B2069" s="62" t="s">
        <v>868</v>
      </c>
      <c r="C2069" s="63"/>
      <c r="D2069" s="64"/>
      <c r="E2069" s="65"/>
      <c r="F2069" s="66"/>
      <c r="G2069" s="63"/>
      <c r="H2069" s="67"/>
      <c r="I2069" s="68"/>
      <c r="J2069" s="68"/>
      <c r="K2069" s="32"/>
      <c r="L2069" s="75">
        <v>2069</v>
      </c>
      <c r="M2069" s="75"/>
      <c r="N2069" s="70"/>
      <c r="O2069" s="77" t="s">
        <v>179</v>
      </c>
      <c r="P2069" s="79">
        <v>45171.927094907405</v>
      </c>
      <c r="Q2069" s="77" t="s">
        <v>3932</v>
      </c>
      <c r="R2069" s="77">
        <v>0</v>
      </c>
      <c r="S2069" s="77">
        <v>1</v>
      </c>
      <c r="T2069" s="77">
        <v>0</v>
      </c>
      <c r="U2069" s="77">
        <v>0</v>
      </c>
      <c r="V2069" s="77">
        <v>316</v>
      </c>
      <c r="W2069" s="80" t="s">
        <v>7207</v>
      </c>
      <c r="X2069" s="83" t="str">
        <f>HYPERLINK("https://dinheirama.com/haddad-diz-que-economia-do-2o-semestre-depende-do-congresso-e-bc-deve-entender-recado-da-fazenda/")</f>
        <v>https://dinheirama.com/haddad-diz-que-economia-do-2o-semestre-depende-do-congresso-e-bc-deve-entender-recado-da-fazenda/</v>
      </c>
      <c r="Y2069" s="77" t="s">
        <v>8762</v>
      </c>
      <c r="Z2069" s="77"/>
      <c r="AA2069" s="77"/>
      <c r="AB2069" s="77"/>
      <c r="AC2069" s="80" t="s">
        <v>10541</v>
      </c>
      <c r="AD2069" s="77" t="s">
        <v>10617</v>
      </c>
      <c r="AE2069" s="83" t="str">
        <f>HYPERLINK("https://twitter.com/dinheirama/status/1698097223915999313")</f>
        <v>https://twitter.com/dinheirama/status/1698097223915999313</v>
      </c>
      <c r="AF2069" s="79">
        <v>45171.927094907405</v>
      </c>
      <c r="AG2069" s="85">
        <v>45171</v>
      </c>
      <c r="AH2069" s="80" t="s">
        <v>12455</v>
      </c>
      <c r="AI2069" s="77" t="b">
        <v>0</v>
      </c>
      <c r="AJ2069" s="77"/>
      <c r="AK2069" s="77"/>
      <c r="AL2069" s="77"/>
      <c r="AM2069" s="77"/>
      <c r="AN2069" s="77"/>
      <c r="AO2069" s="77"/>
      <c r="AP2069" s="77"/>
      <c r="AQ2069" s="77"/>
      <c r="AR2069" s="77"/>
      <c r="AS2069" s="77"/>
      <c r="AT2069" s="77"/>
      <c r="AU2069" s="77"/>
      <c r="AV2069" s="83" t="str">
        <f>HYPERLINK("https://pbs.twimg.com/profile_images/1685831655976501248/p4Yj-D92_normal.jpg")</f>
        <v>https://pbs.twimg.com/profile_images/1685831655976501248/p4Yj-D92_normal.jpg</v>
      </c>
      <c r="AW2069" s="80" t="s">
        <v>17910</v>
      </c>
      <c r="AX2069" s="80" t="s">
        <v>17910</v>
      </c>
      <c r="AY2069" s="77"/>
      <c r="AZ2069" s="80" t="s">
        <v>20380</v>
      </c>
      <c r="BA2069" s="80" t="s">
        <v>20380</v>
      </c>
      <c r="BB2069" s="80" t="s">
        <v>20380</v>
      </c>
      <c r="BC2069" s="80" t="s">
        <v>17910</v>
      </c>
      <c r="BD2069" s="77">
        <v>23408209</v>
      </c>
      <c r="BE2069" s="77"/>
      <c r="BF2069" s="77"/>
      <c r="BG2069" s="77"/>
      <c r="BH2069" s="77"/>
      <c r="BI2069" s="77"/>
    </row>
    <row r="2070" spans="1:61" x14ac:dyDescent="0.25">
      <c r="A2070" s="62" t="s">
        <v>868</v>
      </c>
      <c r="B2070" s="62" t="s">
        <v>868</v>
      </c>
      <c r="C2070" s="63"/>
      <c r="D2070" s="64"/>
      <c r="E2070" s="65"/>
      <c r="F2070" s="66"/>
      <c r="G2070" s="63"/>
      <c r="H2070" s="67"/>
      <c r="I2070" s="68"/>
      <c r="J2070" s="68"/>
      <c r="K2070" s="32"/>
      <c r="L2070" s="75">
        <v>2070</v>
      </c>
      <c r="M2070" s="75"/>
      <c r="N2070" s="70"/>
      <c r="O2070" s="77" t="s">
        <v>179</v>
      </c>
      <c r="P2070" s="79">
        <v>45155.919872685183</v>
      </c>
      <c r="Q2070" s="77" t="s">
        <v>3933</v>
      </c>
      <c r="R2070" s="77">
        <v>1</v>
      </c>
      <c r="S2070" s="77">
        <v>1</v>
      </c>
      <c r="T2070" s="77">
        <v>1</v>
      </c>
      <c r="U2070" s="77">
        <v>0</v>
      </c>
      <c r="V2070" s="77">
        <v>272</v>
      </c>
      <c r="W2070" s="80" t="s">
        <v>7208</v>
      </c>
      <c r="X2070" s="83" t="str">
        <f>HYPERLINK("https://dinheirama.com/conselho-reduz-a-191-taxa-de-juros-para-emprestimo-consignado-de-aposentados-diz-ministro/")</f>
        <v>https://dinheirama.com/conselho-reduz-a-191-taxa-de-juros-para-emprestimo-consignado-de-aposentados-diz-ministro/</v>
      </c>
      <c r="Y2070" s="77" t="s">
        <v>8762</v>
      </c>
      <c r="Z2070" s="77"/>
      <c r="AA2070" s="77"/>
      <c r="AB2070" s="77"/>
      <c r="AC2070" s="80" t="s">
        <v>10541</v>
      </c>
      <c r="AD2070" s="77" t="s">
        <v>10617</v>
      </c>
      <c r="AE2070" s="83" t="str">
        <f>HYPERLINK("https://twitter.com/dinheirama/status/1692296398945808729")</f>
        <v>https://twitter.com/dinheirama/status/1692296398945808729</v>
      </c>
      <c r="AF2070" s="79">
        <v>45155.919872685183</v>
      </c>
      <c r="AG2070" s="85">
        <v>45155</v>
      </c>
      <c r="AH2070" s="80" t="s">
        <v>12456</v>
      </c>
      <c r="AI2070" s="77" t="b">
        <v>0</v>
      </c>
      <c r="AJ2070" s="77"/>
      <c r="AK2070" s="77"/>
      <c r="AL2070" s="77"/>
      <c r="AM2070" s="77"/>
      <c r="AN2070" s="77"/>
      <c r="AO2070" s="77"/>
      <c r="AP2070" s="77"/>
      <c r="AQ2070" s="77"/>
      <c r="AR2070" s="77"/>
      <c r="AS2070" s="77"/>
      <c r="AT2070" s="77"/>
      <c r="AU2070" s="77"/>
      <c r="AV2070" s="83" t="str">
        <f>HYPERLINK("https://pbs.twimg.com/profile_images/1685831655976501248/p4Yj-D92_normal.jpg")</f>
        <v>https://pbs.twimg.com/profile_images/1685831655976501248/p4Yj-D92_normal.jpg</v>
      </c>
      <c r="AW2070" s="80" t="s">
        <v>17911</v>
      </c>
      <c r="AX2070" s="80" t="s">
        <v>17911</v>
      </c>
      <c r="AY2070" s="77"/>
      <c r="AZ2070" s="80" t="s">
        <v>20380</v>
      </c>
      <c r="BA2070" s="80" t="s">
        <v>20380</v>
      </c>
      <c r="BB2070" s="80" t="s">
        <v>20380</v>
      </c>
      <c r="BC2070" s="80" t="s">
        <v>17911</v>
      </c>
      <c r="BD2070" s="77">
        <v>23408209</v>
      </c>
      <c r="BE2070" s="77"/>
      <c r="BF2070" s="77"/>
      <c r="BG2070" s="77"/>
      <c r="BH2070" s="77"/>
      <c r="BI2070" s="77"/>
    </row>
    <row r="2071" spans="1:61" x14ac:dyDescent="0.25">
      <c r="A2071" s="62" t="s">
        <v>868</v>
      </c>
      <c r="B2071" s="62" t="s">
        <v>868</v>
      </c>
      <c r="C2071" s="63"/>
      <c r="D2071" s="64"/>
      <c r="E2071" s="65"/>
      <c r="F2071" s="66"/>
      <c r="G2071" s="63"/>
      <c r="H2071" s="67"/>
      <c r="I2071" s="68"/>
      <c r="J2071" s="68"/>
      <c r="K2071" s="32"/>
      <c r="L2071" s="75">
        <v>2071</v>
      </c>
      <c r="M2071" s="75"/>
      <c r="N2071" s="70"/>
      <c r="O2071" s="77" t="s">
        <v>179</v>
      </c>
      <c r="P2071" s="79">
        <v>45155.88212962963</v>
      </c>
      <c r="Q2071" s="77" t="s">
        <v>3934</v>
      </c>
      <c r="R2071" s="77">
        <v>0</v>
      </c>
      <c r="S2071" s="77">
        <v>0</v>
      </c>
      <c r="T2071" s="77">
        <v>0</v>
      </c>
      <c r="U2071" s="77">
        <v>0</v>
      </c>
      <c r="V2071" s="77">
        <v>218</v>
      </c>
      <c r="W2071" s="80" t="s">
        <v>7209</v>
      </c>
      <c r="X2071" s="83" t="str">
        <f>HYPERLINK("https://dinheirama.com/barra-e-alta-para-bc-fazer-algo-diferente-de-cortes-de-050-ponto-na-selic-diz-campos-neto/")</f>
        <v>https://dinheirama.com/barra-e-alta-para-bc-fazer-algo-diferente-de-cortes-de-050-ponto-na-selic-diz-campos-neto/</v>
      </c>
      <c r="Y2071" s="77" t="s">
        <v>8762</v>
      </c>
      <c r="Z2071" s="77"/>
      <c r="AA2071" s="77"/>
      <c r="AB2071" s="77"/>
      <c r="AC2071" s="80" t="s">
        <v>10541</v>
      </c>
      <c r="AD2071" s="77" t="s">
        <v>10617</v>
      </c>
      <c r="AE2071" s="83" t="str">
        <f>HYPERLINK("https://twitter.com/dinheirama/status/1692282723350548593")</f>
        <v>https://twitter.com/dinheirama/status/1692282723350548593</v>
      </c>
      <c r="AF2071" s="79">
        <v>45155.88212962963</v>
      </c>
      <c r="AG2071" s="85">
        <v>45155</v>
      </c>
      <c r="AH2071" s="80" t="s">
        <v>11763</v>
      </c>
      <c r="AI2071" s="77" t="b">
        <v>0</v>
      </c>
      <c r="AJ2071" s="77"/>
      <c r="AK2071" s="77"/>
      <c r="AL2071" s="77"/>
      <c r="AM2071" s="77"/>
      <c r="AN2071" s="77"/>
      <c r="AO2071" s="77"/>
      <c r="AP2071" s="77"/>
      <c r="AQ2071" s="77"/>
      <c r="AR2071" s="77"/>
      <c r="AS2071" s="77"/>
      <c r="AT2071" s="77"/>
      <c r="AU2071" s="77"/>
      <c r="AV2071" s="83" t="str">
        <f>HYPERLINK("https://pbs.twimg.com/profile_images/1685831655976501248/p4Yj-D92_normal.jpg")</f>
        <v>https://pbs.twimg.com/profile_images/1685831655976501248/p4Yj-D92_normal.jpg</v>
      </c>
      <c r="AW2071" s="80" t="s">
        <v>17912</v>
      </c>
      <c r="AX2071" s="80" t="s">
        <v>17912</v>
      </c>
      <c r="AY2071" s="77"/>
      <c r="AZ2071" s="80" t="s">
        <v>20380</v>
      </c>
      <c r="BA2071" s="80" t="s">
        <v>20380</v>
      </c>
      <c r="BB2071" s="80" t="s">
        <v>20380</v>
      </c>
      <c r="BC2071" s="80" t="s">
        <v>17912</v>
      </c>
      <c r="BD2071" s="77">
        <v>23408209</v>
      </c>
      <c r="BE2071" s="77"/>
      <c r="BF2071" s="77"/>
      <c r="BG2071" s="77"/>
      <c r="BH2071" s="77"/>
      <c r="BI2071" s="77"/>
    </row>
    <row r="2072" spans="1:61" x14ac:dyDescent="0.25">
      <c r="A2072" s="62" t="s">
        <v>868</v>
      </c>
      <c r="B2072" s="62" t="s">
        <v>868</v>
      </c>
      <c r="C2072" s="63"/>
      <c r="D2072" s="64"/>
      <c r="E2072" s="65"/>
      <c r="F2072" s="66"/>
      <c r="G2072" s="63"/>
      <c r="H2072" s="67"/>
      <c r="I2072" s="68"/>
      <c r="J2072" s="68"/>
      <c r="K2072" s="32"/>
      <c r="L2072" s="75">
        <v>2072</v>
      </c>
      <c r="M2072" s="75"/>
      <c r="N2072" s="70"/>
      <c r="O2072" s="77" t="s">
        <v>179</v>
      </c>
      <c r="P2072" s="79">
        <v>45149.578310185185</v>
      </c>
      <c r="Q2072" s="77" t="s">
        <v>3935</v>
      </c>
      <c r="R2072" s="77">
        <v>0</v>
      </c>
      <c r="S2072" s="77">
        <v>0</v>
      </c>
      <c r="T2072" s="77">
        <v>0</v>
      </c>
      <c r="U2072" s="77">
        <v>0</v>
      </c>
      <c r="V2072" s="77">
        <v>159</v>
      </c>
      <c r="W2072" s="80" t="s">
        <v>7210</v>
      </c>
      <c r="X2072" s="83" t="str">
        <f>HYPERLINK("https://dinheirama.com/inflacao-de-servicos-melhorou-em-julho-mas-ainda-preocupa-diz-campos-neto/")</f>
        <v>https://dinheirama.com/inflacao-de-servicos-melhorou-em-julho-mas-ainda-preocupa-diz-campos-neto/</v>
      </c>
      <c r="Y2072" s="77" t="s">
        <v>8762</v>
      </c>
      <c r="Z2072" s="77"/>
      <c r="AA2072" s="77"/>
      <c r="AB2072" s="77"/>
      <c r="AC2072" s="80" t="s">
        <v>10541</v>
      </c>
      <c r="AD2072" s="77" t="s">
        <v>10617</v>
      </c>
      <c r="AE2072" s="83" t="str">
        <f>HYPERLINK("https://twitter.com/dinheirama/status/1689998294133395456")</f>
        <v>https://twitter.com/dinheirama/status/1689998294133395456</v>
      </c>
      <c r="AF2072" s="79">
        <v>45149.578310185185</v>
      </c>
      <c r="AG2072" s="85">
        <v>45149</v>
      </c>
      <c r="AH2072" s="80" t="s">
        <v>12457</v>
      </c>
      <c r="AI2072" s="77" t="b">
        <v>0</v>
      </c>
      <c r="AJ2072" s="77"/>
      <c r="AK2072" s="77"/>
      <c r="AL2072" s="77"/>
      <c r="AM2072" s="77"/>
      <c r="AN2072" s="77"/>
      <c r="AO2072" s="77"/>
      <c r="AP2072" s="77"/>
      <c r="AQ2072" s="77"/>
      <c r="AR2072" s="77"/>
      <c r="AS2072" s="77"/>
      <c r="AT2072" s="77"/>
      <c r="AU2072" s="77"/>
      <c r="AV2072" s="83" t="str">
        <f>HYPERLINK("https://pbs.twimg.com/profile_images/1685831655976501248/p4Yj-D92_normal.jpg")</f>
        <v>https://pbs.twimg.com/profile_images/1685831655976501248/p4Yj-D92_normal.jpg</v>
      </c>
      <c r="AW2072" s="80" t="s">
        <v>17913</v>
      </c>
      <c r="AX2072" s="80" t="s">
        <v>17913</v>
      </c>
      <c r="AY2072" s="77"/>
      <c r="AZ2072" s="80" t="s">
        <v>20380</v>
      </c>
      <c r="BA2072" s="80" t="s">
        <v>20380</v>
      </c>
      <c r="BB2072" s="80" t="s">
        <v>20380</v>
      </c>
      <c r="BC2072" s="80" t="s">
        <v>17913</v>
      </c>
      <c r="BD2072" s="77">
        <v>23408209</v>
      </c>
      <c r="BE2072" s="77"/>
      <c r="BF2072" s="77"/>
      <c r="BG2072" s="77"/>
      <c r="BH2072" s="77"/>
      <c r="BI2072" s="77"/>
    </row>
    <row r="2073" spans="1:61" x14ac:dyDescent="0.25">
      <c r="A2073" s="62" t="s">
        <v>868</v>
      </c>
      <c r="B2073" s="62" t="s">
        <v>868</v>
      </c>
      <c r="C2073" s="63"/>
      <c r="D2073" s="64"/>
      <c r="E2073" s="65"/>
      <c r="F2073" s="66"/>
      <c r="G2073" s="63"/>
      <c r="H2073" s="67"/>
      <c r="I2073" s="68"/>
      <c r="J2073" s="68"/>
      <c r="K2073" s="32"/>
      <c r="L2073" s="75">
        <v>2073</v>
      </c>
      <c r="M2073" s="75"/>
      <c r="N2073" s="70"/>
      <c r="O2073" s="77" t="s">
        <v>179</v>
      </c>
      <c r="P2073" s="79">
        <v>45148.858159722222</v>
      </c>
      <c r="Q2073" s="77" t="s">
        <v>3936</v>
      </c>
      <c r="R2073" s="77">
        <v>0</v>
      </c>
      <c r="S2073" s="77">
        <v>1</v>
      </c>
      <c r="T2073" s="77">
        <v>0</v>
      </c>
      <c r="U2073" s="77">
        <v>0</v>
      </c>
      <c r="V2073" s="77">
        <v>199</v>
      </c>
      <c r="W2073" s="80" t="s">
        <v>7211</v>
      </c>
      <c r="X2073" s="83" t="str">
        <f>HYPERLINK("https://dinheirama.com/dolar-a-vista-fecha-em-baixa-de-045-e-a-r-488-na-venda/")</f>
        <v>https://dinheirama.com/dolar-a-vista-fecha-em-baixa-de-045-e-a-r-488-na-venda/</v>
      </c>
      <c r="Y2073" s="77" t="s">
        <v>8762</v>
      </c>
      <c r="Z2073" s="77"/>
      <c r="AA2073" s="77"/>
      <c r="AB2073" s="77"/>
      <c r="AC2073" s="80" t="s">
        <v>10541</v>
      </c>
      <c r="AD2073" s="77" t="s">
        <v>10617</v>
      </c>
      <c r="AE2073" s="83" t="str">
        <f>HYPERLINK("https://twitter.com/dinheirama/status/1689737321275326464")</f>
        <v>https://twitter.com/dinheirama/status/1689737321275326464</v>
      </c>
      <c r="AF2073" s="79">
        <v>45148.858159722222</v>
      </c>
      <c r="AG2073" s="85">
        <v>45148</v>
      </c>
      <c r="AH2073" s="80" t="s">
        <v>12458</v>
      </c>
      <c r="AI2073" s="77" t="b">
        <v>0</v>
      </c>
      <c r="AJ2073" s="77"/>
      <c r="AK2073" s="77"/>
      <c r="AL2073" s="77"/>
      <c r="AM2073" s="77"/>
      <c r="AN2073" s="77"/>
      <c r="AO2073" s="77"/>
      <c r="AP2073" s="77"/>
      <c r="AQ2073" s="77"/>
      <c r="AR2073" s="77"/>
      <c r="AS2073" s="77"/>
      <c r="AT2073" s="77"/>
      <c r="AU2073" s="77"/>
      <c r="AV2073" s="83" t="str">
        <f>HYPERLINK("https://pbs.twimg.com/profile_images/1685831655976501248/p4Yj-D92_normal.jpg")</f>
        <v>https://pbs.twimg.com/profile_images/1685831655976501248/p4Yj-D92_normal.jpg</v>
      </c>
      <c r="AW2073" s="80" t="s">
        <v>17914</v>
      </c>
      <c r="AX2073" s="80" t="s">
        <v>17914</v>
      </c>
      <c r="AY2073" s="77"/>
      <c r="AZ2073" s="80" t="s">
        <v>20380</v>
      </c>
      <c r="BA2073" s="80" t="s">
        <v>20380</v>
      </c>
      <c r="BB2073" s="80" t="s">
        <v>20380</v>
      </c>
      <c r="BC2073" s="80" t="s">
        <v>17914</v>
      </c>
      <c r="BD2073" s="77">
        <v>23408209</v>
      </c>
      <c r="BE2073" s="77"/>
      <c r="BF2073" s="77"/>
      <c r="BG2073" s="77"/>
      <c r="BH2073" s="77"/>
      <c r="BI2073" s="77"/>
    </row>
    <row r="2074" spans="1:61" x14ac:dyDescent="0.25">
      <c r="A2074" s="62" t="s">
        <v>868</v>
      </c>
      <c r="B2074" s="62" t="s">
        <v>868</v>
      </c>
      <c r="C2074" s="63"/>
      <c r="D2074" s="64"/>
      <c r="E2074" s="65"/>
      <c r="F2074" s="66"/>
      <c r="G2074" s="63"/>
      <c r="H2074" s="67"/>
      <c r="I2074" s="68"/>
      <c r="J2074" s="68"/>
      <c r="K2074" s="32"/>
      <c r="L2074" s="75">
        <v>2074</v>
      </c>
      <c r="M2074" s="75"/>
      <c r="N2074" s="70"/>
      <c r="O2074" s="77" t="s">
        <v>179</v>
      </c>
      <c r="P2074" s="79">
        <v>45140.738935185182</v>
      </c>
      <c r="Q2074" s="77" t="s">
        <v>3937</v>
      </c>
      <c r="R2074" s="77">
        <v>0</v>
      </c>
      <c r="S2074" s="77">
        <v>0</v>
      </c>
      <c r="T2074" s="77">
        <v>0</v>
      </c>
      <c r="U2074" s="77">
        <v>0</v>
      </c>
      <c r="V2074" s="77">
        <v>207</v>
      </c>
      <c r="W2074" s="80" t="s">
        <v>7212</v>
      </c>
      <c r="X2074" s="83" t="str">
        <f>HYPERLINK("https://dinheirama.com/bc-campos-neto-sugere-autonomia-administrativa-e-financeira/")</f>
        <v>https://dinheirama.com/bc-campos-neto-sugere-autonomia-administrativa-e-financeira/</v>
      </c>
      <c r="Y2074" s="77" t="s">
        <v>8762</v>
      </c>
      <c r="Z2074" s="77"/>
      <c r="AA2074" s="77"/>
      <c r="AB2074" s="77"/>
      <c r="AC2074" s="80" t="s">
        <v>10541</v>
      </c>
      <c r="AD2074" s="77" t="s">
        <v>10617</v>
      </c>
      <c r="AE2074" s="83" t="str">
        <f>HYPERLINK("https://twitter.com/dinheirama/status/1686795010409197574")</f>
        <v>https://twitter.com/dinheirama/status/1686795010409197574</v>
      </c>
      <c r="AF2074" s="79">
        <v>45140.738935185182</v>
      </c>
      <c r="AG2074" s="85">
        <v>45140</v>
      </c>
      <c r="AH2074" s="80" t="s">
        <v>12459</v>
      </c>
      <c r="AI2074" s="77" t="b">
        <v>0</v>
      </c>
      <c r="AJ2074" s="77"/>
      <c r="AK2074" s="77"/>
      <c r="AL2074" s="77"/>
      <c r="AM2074" s="77"/>
      <c r="AN2074" s="77"/>
      <c r="AO2074" s="77"/>
      <c r="AP2074" s="77"/>
      <c r="AQ2074" s="77"/>
      <c r="AR2074" s="77"/>
      <c r="AS2074" s="77"/>
      <c r="AT2074" s="77"/>
      <c r="AU2074" s="77"/>
      <c r="AV2074" s="83" t="str">
        <f>HYPERLINK("https://pbs.twimg.com/profile_images/1685831655976501248/p4Yj-D92_normal.jpg")</f>
        <v>https://pbs.twimg.com/profile_images/1685831655976501248/p4Yj-D92_normal.jpg</v>
      </c>
      <c r="AW2074" s="80" t="s">
        <v>17915</v>
      </c>
      <c r="AX2074" s="80" t="s">
        <v>17915</v>
      </c>
      <c r="AY2074" s="77"/>
      <c r="AZ2074" s="80" t="s">
        <v>20380</v>
      </c>
      <c r="BA2074" s="80" t="s">
        <v>20380</v>
      </c>
      <c r="BB2074" s="80" t="s">
        <v>20380</v>
      </c>
      <c r="BC2074" s="80" t="s">
        <v>17915</v>
      </c>
      <c r="BD2074" s="77">
        <v>23408209</v>
      </c>
      <c r="BE2074" s="77"/>
      <c r="BF2074" s="77"/>
      <c r="BG2074" s="77"/>
      <c r="BH2074" s="77"/>
      <c r="BI2074" s="77"/>
    </row>
    <row r="2075" spans="1:61" x14ac:dyDescent="0.25">
      <c r="A2075" s="62" t="s">
        <v>868</v>
      </c>
      <c r="B2075" s="62" t="s">
        <v>868</v>
      </c>
      <c r="C2075" s="63"/>
      <c r="D2075" s="64"/>
      <c r="E2075" s="65"/>
      <c r="F2075" s="66"/>
      <c r="G2075" s="63"/>
      <c r="H2075" s="67"/>
      <c r="I2075" s="68"/>
      <c r="J2075" s="68"/>
      <c r="K2075" s="32"/>
      <c r="L2075" s="75">
        <v>2075</v>
      </c>
      <c r="M2075" s="75"/>
      <c r="N2075" s="70"/>
      <c r="O2075" s="77" t="s">
        <v>179</v>
      </c>
      <c r="P2075" s="79">
        <v>45140.623229166667</v>
      </c>
      <c r="Q2075" s="77" t="s">
        <v>3938</v>
      </c>
      <c r="R2075" s="77">
        <v>0</v>
      </c>
      <c r="S2075" s="77">
        <v>0</v>
      </c>
      <c r="T2075" s="77">
        <v>0</v>
      </c>
      <c r="U2075" s="77">
        <v>0</v>
      </c>
      <c r="V2075" s="77">
        <v>237</v>
      </c>
      <c r="W2075" s="80" t="s">
        <v>7213</v>
      </c>
      <c r="X2075" s="83" t="str">
        <f>HYPERLINK("https://dinheirama.com/lula-diz-que-campos-neto-nao-entende-de-brasil-e-nivel-da-selic-nao-tem-justificativa/")</f>
        <v>https://dinheirama.com/lula-diz-que-campos-neto-nao-entende-de-brasil-e-nivel-da-selic-nao-tem-justificativa/</v>
      </c>
      <c r="Y2075" s="77" t="s">
        <v>8762</v>
      </c>
      <c r="Z2075" s="77"/>
      <c r="AA2075" s="77"/>
      <c r="AB2075" s="77"/>
      <c r="AC2075" s="80" t="s">
        <v>10541</v>
      </c>
      <c r="AD2075" s="77" t="s">
        <v>10617</v>
      </c>
      <c r="AE2075" s="83" t="str">
        <f>HYPERLINK("https://twitter.com/dinheirama/status/1686753082330251265")</f>
        <v>https://twitter.com/dinheirama/status/1686753082330251265</v>
      </c>
      <c r="AF2075" s="79">
        <v>45140.623229166667</v>
      </c>
      <c r="AG2075" s="85">
        <v>45140</v>
      </c>
      <c r="AH2075" s="80" t="s">
        <v>12460</v>
      </c>
      <c r="AI2075" s="77" t="b">
        <v>0</v>
      </c>
      <c r="AJ2075" s="77"/>
      <c r="AK2075" s="77"/>
      <c r="AL2075" s="77"/>
      <c r="AM2075" s="77"/>
      <c r="AN2075" s="77"/>
      <c r="AO2075" s="77"/>
      <c r="AP2075" s="77"/>
      <c r="AQ2075" s="77"/>
      <c r="AR2075" s="77"/>
      <c r="AS2075" s="77"/>
      <c r="AT2075" s="77"/>
      <c r="AU2075" s="77"/>
      <c r="AV2075" s="83" t="str">
        <f>HYPERLINK("https://pbs.twimg.com/profile_images/1685831655976501248/p4Yj-D92_normal.jpg")</f>
        <v>https://pbs.twimg.com/profile_images/1685831655976501248/p4Yj-D92_normal.jpg</v>
      </c>
      <c r="AW2075" s="80" t="s">
        <v>17916</v>
      </c>
      <c r="AX2075" s="80" t="s">
        <v>17916</v>
      </c>
      <c r="AY2075" s="77"/>
      <c r="AZ2075" s="80" t="s">
        <v>20380</v>
      </c>
      <c r="BA2075" s="80" t="s">
        <v>20380</v>
      </c>
      <c r="BB2075" s="80" t="s">
        <v>20380</v>
      </c>
      <c r="BC2075" s="80" t="s">
        <v>17916</v>
      </c>
      <c r="BD2075" s="77">
        <v>23408209</v>
      </c>
      <c r="BE2075" s="77"/>
      <c r="BF2075" s="77"/>
      <c r="BG2075" s="77"/>
      <c r="BH2075" s="77"/>
      <c r="BI2075" s="77"/>
    </row>
    <row r="2076" spans="1:61" x14ac:dyDescent="0.25">
      <c r="A2076" s="62" t="s">
        <v>868</v>
      </c>
      <c r="B2076" s="62" t="s">
        <v>868</v>
      </c>
      <c r="C2076" s="63"/>
      <c r="D2076" s="64"/>
      <c r="E2076" s="65"/>
      <c r="F2076" s="66"/>
      <c r="G2076" s="63"/>
      <c r="H2076" s="67"/>
      <c r="I2076" s="68"/>
      <c r="J2076" s="68"/>
      <c r="K2076" s="32"/>
      <c r="L2076" s="75">
        <v>2076</v>
      </c>
      <c r="M2076" s="75"/>
      <c r="N2076" s="70"/>
      <c r="O2076" s="77" t="s">
        <v>179</v>
      </c>
      <c r="P2076" s="79">
        <v>45196.525659722225</v>
      </c>
      <c r="Q2076" s="77" t="s">
        <v>3939</v>
      </c>
      <c r="R2076" s="77">
        <v>0</v>
      </c>
      <c r="S2076" s="77">
        <v>0</v>
      </c>
      <c r="T2076" s="77">
        <v>0</v>
      </c>
      <c r="U2076" s="77">
        <v>0</v>
      </c>
      <c r="V2076" s="77">
        <v>144</v>
      </c>
      <c r="W2076" s="80" t="s">
        <v>6131</v>
      </c>
      <c r="X2076" s="83" t="str">
        <f>HYPERLINK("https://dinheirama.com/concessao-de-emprestimos-no-brasil-sobe-94-em-agosto/")</f>
        <v>https://dinheirama.com/concessao-de-emprestimos-no-brasil-sobe-94-em-agosto/</v>
      </c>
      <c r="Y2076" s="77" t="s">
        <v>8762</v>
      </c>
      <c r="Z2076" s="77"/>
      <c r="AA2076" s="77" t="s">
        <v>9607</v>
      </c>
      <c r="AB2076" s="77" t="s">
        <v>10535</v>
      </c>
      <c r="AC2076" s="80" t="s">
        <v>10541</v>
      </c>
      <c r="AD2076" s="77" t="s">
        <v>10617</v>
      </c>
      <c r="AE2076" s="83" t="str">
        <f>HYPERLINK("https://twitter.com/dinheirama/status/1707011441427964374")</f>
        <v>https://twitter.com/dinheirama/status/1707011441427964374</v>
      </c>
      <c r="AF2076" s="79">
        <v>45196.525659722225</v>
      </c>
      <c r="AG2076" s="85">
        <v>45196</v>
      </c>
      <c r="AH2076" s="80" t="s">
        <v>12461</v>
      </c>
      <c r="AI2076" s="77" t="b">
        <v>0</v>
      </c>
      <c r="AJ2076" s="77"/>
      <c r="AK2076" s="77"/>
      <c r="AL2076" s="77"/>
      <c r="AM2076" s="77"/>
      <c r="AN2076" s="77"/>
      <c r="AO2076" s="77"/>
      <c r="AP2076" s="77"/>
      <c r="AQ2076" s="77" t="s">
        <v>15089</v>
      </c>
      <c r="AR2076" s="77"/>
      <c r="AS2076" s="77"/>
      <c r="AT2076" s="77"/>
      <c r="AU2076" s="77"/>
      <c r="AV2076" s="83" t="str">
        <f>HYPERLINK("https://pbs.twimg.com/media/F7CFy55WgAA3_I2.jpg")</f>
        <v>https://pbs.twimg.com/media/F7CFy55WgAA3_I2.jpg</v>
      </c>
      <c r="AW2076" s="80" t="s">
        <v>17917</v>
      </c>
      <c r="AX2076" s="80" t="s">
        <v>17917</v>
      </c>
      <c r="AY2076" s="77"/>
      <c r="AZ2076" s="80" t="s">
        <v>20380</v>
      </c>
      <c r="BA2076" s="80" t="s">
        <v>20380</v>
      </c>
      <c r="BB2076" s="80" t="s">
        <v>20380</v>
      </c>
      <c r="BC2076" s="80" t="s">
        <v>17917</v>
      </c>
      <c r="BD2076" s="77">
        <v>23408209</v>
      </c>
      <c r="BE2076" s="77"/>
      <c r="BF2076" s="77"/>
      <c r="BG2076" s="77"/>
      <c r="BH2076" s="77"/>
      <c r="BI2076" s="77"/>
    </row>
    <row r="2077" spans="1:61" x14ac:dyDescent="0.25">
      <c r="A2077" s="62" t="s">
        <v>868</v>
      </c>
      <c r="B2077" s="62" t="s">
        <v>868</v>
      </c>
      <c r="C2077" s="63"/>
      <c r="D2077" s="64"/>
      <c r="E2077" s="65"/>
      <c r="F2077" s="66"/>
      <c r="G2077" s="63"/>
      <c r="H2077" s="67"/>
      <c r="I2077" s="68"/>
      <c r="J2077" s="68"/>
      <c r="K2077" s="32"/>
      <c r="L2077" s="75">
        <v>2077</v>
      </c>
      <c r="M2077" s="75"/>
      <c r="N2077" s="70"/>
      <c r="O2077" s="77" t="s">
        <v>179</v>
      </c>
      <c r="P2077" s="79">
        <v>45190.952314814815</v>
      </c>
      <c r="Q2077" s="77" t="s">
        <v>3940</v>
      </c>
      <c r="R2077" s="77">
        <v>0</v>
      </c>
      <c r="S2077" s="77">
        <v>0</v>
      </c>
      <c r="T2077" s="77">
        <v>0</v>
      </c>
      <c r="U2077" s="77">
        <v>0</v>
      </c>
      <c r="V2077" s="77">
        <v>246</v>
      </c>
      <c r="W2077" s="80" t="s">
        <v>7214</v>
      </c>
      <c r="X2077" s="83" t="str">
        <f>HYPERLINK("https://dinheirama.com/perseguir-meta-fiscal-demonstra-seriedade-do-pais-com-contas-publicas-diz-haddad/")</f>
        <v>https://dinheirama.com/perseguir-meta-fiscal-demonstra-seriedade-do-pais-com-contas-publicas-diz-haddad/</v>
      </c>
      <c r="Y2077" s="77" t="s">
        <v>8762</v>
      </c>
      <c r="Z2077" s="77"/>
      <c r="AA2077" s="77"/>
      <c r="AB2077" s="77"/>
      <c r="AC2077" s="80" t="s">
        <v>10541</v>
      </c>
      <c r="AD2077" s="77" t="s">
        <v>10617</v>
      </c>
      <c r="AE2077" s="83" t="str">
        <f>HYPERLINK("https://twitter.com/dinheirama/status/1704991729215029635")</f>
        <v>https://twitter.com/dinheirama/status/1704991729215029635</v>
      </c>
      <c r="AF2077" s="79">
        <v>45190.952314814815</v>
      </c>
      <c r="AG2077" s="85">
        <v>45190</v>
      </c>
      <c r="AH2077" s="80" t="s">
        <v>12462</v>
      </c>
      <c r="AI2077" s="77" t="b">
        <v>0</v>
      </c>
      <c r="AJ2077" s="77"/>
      <c r="AK2077" s="77"/>
      <c r="AL2077" s="77"/>
      <c r="AM2077" s="77"/>
      <c r="AN2077" s="77"/>
      <c r="AO2077" s="77"/>
      <c r="AP2077" s="77"/>
      <c r="AQ2077" s="77"/>
      <c r="AR2077" s="77"/>
      <c r="AS2077" s="77"/>
      <c r="AT2077" s="77"/>
      <c r="AU2077" s="77"/>
      <c r="AV2077" s="83" t="str">
        <f>HYPERLINK("https://pbs.twimg.com/profile_images/1685831655976501248/p4Yj-D92_normal.jpg")</f>
        <v>https://pbs.twimg.com/profile_images/1685831655976501248/p4Yj-D92_normal.jpg</v>
      </c>
      <c r="AW2077" s="80" t="s">
        <v>17918</v>
      </c>
      <c r="AX2077" s="80" t="s">
        <v>17918</v>
      </c>
      <c r="AY2077" s="77"/>
      <c r="AZ2077" s="80" t="s">
        <v>20380</v>
      </c>
      <c r="BA2077" s="80" t="s">
        <v>20380</v>
      </c>
      <c r="BB2077" s="80" t="s">
        <v>20380</v>
      </c>
      <c r="BC2077" s="80" t="s">
        <v>17918</v>
      </c>
      <c r="BD2077" s="77">
        <v>23408209</v>
      </c>
      <c r="BE2077" s="77"/>
      <c r="BF2077" s="77"/>
      <c r="BG2077" s="77"/>
      <c r="BH2077" s="77"/>
      <c r="BI2077" s="77"/>
    </row>
    <row r="2078" spans="1:61" x14ac:dyDescent="0.25">
      <c r="A2078" s="62" t="s">
        <v>868</v>
      </c>
      <c r="B2078" s="62" t="s">
        <v>868</v>
      </c>
      <c r="C2078" s="63"/>
      <c r="D2078" s="64"/>
      <c r="E2078" s="65"/>
      <c r="F2078" s="66"/>
      <c r="G2078" s="63"/>
      <c r="H2078" s="67"/>
      <c r="I2078" s="68"/>
      <c r="J2078" s="68"/>
      <c r="K2078" s="32"/>
      <c r="L2078" s="75">
        <v>2078</v>
      </c>
      <c r="M2078" s="75"/>
      <c r="N2078" s="70"/>
      <c r="O2078" s="77" t="s">
        <v>179</v>
      </c>
      <c r="P2078" s="79">
        <v>45175.813483796293</v>
      </c>
      <c r="Q2078" s="77" t="s">
        <v>3941</v>
      </c>
      <c r="R2078" s="77">
        <v>0</v>
      </c>
      <c r="S2078" s="77">
        <v>1</v>
      </c>
      <c r="T2078" s="77">
        <v>0</v>
      </c>
      <c r="U2078" s="77">
        <v>0</v>
      </c>
      <c r="V2078" s="77">
        <v>291</v>
      </c>
      <c r="W2078" s="80" t="s">
        <v>7215</v>
      </c>
      <c r="X2078" s="83" t="str">
        <f>HYPERLINK("https://dinheirama.com/nupay-do-nubank-tem-aval-do-banco-central-para-operar-como-instituicao-de-pagamento/")</f>
        <v>https://dinheirama.com/nupay-do-nubank-tem-aval-do-banco-central-para-operar-como-instituicao-de-pagamento/</v>
      </c>
      <c r="Y2078" s="77" t="s">
        <v>8762</v>
      </c>
      <c r="Z2078" s="77"/>
      <c r="AA2078" s="77"/>
      <c r="AB2078" s="77"/>
      <c r="AC2078" s="80" t="s">
        <v>10541</v>
      </c>
      <c r="AD2078" s="77" t="s">
        <v>10617</v>
      </c>
      <c r="AE2078" s="83" t="str">
        <f>HYPERLINK("https://twitter.com/dinheirama/status/1699505601540165865")</f>
        <v>https://twitter.com/dinheirama/status/1699505601540165865</v>
      </c>
      <c r="AF2078" s="79">
        <v>45175.813483796293</v>
      </c>
      <c r="AG2078" s="85">
        <v>45175</v>
      </c>
      <c r="AH2078" s="80" t="s">
        <v>12463</v>
      </c>
      <c r="AI2078" s="77" t="b">
        <v>0</v>
      </c>
      <c r="AJ2078" s="77"/>
      <c r="AK2078" s="77"/>
      <c r="AL2078" s="77"/>
      <c r="AM2078" s="77"/>
      <c r="AN2078" s="77"/>
      <c r="AO2078" s="77"/>
      <c r="AP2078" s="77"/>
      <c r="AQ2078" s="77"/>
      <c r="AR2078" s="77"/>
      <c r="AS2078" s="77"/>
      <c r="AT2078" s="77"/>
      <c r="AU2078" s="77"/>
      <c r="AV2078" s="83" t="str">
        <f>HYPERLINK("https://pbs.twimg.com/profile_images/1685831655976501248/p4Yj-D92_normal.jpg")</f>
        <v>https://pbs.twimg.com/profile_images/1685831655976501248/p4Yj-D92_normal.jpg</v>
      </c>
      <c r="AW2078" s="80" t="s">
        <v>17919</v>
      </c>
      <c r="AX2078" s="80" t="s">
        <v>17919</v>
      </c>
      <c r="AY2078" s="77"/>
      <c r="AZ2078" s="80" t="s">
        <v>20380</v>
      </c>
      <c r="BA2078" s="80" t="s">
        <v>20380</v>
      </c>
      <c r="BB2078" s="80" t="s">
        <v>20380</v>
      </c>
      <c r="BC2078" s="80" t="s">
        <v>17919</v>
      </c>
      <c r="BD2078" s="77">
        <v>23408209</v>
      </c>
      <c r="BE2078" s="77"/>
      <c r="BF2078" s="77"/>
      <c r="BG2078" s="77"/>
      <c r="BH2078" s="77"/>
      <c r="BI2078" s="77"/>
    </row>
    <row r="2079" spans="1:61" x14ac:dyDescent="0.25">
      <c r="A2079" s="62" t="s">
        <v>868</v>
      </c>
      <c r="B2079" s="62" t="s">
        <v>868</v>
      </c>
      <c r="C2079" s="63"/>
      <c r="D2079" s="64"/>
      <c r="E2079" s="65"/>
      <c r="F2079" s="66"/>
      <c r="G2079" s="63"/>
      <c r="H2079" s="67"/>
      <c r="I2079" s="68"/>
      <c r="J2079" s="68"/>
      <c r="K2079" s="32"/>
      <c r="L2079" s="75">
        <v>2079</v>
      </c>
      <c r="M2079" s="75"/>
      <c r="N2079" s="70"/>
      <c r="O2079" s="77" t="s">
        <v>179</v>
      </c>
      <c r="P2079" s="79">
        <v>45166.828229166669</v>
      </c>
      <c r="Q2079" s="77" t="s">
        <v>3942</v>
      </c>
      <c r="R2079" s="77">
        <v>0</v>
      </c>
      <c r="S2079" s="77">
        <v>0</v>
      </c>
      <c r="T2079" s="77">
        <v>0</v>
      </c>
      <c r="U2079" s="77">
        <v>0</v>
      </c>
      <c r="V2079" s="77">
        <v>193</v>
      </c>
      <c r="W2079" s="80" t="s">
        <v>7216</v>
      </c>
      <c r="X2079" s="83" t="str">
        <f>HYPERLINK("https://dinheirama.com/parte-da-desancoragem-fiscal-e-explicada-por-necessidade-de-mais-receitas-diz-campos-neto/")</f>
        <v>https://dinheirama.com/parte-da-desancoragem-fiscal-e-explicada-por-necessidade-de-mais-receitas-diz-campos-neto/</v>
      </c>
      <c r="Y2079" s="77" t="s">
        <v>8762</v>
      </c>
      <c r="Z2079" s="77"/>
      <c r="AA2079" s="77"/>
      <c r="AB2079" s="77"/>
      <c r="AC2079" s="80" t="s">
        <v>10541</v>
      </c>
      <c r="AD2079" s="77" t="s">
        <v>10617</v>
      </c>
      <c r="AE2079" s="83" t="str">
        <f>HYPERLINK("https://twitter.com/dinheirama/status/1696249455148728333")</f>
        <v>https://twitter.com/dinheirama/status/1696249455148728333</v>
      </c>
      <c r="AF2079" s="79">
        <v>45166.828229166669</v>
      </c>
      <c r="AG2079" s="85">
        <v>45166</v>
      </c>
      <c r="AH2079" s="80" t="s">
        <v>12464</v>
      </c>
      <c r="AI2079" s="77" t="b">
        <v>0</v>
      </c>
      <c r="AJ2079" s="77"/>
      <c r="AK2079" s="77"/>
      <c r="AL2079" s="77"/>
      <c r="AM2079" s="77"/>
      <c r="AN2079" s="77"/>
      <c r="AO2079" s="77"/>
      <c r="AP2079" s="77"/>
      <c r="AQ2079" s="77"/>
      <c r="AR2079" s="77"/>
      <c r="AS2079" s="77"/>
      <c r="AT2079" s="77"/>
      <c r="AU2079" s="77"/>
      <c r="AV2079" s="83" t="str">
        <f>HYPERLINK("https://pbs.twimg.com/profile_images/1685831655976501248/p4Yj-D92_normal.jpg")</f>
        <v>https://pbs.twimg.com/profile_images/1685831655976501248/p4Yj-D92_normal.jpg</v>
      </c>
      <c r="AW2079" s="80" t="s">
        <v>17920</v>
      </c>
      <c r="AX2079" s="80" t="s">
        <v>17920</v>
      </c>
      <c r="AY2079" s="77"/>
      <c r="AZ2079" s="80" t="s">
        <v>20380</v>
      </c>
      <c r="BA2079" s="80" t="s">
        <v>20380</v>
      </c>
      <c r="BB2079" s="80" t="s">
        <v>20380</v>
      </c>
      <c r="BC2079" s="80" t="s">
        <v>17920</v>
      </c>
      <c r="BD2079" s="77">
        <v>23408209</v>
      </c>
      <c r="BE2079" s="77"/>
      <c r="BF2079" s="77"/>
      <c r="BG2079" s="77"/>
      <c r="BH2079" s="77"/>
      <c r="BI2079" s="77"/>
    </row>
    <row r="2080" spans="1:61" x14ac:dyDescent="0.25">
      <c r="A2080" s="62" t="s">
        <v>868</v>
      </c>
      <c r="B2080" s="62" t="s">
        <v>868</v>
      </c>
      <c r="C2080" s="63"/>
      <c r="D2080" s="64"/>
      <c r="E2080" s="65"/>
      <c r="F2080" s="66"/>
      <c r="G2080" s="63"/>
      <c r="H2080" s="67"/>
      <c r="I2080" s="68"/>
      <c r="J2080" s="68"/>
      <c r="K2080" s="32"/>
      <c r="L2080" s="75">
        <v>2080</v>
      </c>
      <c r="M2080" s="75"/>
      <c r="N2080" s="70"/>
      <c r="O2080" s="77" t="s">
        <v>179</v>
      </c>
      <c r="P2080" s="79">
        <v>45152.802615740744</v>
      </c>
      <c r="Q2080" s="77" t="s">
        <v>3943</v>
      </c>
      <c r="R2080" s="77">
        <v>0</v>
      </c>
      <c r="S2080" s="77">
        <v>1</v>
      </c>
      <c r="T2080" s="77">
        <v>0</v>
      </c>
      <c r="U2080" s="77">
        <v>0</v>
      </c>
      <c r="V2080" s="77">
        <v>241</v>
      </c>
      <c r="W2080" s="80" t="s">
        <v>7217</v>
      </c>
      <c r="X2080" s="83" t="str">
        <f>HYPERLINK("https://dinheirama.com/arrecadacao-despencou-em-julho-e-pais-teria-problema-grave-sem-corte-de-juro-diz-haddad/")</f>
        <v>https://dinheirama.com/arrecadacao-despencou-em-julho-e-pais-teria-problema-grave-sem-corte-de-juro-diz-haddad/</v>
      </c>
      <c r="Y2080" s="77" t="s">
        <v>8762</v>
      </c>
      <c r="Z2080" s="77"/>
      <c r="AA2080" s="77"/>
      <c r="AB2080" s="77"/>
      <c r="AC2080" s="80" t="s">
        <v>10541</v>
      </c>
      <c r="AD2080" s="77" t="s">
        <v>10617</v>
      </c>
      <c r="AE2080" s="83" t="str">
        <f>HYPERLINK("https://twitter.com/dinheirama/status/1691166743190736896")</f>
        <v>https://twitter.com/dinheirama/status/1691166743190736896</v>
      </c>
      <c r="AF2080" s="79">
        <v>45152.802615740744</v>
      </c>
      <c r="AG2080" s="85">
        <v>45152</v>
      </c>
      <c r="AH2080" s="80" t="s">
        <v>12465</v>
      </c>
      <c r="AI2080" s="77" t="b">
        <v>0</v>
      </c>
      <c r="AJ2080" s="77"/>
      <c r="AK2080" s="77"/>
      <c r="AL2080" s="77"/>
      <c r="AM2080" s="77"/>
      <c r="AN2080" s="77"/>
      <c r="AO2080" s="77"/>
      <c r="AP2080" s="77"/>
      <c r="AQ2080" s="77"/>
      <c r="AR2080" s="77"/>
      <c r="AS2080" s="77"/>
      <c r="AT2080" s="77"/>
      <c r="AU2080" s="77"/>
      <c r="AV2080" s="83" t="str">
        <f>HYPERLINK("https://pbs.twimg.com/profile_images/1685831655976501248/p4Yj-D92_normal.jpg")</f>
        <v>https://pbs.twimg.com/profile_images/1685831655976501248/p4Yj-D92_normal.jpg</v>
      </c>
      <c r="AW2080" s="80" t="s">
        <v>17921</v>
      </c>
      <c r="AX2080" s="80" t="s">
        <v>17921</v>
      </c>
      <c r="AY2080" s="77"/>
      <c r="AZ2080" s="80" t="s">
        <v>20380</v>
      </c>
      <c r="BA2080" s="80" t="s">
        <v>20380</v>
      </c>
      <c r="BB2080" s="80" t="s">
        <v>20380</v>
      </c>
      <c r="BC2080" s="80" t="s">
        <v>17921</v>
      </c>
      <c r="BD2080" s="77">
        <v>23408209</v>
      </c>
      <c r="BE2080" s="77"/>
      <c r="BF2080" s="77"/>
      <c r="BG2080" s="77"/>
      <c r="BH2080" s="77"/>
      <c r="BI2080" s="77"/>
    </row>
    <row r="2081" spans="1:61" x14ac:dyDescent="0.25">
      <c r="A2081" s="62" t="s">
        <v>868</v>
      </c>
      <c r="B2081" s="62" t="s">
        <v>868</v>
      </c>
      <c r="C2081" s="63"/>
      <c r="D2081" s="64"/>
      <c r="E2081" s="65"/>
      <c r="F2081" s="66"/>
      <c r="G2081" s="63"/>
      <c r="H2081" s="67"/>
      <c r="I2081" s="68"/>
      <c r="J2081" s="68"/>
      <c r="K2081" s="32"/>
      <c r="L2081" s="75">
        <v>2081</v>
      </c>
      <c r="M2081" s="75"/>
      <c r="N2081" s="70"/>
      <c r="O2081" s="77" t="s">
        <v>179</v>
      </c>
      <c r="P2081" s="79">
        <v>45146.498194444444</v>
      </c>
      <c r="Q2081" s="77" t="s">
        <v>3944</v>
      </c>
      <c r="R2081" s="77">
        <v>0</v>
      </c>
      <c r="S2081" s="77">
        <v>0</v>
      </c>
      <c r="T2081" s="77">
        <v>0</v>
      </c>
      <c r="U2081" s="77">
        <v>0</v>
      </c>
      <c r="V2081" s="77">
        <v>199</v>
      </c>
      <c r="W2081" s="80" t="s">
        <v>6642</v>
      </c>
      <c r="X2081" s="83" t="str">
        <f>HYPERLINK("https://dinheirama.com/bc-diz-ser-pouco-provavel-cortes-mais-fortes-que-05-p-p-na-selic/")</f>
        <v>https://dinheirama.com/bc-diz-ser-pouco-provavel-cortes-mais-fortes-que-05-p-p-na-selic/</v>
      </c>
      <c r="Y2081" s="77" t="s">
        <v>8762</v>
      </c>
      <c r="Z2081" s="77"/>
      <c r="AA2081" s="77"/>
      <c r="AB2081" s="77"/>
      <c r="AC2081" s="80" t="s">
        <v>10541</v>
      </c>
      <c r="AD2081" s="77" t="s">
        <v>10617</v>
      </c>
      <c r="AE2081" s="83" t="str">
        <f>HYPERLINK("https://twitter.com/dinheirama/status/1688882096364720128")</f>
        <v>https://twitter.com/dinheirama/status/1688882096364720128</v>
      </c>
      <c r="AF2081" s="79">
        <v>45146.498194444444</v>
      </c>
      <c r="AG2081" s="85">
        <v>45146</v>
      </c>
      <c r="AH2081" s="80" t="s">
        <v>12466</v>
      </c>
      <c r="AI2081" s="77" t="b">
        <v>0</v>
      </c>
      <c r="AJ2081" s="77"/>
      <c r="AK2081" s="77"/>
      <c r="AL2081" s="77"/>
      <c r="AM2081" s="77"/>
      <c r="AN2081" s="77"/>
      <c r="AO2081" s="77"/>
      <c r="AP2081" s="77"/>
      <c r="AQ2081" s="77"/>
      <c r="AR2081" s="77"/>
      <c r="AS2081" s="77"/>
      <c r="AT2081" s="77"/>
      <c r="AU2081" s="77"/>
      <c r="AV2081" s="83" t="str">
        <f>HYPERLINK("https://pbs.twimg.com/profile_images/1685831655976501248/p4Yj-D92_normal.jpg")</f>
        <v>https://pbs.twimg.com/profile_images/1685831655976501248/p4Yj-D92_normal.jpg</v>
      </c>
      <c r="AW2081" s="80" t="s">
        <v>17922</v>
      </c>
      <c r="AX2081" s="80" t="s">
        <v>17922</v>
      </c>
      <c r="AY2081" s="77"/>
      <c r="AZ2081" s="80" t="s">
        <v>20380</v>
      </c>
      <c r="BA2081" s="80" t="s">
        <v>20380</v>
      </c>
      <c r="BB2081" s="80" t="s">
        <v>20380</v>
      </c>
      <c r="BC2081" s="80" t="s">
        <v>17922</v>
      </c>
      <c r="BD2081" s="77">
        <v>23408209</v>
      </c>
      <c r="BE2081" s="77"/>
      <c r="BF2081" s="77"/>
      <c r="BG2081" s="77"/>
      <c r="BH2081" s="77"/>
      <c r="BI2081" s="77"/>
    </row>
    <row r="2082" spans="1:61" x14ac:dyDescent="0.25">
      <c r="A2082" s="62" t="s">
        <v>868</v>
      </c>
      <c r="B2082" s="62" t="s">
        <v>868</v>
      </c>
      <c r="C2082" s="63"/>
      <c r="D2082" s="64"/>
      <c r="E2082" s="65"/>
      <c r="F2082" s="66"/>
      <c r="G2082" s="63"/>
      <c r="H2082" s="67"/>
      <c r="I2082" s="68"/>
      <c r="J2082" s="68"/>
      <c r="K2082" s="32"/>
      <c r="L2082" s="75">
        <v>2082</v>
      </c>
      <c r="M2082" s="75"/>
      <c r="N2082" s="70"/>
      <c r="O2082" s="77" t="s">
        <v>179</v>
      </c>
      <c r="P2082" s="79">
        <v>45139.525057870371</v>
      </c>
      <c r="Q2082" s="77" t="s">
        <v>3945</v>
      </c>
      <c r="R2082" s="77">
        <v>0</v>
      </c>
      <c r="S2082" s="77">
        <v>0</v>
      </c>
      <c r="T2082" s="77">
        <v>0</v>
      </c>
      <c r="U2082" s="77">
        <v>0</v>
      </c>
      <c r="V2082" s="77">
        <v>213</v>
      </c>
      <c r="W2082" s="80" t="s">
        <v>7218</v>
      </c>
      <c r="X2082" s="83" t="str">
        <f>HYPERLINK("https://dinheirama.com/copom-inicia-quinta-reuniao-do-ano-sob-expectativa-de-queda-de-juros/")</f>
        <v>https://dinheirama.com/copom-inicia-quinta-reuniao-do-ano-sob-expectativa-de-queda-de-juros/</v>
      </c>
      <c r="Y2082" s="77" t="s">
        <v>8762</v>
      </c>
      <c r="Z2082" s="77"/>
      <c r="AA2082" s="77"/>
      <c r="AB2082" s="77"/>
      <c r="AC2082" s="80" t="s">
        <v>10541</v>
      </c>
      <c r="AD2082" s="77" t="s">
        <v>10617</v>
      </c>
      <c r="AE2082" s="83" t="str">
        <f>HYPERLINK("https://twitter.com/dinheirama/status/1686355116880789504")</f>
        <v>https://twitter.com/dinheirama/status/1686355116880789504</v>
      </c>
      <c r="AF2082" s="79">
        <v>45139.525057870371</v>
      </c>
      <c r="AG2082" s="85">
        <v>45139</v>
      </c>
      <c r="AH2082" s="80" t="s">
        <v>12467</v>
      </c>
      <c r="AI2082" s="77" t="b">
        <v>0</v>
      </c>
      <c r="AJ2082" s="77"/>
      <c r="AK2082" s="77"/>
      <c r="AL2082" s="77"/>
      <c r="AM2082" s="77"/>
      <c r="AN2082" s="77"/>
      <c r="AO2082" s="77"/>
      <c r="AP2082" s="77"/>
      <c r="AQ2082" s="77"/>
      <c r="AR2082" s="77"/>
      <c r="AS2082" s="77"/>
      <c r="AT2082" s="77"/>
      <c r="AU2082" s="77"/>
      <c r="AV2082" s="83" t="str">
        <f>HYPERLINK("https://pbs.twimg.com/profile_images/1685831655976501248/p4Yj-D92_normal.jpg")</f>
        <v>https://pbs.twimg.com/profile_images/1685831655976501248/p4Yj-D92_normal.jpg</v>
      </c>
      <c r="AW2082" s="80" t="s">
        <v>17923</v>
      </c>
      <c r="AX2082" s="80" t="s">
        <v>17923</v>
      </c>
      <c r="AY2082" s="77"/>
      <c r="AZ2082" s="80" t="s">
        <v>20380</v>
      </c>
      <c r="BA2082" s="80" t="s">
        <v>20380</v>
      </c>
      <c r="BB2082" s="80" t="s">
        <v>20380</v>
      </c>
      <c r="BC2082" s="80" t="s">
        <v>17923</v>
      </c>
      <c r="BD2082" s="77">
        <v>23408209</v>
      </c>
      <c r="BE2082" s="77"/>
      <c r="BF2082" s="77"/>
      <c r="BG2082" s="77"/>
      <c r="BH2082" s="77"/>
      <c r="BI2082" s="77"/>
    </row>
    <row r="2083" spans="1:61" x14ac:dyDescent="0.25">
      <c r="A2083" s="62" t="s">
        <v>868</v>
      </c>
      <c r="B2083" s="62" t="s">
        <v>868</v>
      </c>
      <c r="C2083" s="63"/>
      <c r="D2083" s="64"/>
      <c r="E2083" s="65"/>
      <c r="F2083" s="66"/>
      <c r="G2083" s="63"/>
      <c r="H2083" s="67"/>
      <c r="I2083" s="68"/>
      <c r="J2083" s="68"/>
      <c r="K2083" s="32"/>
      <c r="L2083" s="75">
        <v>2083</v>
      </c>
      <c r="M2083" s="75"/>
      <c r="N2083" s="70"/>
      <c r="O2083" s="77" t="s">
        <v>179</v>
      </c>
      <c r="P2083" s="79">
        <v>45197.780914351853</v>
      </c>
      <c r="Q2083" s="77" t="s">
        <v>3946</v>
      </c>
      <c r="R2083" s="77">
        <v>0</v>
      </c>
      <c r="S2083" s="77">
        <v>0</v>
      </c>
      <c r="T2083" s="77">
        <v>0</v>
      </c>
      <c r="U2083" s="77">
        <v>0</v>
      </c>
      <c r="V2083" s="77">
        <v>147</v>
      </c>
      <c r="W2083" s="80" t="s">
        <v>7219</v>
      </c>
      <c r="X2083" s="83" t="str">
        <f>HYPERLINK("https://dinheirama.com/bc-quer-buscar-solucao-estrutural-para-rotativo-do-cartao-em-reuniao-com-todos-os-envolvidos-diz-campos-neto/")</f>
        <v>https://dinheirama.com/bc-quer-buscar-solucao-estrutural-para-rotativo-do-cartao-em-reuniao-com-todos-os-envolvidos-diz-campos-neto/</v>
      </c>
      <c r="Y2083" s="77" t="s">
        <v>8762</v>
      </c>
      <c r="Z2083" s="77"/>
      <c r="AA2083" s="77" t="s">
        <v>9608</v>
      </c>
      <c r="AB2083" s="77" t="s">
        <v>10535</v>
      </c>
      <c r="AC2083" s="80" t="s">
        <v>10541</v>
      </c>
      <c r="AD2083" s="77" t="s">
        <v>10617</v>
      </c>
      <c r="AE2083" s="83" t="str">
        <f>HYPERLINK("https://twitter.com/dinheirama/status/1707466332076196211")</f>
        <v>https://twitter.com/dinheirama/status/1707466332076196211</v>
      </c>
      <c r="AF2083" s="79">
        <v>45197.780914351853</v>
      </c>
      <c r="AG2083" s="85">
        <v>45197</v>
      </c>
      <c r="AH2083" s="80" t="s">
        <v>12468</v>
      </c>
      <c r="AI2083" s="77" t="b">
        <v>0</v>
      </c>
      <c r="AJ2083" s="77"/>
      <c r="AK2083" s="77"/>
      <c r="AL2083" s="77"/>
      <c r="AM2083" s="77"/>
      <c r="AN2083" s="77"/>
      <c r="AO2083" s="77"/>
      <c r="AP2083" s="77"/>
      <c r="AQ2083" s="77" t="s">
        <v>15090</v>
      </c>
      <c r="AR2083" s="77"/>
      <c r="AS2083" s="77"/>
      <c r="AT2083" s="77"/>
      <c r="AU2083" s="77"/>
      <c r="AV2083" s="83" t="str">
        <f>HYPERLINK("https://pbs.twimg.com/media/F7IjdmaXwAAbOSE.jpg")</f>
        <v>https://pbs.twimg.com/media/F7IjdmaXwAAbOSE.jpg</v>
      </c>
      <c r="AW2083" s="80" t="s">
        <v>17924</v>
      </c>
      <c r="AX2083" s="80" t="s">
        <v>17924</v>
      </c>
      <c r="AY2083" s="77"/>
      <c r="AZ2083" s="80" t="s">
        <v>20380</v>
      </c>
      <c r="BA2083" s="80" t="s">
        <v>20380</v>
      </c>
      <c r="BB2083" s="80" t="s">
        <v>20380</v>
      </c>
      <c r="BC2083" s="80" t="s">
        <v>17924</v>
      </c>
      <c r="BD2083" s="77">
        <v>23408209</v>
      </c>
      <c r="BE2083" s="77"/>
      <c r="BF2083" s="77"/>
      <c r="BG2083" s="77"/>
      <c r="BH2083" s="77"/>
      <c r="BI2083" s="77"/>
    </row>
    <row r="2084" spans="1:61" x14ac:dyDescent="0.25">
      <c r="A2084" s="62" t="s">
        <v>868</v>
      </c>
      <c r="B2084" s="62" t="s">
        <v>868</v>
      </c>
      <c r="C2084" s="63"/>
      <c r="D2084" s="64"/>
      <c r="E2084" s="65"/>
      <c r="F2084" s="66"/>
      <c r="G2084" s="63"/>
      <c r="H2084" s="67"/>
      <c r="I2084" s="68"/>
      <c r="J2084" s="68"/>
      <c r="K2084" s="32"/>
      <c r="L2084" s="75">
        <v>2084</v>
      </c>
      <c r="M2084" s="75"/>
      <c r="N2084" s="70"/>
      <c r="O2084" s="77" t="s">
        <v>179</v>
      </c>
      <c r="P2084" s="79">
        <v>45196.8124537037</v>
      </c>
      <c r="Q2084" s="77" t="s">
        <v>3947</v>
      </c>
      <c r="R2084" s="77">
        <v>0</v>
      </c>
      <c r="S2084" s="77">
        <v>0</v>
      </c>
      <c r="T2084" s="77">
        <v>0</v>
      </c>
      <c r="U2084" s="77">
        <v>0</v>
      </c>
      <c r="V2084" s="77">
        <v>150</v>
      </c>
      <c r="W2084" s="80" t="s">
        <v>7220</v>
      </c>
      <c r="X2084" s="83" t="str">
        <f>HYPERLINK("https://dinheirama.com/diretor-da-fitch-diz-que-brasil-tem-caminho-longo-para-recuperar-grau-de-investimento/")</f>
        <v>https://dinheirama.com/diretor-da-fitch-diz-que-brasil-tem-caminho-longo-para-recuperar-grau-de-investimento/</v>
      </c>
      <c r="Y2084" s="77" t="s">
        <v>8762</v>
      </c>
      <c r="Z2084" s="77"/>
      <c r="AA2084" s="77" t="s">
        <v>9609</v>
      </c>
      <c r="AB2084" s="77" t="s">
        <v>10535</v>
      </c>
      <c r="AC2084" s="80" t="s">
        <v>10541</v>
      </c>
      <c r="AD2084" s="77" t="s">
        <v>10617</v>
      </c>
      <c r="AE2084" s="83" t="str">
        <f>HYPERLINK("https://twitter.com/dinheirama/status/1707115372271292893")</f>
        <v>https://twitter.com/dinheirama/status/1707115372271292893</v>
      </c>
      <c r="AF2084" s="79">
        <v>45196.8124537037</v>
      </c>
      <c r="AG2084" s="85">
        <v>45196</v>
      </c>
      <c r="AH2084" s="80" t="s">
        <v>12469</v>
      </c>
      <c r="AI2084" s="77" t="b">
        <v>0</v>
      </c>
      <c r="AJ2084" s="77"/>
      <c r="AK2084" s="77"/>
      <c r="AL2084" s="77"/>
      <c r="AM2084" s="77"/>
      <c r="AN2084" s="77"/>
      <c r="AO2084" s="77"/>
      <c r="AP2084" s="77"/>
      <c r="AQ2084" s="77" t="s">
        <v>15091</v>
      </c>
      <c r="AR2084" s="77"/>
      <c r="AS2084" s="77"/>
      <c r="AT2084" s="77"/>
      <c r="AU2084" s="77"/>
      <c r="AV2084" s="83" t="str">
        <f>HYPERLINK("https://pbs.twimg.com/media/F7DkUNOWoAA9QuM.jpg")</f>
        <v>https://pbs.twimg.com/media/F7DkUNOWoAA9QuM.jpg</v>
      </c>
      <c r="AW2084" s="80" t="s">
        <v>17925</v>
      </c>
      <c r="AX2084" s="80" t="s">
        <v>17925</v>
      </c>
      <c r="AY2084" s="77"/>
      <c r="AZ2084" s="80" t="s">
        <v>20380</v>
      </c>
      <c r="BA2084" s="80" t="s">
        <v>20380</v>
      </c>
      <c r="BB2084" s="80" t="s">
        <v>20380</v>
      </c>
      <c r="BC2084" s="80" t="s">
        <v>17925</v>
      </c>
      <c r="BD2084" s="77">
        <v>23408209</v>
      </c>
      <c r="BE2084" s="77"/>
      <c r="BF2084" s="77"/>
      <c r="BG2084" s="77"/>
      <c r="BH2084" s="77"/>
      <c r="BI2084" s="77"/>
    </row>
    <row r="2085" spans="1:61" x14ac:dyDescent="0.25">
      <c r="A2085" s="62" t="s">
        <v>868</v>
      </c>
      <c r="B2085" s="62" t="s">
        <v>868</v>
      </c>
      <c r="C2085" s="63"/>
      <c r="D2085" s="64"/>
      <c r="E2085" s="65"/>
      <c r="F2085" s="66"/>
      <c r="G2085" s="63"/>
      <c r="H2085" s="67"/>
      <c r="I2085" s="68"/>
      <c r="J2085" s="68"/>
      <c r="K2085" s="32"/>
      <c r="L2085" s="75">
        <v>2085</v>
      </c>
      <c r="M2085" s="75"/>
      <c r="N2085" s="70"/>
      <c r="O2085" s="77" t="s">
        <v>179</v>
      </c>
      <c r="P2085" s="79">
        <v>45195.492511574077</v>
      </c>
      <c r="Q2085" s="77" t="s">
        <v>3948</v>
      </c>
      <c r="R2085" s="77">
        <v>0</v>
      </c>
      <c r="S2085" s="77">
        <v>0</v>
      </c>
      <c r="T2085" s="77">
        <v>0</v>
      </c>
      <c r="U2085" s="77">
        <v>0</v>
      </c>
      <c r="V2085" s="77">
        <v>157</v>
      </c>
      <c r="W2085" s="80" t="s">
        <v>5896</v>
      </c>
      <c r="X2085" s="83" t="str">
        <f>HYPERLINK("https://dinheirama.com/bc-se-compromete-com-atuacao-firme-para-reduzir-expectativas-de-inflacao-mostra-ata/")</f>
        <v>https://dinheirama.com/bc-se-compromete-com-atuacao-firme-para-reduzir-expectativas-de-inflacao-mostra-ata/</v>
      </c>
      <c r="Y2085" s="77" t="s">
        <v>8762</v>
      </c>
      <c r="Z2085" s="77"/>
      <c r="AA2085" s="77" t="s">
        <v>9610</v>
      </c>
      <c r="AB2085" s="77" t="s">
        <v>10535</v>
      </c>
      <c r="AC2085" s="80" t="s">
        <v>10541</v>
      </c>
      <c r="AD2085" s="77" t="s">
        <v>10617</v>
      </c>
      <c r="AE2085" s="83" t="str">
        <f>HYPERLINK("https://twitter.com/dinheirama/status/1706637044523426175")</f>
        <v>https://twitter.com/dinheirama/status/1706637044523426175</v>
      </c>
      <c r="AF2085" s="79">
        <v>45195.492511574077</v>
      </c>
      <c r="AG2085" s="85">
        <v>45195</v>
      </c>
      <c r="AH2085" s="80" t="s">
        <v>12470</v>
      </c>
      <c r="AI2085" s="77" t="b">
        <v>0</v>
      </c>
      <c r="AJ2085" s="77"/>
      <c r="AK2085" s="77"/>
      <c r="AL2085" s="77"/>
      <c r="AM2085" s="77"/>
      <c r="AN2085" s="77"/>
      <c r="AO2085" s="77"/>
      <c r="AP2085" s="77"/>
      <c r="AQ2085" s="77" t="s">
        <v>15092</v>
      </c>
      <c r="AR2085" s="77"/>
      <c r="AS2085" s="77"/>
      <c r="AT2085" s="77"/>
      <c r="AU2085" s="77"/>
      <c r="AV2085" s="83" t="str">
        <f>HYPERLINK("https://pbs.twimg.com/media/F68xQzgXUAEBLit.jpg")</f>
        <v>https://pbs.twimg.com/media/F68xQzgXUAEBLit.jpg</v>
      </c>
      <c r="AW2085" s="80" t="s">
        <v>17926</v>
      </c>
      <c r="AX2085" s="80" t="s">
        <v>17926</v>
      </c>
      <c r="AY2085" s="77"/>
      <c r="AZ2085" s="80" t="s">
        <v>20380</v>
      </c>
      <c r="BA2085" s="80" t="s">
        <v>20380</v>
      </c>
      <c r="BB2085" s="80" t="s">
        <v>20380</v>
      </c>
      <c r="BC2085" s="80" t="s">
        <v>17926</v>
      </c>
      <c r="BD2085" s="77">
        <v>23408209</v>
      </c>
      <c r="BE2085" s="77"/>
      <c r="BF2085" s="77"/>
      <c r="BG2085" s="77"/>
      <c r="BH2085" s="77"/>
      <c r="BI2085" s="77"/>
    </row>
    <row r="2086" spans="1:61" x14ac:dyDescent="0.25">
      <c r="A2086" s="62" t="s">
        <v>868</v>
      </c>
      <c r="B2086" s="62" t="s">
        <v>868</v>
      </c>
      <c r="C2086" s="63"/>
      <c r="D2086" s="64"/>
      <c r="E2086" s="65"/>
      <c r="F2086" s="66"/>
      <c r="G2086" s="63"/>
      <c r="H2086" s="67"/>
      <c r="I2086" s="68"/>
      <c r="J2086" s="68"/>
      <c r="K2086" s="32"/>
      <c r="L2086" s="75">
        <v>2086</v>
      </c>
      <c r="M2086" s="75"/>
      <c r="N2086" s="70"/>
      <c r="O2086" s="77" t="s">
        <v>179</v>
      </c>
      <c r="P2086" s="79">
        <v>45181.894444444442</v>
      </c>
      <c r="Q2086" s="77" t="s">
        <v>3949</v>
      </c>
      <c r="R2086" s="77">
        <v>0</v>
      </c>
      <c r="S2086" s="77">
        <v>0</v>
      </c>
      <c r="T2086" s="77">
        <v>0</v>
      </c>
      <c r="U2086" s="77">
        <v>0</v>
      </c>
      <c r="V2086" s="77">
        <v>246</v>
      </c>
      <c r="W2086" s="80" t="s">
        <v>7221</v>
      </c>
      <c r="X2086" s="83" t="str">
        <f>HYPERLINK("https://dinheirama.com/tebet-destaca-confianca-da-equipe-economica-na-meta-de-deficit/")</f>
        <v>https://dinheirama.com/tebet-destaca-confianca-da-equipe-economica-na-meta-de-deficit/</v>
      </c>
      <c r="Y2086" s="77" t="s">
        <v>8762</v>
      </c>
      <c r="Z2086" s="77"/>
      <c r="AA2086" s="77"/>
      <c r="AB2086" s="77"/>
      <c r="AC2086" s="80" t="s">
        <v>10541</v>
      </c>
      <c r="AD2086" s="77" t="s">
        <v>10617</v>
      </c>
      <c r="AE2086" s="83" t="str">
        <f>HYPERLINK("https://twitter.com/dinheirama/status/1701709267756278128")</f>
        <v>https://twitter.com/dinheirama/status/1701709267756278128</v>
      </c>
      <c r="AF2086" s="79">
        <v>45181.894444444442</v>
      </c>
      <c r="AG2086" s="85">
        <v>45181</v>
      </c>
      <c r="AH2086" s="80" t="s">
        <v>12471</v>
      </c>
      <c r="AI2086" s="77" t="b">
        <v>0</v>
      </c>
      <c r="AJ2086" s="77"/>
      <c r="AK2086" s="77"/>
      <c r="AL2086" s="77"/>
      <c r="AM2086" s="77"/>
      <c r="AN2086" s="77"/>
      <c r="AO2086" s="77"/>
      <c r="AP2086" s="77"/>
      <c r="AQ2086" s="77"/>
      <c r="AR2086" s="77"/>
      <c r="AS2086" s="77"/>
      <c r="AT2086" s="77"/>
      <c r="AU2086" s="77"/>
      <c r="AV2086" s="83" t="str">
        <f>HYPERLINK("https://pbs.twimg.com/profile_images/1685831655976501248/p4Yj-D92_normal.jpg")</f>
        <v>https://pbs.twimg.com/profile_images/1685831655976501248/p4Yj-D92_normal.jpg</v>
      </c>
      <c r="AW2086" s="80" t="s">
        <v>17927</v>
      </c>
      <c r="AX2086" s="80" t="s">
        <v>17927</v>
      </c>
      <c r="AY2086" s="77"/>
      <c r="AZ2086" s="80" t="s">
        <v>20380</v>
      </c>
      <c r="BA2086" s="80" t="s">
        <v>20380</v>
      </c>
      <c r="BB2086" s="80" t="s">
        <v>20380</v>
      </c>
      <c r="BC2086" s="80" t="s">
        <v>17927</v>
      </c>
      <c r="BD2086" s="77">
        <v>23408209</v>
      </c>
      <c r="BE2086" s="77"/>
      <c r="BF2086" s="77"/>
      <c r="BG2086" s="77"/>
      <c r="BH2086" s="77"/>
      <c r="BI2086" s="77"/>
    </row>
    <row r="2087" spans="1:61" x14ac:dyDescent="0.25">
      <c r="A2087" s="62" t="s">
        <v>868</v>
      </c>
      <c r="B2087" s="62" t="s">
        <v>868</v>
      </c>
      <c r="C2087" s="63"/>
      <c r="D2087" s="64"/>
      <c r="E2087" s="65"/>
      <c r="F2087" s="66"/>
      <c r="G2087" s="63"/>
      <c r="H2087" s="67"/>
      <c r="I2087" s="68"/>
      <c r="J2087" s="68"/>
      <c r="K2087" s="32"/>
      <c r="L2087" s="75">
        <v>2087</v>
      </c>
      <c r="M2087" s="75"/>
      <c r="N2087" s="70"/>
      <c r="O2087" s="77" t="s">
        <v>179</v>
      </c>
      <c r="P2087" s="79">
        <v>45174.529664351852</v>
      </c>
      <c r="Q2087" s="77" t="s">
        <v>3950</v>
      </c>
      <c r="R2087" s="77">
        <v>0</v>
      </c>
      <c r="S2087" s="77">
        <v>1</v>
      </c>
      <c r="T2087" s="77">
        <v>0</v>
      </c>
      <c r="U2087" s="77">
        <v>0</v>
      </c>
      <c r="V2087" s="77">
        <v>122</v>
      </c>
      <c r="W2087" s="80" t="s">
        <v>5884</v>
      </c>
      <c r="X2087" s="83" t="str">
        <f>HYPERLINK("https://dinheirama.com/campos-neto-diz-ser-importante-politica-monetaria-perseverar-para-evitar-retorno-da-inflacao/")</f>
        <v>https://dinheirama.com/campos-neto-diz-ser-importante-politica-monetaria-perseverar-para-evitar-retorno-da-inflacao/</v>
      </c>
      <c r="Y2087" s="77" t="s">
        <v>8762</v>
      </c>
      <c r="Z2087" s="77"/>
      <c r="AA2087" s="77"/>
      <c r="AB2087" s="77"/>
      <c r="AC2087" s="80" t="s">
        <v>10541</v>
      </c>
      <c r="AD2087" s="77" t="s">
        <v>10617</v>
      </c>
      <c r="AE2087" s="83" t="str">
        <f>HYPERLINK("https://twitter.com/dinheirama/status/1699040362642166088")</f>
        <v>https://twitter.com/dinheirama/status/1699040362642166088</v>
      </c>
      <c r="AF2087" s="79">
        <v>45174.529664351852</v>
      </c>
      <c r="AG2087" s="85">
        <v>45174</v>
      </c>
      <c r="AH2087" s="80" t="s">
        <v>12472</v>
      </c>
      <c r="AI2087" s="77" t="b">
        <v>0</v>
      </c>
      <c r="AJ2087" s="77"/>
      <c r="AK2087" s="77"/>
      <c r="AL2087" s="77"/>
      <c r="AM2087" s="77"/>
      <c r="AN2087" s="77"/>
      <c r="AO2087" s="77"/>
      <c r="AP2087" s="77"/>
      <c r="AQ2087" s="77"/>
      <c r="AR2087" s="77"/>
      <c r="AS2087" s="77"/>
      <c r="AT2087" s="77"/>
      <c r="AU2087" s="77"/>
      <c r="AV2087" s="83" t="str">
        <f>HYPERLINK("https://pbs.twimg.com/profile_images/1685831655976501248/p4Yj-D92_normal.jpg")</f>
        <v>https://pbs.twimg.com/profile_images/1685831655976501248/p4Yj-D92_normal.jpg</v>
      </c>
      <c r="AW2087" s="80" t="s">
        <v>17928</v>
      </c>
      <c r="AX2087" s="80" t="s">
        <v>17928</v>
      </c>
      <c r="AY2087" s="77"/>
      <c r="AZ2087" s="80" t="s">
        <v>20380</v>
      </c>
      <c r="BA2087" s="80" t="s">
        <v>20380</v>
      </c>
      <c r="BB2087" s="80" t="s">
        <v>20380</v>
      </c>
      <c r="BC2087" s="80" t="s">
        <v>17928</v>
      </c>
      <c r="BD2087" s="77">
        <v>23408209</v>
      </c>
      <c r="BE2087" s="77"/>
      <c r="BF2087" s="77"/>
      <c r="BG2087" s="77"/>
      <c r="BH2087" s="77"/>
      <c r="BI2087" s="77"/>
    </row>
    <row r="2088" spans="1:61" x14ac:dyDescent="0.25">
      <c r="A2088" s="62" t="s">
        <v>868</v>
      </c>
      <c r="B2088" s="62" t="s">
        <v>868</v>
      </c>
      <c r="C2088" s="63"/>
      <c r="D2088" s="64"/>
      <c r="E2088" s="65"/>
      <c r="F2088" s="66"/>
      <c r="G2088" s="63"/>
      <c r="H2088" s="67"/>
      <c r="I2088" s="68"/>
      <c r="J2088" s="68"/>
      <c r="K2088" s="32"/>
      <c r="L2088" s="75">
        <v>2088</v>
      </c>
      <c r="M2088" s="75"/>
      <c r="N2088" s="70"/>
      <c r="O2088" s="77" t="s">
        <v>179</v>
      </c>
      <c r="P2088" s="79">
        <v>45173.832777777781</v>
      </c>
      <c r="Q2088" s="77" t="s">
        <v>3951</v>
      </c>
      <c r="R2088" s="77">
        <v>0</v>
      </c>
      <c r="S2088" s="77">
        <v>0</v>
      </c>
      <c r="T2088" s="77">
        <v>0</v>
      </c>
      <c r="U2088" s="77">
        <v>0</v>
      </c>
      <c r="V2088" s="77">
        <v>171</v>
      </c>
      <c r="W2088" s="80" t="s">
        <v>7222</v>
      </c>
      <c r="X2088" s="83" t="str">
        <f>HYPERLINK("https://dinheirama.com/taxas-de-juros-longas-tem-leve-alta-com-fiscal-em-dia-de-liquidez-reduzida-por-feriado-nos-eua/")</f>
        <v>https://dinheirama.com/taxas-de-juros-longas-tem-leve-alta-com-fiscal-em-dia-de-liquidez-reduzida-por-feriado-nos-eua/</v>
      </c>
      <c r="Y2088" s="77" t="s">
        <v>8762</v>
      </c>
      <c r="Z2088" s="77"/>
      <c r="AA2088" s="77"/>
      <c r="AB2088" s="77"/>
      <c r="AC2088" s="80" t="s">
        <v>10541</v>
      </c>
      <c r="AD2088" s="77" t="s">
        <v>10617</v>
      </c>
      <c r="AE2088" s="83" t="str">
        <f>HYPERLINK("https://twitter.com/dinheirama/status/1698787817529176377")</f>
        <v>https://twitter.com/dinheirama/status/1698787817529176377</v>
      </c>
      <c r="AF2088" s="79">
        <v>45173.832777777781</v>
      </c>
      <c r="AG2088" s="85">
        <v>45173</v>
      </c>
      <c r="AH2088" s="80" t="s">
        <v>12473</v>
      </c>
      <c r="AI2088" s="77" t="b">
        <v>0</v>
      </c>
      <c r="AJ2088" s="77"/>
      <c r="AK2088" s="77"/>
      <c r="AL2088" s="77"/>
      <c r="AM2088" s="77"/>
      <c r="AN2088" s="77"/>
      <c r="AO2088" s="77"/>
      <c r="AP2088" s="77"/>
      <c r="AQ2088" s="77"/>
      <c r="AR2088" s="77"/>
      <c r="AS2088" s="77"/>
      <c r="AT2088" s="77"/>
      <c r="AU2088" s="77"/>
      <c r="AV2088" s="83" t="str">
        <f>HYPERLINK("https://pbs.twimg.com/profile_images/1685831655976501248/p4Yj-D92_normal.jpg")</f>
        <v>https://pbs.twimg.com/profile_images/1685831655976501248/p4Yj-D92_normal.jpg</v>
      </c>
      <c r="AW2088" s="80" t="s">
        <v>17929</v>
      </c>
      <c r="AX2088" s="80" t="s">
        <v>17929</v>
      </c>
      <c r="AY2088" s="77"/>
      <c r="AZ2088" s="80" t="s">
        <v>20380</v>
      </c>
      <c r="BA2088" s="80" t="s">
        <v>20380</v>
      </c>
      <c r="BB2088" s="80" t="s">
        <v>20380</v>
      </c>
      <c r="BC2088" s="80" t="s">
        <v>17929</v>
      </c>
      <c r="BD2088" s="77">
        <v>23408209</v>
      </c>
      <c r="BE2088" s="77"/>
      <c r="BF2088" s="77"/>
      <c r="BG2088" s="77"/>
      <c r="BH2088" s="77"/>
      <c r="BI2088" s="77"/>
    </row>
    <row r="2089" spans="1:61" x14ac:dyDescent="0.25">
      <c r="A2089" s="62" t="s">
        <v>868</v>
      </c>
      <c r="B2089" s="62" t="s">
        <v>868</v>
      </c>
      <c r="C2089" s="63"/>
      <c r="D2089" s="64"/>
      <c r="E2089" s="65"/>
      <c r="F2089" s="66"/>
      <c r="G2089" s="63"/>
      <c r="H2089" s="67"/>
      <c r="I2089" s="68"/>
      <c r="J2089" s="68"/>
      <c r="K2089" s="32"/>
      <c r="L2089" s="75">
        <v>2089</v>
      </c>
      <c r="M2089" s="75"/>
      <c r="N2089" s="70"/>
      <c r="O2089" s="77" t="s">
        <v>179</v>
      </c>
      <c r="P2089" s="79">
        <v>45160.541481481479</v>
      </c>
      <c r="Q2089" s="77" t="s">
        <v>3952</v>
      </c>
      <c r="R2089" s="77">
        <v>0</v>
      </c>
      <c r="S2089" s="77">
        <v>0</v>
      </c>
      <c r="T2089" s="77">
        <v>0</v>
      </c>
      <c r="U2089" s="77">
        <v>0</v>
      </c>
      <c r="V2089" s="77">
        <v>158</v>
      </c>
      <c r="W2089" s="80" t="s">
        <v>7223</v>
      </c>
      <c r="X2089" s="83" t="str">
        <f>HYPERLINK("https://dinheirama.com/batalha-contra-inflacao-no-brasil-nao-esta-ganha-diz-campos-neto/")</f>
        <v>https://dinheirama.com/batalha-contra-inflacao-no-brasil-nao-esta-ganha-diz-campos-neto/</v>
      </c>
      <c r="Y2089" s="77" t="s">
        <v>8762</v>
      </c>
      <c r="Z2089" s="77"/>
      <c r="AA2089" s="77"/>
      <c r="AB2089" s="77"/>
      <c r="AC2089" s="80" t="s">
        <v>10541</v>
      </c>
      <c r="AD2089" s="77" t="s">
        <v>10617</v>
      </c>
      <c r="AE2089" s="83" t="str">
        <f>HYPERLINK("https://twitter.com/dinheirama/status/1693971213175910753")</f>
        <v>https://twitter.com/dinheirama/status/1693971213175910753</v>
      </c>
      <c r="AF2089" s="79">
        <v>45160.541481481479</v>
      </c>
      <c r="AG2089" s="85">
        <v>45160</v>
      </c>
      <c r="AH2089" s="80" t="s">
        <v>12474</v>
      </c>
      <c r="AI2089" s="77" t="b">
        <v>0</v>
      </c>
      <c r="AJ2089" s="77"/>
      <c r="AK2089" s="77"/>
      <c r="AL2089" s="77"/>
      <c r="AM2089" s="77"/>
      <c r="AN2089" s="77"/>
      <c r="AO2089" s="77"/>
      <c r="AP2089" s="77"/>
      <c r="AQ2089" s="77"/>
      <c r="AR2089" s="77"/>
      <c r="AS2089" s="77"/>
      <c r="AT2089" s="77"/>
      <c r="AU2089" s="77"/>
      <c r="AV2089" s="83" t="str">
        <f>HYPERLINK("https://pbs.twimg.com/profile_images/1685831655976501248/p4Yj-D92_normal.jpg")</f>
        <v>https://pbs.twimg.com/profile_images/1685831655976501248/p4Yj-D92_normal.jpg</v>
      </c>
      <c r="AW2089" s="80" t="s">
        <v>17930</v>
      </c>
      <c r="AX2089" s="80" t="s">
        <v>17930</v>
      </c>
      <c r="AY2089" s="77"/>
      <c r="AZ2089" s="80" t="s">
        <v>20380</v>
      </c>
      <c r="BA2089" s="80" t="s">
        <v>20380</v>
      </c>
      <c r="BB2089" s="80" t="s">
        <v>20380</v>
      </c>
      <c r="BC2089" s="80" t="s">
        <v>17930</v>
      </c>
      <c r="BD2089" s="77">
        <v>23408209</v>
      </c>
      <c r="BE2089" s="77"/>
      <c r="BF2089" s="77"/>
      <c r="BG2089" s="77"/>
      <c r="BH2089" s="77"/>
      <c r="BI2089" s="77"/>
    </row>
    <row r="2090" spans="1:61" x14ac:dyDescent="0.25">
      <c r="A2090" s="62" t="s">
        <v>868</v>
      </c>
      <c r="B2090" s="62" t="s">
        <v>868</v>
      </c>
      <c r="C2090" s="63"/>
      <c r="D2090" s="64"/>
      <c r="E2090" s="65"/>
      <c r="F2090" s="66"/>
      <c r="G2090" s="63"/>
      <c r="H2090" s="67"/>
      <c r="I2090" s="68"/>
      <c r="J2090" s="68"/>
      <c r="K2090" s="32"/>
      <c r="L2090" s="75">
        <v>2090</v>
      </c>
      <c r="M2090" s="75"/>
      <c r="N2090" s="70"/>
      <c r="O2090" s="77" t="s">
        <v>179</v>
      </c>
      <c r="P2090" s="79">
        <v>45159.930081018516</v>
      </c>
      <c r="Q2090" s="77" t="s">
        <v>3953</v>
      </c>
      <c r="R2090" s="77">
        <v>0</v>
      </c>
      <c r="S2090" s="77">
        <v>2</v>
      </c>
      <c r="T2090" s="77">
        <v>0</v>
      </c>
      <c r="U2090" s="77">
        <v>0</v>
      </c>
      <c r="V2090" s="77">
        <v>326</v>
      </c>
      <c r="W2090" s="80" t="s">
        <v>7186</v>
      </c>
      <c r="X2090" s="83" t="str">
        <f>HYPERLINK("https://dinheirama.com/primeira-fase-do-drex-atrasa-e-so-terminara-em-maio-de-2024/")</f>
        <v>https://dinheirama.com/primeira-fase-do-drex-atrasa-e-so-terminara-em-maio-de-2024/</v>
      </c>
      <c r="Y2090" s="77" t="s">
        <v>8762</v>
      </c>
      <c r="Z2090" s="77"/>
      <c r="AA2090" s="77"/>
      <c r="AB2090" s="77"/>
      <c r="AC2090" s="80" t="s">
        <v>10541</v>
      </c>
      <c r="AD2090" s="77" t="s">
        <v>10617</v>
      </c>
      <c r="AE2090" s="83" t="str">
        <f>HYPERLINK("https://twitter.com/dinheirama/status/1693749650732257343")</f>
        <v>https://twitter.com/dinheirama/status/1693749650732257343</v>
      </c>
      <c r="AF2090" s="79">
        <v>45159.930081018516</v>
      </c>
      <c r="AG2090" s="85">
        <v>45159</v>
      </c>
      <c r="AH2090" s="80" t="s">
        <v>12475</v>
      </c>
      <c r="AI2090" s="77" t="b">
        <v>0</v>
      </c>
      <c r="AJ2090" s="77"/>
      <c r="AK2090" s="77"/>
      <c r="AL2090" s="77"/>
      <c r="AM2090" s="77"/>
      <c r="AN2090" s="77"/>
      <c r="AO2090" s="77"/>
      <c r="AP2090" s="77"/>
      <c r="AQ2090" s="77"/>
      <c r="AR2090" s="77"/>
      <c r="AS2090" s="77"/>
      <c r="AT2090" s="77"/>
      <c r="AU2090" s="77"/>
      <c r="AV2090" s="83" t="str">
        <f>HYPERLINK("https://pbs.twimg.com/profile_images/1685831655976501248/p4Yj-D92_normal.jpg")</f>
        <v>https://pbs.twimg.com/profile_images/1685831655976501248/p4Yj-D92_normal.jpg</v>
      </c>
      <c r="AW2090" s="80" t="s">
        <v>17931</v>
      </c>
      <c r="AX2090" s="80" t="s">
        <v>17931</v>
      </c>
      <c r="AY2090" s="77"/>
      <c r="AZ2090" s="80" t="s">
        <v>20380</v>
      </c>
      <c r="BA2090" s="80" t="s">
        <v>20380</v>
      </c>
      <c r="BB2090" s="80" t="s">
        <v>20380</v>
      </c>
      <c r="BC2090" s="80" t="s">
        <v>17931</v>
      </c>
      <c r="BD2090" s="77">
        <v>23408209</v>
      </c>
      <c r="BE2090" s="77"/>
      <c r="BF2090" s="77"/>
      <c r="BG2090" s="77"/>
      <c r="BH2090" s="77"/>
      <c r="BI2090" s="77"/>
    </row>
    <row r="2091" spans="1:61" x14ac:dyDescent="0.25">
      <c r="A2091" s="62" t="s">
        <v>868</v>
      </c>
      <c r="B2091" s="62" t="s">
        <v>868</v>
      </c>
      <c r="C2091" s="63"/>
      <c r="D2091" s="64"/>
      <c r="E2091" s="65"/>
      <c r="F2091" s="66"/>
      <c r="G2091" s="63"/>
      <c r="H2091" s="67"/>
      <c r="I2091" s="68"/>
      <c r="J2091" s="68"/>
      <c r="K2091" s="32"/>
      <c r="L2091" s="75">
        <v>2091</v>
      </c>
      <c r="M2091" s="75"/>
      <c r="N2091" s="70"/>
      <c r="O2091" s="77" t="s">
        <v>179</v>
      </c>
      <c r="P2091" s="79">
        <v>45141.649386574078</v>
      </c>
      <c r="Q2091" s="77" t="s">
        <v>3954</v>
      </c>
      <c r="R2091" s="77">
        <v>0</v>
      </c>
      <c r="S2091" s="77">
        <v>0</v>
      </c>
      <c r="T2091" s="77">
        <v>0</v>
      </c>
      <c r="U2091" s="77">
        <v>0</v>
      </c>
      <c r="V2091" s="77">
        <v>259</v>
      </c>
      <c r="W2091" s="80" t="s">
        <v>7224</v>
      </c>
      <c r="X2091" s="83" t="str">
        <f>HYPERLINK("https://dinheirama.com/corte-generoso-do-copom-impulsiona-ibovespa-mas-real-tomba-com-menor-diferenca-de-juros-e-temor-de-interferencia-no-banco-central/")</f>
        <v>https://dinheirama.com/corte-generoso-do-copom-impulsiona-ibovespa-mas-real-tomba-com-menor-diferenca-de-juros-e-temor-de-interferencia-no-banco-central/</v>
      </c>
      <c r="Y2091" s="77" t="s">
        <v>8762</v>
      </c>
      <c r="Z2091" s="77"/>
      <c r="AA2091" s="77"/>
      <c r="AB2091" s="77"/>
      <c r="AC2091" s="80" t="s">
        <v>10541</v>
      </c>
      <c r="AD2091" s="77" t="s">
        <v>10617</v>
      </c>
      <c r="AE2091" s="83" t="str">
        <f>HYPERLINK("https://twitter.com/dinheirama/status/1687124949352304640")</f>
        <v>https://twitter.com/dinheirama/status/1687124949352304640</v>
      </c>
      <c r="AF2091" s="79">
        <v>45141.649386574078</v>
      </c>
      <c r="AG2091" s="85">
        <v>45141</v>
      </c>
      <c r="AH2091" s="80" t="s">
        <v>12476</v>
      </c>
      <c r="AI2091" s="77" t="b">
        <v>0</v>
      </c>
      <c r="AJ2091" s="77"/>
      <c r="AK2091" s="77"/>
      <c r="AL2091" s="77"/>
      <c r="AM2091" s="77"/>
      <c r="AN2091" s="77"/>
      <c r="AO2091" s="77"/>
      <c r="AP2091" s="77"/>
      <c r="AQ2091" s="77"/>
      <c r="AR2091" s="77"/>
      <c r="AS2091" s="77"/>
      <c r="AT2091" s="77"/>
      <c r="AU2091" s="77"/>
      <c r="AV2091" s="83" t="str">
        <f>HYPERLINK("https://pbs.twimg.com/profile_images/1685831655976501248/p4Yj-D92_normal.jpg")</f>
        <v>https://pbs.twimg.com/profile_images/1685831655976501248/p4Yj-D92_normal.jpg</v>
      </c>
      <c r="AW2091" s="80" t="s">
        <v>17932</v>
      </c>
      <c r="AX2091" s="80" t="s">
        <v>17932</v>
      </c>
      <c r="AY2091" s="77"/>
      <c r="AZ2091" s="80" t="s">
        <v>20380</v>
      </c>
      <c r="BA2091" s="80" t="s">
        <v>20380</v>
      </c>
      <c r="BB2091" s="80" t="s">
        <v>20380</v>
      </c>
      <c r="BC2091" s="80" t="s">
        <v>17932</v>
      </c>
      <c r="BD2091" s="77">
        <v>23408209</v>
      </c>
      <c r="BE2091" s="77"/>
      <c r="BF2091" s="77"/>
      <c r="BG2091" s="77"/>
      <c r="BH2091" s="77"/>
      <c r="BI2091" s="77"/>
    </row>
    <row r="2092" spans="1:61" x14ac:dyDescent="0.25">
      <c r="A2092" s="62" t="s">
        <v>868</v>
      </c>
      <c r="B2092" s="62" t="s">
        <v>868</v>
      </c>
      <c r="C2092" s="63"/>
      <c r="D2092" s="64"/>
      <c r="E2092" s="65"/>
      <c r="F2092" s="66"/>
      <c r="G2092" s="63"/>
      <c r="H2092" s="67"/>
      <c r="I2092" s="68"/>
      <c r="J2092" s="68"/>
      <c r="K2092" s="32"/>
      <c r="L2092" s="75">
        <v>2092</v>
      </c>
      <c r="M2092" s="75"/>
      <c r="N2092" s="70"/>
      <c r="O2092" s="77" t="s">
        <v>179</v>
      </c>
      <c r="P2092" s="79">
        <v>45141.515208333331</v>
      </c>
      <c r="Q2092" s="77" t="s">
        <v>3955</v>
      </c>
      <c r="R2092" s="77">
        <v>0</v>
      </c>
      <c r="S2092" s="77">
        <v>0</v>
      </c>
      <c r="T2092" s="77">
        <v>0</v>
      </c>
      <c r="U2092" s="77">
        <v>0</v>
      </c>
      <c r="V2092" s="77">
        <v>228</v>
      </c>
      <c r="W2092" s="80" t="s">
        <v>7225</v>
      </c>
      <c r="X2092" s="83" t="str">
        <f>HYPERLINK("https://dinheirama.com/dolar-salta-1-apos-copom-cortar-selic-em-050-ponto/")</f>
        <v>https://dinheirama.com/dolar-salta-1-apos-copom-cortar-selic-em-050-ponto/</v>
      </c>
      <c r="Y2092" s="77" t="s">
        <v>8762</v>
      </c>
      <c r="Z2092" s="77"/>
      <c r="AA2092" s="77"/>
      <c r="AB2092" s="77"/>
      <c r="AC2092" s="80" t="s">
        <v>10541</v>
      </c>
      <c r="AD2092" s="77" t="s">
        <v>10617</v>
      </c>
      <c r="AE2092" s="83" t="str">
        <f>HYPERLINK("https://twitter.com/dinheirama/status/1687076322403655680")</f>
        <v>https://twitter.com/dinheirama/status/1687076322403655680</v>
      </c>
      <c r="AF2092" s="79">
        <v>45141.515208333331</v>
      </c>
      <c r="AG2092" s="85">
        <v>45141</v>
      </c>
      <c r="AH2092" s="80" t="s">
        <v>10862</v>
      </c>
      <c r="AI2092" s="77" t="b">
        <v>0</v>
      </c>
      <c r="AJ2092" s="77"/>
      <c r="AK2092" s="77"/>
      <c r="AL2092" s="77"/>
      <c r="AM2092" s="77"/>
      <c r="AN2092" s="77"/>
      <c r="AO2092" s="77"/>
      <c r="AP2092" s="77"/>
      <c r="AQ2092" s="77"/>
      <c r="AR2092" s="77"/>
      <c r="AS2092" s="77"/>
      <c r="AT2092" s="77"/>
      <c r="AU2092" s="77"/>
      <c r="AV2092" s="83" t="str">
        <f>HYPERLINK("https://pbs.twimg.com/profile_images/1685831655976501248/p4Yj-D92_normal.jpg")</f>
        <v>https://pbs.twimg.com/profile_images/1685831655976501248/p4Yj-D92_normal.jpg</v>
      </c>
      <c r="AW2092" s="80" t="s">
        <v>17933</v>
      </c>
      <c r="AX2092" s="80" t="s">
        <v>17933</v>
      </c>
      <c r="AY2092" s="77"/>
      <c r="AZ2092" s="80" t="s">
        <v>20380</v>
      </c>
      <c r="BA2092" s="80" t="s">
        <v>20380</v>
      </c>
      <c r="BB2092" s="80" t="s">
        <v>20380</v>
      </c>
      <c r="BC2092" s="80" t="s">
        <v>17933</v>
      </c>
      <c r="BD2092" s="77">
        <v>23408209</v>
      </c>
      <c r="BE2092" s="77"/>
      <c r="BF2092" s="77"/>
      <c r="BG2092" s="77"/>
      <c r="BH2092" s="77"/>
      <c r="BI2092" s="77"/>
    </row>
    <row r="2093" spans="1:61" x14ac:dyDescent="0.25">
      <c r="A2093" s="62" t="s">
        <v>868</v>
      </c>
      <c r="B2093" s="62" t="s">
        <v>868</v>
      </c>
      <c r="C2093" s="63"/>
      <c r="D2093" s="64"/>
      <c r="E2093" s="65"/>
      <c r="F2093" s="66"/>
      <c r="G2093" s="63"/>
      <c r="H2093" s="67"/>
      <c r="I2093" s="68"/>
      <c r="J2093" s="68"/>
      <c r="K2093" s="32"/>
      <c r="L2093" s="75">
        <v>2093</v>
      </c>
      <c r="M2093" s="75"/>
      <c r="N2093" s="70"/>
      <c r="O2093" s="77" t="s">
        <v>179</v>
      </c>
      <c r="P2093" s="79">
        <v>45141.114189814813</v>
      </c>
      <c r="Q2093" s="77" t="s">
        <v>3956</v>
      </c>
      <c r="R2093" s="77">
        <v>0</v>
      </c>
      <c r="S2093" s="77">
        <v>1</v>
      </c>
      <c r="T2093" s="77">
        <v>0</v>
      </c>
      <c r="U2093" s="77">
        <v>0</v>
      </c>
      <c r="V2093" s="77">
        <v>344</v>
      </c>
      <c r="W2093" s="80" t="s">
        <v>6642</v>
      </c>
      <c r="X2093" s="83" t="str">
        <f>HYPERLINK("https://dinheirama.com/as-3-surpresas-da-decisao-passivo-agressiva-do-bc-no-corte-da-selic/")</f>
        <v>https://dinheirama.com/as-3-surpresas-da-decisao-passivo-agressiva-do-bc-no-corte-da-selic/</v>
      </c>
      <c r="Y2093" s="77" t="s">
        <v>8762</v>
      </c>
      <c r="Z2093" s="77"/>
      <c r="AA2093" s="77"/>
      <c r="AB2093" s="77"/>
      <c r="AC2093" s="80" t="s">
        <v>10541</v>
      </c>
      <c r="AD2093" s="77" t="s">
        <v>10617</v>
      </c>
      <c r="AE2093" s="83" t="str">
        <f>HYPERLINK("https://twitter.com/dinheirama/status/1686931000943685632")</f>
        <v>https://twitter.com/dinheirama/status/1686931000943685632</v>
      </c>
      <c r="AF2093" s="79">
        <v>45141.114189814813</v>
      </c>
      <c r="AG2093" s="85">
        <v>45141</v>
      </c>
      <c r="AH2093" s="80" t="s">
        <v>12477</v>
      </c>
      <c r="AI2093" s="77" t="b">
        <v>0</v>
      </c>
      <c r="AJ2093" s="77"/>
      <c r="AK2093" s="77"/>
      <c r="AL2093" s="77"/>
      <c r="AM2093" s="77"/>
      <c r="AN2093" s="77"/>
      <c r="AO2093" s="77"/>
      <c r="AP2093" s="77"/>
      <c r="AQ2093" s="77"/>
      <c r="AR2093" s="77"/>
      <c r="AS2093" s="77"/>
      <c r="AT2093" s="77"/>
      <c r="AU2093" s="77"/>
      <c r="AV2093" s="83" t="str">
        <f>HYPERLINK("https://pbs.twimg.com/profile_images/1685831655976501248/p4Yj-D92_normal.jpg")</f>
        <v>https://pbs.twimg.com/profile_images/1685831655976501248/p4Yj-D92_normal.jpg</v>
      </c>
      <c r="AW2093" s="80" t="s">
        <v>17934</v>
      </c>
      <c r="AX2093" s="80" t="s">
        <v>17934</v>
      </c>
      <c r="AY2093" s="77"/>
      <c r="AZ2093" s="80" t="s">
        <v>20380</v>
      </c>
      <c r="BA2093" s="80" t="s">
        <v>20380</v>
      </c>
      <c r="BB2093" s="80" t="s">
        <v>20380</v>
      </c>
      <c r="BC2093" s="80" t="s">
        <v>17934</v>
      </c>
      <c r="BD2093" s="77">
        <v>23408209</v>
      </c>
      <c r="BE2093" s="77"/>
      <c r="BF2093" s="77"/>
      <c r="BG2093" s="77"/>
      <c r="BH2093" s="77"/>
      <c r="BI2093" s="77"/>
    </row>
    <row r="2094" spans="1:61" x14ac:dyDescent="0.25">
      <c r="A2094" s="62" t="s">
        <v>868</v>
      </c>
      <c r="B2094" s="62" t="s">
        <v>868</v>
      </c>
      <c r="C2094" s="63"/>
      <c r="D2094" s="64"/>
      <c r="E2094" s="65"/>
      <c r="F2094" s="66"/>
      <c r="G2094" s="63"/>
      <c r="H2094" s="67"/>
      <c r="I2094" s="68"/>
      <c r="J2094" s="68"/>
      <c r="K2094" s="32"/>
      <c r="L2094" s="75">
        <v>2094</v>
      </c>
      <c r="M2094" s="75"/>
      <c r="N2094" s="70"/>
      <c r="O2094" s="77" t="s">
        <v>179</v>
      </c>
      <c r="P2094" s="79">
        <v>45197.791076388887</v>
      </c>
      <c r="Q2094" s="77" t="s">
        <v>3957</v>
      </c>
      <c r="R2094" s="77">
        <v>0</v>
      </c>
      <c r="S2094" s="77">
        <v>0</v>
      </c>
      <c r="T2094" s="77">
        <v>0</v>
      </c>
      <c r="U2094" s="77">
        <v>0</v>
      </c>
      <c r="V2094" s="77">
        <v>128</v>
      </c>
      <c r="W2094" s="80" t="s">
        <v>7226</v>
      </c>
      <c r="X2094" s="83" t="str">
        <f>HYPERLINK("https://dinheirama.com/barra-pode-estar-um-pouco-mais-alta-para-acelerar-corte-de-juros-diz-campos-neto/")</f>
        <v>https://dinheirama.com/barra-pode-estar-um-pouco-mais-alta-para-acelerar-corte-de-juros-diz-campos-neto/</v>
      </c>
      <c r="Y2094" s="77" t="s">
        <v>8762</v>
      </c>
      <c r="Z2094" s="77"/>
      <c r="AA2094" s="77" t="s">
        <v>9611</v>
      </c>
      <c r="AB2094" s="77" t="s">
        <v>10535</v>
      </c>
      <c r="AC2094" s="80" t="s">
        <v>10541</v>
      </c>
      <c r="AD2094" s="77" t="s">
        <v>10617</v>
      </c>
      <c r="AE2094" s="83" t="str">
        <f>HYPERLINK("https://twitter.com/dinheirama/status/1707470013890752935")</f>
        <v>https://twitter.com/dinheirama/status/1707470013890752935</v>
      </c>
      <c r="AF2094" s="79">
        <v>45197.791076388887</v>
      </c>
      <c r="AG2094" s="85">
        <v>45197</v>
      </c>
      <c r="AH2094" s="80" t="s">
        <v>12478</v>
      </c>
      <c r="AI2094" s="77" t="b">
        <v>0</v>
      </c>
      <c r="AJ2094" s="77"/>
      <c r="AK2094" s="77"/>
      <c r="AL2094" s="77"/>
      <c r="AM2094" s="77"/>
      <c r="AN2094" s="77"/>
      <c r="AO2094" s="77"/>
      <c r="AP2094" s="77"/>
      <c r="AQ2094" s="77" t="s">
        <v>15093</v>
      </c>
      <c r="AR2094" s="77"/>
      <c r="AS2094" s="77"/>
      <c r="AT2094" s="77"/>
      <c r="AU2094" s="77"/>
      <c r="AV2094" s="83" t="str">
        <f>HYPERLINK("https://pbs.twimg.com/media/F7ImzDTWEAAIErr.jpg")</f>
        <v>https://pbs.twimg.com/media/F7ImzDTWEAAIErr.jpg</v>
      </c>
      <c r="AW2094" s="80" t="s">
        <v>17935</v>
      </c>
      <c r="AX2094" s="80" t="s">
        <v>17935</v>
      </c>
      <c r="AY2094" s="77"/>
      <c r="AZ2094" s="80" t="s">
        <v>20380</v>
      </c>
      <c r="BA2094" s="80" t="s">
        <v>20380</v>
      </c>
      <c r="BB2094" s="80" t="s">
        <v>20380</v>
      </c>
      <c r="BC2094" s="80" t="s">
        <v>17935</v>
      </c>
      <c r="BD2094" s="77">
        <v>23408209</v>
      </c>
      <c r="BE2094" s="77"/>
      <c r="BF2094" s="77"/>
      <c r="BG2094" s="77"/>
      <c r="BH2094" s="77"/>
      <c r="BI2094" s="77"/>
    </row>
    <row r="2095" spans="1:61" x14ac:dyDescent="0.25">
      <c r="A2095" s="62" t="s">
        <v>868</v>
      </c>
      <c r="B2095" s="62" t="s">
        <v>868</v>
      </c>
      <c r="C2095" s="63"/>
      <c r="D2095" s="64"/>
      <c r="E2095" s="65"/>
      <c r="F2095" s="66"/>
      <c r="G2095" s="63"/>
      <c r="H2095" s="67"/>
      <c r="I2095" s="68"/>
      <c r="J2095" s="68"/>
      <c r="K2095" s="32"/>
      <c r="L2095" s="75">
        <v>2095</v>
      </c>
      <c r="M2095" s="75"/>
      <c r="N2095" s="70"/>
      <c r="O2095" s="77" t="s">
        <v>179</v>
      </c>
      <c r="P2095" s="79">
        <v>45190.769675925927</v>
      </c>
      <c r="Q2095" s="77" t="s">
        <v>3958</v>
      </c>
      <c r="R2095" s="77">
        <v>0</v>
      </c>
      <c r="S2095" s="77">
        <v>0</v>
      </c>
      <c r="T2095" s="77">
        <v>0</v>
      </c>
      <c r="U2095" s="77">
        <v>0</v>
      </c>
      <c r="V2095" s="77">
        <v>152</v>
      </c>
      <c r="W2095" s="80" t="s">
        <v>7227</v>
      </c>
      <c r="X2095" s="83" t="str">
        <f>HYPERLINK("https://dinheirama.com/comissao-de-financas-recebe-presidente-do-banco-central/")</f>
        <v>https://dinheirama.com/comissao-de-financas-recebe-presidente-do-banco-central/</v>
      </c>
      <c r="Y2095" s="77" t="s">
        <v>8762</v>
      </c>
      <c r="Z2095" s="77"/>
      <c r="AA2095" s="77"/>
      <c r="AB2095" s="77"/>
      <c r="AC2095" s="80" t="s">
        <v>10541</v>
      </c>
      <c r="AD2095" s="77" t="s">
        <v>10617</v>
      </c>
      <c r="AE2095" s="83" t="str">
        <f>HYPERLINK("https://twitter.com/dinheirama/status/1704925545757061218")</f>
        <v>https://twitter.com/dinheirama/status/1704925545757061218</v>
      </c>
      <c r="AF2095" s="79">
        <v>45190.769675925927</v>
      </c>
      <c r="AG2095" s="85">
        <v>45190</v>
      </c>
      <c r="AH2095" s="80" t="s">
        <v>12479</v>
      </c>
      <c r="AI2095" s="77" t="b">
        <v>0</v>
      </c>
      <c r="AJ2095" s="77"/>
      <c r="AK2095" s="77"/>
      <c r="AL2095" s="77"/>
      <c r="AM2095" s="77"/>
      <c r="AN2095" s="77"/>
      <c r="AO2095" s="77"/>
      <c r="AP2095" s="77"/>
      <c r="AQ2095" s="77"/>
      <c r="AR2095" s="77"/>
      <c r="AS2095" s="77"/>
      <c r="AT2095" s="77"/>
      <c r="AU2095" s="77"/>
      <c r="AV2095" s="83" t="str">
        <f>HYPERLINK("https://pbs.twimg.com/profile_images/1685831655976501248/p4Yj-D92_normal.jpg")</f>
        <v>https://pbs.twimg.com/profile_images/1685831655976501248/p4Yj-D92_normal.jpg</v>
      </c>
      <c r="AW2095" s="80" t="s">
        <v>17936</v>
      </c>
      <c r="AX2095" s="80" t="s">
        <v>17936</v>
      </c>
      <c r="AY2095" s="77"/>
      <c r="AZ2095" s="80" t="s">
        <v>20380</v>
      </c>
      <c r="BA2095" s="80" t="s">
        <v>20380</v>
      </c>
      <c r="BB2095" s="80" t="s">
        <v>20380</v>
      </c>
      <c r="BC2095" s="80" t="s">
        <v>17936</v>
      </c>
      <c r="BD2095" s="77">
        <v>23408209</v>
      </c>
      <c r="BE2095" s="77"/>
      <c r="BF2095" s="77"/>
      <c r="BG2095" s="77"/>
      <c r="BH2095" s="77"/>
      <c r="BI2095" s="77"/>
    </row>
    <row r="2096" spans="1:61" x14ac:dyDescent="0.25">
      <c r="A2096" s="62" t="s">
        <v>868</v>
      </c>
      <c r="B2096" s="62" t="s">
        <v>868</v>
      </c>
      <c r="C2096" s="63"/>
      <c r="D2096" s="64"/>
      <c r="E2096" s="65"/>
      <c r="F2096" s="66"/>
      <c r="G2096" s="63"/>
      <c r="H2096" s="67"/>
      <c r="I2096" s="68"/>
      <c r="J2096" s="68"/>
      <c r="K2096" s="32"/>
      <c r="L2096" s="75">
        <v>2096</v>
      </c>
      <c r="M2096" s="75"/>
      <c r="N2096" s="70"/>
      <c r="O2096" s="77" t="s">
        <v>179</v>
      </c>
      <c r="P2096" s="79">
        <v>45169.739803240744</v>
      </c>
      <c r="Q2096" s="77" t="s">
        <v>3959</v>
      </c>
      <c r="R2096" s="77">
        <v>0</v>
      </c>
      <c r="S2096" s="77">
        <v>1</v>
      </c>
      <c r="T2096" s="77">
        <v>1</v>
      </c>
      <c r="U2096" s="77">
        <v>0</v>
      </c>
      <c r="V2096" s="77">
        <v>206</v>
      </c>
      <c r="W2096" s="80" t="s">
        <v>7228</v>
      </c>
      <c r="X2096" s="83" t="str">
        <f>HYPERLINK("https://dinheirama.com/contas-publicas-tem-deficit-de-r-358-bilhoes-em-julho/")</f>
        <v>https://dinheirama.com/contas-publicas-tem-deficit-de-r-358-bilhoes-em-julho/</v>
      </c>
      <c r="Y2096" s="77" t="s">
        <v>8762</v>
      </c>
      <c r="Z2096" s="77"/>
      <c r="AA2096" s="77"/>
      <c r="AB2096" s="77"/>
      <c r="AC2096" s="80" t="s">
        <v>10541</v>
      </c>
      <c r="AD2096" s="77" t="s">
        <v>10617</v>
      </c>
      <c r="AE2096" s="83" t="str">
        <f>HYPERLINK("https://twitter.com/dinheirama/status/1697304573466018180")</f>
        <v>https://twitter.com/dinheirama/status/1697304573466018180</v>
      </c>
      <c r="AF2096" s="79">
        <v>45169.739803240744</v>
      </c>
      <c r="AG2096" s="85">
        <v>45169</v>
      </c>
      <c r="AH2096" s="80" t="s">
        <v>12480</v>
      </c>
      <c r="AI2096" s="77" t="b">
        <v>0</v>
      </c>
      <c r="AJ2096" s="77"/>
      <c r="AK2096" s="77"/>
      <c r="AL2096" s="77"/>
      <c r="AM2096" s="77"/>
      <c r="AN2096" s="77"/>
      <c r="AO2096" s="77"/>
      <c r="AP2096" s="77"/>
      <c r="AQ2096" s="77"/>
      <c r="AR2096" s="77"/>
      <c r="AS2096" s="77"/>
      <c r="AT2096" s="77"/>
      <c r="AU2096" s="77"/>
      <c r="AV2096" s="83" t="str">
        <f>HYPERLINK("https://pbs.twimg.com/profile_images/1685831655976501248/p4Yj-D92_normal.jpg")</f>
        <v>https://pbs.twimg.com/profile_images/1685831655976501248/p4Yj-D92_normal.jpg</v>
      </c>
      <c r="AW2096" s="80" t="s">
        <v>17937</v>
      </c>
      <c r="AX2096" s="80" t="s">
        <v>17937</v>
      </c>
      <c r="AY2096" s="77"/>
      <c r="AZ2096" s="80" t="s">
        <v>20380</v>
      </c>
      <c r="BA2096" s="80" t="s">
        <v>20380</v>
      </c>
      <c r="BB2096" s="80" t="s">
        <v>20380</v>
      </c>
      <c r="BC2096" s="80" t="s">
        <v>17937</v>
      </c>
      <c r="BD2096" s="77">
        <v>23408209</v>
      </c>
      <c r="BE2096" s="77"/>
      <c r="BF2096" s="77"/>
      <c r="BG2096" s="77"/>
      <c r="BH2096" s="77"/>
      <c r="BI2096" s="77"/>
    </row>
    <row r="2097" spans="1:61" x14ac:dyDescent="0.25">
      <c r="A2097" s="62" t="s">
        <v>868</v>
      </c>
      <c r="B2097" s="62" t="s">
        <v>868</v>
      </c>
      <c r="C2097" s="63"/>
      <c r="D2097" s="64"/>
      <c r="E2097" s="65"/>
      <c r="F2097" s="66"/>
      <c r="G2097" s="63"/>
      <c r="H2097" s="67"/>
      <c r="I2097" s="68"/>
      <c r="J2097" s="68"/>
      <c r="K2097" s="32"/>
      <c r="L2097" s="75">
        <v>2097</v>
      </c>
      <c r="M2097" s="75"/>
      <c r="N2097" s="70"/>
      <c r="O2097" s="77" t="s">
        <v>179</v>
      </c>
      <c r="P2097" s="79">
        <v>45169.707997685182</v>
      </c>
      <c r="Q2097" s="77" t="s">
        <v>3960</v>
      </c>
      <c r="R2097" s="77">
        <v>0</v>
      </c>
      <c r="S2097" s="77">
        <v>0</v>
      </c>
      <c r="T2097" s="77">
        <v>0</v>
      </c>
      <c r="U2097" s="77">
        <v>0</v>
      </c>
      <c r="V2097" s="77">
        <v>162</v>
      </c>
      <c r="W2097" s="80" t="s">
        <v>7229</v>
      </c>
      <c r="X2097" s="83" t="str">
        <f>HYPERLINK("https://dinheirama.com/banco-central-deve-disciplinar-cobranca-de-tarifas-de-bandeiras-de-cartoes/")</f>
        <v>https://dinheirama.com/banco-central-deve-disciplinar-cobranca-de-tarifas-de-bandeiras-de-cartoes/</v>
      </c>
      <c r="Y2097" s="77" t="s">
        <v>8762</v>
      </c>
      <c r="Z2097" s="77"/>
      <c r="AA2097" s="77"/>
      <c r="AB2097" s="77"/>
      <c r="AC2097" s="80" t="s">
        <v>10541</v>
      </c>
      <c r="AD2097" s="77" t="s">
        <v>10617</v>
      </c>
      <c r="AE2097" s="83" t="str">
        <f>HYPERLINK("https://twitter.com/dinheirama/status/1697293048743375313")</f>
        <v>https://twitter.com/dinheirama/status/1697293048743375313</v>
      </c>
      <c r="AF2097" s="79">
        <v>45169.707997685182</v>
      </c>
      <c r="AG2097" s="85">
        <v>45169</v>
      </c>
      <c r="AH2097" s="80" t="s">
        <v>12481</v>
      </c>
      <c r="AI2097" s="77" t="b">
        <v>0</v>
      </c>
      <c r="AJ2097" s="77"/>
      <c r="AK2097" s="77"/>
      <c r="AL2097" s="77"/>
      <c r="AM2097" s="77"/>
      <c r="AN2097" s="77"/>
      <c r="AO2097" s="77"/>
      <c r="AP2097" s="77"/>
      <c r="AQ2097" s="77"/>
      <c r="AR2097" s="77"/>
      <c r="AS2097" s="77"/>
      <c r="AT2097" s="77"/>
      <c r="AU2097" s="77"/>
      <c r="AV2097" s="83" t="str">
        <f>HYPERLINK("https://pbs.twimg.com/profile_images/1685831655976501248/p4Yj-D92_normal.jpg")</f>
        <v>https://pbs.twimg.com/profile_images/1685831655976501248/p4Yj-D92_normal.jpg</v>
      </c>
      <c r="AW2097" s="80" t="s">
        <v>17938</v>
      </c>
      <c r="AX2097" s="80" t="s">
        <v>17938</v>
      </c>
      <c r="AY2097" s="77"/>
      <c r="AZ2097" s="80" t="s">
        <v>20380</v>
      </c>
      <c r="BA2097" s="80" t="s">
        <v>20380</v>
      </c>
      <c r="BB2097" s="80" t="s">
        <v>20380</v>
      </c>
      <c r="BC2097" s="80" t="s">
        <v>17938</v>
      </c>
      <c r="BD2097" s="77">
        <v>23408209</v>
      </c>
      <c r="BE2097" s="77"/>
      <c r="BF2097" s="77"/>
      <c r="BG2097" s="77"/>
      <c r="BH2097" s="77"/>
      <c r="BI2097" s="77"/>
    </row>
    <row r="2098" spans="1:61" x14ac:dyDescent="0.25">
      <c r="A2098" s="62" t="s">
        <v>868</v>
      </c>
      <c r="B2098" s="62" t="s">
        <v>868</v>
      </c>
      <c r="C2098" s="63"/>
      <c r="D2098" s="64"/>
      <c r="E2098" s="65"/>
      <c r="F2098" s="66"/>
      <c r="G2098" s="63"/>
      <c r="H2098" s="67"/>
      <c r="I2098" s="68"/>
      <c r="J2098" s="68"/>
      <c r="K2098" s="32"/>
      <c r="L2098" s="75">
        <v>2098</v>
      </c>
      <c r="M2098" s="75"/>
      <c r="N2098" s="70"/>
      <c r="O2098" s="77" t="s">
        <v>179</v>
      </c>
      <c r="P2098" s="79">
        <v>45168.944884259261</v>
      </c>
      <c r="Q2098" s="77" t="s">
        <v>3961</v>
      </c>
      <c r="R2098" s="77">
        <v>0</v>
      </c>
      <c r="S2098" s="77">
        <v>0</v>
      </c>
      <c r="T2098" s="77">
        <v>0</v>
      </c>
      <c r="U2098" s="77">
        <v>0</v>
      </c>
      <c r="V2098" s="77">
        <v>233</v>
      </c>
      <c r="W2098" s="80" t="s">
        <v>7230</v>
      </c>
      <c r="X2098" s="83" t="str">
        <f>HYPERLINK("https://dinheirama.com/mercado-de-divida-corporativa-vive-retomada-progressiva-diz-banco-central/")</f>
        <v>https://dinheirama.com/mercado-de-divida-corporativa-vive-retomada-progressiva-diz-banco-central/</v>
      </c>
      <c r="Y2098" s="77" t="s">
        <v>8762</v>
      </c>
      <c r="Z2098" s="77"/>
      <c r="AA2098" s="77"/>
      <c r="AB2098" s="77"/>
      <c r="AC2098" s="80" t="s">
        <v>10541</v>
      </c>
      <c r="AD2098" s="77" t="s">
        <v>10617</v>
      </c>
      <c r="AE2098" s="83" t="str">
        <f>HYPERLINK("https://twitter.com/dinheirama/status/1697016504749838752")</f>
        <v>https://twitter.com/dinheirama/status/1697016504749838752</v>
      </c>
      <c r="AF2098" s="79">
        <v>45168.944884259261</v>
      </c>
      <c r="AG2098" s="85">
        <v>45168</v>
      </c>
      <c r="AH2098" s="80" t="s">
        <v>12482</v>
      </c>
      <c r="AI2098" s="77" t="b">
        <v>0</v>
      </c>
      <c r="AJ2098" s="77"/>
      <c r="AK2098" s="77"/>
      <c r="AL2098" s="77"/>
      <c r="AM2098" s="77"/>
      <c r="AN2098" s="77"/>
      <c r="AO2098" s="77"/>
      <c r="AP2098" s="77"/>
      <c r="AQ2098" s="77"/>
      <c r="AR2098" s="77"/>
      <c r="AS2098" s="77"/>
      <c r="AT2098" s="77"/>
      <c r="AU2098" s="77"/>
      <c r="AV2098" s="83" t="str">
        <f>HYPERLINK("https://pbs.twimg.com/profile_images/1685831655976501248/p4Yj-D92_normal.jpg")</f>
        <v>https://pbs.twimg.com/profile_images/1685831655976501248/p4Yj-D92_normal.jpg</v>
      </c>
      <c r="AW2098" s="80" t="s">
        <v>17939</v>
      </c>
      <c r="AX2098" s="80" t="s">
        <v>17939</v>
      </c>
      <c r="AY2098" s="77"/>
      <c r="AZ2098" s="80" t="s">
        <v>20380</v>
      </c>
      <c r="BA2098" s="80" t="s">
        <v>20380</v>
      </c>
      <c r="BB2098" s="80" t="s">
        <v>20380</v>
      </c>
      <c r="BC2098" s="80" t="s">
        <v>17939</v>
      </c>
      <c r="BD2098" s="77">
        <v>23408209</v>
      </c>
      <c r="BE2098" s="77"/>
      <c r="BF2098" s="77"/>
      <c r="BG2098" s="77"/>
      <c r="BH2098" s="77"/>
      <c r="BI2098" s="77"/>
    </row>
    <row r="2099" spans="1:61" x14ac:dyDescent="0.25">
      <c r="A2099" s="62" t="s">
        <v>868</v>
      </c>
      <c r="B2099" s="62" t="s">
        <v>868</v>
      </c>
      <c r="C2099" s="63"/>
      <c r="D2099" s="64"/>
      <c r="E2099" s="65"/>
      <c r="F2099" s="66"/>
      <c r="G2099" s="63"/>
      <c r="H2099" s="67"/>
      <c r="I2099" s="68"/>
      <c r="J2099" s="68"/>
      <c r="K2099" s="32"/>
      <c r="L2099" s="75">
        <v>2099</v>
      </c>
      <c r="M2099" s="75"/>
      <c r="N2099" s="70"/>
      <c r="O2099" s="77" t="s">
        <v>179</v>
      </c>
      <c r="P2099" s="79">
        <v>45153.826018518521</v>
      </c>
      <c r="Q2099" s="77" t="s">
        <v>3962</v>
      </c>
      <c r="R2099" s="77">
        <v>0</v>
      </c>
      <c r="S2099" s="77">
        <v>0</v>
      </c>
      <c r="T2099" s="77">
        <v>0</v>
      </c>
      <c r="U2099" s="77">
        <v>0</v>
      </c>
      <c r="V2099" s="77">
        <v>207</v>
      </c>
      <c r="W2099" s="80" t="s">
        <v>7231</v>
      </c>
      <c r="X2099" s="83" t="str">
        <f>HYPERLINK("https://dinheirama.com/maioria-de-gestores-em-pesquisa-do-bofa-ve-mudanca-para-acoes-apenas-com-selic-a-10/")</f>
        <v>https://dinheirama.com/maioria-de-gestores-em-pesquisa-do-bofa-ve-mudanca-para-acoes-apenas-com-selic-a-10/</v>
      </c>
      <c r="Y2099" s="77" t="s">
        <v>8762</v>
      </c>
      <c r="Z2099" s="77"/>
      <c r="AA2099" s="77"/>
      <c r="AB2099" s="77"/>
      <c r="AC2099" s="80" t="s">
        <v>10541</v>
      </c>
      <c r="AD2099" s="77" t="s">
        <v>10617</v>
      </c>
      <c r="AE2099" s="83" t="str">
        <f>HYPERLINK("https://twitter.com/dinheirama/status/1691537610139738112")</f>
        <v>https://twitter.com/dinheirama/status/1691537610139738112</v>
      </c>
      <c r="AF2099" s="79">
        <v>45153.826018518521</v>
      </c>
      <c r="AG2099" s="85">
        <v>45153</v>
      </c>
      <c r="AH2099" s="80" t="s">
        <v>12483</v>
      </c>
      <c r="AI2099" s="77" t="b">
        <v>0</v>
      </c>
      <c r="AJ2099" s="77"/>
      <c r="AK2099" s="77"/>
      <c r="AL2099" s="77"/>
      <c r="AM2099" s="77"/>
      <c r="AN2099" s="77"/>
      <c r="AO2099" s="77"/>
      <c r="AP2099" s="77"/>
      <c r="AQ2099" s="77"/>
      <c r="AR2099" s="77"/>
      <c r="AS2099" s="77"/>
      <c r="AT2099" s="77"/>
      <c r="AU2099" s="77"/>
      <c r="AV2099" s="83" t="str">
        <f>HYPERLINK("https://pbs.twimg.com/profile_images/1685831655976501248/p4Yj-D92_normal.jpg")</f>
        <v>https://pbs.twimg.com/profile_images/1685831655976501248/p4Yj-D92_normal.jpg</v>
      </c>
      <c r="AW2099" s="80" t="s">
        <v>17940</v>
      </c>
      <c r="AX2099" s="80" t="s">
        <v>17940</v>
      </c>
      <c r="AY2099" s="77"/>
      <c r="AZ2099" s="80" t="s">
        <v>20380</v>
      </c>
      <c r="BA2099" s="80" t="s">
        <v>20380</v>
      </c>
      <c r="BB2099" s="80" t="s">
        <v>20380</v>
      </c>
      <c r="BC2099" s="80" t="s">
        <v>17940</v>
      </c>
      <c r="BD2099" s="77">
        <v>23408209</v>
      </c>
      <c r="BE2099" s="77"/>
      <c r="BF2099" s="77"/>
      <c r="BG2099" s="77"/>
      <c r="BH2099" s="77"/>
      <c r="BI2099" s="77"/>
    </row>
    <row r="2100" spans="1:61" x14ac:dyDescent="0.25">
      <c r="A2100" s="62" t="s">
        <v>868</v>
      </c>
      <c r="B2100" s="62" t="s">
        <v>868</v>
      </c>
      <c r="C2100" s="63"/>
      <c r="D2100" s="64"/>
      <c r="E2100" s="65"/>
      <c r="F2100" s="66"/>
      <c r="G2100" s="63"/>
      <c r="H2100" s="67"/>
      <c r="I2100" s="68"/>
      <c r="J2100" s="68"/>
      <c r="K2100" s="32"/>
      <c r="L2100" s="75">
        <v>2100</v>
      </c>
      <c r="M2100" s="75"/>
      <c r="N2100" s="70"/>
      <c r="O2100" s="77" t="s">
        <v>179</v>
      </c>
      <c r="P2100" s="79">
        <v>45153.737986111111</v>
      </c>
      <c r="Q2100" s="77" t="s">
        <v>3963</v>
      </c>
      <c r="R2100" s="77">
        <v>1</v>
      </c>
      <c r="S2100" s="77">
        <v>3</v>
      </c>
      <c r="T2100" s="77">
        <v>0</v>
      </c>
      <c r="U2100" s="77">
        <v>0</v>
      </c>
      <c r="V2100" s="77">
        <v>237</v>
      </c>
      <c r="W2100" s="80" t="s">
        <v>7232</v>
      </c>
      <c r="X2100" s="83" t="str">
        <f>HYPERLINK("https://dinheirama.com/reajuste-de-combustiveis-impacta-inflacao-e-bc-deve-revisar-projecoes-diz-campos-neto/")</f>
        <v>https://dinheirama.com/reajuste-de-combustiveis-impacta-inflacao-e-bc-deve-revisar-projecoes-diz-campos-neto/</v>
      </c>
      <c r="Y2100" s="77" t="s">
        <v>8762</v>
      </c>
      <c r="Z2100" s="77"/>
      <c r="AA2100" s="77"/>
      <c r="AB2100" s="77"/>
      <c r="AC2100" s="80" t="s">
        <v>10541</v>
      </c>
      <c r="AD2100" s="77" t="s">
        <v>10617</v>
      </c>
      <c r="AE2100" s="83" t="str">
        <f>HYPERLINK("https://twitter.com/dinheirama/status/1691505708074672151")</f>
        <v>https://twitter.com/dinheirama/status/1691505708074672151</v>
      </c>
      <c r="AF2100" s="79">
        <v>45153.737986111111</v>
      </c>
      <c r="AG2100" s="85">
        <v>45153</v>
      </c>
      <c r="AH2100" s="80" t="s">
        <v>12484</v>
      </c>
      <c r="AI2100" s="77" t="b">
        <v>0</v>
      </c>
      <c r="AJ2100" s="77"/>
      <c r="AK2100" s="77"/>
      <c r="AL2100" s="77"/>
      <c r="AM2100" s="77"/>
      <c r="AN2100" s="77"/>
      <c r="AO2100" s="77"/>
      <c r="AP2100" s="77"/>
      <c r="AQ2100" s="77"/>
      <c r="AR2100" s="77"/>
      <c r="AS2100" s="77"/>
      <c r="AT2100" s="77"/>
      <c r="AU2100" s="77"/>
      <c r="AV2100" s="83" t="str">
        <f>HYPERLINK("https://pbs.twimg.com/profile_images/1685831655976501248/p4Yj-D92_normal.jpg")</f>
        <v>https://pbs.twimg.com/profile_images/1685831655976501248/p4Yj-D92_normal.jpg</v>
      </c>
      <c r="AW2100" s="80" t="s">
        <v>17941</v>
      </c>
      <c r="AX2100" s="80" t="s">
        <v>17941</v>
      </c>
      <c r="AY2100" s="77"/>
      <c r="AZ2100" s="80" t="s">
        <v>20380</v>
      </c>
      <c r="BA2100" s="80" t="s">
        <v>20380</v>
      </c>
      <c r="BB2100" s="80" t="s">
        <v>20380</v>
      </c>
      <c r="BC2100" s="80" t="s">
        <v>17941</v>
      </c>
      <c r="BD2100" s="77">
        <v>23408209</v>
      </c>
      <c r="BE2100" s="77"/>
      <c r="BF2100" s="77"/>
      <c r="BG2100" s="77"/>
      <c r="BH2100" s="77"/>
      <c r="BI2100" s="77"/>
    </row>
    <row r="2101" spans="1:61" x14ac:dyDescent="0.25">
      <c r="A2101" s="62" t="s">
        <v>868</v>
      </c>
      <c r="B2101" s="62" t="s">
        <v>868</v>
      </c>
      <c r="C2101" s="63"/>
      <c r="D2101" s="64"/>
      <c r="E2101" s="65"/>
      <c r="F2101" s="66"/>
      <c r="G2101" s="63"/>
      <c r="H2101" s="67"/>
      <c r="I2101" s="68"/>
      <c r="J2101" s="68"/>
      <c r="K2101" s="32"/>
      <c r="L2101" s="75">
        <v>2101</v>
      </c>
      <c r="M2101" s="75"/>
      <c r="N2101" s="70"/>
      <c r="O2101" s="77" t="s">
        <v>179</v>
      </c>
      <c r="P2101" s="79">
        <v>45146.855127314811</v>
      </c>
      <c r="Q2101" s="77" t="s">
        <v>3964</v>
      </c>
      <c r="R2101" s="77">
        <v>0</v>
      </c>
      <c r="S2101" s="77">
        <v>0</v>
      </c>
      <c r="T2101" s="77">
        <v>0</v>
      </c>
      <c r="U2101" s="77">
        <v>0</v>
      </c>
      <c r="V2101" s="77">
        <v>234</v>
      </c>
      <c r="W2101" s="80" t="s">
        <v>7233</v>
      </c>
      <c r="X2101" s="83" t="str">
        <f>HYPERLINK("https://dinheirama.com/juros-futuros-tem-baixa-firme-apos-dados-externos-e-ata-do-copom/")</f>
        <v>https://dinheirama.com/juros-futuros-tem-baixa-firme-apos-dados-externos-e-ata-do-copom/</v>
      </c>
      <c r="Y2101" s="77" t="s">
        <v>8762</v>
      </c>
      <c r="Z2101" s="77"/>
      <c r="AA2101" s="77"/>
      <c r="AB2101" s="77"/>
      <c r="AC2101" s="80" t="s">
        <v>10541</v>
      </c>
      <c r="AD2101" s="77" t="s">
        <v>10617</v>
      </c>
      <c r="AE2101" s="83" t="str">
        <f>HYPERLINK("https://twitter.com/dinheirama/status/1689011446808711168")</f>
        <v>https://twitter.com/dinheirama/status/1689011446808711168</v>
      </c>
      <c r="AF2101" s="79">
        <v>45146.855127314811</v>
      </c>
      <c r="AG2101" s="85">
        <v>45146</v>
      </c>
      <c r="AH2101" s="80" t="s">
        <v>12485</v>
      </c>
      <c r="AI2101" s="77" t="b">
        <v>0</v>
      </c>
      <c r="AJ2101" s="77"/>
      <c r="AK2101" s="77"/>
      <c r="AL2101" s="77"/>
      <c r="AM2101" s="77"/>
      <c r="AN2101" s="77"/>
      <c r="AO2101" s="77"/>
      <c r="AP2101" s="77"/>
      <c r="AQ2101" s="77"/>
      <c r="AR2101" s="77"/>
      <c r="AS2101" s="77"/>
      <c r="AT2101" s="77"/>
      <c r="AU2101" s="77"/>
      <c r="AV2101" s="83" t="str">
        <f>HYPERLINK("https://pbs.twimg.com/profile_images/1685831655976501248/p4Yj-D92_normal.jpg")</f>
        <v>https://pbs.twimg.com/profile_images/1685831655976501248/p4Yj-D92_normal.jpg</v>
      </c>
      <c r="AW2101" s="80" t="s">
        <v>17942</v>
      </c>
      <c r="AX2101" s="80" t="s">
        <v>17942</v>
      </c>
      <c r="AY2101" s="77"/>
      <c r="AZ2101" s="80" t="s">
        <v>20380</v>
      </c>
      <c r="BA2101" s="80" t="s">
        <v>20380</v>
      </c>
      <c r="BB2101" s="80" t="s">
        <v>20380</v>
      </c>
      <c r="BC2101" s="80" t="s">
        <v>17942</v>
      </c>
      <c r="BD2101" s="77">
        <v>23408209</v>
      </c>
      <c r="BE2101" s="77"/>
      <c r="BF2101" s="77"/>
      <c r="BG2101" s="77"/>
      <c r="BH2101" s="77"/>
      <c r="BI2101" s="77"/>
    </row>
    <row r="2102" spans="1:61" x14ac:dyDescent="0.25">
      <c r="A2102" s="62" t="s">
        <v>868</v>
      </c>
      <c r="B2102" s="62" t="s">
        <v>868</v>
      </c>
      <c r="C2102" s="63"/>
      <c r="D2102" s="64"/>
      <c r="E2102" s="65"/>
      <c r="F2102" s="66"/>
      <c r="G2102" s="63"/>
      <c r="H2102" s="67"/>
      <c r="I2102" s="68"/>
      <c r="J2102" s="68"/>
      <c r="K2102" s="32"/>
      <c r="L2102" s="75">
        <v>2102</v>
      </c>
      <c r="M2102" s="75"/>
      <c r="N2102" s="70"/>
      <c r="O2102" s="77" t="s">
        <v>179</v>
      </c>
      <c r="P2102" s="79">
        <v>45146.845023148147</v>
      </c>
      <c r="Q2102" s="77" t="s">
        <v>3965</v>
      </c>
      <c r="R2102" s="77">
        <v>0</v>
      </c>
      <c r="S2102" s="77">
        <v>0</v>
      </c>
      <c r="T2102" s="77">
        <v>0</v>
      </c>
      <c r="U2102" s="77">
        <v>0</v>
      </c>
      <c r="V2102" s="77">
        <v>217</v>
      </c>
      <c r="W2102" s="80" t="s">
        <v>7234</v>
      </c>
      <c r="X2102" s="83" t="str">
        <f>HYPERLINK("https://dinheirama.com/ibovespa-fecha-em-queda-mas-distante-da-minima-com-alivio-na-curva-de-di/")</f>
        <v>https://dinheirama.com/ibovespa-fecha-em-queda-mas-distante-da-minima-com-alivio-na-curva-de-di/</v>
      </c>
      <c r="Y2102" s="77" t="s">
        <v>8762</v>
      </c>
      <c r="Z2102" s="77"/>
      <c r="AA2102" s="77"/>
      <c r="AB2102" s="77"/>
      <c r="AC2102" s="80" t="s">
        <v>10541</v>
      </c>
      <c r="AD2102" s="77" t="s">
        <v>10617</v>
      </c>
      <c r="AE2102" s="83" t="str">
        <f>HYPERLINK("https://twitter.com/dinheirama/status/1689007783210074112")</f>
        <v>https://twitter.com/dinheirama/status/1689007783210074112</v>
      </c>
      <c r="AF2102" s="79">
        <v>45146.845023148147</v>
      </c>
      <c r="AG2102" s="85">
        <v>45146</v>
      </c>
      <c r="AH2102" s="80" t="s">
        <v>12486</v>
      </c>
      <c r="AI2102" s="77" t="b">
        <v>0</v>
      </c>
      <c r="AJ2102" s="77"/>
      <c r="AK2102" s="77"/>
      <c r="AL2102" s="77"/>
      <c r="AM2102" s="77"/>
      <c r="AN2102" s="77"/>
      <c r="AO2102" s="77"/>
      <c r="AP2102" s="77"/>
      <c r="AQ2102" s="77"/>
      <c r="AR2102" s="77"/>
      <c r="AS2102" s="77"/>
      <c r="AT2102" s="77"/>
      <c r="AU2102" s="77"/>
      <c r="AV2102" s="83" t="str">
        <f>HYPERLINK("https://pbs.twimg.com/profile_images/1685831655976501248/p4Yj-D92_normal.jpg")</f>
        <v>https://pbs.twimg.com/profile_images/1685831655976501248/p4Yj-D92_normal.jpg</v>
      </c>
      <c r="AW2102" s="80" t="s">
        <v>17943</v>
      </c>
      <c r="AX2102" s="80" t="s">
        <v>17943</v>
      </c>
      <c r="AY2102" s="77"/>
      <c r="AZ2102" s="80" t="s">
        <v>20380</v>
      </c>
      <c r="BA2102" s="80" t="s">
        <v>20380</v>
      </c>
      <c r="BB2102" s="80" t="s">
        <v>20380</v>
      </c>
      <c r="BC2102" s="80" t="s">
        <v>17943</v>
      </c>
      <c r="BD2102" s="77">
        <v>23408209</v>
      </c>
      <c r="BE2102" s="77"/>
      <c r="BF2102" s="77"/>
      <c r="BG2102" s="77"/>
      <c r="BH2102" s="77"/>
      <c r="BI2102" s="77"/>
    </row>
    <row r="2103" spans="1:61" x14ac:dyDescent="0.25">
      <c r="A2103" s="62" t="s">
        <v>868</v>
      </c>
      <c r="B2103" s="62" t="s">
        <v>868</v>
      </c>
      <c r="C2103" s="63"/>
      <c r="D2103" s="64"/>
      <c r="E2103" s="65"/>
      <c r="F2103" s="66"/>
      <c r="G2103" s="63"/>
      <c r="H2103" s="67"/>
      <c r="I2103" s="68"/>
      <c r="J2103" s="68"/>
      <c r="K2103" s="32"/>
      <c r="L2103" s="75">
        <v>2103</v>
      </c>
      <c r="M2103" s="75"/>
      <c r="N2103" s="70"/>
      <c r="O2103" s="77" t="s">
        <v>179</v>
      </c>
      <c r="P2103" s="79">
        <v>45135.639722222222</v>
      </c>
      <c r="Q2103" s="77" t="s">
        <v>3966</v>
      </c>
      <c r="R2103" s="77">
        <v>0</v>
      </c>
      <c r="S2103" s="77">
        <v>4</v>
      </c>
      <c r="T2103" s="77">
        <v>1</v>
      </c>
      <c r="U2103" s="77">
        <v>0</v>
      </c>
      <c r="V2103" s="77">
        <v>323</v>
      </c>
      <c r="W2103" s="80" t="s">
        <v>7235</v>
      </c>
      <c r="X2103" s="83" t="str">
        <f>HYPERLINK("https://dinheirama.com/contas-publicas-tem-deficit-de-r-48899-bilhoes-em-junho/")</f>
        <v>https://dinheirama.com/contas-publicas-tem-deficit-de-r-48899-bilhoes-em-junho/</v>
      </c>
      <c r="Y2103" s="77" t="s">
        <v>8762</v>
      </c>
      <c r="Z2103" s="77"/>
      <c r="AA2103" s="77"/>
      <c r="AB2103" s="77"/>
      <c r="AC2103" s="80" t="s">
        <v>10541</v>
      </c>
      <c r="AD2103" s="77" t="s">
        <v>10617</v>
      </c>
      <c r="AE2103" s="83" t="str">
        <f>HYPERLINK("https://twitter.com/dinheirama/status/1684947116798455809")</f>
        <v>https://twitter.com/dinheirama/status/1684947116798455809</v>
      </c>
      <c r="AF2103" s="79">
        <v>45135.639722222222</v>
      </c>
      <c r="AG2103" s="85">
        <v>45135</v>
      </c>
      <c r="AH2103" s="80" t="s">
        <v>12487</v>
      </c>
      <c r="AI2103" s="77" t="b">
        <v>0</v>
      </c>
      <c r="AJ2103" s="77"/>
      <c r="AK2103" s="77"/>
      <c r="AL2103" s="77"/>
      <c r="AM2103" s="77"/>
      <c r="AN2103" s="77"/>
      <c r="AO2103" s="77"/>
      <c r="AP2103" s="77"/>
      <c r="AQ2103" s="77"/>
      <c r="AR2103" s="77"/>
      <c r="AS2103" s="77"/>
      <c r="AT2103" s="77"/>
      <c r="AU2103" s="77"/>
      <c r="AV2103" s="83" t="str">
        <f>HYPERLINK("https://pbs.twimg.com/profile_images/1685831655976501248/p4Yj-D92_normal.jpg")</f>
        <v>https://pbs.twimg.com/profile_images/1685831655976501248/p4Yj-D92_normal.jpg</v>
      </c>
      <c r="AW2103" s="80" t="s">
        <v>17944</v>
      </c>
      <c r="AX2103" s="80" t="s">
        <v>17944</v>
      </c>
      <c r="AY2103" s="77"/>
      <c r="AZ2103" s="80" t="s">
        <v>20380</v>
      </c>
      <c r="BA2103" s="80" t="s">
        <v>20380</v>
      </c>
      <c r="BB2103" s="80" t="s">
        <v>20380</v>
      </c>
      <c r="BC2103" s="80" t="s">
        <v>17944</v>
      </c>
      <c r="BD2103" s="77">
        <v>23408209</v>
      </c>
      <c r="BE2103" s="77"/>
      <c r="BF2103" s="77"/>
      <c r="BG2103" s="77"/>
      <c r="BH2103" s="77"/>
      <c r="BI2103" s="77"/>
    </row>
    <row r="2104" spans="1:61" x14ac:dyDescent="0.25">
      <c r="A2104" s="62" t="s">
        <v>869</v>
      </c>
      <c r="B2104" s="62" t="s">
        <v>1346</v>
      </c>
      <c r="C2104" s="63"/>
      <c r="D2104" s="64"/>
      <c r="E2104" s="65"/>
      <c r="F2104" s="66"/>
      <c r="G2104" s="63"/>
      <c r="H2104" s="67"/>
      <c r="I2104" s="68"/>
      <c r="J2104" s="68"/>
      <c r="K2104" s="32"/>
      <c r="L2104" s="75">
        <v>2104</v>
      </c>
      <c r="M2104" s="75"/>
      <c r="N2104" s="70"/>
      <c r="O2104" s="77" t="s">
        <v>2078</v>
      </c>
      <c r="P2104" s="79">
        <v>45155.220312500001</v>
      </c>
      <c r="Q2104" s="77" t="s">
        <v>3967</v>
      </c>
      <c r="R2104" s="77">
        <v>0</v>
      </c>
      <c r="S2104" s="77">
        <v>0</v>
      </c>
      <c r="T2104" s="77">
        <v>0</v>
      </c>
      <c r="U2104" s="77">
        <v>0</v>
      </c>
      <c r="V2104" s="77">
        <v>240</v>
      </c>
      <c r="W2104" s="80" t="s">
        <v>5884</v>
      </c>
      <c r="X2104" s="77"/>
      <c r="Y2104" s="77"/>
      <c r="Z2104" s="77" t="s">
        <v>1346</v>
      </c>
      <c r="AA2104" s="77"/>
      <c r="AB2104" s="77"/>
      <c r="AC2104" s="80" t="s">
        <v>10540</v>
      </c>
      <c r="AD2104" s="77" t="s">
        <v>10625</v>
      </c>
      <c r="AE2104" s="83" t="str">
        <f>HYPERLINK("https://twitter.com/bengie00/status/1692042885674205380")</f>
        <v>https://twitter.com/bengie00/status/1692042885674205380</v>
      </c>
      <c r="AF2104" s="79">
        <v>45155.220312500001</v>
      </c>
      <c r="AG2104" s="85">
        <v>45155</v>
      </c>
      <c r="AH2104" s="80" t="s">
        <v>12488</v>
      </c>
      <c r="AI2104" s="77"/>
      <c r="AJ2104" s="77"/>
      <c r="AK2104" s="77"/>
      <c r="AL2104" s="77"/>
      <c r="AM2104" s="77"/>
      <c r="AN2104" s="77"/>
      <c r="AO2104" s="77"/>
      <c r="AP2104" s="77"/>
      <c r="AQ2104" s="77"/>
      <c r="AR2104" s="77"/>
      <c r="AS2104" s="77"/>
      <c r="AT2104" s="77"/>
      <c r="AU2104" s="77"/>
      <c r="AV2104" s="83" t="str">
        <f>HYPERLINK("https://pbs.twimg.com/profile_images/1638370182593757184/SvPzPgiH_normal.jpg")</f>
        <v>https://pbs.twimg.com/profile_images/1638370182593757184/SvPzPgiH_normal.jpg</v>
      </c>
      <c r="AW2104" s="80" t="s">
        <v>17945</v>
      </c>
      <c r="AX2104" s="80" t="s">
        <v>20041</v>
      </c>
      <c r="AY2104" s="80" t="s">
        <v>20293</v>
      </c>
      <c r="AZ2104" s="80" t="s">
        <v>20041</v>
      </c>
      <c r="BA2104" s="80" t="s">
        <v>20380</v>
      </c>
      <c r="BB2104" s="80" t="s">
        <v>20380</v>
      </c>
      <c r="BC2104" s="80" t="s">
        <v>20041</v>
      </c>
      <c r="BD2104" s="80" t="s">
        <v>20797</v>
      </c>
      <c r="BE2104" s="77"/>
      <c r="BF2104" s="77"/>
      <c r="BG2104" s="77"/>
      <c r="BH2104" s="77"/>
      <c r="BI2104" s="77"/>
    </row>
    <row r="2105" spans="1:61" x14ac:dyDescent="0.25">
      <c r="A2105" s="62" t="s">
        <v>870</v>
      </c>
      <c r="B2105" s="62" t="s">
        <v>870</v>
      </c>
      <c r="C2105" s="63"/>
      <c r="D2105" s="64"/>
      <c r="E2105" s="65"/>
      <c r="F2105" s="66"/>
      <c r="G2105" s="63"/>
      <c r="H2105" s="67"/>
      <c r="I2105" s="68"/>
      <c r="J2105" s="68"/>
      <c r="K2105" s="32"/>
      <c r="L2105" s="75">
        <v>2105</v>
      </c>
      <c r="M2105" s="75"/>
      <c r="N2105" s="70"/>
      <c r="O2105" s="77" t="s">
        <v>179</v>
      </c>
      <c r="P2105" s="79">
        <v>45055.539976851855</v>
      </c>
      <c r="Q2105" s="77" t="s">
        <v>3968</v>
      </c>
      <c r="R2105" s="77">
        <v>0</v>
      </c>
      <c r="S2105" s="77">
        <v>0</v>
      </c>
      <c r="T2105" s="77">
        <v>0</v>
      </c>
      <c r="U2105" s="77">
        <v>0</v>
      </c>
      <c r="V2105" s="77">
        <v>11</v>
      </c>
      <c r="W2105" s="80" t="s">
        <v>6250</v>
      </c>
      <c r="X2105" s="77"/>
      <c r="Y2105" s="77"/>
      <c r="Z2105" s="77"/>
      <c r="AA2105" s="77"/>
      <c r="AB2105" s="77"/>
      <c r="AC2105" s="80" t="s">
        <v>10542</v>
      </c>
      <c r="AD2105" s="77" t="s">
        <v>10617</v>
      </c>
      <c r="AE2105" s="83" t="str">
        <f>HYPERLINK("https://twitter.com/livefmcampos_/status/1655919943601250304")</f>
        <v>https://twitter.com/livefmcampos_/status/1655919943601250304</v>
      </c>
      <c r="AF2105" s="79">
        <v>45055.539976851855</v>
      </c>
      <c r="AG2105" s="85">
        <v>45055</v>
      </c>
      <c r="AH2105" s="80" t="s">
        <v>12489</v>
      </c>
      <c r="AI2105" s="77"/>
      <c r="AJ2105" s="77"/>
      <c r="AK2105" s="77"/>
      <c r="AL2105" s="77"/>
      <c r="AM2105" s="77"/>
      <c r="AN2105" s="77"/>
      <c r="AO2105" s="77"/>
      <c r="AP2105" s="77"/>
      <c r="AQ2105" s="77"/>
      <c r="AR2105" s="77"/>
      <c r="AS2105" s="77"/>
      <c r="AT2105" s="77"/>
      <c r="AU2105" s="77"/>
      <c r="AV2105" s="83" t="str">
        <f>HYPERLINK("https://pbs.twimg.com/profile_images/1261687544871301123/DyzzyiSa_normal.jpg")</f>
        <v>https://pbs.twimg.com/profile_images/1261687544871301123/DyzzyiSa_normal.jpg</v>
      </c>
      <c r="AW2105" s="80" t="s">
        <v>17946</v>
      </c>
      <c r="AX2105" s="80" t="s">
        <v>17946</v>
      </c>
      <c r="AY2105" s="77"/>
      <c r="AZ2105" s="80" t="s">
        <v>20380</v>
      </c>
      <c r="BA2105" s="80" t="s">
        <v>20380</v>
      </c>
      <c r="BB2105" s="80" t="s">
        <v>20380</v>
      </c>
      <c r="BC2105" s="80" t="s">
        <v>17946</v>
      </c>
      <c r="BD2105" s="80" t="s">
        <v>20798</v>
      </c>
      <c r="BE2105" s="77"/>
      <c r="BF2105" s="77"/>
      <c r="BG2105" s="77"/>
      <c r="BH2105" s="77"/>
      <c r="BI2105" s="77"/>
    </row>
    <row r="2106" spans="1:61" x14ac:dyDescent="0.25">
      <c r="A2106" s="62" t="s">
        <v>870</v>
      </c>
      <c r="B2106" s="62" t="s">
        <v>870</v>
      </c>
      <c r="C2106" s="63"/>
      <c r="D2106" s="64"/>
      <c r="E2106" s="65"/>
      <c r="F2106" s="66"/>
      <c r="G2106" s="63"/>
      <c r="H2106" s="67"/>
      <c r="I2106" s="68"/>
      <c r="J2106" s="68"/>
      <c r="K2106" s="32"/>
      <c r="L2106" s="75">
        <v>2106</v>
      </c>
      <c r="M2106" s="75"/>
      <c r="N2106" s="70"/>
      <c r="O2106" s="77" t="s">
        <v>179</v>
      </c>
      <c r="P2106" s="79">
        <v>45054.770995370367</v>
      </c>
      <c r="Q2106" s="77" t="s">
        <v>3969</v>
      </c>
      <c r="R2106" s="77">
        <v>0</v>
      </c>
      <c r="S2106" s="77">
        <v>1</v>
      </c>
      <c r="T2106" s="77">
        <v>0</v>
      </c>
      <c r="U2106" s="77">
        <v>0</v>
      </c>
      <c r="V2106" s="77">
        <v>18</v>
      </c>
      <c r="W2106" s="80" t="s">
        <v>7236</v>
      </c>
      <c r="X2106" s="77"/>
      <c r="Y2106" s="77"/>
      <c r="Z2106" s="77"/>
      <c r="AA2106" s="77"/>
      <c r="AB2106" s="77"/>
      <c r="AC2106" s="80" t="s">
        <v>10542</v>
      </c>
      <c r="AD2106" s="77" t="s">
        <v>10617</v>
      </c>
      <c r="AE2106" s="83" t="str">
        <f>HYPERLINK("https://twitter.com/livefmcampos_/status/1655641274152542227")</f>
        <v>https://twitter.com/livefmcampos_/status/1655641274152542227</v>
      </c>
      <c r="AF2106" s="79">
        <v>45054.770995370367</v>
      </c>
      <c r="AG2106" s="85">
        <v>45054</v>
      </c>
      <c r="AH2106" s="80" t="s">
        <v>12490</v>
      </c>
      <c r="AI2106" s="77"/>
      <c r="AJ2106" s="77"/>
      <c r="AK2106" s="77"/>
      <c r="AL2106" s="77"/>
      <c r="AM2106" s="77"/>
      <c r="AN2106" s="77"/>
      <c r="AO2106" s="77"/>
      <c r="AP2106" s="77"/>
      <c r="AQ2106" s="77"/>
      <c r="AR2106" s="77"/>
      <c r="AS2106" s="77"/>
      <c r="AT2106" s="77"/>
      <c r="AU2106" s="77"/>
      <c r="AV2106" s="83" t="str">
        <f>HYPERLINK("https://pbs.twimg.com/profile_images/1261687544871301123/DyzzyiSa_normal.jpg")</f>
        <v>https://pbs.twimg.com/profile_images/1261687544871301123/DyzzyiSa_normal.jpg</v>
      </c>
      <c r="AW2106" s="80" t="s">
        <v>17947</v>
      </c>
      <c r="AX2106" s="80" t="s">
        <v>17947</v>
      </c>
      <c r="AY2106" s="77"/>
      <c r="AZ2106" s="80" t="s">
        <v>20380</v>
      </c>
      <c r="BA2106" s="80" t="s">
        <v>20380</v>
      </c>
      <c r="BB2106" s="80" t="s">
        <v>20380</v>
      </c>
      <c r="BC2106" s="80" t="s">
        <v>17947</v>
      </c>
      <c r="BD2106" s="80" t="s">
        <v>20798</v>
      </c>
      <c r="BE2106" s="77"/>
      <c r="BF2106" s="77"/>
      <c r="BG2106" s="77"/>
      <c r="BH2106" s="77"/>
      <c r="BI2106" s="77"/>
    </row>
    <row r="2107" spans="1:61" x14ac:dyDescent="0.25">
      <c r="A2107" s="62" t="s">
        <v>871</v>
      </c>
      <c r="B2107" s="62" t="s">
        <v>547</v>
      </c>
      <c r="C2107" s="63"/>
      <c r="D2107" s="64"/>
      <c r="E2107" s="65"/>
      <c r="F2107" s="66"/>
      <c r="G2107" s="63"/>
      <c r="H2107" s="67"/>
      <c r="I2107" s="68"/>
      <c r="J2107" s="68"/>
      <c r="K2107" s="32"/>
      <c r="L2107" s="75">
        <v>2107</v>
      </c>
      <c r="M2107" s="75"/>
      <c r="N2107" s="70"/>
      <c r="O2107" s="77" t="s">
        <v>2081</v>
      </c>
      <c r="P2107" s="79">
        <v>45140.908437500002</v>
      </c>
      <c r="Q2107" s="77" t="s">
        <v>3970</v>
      </c>
      <c r="R2107" s="77">
        <v>120</v>
      </c>
      <c r="S2107" s="77">
        <v>1585</v>
      </c>
      <c r="T2107" s="77">
        <v>43</v>
      </c>
      <c r="U2107" s="77">
        <v>59</v>
      </c>
      <c r="V2107" s="77">
        <v>55500</v>
      </c>
      <c r="W2107" s="77"/>
      <c r="X2107" s="77"/>
      <c r="Y2107" s="77"/>
      <c r="Z2107" s="77" t="s">
        <v>547</v>
      </c>
      <c r="AA2107" s="77"/>
      <c r="AB2107" s="77"/>
      <c r="AC2107" s="80" t="s">
        <v>10541</v>
      </c>
      <c r="AD2107" s="77" t="s">
        <v>10617</v>
      </c>
      <c r="AE2107" s="83" t="str">
        <f>HYPERLINK("https://twitter.com/centralpolitcs/status/1686856437090148352")</f>
        <v>https://twitter.com/centralpolitcs/status/1686856437090148352</v>
      </c>
      <c r="AF2107" s="79">
        <v>45140.908437500002</v>
      </c>
      <c r="AG2107" s="85">
        <v>45140</v>
      </c>
      <c r="AH2107" s="80" t="s">
        <v>12491</v>
      </c>
      <c r="AI2107" s="77"/>
      <c r="AJ2107" s="77"/>
      <c r="AK2107" s="77"/>
      <c r="AL2107" s="77"/>
      <c r="AM2107" s="77"/>
      <c r="AN2107" s="77"/>
      <c r="AO2107" s="77"/>
      <c r="AP2107" s="77"/>
      <c r="AQ2107" s="77"/>
      <c r="AR2107" s="77"/>
      <c r="AS2107" s="77"/>
      <c r="AT2107" s="77"/>
      <c r="AU2107" s="77"/>
      <c r="AV2107" s="83" t="str">
        <f>HYPERLINK("https://pbs.twimg.com/profile_images/1609034821895946241/WVsO6SzU_normal.jpg")</f>
        <v>https://pbs.twimg.com/profile_images/1609034821895946241/WVsO6SzU_normal.jpg</v>
      </c>
      <c r="AW2107" s="80" t="s">
        <v>17948</v>
      </c>
      <c r="AX2107" s="80" t="s">
        <v>17948</v>
      </c>
      <c r="AY2107" s="77"/>
      <c r="AZ2107" s="80" t="s">
        <v>20380</v>
      </c>
      <c r="BA2107" s="80" t="s">
        <v>20380</v>
      </c>
      <c r="BB2107" s="80" t="s">
        <v>20380</v>
      </c>
      <c r="BC2107" s="80" t="s">
        <v>17948</v>
      </c>
      <c r="BD2107" s="80" t="s">
        <v>20799</v>
      </c>
      <c r="BE2107" s="77"/>
      <c r="BF2107" s="77"/>
      <c r="BG2107" s="77"/>
      <c r="BH2107" s="77"/>
      <c r="BI2107" s="77"/>
    </row>
    <row r="2108" spans="1:61" x14ac:dyDescent="0.25">
      <c r="A2108" s="62" t="s">
        <v>872</v>
      </c>
      <c r="B2108" s="62" t="s">
        <v>872</v>
      </c>
      <c r="C2108" s="63"/>
      <c r="D2108" s="64"/>
      <c r="E2108" s="65"/>
      <c r="F2108" s="66"/>
      <c r="G2108" s="63"/>
      <c r="H2108" s="67"/>
      <c r="I2108" s="68"/>
      <c r="J2108" s="68"/>
      <c r="K2108" s="32"/>
      <c r="L2108" s="75">
        <v>2108</v>
      </c>
      <c r="M2108" s="75"/>
      <c r="N2108" s="70"/>
      <c r="O2108" s="77" t="s">
        <v>179</v>
      </c>
      <c r="P2108" s="79">
        <v>45139.525833333333</v>
      </c>
      <c r="Q2108" s="77" t="s">
        <v>3971</v>
      </c>
      <c r="R2108" s="77">
        <v>0</v>
      </c>
      <c r="S2108" s="77">
        <v>0</v>
      </c>
      <c r="T2108" s="77">
        <v>0</v>
      </c>
      <c r="U2108" s="77">
        <v>0</v>
      </c>
      <c r="V2108" s="77">
        <v>37</v>
      </c>
      <c r="W2108" s="80" t="s">
        <v>5884</v>
      </c>
      <c r="X2108" s="83" t="str">
        <f>HYPERLINK("https://www.bcentral.cl/contenido/-/detalle/imacec-junio-2023")</f>
        <v>https://www.bcentral.cl/contenido/-/detalle/imacec-junio-2023</v>
      </c>
      <c r="Y2108" s="77" t="s">
        <v>8679</v>
      </c>
      <c r="Z2108" s="77"/>
      <c r="AA2108" s="77"/>
      <c r="AB2108" s="77"/>
      <c r="AC2108" s="80" t="s">
        <v>10541</v>
      </c>
      <c r="AD2108" s="77" t="s">
        <v>10620</v>
      </c>
      <c r="AE2108" s="83" t="str">
        <f>HYPERLINK("https://twitter.com/nbernalvial/status/1686355397165080576")</f>
        <v>https://twitter.com/nbernalvial/status/1686355397165080576</v>
      </c>
      <c r="AF2108" s="79">
        <v>45139.525833333333</v>
      </c>
      <c r="AG2108" s="85">
        <v>45139</v>
      </c>
      <c r="AH2108" s="80" t="s">
        <v>12492</v>
      </c>
      <c r="AI2108" s="77" t="b">
        <v>0</v>
      </c>
      <c r="AJ2108" s="77"/>
      <c r="AK2108" s="77"/>
      <c r="AL2108" s="77"/>
      <c r="AM2108" s="77"/>
      <c r="AN2108" s="77"/>
      <c r="AO2108" s="77"/>
      <c r="AP2108" s="77"/>
      <c r="AQ2108" s="77"/>
      <c r="AR2108" s="77"/>
      <c r="AS2108" s="77"/>
      <c r="AT2108" s="77"/>
      <c r="AU2108" s="77"/>
      <c r="AV2108" s="83" t="str">
        <f>HYPERLINK("https://pbs.twimg.com/profile_images/1094316269770342401/s0OPlhVZ_normal.jpg")</f>
        <v>https://pbs.twimg.com/profile_images/1094316269770342401/s0OPlhVZ_normal.jpg</v>
      </c>
      <c r="AW2108" s="80" t="s">
        <v>17949</v>
      </c>
      <c r="AX2108" s="80" t="s">
        <v>17949</v>
      </c>
      <c r="AY2108" s="77"/>
      <c r="AZ2108" s="80" t="s">
        <v>20380</v>
      </c>
      <c r="BA2108" s="80" t="s">
        <v>20380</v>
      </c>
      <c r="BB2108" s="80" t="s">
        <v>20380</v>
      </c>
      <c r="BC2108" s="80" t="s">
        <v>17949</v>
      </c>
      <c r="BD2108" s="77">
        <v>60586472</v>
      </c>
      <c r="BE2108" s="77"/>
      <c r="BF2108" s="77"/>
      <c r="BG2108" s="77"/>
      <c r="BH2108" s="77"/>
      <c r="BI2108" s="77"/>
    </row>
    <row r="2109" spans="1:61" x14ac:dyDescent="0.25">
      <c r="A2109" s="62" t="s">
        <v>873</v>
      </c>
      <c r="B2109" s="62" t="s">
        <v>1681</v>
      </c>
      <c r="C2109" s="63"/>
      <c r="D2109" s="64"/>
      <c r="E2109" s="65"/>
      <c r="F2109" s="66"/>
      <c r="G2109" s="63"/>
      <c r="H2109" s="67"/>
      <c r="I2109" s="68"/>
      <c r="J2109" s="68"/>
      <c r="K2109" s="32"/>
      <c r="L2109" s="75">
        <v>2109</v>
      </c>
      <c r="M2109" s="75"/>
      <c r="N2109" s="70"/>
      <c r="O2109" s="77" t="s">
        <v>2083</v>
      </c>
      <c r="P2109" s="79">
        <v>45192.607083333336</v>
      </c>
      <c r="Q2109" s="77" t="s">
        <v>2237</v>
      </c>
      <c r="R2109" s="77">
        <v>18</v>
      </c>
      <c r="S2109" s="77">
        <v>0</v>
      </c>
      <c r="T2109" s="77">
        <v>0</v>
      </c>
      <c r="U2109" s="77">
        <v>0</v>
      </c>
      <c r="V2109" s="77"/>
      <c r="W2109" s="80" t="s">
        <v>6018</v>
      </c>
      <c r="X2109" s="77"/>
      <c r="Y2109" s="77"/>
      <c r="Z2109" s="77" t="s">
        <v>1681</v>
      </c>
      <c r="AA2109" s="77"/>
      <c r="AB2109" s="77"/>
      <c r="AC2109" s="80" t="s">
        <v>10541</v>
      </c>
      <c r="AD2109" s="77" t="s">
        <v>10617</v>
      </c>
      <c r="AE2109" s="83" t="str">
        <f>HYPERLINK("https://twitter.com/banqueirosmatam/status/1705591397108068546")</f>
        <v>https://twitter.com/banqueirosmatam/status/1705591397108068546</v>
      </c>
      <c r="AF2109" s="79">
        <v>45192.607083333336</v>
      </c>
      <c r="AG2109" s="85">
        <v>45192</v>
      </c>
      <c r="AH2109" s="80" t="s">
        <v>12493</v>
      </c>
      <c r="AI2109" s="77"/>
      <c r="AJ2109" s="77"/>
      <c r="AK2109" s="77"/>
      <c r="AL2109" s="77"/>
      <c r="AM2109" s="77"/>
      <c r="AN2109" s="77"/>
      <c r="AO2109" s="77"/>
      <c r="AP2109" s="77"/>
      <c r="AQ2109" s="77"/>
      <c r="AR2109" s="77"/>
      <c r="AS2109" s="77"/>
      <c r="AT2109" s="77"/>
      <c r="AU2109" s="77"/>
      <c r="AV2109" s="83" t="str">
        <f>HYPERLINK("https://pbs.twimg.com/profile_images/1577755532093526016/6kZsZO8__normal.jpg")</f>
        <v>https://pbs.twimg.com/profile_images/1577755532093526016/6kZsZO8__normal.jpg</v>
      </c>
      <c r="AW2109" s="80" t="s">
        <v>17950</v>
      </c>
      <c r="AX2109" s="80" t="s">
        <v>17950</v>
      </c>
      <c r="AY2109" s="77"/>
      <c r="AZ2109" s="80" t="s">
        <v>20380</v>
      </c>
      <c r="BA2109" s="80" t="s">
        <v>20380</v>
      </c>
      <c r="BB2109" s="80" t="s">
        <v>19932</v>
      </c>
      <c r="BC2109" s="80" t="s">
        <v>19932</v>
      </c>
      <c r="BD2109" s="80" t="s">
        <v>20800</v>
      </c>
      <c r="BE2109" s="77"/>
      <c r="BF2109" s="77"/>
      <c r="BG2109" s="77"/>
      <c r="BH2109" s="77"/>
      <c r="BI2109" s="77"/>
    </row>
    <row r="2110" spans="1:61" x14ac:dyDescent="0.25">
      <c r="A2110" s="62" t="s">
        <v>874</v>
      </c>
      <c r="B2110" s="62" t="s">
        <v>1655</v>
      </c>
      <c r="C2110" s="63"/>
      <c r="D2110" s="64"/>
      <c r="E2110" s="65"/>
      <c r="F2110" s="66"/>
      <c r="G2110" s="63"/>
      <c r="H2110" s="67"/>
      <c r="I2110" s="68"/>
      <c r="J2110" s="68"/>
      <c r="K2110" s="32"/>
      <c r="L2110" s="75">
        <v>2110</v>
      </c>
      <c r="M2110" s="75"/>
      <c r="N2110" s="70"/>
      <c r="O2110" s="77" t="s">
        <v>2083</v>
      </c>
      <c r="P2110" s="79">
        <v>45191.045173611114</v>
      </c>
      <c r="Q2110" s="77" t="s">
        <v>2120</v>
      </c>
      <c r="R2110" s="77">
        <v>57</v>
      </c>
      <c r="S2110" s="77">
        <v>0</v>
      </c>
      <c r="T2110" s="77">
        <v>0</v>
      </c>
      <c r="U2110" s="77">
        <v>0</v>
      </c>
      <c r="V2110" s="77"/>
      <c r="W2110" s="80" t="s">
        <v>5917</v>
      </c>
      <c r="X2110" s="77"/>
      <c r="Y2110" s="77"/>
      <c r="Z2110" s="77" t="s">
        <v>1655</v>
      </c>
      <c r="AA2110" s="77"/>
      <c r="AB2110" s="77"/>
      <c r="AC2110" s="80" t="s">
        <v>10541</v>
      </c>
      <c r="AD2110" s="77" t="s">
        <v>10617</v>
      </c>
      <c r="AE2110" s="83" t="str">
        <f>HYPERLINK("https://twitter.com/fariapaz/status/1705025383811182954")</f>
        <v>https://twitter.com/fariapaz/status/1705025383811182954</v>
      </c>
      <c r="AF2110" s="79">
        <v>45191.045173611114</v>
      </c>
      <c r="AG2110" s="85">
        <v>45191</v>
      </c>
      <c r="AH2110" s="80" t="s">
        <v>12494</v>
      </c>
      <c r="AI2110" s="77"/>
      <c r="AJ2110" s="77"/>
      <c r="AK2110" s="77"/>
      <c r="AL2110" s="77"/>
      <c r="AM2110" s="77"/>
      <c r="AN2110" s="77"/>
      <c r="AO2110" s="77"/>
      <c r="AP2110" s="77"/>
      <c r="AQ2110" s="77"/>
      <c r="AR2110" s="77"/>
      <c r="AS2110" s="77"/>
      <c r="AT2110" s="77"/>
      <c r="AU2110" s="77"/>
      <c r="AV2110" s="83" t="str">
        <f>HYPERLINK("https://pbs.twimg.com/profile_images/897493305197572097/Ryg71N0I_normal.jpg")</f>
        <v>https://pbs.twimg.com/profile_images/897493305197572097/Ryg71N0I_normal.jpg</v>
      </c>
      <c r="AW2110" s="80" t="s">
        <v>17951</v>
      </c>
      <c r="AX2110" s="80" t="s">
        <v>17951</v>
      </c>
      <c r="AY2110" s="77"/>
      <c r="AZ2110" s="80" t="s">
        <v>20380</v>
      </c>
      <c r="BA2110" s="80" t="s">
        <v>20380</v>
      </c>
      <c r="BB2110" s="80" t="s">
        <v>19843</v>
      </c>
      <c r="BC2110" s="80" t="s">
        <v>19843</v>
      </c>
      <c r="BD2110" s="77">
        <v>107005039</v>
      </c>
      <c r="BE2110" s="77"/>
      <c r="BF2110" s="77"/>
      <c r="BG2110" s="77"/>
      <c r="BH2110" s="77"/>
      <c r="BI2110" s="77"/>
    </row>
    <row r="2111" spans="1:61" x14ac:dyDescent="0.25">
      <c r="A2111" s="62" t="s">
        <v>875</v>
      </c>
      <c r="B2111" s="62" t="s">
        <v>875</v>
      </c>
      <c r="C2111" s="63"/>
      <c r="D2111" s="64"/>
      <c r="E2111" s="65"/>
      <c r="F2111" s="66"/>
      <c r="G2111" s="63"/>
      <c r="H2111" s="67"/>
      <c r="I2111" s="68"/>
      <c r="J2111" s="68"/>
      <c r="K2111" s="32"/>
      <c r="L2111" s="75">
        <v>2111</v>
      </c>
      <c r="M2111" s="75"/>
      <c r="N2111" s="70"/>
      <c r="O2111" s="77" t="s">
        <v>179</v>
      </c>
      <c r="P2111" s="79">
        <v>45105.767731481479</v>
      </c>
      <c r="Q2111" s="77" t="s">
        <v>3972</v>
      </c>
      <c r="R2111" s="77">
        <v>1</v>
      </c>
      <c r="S2111" s="77">
        <v>2</v>
      </c>
      <c r="T2111" s="77">
        <v>5</v>
      </c>
      <c r="U2111" s="77">
        <v>0</v>
      </c>
      <c r="V2111" s="77">
        <v>24</v>
      </c>
      <c r="W2111" s="80" t="s">
        <v>7237</v>
      </c>
      <c r="X2111" s="83" t="str">
        <f>HYPERLINK("https://www.grupoiimperio.com/post/bruselas-y-el-euro-digital?utm_source=linkedin&amp;utm_medium=blog.post-promoter&amp;utm_campaign=d0324202-0c57-4cd1-a5e1-1b74e0e5bb5f")</f>
        <v>https://www.grupoiimperio.com/post/bruselas-y-el-euro-digital?utm_source=linkedin&amp;utm_medium=blog.post-promoter&amp;utm_campaign=d0324202-0c57-4cd1-a5e1-1b74e0e5bb5f</v>
      </c>
      <c r="Y2111" s="77" t="s">
        <v>8763</v>
      </c>
      <c r="Z2111" s="77"/>
      <c r="AA2111" s="77"/>
      <c r="AB2111" s="77"/>
      <c r="AC2111" s="80" t="s">
        <v>10541</v>
      </c>
      <c r="AD2111" s="77" t="s">
        <v>10620</v>
      </c>
      <c r="AE2111" s="83" t="str">
        <f>HYPERLINK("https://twitter.com/inversionesimp2/status/1674121870981963776")</f>
        <v>https://twitter.com/inversionesimp2/status/1674121870981963776</v>
      </c>
      <c r="AF2111" s="79">
        <v>45105.767731481479</v>
      </c>
      <c r="AG2111" s="85">
        <v>45105</v>
      </c>
      <c r="AH2111" s="80" t="s">
        <v>12495</v>
      </c>
      <c r="AI2111" s="77" t="b">
        <v>0</v>
      </c>
      <c r="AJ2111" s="77"/>
      <c r="AK2111" s="77"/>
      <c r="AL2111" s="77"/>
      <c r="AM2111" s="77"/>
      <c r="AN2111" s="77"/>
      <c r="AO2111" s="77"/>
      <c r="AP2111" s="77"/>
      <c r="AQ2111" s="77"/>
      <c r="AR2111" s="77"/>
      <c r="AS2111" s="77"/>
      <c r="AT2111" s="77"/>
      <c r="AU2111" s="77"/>
      <c r="AV2111" s="83" t="str">
        <f>HYPERLINK("https://pbs.twimg.com/profile_images/1597313886478372865/RzZ9djm-_normal.jpg")</f>
        <v>https://pbs.twimg.com/profile_images/1597313886478372865/RzZ9djm-_normal.jpg</v>
      </c>
      <c r="AW2111" s="80" t="s">
        <v>17952</v>
      </c>
      <c r="AX2111" s="80" t="s">
        <v>17952</v>
      </c>
      <c r="AY2111" s="77"/>
      <c r="AZ2111" s="80" t="s">
        <v>20380</v>
      </c>
      <c r="BA2111" s="80" t="s">
        <v>20380</v>
      </c>
      <c r="BB2111" s="80" t="s">
        <v>20380</v>
      </c>
      <c r="BC2111" s="80" t="s">
        <v>17952</v>
      </c>
      <c r="BD2111" s="80" t="s">
        <v>20801</v>
      </c>
      <c r="BE2111" s="77"/>
      <c r="BF2111" s="77"/>
      <c r="BG2111" s="77"/>
      <c r="BH2111" s="77"/>
      <c r="BI2111" s="77"/>
    </row>
    <row r="2112" spans="1:61" x14ac:dyDescent="0.25">
      <c r="A2112" s="62" t="s">
        <v>876</v>
      </c>
      <c r="B2112" s="62" t="s">
        <v>1626</v>
      </c>
      <c r="C2112" s="63"/>
      <c r="D2112" s="64"/>
      <c r="E2112" s="65"/>
      <c r="F2112" s="66"/>
      <c r="G2112" s="63"/>
      <c r="H2112" s="67"/>
      <c r="I2112" s="68"/>
      <c r="J2112" s="68"/>
      <c r="K2112" s="32"/>
      <c r="L2112" s="75">
        <v>2112</v>
      </c>
      <c r="M2112" s="75"/>
      <c r="N2112" s="70"/>
      <c r="O2112" s="77" t="s">
        <v>2078</v>
      </c>
      <c r="P2112" s="79">
        <v>45096.537037037036</v>
      </c>
      <c r="Q2112" s="77" t="s">
        <v>3973</v>
      </c>
      <c r="R2112" s="77">
        <v>0</v>
      </c>
      <c r="S2112" s="77">
        <v>5</v>
      </c>
      <c r="T2112" s="77">
        <v>2</v>
      </c>
      <c r="U2112" s="77">
        <v>0</v>
      </c>
      <c r="V2112" s="77">
        <v>619</v>
      </c>
      <c r="W2112" s="80" t="s">
        <v>7238</v>
      </c>
      <c r="X2112" s="77"/>
      <c r="Y2112" s="77"/>
      <c r="Z2112" s="77" t="s">
        <v>1626</v>
      </c>
      <c r="AA2112" s="77"/>
      <c r="AB2112" s="77"/>
      <c r="AC2112" s="80" t="s">
        <v>10541</v>
      </c>
      <c r="AD2112" s="77" t="s">
        <v>10617</v>
      </c>
      <c r="AE2112" s="83" t="str">
        <f>HYPERLINK("https://twitter.com/maubrasileiro/status/1670776778837590016")</f>
        <v>https://twitter.com/maubrasileiro/status/1670776778837590016</v>
      </c>
      <c r="AF2112" s="79">
        <v>45096.537037037036</v>
      </c>
      <c r="AG2112" s="85">
        <v>45096</v>
      </c>
      <c r="AH2112" s="80" t="s">
        <v>12496</v>
      </c>
      <c r="AI2112" s="77"/>
      <c r="AJ2112" s="77"/>
      <c r="AK2112" s="77"/>
      <c r="AL2112" s="77"/>
      <c r="AM2112" s="77"/>
      <c r="AN2112" s="77"/>
      <c r="AO2112" s="77"/>
      <c r="AP2112" s="77"/>
      <c r="AQ2112" s="77"/>
      <c r="AR2112" s="77"/>
      <c r="AS2112" s="77"/>
      <c r="AT2112" s="77"/>
      <c r="AU2112" s="77"/>
      <c r="AV2112" s="83" t="str">
        <f>HYPERLINK("https://pbs.twimg.com/profile_images/1613942107781173255/XMq9dt2v_normal.jpg")</f>
        <v>https://pbs.twimg.com/profile_images/1613942107781173255/XMq9dt2v_normal.jpg</v>
      </c>
      <c r="AW2112" s="80" t="s">
        <v>17953</v>
      </c>
      <c r="AX2112" s="80" t="s">
        <v>20042</v>
      </c>
      <c r="AY2112" s="80" t="s">
        <v>20294</v>
      </c>
      <c r="AZ2112" s="80" t="s">
        <v>20042</v>
      </c>
      <c r="BA2112" s="80" t="s">
        <v>20380</v>
      </c>
      <c r="BB2112" s="80" t="s">
        <v>20380</v>
      </c>
      <c r="BC2112" s="80" t="s">
        <v>20042</v>
      </c>
      <c r="BD2112" s="80" t="s">
        <v>20802</v>
      </c>
      <c r="BE2112" s="77"/>
      <c r="BF2112" s="77"/>
      <c r="BG2112" s="77"/>
      <c r="BH2112" s="77"/>
      <c r="BI2112" s="77"/>
    </row>
    <row r="2113" spans="1:61" x14ac:dyDescent="0.25">
      <c r="A2113" s="62" t="s">
        <v>877</v>
      </c>
      <c r="B2113" s="62" t="s">
        <v>877</v>
      </c>
      <c r="C2113" s="63"/>
      <c r="D2113" s="64"/>
      <c r="E2113" s="65"/>
      <c r="F2113" s="66"/>
      <c r="G2113" s="63"/>
      <c r="H2113" s="67"/>
      <c r="I2113" s="68"/>
      <c r="J2113" s="68"/>
      <c r="K2113" s="32"/>
      <c r="L2113" s="75">
        <v>2113</v>
      </c>
      <c r="M2113" s="75"/>
      <c r="N2113" s="70"/>
      <c r="O2113" s="77" t="s">
        <v>179</v>
      </c>
      <c r="P2113" s="79">
        <v>45050.963622685187</v>
      </c>
      <c r="Q2113" s="77" t="s">
        <v>3974</v>
      </c>
      <c r="R2113" s="77">
        <v>0</v>
      </c>
      <c r="S2113" s="77">
        <v>1</v>
      </c>
      <c r="T2113" s="77">
        <v>0</v>
      </c>
      <c r="U2113" s="77">
        <v>0</v>
      </c>
      <c r="V2113" s="77">
        <v>49</v>
      </c>
      <c r="W2113" s="80" t="s">
        <v>6031</v>
      </c>
      <c r="X2113" s="77"/>
      <c r="Y2113" s="77"/>
      <c r="Z2113" s="77"/>
      <c r="AA2113" s="77" t="s">
        <v>9612</v>
      </c>
      <c r="AB2113" s="77" t="s">
        <v>10535</v>
      </c>
      <c r="AC2113" s="80" t="s">
        <v>10541</v>
      </c>
      <c r="AD2113" s="77" t="s">
        <v>10620</v>
      </c>
      <c r="AE2113" s="83" t="str">
        <f>HYPERLINK("https://twitter.com/bum__news/status/1654261529527697408")</f>
        <v>https://twitter.com/bum__news/status/1654261529527697408</v>
      </c>
      <c r="AF2113" s="79">
        <v>45050.963622685187</v>
      </c>
      <c r="AG2113" s="85">
        <v>45050</v>
      </c>
      <c r="AH2113" s="80" t="s">
        <v>12497</v>
      </c>
      <c r="AI2113" s="77" t="b">
        <v>0</v>
      </c>
      <c r="AJ2113" s="77"/>
      <c r="AK2113" s="77"/>
      <c r="AL2113" s="77"/>
      <c r="AM2113" s="77"/>
      <c r="AN2113" s="77"/>
      <c r="AO2113" s="77"/>
      <c r="AP2113" s="77"/>
      <c r="AQ2113" s="77" t="s">
        <v>15094</v>
      </c>
      <c r="AR2113" s="77"/>
      <c r="AS2113" s="77"/>
      <c r="AT2113" s="77"/>
      <c r="AU2113" s="77"/>
      <c r="AV2113" s="83" t="str">
        <f>HYPERLINK("https://pbs.twimg.com/media/FvUeFOLXwAA7nP0.jpg")</f>
        <v>https://pbs.twimg.com/media/FvUeFOLXwAA7nP0.jpg</v>
      </c>
      <c r="AW2113" s="80" t="s">
        <v>17954</v>
      </c>
      <c r="AX2113" s="80" t="s">
        <v>17954</v>
      </c>
      <c r="AY2113" s="77"/>
      <c r="AZ2113" s="80" t="s">
        <v>20380</v>
      </c>
      <c r="BA2113" s="80" t="s">
        <v>20380</v>
      </c>
      <c r="BB2113" s="80" t="s">
        <v>20380</v>
      </c>
      <c r="BC2113" s="80" t="s">
        <v>17954</v>
      </c>
      <c r="BD2113" s="80" t="s">
        <v>20803</v>
      </c>
      <c r="BE2113" s="77"/>
      <c r="BF2113" s="77"/>
      <c r="BG2113" s="77"/>
      <c r="BH2113" s="77"/>
      <c r="BI2113" s="77"/>
    </row>
    <row r="2114" spans="1:61" x14ac:dyDescent="0.25">
      <c r="A2114" s="62" t="s">
        <v>878</v>
      </c>
      <c r="B2114" s="62" t="s">
        <v>878</v>
      </c>
      <c r="C2114" s="63"/>
      <c r="D2114" s="64"/>
      <c r="E2114" s="65"/>
      <c r="F2114" s="66"/>
      <c r="G2114" s="63"/>
      <c r="H2114" s="67"/>
      <c r="I2114" s="68"/>
      <c r="J2114" s="68"/>
      <c r="K2114" s="32"/>
      <c r="L2114" s="75">
        <v>2114</v>
      </c>
      <c r="M2114" s="75"/>
      <c r="N2114" s="70"/>
      <c r="O2114" s="77" t="s">
        <v>179</v>
      </c>
      <c r="P2114" s="79">
        <v>45195.631921296299</v>
      </c>
      <c r="Q2114" s="77" t="s">
        <v>3975</v>
      </c>
      <c r="R2114" s="77">
        <v>0</v>
      </c>
      <c r="S2114" s="77">
        <v>2</v>
      </c>
      <c r="T2114" s="77">
        <v>0</v>
      </c>
      <c r="U2114" s="77">
        <v>0</v>
      </c>
      <c r="V2114" s="77">
        <v>406</v>
      </c>
      <c r="W2114" s="80" t="s">
        <v>7239</v>
      </c>
      <c r="X2114" s="77"/>
      <c r="Y2114" s="77"/>
      <c r="Z2114" s="77"/>
      <c r="AA2114" s="77" t="s">
        <v>9613</v>
      </c>
      <c r="AB2114" s="77" t="s">
        <v>10535</v>
      </c>
      <c r="AC2114" s="80" t="s">
        <v>10541</v>
      </c>
      <c r="AD2114" s="77" t="s">
        <v>10620</v>
      </c>
      <c r="AE2114" s="83" t="str">
        <f>HYPERLINK("https://twitter.com/astroporchett/status/1706687561538658800")</f>
        <v>https://twitter.com/astroporchett/status/1706687561538658800</v>
      </c>
      <c r="AF2114" s="79">
        <v>45195.631921296299</v>
      </c>
      <c r="AG2114" s="85">
        <v>45195</v>
      </c>
      <c r="AH2114" s="80" t="s">
        <v>12498</v>
      </c>
      <c r="AI2114" s="77" t="b">
        <v>0</v>
      </c>
      <c r="AJ2114" s="77"/>
      <c r="AK2114" s="77"/>
      <c r="AL2114" s="77"/>
      <c r="AM2114" s="77"/>
      <c r="AN2114" s="77"/>
      <c r="AO2114" s="77"/>
      <c r="AP2114" s="77"/>
      <c r="AQ2114" s="77" t="s">
        <v>15095</v>
      </c>
      <c r="AR2114" s="77"/>
      <c r="AS2114" s="77"/>
      <c r="AT2114" s="77"/>
      <c r="AU2114" s="77"/>
      <c r="AV2114" s="83" t="str">
        <f>HYPERLINK("https://pbs.twimg.com/media/F69fDFXWIAANKcc.jpg")</f>
        <v>https://pbs.twimg.com/media/F69fDFXWIAANKcc.jpg</v>
      </c>
      <c r="AW2114" s="80" t="s">
        <v>17955</v>
      </c>
      <c r="AX2114" s="80" t="s">
        <v>17955</v>
      </c>
      <c r="AY2114" s="77"/>
      <c r="AZ2114" s="80" t="s">
        <v>20380</v>
      </c>
      <c r="BA2114" s="80" t="s">
        <v>20380</v>
      </c>
      <c r="BB2114" s="80" t="s">
        <v>20380</v>
      </c>
      <c r="BC2114" s="80" t="s">
        <v>17955</v>
      </c>
      <c r="BD2114" s="80" t="s">
        <v>20804</v>
      </c>
      <c r="BE2114" s="77"/>
      <c r="BF2114" s="77"/>
      <c r="BG2114" s="77"/>
      <c r="BH2114" s="77"/>
      <c r="BI2114" s="77"/>
    </row>
    <row r="2115" spans="1:61" x14ac:dyDescent="0.25">
      <c r="A2115" s="62" t="s">
        <v>879</v>
      </c>
      <c r="B2115" s="62" t="s">
        <v>879</v>
      </c>
      <c r="C2115" s="63"/>
      <c r="D2115" s="64"/>
      <c r="E2115" s="65"/>
      <c r="F2115" s="66"/>
      <c r="G2115" s="63"/>
      <c r="H2115" s="67"/>
      <c r="I2115" s="68"/>
      <c r="J2115" s="68"/>
      <c r="K2115" s="32"/>
      <c r="L2115" s="75">
        <v>2115</v>
      </c>
      <c r="M2115" s="75"/>
      <c r="N2115" s="70"/>
      <c r="O2115" s="77" t="s">
        <v>179</v>
      </c>
      <c r="P2115" s="79">
        <v>45051.562847222223</v>
      </c>
      <c r="Q2115" s="77" t="s">
        <v>3976</v>
      </c>
      <c r="R2115" s="77">
        <v>0</v>
      </c>
      <c r="S2115" s="77">
        <v>0</v>
      </c>
      <c r="T2115" s="77">
        <v>1</v>
      </c>
      <c r="U2115" s="77">
        <v>0</v>
      </c>
      <c r="V2115" s="77">
        <v>18</v>
      </c>
      <c r="W2115" s="80" t="s">
        <v>7240</v>
      </c>
      <c r="X2115" s="77"/>
      <c r="Y2115" s="77"/>
      <c r="Z2115" s="77"/>
      <c r="AA2115" s="77" t="s">
        <v>9614</v>
      </c>
      <c r="AB2115" s="77" t="s">
        <v>10534</v>
      </c>
      <c r="AC2115" s="80" t="s">
        <v>10541</v>
      </c>
      <c r="AD2115" s="77" t="s">
        <v>10620</v>
      </c>
      <c r="AE2115" s="83" t="str">
        <f>HYPERLINK("https://twitter.com/matiaspmanghi/status/1654478681035755527")</f>
        <v>https://twitter.com/matiaspmanghi/status/1654478681035755527</v>
      </c>
      <c r="AF2115" s="79">
        <v>45051.562847222223</v>
      </c>
      <c r="AG2115" s="85">
        <v>45051</v>
      </c>
      <c r="AH2115" s="80" t="s">
        <v>10957</v>
      </c>
      <c r="AI2115" s="77" t="b">
        <v>1</v>
      </c>
      <c r="AJ2115" s="77"/>
      <c r="AK2115" s="77"/>
      <c r="AL2115" s="77"/>
      <c r="AM2115" s="77"/>
      <c r="AN2115" s="77"/>
      <c r="AO2115" s="77"/>
      <c r="AP2115" s="77"/>
      <c r="AQ2115" s="77" t="s">
        <v>15096</v>
      </c>
      <c r="AR2115" s="77">
        <v>56500</v>
      </c>
      <c r="AS2115" s="77"/>
      <c r="AT2115" s="77"/>
      <c r="AU2115" s="77"/>
      <c r="AV2115" s="83" t="str">
        <f>HYPERLINK("https://pbs.twimg.com/ext_tw_video_thumb/1654478525745774593/pu/img/TTZQpr1nEa_uDJRF.jpg")</f>
        <v>https://pbs.twimg.com/ext_tw_video_thumb/1654478525745774593/pu/img/TTZQpr1nEa_uDJRF.jpg</v>
      </c>
      <c r="AW2115" s="80" t="s">
        <v>17956</v>
      </c>
      <c r="AX2115" s="80" t="s">
        <v>17956</v>
      </c>
      <c r="AY2115" s="77"/>
      <c r="AZ2115" s="80" t="s">
        <v>20380</v>
      </c>
      <c r="BA2115" s="80" t="s">
        <v>20380</v>
      </c>
      <c r="BB2115" s="80" t="s">
        <v>20380</v>
      </c>
      <c r="BC2115" s="80" t="s">
        <v>17956</v>
      </c>
      <c r="BD2115" s="80" t="s">
        <v>20805</v>
      </c>
      <c r="BE2115" s="77"/>
      <c r="BF2115" s="77"/>
      <c r="BG2115" s="77"/>
      <c r="BH2115" s="77"/>
      <c r="BI2115" s="77"/>
    </row>
    <row r="2116" spans="1:61" x14ac:dyDescent="0.25">
      <c r="A2116" s="62" t="s">
        <v>880</v>
      </c>
      <c r="B2116" s="62" t="s">
        <v>880</v>
      </c>
      <c r="C2116" s="63"/>
      <c r="D2116" s="64"/>
      <c r="E2116" s="65"/>
      <c r="F2116" s="66"/>
      <c r="G2116" s="63"/>
      <c r="H2116" s="67"/>
      <c r="I2116" s="68"/>
      <c r="J2116" s="68"/>
      <c r="K2116" s="32"/>
      <c r="L2116" s="75">
        <v>2116</v>
      </c>
      <c r="M2116" s="75"/>
      <c r="N2116" s="70"/>
      <c r="O2116" s="77" t="s">
        <v>179</v>
      </c>
      <c r="P2116" s="79">
        <v>45141.446203703701</v>
      </c>
      <c r="Q2116" s="77" t="s">
        <v>3977</v>
      </c>
      <c r="R2116" s="77">
        <v>0</v>
      </c>
      <c r="S2116" s="77">
        <v>2</v>
      </c>
      <c r="T2116" s="77">
        <v>0</v>
      </c>
      <c r="U2116" s="77">
        <v>0</v>
      </c>
      <c r="V2116" s="77">
        <v>378</v>
      </c>
      <c r="W2116" s="80" t="s">
        <v>7241</v>
      </c>
      <c r="X2116" s="83" t="str">
        <f>HYPERLINK("https://youtube.com/shorts/ayhBJ1lK4M8?feature=share")</f>
        <v>https://youtube.com/shorts/ayhBJ1lK4M8?feature=share</v>
      </c>
      <c r="Y2116" s="77" t="s">
        <v>8612</v>
      </c>
      <c r="Z2116" s="77"/>
      <c r="AA2116" s="77" t="s">
        <v>9615</v>
      </c>
      <c r="AB2116" s="77" t="s">
        <v>10534</v>
      </c>
      <c r="AC2116" s="80" t="s">
        <v>10542</v>
      </c>
      <c r="AD2116" s="77" t="s">
        <v>10617</v>
      </c>
      <c r="AE2116" s="83" t="str">
        <f>HYPERLINK("https://twitter.com/genialinveste/status/1687051317875757056")</f>
        <v>https://twitter.com/genialinveste/status/1687051317875757056</v>
      </c>
      <c r="AF2116" s="79">
        <v>45141.446203703701</v>
      </c>
      <c r="AG2116" s="85">
        <v>45141</v>
      </c>
      <c r="AH2116" s="80" t="s">
        <v>12499</v>
      </c>
      <c r="AI2116" s="77" t="b">
        <v>0</v>
      </c>
      <c r="AJ2116" s="77" t="s">
        <v>14341</v>
      </c>
      <c r="AK2116" s="77" t="s">
        <v>14382</v>
      </c>
      <c r="AL2116" s="77" t="s">
        <v>14391</v>
      </c>
      <c r="AM2116" s="77" t="s">
        <v>14400</v>
      </c>
      <c r="AN2116" s="77" t="s">
        <v>14438</v>
      </c>
      <c r="AO2116" s="77" t="s">
        <v>14479</v>
      </c>
      <c r="AP2116" s="77" t="s">
        <v>14516</v>
      </c>
      <c r="AQ2116" s="77" t="s">
        <v>15097</v>
      </c>
      <c r="AR2116" s="77">
        <v>15233</v>
      </c>
      <c r="AS2116" s="77"/>
      <c r="AT2116" s="77"/>
      <c r="AU2116" s="77"/>
      <c r="AV2116" s="83" t="str">
        <f>HYPERLINK("https://pbs.twimg.com/amplify_video_thumb/1687051261802094593/img/06fzgf2jQfNHh4E2.jpg")</f>
        <v>https://pbs.twimg.com/amplify_video_thumb/1687051261802094593/img/06fzgf2jQfNHh4E2.jpg</v>
      </c>
      <c r="AW2116" s="80" t="s">
        <v>17957</v>
      </c>
      <c r="AX2116" s="80" t="s">
        <v>17957</v>
      </c>
      <c r="AY2116" s="77"/>
      <c r="AZ2116" s="80" t="s">
        <v>20380</v>
      </c>
      <c r="BA2116" s="80" t="s">
        <v>20380</v>
      </c>
      <c r="BB2116" s="80" t="s">
        <v>20380</v>
      </c>
      <c r="BC2116" s="80" t="s">
        <v>17957</v>
      </c>
      <c r="BD2116" s="77">
        <v>3353280789</v>
      </c>
      <c r="BE2116" s="77"/>
      <c r="BF2116" s="77"/>
      <c r="BG2116" s="77"/>
      <c r="BH2116" s="77"/>
      <c r="BI2116" s="77"/>
    </row>
    <row r="2117" spans="1:61" x14ac:dyDescent="0.25">
      <c r="A2117" s="62" t="s">
        <v>881</v>
      </c>
      <c r="B2117" s="62" t="s">
        <v>881</v>
      </c>
      <c r="C2117" s="63"/>
      <c r="D2117" s="64"/>
      <c r="E2117" s="65"/>
      <c r="F2117" s="66"/>
      <c r="G2117" s="63"/>
      <c r="H2117" s="67"/>
      <c r="I2117" s="68"/>
      <c r="J2117" s="68"/>
      <c r="K2117" s="32"/>
      <c r="L2117" s="75">
        <v>2117</v>
      </c>
      <c r="M2117" s="75"/>
      <c r="N2117" s="70"/>
      <c r="O2117" s="77" t="s">
        <v>179</v>
      </c>
      <c r="P2117" s="79">
        <v>45079.646122685182</v>
      </c>
      <c r="Q2117" s="77" t="s">
        <v>3978</v>
      </c>
      <c r="R2117" s="77">
        <v>0</v>
      </c>
      <c r="S2117" s="77">
        <v>0</v>
      </c>
      <c r="T2117" s="77">
        <v>0</v>
      </c>
      <c r="U2117" s="77">
        <v>0</v>
      </c>
      <c r="V2117" s="77">
        <v>1280</v>
      </c>
      <c r="W2117" s="80" t="s">
        <v>7242</v>
      </c>
      <c r="X2117" s="83" t="str">
        <f>HYPERLINK("https://lapoliticaonline.info/42cmnW1")</f>
        <v>https://lapoliticaonline.info/42cmnW1</v>
      </c>
      <c r="Y2117" s="77" t="s">
        <v>8764</v>
      </c>
      <c r="Z2117" s="77"/>
      <c r="AA2117" s="77" t="s">
        <v>9616</v>
      </c>
      <c r="AB2117" s="77" t="s">
        <v>10535</v>
      </c>
      <c r="AC2117" s="80" t="s">
        <v>10552</v>
      </c>
      <c r="AD2117" s="77" t="s">
        <v>10620</v>
      </c>
      <c r="AE2117" s="83" t="str">
        <f>HYPERLINK("https://twitter.com/lpoarg/status/1664655717884723201")</f>
        <v>https://twitter.com/lpoarg/status/1664655717884723201</v>
      </c>
      <c r="AF2117" s="79">
        <v>45079.646122685182</v>
      </c>
      <c r="AG2117" s="85">
        <v>45079</v>
      </c>
      <c r="AH2117" s="80" t="s">
        <v>12500</v>
      </c>
      <c r="AI2117" s="77" t="b">
        <v>0</v>
      </c>
      <c r="AJ2117" s="77"/>
      <c r="AK2117" s="77"/>
      <c r="AL2117" s="77"/>
      <c r="AM2117" s="77"/>
      <c r="AN2117" s="77"/>
      <c r="AO2117" s="77"/>
      <c r="AP2117" s="77"/>
      <c r="AQ2117" s="77" t="s">
        <v>15098</v>
      </c>
      <c r="AR2117" s="77"/>
      <c r="AS2117" s="77"/>
      <c r="AT2117" s="77"/>
      <c r="AU2117" s="77"/>
      <c r="AV2117" s="83" t="str">
        <f>HYPERLINK("https://pbs.twimg.com/media/FxoLjcPWwAAcJlU.jpg")</f>
        <v>https://pbs.twimg.com/media/FxoLjcPWwAAcJlU.jpg</v>
      </c>
      <c r="AW2117" s="80" t="s">
        <v>17958</v>
      </c>
      <c r="AX2117" s="80" t="s">
        <v>17958</v>
      </c>
      <c r="AY2117" s="77"/>
      <c r="AZ2117" s="80" t="s">
        <v>20380</v>
      </c>
      <c r="BA2117" s="80" t="s">
        <v>20380</v>
      </c>
      <c r="BB2117" s="80" t="s">
        <v>20380</v>
      </c>
      <c r="BC2117" s="80" t="s">
        <v>17958</v>
      </c>
      <c r="BD2117" s="77">
        <v>108968018</v>
      </c>
      <c r="BE2117" s="77"/>
      <c r="BF2117" s="77"/>
      <c r="BG2117" s="77"/>
      <c r="BH2117" s="77"/>
      <c r="BI2117" s="77"/>
    </row>
    <row r="2118" spans="1:61" x14ac:dyDescent="0.25">
      <c r="A2118" s="62" t="s">
        <v>881</v>
      </c>
      <c r="B2118" s="62" t="s">
        <v>881</v>
      </c>
      <c r="C2118" s="63"/>
      <c r="D2118" s="64"/>
      <c r="E2118" s="65"/>
      <c r="F2118" s="66"/>
      <c r="G2118" s="63"/>
      <c r="H2118" s="67"/>
      <c r="I2118" s="68"/>
      <c r="J2118" s="68"/>
      <c r="K2118" s="32"/>
      <c r="L2118" s="75">
        <v>2118</v>
      </c>
      <c r="M2118" s="75"/>
      <c r="N2118" s="70"/>
      <c r="O2118" s="77" t="s">
        <v>179</v>
      </c>
      <c r="P2118" s="79">
        <v>45078.754826388889</v>
      </c>
      <c r="Q2118" s="77" t="s">
        <v>3979</v>
      </c>
      <c r="R2118" s="77">
        <v>0</v>
      </c>
      <c r="S2118" s="77">
        <v>0</v>
      </c>
      <c r="T2118" s="77">
        <v>0</v>
      </c>
      <c r="U2118" s="77">
        <v>0</v>
      </c>
      <c r="V2118" s="77">
        <v>1312</v>
      </c>
      <c r="W2118" s="80" t="s">
        <v>7242</v>
      </c>
      <c r="X2118" s="83" t="str">
        <f>HYPERLINK("https://lapoliticaonline.info/42cmnW1")</f>
        <v>https://lapoliticaonline.info/42cmnW1</v>
      </c>
      <c r="Y2118" s="77" t="s">
        <v>8764</v>
      </c>
      <c r="Z2118" s="77"/>
      <c r="AA2118" s="77" t="s">
        <v>9617</v>
      </c>
      <c r="AB2118" s="77" t="s">
        <v>10535</v>
      </c>
      <c r="AC2118" s="80" t="s">
        <v>10552</v>
      </c>
      <c r="AD2118" s="77" t="s">
        <v>10620</v>
      </c>
      <c r="AE2118" s="83" t="str">
        <f>HYPERLINK("https://twitter.com/lpoarg/status/1664332722628640770")</f>
        <v>https://twitter.com/lpoarg/status/1664332722628640770</v>
      </c>
      <c r="AF2118" s="79">
        <v>45078.754826388889</v>
      </c>
      <c r="AG2118" s="85">
        <v>45078</v>
      </c>
      <c r="AH2118" s="80" t="s">
        <v>12501</v>
      </c>
      <c r="AI2118" s="77" t="b">
        <v>0</v>
      </c>
      <c r="AJ2118" s="77"/>
      <c r="AK2118" s="77"/>
      <c r="AL2118" s="77"/>
      <c r="AM2118" s="77"/>
      <c r="AN2118" s="77"/>
      <c r="AO2118" s="77"/>
      <c r="AP2118" s="77"/>
      <c r="AQ2118" s="77" t="s">
        <v>15099</v>
      </c>
      <c r="AR2118" s="77"/>
      <c r="AS2118" s="77"/>
      <c r="AT2118" s="77"/>
      <c r="AU2118" s="77"/>
      <c r="AV2118" s="83" t="str">
        <f>HYPERLINK("https://pbs.twimg.com/media/FxjlyprXgAA_ySY.jpg")</f>
        <v>https://pbs.twimg.com/media/FxjlyprXgAA_ySY.jpg</v>
      </c>
      <c r="AW2118" s="80" t="s">
        <v>17959</v>
      </c>
      <c r="AX2118" s="80" t="s">
        <v>17959</v>
      </c>
      <c r="AY2118" s="77"/>
      <c r="AZ2118" s="80" t="s">
        <v>20380</v>
      </c>
      <c r="BA2118" s="80" t="s">
        <v>20380</v>
      </c>
      <c r="BB2118" s="80" t="s">
        <v>20380</v>
      </c>
      <c r="BC2118" s="80" t="s">
        <v>17959</v>
      </c>
      <c r="BD2118" s="77">
        <v>108968018</v>
      </c>
      <c r="BE2118" s="77"/>
      <c r="BF2118" s="77"/>
      <c r="BG2118" s="77"/>
      <c r="BH2118" s="77"/>
      <c r="BI2118" s="77"/>
    </row>
    <row r="2119" spans="1:61" x14ac:dyDescent="0.25">
      <c r="A2119" s="62" t="s">
        <v>881</v>
      </c>
      <c r="B2119" s="62" t="s">
        <v>881</v>
      </c>
      <c r="C2119" s="63"/>
      <c r="D2119" s="64"/>
      <c r="E2119" s="65"/>
      <c r="F2119" s="66"/>
      <c r="G2119" s="63"/>
      <c r="H2119" s="67"/>
      <c r="I2119" s="68"/>
      <c r="J2119" s="68"/>
      <c r="K2119" s="32"/>
      <c r="L2119" s="75">
        <v>2119</v>
      </c>
      <c r="M2119" s="75"/>
      <c r="N2119" s="70"/>
      <c r="O2119" s="77" t="s">
        <v>179</v>
      </c>
      <c r="P2119" s="79">
        <v>45090.586967592593</v>
      </c>
      <c r="Q2119" s="77" t="s">
        <v>3980</v>
      </c>
      <c r="R2119" s="77">
        <v>1</v>
      </c>
      <c r="S2119" s="77">
        <v>1</v>
      </c>
      <c r="T2119" s="77">
        <v>0</v>
      </c>
      <c r="U2119" s="77">
        <v>0</v>
      </c>
      <c r="V2119" s="77">
        <v>1447</v>
      </c>
      <c r="W2119" s="80" t="s">
        <v>7243</v>
      </c>
      <c r="X2119" s="83" t="str">
        <f>HYPERLINK("https://www.lapoliticaonline.com/economia/deuda-provincias-fallo-a-favor-de-cordoba/")</f>
        <v>https://www.lapoliticaonline.com/economia/deuda-provincias-fallo-a-favor-de-cordoba/</v>
      </c>
      <c r="Y2119" s="77" t="s">
        <v>8765</v>
      </c>
      <c r="Z2119" s="77"/>
      <c r="AA2119" s="77"/>
      <c r="AB2119" s="77"/>
      <c r="AC2119" s="80" t="s">
        <v>10552</v>
      </c>
      <c r="AD2119" s="77" t="s">
        <v>10620</v>
      </c>
      <c r="AE2119" s="83" t="str">
        <f>HYPERLINK("https://twitter.com/lpoarg/status/1668620548681904129")</f>
        <v>https://twitter.com/lpoarg/status/1668620548681904129</v>
      </c>
      <c r="AF2119" s="79">
        <v>45090.586967592593</v>
      </c>
      <c r="AG2119" s="85">
        <v>45090</v>
      </c>
      <c r="AH2119" s="80" t="s">
        <v>12502</v>
      </c>
      <c r="AI2119" s="77" t="b">
        <v>0</v>
      </c>
      <c r="AJ2119" s="77"/>
      <c r="AK2119" s="77"/>
      <c r="AL2119" s="77"/>
      <c r="AM2119" s="77"/>
      <c r="AN2119" s="77"/>
      <c r="AO2119" s="77"/>
      <c r="AP2119" s="77"/>
      <c r="AQ2119" s="77"/>
      <c r="AR2119" s="77"/>
      <c r="AS2119" s="77"/>
      <c r="AT2119" s="77"/>
      <c r="AU2119" s="77"/>
      <c r="AV2119" s="83" t="str">
        <f>HYPERLINK("https://pbs.twimg.com/profile_images/1181195719601995777/kpF5J5bb_normal.jpg")</f>
        <v>https://pbs.twimg.com/profile_images/1181195719601995777/kpF5J5bb_normal.jpg</v>
      </c>
      <c r="AW2119" s="80" t="s">
        <v>17960</v>
      </c>
      <c r="AX2119" s="80" t="s">
        <v>17960</v>
      </c>
      <c r="AY2119" s="77"/>
      <c r="AZ2119" s="80" t="s">
        <v>20380</v>
      </c>
      <c r="BA2119" s="80" t="s">
        <v>20380</v>
      </c>
      <c r="BB2119" s="80" t="s">
        <v>20380</v>
      </c>
      <c r="BC2119" s="80" t="s">
        <v>17960</v>
      </c>
      <c r="BD2119" s="77">
        <v>108968018</v>
      </c>
      <c r="BE2119" s="77"/>
      <c r="BF2119" s="77"/>
      <c r="BG2119" s="77"/>
      <c r="BH2119" s="77"/>
      <c r="BI2119" s="77"/>
    </row>
    <row r="2120" spans="1:61" x14ac:dyDescent="0.25">
      <c r="A2120" s="62" t="s">
        <v>882</v>
      </c>
      <c r="B2120" s="62" t="s">
        <v>882</v>
      </c>
      <c r="C2120" s="63"/>
      <c r="D2120" s="64"/>
      <c r="E2120" s="65"/>
      <c r="F2120" s="66"/>
      <c r="G2120" s="63"/>
      <c r="H2120" s="67"/>
      <c r="I2120" s="68"/>
      <c r="J2120" s="68"/>
      <c r="K2120" s="32"/>
      <c r="L2120" s="75">
        <v>2120</v>
      </c>
      <c r="M2120" s="75"/>
      <c r="N2120" s="70"/>
      <c r="O2120" s="77" t="s">
        <v>179</v>
      </c>
      <c r="P2120" s="79">
        <v>45121.520624999997</v>
      </c>
      <c r="Q2120" s="77" t="s">
        <v>3981</v>
      </c>
      <c r="R2120" s="77">
        <v>0</v>
      </c>
      <c r="S2120" s="77">
        <v>0</v>
      </c>
      <c r="T2120" s="77">
        <v>0</v>
      </c>
      <c r="U2120" s="77">
        <v>0</v>
      </c>
      <c r="V2120" s="77">
        <v>11</v>
      </c>
      <c r="W2120" s="80" t="s">
        <v>7244</v>
      </c>
      <c r="X2120" s="83" t="str">
        <f>HYPERLINK("https://www.neuquenpost.com/salud/neuquen-pagara-deuda-con-dolares-propios/")</f>
        <v>https://www.neuquenpost.com/salud/neuquen-pagara-deuda-con-dolares-propios/</v>
      </c>
      <c r="Y2120" s="77" t="s">
        <v>8766</v>
      </c>
      <c r="Z2120" s="77"/>
      <c r="AA2120" s="77"/>
      <c r="AB2120" s="77"/>
      <c r="AC2120" s="80" t="s">
        <v>10541</v>
      </c>
      <c r="AD2120" s="77" t="s">
        <v>10620</v>
      </c>
      <c r="AE2120" s="83" t="str">
        <f>HYPERLINK("https://twitter.com/neuquenpostc/status/1679830527140929536")</f>
        <v>https://twitter.com/neuquenpostc/status/1679830527140929536</v>
      </c>
      <c r="AF2120" s="79">
        <v>45121.520624999997</v>
      </c>
      <c r="AG2120" s="85">
        <v>45121</v>
      </c>
      <c r="AH2120" s="80" t="s">
        <v>12503</v>
      </c>
      <c r="AI2120" s="77" t="b">
        <v>0</v>
      </c>
      <c r="AJ2120" s="77"/>
      <c r="AK2120" s="77"/>
      <c r="AL2120" s="77"/>
      <c r="AM2120" s="77"/>
      <c r="AN2120" s="77"/>
      <c r="AO2120" s="77"/>
      <c r="AP2120" s="77"/>
      <c r="AQ2120" s="77"/>
      <c r="AR2120" s="77"/>
      <c r="AS2120" s="77"/>
      <c r="AT2120" s="77"/>
      <c r="AU2120" s="77"/>
      <c r="AV2120" s="83" t="str">
        <f>HYPERLINK("https://pbs.twimg.com/profile_images/1590710185588310017/Oh8FsGwa_normal.jpg")</f>
        <v>https://pbs.twimg.com/profile_images/1590710185588310017/Oh8FsGwa_normal.jpg</v>
      </c>
      <c r="AW2120" s="80" t="s">
        <v>17961</v>
      </c>
      <c r="AX2120" s="80" t="s">
        <v>17961</v>
      </c>
      <c r="AY2120" s="77"/>
      <c r="AZ2120" s="80" t="s">
        <v>20380</v>
      </c>
      <c r="BA2120" s="80" t="s">
        <v>20380</v>
      </c>
      <c r="BB2120" s="80" t="s">
        <v>20380</v>
      </c>
      <c r="BC2120" s="80" t="s">
        <v>17961</v>
      </c>
      <c r="BD2120" s="80" t="s">
        <v>20806</v>
      </c>
      <c r="BE2120" s="77"/>
      <c r="BF2120" s="77"/>
      <c r="BG2120" s="77"/>
      <c r="BH2120" s="77"/>
      <c r="BI2120" s="77"/>
    </row>
    <row r="2121" spans="1:61" x14ac:dyDescent="0.25">
      <c r="A2121" s="62" t="s">
        <v>882</v>
      </c>
      <c r="B2121" s="62" t="s">
        <v>882</v>
      </c>
      <c r="C2121" s="63"/>
      <c r="D2121" s="64"/>
      <c r="E2121" s="65"/>
      <c r="F2121" s="66"/>
      <c r="G2121" s="63"/>
      <c r="H2121" s="67"/>
      <c r="I2121" s="68"/>
      <c r="J2121" s="68"/>
      <c r="K2121" s="32"/>
      <c r="L2121" s="75">
        <v>2121</v>
      </c>
      <c r="M2121" s="75"/>
      <c r="N2121" s="70"/>
      <c r="O2121" s="77" t="s">
        <v>179</v>
      </c>
      <c r="P2121" s="79">
        <v>45135.784722222219</v>
      </c>
      <c r="Q2121" s="77" t="s">
        <v>3982</v>
      </c>
      <c r="R2121" s="77">
        <v>0</v>
      </c>
      <c r="S2121" s="77">
        <v>0</v>
      </c>
      <c r="T2121" s="77">
        <v>0</v>
      </c>
      <c r="U2121" s="77">
        <v>0</v>
      </c>
      <c r="V2121" s="77">
        <v>114</v>
      </c>
      <c r="W2121" s="80" t="s">
        <v>7245</v>
      </c>
      <c r="X2121" s="83" t="str">
        <f>HYPERLINK("https://www.neuquenpost.com/salud/argentina-acordo-con-el-fmi-un-desembolso-de-us-7-000-millones/")</f>
        <v>https://www.neuquenpost.com/salud/argentina-acordo-con-el-fmi-un-desembolso-de-us-7-000-millones/</v>
      </c>
      <c r="Y2121" s="77" t="s">
        <v>8766</v>
      </c>
      <c r="Z2121" s="77"/>
      <c r="AA2121" s="77"/>
      <c r="AB2121" s="77"/>
      <c r="AC2121" s="80" t="s">
        <v>10541</v>
      </c>
      <c r="AD2121" s="77" t="s">
        <v>10620</v>
      </c>
      <c r="AE2121" s="83" t="str">
        <f>HYPERLINK("https://twitter.com/neuquenpostc/status/1684999663676530689")</f>
        <v>https://twitter.com/neuquenpostc/status/1684999663676530689</v>
      </c>
      <c r="AF2121" s="79">
        <v>45135.784722222219</v>
      </c>
      <c r="AG2121" s="85">
        <v>45135</v>
      </c>
      <c r="AH2121" s="80" t="s">
        <v>12504</v>
      </c>
      <c r="AI2121" s="77" t="b">
        <v>0</v>
      </c>
      <c r="AJ2121" s="77"/>
      <c r="AK2121" s="77"/>
      <c r="AL2121" s="77"/>
      <c r="AM2121" s="77"/>
      <c r="AN2121" s="77"/>
      <c r="AO2121" s="77"/>
      <c r="AP2121" s="77"/>
      <c r="AQ2121" s="77"/>
      <c r="AR2121" s="77"/>
      <c r="AS2121" s="77"/>
      <c r="AT2121" s="77"/>
      <c r="AU2121" s="77"/>
      <c r="AV2121" s="83" t="str">
        <f>HYPERLINK("https://pbs.twimg.com/profile_images/1590710185588310017/Oh8FsGwa_normal.jpg")</f>
        <v>https://pbs.twimg.com/profile_images/1590710185588310017/Oh8FsGwa_normal.jpg</v>
      </c>
      <c r="AW2121" s="80" t="s">
        <v>17962</v>
      </c>
      <c r="AX2121" s="80" t="s">
        <v>17962</v>
      </c>
      <c r="AY2121" s="77"/>
      <c r="AZ2121" s="80" t="s">
        <v>20380</v>
      </c>
      <c r="BA2121" s="80" t="s">
        <v>20380</v>
      </c>
      <c r="BB2121" s="80" t="s">
        <v>20380</v>
      </c>
      <c r="BC2121" s="80" t="s">
        <v>17962</v>
      </c>
      <c r="BD2121" s="80" t="s">
        <v>20806</v>
      </c>
      <c r="BE2121" s="77"/>
      <c r="BF2121" s="77"/>
      <c r="BG2121" s="77"/>
      <c r="BH2121" s="77"/>
      <c r="BI2121" s="77"/>
    </row>
    <row r="2122" spans="1:61" x14ac:dyDescent="0.25">
      <c r="A2122" s="62" t="s">
        <v>882</v>
      </c>
      <c r="B2122" s="62" t="s">
        <v>882</v>
      </c>
      <c r="C2122" s="63"/>
      <c r="D2122" s="64"/>
      <c r="E2122" s="65"/>
      <c r="F2122" s="66"/>
      <c r="G2122" s="63"/>
      <c r="H2122" s="67"/>
      <c r="I2122" s="68"/>
      <c r="J2122" s="68"/>
      <c r="K2122" s="32"/>
      <c r="L2122" s="75">
        <v>2122</v>
      </c>
      <c r="M2122" s="75"/>
      <c r="N2122" s="70"/>
      <c r="O2122" s="77" t="s">
        <v>179</v>
      </c>
      <c r="P2122" s="79">
        <v>45061.775891203702</v>
      </c>
      <c r="Q2122" s="77" t="s">
        <v>3983</v>
      </c>
      <c r="R2122" s="77">
        <v>0</v>
      </c>
      <c r="S2122" s="77">
        <v>0</v>
      </c>
      <c r="T2122" s="77">
        <v>0</v>
      </c>
      <c r="U2122" s="77">
        <v>0</v>
      </c>
      <c r="V2122" s="77">
        <v>3</v>
      </c>
      <c r="W2122" s="80" t="s">
        <v>7246</v>
      </c>
      <c r="X2122" s="83" t="str">
        <f>HYPERLINK("https://www.neuquenpost.com/salud/plazo-fijo/")</f>
        <v>https://www.neuquenpost.com/salud/plazo-fijo/</v>
      </c>
      <c r="Y2122" s="77" t="s">
        <v>8766</v>
      </c>
      <c r="Z2122" s="77"/>
      <c r="AA2122" s="77"/>
      <c r="AB2122" s="77"/>
      <c r="AC2122" s="80" t="s">
        <v>10541</v>
      </c>
      <c r="AD2122" s="77" t="s">
        <v>10620</v>
      </c>
      <c r="AE2122" s="83" t="str">
        <f>HYPERLINK("https://twitter.com/neuquenpostc/status/1658179762324422656")</f>
        <v>https://twitter.com/neuquenpostc/status/1658179762324422656</v>
      </c>
      <c r="AF2122" s="79">
        <v>45061.775891203702</v>
      </c>
      <c r="AG2122" s="85">
        <v>45061</v>
      </c>
      <c r="AH2122" s="80" t="s">
        <v>12505</v>
      </c>
      <c r="AI2122" s="77" t="b">
        <v>0</v>
      </c>
      <c r="AJ2122" s="77"/>
      <c r="AK2122" s="77"/>
      <c r="AL2122" s="77"/>
      <c r="AM2122" s="77"/>
      <c r="AN2122" s="77"/>
      <c r="AO2122" s="77"/>
      <c r="AP2122" s="77"/>
      <c r="AQ2122" s="77"/>
      <c r="AR2122" s="77"/>
      <c r="AS2122" s="77"/>
      <c r="AT2122" s="77"/>
      <c r="AU2122" s="77"/>
      <c r="AV2122" s="83" t="str">
        <f>HYPERLINK("https://pbs.twimg.com/profile_images/1590710185588310017/Oh8FsGwa_normal.jpg")</f>
        <v>https://pbs.twimg.com/profile_images/1590710185588310017/Oh8FsGwa_normal.jpg</v>
      </c>
      <c r="AW2122" s="80" t="s">
        <v>17963</v>
      </c>
      <c r="AX2122" s="80" t="s">
        <v>17963</v>
      </c>
      <c r="AY2122" s="77"/>
      <c r="AZ2122" s="80" t="s">
        <v>20380</v>
      </c>
      <c r="BA2122" s="80" t="s">
        <v>20380</v>
      </c>
      <c r="BB2122" s="80" t="s">
        <v>20380</v>
      </c>
      <c r="BC2122" s="80" t="s">
        <v>17963</v>
      </c>
      <c r="BD2122" s="80" t="s">
        <v>20806</v>
      </c>
      <c r="BE2122" s="77"/>
      <c r="BF2122" s="77"/>
      <c r="BG2122" s="77"/>
      <c r="BH2122" s="77"/>
      <c r="BI2122" s="77"/>
    </row>
    <row r="2123" spans="1:61" x14ac:dyDescent="0.25">
      <c r="A2123" s="62" t="s">
        <v>883</v>
      </c>
      <c r="B2123" s="62" t="s">
        <v>883</v>
      </c>
      <c r="C2123" s="63"/>
      <c r="D2123" s="64"/>
      <c r="E2123" s="65"/>
      <c r="F2123" s="66"/>
      <c r="G2123" s="63"/>
      <c r="H2123" s="67"/>
      <c r="I2123" s="68"/>
      <c r="J2123" s="68"/>
      <c r="K2123" s="32"/>
      <c r="L2123" s="75">
        <v>2123</v>
      </c>
      <c r="M2123" s="75"/>
      <c r="N2123" s="70"/>
      <c r="O2123" s="77" t="s">
        <v>179</v>
      </c>
      <c r="P2123" s="79">
        <v>45060.649282407408</v>
      </c>
      <c r="Q2123" s="77" t="s">
        <v>3984</v>
      </c>
      <c r="R2123" s="77">
        <v>1</v>
      </c>
      <c r="S2123" s="77">
        <v>9</v>
      </c>
      <c r="T2123" s="77">
        <v>1</v>
      </c>
      <c r="U2123" s="77">
        <v>0</v>
      </c>
      <c r="V2123" s="77">
        <v>710</v>
      </c>
      <c r="W2123" s="80" t="s">
        <v>5884</v>
      </c>
      <c r="X2123" s="77"/>
      <c r="Y2123" s="77"/>
      <c r="Z2123" s="77"/>
      <c r="AA2123" s="77"/>
      <c r="AB2123" s="77"/>
      <c r="AC2123" s="80" t="s">
        <v>10540</v>
      </c>
      <c r="AD2123" s="77" t="s">
        <v>10620</v>
      </c>
      <c r="AE2123" s="83" t="str">
        <f>HYPERLINK("https://twitter.com/mercolombres/status/1657771493265223680")</f>
        <v>https://twitter.com/mercolombres/status/1657771493265223680</v>
      </c>
      <c r="AF2123" s="79">
        <v>45060.649282407408</v>
      </c>
      <c r="AG2123" s="85">
        <v>45060</v>
      </c>
      <c r="AH2123" s="80" t="s">
        <v>12506</v>
      </c>
      <c r="AI2123" s="77"/>
      <c r="AJ2123" s="77"/>
      <c r="AK2123" s="77"/>
      <c r="AL2123" s="77"/>
      <c r="AM2123" s="77"/>
      <c r="AN2123" s="77"/>
      <c r="AO2123" s="77"/>
      <c r="AP2123" s="77"/>
      <c r="AQ2123" s="77"/>
      <c r="AR2123" s="77"/>
      <c r="AS2123" s="77"/>
      <c r="AT2123" s="77"/>
      <c r="AU2123" s="77"/>
      <c r="AV2123" s="83" t="str">
        <f>HYPERLINK("https://pbs.twimg.com/profile_images/1393585670170492928/eMPqOVPo_normal.jpg")</f>
        <v>https://pbs.twimg.com/profile_images/1393585670170492928/eMPqOVPo_normal.jpg</v>
      </c>
      <c r="AW2123" s="80" t="s">
        <v>17964</v>
      </c>
      <c r="AX2123" s="80" t="s">
        <v>17964</v>
      </c>
      <c r="AY2123" s="77"/>
      <c r="AZ2123" s="80" t="s">
        <v>20380</v>
      </c>
      <c r="BA2123" s="80" t="s">
        <v>20380</v>
      </c>
      <c r="BB2123" s="80" t="s">
        <v>20380</v>
      </c>
      <c r="BC2123" s="80" t="s">
        <v>17964</v>
      </c>
      <c r="BD2123" s="77">
        <v>59649411</v>
      </c>
      <c r="BE2123" s="77"/>
      <c r="BF2123" s="77"/>
      <c r="BG2123" s="77"/>
      <c r="BH2123" s="77"/>
      <c r="BI2123" s="77"/>
    </row>
    <row r="2124" spans="1:61" x14ac:dyDescent="0.25">
      <c r="A2124" s="62" t="s">
        <v>884</v>
      </c>
      <c r="B2124" s="62" t="s">
        <v>884</v>
      </c>
      <c r="C2124" s="63"/>
      <c r="D2124" s="64"/>
      <c r="E2124" s="65"/>
      <c r="F2124" s="66"/>
      <c r="G2124" s="63"/>
      <c r="H2124" s="67"/>
      <c r="I2124" s="68"/>
      <c r="J2124" s="68"/>
      <c r="K2124" s="32"/>
      <c r="L2124" s="75">
        <v>2124</v>
      </c>
      <c r="M2124" s="75"/>
      <c r="N2124" s="70"/>
      <c r="O2124" s="77" t="s">
        <v>179</v>
      </c>
      <c r="P2124" s="79">
        <v>45162.650706018518</v>
      </c>
      <c r="Q2124" s="77" t="s">
        <v>3985</v>
      </c>
      <c r="R2124" s="77">
        <v>0</v>
      </c>
      <c r="S2124" s="77">
        <v>0</v>
      </c>
      <c r="T2124" s="77">
        <v>0</v>
      </c>
      <c r="U2124" s="77">
        <v>0</v>
      </c>
      <c r="V2124" s="77">
        <v>104</v>
      </c>
      <c r="W2124" s="80" t="s">
        <v>7247</v>
      </c>
      <c r="X2124" s="77"/>
      <c r="Y2124" s="77"/>
      <c r="Z2124" s="77"/>
      <c r="AA2124" s="77"/>
      <c r="AB2124" s="77"/>
      <c r="AC2124" s="80" t="s">
        <v>10541</v>
      </c>
      <c r="AD2124" s="77" t="s">
        <v>10620</v>
      </c>
      <c r="AE2124" s="83" t="str">
        <f>HYPERLINK("https://twitter.com/joselilloy/status/1694735572810543561")</f>
        <v>https://twitter.com/joselilloy/status/1694735572810543561</v>
      </c>
      <c r="AF2124" s="79">
        <v>45162.650706018518</v>
      </c>
      <c r="AG2124" s="85">
        <v>45162</v>
      </c>
      <c r="AH2124" s="80" t="s">
        <v>12507</v>
      </c>
      <c r="AI2124" s="77"/>
      <c r="AJ2124" s="77"/>
      <c r="AK2124" s="77"/>
      <c r="AL2124" s="77"/>
      <c r="AM2124" s="77"/>
      <c r="AN2124" s="77"/>
      <c r="AO2124" s="77"/>
      <c r="AP2124" s="77"/>
      <c r="AQ2124" s="77"/>
      <c r="AR2124" s="77"/>
      <c r="AS2124" s="77"/>
      <c r="AT2124" s="77"/>
      <c r="AU2124" s="77"/>
      <c r="AV2124" s="83" t="str">
        <f>HYPERLINK("https://pbs.twimg.com/profile_images/1664001932564758529/aezywWZQ_normal.jpg")</f>
        <v>https://pbs.twimg.com/profile_images/1664001932564758529/aezywWZQ_normal.jpg</v>
      </c>
      <c r="AW2124" s="80" t="s">
        <v>17965</v>
      </c>
      <c r="AX2124" s="80" t="s">
        <v>17965</v>
      </c>
      <c r="AY2124" s="77"/>
      <c r="AZ2124" s="80" t="s">
        <v>20380</v>
      </c>
      <c r="BA2124" s="80" t="s">
        <v>20380</v>
      </c>
      <c r="BB2124" s="80" t="s">
        <v>20380</v>
      </c>
      <c r="BC2124" s="80" t="s">
        <v>17965</v>
      </c>
      <c r="BD2124" s="80" t="s">
        <v>20807</v>
      </c>
      <c r="BE2124" s="77"/>
      <c r="BF2124" s="77"/>
      <c r="BG2124" s="77"/>
      <c r="BH2124" s="77"/>
      <c r="BI2124" s="77"/>
    </row>
    <row r="2125" spans="1:61" x14ac:dyDescent="0.25">
      <c r="A2125" s="62" t="s">
        <v>884</v>
      </c>
      <c r="B2125" s="62" t="s">
        <v>884</v>
      </c>
      <c r="C2125" s="63"/>
      <c r="D2125" s="64"/>
      <c r="E2125" s="65"/>
      <c r="F2125" s="66"/>
      <c r="G2125" s="63"/>
      <c r="H2125" s="67"/>
      <c r="I2125" s="68"/>
      <c r="J2125" s="68"/>
      <c r="K2125" s="32"/>
      <c r="L2125" s="75">
        <v>2125</v>
      </c>
      <c r="M2125" s="75"/>
      <c r="N2125" s="70"/>
      <c r="O2125" s="77" t="s">
        <v>179</v>
      </c>
      <c r="P2125" s="79">
        <v>45163.211099537039</v>
      </c>
      <c r="Q2125" s="77" t="s">
        <v>3986</v>
      </c>
      <c r="R2125" s="77">
        <v>0</v>
      </c>
      <c r="S2125" s="77">
        <v>0</v>
      </c>
      <c r="T2125" s="77">
        <v>0</v>
      </c>
      <c r="U2125" s="77">
        <v>0</v>
      </c>
      <c r="V2125" s="77">
        <v>108</v>
      </c>
      <c r="W2125" s="80" t="s">
        <v>7248</v>
      </c>
      <c r="X2125" s="77"/>
      <c r="Y2125" s="77"/>
      <c r="Z2125" s="77"/>
      <c r="AA2125" s="77"/>
      <c r="AB2125" s="77"/>
      <c r="AC2125" s="80" t="s">
        <v>10541</v>
      </c>
      <c r="AD2125" s="77" t="s">
        <v>10620</v>
      </c>
      <c r="AE2125" s="83" t="str">
        <f>HYPERLINK("https://twitter.com/joselilloy/status/1694938649064825145")</f>
        <v>https://twitter.com/joselilloy/status/1694938649064825145</v>
      </c>
      <c r="AF2125" s="79">
        <v>45163.211099537039</v>
      </c>
      <c r="AG2125" s="85">
        <v>45163</v>
      </c>
      <c r="AH2125" s="80" t="s">
        <v>12508</v>
      </c>
      <c r="AI2125" s="77"/>
      <c r="AJ2125" s="77"/>
      <c r="AK2125" s="77"/>
      <c r="AL2125" s="77"/>
      <c r="AM2125" s="77"/>
      <c r="AN2125" s="77"/>
      <c r="AO2125" s="77"/>
      <c r="AP2125" s="77"/>
      <c r="AQ2125" s="77"/>
      <c r="AR2125" s="77"/>
      <c r="AS2125" s="77"/>
      <c r="AT2125" s="77"/>
      <c r="AU2125" s="77"/>
      <c r="AV2125" s="83" t="str">
        <f>HYPERLINK("https://pbs.twimg.com/profile_images/1664001932564758529/aezywWZQ_normal.jpg")</f>
        <v>https://pbs.twimg.com/profile_images/1664001932564758529/aezywWZQ_normal.jpg</v>
      </c>
      <c r="AW2125" s="80" t="s">
        <v>17966</v>
      </c>
      <c r="AX2125" s="80" t="s">
        <v>17966</v>
      </c>
      <c r="AY2125" s="77"/>
      <c r="AZ2125" s="80" t="s">
        <v>20380</v>
      </c>
      <c r="BA2125" s="80" t="s">
        <v>20380</v>
      </c>
      <c r="BB2125" s="80" t="s">
        <v>20380</v>
      </c>
      <c r="BC2125" s="80" t="s">
        <v>17966</v>
      </c>
      <c r="BD2125" s="80" t="s">
        <v>20807</v>
      </c>
      <c r="BE2125" s="77"/>
      <c r="BF2125" s="77"/>
      <c r="BG2125" s="77"/>
      <c r="BH2125" s="77"/>
      <c r="BI2125" s="77"/>
    </row>
    <row r="2126" spans="1:61" x14ac:dyDescent="0.25">
      <c r="A2126" s="62" t="s">
        <v>885</v>
      </c>
      <c r="B2126" s="62" t="s">
        <v>1902</v>
      </c>
      <c r="C2126" s="63"/>
      <c r="D2126" s="64"/>
      <c r="E2126" s="65"/>
      <c r="F2126" s="66"/>
      <c r="G2126" s="63"/>
      <c r="H2126" s="67"/>
      <c r="I2126" s="68"/>
      <c r="J2126" s="68"/>
      <c r="K2126" s="32"/>
      <c r="L2126" s="75">
        <v>2126</v>
      </c>
      <c r="M2126" s="75"/>
      <c r="N2126" s="70"/>
      <c r="O2126" s="77" t="s">
        <v>2081</v>
      </c>
      <c r="P2126" s="79">
        <v>45130.880104166667</v>
      </c>
      <c r="Q2126" s="77" t="s">
        <v>3987</v>
      </c>
      <c r="R2126" s="77">
        <v>2</v>
      </c>
      <c r="S2126" s="77">
        <v>3</v>
      </c>
      <c r="T2126" s="77">
        <v>0</v>
      </c>
      <c r="U2126" s="77">
        <v>1</v>
      </c>
      <c r="V2126" s="77">
        <v>3402</v>
      </c>
      <c r="W2126" s="77"/>
      <c r="X2126" s="83" t="str">
        <f>HYPERLINK("https://youtu.be/jlNYDkrvTzk")</f>
        <v>https://youtu.be/jlNYDkrvTzk</v>
      </c>
      <c r="Y2126" s="77" t="s">
        <v>8635</v>
      </c>
      <c r="Z2126" s="77" t="s">
        <v>8970</v>
      </c>
      <c r="AA2126" s="77" t="s">
        <v>9618</v>
      </c>
      <c r="AB2126" s="77" t="s">
        <v>10535</v>
      </c>
      <c r="AC2126" s="80" t="s">
        <v>10541</v>
      </c>
      <c r="AD2126" s="77" t="s">
        <v>10620</v>
      </c>
      <c r="AE2126" s="83" t="str">
        <f>HYPERLINK("https://twitter.com/chinaclave/status/1683222292048797699")</f>
        <v>https://twitter.com/chinaclave/status/1683222292048797699</v>
      </c>
      <c r="AF2126" s="79">
        <v>45130.880104166667</v>
      </c>
      <c r="AG2126" s="85">
        <v>45130</v>
      </c>
      <c r="AH2126" s="80" t="s">
        <v>12509</v>
      </c>
      <c r="AI2126" s="77" t="b">
        <v>0</v>
      </c>
      <c r="AJ2126" s="77"/>
      <c r="AK2126" s="77"/>
      <c r="AL2126" s="77"/>
      <c r="AM2126" s="77"/>
      <c r="AN2126" s="77"/>
      <c r="AO2126" s="77"/>
      <c r="AP2126" s="77"/>
      <c r="AQ2126" s="77" t="s">
        <v>15100</v>
      </c>
      <c r="AR2126" s="77"/>
      <c r="AS2126" s="77"/>
      <c r="AT2126" s="77"/>
      <c r="AU2126" s="77"/>
      <c r="AV2126" s="83" t="str">
        <f>HYPERLINK("https://pbs.twimg.com/media/F1vh2yxWAAQAkPK.png")</f>
        <v>https://pbs.twimg.com/media/F1vh2yxWAAQAkPK.png</v>
      </c>
      <c r="AW2126" s="80" t="s">
        <v>17967</v>
      </c>
      <c r="AX2126" s="80" t="s">
        <v>17967</v>
      </c>
      <c r="AY2126" s="77"/>
      <c r="AZ2126" s="80" t="s">
        <v>20380</v>
      </c>
      <c r="BA2126" s="80" t="s">
        <v>20380</v>
      </c>
      <c r="BB2126" s="80" t="s">
        <v>20380</v>
      </c>
      <c r="BC2126" s="80" t="s">
        <v>17967</v>
      </c>
      <c r="BD2126" s="80" t="s">
        <v>20808</v>
      </c>
      <c r="BE2126" s="77"/>
      <c r="BF2126" s="77"/>
      <c r="BG2126" s="77"/>
      <c r="BH2126" s="77"/>
      <c r="BI2126" s="77"/>
    </row>
    <row r="2127" spans="1:61" x14ac:dyDescent="0.25">
      <c r="A2127" s="62" t="s">
        <v>885</v>
      </c>
      <c r="B2127" s="62" t="s">
        <v>1903</v>
      </c>
      <c r="C2127" s="63"/>
      <c r="D2127" s="64"/>
      <c r="E2127" s="65"/>
      <c r="F2127" s="66"/>
      <c r="G2127" s="63"/>
      <c r="H2127" s="67"/>
      <c r="I2127" s="68"/>
      <c r="J2127" s="68"/>
      <c r="K2127" s="32"/>
      <c r="L2127" s="75">
        <v>2127</v>
      </c>
      <c r="M2127" s="75"/>
      <c r="N2127" s="70"/>
      <c r="O2127" s="77" t="s">
        <v>2081</v>
      </c>
      <c r="P2127" s="79">
        <v>45130.880104166667</v>
      </c>
      <c r="Q2127" s="77" t="s">
        <v>3987</v>
      </c>
      <c r="R2127" s="77">
        <v>2</v>
      </c>
      <c r="S2127" s="77">
        <v>3</v>
      </c>
      <c r="T2127" s="77">
        <v>0</v>
      </c>
      <c r="U2127" s="77">
        <v>1</v>
      </c>
      <c r="V2127" s="77">
        <v>3402</v>
      </c>
      <c r="W2127" s="77"/>
      <c r="X2127" s="83" t="str">
        <f>HYPERLINK("https://youtu.be/jlNYDkrvTzk")</f>
        <v>https://youtu.be/jlNYDkrvTzk</v>
      </c>
      <c r="Y2127" s="77" t="s">
        <v>8635</v>
      </c>
      <c r="Z2127" s="77" t="s">
        <v>8970</v>
      </c>
      <c r="AA2127" s="77" t="s">
        <v>9618</v>
      </c>
      <c r="AB2127" s="77" t="s">
        <v>10535</v>
      </c>
      <c r="AC2127" s="80" t="s">
        <v>10541</v>
      </c>
      <c r="AD2127" s="77" t="s">
        <v>10620</v>
      </c>
      <c r="AE2127" s="83" t="str">
        <f>HYPERLINK("https://twitter.com/chinaclave/status/1683222292048797699")</f>
        <v>https://twitter.com/chinaclave/status/1683222292048797699</v>
      </c>
      <c r="AF2127" s="79">
        <v>45130.880104166667</v>
      </c>
      <c r="AG2127" s="85">
        <v>45130</v>
      </c>
      <c r="AH2127" s="80" t="s">
        <v>12509</v>
      </c>
      <c r="AI2127" s="77" t="b">
        <v>0</v>
      </c>
      <c r="AJ2127" s="77"/>
      <c r="AK2127" s="77"/>
      <c r="AL2127" s="77"/>
      <c r="AM2127" s="77"/>
      <c r="AN2127" s="77"/>
      <c r="AO2127" s="77"/>
      <c r="AP2127" s="77"/>
      <c r="AQ2127" s="77" t="s">
        <v>15100</v>
      </c>
      <c r="AR2127" s="77"/>
      <c r="AS2127" s="77"/>
      <c r="AT2127" s="77"/>
      <c r="AU2127" s="77"/>
      <c r="AV2127" s="83" t="str">
        <f>HYPERLINK("https://pbs.twimg.com/media/F1vh2yxWAAQAkPK.png")</f>
        <v>https://pbs.twimg.com/media/F1vh2yxWAAQAkPK.png</v>
      </c>
      <c r="AW2127" s="80" t="s">
        <v>17967</v>
      </c>
      <c r="AX2127" s="80" t="s">
        <v>17967</v>
      </c>
      <c r="AY2127" s="77"/>
      <c r="AZ2127" s="80" t="s">
        <v>20380</v>
      </c>
      <c r="BA2127" s="80" t="s">
        <v>20380</v>
      </c>
      <c r="BB2127" s="80" t="s">
        <v>20380</v>
      </c>
      <c r="BC2127" s="80" t="s">
        <v>17967</v>
      </c>
      <c r="BD2127" s="80" t="s">
        <v>20808</v>
      </c>
      <c r="BE2127" s="77"/>
      <c r="BF2127" s="77"/>
      <c r="BG2127" s="77"/>
      <c r="BH2127" s="77"/>
      <c r="BI2127" s="77"/>
    </row>
    <row r="2128" spans="1:61" x14ac:dyDescent="0.25">
      <c r="A2128" s="62" t="s">
        <v>885</v>
      </c>
      <c r="B2128" s="62" t="s">
        <v>1904</v>
      </c>
      <c r="C2128" s="63"/>
      <c r="D2128" s="64"/>
      <c r="E2128" s="65"/>
      <c r="F2128" s="66"/>
      <c r="G2128" s="63"/>
      <c r="H2128" s="67"/>
      <c r="I2128" s="68"/>
      <c r="J2128" s="68"/>
      <c r="K2128" s="32"/>
      <c r="L2128" s="75">
        <v>2128</v>
      </c>
      <c r="M2128" s="75"/>
      <c r="N2128" s="70"/>
      <c r="O2128" s="77" t="s">
        <v>2081</v>
      </c>
      <c r="P2128" s="79">
        <v>45130.880104166667</v>
      </c>
      <c r="Q2128" s="77" t="s">
        <v>3987</v>
      </c>
      <c r="R2128" s="77">
        <v>2</v>
      </c>
      <c r="S2128" s="77">
        <v>3</v>
      </c>
      <c r="T2128" s="77">
        <v>0</v>
      </c>
      <c r="U2128" s="77">
        <v>1</v>
      </c>
      <c r="V2128" s="77">
        <v>3402</v>
      </c>
      <c r="W2128" s="77"/>
      <c r="X2128" s="83" t="str">
        <f>HYPERLINK("https://youtu.be/jlNYDkrvTzk")</f>
        <v>https://youtu.be/jlNYDkrvTzk</v>
      </c>
      <c r="Y2128" s="77" t="s">
        <v>8635</v>
      </c>
      <c r="Z2128" s="77" t="s">
        <v>8970</v>
      </c>
      <c r="AA2128" s="77" t="s">
        <v>9618</v>
      </c>
      <c r="AB2128" s="77" t="s">
        <v>10535</v>
      </c>
      <c r="AC2128" s="80" t="s">
        <v>10541</v>
      </c>
      <c r="AD2128" s="77" t="s">
        <v>10620</v>
      </c>
      <c r="AE2128" s="83" t="str">
        <f>HYPERLINK("https://twitter.com/chinaclave/status/1683222292048797699")</f>
        <v>https://twitter.com/chinaclave/status/1683222292048797699</v>
      </c>
      <c r="AF2128" s="79">
        <v>45130.880104166667</v>
      </c>
      <c r="AG2128" s="85">
        <v>45130</v>
      </c>
      <c r="AH2128" s="80" t="s">
        <v>12509</v>
      </c>
      <c r="AI2128" s="77" t="b">
        <v>0</v>
      </c>
      <c r="AJ2128" s="77"/>
      <c r="AK2128" s="77"/>
      <c r="AL2128" s="77"/>
      <c r="AM2128" s="77"/>
      <c r="AN2128" s="77"/>
      <c r="AO2128" s="77"/>
      <c r="AP2128" s="77"/>
      <c r="AQ2128" s="77" t="s">
        <v>15100</v>
      </c>
      <c r="AR2128" s="77"/>
      <c r="AS2128" s="77"/>
      <c r="AT2128" s="77"/>
      <c r="AU2128" s="77"/>
      <c r="AV2128" s="83" t="str">
        <f>HYPERLINK("https://pbs.twimg.com/media/F1vh2yxWAAQAkPK.png")</f>
        <v>https://pbs.twimg.com/media/F1vh2yxWAAQAkPK.png</v>
      </c>
      <c r="AW2128" s="80" t="s">
        <v>17967</v>
      </c>
      <c r="AX2128" s="80" t="s">
        <v>17967</v>
      </c>
      <c r="AY2128" s="77"/>
      <c r="AZ2128" s="80" t="s">
        <v>20380</v>
      </c>
      <c r="BA2128" s="80" t="s">
        <v>20380</v>
      </c>
      <c r="BB2128" s="80" t="s">
        <v>20380</v>
      </c>
      <c r="BC2128" s="80" t="s">
        <v>17967</v>
      </c>
      <c r="BD2128" s="80" t="s">
        <v>20808</v>
      </c>
      <c r="BE2128" s="77"/>
      <c r="BF2128" s="77"/>
      <c r="BG2128" s="77"/>
      <c r="BH2128" s="77"/>
      <c r="BI2128" s="77"/>
    </row>
    <row r="2129" spans="1:61" x14ac:dyDescent="0.25">
      <c r="A2129" s="62" t="s">
        <v>885</v>
      </c>
      <c r="B2129" s="62" t="s">
        <v>885</v>
      </c>
      <c r="C2129" s="63"/>
      <c r="D2129" s="64"/>
      <c r="E2129" s="65"/>
      <c r="F2129" s="66"/>
      <c r="G2129" s="63"/>
      <c r="H2129" s="67"/>
      <c r="I2129" s="68"/>
      <c r="J2129" s="68"/>
      <c r="K2129" s="32"/>
      <c r="L2129" s="75">
        <v>2129</v>
      </c>
      <c r="M2129" s="75"/>
      <c r="N2129" s="70"/>
      <c r="O2129" s="77" t="s">
        <v>2082</v>
      </c>
      <c r="P2129" s="79">
        <v>45130.914953703701</v>
      </c>
      <c r="Q2129" s="77" t="s">
        <v>3988</v>
      </c>
      <c r="R2129" s="77">
        <v>0</v>
      </c>
      <c r="S2129" s="77">
        <v>0</v>
      </c>
      <c r="T2129" s="77">
        <v>0</v>
      </c>
      <c r="U2129" s="77">
        <v>0</v>
      </c>
      <c r="V2129" s="77">
        <v>253</v>
      </c>
      <c r="W2129" s="80" t="s">
        <v>7249</v>
      </c>
      <c r="X2129" s="77"/>
      <c r="Y2129" s="77"/>
      <c r="Z2129" s="77"/>
      <c r="AA2129" s="77"/>
      <c r="AB2129" s="77"/>
      <c r="AC2129" s="80" t="s">
        <v>10540</v>
      </c>
      <c r="AD2129" s="77" t="s">
        <v>10618</v>
      </c>
      <c r="AE2129" s="83" t="str">
        <f>HYPERLINK("https://twitter.com/chinaclave/status/1683234920921980929")</f>
        <v>https://twitter.com/chinaclave/status/1683234920921980929</v>
      </c>
      <c r="AF2129" s="79">
        <v>45130.914953703701</v>
      </c>
      <c r="AG2129" s="85">
        <v>45130</v>
      </c>
      <c r="AH2129" s="80" t="s">
        <v>12510</v>
      </c>
      <c r="AI2129" s="77"/>
      <c r="AJ2129" s="77"/>
      <c r="AK2129" s="77"/>
      <c r="AL2129" s="77"/>
      <c r="AM2129" s="77"/>
      <c r="AN2129" s="77"/>
      <c r="AO2129" s="77"/>
      <c r="AP2129" s="77"/>
      <c r="AQ2129" s="77"/>
      <c r="AR2129" s="77"/>
      <c r="AS2129" s="77"/>
      <c r="AT2129" s="77"/>
      <c r="AU2129" s="77"/>
      <c r="AV2129" s="83" t="str">
        <f>HYPERLINK("https://pbs.twimg.com/profile_images/1608301240080863234/iz9fZWio_normal.jpg")</f>
        <v>https://pbs.twimg.com/profile_images/1608301240080863234/iz9fZWio_normal.jpg</v>
      </c>
      <c r="AW2129" s="80" t="s">
        <v>17968</v>
      </c>
      <c r="AX2129" s="80" t="s">
        <v>17968</v>
      </c>
      <c r="AY2129" s="77"/>
      <c r="AZ2129" s="80" t="s">
        <v>20380</v>
      </c>
      <c r="BA2129" s="80" t="s">
        <v>17967</v>
      </c>
      <c r="BB2129" s="80" t="s">
        <v>20380</v>
      </c>
      <c r="BC2129" s="80" t="s">
        <v>17967</v>
      </c>
      <c r="BD2129" s="80" t="s">
        <v>20808</v>
      </c>
      <c r="BE2129" s="77"/>
      <c r="BF2129" s="77"/>
      <c r="BG2129" s="77"/>
      <c r="BH2129" s="77"/>
      <c r="BI2129" s="77"/>
    </row>
    <row r="2130" spans="1:61" x14ac:dyDescent="0.25">
      <c r="A2130" s="62" t="s">
        <v>886</v>
      </c>
      <c r="B2130" s="62" t="s">
        <v>1655</v>
      </c>
      <c r="C2130" s="63"/>
      <c r="D2130" s="64"/>
      <c r="E2130" s="65"/>
      <c r="F2130" s="66"/>
      <c r="G2130" s="63"/>
      <c r="H2130" s="67"/>
      <c r="I2130" s="68"/>
      <c r="J2130" s="68"/>
      <c r="K2130" s="32"/>
      <c r="L2130" s="75">
        <v>2130</v>
      </c>
      <c r="M2130" s="75"/>
      <c r="N2130" s="70"/>
      <c r="O2130" s="77" t="s">
        <v>2083</v>
      </c>
      <c r="P2130" s="79">
        <v>45191.500300925924</v>
      </c>
      <c r="Q2130" s="77" t="s">
        <v>2120</v>
      </c>
      <c r="R2130" s="77">
        <v>57</v>
      </c>
      <c r="S2130" s="77">
        <v>0</v>
      </c>
      <c r="T2130" s="77">
        <v>0</v>
      </c>
      <c r="U2130" s="77">
        <v>0</v>
      </c>
      <c r="V2130" s="77"/>
      <c r="W2130" s="80" t="s">
        <v>5917</v>
      </c>
      <c r="X2130" s="77"/>
      <c r="Y2130" s="77"/>
      <c r="Z2130" s="77" t="s">
        <v>1655</v>
      </c>
      <c r="AA2130" s="77"/>
      <c r="AB2130" s="77"/>
      <c r="AC2130" s="80" t="s">
        <v>10556</v>
      </c>
      <c r="AD2130" s="77" t="s">
        <v>10617</v>
      </c>
      <c r="AE2130" s="83" t="str">
        <f>HYPERLINK("https://twitter.com/danifer94913747/status/1705190315965993467")</f>
        <v>https://twitter.com/danifer94913747/status/1705190315965993467</v>
      </c>
      <c r="AF2130" s="79">
        <v>45191.500300925924</v>
      </c>
      <c r="AG2130" s="85">
        <v>45191</v>
      </c>
      <c r="AH2130" s="80" t="s">
        <v>12511</v>
      </c>
      <c r="AI2130" s="77"/>
      <c r="AJ2130" s="77"/>
      <c r="AK2130" s="77"/>
      <c r="AL2130" s="77"/>
      <c r="AM2130" s="77"/>
      <c r="AN2130" s="77"/>
      <c r="AO2130" s="77"/>
      <c r="AP2130" s="77"/>
      <c r="AQ2130" s="77"/>
      <c r="AR2130" s="77"/>
      <c r="AS2130" s="77"/>
      <c r="AT2130" s="77"/>
      <c r="AU2130" s="77"/>
      <c r="AV2130" s="83" t="str">
        <f>HYPERLINK("https://pbs.twimg.com/profile_images/1262754283897802752/5eLgafQq_normal.jpg")</f>
        <v>https://pbs.twimg.com/profile_images/1262754283897802752/5eLgafQq_normal.jpg</v>
      </c>
      <c r="AW2130" s="80" t="s">
        <v>17969</v>
      </c>
      <c r="AX2130" s="80" t="s">
        <v>17969</v>
      </c>
      <c r="AY2130" s="77"/>
      <c r="AZ2130" s="80" t="s">
        <v>20380</v>
      </c>
      <c r="BA2130" s="80" t="s">
        <v>20380</v>
      </c>
      <c r="BB2130" s="80" t="s">
        <v>19843</v>
      </c>
      <c r="BC2130" s="80" t="s">
        <v>19843</v>
      </c>
      <c r="BD2130" s="80" t="s">
        <v>20809</v>
      </c>
      <c r="BE2130" s="77"/>
      <c r="BF2130" s="77"/>
      <c r="BG2130" s="77"/>
      <c r="BH2130" s="77"/>
      <c r="BI2130" s="77"/>
    </row>
    <row r="2131" spans="1:61" x14ac:dyDescent="0.25">
      <c r="A2131" s="62" t="s">
        <v>886</v>
      </c>
      <c r="B2131" s="62" t="s">
        <v>1655</v>
      </c>
      <c r="C2131" s="63"/>
      <c r="D2131" s="64"/>
      <c r="E2131" s="65"/>
      <c r="F2131" s="66"/>
      <c r="G2131" s="63"/>
      <c r="H2131" s="67"/>
      <c r="I2131" s="68"/>
      <c r="J2131" s="68"/>
      <c r="K2131" s="32"/>
      <c r="L2131" s="75">
        <v>2131</v>
      </c>
      <c r="M2131" s="75"/>
      <c r="N2131" s="70"/>
      <c r="O2131" s="77" t="s">
        <v>2083</v>
      </c>
      <c r="P2131" s="79">
        <v>45191.500104166669</v>
      </c>
      <c r="Q2131" s="77" t="s">
        <v>2120</v>
      </c>
      <c r="R2131" s="77">
        <v>25</v>
      </c>
      <c r="S2131" s="77">
        <v>0</v>
      </c>
      <c r="T2131" s="77">
        <v>0</v>
      </c>
      <c r="U2131" s="77">
        <v>0</v>
      </c>
      <c r="V2131" s="77"/>
      <c r="W2131" s="80" t="s">
        <v>5917</v>
      </c>
      <c r="X2131" s="77"/>
      <c r="Y2131" s="77"/>
      <c r="Z2131" s="77" t="s">
        <v>1655</v>
      </c>
      <c r="AA2131" s="77"/>
      <c r="AB2131" s="77"/>
      <c r="AC2131" s="80" t="s">
        <v>10556</v>
      </c>
      <c r="AD2131" s="77" t="s">
        <v>10617</v>
      </c>
      <c r="AE2131" s="83" t="str">
        <f>HYPERLINK("https://twitter.com/danifer94913747/status/1705190241974305208")</f>
        <v>https://twitter.com/danifer94913747/status/1705190241974305208</v>
      </c>
      <c r="AF2131" s="79">
        <v>45191.500104166669</v>
      </c>
      <c r="AG2131" s="85">
        <v>45191</v>
      </c>
      <c r="AH2131" s="80" t="s">
        <v>12512</v>
      </c>
      <c r="AI2131" s="77"/>
      <c r="AJ2131" s="77"/>
      <c r="AK2131" s="77"/>
      <c r="AL2131" s="77"/>
      <c r="AM2131" s="77"/>
      <c r="AN2131" s="77"/>
      <c r="AO2131" s="77"/>
      <c r="AP2131" s="77"/>
      <c r="AQ2131" s="77"/>
      <c r="AR2131" s="77"/>
      <c r="AS2131" s="77"/>
      <c r="AT2131" s="77"/>
      <c r="AU2131" s="77"/>
      <c r="AV2131" s="83" t="str">
        <f>HYPERLINK("https://pbs.twimg.com/profile_images/1262754283897802752/5eLgafQq_normal.jpg")</f>
        <v>https://pbs.twimg.com/profile_images/1262754283897802752/5eLgafQq_normal.jpg</v>
      </c>
      <c r="AW2131" s="80" t="s">
        <v>17970</v>
      </c>
      <c r="AX2131" s="80" t="s">
        <v>17970</v>
      </c>
      <c r="AY2131" s="77"/>
      <c r="AZ2131" s="80" t="s">
        <v>20380</v>
      </c>
      <c r="BA2131" s="80" t="s">
        <v>20380</v>
      </c>
      <c r="BB2131" s="80" t="s">
        <v>19844</v>
      </c>
      <c r="BC2131" s="80" t="s">
        <v>19844</v>
      </c>
      <c r="BD2131" s="80" t="s">
        <v>20809</v>
      </c>
      <c r="BE2131" s="77"/>
      <c r="BF2131" s="77"/>
      <c r="BG2131" s="77"/>
      <c r="BH2131" s="77"/>
      <c r="BI2131" s="77"/>
    </row>
    <row r="2132" spans="1:61" x14ac:dyDescent="0.25">
      <c r="A2132" s="62" t="s">
        <v>887</v>
      </c>
      <c r="B2132" s="62" t="s">
        <v>887</v>
      </c>
      <c r="C2132" s="63"/>
      <c r="D2132" s="64"/>
      <c r="E2132" s="65"/>
      <c r="F2132" s="66"/>
      <c r="G2132" s="63"/>
      <c r="H2132" s="67"/>
      <c r="I2132" s="68"/>
      <c r="J2132" s="68"/>
      <c r="K2132" s="32"/>
      <c r="L2132" s="75">
        <v>2132</v>
      </c>
      <c r="M2132" s="75"/>
      <c r="N2132" s="70"/>
      <c r="O2132" s="77" t="s">
        <v>179</v>
      </c>
      <c r="P2132" s="79">
        <v>45112.417685185188</v>
      </c>
      <c r="Q2132" s="77" t="s">
        <v>3989</v>
      </c>
      <c r="R2132" s="77">
        <v>0</v>
      </c>
      <c r="S2132" s="77">
        <v>0</v>
      </c>
      <c r="T2132" s="77">
        <v>0</v>
      </c>
      <c r="U2132" s="77">
        <v>0</v>
      </c>
      <c r="V2132" s="77">
        <v>1</v>
      </c>
      <c r="W2132" s="80" t="s">
        <v>7250</v>
      </c>
      <c r="X2132" s="83" t="str">
        <f>HYPERLINK("https://my.mtr.cool/rpbjmthkwt")</f>
        <v>https://my.mtr.cool/rpbjmthkwt</v>
      </c>
      <c r="Y2132" s="77" t="s">
        <v>8632</v>
      </c>
      <c r="Z2132" s="77"/>
      <c r="AA2132" s="77" t="s">
        <v>9619</v>
      </c>
      <c r="AB2132" s="77" t="s">
        <v>10535</v>
      </c>
      <c r="AC2132" s="80" t="s">
        <v>10543</v>
      </c>
      <c r="AD2132" s="77" t="s">
        <v>10620</v>
      </c>
      <c r="AE2132" s="83" t="str">
        <f>HYPERLINK("https://twitter.com/panequeasesores/status/1676531734823804928")</f>
        <v>https://twitter.com/panequeasesores/status/1676531734823804928</v>
      </c>
      <c r="AF2132" s="79">
        <v>45112.417685185188</v>
      </c>
      <c r="AG2132" s="85">
        <v>45112</v>
      </c>
      <c r="AH2132" s="80" t="s">
        <v>12513</v>
      </c>
      <c r="AI2132" s="77" t="b">
        <v>0</v>
      </c>
      <c r="AJ2132" s="77"/>
      <c r="AK2132" s="77"/>
      <c r="AL2132" s="77"/>
      <c r="AM2132" s="77"/>
      <c r="AN2132" s="77"/>
      <c r="AO2132" s="77"/>
      <c r="AP2132" s="77"/>
      <c r="AQ2132" s="77" t="s">
        <v>15101</v>
      </c>
      <c r="AR2132" s="77"/>
      <c r="AS2132" s="77"/>
      <c r="AT2132" s="77"/>
      <c r="AU2132" s="77"/>
      <c r="AV2132" s="83" t="str">
        <f>HYPERLINK("https://pbs.twimg.com/media/F0Q8ufgXwAE_AtV.png")</f>
        <v>https://pbs.twimg.com/media/F0Q8ufgXwAE_AtV.png</v>
      </c>
      <c r="AW2132" s="80" t="s">
        <v>17971</v>
      </c>
      <c r="AX2132" s="80" t="s">
        <v>17971</v>
      </c>
      <c r="AY2132" s="77"/>
      <c r="AZ2132" s="80" t="s">
        <v>20380</v>
      </c>
      <c r="BA2132" s="80" t="s">
        <v>20380</v>
      </c>
      <c r="BB2132" s="80" t="s">
        <v>20380</v>
      </c>
      <c r="BC2132" s="80" t="s">
        <v>17971</v>
      </c>
      <c r="BD2132" s="77">
        <v>215427139</v>
      </c>
      <c r="BE2132" s="77"/>
      <c r="BF2132" s="77"/>
      <c r="BG2132" s="77"/>
      <c r="BH2132" s="77"/>
      <c r="BI2132" s="77"/>
    </row>
    <row r="2133" spans="1:61" x14ac:dyDescent="0.25">
      <c r="A2133" s="62" t="s">
        <v>888</v>
      </c>
      <c r="B2133" s="62" t="s">
        <v>888</v>
      </c>
      <c r="C2133" s="63"/>
      <c r="D2133" s="64"/>
      <c r="E2133" s="65"/>
      <c r="F2133" s="66"/>
      <c r="G2133" s="63"/>
      <c r="H2133" s="67"/>
      <c r="I2133" s="68"/>
      <c r="J2133" s="68"/>
      <c r="K2133" s="32"/>
      <c r="L2133" s="75">
        <v>2133</v>
      </c>
      <c r="M2133" s="75"/>
      <c r="N2133" s="70"/>
      <c r="O2133" s="77" t="s">
        <v>179</v>
      </c>
      <c r="P2133" s="79">
        <v>45099.639131944445</v>
      </c>
      <c r="Q2133" s="77" t="s">
        <v>3990</v>
      </c>
      <c r="R2133" s="77">
        <v>0</v>
      </c>
      <c r="S2133" s="77">
        <v>1</v>
      </c>
      <c r="T2133" s="77">
        <v>0</v>
      </c>
      <c r="U2133" s="77">
        <v>0</v>
      </c>
      <c r="V2133" s="77">
        <v>168</v>
      </c>
      <c r="W2133" s="80" t="s">
        <v>7251</v>
      </c>
      <c r="X2133" s="77"/>
      <c r="Y2133" s="77"/>
      <c r="Z2133" s="77"/>
      <c r="AA2133" s="77" t="s">
        <v>9620</v>
      </c>
      <c r="AB2133" s="77" t="s">
        <v>10534</v>
      </c>
      <c r="AC2133" s="80" t="s">
        <v>10541</v>
      </c>
      <c r="AD2133" s="77" t="s">
        <v>10627</v>
      </c>
      <c r="AE2133" s="83" t="str">
        <f>HYPERLINK("https://twitter.com/girlishgiggle/status/1671900939320451075")</f>
        <v>https://twitter.com/girlishgiggle/status/1671900939320451075</v>
      </c>
      <c r="AF2133" s="79">
        <v>45099.639131944445</v>
      </c>
      <c r="AG2133" s="85">
        <v>45099</v>
      </c>
      <c r="AH2133" s="80" t="s">
        <v>12514</v>
      </c>
      <c r="AI2133" s="77" t="b">
        <v>0</v>
      </c>
      <c r="AJ2133" s="77"/>
      <c r="AK2133" s="77"/>
      <c r="AL2133" s="77"/>
      <c r="AM2133" s="77"/>
      <c r="AN2133" s="77"/>
      <c r="AO2133" s="77"/>
      <c r="AP2133" s="77"/>
      <c r="AQ2133" s="77" t="s">
        <v>15102</v>
      </c>
      <c r="AR2133" s="77">
        <v>90256</v>
      </c>
      <c r="AS2133" s="77"/>
      <c r="AT2133" s="77"/>
      <c r="AU2133" s="77"/>
      <c r="AV2133" s="83" t="str">
        <f>HYPERLINK("https://pbs.twimg.com/ext_tw_video_thumb/1671900274384830466/pu/img/Xt7-ZDgSCPKP-ZcS.jpg")</f>
        <v>https://pbs.twimg.com/ext_tw_video_thumb/1671900274384830466/pu/img/Xt7-ZDgSCPKP-ZcS.jpg</v>
      </c>
      <c r="AW2133" s="80" t="s">
        <v>17972</v>
      </c>
      <c r="AX2133" s="80" t="s">
        <v>17972</v>
      </c>
      <c r="AY2133" s="77"/>
      <c r="AZ2133" s="80" t="s">
        <v>20380</v>
      </c>
      <c r="BA2133" s="80" t="s">
        <v>20380</v>
      </c>
      <c r="BB2133" s="80" t="s">
        <v>20380</v>
      </c>
      <c r="BC2133" s="80" t="s">
        <v>17972</v>
      </c>
      <c r="BD2133" s="77">
        <v>488477453</v>
      </c>
      <c r="BE2133" s="77"/>
      <c r="BF2133" s="77"/>
      <c r="BG2133" s="77"/>
      <c r="BH2133" s="77"/>
      <c r="BI2133" s="77"/>
    </row>
    <row r="2134" spans="1:61" x14ac:dyDescent="0.25">
      <c r="A2134" s="62" t="s">
        <v>888</v>
      </c>
      <c r="B2134" s="62" t="s">
        <v>888</v>
      </c>
      <c r="C2134" s="63"/>
      <c r="D2134" s="64"/>
      <c r="E2134" s="65"/>
      <c r="F2134" s="66"/>
      <c r="G2134" s="63"/>
      <c r="H2134" s="67"/>
      <c r="I2134" s="68"/>
      <c r="J2134" s="68"/>
      <c r="K2134" s="32"/>
      <c r="L2134" s="75">
        <v>2134</v>
      </c>
      <c r="M2134" s="75"/>
      <c r="N2134" s="70"/>
      <c r="O2134" s="77" t="s">
        <v>179</v>
      </c>
      <c r="P2134" s="79">
        <v>45090.646134259259</v>
      </c>
      <c r="Q2134" s="77" t="s">
        <v>3991</v>
      </c>
      <c r="R2134" s="77">
        <v>1</v>
      </c>
      <c r="S2134" s="77">
        <v>2</v>
      </c>
      <c r="T2134" s="77">
        <v>1</v>
      </c>
      <c r="U2134" s="77">
        <v>0</v>
      </c>
      <c r="V2134" s="77">
        <v>327</v>
      </c>
      <c r="W2134" s="80" t="s">
        <v>7252</v>
      </c>
      <c r="X2134" s="77"/>
      <c r="Y2134" s="77"/>
      <c r="Z2134" s="77"/>
      <c r="AA2134" s="77" t="s">
        <v>9621</v>
      </c>
      <c r="AB2134" s="77" t="s">
        <v>10534</v>
      </c>
      <c r="AC2134" s="80" t="s">
        <v>10541</v>
      </c>
      <c r="AD2134" s="77" t="s">
        <v>10617</v>
      </c>
      <c r="AE2134" s="83" t="str">
        <f>HYPERLINK("https://twitter.com/girlishgiggle/status/1668641988411793408")</f>
        <v>https://twitter.com/girlishgiggle/status/1668641988411793408</v>
      </c>
      <c r="AF2134" s="79">
        <v>45090.646134259259</v>
      </c>
      <c r="AG2134" s="85">
        <v>45090</v>
      </c>
      <c r="AH2134" s="80" t="s">
        <v>12515</v>
      </c>
      <c r="AI2134" s="77" t="b">
        <v>0</v>
      </c>
      <c r="AJ2134" s="77"/>
      <c r="AK2134" s="77"/>
      <c r="AL2134" s="77"/>
      <c r="AM2134" s="77"/>
      <c r="AN2134" s="77"/>
      <c r="AO2134" s="77"/>
      <c r="AP2134" s="77"/>
      <c r="AQ2134" s="77" t="s">
        <v>15103</v>
      </c>
      <c r="AR2134" s="77">
        <v>82986</v>
      </c>
      <c r="AS2134" s="77"/>
      <c r="AT2134" s="77"/>
      <c r="AU2134" s="77"/>
      <c r="AV2134" s="83" t="str">
        <f>HYPERLINK("https://pbs.twimg.com/ext_tw_video_thumb/1668641332481478659/pu/img/5rNxPMGLBU7mCUXp.jpg")</f>
        <v>https://pbs.twimg.com/ext_tw_video_thumb/1668641332481478659/pu/img/5rNxPMGLBU7mCUXp.jpg</v>
      </c>
      <c r="AW2134" s="80" t="s">
        <v>17973</v>
      </c>
      <c r="AX2134" s="80" t="s">
        <v>17973</v>
      </c>
      <c r="AY2134" s="77"/>
      <c r="AZ2134" s="80" t="s">
        <v>20380</v>
      </c>
      <c r="BA2134" s="80" t="s">
        <v>20380</v>
      </c>
      <c r="BB2134" s="80" t="s">
        <v>20380</v>
      </c>
      <c r="BC2134" s="80" t="s">
        <v>17973</v>
      </c>
      <c r="BD2134" s="77">
        <v>488477453</v>
      </c>
      <c r="BE2134" s="77"/>
      <c r="BF2134" s="77"/>
      <c r="BG2134" s="77"/>
      <c r="BH2134" s="77"/>
      <c r="BI2134" s="77"/>
    </row>
    <row r="2135" spans="1:61" x14ac:dyDescent="0.25">
      <c r="A2135" s="62" t="s">
        <v>888</v>
      </c>
      <c r="B2135" s="62" t="s">
        <v>888</v>
      </c>
      <c r="C2135" s="63"/>
      <c r="D2135" s="64"/>
      <c r="E2135" s="65"/>
      <c r="F2135" s="66"/>
      <c r="G2135" s="63"/>
      <c r="H2135" s="67"/>
      <c r="I2135" s="68"/>
      <c r="J2135" s="68"/>
      <c r="K2135" s="32"/>
      <c r="L2135" s="75">
        <v>2135</v>
      </c>
      <c r="M2135" s="75"/>
      <c r="N2135" s="70"/>
      <c r="O2135" s="77" t="s">
        <v>179</v>
      </c>
      <c r="P2135" s="79">
        <v>45090.632303240738</v>
      </c>
      <c r="Q2135" s="77" t="s">
        <v>3992</v>
      </c>
      <c r="R2135" s="77">
        <v>1</v>
      </c>
      <c r="S2135" s="77">
        <v>2</v>
      </c>
      <c r="T2135" s="77">
        <v>3</v>
      </c>
      <c r="U2135" s="77">
        <v>0</v>
      </c>
      <c r="V2135" s="77">
        <v>502</v>
      </c>
      <c r="W2135" s="80" t="s">
        <v>7253</v>
      </c>
      <c r="X2135" s="77"/>
      <c r="Y2135" s="77"/>
      <c r="Z2135" s="77"/>
      <c r="AA2135" s="77" t="s">
        <v>9622</v>
      </c>
      <c r="AB2135" s="77" t="s">
        <v>10534</v>
      </c>
      <c r="AC2135" s="80" t="s">
        <v>10541</v>
      </c>
      <c r="AD2135" s="77" t="s">
        <v>10622</v>
      </c>
      <c r="AE2135" s="83" t="str">
        <f>HYPERLINK("https://twitter.com/girlishgiggle/status/1668636976113754112")</f>
        <v>https://twitter.com/girlishgiggle/status/1668636976113754112</v>
      </c>
      <c r="AF2135" s="79">
        <v>45090.632303240738</v>
      </c>
      <c r="AG2135" s="85">
        <v>45090</v>
      </c>
      <c r="AH2135" s="80" t="s">
        <v>12516</v>
      </c>
      <c r="AI2135" s="77" t="b">
        <v>0</v>
      </c>
      <c r="AJ2135" s="77"/>
      <c r="AK2135" s="77"/>
      <c r="AL2135" s="77"/>
      <c r="AM2135" s="77"/>
      <c r="AN2135" s="77"/>
      <c r="AO2135" s="77"/>
      <c r="AP2135" s="77"/>
      <c r="AQ2135" s="77" t="s">
        <v>15104</v>
      </c>
      <c r="AR2135" s="77">
        <v>100867</v>
      </c>
      <c r="AS2135" s="77"/>
      <c r="AT2135" s="77"/>
      <c r="AU2135" s="77"/>
      <c r="AV2135" s="83" t="str">
        <f>HYPERLINK("https://pbs.twimg.com/ext_tw_video_thumb/1668636065484402690/pu/img/3lyjJiMEfDXitT5m.jpg")</f>
        <v>https://pbs.twimg.com/ext_tw_video_thumb/1668636065484402690/pu/img/3lyjJiMEfDXitT5m.jpg</v>
      </c>
      <c r="AW2135" s="80" t="s">
        <v>17974</v>
      </c>
      <c r="AX2135" s="80" t="s">
        <v>17974</v>
      </c>
      <c r="AY2135" s="77"/>
      <c r="AZ2135" s="80" t="s">
        <v>20380</v>
      </c>
      <c r="BA2135" s="80" t="s">
        <v>20380</v>
      </c>
      <c r="BB2135" s="80" t="s">
        <v>20380</v>
      </c>
      <c r="BC2135" s="80" t="s">
        <v>17974</v>
      </c>
      <c r="BD2135" s="77">
        <v>488477453</v>
      </c>
      <c r="BE2135" s="77"/>
      <c r="BF2135" s="77"/>
      <c r="BG2135" s="77"/>
      <c r="BH2135" s="77"/>
      <c r="BI2135" s="77"/>
    </row>
    <row r="2136" spans="1:61" x14ac:dyDescent="0.25">
      <c r="A2136" s="62" t="s">
        <v>888</v>
      </c>
      <c r="B2136" s="62" t="s">
        <v>888</v>
      </c>
      <c r="C2136" s="63"/>
      <c r="D2136" s="64"/>
      <c r="E2136" s="65"/>
      <c r="F2136" s="66"/>
      <c r="G2136" s="63"/>
      <c r="H2136" s="67"/>
      <c r="I2136" s="68"/>
      <c r="J2136" s="68"/>
      <c r="K2136" s="32"/>
      <c r="L2136" s="75">
        <v>2136</v>
      </c>
      <c r="M2136" s="75"/>
      <c r="N2136" s="70"/>
      <c r="O2136" s="77" t="s">
        <v>179</v>
      </c>
      <c r="P2136" s="79">
        <v>45097.718738425923</v>
      </c>
      <c r="Q2136" s="77" t="s">
        <v>3993</v>
      </c>
      <c r="R2136" s="77">
        <v>1</v>
      </c>
      <c r="S2136" s="77">
        <v>1</v>
      </c>
      <c r="T2136" s="77">
        <v>0</v>
      </c>
      <c r="U2136" s="77">
        <v>0</v>
      </c>
      <c r="V2136" s="77">
        <v>288</v>
      </c>
      <c r="W2136" s="80" t="s">
        <v>7254</v>
      </c>
      <c r="X2136" s="77"/>
      <c r="Y2136" s="77"/>
      <c r="Z2136" s="77"/>
      <c r="AA2136" s="77" t="s">
        <v>9623</v>
      </c>
      <c r="AB2136" s="77" t="s">
        <v>10534</v>
      </c>
      <c r="AC2136" s="80" t="s">
        <v>10541</v>
      </c>
      <c r="AD2136" s="77" t="s">
        <v>10617</v>
      </c>
      <c r="AE2136" s="83" t="str">
        <f>HYPERLINK("https://twitter.com/girlishgiggle/status/1671205013438312465")</f>
        <v>https://twitter.com/girlishgiggle/status/1671205013438312465</v>
      </c>
      <c r="AF2136" s="79">
        <v>45097.718738425923</v>
      </c>
      <c r="AG2136" s="85">
        <v>45097</v>
      </c>
      <c r="AH2136" s="80" t="s">
        <v>12517</v>
      </c>
      <c r="AI2136" s="77" t="b">
        <v>0</v>
      </c>
      <c r="AJ2136" s="77"/>
      <c r="AK2136" s="77"/>
      <c r="AL2136" s="77"/>
      <c r="AM2136" s="77"/>
      <c r="AN2136" s="77"/>
      <c r="AO2136" s="77"/>
      <c r="AP2136" s="77"/>
      <c r="AQ2136" s="77" t="s">
        <v>15105</v>
      </c>
      <c r="AR2136" s="77">
        <v>82816</v>
      </c>
      <c r="AS2136" s="77"/>
      <c r="AT2136" s="77"/>
      <c r="AU2136" s="77"/>
      <c r="AV2136" s="83" t="str">
        <f>HYPERLINK("https://pbs.twimg.com/ext_tw_video_thumb/1671204485392211968/pu/img/LagwFa1xtP8KluUJ.jpg")</f>
        <v>https://pbs.twimg.com/ext_tw_video_thumb/1671204485392211968/pu/img/LagwFa1xtP8KluUJ.jpg</v>
      </c>
      <c r="AW2136" s="80" t="s">
        <v>17975</v>
      </c>
      <c r="AX2136" s="80" t="s">
        <v>17975</v>
      </c>
      <c r="AY2136" s="77"/>
      <c r="AZ2136" s="80" t="s">
        <v>20380</v>
      </c>
      <c r="BA2136" s="80" t="s">
        <v>20380</v>
      </c>
      <c r="BB2136" s="80" t="s">
        <v>20380</v>
      </c>
      <c r="BC2136" s="80" t="s">
        <v>17975</v>
      </c>
      <c r="BD2136" s="77">
        <v>488477453</v>
      </c>
      <c r="BE2136" s="77"/>
      <c r="BF2136" s="77"/>
      <c r="BG2136" s="77"/>
      <c r="BH2136" s="77"/>
      <c r="BI2136" s="77"/>
    </row>
    <row r="2137" spans="1:61" x14ac:dyDescent="0.25">
      <c r="A2137" s="62" t="s">
        <v>888</v>
      </c>
      <c r="B2137" s="62" t="s">
        <v>888</v>
      </c>
      <c r="C2137" s="63"/>
      <c r="D2137" s="64"/>
      <c r="E2137" s="65"/>
      <c r="F2137" s="66"/>
      <c r="G2137" s="63"/>
      <c r="H2137" s="67"/>
      <c r="I2137" s="68"/>
      <c r="J2137" s="68"/>
      <c r="K2137" s="32"/>
      <c r="L2137" s="75">
        <v>2137</v>
      </c>
      <c r="M2137" s="75"/>
      <c r="N2137" s="70"/>
      <c r="O2137" s="77" t="s">
        <v>179</v>
      </c>
      <c r="P2137" s="79">
        <v>45097.660960648151</v>
      </c>
      <c r="Q2137" s="77" t="s">
        <v>3994</v>
      </c>
      <c r="R2137" s="77">
        <v>1</v>
      </c>
      <c r="S2137" s="77">
        <v>1</v>
      </c>
      <c r="T2137" s="77">
        <v>0</v>
      </c>
      <c r="U2137" s="77">
        <v>0</v>
      </c>
      <c r="V2137" s="77">
        <v>159</v>
      </c>
      <c r="W2137" s="80" t="s">
        <v>7255</v>
      </c>
      <c r="X2137" s="77"/>
      <c r="Y2137" s="77"/>
      <c r="Z2137" s="77"/>
      <c r="AA2137" s="77" t="s">
        <v>9624</v>
      </c>
      <c r="AB2137" s="77" t="s">
        <v>10534</v>
      </c>
      <c r="AC2137" s="80" t="s">
        <v>10541</v>
      </c>
      <c r="AD2137" s="77" t="s">
        <v>10617</v>
      </c>
      <c r="AE2137" s="83" t="str">
        <f>HYPERLINK("https://twitter.com/girlishgiggle/status/1671184074684133380")</f>
        <v>https://twitter.com/girlishgiggle/status/1671184074684133380</v>
      </c>
      <c r="AF2137" s="79">
        <v>45097.660960648151</v>
      </c>
      <c r="AG2137" s="85">
        <v>45097</v>
      </c>
      <c r="AH2137" s="80" t="s">
        <v>12518</v>
      </c>
      <c r="AI2137" s="77" t="b">
        <v>0</v>
      </c>
      <c r="AJ2137" s="77"/>
      <c r="AK2137" s="77"/>
      <c r="AL2137" s="77"/>
      <c r="AM2137" s="77"/>
      <c r="AN2137" s="77"/>
      <c r="AO2137" s="77"/>
      <c r="AP2137" s="77"/>
      <c r="AQ2137" s="77" t="s">
        <v>15106</v>
      </c>
      <c r="AR2137" s="77">
        <v>128495</v>
      </c>
      <c r="AS2137" s="77"/>
      <c r="AT2137" s="77"/>
      <c r="AU2137" s="77"/>
      <c r="AV2137" s="83" t="str">
        <f>HYPERLINK("https://pbs.twimg.com/ext_tw_video_thumb/1671183915300667394/pu/img/uQBFJs4dEd5KdB1N.jpg")</f>
        <v>https://pbs.twimg.com/ext_tw_video_thumb/1671183915300667394/pu/img/uQBFJs4dEd5KdB1N.jpg</v>
      </c>
      <c r="AW2137" s="80" t="s">
        <v>17976</v>
      </c>
      <c r="AX2137" s="80" t="s">
        <v>17976</v>
      </c>
      <c r="AY2137" s="77"/>
      <c r="AZ2137" s="80" t="s">
        <v>20380</v>
      </c>
      <c r="BA2137" s="80" t="s">
        <v>20380</v>
      </c>
      <c r="BB2137" s="80" t="s">
        <v>20380</v>
      </c>
      <c r="BC2137" s="80" t="s">
        <v>17976</v>
      </c>
      <c r="BD2137" s="77">
        <v>488477453</v>
      </c>
      <c r="BE2137" s="77"/>
      <c r="BF2137" s="77"/>
      <c r="BG2137" s="77"/>
      <c r="BH2137" s="77"/>
      <c r="BI2137" s="77"/>
    </row>
    <row r="2138" spans="1:61" x14ac:dyDescent="0.25">
      <c r="A2138" s="62" t="s">
        <v>888</v>
      </c>
      <c r="B2138" s="62" t="s">
        <v>888</v>
      </c>
      <c r="C2138" s="63"/>
      <c r="D2138" s="64"/>
      <c r="E2138" s="65"/>
      <c r="F2138" s="66"/>
      <c r="G2138" s="63"/>
      <c r="H2138" s="67"/>
      <c r="I2138" s="68"/>
      <c r="J2138" s="68"/>
      <c r="K2138" s="32"/>
      <c r="L2138" s="75">
        <v>2138</v>
      </c>
      <c r="M2138" s="75"/>
      <c r="N2138" s="70"/>
      <c r="O2138" s="77" t="s">
        <v>179</v>
      </c>
      <c r="P2138" s="79">
        <v>45097.647037037037</v>
      </c>
      <c r="Q2138" s="77" t="s">
        <v>3995</v>
      </c>
      <c r="R2138" s="77">
        <v>1</v>
      </c>
      <c r="S2138" s="77">
        <v>2</v>
      </c>
      <c r="T2138" s="77">
        <v>0</v>
      </c>
      <c r="U2138" s="77">
        <v>0</v>
      </c>
      <c r="V2138" s="77">
        <v>250</v>
      </c>
      <c r="W2138" s="80" t="s">
        <v>7256</v>
      </c>
      <c r="X2138" s="77"/>
      <c r="Y2138" s="77"/>
      <c r="Z2138" s="77"/>
      <c r="AA2138" s="77" t="s">
        <v>9625</v>
      </c>
      <c r="AB2138" s="77" t="s">
        <v>10534</v>
      </c>
      <c r="AC2138" s="80" t="s">
        <v>10541</v>
      </c>
      <c r="AD2138" s="77" t="s">
        <v>10617</v>
      </c>
      <c r="AE2138" s="83" t="str">
        <f>HYPERLINK("https://twitter.com/girlishgiggle/status/1671179031000100866")</f>
        <v>https://twitter.com/girlishgiggle/status/1671179031000100866</v>
      </c>
      <c r="AF2138" s="79">
        <v>45097.647037037037</v>
      </c>
      <c r="AG2138" s="85">
        <v>45097</v>
      </c>
      <c r="AH2138" s="80" t="s">
        <v>12519</v>
      </c>
      <c r="AI2138" s="77" t="b">
        <v>0</v>
      </c>
      <c r="AJ2138" s="77"/>
      <c r="AK2138" s="77"/>
      <c r="AL2138" s="77"/>
      <c r="AM2138" s="77"/>
      <c r="AN2138" s="77"/>
      <c r="AO2138" s="77"/>
      <c r="AP2138" s="77"/>
      <c r="AQ2138" s="77" t="s">
        <v>15107</v>
      </c>
      <c r="AR2138" s="77">
        <v>107841</v>
      </c>
      <c r="AS2138" s="77"/>
      <c r="AT2138" s="77"/>
      <c r="AU2138" s="77"/>
      <c r="AV2138" s="83" t="str">
        <f>HYPERLINK("https://pbs.twimg.com/ext_tw_video_thumb/1671178626924965890/pu/img/PyrNy0sA3gv1Tizk.jpg")</f>
        <v>https://pbs.twimg.com/ext_tw_video_thumb/1671178626924965890/pu/img/PyrNy0sA3gv1Tizk.jpg</v>
      </c>
      <c r="AW2138" s="80" t="s">
        <v>17977</v>
      </c>
      <c r="AX2138" s="80" t="s">
        <v>17977</v>
      </c>
      <c r="AY2138" s="77"/>
      <c r="AZ2138" s="80" t="s">
        <v>20380</v>
      </c>
      <c r="BA2138" s="80" t="s">
        <v>20380</v>
      </c>
      <c r="BB2138" s="80" t="s">
        <v>20380</v>
      </c>
      <c r="BC2138" s="80" t="s">
        <v>17977</v>
      </c>
      <c r="BD2138" s="77">
        <v>488477453</v>
      </c>
      <c r="BE2138" s="77"/>
      <c r="BF2138" s="77"/>
      <c r="BG2138" s="77"/>
      <c r="BH2138" s="77"/>
      <c r="BI2138" s="77"/>
    </row>
    <row r="2139" spans="1:61" x14ac:dyDescent="0.25">
      <c r="A2139" s="62" t="s">
        <v>888</v>
      </c>
      <c r="B2139" s="62" t="s">
        <v>888</v>
      </c>
      <c r="C2139" s="63"/>
      <c r="D2139" s="64"/>
      <c r="E2139" s="65"/>
      <c r="F2139" s="66"/>
      <c r="G2139" s="63"/>
      <c r="H2139" s="67"/>
      <c r="I2139" s="68"/>
      <c r="J2139" s="68"/>
      <c r="K2139" s="32"/>
      <c r="L2139" s="75">
        <v>2139</v>
      </c>
      <c r="M2139" s="75"/>
      <c r="N2139" s="70"/>
      <c r="O2139" s="77" t="s">
        <v>179</v>
      </c>
      <c r="P2139" s="79">
        <v>45072.631296296298</v>
      </c>
      <c r="Q2139" s="77" t="s">
        <v>3996</v>
      </c>
      <c r="R2139" s="77">
        <v>1</v>
      </c>
      <c r="S2139" s="77">
        <v>3</v>
      </c>
      <c r="T2139" s="77">
        <v>0</v>
      </c>
      <c r="U2139" s="77">
        <v>0</v>
      </c>
      <c r="V2139" s="77">
        <v>525</v>
      </c>
      <c r="W2139" s="80" t="s">
        <v>7257</v>
      </c>
      <c r="X2139" s="77"/>
      <c r="Y2139" s="77"/>
      <c r="Z2139" s="77"/>
      <c r="AA2139" s="77" t="s">
        <v>9626</v>
      </c>
      <c r="AB2139" s="77" t="s">
        <v>10534</v>
      </c>
      <c r="AC2139" s="80" t="s">
        <v>10541</v>
      </c>
      <c r="AD2139" s="77" t="s">
        <v>10617</v>
      </c>
      <c r="AE2139" s="83" t="str">
        <f>HYPERLINK("https://twitter.com/girlishgiggle/status/1662113630916169728")</f>
        <v>https://twitter.com/girlishgiggle/status/1662113630916169728</v>
      </c>
      <c r="AF2139" s="79">
        <v>45072.631296296298</v>
      </c>
      <c r="AG2139" s="85">
        <v>45072</v>
      </c>
      <c r="AH2139" s="80" t="s">
        <v>12520</v>
      </c>
      <c r="AI2139" s="77" t="b">
        <v>0</v>
      </c>
      <c r="AJ2139" s="77"/>
      <c r="AK2139" s="77"/>
      <c r="AL2139" s="77"/>
      <c r="AM2139" s="77"/>
      <c r="AN2139" s="77"/>
      <c r="AO2139" s="77"/>
      <c r="AP2139" s="77"/>
      <c r="AQ2139" s="77" t="s">
        <v>15108</v>
      </c>
      <c r="AR2139" s="77">
        <v>96277</v>
      </c>
      <c r="AS2139" s="77"/>
      <c r="AT2139" s="77"/>
      <c r="AU2139" s="77"/>
      <c r="AV2139" s="83" t="str">
        <f>HYPERLINK("https://pbs.twimg.com/ext_tw_video_thumb/1662112987518234624/pu/img/VTsB37SWFOa9h3gh.jpg")</f>
        <v>https://pbs.twimg.com/ext_tw_video_thumb/1662112987518234624/pu/img/VTsB37SWFOa9h3gh.jpg</v>
      </c>
      <c r="AW2139" s="80" t="s">
        <v>17978</v>
      </c>
      <c r="AX2139" s="80" t="s">
        <v>17978</v>
      </c>
      <c r="AY2139" s="77"/>
      <c r="AZ2139" s="80" t="s">
        <v>20380</v>
      </c>
      <c r="BA2139" s="80" t="s">
        <v>20380</v>
      </c>
      <c r="BB2139" s="80" t="s">
        <v>20380</v>
      </c>
      <c r="BC2139" s="80" t="s">
        <v>17978</v>
      </c>
      <c r="BD2139" s="77">
        <v>488477453</v>
      </c>
      <c r="BE2139" s="77"/>
      <c r="BF2139" s="77"/>
      <c r="BG2139" s="77"/>
      <c r="BH2139" s="77"/>
      <c r="BI2139" s="77"/>
    </row>
    <row r="2140" spans="1:61" x14ac:dyDescent="0.25">
      <c r="A2140" s="62" t="s">
        <v>889</v>
      </c>
      <c r="B2140" s="62" t="s">
        <v>889</v>
      </c>
      <c r="C2140" s="63"/>
      <c r="D2140" s="64"/>
      <c r="E2140" s="65"/>
      <c r="F2140" s="66"/>
      <c r="G2140" s="63"/>
      <c r="H2140" s="67"/>
      <c r="I2140" s="68"/>
      <c r="J2140" s="68"/>
      <c r="K2140" s="32"/>
      <c r="L2140" s="75">
        <v>2140</v>
      </c>
      <c r="M2140" s="75"/>
      <c r="N2140" s="70"/>
      <c r="O2140" s="77" t="s">
        <v>179</v>
      </c>
      <c r="P2140" s="79">
        <v>45142.811550925922</v>
      </c>
      <c r="Q2140" s="77" t="s">
        <v>3997</v>
      </c>
      <c r="R2140" s="77">
        <v>0</v>
      </c>
      <c r="S2140" s="77">
        <v>0</v>
      </c>
      <c r="T2140" s="77">
        <v>0</v>
      </c>
      <c r="U2140" s="77">
        <v>0</v>
      </c>
      <c r="V2140" s="77">
        <v>17</v>
      </c>
      <c r="W2140" s="80" t="s">
        <v>5884</v>
      </c>
      <c r="X2140" s="77"/>
      <c r="Y2140" s="77"/>
      <c r="Z2140" s="77"/>
      <c r="AA2140" s="77"/>
      <c r="AB2140" s="77"/>
      <c r="AC2140" s="80" t="s">
        <v>10540</v>
      </c>
      <c r="AD2140" s="77" t="s">
        <v>10620</v>
      </c>
      <c r="AE2140" s="83" t="str">
        <f>HYPERLINK("https://twitter.com/maryuhernandez/status/1687546100738125824")</f>
        <v>https://twitter.com/maryuhernandez/status/1687546100738125824</v>
      </c>
      <c r="AF2140" s="79">
        <v>45142.811550925922</v>
      </c>
      <c r="AG2140" s="85">
        <v>45142</v>
      </c>
      <c r="AH2140" s="80" t="s">
        <v>12521</v>
      </c>
      <c r="AI2140" s="77"/>
      <c r="AJ2140" s="77"/>
      <c r="AK2140" s="77"/>
      <c r="AL2140" s="77"/>
      <c r="AM2140" s="77"/>
      <c r="AN2140" s="77"/>
      <c r="AO2140" s="77"/>
      <c r="AP2140" s="77"/>
      <c r="AQ2140" s="77"/>
      <c r="AR2140" s="77"/>
      <c r="AS2140" s="77"/>
      <c r="AT2140" s="77"/>
      <c r="AU2140" s="77"/>
      <c r="AV2140" s="83" t="str">
        <f>HYPERLINK("https://pbs.twimg.com/profile_images/1701443800994893824/K2GyTa4E_normal.jpg")</f>
        <v>https://pbs.twimg.com/profile_images/1701443800994893824/K2GyTa4E_normal.jpg</v>
      </c>
      <c r="AW2140" s="80" t="s">
        <v>17979</v>
      </c>
      <c r="AX2140" s="80" t="s">
        <v>17979</v>
      </c>
      <c r="AY2140" s="77"/>
      <c r="AZ2140" s="80" t="s">
        <v>20380</v>
      </c>
      <c r="BA2140" s="80" t="s">
        <v>20380</v>
      </c>
      <c r="BB2140" s="80" t="s">
        <v>20380</v>
      </c>
      <c r="BC2140" s="80" t="s">
        <v>17979</v>
      </c>
      <c r="BD2140" s="77">
        <v>156402202</v>
      </c>
      <c r="BE2140" s="77"/>
      <c r="BF2140" s="77"/>
      <c r="BG2140" s="77"/>
      <c r="BH2140" s="77"/>
      <c r="BI2140" s="77"/>
    </row>
    <row r="2141" spans="1:61" x14ac:dyDescent="0.25">
      <c r="A2141" s="62" t="s">
        <v>890</v>
      </c>
      <c r="B2141" s="62" t="s">
        <v>890</v>
      </c>
      <c r="C2141" s="63"/>
      <c r="D2141" s="64"/>
      <c r="E2141" s="65"/>
      <c r="F2141" s="66"/>
      <c r="G2141" s="63"/>
      <c r="H2141" s="67"/>
      <c r="I2141" s="68"/>
      <c r="J2141" s="68"/>
      <c r="K2141" s="32"/>
      <c r="L2141" s="75">
        <v>2141</v>
      </c>
      <c r="M2141" s="75"/>
      <c r="N2141" s="70"/>
      <c r="O2141" s="77" t="s">
        <v>179</v>
      </c>
      <c r="P2141" s="79">
        <v>45056.084027777775</v>
      </c>
      <c r="Q2141" s="77" t="s">
        <v>3998</v>
      </c>
      <c r="R2141" s="77">
        <v>0</v>
      </c>
      <c r="S2141" s="77">
        <v>0</v>
      </c>
      <c r="T2141" s="77">
        <v>0</v>
      </c>
      <c r="U2141" s="77">
        <v>0</v>
      </c>
      <c r="V2141" s="77">
        <v>11</v>
      </c>
      <c r="W2141" s="80" t="s">
        <v>7258</v>
      </c>
      <c r="X2141" s="83" t="str">
        <f>HYPERLINK("https://www.comentard.com/economia/encaje-legal-liberado-por-el-banco-central/")</f>
        <v>https://www.comentard.com/economia/encaje-legal-liberado-por-el-banco-central/</v>
      </c>
      <c r="Y2141" s="77" t="s">
        <v>8767</v>
      </c>
      <c r="Z2141" s="77"/>
      <c r="AA2141" s="77"/>
      <c r="AB2141" s="77"/>
      <c r="AC2141" s="80" t="s">
        <v>10541</v>
      </c>
      <c r="AD2141" s="77" t="s">
        <v>10619</v>
      </c>
      <c r="AE2141" s="83" t="str">
        <f>HYPERLINK("https://twitter.com/comentard1/status/1656117099524153346")</f>
        <v>https://twitter.com/comentard1/status/1656117099524153346</v>
      </c>
      <c r="AF2141" s="79">
        <v>45056.084027777775</v>
      </c>
      <c r="AG2141" s="85">
        <v>45056</v>
      </c>
      <c r="AH2141" s="80" t="s">
        <v>12522</v>
      </c>
      <c r="AI2141" s="77" t="b">
        <v>0</v>
      </c>
      <c r="AJ2141" s="77"/>
      <c r="AK2141" s="77"/>
      <c r="AL2141" s="77"/>
      <c r="AM2141" s="77"/>
      <c r="AN2141" s="77"/>
      <c r="AO2141" s="77"/>
      <c r="AP2141" s="77"/>
      <c r="AQ2141" s="77"/>
      <c r="AR2141" s="77"/>
      <c r="AS2141" s="77"/>
      <c r="AT2141" s="77"/>
      <c r="AU2141" s="77"/>
      <c r="AV2141" s="83" t="str">
        <f>HYPERLINK("https://pbs.twimg.com/profile_images/1522287540094574593/Osqskcy2_normal.jpg")</f>
        <v>https://pbs.twimg.com/profile_images/1522287540094574593/Osqskcy2_normal.jpg</v>
      </c>
      <c r="AW2141" s="80" t="s">
        <v>17980</v>
      </c>
      <c r="AX2141" s="80" t="s">
        <v>17980</v>
      </c>
      <c r="AY2141" s="77"/>
      <c r="AZ2141" s="80" t="s">
        <v>20380</v>
      </c>
      <c r="BA2141" s="80" t="s">
        <v>20380</v>
      </c>
      <c r="BB2141" s="80" t="s">
        <v>20380</v>
      </c>
      <c r="BC2141" s="80" t="s">
        <v>17980</v>
      </c>
      <c r="BD2141" s="80" t="s">
        <v>20810</v>
      </c>
      <c r="BE2141" s="77"/>
      <c r="BF2141" s="77"/>
      <c r="BG2141" s="77"/>
      <c r="BH2141" s="77"/>
      <c r="BI2141" s="77"/>
    </row>
    <row r="2142" spans="1:61" x14ac:dyDescent="0.25">
      <c r="A2142" s="62" t="s">
        <v>891</v>
      </c>
      <c r="B2142" s="62" t="s">
        <v>1650</v>
      </c>
      <c r="C2142" s="63"/>
      <c r="D2142" s="64"/>
      <c r="E2142" s="65"/>
      <c r="F2142" s="66"/>
      <c r="G2142" s="63"/>
      <c r="H2142" s="67"/>
      <c r="I2142" s="68"/>
      <c r="J2142" s="68"/>
      <c r="K2142" s="32"/>
      <c r="L2142" s="75">
        <v>2142</v>
      </c>
      <c r="M2142" s="75"/>
      <c r="N2142" s="70"/>
      <c r="O2142" s="77" t="s">
        <v>2083</v>
      </c>
      <c r="P2142" s="79">
        <v>45197.909826388888</v>
      </c>
      <c r="Q2142" s="77" t="s">
        <v>2786</v>
      </c>
      <c r="R2142" s="77">
        <v>3</v>
      </c>
      <c r="S2142" s="77">
        <v>0</v>
      </c>
      <c r="T2142" s="77">
        <v>0</v>
      </c>
      <c r="U2142" s="77">
        <v>0</v>
      </c>
      <c r="V2142" s="77"/>
      <c r="W2142" s="77"/>
      <c r="X2142" s="77"/>
      <c r="Y2142" s="77"/>
      <c r="Z2142" s="77" t="s">
        <v>1650</v>
      </c>
      <c r="AA2142" s="77"/>
      <c r="AB2142" s="77"/>
      <c r="AC2142" s="80" t="s">
        <v>10540</v>
      </c>
      <c r="AD2142" s="77" t="s">
        <v>10617</v>
      </c>
      <c r="AE2142" s="83" t="str">
        <f>HYPERLINK("https://twitter.com/felixvini2/status/1707513046560600195")</f>
        <v>https://twitter.com/felixvini2/status/1707513046560600195</v>
      </c>
      <c r="AF2142" s="79">
        <v>45197.909826388888</v>
      </c>
      <c r="AG2142" s="85">
        <v>45197</v>
      </c>
      <c r="AH2142" s="80" t="s">
        <v>12523</v>
      </c>
      <c r="AI2142" s="77"/>
      <c r="AJ2142" s="77"/>
      <c r="AK2142" s="77"/>
      <c r="AL2142" s="77"/>
      <c r="AM2142" s="77"/>
      <c r="AN2142" s="77"/>
      <c r="AO2142" s="77"/>
      <c r="AP2142" s="77"/>
      <c r="AQ2142" s="77"/>
      <c r="AR2142" s="77"/>
      <c r="AS2142" s="77"/>
      <c r="AT2142" s="77"/>
      <c r="AU2142" s="77"/>
      <c r="AV2142" s="83" t="str">
        <f>HYPERLINK("https://pbs.twimg.com/profile_images/1385609807252557830/Em1GByz7_normal.jpg")</f>
        <v>https://pbs.twimg.com/profile_images/1385609807252557830/Em1GByz7_normal.jpg</v>
      </c>
      <c r="AW2142" s="80" t="s">
        <v>17981</v>
      </c>
      <c r="AX2142" s="80" t="s">
        <v>17981</v>
      </c>
      <c r="AY2142" s="77"/>
      <c r="AZ2142" s="80" t="s">
        <v>20380</v>
      </c>
      <c r="BA2142" s="80" t="s">
        <v>20380</v>
      </c>
      <c r="BB2142" s="80" t="s">
        <v>19805</v>
      </c>
      <c r="BC2142" s="80" t="s">
        <v>19805</v>
      </c>
      <c r="BD2142" s="80" t="s">
        <v>20811</v>
      </c>
      <c r="BE2142" s="77"/>
      <c r="BF2142" s="77"/>
      <c r="BG2142" s="77"/>
      <c r="BH2142" s="77"/>
      <c r="BI2142" s="77"/>
    </row>
    <row r="2143" spans="1:61" x14ac:dyDescent="0.25">
      <c r="A2143" s="62" t="s">
        <v>892</v>
      </c>
      <c r="B2143" s="62" t="s">
        <v>1905</v>
      </c>
      <c r="C2143" s="63"/>
      <c r="D2143" s="64"/>
      <c r="E2143" s="65"/>
      <c r="F2143" s="66"/>
      <c r="G2143" s="63"/>
      <c r="H2143" s="67"/>
      <c r="I2143" s="68"/>
      <c r="J2143" s="68"/>
      <c r="K2143" s="32"/>
      <c r="L2143" s="75">
        <v>2143</v>
      </c>
      <c r="M2143" s="75"/>
      <c r="N2143" s="70"/>
      <c r="O2143" s="77" t="s">
        <v>2081</v>
      </c>
      <c r="P2143" s="79">
        <v>45159.46671296296</v>
      </c>
      <c r="Q2143" s="77" t="s">
        <v>3999</v>
      </c>
      <c r="R2143" s="77">
        <v>0</v>
      </c>
      <c r="S2143" s="77">
        <v>11</v>
      </c>
      <c r="T2143" s="77">
        <v>0</v>
      </c>
      <c r="U2143" s="77">
        <v>1</v>
      </c>
      <c r="V2143" s="77">
        <v>1738</v>
      </c>
      <c r="W2143" s="80" t="s">
        <v>7259</v>
      </c>
      <c r="X2143" s="83" t="str">
        <f>HYPERLINK("https://youtu.be/hrgczhnEG0s")</f>
        <v>https://youtu.be/hrgczhnEG0s</v>
      </c>
      <c r="Y2143" s="77" t="s">
        <v>8635</v>
      </c>
      <c r="Z2143" s="77" t="s">
        <v>1905</v>
      </c>
      <c r="AA2143" s="77" t="s">
        <v>9627</v>
      </c>
      <c r="AB2143" s="77" t="s">
        <v>10535</v>
      </c>
      <c r="AC2143" s="80" t="s">
        <v>10552</v>
      </c>
      <c r="AD2143" s="77" t="s">
        <v>10620</v>
      </c>
      <c r="AE2143" s="83" t="str">
        <f>HYPERLINK("https://twitter.com/negocios_tv/status/1693581728705552859")</f>
        <v>https://twitter.com/negocios_tv/status/1693581728705552859</v>
      </c>
      <c r="AF2143" s="79">
        <v>45159.46671296296</v>
      </c>
      <c r="AG2143" s="85">
        <v>45159</v>
      </c>
      <c r="AH2143" s="80" t="s">
        <v>12524</v>
      </c>
      <c r="AI2143" s="77" t="b">
        <v>0</v>
      </c>
      <c r="AJ2143" s="77"/>
      <c r="AK2143" s="77"/>
      <c r="AL2143" s="77"/>
      <c r="AM2143" s="77"/>
      <c r="AN2143" s="77"/>
      <c r="AO2143" s="77"/>
      <c r="AP2143" s="77"/>
      <c r="AQ2143" s="77" t="s">
        <v>15109</v>
      </c>
      <c r="AR2143" s="77"/>
      <c r="AS2143" s="77"/>
      <c r="AT2143" s="77"/>
      <c r="AU2143" s="77"/>
      <c r="AV2143" s="83" t="str">
        <f>HYPERLINK("https://pbs.twimg.com/media/F4DPm4dWcAAh2xe.jpg")</f>
        <v>https://pbs.twimg.com/media/F4DPm4dWcAAh2xe.jpg</v>
      </c>
      <c r="AW2143" s="80" t="s">
        <v>17982</v>
      </c>
      <c r="AX2143" s="80" t="s">
        <v>17982</v>
      </c>
      <c r="AY2143" s="77"/>
      <c r="AZ2143" s="80" t="s">
        <v>20380</v>
      </c>
      <c r="BA2143" s="80" t="s">
        <v>20380</v>
      </c>
      <c r="BB2143" s="80" t="s">
        <v>20380</v>
      </c>
      <c r="BC2143" s="80" t="s">
        <v>17982</v>
      </c>
      <c r="BD2143" s="80" t="s">
        <v>20812</v>
      </c>
      <c r="BE2143" s="77"/>
      <c r="BF2143" s="77"/>
      <c r="BG2143" s="77"/>
      <c r="BH2143" s="77"/>
      <c r="BI2143" s="77"/>
    </row>
    <row r="2144" spans="1:61" x14ac:dyDescent="0.25">
      <c r="A2144" s="62" t="s">
        <v>892</v>
      </c>
      <c r="B2144" s="62" t="s">
        <v>892</v>
      </c>
      <c r="C2144" s="63"/>
      <c r="D2144" s="64"/>
      <c r="E2144" s="65"/>
      <c r="F2144" s="66"/>
      <c r="G2144" s="63"/>
      <c r="H2144" s="67"/>
      <c r="I2144" s="68"/>
      <c r="J2144" s="68"/>
      <c r="K2144" s="32"/>
      <c r="L2144" s="75">
        <v>2144</v>
      </c>
      <c r="M2144" s="75"/>
      <c r="N2144" s="70"/>
      <c r="O2144" s="77" t="s">
        <v>179</v>
      </c>
      <c r="P2144" s="79">
        <v>45075.294965277775</v>
      </c>
      <c r="Q2144" s="77" t="s">
        <v>4000</v>
      </c>
      <c r="R2144" s="77">
        <v>1</v>
      </c>
      <c r="S2144" s="77">
        <v>1</v>
      </c>
      <c r="T2144" s="77">
        <v>0</v>
      </c>
      <c r="U2144" s="77">
        <v>0</v>
      </c>
      <c r="V2144" s="77">
        <v>470</v>
      </c>
      <c r="W2144" s="80" t="s">
        <v>7260</v>
      </c>
      <c r="X2144" s="83" t="str">
        <f>HYPERLINK("https://youtu.be/hQwbKyJ4d_A")</f>
        <v>https://youtu.be/hQwbKyJ4d_A</v>
      </c>
      <c r="Y2144" s="77" t="s">
        <v>8635</v>
      </c>
      <c r="Z2144" s="77"/>
      <c r="AA2144" s="77" t="s">
        <v>9628</v>
      </c>
      <c r="AB2144" s="77" t="s">
        <v>10535</v>
      </c>
      <c r="AC2144" s="80" t="s">
        <v>10552</v>
      </c>
      <c r="AD2144" s="77" t="s">
        <v>10620</v>
      </c>
      <c r="AE2144" s="83" t="str">
        <f>HYPERLINK("https://twitter.com/negocios_tv/status/1663078910525861888")</f>
        <v>https://twitter.com/negocios_tv/status/1663078910525861888</v>
      </c>
      <c r="AF2144" s="79">
        <v>45075.294965277775</v>
      </c>
      <c r="AG2144" s="85">
        <v>45075</v>
      </c>
      <c r="AH2144" s="80" t="s">
        <v>12525</v>
      </c>
      <c r="AI2144" s="77" t="b">
        <v>0</v>
      </c>
      <c r="AJ2144" s="77"/>
      <c r="AK2144" s="77"/>
      <c r="AL2144" s="77"/>
      <c r="AM2144" s="77"/>
      <c r="AN2144" s="77"/>
      <c r="AO2144" s="77"/>
      <c r="AP2144" s="77"/>
      <c r="AQ2144" s="77" t="s">
        <v>15110</v>
      </c>
      <c r="AR2144" s="77"/>
      <c r="AS2144" s="77"/>
      <c r="AT2144" s="77"/>
      <c r="AU2144" s="77"/>
      <c r="AV2144" s="83" t="str">
        <f>HYPERLINK("https://pbs.twimg.com/media/FxRxdM6XsAE5ape.jpg")</f>
        <v>https://pbs.twimg.com/media/FxRxdM6XsAE5ape.jpg</v>
      </c>
      <c r="AW2144" s="80" t="s">
        <v>17983</v>
      </c>
      <c r="AX2144" s="80" t="s">
        <v>17983</v>
      </c>
      <c r="AY2144" s="77"/>
      <c r="AZ2144" s="80" t="s">
        <v>20380</v>
      </c>
      <c r="BA2144" s="80" t="s">
        <v>20380</v>
      </c>
      <c r="BB2144" s="80" t="s">
        <v>20380</v>
      </c>
      <c r="BC2144" s="80" t="s">
        <v>17983</v>
      </c>
      <c r="BD2144" s="80" t="s">
        <v>20812</v>
      </c>
      <c r="BE2144" s="77"/>
      <c r="BF2144" s="77"/>
      <c r="BG2144" s="77"/>
      <c r="BH2144" s="77"/>
      <c r="BI2144" s="77"/>
    </row>
    <row r="2145" spans="1:61" x14ac:dyDescent="0.25">
      <c r="A2145" s="62" t="s">
        <v>892</v>
      </c>
      <c r="B2145" s="62" t="s">
        <v>892</v>
      </c>
      <c r="C2145" s="63"/>
      <c r="D2145" s="64"/>
      <c r="E2145" s="65"/>
      <c r="F2145" s="66"/>
      <c r="G2145" s="63"/>
      <c r="H2145" s="67"/>
      <c r="I2145" s="68"/>
      <c r="J2145" s="68"/>
      <c r="K2145" s="32"/>
      <c r="L2145" s="75">
        <v>2145</v>
      </c>
      <c r="M2145" s="75"/>
      <c r="N2145" s="70"/>
      <c r="O2145" s="77" t="s">
        <v>179</v>
      </c>
      <c r="P2145" s="79">
        <v>45063.511203703703</v>
      </c>
      <c r="Q2145" s="77" t="s">
        <v>4001</v>
      </c>
      <c r="R2145" s="77">
        <v>9</v>
      </c>
      <c r="S2145" s="77">
        <v>21</v>
      </c>
      <c r="T2145" s="77">
        <v>4</v>
      </c>
      <c r="U2145" s="77">
        <v>0</v>
      </c>
      <c r="V2145" s="77">
        <v>1609</v>
      </c>
      <c r="W2145" s="80" t="s">
        <v>7261</v>
      </c>
      <c r="X2145" s="83" t="str">
        <f>HYPERLINK("https://youtu.be/ZoeI8q8kCQk")</f>
        <v>https://youtu.be/ZoeI8q8kCQk</v>
      </c>
      <c r="Y2145" s="77" t="s">
        <v>8635</v>
      </c>
      <c r="Z2145" s="77"/>
      <c r="AA2145" s="77" t="s">
        <v>9629</v>
      </c>
      <c r="AB2145" s="77" t="s">
        <v>10535</v>
      </c>
      <c r="AC2145" s="80" t="s">
        <v>10552</v>
      </c>
      <c r="AD2145" s="77" t="s">
        <v>10620</v>
      </c>
      <c r="AE2145" s="83" t="str">
        <f>HYPERLINK("https://twitter.com/negocios_tv/status/1658808617246642177")</f>
        <v>https://twitter.com/negocios_tv/status/1658808617246642177</v>
      </c>
      <c r="AF2145" s="79">
        <v>45063.511203703703</v>
      </c>
      <c r="AG2145" s="85">
        <v>45063</v>
      </c>
      <c r="AH2145" s="80" t="s">
        <v>12526</v>
      </c>
      <c r="AI2145" s="77" t="b">
        <v>0</v>
      </c>
      <c r="AJ2145" s="77"/>
      <c r="AK2145" s="77"/>
      <c r="AL2145" s="77"/>
      <c r="AM2145" s="77"/>
      <c r="AN2145" s="77"/>
      <c r="AO2145" s="77"/>
      <c r="AP2145" s="77"/>
      <c r="AQ2145" s="77" t="s">
        <v>15111</v>
      </c>
      <c r="AR2145" s="77"/>
      <c r="AS2145" s="77"/>
      <c r="AT2145" s="77"/>
      <c r="AU2145" s="77"/>
      <c r="AV2145" s="83" t="str">
        <f>HYPERLINK("https://pbs.twimg.com/media/FwVFpcLWIAAy8QU.png")</f>
        <v>https://pbs.twimg.com/media/FwVFpcLWIAAy8QU.png</v>
      </c>
      <c r="AW2145" s="80" t="s">
        <v>17984</v>
      </c>
      <c r="AX2145" s="80" t="s">
        <v>17984</v>
      </c>
      <c r="AY2145" s="77"/>
      <c r="AZ2145" s="80" t="s">
        <v>20380</v>
      </c>
      <c r="BA2145" s="80" t="s">
        <v>20380</v>
      </c>
      <c r="BB2145" s="80" t="s">
        <v>20380</v>
      </c>
      <c r="BC2145" s="80" t="s">
        <v>17984</v>
      </c>
      <c r="BD2145" s="80" t="s">
        <v>20812</v>
      </c>
      <c r="BE2145" s="77"/>
      <c r="BF2145" s="77"/>
      <c r="BG2145" s="77"/>
      <c r="BH2145" s="77"/>
      <c r="BI2145" s="77"/>
    </row>
    <row r="2146" spans="1:61" x14ac:dyDescent="0.25">
      <c r="A2146" s="62" t="s">
        <v>892</v>
      </c>
      <c r="B2146" s="62" t="s">
        <v>892</v>
      </c>
      <c r="C2146" s="63"/>
      <c r="D2146" s="64"/>
      <c r="E2146" s="65"/>
      <c r="F2146" s="66"/>
      <c r="G2146" s="63"/>
      <c r="H2146" s="67"/>
      <c r="I2146" s="68"/>
      <c r="J2146" s="68"/>
      <c r="K2146" s="32"/>
      <c r="L2146" s="75">
        <v>2146</v>
      </c>
      <c r="M2146" s="75"/>
      <c r="N2146" s="70"/>
      <c r="O2146" s="77" t="s">
        <v>179</v>
      </c>
      <c r="P2146" s="79">
        <v>45063.302997685183</v>
      </c>
      <c r="Q2146" s="77" t="s">
        <v>4002</v>
      </c>
      <c r="R2146" s="77">
        <v>1</v>
      </c>
      <c r="S2146" s="77">
        <v>0</v>
      </c>
      <c r="T2146" s="77">
        <v>0</v>
      </c>
      <c r="U2146" s="77">
        <v>0</v>
      </c>
      <c r="V2146" s="77">
        <v>303</v>
      </c>
      <c r="W2146" s="80" t="s">
        <v>7262</v>
      </c>
      <c r="X2146" s="83" t="str">
        <f>HYPERLINK("https://youtu.be/2hcxNb_-QOs")</f>
        <v>https://youtu.be/2hcxNb_-QOs</v>
      </c>
      <c r="Y2146" s="77" t="s">
        <v>8635</v>
      </c>
      <c r="Z2146" s="77"/>
      <c r="AA2146" s="77" t="s">
        <v>9630</v>
      </c>
      <c r="AB2146" s="77" t="s">
        <v>10535</v>
      </c>
      <c r="AC2146" s="80" t="s">
        <v>10552</v>
      </c>
      <c r="AD2146" s="77" t="s">
        <v>10620</v>
      </c>
      <c r="AE2146" s="83" t="str">
        <f>HYPERLINK("https://twitter.com/negocios_tv/status/1658733165857390592")</f>
        <v>https://twitter.com/negocios_tv/status/1658733165857390592</v>
      </c>
      <c r="AF2146" s="79">
        <v>45063.302997685183</v>
      </c>
      <c r="AG2146" s="85">
        <v>45063</v>
      </c>
      <c r="AH2146" s="80" t="s">
        <v>12527</v>
      </c>
      <c r="AI2146" s="77" t="b">
        <v>0</v>
      </c>
      <c r="AJ2146" s="77"/>
      <c r="AK2146" s="77"/>
      <c r="AL2146" s="77"/>
      <c r="AM2146" s="77"/>
      <c r="AN2146" s="77"/>
      <c r="AO2146" s="77"/>
      <c r="AP2146" s="77"/>
      <c r="AQ2146" s="77" t="s">
        <v>15112</v>
      </c>
      <c r="AR2146" s="77"/>
      <c r="AS2146" s="77"/>
      <c r="AT2146" s="77"/>
      <c r="AU2146" s="77"/>
      <c r="AV2146" s="83" t="str">
        <f>HYPERLINK("https://pbs.twimg.com/media/FwUBBkeWAAMEFah.jpg")</f>
        <v>https://pbs.twimg.com/media/FwUBBkeWAAMEFah.jpg</v>
      </c>
      <c r="AW2146" s="80" t="s">
        <v>17985</v>
      </c>
      <c r="AX2146" s="80" t="s">
        <v>17985</v>
      </c>
      <c r="AY2146" s="77"/>
      <c r="AZ2146" s="80" t="s">
        <v>20380</v>
      </c>
      <c r="BA2146" s="80" t="s">
        <v>20380</v>
      </c>
      <c r="BB2146" s="80" t="s">
        <v>20380</v>
      </c>
      <c r="BC2146" s="80" t="s">
        <v>17985</v>
      </c>
      <c r="BD2146" s="80" t="s">
        <v>20812</v>
      </c>
      <c r="BE2146" s="77"/>
      <c r="BF2146" s="77"/>
      <c r="BG2146" s="77"/>
      <c r="BH2146" s="77"/>
      <c r="BI2146" s="77"/>
    </row>
    <row r="2147" spans="1:61" x14ac:dyDescent="0.25">
      <c r="A2147" s="62" t="s">
        <v>892</v>
      </c>
      <c r="B2147" s="62" t="s">
        <v>892</v>
      </c>
      <c r="C2147" s="63"/>
      <c r="D2147" s="64"/>
      <c r="E2147" s="65"/>
      <c r="F2147" s="66"/>
      <c r="G2147" s="63"/>
      <c r="H2147" s="67"/>
      <c r="I2147" s="68"/>
      <c r="J2147" s="68"/>
      <c r="K2147" s="32"/>
      <c r="L2147" s="75">
        <v>2147</v>
      </c>
      <c r="M2147" s="75"/>
      <c r="N2147" s="70"/>
      <c r="O2147" s="77" t="s">
        <v>179</v>
      </c>
      <c r="P2147" s="79">
        <v>45103.356689814813</v>
      </c>
      <c r="Q2147" s="77" t="s">
        <v>4003</v>
      </c>
      <c r="R2147" s="77">
        <v>0</v>
      </c>
      <c r="S2147" s="77">
        <v>11</v>
      </c>
      <c r="T2147" s="77">
        <v>0</v>
      </c>
      <c r="U2147" s="77">
        <v>0</v>
      </c>
      <c r="V2147" s="77">
        <v>555</v>
      </c>
      <c r="W2147" s="80" t="s">
        <v>7263</v>
      </c>
      <c r="X2147" s="83" t="str">
        <f>HYPERLINK("https://youtu.be/M139Yy9u1vY")</f>
        <v>https://youtu.be/M139Yy9u1vY</v>
      </c>
      <c r="Y2147" s="77" t="s">
        <v>8635</v>
      </c>
      <c r="Z2147" s="77"/>
      <c r="AA2147" s="77" t="s">
        <v>9631</v>
      </c>
      <c r="AB2147" s="77" t="s">
        <v>10535</v>
      </c>
      <c r="AC2147" s="80" t="s">
        <v>10552</v>
      </c>
      <c r="AD2147" s="77" t="s">
        <v>10620</v>
      </c>
      <c r="AE2147" s="83" t="str">
        <f>HYPERLINK("https://twitter.com/negocios_tv/status/1673248141192118272")</f>
        <v>https://twitter.com/negocios_tv/status/1673248141192118272</v>
      </c>
      <c r="AF2147" s="79">
        <v>45103.356689814813</v>
      </c>
      <c r="AG2147" s="85">
        <v>45103</v>
      </c>
      <c r="AH2147" s="80" t="s">
        <v>12528</v>
      </c>
      <c r="AI2147" s="77" t="b">
        <v>0</v>
      </c>
      <c r="AJ2147" s="77"/>
      <c r="AK2147" s="77"/>
      <c r="AL2147" s="77"/>
      <c r="AM2147" s="77"/>
      <c r="AN2147" s="77"/>
      <c r="AO2147" s="77"/>
      <c r="AP2147" s="77"/>
      <c r="AQ2147" s="77" t="s">
        <v>15113</v>
      </c>
      <c r="AR2147" s="77"/>
      <c r="AS2147" s="77"/>
      <c r="AT2147" s="77"/>
      <c r="AU2147" s="77"/>
      <c r="AV2147" s="83" t="str">
        <f>HYPERLINK("https://pbs.twimg.com/media/FziSUTvWcAA7vk7.jpg")</f>
        <v>https://pbs.twimg.com/media/FziSUTvWcAA7vk7.jpg</v>
      </c>
      <c r="AW2147" s="80" t="s">
        <v>17986</v>
      </c>
      <c r="AX2147" s="80" t="s">
        <v>17986</v>
      </c>
      <c r="AY2147" s="77"/>
      <c r="AZ2147" s="80" t="s">
        <v>20380</v>
      </c>
      <c r="BA2147" s="80" t="s">
        <v>20380</v>
      </c>
      <c r="BB2147" s="80" t="s">
        <v>20380</v>
      </c>
      <c r="BC2147" s="80" t="s">
        <v>17986</v>
      </c>
      <c r="BD2147" s="80" t="s">
        <v>20812</v>
      </c>
      <c r="BE2147" s="77"/>
      <c r="BF2147" s="77"/>
      <c r="BG2147" s="77"/>
      <c r="BH2147" s="77"/>
      <c r="BI2147" s="77"/>
    </row>
    <row r="2148" spans="1:61" x14ac:dyDescent="0.25">
      <c r="A2148" s="62" t="s">
        <v>892</v>
      </c>
      <c r="B2148" s="62" t="s">
        <v>892</v>
      </c>
      <c r="C2148" s="63"/>
      <c r="D2148" s="64"/>
      <c r="E2148" s="65"/>
      <c r="F2148" s="66"/>
      <c r="G2148" s="63"/>
      <c r="H2148" s="67"/>
      <c r="I2148" s="68"/>
      <c r="J2148" s="68"/>
      <c r="K2148" s="32"/>
      <c r="L2148" s="75">
        <v>2148</v>
      </c>
      <c r="M2148" s="75"/>
      <c r="N2148" s="70"/>
      <c r="O2148" s="77" t="s">
        <v>179</v>
      </c>
      <c r="P2148" s="79">
        <v>45133.678541666668</v>
      </c>
      <c r="Q2148" s="77" t="s">
        <v>4004</v>
      </c>
      <c r="R2148" s="77">
        <v>0</v>
      </c>
      <c r="S2148" s="77">
        <v>5</v>
      </c>
      <c r="T2148" s="77">
        <v>0</v>
      </c>
      <c r="U2148" s="77">
        <v>0</v>
      </c>
      <c r="V2148" s="77">
        <v>762</v>
      </c>
      <c r="W2148" s="80" t="s">
        <v>7264</v>
      </c>
      <c r="X2148" s="83" t="str">
        <f>HYPERLINK("https://youtu.be/1NVQSN_5vGs")</f>
        <v>https://youtu.be/1NVQSN_5vGs</v>
      </c>
      <c r="Y2148" s="77" t="s">
        <v>8635</v>
      </c>
      <c r="Z2148" s="77"/>
      <c r="AA2148" s="77" t="s">
        <v>9632</v>
      </c>
      <c r="AB2148" s="77" t="s">
        <v>10535</v>
      </c>
      <c r="AC2148" s="80" t="s">
        <v>10552</v>
      </c>
      <c r="AD2148" s="77" t="s">
        <v>10620</v>
      </c>
      <c r="AE2148" s="83" t="str">
        <f>HYPERLINK("https://twitter.com/negocios_tv/status/1684236410738315266")</f>
        <v>https://twitter.com/negocios_tv/status/1684236410738315266</v>
      </c>
      <c r="AF2148" s="79">
        <v>45133.678541666668</v>
      </c>
      <c r="AG2148" s="85">
        <v>45133</v>
      </c>
      <c r="AH2148" s="80" t="s">
        <v>12529</v>
      </c>
      <c r="AI2148" s="77" t="b">
        <v>0</v>
      </c>
      <c r="AJ2148" s="77"/>
      <c r="AK2148" s="77"/>
      <c r="AL2148" s="77"/>
      <c r="AM2148" s="77"/>
      <c r="AN2148" s="77"/>
      <c r="AO2148" s="77"/>
      <c r="AP2148" s="77"/>
      <c r="AQ2148" s="77" t="s">
        <v>15114</v>
      </c>
      <c r="AR2148" s="77"/>
      <c r="AS2148" s="77"/>
      <c r="AT2148" s="77"/>
      <c r="AU2148" s="77"/>
      <c r="AV2148" s="83" t="str">
        <f>HYPERLINK("https://pbs.twimg.com/media/F1-cFydWAAElVAF.jpg")</f>
        <v>https://pbs.twimg.com/media/F1-cFydWAAElVAF.jpg</v>
      </c>
      <c r="AW2148" s="80" t="s">
        <v>17987</v>
      </c>
      <c r="AX2148" s="80" t="s">
        <v>17987</v>
      </c>
      <c r="AY2148" s="77"/>
      <c r="AZ2148" s="80" t="s">
        <v>20380</v>
      </c>
      <c r="BA2148" s="80" t="s">
        <v>20380</v>
      </c>
      <c r="BB2148" s="80" t="s">
        <v>20380</v>
      </c>
      <c r="BC2148" s="80" t="s">
        <v>17987</v>
      </c>
      <c r="BD2148" s="80" t="s">
        <v>20812</v>
      </c>
      <c r="BE2148" s="77"/>
      <c r="BF2148" s="77"/>
      <c r="BG2148" s="77"/>
      <c r="BH2148" s="77"/>
      <c r="BI2148" s="77"/>
    </row>
    <row r="2149" spans="1:61" x14ac:dyDescent="0.25">
      <c r="A2149" s="62" t="s">
        <v>892</v>
      </c>
      <c r="B2149" s="62" t="s">
        <v>892</v>
      </c>
      <c r="C2149" s="63"/>
      <c r="D2149" s="64"/>
      <c r="E2149" s="65"/>
      <c r="F2149" s="66"/>
      <c r="G2149" s="63"/>
      <c r="H2149" s="67"/>
      <c r="I2149" s="68"/>
      <c r="J2149" s="68"/>
      <c r="K2149" s="32"/>
      <c r="L2149" s="75">
        <v>2149</v>
      </c>
      <c r="M2149" s="75"/>
      <c r="N2149" s="70"/>
      <c r="O2149" s="77" t="s">
        <v>179</v>
      </c>
      <c r="P2149" s="79">
        <v>45092.777442129627</v>
      </c>
      <c r="Q2149" s="77" t="s">
        <v>4005</v>
      </c>
      <c r="R2149" s="77">
        <v>0</v>
      </c>
      <c r="S2149" s="77">
        <v>3</v>
      </c>
      <c r="T2149" s="77">
        <v>0</v>
      </c>
      <c r="U2149" s="77">
        <v>0</v>
      </c>
      <c r="V2149" s="77">
        <v>504</v>
      </c>
      <c r="W2149" s="80" t="s">
        <v>7265</v>
      </c>
      <c r="X2149" s="83" t="str">
        <f>HYPERLINK("https://youtu.be/aPoEbtpEahs")</f>
        <v>https://youtu.be/aPoEbtpEahs</v>
      </c>
      <c r="Y2149" s="77" t="s">
        <v>8635</v>
      </c>
      <c r="Z2149" s="77"/>
      <c r="AA2149" s="77" t="s">
        <v>9633</v>
      </c>
      <c r="AB2149" s="77" t="s">
        <v>10535</v>
      </c>
      <c r="AC2149" s="80" t="s">
        <v>10552</v>
      </c>
      <c r="AD2149" s="77" t="s">
        <v>10620</v>
      </c>
      <c r="AE2149" s="83" t="str">
        <f>HYPERLINK("https://twitter.com/negocios_tv/status/1669414348765184012")</f>
        <v>https://twitter.com/negocios_tv/status/1669414348765184012</v>
      </c>
      <c r="AF2149" s="79">
        <v>45092.777442129627</v>
      </c>
      <c r="AG2149" s="85">
        <v>45092</v>
      </c>
      <c r="AH2149" s="80" t="s">
        <v>12530</v>
      </c>
      <c r="AI2149" s="77" t="b">
        <v>0</v>
      </c>
      <c r="AJ2149" s="77"/>
      <c r="AK2149" s="77"/>
      <c r="AL2149" s="77"/>
      <c r="AM2149" s="77"/>
      <c r="AN2149" s="77"/>
      <c r="AO2149" s="77"/>
      <c r="AP2149" s="77"/>
      <c r="AQ2149" s="77" t="s">
        <v>15115</v>
      </c>
      <c r="AR2149" s="77"/>
      <c r="AS2149" s="77"/>
      <c r="AT2149" s="77"/>
      <c r="AU2149" s="77"/>
      <c r="AV2149" s="83" t="str">
        <f>HYPERLINK("https://pbs.twimg.com/media/FyrzgNjWwAY9LFT.jpg")</f>
        <v>https://pbs.twimg.com/media/FyrzgNjWwAY9LFT.jpg</v>
      </c>
      <c r="AW2149" s="80" t="s">
        <v>17988</v>
      </c>
      <c r="AX2149" s="80" t="s">
        <v>17988</v>
      </c>
      <c r="AY2149" s="77"/>
      <c r="AZ2149" s="80" t="s">
        <v>20380</v>
      </c>
      <c r="BA2149" s="80" t="s">
        <v>20380</v>
      </c>
      <c r="BB2149" s="80" t="s">
        <v>20380</v>
      </c>
      <c r="BC2149" s="80" t="s">
        <v>17988</v>
      </c>
      <c r="BD2149" s="80" t="s">
        <v>20812</v>
      </c>
      <c r="BE2149" s="77"/>
      <c r="BF2149" s="77"/>
      <c r="BG2149" s="77"/>
      <c r="BH2149" s="77"/>
      <c r="BI2149" s="77"/>
    </row>
    <row r="2150" spans="1:61" x14ac:dyDescent="0.25">
      <c r="A2150" s="62" t="s">
        <v>892</v>
      </c>
      <c r="B2150" s="62" t="s">
        <v>892</v>
      </c>
      <c r="C2150" s="63"/>
      <c r="D2150" s="64"/>
      <c r="E2150" s="65"/>
      <c r="F2150" s="66"/>
      <c r="G2150" s="63"/>
      <c r="H2150" s="67"/>
      <c r="I2150" s="68"/>
      <c r="J2150" s="68"/>
      <c r="K2150" s="32"/>
      <c r="L2150" s="75">
        <v>2150</v>
      </c>
      <c r="M2150" s="75"/>
      <c r="N2150" s="70"/>
      <c r="O2150" s="77" t="s">
        <v>179</v>
      </c>
      <c r="P2150" s="79">
        <v>45092.752500000002</v>
      </c>
      <c r="Q2150" s="77" t="s">
        <v>4006</v>
      </c>
      <c r="R2150" s="77">
        <v>5</v>
      </c>
      <c r="S2150" s="77">
        <v>9</v>
      </c>
      <c r="T2150" s="77">
        <v>1</v>
      </c>
      <c r="U2150" s="77">
        <v>0</v>
      </c>
      <c r="V2150" s="77">
        <v>648</v>
      </c>
      <c r="W2150" s="80" t="s">
        <v>7266</v>
      </c>
      <c r="X2150" s="83" t="str">
        <f>HYPERLINK("https://youtu.be/0bt8qGjROKA")</f>
        <v>https://youtu.be/0bt8qGjROKA</v>
      </c>
      <c r="Y2150" s="77" t="s">
        <v>8635</v>
      </c>
      <c r="Z2150" s="77"/>
      <c r="AA2150" s="77" t="s">
        <v>9634</v>
      </c>
      <c r="AB2150" s="77" t="s">
        <v>10535</v>
      </c>
      <c r="AC2150" s="80" t="s">
        <v>10552</v>
      </c>
      <c r="AD2150" s="77" t="s">
        <v>10620</v>
      </c>
      <c r="AE2150" s="83" t="str">
        <f>HYPERLINK("https://twitter.com/negocios_tv/status/1669405309209591819")</f>
        <v>https://twitter.com/negocios_tv/status/1669405309209591819</v>
      </c>
      <c r="AF2150" s="79">
        <v>45092.752500000002</v>
      </c>
      <c r="AG2150" s="85">
        <v>45092</v>
      </c>
      <c r="AH2150" s="80" t="s">
        <v>11291</v>
      </c>
      <c r="AI2150" s="77" t="b">
        <v>0</v>
      </c>
      <c r="AJ2150" s="77"/>
      <c r="AK2150" s="77"/>
      <c r="AL2150" s="77"/>
      <c r="AM2150" s="77"/>
      <c r="AN2150" s="77"/>
      <c r="AO2150" s="77"/>
      <c r="AP2150" s="77"/>
      <c r="AQ2150" s="77" t="s">
        <v>15116</v>
      </c>
      <c r="AR2150" s="77"/>
      <c r="AS2150" s="77"/>
      <c r="AT2150" s="77"/>
      <c r="AU2150" s="77"/>
      <c r="AV2150" s="83" t="str">
        <f>HYPERLINK("https://pbs.twimg.com/media/FyrrSCdWYAElAMD.jpg")</f>
        <v>https://pbs.twimg.com/media/FyrrSCdWYAElAMD.jpg</v>
      </c>
      <c r="AW2150" s="80" t="s">
        <v>17989</v>
      </c>
      <c r="AX2150" s="80" t="s">
        <v>17989</v>
      </c>
      <c r="AY2150" s="77"/>
      <c r="AZ2150" s="80" t="s">
        <v>20380</v>
      </c>
      <c r="BA2150" s="80" t="s">
        <v>20380</v>
      </c>
      <c r="BB2150" s="80" t="s">
        <v>20380</v>
      </c>
      <c r="BC2150" s="80" t="s">
        <v>17989</v>
      </c>
      <c r="BD2150" s="80" t="s">
        <v>20812</v>
      </c>
      <c r="BE2150" s="77"/>
      <c r="BF2150" s="77"/>
      <c r="BG2150" s="77"/>
      <c r="BH2150" s="77"/>
      <c r="BI2150" s="77"/>
    </row>
    <row r="2151" spans="1:61" x14ac:dyDescent="0.25">
      <c r="A2151" s="62" t="s">
        <v>892</v>
      </c>
      <c r="B2151" s="62" t="s">
        <v>892</v>
      </c>
      <c r="C2151" s="63"/>
      <c r="D2151" s="64"/>
      <c r="E2151" s="65"/>
      <c r="F2151" s="66"/>
      <c r="G2151" s="63"/>
      <c r="H2151" s="67"/>
      <c r="I2151" s="68"/>
      <c r="J2151" s="68"/>
      <c r="K2151" s="32"/>
      <c r="L2151" s="75">
        <v>2151</v>
      </c>
      <c r="M2151" s="75"/>
      <c r="N2151" s="70"/>
      <c r="O2151" s="77" t="s">
        <v>179</v>
      </c>
      <c r="P2151" s="79">
        <v>45092.661168981482</v>
      </c>
      <c r="Q2151" s="77" t="s">
        <v>4007</v>
      </c>
      <c r="R2151" s="77">
        <v>0</v>
      </c>
      <c r="S2151" s="77">
        <v>1</v>
      </c>
      <c r="T2151" s="77">
        <v>1</v>
      </c>
      <c r="U2151" s="77">
        <v>0</v>
      </c>
      <c r="V2151" s="77">
        <v>515</v>
      </c>
      <c r="W2151" s="80" t="s">
        <v>7267</v>
      </c>
      <c r="X2151" s="83" t="str">
        <f>HYPERLINK("https://youtu.be/3PV8sC8czhU")</f>
        <v>https://youtu.be/3PV8sC8czhU</v>
      </c>
      <c r="Y2151" s="77" t="s">
        <v>8635</v>
      </c>
      <c r="Z2151" s="77"/>
      <c r="AA2151" s="77" t="s">
        <v>9635</v>
      </c>
      <c r="AB2151" s="77" t="s">
        <v>10535</v>
      </c>
      <c r="AC2151" s="80" t="s">
        <v>10552</v>
      </c>
      <c r="AD2151" s="77" t="s">
        <v>10620</v>
      </c>
      <c r="AE2151" s="83" t="str">
        <f>HYPERLINK("https://twitter.com/negocios_tv/status/1669372214083309570")</f>
        <v>https://twitter.com/negocios_tv/status/1669372214083309570</v>
      </c>
      <c r="AF2151" s="79">
        <v>45092.661168981482</v>
      </c>
      <c r="AG2151" s="85">
        <v>45092</v>
      </c>
      <c r="AH2151" s="80" t="s">
        <v>12531</v>
      </c>
      <c r="AI2151" s="77" t="b">
        <v>0</v>
      </c>
      <c r="AJ2151" s="77"/>
      <c r="AK2151" s="77"/>
      <c r="AL2151" s="77"/>
      <c r="AM2151" s="77"/>
      <c r="AN2151" s="77"/>
      <c r="AO2151" s="77"/>
      <c r="AP2151" s="77"/>
      <c r="AQ2151" s="77" t="s">
        <v>15117</v>
      </c>
      <c r="AR2151" s="77"/>
      <c r="AS2151" s="77"/>
      <c r="AT2151" s="77"/>
      <c r="AU2151" s="77"/>
      <c r="AV2151" s="83" t="str">
        <f>HYPERLINK("https://pbs.twimg.com/media/FyrNLtXWIAUk4o0.jpg")</f>
        <v>https://pbs.twimg.com/media/FyrNLtXWIAUk4o0.jpg</v>
      </c>
      <c r="AW2151" s="80" t="s">
        <v>17990</v>
      </c>
      <c r="AX2151" s="80" t="s">
        <v>17990</v>
      </c>
      <c r="AY2151" s="77"/>
      <c r="AZ2151" s="80" t="s">
        <v>20380</v>
      </c>
      <c r="BA2151" s="80" t="s">
        <v>20380</v>
      </c>
      <c r="BB2151" s="80" t="s">
        <v>20380</v>
      </c>
      <c r="BC2151" s="80" t="s">
        <v>17990</v>
      </c>
      <c r="BD2151" s="80" t="s">
        <v>20812</v>
      </c>
      <c r="BE2151" s="77"/>
      <c r="BF2151" s="77"/>
      <c r="BG2151" s="77"/>
      <c r="BH2151" s="77"/>
      <c r="BI2151" s="77"/>
    </row>
    <row r="2152" spans="1:61" x14ac:dyDescent="0.25">
      <c r="A2152" s="62" t="s">
        <v>892</v>
      </c>
      <c r="B2152" s="62" t="s">
        <v>892</v>
      </c>
      <c r="C2152" s="63"/>
      <c r="D2152" s="64"/>
      <c r="E2152" s="65"/>
      <c r="F2152" s="66"/>
      <c r="G2152" s="63"/>
      <c r="H2152" s="67"/>
      <c r="I2152" s="68"/>
      <c r="J2152" s="68"/>
      <c r="K2152" s="32"/>
      <c r="L2152" s="75">
        <v>2152</v>
      </c>
      <c r="M2152" s="75"/>
      <c r="N2152" s="70"/>
      <c r="O2152" s="77" t="s">
        <v>179</v>
      </c>
      <c r="P2152" s="79">
        <v>45089.653553240743</v>
      </c>
      <c r="Q2152" s="77" t="s">
        <v>4008</v>
      </c>
      <c r="R2152" s="77">
        <v>0</v>
      </c>
      <c r="S2152" s="77">
        <v>4</v>
      </c>
      <c r="T2152" s="77">
        <v>0</v>
      </c>
      <c r="U2152" s="77">
        <v>0</v>
      </c>
      <c r="V2152" s="77">
        <v>552</v>
      </c>
      <c r="W2152" s="80" t="s">
        <v>7268</v>
      </c>
      <c r="X2152" s="83" t="str">
        <f>HYPERLINK("https://youtu.be/P-HSK6Js0HM")</f>
        <v>https://youtu.be/P-HSK6Js0HM</v>
      </c>
      <c r="Y2152" s="77" t="s">
        <v>8635</v>
      </c>
      <c r="Z2152" s="77"/>
      <c r="AA2152" s="77" t="s">
        <v>9636</v>
      </c>
      <c r="AB2152" s="77" t="s">
        <v>10535</v>
      </c>
      <c r="AC2152" s="80" t="s">
        <v>10552</v>
      </c>
      <c r="AD2152" s="77" t="s">
        <v>10620</v>
      </c>
      <c r="AE2152" s="83" t="str">
        <f>HYPERLINK("https://twitter.com/negocios_tv/status/1668282287769767943")</f>
        <v>https://twitter.com/negocios_tv/status/1668282287769767943</v>
      </c>
      <c r="AF2152" s="79">
        <v>45089.653553240743</v>
      </c>
      <c r="AG2152" s="85">
        <v>45089</v>
      </c>
      <c r="AH2152" s="80" t="s">
        <v>12532</v>
      </c>
      <c r="AI2152" s="77" t="b">
        <v>0</v>
      </c>
      <c r="AJ2152" s="77"/>
      <c r="AK2152" s="77"/>
      <c r="AL2152" s="77"/>
      <c r="AM2152" s="77"/>
      <c r="AN2152" s="77"/>
      <c r="AO2152" s="77"/>
      <c r="AP2152" s="77"/>
      <c r="AQ2152" s="77" t="s">
        <v>15118</v>
      </c>
      <c r="AR2152" s="77"/>
      <c r="AS2152" s="77"/>
      <c r="AT2152" s="77"/>
      <c r="AU2152" s="77"/>
      <c r="AV2152" s="83" t="str">
        <f>HYPERLINK("https://pbs.twimg.com/media/Fybt5mRXwAIWfIQ.jpg")</f>
        <v>https://pbs.twimg.com/media/Fybt5mRXwAIWfIQ.jpg</v>
      </c>
      <c r="AW2152" s="80" t="s">
        <v>17991</v>
      </c>
      <c r="AX2152" s="80" t="s">
        <v>17991</v>
      </c>
      <c r="AY2152" s="77"/>
      <c r="AZ2152" s="80" t="s">
        <v>20380</v>
      </c>
      <c r="BA2152" s="80" t="s">
        <v>20380</v>
      </c>
      <c r="BB2152" s="80" t="s">
        <v>20380</v>
      </c>
      <c r="BC2152" s="80" t="s">
        <v>17991</v>
      </c>
      <c r="BD2152" s="80" t="s">
        <v>20812</v>
      </c>
      <c r="BE2152" s="77"/>
      <c r="BF2152" s="77"/>
      <c r="BG2152" s="77"/>
      <c r="BH2152" s="77"/>
      <c r="BI2152" s="77"/>
    </row>
    <row r="2153" spans="1:61" x14ac:dyDescent="0.25">
      <c r="A2153" s="62" t="s">
        <v>892</v>
      </c>
      <c r="B2153" s="62" t="s">
        <v>892</v>
      </c>
      <c r="C2153" s="63"/>
      <c r="D2153" s="64"/>
      <c r="E2153" s="65"/>
      <c r="F2153" s="66"/>
      <c r="G2153" s="63"/>
      <c r="H2153" s="67"/>
      <c r="I2153" s="68"/>
      <c r="J2153" s="68"/>
      <c r="K2153" s="32"/>
      <c r="L2153" s="75">
        <v>2153</v>
      </c>
      <c r="M2153" s="75"/>
      <c r="N2153" s="70"/>
      <c r="O2153" s="77" t="s">
        <v>179</v>
      </c>
      <c r="P2153" s="79">
        <v>45174.550057870372</v>
      </c>
      <c r="Q2153" s="77" t="s">
        <v>4009</v>
      </c>
      <c r="R2153" s="77">
        <v>0</v>
      </c>
      <c r="S2153" s="77">
        <v>2</v>
      </c>
      <c r="T2153" s="77">
        <v>0</v>
      </c>
      <c r="U2153" s="77">
        <v>0</v>
      </c>
      <c r="V2153" s="77">
        <v>542</v>
      </c>
      <c r="W2153" s="80" t="s">
        <v>7269</v>
      </c>
      <c r="X2153" s="83" t="str">
        <f>HYPERLINK("https://youtu.be/JRbzBktIq_w")</f>
        <v>https://youtu.be/JRbzBktIq_w</v>
      </c>
      <c r="Y2153" s="77" t="s">
        <v>8635</v>
      </c>
      <c r="Z2153" s="77"/>
      <c r="AA2153" s="77" t="s">
        <v>9637</v>
      </c>
      <c r="AB2153" s="77" t="s">
        <v>10535</v>
      </c>
      <c r="AC2153" s="80" t="s">
        <v>10552</v>
      </c>
      <c r="AD2153" s="77" t="s">
        <v>10620</v>
      </c>
      <c r="AE2153" s="83" t="str">
        <f>HYPERLINK("https://twitter.com/negocios_tv/status/1699047751604965701")</f>
        <v>https://twitter.com/negocios_tv/status/1699047751604965701</v>
      </c>
      <c r="AF2153" s="79">
        <v>45174.550057870372</v>
      </c>
      <c r="AG2153" s="85">
        <v>45174</v>
      </c>
      <c r="AH2153" s="80" t="s">
        <v>12533</v>
      </c>
      <c r="AI2153" s="77" t="b">
        <v>0</v>
      </c>
      <c r="AJ2153" s="77"/>
      <c r="AK2153" s="77"/>
      <c r="AL2153" s="77"/>
      <c r="AM2153" s="77"/>
      <c r="AN2153" s="77"/>
      <c r="AO2153" s="77"/>
      <c r="AP2153" s="77"/>
      <c r="AQ2153" s="77" t="s">
        <v>15119</v>
      </c>
      <c r="AR2153" s="77"/>
      <c r="AS2153" s="77"/>
      <c r="AT2153" s="77"/>
      <c r="AU2153" s="77"/>
      <c r="AV2153" s="83" t="str">
        <f>HYPERLINK("https://pbs.twimg.com/media/F5Q67DGXsAAr6-s.jpg")</f>
        <v>https://pbs.twimg.com/media/F5Q67DGXsAAr6-s.jpg</v>
      </c>
      <c r="AW2153" s="80" t="s">
        <v>17992</v>
      </c>
      <c r="AX2153" s="80" t="s">
        <v>17992</v>
      </c>
      <c r="AY2153" s="77"/>
      <c r="AZ2153" s="80" t="s">
        <v>20380</v>
      </c>
      <c r="BA2153" s="80" t="s">
        <v>20380</v>
      </c>
      <c r="BB2153" s="80" t="s">
        <v>20380</v>
      </c>
      <c r="BC2153" s="80" t="s">
        <v>17992</v>
      </c>
      <c r="BD2153" s="80" t="s">
        <v>20812</v>
      </c>
      <c r="BE2153" s="77"/>
      <c r="BF2153" s="77"/>
      <c r="BG2153" s="77"/>
      <c r="BH2153" s="77"/>
      <c r="BI2153" s="77"/>
    </row>
    <row r="2154" spans="1:61" x14ac:dyDescent="0.25">
      <c r="A2154" s="62" t="s">
        <v>892</v>
      </c>
      <c r="B2154" s="62" t="s">
        <v>892</v>
      </c>
      <c r="C2154" s="63"/>
      <c r="D2154" s="64"/>
      <c r="E2154" s="65"/>
      <c r="F2154" s="66"/>
      <c r="G2154" s="63"/>
      <c r="H2154" s="67"/>
      <c r="I2154" s="68"/>
      <c r="J2154" s="68"/>
      <c r="K2154" s="32"/>
      <c r="L2154" s="75">
        <v>2154</v>
      </c>
      <c r="M2154" s="75"/>
      <c r="N2154" s="70"/>
      <c r="O2154" s="77" t="s">
        <v>179</v>
      </c>
      <c r="P2154" s="79">
        <v>45098.775509259256</v>
      </c>
      <c r="Q2154" s="77" t="s">
        <v>4010</v>
      </c>
      <c r="R2154" s="77">
        <v>1</v>
      </c>
      <c r="S2154" s="77">
        <v>2</v>
      </c>
      <c r="T2154" s="77">
        <v>0</v>
      </c>
      <c r="U2154" s="77">
        <v>1</v>
      </c>
      <c r="V2154" s="77">
        <v>1261</v>
      </c>
      <c r="W2154" s="80" t="s">
        <v>7270</v>
      </c>
      <c r="X2154" s="83" t="str">
        <f>HYPERLINK("https://youtu.be/4CIED0a_VcY")</f>
        <v>https://youtu.be/4CIED0a_VcY</v>
      </c>
      <c r="Y2154" s="77" t="s">
        <v>8635</v>
      </c>
      <c r="Z2154" s="77"/>
      <c r="AA2154" s="77" t="s">
        <v>9638</v>
      </c>
      <c r="AB2154" s="77" t="s">
        <v>10535</v>
      </c>
      <c r="AC2154" s="80" t="s">
        <v>10552</v>
      </c>
      <c r="AD2154" s="77" t="s">
        <v>10620</v>
      </c>
      <c r="AE2154" s="83" t="str">
        <f>HYPERLINK("https://twitter.com/negocios_tv/status/1671587974495051798")</f>
        <v>https://twitter.com/negocios_tv/status/1671587974495051798</v>
      </c>
      <c r="AF2154" s="79">
        <v>45098.775509259256</v>
      </c>
      <c r="AG2154" s="85">
        <v>45098</v>
      </c>
      <c r="AH2154" s="80" t="s">
        <v>12534</v>
      </c>
      <c r="AI2154" s="77" t="b">
        <v>0</v>
      </c>
      <c r="AJ2154" s="77"/>
      <c r="AK2154" s="77"/>
      <c r="AL2154" s="77"/>
      <c r="AM2154" s="77"/>
      <c r="AN2154" s="77"/>
      <c r="AO2154" s="77"/>
      <c r="AP2154" s="77"/>
      <c r="AQ2154" s="77" t="s">
        <v>15120</v>
      </c>
      <c r="AR2154" s="77"/>
      <c r="AS2154" s="77"/>
      <c r="AT2154" s="77"/>
      <c r="AU2154" s="77"/>
      <c r="AV2154" s="83" t="str">
        <f>HYPERLINK("https://pbs.twimg.com/media/FzKsZ8YXoA0Sc-U.jpg")</f>
        <v>https://pbs.twimg.com/media/FzKsZ8YXoA0Sc-U.jpg</v>
      </c>
      <c r="AW2154" s="80" t="s">
        <v>17993</v>
      </c>
      <c r="AX2154" s="80" t="s">
        <v>17993</v>
      </c>
      <c r="AY2154" s="77"/>
      <c r="AZ2154" s="80" t="s">
        <v>20380</v>
      </c>
      <c r="BA2154" s="80" t="s">
        <v>20380</v>
      </c>
      <c r="BB2154" s="80" t="s">
        <v>20380</v>
      </c>
      <c r="BC2154" s="80" t="s">
        <v>17993</v>
      </c>
      <c r="BD2154" s="80" t="s">
        <v>20812</v>
      </c>
      <c r="BE2154" s="77"/>
      <c r="BF2154" s="77"/>
      <c r="BG2154" s="77"/>
      <c r="BH2154" s="77"/>
      <c r="BI2154" s="77"/>
    </row>
    <row r="2155" spans="1:61" x14ac:dyDescent="0.25">
      <c r="A2155" s="62" t="s">
        <v>892</v>
      </c>
      <c r="B2155" s="62" t="s">
        <v>892</v>
      </c>
      <c r="C2155" s="63"/>
      <c r="D2155" s="64"/>
      <c r="E2155" s="65"/>
      <c r="F2155" s="66"/>
      <c r="G2155" s="63"/>
      <c r="H2155" s="67"/>
      <c r="I2155" s="68"/>
      <c r="J2155" s="68"/>
      <c r="K2155" s="32"/>
      <c r="L2155" s="75">
        <v>2155</v>
      </c>
      <c r="M2155" s="75"/>
      <c r="N2155" s="70"/>
      <c r="O2155" s="77" t="s">
        <v>179</v>
      </c>
      <c r="P2155" s="79">
        <v>45077.360011574077</v>
      </c>
      <c r="Q2155" s="77" t="s">
        <v>4011</v>
      </c>
      <c r="R2155" s="77">
        <v>0</v>
      </c>
      <c r="S2155" s="77">
        <v>1</v>
      </c>
      <c r="T2155" s="77">
        <v>0</v>
      </c>
      <c r="U2155" s="77">
        <v>0</v>
      </c>
      <c r="V2155" s="77">
        <v>395</v>
      </c>
      <c r="W2155" s="80" t="s">
        <v>7271</v>
      </c>
      <c r="X2155" s="83" t="str">
        <f>HYPERLINK("https://youtu.be/p0S5Mz8D76M")</f>
        <v>https://youtu.be/p0S5Mz8D76M</v>
      </c>
      <c r="Y2155" s="77" t="s">
        <v>8635</v>
      </c>
      <c r="Z2155" s="77"/>
      <c r="AA2155" s="77" t="s">
        <v>9639</v>
      </c>
      <c r="AB2155" s="77" t="s">
        <v>10535</v>
      </c>
      <c r="AC2155" s="80" t="s">
        <v>10552</v>
      </c>
      <c r="AD2155" s="77" t="s">
        <v>10620</v>
      </c>
      <c r="AE2155" s="83" t="str">
        <f>HYPERLINK("https://twitter.com/negocios_tv/status/1663827257306038273")</f>
        <v>https://twitter.com/negocios_tv/status/1663827257306038273</v>
      </c>
      <c r="AF2155" s="79">
        <v>45077.360011574077</v>
      </c>
      <c r="AG2155" s="85">
        <v>45077</v>
      </c>
      <c r="AH2155" s="80" t="s">
        <v>12535</v>
      </c>
      <c r="AI2155" s="77" t="b">
        <v>0</v>
      </c>
      <c r="AJ2155" s="77"/>
      <c r="AK2155" s="77"/>
      <c r="AL2155" s="77"/>
      <c r="AM2155" s="77"/>
      <c r="AN2155" s="77"/>
      <c r="AO2155" s="77"/>
      <c r="AP2155" s="77"/>
      <c r="AQ2155" s="77" t="s">
        <v>15121</v>
      </c>
      <c r="AR2155" s="77"/>
      <c r="AS2155" s="77"/>
      <c r="AT2155" s="77"/>
      <c r="AU2155" s="77"/>
      <c r="AV2155" s="83" t="str">
        <f>HYPERLINK("https://pbs.twimg.com/media/FxcaEvuWIAAaEf1.jpg")</f>
        <v>https://pbs.twimg.com/media/FxcaEvuWIAAaEf1.jpg</v>
      </c>
      <c r="AW2155" s="80" t="s">
        <v>17994</v>
      </c>
      <c r="AX2155" s="80" t="s">
        <v>17994</v>
      </c>
      <c r="AY2155" s="77"/>
      <c r="AZ2155" s="80" t="s">
        <v>20380</v>
      </c>
      <c r="BA2155" s="80" t="s">
        <v>20380</v>
      </c>
      <c r="BB2155" s="80" t="s">
        <v>20380</v>
      </c>
      <c r="BC2155" s="80" t="s">
        <v>17994</v>
      </c>
      <c r="BD2155" s="80" t="s">
        <v>20812</v>
      </c>
      <c r="BE2155" s="77"/>
      <c r="BF2155" s="77"/>
      <c r="BG2155" s="77"/>
      <c r="BH2155" s="77"/>
      <c r="BI2155" s="77"/>
    </row>
    <row r="2156" spans="1:61" x14ac:dyDescent="0.25">
      <c r="A2156" s="62" t="s">
        <v>893</v>
      </c>
      <c r="B2156" s="62" t="s">
        <v>893</v>
      </c>
      <c r="C2156" s="63"/>
      <c r="D2156" s="64"/>
      <c r="E2156" s="65"/>
      <c r="F2156" s="66"/>
      <c r="G2156" s="63"/>
      <c r="H2156" s="67"/>
      <c r="I2156" s="68"/>
      <c r="J2156" s="68"/>
      <c r="K2156" s="32"/>
      <c r="L2156" s="75">
        <v>2156</v>
      </c>
      <c r="M2156" s="75"/>
      <c r="N2156" s="70"/>
      <c r="O2156" s="77" t="s">
        <v>179</v>
      </c>
      <c r="P2156" s="79">
        <v>45085.573692129627</v>
      </c>
      <c r="Q2156" s="77" t="s">
        <v>4012</v>
      </c>
      <c r="R2156" s="77">
        <v>0</v>
      </c>
      <c r="S2156" s="77">
        <v>0</v>
      </c>
      <c r="T2156" s="77">
        <v>0</v>
      </c>
      <c r="U2156" s="77">
        <v>0</v>
      </c>
      <c r="V2156" s="77">
        <v>97</v>
      </c>
      <c r="W2156" s="80" t="s">
        <v>7272</v>
      </c>
      <c r="X2156" s="83" t="str">
        <f>HYPERLINK("https://www.youtube.com/watch?v=ntT0MYjvRNI")</f>
        <v>https://www.youtube.com/watch?v=ntT0MYjvRNI</v>
      </c>
      <c r="Y2156" s="77" t="s">
        <v>8612</v>
      </c>
      <c r="Z2156" s="77"/>
      <c r="AA2156" s="77" t="s">
        <v>9640</v>
      </c>
      <c r="AB2156" s="77" t="s">
        <v>10535</v>
      </c>
      <c r="AC2156" s="80" t="s">
        <v>10541</v>
      </c>
      <c r="AD2156" s="77" t="s">
        <v>10620</v>
      </c>
      <c r="AE2156" s="83" t="str">
        <f>HYPERLINK("https://twitter.com/xtblatam/status/1666803795928715264")</f>
        <v>https://twitter.com/xtblatam/status/1666803795928715264</v>
      </c>
      <c r="AF2156" s="79">
        <v>45085.573692129627</v>
      </c>
      <c r="AG2156" s="85">
        <v>45085</v>
      </c>
      <c r="AH2156" s="80" t="s">
        <v>12536</v>
      </c>
      <c r="AI2156" s="77" t="b">
        <v>0</v>
      </c>
      <c r="AJ2156" s="77"/>
      <c r="AK2156" s="77"/>
      <c r="AL2156" s="77"/>
      <c r="AM2156" s="77"/>
      <c r="AN2156" s="77"/>
      <c r="AO2156" s="77"/>
      <c r="AP2156" s="77"/>
      <c r="AQ2156" s="77" t="s">
        <v>15122</v>
      </c>
      <c r="AR2156" s="77"/>
      <c r="AS2156" s="77"/>
      <c r="AT2156" s="77"/>
      <c r="AU2156" s="77"/>
      <c r="AV2156" s="83" t="str">
        <f>HYPERLINK("https://pbs.twimg.com/media/FyGsrUjaUAIhnSM.jpg")</f>
        <v>https://pbs.twimg.com/media/FyGsrUjaUAIhnSM.jpg</v>
      </c>
      <c r="AW2156" s="80" t="s">
        <v>17995</v>
      </c>
      <c r="AX2156" s="80" t="s">
        <v>17995</v>
      </c>
      <c r="AY2156" s="77"/>
      <c r="AZ2156" s="80" t="s">
        <v>20380</v>
      </c>
      <c r="BA2156" s="80" t="s">
        <v>20380</v>
      </c>
      <c r="BB2156" s="80" t="s">
        <v>20380</v>
      </c>
      <c r="BC2156" s="80" t="s">
        <v>17995</v>
      </c>
      <c r="BD2156" s="77">
        <v>3222221589</v>
      </c>
      <c r="BE2156" s="77"/>
      <c r="BF2156" s="77"/>
      <c r="BG2156" s="77"/>
      <c r="BH2156" s="77"/>
      <c r="BI2156" s="77"/>
    </row>
    <row r="2157" spans="1:61" x14ac:dyDescent="0.25">
      <c r="A2157" s="62" t="s">
        <v>893</v>
      </c>
      <c r="B2157" s="62" t="s">
        <v>893</v>
      </c>
      <c r="C2157" s="63"/>
      <c r="D2157" s="64"/>
      <c r="E2157" s="65"/>
      <c r="F2157" s="66"/>
      <c r="G2157" s="63"/>
      <c r="H2157" s="67"/>
      <c r="I2157" s="68"/>
      <c r="J2157" s="68"/>
      <c r="K2157" s="32"/>
      <c r="L2157" s="75">
        <v>2157</v>
      </c>
      <c r="M2157" s="75"/>
      <c r="N2157" s="70"/>
      <c r="O2157" s="77" t="s">
        <v>179</v>
      </c>
      <c r="P2157" s="79">
        <v>45138.567824074074</v>
      </c>
      <c r="Q2157" s="77" t="s">
        <v>4013</v>
      </c>
      <c r="R2157" s="77">
        <v>0</v>
      </c>
      <c r="S2157" s="77">
        <v>0</v>
      </c>
      <c r="T2157" s="77">
        <v>0</v>
      </c>
      <c r="U2157" s="77">
        <v>0</v>
      </c>
      <c r="V2157" s="77">
        <v>151</v>
      </c>
      <c r="W2157" s="80" t="s">
        <v>7273</v>
      </c>
      <c r="X2157" s="83" t="str">
        <f>HYPERLINK("https://www.youtube.com/watch?v=zNZL3Vb4Lp0")</f>
        <v>https://www.youtube.com/watch?v=zNZL3Vb4Lp0</v>
      </c>
      <c r="Y2157" s="77" t="s">
        <v>8612</v>
      </c>
      <c r="Z2157" s="77"/>
      <c r="AA2157" s="77" t="s">
        <v>9641</v>
      </c>
      <c r="AB2157" s="77" t="s">
        <v>10535</v>
      </c>
      <c r="AC2157" s="80" t="s">
        <v>10541</v>
      </c>
      <c r="AD2157" s="77" t="s">
        <v>10620</v>
      </c>
      <c r="AE2157" s="83" t="str">
        <f>HYPERLINK("https://twitter.com/xtblatam/status/1686008227396210688")</f>
        <v>https://twitter.com/xtblatam/status/1686008227396210688</v>
      </c>
      <c r="AF2157" s="79">
        <v>45138.567824074074</v>
      </c>
      <c r="AG2157" s="85">
        <v>45138</v>
      </c>
      <c r="AH2157" s="80" t="s">
        <v>12537</v>
      </c>
      <c r="AI2157" s="77" t="b">
        <v>0</v>
      </c>
      <c r="AJ2157" s="77"/>
      <c r="AK2157" s="77"/>
      <c r="AL2157" s="77"/>
      <c r="AM2157" s="77"/>
      <c r="AN2157" s="77"/>
      <c r="AO2157" s="77"/>
      <c r="AP2157" s="77"/>
      <c r="AQ2157" s="77" t="s">
        <v>15123</v>
      </c>
      <c r="AR2157" s="77"/>
      <c r="AS2157" s="77"/>
      <c r="AT2157" s="77"/>
      <c r="AU2157" s="77"/>
      <c r="AV2157" s="83" t="str">
        <f>HYPERLINK("https://pbs.twimg.com/media/F2XnLkBW4AAczTp.jpg")</f>
        <v>https://pbs.twimg.com/media/F2XnLkBW4AAczTp.jpg</v>
      </c>
      <c r="AW2157" s="80" t="s">
        <v>17996</v>
      </c>
      <c r="AX2157" s="80" t="s">
        <v>17996</v>
      </c>
      <c r="AY2157" s="77"/>
      <c r="AZ2157" s="80" t="s">
        <v>20380</v>
      </c>
      <c r="BA2157" s="80" t="s">
        <v>20380</v>
      </c>
      <c r="BB2157" s="80" t="s">
        <v>20380</v>
      </c>
      <c r="BC2157" s="80" t="s">
        <v>17996</v>
      </c>
      <c r="BD2157" s="77">
        <v>3222221589</v>
      </c>
      <c r="BE2157" s="77"/>
      <c r="BF2157" s="77"/>
      <c r="BG2157" s="77"/>
      <c r="BH2157" s="77"/>
      <c r="BI2157" s="77"/>
    </row>
    <row r="2158" spans="1:61" x14ac:dyDescent="0.25">
      <c r="A2158" s="62" t="s">
        <v>893</v>
      </c>
      <c r="B2158" s="62" t="s">
        <v>893</v>
      </c>
      <c r="C2158" s="63"/>
      <c r="D2158" s="64"/>
      <c r="E2158" s="65"/>
      <c r="F2158" s="66"/>
      <c r="G2158" s="63"/>
      <c r="H2158" s="67"/>
      <c r="I2158" s="68"/>
      <c r="J2158" s="68"/>
      <c r="K2158" s="32"/>
      <c r="L2158" s="75">
        <v>2158</v>
      </c>
      <c r="M2158" s="75"/>
      <c r="N2158" s="70"/>
      <c r="O2158" s="77" t="s">
        <v>179</v>
      </c>
      <c r="P2158" s="79">
        <v>45162.882118055553</v>
      </c>
      <c r="Q2158" s="77" t="s">
        <v>4014</v>
      </c>
      <c r="R2158" s="77">
        <v>0</v>
      </c>
      <c r="S2158" s="77">
        <v>1</v>
      </c>
      <c r="T2158" s="77">
        <v>1</v>
      </c>
      <c r="U2158" s="77">
        <v>0</v>
      </c>
      <c r="V2158" s="77">
        <v>153</v>
      </c>
      <c r="W2158" s="80" t="s">
        <v>7274</v>
      </c>
      <c r="X2158" s="83" t="str">
        <f>HYPERLINK("https://www.xtb.com/lat/analisis-y-noticias/analisis-de-mercado/collins-de-la-fed-con-postura-hawkish-el-s-p-500-pierde-un-1-5-y-defiende-el-nivel-de-4400")</f>
        <v>https://www.xtb.com/lat/analisis-y-noticias/analisis-de-mercado/collins-de-la-fed-con-postura-hawkish-el-s-p-500-pierde-un-1-5-y-defiende-el-nivel-de-4400</v>
      </c>
      <c r="Y2158" s="77" t="s">
        <v>8768</v>
      </c>
      <c r="Z2158" s="77"/>
      <c r="AA2158" s="77" t="s">
        <v>9642</v>
      </c>
      <c r="AB2158" s="77" t="s">
        <v>10535</v>
      </c>
      <c r="AC2158" s="80" t="s">
        <v>10541</v>
      </c>
      <c r="AD2158" s="77" t="s">
        <v>10620</v>
      </c>
      <c r="AE2158" s="83" t="str">
        <f>HYPERLINK("https://twitter.com/xtblatam/status/1694819433208742371")</f>
        <v>https://twitter.com/xtblatam/status/1694819433208742371</v>
      </c>
      <c r="AF2158" s="79">
        <v>45162.882118055553</v>
      </c>
      <c r="AG2158" s="85">
        <v>45162</v>
      </c>
      <c r="AH2158" s="80" t="s">
        <v>12538</v>
      </c>
      <c r="AI2158" s="77" t="b">
        <v>0</v>
      </c>
      <c r="AJ2158" s="77"/>
      <c r="AK2158" s="77"/>
      <c r="AL2158" s="77"/>
      <c r="AM2158" s="77"/>
      <c r="AN2158" s="77"/>
      <c r="AO2158" s="77"/>
      <c r="AP2158" s="77"/>
      <c r="AQ2158" s="77" t="s">
        <v>15124</v>
      </c>
      <c r="AR2158" s="77"/>
      <c r="AS2158" s="77"/>
      <c r="AT2158" s="77"/>
      <c r="AU2158" s="77"/>
      <c r="AV2158" s="83" t="str">
        <f>HYPERLINK("https://pbs.twimg.com/media/F4U1GkMWkAAZ0gR.jpg")</f>
        <v>https://pbs.twimg.com/media/F4U1GkMWkAAZ0gR.jpg</v>
      </c>
      <c r="AW2158" s="80" t="s">
        <v>17997</v>
      </c>
      <c r="AX2158" s="80" t="s">
        <v>17997</v>
      </c>
      <c r="AY2158" s="77"/>
      <c r="AZ2158" s="80" t="s">
        <v>20380</v>
      </c>
      <c r="BA2158" s="80" t="s">
        <v>20380</v>
      </c>
      <c r="BB2158" s="80" t="s">
        <v>20380</v>
      </c>
      <c r="BC2158" s="80" t="s">
        <v>17997</v>
      </c>
      <c r="BD2158" s="77">
        <v>3222221589</v>
      </c>
      <c r="BE2158" s="77"/>
      <c r="BF2158" s="77"/>
      <c r="BG2158" s="77"/>
      <c r="BH2158" s="77"/>
      <c r="BI2158" s="77"/>
    </row>
    <row r="2159" spans="1:61" x14ac:dyDescent="0.25">
      <c r="A2159" s="62" t="s">
        <v>893</v>
      </c>
      <c r="B2159" s="62" t="s">
        <v>893</v>
      </c>
      <c r="C2159" s="63"/>
      <c r="D2159" s="64"/>
      <c r="E2159" s="65"/>
      <c r="F2159" s="66"/>
      <c r="G2159" s="63"/>
      <c r="H2159" s="67"/>
      <c r="I2159" s="68"/>
      <c r="J2159" s="68"/>
      <c r="K2159" s="32"/>
      <c r="L2159" s="75">
        <v>2159</v>
      </c>
      <c r="M2159" s="75"/>
      <c r="N2159" s="70"/>
      <c r="O2159" s="77" t="s">
        <v>179</v>
      </c>
      <c r="P2159" s="79">
        <v>45092.578067129631</v>
      </c>
      <c r="Q2159" s="77" t="s">
        <v>4015</v>
      </c>
      <c r="R2159" s="77">
        <v>0</v>
      </c>
      <c r="S2159" s="77">
        <v>0</v>
      </c>
      <c r="T2159" s="77">
        <v>0</v>
      </c>
      <c r="U2159" s="77">
        <v>0</v>
      </c>
      <c r="V2159" s="77">
        <v>130</v>
      </c>
      <c r="W2159" s="80" t="s">
        <v>7275</v>
      </c>
      <c r="X2159" s="83" t="str">
        <f>HYPERLINK("https://www.youtube.com/watch?v=az9e74REEf0")</f>
        <v>https://www.youtube.com/watch?v=az9e74REEf0</v>
      </c>
      <c r="Y2159" s="77" t="s">
        <v>8612</v>
      </c>
      <c r="Z2159" s="77"/>
      <c r="AA2159" s="77" t="s">
        <v>9643</v>
      </c>
      <c r="AB2159" s="77" t="s">
        <v>10535</v>
      </c>
      <c r="AC2159" s="80" t="s">
        <v>10541</v>
      </c>
      <c r="AD2159" s="77" t="s">
        <v>10620</v>
      </c>
      <c r="AE2159" s="83" t="str">
        <f>HYPERLINK("https://twitter.com/xtblatam/status/1669342096199921664")</f>
        <v>https://twitter.com/xtblatam/status/1669342096199921664</v>
      </c>
      <c r="AF2159" s="79">
        <v>45092.578067129631</v>
      </c>
      <c r="AG2159" s="85">
        <v>45092</v>
      </c>
      <c r="AH2159" s="80" t="s">
        <v>12539</v>
      </c>
      <c r="AI2159" s="77" t="b">
        <v>0</v>
      </c>
      <c r="AJ2159" s="77"/>
      <c r="AK2159" s="77"/>
      <c r="AL2159" s="77"/>
      <c r="AM2159" s="77"/>
      <c r="AN2159" s="77"/>
      <c r="AO2159" s="77"/>
      <c r="AP2159" s="77"/>
      <c r="AQ2159" s="77" t="s">
        <v>15125</v>
      </c>
      <c r="AR2159" s="77"/>
      <c r="AS2159" s="77"/>
      <c r="AT2159" s="77"/>
      <c r="AU2159" s="77"/>
      <c r="AV2159" s="83" t="str">
        <f>HYPERLINK("https://pbs.twimg.com/media/FyqxVzxaEAQ7cay.jpg")</f>
        <v>https://pbs.twimg.com/media/FyqxVzxaEAQ7cay.jpg</v>
      </c>
      <c r="AW2159" s="80" t="s">
        <v>17998</v>
      </c>
      <c r="AX2159" s="80" t="s">
        <v>17998</v>
      </c>
      <c r="AY2159" s="77"/>
      <c r="AZ2159" s="80" t="s">
        <v>20380</v>
      </c>
      <c r="BA2159" s="80" t="s">
        <v>20380</v>
      </c>
      <c r="BB2159" s="80" t="s">
        <v>20380</v>
      </c>
      <c r="BC2159" s="80" t="s">
        <v>17998</v>
      </c>
      <c r="BD2159" s="77">
        <v>3222221589</v>
      </c>
      <c r="BE2159" s="77"/>
      <c r="BF2159" s="77"/>
      <c r="BG2159" s="77"/>
      <c r="BH2159" s="77"/>
      <c r="BI2159" s="77"/>
    </row>
    <row r="2160" spans="1:61" x14ac:dyDescent="0.25">
      <c r="A2160" s="62" t="s">
        <v>893</v>
      </c>
      <c r="B2160" s="62" t="s">
        <v>893</v>
      </c>
      <c r="C2160" s="63"/>
      <c r="D2160" s="64"/>
      <c r="E2160" s="65"/>
      <c r="F2160" s="66"/>
      <c r="G2160" s="63"/>
      <c r="H2160" s="67"/>
      <c r="I2160" s="68"/>
      <c r="J2160" s="68"/>
      <c r="K2160" s="32"/>
      <c r="L2160" s="75">
        <v>2160</v>
      </c>
      <c r="M2160" s="75"/>
      <c r="N2160" s="70"/>
      <c r="O2160" s="77" t="s">
        <v>179</v>
      </c>
      <c r="P2160" s="79">
        <v>45068.578587962962</v>
      </c>
      <c r="Q2160" s="77" t="s">
        <v>4016</v>
      </c>
      <c r="R2160" s="77">
        <v>0</v>
      </c>
      <c r="S2160" s="77">
        <v>0</v>
      </c>
      <c r="T2160" s="77">
        <v>0</v>
      </c>
      <c r="U2160" s="77">
        <v>0</v>
      </c>
      <c r="V2160" s="77">
        <v>99</v>
      </c>
      <c r="W2160" s="80" t="s">
        <v>7276</v>
      </c>
      <c r="X2160" s="83" t="str">
        <f>HYPERLINK("https://www.youtube.com/watch?v=QEu4e8CKiyg")</f>
        <v>https://www.youtube.com/watch?v=QEu4e8CKiyg</v>
      </c>
      <c r="Y2160" s="77" t="s">
        <v>8612</v>
      </c>
      <c r="Z2160" s="77"/>
      <c r="AA2160" s="77" t="s">
        <v>9644</v>
      </c>
      <c r="AB2160" s="77" t="s">
        <v>10535</v>
      </c>
      <c r="AC2160" s="80" t="s">
        <v>10541</v>
      </c>
      <c r="AD2160" s="77" t="s">
        <v>10620</v>
      </c>
      <c r="AE2160" s="83" t="str">
        <f>HYPERLINK("https://twitter.com/xtblatam/status/1660644978383630336")</f>
        <v>https://twitter.com/xtblatam/status/1660644978383630336</v>
      </c>
      <c r="AF2160" s="79">
        <v>45068.578587962962</v>
      </c>
      <c r="AG2160" s="85">
        <v>45068</v>
      </c>
      <c r="AH2160" s="80" t="s">
        <v>12540</v>
      </c>
      <c r="AI2160" s="77" t="b">
        <v>0</v>
      </c>
      <c r="AJ2160" s="77"/>
      <c r="AK2160" s="77"/>
      <c r="AL2160" s="77"/>
      <c r="AM2160" s="77"/>
      <c r="AN2160" s="77"/>
      <c r="AO2160" s="77"/>
      <c r="AP2160" s="77"/>
      <c r="AQ2160" s="77" t="s">
        <v>15126</v>
      </c>
      <c r="AR2160" s="77"/>
      <c r="AS2160" s="77"/>
      <c r="AT2160" s="77"/>
      <c r="AU2160" s="77"/>
      <c r="AV2160" s="83" t="str">
        <f>HYPERLINK("https://pbs.twimg.com/media/FwvLZ-NXoAMjy4h.jpg")</f>
        <v>https://pbs.twimg.com/media/FwvLZ-NXoAMjy4h.jpg</v>
      </c>
      <c r="AW2160" s="80" t="s">
        <v>17999</v>
      </c>
      <c r="AX2160" s="80" t="s">
        <v>17999</v>
      </c>
      <c r="AY2160" s="77"/>
      <c r="AZ2160" s="80" t="s">
        <v>20380</v>
      </c>
      <c r="BA2160" s="80" t="s">
        <v>20380</v>
      </c>
      <c r="BB2160" s="80" t="s">
        <v>20380</v>
      </c>
      <c r="BC2160" s="80" t="s">
        <v>17999</v>
      </c>
      <c r="BD2160" s="77">
        <v>3222221589</v>
      </c>
      <c r="BE2160" s="77"/>
      <c r="BF2160" s="77"/>
      <c r="BG2160" s="77"/>
      <c r="BH2160" s="77"/>
      <c r="BI2160" s="77"/>
    </row>
    <row r="2161" spans="1:61" x14ac:dyDescent="0.25">
      <c r="A2161" s="62" t="s">
        <v>893</v>
      </c>
      <c r="B2161" s="62" t="s">
        <v>893</v>
      </c>
      <c r="C2161" s="63"/>
      <c r="D2161" s="64"/>
      <c r="E2161" s="65"/>
      <c r="F2161" s="66"/>
      <c r="G2161" s="63"/>
      <c r="H2161" s="67"/>
      <c r="I2161" s="68"/>
      <c r="J2161" s="68"/>
      <c r="K2161" s="32"/>
      <c r="L2161" s="75">
        <v>2161</v>
      </c>
      <c r="M2161" s="75"/>
      <c r="N2161" s="70"/>
      <c r="O2161" s="77" t="s">
        <v>179</v>
      </c>
      <c r="P2161" s="79">
        <v>45196.873611111114</v>
      </c>
      <c r="Q2161" s="77" t="s">
        <v>4017</v>
      </c>
      <c r="R2161" s="77">
        <v>0</v>
      </c>
      <c r="S2161" s="77">
        <v>0</v>
      </c>
      <c r="T2161" s="77">
        <v>1</v>
      </c>
      <c r="U2161" s="77">
        <v>0</v>
      </c>
      <c r="V2161" s="77">
        <v>102</v>
      </c>
      <c r="W2161" s="80" t="s">
        <v>7277</v>
      </c>
      <c r="X2161" s="83" t="str">
        <f>HYPERLINK("https://www.xtb.com/lat/analisis-y-noticias/analisis-de-mercado/kashkari-de-la-fed-es-posible-mas-de-una-subida-tipos")</f>
        <v>https://www.xtb.com/lat/analisis-y-noticias/analisis-de-mercado/kashkari-de-la-fed-es-posible-mas-de-una-subida-tipos</v>
      </c>
      <c r="Y2161" s="77" t="s">
        <v>8768</v>
      </c>
      <c r="Z2161" s="77"/>
      <c r="AA2161" s="77" t="s">
        <v>9645</v>
      </c>
      <c r="AB2161" s="77" t="s">
        <v>10535</v>
      </c>
      <c r="AC2161" s="80" t="s">
        <v>10541</v>
      </c>
      <c r="AD2161" s="77" t="s">
        <v>10620</v>
      </c>
      <c r="AE2161" s="83" t="str">
        <f>HYPERLINK("https://twitter.com/xtblatam/status/1707137535569502519")</f>
        <v>https://twitter.com/xtblatam/status/1707137535569502519</v>
      </c>
      <c r="AF2161" s="79">
        <v>45196.873611111114</v>
      </c>
      <c r="AG2161" s="85">
        <v>45196</v>
      </c>
      <c r="AH2161" s="80" t="s">
        <v>12541</v>
      </c>
      <c r="AI2161" s="77" t="b">
        <v>0</v>
      </c>
      <c r="AJ2161" s="77"/>
      <c r="AK2161" s="77"/>
      <c r="AL2161" s="77"/>
      <c r="AM2161" s="77"/>
      <c r="AN2161" s="77"/>
      <c r="AO2161" s="77"/>
      <c r="AP2161" s="77"/>
      <c r="AQ2161" s="77" t="s">
        <v>15127</v>
      </c>
      <c r="AR2161" s="77"/>
      <c r="AS2161" s="77"/>
      <c r="AT2161" s="77"/>
      <c r="AU2161" s="77"/>
      <c r="AV2161" s="83" t="str">
        <f>HYPERLINK("https://pbs.twimg.com/media/F7DtHUiWMAAlI0G.jpg")</f>
        <v>https://pbs.twimg.com/media/F7DtHUiWMAAlI0G.jpg</v>
      </c>
      <c r="AW2161" s="80" t="s">
        <v>18000</v>
      </c>
      <c r="AX2161" s="80" t="s">
        <v>18000</v>
      </c>
      <c r="AY2161" s="77"/>
      <c r="AZ2161" s="80" t="s">
        <v>20380</v>
      </c>
      <c r="BA2161" s="80" t="s">
        <v>20380</v>
      </c>
      <c r="BB2161" s="80" t="s">
        <v>20380</v>
      </c>
      <c r="BC2161" s="80" t="s">
        <v>18000</v>
      </c>
      <c r="BD2161" s="77">
        <v>3222221589</v>
      </c>
      <c r="BE2161" s="77"/>
      <c r="BF2161" s="77"/>
      <c r="BG2161" s="77"/>
      <c r="BH2161" s="77"/>
      <c r="BI2161" s="77"/>
    </row>
    <row r="2162" spans="1:61" x14ac:dyDescent="0.25">
      <c r="A2162" s="62" t="s">
        <v>893</v>
      </c>
      <c r="B2162" s="62" t="s">
        <v>893</v>
      </c>
      <c r="C2162" s="63"/>
      <c r="D2162" s="64"/>
      <c r="E2162" s="65"/>
      <c r="F2162" s="66"/>
      <c r="G2162" s="63"/>
      <c r="H2162" s="67"/>
      <c r="I2162" s="68"/>
      <c r="J2162" s="68"/>
      <c r="K2162" s="32"/>
      <c r="L2162" s="75">
        <v>2162</v>
      </c>
      <c r="M2162" s="75"/>
      <c r="N2162" s="70"/>
      <c r="O2162" s="77" t="s">
        <v>179</v>
      </c>
      <c r="P2162" s="79">
        <v>45134.617743055554</v>
      </c>
      <c r="Q2162" s="77" t="s">
        <v>4018</v>
      </c>
      <c r="R2162" s="77">
        <v>1</v>
      </c>
      <c r="S2162" s="77">
        <v>1</v>
      </c>
      <c r="T2162" s="77">
        <v>0</v>
      </c>
      <c r="U2162" s="77">
        <v>0</v>
      </c>
      <c r="V2162" s="77">
        <v>158</v>
      </c>
      <c r="W2162" s="80" t="s">
        <v>7278</v>
      </c>
      <c r="X2162" s="83" t="str">
        <f>HYPERLINK("https://www.xtb.com/lat/analisis-y-noticias/analisis-de-mercado/ultima-hora-el-euro-eur-retrocede-despues-de-que-el-bce-suba-los-tipos-en-25-pb")</f>
        <v>https://www.xtb.com/lat/analisis-y-noticias/analisis-de-mercado/ultima-hora-el-euro-eur-retrocede-despues-de-que-el-bce-suba-los-tipos-en-25-pb</v>
      </c>
      <c r="Y2162" s="77" t="s">
        <v>8768</v>
      </c>
      <c r="Z2162" s="77"/>
      <c r="AA2162" s="77" t="s">
        <v>9646</v>
      </c>
      <c r="AB2162" s="77" t="s">
        <v>10535</v>
      </c>
      <c r="AC2162" s="80" t="s">
        <v>10541</v>
      </c>
      <c r="AD2162" s="77" t="s">
        <v>10620</v>
      </c>
      <c r="AE2162" s="83" t="str">
        <f>HYPERLINK("https://twitter.com/xtblatam/status/1684576764738277377")</f>
        <v>https://twitter.com/xtblatam/status/1684576764738277377</v>
      </c>
      <c r="AF2162" s="79">
        <v>45134.617743055554</v>
      </c>
      <c r="AG2162" s="85">
        <v>45134</v>
      </c>
      <c r="AH2162" s="80" t="s">
        <v>12327</v>
      </c>
      <c r="AI2162" s="77" t="b">
        <v>0</v>
      </c>
      <c r="AJ2162" s="77"/>
      <c r="AK2162" s="77"/>
      <c r="AL2162" s="77"/>
      <c r="AM2162" s="77"/>
      <c r="AN2162" s="77"/>
      <c r="AO2162" s="77"/>
      <c r="AP2162" s="77"/>
      <c r="AQ2162" s="77" t="s">
        <v>15128</v>
      </c>
      <c r="AR2162" s="77"/>
      <c r="AS2162" s="77"/>
      <c r="AT2162" s="77"/>
      <c r="AU2162" s="77"/>
      <c r="AV2162" s="83" t="str">
        <f>HYPERLINK("https://pbs.twimg.com/media/F2DRTOiaEAEf13U.jpg")</f>
        <v>https://pbs.twimg.com/media/F2DRTOiaEAEf13U.jpg</v>
      </c>
      <c r="AW2162" s="80" t="s">
        <v>18001</v>
      </c>
      <c r="AX2162" s="80" t="s">
        <v>18001</v>
      </c>
      <c r="AY2162" s="77"/>
      <c r="AZ2162" s="80" t="s">
        <v>20380</v>
      </c>
      <c r="BA2162" s="80" t="s">
        <v>20380</v>
      </c>
      <c r="BB2162" s="80" t="s">
        <v>20380</v>
      </c>
      <c r="BC2162" s="80" t="s">
        <v>18001</v>
      </c>
      <c r="BD2162" s="77">
        <v>3222221589</v>
      </c>
      <c r="BE2162" s="77"/>
      <c r="BF2162" s="77"/>
      <c r="BG2162" s="77"/>
      <c r="BH2162" s="77"/>
      <c r="BI2162" s="77"/>
    </row>
    <row r="2163" spans="1:61" x14ac:dyDescent="0.25">
      <c r="A2163" s="62" t="s">
        <v>894</v>
      </c>
      <c r="B2163" s="62" t="s">
        <v>894</v>
      </c>
      <c r="C2163" s="63"/>
      <c r="D2163" s="64"/>
      <c r="E2163" s="65"/>
      <c r="F2163" s="66"/>
      <c r="G2163" s="63"/>
      <c r="H2163" s="67"/>
      <c r="I2163" s="68"/>
      <c r="J2163" s="68"/>
      <c r="K2163" s="32"/>
      <c r="L2163" s="75">
        <v>2163</v>
      </c>
      <c r="M2163" s="75"/>
      <c r="N2163" s="70"/>
      <c r="O2163" s="77" t="s">
        <v>179</v>
      </c>
      <c r="P2163" s="79">
        <v>45077.828530092593</v>
      </c>
      <c r="Q2163" s="77" t="s">
        <v>4019</v>
      </c>
      <c r="R2163" s="77">
        <v>0</v>
      </c>
      <c r="S2163" s="77">
        <v>3</v>
      </c>
      <c r="T2163" s="77">
        <v>0</v>
      </c>
      <c r="U2163" s="77">
        <v>0</v>
      </c>
      <c r="V2163" s="77">
        <v>29</v>
      </c>
      <c r="W2163" s="80" t="s">
        <v>7279</v>
      </c>
      <c r="X2163" s="77"/>
      <c r="Y2163" s="77"/>
      <c r="Z2163" s="77"/>
      <c r="AA2163" s="77"/>
      <c r="AB2163" s="77"/>
      <c r="AC2163" s="80" t="s">
        <v>10541</v>
      </c>
      <c r="AD2163" s="77" t="s">
        <v>10617</v>
      </c>
      <c r="AE2163" s="83" t="str">
        <f>HYPERLINK("https://twitter.com/brunnatmarica/status/1663997044770455556")</f>
        <v>https://twitter.com/brunnatmarica/status/1663997044770455556</v>
      </c>
      <c r="AF2163" s="79">
        <v>45077.828530092593</v>
      </c>
      <c r="AG2163" s="85">
        <v>45077</v>
      </c>
      <c r="AH2163" s="80" t="s">
        <v>12542</v>
      </c>
      <c r="AI2163" s="77"/>
      <c r="AJ2163" s="77"/>
      <c r="AK2163" s="77"/>
      <c r="AL2163" s="77"/>
      <c r="AM2163" s="77"/>
      <c r="AN2163" s="77"/>
      <c r="AO2163" s="77"/>
      <c r="AP2163" s="77"/>
      <c r="AQ2163" s="77"/>
      <c r="AR2163" s="77"/>
      <c r="AS2163" s="77"/>
      <c r="AT2163" s="77"/>
      <c r="AU2163" s="77"/>
      <c r="AV2163" s="83" t="str">
        <f>HYPERLINK("https://pbs.twimg.com/profile_images/1681424225037430786/BG1MAnzz_normal.jpg")</f>
        <v>https://pbs.twimg.com/profile_images/1681424225037430786/BG1MAnzz_normal.jpg</v>
      </c>
      <c r="AW2163" s="80" t="s">
        <v>18002</v>
      </c>
      <c r="AX2163" s="80" t="s">
        <v>18002</v>
      </c>
      <c r="AY2163" s="77"/>
      <c r="AZ2163" s="80" t="s">
        <v>20380</v>
      </c>
      <c r="BA2163" s="80" t="s">
        <v>20380</v>
      </c>
      <c r="BB2163" s="80" t="s">
        <v>20380</v>
      </c>
      <c r="BC2163" s="80" t="s">
        <v>18002</v>
      </c>
      <c r="BD2163" s="80" t="s">
        <v>20813</v>
      </c>
      <c r="BE2163" s="77"/>
      <c r="BF2163" s="77"/>
      <c r="BG2163" s="77"/>
      <c r="BH2163" s="77"/>
      <c r="BI2163" s="77"/>
    </row>
    <row r="2164" spans="1:61" x14ac:dyDescent="0.25">
      <c r="A2164" s="62" t="s">
        <v>895</v>
      </c>
      <c r="B2164" s="62" t="s">
        <v>918</v>
      </c>
      <c r="C2164" s="63"/>
      <c r="D2164" s="64"/>
      <c r="E2164" s="65"/>
      <c r="F2164" s="66"/>
      <c r="G2164" s="63"/>
      <c r="H2164" s="67"/>
      <c r="I2164" s="68"/>
      <c r="J2164" s="68"/>
      <c r="K2164" s="32"/>
      <c r="L2164" s="75">
        <v>2164</v>
      </c>
      <c r="M2164" s="75"/>
      <c r="N2164" s="70"/>
      <c r="O2164" s="77" t="s">
        <v>2082</v>
      </c>
      <c r="P2164" s="79">
        <v>45057.377488425926</v>
      </c>
      <c r="Q2164" s="77" t="s">
        <v>4020</v>
      </c>
      <c r="R2164" s="77">
        <v>0</v>
      </c>
      <c r="S2164" s="77">
        <v>0</v>
      </c>
      <c r="T2164" s="77">
        <v>0</v>
      </c>
      <c r="U2164" s="77">
        <v>0</v>
      </c>
      <c r="V2164" s="77">
        <v>15</v>
      </c>
      <c r="W2164" s="80" t="s">
        <v>5884</v>
      </c>
      <c r="X2164" s="77"/>
      <c r="Y2164" s="77"/>
      <c r="Z2164" s="77"/>
      <c r="AA2164" s="77"/>
      <c r="AB2164" s="77"/>
      <c r="AC2164" s="80" t="s">
        <v>10541</v>
      </c>
      <c r="AD2164" s="77" t="s">
        <v>10617</v>
      </c>
      <c r="AE2164" s="83" t="str">
        <f>HYPERLINK("https://twitter.com/falador10960616/status/1656585836471758852")</f>
        <v>https://twitter.com/falador10960616/status/1656585836471758852</v>
      </c>
      <c r="AF2164" s="79">
        <v>45057.377488425926</v>
      </c>
      <c r="AG2164" s="85">
        <v>45057</v>
      </c>
      <c r="AH2164" s="80" t="s">
        <v>12543</v>
      </c>
      <c r="AI2164" s="77"/>
      <c r="AJ2164" s="77"/>
      <c r="AK2164" s="77"/>
      <c r="AL2164" s="77"/>
      <c r="AM2164" s="77"/>
      <c r="AN2164" s="77"/>
      <c r="AO2164" s="77"/>
      <c r="AP2164" s="77"/>
      <c r="AQ2164" s="77"/>
      <c r="AR2164" s="77"/>
      <c r="AS2164" s="77"/>
      <c r="AT2164" s="77"/>
      <c r="AU2164" s="77"/>
      <c r="AV2164" s="83" t="str">
        <f>HYPERLINK("https://pbs.twimg.com/profile_images/1601241279672860679/B7CXtIom_normal.jpg")</f>
        <v>https://pbs.twimg.com/profile_images/1601241279672860679/B7CXtIom_normal.jpg</v>
      </c>
      <c r="AW2164" s="80" t="s">
        <v>18003</v>
      </c>
      <c r="AX2164" s="80" t="s">
        <v>18003</v>
      </c>
      <c r="AY2164" s="77"/>
      <c r="AZ2164" s="80" t="s">
        <v>20380</v>
      </c>
      <c r="BA2164" s="80" t="s">
        <v>18086</v>
      </c>
      <c r="BB2164" s="80" t="s">
        <v>20380</v>
      </c>
      <c r="BC2164" s="80" t="s">
        <v>18086</v>
      </c>
      <c r="BD2164" s="80" t="s">
        <v>20814</v>
      </c>
      <c r="BE2164" s="77"/>
      <c r="BF2164" s="77"/>
      <c r="BG2164" s="77"/>
      <c r="BH2164" s="77"/>
      <c r="BI2164" s="77"/>
    </row>
    <row r="2165" spans="1:61" x14ac:dyDescent="0.25">
      <c r="A2165" s="62" t="s">
        <v>896</v>
      </c>
      <c r="B2165" s="62" t="s">
        <v>896</v>
      </c>
      <c r="C2165" s="63"/>
      <c r="D2165" s="64"/>
      <c r="E2165" s="65"/>
      <c r="F2165" s="66"/>
      <c r="G2165" s="63"/>
      <c r="H2165" s="67"/>
      <c r="I2165" s="68"/>
      <c r="J2165" s="68"/>
      <c r="K2165" s="32"/>
      <c r="L2165" s="75">
        <v>2165</v>
      </c>
      <c r="M2165" s="75"/>
      <c r="N2165" s="70"/>
      <c r="O2165" s="77" t="s">
        <v>179</v>
      </c>
      <c r="P2165" s="79">
        <v>45109.473622685182</v>
      </c>
      <c r="Q2165" s="77" t="s">
        <v>4021</v>
      </c>
      <c r="R2165" s="77">
        <v>0</v>
      </c>
      <c r="S2165" s="77">
        <v>1</v>
      </c>
      <c r="T2165" s="77">
        <v>0</v>
      </c>
      <c r="U2165" s="77">
        <v>0</v>
      </c>
      <c r="V2165" s="77">
        <v>62</v>
      </c>
      <c r="W2165" s="80" t="s">
        <v>7280</v>
      </c>
      <c r="X2165" s="77"/>
      <c r="Y2165" s="77"/>
      <c r="Z2165" s="77"/>
      <c r="AA2165" s="77" t="s">
        <v>9647</v>
      </c>
      <c r="AB2165" s="77" t="s">
        <v>10535</v>
      </c>
      <c r="AC2165" s="80" t="s">
        <v>10540</v>
      </c>
      <c r="AD2165" s="77" t="s">
        <v>10617</v>
      </c>
      <c r="AE2165" s="83" t="str">
        <f>HYPERLINK("https://twitter.com/tribuna_hoje/status/1675464842331783169")</f>
        <v>https://twitter.com/tribuna_hoje/status/1675464842331783169</v>
      </c>
      <c r="AF2165" s="79">
        <v>45109.473622685182</v>
      </c>
      <c r="AG2165" s="85">
        <v>45109</v>
      </c>
      <c r="AH2165" s="80" t="s">
        <v>11187</v>
      </c>
      <c r="AI2165" s="77" t="b">
        <v>0</v>
      </c>
      <c r="AJ2165" s="77"/>
      <c r="AK2165" s="77"/>
      <c r="AL2165" s="77"/>
      <c r="AM2165" s="77"/>
      <c r="AN2165" s="77"/>
      <c r="AO2165" s="77"/>
      <c r="AP2165" s="77"/>
      <c r="AQ2165" s="77" t="s">
        <v>15129</v>
      </c>
      <c r="AR2165" s="77"/>
      <c r="AS2165" s="77"/>
      <c r="AT2165" s="77"/>
      <c r="AU2165" s="77"/>
      <c r="AV2165" s="83" t="str">
        <f>HYPERLINK("https://pbs.twimg.com/media/F0ByZMdXsAAC7y5.jpg")</f>
        <v>https://pbs.twimg.com/media/F0ByZMdXsAAC7y5.jpg</v>
      </c>
      <c r="AW2165" s="80" t="s">
        <v>18004</v>
      </c>
      <c r="AX2165" s="80" t="s">
        <v>18004</v>
      </c>
      <c r="AY2165" s="77"/>
      <c r="AZ2165" s="80" t="s">
        <v>20380</v>
      </c>
      <c r="BA2165" s="80" t="s">
        <v>20380</v>
      </c>
      <c r="BB2165" s="80" t="s">
        <v>20380</v>
      </c>
      <c r="BC2165" s="80" t="s">
        <v>18004</v>
      </c>
      <c r="BD2165" s="80" t="s">
        <v>20815</v>
      </c>
      <c r="BE2165" s="77"/>
      <c r="BF2165" s="77"/>
      <c r="BG2165" s="77"/>
      <c r="BH2165" s="77"/>
      <c r="BI2165" s="77"/>
    </row>
    <row r="2166" spans="1:61" x14ac:dyDescent="0.25">
      <c r="A2166" s="62" t="s">
        <v>896</v>
      </c>
      <c r="B2166" s="62" t="s">
        <v>896</v>
      </c>
      <c r="C2166" s="63"/>
      <c r="D2166" s="64"/>
      <c r="E2166" s="65"/>
      <c r="F2166" s="66"/>
      <c r="G2166" s="63"/>
      <c r="H2166" s="67"/>
      <c r="I2166" s="68"/>
      <c r="J2166" s="68"/>
      <c r="K2166" s="32"/>
      <c r="L2166" s="75">
        <v>2166</v>
      </c>
      <c r="M2166" s="75"/>
      <c r="N2166" s="70"/>
      <c r="O2166" s="77" t="s">
        <v>179</v>
      </c>
      <c r="P2166" s="79">
        <v>45107.21665509259</v>
      </c>
      <c r="Q2166" s="77" t="s">
        <v>4022</v>
      </c>
      <c r="R2166" s="77">
        <v>0</v>
      </c>
      <c r="S2166" s="77">
        <v>0</v>
      </c>
      <c r="T2166" s="77">
        <v>0</v>
      </c>
      <c r="U2166" s="77">
        <v>0</v>
      </c>
      <c r="V2166" s="77">
        <v>42</v>
      </c>
      <c r="W2166" s="80" t="s">
        <v>7281</v>
      </c>
      <c r="X2166" s="77"/>
      <c r="Y2166" s="77"/>
      <c r="Z2166" s="77"/>
      <c r="AA2166" s="77" t="s">
        <v>9648</v>
      </c>
      <c r="AB2166" s="77" t="s">
        <v>10535</v>
      </c>
      <c r="AC2166" s="80" t="s">
        <v>10540</v>
      </c>
      <c r="AD2166" s="77" t="s">
        <v>10617</v>
      </c>
      <c r="AE2166" s="83" t="str">
        <f>HYPERLINK("https://twitter.com/tribuna_hoje/status/1674646945535520768")</f>
        <v>https://twitter.com/tribuna_hoje/status/1674646945535520768</v>
      </c>
      <c r="AF2166" s="79">
        <v>45107.21665509259</v>
      </c>
      <c r="AG2166" s="85">
        <v>45107</v>
      </c>
      <c r="AH2166" s="80" t="s">
        <v>12544</v>
      </c>
      <c r="AI2166" s="77" t="b">
        <v>0</v>
      </c>
      <c r="AJ2166" s="77"/>
      <c r="AK2166" s="77"/>
      <c r="AL2166" s="77"/>
      <c r="AM2166" s="77"/>
      <c r="AN2166" s="77"/>
      <c r="AO2166" s="77"/>
      <c r="AP2166" s="77"/>
      <c r="AQ2166" s="77" t="s">
        <v>15130</v>
      </c>
      <c r="AR2166" s="77"/>
      <c r="AS2166" s="77"/>
      <c r="AT2166" s="77"/>
      <c r="AU2166" s="77"/>
      <c r="AV2166" s="83" t="str">
        <f>HYPERLINK("https://pbs.twimg.com/media/Fz2Kg65WIAEcpj9.jpg")</f>
        <v>https://pbs.twimg.com/media/Fz2Kg65WIAEcpj9.jpg</v>
      </c>
      <c r="AW2166" s="80" t="s">
        <v>18005</v>
      </c>
      <c r="AX2166" s="80" t="s">
        <v>18005</v>
      </c>
      <c r="AY2166" s="77"/>
      <c r="AZ2166" s="80" t="s">
        <v>20380</v>
      </c>
      <c r="BA2166" s="80" t="s">
        <v>20380</v>
      </c>
      <c r="BB2166" s="80" t="s">
        <v>20380</v>
      </c>
      <c r="BC2166" s="80" t="s">
        <v>18005</v>
      </c>
      <c r="BD2166" s="80" t="s">
        <v>20815</v>
      </c>
      <c r="BE2166" s="77"/>
      <c r="BF2166" s="77"/>
      <c r="BG2166" s="77"/>
      <c r="BH2166" s="77"/>
      <c r="BI2166" s="77"/>
    </row>
    <row r="2167" spans="1:61" x14ac:dyDescent="0.25">
      <c r="A2167" s="62" t="s">
        <v>897</v>
      </c>
      <c r="B2167" s="62" t="s">
        <v>1655</v>
      </c>
      <c r="C2167" s="63"/>
      <c r="D2167" s="64"/>
      <c r="E2167" s="65"/>
      <c r="F2167" s="66"/>
      <c r="G2167" s="63"/>
      <c r="H2167" s="67"/>
      <c r="I2167" s="68"/>
      <c r="J2167" s="68"/>
      <c r="K2167" s="32"/>
      <c r="L2167" s="75">
        <v>2167</v>
      </c>
      <c r="M2167" s="75"/>
      <c r="N2167" s="70"/>
      <c r="O2167" s="77" t="s">
        <v>2083</v>
      </c>
      <c r="P2167" s="79">
        <v>45191.008761574078</v>
      </c>
      <c r="Q2167" s="77" t="s">
        <v>2120</v>
      </c>
      <c r="R2167" s="77">
        <v>25</v>
      </c>
      <c r="S2167" s="77">
        <v>0</v>
      </c>
      <c r="T2167" s="77">
        <v>0</v>
      </c>
      <c r="U2167" s="77">
        <v>0</v>
      </c>
      <c r="V2167" s="77"/>
      <c r="W2167" s="80" t="s">
        <v>5917</v>
      </c>
      <c r="X2167" s="77"/>
      <c r="Y2167" s="77"/>
      <c r="Z2167" s="77" t="s">
        <v>1655</v>
      </c>
      <c r="AA2167" s="77"/>
      <c r="AB2167" s="77"/>
      <c r="AC2167" s="80" t="s">
        <v>10540</v>
      </c>
      <c r="AD2167" s="77" t="s">
        <v>10617</v>
      </c>
      <c r="AE2167" s="83" t="str">
        <f>HYPERLINK("https://twitter.com/fusarozila/status/1705012187775811875")</f>
        <v>https://twitter.com/fusarozila/status/1705012187775811875</v>
      </c>
      <c r="AF2167" s="79">
        <v>45191.008761574078</v>
      </c>
      <c r="AG2167" s="85">
        <v>45191</v>
      </c>
      <c r="AH2167" s="80" t="s">
        <v>12545</v>
      </c>
      <c r="AI2167" s="77"/>
      <c r="AJ2167" s="77"/>
      <c r="AK2167" s="77"/>
      <c r="AL2167" s="77"/>
      <c r="AM2167" s="77"/>
      <c r="AN2167" s="77"/>
      <c r="AO2167" s="77"/>
      <c r="AP2167" s="77"/>
      <c r="AQ2167" s="77"/>
      <c r="AR2167" s="77"/>
      <c r="AS2167" s="77"/>
      <c r="AT2167" s="77"/>
      <c r="AU2167" s="77"/>
      <c r="AV2167" s="83" t="str">
        <f>HYPERLINK("https://pbs.twimg.com/profile_images/1567803015066705924/uf3huxXQ_normal.jpg")</f>
        <v>https://pbs.twimg.com/profile_images/1567803015066705924/uf3huxXQ_normal.jpg</v>
      </c>
      <c r="AW2167" s="80" t="s">
        <v>18006</v>
      </c>
      <c r="AX2167" s="80" t="s">
        <v>18006</v>
      </c>
      <c r="AY2167" s="77"/>
      <c r="AZ2167" s="80" t="s">
        <v>20380</v>
      </c>
      <c r="BA2167" s="80" t="s">
        <v>20380</v>
      </c>
      <c r="BB2167" s="80" t="s">
        <v>19844</v>
      </c>
      <c r="BC2167" s="80" t="s">
        <v>19844</v>
      </c>
      <c r="BD2167" s="80" t="s">
        <v>20816</v>
      </c>
      <c r="BE2167" s="77"/>
      <c r="BF2167" s="77"/>
      <c r="BG2167" s="77"/>
      <c r="BH2167" s="77"/>
      <c r="BI2167" s="77"/>
    </row>
    <row r="2168" spans="1:61" x14ac:dyDescent="0.25">
      <c r="A2168" s="62" t="s">
        <v>898</v>
      </c>
      <c r="B2168" s="62" t="s">
        <v>1716</v>
      </c>
      <c r="C2168" s="63"/>
      <c r="D2168" s="64"/>
      <c r="E2168" s="65"/>
      <c r="F2168" s="66"/>
      <c r="G2168" s="63"/>
      <c r="H2168" s="67"/>
      <c r="I2168" s="68"/>
      <c r="J2168" s="68"/>
      <c r="K2168" s="32"/>
      <c r="L2168" s="75">
        <v>2168</v>
      </c>
      <c r="M2168" s="75"/>
      <c r="N2168" s="70"/>
      <c r="O2168" s="77" t="s">
        <v>2081</v>
      </c>
      <c r="P2168" s="79">
        <v>45156.728182870371</v>
      </c>
      <c r="Q2168" s="77" t="s">
        <v>4023</v>
      </c>
      <c r="R2168" s="77">
        <v>0</v>
      </c>
      <c r="S2168" s="77">
        <v>0</v>
      </c>
      <c r="T2168" s="77">
        <v>0</v>
      </c>
      <c r="U2168" s="77">
        <v>0</v>
      </c>
      <c r="V2168" s="77">
        <v>9</v>
      </c>
      <c r="W2168" s="80" t="s">
        <v>7282</v>
      </c>
      <c r="X2168" s="83" t="str">
        <f>HYPERLINK("https://www.809.do/seguridad-juridica-y-transparencia-son-atractivos-para-inversiones-en-renovables/")</f>
        <v>https://www.809.do/seguridad-juridica-y-transparencia-son-atractivos-para-inversiones-en-renovables/</v>
      </c>
      <c r="Y2168" s="77" t="s">
        <v>8769</v>
      </c>
      <c r="Z2168" s="77" t="s">
        <v>1716</v>
      </c>
      <c r="AA2168" s="77" t="s">
        <v>9649</v>
      </c>
      <c r="AB2168" s="77" t="s">
        <v>10535</v>
      </c>
      <c r="AC2168" s="80" t="s">
        <v>10541</v>
      </c>
      <c r="AD2168" s="77" t="s">
        <v>10620</v>
      </c>
      <c r="AE2168" s="83" t="str">
        <f>HYPERLINK("https://twitter.com/8cero9do/status/1692589322635989325")</f>
        <v>https://twitter.com/8cero9do/status/1692589322635989325</v>
      </c>
      <c r="AF2168" s="79">
        <v>45156.728182870371</v>
      </c>
      <c r="AG2168" s="85">
        <v>45156</v>
      </c>
      <c r="AH2168" s="80" t="s">
        <v>12546</v>
      </c>
      <c r="AI2168" s="77" t="b">
        <v>0</v>
      </c>
      <c r="AJ2168" s="77"/>
      <c r="AK2168" s="77"/>
      <c r="AL2168" s="77"/>
      <c r="AM2168" s="77"/>
      <c r="AN2168" s="77"/>
      <c r="AO2168" s="77"/>
      <c r="AP2168" s="77"/>
      <c r="AQ2168" s="77" t="s">
        <v>15131</v>
      </c>
      <c r="AR2168" s="77"/>
      <c r="AS2168" s="77"/>
      <c r="AT2168" s="77"/>
      <c r="AU2168" s="77"/>
      <c r="AV2168" s="83" t="str">
        <f>HYPERLINK("https://pbs.twimg.com/media/F31InOGXUAAJhN9.jpg")</f>
        <v>https://pbs.twimg.com/media/F31InOGXUAAJhN9.jpg</v>
      </c>
      <c r="AW2168" s="80" t="s">
        <v>18007</v>
      </c>
      <c r="AX2168" s="80" t="s">
        <v>18007</v>
      </c>
      <c r="AY2168" s="77"/>
      <c r="AZ2168" s="80" t="s">
        <v>20380</v>
      </c>
      <c r="BA2168" s="80" t="s">
        <v>20380</v>
      </c>
      <c r="BB2168" s="80" t="s">
        <v>20380</v>
      </c>
      <c r="BC2168" s="80" t="s">
        <v>18007</v>
      </c>
      <c r="BD2168" s="80" t="s">
        <v>20817</v>
      </c>
      <c r="BE2168" s="77"/>
      <c r="BF2168" s="77"/>
      <c r="BG2168" s="77"/>
      <c r="BH2168" s="77"/>
      <c r="BI2168" s="77"/>
    </row>
    <row r="2169" spans="1:61" x14ac:dyDescent="0.25">
      <c r="A2169" s="62" t="s">
        <v>899</v>
      </c>
      <c r="B2169" s="62" t="s">
        <v>1655</v>
      </c>
      <c r="C2169" s="63"/>
      <c r="D2169" s="64"/>
      <c r="E2169" s="65"/>
      <c r="F2169" s="66"/>
      <c r="G2169" s="63"/>
      <c r="H2169" s="67"/>
      <c r="I2169" s="68"/>
      <c r="J2169" s="68"/>
      <c r="K2169" s="32"/>
      <c r="L2169" s="75">
        <v>2169</v>
      </c>
      <c r="M2169" s="75"/>
      <c r="N2169" s="70"/>
      <c r="O2169" s="77" t="s">
        <v>2083</v>
      </c>
      <c r="P2169" s="79">
        <v>45195.617256944446</v>
      </c>
      <c r="Q2169" s="77" t="s">
        <v>2120</v>
      </c>
      <c r="R2169" s="77">
        <v>25</v>
      </c>
      <c r="S2169" s="77">
        <v>0</v>
      </c>
      <c r="T2169" s="77">
        <v>0</v>
      </c>
      <c r="U2169" s="77">
        <v>0</v>
      </c>
      <c r="V2169" s="77"/>
      <c r="W2169" s="80" t="s">
        <v>5917</v>
      </c>
      <c r="X2169" s="77"/>
      <c r="Y2169" s="77"/>
      <c r="Z2169" s="77" t="s">
        <v>1655</v>
      </c>
      <c r="AA2169" s="77"/>
      <c r="AB2169" s="77"/>
      <c r="AC2169" s="80" t="s">
        <v>10540</v>
      </c>
      <c r="AD2169" s="77" t="s">
        <v>10617</v>
      </c>
      <c r="AE2169" s="83" t="str">
        <f>HYPERLINK("https://twitter.com/zenda_simoes/status/1706682247867232497")</f>
        <v>https://twitter.com/zenda_simoes/status/1706682247867232497</v>
      </c>
      <c r="AF2169" s="79">
        <v>45195.617256944446</v>
      </c>
      <c r="AG2169" s="85">
        <v>45195</v>
      </c>
      <c r="AH2169" s="80" t="s">
        <v>12547</v>
      </c>
      <c r="AI2169" s="77"/>
      <c r="AJ2169" s="77"/>
      <c r="AK2169" s="77"/>
      <c r="AL2169" s="77"/>
      <c r="AM2169" s="77"/>
      <c r="AN2169" s="77"/>
      <c r="AO2169" s="77"/>
      <c r="AP2169" s="77"/>
      <c r="AQ2169" s="77"/>
      <c r="AR2169" s="77"/>
      <c r="AS2169" s="77"/>
      <c r="AT2169" s="77"/>
      <c r="AU2169" s="77"/>
      <c r="AV2169" s="83" t="str">
        <f>HYPERLINK("https://pbs.twimg.com/profile_images/1109514054761095169/rugxR_Ve_normal.jpg")</f>
        <v>https://pbs.twimg.com/profile_images/1109514054761095169/rugxR_Ve_normal.jpg</v>
      </c>
      <c r="AW2169" s="80" t="s">
        <v>18008</v>
      </c>
      <c r="AX2169" s="80" t="s">
        <v>18008</v>
      </c>
      <c r="AY2169" s="77"/>
      <c r="AZ2169" s="80" t="s">
        <v>20380</v>
      </c>
      <c r="BA2169" s="80" t="s">
        <v>20380</v>
      </c>
      <c r="BB2169" s="80" t="s">
        <v>19844</v>
      </c>
      <c r="BC2169" s="80" t="s">
        <v>19844</v>
      </c>
      <c r="BD2169" s="80" t="s">
        <v>20818</v>
      </c>
      <c r="BE2169" s="77"/>
      <c r="BF2169" s="77"/>
      <c r="BG2169" s="77"/>
      <c r="BH2169" s="77"/>
      <c r="BI2169" s="77"/>
    </row>
    <row r="2170" spans="1:61" x14ac:dyDescent="0.25">
      <c r="A2170" s="62" t="s">
        <v>899</v>
      </c>
      <c r="B2170" s="62" t="s">
        <v>1655</v>
      </c>
      <c r="C2170" s="63"/>
      <c r="D2170" s="64"/>
      <c r="E2170" s="65"/>
      <c r="F2170" s="66"/>
      <c r="G2170" s="63"/>
      <c r="H2170" s="67"/>
      <c r="I2170" s="68"/>
      <c r="J2170" s="68"/>
      <c r="K2170" s="32"/>
      <c r="L2170" s="75">
        <v>2170</v>
      </c>
      <c r="M2170" s="75"/>
      <c r="N2170" s="70"/>
      <c r="O2170" s="77" t="s">
        <v>2083</v>
      </c>
      <c r="P2170" s="79">
        <v>45195.617210648146</v>
      </c>
      <c r="Q2170" s="77" t="s">
        <v>2120</v>
      </c>
      <c r="R2170" s="77">
        <v>57</v>
      </c>
      <c r="S2170" s="77">
        <v>0</v>
      </c>
      <c r="T2170" s="77">
        <v>0</v>
      </c>
      <c r="U2170" s="77">
        <v>0</v>
      </c>
      <c r="V2170" s="77"/>
      <c r="W2170" s="80" t="s">
        <v>5917</v>
      </c>
      <c r="X2170" s="77"/>
      <c r="Y2170" s="77"/>
      <c r="Z2170" s="77" t="s">
        <v>1655</v>
      </c>
      <c r="AA2170" s="77"/>
      <c r="AB2170" s="77"/>
      <c r="AC2170" s="80" t="s">
        <v>10540</v>
      </c>
      <c r="AD2170" s="77" t="s">
        <v>10617</v>
      </c>
      <c r="AE2170" s="83" t="str">
        <f>HYPERLINK("https://twitter.com/zenda_simoes/status/1706682233069752811")</f>
        <v>https://twitter.com/zenda_simoes/status/1706682233069752811</v>
      </c>
      <c r="AF2170" s="79">
        <v>45195.617210648146</v>
      </c>
      <c r="AG2170" s="85">
        <v>45195</v>
      </c>
      <c r="AH2170" s="80" t="s">
        <v>12243</v>
      </c>
      <c r="AI2170" s="77"/>
      <c r="AJ2170" s="77"/>
      <c r="AK2170" s="77"/>
      <c r="AL2170" s="77"/>
      <c r="AM2170" s="77"/>
      <c r="AN2170" s="77"/>
      <c r="AO2170" s="77"/>
      <c r="AP2170" s="77"/>
      <c r="AQ2170" s="77"/>
      <c r="AR2170" s="77"/>
      <c r="AS2170" s="77"/>
      <c r="AT2170" s="77"/>
      <c r="AU2170" s="77"/>
      <c r="AV2170" s="83" t="str">
        <f>HYPERLINK("https://pbs.twimg.com/profile_images/1109514054761095169/rugxR_Ve_normal.jpg")</f>
        <v>https://pbs.twimg.com/profile_images/1109514054761095169/rugxR_Ve_normal.jpg</v>
      </c>
      <c r="AW2170" s="80" t="s">
        <v>18009</v>
      </c>
      <c r="AX2170" s="80" t="s">
        <v>18009</v>
      </c>
      <c r="AY2170" s="77"/>
      <c r="AZ2170" s="80" t="s">
        <v>20380</v>
      </c>
      <c r="BA2170" s="80" t="s">
        <v>20380</v>
      </c>
      <c r="BB2170" s="80" t="s">
        <v>19843</v>
      </c>
      <c r="BC2170" s="80" t="s">
        <v>19843</v>
      </c>
      <c r="BD2170" s="80" t="s">
        <v>20818</v>
      </c>
      <c r="BE2170" s="77"/>
      <c r="BF2170" s="77"/>
      <c r="BG2170" s="77"/>
      <c r="BH2170" s="77"/>
      <c r="BI2170" s="77"/>
    </row>
    <row r="2171" spans="1:61" x14ac:dyDescent="0.25">
      <c r="A2171" s="62" t="s">
        <v>900</v>
      </c>
      <c r="B2171" s="62" t="s">
        <v>900</v>
      </c>
      <c r="C2171" s="63"/>
      <c r="D2171" s="64"/>
      <c r="E2171" s="65"/>
      <c r="F2171" s="66"/>
      <c r="G2171" s="63"/>
      <c r="H2171" s="67"/>
      <c r="I2171" s="68"/>
      <c r="J2171" s="68"/>
      <c r="K2171" s="32"/>
      <c r="L2171" s="75">
        <v>2171</v>
      </c>
      <c r="M2171" s="75"/>
      <c r="N2171" s="70"/>
      <c r="O2171" s="77" t="s">
        <v>179</v>
      </c>
      <c r="P2171" s="79">
        <v>45089.958796296298</v>
      </c>
      <c r="Q2171" s="77" t="s">
        <v>4024</v>
      </c>
      <c r="R2171" s="77">
        <v>0</v>
      </c>
      <c r="S2171" s="77">
        <v>0</v>
      </c>
      <c r="T2171" s="77">
        <v>0</v>
      </c>
      <c r="U2171" s="77">
        <v>0</v>
      </c>
      <c r="V2171" s="77">
        <v>29</v>
      </c>
      <c r="W2171" s="80" t="s">
        <v>7283</v>
      </c>
      <c r="X2171" s="83" t="str">
        <f>HYPERLINK("http://www.sindpdce.org.br")</f>
        <v>http://www.sindpdce.org.br</v>
      </c>
      <c r="Y2171" s="77" t="s">
        <v>8667</v>
      </c>
      <c r="Z2171" s="77"/>
      <c r="AA2171" s="77" t="s">
        <v>9650</v>
      </c>
      <c r="AB2171" s="77" t="s">
        <v>10535</v>
      </c>
      <c r="AC2171" s="80" t="s">
        <v>10550</v>
      </c>
      <c r="AD2171" s="77" t="s">
        <v>10617</v>
      </c>
      <c r="AE2171" s="83" t="str">
        <f>HYPERLINK("https://twitter.com/sindpdce/status/1668392904119709696")</f>
        <v>https://twitter.com/sindpdce/status/1668392904119709696</v>
      </c>
      <c r="AF2171" s="79">
        <v>45089.958796296298</v>
      </c>
      <c r="AG2171" s="85">
        <v>45089</v>
      </c>
      <c r="AH2171" s="80" t="s">
        <v>12548</v>
      </c>
      <c r="AI2171" s="77" t="b">
        <v>0</v>
      </c>
      <c r="AJ2171" s="77"/>
      <c r="AK2171" s="77"/>
      <c r="AL2171" s="77"/>
      <c r="AM2171" s="77"/>
      <c r="AN2171" s="77"/>
      <c r="AO2171" s="77"/>
      <c r="AP2171" s="77"/>
      <c r="AQ2171" s="77" t="s">
        <v>15132</v>
      </c>
      <c r="AR2171" s="77"/>
      <c r="AS2171" s="77"/>
      <c r="AT2171" s="77"/>
      <c r="AU2171" s="77"/>
      <c r="AV2171" s="83" t="str">
        <f>HYPERLINK("https://pbs.twimg.com/media/FydSgQEWwAAgUrC.jpg")</f>
        <v>https://pbs.twimg.com/media/FydSgQEWwAAgUrC.jpg</v>
      </c>
      <c r="AW2171" s="80" t="s">
        <v>18010</v>
      </c>
      <c r="AX2171" s="80" t="s">
        <v>18010</v>
      </c>
      <c r="AY2171" s="77"/>
      <c r="AZ2171" s="80" t="s">
        <v>20380</v>
      </c>
      <c r="BA2171" s="80" t="s">
        <v>20380</v>
      </c>
      <c r="BB2171" s="80" t="s">
        <v>20380</v>
      </c>
      <c r="BC2171" s="80" t="s">
        <v>18010</v>
      </c>
      <c r="BD2171" s="77">
        <v>85865113</v>
      </c>
      <c r="BE2171" s="77"/>
      <c r="BF2171" s="77"/>
      <c r="BG2171" s="77"/>
      <c r="BH2171" s="77"/>
      <c r="BI2171" s="77"/>
    </row>
    <row r="2172" spans="1:61" x14ac:dyDescent="0.25">
      <c r="A2172" s="62" t="s">
        <v>900</v>
      </c>
      <c r="B2172" s="62" t="s">
        <v>900</v>
      </c>
      <c r="C2172" s="63"/>
      <c r="D2172" s="64"/>
      <c r="E2172" s="65"/>
      <c r="F2172" s="66"/>
      <c r="G2172" s="63"/>
      <c r="H2172" s="67"/>
      <c r="I2172" s="68"/>
      <c r="J2172" s="68"/>
      <c r="K2172" s="32"/>
      <c r="L2172" s="75">
        <v>2172</v>
      </c>
      <c r="M2172" s="75"/>
      <c r="N2172" s="70"/>
      <c r="O2172" s="77" t="s">
        <v>179</v>
      </c>
      <c r="P2172" s="79">
        <v>45089.646307870367</v>
      </c>
      <c r="Q2172" s="77" t="s">
        <v>4025</v>
      </c>
      <c r="R2172" s="77">
        <v>0</v>
      </c>
      <c r="S2172" s="77">
        <v>0</v>
      </c>
      <c r="T2172" s="77">
        <v>0</v>
      </c>
      <c r="U2172" s="77">
        <v>0</v>
      </c>
      <c r="V2172" s="77">
        <v>30</v>
      </c>
      <c r="W2172" s="80" t="s">
        <v>7284</v>
      </c>
      <c r="X2172" s="83" t="str">
        <f>HYPERLINK("http://www.sindpdce.org.br")</f>
        <v>http://www.sindpdce.org.br</v>
      </c>
      <c r="Y2172" s="77" t="s">
        <v>8667</v>
      </c>
      <c r="Z2172" s="77"/>
      <c r="AA2172" s="77" t="s">
        <v>9651</v>
      </c>
      <c r="AB2172" s="77" t="s">
        <v>10535</v>
      </c>
      <c r="AC2172" s="80" t="s">
        <v>10550</v>
      </c>
      <c r="AD2172" s="77" t="s">
        <v>10617</v>
      </c>
      <c r="AE2172" s="83" t="str">
        <f>HYPERLINK("https://twitter.com/sindpdce/status/1668279664706502657")</f>
        <v>https://twitter.com/sindpdce/status/1668279664706502657</v>
      </c>
      <c r="AF2172" s="79">
        <v>45089.646307870367</v>
      </c>
      <c r="AG2172" s="85">
        <v>45089</v>
      </c>
      <c r="AH2172" s="80" t="s">
        <v>12549</v>
      </c>
      <c r="AI2172" s="77" t="b">
        <v>0</v>
      </c>
      <c r="AJ2172" s="77"/>
      <c r="AK2172" s="77"/>
      <c r="AL2172" s="77"/>
      <c r="AM2172" s="77"/>
      <c r="AN2172" s="77"/>
      <c r="AO2172" s="77"/>
      <c r="AP2172" s="77"/>
      <c r="AQ2172" s="77" t="s">
        <v>15133</v>
      </c>
      <c r="AR2172" s="77"/>
      <c r="AS2172" s="77"/>
      <c r="AT2172" s="77"/>
      <c r="AU2172" s="77"/>
      <c r="AV2172" s="83" t="str">
        <f>HYPERLINK("https://pbs.twimg.com/media/Fybrg5ZWwAEDYwr.jpg")</f>
        <v>https://pbs.twimg.com/media/Fybrg5ZWwAEDYwr.jpg</v>
      </c>
      <c r="AW2172" s="80" t="s">
        <v>18011</v>
      </c>
      <c r="AX2172" s="80" t="s">
        <v>18011</v>
      </c>
      <c r="AY2172" s="77"/>
      <c r="AZ2172" s="80" t="s">
        <v>20380</v>
      </c>
      <c r="BA2172" s="80" t="s">
        <v>20380</v>
      </c>
      <c r="BB2172" s="80" t="s">
        <v>20380</v>
      </c>
      <c r="BC2172" s="80" t="s">
        <v>18011</v>
      </c>
      <c r="BD2172" s="77">
        <v>85865113</v>
      </c>
      <c r="BE2172" s="77"/>
      <c r="BF2172" s="77"/>
      <c r="BG2172" s="77"/>
      <c r="BH2172" s="77"/>
      <c r="BI2172" s="77"/>
    </row>
    <row r="2173" spans="1:61" x14ac:dyDescent="0.25">
      <c r="A2173" s="62" t="s">
        <v>900</v>
      </c>
      <c r="B2173" s="62" t="s">
        <v>900</v>
      </c>
      <c r="C2173" s="63"/>
      <c r="D2173" s="64"/>
      <c r="E2173" s="65"/>
      <c r="F2173" s="66"/>
      <c r="G2173" s="63"/>
      <c r="H2173" s="67"/>
      <c r="I2173" s="68"/>
      <c r="J2173" s="68"/>
      <c r="K2173" s="32"/>
      <c r="L2173" s="75">
        <v>2173</v>
      </c>
      <c r="M2173" s="75"/>
      <c r="N2173" s="70"/>
      <c r="O2173" s="77" t="s">
        <v>179</v>
      </c>
      <c r="P2173" s="79">
        <v>45099.87568287037</v>
      </c>
      <c r="Q2173" s="77" t="s">
        <v>4026</v>
      </c>
      <c r="R2173" s="77">
        <v>0</v>
      </c>
      <c r="S2173" s="77">
        <v>1</v>
      </c>
      <c r="T2173" s="77">
        <v>0</v>
      </c>
      <c r="U2173" s="77">
        <v>1</v>
      </c>
      <c r="V2173" s="77">
        <v>119</v>
      </c>
      <c r="W2173" s="80" t="s">
        <v>7285</v>
      </c>
      <c r="X2173" s="83" t="str">
        <f>HYPERLINK("http://www.sindpdce.org.br")</f>
        <v>http://www.sindpdce.org.br</v>
      </c>
      <c r="Y2173" s="77" t="s">
        <v>8667</v>
      </c>
      <c r="Z2173" s="77"/>
      <c r="AA2173" s="77" t="s">
        <v>9652</v>
      </c>
      <c r="AB2173" s="77" t="s">
        <v>10535</v>
      </c>
      <c r="AC2173" s="80" t="s">
        <v>10550</v>
      </c>
      <c r="AD2173" s="77" t="s">
        <v>10617</v>
      </c>
      <c r="AE2173" s="83" t="str">
        <f>HYPERLINK("https://twitter.com/sindpdce/status/1671986663180861441")</f>
        <v>https://twitter.com/sindpdce/status/1671986663180861441</v>
      </c>
      <c r="AF2173" s="79">
        <v>45099.87568287037</v>
      </c>
      <c r="AG2173" s="85">
        <v>45099</v>
      </c>
      <c r="AH2173" s="80" t="s">
        <v>12550</v>
      </c>
      <c r="AI2173" s="77" t="b">
        <v>0</v>
      </c>
      <c r="AJ2173" s="77"/>
      <c r="AK2173" s="77"/>
      <c r="AL2173" s="77"/>
      <c r="AM2173" s="77"/>
      <c r="AN2173" s="77"/>
      <c r="AO2173" s="77"/>
      <c r="AP2173" s="77"/>
      <c r="AQ2173" s="77" t="s">
        <v>15134</v>
      </c>
      <c r="AR2173" s="77"/>
      <c r="AS2173" s="77"/>
      <c r="AT2173" s="77"/>
      <c r="AU2173" s="77"/>
      <c r="AV2173" s="83" t="str">
        <f>HYPERLINK("https://pbs.twimg.com/media/FzQXAo1WIAQ2VUw.jpg")</f>
        <v>https://pbs.twimg.com/media/FzQXAo1WIAQ2VUw.jpg</v>
      </c>
      <c r="AW2173" s="80" t="s">
        <v>18012</v>
      </c>
      <c r="AX2173" s="80" t="s">
        <v>18012</v>
      </c>
      <c r="AY2173" s="77"/>
      <c r="AZ2173" s="80" t="s">
        <v>20380</v>
      </c>
      <c r="BA2173" s="80" t="s">
        <v>20380</v>
      </c>
      <c r="BB2173" s="80" t="s">
        <v>20380</v>
      </c>
      <c r="BC2173" s="80" t="s">
        <v>18012</v>
      </c>
      <c r="BD2173" s="77">
        <v>85865113</v>
      </c>
      <c r="BE2173" s="77"/>
      <c r="BF2173" s="77"/>
      <c r="BG2173" s="77"/>
      <c r="BH2173" s="77"/>
      <c r="BI2173" s="77"/>
    </row>
    <row r="2174" spans="1:61" x14ac:dyDescent="0.25">
      <c r="A2174" s="62" t="s">
        <v>901</v>
      </c>
      <c r="B2174" s="62" t="s">
        <v>1906</v>
      </c>
      <c r="C2174" s="63"/>
      <c r="D2174" s="64"/>
      <c r="E2174" s="65"/>
      <c r="F2174" s="66"/>
      <c r="G2174" s="63"/>
      <c r="H2174" s="67"/>
      <c r="I2174" s="68"/>
      <c r="J2174" s="68"/>
      <c r="K2174" s="32"/>
      <c r="L2174" s="75">
        <v>2174</v>
      </c>
      <c r="M2174" s="75"/>
      <c r="N2174" s="70"/>
      <c r="O2174" s="77" t="s">
        <v>2081</v>
      </c>
      <c r="P2174" s="79">
        <v>45077.638055555559</v>
      </c>
      <c r="Q2174" s="77" t="s">
        <v>4027</v>
      </c>
      <c r="R2174" s="77">
        <v>0</v>
      </c>
      <c r="S2174" s="77">
        <v>0</v>
      </c>
      <c r="T2174" s="77">
        <v>0</v>
      </c>
      <c r="U2174" s="77">
        <v>0</v>
      </c>
      <c r="V2174" s="77">
        <v>27</v>
      </c>
      <c r="W2174" s="80" t="s">
        <v>6131</v>
      </c>
      <c r="X2174" s="83" t="str">
        <f>HYPERLINK("https://youtube.com/shorts/xv_yK5bb4Ko?feature=share")</f>
        <v>https://youtube.com/shorts/xv_yK5bb4Ko?feature=share</v>
      </c>
      <c r="Y2174" s="77" t="s">
        <v>8612</v>
      </c>
      <c r="Z2174" s="77" t="s">
        <v>8971</v>
      </c>
      <c r="AA2174" s="77"/>
      <c r="AB2174" s="77"/>
      <c r="AC2174" s="80" t="s">
        <v>10542</v>
      </c>
      <c r="AD2174" s="77" t="s">
        <v>10617</v>
      </c>
      <c r="AE2174" s="83" t="str">
        <f>HYPERLINK("https://twitter.com/hiltonboss90841/status/1663928019201695748")</f>
        <v>https://twitter.com/hiltonboss90841/status/1663928019201695748</v>
      </c>
      <c r="AF2174" s="79">
        <v>45077.638055555559</v>
      </c>
      <c r="AG2174" s="85">
        <v>45077</v>
      </c>
      <c r="AH2174" s="80" t="s">
        <v>11247</v>
      </c>
      <c r="AI2174" s="77" t="b">
        <v>0</v>
      </c>
      <c r="AJ2174" s="77" t="s">
        <v>14361</v>
      </c>
      <c r="AK2174" s="77" t="s">
        <v>14382</v>
      </c>
      <c r="AL2174" s="77" t="s">
        <v>14391</v>
      </c>
      <c r="AM2174" s="77" t="s">
        <v>14418</v>
      </c>
      <c r="AN2174" s="77" t="s">
        <v>14458</v>
      </c>
      <c r="AO2174" s="77" t="s">
        <v>14497</v>
      </c>
      <c r="AP2174" s="77" t="s">
        <v>14516</v>
      </c>
      <c r="AQ2174" s="77"/>
      <c r="AR2174" s="77"/>
      <c r="AS2174" s="77"/>
      <c r="AT2174" s="77"/>
      <c r="AU2174" s="77"/>
      <c r="AV2174" s="83" t="str">
        <f>HYPERLINK("https://pbs.twimg.com/profile_images/1656338467096330241/us9nGBbn_normal.jpg")</f>
        <v>https://pbs.twimg.com/profile_images/1656338467096330241/us9nGBbn_normal.jpg</v>
      </c>
      <c r="AW2174" s="80" t="s">
        <v>18013</v>
      </c>
      <c r="AX2174" s="80" t="s">
        <v>18013</v>
      </c>
      <c r="AY2174" s="77"/>
      <c r="AZ2174" s="80" t="s">
        <v>20380</v>
      </c>
      <c r="BA2174" s="80" t="s">
        <v>20380</v>
      </c>
      <c r="BB2174" s="80" t="s">
        <v>20380</v>
      </c>
      <c r="BC2174" s="80" t="s">
        <v>18013</v>
      </c>
      <c r="BD2174" s="80" t="s">
        <v>20819</v>
      </c>
      <c r="BE2174" s="77"/>
      <c r="BF2174" s="77"/>
      <c r="BG2174" s="77"/>
      <c r="BH2174" s="77"/>
      <c r="BI2174" s="77"/>
    </row>
    <row r="2175" spans="1:61" x14ac:dyDescent="0.25">
      <c r="A2175" s="62" t="s">
        <v>901</v>
      </c>
      <c r="B2175" s="62" t="s">
        <v>1906</v>
      </c>
      <c r="C2175" s="63"/>
      <c r="D2175" s="64"/>
      <c r="E2175" s="65"/>
      <c r="F2175" s="66"/>
      <c r="G2175" s="63"/>
      <c r="H2175" s="67"/>
      <c r="I2175" s="68"/>
      <c r="J2175" s="68"/>
      <c r="K2175" s="32"/>
      <c r="L2175" s="75">
        <v>2175</v>
      </c>
      <c r="M2175" s="75"/>
      <c r="N2175" s="70"/>
      <c r="O2175" s="77" t="s">
        <v>2081</v>
      </c>
      <c r="P2175" s="79">
        <v>45140.662662037037</v>
      </c>
      <c r="Q2175" s="77" t="s">
        <v>4028</v>
      </c>
      <c r="R2175" s="77">
        <v>0</v>
      </c>
      <c r="S2175" s="77">
        <v>0</v>
      </c>
      <c r="T2175" s="77">
        <v>0</v>
      </c>
      <c r="U2175" s="77">
        <v>0</v>
      </c>
      <c r="V2175" s="77">
        <v>37</v>
      </c>
      <c r="W2175" s="80" t="s">
        <v>7286</v>
      </c>
      <c r="X2175" s="83" t="str">
        <f>HYPERLINK("https://youtube.com/shorts/uFZqfZ55wQ0?feature=share")</f>
        <v>https://youtube.com/shorts/uFZqfZ55wQ0?feature=share</v>
      </c>
      <c r="Y2175" s="77" t="s">
        <v>8612</v>
      </c>
      <c r="Z2175" s="77" t="s">
        <v>1906</v>
      </c>
      <c r="AA2175" s="77"/>
      <c r="AB2175" s="77"/>
      <c r="AC2175" s="80" t="s">
        <v>10542</v>
      </c>
      <c r="AD2175" s="77" t="s">
        <v>10617</v>
      </c>
      <c r="AE2175" s="83" t="str">
        <f>HYPERLINK("https://twitter.com/hiltonboss90841/status/1686767371728343041")</f>
        <v>https://twitter.com/hiltonboss90841/status/1686767371728343041</v>
      </c>
      <c r="AF2175" s="79">
        <v>45140.662662037037</v>
      </c>
      <c r="AG2175" s="85">
        <v>45140</v>
      </c>
      <c r="AH2175" s="80" t="s">
        <v>12551</v>
      </c>
      <c r="AI2175" s="77" t="b">
        <v>0</v>
      </c>
      <c r="AJ2175" s="77"/>
      <c r="AK2175" s="77"/>
      <c r="AL2175" s="77"/>
      <c r="AM2175" s="77"/>
      <c r="AN2175" s="77"/>
      <c r="AO2175" s="77"/>
      <c r="AP2175" s="77"/>
      <c r="AQ2175" s="77"/>
      <c r="AR2175" s="77"/>
      <c r="AS2175" s="77"/>
      <c r="AT2175" s="77"/>
      <c r="AU2175" s="77"/>
      <c r="AV2175" s="83" t="str">
        <f>HYPERLINK("https://pbs.twimg.com/profile_images/1656338467096330241/us9nGBbn_normal.jpg")</f>
        <v>https://pbs.twimg.com/profile_images/1656338467096330241/us9nGBbn_normal.jpg</v>
      </c>
      <c r="AW2175" s="80" t="s">
        <v>18014</v>
      </c>
      <c r="AX2175" s="80" t="s">
        <v>18014</v>
      </c>
      <c r="AY2175" s="77"/>
      <c r="AZ2175" s="80" t="s">
        <v>20380</v>
      </c>
      <c r="BA2175" s="80" t="s">
        <v>20380</v>
      </c>
      <c r="BB2175" s="80" t="s">
        <v>20380</v>
      </c>
      <c r="BC2175" s="80" t="s">
        <v>18014</v>
      </c>
      <c r="BD2175" s="80" t="s">
        <v>20819</v>
      </c>
      <c r="BE2175" s="77"/>
      <c r="BF2175" s="77"/>
      <c r="BG2175" s="77"/>
      <c r="BH2175" s="77"/>
      <c r="BI2175" s="77"/>
    </row>
    <row r="2176" spans="1:61" x14ac:dyDescent="0.25">
      <c r="A2176" s="62" t="s">
        <v>901</v>
      </c>
      <c r="B2176" s="62" t="s">
        <v>1827</v>
      </c>
      <c r="C2176" s="63"/>
      <c r="D2176" s="64"/>
      <c r="E2176" s="65"/>
      <c r="F2176" s="66"/>
      <c r="G2176" s="63"/>
      <c r="H2176" s="67"/>
      <c r="I2176" s="68"/>
      <c r="J2176" s="68"/>
      <c r="K2176" s="32"/>
      <c r="L2176" s="75">
        <v>2176</v>
      </c>
      <c r="M2176" s="75"/>
      <c r="N2176" s="70"/>
      <c r="O2176" s="77" t="s">
        <v>2081</v>
      </c>
      <c r="P2176" s="79">
        <v>45077.638055555559</v>
      </c>
      <c r="Q2176" s="77" t="s">
        <v>4027</v>
      </c>
      <c r="R2176" s="77">
        <v>0</v>
      </c>
      <c r="S2176" s="77">
        <v>0</v>
      </c>
      <c r="T2176" s="77">
        <v>0</v>
      </c>
      <c r="U2176" s="77">
        <v>0</v>
      </c>
      <c r="V2176" s="77">
        <v>27</v>
      </c>
      <c r="W2176" s="80" t="s">
        <v>6131</v>
      </c>
      <c r="X2176" s="83" t="str">
        <f>HYPERLINK("https://youtube.com/shorts/xv_yK5bb4Ko?feature=share")</f>
        <v>https://youtube.com/shorts/xv_yK5bb4Ko?feature=share</v>
      </c>
      <c r="Y2176" s="77" t="s">
        <v>8612</v>
      </c>
      <c r="Z2176" s="77" t="s">
        <v>8971</v>
      </c>
      <c r="AA2176" s="77"/>
      <c r="AB2176" s="77"/>
      <c r="AC2176" s="80" t="s">
        <v>10542</v>
      </c>
      <c r="AD2176" s="77" t="s">
        <v>10617</v>
      </c>
      <c r="AE2176" s="83" t="str">
        <f>HYPERLINK("https://twitter.com/hiltonboss90841/status/1663928019201695748")</f>
        <v>https://twitter.com/hiltonboss90841/status/1663928019201695748</v>
      </c>
      <c r="AF2176" s="79">
        <v>45077.638055555559</v>
      </c>
      <c r="AG2176" s="85">
        <v>45077</v>
      </c>
      <c r="AH2176" s="80" t="s">
        <v>11247</v>
      </c>
      <c r="AI2176" s="77" t="b">
        <v>0</v>
      </c>
      <c r="AJ2176" s="77" t="s">
        <v>14361</v>
      </c>
      <c r="AK2176" s="77" t="s">
        <v>14382</v>
      </c>
      <c r="AL2176" s="77" t="s">
        <v>14391</v>
      </c>
      <c r="AM2176" s="77" t="s">
        <v>14418</v>
      </c>
      <c r="AN2176" s="77" t="s">
        <v>14458</v>
      </c>
      <c r="AO2176" s="77" t="s">
        <v>14497</v>
      </c>
      <c r="AP2176" s="77" t="s">
        <v>14516</v>
      </c>
      <c r="AQ2176" s="77"/>
      <c r="AR2176" s="77"/>
      <c r="AS2176" s="77"/>
      <c r="AT2176" s="77"/>
      <c r="AU2176" s="77"/>
      <c r="AV2176" s="83" t="str">
        <f>HYPERLINK("https://pbs.twimg.com/profile_images/1656338467096330241/us9nGBbn_normal.jpg")</f>
        <v>https://pbs.twimg.com/profile_images/1656338467096330241/us9nGBbn_normal.jpg</v>
      </c>
      <c r="AW2176" s="80" t="s">
        <v>18013</v>
      </c>
      <c r="AX2176" s="80" t="s">
        <v>18013</v>
      </c>
      <c r="AY2176" s="77"/>
      <c r="AZ2176" s="80" t="s">
        <v>20380</v>
      </c>
      <c r="BA2176" s="80" t="s">
        <v>20380</v>
      </c>
      <c r="BB2176" s="80" t="s">
        <v>20380</v>
      </c>
      <c r="BC2176" s="80" t="s">
        <v>18013</v>
      </c>
      <c r="BD2176" s="80" t="s">
        <v>20819</v>
      </c>
      <c r="BE2176" s="77"/>
      <c r="BF2176" s="77"/>
      <c r="BG2176" s="77"/>
      <c r="BH2176" s="77"/>
      <c r="BI2176" s="77"/>
    </row>
    <row r="2177" spans="1:61" x14ac:dyDescent="0.25">
      <c r="A2177" s="62" t="s">
        <v>902</v>
      </c>
      <c r="B2177" s="62" t="s">
        <v>1596</v>
      </c>
      <c r="C2177" s="63"/>
      <c r="D2177" s="64"/>
      <c r="E2177" s="65"/>
      <c r="F2177" s="66"/>
      <c r="G2177" s="63"/>
      <c r="H2177" s="67"/>
      <c r="I2177" s="68"/>
      <c r="J2177" s="68"/>
      <c r="K2177" s="32"/>
      <c r="L2177" s="75">
        <v>2177</v>
      </c>
      <c r="M2177" s="75"/>
      <c r="N2177" s="70"/>
      <c r="O2177" s="77" t="s">
        <v>2081</v>
      </c>
      <c r="P2177" s="79">
        <v>45056.538865740738</v>
      </c>
      <c r="Q2177" s="77" t="s">
        <v>4029</v>
      </c>
      <c r="R2177" s="77">
        <v>0</v>
      </c>
      <c r="S2177" s="77">
        <v>0</v>
      </c>
      <c r="T2177" s="77">
        <v>0</v>
      </c>
      <c r="U2177" s="77">
        <v>0</v>
      </c>
      <c r="V2177" s="77">
        <v>5</v>
      </c>
      <c r="W2177" s="80" t="s">
        <v>6008</v>
      </c>
      <c r="X2177" s="83" t="str">
        <f>HYPERLINK("https://www.bcb.gov.br/detalhenoticia/681/noticia")</f>
        <v>https://www.bcb.gov.br/detalhenoticia/681/noticia</v>
      </c>
      <c r="Y2177" s="77" t="s">
        <v>8633</v>
      </c>
      <c r="Z2177" s="77" t="s">
        <v>1596</v>
      </c>
      <c r="AA2177" s="77"/>
      <c r="AB2177" s="77"/>
      <c r="AC2177" s="80" t="s">
        <v>10540</v>
      </c>
      <c r="AD2177" s="77" t="s">
        <v>10617</v>
      </c>
      <c r="AE2177" s="83" t="str">
        <f>HYPERLINK("https://twitter.com/davijeanmonod/status/1656281927781867526")</f>
        <v>https://twitter.com/davijeanmonod/status/1656281927781867526</v>
      </c>
      <c r="AF2177" s="79">
        <v>45056.538865740738</v>
      </c>
      <c r="AG2177" s="85">
        <v>45056</v>
      </c>
      <c r="AH2177" s="80" t="s">
        <v>12552</v>
      </c>
      <c r="AI2177" s="77" t="b">
        <v>0</v>
      </c>
      <c r="AJ2177" s="77"/>
      <c r="AK2177" s="77"/>
      <c r="AL2177" s="77"/>
      <c r="AM2177" s="77"/>
      <c r="AN2177" s="77"/>
      <c r="AO2177" s="77"/>
      <c r="AP2177" s="77"/>
      <c r="AQ2177" s="77"/>
      <c r="AR2177" s="77"/>
      <c r="AS2177" s="77"/>
      <c r="AT2177" s="77"/>
      <c r="AU2177" s="77"/>
      <c r="AV2177" s="83" t="str">
        <f>HYPERLINK("https://pbs.twimg.com/profile_images/1597726002054045701/ogRmqYRb_normal.png")</f>
        <v>https://pbs.twimg.com/profile_images/1597726002054045701/ogRmqYRb_normal.png</v>
      </c>
      <c r="AW2177" s="80" t="s">
        <v>18015</v>
      </c>
      <c r="AX2177" s="80" t="s">
        <v>18015</v>
      </c>
      <c r="AY2177" s="77"/>
      <c r="AZ2177" s="80" t="s">
        <v>20380</v>
      </c>
      <c r="BA2177" s="80" t="s">
        <v>20380</v>
      </c>
      <c r="BB2177" s="80" t="s">
        <v>20380</v>
      </c>
      <c r="BC2177" s="80" t="s">
        <v>18015</v>
      </c>
      <c r="BD2177" s="80" t="s">
        <v>20820</v>
      </c>
      <c r="BE2177" s="77"/>
      <c r="BF2177" s="77"/>
      <c r="BG2177" s="77"/>
      <c r="BH2177" s="77"/>
      <c r="BI2177" s="77"/>
    </row>
    <row r="2178" spans="1:61" x14ac:dyDescent="0.25">
      <c r="A2178" s="62" t="s">
        <v>903</v>
      </c>
      <c r="B2178" s="62" t="s">
        <v>1747</v>
      </c>
      <c r="C2178" s="63"/>
      <c r="D2178" s="64"/>
      <c r="E2178" s="65"/>
      <c r="F2178" s="66"/>
      <c r="G2178" s="63"/>
      <c r="H2178" s="67"/>
      <c r="I2178" s="68"/>
      <c r="J2178" s="68"/>
      <c r="K2178" s="32"/>
      <c r="L2178" s="75">
        <v>2178</v>
      </c>
      <c r="M2178" s="75"/>
      <c r="N2178" s="70"/>
      <c r="O2178" s="77" t="s">
        <v>2078</v>
      </c>
      <c r="P2178" s="79">
        <v>45164.850486111114</v>
      </c>
      <c r="Q2178" s="77" t="s">
        <v>4030</v>
      </c>
      <c r="R2178" s="77">
        <v>0</v>
      </c>
      <c r="S2178" s="77">
        <v>0</v>
      </c>
      <c r="T2178" s="77">
        <v>0</v>
      </c>
      <c r="U2178" s="77">
        <v>0</v>
      </c>
      <c r="V2178" s="77">
        <v>37</v>
      </c>
      <c r="W2178" s="80" t="s">
        <v>7121</v>
      </c>
      <c r="X2178" s="77"/>
      <c r="Y2178" s="77"/>
      <c r="Z2178" s="77" t="s">
        <v>1747</v>
      </c>
      <c r="AA2178" s="77"/>
      <c r="AB2178" s="77"/>
      <c r="AC2178" s="80" t="s">
        <v>10542</v>
      </c>
      <c r="AD2178" s="77" t="s">
        <v>10617</v>
      </c>
      <c r="AE2178" s="83" t="str">
        <f>HYPERLINK("https://twitter.com/duelopregao/status/1695532745806495871")</f>
        <v>https://twitter.com/duelopregao/status/1695532745806495871</v>
      </c>
      <c r="AF2178" s="79">
        <v>45164.850486111114</v>
      </c>
      <c r="AG2178" s="85">
        <v>45164</v>
      </c>
      <c r="AH2178" s="80" t="s">
        <v>12553</v>
      </c>
      <c r="AI2178" s="77"/>
      <c r="AJ2178" s="77"/>
      <c r="AK2178" s="77"/>
      <c r="AL2178" s="77"/>
      <c r="AM2178" s="77"/>
      <c r="AN2178" s="77"/>
      <c r="AO2178" s="77"/>
      <c r="AP2178" s="77"/>
      <c r="AQ2178" s="77"/>
      <c r="AR2178" s="77"/>
      <c r="AS2178" s="77"/>
      <c r="AT2178" s="77"/>
      <c r="AU2178" s="77"/>
      <c r="AV2178" s="83" t="str">
        <f>HYPERLINK("https://pbs.twimg.com/profile_images/1691240381550075905/Pw1IqC8y_normal.jpg")</f>
        <v>https://pbs.twimg.com/profile_images/1691240381550075905/Pw1IqC8y_normal.jpg</v>
      </c>
      <c r="AW2178" s="80" t="s">
        <v>18016</v>
      </c>
      <c r="AX2178" s="80" t="s">
        <v>20043</v>
      </c>
      <c r="AY2178" s="80" t="s">
        <v>20235</v>
      </c>
      <c r="AZ2178" s="80" t="s">
        <v>20043</v>
      </c>
      <c r="BA2178" s="80" t="s">
        <v>20380</v>
      </c>
      <c r="BB2178" s="80" t="s">
        <v>20380</v>
      </c>
      <c r="BC2178" s="80" t="s">
        <v>20043</v>
      </c>
      <c r="BD2178" s="80" t="s">
        <v>20821</v>
      </c>
      <c r="BE2178" s="77"/>
      <c r="BF2178" s="77"/>
      <c r="BG2178" s="77"/>
      <c r="BH2178" s="77"/>
      <c r="BI2178" s="77"/>
    </row>
    <row r="2179" spans="1:61" x14ac:dyDescent="0.25">
      <c r="A2179" s="62" t="s">
        <v>903</v>
      </c>
      <c r="B2179" s="62" t="s">
        <v>1907</v>
      </c>
      <c r="C2179" s="63"/>
      <c r="D2179" s="64"/>
      <c r="E2179" s="65"/>
      <c r="F2179" s="66"/>
      <c r="G2179" s="63"/>
      <c r="H2179" s="67"/>
      <c r="I2179" s="68"/>
      <c r="J2179" s="68"/>
      <c r="K2179" s="32"/>
      <c r="L2179" s="75">
        <v>2179</v>
      </c>
      <c r="M2179" s="75"/>
      <c r="N2179" s="70"/>
      <c r="O2179" s="77" t="s">
        <v>2078</v>
      </c>
      <c r="P2179" s="79">
        <v>45164.848981481482</v>
      </c>
      <c r="Q2179" s="77" t="s">
        <v>4031</v>
      </c>
      <c r="R2179" s="77">
        <v>0</v>
      </c>
      <c r="S2179" s="77">
        <v>0</v>
      </c>
      <c r="T2179" s="77">
        <v>0</v>
      </c>
      <c r="U2179" s="77">
        <v>0</v>
      </c>
      <c r="V2179" s="77">
        <v>54</v>
      </c>
      <c r="W2179" s="80" t="s">
        <v>7121</v>
      </c>
      <c r="X2179" s="77"/>
      <c r="Y2179" s="77"/>
      <c r="Z2179" s="77" t="s">
        <v>1907</v>
      </c>
      <c r="AA2179" s="77"/>
      <c r="AB2179" s="77"/>
      <c r="AC2179" s="80" t="s">
        <v>10542</v>
      </c>
      <c r="AD2179" s="77" t="s">
        <v>10617</v>
      </c>
      <c r="AE2179" s="83" t="str">
        <f>HYPERLINK("https://twitter.com/duelopregao/status/1695532201427755239")</f>
        <v>https://twitter.com/duelopregao/status/1695532201427755239</v>
      </c>
      <c r="AF2179" s="79">
        <v>45164.848981481482</v>
      </c>
      <c r="AG2179" s="85">
        <v>45164</v>
      </c>
      <c r="AH2179" s="80" t="s">
        <v>12554</v>
      </c>
      <c r="AI2179" s="77"/>
      <c r="AJ2179" s="77"/>
      <c r="AK2179" s="77"/>
      <c r="AL2179" s="77"/>
      <c r="AM2179" s="77"/>
      <c r="AN2179" s="77"/>
      <c r="AO2179" s="77"/>
      <c r="AP2179" s="77"/>
      <c r="AQ2179" s="77"/>
      <c r="AR2179" s="77"/>
      <c r="AS2179" s="77"/>
      <c r="AT2179" s="77"/>
      <c r="AU2179" s="77"/>
      <c r="AV2179" s="83" t="str">
        <f>HYPERLINK("https://pbs.twimg.com/profile_images/1691240381550075905/Pw1IqC8y_normal.jpg")</f>
        <v>https://pbs.twimg.com/profile_images/1691240381550075905/Pw1IqC8y_normal.jpg</v>
      </c>
      <c r="AW2179" s="80" t="s">
        <v>18017</v>
      </c>
      <c r="AX2179" s="80" t="s">
        <v>20044</v>
      </c>
      <c r="AY2179" s="80" t="s">
        <v>20295</v>
      </c>
      <c r="AZ2179" s="80" t="s">
        <v>20044</v>
      </c>
      <c r="BA2179" s="80" t="s">
        <v>20380</v>
      </c>
      <c r="BB2179" s="80" t="s">
        <v>20380</v>
      </c>
      <c r="BC2179" s="80" t="s">
        <v>20044</v>
      </c>
      <c r="BD2179" s="80" t="s">
        <v>20821</v>
      </c>
      <c r="BE2179" s="77"/>
      <c r="BF2179" s="77"/>
      <c r="BG2179" s="77"/>
      <c r="BH2179" s="77"/>
      <c r="BI2179" s="77"/>
    </row>
    <row r="2180" spans="1:61" x14ac:dyDescent="0.25">
      <c r="A2180" s="62" t="s">
        <v>903</v>
      </c>
      <c r="B2180" s="62" t="s">
        <v>1908</v>
      </c>
      <c r="C2180" s="63"/>
      <c r="D2180" s="64"/>
      <c r="E2180" s="65"/>
      <c r="F2180" s="66"/>
      <c r="G2180" s="63"/>
      <c r="H2180" s="67"/>
      <c r="I2180" s="68"/>
      <c r="J2180" s="68"/>
      <c r="K2180" s="32"/>
      <c r="L2180" s="75">
        <v>2180</v>
      </c>
      <c r="M2180" s="75"/>
      <c r="N2180" s="70"/>
      <c r="O2180" s="77" t="s">
        <v>2078</v>
      </c>
      <c r="P2180" s="79">
        <v>45164.85083333333</v>
      </c>
      <c r="Q2180" s="77" t="s">
        <v>4032</v>
      </c>
      <c r="R2180" s="77">
        <v>0</v>
      </c>
      <c r="S2180" s="77">
        <v>0</v>
      </c>
      <c r="T2180" s="77">
        <v>1</v>
      </c>
      <c r="U2180" s="77">
        <v>0</v>
      </c>
      <c r="V2180" s="77">
        <v>26</v>
      </c>
      <c r="W2180" s="80" t="s">
        <v>7121</v>
      </c>
      <c r="X2180" s="77"/>
      <c r="Y2180" s="77"/>
      <c r="Z2180" s="77" t="s">
        <v>1908</v>
      </c>
      <c r="AA2180" s="77"/>
      <c r="AB2180" s="77"/>
      <c r="AC2180" s="80" t="s">
        <v>10542</v>
      </c>
      <c r="AD2180" s="77" t="s">
        <v>10617</v>
      </c>
      <c r="AE2180" s="83" t="str">
        <f>HYPERLINK("https://twitter.com/duelopregao/status/1695532871182606820")</f>
        <v>https://twitter.com/duelopregao/status/1695532871182606820</v>
      </c>
      <c r="AF2180" s="79">
        <v>45164.85083333333</v>
      </c>
      <c r="AG2180" s="85">
        <v>45164</v>
      </c>
      <c r="AH2180" s="80" t="s">
        <v>12555</v>
      </c>
      <c r="AI2180" s="77"/>
      <c r="AJ2180" s="77"/>
      <c r="AK2180" s="77"/>
      <c r="AL2180" s="77"/>
      <c r="AM2180" s="77"/>
      <c r="AN2180" s="77"/>
      <c r="AO2180" s="77"/>
      <c r="AP2180" s="77"/>
      <c r="AQ2180" s="77"/>
      <c r="AR2180" s="77"/>
      <c r="AS2180" s="77"/>
      <c r="AT2180" s="77"/>
      <c r="AU2180" s="77"/>
      <c r="AV2180" s="83" t="str">
        <f>HYPERLINK("https://pbs.twimg.com/profile_images/1691240381550075905/Pw1IqC8y_normal.jpg")</f>
        <v>https://pbs.twimg.com/profile_images/1691240381550075905/Pw1IqC8y_normal.jpg</v>
      </c>
      <c r="AW2180" s="80" t="s">
        <v>18018</v>
      </c>
      <c r="AX2180" s="80" t="s">
        <v>20045</v>
      </c>
      <c r="AY2180" s="80" t="s">
        <v>20296</v>
      </c>
      <c r="AZ2180" s="80" t="s">
        <v>20045</v>
      </c>
      <c r="BA2180" s="80" t="s">
        <v>20380</v>
      </c>
      <c r="BB2180" s="80" t="s">
        <v>20380</v>
      </c>
      <c r="BC2180" s="80" t="s">
        <v>20045</v>
      </c>
      <c r="BD2180" s="80" t="s">
        <v>20821</v>
      </c>
      <c r="BE2180" s="77"/>
      <c r="BF2180" s="77"/>
      <c r="BG2180" s="77"/>
      <c r="BH2180" s="77"/>
      <c r="BI2180" s="77"/>
    </row>
    <row r="2181" spans="1:61" x14ac:dyDescent="0.25">
      <c r="A2181" s="62" t="s">
        <v>903</v>
      </c>
      <c r="B2181" s="62" t="s">
        <v>903</v>
      </c>
      <c r="C2181" s="63"/>
      <c r="D2181" s="64"/>
      <c r="E2181" s="65"/>
      <c r="F2181" s="66"/>
      <c r="G2181" s="63"/>
      <c r="H2181" s="67"/>
      <c r="I2181" s="68"/>
      <c r="J2181" s="68"/>
      <c r="K2181" s="32"/>
      <c r="L2181" s="75">
        <v>2181</v>
      </c>
      <c r="M2181" s="75"/>
      <c r="N2181" s="70"/>
      <c r="O2181" s="77" t="s">
        <v>179</v>
      </c>
      <c r="P2181" s="79">
        <v>45164.847488425927</v>
      </c>
      <c r="Q2181" s="77" t="s">
        <v>4033</v>
      </c>
      <c r="R2181" s="77">
        <v>0</v>
      </c>
      <c r="S2181" s="77">
        <v>0</v>
      </c>
      <c r="T2181" s="77">
        <v>0</v>
      </c>
      <c r="U2181" s="77">
        <v>0</v>
      </c>
      <c r="V2181" s="77">
        <v>73</v>
      </c>
      <c r="W2181" s="80" t="s">
        <v>7121</v>
      </c>
      <c r="X2181" s="77"/>
      <c r="Y2181" s="77"/>
      <c r="Z2181" s="77"/>
      <c r="AA2181" s="77"/>
      <c r="AB2181" s="77"/>
      <c r="AC2181" s="80" t="s">
        <v>10542</v>
      </c>
      <c r="AD2181" s="77" t="s">
        <v>10617</v>
      </c>
      <c r="AE2181" s="83" t="str">
        <f>HYPERLINK("https://twitter.com/duelopregao/status/1695531659536335101")</f>
        <v>https://twitter.com/duelopregao/status/1695531659536335101</v>
      </c>
      <c r="AF2181" s="79">
        <v>45164.847488425927</v>
      </c>
      <c r="AG2181" s="85">
        <v>45164</v>
      </c>
      <c r="AH2181" s="80" t="s">
        <v>12556</v>
      </c>
      <c r="AI2181" s="77"/>
      <c r="AJ2181" s="77"/>
      <c r="AK2181" s="77"/>
      <c r="AL2181" s="77"/>
      <c r="AM2181" s="77"/>
      <c r="AN2181" s="77"/>
      <c r="AO2181" s="77"/>
      <c r="AP2181" s="77"/>
      <c r="AQ2181" s="77"/>
      <c r="AR2181" s="77"/>
      <c r="AS2181" s="77"/>
      <c r="AT2181" s="77"/>
      <c r="AU2181" s="77"/>
      <c r="AV2181" s="83" t="str">
        <f>HYPERLINK("https://pbs.twimg.com/profile_images/1691240381550075905/Pw1IqC8y_normal.jpg")</f>
        <v>https://pbs.twimg.com/profile_images/1691240381550075905/Pw1IqC8y_normal.jpg</v>
      </c>
      <c r="AW2181" s="80" t="s">
        <v>18019</v>
      </c>
      <c r="AX2181" s="80" t="s">
        <v>18019</v>
      </c>
      <c r="AY2181" s="77"/>
      <c r="AZ2181" s="80" t="s">
        <v>20380</v>
      </c>
      <c r="BA2181" s="80" t="s">
        <v>20380</v>
      </c>
      <c r="BB2181" s="80" t="s">
        <v>20380</v>
      </c>
      <c r="BC2181" s="80" t="s">
        <v>18019</v>
      </c>
      <c r="BD2181" s="80" t="s">
        <v>20821</v>
      </c>
      <c r="BE2181" s="77"/>
      <c r="BF2181" s="77"/>
      <c r="BG2181" s="77"/>
      <c r="BH2181" s="77"/>
      <c r="BI2181" s="77"/>
    </row>
    <row r="2182" spans="1:61" x14ac:dyDescent="0.25">
      <c r="A2182" s="62" t="s">
        <v>904</v>
      </c>
      <c r="B2182" s="62" t="s">
        <v>904</v>
      </c>
      <c r="C2182" s="63"/>
      <c r="D2182" s="64"/>
      <c r="E2182" s="65"/>
      <c r="F2182" s="66"/>
      <c r="G2182" s="63"/>
      <c r="H2182" s="67"/>
      <c r="I2182" s="68"/>
      <c r="J2182" s="68"/>
      <c r="K2182" s="32"/>
      <c r="L2182" s="75">
        <v>2182</v>
      </c>
      <c r="M2182" s="75"/>
      <c r="N2182" s="70"/>
      <c r="O2182" s="77" t="s">
        <v>179</v>
      </c>
      <c r="P2182" s="79">
        <v>45149.560891203706</v>
      </c>
      <c r="Q2182" s="77" t="s">
        <v>4034</v>
      </c>
      <c r="R2182" s="77">
        <v>0</v>
      </c>
      <c r="S2182" s="77">
        <v>1</v>
      </c>
      <c r="T2182" s="77">
        <v>0</v>
      </c>
      <c r="U2182" s="77">
        <v>0</v>
      </c>
      <c r="V2182" s="77">
        <v>78</v>
      </c>
      <c r="W2182" s="80" t="s">
        <v>7287</v>
      </c>
      <c r="X2182" s="77"/>
      <c r="Y2182" s="77"/>
      <c r="Z2182" s="77"/>
      <c r="AA2182" s="77" t="s">
        <v>9653</v>
      </c>
      <c r="AB2182" s="77" t="s">
        <v>10534</v>
      </c>
      <c r="AC2182" s="80" t="s">
        <v>10542</v>
      </c>
      <c r="AD2182" s="77" t="s">
        <v>10617</v>
      </c>
      <c r="AE2182" s="83" t="str">
        <f>HYPERLINK("https://twitter.com/oconvergente_/status/1689991982263738368")</f>
        <v>https://twitter.com/oconvergente_/status/1689991982263738368</v>
      </c>
      <c r="AF2182" s="79">
        <v>45149.560891203706</v>
      </c>
      <c r="AG2182" s="85">
        <v>45149</v>
      </c>
      <c r="AH2182" s="80" t="s">
        <v>12557</v>
      </c>
      <c r="AI2182" s="77" t="b">
        <v>0</v>
      </c>
      <c r="AJ2182" s="77"/>
      <c r="AK2182" s="77"/>
      <c r="AL2182" s="77"/>
      <c r="AM2182" s="77"/>
      <c r="AN2182" s="77"/>
      <c r="AO2182" s="77"/>
      <c r="AP2182" s="77"/>
      <c r="AQ2182" s="77" t="s">
        <v>15135</v>
      </c>
      <c r="AR2182" s="77">
        <v>61666</v>
      </c>
      <c r="AS2182" s="77"/>
      <c r="AT2182" s="77"/>
      <c r="AU2182" s="77"/>
      <c r="AV2182" s="83" t="str">
        <f>HYPERLINK("https://pbs.twimg.com/ext_tw_video_thumb/1689991865351696385/pu/img/qjo0Z8-1tqShO5mp.jpg")</f>
        <v>https://pbs.twimg.com/ext_tw_video_thumb/1689991865351696385/pu/img/qjo0Z8-1tqShO5mp.jpg</v>
      </c>
      <c r="AW2182" s="80" t="s">
        <v>18020</v>
      </c>
      <c r="AX2182" s="80" t="s">
        <v>18020</v>
      </c>
      <c r="AY2182" s="77"/>
      <c r="AZ2182" s="80" t="s">
        <v>20380</v>
      </c>
      <c r="BA2182" s="80" t="s">
        <v>20380</v>
      </c>
      <c r="BB2182" s="80" t="s">
        <v>20380</v>
      </c>
      <c r="BC2182" s="80" t="s">
        <v>18020</v>
      </c>
      <c r="BD2182" s="80" t="s">
        <v>20822</v>
      </c>
      <c r="BE2182" s="77"/>
      <c r="BF2182" s="77"/>
      <c r="BG2182" s="77"/>
      <c r="BH2182" s="77"/>
      <c r="BI2182" s="77"/>
    </row>
    <row r="2183" spans="1:61" x14ac:dyDescent="0.25">
      <c r="A2183" s="62" t="s">
        <v>905</v>
      </c>
      <c r="B2183" s="62" t="s">
        <v>905</v>
      </c>
      <c r="C2183" s="63"/>
      <c r="D2183" s="64"/>
      <c r="E2183" s="65"/>
      <c r="F2183" s="66"/>
      <c r="G2183" s="63"/>
      <c r="H2183" s="67"/>
      <c r="I2183" s="68"/>
      <c r="J2183" s="68"/>
      <c r="K2183" s="32"/>
      <c r="L2183" s="75">
        <v>2183</v>
      </c>
      <c r="M2183" s="75"/>
      <c r="N2183" s="70"/>
      <c r="O2183" s="77" t="s">
        <v>2078</v>
      </c>
      <c r="P2183" s="79">
        <v>45194.500983796293</v>
      </c>
      <c r="Q2183" s="77" t="s">
        <v>4035</v>
      </c>
      <c r="R2183" s="77">
        <v>0</v>
      </c>
      <c r="S2183" s="77">
        <v>0</v>
      </c>
      <c r="T2183" s="77">
        <v>0</v>
      </c>
      <c r="U2183" s="77">
        <v>0</v>
      </c>
      <c r="V2183" s="77">
        <v>43</v>
      </c>
      <c r="W2183" s="80" t="s">
        <v>7288</v>
      </c>
      <c r="X2183" s="77"/>
      <c r="Y2183" s="77"/>
      <c r="Z2183" s="77"/>
      <c r="AA2183" s="77"/>
      <c r="AB2183" s="77"/>
      <c r="AC2183" s="80" t="s">
        <v>10540</v>
      </c>
      <c r="AD2183" s="77" t="s">
        <v>10618</v>
      </c>
      <c r="AE2183" s="83" t="str">
        <f>HYPERLINK("https://twitter.com/jhonata0ficial/status/1706277727353901397")</f>
        <v>https://twitter.com/jhonata0ficial/status/1706277727353901397</v>
      </c>
      <c r="AF2183" s="79">
        <v>45194.500983796293</v>
      </c>
      <c r="AG2183" s="85">
        <v>45194</v>
      </c>
      <c r="AH2183" s="80" t="s">
        <v>12558</v>
      </c>
      <c r="AI2183" s="77"/>
      <c r="AJ2183" s="77"/>
      <c r="AK2183" s="77"/>
      <c r="AL2183" s="77"/>
      <c r="AM2183" s="77"/>
      <c r="AN2183" s="77"/>
      <c r="AO2183" s="77"/>
      <c r="AP2183" s="77"/>
      <c r="AQ2183" s="77"/>
      <c r="AR2183" s="77"/>
      <c r="AS2183" s="77"/>
      <c r="AT2183" s="77"/>
      <c r="AU2183" s="77"/>
      <c r="AV2183" s="83" t="str">
        <f>HYPERLINK("https://pbs.twimg.com/profile_images/1551318165308821504/fW0At9te_normal.jpg")</f>
        <v>https://pbs.twimg.com/profile_images/1551318165308821504/fW0At9te_normal.jpg</v>
      </c>
      <c r="AW2183" s="80" t="s">
        <v>18021</v>
      </c>
      <c r="AX2183" s="80" t="s">
        <v>20046</v>
      </c>
      <c r="AY2183" s="80" t="s">
        <v>20297</v>
      </c>
      <c r="AZ2183" s="80" t="s">
        <v>20046</v>
      </c>
      <c r="BA2183" s="80" t="s">
        <v>20380</v>
      </c>
      <c r="BB2183" s="80" t="s">
        <v>20380</v>
      </c>
      <c r="BC2183" s="80" t="s">
        <v>20046</v>
      </c>
      <c r="BD2183" s="80" t="s">
        <v>20297</v>
      </c>
      <c r="BE2183" s="77"/>
      <c r="BF2183" s="77"/>
      <c r="BG2183" s="77"/>
      <c r="BH2183" s="77"/>
      <c r="BI2183" s="77"/>
    </row>
    <row r="2184" spans="1:61" x14ac:dyDescent="0.25">
      <c r="A2184" s="62" t="s">
        <v>906</v>
      </c>
      <c r="B2184" s="62" t="s">
        <v>1681</v>
      </c>
      <c r="C2184" s="63"/>
      <c r="D2184" s="64"/>
      <c r="E2184" s="65"/>
      <c r="F2184" s="66"/>
      <c r="G2184" s="63"/>
      <c r="H2184" s="67"/>
      <c r="I2184" s="68"/>
      <c r="J2184" s="68"/>
      <c r="K2184" s="32"/>
      <c r="L2184" s="75">
        <v>2184</v>
      </c>
      <c r="M2184" s="75"/>
      <c r="N2184" s="70"/>
      <c r="O2184" s="77" t="s">
        <v>2083</v>
      </c>
      <c r="P2184" s="79">
        <v>45190.512858796297</v>
      </c>
      <c r="Q2184" s="77" t="s">
        <v>2237</v>
      </c>
      <c r="R2184" s="77">
        <v>18</v>
      </c>
      <c r="S2184" s="77">
        <v>0</v>
      </c>
      <c r="T2184" s="77">
        <v>0</v>
      </c>
      <c r="U2184" s="77">
        <v>0</v>
      </c>
      <c r="V2184" s="77"/>
      <c r="W2184" s="80" t="s">
        <v>6018</v>
      </c>
      <c r="X2184" s="77"/>
      <c r="Y2184" s="77"/>
      <c r="Z2184" s="77" t="s">
        <v>1681</v>
      </c>
      <c r="AA2184" s="77"/>
      <c r="AB2184" s="77"/>
      <c r="AC2184" s="80" t="s">
        <v>10540</v>
      </c>
      <c r="AD2184" s="77" t="s">
        <v>10617</v>
      </c>
      <c r="AE2184" s="83" t="str">
        <f>HYPERLINK("https://twitter.com/felixvaloes/status/1704832476466549227")</f>
        <v>https://twitter.com/felixvaloes/status/1704832476466549227</v>
      </c>
      <c r="AF2184" s="79">
        <v>45190.512858796297</v>
      </c>
      <c r="AG2184" s="85">
        <v>45190</v>
      </c>
      <c r="AH2184" s="80" t="s">
        <v>12559</v>
      </c>
      <c r="AI2184" s="77"/>
      <c r="AJ2184" s="77"/>
      <c r="AK2184" s="77"/>
      <c r="AL2184" s="77"/>
      <c r="AM2184" s="77"/>
      <c r="AN2184" s="77"/>
      <c r="AO2184" s="77"/>
      <c r="AP2184" s="77"/>
      <c r="AQ2184" s="77"/>
      <c r="AR2184" s="77"/>
      <c r="AS2184" s="77"/>
      <c r="AT2184" s="77"/>
      <c r="AU2184" s="77"/>
      <c r="AV2184" s="83" t="str">
        <f>HYPERLINK("https://abs.twimg.com/sticky/default_profile_images/default_profile_normal.png")</f>
        <v>https://abs.twimg.com/sticky/default_profile_images/default_profile_normal.png</v>
      </c>
      <c r="AW2184" s="80" t="s">
        <v>18022</v>
      </c>
      <c r="AX2184" s="80" t="s">
        <v>18022</v>
      </c>
      <c r="AY2184" s="77"/>
      <c r="AZ2184" s="80" t="s">
        <v>20380</v>
      </c>
      <c r="BA2184" s="80" t="s">
        <v>20380</v>
      </c>
      <c r="BB2184" s="80" t="s">
        <v>19932</v>
      </c>
      <c r="BC2184" s="80" t="s">
        <v>19932</v>
      </c>
      <c r="BD2184" s="80" t="s">
        <v>20823</v>
      </c>
      <c r="BE2184" s="77"/>
      <c r="BF2184" s="77"/>
      <c r="BG2184" s="77"/>
      <c r="BH2184" s="77"/>
      <c r="BI2184" s="77"/>
    </row>
    <row r="2185" spans="1:61" x14ac:dyDescent="0.25">
      <c r="A2185" s="62" t="s">
        <v>907</v>
      </c>
      <c r="B2185" s="62" t="s">
        <v>1006</v>
      </c>
      <c r="C2185" s="63"/>
      <c r="D2185" s="64"/>
      <c r="E2185" s="65"/>
      <c r="F2185" s="66"/>
      <c r="G2185" s="63"/>
      <c r="H2185" s="67"/>
      <c r="I2185" s="68"/>
      <c r="J2185" s="68"/>
      <c r="K2185" s="32"/>
      <c r="L2185" s="75">
        <v>2185</v>
      </c>
      <c r="M2185" s="75"/>
      <c r="N2185" s="70"/>
      <c r="O2185" s="77" t="s">
        <v>2085</v>
      </c>
      <c r="P2185" s="79">
        <v>45192.141701388886</v>
      </c>
      <c r="Q2185" s="77" t="s">
        <v>4036</v>
      </c>
      <c r="R2185" s="77">
        <v>3</v>
      </c>
      <c r="S2185" s="77">
        <v>0</v>
      </c>
      <c r="T2185" s="77">
        <v>0</v>
      </c>
      <c r="U2185" s="77">
        <v>0</v>
      </c>
      <c r="V2185" s="77"/>
      <c r="W2185" s="77"/>
      <c r="X2185" s="83" t="str">
        <f>HYPERLINK("https://www.baopina.com/2023/09/22/milei-en-parque-norte-la-locura-no-es-cerrar-el-banco-central-sino-tenerlo/")</f>
        <v>https://www.baopina.com/2023/09/22/milei-en-parque-norte-la-locura-no-es-cerrar-el-banco-central-sino-tenerlo/</v>
      </c>
      <c r="Y2185" s="77" t="s">
        <v>8770</v>
      </c>
      <c r="Z2185" s="77" t="s">
        <v>8972</v>
      </c>
      <c r="AA2185" s="77"/>
      <c r="AB2185" s="77"/>
      <c r="AC2185" s="80" t="s">
        <v>10541</v>
      </c>
      <c r="AD2185" s="77" t="s">
        <v>10620</v>
      </c>
      <c r="AE2185" s="83" t="str">
        <f>HYPERLINK("https://twitter.com/faccionlibre/status/1705422749458440414")</f>
        <v>https://twitter.com/faccionlibre/status/1705422749458440414</v>
      </c>
      <c r="AF2185" s="79">
        <v>45192.141701388886</v>
      </c>
      <c r="AG2185" s="85">
        <v>45192</v>
      </c>
      <c r="AH2185" s="80" t="s">
        <v>12560</v>
      </c>
      <c r="AI2185" s="77" t="b">
        <v>0</v>
      </c>
      <c r="AJ2185" s="77"/>
      <c r="AK2185" s="77"/>
      <c r="AL2185" s="77"/>
      <c r="AM2185" s="77"/>
      <c r="AN2185" s="77"/>
      <c r="AO2185" s="77"/>
      <c r="AP2185" s="77"/>
      <c r="AQ2185" s="77"/>
      <c r="AR2185" s="77"/>
      <c r="AS2185" s="77"/>
      <c r="AT2185" s="77"/>
      <c r="AU2185" s="77"/>
      <c r="AV2185" s="83" t="str">
        <f>HYPERLINK("https://pbs.twimg.com/profile_images/1528581743200161793/DxxTkzGr_normal.jpg")</f>
        <v>https://pbs.twimg.com/profile_images/1528581743200161793/DxxTkzGr_normal.jpg</v>
      </c>
      <c r="AW2185" s="80" t="s">
        <v>18023</v>
      </c>
      <c r="AX2185" s="80" t="s">
        <v>18023</v>
      </c>
      <c r="AY2185" s="77"/>
      <c r="AZ2185" s="80" t="s">
        <v>20380</v>
      </c>
      <c r="BA2185" s="80" t="s">
        <v>20380</v>
      </c>
      <c r="BB2185" s="80" t="s">
        <v>18232</v>
      </c>
      <c r="BC2185" s="80" t="s">
        <v>18232</v>
      </c>
      <c r="BD2185" s="80" t="s">
        <v>20824</v>
      </c>
      <c r="BE2185" s="77"/>
      <c r="BF2185" s="77"/>
      <c r="BG2185" s="77"/>
      <c r="BH2185" s="77"/>
      <c r="BI2185" s="77"/>
    </row>
    <row r="2186" spans="1:61" x14ac:dyDescent="0.25">
      <c r="A2186" s="62" t="s">
        <v>907</v>
      </c>
      <c r="B2186" s="62" t="s">
        <v>1006</v>
      </c>
      <c r="C2186" s="63"/>
      <c r="D2186" s="64"/>
      <c r="E2186" s="65"/>
      <c r="F2186" s="66"/>
      <c r="G2186" s="63"/>
      <c r="H2186" s="67"/>
      <c r="I2186" s="68"/>
      <c r="J2186" s="68"/>
      <c r="K2186" s="32"/>
      <c r="L2186" s="75">
        <v>2186</v>
      </c>
      <c r="M2186" s="75"/>
      <c r="N2186" s="70"/>
      <c r="O2186" s="77" t="s">
        <v>2083</v>
      </c>
      <c r="P2186" s="79">
        <v>45192.141701388886</v>
      </c>
      <c r="Q2186" s="77" t="s">
        <v>4036</v>
      </c>
      <c r="R2186" s="77">
        <v>3</v>
      </c>
      <c r="S2186" s="77">
        <v>0</v>
      </c>
      <c r="T2186" s="77">
        <v>0</v>
      </c>
      <c r="U2186" s="77">
        <v>0</v>
      </c>
      <c r="V2186" s="77"/>
      <c r="W2186" s="77"/>
      <c r="X2186" s="83" t="str">
        <f>HYPERLINK("https://www.baopina.com/2023/09/22/milei-en-parque-norte-la-locura-no-es-cerrar-el-banco-central-sino-tenerlo/")</f>
        <v>https://www.baopina.com/2023/09/22/milei-en-parque-norte-la-locura-no-es-cerrar-el-banco-central-sino-tenerlo/</v>
      </c>
      <c r="Y2186" s="77" t="s">
        <v>8770</v>
      </c>
      <c r="Z2186" s="77" t="s">
        <v>8972</v>
      </c>
      <c r="AA2186" s="77"/>
      <c r="AB2186" s="77"/>
      <c r="AC2186" s="80" t="s">
        <v>10541</v>
      </c>
      <c r="AD2186" s="77" t="s">
        <v>10620</v>
      </c>
      <c r="AE2186" s="83" t="str">
        <f>HYPERLINK("https://twitter.com/faccionlibre/status/1705422749458440414")</f>
        <v>https://twitter.com/faccionlibre/status/1705422749458440414</v>
      </c>
      <c r="AF2186" s="79">
        <v>45192.141701388886</v>
      </c>
      <c r="AG2186" s="85">
        <v>45192</v>
      </c>
      <c r="AH2186" s="80" t="s">
        <v>12560</v>
      </c>
      <c r="AI2186" s="77" t="b">
        <v>0</v>
      </c>
      <c r="AJ2186" s="77"/>
      <c r="AK2186" s="77"/>
      <c r="AL2186" s="77"/>
      <c r="AM2186" s="77"/>
      <c r="AN2186" s="77"/>
      <c r="AO2186" s="77"/>
      <c r="AP2186" s="77"/>
      <c r="AQ2186" s="77"/>
      <c r="AR2186" s="77"/>
      <c r="AS2186" s="77"/>
      <c r="AT2186" s="77"/>
      <c r="AU2186" s="77"/>
      <c r="AV2186" s="83" t="str">
        <f>HYPERLINK("https://pbs.twimg.com/profile_images/1528581743200161793/DxxTkzGr_normal.jpg")</f>
        <v>https://pbs.twimg.com/profile_images/1528581743200161793/DxxTkzGr_normal.jpg</v>
      </c>
      <c r="AW2186" s="80" t="s">
        <v>18023</v>
      </c>
      <c r="AX2186" s="80" t="s">
        <v>18023</v>
      </c>
      <c r="AY2186" s="77"/>
      <c r="AZ2186" s="80" t="s">
        <v>20380</v>
      </c>
      <c r="BA2186" s="80" t="s">
        <v>20380</v>
      </c>
      <c r="BB2186" s="80" t="s">
        <v>18232</v>
      </c>
      <c r="BC2186" s="80" t="s">
        <v>18232</v>
      </c>
      <c r="BD2186" s="80" t="s">
        <v>20824</v>
      </c>
      <c r="BE2186" s="77"/>
      <c r="BF2186" s="77"/>
      <c r="BG2186" s="77"/>
      <c r="BH2186" s="77"/>
      <c r="BI2186" s="77"/>
    </row>
    <row r="2187" spans="1:61" x14ac:dyDescent="0.25">
      <c r="A2187" s="62" t="s">
        <v>908</v>
      </c>
      <c r="B2187" s="62" t="s">
        <v>908</v>
      </c>
      <c r="C2187" s="63"/>
      <c r="D2187" s="64"/>
      <c r="E2187" s="65"/>
      <c r="F2187" s="66"/>
      <c r="G2187" s="63"/>
      <c r="H2187" s="67"/>
      <c r="I2187" s="68"/>
      <c r="J2187" s="68"/>
      <c r="K2187" s="32"/>
      <c r="L2187" s="75">
        <v>2187</v>
      </c>
      <c r="M2187" s="75"/>
      <c r="N2187" s="70"/>
      <c r="O2187" s="77" t="s">
        <v>179</v>
      </c>
      <c r="P2187" s="79">
        <v>45050.098483796297</v>
      </c>
      <c r="Q2187" s="77" t="s">
        <v>4037</v>
      </c>
      <c r="R2187" s="77">
        <v>1</v>
      </c>
      <c r="S2187" s="77">
        <v>1</v>
      </c>
      <c r="T2187" s="77">
        <v>0</v>
      </c>
      <c r="U2187" s="77">
        <v>0</v>
      </c>
      <c r="V2187" s="77">
        <v>20</v>
      </c>
      <c r="W2187" s="80" t="s">
        <v>7289</v>
      </c>
      <c r="X2187" s="83" t="str">
        <f>HYPERLINK("https://www.seudinheiro.com/2023/criptomoedas/real-digital-banco-central-bc-rens/")</f>
        <v>https://www.seudinheiro.com/2023/criptomoedas/real-digital-banco-central-bc-rens/</v>
      </c>
      <c r="Y2187" s="77" t="s">
        <v>8674</v>
      </c>
      <c r="Z2187" s="77"/>
      <c r="AA2187" s="77"/>
      <c r="AB2187" s="77"/>
      <c r="AC2187" s="80" t="s">
        <v>10540</v>
      </c>
      <c r="AD2187" s="77" t="s">
        <v>10617</v>
      </c>
      <c r="AE2187" s="83" t="str">
        <f>HYPERLINK("https://twitter.com/criptancia/status/1653948010965893120")</f>
        <v>https://twitter.com/criptancia/status/1653948010965893120</v>
      </c>
      <c r="AF2187" s="79">
        <v>45050.098483796297</v>
      </c>
      <c r="AG2187" s="85">
        <v>45050</v>
      </c>
      <c r="AH2187" s="80" t="s">
        <v>12561</v>
      </c>
      <c r="AI2187" s="77" t="b">
        <v>0</v>
      </c>
      <c r="AJ2187" s="77"/>
      <c r="AK2187" s="77"/>
      <c r="AL2187" s="77"/>
      <c r="AM2187" s="77"/>
      <c r="AN2187" s="77"/>
      <c r="AO2187" s="77"/>
      <c r="AP2187" s="77"/>
      <c r="AQ2187" s="77"/>
      <c r="AR2187" s="77"/>
      <c r="AS2187" s="77"/>
      <c r="AT2187" s="77"/>
      <c r="AU2187" s="77"/>
      <c r="AV2187" s="83" t="str">
        <f>HYPERLINK("https://pbs.twimg.com/profile_images/1363757304584294406/FnXkNBue_normal.jpg")</f>
        <v>https://pbs.twimg.com/profile_images/1363757304584294406/FnXkNBue_normal.jpg</v>
      </c>
      <c r="AW2187" s="80" t="s">
        <v>18024</v>
      </c>
      <c r="AX2187" s="80" t="s">
        <v>18024</v>
      </c>
      <c r="AY2187" s="77"/>
      <c r="AZ2187" s="80" t="s">
        <v>20380</v>
      </c>
      <c r="BA2187" s="80" t="s">
        <v>20380</v>
      </c>
      <c r="BB2187" s="80" t="s">
        <v>20380</v>
      </c>
      <c r="BC2187" s="80" t="s">
        <v>18024</v>
      </c>
      <c r="BD2187" s="80" t="s">
        <v>20825</v>
      </c>
      <c r="BE2187" s="77"/>
      <c r="BF2187" s="77"/>
      <c r="BG2187" s="77"/>
      <c r="BH2187" s="77"/>
      <c r="BI2187" s="77"/>
    </row>
    <row r="2188" spans="1:61" x14ac:dyDescent="0.25">
      <c r="A2188" s="62" t="s">
        <v>909</v>
      </c>
      <c r="B2188" s="62" t="s">
        <v>1909</v>
      </c>
      <c r="C2188" s="63"/>
      <c r="D2188" s="64"/>
      <c r="E2188" s="65"/>
      <c r="F2188" s="66"/>
      <c r="G2188" s="63"/>
      <c r="H2188" s="67"/>
      <c r="I2188" s="68"/>
      <c r="J2188" s="68"/>
      <c r="K2188" s="32"/>
      <c r="L2188" s="75">
        <v>2188</v>
      </c>
      <c r="M2188" s="75"/>
      <c r="N2188" s="70"/>
      <c r="O2188" s="77" t="s">
        <v>2078</v>
      </c>
      <c r="P2188" s="79">
        <v>45053.582465277781</v>
      </c>
      <c r="Q2188" s="77" t="s">
        <v>4038</v>
      </c>
      <c r="R2188" s="77">
        <v>0</v>
      </c>
      <c r="S2188" s="77">
        <v>1</v>
      </c>
      <c r="T2188" s="77">
        <v>0</v>
      </c>
      <c r="U2188" s="77">
        <v>0</v>
      </c>
      <c r="V2188" s="77">
        <v>5</v>
      </c>
      <c r="W2188" s="80" t="s">
        <v>6022</v>
      </c>
      <c r="X2188" s="77"/>
      <c r="Y2188" s="77"/>
      <c r="Z2188" s="77" t="s">
        <v>1909</v>
      </c>
      <c r="AA2188" s="77"/>
      <c r="AB2188" s="77"/>
      <c r="AC2188" s="80" t="s">
        <v>10540</v>
      </c>
      <c r="AD2188" s="77" t="s">
        <v>10617</v>
      </c>
      <c r="AE2188" s="83" t="str">
        <f>HYPERLINK("https://twitter.com/moamcyr/status/1655210564262539264")</f>
        <v>https://twitter.com/moamcyr/status/1655210564262539264</v>
      </c>
      <c r="AF2188" s="79">
        <v>45053.582465277781</v>
      </c>
      <c r="AG2188" s="85">
        <v>45053</v>
      </c>
      <c r="AH2188" s="80" t="s">
        <v>12562</v>
      </c>
      <c r="AI2188" s="77"/>
      <c r="AJ2188" s="77"/>
      <c r="AK2188" s="77"/>
      <c r="AL2188" s="77"/>
      <c r="AM2188" s="77"/>
      <c r="AN2188" s="77"/>
      <c r="AO2188" s="77"/>
      <c r="AP2188" s="77"/>
      <c r="AQ2188" s="77"/>
      <c r="AR2188" s="77"/>
      <c r="AS2188" s="77"/>
      <c r="AT2188" s="77"/>
      <c r="AU2188" s="77"/>
      <c r="AV2188" s="83" t="str">
        <f>HYPERLINK("https://pbs.twimg.com/profile_images/1480265348897288203/3pQ1G8KZ_normal.jpg")</f>
        <v>https://pbs.twimg.com/profile_images/1480265348897288203/3pQ1G8KZ_normal.jpg</v>
      </c>
      <c r="AW2188" s="80" t="s">
        <v>18025</v>
      </c>
      <c r="AX2188" s="80" t="s">
        <v>20047</v>
      </c>
      <c r="AY2188" s="80" t="s">
        <v>20298</v>
      </c>
      <c r="AZ2188" s="80" t="s">
        <v>20047</v>
      </c>
      <c r="BA2188" s="80" t="s">
        <v>20380</v>
      </c>
      <c r="BB2188" s="80" t="s">
        <v>20380</v>
      </c>
      <c r="BC2188" s="80" t="s">
        <v>20047</v>
      </c>
      <c r="BD2188" s="77">
        <v>2859632723</v>
      </c>
      <c r="BE2188" s="77"/>
      <c r="BF2188" s="77"/>
      <c r="BG2188" s="77"/>
      <c r="BH2188" s="77"/>
      <c r="BI2188" s="77"/>
    </row>
    <row r="2189" spans="1:61" x14ac:dyDescent="0.25">
      <c r="A2189" s="62" t="s">
        <v>909</v>
      </c>
      <c r="B2189" s="62" t="s">
        <v>1910</v>
      </c>
      <c r="C2189" s="63"/>
      <c r="D2189" s="64"/>
      <c r="E2189" s="65"/>
      <c r="F2189" s="66"/>
      <c r="G2189" s="63"/>
      <c r="H2189" s="67"/>
      <c r="I2189" s="68"/>
      <c r="J2189" s="68"/>
      <c r="K2189" s="32"/>
      <c r="L2189" s="75">
        <v>2189</v>
      </c>
      <c r="M2189" s="75"/>
      <c r="N2189" s="70"/>
      <c r="O2189" s="77" t="s">
        <v>2078</v>
      </c>
      <c r="P2189" s="79">
        <v>45053.581145833334</v>
      </c>
      <c r="Q2189" s="77" t="s">
        <v>4039</v>
      </c>
      <c r="R2189" s="77">
        <v>0</v>
      </c>
      <c r="S2189" s="77">
        <v>0</v>
      </c>
      <c r="T2189" s="77">
        <v>0</v>
      </c>
      <c r="U2189" s="77">
        <v>0</v>
      </c>
      <c r="V2189" s="77">
        <v>2</v>
      </c>
      <c r="W2189" s="80" t="s">
        <v>6022</v>
      </c>
      <c r="X2189" s="77"/>
      <c r="Y2189" s="77"/>
      <c r="Z2189" s="77" t="s">
        <v>1910</v>
      </c>
      <c r="AA2189" s="77"/>
      <c r="AB2189" s="77"/>
      <c r="AC2189" s="80" t="s">
        <v>10540</v>
      </c>
      <c r="AD2189" s="77" t="s">
        <v>10617</v>
      </c>
      <c r="AE2189" s="83" t="str">
        <f>HYPERLINK("https://twitter.com/moamcyr/status/1655210085851836416")</f>
        <v>https://twitter.com/moamcyr/status/1655210085851836416</v>
      </c>
      <c r="AF2189" s="79">
        <v>45053.581145833334</v>
      </c>
      <c r="AG2189" s="85">
        <v>45053</v>
      </c>
      <c r="AH2189" s="80" t="s">
        <v>12563</v>
      </c>
      <c r="AI2189" s="77"/>
      <c r="AJ2189" s="77"/>
      <c r="AK2189" s="77"/>
      <c r="AL2189" s="77"/>
      <c r="AM2189" s="77"/>
      <c r="AN2189" s="77"/>
      <c r="AO2189" s="77"/>
      <c r="AP2189" s="77"/>
      <c r="AQ2189" s="77"/>
      <c r="AR2189" s="77"/>
      <c r="AS2189" s="77"/>
      <c r="AT2189" s="77"/>
      <c r="AU2189" s="77"/>
      <c r="AV2189" s="83" t="str">
        <f>HYPERLINK("https://pbs.twimg.com/profile_images/1480265348897288203/3pQ1G8KZ_normal.jpg")</f>
        <v>https://pbs.twimg.com/profile_images/1480265348897288203/3pQ1G8KZ_normal.jpg</v>
      </c>
      <c r="AW2189" s="80" t="s">
        <v>18026</v>
      </c>
      <c r="AX2189" s="80" t="s">
        <v>20048</v>
      </c>
      <c r="AY2189" s="80" t="s">
        <v>20299</v>
      </c>
      <c r="AZ2189" s="80" t="s">
        <v>20048</v>
      </c>
      <c r="BA2189" s="80" t="s">
        <v>20380</v>
      </c>
      <c r="BB2189" s="80" t="s">
        <v>20380</v>
      </c>
      <c r="BC2189" s="80" t="s">
        <v>20048</v>
      </c>
      <c r="BD2189" s="77">
        <v>2859632723</v>
      </c>
      <c r="BE2189" s="77"/>
      <c r="BF2189" s="77"/>
      <c r="BG2189" s="77"/>
      <c r="BH2189" s="77"/>
      <c r="BI2189" s="77"/>
    </row>
    <row r="2190" spans="1:61" x14ac:dyDescent="0.25">
      <c r="A2190" s="62" t="s">
        <v>909</v>
      </c>
      <c r="B2190" s="62" t="s">
        <v>1911</v>
      </c>
      <c r="C2190" s="63"/>
      <c r="D2190" s="64"/>
      <c r="E2190" s="65"/>
      <c r="F2190" s="66"/>
      <c r="G2190" s="63"/>
      <c r="H2190" s="67"/>
      <c r="I2190" s="68"/>
      <c r="J2190" s="68"/>
      <c r="K2190" s="32"/>
      <c r="L2190" s="75">
        <v>2190</v>
      </c>
      <c r="M2190" s="75"/>
      <c r="N2190" s="70"/>
      <c r="O2190" s="77" t="s">
        <v>2078</v>
      </c>
      <c r="P2190" s="79">
        <v>45053.580567129633</v>
      </c>
      <c r="Q2190" s="77" t="s">
        <v>4040</v>
      </c>
      <c r="R2190" s="77">
        <v>0</v>
      </c>
      <c r="S2190" s="77">
        <v>0</v>
      </c>
      <c r="T2190" s="77">
        <v>0</v>
      </c>
      <c r="U2190" s="77">
        <v>0</v>
      </c>
      <c r="V2190" s="77">
        <v>2</v>
      </c>
      <c r="W2190" s="80" t="s">
        <v>6022</v>
      </c>
      <c r="X2190" s="77"/>
      <c r="Y2190" s="77"/>
      <c r="Z2190" s="77" t="s">
        <v>1911</v>
      </c>
      <c r="AA2190" s="77"/>
      <c r="AB2190" s="77"/>
      <c r="AC2190" s="80" t="s">
        <v>10540</v>
      </c>
      <c r="AD2190" s="77" t="s">
        <v>10617</v>
      </c>
      <c r="AE2190" s="83" t="str">
        <f>HYPERLINK("https://twitter.com/moamcyr/status/1655209877155770368")</f>
        <v>https://twitter.com/moamcyr/status/1655209877155770368</v>
      </c>
      <c r="AF2190" s="79">
        <v>45053.580567129633</v>
      </c>
      <c r="AG2190" s="85">
        <v>45053</v>
      </c>
      <c r="AH2190" s="80" t="s">
        <v>12564</v>
      </c>
      <c r="AI2190" s="77"/>
      <c r="AJ2190" s="77"/>
      <c r="AK2190" s="77"/>
      <c r="AL2190" s="77"/>
      <c r="AM2190" s="77"/>
      <c r="AN2190" s="77"/>
      <c r="AO2190" s="77"/>
      <c r="AP2190" s="77"/>
      <c r="AQ2190" s="77"/>
      <c r="AR2190" s="77"/>
      <c r="AS2190" s="77"/>
      <c r="AT2190" s="77"/>
      <c r="AU2190" s="77"/>
      <c r="AV2190" s="83" t="str">
        <f>HYPERLINK("https://pbs.twimg.com/profile_images/1480265348897288203/3pQ1G8KZ_normal.jpg")</f>
        <v>https://pbs.twimg.com/profile_images/1480265348897288203/3pQ1G8KZ_normal.jpg</v>
      </c>
      <c r="AW2190" s="80" t="s">
        <v>18027</v>
      </c>
      <c r="AX2190" s="80" t="s">
        <v>20049</v>
      </c>
      <c r="AY2190" s="80" t="s">
        <v>20300</v>
      </c>
      <c r="AZ2190" s="80" t="s">
        <v>20049</v>
      </c>
      <c r="BA2190" s="80" t="s">
        <v>20380</v>
      </c>
      <c r="BB2190" s="80" t="s">
        <v>20380</v>
      </c>
      <c r="BC2190" s="80" t="s">
        <v>20049</v>
      </c>
      <c r="BD2190" s="77">
        <v>2859632723</v>
      </c>
      <c r="BE2190" s="77"/>
      <c r="BF2190" s="77"/>
      <c r="BG2190" s="77"/>
      <c r="BH2190" s="77"/>
      <c r="BI2190" s="77"/>
    </row>
    <row r="2191" spans="1:61" x14ac:dyDescent="0.25">
      <c r="A2191" s="62" t="s">
        <v>909</v>
      </c>
      <c r="B2191" s="62" t="s">
        <v>1912</v>
      </c>
      <c r="C2191" s="63"/>
      <c r="D2191" s="64"/>
      <c r="E2191" s="65"/>
      <c r="F2191" s="66"/>
      <c r="G2191" s="63"/>
      <c r="H2191" s="67"/>
      <c r="I2191" s="68"/>
      <c r="J2191" s="68"/>
      <c r="K2191" s="32"/>
      <c r="L2191" s="75">
        <v>2191</v>
      </c>
      <c r="M2191" s="75"/>
      <c r="N2191" s="70"/>
      <c r="O2191" s="77" t="s">
        <v>2078</v>
      </c>
      <c r="P2191" s="79">
        <v>45053.580185185187</v>
      </c>
      <c r="Q2191" s="77" t="s">
        <v>4041</v>
      </c>
      <c r="R2191" s="77">
        <v>0</v>
      </c>
      <c r="S2191" s="77">
        <v>1</v>
      </c>
      <c r="T2191" s="77">
        <v>0</v>
      </c>
      <c r="U2191" s="77">
        <v>0</v>
      </c>
      <c r="V2191" s="77">
        <v>5</v>
      </c>
      <c r="W2191" s="80" t="s">
        <v>6022</v>
      </c>
      <c r="X2191" s="77"/>
      <c r="Y2191" s="77"/>
      <c r="Z2191" s="77" t="s">
        <v>1912</v>
      </c>
      <c r="AA2191" s="77"/>
      <c r="AB2191" s="77"/>
      <c r="AC2191" s="80" t="s">
        <v>10540</v>
      </c>
      <c r="AD2191" s="77" t="s">
        <v>10617</v>
      </c>
      <c r="AE2191" s="83" t="str">
        <f>HYPERLINK("https://twitter.com/moamcyr/status/1655209736327839746")</f>
        <v>https://twitter.com/moamcyr/status/1655209736327839746</v>
      </c>
      <c r="AF2191" s="79">
        <v>45053.580185185187</v>
      </c>
      <c r="AG2191" s="85">
        <v>45053</v>
      </c>
      <c r="AH2191" s="80" t="s">
        <v>12565</v>
      </c>
      <c r="AI2191" s="77"/>
      <c r="AJ2191" s="77"/>
      <c r="AK2191" s="77"/>
      <c r="AL2191" s="77"/>
      <c r="AM2191" s="77"/>
      <c r="AN2191" s="77"/>
      <c r="AO2191" s="77"/>
      <c r="AP2191" s="77"/>
      <c r="AQ2191" s="77"/>
      <c r="AR2191" s="77"/>
      <c r="AS2191" s="77"/>
      <c r="AT2191" s="77"/>
      <c r="AU2191" s="77"/>
      <c r="AV2191" s="83" t="str">
        <f>HYPERLINK("https://pbs.twimg.com/profile_images/1480265348897288203/3pQ1G8KZ_normal.jpg")</f>
        <v>https://pbs.twimg.com/profile_images/1480265348897288203/3pQ1G8KZ_normal.jpg</v>
      </c>
      <c r="AW2191" s="80" t="s">
        <v>18028</v>
      </c>
      <c r="AX2191" s="80" t="s">
        <v>20050</v>
      </c>
      <c r="AY2191" s="80" t="s">
        <v>20301</v>
      </c>
      <c r="AZ2191" s="80" t="s">
        <v>20050</v>
      </c>
      <c r="BA2191" s="80" t="s">
        <v>20380</v>
      </c>
      <c r="BB2191" s="80" t="s">
        <v>20380</v>
      </c>
      <c r="BC2191" s="80" t="s">
        <v>20050</v>
      </c>
      <c r="BD2191" s="77">
        <v>2859632723</v>
      </c>
      <c r="BE2191" s="77"/>
      <c r="BF2191" s="77"/>
      <c r="BG2191" s="77"/>
      <c r="BH2191" s="77"/>
      <c r="BI2191" s="77"/>
    </row>
    <row r="2192" spans="1:61" x14ac:dyDescent="0.25">
      <c r="A2192" s="62" t="s">
        <v>909</v>
      </c>
      <c r="B2192" s="62" t="s">
        <v>1913</v>
      </c>
      <c r="C2192" s="63"/>
      <c r="D2192" s="64"/>
      <c r="E2192" s="65"/>
      <c r="F2192" s="66"/>
      <c r="G2192" s="63"/>
      <c r="H2192" s="67"/>
      <c r="I2192" s="68"/>
      <c r="J2192" s="68"/>
      <c r="K2192" s="32"/>
      <c r="L2192" s="75">
        <v>2192</v>
      </c>
      <c r="M2192" s="75"/>
      <c r="N2192" s="70"/>
      <c r="O2192" s="77" t="s">
        <v>2078</v>
      </c>
      <c r="P2192" s="79">
        <v>45053.579062500001</v>
      </c>
      <c r="Q2192" s="77" t="s">
        <v>4042</v>
      </c>
      <c r="R2192" s="77">
        <v>0</v>
      </c>
      <c r="S2192" s="77">
        <v>0</v>
      </c>
      <c r="T2192" s="77">
        <v>0</v>
      </c>
      <c r="U2192" s="77">
        <v>0</v>
      </c>
      <c r="V2192" s="77">
        <v>3</v>
      </c>
      <c r="W2192" s="80" t="s">
        <v>6022</v>
      </c>
      <c r="X2192" s="77"/>
      <c r="Y2192" s="77"/>
      <c r="Z2192" s="77" t="s">
        <v>1913</v>
      </c>
      <c r="AA2192" s="77"/>
      <c r="AB2192" s="77"/>
      <c r="AC2192" s="80" t="s">
        <v>10540</v>
      </c>
      <c r="AD2192" s="77" t="s">
        <v>10619</v>
      </c>
      <c r="AE2192" s="83" t="str">
        <f>HYPERLINK("https://twitter.com/moamcyr/status/1655209332718333956")</f>
        <v>https://twitter.com/moamcyr/status/1655209332718333956</v>
      </c>
      <c r="AF2192" s="79">
        <v>45053.579062500001</v>
      </c>
      <c r="AG2192" s="85">
        <v>45053</v>
      </c>
      <c r="AH2192" s="80" t="s">
        <v>12566</v>
      </c>
      <c r="AI2192" s="77"/>
      <c r="AJ2192" s="77"/>
      <c r="AK2192" s="77"/>
      <c r="AL2192" s="77"/>
      <c r="AM2192" s="77"/>
      <c r="AN2192" s="77"/>
      <c r="AO2192" s="77"/>
      <c r="AP2192" s="77"/>
      <c r="AQ2192" s="77"/>
      <c r="AR2192" s="77"/>
      <c r="AS2192" s="77"/>
      <c r="AT2192" s="77"/>
      <c r="AU2192" s="77"/>
      <c r="AV2192" s="83" t="str">
        <f>HYPERLINK("https://pbs.twimg.com/profile_images/1480265348897288203/3pQ1G8KZ_normal.jpg")</f>
        <v>https://pbs.twimg.com/profile_images/1480265348897288203/3pQ1G8KZ_normal.jpg</v>
      </c>
      <c r="AW2192" s="80" t="s">
        <v>18029</v>
      </c>
      <c r="AX2192" s="80" t="s">
        <v>20051</v>
      </c>
      <c r="AY2192" s="80" t="s">
        <v>20302</v>
      </c>
      <c r="AZ2192" s="80" t="s">
        <v>20051</v>
      </c>
      <c r="BA2192" s="80" t="s">
        <v>20380</v>
      </c>
      <c r="BB2192" s="80" t="s">
        <v>20380</v>
      </c>
      <c r="BC2192" s="80" t="s">
        <v>20051</v>
      </c>
      <c r="BD2192" s="77">
        <v>2859632723</v>
      </c>
      <c r="BE2192" s="77"/>
      <c r="BF2192" s="77"/>
      <c r="BG2192" s="77"/>
      <c r="BH2192" s="77"/>
      <c r="BI2192" s="77"/>
    </row>
    <row r="2193" spans="1:61" x14ac:dyDescent="0.25">
      <c r="A2193" s="62" t="s">
        <v>909</v>
      </c>
      <c r="B2193" s="62" t="s">
        <v>1914</v>
      </c>
      <c r="C2193" s="63"/>
      <c r="D2193" s="64"/>
      <c r="E2193" s="65"/>
      <c r="F2193" s="66"/>
      <c r="G2193" s="63"/>
      <c r="H2193" s="67"/>
      <c r="I2193" s="68"/>
      <c r="J2193" s="68"/>
      <c r="K2193" s="32"/>
      <c r="L2193" s="75">
        <v>2193</v>
      </c>
      <c r="M2193" s="75"/>
      <c r="N2193" s="70"/>
      <c r="O2193" s="77" t="s">
        <v>2078</v>
      </c>
      <c r="P2193" s="79">
        <v>45053.578541666669</v>
      </c>
      <c r="Q2193" s="77" t="s">
        <v>4043</v>
      </c>
      <c r="R2193" s="77">
        <v>1</v>
      </c>
      <c r="S2193" s="77">
        <v>1</v>
      </c>
      <c r="T2193" s="77">
        <v>0</v>
      </c>
      <c r="U2193" s="77">
        <v>0</v>
      </c>
      <c r="V2193" s="77">
        <v>6</v>
      </c>
      <c r="W2193" s="80" t="s">
        <v>6022</v>
      </c>
      <c r="X2193" s="77"/>
      <c r="Y2193" s="77"/>
      <c r="Z2193" s="77" t="s">
        <v>1914</v>
      </c>
      <c r="AA2193" s="77"/>
      <c r="AB2193" s="77"/>
      <c r="AC2193" s="80" t="s">
        <v>10540</v>
      </c>
      <c r="AD2193" s="77" t="s">
        <v>10619</v>
      </c>
      <c r="AE2193" s="83" t="str">
        <f>HYPERLINK("https://twitter.com/moamcyr/status/1655209142833803267")</f>
        <v>https://twitter.com/moamcyr/status/1655209142833803267</v>
      </c>
      <c r="AF2193" s="79">
        <v>45053.578541666669</v>
      </c>
      <c r="AG2193" s="85">
        <v>45053</v>
      </c>
      <c r="AH2193" s="80" t="s">
        <v>12567</v>
      </c>
      <c r="AI2193" s="77"/>
      <c r="AJ2193" s="77"/>
      <c r="AK2193" s="77"/>
      <c r="AL2193" s="77"/>
      <c r="AM2193" s="77"/>
      <c r="AN2193" s="77"/>
      <c r="AO2193" s="77"/>
      <c r="AP2193" s="77"/>
      <c r="AQ2193" s="77"/>
      <c r="AR2193" s="77"/>
      <c r="AS2193" s="77"/>
      <c r="AT2193" s="77"/>
      <c r="AU2193" s="77"/>
      <c r="AV2193" s="83" t="str">
        <f>HYPERLINK("https://pbs.twimg.com/profile_images/1480265348897288203/3pQ1G8KZ_normal.jpg")</f>
        <v>https://pbs.twimg.com/profile_images/1480265348897288203/3pQ1G8KZ_normal.jpg</v>
      </c>
      <c r="AW2193" s="80" t="s">
        <v>18030</v>
      </c>
      <c r="AX2193" s="80" t="s">
        <v>20052</v>
      </c>
      <c r="AY2193" s="80" t="s">
        <v>20303</v>
      </c>
      <c r="AZ2193" s="80" t="s">
        <v>20052</v>
      </c>
      <c r="BA2193" s="80" t="s">
        <v>20380</v>
      </c>
      <c r="BB2193" s="80" t="s">
        <v>20380</v>
      </c>
      <c r="BC2193" s="80" t="s">
        <v>20052</v>
      </c>
      <c r="BD2193" s="77">
        <v>2859632723</v>
      </c>
      <c r="BE2193" s="77"/>
      <c r="BF2193" s="77"/>
      <c r="BG2193" s="77"/>
      <c r="BH2193" s="77"/>
      <c r="BI2193" s="77"/>
    </row>
    <row r="2194" spans="1:61" x14ac:dyDescent="0.25">
      <c r="A2194" s="62" t="s">
        <v>909</v>
      </c>
      <c r="B2194" s="62" t="s">
        <v>1915</v>
      </c>
      <c r="C2194" s="63"/>
      <c r="D2194" s="64"/>
      <c r="E2194" s="65"/>
      <c r="F2194" s="66"/>
      <c r="G2194" s="63"/>
      <c r="H2194" s="67"/>
      <c r="I2194" s="68"/>
      <c r="J2194" s="68"/>
      <c r="K2194" s="32"/>
      <c r="L2194" s="75">
        <v>2194</v>
      </c>
      <c r="M2194" s="75"/>
      <c r="N2194" s="70"/>
      <c r="O2194" s="77" t="s">
        <v>2078</v>
      </c>
      <c r="P2194" s="79">
        <v>45053.578368055554</v>
      </c>
      <c r="Q2194" s="77" t="s">
        <v>4044</v>
      </c>
      <c r="R2194" s="77">
        <v>0</v>
      </c>
      <c r="S2194" s="77">
        <v>0</v>
      </c>
      <c r="T2194" s="77">
        <v>0</v>
      </c>
      <c r="U2194" s="77">
        <v>0</v>
      </c>
      <c r="V2194" s="77">
        <v>4</v>
      </c>
      <c r="W2194" s="80" t="s">
        <v>6022</v>
      </c>
      <c r="X2194" s="77"/>
      <c r="Y2194" s="77"/>
      <c r="Z2194" s="77" t="s">
        <v>1915</v>
      </c>
      <c r="AA2194" s="77"/>
      <c r="AB2194" s="77"/>
      <c r="AC2194" s="80" t="s">
        <v>10540</v>
      </c>
      <c r="AD2194" s="77" t="s">
        <v>10619</v>
      </c>
      <c r="AE2194" s="83" t="str">
        <f>HYPERLINK("https://twitter.com/moamcyr/status/1655209080841961475")</f>
        <v>https://twitter.com/moamcyr/status/1655209080841961475</v>
      </c>
      <c r="AF2194" s="79">
        <v>45053.578368055554</v>
      </c>
      <c r="AG2194" s="85">
        <v>45053</v>
      </c>
      <c r="AH2194" s="80" t="s">
        <v>12568</v>
      </c>
      <c r="AI2194" s="77"/>
      <c r="AJ2194" s="77"/>
      <c r="AK2194" s="77"/>
      <c r="AL2194" s="77"/>
      <c r="AM2194" s="77"/>
      <c r="AN2194" s="77"/>
      <c r="AO2194" s="77"/>
      <c r="AP2194" s="77"/>
      <c r="AQ2194" s="77"/>
      <c r="AR2194" s="77"/>
      <c r="AS2194" s="77"/>
      <c r="AT2194" s="77"/>
      <c r="AU2194" s="77"/>
      <c r="AV2194" s="83" t="str">
        <f>HYPERLINK("https://pbs.twimg.com/profile_images/1480265348897288203/3pQ1G8KZ_normal.jpg")</f>
        <v>https://pbs.twimg.com/profile_images/1480265348897288203/3pQ1G8KZ_normal.jpg</v>
      </c>
      <c r="AW2194" s="80" t="s">
        <v>18031</v>
      </c>
      <c r="AX2194" s="80" t="s">
        <v>20053</v>
      </c>
      <c r="AY2194" s="80" t="s">
        <v>20304</v>
      </c>
      <c r="AZ2194" s="80" t="s">
        <v>20053</v>
      </c>
      <c r="BA2194" s="80" t="s">
        <v>20380</v>
      </c>
      <c r="BB2194" s="80" t="s">
        <v>20380</v>
      </c>
      <c r="BC2194" s="80" t="s">
        <v>20053</v>
      </c>
      <c r="BD2194" s="77">
        <v>2859632723</v>
      </c>
      <c r="BE2194" s="77"/>
      <c r="BF2194" s="77"/>
      <c r="BG2194" s="77"/>
      <c r="BH2194" s="77"/>
      <c r="BI2194" s="77"/>
    </row>
    <row r="2195" spans="1:61" x14ac:dyDescent="0.25">
      <c r="A2195" s="62" t="s">
        <v>909</v>
      </c>
      <c r="B2195" s="62" t="s">
        <v>1916</v>
      </c>
      <c r="C2195" s="63"/>
      <c r="D2195" s="64"/>
      <c r="E2195" s="65"/>
      <c r="F2195" s="66"/>
      <c r="G2195" s="63"/>
      <c r="H2195" s="67"/>
      <c r="I2195" s="68"/>
      <c r="J2195" s="68"/>
      <c r="K2195" s="32"/>
      <c r="L2195" s="75">
        <v>2195</v>
      </c>
      <c r="M2195" s="75"/>
      <c r="N2195" s="70"/>
      <c r="O2195" s="77" t="s">
        <v>2078</v>
      </c>
      <c r="P2195" s="79">
        <v>45053.578032407408</v>
      </c>
      <c r="Q2195" s="77" t="s">
        <v>4045</v>
      </c>
      <c r="R2195" s="77">
        <v>0</v>
      </c>
      <c r="S2195" s="77">
        <v>0</v>
      </c>
      <c r="T2195" s="77">
        <v>0</v>
      </c>
      <c r="U2195" s="77">
        <v>0</v>
      </c>
      <c r="V2195" s="77"/>
      <c r="W2195" s="80" t="s">
        <v>6022</v>
      </c>
      <c r="X2195" s="77"/>
      <c r="Y2195" s="77"/>
      <c r="Z2195" s="77" t="s">
        <v>1916</v>
      </c>
      <c r="AA2195" s="77"/>
      <c r="AB2195" s="77"/>
      <c r="AC2195" s="80" t="s">
        <v>10540</v>
      </c>
      <c r="AD2195" s="77" t="s">
        <v>10619</v>
      </c>
      <c r="AE2195" s="83" t="str">
        <f>HYPERLINK("https://twitter.com/moamcyr/status/1655208956849995776")</f>
        <v>https://twitter.com/moamcyr/status/1655208956849995776</v>
      </c>
      <c r="AF2195" s="79">
        <v>45053.578032407408</v>
      </c>
      <c r="AG2195" s="85">
        <v>45053</v>
      </c>
      <c r="AH2195" s="80" t="s">
        <v>12569</v>
      </c>
      <c r="AI2195" s="77"/>
      <c r="AJ2195" s="77"/>
      <c r="AK2195" s="77"/>
      <c r="AL2195" s="77"/>
      <c r="AM2195" s="77"/>
      <c r="AN2195" s="77"/>
      <c r="AO2195" s="77"/>
      <c r="AP2195" s="77"/>
      <c r="AQ2195" s="77"/>
      <c r="AR2195" s="77"/>
      <c r="AS2195" s="77"/>
      <c r="AT2195" s="77"/>
      <c r="AU2195" s="77"/>
      <c r="AV2195" s="83" t="str">
        <f>HYPERLINK("https://pbs.twimg.com/profile_images/1480265348897288203/3pQ1G8KZ_normal.jpg")</f>
        <v>https://pbs.twimg.com/profile_images/1480265348897288203/3pQ1G8KZ_normal.jpg</v>
      </c>
      <c r="AW2195" s="80" t="s">
        <v>18032</v>
      </c>
      <c r="AX2195" s="80" t="s">
        <v>20054</v>
      </c>
      <c r="AY2195" s="80" t="s">
        <v>20305</v>
      </c>
      <c r="AZ2195" s="80" t="s">
        <v>20054</v>
      </c>
      <c r="BA2195" s="80" t="s">
        <v>20380</v>
      </c>
      <c r="BB2195" s="80" t="s">
        <v>20380</v>
      </c>
      <c r="BC2195" s="80" t="s">
        <v>20054</v>
      </c>
      <c r="BD2195" s="77">
        <v>2859632723</v>
      </c>
      <c r="BE2195" s="77"/>
      <c r="BF2195" s="77"/>
      <c r="BG2195" s="77"/>
      <c r="BH2195" s="77"/>
      <c r="BI2195" s="77"/>
    </row>
    <row r="2196" spans="1:61" x14ac:dyDescent="0.25">
      <c r="A2196" s="62" t="s">
        <v>909</v>
      </c>
      <c r="B2196" s="62" t="s">
        <v>1917</v>
      </c>
      <c r="C2196" s="63"/>
      <c r="D2196" s="64"/>
      <c r="E2196" s="65"/>
      <c r="F2196" s="66"/>
      <c r="G2196" s="63"/>
      <c r="H2196" s="67"/>
      <c r="I2196" s="68"/>
      <c r="J2196" s="68"/>
      <c r="K2196" s="32"/>
      <c r="L2196" s="75">
        <v>2196</v>
      </c>
      <c r="M2196" s="75"/>
      <c r="N2196" s="70"/>
      <c r="O2196" s="77" t="s">
        <v>2078</v>
      </c>
      <c r="P2196" s="79">
        <v>45053.577789351853</v>
      </c>
      <c r="Q2196" s="77" t="s">
        <v>4046</v>
      </c>
      <c r="R2196" s="77">
        <v>0</v>
      </c>
      <c r="S2196" s="77">
        <v>1</v>
      </c>
      <c r="T2196" s="77">
        <v>0</v>
      </c>
      <c r="U2196" s="77">
        <v>0</v>
      </c>
      <c r="V2196" s="77">
        <v>2</v>
      </c>
      <c r="W2196" s="80" t="s">
        <v>6022</v>
      </c>
      <c r="X2196" s="77"/>
      <c r="Y2196" s="77"/>
      <c r="Z2196" s="77" t="s">
        <v>1917</v>
      </c>
      <c r="AA2196" s="77"/>
      <c r="AB2196" s="77"/>
      <c r="AC2196" s="80" t="s">
        <v>10540</v>
      </c>
      <c r="AD2196" s="77" t="s">
        <v>10619</v>
      </c>
      <c r="AE2196" s="83" t="str">
        <f>HYPERLINK("https://twitter.com/moamcyr/status/1655208869503676418")</f>
        <v>https://twitter.com/moamcyr/status/1655208869503676418</v>
      </c>
      <c r="AF2196" s="79">
        <v>45053.577789351853</v>
      </c>
      <c r="AG2196" s="85">
        <v>45053</v>
      </c>
      <c r="AH2196" s="80" t="s">
        <v>12570</v>
      </c>
      <c r="AI2196" s="77"/>
      <c r="AJ2196" s="77"/>
      <c r="AK2196" s="77"/>
      <c r="AL2196" s="77"/>
      <c r="AM2196" s="77"/>
      <c r="AN2196" s="77"/>
      <c r="AO2196" s="77"/>
      <c r="AP2196" s="77"/>
      <c r="AQ2196" s="77"/>
      <c r="AR2196" s="77"/>
      <c r="AS2196" s="77"/>
      <c r="AT2196" s="77"/>
      <c r="AU2196" s="77"/>
      <c r="AV2196" s="83" t="str">
        <f>HYPERLINK("https://pbs.twimg.com/profile_images/1480265348897288203/3pQ1G8KZ_normal.jpg")</f>
        <v>https://pbs.twimg.com/profile_images/1480265348897288203/3pQ1G8KZ_normal.jpg</v>
      </c>
      <c r="AW2196" s="80" t="s">
        <v>18033</v>
      </c>
      <c r="AX2196" s="80" t="s">
        <v>20055</v>
      </c>
      <c r="AY2196" s="80" t="s">
        <v>20306</v>
      </c>
      <c r="AZ2196" s="80" t="s">
        <v>20055</v>
      </c>
      <c r="BA2196" s="80" t="s">
        <v>20380</v>
      </c>
      <c r="BB2196" s="80" t="s">
        <v>20380</v>
      </c>
      <c r="BC2196" s="80" t="s">
        <v>20055</v>
      </c>
      <c r="BD2196" s="77">
        <v>2859632723</v>
      </c>
      <c r="BE2196" s="77"/>
      <c r="BF2196" s="77"/>
      <c r="BG2196" s="77"/>
      <c r="BH2196" s="77"/>
      <c r="BI2196" s="77"/>
    </row>
    <row r="2197" spans="1:61" x14ac:dyDescent="0.25">
      <c r="A2197" s="62" t="s">
        <v>909</v>
      </c>
      <c r="B2197" s="62" t="s">
        <v>1918</v>
      </c>
      <c r="C2197" s="63"/>
      <c r="D2197" s="64"/>
      <c r="E2197" s="65"/>
      <c r="F2197" s="66"/>
      <c r="G2197" s="63"/>
      <c r="H2197" s="67"/>
      <c r="I2197" s="68"/>
      <c r="J2197" s="68"/>
      <c r="K2197" s="32"/>
      <c r="L2197" s="75">
        <v>2197</v>
      </c>
      <c r="M2197" s="75"/>
      <c r="N2197" s="70"/>
      <c r="O2197" s="77" t="s">
        <v>2078</v>
      </c>
      <c r="P2197" s="79">
        <v>45053.577349537038</v>
      </c>
      <c r="Q2197" s="77" t="s">
        <v>4047</v>
      </c>
      <c r="R2197" s="77">
        <v>0</v>
      </c>
      <c r="S2197" s="77">
        <v>1</v>
      </c>
      <c r="T2197" s="77">
        <v>0</v>
      </c>
      <c r="U2197" s="77">
        <v>0</v>
      </c>
      <c r="V2197" s="77">
        <v>72</v>
      </c>
      <c r="W2197" s="80" t="s">
        <v>6022</v>
      </c>
      <c r="X2197" s="77"/>
      <c r="Y2197" s="77"/>
      <c r="Z2197" s="77" t="s">
        <v>1918</v>
      </c>
      <c r="AA2197" s="77"/>
      <c r="AB2197" s="77"/>
      <c r="AC2197" s="80" t="s">
        <v>10540</v>
      </c>
      <c r="AD2197" s="77" t="s">
        <v>10619</v>
      </c>
      <c r="AE2197" s="83" t="str">
        <f>HYPERLINK("https://twitter.com/moamcyr/status/1655208709159518211")</f>
        <v>https://twitter.com/moamcyr/status/1655208709159518211</v>
      </c>
      <c r="AF2197" s="79">
        <v>45053.577349537038</v>
      </c>
      <c r="AG2197" s="85">
        <v>45053</v>
      </c>
      <c r="AH2197" s="80" t="s">
        <v>12571</v>
      </c>
      <c r="AI2197" s="77"/>
      <c r="AJ2197" s="77"/>
      <c r="AK2197" s="77"/>
      <c r="AL2197" s="77"/>
      <c r="AM2197" s="77"/>
      <c r="AN2197" s="77"/>
      <c r="AO2197" s="77"/>
      <c r="AP2197" s="77"/>
      <c r="AQ2197" s="77"/>
      <c r="AR2197" s="77"/>
      <c r="AS2197" s="77"/>
      <c r="AT2197" s="77"/>
      <c r="AU2197" s="77"/>
      <c r="AV2197" s="83" t="str">
        <f>HYPERLINK("https://pbs.twimg.com/profile_images/1480265348897288203/3pQ1G8KZ_normal.jpg")</f>
        <v>https://pbs.twimg.com/profile_images/1480265348897288203/3pQ1G8KZ_normal.jpg</v>
      </c>
      <c r="AW2197" s="80" t="s">
        <v>18034</v>
      </c>
      <c r="AX2197" s="80" t="s">
        <v>20056</v>
      </c>
      <c r="AY2197" s="80" t="s">
        <v>20307</v>
      </c>
      <c r="AZ2197" s="80" t="s">
        <v>20056</v>
      </c>
      <c r="BA2197" s="80" t="s">
        <v>20380</v>
      </c>
      <c r="BB2197" s="80" t="s">
        <v>20380</v>
      </c>
      <c r="BC2197" s="80" t="s">
        <v>20056</v>
      </c>
      <c r="BD2197" s="77">
        <v>2859632723</v>
      </c>
      <c r="BE2197" s="77"/>
      <c r="BF2197" s="77"/>
      <c r="BG2197" s="77"/>
      <c r="BH2197" s="77"/>
      <c r="BI2197" s="77"/>
    </row>
    <row r="2198" spans="1:61" x14ac:dyDescent="0.25">
      <c r="A2198" s="62" t="s">
        <v>910</v>
      </c>
      <c r="B2198" s="62" t="s">
        <v>910</v>
      </c>
      <c r="C2198" s="63"/>
      <c r="D2198" s="64"/>
      <c r="E2198" s="65"/>
      <c r="F2198" s="66"/>
      <c r="G2198" s="63"/>
      <c r="H2198" s="67"/>
      <c r="I2198" s="68"/>
      <c r="J2198" s="68"/>
      <c r="K2198" s="32"/>
      <c r="L2198" s="75">
        <v>2198</v>
      </c>
      <c r="M2198" s="75"/>
      <c r="N2198" s="70"/>
      <c r="O2198" s="77" t="s">
        <v>179</v>
      </c>
      <c r="P2198" s="79">
        <v>45175.682233796295</v>
      </c>
      <c r="Q2198" s="77" t="s">
        <v>4048</v>
      </c>
      <c r="R2198" s="77">
        <v>0</v>
      </c>
      <c r="S2198" s="77">
        <v>0</v>
      </c>
      <c r="T2198" s="77">
        <v>0</v>
      </c>
      <c r="U2198" s="77">
        <v>0</v>
      </c>
      <c r="V2198" s="77">
        <v>94</v>
      </c>
      <c r="W2198" s="80" t="s">
        <v>7290</v>
      </c>
      <c r="X2198" s="83" t="str">
        <f>HYPERLINK("https://crypto-economy.com/es/como-va-el-proyecto-europeo-cbdc-el-ejecutivo-del-bce-da-mas-detalles-y-arremete-contra-paypal/")</f>
        <v>https://crypto-economy.com/es/como-va-el-proyecto-europeo-cbdc-el-ejecutivo-del-bce-da-mas-detalles-y-arremete-contra-paypal/</v>
      </c>
      <c r="Y2198" s="77" t="s">
        <v>8771</v>
      </c>
      <c r="Z2198" s="77"/>
      <c r="AA2198" s="77" t="s">
        <v>9654</v>
      </c>
      <c r="AB2198" s="77" t="s">
        <v>10535</v>
      </c>
      <c r="AC2198" s="80" t="s">
        <v>10541</v>
      </c>
      <c r="AD2198" s="77" t="s">
        <v>10620</v>
      </c>
      <c r="AE2198" s="83" t="str">
        <f>HYPERLINK("https://twitter.com/crypto_economy/status/1699458040771027147")</f>
        <v>https://twitter.com/crypto_economy/status/1699458040771027147</v>
      </c>
      <c r="AF2198" s="79">
        <v>45175.682233796295</v>
      </c>
      <c r="AG2198" s="85">
        <v>45175</v>
      </c>
      <c r="AH2198" s="80" t="s">
        <v>12572</v>
      </c>
      <c r="AI2198" s="77" t="b">
        <v>0</v>
      </c>
      <c r="AJ2198" s="77"/>
      <c r="AK2198" s="77"/>
      <c r="AL2198" s="77"/>
      <c r="AM2198" s="77"/>
      <c r="AN2198" s="77"/>
      <c r="AO2198" s="77"/>
      <c r="AP2198" s="77"/>
      <c r="AQ2198" s="77" t="s">
        <v>15136</v>
      </c>
      <c r="AR2198" s="77"/>
      <c r="AS2198" s="77"/>
      <c r="AT2198" s="77"/>
      <c r="AU2198" s="77"/>
      <c r="AV2198" s="83" t="str">
        <f>HYPERLINK("https://pbs.twimg.com/media/F5Wv-UnWoAENni3.jpg")</f>
        <v>https://pbs.twimg.com/media/F5Wv-UnWoAENni3.jpg</v>
      </c>
      <c r="AW2198" s="80" t="s">
        <v>18035</v>
      </c>
      <c r="AX2198" s="80" t="s">
        <v>18035</v>
      </c>
      <c r="AY2198" s="77"/>
      <c r="AZ2198" s="80" t="s">
        <v>20380</v>
      </c>
      <c r="BA2198" s="80" t="s">
        <v>20380</v>
      </c>
      <c r="BB2198" s="80" t="s">
        <v>20380</v>
      </c>
      <c r="BC2198" s="80" t="s">
        <v>18035</v>
      </c>
      <c r="BD2198" s="80" t="s">
        <v>20826</v>
      </c>
      <c r="BE2198" s="77"/>
      <c r="BF2198" s="77"/>
      <c r="BG2198" s="77"/>
      <c r="BH2198" s="77"/>
      <c r="BI2198" s="77"/>
    </row>
    <row r="2199" spans="1:61" x14ac:dyDescent="0.25">
      <c r="A2199" s="62" t="s">
        <v>911</v>
      </c>
      <c r="B2199" s="62" t="s">
        <v>1919</v>
      </c>
      <c r="C2199" s="63"/>
      <c r="D2199" s="64"/>
      <c r="E2199" s="65"/>
      <c r="F2199" s="66"/>
      <c r="G2199" s="63"/>
      <c r="H2199" s="67"/>
      <c r="I2199" s="68"/>
      <c r="J2199" s="68"/>
      <c r="K2199" s="32"/>
      <c r="L2199" s="75">
        <v>2199</v>
      </c>
      <c r="M2199" s="75"/>
      <c r="N2199" s="70"/>
      <c r="O2199" s="77" t="s">
        <v>2081</v>
      </c>
      <c r="P2199" s="79">
        <v>45151.985671296294</v>
      </c>
      <c r="Q2199" s="77" t="s">
        <v>4049</v>
      </c>
      <c r="R2199" s="77">
        <v>1</v>
      </c>
      <c r="S2199" s="77">
        <v>3</v>
      </c>
      <c r="T2199" s="77">
        <v>0</v>
      </c>
      <c r="U2199" s="77">
        <v>0</v>
      </c>
      <c r="V2199" s="77">
        <v>307</v>
      </c>
      <c r="W2199" s="80" t="s">
        <v>7291</v>
      </c>
      <c r="X2199" s="77"/>
      <c r="Y2199" s="77"/>
      <c r="Z2199" s="77" t="s">
        <v>8973</v>
      </c>
      <c r="AA2199" s="77" t="s">
        <v>9655</v>
      </c>
      <c r="AB2199" s="77" t="s">
        <v>10539</v>
      </c>
      <c r="AC2199" s="80" t="s">
        <v>10540</v>
      </c>
      <c r="AD2199" s="77" t="s">
        <v>10620</v>
      </c>
      <c r="AE2199" s="83" t="str">
        <f>HYPERLINK("https://twitter.com/luppi1882/status/1690870691954835456")</f>
        <v>https://twitter.com/luppi1882/status/1690870691954835456</v>
      </c>
      <c r="AF2199" s="79">
        <v>45151.985671296294</v>
      </c>
      <c r="AG2199" s="85">
        <v>45151</v>
      </c>
      <c r="AH2199" s="80" t="s">
        <v>12573</v>
      </c>
      <c r="AI2199" s="77" t="b">
        <v>0</v>
      </c>
      <c r="AJ2199" s="77"/>
      <c r="AK2199" s="77"/>
      <c r="AL2199" s="77"/>
      <c r="AM2199" s="77"/>
      <c r="AN2199" s="77"/>
      <c r="AO2199" s="77"/>
      <c r="AP2199" s="77"/>
      <c r="AQ2199" s="77" t="s">
        <v>15137</v>
      </c>
      <c r="AR2199" s="77"/>
      <c r="AS2199" s="77"/>
      <c r="AT2199" s="77"/>
      <c r="AU2199" s="77"/>
      <c r="AV2199" s="83" t="str">
        <f>HYPERLINK("https://pbs.twimg.com/tweet_video_thumb/F3ct7UsXoAARYcB.jpg")</f>
        <v>https://pbs.twimg.com/tweet_video_thumb/F3ct7UsXoAARYcB.jpg</v>
      </c>
      <c r="AW2199" s="80" t="s">
        <v>18036</v>
      </c>
      <c r="AX2199" s="80" t="s">
        <v>18036</v>
      </c>
      <c r="AY2199" s="77"/>
      <c r="AZ2199" s="80" t="s">
        <v>20380</v>
      </c>
      <c r="BA2199" s="80" t="s">
        <v>20380</v>
      </c>
      <c r="BB2199" s="80" t="s">
        <v>20380</v>
      </c>
      <c r="BC2199" s="80" t="s">
        <v>18036</v>
      </c>
      <c r="BD2199" s="77">
        <v>2320347221</v>
      </c>
      <c r="BE2199" s="77"/>
      <c r="BF2199" s="77"/>
      <c r="BG2199" s="77"/>
      <c r="BH2199" s="77"/>
      <c r="BI2199" s="77"/>
    </row>
    <row r="2200" spans="1:61" x14ac:dyDescent="0.25">
      <c r="A2200" s="62" t="s">
        <v>911</v>
      </c>
      <c r="B2200" s="62" t="s">
        <v>1767</v>
      </c>
      <c r="C2200" s="63"/>
      <c r="D2200" s="64"/>
      <c r="E2200" s="65"/>
      <c r="F2200" s="66"/>
      <c r="G2200" s="63"/>
      <c r="H2200" s="67"/>
      <c r="I2200" s="68"/>
      <c r="J2200" s="68"/>
      <c r="K2200" s="32"/>
      <c r="L2200" s="75">
        <v>2200</v>
      </c>
      <c r="M2200" s="75"/>
      <c r="N2200" s="70"/>
      <c r="O2200" s="77" t="s">
        <v>2081</v>
      </c>
      <c r="P2200" s="79">
        <v>45151.985671296294</v>
      </c>
      <c r="Q2200" s="77" t="s">
        <v>4049</v>
      </c>
      <c r="R2200" s="77">
        <v>1</v>
      </c>
      <c r="S2200" s="77">
        <v>3</v>
      </c>
      <c r="T2200" s="77">
        <v>0</v>
      </c>
      <c r="U2200" s="77">
        <v>0</v>
      </c>
      <c r="V2200" s="77">
        <v>307</v>
      </c>
      <c r="W2200" s="80" t="s">
        <v>7291</v>
      </c>
      <c r="X2200" s="77"/>
      <c r="Y2200" s="77"/>
      <c r="Z2200" s="77" t="s">
        <v>8973</v>
      </c>
      <c r="AA2200" s="77" t="s">
        <v>9655</v>
      </c>
      <c r="AB2200" s="77" t="s">
        <v>10539</v>
      </c>
      <c r="AC2200" s="80" t="s">
        <v>10540</v>
      </c>
      <c r="AD2200" s="77" t="s">
        <v>10620</v>
      </c>
      <c r="AE2200" s="83" t="str">
        <f>HYPERLINK("https://twitter.com/luppi1882/status/1690870691954835456")</f>
        <v>https://twitter.com/luppi1882/status/1690870691954835456</v>
      </c>
      <c r="AF2200" s="79">
        <v>45151.985671296294</v>
      </c>
      <c r="AG2200" s="85">
        <v>45151</v>
      </c>
      <c r="AH2200" s="80" t="s">
        <v>12573</v>
      </c>
      <c r="AI2200" s="77" t="b">
        <v>0</v>
      </c>
      <c r="AJ2200" s="77"/>
      <c r="AK2200" s="77"/>
      <c r="AL2200" s="77"/>
      <c r="AM2200" s="77"/>
      <c r="AN2200" s="77"/>
      <c r="AO2200" s="77"/>
      <c r="AP2200" s="77"/>
      <c r="AQ2200" s="77" t="s">
        <v>15137</v>
      </c>
      <c r="AR2200" s="77"/>
      <c r="AS2200" s="77"/>
      <c r="AT2200" s="77"/>
      <c r="AU2200" s="77"/>
      <c r="AV2200" s="83" t="str">
        <f>HYPERLINK("https://pbs.twimg.com/tweet_video_thumb/F3ct7UsXoAARYcB.jpg")</f>
        <v>https://pbs.twimg.com/tweet_video_thumb/F3ct7UsXoAARYcB.jpg</v>
      </c>
      <c r="AW2200" s="80" t="s">
        <v>18036</v>
      </c>
      <c r="AX2200" s="80" t="s">
        <v>18036</v>
      </c>
      <c r="AY2200" s="77"/>
      <c r="AZ2200" s="80" t="s">
        <v>20380</v>
      </c>
      <c r="BA2200" s="80" t="s">
        <v>20380</v>
      </c>
      <c r="BB2200" s="80" t="s">
        <v>20380</v>
      </c>
      <c r="BC2200" s="80" t="s">
        <v>18036</v>
      </c>
      <c r="BD2200" s="77">
        <v>2320347221</v>
      </c>
      <c r="BE2200" s="77"/>
      <c r="BF2200" s="77"/>
      <c r="BG2200" s="77"/>
      <c r="BH2200" s="77"/>
      <c r="BI2200" s="77"/>
    </row>
    <row r="2201" spans="1:61" x14ac:dyDescent="0.25">
      <c r="A2201" s="62" t="s">
        <v>912</v>
      </c>
      <c r="B2201" s="62" t="s">
        <v>912</v>
      </c>
      <c r="C2201" s="63"/>
      <c r="D2201" s="64"/>
      <c r="E2201" s="65"/>
      <c r="F2201" s="66"/>
      <c r="G2201" s="63"/>
      <c r="H2201" s="67"/>
      <c r="I2201" s="68"/>
      <c r="J2201" s="68"/>
      <c r="K2201" s="32"/>
      <c r="L2201" s="75">
        <v>2201</v>
      </c>
      <c r="M2201" s="75"/>
      <c r="N2201" s="70"/>
      <c r="O2201" s="77" t="s">
        <v>179</v>
      </c>
      <c r="P2201" s="79">
        <v>45054.859872685185</v>
      </c>
      <c r="Q2201" s="77" t="s">
        <v>4050</v>
      </c>
      <c r="R2201" s="77">
        <v>1</v>
      </c>
      <c r="S2201" s="77">
        <v>2</v>
      </c>
      <c r="T2201" s="77">
        <v>4</v>
      </c>
      <c r="U2201" s="77">
        <v>0</v>
      </c>
      <c r="V2201" s="77">
        <v>507</v>
      </c>
      <c r="W2201" s="80" t="s">
        <v>7292</v>
      </c>
      <c r="X2201" s="83" t="str">
        <f>HYPERLINK("http://www.redetv.uol.com.br/jornalismo/politica/rodrigo-pacheco-diz-que-indicacao-de-galipolo-agrada-ao-senado?cmpid=fb-sensacional")</f>
        <v>http://www.redetv.uol.com.br/jornalismo/politica/rodrigo-pacheco-diz-que-indicacao-de-galipolo-agrada-ao-senado?cmpid=fb-sensacional</v>
      </c>
      <c r="Y2201" s="77" t="s">
        <v>8611</v>
      </c>
      <c r="Z2201" s="77"/>
      <c r="AA2201" s="77"/>
      <c r="AB2201" s="77"/>
      <c r="AC2201" s="80" t="s">
        <v>10541</v>
      </c>
      <c r="AD2201" s="77" t="s">
        <v>10617</v>
      </c>
      <c r="AE2201" s="83" t="str">
        <f>HYPERLINK("https://twitter.com/noticiasredetv/status/1655673481495715866")</f>
        <v>https://twitter.com/noticiasredetv/status/1655673481495715866</v>
      </c>
      <c r="AF2201" s="79">
        <v>45054.859872685185</v>
      </c>
      <c r="AG2201" s="85">
        <v>45054</v>
      </c>
      <c r="AH2201" s="80" t="s">
        <v>12574</v>
      </c>
      <c r="AI2201" s="77" t="b">
        <v>0</v>
      </c>
      <c r="AJ2201" s="77"/>
      <c r="AK2201" s="77"/>
      <c r="AL2201" s="77"/>
      <c r="AM2201" s="77"/>
      <c r="AN2201" s="77"/>
      <c r="AO2201" s="77"/>
      <c r="AP2201" s="77"/>
      <c r="AQ2201" s="77"/>
      <c r="AR2201" s="77"/>
      <c r="AS2201" s="77"/>
      <c r="AT2201" s="77"/>
      <c r="AU2201" s="77"/>
      <c r="AV2201" s="83" t="str">
        <f>HYPERLINK("https://pbs.twimg.com/profile_images/1544047959410606080/0sJKn-Iz_normal.jpg")</f>
        <v>https://pbs.twimg.com/profile_images/1544047959410606080/0sJKn-Iz_normal.jpg</v>
      </c>
      <c r="AW2201" s="80" t="s">
        <v>18037</v>
      </c>
      <c r="AX2201" s="80" t="s">
        <v>18037</v>
      </c>
      <c r="AY2201" s="77"/>
      <c r="AZ2201" s="80" t="s">
        <v>20380</v>
      </c>
      <c r="BA2201" s="80" t="s">
        <v>20380</v>
      </c>
      <c r="BB2201" s="80" t="s">
        <v>20380</v>
      </c>
      <c r="BC2201" s="80" t="s">
        <v>18037</v>
      </c>
      <c r="BD2201" s="80" t="s">
        <v>20827</v>
      </c>
      <c r="BE2201" s="77"/>
      <c r="BF2201" s="77"/>
      <c r="BG2201" s="77"/>
      <c r="BH2201" s="77"/>
      <c r="BI2201" s="77"/>
    </row>
    <row r="2202" spans="1:61" x14ac:dyDescent="0.25">
      <c r="A2202" s="62" t="s">
        <v>912</v>
      </c>
      <c r="B2202" s="62" t="s">
        <v>912</v>
      </c>
      <c r="C2202" s="63"/>
      <c r="D2202" s="64"/>
      <c r="E2202" s="65"/>
      <c r="F2202" s="66"/>
      <c r="G2202" s="63"/>
      <c r="H2202" s="67"/>
      <c r="I2202" s="68"/>
      <c r="J2202" s="68"/>
      <c r="K2202" s="32"/>
      <c r="L2202" s="75">
        <v>2202</v>
      </c>
      <c r="M2202" s="75"/>
      <c r="N2202" s="70"/>
      <c r="O2202" s="77" t="s">
        <v>179</v>
      </c>
      <c r="P2202" s="79">
        <v>45054.669189814813</v>
      </c>
      <c r="Q2202" s="77" t="s">
        <v>4051</v>
      </c>
      <c r="R2202" s="77">
        <v>1</v>
      </c>
      <c r="S2202" s="77">
        <v>1</v>
      </c>
      <c r="T2202" s="77">
        <v>0</v>
      </c>
      <c r="U2202" s="77">
        <v>0</v>
      </c>
      <c r="V2202" s="77">
        <v>599</v>
      </c>
      <c r="W2202" s="80" t="s">
        <v>7293</v>
      </c>
      <c r="X2202" s="83" t="str">
        <f>HYPERLINK("http://www.redetv.uol.com.br/jornalismo/economia/haddad-anuncia-galipolo-para-direcao-de-politica-monetaria-do-bc?cmpid=twitter")</f>
        <v>http://www.redetv.uol.com.br/jornalismo/economia/haddad-anuncia-galipolo-para-direcao-de-politica-monetaria-do-bc?cmpid=twitter</v>
      </c>
      <c r="Y2202" s="77" t="s">
        <v>8611</v>
      </c>
      <c r="Z2202" s="77"/>
      <c r="AA2202" s="77"/>
      <c r="AB2202" s="77"/>
      <c r="AC2202" s="80" t="s">
        <v>10541</v>
      </c>
      <c r="AD2202" s="77" t="s">
        <v>10617</v>
      </c>
      <c r="AE2202" s="83" t="str">
        <f>HYPERLINK("https://twitter.com/noticiasredetv/status/1655604382019321858")</f>
        <v>https://twitter.com/noticiasredetv/status/1655604382019321858</v>
      </c>
      <c r="AF2202" s="79">
        <v>45054.669189814813</v>
      </c>
      <c r="AG2202" s="85">
        <v>45054</v>
      </c>
      <c r="AH2202" s="80" t="s">
        <v>12575</v>
      </c>
      <c r="AI2202" s="77" t="b">
        <v>0</v>
      </c>
      <c r="AJ2202" s="77"/>
      <c r="AK2202" s="77"/>
      <c r="AL2202" s="77"/>
      <c r="AM2202" s="77"/>
      <c r="AN2202" s="77"/>
      <c r="AO2202" s="77"/>
      <c r="AP2202" s="77"/>
      <c r="AQ2202" s="77"/>
      <c r="AR2202" s="77"/>
      <c r="AS2202" s="77"/>
      <c r="AT2202" s="77"/>
      <c r="AU2202" s="77"/>
      <c r="AV2202" s="83" t="str">
        <f>HYPERLINK("https://pbs.twimg.com/profile_images/1544047959410606080/0sJKn-Iz_normal.jpg")</f>
        <v>https://pbs.twimg.com/profile_images/1544047959410606080/0sJKn-Iz_normal.jpg</v>
      </c>
      <c r="AW2202" s="80" t="s">
        <v>18038</v>
      </c>
      <c r="AX2202" s="80" t="s">
        <v>18038</v>
      </c>
      <c r="AY2202" s="77"/>
      <c r="AZ2202" s="80" t="s">
        <v>20380</v>
      </c>
      <c r="BA2202" s="80" t="s">
        <v>20380</v>
      </c>
      <c r="BB2202" s="80" t="s">
        <v>20380</v>
      </c>
      <c r="BC2202" s="80" t="s">
        <v>18038</v>
      </c>
      <c r="BD2202" s="80" t="s">
        <v>20827</v>
      </c>
      <c r="BE2202" s="77"/>
      <c r="BF2202" s="77"/>
      <c r="BG2202" s="77"/>
      <c r="BH2202" s="77"/>
      <c r="BI2202" s="77"/>
    </row>
    <row r="2203" spans="1:61" x14ac:dyDescent="0.25">
      <c r="A2203" s="62" t="s">
        <v>912</v>
      </c>
      <c r="B2203" s="62" t="s">
        <v>912</v>
      </c>
      <c r="C2203" s="63"/>
      <c r="D2203" s="64"/>
      <c r="E2203" s="65"/>
      <c r="F2203" s="66"/>
      <c r="G2203" s="63"/>
      <c r="H2203" s="67"/>
      <c r="I2203" s="68"/>
      <c r="J2203" s="68"/>
      <c r="K2203" s="32"/>
      <c r="L2203" s="75">
        <v>2203</v>
      </c>
      <c r="M2203" s="75"/>
      <c r="N2203" s="70"/>
      <c r="O2203" s="77" t="s">
        <v>179</v>
      </c>
      <c r="P2203" s="79">
        <v>45054.543506944443</v>
      </c>
      <c r="Q2203" s="77" t="s">
        <v>4052</v>
      </c>
      <c r="R2203" s="77">
        <v>2</v>
      </c>
      <c r="S2203" s="77">
        <v>1</v>
      </c>
      <c r="T2203" s="77">
        <v>0</v>
      </c>
      <c r="U2203" s="77">
        <v>0</v>
      </c>
      <c r="V2203" s="77">
        <v>447</v>
      </c>
      <c r="W2203" s="80" t="s">
        <v>7294</v>
      </c>
      <c r="X2203" s="83" t="str">
        <f>HYPERLINK("http://www.redetv.uol.com.br/jornalismo/economia/previsao-de-inflacao-do-mercado-financeiro-cai-para-602-em-2023?cmpid=twitter")</f>
        <v>http://www.redetv.uol.com.br/jornalismo/economia/previsao-de-inflacao-do-mercado-financeiro-cai-para-602-em-2023?cmpid=twitter</v>
      </c>
      <c r="Y2203" s="77" t="s">
        <v>8611</v>
      </c>
      <c r="Z2203" s="77"/>
      <c r="AA2203" s="77"/>
      <c r="AB2203" s="77"/>
      <c r="AC2203" s="80" t="s">
        <v>10541</v>
      </c>
      <c r="AD2203" s="77" t="s">
        <v>10617</v>
      </c>
      <c r="AE2203" s="83" t="str">
        <f>HYPERLINK("https://twitter.com/noticiasredetv/status/1655558834885218304")</f>
        <v>https://twitter.com/noticiasredetv/status/1655558834885218304</v>
      </c>
      <c r="AF2203" s="79">
        <v>45054.543506944443</v>
      </c>
      <c r="AG2203" s="85">
        <v>45054</v>
      </c>
      <c r="AH2203" s="80" t="s">
        <v>12576</v>
      </c>
      <c r="AI2203" s="77" t="b">
        <v>0</v>
      </c>
      <c r="AJ2203" s="77"/>
      <c r="AK2203" s="77"/>
      <c r="AL2203" s="77"/>
      <c r="AM2203" s="77"/>
      <c r="AN2203" s="77"/>
      <c r="AO2203" s="77"/>
      <c r="AP2203" s="77"/>
      <c r="AQ2203" s="77"/>
      <c r="AR2203" s="77"/>
      <c r="AS2203" s="77"/>
      <c r="AT2203" s="77"/>
      <c r="AU2203" s="77"/>
      <c r="AV2203" s="83" t="str">
        <f>HYPERLINK("https://pbs.twimg.com/profile_images/1544047959410606080/0sJKn-Iz_normal.jpg")</f>
        <v>https://pbs.twimg.com/profile_images/1544047959410606080/0sJKn-Iz_normal.jpg</v>
      </c>
      <c r="AW2203" s="80" t="s">
        <v>18039</v>
      </c>
      <c r="AX2203" s="80" t="s">
        <v>18039</v>
      </c>
      <c r="AY2203" s="77"/>
      <c r="AZ2203" s="80" t="s">
        <v>20380</v>
      </c>
      <c r="BA2203" s="80" t="s">
        <v>20380</v>
      </c>
      <c r="BB2203" s="80" t="s">
        <v>20380</v>
      </c>
      <c r="BC2203" s="80" t="s">
        <v>18039</v>
      </c>
      <c r="BD2203" s="80" t="s">
        <v>20827</v>
      </c>
      <c r="BE2203" s="77"/>
      <c r="BF2203" s="77"/>
      <c r="BG2203" s="77"/>
      <c r="BH2203" s="77"/>
      <c r="BI2203" s="77"/>
    </row>
    <row r="2204" spans="1:61" x14ac:dyDescent="0.25">
      <c r="A2204" s="62" t="s">
        <v>912</v>
      </c>
      <c r="B2204" s="62" t="s">
        <v>912</v>
      </c>
      <c r="C2204" s="63"/>
      <c r="D2204" s="64"/>
      <c r="E2204" s="65"/>
      <c r="F2204" s="66"/>
      <c r="G2204" s="63"/>
      <c r="H2204" s="67"/>
      <c r="I2204" s="68"/>
      <c r="J2204" s="68"/>
      <c r="K2204" s="32"/>
      <c r="L2204" s="75">
        <v>2204</v>
      </c>
      <c r="M2204" s="75"/>
      <c r="N2204" s="70"/>
      <c r="O2204" s="77" t="s">
        <v>179</v>
      </c>
      <c r="P2204" s="79">
        <v>45053.867847222224</v>
      </c>
      <c r="Q2204" s="77" t="s">
        <v>4053</v>
      </c>
      <c r="R2204" s="77">
        <v>0</v>
      </c>
      <c r="S2204" s="77">
        <v>0</v>
      </c>
      <c r="T2204" s="77">
        <v>0</v>
      </c>
      <c r="U2204" s="77">
        <v>0</v>
      </c>
      <c r="V2204" s="77">
        <v>47</v>
      </c>
      <c r="W2204" s="80" t="s">
        <v>7295</v>
      </c>
      <c r="X2204" s="83" t="str">
        <f>HYPERLINK("http://www.redetv.uol.com.br/jornalismo/economia/para-maior-seguranca-cheques-terao-mudancas-a-partir-de-2-de-outubro?cmpid=fb-redetv")</f>
        <v>http://www.redetv.uol.com.br/jornalismo/economia/para-maior-seguranca-cheques-terao-mudancas-a-partir-de-2-de-outubro?cmpid=fb-redetv</v>
      </c>
      <c r="Y2204" s="77" t="s">
        <v>8611</v>
      </c>
      <c r="Z2204" s="77"/>
      <c r="AA2204" s="77"/>
      <c r="AB2204" s="77"/>
      <c r="AC2204" s="80" t="s">
        <v>10541</v>
      </c>
      <c r="AD2204" s="77" t="s">
        <v>10617</v>
      </c>
      <c r="AE2204" s="83" t="str">
        <f>HYPERLINK("https://twitter.com/noticiasredetv/status/1655313982872334337")</f>
        <v>https://twitter.com/noticiasredetv/status/1655313982872334337</v>
      </c>
      <c r="AF2204" s="79">
        <v>45053.867847222224</v>
      </c>
      <c r="AG2204" s="85">
        <v>45053</v>
      </c>
      <c r="AH2204" s="80" t="s">
        <v>12577</v>
      </c>
      <c r="AI2204" s="77" t="b">
        <v>0</v>
      </c>
      <c r="AJ2204" s="77"/>
      <c r="AK2204" s="77"/>
      <c r="AL2204" s="77"/>
      <c r="AM2204" s="77"/>
      <c r="AN2204" s="77"/>
      <c r="AO2204" s="77"/>
      <c r="AP2204" s="77"/>
      <c r="AQ2204" s="77"/>
      <c r="AR2204" s="77"/>
      <c r="AS2204" s="77"/>
      <c r="AT2204" s="77"/>
      <c r="AU2204" s="77"/>
      <c r="AV2204" s="83" t="str">
        <f>HYPERLINK("https://pbs.twimg.com/profile_images/1544047959410606080/0sJKn-Iz_normal.jpg")</f>
        <v>https://pbs.twimg.com/profile_images/1544047959410606080/0sJKn-Iz_normal.jpg</v>
      </c>
      <c r="AW2204" s="80" t="s">
        <v>18040</v>
      </c>
      <c r="AX2204" s="80" t="s">
        <v>18040</v>
      </c>
      <c r="AY2204" s="77"/>
      <c r="AZ2204" s="80" t="s">
        <v>20380</v>
      </c>
      <c r="BA2204" s="80" t="s">
        <v>20380</v>
      </c>
      <c r="BB2204" s="80" t="s">
        <v>20380</v>
      </c>
      <c r="BC2204" s="80" t="s">
        <v>18040</v>
      </c>
      <c r="BD2204" s="80" t="s">
        <v>20827</v>
      </c>
      <c r="BE2204" s="77"/>
      <c r="BF2204" s="77"/>
      <c r="BG2204" s="77"/>
      <c r="BH2204" s="77"/>
      <c r="BI2204" s="77"/>
    </row>
    <row r="2205" spans="1:61" x14ac:dyDescent="0.25">
      <c r="A2205" s="62" t="s">
        <v>912</v>
      </c>
      <c r="B2205" s="62" t="s">
        <v>912</v>
      </c>
      <c r="C2205" s="63"/>
      <c r="D2205" s="64"/>
      <c r="E2205" s="65"/>
      <c r="F2205" s="66"/>
      <c r="G2205" s="63"/>
      <c r="H2205" s="67"/>
      <c r="I2205" s="68"/>
      <c r="J2205" s="68"/>
      <c r="K2205" s="32"/>
      <c r="L2205" s="75">
        <v>2205</v>
      </c>
      <c r="M2205" s="75"/>
      <c r="N2205" s="70"/>
      <c r="O2205" s="77" t="s">
        <v>179</v>
      </c>
      <c r="P2205" s="79">
        <v>45052.736458333333</v>
      </c>
      <c r="Q2205" s="77" t="s">
        <v>4054</v>
      </c>
      <c r="R2205" s="77">
        <v>0</v>
      </c>
      <c r="S2205" s="77">
        <v>0</v>
      </c>
      <c r="T2205" s="77">
        <v>0</v>
      </c>
      <c r="U2205" s="77">
        <v>0</v>
      </c>
      <c r="V2205" s="77">
        <v>42</v>
      </c>
      <c r="W2205" s="80" t="s">
        <v>7296</v>
      </c>
      <c r="X2205" s="83" t="str">
        <f>HYPERLINK("http://www.redetv.uol.com.br/jornalismo/economia/banco-central-tem-autonomia-mas-nao-e-intocavel-diz-lula?cmpid=twitter")</f>
        <v>http://www.redetv.uol.com.br/jornalismo/economia/banco-central-tem-autonomia-mas-nao-e-intocavel-diz-lula?cmpid=twitter</v>
      </c>
      <c r="Y2205" s="77" t="s">
        <v>8611</v>
      </c>
      <c r="Z2205" s="77"/>
      <c r="AA2205" s="77"/>
      <c r="AB2205" s="77"/>
      <c r="AC2205" s="80" t="s">
        <v>10541</v>
      </c>
      <c r="AD2205" s="77" t="s">
        <v>10617</v>
      </c>
      <c r="AE2205" s="83" t="str">
        <f>HYPERLINK("https://twitter.com/noticiasredetv/status/1654903983373266944")</f>
        <v>https://twitter.com/noticiasredetv/status/1654903983373266944</v>
      </c>
      <c r="AF2205" s="79">
        <v>45052.736458333333</v>
      </c>
      <c r="AG2205" s="85">
        <v>45052</v>
      </c>
      <c r="AH2205" s="80" t="s">
        <v>12578</v>
      </c>
      <c r="AI2205" s="77" t="b">
        <v>0</v>
      </c>
      <c r="AJ2205" s="77"/>
      <c r="AK2205" s="77"/>
      <c r="AL2205" s="77"/>
      <c r="AM2205" s="77"/>
      <c r="AN2205" s="77"/>
      <c r="AO2205" s="77"/>
      <c r="AP2205" s="77"/>
      <c r="AQ2205" s="77"/>
      <c r="AR2205" s="77"/>
      <c r="AS2205" s="77"/>
      <c r="AT2205" s="77"/>
      <c r="AU2205" s="77"/>
      <c r="AV2205" s="83" t="str">
        <f>HYPERLINK("https://pbs.twimg.com/profile_images/1544047959410606080/0sJKn-Iz_normal.jpg")</f>
        <v>https://pbs.twimg.com/profile_images/1544047959410606080/0sJKn-Iz_normal.jpg</v>
      </c>
      <c r="AW2205" s="80" t="s">
        <v>18041</v>
      </c>
      <c r="AX2205" s="80" t="s">
        <v>18041</v>
      </c>
      <c r="AY2205" s="77"/>
      <c r="AZ2205" s="80" t="s">
        <v>20380</v>
      </c>
      <c r="BA2205" s="80" t="s">
        <v>20380</v>
      </c>
      <c r="BB2205" s="80" t="s">
        <v>20380</v>
      </c>
      <c r="BC2205" s="80" t="s">
        <v>18041</v>
      </c>
      <c r="BD2205" s="80" t="s">
        <v>20827</v>
      </c>
      <c r="BE2205" s="77"/>
      <c r="BF2205" s="77"/>
      <c r="BG2205" s="77"/>
      <c r="BH2205" s="77"/>
      <c r="BI2205" s="77"/>
    </row>
    <row r="2206" spans="1:61" x14ac:dyDescent="0.25">
      <c r="A2206" s="62" t="s">
        <v>912</v>
      </c>
      <c r="B2206" s="62" t="s">
        <v>912</v>
      </c>
      <c r="C2206" s="63"/>
      <c r="D2206" s="64"/>
      <c r="E2206" s="65"/>
      <c r="F2206" s="66"/>
      <c r="G2206" s="63"/>
      <c r="H2206" s="67"/>
      <c r="I2206" s="68"/>
      <c r="J2206" s="68"/>
      <c r="K2206" s="32"/>
      <c r="L2206" s="75">
        <v>2206</v>
      </c>
      <c r="M2206" s="75"/>
      <c r="N2206" s="70"/>
      <c r="O2206" s="77" t="s">
        <v>179</v>
      </c>
      <c r="P2206" s="79">
        <v>45124.620636574073</v>
      </c>
      <c r="Q2206" s="77" t="s">
        <v>4055</v>
      </c>
      <c r="R2206" s="77">
        <v>0</v>
      </c>
      <c r="S2206" s="77">
        <v>0</v>
      </c>
      <c r="T2206" s="77">
        <v>0</v>
      </c>
      <c r="U2206" s="77">
        <v>0</v>
      </c>
      <c r="V2206" s="77">
        <v>38</v>
      </c>
      <c r="W2206" s="80" t="s">
        <v>7297</v>
      </c>
      <c r="X2206" s="83" t="str">
        <f>HYPERLINK("http://www.redetv.uol.com.br/jornalismo/economia/mercado-financeiro-preve-pib-de-224-este-ano?cmpid=twitter")</f>
        <v>http://www.redetv.uol.com.br/jornalismo/economia/mercado-financeiro-preve-pib-de-224-este-ano?cmpid=twitter</v>
      </c>
      <c r="Y2206" s="77" t="s">
        <v>8611</v>
      </c>
      <c r="Z2206" s="77"/>
      <c r="AA2206" s="77"/>
      <c r="AB2206" s="77"/>
      <c r="AC2206" s="80" t="s">
        <v>10541</v>
      </c>
      <c r="AD2206" s="77" t="s">
        <v>10617</v>
      </c>
      <c r="AE2206" s="83" t="str">
        <f>HYPERLINK("https://twitter.com/noticiasredetv/status/1680953937182990336")</f>
        <v>https://twitter.com/noticiasredetv/status/1680953937182990336</v>
      </c>
      <c r="AF2206" s="79">
        <v>45124.620636574073</v>
      </c>
      <c r="AG2206" s="85">
        <v>45124</v>
      </c>
      <c r="AH2206" s="80" t="s">
        <v>12579</v>
      </c>
      <c r="AI2206" s="77" t="b">
        <v>0</v>
      </c>
      <c r="AJ2206" s="77"/>
      <c r="AK2206" s="77"/>
      <c r="AL2206" s="77"/>
      <c r="AM2206" s="77"/>
      <c r="AN2206" s="77"/>
      <c r="AO2206" s="77"/>
      <c r="AP2206" s="77"/>
      <c r="AQ2206" s="77"/>
      <c r="AR2206" s="77"/>
      <c r="AS2206" s="77"/>
      <c r="AT2206" s="77"/>
      <c r="AU2206" s="77"/>
      <c r="AV2206" s="83" t="str">
        <f>HYPERLINK("https://pbs.twimg.com/profile_images/1544047959410606080/0sJKn-Iz_normal.jpg")</f>
        <v>https://pbs.twimg.com/profile_images/1544047959410606080/0sJKn-Iz_normal.jpg</v>
      </c>
      <c r="AW2206" s="80" t="s">
        <v>18042</v>
      </c>
      <c r="AX2206" s="80" t="s">
        <v>18042</v>
      </c>
      <c r="AY2206" s="77"/>
      <c r="AZ2206" s="80" t="s">
        <v>20380</v>
      </c>
      <c r="BA2206" s="80" t="s">
        <v>20380</v>
      </c>
      <c r="BB2206" s="80" t="s">
        <v>20380</v>
      </c>
      <c r="BC2206" s="80" t="s">
        <v>18042</v>
      </c>
      <c r="BD2206" s="80" t="s">
        <v>20827</v>
      </c>
      <c r="BE2206" s="77"/>
      <c r="BF2206" s="77"/>
      <c r="BG2206" s="77"/>
      <c r="BH2206" s="77"/>
      <c r="BI2206" s="77"/>
    </row>
    <row r="2207" spans="1:61" x14ac:dyDescent="0.25">
      <c r="A2207" s="62" t="s">
        <v>912</v>
      </c>
      <c r="B2207" s="62" t="s">
        <v>912</v>
      </c>
      <c r="C2207" s="63"/>
      <c r="D2207" s="64"/>
      <c r="E2207" s="65"/>
      <c r="F2207" s="66"/>
      <c r="G2207" s="63"/>
      <c r="H2207" s="67"/>
      <c r="I2207" s="68"/>
      <c r="J2207" s="68"/>
      <c r="K2207" s="32"/>
      <c r="L2207" s="75">
        <v>2207</v>
      </c>
      <c r="M2207" s="75"/>
      <c r="N2207" s="70"/>
      <c r="O2207" s="77" t="s">
        <v>179</v>
      </c>
      <c r="P2207" s="79">
        <v>45050.706261574072</v>
      </c>
      <c r="Q2207" s="77" t="s">
        <v>4056</v>
      </c>
      <c r="R2207" s="77">
        <v>1</v>
      </c>
      <c r="S2207" s="77">
        <v>0</v>
      </c>
      <c r="T2207" s="77">
        <v>0</v>
      </c>
      <c r="U2207" s="77">
        <v>0</v>
      </c>
      <c r="V2207" s="77">
        <v>140</v>
      </c>
      <c r="W2207" s="80" t="s">
        <v>7298</v>
      </c>
      <c r="X2207" s="83" t="str">
        <f>HYPERLINK("http://www.redetv.uol.com.br/jornalismo/politica/lula-reclama-em-reuniao-no-conselhao-que-nao-se-pode-falar-de-juros?cmpid=twitter")</f>
        <v>http://www.redetv.uol.com.br/jornalismo/politica/lula-reclama-em-reuniao-no-conselhao-que-nao-se-pode-falar-de-juros?cmpid=twitter</v>
      </c>
      <c r="Y2207" s="77" t="s">
        <v>8611</v>
      </c>
      <c r="Z2207" s="77"/>
      <c r="AA2207" s="77"/>
      <c r="AB2207" s="77"/>
      <c r="AC2207" s="80" t="s">
        <v>10541</v>
      </c>
      <c r="AD2207" s="77" t="s">
        <v>10617</v>
      </c>
      <c r="AE2207" s="83" t="str">
        <f>HYPERLINK("https://twitter.com/noticiasredetv/status/1654168261267685391")</f>
        <v>https://twitter.com/noticiasredetv/status/1654168261267685391</v>
      </c>
      <c r="AF2207" s="79">
        <v>45050.706261574072</v>
      </c>
      <c r="AG2207" s="85">
        <v>45050</v>
      </c>
      <c r="AH2207" s="80" t="s">
        <v>12580</v>
      </c>
      <c r="AI2207" s="77" t="b">
        <v>0</v>
      </c>
      <c r="AJ2207" s="77"/>
      <c r="AK2207" s="77"/>
      <c r="AL2207" s="77"/>
      <c r="AM2207" s="77"/>
      <c r="AN2207" s="77"/>
      <c r="AO2207" s="77"/>
      <c r="AP2207" s="77"/>
      <c r="AQ2207" s="77"/>
      <c r="AR2207" s="77"/>
      <c r="AS2207" s="77"/>
      <c r="AT2207" s="77"/>
      <c r="AU2207" s="77"/>
      <c r="AV2207" s="83" t="str">
        <f>HYPERLINK("https://pbs.twimg.com/profile_images/1544047959410606080/0sJKn-Iz_normal.jpg")</f>
        <v>https://pbs.twimg.com/profile_images/1544047959410606080/0sJKn-Iz_normal.jpg</v>
      </c>
      <c r="AW2207" s="80" t="s">
        <v>18043</v>
      </c>
      <c r="AX2207" s="80" t="s">
        <v>18043</v>
      </c>
      <c r="AY2207" s="77"/>
      <c r="AZ2207" s="80" t="s">
        <v>20380</v>
      </c>
      <c r="BA2207" s="80" t="s">
        <v>20380</v>
      </c>
      <c r="BB2207" s="80" t="s">
        <v>20380</v>
      </c>
      <c r="BC2207" s="80" t="s">
        <v>18043</v>
      </c>
      <c r="BD2207" s="80" t="s">
        <v>20827</v>
      </c>
      <c r="BE2207" s="77"/>
      <c r="BF2207" s="77"/>
      <c r="BG2207" s="77"/>
      <c r="BH2207" s="77"/>
      <c r="BI2207" s="77"/>
    </row>
    <row r="2208" spans="1:61" x14ac:dyDescent="0.25">
      <c r="A2208" s="62" t="s">
        <v>912</v>
      </c>
      <c r="B2208" s="62" t="s">
        <v>912</v>
      </c>
      <c r="C2208" s="63"/>
      <c r="D2208" s="64"/>
      <c r="E2208" s="65"/>
      <c r="F2208" s="66"/>
      <c r="G2208" s="63"/>
      <c r="H2208" s="67"/>
      <c r="I2208" s="68"/>
      <c r="J2208" s="68"/>
      <c r="K2208" s="32"/>
      <c r="L2208" s="75">
        <v>2208</v>
      </c>
      <c r="M2208" s="75"/>
      <c r="N2208" s="70"/>
      <c r="O2208" s="77" t="s">
        <v>179</v>
      </c>
      <c r="P2208" s="79">
        <v>45050.022569444445</v>
      </c>
      <c r="Q2208" s="77" t="s">
        <v>4057</v>
      </c>
      <c r="R2208" s="77">
        <v>1</v>
      </c>
      <c r="S2208" s="77">
        <v>1</v>
      </c>
      <c r="T2208" s="77">
        <v>0</v>
      </c>
      <c r="U2208" s="77">
        <v>0</v>
      </c>
      <c r="V2208" s="77">
        <v>559</v>
      </c>
      <c r="W2208" s="80" t="s">
        <v>7299</v>
      </c>
      <c r="X2208" s="83" t="str">
        <f>HYPERLINK("http://www.redetv.uol.com.br/jornalismo/economia/copom-mantem-novamente-juros-basicos-da-economia-em-1375-ao-ano?cmpid=twitter")</f>
        <v>http://www.redetv.uol.com.br/jornalismo/economia/copom-mantem-novamente-juros-basicos-da-economia-em-1375-ao-ano?cmpid=twitter</v>
      </c>
      <c r="Y2208" s="77" t="s">
        <v>8611</v>
      </c>
      <c r="Z2208" s="77"/>
      <c r="AA2208" s="77"/>
      <c r="AB2208" s="77"/>
      <c r="AC2208" s="80" t="s">
        <v>10541</v>
      </c>
      <c r="AD2208" s="77" t="s">
        <v>10617</v>
      </c>
      <c r="AE2208" s="83" t="str">
        <f>HYPERLINK("https://twitter.com/noticiasredetv/status/1653920501184487424")</f>
        <v>https://twitter.com/noticiasredetv/status/1653920501184487424</v>
      </c>
      <c r="AF2208" s="79">
        <v>45050.022569444445</v>
      </c>
      <c r="AG2208" s="85">
        <v>45050</v>
      </c>
      <c r="AH2208" s="80" t="s">
        <v>12581</v>
      </c>
      <c r="AI2208" s="77" t="b">
        <v>0</v>
      </c>
      <c r="AJ2208" s="77"/>
      <c r="AK2208" s="77"/>
      <c r="AL2208" s="77"/>
      <c r="AM2208" s="77"/>
      <c r="AN2208" s="77"/>
      <c r="AO2208" s="77"/>
      <c r="AP2208" s="77"/>
      <c r="AQ2208" s="77"/>
      <c r="AR2208" s="77"/>
      <c r="AS2208" s="77"/>
      <c r="AT2208" s="77"/>
      <c r="AU2208" s="77"/>
      <c r="AV2208" s="83" t="str">
        <f>HYPERLINK("https://pbs.twimg.com/profile_images/1544047959410606080/0sJKn-Iz_normal.jpg")</f>
        <v>https://pbs.twimg.com/profile_images/1544047959410606080/0sJKn-Iz_normal.jpg</v>
      </c>
      <c r="AW2208" s="80" t="s">
        <v>18044</v>
      </c>
      <c r="AX2208" s="80" t="s">
        <v>18044</v>
      </c>
      <c r="AY2208" s="77"/>
      <c r="AZ2208" s="80" t="s">
        <v>20380</v>
      </c>
      <c r="BA2208" s="80" t="s">
        <v>20380</v>
      </c>
      <c r="BB2208" s="80" t="s">
        <v>20380</v>
      </c>
      <c r="BC2208" s="80" t="s">
        <v>18044</v>
      </c>
      <c r="BD2208" s="80" t="s">
        <v>20827</v>
      </c>
      <c r="BE2208" s="77"/>
      <c r="BF2208" s="77"/>
      <c r="BG2208" s="77"/>
      <c r="BH2208" s="77"/>
      <c r="BI2208" s="77"/>
    </row>
    <row r="2209" spans="1:61" x14ac:dyDescent="0.25">
      <c r="A2209" s="62" t="s">
        <v>912</v>
      </c>
      <c r="B2209" s="62" t="s">
        <v>912</v>
      </c>
      <c r="C2209" s="63"/>
      <c r="D2209" s="64"/>
      <c r="E2209" s="65"/>
      <c r="F2209" s="66"/>
      <c r="G2209" s="63"/>
      <c r="H2209" s="67"/>
      <c r="I2209" s="68"/>
      <c r="J2209" s="68"/>
      <c r="K2209" s="32"/>
      <c r="L2209" s="75">
        <v>2209</v>
      </c>
      <c r="M2209" s="75"/>
      <c r="N2209" s="70"/>
      <c r="O2209" s="77" t="s">
        <v>179</v>
      </c>
      <c r="P2209" s="79">
        <v>45049.896909722222</v>
      </c>
      <c r="Q2209" s="77" t="s">
        <v>4058</v>
      </c>
      <c r="R2209" s="77">
        <v>1</v>
      </c>
      <c r="S2209" s="77">
        <v>0</v>
      </c>
      <c r="T2209" s="77">
        <v>2</v>
      </c>
      <c r="U2209" s="77">
        <v>0</v>
      </c>
      <c r="V2209" s="77">
        <v>579</v>
      </c>
      <c r="W2209" s="80" t="s">
        <v>7300</v>
      </c>
      <c r="X2209" s="83" t="str">
        <f>HYPERLINK("http://www.redetv.uol.com.br/jornalismo/economia/independencia-do-banco-central-gil-do-vigor-explica-politica-monetaria?cmpid=twitter")</f>
        <v>http://www.redetv.uol.com.br/jornalismo/economia/independencia-do-banco-central-gil-do-vigor-explica-politica-monetaria?cmpid=twitter</v>
      </c>
      <c r="Y2209" s="77" t="s">
        <v>8611</v>
      </c>
      <c r="Z2209" s="77"/>
      <c r="AA2209" s="77"/>
      <c r="AB2209" s="77"/>
      <c r="AC2209" s="80" t="s">
        <v>10541</v>
      </c>
      <c r="AD2209" s="77" t="s">
        <v>10617</v>
      </c>
      <c r="AE2209" s="83" t="str">
        <f>HYPERLINK("https://twitter.com/noticiasredetv/status/1653874962548027393")</f>
        <v>https://twitter.com/noticiasredetv/status/1653874962548027393</v>
      </c>
      <c r="AF2209" s="79">
        <v>45049.896909722222</v>
      </c>
      <c r="AG2209" s="85">
        <v>45049</v>
      </c>
      <c r="AH2209" s="80" t="s">
        <v>12582</v>
      </c>
      <c r="AI2209" s="77" t="b">
        <v>0</v>
      </c>
      <c r="AJ2209" s="77"/>
      <c r="AK2209" s="77"/>
      <c r="AL2209" s="77"/>
      <c r="AM2209" s="77"/>
      <c r="AN2209" s="77"/>
      <c r="AO2209" s="77"/>
      <c r="AP2209" s="77"/>
      <c r="AQ2209" s="77"/>
      <c r="AR2209" s="77"/>
      <c r="AS2209" s="77"/>
      <c r="AT2209" s="77"/>
      <c r="AU2209" s="77"/>
      <c r="AV2209" s="83" t="str">
        <f>HYPERLINK("https://pbs.twimg.com/profile_images/1544047959410606080/0sJKn-Iz_normal.jpg")</f>
        <v>https://pbs.twimg.com/profile_images/1544047959410606080/0sJKn-Iz_normal.jpg</v>
      </c>
      <c r="AW2209" s="80" t="s">
        <v>18045</v>
      </c>
      <c r="AX2209" s="80" t="s">
        <v>18045</v>
      </c>
      <c r="AY2209" s="77"/>
      <c r="AZ2209" s="80" t="s">
        <v>20380</v>
      </c>
      <c r="BA2209" s="80" t="s">
        <v>20380</v>
      </c>
      <c r="BB2209" s="80" t="s">
        <v>20380</v>
      </c>
      <c r="BC2209" s="80" t="s">
        <v>18045</v>
      </c>
      <c r="BD2209" s="80" t="s">
        <v>20827</v>
      </c>
      <c r="BE2209" s="77"/>
      <c r="BF2209" s="77"/>
      <c r="BG2209" s="77"/>
      <c r="BH2209" s="77"/>
      <c r="BI2209" s="77"/>
    </row>
    <row r="2210" spans="1:61" x14ac:dyDescent="0.25">
      <c r="A2210" s="62" t="s">
        <v>912</v>
      </c>
      <c r="B2210" s="62" t="s">
        <v>912</v>
      </c>
      <c r="C2210" s="63"/>
      <c r="D2210" s="64"/>
      <c r="E2210" s="65"/>
      <c r="F2210" s="66"/>
      <c r="G2210" s="63"/>
      <c r="H2210" s="67"/>
      <c r="I2210" s="68"/>
      <c r="J2210" s="68"/>
      <c r="K2210" s="32"/>
      <c r="L2210" s="75">
        <v>2210</v>
      </c>
      <c r="M2210" s="75"/>
      <c r="N2210" s="70"/>
      <c r="O2210" s="77" t="s">
        <v>179</v>
      </c>
      <c r="P2210" s="79">
        <v>45139.499131944445</v>
      </c>
      <c r="Q2210" s="77" t="s">
        <v>4059</v>
      </c>
      <c r="R2210" s="77">
        <v>0</v>
      </c>
      <c r="S2210" s="77">
        <v>0</v>
      </c>
      <c r="T2210" s="77">
        <v>0</v>
      </c>
      <c r="U2210" s="77">
        <v>0</v>
      </c>
      <c r="V2210" s="77">
        <v>39</v>
      </c>
      <c r="W2210" s="80" t="s">
        <v>7301</v>
      </c>
      <c r="X2210" s="83" t="str">
        <f>HYPERLINK("http://www.redetv.uol.com.br/jornalismo/economia/copom-inicia-quinta-reuniao-do-ano-sob-expectativa-de-queda-de-juros?cmpid=twitter")</f>
        <v>http://www.redetv.uol.com.br/jornalismo/economia/copom-inicia-quinta-reuniao-do-ano-sob-expectativa-de-queda-de-juros?cmpid=twitter</v>
      </c>
      <c r="Y2210" s="77" t="s">
        <v>8611</v>
      </c>
      <c r="Z2210" s="77"/>
      <c r="AA2210" s="77"/>
      <c r="AB2210" s="77"/>
      <c r="AC2210" s="80" t="s">
        <v>10541</v>
      </c>
      <c r="AD2210" s="77" t="s">
        <v>10617</v>
      </c>
      <c r="AE2210" s="83" t="str">
        <f>HYPERLINK("https://twitter.com/noticiasredetv/status/1686345719966289920")</f>
        <v>https://twitter.com/noticiasredetv/status/1686345719966289920</v>
      </c>
      <c r="AF2210" s="79">
        <v>45139.499131944445</v>
      </c>
      <c r="AG2210" s="85">
        <v>45139</v>
      </c>
      <c r="AH2210" s="80" t="s">
        <v>12583</v>
      </c>
      <c r="AI2210" s="77" t="b">
        <v>0</v>
      </c>
      <c r="AJ2210" s="77"/>
      <c r="AK2210" s="77"/>
      <c r="AL2210" s="77"/>
      <c r="AM2210" s="77"/>
      <c r="AN2210" s="77"/>
      <c r="AO2210" s="77"/>
      <c r="AP2210" s="77"/>
      <c r="AQ2210" s="77"/>
      <c r="AR2210" s="77"/>
      <c r="AS2210" s="77"/>
      <c r="AT2210" s="77"/>
      <c r="AU2210" s="77"/>
      <c r="AV2210" s="83" t="str">
        <f>HYPERLINK("https://pbs.twimg.com/profile_images/1544047959410606080/0sJKn-Iz_normal.jpg")</f>
        <v>https://pbs.twimg.com/profile_images/1544047959410606080/0sJKn-Iz_normal.jpg</v>
      </c>
      <c r="AW2210" s="80" t="s">
        <v>18046</v>
      </c>
      <c r="AX2210" s="80" t="s">
        <v>18046</v>
      </c>
      <c r="AY2210" s="77"/>
      <c r="AZ2210" s="80" t="s">
        <v>20380</v>
      </c>
      <c r="BA2210" s="80" t="s">
        <v>20380</v>
      </c>
      <c r="BB2210" s="80" t="s">
        <v>20380</v>
      </c>
      <c r="BC2210" s="80" t="s">
        <v>18046</v>
      </c>
      <c r="BD2210" s="80" t="s">
        <v>20827</v>
      </c>
      <c r="BE2210" s="77"/>
      <c r="BF2210" s="77"/>
      <c r="BG2210" s="77"/>
      <c r="BH2210" s="77"/>
      <c r="BI2210" s="77"/>
    </row>
    <row r="2211" spans="1:61" x14ac:dyDescent="0.25">
      <c r="A2211" s="62" t="s">
        <v>912</v>
      </c>
      <c r="B2211" s="62" t="s">
        <v>912</v>
      </c>
      <c r="C2211" s="63"/>
      <c r="D2211" s="64"/>
      <c r="E2211" s="65"/>
      <c r="F2211" s="66"/>
      <c r="G2211" s="63"/>
      <c r="H2211" s="67"/>
      <c r="I2211" s="68"/>
      <c r="J2211" s="68"/>
      <c r="K2211" s="32"/>
      <c r="L2211" s="75">
        <v>2211</v>
      </c>
      <c r="M2211" s="75"/>
      <c r="N2211" s="70"/>
      <c r="O2211" s="77" t="s">
        <v>179</v>
      </c>
      <c r="P2211" s="79">
        <v>45145.569502314815</v>
      </c>
      <c r="Q2211" s="77" t="s">
        <v>4060</v>
      </c>
      <c r="R2211" s="77">
        <v>0</v>
      </c>
      <c r="S2211" s="77">
        <v>0</v>
      </c>
      <c r="T2211" s="77">
        <v>0</v>
      </c>
      <c r="U2211" s="77">
        <v>0</v>
      </c>
      <c r="V2211" s="77">
        <v>48</v>
      </c>
      <c r="W2211" s="80" t="s">
        <v>7302</v>
      </c>
      <c r="X2211" s="83" t="str">
        <f>HYPERLINK("http://www.redetv.uol.com.br/jornalismo/economia/mercado-reduz-previsao-da-taxa-selic-para-menos-de-12-ao-ano?cmpid=twitter")</f>
        <v>http://www.redetv.uol.com.br/jornalismo/economia/mercado-reduz-previsao-da-taxa-selic-para-menos-de-12-ao-ano?cmpid=twitter</v>
      </c>
      <c r="Y2211" s="77" t="s">
        <v>8611</v>
      </c>
      <c r="Z2211" s="77"/>
      <c r="AA2211" s="77"/>
      <c r="AB2211" s="77"/>
      <c r="AC2211" s="80" t="s">
        <v>10541</v>
      </c>
      <c r="AD2211" s="77" t="s">
        <v>10617</v>
      </c>
      <c r="AE2211" s="83" t="str">
        <f>HYPERLINK("https://twitter.com/noticiasredetv/status/1688545551996915712")</f>
        <v>https://twitter.com/noticiasredetv/status/1688545551996915712</v>
      </c>
      <c r="AF2211" s="79">
        <v>45145.569502314815</v>
      </c>
      <c r="AG2211" s="85">
        <v>45145</v>
      </c>
      <c r="AH2211" s="80" t="s">
        <v>12584</v>
      </c>
      <c r="AI2211" s="77" t="b">
        <v>0</v>
      </c>
      <c r="AJ2211" s="77"/>
      <c r="AK2211" s="77"/>
      <c r="AL2211" s="77"/>
      <c r="AM2211" s="77"/>
      <c r="AN2211" s="77"/>
      <c r="AO2211" s="77"/>
      <c r="AP2211" s="77"/>
      <c r="AQ2211" s="77"/>
      <c r="AR2211" s="77"/>
      <c r="AS2211" s="77"/>
      <c r="AT2211" s="77"/>
      <c r="AU2211" s="77"/>
      <c r="AV2211" s="83" t="str">
        <f>HYPERLINK("https://pbs.twimg.com/profile_images/1544047959410606080/0sJKn-Iz_normal.jpg")</f>
        <v>https://pbs.twimg.com/profile_images/1544047959410606080/0sJKn-Iz_normal.jpg</v>
      </c>
      <c r="AW2211" s="80" t="s">
        <v>18047</v>
      </c>
      <c r="AX2211" s="80" t="s">
        <v>18047</v>
      </c>
      <c r="AY2211" s="77"/>
      <c r="AZ2211" s="80" t="s">
        <v>20380</v>
      </c>
      <c r="BA2211" s="80" t="s">
        <v>20380</v>
      </c>
      <c r="BB2211" s="80" t="s">
        <v>20380</v>
      </c>
      <c r="BC2211" s="80" t="s">
        <v>18047</v>
      </c>
      <c r="BD2211" s="80" t="s">
        <v>20827</v>
      </c>
      <c r="BE2211" s="77"/>
      <c r="BF2211" s="77"/>
      <c r="BG2211" s="77"/>
      <c r="BH2211" s="77"/>
      <c r="BI2211" s="77"/>
    </row>
    <row r="2212" spans="1:61" x14ac:dyDescent="0.25">
      <c r="A2212" s="62" t="s">
        <v>912</v>
      </c>
      <c r="B2212" s="62" t="s">
        <v>912</v>
      </c>
      <c r="C2212" s="63"/>
      <c r="D2212" s="64"/>
      <c r="E2212" s="65"/>
      <c r="F2212" s="66"/>
      <c r="G2212" s="63"/>
      <c r="H2212" s="67"/>
      <c r="I2212" s="68"/>
      <c r="J2212" s="68"/>
      <c r="K2212" s="32"/>
      <c r="L2212" s="75">
        <v>2212</v>
      </c>
      <c r="M2212" s="75"/>
      <c r="N2212" s="70"/>
      <c r="O2212" s="77" t="s">
        <v>179</v>
      </c>
      <c r="P2212" s="79">
        <v>45132.544305555559</v>
      </c>
      <c r="Q2212" s="77" t="s">
        <v>4061</v>
      </c>
      <c r="R2212" s="77">
        <v>0</v>
      </c>
      <c r="S2212" s="77">
        <v>2</v>
      </c>
      <c r="T2212" s="77">
        <v>0</v>
      </c>
      <c r="U2212" s="77">
        <v>0</v>
      </c>
      <c r="V2212" s="77">
        <v>71</v>
      </c>
      <c r="W2212" s="80" t="s">
        <v>7303</v>
      </c>
      <c r="X2212" s="83" t="str">
        <f>HYPERLINK("http://www.redetv.uol.com.br/jornalismo/economia/mercado-reduz-previsao-da-inflacao-de-495-para-49-este-ano?cmpid=twitter")</f>
        <v>http://www.redetv.uol.com.br/jornalismo/economia/mercado-reduz-previsao-da-inflacao-de-495-para-49-este-ano?cmpid=twitter</v>
      </c>
      <c r="Y2212" s="77" t="s">
        <v>8611</v>
      </c>
      <c r="Z2212" s="77"/>
      <c r="AA2212" s="77"/>
      <c r="AB2212" s="77"/>
      <c r="AC2212" s="80" t="s">
        <v>10541</v>
      </c>
      <c r="AD2212" s="77" t="s">
        <v>10617</v>
      </c>
      <c r="AE2212" s="83" t="str">
        <f>HYPERLINK("https://twitter.com/noticiasredetv/status/1683825377687351299")</f>
        <v>https://twitter.com/noticiasredetv/status/1683825377687351299</v>
      </c>
      <c r="AF2212" s="79">
        <v>45132.544305555559</v>
      </c>
      <c r="AG2212" s="85">
        <v>45132</v>
      </c>
      <c r="AH2212" s="80" t="s">
        <v>12585</v>
      </c>
      <c r="AI2212" s="77" t="b">
        <v>0</v>
      </c>
      <c r="AJ2212" s="77"/>
      <c r="AK2212" s="77"/>
      <c r="AL2212" s="77"/>
      <c r="AM2212" s="77"/>
      <c r="AN2212" s="77"/>
      <c r="AO2212" s="77"/>
      <c r="AP2212" s="77"/>
      <c r="AQ2212" s="77"/>
      <c r="AR2212" s="77"/>
      <c r="AS2212" s="77"/>
      <c r="AT2212" s="77"/>
      <c r="AU2212" s="77"/>
      <c r="AV2212" s="83" t="str">
        <f>HYPERLINK("https://pbs.twimg.com/profile_images/1544047959410606080/0sJKn-Iz_normal.jpg")</f>
        <v>https://pbs.twimg.com/profile_images/1544047959410606080/0sJKn-Iz_normal.jpg</v>
      </c>
      <c r="AW2212" s="80" t="s">
        <v>18048</v>
      </c>
      <c r="AX2212" s="80" t="s">
        <v>18048</v>
      </c>
      <c r="AY2212" s="77"/>
      <c r="AZ2212" s="80" t="s">
        <v>20380</v>
      </c>
      <c r="BA2212" s="80" t="s">
        <v>20380</v>
      </c>
      <c r="BB2212" s="80" t="s">
        <v>20380</v>
      </c>
      <c r="BC2212" s="80" t="s">
        <v>18048</v>
      </c>
      <c r="BD2212" s="80" t="s">
        <v>20827</v>
      </c>
      <c r="BE2212" s="77"/>
      <c r="BF2212" s="77"/>
      <c r="BG2212" s="77"/>
      <c r="BH2212" s="77"/>
      <c r="BI2212" s="77"/>
    </row>
    <row r="2213" spans="1:61" x14ac:dyDescent="0.25">
      <c r="A2213" s="62" t="s">
        <v>912</v>
      </c>
      <c r="B2213" s="62" t="s">
        <v>912</v>
      </c>
      <c r="C2213" s="63"/>
      <c r="D2213" s="64"/>
      <c r="E2213" s="65"/>
      <c r="F2213" s="66"/>
      <c r="G2213" s="63"/>
      <c r="H2213" s="67"/>
      <c r="I2213" s="68"/>
      <c r="J2213" s="68"/>
      <c r="K2213" s="32"/>
      <c r="L2213" s="75">
        <v>2213</v>
      </c>
      <c r="M2213" s="75"/>
      <c r="N2213" s="70"/>
      <c r="O2213" s="77" t="s">
        <v>179</v>
      </c>
      <c r="P2213" s="79">
        <v>45091.96497685185</v>
      </c>
      <c r="Q2213" s="77" t="s">
        <v>4062</v>
      </c>
      <c r="R2213" s="77">
        <v>0</v>
      </c>
      <c r="S2213" s="77">
        <v>0</v>
      </c>
      <c r="T2213" s="77">
        <v>0</v>
      </c>
      <c r="U2213" s="77">
        <v>0</v>
      </c>
      <c r="V2213" s="77">
        <v>37</v>
      </c>
      <c r="W2213" s="80" t="s">
        <v>7304</v>
      </c>
      <c r="X2213" s="83" t="str">
        <f>HYPERLINK("http://www.redetv.uol.com.br/jornalismo/economia/haddad-elogia-congresso-e-cobra-banco-central-apos-decisao-da-sp?cmpid=twitter")</f>
        <v>http://www.redetv.uol.com.br/jornalismo/economia/haddad-elogia-congresso-e-cobra-banco-central-apos-decisao-da-sp?cmpid=twitter</v>
      </c>
      <c r="Y2213" s="77" t="s">
        <v>8611</v>
      </c>
      <c r="Z2213" s="77"/>
      <c r="AA2213" s="77"/>
      <c r="AB2213" s="77"/>
      <c r="AC2213" s="80" t="s">
        <v>10541</v>
      </c>
      <c r="AD2213" s="77" t="s">
        <v>10617</v>
      </c>
      <c r="AE2213" s="83" t="str">
        <f>HYPERLINK("https://twitter.com/noticiasredetv/status/1669119919609323522")</f>
        <v>https://twitter.com/noticiasredetv/status/1669119919609323522</v>
      </c>
      <c r="AF2213" s="79">
        <v>45091.96497685185</v>
      </c>
      <c r="AG2213" s="85">
        <v>45091</v>
      </c>
      <c r="AH2213" s="80" t="s">
        <v>12586</v>
      </c>
      <c r="AI2213" s="77" t="b">
        <v>0</v>
      </c>
      <c r="AJ2213" s="77"/>
      <c r="AK2213" s="77"/>
      <c r="AL2213" s="77"/>
      <c r="AM2213" s="77"/>
      <c r="AN2213" s="77"/>
      <c r="AO2213" s="77"/>
      <c r="AP2213" s="77"/>
      <c r="AQ2213" s="77"/>
      <c r="AR2213" s="77"/>
      <c r="AS2213" s="77"/>
      <c r="AT2213" s="77"/>
      <c r="AU2213" s="77"/>
      <c r="AV2213" s="83" t="str">
        <f>HYPERLINK("https://pbs.twimg.com/profile_images/1544047959410606080/0sJKn-Iz_normal.jpg")</f>
        <v>https://pbs.twimg.com/profile_images/1544047959410606080/0sJKn-Iz_normal.jpg</v>
      </c>
      <c r="AW2213" s="80" t="s">
        <v>18049</v>
      </c>
      <c r="AX2213" s="80" t="s">
        <v>18049</v>
      </c>
      <c r="AY2213" s="77"/>
      <c r="AZ2213" s="80" t="s">
        <v>20380</v>
      </c>
      <c r="BA2213" s="80" t="s">
        <v>20380</v>
      </c>
      <c r="BB2213" s="80" t="s">
        <v>20380</v>
      </c>
      <c r="BC2213" s="80" t="s">
        <v>18049</v>
      </c>
      <c r="BD2213" s="80" t="s">
        <v>20827</v>
      </c>
      <c r="BE2213" s="77"/>
      <c r="BF2213" s="77"/>
      <c r="BG2213" s="77"/>
      <c r="BH2213" s="77"/>
      <c r="BI2213" s="77"/>
    </row>
    <row r="2214" spans="1:61" x14ac:dyDescent="0.25">
      <c r="A2214" s="62" t="s">
        <v>912</v>
      </c>
      <c r="B2214" s="62" t="s">
        <v>912</v>
      </c>
      <c r="C2214" s="63"/>
      <c r="D2214" s="64"/>
      <c r="E2214" s="65"/>
      <c r="F2214" s="66"/>
      <c r="G2214" s="63"/>
      <c r="H2214" s="67"/>
      <c r="I2214" s="68"/>
      <c r="J2214" s="68"/>
      <c r="K2214" s="32"/>
      <c r="L2214" s="75">
        <v>2214</v>
      </c>
      <c r="M2214" s="75"/>
      <c r="N2214" s="70"/>
      <c r="O2214" s="77" t="s">
        <v>179</v>
      </c>
      <c r="P2214" s="79">
        <v>45056.710613425923</v>
      </c>
      <c r="Q2214" s="77" t="s">
        <v>4063</v>
      </c>
      <c r="R2214" s="77">
        <v>1</v>
      </c>
      <c r="S2214" s="77">
        <v>1</v>
      </c>
      <c r="T2214" s="77">
        <v>1</v>
      </c>
      <c r="U2214" s="77">
        <v>3</v>
      </c>
      <c r="V2214" s="77">
        <v>563</v>
      </c>
      <c r="W2214" s="80" t="s">
        <v>7305</v>
      </c>
      <c r="X2214" s="83" t="str">
        <f>HYPERLINK("http://www.redetv.uol.com.br/jornalismo/economia/bancos-fecham-2022-com-lucro-de-r-139-bilhoes?cmpid=twitter")</f>
        <v>http://www.redetv.uol.com.br/jornalismo/economia/bancos-fecham-2022-com-lucro-de-r-139-bilhoes?cmpid=twitter</v>
      </c>
      <c r="Y2214" s="77" t="s">
        <v>8611</v>
      </c>
      <c r="Z2214" s="77"/>
      <c r="AA2214" s="77"/>
      <c r="AB2214" s="77"/>
      <c r="AC2214" s="80" t="s">
        <v>10541</v>
      </c>
      <c r="AD2214" s="77" t="s">
        <v>10617</v>
      </c>
      <c r="AE2214" s="83" t="str">
        <f>HYPERLINK("https://twitter.com/noticiasredetv/status/1656344169277685760")</f>
        <v>https://twitter.com/noticiasredetv/status/1656344169277685760</v>
      </c>
      <c r="AF2214" s="79">
        <v>45056.710613425923</v>
      </c>
      <c r="AG2214" s="85">
        <v>45056</v>
      </c>
      <c r="AH2214" s="80" t="s">
        <v>12587</v>
      </c>
      <c r="AI2214" s="77" t="b">
        <v>0</v>
      </c>
      <c r="AJ2214" s="77"/>
      <c r="AK2214" s="77"/>
      <c r="AL2214" s="77"/>
      <c r="AM2214" s="77"/>
      <c r="AN2214" s="77"/>
      <c r="AO2214" s="77"/>
      <c r="AP2214" s="77"/>
      <c r="AQ2214" s="77"/>
      <c r="AR2214" s="77"/>
      <c r="AS2214" s="77"/>
      <c r="AT2214" s="77"/>
      <c r="AU2214" s="77"/>
      <c r="AV2214" s="83" t="str">
        <f>HYPERLINK("https://pbs.twimg.com/profile_images/1544047959410606080/0sJKn-Iz_normal.jpg")</f>
        <v>https://pbs.twimg.com/profile_images/1544047959410606080/0sJKn-Iz_normal.jpg</v>
      </c>
      <c r="AW2214" s="80" t="s">
        <v>18050</v>
      </c>
      <c r="AX2214" s="80" t="s">
        <v>18050</v>
      </c>
      <c r="AY2214" s="77"/>
      <c r="AZ2214" s="80" t="s">
        <v>20380</v>
      </c>
      <c r="BA2214" s="80" t="s">
        <v>20380</v>
      </c>
      <c r="BB2214" s="80" t="s">
        <v>20380</v>
      </c>
      <c r="BC2214" s="80" t="s">
        <v>18050</v>
      </c>
      <c r="BD2214" s="80" t="s">
        <v>20827</v>
      </c>
      <c r="BE2214" s="77"/>
      <c r="BF2214" s="77"/>
      <c r="BG2214" s="77"/>
      <c r="BH2214" s="77"/>
      <c r="BI2214" s="77"/>
    </row>
    <row r="2215" spans="1:61" x14ac:dyDescent="0.25">
      <c r="A2215" s="62" t="s">
        <v>912</v>
      </c>
      <c r="B2215" s="62" t="s">
        <v>912</v>
      </c>
      <c r="C2215" s="63"/>
      <c r="D2215" s="64"/>
      <c r="E2215" s="65"/>
      <c r="F2215" s="66"/>
      <c r="G2215" s="63"/>
      <c r="H2215" s="67"/>
      <c r="I2215" s="68"/>
      <c r="J2215" s="68"/>
      <c r="K2215" s="32"/>
      <c r="L2215" s="75">
        <v>2215</v>
      </c>
      <c r="M2215" s="75"/>
      <c r="N2215" s="70"/>
      <c r="O2215" s="77" t="s">
        <v>179</v>
      </c>
      <c r="P2215" s="79">
        <v>45146.756678240738</v>
      </c>
      <c r="Q2215" s="77" t="s">
        <v>4064</v>
      </c>
      <c r="R2215" s="77">
        <v>1</v>
      </c>
      <c r="S2215" s="77">
        <v>2</v>
      </c>
      <c r="T2215" s="77">
        <v>0</v>
      </c>
      <c r="U2215" s="77">
        <v>0</v>
      </c>
      <c r="V2215" s="77">
        <v>363</v>
      </c>
      <c r="W2215" s="80" t="s">
        <v>7306</v>
      </c>
      <c r="X2215" s="83" t="str">
        <f>HYPERLINK("http://www.redetv.uol.com.br/jornalismo/economia/bc-cortes-de-025-ou-05-ponto-sao-compativeis-com-meta-de-inflacao?cmpid=twitter")</f>
        <v>http://www.redetv.uol.com.br/jornalismo/economia/bc-cortes-de-025-ou-05-ponto-sao-compativeis-com-meta-de-inflacao?cmpid=twitter</v>
      </c>
      <c r="Y2215" s="77" t="s">
        <v>8611</v>
      </c>
      <c r="Z2215" s="77"/>
      <c r="AA2215" s="77"/>
      <c r="AB2215" s="77"/>
      <c r="AC2215" s="80" t="s">
        <v>10541</v>
      </c>
      <c r="AD2215" s="77" t="s">
        <v>10617</v>
      </c>
      <c r="AE2215" s="83" t="str">
        <f>HYPERLINK("https://twitter.com/noticiasredetv/status/1688975767265284104")</f>
        <v>https://twitter.com/noticiasredetv/status/1688975767265284104</v>
      </c>
      <c r="AF2215" s="79">
        <v>45146.756678240738</v>
      </c>
      <c r="AG2215" s="85">
        <v>45146</v>
      </c>
      <c r="AH2215" s="80" t="s">
        <v>12588</v>
      </c>
      <c r="AI2215" s="77" t="b">
        <v>0</v>
      </c>
      <c r="AJ2215" s="77"/>
      <c r="AK2215" s="77"/>
      <c r="AL2215" s="77"/>
      <c r="AM2215" s="77"/>
      <c r="AN2215" s="77"/>
      <c r="AO2215" s="77"/>
      <c r="AP2215" s="77"/>
      <c r="AQ2215" s="77"/>
      <c r="AR2215" s="77"/>
      <c r="AS2215" s="77"/>
      <c r="AT2215" s="77"/>
      <c r="AU2215" s="77"/>
      <c r="AV2215" s="83" t="str">
        <f>HYPERLINK("https://pbs.twimg.com/profile_images/1544047959410606080/0sJKn-Iz_normal.jpg")</f>
        <v>https://pbs.twimg.com/profile_images/1544047959410606080/0sJKn-Iz_normal.jpg</v>
      </c>
      <c r="AW2215" s="80" t="s">
        <v>18051</v>
      </c>
      <c r="AX2215" s="80" t="s">
        <v>18051</v>
      </c>
      <c r="AY2215" s="77"/>
      <c r="AZ2215" s="80" t="s">
        <v>20380</v>
      </c>
      <c r="BA2215" s="80" t="s">
        <v>20380</v>
      </c>
      <c r="BB2215" s="80" t="s">
        <v>20380</v>
      </c>
      <c r="BC2215" s="80" t="s">
        <v>18051</v>
      </c>
      <c r="BD2215" s="80" t="s">
        <v>20827</v>
      </c>
      <c r="BE2215" s="77"/>
      <c r="BF2215" s="77"/>
      <c r="BG2215" s="77"/>
      <c r="BH2215" s="77"/>
      <c r="BI2215" s="77"/>
    </row>
    <row r="2216" spans="1:61" x14ac:dyDescent="0.25">
      <c r="A2216" s="62" t="s">
        <v>912</v>
      </c>
      <c r="B2216" s="62" t="s">
        <v>912</v>
      </c>
      <c r="C2216" s="63"/>
      <c r="D2216" s="64"/>
      <c r="E2216" s="65"/>
      <c r="F2216" s="66"/>
      <c r="G2216" s="63"/>
      <c r="H2216" s="67"/>
      <c r="I2216" s="68"/>
      <c r="J2216" s="68"/>
      <c r="K2216" s="32"/>
      <c r="L2216" s="75">
        <v>2216</v>
      </c>
      <c r="M2216" s="75"/>
      <c r="N2216" s="70"/>
      <c r="O2216" s="77" t="s">
        <v>179</v>
      </c>
      <c r="P2216" s="79">
        <v>45138.538923611108</v>
      </c>
      <c r="Q2216" s="77" t="s">
        <v>4065</v>
      </c>
      <c r="R2216" s="77">
        <v>0</v>
      </c>
      <c r="S2216" s="77">
        <v>0</v>
      </c>
      <c r="T2216" s="77">
        <v>0</v>
      </c>
      <c r="U2216" s="77">
        <v>0</v>
      </c>
      <c r="V2216" s="77">
        <v>50</v>
      </c>
      <c r="W2216" s="80" t="s">
        <v>7307</v>
      </c>
      <c r="X2216" s="83" t="str">
        <f>HYPERLINK("http://www.redetv.uol.com.br/jornalismo/economia/mercado-reduz-previsao-da-inflacao-de-49-para-484-este-ano?cmpid=twitter")</f>
        <v>http://www.redetv.uol.com.br/jornalismo/economia/mercado-reduz-previsao-da-inflacao-de-49-para-484-este-ano?cmpid=twitter</v>
      </c>
      <c r="Y2216" s="77" t="s">
        <v>8611</v>
      </c>
      <c r="Z2216" s="77"/>
      <c r="AA2216" s="77"/>
      <c r="AB2216" s="77"/>
      <c r="AC2216" s="80" t="s">
        <v>10541</v>
      </c>
      <c r="AD2216" s="77" t="s">
        <v>10617</v>
      </c>
      <c r="AE2216" s="83" t="str">
        <f>HYPERLINK("https://twitter.com/noticiasredetv/status/1685997753057320961")</f>
        <v>https://twitter.com/noticiasredetv/status/1685997753057320961</v>
      </c>
      <c r="AF2216" s="79">
        <v>45138.538923611108</v>
      </c>
      <c r="AG2216" s="85">
        <v>45138</v>
      </c>
      <c r="AH2216" s="80" t="s">
        <v>12589</v>
      </c>
      <c r="AI2216" s="77" t="b">
        <v>0</v>
      </c>
      <c r="AJ2216" s="77"/>
      <c r="AK2216" s="77"/>
      <c r="AL2216" s="77"/>
      <c r="AM2216" s="77"/>
      <c r="AN2216" s="77"/>
      <c r="AO2216" s="77"/>
      <c r="AP2216" s="77"/>
      <c r="AQ2216" s="77"/>
      <c r="AR2216" s="77"/>
      <c r="AS2216" s="77"/>
      <c r="AT2216" s="77"/>
      <c r="AU2216" s="77"/>
      <c r="AV2216" s="83" t="str">
        <f>HYPERLINK("https://pbs.twimg.com/profile_images/1544047959410606080/0sJKn-Iz_normal.jpg")</f>
        <v>https://pbs.twimg.com/profile_images/1544047959410606080/0sJKn-Iz_normal.jpg</v>
      </c>
      <c r="AW2216" s="80" t="s">
        <v>18052</v>
      </c>
      <c r="AX2216" s="80" t="s">
        <v>18052</v>
      </c>
      <c r="AY2216" s="77"/>
      <c r="AZ2216" s="80" t="s">
        <v>20380</v>
      </c>
      <c r="BA2216" s="80" t="s">
        <v>20380</v>
      </c>
      <c r="BB2216" s="80" t="s">
        <v>20380</v>
      </c>
      <c r="BC2216" s="80" t="s">
        <v>18052</v>
      </c>
      <c r="BD2216" s="80" t="s">
        <v>20827</v>
      </c>
      <c r="BE2216" s="77"/>
      <c r="BF2216" s="77"/>
      <c r="BG2216" s="77"/>
      <c r="BH2216" s="77"/>
      <c r="BI2216" s="77"/>
    </row>
    <row r="2217" spans="1:61" x14ac:dyDescent="0.25">
      <c r="A2217" s="62" t="s">
        <v>912</v>
      </c>
      <c r="B2217" s="62" t="s">
        <v>912</v>
      </c>
      <c r="C2217" s="63"/>
      <c r="D2217" s="64"/>
      <c r="E2217" s="65"/>
      <c r="F2217" s="66"/>
      <c r="G2217" s="63"/>
      <c r="H2217" s="67"/>
      <c r="I2217" s="68"/>
      <c r="J2217" s="68"/>
      <c r="K2217" s="32"/>
      <c r="L2217" s="75">
        <v>2217</v>
      </c>
      <c r="M2217" s="75"/>
      <c r="N2217" s="70"/>
      <c r="O2217" s="77" t="s">
        <v>179</v>
      </c>
      <c r="P2217" s="79">
        <v>45166.532604166663</v>
      </c>
      <c r="Q2217" s="77" t="s">
        <v>4066</v>
      </c>
      <c r="R2217" s="77">
        <v>0</v>
      </c>
      <c r="S2217" s="77">
        <v>1</v>
      </c>
      <c r="T2217" s="77">
        <v>0</v>
      </c>
      <c r="U2217" s="77">
        <v>0</v>
      </c>
      <c r="V2217" s="77">
        <v>38</v>
      </c>
      <c r="W2217" s="80" t="s">
        <v>7308</v>
      </c>
      <c r="X2217" s="83" t="str">
        <f>HYPERLINK("http://www.redetv.uol.com.br/jornalismo/economia/mercado-eleva-para-231-projecao-do-crescimento-da-economia-em-2023?cmpid=twitter")</f>
        <v>http://www.redetv.uol.com.br/jornalismo/economia/mercado-eleva-para-231-projecao-do-crescimento-da-economia-em-2023?cmpid=twitter</v>
      </c>
      <c r="Y2217" s="77" t="s">
        <v>8611</v>
      </c>
      <c r="Z2217" s="77"/>
      <c r="AA2217" s="77"/>
      <c r="AB2217" s="77"/>
      <c r="AC2217" s="80" t="s">
        <v>10541</v>
      </c>
      <c r="AD2217" s="77" t="s">
        <v>10617</v>
      </c>
      <c r="AE2217" s="83" t="str">
        <f>HYPERLINK("https://twitter.com/noticiasredetv/status/1696142325783601262")</f>
        <v>https://twitter.com/noticiasredetv/status/1696142325783601262</v>
      </c>
      <c r="AF2217" s="79">
        <v>45166.532604166663</v>
      </c>
      <c r="AG2217" s="85">
        <v>45166</v>
      </c>
      <c r="AH2217" s="80" t="s">
        <v>12590</v>
      </c>
      <c r="AI2217" s="77" t="b">
        <v>0</v>
      </c>
      <c r="AJ2217" s="77"/>
      <c r="AK2217" s="77"/>
      <c r="AL2217" s="77"/>
      <c r="AM2217" s="77"/>
      <c r="AN2217" s="77"/>
      <c r="AO2217" s="77"/>
      <c r="AP2217" s="77"/>
      <c r="AQ2217" s="77"/>
      <c r="AR2217" s="77"/>
      <c r="AS2217" s="77"/>
      <c r="AT2217" s="77"/>
      <c r="AU2217" s="77"/>
      <c r="AV2217" s="83" t="str">
        <f>HYPERLINK("https://pbs.twimg.com/profile_images/1544047959410606080/0sJKn-Iz_normal.jpg")</f>
        <v>https://pbs.twimg.com/profile_images/1544047959410606080/0sJKn-Iz_normal.jpg</v>
      </c>
      <c r="AW2217" s="80" t="s">
        <v>18053</v>
      </c>
      <c r="AX2217" s="80" t="s">
        <v>18053</v>
      </c>
      <c r="AY2217" s="77"/>
      <c r="AZ2217" s="80" t="s">
        <v>20380</v>
      </c>
      <c r="BA2217" s="80" t="s">
        <v>20380</v>
      </c>
      <c r="BB2217" s="80" t="s">
        <v>20380</v>
      </c>
      <c r="BC2217" s="80" t="s">
        <v>18053</v>
      </c>
      <c r="BD2217" s="80" t="s">
        <v>20827</v>
      </c>
      <c r="BE2217" s="77"/>
      <c r="BF2217" s="77"/>
      <c r="BG2217" s="77"/>
      <c r="BH2217" s="77"/>
      <c r="BI2217" s="77"/>
    </row>
    <row r="2218" spans="1:61" x14ac:dyDescent="0.25">
      <c r="A2218" s="62" t="s">
        <v>912</v>
      </c>
      <c r="B2218" s="62" t="s">
        <v>912</v>
      </c>
      <c r="C2218" s="63"/>
      <c r="D2218" s="64"/>
      <c r="E2218" s="65"/>
      <c r="F2218" s="66"/>
      <c r="G2218" s="63"/>
      <c r="H2218" s="67"/>
      <c r="I2218" s="68"/>
      <c r="J2218" s="68"/>
      <c r="K2218" s="32"/>
      <c r="L2218" s="75">
        <v>2218</v>
      </c>
      <c r="M2218" s="75"/>
      <c r="N2218" s="70"/>
      <c r="O2218" s="77" t="s">
        <v>179</v>
      </c>
      <c r="P2218" s="79">
        <v>45145.930104166669</v>
      </c>
      <c r="Q2218" s="77" t="s">
        <v>4067</v>
      </c>
      <c r="R2218" s="77">
        <v>2</v>
      </c>
      <c r="S2218" s="77">
        <v>6</v>
      </c>
      <c r="T2218" s="77">
        <v>0</v>
      </c>
      <c r="U2218" s="77">
        <v>0</v>
      </c>
      <c r="V2218" s="77">
        <v>761</v>
      </c>
      <c r="W2218" s="80" t="s">
        <v>7309</v>
      </c>
      <c r="X2218" s="83" t="str">
        <f>HYPERLINK("http://www.redetv.uol.com.br/jornalismo/economia/real-digital-se-chamara-drex-confirma-banco-central?cmpid=twitter")</f>
        <v>http://www.redetv.uol.com.br/jornalismo/economia/real-digital-se-chamara-drex-confirma-banco-central?cmpid=twitter</v>
      </c>
      <c r="Y2218" s="77" t="s">
        <v>8611</v>
      </c>
      <c r="Z2218" s="77"/>
      <c r="AA2218" s="77"/>
      <c r="AB2218" s="77"/>
      <c r="AC2218" s="80" t="s">
        <v>10541</v>
      </c>
      <c r="AD2218" s="77" t="s">
        <v>10617</v>
      </c>
      <c r="AE2218" s="83" t="str">
        <f>HYPERLINK("https://twitter.com/noticiasredetv/status/1688676226192277504")</f>
        <v>https://twitter.com/noticiasredetv/status/1688676226192277504</v>
      </c>
      <c r="AF2218" s="79">
        <v>45145.930104166669</v>
      </c>
      <c r="AG2218" s="85">
        <v>45145</v>
      </c>
      <c r="AH2218" s="80" t="s">
        <v>12591</v>
      </c>
      <c r="AI2218" s="77" t="b">
        <v>0</v>
      </c>
      <c r="AJ2218" s="77"/>
      <c r="AK2218" s="77"/>
      <c r="AL2218" s="77"/>
      <c r="AM2218" s="77"/>
      <c r="AN2218" s="77"/>
      <c r="AO2218" s="77"/>
      <c r="AP2218" s="77"/>
      <c r="AQ2218" s="77"/>
      <c r="AR2218" s="77"/>
      <c r="AS2218" s="77"/>
      <c r="AT2218" s="77"/>
      <c r="AU2218" s="77"/>
      <c r="AV2218" s="83" t="str">
        <f>HYPERLINK("https://pbs.twimg.com/profile_images/1544047959410606080/0sJKn-Iz_normal.jpg")</f>
        <v>https://pbs.twimg.com/profile_images/1544047959410606080/0sJKn-Iz_normal.jpg</v>
      </c>
      <c r="AW2218" s="80" t="s">
        <v>18054</v>
      </c>
      <c r="AX2218" s="80" t="s">
        <v>18054</v>
      </c>
      <c r="AY2218" s="77"/>
      <c r="AZ2218" s="80" t="s">
        <v>20380</v>
      </c>
      <c r="BA2218" s="80" t="s">
        <v>20380</v>
      </c>
      <c r="BB2218" s="80" t="s">
        <v>20380</v>
      </c>
      <c r="BC2218" s="80" t="s">
        <v>18054</v>
      </c>
      <c r="BD2218" s="80" t="s">
        <v>20827</v>
      </c>
      <c r="BE2218" s="77"/>
      <c r="BF2218" s="77"/>
      <c r="BG2218" s="77"/>
      <c r="BH2218" s="77"/>
      <c r="BI2218" s="77"/>
    </row>
    <row r="2219" spans="1:61" x14ac:dyDescent="0.25">
      <c r="A2219" s="62" t="s">
        <v>912</v>
      </c>
      <c r="B2219" s="62" t="s">
        <v>912</v>
      </c>
      <c r="C2219" s="63"/>
      <c r="D2219" s="64"/>
      <c r="E2219" s="65"/>
      <c r="F2219" s="66"/>
      <c r="G2219" s="63"/>
      <c r="H2219" s="67"/>
      <c r="I2219" s="68"/>
      <c r="J2219" s="68"/>
      <c r="K2219" s="32"/>
      <c r="L2219" s="75">
        <v>2219</v>
      </c>
      <c r="M2219" s="75"/>
      <c r="N2219" s="70"/>
      <c r="O2219" s="77" t="s">
        <v>179</v>
      </c>
      <c r="P2219" s="79">
        <v>45068.713113425925</v>
      </c>
      <c r="Q2219" s="77" t="s">
        <v>4068</v>
      </c>
      <c r="R2219" s="77">
        <v>0</v>
      </c>
      <c r="S2219" s="77">
        <v>1</v>
      </c>
      <c r="T2219" s="77">
        <v>0</v>
      </c>
      <c r="U2219" s="77">
        <v>0</v>
      </c>
      <c r="V2219" s="77">
        <v>158</v>
      </c>
      <c r="W2219" s="80" t="s">
        <v>7310</v>
      </c>
      <c r="X2219" s="83" t="str">
        <f>HYPERLINK("http://www.redetv.uol.com.br/jornalismo/economia/para-presidente-do-bc-ruido-com-o-governo-afeta-previsao-de-inflacao?cmpid=twitter")</f>
        <v>http://www.redetv.uol.com.br/jornalismo/economia/para-presidente-do-bc-ruido-com-o-governo-afeta-previsao-de-inflacao?cmpid=twitter</v>
      </c>
      <c r="Y2219" s="77" t="s">
        <v>8611</v>
      </c>
      <c r="Z2219" s="77"/>
      <c r="AA2219" s="77"/>
      <c r="AB2219" s="77"/>
      <c r="AC2219" s="80" t="s">
        <v>10541</v>
      </c>
      <c r="AD2219" s="77" t="s">
        <v>10617</v>
      </c>
      <c r="AE2219" s="83" t="str">
        <f>HYPERLINK("https://twitter.com/noticiasredetv/status/1660693728485310465")</f>
        <v>https://twitter.com/noticiasredetv/status/1660693728485310465</v>
      </c>
      <c r="AF2219" s="79">
        <v>45068.713113425925</v>
      </c>
      <c r="AG2219" s="85">
        <v>45068</v>
      </c>
      <c r="AH2219" s="80" t="s">
        <v>12592</v>
      </c>
      <c r="AI2219" s="77" t="b">
        <v>0</v>
      </c>
      <c r="AJ2219" s="77"/>
      <c r="AK2219" s="77"/>
      <c r="AL2219" s="77"/>
      <c r="AM2219" s="77"/>
      <c r="AN2219" s="77"/>
      <c r="AO2219" s="77"/>
      <c r="AP2219" s="77"/>
      <c r="AQ2219" s="77"/>
      <c r="AR2219" s="77"/>
      <c r="AS2219" s="77"/>
      <c r="AT2219" s="77"/>
      <c r="AU2219" s="77"/>
      <c r="AV2219" s="83" t="str">
        <f>HYPERLINK("https://pbs.twimg.com/profile_images/1544047959410606080/0sJKn-Iz_normal.jpg")</f>
        <v>https://pbs.twimg.com/profile_images/1544047959410606080/0sJKn-Iz_normal.jpg</v>
      </c>
      <c r="AW2219" s="80" t="s">
        <v>18055</v>
      </c>
      <c r="AX2219" s="80" t="s">
        <v>18055</v>
      </c>
      <c r="AY2219" s="77"/>
      <c r="AZ2219" s="80" t="s">
        <v>20380</v>
      </c>
      <c r="BA2219" s="80" t="s">
        <v>20380</v>
      </c>
      <c r="BB2219" s="80" t="s">
        <v>20380</v>
      </c>
      <c r="BC2219" s="80" t="s">
        <v>18055</v>
      </c>
      <c r="BD2219" s="80" t="s">
        <v>20827</v>
      </c>
      <c r="BE2219" s="77"/>
      <c r="BF2219" s="77"/>
      <c r="BG2219" s="77"/>
      <c r="BH2219" s="77"/>
      <c r="BI2219" s="77"/>
    </row>
    <row r="2220" spans="1:61" x14ac:dyDescent="0.25">
      <c r="A2220" s="62" t="s">
        <v>912</v>
      </c>
      <c r="B2220" s="62" t="s">
        <v>912</v>
      </c>
      <c r="C2220" s="63"/>
      <c r="D2220" s="64"/>
      <c r="E2220" s="65"/>
      <c r="F2220" s="66"/>
      <c r="G2220" s="63"/>
      <c r="H2220" s="67"/>
      <c r="I2220" s="68"/>
      <c r="J2220" s="68"/>
      <c r="K2220" s="32"/>
      <c r="L2220" s="75">
        <v>2220</v>
      </c>
      <c r="M2220" s="75"/>
      <c r="N2220" s="70"/>
      <c r="O2220" s="77" t="s">
        <v>179</v>
      </c>
      <c r="P2220" s="79">
        <v>45189.519826388889</v>
      </c>
      <c r="Q2220" s="77" t="s">
        <v>4069</v>
      </c>
      <c r="R2220" s="77">
        <v>2</v>
      </c>
      <c r="S2220" s="77">
        <v>1</v>
      </c>
      <c r="T2220" s="77">
        <v>0</v>
      </c>
      <c r="U2220" s="77">
        <v>0</v>
      </c>
      <c r="V2220" s="77">
        <v>312</v>
      </c>
      <c r="W2220" s="80" t="s">
        <v>7311</v>
      </c>
      <c r="X2220" s="83" t="str">
        <f>HYPERLINK("http://www.redetv.uol.com.br/jornalismo/economia/copom-define-nesta-quarta-feira-20-taxa-basica-de-juros?cmpid=twitter")</f>
        <v>http://www.redetv.uol.com.br/jornalismo/economia/copom-define-nesta-quarta-feira-20-taxa-basica-de-juros?cmpid=twitter</v>
      </c>
      <c r="Y2220" s="77" t="s">
        <v>8611</v>
      </c>
      <c r="Z2220" s="77"/>
      <c r="AA2220" s="77"/>
      <c r="AB2220" s="77"/>
      <c r="AC2220" s="80" t="s">
        <v>10541</v>
      </c>
      <c r="AD2220" s="77" t="s">
        <v>10617</v>
      </c>
      <c r="AE2220" s="83" t="str">
        <f>HYPERLINK("https://twitter.com/noticiasredetv/status/1704472612435280023")</f>
        <v>https://twitter.com/noticiasredetv/status/1704472612435280023</v>
      </c>
      <c r="AF2220" s="79">
        <v>45189.519826388889</v>
      </c>
      <c r="AG2220" s="85">
        <v>45189</v>
      </c>
      <c r="AH2220" s="80" t="s">
        <v>12593</v>
      </c>
      <c r="AI2220" s="77" t="b">
        <v>0</v>
      </c>
      <c r="AJ2220" s="77"/>
      <c r="AK2220" s="77"/>
      <c r="AL2220" s="77"/>
      <c r="AM2220" s="77"/>
      <c r="AN2220" s="77"/>
      <c r="AO2220" s="77"/>
      <c r="AP2220" s="77"/>
      <c r="AQ2220" s="77"/>
      <c r="AR2220" s="77"/>
      <c r="AS2220" s="77"/>
      <c r="AT2220" s="77"/>
      <c r="AU2220" s="77"/>
      <c r="AV2220" s="83" t="str">
        <f>HYPERLINK("https://pbs.twimg.com/profile_images/1544047959410606080/0sJKn-Iz_normal.jpg")</f>
        <v>https://pbs.twimg.com/profile_images/1544047959410606080/0sJKn-Iz_normal.jpg</v>
      </c>
      <c r="AW2220" s="80" t="s">
        <v>18056</v>
      </c>
      <c r="AX2220" s="80" t="s">
        <v>18056</v>
      </c>
      <c r="AY2220" s="77"/>
      <c r="AZ2220" s="80" t="s">
        <v>20380</v>
      </c>
      <c r="BA2220" s="80" t="s">
        <v>20380</v>
      </c>
      <c r="BB2220" s="80" t="s">
        <v>20380</v>
      </c>
      <c r="BC2220" s="80" t="s">
        <v>18056</v>
      </c>
      <c r="BD2220" s="80" t="s">
        <v>20827</v>
      </c>
      <c r="BE2220" s="77"/>
      <c r="BF2220" s="77"/>
      <c r="BG2220" s="77"/>
      <c r="BH2220" s="77"/>
      <c r="BI2220" s="77"/>
    </row>
    <row r="2221" spans="1:61" x14ac:dyDescent="0.25">
      <c r="A2221" s="62" t="s">
        <v>912</v>
      </c>
      <c r="B2221" s="62" t="s">
        <v>912</v>
      </c>
      <c r="C2221" s="63"/>
      <c r="D2221" s="64"/>
      <c r="E2221" s="65"/>
      <c r="F2221" s="66"/>
      <c r="G2221" s="63"/>
      <c r="H2221" s="67"/>
      <c r="I2221" s="68"/>
      <c r="J2221" s="68"/>
      <c r="K2221" s="32"/>
      <c r="L2221" s="75">
        <v>2221</v>
      </c>
      <c r="M2221" s="75"/>
      <c r="N2221" s="70"/>
      <c r="O2221" s="77" t="s">
        <v>179</v>
      </c>
      <c r="P2221" s="79">
        <v>45099.499618055554</v>
      </c>
      <c r="Q2221" s="77" t="s">
        <v>4070</v>
      </c>
      <c r="R2221" s="77">
        <v>1</v>
      </c>
      <c r="S2221" s="77">
        <v>0</v>
      </c>
      <c r="T2221" s="77">
        <v>0</v>
      </c>
      <c r="U2221" s="77">
        <v>1</v>
      </c>
      <c r="V2221" s="77">
        <v>451</v>
      </c>
      <c r="W2221" s="80" t="s">
        <v>7312</v>
      </c>
      <c r="X2221" s="83" t="str">
        <f>HYPERLINK("http://www.redetv.uol.com.br/jornalismo/politica/na-italia-lula-diz-que-manutencao-da-atual-taxa-de-juros-e-irracional?cmpid=twitter")</f>
        <v>http://www.redetv.uol.com.br/jornalismo/politica/na-italia-lula-diz-que-manutencao-da-atual-taxa-de-juros-e-irracional?cmpid=twitter</v>
      </c>
      <c r="Y2221" s="77" t="s">
        <v>8611</v>
      </c>
      <c r="Z2221" s="77"/>
      <c r="AA2221" s="77"/>
      <c r="AB2221" s="77"/>
      <c r="AC2221" s="80" t="s">
        <v>10541</v>
      </c>
      <c r="AD2221" s="77" t="s">
        <v>10617</v>
      </c>
      <c r="AE2221" s="83" t="str">
        <f>HYPERLINK("https://twitter.com/noticiasredetv/status/1671850383319224320")</f>
        <v>https://twitter.com/noticiasredetv/status/1671850383319224320</v>
      </c>
      <c r="AF2221" s="79">
        <v>45099.499618055554</v>
      </c>
      <c r="AG2221" s="85">
        <v>45099</v>
      </c>
      <c r="AH2221" s="80" t="s">
        <v>12594</v>
      </c>
      <c r="AI2221" s="77" t="b">
        <v>0</v>
      </c>
      <c r="AJ2221" s="77"/>
      <c r="AK2221" s="77"/>
      <c r="AL2221" s="77"/>
      <c r="AM2221" s="77"/>
      <c r="AN2221" s="77"/>
      <c r="AO2221" s="77"/>
      <c r="AP2221" s="77"/>
      <c r="AQ2221" s="77"/>
      <c r="AR2221" s="77"/>
      <c r="AS2221" s="77"/>
      <c r="AT2221" s="77"/>
      <c r="AU2221" s="77"/>
      <c r="AV2221" s="83" t="str">
        <f>HYPERLINK("https://pbs.twimg.com/profile_images/1544047959410606080/0sJKn-Iz_normal.jpg")</f>
        <v>https://pbs.twimg.com/profile_images/1544047959410606080/0sJKn-Iz_normal.jpg</v>
      </c>
      <c r="AW2221" s="80" t="s">
        <v>18057</v>
      </c>
      <c r="AX2221" s="80" t="s">
        <v>18057</v>
      </c>
      <c r="AY2221" s="77"/>
      <c r="AZ2221" s="80" t="s">
        <v>20380</v>
      </c>
      <c r="BA2221" s="80" t="s">
        <v>20380</v>
      </c>
      <c r="BB2221" s="80" t="s">
        <v>20380</v>
      </c>
      <c r="BC2221" s="80" t="s">
        <v>18057</v>
      </c>
      <c r="BD2221" s="80" t="s">
        <v>20827</v>
      </c>
      <c r="BE2221" s="77"/>
      <c r="BF2221" s="77"/>
      <c r="BG2221" s="77"/>
      <c r="BH2221" s="77"/>
      <c r="BI2221" s="77"/>
    </row>
    <row r="2222" spans="1:61" x14ac:dyDescent="0.25">
      <c r="A2222" s="62" t="s">
        <v>912</v>
      </c>
      <c r="B2222" s="62" t="s">
        <v>912</v>
      </c>
      <c r="C2222" s="63"/>
      <c r="D2222" s="64"/>
      <c r="E2222" s="65"/>
      <c r="F2222" s="66"/>
      <c r="G2222" s="63"/>
      <c r="H2222" s="67"/>
      <c r="I2222" s="68"/>
      <c r="J2222" s="68"/>
      <c r="K2222" s="32"/>
      <c r="L2222" s="75">
        <v>2222</v>
      </c>
      <c r="M2222" s="75"/>
      <c r="N2222" s="70"/>
      <c r="O2222" s="77" t="s">
        <v>179</v>
      </c>
      <c r="P2222" s="79">
        <v>45075.527233796296</v>
      </c>
      <c r="Q2222" s="77" t="s">
        <v>4071</v>
      </c>
      <c r="R2222" s="77">
        <v>1</v>
      </c>
      <c r="S2222" s="77">
        <v>0</v>
      </c>
      <c r="T2222" s="77">
        <v>0</v>
      </c>
      <c r="U2222" s="77">
        <v>0</v>
      </c>
      <c r="V2222" s="77">
        <v>291</v>
      </c>
      <c r="W2222" s="80" t="s">
        <v>7313</v>
      </c>
      <c r="X2222" s="83" t="str">
        <f>HYPERLINK("http://www.redetv.uol.com.br/jornalismo/economia/previsao-de-inflacao-do-mercado-financeiro-cai-para-571-este-ano?cmpid=twitter")</f>
        <v>http://www.redetv.uol.com.br/jornalismo/economia/previsao-de-inflacao-do-mercado-financeiro-cai-para-571-este-ano?cmpid=twitter</v>
      </c>
      <c r="Y2222" s="77" t="s">
        <v>8611</v>
      </c>
      <c r="Z2222" s="77"/>
      <c r="AA2222" s="77"/>
      <c r="AB2222" s="77"/>
      <c r="AC2222" s="80" t="s">
        <v>10541</v>
      </c>
      <c r="AD2222" s="77" t="s">
        <v>10617</v>
      </c>
      <c r="AE2222" s="83" t="str">
        <f>HYPERLINK("https://twitter.com/noticiasredetv/status/1663163082183507969")</f>
        <v>https://twitter.com/noticiasredetv/status/1663163082183507969</v>
      </c>
      <c r="AF2222" s="79">
        <v>45075.527233796296</v>
      </c>
      <c r="AG2222" s="85">
        <v>45075</v>
      </c>
      <c r="AH2222" s="80" t="s">
        <v>12595</v>
      </c>
      <c r="AI2222" s="77" t="b">
        <v>0</v>
      </c>
      <c r="AJ2222" s="77"/>
      <c r="AK2222" s="77"/>
      <c r="AL2222" s="77"/>
      <c r="AM2222" s="77"/>
      <c r="AN2222" s="77"/>
      <c r="AO2222" s="77"/>
      <c r="AP2222" s="77"/>
      <c r="AQ2222" s="77"/>
      <c r="AR2222" s="77"/>
      <c r="AS2222" s="77"/>
      <c r="AT2222" s="77"/>
      <c r="AU2222" s="77"/>
      <c r="AV2222" s="83" t="str">
        <f>HYPERLINK("https://pbs.twimg.com/profile_images/1544047959410606080/0sJKn-Iz_normal.jpg")</f>
        <v>https://pbs.twimg.com/profile_images/1544047959410606080/0sJKn-Iz_normal.jpg</v>
      </c>
      <c r="AW2222" s="80" t="s">
        <v>18058</v>
      </c>
      <c r="AX2222" s="80" t="s">
        <v>18058</v>
      </c>
      <c r="AY2222" s="77"/>
      <c r="AZ2222" s="80" t="s">
        <v>20380</v>
      </c>
      <c r="BA2222" s="80" t="s">
        <v>20380</v>
      </c>
      <c r="BB2222" s="80" t="s">
        <v>20380</v>
      </c>
      <c r="BC2222" s="80" t="s">
        <v>18058</v>
      </c>
      <c r="BD2222" s="80" t="s">
        <v>20827</v>
      </c>
      <c r="BE2222" s="77"/>
      <c r="BF2222" s="77"/>
      <c r="BG2222" s="77"/>
      <c r="BH2222" s="77"/>
      <c r="BI2222" s="77"/>
    </row>
    <row r="2223" spans="1:61" x14ac:dyDescent="0.25">
      <c r="A2223" s="62" t="s">
        <v>912</v>
      </c>
      <c r="B2223" s="62" t="s">
        <v>912</v>
      </c>
      <c r="C2223" s="63"/>
      <c r="D2223" s="64"/>
      <c r="E2223" s="65"/>
      <c r="F2223" s="66"/>
      <c r="G2223" s="63"/>
      <c r="H2223" s="67"/>
      <c r="I2223" s="68"/>
      <c r="J2223" s="68"/>
      <c r="K2223" s="32"/>
      <c r="L2223" s="75">
        <v>2223</v>
      </c>
      <c r="M2223" s="75"/>
      <c r="N2223" s="70"/>
      <c r="O2223" s="77" t="s">
        <v>179</v>
      </c>
      <c r="P2223" s="79">
        <v>45195.989872685182</v>
      </c>
      <c r="Q2223" s="77" t="s">
        <v>4072</v>
      </c>
      <c r="R2223" s="77">
        <v>0</v>
      </c>
      <c r="S2223" s="77">
        <v>0</v>
      </c>
      <c r="T2223" s="77">
        <v>0</v>
      </c>
      <c r="U2223" s="77">
        <v>0</v>
      </c>
      <c r="V2223" s="77">
        <v>24</v>
      </c>
      <c r="W2223" s="80" t="s">
        <v>7314</v>
      </c>
      <c r="X2223" s="83" t="str">
        <f>HYPERLINK("http://www.redetv.uol.com.br/jornalismo/economia/bc-obriga-instituicoes-a-avisar-clientes-sobre-vazamentos-no-pix?cmpid=twitter")</f>
        <v>http://www.redetv.uol.com.br/jornalismo/economia/bc-obriga-instituicoes-a-avisar-clientes-sobre-vazamentos-no-pix?cmpid=twitter</v>
      </c>
      <c r="Y2223" s="77" t="s">
        <v>8611</v>
      </c>
      <c r="Z2223" s="77"/>
      <c r="AA2223" s="77"/>
      <c r="AB2223" s="77"/>
      <c r="AC2223" s="80" t="s">
        <v>10541</v>
      </c>
      <c r="AD2223" s="77" t="s">
        <v>10617</v>
      </c>
      <c r="AE2223" s="83" t="str">
        <f>HYPERLINK("https://twitter.com/noticiasredetv/status/1706817279285960743")</f>
        <v>https://twitter.com/noticiasredetv/status/1706817279285960743</v>
      </c>
      <c r="AF2223" s="79">
        <v>45195.989872685182</v>
      </c>
      <c r="AG2223" s="85">
        <v>45195</v>
      </c>
      <c r="AH2223" s="80" t="s">
        <v>12596</v>
      </c>
      <c r="AI2223" s="77" t="b">
        <v>0</v>
      </c>
      <c r="AJ2223" s="77"/>
      <c r="AK2223" s="77"/>
      <c r="AL2223" s="77"/>
      <c r="AM2223" s="77"/>
      <c r="AN2223" s="77"/>
      <c r="AO2223" s="77"/>
      <c r="AP2223" s="77"/>
      <c r="AQ2223" s="77"/>
      <c r="AR2223" s="77"/>
      <c r="AS2223" s="77"/>
      <c r="AT2223" s="77"/>
      <c r="AU2223" s="77"/>
      <c r="AV2223" s="83" t="str">
        <f>HYPERLINK("https://pbs.twimg.com/profile_images/1544047959410606080/0sJKn-Iz_normal.jpg")</f>
        <v>https://pbs.twimg.com/profile_images/1544047959410606080/0sJKn-Iz_normal.jpg</v>
      </c>
      <c r="AW2223" s="80" t="s">
        <v>18059</v>
      </c>
      <c r="AX2223" s="80" t="s">
        <v>18059</v>
      </c>
      <c r="AY2223" s="77"/>
      <c r="AZ2223" s="80" t="s">
        <v>20380</v>
      </c>
      <c r="BA2223" s="80" t="s">
        <v>20380</v>
      </c>
      <c r="BB2223" s="80" t="s">
        <v>20380</v>
      </c>
      <c r="BC2223" s="80" t="s">
        <v>18059</v>
      </c>
      <c r="BD2223" s="80" t="s">
        <v>20827</v>
      </c>
      <c r="BE2223" s="77"/>
      <c r="BF2223" s="77"/>
      <c r="BG2223" s="77"/>
      <c r="BH2223" s="77"/>
      <c r="BI2223" s="77"/>
    </row>
    <row r="2224" spans="1:61" x14ac:dyDescent="0.25">
      <c r="A2224" s="62" t="s">
        <v>912</v>
      </c>
      <c r="B2224" s="62" t="s">
        <v>912</v>
      </c>
      <c r="C2224" s="63"/>
      <c r="D2224" s="64"/>
      <c r="E2224" s="65"/>
      <c r="F2224" s="66"/>
      <c r="G2224" s="63"/>
      <c r="H2224" s="67"/>
      <c r="I2224" s="68"/>
      <c r="J2224" s="68"/>
      <c r="K2224" s="32"/>
      <c r="L2224" s="75">
        <v>2224</v>
      </c>
      <c r="M2224" s="75"/>
      <c r="N2224" s="70"/>
      <c r="O2224" s="77" t="s">
        <v>179</v>
      </c>
      <c r="P2224" s="79">
        <v>45180.543611111112</v>
      </c>
      <c r="Q2224" s="77" t="s">
        <v>4073</v>
      </c>
      <c r="R2224" s="77">
        <v>0</v>
      </c>
      <c r="S2224" s="77">
        <v>0</v>
      </c>
      <c r="T2224" s="77">
        <v>0</v>
      </c>
      <c r="U2224" s="77">
        <v>0</v>
      </c>
      <c r="V2224" s="77">
        <v>36</v>
      </c>
      <c r="W2224" s="80" t="s">
        <v>7315</v>
      </c>
      <c r="X2224" s="83" t="str">
        <f>HYPERLINK("http://www.redetv.uol.com.br/jornalismo/economia/mercado-eleva-para-264-projecao-do-crescimento-da-economia-em-2023?cmpid=twitter")</f>
        <v>http://www.redetv.uol.com.br/jornalismo/economia/mercado-eleva-para-264-projecao-do-crescimento-da-economia-em-2023?cmpid=twitter</v>
      </c>
      <c r="Y2224" s="77" t="s">
        <v>8611</v>
      </c>
      <c r="Z2224" s="77"/>
      <c r="AA2224" s="77"/>
      <c r="AB2224" s="77"/>
      <c r="AC2224" s="80" t="s">
        <v>10541</v>
      </c>
      <c r="AD2224" s="77" t="s">
        <v>10617</v>
      </c>
      <c r="AE2224" s="83" t="str">
        <f>HYPERLINK("https://twitter.com/noticiasredetv/status/1701219743829467312")</f>
        <v>https://twitter.com/noticiasredetv/status/1701219743829467312</v>
      </c>
      <c r="AF2224" s="79">
        <v>45180.543611111112</v>
      </c>
      <c r="AG2224" s="85">
        <v>45180</v>
      </c>
      <c r="AH2224" s="80" t="s">
        <v>12597</v>
      </c>
      <c r="AI2224" s="77" t="b">
        <v>0</v>
      </c>
      <c r="AJ2224" s="77"/>
      <c r="AK2224" s="77"/>
      <c r="AL2224" s="77"/>
      <c r="AM2224" s="77"/>
      <c r="AN2224" s="77"/>
      <c r="AO2224" s="77"/>
      <c r="AP2224" s="77"/>
      <c r="AQ2224" s="77"/>
      <c r="AR2224" s="77"/>
      <c r="AS2224" s="77"/>
      <c r="AT2224" s="77"/>
      <c r="AU2224" s="77"/>
      <c r="AV2224" s="83" t="str">
        <f>HYPERLINK("https://pbs.twimg.com/profile_images/1544047959410606080/0sJKn-Iz_normal.jpg")</f>
        <v>https://pbs.twimg.com/profile_images/1544047959410606080/0sJKn-Iz_normal.jpg</v>
      </c>
      <c r="AW2224" s="80" t="s">
        <v>18060</v>
      </c>
      <c r="AX2224" s="80" t="s">
        <v>18060</v>
      </c>
      <c r="AY2224" s="77"/>
      <c r="AZ2224" s="80" t="s">
        <v>20380</v>
      </c>
      <c r="BA2224" s="80" t="s">
        <v>20380</v>
      </c>
      <c r="BB2224" s="80" t="s">
        <v>20380</v>
      </c>
      <c r="BC2224" s="80" t="s">
        <v>18060</v>
      </c>
      <c r="BD2224" s="80" t="s">
        <v>20827</v>
      </c>
      <c r="BE2224" s="77"/>
      <c r="BF2224" s="77"/>
      <c r="BG2224" s="77"/>
      <c r="BH2224" s="77"/>
      <c r="BI2224" s="77"/>
    </row>
    <row r="2225" spans="1:61" x14ac:dyDescent="0.25">
      <c r="A2225" s="62" t="s">
        <v>912</v>
      </c>
      <c r="B2225" s="62" t="s">
        <v>912</v>
      </c>
      <c r="C2225" s="63"/>
      <c r="D2225" s="64"/>
      <c r="E2225" s="65"/>
      <c r="F2225" s="66"/>
      <c r="G2225" s="63"/>
      <c r="H2225" s="67"/>
      <c r="I2225" s="68"/>
      <c r="J2225" s="68"/>
      <c r="K2225" s="32"/>
      <c r="L2225" s="75">
        <v>2225</v>
      </c>
      <c r="M2225" s="75"/>
      <c r="N2225" s="70"/>
      <c r="O2225" s="77" t="s">
        <v>179</v>
      </c>
      <c r="P2225" s="79">
        <v>45170.667291666665</v>
      </c>
      <c r="Q2225" s="77" t="s">
        <v>4074</v>
      </c>
      <c r="R2225" s="77">
        <v>0</v>
      </c>
      <c r="S2225" s="77">
        <v>0</v>
      </c>
      <c r="T2225" s="77">
        <v>0</v>
      </c>
      <c r="U2225" s="77">
        <v>0</v>
      </c>
      <c r="V2225" s="77">
        <v>80</v>
      </c>
      <c r="W2225" s="80" t="s">
        <v>7316</v>
      </c>
      <c r="X2225" s="83" t="str">
        <f>HYPERLINK("http://www.redetv.uol.com.br/jornalismo/economia/lula-afirma-que-juros-ainda-estao-altos-vamos-continuar-brigando?cmpid=twitter")</f>
        <v>http://www.redetv.uol.com.br/jornalismo/economia/lula-afirma-que-juros-ainda-estao-altos-vamos-continuar-brigando?cmpid=twitter</v>
      </c>
      <c r="Y2225" s="77" t="s">
        <v>8611</v>
      </c>
      <c r="Z2225" s="77"/>
      <c r="AA2225" s="77"/>
      <c r="AB2225" s="77"/>
      <c r="AC2225" s="80" t="s">
        <v>10541</v>
      </c>
      <c r="AD2225" s="77" t="s">
        <v>10617</v>
      </c>
      <c r="AE2225" s="83" t="str">
        <f>HYPERLINK("https://twitter.com/noticiasredetv/status/1697640684478419353")</f>
        <v>https://twitter.com/noticiasredetv/status/1697640684478419353</v>
      </c>
      <c r="AF2225" s="79">
        <v>45170.667291666665</v>
      </c>
      <c r="AG2225" s="85">
        <v>45170</v>
      </c>
      <c r="AH2225" s="80" t="s">
        <v>12598</v>
      </c>
      <c r="AI2225" s="77" t="b">
        <v>0</v>
      </c>
      <c r="AJ2225" s="77"/>
      <c r="AK2225" s="77"/>
      <c r="AL2225" s="77"/>
      <c r="AM2225" s="77"/>
      <c r="AN2225" s="77"/>
      <c r="AO2225" s="77"/>
      <c r="AP2225" s="77"/>
      <c r="AQ2225" s="77"/>
      <c r="AR2225" s="77"/>
      <c r="AS2225" s="77"/>
      <c r="AT2225" s="77"/>
      <c r="AU2225" s="77"/>
      <c r="AV2225" s="83" t="str">
        <f>HYPERLINK("https://pbs.twimg.com/profile_images/1544047959410606080/0sJKn-Iz_normal.jpg")</f>
        <v>https://pbs.twimg.com/profile_images/1544047959410606080/0sJKn-Iz_normal.jpg</v>
      </c>
      <c r="AW2225" s="80" t="s">
        <v>18061</v>
      </c>
      <c r="AX2225" s="80" t="s">
        <v>18061</v>
      </c>
      <c r="AY2225" s="77"/>
      <c r="AZ2225" s="80" t="s">
        <v>20380</v>
      </c>
      <c r="BA2225" s="80" t="s">
        <v>20380</v>
      </c>
      <c r="BB2225" s="80" t="s">
        <v>20380</v>
      </c>
      <c r="BC2225" s="80" t="s">
        <v>18061</v>
      </c>
      <c r="BD2225" s="80" t="s">
        <v>20827</v>
      </c>
      <c r="BE2225" s="77"/>
      <c r="BF2225" s="77"/>
      <c r="BG2225" s="77"/>
      <c r="BH2225" s="77"/>
      <c r="BI2225" s="77"/>
    </row>
    <row r="2226" spans="1:61" x14ac:dyDescent="0.25">
      <c r="A2226" s="62" t="s">
        <v>912</v>
      </c>
      <c r="B2226" s="62" t="s">
        <v>912</v>
      </c>
      <c r="C2226" s="63"/>
      <c r="D2226" s="64"/>
      <c r="E2226" s="65"/>
      <c r="F2226" s="66"/>
      <c r="G2226" s="63"/>
      <c r="H2226" s="67"/>
      <c r="I2226" s="68"/>
      <c r="J2226" s="68"/>
      <c r="K2226" s="32"/>
      <c r="L2226" s="75">
        <v>2226</v>
      </c>
      <c r="M2226" s="75"/>
      <c r="N2226" s="70"/>
      <c r="O2226" s="77" t="s">
        <v>179</v>
      </c>
      <c r="P2226" s="79">
        <v>45141.003391203703</v>
      </c>
      <c r="Q2226" s="77" t="s">
        <v>4075</v>
      </c>
      <c r="R2226" s="77">
        <v>1</v>
      </c>
      <c r="S2226" s="77">
        <v>0</v>
      </c>
      <c r="T2226" s="77">
        <v>0</v>
      </c>
      <c r="U2226" s="77">
        <v>0</v>
      </c>
      <c r="V2226" s="77">
        <v>558</v>
      </c>
      <c r="W2226" s="80" t="s">
        <v>7317</v>
      </c>
      <c r="X2226" s="83" t="str">
        <f>HYPERLINK("http://www.redetv.uol.com.br/jornalismo/economia/haddad-corte-na-selic-da-alento-e-mostra-direcao-certa-do-governo?cmpid=twitter")</f>
        <v>http://www.redetv.uol.com.br/jornalismo/economia/haddad-corte-na-selic-da-alento-e-mostra-direcao-certa-do-governo?cmpid=twitter</v>
      </c>
      <c r="Y2226" s="77" t="s">
        <v>8611</v>
      </c>
      <c r="Z2226" s="77"/>
      <c r="AA2226" s="77"/>
      <c r="AB2226" s="77"/>
      <c r="AC2226" s="80" t="s">
        <v>10541</v>
      </c>
      <c r="AD2226" s="77" t="s">
        <v>10617</v>
      </c>
      <c r="AE2226" s="83" t="str">
        <f>HYPERLINK("https://twitter.com/noticiasredetv/status/1686890848623972352")</f>
        <v>https://twitter.com/noticiasredetv/status/1686890848623972352</v>
      </c>
      <c r="AF2226" s="79">
        <v>45141.003391203703</v>
      </c>
      <c r="AG2226" s="85">
        <v>45141</v>
      </c>
      <c r="AH2226" s="80" t="s">
        <v>12599</v>
      </c>
      <c r="AI2226" s="77" t="b">
        <v>0</v>
      </c>
      <c r="AJ2226" s="77"/>
      <c r="AK2226" s="77"/>
      <c r="AL2226" s="77"/>
      <c r="AM2226" s="77"/>
      <c r="AN2226" s="77"/>
      <c r="AO2226" s="77"/>
      <c r="AP2226" s="77"/>
      <c r="AQ2226" s="77"/>
      <c r="AR2226" s="77"/>
      <c r="AS2226" s="77"/>
      <c r="AT2226" s="77"/>
      <c r="AU2226" s="77"/>
      <c r="AV2226" s="83" t="str">
        <f>HYPERLINK("https://pbs.twimg.com/profile_images/1544047959410606080/0sJKn-Iz_normal.jpg")</f>
        <v>https://pbs.twimg.com/profile_images/1544047959410606080/0sJKn-Iz_normal.jpg</v>
      </c>
      <c r="AW2226" s="80" t="s">
        <v>18062</v>
      </c>
      <c r="AX2226" s="80" t="s">
        <v>18062</v>
      </c>
      <c r="AY2226" s="77"/>
      <c r="AZ2226" s="80" t="s">
        <v>20380</v>
      </c>
      <c r="BA2226" s="80" t="s">
        <v>20380</v>
      </c>
      <c r="BB2226" s="80" t="s">
        <v>20380</v>
      </c>
      <c r="BC2226" s="80" t="s">
        <v>18062</v>
      </c>
      <c r="BD2226" s="80" t="s">
        <v>20827</v>
      </c>
      <c r="BE2226" s="77"/>
      <c r="BF2226" s="77"/>
      <c r="BG2226" s="77"/>
      <c r="BH2226" s="77"/>
      <c r="BI2226" s="77"/>
    </row>
    <row r="2227" spans="1:61" x14ac:dyDescent="0.25">
      <c r="A2227" s="62" t="s">
        <v>912</v>
      </c>
      <c r="B2227" s="62" t="s">
        <v>912</v>
      </c>
      <c r="C2227" s="63"/>
      <c r="D2227" s="64"/>
      <c r="E2227" s="65"/>
      <c r="F2227" s="66"/>
      <c r="G2227" s="63"/>
      <c r="H2227" s="67"/>
      <c r="I2227" s="68"/>
      <c r="J2227" s="68"/>
      <c r="K2227" s="32"/>
      <c r="L2227" s="75">
        <v>2227</v>
      </c>
      <c r="M2227" s="75"/>
      <c r="N2227" s="70"/>
      <c r="O2227" s="77" t="s">
        <v>179</v>
      </c>
      <c r="P2227" s="79">
        <v>45140.995162037034</v>
      </c>
      <c r="Q2227" s="77" t="s">
        <v>4076</v>
      </c>
      <c r="R2227" s="77">
        <v>1</v>
      </c>
      <c r="S2227" s="77">
        <v>4</v>
      </c>
      <c r="T2227" s="77">
        <v>0</v>
      </c>
      <c r="U2227" s="77">
        <v>0</v>
      </c>
      <c r="V2227" s="77">
        <v>625</v>
      </c>
      <c r="W2227" s="80" t="s">
        <v>7318</v>
      </c>
      <c r="X2227" s="83" t="str">
        <f>HYPERLINK("http://www.redetv.uol.com.br/jornalismo/economia/ministros-projetam-ciclo-de-queda-da-selic-nos-proximos-meses?cmpid=twitter")</f>
        <v>http://www.redetv.uol.com.br/jornalismo/economia/ministros-projetam-ciclo-de-queda-da-selic-nos-proximos-meses?cmpid=twitter</v>
      </c>
      <c r="Y2227" s="77" t="s">
        <v>8611</v>
      </c>
      <c r="Z2227" s="77"/>
      <c r="AA2227" s="77"/>
      <c r="AB2227" s="77"/>
      <c r="AC2227" s="80" t="s">
        <v>10541</v>
      </c>
      <c r="AD2227" s="77" t="s">
        <v>10617</v>
      </c>
      <c r="AE2227" s="83" t="str">
        <f>HYPERLINK("https://twitter.com/noticiasredetv/status/1686887863160369152")</f>
        <v>https://twitter.com/noticiasredetv/status/1686887863160369152</v>
      </c>
      <c r="AF2227" s="79">
        <v>45140.995162037034</v>
      </c>
      <c r="AG2227" s="85">
        <v>45140</v>
      </c>
      <c r="AH2227" s="80" t="s">
        <v>12600</v>
      </c>
      <c r="AI2227" s="77" t="b">
        <v>0</v>
      </c>
      <c r="AJ2227" s="77"/>
      <c r="AK2227" s="77"/>
      <c r="AL2227" s="77"/>
      <c r="AM2227" s="77"/>
      <c r="AN2227" s="77"/>
      <c r="AO2227" s="77"/>
      <c r="AP2227" s="77"/>
      <c r="AQ2227" s="77"/>
      <c r="AR2227" s="77"/>
      <c r="AS2227" s="77"/>
      <c r="AT2227" s="77"/>
      <c r="AU2227" s="77"/>
      <c r="AV2227" s="83" t="str">
        <f>HYPERLINK("https://pbs.twimg.com/profile_images/1544047959410606080/0sJKn-Iz_normal.jpg")</f>
        <v>https://pbs.twimg.com/profile_images/1544047959410606080/0sJKn-Iz_normal.jpg</v>
      </c>
      <c r="AW2227" s="80" t="s">
        <v>18063</v>
      </c>
      <c r="AX2227" s="80" t="s">
        <v>18063</v>
      </c>
      <c r="AY2227" s="77"/>
      <c r="AZ2227" s="80" t="s">
        <v>20380</v>
      </c>
      <c r="BA2227" s="80" t="s">
        <v>20380</v>
      </c>
      <c r="BB2227" s="80" t="s">
        <v>20380</v>
      </c>
      <c r="BC2227" s="80" t="s">
        <v>18063</v>
      </c>
      <c r="BD2227" s="80" t="s">
        <v>20827</v>
      </c>
      <c r="BE2227" s="77"/>
      <c r="BF2227" s="77"/>
      <c r="BG2227" s="77"/>
      <c r="BH2227" s="77"/>
      <c r="BI2227" s="77"/>
    </row>
    <row r="2228" spans="1:61" x14ac:dyDescent="0.25">
      <c r="A2228" s="62" t="s">
        <v>912</v>
      </c>
      <c r="B2228" s="62" t="s">
        <v>912</v>
      </c>
      <c r="C2228" s="63"/>
      <c r="D2228" s="64"/>
      <c r="E2228" s="65"/>
      <c r="F2228" s="66"/>
      <c r="G2228" s="63"/>
      <c r="H2228" s="67"/>
      <c r="I2228" s="68"/>
      <c r="J2228" s="68"/>
      <c r="K2228" s="32"/>
      <c r="L2228" s="75">
        <v>2228</v>
      </c>
      <c r="M2228" s="75"/>
      <c r="N2228" s="70"/>
      <c r="O2228" s="77" t="s">
        <v>179</v>
      </c>
      <c r="P2228" s="79">
        <v>45140.916921296295</v>
      </c>
      <c r="Q2228" s="77" t="s">
        <v>4077</v>
      </c>
      <c r="R2228" s="77">
        <v>2</v>
      </c>
      <c r="S2228" s="77">
        <v>7</v>
      </c>
      <c r="T2228" s="77">
        <v>2</v>
      </c>
      <c r="U2228" s="77">
        <v>0</v>
      </c>
      <c r="V2228" s="77">
        <v>1623</v>
      </c>
      <c r="W2228" s="80" t="s">
        <v>7319</v>
      </c>
      <c r="X2228" s="83" t="str">
        <f>HYPERLINK("http://www.redetv.uol.com.br/jornalismo/economia/copom-define-taxa-de-juros-basicos-para-1325-ao-ano?cmpid=twitter")</f>
        <v>http://www.redetv.uol.com.br/jornalismo/economia/copom-define-taxa-de-juros-basicos-para-1325-ao-ano?cmpid=twitter</v>
      </c>
      <c r="Y2228" s="77" t="s">
        <v>8611</v>
      </c>
      <c r="Z2228" s="77"/>
      <c r="AA2228" s="77"/>
      <c r="AB2228" s="77"/>
      <c r="AC2228" s="80" t="s">
        <v>10541</v>
      </c>
      <c r="AD2228" s="77" t="s">
        <v>10617</v>
      </c>
      <c r="AE2228" s="83" t="str">
        <f>HYPERLINK("https://twitter.com/noticiasredetv/status/1686859510432886785")</f>
        <v>https://twitter.com/noticiasredetv/status/1686859510432886785</v>
      </c>
      <c r="AF2228" s="79">
        <v>45140.916921296295</v>
      </c>
      <c r="AG2228" s="85">
        <v>45140</v>
      </c>
      <c r="AH2228" s="80" t="s">
        <v>12601</v>
      </c>
      <c r="AI2228" s="77" t="b">
        <v>0</v>
      </c>
      <c r="AJ2228" s="77"/>
      <c r="AK2228" s="77"/>
      <c r="AL2228" s="77"/>
      <c r="AM2228" s="77"/>
      <c r="AN2228" s="77"/>
      <c r="AO2228" s="77"/>
      <c r="AP2228" s="77"/>
      <c r="AQ2228" s="77"/>
      <c r="AR2228" s="77"/>
      <c r="AS2228" s="77"/>
      <c r="AT2228" s="77"/>
      <c r="AU2228" s="77"/>
      <c r="AV2228" s="83" t="str">
        <f>HYPERLINK("https://pbs.twimg.com/profile_images/1544047959410606080/0sJKn-Iz_normal.jpg")</f>
        <v>https://pbs.twimg.com/profile_images/1544047959410606080/0sJKn-Iz_normal.jpg</v>
      </c>
      <c r="AW2228" s="80" t="s">
        <v>18064</v>
      </c>
      <c r="AX2228" s="80" t="s">
        <v>18064</v>
      </c>
      <c r="AY2228" s="77"/>
      <c r="AZ2228" s="80" t="s">
        <v>20380</v>
      </c>
      <c r="BA2228" s="80" t="s">
        <v>20380</v>
      </c>
      <c r="BB2228" s="80" t="s">
        <v>20380</v>
      </c>
      <c r="BC2228" s="80" t="s">
        <v>18064</v>
      </c>
      <c r="BD2228" s="80" t="s">
        <v>20827</v>
      </c>
      <c r="BE2228" s="77"/>
      <c r="BF2228" s="77"/>
      <c r="BG2228" s="77"/>
      <c r="BH2228" s="77"/>
      <c r="BI2228" s="77"/>
    </row>
    <row r="2229" spans="1:61" x14ac:dyDescent="0.25">
      <c r="A2229" s="62" t="s">
        <v>912</v>
      </c>
      <c r="B2229" s="62" t="s">
        <v>912</v>
      </c>
      <c r="C2229" s="63"/>
      <c r="D2229" s="64"/>
      <c r="E2229" s="65"/>
      <c r="F2229" s="66"/>
      <c r="G2229" s="63"/>
      <c r="H2229" s="67"/>
      <c r="I2229" s="68"/>
      <c r="J2229" s="68"/>
      <c r="K2229" s="32"/>
      <c r="L2229" s="75">
        <v>2229</v>
      </c>
      <c r="M2229" s="75"/>
      <c r="N2229" s="70"/>
      <c r="O2229" s="77" t="s">
        <v>179</v>
      </c>
      <c r="P2229" s="79">
        <v>45082.576226851852</v>
      </c>
      <c r="Q2229" s="77" t="s">
        <v>4078</v>
      </c>
      <c r="R2229" s="77">
        <v>0</v>
      </c>
      <c r="S2229" s="77">
        <v>0</v>
      </c>
      <c r="T2229" s="77">
        <v>0</v>
      </c>
      <c r="U2229" s="77">
        <v>0</v>
      </c>
      <c r="V2229" s="77">
        <v>28</v>
      </c>
      <c r="W2229" s="80" t="s">
        <v>7320</v>
      </c>
      <c r="X2229" s="83" t="str">
        <f>HYPERLINK("http://www.redetv.uol.com.br/jornalismo/economia/mercado-eleva-para-168-projecao-do-crescimento-da-economia-em-2023?cmpid=twitter")</f>
        <v>http://www.redetv.uol.com.br/jornalismo/economia/mercado-eleva-para-168-projecao-do-crescimento-da-economia-em-2023?cmpid=twitter</v>
      </c>
      <c r="Y2229" s="77" t="s">
        <v>8611</v>
      </c>
      <c r="Z2229" s="77"/>
      <c r="AA2229" s="77"/>
      <c r="AB2229" s="77"/>
      <c r="AC2229" s="80" t="s">
        <v>10541</v>
      </c>
      <c r="AD2229" s="77" t="s">
        <v>10617</v>
      </c>
      <c r="AE2229" s="83" t="str">
        <f>HYPERLINK("https://twitter.com/noticiasredetv/status/1665717550372593664")</f>
        <v>https://twitter.com/noticiasredetv/status/1665717550372593664</v>
      </c>
      <c r="AF2229" s="79">
        <v>45082.576226851852</v>
      </c>
      <c r="AG2229" s="85">
        <v>45082</v>
      </c>
      <c r="AH2229" s="80" t="s">
        <v>12602</v>
      </c>
      <c r="AI2229" s="77" t="b">
        <v>0</v>
      </c>
      <c r="AJ2229" s="77"/>
      <c r="AK2229" s="77"/>
      <c r="AL2229" s="77"/>
      <c r="AM2229" s="77"/>
      <c r="AN2229" s="77"/>
      <c r="AO2229" s="77"/>
      <c r="AP2229" s="77"/>
      <c r="AQ2229" s="77"/>
      <c r="AR2229" s="77"/>
      <c r="AS2229" s="77"/>
      <c r="AT2229" s="77"/>
      <c r="AU2229" s="77"/>
      <c r="AV2229" s="83" t="str">
        <f>HYPERLINK("https://pbs.twimg.com/profile_images/1544047959410606080/0sJKn-Iz_normal.jpg")</f>
        <v>https://pbs.twimg.com/profile_images/1544047959410606080/0sJKn-Iz_normal.jpg</v>
      </c>
      <c r="AW2229" s="80" t="s">
        <v>18065</v>
      </c>
      <c r="AX2229" s="80" t="s">
        <v>18065</v>
      </c>
      <c r="AY2229" s="77"/>
      <c r="AZ2229" s="80" t="s">
        <v>20380</v>
      </c>
      <c r="BA2229" s="80" t="s">
        <v>20380</v>
      </c>
      <c r="BB2229" s="80" t="s">
        <v>20380</v>
      </c>
      <c r="BC2229" s="80" t="s">
        <v>18065</v>
      </c>
      <c r="BD2229" s="80" t="s">
        <v>20827</v>
      </c>
      <c r="BE2229" s="77"/>
      <c r="BF2229" s="77"/>
      <c r="BG2229" s="77"/>
      <c r="BH2229" s="77"/>
      <c r="BI2229" s="77"/>
    </row>
    <row r="2230" spans="1:61" x14ac:dyDescent="0.25">
      <c r="A2230" s="62" t="s">
        <v>913</v>
      </c>
      <c r="B2230" s="62" t="s">
        <v>913</v>
      </c>
      <c r="C2230" s="63"/>
      <c r="D2230" s="64"/>
      <c r="E2230" s="65"/>
      <c r="F2230" s="66"/>
      <c r="G2230" s="63"/>
      <c r="H2230" s="67"/>
      <c r="I2230" s="68"/>
      <c r="J2230" s="68"/>
      <c r="K2230" s="32"/>
      <c r="L2230" s="75">
        <v>2230</v>
      </c>
      <c r="M2230" s="75"/>
      <c r="N2230" s="70"/>
      <c r="O2230" s="77" t="s">
        <v>179</v>
      </c>
      <c r="P2230" s="79">
        <v>45099.079942129632</v>
      </c>
      <c r="Q2230" s="77" t="s">
        <v>4079</v>
      </c>
      <c r="R2230" s="77">
        <v>423</v>
      </c>
      <c r="S2230" s="77">
        <v>842</v>
      </c>
      <c r="T2230" s="77">
        <v>47</v>
      </c>
      <c r="U2230" s="77">
        <v>32</v>
      </c>
      <c r="V2230" s="77">
        <v>23249</v>
      </c>
      <c r="W2230" s="80" t="s">
        <v>7321</v>
      </c>
      <c r="X2230" s="77"/>
      <c r="Y2230" s="77"/>
      <c r="Z2230" s="77"/>
      <c r="AA2230" s="77" t="s">
        <v>9656</v>
      </c>
      <c r="AB2230" s="77" t="s">
        <v>10534</v>
      </c>
      <c r="AC2230" s="80" t="s">
        <v>10540</v>
      </c>
      <c r="AD2230" s="77" t="s">
        <v>10617</v>
      </c>
      <c r="AE2230" s="83" t="str">
        <f>HYPERLINK("https://twitter.com/finc0/status/1671698296320958464")</f>
        <v>https://twitter.com/finc0/status/1671698296320958464</v>
      </c>
      <c r="AF2230" s="79">
        <v>45099.079942129632</v>
      </c>
      <c r="AG2230" s="85">
        <v>45099</v>
      </c>
      <c r="AH2230" s="80" t="s">
        <v>12603</v>
      </c>
      <c r="AI2230" s="77" t="b">
        <v>0</v>
      </c>
      <c r="AJ2230" s="77"/>
      <c r="AK2230" s="77"/>
      <c r="AL2230" s="77"/>
      <c r="AM2230" s="77"/>
      <c r="AN2230" s="77"/>
      <c r="AO2230" s="77"/>
      <c r="AP2230" s="77"/>
      <c r="AQ2230" s="77" t="s">
        <v>15138</v>
      </c>
      <c r="AR2230" s="77">
        <v>139991</v>
      </c>
      <c r="AS2230" s="77"/>
      <c r="AT2230" s="77"/>
      <c r="AU2230" s="77"/>
      <c r="AV2230" s="83" t="str">
        <f>HYPERLINK("https://pbs.twimg.com/ext_tw_video_thumb/1671698184999952384/pu/img/6Gp_ZL5oLzz06l6C.jpg")</f>
        <v>https://pbs.twimg.com/ext_tw_video_thumb/1671698184999952384/pu/img/6Gp_ZL5oLzz06l6C.jpg</v>
      </c>
      <c r="AW2230" s="80" t="s">
        <v>18066</v>
      </c>
      <c r="AX2230" s="80" t="s">
        <v>18066</v>
      </c>
      <c r="AY2230" s="77"/>
      <c r="AZ2230" s="80" t="s">
        <v>20380</v>
      </c>
      <c r="BA2230" s="80" t="s">
        <v>20380</v>
      </c>
      <c r="BB2230" s="80" t="s">
        <v>20380</v>
      </c>
      <c r="BC2230" s="80" t="s">
        <v>18066</v>
      </c>
      <c r="BD2230" s="77">
        <v>252053828</v>
      </c>
      <c r="BE2230" s="77"/>
      <c r="BF2230" s="77"/>
      <c r="BG2230" s="77"/>
      <c r="BH2230" s="77"/>
      <c r="BI2230" s="77"/>
    </row>
    <row r="2231" spans="1:61" x14ac:dyDescent="0.25">
      <c r="A2231" s="62" t="s">
        <v>914</v>
      </c>
      <c r="B2231" s="62" t="s">
        <v>1920</v>
      </c>
      <c r="C2231" s="63"/>
      <c r="D2231" s="64"/>
      <c r="E2231" s="65"/>
      <c r="F2231" s="66"/>
      <c r="G2231" s="63"/>
      <c r="H2231" s="67"/>
      <c r="I2231" s="68"/>
      <c r="J2231" s="68"/>
      <c r="K2231" s="32"/>
      <c r="L2231" s="75">
        <v>2231</v>
      </c>
      <c r="M2231" s="75"/>
      <c r="N2231" s="70"/>
      <c r="O2231" s="77" t="s">
        <v>2081</v>
      </c>
      <c r="P2231" s="79">
        <v>45054.93041666667</v>
      </c>
      <c r="Q2231" s="77" t="s">
        <v>4080</v>
      </c>
      <c r="R2231" s="77">
        <v>0</v>
      </c>
      <c r="S2231" s="77">
        <v>0</v>
      </c>
      <c r="T2231" s="77">
        <v>0</v>
      </c>
      <c r="U2231" s="77">
        <v>0</v>
      </c>
      <c r="V2231" s="77">
        <v>74</v>
      </c>
      <c r="W2231" s="80" t="s">
        <v>7322</v>
      </c>
      <c r="X2231" s="77"/>
      <c r="Y2231" s="77"/>
      <c r="Z2231" s="77" t="s">
        <v>1920</v>
      </c>
      <c r="AA2231" s="77" t="s">
        <v>9657</v>
      </c>
      <c r="AB2231" s="77" t="s">
        <v>10534</v>
      </c>
      <c r="AC2231" s="80" t="s">
        <v>10587</v>
      </c>
      <c r="AD2231" s="77" t="s">
        <v>10623</v>
      </c>
      <c r="AE2231" s="83" t="str">
        <f>HYPERLINK("https://twitter.com/imminent_newsde/status/1655699046244163587")</f>
        <v>https://twitter.com/imminent_newsde/status/1655699046244163587</v>
      </c>
      <c r="AF2231" s="79">
        <v>45054.93041666667</v>
      </c>
      <c r="AG2231" s="85">
        <v>45054</v>
      </c>
      <c r="AH2231" s="80" t="s">
        <v>12604</v>
      </c>
      <c r="AI2231" s="77" t="b">
        <v>0</v>
      </c>
      <c r="AJ2231" s="77"/>
      <c r="AK2231" s="77"/>
      <c r="AL2231" s="77"/>
      <c r="AM2231" s="77"/>
      <c r="AN2231" s="77"/>
      <c r="AO2231" s="77"/>
      <c r="AP2231" s="77"/>
      <c r="AQ2231" s="77" t="s">
        <v>15139</v>
      </c>
      <c r="AR2231" s="77">
        <v>98681</v>
      </c>
      <c r="AS2231" s="77"/>
      <c r="AT2231" s="77"/>
      <c r="AU2231" s="77"/>
      <c r="AV2231" s="83" t="str">
        <f>HYPERLINK("https://pbs.twimg.com/ext_tw_video_thumb/1655682200447201281/pu/img/j0wMlHbivDaSH0MR.jpg")</f>
        <v>https://pbs.twimg.com/ext_tw_video_thumb/1655682200447201281/pu/img/j0wMlHbivDaSH0MR.jpg</v>
      </c>
      <c r="AW2231" s="80" t="s">
        <v>18067</v>
      </c>
      <c r="AX2231" s="80" t="s">
        <v>18067</v>
      </c>
      <c r="AY2231" s="77"/>
      <c r="AZ2231" s="80" t="s">
        <v>20380</v>
      </c>
      <c r="BA2231" s="80" t="s">
        <v>20380</v>
      </c>
      <c r="BB2231" s="80" t="s">
        <v>20380</v>
      </c>
      <c r="BC2231" s="80" t="s">
        <v>18067</v>
      </c>
      <c r="BD2231" s="80" t="s">
        <v>20828</v>
      </c>
      <c r="BE2231" s="77"/>
      <c r="BF2231" s="77"/>
      <c r="BG2231" s="77"/>
      <c r="BH2231" s="77"/>
      <c r="BI2231" s="77"/>
    </row>
    <row r="2232" spans="1:61" x14ac:dyDescent="0.25">
      <c r="A2232" s="62" t="s">
        <v>915</v>
      </c>
      <c r="B2232" s="62" t="s">
        <v>1921</v>
      </c>
      <c r="C2232" s="63"/>
      <c r="D2232" s="64"/>
      <c r="E2232" s="65"/>
      <c r="F2232" s="66"/>
      <c r="G2232" s="63"/>
      <c r="H2232" s="67"/>
      <c r="I2232" s="68"/>
      <c r="J2232" s="68"/>
      <c r="K2232" s="32"/>
      <c r="L2232" s="75">
        <v>2232</v>
      </c>
      <c r="M2232" s="75"/>
      <c r="N2232" s="70"/>
      <c r="O2232" s="77" t="s">
        <v>2084</v>
      </c>
      <c r="P2232" s="79">
        <v>45077.747986111113</v>
      </c>
      <c r="Q2232" s="77" t="s">
        <v>4081</v>
      </c>
      <c r="R2232" s="77">
        <v>0</v>
      </c>
      <c r="S2232" s="77">
        <v>2</v>
      </c>
      <c r="T2232" s="77">
        <v>0</v>
      </c>
      <c r="U2232" s="77">
        <v>1</v>
      </c>
      <c r="V2232" s="77">
        <v>95</v>
      </c>
      <c r="W2232" s="80" t="s">
        <v>5884</v>
      </c>
      <c r="X2232" s="77"/>
      <c r="Y2232" s="77"/>
      <c r="Z2232" s="77" t="s">
        <v>8974</v>
      </c>
      <c r="AA2232" s="77" t="s">
        <v>9658</v>
      </c>
      <c r="AB2232" s="77" t="s">
        <v>10535</v>
      </c>
      <c r="AC2232" s="80" t="s">
        <v>10540</v>
      </c>
      <c r="AD2232" s="77" t="s">
        <v>10617</v>
      </c>
      <c r="AE2232" s="83" t="str">
        <f>HYPERLINK("https://twitter.com/parego/status/1663967854457245702")</f>
        <v>https://twitter.com/parego/status/1663967854457245702</v>
      </c>
      <c r="AF2232" s="79">
        <v>45077.747986111113</v>
      </c>
      <c r="AG2232" s="85">
        <v>45077</v>
      </c>
      <c r="AH2232" s="80" t="s">
        <v>12605</v>
      </c>
      <c r="AI2232" s="77" t="b">
        <v>0</v>
      </c>
      <c r="AJ2232" s="77"/>
      <c r="AK2232" s="77"/>
      <c r="AL2232" s="77"/>
      <c r="AM2232" s="77"/>
      <c r="AN2232" s="77"/>
      <c r="AO2232" s="77"/>
      <c r="AP2232" s="77"/>
      <c r="AQ2232" s="77" t="s">
        <v>15140</v>
      </c>
      <c r="AR2232" s="77"/>
      <c r="AS2232" s="77"/>
      <c r="AT2232" s="77"/>
      <c r="AU2232" s="77"/>
      <c r="AV2232" s="83" t="str">
        <f>HYPERLINK("https://pbs.twimg.com/media/FxeZ8fgXoAA7GDT.jpg")</f>
        <v>https://pbs.twimg.com/media/FxeZ8fgXoAA7GDT.jpg</v>
      </c>
      <c r="AW2232" s="80" t="s">
        <v>18068</v>
      </c>
      <c r="AX2232" s="80" t="s">
        <v>18068</v>
      </c>
      <c r="AY2232" s="77"/>
      <c r="AZ2232" s="80" t="s">
        <v>20380</v>
      </c>
      <c r="BA2232" s="80" t="s">
        <v>18083</v>
      </c>
      <c r="BB2232" s="80" t="s">
        <v>20380</v>
      </c>
      <c r="BC2232" s="80" t="s">
        <v>18083</v>
      </c>
      <c r="BD2232" s="77">
        <v>40776090</v>
      </c>
      <c r="BE2232" s="77"/>
      <c r="BF2232" s="77"/>
      <c r="BG2232" s="77"/>
      <c r="BH2232" s="77"/>
      <c r="BI2232" s="77"/>
    </row>
    <row r="2233" spans="1:61" x14ac:dyDescent="0.25">
      <c r="A2233" s="62" t="s">
        <v>915</v>
      </c>
      <c r="B2233" s="62" t="s">
        <v>1921</v>
      </c>
      <c r="C2233" s="63"/>
      <c r="D2233" s="64"/>
      <c r="E2233" s="65"/>
      <c r="F2233" s="66"/>
      <c r="G2233" s="63"/>
      <c r="H2233" s="67"/>
      <c r="I2233" s="68"/>
      <c r="J2233" s="68"/>
      <c r="K2233" s="32"/>
      <c r="L2233" s="75">
        <v>2233</v>
      </c>
      <c r="M2233" s="75"/>
      <c r="N2233" s="70"/>
      <c r="O2233" s="77" t="s">
        <v>2084</v>
      </c>
      <c r="P2233" s="79">
        <v>45099.200844907406</v>
      </c>
      <c r="Q2233" s="77" t="s">
        <v>4082</v>
      </c>
      <c r="R2233" s="77">
        <v>0</v>
      </c>
      <c r="S2233" s="77">
        <v>2</v>
      </c>
      <c r="T2233" s="77">
        <v>0</v>
      </c>
      <c r="U2233" s="77">
        <v>1</v>
      </c>
      <c r="V2233" s="77">
        <v>84</v>
      </c>
      <c r="W2233" s="80" t="s">
        <v>7323</v>
      </c>
      <c r="X2233" s="77"/>
      <c r="Y2233" s="77"/>
      <c r="Z2233" s="77" t="s">
        <v>8975</v>
      </c>
      <c r="AA2233" s="77" t="s">
        <v>9659</v>
      </c>
      <c r="AB2233" s="77" t="s">
        <v>10537</v>
      </c>
      <c r="AC2233" s="80" t="s">
        <v>10540</v>
      </c>
      <c r="AD2233" s="77" t="s">
        <v>10617</v>
      </c>
      <c r="AE2233" s="83" t="str">
        <f>HYPERLINK("https://twitter.com/parego/status/1671742113459863552")</f>
        <v>https://twitter.com/parego/status/1671742113459863552</v>
      </c>
      <c r="AF2233" s="79">
        <v>45099.200844907406</v>
      </c>
      <c r="AG2233" s="85">
        <v>45099</v>
      </c>
      <c r="AH2233" s="80" t="s">
        <v>12606</v>
      </c>
      <c r="AI2233" s="77" t="b">
        <v>0</v>
      </c>
      <c r="AJ2233" s="77"/>
      <c r="AK2233" s="77"/>
      <c r="AL2233" s="77"/>
      <c r="AM2233" s="77"/>
      <c r="AN2233" s="77"/>
      <c r="AO2233" s="77"/>
      <c r="AP2233" s="77"/>
      <c r="AQ2233" s="77" t="s">
        <v>15141</v>
      </c>
      <c r="AR2233" s="77"/>
      <c r="AS2233" s="77"/>
      <c r="AT2233" s="77"/>
      <c r="AU2233" s="77"/>
      <c r="AV2233" s="83" t="str">
        <f>HYPERLINK("https://pbs.twimg.com/media/FzM4lelXoAAuuW2.jpg")</f>
        <v>https://pbs.twimg.com/media/FzM4lelXoAAuuW2.jpg</v>
      </c>
      <c r="AW2233" s="80" t="s">
        <v>18069</v>
      </c>
      <c r="AX2233" s="80" t="s">
        <v>18069</v>
      </c>
      <c r="AY2233" s="77"/>
      <c r="AZ2233" s="80" t="s">
        <v>20380</v>
      </c>
      <c r="BA2233" s="80" t="s">
        <v>16805</v>
      </c>
      <c r="BB2233" s="80" t="s">
        <v>20380</v>
      </c>
      <c r="BC2233" s="80" t="s">
        <v>16805</v>
      </c>
      <c r="BD2233" s="77">
        <v>40776090</v>
      </c>
      <c r="BE2233" s="77"/>
      <c r="BF2233" s="77"/>
      <c r="BG2233" s="77"/>
      <c r="BH2233" s="77"/>
      <c r="BI2233" s="77"/>
    </row>
    <row r="2234" spans="1:61" x14ac:dyDescent="0.25">
      <c r="A2234" s="62" t="s">
        <v>915</v>
      </c>
      <c r="B2234" s="62" t="s">
        <v>1764</v>
      </c>
      <c r="C2234" s="63"/>
      <c r="D2234" s="64"/>
      <c r="E2234" s="65"/>
      <c r="F2234" s="66"/>
      <c r="G2234" s="63"/>
      <c r="H2234" s="67"/>
      <c r="I2234" s="68"/>
      <c r="J2234" s="68"/>
      <c r="K2234" s="32"/>
      <c r="L2234" s="75">
        <v>2234</v>
      </c>
      <c r="M2234" s="75"/>
      <c r="N2234" s="70"/>
      <c r="O2234" s="77" t="s">
        <v>2084</v>
      </c>
      <c r="P2234" s="79">
        <v>45081.096504629626</v>
      </c>
      <c r="Q2234" s="77" t="s">
        <v>4083</v>
      </c>
      <c r="R2234" s="77">
        <v>1</v>
      </c>
      <c r="S2234" s="77">
        <v>2</v>
      </c>
      <c r="T2234" s="77">
        <v>0</v>
      </c>
      <c r="U2234" s="77">
        <v>0</v>
      </c>
      <c r="V2234" s="77">
        <v>71</v>
      </c>
      <c r="W2234" s="80" t="s">
        <v>5884</v>
      </c>
      <c r="X2234" s="77"/>
      <c r="Y2234" s="77"/>
      <c r="Z2234" s="77" t="s">
        <v>1764</v>
      </c>
      <c r="AA2234" s="77" t="s">
        <v>9660</v>
      </c>
      <c r="AB2234" s="77" t="s">
        <v>10536</v>
      </c>
      <c r="AC2234" s="80" t="s">
        <v>10540</v>
      </c>
      <c r="AD2234" s="77" t="s">
        <v>10617</v>
      </c>
      <c r="AE2234" s="83" t="str">
        <f>HYPERLINK("https://twitter.com/parego/status/1665181319372894208")</f>
        <v>https://twitter.com/parego/status/1665181319372894208</v>
      </c>
      <c r="AF2234" s="79">
        <v>45081.096504629626</v>
      </c>
      <c r="AG2234" s="85">
        <v>45081</v>
      </c>
      <c r="AH2234" s="80" t="s">
        <v>12607</v>
      </c>
      <c r="AI2234" s="77" t="b">
        <v>0</v>
      </c>
      <c r="AJ2234" s="77"/>
      <c r="AK2234" s="77"/>
      <c r="AL2234" s="77"/>
      <c r="AM2234" s="77"/>
      <c r="AN2234" s="77"/>
      <c r="AO2234" s="77"/>
      <c r="AP2234" s="77"/>
      <c r="AQ2234" s="77" t="s">
        <v>15142</v>
      </c>
      <c r="AR2234" s="77"/>
      <c r="AS2234" s="77"/>
      <c r="AT2234" s="77"/>
      <c r="AU2234" s="77"/>
      <c r="AV2234" s="83" t="str">
        <f>HYPERLINK("https://pbs.twimg.com/media/FxvplQyWcAEqIpP.jpg")</f>
        <v>https://pbs.twimg.com/media/FxvplQyWcAEqIpP.jpg</v>
      </c>
      <c r="AW2234" s="80" t="s">
        <v>18070</v>
      </c>
      <c r="AX2234" s="80" t="s">
        <v>18070</v>
      </c>
      <c r="AY2234" s="77"/>
      <c r="AZ2234" s="80" t="s">
        <v>20380</v>
      </c>
      <c r="BA2234" s="80" t="s">
        <v>18068</v>
      </c>
      <c r="BB2234" s="80" t="s">
        <v>20380</v>
      </c>
      <c r="BC2234" s="80" t="s">
        <v>18068</v>
      </c>
      <c r="BD2234" s="77">
        <v>40776090</v>
      </c>
      <c r="BE2234" s="77"/>
      <c r="BF2234" s="77"/>
      <c r="BG2234" s="77"/>
      <c r="BH2234" s="77"/>
      <c r="BI2234" s="77"/>
    </row>
    <row r="2235" spans="1:61" x14ac:dyDescent="0.25">
      <c r="A2235" s="62" t="s">
        <v>915</v>
      </c>
      <c r="B2235" s="62" t="s">
        <v>1764</v>
      </c>
      <c r="C2235" s="63"/>
      <c r="D2235" s="64"/>
      <c r="E2235" s="65"/>
      <c r="F2235" s="66"/>
      <c r="G2235" s="63"/>
      <c r="H2235" s="67"/>
      <c r="I2235" s="68"/>
      <c r="J2235" s="68"/>
      <c r="K2235" s="32"/>
      <c r="L2235" s="75">
        <v>2235</v>
      </c>
      <c r="M2235" s="75"/>
      <c r="N2235" s="70"/>
      <c r="O2235" s="77" t="s">
        <v>2084</v>
      </c>
      <c r="P2235" s="79">
        <v>45099.200844907406</v>
      </c>
      <c r="Q2235" s="77" t="s">
        <v>4082</v>
      </c>
      <c r="R2235" s="77">
        <v>0</v>
      </c>
      <c r="S2235" s="77">
        <v>2</v>
      </c>
      <c r="T2235" s="77">
        <v>0</v>
      </c>
      <c r="U2235" s="77">
        <v>1</v>
      </c>
      <c r="V2235" s="77">
        <v>84</v>
      </c>
      <c r="W2235" s="80" t="s">
        <v>7323</v>
      </c>
      <c r="X2235" s="77"/>
      <c r="Y2235" s="77"/>
      <c r="Z2235" s="77" t="s">
        <v>8975</v>
      </c>
      <c r="AA2235" s="77" t="s">
        <v>9659</v>
      </c>
      <c r="AB2235" s="77" t="s">
        <v>10537</v>
      </c>
      <c r="AC2235" s="80" t="s">
        <v>10540</v>
      </c>
      <c r="AD2235" s="77" t="s">
        <v>10617</v>
      </c>
      <c r="AE2235" s="83" t="str">
        <f>HYPERLINK("https://twitter.com/parego/status/1671742113459863552")</f>
        <v>https://twitter.com/parego/status/1671742113459863552</v>
      </c>
      <c r="AF2235" s="79">
        <v>45099.200844907406</v>
      </c>
      <c r="AG2235" s="85">
        <v>45099</v>
      </c>
      <c r="AH2235" s="80" t="s">
        <v>12606</v>
      </c>
      <c r="AI2235" s="77" t="b">
        <v>0</v>
      </c>
      <c r="AJ2235" s="77"/>
      <c r="AK2235" s="77"/>
      <c r="AL2235" s="77"/>
      <c r="AM2235" s="77"/>
      <c r="AN2235" s="77"/>
      <c r="AO2235" s="77"/>
      <c r="AP2235" s="77"/>
      <c r="AQ2235" s="77" t="s">
        <v>15141</v>
      </c>
      <c r="AR2235" s="77"/>
      <c r="AS2235" s="77"/>
      <c r="AT2235" s="77"/>
      <c r="AU2235" s="77"/>
      <c r="AV2235" s="83" t="str">
        <f>HYPERLINK("https://pbs.twimg.com/media/FzM4lelXoAAuuW2.jpg")</f>
        <v>https://pbs.twimg.com/media/FzM4lelXoAAuuW2.jpg</v>
      </c>
      <c r="AW2235" s="80" t="s">
        <v>18069</v>
      </c>
      <c r="AX2235" s="80" t="s">
        <v>18069</v>
      </c>
      <c r="AY2235" s="77"/>
      <c r="AZ2235" s="80" t="s">
        <v>20380</v>
      </c>
      <c r="BA2235" s="80" t="s">
        <v>16805</v>
      </c>
      <c r="BB2235" s="80" t="s">
        <v>20380</v>
      </c>
      <c r="BC2235" s="80" t="s">
        <v>16805</v>
      </c>
      <c r="BD2235" s="77">
        <v>40776090</v>
      </c>
      <c r="BE2235" s="77"/>
      <c r="BF2235" s="77"/>
      <c r="BG2235" s="77"/>
      <c r="BH2235" s="77"/>
      <c r="BI2235" s="77"/>
    </row>
    <row r="2236" spans="1:61" x14ac:dyDescent="0.25">
      <c r="A2236" s="62" t="s">
        <v>915</v>
      </c>
      <c r="B2236" s="62" t="s">
        <v>1764</v>
      </c>
      <c r="C2236" s="63"/>
      <c r="D2236" s="64"/>
      <c r="E2236" s="65"/>
      <c r="F2236" s="66"/>
      <c r="G2236" s="63"/>
      <c r="H2236" s="67"/>
      <c r="I2236" s="68"/>
      <c r="J2236" s="68"/>
      <c r="K2236" s="32"/>
      <c r="L2236" s="75">
        <v>2236</v>
      </c>
      <c r="M2236" s="75"/>
      <c r="N2236" s="70"/>
      <c r="O2236" s="77" t="s">
        <v>2081</v>
      </c>
      <c r="P2236" s="79">
        <v>45100.98201388889</v>
      </c>
      <c r="Q2236" s="77" t="s">
        <v>4084</v>
      </c>
      <c r="R2236" s="77">
        <v>0</v>
      </c>
      <c r="S2236" s="77">
        <v>1</v>
      </c>
      <c r="T2236" s="77">
        <v>0</v>
      </c>
      <c r="U2236" s="77">
        <v>0</v>
      </c>
      <c r="V2236" s="77">
        <v>20</v>
      </c>
      <c r="W2236" s="80" t="s">
        <v>7324</v>
      </c>
      <c r="X2236" s="77"/>
      <c r="Y2236" s="77"/>
      <c r="Z2236" s="77" t="s">
        <v>8976</v>
      </c>
      <c r="AA2236" s="77" t="s">
        <v>9661</v>
      </c>
      <c r="AB2236" s="77" t="s">
        <v>10536</v>
      </c>
      <c r="AC2236" s="80" t="s">
        <v>10540</v>
      </c>
      <c r="AD2236" s="77" t="s">
        <v>10617</v>
      </c>
      <c r="AE2236" s="83" t="str">
        <f>HYPERLINK("https://twitter.com/parego/status/1672387584826195969")</f>
        <v>https://twitter.com/parego/status/1672387584826195969</v>
      </c>
      <c r="AF2236" s="79">
        <v>45100.98201388889</v>
      </c>
      <c r="AG2236" s="85">
        <v>45100</v>
      </c>
      <c r="AH2236" s="80" t="s">
        <v>12608</v>
      </c>
      <c r="AI2236" s="77" t="b">
        <v>0</v>
      </c>
      <c r="AJ2236" s="77"/>
      <c r="AK2236" s="77"/>
      <c r="AL2236" s="77"/>
      <c r="AM2236" s="77"/>
      <c r="AN2236" s="77"/>
      <c r="AO2236" s="77"/>
      <c r="AP2236" s="77"/>
      <c r="AQ2236" s="77" t="s">
        <v>15143</v>
      </c>
      <c r="AR2236" s="77"/>
      <c r="AS2236" s="77"/>
      <c r="AT2236" s="77"/>
      <c r="AU2236" s="77"/>
      <c r="AV2236" s="83" t="str">
        <f>HYPERLINK("https://pbs.twimg.com/media/FzWDpIjXoAEeekz.jpg")</f>
        <v>https://pbs.twimg.com/media/FzWDpIjXoAEeekz.jpg</v>
      </c>
      <c r="AW2236" s="80" t="s">
        <v>18071</v>
      </c>
      <c r="AX2236" s="80" t="s">
        <v>18071</v>
      </c>
      <c r="AY2236" s="77"/>
      <c r="AZ2236" s="80" t="s">
        <v>20380</v>
      </c>
      <c r="BA2236" s="80" t="s">
        <v>20380</v>
      </c>
      <c r="BB2236" s="80" t="s">
        <v>20380</v>
      </c>
      <c r="BC2236" s="80" t="s">
        <v>18071</v>
      </c>
      <c r="BD2236" s="77">
        <v>40776090</v>
      </c>
      <c r="BE2236" s="77"/>
      <c r="BF2236" s="77"/>
      <c r="BG2236" s="77"/>
      <c r="BH2236" s="77"/>
      <c r="BI2236" s="77"/>
    </row>
    <row r="2237" spans="1:61" x14ac:dyDescent="0.25">
      <c r="A2237" s="62" t="s">
        <v>915</v>
      </c>
      <c r="B2237" s="62" t="s">
        <v>1764</v>
      </c>
      <c r="C2237" s="63"/>
      <c r="D2237" s="64"/>
      <c r="E2237" s="65"/>
      <c r="F2237" s="66"/>
      <c r="G2237" s="63"/>
      <c r="H2237" s="67"/>
      <c r="I2237" s="68"/>
      <c r="J2237" s="68"/>
      <c r="K2237" s="32"/>
      <c r="L2237" s="75">
        <v>2237</v>
      </c>
      <c r="M2237" s="75"/>
      <c r="N2237" s="70"/>
      <c r="O2237" s="77" t="s">
        <v>2084</v>
      </c>
      <c r="P2237" s="79">
        <v>45119.598946759259</v>
      </c>
      <c r="Q2237" s="77" t="s">
        <v>4085</v>
      </c>
      <c r="R2237" s="77">
        <v>0</v>
      </c>
      <c r="S2237" s="77">
        <v>1</v>
      </c>
      <c r="T2237" s="77">
        <v>0</v>
      </c>
      <c r="U2237" s="77">
        <v>0</v>
      </c>
      <c r="V2237" s="77">
        <v>36</v>
      </c>
      <c r="W2237" s="80" t="s">
        <v>6203</v>
      </c>
      <c r="X2237" s="77"/>
      <c r="Y2237" s="77"/>
      <c r="Z2237" s="77" t="s">
        <v>1764</v>
      </c>
      <c r="AA2237" s="77" t="s">
        <v>9662</v>
      </c>
      <c r="AB2237" s="77" t="s">
        <v>10537</v>
      </c>
      <c r="AC2237" s="80" t="s">
        <v>10540</v>
      </c>
      <c r="AD2237" s="77" t="s">
        <v>10617</v>
      </c>
      <c r="AE2237" s="83" t="str">
        <f>HYPERLINK("https://twitter.com/parego/status/1679134134080356352")</f>
        <v>https://twitter.com/parego/status/1679134134080356352</v>
      </c>
      <c r="AF2237" s="79">
        <v>45119.598946759259</v>
      </c>
      <c r="AG2237" s="85">
        <v>45119</v>
      </c>
      <c r="AH2237" s="80" t="s">
        <v>12609</v>
      </c>
      <c r="AI2237" s="77" t="b">
        <v>0</v>
      </c>
      <c r="AJ2237" s="77"/>
      <c r="AK2237" s="77"/>
      <c r="AL2237" s="77"/>
      <c r="AM2237" s="77"/>
      <c r="AN2237" s="77"/>
      <c r="AO2237" s="77"/>
      <c r="AP2237" s="77"/>
      <c r="AQ2237" s="77" t="s">
        <v>15144</v>
      </c>
      <c r="AR2237" s="77"/>
      <c r="AS2237" s="77"/>
      <c r="AT2237" s="77"/>
      <c r="AU2237" s="77"/>
      <c r="AV2237" s="83" t="str">
        <f>HYPERLINK("https://pbs.twimg.com/media/F017jF6XoAEomG5.jpg")</f>
        <v>https://pbs.twimg.com/media/F017jF6XoAEomG5.jpg</v>
      </c>
      <c r="AW2237" s="80" t="s">
        <v>18072</v>
      </c>
      <c r="AX2237" s="80" t="s">
        <v>18072</v>
      </c>
      <c r="AY2237" s="77"/>
      <c r="AZ2237" s="80" t="s">
        <v>20380</v>
      </c>
      <c r="BA2237" s="80" t="s">
        <v>18082</v>
      </c>
      <c r="BB2237" s="80" t="s">
        <v>20380</v>
      </c>
      <c r="BC2237" s="80" t="s">
        <v>18082</v>
      </c>
      <c r="BD2237" s="77">
        <v>40776090</v>
      </c>
      <c r="BE2237" s="77"/>
      <c r="BF2237" s="77"/>
      <c r="BG2237" s="77"/>
      <c r="BH2237" s="77"/>
      <c r="BI2237" s="77"/>
    </row>
    <row r="2238" spans="1:61" x14ac:dyDescent="0.25">
      <c r="A2238" s="62" t="s">
        <v>915</v>
      </c>
      <c r="B2238" s="62" t="s">
        <v>1443</v>
      </c>
      <c r="C2238" s="63"/>
      <c r="D2238" s="64"/>
      <c r="E2238" s="65"/>
      <c r="F2238" s="66"/>
      <c r="G2238" s="63"/>
      <c r="H2238" s="67"/>
      <c r="I2238" s="68"/>
      <c r="J2238" s="68"/>
      <c r="K2238" s="32"/>
      <c r="L2238" s="75">
        <v>2238</v>
      </c>
      <c r="M2238" s="75"/>
      <c r="N2238" s="70"/>
      <c r="O2238" s="77" t="s">
        <v>2084</v>
      </c>
      <c r="P2238" s="79">
        <v>45019.963587962964</v>
      </c>
      <c r="Q2238" s="77" t="s">
        <v>4086</v>
      </c>
      <c r="R2238" s="77">
        <v>0</v>
      </c>
      <c r="S2238" s="77">
        <v>3</v>
      </c>
      <c r="T2238" s="77">
        <v>0</v>
      </c>
      <c r="U2238" s="77">
        <v>1</v>
      </c>
      <c r="V2238" s="77">
        <v>224</v>
      </c>
      <c r="W2238" s="80" t="s">
        <v>7325</v>
      </c>
      <c r="X2238" s="77"/>
      <c r="Y2238" s="77"/>
      <c r="Z2238" s="77" t="s">
        <v>1443</v>
      </c>
      <c r="AA2238" s="77" t="s">
        <v>9663</v>
      </c>
      <c r="AB2238" s="77" t="s">
        <v>10535</v>
      </c>
      <c r="AC2238" s="80" t="s">
        <v>10540</v>
      </c>
      <c r="AD2238" s="77" t="s">
        <v>10617</v>
      </c>
      <c r="AE2238" s="83" t="str">
        <f>HYPERLINK("https://twitter.com/parego/status/1643027489642496001")</f>
        <v>https://twitter.com/parego/status/1643027489642496001</v>
      </c>
      <c r="AF2238" s="79">
        <v>45019.963587962964</v>
      </c>
      <c r="AG2238" s="85">
        <v>45019</v>
      </c>
      <c r="AH2238" s="80" t="s">
        <v>12610</v>
      </c>
      <c r="AI2238" s="77" t="b">
        <v>0</v>
      </c>
      <c r="AJ2238" s="77"/>
      <c r="AK2238" s="77"/>
      <c r="AL2238" s="77"/>
      <c r="AM2238" s="77"/>
      <c r="AN2238" s="77"/>
      <c r="AO2238" s="77"/>
      <c r="AP2238" s="77"/>
      <c r="AQ2238" s="77" t="s">
        <v>15145</v>
      </c>
      <c r="AR2238" s="77"/>
      <c r="AS2238" s="77"/>
      <c r="AT2238" s="77"/>
      <c r="AU2238" s="77"/>
      <c r="AV2238" s="83" t="str">
        <f>HYPERLINK("https://pbs.twimg.com/media/Fs00y2PXsAAOBtG.jpg")</f>
        <v>https://pbs.twimg.com/media/Fs00y2PXsAAOBtG.jpg</v>
      </c>
      <c r="AW2238" s="80" t="s">
        <v>18073</v>
      </c>
      <c r="AX2238" s="80" t="s">
        <v>18073</v>
      </c>
      <c r="AY2238" s="77"/>
      <c r="AZ2238" s="80" t="s">
        <v>20380</v>
      </c>
      <c r="BA2238" s="80" t="s">
        <v>20488</v>
      </c>
      <c r="BB2238" s="80" t="s">
        <v>20380</v>
      </c>
      <c r="BC2238" s="80" t="s">
        <v>20488</v>
      </c>
      <c r="BD2238" s="77">
        <v>40776090</v>
      </c>
      <c r="BE2238" s="77"/>
      <c r="BF2238" s="77"/>
      <c r="BG2238" s="77"/>
      <c r="BH2238" s="77"/>
      <c r="BI2238" s="77"/>
    </row>
    <row r="2239" spans="1:61" x14ac:dyDescent="0.25">
      <c r="A2239" s="62" t="s">
        <v>915</v>
      </c>
      <c r="B2239" s="62" t="s">
        <v>1624</v>
      </c>
      <c r="C2239" s="63"/>
      <c r="D2239" s="64"/>
      <c r="E2239" s="65"/>
      <c r="F2239" s="66"/>
      <c r="G2239" s="63"/>
      <c r="H2239" s="67"/>
      <c r="I2239" s="68"/>
      <c r="J2239" s="68"/>
      <c r="K2239" s="32"/>
      <c r="L2239" s="75">
        <v>2239</v>
      </c>
      <c r="M2239" s="75"/>
      <c r="N2239" s="70"/>
      <c r="O2239" s="77" t="s">
        <v>2081</v>
      </c>
      <c r="P2239" s="79">
        <v>45085.194131944445</v>
      </c>
      <c r="Q2239" s="77" t="s">
        <v>4087</v>
      </c>
      <c r="R2239" s="77">
        <v>0</v>
      </c>
      <c r="S2239" s="77">
        <v>1</v>
      </c>
      <c r="T2239" s="77">
        <v>0</v>
      </c>
      <c r="U2239" s="77">
        <v>0</v>
      </c>
      <c r="V2239" s="77">
        <v>32</v>
      </c>
      <c r="W2239" s="80" t="s">
        <v>5884</v>
      </c>
      <c r="X2239" s="77"/>
      <c r="Y2239" s="77"/>
      <c r="Z2239" s="77" t="s">
        <v>1624</v>
      </c>
      <c r="AA2239" s="77" t="s">
        <v>9664</v>
      </c>
      <c r="AB2239" s="77" t="s">
        <v>10536</v>
      </c>
      <c r="AC2239" s="80" t="s">
        <v>10540</v>
      </c>
      <c r="AD2239" s="77" t="s">
        <v>10617</v>
      </c>
      <c r="AE2239" s="83" t="str">
        <f>HYPERLINK("https://twitter.com/parego/status/1666666249269420032")</f>
        <v>https://twitter.com/parego/status/1666666249269420032</v>
      </c>
      <c r="AF2239" s="79">
        <v>45085.194131944445</v>
      </c>
      <c r="AG2239" s="85">
        <v>45085</v>
      </c>
      <c r="AH2239" s="80" t="s">
        <v>12611</v>
      </c>
      <c r="AI2239" s="77" t="b">
        <v>0</v>
      </c>
      <c r="AJ2239" s="77"/>
      <c r="AK2239" s="77"/>
      <c r="AL2239" s="77"/>
      <c r="AM2239" s="77"/>
      <c r="AN2239" s="77"/>
      <c r="AO2239" s="77"/>
      <c r="AP2239" s="77"/>
      <c r="AQ2239" s="77" t="s">
        <v>15146</v>
      </c>
      <c r="AR2239" s="77"/>
      <c r="AS2239" s="77"/>
      <c r="AT2239" s="77"/>
      <c r="AU2239" s="77"/>
      <c r="AV2239" s="83" t="str">
        <f>HYPERLINK("https://pbs.twimg.com/media/FyEwHo9WIAE9EAb.jpg")</f>
        <v>https://pbs.twimg.com/media/FyEwHo9WIAE9EAb.jpg</v>
      </c>
      <c r="AW2239" s="80" t="s">
        <v>18074</v>
      </c>
      <c r="AX2239" s="80" t="s">
        <v>18074</v>
      </c>
      <c r="AY2239" s="77"/>
      <c r="AZ2239" s="80" t="s">
        <v>20380</v>
      </c>
      <c r="BA2239" s="80" t="s">
        <v>20380</v>
      </c>
      <c r="BB2239" s="80" t="s">
        <v>20380</v>
      </c>
      <c r="BC2239" s="80" t="s">
        <v>18074</v>
      </c>
      <c r="BD2239" s="77">
        <v>40776090</v>
      </c>
      <c r="BE2239" s="77"/>
      <c r="BF2239" s="77"/>
      <c r="BG2239" s="77"/>
      <c r="BH2239" s="77"/>
      <c r="BI2239" s="77"/>
    </row>
    <row r="2240" spans="1:61" x14ac:dyDescent="0.25">
      <c r="A2240" s="62" t="s">
        <v>915</v>
      </c>
      <c r="B2240" s="62" t="s">
        <v>1624</v>
      </c>
      <c r="C2240" s="63"/>
      <c r="D2240" s="64"/>
      <c r="E2240" s="65"/>
      <c r="F2240" s="66"/>
      <c r="G2240" s="63"/>
      <c r="H2240" s="67"/>
      <c r="I2240" s="68"/>
      <c r="J2240" s="68"/>
      <c r="K2240" s="32"/>
      <c r="L2240" s="75">
        <v>2240</v>
      </c>
      <c r="M2240" s="75"/>
      <c r="N2240" s="70"/>
      <c r="O2240" s="77" t="s">
        <v>2084</v>
      </c>
      <c r="P2240" s="79">
        <v>45077.747986111113</v>
      </c>
      <c r="Q2240" s="77" t="s">
        <v>4081</v>
      </c>
      <c r="R2240" s="77">
        <v>0</v>
      </c>
      <c r="S2240" s="77">
        <v>2</v>
      </c>
      <c r="T2240" s="77">
        <v>0</v>
      </c>
      <c r="U2240" s="77">
        <v>1</v>
      </c>
      <c r="V2240" s="77">
        <v>95</v>
      </c>
      <c r="W2240" s="80" t="s">
        <v>5884</v>
      </c>
      <c r="X2240" s="77"/>
      <c r="Y2240" s="77"/>
      <c r="Z2240" s="77" t="s">
        <v>8974</v>
      </c>
      <c r="AA2240" s="77" t="s">
        <v>9658</v>
      </c>
      <c r="AB2240" s="77" t="s">
        <v>10535</v>
      </c>
      <c r="AC2240" s="80" t="s">
        <v>10540</v>
      </c>
      <c r="AD2240" s="77" t="s">
        <v>10617</v>
      </c>
      <c r="AE2240" s="83" t="str">
        <f>HYPERLINK("https://twitter.com/parego/status/1663967854457245702")</f>
        <v>https://twitter.com/parego/status/1663967854457245702</v>
      </c>
      <c r="AF2240" s="79">
        <v>45077.747986111113</v>
      </c>
      <c r="AG2240" s="85">
        <v>45077</v>
      </c>
      <c r="AH2240" s="80" t="s">
        <v>12605</v>
      </c>
      <c r="AI2240" s="77" t="b">
        <v>0</v>
      </c>
      <c r="AJ2240" s="77"/>
      <c r="AK2240" s="77"/>
      <c r="AL2240" s="77"/>
      <c r="AM2240" s="77"/>
      <c r="AN2240" s="77"/>
      <c r="AO2240" s="77"/>
      <c r="AP2240" s="77"/>
      <c r="AQ2240" s="77" t="s">
        <v>15140</v>
      </c>
      <c r="AR2240" s="77"/>
      <c r="AS2240" s="77"/>
      <c r="AT2240" s="77"/>
      <c r="AU2240" s="77"/>
      <c r="AV2240" s="83" t="str">
        <f>HYPERLINK("https://pbs.twimg.com/media/FxeZ8fgXoAA7GDT.jpg")</f>
        <v>https://pbs.twimg.com/media/FxeZ8fgXoAA7GDT.jpg</v>
      </c>
      <c r="AW2240" s="80" t="s">
        <v>18068</v>
      </c>
      <c r="AX2240" s="80" t="s">
        <v>18068</v>
      </c>
      <c r="AY2240" s="77"/>
      <c r="AZ2240" s="80" t="s">
        <v>20380</v>
      </c>
      <c r="BA2240" s="80" t="s">
        <v>18083</v>
      </c>
      <c r="BB2240" s="80" t="s">
        <v>20380</v>
      </c>
      <c r="BC2240" s="80" t="s">
        <v>18083</v>
      </c>
      <c r="BD2240" s="77">
        <v>40776090</v>
      </c>
      <c r="BE2240" s="77"/>
      <c r="BF2240" s="77"/>
      <c r="BG2240" s="77"/>
      <c r="BH2240" s="77"/>
      <c r="BI2240" s="77"/>
    </row>
    <row r="2241" spans="1:61" x14ac:dyDescent="0.25">
      <c r="A2241" s="62" t="s">
        <v>915</v>
      </c>
      <c r="B2241" s="62" t="s">
        <v>915</v>
      </c>
      <c r="C2241" s="63"/>
      <c r="D2241" s="64"/>
      <c r="E2241" s="65"/>
      <c r="F2241" s="66"/>
      <c r="G2241" s="63"/>
      <c r="H2241" s="67"/>
      <c r="I2241" s="68"/>
      <c r="J2241" s="68"/>
      <c r="K2241" s="32"/>
      <c r="L2241" s="75">
        <v>2241</v>
      </c>
      <c r="M2241" s="75"/>
      <c r="N2241" s="70"/>
      <c r="O2241" s="77" t="s">
        <v>2082</v>
      </c>
      <c r="P2241" s="79">
        <v>45077.747986111113</v>
      </c>
      <c r="Q2241" s="77" t="s">
        <v>4081</v>
      </c>
      <c r="R2241" s="77">
        <v>0</v>
      </c>
      <c r="S2241" s="77">
        <v>2</v>
      </c>
      <c r="T2241" s="77">
        <v>0</v>
      </c>
      <c r="U2241" s="77">
        <v>1</v>
      </c>
      <c r="V2241" s="77">
        <v>95</v>
      </c>
      <c r="W2241" s="80" t="s">
        <v>5884</v>
      </c>
      <c r="X2241" s="77"/>
      <c r="Y2241" s="77"/>
      <c r="Z2241" s="77" t="s">
        <v>8974</v>
      </c>
      <c r="AA2241" s="77" t="s">
        <v>9658</v>
      </c>
      <c r="AB2241" s="77" t="s">
        <v>10535</v>
      </c>
      <c r="AC2241" s="80" t="s">
        <v>10540</v>
      </c>
      <c r="AD2241" s="77" t="s">
        <v>10617</v>
      </c>
      <c r="AE2241" s="83" t="str">
        <f>HYPERLINK("https://twitter.com/parego/status/1663967854457245702")</f>
        <v>https://twitter.com/parego/status/1663967854457245702</v>
      </c>
      <c r="AF2241" s="79">
        <v>45077.747986111113</v>
      </c>
      <c r="AG2241" s="85">
        <v>45077</v>
      </c>
      <c r="AH2241" s="80" t="s">
        <v>12605</v>
      </c>
      <c r="AI2241" s="77" t="b">
        <v>0</v>
      </c>
      <c r="AJ2241" s="77"/>
      <c r="AK2241" s="77"/>
      <c r="AL2241" s="77"/>
      <c r="AM2241" s="77"/>
      <c r="AN2241" s="77"/>
      <c r="AO2241" s="77"/>
      <c r="AP2241" s="77"/>
      <c r="AQ2241" s="77" t="s">
        <v>15140</v>
      </c>
      <c r="AR2241" s="77"/>
      <c r="AS2241" s="77"/>
      <c r="AT2241" s="77"/>
      <c r="AU2241" s="77"/>
      <c r="AV2241" s="83" t="str">
        <f>HYPERLINK("https://pbs.twimg.com/media/FxeZ8fgXoAA7GDT.jpg")</f>
        <v>https://pbs.twimg.com/media/FxeZ8fgXoAA7GDT.jpg</v>
      </c>
      <c r="AW2241" s="80" t="s">
        <v>18068</v>
      </c>
      <c r="AX2241" s="80" t="s">
        <v>18068</v>
      </c>
      <c r="AY2241" s="77"/>
      <c r="AZ2241" s="80" t="s">
        <v>20380</v>
      </c>
      <c r="BA2241" s="80" t="s">
        <v>18083</v>
      </c>
      <c r="BB2241" s="80" t="s">
        <v>20380</v>
      </c>
      <c r="BC2241" s="80" t="s">
        <v>18083</v>
      </c>
      <c r="BD2241" s="77">
        <v>40776090</v>
      </c>
      <c r="BE2241" s="77"/>
      <c r="BF2241" s="77"/>
      <c r="BG2241" s="77"/>
      <c r="BH2241" s="77"/>
      <c r="BI2241" s="77"/>
    </row>
    <row r="2242" spans="1:61" x14ac:dyDescent="0.25">
      <c r="A2242" s="62" t="s">
        <v>915</v>
      </c>
      <c r="B2242" s="62" t="s">
        <v>915</v>
      </c>
      <c r="C2242" s="63"/>
      <c r="D2242" s="64"/>
      <c r="E2242" s="65"/>
      <c r="F2242" s="66"/>
      <c r="G2242" s="63"/>
      <c r="H2242" s="67"/>
      <c r="I2242" s="68"/>
      <c r="J2242" s="68"/>
      <c r="K2242" s="32"/>
      <c r="L2242" s="75">
        <v>2242</v>
      </c>
      <c r="M2242" s="75"/>
      <c r="N2242" s="70"/>
      <c r="O2242" s="77" t="s">
        <v>2082</v>
      </c>
      <c r="P2242" s="79">
        <v>45081.096504629626</v>
      </c>
      <c r="Q2242" s="77" t="s">
        <v>4083</v>
      </c>
      <c r="R2242" s="77">
        <v>1</v>
      </c>
      <c r="S2242" s="77">
        <v>2</v>
      </c>
      <c r="T2242" s="77">
        <v>0</v>
      </c>
      <c r="U2242" s="77">
        <v>0</v>
      </c>
      <c r="V2242" s="77">
        <v>71</v>
      </c>
      <c r="W2242" s="80" t="s">
        <v>5884</v>
      </c>
      <c r="X2242" s="77"/>
      <c r="Y2242" s="77"/>
      <c r="Z2242" s="77" t="s">
        <v>1764</v>
      </c>
      <c r="AA2242" s="77" t="s">
        <v>9660</v>
      </c>
      <c r="AB2242" s="77" t="s">
        <v>10536</v>
      </c>
      <c r="AC2242" s="80" t="s">
        <v>10540</v>
      </c>
      <c r="AD2242" s="77" t="s">
        <v>10617</v>
      </c>
      <c r="AE2242" s="83" t="str">
        <f>HYPERLINK("https://twitter.com/parego/status/1665181319372894208")</f>
        <v>https://twitter.com/parego/status/1665181319372894208</v>
      </c>
      <c r="AF2242" s="79">
        <v>45081.096504629626</v>
      </c>
      <c r="AG2242" s="85">
        <v>45081</v>
      </c>
      <c r="AH2242" s="80" t="s">
        <v>12607</v>
      </c>
      <c r="AI2242" s="77" t="b">
        <v>0</v>
      </c>
      <c r="AJ2242" s="77"/>
      <c r="AK2242" s="77"/>
      <c r="AL2242" s="77"/>
      <c r="AM2242" s="77"/>
      <c r="AN2242" s="77"/>
      <c r="AO2242" s="77"/>
      <c r="AP2242" s="77"/>
      <c r="AQ2242" s="77" t="s">
        <v>15142</v>
      </c>
      <c r="AR2242" s="77"/>
      <c r="AS2242" s="77"/>
      <c r="AT2242" s="77"/>
      <c r="AU2242" s="77"/>
      <c r="AV2242" s="83" t="str">
        <f>HYPERLINK("https://pbs.twimg.com/media/FxvplQyWcAEqIpP.jpg")</f>
        <v>https://pbs.twimg.com/media/FxvplQyWcAEqIpP.jpg</v>
      </c>
      <c r="AW2242" s="80" t="s">
        <v>18070</v>
      </c>
      <c r="AX2242" s="80" t="s">
        <v>18070</v>
      </c>
      <c r="AY2242" s="77"/>
      <c r="AZ2242" s="80" t="s">
        <v>20380</v>
      </c>
      <c r="BA2242" s="80" t="s">
        <v>18068</v>
      </c>
      <c r="BB2242" s="80" t="s">
        <v>20380</v>
      </c>
      <c r="BC2242" s="80" t="s">
        <v>18068</v>
      </c>
      <c r="BD2242" s="77">
        <v>40776090</v>
      </c>
      <c r="BE2242" s="77"/>
      <c r="BF2242" s="77"/>
      <c r="BG2242" s="77"/>
      <c r="BH2242" s="77"/>
      <c r="BI2242" s="77"/>
    </row>
    <row r="2243" spans="1:61" x14ac:dyDescent="0.25">
      <c r="A2243" s="62" t="s">
        <v>915</v>
      </c>
      <c r="B2243" s="62" t="s">
        <v>915</v>
      </c>
      <c r="C2243" s="63"/>
      <c r="D2243" s="64"/>
      <c r="E2243" s="65"/>
      <c r="F2243" s="66"/>
      <c r="G2243" s="63"/>
      <c r="H2243" s="67"/>
      <c r="I2243" s="68"/>
      <c r="J2243" s="68"/>
      <c r="K2243" s="32"/>
      <c r="L2243" s="75">
        <v>2243</v>
      </c>
      <c r="M2243" s="75"/>
      <c r="N2243" s="70"/>
      <c r="O2243" s="77" t="s">
        <v>2082</v>
      </c>
      <c r="P2243" s="79">
        <v>45094.781412037039</v>
      </c>
      <c r="Q2243" s="77" t="s">
        <v>4088</v>
      </c>
      <c r="R2243" s="77">
        <v>0</v>
      </c>
      <c r="S2243" s="77">
        <v>2</v>
      </c>
      <c r="T2243" s="77">
        <v>0</v>
      </c>
      <c r="U2243" s="77">
        <v>1</v>
      </c>
      <c r="V2243" s="77">
        <v>113</v>
      </c>
      <c r="W2243" s="80" t="s">
        <v>7326</v>
      </c>
      <c r="X2243" s="77"/>
      <c r="Y2243" s="77"/>
      <c r="Z2243" s="77"/>
      <c r="AA2243" s="77" t="s">
        <v>9665</v>
      </c>
      <c r="AB2243" s="77" t="s">
        <v>10535</v>
      </c>
      <c r="AC2243" s="80" t="s">
        <v>10540</v>
      </c>
      <c r="AD2243" s="77" t="s">
        <v>10617</v>
      </c>
      <c r="AE2243" s="83" t="str">
        <f>HYPERLINK("https://twitter.com/parego/status/1670140560932257793")</f>
        <v>https://twitter.com/parego/status/1670140560932257793</v>
      </c>
      <c r="AF2243" s="79">
        <v>45094.781412037039</v>
      </c>
      <c r="AG2243" s="85">
        <v>45094</v>
      </c>
      <c r="AH2243" s="80" t="s">
        <v>12612</v>
      </c>
      <c r="AI2243" s="77" t="b">
        <v>0</v>
      </c>
      <c r="AJ2243" s="77"/>
      <c r="AK2243" s="77"/>
      <c r="AL2243" s="77"/>
      <c r="AM2243" s="77"/>
      <c r="AN2243" s="77"/>
      <c r="AO2243" s="77"/>
      <c r="AP2243" s="77"/>
      <c r="AQ2243" s="77" t="s">
        <v>15147</v>
      </c>
      <c r="AR2243" s="77"/>
      <c r="AS2243" s="77"/>
      <c r="AT2243" s="77"/>
      <c r="AU2243" s="77"/>
      <c r="AV2243" s="83" t="str">
        <f>HYPERLINK("https://pbs.twimg.com/media/Fy2H_QqWcAEVceg.jpg")</f>
        <v>https://pbs.twimg.com/media/Fy2H_QqWcAEVceg.jpg</v>
      </c>
      <c r="AW2243" s="80" t="s">
        <v>18075</v>
      </c>
      <c r="AX2243" s="80" t="s">
        <v>18075</v>
      </c>
      <c r="AY2243" s="77"/>
      <c r="AZ2243" s="80" t="s">
        <v>20380</v>
      </c>
      <c r="BA2243" s="80" t="s">
        <v>18081</v>
      </c>
      <c r="BB2243" s="80" t="s">
        <v>20380</v>
      </c>
      <c r="BC2243" s="80" t="s">
        <v>18081</v>
      </c>
      <c r="BD2243" s="77">
        <v>40776090</v>
      </c>
      <c r="BE2243" s="77"/>
      <c r="BF2243" s="77"/>
      <c r="BG2243" s="77"/>
      <c r="BH2243" s="77"/>
      <c r="BI2243" s="77"/>
    </row>
    <row r="2244" spans="1:61" x14ac:dyDescent="0.25">
      <c r="A2244" s="62" t="s">
        <v>915</v>
      </c>
      <c r="B2244" s="62" t="s">
        <v>1443</v>
      </c>
      <c r="C2244" s="63"/>
      <c r="D2244" s="64"/>
      <c r="E2244" s="65"/>
      <c r="F2244" s="66"/>
      <c r="G2244" s="63"/>
      <c r="H2244" s="67"/>
      <c r="I2244" s="68"/>
      <c r="J2244" s="68"/>
      <c r="K2244" s="32"/>
      <c r="L2244" s="75">
        <v>2244</v>
      </c>
      <c r="M2244" s="75"/>
      <c r="N2244" s="70"/>
      <c r="O2244" s="77" t="s">
        <v>2084</v>
      </c>
      <c r="P2244" s="79">
        <v>45096.849259259259</v>
      </c>
      <c r="Q2244" s="77" t="s">
        <v>4089</v>
      </c>
      <c r="R2244" s="77">
        <v>1</v>
      </c>
      <c r="S2244" s="77">
        <v>2</v>
      </c>
      <c r="T2244" s="77">
        <v>0</v>
      </c>
      <c r="U2244" s="77">
        <v>0</v>
      </c>
      <c r="V2244" s="77">
        <v>76</v>
      </c>
      <c r="W2244" s="80" t="s">
        <v>7327</v>
      </c>
      <c r="X2244" s="77"/>
      <c r="Y2244" s="77"/>
      <c r="Z2244" s="77" t="s">
        <v>1443</v>
      </c>
      <c r="AA2244" s="77" t="s">
        <v>9666</v>
      </c>
      <c r="AB2244" s="77" t="s">
        <v>10537</v>
      </c>
      <c r="AC2244" s="80" t="s">
        <v>10540</v>
      </c>
      <c r="AD2244" s="77" t="s">
        <v>10617</v>
      </c>
      <c r="AE2244" s="83" t="str">
        <f>HYPERLINK("https://twitter.com/parego/status/1670889924701179904")</f>
        <v>https://twitter.com/parego/status/1670889924701179904</v>
      </c>
      <c r="AF2244" s="79">
        <v>45096.849259259259</v>
      </c>
      <c r="AG2244" s="85">
        <v>45096</v>
      </c>
      <c r="AH2244" s="80" t="s">
        <v>12613</v>
      </c>
      <c r="AI2244" s="77" t="b">
        <v>0</v>
      </c>
      <c r="AJ2244" s="77"/>
      <c r="AK2244" s="77"/>
      <c r="AL2244" s="77"/>
      <c r="AM2244" s="77"/>
      <c r="AN2244" s="77"/>
      <c r="AO2244" s="77"/>
      <c r="AP2244" s="77"/>
      <c r="AQ2244" s="77" t="s">
        <v>15148</v>
      </c>
      <c r="AR2244" s="77"/>
      <c r="AS2244" s="77"/>
      <c r="AT2244" s="77"/>
      <c r="AU2244" s="77"/>
      <c r="AV2244" s="83" t="str">
        <f>HYPERLINK("https://pbs.twimg.com/media/FzAxgS0WcAETG2U.jpg")</f>
        <v>https://pbs.twimg.com/media/FzAxgS0WcAETG2U.jpg</v>
      </c>
      <c r="AW2244" s="80" t="s">
        <v>18076</v>
      </c>
      <c r="AX2244" s="80" t="s">
        <v>18076</v>
      </c>
      <c r="AY2244" s="77"/>
      <c r="AZ2244" s="80" t="s">
        <v>20380</v>
      </c>
      <c r="BA2244" s="80" t="s">
        <v>18075</v>
      </c>
      <c r="BB2244" s="80" t="s">
        <v>20380</v>
      </c>
      <c r="BC2244" s="80" t="s">
        <v>18075</v>
      </c>
      <c r="BD2244" s="77">
        <v>40776090</v>
      </c>
      <c r="BE2244" s="77"/>
      <c r="BF2244" s="77"/>
      <c r="BG2244" s="77"/>
      <c r="BH2244" s="77"/>
      <c r="BI2244" s="77"/>
    </row>
    <row r="2245" spans="1:61" x14ac:dyDescent="0.25">
      <c r="A2245" s="62" t="s">
        <v>915</v>
      </c>
      <c r="B2245" s="62" t="s">
        <v>915</v>
      </c>
      <c r="C2245" s="63"/>
      <c r="D2245" s="64"/>
      <c r="E2245" s="65"/>
      <c r="F2245" s="66"/>
      <c r="G2245" s="63"/>
      <c r="H2245" s="67"/>
      <c r="I2245" s="68"/>
      <c r="J2245" s="68"/>
      <c r="K2245" s="32"/>
      <c r="L2245" s="75">
        <v>2245</v>
      </c>
      <c r="M2245" s="75"/>
      <c r="N2245" s="70"/>
      <c r="O2245" s="77" t="s">
        <v>2082</v>
      </c>
      <c r="P2245" s="79">
        <v>45096.849259259259</v>
      </c>
      <c r="Q2245" s="77" t="s">
        <v>4089</v>
      </c>
      <c r="R2245" s="77">
        <v>1</v>
      </c>
      <c r="S2245" s="77">
        <v>2</v>
      </c>
      <c r="T2245" s="77">
        <v>0</v>
      </c>
      <c r="U2245" s="77">
        <v>0</v>
      </c>
      <c r="V2245" s="77">
        <v>76</v>
      </c>
      <c r="W2245" s="80" t="s">
        <v>7327</v>
      </c>
      <c r="X2245" s="77"/>
      <c r="Y2245" s="77"/>
      <c r="Z2245" s="77" t="s">
        <v>1443</v>
      </c>
      <c r="AA2245" s="77" t="s">
        <v>9666</v>
      </c>
      <c r="AB2245" s="77" t="s">
        <v>10537</v>
      </c>
      <c r="AC2245" s="80" t="s">
        <v>10540</v>
      </c>
      <c r="AD2245" s="77" t="s">
        <v>10617</v>
      </c>
      <c r="AE2245" s="83" t="str">
        <f>HYPERLINK("https://twitter.com/parego/status/1670889924701179904")</f>
        <v>https://twitter.com/parego/status/1670889924701179904</v>
      </c>
      <c r="AF2245" s="79">
        <v>45096.849259259259</v>
      </c>
      <c r="AG2245" s="85">
        <v>45096</v>
      </c>
      <c r="AH2245" s="80" t="s">
        <v>12613</v>
      </c>
      <c r="AI2245" s="77" t="b">
        <v>0</v>
      </c>
      <c r="AJ2245" s="77"/>
      <c r="AK2245" s="77"/>
      <c r="AL2245" s="77"/>
      <c r="AM2245" s="77"/>
      <c r="AN2245" s="77"/>
      <c r="AO2245" s="77"/>
      <c r="AP2245" s="77"/>
      <c r="AQ2245" s="77" t="s">
        <v>15148</v>
      </c>
      <c r="AR2245" s="77"/>
      <c r="AS2245" s="77"/>
      <c r="AT2245" s="77"/>
      <c r="AU2245" s="77"/>
      <c r="AV2245" s="83" t="str">
        <f>HYPERLINK("https://pbs.twimg.com/media/FzAxgS0WcAETG2U.jpg")</f>
        <v>https://pbs.twimg.com/media/FzAxgS0WcAETG2U.jpg</v>
      </c>
      <c r="AW2245" s="80" t="s">
        <v>18076</v>
      </c>
      <c r="AX2245" s="80" t="s">
        <v>18076</v>
      </c>
      <c r="AY2245" s="77"/>
      <c r="AZ2245" s="80" t="s">
        <v>20380</v>
      </c>
      <c r="BA2245" s="80" t="s">
        <v>18075</v>
      </c>
      <c r="BB2245" s="80" t="s">
        <v>20380</v>
      </c>
      <c r="BC2245" s="80" t="s">
        <v>18075</v>
      </c>
      <c r="BD2245" s="77">
        <v>40776090</v>
      </c>
      <c r="BE2245" s="77"/>
      <c r="BF2245" s="77"/>
      <c r="BG2245" s="77"/>
      <c r="BH2245" s="77"/>
      <c r="BI2245" s="77"/>
    </row>
    <row r="2246" spans="1:61" x14ac:dyDescent="0.25">
      <c r="A2246" s="62" t="s">
        <v>915</v>
      </c>
      <c r="B2246" s="62" t="s">
        <v>547</v>
      </c>
      <c r="C2246" s="63"/>
      <c r="D2246" s="64"/>
      <c r="E2246" s="65"/>
      <c r="F2246" s="66"/>
      <c r="G2246" s="63"/>
      <c r="H2246" s="67"/>
      <c r="I2246" s="68"/>
      <c r="J2246" s="68"/>
      <c r="K2246" s="32"/>
      <c r="L2246" s="75">
        <v>2246</v>
      </c>
      <c r="M2246" s="75"/>
      <c r="N2246" s="70"/>
      <c r="O2246" s="77" t="s">
        <v>2082</v>
      </c>
      <c r="P2246" s="79">
        <v>45099.200844907406</v>
      </c>
      <c r="Q2246" s="77" t="s">
        <v>4082</v>
      </c>
      <c r="R2246" s="77">
        <v>0</v>
      </c>
      <c r="S2246" s="77">
        <v>2</v>
      </c>
      <c r="T2246" s="77">
        <v>0</v>
      </c>
      <c r="U2246" s="77">
        <v>1</v>
      </c>
      <c r="V2246" s="77">
        <v>84</v>
      </c>
      <c r="W2246" s="80" t="s">
        <v>7323</v>
      </c>
      <c r="X2246" s="77"/>
      <c r="Y2246" s="77"/>
      <c r="Z2246" s="77" t="s">
        <v>8975</v>
      </c>
      <c r="AA2246" s="77" t="s">
        <v>9659</v>
      </c>
      <c r="AB2246" s="77" t="s">
        <v>10537</v>
      </c>
      <c r="AC2246" s="80" t="s">
        <v>10540</v>
      </c>
      <c r="AD2246" s="77" t="s">
        <v>10617</v>
      </c>
      <c r="AE2246" s="83" t="str">
        <f>HYPERLINK("https://twitter.com/parego/status/1671742113459863552")</f>
        <v>https://twitter.com/parego/status/1671742113459863552</v>
      </c>
      <c r="AF2246" s="79">
        <v>45099.200844907406</v>
      </c>
      <c r="AG2246" s="85">
        <v>45099</v>
      </c>
      <c r="AH2246" s="80" t="s">
        <v>12606</v>
      </c>
      <c r="AI2246" s="77" t="b">
        <v>0</v>
      </c>
      <c r="AJ2246" s="77"/>
      <c r="AK2246" s="77"/>
      <c r="AL2246" s="77"/>
      <c r="AM2246" s="77"/>
      <c r="AN2246" s="77"/>
      <c r="AO2246" s="77"/>
      <c r="AP2246" s="77"/>
      <c r="AQ2246" s="77" t="s">
        <v>15141</v>
      </c>
      <c r="AR2246" s="77"/>
      <c r="AS2246" s="77"/>
      <c r="AT2246" s="77"/>
      <c r="AU2246" s="77"/>
      <c r="AV2246" s="83" t="str">
        <f>HYPERLINK("https://pbs.twimg.com/media/FzM4lelXoAAuuW2.jpg")</f>
        <v>https://pbs.twimg.com/media/FzM4lelXoAAuuW2.jpg</v>
      </c>
      <c r="AW2246" s="80" t="s">
        <v>18069</v>
      </c>
      <c r="AX2246" s="80" t="s">
        <v>18069</v>
      </c>
      <c r="AY2246" s="77"/>
      <c r="AZ2246" s="80" t="s">
        <v>20380</v>
      </c>
      <c r="BA2246" s="80" t="s">
        <v>16805</v>
      </c>
      <c r="BB2246" s="80" t="s">
        <v>20380</v>
      </c>
      <c r="BC2246" s="80" t="s">
        <v>16805</v>
      </c>
      <c r="BD2246" s="77">
        <v>40776090</v>
      </c>
      <c r="BE2246" s="77"/>
      <c r="BF2246" s="77"/>
      <c r="BG2246" s="77"/>
      <c r="BH2246" s="77"/>
      <c r="BI2246" s="77"/>
    </row>
    <row r="2247" spans="1:61" x14ac:dyDescent="0.25">
      <c r="A2247" s="62" t="s">
        <v>915</v>
      </c>
      <c r="B2247" s="62" t="s">
        <v>547</v>
      </c>
      <c r="C2247" s="63"/>
      <c r="D2247" s="64"/>
      <c r="E2247" s="65"/>
      <c r="F2247" s="66"/>
      <c r="G2247" s="63"/>
      <c r="H2247" s="67"/>
      <c r="I2247" s="68"/>
      <c r="J2247" s="68"/>
      <c r="K2247" s="32"/>
      <c r="L2247" s="75">
        <v>2247</v>
      </c>
      <c r="M2247" s="75"/>
      <c r="N2247" s="70"/>
      <c r="O2247" s="77" t="s">
        <v>2082</v>
      </c>
      <c r="P2247" s="79">
        <v>45058.597997685189</v>
      </c>
      <c r="Q2247" s="77" t="s">
        <v>4090</v>
      </c>
      <c r="R2247" s="77">
        <v>1</v>
      </c>
      <c r="S2247" s="77">
        <v>2</v>
      </c>
      <c r="T2247" s="77">
        <v>0</v>
      </c>
      <c r="U2247" s="77">
        <v>0</v>
      </c>
      <c r="V2247" s="77">
        <v>259</v>
      </c>
      <c r="W2247" s="80" t="s">
        <v>7328</v>
      </c>
      <c r="X2247" s="77"/>
      <c r="Y2247" s="77"/>
      <c r="Z2247" s="77"/>
      <c r="AA2247" s="77" t="s">
        <v>9667</v>
      </c>
      <c r="AB2247" s="77" t="s">
        <v>10538</v>
      </c>
      <c r="AC2247" s="80" t="s">
        <v>10540</v>
      </c>
      <c r="AD2247" s="77" t="s">
        <v>10617</v>
      </c>
      <c r="AE2247" s="83" t="str">
        <f>HYPERLINK("https://twitter.com/parego/status/1657028133302722561")</f>
        <v>https://twitter.com/parego/status/1657028133302722561</v>
      </c>
      <c r="AF2247" s="79">
        <v>45058.597997685189</v>
      </c>
      <c r="AG2247" s="85">
        <v>45058</v>
      </c>
      <c r="AH2247" s="80" t="s">
        <v>12614</v>
      </c>
      <c r="AI2247" s="77" t="b">
        <v>0</v>
      </c>
      <c r="AJ2247" s="77"/>
      <c r="AK2247" s="77"/>
      <c r="AL2247" s="77"/>
      <c r="AM2247" s="77"/>
      <c r="AN2247" s="77"/>
      <c r="AO2247" s="77"/>
      <c r="AP2247" s="77"/>
      <c r="AQ2247" s="77" t="s">
        <v>15149</v>
      </c>
      <c r="AR2247" s="77"/>
      <c r="AS2247" s="77"/>
      <c r="AT2247" s="77"/>
      <c r="AU2247" s="77"/>
      <c r="AV2247" s="83" t="str">
        <f>HYPERLINK("https://pbs.twimg.com/media/Fv7yS-RWIAUY7N1.jpg")</f>
        <v>https://pbs.twimg.com/media/Fv7yS-RWIAUY7N1.jpg</v>
      </c>
      <c r="AW2247" s="80" t="s">
        <v>18077</v>
      </c>
      <c r="AX2247" s="80" t="s">
        <v>18077</v>
      </c>
      <c r="AY2247" s="77"/>
      <c r="AZ2247" s="80" t="s">
        <v>20380</v>
      </c>
      <c r="BA2247" s="80" t="s">
        <v>16802</v>
      </c>
      <c r="BB2247" s="80" t="s">
        <v>20380</v>
      </c>
      <c r="BC2247" s="80" t="s">
        <v>16802</v>
      </c>
      <c r="BD2247" s="77">
        <v>40776090</v>
      </c>
      <c r="BE2247" s="77"/>
      <c r="BF2247" s="77"/>
      <c r="BG2247" s="77"/>
      <c r="BH2247" s="77"/>
      <c r="BI2247" s="77"/>
    </row>
    <row r="2248" spans="1:61" x14ac:dyDescent="0.25">
      <c r="A2248" s="62" t="s">
        <v>915</v>
      </c>
      <c r="B2248" s="62" t="s">
        <v>1662</v>
      </c>
      <c r="C2248" s="63"/>
      <c r="D2248" s="64"/>
      <c r="E2248" s="65"/>
      <c r="F2248" s="66"/>
      <c r="G2248" s="63"/>
      <c r="H2248" s="67"/>
      <c r="I2248" s="68"/>
      <c r="J2248" s="68"/>
      <c r="K2248" s="32"/>
      <c r="L2248" s="75">
        <v>2248</v>
      </c>
      <c r="M2248" s="75"/>
      <c r="N2248" s="70"/>
      <c r="O2248" s="77" t="s">
        <v>2082</v>
      </c>
      <c r="P2248" s="79">
        <v>45102.104756944442</v>
      </c>
      <c r="Q2248" s="77" t="s">
        <v>4091</v>
      </c>
      <c r="R2248" s="77">
        <v>0</v>
      </c>
      <c r="S2248" s="77">
        <v>1</v>
      </c>
      <c r="T2248" s="77">
        <v>0</v>
      </c>
      <c r="U2248" s="77">
        <v>0</v>
      </c>
      <c r="V2248" s="77">
        <v>31</v>
      </c>
      <c r="W2248" s="80" t="s">
        <v>7329</v>
      </c>
      <c r="X2248" s="77"/>
      <c r="Y2248" s="77"/>
      <c r="Z2248" s="77"/>
      <c r="AA2248" s="77"/>
      <c r="AB2248" s="77"/>
      <c r="AC2248" s="80" t="s">
        <v>10540</v>
      </c>
      <c r="AD2248" s="77" t="s">
        <v>10617</v>
      </c>
      <c r="AE2248" s="83" t="str">
        <f>HYPERLINK("https://twitter.com/parego/status/1672794454929952773")</f>
        <v>https://twitter.com/parego/status/1672794454929952773</v>
      </c>
      <c r="AF2248" s="79">
        <v>45102.104756944442</v>
      </c>
      <c r="AG2248" s="85">
        <v>45102</v>
      </c>
      <c r="AH2248" s="80" t="s">
        <v>12615</v>
      </c>
      <c r="AI2248" s="77"/>
      <c r="AJ2248" s="77"/>
      <c r="AK2248" s="77"/>
      <c r="AL2248" s="77"/>
      <c r="AM2248" s="77"/>
      <c r="AN2248" s="77"/>
      <c r="AO2248" s="77"/>
      <c r="AP2248" s="77"/>
      <c r="AQ2248" s="77"/>
      <c r="AR2248" s="77"/>
      <c r="AS2248" s="77"/>
      <c r="AT2248" s="77"/>
      <c r="AU2248" s="77"/>
      <c r="AV2248" s="83" t="str">
        <f>HYPERLINK("https://pbs.twimg.com/profile_images/540026005490900992/vnfaoEeo_normal.jpeg")</f>
        <v>https://pbs.twimg.com/profile_images/540026005490900992/vnfaoEeo_normal.jpeg</v>
      </c>
      <c r="AW2248" s="80" t="s">
        <v>18078</v>
      </c>
      <c r="AX2248" s="80" t="s">
        <v>18078</v>
      </c>
      <c r="AY2248" s="77"/>
      <c r="AZ2248" s="80" t="s">
        <v>20380</v>
      </c>
      <c r="BA2248" s="80" t="s">
        <v>19861</v>
      </c>
      <c r="BB2248" s="80" t="s">
        <v>20380</v>
      </c>
      <c r="BC2248" s="80" t="s">
        <v>19861</v>
      </c>
      <c r="BD2248" s="77">
        <v>40776090</v>
      </c>
      <c r="BE2248" s="77"/>
      <c r="BF2248" s="77"/>
      <c r="BG2248" s="77"/>
      <c r="BH2248" s="77"/>
      <c r="BI2248" s="77"/>
    </row>
    <row r="2249" spans="1:61" x14ac:dyDescent="0.25">
      <c r="A2249" s="62" t="s">
        <v>915</v>
      </c>
      <c r="B2249" s="62" t="s">
        <v>1922</v>
      </c>
      <c r="C2249" s="63"/>
      <c r="D2249" s="64"/>
      <c r="E2249" s="65"/>
      <c r="F2249" s="66"/>
      <c r="G2249" s="63"/>
      <c r="H2249" s="67"/>
      <c r="I2249" s="68"/>
      <c r="J2249" s="68"/>
      <c r="K2249" s="32"/>
      <c r="L2249" s="75">
        <v>2249</v>
      </c>
      <c r="M2249" s="75"/>
      <c r="N2249" s="70"/>
      <c r="O2249" s="77" t="s">
        <v>2081</v>
      </c>
      <c r="P2249" s="79">
        <v>45100.98201388889</v>
      </c>
      <c r="Q2249" s="77" t="s">
        <v>4084</v>
      </c>
      <c r="R2249" s="77">
        <v>0</v>
      </c>
      <c r="S2249" s="77">
        <v>1</v>
      </c>
      <c r="T2249" s="77">
        <v>0</v>
      </c>
      <c r="U2249" s="77">
        <v>0</v>
      </c>
      <c r="V2249" s="77">
        <v>20</v>
      </c>
      <c r="W2249" s="80" t="s">
        <v>7324</v>
      </c>
      <c r="X2249" s="77"/>
      <c r="Y2249" s="77"/>
      <c r="Z2249" s="77" t="s">
        <v>8976</v>
      </c>
      <c r="AA2249" s="77" t="s">
        <v>9661</v>
      </c>
      <c r="AB2249" s="77" t="s">
        <v>10536</v>
      </c>
      <c r="AC2249" s="80" t="s">
        <v>10540</v>
      </c>
      <c r="AD2249" s="77" t="s">
        <v>10617</v>
      </c>
      <c r="AE2249" s="83" t="str">
        <f>HYPERLINK("https://twitter.com/parego/status/1672387584826195969")</f>
        <v>https://twitter.com/parego/status/1672387584826195969</v>
      </c>
      <c r="AF2249" s="79">
        <v>45100.98201388889</v>
      </c>
      <c r="AG2249" s="85">
        <v>45100</v>
      </c>
      <c r="AH2249" s="80" t="s">
        <v>12608</v>
      </c>
      <c r="AI2249" s="77" t="b">
        <v>0</v>
      </c>
      <c r="AJ2249" s="77"/>
      <c r="AK2249" s="77"/>
      <c r="AL2249" s="77"/>
      <c r="AM2249" s="77"/>
      <c r="AN2249" s="77"/>
      <c r="AO2249" s="77"/>
      <c r="AP2249" s="77"/>
      <c r="AQ2249" s="77" t="s">
        <v>15143</v>
      </c>
      <c r="AR2249" s="77"/>
      <c r="AS2249" s="77"/>
      <c r="AT2249" s="77"/>
      <c r="AU2249" s="77"/>
      <c r="AV2249" s="83" t="str">
        <f>HYPERLINK("https://pbs.twimg.com/media/FzWDpIjXoAEeekz.jpg")</f>
        <v>https://pbs.twimg.com/media/FzWDpIjXoAEeekz.jpg</v>
      </c>
      <c r="AW2249" s="80" t="s">
        <v>18071</v>
      </c>
      <c r="AX2249" s="80" t="s">
        <v>18071</v>
      </c>
      <c r="AY2249" s="77"/>
      <c r="AZ2249" s="80" t="s">
        <v>20380</v>
      </c>
      <c r="BA2249" s="80" t="s">
        <v>20380</v>
      </c>
      <c r="BB2249" s="80" t="s">
        <v>20380</v>
      </c>
      <c r="BC2249" s="80" t="s">
        <v>18071</v>
      </c>
      <c r="BD2249" s="77">
        <v>40776090</v>
      </c>
      <c r="BE2249" s="77"/>
      <c r="BF2249" s="77"/>
      <c r="BG2249" s="77"/>
      <c r="BH2249" s="77"/>
      <c r="BI2249" s="77"/>
    </row>
    <row r="2250" spans="1:61" x14ac:dyDescent="0.25">
      <c r="A2250" s="62" t="s">
        <v>915</v>
      </c>
      <c r="B2250" s="62" t="s">
        <v>1662</v>
      </c>
      <c r="C2250" s="63"/>
      <c r="D2250" s="64"/>
      <c r="E2250" s="65"/>
      <c r="F2250" s="66"/>
      <c r="G2250" s="63"/>
      <c r="H2250" s="67"/>
      <c r="I2250" s="68"/>
      <c r="J2250" s="68"/>
      <c r="K2250" s="32"/>
      <c r="L2250" s="75">
        <v>2250</v>
      </c>
      <c r="M2250" s="75"/>
      <c r="N2250" s="70"/>
      <c r="O2250" s="77" t="s">
        <v>2082</v>
      </c>
      <c r="P2250" s="79">
        <v>45107.200775462959</v>
      </c>
      <c r="Q2250" s="77" t="s">
        <v>4092</v>
      </c>
      <c r="R2250" s="77">
        <v>0</v>
      </c>
      <c r="S2250" s="77">
        <v>1</v>
      </c>
      <c r="T2250" s="77">
        <v>0</v>
      </c>
      <c r="U2250" s="77">
        <v>0</v>
      </c>
      <c r="V2250" s="77">
        <v>11</v>
      </c>
      <c r="W2250" s="80" t="s">
        <v>7330</v>
      </c>
      <c r="X2250" s="77"/>
      <c r="Y2250" s="77"/>
      <c r="Z2250" s="77"/>
      <c r="AA2250" s="77"/>
      <c r="AB2250" s="77"/>
      <c r="AC2250" s="80" t="s">
        <v>10540</v>
      </c>
      <c r="AD2250" s="77" t="s">
        <v>10617</v>
      </c>
      <c r="AE2250" s="83" t="str">
        <f>HYPERLINK("https://twitter.com/parego/status/1674641187368579072")</f>
        <v>https://twitter.com/parego/status/1674641187368579072</v>
      </c>
      <c r="AF2250" s="79">
        <v>45107.200775462959</v>
      </c>
      <c r="AG2250" s="85">
        <v>45107</v>
      </c>
      <c r="AH2250" s="80" t="s">
        <v>12616</v>
      </c>
      <c r="AI2250" s="77"/>
      <c r="AJ2250" s="77"/>
      <c r="AK2250" s="77"/>
      <c r="AL2250" s="77"/>
      <c r="AM2250" s="77"/>
      <c r="AN2250" s="77"/>
      <c r="AO2250" s="77"/>
      <c r="AP2250" s="77"/>
      <c r="AQ2250" s="77"/>
      <c r="AR2250" s="77"/>
      <c r="AS2250" s="77"/>
      <c r="AT2250" s="77"/>
      <c r="AU2250" s="77"/>
      <c r="AV2250" s="83" t="str">
        <f>HYPERLINK("https://pbs.twimg.com/profile_images/540026005490900992/vnfaoEeo_normal.jpeg")</f>
        <v>https://pbs.twimg.com/profile_images/540026005490900992/vnfaoEeo_normal.jpeg</v>
      </c>
      <c r="AW2250" s="80" t="s">
        <v>18079</v>
      </c>
      <c r="AX2250" s="80" t="s">
        <v>18079</v>
      </c>
      <c r="AY2250" s="77"/>
      <c r="AZ2250" s="80" t="s">
        <v>20380</v>
      </c>
      <c r="BA2250" s="80" t="s">
        <v>19862</v>
      </c>
      <c r="BB2250" s="80" t="s">
        <v>20380</v>
      </c>
      <c r="BC2250" s="80" t="s">
        <v>19862</v>
      </c>
      <c r="BD2250" s="77">
        <v>40776090</v>
      </c>
      <c r="BE2250" s="77"/>
      <c r="BF2250" s="77"/>
      <c r="BG2250" s="77"/>
      <c r="BH2250" s="77"/>
      <c r="BI2250" s="77"/>
    </row>
    <row r="2251" spans="1:61" x14ac:dyDescent="0.25">
      <c r="A2251" s="62" t="s">
        <v>915</v>
      </c>
      <c r="B2251" s="62" t="s">
        <v>1624</v>
      </c>
      <c r="C2251" s="63"/>
      <c r="D2251" s="64"/>
      <c r="E2251" s="65"/>
      <c r="F2251" s="66"/>
      <c r="G2251" s="63"/>
      <c r="H2251" s="67"/>
      <c r="I2251" s="68"/>
      <c r="J2251" s="68"/>
      <c r="K2251" s="32"/>
      <c r="L2251" s="75">
        <v>2251</v>
      </c>
      <c r="M2251" s="75"/>
      <c r="N2251" s="70"/>
      <c r="O2251" s="77" t="s">
        <v>2084</v>
      </c>
      <c r="P2251" s="79">
        <v>45106.530648148146</v>
      </c>
      <c r="Q2251" s="77" t="s">
        <v>4093</v>
      </c>
      <c r="R2251" s="77">
        <v>0</v>
      </c>
      <c r="S2251" s="77">
        <v>1</v>
      </c>
      <c r="T2251" s="77">
        <v>1</v>
      </c>
      <c r="U2251" s="77">
        <v>0</v>
      </c>
      <c r="V2251" s="77">
        <v>27</v>
      </c>
      <c r="W2251" s="80" t="s">
        <v>7331</v>
      </c>
      <c r="X2251" s="77"/>
      <c r="Y2251" s="77"/>
      <c r="Z2251" s="77" t="s">
        <v>1624</v>
      </c>
      <c r="AA2251" s="77"/>
      <c r="AB2251" s="77"/>
      <c r="AC2251" s="80" t="s">
        <v>10540</v>
      </c>
      <c r="AD2251" s="77" t="s">
        <v>10617</v>
      </c>
      <c r="AE2251" s="83" t="str">
        <f>HYPERLINK("https://twitter.com/parego/status/1674398341973590017")</f>
        <v>https://twitter.com/parego/status/1674398341973590017</v>
      </c>
      <c r="AF2251" s="79">
        <v>45106.530648148146</v>
      </c>
      <c r="AG2251" s="85">
        <v>45106</v>
      </c>
      <c r="AH2251" s="80" t="s">
        <v>12617</v>
      </c>
      <c r="AI2251" s="77"/>
      <c r="AJ2251" s="77"/>
      <c r="AK2251" s="77"/>
      <c r="AL2251" s="77"/>
      <c r="AM2251" s="77"/>
      <c r="AN2251" s="77"/>
      <c r="AO2251" s="77"/>
      <c r="AP2251" s="77"/>
      <c r="AQ2251" s="77"/>
      <c r="AR2251" s="77"/>
      <c r="AS2251" s="77"/>
      <c r="AT2251" s="77"/>
      <c r="AU2251" s="77"/>
      <c r="AV2251" s="83" t="str">
        <f>HYPERLINK("https://pbs.twimg.com/profile_images/540026005490900992/vnfaoEeo_normal.jpeg")</f>
        <v>https://pbs.twimg.com/profile_images/540026005490900992/vnfaoEeo_normal.jpeg</v>
      </c>
      <c r="AW2251" s="80" t="s">
        <v>18080</v>
      </c>
      <c r="AX2251" s="80" t="s">
        <v>18080</v>
      </c>
      <c r="AY2251" s="77"/>
      <c r="AZ2251" s="80" t="s">
        <v>20380</v>
      </c>
      <c r="BA2251" s="80" t="s">
        <v>19760</v>
      </c>
      <c r="BB2251" s="80" t="s">
        <v>20380</v>
      </c>
      <c r="BC2251" s="80" t="s">
        <v>19760</v>
      </c>
      <c r="BD2251" s="77">
        <v>40776090</v>
      </c>
      <c r="BE2251" s="77"/>
      <c r="BF2251" s="77"/>
      <c r="BG2251" s="77"/>
      <c r="BH2251" s="77"/>
      <c r="BI2251" s="77"/>
    </row>
    <row r="2252" spans="1:61" x14ac:dyDescent="0.25">
      <c r="A2252" s="62" t="s">
        <v>915</v>
      </c>
      <c r="B2252" s="62" t="s">
        <v>1624</v>
      </c>
      <c r="C2252" s="63"/>
      <c r="D2252" s="64"/>
      <c r="E2252" s="65"/>
      <c r="F2252" s="66"/>
      <c r="G2252" s="63"/>
      <c r="H2252" s="67"/>
      <c r="I2252" s="68"/>
      <c r="J2252" s="68"/>
      <c r="K2252" s="32"/>
      <c r="L2252" s="75">
        <v>2252</v>
      </c>
      <c r="M2252" s="75"/>
      <c r="N2252" s="70"/>
      <c r="O2252" s="77" t="s">
        <v>2082</v>
      </c>
      <c r="P2252" s="79">
        <v>45106.530648148146</v>
      </c>
      <c r="Q2252" s="77" t="s">
        <v>4093</v>
      </c>
      <c r="R2252" s="77">
        <v>0</v>
      </c>
      <c r="S2252" s="77">
        <v>1</v>
      </c>
      <c r="T2252" s="77">
        <v>1</v>
      </c>
      <c r="U2252" s="77">
        <v>0</v>
      </c>
      <c r="V2252" s="77">
        <v>27</v>
      </c>
      <c r="W2252" s="80" t="s">
        <v>7331</v>
      </c>
      <c r="X2252" s="77"/>
      <c r="Y2252" s="77"/>
      <c r="Z2252" s="77" t="s">
        <v>1624</v>
      </c>
      <c r="AA2252" s="77"/>
      <c r="AB2252" s="77"/>
      <c r="AC2252" s="80" t="s">
        <v>10540</v>
      </c>
      <c r="AD2252" s="77" t="s">
        <v>10617</v>
      </c>
      <c r="AE2252" s="83" t="str">
        <f>HYPERLINK("https://twitter.com/parego/status/1674398341973590017")</f>
        <v>https://twitter.com/parego/status/1674398341973590017</v>
      </c>
      <c r="AF2252" s="79">
        <v>45106.530648148146</v>
      </c>
      <c r="AG2252" s="85">
        <v>45106</v>
      </c>
      <c r="AH2252" s="80" t="s">
        <v>12617</v>
      </c>
      <c r="AI2252" s="77"/>
      <c r="AJ2252" s="77"/>
      <c r="AK2252" s="77"/>
      <c r="AL2252" s="77"/>
      <c r="AM2252" s="77"/>
      <c r="AN2252" s="77"/>
      <c r="AO2252" s="77"/>
      <c r="AP2252" s="77"/>
      <c r="AQ2252" s="77"/>
      <c r="AR2252" s="77"/>
      <c r="AS2252" s="77"/>
      <c r="AT2252" s="77"/>
      <c r="AU2252" s="77"/>
      <c r="AV2252" s="83" t="str">
        <f>HYPERLINK("https://pbs.twimg.com/profile_images/540026005490900992/vnfaoEeo_normal.jpeg")</f>
        <v>https://pbs.twimg.com/profile_images/540026005490900992/vnfaoEeo_normal.jpeg</v>
      </c>
      <c r="AW2252" s="80" t="s">
        <v>18080</v>
      </c>
      <c r="AX2252" s="80" t="s">
        <v>18080</v>
      </c>
      <c r="AY2252" s="77"/>
      <c r="AZ2252" s="80" t="s">
        <v>20380</v>
      </c>
      <c r="BA2252" s="80" t="s">
        <v>19760</v>
      </c>
      <c r="BB2252" s="80" t="s">
        <v>20380</v>
      </c>
      <c r="BC2252" s="80" t="s">
        <v>19760</v>
      </c>
      <c r="BD2252" s="77">
        <v>40776090</v>
      </c>
      <c r="BE2252" s="77"/>
      <c r="BF2252" s="77"/>
      <c r="BG2252" s="77"/>
      <c r="BH2252" s="77"/>
      <c r="BI2252" s="77"/>
    </row>
    <row r="2253" spans="1:61" x14ac:dyDescent="0.25">
      <c r="A2253" s="62" t="s">
        <v>915</v>
      </c>
      <c r="B2253" s="62" t="s">
        <v>547</v>
      </c>
      <c r="C2253" s="63"/>
      <c r="D2253" s="64"/>
      <c r="E2253" s="65"/>
      <c r="F2253" s="66"/>
      <c r="G2253" s="63"/>
      <c r="H2253" s="67"/>
      <c r="I2253" s="68"/>
      <c r="J2253" s="68"/>
      <c r="K2253" s="32"/>
      <c r="L2253" s="75">
        <v>2253</v>
      </c>
      <c r="M2253" s="75"/>
      <c r="N2253" s="70"/>
      <c r="O2253" s="77" t="s">
        <v>2082</v>
      </c>
      <c r="P2253" s="79">
        <v>45086.903009259258</v>
      </c>
      <c r="Q2253" s="77" t="s">
        <v>4094</v>
      </c>
      <c r="R2253" s="77">
        <v>0</v>
      </c>
      <c r="S2253" s="77">
        <v>2</v>
      </c>
      <c r="T2253" s="77">
        <v>0</v>
      </c>
      <c r="U2253" s="77">
        <v>1</v>
      </c>
      <c r="V2253" s="77">
        <v>60</v>
      </c>
      <c r="W2253" s="80" t="s">
        <v>7332</v>
      </c>
      <c r="X2253" s="77"/>
      <c r="Y2253" s="77"/>
      <c r="Z2253" s="77"/>
      <c r="AA2253" s="77"/>
      <c r="AB2253" s="77"/>
      <c r="AC2253" s="80" t="s">
        <v>10540</v>
      </c>
      <c r="AD2253" s="77" t="s">
        <v>10617</v>
      </c>
      <c r="AE2253" s="83" t="str">
        <f>HYPERLINK("https://twitter.com/parego/status/1667285523340115968")</f>
        <v>https://twitter.com/parego/status/1667285523340115968</v>
      </c>
      <c r="AF2253" s="79">
        <v>45086.903009259258</v>
      </c>
      <c r="AG2253" s="85">
        <v>45086</v>
      </c>
      <c r="AH2253" s="80" t="s">
        <v>12618</v>
      </c>
      <c r="AI2253" s="77"/>
      <c r="AJ2253" s="77"/>
      <c r="AK2253" s="77"/>
      <c r="AL2253" s="77"/>
      <c r="AM2253" s="77"/>
      <c r="AN2253" s="77"/>
      <c r="AO2253" s="77"/>
      <c r="AP2253" s="77"/>
      <c r="AQ2253" s="77"/>
      <c r="AR2253" s="77"/>
      <c r="AS2253" s="77"/>
      <c r="AT2253" s="77"/>
      <c r="AU2253" s="77"/>
      <c r="AV2253" s="83" t="str">
        <f>HYPERLINK("https://pbs.twimg.com/profile_images/540026005490900992/vnfaoEeo_normal.jpeg")</f>
        <v>https://pbs.twimg.com/profile_images/540026005490900992/vnfaoEeo_normal.jpeg</v>
      </c>
      <c r="AW2253" s="80" t="s">
        <v>18081</v>
      </c>
      <c r="AX2253" s="80" t="s">
        <v>18081</v>
      </c>
      <c r="AY2253" s="77"/>
      <c r="AZ2253" s="80" t="s">
        <v>20380</v>
      </c>
      <c r="BA2253" s="80" t="s">
        <v>16804</v>
      </c>
      <c r="BB2253" s="80" t="s">
        <v>20380</v>
      </c>
      <c r="BC2253" s="80" t="s">
        <v>16804</v>
      </c>
      <c r="BD2253" s="77">
        <v>40776090</v>
      </c>
      <c r="BE2253" s="77"/>
      <c r="BF2253" s="77"/>
      <c r="BG2253" s="77"/>
      <c r="BH2253" s="77"/>
      <c r="BI2253" s="77"/>
    </row>
    <row r="2254" spans="1:61" x14ac:dyDescent="0.25">
      <c r="A2254" s="62" t="s">
        <v>915</v>
      </c>
      <c r="B2254" s="62" t="s">
        <v>1443</v>
      </c>
      <c r="C2254" s="63"/>
      <c r="D2254" s="64"/>
      <c r="E2254" s="65"/>
      <c r="F2254" s="66"/>
      <c r="G2254" s="63"/>
      <c r="H2254" s="67"/>
      <c r="I2254" s="68"/>
      <c r="J2254" s="68"/>
      <c r="K2254" s="32"/>
      <c r="L2254" s="75">
        <v>2254</v>
      </c>
      <c r="M2254" s="75"/>
      <c r="N2254" s="70"/>
      <c r="O2254" s="77" t="s">
        <v>2084</v>
      </c>
      <c r="P2254" s="79">
        <v>45105.560416666667</v>
      </c>
      <c r="Q2254" s="77" t="s">
        <v>4095</v>
      </c>
      <c r="R2254" s="77">
        <v>0</v>
      </c>
      <c r="S2254" s="77">
        <v>2</v>
      </c>
      <c r="T2254" s="77">
        <v>0</v>
      </c>
      <c r="U2254" s="77">
        <v>1</v>
      </c>
      <c r="V2254" s="77">
        <v>58</v>
      </c>
      <c r="W2254" s="80" t="s">
        <v>7333</v>
      </c>
      <c r="X2254" s="77"/>
      <c r="Y2254" s="77"/>
      <c r="Z2254" s="77" t="s">
        <v>1443</v>
      </c>
      <c r="AA2254" s="77" t="s">
        <v>9668</v>
      </c>
      <c r="AB2254" s="77" t="s">
        <v>10536</v>
      </c>
      <c r="AC2254" s="80" t="s">
        <v>10540</v>
      </c>
      <c r="AD2254" s="77" t="s">
        <v>10617</v>
      </c>
      <c r="AE2254" s="83" t="str">
        <f>HYPERLINK("https://twitter.com/parego/status/1674046741769867264")</f>
        <v>https://twitter.com/parego/status/1674046741769867264</v>
      </c>
      <c r="AF2254" s="79">
        <v>45105.560416666667</v>
      </c>
      <c r="AG2254" s="85">
        <v>45105</v>
      </c>
      <c r="AH2254" s="80" t="s">
        <v>12619</v>
      </c>
      <c r="AI2254" s="77" t="b">
        <v>0</v>
      </c>
      <c r="AJ2254" s="77"/>
      <c r="AK2254" s="77"/>
      <c r="AL2254" s="77"/>
      <c r="AM2254" s="77"/>
      <c r="AN2254" s="77"/>
      <c r="AO2254" s="77"/>
      <c r="AP2254" s="77"/>
      <c r="AQ2254" s="77" t="s">
        <v>15150</v>
      </c>
      <c r="AR2254" s="77"/>
      <c r="AS2254" s="77"/>
      <c r="AT2254" s="77"/>
      <c r="AU2254" s="77"/>
      <c r="AV2254" s="83" t="str">
        <f>HYPERLINK("https://pbs.twimg.com/media/FztoovgX0AMqndo.jpg")</f>
        <v>https://pbs.twimg.com/media/FztoovgX0AMqndo.jpg</v>
      </c>
      <c r="AW2254" s="80" t="s">
        <v>18082</v>
      </c>
      <c r="AX2254" s="80" t="s">
        <v>18082</v>
      </c>
      <c r="AY2254" s="77"/>
      <c r="AZ2254" s="80" t="s">
        <v>20380</v>
      </c>
      <c r="BA2254" s="80" t="s">
        <v>18069</v>
      </c>
      <c r="BB2254" s="80" t="s">
        <v>20380</v>
      </c>
      <c r="BC2254" s="80" t="s">
        <v>18069</v>
      </c>
      <c r="BD2254" s="77">
        <v>40776090</v>
      </c>
      <c r="BE2254" s="77"/>
      <c r="BF2254" s="77"/>
      <c r="BG2254" s="77"/>
      <c r="BH2254" s="77"/>
      <c r="BI2254" s="77"/>
    </row>
    <row r="2255" spans="1:61" x14ac:dyDescent="0.25">
      <c r="A2255" s="62" t="s">
        <v>915</v>
      </c>
      <c r="B2255" s="62" t="s">
        <v>915</v>
      </c>
      <c r="C2255" s="63"/>
      <c r="D2255" s="64"/>
      <c r="E2255" s="65"/>
      <c r="F2255" s="66"/>
      <c r="G2255" s="63"/>
      <c r="H2255" s="67"/>
      <c r="I2255" s="68"/>
      <c r="J2255" s="68"/>
      <c r="K2255" s="32"/>
      <c r="L2255" s="75">
        <v>2255</v>
      </c>
      <c r="M2255" s="75"/>
      <c r="N2255" s="70"/>
      <c r="O2255" s="77" t="s">
        <v>2082</v>
      </c>
      <c r="P2255" s="79">
        <v>45105.560416666667</v>
      </c>
      <c r="Q2255" s="77" t="s">
        <v>4095</v>
      </c>
      <c r="R2255" s="77">
        <v>0</v>
      </c>
      <c r="S2255" s="77">
        <v>2</v>
      </c>
      <c r="T2255" s="77">
        <v>0</v>
      </c>
      <c r="U2255" s="77">
        <v>1</v>
      </c>
      <c r="V2255" s="77">
        <v>58</v>
      </c>
      <c r="W2255" s="80" t="s">
        <v>7333</v>
      </c>
      <c r="X2255" s="77"/>
      <c r="Y2255" s="77"/>
      <c r="Z2255" s="77" t="s">
        <v>1443</v>
      </c>
      <c r="AA2255" s="77" t="s">
        <v>9668</v>
      </c>
      <c r="AB2255" s="77" t="s">
        <v>10536</v>
      </c>
      <c r="AC2255" s="80" t="s">
        <v>10540</v>
      </c>
      <c r="AD2255" s="77" t="s">
        <v>10617</v>
      </c>
      <c r="AE2255" s="83" t="str">
        <f>HYPERLINK("https://twitter.com/parego/status/1674046741769867264")</f>
        <v>https://twitter.com/parego/status/1674046741769867264</v>
      </c>
      <c r="AF2255" s="79">
        <v>45105.560416666667</v>
      </c>
      <c r="AG2255" s="85">
        <v>45105</v>
      </c>
      <c r="AH2255" s="80" t="s">
        <v>12619</v>
      </c>
      <c r="AI2255" s="77" t="b">
        <v>0</v>
      </c>
      <c r="AJ2255" s="77"/>
      <c r="AK2255" s="77"/>
      <c r="AL2255" s="77"/>
      <c r="AM2255" s="77"/>
      <c r="AN2255" s="77"/>
      <c r="AO2255" s="77"/>
      <c r="AP2255" s="77"/>
      <c r="AQ2255" s="77" t="s">
        <v>15150</v>
      </c>
      <c r="AR2255" s="77"/>
      <c r="AS2255" s="77"/>
      <c r="AT2255" s="77"/>
      <c r="AU2255" s="77"/>
      <c r="AV2255" s="83" t="str">
        <f>HYPERLINK("https://pbs.twimg.com/media/FztoovgX0AMqndo.jpg")</f>
        <v>https://pbs.twimg.com/media/FztoovgX0AMqndo.jpg</v>
      </c>
      <c r="AW2255" s="80" t="s">
        <v>18082</v>
      </c>
      <c r="AX2255" s="80" t="s">
        <v>18082</v>
      </c>
      <c r="AY2255" s="77"/>
      <c r="AZ2255" s="80" t="s">
        <v>20380</v>
      </c>
      <c r="BA2255" s="80" t="s">
        <v>18069</v>
      </c>
      <c r="BB2255" s="80" t="s">
        <v>20380</v>
      </c>
      <c r="BC2255" s="80" t="s">
        <v>18069</v>
      </c>
      <c r="BD2255" s="77">
        <v>40776090</v>
      </c>
      <c r="BE2255" s="77"/>
      <c r="BF2255" s="77"/>
      <c r="BG2255" s="77"/>
      <c r="BH2255" s="77"/>
      <c r="BI2255" s="77"/>
    </row>
    <row r="2256" spans="1:61" x14ac:dyDescent="0.25">
      <c r="A2256" s="62" t="s">
        <v>915</v>
      </c>
      <c r="B2256" s="62" t="s">
        <v>915</v>
      </c>
      <c r="C2256" s="63"/>
      <c r="D2256" s="64"/>
      <c r="E2256" s="65"/>
      <c r="F2256" s="66"/>
      <c r="G2256" s="63"/>
      <c r="H2256" s="67"/>
      <c r="I2256" s="68"/>
      <c r="J2256" s="68"/>
      <c r="K2256" s="32"/>
      <c r="L2256" s="75">
        <v>2256</v>
      </c>
      <c r="M2256" s="75"/>
      <c r="N2256" s="70"/>
      <c r="O2256" s="77" t="s">
        <v>2082</v>
      </c>
      <c r="P2256" s="79">
        <v>45119.598946759259</v>
      </c>
      <c r="Q2256" s="77" t="s">
        <v>4085</v>
      </c>
      <c r="R2256" s="77">
        <v>0</v>
      </c>
      <c r="S2256" s="77">
        <v>1</v>
      </c>
      <c r="T2256" s="77">
        <v>0</v>
      </c>
      <c r="U2256" s="77">
        <v>0</v>
      </c>
      <c r="V2256" s="77">
        <v>36</v>
      </c>
      <c r="W2256" s="80" t="s">
        <v>6203</v>
      </c>
      <c r="X2256" s="77"/>
      <c r="Y2256" s="77"/>
      <c r="Z2256" s="77" t="s">
        <v>1764</v>
      </c>
      <c r="AA2256" s="77" t="s">
        <v>9662</v>
      </c>
      <c r="AB2256" s="77" t="s">
        <v>10537</v>
      </c>
      <c r="AC2256" s="80" t="s">
        <v>10540</v>
      </c>
      <c r="AD2256" s="77" t="s">
        <v>10617</v>
      </c>
      <c r="AE2256" s="83" t="str">
        <f>HYPERLINK("https://twitter.com/parego/status/1679134134080356352")</f>
        <v>https://twitter.com/parego/status/1679134134080356352</v>
      </c>
      <c r="AF2256" s="79">
        <v>45119.598946759259</v>
      </c>
      <c r="AG2256" s="85">
        <v>45119</v>
      </c>
      <c r="AH2256" s="80" t="s">
        <v>12609</v>
      </c>
      <c r="AI2256" s="77" t="b">
        <v>0</v>
      </c>
      <c r="AJ2256" s="77"/>
      <c r="AK2256" s="77"/>
      <c r="AL2256" s="77"/>
      <c r="AM2256" s="77"/>
      <c r="AN2256" s="77"/>
      <c r="AO2256" s="77"/>
      <c r="AP2256" s="77"/>
      <c r="AQ2256" s="77" t="s">
        <v>15144</v>
      </c>
      <c r="AR2256" s="77"/>
      <c r="AS2256" s="77"/>
      <c r="AT2256" s="77"/>
      <c r="AU2256" s="77"/>
      <c r="AV2256" s="83" t="str">
        <f>HYPERLINK("https://pbs.twimg.com/media/F017jF6XoAEomG5.jpg")</f>
        <v>https://pbs.twimg.com/media/F017jF6XoAEomG5.jpg</v>
      </c>
      <c r="AW2256" s="80" t="s">
        <v>18072</v>
      </c>
      <c r="AX2256" s="80" t="s">
        <v>18072</v>
      </c>
      <c r="AY2256" s="77"/>
      <c r="AZ2256" s="80" t="s">
        <v>20380</v>
      </c>
      <c r="BA2256" s="80" t="s">
        <v>18082</v>
      </c>
      <c r="BB2256" s="80" t="s">
        <v>20380</v>
      </c>
      <c r="BC2256" s="80" t="s">
        <v>18082</v>
      </c>
      <c r="BD2256" s="77">
        <v>40776090</v>
      </c>
      <c r="BE2256" s="77"/>
      <c r="BF2256" s="77"/>
      <c r="BG2256" s="77"/>
      <c r="BH2256" s="77"/>
      <c r="BI2256" s="77"/>
    </row>
    <row r="2257" spans="1:61" x14ac:dyDescent="0.25">
      <c r="A2257" s="62" t="s">
        <v>915</v>
      </c>
      <c r="B2257" s="62" t="s">
        <v>1443</v>
      </c>
      <c r="C2257" s="63"/>
      <c r="D2257" s="64"/>
      <c r="E2257" s="65"/>
      <c r="F2257" s="66"/>
      <c r="G2257" s="63"/>
      <c r="H2257" s="67"/>
      <c r="I2257" s="68"/>
      <c r="J2257" s="68"/>
      <c r="K2257" s="32"/>
      <c r="L2257" s="75">
        <v>2257</v>
      </c>
      <c r="M2257" s="75"/>
      <c r="N2257" s="70"/>
      <c r="O2257" s="77" t="s">
        <v>2084</v>
      </c>
      <c r="P2257" s="79">
        <v>45074.81927083333</v>
      </c>
      <c r="Q2257" s="77" t="s">
        <v>4096</v>
      </c>
      <c r="R2257" s="77">
        <v>1</v>
      </c>
      <c r="S2257" s="77">
        <v>6</v>
      </c>
      <c r="T2257" s="77">
        <v>1</v>
      </c>
      <c r="U2257" s="77">
        <v>1</v>
      </c>
      <c r="V2257" s="77">
        <v>169</v>
      </c>
      <c r="W2257" s="80" t="s">
        <v>5896</v>
      </c>
      <c r="X2257" s="77"/>
      <c r="Y2257" s="77"/>
      <c r="Z2257" s="77" t="s">
        <v>1443</v>
      </c>
      <c r="AA2257" s="77" t="s">
        <v>9669</v>
      </c>
      <c r="AB2257" s="77" t="s">
        <v>10537</v>
      </c>
      <c r="AC2257" s="80" t="s">
        <v>10540</v>
      </c>
      <c r="AD2257" s="77" t="s">
        <v>10617</v>
      </c>
      <c r="AE2257" s="83" t="str">
        <f>HYPERLINK("https://twitter.com/parego/status/1662906525067747328")</f>
        <v>https://twitter.com/parego/status/1662906525067747328</v>
      </c>
      <c r="AF2257" s="79">
        <v>45074.81927083333</v>
      </c>
      <c r="AG2257" s="85">
        <v>45074</v>
      </c>
      <c r="AH2257" s="80" t="s">
        <v>12620</v>
      </c>
      <c r="AI2257" s="77" t="b">
        <v>0</v>
      </c>
      <c r="AJ2257" s="77"/>
      <c r="AK2257" s="77"/>
      <c r="AL2257" s="77"/>
      <c r="AM2257" s="77"/>
      <c r="AN2257" s="77"/>
      <c r="AO2257" s="77"/>
      <c r="AP2257" s="77"/>
      <c r="AQ2257" s="77" t="s">
        <v>15151</v>
      </c>
      <c r="AR2257" s="77"/>
      <c r="AS2257" s="77"/>
      <c r="AT2257" s="77"/>
      <c r="AU2257" s="77"/>
      <c r="AV2257" s="83" t="str">
        <f>HYPERLINK("https://pbs.twimg.com/media/FxPUqnPXsAAceSG.jpg")</f>
        <v>https://pbs.twimg.com/media/FxPUqnPXsAAceSG.jpg</v>
      </c>
      <c r="AW2257" s="80" t="s">
        <v>18083</v>
      </c>
      <c r="AX2257" s="80" t="s">
        <v>18083</v>
      </c>
      <c r="AY2257" s="77"/>
      <c r="AZ2257" s="80" t="s">
        <v>20380</v>
      </c>
      <c r="BA2257" s="80" t="s">
        <v>18073</v>
      </c>
      <c r="BB2257" s="80" t="s">
        <v>20380</v>
      </c>
      <c r="BC2257" s="80" t="s">
        <v>18073</v>
      </c>
      <c r="BD2257" s="77">
        <v>40776090</v>
      </c>
      <c r="BE2257" s="77"/>
      <c r="BF2257" s="77"/>
      <c r="BG2257" s="77"/>
      <c r="BH2257" s="77"/>
      <c r="BI2257" s="77"/>
    </row>
    <row r="2258" spans="1:61" x14ac:dyDescent="0.25">
      <c r="A2258" s="62" t="s">
        <v>915</v>
      </c>
      <c r="B2258" s="62" t="s">
        <v>915</v>
      </c>
      <c r="C2258" s="63"/>
      <c r="D2258" s="64"/>
      <c r="E2258" s="65"/>
      <c r="F2258" s="66"/>
      <c r="G2258" s="63"/>
      <c r="H2258" s="67"/>
      <c r="I2258" s="68"/>
      <c r="J2258" s="68"/>
      <c r="K2258" s="32"/>
      <c r="L2258" s="75">
        <v>2258</v>
      </c>
      <c r="M2258" s="75"/>
      <c r="N2258" s="70"/>
      <c r="O2258" s="77" t="s">
        <v>2082</v>
      </c>
      <c r="P2258" s="79">
        <v>45074.81927083333</v>
      </c>
      <c r="Q2258" s="77" t="s">
        <v>4096</v>
      </c>
      <c r="R2258" s="77">
        <v>1</v>
      </c>
      <c r="S2258" s="77">
        <v>6</v>
      </c>
      <c r="T2258" s="77">
        <v>1</v>
      </c>
      <c r="U2258" s="77">
        <v>1</v>
      </c>
      <c r="V2258" s="77">
        <v>169</v>
      </c>
      <c r="W2258" s="80" t="s">
        <v>5896</v>
      </c>
      <c r="X2258" s="77"/>
      <c r="Y2258" s="77"/>
      <c r="Z2258" s="77" t="s">
        <v>1443</v>
      </c>
      <c r="AA2258" s="77" t="s">
        <v>9669</v>
      </c>
      <c r="AB2258" s="77" t="s">
        <v>10537</v>
      </c>
      <c r="AC2258" s="80" t="s">
        <v>10540</v>
      </c>
      <c r="AD2258" s="77" t="s">
        <v>10617</v>
      </c>
      <c r="AE2258" s="83" t="str">
        <f>HYPERLINK("https://twitter.com/parego/status/1662906525067747328")</f>
        <v>https://twitter.com/parego/status/1662906525067747328</v>
      </c>
      <c r="AF2258" s="79">
        <v>45074.81927083333</v>
      </c>
      <c r="AG2258" s="85">
        <v>45074</v>
      </c>
      <c r="AH2258" s="80" t="s">
        <v>12620</v>
      </c>
      <c r="AI2258" s="77" t="b">
        <v>0</v>
      </c>
      <c r="AJ2258" s="77"/>
      <c r="AK2258" s="77"/>
      <c r="AL2258" s="77"/>
      <c r="AM2258" s="77"/>
      <c r="AN2258" s="77"/>
      <c r="AO2258" s="77"/>
      <c r="AP2258" s="77"/>
      <c r="AQ2258" s="77" t="s">
        <v>15151</v>
      </c>
      <c r="AR2258" s="77"/>
      <c r="AS2258" s="77"/>
      <c r="AT2258" s="77"/>
      <c r="AU2258" s="77"/>
      <c r="AV2258" s="83" t="str">
        <f>HYPERLINK("https://pbs.twimg.com/media/FxPUqnPXsAAceSG.jpg")</f>
        <v>https://pbs.twimg.com/media/FxPUqnPXsAAceSG.jpg</v>
      </c>
      <c r="AW2258" s="80" t="s">
        <v>18083</v>
      </c>
      <c r="AX2258" s="80" t="s">
        <v>18083</v>
      </c>
      <c r="AY2258" s="77"/>
      <c r="AZ2258" s="80" t="s">
        <v>20380</v>
      </c>
      <c r="BA2258" s="80" t="s">
        <v>18073</v>
      </c>
      <c r="BB2258" s="80" t="s">
        <v>20380</v>
      </c>
      <c r="BC2258" s="80" t="s">
        <v>18073</v>
      </c>
      <c r="BD2258" s="77">
        <v>40776090</v>
      </c>
      <c r="BE2258" s="77"/>
      <c r="BF2258" s="77"/>
      <c r="BG2258" s="77"/>
      <c r="BH2258" s="77"/>
      <c r="BI2258" s="77"/>
    </row>
    <row r="2259" spans="1:61" x14ac:dyDescent="0.25">
      <c r="A2259" s="62" t="s">
        <v>916</v>
      </c>
      <c r="B2259" s="62" t="s">
        <v>916</v>
      </c>
      <c r="C2259" s="63"/>
      <c r="D2259" s="64"/>
      <c r="E2259" s="65"/>
      <c r="F2259" s="66"/>
      <c r="G2259" s="63"/>
      <c r="H2259" s="67"/>
      <c r="I2259" s="68"/>
      <c r="J2259" s="68"/>
      <c r="K2259" s="32"/>
      <c r="L2259" s="75">
        <v>2259</v>
      </c>
      <c r="M2259" s="75"/>
      <c r="N2259" s="70"/>
      <c r="O2259" s="77" t="s">
        <v>179</v>
      </c>
      <c r="P2259" s="79">
        <v>45146.54111111111</v>
      </c>
      <c r="Q2259" s="77" t="s">
        <v>4097</v>
      </c>
      <c r="R2259" s="77">
        <v>0</v>
      </c>
      <c r="S2259" s="77">
        <v>0</v>
      </c>
      <c r="T2259" s="77">
        <v>0</v>
      </c>
      <c r="U2259" s="77">
        <v>0</v>
      </c>
      <c r="V2259" s="77">
        <v>14</v>
      </c>
      <c r="W2259" s="80" t="s">
        <v>7334</v>
      </c>
      <c r="X2259" s="83" t="str">
        <f>HYPERLINK("https://encurtador.com.br/ceFK5")</f>
        <v>https://encurtador.com.br/ceFK5</v>
      </c>
      <c r="Y2259" s="77" t="s">
        <v>8611</v>
      </c>
      <c r="Z2259" s="77"/>
      <c r="AA2259" s="77" t="s">
        <v>9670</v>
      </c>
      <c r="AB2259" s="77" t="s">
        <v>10535</v>
      </c>
      <c r="AC2259" s="80" t="s">
        <v>10541</v>
      </c>
      <c r="AD2259" s="77" t="s">
        <v>10617</v>
      </c>
      <c r="AE2259" s="83" t="str">
        <f>HYPERLINK("https://twitter.com/dolcarajas/status/1688897648869122048")</f>
        <v>https://twitter.com/dolcarajas/status/1688897648869122048</v>
      </c>
      <c r="AF2259" s="79">
        <v>45146.54111111111</v>
      </c>
      <c r="AG2259" s="85">
        <v>45146</v>
      </c>
      <c r="AH2259" s="80" t="s">
        <v>12621</v>
      </c>
      <c r="AI2259" s="77" t="b">
        <v>0</v>
      </c>
      <c r="AJ2259" s="77"/>
      <c r="AK2259" s="77"/>
      <c r="AL2259" s="77"/>
      <c r="AM2259" s="77"/>
      <c r="AN2259" s="77"/>
      <c r="AO2259" s="77"/>
      <c r="AP2259" s="77"/>
      <c r="AQ2259" s="77" t="s">
        <v>15152</v>
      </c>
      <c r="AR2259" s="77"/>
      <c r="AS2259" s="77"/>
      <c r="AT2259" s="77"/>
      <c r="AU2259" s="77"/>
      <c r="AV2259" s="83" t="str">
        <f>HYPERLINK("https://pbs.twimg.com/media/F3Arc0rW0AEiAeT.jpg")</f>
        <v>https://pbs.twimg.com/media/F3Arc0rW0AEiAeT.jpg</v>
      </c>
      <c r="AW2259" s="80" t="s">
        <v>18084</v>
      </c>
      <c r="AX2259" s="80" t="s">
        <v>18084</v>
      </c>
      <c r="AY2259" s="77"/>
      <c r="AZ2259" s="80" t="s">
        <v>20380</v>
      </c>
      <c r="BA2259" s="80" t="s">
        <v>20380</v>
      </c>
      <c r="BB2259" s="80" t="s">
        <v>20380</v>
      </c>
      <c r="BC2259" s="80" t="s">
        <v>18084</v>
      </c>
      <c r="BD2259" s="80" t="s">
        <v>20829</v>
      </c>
      <c r="BE2259" s="77"/>
      <c r="BF2259" s="77"/>
      <c r="BG2259" s="77"/>
      <c r="BH2259" s="77"/>
      <c r="BI2259" s="77"/>
    </row>
    <row r="2260" spans="1:61" x14ac:dyDescent="0.25">
      <c r="A2260" s="62" t="s">
        <v>917</v>
      </c>
      <c r="B2260" s="62" t="s">
        <v>917</v>
      </c>
      <c r="C2260" s="63"/>
      <c r="D2260" s="64"/>
      <c r="E2260" s="65"/>
      <c r="F2260" s="66"/>
      <c r="G2260" s="63"/>
      <c r="H2260" s="67"/>
      <c r="I2260" s="68"/>
      <c r="J2260" s="68"/>
      <c r="K2260" s="32"/>
      <c r="L2260" s="75">
        <v>2260</v>
      </c>
      <c r="M2260" s="75"/>
      <c r="N2260" s="70"/>
      <c r="O2260" s="77" t="s">
        <v>179</v>
      </c>
      <c r="P2260" s="79">
        <v>45052.828356481485</v>
      </c>
      <c r="Q2260" s="77" t="s">
        <v>4098</v>
      </c>
      <c r="R2260" s="77">
        <v>856</v>
      </c>
      <c r="S2260" s="77">
        <v>2276</v>
      </c>
      <c r="T2260" s="77">
        <v>173</v>
      </c>
      <c r="U2260" s="77">
        <v>59</v>
      </c>
      <c r="V2260" s="77">
        <v>35517</v>
      </c>
      <c r="W2260" s="77"/>
      <c r="X2260" s="77"/>
      <c r="Y2260" s="77"/>
      <c r="Z2260" s="77"/>
      <c r="AA2260" s="77" t="s">
        <v>9671</v>
      </c>
      <c r="AB2260" s="77" t="s">
        <v>10535</v>
      </c>
      <c r="AC2260" s="80" t="s">
        <v>10542</v>
      </c>
      <c r="AD2260" s="77" t="s">
        <v>10617</v>
      </c>
      <c r="AE2260" s="83" t="str">
        <f>HYPERLINK("https://twitter.com/julialucydf/status/1654937285509488640")</f>
        <v>https://twitter.com/julialucydf/status/1654937285509488640</v>
      </c>
      <c r="AF2260" s="79">
        <v>45052.828356481485</v>
      </c>
      <c r="AG2260" s="85">
        <v>45052</v>
      </c>
      <c r="AH2260" s="80" t="s">
        <v>10699</v>
      </c>
      <c r="AI2260" s="77" t="b">
        <v>0</v>
      </c>
      <c r="AJ2260" s="77"/>
      <c r="AK2260" s="77"/>
      <c r="AL2260" s="77"/>
      <c r="AM2260" s="77"/>
      <c r="AN2260" s="77"/>
      <c r="AO2260" s="77"/>
      <c r="AP2260" s="77"/>
      <c r="AQ2260" s="77" t="s">
        <v>15153</v>
      </c>
      <c r="AR2260" s="77"/>
      <c r="AS2260" s="77"/>
      <c r="AT2260" s="77"/>
      <c r="AU2260" s="77"/>
      <c r="AV2260" s="83" t="str">
        <f>HYPERLINK("https://pbs.twimg.com/media/FveEryEWAAEkEb8.jpg")</f>
        <v>https://pbs.twimg.com/media/FveEryEWAAEkEb8.jpg</v>
      </c>
      <c r="AW2260" s="80" t="s">
        <v>18085</v>
      </c>
      <c r="AX2260" s="80" t="s">
        <v>18085</v>
      </c>
      <c r="AY2260" s="77"/>
      <c r="AZ2260" s="80" t="s">
        <v>20380</v>
      </c>
      <c r="BA2260" s="80" t="s">
        <v>20380</v>
      </c>
      <c r="BB2260" s="80" t="s">
        <v>20380</v>
      </c>
      <c r="BC2260" s="80" t="s">
        <v>18085</v>
      </c>
      <c r="BD2260" s="80" t="s">
        <v>20258</v>
      </c>
      <c r="BE2260" s="77"/>
      <c r="BF2260" s="77"/>
      <c r="BG2260" s="77"/>
      <c r="BH2260" s="77"/>
      <c r="BI2260" s="77"/>
    </row>
    <row r="2261" spans="1:61" x14ac:dyDescent="0.25">
      <c r="A2261" s="62" t="s">
        <v>918</v>
      </c>
      <c r="B2261" s="62" t="s">
        <v>918</v>
      </c>
      <c r="C2261" s="63"/>
      <c r="D2261" s="64"/>
      <c r="E2261" s="65"/>
      <c r="F2261" s="66"/>
      <c r="G2261" s="63"/>
      <c r="H2261" s="67"/>
      <c r="I2261" s="68"/>
      <c r="J2261" s="68"/>
      <c r="K2261" s="32"/>
      <c r="L2261" s="75">
        <v>2261</v>
      </c>
      <c r="M2261" s="75"/>
      <c r="N2261" s="70"/>
      <c r="O2261" s="77" t="s">
        <v>179</v>
      </c>
      <c r="P2261" s="79">
        <v>45049.970659722225</v>
      </c>
      <c r="Q2261" s="77" t="s">
        <v>4099</v>
      </c>
      <c r="R2261" s="77">
        <v>2092</v>
      </c>
      <c r="S2261" s="77">
        <v>10576</v>
      </c>
      <c r="T2261" s="77">
        <v>630</v>
      </c>
      <c r="U2261" s="77">
        <v>238</v>
      </c>
      <c r="V2261" s="77">
        <v>2601750</v>
      </c>
      <c r="W2261" s="77"/>
      <c r="X2261" s="83" t="str">
        <f>HYPERLINK("https://investnews.com.br/economia/ranking-juros-reais-brasil-tem-maior-taxa-maio-2023/")</f>
        <v>https://investnews.com.br/economia/ranking-juros-reais-brasil-tem-maior-taxa-maio-2023/</v>
      </c>
      <c r="Y2261" s="77" t="s">
        <v>8611</v>
      </c>
      <c r="Z2261" s="77"/>
      <c r="AA2261" s="77" t="s">
        <v>9672</v>
      </c>
      <c r="AB2261" s="77" t="s">
        <v>10535</v>
      </c>
      <c r="AC2261" s="80" t="s">
        <v>10541</v>
      </c>
      <c r="AD2261" s="77" t="s">
        <v>10617</v>
      </c>
      <c r="AE2261" s="83" t="str">
        <f>HYPERLINK("https://twitter.com/investnewsbr/status/1653901688003067904")</f>
        <v>https://twitter.com/investnewsbr/status/1653901688003067904</v>
      </c>
      <c r="AF2261" s="79">
        <v>45049.970659722225</v>
      </c>
      <c r="AG2261" s="85">
        <v>45049</v>
      </c>
      <c r="AH2261" s="80" t="s">
        <v>12622</v>
      </c>
      <c r="AI2261" s="77" t="b">
        <v>0</v>
      </c>
      <c r="AJ2261" s="77"/>
      <c r="AK2261" s="77"/>
      <c r="AL2261" s="77"/>
      <c r="AM2261" s="77"/>
      <c r="AN2261" s="77"/>
      <c r="AO2261" s="77"/>
      <c r="AP2261" s="77"/>
      <c r="AQ2261" s="77" t="s">
        <v>15154</v>
      </c>
      <c r="AR2261" s="77"/>
      <c r="AS2261" s="77"/>
      <c r="AT2261" s="77"/>
      <c r="AU2261" s="77"/>
      <c r="AV2261" s="83" t="str">
        <f>HYPERLINK("https://pbs.twimg.com/media/FvPWR2tXsAAA1I3.jpg")</f>
        <v>https://pbs.twimg.com/media/FvPWR2tXsAAA1I3.jpg</v>
      </c>
      <c r="AW2261" s="80" t="s">
        <v>18086</v>
      </c>
      <c r="AX2261" s="80" t="s">
        <v>18086</v>
      </c>
      <c r="AY2261" s="77"/>
      <c r="AZ2261" s="80" t="s">
        <v>20380</v>
      </c>
      <c r="BA2261" s="80" t="s">
        <v>20380</v>
      </c>
      <c r="BB2261" s="80" t="s">
        <v>20380</v>
      </c>
      <c r="BC2261" s="80" t="s">
        <v>18086</v>
      </c>
      <c r="BD2261" s="80" t="s">
        <v>20830</v>
      </c>
      <c r="BE2261" s="77"/>
      <c r="BF2261" s="77"/>
      <c r="BG2261" s="77"/>
      <c r="BH2261" s="77"/>
      <c r="BI2261" s="77"/>
    </row>
    <row r="2262" spans="1:61" x14ac:dyDescent="0.25">
      <c r="A2262" s="62" t="s">
        <v>919</v>
      </c>
      <c r="B2262" s="62" t="s">
        <v>919</v>
      </c>
      <c r="C2262" s="63"/>
      <c r="D2262" s="64"/>
      <c r="E2262" s="65"/>
      <c r="F2262" s="66"/>
      <c r="G2262" s="63"/>
      <c r="H2262" s="67"/>
      <c r="I2262" s="68"/>
      <c r="J2262" s="68"/>
      <c r="K2262" s="32"/>
      <c r="L2262" s="75">
        <v>2262</v>
      </c>
      <c r="M2262" s="75"/>
      <c r="N2262" s="70"/>
      <c r="O2262" s="77" t="s">
        <v>179</v>
      </c>
      <c r="P2262" s="79">
        <v>45051.862523148149</v>
      </c>
      <c r="Q2262" s="77" t="s">
        <v>4100</v>
      </c>
      <c r="R2262" s="77">
        <v>0</v>
      </c>
      <c r="S2262" s="77">
        <v>0</v>
      </c>
      <c r="T2262" s="77">
        <v>0</v>
      </c>
      <c r="U2262" s="77">
        <v>0</v>
      </c>
      <c r="V2262" s="77">
        <v>58</v>
      </c>
      <c r="W2262" s="80" t="s">
        <v>5884</v>
      </c>
      <c r="X2262" s="83" t="str">
        <f>HYPERLINK("https://www.diariotag.com/154264-el-banco-central-freno-la-perdida-de-dolares-y-el-blue-se-estabilizo-pero-la-semana-fue-negativa")</f>
        <v>https://www.diariotag.com/154264-el-banco-central-freno-la-perdida-de-dolares-y-el-blue-se-estabilizo-pero-la-semana-fue-negativa</v>
      </c>
      <c r="Y2262" s="77" t="s">
        <v>8772</v>
      </c>
      <c r="Z2262" s="77"/>
      <c r="AA2262" s="77"/>
      <c r="AB2262" s="77"/>
      <c r="AC2262" s="80" t="s">
        <v>10541</v>
      </c>
      <c r="AD2262" s="77" t="s">
        <v>10620</v>
      </c>
      <c r="AE2262" s="83" t="str">
        <f>HYPERLINK("https://twitter.com/diariotag/status/1654587276406530055")</f>
        <v>https://twitter.com/diariotag/status/1654587276406530055</v>
      </c>
      <c r="AF2262" s="79">
        <v>45051.862523148149</v>
      </c>
      <c r="AG2262" s="85">
        <v>45051</v>
      </c>
      <c r="AH2262" s="80" t="s">
        <v>12623</v>
      </c>
      <c r="AI2262" s="77" t="b">
        <v>0</v>
      </c>
      <c r="AJ2262" s="77"/>
      <c r="AK2262" s="77"/>
      <c r="AL2262" s="77"/>
      <c r="AM2262" s="77"/>
      <c r="AN2262" s="77"/>
      <c r="AO2262" s="77"/>
      <c r="AP2262" s="77"/>
      <c r="AQ2262" s="77"/>
      <c r="AR2262" s="77"/>
      <c r="AS2262" s="77"/>
      <c r="AT2262" s="77"/>
      <c r="AU2262" s="77"/>
      <c r="AV2262" s="83" t="str">
        <f>HYPERLINK("https://pbs.twimg.com/profile_images/1474363421466533897/zfacTerW_normal.jpg")</f>
        <v>https://pbs.twimg.com/profile_images/1474363421466533897/zfacTerW_normal.jpg</v>
      </c>
      <c r="AW2262" s="80" t="s">
        <v>18087</v>
      </c>
      <c r="AX2262" s="80" t="s">
        <v>18087</v>
      </c>
      <c r="AY2262" s="77"/>
      <c r="AZ2262" s="80" t="s">
        <v>20380</v>
      </c>
      <c r="BA2262" s="80" t="s">
        <v>20380</v>
      </c>
      <c r="BB2262" s="80" t="s">
        <v>20380</v>
      </c>
      <c r="BC2262" s="80" t="s">
        <v>18087</v>
      </c>
      <c r="BD2262" s="77">
        <v>2695707476</v>
      </c>
      <c r="BE2262" s="77"/>
      <c r="BF2262" s="77"/>
      <c r="BG2262" s="77"/>
      <c r="BH2262" s="77"/>
      <c r="BI2262" s="77"/>
    </row>
    <row r="2263" spans="1:61" x14ac:dyDescent="0.25">
      <c r="A2263" s="62" t="s">
        <v>919</v>
      </c>
      <c r="B2263" s="62" t="s">
        <v>919</v>
      </c>
      <c r="C2263" s="63"/>
      <c r="D2263" s="64"/>
      <c r="E2263" s="65"/>
      <c r="F2263" s="66"/>
      <c r="G2263" s="63"/>
      <c r="H2263" s="67"/>
      <c r="I2263" s="68"/>
      <c r="J2263" s="68"/>
      <c r="K2263" s="32"/>
      <c r="L2263" s="75">
        <v>2263</v>
      </c>
      <c r="M2263" s="75"/>
      <c r="N2263" s="70"/>
      <c r="O2263" s="77" t="s">
        <v>179</v>
      </c>
      <c r="P2263" s="79">
        <v>45125.523865740739</v>
      </c>
      <c r="Q2263" s="77" t="s">
        <v>4101</v>
      </c>
      <c r="R2263" s="77">
        <v>0</v>
      </c>
      <c r="S2263" s="77">
        <v>0</v>
      </c>
      <c r="T2263" s="77">
        <v>0</v>
      </c>
      <c r="U2263" s="77">
        <v>0</v>
      </c>
      <c r="V2263" s="77">
        <v>59</v>
      </c>
      <c r="W2263" s="80" t="s">
        <v>7155</v>
      </c>
      <c r="X2263" s="83" t="str">
        <f>HYPERLINK("https://www.diariotag.com/157043-las-reservas-del-banco-central-continuan-en-caida-y-presionan-al-gobierno-para-acordar-con-el-fmi")</f>
        <v>https://www.diariotag.com/157043-las-reservas-del-banco-central-continuan-en-caida-y-presionan-al-gobierno-para-acordar-con-el-fmi</v>
      </c>
      <c r="Y2263" s="77" t="s">
        <v>8772</v>
      </c>
      <c r="Z2263" s="77"/>
      <c r="AA2263" s="77"/>
      <c r="AB2263" s="77"/>
      <c r="AC2263" s="80" t="s">
        <v>10541</v>
      </c>
      <c r="AD2263" s="77" t="s">
        <v>10620</v>
      </c>
      <c r="AE2263" s="83" t="str">
        <f>HYPERLINK("https://twitter.com/diariotag/status/1681281253172039680")</f>
        <v>https://twitter.com/diariotag/status/1681281253172039680</v>
      </c>
      <c r="AF2263" s="79">
        <v>45125.523865740739</v>
      </c>
      <c r="AG2263" s="85">
        <v>45125</v>
      </c>
      <c r="AH2263" s="80" t="s">
        <v>12624</v>
      </c>
      <c r="AI2263" s="77" t="b">
        <v>0</v>
      </c>
      <c r="AJ2263" s="77"/>
      <c r="AK2263" s="77"/>
      <c r="AL2263" s="77"/>
      <c r="AM2263" s="77"/>
      <c r="AN2263" s="77"/>
      <c r="AO2263" s="77"/>
      <c r="AP2263" s="77"/>
      <c r="AQ2263" s="77"/>
      <c r="AR2263" s="77"/>
      <c r="AS2263" s="77"/>
      <c r="AT2263" s="77"/>
      <c r="AU2263" s="77"/>
      <c r="AV2263" s="83" t="str">
        <f>HYPERLINK("https://pbs.twimg.com/profile_images/1474363421466533897/zfacTerW_normal.jpg")</f>
        <v>https://pbs.twimg.com/profile_images/1474363421466533897/zfacTerW_normal.jpg</v>
      </c>
      <c r="AW2263" s="80" t="s">
        <v>18088</v>
      </c>
      <c r="AX2263" s="80" t="s">
        <v>18088</v>
      </c>
      <c r="AY2263" s="77"/>
      <c r="AZ2263" s="80" t="s">
        <v>20380</v>
      </c>
      <c r="BA2263" s="80" t="s">
        <v>20380</v>
      </c>
      <c r="BB2263" s="80" t="s">
        <v>20380</v>
      </c>
      <c r="BC2263" s="80" t="s">
        <v>18088</v>
      </c>
      <c r="BD2263" s="77">
        <v>2695707476</v>
      </c>
      <c r="BE2263" s="77"/>
      <c r="BF2263" s="77"/>
      <c r="BG2263" s="77"/>
      <c r="BH2263" s="77"/>
      <c r="BI2263" s="77"/>
    </row>
    <row r="2264" spans="1:61" x14ac:dyDescent="0.25">
      <c r="A2264" s="62" t="s">
        <v>919</v>
      </c>
      <c r="B2264" s="62" t="s">
        <v>919</v>
      </c>
      <c r="C2264" s="63"/>
      <c r="D2264" s="64"/>
      <c r="E2264" s="65"/>
      <c r="F2264" s="66"/>
      <c r="G2264" s="63"/>
      <c r="H2264" s="67"/>
      <c r="I2264" s="68"/>
      <c r="J2264" s="68"/>
      <c r="K2264" s="32"/>
      <c r="L2264" s="75">
        <v>2264</v>
      </c>
      <c r="M2264" s="75"/>
      <c r="N2264" s="70"/>
      <c r="O2264" s="77" t="s">
        <v>179</v>
      </c>
      <c r="P2264" s="79">
        <v>45189.931770833333</v>
      </c>
      <c r="Q2264" s="77" t="s">
        <v>4102</v>
      </c>
      <c r="R2264" s="77">
        <v>1</v>
      </c>
      <c r="S2264" s="77">
        <v>0</v>
      </c>
      <c r="T2264" s="77">
        <v>0</v>
      </c>
      <c r="U2264" s="77">
        <v>0</v>
      </c>
      <c r="V2264" s="77">
        <v>46</v>
      </c>
      <c r="W2264" s="80" t="s">
        <v>7335</v>
      </c>
      <c r="X2264" s="83" t="str">
        <f>HYPERLINK("https://www.diariotag.com/159514-el-banco-central-continua-en-racha-positiva-y-en-lo-que-va-del-mes-compro-ud-513-millones-")</f>
        <v>https://www.diariotag.com/159514-el-banco-central-continua-en-racha-positiva-y-en-lo-que-va-del-mes-compro-ud-513-millones-</v>
      </c>
      <c r="Y2264" s="77" t="s">
        <v>8772</v>
      </c>
      <c r="Z2264" s="77"/>
      <c r="AA2264" s="77"/>
      <c r="AB2264" s="77"/>
      <c r="AC2264" s="80" t="s">
        <v>10541</v>
      </c>
      <c r="AD2264" s="77" t="s">
        <v>10620</v>
      </c>
      <c r="AE2264" s="83" t="str">
        <f>HYPERLINK("https://twitter.com/diariotag/status/1704621897839673712")</f>
        <v>https://twitter.com/diariotag/status/1704621897839673712</v>
      </c>
      <c r="AF2264" s="79">
        <v>45189.931770833333</v>
      </c>
      <c r="AG2264" s="85">
        <v>45189</v>
      </c>
      <c r="AH2264" s="80" t="s">
        <v>12625</v>
      </c>
      <c r="AI2264" s="77" t="b">
        <v>0</v>
      </c>
      <c r="AJ2264" s="77"/>
      <c r="AK2264" s="77"/>
      <c r="AL2264" s="77"/>
      <c r="AM2264" s="77"/>
      <c r="AN2264" s="77"/>
      <c r="AO2264" s="77"/>
      <c r="AP2264" s="77"/>
      <c r="AQ2264" s="77"/>
      <c r="AR2264" s="77"/>
      <c r="AS2264" s="77"/>
      <c r="AT2264" s="77"/>
      <c r="AU2264" s="77"/>
      <c r="AV2264" s="83" t="str">
        <f>HYPERLINK("https://pbs.twimg.com/profile_images/1474363421466533897/zfacTerW_normal.jpg")</f>
        <v>https://pbs.twimg.com/profile_images/1474363421466533897/zfacTerW_normal.jpg</v>
      </c>
      <c r="AW2264" s="80" t="s">
        <v>18089</v>
      </c>
      <c r="AX2264" s="80" t="s">
        <v>18089</v>
      </c>
      <c r="AY2264" s="77"/>
      <c r="AZ2264" s="80" t="s">
        <v>20380</v>
      </c>
      <c r="BA2264" s="80" t="s">
        <v>20380</v>
      </c>
      <c r="BB2264" s="80" t="s">
        <v>20380</v>
      </c>
      <c r="BC2264" s="80" t="s">
        <v>18089</v>
      </c>
      <c r="BD2264" s="77">
        <v>2695707476</v>
      </c>
      <c r="BE2264" s="77"/>
      <c r="BF2264" s="77"/>
      <c r="BG2264" s="77"/>
      <c r="BH2264" s="77"/>
      <c r="BI2264" s="77"/>
    </row>
    <row r="2265" spans="1:61" x14ac:dyDescent="0.25">
      <c r="A2265" s="62" t="s">
        <v>919</v>
      </c>
      <c r="B2265" s="62" t="s">
        <v>919</v>
      </c>
      <c r="C2265" s="63"/>
      <c r="D2265" s="64"/>
      <c r="E2265" s="65"/>
      <c r="F2265" s="66"/>
      <c r="G2265" s="63"/>
      <c r="H2265" s="67"/>
      <c r="I2265" s="68"/>
      <c r="J2265" s="68"/>
      <c r="K2265" s="32"/>
      <c r="L2265" s="75">
        <v>2265</v>
      </c>
      <c r="M2265" s="75"/>
      <c r="N2265" s="70"/>
      <c r="O2265" s="77" t="s">
        <v>179</v>
      </c>
      <c r="P2265" s="79">
        <v>45196.82675925926</v>
      </c>
      <c r="Q2265" s="77" t="s">
        <v>4103</v>
      </c>
      <c r="R2265" s="77">
        <v>0</v>
      </c>
      <c r="S2265" s="77">
        <v>0</v>
      </c>
      <c r="T2265" s="77">
        <v>0</v>
      </c>
      <c r="U2265" s="77">
        <v>0</v>
      </c>
      <c r="V2265" s="77">
        <v>44</v>
      </c>
      <c r="W2265" s="80" t="s">
        <v>7336</v>
      </c>
      <c r="X2265" s="83" t="str">
        <f>HYPERLINK("https://www.diariotag.com/159739-galperin-logro-un-acuerdo-con-massa-y-la-medida-del-banco-central-dara-marcha-atras-")</f>
        <v>https://www.diariotag.com/159739-galperin-logro-un-acuerdo-con-massa-y-la-medida-del-banco-central-dara-marcha-atras-</v>
      </c>
      <c r="Y2265" s="77" t="s">
        <v>8772</v>
      </c>
      <c r="Z2265" s="77"/>
      <c r="AA2265" s="77"/>
      <c r="AB2265" s="77"/>
      <c r="AC2265" s="80" t="s">
        <v>10541</v>
      </c>
      <c r="AD2265" s="77" t="s">
        <v>10620</v>
      </c>
      <c r="AE2265" s="83" t="str">
        <f>HYPERLINK("https://twitter.com/diariotag/status/1707120556334616707")</f>
        <v>https://twitter.com/diariotag/status/1707120556334616707</v>
      </c>
      <c r="AF2265" s="79">
        <v>45196.82675925926</v>
      </c>
      <c r="AG2265" s="85">
        <v>45196</v>
      </c>
      <c r="AH2265" s="80" t="s">
        <v>12626</v>
      </c>
      <c r="AI2265" s="77" t="b">
        <v>0</v>
      </c>
      <c r="AJ2265" s="77"/>
      <c r="AK2265" s="77"/>
      <c r="AL2265" s="77"/>
      <c r="AM2265" s="77"/>
      <c r="AN2265" s="77"/>
      <c r="AO2265" s="77"/>
      <c r="AP2265" s="77"/>
      <c r="AQ2265" s="77"/>
      <c r="AR2265" s="77"/>
      <c r="AS2265" s="77"/>
      <c r="AT2265" s="77"/>
      <c r="AU2265" s="77"/>
      <c r="AV2265" s="83" t="str">
        <f>HYPERLINK("https://pbs.twimg.com/profile_images/1474363421466533897/zfacTerW_normal.jpg")</f>
        <v>https://pbs.twimg.com/profile_images/1474363421466533897/zfacTerW_normal.jpg</v>
      </c>
      <c r="AW2265" s="80" t="s">
        <v>18090</v>
      </c>
      <c r="AX2265" s="80" t="s">
        <v>18090</v>
      </c>
      <c r="AY2265" s="77"/>
      <c r="AZ2265" s="80" t="s">
        <v>20380</v>
      </c>
      <c r="BA2265" s="80" t="s">
        <v>20380</v>
      </c>
      <c r="BB2265" s="80" t="s">
        <v>20380</v>
      </c>
      <c r="BC2265" s="80" t="s">
        <v>18090</v>
      </c>
      <c r="BD2265" s="77">
        <v>2695707476</v>
      </c>
      <c r="BE2265" s="77"/>
      <c r="BF2265" s="77"/>
      <c r="BG2265" s="77"/>
      <c r="BH2265" s="77"/>
      <c r="BI2265" s="77"/>
    </row>
    <row r="2266" spans="1:61" x14ac:dyDescent="0.25">
      <c r="A2266" s="62" t="s">
        <v>919</v>
      </c>
      <c r="B2266" s="62" t="s">
        <v>919</v>
      </c>
      <c r="C2266" s="63"/>
      <c r="D2266" s="64"/>
      <c r="E2266" s="65"/>
      <c r="F2266" s="66"/>
      <c r="G2266" s="63"/>
      <c r="H2266" s="67"/>
      <c r="I2266" s="68"/>
      <c r="J2266" s="68"/>
      <c r="K2266" s="32"/>
      <c r="L2266" s="75">
        <v>2266</v>
      </c>
      <c r="M2266" s="75"/>
      <c r="N2266" s="70"/>
      <c r="O2266" s="77" t="s">
        <v>179</v>
      </c>
      <c r="P2266" s="79">
        <v>45152.837430555555</v>
      </c>
      <c r="Q2266" s="77" t="s">
        <v>4104</v>
      </c>
      <c r="R2266" s="77">
        <v>0</v>
      </c>
      <c r="S2266" s="77">
        <v>0</v>
      </c>
      <c r="T2266" s="77">
        <v>0</v>
      </c>
      <c r="U2266" s="77">
        <v>0</v>
      </c>
      <c r="V2266" s="77">
        <v>260</v>
      </c>
      <c r="W2266" s="80" t="s">
        <v>7337</v>
      </c>
      <c r="X2266" s="83" t="str">
        <f>HYPERLINK("https://www.diariotag.com/158058-plazo-fijo-con-el-interes-del-118-cuanto-gano-si-invierto-100-mil-pesos")</f>
        <v>https://www.diariotag.com/158058-plazo-fijo-con-el-interes-del-118-cuanto-gano-si-invierto-100-mil-pesos</v>
      </c>
      <c r="Y2266" s="77" t="s">
        <v>8772</v>
      </c>
      <c r="Z2266" s="77"/>
      <c r="AA2266" s="77"/>
      <c r="AB2266" s="77"/>
      <c r="AC2266" s="80" t="s">
        <v>10541</v>
      </c>
      <c r="AD2266" s="77" t="s">
        <v>10620</v>
      </c>
      <c r="AE2266" s="83" t="str">
        <f>HYPERLINK("https://twitter.com/diariotag/status/1691179360567402496")</f>
        <v>https://twitter.com/diariotag/status/1691179360567402496</v>
      </c>
      <c r="AF2266" s="79">
        <v>45152.837430555555</v>
      </c>
      <c r="AG2266" s="85">
        <v>45152</v>
      </c>
      <c r="AH2266" s="80" t="s">
        <v>12627</v>
      </c>
      <c r="AI2266" s="77" t="b">
        <v>0</v>
      </c>
      <c r="AJ2266" s="77"/>
      <c r="AK2266" s="77"/>
      <c r="AL2266" s="77"/>
      <c r="AM2266" s="77"/>
      <c r="AN2266" s="77"/>
      <c r="AO2266" s="77"/>
      <c r="AP2266" s="77"/>
      <c r="AQ2266" s="77"/>
      <c r="AR2266" s="77"/>
      <c r="AS2266" s="77"/>
      <c r="AT2266" s="77"/>
      <c r="AU2266" s="77"/>
      <c r="AV2266" s="83" t="str">
        <f>HYPERLINK("https://pbs.twimg.com/profile_images/1474363421466533897/zfacTerW_normal.jpg")</f>
        <v>https://pbs.twimg.com/profile_images/1474363421466533897/zfacTerW_normal.jpg</v>
      </c>
      <c r="AW2266" s="80" t="s">
        <v>18091</v>
      </c>
      <c r="AX2266" s="80" t="s">
        <v>18091</v>
      </c>
      <c r="AY2266" s="77"/>
      <c r="AZ2266" s="80" t="s">
        <v>20380</v>
      </c>
      <c r="BA2266" s="80" t="s">
        <v>20380</v>
      </c>
      <c r="BB2266" s="80" t="s">
        <v>20380</v>
      </c>
      <c r="BC2266" s="80" t="s">
        <v>18091</v>
      </c>
      <c r="BD2266" s="77">
        <v>2695707476</v>
      </c>
      <c r="BE2266" s="77"/>
      <c r="BF2266" s="77"/>
      <c r="BG2266" s="77"/>
      <c r="BH2266" s="77"/>
      <c r="BI2266" s="77"/>
    </row>
    <row r="2267" spans="1:61" x14ac:dyDescent="0.25">
      <c r="A2267" s="62" t="s">
        <v>920</v>
      </c>
      <c r="B2267" s="62" t="s">
        <v>919</v>
      </c>
      <c r="C2267" s="63"/>
      <c r="D2267" s="64"/>
      <c r="E2267" s="65"/>
      <c r="F2267" s="66"/>
      <c r="G2267" s="63"/>
      <c r="H2267" s="67"/>
      <c r="I2267" s="68"/>
      <c r="J2267" s="68"/>
      <c r="K2267" s="32"/>
      <c r="L2267" s="75">
        <v>2267</v>
      </c>
      <c r="M2267" s="75"/>
      <c r="N2267" s="70"/>
      <c r="O2267" s="77" t="s">
        <v>2083</v>
      </c>
      <c r="P2267" s="79">
        <v>45189.945833333331</v>
      </c>
      <c r="Q2267" s="77" t="s">
        <v>4105</v>
      </c>
      <c r="R2267" s="77">
        <v>1</v>
      </c>
      <c r="S2267" s="77">
        <v>0</v>
      </c>
      <c r="T2267" s="77">
        <v>0</v>
      </c>
      <c r="U2267" s="77">
        <v>0</v>
      </c>
      <c r="V2267" s="77"/>
      <c r="W2267" s="80" t="s">
        <v>7335</v>
      </c>
      <c r="X2267" s="77"/>
      <c r="Y2267" s="77"/>
      <c r="Z2267" s="77" t="s">
        <v>919</v>
      </c>
      <c r="AA2267" s="77"/>
      <c r="AB2267" s="77"/>
      <c r="AC2267" s="80" t="s">
        <v>10540</v>
      </c>
      <c r="AD2267" s="77" t="s">
        <v>10620</v>
      </c>
      <c r="AE2267" s="83" t="str">
        <f>HYPERLINK("https://twitter.com/infonoticiasarg/status/1704626992644051205")</f>
        <v>https://twitter.com/infonoticiasarg/status/1704626992644051205</v>
      </c>
      <c r="AF2267" s="79">
        <v>45189.945833333331</v>
      </c>
      <c r="AG2267" s="85">
        <v>45189</v>
      </c>
      <c r="AH2267" s="80" t="s">
        <v>12628</v>
      </c>
      <c r="AI2267" s="77" t="b">
        <v>0</v>
      </c>
      <c r="AJ2267" s="77"/>
      <c r="AK2267" s="77"/>
      <c r="AL2267" s="77"/>
      <c r="AM2267" s="77"/>
      <c r="AN2267" s="77"/>
      <c r="AO2267" s="77"/>
      <c r="AP2267" s="77"/>
      <c r="AQ2267" s="77"/>
      <c r="AR2267" s="77"/>
      <c r="AS2267" s="77"/>
      <c r="AT2267" s="77"/>
      <c r="AU2267" s="77"/>
      <c r="AV2267" s="83" t="str">
        <f>HYPERLINK("https://pbs.twimg.com/profile_images/1254559122130898944/CjnKHAnt_normal.jpg")</f>
        <v>https://pbs.twimg.com/profile_images/1254559122130898944/CjnKHAnt_normal.jpg</v>
      </c>
      <c r="AW2267" s="80" t="s">
        <v>18092</v>
      </c>
      <c r="AX2267" s="80" t="s">
        <v>18092</v>
      </c>
      <c r="AY2267" s="77"/>
      <c r="AZ2267" s="80" t="s">
        <v>20380</v>
      </c>
      <c r="BA2267" s="80" t="s">
        <v>20380</v>
      </c>
      <c r="BB2267" s="80" t="s">
        <v>18089</v>
      </c>
      <c r="BC2267" s="80" t="s">
        <v>18089</v>
      </c>
      <c r="BD2267" s="77">
        <v>2351712487</v>
      </c>
      <c r="BE2267" s="77"/>
      <c r="BF2267" s="77"/>
      <c r="BG2267" s="77"/>
      <c r="BH2267" s="77"/>
      <c r="BI2267" s="77"/>
    </row>
    <row r="2268" spans="1:61" x14ac:dyDescent="0.25">
      <c r="A2268" s="62" t="s">
        <v>921</v>
      </c>
      <c r="B2268" s="62" t="s">
        <v>921</v>
      </c>
      <c r="C2268" s="63"/>
      <c r="D2268" s="64"/>
      <c r="E2268" s="65"/>
      <c r="F2268" s="66"/>
      <c r="G2268" s="63"/>
      <c r="H2268" s="67"/>
      <c r="I2268" s="68"/>
      <c r="J2268" s="68"/>
      <c r="K2268" s="32"/>
      <c r="L2268" s="75">
        <v>2268</v>
      </c>
      <c r="M2268" s="75"/>
      <c r="N2268" s="70"/>
      <c r="O2268" s="77" t="s">
        <v>179</v>
      </c>
      <c r="P2268" s="79">
        <v>45079.698148148149</v>
      </c>
      <c r="Q2268" s="77" t="s">
        <v>4106</v>
      </c>
      <c r="R2268" s="77">
        <v>0</v>
      </c>
      <c r="S2268" s="77">
        <v>0</v>
      </c>
      <c r="T2268" s="77">
        <v>0</v>
      </c>
      <c r="U2268" s="77">
        <v>0</v>
      </c>
      <c r="V2268" s="77">
        <v>82</v>
      </c>
      <c r="W2268" s="80" t="s">
        <v>7338</v>
      </c>
      <c r="X2268" s="77"/>
      <c r="Y2268" s="77"/>
      <c r="Z2268" s="77"/>
      <c r="AA2268" s="77" t="s">
        <v>9673</v>
      </c>
      <c r="AB2268" s="77" t="s">
        <v>10535</v>
      </c>
      <c r="AC2268" s="80" t="s">
        <v>10541</v>
      </c>
      <c r="AD2268" s="77" t="s">
        <v>10620</v>
      </c>
      <c r="AE2268" s="83" t="str">
        <f>HYPERLINK("https://twitter.com/canalecos/status/1664674570895347712")</f>
        <v>https://twitter.com/canalecos/status/1664674570895347712</v>
      </c>
      <c r="AF2268" s="79">
        <v>45079.698148148149</v>
      </c>
      <c r="AG2268" s="85">
        <v>45079</v>
      </c>
      <c r="AH2268" s="80" t="s">
        <v>12629</v>
      </c>
      <c r="AI2268" s="77" t="b">
        <v>0</v>
      </c>
      <c r="AJ2268" s="77"/>
      <c r="AK2268" s="77"/>
      <c r="AL2268" s="77"/>
      <c r="AM2268" s="77"/>
      <c r="AN2268" s="77"/>
      <c r="AO2268" s="77"/>
      <c r="AP2268" s="77"/>
      <c r="AQ2268" s="77" t="s">
        <v>15155</v>
      </c>
      <c r="AR2268" s="77"/>
      <c r="AS2268" s="77"/>
      <c r="AT2268" s="77"/>
      <c r="AU2268" s="77"/>
      <c r="AV2268" s="83" t="str">
        <f>HYPERLINK("https://pbs.twimg.com/media/Fxocsn6WAAckB5T.jpg")</f>
        <v>https://pbs.twimg.com/media/Fxocsn6WAAckB5T.jpg</v>
      </c>
      <c r="AW2268" s="80" t="s">
        <v>18093</v>
      </c>
      <c r="AX2268" s="80" t="s">
        <v>18093</v>
      </c>
      <c r="AY2268" s="77"/>
      <c r="AZ2268" s="80" t="s">
        <v>20380</v>
      </c>
      <c r="BA2268" s="80" t="s">
        <v>20380</v>
      </c>
      <c r="BB2268" s="80" t="s">
        <v>20380</v>
      </c>
      <c r="BC2268" s="80" t="s">
        <v>18093</v>
      </c>
      <c r="BD2268" s="80" t="s">
        <v>20831</v>
      </c>
      <c r="BE2268" s="77"/>
      <c r="BF2268" s="77"/>
      <c r="BG2268" s="77"/>
      <c r="BH2268" s="77"/>
      <c r="BI2268" s="77"/>
    </row>
    <row r="2269" spans="1:61" x14ac:dyDescent="0.25">
      <c r="A2269" s="62" t="s">
        <v>921</v>
      </c>
      <c r="B2269" s="62" t="s">
        <v>921</v>
      </c>
      <c r="C2269" s="63"/>
      <c r="D2269" s="64"/>
      <c r="E2269" s="65"/>
      <c r="F2269" s="66"/>
      <c r="G2269" s="63"/>
      <c r="H2269" s="67"/>
      <c r="I2269" s="68"/>
      <c r="J2269" s="68"/>
      <c r="K2269" s="32"/>
      <c r="L2269" s="75">
        <v>2269</v>
      </c>
      <c r="M2269" s="75"/>
      <c r="N2269" s="70"/>
      <c r="O2269" s="77" t="s">
        <v>179</v>
      </c>
      <c r="P2269" s="79">
        <v>45166.828576388885</v>
      </c>
      <c r="Q2269" s="77" t="s">
        <v>4107</v>
      </c>
      <c r="R2269" s="77">
        <v>0</v>
      </c>
      <c r="S2269" s="77">
        <v>0</v>
      </c>
      <c r="T2269" s="77">
        <v>0</v>
      </c>
      <c r="U2269" s="77">
        <v>0</v>
      </c>
      <c r="V2269" s="77">
        <v>4</v>
      </c>
      <c r="W2269" s="80" t="s">
        <v>7339</v>
      </c>
      <c r="X2269" s="77"/>
      <c r="Y2269" s="77"/>
      <c r="Z2269" s="77"/>
      <c r="AA2269" s="77" t="s">
        <v>9674</v>
      </c>
      <c r="AB2269" s="77" t="s">
        <v>10535</v>
      </c>
      <c r="AC2269" s="80" t="s">
        <v>10541</v>
      </c>
      <c r="AD2269" s="77" t="s">
        <v>10620</v>
      </c>
      <c r="AE2269" s="83" t="str">
        <f>HYPERLINK("https://twitter.com/canalecos/status/1696249580218683392")</f>
        <v>https://twitter.com/canalecos/status/1696249580218683392</v>
      </c>
      <c r="AF2269" s="79">
        <v>45166.828576388885</v>
      </c>
      <c r="AG2269" s="85">
        <v>45166</v>
      </c>
      <c r="AH2269" s="80" t="s">
        <v>12630</v>
      </c>
      <c r="AI2269" s="77" t="b">
        <v>0</v>
      </c>
      <c r="AJ2269" s="77"/>
      <c r="AK2269" s="77"/>
      <c r="AL2269" s="77"/>
      <c r="AM2269" s="77"/>
      <c r="AN2269" s="77"/>
      <c r="AO2269" s="77"/>
      <c r="AP2269" s="77"/>
      <c r="AQ2269" s="77" t="s">
        <v>15156</v>
      </c>
      <c r="AR2269" s="77"/>
      <c r="AS2269" s="77"/>
      <c r="AT2269" s="77"/>
      <c r="AU2269" s="77"/>
      <c r="AV2269" s="83" t="str">
        <f>HYPERLINK("https://pbs.twimg.com/media/F4pJxjWXcAAvJF2.jpg")</f>
        <v>https://pbs.twimg.com/media/F4pJxjWXcAAvJF2.jpg</v>
      </c>
      <c r="AW2269" s="80" t="s">
        <v>18094</v>
      </c>
      <c r="AX2269" s="80" t="s">
        <v>18094</v>
      </c>
      <c r="AY2269" s="77"/>
      <c r="AZ2269" s="80" t="s">
        <v>20380</v>
      </c>
      <c r="BA2269" s="80" t="s">
        <v>20380</v>
      </c>
      <c r="BB2269" s="80" t="s">
        <v>20380</v>
      </c>
      <c r="BC2269" s="80" t="s">
        <v>18094</v>
      </c>
      <c r="BD2269" s="80" t="s">
        <v>20831</v>
      </c>
      <c r="BE2269" s="77"/>
      <c r="BF2269" s="77"/>
      <c r="BG2269" s="77"/>
      <c r="BH2269" s="77"/>
      <c r="BI2269" s="77"/>
    </row>
    <row r="2270" spans="1:61" x14ac:dyDescent="0.25">
      <c r="A2270" s="62" t="s">
        <v>921</v>
      </c>
      <c r="B2270" s="62" t="s">
        <v>921</v>
      </c>
      <c r="C2270" s="63"/>
      <c r="D2270" s="64"/>
      <c r="E2270" s="65"/>
      <c r="F2270" s="66"/>
      <c r="G2270" s="63"/>
      <c r="H2270" s="67"/>
      <c r="I2270" s="68"/>
      <c r="J2270" s="68"/>
      <c r="K2270" s="32"/>
      <c r="L2270" s="75">
        <v>2270</v>
      </c>
      <c r="M2270" s="75"/>
      <c r="N2270" s="70"/>
      <c r="O2270" s="77" t="s">
        <v>179</v>
      </c>
      <c r="P2270" s="79">
        <v>45111.583541666667</v>
      </c>
      <c r="Q2270" s="77" t="s">
        <v>4108</v>
      </c>
      <c r="R2270" s="77">
        <v>0</v>
      </c>
      <c r="S2270" s="77">
        <v>0</v>
      </c>
      <c r="T2270" s="77">
        <v>0</v>
      </c>
      <c r="U2270" s="77">
        <v>0</v>
      </c>
      <c r="V2270" s="77">
        <v>35</v>
      </c>
      <c r="W2270" s="80" t="s">
        <v>7340</v>
      </c>
      <c r="X2270" s="77"/>
      <c r="Y2270" s="77"/>
      <c r="Z2270" s="77"/>
      <c r="AA2270" s="77" t="s">
        <v>9675</v>
      </c>
      <c r="AB2270" s="77" t="s">
        <v>10535</v>
      </c>
      <c r="AC2270" s="80" t="s">
        <v>10541</v>
      </c>
      <c r="AD2270" s="77" t="s">
        <v>10620</v>
      </c>
      <c r="AE2270" s="83" t="str">
        <f>HYPERLINK("https://twitter.com/canalecos/status/1676229452185960449")</f>
        <v>https://twitter.com/canalecos/status/1676229452185960449</v>
      </c>
      <c r="AF2270" s="79">
        <v>45111.583541666667</v>
      </c>
      <c r="AG2270" s="85">
        <v>45111</v>
      </c>
      <c r="AH2270" s="80" t="s">
        <v>12631</v>
      </c>
      <c r="AI2270" s="77" t="b">
        <v>0</v>
      </c>
      <c r="AJ2270" s="77"/>
      <c r="AK2270" s="77"/>
      <c r="AL2270" s="77"/>
      <c r="AM2270" s="77"/>
      <c r="AN2270" s="77"/>
      <c r="AO2270" s="77"/>
      <c r="AP2270" s="77"/>
      <c r="AQ2270" s="77" t="s">
        <v>15157</v>
      </c>
      <c r="AR2270" s="77"/>
      <c r="AS2270" s="77"/>
      <c r="AT2270" s="77"/>
      <c r="AU2270" s="77"/>
      <c r="AV2270" s="83" t="str">
        <f>HYPERLINK("https://pbs.twimg.com/media/F0MpzJSWIAAKGF4.jpg")</f>
        <v>https://pbs.twimg.com/media/F0MpzJSWIAAKGF4.jpg</v>
      </c>
      <c r="AW2270" s="80" t="s">
        <v>18095</v>
      </c>
      <c r="AX2270" s="80" t="s">
        <v>18095</v>
      </c>
      <c r="AY2270" s="77"/>
      <c r="AZ2270" s="80" t="s">
        <v>20380</v>
      </c>
      <c r="BA2270" s="80" t="s">
        <v>20380</v>
      </c>
      <c r="BB2270" s="80" t="s">
        <v>20380</v>
      </c>
      <c r="BC2270" s="80" t="s">
        <v>18095</v>
      </c>
      <c r="BD2270" s="80" t="s">
        <v>20831</v>
      </c>
      <c r="BE2270" s="77"/>
      <c r="BF2270" s="77"/>
      <c r="BG2270" s="77"/>
      <c r="BH2270" s="77"/>
      <c r="BI2270" s="77"/>
    </row>
    <row r="2271" spans="1:61" x14ac:dyDescent="0.25">
      <c r="A2271" s="62" t="s">
        <v>921</v>
      </c>
      <c r="B2271" s="62" t="s">
        <v>921</v>
      </c>
      <c r="C2271" s="63"/>
      <c r="D2271" s="64"/>
      <c r="E2271" s="65"/>
      <c r="F2271" s="66"/>
      <c r="G2271" s="63"/>
      <c r="H2271" s="67"/>
      <c r="I2271" s="68"/>
      <c r="J2271" s="68"/>
      <c r="K2271" s="32"/>
      <c r="L2271" s="75">
        <v>2271</v>
      </c>
      <c r="M2271" s="75"/>
      <c r="N2271" s="70"/>
      <c r="O2271" s="77" t="s">
        <v>179</v>
      </c>
      <c r="P2271" s="79">
        <v>45180.712835648148</v>
      </c>
      <c r="Q2271" s="77" t="s">
        <v>4109</v>
      </c>
      <c r="R2271" s="77">
        <v>0</v>
      </c>
      <c r="S2271" s="77">
        <v>0</v>
      </c>
      <c r="T2271" s="77">
        <v>0</v>
      </c>
      <c r="U2271" s="77">
        <v>0</v>
      </c>
      <c r="V2271" s="77">
        <v>11</v>
      </c>
      <c r="W2271" s="80" t="s">
        <v>7341</v>
      </c>
      <c r="X2271" s="77"/>
      <c r="Y2271" s="77"/>
      <c r="Z2271" s="77"/>
      <c r="AA2271" s="77" t="s">
        <v>9676</v>
      </c>
      <c r="AB2271" s="77" t="s">
        <v>10535</v>
      </c>
      <c r="AC2271" s="80" t="s">
        <v>10541</v>
      </c>
      <c r="AD2271" s="77" t="s">
        <v>10620</v>
      </c>
      <c r="AE2271" s="83" t="str">
        <f>HYPERLINK("https://twitter.com/canalecos/status/1701281067020197905")</f>
        <v>https://twitter.com/canalecos/status/1701281067020197905</v>
      </c>
      <c r="AF2271" s="79">
        <v>45180.712835648148</v>
      </c>
      <c r="AG2271" s="85">
        <v>45180</v>
      </c>
      <c r="AH2271" s="80" t="s">
        <v>12632</v>
      </c>
      <c r="AI2271" s="77" t="b">
        <v>0</v>
      </c>
      <c r="AJ2271" s="77"/>
      <c r="AK2271" s="77"/>
      <c r="AL2271" s="77"/>
      <c r="AM2271" s="77"/>
      <c r="AN2271" s="77"/>
      <c r="AO2271" s="77"/>
      <c r="AP2271" s="77"/>
      <c r="AQ2271" s="77" t="s">
        <v>15158</v>
      </c>
      <c r="AR2271" s="77"/>
      <c r="AS2271" s="77"/>
      <c r="AT2271" s="77"/>
      <c r="AU2271" s="77"/>
      <c r="AV2271" s="83" t="str">
        <f>HYPERLINK("https://pbs.twimg.com/media/F5wp_-sXEAALBwC.jpg")</f>
        <v>https://pbs.twimg.com/media/F5wp_-sXEAALBwC.jpg</v>
      </c>
      <c r="AW2271" s="80" t="s">
        <v>18096</v>
      </c>
      <c r="AX2271" s="80" t="s">
        <v>18096</v>
      </c>
      <c r="AY2271" s="77"/>
      <c r="AZ2271" s="80" t="s">
        <v>20380</v>
      </c>
      <c r="BA2271" s="80" t="s">
        <v>20380</v>
      </c>
      <c r="BB2271" s="80" t="s">
        <v>20380</v>
      </c>
      <c r="BC2271" s="80" t="s">
        <v>18096</v>
      </c>
      <c r="BD2271" s="80" t="s">
        <v>20831</v>
      </c>
      <c r="BE2271" s="77"/>
      <c r="BF2271" s="77"/>
      <c r="BG2271" s="77"/>
      <c r="BH2271" s="77"/>
      <c r="BI2271" s="77"/>
    </row>
    <row r="2272" spans="1:61" x14ac:dyDescent="0.25">
      <c r="A2272" s="62" t="s">
        <v>921</v>
      </c>
      <c r="B2272" s="62" t="s">
        <v>921</v>
      </c>
      <c r="C2272" s="63"/>
      <c r="D2272" s="64"/>
      <c r="E2272" s="65"/>
      <c r="F2272" s="66"/>
      <c r="G2272" s="63"/>
      <c r="H2272" s="67"/>
      <c r="I2272" s="68"/>
      <c r="J2272" s="68"/>
      <c r="K2272" s="32"/>
      <c r="L2272" s="75">
        <v>2272</v>
      </c>
      <c r="M2272" s="75"/>
      <c r="N2272" s="70"/>
      <c r="O2272" s="77" t="s">
        <v>179</v>
      </c>
      <c r="P2272" s="79">
        <v>45127.725451388891</v>
      </c>
      <c r="Q2272" s="77" t="s">
        <v>4110</v>
      </c>
      <c r="R2272" s="77">
        <v>0</v>
      </c>
      <c r="S2272" s="77">
        <v>0</v>
      </c>
      <c r="T2272" s="77">
        <v>0</v>
      </c>
      <c r="U2272" s="77">
        <v>0</v>
      </c>
      <c r="V2272" s="77">
        <v>256</v>
      </c>
      <c r="W2272" s="80" t="s">
        <v>7342</v>
      </c>
      <c r="X2272" s="77"/>
      <c r="Y2272" s="77"/>
      <c r="Z2272" s="77"/>
      <c r="AA2272" s="77" t="s">
        <v>9677</v>
      </c>
      <c r="AB2272" s="77" t="s">
        <v>10535</v>
      </c>
      <c r="AC2272" s="80" t="s">
        <v>10541</v>
      </c>
      <c r="AD2272" s="77" t="s">
        <v>10620</v>
      </c>
      <c r="AE2272" s="83" t="str">
        <f>HYPERLINK("https://twitter.com/canalecos/status/1682079084820439045")</f>
        <v>https://twitter.com/canalecos/status/1682079084820439045</v>
      </c>
      <c r="AF2272" s="79">
        <v>45127.725451388891</v>
      </c>
      <c r="AG2272" s="85">
        <v>45127</v>
      </c>
      <c r="AH2272" s="80" t="s">
        <v>12633</v>
      </c>
      <c r="AI2272" s="77" t="b">
        <v>0</v>
      </c>
      <c r="AJ2272" s="77"/>
      <c r="AK2272" s="77"/>
      <c r="AL2272" s="77"/>
      <c r="AM2272" s="77"/>
      <c r="AN2272" s="77"/>
      <c r="AO2272" s="77"/>
      <c r="AP2272" s="77"/>
      <c r="AQ2272" s="77" t="s">
        <v>15159</v>
      </c>
      <c r="AR2272" s="77"/>
      <c r="AS2272" s="77"/>
      <c r="AT2272" s="77"/>
      <c r="AU2272" s="77"/>
      <c r="AV2272" s="83" t="str">
        <f>HYPERLINK("https://pbs.twimg.com/media/F1fyAWWWIAEnrLh.jpg")</f>
        <v>https://pbs.twimg.com/media/F1fyAWWWIAEnrLh.jpg</v>
      </c>
      <c r="AW2272" s="80" t="s">
        <v>18097</v>
      </c>
      <c r="AX2272" s="80" t="s">
        <v>18097</v>
      </c>
      <c r="AY2272" s="77"/>
      <c r="AZ2272" s="80" t="s">
        <v>20380</v>
      </c>
      <c r="BA2272" s="80" t="s">
        <v>20380</v>
      </c>
      <c r="BB2272" s="80" t="s">
        <v>20380</v>
      </c>
      <c r="BC2272" s="80" t="s">
        <v>18097</v>
      </c>
      <c r="BD2272" s="80" t="s">
        <v>20831</v>
      </c>
      <c r="BE2272" s="77"/>
      <c r="BF2272" s="77"/>
      <c r="BG2272" s="77"/>
      <c r="BH2272" s="77"/>
      <c r="BI2272" s="77"/>
    </row>
    <row r="2273" spans="1:61" x14ac:dyDescent="0.25">
      <c r="A2273" s="62" t="s">
        <v>921</v>
      </c>
      <c r="B2273" s="62" t="s">
        <v>921</v>
      </c>
      <c r="C2273" s="63"/>
      <c r="D2273" s="64"/>
      <c r="E2273" s="65"/>
      <c r="F2273" s="66"/>
      <c r="G2273" s="63"/>
      <c r="H2273" s="67"/>
      <c r="I2273" s="68"/>
      <c r="J2273" s="68"/>
      <c r="K2273" s="32"/>
      <c r="L2273" s="75">
        <v>2273</v>
      </c>
      <c r="M2273" s="75"/>
      <c r="N2273" s="70"/>
      <c r="O2273" s="77" t="s">
        <v>179</v>
      </c>
      <c r="P2273" s="79">
        <v>45182.602430555555</v>
      </c>
      <c r="Q2273" s="77" t="s">
        <v>4111</v>
      </c>
      <c r="R2273" s="77">
        <v>0</v>
      </c>
      <c r="S2273" s="77">
        <v>0</v>
      </c>
      <c r="T2273" s="77">
        <v>0</v>
      </c>
      <c r="U2273" s="77">
        <v>0</v>
      </c>
      <c r="V2273" s="77">
        <v>15</v>
      </c>
      <c r="W2273" s="80" t="s">
        <v>7343</v>
      </c>
      <c r="X2273" s="77"/>
      <c r="Y2273" s="77"/>
      <c r="Z2273" s="77"/>
      <c r="AA2273" s="77" t="s">
        <v>9678</v>
      </c>
      <c r="AB2273" s="77" t="s">
        <v>10535</v>
      </c>
      <c r="AC2273" s="80" t="s">
        <v>10541</v>
      </c>
      <c r="AD2273" s="77" t="s">
        <v>10620</v>
      </c>
      <c r="AE2273" s="83" t="str">
        <f>HYPERLINK("https://twitter.com/canalecos/status/1701965835345027097")</f>
        <v>https://twitter.com/canalecos/status/1701965835345027097</v>
      </c>
      <c r="AF2273" s="79">
        <v>45182.602430555555</v>
      </c>
      <c r="AG2273" s="85">
        <v>45182</v>
      </c>
      <c r="AH2273" s="80" t="s">
        <v>12634</v>
      </c>
      <c r="AI2273" s="77" t="b">
        <v>0</v>
      </c>
      <c r="AJ2273" s="77"/>
      <c r="AK2273" s="77"/>
      <c r="AL2273" s="77"/>
      <c r="AM2273" s="77"/>
      <c r="AN2273" s="77"/>
      <c r="AO2273" s="77"/>
      <c r="AP2273" s="77"/>
      <c r="AQ2273" s="77" t="s">
        <v>15160</v>
      </c>
      <c r="AR2273" s="77"/>
      <c r="AS2273" s="77"/>
      <c r="AT2273" s="77"/>
      <c r="AU2273" s="77"/>
      <c r="AV2273" s="83" t="str">
        <f>HYPERLINK("https://pbs.twimg.com/media/F56Y5L7XQAEDUCh.jpg")</f>
        <v>https://pbs.twimg.com/media/F56Y5L7XQAEDUCh.jpg</v>
      </c>
      <c r="AW2273" s="80" t="s">
        <v>18098</v>
      </c>
      <c r="AX2273" s="80" t="s">
        <v>18098</v>
      </c>
      <c r="AY2273" s="77"/>
      <c r="AZ2273" s="80" t="s">
        <v>20380</v>
      </c>
      <c r="BA2273" s="80" t="s">
        <v>20380</v>
      </c>
      <c r="BB2273" s="80" t="s">
        <v>20380</v>
      </c>
      <c r="BC2273" s="80" t="s">
        <v>18098</v>
      </c>
      <c r="BD2273" s="80" t="s">
        <v>20831</v>
      </c>
      <c r="BE2273" s="77"/>
      <c r="BF2273" s="77"/>
      <c r="BG2273" s="77"/>
      <c r="BH2273" s="77"/>
      <c r="BI2273" s="77"/>
    </row>
    <row r="2274" spans="1:61" x14ac:dyDescent="0.25">
      <c r="A2274" s="62" t="s">
        <v>921</v>
      </c>
      <c r="B2274" s="62" t="s">
        <v>921</v>
      </c>
      <c r="C2274" s="63"/>
      <c r="D2274" s="64"/>
      <c r="E2274" s="65"/>
      <c r="F2274" s="66"/>
      <c r="G2274" s="63"/>
      <c r="H2274" s="67"/>
      <c r="I2274" s="68"/>
      <c r="J2274" s="68"/>
      <c r="K2274" s="32"/>
      <c r="L2274" s="75">
        <v>2274</v>
      </c>
      <c r="M2274" s="75"/>
      <c r="N2274" s="70"/>
      <c r="O2274" s="77" t="s">
        <v>179</v>
      </c>
      <c r="P2274" s="79">
        <v>45131.578113425923</v>
      </c>
      <c r="Q2274" s="77" t="s">
        <v>4112</v>
      </c>
      <c r="R2274" s="77">
        <v>0</v>
      </c>
      <c r="S2274" s="77">
        <v>0</v>
      </c>
      <c r="T2274" s="77">
        <v>0</v>
      </c>
      <c r="U2274" s="77">
        <v>0</v>
      </c>
      <c r="V2274" s="77">
        <v>35</v>
      </c>
      <c r="W2274" s="80" t="s">
        <v>7344</v>
      </c>
      <c r="X2274" s="77"/>
      <c r="Y2274" s="77"/>
      <c r="Z2274" s="77"/>
      <c r="AA2274" s="77" t="s">
        <v>9679</v>
      </c>
      <c r="AB2274" s="77" t="s">
        <v>10535</v>
      </c>
      <c r="AC2274" s="80" t="s">
        <v>10541</v>
      </c>
      <c r="AD2274" s="77" t="s">
        <v>10620</v>
      </c>
      <c r="AE2274" s="83" t="str">
        <f>HYPERLINK("https://twitter.com/canalecos/status/1683475241509564416")</f>
        <v>https://twitter.com/canalecos/status/1683475241509564416</v>
      </c>
      <c r="AF2274" s="79">
        <v>45131.578113425923</v>
      </c>
      <c r="AG2274" s="85">
        <v>45131</v>
      </c>
      <c r="AH2274" s="80" t="s">
        <v>12635</v>
      </c>
      <c r="AI2274" s="77" t="b">
        <v>0</v>
      </c>
      <c r="AJ2274" s="77"/>
      <c r="AK2274" s="77"/>
      <c r="AL2274" s="77"/>
      <c r="AM2274" s="77"/>
      <c r="AN2274" s="77"/>
      <c r="AO2274" s="77"/>
      <c r="AP2274" s="77"/>
      <c r="AQ2274" s="77" t="s">
        <v>15161</v>
      </c>
      <c r="AR2274" s="77"/>
      <c r="AS2274" s="77"/>
      <c r="AT2274" s="77"/>
      <c r="AU2274" s="77"/>
      <c r="AV2274" s="83" t="str">
        <f>HYPERLINK("https://pbs.twimg.com/media/F1znzp6WIAMf-nC.jpg")</f>
        <v>https://pbs.twimg.com/media/F1znzp6WIAMf-nC.jpg</v>
      </c>
      <c r="AW2274" s="80" t="s">
        <v>18099</v>
      </c>
      <c r="AX2274" s="80" t="s">
        <v>18099</v>
      </c>
      <c r="AY2274" s="77"/>
      <c r="AZ2274" s="80" t="s">
        <v>20380</v>
      </c>
      <c r="BA2274" s="80" t="s">
        <v>20380</v>
      </c>
      <c r="BB2274" s="80" t="s">
        <v>20380</v>
      </c>
      <c r="BC2274" s="80" t="s">
        <v>18099</v>
      </c>
      <c r="BD2274" s="80" t="s">
        <v>20831</v>
      </c>
      <c r="BE2274" s="77"/>
      <c r="BF2274" s="77"/>
      <c r="BG2274" s="77"/>
      <c r="BH2274" s="77"/>
      <c r="BI2274" s="77"/>
    </row>
    <row r="2275" spans="1:61" x14ac:dyDescent="0.25">
      <c r="A2275" s="62" t="s">
        <v>921</v>
      </c>
      <c r="B2275" s="62" t="s">
        <v>921</v>
      </c>
      <c r="C2275" s="63"/>
      <c r="D2275" s="64"/>
      <c r="E2275" s="65"/>
      <c r="F2275" s="66"/>
      <c r="G2275" s="63"/>
      <c r="H2275" s="67"/>
      <c r="I2275" s="68"/>
      <c r="J2275" s="68"/>
      <c r="K2275" s="32"/>
      <c r="L2275" s="75">
        <v>2275</v>
      </c>
      <c r="M2275" s="75"/>
      <c r="N2275" s="70"/>
      <c r="O2275" s="77" t="s">
        <v>179</v>
      </c>
      <c r="P2275" s="79">
        <v>45090.809293981481</v>
      </c>
      <c r="Q2275" s="77" t="s">
        <v>4113</v>
      </c>
      <c r="R2275" s="77">
        <v>0</v>
      </c>
      <c r="S2275" s="77">
        <v>0</v>
      </c>
      <c r="T2275" s="77">
        <v>0</v>
      </c>
      <c r="U2275" s="77">
        <v>0</v>
      </c>
      <c r="V2275" s="77">
        <v>7</v>
      </c>
      <c r="W2275" s="80" t="s">
        <v>7345</v>
      </c>
      <c r="X2275" s="77"/>
      <c r="Y2275" s="77"/>
      <c r="Z2275" s="77"/>
      <c r="AA2275" s="77" t="s">
        <v>9680</v>
      </c>
      <c r="AB2275" s="77" t="s">
        <v>10535</v>
      </c>
      <c r="AC2275" s="80" t="s">
        <v>10541</v>
      </c>
      <c r="AD2275" s="77" t="s">
        <v>10620</v>
      </c>
      <c r="AE2275" s="83" t="str">
        <f>HYPERLINK("https://twitter.com/canalecos/status/1668701115196534785")</f>
        <v>https://twitter.com/canalecos/status/1668701115196534785</v>
      </c>
      <c r="AF2275" s="79">
        <v>45090.809293981481</v>
      </c>
      <c r="AG2275" s="85">
        <v>45090</v>
      </c>
      <c r="AH2275" s="80" t="s">
        <v>12636</v>
      </c>
      <c r="AI2275" s="77" t="b">
        <v>0</v>
      </c>
      <c r="AJ2275" s="77"/>
      <c r="AK2275" s="77"/>
      <c r="AL2275" s="77"/>
      <c r="AM2275" s="77"/>
      <c r="AN2275" s="77"/>
      <c r="AO2275" s="77"/>
      <c r="AP2275" s="77"/>
      <c r="AQ2275" s="77" t="s">
        <v>15162</v>
      </c>
      <c r="AR2275" s="77"/>
      <c r="AS2275" s="77"/>
      <c r="AT2275" s="77"/>
      <c r="AU2275" s="77"/>
      <c r="AV2275" s="83" t="str">
        <f>HYPERLINK("https://pbs.twimg.com/media/FyhqzbIXoAIHlow.jpg")</f>
        <v>https://pbs.twimg.com/media/FyhqzbIXoAIHlow.jpg</v>
      </c>
      <c r="AW2275" s="80" t="s">
        <v>18100</v>
      </c>
      <c r="AX2275" s="80" t="s">
        <v>18100</v>
      </c>
      <c r="AY2275" s="77"/>
      <c r="AZ2275" s="80" t="s">
        <v>20380</v>
      </c>
      <c r="BA2275" s="80" t="s">
        <v>20380</v>
      </c>
      <c r="BB2275" s="80" t="s">
        <v>20380</v>
      </c>
      <c r="BC2275" s="80" t="s">
        <v>18100</v>
      </c>
      <c r="BD2275" s="80" t="s">
        <v>20831</v>
      </c>
      <c r="BE2275" s="77"/>
      <c r="BF2275" s="77"/>
      <c r="BG2275" s="77"/>
      <c r="BH2275" s="77"/>
      <c r="BI2275" s="77"/>
    </row>
    <row r="2276" spans="1:61" x14ac:dyDescent="0.25">
      <c r="A2276" s="62" t="s">
        <v>921</v>
      </c>
      <c r="B2276" s="62" t="s">
        <v>921</v>
      </c>
      <c r="C2276" s="63"/>
      <c r="D2276" s="64"/>
      <c r="E2276" s="65"/>
      <c r="F2276" s="66"/>
      <c r="G2276" s="63"/>
      <c r="H2276" s="67"/>
      <c r="I2276" s="68"/>
      <c r="J2276" s="68"/>
      <c r="K2276" s="32"/>
      <c r="L2276" s="75">
        <v>2276</v>
      </c>
      <c r="M2276" s="75"/>
      <c r="N2276" s="70"/>
      <c r="O2276" s="77" t="s">
        <v>179</v>
      </c>
      <c r="P2276" s="79">
        <v>45055.635358796295</v>
      </c>
      <c r="Q2276" s="77" t="s">
        <v>4114</v>
      </c>
      <c r="R2276" s="77">
        <v>0</v>
      </c>
      <c r="S2276" s="77">
        <v>0</v>
      </c>
      <c r="T2276" s="77">
        <v>0</v>
      </c>
      <c r="U2276" s="77">
        <v>0</v>
      </c>
      <c r="V2276" s="77">
        <v>13</v>
      </c>
      <c r="W2276" s="80" t="s">
        <v>7346</v>
      </c>
      <c r="X2276" s="77"/>
      <c r="Y2276" s="77"/>
      <c r="Z2276" s="77"/>
      <c r="AA2276" s="77" t="s">
        <v>9681</v>
      </c>
      <c r="AB2276" s="77" t="s">
        <v>10535</v>
      </c>
      <c r="AC2276" s="80" t="s">
        <v>10541</v>
      </c>
      <c r="AD2276" s="77" t="s">
        <v>10620</v>
      </c>
      <c r="AE2276" s="83" t="str">
        <f>HYPERLINK("https://twitter.com/canalecos/status/1655954507279343616")</f>
        <v>https://twitter.com/canalecos/status/1655954507279343616</v>
      </c>
      <c r="AF2276" s="79">
        <v>45055.635358796295</v>
      </c>
      <c r="AG2276" s="85">
        <v>45055</v>
      </c>
      <c r="AH2276" s="80" t="s">
        <v>12637</v>
      </c>
      <c r="AI2276" s="77" t="b">
        <v>0</v>
      </c>
      <c r="AJ2276" s="77"/>
      <c r="AK2276" s="77"/>
      <c r="AL2276" s="77"/>
      <c r="AM2276" s="77"/>
      <c r="AN2276" s="77"/>
      <c r="AO2276" s="77"/>
      <c r="AP2276" s="77"/>
      <c r="AQ2276" s="77" t="s">
        <v>15163</v>
      </c>
      <c r="AR2276" s="77"/>
      <c r="AS2276" s="77"/>
      <c r="AT2276" s="77"/>
      <c r="AU2276" s="77"/>
      <c r="AV2276" s="83" t="str">
        <f>HYPERLINK("https://pbs.twimg.com/media/Fvsh0uZaYAI_rpj.jpg")</f>
        <v>https://pbs.twimg.com/media/Fvsh0uZaYAI_rpj.jpg</v>
      </c>
      <c r="AW2276" s="80" t="s">
        <v>18101</v>
      </c>
      <c r="AX2276" s="80" t="s">
        <v>18101</v>
      </c>
      <c r="AY2276" s="77"/>
      <c r="AZ2276" s="80" t="s">
        <v>20380</v>
      </c>
      <c r="BA2276" s="80" t="s">
        <v>20380</v>
      </c>
      <c r="BB2276" s="80" t="s">
        <v>20380</v>
      </c>
      <c r="BC2276" s="80" t="s">
        <v>18101</v>
      </c>
      <c r="BD2276" s="80" t="s">
        <v>20831</v>
      </c>
      <c r="BE2276" s="77"/>
      <c r="BF2276" s="77"/>
      <c r="BG2276" s="77"/>
      <c r="BH2276" s="77"/>
      <c r="BI2276" s="77"/>
    </row>
    <row r="2277" spans="1:61" x14ac:dyDescent="0.25">
      <c r="A2277" s="62" t="s">
        <v>921</v>
      </c>
      <c r="B2277" s="62" t="s">
        <v>921</v>
      </c>
      <c r="C2277" s="63"/>
      <c r="D2277" s="64"/>
      <c r="E2277" s="65"/>
      <c r="F2277" s="66"/>
      <c r="G2277" s="63"/>
      <c r="H2277" s="67"/>
      <c r="I2277" s="68"/>
      <c r="J2277" s="68"/>
      <c r="K2277" s="32"/>
      <c r="L2277" s="75">
        <v>2277</v>
      </c>
      <c r="M2277" s="75"/>
      <c r="N2277" s="70"/>
      <c r="O2277" s="77" t="s">
        <v>179</v>
      </c>
      <c r="P2277" s="79">
        <v>45184.709027777775</v>
      </c>
      <c r="Q2277" s="77" t="s">
        <v>4115</v>
      </c>
      <c r="R2277" s="77">
        <v>0</v>
      </c>
      <c r="S2277" s="77">
        <v>0</v>
      </c>
      <c r="T2277" s="77">
        <v>0</v>
      </c>
      <c r="U2277" s="77">
        <v>0</v>
      </c>
      <c r="V2277" s="77">
        <v>11</v>
      </c>
      <c r="W2277" s="80" t="s">
        <v>7347</v>
      </c>
      <c r="X2277" s="77"/>
      <c r="Y2277" s="77"/>
      <c r="Z2277" s="77"/>
      <c r="AA2277" s="77" t="s">
        <v>9682</v>
      </c>
      <c r="AB2277" s="77" t="s">
        <v>10534</v>
      </c>
      <c r="AC2277" s="80" t="s">
        <v>10541</v>
      </c>
      <c r="AD2277" s="77" t="s">
        <v>10620</v>
      </c>
      <c r="AE2277" s="83" t="str">
        <f>HYPERLINK("https://twitter.com/canalecos/status/1702729238221135944")</f>
        <v>https://twitter.com/canalecos/status/1702729238221135944</v>
      </c>
      <c r="AF2277" s="79">
        <v>45184.709027777775</v>
      </c>
      <c r="AG2277" s="85">
        <v>45184</v>
      </c>
      <c r="AH2277" s="80" t="s">
        <v>12638</v>
      </c>
      <c r="AI2277" s="77" t="b">
        <v>0</v>
      </c>
      <c r="AJ2277" s="77"/>
      <c r="AK2277" s="77"/>
      <c r="AL2277" s="77"/>
      <c r="AM2277" s="77"/>
      <c r="AN2277" s="77"/>
      <c r="AO2277" s="77"/>
      <c r="AP2277" s="77"/>
      <c r="AQ2277" s="77" t="s">
        <v>15164</v>
      </c>
      <c r="AR2277" s="77">
        <v>74922</v>
      </c>
      <c r="AS2277" s="77"/>
      <c r="AT2277" s="77"/>
      <c r="AU2277" s="77"/>
      <c r="AV2277" s="83" t="str">
        <f>HYPERLINK("https://pbs.twimg.com/ext_tw_video_thumb/1702352924209270784/pu/img/Rx3LHO-wFdGmlPY1.jpg")</f>
        <v>https://pbs.twimg.com/ext_tw_video_thumb/1702352924209270784/pu/img/Rx3LHO-wFdGmlPY1.jpg</v>
      </c>
      <c r="AW2277" s="80" t="s">
        <v>18102</v>
      </c>
      <c r="AX2277" s="80" t="s">
        <v>18102</v>
      </c>
      <c r="AY2277" s="77"/>
      <c r="AZ2277" s="80" t="s">
        <v>20380</v>
      </c>
      <c r="BA2277" s="80" t="s">
        <v>20380</v>
      </c>
      <c r="BB2277" s="80" t="s">
        <v>20380</v>
      </c>
      <c r="BC2277" s="80" t="s">
        <v>18102</v>
      </c>
      <c r="BD2277" s="80" t="s">
        <v>20831</v>
      </c>
      <c r="BE2277" s="77"/>
      <c r="BF2277" s="77"/>
      <c r="BG2277" s="77"/>
      <c r="BH2277" s="77"/>
      <c r="BI2277" s="77"/>
    </row>
    <row r="2278" spans="1:61" x14ac:dyDescent="0.25">
      <c r="A2278" s="62" t="s">
        <v>921</v>
      </c>
      <c r="B2278" s="62" t="s">
        <v>921</v>
      </c>
      <c r="C2278" s="63"/>
      <c r="D2278" s="64"/>
      <c r="E2278" s="65"/>
      <c r="F2278" s="66"/>
      <c r="G2278" s="63"/>
      <c r="H2278" s="67"/>
      <c r="I2278" s="68"/>
      <c r="J2278" s="68"/>
      <c r="K2278" s="32"/>
      <c r="L2278" s="75">
        <v>2278</v>
      </c>
      <c r="M2278" s="75"/>
      <c r="N2278" s="70"/>
      <c r="O2278" s="77" t="s">
        <v>179</v>
      </c>
      <c r="P2278" s="79">
        <v>45107.708333333336</v>
      </c>
      <c r="Q2278" s="77" t="s">
        <v>4116</v>
      </c>
      <c r="R2278" s="77">
        <v>0</v>
      </c>
      <c r="S2278" s="77">
        <v>0</v>
      </c>
      <c r="T2278" s="77">
        <v>0</v>
      </c>
      <c r="U2278" s="77">
        <v>0</v>
      </c>
      <c r="V2278" s="77">
        <v>20</v>
      </c>
      <c r="W2278" s="80" t="s">
        <v>7348</v>
      </c>
      <c r="X2278" s="77"/>
      <c r="Y2278" s="77"/>
      <c r="Z2278" s="77"/>
      <c r="AA2278" s="77" t="s">
        <v>9683</v>
      </c>
      <c r="AB2278" s="77" t="s">
        <v>10535</v>
      </c>
      <c r="AC2278" s="80" t="s">
        <v>10541</v>
      </c>
      <c r="AD2278" s="77" t="s">
        <v>10620</v>
      </c>
      <c r="AE2278" s="83" t="str">
        <f>HYPERLINK("https://twitter.com/canalecos/status/1674825120987193348")</f>
        <v>https://twitter.com/canalecos/status/1674825120987193348</v>
      </c>
      <c r="AF2278" s="79">
        <v>45107.708333333336</v>
      </c>
      <c r="AG2278" s="85">
        <v>45107</v>
      </c>
      <c r="AH2278" s="80" t="s">
        <v>11788</v>
      </c>
      <c r="AI2278" s="77" t="b">
        <v>0</v>
      </c>
      <c r="AJ2278" s="77"/>
      <c r="AK2278" s="77"/>
      <c r="AL2278" s="77"/>
      <c r="AM2278" s="77"/>
      <c r="AN2278" s="77"/>
      <c r="AO2278" s="77"/>
      <c r="AP2278" s="77"/>
      <c r="AQ2278" s="77" t="s">
        <v>15165</v>
      </c>
      <c r="AR2278" s="77"/>
      <c r="AS2278" s="77"/>
      <c r="AT2278" s="77"/>
      <c r="AU2278" s="77"/>
      <c r="AV2278" s="83" t="str">
        <f>HYPERLINK("https://pbs.twimg.com/media/Fz4VnrnWYAM6qZA.jpg")</f>
        <v>https://pbs.twimg.com/media/Fz4VnrnWYAM6qZA.jpg</v>
      </c>
      <c r="AW2278" s="80" t="s">
        <v>18103</v>
      </c>
      <c r="AX2278" s="80" t="s">
        <v>18103</v>
      </c>
      <c r="AY2278" s="77"/>
      <c r="AZ2278" s="80" t="s">
        <v>20380</v>
      </c>
      <c r="BA2278" s="80" t="s">
        <v>20380</v>
      </c>
      <c r="BB2278" s="80" t="s">
        <v>20380</v>
      </c>
      <c r="BC2278" s="80" t="s">
        <v>18103</v>
      </c>
      <c r="BD2278" s="80" t="s">
        <v>20831</v>
      </c>
      <c r="BE2278" s="77"/>
      <c r="BF2278" s="77"/>
      <c r="BG2278" s="77"/>
      <c r="BH2278" s="77"/>
      <c r="BI2278" s="77"/>
    </row>
    <row r="2279" spans="1:61" x14ac:dyDescent="0.25">
      <c r="A2279" s="62" t="s">
        <v>921</v>
      </c>
      <c r="B2279" s="62" t="s">
        <v>921</v>
      </c>
      <c r="C2279" s="63"/>
      <c r="D2279" s="64"/>
      <c r="E2279" s="65"/>
      <c r="F2279" s="66"/>
      <c r="G2279" s="63"/>
      <c r="H2279" s="67"/>
      <c r="I2279" s="68"/>
      <c r="J2279" s="68"/>
      <c r="K2279" s="32"/>
      <c r="L2279" s="75">
        <v>2279</v>
      </c>
      <c r="M2279" s="75"/>
      <c r="N2279" s="70"/>
      <c r="O2279" s="77" t="s">
        <v>179</v>
      </c>
      <c r="P2279" s="79">
        <v>45064.585289351853</v>
      </c>
      <c r="Q2279" s="77" t="s">
        <v>4117</v>
      </c>
      <c r="R2279" s="77">
        <v>0</v>
      </c>
      <c r="S2279" s="77">
        <v>0</v>
      </c>
      <c r="T2279" s="77">
        <v>0</v>
      </c>
      <c r="U2279" s="77">
        <v>0</v>
      </c>
      <c r="V2279" s="77">
        <v>12</v>
      </c>
      <c r="W2279" s="80" t="s">
        <v>7349</v>
      </c>
      <c r="X2279" s="77"/>
      <c r="Y2279" s="77"/>
      <c r="Z2279" s="77"/>
      <c r="AA2279" s="77" t="s">
        <v>9684</v>
      </c>
      <c r="AB2279" s="77" t="s">
        <v>10535</v>
      </c>
      <c r="AC2279" s="80" t="s">
        <v>10541</v>
      </c>
      <c r="AD2279" s="77" t="s">
        <v>10620</v>
      </c>
      <c r="AE2279" s="83" t="str">
        <f>HYPERLINK("https://twitter.com/canalecos/status/1659197854223859720")</f>
        <v>https://twitter.com/canalecos/status/1659197854223859720</v>
      </c>
      <c r="AF2279" s="79">
        <v>45064.585289351853</v>
      </c>
      <c r="AG2279" s="85">
        <v>45064</v>
      </c>
      <c r="AH2279" s="80" t="s">
        <v>12639</v>
      </c>
      <c r="AI2279" s="77" t="b">
        <v>0</v>
      </c>
      <c r="AJ2279" s="77"/>
      <c r="AK2279" s="77"/>
      <c r="AL2279" s="77"/>
      <c r="AM2279" s="77"/>
      <c r="AN2279" s="77"/>
      <c r="AO2279" s="77"/>
      <c r="AP2279" s="77"/>
      <c r="AQ2279" s="77" t="s">
        <v>15166</v>
      </c>
      <c r="AR2279" s="77"/>
      <c r="AS2279" s="77"/>
      <c r="AT2279" s="77"/>
      <c r="AU2279" s="77"/>
      <c r="AV2279" s="83" t="str">
        <f>HYPERLINK("https://pbs.twimg.com/media/FwanpUJakAMXMnx.jpg")</f>
        <v>https://pbs.twimg.com/media/FwanpUJakAMXMnx.jpg</v>
      </c>
      <c r="AW2279" s="80" t="s">
        <v>18104</v>
      </c>
      <c r="AX2279" s="80" t="s">
        <v>18104</v>
      </c>
      <c r="AY2279" s="77"/>
      <c r="AZ2279" s="80" t="s">
        <v>20380</v>
      </c>
      <c r="BA2279" s="80" t="s">
        <v>20380</v>
      </c>
      <c r="BB2279" s="80" t="s">
        <v>20380</v>
      </c>
      <c r="BC2279" s="80" t="s">
        <v>18104</v>
      </c>
      <c r="BD2279" s="80" t="s">
        <v>20831</v>
      </c>
      <c r="BE2279" s="77"/>
      <c r="BF2279" s="77"/>
      <c r="BG2279" s="77"/>
      <c r="BH2279" s="77"/>
      <c r="BI2279" s="77"/>
    </row>
    <row r="2280" spans="1:61" x14ac:dyDescent="0.25">
      <c r="A2280" s="62" t="s">
        <v>922</v>
      </c>
      <c r="B2280" s="62" t="s">
        <v>922</v>
      </c>
      <c r="C2280" s="63"/>
      <c r="D2280" s="64"/>
      <c r="E2280" s="65"/>
      <c r="F2280" s="66"/>
      <c r="G2280" s="63"/>
      <c r="H2280" s="67"/>
      <c r="I2280" s="68"/>
      <c r="J2280" s="68"/>
      <c r="K2280" s="32"/>
      <c r="L2280" s="75">
        <v>2280</v>
      </c>
      <c r="M2280" s="75"/>
      <c r="N2280" s="70"/>
      <c r="O2280" s="77" t="s">
        <v>179</v>
      </c>
      <c r="P2280" s="79">
        <v>45152.636053240742</v>
      </c>
      <c r="Q2280" s="77" t="s">
        <v>4118</v>
      </c>
      <c r="R2280" s="77">
        <v>11</v>
      </c>
      <c r="S2280" s="77">
        <v>64</v>
      </c>
      <c r="T2280" s="77">
        <v>0</v>
      </c>
      <c r="U2280" s="77">
        <v>0</v>
      </c>
      <c r="V2280" s="77">
        <v>9752</v>
      </c>
      <c r="W2280" s="80" t="s">
        <v>7350</v>
      </c>
      <c r="X2280" s="77"/>
      <c r="Y2280" s="77"/>
      <c r="Z2280" s="77"/>
      <c r="AA2280" s="77" t="s">
        <v>9685</v>
      </c>
      <c r="AB2280" s="77" t="s">
        <v>10535</v>
      </c>
      <c r="AC2280" s="80" t="s">
        <v>10542</v>
      </c>
      <c r="AD2280" s="77" t="s">
        <v>10620</v>
      </c>
      <c r="AE2280" s="83" t="str">
        <f>HYPERLINK("https://twitter.com/luciano_valero/status/1691106381988851712")</f>
        <v>https://twitter.com/luciano_valero/status/1691106381988851712</v>
      </c>
      <c r="AF2280" s="79">
        <v>45152.636053240742</v>
      </c>
      <c r="AG2280" s="85">
        <v>45152</v>
      </c>
      <c r="AH2280" s="80" t="s">
        <v>12640</v>
      </c>
      <c r="AI2280" s="77" t="b">
        <v>0</v>
      </c>
      <c r="AJ2280" s="77"/>
      <c r="AK2280" s="77"/>
      <c r="AL2280" s="77"/>
      <c r="AM2280" s="77"/>
      <c r="AN2280" s="77"/>
      <c r="AO2280" s="77"/>
      <c r="AP2280" s="77"/>
      <c r="AQ2280" s="77" t="s">
        <v>15167</v>
      </c>
      <c r="AR2280" s="77"/>
      <c r="AS2280" s="77"/>
      <c r="AT2280" s="77"/>
      <c r="AU2280" s="77"/>
      <c r="AV2280" s="83" t="str">
        <f>HYPERLINK("https://pbs.twimg.com/media/F3gESmdWEAAOWvA.jpg")</f>
        <v>https://pbs.twimg.com/media/F3gESmdWEAAOWvA.jpg</v>
      </c>
      <c r="AW2280" s="80" t="s">
        <v>18105</v>
      </c>
      <c r="AX2280" s="80" t="s">
        <v>18105</v>
      </c>
      <c r="AY2280" s="77"/>
      <c r="AZ2280" s="80" t="s">
        <v>20380</v>
      </c>
      <c r="BA2280" s="80" t="s">
        <v>20380</v>
      </c>
      <c r="BB2280" s="80" t="s">
        <v>20380</v>
      </c>
      <c r="BC2280" s="80" t="s">
        <v>18105</v>
      </c>
      <c r="BD2280" s="80" t="s">
        <v>20832</v>
      </c>
      <c r="BE2280" s="77"/>
      <c r="BF2280" s="77"/>
      <c r="BG2280" s="77"/>
      <c r="BH2280" s="77"/>
      <c r="BI2280" s="77"/>
    </row>
    <row r="2281" spans="1:61" x14ac:dyDescent="0.25">
      <c r="A2281" s="62" t="s">
        <v>923</v>
      </c>
      <c r="B2281" s="62" t="s">
        <v>923</v>
      </c>
      <c r="C2281" s="63"/>
      <c r="D2281" s="64"/>
      <c r="E2281" s="65"/>
      <c r="F2281" s="66"/>
      <c r="G2281" s="63"/>
      <c r="H2281" s="67"/>
      <c r="I2281" s="68"/>
      <c r="J2281" s="68"/>
      <c r="K2281" s="32"/>
      <c r="L2281" s="75">
        <v>2281</v>
      </c>
      <c r="M2281" s="75"/>
      <c r="N2281" s="70"/>
      <c r="O2281" s="77" t="s">
        <v>179</v>
      </c>
      <c r="P2281" s="79">
        <v>45060.08452546296</v>
      </c>
      <c r="Q2281" s="77" t="s">
        <v>4119</v>
      </c>
      <c r="R2281" s="77">
        <v>0</v>
      </c>
      <c r="S2281" s="77">
        <v>0</v>
      </c>
      <c r="T2281" s="77">
        <v>0</v>
      </c>
      <c r="U2281" s="77">
        <v>0</v>
      </c>
      <c r="V2281" s="77">
        <v>6</v>
      </c>
      <c r="W2281" s="80" t="s">
        <v>7351</v>
      </c>
      <c r="X2281" s="77"/>
      <c r="Y2281" s="77"/>
      <c r="Z2281" s="77"/>
      <c r="AA2281" s="77" t="s">
        <v>9686</v>
      </c>
      <c r="AB2281" s="77" t="s">
        <v>10534</v>
      </c>
      <c r="AC2281" s="80" t="s">
        <v>10540</v>
      </c>
      <c r="AD2281" s="77" t="s">
        <v>10619</v>
      </c>
      <c r="AE2281" s="83" t="str">
        <f>HYPERLINK("https://twitter.com/raphael11081369/status/1657566831501012993")</f>
        <v>https://twitter.com/raphael11081369/status/1657566831501012993</v>
      </c>
      <c r="AF2281" s="79">
        <v>45060.08452546296</v>
      </c>
      <c r="AG2281" s="85">
        <v>45060</v>
      </c>
      <c r="AH2281" s="80" t="s">
        <v>12641</v>
      </c>
      <c r="AI2281" s="77" t="b">
        <v>0</v>
      </c>
      <c r="AJ2281" s="77"/>
      <c r="AK2281" s="77"/>
      <c r="AL2281" s="77"/>
      <c r="AM2281" s="77"/>
      <c r="AN2281" s="77"/>
      <c r="AO2281" s="77"/>
      <c r="AP2281" s="77"/>
      <c r="AQ2281" s="77" t="s">
        <v>15168</v>
      </c>
      <c r="AR2281" s="77">
        <v>93549</v>
      </c>
      <c r="AS2281" s="77"/>
      <c r="AT2281" s="77"/>
      <c r="AU2281" s="77"/>
      <c r="AV2281" s="83" t="str">
        <f>HYPERLINK("https://pbs.twimg.com/ext_tw_video_thumb/1657566707601358848/pu/img/WdZF7kbpBU2RRxdY.jpg")</f>
        <v>https://pbs.twimg.com/ext_tw_video_thumb/1657566707601358848/pu/img/WdZF7kbpBU2RRxdY.jpg</v>
      </c>
      <c r="AW2281" s="80" t="s">
        <v>18106</v>
      </c>
      <c r="AX2281" s="80" t="s">
        <v>18106</v>
      </c>
      <c r="AY2281" s="77"/>
      <c r="AZ2281" s="80" t="s">
        <v>20380</v>
      </c>
      <c r="BA2281" s="80" t="s">
        <v>20380</v>
      </c>
      <c r="BB2281" s="80" t="s">
        <v>20380</v>
      </c>
      <c r="BC2281" s="80" t="s">
        <v>18106</v>
      </c>
      <c r="BD2281" s="80" t="s">
        <v>20833</v>
      </c>
      <c r="BE2281" s="77"/>
      <c r="BF2281" s="77"/>
      <c r="BG2281" s="77"/>
      <c r="BH2281" s="77"/>
      <c r="BI2281" s="77"/>
    </row>
    <row r="2282" spans="1:61" x14ac:dyDescent="0.25">
      <c r="A2282" s="62" t="s">
        <v>924</v>
      </c>
      <c r="B2282" s="62" t="s">
        <v>924</v>
      </c>
      <c r="C2282" s="63"/>
      <c r="D2282" s="64"/>
      <c r="E2282" s="65"/>
      <c r="F2282" s="66"/>
      <c r="G2282" s="63"/>
      <c r="H2282" s="67"/>
      <c r="I2282" s="68"/>
      <c r="J2282" s="68"/>
      <c r="K2282" s="32"/>
      <c r="L2282" s="75">
        <v>2282</v>
      </c>
      <c r="M2282" s="75"/>
      <c r="N2282" s="70"/>
      <c r="O2282" s="77" t="s">
        <v>179</v>
      </c>
      <c r="P2282" s="79">
        <v>45051.339039351849</v>
      </c>
      <c r="Q2282" s="77" t="s">
        <v>4120</v>
      </c>
      <c r="R2282" s="77">
        <v>0</v>
      </c>
      <c r="S2282" s="77">
        <v>0</v>
      </c>
      <c r="T2282" s="77">
        <v>0</v>
      </c>
      <c r="U2282" s="77">
        <v>0</v>
      </c>
      <c r="V2282" s="77">
        <v>5</v>
      </c>
      <c r="W2282" s="80" t="s">
        <v>7352</v>
      </c>
      <c r="X2282" s="83" t="str">
        <f>HYPERLINK("https://easylawmagazine.com/2023/05/05/el-bce-sube-los-tipos-de-interes-al-375/")</f>
        <v>https://easylawmagazine.com/2023/05/05/el-bce-sube-los-tipos-de-interes-al-375/</v>
      </c>
      <c r="Y2282" s="77" t="s">
        <v>8773</v>
      </c>
      <c r="Z2282" s="77"/>
      <c r="AA2282" s="77"/>
      <c r="AB2282" s="77"/>
      <c r="AC2282" s="80" t="s">
        <v>10541</v>
      </c>
      <c r="AD2282" s="77" t="s">
        <v>10620</v>
      </c>
      <c r="AE2282" s="83" t="str">
        <f>HYPERLINK("https://twitter.com/easylawmagazine/status/1654397575238152193")</f>
        <v>https://twitter.com/easylawmagazine/status/1654397575238152193</v>
      </c>
      <c r="AF2282" s="79">
        <v>45051.339039351849</v>
      </c>
      <c r="AG2282" s="85">
        <v>45051</v>
      </c>
      <c r="AH2282" s="80" t="s">
        <v>12642</v>
      </c>
      <c r="AI2282" s="77" t="b">
        <v>0</v>
      </c>
      <c r="AJ2282" s="77"/>
      <c r="AK2282" s="77"/>
      <c r="AL2282" s="77"/>
      <c r="AM2282" s="77"/>
      <c r="AN2282" s="77"/>
      <c r="AO2282" s="77"/>
      <c r="AP2282" s="77"/>
      <c r="AQ2282" s="77"/>
      <c r="AR2282" s="77"/>
      <c r="AS2282" s="77"/>
      <c r="AT2282" s="77"/>
      <c r="AU2282" s="77"/>
      <c r="AV2282" s="83" t="str">
        <f>HYPERLINK("https://pbs.twimg.com/profile_images/1635942741581475841/eHTeEhQW_normal.png")</f>
        <v>https://pbs.twimg.com/profile_images/1635942741581475841/eHTeEhQW_normal.png</v>
      </c>
      <c r="AW2282" s="80" t="s">
        <v>18107</v>
      </c>
      <c r="AX2282" s="80" t="s">
        <v>18107</v>
      </c>
      <c r="AY2282" s="77"/>
      <c r="AZ2282" s="80" t="s">
        <v>20380</v>
      </c>
      <c r="BA2282" s="80" t="s">
        <v>20380</v>
      </c>
      <c r="BB2282" s="80" t="s">
        <v>20380</v>
      </c>
      <c r="BC2282" s="80" t="s">
        <v>18107</v>
      </c>
      <c r="BD2282" s="80" t="s">
        <v>20834</v>
      </c>
      <c r="BE2282" s="77"/>
      <c r="BF2282" s="77"/>
      <c r="BG2282" s="77"/>
      <c r="BH2282" s="77"/>
      <c r="BI2282" s="77"/>
    </row>
    <row r="2283" spans="1:61" x14ac:dyDescent="0.25">
      <c r="A2283" s="62" t="s">
        <v>925</v>
      </c>
      <c r="B2283" s="62" t="s">
        <v>1923</v>
      </c>
      <c r="C2283" s="63"/>
      <c r="D2283" s="64"/>
      <c r="E2283" s="65"/>
      <c r="F2283" s="66"/>
      <c r="G2283" s="63"/>
      <c r="H2283" s="67"/>
      <c r="I2283" s="68"/>
      <c r="J2283" s="68"/>
      <c r="K2283" s="32"/>
      <c r="L2283" s="75">
        <v>2283</v>
      </c>
      <c r="M2283" s="75"/>
      <c r="N2283" s="70"/>
      <c r="O2283" s="77" t="s">
        <v>2084</v>
      </c>
      <c r="P2283" s="79">
        <v>45164.663842592592</v>
      </c>
      <c r="Q2283" s="77" t="s">
        <v>4121</v>
      </c>
      <c r="R2283" s="77">
        <v>1</v>
      </c>
      <c r="S2283" s="77">
        <v>2</v>
      </c>
      <c r="T2283" s="77">
        <v>0</v>
      </c>
      <c r="U2283" s="77">
        <v>0</v>
      </c>
      <c r="V2283" s="77">
        <v>100</v>
      </c>
      <c r="W2283" s="80" t="s">
        <v>7353</v>
      </c>
      <c r="X2283" s="77"/>
      <c r="Y2283" s="77"/>
      <c r="Z2283" s="77" t="s">
        <v>1923</v>
      </c>
      <c r="AA2283" s="77"/>
      <c r="AB2283" s="77"/>
      <c r="AC2283" s="80" t="s">
        <v>10541</v>
      </c>
      <c r="AD2283" s="77" t="s">
        <v>10620</v>
      </c>
      <c r="AE2283" s="83" t="str">
        <f>HYPERLINK("https://twitter.com/eugequirolo/status/1695465107067719960")</f>
        <v>https://twitter.com/eugequirolo/status/1695465107067719960</v>
      </c>
      <c r="AF2283" s="79">
        <v>45164.663842592592</v>
      </c>
      <c r="AG2283" s="85">
        <v>45164</v>
      </c>
      <c r="AH2283" s="80" t="s">
        <v>12643</v>
      </c>
      <c r="AI2283" s="77"/>
      <c r="AJ2283" s="77"/>
      <c r="AK2283" s="77"/>
      <c r="AL2283" s="77"/>
      <c r="AM2283" s="77"/>
      <c r="AN2283" s="77"/>
      <c r="AO2283" s="77"/>
      <c r="AP2283" s="77"/>
      <c r="AQ2283" s="77"/>
      <c r="AR2283" s="77"/>
      <c r="AS2283" s="77"/>
      <c r="AT2283" s="77"/>
      <c r="AU2283" s="77"/>
      <c r="AV2283" s="83" t="str">
        <f>HYPERLINK("https://pbs.twimg.com/profile_images/1203998768837861376/fbmfRhSn_normal.jpg")</f>
        <v>https://pbs.twimg.com/profile_images/1203998768837861376/fbmfRhSn_normal.jpg</v>
      </c>
      <c r="AW2283" s="80" t="s">
        <v>18108</v>
      </c>
      <c r="AX2283" s="80" t="s">
        <v>18108</v>
      </c>
      <c r="AY2283" s="77"/>
      <c r="AZ2283" s="80" t="s">
        <v>20380</v>
      </c>
      <c r="BA2283" s="80" t="s">
        <v>18825</v>
      </c>
      <c r="BB2283" s="80" t="s">
        <v>20380</v>
      </c>
      <c r="BC2283" s="80" t="s">
        <v>18825</v>
      </c>
      <c r="BD2283" s="77">
        <v>28443407</v>
      </c>
      <c r="BE2283" s="77"/>
      <c r="BF2283" s="77"/>
      <c r="BG2283" s="77"/>
      <c r="BH2283" s="77"/>
      <c r="BI2283" s="77"/>
    </row>
    <row r="2284" spans="1:61" x14ac:dyDescent="0.25">
      <c r="A2284" s="62" t="s">
        <v>925</v>
      </c>
      <c r="B2284" s="62" t="s">
        <v>1217</v>
      </c>
      <c r="C2284" s="63"/>
      <c r="D2284" s="64"/>
      <c r="E2284" s="65"/>
      <c r="F2284" s="66"/>
      <c r="G2284" s="63"/>
      <c r="H2284" s="67"/>
      <c r="I2284" s="68"/>
      <c r="J2284" s="68"/>
      <c r="K2284" s="32"/>
      <c r="L2284" s="75">
        <v>2284</v>
      </c>
      <c r="M2284" s="75"/>
      <c r="N2284" s="70"/>
      <c r="O2284" s="77" t="s">
        <v>2082</v>
      </c>
      <c r="P2284" s="79">
        <v>45164.663842592592</v>
      </c>
      <c r="Q2284" s="77" t="s">
        <v>4121</v>
      </c>
      <c r="R2284" s="77">
        <v>1</v>
      </c>
      <c r="S2284" s="77">
        <v>2</v>
      </c>
      <c r="T2284" s="77">
        <v>0</v>
      </c>
      <c r="U2284" s="77">
        <v>0</v>
      </c>
      <c r="V2284" s="77">
        <v>100</v>
      </c>
      <c r="W2284" s="80" t="s">
        <v>7353</v>
      </c>
      <c r="X2284" s="77"/>
      <c r="Y2284" s="77"/>
      <c r="Z2284" s="77" t="s">
        <v>1923</v>
      </c>
      <c r="AA2284" s="77"/>
      <c r="AB2284" s="77"/>
      <c r="AC2284" s="80" t="s">
        <v>10541</v>
      </c>
      <c r="AD2284" s="77" t="s">
        <v>10620</v>
      </c>
      <c r="AE2284" s="83" t="str">
        <f>HYPERLINK("https://twitter.com/eugequirolo/status/1695465107067719960")</f>
        <v>https://twitter.com/eugequirolo/status/1695465107067719960</v>
      </c>
      <c r="AF2284" s="79">
        <v>45164.663842592592</v>
      </c>
      <c r="AG2284" s="85">
        <v>45164</v>
      </c>
      <c r="AH2284" s="80" t="s">
        <v>12643</v>
      </c>
      <c r="AI2284" s="77"/>
      <c r="AJ2284" s="77"/>
      <c r="AK2284" s="77"/>
      <c r="AL2284" s="77"/>
      <c r="AM2284" s="77"/>
      <c r="AN2284" s="77"/>
      <c r="AO2284" s="77"/>
      <c r="AP2284" s="77"/>
      <c r="AQ2284" s="77"/>
      <c r="AR2284" s="77"/>
      <c r="AS2284" s="77"/>
      <c r="AT2284" s="77"/>
      <c r="AU2284" s="77"/>
      <c r="AV2284" s="83" t="str">
        <f>HYPERLINK("https://pbs.twimg.com/profile_images/1203998768837861376/fbmfRhSn_normal.jpg")</f>
        <v>https://pbs.twimg.com/profile_images/1203998768837861376/fbmfRhSn_normal.jpg</v>
      </c>
      <c r="AW2284" s="80" t="s">
        <v>18108</v>
      </c>
      <c r="AX2284" s="80" t="s">
        <v>18108</v>
      </c>
      <c r="AY2284" s="77"/>
      <c r="AZ2284" s="80" t="s">
        <v>20380</v>
      </c>
      <c r="BA2284" s="80" t="s">
        <v>18825</v>
      </c>
      <c r="BB2284" s="80" t="s">
        <v>20380</v>
      </c>
      <c r="BC2284" s="80" t="s">
        <v>18825</v>
      </c>
      <c r="BD2284" s="77">
        <v>28443407</v>
      </c>
      <c r="BE2284" s="77"/>
      <c r="BF2284" s="77"/>
      <c r="BG2284" s="77"/>
      <c r="BH2284" s="77"/>
      <c r="BI2284" s="77"/>
    </row>
    <row r="2285" spans="1:61" x14ac:dyDescent="0.25">
      <c r="A2285" s="62" t="s">
        <v>926</v>
      </c>
      <c r="B2285" s="62" t="s">
        <v>926</v>
      </c>
      <c r="C2285" s="63"/>
      <c r="D2285" s="64"/>
      <c r="E2285" s="65"/>
      <c r="F2285" s="66"/>
      <c r="G2285" s="63"/>
      <c r="H2285" s="67"/>
      <c r="I2285" s="68"/>
      <c r="J2285" s="68"/>
      <c r="K2285" s="32"/>
      <c r="L2285" s="75">
        <v>2285</v>
      </c>
      <c r="M2285" s="75"/>
      <c r="N2285" s="70"/>
      <c r="O2285" s="77" t="s">
        <v>179</v>
      </c>
      <c r="P2285" s="79">
        <v>45100.020046296297</v>
      </c>
      <c r="Q2285" s="77" t="s">
        <v>4122</v>
      </c>
      <c r="R2285" s="77">
        <v>0</v>
      </c>
      <c r="S2285" s="77">
        <v>2</v>
      </c>
      <c r="T2285" s="77">
        <v>0</v>
      </c>
      <c r="U2285" s="77">
        <v>0</v>
      </c>
      <c r="V2285" s="77">
        <v>21</v>
      </c>
      <c r="W2285" s="80" t="s">
        <v>5884</v>
      </c>
      <c r="X2285" s="77"/>
      <c r="Y2285" s="77"/>
      <c r="Z2285" s="77"/>
      <c r="AA2285" s="77"/>
      <c r="AB2285" s="77"/>
      <c r="AC2285" s="80" t="s">
        <v>10540</v>
      </c>
      <c r="AD2285" s="77" t="s">
        <v>10617</v>
      </c>
      <c r="AE2285" s="83" t="str">
        <f>HYPERLINK("https://twitter.com/lexunesp/status/1672038981129715712")</f>
        <v>https://twitter.com/lexunesp/status/1672038981129715712</v>
      </c>
      <c r="AF2285" s="79">
        <v>45100.020046296297</v>
      </c>
      <c r="AG2285" s="85">
        <v>45100</v>
      </c>
      <c r="AH2285" s="80" t="s">
        <v>12644</v>
      </c>
      <c r="AI2285" s="77"/>
      <c r="AJ2285" s="77"/>
      <c r="AK2285" s="77"/>
      <c r="AL2285" s="77"/>
      <c r="AM2285" s="77"/>
      <c r="AN2285" s="77"/>
      <c r="AO2285" s="77"/>
      <c r="AP2285" s="77"/>
      <c r="AQ2285" s="77"/>
      <c r="AR2285" s="77"/>
      <c r="AS2285" s="77"/>
      <c r="AT2285" s="77"/>
      <c r="AU2285" s="77"/>
      <c r="AV2285" s="83" t="str">
        <f>HYPERLINK("https://pbs.twimg.com/profile_images/1213903755277717506/Q8xsrXBR_normal.jpg")</f>
        <v>https://pbs.twimg.com/profile_images/1213903755277717506/Q8xsrXBR_normal.jpg</v>
      </c>
      <c r="AW2285" s="80" t="s">
        <v>18109</v>
      </c>
      <c r="AX2285" s="80" t="s">
        <v>18109</v>
      </c>
      <c r="AY2285" s="77"/>
      <c r="AZ2285" s="80" t="s">
        <v>20380</v>
      </c>
      <c r="BA2285" s="80" t="s">
        <v>20380</v>
      </c>
      <c r="BB2285" s="80" t="s">
        <v>20380</v>
      </c>
      <c r="BC2285" s="80" t="s">
        <v>18109</v>
      </c>
      <c r="BD2285" s="80" t="s">
        <v>20835</v>
      </c>
      <c r="BE2285" s="77"/>
      <c r="BF2285" s="77"/>
      <c r="BG2285" s="77"/>
      <c r="BH2285" s="77"/>
      <c r="BI2285" s="77"/>
    </row>
    <row r="2286" spans="1:61" x14ac:dyDescent="0.25">
      <c r="A2286" s="62" t="s">
        <v>927</v>
      </c>
      <c r="B2286" s="62" t="s">
        <v>927</v>
      </c>
      <c r="C2286" s="63"/>
      <c r="D2286" s="64"/>
      <c r="E2286" s="65"/>
      <c r="F2286" s="66"/>
      <c r="G2286" s="63"/>
      <c r="H2286" s="67"/>
      <c r="I2286" s="68"/>
      <c r="J2286" s="68"/>
      <c r="K2286" s="32"/>
      <c r="L2286" s="75">
        <v>2286</v>
      </c>
      <c r="M2286" s="75"/>
      <c r="N2286" s="70"/>
      <c r="O2286" s="77" t="s">
        <v>179</v>
      </c>
      <c r="P2286" s="79">
        <v>45154.477812500001</v>
      </c>
      <c r="Q2286" s="77" t="s">
        <v>4123</v>
      </c>
      <c r="R2286" s="77">
        <v>1</v>
      </c>
      <c r="S2286" s="77">
        <v>0</v>
      </c>
      <c r="T2286" s="77">
        <v>3</v>
      </c>
      <c r="U2286" s="77">
        <v>0</v>
      </c>
      <c r="V2286" s="77">
        <v>464</v>
      </c>
      <c r="W2286" s="80" t="s">
        <v>7354</v>
      </c>
      <c r="X2286" s="77"/>
      <c r="Y2286" s="77"/>
      <c r="Z2286" s="77"/>
      <c r="AA2286" s="77"/>
      <c r="AB2286" s="77"/>
      <c r="AC2286" s="80" t="s">
        <v>10541</v>
      </c>
      <c r="AD2286" s="77" t="s">
        <v>10620</v>
      </c>
      <c r="AE2286" s="83" t="str">
        <f>HYPERLINK("https://twitter.com/xencuestasxdia/status/1691773812906311707")</f>
        <v>https://twitter.com/xencuestasxdia/status/1691773812906311707</v>
      </c>
      <c r="AF2286" s="79">
        <v>45154.477812500001</v>
      </c>
      <c r="AG2286" s="85">
        <v>45154</v>
      </c>
      <c r="AH2286" s="80" t="s">
        <v>12645</v>
      </c>
      <c r="AI2286" s="77" t="b">
        <v>0</v>
      </c>
      <c r="AJ2286" s="77"/>
      <c r="AK2286" s="77"/>
      <c r="AL2286" s="77"/>
      <c r="AM2286" s="77"/>
      <c r="AN2286" s="77"/>
      <c r="AO2286" s="77"/>
      <c r="AP2286" s="77"/>
      <c r="AQ2286" s="77"/>
      <c r="AR2286" s="77"/>
      <c r="AS2286" s="77"/>
      <c r="AT2286" s="77"/>
      <c r="AU2286" s="77"/>
      <c r="AV2286" s="83" t="str">
        <f>HYPERLINK("https://pbs.twimg.com/profile_images/1690020510971666432/PGne0cyq_normal.jpg")</f>
        <v>https://pbs.twimg.com/profile_images/1690020510971666432/PGne0cyq_normal.jpg</v>
      </c>
      <c r="AW2286" s="80" t="s">
        <v>18110</v>
      </c>
      <c r="AX2286" s="80" t="s">
        <v>18110</v>
      </c>
      <c r="AY2286" s="77"/>
      <c r="AZ2286" s="80" t="s">
        <v>20380</v>
      </c>
      <c r="BA2286" s="80" t="s">
        <v>20380</v>
      </c>
      <c r="BB2286" s="80" t="s">
        <v>20380</v>
      </c>
      <c r="BC2286" s="80" t="s">
        <v>18110</v>
      </c>
      <c r="BD2286" s="80" t="s">
        <v>20836</v>
      </c>
      <c r="BE2286" s="77"/>
      <c r="BF2286" s="77"/>
      <c r="BG2286" s="77"/>
      <c r="BH2286" s="77"/>
      <c r="BI2286" s="77"/>
    </row>
    <row r="2287" spans="1:61" x14ac:dyDescent="0.25">
      <c r="A2287" s="62" t="s">
        <v>928</v>
      </c>
      <c r="B2287" s="62" t="s">
        <v>928</v>
      </c>
      <c r="C2287" s="63"/>
      <c r="D2287" s="64"/>
      <c r="E2287" s="65"/>
      <c r="F2287" s="66"/>
      <c r="G2287" s="63"/>
      <c r="H2287" s="67"/>
      <c r="I2287" s="68"/>
      <c r="J2287" s="68"/>
      <c r="K2287" s="32"/>
      <c r="L2287" s="75">
        <v>2287</v>
      </c>
      <c r="M2287" s="75"/>
      <c r="N2287" s="70"/>
      <c r="O2287" s="77" t="s">
        <v>179</v>
      </c>
      <c r="P2287" s="79">
        <v>45084.587997685187</v>
      </c>
      <c r="Q2287" s="77" t="s">
        <v>4124</v>
      </c>
      <c r="R2287" s="77">
        <v>0</v>
      </c>
      <c r="S2287" s="77">
        <v>0</v>
      </c>
      <c r="T2287" s="77">
        <v>0</v>
      </c>
      <c r="U2287" s="77">
        <v>0</v>
      </c>
      <c r="V2287" s="77">
        <v>16</v>
      </c>
      <c r="W2287" s="80" t="s">
        <v>7355</v>
      </c>
      <c r="X2287" s="77"/>
      <c r="Y2287" s="77"/>
      <c r="Z2287" s="77"/>
      <c r="AA2287" s="77" t="s">
        <v>9687</v>
      </c>
      <c r="AB2287" s="77" t="s">
        <v>10538</v>
      </c>
      <c r="AC2287" s="80" t="s">
        <v>10540</v>
      </c>
      <c r="AD2287" s="77" t="s">
        <v>10617</v>
      </c>
      <c r="AE2287" s="83" t="str">
        <f>HYPERLINK("https://twitter.com/millaprado4/status/1666446594139385859")</f>
        <v>https://twitter.com/millaprado4/status/1666446594139385859</v>
      </c>
      <c r="AF2287" s="79">
        <v>45084.587997685187</v>
      </c>
      <c r="AG2287" s="85">
        <v>45084</v>
      </c>
      <c r="AH2287" s="80" t="s">
        <v>11431</v>
      </c>
      <c r="AI2287" s="77" t="b">
        <v>0</v>
      </c>
      <c r="AJ2287" s="77"/>
      <c r="AK2287" s="77"/>
      <c r="AL2287" s="77"/>
      <c r="AM2287" s="77"/>
      <c r="AN2287" s="77"/>
      <c r="AO2287" s="77"/>
      <c r="AP2287" s="77"/>
      <c r="AQ2287" s="77" t="s">
        <v>15169</v>
      </c>
      <c r="AR2287" s="77"/>
      <c r="AS2287" s="77"/>
      <c r="AT2287" s="77"/>
      <c r="AU2287" s="77"/>
      <c r="AV2287" s="83" t="str">
        <f>HYPERLINK("https://pbs.twimg.com/media/FyBoVZpX0AAKZ97.jpg")</f>
        <v>https://pbs.twimg.com/media/FyBoVZpX0AAKZ97.jpg</v>
      </c>
      <c r="AW2287" s="80" t="s">
        <v>18111</v>
      </c>
      <c r="AX2287" s="80" t="s">
        <v>18111</v>
      </c>
      <c r="AY2287" s="77"/>
      <c r="AZ2287" s="80" t="s">
        <v>20380</v>
      </c>
      <c r="BA2287" s="80" t="s">
        <v>20380</v>
      </c>
      <c r="BB2287" s="80" t="s">
        <v>20380</v>
      </c>
      <c r="BC2287" s="80" t="s">
        <v>18111</v>
      </c>
      <c r="BD2287" s="80" t="s">
        <v>20837</v>
      </c>
      <c r="BE2287" s="77"/>
      <c r="BF2287" s="77"/>
      <c r="BG2287" s="77"/>
      <c r="BH2287" s="77"/>
      <c r="BI2287" s="77"/>
    </row>
    <row r="2288" spans="1:61" x14ac:dyDescent="0.25">
      <c r="A2288" s="62" t="s">
        <v>929</v>
      </c>
      <c r="B2288" s="62" t="s">
        <v>929</v>
      </c>
      <c r="C2288" s="63"/>
      <c r="D2288" s="64"/>
      <c r="E2288" s="65"/>
      <c r="F2288" s="66"/>
      <c r="G2288" s="63"/>
      <c r="H2288" s="67"/>
      <c r="I2288" s="68"/>
      <c r="J2288" s="68"/>
      <c r="K2288" s="32"/>
      <c r="L2288" s="75">
        <v>2288</v>
      </c>
      <c r="M2288" s="75"/>
      <c r="N2288" s="70"/>
      <c r="O2288" s="77" t="s">
        <v>179</v>
      </c>
      <c r="P2288" s="79">
        <v>45068.963229166664</v>
      </c>
      <c r="Q2288" s="77" t="s">
        <v>4125</v>
      </c>
      <c r="R2288" s="77">
        <v>0</v>
      </c>
      <c r="S2288" s="77">
        <v>1</v>
      </c>
      <c r="T2288" s="77">
        <v>0</v>
      </c>
      <c r="U2288" s="77">
        <v>0</v>
      </c>
      <c r="V2288" s="77">
        <v>112</v>
      </c>
      <c r="W2288" s="80" t="s">
        <v>7356</v>
      </c>
      <c r="X2288" s="77"/>
      <c r="Y2288" s="77"/>
      <c r="Z2288" s="77"/>
      <c r="AA2288" s="77" t="s">
        <v>9688</v>
      </c>
      <c r="AB2288" s="77" t="s">
        <v>10538</v>
      </c>
      <c r="AC2288" s="80" t="s">
        <v>10541</v>
      </c>
      <c r="AD2288" s="77" t="s">
        <v>10620</v>
      </c>
      <c r="AE2288" s="83" t="str">
        <f>HYPERLINK("https://twitter.com/elacentook/status/1660784365159305217")</f>
        <v>https://twitter.com/elacentook/status/1660784365159305217</v>
      </c>
      <c r="AF2288" s="79">
        <v>45068.963229166664</v>
      </c>
      <c r="AG2288" s="85">
        <v>45068</v>
      </c>
      <c r="AH2288" s="80" t="s">
        <v>12646</v>
      </c>
      <c r="AI2288" s="77" t="b">
        <v>0</v>
      </c>
      <c r="AJ2288" s="77"/>
      <c r="AK2288" s="77"/>
      <c r="AL2288" s="77"/>
      <c r="AM2288" s="77"/>
      <c r="AN2288" s="77"/>
      <c r="AO2288" s="77"/>
      <c r="AP2288" s="77"/>
      <c r="AQ2288" s="77" t="s">
        <v>15170</v>
      </c>
      <c r="AR2288" s="77"/>
      <c r="AS2288" s="77"/>
      <c r="AT2288" s="77"/>
      <c r="AU2288" s="77"/>
      <c r="AV2288" s="83" t="str">
        <f>HYPERLINK("https://pbs.twimg.com/media/FwxKfDCXoAcAeUp.jpg")</f>
        <v>https://pbs.twimg.com/media/FwxKfDCXoAcAeUp.jpg</v>
      </c>
      <c r="AW2288" s="80" t="s">
        <v>18112</v>
      </c>
      <c r="AX2288" s="80" t="s">
        <v>18112</v>
      </c>
      <c r="AY2288" s="77"/>
      <c r="AZ2288" s="80" t="s">
        <v>20380</v>
      </c>
      <c r="BA2288" s="80" t="s">
        <v>20380</v>
      </c>
      <c r="BB2288" s="80" t="s">
        <v>20380</v>
      </c>
      <c r="BC2288" s="80" t="s">
        <v>18112</v>
      </c>
      <c r="BD2288" s="80" t="s">
        <v>20838</v>
      </c>
      <c r="BE2288" s="77"/>
      <c r="BF2288" s="77"/>
      <c r="BG2288" s="77"/>
      <c r="BH2288" s="77"/>
      <c r="BI2288" s="77"/>
    </row>
    <row r="2289" spans="1:61" x14ac:dyDescent="0.25">
      <c r="A2289" s="62" t="s">
        <v>929</v>
      </c>
      <c r="B2289" s="62" t="s">
        <v>929</v>
      </c>
      <c r="C2289" s="63"/>
      <c r="D2289" s="64"/>
      <c r="E2289" s="65"/>
      <c r="F2289" s="66"/>
      <c r="G2289" s="63"/>
      <c r="H2289" s="67"/>
      <c r="I2289" s="68"/>
      <c r="J2289" s="68"/>
      <c r="K2289" s="32"/>
      <c r="L2289" s="75">
        <v>2289</v>
      </c>
      <c r="M2289" s="75"/>
      <c r="N2289" s="70"/>
      <c r="O2289" s="77" t="s">
        <v>179</v>
      </c>
      <c r="P2289" s="79">
        <v>45162.978425925925</v>
      </c>
      <c r="Q2289" s="77" t="s">
        <v>4126</v>
      </c>
      <c r="R2289" s="77">
        <v>1</v>
      </c>
      <c r="S2289" s="77">
        <v>0</v>
      </c>
      <c r="T2289" s="77">
        <v>1</v>
      </c>
      <c r="U2289" s="77">
        <v>0</v>
      </c>
      <c r="V2289" s="77">
        <v>21</v>
      </c>
      <c r="W2289" s="80" t="s">
        <v>7357</v>
      </c>
      <c r="X2289" s="77"/>
      <c r="Y2289" s="77"/>
      <c r="Z2289" s="77"/>
      <c r="AA2289" s="77" t="s">
        <v>9689</v>
      </c>
      <c r="AB2289" s="77" t="s">
        <v>10538</v>
      </c>
      <c r="AC2289" s="80" t="s">
        <v>10541</v>
      </c>
      <c r="AD2289" s="77" t="s">
        <v>10620</v>
      </c>
      <c r="AE2289" s="83" t="str">
        <f>HYPERLINK("https://twitter.com/elacentook/status/1694854334805135818")</f>
        <v>https://twitter.com/elacentook/status/1694854334805135818</v>
      </c>
      <c r="AF2289" s="79">
        <v>45162.978425925925</v>
      </c>
      <c r="AG2289" s="85">
        <v>45162</v>
      </c>
      <c r="AH2289" s="80" t="s">
        <v>12647</v>
      </c>
      <c r="AI2289" s="77" t="b">
        <v>0</v>
      </c>
      <c r="AJ2289" s="77"/>
      <c r="AK2289" s="77"/>
      <c r="AL2289" s="77"/>
      <c r="AM2289" s="77"/>
      <c r="AN2289" s="77"/>
      <c r="AO2289" s="77"/>
      <c r="AP2289" s="77"/>
      <c r="AQ2289" s="77" t="s">
        <v>15171</v>
      </c>
      <c r="AR2289" s="77"/>
      <c r="AS2289" s="77"/>
      <c r="AT2289" s="77"/>
      <c r="AU2289" s="77"/>
      <c r="AV2289" s="83" t="str">
        <f>HYPERLINK("https://pbs.twimg.com/media/F4VU2agW8AARON8.jpg")</f>
        <v>https://pbs.twimg.com/media/F4VU2agW8AARON8.jpg</v>
      </c>
      <c r="AW2289" s="80" t="s">
        <v>18113</v>
      </c>
      <c r="AX2289" s="80" t="s">
        <v>18113</v>
      </c>
      <c r="AY2289" s="77"/>
      <c r="AZ2289" s="80" t="s">
        <v>20380</v>
      </c>
      <c r="BA2289" s="80" t="s">
        <v>20380</v>
      </c>
      <c r="BB2289" s="80" t="s">
        <v>20380</v>
      </c>
      <c r="BC2289" s="80" t="s">
        <v>18113</v>
      </c>
      <c r="BD2289" s="80" t="s">
        <v>20838</v>
      </c>
      <c r="BE2289" s="77"/>
      <c r="BF2289" s="77"/>
      <c r="BG2289" s="77"/>
      <c r="BH2289" s="77"/>
      <c r="BI2289" s="77"/>
    </row>
    <row r="2290" spans="1:61" x14ac:dyDescent="0.25">
      <c r="A2290" s="62" t="s">
        <v>930</v>
      </c>
      <c r="B2290" s="62" t="s">
        <v>930</v>
      </c>
      <c r="C2290" s="63"/>
      <c r="D2290" s="64"/>
      <c r="E2290" s="65"/>
      <c r="F2290" s="66"/>
      <c r="G2290" s="63"/>
      <c r="H2290" s="67"/>
      <c r="I2290" s="68"/>
      <c r="J2290" s="68"/>
      <c r="K2290" s="32"/>
      <c r="L2290" s="75">
        <v>2290</v>
      </c>
      <c r="M2290" s="75"/>
      <c r="N2290" s="70"/>
      <c r="O2290" s="77" t="s">
        <v>179</v>
      </c>
      <c r="P2290" s="79">
        <v>45069.56045138889</v>
      </c>
      <c r="Q2290" s="77" t="s">
        <v>4127</v>
      </c>
      <c r="R2290" s="77">
        <v>0</v>
      </c>
      <c r="S2290" s="77">
        <v>2</v>
      </c>
      <c r="T2290" s="77">
        <v>0</v>
      </c>
      <c r="U2290" s="77">
        <v>0</v>
      </c>
      <c r="V2290" s="77">
        <v>150</v>
      </c>
      <c r="W2290" s="80" t="s">
        <v>7358</v>
      </c>
      <c r="X2290" s="83" t="str">
        <f>HYPERLINK("https://acortar.link/0eiY6F")</f>
        <v>https://acortar.link/0eiY6F</v>
      </c>
      <c r="Y2290" s="77" t="s">
        <v>8649</v>
      </c>
      <c r="Z2290" s="77"/>
      <c r="AA2290" s="77" t="s">
        <v>9690</v>
      </c>
      <c r="AB2290" s="77" t="s">
        <v>10535</v>
      </c>
      <c r="AC2290" s="80" t="s">
        <v>10541</v>
      </c>
      <c r="AD2290" s="77" t="s">
        <v>10620</v>
      </c>
      <c r="AE2290" s="83" t="str">
        <f>HYPERLINK("https://twitter.com/wallstreeteasy/status/1661000793703497730")</f>
        <v>https://twitter.com/wallstreeteasy/status/1661000793703497730</v>
      </c>
      <c r="AF2290" s="79">
        <v>45069.56045138889</v>
      </c>
      <c r="AG2290" s="85">
        <v>45069</v>
      </c>
      <c r="AH2290" s="80" t="s">
        <v>12648</v>
      </c>
      <c r="AI2290" s="77" t="b">
        <v>0</v>
      </c>
      <c r="AJ2290" s="77"/>
      <c r="AK2290" s="77"/>
      <c r="AL2290" s="77"/>
      <c r="AM2290" s="77"/>
      <c r="AN2290" s="77"/>
      <c r="AO2290" s="77"/>
      <c r="AP2290" s="77"/>
      <c r="AQ2290" s="77" t="s">
        <v>15172</v>
      </c>
      <c r="AR2290" s="77"/>
      <c r="AS2290" s="77"/>
      <c r="AT2290" s="77"/>
      <c r="AU2290" s="77"/>
      <c r="AV2290" s="83" t="str">
        <f>HYPERLINK("https://pbs.twimg.com/media/Fw0OmjgXgAAeGtg.png")</f>
        <v>https://pbs.twimg.com/media/Fw0OmjgXgAAeGtg.png</v>
      </c>
      <c r="AW2290" s="80" t="s">
        <v>18114</v>
      </c>
      <c r="AX2290" s="80" t="s">
        <v>18114</v>
      </c>
      <c r="AY2290" s="77"/>
      <c r="AZ2290" s="80" t="s">
        <v>20380</v>
      </c>
      <c r="BA2290" s="80" t="s">
        <v>20380</v>
      </c>
      <c r="BB2290" s="80" t="s">
        <v>20380</v>
      </c>
      <c r="BC2290" s="80" t="s">
        <v>18114</v>
      </c>
      <c r="BD2290" s="77">
        <v>3229111961</v>
      </c>
      <c r="BE2290" s="77"/>
      <c r="BF2290" s="77"/>
      <c r="BG2290" s="77"/>
      <c r="BH2290" s="77"/>
      <c r="BI2290" s="77"/>
    </row>
    <row r="2291" spans="1:61" x14ac:dyDescent="0.25">
      <c r="A2291" s="62" t="s">
        <v>930</v>
      </c>
      <c r="B2291" s="62" t="s">
        <v>930</v>
      </c>
      <c r="C2291" s="63"/>
      <c r="D2291" s="64"/>
      <c r="E2291" s="65"/>
      <c r="F2291" s="66"/>
      <c r="G2291" s="63"/>
      <c r="H2291" s="67"/>
      <c r="I2291" s="68"/>
      <c r="J2291" s="68"/>
      <c r="K2291" s="32"/>
      <c r="L2291" s="75">
        <v>2291</v>
      </c>
      <c r="M2291" s="75"/>
      <c r="N2291" s="70"/>
      <c r="O2291" s="77" t="s">
        <v>179</v>
      </c>
      <c r="P2291" s="79">
        <v>45105.764803240738</v>
      </c>
      <c r="Q2291" s="77" t="s">
        <v>4128</v>
      </c>
      <c r="R2291" s="77">
        <v>2</v>
      </c>
      <c r="S2291" s="77">
        <v>1</v>
      </c>
      <c r="T2291" s="77">
        <v>0</v>
      </c>
      <c r="U2291" s="77">
        <v>0</v>
      </c>
      <c r="V2291" s="77">
        <v>216</v>
      </c>
      <c r="W2291" s="80" t="s">
        <v>7359</v>
      </c>
      <c r="X2291" s="83" t="str">
        <f>HYPERLINK("https://goo.su/ukgBw5d")</f>
        <v>https://goo.su/ukgBw5d</v>
      </c>
      <c r="Y2291" s="77" t="s">
        <v>8774</v>
      </c>
      <c r="Z2291" s="77"/>
      <c r="AA2291" s="77" t="s">
        <v>9691</v>
      </c>
      <c r="AB2291" s="77" t="s">
        <v>10535</v>
      </c>
      <c r="AC2291" s="80" t="s">
        <v>10541</v>
      </c>
      <c r="AD2291" s="77" t="s">
        <v>10620</v>
      </c>
      <c r="AE2291" s="83" t="str">
        <f>HYPERLINK("https://twitter.com/wallstreeteasy/status/1674120810267566080")</f>
        <v>https://twitter.com/wallstreeteasy/status/1674120810267566080</v>
      </c>
      <c r="AF2291" s="79">
        <v>45105.764803240738</v>
      </c>
      <c r="AG2291" s="85">
        <v>45105</v>
      </c>
      <c r="AH2291" s="80" t="s">
        <v>12649</v>
      </c>
      <c r="AI2291" s="77" t="b">
        <v>0</v>
      </c>
      <c r="AJ2291" s="77"/>
      <c r="AK2291" s="77"/>
      <c r="AL2291" s="77"/>
      <c r="AM2291" s="77"/>
      <c r="AN2291" s="77"/>
      <c r="AO2291" s="77"/>
      <c r="AP2291" s="77"/>
      <c r="AQ2291" s="77" t="s">
        <v>15173</v>
      </c>
      <c r="AR2291" s="77"/>
      <c r="AS2291" s="77"/>
      <c r="AT2291" s="77"/>
      <c r="AU2291" s="77"/>
      <c r="AV2291" s="83" t="str">
        <f>HYPERLINK("https://pbs.twimg.com/media/Fzurc50WAAEOQKd.png")</f>
        <v>https://pbs.twimg.com/media/Fzurc50WAAEOQKd.png</v>
      </c>
      <c r="AW2291" s="80" t="s">
        <v>18115</v>
      </c>
      <c r="AX2291" s="80" t="s">
        <v>18115</v>
      </c>
      <c r="AY2291" s="77"/>
      <c r="AZ2291" s="80" t="s">
        <v>20380</v>
      </c>
      <c r="BA2291" s="80" t="s">
        <v>20380</v>
      </c>
      <c r="BB2291" s="80" t="s">
        <v>20380</v>
      </c>
      <c r="BC2291" s="80" t="s">
        <v>18115</v>
      </c>
      <c r="BD2291" s="77">
        <v>3229111961</v>
      </c>
      <c r="BE2291" s="77"/>
      <c r="BF2291" s="77"/>
      <c r="BG2291" s="77"/>
      <c r="BH2291" s="77"/>
      <c r="BI2291" s="77"/>
    </row>
    <row r="2292" spans="1:61" x14ac:dyDescent="0.25">
      <c r="A2292" s="62" t="s">
        <v>931</v>
      </c>
      <c r="B2292" s="62" t="s">
        <v>931</v>
      </c>
      <c r="C2292" s="63"/>
      <c r="D2292" s="64"/>
      <c r="E2292" s="65"/>
      <c r="F2292" s="66"/>
      <c r="G2292" s="63"/>
      <c r="H2292" s="67"/>
      <c r="I2292" s="68"/>
      <c r="J2292" s="68"/>
      <c r="K2292" s="32"/>
      <c r="L2292" s="75">
        <v>2292</v>
      </c>
      <c r="M2292" s="75"/>
      <c r="N2292" s="70"/>
      <c r="O2292" s="77" t="s">
        <v>179</v>
      </c>
      <c r="P2292" s="79">
        <v>45160.306944444441</v>
      </c>
      <c r="Q2292" s="77" t="s">
        <v>4129</v>
      </c>
      <c r="R2292" s="77">
        <v>2</v>
      </c>
      <c r="S2292" s="77">
        <v>3</v>
      </c>
      <c r="T2292" s="77">
        <v>0</v>
      </c>
      <c r="U2292" s="77">
        <v>0</v>
      </c>
      <c r="V2292" s="77">
        <v>188</v>
      </c>
      <c r="W2292" s="80" t="s">
        <v>7360</v>
      </c>
      <c r="X2292" s="83" t="str">
        <f>HYPERLINK("http://es.mdn.tv/7GBr")</f>
        <v>http://es.mdn.tv/7GBr</v>
      </c>
      <c r="Y2292" s="77" t="s">
        <v>8775</v>
      </c>
      <c r="Z2292" s="77"/>
      <c r="AA2292" s="77" t="s">
        <v>9692</v>
      </c>
      <c r="AB2292" s="77" t="s">
        <v>10535</v>
      </c>
      <c r="AC2292" s="80" t="s">
        <v>10555</v>
      </c>
      <c r="AD2292" s="77" t="s">
        <v>10620</v>
      </c>
      <c r="AE2292" s="83" t="str">
        <f>HYPERLINK("https://twitter.com/almayadeen_es/status/1693886219166642391")</f>
        <v>https://twitter.com/almayadeen_es/status/1693886219166642391</v>
      </c>
      <c r="AF2292" s="79">
        <v>45160.306944444441</v>
      </c>
      <c r="AG2292" s="85">
        <v>45160</v>
      </c>
      <c r="AH2292" s="80" t="s">
        <v>12650</v>
      </c>
      <c r="AI2292" s="77" t="b">
        <v>0</v>
      </c>
      <c r="AJ2292" s="77"/>
      <c r="AK2292" s="77"/>
      <c r="AL2292" s="77"/>
      <c r="AM2292" s="77"/>
      <c r="AN2292" s="77"/>
      <c r="AO2292" s="77"/>
      <c r="AP2292" s="77"/>
      <c r="AQ2292" s="77" t="s">
        <v>15174</v>
      </c>
      <c r="AR2292" s="77"/>
      <c r="AS2292" s="77"/>
      <c r="AT2292" s="77"/>
      <c r="AU2292" s="77"/>
      <c r="AV2292" s="83" t="str">
        <f>HYPERLINK("https://pbs.twimg.com/media/F4Dzg9rXoAI2Y1C.png")</f>
        <v>https://pbs.twimg.com/media/F4Dzg9rXoAI2Y1C.png</v>
      </c>
      <c r="AW2292" s="80" t="s">
        <v>18116</v>
      </c>
      <c r="AX2292" s="80" t="s">
        <v>18116</v>
      </c>
      <c r="AY2292" s="77"/>
      <c r="AZ2292" s="80" t="s">
        <v>20380</v>
      </c>
      <c r="BA2292" s="80" t="s">
        <v>20380</v>
      </c>
      <c r="BB2292" s="80" t="s">
        <v>20380</v>
      </c>
      <c r="BC2292" s="80" t="s">
        <v>18116</v>
      </c>
      <c r="BD2292" s="77">
        <v>2816433530</v>
      </c>
      <c r="BE2292" s="77"/>
      <c r="BF2292" s="77"/>
      <c r="BG2292" s="77"/>
      <c r="BH2292" s="77"/>
      <c r="BI2292" s="77"/>
    </row>
    <row r="2293" spans="1:61" x14ac:dyDescent="0.25">
      <c r="A2293" s="62" t="s">
        <v>931</v>
      </c>
      <c r="B2293" s="62" t="s">
        <v>931</v>
      </c>
      <c r="C2293" s="63"/>
      <c r="D2293" s="64"/>
      <c r="E2293" s="65"/>
      <c r="F2293" s="66"/>
      <c r="G2293" s="63"/>
      <c r="H2293" s="67"/>
      <c r="I2293" s="68"/>
      <c r="J2293" s="68"/>
      <c r="K2293" s="32"/>
      <c r="L2293" s="75">
        <v>2293</v>
      </c>
      <c r="M2293" s="75"/>
      <c r="N2293" s="70"/>
      <c r="O2293" s="77" t="s">
        <v>179</v>
      </c>
      <c r="P2293" s="79">
        <v>45160.137499999997</v>
      </c>
      <c r="Q2293" s="77" t="s">
        <v>4130</v>
      </c>
      <c r="R2293" s="77">
        <v>1</v>
      </c>
      <c r="S2293" s="77">
        <v>0</v>
      </c>
      <c r="T2293" s="77">
        <v>0</v>
      </c>
      <c r="U2293" s="77">
        <v>0</v>
      </c>
      <c r="V2293" s="77">
        <v>281</v>
      </c>
      <c r="W2293" s="80" t="s">
        <v>7361</v>
      </c>
      <c r="X2293" s="83" t="str">
        <f>HYPERLINK("http://es.mdn.tv/7GBo")</f>
        <v>http://es.mdn.tv/7GBo</v>
      </c>
      <c r="Y2293" s="77" t="s">
        <v>8775</v>
      </c>
      <c r="Z2293" s="77"/>
      <c r="AA2293" s="77" t="s">
        <v>9693</v>
      </c>
      <c r="AB2293" s="77" t="s">
        <v>10535</v>
      </c>
      <c r="AC2293" s="80" t="s">
        <v>10555</v>
      </c>
      <c r="AD2293" s="77" t="s">
        <v>10620</v>
      </c>
      <c r="AE2293" s="83" t="str">
        <f>HYPERLINK("https://twitter.com/almayadeen_es/status/1693824814652559376")</f>
        <v>https://twitter.com/almayadeen_es/status/1693824814652559376</v>
      </c>
      <c r="AF2293" s="79">
        <v>45160.137499999997</v>
      </c>
      <c r="AG2293" s="85">
        <v>45160</v>
      </c>
      <c r="AH2293" s="80" t="s">
        <v>12651</v>
      </c>
      <c r="AI2293" s="77" t="b">
        <v>0</v>
      </c>
      <c r="AJ2293" s="77"/>
      <c r="AK2293" s="77"/>
      <c r="AL2293" s="77"/>
      <c r="AM2293" s="77"/>
      <c r="AN2293" s="77"/>
      <c r="AO2293" s="77"/>
      <c r="AP2293" s="77"/>
      <c r="AQ2293" s="77" t="s">
        <v>15175</v>
      </c>
      <c r="AR2293" s="77"/>
      <c r="AS2293" s="77"/>
      <c r="AT2293" s="77"/>
      <c r="AU2293" s="77"/>
      <c r="AV2293" s="83" t="str">
        <f>HYPERLINK("https://pbs.twimg.com/media/F4DvQCUXMAEJOhs.png")</f>
        <v>https://pbs.twimg.com/media/F4DvQCUXMAEJOhs.png</v>
      </c>
      <c r="AW2293" s="80" t="s">
        <v>18117</v>
      </c>
      <c r="AX2293" s="80" t="s">
        <v>18117</v>
      </c>
      <c r="AY2293" s="77"/>
      <c r="AZ2293" s="80" t="s">
        <v>20380</v>
      </c>
      <c r="BA2293" s="80" t="s">
        <v>20380</v>
      </c>
      <c r="BB2293" s="80" t="s">
        <v>20380</v>
      </c>
      <c r="BC2293" s="80" t="s">
        <v>18117</v>
      </c>
      <c r="BD2293" s="77">
        <v>2816433530</v>
      </c>
      <c r="BE2293" s="77"/>
      <c r="BF2293" s="77"/>
      <c r="BG2293" s="77"/>
      <c r="BH2293" s="77"/>
      <c r="BI2293" s="77"/>
    </row>
    <row r="2294" spans="1:61" x14ac:dyDescent="0.25">
      <c r="A2294" s="62" t="s">
        <v>931</v>
      </c>
      <c r="B2294" s="62" t="s">
        <v>931</v>
      </c>
      <c r="C2294" s="63"/>
      <c r="D2294" s="64"/>
      <c r="E2294" s="65"/>
      <c r="F2294" s="66"/>
      <c r="G2294" s="63"/>
      <c r="H2294" s="67"/>
      <c r="I2294" s="68"/>
      <c r="J2294" s="68"/>
      <c r="K2294" s="32"/>
      <c r="L2294" s="75">
        <v>2294</v>
      </c>
      <c r="M2294" s="75"/>
      <c r="N2294" s="70"/>
      <c r="O2294" s="77" t="s">
        <v>179</v>
      </c>
      <c r="P2294" s="79">
        <v>45116.01666666667</v>
      </c>
      <c r="Q2294" s="77" t="s">
        <v>4131</v>
      </c>
      <c r="R2294" s="77">
        <v>2</v>
      </c>
      <c r="S2294" s="77">
        <v>2</v>
      </c>
      <c r="T2294" s="77">
        <v>0</v>
      </c>
      <c r="U2294" s="77">
        <v>0</v>
      </c>
      <c r="V2294" s="77">
        <v>285</v>
      </c>
      <c r="W2294" s="80" t="s">
        <v>7362</v>
      </c>
      <c r="X2294" s="83" t="str">
        <f>HYPERLINK("http://es.mdn.tv/7D34")</f>
        <v>http://es.mdn.tv/7D34</v>
      </c>
      <c r="Y2294" s="77" t="s">
        <v>8775</v>
      </c>
      <c r="Z2294" s="77"/>
      <c r="AA2294" s="77" t="s">
        <v>9694</v>
      </c>
      <c r="AB2294" s="77" t="s">
        <v>10535</v>
      </c>
      <c r="AC2294" s="80" t="s">
        <v>10555</v>
      </c>
      <c r="AD2294" s="77" t="s">
        <v>10624</v>
      </c>
      <c r="AE2294" s="83" t="str">
        <f>HYPERLINK("https://twitter.com/almayadeen_es/status/1677835959856160768")</f>
        <v>https://twitter.com/almayadeen_es/status/1677835959856160768</v>
      </c>
      <c r="AF2294" s="79">
        <v>45116.01666666667</v>
      </c>
      <c r="AG2294" s="85">
        <v>45116</v>
      </c>
      <c r="AH2294" s="80" t="s">
        <v>12652</v>
      </c>
      <c r="AI2294" s="77" t="b">
        <v>0</v>
      </c>
      <c r="AJ2294" s="77"/>
      <c r="AK2294" s="77"/>
      <c r="AL2294" s="77"/>
      <c r="AM2294" s="77"/>
      <c r="AN2294" s="77"/>
      <c r="AO2294" s="77"/>
      <c r="AP2294" s="77"/>
      <c r="AQ2294" s="77" t="s">
        <v>15176</v>
      </c>
      <c r="AR2294" s="77"/>
      <c r="AS2294" s="77"/>
      <c r="AT2294" s="77"/>
      <c r="AU2294" s="77"/>
      <c r="AV2294" s="83" t="str">
        <f>HYPERLINK("https://pbs.twimg.com/media/F0dXic2WAAUL164.png")</f>
        <v>https://pbs.twimg.com/media/F0dXic2WAAUL164.png</v>
      </c>
      <c r="AW2294" s="80" t="s">
        <v>18118</v>
      </c>
      <c r="AX2294" s="80" t="s">
        <v>18118</v>
      </c>
      <c r="AY2294" s="77"/>
      <c r="AZ2294" s="80" t="s">
        <v>20380</v>
      </c>
      <c r="BA2294" s="80" t="s">
        <v>20380</v>
      </c>
      <c r="BB2294" s="80" t="s">
        <v>20380</v>
      </c>
      <c r="BC2294" s="80" t="s">
        <v>18118</v>
      </c>
      <c r="BD2294" s="77">
        <v>2816433530</v>
      </c>
      <c r="BE2294" s="77"/>
      <c r="BF2294" s="77"/>
      <c r="BG2294" s="77"/>
      <c r="BH2294" s="77"/>
      <c r="BI2294" s="77"/>
    </row>
    <row r="2295" spans="1:61" x14ac:dyDescent="0.25">
      <c r="A2295" s="62" t="s">
        <v>931</v>
      </c>
      <c r="B2295" s="62" t="s">
        <v>931</v>
      </c>
      <c r="C2295" s="63"/>
      <c r="D2295" s="64"/>
      <c r="E2295" s="65"/>
      <c r="F2295" s="66"/>
      <c r="G2295" s="63"/>
      <c r="H2295" s="67"/>
      <c r="I2295" s="68"/>
      <c r="J2295" s="68"/>
      <c r="K2295" s="32"/>
      <c r="L2295" s="75">
        <v>2295</v>
      </c>
      <c r="M2295" s="75"/>
      <c r="N2295" s="70"/>
      <c r="O2295" s="77" t="s">
        <v>179</v>
      </c>
      <c r="P2295" s="79">
        <v>45078.217361111114</v>
      </c>
      <c r="Q2295" s="77" t="s">
        <v>4132</v>
      </c>
      <c r="R2295" s="77">
        <v>3</v>
      </c>
      <c r="S2295" s="77">
        <v>1</v>
      </c>
      <c r="T2295" s="77">
        <v>0</v>
      </c>
      <c r="U2295" s="77">
        <v>0</v>
      </c>
      <c r="V2295" s="77">
        <v>235</v>
      </c>
      <c r="W2295" s="80" t="s">
        <v>7363</v>
      </c>
      <c r="X2295" s="83" t="str">
        <f>HYPERLINK("http://es.mdn.tv/7ACQ")</f>
        <v>http://es.mdn.tv/7ACQ</v>
      </c>
      <c r="Y2295" s="77" t="s">
        <v>8775</v>
      </c>
      <c r="Z2295" s="77"/>
      <c r="AA2295" s="77" t="s">
        <v>9695</v>
      </c>
      <c r="AB2295" s="77" t="s">
        <v>10535</v>
      </c>
      <c r="AC2295" s="80" t="s">
        <v>10555</v>
      </c>
      <c r="AD2295" s="77" t="s">
        <v>10620</v>
      </c>
      <c r="AE2295" s="83" t="str">
        <f>HYPERLINK("https://twitter.com/almayadeen_es/status/1664137950358110208")</f>
        <v>https://twitter.com/almayadeen_es/status/1664137950358110208</v>
      </c>
      <c r="AF2295" s="79">
        <v>45078.217361111114</v>
      </c>
      <c r="AG2295" s="85">
        <v>45078</v>
      </c>
      <c r="AH2295" s="80" t="s">
        <v>12653</v>
      </c>
      <c r="AI2295" s="77" t="b">
        <v>0</v>
      </c>
      <c r="AJ2295" s="77"/>
      <c r="AK2295" s="77"/>
      <c r="AL2295" s="77"/>
      <c r="AM2295" s="77"/>
      <c r="AN2295" s="77"/>
      <c r="AO2295" s="77"/>
      <c r="AP2295" s="77"/>
      <c r="AQ2295" s="77" t="s">
        <v>15177</v>
      </c>
      <c r="AR2295" s="77"/>
      <c r="AS2295" s="77"/>
      <c r="AT2295" s="77"/>
      <c r="AU2295" s="77"/>
      <c r="AV2295" s="83" t="str">
        <f>HYPERLINK("https://pbs.twimg.com/media/FxdVa_9WIAEweiO.png")</f>
        <v>https://pbs.twimg.com/media/FxdVa_9WIAEweiO.png</v>
      </c>
      <c r="AW2295" s="80" t="s">
        <v>18119</v>
      </c>
      <c r="AX2295" s="80" t="s">
        <v>18119</v>
      </c>
      <c r="AY2295" s="77"/>
      <c r="AZ2295" s="80" t="s">
        <v>20380</v>
      </c>
      <c r="BA2295" s="80" t="s">
        <v>20380</v>
      </c>
      <c r="BB2295" s="80" t="s">
        <v>20380</v>
      </c>
      <c r="BC2295" s="80" t="s">
        <v>18119</v>
      </c>
      <c r="BD2295" s="77">
        <v>2816433530</v>
      </c>
      <c r="BE2295" s="77"/>
      <c r="BF2295" s="77"/>
      <c r="BG2295" s="77"/>
      <c r="BH2295" s="77"/>
      <c r="BI2295" s="77"/>
    </row>
    <row r="2296" spans="1:61" x14ac:dyDescent="0.25">
      <c r="A2296" s="62" t="s">
        <v>931</v>
      </c>
      <c r="B2296" s="62" t="s">
        <v>931</v>
      </c>
      <c r="C2296" s="63"/>
      <c r="D2296" s="64"/>
      <c r="E2296" s="65"/>
      <c r="F2296" s="66"/>
      <c r="G2296" s="63"/>
      <c r="H2296" s="67"/>
      <c r="I2296" s="68"/>
      <c r="J2296" s="68"/>
      <c r="K2296" s="32"/>
      <c r="L2296" s="75">
        <v>2296</v>
      </c>
      <c r="M2296" s="75"/>
      <c r="N2296" s="70"/>
      <c r="O2296" s="77" t="s">
        <v>179</v>
      </c>
      <c r="P2296" s="79">
        <v>45164.308333333334</v>
      </c>
      <c r="Q2296" s="77" t="s">
        <v>4133</v>
      </c>
      <c r="R2296" s="77">
        <v>2</v>
      </c>
      <c r="S2296" s="77">
        <v>3</v>
      </c>
      <c r="T2296" s="77">
        <v>0</v>
      </c>
      <c r="U2296" s="77">
        <v>0</v>
      </c>
      <c r="V2296" s="77">
        <v>264</v>
      </c>
      <c r="W2296" s="80" t="s">
        <v>7364</v>
      </c>
      <c r="X2296" s="83" t="str">
        <f>HYPERLINK("http://es.mdn.tv/7Ivk")</f>
        <v>http://es.mdn.tv/7Ivk</v>
      </c>
      <c r="Y2296" s="77" t="s">
        <v>8775</v>
      </c>
      <c r="Z2296" s="77"/>
      <c r="AA2296" s="77" t="s">
        <v>9696</v>
      </c>
      <c r="AB2296" s="77" t="s">
        <v>10535</v>
      </c>
      <c r="AC2296" s="80" t="s">
        <v>10555</v>
      </c>
      <c r="AD2296" s="77" t="s">
        <v>10620</v>
      </c>
      <c r="AE2296" s="83" t="str">
        <f>HYPERLINK("https://twitter.com/almayadeen_es/status/1695336274041987236")</f>
        <v>https://twitter.com/almayadeen_es/status/1695336274041987236</v>
      </c>
      <c r="AF2296" s="79">
        <v>45164.308333333334</v>
      </c>
      <c r="AG2296" s="85">
        <v>45164</v>
      </c>
      <c r="AH2296" s="80" t="s">
        <v>12654</v>
      </c>
      <c r="AI2296" s="77" t="b">
        <v>0</v>
      </c>
      <c r="AJ2296" s="77"/>
      <c r="AK2296" s="77"/>
      <c r="AL2296" s="77"/>
      <c r="AM2296" s="77"/>
      <c r="AN2296" s="77"/>
      <c r="AO2296" s="77"/>
      <c r="AP2296" s="77"/>
      <c r="AQ2296" s="77" t="s">
        <v>15178</v>
      </c>
      <c r="AR2296" s="77"/>
      <c r="AS2296" s="77"/>
      <c r="AT2296" s="77"/>
      <c r="AU2296" s="77"/>
      <c r="AV2296" s="83" t="str">
        <f>HYPERLINK("https://pbs.twimg.com/media/F4X8lkiXEAATO9k.png")</f>
        <v>https://pbs.twimg.com/media/F4X8lkiXEAATO9k.png</v>
      </c>
      <c r="AW2296" s="80" t="s">
        <v>18120</v>
      </c>
      <c r="AX2296" s="80" t="s">
        <v>18120</v>
      </c>
      <c r="AY2296" s="77"/>
      <c r="AZ2296" s="80" t="s">
        <v>20380</v>
      </c>
      <c r="BA2296" s="80" t="s">
        <v>20380</v>
      </c>
      <c r="BB2296" s="80" t="s">
        <v>20380</v>
      </c>
      <c r="BC2296" s="80" t="s">
        <v>18120</v>
      </c>
      <c r="BD2296" s="77">
        <v>2816433530</v>
      </c>
      <c r="BE2296" s="77"/>
      <c r="BF2296" s="77"/>
      <c r="BG2296" s="77"/>
      <c r="BH2296" s="77"/>
      <c r="BI2296" s="77"/>
    </row>
    <row r="2297" spans="1:61" x14ac:dyDescent="0.25">
      <c r="A2297" s="62" t="s">
        <v>931</v>
      </c>
      <c r="B2297" s="62" t="s">
        <v>931</v>
      </c>
      <c r="C2297" s="63"/>
      <c r="D2297" s="64"/>
      <c r="E2297" s="65"/>
      <c r="F2297" s="66"/>
      <c r="G2297" s="63"/>
      <c r="H2297" s="67"/>
      <c r="I2297" s="68"/>
      <c r="J2297" s="68"/>
      <c r="K2297" s="32"/>
      <c r="L2297" s="75">
        <v>2297</v>
      </c>
      <c r="M2297" s="75"/>
      <c r="N2297" s="70"/>
      <c r="O2297" s="77" t="s">
        <v>179</v>
      </c>
      <c r="P2297" s="79">
        <v>45177.627083333333</v>
      </c>
      <c r="Q2297" s="77" t="s">
        <v>4134</v>
      </c>
      <c r="R2297" s="77">
        <v>1</v>
      </c>
      <c r="S2297" s="77">
        <v>1</v>
      </c>
      <c r="T2297" s="77">
        <v>0</v>
      </c>
      <c r="U2297" s="77">
        <v>0</v>
      </c>
      <c r="V2297" s="77">
        <v>185</v>
      </c>
      <c r="W2297" s="80" t="s">
        <v>7365</v>
      </c>
      <c r="X2297" s="83" t="str">
        <f>HYPERLINK("http://es.mdn.tv/7Jvm")</f>
        <v>http://es.mdn.tv/7Jvm</v>
      </c>
      <c r="Y2297" s="77" t="s">
        <v>8775</v>
      </c>
      <c r="Z2297" s="77"/>
      <c r="AA2297" s="77" t="s">
        <v>9697</v>
      </c>
      <c r="AB2297" s="77" t="s">
        <v>10535</v>
      </c>
      <c r="AC2297" s="80" t="s">
        <v>10555</v>
      </c>
      <c r="AD2297" s="77" t="s">
        <v>10620</v>
      </c>
      <c r="AE2297" s="83" t="str">
        <f>HYPERLINK("https://twitter.com/almayadeen_es/status/1700162828236161504")</f>
        <v>https://twitter.com/almayadeen_es/status/1700162828236161504</v>
      </c>
      <c r="AF2297" s="79">
        <v>45177.627083333333</v>
      </c>
      <c r="AG2297" s="85">
        <v>45177</v>
      </c>
      <c r="AH2297" s="80" t="s">
        <v>12655</v>
      </c>
      <c r="AI2297" s="77" t="b">
        <v>0</v>
      </c>
      <c r="AJ2297" s="77"/>
      <c r="AK2297" s="77"/>
      <c r="AL2297" s="77"/>
      <c r="AM2297" s="77"/>
      <c r="AN2297" s="77"/>
      <c r="AO2297" s="77"/>
      <c r="AP2297" s="77"/>
      <c r="AQ2297" s="77" t="s">
        <v>15179</v>
      </c>
      <c r="AR2297" s="77"/>
      <c r="AS2297" s="77"/>
      <c r="AT2297" s="77"/>
      <c r="AU2297" s="77"/>
      <c r="AV2297" s="83" t="str">
        <f>HYPERLINK("https://pbs.twimg.com/media/F5a-cdyXAAA9RR8.png")</f>
        <v>https://pbs.twimg.com/media/F5a-cdyXAAA9RR8.png</v>
      </c>
      <c r="AW2297" s="80" t="s">
        <v>18121</v>
      </c>
      <c r="AX2297" s="80" t="s">
        <v>18121</v>
      </c>
      <c r="AY2297" s="77"/>
      <c r="AZ2297" s="80" t="s">
        <v>20380</v>
      </c>
      <c r="BA2297" s="80" t="s">
        <v>20380</v>
      </c>
      <c r="BB2297" s="80" t="s">
        <v>20380</v>
      </c>
      <c r="BC2297" s="80" t="s">
        <v>18121</v>
      </c>
      <c r="BD2297" s="77">
        <v>2816433530</v>
      </c>
      <c r="BE2297" s="77"/>
      <c r="BF2297" s="77"/>
      <c r="BG2297" s="77"/>
      <c r="BH2297" s="77"/>
      <c r="BI2297" s="77"/>
    </row>
    <row r="2298" spans="1:61" x14ac:dyDescent="0.25">
      <c r="A2298" s="62" t="s">
        <v>932</v>
      </c>
      <c r="B2298" s="62" t="s">
        <v>1924</v>
      </c>
      <c r="C2298" s="63"/>
      <c r="D2298" s="64"/>
      <c r="E2298" s="65"/>
      <c r="F2298" s="66"/>
      <c r="G2298" s="63"/>
      <c r="H2298" s="67"/>
      <c r="I2298" s="68"/>
      <c r="J2298" s="68"/>
      <c r="K2298" s="32"/>
      <c r="L2298" s="75">
        <v>2298</v>
      </c>
      <c r="M2298" s="75"/>
      <c r="N2298" s="70"/>
      <c r="O2298" s="77" t="s">
        <v>2081</v>
      </c>
      <c r="P2298" s="79">
        <v>45083.923726851855</v>
      </c>
      <c r="Q2298" s="77" t="s">
        <v>4135</v>
      </c>
      <c r="R2298" s="77">
        <v>1</v>
      </c>
      <c r="S2298" s="77">
        <v>0</v>
      </c>
      <c r="T2298" s="77">
        <v>0</v>
      </c>
      <c r="U2298" s="77">
        <v>0</v>
      </c>
      <c r="V2298" s="77">
        <v>227</v>
      </c>
      <c r="W2298" s="80" t="s">
        <v>7366</v>
      </c>
      <c r="X2298" s="83" t="str">
        <f>HYPERLINK("http://bit.ly/3qkgV6g")</f>
        <v>http://bit.ly/3qkgV6g</v>
      </c>
      <c r="Y2298" s="77" t="s">
        <v>8618</v>
      </c>
      <c r="Z2298" s="77" t="s">
        <v>8977</v>
      </c>
      <c r="AA2298" s="77" t="s">
        <v>9698</v>
      </c>
      <c r="AB2298" s="77" t="s">
        <v>10535</v>
      </c>
      <c r="AC2298" s="80" t="s">
        <v>10552</v>
      </c>
      <c r="AD2298" s="77" t="s">
        <v>10620</v>
      </c>
      <c r="AE2298" s="83" t="str">
        <f>HYPERLINK("https://twitter.com/pregrado_fen/status/1666205870630264847")</f>
        <v>https://twitter.com/pregrado_fen/status/1666205870630264847</v>
      </c>
      <c r="AF2298" s="79">
        <v>45083.923726851855</v>
      </c>
      <c r="AG2298" s="85">
        <v>45083</v>
      </c>
      <c r="AH2298" s="80" t="s">
        <v>12656</v>
      </c>
      <c r="AI2298" s="77" t="b">
        <v>0</v>
      </c>
      <c r="AJ2298" s="77"/>
      <c r="AK2298" s="77"/>
      <c r="AL2298" s="77"/>
      <c r="AM2298" s="77"/>
      <c r="AN2298" s="77"/>
      <c r="AO2298" s="77"/>
      <c r="AP2298" s="77"/>
      <c r="AQ2298" s="77" t="s">
        <v>15180</v>
      </c>
      <c r="AR2298" s="77"/>
      <c r="AS2298" s="77"/>
      <c r="AT2298" s="77"/>
      <c r="AU2298" s="77"/>
      <c r="AV2298" s="83" t="str">
        <f>HYPERLINK("https://pbs.twimg.com/media/Fx-NaRPWYAsBKVS.png")</f>
        <v>https://pbs.twimg.com/media/Fx-NaRPWYAsBKVS.png</v>
      </c>
      <c r="AW2298" s="80" t="s">
        <v>18122</v>
      </c>
      <c r="AX2298" s="80" t="s">
        <v>18122</v>
      </c>
      <c r="AY2298" s="77"/>
      <c r="AZ2298" s="80" t="s">
        <v>20380</v>
      </c>
      <c r="BA2298" s="80" t="s">
        <v>20380</v>
      </c>
      <c r="BB2298" s="80" t="s">
        <v>20380</v>
      </c>
      <c r="BC2298" s="80" t="s">
        <v>18122</v>
      </c>
      <c r="BD2298" s="77">
        <v>164459082</v>
      </c>
      <c r="BE2298" s="77"/>
      <c r="BF2298" s="77"/>
      <c r="BG2298" s="77"/>
      <c r="BH2298" s="77"/>
      <c r="BI2298" s="77"/>
    </row>
    <row r="2299" spans="1:61" x14ac:dyDescent="0.25">
      <c r="A2299" s="62" t="s">
        <v>932</v>
      </c>
      <c r="B2299" s="62" t="s">
        <v>1924</v>
      </c>
      <c r="C2299" s="63"/>
      <c r="D2299" s="64"/>
      <c r="E2299" s="65"/>
      <c r="F2299" s="66"/>
      <c r="G2299" s="63"/>
      <c r="H2299" s="67"/>
      <c r="I2299" s="68"/>
      <c r="J2299" s="68"/>
      <c r="K2299" s="32"/>
      <c r="L2299" s="75">
        <v>2299</v>
      </c>
      <c r="M2299" s="75"/>
      <c r="N2299" s="70"/>
      <c r="O2299" s="77" t="s">
        <v>2081</v>
      </c>
      <c r="P2299" s="79">
        <v>45080.923715277779</v>
      </c>
      <c r="Q2299" s="77" t="s">
        <v>4136</v>
      </c>
      <c r="R2299" s="77">
        <v>1</v>
      </c>
      <c r="S2299" s="77">
        <v>0</v>
      </c>
      <c r="T2299" s="77">
        <v>0</v>
      </c>
      <c r="U2299" s="77">
        <v>0</v>
      </c>
      <c r="V2299" s="77">
        <v>164</v>
      </c>
      <c r="W2299" s="80" t="s">
        <v>7366</v>
      </c>
      <c r="X2299" s="83" t="str">
        <f>HYPERLINK("http://bit.ly/3qkgV6g")</f>
        <v>http://bit.ly/3qkgV6g</v>
      </c>
      <c r="Y2299" s="77" t="s">
        <v>8618</v>
      </c>
      <c r="Z2299" s="77" t="s">
        <v>8977</v>
      </c>
      <c r="AA2299" s="77" t="s">
        <v>9699</v>
      </c>
      <c r="AB2299" s="77" t="s">
        <v>10535</v>
      </c>
      <c r="AC2299" s="80" t="s">
        <v>10552</v>
      </c>
      <c r="AD2299" s="77" t="s">
        <v>10620</v>
      </c>
      <c r="AE2299" s="83" t="str">
        <f>HYPERLINK("https://twitter.com/pregrado_fen/status/1665118701765505025")</f>
        <v>https://twitter.com/pregrado_fen/status/1665118701765505025</v>
      </c>
      <c r="AF2299" s="79">
        <v>45080.923715277779</v>
      </c>
      <c r="AG2299" s="85">
        <v>45080</v>
      </c>
      <c r="AH2299" s="80" t="s">
        <v>12657</v>
      </c>
      <c r="AI2299" s="77" t="b">
        <v>0</v>
      </c>
      <c r="AJ2299" s="77"/>
      <c r="AK2299" s="77"/>
      <c r="AL2299" s="77"/>
      <c r="AM2299" s="77"/>
      <c r="AN2299" s="77"/>
      <c r="AO2299" s="77"/>
      <c r="AP2299" s="77"/>
      <c r="AQ2299" s="77" t="s">
        <v>15181</v>
      </c>
      <c r="AR2299" s="77"/>
      <c r="AS2299" s="77"/>
      <c r="AT2299" s="77"/>
      <c r="AU2299" s="77"/>
      <c r="AV2299" s="83" t="str">
        <f>HYPERLINK("https://pbs.twimg.com/media/FxuwotMXoAEjVzA.png")</f>
        <v>https://pbs.twimg.com/media/FxuwotMXoAEjVzA.png</v>
      </c>
      <c r="AW2299" s="80" t="s">
        <v>18123</v>
      </c>
      <c r="AX2299" s="80" t="s">
        <v>18123</v>
      </c>
      <c r="AY2299" s="77"/>
      <c r="AZ2299" s="80" t="s">
        <v>20380</v>
      </c>
      <c r="BA2299" s="80" t="s">
        <v>20380</v>
      </c>
      <c r="BB2299" s="80" t="s">
        <v>20380</v>
      </c>
      <c r="BC2299" s="80" t="s">
        <v>18123</v>
      </c>
      <c r="BD2299" s="77">
        <v>164459082</v>
      </c>
      <c r="BE2299" s="77"/>
      <c r="BF2299" s="77"/>
      <c r="BG2299" s="77"/>
      <c r="BH2299" s="77"/>
      <c r="BI2299" s="77"/>
    </row>
    <row r="2300" spans="1:61" x14ac:dyDescent="0.25">
      <c r="A2300" s="62" t="s">
        <v>932</v>
      </c>
      <c r="B2300" s="62" t="s">
        <v>1924</v>
      </c>
      <c r="C2300" s="63"/>
      <c r="D2300" s="64"/>
      <c r="E2300" s="65"/>
      <c r="F2300" s="66"/>
      <c r="G2300" s="63"/>
      <c r="H2300" s="67"/>
      <c r="I2300" s="68"/>
      <c r="J2300" s="68"/>
      <c r="K2300" s="32"/>
      <c r="L2300" s="75">
        <v>2300</v>
      </c>
      <c r="M2300" s="75"/>
      <c r="N2300" s="70"/>
      <c r="O2300" s="77" t="s">
        <v>2081</v>
      </c>
      <c r="P2300" s="79">
        <v>45085.423750000002</v>
      </c>
      <c r="Q2300" s="77" t="s">
        <v>4137</v>
      </c>
      <c r="R2300" s="77">
        <v>0</v>
      </c>
      <c r="S2300" s="77">
        <v>0</v>
      </c>
      <c r="T2300" s="77">
        <v>0</v>
      </c>
      <c r="U2300" s="77">
        <v>0</v>
      </c>
      <c r="V2300" s="77">
        <v>101</v>
      </c>
      <c r="W2300" s="80" t="s">
        <v>7366</v>
      </c>
      <c r="X2300" s="83" t="str">
        <f>HYPERLINK("http://bit.ly/3qkgV6g")</f>
        <v>http://bit.ly/3qkgV6g</v>
      </c>
      <c r="Y2300" s="77" t="s">
        <v>8618</v>
      </c>
      <c r="Z2300" s="77" t="s">
        <v>8977</v>
      </c>
      <c r="AA2300" s="77" t="s">
        <v>9700</v>
      </c>
      <c r="AB2300" s="77" t="s">
        <v>10535</v>
      </c>
      <c r="AC2300" s="80" t="s">
        <v>10552</v>
      </c>
      <c r="AD2300" s="77" t="s">
        <v>10620</v>
      </c>
      <c r="AE2300" s="83" t="str">
        <f>HYPERLINK("https://twitter.com/pregrado_fen/status/1666749457558274050")</f>
        <v>https://twitter.com/pregrado_fen/status/1666749457558274050</v>
      </c>
      <c r="AF2300" s="79">
        <v>45085.423750000002</v>
      </c>
      <c r="AG2300" s="85">
        <v>45085</v>
      </c>
      <c r="AH2300" s="80" t="s">
        <v>12658</v>
      </c>
      <c r="AI2300" s="77" t="b">
        <v>0</v>
      </c>
      <c r="AJ2300" s="77"/>
      <c r="AK2300" s="77"/>
      <c r="AL2300" s="77"/>
      <c r="AM2300" s="77"/>
      <c r="AN2300" s="77"/>
      <c r="AO2300" s="77"/>
      <c r="AP2300" s="77"/>
      <c r="AQ2300" s="77" t="s">
        <v>15182</v>
      </c>
      <c r="AR2300" s="77"/>
      <c r="AS2300" s="77"/>
      <c r="AT2300" s="77"/>
      <c r="AU2300" s="77"/>
      <c r="AV2300" s="83" t="str">
        <f>HYPERLINK("https://pbs.twimg.com/media/FyF7zL-X0AA_Blu.png")</f>
        <v>https://pbs.twimg.com/media/FyF7zL-X0AA_Blu.png</v>
      </c>
      <c r="AW2300" s="80" t="s">
        <v>18124</v>
      </c>
      <c r="AX2300" s="80" t="s">
        <v>18124</v>
      </c>
      <c r="AY2300" s="77"/>
      <c r="AZ2300" s="80" t="s">
        <v>20380</v>
      </c>
      <c r="BA2300" s="80" t="s">
        <v>20380</v>
      </c>
      <c r="BB2300" s="80" t="s">
        <v>20380</v>
      </c>
      <c r="BC2300" s="80" t="s">
        <v>18124</v>
      </c>
      <c r="BD2300" s="77">
        <v>164459082</v>
      </c>
      <c r="BE2300" s="77"/>
      <c r="BF2300" s="77"/>
      <c r="BG2300" s="77"/>
      <c r="BH2300" s="77"/>
      <c r="BI2300" s="77"/>
    </row>
    <row r="2301" spans="1:61" x14ac:dyDescent="0.25">
      <c r="A2301" s="62" t="s">
        <v>932</v>
      </c>
      <c r="B2301" s="62" t="s">
        <v>1924</v>
      </c>
      <c r="C2301" s="63"/>
      <c r="D2301" s="64"/>
      <c r="E2301" s="65"/>
      <c r="F2301" s="66"/>
      <c r="G2301" s="63"/>
      <c r="H2301" s="67"/>
      <c r="I2301" s="68"/>
      <c r="J2301" s="68"/>
      <c r="K2301" s="32"/>
      <c r="L2301" s="75">
        <v>2301</v>
      </c>
      <c r="M2301" s="75"/>
      <c r="N2301" s="70"/>
      <c r="O2301" s="77" t="s">
        <v>2081</v>
      </c>
      <c r="P2301" s="79">
        <v>45078.615277777775</v>
      </c>
      <c r="Q2301" s="77" t="s">
        <v>4138</v>
      </c>
      <c r="R2301" s="77">
        <v>1</v>
      </c>
      <c r="S2301" s="77">
        <v>0</v>
      </c>
      <c r="T2301" s="77">
        <v>0</v>
      </c>
      <c r="U2301" s="77">
        <v>0</v>
      </c>
      <c r="V2301" s="77">
        <v>98</v>
      </c>
      <c r="W2301" s="80" t="s">
        <v>7366</v>
      </c>
      <c r="X2301" s="83" t="str">
        <f>HYPERLINK("https://docs.google.com/forms/d/e/1FAIpQLSeGkchDtVRtCYcaakl0l0LeaMJQzk1kUGfjiP7xxk8nDMI5oA/viewform")</f>
        <v>https://docs.google.com/forms/d/e/1FAIpQLSeGkchDtVRtCYcaakl0l0LeaMJQzk1kUGfjiP7xxk8nDMI5oA/viewform</v>
      </c>
      <c r="Y2301" s="77" t="s">
        <v>8776</v>
      </c>
      <c r="Z2301" s="77" t="s">
        <v>8977</v>
      </c>
      <c r="AA2301" s="77" t="s">
        <v>9701</v>
      </c>
      <c r="AB2301" s="77" t="s">
        <v>10535</v>
      </c>
      <c r="AC2301" s="80" t="s">
        <v>10541</v>
      </c>
      <c r="AD2301" s="77" t="s">
        <v>10620</v>
      </c>
      <c r="AE2301" s="83" t="str">
        <f>HYPERLINK("https://twitter.com/pregrado_fen/status/1664282152413057029")</f>
        <v>https://twitter.com/pregrado_fen/status/1664282152413057029</v>
      </c>
      <c r="AF2301" s="79">
        <v>45078.615277777775</v>
      </c>
      <c r="AG2301" s="85">
        <v>45078</v>
      </c>
      <c r="AH2301" s="80" t="s">
        <v>12659</v>
      </c>
      <c r="AI2301" s="77" t="b">
        <v>0</v>
      </c>
      <c r="AJ2301" s="77"/>
      <c r="AK2301" s="77"/>
      <c r="AL2301" s="77"/>
      <c r="AM2301" s="77"/>
      <c r="AN2301" s="77"/>
      <c r="AO2301" s="77"/>
      <c r="AP2301" s="77"/>
      <c r="AQ2301" s="77" t="s">
        <v>15183</v>
      </c>
      <c r="AR2301" s="77"/>
      <c r="AS2301" s="77"/>
      <c r="AT2301" s="77"/>
      <c r="AU2301" s="77"/>
      <c r="AV2301" s="83" t="str">
        <f>HYPERLINK("https://pbs.twimg.com/media/Fxi3ZLaaQAA52Rm.jpg")</f>
        <v>https://pbs.twimg.com/media/Fxi3ZLaaQAA52Rm.jpg</v>
      </c>
      <c r="AW2301" s="80" t="s">
        <v>18125</v>
      </c>
      <c r="AX2301" s="80" t="s">
        <v>18125</v>
      </c>
      <c r="AY2301" s="77"/>
      <c r="AZ2301" s="80" t="s">
        <v>20380</v>
      </c>
      <c r="BA2301" s="80" t="s">
        <v>20380</v>
      </c>
      <c r="BB2301" s="80" t="s">
        <v>20380</v>
      </c>
      <c r="BC2301" s="80" t="s">
        <v>18125</v>
      </c>
      <c r="BD2301" s="77">
        <v>164459082</v>
      </c>
      <c r="BE2301" s="77"/>
      <c r="BF2301" s="77"/>
      <c r="BG2301" s="77"/>
      <c r="BH2301" s="77"/>
      <c r="BI2301" s="77"/>
    </row>
    <row r="2302" spans="1:61" x14ac:dyDescent="0.25">
      <c r="A2302" s="62" t="s">
        <v>932</v>
      </c>
      <c r="B2302" s="62" t="s">
        <v>1925</v>
      </c>
      <c r="C2302" s="63"/>
      <c r="D2302" s="64"/>
      <c r="E2302" s="65"/>
      <c r="F2302" s="66"/>
      <c r="G2302" s="63"/>
      <c r="H2302" s="67"/>
      <c r="I2302" s="68"/>
      <c r="J2302" s="68"/>
      <c r="K2302" s="32"/>
      <c r="L2302" s="75">
        <v>2302</v>
      </c>
      <c r="M2302" s="75"/>
      <c r="N2302" s="70"/>
      <c r="O2302" s="77" t="s">
        <v>2081</v>
      </c>
      <c r="P2302" s="79">
        <v>45083.923726851855</v>
      </c>
      <c r="Q2302" s="77" t="s">
        <v>4135</v>
      </c>
      <c r="R2302" s="77">
        <v>1</v>
      </c>
      <c r="S2302" s="77">
        <v>0</v>
      </c>
      <c r="T2302" s="77">
        <v>0</v>
      </c>
      <c r="U2302" s="77">
        <v>0</v>
      </c>
      <c r="V2302" s="77">
        <v>227</v>
      </c>
      <c r="W2302" s="80" t="s">
        <v>7366</v>
      </c>
      <c r="X2302" s="83" t="str">
        <f>HYPERLINK("http://bit.ly/3qkgV6g")</f>
        <v>http://bit.ly/3qkgV6g</v>
      </c>
      <c r="Y2302" s="77" t="s">
        <v>8618</v>
      </c>
      <c r="Z2302" s="77" t="s">
        <v>8977</v>
      </c>
      <c r="AA2302" s="77" t="s">
        <v>9698</v>
      </c>
      <c r="AB2302" s="77" t="s">
        <v>10535</v>
      </c>
      <c r="AC2302" s="80" t="s">
        <v>10552</v>
      </c>
      <c r="AD2302" s="77" t="s">
        <v>10620</v>
      </c>
      <c r="AE2302" s="83" t="str">
        <f>HYPERLINK("https://twitter.com/pregrado_fen/status/1666205870630264847")</f>
        <v>https://twitter.com/pregrado_fen/status/1666205870630264847</v>
      </c>
      <c r="AF2302" s="79">
        <v>45083.923726851855</v>
      </c>
      <c r="AG2302" s="85">
        <v>45083</v>
      </c>
      <c r="AH2302" s="80" t="s">
        <v>12656</v>
      </c>
      <c r="AI2302" s="77" t="b">
        <v>0</v>
      </c>
      <c r="AJ2302" s="77"/>
      <c r="AK2302" s="77"/>
      <c r="AL2302" s="77"/>
      <c r="AM2302" s="77"/>
      <c r="AN2302" s="77"/>
      <c r="AO2302" s="77"/>
      <c r="AP2302" s="77"/>
      <c r="AQ2302" s="77" t="s">
        <v>15180</v>
      </c>
      <c r="AR2302" s="77"/>
      <c r="AS2302" s="77"/>
      <c r="AT2302" s="77"/>
      <c r="AU2302" s="77"/>
      <c r="AV2302" s="83" t="str">
        <f>HYPERLINK("https://pbs.twimg.com/media/Fx-NaRPWYAsBKVS.png")</f>
        <v>https://pbs.twimg.com/media/Fx-NaRPWYAsBKVS.png</v>
      </c>
      <c r="AW2302" s="80" t="s">
        <v>18122</v>
      </c>
      <c r="AX2302" s="80" t="s">
        <v>18122</v>
      </c>
      <c r="AY2302" s="77"/>
      <c r="AZ2302" s="80" t="s">
        <v>20380</v>
      </c>
      <c r="BA2302" s="80" t="s">
        <v>20380</v>
      </c>
      <c r="BB2302" s="80" t="s">
        <v>20380</v>
      </c>
      <c r="BC2302" s="80" t="s">
        <v>18122</v>
      </c>
      <c r="BD2302" s="77">
        <v>164459082</v>
      </c>
      <c r="BE2302" s="77"/>
      <c r="BF2302" s="77"/>
      <c r="BG2302" s="77"/>
      <c r="BH2302" s="77"/>
      <c r="BI2302" s="77"/>
    </row>
    <row r="2303" spans="1:61" x14ac:dyDescent="0.25">
      <c r="A2303" s="62" t="s">
        <v>932</v>
      </c>
      <c r="B2303" s="62" t="s">
        <v>1925</v>
      </c>
      <c r="C2303" s="63"/>
      <c r="D2303" s="64"/>
      <c r="E2303" s="65"/>
      <c r="F2303" s="66"/>
      <c r="G2303" s="63"/>
      <c r="H2303" s="67"/>
      <c r="I2303" s="68"/>
      <c r="J2303" s="68"/>
      <c r="K2303" s="32"/>
      <c r="L2303" s="75">
        <v>2303</v>
      </c>
      <c r="M2303" s="75"/>
      <c r="N2303" s="70"/>
      <c r="O2303" s="77" t="s">
        <v>2081</v>
      </c>
      <c r="P2303" s="79">
        <v>45080.923715277779</v>
      </c>
      <c r="Q2303" s="77" t="s">
        <v>4136</v>
      </c>
      <c r="R2303" s="77">
        <v>1</v>
      </c>
      <c r="S2303" s="77">
        <v>0</v>
      </c>
      <c r="T2303" s="77">
        <v>0</v>
      </c>
      <c r="U2303" s="77">
        <v>0</v>
      </c>
      <c r="V2303" s="77">
        <v>164</v>
      </c>
      <c r="W2303" s="80" t="s">
        <v>7366</v>
      </c>
      <c r="X2303" s="83" t="str">
        <f>HYPERLINK("http://bit.ly/3qkgV6g")</f>
        <v>http://bit.ly/3qkgV6g</v>
      </c>
      <c r="Y2303" s="77" t="s">
        <v>8618</v>
      </c>
      <c r="Z2303" s="77" t="s">
        <v>8977</v>
      </c>
      <c r="AA2303" s="77" t="s">
        <v>9699</v>
      </c>
      <c r="AB2303" s="77" t="s">
        <v>10535</v>
      </c>
      <c r="AC2303" s="80" t="s">
        <v>10552</v>
      </c>
      <c r="AD2303" s="77" t="s">
        <v>10620</v>
      </c>
      <c r="AE2303" s="83" t="str">
        <f>HYPERLINK("https://twitter.com/pregrado_fen/status/1665118701765505025")</f>
        <v>https://twitter.com/pregrado_fen/status/1665118701765505025</v>
      </c>
      <c r="AF2303" s="79">
        <v>45080.923715277779</v>
      </c>
      <c r="AG2303" s="85">
        <v>45080</v>
      </c>
      <c r="AH2303" s="80" t="s">
        <v>12657</v>
      </c>
      <c r="AI2303" s="77" t="b">
        <v>0</v>
      </c>
      <c r="AJ2303" s="77"/>
      <c r="AK2303" s="77"/>
      <c r="AL2303" s="77"/>
      <c r="AM2303" s="77"/>
      <c r="AN2303" s="77"/>
      <c r="AO2303" s="77"/>
      <c r="AP2303" s="77"/>
      <c r="AQ2303" s="77" t="s">
        <v>15181</v>
      </c>
      <c r="AR2303" s="77"/>
      <c r="AS2303" s="77"/>
      <c r="AT2303" s="77"/>
      <c r="AU2303" s="77"/>
      <c r="AV2303" s="83" t="str">
        <f>HYPERLINK("https://pbs.twimg.com/media/FxuwotMXoAEjVzA.png")</f>
        <v>https://pbs.twimg.com/media/FxuwotMXoAEjVzA.png</v>
      </c>
      <c r="AW2303" s="80" t="s">
        <v>18123</v>
      </c>
      <c r="AX2303" s="80" t="s">
        <v>18123</v>
      </c>
      <c r="AY2303" s="77"/>
      <c r="AZ2303" s="80" t="s">
        <v>20380</v>
      </c>
      <c r="BA2303" s="80" t="s">
        <v>20380</v>
      </c>
      <c r="BB2303" s="80" t="s">
        <v>20380</v>
      </c>
      <c r="BC2303" s="80" t="s">
        <v>18123</v>
      </c>
      <c r="BD2303" s="77">
        <v>164459082</v>
      </c>
      <c r="BE2303" s="77"/>
      <c r="BF2303" s="77"/>
      <c r="BG2303" s="77"/>
      <c r="BH2303" s="77"/>
      <c r="BI2303" s="77"/>
    </row>
    <row r="2304" spans="1:61" x14ac:dyDescent="0.25">
      <c r="A2304" s="62" t="s">
        <v>932</v>
      </c>
      <c r="B2304" s="62" t="s">
        <v>1925</v>
      </c>
      <c r="C2304" s="63"/>
      <c r="D2304" s="64"/>
      <c r="E2304" s="65"/>
      <c r="F2304" s="66"/>
      <c r="G2304" s="63"/>
      <c r="H2304" s="67"/>
      <c r="I2304" s="68"/>
      <c r="J2304" s="68"/>
      <c r="K2304" s="32"/>
      <c r="L2304" s="75">
        <v>2304</v>
      </c>
      <c r="M2304" s="75"/>
      <c r="N2304" s="70"/>
      <c r="O2304" s="77" t="s">
        <v>2081</v>
      </c>
      <c r="P2304" s="79">
        <v>45085.423750000002</v>
      </c>
      <c r="Q2304" s="77" t="s">
        <v>4137</v>
      </c>
      <c r="R2304" s="77">
        <v>0</v>
      </c>
      <c r="S2304" s="77">
        <v>0</v>
      </c>
      <c r="T2304" s="77">
        <v>0</v>
      </c>
      <c r="U2304" s="77">
        <v>0</v>
      </c>
      <c r="V2304" s="77">
        <v>101</v>
      </c>
      <c r="W2304" s="80" t="s">
        <v>7366</v>
      </c>
      <c r="X2304" s="83" t="str">
        <f>HYPERLINK("http://bit.ly/3qkgV6g")</f>
        <v>http://bit.ly/3qkgV6g</v>
      </c>
      <c r="Y2304" s="77" t="s">
        <v>8618</v>
      </c>
      <c r="Z2304" s="77" t="s">
        <v>8977</v>
      </c>
      <c r="AA2304" s="77" t="s">
        <v>9700</v>
      </c>
      <c r="AB2304" s="77" t="s">
        <v>10535</v>
      </c>
      <c r="AC2304" s="80" t="s">
        <v>10552</v>
      </c>
      <c r="AD2304" s="77" t="s">
        <v>10620</v>
      </c>
      <c r="AE2304" s="83" t="str">
        <f>HYPERLINK("https://twitter.com/pregrado_fen/status/1666749457558274050")</f>
        <v>https://twitter.com/pregrado_fen/status/1666749457558274050</v>
      </c>
      <c r="AF2304" s="79">
        <v>45085.423750000002</v>
      </c>
      <c r="AG2304" s="85">
        <v>45085</v>
      </c>
      <c r="AH2304" s="80" t="s">
        <v>12658</v>
      </c>
      <c r="AI2304" s="77" t="b">
        <v>0</v>
      </c>
      <c r="AJ2304" s="77"/>
      <c r="AK2304" s="77"/>
      <c r="AL2304" s="77"/>
      <c r="AM2304" s="77"/>
      <c r="AN2304" s="77"/>
      <c r="AO2304" s="77"/>
      <c r="AP2304" s="77"/>
      <c r="AQ2304" s="77" t="s">
        <v>15182</v>
      </c>
      <c r="AR2304" s="77"/>
      <c r="AS2304" s="77"/>
      <c r="AT2304" s="77"/>
      <c r="AU2304" s="77"/>
      <c r="AV2304" s="83" t="str">
        <f>HYPERLINK("https://pbs.twimg.com/media/FyF7zL-X0AA_Blu.png")</f>
        <v>https://pbs.twimg.com/media/FyF7zL-X0AA_Blu.png</v>
      </c>
      <c r="AW2304" s="80" t="s">
        <v>18124</v>
      </c>
      <c r="AX2304" s="80" t="s">
        <v>18124</v>
      </c>
      <c r="AY2304" s="77"/>
      <c r="AZ2304" s="80" t="s">
        <v>20380</v>
      </c>
      <c r="BA2304" s="80" t="s">
        <v>20380</v>
      </c>
      <c r="BB2304" s="80" t="s">
        <v>20380</v>
      </c>
      <c r="BC2304" s="80" t="s">
        <v>18124</v>
      </c>
      <c r="BD2304" s="77">
        <v>164459082</v>
      </c>
      <c r="BE2304" s="77"/>
      <c r="BF2304" s="77"/>
      <c r="BG2304" s="77"/>
      <c r="BH2304" s="77"/>
      <c r="BI2304" s="77"/>
    </row>
    <row r="2305" spans="1:61" x14ac:dyDescent="0.25">
      <c r="A2305" s="62" t="s">
        <v>932</v>
      </c>
      <c r="B2305" s="62" t="s">
        <v>1925</v>
      </c>
      <c r="C2305" s="63"/>
      <c r="D2305" s="64"/>
      <c r="E2305" s="65"/>
      <c r="F2305" s="66"/>
      <c r="G2305" s="63"/>
      <c r="H2305" s="67"/>
      <c r="I2305" s="68"/>
      <c r="J2305" s="68"/>
      <c r="K2305" s="32"/>
      <c r="L2305" s="75">
        <v>2305</v>
      </c>
      <c r="M2305" s="75"/>
      <c r="N2305" s="70"/>
      <c r="O2305" s="77" t="s">
        <v>2081</v>
      </c>
      <c r="P2305" s="79">
        <v>45078.615277777775</v>
      </c>
      <c r="Q2305" s="77" t="s">
        <v>4138</v>
      </c>
      <c r="R2305" s="77">
        <v>1</v>
      </c>
      <c r="S2305" s="77">
        <v>0</v>
      </c>
      <c r="T2305" s="77">
        <v>0</v>
      </c>
      <c r="U2305" s="77">
        <v>0</v>
      </c>
      <c r="V2305" s="77">
        <v>98</v>
      </c>
      <c r="W2305" s="80" t="s">
        <v>7366</v>
      </c>
      <c r="X2305" s="83" t="str">
        <f>HYPERLINK("https://docs.google.com/forms/d/e/1FAIpQLSeGkchDtVRtCYcaakl0l0LeaMJQzk1kUGfjiP7xxk8nDMI5oA/viewform")</f>
        <v>https://docs.google.com/forms/d/e/1FAIpQLSeGkchDtVRtCYcaakl0l0LeaMJQzk1kUGfjiP7xxk8nDMI5oA/viewform</v>
      </c>
      <c r="Y2305" s="77" t="s">
        <v>8776</v>
      </c>
      <c r="Z2305" s="77" t="s">
        <v>8977</v>
      </c>
      <c r="AA2305" s="77" t="s">
        <v>9701</v>
      </c>
      <c r="AB2305" s="77" t="s">
        <v>10535</v>
      </c>
      <c r="AC2305" s="80" t="s">
        <v>10541</v>
      </c>
      <c r="AD2305" s="77" t="s">
        <v>10620</v>
      </c>
      <c r="AE2305" s="83" t="str">
        <f>HYPERLINK("https://twitter.com/pregrado_fen/status/1664282152413057029")</f>
        <v>https://twitter.com/pregrado_fen/status/1664282152413057029</v>
      </c>
      <c r="AF2305" s="79">
        <v>45078.615277777775</v>
      </c>
      <c r="AG2305" s="85">
        <v>45078</v>
      </c>
      <c r="AH2305" s="80" t="s">
        <v>12659</v>
      </c>
      <c r="AI2305" s="77" t="b">
        <v>0</v>
      </c>
      <c r="AJ2305" s="77"/>
      <c r="AK2305" s="77"/>
      <c r="AL2305" s="77"/>
      <c r="AM2305" s="77"/>
      <c r="AN2305" s="77"/>
      <c r="AO2305" s="77"/>
      <c r="AP2305" s="77"/>
      <c r="AQ2305" s="77" t="s">
        <v>15183</v>
      </c>
      <c r="AR2305" s="77"/>
      <c r="AS2305" s="77"/>
      <c r="AT2305" s="77"/>
      <c r="AU2305" s="77"/>
      <c r="AV2305" s="83" t="str">
        <f>HYPERLINK("https://pbs.twimg.com/media/Fxi3ZLaaQAA52Rm.jpg")</f>
        <v>https://pbs.twimg.com/media/Fxi3ZLaaQAA52Rm.jpg</v>
      </c>
      <c r="AW2305" s="80" t="s">
        <v>18125</v>
      </c>
      <c r="AX2305" s="80" t="s">
        <v>18125</v>
      </c>
      <c r="AY2305" s="77"/>
      <c r="AZ2305" s="80" t="s">
        <v>20380</v>
      </c>
      <c r="BA2305" s="80" t="s">
        <v>20380</v>
      </c>
      <c r="BB2305" s="80" t="s">
        <v>20380</v>
      </c>
      <c r="BC2305" s="80" t="s">
        <v>18125</v>
      </c>
      <c r="BD2305" s="77">
        <v>164459082</v>
      </c>
      <c r="BE2305" s="77"/>
      <c r="BF2305" s="77"/>
      <c r="BG2305" s="77"/>
      <c r="BH2305" s="77"/>
      <c r="BI2305" s="77"/>
    </row>
    <row r="2306" spans="1:61" x14ac:dyDescent="0.25">
      <c r="A2306" s="62" t="s">
        <v>932</v>
      </c>
      <c r="B2306" s="62" t="s">
        <v>1384</v>
      </c>
      <c r="C2306" s="63"/>
      <c r="D2306" s="64"/>
      <c r="E2306" s="65"/>
      <c r="F2306" s="66"/>
      <c r="G2306" s="63"/>
      <c r="H2306" s="67"/>
      <c r="I2306" s="68"/>
      <c r="J2306" s="68"/>
      <c r="K2306" s="32"/>
      <c r="L2306" s="75">
        <v>2306</v>
      </c>
      <c r="M2306" s="75"/>
      <c r="N2306" s="70"/>
      <c r="O2306" s="77" t="s">
        <v>2081</v>
      </c>
      <c r="P2306" s="79">
        <v>45083.923726851855</v>
      </c>
      <c r="Q2306" s="77" t="s">
        <v>4135</v>
      </c>
      <c r="R2306" s="77">
        <v>1</v>
      </c>
      <c r="S2306" s="77">
        <v>0</v>
      </c>
      <c r="T2306" s="77">
        <v>0</v>
      </c>
      <c r="U2306" s="77">
        <v>0</v>
      </c>
      <c r="V2306" s="77">
        <v>227</v>
      </c>
      <c r="W2306" s="80" t="s">
        <v>7366</v>
      </c>
      <c r="X2306" s="83" t="str">
        <f>HYPERLINK("http://bit.ly/3qkgV6g")</f>
        <v>http://bit.ly/3qkgV6g</v>
      </c>
      <c r="Y2306" s="77" t="s">
        <v>8618</v>
      </c>
      <c r="Z2306" s="77" t="s">
        <v>8977</v>
      </c>
      <c r="AA2306" s="77" t="s">
        <v>9698</v>
      </c>
      <c r="AB2306" s="77" t="s">
        <v>10535</v>
      </c>
      <c r="AC2306" s="80" t="s">
        <v>10552</v>
      </c>
      <c r="AD2306" s="77" t="s">
        <v>10620</v>
      </c>
      <c r="AE2306" s="83" t="str">
        <f>HYPERLINK("https://twitter.com/pregrado_fen/status/1666205870630264847")</f>
        <v>https://twitter.com/pregrado_fen/status/1666205870630264847</v>
      </c>
      <c r="AF2306" s="79">
        <v>45083.923726851855</v>
      </c>
      <c r="AG2306" s="85">
        <v>45083</v>
      </c>
      <c r="AH2306" s="80" t="s">
        <v>12656</v>
      </c>
      <c r="AI2306" s="77" t="b">
        <v>0</v>
      </c>
      <c r="AJ2306" s="77"/>
      <c r="AK2306" s="77"/>
      <c r="AL2306" s="77"/>
      <c r="AM2306" s="77"/>
      <c r="AN2306" s="77"/>
      <c r="AO2306" s="77"/>
      <c r="AP2306" s="77"/>
      <c r="AQ2306" s="77" t="s">
        <v>15180</v>
      </c>
      <c r="AR2306" s="77"/>
      <c r="AS2306" s="77"/>
      <c r="AT2306" s="77"/>
      <c r="AU2306" s="77"/>
      <c r="AV2306" s="83" t="str">
        <f>HYPERLINK("https://pbs.twimg.com/media/Fx-NaRPWYAsBKVS.png")</f>
        <v>https://pbs.twimg.com/media/Fx-NaRPWYAsBKVS.png</v>
      </c>
      <c r="AW2306" s="80" t="s">
        <v>18122</v>
      </c>
      <c r="AX2306" s="80" t="s">
        <v>18122</v>
      </c>
      <c r="AY2306" s="77"/>
      <c r="AZ2306" s="80" t="s">
        <v>20380</v>
      </c>
      <c r="BA2306" s="80" t="s">
        <v>20380</v>
      </c>
      <c r="BB2306" s="80" t="s">
        <v>20380</v>
      </c>
      <c r="BC2306" s="80" t="s">
        <v>18122</v>
      </c>
      <c r="BD2306" s="77">
        <v>164459082</v>
      </c>
      <c r="BE2306" s="77"/>
      <c r="BF2306" s="77"/>
      <c r="BG2306" s="77"/>
      <c r="BH2306" s="77"/>
      <c r="BI2306" s="77"/>
    </row>
    <row r="2307" spans="1:61" x14ac:dyDescent="0.25">
      <c r="A2307" s="62" t="s">
        <v>932</v>
      </c>
      <c r="B2307" s="62" t="s">
        <v>1384</v>
      </c>
      <c r="C2307" s="63"/>
      <c r="D2307" s="64"/>
      <c r="E2307" s="65"/>
      <c r="F2307" s="66"/>
      <c r="G2307" s="63"/>
      <c r="H2307" s="67"/>
      <c r="I2307" s="68"/>
      <c r="J2307" s="68"/>
      <c r="K2307" s="32"/>
      <c r="L2307" s="75">
        <v>2307</v>
      </c>
      <c r="M2307" s="75"/>
      <c r="N2307" s="70"/>
      <c r="O2307" s="77" t="s">
        <v>2081</v>
      </c>
      <c r="P2307" s="79">
        <v>45080.923715277779</v>
      </c>
      <c r="Q2307" s="77" t="s">
        <v>4136</v>
      </c>
      <c r="R2307" s="77">
        <v>1</v>
      </c>
      <c r="S2307" s="77">
        <v>0</v>
      </c>
      <c r="T2307" s="77">
        <v>0</v>
      </c>
      <c r="U2307" s="77">
        <v>0</v>
      </c>
      <c r="V2307" s="77">
        <v>164</v>
      </c>
      <c r="W2307" s="80" t="s">
        <v>7366</v>
      </c>
      <c r="X2307" s="83" t="str">
        <f>HYPERLINK("http://bit.ly/3qkgV6g")</f>
        <v>http://bit.ly/3qkgV6g</v>
      </c>
      <c r="Y2307" s="77" t="s">
        <v>8618</v>
      </c>
      <c r="Z2307" s="77" t="s">
        <v>8977</v>
      </c>
      <c r="AA2307" s="77" t="s">
        <v>9699</v>
      </c>
      <c r="AB2307" s="77" t="s">
        <v>10535</v>
      </c>
      <c r="AC2307" s="80" t="s">
        <v>10552</v>
      </c>
      <c r="AD2307" s="77" t="s">
        <v>10620</v>
      </c>
      <c r="AE2307" s="83" t="str">
        <f>HYPERLINK("https://twitter.com/pregrado_fen/status/1665118701765505025")</f>
        <v>https://twitter.com/pregrado_fen/status/1665118701765505025</v>
      </c>
      <c r="AF2307" s="79">
        <v>45080.923715277779</v>
      </c>
      <c r="AG2307" s="85">
        <v>45080</v>
      </c>
      <c r="AH2307" s="80" t="s">
        <v>12657</v>
      </c>
      <c r="AI2307" s="77" t="b">
        <v>0</v>
      </c>
      <c r="AJ2307" s="77"/>
      <c r="AK2307" s="77"/>
      <c r="AL2307" s="77"/>
      <c r="AM2307" s="77"/>
      <c r="AN2307" s="77"/>
      <c r="AO2307" s="77"/>
      <c r="AP2307" s="77"/>
      <c r="AQ2307" s="77" t="s">
        <v>15181</v>
      </c>
      <c r="AR2307" s="77"/>
      <c r="AS2307" s="77"/>
      <c r="AT2307" s="77"/>
      <c r="AU2307" s="77"/>
      <c r="AV2307" s="83" t="str">
        <f>HYPERLINK("https://pbs.twimg.com/media/FxuwotMXoAEjVzA.png")</f>
        <v>https://pbs.twimg.com/media/FxuwotMXoAEjVzA.png</v>
      </c>
      <c r="AW2307" s="80" t="s">
        <v>18123</v>
      </c>
      <c r="AX2307" s="80" t="s">
        <v>18123</v>
      </c>
      <c r="AY2307" s="77"/>
      <c r="AZ2307" s="80" t="s">
        <v>20380</v>
      </c>
      <c r="BA2307" s="80" t="s">
        <v>20380</v>
      </c>
      <c r="BB2307" s="80" t="s">
        <v>20380</v>
      </c>
      <c r="BC2307" s="80" t="s">
        <v>18123</v>
      </c>
      <c r="BD2307" s="77">
        <v>164459082</v>
      </c>
      <c r="BE2307" s="77"/>
      <c r="BF2307" s="77"/>
      <c r="BG2307" s="77"/>
      <c r="BH2307" s="77"/>
      <c r="BI2307" s="77"/>
    </row>
    <row r="2308" spans="1:61" x14ac:dyDescent="0.25">
      <c r="A2308" s="62" t="s">
        <v>932</v>
      </c>
      <c r="B2308" s="62" t="s">
        <v>1384</v>
      </c>
      <c r="C2308" s="63"/>
      <c r="D2308" s="64"/>
      <c r="E2308" s="65"/>
      <c r="F2308" s="66"/>
      <c r="G2308" s="63"/>
      <c r="H2308" s="67"/>
      <c r="I2308" s="68"/>
      <c r="J2308" s="68"/>
      <c r="K2308" s="32"/>
      <c r="L2308" s="75">
        <v>2308</v>
      </c>
      <c r="M2308" s="75"/>
      <c r="N2308" s="70"/>
      <c r="O2308" s="77" t="s">
        <v>2081</v>
      </c>
      <c r="P2308" s="79">
        <v>45085.423750000002</v>
      </c>
      <c r="Q2308" s="77" t="s">
        <v>4137</v>
      </c>
      <c r="R2308" s="77">
        <v>0</v>
      </c>
      <c r="S2308" s="77">
        <v>0</v>
      </c>
      <c r="T2308" s="77">
        <v>0</v>
      </c>
      <c r="U2308" s="77">
        <v>0</v>
      </c>
      <c r="V2308" s="77">
        <v>101</v>
      </c>
      <c r="W2308" s="80" t="s">
        <v>7366</v>
      </c>
      <c r="X2308" s="83" t="str">
        <f>HYPERLINK("http://bit.ly/3qkgV6g")</f>
        <v>http://bit.ly/3qkgV6g</v>
      </c>
      <c r="Y2308" s="77" t="s">
        <v>8618</v>
      </c>
      <c r="Z2308" s="77" t="s">
        <v>8977</v>
      </c>
      <c r="AA2308" s="77" t="s">
        <v>9700</v>
      </c>
      <c r="AB2308" s="77" t="s">
        <v>10535</v>
      </c>
      <c r="AC2308" s="80" t="s">
        <v>10552</v>
      </c>
      <c r="AD2308" s="77" t="s">
        <v>10620</v>
      </c>
      <c r="AE2308" s="83" t="str">
        <f>HYPERLINK("https://twitter.com/pregrado_fen/status/1666749457558274050")</f>
        <v>https://twitter.com/pregrado_fen/status/1666749457558274050</v>
      </c>
      <c r="AF2308" s="79">
        <v>45085.423750000002</v>
      </c>
      <c r="AG2308" s="85">
        <v>45085</v>
      </c>
      <c r="AH2308" s="80" t="s">
        <v>12658</v>
      </c>
      <c r="AI2308" s="77" t="b">
        <v>0</v>
      </c>
      <c r="AJ2308" s="77"/>
      <c r="AK2308" s="77"/>
      <c r="AL2308" s="77"/>
      <c r="AM2308" s="77"/>
      <c r="AN2308" s="77"/>
      <c r="AO2308" s="77"/>
      <c r="AP2308" s="77"/>
      <c r="AQ2308" s="77" t="s">
        <v>15182</v>
      </c>
      <c r="AR2308" s="77"/>
      <c r="AS2308" s="77"/>
      <c r="AT2308" s="77"/>
      <c r="AU2308" s="77"/>
      <c r="AV2308" s="83" t="str">
        <f>HYPERLINK("https://pbs.twimg.com/media/FyF7zL-X0AA_Blu.png")</f>
        <v>https://pbs.twimg.com/media/FyF7zL-X0AA_Blu.png</v>
      </c>
      <c r="AW2308" s="80" t="s">
        <v>18124</v>
      </c>
      <c r="AX2308" s="80" t="s">
        <v>18124</v>
      </c>
      <c r="AY2308" s="77"/>
      <c r="AZ2308" s="80" t="s">
        <v>20380</v>
      </c>
      <c r="BA2308" s="80" t="s">
        <v>20380</v>
      </c>
      <c r="BB2308" s="80" t="s">
        <v>20380</v>
      </c>
      <c r="BC2308" s="80" t="s">
        <v>18124</v>
      </c>
      <c r="BD2308" s="77">
        <v>164459082</v>
      </c>
      <c r="BE2308" s="77"/>
      <c r="BF2308" s="77"/>
      <c r="BG2308" s="77"/>
      <c r="BH2308" s="77"/>
      <c r="BI2308" s="77"/>
    </row>
    <row r="2309" spans="1:61" x14ac:dyDescent="0.25">
      <c r="A2309" s="62" t="s">
        <v>932</v>
      </c>
      <c r="B2309" s="62" t="s">
        <v>1384</v>
      </c>
      <c r="C2309" s="63"/>
      <c r="D2309" s="64"/>
      <c r="E2309" s="65"/>
      <c r="F2309" s="66"/>
      <c r="G2309" s="63"/>
      <c r="H2309" s="67"/>
      <c r="I2309" s="68"/>
      <c r="J2309" s="68"/>
      <c r="K2309" s="32"/>
      <c r="L2309" s="75">
        <v>2309</v>
      </c>
      <c r="M2309" s="75"/>
      <c r="N2309" s="70"/>
      <c r="O2309" s="77" t="s">
        <v>2081</v>
      </c>
      <c r="P2309" s="79">
        <v>45078.615277777775</v>
      </c>
      <c r="Q2309" s="77" t="s">
        <v>4138</v>
      </c>
      <c r="R2309" s="77">
        <v>1</v>
      </c>
      <c r="S2309" s="77">
        <v>0</v>
      </c>
      <c r="T2309" s="77">
        <v>0</v>
      </c>
      <c r="U2309" s="77">
        <v>0</v>
      </c>
      <c r="V2309" s="77">
        <v>98</v>
      </c>
      <c r="W2309" s="80" t="s">
        <v>7366</v>
      </c>
      <c r="X2309" s="83" t="str">
        <f>HYPERLINK("https://docs.google.com/forms/d/e/1FAIpQLSeGkchDtVRtCYcaakl0l0LeaMJQzk1kUGfjiP7xxk8nDMI5oA/viewform")</f>
        <v>https://docs.google.com/forms/d/e/1FAIpQLSeGkchDtVRtCYcaakl0l0LeaMJQzk1kUGfjiP7xxk8nDMI5oA/viewform</v>
      </c>
      <c r="Y2309" s="77" t="s">
        <v>8776</v>
      </c>
      <c r="Z2309" s="77" t="s">
        <v>8977</v>
      </c>
      <c r="AA2309" s="77" t="s">
        <v>9701</v>
      </c>
      <c r="AB2309" s="77" t="s">
        <v>10535</v>
      </c>
      <c r="AC2309" s="80" t="s">
        <v>10541</v>
      </c>
      <c r="AD2309" s="77" t="s">
        <v>10620</v>
      </c>
      <c r="AE2309" s="83" t="str">
        <f>HYPERLINK("https://twitter.com/pregrado_fen/status/1664282152413057029")</f>
        <v>https://twitter.com/pregrado_fen/status/1664282152413057029</v>
      </c>
      <c r="AF2309" s="79">
        <v>45078.615277777775</v>
      </c>
      <c r="AG2309" s="85">
        <v>45078</v>
      </c>
      <c r="AH2309" s="80" t="s">
        <v>12659</v>
      </c>
      <c r="AI2309" s="77" t="b">
        <v>0</v>
      </c>
      <c r="AJ2309" s="77"/>
      <c r="AK2309" s="77"/>
      <c r="AL2309" s="77"/>
      <c r="AM2309" s="77"/>
      <c r="AN2309" s="77"/>
      <c r="AO2309" s="77"/>
      <c r="AP2309" s="77"/>
      <c r="AQ2309" s="77" t="s">
        <v>15183</v>
      </c>
      <c r="AR2309" s="77"/>
      <c r="AS2309" s="77"/>
      <c r="AT2309" s="77"/>
      <c r="AU2309" s="77"/>
      <c r="AV2309" s="83" t="str">
        <f>HYPERLINK("https://pbs.twimg.com/media/Fxi3ZLaaQAA52Rm.jpg")</f>
        <v>https://pbs.twimg.com/media/Fxi3ZLaaQAA52Rm.jpg</v>
      </c>
      <c r="AW2309" s="80" t="s">
        <v>18125</v>
      </c>
      <c r="AX2309" s="80" t="s">
        <v>18125</v>
      </c>
      <c r="AY2309" s="77"/>
      <c r="AZ2309" s="80" t="s">
        <v>20380</v>
      </c>
      <c r="BA2309" s="80" t="s">
        <v>20380</v>
      </c>
      <c r="BB2309" s="80" t="s">
        <v>20380</v>
      </c>
      <c r="BC2309" s="80" t="s">
        <v>18125</v>
      </c>
      <c r="BD2309" s="77">
        <v>164459082</v>
      </c>
      <c r="BE2309" s="77"/>
      <c r="BF2309" s="77"/>
      <c r="BG2309" s="77"/>
      <c r="BH2309" s="77"/>
      <c r="BI2309" s="77"/>
    </row>
    <row r="2310" spans="1:61" x14ac:dyDescent="0.25">
      <c r="A2310" s="62" t="s">
        <v>933</v>
      </c>
      <c r="B2310" s="62" t="s">
        <v>933</v>
      </c>
      <c r="C2310" s="63"/>
      <c r="D2310" s="64"/>
      <c r="E2310" s="65"/>
      <c r="F2310" s="66"/>
      <c r="G2310" s="63"/>
      <c r="H2310" s="67"/>
      <c r="I2310" s="68"/>
      <c r="J2310" s="68"/>
      <c r="K2310" s="32"/>
      <c r="L2310" s="75">
        <v>2310</v>
      </c>
      <c r="M2310" s="75"/>
      <c r="N2310" s="70"/>
      <c r="O2310" s="77" t="s">
        <v>179</v>
      </c>
      <c r="P2310" s="79">
        <v>45155.732523148145</v>
      </c>
      <c r="Q2310" s="77" t="s">
        <v>4139</v>
      </c>
      <c r="R2310" s="77">
        <v>1</v>
      </c>
      <c r="S2310" s="77">
        <v>17</v>
      </c>
      <c r="T2310" s="77">
        <v>0</v>
      </c>
      <c r="U2310" s="77">
        <v>0</v>
      </c>
      <c r="V2310" s="77">
        <v>2834</v>
      </c>
      <c r="W2310" s="80" t="s">
        <v>5884</v>
      </c>
      <c r="X2310" s="77"/>
      <c r="Y2310" s="77"/>
      <c r="Z2310" s="77"/>
      <c r="AA2310" s="77"/>
      <c r="AB2310" s="77"/>
      <c r="AC2310" s="80" t="s">
        <v>10540</v>
      </c>
      <c r="AD2310" s="77" t="s">
        <v>10620</v>
      </c>
      <c r="AE2310" s="83" t="str">
        <f>HYPERLINK("https://twitter.com/guti_ezequiel/status/1692228505604444567")</f>
        <v>https://twitter.com/guti_ezequiel/status/1692228505604444567</v>
      </c>
      <c r="AF2310" s="79">
        <v>45155.732523148145</v>
      </c>
      <c r="AG2310" s="85">
        <v>45155</v>
      </c>
      <c r="AH2310" s="80" t="s">
        <v>12660</v>
      </c>
      <c r="AI2310" s="77"/>
      <c r="AJ2310" s="77"/>
      <c r="AK2310" s="77"/>
      <c r="AL2310" s="77"/>
      <c r="AM2310" s="77"/>
      <c r="AN2310" s="77"/>
      <c r="AO2310" s="77"/>
      <c r="AP2310" s="77"/>
      <c r="AQ2310" s="77"/>
      <c r="AR2310" s="77"/>
      <c r="AS2310" s="77"/>
      <c r="AT2310" s="77"/>
      <c r="AU2310" s="77"/>
      <c r="AV2310" s="83" t="str">
        <f>HYPERLINK("https://pbs.twimg.com/profile_images/1448756040531644419/2WLT32AX_normal.jpg")</f>
        <v>https://pbs.twimg.com/profile_images/1448756040531644419/2WLT32AX_normal.jpg</v>
      </c>
      <c r="AW2310" s="80" t="s">
        <v>18126</v>
      </c>
      <c r="AX2310" s="80" t="s">
        <v>18126</v>
      </c>
      <c r="AY2310" s="77"/>
      <c r="AZ2310" s="80" t="s">
        <v>20380</v>
      </c>
      <c r="BA2310" s="80" t="s">
        <v>20380</v>
      </c>
      <c r="BB2310" s="80" t="s">
        <v>20380</v>
      </c>
      <c r="BC2310" s="80" t="s">
        <v>18126</v>
      </c>
      <c r="BD2310" s="77">
        <v>917088511</v>
      </c>
      <c r="BE2310" s="77"/>
      <c r="BF2310" s="77"/>
      <c r="BG2310" s="77"/>
      <c r="BH2310" s="77"/>
      <c r="BI2310" s="77"/>
    </row>
    <row r="2311" spans="1:61" x14ac:dyDescent="0.25">
      <c r="A2311" s="62" t="s">
        <v>934</v>
      </c>
      <c r="B2311" s="62" t="s">
        <v>1926</v>
      </c>
      <c r="C2311" s="63"/>
      <c r="D2311" s="64"/>
      <c r="E2311" s="65"/>
      <c r="F2311" s="66"/>
      <c r="G2311" s="63"/>
      <c r="H2311" s="67"/>
      <c r="I2311" s="68"/>
      <c r="J2311" s="68"/>
      <c r="K2311" s="32"/>
      <c r="L2311" s="75">
        <v>2311</v>
      </c>
      <c r="M2311" s="75"/>
      <c r="N2311" s="70"/>
      <c r="O2311" s="77" t="s">
        <v>2081</v>
      </c>
      <c r="P2311" s="79">
        <v>45077.630983796298</v>
      </c>
      <c r="Q2311" s="77" t="s">
        <v>4140</v>
      </c>
      <c r="R2311" s="77">
        <v>2</v>
      </c>
      <c r="S2311" s="77">
        <v>3</v>
      </c>
      <c r="T2311" s="77">
        <v>0</v>
      </c>
      <c r="U2311" s="77">
        <v>0</v>
      </c>
      <c r="V2311" s="77">
        <v>178</v>
      </c>
      <c r="W2311" s="80" t="s">
        <v>7367</v>
      </c>
      <c r="X2311" s="83" t="str">
        <f>HYPERLINK("https://x.gd/nygDR")</f>
        <v>https://x.gd/nygDR</v>
      </c>
      <c r="Y2311" s="77" t="s">
        <v>8777</v>
      </c>
      <c r="Z2311" s="77" t="s">
        <v>1926</v>
      </c>
      <c r="AA2311" s="77" t="s">
        <v>9702</v>
      </c>
      <c r="AB2311" s="77" t="s">
        <v>10535</v>
      </c>
      <c r="AC2311" s="80" t="s">
        <v>10541</v>
      </c>
      <c r="AD2311" s="77" t="s">
        <v>10617</v>
      </c>
      <c r="AE2311" s="83" t="str">
        <f>HYPERLINK("https://twitter.com/mnde_iesp/status/1663925455907373057")</f>
        <v>https://twitter.com/mnde_iesp/status/1663925455907373057</v>
      </c>
      <c r="AF2311" s="79">
        <v>45077.630983796298</v>
      </c>
      <c r="AG2311" s="85">
        <v>45077</v>
      </c>
      <c r="AH2311" s="80" t="s">
        <v>12661</v>
      </c>
      <c r="AI2311" s="77" t="b">
        <v>0</v>
      </c>
      <c r="AJ2311" s="77"/>
      <c r="AK2311" s="77"/>
      <c r="AL2311" s="77"/>
      <c r="AM2311" s="77"/>
      <c r="AN2311" s="77"/>
      <c r="AO2311" s="77"/>
      <c r="AP2311" s="77"/>
      <c r="AQ2311" s="77" t="s">
        <v>15184</v>
      </c>
      <c r="AR2311" s="77"/>
      <c r="AS2311" s="77"/>
      <c r="AT2311" s="77"/>
      <c r="AU2311" s="77"/>
      <c r="AV2311" s="83" t="str">
        <f>HYPERLINK("https://pbs.twimg.com/media/FxdzE5lWYAQbP84.jpg")</f>
        <v>https://pbs.twimg.com/media/FxdzE5lWYAQbP84.jpg</v>
      </c>
      <c r="AW2311" s="80" t="s">
        <v>18127</v>
      </c>
      <c r="AX2311" s="80" t="s">
        <v>18127</v>
      </c>
      <c r="AY2311" s="77"/>
      <c r="AZ2311" s="80" t="s">
        <v>20380</v>
      </c>
      <c r="BA2311" s="80" t="s">
        <v>20380</v>
      </c>
      <c r="BB2311" s="80" t="s">
        <v>20380</v>
      </c>
      <c r="BC2311" s="80" t="s">
        <v>18127</v>
      </c>
      <c r="BD2311" s="80" t="s">
        <v>20839</v>
      </c>
      <c r="BE2311" s="77"/>
      <c r="BF2311" s="77"/>
      <c r="BG2311" s="77"/>
      <c r="BH2311" s="77"/>
      <c r="BI2311" s="77"/>
    </row>
    <row r="2312" spans="1:61" x14ac:dyDescent="0.25">
      <c r="A2312" s="62" t="s">
        <v>935</v>
      </c>
      <c r="B2312" s="62" t="s">
        <v>935</v>
      </c>
      <c r="C2312" s="63"/>
      <c r="D2312" s="64"/>
      <c r="E2312" s="65"/>
      <c r="F2312" s="66"/>
      <c r="G2312" s="63"/>
      <c r="H2312" s="67"/>
      <c r="I2312" s="68"/>
      <c r="J2312" s="68"/>
      <c r="K2312" s="32"/>
      <c r="L2312" s="75">
        <v>2312</v>
      </c>
      <c r="M2312" s="75"/>
      <c r="N2312" s="70"/>
      <c r="O2312" s="77" t="s">
        <v>179</v>
      </c>
      <c r="P2312" s="79">
        <v>45152.615104166667</v>
      </c>
      <c r="Q2312" s="77" t="s">
        <v>4141</v>
      </c>
      <c r="R2312" s="77">
        <v>0</v>
      </c>
      <c r="S2312" s="77">
        <v>0</v>
      </c>
      <c r="T2312" s="77">
        <v>0</v>
      </c>
      <c r="U2312" s="77">
        <v>0</v>
      </c>
      <c r="V2312" s="77">
        <v>105</v>
      </c>
      <c r="W2312" s="80" t="s">
        <v>7368</v>
      </c>
      <c r="X2312" s="83" t="str">
        <f>HYPERLINK("https://www.youtube.com/watch?v=xGvGMDMln_g")</f>
        <v>https://www.youtube.com/watch?v=xGvGMDMln_g</v>
      </c>
      <c r="Y2312" s="77" t="s">
        <v>8612</v>
      </c>
      <c r="Z2312" s="77"/>
      <c r="AA2312" s="77" t="s">
        <v>9703</v>
      </c>
      <c r="AB2312" s="77" t="s">
        <v>10535</v>
      </c>
      <c r="AC2312" s="80" t="s">
        <v>10541</v>
      </c>
      <c r="AD2312" s="77" t="s">
        <v>10620</v>
      </c>
      <c r="AE2312" s="83" t="str">
        <f>HYPERLINK("https://twitter.com/sanluis24ok/status/1691098789011197952")</f>
        <v>https://twitter.com/sanluis24ok/status/1691098789011197952</v>
      </c>
      <c r="AF2312" s="79">
        <v>45152.615104166667</v>
      </c>
      <c r="AG2312" s="85">
        <v>45152</v>
      </c>
      <c r="AH2312" s="80" t="s">
        <v>12662</v>
      </c>
      <c r="AI2312" s="77" t="b">
        <v>0</v>
      </c>
      <c r="AJ2312" s="77"/>
      <c r="AK2312" s="77"/>
      <c r="AL2312" s="77"/>
      <c r="AM2312" s="77"/>
      <c r="AN2312" s="77"/>
      <c r="AO2312" s="77"/>
      <c r="AP2312" s="77"/>
      <c r="AQ2312" s="77" t="s">
        <v>15185</v>
      </c>
      <c r="AR2312" s="77"/>
      <c r="AS2312" s="77"/>
      <c r="AT2312" s="77"/>
      <c r="AU2312" s="77"/>
      <c r="AV2312" s="83" t="str">
        <f>HYPERLINK("https://pbs.twimg.com/media/F3f9YSSXEAA-FQl.jpg")</f>
        <v>https://pbs.twimg.com/media/F3f9YSSXEAA-FQl.jpg</v>
      </c>
      <c r="AW2312" s="80" t="s">
        <v>18128</v>
      </c>
      <c r="AX2312" s="80" t="s">
        <v>18128</v>
      </c>
      <c r="AY2312" s="77"/>
      <c r="AZ2312" s="80" t="s">
        <v>20380</v>
      </c>
      <c r="BA2312" s="80" t="s">
        <v>20380</v>
      </c>
      <c r="BB2312" s="80" t="s">
        <v>20380</v>
      </c>
      <c r="BC2312" s="80" t="s">
        <v>18128</v>
      </c>
      <c r="BD2312" s="77">
        <v>177531232</v>
      </c>
      <c r="BE2312" s="77"/>
      <c r="BF2312" s="77"/>
      <c r="BG2312" s="77"/>
      <c r="BH2312" s="77"/>
      <c r="BI2312" s="77"/>
    </row>
    <row r="2313" spans="1:61" x14ac:dyDescent="0.25">
      <c r="A2313" s="62" t="s">
        <v>935</v>
      </c>
      <c r="B2313" s="62" t="s">
        <v>935</v>
      </c>
      <c r="C2313" s="63"/>
      <c r="D2313" s="64"/>
      <c r="E2313" s="65"/>
      <c r="F2313" s="66"/>
      <c r="G2313" s="63"/>
      <c r="H2313" s="67"/>
      <c r="I2313" s="68"/>
      <c r="J2313" s="68"/>
      <c r="K2313" s="32"/>
      <c r="L2313" s="75">
        <v>2313</v>
      </c>
      <c r="M2313" s="75"/>
      <c r="N2313" s="70"/>
      <c r="O2313" s="77" t="s">
        <v>179</v>
      </c>
      <c r="P2313" s="79">
        <v>45180.567430555559</v>
      </c>
      <c r="Q2313" s="77" t="s">
        <v>4142</v>
      </c>
      <c r="R2313" s="77">
        <v>0</v>
      </c>
      <c r="S2313" s="77">
        <v>0</v>
      </c>
      <c r="T2313" s="77">
        <v>0</v>
      </c>
      <c r="U2313" s="77">
        <v>0</v>
      </c>
      <c r="V2313" s="77">
        <v>30</v>
      </c>
      <c r="W2313" s="80" t="s">
        <v>7369</v>
      </c>
      <c r="X2313" s="83" t="str">
        <f>HYPERLINK("https://sanluis24.com.ar/el-banco-central-define-que-hacer-con-la-tasa-de-interes-de-los-plazos-fijos-en-septiembre/")</f>
        <v>https://sanluis24.com.ar/el-banco-central-define-que-hacer-con-la-tasa-de-interes-de-los-plazos-fijos-en-septiembre/</v>
      </c>
      <c r="Y2313" s="77" t="s">
        <v>8624</v>
      </c>
      <c r="Z2313" s="77"/>
      <c r="AA2313" s="77"/>
      <c r="AB2313" s="77"/>
      <c r="AC2313" s="80" t="s">
        <v>10541</v>
      </c>
      <c r="AD2313" s="77" t="s">
        <v>10620</v>
      </c>
      <c r="AE2313" s="83" t="str">
        <f>HYPERLINK("https://twitter.com/sanluis24ok/status/1701228373173793252")</f>
        <v>https://twitter.com/sanluis24ok/status/1701228373173793252</v>
      </c>
      <c r="AF2313" s="79">
        <v>45180.567430555559</v>
      </c>
      <c r="AG2313" s="85">
        <v>45180</v>
      </c>
      <c r="AH2313" s="80" t="s">
        <v>12663</v>
      </c>
      <c r="AI2313" s="77" t="b">
        <v>0</v>
      </c>
      <c r="AJ2313" s="77"/>
      <c r="AK2313" s="77"/>
      <c r="AL2313" s="77"/>
      <c r="AM2313" s="77"/>
      <c r="AN2313" s="77"/>
      <c r="AO2313" s="77"/>
      <c r="AP2313" s="77"/>
      <c r="AQ2313" s="77"/>
      <c r="AR2313" s="77"/>
      <c r="AS2313" s="77"/>
      <c r="AT2313" s="77"/>
      <c r="AU2313" s="77"/>
      <c r="AV2313" s="83" t="str">
        <f>HYPERLINK("https://pbs.twimg.com/profile_images/1617939503947063296/T75_4E-z_normal.jpg")</f>
        <v>https://pbs.twimg.com/profile_images/1617939503947063296/T75_4E-z_normal.jpg</v>
      </c>
      <c r="AW2313" s="80" t="s">
        <v>18129</v>
      </c>
      <c r="AX2313" s="80" t="s">
        <v>18129</v>
      </c>
      <c r="AY2313" s="77"/>
      <c r="AZ2313" s="80" t="s">
        <v>20380</v>
      </c>
      <c r="BA2313" s="80" t="s">
        <v>20380</v>
      </c>
      <c r="BB2313" s="80" t="s">
        <v>20380</v>
      </c>
      <c r="BC2313" s="80" t="s">
        <v>18129</v>
      </c>
      <c r="BD2313" s="77">
        <v>177531232</v>
      </c>
      <c r="BE2313" s="77"/>
      <c r="BF2313" s="77"/>
      <c r="BG2313" s="77"/>
      <c r="BH2313" s="77"/>
      <c r="BI2313" s="77"/>
    </row>
    <row r="2314" spans="1:61" x14ac:dyDescent="0.25">
      <c r="A2314" s="62" t="s">
        <v>936</v>
      </c>
      <c r="B2314" s="62" t="s">
        <v>1615</v>
      </c>
      <c r="C2314" s="63"/>
      <c r="D2314" s="64"/>
      <c r="E2314" s="65"/>
      <c r="F2314" s="66"/>
      <c r="G2314" s="63"/>
      <c r="H2314" s="67"/>
      <c r="I2314" s="68"/>
      <c r="J2314" s="68"/>
      <c r="K2314" s="32"/>
      <c r="L2314" s="75">
        <v>2314</v>
      </c>
      <c r="M2314" s="75"/>
      <c r="N2314" s="70"/>
      <c r="O2314" s="77" t="s">
        <v>2083</v>
      </c>
      <c r="P2314" s="79">
        <v>45196.525104166663</v>
      </c>
      <c r="Q2314" s="77" t="s">
        <v>2216</v>
      </c>
      <c r="R2314" s="77">
        <v>7</v>
      </c>
      <c r="S2314" s="77">
        <v>0</v>
      </c>
      <c r="T2314" s="77">
        <v>0</v>
      </c>
      <c r="U2314" s="77">
        <v>0</v>
      </c>
      <c r="V2314" s="77"/>
      <c r="W2314" s="80" t="s">
        <v>5997</v>
      </c>
      <c r="X2314" s="77"/>
      <c r="Y2314" s="77"/>
      <c r="Z2314" s="77" t="s">
        <v>1615</v>
      </c>
      <c r="AA2314" s="77" t="s">
        <v>9078</v>
      </c>
      <c r="AB2314" s="77" t="s">
        <v>10535</v>
      </c>
      <c r="AC2314" s="80" t="s">
        <v>10542</v>
      </c>
      <c r="AD2314" s="77" t="s">
        <v>10617</v>
      </c>
      <c r="AE2314" s="83" t="str">
        <f>HYPERLINK("https://twitter.com/drrn___/status/1707011243884576994")</f>
        <v>https://twitter.com/drrn___/status/1707011243884576994</v>
      </c>
      <c r="AF2314" s="79">
        <v>45196.525104166663</v>
      </c>
      <c r="AG2314" s="85">
        <v>45196</v>
      </c>
      <c r="AH2314" s="80" t="s">
        <v>12664</v>
      </c>
      <c r="AI2314" s="77" t="b">
        <v>0</v>
      </c>
      <c r="AJ2314" s="77"/>
      <c r="AK2314" s="77"/>
      <c r="AL2314" s="77"/>
      <c r="AM2314" s="77"/>
      <c r="AN2314" s="77"/>
      <c r="AO2314" s="77"/>
      <c r="AP2314" s="77"/>
      <c r="AQ2314" s="77" t="s">
        <v>14560</v>
      </c>
      <c r="AR2314" s="77"/>
      <c r="AS2314" s="77"/>
      <c r="AT2314" s="77"/>
      <c r="AU2314" s="77"/>
      <c r="AV2314" s="83" t="str">
        <f>HYPERLINK("https://pbs.twimg.com/media/F7BR3b-WUAEVt-O.jpg")</f>
        <v>https://pbs.twimg.com/media/F7BR3b-WUAEVt-O.jpg</v>
      </c>
      <c r="AW2314" s="80" t="s">
        <v>18130</v>
      </c>
      <c r="AX2314" s="80" t="s">
        <v>18130</v>
      </c>
      <c r="AY2314" s="77"/>
      <c r="AZ2314" s="80" t="s">
        <v>20380</v>
      </c>
      <c r="BA2314" s="80" t="s">
        <v>20380</v>
      </c>
      <c r="BB2314" s="80" t="s">
        <v>19742</v>
      </c>
      <c r="BC2314" s="80" t="s">
        <v>19742</v>
      </c>
      <c r="BD2314" s="77">
        <v>1188807511</v>
      </c>
      <c r="BE2314" s="77"/>
      <c r="BF2314" s="77"/>
      <c r="BG2314" s="77"/>
      <c r="BH2314" s="77"/>
      <c r="BI2314" s="77"/>
    </row>
    <row r="2315" spans="1:61" x14ac:dyDescent="0.25">
      <c r="A2315" s="62" t="s">
        <v>937</v>
      </c>
      <c r="B2315" s="62" t="s">
        <v>937</v>
      </c>
      <c r="C2315" s="63"/>
      <c r="D2315" s="64"/>
      <c r="E2315" s="65"/>
      <c r="F2315" s="66"/>
      <c r="G2315" s="63"/>
      <c r="H2315" s="67"/>
      <c r="I2315" s="68"/>
      <c r="J2315" s="68"/>
      <c r="K2315" s="32"/>
      <c r="L2315" s="75">
        <v>2315</v>
      </c>
      <c r="M2315" s="75"/>
      <c r="N2315" s="70"/>
      <c r="O2315" s="77" t="s">
        <v>179</v>
      </c>
      <c r="P2315" s="79">
        <v>45187.307951388888</v>
      </c>
      <c r="Q2315" s="77" t="s">
        <v>4143</v>
      </c>
      <c r="R2315" s="77">
        <v>0</v>
      </c>
      <c r="S2315" s="77">
        <v>1</v>
      </c>
      <c r="T2315" s="77">
        <v>0</v>
      </c>
      <c r="U2315" s="77">
        <v>0</v>
      </c>
      <c r="V2315" s="77">
        <v>717</v>
      </c>
      <c r="W2315" s="80" t="s">
        <v>7370</v>
      </c>
      <c r="X2315" s="77"/>
      <c r="Y2315" s="77"/>
      <c r="Z2315" s="77"/>
      <c r="AA2315" s="77" t="s">
        <v>9704</v>
      </c>
      <c r="AB2315" s="77" t="s">
        <v>10536</v>
      </c>
      <c r="AC2315" s="80" t="s">
        <v>10540</v>
      </c>
      <c r="AD2315" s="77" t="s">
        <v>10617</v>
      </c>
      <c r="AE2315" s="83" t="str">
        <f>HYPERLINK("https://twitter.com/alfinetadosday/status/1703671057251504361")</f>
        <v>https://twitter.com/alfinetadosday/status/1703671057251504361</v>
      </c>
      <c r="AF2315" s="79">
        <v>45187.307951388888</v>
      </c>
      <c r="AG2315" s="85">
        <v>45187</v>
      </c>
      <c r="AH2315" s="80" t="s">
        <v>12665</v>
      </c>
      <c r="AI2315" s="77" t="b">
        <v>0</v>
      </c>
      <c r="AJ2315" s="77"/>
      <c r="AK2315" s="77"/>
      <c r="AL2315" s="77"/>
      <c r="AM2315" s="77"/>
      <c r="AN2315" s="77"/>
      <c r="AO2315" s="77"/>
      <c r="AP2315" s="77"/>
      <c r="AQ2315" s="77" t="s">
        <v>15186</v>
      </c>
      <c r="AR2315" s="77"/>
      <c r="AS2315" s="77"/>
      <c r="AT2315" s="77"/>
      <c r="AU2315" s="77"/>
      <c r="AV2315" s="83" t="str">
        <f>HYPERLINK("https://pbs.twimg.com/media/F6Sny_oXsAAi1cK.png")</f>
        <v>https://pbs.twimg.com/media/F6Sny_oXsAAi1cK.png</v>
      </c>
      <c r="AW2315" s="80" t="s">
        <v>18131</v>
      </c>
      <c r="AX2315" s="80" t="s">
        <v>18131</v>
      </c>
      <c r="AY2315" s="77"/>
      <c r="AZ2315" s="80" t="s">
        <v>20380</v>
      </c>
      <c r="BA2315" s="80" t="s">
        <v>20380</v>
      </c>
      <c r="BB2315" s="80" t="s">
        <v>20380</v>
      </c>
      <c r="BC2315" s="80" t="s">
        <v>18131</v>
      </c>
      <c r="BD2315" s="80" t="s">
        <v>20840</v>
      </c>
      <c r="BE2315" s="77"/>
      <c r="BF2315" s="77"/>
      <c r="BG2315" s="77"/>
      <c r="BH2315" s="77"/>
      <c r="BI2315" s="77"/>
    </row>
    <row r="2316" spans="1:61" x14ac:dyDescent="0.25">
      <c r="A2316" s="62" t="s">
        <v>938</v>
      </c>
      <c r="B2316" s="62" t="s">
        <v>938</v>
      </c>
      <c r="C2316" s="63"/>
      <c r="D2316" s="64"/>
      <c r="E2316" s="65"/>
      <c r="F2316" s="66"/>
      <c r="G2316" s="63"/>
      <c r="H2316" s="67"/>
      <c r="I2316" s="68"/>
      <c r="J2316" s="68"/>
      <c r="K2316" s="32"/>
      <c r="L2316" s="75">
        <v>2316</v>
      </c>
      <c r="M2316" s="75"/>
      <c r="N2316" s="70"/>
      <c r="O2316" s="77" t="s">
        <v>179</v>
      </c>
      <c r="P2316" s="79">
        <v>45126.834027777775</v>
      </c>
      <c r="Q2316" s="77" t="s">
        <v>4144</v>
      </c>
      <c r="R2316" s="77">
        <v>12</v>
      </c>
      <c r="S2316" s="77">
        <v>16</v>
      </c>
      <c r="T2316" s="77">
        <v>10</v>
      </c>
      <c r="U2316" s="77">
        <v>0</v>
      </c>
      <c r="V2316" s="77">
        <v>549</v>
      </c>
      <c r="W2316" s="80" t="s">
        <v>7371</v>
      </c>
      <c r="X2316" s="77"/>
      <c r="Y2316" s="77"/>
      <c r="Z2316" s="77"/>
      <c r="AA2316" s="77" t="s">
        <v>9705</v>
      </c>
      <c r="AB2316" s="77" t="s">
        <v>10535</v>
      </c>
      <c r="AC2316" s="80" t="s">
        <v>10542</v>
      </c>
      <c r="AD2316" s="77" t="s">
        <v>10620</v>
      </c>
      <c r="AE2316" s="83" t="str">
        <f>HYPERLINK("https://twitter.com/kimontare/status/1681756040495284224")</f>
        <v>https://twitter.com/kimontare/status/1681756040495284224</v>
      </c>
      <c r="AF2316" s="79">
        <v>45126.834027777775</v>
      </c>
      <c r="AG2316" s="85">
        <v>45126</v>
      </c>
      <c r="AH2316" s="80" t="s">
        <v>12666</v>
      </c>
      <c r="AI2316" s="77" t="b">
        <v>0</v>
      </c>
      <c r="AJ2316" s="77"/>
      <c r="AK2316" s="77"/>
      <c r="AL2316" s="77"/>
      <c r="AM2316" s="77"/>
      <c r="AN2316" s="77"/>
      <c r="AO2316" s="77"/>
      <c r="AP2316" s="77"/>
      <c r="AQ2316" s="77" t="s">
        <v>15187</v>
      </c>
      <c r="AR2316" s="77"/>
      <c r="AS2316" s="77"/>
      <c r="AT2316" s="77"/>
      <c r="AU2316" s="77"/>
      <c r="AV2316" s="83" t="str">
        <f>HYPERLINK("https://pbs.twimg.com/media/F1bMMPHWAAc8xgB.jpg")</f>
        <v>https://pbs.twimg.com/media/F1bMMPHWAAc8xgB.jpg</v>
      </c>
      <c r="AW2316" s="80" t="s">
        <v>18132</v>
      </c>
      <c r="AX2316" s="80" t="s">
        <v>18132</v>
      </c>
      <c r="AY2316" s="77"/>
      <c r="AZ2316" s="80" t="s">
        <v>20380</v>
      </c>
      <c r="BA2316" s="80" t="s">
        <v>20380</v>
      </c>
      <c r="BB2316" s="80" t="s">
        <v>20380</v>
      </c>
      <c r="BC2316" s="80" t="s">
        <v>18132</v>
      </c>
      <c r="BD2316" s="77">
        <v>293664512</v>
      </c>
      <c r="BE2316" s="77"/>
      <c r="BF2316" s="77"/>
      <c r="BG2316" s="77"/>
      <c r="BH2316" s="77"/>
      <c r="BI2316" s="77"/>
    </row>
    <row r="2317" spans="1:61" x14ac:dyDescent="0.25">
      <c r="A2317" s="62" t="s">
        <v>939</v>
      </c>
      <c r="B2317" s="62" t="s">
        <v>939</v>
      </c>
      <c r="C2317" s="63"/>
      <c r="D2317" s="64"/>
      <c r="E2317" s="65"/>
      <c r="F2317" s="66"/>
      <c r="G2317" s="63"/>
      <c r="H2317" s="67"/>
      <c r="I2317" s="68"/>
      <c r="J2317" s="68"/>
      <c r="K2317" s="32"/>
      <c r="L2317" s="75">
        <v>2317</v>
      </c>
      <c r="M2317" s="75"/>
      <c r="N2317" s="70"/>
      <c r="O2317" s="77" t="s">
        <v>179</v>
      </c>
      <c r="P2317" s="79">
        <v>45152.628182870372</v>
      </c>
      <c r="Q2317" s="77" t="s">
        <v>4145</v>
      </c>
      <c r="R2317" s="77">
        <v>0</v>
      </c>
      <c r="S2317" s="77">
        <v>0</v>
      </c>
      <c r="T2317" s="77">
        <v>0</v>
      </c>
      <c r="U2317" s="77">
        <v>0</v>
      </c>
      <c r="V2317" s="77">
        <v>33</v>
      </c>
      <c r="W2317" s="80" t="s">
        <v>6885</v>
      </c>
      <c r="X2317" s="77"/>
      <c r="Y2317" s="77"/>
      <c r="Z2317" s="77"/>
      <c r="AA2317" s="77"/>
      <c r="AB2317" s="77"/>
      <c r="AC2317" s="80" t="s">
        <v>10540</v>
      </c>
      <c r="AD2317" s="77" t="s">
        <v>10620</v>
      </c>
      <c r="AE2317" s="83" t="str">
        <f>HYPERLINK("https://twitter.com/minari2797/status/1691103528721485824")</f>
        <v>https://twitter.com/minari2797/status/1691103528721485824</v>
      </c>
      <c r="AF2317" s="79">
        <v>45152.628182870372</v>
      </c>
      <c r="AG2317" s="85">
        <v>45152</v>
      </c>
      <c r="AH2317" s="80" t="s">
        <v>12667</v>
      </c>
      <c r="AI2317" s="77"/>
      <c r="AJ2317" s="77"/>
      <c r="AK2317" s="77"/>
      <c r="AL2317" s="77"/>
      <c r="AM2317" s="77"/>
      <c r="AN2317" s="77"/>
      <c r="AO2317" s="77"/>
      <c r="AP2317" s="77"/>
      <c r="AQ2317" s="77"/>
      <c r="AR2317" s="77"/>
      <c r="AS2317" s="77"/>
      <c r="AT2317" s="77"/>
      <c r="AU2317" s="77"/>
      <c r="AV2317" s="83" t="str">
        <f>HYPERLINK("https://pbs.twimg.com/profile_images/1690795982546472961/zne8k0Gw_normal.png")</f>
        <v>https://pbs.twimg.com/profile_images/1690795982546472961/zne8k0Gw_normal.png</v>
      </c>
      <c r="AW2317" s="80" t="s">
        <v>18133</v>
      </c>
      <c r="AX2317" s="80" t="s">
        <v>18133</v>
      </c>
      <c r="AY2317" s="77"/>
      <c r="AZ2317" s="80" t="s">
        <v>20380</v>
      </c>
      <c r="BA2317" s="80" t="s">
        <v>20380</v>
      </c>
      <c r="BB2317" s="80" t="s">
        <v>20380</v>
      </c>
      <c r="BC2317" s="80" t="s">
        <v>18133</v>
      </c>
      <c r="BD2317" s="80" t="s">
        <v>20841</v>
      </c>
      <c r="BE2317" s="77"/>
      <c r="BF2317" s="77"/>
      <c r="BG2317" s="77"/>
      <c r="BH2317" s="77"/>
      <c r="BI2317" s="77"/>
    </row>
    <row r="2318" spans="1:61" x14ac:dyDescent="0.25">
      <c r="A2318" s="62" t="s">
        <v>940</v>
      </c>
      <c r="B2318" s="62" t="s">
        <v>1827</v>
      </c>
      <c r="C2318" s="63"/>
      <c r="D2318" s="64"/>
      <c r="E2318" s="65"/>
      <c r="F2318" s="66"/>
      <c r="G2318" s="63"/>
      <c r="H2318" s="67"/>
      <c r="I2318" s="68"/>
      <c r="J2318" s="68"/>
      <c r="K2318" s="32"/>
      <c r="L2318" s="75">
        <v>2318</v>
      </c>
      <c r="M2318" s="75"/>
      <c r="N2318" s="70"/>
      <c r="O2318" s="77" t="s">
        <v>2081</v>
      </c>
      <c r="P2318" s="79">
        <v>45056.967326388891</v>
      </c>
      <c r="Q2318" s="77" t="s">
        <v>4146</v>
      </c>
      <c r="R2318" s="77">
        <v>1</v>
      </c>
      <c r="S2318" s="77">
        <v>5</v>
      </c>
      <c r="T2318" s="77">
        <v>0</v>
      </c>
      <c r="U2318" s="77">
        <v>0</v>
      </c>
      <c r="V2318" s="77">
        <v>104</v>
      </c>
      <c r="W2318" s="80" t="s">
        <v>7372</v>
      </c>
      <c r="X2318" s="83" t="str">
        <f>HYPERLINK("https://youtu.be/Je8FNoJu7po")</f>
        <v>https://youtu.be/Je8FNoJu7po</v>
      </c>
      <c r="Y2318" s="77" t="s">
        <v>8635</v>
      </c>
      <c r="Z2318" s="77" t="s">
        <v>1827</v>
      </c>
      <c r="AA2318" s="77"/>
      <c r="AB2318" s="77"/>
      <c r="AC2318" s="80" t="s">
        <v>10541</v>
      </c>
      <c r="AD2318" s="77" t="s">
        <v>10617</v>
      </c>
      <c r="AE2318" s="83" t="str">
        <f>HYPERLINK("https://twitter.com/profghiraldelli/status/1656437195719204865")</f>
        <v>https://twitter.com/profghiraldelli/status/1656437195719204865</v>
      </c>
      <c r="AF2318" s="79">
        <v>45056.967326388891</v>
      </c>
      <c r="AG2318" s="85">
        <v>45056</v>
      </c>
      <c r="AH2318" s="80" t="s">
        <v>11114</v>
      </c>
      <c r="AI2318" s="77" t="b">
        <v>0</v>
      </c>
      <c r="AJ2318" s="77"/>
      <c r="AK2318" s="77"/>
      <c r="AL2318" s="77"/>
      <c r="AM2318" s="77"/>
      <c r="AN2318" s="77"/>
      <c r="AO2318" s="77"/>
      <c r="AP2318" s="77"/>
      <c r="AQ2318" s="77"/>
      <c r="AR2318" s="77"/>
      <c r="AS2318" s="77"/>
      <c r="AT2318" s="77"/>
      <c r="AU2318" s="77"/>
      <c r="AV2318" s="83" t="str">
        <f>HYPERLINK("https://pbs.twimg.com/profile_images/1467249419196284928/-bjBBYzo_normal.jpg")</f>
        <v>https://pbs.twimg.com/profile_images/1467249419196284928/-bjBBYzo_normal.jpg</v>
      </c>
      <c r="AW2318" s="80" t="s">
        <v>18134</v>
      </c>
      <c r="AX2318" s="80" t="s">
        <v>18134</v>
      </c>
      <c r="AY2318" s="77"/>
      <c r="AZ2318" s="80" t="s">
        <v>20380</v>
      </c>
      <c r="BA2318" s="80" t="s">
        <v>20380</v>
      </c>
      <c r="BB2318" s="80" t="s">
        <v>20380</v>
      </c>
      <c r="BC2318" s="80" t="s">
        <v>18134</v>
      </c>
      <c r="BD2318" s="80" t="s">
        <v>20842</v>
      </c>
      <c r="BE2318" s="77"/>
      <c r="BF2318" s="77"/>
      <c r="BG2318" s="77"/>
      <c r="BH2318" s="77"/>
      <c r="BI2318" s="77"/>
    </row>
    <row r="2319" spans="1:61" x14ac:dyDescent="0.25">
      <c r="A2319" s="62" t="s">
        <v>941</v>
      </c>
      <c r="B2319" s="62" t="s">
        <v>941</v>
      </c>
      <c r="C2319" s="63"/>
      <c r="D2319" s="64"/>
      <c r="E2319" s="65"/>
      <c r="F2319" s="66"/>
      <c r="G2319" s="63"/>
      <c r="H2319" s="67"/>
      <c r="I2319" s="68"/>
      <c r="J2319" s="68"/>
      <c r="K2319" s="32"/>
      <c r="L2319" s="75">
        <v>2319</v>
      </c>
      <c r="M2319" s="75"/>
      <c r="N2319" s="70"/>
      <c r="O2319" s="77" t="s">
        <v>179</v>
      </c>
      <c r="P2319" s="79">
        <v>45107.654710648145</v>
      </c>
      <c r="Q2319" s="77" t="s">
        <v>4147</v>
      </c>
      <c r="R2319" s="77">
        <v>0</v>
      </c>
      <c r="S2319" s="77">
        <v>1</v>
      </c>
      <c r="T2319" s="77">
        <v>0</v>
      </c>
      <c r="U2319" s="77">
        <v>0</v>
      </c>
      <c r="V2319" s="77">
        <v>66</v>
      </c>
      <c r="W2319" s="80" t="s">
        <v>7373</v>
      </c>
      <c r="X2319" s="77"/>
      <c r="Y2319" s="77"/>
      <c r="Z2319" s="77"/>
      <c r="AA2319" s="77" t="s">
        <v>9706</v>
      </c>
      <c r="AB2319" s="77" t="s">
        <v>10535</v>
      </c>
      <c r="AC2319" s="80" t="s">
        <v>10541</v>
      </c>
      <c r="AD2319" s="77" t="s">
        <v>10620</v>
      </c>
      <c r="AE2319" s="83" t="str">
        <f>HYPERLINK("https://twitter.com/mandarina_radio/status/1674805689905020936")</f>
        <v>https://twitter.com/mandarina_radio/status/1674805689905020936</v>
      </c>
      <c r="AF2319" s="79">
        <v>45107.654710648145</v>
      </c>
      <c r="AG2319" s="85">
        <v>45107</v>
      </c>
      <c r="AH2319" s="80" t="s">
        <v>12668</v>
      </c>
      <c r="AI2319" s="77" t="b">
        <v>0</v>
      </c>
      <c r="AJ2319" s="77"/>
      <c r="AK2319" s="77"/>
      <c r="AL2319" s="77"/>
      <c r="AM2319" s="77"/>
      <c r="AN2319" s="77"/>
      <c r="AO2319" s="77"/>
      <c r="AP2319" s="77"/>
      <c r="AQ2319" s="77" t="s">
        <v>15188</v>
      </c>
      <c r="AR2319" s="77"/>
      <c r="AS2319" s="77"/>
      <c r="AT2319" s="77"/>
      <c r="AU2319" s="77"/>
      <c r="AV2319" s="83" t="str">
        <f>HYPERLINK("https://pbs.twimg.com/media/Fz4a0-CWIAAS8zi.jpg")</f>
        <v>https://pbs.twimg.com/media/Fz4a0-CWIAAS8zi.jpg</v>
      </c>
      <c r="AW2319" s="80" t="s">
        <v>18135</v>
      </c>
      <c r="AX2319" s="80" t="s">
        <v>18135</v>
      </c>
      <c r="AY2319" s="77"/>
      <c r="AZ2319" s="80" t="s">
        <v>20380</v>
      </c>
      <c r="BA2319" s="80" t="s">
        <v>20380</v>
      </c>
      <c r="BB2319" s="80" t="s">
        <v>20380</v>
      </c>
      <c r="BC2319" s="80" t="s">
        <v>18135</v>
      </c>
      <c r="BD2319" s="80" t="s">
        <v>20843</v>
      </c>
      <c r="BE2319" s="77"/>
      <c r="BF2319" s="77"/>
      <c r="BG2319" s="77"/>
      <c r="BH2319" s="77"/>
      <c r="BI2319" s="77"/>
    </row>
    <row r="2320" spans="1:61" x14ac:dyDescent="0.25">
      <c r="A2320" s="62" t="s">
        <v>942</v>
      </c>
      <c r="B2320" s="62" t="s">
        <v>942</v>
      </c>
      <c r="C2320" s="63"/>
      <c r="D2320" s="64"/>
      <c r="E2320" s="65"/>
      <c r="F2320" s="66"/>
      <c r="G2320" s="63"/>
      <c r="H2320" s="67"/>
      <c r="I2320" s="68"/>
      <c r="J2320" s="68"/>
      <c r="K2320" s="32"/>
      <c r="L2320" s="75">
        <v>2320</v>
      </c>
      <c r="M2320" s="75"/>
      <c r="N2320" s="70"/>
      <c r="O2320" s="77" t="s">
        <v>2078</v>
      </c>
      <c r="P2320" s="79">
        <v>45049.511770833335</v>
      </c>
      <c r="Q2320" s="77" t="s">
        <v>4148</v>
      </c>
      <c r="R2320" s="77">
        <v>0</v>
      </c>
      <c r="S2320" s="77">
        <v>0</v>
      </c>
      <c r="T2320" s="77">
        <v>0</v>
      </c>
      <c r="U2320" s="77">
        <v>0</v>
      </c>
      <c r="V2320" s="77">
        <v>471</v>
      </c>
      <c r="W2320" s="80" t="s">
        <v>6250</v>
      </c>
      <c r="X2320" s="77"/>
      <c r="Y2320" s="77"/>
      <c r="Z2320" s="77"/>
      <c r="AA2320" s="77"/>
      <c r="AB2320" s="77"/>
      <c r="AC2320" s="80" t="s">
        <v>10541</v>
      </c>
      <c r="AD2320" s="77" t="s">
        <v>10617</v>
      </c>
      <c r="AE2320" s="83" t="str">
        <f>HYPERLINK("https://twitter.com/rbandeirantes/status/1653735393857089536")</f>
        <v>https://twitter.com/rbandeirantes/status/1653735393857089536</v>
      </c>
      <c r="AF2320" s="79">
        <v>45049.511770833335</v>
      </c>
      <c r="AG2320" s="85">
        <v>45049</v>
      </c>
      <c r="AH2320" s="80" t="s">
        <v>12669</v>
      </c>
      <c r="AI2320" s="77"/>
      <c r="AJ2320" s="77"/>
      <c r="AK2320" s="77"/>
      <c r="AL2320" s="77"/>
      <c r="AM2320" s="77"/>
      <c r="AN2320" s="77"/>
      <c r="AO2320" s="77"/>
      <c r="AP2320" s="77"/>
      <c r="AQ2320" s="77"/>
      <c r="AR2320" s="77"/>
      <c r="AS2320" s="77"/>
      <c r="AT2320" s="77"/>
      <c r="AU2320" s="77"/>
      <c r="AV2320" s="83" t="str">
        <f>HYPERLINK("https://pbs.twimg.com/profile_images/1432838942542417928/-gmkucS0_normal.jpg")</f>
        <v>https://pbs.twimg.com/profile_images/1432838942542417928/-gmkucS0_normal.jpg</v>
      </c>
      <c r="AW2320" s="80" t="s">
        <v>18136</v>
      </c>
      <c r="AX2320" s="80" t="s">
        <v>20057</v>
      </c>
      <c r="AY2320" s="80" t="s">
        <v>20308</v>
      </c>
      <c r="AZ2320" s="80" t="s">
        <v>20424</v>
      </c>
      <c r="BA2320" s="80" t="s">
        <v>20380</v>
      </c>
      <c r="BB2320" s="80" t="s">
        <v>20380</v>
      </c>
      <c r="BC2320" s="80" t="s">
        <v>20424</v>
      </c>
      <c r="BD2320" s="77">
        <v>40261159</v>
      </c>
      <c r="BE2320" s="77"/>
      <c r="BF2320" s="77"/>
      <c r="BG2320" s="77"/>
      <c r="BH2320" s="77"/>
      <c r="BI2320" s="77"/>
    </row>
    <row r="2321" spans="1:61" x14ac:dyDescent="0.25">
      <c r="A2321" s="62" t="s">
        <v>943</v>
      </c>
      <c r="B2321" s="62" t="s">
        <v>1927</v>
      </c>
      <c r="C2321" s="63"/>
      <c r="D2321" s="64"/>
      <c r="E2321" s="65"/>
      <c r="F2321" s="66"/>
      <c r="G2321" s="63"/>
      <c r="H2321" s="67"/>
      <c r="I2321" s="68"/>
      <c r="J2321" s="68"/>
      <c r="K2321" s="32"/>
      <c r="L2321" s="75">
        <v>2321</v>
      </c>
      <c r="M2321" s="75"/>
      <c r="N2321" s="70"/>
      <c r="O2321" s="77" t="s">
        <v>2078</v>
      </c>
      <c r="P2321" s="79">
        <v>45120.180671296293</v>
      </c>
      <c r="Q2321" s="77" t="s">
        <v>4149</v>
      </c>
      <c r="R2321" s="77">
        <v>1</v>
      </c>
      <c r="S2321" s="77">
        <v>0</v>
      </c>
      <c r="T2321" s="77">
        <v>1</v>
      </c>
      <c r="U2321" s="77">
        <v>0</v>
      </c>
      <c r="V2321" s="77">
        <v>47</v>
      </c>
      <c r="W2321" s="80" t="s">
        <v>5884</v>
      </c>
      <c r="X2321" s="77"/>
      <c r="Y2321" s="77"/>
      <c r="Z2321" s="77" t="s">
        <v>1927</v>
      </c>
      <c r="AA2321" s="77" t="s">
        <v>9707</v>
      </c>
      <c r="AB2321" s="77" t="s">
        <v>10535</v>
      </c>
      <c r="AC2321" s="80" t="s">
        <v>10540</v>
      </c>
      <c r="AD2321" s="77" t="s">
        <v>10620</v>
      </c>
      <c r="AE2321" s="83" t="str">
        <f>HYPERLINK("https://twitter.com/viitkar/status/1679344946497691649")</f>
        <v>https://twitter.com/viitkar/status/1679344946497691649</v>
      </c>
      <c r="AF2321" s="79">
        <v>45120.180671296293</v>
      </c>
      <c r="AG2321" s="85">
        <v>45120</v>
      </c>
      <c r="AH2321" s="80" t="s">
        <v>12670</v>
      </c>
      <c r="AI2321" s="77" t="b">
        <v>0</v>
      </c>
      <c r="AJ2321" s="77"/>
      <c r="AK2321" s="77"/>
      <c r="AL2321" s="77"/>
      <c r="AM2321" s="77"/>
      <c r="AN2321" s="77"/>
      <c r="AO2321" s="77"/>
      <c r="AP2321" s="77"/>
      <c r="AQ2321" s="77" t="s">
        <v>15189</v>
      </c>
      <c r="AR2321" s="77"/>
      <c r="AS2321" s="77"/>
      <c r="AT2321" s="77"/>
      <c r="AU2321" s="77"/>
      <c r="AV2321" s="83" t="str">
        <f>HYPERLINK("https://pbs.twimg.com/media/F047VC0WIAcm6OZ.jpg")</f>
        <v>https://pbs.twimg.com/media/F047VC0WIAcm6OZ.jpg</v>
      </c>
      <c r="AW2321" s="80" t="s">
        <v>18137</v>
      </c>
      <c r="AX2321" s="80" t="s">
        <v>20058</v>
      </c>
      <c r="AY2321" s="80" t="s">
        <v>20309</v>
      </c>
      <c r="AZ2321" s="80" t="s">
        <v>20058</v>
      </c>
      <c r="BA2321" s="80" t="s">
        <v>20380</v>
      </c>
      <c r="BB2321" s="80" t="s">
        <v>20380</v>
      </c>
      <c r="BC2321" s="80" t="s">
        <v>20058</v>
      </c>
      <c r="BD2321" s="77">
        <v>34450334</v>
      </c>
      <c r="BE2321" s="77"/>
      <c r="BF2321" s="77"/>
      <c r="BG2321" s="77"/>
      <c r="BH2321" s="77"/>
      <c r="BI2321" s="77"/>
    </row>
    <row r="2322" spans="1:61" x14ac:dyDescent="0.25">
      <c r="A2322" s="62" t="s">
        <v>944</v>
      </c>
      <c r="B2322" s="62" t="s">
        <v>944</v>
      </c>
      <c r="C2322" s="63"/>
      <c r="D2322" s="64"/>
      <c r="E2322" s="65"/>
      <c r="F2322" s="66"/>
      <c r="G2322" s="63"/>
      <c r="H2322" s="67"/>
      <c r="I2322" s="68"/>
      <c r="J2322" s="68"/>
      <c r="K2322" s="32"/>
      <c r="L2322" s="75">
        <v>2322</v>
      </c>
      <c r="M2322" s="75"/>
      <c r="N2322" s="70"/>
      <c r="O2322" s="77" t="s">
        <v>179</v>
      </c>
      <c r="P2322" s="79">
        <v>45111.143912037034</v>
      </c>
      <c r="Q2322" s="77" t="s">
        <v>4150</v>
      </c>
      <c r="R2322" s="77">
        <v>0</v>
      </c>
      <c r="S2322" s="77">
        <v>0</v>
      </c>
      <c r="T2322" s="77">
        <v>0</v>
      </c>
      <c r="U2322" s="77">
        <v>0</v>
      </c>
      <c r="V2322" s="77">
        <v>11</v>
      </c>
      <c r="W2322" s="80" t="s">
        <v>5884</v>
      </c>
      <c r="X2322" s="83" t="str">
        <f>HYPERLINK("https://www.psncom.cl/2023/07/03/recesion-tecnica-economia-chilena-sigue-estancada-y-desempleo-en-alza/")</f>
        <v>https://www.psncom.cl/2023/07/03/recesion-tecnica-economia-chilena-sigue-estancada-y-desempleo-en-alza/</v>
      </c>
      <c r="Y2322" s="77" t="s">
        <v>8778</v>
      </c>
      <c r="Z2322" s="77"/>
      <c r="AA2322" s="77" t="s">
        <v>9708</v>
      </c>
      <c r="AB2322" s="77" t="s">
        <v>10535</v>
      </c>
      <c r="AC2322" s="80" t="s">
        <v>10546</v>
      </c>
      <c r="AD2322" s="77" t="s">
        <v>10620</v>
      </c>
      <c r="AE2322" s="83" t="str">
        <f>HYPERLINK("https://twitter.com/psncompsn/status/1676070135184994304")</f>
        <v>https://twitter.com/psncompsn/status/1676070135184994304</v>
      </c>
      <c r="AF2322" s="79">
        <v>45111.143912037034</v>
      </c>
      <c r="AG2322" s="85">
        <v>45111</v>
      </c>
      <c r="AH2322" s="80" t="s">
        <v>12671</v>
      </c>
      <c r="AI2322" s="77" t="b">
        <v>0</v>
      </c>
      <c r="AJ2322" s="77"/>
      <c r="AK2322" s="77"/>
      <c r="AL2322" s="77"/>
      <c r="AM2322" s="77"/>
      <c r="AN2322" s="77"/>
      <c r="AO2322" s="77"/>
      <c r="AP2322" s="77"/>
      <c r="AQ2322" s="77" t="s">
        <v>15190</v>
      </c>
      <c r="AR2322" s="77"/>
      <c r="AS2322" s="77"/>
      <c r="AT2322" s="77"/>
      <c r="AU2322" s="77"/>
      <c r="AV2322" s="83" t="str">
        <f>HYPERLINK("https://pbs.twimg.com/media/F0KY5-UXoAAn3Zj.jpg")</f>
        <v>https://pbs.twimg.com/media/F0KY5-UXoAAn3Zj.jpg</v>
      </c>
      <c r="AW2322" s="80" t="s">
        <v>18138</v>
      </c>
      <c r="AX2322" s="80" t="s">
        <v>18138</v>
      </c>
      <c r="AY2322" s="77"/>
      <c r="AZ2322" s="80" t="s">
        <v>20380</v>
      </c>
      <c r="BA2322" s="80" t="s">
        <v>20380</v>
      </c>
      <c r="BB2322" s="80" t="s">
        <v>20380</v>
      </c>
      <c r="BC2322" s="80" t="s">
        <v>18138</v>
      </c>
      <c r="BD2322" s="80" t="s">
        <v>20844</v>
      </c>
      <c r="BE2322" s="77"/>
      <c r="BF2322" s="77"/>
      <c r="BG2322" s="77"/>
      <c r="BH2322" s="77"/>
      <c r="BI2322" s="77"/>
    </row>
    <row r="2323" spans="1:61" x14ac:dyDescent="0.25">
      <c r="A2323" s="62" t="s">
        <v>944</v>
      </c>
      <c r="B2323" s="62" t="s">
        <v>944</v>
      </c>
      <c r="C2323" s="63"/>
      <c r="D2323" s="64"/>
      <c r="E2323" s="65"/>
      <c r="F2323" s="66"/>
      <c r="G2323" s="63"/>
      <c r="H2323" s="67"/>
      <c r="I2323" s="68"/>
      <c r="J2323" s="68"/>
      <c r="K2323" s="32"/>
      <c r="L2323" s="75">
        <v>2323</v>
      </c>
      <c r="M2323" s="75"/>
      <c r="N2323" s="70"/>
      <c r="O2323" s="77" t="s">
        <v>179</v>
      </c>
      <c r="P2323" s="79">
        <v>45175.116886574076</v>
      </c>
      <c r="Q2323" s="77" t="s">
        <v>4151</v>
      </c>
      <c r="R2323" s="77">
        <v>0</v>
      </c>
      <c r="S2323" s="77">
        <v>0</v>
      </c>
      <c r="T2323" s="77">
        <v>0</v>
      </c>
      <c r="U2323" s="77">
        <v>0</v>
      </c>
      <c r="V2323" s="77">
        <v>9</v>
      </c>
      <c r="W2323" s="80" t="s">
        <v>6693</v>
      </c>
      <c r="X2323" s="83" t="str">
        <f>HYPERLINK("https://www.psncom.cl/2023/09/05/banco-central-rebaja-en-75-puntos-tasa-rectora-y-la-deja-en-95/")</f>
        <v>https://www.psncom.cl/2023/09/05/banco-central-rebaja-en-75-puntos-tasa-rectora-y-la-deja-en-95/</v>
      </c>
      <c r="Y2323" s="77" t="s">
        <v>8778</v>
      </c>
      <c r="Z2323" s="77"/>
      <c r="AA2323" s="77"/>
      <c r="AB2323" s="77"/>
      <c r="AC2323" s="80" t="s">
        <v>10541</v>
      </c>
      <c r="AD2323" s="77" t="s">
        <v>10620</v>
      </c>
      <c r="AE2323" s="83" t="str">
        <f>HYPERLINK("https://twitter.com/psncompsn/status/1699253162614608095")</f>
        <v>https://twitter.com/psncompsn/status/1699253162614608095</v>
      </c>
      <c r="AF2323" s="79">
        <v>45175.116886574076</v>
      </c>
      <c r="AG2323" s="85">
        <v>45175</v>
      </c>
      <c r="AH2323" s="80" t="s">
        <v>12672</v>
      </c>
      <c r="AI2323" s="77" t="b">
        <v>0</v>
      </c>
      <c r="AJ2323" s="77"/>
      <c r="AK2323" s="77"/>
      <c r="AL2323" s="77"/>
      <c r="AM2323" s="77"/>
      <c r="AN2323" s="77"/>
      <c r="AO2323" s="77"/>
      <c r="AP2323" s="77"/>
      <c r="AQ2323" s="77"/>
      <c r="AR2323" s="77"/>
      <c r="AS2323" s="77"/>
      <c r="AT2323" s="77"/>
      <c r="AU2323" s="77"/>
      <c r="AV2323" s="83" t="str">
        <f>HYPERLINK("https://pbs.twimg.com/profile_images/1576737003739254787/XO7VlEDS_normal.jpg")</f>
        <v>https://pbs.twimg.com/profile_images/1576737003739254787/XO7VlEDS_normal.jpg</v>
      </c>
      <c r="AW2323" s="80" t="s">
        <v>18139</v>
      </c>
      <c r="AX2323" s="80" t="s">
        <v>18139</v>
      </c>
      <c r="AY2323" s="77"/>
      <c r="AZ2323" s="80" t="s">
        <v>20380</v>
      </c>
      <c r="BA2323" s="80" t="s">
        <v>20380</v>
      </c>
      <c r="BB2323" s="80" t="s">
        <v>20380</v>
      </c>
      <c r="BC2323" s="80" t="s">
        <v>18139</v>
      </c>
      <c r="BD2323" s="80" t="s">
        <v>20844</v>
      </c>
      <c r="BE2323" s="77"/>
      <c r="BF2323" s="77"/>
      <c r="BG2323" s="77"/>
      <c r="BH2323" s="77"/>
      <c r="BI2323" s="77"/>
    </row>
    <row r="2324" spans="1:61" x14ac:dyDescent="0.25">
      <c r="A2324" s="62" t="s">
        <v>945</v>
      </c>
      <c r="B2324" s="62" t="s">
        <v>945</v>
      </c>
      <c r="C2324" s="63"/>
      <c r="D2324" s="64"/>
      <c r="E2324" s="65"/>
      <c r="F2324" s="66"/>
      <c r="G2324" s="63"/>
      <c r="H2324" s="67"/>
      <c r="I2324" s="68"/>
      <c r="J2324" s="68"/>
      <c r="K2324" s="32"/>
      <c r="L2324" s="75">
        <v>2324</v>
      </c>
      <c r="M2324" s="75"/>
      <c r="N2324" s="70"/>
      <c r="O2324" s="77" t="s">
        <v>179</v>
      </c>
      <c r="P2324" s="79">
        <v>45182.043495370373</v>
      </c>
      <c r="Q2324" s="77" t="s">
        <v>4152</v>
      </c>
      <c r="R2324" s="77">
        <v>1</v>
      </c>
      <c r="S2324" s="77">
        <v>2</v>
      </c>
      <c r="T2324" s="77">
        <v>0</v>
      </c>
      <c r="U2324" s="77">
        <v>0</v>
      </c>
      <c r="V2324" s="77">
        <v>853</v>
      </c>
      <c r="W2324" s="80" t="s">
        <v>7374</v>
      </c>
      <c r="X2324" s="83" t="str">
        <f>HYPERLINK("https://acento.com.do/economia/inflacion-de-agosto-fue-de-4-27-se-ubica-entre-las-mas-bajas-de-america-latina-9245107.html")</f>
        <v>https://acento.com.do/economia/inflacion-de-agosto-fue-de-4-27-se-ubica-entre-las-mas-bajas-de-america-latina-9245107.html</v>
      </c>
      <c r="Y2324" s="77" t="s">
        <v>8625</v>
      </c>
      <c r="Z2324" s="77"/>
      <c r="AA2324" s="77" t="s">
        <v>9709</v>
      </c>
      <c r="AB2324" s="77" t="s">
        <v>10535</v>
      </c>
      <c r="AC2324" s="80" t="s">
        <v>10541</v>
      </c>
      <c r="AD2324" s="77" t="s">
        <v>10620</v>
      </c>
      <c r="AE2324" s="83" t="str">
        <f>HYPERLINK("https://twitter.com/acentodiario/status/1701763282170741017")</f>
        <v>https://twitter.com/acentodiario/status/1701763282170741017</v>
      </c>
      <c r="AF2324" s="79">
        <v>45182.043495370373</v>
      </c>
      <c r="AG2324" s="85">
        <v>45182</v>
      </c>
      <c r="AH2324" s="80" t="s">
        <v>12673</v>
      </c>
      <c r="AI2324" s="77" t="b">
        <v>0</v>
      </c>
      <c r="AJ2324" s="77"/>
      <c r="AK2324" s="77"/>
      <c r="AL2324" s="77"/>
      <c r="AM2324" s="77"/>
      <c r="AN2324" s="77"/>
      <c r="AO2324" s="77"/>
      <c r="AP2324" s="77"/>
      <c r="AQ2324" s="77" t="s">
        <v>15191</v>
      </c>
      <c r="AR2324" s="77"/>
      <c r="AS2324" s="77"/>
      <c r="AT2324" s="77"/>
      <c r="AU2324" s="77"/>
      <c r="AV2324" s="83" t="str">
        <f>HYPERLINK("https://pbs.twimg.com/media/F53gQG8XcAET9GC.jpg")</f>
        <v>https://pbs.twimg.com/media/F53gQG8XcAET9GC.jpg</v>
      </c>
      <c r="AW2324" s="80" t="s">
        <v>18140</v>
      </c>
      <c r="AX2324" s="80" t="s">
        <v>18140</v>
      </c>
      <c r="AY2324" s="77"/>
      <c r="AZ2324" s="80" t="s">
        <v>20380</v>
      </c>
      <c r="BA2324" s="80" t="s">
        <v>20380</v>
      </c>
      <c r="BB2324" s="80" t="s">
        <v>20380</v>
      </c>
      <c r="BC2324" s="80" t="s">
        <v>18140</v>
      </c>
      <c r="BD2324" s="77">
        <v>229334332</v>
      </c>
      <c r="BE2324" s="77"/>
      <c r="BF2324" s="77"/>
      <c r="BG2324" s="77"/>
      <c r="BH2324" s="77"/>
      <c r="BI2324" s="77"/>
    </row>
    <row r="2325" spans="1:61" x14ac:dyDescent="0.25">
      <c r="A2325" s="62" t="s">
        <v>946</v>
      </c>
      <c r="B2325" s="62" t="s">
        <v>946</v>
      </c>
      <c r="C2325" s="63"/>
      <c r="D2325" s="64"/>
      <c r="E2325" s="65"/>
      <c r="F2325" s="66"/>
      <c r="G2325" s="63"/>
      <c r="H2325" s="67"/>
      <c r="I2325" s="68"/>
      <c r="J2325" s="68"/>
      <c r="K2325" s="32"/>
      <c r="L2325" s="75">
        <v>2325</v>
      </c>
      <c r="M2325" s="75"/>
      <c r="N2325" s="70"/>
      <c r="O2325" s="77" t="s">
        <v>179</v>
      </c>
      <c r="P2325" s="79">
        <v>45137.638078703705</v>
      </c>
      <c r="Q2325" s="77" t="s">
        <v>4153</v>
      </c>
      <c r="R2325" s="77">
        <v>0</v>
      </c>
      <c r="S2325" s="77">
        <v>0</v>
      </c>
      <c r="T2325" s="77">
        <v>0</v>
      </c>
      <c r="U2325" s="77">
        <v>0</v>
      </c>
      <c r="V2325" s="77">
        <v>21</v>
      </c>
      <c r="W2325" s="80" t="s">
        <v>6698</v>
      </c>
      <c r="X2325" s="77"/>
      <c r="Y2325" s="77"/>
      <c r="Z2325" s="77"/>
      <c r="AA2325" s="77" t="s">
        <v>9710</v>
      </c>
      <c r="AB2325" s="77" t="s">
        <v>10534</v>
      </c>
      <c r="AC2325" s="80" t="s">
        <v>10540</v>
      </c>
      <c r="AD2325" s="77" t="s">
        <v>10619</v>
      </c>
      <c r="AE2325" s="83" t="str">
        <f>HYPERLINK("https://twitter.com/simonefraga15/status/1685671298221924352")</f>
        <v>https://twitter.com/simonefraga15/status/1685671298221924352</v>
      </c>
      <c r="AF2325" s="79">
        <v>45137.638078703705</v>
      </c>
      <c r="AG2325" s="85">
        <v>45137</v>
      </c>
      <c r="AH2325" s="80" t="s">
        <v>12674</v>
      </c>
      <c r="AI2325" s="77" t="b">
        <v>0</v>
      </c>
      <c r="AJ2325" s="77"/>
      <c r="AK2325" s="77"/>
      <c r="AL2325" s="77"/>
      <c r="AM2325" s="77"/>
      <c r="AN2325" s="77"/>
      <c r="AO2325" s="77"/>
      <c r="AP2325" s="77"/>
      <c r="AQ2325" s="77" t="s">
        <v>15192</v>
      </c>
      <c r="AR2325" s="77">
        <v>44975</v>
      </c>
      <c r="AS2325" s="77"/>
      <c r="AT2325" s="77"/>
      <c r="AU2325" s="77"/>
      <c r="AV2325" s="83" t="str">
        <f>HYPERLINK("https://pbs.twimg.com/ext_tw_video_thumb/1685671252835364864/pu/img/4ER-DJiQRkkGXypR.jpg")</f>
        <v>https://pbs.twimg.com/ext_tw_video_thumb/1685671252835364864/pu/img/4ER-DJiQRkkGXypR.jpg</v>
      </c>
      <c r="AW2325" s="80" t="s">
        <v>18141</v>
      </c>
      <c r="AX2325" s="80" t="s">
        <v>18141</v>
      </c>
      <c r="AY2325" s="77"/>
      <c r="AZ2325" s="80" t="s">
        <v>20380</v>
      </c>
      <c r="BA2325" s="80" t="s">
        <v>20380</v>
      </c>
      <c r="BB2325" s="80" t="s">
        <v>20380</v>
      </c>
      <c r="BC2325" s="80" t="s">
        <v>18141</v>
      </c>
      <c r="BD2325" s="80" t="s">
        <v>20845</v>
      </c>
      <c r="BE2325" s="77"/>
      <c r="BF2325" s="77"/>
      <c r="BG2325" s="77"/>
      <c r="BH2325" s="77"/>
      <c r="BI2325" s="77"/>
    </row>
    <row r="2326" spans="1:61" x14ac:dyDescent="0.25">
      <c r="A2326" s="62" t="s">
        <v>946</v>
      </c>
      <c r="B2326" s="62" t="s">
        <v>1677</v>
      </c>
      <c r="C2326" s="63"/>
      <c r="D2326" s="64"/>
      <c r="E2326" s="65"/>
      <c r="F2326" s="66"/>
      <c r="G2326" s="63"/>
      <c r="H2326" s="67"/>
      <c r="I2326" s="68"/>
      <c r="J2326" s="68"/>
      <c r="K2326" s="32"/>
      <c r="L2326" s="75">
        <v>2326</v>
      </c>
      <c r="M2326" s="75"/>
      <c r="N2326" s="70"/>
      <c r="O2326" s="77" t="s">
        <v>2082</v>
      </c>
      <c r="P2326" s="79">
        <v>45137.637418981481</v>
      </c>
      <c r="Q2326" s="77" t="s">
        <v>3069</v>
      </c>
      <c r="R2326" s="77">
        <v>0</v>
      </c>
      <c r="S2326" s="77">
        <v>0</v>
      </c>
      <c r="T2326" s="77">
        <v>0</v>
      </c>
      <c r="U2326" s="77">
        <v>0</v>
      </c>
      <c r="V2326" s="77">
        <v>11</v>
      </c>
      <c r="W2326" s="80" t="s">
        <v>6698</v>
      </c>
      <c r="X2326" s="77"/>
      <c r="Y2326" s="77"/>
      <c r="Z2326" s="77"/>
      <c r="AA2326" s="77"/>
      <c r="AB2326" s="77"/>
      <c r="AC2326" s="80" t="s">
        <v>10540</v>
      </c>
      <c r="AD2326" s="77" t="s">
        <v>10618</v>
      </c>
      <c r="AE2326" s="83" t="str">
        <f>HYPERLINK("https://twitter.com/simonefraga15/status/1685671060434300929")</f>
        <v>https://twitter.com/simonefraga15/status/1685671060434300929</v>
      </c>
      <c r="AF2326" s="79">
        <v>45137.637418981481</v>
      </c>
      <c r="AG2326" s="85">
        <v>45137</v>
      </c>
      <c r="AH2326" s="80" t="s">
        <v>12675</v>
      </c>
      <c r="AI2326" s="77"/>
      <c r="AJ2326" s="77"/>
      <c r="AK2326" s="77"/>
      <c r="AL2326" s="77"/>
      <c r="AM2326" s="77"/>
      <c r="AN2326" s="77"/>
      <c r="AO2326" s="77"/>
      <c r="AP2326" s="77"/>
      <c r="AQ2326" s="77"/>
      <c r="AR2326" s="77"/>
      <c r="AS2326" s="77"/>
      <c r="AT2326" s="77"/>
      <c r="AU2326" s="77"/>
      <c r="AV2326" s="83" t="str">
        <f>HYPERLINK("https://abs.twimg.com/sticky/default_profile_images/default_profile_normal.png")</f>
        <v>https://abs.twimg.com/sticky/default_profile_images/default_profile_normal.png</v>
      </c>
      <c r="AW2326" s="80" t="s">
        <v>18142</v>
      </c>
      <c r="AX2326" s="80" t="s">
        <v>18142</v>
      </c>
      <c r="AY2326" s="77"/>
      <c r="AZ2326" s="80" t="s">
        <v>20380</v>
      </c>
      <c r="BA2326" s="80" t="s">
        <v>19928</v>
      </c>
      <c r="BB2326" s="80" t="s">
        <v>20380</v>
      </c>
      <c r="BC2326" s="80" t="s">
        <v>19928</v>
      </c>
      <c r="BD2326" s="80" t="s">
        <v>20845</v>
      </c>
      <c r="BE2326" s="77"/>
      <c r="BF2326" s="77"/>
      <c r="BG2326" s="77"/>
      <c r="BH2326" s="77"/>
      <c r="BI2326" s="77"/>
    </row>
    <row r="2327" spans="1:61" x14ac:dyDescent="0.25">
      <c r="A2327" s="62" t="s">
        <v>946</v>
      </c>
      <c r="B2327" s="62" t="s">
        <v>946</v>
      </c>
      <c r="C2327" s="63"/>
      <c r="D2327" s="64"/>
      <c r="E2327" s="65"/>
      <c r="F2327" s="66"/>
      <c r="G2327" s="63"/>
      <c r="H2327" s="67"/>
      <c r="I2327" s="68"/>
      <c r="J2327" s="68"/>
      <c r="K2327" s="32"/>
      <c r="L2327" s="75">
        <v>2327</v>
      </c>
      <c r="M2327" s="75"/>
      <c r="N2327" s="70"/>
      <c r="O2327" s="77" t="s">
        <v>179</v>
      </c>
      <c r="P2327" s="79">
        <v>45137.637245370373</v>
      </c>
      <c r="Q2327" s="77" t="s">
        <v>4154</v>
      </c>
      <c r="R2327" s="77">
        <v>0</v>
      </c>
      <c r="S2327" s="77">
        <v>0</v>
      </c>
      <c r="T2327" s="77">
        <v>0</v>
      </c>
      <c r="U2327" s="77">
        <v>0</v>
      </c>
      <c r="V2327" s="77">
        <v>62</v>
      </c>
      <c r="W2327" s="80" t="s">
        <v>6698</v>
      </c>
      <c r="X2327" s="77"/>
      <c r="Y2327" s="77"/>
      <c r="Z2327" s="77"/>
      <c r="AA2327" s="77" t="s">
        <v>9711</v>
      </c>
      <c r="AB2327" s="77" t="s">
        <v>10534</v>
      </c>
      <c r="AC2327" s="80" t="s">
        <v>10540</v>
      </c>
      <c r="AD2327" s="77" t="s">
        <v>10619</v>
      </c>
      <c r="AE2327" s="83" t="str">
        <f>HYPERLINK("https://twitter.com/simonefraga15/status/1685670995690979328")</f>
        <v>https://twitter.com/simonefraga15/status/1685670995690979328</v>
      </c>
      <c r="AF2327" s="79">
        <v>45137.637245370373</v>
      </c>
      <c r="AG2327" s="85">
        <v>45137</v>
      </c>
      <c r="AH2327" s="80" t="s">
        <v>12676</v>
      </c>
      <c r="AI2327" s="77" t="b">
        <v>0</v>
      </c>
      <c r="AJ2327" s="77"/>
      <c r="AK2327" s="77"/>
      <c r="AL2327" s="77"/>
      <c r="AM2327" s="77"/>
      <c r="AN2327" s="77"/>
      <c r="AO2327" s="77"/>
      <c r="AP2327" s="77"/>
      <c r="AQ2327" s="77" t="s">
        <v>15193</v>
      </c>
      <c r="AR2327" s="77">
        <v>44998</v>
      </c>
      <c r="AS2327" s="77"/>
      <c r="AT2327" s="77"/>
      <c r="AU2327" s="77"/>
      <c r="AV2327" s="83" t="str">
        <f>HYPERLINK("https://pbs.twimg.com/ext_tw_video_thumb/1685670949985615872/pu/img/4-NSPD3MBLXVTwnj.jpg")</f>
        <v>https://pbs.twimg.com/ext_tw_video_thumb/1685670949985615872/pu/img/4-NSPD3MBLXVTwnj.jpg</v>
      </c>
      <c r="AW2327" s="80" t="s">
        <v>18143</v>
      </c>
      <c r="AX2327" s="80" t="s">
        <v>18143</v>
      </c>
      <c r="AY2327" s="77"/>
      <c r="AZ2327" s="80" t="s">
        <v>20380</v>
      </c>
      <c r="BA2327" s="80" t="s">
        <v>20380</v>
      </c>
      <c r="BB2327" s="80" t="s">
        <v>20380</v>
      </c>
      <c r="BC2327" s="80" t="s">
        <v>18143</v>
      </c>
      <c r="BD2327" s="80" t="s">
        <v>20845</v>
      </c>
      <c r="BE2327" s="77"/>
      <c r="BF2327" s="77"/>
      <c r="BG2327" s="77"/>
      <c r="BH2327" s="77"/>
      <c r="BI2327" s="77"/>
    </row>
    <row r="2328" spans="1:61" x14ac:dyDescent="0.25">
      <c r="A2328" s="62" t="s">
        <v>946</v>
      </c>
      <c r="B2328" s="62" t="s">
        <v>946</v>
      </c>
      <c r="C2328" s="63"/>
      <c r="D2328" s="64"/>
      <c r="E2328" s="65"/>
      <c r="F2328" s="66"/>
      <c r="G2328" s="63"/>
      <c r="H2328" s="67"/>
      <c r="I2328" s="68"/>
      <c r="J2328" s="68"/>
      <c r="K2328" s="32"/>
      <c r="L2328" s="75">
        <v>2328</v>
      </c>
      <c r="M2328" s="75"/>
      <c r="N2328" s="70"/>
      <c r="O2328" s="77" t="s">
        <v>179</v>
      </c>
      <c r="P2328" s="79">
        <v>45137.636770833335</v>
      </c>
      <c r="Q2328" s="77" t="s">
        <v>4155</v>
      </c>
      <c r="R2328" s="77">
        <v>0</v>
      </c>
      <c r="S2328" s="77">
        <v>0</v>
      </c>
      <c r="T2328" s="77">
        <v>0</v>
      </c>
      <c r="U2328" s="77">
        <v>0</v>
      </c>
      <c r="V2328" s="77">
        <v>17</v>
      </c>
      <c r="W2328" s="80" t="s">
        <v>6698</v>
      </c>
      <c r="X2328" s="77"/>
      <c r="Y2328" s="77"/>
      <c r="Z2328" s="77"/>
      <c r="AA2328" s="77" t="s">
        <v>9712</v>
      </c>
      <c r="AB2328" s="77" t="s">
        <v>10534</v>
      </c>
      <c r="AC2328" s="80" t="s">
        <v>10540</v>
      </c>
      <c r="AD2328" s="77" t="s">
        <v>10619</v>
      </c>
      <c r="AE2328" s="83" t="str">
        <f>HYPERLINK("https://twitter.com/simonefraga15/status/1685670826056499200")</f>
        <v>https://twitter.com/simonefraga15/status/1685670826056499200</v>
      </c>
      <c r="AF2328" s="79">
        <v>45137.636770833335</v>
      </c>
      <c r="AG2328" s="85">
        <v>45137</v>
      </c>
      <c r="AH2328" s="80" t="s">
        <v>12677</v>
      </c>
      <c r="AI2328" s="77" t="b">
        <v>0</v>
      </c>
      <c r="AJ2328" s="77"/>
      <c r="AK2328" s="77"/>
      <c r="AL2328" s="77"/>
      <c r="AM2328" s="77"/>
      <c r="AN2328" s="77"/>
      <c r="AO2328" s="77"/>
      <c r="AP2328" s="77"/>
      <c r="AQ2328" s="77" t="s">
        <v>15194</v>
      </c>
      <c r="AR2328" s="77">
        <v>45000</v>
      </c>
      <c r="AS2328" s="77"/>
      <c r="AT2328" s="77"/>
      <c r="AU2328" s="77"/>
      <c r="AV2328" s="83" t="str">
        <f>HYPERLINK("https://pbs.twimg.com/ext_tw_video_thumb/1685670772348477440/pu/img/6eFmZ-DuxP5_UGN6.jpg")</f>
        <v>https://pbs.twimg.com/ext_tw_video_thumb/1685670772348477440/pu/img/6eFmZ-DuxP5_UGN6.jpg</v>
      </c>
      <c r="AW2328" s="80" t="s">
        <v>18144</v>
      </c>
      <c r="AX2328" s="80" t="s">
        <v>18144</v>
      </c>
      <c r="AY2328" s="77"/>
      <c r="AZ2328" s="80" t="s">
        <v>20380</v>
      </c>
      <c r="BA2328" s="80" t="s">
        <v>20380</v>
      </c>
      <c r="BB2328" s="80" t="s">
        <v>20380</v>
      </c>
      <c r="BC2328" s="80" t="s">
        <v>18144</v>
      </c>
      <c r="BD2328" s="80" t="s">
        <v>20845</v>
      </c>
      <c r="BE2328" s="77"/>
      <c r="BF2328" s="77"/>
      <c r="BG2328" s="77"/>
      <c r="BH2328" s="77"/>
      <c r="BI2328" s="77"/>
    </row>
    <row r="2329" spans="1:61" x14ac:dyDescent="0.25">
      <c r="A2329" s="62" t="s">
        <v>947</v>
      </c>
      <c r="B2329" s="62" t="s">
        <v>947</v>
      </c>
      <c r="C2329" s="63"/>
      <c r="D2329" s="64"/>
      <c r="E2329" s="65"/>
      <c r="F2329" s="66"/>
      <c r="G2329" s="63"/>
      <c r="H2329" s="67"/>
      <c r="I2329" s="68"/>
      <c r="J2329" s="68"/>
      <c r="K2329" s="32"/>
      <c r="L2329" s="75">
        <v>2329</v>
      </c>
      <c r="M2329" s="75"/>
      <c r="N2329" s="70"/>
      <c r="O2329" s="77" t="s">
        <v>179</v>
      </c>
      <c r="P2329" s="79">
        <v>45082.333344907405</v>
      </c>
      <c r="Q2329" s="77" t="s">
        <v>4156</v>
      </c>
      <c r="R2329" s="77">
        <v>0</v>
      </c>
      <c r="S2329" s="77">
        <v>0</v>
      </c>
      <c r="T2329" s="77">
        <v>0</v>
      </c>
      <c r="U2329" s="77">
        <v>0</v>
      </c>
      <c r="V2329" s="77">
        <v>355</v>
      </c>
      <c r="W2329" s="80" t="s">
        <v>7375</v>
      </c>
      <c r="X2329" s="83" t="str">
        <f>HYPERLINK("https://www.markets.com/es/news/week-ahead-opec-meets-rba-and-boc-with-possible-hikes/")</f>
        <v>https://www.markets.com/es/news/week-ahead-opec-meets-rba-and-boc-with-possible-hikes/</v>
      </c>
      <c r="Y2329" s="77" t="s">
        <v>8779</v>
      </c>
      <c r="Z2329" s="77"/>
      <c r="AA2329" s="77" t="s">
        <v>9713</v>
      </c>
      <c r="AB2329" s="77" t="s">
        <v>10534</v>
      </c>
      <c r="AC2329" s="80" t="s">
        <v>10541</v>
      </c>
      <c r="AD2329" s="77" t="s">
        <v>10620</v>
      </c>
      <c r="AE2329" s="83" t="str">
        <f>HYPERLINK("https://twitter.com/marketscomlatam/status/1665629534979235843")</f>
        <v>https://twitter.com/marketscomlatam/status/1665629534979235843</v>
      </c>
      <c r="AF2329" s="79">
        <v>45082.333344907405</v>
      </c>
      <c r="AG2329" s="85">
        <v>45082</v>
      </c>
      <c r="AH2329" s="80" t="s">
        <v>12678</v>
      </c>
      <c r="AI2329" s="77" t="b">
        <v>0</v>
      </c>
      <c r="AJ2329" s="77"/>
      <c r="AK2329" s="77"/>
      <c r="AL2329" s="77"/>
      <c r="AM2329" s="77"/>
      <c r="AN2329" s="77"/>
      <c r="AO2329" s="77"/>
      <c r="AP2329" s="77"/>
      <c r="AQ2329" s="77" t="s">
        <v>15195</v>
      </c>
      <c r="AR2329" s="77">
        <v>5000</v>
      </c>
      <c r="AS2329" s="77"/>
      <c r="AT2329" s="77"/>
      <c r="AU2329" s="77"/>
      <c r="AV2329" s="83" t="str">
        <f>HYPERLINK("https://pbs.twimg.com/ext_tw_video_thumb/1665374961413009408/pu/img/pc6ZwFfHEYIB2sDv.jpg")</f>
        <v>https://pbs.twimg.com/ext_tw_video_thumb/1665374961413009408/pu/img/pc6ZwFfHEYIB2sDv.jpg</v>
      </c>
      <c r="AW2329" s="80" t="s">
        <v>18145</v>
      </c>
      <c r="AX2329" s="80" t="s">
        <v>18145</v>
      </c>
      <c r="AY2329" s="77"/>
      <c r="AZ2329" s="80" t="s">
        <v>20380</v>
      </c>
      <c r="BA2329" s="80" t="s">
        <v>20380</v>
      </c>
      <c r="BB2329" s="80" t="s">
        <v>20380</v>
      </c>
      <c r="BC2329" s="80" t="s">
        <v>18145</v>
      </c>
      <c r="BD2329" s="80" t="s">
        <v>20846</v>
      </c>
      <c r="BE2329" s="77"/>
      <c r="BF2329" s="77"/>
      <c r="BG2329" s="77"/>
      <c r="BH2329" s="77"/>
      <c r="BI2329" s="77"/>
    </row>
    <row r="2330" spans="1:61" x14ac:dyDescent="0.25">
      <c r="A2330" s="62" t="s">
        <v>948</v>
      </c>
      <c r="B2330" s="62" t="s">
        <v>948</v>
      </c>
      <c r="C2330" s="63"/>
      <c r="D2330" s="64"/>
      <c r="E2330" s="65"/>
      <c r="F2330" s="66"/>
      <c r="G2330" s="63"/>
      <c r="H2330" s="67"/>
      <c r="I2330" s="68"/>
      <c r="J2330" s="68"/>
      <c r="K2330" s="32"/>
      <c r="L2330" s="75">
        <v>2330</v>
      </c>
      <c r="M2330" s="75"/>
      <c r="N2330" s="70"/>
      <c r="O2330" s="77" t="s">
        <v>179</v>
      </c>
      <c r="P2330" s="79">
        <v>45141.062557870369</v>
      </c>
      <c r="Q2330" s="77" t="s">
        <v>4157</v>
      </c>
      <c r="R2330" s="77">
        <v>0</v>
      </c>
      <c r="S2330" s="77">
        <v>0</v>
      </c>
      <c r="T2330" s="77">
        <v>1</v>
      </c>
      <c r="U2330" s="77">
        <v>0</v>
      </c>
      <c r="V2330" s="77">
        <v>89</v>
      </c>
      <c r="W2330" s="80" t="s">
        <v>7376</v>
      </c>
      <c r="X2330" s="77"/>
      <c r="Y2330" s="77"/>
      <c r="Z2330" s="77"/>
      <c r="AA2330" s="77"/>
      <c r="AB2330" s="77"/>
      <c r="AC2330" s="80" t="s">
        <v>10542</v>
      </c>
      <c r="AD2330" s="77" t="s">
        <v>10617</v>
      </c>
      <c r="AE2330" s="83" t="str">
        <f>HYPERLINK("https://twitter.com/orakulumapp/status/1686912287032967168")</f>
        <v>https://twitter.com/orakulumapp/status/1686912287032967168</v>
      </c>
      <c r="AF2330" s="79">
        <v>45141.062557870369</v>
      </c>
      <c r="AG2330" s="85">
        <v>45141</v>
      </c>
      <c r="AH2330" s="80" t="s">
        <v>12679</v>
      </c>
      <c r="AI2330" s="77"/>
      <c r="AJ2330" s="77"/>
      <c r="AK2330" s="77"/>
      <c r="AL2330" s="77"/>
      <c r="AM2330" s="77"/>
      <c r="AN2330" s="77"/>
      <c r="AO2330" s="77"/>
      <c r="AP2330" s="77"/>
      <c r="AQ2330" s="77"/>
      <c r="AR2330" s="77"/>
      <c r="AS2330" s="77"/>
      <c r="AT2330" s="77"/>
      <c r="AU2330" s="77"/>
      <c r="AV2330" s="83" t="str">
        <f>HYPERLINK("https://pbs.twimg.com/profile_images/1262775456941703168/3vCrJMnY_normal.jpg")</f>
        <v>https://pbs.twimg.com/profile_images/1262775456941703168/3vCrJMnY_normal.jpg</v>
      </c>
      <c r="AW2330" s="80" t="s">
        <v>18146</v>
      </c>
      <c r="AX2330" s="80" t="s">
        <v>18146</v>
      </c>
      <c r="AY2330" s="77"/>
      <c r="AZ2330" s="80" t="s">
        <v>20380</v>
      </c>
      <c r="BA2330" s="80" t="s">
        <v>20380</v>
      </c>
      <c r="BB2330" s="80" t="s">
        <v>20380</v>
      </c>
      <c r="BC2330" s="80" t="s">
        <v>18146</v>
      </c>
      <c r="BD2330" s="80" t="s">
        <v>20847</v>
      </c>
      <c r="BE2330" s="77"/>
      <c r="BF2330" s="77"/>
      <c r="BG2330" s="77"/>
      <c r="BH2330" s="77"/>
      <c r="BI2330" s="77"/>
    </row>
    <row r="2331" spans="1:61" x14ac:dyDescent="0.25">
      <c r="A2331" s="62" t="s">
        <v>949</v>
      </c>
      <c r="B2331" s="62" t="s">
        <v>949</v>
      </c>
      <c r="C2331" s="63"/>
      <c r="D2331" s="64"/>
      <c r="E2331" s="65"/>
      <c r="F2331" s="66"/>
      <c r="G2331" s="63"/>
      <c r="H2331" s="67"/>
      <c r="I2331" s="68"/>
      <c r="J2331" s="68"/>
      <c r="K2331" s="32"/>
      <c r="L2331" s="75">
        <v>2331</v>
      </c>
      <c r="M2331" s="75"/>
      <c r="N2331" s="70"/>
      <c r="O2331" s="77" t="s">
        <v>179</v>
      </c>
      <c r="P2331" s="79">
        <v>45065.626018518517</v>
      </c>
      <c r="Q2331" s="77" t="s">
        <v>4158</v>
      </c>
      <c r="R2331" s="77">
        <v>0</v>
      </c>
      <c r="S2331" s="77">
        <v>6</v>
      </c>
      <c r="T2331" s="77">
        <v>1</v>
      </c>
      <c r="U2331" s="77">
        <v>0</v>
      </c>
      <c r="V2331" s="77">
        <v>115</v>
      </c>
      <c r="W2331" s="80" t="s">
        <v>7377</v>
      </c>
      <c r="X2331" s="77"/>
      <c r="Y2331" s="77"/>
      <c r="Z2331" s="77"/>
      <c r="AA2331" s="77" t="s">
        <v>9714</v>
      </c>
      <c r="AB2331" s="77" t="s">
        <v>10535</v>
      </c>
      <c r="AC2331" s="80" t="s">
        <v>10541</v>
      </c>
      <c r="AD2331" s="77" t="s">
        <v>10620</v>
      </c>
      <c r="AE2331" s="83" t="str">
        <f>HYPERLINK("https://twitter.com/mcn_comglobal/status/1659575000871870464")</f>
        <v>https://twitter.com/mcn_comglobal/status/1659575000871870464</v>
      </c>
      <c r="AF2331" s="79">
        <v>45065.626018518517</v>
      </c>
      <c r="AG2331" s="85">
        <v>45065</v>
      </c>
      <c r="AH2331" s="80" t="s">
        <v>12680</v>
      </c>
      <c r="AI2331" s="77" t="b">
        <v>0</v>
      </c>
      <c r="AJ2331" s="77"/>
      <c r="AK2331" s="77"/>
      <c r="AL2331" s="77"/>
      <c r="AM2331" s="77"/>
      <c r="AN2331" s="77"/>
      <c r="AO2331" s="77"/>
      <c r="AP2331" s="77"/>
      <c r="AQ2331" s="77" t="s">
        <v>15196</v>
      </c>
      <c r="AR2331" s="77"/>
      <c r="AS2331" s="77"/>
      <c r="AT2331" s="77"/>
      <c r="AU2331" s="77"/>
      <c r="AV2331" s="83" t="str">
        <f>HYPERLINK("https://pbs.twimg.com/media/Fwf-aK0XoAE0aVB.jpg")</f>
        <v>https://pbs.twimg.com/media/Fwf-aK0XoAE0aVB.jpg</v>
      </c>
      <c r="AW2331" s="80" t="s">
        <v>18147</v>
      </c>
      <c r="AX2331" s="80" t="s">
        <v>18147</v>
      </c>
      <c r="AY2331" s="77"/>
      <c r="AZ2331" s="80" t="s">
        <v>20380</v>
      </c>
      <c r="BA2331" s="80" t="s">
        <v>20380</v>
      </c>
      <c r="BB2331" s="80" t="s">
        <v>20380</v>
      </c>
      <c r="BC2331" s="80" t="s">
        <v>18147</v>
      </c>
      <c r="BD2331" s="80" t="s">
        <v>20848</v>
      </c>
      <c r="BE2331" s="77"/>
      <c r="BF2331" s="77"/>
      <c r="BG2331" s="77"/>
      <c r="BH2331" s="77"/>
      <c r="BI2331" s="77"/>
    </row>
    <row r="2332" spans="1:61" x14ac:dyDescent="0.25">
      <c r="A2332" s="62" t="s">
        <v>950</v>
      </c>
      <c r="B2332" s="62" t="s">
        <v>950</v>
      </c>
      <c r="C2332" s="63"/>
      <c r="D2332" s="64"/>
      <c r="E2332" s="65"/>
      <c r="F2332" s="66"/>
      <c r="G2332" s="63"/>
      <c r="H2332" s="67"/>
      <c r="I2332" s="68"/>
      <c r="J2332" s="68"/>
      <c r="K2332" s="32"/>
      <c r="L2332" s="75">
        <v>2332</v>
      </c>
      <c r="M2332" s="75"/>
      <c r="N2332" s="70"/>
      <c r="O2332" s="77" t="s">
        <v>179</v>
      </c>
      <c r="P2332" s="79">
        <v>45089.717546296299</v>
      </c>
      <c r="Q2332" s="77" t="s">
        <v>4159</v>
      </c>
      <c r="R2332" s="77">
        <v>0</v>
      </c>
      <c r="S2332" s="77">
        <v>0</v>
      </c>
      <c r="T2332" s="77">
        <v>0</v>
      </c>
      <c r="U2332" s="77">
        <v>0</v>
      </c>
      <c r="V2332" s="77">
        <v>7</v>
      </c>
      <c r="W2332" s="80" t="s">
        <v>5884</v>
      </c>
      <c r="X2332" s="77"/>
      <c r="Y2332" s="77"/>
      <c r="Z2332" s="77"/>
      <c r="AA2332" s="77"/>
      <c r="AB2332" s="77"/>
      <c r="AC2332" s="80" t="s">
        <v>10540</v>
      </c>
      <c r="AD2332" s="77" t="s">
        <v>10620</v>
      </c>
      <c r="AE2332" s="83" t="str">
        <f>HYPERLINK("https://twitter.com/adn24digital/status/1668305478714109952")</f>
        <v>https://twitter.com/adn24digital/status/1668305478714109952</v>
      </c>
      <c r="AF2332" s="79">
        <v>45089.717546296299</v>
      </c>
      <c r="AG2332" s="85">
        <v>45089</v>
      </c>
      <c r="AH2332" s="80" t="s">
        <v>12234</v>
      </c>
      <c r="AI2332" s="77"/>
      <c r="AJ2332" s="77"/>
      <c r="AK2332" s="77"/>
      <c r="AL2332" s="77"/>
      <c r="AM2332" s="77"/>
      <c r="AN2332" s="77"/>
      <c r="AO2332" s="77"/>
      <c r="AP2332" s="77"/>
      <c r="AQ2332" s="77"/>
      <c r="AR2332" s="77"/>
      <c r="AS2332" s="77"/>
      <c r="AT2332" s="77"/>
      <c r="AU2332" s="77"/>
      <c r="AV2332" s="83" t="str">
        <f>HYPERLINK("https://pbs.twimg.com/profile_images/1570000573549641732/w8sqsBiU_normal.jpg")</f>
        <v>https://pbs.twimg.com/profile_images/1570000573549641732/w8sqsBiU_normal.jpg</v>
      </c>
      <c r="AW2332" s="80" t="s">
        <v>18148</v>
      </c>
      <c r="AX2332" s="80" t="s">
        <v>18148</v>
      </c>
      <c r="AY2332" s="77"/>
      <c r="AZ2332" s="80" t="s">
        <v>20380</v>
      </c>
      <c r="BA2332" s="80" t="s">
        <v>20380</v>
      </c>
      <c r="BB2332" s="80" t="s">
        <v>20380</v>
      </c>
      <c r="BC2332" s="80" t="s">
        <v>18148</v>
      </c>
      <c r="BD2332" s="80" t="s">
        <v>20849</v>
      </c>
      <c r="BE2332" s="77"/>
      <c r="BF2332" s="77"/>
      <c r="BG2332" s="77"/>
      <c r="BH2332" s="77"/>
      <c r="BI2332" s="77"/>
    </row>
    <row r="2333" spans="1:61" x14ac:dyDescent="0.25">
      <c r="A2333" s="62" t="s">
        <v>951</v>
      </c>
      <c r="B2333" s="62" t="s">
        <v>951</v>
      </c>
      <c r="C2333" s="63"/>
      <c r="D2333" s="64"/>
      <c r="E2333" s="65"/>
      <c r="F2333" s="66"/>
      <c r="G2333" s="63"/>
      <c r="H2333" s="67"/>
      <c r="I2333" s="68"/>
      <c r="J2333" s="68"/>
      <c r="K2333" s="32"/>
      <c r="L2333" s="75">
        <v>2333</v>
      </c>
      <c r="M2333" s="75"/>
      <c r="N2333" s="70"/>
      <c r="O2333" s="77" t="s">
        <v>179</v>
      </c>
      <c r="P2333" s="79">
        <v>45122.770451388889</v>
      </c>
      <c r="Q2333" s="77" t="s">
        <v>4160</v>
      </c>
      <c r="R2333" s="77">
        <v>1</v>
      </c>
      <c r="S2333" s="77">
        <v>4</v>
      </c>
      <c r="T2333" s="77">
        <v>6</v>
      </c>
      <c r="U2333" s="77">
        <v>0</v>
      </c>
      <c r="V2333" s="77">
        <v>1402</v>
      </c>
      <c r="W2333" s="80" t="s">
        <v>7378</v>
      </c>
      <c r="X2333" s="77"/>
      <c r="Y2333" s="77"/>
      <c r="Z2333" s="77"/>
      <c r="AA2333" s="77" t="s">
        <v>9715</v>
      </c>
      <c r="AB2333" s="77" t="s">
        <v>10534</v>
      </c>
      <c r="AC2333" s="80" t="s">
        <v>10542</v>
      </c>
      <c r="AD2333" s="77" t="s">
        <v>10617</v>
      </c>
      <c r="AE2333" s="83" t="str">
        <f>HYPERLINK("https://twitter.com/cnwnoticias/status/1680283449121226752")</f>
        <v>https://twitter.com/cnwnoticias/status/1680283449121226752</v>
      </c>
      <c r="AF2333" s="79">
        <v>45122.770451388889</v>
      </c>
      <c r="AG2333" s="85">
        <v>45122</v>
      </c>
      <c r="AH2333" s="80" t="s">
        <v>12681</v>
      </c>
      <c r="AI2333" s="77" t="b">
        <v>0</v>
      </c>
      <c r="AJ2333" s="77"/>
      <c r="AK2333" s="77"/>
      <c r="AL2333" s="77"/>
      <c r="AM2333" s="77"/>
      <c r="AN2333" s="77"/>
      <c r="AO2333" s="77"/>
      <c r="AP2333" s="77"/>
      <c r="AQ2333" s="77" t="s">
        <v>15197</v>
      </c>
      <c r="AR2333" s="77">
        <v>23366</v>
      </c>
      <c r="AS2333" s="77"/>
      <c r="AT2333" s="77"/>
      <c r="AU2333" s="77"/>
      <c r="AV2333" s="83" t="str">
        <f>HYPERLINK("https://pbs.twimg.com/ext_tw_video_thumb/1680283162138509312/pu/img/hbOeLk1Se37f9uXC.jpg")</f>
        <v>https://pbs.twimg.com/ext_tw_video_thumb/1680283162138509312/pu/img/hbOeLk1Se37f9uXC.jpg</v>
      </c>
      <c r="AW2333" s="80" t="s">
        <v>18149</v>
      </c>
      <c r="AX2333" s="80" t="s">
        <v>18149</v>
      </c>
      <c r="AY2333" s="77"/>
      <c r="AZ2333" s="80" t="s">
        <v>20380</v>
      </c>
      <c r="BA2333" s="80" t="s">
        <v>20380</v>
      </c>
      <c r="BB2333" s="80" t="s">
        <v>20380</v>
      </c>
      <c r="BC2333" s="80" t="s">
        <v>18149</v>
      </c>
      <c r="BD2333" s="80" t="s">
        <v>20850</v>
      </c>
      <c r="BE2333" s="77"/>
      <c r="BF2333" s="77"/>
      <c r="BG2333" s="77"/>
      <c r="BH2333" s="77"/>
      <c r="BI2333" s="77"/>
    </row>
    <row r="2334" spans="1:61" x14ac:dyDescent="0.25">
      <c r="A2334" s="62" t="s">
        <v>952</v>
      </c>
      <c r="B2334" s="62" t="s">
        <v>952</v>
      </c>
      <c r="C2334" s="63"/>
      <c r="D2334" s="64"/>
      <c r="E2334" s="65"/>
      <c r="F2334" s="66"/>
      <c r="G2334" s="63"/>
      <c r="H2334" s="67"/>
      <c r="I2334" s="68"/>
      <c r="J2334" s="68"/>
      <c r="K2334" s="32"/>
      <c r="L2334" s="75">
        <v>2334</v>
      </c>
      <c r="M2334" s="75"/>
      <c r="N2334" s="70"/>
      <c r="O2334" s="77" t="s">
        <v>179</v>
      </c>
      <c r="P2334" s="79">
        <v>45127.437962962962</v>
      </c>
      <c r="Q2334" s="77" t="s">
        <v>4161</v>
      </c>
      <c r="R2334" s="77">
        <v>983</v>
      </c>
      <c r="S2334" s="77">
        <v>4221</v>
      </c>
      <c r="T2334" s="77">
        <v>112</v>
      </c>
      <c r="U2334" s="77">
        <v>54</v>
      </c>
      <c r="V2334" s="77">
        <v>71309</v>
      </c>
      <c r="W2334" s="77"/>
      <c r="X2334" s="77"/>
      <c r="Y2334" s="77"/>
      <c r="Z2334" s="77"/>
      <c r="AA2334" s="77" t="s">
        <v>9716</v>
      </c>
      <c r="AB2334" s="77" t="s">
        <v>10535</v>
      </c>
      <c r="AC2334" s="80" t="s">
        <v>10540</v>
      </c>
      <c r="AD2334" s="77" t="s">
        <v>10617</v>
      </c>
      <c r="AE2334" s="83" t="str">
        <f>HYPERLINK("https://twitter.com/rede_marco/status/1681974899454164993")</f>
        <v>https://twitter.com/rede_marco/status/1681974899454164993</v>
      </c>
      <c r="AF2334" s="79">
        <v>45127.437962962962</v>
      </c>
      <c r="AG2334" s="85">
        <v>45127</v>
      </c>
      <c r="AH2334" s="80" t="s">
        <v>12682</v>
      </c>
      <c r="AI2334" s="77" t="b">
        <v>0</v>
      </c>
      <c r="AJ2334" s="77"/>
      <c r="AK2334" s="77"/>
      <c r="AL2334" s="77"/>
      <c r="AM2334" s="77"/>
      <c r="AN2334" s="77"/>
      <c r="AO2334" s="77"/>
      <c r="AP2334" s="77"/>
      <c r="AQ2334" s="77" t="s">
        <v>15198</v>
      </c>
      <c r="AR2334" s="77"/>
      <c r="AS2334" s="77"/>
      <c r="AT2334" s="77"/>
      <c r="AU2334" s="77"/>
      <c r="AV2334" s="83" t="str">
        <f>HYPERLINK("https://pbs.twimg.com/media/F1eTQVPXgAAneTJ.jpg")</f>
        <v>https://pbs.twimg.com/media/F1eTQVPXgAAneTJ.jpg</v>
      </c>
      <c r="AW2334" s="80" t="s">
        <v>18150</v>
      </c>
      <c r="AX2334" s="80" t="s">
        <v>18150</v>
      </c>
      <c r="AY2334" s="77"/>
      <c r="AZ2334" s="80" t="s">
        <v>20380</v>
      </c>
      <c r="BA2334" s="80" t="s">
        <v>20380</v>
      </c>
      <c r="BB2334" s="80" t="s">
        <v>20380</v>
      </c>
      <c r="BC2334" s="80" t="s">
        <v>18150</v>
      </c>
      <c r="BD2334" s="77">
        <v>83633242</v>
      </c>
      <c r="BE2334" s="77"/>
      <c r="BF2334" s="77"/>
      <c r="BG2334" s="77"/>
      <c r="BH2334" s="77"/>
      <c r="BI2334" s="77"/>
    </row>
    <row r="2335" spans="1:61" x14ac:dyDescent="0.25">
      <c r="A2335" s="62" t="s">
        <v>953</v>
      </c>
      <c r="B2335" s="62" t="s">
        <v>1928</v>
      </c>
      <c r="C2335" s="63"/>
      <c r="D2335" s="64"/>
      <c r="E2335" s="65"/>
      <c r="F2335" s="66"/>
      <c r="G2335" s="63"/>
      <c r="H2335" s="67"/>
      <c r="I2335" s="68"/>
      <c r="J2335" s="68"/>
      <c r="K2335" s="32"/>
      <c r="L2335" s="75">
        <v>2335</v>
      </c>
      <c r="M2335" s="75"/>
      <c r="N2335" s="70"/>
      <c r="O2335" s="77" t="s">
        <v>2081</v>
      </c>
      <c r="P2335" s="79">
        <v>45096.74150462963</v>
      </c>
      <c r="Q2335" s="77" t="s">
        <v>4162</v>
      </c>
      <c r="R2335" s="77">
        <v>0</v>
      </c>
      <c r="S2335" s="77">
        <v>0</v>
      </c>
      <c r="T2335" s="77">
        <v>0</v>
      </c>
      <c r="U2335" s="77">
        <v>0</v>
      </c>
      <c r="V2335" s="77">
        <v>42</v>
      </c>
      <c r="W2335" s="80" t="s">
        <v>7379</v>
      </c>
      <c r="X2335" s="83" t="str">
        <f>HYPERLINK("https://youtu.be/a9JlYKqNuBA?t=95")</f>
        <v>https://youtu.be/a9JlYKqNuBA?t=95</v>
      </c>
      <c r="Y2335" s="77" t="s">
        <v>8635</v>
      </c>
      <c r="Z2335" s="77" t="s">
        <v>8978</v>
      </c>
      <c r="AA2335" s="77"/>
      <c r="AB2335" s="77"/>
      <c r="AC2335" s="80" t="s">
        <v>10541</v>
      </c>
      <c r="AD2335" s="77" t="s">
        <v>10620</v>
      </c>
      <c r="AE2335" s="83" t="str">
        <f>HYPERLINK("https://twitter.com/jartoya/status/1670850876456534022")</f>
        <v>https://twitter.com/jartoya/status/1670850876456534022</v>
      </c>
      <c r="AF2335" s="79">
        <v>45096.74150462963</v>
      </c>
      <c r="AG2335" s="85">
        <v>45096</v>
      </c>
      <c r="AH2335" s="80" t="s">
        <v>12683</v>
      </c>
      <c r="AI2335" s="77" t="b">
        <v>0</v>
      </c>
      <c r="AJ2335" s="77"/>
      <c r="AK2335" s="77"/>
      <c r="AL2335" s="77"/>
      <c r="AM2335" s="77"/>
      <c r="AN2335" s="77"/>
      <c r="AO2335" s="77"/>
      <c r="AP2335" s="77"/>
      <c r="AQ2335" s="77"/>
      <c r="AR2335" s="77"/>
      <c r="AS2335" s="77"/>
      <c r="AT2335" s="77"/>
      <c r="AU2335" s="77"/>
      <c r="AV2335" s="83" t="str">
        <f>HYPERLINK("https://pbs.twimg.com/profile_images/1280179309005680642/It7W77ux_normal.jpg")</f>
        <v>https://pbs.twimg.com/profile_images/1280179309005680642/It7W77ux_normal.jpg</v>
      </c>
      <c r="AW2335" s="80" t="s">
        <v>18151</v>
      </c>
      <c r="AX2335" s="80" t="s">
        <v>18151</v>
      </c>
      <c r="AY2335" s="77"/>
      <c r="AZ2335" s="80" t="s">
        <v>20380</v>
      </c>
      <c r="BA2335" s="80" t="s">
        <v>20380</v>
      </c>
      <c r="BB2335" s="80" t="s">
        <v>20380</v>
      </c>
      <c r="BC2335" s="80" t="s">
        <v>18151</v>
      </c>
      <c r="BD2335" s="77">
        <v>280676667</v>
      </c>
      <c r="BE2335" s="77"/>
      <c r="BF2335" s="77"/>
      <c r="BG2335" s="77"/>
      <c r="BH2335" s="77"/>
      <c r="BI2335" s="77"/>
    </row>
    <row r="2336" spans="1:61" x14ac:dyDescent="0.25">
      <c r="A2336" s="62" t="s">
        <v>953</v>
      </c>
      <c r="B2336" s="62" t="s">
        <v>1929</v>
      </c>
      <c r="C2336" s="63"/>
      <c r="D2336" s="64"/>
      <c r="E2336" s="65"/>
      <c r="F2336" s="66"/>
      <c r="G2336" s="63"/>
      <c r="H2336" s="67"/>
      <c r="I2336" s="68"/>
      <c r="J2336" s="68"/>
      <c r="K2336" s="32"/>
      <c r="L2336" s="75">
        <v>2336</v>
      </c>
      <c r="M2336" s="75"/>
      <c r="N2336" s="70"/>
      <c r="O2336" s="77" t="s">
        <v>2081</v>
      </c>
      <c r="P2336" s="79">
        <v>45096.74150462963</v>
      </c>
      <c r="Q2336" s="77" t="s">
        <v>4162</v>
      </c>
      <c r="R2336" s="77">
        <v>0</v>
      </c>
      <c r="S2336" s="77">
        <v>0</v>
      </c>
      <c r="T2336" s="77">
        <v>0</v>
      </c>
      <c r="U2336" s="77">
        <v>0</v>
      </c>
      <c r="V2336" s="77">
        <v>42</v>
      </c>
      <c r="W2336" s="80" t="s">
        <v>7379</v>
      </c>
      <c r="X2336" s="83" t="str">
        <f>HYPERLINK("https://youtu.be/a9JlYKqNuBA?t=95")</f>
        <v>https://youtu.be/a9JlYKqNuBA?t=95</v>
      </c>
      <c r="Y2336" s="77" t="s">
        <v>8635</v>
      </c>
      <c r="Z2336" s="77" t="s">
        <v>8978</v>
      </c>
      <c r="AA2336" s="77"/>
      <c r="AB2336" s="77"/>
      <c r="AC2336" s="80" t="s">
        <v>10541</v>
      </c>
      <c r="AD2336" s="77" t="s">
        <v>10620</v>
      </c>
      <c r="AE2336" s="83" t="str">
        <f>HYPERLINK("https://twitter.com/jartoya/status/1670850876456534022")</f>
        <v>https://twitter.com/jartoya/status/1670850876456534022</v>
      </c>
      <c r="AF2336" s="79">
        <v>45096.74150462963</v>
      </c>
      <c r="AG2336" s="85">
        <v>45096</v>
      </c>
      <c r="AH2336" s="80" t="s">
        <v>12683</v>
      </c>
      <c r="AI2336" s="77" t="b">
        <v>0</v>
      </c>
      <c r="AJ2336" s="77"/>
      <c r="AK2336" s="77"/>
      <c r="AL2336" s="77"/>
      <c r="AM2336" s="77"/>
      <c r="AN2336" s="77"/>
      <c r="AO2336" s="77"/>
      <c r="AP2336" s="77"/>
      <c r="AQ2336" s="77"/>
      <c r="AR2336" s="77"/>
      <c r="AS2336" s="77"/>
      <c r="AT2336" s="77"/>
      <c r="AU2336" s="77"/>
      <c r="AV2336" s="83" t="str">
        <f>HYPERLINK("https://pbs.twimg.com/profile_images/1280179309005680642/It7W77ux_normal.jpg")</f>
        <v>https://pbs.twimg.com/profile_images/1280179309005680642/It7W77ux_normal.jpg</v>
      </c>
      <c r="AW2336" s="80" t="s">
        <v>18151</v>
      </c>
      <c r="AX2336" s="80" t="s">
        <v>18151</v>
      </c>
      <c r="AY2336" s="77"/>
      <c r="AZ2336" s="80" t="s">
        <v>20380</v>
      </c>
      <c r="BA2336" s="80" t="s">
        <v>20380</v>
      </c>
      <c r="BB2336" s="80" t="s">
        <v>20380</v>
      </c>
      <c r="BC2336" s="80" t="s">
        <v>18151</v>
      </c>
      <c r="BD2336" s="77">
        <v>280676667</v>
      </c>
      <c r="BE2336" s="77"/>
      <c r="BF2336" s="77"/>
      <c r="BG2336" s="77"/>
      <c r="BH2336" s="77"/>
      <c r="BI2336" s="77"/>
    </row>
    <row r="2337" spans="1:61" x14ac:dyDescent="0.25">
      <c r="A2337" s="62" t="s">
        <v>953</v>
      </c>
      <c r="B2337" s="62" t="s">
        <v>953</v>
      </c>
      <c r="C2337" s="63"/>
      <c r="D2337" s="64"/>
      <c r="E2337" s="65"/>
      <c r="F2337" s="66"/>
      <c r="G2337" s="63"/>
      <c r="H2337" s="67"/>
      <c r="I2337" s="68"/>
      <c r="J2337" s="68"/>
      <c r="K2337" s="32"/>
      <c r="L2337" s="75">
        <v>2337</v>
      </c>
      <c r="M2337" s="75"/>
      <c r="N2337" s="70"/>
      <c r="O2337" s="77" t="s">
        <v>179</v>
      </c>
      <c r="P2337" s="79">
        <v>45063.423067129632</v>
      </c>
      <c r="Q2337" s="77" t="s">
        <v>4163</v>
      </c>
      <c r="R2337" s="77">
        <v>0</v>
      </c>
      <c r="S2337" s="77">
        <v>0</v>
      </c>
      <c r="T2337" s="77">
        <v>0</v>
      </c>
      <c r="U2337" s="77">
        <v>0</v>
      </c>
      <c r="V2337" s="77">
        <v>41</v>
      </c>
      <c r="W2337" s="80" t="s">
        <v>7380</v>
      </c>
      <c r="X2337" s="83" t="str">
        <f>HYPERLINK("https://apnews.com/article/noticias-beba5ce934f17327e7af38a0d6ef7625")</f>
        <v>https://apnews.com/article/noticias-beba5ce934f17327e7af38a0d6ef7625</v>
      </c>
      <c r="Y2337" s="77" t="s">
        <v>8780</v>
      </c>
      <c r="Z2337" s="77"/>
      <c r="AA2337" s="77"/>
      <c r="AB2337" s="77"/>
      <c r="AC2337" s="80" t="s">
        <v>10541</v>
      </c>
      <c r="AD2337" s="77" t="s">
        <v>10620</v>
      </c>
      <c r="AE2337" s="83" t="str">
        <f>HYPERLINK("https://twitter.com/jartoya/status/1658776678779191296")</f>
        <v>https://twitter.com/jartoya/status/1658776678779191296</v>
      </c>
      <c r="AF2337" s="79">
        <v>45063.423067129632</v>
      </c>
      <c r="AG2337" s="85">
        <v>45063</v>
      </c>
      <c r="AH2337" s="80" t="s">
        <v>12684</v>
      </c>
      <c r="AI2337" s="77" t="b">
        <v>0</v>
      </c>
      <c r="AJ2337" s="77"/>
      <c r="AK2337" s="77"/>
      <c r="AL2337" s="77"/>
      <c r="AM2337" s="77"/>
      <c r="AN2337" s="77"/>
      <c r="AO2337" s="77"/>
      <c r="AP2337" s="77"/>
      <c r="AQ2337" s="77"/>
      <c r="AR2337" s="77"/>
      <c r="AS2337" s="77"/>
      <c r="AT2337" s="77"/>
      <c r="AU2337" s="77"/>
      <c r="AV2337" s="83" t="str">
        <f>HYPERLINK("https://pbs.twimg.com/profile_images/1280179309005680642/It7W77ux_normal.jpg")</f>
        <v>https://pbs.twimg.com/profile_images/1280179309005680642/It7W77ux_normal.jpg</v>
      </c>
      <c r="AW2337" s="80" t="s">
        <v>18152</v>
      </c>
      <c r="AX2337" s="80" t="s">
        <v>18152</v>
      </c>
      <c r="AY2337" s="77"/>
      <c r="AZ2337" s="80" t="s">
        <v>20380</v>
      </c>
      <c r="BA2337" s="80" t="s">
        <v>20380</v>
      </c>
      <c r="BB2337" s="80" t="s">
        <v>20380</v>
      </c>
      <c r="BC2337" s="80" t="s">
        <v>18152</v>
      </c>
      <c r="BD2337" s="77">
        <v>280676667</v>
      </c>
      <c r="BE2337" s="77"/>
      <c r="BF2337" s="77"/>
      <c r="BG2337" s="77"/>
      <c r="BH2337" s="77"/>
      <c r="BI2337" s="77"/>
    </row>
    <row r="2338" spans="1:61" x14ac:dyDescent="0.25">
      <c r="A2338" s="62" t="s">
        <v>954</v>
      </c>
      <c r="B2338" s="62" t="s">
        <v>1655</v>
      </c>
      <c r="C2338" s="63"/>
      <c r="D2338" s="64"/>
      <c r="E2338" s="65"/>
      <c r="F2338" s="66"/>
      <c r="G2338" s="63"/>
      <c r="H2338" s="67"/>
      <c r="I2338" s="68"/>
      <c r="J2338" s="68"/>
      <c r="K2338" s="32"/>
      <c r="L2338" s="75">
        <v>2338</v>
      </c>
      <c r="M2338" s="75"/>
      <c r="N2338" s="70"/>
      <c r="O2338" s="77" t="s">
        <v>2083</v>
      </c>
      <c r="P2338" s="79">
        <v>45195.251979166664</v>
      </c>
      <c r="Q2338" s="77" t="s">
        <v>2120</v>
      </c>
      <c r="R2338" s="77">
        <v>57</v>
      </c>
      <c r="S2338" s="77">
        <v>0</v>
      </c>
      <c r="T2338" s="77">
        <v>0</v>
      </c>
      <c r="U2338" s="77">
        <v>0</v>
      </c>
      <c r="V2338" s="77"/>
      <c r="W2338" s="80" t="s">
        <v>5917</v>
      </c>
      <c r="X2338" s="77"/>
      <c r="Y2338" s="77"/>
      <c r="Z2338" s="77" t="s">
        <v>1655</v>
      </c>
      <c r="AA2338" s="77"/>
      <c r="AB2338" s="77"/>
      <c r="AC2338" s="80" t="s">
        <v>10540</v>
      </c>
      <c r="AD2338" s="77" t="s">
        <v>10617</v>
      </c>
      <c r="AE2338" s="83" t="str">
        <f>HYPERLINK("https://twitter.com/izoldedrewsgav1/status/1706549875347730852")</f>
        <v>https://twitter.com/izoldedrewsgav1/status/1706549875347730852</v>
      </c>
      <c r="AF2338" s="79">
        <v>45195.251979166664</v>
      </c>
      <c r="AG2338" s="85">
        <v>45195</v>
      </c>
      <c r="AH2338" s="80" t="s">
        <v>12685</v>
      </c>
      <c r="AI2338" s="77"/>
      <c r="AJ2338" s="77"/>
      <c r="AK2338" s="77"/>
      <c r="AL2338" s="77"/>
      <c r="AM2338" s="77"/>
      <c r="AN2338" s="77"/>
      <c r="AO2338" s="77"/>
      <c r="AP2338" s="77"/>
      <c r="AQ2338" s="77"/>
      <c r="AR2338" s="77"/>
      <c r="AS2338" s="77"/>
      <c r="AT2338" s="77"/>
      <c r="AU2338" s="77"/>
      <c r="AV2338" s="83" t="str">
        <f>HYPERLINK("https://pbs.twimg.com/profile_images/1359948854435733506/IT41iY7o_normal.jpg")</f>
        <v>https://pbs.twimg.com/profile_images/1359948854435733506/IT41iY7o_normal.jpg</v>
      </c>
      <c r="AW2338" s="80" t="s">
        <v>18153</v>
      </c>
      <c r="AX2338" s="80" t="s">
        <v>18153</v>
      </c>
      <c r="AY2338" s="77"/>
      <c r="AZ2338" s="80" t="s">
        <v>20380</v>
      </c>
      <c r="BA2338" s="80" t="s">
        <v>20380</v>
      </c>
      <c r="BB2338" s="80" t="s">
        <v>19843</v>
      </c>
      <c r="BC2338" s="80" t="s">
        <v>19843</v>
      </c>
      <c r="BD2338" s="80" t="s">
        <v>20851</v>
      </c>
      <c r="BE2338" s="77"/>
      <c r="BF2338" s="77"/>
      <c r="BG2338" s="77"/>
      <c r="BH2338" s="77"/>
      <c r="BI2338" s="77"/>
    </row>
    <row r="2339" spans="1:61" x14ac:dyDescent="0.25">
      <c r="A2339" s="62" t="s">
        <v>954</v>
      </c>
      <c r="B2339" s="62" t="s">
        <v>1655</v>
      </c>
      <c r="C2339" s="63"/>
      <c r="D2339" s="64"/>
      <c r="E2339" s="65"/>
      <c r="F2339" s="66"/>
      <c r="G2339" s="63"/>
      <c r="H2339" s="67"/>
      <c r="I2339" s="68"/>
      <c r="J2339" s="68"/>
      <c r="K2339" s="32"/>
      <c r="L2339" s="75">
        <v>2339</v>
      </c>
      <c r="M2339" s="75"/>
      <c r="N2339" s="70"/>
      <c r="O2339" s="77" t="s">
        <v>2083</v>
      </c>
      <c r="P2339" s="79">
        <v>45195.251909722225</v>
      </c>
      <c r="Q2339" s="77" t="s">
        <v>2120</v>
      </c>
      <c r="R2339" s="77">
        <v>25</v>
      </c>
      <c r="S2339" s="77">
        <v>0</v>
      </c>
      <c r="T2339" s="77">
        <v>0</v>
      </c>
      <c r="U2339" s="77">
        <v>0</v>
      </c>
      <c r="V2339" s="77"/>
      <c r="W2339" s="80" t="s">
        <v>5917</v>
      </c>
      <c r="X2339" s="77"/>
      <c r="Y2339" s="77"/>
      <c r="Z2339" s="77" t="s">
        <v>1655</v>
      </c>
      <c r="AA2339" s="77"/>
      <c r="AB2339" s="77"/>
      <c r="AC2339" s="80" t="s">
        <v>10540</v>
      </c>
      <c r="AD2339" s="77" t="s">
        <v>10617</v>
      </c>
      <c r="AE2339" s="83" t="str">
        <f>HYPERLINK("https://twitter.com/izoldedrewsgav1/status/1706549852434211146")</f>
        <v>https://twitter.com/izoldedrewsgav1/status/1706549852434211146</v>
      </c>
      <c r="AF2339" s="79">
        <v>45195.251909722225</v>
      </c>
      <c r="AG2339" s="85">
        <v>45195</v>
      </c>
      <c r="AH2339" s="80" t="s">
        <v>12686</v>
      </c>
      <c r="AI2339" s="77"/>
      <c r="AJ2339" s="77"/>
      <c r="AK2339" s="77"/>
      <c r="AL2339" s="77"/>
      <c r="AM2339" s="77"/>
      <c r="AN2339" s="77"/>
      <c r="AO2339" s="77"/>
      <c r="AP2339" s="77"/>
      <c r="AQ2339" s="77"/>
      <c r="AR2339" s="77"/>
      <c r="AS2339" s="77"/>
      <c r="AT2339" s="77"/>
      <c r="AU2339" s="77"/>
      <c r="AV2339" s="83" t="str">
        <f>HYPERLINK("https://pbs.twimg.com/profile_images/1359948854435733506/IT41iY7o_normal.jpg")</f>
        <v>https://pbs.twimg.com/profile_images/1359948854435733506/IT41iY7o_normal.jpg</v>
      </c>
      <c r="AW2339" s="80" t="s">
        <v>18154</v>
      </c>
      <c r="AX2339" s="80" t="s">
        <v>18154</v>
      </c>
      <c r="AY2339" s="77"/>
      <c r="AZ2339" s="80" t="s">
        <v>20380</v>
      </c>
      <c r="BA2339" s="80" t="s">
        <v>20380</v>
      </c>
      <c r="BB2339" s="80" t="s">
        <v>19844</v>
      </c>
      <c r="BC2339" s="80" t="s">
        <v>19844</v>
      </c>
      <c r="BD2339" s="80" t="s">
        <v>20851</v>
      </c>
      <c r="BE2339" s="77"/>
      <c r="BF2339" s="77"/>
      <c r="BG2339" s="77"/>
      <c r="BH2339" s="77"/>
      <c r="BI2339" s="77"/>
    </row>
    <row r="2340" spans="1:61" x14ac:dyDescent="0.25">
      <c r="A2340" s="62" t="s">
        <v>955</v>
      </c>
      <c r="B2340" s="62" t="s">
        <v>955</v>
      </c>
      <c r="C2340" s="63"/>
      <c r="D2340" s="64"/>
      <c r="E2340" s="65"/>
      <c r="F2340" s="66"/>
      <c r="G2340" s="63"/>
      <c r="H2340" s="67"/>
      <c r="I2340" s="68"/>
      <c r="J2340" s="68"/>
      <c r="K2340" s="32"/>
      <c r="L2340" s="75">
        <v>2340</v>
      </c>
      <c r="M2340" s="75"/>
      <c r="N2340" s="70"/>
      <c r="O2340" s="77" t="s">
        <v>179</v>
      </c>
      <c r="P2340" s="79">
        <v>45156.931701388887</v>
      </c>
      <c r="Q2340" s="77" t="s">
        <v>4164</v>
      </c>
      <c r="R2340" s="77">
        <v>10</v>
      </c>
      <c r="S2340" s="77">
        <v>17</v>
      </c>
      <c r="T2340" s="77">
        <v>3</v>
      </c>
      <c r="U2340" s="77">
        <v>1</v>
      </c>
      <c r="V2340" s="77">
        <v>5144</v>
      </c>
      <c r="W2340" s="77"/>
      <c r="X2340" s="77"/>
      <c r="Y2340" s="77"/>
      <c r="Z2340" s="77"/>
      <c r="AA2340" s="77" t="s">
        <v>9717</v>
      </c>
      <c r="AB2340" s="77" t="s">
        <v>10537</v>
      </c>
      <c r="AC2340" s="80" t="s">
        <v>10541</v>
      </c>
      <c r="AD2340" s="77" t="s">
        <v>10620</v>
      </c>
      <c r="AE2340" s="83" t="str">
        <f>HYPERLINK("https://twitter.com/cronistacom/status/1692663072614224318")</f>
        <v>https://twitter.com/cronistacom/status/1692663072614224318</v>
      </c>
      <c r="AF2340" s="79">
        <v>45156.931701388887</v>
      </c>
      <c r="AG2340" s="85">
        <v>45156</v>
      </c>
      <c r="AH2340" s="80" t="s">
        <v>12687</v>
      </c>
      <c r="AI2340" s="77" t="b">
        <v>0</v>
      </c>
      <c r="AJ2340" s="77"/>
      <c r="AK2340" s="77"/>
      <c r="AL2340" s="77"/>
      <c r="AM2340" s="77"/>
      <c r="AN2340" s="77"/>
      <c r="AO2340" s="77"/>
      <c r="AP2340" s="77"/>
      <c r="AQ2340" s="77" t="s">
        <v>15199</v>
      </c>
      <c r="AR2340" s="77"/>
      <c r="AS2340" s="77"/>
      <c r="AT2340" s="77"/>
      <c r="AU2340" s="77"/>
      <c r="AV2340" s="83" t="str">
        <f>HYPERLINK("https://pbs.twimg.com/media/F32LkwpWcAAm1_O.jpg")</f>
        <v>https://pbs.twimg.com/media/F32LkwpWcAAm1_O.jpg</v>
      </c>
      <c r="AW2340" s="80" t="s">
        <v>18155</v>
      </c>
      <c r="AX2340" s="80" t="s">
        <v>18155</v>
      </c>
      <c r="AY2340" s="77"/>
      <c r="AZ2340" s="80" t="s">
        <v>20380</v>
      </c>
      <c r="BA2340" s="80" t="s">
        <v>20380</v>
      </c>
      <c r="BB2340" s="80" t="s">
        <v>20380</v>
      </c>
      <c r="BC2340" s="80" t="s">
        <v>18155</v>
      </c>
      <c r="BD2340" s="77">
        <v>62806842</v>
      </c>
      <c r="BE2340" s="77"/>
      <c r="BF2340" s="77"/>
      <c r="BG2340" s="77"/>
      <c r="BH2340" s="77"/>
      <c r="BI2340" s="77"/>
    </row>
    <row r="2341" spans="1:61" x14ac:dyDescent="0.25">
      <c r="A2341" s="62" t="s">
        <v>956</v>
      </c>
      <c r="B2341" s="62" t="s">
        <v>956</v>
      </c>
      <c r="C2341" s="63"/>
      <c r="D2341" s="64"/>
      <c r="E2341" s="65"/>
      <c r="F2341" s="66"/>
      <c r="G2341" s="63"/>
      <c r="H2341" s="67"/>
      <c r="I2341" s="68"/>
      <c r="J2341" s="68"/>
      <c r="K2341" s="32"/>
      <c r="L2341" s="75">
        <v>2341</v>
      </c>
      <c r="M2341" s="75"/>
      <c r="N2341" s="70"/>
      <c r="O2341" s="77" t="s">
        <v>179</v>
      </c>
      <c r="P2341" s="79">
        <v>45054.404039351852</v>
      </c>
      <c r="Q2341" s="77" t="s">
        <v>4165</v>
      </c>
      <c r="R2341" s="77">
        <v>0</v>
      </c>
      <c r="S2341" s="77">
        <v>1</v>
      </c>
      <c r="T2341" s="77">
        <v>0</v>
      </c>
      <c r="U2341" s="77">
        <v>0</v>
      </c>
      <c r="V2341" s="77">
        <v>74</v>
      </c>
      <c r="W2341" s="80" t="s">
        <v>7381</v>
      </c>
      <c r="X2341" s="77"/>
      <c r="Y2341" s="77"/>
      <c r="Z2341" s="77"/>
      <c r="AA2341" s="77" t="s">
        <v>9718</v>
      </c>
      <c r="AB2341" s="77" t="s">
        <v>10535</v>
      </c>
      <c r="AC2341" s="80" t="s">
        <v>10552</v>
      </c>
      <c r="AD2341" s="77" t="s">
        <v>10620</v>
      </c>
      <c r="AE2341" s="83" t="str">
        <f>HYPERLINK("https://twitter.com/kbfinanzas/status/1655508291030597633")</f>
        <v>https://twitter.com/kbfinanzas/status/1655508291030597633</v>
      </c>
      <c r="AF2341" s="79">
        <v>45054.404039351852</v>
      </c>
      <c r="AG2341" s="85">
        <v>45054</v>
      </c>
      <c r="AH2341" s="80" t="s">
        <v>12688</v>
      </c>
      <c r="AI2341" s="77" t="b">
        <v>0</v>
      </c>
      <c r="AJ2341" s="77"/>
      <c r="AK2341" s="77"/>
      <c r="AL2341" s="77"/>
      <c r="AM2341" s="77"/>
      <c r="AN2341" s="77"/>
      <c r="AO2341" s="77"/>
      <c r="AP2341" s="77"/>
      <c r="AQ2341" s="77" t="s">
        <v>15200</v>
      </c>
      <c r="AR2341" s="77"/>
      <c r="AS2341" s="77"/>
      <c r="AT2341" s="77"/>
      <c r="AU2341" s="77"/>
      <c r="AV2341" s="83" t="str">
        <f>HYPERLINK("https://pbs.twimg.com/media/FvmMBJ3XwAEVC1j.jpg")</f>
        <v>https://pbs.twimg.com/media/FvmMBJ3XwAEVC1j.jpg</v>
      </c>
      <c r="AW2341" s="80" t="s">
        <v>18156</v>
      </c>
      <c r="AX2341" s="80" t="s">
        <v>18156</v>
      </c>
      <c r="AY2341" s="77"/>
      <c r="AZ2341" s="80" t="s">
        <v>20380</v>
      </c>
      <c r="BA2341" s="80" t="s">
        <v>20380</v>
      </c>
      <c r="BB2341" s="80" t="s">
        <v>20380</v>
      </c>
      <c r="BC2341" s="80" t="s">
        <v>18156</v>
      </c>
      <c r="BD2341" s="80" t="s">
        <v>20852</v>
      </c>
      <c r="BE2341" s="77"/>
      <c r="BF2341" s="77"/>
      <c r="BG2341" s="77"/>
      <c r="BH2341" s="77"/>
      <c r="BI2341" s="77"/>
    </row>
    <row r="2342" spans="1:61" x14ac:dyDescent="0.25">
      <c r="A2342" s="62" t="s">
        <v>957</v>
      </c>
      <c r="B2342" s="62" t="s">
        <v>1681</v>
      </c>
      <c r="C2342" s="63"/>
      <c r="D2342" s="64"/>
      <c r="E2342" s="65"/>
      <c r="F2342" s="66"/>
      <c r="G2342" s="63"/>
      <c r="H2342" s="67"/>
      <c r="I2342" s="68"/>
      <c r="J2342" s="68"/>
      <c r="K2342" s="32"/>
      <c r="L2342" s="75">
        <v>2342</v>
      </c>
      <c r="M2342" s="75"/>
      <c r="N2342" s="70"/>
      <c r="O2342" s="77" t="s">
        <v>2083</v>
      </c>
      <c r="P2342" s="79">
        <v>45189.925868055558</v>
      </c>
      <c r="Q2342" s="77" t="s">
        <v>2237</v>
      </c>
      <c r="R2342" s="77">
        <v>18</v>
      </c>
      <c r="S2342" s="77">
        <v>0</v>
      </c>
      <c r="T2342" s="77">
        <v>0</v>
      </c>
      <c r="U2342" s="77">
        <v>0</v>
      </c>
      <c r="V2342" s="77"/>
      <c r="W2342" s="80" t="s">
        <v>6018</v>
      </c>
      <c r="X2342" s="77"/>
      <c r="Y2342" s="77"/>
      <c r="Z2342" s="77" t="s">
        <v>1681</v>
      </c>
      <c r="AA2342" s="77"/>
      <c r="AB2342" s="77"/>
      <c r="AC2342" s="80" t="s">
        <v>10540</v>
      </c>
      <c r="AD2342" s="77" t="s">
        <v>10617</v>
      </c>
      <c r="AE2342" s="83" t="str">
        <f>HYPERLINK("https://twitter.com/karinaeskin1/status/1704619760820842612")</f>
        <v>https://twitter.com/karinaeskin1/status/1704619760820842612</v>
      </c>
      <c r="AF2342" s="79">
        <v>45189.925868055558</v>
      </c>
      <c r="AG2342" s="85">
        <v>45189</v>
      </c>
      <c r="AH2342" s="80" t="s">
        <v>12689</v>
      </c>
      <c r="AI2342" s="77"/>
      <c r="AJ2342" s="77"/>
      <c r="AK2342" s="77"/>
      <c r="AL2342" s="77"/>
      <c r="AM2342" s="77"/>
      <c r="AN2342" s="77"/>
      <c r="AO2342" s="77"/>
      <c r="AP2342" s="77"/>
      <c r="AQ2342" s="77"/>
      <c r="AR2342" s="77"/>
      <c r="AS2342" s="77"/>
      <c r="AT2342" s="77"/>
      <c r="AU2342" s="77"/>
      <c r="AV2342" s="83" t="str">
        <f>HYPERLINK("https://pbs.twimg.com/profile_images/966309809791422464/egSghEpM_normal.jpg")</f>
        <v>https://pbs.twimg.com/profile_images/966309809791422464/egSghEpM_normal.jpg</v>
      </c>
      <c r="AW2342" s="80" t="s">
        <v>18157</v>
      </c>
      <c r="AX2342" s="80" t="s">
        <v>18157</v>
      </c>
      <c r="AY2342" s="77"/>
      <c r="AZ2342" s="80" t="s">
        <v>20380</v>
      </c>
      <c r="BA2342" s="80" t="s">
        <v>20380</v>
      </c>
      <c r="BB2342" s="80" t="s">
        <v>19932</v>
      </c>
      <c r="BC2342" s="80" t="s">
        <v>19932</v>
      </c>
      <c r="BD2342" s="80" t="s">
        <v>20853</v>
      </c>
      <c r="BE2342" s="77"/>
      <c r="BF2342" s="77"/>
      <c r="BG2342" s="77"/>
      <c r="BH2342" s="77"/>
      <c r="BI2342" s="77"/>
    </row>
    <row r="2343" spans="1:61" x14ac:dyDescent="0.25">
      <c r="A2343" s="62" t="s">
        <v>958</v>
      </c>
      <c r="B2343" s="62" t="s">
        <v>958</v>
      </c>
      <c r="C2343" s="63"/>
      <c r="D2343" s="64"/>
      <c r="E2343" s="65"/>
      <c r="F2343" s="66"/>
      <c r="G2343" s="63"/>
      <c r="H2343" s="67"/>
      <c r="I2343" s="68"/>
      <c r="J2343" s="68"/>
      <c r="K2343" s="32"/>
      <c r="L2343" s="75">
        <v>2343</v>
      </c>
      <c r="M2343" s="75"/>
      <c r="N2343" s="70"/>
      <c r="O2343" s="77" t="s">
        <v>179</v>
      </c>
      <c r="P2343" s="79">
        <v>45061.85423611111</v>
      </c>
      <c r="Q2343" s="77" t="s">
        <v>4166</v>
      </c>
      <c r="R2343" s="77">
        <v>0</v>
      </c>
      <c r="S2343" s="77">
        <v>0</v>
      </c>
      <c r="T2343" s="77">
        <v>0</v>
      </c>
      <c r="U2343" s="77">
        <v>0</v>
      </c>
      <c r="V2343" s="77">
        <v>51</v>
      </c>
      <c r="W2343" s="80" t="s">
        <v>7382</v>
      </c>
      <c r="X2343" s="83" t="str">
        <f>HYPERLINK("https://www.tiemposur.com.ar/info-general/desde-junio-sera-mas-barato-financiar-las-deudas-en-tarjetas-de-credito-a-que-se-debe")</f>
        <v>https://www.tiemposur.com.ar/info-general/desde-junio-sera-mas-barato-financiar-las-deudas-en-tarjetas-de-credito-a-que-se-debe</v>
      </c>
      <c r="Y2343" s="77" t="s">
        <v>8624</v>
      </c>
      <c r="Z2343" s="77"/>
      <c r="AA2343" s="77" t="s">
        <v>9719</v>
      </c>
      <c r="AB2343" s="77" t="s">
        <v>10535</v>
      </c>
      <c r="AC2343" s="80" t="s">
        <v>10588</v>
      </c>
      <c r="AD2343" s="77" t="s">
        <v>10620</v>
      </c>
      <c r="AE2343" s="83" t="str">
        <f>HYPERLINK("https://twitter.com/tiemposur_/status/1658208154784505864")</f>
        <v>https://twitter.com/tiemposur_/status/1658208154784505864</v>
      </c>
      <c r="AF2343" s="79">
        <v>45061.85423611111</v>
      </c>
      <c r="AG2343" s="85">
        <v>45061</v>
      </c>
      <c r="AH2343" s="80" t="s">
        <v>12690</v>
      </c>
      <c r="AI2343" s="77" t="b">
        <v>0</v>
      </c>
      <c r="AJ2343" s="77"/>
      <c r="AK2343" s="77"/>
      <c r="AL2343" s="77"/>
      <c r="AM2343" s="77"/>
      <c r="AN2343" s="77"/>
      <c r="AO2343" s="77"/>
      <c r="AP2343" s="77"/>
      <c r="AQ2343" s="77" t="s">
        <v>15201</v>
      </c>
      <c r="AR2343" s="77"/>
      <c r="AS2343" s="77"/>
      <c r="AT2343" s="77"/>
      <c r="AU2343" s="77"/>
      <c r="AV2343" s="83" t="str">
        <f>HYPERLINK("https://pbs.twimg.com/media/FwMjh4-XwAAetZm.jpg")</f>
        <v>https://pbs.twimg.com/media/FwMjh4-XwAAetZm.jpg</v>
      </c>
      <c r="AW2343" s="80" t="s">
        <v>18158</v>
      </c>
      <c r="AX2343" s="80" t="s">
        <v>18158</v>
      </c>
      <c r="AY2343" s="77"/>
      <c r="AZ2343" s="80" t="s">
        <v>20380</v>
      </c>
      <c r="BA2343" s="80" t="s">
        <v>20380</v>
      </c>
      <c r="BB2343" s="80" t="s">
        <v>20380</v>
      </c>
      <c r="BC2343" s="80" t="s">
        <v>18158</v>
      </c>
      <c r="BD2343" s="77">
        <v>150364607</v>
      </c>
      <c r="BE2343" s="77"/>
      <c r="BF2343" s="77"/>
      <c r="BG2343" s="77"/>
      <c r="BH2343" s="77"/>
      <c r="BI2343" s="77"/>
    </row>
    <row r="2344" spans="1:61" x14ac:dyDescent="0.25">
      <c r="A2344" s="62" t="s">
        <v>959</v>
      </c>
      <c r="B2344" s="62" t="s">
        <v>959</v>
      </c>
      <c r="C2344" s="63"/>
      <c r="D2344" s="64"/>
      <c r="E2344" s="65"/>
      <c r="F2344" s="66"/>
      <c r="G2344" s="63"/>
      <c r="H2344" s="67"/>
      <c r="I2344" s="68"/>
      <c r="J2344" s="68"/>
      <c r="K2344" s="32"/>
      <c r="L2344" s="75">
        <v>2344</v>
      </c>
      <c r="M2344" s="75"/>
      <c r="N2344" s="70"/>
      <c r="O2344" s="77" t="s">
        <v>179</v>
      </c>
      <c r="P2344" s="79">
        <v>45193.595821759256</v>
      </c>
      <c r="Q2344" s="77" t="s">
        <v>4167</v>
      </c>
      <c r="R2344" s="77">
        <v>0</v>
      </c>
      <c r="S2344" s="77">
        <v>0</v>
      </c>
      <c r="T2344" s="77">
        <v>0</v>
      </c>
      <c r="U2344" s="77">
        <v>0</v>
      </c>
      <c r="V2344" s="77">
        <v>14</v>
      </c>
      <c r="W2344" s="80" t="s">
        <v>5884</v>
      </c>
      <c r="X2344" s="77"/>
      <c r="Y2344" s="77"/>
      <c r="Z2344" s="77"/>
      <c r="AA2344" s="77"/>
      <c r="AB2344" s="77"/>
      <c r="AC2344" s="80" t="s">
        <v>10540</v>
      </c>
      <c r="AD2344" s="77" t="s">
        <v>10620</v>
      </c>
      <c r="AE2344" s="83" t="str">
        <f>HYPERLINK("https://twitter.com/pablodelamac/status/1705949705299980348")</f>
        <v>https://twitter.com/pablodelamac/status/1705949705299980348</v>
      </c>
      <c r="AF2344" s="79">
        <v>45193.595821759256</v>
      </c>
      <c r="AG2344" s="85">
        <v>45193</v>
      </c>
      <c r="AH2344" s="80" t="s">
        <v>12691</v>
      </c>
      <c r="AI2344" s="77"/>
      <c r="AJ2344" s="77"/>
      <c r="AK2344" s="77"/>
      <c r="AL2344" s="77"/>
      <c r="AM2344" s="77"/>
      <c r="AN2344" s="77"/>
      <c r="AO2344" s="77"/>
      <c r="AP2344" s="77"/>
      <c r="AQ2344" s="77"/>
      <c r="AR2344" s="77"/>
      <c r="AS2344" s="77"/>
      <c r="AT2344" s="77"/>
      <c r="AU2344" s="77"/>
      <c r="AV2344" s="83" t="str">
        <f>HYPERLINK("https://pbs.twimg.com/profile_images/912787422139863041/dOaCfDJq_normal.jpg")</f>
        <v>https://pbs.twimg.com/profile_images/912787422139863041/dOaCfDJq_normal.jpg</v>
      </c>
      <c r="AW2344" s="80" t="s">
        <v>18159</v>
      </c>
      <c r="AX2344" s="80" t="s">
        <v>18159</v>
      </c>
      <c r="AY2344" s="77"/>
      <c r="AZ2344" s="80" t="s">
        <v>20380</v>
      </c>
      <c r="BA2344" s="80" t="s">
        <v>20380</v>
      </c>
      <c r="BB2344" s="80" t="s">
        <v>20380</v>
      </c>
      <c r="BC2344" s="80" t="s">
        <v>18159</v>
      </c>
      <c r="BD2344" s="77">
        <v>60663483</v>
      </c>
      <c r="BE2344" s="77"/>
      <c r="BF2344" s="77"/>
      <c r="BG2344" s="77"/>
      <c r="BH2344" s="77"/>
      <c r="BI2344" s="77"/>
    </row>
    <row r="2345" spans="1:61" x14ac:dyDescent="0.25">
      <c r="A2345" s="62" t="s">
        <v>960</v>
      </c>
      <c r="B2345" s="62" t="s">
        <v>960</v>
      </c>
      <c r="C2345" s="63"/>
      <c r="D2345" s="64"/>
      <c r="E2345" s="65"/>
      <c r="F2345" s="66"/>
      <c r="G2345" s="63"/>
      <c r="H2345" s="67"/>
      <c r="I2345" s="68"/>
      <c r="J2345" s="68"/>
      <c r="K2345" s="32"/>
      <c r="L2345" s="75">
        <v>2345</v>
      </c>
      <c r="M2345" s="75"/>
      <c r="N2345" s="70"/>
      <c r="O2345" s="77" t="s">
        <v>2078</v>
      </c>
      <c r="P2345" s="79">
        <v>45180.920370370368</v>
      </c>
      <c r="Q2345" s="77" t="s">
        <v>4168</v>
      </c>
      <c r="R2345" s="77">
        <v>1</v>
      </c>
      <c r="S2345" s="77">
        <v>2</v>
      </c>
      <c r="T2345" s="77">
        <v>1</v>
      </c>
      <c r="U2345" s="77">
        <v>0</v>
      </c>
      <c r="V2345" s="77">
        <v>26</v>
      </c>
      <c r="W2345" s="80" t="s">
        <v>7383</v>
      </c>
      <c r="X2345" s="77"/>
      <c r="Y2345" s="77"/>
      <c r="Z2345" s="77"/>
      <c r="AA2345" s="77"/>
      <c r="AB2345" s="77"/>
      <c r="AC2345" s="80" t="s">
        <v>10542</v>
      </c>
      <c r="AD2345" s="77" t="s">
        <v>10617</v>
      </c>
      <c r="AE2345" s="83" t="str">
        <f>HYPERLINK("https://twitter.com/mtteixeira/status/1701356274137337908")</f>
        <v>https://twitter.com/mtteixeira/status/1701356274137337908</v>
      </c>
      <c r="AF2345" s="79">
        <v>45180.920370370368</v>
      </c>
      <c r="AG2345" s="85">
        <v>45180</v>
      </c>
      <c r="AH2345" s="80" t="s">
        <v>12692</v>
      </c>
      <c r="AI2345" s="77"/>
      <c r="AJ2345" s="77"/>
      <c r="AK2345" s="77"/>
      <c r="AL2345" s="77"/>
      <c r="AM2345" s="77"/>
      <c r="AN2345" s="77"/>
      <c r="AO2345" s="77"/>
      <c r="AP2345" s="77"/>
      <c r="AQ2345" s="77"/>
      <c r="AR2345" s="77"/>
      <c r="AS2345" s="77"/>
      <c r="AT2345" s="77"/>
      <c r="AU2345" s="77"/>
      <c r="AV2345" s="83" t="str">
        <f>HYPERLINK("https://pbs.twimg.com/profile_images/1688364209107558400/KNfrpB9y_normal.jpg")</f>
        <v>https://pbs.twimg.com/profile_images/1688364209107558400/KNfrpB9y_normal.jpg</v>
      </c>
      <c r="AW2345" s="80" t="s">
        <v>18160</v>
      </c>
      <c r="AX2345" s="80" t="s">
        <v>20059</v>
      </c>
      <c r="AY2345" s="80" t="s">
        <v>20310</v>
      </c>
      <c r="AZ2345" s="80" t="s">
        <v>20059</v>
      </c>
      <c r="BA2345" s="80" t="s">
        <v>20380</v>
      </c>
      <c r="BB2345" s="80" t="s">
        <v>20380</v>
      </c>
      <c r="BC2345" s="80" t="s">
        <v>20059</v>
      </c>
      <c r="BD2345" s="77">
        <v>33412872</v>
      </c>
      <c r="BE2345" s="77"/>
      <c r="BF2345" s="77"/>
      <c r="BG2345" s="77"/>
      <c r="BH2345" s="77"/>
      <c r="BI2345" s="77"/>
    </row>
    <row r="2346" spans="1:61" x14ac:dyDescent="0.25">
      <c r="A2346" s="62" t="s">
        <v>961</v>
      </c>
      <c r="B2346" s="62" t="s">
        <v>961</v>
      </c>
      <c r="C2346" s="63"/>
      <c r="D2346" s="64"/>
      <c r="E2346" s="65"/>
      <c r="F2346" s="66"/>
      <c r="G2346" s="63"/>
      <c r="H2346" s="67"/>
      <c r="I2346" s="68"/>
      <c r="J2346" s="68"/>
      <c r="K2346" s="32"/>
      <c r="L2346" s="75">
        <v>2346</v>
      </c>
      <c r="M2346" s="75"/>
      <c r="N2346" s="70"/>
      <c r="O2346" s="77" t="s">
        <v>179</v>
      </c>
      <c r="P2346" s="79">
        <v>45077.545266203706</v>
      </c>
      <c r="Q2346" s="77" t="s">
        <v>4169</v>
      </c>
      <c r="R2346" s="77">
        <v>0</v>
      </c>
      <c r="S2346" s="77">
        <v>0</v>
      </c>
      <c r="T2346" s="77">
        <v>0</v>
      </c>
      <c r="U2346" s="77">
        <v>0</v>
      </c>
      <c r="V2346" s="77">
        <v>21</v>
      </c>
      <c r="W2346" s="80" t="s">
        <v>7384</v>
      </c>
      <c r="X2346" s="83" t="str">
        <f>HYPERLINK("https://www.infobae.com/economia/2019/12/28/28d-a-dos-anos-de-un-hito-de-la-fallida-gestion-economica-del-gobierno-de-macri/")</f>
        <v>https://www.infobae.com/economia/2019/12/28/28d-a-dos-anos-de-un-hito-de-la-fallida-gestion-economica-del-gobierno-de-macri/</v>
      </c>
      <c r="Y2346" s="77" t="s">
        <v>8781</v>
      </c>
      <c r="Z2346" s="77"/>
      <c r="AA2346" s="77"/>
      <c r="AB2346" s="77"/>
      <c r="AC2346" s="80" t="s">
        <v>10541</v>
      </c>
      <c r="AD2346" s="77" t="s">
        <v>10620</v>
      </c>
      <c r="AE2346" s="83" t="str">
        <f>HYPERLINK("https://twitter.com/cabeza451/status/1663894391969271816")</f>
        <v>https://twitter.com/cabeza451/status/1663894391969271816</v>
      </c>
      <c r="AF2346" s="79">
        <v>45077.545266203706</v>
      </c>
      <c r="AG2346" s="85">
        <v>45077</v>
      </c>
      <c r="AH2346" s="80" t="s">
        <v>12693</v>
      </c>
      <c r="AI2346" s="77" t="b">
        <v>0</v>
      </c>
      <c r="AJ2346" s="77"/>
      <c r="AK2346" s="77"/>
      <c r="AL2346" s="77"/>
      <c r="AM2346" s="77"/>
      <c r="AN2346" s="77"/>
      <c r="AO2346" s="77"/>
      <c r="AP2346" s="77"/>
      <c r="AQ2346" s="77"/>
      <c r="AR2346" s="77"/>
      <c r="AS2346" s="77"/>
      <c r="AT2346" s="77"/>
      <c r="AU2346" s="77"/>
      <c r="AV2346" s="83" t="str">
        <f>HYPERLINK("https://pbs.twimg.com/profile_images/999841160674750464/1rztvef-_normal.jpg")</f>
        <v>https://pbs.twimg.com/profile_images/999841160674750464/1rztvef-_normal.jpg</v>
      </c>
      <c r="AW2346" s="80" t="s">
        <v>18161</v>
      </c>
      <c r="AX2346" s="80" t="s">
        <v>18161</v>
      </c>
      <c r="AY2346" s="77"/>
      <c r="AZ2346" s="80" t="s">
        <v>20380</v>
      </c>
      <c r="BA2346" s="80" t="s">
        <v>20380</v>
      </c>
      <c r="BB2346" s="80" t="s">
        <v>20380</v>
      </c>
      <c r="BC2346" s="80" t="s">
        <v>18161</v>
      </c>
      <c r="BD2346" s="77">
        <v>187370961</v>
      </c>
      <c r="BE2346" s="77"/>
      <c r="BF2346" s="77"/>
      <c r="BG2346" s="77"/>
      <c r="BH2346" s="77"/>
      <c r="BI2346" s="77"/>
    </row>
    <row r="2347" spans="1:61" x14ac:dyDescent="0.25">
      <c r="A2347" s="62" t="s">
        <v>962</v>
      </c>
      <c r="B2347" s="62" t="s">
        <v>962</v>
      </c>
      <c r="C2347" s="63"/>
      <c r="D2347" s="64"/>
      <c r="E2347" s="65"/>
      <c r="F2347" s="66"/>
      <c r="G2347" s="63"/>
      <c r="H2347" s="67"/>
      <c r="I2347" s="68"/>
      <c r="J2347" s="68"/>
      <c r="K2347" s="32"/>
      <c r="L2347" s="75">
        <v>2347</v>
      </c>
      <c r="M2347" s="75"/>
      <c r="N2347" s="70"/>
      <c r="O2347" s="77" t="s">
        <v>179</v>
      </c>
      <c r="P2347" s="79">
        <v>45148.796168981484</v>
      </c>
      <c r="Q2347" s="77" t="s">
        <v>4170</v>
      </c>
      <c r="R2347" s="77">
        <v>0</v>
      </c>
      <c r="S2347" s="77">
        <v>0</v>
      </c>
      <c r="T2347" s="77">
        <v>0</v>
      </c>
      <c r="U2347" s="77">
        <v>0</v>
      </c>
      <c r="V2347" s="77">
        <v>25</v>
      </c>
      <c r="W2347" s="80" t="s">
        <v>7385</v>
      </c>
      <c r="X2347" s="83" t="str">
        <f>HYPERLINK("https://g1.globo.com/economia/noticia/2023/08/10/presidente-do-bc-fala-em-acabar-com-o-rotativo-do-cartao-de-credito-e-instituir-tarifa-para-parcelamento-sem-juros-de-prazo-maior.ghtml")</f>
        <v>https://g1.globo.com/economia/noticia/2023/08/10/presidente-do-bc-fala-em-acabar-com-o-rotativo-do-cartao-de-credito-e-instituir-tarifa-para-parcelamento-sem-juros-de-prazo-maior.ghtml</v>
      </c>
      <c r="Y2347" s="77" t="s">
        <v>8686</v>
      </c>
      <c r="Z2347" s="77"/>
      <c r="AA2347" s="77" t="s">
        <v>9720</v>
      </c>
      <c r="AB2347" s="77" t="s">
        <v>10535</v>
      </c>
      <c r="AC2347" s="80" t="s">
        <v>10541</v>
      </c>
      <c r="AD2347" s="77" t="s">
        <v>10617</v>
      </c>
      <c r="AE2347" s="83" t="str">
        <f>HYPERLINK("https://twitter.com/ikan_drsm/status/1689714856318894080")</f>
        <v>https://twitter.com/ikan_drsm/status/1689714856318894080</v>
      </c>
      <c r="AF2347" s="79">
        <v>45148.796168981484</v>
      </c>
      <c r="AG2347" s="85">
        <v>45148</v>
      </c>
      <c r="AH2347" s="80" t="s">
        <v>12694</v>
      </c>
      <c r="AI2347" s="77" t="b">
        <v>0</v>
      </c>
      <c r="AJ2347" s="77"/>
      <c r="AK2347" s="77"/>
      <c r="AL2347" s="77"/>
      <c r="AM2347" s="77"/>
      <c r="AN2347" s="77"/>
      <c r="AO2347" s="77"/>
      <c r="AP2347" s="77"/>
      <c r="AQ2347" s="77" t="s">
        <v>15202</v>
      </c>
      <c r="AR2347" s="77"/>
      <c r="AS2347" s="77"/>
      <c r="AT2347" s="77"/>
      <c r="AU2347" s="77"/>
      <c r="AV2347" s="83" t="str">
        <f>HYPERLINK("https://pbs.twimg.com/media/F3MSY7nXsAAg1LB.png")</f>
        <v>https://pbs.twimg.com/media/F3MSY7nXsAAg1LB.png</v>
      </c>
      <c r="AW2347" s="80" t="s">
        <v>18162</v>
      </c>
      <c r="AX2347" s="80" t="s">
        <v>18162</v>
      </c>
      <c r="AY2347" s="77"/>
      <c r="AZ2347" s="80" t="s">
        <v>20380</v>
      </c>
      <c r="BA2347" s="80" t="s">
        <v>20380</v>
      </c>
      <c r="BB2347" s="80" t="s">
        <v>20380</v>
      </c>
      <c r="BC2347" s="80" t="s">
        <v>18162</v>
      </c>
      <c r="BD2347" s="80" t="s">
        <v>20854</v>
      </c>
      <c r="BE2347" s="77"/>
      <c r="BF2347" s="77"/>
      <c r="BG2347" s="77"/>
      <c r="BH2347" s="77"/>
      <c r="BI2347" s="77"/>
    </row>
    <row r="2348" spans="1:61" x14ac:dyDescent="0.25">
      <c r="A2348" s="62" t="s">
        <v>963</v>
      </c>
      <c r="B2348" s="62" t="s">
        <v>963</v>
      </c>
      <c r="C2348" s="63"/>
      <c r="D2348" s="64"/>
      <c r="E2348" s="65"/>
      <c r="F2348" s="66"/>
      <c r="G2348" s="63"/>
      <c r="H2348" s="67"/>
      <c r="I2348" s="68"/>
      <c r="J2348" s="68"/>
      <c r="K2348" s="32"/>
      <c r="L2348" s="75">
        <v>2348</v>
      </c>
      <c r="M2348" s="75"/>
      <c r="N2348" s="70"/>
      <c r="O2348" s="77" t="s">
        <v>179</v>
      </c>
      <c r="P2348" s="79">
        <v>45099.886307870373</v>
      </c>
      <c r="Q2348" s="77" t="s">
        <v>4171</v>
      </c>
      <c r="R2348" s="77">
        <v>0</v>
      </c>
      <c r="S2348" s="77">
        <v>0</v>
      </c>
      <c r="T2348" s="77">
        <v>0</v>
      </c>
      <c r="U2348" s="77">
        <v>0</v>
      </c>
      <c r="V2348" s="77">
        <v>14</v>
      </c>
      <c r="W2348" s="80" t="s">
        <v>6250</v>
      </c>
      <c r="X2348" s="83" t="str">
        <f>HYPERLINK("https://tinyurl.com/yn8eu3te")</f>
        <v>https://tinyurl.com/yn8eu3te</v>
      </c>
      <c r="Y2348" s="77" t="s">
        <v>8670</v>
      </c>
      <c r="Z2348" s="77"/>
      <c r="AA2348" s="77"/>
      <c r="AB2348" s="77"/>
      <c r="AC2348" s="80" t="s">
        <v>10541</v>
      </c>
      <c r="AD2348" s="77" t="s">
        <v>10617</v>
      </c>
      <c r="AE2348" s="83" t="str">
        <f>HYPERLINK("https://twitter.com/correa899/status/1671990514508349447")</f>
        <v>https://twitter.com/correa899/status/1671990514508349447</v>
      </c>
      <c r="AF2348" s="79">
        <v>45099.886307870373</v>
      </c>
      <c r="AG2348" s="85">
        <v>45099</v>
      </c>
      <c r="AH2348" s="80" t="s">
        <v>12695</v>
      </c>
      <c r="AI2348" s="77" t="b">
        <v>0</v>
      </c>
      <c r="AJ2348" s="77"/>
      <c r="AK2348" s="77"/>
      <c r="AL2348" s="77"/>
      <c r="AM2348" s="77"/>
      <c r="AN2348" s="77"/>
      <c r="AO2348" s="77"/>
      <c r="AP2348" s="77"/>
      <c r="AQ2348" s="77"/>
      <c r="AR2348" s="77"/>
      <c r="AS2348" s="77"/>
      <c r="AT2348" s="77"/>
      <c r="AU2348" s="77"/>
      <c r="AV2348" s="83" t="str">
        <f>HYPERLINK("https://pbs.twimg.com/profile_images/2725090237/018522894a55aca0ed6cdbc82f9eb1de_normal.png")</f>
        <v>https://pbs.twimg.com/profile_images/2725090237/018522894a55aca0ed6cdbc82f9eb1de_normal.png</v>
      </c>
      <c r="AW2348" s="80" t="s">
        <v>18163</v>
      </c>
      <c r="AX2348" s="80" t="s">
        <v>18163</v>
      </c>
      <c r="AY2348" s="77"/>
      <c r="AZ2348" s="80" t="s">
        <v>20380</v>
      </c>
      <c r="BA2348" s="80" t="s">
        <v>20380</v>
      </c>
      <c r="BB2348" s="80" t="s">
        <v>20380</v>
      </c>
      <c r="BC2348" s="80" t="s">
        <v>18163</v>
      </c>
      <c r="BD2348" s="77">
        <v>360619751</v>
      </c>
      <c r="BE2348" s="77"/>
      <c r="BF2348" s="77"/>
      <c r="BG2348" s="77"/>
      <c r="BH2348" s="77"/>
      <c r="BI2348" s="77"/>
    </row>
    <row r="2349" spans="1:61" x14ac:dyDescent="0.25">
      <c r="A2349" s="62" t="s">
        <v>964</v>
      </c>
      <c r="B2349" s="62" t="s">
        <v>964</v>
      </c>
      <c r="C2349" s="63"/>
      <c r="D2349" s="64"/>
      <c r="E2349" s="65"/>
      <c r="F2349" s="66"/>
      <c r="G2349" s="63"/>
      <c r="H2349" s="67"/>
      <c r="I2349" s="68"/>
      <c r="J2349" s="68"/>
      <c r="K2349" s="32"/>
      <c r="L2349" s="75">
        <v>2349</v>
      </c>
      <c r="M2349" s="75"/>
      <c r="N2349" s="70"/>
      <c r="O2349" s="77" t="s">
        <v>179</v>
      </c>
      <c r="P2349" s="79">
        <v>45140.91605324074</v>
      </c>
      <c r="Q2349" s="77" t="s">
        <v>4172</v>
      </c>
      <c r="R2349" s="77">
        <v>0</v>
      </c>
      <c r="S2349" s="77">
        <v>0</v>
      </c>
      <c r="T2349" s="77">
        <v>0</v>
      </c>
      <c r="U2349" s="77">
        <v>0</v>
      </c>
      <c r="V2349" s="77">
        <v>53</v>
      </c>
      <c r="W2349" s="80" t="s">
        <v>7386</v>
      </c>
      <c r="X2349" s="83" t="str">
        <f>HYPERLINK("https://gruppekurheinzich.wordpress.com/2023/08/02/banco-central-reduz-juros-sendo-o-primeiro-corte-do-copom-em-tres-anos/")</f>
        <v>https://gruppekurheinzich.wordpress.com/2023/08/02/banco-central-reduz-juros-sendo-o-primeiro-corte-do-copom-em-tres-anos/</v>
      </c>
      <c r="Y2349" s="77" t="s">
        <v>8678</v>
      </c>
      <c r="Z2349" s="77"/>
      <c r="AA2349" s="77"/>
      <c r="AB2349" s="77"/>
      <c r="AC2349" s="80" t="s">
        <v>10540</v>
      </c>
      <c r="AD2349" s="77" t="s">
        <v>10617</v>
      </c>
      <c r="AE2349" s="83" t="str">
        <f>HYPERLINK("https://twitter.com/herdersonfile/status/1686859197256716294")</f>
        <v>https://twitter.com/herdersonfile/status/1686859197256716294</v>
      </c>
      <c r="AF2349" s="79">
        <v>45140.91605324074</v>
      </c>
      <c r="AG2349" s="85">
        <v>45140</v>
      </c>
      <c r="AH2349" s="80" t="s">
        <v>12696</v>
      </c>
      <c r="AI2349" s="77" t="b">
        <v>0</v>
      </c>
      <c r="AJ2349" s="77"/>
      <c r="AK2349" s="77"/>
      <c r="AL2349" s="77"/>
      <c r="AM2349" s="77"/>
      <c r="AN2349" s="77"/>
      <c r="AO2349" s="77"/>
      <c r="AP2349" s="77"/>
      <c r="AQ2349" s="77"/>
      <c r="AR2349" s="77"/>
      <c r="AS2349" s="77"/>
      <c r="AT2349" s="77"/>
      <c r="AU2349" s="77"/>
      <c r="AV2349" s="83" t="str">
        <f>HYPERLINK("https://pbs.twimg.com/profile_images/1684688754299023360/qAc2FJ_A_normal.jpg")</f>
        <v>https://pbs.twimg.com/profile_images/1684688754299023360/qAc2FJ_A_normal.jpg</v>
      </c>
      <c r="AW2349" s="80" t="s">
        <v>18164</v>
      </c>
      <c r="AX2349" s="80" t="s">
        <v>18164</v>
      </c>
      <c r="AY2349" s="77"/>
      <c r="AZ2349" s="80" t="s">
        <v>20380</v>
      </c>
      <c r="BA2349" s="80" t="s">
        <v>20380</v>
      </c>
      <c r="BB2349" s="80" t="s">
        <v>20380</v>
      </c>
      <c r="BC2349" s="80" t="s">
        <v>18164</v>
      </c>
      <c r="BD2349" s="77">
        <v>135761946</v>
      </c>
      <c r="BE2349" s="77"/>
      <c r="BF2349" s="77"/>
      <c r="BG2349" s="77"/>
      <c r="BH2349" s="77"/>
      <c r="BI2349" s="77"/>
    </row>
    <row r="2350" spans="1:61" x14ac:dyDescent="0.25">
      <c r="A2350" s="62" t="s">
        <v>965</v>
      </c>
      <c r="B2350" s="62" t="s">
        <v>1930</v>
      </c>
      <c r="C2350" s="63"/>
      <c r="D2350" s="64"/>
      <c r="E2350" s="65"/>
      <c r="F2350" s="66"/>
      <c r="G2350" s="63"/>
      <c r="H2350" s="67"/>
      <c r="I2350" s="68"/>
      <c r="J2350" s="68"/>
      <c r="K2350" s="32"/>
      <c r="L2350" s="75">
        <v>2350</v>
      </c>
      <c r="M2350" s="75"/>
      <c r="N2350" s="70"/>
      <c r="O2350" s="77" t="s">
        <v>2084</v>
      </c>
      <c r="P2350" s="79">
        <v>45166.824918981481</v>
      </c>
      <c r="Q2350" s="77" t="s">
        <v>4173</v>
      </c>
      <c r="R2350" s="77">
        <v>3</v>
      </c>
      <c r="S2350" s="77">
        <v>2</v>
      </c>
      <c r="T2350" s="77">
        <v>0</v>
      </c>
      <c r="U2350" s="77">
        <v>0</v>
      </c>
      <c r="V2350" s="77">
        <v>115</v>
      </c>
      <c r="W2350" s="80" t="s">
        <v>7387</v>
      </c>
      <c r="X2350" s="77"/>
      <c r="Y2350" s="77"/>
      <c r="Z2350" s="77" t="s">
        <v>8979</v>
      </c>
      <c r="AA2350" s="77"/>
      <c r="AB2350" s="77"/>
      <c r="AC2350" s="80" t="s">
        <v>10542</v>
      </c>
      <c r="AD2350" s="77" t="s">
        <v>10620</v>
      </c>
      <c r="AE2350" s="83" t="str">
        <f>HYPERLINK("https://twitter.com/paxinveritas/status/1696248254076240113")</f>
        <v>https://twitter.com/paxinveritas/status/1696248254076240113</v>
      </c>
      <c r="AF2350" s="79">
        <v>45166.824918981481</v>
      </c>
      <c r="AG2350" s="85">
        <v>45166</v>
      </c>
      <c r="AH2350" s="80" t="s">
        <v>12697</v>
      </c>
      <c r="AI2350" s="77"/>
      <c r="AJ2350" s="77"/>
      <c r="AK2350" s="77"/>
      <c r="AL2350" s="77"/>
      <c r="AM2350" s="77"/>
      <c r="AN2350" s="77"/>
      <c r="AO2350" s="77"/>
      <c r="AP2350" s="77"/>
      <c r="AQ2350" s="77"/>
      <c r="AR2350" s="77"/>
      <c r="AS2350" s="77"/>
      <c r="AT2350" s="77"/>
      <c r="AU2350" s="77"/>
      <c r="AV2350" s="83" t="str">
        <f>HYPERLINK("https://pbs.twimg.com/profile_images/1690169177372311552/bM-WTha2_normal.jpg")</f>
        <v>https://pbs.twimg.com/profile_images/1690169177372311552/bM-WTha2_normal.jpg</v>
      </c>
      <c r="AW2350" s="80" t="s">
        <v>18165</v>
      </c>
      <c r="AX2350" s="80" t="s">
        <v>18165</v>
      </c>
      <c r="AY2350" s="77"/>
      <c r="AZ2350" s="80" t="s">
        <v>20380</v>
      </c>
      <c r="BA2350" s="80" t="s">
        <v>18852</v>
      </c>
      <c r="BB2350" s="80" t="s">
        <v>20380</v>
      </c>
      <c r="BC2350" s="80" t="s">
        <v>18852</v>
      </c>
      <c r="BD2350" s="80" t="s">
        <v>20855</v>
      </c>
      <c r="BE2350" s="77"/>
      <c r="BF2350" s="77"/>
      <c r="BG2350" s="77"/>
      <c r="BH2350" s="77"/>
      <c r="BI2350" s="77"/>
    </row>
    <row r="2351" spans="1:61" x14ac:dyDescent="0.25">
      <c r="A2351" s="62" t="s">
        <v>965</v>
      </c>
      <c r="B2351" s="62" t="s">
        <v>1931</v>
      </c>
      <c r="C2351" s="63"/>
      <c r="D2351" s="64"/>
      <c r="E2351" s="65"/>
      <c r="F2351" s="66"/>
      <c r="G2351" s="63"/>
      <c r="H2351" s="67"/>
      <c r="I2351" s="68"/>
      <c r="J2351" s="68"/>
      <c r="K2351" s="32"/>
      <c r="L2351" s="75">
        <v>2351</v>
      </c>
      <c r="M2351" s="75"/>
      <c r="N2351" s="70"/>
      <c r="O2351" s="77" t="s">
        <v>2084</v>
      </c>
      <c r="P2351" s="79">
        <v>45166.824918981481</v>
      </c>
      <c r="Q2351" s="77" t="s">
        <v>4173</v>
      </c>
      <c r="R2351" s="77">
        <v>3</v>
      </c>
      <c r="S2351" s="77">
        <v>2</v>
      </c>
      <c r="T2351" s="77">
        <v>0</v>
      </c>
      <c r="U2351" s="77">
        <v>0</v>
      </c>
      <c r="V2351" s="77">
        <v>115</v>
      </c>
      <c r="W2351" s="80" t="s">
        <v>7387</v>
      </c>
      <c r="X2351" s="77"/>
      <c r="Y2351" s="77"/>
      <c r="Z2351" s="77" t="s">
        <v>8979</v>
      </c>
      <c r="AA2351" s="77"/>
      <c r="AB2351" s="77"/>
      <c r="AC2351" s="80" t="s">
        <v>10542</v>
      </c>
      <c r="AD2351" s="77" t="s">
        <v>10620</v>
      </c>
      <c r="AE2351" s="83" t="str">
        <f>HYPERLINK("https://twitter.com/paxinveritas/status/1696248254076240113")</f>
        <v>https://twitter.com/paxinveritas/status/1696248254076240113</v>
      </c>
      <c r="AF2351" s="79">
        <v>45166.824918981481</v>
      </c>
      <c r="AG2351" s="85">
        <v>45166</v>
      </c>
      <c r="AH2351" s="80" t="s">
        <v>12697</v>
      </c>
      <c r="AI2351" s="77"/>
      <c r="AJ2351" s="77"/>
      <c r="AK2351" s="77"/>
      <c r="AL2351" s="77"/>
      <c r="AM2351" s="77"/>
      <c r="AN2351" s="77"/>
      <c r="AO2351" s="77"/>
      <c r="AP2351" s="77"/>
      <c r="AQ2351" s="77"/>
      <c r="AR2351" s="77"/>
      <c r="AS2351" s="77"/>
      <c r="AT2351" s="77"/>
      <c r="AU2351" s="77"/>
      <c r="AV2351" s="83" t="str">
        <f>HYPERLINK("https://pbs.twimg.com/profile_images/1690169177372311552/bM-WTha2_normal.jpg")</f>
        <v>https://pbs.twimg.com/profile_images/1690169177372311552/bM-WTha2_normal.jpg</v>
      </c>
      <c r="AW2351" s="80" t="s">
        <v>18165</v>
      </c>
      <c r="AX2351" s="80" t="s">
        <v>18165</v>
      </c>
      <c r="AY2351" s="77"/>
      <c r="AZ2351" s="80" t="s">
        <v>20380</v>
      </c>
      <c r="BA2351" s="80" t="s">
        <v>18852</v>
      </c>
      <c r="BB2351" s="80" t="s">
        <v>20380</v>
      </c>
      <c r="BC2351" s="80" t="s">
        <v>18852</v>
      </c>
      <c r="BD2351" s="80" t="s">
        <v>20855</v>
      </c>
      <c r="BE2351" s="77"/>
      <c r="BF2351" s="77"/>
      <c r="BG2351" s="77"/>
      <c r="BH2351" s="77"/>
      <c r="BI2351" s="77"/>
    </row>
    <row r="2352" spans="1:61" x14ac:dyDescent="0.25">
      <c r="A2352" s="62" t="s">
        <v>965</v>
      </c>
      <c r="B2352" s="62" t="s">
        <v>1232</v>
      </c>
      <c r="C2352" s="63"/>
      <c r="D2352" s="64"/>
      <c r="E2352" s="65"/>
      <c r="F2352" s="66"/>
      <c r="G2352" s="63"/>
      <c r="H2352" s="67"/>
      <c r="I2352" s="68"/>
      <c r="J2352" s="68"/>
      <c r="K2352" s="32"/>
      <c r="L2352" s="75">
        <v>2352</v>
      </c>
      <c r="M2352" s="75"/>
      <c r="N2352" s="70"/>
      <c r="O2352" s="77" t="s">
        <v>2082</v>
      </c>
      <c r="P2352" s="79">
        <v>45166.824918981481</v>
      </c>
      <c r="Q2352" s="77" t="s">
        <v>4173</v>
      </c>
      <c r="R2352" s="77">
        <v>3</v>
      </c>
      <c r="S2352" s="77">
        <v>2</v>
      </c>
      <c r="T2352" s="77">
        <v>0</v>
      </c>
      <c r="U2352" s="77">
        <v>0</v>
      </c>
      <c r="V2352" s="77">
        <v>115</v>
      </c>
      <c r="W2352" s="80" t="s">
        <v>7387</v>
      </c>
      <c r="X2352" s="77"/>
      <c r="Y2352" s="77"/>
      <c r="Z2352" s="77" t="s">
        <v>8979</v>
      </c>
      <c r="AA2352" s="77"/>
      <c r="AB2352" s="77"/>
      <c r="AC2352" s="80" t="s">
        <v>10542</v>
      </c>
      <c r="AD2352" s="77" t="s">
        <v>10620</v>
      </c>
      <c r="AE2352" s="83" t="str">
        <f>HYPERLINK("https://twitter.com/paxinveritas/status/1696248254076240113")</f>
        <v>https://twitter.com/paxinveritas/status/1696248254076240113</v>
      </c>
      <c r="AF2352" s="79">
        <v>45166.824918981481</v>
      </c>
      <c r="AG2352" s="85">
        <v>45166</v>
      </c>
      <c r="AH2352" s="80" t="s">
        <v>12697</v>
      </c>
      <c r="AI2352" s="77"/>
      <c r="AJ2352" s="77"/>
      <c r="AK2352" s="77"/>
      <c r="AL2352" s="77"/>
      <c r="AM2352" s="77"/>
      <c r="AN2352" s="77"/>
      <c r="AO2352" s="77"/>
      <c r="AP2352" s="77"/>
      <c r="AQ2352" s="77"/>
      <c r="AR2352" s="77"/>
      <c r="AS2352" s="77"/>
      <c r="AT2352" s="77"/>
      <c r="AU2352" s="77"/>
      <c r="AV2352" s="83" t="str">
        <f>HYPERLINK("https://pbs.twimg.com/profile_images/1690169177372311552/bM-WTha2_normal.jpg")</f>
        <v>https://pbs.twimg.com/profile_images/1690169177372311552/bM-WTha2_normal.jpg</v>
      </c>
      <c r="AW2352" s="80" t="s">
        <v>18165</v>
      </c>
      <c r="AX2352" s="80" t="s">
        <v>18165</v>
      </c>
      <c r="AY2352" s="77"/>
      <c r="AZ2352" s="80" t="s">
        <v>20380</v>
      </c>
      <c r="BA2352" s="80" t="s">
        <v>18852</v>
      </c>
      <c r="BB2352" s="80" t="s">
        <v>20380</v>
      </c>
      <c r="BC2352" s="80" t="s">
        <v>18852</v>
      </c>
      <c r="BD2352" s="80" t="s">
        <v>20855</v>
      </c>
      <c r="BE2352" s="77"/>
      <c r="BF2352" s="77"/>
      <c r="BG2352" s="77"/>
      <c r="BH2352" s="77"/>
      <c r="BI2352" s="77"/>
    </row>
    <row r="2353" spans="1:61" x14ac:dyDescent="0.25">
      <c r="A2353" s="62" t="s">
        <v>966</v>
      </c>
      <c r="B2353" s="62" t="s">
        <v>966</v>
      </c>
      <c r="C2353" s="63"/>
      <c r="D2353" s="64"/>
      <c r="E2353" s="65"/>
      <c r="F2353" s="66"/>
      <c r="G2353" s="63"/>
      <c r="H2353" s="67"/>
      <c r="I2353" s="68"/>
      <c r="J2353" s="68"/>
      <c r="K2353" s="32"/>
      <c r="L2353" s="75">
        <v>2353</v>
      </c>
      <c r="M2353" s="75"/>
      <c r="N2353" s="70"/>
      <c r="O2353" s="77" t="s">
        <v>179</v>
      </c>
      <c r="P2353" s="79">
        <v>45100.556620370371</v>
      </c>
      <c r="Q2353" s="77" t="s">
        <v>4174</v>
      </c>
      <c r="R2353" s="77">
        <v>1</v>
      </c>
      <c r="S2353" s="77">
        <v>4</v>
      </c>
      <c r="T2353" s="77">
        <v>0</v>
      </c>
      <c r="U2353" s="77">
        <v>0</v>
      </c>
      <c r="V2353" s="77">
        <v>77</v>
      </c>
      <c r="W2353" s="80" t="s">
        <v>7388</v>
      </c>
      <c r="X2353" s="77"/>
      <c r="Y2353" s="77"/>
      <c r="Z2353" s="77"/>
      <c r="AA2353" s="77" t="s">
        <v>9721</v>
      </c>
      <c r="AB2353" s="77" t="s">
        <v>10535</v>
      </c>
      <c r="AC2353" s="80" t="s">
        <v>10542</v>
      </c>
      <c r="AD2353" s="77" t="s">
        <v>10617</v>
      </c>
      <c r="AE2353" s="83" t="str">
        <f>HYPERLINK("https://twitter.com/fragadesenhos/status/1672233430086451201")</f>
        <v>https://twitter.com/fragadesenhos/status/1672233430086451201</v>
      </c>
      <c r="AF2353" s="79">
        <v>45100.556620370371</v>
      </c>
      <c r="AG2353" s="85">
        <v>45100</v>
      </c>
      <c r="AH2353" s="80" t="s">
        <v>12698</v>
      </c>
      <c r="AI2353" s="77" t="b">
        <v>0</v>
      </c>
      <c r="AJ2353" s="77"/>
      <c r="AK2353" s="77"/>
      <c r="AL2353" s="77"/>
      <c r="AM2353" s="77"/>
      <c r="AN2353" s="77"/>
      <c r="AO2353" s="77"/>
      <c r="AP2353" s="77"/>
      <c r="AQ2353" s="77" t="s">
        <v>15203</v>
      </c>
      <c r="AR2353" s="77"/>
      <c r="AS2353" s="77"/>
      <c r="AT2353" s="77"/>
      <c r="AU2353" s="77"/>
      <c r="AV2353" s="83" t="str">
        <f>HYPERLINK("https://pbs.twimg.com/media/FzT3cCoX0AA5326.jpg")</f>
        <v>https://pbs.twimg.com/media/FzT3cCoX0AA5326.jpg</v>
      </c>
      <c r="AW2353" s="80" t="s">
        <v>18166</v>
      </c>
      <c r="AX2353" s="80" t="s">
        <v>18166</v>
      </c>
      <c r="AY2353" s="77"/>
      <c r="AZ2353" s="80" t="s">
        <v>20380</v>
      </c>
      <c r="BA2353" s="80" t="s">
        <v>20380</v>
      </c>
      <c r="BB2353" s="80" t="s">
        <v>20380</v>
      </c>
      <c r="BC2353" s="80" t="s">
        <v>18166</v>
      </c>
      <c r="BD2353" s="77">
        <v>80080382</v>
      </c>
      <c r="BE2353" s="77"/>
      <c r="BF2353" s="77"/>
      <c r="BG2353" s="77"/>
      <c r="BH2353" s="77"/>
      <c r="BI2353" s="77"/>
    </row>
    <row r="2354" spans="1:61" x14ac:dyDescent="0.25">
      <c r="A2354" s="62" t="s">
        <v>966</v>
      </c>
      <c r="B2354" s="62" t="s">
        <v>966</v>
      </c>
      <c r="C2354" s="63"/>
      <c r="D2354" s="64"/>
      <c r="E2354" s="65"/>
      <c r="F2354" s="66"/>
      <c r="G2354" s="63"/>
      <c r="H2354" s="67"/>
      <c r="I2354" s="68"/>
      <c r="J2354" s="68"/>
      <c r="K2354" s="32"/>
      <c r="L2354" s="75">
        <v>2354</v>
      </c>
      <c r="M2354" s="75"/>
      <c r="N2354" s="70"/>
      <c r="O2354" s="77" t="s">
        <v>179</v>
      </c>
      <c r="P2354" s="79">
        <v>45147.464375000003</v>
      </c>
      <c r="Q2354" s="77" t="s">
        <v>4175</v>
      </c>
      <c r="R2354" s="77">
        <v>1</v>
      </c>
      <c r="S2354" s="77">
        <v>5</v>
      </c>
      <c r="T2354" s="77">
        <v>0</v>
      </c>
      <c r="U2354" s="77">
        <v>0</v>
      </c>
      <c r="V2354" s="77">
        <v>104</v>
      </c>
      <c r="W2354" s="80" t="s">
        <v>7389</v>
      </c>
      <c r="X2354" s="77"/>
      <c r="Y2354" s="77"/>
      <c r="Z2354" s="77"/>
      <c r="AA2354" s="77" t="s">
        <v>9722</v>
      </c>
      <c r="AB2354" s="77" t="s">
        <v>10535</v>
      </c>
      <c r="AC2354" s="80" t="s">
        <v>10542</v>
      </c>
      <c r="AD2354" s="77" t="s">
        <v>10617</v>
      </c>
      <c r="AE2354" s="83" t="str">
        <f>HYPERLINK("https://twitter.com/fragadesenhos/status/1689232228214091776")</f>
        <v>https://twitter.com/fragadesenhos/status/1689232228214091776</v>
      </c>
      <c r="AF2354" s="79">
        <v>45147.464375000003</v>
      </c>
      <c r="AG2354" s="85">
        <v>45147</v>
      </c>
      <c r="AH2354" s="80" t="s">
        <v>12699</v>
      </c>
      <c r="AI2354" s="77" t="b">
        <v>0</v>
      </c>
      <c r="AJ2354" s="77"/>
      <c r="AK2354" s="77"/>
      <c r="AL2354" s="77"/>
      <c r="AM2354" s="77"/>
      <c r="AN2354" s="77"/>
      <c r="AO2354" s="77"/>
      <c r="AP2354" s="77"/>
      <c r="AQ2354" s="77" t="s">
        <v>15204</v>
      </c>
      <c r="AR2354" s="77"/>
      <c r="AS2354" s="77"/>
      <c r="AT2354" s="77"/>
      <c r="AU2354" s="77"/>
      <c r="AV2354" s="83" t="str">
        <f>HYPERLINK("https://pbs.twimg.com/media/F3FbwQ7WgAAivKs.jpg")</f>
        <v>https://pbs.twimg.com/media/F3FbwQ7WgAAivKs.jpg</v>
      </c>
      <c r="AW2354" s="80" t="s">
        <v>18167</v>
      </c>
      <c r="AX2354" s="80" t="s">
        <v>18167</v>
      </c>
      <c r="AY2354" s="77"/>
      <c r="AZ2354" s="80" t="s">
        <v>20380</v>
      </c>
      <c r="BA2354" s="80" t="s">
        <v>20380</v>
      </c>
      <c r="BB2354" s="80" t="s">
        <v>20380</v>
      </c>
      <c r="BC2354" s="80" t="s">
        <v>18167</v>
      </c>
      <c r="BD2354" s="77">
        <v>80080382</v>
      </c>
      <c r="BE2354" s="77"/>
      <c r="BF2354" s="77"/>
      <c r="BG2354" s="77"/>
      <c r="BH2354" s="77"/>
      <c r="BI2354" s="77"/>
    </row>
    <row r="2355" spans="1:61" x14ac:dyDescent="0.25">
      <c r="A2355" s="62" t="s">
        <v>966</v>
      </c>
      <c r="B2355" s="62" t="s">
        <v>966</v>
      </c>
      <c r="C2355" s="63"/>
      <c r="D2355" s="64"/>
      <c r="E2355" s="65"/>
      <c r="F2355" s="66"/>
      <c r="G2355" s="63"/>
      <c r="H2355" s="67"/>
      <c r="I2355" s="68"/>
      <c r="J2355" s="68"/>
      <c r="K2355" s="32"/>
      <c r="L2355" s="75">
        <v>2355</v>
      </c>
      <c r="M2355" s="75"/>
      <c r="N2355" s="70"/>
      <c r="O2355" s="77" t="s">
        <v>179</v>
      </c>
      <c r="P2355" s="79">
        <v>45174.492997685185</v>
      </c>
      <c r="Q2355" s="77" t="s">
        <v>4176</v>
      </c>
      <c r="R2355" s="77">
        <v>0</v>
      </c>
      <c r="S2355" s="77">
        <v>4</v>
      </c>
      <c r="T2355" s="77">
        <v>0</v>
      </c>
      <c r="U2355" s="77">
        <v>0</v>
      </c>
      <c r="V2355" s="77">
        <v>180</v>
      </c>
      <c r="W2355" s="80" t="s">
        <v>7390</v>
      </c>
      <c r="X2355" s="77"/>
      <c r="Y2355" s="77"/>
      <c r="Z2355" s="77"/>
      <c r="AA2355" s="77" t="s">
        <v>9723</v>
      </c>
      <c r="AB2355" s="77" t="s">
        <v>10535</v>
      </c>
      <c r="AC2355" s="80" t="s">
        <v>10542</v>
      </c>
      <c r="AD2355" s="77" t="s">
        <v>10617</v>
      </c>
      <c r="AE2355" s="83" t="str">
        <f>HYPERLINK("https://twitter.com/fragadesenhos/status/1699027074978140565")</f>
        <v>https://twitter.com/fragadesenhos/status/1699027074978140565</v>
      </c>
      <c r="AF2355" s="79">
        <v>45174.492997685185</v>
      </c>
      <c r="AG2355" s="85">
        <v>45174</v>
      </c>
      <c r="AH2355" s="80" t="s">
        <v>12700</v>
      </c>
      <c r="AI2355" s="77" t="b">
        <v>0</v>
      </c>
      <c r="AJ2355" s="77"/>
      <c r="AK2355" s="77"/>
      <c r="AL2355" s="77"/>
      <c r="AM2355" s="77"/>
      <c r="AN2355" s="77"/>
      <c r="AO2355" s="77"/>
      <c r="AP2355" s="77"/>
      <c r="AQ2355" s="77" t="s">
        <v>15205</v>
      </c>
      <c r="AR2355" s="77"/>
      <c r="AS2355" s="77"/>
      <c r="AT2355" s="77"/>
      <c r="AU2355" s="77"/>
      <c r="AV2355" s="83" t="str">
        <f>HYPERLINK("https://pbs.twimg.com/media/F5QoHdxXQAAO35G.jpg")</f>
        <v>https://pbs.twimg.com/media/F5QoHdxXQAAO35G.jpg</v>
      </c>
      <c r="AW2355" s="80" t="s">
        <v>18168</v>
      </c>
      <c r="AX2355" s="80" t="s">
        <v>18168</v>
      </c>
      <c r="AY2355" s="77"/>
      <c r="AZ2355" s="80" t="s">
        <v>20380</v>
      </c>
      <c r="BA2355" s="80" t="s">
        <v>20380</v>
      </c>
      <c r="BB2355" s="80" t="s">
        <v>20380</v>
      </c>
      <c r="BC2355" s="80" t="s">
        <v>18168</v>
      </c>
      <c r="BD2355" s="77">
        <v>80080382</v>
      </c>
      <c r="BE2355" s="77"/>
      <c r="BF2355" s="77"/>
      <c r="BG2355" s="77"/>
      <c r="BH2355" s="77"/>
      <c r="BI2355" s="77"/>
    </row>
    <row r="2356" spans="1:61" x14ac:dyDescent="0.25">
      <c r="A2356" s="62" t="s">
        <v>966</v>
      </c>
      <c r="B2356" s="62" t="s">
        <v>966</v>
      </c>
      <c r="C2356" s="63"/>
      <c r="D2356" s="64"/>
      <c r="E2356" s="65"/>
      <c r="F2356" s="66"/>
      <c r="G2356" s="63"/>
      <c r="H2356" s="67"/>
      <c r="I2356" s="68"/>
      <c r="J2356" s="68"/>
      <c r="K2356" s="32"/>
      <c r="L2356" s="75">
        <v>2356</v>
      </c>
      <c r="M2356" s="75"/>
      <c r="N2356" s="70"/>
      <c r="O2356" s="77" t="s">
        <v>179</v>
      </c>
      <c r="P2356" s="79">
        <v>45141.55431712963</v>
      </c>
      <c r="Q2356" s="77" t="s">
        <v>4177</v>
      </c>
      <c r="R2356" s="77">
        <v>1</v>
      </c>
      <c r="S2356" s="77">
        <v>5</v>
      </c>
      <c r="T2356" s="77">
        <v>0</v>
      </c>
      <c r="U2356" s="77">
        <v>0</v>
      </c>
      <c r="V2356" s="77">
        <v>84</v>
      </c>
      <c r="W2356" s="80" t="s">
        <v>7391</v>
      </c>
      <c r="X2356" s="77"/>
      <c r="Y2356" s="77"/>
      <c r="Z2356" s="77"/>
      <c r="AA2356" s="77" t="s">
        <v>9724</v>
      </c>
      <c r="AB2356" s="77" t="s">
        <v>10535</v>
      </c>
      <c r="AC2356" s="80" t="s">
        <v>10556</v>
      </c>
      <c r="AD2356" s="77" t="s">
        <v>10617</v>
      </c>
      <c r="AE2356" s="83" t="str">
        <f>HYPERLINK("https://twitter.com/fragadesenhos/status/1687090495250460672")</f>
        <v>https://twitter.com/fragadesenhos/status/1687090495250460672</v>
      </c>
      <c r="AF2356" s="79">
        <v>45141.55431712963</v>
      </c>
      <c r="AG2356" s="85">
        <v>45141</v>
      </c>
      <c r="AH2356" s="80" t="s">
        <v>12701</v>
      </c>
      <c r="AI2356" s="77" t="b">
        <v>0</v>
      </c>
      <c r="AJ2356" s="77"/>
      <c r="AK2356" s="77"/>
      <c r="AL2356" s="77"/>
      <c r="AM2356" s="77"/>
      <c r="AN2356" s="77"/>
      <c r="AO2356" s="77"/>
      <c r="AP2356" s="77"/>
      <c r="AQ2356" s="77" t="s">
        <v>15206</v>
      </c>
      <c r="AR2356" s="77"/>
      <c r="AS2356" s="77"/>
      <c r="AT2356" s="77"/>
      <c r="AU2356" s="77"/>
      <c r="AV2356" s="83" t="str">
        <f>HYPERLINK("https://pbs.twimg.com/media/F2m_3GpXQAANJwP.jpg")</f>
        <v>https://pbs.twimg.com/media/F2m_3GpXQAANJwP.jpg</v>
      </c>
      <c r="AW2356" s="80" t="s">
        <v>18169</v>
      </c>
      <c r="AX2356" s="80" t="s">
        <v>18169</v>
      </c>
      <c r="AY2356" s="77"/>
      <c r="AZ2356" s="80" t="s">
        <v>20380</v>
      </c>
      <c r="BA2356" s="80" t="s">
        <v>20380</v>
      </c>
      <c r="BB2356" s="80" t="s">
        <v>20380</v>
      </c>
      <c r="BC2356" s="80" t="s">
        <v>18169</v>
      </c>
      <c r="BD2356" s="77">
        <v>80080382</v>
      </c>
      <c r="BE2356" s="77"/>
      <c r="BF2356" s="77"/>
      <c r="BG2356" s="77"/>
      <c r="BH2356" s="77"/>
      <c r="BI2356" s="77"/>
    </row>
    <row r="2357" spans="1:61" x14ac:dyDescent="0.25">
      <c r="A2357" s="62" t="s">
        <v>967</v>
      </c>
      <c r="B2357" s="62" t="s">
        <v>967</v>
      </c>
      <c r="C2357" s="63"/>
      <c r="D2357" s="64"/>
      <c r="E2357" s="65"/>
      <c r="F2357" s="66"/>
      <c r="G2357" s="63"/>
      <c r="H2357" s="67"/>
      <c r="I2357" s="68"/>
      <c r="J2357" s="68"/>
      <c r="K2357" s="32"/>
      <c r="L2357" s="75">
        <v>2357</v>
      </c>
      <c r="M2357" s="75"/>
      <c r="N2357" s="70"/>
      <c r="O2357" s="77" t="s">
        <v>179</v>
      </c>
      <c r="P2357" s="79">
        <v>45069.735127314816</v>
      </c>
      <c r="Q2357" s="77" t="s">
        <v>4178</v>
      </c>
      <c r="R2357" s="77">
        <v>0</v>
      </c>
      <c r="S2357" s="77">
        <v>1</v>
      </c>
      <c r="T2357" s="77">
        <v>1</v>
      </c>
      <c r="U2357" s="77">
        <v>0</v>
      </c>
      <c r="V2357" s="77">
        <v>195</v>
      </c>
      <c r="W2357" s="80" t="s">
        <v>6199</v>
      </c>
      <c r="X2357" s="77"/>
      <c r="Y2357" s="77"/>
      <c r="Z2357" s="77"/>
      <c r="AA2357" s="77"/>
      <c r="AB2357" s="77"/>
      <c r="AC2357" s="80" t="s">
        <v>10541</v>
      </c>
      <c r="AD2357" s="77" t="s">
        <v>10617</v>
      </c>
      <c r="AE2357" s="83" t="str">
        <f>HYPERLINK("https://twitter.com/relatorio/status/1661064091480252416")</f>
        <v>https://twitter.com/relatorio/status/1661064091480252416</v>
      </c>
      <c r="AF2357" s="79">
        <v>45069.735127314816</v>
      </c>
      <c r="AG2357" s="85">
        <v>45069</v>
      </c>
      <c r="AH2357" s="80" t="s">
        <v>12702</v>
      </c>
      <c r="AI2357" s="77"/>
      <c r="AJ2357" s="77"/>
      <c r="AK2357" s="77"/>
      <c r="AL2357" s="77"/>
      <c r="AM2357" s="77"/>
      <c r="AN2357" s="77"/>
      <c r="AO2357" s="77"/>
      <c r="AP2357" s="77"/>
      <c r="AQ2357" s="77"/>
      <c r="AR2357" s="77"/>
      <c r="AS2357" s="77"/>
      <c r="AT2357" s="77"/>
      <c r="AU2357" s="77"/>
      <c r="AV2357" s="83" t="str">
        <f>HYPERLINK("https://pbs.twimg.com/profile_images/805755815005212672/57wbxO5Y_normal.jpg")</f>
        <v>https://pbs.twimg.com/profile_images/805755815005212672/57wbxO5Y_normal.jpg</v>
      </c>
      <c r="AW2357" s="80" t="s">
        <v>18170</v>
      </c>
      <c r="AX2357" s="80" t="s">
        <v>18170</v>
      </c>
      <c r="AY2357" s="77"/>
      <c r="AZ2357" s="80" t="s">
        <v>20380</v>
      </c>
      <c r="BA2357" s="80" t="s">
        <v>20380</v>
      </c>
      <c r="BB2357" s="80" t="s">
        <v>20380</v>
      </c>
      <c r="BC2357" s="80" t="s">
        <v>18170</v>
      </c>
      <c r="BD2357" s="77">
        <v>17598453</v>
      </c>
      <c r="BE2357" s="77"/>
      <c r="BF2357" s="77"/>
      <c r="BG2357" s="77"/>
      <c r="BH2357" s="77"/>
      <c r="BI2357" s="77"/>
    </row>
    <row r="2358" spans="1:61" x14ac:dyDescent="0.25">
      <c r="A2358" s="62" t="s">
        <v>968</v>
      </c>
      <c r="B2358" s="62" t="s">
        <v>1596</v>
      </c>
      <c r="C2358" s="63"/>
      <c r="D2358" s="64"/>
      <c r="E2358" s="65"/>
      <c r="F2358" s="66"/>
      <c r="G2358" s="63"/>
      <c r="H2358" s="67"/>
      <c r="I2358" s="68"/>
      <c r="J2358" s="68"/>
      <c r="K2358" s="32"/>
      <c r="L2358" s="75">
        <v>2358</v>
      </c>
      <c r="M2358" s="75"/>
      <c r="N2358" s="70"/>
      <c r="O2358" s="77" t="s">
        <v>2081</v>
      </c>
      <c r="P2358" s="79">
        <v>45079.816608796296</v>
      </c>
      <c r="Q2358" s="77" t="s">
        <v>4179</v>
      </c>
      <c r="R2358" s="77">
        <v>0</v>
      </c>
      <c r="S2358" s="77">
        <v>1</v>
      </c>
      <c r="T2358" s="77">
        <v>0</v>
      </c>
      <c r="U2358" s="77">
        <v>0</v>
      </c>
      <c r="V2358" s="77">
        <v>39</v>
      </c>
      <c r="W2358" s="80" t="s">
        <v>6008</v>
      </c>
      <c r="X2358" s="83" t="str">
        <f>HYPERLINK("https://www.bcb.gov.br/detalhenoticia/17906/nota")</f>
        <v>https://www.bcb.gov.br/detalhenoticia/17906/nota</v>
      </c>
      <c r="Y2358" s="77" t="s">
        <v>8633</v>
      </c>
      <c r="Z2358" s="77" t="s">
        <v>1596</v>
      </c>
      <c r="AA2358" s="77"/>
      <c r="AB2358" s="77"/>
      <c r="AC2358" s="80" t="s">
        <v>10541</v>
      </c>
      <c r="AD2358" s="77" t="s">
        <v>10617</v>
      </c>
      <c r="AE2358" s="83" t="str">
        <f>HYPERLINK("https://twitter.com/zmendescomex/status/1664717501018636290")</f>
        <v>https://twitter.com/zmendescomex/status/1664717501018636290</v>
      </c>
      <c r="AF2358" s="79">
        <v>45079.816608796296</v>
      </c>
      <c r="AG2358" s="85">
        <v>45079</v>
      </c>
      <c r="AH2358" s="80" t="s">
        <v>12362</v>
      </c>
      <c r="AI2358" s="77" t="b">
        <v>0</v>
      </c>
      <c r="AJ2358" s="77"/>
      <c r="AK2358" s="77"/>
      <c r="AL2358" s="77"/>
      <c r="AM2358" s="77"/>
      <c r="AN2358" s="77"/>
      <c r="AO2358" s="77"/>
      <c r="AP2358" s="77"/>
      <c r="AQ2358" s="77"/>
      <c r="AR2358" s="77"/>
      <c r="AS2358" s="77"/>
      <c r="AT2358" s="77"/>
      <c r="AU2358" s="77"/>
      <c r="AV2358" s="83" t="str">
        <f>HYPERLINK("https://pbs.twimg.com/profile_images/1433891920628092964/JViEd2-N_normal.jpg")</f>
        <v>https://pbs.twimg.com/profile_images/1433891920628092964/JViEd2-N_normal.jpg</v>
      </c>
      <c r="AW2358" s="80" t="s">
        <v>18171</v>
      </c>
      <c r="AX2358" s="80" t="s">
        <v>18171</v>
      </c>
      <c r="AY2358" s="77"/>
      <c r="AZ2358" s="80" t="s">
        <v>20380</v>
      </c>
      <c r="BA2358" s="80" t="s">
        <v>20380</v>
      </c>
      <c r="BB2358" s="80" t="s">
        <v>20380</v>
      </c>
      <c r="BC2358" s="80" t="s">
        <v>18171</v>
      </c>
      <c r="BD2358" s="77">
        <v>95275391</v>
      </c>
      <c r="BE2358" s="77"/>
      <c r="BF2358" s="77"/>
      <c r="BG2358" s="77"/>
      <c r="BH2358" s="77"/>
      <c r="BI2358" s="77"/>
    </row>
    <row r="2359" spans="1:61" x14ac:dyDescent="0.25">
      <c r="A2359" s="62" t="s">
        <v>968</v>
      </c>
      <c r="B2359" s="62" t="s">
        <v>968</v>
      </c>
      <c r="C2359" s="63"/>
      <c r="D2359" s="64"/>
      <c r="E2359" s="65"/>
      <c r="F2359" s="66"/>
      <c r="G2359" s="63"/>
      <c r="H2359" s="67"/>
      <c r="I2359" s="68"/>
      <c r="J2359" s="68"/>
      <c r="K2359" s="32"/>
      <c r="L2359" s="75">
        <v>2359</v>
      </c>
      <c r="M2359" s="75"/>
      <c r="N2359" s="70"/>
      <c r="O2359" s="77" t="s">
        <v>179</v>
      </c>
      <c r="P2359" s="79">
        <v>45145.817361111112</v>
      </c>
      <c r="Q2359" s="77" t="s">
        <v>4180</v>
      </c>
      <c r="R2359" s="77">
        <v>0</v>
      </c>
      <c r="S2359" s="77">
        <v>0</v>
      </c>
      <c r="T2359" s="77">
        <v>0</v>
      </c>
      <c r="U2359" s="77">
        <v>0</v>
      </c>
      <c r="V2359" s="77">
        <v>26</v>
      </c>
      <c r="W2359" s="80" t="s">
        <v>6008</v>
      </c>
      <c r="X2359" s="83" t="str">
        <f>HYPERLINK("https://www.bcb.gov.br/detalhenoticia/17946/nota")</f>
        <v>https://www.bcb.gov.br/detalhenoticia/17946/nota</v>
      </c>
      <c r="Y2359" s="77" t="s">
        <v>8633</v>
      </c>
      <c r="Z2359" s="77"/>
      <c r="AA2359" s="77"/>
      <c r="AB2359" s="77"/>
      <c r="AC2359" s="80" t="s">
        <v>10541</v>
      </c>
      <c r="AD2359" s="77" t="s">
        <v>10617</v>
      </c>
      <c r="AE2359" s="83" t="str">
        <f>HYPERLINK("https://twitter.com/zmendescomex/status/1688635369720270848")</f>
        <v>https://twitter.com/zmendescomex/status/1688635369720270848</v>
      </c>
      <c r="AF2359" s="79">
        <v>45145.817361111112</v>
      </c>
      <c r="AG2359" s="85">
        <v>45145</v>
      </c>
      <c r="AH2359" s="80" t="s">
        <v>12703</v>
      </c>
      <c r="AI2359" s="77" t="b">
        <v>0</v>
      </c>
      <c r="AJ2359" s="77"/>
      <c r="AK2359" s="77"/>
      <c r="AL2359" s="77"/>
      <c r="AM2359" s="77"/>
      <c r="AN2359" s="77"/>
      <c r="AO2359" s="77"/>
      <c r="AP2359" s="77"/>
      <c r="AQ2359" s="77"/>
      <c r="AR2359" s="77"/>
      <c r="AS2359" s="77"/>
      <c r="AT2359" s="77"/>
      <c r="AU2359" s="77"/>
      <c r="AV2359" s="83" t="str">
        <f>HYPERLINK("https://pbs.twimg.com/profile_images/1433891920628092964/JViEd2-N_normal.jpg")</f>
        <v>https://pbs.twimg.com/profile_images/1433891920628092964/JViEd2-N_normal.jpg</v>
      </c>
      <c r="AW2359" s="80" t="s">
        <v>18172</v>
      </c>
      <c r="AX2359" s="80" t="s">
        <v>18172</v>
      </c>
      <c r="AY2359" s="77"/>
      <c r="AZ2359" s="80" t="s">
        <v>20380</v>
      </c>
      <c r="BA2359" s="80" t="s">
        <v>20380</v>
      </c>
      <c r="BB2359" s="80" t="s">
        <v>20380</v>
      </c>
      <c r="BC2359" s="80" t="s">
        <v>18172</v>
      </c>
      <c r="BD2359" s="77">
        <v>95275391</v>
      </c>
      <c r="BE2359" s="77"/>
      <c r="BF2359" s="77"/>
      <c r="BG2359" s="77"/>
      <c r="BH2359" s="77"/>
      <c r="BI2359" s="77"/>
    </row>
    <row r="2360" spans="1:61" x14ac:dyDescent="0.25">
      <c r="A2360" s="62" t="s">
        <v>968</v>
      </c>
      <c r="B2360" s="62" t="s">
        <v>1596</v>
      </c>
      <c r="C2360" s="63"/>
      <c r="D2360" s="64"/>
      <c r="E2360" s="65"/>
      <c r="F2360" s="66"/>
      <c r="G2360" s="63"/>
      <c r="H2360" s="67"/>
      <c r="I2360" s="68"/>
      <c r="J2360" s="68"/>
      <c r="K2360" s="32"/>
      <c r="L2360" s="75">
        <v>2360</v>
      </c>
      <c r="M2360" s="75"/>
      <c r="N2360" s="70"/>
      <c r="O2360" s="77" t="s">
        <v>2081</v>
      </c>
      <c r="P2360" s="79">
        <v>45149.786249999997</v>
      </c>
      <c r="Q2360" s="77" t="s">
        <v>4181</v>
      </c>
      <c r="R2360" s="77">
        <v>0</v>
      </c>
      <c r="S2360" s="77">
        <v>0</v>
      </c>
      <c r="T2360" s="77">
        <v>0</v>
      </c>
      <c r="U2360" s="77">
        <v>0</v>
      </c>
      <c r="V2360" s="77">
        <v>14</v>
      </c>
      <c r="W2360" s="80" t="s">
        <v>6008</v>
      </c>
      <c r="X2360" s="83" t="str">
        <f>HYPERLINK("https://www.bcb.gov.br/detalhenoticia/706/noticia")</f>
        <v>https://www.bcb.gov.br/detalhenoticia/706/noticia</v>
      </c>
      <c r="Y2360" s="77" t="s">
        <v>8633</v>
      </c>
      <c r="Z2360" s="77" t="s">
        <v>1596</v>
      </c>
      <c r="AA2360" s="77"/>
      <c r="AB2360" s="77"/>
      <c r="AC2360" s="80" t="s">
        <v>10541</v>
      </c>
      <c r="AD2360" s="77" t="s">
        <v>10617</v>
      </c>
      <c r="AE2360" s="83" t="str">
        <f>HYPERLINK("https://twitter.com/zmendescomex/status/1690073646683893760")</f>
        <v>https://twitter.com/zmendescomex/status/1690073646683893760</v>
      </c>
      <c r="AF2360" s="79">
        <v>45149.786249999997</v>
      </c>
      <c r="AG2360" s="85">
        <v>45149</v>
      </c>
      <c r="AH2360" s="80" t="s">
        <v>12704</v>
      </c>
      <c r="AI2360" s="77" t="b">
        <v>0</v>
      </c>
      <c r="AJ2360" s="77"/>
      <c r="AK2360" s="77"/>
      <c r="AL2360" s="77"/>
      <c r="AM2360" s="77"/>
      <c r="AN2360" s="77"/>
      <c r="AO2360" s="77"/>
      <c r="AP2360" s="77"/>
      <c r="AQ2360" s="77"/>
      <c r="AR2360" s="77"/>
      <c r="AS2360" s="77"/>
      <c r="AT2360" s="77"/>
      <c r="AU2360" s="77"/>
      <c r="AV2360" s="83" t="str">
        <f>HYPERLINK("https://pbs.twimg.com/profile_images/1433891920628092964/JViEd2-N_normal.jpg")</f>
        <v>https://pbs.twimg.com/profile_images/1433891920628092964/JViEd2-N_normal.jpg</v>
      </c>
      <c r="AW2360" s="80" t="s">
        <v>18173</v>
      </c>
      <c r="AX2360" s="80" t="s">
        <v>18173</v>
      </c>
      <c r="AY2360" s="77"/>
      <c r="AZ2360" s="80" t="s">
        <v>20380</v>
      </c>
      <c r="BA2360" s="80" t="s">
        <v>20380</v>
      </c>
      <c r="BB2360" s="80" t="s">
        <v>20380</v>
      </c>
      <c r="BC2360" s="80" t="s">
        <v>18173</v>
      </c>
      <c r="BD2360" s="77">
        <v>95275391</v>
      </c>
      <c r="BE2360" s="77"/>
      <c r="BF2360" s="77"/>
      <c r="BG2360" s="77"/>
      <c r="BH2360" s="77"/>
      <c r="BI2360" s="77"/>
    </row>
    <row r="2361" spans="1:61" x14ac:dyDescent="0.25">
      <c r="A2361" s="62" t="s">
        <v>969</v>
      </c>
      <c r="B2361" s="62" t="s">
        <v>969</v>
      </c>
      <c r="C2361" s="63"/>
      <c r="D2361" s="64"/>
      <c r="E2361" s="65"/>
      <c r="F2361" s="66"/>
      <c r="G2361" s="63"/>
      <c r="H2361" s="67"/>
      <c r="I2361" s="68"/>
      <c r="J2361" s="68"/>
      <c r="K2361" s="32"/>
      <c r="L2361" s="75">
        <v>2361</v>
      </c>
      <c r="M2361" s="75"/>
      <c r="N2361" s="70"/>
      <c r="O2361" s="77" t="s">
        <v>179</v>
      </c>
      <c r="P2361" s="79">
        <v>45183.722337962965</v>
      </c>
      <c r="Q2361" s="77" t="s">
        <v>4182</v>
      </c>
      <c r="R2361" s="77">
        <v>0</v>
      </c>
      <c r="S2361" s="77">
        <v>0</v>
      </c>
      <c r="T2361" s="77">
        <v>0</v>
      </c>
      <c r="U2361" s="77">
        <v>0</v>
      </c>
      <c r="V2361" s="77">
        <v>43</v>
      </c>
      <c r="W2361" s="80" t="s">
        <v>7392</v>
      </c>
      <c r="X2361" s="77"/>
      <c r="Y2361" s="77"/>
      <c r="Z2361" s="77"/>
      <c r="AA2361" s="77" t="s">
        <v>9725</v>
      </c>
      <c r="AB2361" s="77" t="s">
        <v>10535</v>
      </c>
      <c r="AC2361" s="80" t="s">
        <v>10541</v>
      </c>
      <c r="AD2361" s="77" t="s">
        <v>10620</v>
      </c>
      <c r="AE2361" s="83" t="str">
        <f>HYPERLINK("https://twitter.com/gotvhonduras/status/1702371675621277739")</f>
        <v>https://twitter.com/gotvhonduras/status/1702371675621277739</v>
      </c>
      <c r="AF2361" s="79">
        <v>45183.722337962965</v>
      </c>
      <c r="AG2361" s="85">
        <v>45183</v>
      </c>
      <c r="AH2361" s="80" t="s">
        <v>12705</v>
      </c>
      <c r="AI2361" s="77" t="b">
        <v>0</v>
      </c>
      <c r="AJ2361" s="77"/>
      <c r="AK2361" s="77"/>
      <c r="AL2361" s="77"/>
      <c r="AM2361" s="77"/>
      <c r="AN2361" s="77"/>
      <c r="AO2361" s="77"/>
      <c r="AP2361" s="77"/>
      <c r="AQ2361" s="77" t="s">
        <v>15207</v>
      </c>
      <c r="AR2361" s="77"/>
      <c r="AS2361" s="77"/>
      <c r="AT2361" s="77"/>
      <c r="AU2361" s="77"/>
      <c r="AV2361" s="83" t="str">
        <f>HYPERLINK("https://pbs.twimg.com/media/F6AJdo9XMAECupF.jpg")</f>
        <v>https://pbs.twimg.com/media/F6AJdo9XMAECupF.jpg</v>
      </c>
      <c r="AW2361" s="80" t="s">
        <v>18174</v>
      </c>
      <c r="AX2361" s="80" t="s">
        <v>18174</v>
      </c>
      <c r="AY2361" s="77"/>
      <c r="AZ2361" s="80" t="s">
        <v>20380</v>
      </c>
      <c r="BA2361" s="80" t="s">
        <v>20380</v>
      </c>
      <c r="BB2361" s="80" t="s">
        <v>20380</v>
      </c>
      <c r="BC2361" s="80" t="s">
        <v>18174</v>
      </c>
      <c r="BD2361" s="77">
        <v>2762859710</v>
      </c>
      <c r="BE2361" s="77"/>
      <c r="BF2361" s="77"/>
      <c r="BG2361" s="77"/>
      <c r="BH2361" s="77"/>
      <c r="BI2361" s="77"/>
    </row>
    <row r="2362" spans="1:61" x14ac:dyDescent="0.25">
      <c r="A2362" s="62" t="s">
        <v>970</v>
      </c>
      <c r="B2362" s="62" t="s">
        <v>970</v>
      </c>
      <c r="C2362" s="63"/>
      <c r="D2362" s="64"/>
      <c r="E2362" s="65"/>
      <c r="F2362" s="66"/>
      <c r="G2362" s="63"/>
      <c r="H2362" s="67"/>
      <c r="I2362" s="68"/>
      <c r="J2362" s="68"/>
      <c r="K2362" s="32"/>
      <c r="L2362" s="75">
        <v>2362</v>
      </c>
      <c r="M2362" s="75"/>
      <c r="N2362" s="70"/>
      <c r="O2362" s="77" t="s">
        <v>2078</v>
      </c>
      <c r="P2362" s="79">
        <v>45072.612025462964</v>
      </c>
      <c r="Q2362" s="77" t="s">
        <v>4183</v>
      </c>
      <c r="R2362" s="77">
        <v>0</v>
      </c>
      <c r="S2362" s="77">
        <v>2</v>
      </c>
      <c r="T2362" s="77">
        <v>0</v>
      </c>
      <c r="U2362" s="77">
        <v>0</v>
      </c>
      <c r="V2362" s="77">
        <v>225</v>
      </c>
      <c r="W2362" s="80" t="s">
        <v>7393</v>
      </c>
      <c r="X2362" s="77"/>
      <c r="Y2362" s="77"/>
      <c r="Z2362" s="77"/>
      <c r="AA2362" s="77" t="s">
        <v>9726</v>
      </c>
      <c r="AB2362" s="77" t="s">
        <v>10534</v>
      </c>
      <c r="AC2362" s="80" t="s">
        <v>10542</v>
      </c>
      <c r="AD2362" s="77" t="s">
        <v>10619</v>
      </c>
      <c r="AE2362" s="83" t="str">
        <f>HYPERLINK("https://twitter.com/viaconstituyent/status/1662106645705416707")</f>
        <v>https://twitter.com/viaconstituyent/status/1662106645705416707</v>
      </c>
      <c r="AF2362" s="79">
        <v>45072.612025462964</v>
      </c>
      <c r="AG2362" s="85">
        <v>45072</v>
      </c>
      <c r="AH2362" s="80" t="s">
        <v>12706</v>
      </c>
      <c r="AI2362" s="77" t="b">
        <v>0</v>
      </c>
      <c r="AJ2362" s="77"/>
      <c r="AK2362" s="77"/>
      <c r="AL2362" s="77"/>
      <c r="AM2362" s="77"/>
      <c r="AN2362" s="77"/>
      <c r="AO2362" s="77"/>
      <c r="AP2362" s="77"/>
      <c r="AQ2362" s="77" t="s">
        <v>15208</v>
      </c>
      <c r="AR2362" s="77">
        <v>43826</v>
      </c>
      <c r="AS2362" s="77"/>
      <c r="AT2362" s="77"/>
      <c r="AU2362" s="77"/>
      <c r="AV2362" s="83" t="str">
        <f>HYPERLINK("https://pbs.twimg.com/ext_tw_video_thumb/1662106591112450051/pu/img/Tx95L2WNWRLRll4r.jpg")</f>
        <v>https://pbs.twimg.com/ext_tw_video_thumb/1662106591112450051/pu/img/Tx95L2WNWRLRll4r.jpg</v>
      </c>
      <c r="AW2362" s="80" t="s">
        <v>18175</v>
      </c>
      <c r="AX2362" s="80" t="s">
        <v>20060</v>
      </c>
      <c r="AY2362" s="80" t="s">
        <v>20311</v>
      </c>
      <c r="AZ2362" s="80" t="s">
        <v>20060</v>
      </c>
      <c r="BA2362" s="80" t="s">
        <v>20380</v>
      </c>
      <c r="BB2362" s="80" t="s">
        <v>20380</v>
      </c>
      <c r="BC2362" s="80" t="s">
        <v>20060</v>
      </c>
      <c r="BD2362" s="80" t="s">
        <v>20311</v>
      </c>
      <c r="BE2362" s="77"/>
      <c r="BF2362" s="77"/>
      <c r="BG2362" s="77"/>
      <c r="BH2362" s="77"/>
      <c r="BI2362" s="77"/>
    </row>
    <row r="2363" spans="1:61" x14ac:dyDescent="0.25">
      <c r="A2363" s="62" t="s">
        <v>971</v>
      </c>
      <c r="B2363" s="62" t="s">
        <v>1716</v>
      </c>
      <c r="C2363" s="63"/>
      <c r="D2363" s="64"/>
      <c r="E2363" s="65"/>
      <c r="F2363" s="66"/>
      <c r="G2363" s="63"/>
      <c r="H2363" s="67"/>
      <c r="I2363" s="68"/>
      <c r="J2363" s="68"/>
      <c r="K2363" s="32"/>
      <c r="L2363" s="75">
        <v>2363</v>
      </c>
      <c r="M2363" s="75"/>
      <c r="N2363" s="70"/>
      <c r="O2363" s="77" t="s">
        <v>2081</v>
      </c>
      <c r="P2363" s="79">
        <v>45139.002175925925</v>
      </c>
      <c r="Q2363" s="77" t="s">
        <v>4184</v>
      </c>
      <c r="R2363" s="77">
        <v>0</v>
      </c>
      <c r="S2363" s="77">
        <v>0</v>
      </c>
      <c r="T2363" s="77">
        <v>0</v>
      </c>
      <c r="U2363" s="77">
        <v>0</v>
      </c>
      <c r="V2363" s="77">
        <v>16</v>
      </c>
      <c r="W2363" s="80" t="s">
        <v>7394</v>
      </c>
      <c r="X2363" s="83" t="str">
        <f>HYPERLINK("https://billeteranews.com/lo-cotidiano/bcrd-realiza-una-pausa-en-el-ciclo-de-reducciones-de-su-tpm/")</f>
        <v>https://billeteranews.com/lo-cotidiano/bcrd-realiza-una-pausa-en-el-ciclo-de-reducciones-de-su-tpm/</v>
      </c>
      <c r="Y2363" s="77" t="s">
        <v>8782</v>
      </c>
      <c r="Z2363" s="77" t="s">
        <v>1716</v>
      </c>
      <c r="AA2363" s="77"/>
      <c r="AB2363" s="77"/>
      <c r="AC2363" s="80" t="s">
        <v>10542</v>
      </c>
      <c r="AD2363" s="77" t="s">
        <v>10620</v>
      </c>
      <c r="AE2363" s="83" t="str">
        <f>HYPERLINK("https://twitter.com/billeteranews/status/1686165631815569408")</f>
        <v>https://twitter.com/billeteranews/status/1686165631815569408</v>
      </c>
      <c r="AF2363" s="79">
        <v>45139.002175925925</v>
      </c>
      <c r="AG2363" s="85">
        <v>45139</v>
      </c>
      <c r="AH2363" s="80" t="s">
        <v>12707</v>
      </c>
      <c r="AI2363" s="77" t="b">
        <v>0</v>
      </c>
      <c r="AJ2363" s="77"/>
      <c r="AK2363" s="77"/>
      <c r="AL2363" s="77"/>
      <c r="AM2363" s="77"/>
      <c r="AN2363" s="77"/>
      <c r="AO2363" s="77"/>
      <c r="AP2363" s="77"/>
      <c r="AQ2363" s="77"/>
      <c r="AR2363" s="77"/>
      <c r="AS2363" s="77"/>
      <c r="AT2363" s="77"/>
      <c r="AU2363" s="77"/>
      <c r="AV2363" s="83" t="str">
        <f>HYPERLINK("https://pbs.twimg.com/profile_images/1435989929612521479/pihrpus1_normal.jpg")</f>
        <v>https://pbs.twimg.com/profile_images/1435989929612521479/pihrpus1_normal.jpg</v>
      </c>
      <c r="AW2363" s="80" t="s">
        <v>18176</v>
      </c>
      <c r="AX2363" s="80" t="s">
        <v>18176</v>
      </c>
      <c r="AY2363" s="77"/>
      <c r="AZ2363" s="80" t="s">
        <v>20380</v>
      </c>
      <c r="BA2363" s="80" t="s">
        <v>20380</v>
      </c>
      <c r="BB2363" s="80" t="s">
        <v>20380</v>
      </c>
      <c r="BC2363" s="80" t="s">
        <v>18176</v>
      </c>
      <c r="BD2363" s="80" t="s">
        <v>20856</v>
      </c>
      <c r="BE2363" s="77"/>
      <c r="BF2363" s="77"/>
      <c r="BG2363" s="77"/>
      <c r="BH2363" s="77"/>
      <c r="BI2363" s="77"/>
    </row>
    <row r="2364" spans="1:61" x14ac:dyDescent="0.25">
      <c r="A2364" s="62" t="s">
        <v>972</v>
      </c>
      <c r="B2364" s="62" t="s">
        <v>972</v>
      </c>
      <c r="C2364" s="63"/>
      <c r="D2364" s="64"/>
      <c r="E2364" s="65"/>
      <c r="F2364" s="66"/>
      <c r="G2364" s="63"/>
      <c r="H2364" s="67"/>
      <c r="I2364" s="68"/>
      <c r="J2364" s="68"/>
      <c r="K2364" s="32"/>
      <c r="L2364" s="75">
        <v>2364</v>
      </c>
      <c r="M2364" s="75"/>
      <c r="N2364" s="70"/>
      <c r="O2364" s="77" t="s">
        <v>179</v>
      </c>
      <c r="P2364" s="79">
        <v>45104.145960648151</v>
      </c>
      <c r="Q2364" s="77" t="s">
        <v>4185</v>
      </c>
      <c r="R2364" s="77">
        <v>0</v>
      </c>
      <c r="S2364" s="77">
        <v>0</v>
      </c>
      <c r="T2364" s="77">
        <v>0</v>
      </c>
      <c r="U2364" s="77">
        <v>0</v>
      </c>
      <c r="V2364" s="77">
        <v>72</v>
      </c>
      <c r="W2364" s="80" t="s">
        <v>7395</v>
      </c>
      <c r="X2364" s="83" t="str">
        <f>HYPERLINK("https://angelmetropolitano.com.mx/miembro-del-boj-recomendo-una-revision-de-la-curva-de-rendimientos-en-ultima-reunion/")</f>
        <v>https://angelmetropolitano.com.mx/miembro-del-boj-recomendo-una-revision-de-la-curva-de-rendimientos-en-ultima-reunion/</v>
      </c>
      <c r="Y2364" s="77" t="s">
        <v>8783</v>
      </c>
      <c r="Z2364" s="77"/>
      <c r="AA2364" s="77"/>
      <c r="AB2364" s="77"/>
      <c r="AC2364" s="80" t="s">
        <v>10552</v>
      </c>
      <c r="AD2364" s="77" t="s">
        <v>10620</v>
      </c>
      <c r="AE2364" s="83" t="str">
        <f>HYPERLINK("https://twitter.com/angelmetropoli/status/1673534160529416192")</f>
        <v>https://twitter.com/angelmetropoli/status/1673534160529416192</v>
      </c>
      <c r="AF2364" s="79">
        <v>45104.145960648151</v>
      </c>
      <c r="AG2364" s="85">
        <v>45104</v>
      </c>
      <c r="AH2364" s="80" t="s">
        <v>12708</v>
      </c>
      <c r="AI2364" s="77" t="b">
        <v>0</v>
      </c>
      <c r="AJ2364" s="77"/>
      <c r="AK2364" s="77"/>
      <c r="AL2364" s="77"/>
      <c r="AM2364" s="77"/>
      <c r="AN2364" s="77"/>
      <c r="AO2364" s="77"/>
      <c r="AP2364" s="77"/>
      <c r="AQ2364" s="77"/>
      <c r="AR2364" s="77"/>
      <c r="AS2364" s="77"/>
      <c r="AT2364" s="77"/>
      <c r="AU2364" s="77"/>
      <c r="AV2364" s="83" t="str">
        <f>HYPERLINK("https://pbs.twimg.com/profile_images/1675173440309829632/hrVcDaQJ_normal.jpg")</f>
        <v>https://pbs.twimg.com/profile_images/1675173440309829632/hrVcDaQJ_normal.jpg</v>
      </c>
      <c r="AW2364" s="80" t="s">
        <v>18177</v>
      </c>
      <c r="AX2364" s="80" t="s">
        <v>18177</v>
      </c>
      <c r="AY2364" s="77"/>
      <c r="AZ2364" s="80" t="s">
        <v>20380</v>
      </c>
      <c r="BA2364" s="80" t="s">
        <v>20380</v>
      </c>
      <c r="BB2364" s="80" t="s">
        <v>20380</v>
      </c>
      <c r="BC2364" s="80" t="s">
        <v>18177</v>
      </c>
      <c r="BD2364" s="80" t="s">
        <v>20857</v>
      </c>
      <c r="BE2364" s="77"/>
      <c r="BF2364" s="77"/>
      <c r="BG2364" s="77"/>
      <c r="BH2364" s="77"/>
      <c r="BI2364" s="77"/>
    </row>
    <row r="2365" spans="1:61" x14ac:dyDescent="0.25">
      <c r="A2365" s="62" t="s">
        <v>973</v>
      </c>
      <c r="B2365" s="62" t="s">
        <v>973</v>
      </c>
      <c r="C2365" s="63"/>
      <c r="D2365" s="64"/>
      <c r="E2365" s="65"/>
      <c r="F2365" s="66"/>
      <c r="G2365" s="63"/>
      <c r="H2365" s="67"/>
      <c r="I2365" s="68"/>
      <c r="J2365" s="68"/>
      <c r="K2365" s="32"/>
      <c r="L2365" s="75">
        <v>2365</v>
      </c>
      <c r="M2365" s="75"/>
      <c r="N2365" s="70"/>
      <c r="O2365" s="77" t="s">
        <v>179</v>
      </c>
      <c r="P2365" s="79">
        <v>45055.447268518517</v>
      </c>
      <c r="Q2365" s="77" t="s">
        <v>4186</v>
      </c>
      <c r="R2365" s="77">
        <v>0</v>
      </c>
      <c r="S2365" s="77">
        <v>0</v>
      </c>
      <c r="T2365" s="77">
        <v>0</v>
      </c>
      <c r="U2365" s="77">
        <v>0</v>
      </c>
      <c r="V2365" s="77">
        <v>8</v>
      </c>
      <c r="W2365" s="80" t="s">
        <v>7396</v>
      </c>
      <c r="X2365" s="83" t="str">
        <f>HYPERLINK("https://www.instagram.com/reel/CsBOa7Ws8ZG/?igshid=NjZiM2M3MzIxNA==")</f>
        <v>https://www.instagram.com/reel/CsBOa7Ws8ZG/?igshid=NjZiM2M3MzIxNA==</v>
      </c>
      <c r="Y2365" s="77" t="s">
        <v>8630</v>
      </c>
      <c r="Z2365" s="77"/>
      <c r="AA2365" s="77"/>
      <c r="AB2365" s="77"/>
      <c r="AC2365" s="80" t="s">
        <v>10540</v>
      </c>
      <c r="AD2365" s="77" t="s">
        <v>10617</v>
      </c>
      <c r="AE2365" s="83" t="str">
        <f>HYPERLINK("https://twitter.com/arquimedesopc/status/1655886345003323392")</f>
        <v>https://twitter.com/arquimedesopc/status/1655886345003323392</v>
      </c>
      <c r="AF2365" s="79">
        <v>45055.447268518517</v>
      </c>
      <c r="AG2365" s="85">
        <v>45055</v>
      </c>
      <c r="AH2365" s="80" t="s">
        <v>12709</v>
      </c>
      <c r="AI2365" s="77" t="b">
        <v>0</v>
      </c>
      <c r="AJ2365" s="77"/>
      <c r="AK2365" s="77"/>
      <c r="AL2365" s="77"/>
      <c r="AM2365" s="77"/>
      <c r="AN2365" s="77"/>
      <c r="AO2365" s="77"/>
      <c r="AP2365" s="77"/>
      <c r="AQ2365" s="77"/>
      <c r="AR2365" s="77"/>
      <c r="AS2365" s="77"/>
      <c r="AT2365" s="77"/>
      <c r="AU2365" s="77"/>
      <c r="AV2365" s="83" t="str">
        <f>HYPERLINK("https://pbs.twimg.com/profile_images/1669036436341809167/FGna8Th4_normal.jpg")</f>
        <v>https://pbs.twimg.com/profile_images/1669036436341809167/FGna8Th4_normal.jpg</v>
      </c>
      <c r="AW2365" s="80" t="s">
        <v>18178</v>
      </c>
      <c r="AX2365" s="80" t="s">
        <v>18178</v>
      </c>
      <c r="AY2365" s="77"/>
      <c r="AZ2365" s="80" t="s">
        <v>20380</v>
      </c>
      <c r="BA2365" s="80" t="s">
        <v>20380</v>
      </c>
      <c r="BB2365" s="80" t="s">
        <v>20380</v>
      </c>
      <c r="BC2365" s="80" t="s">
        <v>18178</v>
      </c>
      <c r="BD2365" s="77">
        <v>43867517</v>
      </c>
      <c r="BE2365" s="77"/>
      <c r="BF2365" s="77"/>
      <c r="BG2365" s="77"/>
      <c r="BH2365" s="77"/>
      <c r="BI2365" s="77"/>
    </row>
    <row r="2366" spans="1:61" x14ac:dyDescent="0.25">
      <c r="A2366" s="62" t="s">
        <v>974</v>
      </c>
      <c r="B2366" s="62" t="s">
        <v>1125</v>
      </c>
      <c r="C2366" s="63"/>
      <c r="D2366" s="64"/>
      <c r="E2366" s="65"/>
      <c r="F2366" s="66"/>
      <c r="G2366" s="63"/>
      <c r="H2366" s="67"/>
      <c r="I2366" s="68"/>
      <c r="J2366" s="68"/>
      <c r="K2366" s="32"/>
      <c r="L2366" s="75">
        <v>2366</v>
      </c>
      <c r="M2366" s="75"/>
      <c r="N2366" s="70"/>
      <c r="O2366" s="77" t="s">
        <v>2082</v>
      </c>
      <c r="P2366" s="79">
        <v>45191.788923611108</v>
      </c>
      <c r="Q2366" s="77" t="s">
        <v>4187</v>
      </c>
      <c r="R2366" s="77">
        <v>0</v>
      </c>
      <c r="S2366" s="77">
        <v>0</v>
      </c>
      <c r="T2366" s="77">
        <v>0</v>
      </c>
      <c r="U2366" s="77">
        <v>0</v>
      </c>
      <c r="V2366" s="77">
        <v>10</v>
      </c>
      <c r="W2366" s="80" t="s">
        <v>5884</v>
      </c>
      <c r="X2366" s="77"/>
      <c r="Y2366" s="77"/>
      <c r="Z2366" s="77"/>
      <c r="AA2366" s="77"/>
      <c r="AB2366" s="77"/>
      <c r="AC2366" s="80" t="s">
        <v>10542</v>
      </c>
      <c r="AD2366" s="77" t="s">
        <v>10620</v>
      </c>
      <c r="AE2366" s="83" t="str">
        <f>HYPERLINK("https://twitter.com/fesperanzada/status/1705294907886194978")</f>
        <v>https://twitter.com/fesperanzada/status/1705294907886194978</v>
      </c>
      <c r="AF2366" s="79">
        <v>45191.788923611108</v>
      </c>
      <c r="AG2366" s="85">
        <v>45191</v>
      </c>
      <c r="AH2366" s="80" t="s">
        <v>12710</v>
      </c>
      <c r="AI2366" s="77"/>
      <c r="AJ2366" s="77"/>
      <c r="AK2366" s="77"/>
      <c r="AL2366" s="77"/>
      <c r="AM2366" s="77"/>
      <c r="AN2366" s="77"/>
      <c r="AO2366" s="77"/>
      <c r="AP2366" s="77"/>
      <c r="AQ2366" s="77"/>
      <c r="AR2366" s="77"/>
      <c r="AS2366" s="77"/>
      <c r="AT2366" s="77"/>
      <c r="AU2366" s="77"/>
      <c r="AV2366" s="83" t="str">
        <f>HYPERLINK("https://pbs.twimg.com/profile_images/1205177278981902336/vpaN01ru_normal.jpg")</f>
        <v>https://pbs.twimg.com/profile_images/1205177278981902336/vpaN01ru_normal.jpg</v>
      </c>
      <c r="AW2366" s="80" t="s">
        <v>18179</v>
      </c>
      <c r="AX2366" s="80" t="s">
        <v>18179</v>
      </c>
      <c r="AY2366" s="77"/>
      <c r="AZ2366" s="80" t="s">
        <v>20380</v>
      </c>
      <c r="BA2366" s="80" t="s">
        <v>18477</v>
      </c>
      <c r="BB2366" s="80" t="s">
        <v>20380</v>
      </c>
      <c r="BC2366" s="80" t="s">
        <v>18477</v>
      </c>
      <c r="BD2366" s="80" t="s">
        <v>20858</v>
      </c>
      <c r="BE2366" s="77"/>
      <c r="BF2366" s="77"/>
      <c r="BG2366" s="77"/>
      <c r="BH2366" s="77"/>
      <c r="BI2366" s="77"/>
    </row>
    <row r="2367" spans="1:61" x14ac:dyDescent="0.25">
      <c r="A2367" s="62" t="s">
        <v>975</v>
      </c>
      <c r="B2367" s="62" t="s">
        <v>975</v>
      </c>
      <c r="C2367" s="63"/>
      <c r="D2367" s="64"/>
      <c r="E2367" s="65"/>
      <c r="F2367" s="66"/>
      <c r="G2367" s="63"/>
      <c r="H2367" s="67"/>
      <c r="I2367" s="68"/>
      <c r="J2367" s="68"/>
      <c r="K2367" s="32"/>
      <c r="L2367" s="75">
        <v>2367</v>
      </c>
      <c r="M2367" s="75"/>
      <c r="N2367" s="70"/>
      <c r="O2367" s="77" t="s">
        <v>179</v>
      </c>
      <c r="P2367" s="79">
        <v>45098.489421296297</v>
      </c>
      <c r="Q2367" s="77" t="s">
        <v>4188</v>
      </c>
      <c r="R2367" s="77">
        <v>0</v>
      </c>
      <c r="S2367" s="77">
        <v>0</v>
      </c>
      <c r="T2367" s="77">
        <v>0</v>
      </c>
      <c r="U2367" s="77">
        <v>0</v>
      </c>
      <c r="V2367" s="77">
        <v>15</v>
      </c>
      <c r="W2367" s="80" t="s">
        <v>6199</v>
      </c>
      <c r="X2367" s="77"/>
      <c r="Y2367" s="77"/>
      <c r="Z2367" s="77"/>
      <c r="AA2367" s="77"/>
      <c r="AB2367" s="77"/>
      <c r="AC2367" s="80" t="s">
        <v>10542</v>
      </c>
      <c r="AD2367" s="77" t="s">
        <v>10620</v>
      </c>
      <c r="AE2367" s="83" t="str">
        <f>HYPERLINK("https://twitter.com/alcantararaimy/status/1671484300670140416")</f>
        <v>https://twitter.com/alcantararaimy/status/1671484300670140416</v>
      </c>
      <c r="AF2367" s="79">
        <v>45098.489421296297</v>
      </c>
      <c r="AG2367" s="85">
        <v>45098</v>
      </c>
      <c r="AH2367" s="80" t="s">
        <v>12711</v>
      </c>
      <c r="AI2367" s="77"/>
      <c r="AJ2367" s="77"/>
      <c r="AK2367" s="77"/>
      <c r="AL2367" s="77"/>
      <c r="AM2367" s="77"/>
      <c r="AN2367" s="77"/>
      <c r="AO2367" s="77"/>
      <c r="AP2367" s="77"/>
      <c r="AQ2367" s="77"/>
      <c r="AR2367" s="77"/>
      <c r="AS2367" s="77"/>
      <c r="AT2367" s="77"/>
      <c r="AU2367" s="77"/>
      <c r="AV2367" s="83" t="str">
        <f>HYPERLINK("https://pbs.twimg.com/profile_images/1496257848204054530/FX7pGh9G_normal.jpg")</f>
        <v>https://pbs.twimg.com/profile_images/1496257848204054530/FX7pGh9G_normal.jpg</v>
      </c>
      <c r="AW2367" s="80" t="s">
        <v>18180</v>
      </c>
      <c r="AX2367" s="80" t="s">
        <v>18180</v>
      </c>
      <c r="AY2367" s="77"/>
      <c r="AZ2367" s="80" t="s">
        <v>20380</v>
      </c>
      <c r="BA2367" s="80" t="s">
        <v>20380</v>
      </c>
      <c r="BB2367" s="80" t="s">
        <v>20380</v>
      </c>
      <c r="BC2367" s="80" t="s">
        <v>18180</v>
      </c>
      <c r="BD2367" s="77">
        <v>2994615995</v>
      </c>
      <c r="BE2367" s="77"/>
      <c r="BF2367" s="77"/>
      <c r="BG2367" s="77"/>
      <c r="BH2367" s="77"/>
      <c r="BI2367" s="77"/>
    </row>
    <row r="2368" spans="1:61" x14ac:dyDescent="0.25">
      <c r="A2368" s="62" t="s">
        <v>976</v>
      </c>
      <c r="B2368" s="62" t="s">
        <v>976</v>
      </c>
      <c r="C2368" s="63"/>
      <c r="D2368" s="64"/>
      <c r="E2368" s="65"/>
      <c r="F2368" s="66"/>
      <c r="G2368" s="63"/>
      <c r="H2368" s="67"/>
      <c r="I2368" s="68"/>
      <c r="J2368" s="68"/>
      <c r="K2368" s="32"/>
      <c r="L2368" s="75">
        <v>2368</v>
      </c>
      <c r="M2368" s="75"/>
      <c r="N2368" s="70"/>
      <c r="O2368" s="77" t="s">
        <v>179</v>
      </c>
      <c r="P2368" s="79">
        <v>45078.731539351851</v>
      </c>
      <c r="Q2368" s="77" t="s">
        <v>4189</v>
      </c>
      <c r="R2368" s="77">
        <v>0</v>
      </c>
      <c r="S2368" s="77">
        <v>0</v>
      </c>
      <c r="T2368" s="77">
        <v>3</v>
      </c>
      <c r="U2368" s="77">
        <v>0</v>
      </c>
      <c r="V2368" s="77">
        <v>59</v>
      </c>
      <c r="W2368" s="80" t="s">
        <v>7397</v>
      </c>
      <c r="X2368" s="77"/>
      <c r="Y2368" s="77"/>
      <c r="Z2368" s="77"/>
      <c r="AA2368" s="77" t="s">
        <v>9727</v>
      </c>
      <c r="AB2368" s="77" t="s">
        <v>10537</v>
      </c>
      <c r="AC2368" s="80" t="s">
        <v>10541</v>
      </c>
      <c r="AD2368" s="77" t="s">
        <v>10617</v>
      </c>
      <c r="AE2368" s="83" t="str">
        <f>HYPERLINK("https://twitter.com/conciergebtc/status/1664324281835175954")</f>
        <v>https://twitter.com/conciergebtc/status/1664324281835175954</v>
      </c>
      <c r="AF2368" s="79">
        <v>45078.731539351851</v>
      </c>
      <c r="AG2368" s="85">
        <v>45078</v>
      </c>
      <c r="AH2368" s="80" t="s">
        <v>12712</v>
      </c>
      <c r="AI2368" s="77" t="b">
        <v>0</v>
      </c>
      <c r="AJ2368" s="77"/>
      <c r="AK2368" s="77"/>
      <c r="AL2368" s="77"/>
      <c r="AM2368" s="77"/>
      <c r="AN2368" s="77"/>
      <c r="AO2368" s="77"/>
      <c r="AP2368" s="77"/>
      <c r="AQ2368" s="77" t="s">
        <v>15209</v>
      </c>
      <c r="AR2368" s="77"/>
      <c r="AS2368" s="77"/>
      <c r="AT2368" s="77"/>
      <c r="AU2368" s="77"/>
      <c r="AV2368" s="83" t="str">
        <f>HYPERLINK("https://pbs.twimg.com/media/FxjdfLrXwBsBSLv.jpg")</f>
        <v>https://pbs.twimg.com/media/FxjdfLrXwBsBSLv.jpg</v>
      </c>
      <c r="AW2368" s="80" t="s">
        <v>18181</v>
      </c>
      <c r="AX2368" s="80" t="s">
        <v>18181</v>
      </c>
      <c r="AY2368" s="77"/>
      <c r="AZ2368" s="80" t="s">
        <v>20380</v>
      </c>
      <c r="BA2368" s="80" t="s">
        <v>20380</v>
      </c>
      <c r="BB2368" s="80" t="s">
        <v>20380</v>
      </c>
      <c r="BC2368" s="80" t="s">
        <v>18181</v>
      </c>
      <c r="BD2368" s="80" t="s">
        <v>20859</v>
      </c>
      <c r="BE2368" s="77"/>
      <c r="BF2368" s="77"/>
      <c r="BG2368" s="77"/>
      <c r="BH2368" s="77"/>
      <c r="BI2368" s="77"/>
    </row>
    <row r="2369" spans="1:61" x14ac:dyDescent="0.25">
      <c r="A2369" s="62" t="s">
        <v>976</v>
      </c>
      <c r="B2369" s="62" t="s">
        <v>976</v>
      </c>
      <c r="C2369" s="63"/>
      <c r="D2369" s="64"/>
      <c r="E2369" s="65"/>
      <c r="F2369" s="66"/>
      <c r="G2369" s="63"/>
      <c r="H2369" s="67"/>
      <c r="I2369" s="68"/>
      <c r="J2369" s="68"/>
      <c r="K2369" s="32"/>
      <c r="L2369" s="75">
        <v>2369</v>
      </c>
      <c r="M2369" s="75"/>
      <c r="N2369" s="70"/>
      <c r="O2369" s="77" t="s">
        <v>179</v>
      </c>
      <c r="P2369" s="79">
        <v>45076.774918981479</v>
      </c>
      <c r="Q2369" s="77" t="s">
        <v>4190</v>
      </c>
      <c r="R2369" s="77">
        <v>1</v>
      </c>
      <c r="S2369" s="77">
        <v>3</v>
      </c>
      <c r="T2369" s="77">
        <v>2</v>
      </c>
      <c r="U2369" s="77">
        <v>0</v>
      </c>
      <c r="V2369" s="77">
        <v>124</v>
      </c>
      <c r="W2369" s="80" t="s">
        <v>7398</v>
      </c>
      <c r="X2369" s="77"/>
      <c r="Y2369" s="77"/>
      <c r="Z2369" s="77"/>
      <c r="AA2369" s="77" t="s">
        <v>9728</v>
      </c>
      <c r="AB2369" s="77" t="s">
        <v>10535</v>
      </c>
      <c r="AC2369" s="80" t="s">
        <v>10542</v>
      </c>
      <c r="AD2369" s="77" t="s">
        <v>10617</v>
      </c>
      <c r="AE2369" s="83" t="str">
        <f>HYPERLINK("https://twitter.com/conciergebtc/status/1663615229442379777")</f>
        <v>https://twitter.com/conciergebtc/status/1663615229442379777</v>
      </c>
      <c r="AF2369" s="79">
        <v>45076.774918981479</v>
      </c>
      <c r="AG2369" s="85">
        <v>45076</v>
      </c>
      <c r="AH2369" s="80" t="s">
        <v>12713</v>
      </c>
      <c r="AI2369" s="77" t="b">
        <v>0</v>
      </c>
      <c r="AJ2369" s="77"/>
      <c r="AK2369" s="77"/>
      <c r="AL2369" s="77"/>
      <c r="AM2369" s="77"/>
      <c r="AN2369" s="77"/>
      <c r="AO2369" s="77"/>
      <c r="AP2369" s="77"/>
      <c r="AQ2369" s="77" t="s">
        <v>15210</v>
      </c>
      <c r="AR2369" s="77"/>
      <c r="AS2369" s="77"/>
      <c r="AT2369" s="77"/>
      <c r="AU2369" s="77"/>
      <c r="AV2369" s="83" t="str">
        <f>HYPERLINK("https://pbs.twimg.com/media/FxZZOkfXwAA1MuP.jpg")</f>
        <v>https://pbs.twimg.com/media/FxZZOkfXwAA1MuP.jpg</v>
      </c>
      <c r="AW2369" s="80" t="s">
        <v>18182</v>
      </c>
      <c r="AX2369" s="80" t="s">
        <v>18182</v>
      </c>
      <c r="AY2369" s="77"/>
      <c r="AZ2369" s="80" t="s">
        <v>20380</v>
      </c>
      <c r="BA2369" s="80" t="s">
        <v>20380</v>
      </c>
      <c r="BB2369" s="80" t="s">
        <v>20380</v>
      </c>
      <c r="BC2369" s="80" t="s">
        <v>18182</v>
      </c>
      <c r="BD2369" s="80" t="s">
        <v>20859</v>
      </c>
      <c r="BE2369" s="77"/>
      <c r="BF2369" s="77"/>
      <c r="BG2369" s="77"/>
      <c r="BH2369" s="77"/>
      <c r="BI2369" s="77"/>
    </row>
    <row r="2370" spans="1:61" x14ac:dyDescent="0.25">
      <c r="A2370" s="62" t="s">
        <v>977</v>
      </c>
      <c r="B2370" s="62" t="s">
        <v>977</v>
      </c>
      <c r="C2370" s="63"/>
      <c r="D2370" s="64"/>
      <c r="E2370" s="65"/>
      <c r="F2370" s="66"/>
      <c r="G2370" s="63"/>
      <c r="H2370" s="67"/>
      <c r="I2370" s="68"/>
      <c r="J2370" s="68"/>
      <c r="K2370" s="32"/>
      <c r="L2370" s="75">
        <v>2370</v>
      </c>
      <c r="M2370" s="75"/>
      <c r="N2370" s="70"/>
      <c r="O2370" s="77" t="s">
        <v>179</v>
      </c>
      <c r="P2370" s="79">
        <v>45051.813888888886</v>
      </c>
      <c r="Q2370" s="77" t="s">
        <v>4191</v>
      </c>
      <c r="R2370" s="77">
        <v>0</v>
      </c>
      <c r="S2370" s="77">
        <v>1</v>
      </c>
      <c r="T2370" s="77">
        <v>0</v>
      </c>
      <c r="U2370" s="77">
        <v>0</v>
      </c>
      <c r="V2370" s="77">
        <v>278</v>
      </c>
      <c r="W2370" s="80" t="s">
        <v>7399</v>
      </c>
      <c r="X2370" s="83" t="str">
        <f>HYPERLINK("https://bit.ly/3M2779C")</f>
        <v>https://bit.ly/3M2779C</v>
      </c>
      <c r="Y2370" s="77" t="s">
        <v>8618</v>
      </c>
      <c r="Z2370" s="77"/>
      <c r="AA2370" s="77"/>
      <c r="AB2370" s="77"/>
      <c r="AC2370" s="80" t="s">
        <v>10541</v>
      </c>
      <c r="AD2370" s="77" t="s">
        <v>10617</v>
      </c>
      <c r="AE2370" s="83" t="str">
        <f>HYPERLINK("https://twitter.com/tribunapr/status/1654569652511739904")</f>
        <v>https://twitter.com/tribunapr/status/1654569652511739904</v>
      </c>
      <c r="AF2370" s="79">
        <v>45051.813888888886</v>
      </c>
      <c r="AG2370" s="85">
        <v>45051</v>
      </c>
      <c r="AH2370" s="80" t="s">
        <v>12714</v>
      </c>
      <c r="AI2370" s="77" t="b">
        <v>0</v>
      </c>
      <c r="AJ2370" s="77"/>
      <c r="AK2370" s="77"/>
      <c r="AL2370" s="77"/>
      <c r="AM2370" s="77"/>
      <c r="AN2370" s="77"/>
      <c r="AO2370" s="77"/>
      <c r="AP2370" s="77"/>
      <c r="AQ2370" s="77"/>
      <c r="AR2370" s="77"/>
      <c r="AS2370" s="77"/>
      <c r="AT2370" s="77"/>
      <c r="AU2370" s="77"/>
      <c r="AV2370" s="83" t="str">
        <f>HYPERLINK("https://pbs.twimg.com/profile_images/1686713603594887169/OW65LBQv_normal.jpg")</f>
        <v>https://pbs.twimg.com/profile_images/1686713603594887169/OW65LBQv_normal.jpg</v>
      </c>
      <c r="AW2370" s="80" t="s">
        <v>18183</v>
      </c>
      <c r="AX2370" s="80" t="s">
        <v>18183</v>
      </c>
      <c r="AY2370" s="77"/>
      <c r="AZ2370" s="80" t="s">
        <v>20380</v>
      </c>
      <c r="BA2370" s="80" t="s">
        <v>20380</v>
      </c>
      <c r="BB2370" s="80" t="s">
        <v>20380</v>
      </c>
      <c r="BC2370" s="80" t="s">
        <v>18183</v>
      </c>
      <c r="BD2370" s="77">
        <v>112786548</v>
      </c>
      <c r="BE2370" s="77"/>
      <c r="BF2370" s="77"/>
      <c r="BG2370" s="77"/>
      <c r="BH2370" s="77"/>
      <c r="BI2370" s="77"/>
    </row>
    <row r="2371" spans="1:61" x14ac:dyDescent="0.25">
      <c r="A2371" s="62" t="s">
        <v>977</v>
      </c>
      <c r="B2371" s="62" t="s">
        <v>977</v>
      </c>
      <c r="C2371" s="63"/>
      <c r="D2371" s="64"/>
      <c r="E2371" s="65"/>
      <c r="F2371" s="66"/>
      <c r="G2371" s="63"/>
      <c r="H2371" s="67"/>
      <c r="I2371" s="68"/>
      <c r="J2371" s="68"/>
      <c r="K2371" s="32"/>
      <c r="L2371" s="75">
        <v>2371</v>
      </c>
      <c r="M2371" s="75"/>
      <c r="N2371" s="70"/>
      <c r="O2371" s="77" t="s">
        <v>179</v>
      </c>
      <c r="P2371" s="79">
        <v>45148.862905092596</v>
      </c>
      <c r="Q2371" s="77" t="s">
        <v>4192</v>
      </c>
      <c r="R2371" s="77">
        <v>0</v>
      </c>
      <c r="S2371" s="77">
        <v>0</v>
      </c>
      <c r="T2371" s="77">
        <v>0</v>
      </c>
      <c r="U2371" s="77">
        <v>0</v>
      </c>
      <c r="V2371" s="77">
        <v>289</v>
      </c>
      <c r="W2371" s="80" t="s">
        <v>7400</v>
      </c>
      <c r="X2371" s="83" t="str">
        <f>HYPERLINK("https://bit.ly/3DRKvUg")</f>
        <v>https://bit.ly/3DRKvUg</v>
      </c>
      <c r="Y2371" s="77" t="s">
        <v>8618</v>
      </c>
      <c r="Z2371" s="77"/>
      <c r="AA2371" s="77"/>
      <c r="AB2371" s="77"/>
      <c r="AC2371" s="80" t="s">
        <v>10541</v>
      </c>
      <c r="AD2371" s="77" t="s">
        <v>10617</v>
      </c>
      <c r="AE2371" s="83" t="str">
        <f>HYPERLINK("https://twitter.com/tribunapr/status/1689739040323444738")</f>
        <v>https://twitter.com/tribunapr/status/1689739040323444738</v>
      </c>
      <c r="AF2371" s="79">
        <v>45148.862905092596</v>
      </c>
      <c r="AG2371" s="85">
        <v>45148</v>
      </c>
      <c r="AH2371" s="80" t="s">
        <v>12715</v>
      </c>
      <c r="AI2371" s="77" t="b">
        <v>0</v>
      </c>
      <c r="AJ2371" s="77"/>
      <c r="AK2371" s="77"/>
      <c r="AL2371" s="77"/>
      <c r="AM2371" s="77"/>
      <c r="AN2371" s="77"/>
      <c r="AO2371" s="77"/>
      <c r="AP2371" s="77"/>
      <c r="AQ2371" s="77"/>
      <c r="AR2371" s="77"/>
      <c r="AS2371" s="77"/>
      <c r="AT2371" s="77"/>
      <c r="AU2371" s="77"/>
      <c r="AV2371" s="83" t="str">
        <f>HYPERLINK("https://pbs.twimg.com/profile_images/1686713603594887169/OW65LBQv_normal.jpg")</f>
        <v>https://pbs.twimg.com/profile_images/1686713603594887169/OW65LBQv_normal.jpg</v>
      </c>
      <c r="AW2371" s="80" t="s">
        <v>18184</v>
      </c>
      <c r="AX2371" s="80" t="s">
        <v>18184</v>
      </c>
      <c r="AY2371" s="77"/>
      <c r="AZ2371" s="80" t="s">
        <v>20380</v>
      </c>
      <c r="BA2371" s="80" t="s">
        <v>20380</v>
      </c>
      <c r="BB2371" s="80" t="s">
        <v>20380</v>
      </c>
      <c r="BC2371" s="80" t="s">
        <v>18184</v>
      </c>
      <c r="BD2371" s="77">
        <v>112786548</v>
      </c>
      <c r="BE2371" s="77"/>
      <c r="BF2371" s="77"/>
      <c r="BG2371" s="77"/>
      <c r="BH2371" s="77"/>
      <c r="BI2371" s="77"/>
    </row>
    <row r="2372" spans="1:61" x14ac:dyDescent="0.25">
      <c r="A2372" s="62" t="s">
        <v>978</v>
      </c>
      <c r="B2372" s="62" t="s">
        <v>978</v>
      </c>
      <c r="C2372" s="63"/>
      <c r="D2372" s="64"/>
      <c r="E2372" s="65"/>
      <c r="F2372" s="66"/>
      <c r="G2372" s="63"/>
      <c r="H2372" s="67"/>
      <c r="I2372" s="68"/>
      <c r="J2372" s="68"/>
      <c r="K2372" s="32"/>
      <c r="L2372" s="75">
        <v>2372</v>
      </c>
      <c r="M2372" s="75"/>
      <c r="N2372" s="70"/>
      <c r="O2372" s="77" t="s">
        <v>179</v>
      </c>
      <c r="P2372" s="79">
        <v>45164.202824074076</v>
      </c>
      <c r="Q2372" s="77" t="s">
        <v>4193</v>
      </c>
      <c r="R2372" s="77">
        <v>0</v>
      </c>
      <c r="S2372" s="77">
        <v>0</v>
      </c>
      <c r="T2372" s="77">
        <v>0</v>
      </c>
      <c r="U2372" s="77">
        <v>0</v>
      </c>
      <c r="V2372" s="77">
        <v>35</v>
      </c>
      <c r="W2372" s="80" t="s">
        <v>7401</v>
      </c>
      <c r="X2372" s="77"/>
      <c r="Y2372" s="77"/>
      <c r="Z2372" s="77"/>
      <c r="AA2372" s="77" t="s">
        <v>9729</v>
      </c>
      <c r="AB2372" s="77" t="s">
        <v>10534</v>
      </c>
      <c r="AC2372" s="80" t="s">
        <v>10540</v>
      </c>
      <c r="AD2372" s="77" t="s">
        <v>10620</v>
      </c>
      <c r="AE2372" s="83" t="str">
        <f>HYPERLINK("https://twitter.com/ragodiaz/status/1695298038070460454")</f>
        <v>https://twitter.com/ragodiaz/status/1695298038070460454</v>
      </c>
      <c r="AF2372" s="79">
        <v>45164.202824074076</v>
      </c>
      <c r="AG2372" s="85">
        <v>45164</v>
      </c>
      <c r="AH2372" s="80" t="s">
        <v>12716</v>
      </c>
      <c r="AI2372" s="77" t="b">
        <v>0</v>
      </c>
      <c r="AJ2372" s="77"/>
      <c r="AK2372" s="77"/>
      <c r="AL2372" s="77"/>
      <c r="AM2372" s="77"/>
      <c r="AN2372" s="77"/>
      <c r="AO2372" s="77"/>
      <c r="AP2372" s="77"/>
      <c r="AQ2372" s="77" t="s">
        <v>15211</v>
      </c>
      <c r="AR2372" s="77">
        <v>28033</v>
      </c>
      <c r="AS2372" s="77"/>
      <c r="AT2372" s="77"/>
      <c r="AU2372" s="77"/>
      <c r="AV2372" s="83" t="str">
        <f>HYPERLINK("https://pbs.twimg.com/ext_tw_video_thumb/1695298001546457090/pu/img/ylRQ4i3XoNHQSgUw.jpg")</f>
        <v>https://pbs.twimg.com/ext_tw_video_thumb/1695298001546457090/pu/img/ylRQ4i3XoNHQSgUw.jpg</v>
      </c>
      <c r="AW2372" s="80" t="s">
        <v>18185</v>
      </c>
      <c r="AX2372" s="80" t="s">
        <v>18185</v>
      </c>
      <c r="AY2372" s="77"/>
      <c r="AZ2372" s="80" t="s">
        <v>20380</v>
      </c>
      <c r="BA2372" s="80" t="s">
        <v>20380</v>
      </c>
      <c r="BB2372" s="80" t="s">
        <v>20380</v>
      </c>
      <c r="BC2372" s="80" t="s">
        <v>18185</v>
      </c>
      <c r="BD2372" s="77">
        <v>157728236</v>
      </c>
      <c r="BE2372" s="77"/>
      <c r="BF2372" s="77"/>
      <c r="BG2372" s="77"/>
      <c r="BH2372" s="77"/>
      <c r="BI2372" s="77"/>
    </row>
    <row r="2373" spans="1:61" x14ac:dyDescent="0.25">
      <c r="A2373" s="62" t="s">
        <v>979</v>
      </c>
      <c r="B2373" s="62" t="s">
        <v>1655</v>
      </c>
      <c r="C2373" s="63"/>
      <c r="D2373" s="64"/>
      <c r="E2373" s="65"/>
      <c r="F2373" s="66"/>
      <c r="G2373" s="63"/>
      <c r="H2373" s="67"/>
      <c r="I2373" s="68"/>
      <c r="J2373" s="68"/>
      <c r="K2373" s="32"/>
      <c r="L2373" s="75">
        <v>2373</v>
      </c>
      <c r="M2373" s="75"/>
      <c r="N2373" s="70"/>
      <c r="O2373" s="77" t="s">
        <v>2083</v>
      </c>
      <c r="P2373" s="79">
        <v>45191.514201388891</v>
      </c>
      <c r="Q2373" s="77" t="s">
        <v>2120</v>
      </c>
      <c r="R2373" s="77">
        <v>57</v>
      </c>
      <c r="S2373" s="77">
        <v>0</v>
      </c>
      <c r="T2373" s="77">
        <v>0</v>
      </c>
      <c r="U2373" s="77">
        <v>0</v>
      </c>
      <c r="V2373" s="77"/>
      <c r="W2373" s="80" t="s">
        <v>5917</v>
      </c>
      <c r="X2373" s="77"/>
      <c r="Y2373" s="77"/>
      <c r="Z2373" s="77" t="s">
        <v>1655</v>
      </c>
      <c r="AA2373" s="77"/>
      <c r="AB2373" s="77"/>
      <c r="AC2373" s="80" t="s">
        <v>10540</v>
      </c>
      <c r="AD2373" s="77" t="s">
        <v>10617</v>
      </c>
      <c r="AE2373" s="83" t="str">
        <f>HYPERLINK("https://twitter.com/ronaldo21071985/status/1705195351035072999")</f>
        <v>https://twitter.com/ronaldo21071985/status/1705195351035072999</v>
      </c>
      <c r="AF2373" s="79">
        <v>45191.514201388891</v>
      </c>
      <c r="AG2373" s="85">
        <v>45191</v>
      </c>
      <c r="AH2373" s="80" t="s">
        <v>12717</v>
      </c>
      <c r="AI2373" s="77"/>
      <c r="AJ2373" s="77"/>
      <c r="AK2373" s="77"/>
      <c r="AL2373" s="77"/>
      <c r="AM2373" s="77"/>
      <c r="AN2373" s="77"/>
      <c r="AO2373" s="77"/>
      <c r="AP2373" s="77"/>
      <c r="AQ2373" s="77"/>
      <c r="AR2373" s="77"/>
      <c r="AS2373" s="77"/>
      <c r="AT2373" s="77"/>
      <c r="AU2373" s="77"/>
      <c r="AV2373" s="83" t="str">
        <f>HYPERLINK("https://pbs.twimg.com/profile_images/1572220756603408385/0qtdK872_normal.jpg")</f>
        <v>https://pbs.twimg.com/profile_images/1572220756603408385/0qtdK872_normal.jpg</v>
      </c>
      <c r="AW2373" s="80" t="s">
        <v>18186</v>
      </c>
      <c r="AX2373" s="80" t="s">
        <v>18186</v>
      </c>
      <c r="AY2373" s="77"/>
      <c r="AZ2373" s="80" t="s">
        <v>20380</v>
      </c>
      <c r="BA2373" s="80" t="s">
        <v>20380</v>
      </c>
      <c r="BB2373" s="80" t="s">
        <v>19843</v>
      </c>
      <c r="BC2373" s="80" t="s">
        <v>19843</v>
      </c>
      <c r="BD2373" s="80" t="s">
        <v>20860</v>
      </c>
      <c r="BE2373" s="77"/>
      <c r="BF2373" s="77"/>
      <c r="BG2373" s="77"/>
      <c r="BH2373" s="77"/>
      <c r="BI2373" s="77"/>
    </row>
    <row r="2374" spans="1:61" x14ac:dyDescent="0.25">
      <c r="A2374" s="62" t="s">
        <v>980</v>
      </c>
      <c r="B2374" s="62" t="s">
        <v>1672</v>
      </c>
      <c r="C2374" s="63"/>
      <c r="D2374" s="64"/>
      <c r="E2374" s="65"/>
      <c r="F2374" s="66"/>
      <c r="G2374" s="63"/>
      <c r="H2374" s="67"/>
      <c r="I2374" s="68"/>
      <c r="J2374" s="68"/>
      <c r="K2374" s="32"/>
      <c r="L2374" s="75">
        <v>2374</v>
      </c>
      <c r="M2374" s="75"/>
      <c r="N2374" s="70"/>
      <c r="O2374" s="77" t="s">
        <v>2083</v>
      </c>
      <c r="P2374" s="79">
        <v>45196.91646990741</v>
      </c>
      <c r="Q2374" s="77" t="s">
        <v>3780</v>
      </c>
      <c r="R2374" s="77">
        <v>3</v>
      </c>
      <c r="S2374" s="77">
        <v>0</v>
      </c>
      <c r="T2374" s="77">
        <v>0</v>
      </c>
      <c r="U2374" s="77">
        <v>0</v>
      </c>
      <c r="V2374" s="77"/>
      <c r="W2374" s="80" t="s">
        <v>7090</v>
      </c>
      <c r="X2374" s="77"/>
      <c r="Y2374" s="77"/>
      <c r="Z2374" s="77" t="s">
        <v>1672</v>
      </c>
      <c r="AA2374" s="77"/>
      <c r="AB2374" s="77"/>
      <c r="AC2374" s="80" t="s">
        <v>10542</v>
      </c>
      <c r="AD2374" s="77" t="s">
        <v>10620</v>
      </c>
      <c r="AE2374" s="83" t="str">
        <f>HYPERLINK("https://twitter.com/chuz_cr/status/1707153069962629492")</f>
        <v>https://twitter.com/chuz_cr/status/1707153069962629492</v>
      </c>
      <c r="AF2374" s="79">
        <v>45196.91646990741</v>
      </c>
      <c r="AG2374" s="85">
        <v>45196</v>
      </c>
      <c r="AH2374" s="80" t="s">
        <v>12718</v>
      </c>
      <c r="AI2374" s="77" t="b">
        <v>0</v>
      </c>
      <c r="AJ2374" s="77"/>
      <c r="AK2374" s="77"/>
      <c r="AL2374" s="77"/>
      <c r="AM2374" s="77"/>
      <c r="AN2374" s="77"/>
      <c r="AO2374" s="77"/>
      <c r="AP2374" s="77"/>
      <c r="AQ2374" s="77"/>
      <c r="AR2374" s="77"/>
      <c r="AS2374" s="77"/>
      <c r="AT2374" s="77"/>
      <c r="AU2374" s="77"/>
      <c r="AV2374" s="83" t="str">
        <f>HYPERLINK("https://pbs.twimg.com/profile_images/1686843446890262528/fVCq1PNF_normal.jpg")</f>
        <v>https://pbs.twimg.com/profile_images/1686843446890262528/fVCq1PNF_normal.jpg</v>
      </c>
      <c r="AW2374" s="80" t="s">
        <v>18187</v>
      </c>
      <c r="AX2374" s="80" t="s">
        <v>18187</v>
      </c>
      <c r="AY2374" s="77"/>
      <c r="AZ2374" s="80" t="s">
        <v>20380</v>
      </c>
      <c r="BA2374" s="80" t="s">
        <v>20380</v>
      </c>
      <c r="BB2374" s="80" t="s">
        <v>19890</v>
      </c>
      <c r="BC2374" s="80" t="s">
        <v>19890</v>
      </c>
      <c r="BD2374" s="77">
        <v>14295521</v>
      </c>
      <c r="BE2374" s="77"/>
      <c r="BF2374" s="77"/>
      <c r="BG2374" s="77"/>
      <c r="BH2374" s="77"/>
      <c r="BI2374" s="77"/>
    </row>
    <row r="2375" spans="1:61" x14ac:dyDescent="0.25">
      <c r="A2375" s="62" t="s">
        <v>981</v>
      </c>
      <c r="B2375" s="62" t="s">
        <v>981</v>
      </c>
      <c r="C2375" s="63"/>
      <c r="D2375" s="64"/>
      <c r="E2375" s="65"/>
      <c r="F2375" s="66"/>
      <c r="G2375" s="63"/>
      <c r="H2375" s="67"/>
      <c r="I2375" s="68"/>
      <c r="J2375" s="68"/>
      <c r="K2375" s="32"/>
      <c r="L2375" s="75">
        <v>2375</v>
      </c>
      <c r="M2375" s="75"/>
      <c r="N2375" s="70"/>
      <c r="O2375" s="77" t="s">
        <v>2081</v>
      </c>
      <c r="P2375" s="79">
        <v>45124.826273148145</v>
      </c>
      <c r="Q2375" s="77" t="s">
        <v>4194</v>
      </c>
      <c r="R2375" s="77">
        <v>0</v>
      </c>
      <c r="S2375" s="77">
        <v>0</v>
      </c>
      <c r="T2375" s="77">
        <v>0</v>
      </c>
      <c r="U2375" s="77">
        <v>0</v>
      </c>
      <c r="V2375" s="77">
        <v>26</v>
      </c>
      <c r="W2375" s="80" t="s">
        <v>7402</v>
      </c>
      <c r="X2375" s="77"/>
      <c r="Y2375" s="77"/>
      <c r="Z2375" s="77" t="s">
        <v>981</v>
      </c>
      <c r="AA2375" s="77"/>
      <c r="AB2375" s="77"/>
      <c r="AC2375" s="80" t="s">
        <v>10541</v>
      </c>
      <c r="AD2375" s="77" t="s">
        <v>10620</v>
      </c>
      <c r="AE2375" s="83" t="str">
        <f>HYPERLINK("https://twitter.com/morandivalores/status/1681028454026813440")</f>
        <v>https://twitter.com/morandivalores/status/1681028454026813440</v>
      </c>
      <c r="AF2375" s="79">
        <v>45124.826273148145</v>
      </c>
      <c r="AG2375" s="85">
        <v>45124</v>
      </c>
      <c r="AH2375" s="80" t="s">
        <v>12719</v>
      </c>
      <c r="AI2375" s="77"/>
      <c r="AJ2375" s="77"/>
      <c r="AK2375" s="77"/>
      <c r="AL2375" s="77"/>
      <c r="AM2375" s="77"/>
      <c r="AN2375" s="77"/>
      <c r="AO2375" s="77"/>
      <c r="AP2375" s="77"/>
      <c r="AQ2375" s="77"/>
      <c r="AR2375" s="77"/>
      <c r="AS2375" s="77"/>
      <c r="AT2375" s="77"/>
      <c r="AU2375" s="77"/>
      <c r="AV2375" s="83" t="str">
        <f>HYPERLINK("https://pbs.twimg.com/profile_images/1618612535275520000/UuE-w-V0_normal.jpg")</f>
        <v>https://pbs.twimg.com/profile_images/1618612535275520000/UuE-w-V0_normal.jpg</v>
      </c>
      <c r="AW2375" s="80" t="s">
        <v>18188</v>
      </c>
      <c r="AX2375" s="80" t="s">
        <v>18188</v>
      </c>
      <c r="AY2375" s="77"/>
      <c r="AZ2375" s="80" t="s">
        <v>20380</v>
      </c>
      <c r="BA2375" s="80" t="s">
        <v>20380</v>
      </c>
      <c r="BB2375" s="80" t="s">
        <v>20380</v>
      </c>
      <c r="BC2375" s="80" t="s">
        <v>18188</v>
      </c>
      <c r="BD2375" s="80" t="s">
        <v>20861</v>
      </c>
      <c r="BE2375" s="77"/>
      <c r="BF2375" s="77"/>
      <c r="BG2375" s="77"/>
      <c r="BH2375" s="77"/>
      <c r="BI2375" s="77"/>
    </row>
    <row r="2376" spans="1:61" x14ac:dyDescent="0.25">
      <c r="A2376" s="62" t="s">
        <v>982</v>
      </c>
      <c r="B2376" s="62" t="s">
        <v>1655</v>
      </c>
      <c r="C2376" s="63"/>
      <c r="D2376" s="64"/>
      <c r="E2376" s="65"/>
      <c r="F2376" s="66"/>
      <c r="G2376" s="63"/>
      <c r="H2376" s="67"/>
      <c r="I2376" s="68"/>
      <c r="J2376" s="68"/>
      <c r="K2376" s="32"/>
      <c r="L2376" s="75">
        <v>2376</v>
      </c>
      <c r="M2376" s="75"/>
      <c r="N2376" s="70"/>
      <c r="O2376" s="77" t="s">
        <v>2083</v>
      </c>
      <c r="P2376" s="79">
        <v>45191.040277777778</v>
      </c>
      <c r="Q2376" s="77" t="s">
        <v>2120</v>
      </c>
      <c r="R2376" s="77">
        <v>57</v>
      </c>
      <c r="S2376" s="77">
        <v>0</v>
      </c>
      <c r="T2376" s="77">
        <v>0</v>
      </c>
      <c r="U2376" s="77">
        <v>0</v>
      </c>
      <c r="V2376" s="77"/>
      <c r="W2376" s="80" t="s">
        <v>5917</v>
      </c>
      <c r="X2376" s="77"/>
      <c r="Y2376" s="77"/>
      <c r="Z2376" s="77" t="s">
        <v>1655</v>
      </c>
      <c r="AA2376" s="77"/>
      <c r="AB2376" s="77"/>
      <c r="AC2376" s="80" t="s">
        <v>10540</v>
      </c>
      <c r="AD2376" s="77" t="s">
        <v>10617</v>
      </c>
      <c r="AE2376" s="83" t="str">
        <f>HYPERLINK("https://twitter.com/suzytao/status/1705023606130872660")</f>
        <v>https://twitter.com/suzytao/status/1705023606130872660</v>
      </c>
      <c r="AF2376" s="79">
        <v>45191.040277777778</v>
      </c>
      <c r="AG2376" s="85">
        <v>45191</v>
      </c>
      <c r="AH2376" s="80" t="s">
        <v>12720</v>
      </c>
      <c r="AI2376" s="77"/>
      <c r="AJ2376" s="77"/>
      <c r="AK2376" s="77"/>
      <c r="AL2376" s="77"/>
      <c r="AM2376" s="77"/>
      <c r="AN2376" s="77"/>
      <c r="AO2376" s="77"/>
      <c r="AP2376" s="77"/>
      <c r="AQ2376" s="77"/>
      <c r="AR2376" s="77"/>
      <c r="AS2376" s="77"/>
      <c r="AT2376" s="77"/>
      <c r="AU2376" s="77"/>
      <c r="AV2376" s="83" t="str">
        <f>HYPERLINK("https://pbs.twimg.com/profile_images/1594320104065585153/D8jxk92f_normal.jpg")</f>
        <v>https://pbs.twimg.com/profile_images/1594320104065585153/D8jxk92f_normal.jpg</v>
      </c>
      <c r="AW2376" s="80" t="s">
        <v>18189</v>
      </c>
      <c r="AX2376" s="80" t="s">
        <v>18189</v>
      </c>
      <c r="AY2376" s="77"/>
      <c r="AZ2376" s="80" t="s">
        <v>20380</v>
      </c>
      <c r="BA2376" s="80" t="s">
        <v>20380</v>
      </c>
      <c r="BB2376" s="80" t="s">
        <v>19843</v>
      </c>
      <c r="BC2376" s="80" t="s">
        <v>19843</v>
      </c>
      <c r="BD2376" s="80" t="s">
        <v>20862</v>
      </c>
      <c r="BE2376" s="77"/>
      <c r="BF2376" s="77"/>
      <c r="BG2376" s="77"/>
      <c r="BH2376" s="77"/>
      <c r="BI2376" s="77"/>
    </row>
    <row r="2377" spans="1:61" x14ac:dyDescent="0.25">
      <c r="A2377" s="62" t="s">
        <v>983</v>
      </c>
      <c r="B2377" s="62" t="s">
        <v>1655</v>
      </c>
      <c r="C2377" s="63"/>
      <c r="D2377" s="64"/>
      <c r="E2377" s="65"/>
      <c r="F2377" s="66"/>
      <c r="G2377" s="63"/>
      <c r="H2377" s="67"/>
      <c r="I2377" s="68"/>
      <c r="J2377" s="68"/>
      <c r="K2377" s="32"/>
      <c r="L2377" s="75">
        <v>2377</v>
      </c>
      <c r="M2377" s="75"/>
      <c r="N2377" s="70"/>
      <c r="O2377" s="77" t="s">
        <v>2083</v>
      </c>
      <c r="P2377" s="79">
        <v>45191.828541666669</v>
      </c>
      <c r="Q2377" s="77" t="s">
        <v>2120</v>
      </c>
      <c r="R2377" s="77">
        <v>25</v>
      </c>
      <c r="S2377" s="77">
        <v>0</v>
      </c>
      <c r="T2377" s="77">
        <v>0</v>
      </c>
      <c r="U2377" s="77">
        <v>0</v>
      </c>
      <c r="V2377" s="77"/>
      <c r="W2377" s="80" t="s">
        <v>5917</v>
      </c>
      <c r="X2377" s="77"/>
      <c r="Y2377" s="77"/>
      <c r="Z2377" s="77" t="s">
        <v>1655</v>
      </c>
      <c r="AA2377" s="77"/>
      <c r="AB2377" s="77"/>
      <c r="AC2377" s="80" t="s">
        <v>10540</v>
      </c>
      <c r="AD2377" s="77" t="s">
        <v>10617</v>
      </c>
      <c r="AE2377" s="83" t="str">
        <f>HYPERLINK("https://twitter.com/elentorres10/status/1705309264661692463")</f>
        <v>https://twitter.com/elentorres10/status/1705309264661692463</v>
      </c>
      <c r="AF2377" s="79">
        <v>45191.828541666669</v>
      </c>
      <c r="AG2377" s="85">
        <v>45191</v>
      </c>
      <c r="AH2377" s="80" t="s">
        <v>12721</v>
      </c>
      <c r="AI2377" s="77"/>
      <c r="AJ2377" s="77"/>
      <c r="AK2377" s="77"/>
      <c r="AL2377" s="77"/>
      <c r="AM2377" s="77"/>
      <c r="AN2377" s="77"/>
      <c r="AO2377" s="77"/>
      <c r="AP2377" s="77"/>
      <c r="AQ2377" s="77"/>
      <c r="AR2377" s="77"/>
      <c r="AS2377" s="77"/>
      <c r="AT2377" s="77"/>
      <c r="AU2377" s="77"/>
      <c r="AV2377" s="83" t="str">
        <f>HYPERLINK("https://pbs.twimg.com/profile_images/1586805158750703616/yPn_a4zp_normal.jpg")</f>
        <v>https://pbs.twimg.com/profile_images/1586805158750703616/yPn_a4zp_normal.jpg</v>
      </c>
      <c r="AW2377" s="80" t="s">
        <v>18190</v>
      </c>
      <c r="AX2377" s="80" t="s">
        <v>18190</v>
      </c>
      <c r="AY2377" s="77"/>
      <c r="AZ2377" s="80" t="s">
        <v>20380</v>
      </c>
      <c r="BA2377" s="80" t="s">
        <v>20380</v>
      </c>
      <c r="BB2377" s="80" t="s">
        <v>19844</v>
      </c>
      <c r="BC2377" s="80" t="s">
        <v>19844</v>
      </c>
      <c r="BD2377" s="80" t="s">
        <v>20863</v>
      </c>
      <c r="BE2377" s="77"/>
      <c r="BF2377" s="77"/>
      <c r="BG2377" s="77"/>
      <c r="BH2377" s="77"/>
      <c r="BI2377" s="77"/>
    </row>
    <row r="2378" spans="1:61" x14ac:dyDescent="0.25">
      <c r="A2378" s="62" t="s">
        <v>983</v>
      </c>
      <c r="B2378" s="62" t="s">
        <v>1655</v>
      </c>
      <c r="C2378" s="63"/>
      <c r="D2378" s="64"/>
      <c r="E2378" s="65"/>
      <c r="F2378" s="66"/>
      <c r="G2378" s="63"/>
      <c r="H2378" s="67"/>
      <c r="I2378" s="68"/>
      <c r="J2378" s="68"/>
      <c r="K2378" s="32"/>
      <c r="L2378" s="75">
        <v>2378</v>
      </c>
      <c r="M2378" s="75"/>
      <c r="N2378" s="70"/>
      <c r="O2378" s="77" t="s">
        <v>2083</v>
      </c>
      <c r="P2378" s="79">
        <v>45191.828483796293</v>
      </c>
      <c r="Q2378" s="77" t="s">
        <v>2120</v>
      </c>
      <c r="R2378" s="77">
        <v>57</v>
      </c>
      <c r="S2378" s="77">
        <v>0</v>
      </c>
      <c r="T2378" s="77">
        <v>0</v>
      </c>
      <c r="U2378" s="77">
        <v>0</v>
      </c>
      <c r="V2378" s="77"/>
      <c r="W2378" s="80" t="s">
        <v>5917</v>
      </c>
      <c r="X2378" s="77"/>
      <c r="Y2378" s="77"/>
      <c r="Z2378" s="77" t="s">
        <v>1655</v>
      </c>
      <c r="AA2378" s="77"/>
      <c r="AB2378" s="77"/>
      <c r="AC2378" s="80" t="s">
        <v>10540</v>
      </c>
      <c r="AD2378" s="77" t="s">
        <v>10617</v>
      </c>
      <c r="AE2378" s="83" t="str">
        <f>HYPERLINK("https://twitter.com/elentorres10/status/1705309243253895173")</f>
        <v>https://twitter.com/elentorres10/status/1705309243253895173</v>
      </c>
      <c r="AF2378" s="79">
        <v>45191.828483796293</v>
      </c>
      <c r="AG2378" s="85">
        <v>45191</v>
      </c>
      <c r="AH2378" s="80" t="s">
        <v>12722</v>
      </c>
      <c r="AI2378" s="77"/>
      <c r="AJ2378" s="77"/>
      <c r="AK2378" s="77"/>
      <c r="AL2378" s="77"/>
      <c r="AM2378" s="77"/>
      <c r="AN2378" s="77"/>
      <c r="AO2378" s="77"/>
      <c r="AP2378" s="77"/>
      <c r="AQ2378" s="77"/>
      <c r="AR2378" s="77"/>
      <c r="AS2378" s="77"/>
      <c r="AT2378" s="77"/>
      <c r="AU2378" s="77"/>
      <c r="AV2378" s="83" t="str">
        <f>HYPERLINK("https://pbs.twimg.com/profile_images/1586805158750703616/yPn_a4zp_normal.jpg")</f>
        <v>https://pbs.twimg.com/profile_images/1586805158750703616/yPn_a4zp_normal.jpg</v>
      </c>
      <c r="AW2378" s="80" t="s">
        <v>18191</v>
      </c>
      <c r="AX2378" s="80" t="s">
        <v>18191</v>
      </c>
      <c r="AY2378" s="77"/>
      <c r="AZ2378" s="80" t="s">
        <v>20380</v>
      </c>
      <c r="BA2378" s="80" t="s">
        <v>20380</v>
      </c>
      <c r="BB2378" s="80" t="s">
        <v>19843</v>
      </c>
      <c r="BC2378" s="80" t="s">
        <v>19843</v>
      </c>
      <c r="BD2378" s="80" t="s">
        <v>20863</v>
      </c>
      <c r="BE2378" s="77"/>
      <c r="BF2378" s="77"/>
      <c r="BG2378" s="77"/>
      <c r="BH2378" s="77"/>
      <c r="BI2378" s="77"/>
    </row>
    <row r="2379" spans="1:61" x14ac:dyDescent="0.25">
      <c r="A2379" s="62" t="s">
        <v>984</v>
      </c>
      <c r="B2379" s="62" t="s">
        <v>984</v>
      </c>
      <c r="C2379" s="63"/>
      <c r="D2379" s="64"/>
      <c r="E2379" s="65"/>
      <c r="F2379" s="66"/>
      <c r="G2379" s="63"/>
      <c r="H2379" s="67"/>
      <c r="I2379" s="68"/>
      <c r="J2379" s="68"/>
      <c r="K2379" s="32"/>
      <c r="L2379" s="75">
        <v>2379</v>
      </c>
      <c r="M2379" s="75"/>
      <c r="N2379" s="70"/>
      <c r="O2379" s="77" t="s">
        <v>2081</v>
      </c>
      <c r="P2379" s="79">
        <v>45049.042962962965</v>
      </c>
      <c r="Q2379" s="77" t="s">
        <v>4195</v>
      </c>
      <c r="R2379" s="77">
        <v>0</v>
      </c>
      <c r="S2379" s="77">
        <v>1</v>
      </c>
      <c r="T2379" s="77">
        <v>0</v>
      </c>
      <c r="U2379" s="77">
        <v>1</v>
      </c>
      <c r="V2379" s="77">
        <v>67</v>
      </c>
      <c r="W2379" s="80" t="s">
        <v>7403</v>
      </c>
      <c r="X2379" s="83" t="str">
        <f>HYPERLINK("https://revistarumbo.com/articulos/detalle/81687")</f>
        <v>https://revistarumbo.com/articulos/detalle/81687</v>
      </c>
      <c r="Y2379" s="77" t="s">
        <v>8784</v>
      </c>
      <c r="Z2379" s="77" t="s">
        <v>984</v>
      </c>
      <c r="AA2379" s="77"/>
      <c r="AB2379" s="77"/>
      <c r="AC2379" s="80" t="s">
        <v>10541</v>
      </c>
      <c r="AD2379" s="77" t="s">
        <v>10620</v>
      </c>
      <c r="AE2379" s="83" t="str">
        <f>HYPERLINK("https://twitter.com/revistarumbo/status/1653565502776565760")</f>
        <v>https://twitter.com/revistarumbo/status/1653565502776565760</v>
      </c>
      <c r="AF2379" s="79">
        <v>45049.042962962965</v>
      </c>
      <c r="AG2379" s="85">
        <v>45049</v>
      </c>
      <c r="AH2379" s="80" t="s">
        <v>12723</v>
      </c>
      <c r="AI2379" s="77" t="b">
        <v>0</v>
      </c>
      <c r="AJ2379" s="77"/>
      <c r="AK2379" s="77"/>
      <c r="AL2379" s="77"/>
      <c r="AM2379" s="77"/>
      <c r="AN2379" s="77"/>
      <c r="AO2379" s="77"/>
      <c r="AP2379" s="77"/>
      <c r="AQ2379" s="77"/>
      <c r="AR2379" s="77"/>
      <c r="AS2379" s="77"/>
      <c r="AT2379" s="77"/>
      <c r="AU2379" s="77"/>
      <c r="AV2379" s="83" t="str">
        <f>HYPERLINK("https://pbs.twimg.com/profile_images/769512873571684352/on5QHj3b_normal.jpg")</f>
        <v>https://pbs.twimg.com/profile_images/769512873571684352/on5QHj3b_normal.jpg</v>
      </c>
      <c r="AW2379" s="80" t="s">
        <v>18192</v>
      </c>
      <c r="AX2379" s="80" t="s">
        <v>18192</v>
      </c>
      <c r="AY2379" s="77"/>
      <c r="AZ2379" s="80" t="s">
        <v>20380</v>
      </c>
      <c r="BA2379" s="80" t="s">
        <v>20380</v>
      </c>
      <c r="BB2379" s="80" t="s">
        <v>20380</v>
      </c>
      <c r="BC2379" s="80" t="s">
        <v>18192</v>
      </c>
      <c r="BD2379" s="77">
        <v>371163345</v>
      </c>
      <c r="BE2379" s="77"/>
      <c r="BF2379" s="77"/>
      <c r="BG2379" s="77"/>
      <c r="BH2379" s="77"/>
      <c r="BI2379" s="77"/>
    </row>
    <row r="2380" spans="1:61" x14ac:dyDescent="0.25">
      <c r="A2380" s="62" t="s">
        <v>985</v>
      </c>
      <c r="B2380" s="62" t="s">
        <v>985</v>
      </c>
      <c r="C2380" s="63"/>
      <c r="D2380" s="64"/>
      <c r="E2380" s="65"/>
      <c r="F2380" s="66"/>
      <c r="G2380" s="63"/>
      <c r="H2380" s="67"/>
      <c r="I2380" s="68"/>
      <c r="J2380" s="68"/>
      <c r="K2380" s="32"/>
      <c r="L2380" s="75">
        <v>2380</v>
      </c>
      <c r="M2380" s="75"/>
      <c r="N2380" s="70"/>
      <c r="O2380" s="77" t="s">
        <v>2078</v>
      </c>
      <c r="P2380" s="79">
        <v>45071.866423611114</v>
      </c>
      <c r="Q2380" s="77" t="s">
        <v>4196</v>
      </c>
      <c r="R2380" s="77">
        <v>0</v>
      </c>
      <c r="S2380" s="77">
        <v>5</v>
      </c>
      <c r="T2380" s="77">
        <v>1</v>
      </c>
      <c r="U2380" s="77">
        <v>1</v>
      </c>
      <c r="V2380" s="77">
        <v>1650</v>
      </c>
      <c r="W2380" s="80" t="s">
        <v>1895</v>
      </c>
      <c r="X2380" s="77"/>
      <c r="Y2380" s="77"/>
      <c r="Z2380" s="77"/>
      <c r="AA2380" s="77" t="s">
        <v>9730</v>
      </c>
      <c r="AB2380" s="77" t="s">
        <v>10535</v>
      </c>
      <c r="AC2380" s="80" t="s">
        <v>10541</v>
      </c>
      <c r="AD2380" s="77" t="s">
        <v>10620</v>
      </c>
      <c r="AE2380" s="83" t="str">
        <f>HYPERLINK("https://twitter.com/france24_es/status/1661836447177908248")</f>
        <v>https://twitter.com/france24_es/status/1661836447177908248</v>
      </c>
      <c r="AF2380" s="79">
        <v>45071.866423611114</v>
      </c>
      <c r="AG2380" s="85">
        <v>45071</v>
      </c>
      <c r="AH2380" s="80" t="s">
        <v>12724</v>
      </c>
      <c r="AI2380" s="77" t="b">
        <v>0</v>
      </c>
      <c r="AJ2380" s="77"/>
      <c r="AK2380" s="77"/>
      <c r="AL2380" s="77"/>
      <c r="AM2380" s="77"/>
      <c r="AN2380" s="77"/>
      <c r="AO2380" s="77"/>
      <c r="AP2380" s="77"/>
      <c r="AQ2380" s="77" t="s">
        <v>15212</v>
      </c>
      <c r="AR2380" s="77"/>
      <c r="AS2380" s="77"/>
      <c r="AT2380" s="77"/>
      <c r="AU2380" s="77"/>
      <c r="AV2380" s="83" t="str">
        <f>HYPERLINK("https://pbs.twimg.com/media/FxAHRNBWIBYJtCh.jpg")</f>
        <v>https://pbs.twimg.com/media/FxAHRNBWIBYJtCh.jpg</v>
      </c>
      <c r="AW2380" s="80" t="s">
        <v>18193</v>
      </c>
      <c r="AX2380" s="80" t="s">
        <v>20061</v>
      </c>
      <c r="AY2380" s="80" t="s">
        <v>20312</v>
      </c>
      <c r="AZ2380" s="80" t="s">
        <v>20425</v>
      </c>
      <c r="BA2380" s="80" t="s">
        <v>20380</v>
      </c>
      <c r="BB2380" s="80" t="s">
        <v>20380</v>
      </c>
      <c r="BC2380" s="80" t="s">
        <v>20425</v>
      </c>
      <c r="BD2380" s="80" t="s">
        <v>20312</v>
      </c>
      <c r="BE2380" s="77"/>
      <c r="BF2380" s="77"/>
      <c r="BG2380" s="77"/>
      <c r="BH2380" s="77"/>
      <c r="BI2380" s="77"/>
    </row>
    <row r="2381" spans="1:61" x14ac:dyDescent="0.25">
      <c r="A2381" s="62" t="s">
        <v>986</v>
      </c>
      <c r="B2381" s="62" t="s">
        <v>986</v>
      </c>
      <c r="C2381" s="63"/>
      <c r="D2381" s="64"/>
      <c r="E2381" s="65"/>
      <c r="F2381" s="66"/>
      <c r="G2381" s="63"/>
      <c r="H2381" s="67"/>
      <c r="I2381" s="68"/>
      <c r="J2381" s="68"/>
      <c r="K2381" s="32"/>
      <c r="L2381" s="75">
        <v>2381</v>
      </c>
      <c r="M2381" s="75"/>
      <c r="N2381" s="70"/>
      <c r="O2381" s="77" t="s">
        <v>179</v>
      </c>
      <c r="P2381" s="79">
        <v>45118.474861111114</v>
      </c>
      <c r="Q2381" s="77" t="s">
        <v>4197</v>
      </c>
      <c r="R2381" s="77">
        <v>0</v>
      </c>
      <c r="S2381" s="77">
        <v>0</v>
      </c>
      <c r="T2381" s="77">
        <v>0</v>
      </c>
      <c r="U2381" s="77">
        <v>0</v>
      </c>
      <c r="V2381" s="77">
        <v>25</v>
      </c>
      <c r="W2381" s="80" t="s">
        <v>7404</v>
      </c>
      <c r="X2381" s="83" t="str">
        <f>HYPERLINK("https://es.beincrypto.com/bancos-centrales-acumulan-oro-no-bitcoin/")</f>
        <v>https://es.beincrypto.com/bancos-centrales-acumulan-oro-no-bitcoin/</v>
      </c>
      <c r="Y2381" s="77" t="s">
        <v>8785</v>
      </c>
      <c r="Z2381" s="77"/>
      <c r="AA2381" s="77" t="s">
        <v>9731</v>
      </c>
      <c r="AB2381" s="77" t="s">
        <v>10535</v>
      </c>
      <c r="AC2381" s="80" t="s">
        <v>10541</v>
      </c>
      <c r="AD2381" s="77" t="s">
        <v>10620</v>
      </c>
      <c r="AE2381" s="83" t="str">
        <f>HYPERLINK("https://twitter.com/wayrapay/status/1678726781761667074")</f>
        <v>https://twitter.com/wayrapay/status/1678726781761667074</v>
      </c>
      <c r="AF2381" s="79">
        <v>45118.474861111114</v>
      </c>
      <c r="AG2381" s="85">
        <v>45118</v>
      </c>
      <c r="AH2381" s="80" t="s">
        <v>12725</v>
      </c>
      <c r="AI2381" s="77" t="b">
        <v>0</v>
      </c>
      <c r="AJ2381" s="77"/>
      <c r="AK2381" s="77"/>
      <c r="AL2381" s="77"/>
      <c r="AM2381" s="77"/>
      <c r="AN2381" s="77"/>
      <c r="AO2381" s="77"/>
      <c r="AP2381" s="77"/>
      <c r="AQ2381" s="77" t="s">
        <v>15213</v>
      </c>
      <c r="AR2381" s="77"/>
      <c r="AS2381" s="77"/>
      <c r="AT2381" s="77"/>
      <c r="AU2381" s="77"/>
      <c r="AV2381" s="83" t="str">
        <f>HYPERLINK("https://pbs.twimg.com/media/F0wJGhyXgAAGPHV.jpg")</f>
        <v>https://pbs.twimg.com/media/F0wJGhyXgAAGPHV.jpg</v>
      </c>
      <c r="AW2381" s="80" t="s">
        <v>18194</v>
      </c>
      <c r="AX2381" s="80" t="s">
        <v>18194</v>
      </c>
      <c r="AY2381" s="77"/>
      <c r="AZ2381" s="80" t="s">
        <v>20380</v>
      </c>
      <c r="BA2381" s="80" t="s">
        <v>20380</v>
      </c>
      <c r="BB2381" s="80" t="s">
        <v>20380</v>
      </c>
      <c r="BC2381" s="80" t="s">
        <v>18194</v>
      </c>
      <c r="BD2381" s="80" t="s">
        <v>20864</v>
      </c>
      <c r="BE2381" s="77"/>
      <c r="BF2381" s="77"/>
      <c r="BG2381" s="77"/>
      <c r="BH2381" s="77"/>
      <c r="BI2381" s="77"/>
    </row>
    <row r="2382" spans="1:61" x14ac:dyDescent="0.25">
      <c r="A2382" s="62" t="s">
        <v>987</v>
      </c>
      <c r="B2382" s="62" t="s">
        <v>1932</v>
      </c>
      <c r="C2382" s="63"/>
      <c r="D2382" s="64"/>
      <c r="E2382" s="65"/>
      <c r="F2382" s="66"/>
      <c r="G2382" s="63"/>
      <c r="H2382" s="67"/>
      <c r="I2382" s="68"/>
      <c r="J2382" s="68"/>
      <c r="K2382" s="32"/>
      <c r="L2382" s="75">
        <v>2382</v>
      </c>
      <c r="M2382" s="75"/>
      <c r="N2382" s="70"/>
      <c r="O2382" s="77" t="s">
        <v>2081</v>
      </c>
      <c r="P2382" s="79">
        <v>45196.469375000001</v>
      </c>
      <c r="Q2382" s="77" t="s">
        <v>4198</v>
      </c>
      <c r="R2382" s="77">
        <v>1</v>
      </c>
      <c r="S2382" s="77">
        <v>0</v>
      </c>
      <c r="T2382" s="77">
        <v>0</v>
      </c>
      <c r="U2382" s="77">
        <v>0</v>
      </c>
      <c r="V2382" s="77">
        <v>64</v>
      </c>
      <c r="W2382" s="80" t="s">
        <v>7405</v>
      </c>
      <c r="X2382" s="77"/>
      <c r="Y2382" s="77"/>
      <c r="Z2382" s="77" t="s">
        <v>8980</v>
      </c>
      <c r="AA2382" s="77" t="s">
        <v>9732</v>
      </c>
      <c r="AB2382" s="77" t="s">
        <v>10535</v>
      </c>
      <c r="AC2382" s="80" t="s">
        <v>10540</v>
      </c>
      <c r="AD2382" s="77" t="s">
        <v>10619</v>
      </c>
      <c r="AE2382" s="83" t="str">
        <f>HYPERLINK("https://twitter.com/loh40gama40/status/1706991046532456716")</f>
        <v>https://twitter.com/loh40gama40/status/1706991046532456716</v>
      </c>
      <c r="AF2382" s="79">
        <v>45196.469375000001</v>
      </c>
      <c r="AG2382" s="85">
        <v>45196</v>
      </c>
      <c r="AH2382" s="80" t="s">
        <v>12726</v>
      </c>
      <c r="AI2382" s="77" t="b">
        <v>0</v>
      </c>
      <c r="AJ2382" s="77"/>
      <c r="AK2382" s="77"/>
      <c r="AL2382" s="77"/>
      <c r="AM2382" s="77"/>
      <c r="AN2382" s="77"/>
      <c r="AO2382" s="77"/>
      <c r="AP2382" s="77"/>
      <c r="AQ2382" s="77" t="s">
        <v>15214</v>
      </c>
      <c r="AR2382" s="77"/>
      <c r="AS2382" s="77"/>
      <c r="AT2382" s="77"/>
      <c r="AU2382" s="77"/>
      <c r="AV2382" s="83" t="str">
        <f>HYPERLINK("https://pbs.twimg.com/media/F7BzT3NXEAAT7MG.jpg")</f>
        <v>https://pbs.twimg.com/media/F7BzT3NXEAAT7MG.jpg</v>
      </c>
      <c r="AW2382" s="80" t="s">
        <v>18195</v>
      </c>
      <c r="AX2382" s="80" t="s">
        <v>18195</v>
      </c>
      <c r="AY2382" s="80" t="s">
        <v>20313</v>
      </c>
      <c r="AZ2382" s="80" t="s">
        <v>20380</v>
      </c>
      <c r="BA2382" s="80" t="s">
        <v>20380</v>
      </c>
      <c r="BB2382" s="80" t="s">
        <v>20380</v>
      </c>
      <c r="BC2382" s="80" t="s">
        <v>18195</v>
      </c>
      <c r="BD2382" s="80" t="s">
        <v>20865</v>
      </c>
      <c r="BE2382" s="77"/>
      <c r="BF2382" s="77"/>
      <c r="BG2382" s="77"/>
      <c r="BH2382" s="77"/>
      <c r="BI2382" s="77"/>
    </row>
    <row r="2383" spans="1:61" x14ac:dyDescent="0.25">
      <c r="A2383" s="62" t="s">
        <v>987</v>
      </c>
      <c r="B2383" s="62" t="s">
        <v>1932</v>
      </c>
      <c r="C2383" s="63"/>
      <c r="D2383" s="64"/>
      <c r="E2383" s="65"/>
      <c r="F2383" s="66"/>
      <c r="G2383" s="63"/>
      <c r="H2383" s="67"/>
      <c r="I2383" s="68"/>
      <c r="J2383" s="68"/>
      <c r="K2383" s="32"/>
      <c r="L2383" s="75">
        <v>2383</v>
      </c>
      <c r="M2383" s="75"/>
      <c r="N2383" s="70"/>
      <c r="O2383" s="77" t="s">
        <v>2085</v>
      </c>
      <c r="P2383" s="79">
        <v>45196.469756944447</v>
      </c>
      <c r="Q2383" s="77" t="s">
        <v>4199</v>
      </c>
      <c r="R2383" s="77">
        <v>1</v>
      </c>
      <c r="S2383" s="77">
        <v>0</v>
      </c>
      <c r="T2383" s="77">
        <v>0</v>
      </c>
      <c r="U2383" s="77">
        <v>0</v>
      </c>
      <c r="V2383" s="77"/>
      <c r="W2383" s="80" t="s">
        <v>7405</v>
      </c>
      <c r="X2383" s="77"/>
      <c r="Y2383" s="77"/>
      <c r="Z2383" s="77" t="s">
        <v>8981</v>
      </c>
      <c r="AA2383" s="77" t="s">
        <v>9732</v>
      </c>
      <c r="AB2383" s="77" t="s">
        <v>10535</v>
      </c>
      <c r="AC2383" s="80" t="s">
        <v>10540</v>
      </c>
      <c r="AD2383" s="77" t="s">
        <v>10619</v>
      </c>
      <c r="AE2383" s="83" t="str">
        <f>HYPERLINK("https://twitter.com/loh40gama40/status/1706991186836173240")</f>
        <v>https://twitter.com/loh40gama40/status/1706991186836173240</v>
      </c>
      <c r="AF2383" s="79">
        <v>45196.469756944447</v>
      </c>
      <c r="AG2383" s="85">
        <v>45196</v>
      </c>
      <c r="AH2383" s="80" t="s">
        <v>12727</v>
      </c>
      <c r="AI2383" s="77" t="b">
        <v>0</v>
      </c>
      <c r="AJ2383" s="77"/>
      <c r="AK2383" s="77"/>
      <c r="AL2383" s="77"/>
      <c r="AM2383" s="77"/>
      <c r="AN2383" s="77"/>
      <c r="AO2383" s="77"/>
      <c r="AP2383" s="77"/>
      <c r="AQ2383" s="77" t="s">
        <v>15214</v>
      </c>
      <c r="AR2383" s="77"/>
      <c r="AS2383" s="77"/>
      <c r="AT2383" s="77"/>
      <c r="AU2383" s="77"/>
      <c r="AV2383" s="83" t="str">
        <f>HYPERLINK("https://pbs.twimg.com/media/F7BzT3NXEAAT7MG.jpg")</f>
        <v>https://pbs.twimg.com/media/F7BzT3NXEAAT7MG.jpg</v>
      </c>
      <c r="AW2383" s="80" t="s">
        <v>18196</v>
      </c>
      <c r="AX2383" s="80" t="s">
        <v>18196</v>
      </c>
      <c r="AY2383" s="77"/>
      <c r="AZ2383" s="80" t="s">
        <v>20380</v>
      </c>
      <c r="BA2383" s="80" t="s">
        <v>20380</v>
      </c>
      <c r="BB2383" s="80" t="s">
        <v>18195</v>
      </c>
      <c r="BC2383" s="80" t="s">
        <v>18195</v>
      </c>
      <c r="BD2383" s="80" t="s">
        <v>20865</v>
      </c>
      <c r="BE2383" s="77"/>
      <c r="BF2383" s="77"/>
      <c r="BG2383" s="77"/>
      <c r="BH2383" s="77"/>
      <c r="BI2383" s="77"/>
    </row>
    <row r="2384" spans="1:61" x14ac:dyDescent="0.25">
      <c r="A2384" s="62" t="s">
        <v>987</v>
      </c>
      <c r="B2384" s="62" t="s">
        <v>1933</v>
      </c>
      <c r="C2384" s="63"/>
      <c r="D2384" s="64"/>
      <c r="E2384" s="65"/>
      <c r="F2384" s="66"/>
      <c r="G2384" s="63"/>
      <c r="H2384" s="67"/>
      <c r="I2384" s="68"/>
      <c r="J2384" s="68"/>
      <c r="K2384" s="32"/>
      <c r="L2384" s="75">
        <v>2384</v>
      </c>
      <c r="M2384" s="75"/>
      <c r="N2384" s="70"/>
      <c r="O2384" s="77" t="s">
        <v>2081</v>
      </c>
      <c r="P2384" s="79">
        <v>45196.469375000001</v>
      </c>
      <c r="Q2384" s="77" t="s">
        <v>4198</v>
      </c>
      <c r="R2384" s="77">
        <v>1</v>
      </c>
      <c r="S2384" s="77">
        <v>0</v>
      </c>
      <c r="T2384" s="77">
        <v>0</v>
      </c>
      <c r="U2384" s="77">
        <v>0</v>
      </c>
      <c r="V2384" s="77">
        <v>64</v>
      </c>
      <c r="W2384" s="80" t="s">
        <v>7405</v>
      </c>
      <c r="X2384" s="77"/>
      <c r="Y2384" s="77"/>
      <c r="Z2384" s="77" t="s">
        <v>8980</v>
      </c>
      <c r="AA2384" s="77" t="s">
        <v>9732</v>
      </c>
      <c r="AB2384" s="77" t="s">
        <v>10535</v>
      </c>
      <c r="AC2384" s="80" t="s">
        <v>10540</v>
      </c>
      <c r="AD2384" s="77" t="s">
        <v>10619</v>
      </c>
      <c r="AE2384" s="83" t="str">
        <f>HYPERLINK("https://twitter.com/loh40gama40/status/1706991046532456716")</f>
        <v>https://twitter.com/loh40gama40/status/1706991046532456716</v>
      </c>
      <c r="AF2384" s="79">
        <v>45196.469375000001</v>
      </c>
      <c r="AG2384" s="85">
        <v>45196</v>
      </c>
      <c r="AH2384" s="80" t="s">
        <v>12726</v>
      </c>
      <c r="AI2384" s="77" t="b">
        <v>0</v>
      </c>
      <c r="AJ2384" s="77"/>
      <c r="AK2384" s="77"/>
      <c r="AL2384" s="77"/>
      <c r="AM2384" s="77"/>
      <c r="AN2384" s="77"/>
      <c r="AO2384" s="77"/>
      <c r="AP2384" s="77"/>
      <c r="AQ2384" s="77" t="s">
        <v>15214</v>
      </c>
      <c r="AR2384" s="77"/>
      <c r="AS2384" s="77"/>
      <c r="AT2384" s="77"/>
      <c r="AU2384" s="77"/>
      <c r="AV2384" s="83" t="str">
        <f>HYPERLINK("https://pbs.twimg.com/media/F7BzT3NXEAAT7MG.jpg")</f>
        <v>https://pbs.twimg.com/media/F7BzT3NXEAAT7MG.jpg</v>
      </c>
      <c r="AW2384" s="80" t="s">
        <v>18195</v>
      </c>
      <c r="AX2384" s="80" t="s">
        <v>18195</v>
      </c>
      <c r="AY2384" s="80" t="s">
        <v>20313</v>
      </c>
      <c r="AZ2384" s="80" t="s">
        <v>20380</v>
      </c>
      <c r="BA2384" s="80" t="s">
        <v>20380</v>
      </c>
      <c r="BB2384" s="80" t="s">
        <v>20380</v>
      </c>
      <c r="BC2384" s="80" t="s">
        <v>18195</v>
      </c>
      <c r="BD2384" s="80" t="s">
        <v>20865</v>
      </c>
      <c r="BE2384" s="77"/>
      <c r="BF2384" s="77"/>
      <c r="BG2384" s="77"/>
      <c r="BH2384" s="77"/>
      <c r="BI2384" s="77"/>
    </row>
    <row r="2385" spans="1:61" x14ac:dyDescent="0.25">
      <c r="A2385" s="62" t="s">
        <v>987</v>
      </c>
      <c r="B2385" s="62" t="s">
        <v>1933</v>
      </c>
      <c r="C2385" s="63"/>
      <c r="D2385" s="64"/>
      <c r="E2385" s="65"/>
      <c r="F2385" s="66"/>
      <c r="G2385" s="63"/>
      <c r="H2385" s="67"/>
      <c r="I2385" s="68"/>
      <c r="J2385" s="68"/>
      <c r="K2385" s="32"/>
      <c r="L2385" s="75">
        <v>2385</v>
      </c>
      <c r="M2385" s="75"/>
      <c r="N2385" s="70"/>
      <c r="O2385" s="77" t="s">
        <v>2085</v>
      </c>
      <c r="P2385" s="79">
        <v>45196.469756944447</v>
      </c>
      <c r="Q2385" s="77" t="s">
        <v>4199</v>
      </c>
      <c r="R2385" s="77">
        <v>1</v>
      </c>
      <c r="S2385" s="77">
        <v>0</v>
      </c>
      <c r="T2385" s="77">
        <v>0</v>
      </c>
      <c r="U2385" s="77">
        <v>0</v>
      </c>
      <c r="V2385" s="77"/>
      <c r="W2385" s="80" t="s">
        <v>7405</v>
      </c>
      <c r="X2385" s="77"/>
      <c r="Y2385" s="77"/>
      <c r="Z2385" s="77" t="s">
        <v>8981</v>
      </c>
      <c r="AA2385" s="77" t="s">
        <v>9732</v>
      </c>
      <c r="AB2385" s="77" t="s">
        <v>10535</v>
      </c>
      <c r="AC2385" s="80" t="s">
        <v>10540</v>
      </c>
      <c r="AD2385" s="77" t="s">
        <v>10619</v>
      </c>
      <c r="AE2385" s="83" t="str">
        <f>HYPERLINK("https://twitter.com/loh40gama40/status/1706991186836173240")</f>
        <v>https://twitter.com/loh40gama40/status/1706991186836173240</v>
      </c>
      <c r="AF2385" s="79">
        <v>45196.469756944447</v>
      </c>
      <c r="AG2385" s="85">
        <v>45196</v>
      </c>
      <c r="AH2385" s="80" t="s">
        <v>12727</v>
      </c>
      <c r="AI2385" s="77" t="b">
        <v>0</v>
      </c>
      <c r="AJ2385" s="77"/>
      <c r="AK2385" s="77"/>
      <c r="AL2385" s="77"/>
      <c r="AM2385" s="77"/>
      <c r="AN2385" s="77"/>
      <c r="AO2385" s="77"/>
      <c r="AP2385" s="77"/>
      <c r="AQ2385" s="77" t="s">
        <v>15214</v>
      </c>
      <c r="AR2385" s="77"/>
      <c r="AS2385" s="77"/>
      <c r="AT2385" s="77"/>
      <c r="AU2385" s="77"/>
      <c r="AV2385" s="83" t="str">
        <f>HYPERLINK("https://pbs.twimg.com/media/F7BzT3NXEAAT7MG.jpg")</f>
        <v>https://pbs.twimg.com/media/F7BzT3NXEAAT7MG.jpg</v>
      </c>
      <c r="AW2385" s="80" t="s">
        <v>18196</v>
      </c>
      <c r="AX2385" s="80" t="s">
        <v>18196</v>
      </c>
      <c r="AY2385" s="77"/>
      <c r="AZ2385" s="80" t="s">
        <v>20380</v>
      </c>
      <c r="BA2385" s="80" t="s">
        <v>20380</v>
      </c>
      <c r="BB2385" s="80" t="s">
        <v>18195</v>
      </c>
      <c r="BC2385" s="80" t="s">
        <v>18195</v>
      </c>
      <c r="BD2385" s="80" t="s">
        <v>20865</v>
      </c>
      <c r="BE2385" s="77"/>
      <c r="BF2385" s="77"/>
      <c r="BG2385" s="77"/>
      <c r="BH2385" s="77"/>
      <c r="BI2385" s="77"/>
    </row>
    <row r="2386" spans="1:61" x14ac:dyDescent="0.25">
      <c r="A2386" s="62" t="s">
        <v>987</v>
      </c>
      <c r="B2386" s="62" t="s">
        <v>987</v>
      </c>
      <c r="C2386" s="63"/>
      <c r="D2386" s="64"/>
      <c r="E2386" s="65"/>
      <c r="F2386" s="66"/>
      <c r="G2386" s="63"/>
      <c r="H2386" s="67"/>
      <c r="I2386" s="68"/>
      <c r="J2386" s="68"/>
      <c r="K2386" s="32"/>
      <c r="L2386" s="75">
        <v>2386</v>
      </c>
      <c r="M2386" s="75"/>
      <c r="N2386" s="70"/>
      <c r="O2386" s="77" t="s">
        <v>2083</v>
      </c>
      <c r="P2386" s="79">
        <v>45196.469756944447</v>
      </c>
      <c r="Q2386" s="77" t="s">
        <v>4199</v>
      </c>
      <c r="R2386" s="77">
        <v>1</v>
      </c>
      <c r="S2386" s="77">
        <v>0</v>
      </c>
      <c r="T2386" s="77">
        <v>0</v>
      </c>
      <c r="U2386" s="77">
        <v>0</v>
      </c>
      <c r="V2386" s="77"/>
      <c r="W2386" s="80" t="s">
        <v>7405</v>
      </c>
      <c r="X2386" s="77"/>
      <c r="Y2386" s="77"/>
      <c r="Z2386" s="77" t="s">
        <v>8981</v>
      </c>
      <c r="AA2386" s="77" t="s">
        <v>9732</v>
      </c>
      <c r="AB2386" s="77" t="s">
        <v>10535</v>
      </c>
      <c r="AC2386" s="80" t="s">
        <v>10540</v>
      </c>
      <c r="AD2386" s="77" t="s">
        <v>10619</v>
      </c>
      <c r="AE2386" s="83" t="str">
        <f>HYPERLINK("https://twitter.com/loh40gama40/status/1706991186836173240")</f>
        <v>https://twitter.com/loh40gama40/status/1706991186836173240</v>
      </c>
      <c r="AF2386" s="79">
        <v>45196.469756944447</v>
      </c>
      <c r="AG2386" s="85">
        <v>45196</v>
      </c>
      <c r="AH2386" s="80" t="s">
        <v>12727</v>
      </c>
      <c r="AI2386" s="77" t="b">
        <v>0</v>
      </c>
      <c r="AJ2386" s="77"/>
      <c r="AK2386" s="77"/>
      <c r="AL2386" s="77"/>
      <c r="AM2386" s="77"/>
      <c r="AN2386" s="77"/>
      <c r="AO2386" s="77"/>
      <c r="AP2386" s="77"/>
      <c r="AQ2386" s="77" t="s">
        <v>15214</v>
      </c>
      <c r="AR2386" s="77"/>
      <c r="AS2386" s="77"/>
      <c r="AT2386" s="77"/>
      <c r="AU2386" s="77"/>
      <c r="AV2386" s="83" t="str">
        <f>HYPERLINK("https://pbs.twimg.com/media/F7BzT3NXEAAT7MG.jpg")</f>
        <v>https://pbs.twimg.com/media/F7BzT3NXEAAT7MG.jpg</v>
      </c>
      <c r="AW2386" s="80" t="s">
        <v>18196</v>
      </c>
      <c r="AX2386" s="80" t="s">
        <v>18196</v>
      </c>
      <c r="AY2386" s="77"/>
      <c r="AZ2386" s="80" t="s">
        <v>20380</v>
      </c>
      <c r="BA2386" s="80" t="s">
        <v>20380</v>
      </c>
      <c r="BB2386" s="80" t="s">
        <v>18195</v>
      </c>
      <c r="BC2386" s="80" t="s">
        <v>18195</v>
      </c>
      <c r="BD2386" s="80" t="s">
        <v>20865</v>
      </c>
      <c r="BE2386" s="77"/>
      <c r="BF2386" s="77"/>
      <c r="BG2386" s="77"/>
      <c r="BH2386" s="77"/>
      <c r="BI2386" s="77"/>
    </row>
    <row r="2387" spans="1:61" x14ac:dyDescent="0.25">
      <c r="A2387" s="62" t="s">
        <v>988</v>
      </c>
      <c r="B2387" s="62" t="s">
        <v>988</v>
      </c>
      <c r="C2387" s="63"/>
      <c r="D2387" s="64"/>
      <c r="E2387" s="65"/>
      <c r="F2387" s="66"/>
      <c r="G2387" s="63"/>
      <c r="H2387" s="67"/>
      <c r="I2387" s="68"/>
      <c r="J2387" s="68"/>
      <c r="K2387" s="32"/>
      <c r="L2387" s="75">
        <v>2387</v>
      </c>
      <c r="M2387" s="75"/>
      <c r="N2387" s="70"/>
      <c r="O2387" s="77" t="s">
        <v>179</v>
      </c>
      <c r="P2387" s="79">
        <v>45078.181273148148</v>
      </c>
      <c r="Q2387" s="77" t="s">
        <v>4200</v>
      </c>
      <c r="R2387" s="77">
        <v>0</v>
      </c>
      <c r="S2387" s="77">
        <v>0</v>
      </c>
      <c r="T2387" s="77">
        <v>0</v>
      </c>
      <c r="U2387" s="77">
        <v>0</v>
      </c>
      <c r="V2387" s="77">
        <v>14</v>
      </c>
      <c r="W2387" s="80" t="s">
        <v>7406</v>
      </c>
      <c r="X2387" s="77"/>
      <c r="Y2387" s="77"/>
      <c r="Z2387" s="77"/>
      <c r="AA2387" s="77" t="s">
        <v>9733</v>
      </c>
      <c r="AB2387" s="77" t="s">
        <v>10535</v>
      </c>
      <c r="AC2387" s="80" t="s">
        <v>10541</v>
      </c>
      <c r="AD2387" s="77" t="s">
        <v>10617</v>
      </c>
      <c r="AE2387" s="83" t="str">
        <f>HYPERLINK("https://twitter.com/malutrin2018/status/1664124875210907649")</f>
        <v>https://twitter.com/malutrin2018/status/1664124875210907649</v>
      </c>
      <c r="AF2387" s="79">
        <v>45078.181273148148</v>
      </c>
      <c r="AG2387" s="85">
        <v>45078</v>
      </c>
      <c r="AH2387" s="80" t="s">
        <v>12728</v>
      </c>
      <c r="AI2387" s="77" t="b">
        <v>0</v>
      </c>
      <c r="AJ2387" s="77"/>
      <c r="AK2387" s="77"/>
      <c r="AL2387" s="77"/>
      <c r="AM2387" s="77"/>
      <c r="AN2387" s="77"/>
      <c r="AO2387" s="77"/>
      <c r="AP2387" s="77"/>
      <c r="AQ2387" s="77" t="s">
        <v>15215</v>
      </c>
      <c r="AR2387" s="77"/>
      <c r="AS2387" s="77"/>
      <c r="AT2387" s="77"/>
      <c r="AU2387" s="77"/>
      <c r="AV2387" s="83" t="str">
        <f>HYPERLINK("https://pbs.twimg.com/media/FxgoX8MXwAApb8Z.jpg")</f>
        <v>https://pbs.twimg.com/media/FxgoX8MXwAApb8Z.jpg</v>
      </c>
      <c r="AW2387" s="80" t="s">
        <v>18197</v>
      </c>
      <c r="AX2387" s="80" t="s">
        <v>18197</v>
      </c>
      <c r="AY2387" s="77"/>
      <c r="AZ2387" s="80" t="s">
        <v>20380</v>
      </c>
      <c r="BA2387" s="80" t="s">
        <v>20380</v>
      </c>
      <c r="BB2387" s="80" t="s">
        <v>20380</v>
      </c>
      <c r="BC2387" s="80" t="s">
        <v>18197</v>
      </c>
      <c r="BD2387" s="80" t="s">
        <v>20866</v>
      </c>
      <c r="BE2387" s="77"/>
      <c r="BF2387" s="77"/>
      <c r="BG2387" s="77"/>
      <c r="BH2387" s="77"/>
      <c r="BI2387" s="77"/>
    </row>
    <row r="2388" spans="1:61" x14ac:dyDescent="0.25">
      <c r="A2388" s="62" t="s">
        <v>989</v>
      </c>
      <c r="B2388" s="62" t="s">
        <v>1006</v>
      </c>
      <c r="C2388" s="63"/>
      <c r="D2388" s="64"/>
      <c r="E2388" s="65"/>
      <c r="F2388" s="66"/>
      <c r="G2388" s="63"/>
      <c r="H2388" s="67"/>
      <c r="I2388" s="68"/>
      <c r="J2388" s="68"/>
      <c r="K2388" s="32"/>
      <c r="L2388" s="75">
        <v>2388</v>
      </c>
      <c r="M2388" s="75"/>
      <c r="N2388" s="70"/>
      <c r="O2388" s="77" t="s">
        <v>2085</v>
      </c>
      <c r="P2388" s="79">
        <v>45192.140497685185</v>
      </c>
      <c r="Q2388" s="77" t="s">
        <v>4036</v>
      </c>
      <c r="R2388" s="77">
        <v>3</v>
      </c>
      <c r="S2388" s="77">
        <v>0</v>
      </c>
      <c r="T2388" s="77">
        <v>0</v>
      </c>
      <c r="U2388" s="77">
        <v>0</v>
      </c>
      <c r="V2388" s="77"/>
      <c r="W2388" s="77"/>
      <c r="X2388" s="83" t="str">
        <f>HYPERLINK("https://www.baopina.com/2023/09/22/milei-en-parque-norte-la-locura-no-es-cerrar-el-banco-central-sino-tenerlo/")</f>
        <v>https://www.baopina.com/2023/09/22/milei-en-parque-norte-la-locura-no-es-cerrar-el-banco-central-sino-tenerlo/</v>
      </c>
      <c r="Y2388" s="77" t="s">
        <v>8770</v>
      </c>
      <c r="Z2388" s="77" t="s">
        <v>8972</v>
      </c>
      <c r="AA2388" s="77"/>
      <c r="AB2388" s="77"/>
      <c r="AC2388" s="80" t="s">
        <v>10541</v>
      </c>
      <c r="AD2388" s="77" t="s">
        <v>10620</v>
      </c>
      <c r="AE2388" s="83" t="str">
        <f>HYPERLINK("https://twitter.com/unioperiodistic/status/1705422314735648865")</f>
        <v>https://twitter.com/unioperiodistic/status/1705422314735648865</v>
      </c>
      <c r="AF2388" s="79">
        <v>45192.140497685185</v>
      </c>
      <c r="AG2388" s="85">
        <v>45192</v>
      </c>
      <c r="AH2388" s="80" t="s">
        <v>12729</v>
      </c>
      <c r="AI2388" s="77" t="b">
        <v>0</v>
      </c>
      <c r="AJ2388" s="77"/>
      <c r="AK2388" s="77"/>
      <c r="AL2388" s="77"/>
      <c r="AM2388" s="77"/>
      <c r="AN2388" s="77"/>
      <c r="AO2388" s="77"/>
      <c r="AP2388" s="77"/>
      <c r="AQ2388" s="77"/>
      <c r="AR2388" s="77"/>
      <c r="AS2388" s="77"/>
      <c r="AT2388" s="77"/>
      <c r="AU2388" s="77"/>
      <c r="AV2388" s="83" t="str">
        <f>HYPERLINK("https://pbs.twimg.com/profile_images/1582998555714899969/AN6KHRli_normal.jpg")</f>
        <v>https://pbs.twimg.com/profile_images/1582998555714899969/AN6KHRli_normal.jpg</v>
      </c>
      <c r="AW2388" s="80" t="s">
        <v>18198</v>
      </c>
      <c r="AX2388" s="80" t="s">
        <v>18198</v>
      </c>
      <c r="AY2388" s="77"/>
      <c r="AZ2388" s="80" t="s">
        <v>20380</v>
      </c>
      <c r="BA2388" s="80" t="s">
        <v>20380</v>
      </c>
      <c r="BB2388" s="80" t="s">
        <v>18232</v>
      </c>
      <c r="BC2388" s="80" t="s">
        <v>18232</v>
      </c>
      <c r="BD2388" s="80" t="s">
        <v>20867</v>
      </c>
      <c r="BE2388" s="77"/>
      <c r="BF2388" s="77"/>
      <c r="BG2388" s="77"/>
      <c r="BH2388" s="77"/>
      <c r="BI2388" s="77"/>
    </row>
    <row r="2389" spans="1:61" x14ac:dyDescent="0.25">
      <c r="A2389" s="62" t="s">
        <v>989</v>
      </c>
      <c r="B2389" s="62" t="s">
        <v>1006</v>
      </c>
      <c r="C2389" s="63"/>
      <c r="D2389" s="64"/>
      <c r="E2389" s="65"/>
      <c r="F2389" s="66"/>
      <c r="G2389" s="63"/>
      <c r="H2389" s="67"/>
      <c r="I2389" s="68"/>
      <c r="J2389" s="68"/>
      <c r="K2389" s="32"/>
      <c r="L2389" s="75">
        <v>2389</v>
      </c>
      <c r="M2389" s="75"/>
      <c r="N2389" s="70"/>
      <c r="O2389" s="77" t="s">
        <v>2083</v>
      </c>
      <c r="P2389" s="79">
        <v>45192.140497685185</v>
      </c>
      <c r="Q2389" s="77" t="s">
        <v>4036</v>
      </c>
      <c r="R2389" s="77">
        <v>3</v>
      </c>
      <c r="S2389" s="77">
        <v>0</v>
      </c>
      <c r="T2389" s="77">
        <v>0</v>
      </c>
      <c r="U2389" s="77">
        <v>0</v>
      </c>
      <c r="V2389" s="77"/>
      <c r="W2389" s="77"/>
      <c r="X2389" s="83" t="str">
        <f>HYPERLINK("https://www.baopina.com/2023/09/22/milei-en-parque-norte-la-locura-no-es-cerrar-el-banco-central-sino-tenerlo/")</f>
        <v>https://www.baopina.com/2023/09/22/milei-en-parque-norte-la-locura-no-es-cerrar-el-banco-central-sino-tenerlo/</v>
      </c>
      <c r="Y2389" s="77" t="s">
        <v>8770</v>
      </c>
      <c r="Z2389" s="77" t="s">
        <v>8972</v>
      </c>
      <c r="AA2389" s="77"/>
      <c r="AB2389" s="77"/>
      <c r="AC2389" s="80" t="s">
        <v>10541</v>
      </c>
      <c r="AD2389" s="77" t="s">
        <v>10620</v>
      </c>
      <c r="AE2389" s="83" t="str">
        <f>HYPERLINK("https://twitter.com/unioperiodistic/status/1705422314735648865")</f>
        <v>https://twitter.com/unioperiodistic/status/1705422314735648865</v>
      </c>
      <c r="AF2389" s="79">
        <v>45192.140497685185</v>
      </c>
      <c r="AG2389" s="85">
        <v>45192</v>
      </c>
      <c r="AH2389" s="80" t="s">
        <v>12729</v>
      </c>
      <c r="AI2389" s="77" t="b">
        <v>0</v>
      </c>
      <c r="AJ2389" s="77"/>
      <c r="AK2389" s="77"/>
      <c r="AL2389" s="77"/>
      <c r="AM2389" s="77"/>
      <c r="AN2389" s="77"/>
      <c r="AO2389" s="77"/>
      <c r="AP2389" s="77"/>
      <c r="AQ2389" s="77"/>
      <c r="AR2389" s="77"/>
      <c r="AS2389" s="77"/>
      <c r="AT2389" s="77"/>
      <c r="AU2389" s="77"/>
      <c r="AV2389" s="83" t="str">
        <f>HYPERLINK("https://pbs.twimg.com/profile_images/1582998555714899969/AN6KHRli_normal.jpg")</f>
        <v>https://pbs.twimg.com/profile_images/1582998555714899969/AN6KHRli_normal.jpg</v>
      </c>
      <c r="AW2389" s="80" t="s">
        <v>18198</v>
      </c>
      <c r="AX2389" s="80" t="s">
        <v>18198</v>
      </c>
      <c r="AY2389" s="77"/>
      <c r="AZ2389" s="80" t="s">
        <v>20380</v>
      </c>
      <c r="BA2389" s="80" t="s">
        <v>20380</v>
      </c>
      <c r="BB2389" s="80" t="s">
        <v>18232</v>
      </c>
      <c r="BC2389" s="80" t="s">
        <v>18232</v>
      </c>
      <c r="BD2389" s="80" t="s">
        <v>20867</v>
      </c>
      <c r="BE2389" s="77"/>
      <c r="BF2389" s="77"/>
      <c r="BG2389" s="77"/>
      <c r="BH2389" s="77"/>
      <c r="BI2389" s="77"/>
    </row>
    <row r="2390" spans="1:61" x14ac:dyDescent="0.25">
      <c r="A2390" s="62" t="s">
        <v>990</v>
      </c>
      <c r="B2390" s="62" t="s">
        <v>1760</v>
      </c>
      <c r="C2390" s="63"/>
      <c r="D2390" s="64"/>
      <c r="E2390" s="65"/>
      <c r="F2390" s="66"/>
      <c r="G2390" s="63"/>
      <c r="H2390" s="67"/>
      <c r="I2390" s="68"/>
      <c r="J2390" s="68"/>
      <c r="K2390" s="32"/>
      <c r="L2390" s="75">
        <v>2390</v>
      </c>
      <c r="M2390" s="75"/>
      <c r="N2390" s="70"/>
      <c r="O2390" s="77" t="s">
        <v>2081</v>
      </c>
      <c r="P2390" s="79">
        <v>45054.619328703702</v>
      </c>
      <c r="Q2390" s="77" t="s">
        <v>4201</v>
      </c>
      <c r="R2390" s="77">
        <v>0</v>
      </c>
      <c r="S2390" s="77">
        <v>0</v>
      </c>
      <c r="T2390" s="77">
        <v>0</v>
      </c>
      <c r="U2390" s="77">
        <v>0</v>
      </c>
      <c r="V2390" s="77">
        <v>51</v>
      </c>
      <c r="W2390" s="80" t="s">
        <v>7407</v>
      </c>
      <c r="X2390" s="77"/>
      <c r="Y2390" s="77"/>
      <c r="Z2390" s="77" t="s">
        <v>1760</v>
      </c>
      <c r="AA2390" s="77"/>
      <c r="AB2390" s="77"/>
      <c r="AC2390" s="80" t="s">
        <v>10540</v>
      </c>
      <c r="AD2390" s="77" t="s">
        <v>10617</v>
      </c>
      <c r="AE2390" s="83" t="str">
        <f>HYPERLINK("https://twitter.com/juliocf89/status/1655586311791624200")</f>
        <v>https://twitter.com/juliocf89/status/1655586311791624200</v>
      </c>
      <c r="AF2390" s="79">
        <v>45054.619328703702</v>
      </c>
      <c r="AG2390" s="85">
        <v>45054</v>
      </c>
      <c r="AH2390" s="80" t="s">
        <v>12730</v>
      </c>
      <c r="AI2390" s="77"/>
      <c r="AJ2390" s="77"/>
      <c r="AK2390" s="77"/>
      <c r="AL2390" s="77"/>
      <c r="AM2390" s="77"/>
      <c r="AN2390" s="77"/>
      <c r="AO2390" s="77"/>
      <c r="AP2390" s="77"/>
      <c r="AQ2390" s="77"/>
      <c r="AR2390" s="77"/>
      <c r="AS2390" s="77"/>
      <c r="AT2390" s="77"/>
      <c r="AU2390" s="77"/>
      <c r="AV2390" s="83" t="str">
        <f>HYPERLINK("https://pbs.twimg.com/profile_images/1675169585874468864/RBzspNIj_normal.jpg")</f>
        <v>https://pbs.twimg.com/profile_images/1675169585874468864/RBzspNIj_normal.jpg</v>
      </c>
      <c r="AW2390" s="80" t="s">
        <v>18199</v>
      </c>
      <c r="AX2390" s="80" t="s">
        <v>18199</v>
      </c>
      <c r="AY2390" s="77"/>
      <c r="AZ2390" s="80" t="s">
        <v>20380</v>
      </c>
      <c r="BA2390" s="80" t="s">
        <v>20380</v>
      </c>
      <c r="BB2390" s="80" t="s">
        <v>20380</v>
      </c>
      <c r="BC2390" s="80" t="s">
        <v>18199</v>
      </c>
      <c r="BD2390" s="80" t="s">
        <v>20868</v>
      </c>
      <c r="BE2390" s="77"/>
      <c r="BF2390" s="77"/>
      <c r="BG2390" s="77"/>
      <c r="BH2390" s="77"/>
      <c r="BI2390" s="77"/>
    </row>
    <row r="2391" spans="1:61" x14ac:dyDescent="0.25">
      <c r="A2391" s="62" t="s">
        <v>991</v>
      </c>
      <c r="B2391" s="62" t="s">
        <v>470</v>
      </c>
      <c r="C2391" s="63"/>
      <c r="D2391" s="64"/>
      <c r="E2391" s="65"/>
      <c r="F2391" s="66"/>
      <c r="G2391" s="63"/>
      <c r="H2391" s="67"/>
      <c r="I2391" s="68"/>
      <c r="J2391" s="68"/>
      <c r="K2391" s="32"/>
      <c r="L2391" s="75">
        <v>2391</v>
      </c>
      <c r="M2391" s="75"/>
      <c r="N2391" s="70"/>
      <c r="O2391" s="77" t="s">
        <v>2083</v>
      </c>
      <c r="P2391" s="79">
        <v>45188.674837962964</v>
      </c>
      <c r="Q2391" s="77" t="s">
        <v>4202</v>
      </c>
      <c r="R2391" s="77">
        <v>1</v>
      </c>
      <c r="S2391" s="77">
        <v>0</v>
      </c>
      <c r="T2391" s="77">
        <v>0</v>
      </c>
      <c r="U2391" s="77">
        <v>0</v>
      </c>
      <c r="V2391" s="77"/>
      <c r="W2391" s="80" t="s">
        <v>7408</v>
      </c>
      <c r="X2391" s="77"/>
      <c r="Y2391" s="77"/>
      <c r="Z2391" s="77" t="s">
        <v>470</v>
      </c>
      <c r="AA2391" s="77"/>
      <c r="AB2391" s="77"/>
      <c r="AC2391" s="80" t="s">
        <v>10541</v>
      </c>
      <c r="AD2391" s="77" t="s">
        <v>10617</v>
      </c>
      <c r="AE2391" s="83" t="str">
        <f>HYPERLINK("https://twitter.com/izzo_douglas/status/1704166399390753282")</f>
        <v>https://twitter.com/izzo_douglas/status/1704166399390753282</v>
      </c>
      <c r="AF2391" s="79">
        <v>45188.674837962964</v>
      </c>
      <c r="AG2391" s="85">
        <v>45188</v>
      </c>
      <c r="AH2391" s="80" t="s">
        <v>12731</v>
      </c>
      <c r="AI2391" s="77"/>
      <c r="AJ2391" s="77"/>
      <c r="AK2391" s="77"/>
      <c r="AL2391" s="77"/>
      <c r="AM2391" s="77"/>
      <c r="AN2391" s="77"/>
      <c r="AO2391" s="77"/>
      <c r="AP2391" s="77"/>
      <c r="AQ2391" s="77"/>
      <c r="AR2391" s="77"/>
      <c r="AS2391" s="77"/>
      <c r="AT2391" s="77"/>
      <c r="AU2391" s="77"/>
      <c r="AV2391" s="83" t="str">
        <f>HYPERLINK("https://pbs.twimg.com/profile_images/1668683927936966674/V9IjuNVA_normal.jpg")</f>
        <v>https://pbs.twimg.com/profile_images/1668683927936966674/V9IjuNVA_normal.jpg</v>
      </c>
      <c r="AW2391" s="80" t="s">
        <v>18200</v>
      </c>
      <c r="AX2391" s="80" t="s">
        <v>18200</v>
      </c>
      <c r="AY2391" s="77"/>
      <c r="AZ2391" s="80" t="s">
        <v>20380</v>
      </c>
      <c r="BA2391" s="80" t="s">
        <v>20380</v>
      </c>
      <c r="BB2391" s="80" t="s">
        <v>16575</v>
      </c>
      <c r="BC2391" s="80" t="s">
        <v>16575</v>
      </c>
      <c r="BD2391" s="80" t="s">
        <v>20869</v>
      </c>
      <c r="BE2391" s="77"/>
      <c r="BF2391" s="77"/>
      <c r="BG2391" s="77"/>
      <c r="BH2391" s="77"/>
      <c r="BI2391" s="77"/>
    </row>
    <row r="2392" spans="1:61" x14ac:dyDescent="0.25">
      <c r="A2392" s="62" t="s">
        <v>992</v>
      </c>
      <c r="B2392" s="62" t="s">
        <v>992</v>
      </c>
      <c r="C2392" s="63"/>
      <c r="D2392" s="64"/>
      <c r="E2392" s="65"/>
      <c r="F2392" s="66"/>
      <c r="G2392" s="63"/>
      <c r="H2392" s="67"/>
      <c r="I2392" s="68"/>
      <c r="J2392" s="68"/>
      <c r="K2392" s="32"/>
      <c r="L2392" s="75">
        <v>2392</v>
      </c>
      <c r="M2392" s="75"/>
      <c r="N2392" s="70"/>
      <c r="O2392" s="77" t="s">
        <v>179</v>
      </c>
      <c r="P2392" s="79">
        <v>45152.384965277779</v>
      </c>
      <c r="Q2392" s="77" t="s">
        <v>4203</v>
      </c>
      <c r="R2392" s="77">
        <v>0</v>
      </c>
      <c r="S2392" s="77">
        <v>0</v>
      </c>
      <c r="T2392" s="77">
        <v>0</v>
      </c>
      <c r="U2392" s="77">
        <v>0</v>
      </c>
      <c r="V2392" s="77">
        <v>21</v>
      </c>
      <c r="W2392" s="80" t="s">
        <v>7409</v>
      </c>
      <c r="X2392" s="83" t="str">
        <f>HYPERLINK("https://youtu.be/KxA8w7LvmFQ")</f>
        <v>https://youtu.be/KxA8w7LvmFQ</v>
      </c>
      <c r="Y2392" s="77" t="s">
        <v>8635</v>
      </c>
      <c r="Z2392" s="77"/>
      <c r="AA2392" s="77"/>
      <c r="AB2392" s="77"/>
      <c r="AC2392" s="80" t="s">
        <v>10542</v>
      </c>
      <c r="AD2392" s="77" t="s">
        <v>10627</v>
      </c>
      <c r="AE2392" s="83" t="str">
        <f>HYPERLINK("https://twitter.com/rafaelfmaciel/status/1691015392603353088")</f>
        <v>https://twitter.com/rafaelfmaciel/status/1691015392603353088</v>
      </c>
      <c r="AF2392" s="79">
        <v>45152.384965277779</v>
      </c>
      <c r="AG2392" s="85">
        <v>45152</v>
      </c>
      <c r="AH2392" s="80" t="s">
        <v>12732</v>
      </c>
      <c r="AI2392" s="77" t="b">
        <v>0</v>
      </c>
      <c r="AJ2392" s="77"/>
      <c r="AK2392" s="77"/>
      <c r="AL2392" s="77"/>
      <c r="AM2392" s="77"/>
      <c r="AN2392" s="77"/>
      <c r="AO2392" s="77"/>
      <c r="AP2392" s="77"/>
      <c r="AQ2392" s="77"/>
      <c r="AR2392" s="77"/>
      <c r="AS2392" s="77"/>
      <c r="AT2392" s="77"/>
      <c r="AU2392" s="77"/>
      <c r="AV2392" s="83" t="str">
        <f>HYPERLINK("https://pbs.twimg.com/profile_images/1501897686156468226/vRKnTgIP_normal.jpg")</f>
        <v>https://pbs.twimg.com/profile_images/1501897686156468226/vRKnTgIP_normal.jpg</v>
      </c>
      <c r="AW2392" s="80" t="s">
        <v>18201</v>
      </c>
      <c r="AX2392" s="80" t="s">
        <v>18201</v>
      </c>
      <c r="AY2392" s="77"/>
      <c r="AZ2392" s="80" t="s">
        <v>20380</v>
      </c>
      <c r="BA2392" s="80" t="s">
        <v>20380</v>
      </c>
      <c r="BB2392" s="80" t="s">
        <v>20380</v>
      </c>
      <c r="BC2392" s="80" t="s">
        <v>18201</v>
      </c>
      <c r="BD2392" s="77">
        <v>49744872</v>
      </c>
      <c r="BE2392" s="77"/>
      <c r="BF2392" s="77"/>
      <c r="BG2392" s="77"/>
      <c r="BH2392" s="77"/>
      <c r="BI2392" s="77"/>
    </row>
    <row r="2393" spans="1:61" x14ac:dyDescent="0.25">
      <c r="A2393" s="62" t="s">
        <v>993</v>
      </c>
      <c r="B2393" s="62" t="s">
        <v>993</v>
      </c>
      <c r="C2393" s="63"/>
      <c r="D2393" s="64"/>
      <c r="E2393" s="65"/>
      <c r="F2393" s="66"/>
      <c r="G2393" s="63"/>
      <c r="H2393" s="67"/>
      <c r="I2393" s="68"/>
      <c r="J2393" s="68"/>
      <c r="K2393" s="32"/>
      <c r="L2393" s="75">
        <v>2393</v>
      </c>
      <c r="M2393" s="75"/>
      <c r="N2393" s="70"/>
      <c r="O2393" s="77" t="s">
        <v>179</v>
      </c>
      <c r="P2393" s="79">
        <v>45195.805347222224</v>
      </c>
      <c r="Q2393" s="77" t="s">
        <v>4204</v>
      </c>
      <c r="R2393" s="77">
        <v>0</v>
      </c>
      <c r="S2393" s="77">
        <v>0</v>
      </c>
      <c r="T2393" s="77">
        <v>0</v>
      </c>
      <c r="U2393" s="77">
        <v>0</v>
      </c>
      <c r="V2393" s="77">
        <v>98</v>
      </c>
      <c r="W2393" s="80" t="s">
        <v>7410</v>
      </c>
      <c r="X2393" s="77"/>
      <c r="Y2393" s="77"/>
      <c r="Z2393" s="77"/>
      <c r="AA2393" s="77"/>
      <c r="AB2393" s="77"/>
      <c r="AC2393" s="80" t="s">
        <v>10540</v>
      </c>
      <c r="AD2393" s="77" t="s">
        <v>10620</v>
      </c>
      <c r="AE2393" s="83" t="str">
        <f>HYPERLINK("https://twitter.com/soyhodler/status/1706750409858002963")</f>
        <v>https://twitter.com/soyhodler/status/1706750409858002963</v>
      </c>
      <c r="AF2393" s="79">
        <v>45195.805347222224</v>
      </c>
      <c r="AG2393" s="85">
        <v>45195</v>
      </c>
      <c r="AH2393" s="80" t="s">
        <v>12733</v>
      </c>
      <c r="AI2393" s="77"/>
      <c r="AJ2393" s="77" t="s">
        <v>14362</v>
      </c>
      <c r="AK2393" s="77" t="s">
        <v>14383</v>
      </c>
      <c r="AL2393" s="77" t="s">
        <v>14392</v>
      </c>
      <c r="AM2393" s="77" t="s">
        <v>14419</v>
      </c>
      <c r="AN2393" s="77" t="s">
        <v>14459</v>
      </c>
      <c r="AO2393" s="77" t="s">
        <v>14498</v>
      </c>
      <c r="AP2393" s="77" t="s">
        <v>14516</v>
      </c>
      <c r="AQ2393" s="77"/>
      <c r="AR2393" s="77"/>
      <c r="AS2393" s="77"/>
      <c r="AT2393" s="77"/>
      <c r="AU2393" s="77"/>
      <c r="AV2393" s="83" t="str">
        <f>HYPERLINK("https://pbs.twimg.com/profile_images/1512109976138956801/5IIG-7ND_normal.jpg")</f>
        <v>https://pbs.twimg.com/profile_images/1512109976138956801/5IIG-7ND_normal.jpg</v>
      </c>
      <c r="AW2393" s="80" t="s">
        <v>18202</v>
      </c>
      <c r="AX2393" s="80" t="s">
        <v>18202</v>
      </c>
      <c r="AY2393" s="77"/>
      <c r="AZ2393" s="80" t="s">
        <v>20380</v>
      </c>
      <c r="BA2393" s="80" t="s">
        <v>20380</v>
      </c>
      <c r="BB2393" s="80" t="s">
        <v>20380</v>
      </c>
      <c r="BC2393" s="80" t="s">
        <v>18202</v>
      </c>
      <c r="BD2393" s="80" t="s">
        <v>20870</v>
      </c>
      <c r="BE2393" s="77"/>
      <c r="BF2393" s="77"/>
      <c r="BG2393" s="77"/>
      <c r="BH2393" s="77"/>
      <c r="BI2393" s="77"/>
    </row>
    <row r="2394" spans="1:61" x14ac:dyDescent="0.25">
      <c r="A2394" s="62" t="s">
        <v>994</v>
      </c>
      <c r="B2394" s="62" t="s">
        <v>994</v>
      </c>
      <c r="C2394" s="63"/>
      <c r="D2394" s="64"/>
      <c r="E2394" s="65"/>
      <c r="F2394" s="66"/>
      <c r="G2394" s="63"/>
      <c r="H2394" s="67"/>
      <c r="I2394" s="68"/>
      <c r="J2394" s="68"/>
      <c r="K2394" s="32"/>
      <c r="L2394" s="75">
        <v>2394</v>
      </c>
      <c r="M2394" s="75"/>
      <c r="N2394" s="70"/>
      <c r="O2394" s="77" t="s">
        <v>179</v>
      </c>
      <c r="P2394" s="79">
        <v>45169.739583333336</v>
      </c>
      <c r="Q2394" s="77" t="s">
        <v>4205</v>
      </c>
      <c r="R2394" s="77">
        <v>1</v>
      </c>
      <c r="S2394" s="77">
        <v>1</v>
      </c>
      <c r="T2394" s="77">
        <v>0</v>
      </c>
      <c r="U2394" s="77">
        <v>0</v>
      </c>
      <c r="V2394" s="77">
        <v>46</v>
      </c>
      <c r="W2394" s="80" t="s">
        <v>7411</v>
      </c>
      <c r="X2394" s="77"/>
      <c r="Y2394" s="77"/>
      <c r="Z2394" s="77"/>
      <c r="AA2394" s="77" t="s">
        <v>9734</v>
      </c>
      <c r="AB2394" s="77" t="s">
        <v>10534</v>
      </c>
      <c r="AC2394" s="80" t="s">
        <v>10541</v>
      </c>
      <c r="AD2394" s="77" t="s">
        <v>10617</v>
      </c>
      <c r="AE2394" s="83" t="str">
        <f>HYPERLINK("https://twitter.com/semontcorretora/status/1697304493103387119")</f>
        <v>https://twitter.com/semontcorretora/status/1697304493103387119</v>
      </c>
      <c r="AF2394" s="79">
        <v>45169.739583333336</v>
      </c>
      <c r="AG2394" s="85">
        <v>45169</v>
      </c>
      <c r="AH2394" s="80" t="s">
        <v>12734</v>
      </c>
      <c r="AI2394" s="77" t="b">
        <v>0</v>
      </c>
      <c r="AJ2394" s="77"/>
      <c r="AK2394" s="77"/>
      <c r="AL2394" s="77"/>
      <c r="AM2394" s="77"/>
      <c r="AN2394" s="77"/>
      <c r="AO2394" s="77"/>
      <c r="AP2394" s="77"/>
      <c r="AQ2394" s="77" t="s">
        <v>15216</v>
      </c>
      <c r="AR2394" s="77">
        <v>30480</v>
      </c>
      <c r="AS2394" s="77"/>
      <c r="AT2394" s="77"/>
      <c r="AU2394" s="77"/>
      <c r="AV2394" s="83" t="str">
        <f>HYPERLINK("https://pbs.twimg.com/ext_tw_video_thumb/1697230773311385600/pu/img/aml1O71CLiQMLvXZ.jpg")</f>
        <v>https://pbs.twimg.com/ext_tw_video_thumb/1697230773311385600/pu/img/aml1O71CLiQMLvXZ.jpg</v>
      </c>
      <c r="AW2394" s="80" t="s">
        <v>18203</v>
      </c>
      <c r="AX2394" s="80" t="s">
        <v>18203</v>
      </c>
      <c r="AY2394" s="77"/>
      <c r="AZ2394" s="80" t="s">
        <v>20380</v>
      </c>
      <c r="BA2394" s="80" t="s">
        <v>20380</v>
      </c>
      <c r="BB2394" s="80" t="s">
        <v>20380</v>
      </c>
      <c r="BC2394" s="80" t="s">
        <v>18203</v>
      </c>
      <c r="BD2394" s="80" t="s">
        <v>20871</v>
      </c>
      <c r="BE2394" s="77"/>
      <c r="BF2394" s="77"/>
      <c r="BG2394" s="77"/>
      <c r="BH2394" s="77"/>
      <c r="BI2394" s="77"/>
    </row>
    <row r="2395" spans="1:61" x14ac:dyDescent="0.25">
      <c r="A2395" s="62" t="s">
        <v>994</v>
      </c>
      <c r="B2395" s="62" t="s">
        <v>994</v>
      </c>
      <c r="C2395" s="63"/>
      <c r="D2395" s="64"/>
      <c r="E2395" s="65"/>
      <c r="F2395" s="66"/>
      <c r="G2395" s="63"/>
      <c r="H2395" s="67"/>
      <c r="I2395" s="68"/>
      <c r="J2395" s="68"/>
      <c r="K2395" s="32"/>
      <c r="L2395" s="75">
        <v>2395</v>
      </c>
      <c r="M2395" s="75"/>
      <c r="N2395" s="70"/>
      <c r="O2395" s="77" t="s">
        <v>179</v>
      </c>
      <c r="P2395" s="79">
        <v>45169.635416666664</v>
      </c>
      <c r="Q2395" s="77" t="s">
        <v>4206</v>
      </c>
      <c r="R2395" s="77">
        <v>1</v>
      </c>
      <c r="S2395" s="77">
        <v>1</v>
      </c>
      <c r="T2395" s="77">
        <v>0</v>
      </c>
      <c r="U2395" s="77">
        <v>0</v>
      </c>
      <c r="V2395" s="77">
        <v>36</v>
      </c>
      <c r="W2395" s="80" t="s">
        <v>7411</v>
      </c>
      <c r="X2395" s="77"/>
      <c r="Y2395" s="77"/>
      <c r="Z2395" s="77"/>
      <c r="AA2395" s="77" t="s">
        <v>9735</v>
      </c>
      <c r="AB2395" s="77" t="s">
        <v>10535</v>
      </c>
      <c r="AC2395" s="80" t="s">
        <v>10541</v>
      </c>
      <c r="AD2395" s="77" t="s">
        <v>10617</v>
      </c>
      <c r="AE2395" s="83" t="str">
        <f>HYPERLINK("https://twitter.com/semontcorretora/status/1697266745088582050")</f>
        <v>https://twitter.com/semontcorretora/status/1697266745088582050</v>
      </c>
      <c r="AF2395" s="79">
        <v>45169.635416666664</v>
      </c>
      <c r="AG2395" s="85">
        <v>45169</v>
      </c>
      <c r="AH2395" s="80" t="s">
        <v>12735</v>
      </c>
      <c r="AI2395" s="77" t="b">
        <v>0</v>
      </c>
      <c r="AJ2395" s="77"/>
      <c r="AK2395" s="77"/>
      <c r="AL2395" s="77"/>
      <c r="AM2395" s="77"/>
      <c r="AN2395" s="77"/>
      <c r="AO2395" s="77"/>
      <c r="AP2395" s="77"/>
      <c r="AQ2395" s="77" t="s">
        <v>15217</v>
      </c>
      <c r="AR2395" s="77"/>
      <c r="AS2395" s="77"/>
      <c r="AT2395" s="77"/>
      <c r="AU2395" s="77"/>
      <c r="AV2395" s="83" t="str">
        <f>HYPERLINK("https://pbs.twimg.com/media/F43AT6mWcAArRvz.jpg")</f>
        <v>https://pbs.twimg.com/media/F43AT6mWcAArRvz.jpg</v>
      </c>
      <c r="AW2395" s="80" t="s">
        <v>18204</v>
      </c>
      <c r="AX2395" s="80" t="s">
        <v>18204</v>
      </c>
      <c r="AY2395" s="77"/>
      <c r="AZ2395" s="80" t="s">
        <v>20380</v>
      </c>
      <c r="BA2395" s="80" t="s">
        <v>20380</v>
      </c>
      <c r="BB2395" s="80" t="s">
        <v>20380</v>
      </c>
      <c r="BC2395" s="80" t="s">
        <v>18204</v>
      </c>
      <c r="BD2395" s="80" t="s">
        <v>20871</v>
      </c>
      <c r="BE2395" s="77"/>
      <c r="BF2395" s="77"/>
      <c r="BG2395" s="77"/>
      <c r="BH2395" s="77"/>
      <c r="BI2395" s="77"/>
    </row>
    <row r="2396" spans="1:61" x14ac:dyDescent="0.25">
      <c r="A2396" s="62" t="s">
        <v>995</v>
      </c>
      <c r="B2396" s="62" t="s">
        <v>1934</v>
      </c>
      <c r="C2396" s="63"/>
      <c r="D2396" s="64"/>
      <c r="E2396" s="65"/>
      <c r="F2396" s="66"/>
      <c r="G2396" s="63"/>
      <c r="H2396" s="67"/>
      <c r="I2396" s="68"/>
      <c r="J2396" s="68"/>
      <c r="K2396" s="32"/>
      <c r="L2396" s="75">
        <v>2396</v>
      </c>
      <c r="M2396" s="75"/>
      <c r="N2396" s="70"/>
      <c r="O2396" s="77" t="s">
        <v>2078</v>
      </c>
      <c r="P2396" s="79">
        <v>45164.901458333334</v>
      </c>
      <c r="Q2396" s="77" t="s">
        <v>4207</v>
      </c>
      <c r="R2396" s="77">
        <v>0</v>
      </c>
      <c r="S2396" s="77">
        <v>0</v>
      </c>
      <c r="T2396" s="77">
        <v>0</v>
      </c>
      <c r="U2396" s="77">
        <v>0</v>
      </c>
      <c r="V2396" s="77">
        <v>56</v>
      </c>
      <c r="W2396" s="80" t="s">
        <v>6885</v>
      </c>
      <c r="X2396" s="77"/>
      <c r="Y2396" s="77"/>
      <c r="Z2396" s="77" t="s">
        <v>1934</v>
      </c>
      <c r="AA2396" s="77"/>
      <c r="AB2396" s="77"/>
      <c r="AC2396" s="80" t="s">
        <v>10540</v>
      </c>
      <c r="AD2396" s="77" t="s">
        <v>10620</v>
      </c>
      <c r="AE2396" s="83" t="str">
        <f>HYPERLINK("https://twitter.com/marcovg76/status/1695551214660858020")</f>
        <v>https://twitter.com/marcovg76/status/1695551214660858020</v>
      </c>
      <c r="AF2396" s="79">
        <v>45164.901458333334</v>
      </c>
      <c r="AG2396" s="85">
        <v>45164</v>
      </c>
      <c r="AH2396" s="80" t="s">
        <v>12736</v>
      </c>
      <c r="AI2396" s="77"/>
      <c r="AJ2396" s="77"/>
      <c r="AK2396" s="77"/>
      <c r="AL2396" s="77"/>
      <c r="AM2396" s="77"/>
      <c r="AN2396" s="77"/>
      <c r="AO2396" s="77"/>
      <c r="AP2396" s="77"/>
      <c r="AQ2396" s="77"/>
      <c r="AR2396" s="77"/>
      <c r="AS2396" s="77"/>
      <c r="AT2396" s="77"/>
      <c r="AU2396" s="77"/>
      <c r="AV2396" s="83" t="str">
        <f>HYPERLINK("https://pbs.twimg.com/profile_images/1704474825643716608/CkMe0RIX_normal.jpg")</f>
        <v>https://pbs.twimg.com/profile_images/1704474825643716608/CkMe0RIX_normal.jpg</v>
      </c>
      <c r="AW2396" s="80" t="s">
        <v>18205</v>
      </c>
      <c r="AX2396" s="80" t="s">
        <v>20062</v>
      </c>
      <c r="AY2396" s="80" t="s">
        <v>20314</v>
      </c>
      <c r="AZ2396" s="80" t="s">
        <v>20062</v>
      </c>
      <c r="BA2396" s="80" t="s">
        <v>20380</v>
      </c>
      <c r="BB2396" s="80" t="s">
        <v>20380</v>
      </c>
      <c r="BC2396" s="80" t="s">
        <v>20062</v>
      </c>
      <c r="BD2396" s="80" t="s">
        <v>20872</v>
      </c>
      <c r="BE2396" s="77"/>
      <c r="BF2396" s="77"/>
      <c r="BG2396" s="77"/>
      <c r="BH2396" s="77"/>
      <c r="BI2396" s="77"/>
    </row>
    <row r="2397" spans="1:61" x14ac:dyDescent="0.25">
      <c r="A2397" s="62" t="s">
        <v>996</v>
      </c>
      <c r="B2397" s="62" t="s">
        <v>996</v>
      </c>
      <c r="C2397" s="63"/>
      <c r="D2397" s="64"/>
      <c r="E2397" s="65"/>
      <c r="F2397" s="66"/>
      <c r="G2397" s="63"/>
      <c r="H2397" s="67"/>
      <c r="I2397" s="68"/>
      <c r="J2397" s="68"/>
      <c r="K2397" s="32"/>
      <c r="L2397" s="75">
        <v>2397</v>
      </c>
      <c r="M2397" s="75"/>
      <c r="N2397" s="70"/>
      <c r="O2397" s="77" t="s">
        <v>179</v>
      </c>
      <c r="P2397" s="79">
        <v>45050.789780092593</v>
      </c>
      <c r="Q2397" s="77" t="s">
        <v>4208</v>
      </c>
      <c r="R2397" s="77">
        <v>38</v>
      </c>
      <c r="S2397" s="77">
        <v>168</v>
      </c>
      <c r="T2397" s="77">
        <v>7</v>
      </c>
      <c r="U2397" s="77">
        <v>0</v>
      </c>
      <c r="V2397" s="77">
        <v>11510</v>
      </c>
      <c r="W2397" s="80" t="s">
        <v>7412</v>
      </c>
      <c r="X2397" s="77"/>
      <c r="Y2397" s="77"/>
      <c r="Z2397" s="77"/>
      <c r="AA2397" s="77" t="s">
        <v>9736</v>
      </c>
      <c r="AB2397" s="77" t="s">
        <v>10535</v>
      </c>
      <c r="AC2397" s="80" t="s">
        <v>10541</v>
      </c>
      <c r="AD2397" s="77" t="s">
        <v>10620</v>
      </c>
      <c r="AE2397" s="83" t="str">
        <f>HYPERLINK("https://twitter.com/robertomrobledo/status/1654198530242760732")</f>
        <v>https://twitter.com/robertomrobledo/status/1654198530242760732</v>
      </c>
      <c r="AF2397" s="79">
        <v>45050.789780092593</v>
      </c>
      <c r="AG2397" s="85">
        <v>45050</v>
      </c>
      <c r="AH2397" s="80" t="s">
        <v>12737</v>
      </c>
      <c r="AI2397" s="77" t="b">
        <v>0</v>
      </c>
      <c r="AJ2397" s="77"/>
      <c r="AK2397" s="77"/>
      <c r="AL2397" s="77"/>
      <c r="AM2397" s="77"/>
      <c r="AN2397" s="77"/>
      <c r="AO2397" s="77"/>
      <c r="AP2397" s="77"/>
      <c r="AQ2397" s="77" t="s">
        <v>15218</v>
      </c>
      <c r="AR2397" s="77"/>
      <c r="AS2397" s="77"/>
      <c r="AT2397" s="77"/>
      <c r="AU2397" s="77"/>
      <c r="AV2397" s="83" t="str">
        <f>HYPERLINK("https://pbs.twimg.com/media/FvTkafrX0A8VwBb.jpg")</f>
        <v>https://pbs.twimg.com/media/FvTkafrX0A8VwBb.jpg</v>
      </c>
      <c r="AW2397" s="80" t="s">
        <v>18206</v>
      </c>
      <c r="AX2397" s="80" t="s">
        <v>18206</v>
      </c>
      <c r="AY2397" s="77"/>
      <c r="AZ2397" s="80" t="s">
        <v>20380</v>
      </c>
      <c r="BA2397" s="80" t="s">
        <v>20380</v>
      </c>
      <c r="BB2397" s="80" t="s">
        <v>20380</v>
      </c>
      <c r="BC2397" s="80" t="s">
        <v>18206</v>
      </c>
      <c r="BD2397" s="80" t="s">
        <v>20873</v>
      </c>
      <c r="BE2397" s="77"/>
      <c r="BF2397" s="77"/>
      <c r="BG2397" s="77"/>
      <c r="BH2397" s="77"/>
      <c r="BI2397" s="77"/>
    </row>
    <row r="2398" spans="1:61" x14ac:dyDescent="0.25">
      <c r="A2398" s="62" t="s">
        <v>997</v>
      </c>
      <c r="B2398" s="62" t="s">
        <v>1935</v>
      </c>
      <c r="C2398" s="63"/>
      <c r="D2398" s="64"/>
      <c r="E2398" s="65"/>
      <c r="F2398" s="66"/>
      <c r="G2398" s="63"/>
      <c r="H2398" s="67"/>
      <c r="I2398" s="68"/>
      <c r="J2398" s="68"/>
      <c r="K2398" s="32"/>
      <c r="L2398" s="75">
        <v>2398</v>
      </c>
      <c r="M2398" s="75"/>
      <c r="N2398" s="70"/>
      <c r="O2398" s="77" t="s">
        <v>2078</v>
      </c>
      <c r="P2398" s="79">
        <v>45084.868217592593</v>
      </c>
      <c r="Q2398" s="77" t="s">
        <v>4209</v>
      </c>
      <c r="R2398" s="77">
        <v>0</v>
      </c>
      <c r="S2398" s="77">
        <v>2</v>
      </c>
      <c r="T2398" s="77">
        <v>0</v>
      </c>
      <c r="U2398" s="77">
        <v>0</v>
      </c>
      <c r="V2398" s="77">
        <v>70</v>
      </c>
      <c r="W2398" s="80" t="s">
        <v>7413</v>
      </c>
      <c r="X2398" s="77"/>
      <c r="Y2398" s="77"/>
      <c r="Z2398" s="77" t="s">
        <v>1935</v>
      </c>
      <c r="AA2398" s="77" t="s">
        <v>9737</v>
      </c>
      <c r="AB2398" s="77" t="s">
        <v>10535</v>
      </c>
      <c r="AC2398" s="80" t="s">
        <v>10540</v>
      </c>
      <c r="AD2398" s="77" t="s">
        <v>10617</v>
      </c>
      <c r="AE2398" s="83" t="str">
        <f>HYPERLINK("https://twitter.com/soparaassistir/status/1666548142769160195")</f>
        <v>https://twitter.com/soparaassistir/status/1666548142769160195</v>
      </c>
      <c r="AF2398" s="79">
        <v>45084.868217592593</v>
      </c>
      <c r="AG2398" s="85">
        <v>45084</v>
      </c>
      <c r="AH2398" s="80" t="s">
        <v>12738</v>
      </c>
      <c r="AI2398" s="77" t="b">
        <v>0</v>
      </c>
      <c r="AJ2398" s="77"/>
      <c r="AK2398" s="77"/>
      <c r="AL2398" s="77"/>
      <c r="AM2398" s="77"/>
      <c r="AN2398" s="77"/>
      <c r="AO2398" s="77"/>
      <c r="AP2398" s="77"/>
      <c r="AQ2398" s="77" t="s">
        <v>15219</v>
      </c>
      <c r="AR2398" s="77"/>
      <c r="AS2398" s="77"/>
      <c r="AT2398" s="77"/>
      <c r="AU2398" s="77"/>
      <c r="AV2398" s="83" t="str">
        <f>HYPERLINK("https://pbs.twimg.com/media/FyDEtAvWAAEdtzu.jpg")</f>
        <v>https://pbs.twimg.com/media/FyDEtAvWAAEdtzu.jpg</v>
      </c>
      <c r="AW2398" s="80" t="s">
        <v>18207</v>
      </c>
      <c r="AX2398" s="80" t="s">
        <v>20063</v>
      </c>
      <c r="AY2398" s="80" t="s">
        <v>20315</v>
      </c>
      <c r="AZ2398" s="80" t="s">
        <v>20063</v>
      </c>
      <c r="BA2398" s="80" t="s">
        <v>20380</v>
      </c>
      <c r="BB2398" s="80" t="s">
        <v>20380</v>
      </c>
      <c r="BC2398" s="80" t="s">
        <v>20063</v>
      </c>
      <c r="BD2398" s="77">
        <v>4467651561</v>
      </c>
      <c r="BE2398" s="77"/>
      <c r="BF2398" s="77"/>
      <c r="BG2398" s="77"/>
      <c r="BH2398" s="77"/>
      <c r="BI2398" s="77"/>
    </row>
    <row r="2399" spans="1:61" x14ac:dyDescent="0.25">
      <c r="A2399" s="62" t="s">
        <v>998</v>
      </c>
      <c r="B2399" s="62" t="s">
        <v>1936</v>
      </c>
      <c r="C2399" s="63"/>
      <c r="D2399" s="64"/>
      <c r="E2399" s="65"/>
      <c r="F2399" s="66"/>
      <c r="G2399" s="63"/>
      <c r="H2399" s="67"/>
      <c r="I2399" s="68"/>
      <c r="J2399" s="68"/>
      <c r="K2399" s="32"/>
      <c r="L2399" s="75">
        <v>2399</v>
      </c>
      <c r="M2399" s="75"/>
      <c r="N2399" s="70"/>
      <c r="O2399" s="77" t="s">
        <v>2084</v>
      </c>
      <c r="P2399" s="79">
        <v>45071.624259259261</v>
      </c>
      <c r="Q2399" s="77" t="s">
        <v>4210</v>
      </c>
      <c r="R2399" s="77">
        <v>0</v>
      </c>
      <c r="S2399" s="77">
        <v>2</v>
      </c>
      <c r="T2399" s="77">
        <v>0</v>
      </c>
      <c r="U2399" s="77">
        <v>0</v>
      </c>
      <c r="V2399" s="77">
        <v>63</v>
      </c>
      <c r="W2399" s="80" t="s">
        <v>7414</v>
      </c>
      <c r="X2399" s="77"/>
      <c r="Y2399" s="77"/>
      <c r="Z2399" s="77" t="s">
        <v>8982</v>
      </c>
      <c r="AA2399" s="77"/>
      <c r="AB2399" s="77"/>
      <c r="AC2399" s="80" t="s">
        <v>10541</v>
      </c>
      <c r="AD2399" s="77" t="s">
        <v>10620</v>
      </c>
      <c r="AE2399" s="83" t="str">
        <f>HYPERLINK("https://twitter.com/natyaranguiz/status/1661748689411641344")</f>
        <v>https://twitter.com/natyaranguiz/status/1661748689411641344</v>
      </c>
      <c r="AF2399" s="79">
        <v>45071.624259259261</v>
      </c>
      <c r="AG2399" s="85">
        <v>45071</v>
      </c>
      <c r="AH2399" s="80" t="s">
        <v>12739</v>
      </c>
      <c r="AI2399" s="77"/>
      <c r="AJ2399" s="77"/>
      <c r="AK2399" s="77"/>
      <c r="AL2399" s="77"/>
      <c r="AM2399" s="77"/>
      <c r="AN2399" s="77"/>
      <c r="AO2399" s="77"/>
      <c r="AP2399" s="77"/>
      <c r="AQ2399" s="77"/>
      <c r="AR2399" s="77"/>
      <c r="AS2399" s="77"/>
      <c r="AT2399" s="77"/>
      <c r="AU2399" s="77"/>
      <c r="AV2399" s="83" t="str">
        <f>HYPERLINK("https://pbs.twimg.com/profile_images/1567525173745647623/xAAo-TSJ_normal.jpg")</f>
        <v>https://pbs.twimg.com/profile_images/1567525173745647623/xAAo-TSJ_normal.jpg</v>
      </c>
      <c r="AW2399" s="80" t="s">
        <v>18208</v>
      </c>
      <c r="AX2399" s="80" t="s">
        <v>18208</v>
      </c>
      <c r="AY2399" s="77"/>
      <c r="AZ2399" s="80" t="s">
        <v>20380</v>
      </c>
      <c r="BA2399" s="80" t="s">
        <v>19326</v>
      </c>
      <c r="BB2399" s="80" t="s">
        <v>20380</v>
      </c>
      <c r="BC2399" s="80" t="s">
        <v>19326</v>
      </c>
      <c r="BD2399" s="77">
        <v>104519778</v>
      </c>
      <c r="BE2399" s="77"/>
      <c r="BF2399" s="77"/>
      <c r="BG2399" s="77"/>
      <c r="BH2399" s="77"/>
      <c r="BI2399" s="77"/>
    </row>
    <row r="2400" spans="1:61" x14ac:dyDescent="0.25">
      <c r="A2400" s="62" t="s">
        <v>998</v>
      </c>
      <c r="B2400" s="62" t="s">
        <v>1936</v>
      </c>
      <c r="C2400" s="63"/>
      <c r="D2400" s="64"/>
      <c r="E2400" s="65"/>
      <c r="F2400" s="66"/>
      <c r="G2400" s="63"/>
      <c r="H2400" s="67"/>
      <c r="I2400" s="68"/>
      <c r="J2400" s="68"/>
      <c r="K2400" s="32"/>
      <c r="L2400" s="75">
        <v>2400</v>
      </c>
      <c r="M2400" s="75"/>
      <c r="N2400" s="70"/>
      <c r="O2400" s="77" t="s">
        <v>2084</v>
      </c>
      <c r="P2400" s="79">
        <v>45071.577916666669</v>
      </c>
      <c r="Q2400" s="77" t="s">
        <v>4211</v>
      </c>
      <c r="R2400" s="77">
        <v>0</v>
      </c>
      <c r="S2400" s="77">
        <v>1</v>
      </c>
      <c r="T2400" s="77">
        <v>0</v>
      </c>
      <c r="U2400" s="77">
        <v>0</v>
      </c>
      <c r="V2400" s="77">
        <v>52</v>
      </c>
      <c r="W2400" s="80" t="s">
        <v>7415</v>
      </c>
      <c r="X2400" s="77"/>
      <c r="Y2400" s="77"/>
      <c r="Z2400" s="77" t="s">
        <v>8982</v>
      </c>
      <c r="AA2400" s="77"/>
      <c r="AB2400" s="77"/>
      <c r="AC2400" s="80" t="s">
        <v>10541</v>
      </c>
      <c r="AD2400" s="77" t="s">
        <v>10620</v>
      </c>
      <c r="AE2400" s="83" t="str">
        <f>HYPERLINK("https://twitter.com/natyaranguiz/status/1661731897133916162")</f>
        <v>https://twitter.com/natyaranguiz/status/1661731897133916162</v>
      </c>
      <c r="AF2400" s="79">
        <v>45071.577916666669</v>
      </c>
      <c r="AG2400" s="85">
        <v>45071</v>
      </c>
      <c r="AH2400" s="80" t="s">
        <v>12740</v>
      </c>
      <c r="AI2400" s="77"/>
      <c r="AJ2400" s="77"/>
      <c r="AK2400" s="77"/>
      <c r="AL2400" s="77"/>
      <c r="AM2400" s="77"/>
      <c r="AN2400" s="77"/>
      <c r="AO2400" s="77"/>
      <c r="AP2400" s="77"/>
      <c r="AQ2400" s="77"/>
      <c r="AR2400" s="77"/>
      <c r="AS2400" s="77"/>
      <c r="AT2400" s="77"/>
      <c r="AU2400" s="77"/>
      <c r="AV2400" s="83" t="str">
        <f>HYPERLINK("https://pbs.twimg.com/profile_images/1567525173745647623/xAAo-TSJ_normal.jpg")</f>
        <v>https://pbs.twimg.com/profile_images/1567525173745647623/xAAo-TSJ_normal.jpg</v>
      </c>
      <c r="AW2400" s="80" t="s">
        <v>18209</v>
      </c>
      <c r="AX2400" s="80" t="s">
        <v>18209</v>
      </c>
      <c r="AY2400" s="77"/>
      <c r="AZ2400" s="80" t="s">
        <v>20380</v>
      </c>
      <c r="BA2400" s="80" t="s">
        <v>19326</v>
      </c>
      <c r="BB2400" s="80" t="s">
        <v>20380</v>
      </c>
      <c r="BC2400" s="80" t="s">
        <v>19326</v>
      </c>
      <c r="BD2400" s="77">
        <v>104519778</v>
      </c>
      <c r="BE2400" s="77"/>
      <c r="BF2400" s="77"/>
      <c r="BG2400" s="77"/>
      <c r="BH2400" s="77"/>
      <c r="BI2400" s="77"/>
    </row>
    <row r="2401" spans="1:61" x14ac:dyDescent="0.25">
      <c r="A2401" s="62" t="s">
        <v>998</v>
      </c>
      <c r="B2401" s="62" t="s">
        <v>1447</v>
      </c>
      <c r="C2401" s="63"/>
      <c r="D2401" s="64"/>
      <c r="E2401" s="65"/>
      <c r="F2401" s="66"/>
      <c r="G2401" s="63"/>
      <c r="H2401" s="67"/>
      <c r="I2401" s="68"/>
      <c r="J2401" s="68"/>
      <c r="K2401" s="32"/>
      <c r="L2401" s="75">
        <v>2401</v>
      </c>
      <c r="M2401" s="75"/>
      <c r="N2401" s="70"/>
      <c r="O2401" s="77" t="s">
        <v>2084</v>
      </c>
      <c r="P2401" s="79">
        <v>45071.624259259261</v>
      </c>
      <c r="Q2401" s="77" t="s">
        <v>4210</v>
      </c>
      <c r="R2401" s="77">
        <v>0</v>
      </c>
      <c r="S2401" s="77">
        <v>2</v>
      </c>
      <c r="T2401" s="77">
        <v>0</v>
      </c>
      <c r="U2401" s="77">
        <v>0</v>
      </c>
      <c r="V2401" s="77">
        <v>63</v>
      </c>
      <c r="W2401" s="80" t="s">
        <v>7414</v>
      </c>
      <c r="X2401" s="77"/>
      <c r="Y2401" s="77"/>
      <c r="Z2401" s="77" t="s">
        <v>8982</v>
      </c>
      <c r="AA2401" s="77"/>
      <c r="AB2401" s="77"/>
      <c r="AC2401" s="80" t="s">
        <v>10541</v>
      </c>
      <c r="AD2401" s="77" t="s">
        <v>10620</v>
      </c>
      <c r="AE2401" s="83" t="str">
        <f>HYPERLINK("https://twitter.com/natyaranguiz/status/1661748689411641344")</f>
        <v>https://twitter.com/natyaranguiz/status/1661748689411641344</v>
      </c>
      <c r="AF2401" s="79">
        <v>45071.624259259261</v>
      </c>
      <c r="AG2401" s="85">
        <v>45071</v>
      </c>
      <c r="AH2401" s="80" t="s">
        <v>12739</v>
      </c>
      <c r="AI2401" s="77"/>
      <c r="AJ2401" s="77"/>
      <c r="AK2401" s="77"/>
      <c r="AL2401" s="77"/>
      <c r="AM2401" s="77"/>
      <c r="AN2401" s="77"/>
      <c r="AO2401" s="77"/>
      <c r="AP2401" s="77"/>
      <c r="AQ2401" s="77"/>
      <c r="AR2401" s="77"/>
      <c r="AS2401" s="77"/>
      <c r="AT2401" s="77"/>
      <c r="AU2401" s="77"/>
      <c r="AV2401" s="83" t="str">
        <f>HYPERLINK("https://pbs.twimg.com/profile_images/1567525173745647623/xAAo-TSJ_normal.jpg")</f>
        <v>https://pbs.twimg.com/profile_images/1567525173745647623/xAAo-TSJ_normal.jpg</v>
      </c>
      <c r="AW2401" s="80" t="s">
        <v>18208</v>
      </c>
      <c r="AX2401" s="80" t="s">
        <v>18208</v>
      </c>
      <c r="AY2401" s="77"/>
      <c r="AZ2401" s="80" t="s">
        <v>20380</v>
      </c>
      <c r="BA2401" s="80" t="s">
        <v>19326</v>
      </c>
      <c r="BB2401" s="80" t="s">
        <v>20380</v>
      </c>
      <c r="BC2401" s="80" t="s">
        <v>19326</v>
      </c>
      <c r="BD2401" s="77">
        <v>104519778</v>
      </c>
      <c r="BE2401" s="77"/>
      <c r="BF2401" s="77"/>
      <c r="BG2401" s="77"/>
      <c r="BH2401" s="77"/>
      <c r="BI2401" s="77"/>
    </row>
    <row r="2402" spans="1:61" x14ac:dyDescent="0.25">
      <c r="A2402" s="62" t="s">
        <v>998</v>
      </c>
      <c r="B2402" s="62" t="s">
        <v>1447</v>
      </c>
      <c r="C2402" s="63"/>
      <c r="D2402" s="64"/>
      <c r="E2402" s="65"/>
      <c r="F2402" s="66"/>
      <c r="G2402" s="63"/>
      <c r="H2402" s="67"/>
      <c r="I2402" s="68"/>
      <c r="J2402" s="68"/>
      <c r="K2402" s="32"/>
      <c r="L2402" s="75">
        <v>2402</v>
      </c>
      <c r="M2402" s="75"/>
      <c r="N2402" s="70"/>
      <c r="O2402" s="77" t="s">
        <v>2082</v>
      </c>
      <c r="P2402" s="79">
        <v>45071.624259259261</v>
      </c>
      <c r="Q2402" s="77" t="s">
        <v>4210</v>
      </c>
      <c r="R2402" s="77">
        <v>0</v>
      </c>
      <c r="S2402" s="77">
        <v>2</v>
      </c>
      <c r="T2402" s="77">
        <v>0</v>
      </c>
      <c r="U2402" s="77">
        <v>0</v>
      </c>
      <c r="V2402" s="77">
        <v>63</v>
      </c>
      <c r="W2402" s="80" t="s">
        <v>7414</v>
      </c>
      <c r="X2402" s="77"/>
      <c r="Y2402" s="77"/>
      <c r="Z2402" s="77" t="s">
        <v>8982</v>
      </c>
      <c r="AA2402" s="77"/>
      <c r="AB2402" s="77"/>
      <c r="AC2402" s="80" t="s">
        <v>10541</v>
      </c>
      <c r="AD2402" s="77" t="s">
        <v>10620</v>
      </c>
      <c r="AE2402" s="83" t="str">
        <f>HYPERLINK("https://twitter.com/natyaranguiz/status/1661748689411641344")</f>
        <v>https://twitter.com/natyaranguiz/status/1661748689411641344</v>
      </c>
      <c r="AF2402" s="79">
        <v>45071.624259259261</v>
      </c>
      <c r="AG2402" s="85">
        <v>45071</v>
      </c>
      <c r="AH2402" s="80" t="s">
        <v>12739</v>
      </c>
      <c r="AI2402" s="77"/>
      <c r="AJ2402" s="77"/>
      <c r="AK2402" s="77"/>
      <c r="AL2402" s="77"/>
      <c r="AM2402" s="77"/>
      <c r="AN2402" s="77"/>
      <c r="AO2402" s="77"/>
      <c r="AP2402" s="77"/>
      <c r="AQ2402" s="77"/>
      <c r="AR2402" s="77"/>
      <c r="AS2402" s="77"/>
      <c r="AT2402" s="77"/>
      <c r="AU2402" s="77"/>
      <c r="AV2402" s="83" t="str">
        <f>HYPERLINK("https://pbs.twimg.com/profile_images/1567525173745647623/xAAo-TSJ_normal.jpg")</f>
        <v>https://pbs.twimg.com/profile_images/1567525173745647623/xAAo-TSJ_normal.jpg</v>
      </c>
      <c r="AW2402" s="80" t="s">
        <v>18208</v>
      </c>
      <c r="AX2402" s="80" t="s">
        <v>18208</v>
      </c>
      <c r="AY2402" s="77"/>
      <c r="AZ2402" s="80" t="s">
        <v>20380</v>
      </c>
      <c r="BA2402" s="80" t="s">
        <v>19326</v>
      </c>
      <c r="BB2402" s="80" t="s">
        <v>20380</v>
      </c>
      <c r="BC2402" s="80" t="s">
        <v>19326</v>
      </c>
      <c r="BD2402" s="77">
        <v>104519778</v>
      </c>
      <c r="BE2402" s="77"/>
      <c r="BF2402" s="77"/>
      <c r="BG2402" s="77"/>
      <c r="BH2402" s="77"/>
      <c r="BI2402" s="77"/>
    </row>
    <row r="2403" spans="1:61" x14ac:dyDescent="0.25">
      <c r="A2403" s="62" t="s">
        <v>998</v>
      </c>
      <c r="B2403" s="62" t="s">
        <v>1447</v>
      </c>
      <c r="C2403" s="63"/>
      <c r="D2403" s="64"/>
      <c r="E2403" s="65"/>
      <c r="F2403" s="66"/>
      <c r="G2403" s="63"/>
      <c r="H2403" s="67"/>
      <c r="I2403" s="68"/>
      <c r="J2403" s="68"/>
      <c r="K2403" s="32"/>
      <c r="L2403" s="75">
        <v>2403</v>
      </c>
      <c r="M2403" s="75"/>
      <c r="N2403" s="70"/>
      <c r="O2403" s="77" t="s">
        <v>2084</v>
      </c>
      <c r="P2403" s="79">
        <v>45071.577916666669</v>
      </c>
      <c r="Q2403" s="77" t="s">
        <v>4211</v>
      </c>
      <c r="R2403" s="77">
        <v>0</v>
      </c>
      <c r="S2403" s="77">
        <v>1</v>
      </c>
      <c r="T2403" s="77">
        <v>0</v>
      </c>
      <c r="U2403" s="77">
        <v>0</v>
      </c>
      <c r="V2403" s="77">
        <v>52</v>
      </c>
      <c r="W2403" s="80" t="s">
        <v>7415</v>
      </c>
      <c r="X2403" s="77"/>
      <c r="Y2403" s="77"/>
      <c r="Z2403" s="77" t="s">
        <v>8982</v>
      </c>
      <c r="AA2403" s="77"/>
      <c r="AB2403" s="77"/>
      <c r="AC2403" s="80" t="s">
        <v>10541</v>
      </c>
      <c r="AD2403" s="77" t="s">
        <v>10620</v>
      </c>
      <c r="AE2403" s="83" t="str">
        <f>HYPERLINK("https://twitter.com/natyaranguiz/status/1661731897133916162")</f>
        <v>https://twitter.com/natyaranguiz/status/1661731897133916162</v>
      </c>
      <c r="AF2403" s="79">
        <v>45071.577916666669</v>
      </c>
      <c r="AG2403" s="85">
        <v>45071</v>
      </c>
      <c r="AH2403" s="80" t="s">
        <v>12740</v>
      </c>
      <c r="AI2403" s="77"/>
      <c r="AJ2403" s="77"/>
      <c r="AK2403" s="77"/>
      <c r="AL2403" s="77"/>
      <c r="AM2403" s="77"/>
      <c r="AN2403" s="77"/>
      <c r="AO2403" s="77"/>
      <c r="AP2403" s="77"/>
      <c r="AQ2403" s="77"/>
      <c r="AR2403" s="77"/>
      <c r="AS2403" s="77"/>
      <c r="AT2403" s="77"/>
      <c r="AU2403" s="77"/>
      <c r="AV2403" s="83" t="str">
        <f>HYPERLINK("https://pbs.twimg.com/profile_images/1567525173745647623/xAAo-TSJ_normal.jpg")</f>
        <v>https://pbs.twimg.com/profile_images/1567525173745647623/xAAo-TSJ_normal.jpg</v>
      </c>
      <c r="AW2403" s="80" t="s">
        <v>18209</v>
      </c>
      <c r="AX2403" s="80" t="s">
        <v>18209</v>
      </c>
      <c r="AY2403" s="77"/>
      <c r="AZ2403" s="80" t="s">
        <v>20380</v>
      </c>
      <c r="BA2403" s="80" t="s">
        <v>19326</v>
      </c>
      <c r="BB2403" s="80" t="s">
        <v>20380</v>
      </c>
      <c r="BC2403" s="80" t="s">
        <v>19326</v>
      </c>
      <c r="BD2403" s="77">
        <v>104519778</v>
      </c>
      <c r="BE2403" s="77"/>
      <c r="BF2403" s="77"/>
      <c r="BG2403" s="77"/>
      <c r="BH2403" s="77"/>
      <c r="BI2403" s="77"/>
    </row>
    <row r="2404" spans="1:61" x14ac:dyDescent="0.25">
      <c r="A2404" s="62" t="s">
        <v>998</v>
      </c>
      <c r="B2404" s="62" t="s">
        <v>1447</v>
      </c>
      <c r="C2404" s="63"/>
      <c r="D2404" s="64"/>
      <c r="E2404" s="65"/>
      <c r="F2404" s="66"/>
      <c r="G2404" s="63"/>
      <c r="H2404" s="67"/>
      <c r="I2404" s="68"/>
      <c r="J2404" s="68"/>
      <c r="K2404" s="32"/>
      <c r="L2404" s="75">
        <v>2404</v>
      </c>
      <c r="M2404" s="75"/>
      <c r="N2404" s="70"/>
      <c r="O2404" s="77" t="s">
        <v>2082</v>
      </c>
      <c r="P2404" s="79">
        <v>45071.577916666669</v>
      </c>
      <c r="Q2404" s="77" t="s">
        <v>4211</v>
      </c>
      <c r="R2404" s="77">
        <v>0</v>
      </c>
      <c r="S2404" s="77">
        <v>1</v>
      </c>
      <c r="T2404" s="77">
        <v>0</v>
      </c>
      <c r="U2404" s="77">
        <v>0</v>
      </c>
      <c r="V2404" s="77">
        <v>52</v>
      </c>
      <c r="W2404" s="80" t="s">
        <v>7415</v>
      </c>
      <c r="X2404" s="77"/>
      <c r="Y2404" s="77"/>
      <c r="Z2404" s="77" t="s">
        <v>8982</v>
      </c>
      <c r="AA2404" s="77"/>
      <c r="AB2404" s="77"/>
      <c r="AC2404" s="80" t="s">
        <v>10541</v>
      </c>
      <c r="AD2404" s="77" t="s">
        <v>10620</v>
      </c>
      <c r="AE2404" s="83" t="str">
        <f>HYPERLINK("https://twitter.com/natyaranguiz/status/1661731897133916162")</f>
        <v>https://twitter.com/natyaranguiz/status/1661731897133916162</v>
      </c>
      <c r="AF2404" s="79">
        <v>45071.577916666669</v>
      </c>
      <c r="AG2404" s="85">
        <v>45071</v>
      </c>
      <c r="AH2404" s="80" t="s">
        <v>12740</v>
      </c>
      <c r="AI2404" s="77"/>
      <c r="AJ2404" s="77"/>
      <c r="AK2404" s="77"/>
      <c r="AL2404" s="77"/>
      <c r="AM2404" s="77"/>
      <c r="AN2404" s="77"/>
      <c r="AO2404" s="77"/>
      <c r="AP2404" s="77"/>
      <c r="AQ2404" s="77"/>
      <c r="AR2404" s="77"/>
      <c r="AS2404" s="77"/>
      <c r="AT2404" s="77"/>
      <c r="AU2404" s="77"/>
      <c r="AV2404" s="83" t="str">
        <f>HYPERLINK("https://pbs.twimg.com/profile_images/1567525173745647623/xAAo-TSJ_normal.jpg")</f>
        <v>https://pbs.twimg.com/profile_images/1567525173745647623/xAAo-TSJ_normal.jpg</v>
      </c>
      <c r="AW2404" s="80" t="s">
        <v>18209</v>
      </c>
      <c r="AX2404" s="80" t="s">
        <v>18209</v>
      </c>
      <c r="AY2404" s="77"/>
      <c r="AZ2404" s="80" t="s">
        <v>20380</v>
      </c>
      <c r="BA2404" s="80" t="s">
        <v>19326</v>
      </c>
      <c r="BB2404" s="80" t="s">
        <v>20380</v>
      </c>
      <c r="BC2404" s="80" t="s">
        <v>19326</v>
      </c>
      <c r="BD2404" s="77">
        <v>104519778</v>
      </c>
      <c r="BE2404" s="77"/>
      <c r="BF2404" s="77"/>
      <c r="BG2404" s="77"/>
      <c r="BH2404" s="77"/>
      <c r="BI2404" s="77"/>
    </row>
    <row r="2405" spans="1:61" x14ac:dyDescent="0.25">
      <c r="A2405" s="62" t="s">
        <v>999</v>
      </c>
      <c r="B2405" s="62" t="s">
        <v>999</v>
      </c>
      <c r="C2405" s="63"/>
      <c r="D2405" s="64"/>
      <c r="E2405" s="65"/>
      <c r="F2405" s="66"/>
      <c r="G2405" s="63"/>
      <c r="H2405" s="67"/>
      <c r="I2405" s="68"/>
      <c r="J2405" s="68"/>
      <c r="K2405" s="32"/>
      <c r="L2405" s="75">
        <v>2405</v>
      </c>
      <c r="M2405" s="75"/>
      <c r="N2405" s="70"/>
      <c r="O2405" s="77" t="s">
        <v>179</v>
      </c>
      <c r="P2405" s="79">
        <v>45130.681226851855</v>
      </c>
      <c r="Q2405" s="77" t="s">
        <v>4212</v>
      </c>
      <c r="R2405" s="77">
        <v>2</v>
      </c>
      <c r="S2405" s="77">
        <v>9</v>
      </c>
      <c r="T2405" s="77">
        <v>1</v>
      </c>
      <c r="U2405" s="77">
        <v>0</v>
      </c>
      <c r="V2405" s="77">
        <v>1250</v>
      </c>
      <c r="W2405" s="80" t="s">
        <v>7416</v>
      </c>
      <c r="X2405" s="83" t="str">
        <f>HYPERLINK("https://bitfinanzas.com/5-claves-para-la-semana-bancos-centrales-y-petroleo/")</f>
        <v>https://bitfinanzas.com/5-claves-para-la-semana-bancos-centrales-y-petroleo/</v>
      </c>
      <c r="Y2405" s="77" t="s">
        <v>8786</v>
      </c>
      <c r="Z2405" s="77"/>
      <c r="AA2405" s="77"/>
      <c r="AB2405" s="77"/>
      <c r="AC2405" s="80" t="s">
        <v>10589</v>
      </c>
      <c r="AD2405" s="77" t="s">
        <v>10620</v>
      </c>
      <c r="AE2405" s="83" t="str">
        <f>HYPERLINK("https://twitter.com/bitfinanzas/status/1683150220845260806")</f>
        <v>https://twitter.com/bitfinanzas/status/1683150220845260806</v>
      </c>
      <c r="AF2405" s="79">
        <v>45130.681226851855</v>
      </c>
      <c r="AG2405" s="85">
        <v>45130</v>
      </c>
      <c r="AH2405" s="80" t="s">
        <v>12741</v>
      </c>
      <c r="AI2405" s="77" t="b">
        <v>0</v>
      </c>
      <c r="AJ2405" s="77"/>
      <c r="AK2405" s="77"/>
      <c r="AL2405" s="77"/>
      <c r="AM2405" s="77"/>
      <c r="AN2405" s="77"/>
      <c r="AO2405" s="77"/>
      <c r="AP2405" s="77"/>
      <c r="AQ2405" s="77"/>
      <c r="AR2405" s="77"/>
      <c r="AS2405" s="77"/>
      <c r="AT2405" s="77"/>
      <c r="AU2405" s="77"/>
      <c r="AV2405" s="83" t="str">
        <f>HYPERLINK("https://pbs.twimg.com/profile_images/1478024303870361609/HRJ4Fdgj_normal.jpg")</f>
        <v>https://pbs.twimg.com/profile_images/1478024303870361609/HRJ4Fdgj_normal.jpg</v>
      </c>
      <c r="AW2405" s="80" t="s">
        <v>18210</v>
      </c>
      <c r="AX2405" s="80" t="s">
        <v>18210</v>
      </c>
      <c r="AY2405" s="77"/>
      <c r="AZ2405" s="80" t="s">
        <v>20380</v>
      </c>
      <c r="BA2405" s="80" t="s">
        <v>20380</v>
      </c>
      <c r="BB2405" s="80" t="s">
        <v>20380</v>
      </c>
      <c r="BC2405" s="80" t="s">
        <v>18210</v>
      </c>
      <c r="BD2405" s="80" t="s">
        <v>20874</v>
      </c>
      <c r="BE2405" s="77"/>
      <c r="BF2405" s="77"/>
      <c r="BG2405" s="77"/>
      <c r="BH2405" s="77"/>
      <c r="BI2405" s="77"/>
    </row>
    <row r="2406" spans="1:61" x14ac:dyDescent="0.25">
      <c r="A2406" s="62" t="s">
        <v>1000</v>
      </c>
      <c r="B2406" s="62" t="s">
        <v>1000</v>
      </c>
      <c r="C2406" s="63"/>
      <c r="D2406" s="64"/>
      <c r="E2406" s="65"/>
      <c r="F2406" s="66"/>
      <c r="G2406" s="63"/>
      <c r="H2406" s="67"/>
      <c r="I2406" s="68"/>
      <c r="J2406" s="68"/>
      <c r="K2406" s="32"/>
      <c r="L2406" s="75">
        <v>2406</v>
      </c>
      <c r="M2406" s="75"/>
      <c r="N2406" s="70"/>
      <c r="O2406" s="77" t="s">
        <v>179</v>
      </c>
      <c r="P2406" s="79">
        <v>45058.519247685188</v>
      </c>
      <c r="Q2406" s="77" t="s">
        <v>4213</v>
      </c>
      <c r="R2406" s="77">
        <v>0</v>
      </c>
      <c r="S2406" s="77">
        <v>0</v>
      </c>
      <c r="T2406" s="77">
        <v>0</v>
      </c>
      <c r="U2406" s="77">
        <v>0</v>
      </c>
      <c r="V2406" s="77">
        <v>4</v>
      </c>
      <c r="W2406" s="80" t="s">
        <v>7417</v>
      </c>
      <c r="X2406" s="83" t="str">
        <f>HYPERLINK("https://instagr.am/reel/CsJG_imPwst/")</f>
        <v>https://instagr.am/reel/CsJG_imPwst/</v>
      </c>
      <c r="Y2406" s="77" t="s">
        <v>8787</v>
      </c>
      <c r="Z2406" s="77"/>
      <c r="AA2406" s="77" t="s">
        <v>9738</v>
      </c>
      <c r="AB2406" s="77" t="s">
        <v>10535</v>
      </c>
      <c r="AC2406" s="80" t="s">
        <v>10573</v>
      </c>
      <c r="AD2406" s="77" t="s">
        <v>10617</v>
      </c>
      <c r="AE2406" s="83" t="str">
        <f>HYPERLINK("https://twitter.com/desbravandojp/status/1656999594855657472")</f>
        <v>https://twitter.com/desbravandojp/status/1656999594855657472</v>
      </c>
      <c r="AF2406" s="79">
        <v>45058.519247685188</v>
      </c>
      <c r="AG2406" s="85">
        <v>45058</v>
      </c>
      <c r="AH2406" s="80" t="s">
        <v>12742</v>
      </c>
      <c r="AI2406" s="77" t="b">
        <v>0</v>
      </c>
      <c r="AJ2406" s="77"/>
      <c r="AK2406" s="77"/>
      <c r="AL2406" s="77"/>
      <c r="AM2406" s="77"/>
      <c r="AN2406" s="77"/>
      <c r="AO2406" s="77"/>
      <c r="AP2406" s="77"/>
      <c r="AQ2406" s="77" t="s">
        <v>15220</v>
      </c>
      <c r="AR2406" s="77"/>
      <c r="AS2406" s="77"/>
      <c r="AT2406" s="77"/>
      <c r="AU2406" s="77"/>
      <c r="AV2406" s="83" t="str">
        <f>HYPERLINK("https://pbs.twimg.com/media/Fv7YWdLXwAErO47.jpg")</f>
        <v>https://pbs.twimg.com/media/Fv7YWdLXwAErO47.jpg</v>
      </c>
      <c r="AW2406" s="80" t="s">
        <v>18211</v>
      </c>
      <c r="AX2406" s="80" t="s">
        <v>18211</v>
      </c>
      <c r="AY2406" s="77"/>
      <c r="AZ2406" s="80" t="s">
        <v>20380</v>
      </c>
      <c r="BA2406" s="80" t="s">
        <v>20380</v>
      </c>
      <c r="BB2406" s="80" t="s">
        <v>20380</v>
      </c>
      <c r="BC2406" s="80" t="s">
        <v>18211</v>
      </c>
      <c r="BD2406" s="80" t="s">
        <v>20875</v>
      </c>
      <c r="BE2406" s="77"/>
      <c r="BF2406" s="77"/>
      <c r="BG2406" s="77"/>
      <c r="BH2406" s="77"/>
      <c r="BI2406" s="77"/>
    </row>
    <row r="2407" spans="1:61" x14ac:dyDescent="0.25">
      <c r="A2407" s="62" t="s">
        <v>1000</v>
      </c>
      <c r="B2407" s="62" t="s">
        <v>1000</v>
      </c>
      <c r="C2407" s="63"/>
      <c r="D2407" s="64"/>
      <c r="E2407" s="65"/>
      <c r="F2407" s="66"/>
      <c r="G2407" s="63"/>
      <c r="H2407" s="67"/>
      <c r="I2407" s="68"/>
      <c r="J2407" s="68"/>
      <c r="K2407" s="32"/>
      <c r="L2407" s="75">
        <v>2407</v>
      </c>
      <c r="M2407" s="75"/>
      <c r="N2407" s="70"/>
      <c r="O2407" s="77" t="s">
        <v>179</v>
      </c>
      <c r="P2407" s="79">
        <v>45058.502141203702</v>
      </c>
      <c r="Q2407" s="77" t="s">
        <v>4214</v>
      </c>
      <c r="R2407" s="77">
        <v>0</v>
      </c>
      <c r="S2407" s="77">
        <v>0</v>
      </c>
      <c r="T2407" s="77">
        <v>0</v>
      </c>
      <c r="U2407" s="77">
        <v>0</v>
      </c>
      <c r="V2407" s="77">
        <v>1</v>
      </c>
      <c r="W2407" s="80" t="s">
        <v>7417</v>
      </c>
      <c r="X2407" s="83" t="str">
        <f>HYPERLINK("https://instagr.am/reel/CsJG_imPwst/")</f>
        <v>https://instagr.am/reel/CsJG_imPwst/</v>
      </c>
      <c r="Y2407" s="77" t="s">
        <v>8787</v>
      </c>
      <c r="Z2407" s="77"/>
      <c r="AA2407" s="77"/>
      <c r="AB2407" s="77"/>
      <c r="AC2407" s="80" t="s">
        <v>10573</v>
      </c>
      <c r="AD2407" s="77" t="s">
        <v>10617</v>
      </c>
      <c r="AE2407" s="83" t="str">
        <f>HYPERLINK("https://twitter.com/desbravandojp/status/1656993396081172481")</f>
        <v>https://twitter.com/desbravandojp/status/1656993396081172481</v>
      </c>
      <c r="AF2407" s="79">
        <v>45058.502141203702</v>
      </c>
      <c r="AG2407" s="85">
        <v>45058</v>
      </c>
      <c r="AH2407" s="80" t="s">
        <v>12743</v>
      </c>
      <c r="AI2407" s="77" t="b">
        <v>0</v>
      </c>
      <c r="AJ2407" s="77"/>
      <c r="AK2407" s="77"/>
      <c r="AL2407" s="77"/>
      <c r="AM2407" s="77"/>
      <c r="AN2407" s="77"/>
      <c r="AO2407" s="77"/>
      <c r="AP2407" s="77"/>
      <c r="AQ2407" s="77"/>
      <c r="AR2407" s="77"/>
      <c r="AS2407" s="77"/>
      <c r="AT2407" s="77"/>
      <c r="AU2407" s="77"/>
      <c r="AV2407" s="83" t="str">
        <f>HYPERLINK("https://pbs.twimg.com/profile_images/1480635976255156224/YyU0NOuQ_normal.jpg")</f>
        <v>https://pbs.twimg.com/profile_images/1480635976255156224/YyU0NOuQ_normal.jpg</v>
      </c>
      <c r="AW2407" s="80" t="s">
        <v>18212</v>
      </c>
      <c r="AX2407" s="80" t="s">
        <v>18212</v>
      </c>
      <c r="AY2407" s="77"/>
      <c r="AZ2407" s="80" t="s">
        <v>20380</v>
      </c>
      <c r="BA2407" s="80" t="s">
        <v>20380</v>
      </c>
      <c r="BB2407" s="80" t="s">
        <v>20380</v>
      </c>
      <c r="BC2407" s="80" t="s">
        <v>18212</v>
      </c>
      <c r="BD2407" s="80" t="s">
        <v>20875</v>
      </c>
      <c r="BE2407" s="77"/>
      <c r="BF2407" s="77"/>
      <c r="BG2407" s="77"/>
      <c r="BH2407" s="77"/>
      <c r="BI2407" s="77"/>
    </row>
    <row r="2408" spans="1:61" x14ac:dyDescent="0.25">
      <c r="A2408" s="62" t="s">
        <v>1001</v>
      </c>
      <c r="B2408" s="62" t="s">
        <v>1001</v>
      </c>
      <c r="C2408" s="63"/>
      <c r="D2408" s="64"/>
      <c r="E2408" s="65"/>
      <c r="F2408" s="66"/>
      <c r="G2408" s="63"/>
      <c r="H2408" s="67"/>
      <c r="I2408" s="68"/>
      <c r="J2408" s="68"/>
      <c r="K2408" s="32"/>
      <c r="L2408" s="75">
        <v>2408</v>
      </c>
      <c r="M2408" s="75"/>
      <c r="N2408" s="70"/>
      <c r="O2408" s="77" t="s">
        <v>179</v>
      </c>
      <c r="P2408" s="79">
        <v>45056.805902777778</v>
      </c>
      <c r="Q2408" s="77" t="s">
        <v>4215</v>
      </c>
      <c r="R2408" s="77">
        <v>0</v>
      </c>
      <c r="S2408" s="77">
        <v>0</v>
      </c>
      <c r="T2408" s="77">
        <v>0</v>
      </c>
      <c r="U2408" s="77">
        <v>0</v>
      </c>
      <c r="V2408" s="77">
        <v>40</v>
      </c>
      <c r="W2408" s="80" t="s">
        <v>7418</v>
      </c>
      <c r="X2408" s="83" t="str">
        <f>HYPERLINK("http://www.cut.org.br")</f>
        <v>http://www.cut.org.br</v>
      </c>
      <c r="Y2408" s="77" t="s">
        <v>8667</v>
      </c>
      <c r="Z2408" s="77"/>
      <c r="AA2408" s="77" t="s">
        <v>9739</v>
      </c>
      <c r="AB2408" s="77" t="s">
        <v>10535</v>
      </c>
      <c r="AC2408" s="80" t="s">
        <v>10550</v>
      </c>
      <c r="AD2408" s="77" t="s">
        <v>10617</v>
      </c>
      <c r="AE2408" s="83" t="str">
        <f>HYPERLINK("https://twitter.com/teiadigital/status/1656378696846942209")</f>
        <v>https://twitter.com/teiadigital/status/1656378696846942209</v>
      </c>
      <c r="AF2408" s="79">
        <v>45056.805902777778</v>
      </c>
      <c r="AG2408" s="85">
        <v>45056</v>
      </c>
      <c r="AH2408" s="80" t="s">
        <v>12744</v>
      </c>
      <c r="AI2408" s="77" t="b">
        <v>0</v>
      </c>
      <c r="AJ2408" s="77"/>
      <c r="AK2408" s="77"/>
      <c r="AL2408" s="77"/>
      <c r="AM2408" s="77"/>
      <c r="AN2408" s="77"/>
      <c r="AO2408" s="77"/>
      <c r="AP2408" s="77"/>
      <c r="AQ2408" s="77" t="s">
        <v>15221</v>
      </c>
      <c r="AR2408" s="77"/>
      <c r="AS2408" s="77"/>
      <c r="AT2408" s="77"/>
      <c r="AU2408" s="77"/>
      <c r="AV2408" s="83" t="str">
        <f>HYPERLINK("https://pbs.twimg.com/media/FvyjpZQWcAUU-7-.jpg")</f>
        <v>https://pbs.twimg.com/media/FvyjpZQWcAUU-7-.jpg</v>
      </c>
      <c r="AW2408" s="80" t="s">
        <v>18213</v>
      </c>
      <c r="AX2408" s="80" t="s">
        <v>18213</v>
      </c>
      <c r="AY2408" s="77"/>
      <c r="AZ2408" s="80" t="s">
        <v>20380</v>
      </c>
      <c r="BA2408" s="80" t="s">
        <v>20380</v>
      </c>
      <c r="BB2408" s="80" t="s">
        <v>20380</v>
      </c>
      <c r="BC2408" s="80" t="s">
        <v>18213</v>
      </c>
      <c r="BD2408" s="77">
        <v>70455289</v>
      </c>
      <c r="BE2408" s="77"/>
      <c r="BF2408" s="77"/>
      <c r="BG2408" s="77"/>
      <c r="BH2408" s="77"/>
      <c r="BI2408" s="77"/>
    </row>
    <row r="2409" spans="1:61" x14ac:dyDescent="0.25">
      <c r="A2409" s="62" t="s">
        <v>1001</v>
      </c>
      <c r="B2409" s="62" t="s">
        <v>1001</v>
      </c>
      <c r="C2409" s="63"/>
      <c r="D2409" s="64"/>
      <c r="E2409" s="65"/>
      <c r="F2409" s="66"/>
      <c r="G2409" s="63"/>
      <c r="H2409" s="67"/>
      <c r="I2409" s="68"/>
      <c r="J2409" s="68"/>
      <c r="K2409" s="32"/>
      <c r="L2409" s="75">
        <v>2409</v>
      </c>
      <c r="M2409" s="75"/>
      <c r="N2409" s="70"/>
      <c r="O2409" s="77" t="s">
        <v>179</v>
      </c>
      <c r="P2409" s="79">
        <v>45173.762430555558</v>
      </c>
      <c r="Q2409" s="77" t="s">
        <v>4216</v>
      </c>
      <c r="R2409" s="77">
        <v>0</v>
      </c>
      <c r="S2409" s="77">
        <v>0</v>
      </c>
      <c r="T2409" s="77">
        <v>0</v>
      </c>
      <c r="U2409" s="77">
        <v>0</v>
      </c>
      <c r="V2409" s="77">
        <v>8</v>
      </c>
      <c r="W2409" s="80" t="s">
        <v>7419</v>
      </c>
      <c r="X2409" s="83" t="str">
        <f>HYPERLINK("http://agenciabrasil.ebc.com.br")</f>
        <v>http://agenciabrasil.ebc.com.br</v>
      </c>
      <c r="Y2409" s="77" t="s">
        <v>8611</v>
      </c>
      <c r="Z2409" s="77"/>
      <c r="AA2409" s="77" t="s">
        <v>9740</v>
      </c>
      <c r="AB2409" s="77" t="s">
        <v>10535</v>
      </c>
      <c r="AC2409" s="80" t="s">
        <v>10541</v>
      </c>
      <c r="AD2409" s="77" t="s">
        <v>10617</v>
      </c>
      <c r="AE2409" s="83" t="str">
        <f>HYPERLINK("https://twitter.com/teiadigital/status/1698762324583002158")</f>
        <v>https://twitter.com/teiadigital/status/1698762324583002158</v>
      </c>
      <c r="AF2409" s="79">
        <v>45173.762430555558</v>
      </c>
      <c r="AG2409" s="85">
        <v>45173</v>
      </c>
      <c r="AH2409" s="80" t="s">
        <v>12745</v>
      </c>
      <c r="AI2409" s="77" t="b">
        <v>0</v>
      </c>
      <c r="AJ2409" s="77"/>
      <c r="AK2409" s="77"/>
      <c r="AL2409" s="77"/>
      <c r="AM2409" s="77"/>
      <c r="AN2409" s="77"/>
      <c r="AO2409" s="77"/>
      <c r="AP2409" s="77"/>
      <c r="AQ2409" s="77" t="s">
        <v>15222</v>
      </c>
      <c r="AR2409" s="77"/>
      <c r="AS2409" s="77"/>
      <c r="AT2409" s="77"/>
      <c r="AU2409" s="77"/>
      <c r="AV2409" s="83" t="str">
        <f>HYPERLINK("https://pbs.twimg.com/media/F5M3UqWWQAA4sBR.jpg")</f>
        <v>https://pbs.twimg.com/media/F5M3UqWWQAA4sBR.jpg</v>
      </c>
      <c r="AW2409" s="80" t="s">
        <v>18214</v>
      </c>
      <c r="AX2409" s="80" t="s">
        <v>18214</v>
      </c>
      <c r="AY2409" s="77"/>
      <c r="AZ2409" s="80" t="s">
        <v>20380</v>
      </c>
      <c r="BA2409" s="80" t="s">
        <v>20380</v>
      </c>
      <c r="BB2409" s="80" t="s">
        <v>20380</v>
      </c>
      <c r="BC2409" s="80" t="s">
        <v>18214</v>
      </c>
      <c r="BD2409" s="77">
        <v>70455289</v>
      </c>
      <c r="BE2409" s="77"/>
      <c r="BF2409" s="77"/>
      <c r="BG2409" s="77"/>
      <c r="BH2409" s="77"/>
      <c r="BI2409" s="77"/>
    </row>
    <row r="2410" spans="1:61" x14ac:dyDescent="0.25">
      <c r="A2410" s="62" t="s">
        <v>1002</v>
      </c>
      <c r="B2410" s="62" t="s">
        <v>1002</v>
      </c>
      <c r="C2410" s="63"/>
      <c r="D2410" s="64"/>
      <c r="E2410" s="65"/>
      <c r="F2410" s="66"/>
      <c r="G2410" s="63"/>
      <c r="H2410" s="67"/>
      <c r="I2410" s="68"/>
      <c r="J2410" s="68"/>
      <c r="K2410" s="32"/>
      <c r="L2410" s="75">
        <v>2410</v>
      </c>
      <c r="M2410" s="75"/>
      <c r="N2410" s="70"/>
      <c r="O2410" s="77" t="s">
        <v>179</v>
      </c>
      <c r="P2410" s="79">
        <v>45061.779699074075</v>
      </c>
      <c r="Q2410" s="77" t="s">
        <v>4217</v>
      </c>
      <c r="R2410" s="77">
        <v>0</v>
      </c>
      <c r="S2410" s="77">
        <v>0</v>
      </c>
      <c r="T2410" s="77">
        <v>0</v>
      </c>
      <c r="U2410" s="77">
        <v>0</v>
      </c>
      <c r="V2410" s="77">
        <v>165</v>
      </c>
      <c r="W2410" s="80" t="s">
        <v>7420</v>
      </c>
      <c r="X2410" s="77"/>
      <c r="Y2410" s="77"/>
      <c r="Z2410" s="77"/>
      <c r="AA2410" s="77"/>
      <c r="AB2410" s="77"/>
      <c r="AC2410" s="80" t="s">
        <v>10541</v>
      </c>
      <c r="AD2410" s="77" t="s">
        <v>10620</v>
      </c>
      <c r="AE2410" s="83" t="str">
        <f>HYPERLINK("https://twitter.com/duroperotranki/status/1658181144204959750")</f>
        <v>https://twitter.com/duroperotranki/status/1658181144204959750</v>
      </c>
      <c r="AF2410" s="79">
        <v>45061.779699074075</v>
      </c>
      <c r="AG2410" s="85">
        <v>45061</v>
      </c>
      <c r="AH2410" s="80" t="s">
        <v>12746</v>
      </c>
      <c r="AI2410" s="77"/>
      <c r="AJ2410" s="77"/>
      <c r="AK2410" s="77"/>
      <c r="AL2410" s="77"/>
      <c r="AM2410" s="77"/>
      <c r="AN2410" s="77"/>
      <c r="AO2410" s="77"/>
      <c r="AP2410" s="77"/>
      <c r="AQ2410" s="77"/>
      <c r="AR2410" s="77"/>
      <c r="AS2410" s="77"/>
      <c r="AT2410" s="77"/>
      <c r="AU2410" s="77"/>
      <c r="AV2410" s="83" t="str">
        <f>HYPERLINK("https://pbs.twimg.com/profile_images/1634027476438401026/hff8x8AL_normal.jpg")</f>
        <v>https://pbs.twimg.com/profile_images/1634027476438401026/hff8x8AL_normal.jpg</v>
      </c>
      <c r="AW2410" s="80" t="s">
        <v>18215</v>
      </c>
      <c r="AX2410" s="80" t="s">
        <v>18215</v>
      </c>
      <c r="AY2410" s="77"/>
      <c r="AZ2410" s="80" t="s">
        <v>20380</v>
      </c>
      <c r="BA2410" s="80" t="s">
        <v>20380</v>
      </c>
      <c r="BB2410" s="80" t="s">
        <v>20380</v>
      </c>
      <c r="BC2410" s="80" t="s">
        <v>18215</v>
      </c>
      <c r="BD2410" s="77">
        <v>4648000456</v>
      </c>
      <c r="BE2410" s="77"/>
      <c r="BF2410" s="77"/>
      <c r="BG2410" s="77"/>
      <c r="BH2410" s="77"/>
      <c r="BI2410" s="77"/>
    </row>
    <row r="2411" spans="1:61" x14ac:dyDescent="0.25">
      <c r="A2411" s="62" t="s">
        <v>1003</v>
      </c>
      <c r="B2411" s="62" t="s">
        <v>1655</v>
      </c>
      <c r="C2411" s="63"/>
      <c r="D2411" s="64"/>
      <c r="E2411" s="65"/>
      <c r="F2411" s="66"/>
      <c r="G2411" s="63"/>
      <c r="H2411" s="67"/>
      <c r="I2411" s="68"/>
      <c r="J2411" s="68"/>
      <c r="K2411" s="32"/>
      <c r="L2411" s="75">
        <v>2411</v>
      </c>
      <c r="M2411" s="75"/>
      <c r="N2411" s="70"/>
      <c r="O2411" s="77" t="s">
        <v>2083</v>
      </c>
      <c r="P2411" s="79">
        <v>45191.151435185187</v>
      </c>
      <c r="Q2411" s="77" t="s">
        <v>2120</v>
      </c>
      <c r="R2411" s="77">
        <v>57</v>
      </c>
      <c r="S2411" s="77">
        <v>0</v>
      </c>
      <c r="T2411" s="77">
        <v>0</v>
      </c>
      <c r="U2411" s="77">
        <v>0</v>
      </c>
      <c r="V2411" s="77"/>
      <c r="W2411" s="80" t="s">
        <v>5917</v>
      </c>
      <c r="X2411" s="77"/>
      <c r="Y2411" s="77"/>
      <c r="Z2411" s="77" t="s">
        <v>1655</v>
      </c>
      <c r="AA2411" s="77"/>
      <c r="AB2411" s="77"/>
      <c r="AC2411" s="80" t="s">
        <v>10541</v>
      </c>
      <c r="AD2411" s="77" t="s">
        <v>10617</v>
      </c>
      <c r="AE2411" s="83" t="str">
        <f>HYPERLINK("https://twitter.com/embracmissoes/status/1705063887937155438")</f>
        <v>https://twitter.com/embracmissoes/status/1705063887937155438</v>
      </c>
      <c r="AF2411" s="79">
        <v>45191.151435185187</v>
      </c>
      <c r="AG2411" s="85">
        <v>45191</v>
      </c>
      <c r="AH2411" s="80" t="s">
        <v>12747</v>
      </c>
      <c r="AI2411" s="77"/>
      <c r="AJ2411" s="77"/>
      <c r="AK2411" s="77"/>
      <c r="AL2411" s="77"/>
      <c r="AM2411" s="77"/>
      <c r="AN2411" s="77"/>
      <c r="AO2411" s="77"/>
      <c r="AP2411" s="77"/>
      <c r="AQ2411" s="77"/>
      <c r="AR2411" s="77"/>
      <c r="AS2411" s="77"/>
      <c r="AT2411" s="77"/>
      <c r="AU2411" s="77"/>
      <c r="AV2411" s="83" t="str">
        <f>HYPERLINK("https://pbs.twimg.com/profile_images/1178592529714946048/whJ920Tv_normal.jpg")</f>
        <v>https://pbs.twimg.com/profile_images/1178592529714946048/whJ920Tv_normal.jpg</v>
      </c>
      <c r="AW2411" s="80" t="s">
        <v>18216</v>
      </c>
      <c r="AX2411" s="80" t="s">
        <v>18216</v>
      </c>
      <c r="AY2411" s="77"/>
      <c r="AZ2411" s="80" t="s">
        <v>20380</v>
      </c>
      <c r="BA2411" s="80" t="s">
        <v>20380</v>
      </c>
      <c r="BB2411" s="80" t="s">
        <v>19843</v>
      </c>
      <c r="BC2411" s="80" t="s">
        <v>19843</v>
      </c>
      <c r="BD2411" s="80" t="s">
        <v>20876</v>
      </c>
      <c r="BE2411" s="77"/>
      <c r="BF2411" s="77"/>
      <c r="BG2411" s="77"/>
      <c r="BH2411" s="77"/>
      <c r="BI2411" s="77"/>
    </row>
    <row r="2412" spans="1:61" x14ac:dyDescent="0.25">
      <c r="A2412" s="62" t="s">
        <v>1004</v>
      </c>
      <c r="B2412" s="62" t="s">
        <v>1677</v>
      </c>
      <c r="C2412" s="63"/>
      <c r="D2412" s="64"/>
      <c r="E2412" s="65"/>
      <c r="F2412" s="66"/>
      <c r="G2412" s="63"/>
      <c r="H2412" s="67"/>
      <c r="I2412" s="68"/>
      <c r="J2412" s="68"/>
      <c r="K2412" s="32"/>
      <c r="L2412" s="75">
        <v>2412</v>
      </c>
      <c r="M2412" s="75"/>
      <c r="N2412" s="70"/>
      <c r="O2412" s="77" t="s">
        <v>2082</v>
      </c>
      <c r="P2412" s="79">
        <v>45137.637037037035</v>
      </c>
      <c r="Q2412" s="77" t="s">
        <v>3069</v>
      </c>
      <c r="R2412" s="77">
        <v>0</v>
      </c>
      <c r="S2412" s="77">
        <v>1</v>
      </c>
      <c r="T2412" s="77">
        <v>0</v>
      </c>
      <c r="U2412" s="77">
        <v>0</v>
      </c>
      <c r="V2412" s="77">
        <v>9</v>
      </c>
      <c r="W2412" s="80" t="s">
        <v>6698</v>
      </c>
      <c r="X2412" s="77"/>
      <c r="Y2412" s="77"/>
      <c r="Z2412" s="77"/>
      <c r="AA2412" s="77"/>
      <c r="AB2412" s="77"/>
      <c r="AC2412" s="80" t="s">
        <v>10540</v>
      </c>
      <c r="AD2412" s="77" t="s">
        <v>10618</v>
      </c>
      <c r="AE2412" s="83" t="str">
        <f>HYPERLINK("https://twitter.com/jannefreitas/status/1685670920407396353")</f>
        <v>https://twitter.com/jannefreitas/status/1685670920407396353</v>
      </c>
      <c r="AF2412" s="79">
        <v>45137.637037037035</v>
      </c>
      <c r="AG2412" s="85">
        <v>45137</v>
      </c>
      <c r="AH2412" s="80" t="s">
        <v>12748</v>
      </c>
      <c r="AI2412" s="77"/>
      <c r="AJ2412" s="77"/>
      <c r="AK2412" s="77"/>
      <c r="AL2412" s="77"/>
      <c r="AM2412" s="77"/>
      <c r="AN2412" s="77"/>
      <c r="AO2412" s="77"/>
      <c r="AP2412" s="77"/>
      <c r="AQ2412" s="77"/>
      <c r="AR2412" s="77"/>
      <c r="AS2412" s="77"/>
      <c r="AT2412" s="77"/>
      <c r="AU2412" s="77"/>
      <c r="AV2412" s="83" t="str">
        <f>HYPERLINK("https://pbs.twimg.com/profile_images/1672064707396599813/iR1By7yg_normal.jpg")</f>
        <v>https://pbs.twimg.com/profile_images/1672064707396599813/iR1By7yg_normal.jpg</v>
      </c>
      <c r="AW2412" s="80" t="s">
        <v>18217</v>
      </c>
      <c r="AX2412" s="80" t="s">
        <v>18217</v>
      </c>
      <c r="AY2412" s="77"/>
      <c r="AZ2412" s="80" t="s">
        <v>20380</v>
      </c>
      <c r="BA2412" s="80" t="s">
        <v>19928</v>
      </c>
      <c r="BB2412" s="80" t="s">
        <v>20380</v>
      </c>
      <c r="BC2412" s="80" t="s">
        <v>19928</v>
      </c>
      <c r="BD2412" s="77">
        <v>124374240</v>
      </c>
      <c r="BE2412" s="77"/>
      <c r="BF2412" s="77"/>
      <c r="BG2412" s="77"/>
      <c r="BH2412" s="77"/>
      <c r="BI2412" s="77"/>
    </row>
    <row r="2413" spans="1:61" x14ac:dyDescent="0.25">
      <c r="A2413" s="62" t="s">
        <v>1005</v>
      </c>
      <c r="B2413" s="62" t="s">
        <v>1937</v>
      </c>
      <c r="C2413" s="63"/>
      <c r="D2413" s="64"/>
      <c r="E2413" s="65"/>
      <c r="F2413" s="66"/>
      <c r="G2413" s="63"/>
      <c r="H2413" s="67"/>
      <c r="I2413" s="68"/>
      <c r="J2413" s="68"/>
      <c r="K2413" s="32"/>
      <c r="L2413" s="75">
        <v>2413</v>
      </c>
      <c r="M2413" s="75"/>
      <c r="N2413" s="70"/>
      <c r="O2413" s="77" t="s">
        <v>2084</v>
      </c>
      <c r="P2413" s="79">
        <v>45088.535729166666</v>
      </c>
      <c r="Q2413" s="77" t="s">
        <v>4218</v>
      </c>
      <c r="R2413" s="77">
        <v>0</v>
      </c>
      <c r="S2413" s="77">
        <v>0</v>
      </c>
      <c r="T2413" s="77">
        <v>0</v>
      </c>
      <c r="U2413" s="77">
        <v>0</v>
      </c>
      <c r="V2413" s="77">
        <v>67</v>
      </c>
      <c r="W2413" s="80" t="s">
        <v>7421</v>
      </c>
      <c r="X2413" s="77"/>
      <c r="Y2413" s="77"/>
      <c r="Z2413" s="77" t="s">
        <v>8983</v>
      </c>
      <c r="AA2413" s="77"/>
      <c r="AB2413" s="77"/>
      <c r="AC2413" s="80" t="s">
        <v>10540</v>
      </c>
      <c r="AD2413" s="77" t="s">
        <v>10620</v>
      </c>
      <c r="AE2413" s="83" t="str">
        <f>HYPERLINK("https://twitter.com/luligalarza/status/1667877204229750784")</f>
        <v>https://twitter.com/luligalarza/status/1667877204229750784</v>
      </c>
      <c r="AF2413" s="79">
        <v>45088.535729166666</v>
      </c>
      <c r="AG2413" s="85">
        <v>45088</v>
      </c>
      <c r="AH2413" s="80" t="s">
        <v>12749</v>
      </c>
      <c r="AI2413" s="77"/>
      <c r="AJ2413" s="77"/>
      <c r="AK2413" s="77"/>
      <c r="AL2413" s="77"/>
      <c r="AM2413" s="77"/>
      <c r="AN2413" s="77"/>
      <c r="AO2413" s="77"/>
      <c r="AP2413" s="77"/>
      <c r="AQ2413" s="77"/>
      <c r="AR2413" s="77"/>
      <c r="AS2413" s="77"/>
      <c r="AT2413" s="77"/>
      <c r="AU2413" s="77"/>
      <c r="AV2413" s="83" t="str">
        <f>HYPERLINK("https://pbs.twimg.com/profile_images/1683511655311843332/PeaURi7E_normal.jpg")</f>
        <v>https://pbs.twimg.com/profile_images/1683511655311843332/PeaURi7E_normal.jpg</v>
      </c>
      <c r="AW2413" s="80" t="s">
        <v>18218</v>
      </c>
      <c r="AX2413" s="80" t="s">
        <v>18218</v>
      </c>
      <c r="AY2413" s="77"/>
      <c r="AZ2413" s="80" t="s">
        <v>20380</v>
      </c>
      <c r="BA2413" s="80" t="s">
        <v>18767</v>
      </c>
      <c r="BB2413" s="80" t="s">
        <v>20380</v>
      </c>
      <c r="BC2413" s="80" t="s">
        <v>18767</v>
      </c>
      <c r="BD2413" s="77">
        <v>468637382</v>
      </c>
      <c r="BE2413" s="77"/>
      <c r="BF2413" s="77"/>
      <c r="BG2413" s="77"/>
      <c r="BH2413" s="77"/>
      <c r="BI2413" s="77"/>
    </row>
    <row r="2414" spans="1:61" x14ac:dyDescent="0.25">
      <c r="A2414" s="62" t="s">
        <v>1005</v>
      </c>
      <c r="B2414" s="62" t="s">
        <v>1938</v>
      </c>
      <c r="C2414" s="63"/>
      <c r="D2414" s="64"/>
      <c r="E2414" s="65"/>
      <c r="F2414" s="66"/>
      <c r="G2414" s="63"/>
      <c r="H2414" s="67"/>
      <c r="I2414" s="68"/>
      <c r="J2414" s="68"/>
      <c r="K2414" s="32"/>
      <c r="L2414" s="75">
        <v>2414</v>
      </c>
      <c r="M2414" s="75"/>
      <c r="N2414" s="70"/>
      <c r="O2414" s="77" t="s">
        <v>2084</v>
      </c>
      <c r="P2414" s="79">
        <v>45088.535729166666</v>
      </c>
      <c r="Q2414" s="77" t="s">
        <v>4218</v>
      </c>
      <c r="R2414" s="77">
        <v>0</v>
      </c>
      <c r="S2414" s="77">
        <v>0</v>
      </c>
      <c r="T2414" s="77">
        <v>0</v>
      </c>
      <c r="U2414" s="77">
        <v>0</v>
      </c>
      <c r="V2414" s="77">
        <v>67</v>
      </c>
      <c r="W2414" s="80" t="s">
        <v>7421</v>
      </c>
      <c r="X2414" s="77"/>
      <c r="Y2414" s="77"/>
      <c r="Z2414" s="77" t="s">
        <v>8983</v>
      </c>
      <c r="AA2414" s="77"/>
      <c r="AB2414" s="77"/>
      <c r="AC2414" s="80" t="s">
        <v>10540</v>
      </c>
      <c r="AD2414" s="77" t="s">
        <v>10620</v>
      </c>
      <c r="AE2414" s="83" t="str">
        <f>HYPERLINK("https://twitter.com/luligalarza/status/1667877204229750784")</f>
        <v>https://twitter.com/luligalarza/status/1667877204229750784</v>
      </c>
      <c r="AF2414" s="79">
        <v>45088.535729166666</v>
      </c>
      <c r="AG2414" s="85">
        <v>45088</v>
      </c>
      <c r="AH2414" s="80" t="s">
        <v>12749</v>
      </c>
      <c r="AI2414" s="77"/>
      <c r="AJ2414" s="77"/>
      <c r="AK2414" s="77"/>
      <c r="AL2414" s="77"/>
      <c r="AM2414" s="77"/>
      <c r="AN2414" s="77"/>
      <c r="AO2414" s="77"/>
      <c r="AP2414" s="77"/>
      <c r="AQ2414" s="77"/>
      <c r="AR2414" s="77"/>
      <c r="AS2414" s="77"/>
      <c r="AT2414" s="77"/>
      <c r="AU2414" s="77"/>
      <c r="AV2414" s="83" t="str">
        <f>HYPERLINK("https://pbs.twimg.com/profile_images/1683511655311843332/PeaURi7E_normal.jpg")</f>
        <v>https://pbs.twimg.com/profile_images/1683511655311843332/PeaURi7E_normal.jpg</v>
      </c>
      <c r="AW2414" s="80" t="s">
        <v>18218</v>
      </c>
      <c r="AX2414" s="80" t="s">
        <v>18218</v>
      </c>
      <c r="AY2414" s="77"/>
      <c r="AZ2414" s="80" t="s">
        <v>20380</v>
      </c>
      <c r="BA2414" s="80" t="s">
        <v>18767</v>
      </c>
      <c r="BB2414" s="80" t="s">
        <v>20380</v>
      </c>
      <c r="BC2414" s="80" t="s">
        <v>18767</v>
      </c>
      <c r="BD2414" s="77">
        <v>468637382</v>
      </c>
      <c r="BE2414" s="77"/>
      <c r="BF2414" s="77"/>
      <c r="BG2414" s="77"/>
      <c r="BH2414" s="77"/>
      <c r="BI2414" s="77"/>
    </row>
    <row r="2415" spans="1:61" x14ac:dyDescent="0.25">
      <c r="A2415" s="62" t="s">
        <v>1005</v>
      </c>
      <c r="B2415" s="62" t="s">
        <v>1669</v>
      </c>
      <c r="C2415" s="63"/>
      <c r="D2415" s="64"/>
      <c r="E2415" s="65"/>
      <c r="F2415" s="66"/>
      <c r="G2415" s="63"/>
      <c r="H2415" s="67"/>
      <c r="I2415" s="68"/>
      <c r="J2415" s="68"/>
      <c r="K2415" s="32"/>
      <c r="L2415" s="75">
        <v>2415</v>
      </c>
      <c r="M2415" s="75"/>
      <c r="N2415" s="70"/>
      <c r="O2415" s="77" t="s">
        <v>2084</v>
      </c>
      <c r="P2415" s="79">
        <v>45088.535729166666</v>
      </c>
      <c r="Q2415" s="77" t="s">
        <v>4218</v>
      </c>
      <c r="R2415" s="77">
        <v>0</v>
      </c>
      <c r="S2415" s="77">
        <v>0</v>
      </c>
      <c r="T2415" s="77">
        <v>0</v>
      </c>
      <c r="U2415" s="77">
        <v>0</v>
      </c>
      <c r="V2415" s="77">
        <v>67</v>
      </c>
      <c r="W2415" s="80" t="s">
        <v>7421</v>
      </c>
      <c r="X2415" s="77"/>
      <c r="Y2415" s="77"/>
      <c r="Z2415" s="77" t="s">
        <v>8983</v>
      </c>
      <c r="AA2415" s="77"/>
      <c r="AB2415" s="77"/>
      <c r="AC2415" s="80" t="s">
        <v>10540</v>
      </c>
      <c r="AD2415" s="77" t="s">
        <v>10620</v>
      </c>
      <c r="AE2415" s="83" t="str">
        <f>HYPERLINK("https://twitter.com/luligalarza/status/1667877204229750784")</f>
        <v>https://twitter.com/luligalarza/status/1667877204229750784</v>
      </c>
      <c r="AF2415" s="79">
        <v>45088.535729166666</v>
      </c>
      <c r="AG2415" s="85">
        <v>45088</v>
      </c>
      <c r="AH2415" s="80" t="s">
        <v>12749</v>
      </c>
      <c r="AI2415" s="77"/>
      <c r="AJ2415" s="77"/>
      <c r="AK2415" s="77"/>
      <c r="AL2415" s="77"/>
      <c r="AM2415" s="77"/>
      <c r="AN2415" s="77"/>
      <c r="AO2415" s="77"/>
      <c r="AP2415" s="77"/>
      <c r="AQ2415" s="77"/>
      <c r="AR2415" s="77"/>
      <c r="AS2415" s="77"/>
      <c r="AT2415" s="77"/>
      <c r="AU2415" s="77"/>
      <c r="AV2415" s="83" t="str">
        <f>HYPERLINK("https://pbs.twimg.com/profile_images/1683511655311843332/PeaURi7E_normal.jpg")</f>
        <v>https://pbs.twimg.com/profile_images/1683511655311843332/PeaURi7E_normal.jpg</v>
      </c>
      <c r="AW2415" s="80" t="s">
        <v>18218</v>
      </c>
      <c r="AX2415" s="80" t="s">
        <v>18218</v>
      </c>
      <c r="AY2415" s="77"/>
      <c r="AZ2415" s="80" t="s">
        <v>20380</v>
      </c>
      <c r="BA2415" s="80" t="s">
        <v>18767</v>
      </c>
      <c r="BB2415" s="80" t="s">
        <v>20380</v>
      </c>
      <c r="BC2415" s="80" t="s">
        <v>18767</v>
      </c>
      <c r="BD2415" s="77">
        <v>468637382</v>
      </c>
      <c r="BE2415" s="77"/>
      <c r="BF2415" s="77"/>
      <c r="BG2415" s="77"/>
      <c r="BH2415" s="77"/>
      <c r="BI2415" s="77"/>
    </row>
    <row r="2416" spans="1:61" x14ac:dyDescent="0.25">
      <c r="A2416" s="62" t="s">
        <v>1005</v>
      </c>
      <c r="B2416" s="62" t="s">
        <v>1195</v>
      </c>
      <c r="C2416" s="63"/>
      <c r="D2416" s="64"/>
      <c r="E2416" s="65"/>
      <c r="F2416" s="66"/>
      <c r="G2416" s="63"/>
      <c r="H2416" s="67"/>
      <c r="I2416" s="68"/>
      <c r="J2416" s="68"/>
      <c r="K2416" s="32"/>
      <c r="L2416" s="75">
        <v>2416</v>
      </c>
      <c r="M2416" s="75"/>
      <c r="N2416" s="70"/>
      <c r="O2416" s="77" t="s">
        <v>2082</v>
      </c>
      <c r="P2416" s="79">
        <v>45088.535729166666</v>
      </c>
      <c r="Q2416" s="77" t="s">
        <v>4218</v>
      </c>
      <c r="R2416" s="77">
        <v>0</v>
      </c>
      <c r="S2416" s="77">
        <v>0</v>
      </c>
      <c r="T2416" s="77">
        <v>0</v>
      </c>
      <c r="U2416" s="77">
        <v>0</v>
      </c>
      <c r="V2416" s="77">
        <v>67</v>
      </c>
      <c r="W2416" s="80" t="s">
        <v>7421</v>
      </c>
      <c r="X2416" s="77"/>
      <c r="Y2416" s="77"/>
      <c r="Z2416" s="77" t="s">
        <v>8983</v>
      </c>
      <c r="AA2416" s="77"/>
      <c r="AB2416" s="77"/>
      <c r="AC2416" s="80" t="s">
        <v>10540</v>
      </c>
      <c r="AD2416" s="77" t="s">
        <v>10620</v>
      </c>
      <c r="AE2416" s="83" t="str">
        <f>HYPERLINK("https://twitter.com/luligalarza/status/1667877204229750784")</f>
        <v>https://twitter.com/luligalarza/status/1667877204229750784</v>
      </c>
      <c r="AF2416" s="79">
        <v>45088.535729166666</v>
      </c>
      <c r="AG2416" s="85">
        <v>45088</v>
      </c>
      <c r="AH2416" s="80" t="s">
        <v>12749</v>
      </c>
      <c r="AI2416" s="77"/>
      <c r="AJ2416" s="77"/>
      <c r="AK2416" s="77"/>
      <c r="AL2416" s="77"/>
      <c r="AM2416" s="77"/>
      <c r="AN2416" s="77"/>
      <c r="AO2416" s="77"/>
      <c r="AP2416" s="77"/>
      <c r="AQ2416" s="77"/>
      <c r="AR2416" s="77"/>
      <c r="AS2416" s="77"/>
      <c r="AT2416" s="77"/>
      <c r="AU2416" s="77"/>
      <c r="AV2416" s="83" t="str">
        <f>HYPERLINK("https://pbs.twimg.com/profile_images/1683511655311843332/PeaURi7E_normal.jpg")</f>
        <v>https://pbs.twimg.com/profile_images/1683511655311843332/PeaURi7E_normal.jpg</v>
      </c>
      <c r="AW2416" s="80" t="s">
        <v>18218</v>
      </c>
      <c r="AX2416" s="80" t="s">
        <v>18218</v>
      </c>
      <c r="AY2416" s="77"/>
      <c r="AZ2416" s="80" t="s">
        <v>20380</v>
      </c>
      <c r="BA2416" s="80" t="s">
        <v>18767</v>
      </c>
      <c r="BB2416" s="80" t="s">
        <v>20380</v>
      </c>
      <c r="BC2416" s="80" t="s">
        <v>18767</v>
      </c>
      <c r="BD2416" s="77">
        <v>468637382</v>
      </c>
      <c r="BE2416" s="77"/>
      <c r="BF2416" s="77"/>
      <c r="BG2416" s="77"/>
      <c r="BH2416" s="77"/>
      <c r="BI2416" s="77"/>
    </row>
    <row r="2417" spans="1:61" x14ac:dyDescent="0.25">
      <c r="A2417" s="62" t="s">
        <v>1006</v>
      </c>
      <c r="B2417" s="62" t="s">
        <v>1006</v>
      </c>
      <c r="C2417" s="63"/>
      <c r="D2417" s="64"/>
      <c r="E2417" s="65"/>
      <c r="F2417" s="66"/>
      <c r="G2417" s="63"/>
      <c r="H2417" s="67"/>
      <c r="I2417" s="68"/>
      <c r="J2417" s="68"/>
      <c r="K2417" s="32"/>
      <c r="L2417" s="75">
        <v>2417</v>
      </c>
      <c r="M2417" s="75"/>
      <c r="N2417" s="70"/>
      <c r="O2417" s="77" t="s">
        <v>2081</v>
      </c>
      <c r="P2417" s="79">
        <v>45066.116087962961</v>
      </c>
      <c r="Q2417" s="77" t="s">
        <v>4219</v>
      </c>
      <c r="R2417" s="77">
        <v>2</v>
      </c>
      <c r="S2417" s="77">
        <v>4</v>
      </c>
      <c r="T2417" s="77">
        <v>0</v>
      </c>
      <c r="U2417" s="77">
        <v>0</v>
      </c>
      <c r="V2417" s="77">
        <v>53</v>
      </c>
      <c r="W2417" s="80" t="s">
        <v>7422</v>
      </c>
      <c r="X2417" s="83" t="str">
        <f>HYPERLINK("https://www.baopina.com/2023/05/19/el-nuevo-billete-de-2-000-ya-comenzo-a-circular-en-bancos-y-prontamente-llegara-a-la-circulacion-general/")</f>
        <v>https://www.baopina.com/2023/05/19/el-nuevo-billete-de-2-000-ya-comenzo-a-circular-en-bancos-y-prontamente-llegara-a-la-circulacion-general/</v>
      </c>
      <c r="Y2417" s="77" t="s">
        <v>8770</v>
      </c>
      <c r="Z2417" s="77" t="s">
        <v>1006</v>
      </c>
      <c r="AA2417" s="77"/>
      <c r="AB2417" s="77"/>
      <c r="AC2417" s="80" t="s">
        <v>10540</v>
      </c>
      <c r="AD2417" s="77" t="s">
        <v>10620</v>
      </c>
      <c r="AE2417" s="83" t="str">
        <f>HYPERLINK("https://twitter.com/opinaba/status/1659752596213579777")</f>
        <v>https://twitter.com/opinaba/status/1659752596213579777</v>
      </c>
      <c r="AF2417" s="79">
        <v>45066.116087962961</v>
      </c>
      <c r="AG2417" s="85">
        <v>45066</v>
      </c>
      <c r="AH2417" s="80" t="s">
        <v>12750</v>
      </c>
      <c r="AI2417" s="77" t="b">
        <v>0</v>
      </c>
      <c r="AJ2417" s="77"/>
      <c r="AK2417" s="77"/>
      <c r="AL2417" s="77"/>
      <c r="AM2417" s="77"/>
      <c r="AN2417" s="77"/>
      <c r="AO2417" s="77"/>
      <c r="AP2417" s="77"/>
      <c r="AQ2417" s="77"/>
      <c r="AR2417" s="77"/>
      <c r="AS2417" s="77"/>
      <c r="AT2417" s="77"/>
      <c r="AU2417" s="77"/>
      <c r="AV2417" s="83" t="str">
        <f>HYPERLINK("https://pbs.twimg.com/profile_images/1372924399205150720/_sX_N7OB_normal.jpg")</f>
        <v>https://pbs.twimg.com/profile_images/1372924399205150720/_sX_N7OB_normal.jpg</v>
      </c>
      <c r="AW2417" s="80" t="s">
        <v>18219</v>
      </c>
      <c r="AX2417" s="80" t="s">
        <v>18219</v>
      </c>
      <c r="AY2417" s="77"/>
      <c r="AZ2417" s="80" t="s">
        <v>20380</v>
      </c>
      <c r="BA2417" s="80" t="s">
        <v>20380</v>
      </c>
      <c r="BB2417" s="80" t="s">
        <v>20380</v>
      </c>
      <c r="BC2417" s="80" t="s">
        <v>18219</v>
      </c>
      <c r="BD2417" s="80" t="s">
        <v>20877</v>
      </c>
      <c r="BE2417" s="77"/>
      <c r="BF2417" s="77"/>
      <c r="BG2417" s="77"/>
      <c r="BH2417" s="77"/>
      <c r="BI2417" s="77"/>
    </row>
    <row r="2418" spans="1:61" x14ac:dyDescent="0.25">
      <c r="A2418" s="62" t="s">
        <v>1006</v>
      </c>
      <c r="B2418" s="62" t="s">
        <v>1006</v>
      </c>
      <c r="C2418" s="63"/>
      <c r="D2418" s="64"/>
      <c r="E2418" s="65"/>
      <c r="F2418" s="66"/>
      <c r="G2418" s="63"/>
      <c r="H2418" s="67"/>
      <c r="I2418" s="68"/>
      <c r="J2418" s="68"/>
      <c r="K2418" s="32"/>
      <c r="L2418" s="75">
        <v>2418</v>
      </c>
      <c r="M2418" s="75"/>
      <c r="N2418" s="70"/>
      <c r="O2418" s="77" t="s">
        <v>179</v>
      </c>
      <c r="P2418" s="79">
        <v>45148.864548611113</v>
      </c>
      <c r="Q2418" s="77" t="s">
        <v>4220</v>
      </c>
      <c r="R2418" s="77">
        <v>2</v>
      </c>
      <c r="S2418" s="77">
        <v>2</v>
      </c>
      <c r="T2418" s="77">
        <v>0</v>
      </c>
      <c r="U2418" s="77">
        <v>0</v>
      </c>
      <c r="V2418" s="77">
        <v>313</v>
      </c>
      <c r="W2418" s="80" t="s">
        <v>7423</v>
      </c>
      <c r="X2418" s="83" t="str">
        <f>HYPERLINK("http://Baopina.com")</f>
        <v>http://Baopina.com</v>
      </c>
      <c r="Y2418" s="77" t="s">
        <v>8770</v>
      </c>
      <c r="Z2418" s="77"/>
      <c r="AA2418" s="77" t="s">
        <v>9741</v>
      </c>
      <c r="AB2418" s="77" t="s">
        <v>10535</v>
      </c>
      <c r="AC2418" s="80" t="s">
        <v>10541</v>
      </c>
      <c r="AD2418" s="77" t="s">
        <v>10620</v>
      </c>
      <c r="AE2418" s="83" t="str">
        <f>HYPERLINK("https://twitter.com/opinaba/status/1689739636870983681")</f>
        <v>https://twitter.com/opinaba/status/1689739636870983681</v>
      </c>
      <c r="AF2418" s="79">
        <v>45148.864548611113</v>
      </c>
      <c r="AG2418" s="85">
        <v>45148</v>
      </c>
      <c r="AH2418" s="80" t="s">
        <v>12751</v>
      </c>
      <c r="AI2418" s="77" t="b">
        <v>0</v>
      </c>
      <c r="AJ2418" s="77"/>
      <c r="AK2418" s="77"/>
      <c r="AL2418" s="77"/>
      <c r="AM2418" s="77"/>
      <c r="AN2418" s="77"/>
      <c r="AO2418" s="77"/>
      <c r="AP2418" s="77"/>
      <c r="AQ2418" s="77" t="s">
        <v>15223</v>
      </c>
      <c r="AR2418" s="77"/>
      <c r="AS2418" s="77"/>
      <c r="AT2418" s="77"/>
      <c r="AU2418" s="77"/>
      <c r="AV2418" s="83" t="str">
        <f>HYPERLINK("https://pbs.twimg.com/media/F3MpDFSWgAQQ_Hq.jpg")</f>
        <v>https://pbs.twimg.com/media/F3MpDFSWgAQQ_Hq.jpg</v>
      </c>
      <c r="AW2418" s="80" t="s">
        <v>18220</v>
      </c>
      <c r="AX2418" s="80" t="s">
        <v>18220</v>
      </c>
      <c r="AY2418" s="77"/>
      <c r="AZ2418" s="80" t="s">
        <v>20380</v>
      </c>
      <c r="BA2418" s="80" t="s">
        <v>20380</v>
      </c>
      <c r="BB2418" s="80" t="s">
        <v>20380</v>
      </c>
      <c r="BC2418" s="80" t="s">
        <v>18220</v>
      </c>
      <c r="BD2418" s="80" t="s">
        <v>20877</v>
      </c>
      <c r="BE2418" s="77"/>
      <c r="BF2418" s="77"/>
      <c r="BG2418" s="77"/>
      <c r="BH2418" s="77"/>
      <c r="BI2418" s="77"/>
    </row>
    <row r="2419" spans="1:61" x14ac:dyDescent="0.25">
      <c r="A2419" s="62" t="s">
        <v>1006</v>
      </c>
      <c r="B2419" s="62" t="s">
        <v>1006</v>
      </c>
      <c r="C2419" s="63"/>
      <c r="D2419" s="64"/>
      <c r="E2419" s="65"/>
      <c r="F2419" s="66"/>
      <c r="G2419" s="63"/>
      <c r="H2419" s="67"/>
      <c r="I2419" s="68"/>
      <c r="J2419" s="68"/>
      <c r="K2419" s="32"/>
      <c r="L2419" s="75">
        <v>2419</v>
      </c>
      <c r="M2419" s="75"/>
      <c r="N2419" s="70"/>
      <c r="O2419" s="77" t="s">
        <v>179</v>
      </c>
      <c r="P2419" s="79">
        <v>45149.936886574076</v>
      </c>
      <c r="Q2419" s="77" t="s">
        <v>4221</v>
      </c>
      <c r="R2419" s="77">
        <v>3</v>
      </c>
      <c r="S2419" s="77">
        <v>3</v>
      </c>
      <c r="T2419" s="77">
        <v>0</v>
      </c>
      <c r="U2419" s="77">
        <v>0</v>
      </c>
      <c r="V2419" s="77">
        <v>871</v>
      </c>
      <c r="W2419" s="80" t="s">
        <v>7424</v>
      </c>
      <c r="X2419" s="83" t="str">
        <f>HYPERLINK("http://Baopina.com")</f>
        <v>http://Baopina.com</v>
      </c>
      <c r="Y2419" s="77" t="s">
        <v>8770</v>
      </c>
      <c r="Z2419" s="77"/>
      <c r="AA2419" s="77" t="s">
        <v>9742</v>
      </c>
      <c r="AB2419" s="77" t="s">
        <v>10535</v>
      </c>
      <c r="AC2419" s="80" t="s">
        <v>10541</v>
      </c>
      <c r="AD2419" s="77" t="s">
        <v>10620</v>
      </c>
      <c r="AE2419" s="83" t="str">
        <f>HYPERLINK("https://twitter.com/opinaba/status/1690128237601476608")</f>
        <v>https://twitter.com/opinaba/status/1690128237601476608</v>
      </c>
      <c r="AF2419" s="79">
        <v>45149.936886574076</v>
      </c>
      <c r="AG2419" s="85">
        <v>45149</v>
      </c>
      <c r="AH2419" s="80" t="s">
        <v>12752</v>
      </c>
      <c r="AI2419" s="77" t="b">
        <v>0</v>
      </c>
      <c r="AJ2419" s="77"/>
      <c r="AK2419" s="77"/>
      <c r="AL2419" s="77"/>
      <c r="AM2419" s="77"/>
      <c r="AN2419" s="77"/>
      <c r="AO2419" s="77"/>
      <c r="AP2419" s="77"/>
      <c r="AQ2419" s="77" t="s">
        <v>15224</v>
      </c>
      <c r="AR2419" s="77"/>
      <c r="AS2419" s="77"/>
      <c r="AT2419" s="77"/>
      <c r="AU2419" s="77"/>
      <c r="AV2419" s="83" t="str">
        <f>HYPERLINK("https://pbs.twimg.com/media/F3SJhFBXgAAItT8.jpg")</f>
        <v>https://pbs.twimg.com/media/F3SJhFBXgAAItT8.jpg</v>
      </c>
      <c r="AW2419" s="80" t="s">
        <v>18221</v>
      </c>
      <c r="AX2419" s="80" t="s">
        <v>18221</v>
      </c>
      <c r="AY2419" s="77"/>
      <c r="AZ2419" s="80" t="s">
        <v>20380</v>
      </c>
      <c r="BA2419" s="80" t="s">
        <v>20380</v>
      </c>
      <c r="BB2419" s="80" t="s">
        <v>20380</v>
      </c>
      <c r="BC2419" s="80" t="s">
        <v>18221</v>
      </c>
      <c r="BD2419" s="80" t="s">
        <v>20877</v>
      </c>
      <c r="BE2419" s="77"/>
      <c r="BF2419" s="77"/>
      <c r="BG2419" s="77"/>
      <c r="BH2419" s="77"/>
      <c r="BI2419" s="77"/>
    </row>
    <row r="2420" spans="1:61" x14ac:dyDescent="0.25">
      <c r="A2420" s="62" t="s">
        <v>1006</v>
      </c>
      <c r="B2420" s="62" t="s">
        <v>1006</v>
      </c>
      <c r="C2420" s="63"/>
      <c r="D2420" s="64"/>
      <c r="E2420" s="65"/>
      <c r="F2420" s="66"/>
      <c r="G2420" s="63"/>
      <c r="H2420" s="67"/>
      <c r="I2420" s="68"/>
      <c r="J2420" s="68"/>
      <c r="K2420" s="32"/>
      <c r="L2420" s="75">
        <v>2420</v>
      </c>
      <c r="M2420" s="75"/>
      <c r="N2420" s="70"/>
      <c r="O2420" s="77" t="s">
        <v>179</v>
      </c>
      <c r="P2420" s="79">
        <v>45141.986643518518</v>
      </c>
      <c r="Q2420" s="77" t="s">
        <v>4222</v>
      </c>
      <c r="R2420" s="77">
        <v>2</v>
      </c>
      <c r="S2420" s="77">
        <v>3</v>
      </c>
      <c r="T2420" s="77">
        <v>1</v>
      </c>
      <c r="U2420" s="77">
        <v>0</v>
      </c>
      <c r="V2420" s="77">
        <v>213</v>
      </c>
      <c r="W2420" s="80" t="s">
        <v>7425</v>
      </c>
      <c r="X2420" s="83" t="str">
        <f>HYPERLINK("http://Baopina.com")</f>
        <v>http://Baopina.com</v>
      </c>
      <c r="Y2420" s="77" t="s">
        <v>8770</v>
      </c>
      <c r="Z2420" s="77"/>
      <c r="AA2420" s="77" t="s">
        <v>9743</v>
      </c>
      <c r="AB2420" s="77" t="s">
        <v>10535</v>
      </c>
      <c r="AC2420" s="80" t="s">
        <v>10541</v>
      </c>
      <c r="AD2420" s="77" t="s">
        <v>10620</v>
      </c>
      <c r="AE2420" s="83" t="str">
        <f>HYPERLINK("https://twitter.com/opinaba/status/1687247164907356160")</f>
        <v>https://twitter.com/opinaba/status/1687247164907356160</v>
      </c>
      <c r="AF2420" s="79">
        <v>45141.986643518518</v>
      </c>
      <c r="AG2420" s="85">
        <v>45141</v>
      </c>
      <c r="AH2420" s="80" t="s">
        <v>12753</v>
      </c>
      <c r="AI2420" s="77" t="b">
        <v>0</v>
      </c>
      <c r="AJ2420" s="77"/>
      <c r="AK2420" s="77"/>
      <c r="AL2420" s="77"/>
      <c r="AM2420" s="77"/>
      <c r="AN2420" s="77"/>
      <c r="AO2420" s="77"/>
      <c r="AP2420" s="77"/>
      <c r="AQ2420" s="77" t="s">
        <v>15225</v>
      </c>
      <c r="AR2420" s="77"/>
      <c r="AS2420" s="77"/>
      <c r="AT2420" s="77"/>
      <c r="AU2420" s="77"/>
      <c r="AV2420" s="83" t="str">
        <f>HYPERLINK("https://pbs.twimg.com/media/F2pLDUBWIAA6wxE.jpg")</f>
        <v>https://pbs.twimg.com/media/F2pLDUBWIAA6wxE.jpg</v>
      </c>
      <c r="AW2420" s="80" t="s">
        <v>18222</v>
      </c>
      <c r="AX2420" s="80" t="s">
        <v>18222</v>
      </c>
      <c r="AY2420" s="77"/>
      <c r="AZ2420" s="80" t="s">
        <v>20380</v>
      </c>
      <c r="BA2420" s="80" t="s">
        <v>20380</v>
      </c>
      <c r="BB2420" s="80" t="s">
        <v>20380</v>
      </c>
      <c r="BC2420" s="80" t="s">
        <v>18222</v>
      </c>
      <c r="BD2420" s="80" t="s">
        <v>20877</v>
      </c>
      <c r="BE2420" s="77"/>
      <c r="BF2420" s="77"/>
      <c r="BG2420" s="77"/>
      <c r="BH2420" s="77"/>
      <c r="BI2420" s="77"/>
    </row>
    <row r="2421" spans="1:61" x14ac:dyDescent="0.25">
      <c r="A2421" s="62" t="s">
        <v>1006</v>
      </c>
      <c r="B2421" s="62" t="s">
        <v>1006</v>
      </c>
      <c r="C2421" s="63"/>
      <c r="D2421" s="64"/>
      <c r="E2421" s="65"/>
      <c r="F2421" s="66"/>
      <c r="G2421" s="63"/>
      <c r="H2421" s="67"/>
      <c r="I2421" s="68"/>
      <c r="J2421" s="68"/>
      <c r="K2421" s="32"/>
      <c r="L2421" s="75">
        <v>2421</v>
      </c>
      <c r="M2421" s="75"/>
      <c r="N2421" s="70"/>
      <c r="O2421" s="77" t="s">
        <v>179</v>
      </c>
      <c r="P2421" s="79">
        <v>45153.831655092596</v>
      </c>
      <c r="Q2421" s="77" t="s">
        <v>4223</v>
      </c>
      <c r="R2421" s="77">
        <v>2</v>
      </c>
      <c r="S2421" s="77">
        <v>1</v>
      </c>
      <c r="T2421" s="77">
        <v>0</v>
      </c>
      <c r="U2421" s="77">
        <v>0</v>
      </c>
      <c r="V2421" s="77">
        <v>136</v>
      </c>
      <c r="W2421" s="80" t="s">
        <v>7426</v>
      </c>
      <c r="X2421" s="83" t="str">
        <f>HYPERLINK("http://baoppina.com")</f>
        <v>http://baoppina.com</v>
      </c>
      <c r="Y2421" s="77" t="s">
        <v>8788</v>
      </c>
      <c r="Z2421" s="77"/>
      <c r="AA2421" s="77" t="s">
        <v>9744</v>
      </c>
      <c r="AB2421" s="77" t="s">
        <v>10535</v>
      </c>
      <c r="AC2421" s="80" t="s">
        <v>10540</v>
      </c>
      <c r="AD2421" s="77" t="s">
        <v>10620</v>
      </c>
      <c r="AE2421" s="83" t="str">
        <f>HYPERLINK("https://twitter.com/opinaba/status/1691539652354637826")</f>
        <v>https://twitter.com/opinaba/status/1691539652354637826</v>
      </c>
      <c r="AF2421" s="79">
        <v>45153.831655092596</v>
      </c>
      <c r="AG2421" s="85">
        <v>45153</v>
      </c>
      <c r="AH2421" s="80" t="s">
        <v>12754</v>
      </c>
      <c r="AI2421" s="77" t="b">
        <v>0</v>
      </c>
      <c r="AJ2421" s="77"/>
      <c r="AK2421" s="77"/>
      <c r="AL2421" s="77"/>
      <c r="AM2421" s="77"/>
      <c r="AN2421" s="77"/>
      <c r="AO2421" s="77"/>
      <c r="AP2421" s="77"/>
      <c r="AQ2421" s="77" t="s">
        <v>15226</v>
      </c>
      <c r="AR2421" s="77"/>
      <c r="AS2421" s="77"/>
      <c r="AT2421" s="77"/>
      <c r="AU2421" s="77"/>
      <c r="AV2421" s="83" t="str">
        <f>HYPERLINK("https://pbs.twimg.com/media/F3mOWT7XUAAYLIE.jpg")</f>
        <v>https://pbs.twimg.com/media/F3mOWT7XUAAYLIE.jpg</v>
      </c>
      <c r="AW2421" s="80" t="s">
        <v>18223</v>
      </c>
      <c r="AX2421" s="80" t="s">
        <v>18223</v>
      </c>
      <c r="AY2421" s="77"/>
      <c r="AZ2421" s="80" t="s">
        <v>20380</v>
      </c>
      <c r="BA2421" s="80" t="s">
        <v>20380</v>
      </c>
      <c r="BB2421" s="80" t="s">
        <v>20380</v>
      </c>
      <c r="BC2421" s="80" t="s">
        <v>18223</v>
      </c>
      <c r="BD2421" s="80" t="s">
        <v>20877</v>
      </c>
      <c r="BE2421" s="77"/>
      <c r="BF2421" s="77"/>
      <c r="BG2421" s="77"/>
      <c r="BH2421" s="77"/>
      <c r="BI2421" s="77"/>
    </row>
    <row r="2422" spans="1:61" x14ac:dyDescent="0.25">
      <c r="A2422" s="62" t="s">
        <v>1006</v>
      </c>
      <c r="B2422" s="62" t="s">
        <v>1006</v>
      </c>
      <c r="C2422" s="63"/>
      <c r="D2422" s="64"/>
      <c r="E2422" s="65"/>
      <c r="F2422" s="66"/>
      <c r="G2422" s="63"/>
      <c r="H2422" s="67"/>
      <c r="I2422" s="68"/>
      <c r="J2422" s="68"/>
      <c r="K2422" s="32"/>
      <c r="L2422" s="75">
        <v>2422</v>
      </c>
      <c r="M2422" s="75"/>
      <c r="N2422" s="70"/>
      <c r="O2422" s="77" t="s">
        <v>2081</v>
      </c>
      <c r="P2422" s="79">
        <v>45064.965370370373</v>
      </c>
      <c r="Q2422" s="77" t="s">
        <v>4224</v>
      </c>
      <c r="R2422" s="77">
        <v>1</v>
      </c>
      <c r="S2422" s="77">
        <v>2</v>
      </c>
      <c r="T2422" s="77">
        <v>0</v>
      </c>
      <c r="U2422" s="77">
        <v>0</v>
      </c>
      <c r="V2422" s="77">
        <v>32</v>
      </c>
      <c r="W2422" s="80" t="s">
        <v>7427</v>
      </c>
      <c r="X2422" s="83" t="str">
        <f>HYPERLINK("https://www.baopina.com/2023/05/18/nueva-medida-del-banco-central-codigo-qr-a-partir-del-1-de-septiembre-los-comercios-que-posean-el-sistema-deberan-operar-con-todas-las-billeteras-virtuales/")</f>
        <v>https://www.baopina.com/2023/05/18/nueva-medida-del-banco-central-codigo-qr-a-partir-del-1-de-septiembre-los-comercios-que-posean-el-sistema-deberan-operar-con-todas-las-billeteras-virtuales/</v>
      </c>
      <c r="Y2422" s="77" t="s">
        <v>8770</v>
      </c>
      <c r="Z2422" s="77" t="s">
        <v>1006</v>
      </c>
      <c r="AA2422" s="77"/>
      <c r="AB2422" s="77"/>
      <c r="AC2422" s="80" t="s">
        <v>10540</v>
      </c>
      <c r="AD2422" s="77" t="s">
        <v>10620</v>
      </c>
      <c r="AE2422" s="83" t="str">
        <f>HYPERLINK("https://twitter.com/opinaba/status/1659335592935563266")</f>
        <v>https://twitter.com/opinaba/status/1659335592935563266</v>
      </c>
      <c r="AF2422" s="79">
        <v>45064.965370370373</v>
      </c>
      <c r="AG2422" s="85">
        <v>45064</v>
      </c>
      <c r="AH2422" s="80" t="s">
        <v>12755</v>
      </c>
      <c r="AI2422" s="77" t="b">
        <v>0</v>
      </c>
      <c r="AJ2422" s="77"/>
      <c r="AK2422" s="77"/>
      <c r="AL2422" s="77"/>
      <c r="AM2422" s="77"/>
      <c r="AN2422" s="77"/>
      <c r="AO2422" s="77"/>
      <c r="AP2422" s="77"/>
      <c r="AQ2422" s="77"/>
      <c r="AR2422" s="77"/>
      <c r="AS2422" s="77"/>
      <c r="AT2422" s="77"/>
      <c r="AU2422" s="77"/>
      <c r="AV2422" s="83" t="str">
        <f>HYPERLINK("https://pbs.twimg.com/profile_images/1372924399205150720/_sX_N7OB_normal.jpg")</f>
        <v>https://pbs.twimg.com/profile_images/1372924399205150720/_sX_N7OB_normal.jpg</v>
      </c>
      <c r="AW2422" s="80" t="s">
        <v>18224</v>
      </c>
      <c r="AX2422" s="80" t="s">
        <v>18224</v>
      </c>
      <c r="AY2422" s="77"/>
      <c r="AZ2422" s="80" t="s">
        <v>20380</v>
      </c>
      <c r="BA2422" s="80" t="s">
        <v>20380</v>
      </c>
      <c r="BB2422" s="80" t="s">
        <v>20380</v>
      </c>
      <c r="BC2422" s="80" t="s">
        <v>18224</v>
      </c>
      <c r="BD2422" s="80" t="s">
        <v>20877</v>
      </c>
      <c r="BE2422" s="77"/>
      <c r="BF2422" s="77"/>
      <c r="BG2422" s="77"/>
      <c r="BH2422" s="77"/>
      <c r="BI2422" s="77"/>
    </row>
    <row r="2423" spans="1:61" x14ac:dyDescent="0.25">
      <c r="A2423" s="62" t="s">
        <v>1006</v>
      </c>
      <c r="B2423" s="62" t="s">
        <v>1006</v>
      </c>
      <c r="C2423" s="63"/>
      <c r="D2423" s="64"/>
      <c r="E2423" s="65"/>
      <c r="F2423" s="66"/>
      <c r="G2423" s="63"/>
      <c r="H2423" s="67"/>
      <c r="I2423" s="68"/>
      <c r="J2423" s="68"/>
      <c r="K2423" s="32"/>
      <c r="L2423" s="75">
        <v>2423</v>
      </c>
      <c r="M2423" s="75"/>
      <c r="N2423" s="70"/>
      <c r="O2423" s="77" t="s">
        <v>2081</v>
      </c>
      <c r="P2423" s="79">
        <v>45051.246018518519</v>
      </c>
      <c r="Q2423" s="77" t="s">
        <v>4225</v>
      </c>
      <c r="R2423" s="77">
        <v>3</v>
      </c>
      <c r="S2423" s="77">
        <v>6</v>
      </c>
      <c r="T2423" s="77">
        <v>2</v>
      </c>
      <c r="U2423" s="77">
        <v>0</v>
      </c>
      <c r="V2423" s="77">
        <v>397</v>
      </c>
      <c r="W2423" s="80" t="s">
        <v>7428</v>
      </c>
      <c r="X2423" s="83" t="str">
        <f>HYPERLINK("https://www.baopina.com/2023/05/04/los-proveedores-de-servicios-de-pago-no-podran-realizar-ni-facilitar-operaciones-con-criptoactivos/")</f>
        <v>https://www.baopina.com/2023/05/04/los-proveedores-de-servicios-de-pago-no-podran-realizar-ni-facilitar-operaciones-con-criptoactivos/</v>
      </c>
      <c r="Y2423" s="77" t="s">
        <v>8770</v>
      </c>
      <c r="Z2423" s="77" t="s">
        <v>1006</v>
      </c>
      <c r="AA2423" s="77"/>
      <c r="AB2423" s="77"/>
      <c r="AC2423" s="80" t="s">
        <v>10541</v>
      </c>
      <c r="AD2423" s="77" t="s">
        <v>10620</v>
      </c>
      <c r="AE2423" s="83" t="str">
        <f>HYPERLINK("https://twitter.com/opinaba/status/1654363862580228097")</f>
        <v>https://twitter.com/opinaba/status/1654363862580228097</v>
      </c>
      <c r="AF2423" s="79">
        <v>45051.246018518519</v>
      </c>
      <c r="AG2423" s="85">
        <v>45051</v>
      </c>
      <c r="AH2423" s="80" t="s">
        <v>12756</v>
      </c>
      <c r="AI2423" s="77" t="b">
        <v>0</v>
      </c>
      <c r="AJ2423" s="77"/>
      <c r="AK2423" s="77"/>
      <c r="AL2423" s="77"/>
      <c r="AM2423" s="77"/>
      <c r="AN2423" s="77"/>
      <c r="AO2423" s="77"/>
      <c r="AP2423" s="77"/>
      <c r="AQ2423" s="77"/>
      <c r="AR2423" s="77"/>
      <c r="AS2423" s="77"/>
      <c r="AT2423" s="77"/>
      <c r="AU2423" s="77"/>
      <c r="AV2423" s="83" t="str">
        <f>HYPERLINK("https://pbs.twimg.com/profile_images/1372924399205150720/_sX_N7OB_normal.jpg")</f>
        <v>https://pbs.twimg.com/profile_images/1372924399205150720/_sX_N7OB_normal.jpg</v>
      </c>
      <c r="AW2423" s="80" t="s">
        <v>18225</v>
      </c>
      <c r="AX2423" s="80" t="s">
        <v>18225</v>
      </c>
      <c r="AY2423" s="77"/>
      <c r="AZ2423" s="80" t="s">
        <v>20380</v>
      </c>
      <c r="BA2423" s="80" t="s">
        <v>20380</v>
      </c>
      <c r="BB2423" s="80" t="s">
        <v>20380</v>
      </c>
      <c r="BC2423" s="80" t="s">
        <v>18225</v>
      </c>
      <c r="BD2423" s="80" t="s">
        <v>20877</v>
      </c>
      <c r="BE2423" s="77"/>
      <c r="BF2423" s="77"/>
      <c r="BG2423" s="77"/>
      <c r="BH2423" s="77"/>
      <c r="BI2423" s="77"/>
    </row>
    <row r="2424" spans="1:61" x14ac:dyDescent="0.25">
      <c r="A2424" s="62" t="s">
        <v>1006</v>
      </c>
      <c r="B2424" s="62" t="s">
        <v>1006</v>
      </c>
      <c r="C2424" s="63"/>
      <c r="D2424" s="64"/>
      <c r="E2424" s="65"/>
      <c r="F2424" s="66"/>
      <c r="G2424" s="63"/>
      <c r="H2424" s="67"/>
      <c r="I2424" s="68"/>
      <c r="J2424" s="68"/>
      <c r="K2424" s="32"/>
      <c r="L2424" s="75">
        <v>2424</v>
      </c>
      <c r="M2424" s="75"/>
      <c r="N2424" s="70"/>
      <c r="O2424" s="77" t="s">
        <v>2081</v>
      </c>
      <c r="P2424" s="79">
        <v>45169.84039351852</v>
      </c>
      <c r="Q2424" s="77" t="s">
        <v>4226</v>
      </c>
      <c r="R2424" s="77">
        <v>2</v>
      </c>
      <c r="S2424" s="77">
        <v>2</v>
      </c>
      <c r="T2424" s="77">
        <v>0</v>
      </c>
      <c r="U2424" s="77">
        <v>0</v>
      </c>
      <c r="V2424" s="77">
        <v>228</v>
      </c>
      <c r="W2424" s="80" t="s">
        <v>7429</v>
      </c>
      <c r="X2424" s="83" t="str">
        <f>HYPERLINK("https://www.baopina.com/2023/08/31/los-pagos-con-transferencia-marcaron-un-nuevo-record-y-se-mantienen-como-el-medio-digital-mas-usado/")</f>
        <v>https://www.baopina.com/2023/08/31/los-pagos-con-transferencia-marcaron-un-nuevo-record-y-se-mantienen-como-el-medio-digital-mas-usado/</v>
      </c>
      <c r="Y2424" s="77" t="s">
        <v>8770</v>
      </c>
      <c r="Z2424" s="77" t="s">
        <v>1006</v>
      </c>
      <c r="AA2424" s="77"/>
      <c r="AB2424" s="77"/>
      <c r="AC2424" s="80" t="s">
        <v>10541</v>
      </c>
      <c r="AD2424" s="77" t="s">
        <v>10620</v>
      </c>
      <c r="AE2424" s="83" t="str">
        <f>HYPERLINK("https://twitter.com/opinaba/status/1697341024991862844")</f>
        <v>https://twitter.com/opinaba/status/1697341024991862844</v>
      </c>
      <c r="AF2424" s="79">
        <v>45169.84039351852</v>
      </c>
      <c r="AG2424" s="85">
        <v>45169</v>
      </c>
      <c r="AH2424" s="80" t="s">
        <v>12757</v>
      </c>
      <c r="AI2424" s="77" t="b">
        <v>0</v>
      </c>
      <c r="AJ2424" s="77"/>
      <c r="AK2424" s="77"/>
      <c r="AL2424" s="77"/>
      <c r="AM2424" s="77"/>
      <c r="AN2424" s="77"/>
      <c r="AO2424" s="77"/>
      <c r="AP2424" s="77"/>
      <c r="AQ2424" s="77"/>
      <c r="AR2424" s="77"/>
      <c r="AS2424" s="77"/>
      <c r="AT2424" s="77"/>
      <c r="AU2424" s="77"/>
      <c r="AV2424" s="83" t="str">
        <f>HYPERLINK("https://pbs.twimg.com/profile_images/1372924399205150720/_sX_N7OB_normal.jpg")</f>
        <v>https://pbs.twimg.com/profile_images/1372924399205150720/_sX_N7OB_normal.jpg</v>
      </c>
      <c r="AW2424" s="80" t="s">
        <v>18226</v>
      </c>
      <c r="AX2424" s="80" t="s">
        <v>18226</v>
      </c>
      <c r="AY2424" s="77"/>
      <c r="AZ2424" s="80" t="s">
        <v>20380</v>
      </c>
      <c r="BA2424" s="80" t="s">
        <v>20380</v>
      </c>
      <c r="BB2424" s="80" t="s">
        <v>20380</v>
      </c>
      <c r="BC2424" s="80" t="s">
        <v>18226</v>
      </c>
      <c r="BD2424" s="80" t="s">
        <v>20877</v>
      </c>
      <c r="BE2424" s="77"/>
      <c r="BF2424" s="77"/>
      <c r="BG2424" s="77"/>
      <c r="BH2424" s="77"/>
      <c r="BI2424" s="77"/>
    </row>
    <row r="2425" spans="1:61" x14ac:dyDescent="0.25">
      <c r="A2425" s="62" t="s">
        <v>1006</v>
      </c>
      <c r="B2425" s="62" t="s">
        <v>1006</v>
      </c>
      <c r="C2425" s="63"/>
      <c r="D2425" s="64"/>
      <c r="E2425" s="65"/>
      <c r="F2425" s="66"/>
      <c r="G2425" s="63"/>
      <c r="H2425" s="67"/>
      <c r="I2425" s="68"/>
      <c r="J2425" s="68"/>
      <c r="K2425" s="32"/>
      <c r="L2425" s="75">
        <v>2425</v>
      </c>
      <c r="M2425" s="75"/>
      <c r="N2425" s="70"/>
      <c r="O2425" s="77" t="s">
        <v>179</v>
      </c>
      <c r="P2425" s="79">
        <v>45154.825925925928</v>
      </c>
      <c r="Q2425" s="77" t="s">
        <v>4227</v>
      </c>
      <c r="R2425" s="77">
        <v>3</v>
      </c>
      <c r="S2425" s="77">
        <v>1</v>
      </c>
      <c r="T2425" s="77">
        <v>0</v>
      </c>
      <c r="U2425" s="77">
        <v>0</v>
      </c>
      <c r="V2425" s="77">
        <v>240</v>
      </c>
      <c r="W2425" s="80" t="s">
        <v>7430</v>
      </c>
      <c r="X2425" s="77"/>
      <c r="Y2425" s="77"/>
      <c r="Z2425" s="77"/>
      <c r="AA2425" s="77" t="s">
        <v>9745</v>
      </c>
      <c r="AB2425" s="77" t="s">
        <v>10535</v>
      </c>
      <c r="AC2425" s="80" t="s">
        <v>10540</v>
      </c>
      <c r="AD2425" s="77" t="s">
        <v>10620</v>
      </c>
      <c r="AE2425" s="83" t="str">
        <f>HYPERLINK("https://twitter.com/opinaba/status/1691899966870958427")</f>
        <v>https://twitter.com/opinaba/status/1691899966870958427</v>
      </c>
      <c r="AF2425" s="79">
        <v>45154.825925925928</v>
      </c>
      <c r="AG2425" s="85">
        <v>45154</v>
      </c>
      <c r="AH2425" s="80" t="s">
        <v>12758</v>
      </c>
      <c r="AI2425" s="77" t="b">
        <v>0</v>
      </c>
      <c r="AJ2425" s="77"/>
      <c r="AK2425" s="77"/>
      <c r="AL2425" s="77"/>
      <c r="AM2425" s="77"/>
      <c r="AN2425" s="77"/>
      <c r="AO2425" s="77"/>
      <c r="AP2425" s="77"/>
      <c r="AQ2425" s="77" t="s">
        <v>15227</v>
      </c>
      <c r="AR2425" s="77"/>
      <c r="AS2425" s="77"/>
      <c r="AT2425" s="77"/>
      <c r="AU2425" s="77"/>
      <c r="AV2425" s="83" t="str">
        <f>HYPERLINK("https://pbs.twimg.com/media/F3rWDd7XYAAg7CG.jpg")</f>
        <v>https://pbs.twimg.com/media/F3rWDd7XYAAg7CG.jpg</v>
      </c>
      <c r="AW2425" s="80" t="s">
        <v>18227</v>
      </c>
      <c r="AX2425" s="80" t="s">
        <v>18227</v>
      </c>
      <c r="AY2425" s="77"/>
      <c r="AZ2425" s="80" t="s">
        <v>20380</v>
      </c>
      <c r="BA2425" s="80" t="s">
        <v>20380</v>
      </c>
      <c r="BB2425" s="80" t="s">
        <v>20380</v>
      </c>
      <c r="BC2425" s="80" t="s">
        <v>18227</v>
      </c>
      <c r="BD2425" s="80" t="s">
        <v>20877</v>
      </c>
      <c r="BE2425" s="77"/>
      <c r="BF2425" s="77"/>
      <c r="BG2425" s="77"/>
      <c r="BH2425" s="77"/>
      <c r="BI2425" s="77"/>
    </row>
    <row r="2426" spans="1:61" x14ac:dyDescent="0.25">
      <c r="A2426" s="62" t="s">
        <v>1006</v>
      </c>
      <c r="B2426" s="62" t="s">
        <v>1006</v>
      </c>
      <c r="C2426" s="63"/>
      <c r="D2426" s="64"/>
      <c r="E2426" s="65"/>
      <c r="F2426" s="66"/>
      <c r="G2426" s="63"/>
      <c r="H2426" s="67"/>
      <c r="I2426" s="68"/>
      <c r="J2426" s="68"/>
      <c r="K2426" s="32"/>
      <c r="L2426" s="75">
        <v>2426</v>
      </c>
      <c r="M2426" s="75"/>
      <c r="N2426" s="70"/>
      <c r="O2426" s="77" t="s">
        <v>179</v>
      </c>
      <c r="P2426" s="79">
        <v>45147.899444444447</v>
      </c>
      <c r="Q2426" s="77" t="s">
        <v>4228</v>
      </c>
      <c r="R2426" s="77">
        <v>2</v>
      </c>
      <c r="S2426" s="77">
        <v>1</v>
      </c>
      <c r="T2426" s="77">
        <v>0</v>
      </c>
      <c r="U2426" s="77">
        <v>0</v>
      </c>
      <c r="V2426" s="77">
        <v>235</v>
      </c>
      <c r="W2426" s="80" t="s">
        <v>7431</v>
      </c>
      <c r="X2426" s="83" t="str">
        <f>HYPERLINK("http://Baopina.com")</f>
        <v>http://Baopina.com</v>
      </c>
      <c r="Y2426" s="77" t="s">
        <v>8770</v>
      </c>
      <c r="Z2426" s="77"/>
      <c r="AA2426" s="77" t="s">
        <v>9746</v>
      </c>
      <c r="AB2426" s="77" t="s">
        <v>10535</v>
      </c>
      <c r="AC2426" s="80" t="s">
        <v>10541</v>
      </c>
      <c r="AD2426" s="77" t="s">
        <v>10620</v>
      </c>
      <c r="AE2426" s="83" t="str">
        <f>HYPERLINK("https://twitter.com/opinaba/status/1689389891539361792")</f>
        <v>https://twitter.com/opinaba/status/1689389891539361792</v>
      </c>
      <c r="AF2426" s="79">
        <v>45147.899444444447</v>
      </c>
      <c r="AG2426" s="85">
        <v>45147</v>
      </c>
      <c r="AH2426" s="80" t="s">
        <v>12759</v>
      </c>
      <c r="AI2426" s="77" t="b">
        <v>0</v>
      </c>
      <c r="AJ2426" s="77"/>
      <c r="AK2426" s="77"/>
      <c r="AL2426" s="77"/>
      <c r="AM2426" s="77"/>
      <c r="AN2426" s="77"/>
      <c r="AO2426" s="77"/>
      <c r="AP2426" s="77"/>
      <c r="AQ2426" s="77" t="s">
        <v>15228</v>
      </c>
      <c r="AR2426" s="77"/>
      <c r="AS2426" s="77"/>
      <c r="AT2426" s="77"/>
      <c r="AU2426" s="77"/>
      <c r="AV2426" s="83" t="str">
        <f>HYPERLINK("https://pbs.twimg.com/media/F3Hox7uWwAAZBwC.jpg")</f>
        <v>https://pbs.twimg.com/media/F3Hox7uWwAAZBwC.jpg</v>
      </c>
      <c r="AW2426" s="80" t="s">
        <v>18228</v>
      </c>
      <c r="AX2426" s="80" t="s">
        <v>18228</v>
      </c>
      <c r="AY2426" s="77"/>
      <c r="AZ2426" s="80" t="s">
        <v>20380</v>
      </c>
      <c r="BA2426" s="80" t="s">
        <v>20380</v>
      </c>
      <c r="BB2426" s="80" t="s">
        <v>20380</v>
      </c>
      <c r="BC2426" s="80" t="s">
        <v>18228</v>
      </c>
      <c r="BD2426" s="80" t="s">
        <v>20877</v>
      </c>
      <c r="BE2426" s="77"/>
      <c r="BF2426" s="77"/>
      <c r="BG2426" s="77"/>
      <c r="BH2426" s="77"/>
      <c r="BI2426" s="77"/>
    </row>
    <row r="2427" spans="1:61" x14ac:dyDescent="0.25">
      <c r="A2427" s="62" t="s">
        <v>1006</v>
      </c>
      <c r="B2427" s="62" t="s">
        <v>1006</v>
      </c>
      <c r="C2427" s="63"/>
      <c r="D2427" s="64"/>
      <c r="E2427" s="65"/>
      <c r="F2427" s="66"/>
      <c r="G2427" s="63"/>
      <c r="H2427" s="67"/>
      <c r="I2427" s="68"/>
      <c r="J2427" s="68"/>
      <c r="K2427" s="32"/>
      <c r="L2427" s="75">
        <v>2427</v>
      </c>
      <c r="M2427" s="75"/>
      <c r="N2427" s="70"/>
      <c r="O2427" s="77" t="s">
        <v>179</v>
      </c>
      <c r="P2427" s="79">
        <v>45139.903981481482</v>
      </c>
      <c r="Q2427" s="77" t="s">
        <v>4229</v>
      </c>
      <c r="R2427" s="77">
        <v>3</v>
      </c>
      <c r="S2427" s="77">
        <v>2</v>
      </c>
      <c r="T2427" s="77">
        <v>0</v>
      </c>
      <c r="U2427" s="77">
        <v>0</v>
      </c>
      <c r="V2427" s="77">
        <v>282</v>
      </c>
      <c r="W2427" s="80" t="s">
        <v>7432</v>
      </c>
      <c r="X2427" s="83" t="str">
        <f>HYPERLINK("http://baopina.com")</f>
        <v>http://baopina.com</v>
      </c>
      <c r="Y2427" s="77" t="s">
        <v>8770</v>
      </c>
      <c r="Z2427" s="77"/>
      <c r="AA2427" s="77" t="s">
        <v>9747</v>
      </c>
      <c r="AB2427" s="77" t="s">
        <v>10535</v>
      </c>
      <c r="AC2427" s="80" t="s">
        <v>10541</v>
      </c>
      <c r="AD2427" s="77" t="s">
        <v>10620</v>
      </c>
      <c r="AE2427" s="83" t="str">
        <f>HYPERLINK("https://twitter.com/opinaba/status/1686492433754828801")</f>
        <v>https://twitter.com/opinaba/status/1686492433754828801</v>
      </c>
      <c r="AF2427" s="79">
        <v>45139.903981481482</v>
      </c>
      <c r="AG2427" s="85">
        <v>45139</v>
      </c>
      <c r="AH2427" s="80" t="s">
        <v>12760</v>
      </c>
      <c r="AI2427" s="77" t="b">
        <v>0</v>
      </c>
      <c r="AJ2427" s="77"/>
      <c r="AK2427" s="77"/>
      <c r="AL2427" s="77"/>
      <c r="AM2427" s="77"/>
      <c r="AN2427" s="77"/>
      <c r="AO2427" s="77"/>
      <c r="AP2427" s="77"/>
      <c r="AQ2427" s="77" t="s">
        <v>15229</v>
      </c>
      <c r="AR2427" s="77"/>
      <c r="AS2427" s="77"/>
      <c r="AT2427" s="77"/>
      <c r="AU2427" s="77"/>
      <c r="AV2427" s="83" t="str">
        <f>HYPERLINK("https://pbs.twimg.com/media/F2efHpJbQAARNNh.jpg")</f>
        <v>https://pbs.twimg.com/media/F2efHpJbQAARNNh.jpg</v>
      </c>
      <c r="AW2427" s="80" t="s">
        <v>18229</v>
      </c>
      <c r="AX2427" s="80" t="s">
        <v>18229</v>
      </c>
      <c r="AY2427" s="77"/>
      <c r="AZ2427" s="80" t="s">
        <v>20380</v>
      </c>
      <c r="BA2427" s="80" t="s">
        <v>20380</v>
      </c>
      <c r="BB2427" s="80" t="s">
        <v>20380</v>
      </c>
      <c r="BC2427" s="80" t="s">
        <v>18229</v>
      </c>
      <c r="BD2427" s="80" t="s">
        <v>20877</v>
      </c>
      <c r="BE2427" s="77"/>
      <c r="BF2427" s="77"/>
      <c r="BG2427" s="77"/>
      <c r="BH2427" s="77"/>
      <c r="BI2427" s="77"/>
    </row>
    <row r="2428" spans="1:61" x14ac:dyDescent="0.25">
      <c r="A2428" s="62" t="s">
        <v>1006</v>
      </c>
      <c r="B2428" s="62" t="s">
        <v>1006</v>
      </c>
      <c r="C2428" s="63"/>
      <c r="D2428" s="64"/>
      <c r="E2428" s="65"/>
      <c r="F2428" s="66"/>
      <c r="G2428" s="63"/>
      <c r="H2428" s="67"/>
      <c r="I2428" s="68"/>
      <c r="J2428" s="68"/>
      <c r="K2428" s="32"/>
      <c r="L2428" s="75">
        <v>2428</v>
      </c>
      <c r="M2428" s="75"/>
      <c r="N2428" s="70"/>
      <c r="O2428" s="77" t="s">
        <v>2081</v>
      </c>
      <c r="P2428" s="79">
        <v>45051.216516203705</v>
      </c>
      <c r="Q2428" s="77" t="s">
        <v>4230</v>
      </c>
      <c r="R2428" s="77">
        <v>1</v>
      </c>
      <c r="S2428" s="77">
        <v>3</v>
      </c>
      <c r="T2428" s="77">
        <v>0</v>
      </c>
      <c r="U2428" s="77">
        <v>0</v>
      </c>
      <c r="V2428" s="77">
        <v>59</v>
      </c>
      <c r="W2428" s="80" t="s">
        <v>7433</v>
      </c>
      <c r="X2428" s="83" t="str">
        <f>HYPERLINK("https://www.baopina.com/2023/05/04/el-bcra-mejoro-las-condiciones-de-descuento-para-las-facturas-de-credito-electronicas/")</f>
        <v>https://www.baopina.com/2023/05/04/el-bcra-mejoro-las-condiciones-de-descuento-para-las-facturas-de-credito-electronicas/</v>
      </c>
      <c r="Y2428" s="77" t="s">
        <v>8770</v>
      </c>
      <c r="Z2428" s="77" t="s">
        <v>1006</v>
      </c>
      <c r="AA2428" s="77"/>
      <c r="AB2428" s="77"/>
      <c r="AC2428" s="80" t="s">
        <v>10541</v>
      </c>
      <c r="AD2428" s="77" t="s">
        <v>10620</v>
      </c>
      <c r="AE2428" s="83" t="str">
        <f>HYPERLINK("https://twitter.com/opinaba/status/1654353171534282752")</f>
        <v>https://twitter.com/opinaba/status/1654353171534282752</v>
      </c>
      <c r="AF2428" s="79">
        <v>45051.216516203705</v>
      </c>
      <c r="AG2428" s="85">
        <v>45051</v>
      </c>
      <c r="AH2428" s="80" t="s">
        <v>12761</v>
      </c>
      <c r="AI2428" s="77" t="b">
        <v>0</v>
      </c>
      <c r="AJ2428" s="77"/>
      <c r="AK2428" s="77"/>
      <c r="AL2428" s="77"/>
      <c r="AM2428" s="77"/>
      <c r="AN2428" s="77"/>
      <c r="AO2428" s="77"/>
      <c r="AP2428" s="77"/>
      <c r="AQ2428" s="77"/>
      <c r="AR2428" s="77"/>
      <c r="AS2428" s="77"/>
      <c r="AT2428" s="77"/>
      <c r="AU2428" s="77"/>
      <c r="AV2428" s="83" t="str">
        <f>HYPERLINK("https://pbs.twimg.com/profile_images/1372924399205150720/_sX_N7OB_normal.jpg")</f>
        <v>https://pbs.twimg.com/profile_images/1372924399205150720/_sX_N7OB_normal.jpg</v>
      </c>
      <c r="AW2428" s="80" t="s">
        <v>18230</v>
      </c>
      <c r="AX2428" s="80" t="s">
        <v>18230</v>
      </c>
      <c r="AY2428" s="77"/>
      <c r="AZ2428" s="80" t="s">
        <v>20380</v>
      </c>
      <c r="BA2428" s="80" t="s">
        <v>20380</v>
      </c>
      <c r="BB2428" s="80" t="s">
        <v>20380</v>
      </c>
      <c r="BC2428" s="80" t="s">
        <v>18230</v>
      </c>
      <c r="BD2428" s="80" t="s">
        <v>20877</v>
      </c>
      <c r="BE2428" s="77"/>
      <c r="BF2428" s="77"/>
      <c r="BG2428" s="77"/>
      <c r="BH2428" s="77"/>
      <c r="BI2428" s="77"/>
    </row>
    <row r="2429" spans="1:61" x14ac:dyDescent="0.25">
      <c r="A2429" s="62" t="s">
        <v>1006</v>
      </c>
      <c r="B2429" s="62" t="s">
        <v>1006</v>
      </c>
      <c r="C2429" s="63"/>
      <c r="D2429" s="64"/>
      <c r="E2429" s="65"/>
      <c r="F2429" s="66"/>
      <c r="G2429" s="63"/>
      <c r="H2429" s="67"/>
      <c r="I2429" s="68"/>
      <c r="J2429" s="68"/>
      <c r="K2429" s="32"/>
      <c r="L2429" s="75">
        <v>2429</v>
      </c>
      <c r="M2429" s="75"/>
      <c r="N2429" s="70"/>
      <c r="O2429" s="77" t="s">
        <v>179</v>
      </c>
      <c r="P2429" s="79">
        <v>45197.84165509259</v>
      </c>
      <c r="Q2429" s="77" t="s">
        <v>4231</v>
      </c>
      <c r="R2429" s="77">
        <v>0</v>
      </c>
      <c r="S2429" s="77">
        <v>0</v>
      </c>
      <c r="T2429" s="77">
        <v>0</v>
      </c>
      <c r="U2429" s="77">
        <v>0</v>
      </c>
      <c r="V2429" s="77">
        <v>60</v>
      </c>
      <c r="W2429" s="80" t="s">
        <v>7434</v>
      </c>
      <c r="X2429" s="83" t="str">
        <f>HYPERLINK("http://Baopina.com")</f>
        <v>http://Baopina.com</v>
      </c>
      <c r="Y2429" s="77" t="s">
        <v>8770</v>
      </c>
      <c r="Z2429" s="77"/>
      <c r="AA2429" s="77" t="s">
        <v>9748</v>
      </c>
      <c r="AB2429" s="77" t="s">
        <v>10535</v>
      </c>
      <c r="AC2429" s="80" t="s">
        <v>10540</v>
      </c>
      <c r="AD2429" s="77" t="s">
        <v>10620</v>
      </c>
      <c r="AE2429" s="83" t="str">
        <f>HYPERLINK("https://twitter.com/opinaba/status/1707488345008349187")</f>
        <v>https://twitter.com/opinaba/status/1707488345008349187</v>
      </c>
      <c r="AF2429" s="79">
        <v>45197.84165509259</v>
      </c>
      <c r="AG2429" s="85">
        <v>45197</v>
      </c>
      <c r="AH2429" s="80" t="s">
        <v>12762</v>
      </c>
      <c r="AI2429" s="77" t="b">
        <v>0</v>
      </c>
      <c r="AJ2429" s="77"/>
      <c r="AK2429" s="77"/>
      <c r="AL2429" s="77"/>
      <c r="AM2429" s="77"/>
      <c r="AN2429" s="77"/>
      <c r="AO2429" s="77"/>
      <c r="AP2429" s="77"/>
      <c r="AQ2429" s="77" t="s">
        <v>15230</v>
      </c>
      <c r="AR2429" s="77"/>
      <c r="AS2429" s="77"/>
      <c r="AT2429" s="77"/>
      <c r="AU2429" s="77"/>
      <c r="AV2429" s="83" t="str">
        <f>HYPERLINK("https://pbs.twimg.com/media/F7I3mcyXwAAOT1o.jpg")</f>
        <v>https://pbs.twimg.com/media/F7I3mcyXwAAOT1o.jpg</v>
      </c>
      <c r="AW2429" s="80" t="s">
        <v>18231</v>
      </c>
      <c r="AX2429" s="80" t="s">
        <v>18231</v>
      </c>
      <c r="AY2429" s="77"/>
      <c r="AZ2429" s="80" t="s">
        <v>20380</v>
      </c>
      <c r="BA2429" s="80" t="s">
        <v>20380</v>
      </c>
      <c r="BB2429" s="80" t="s">
        <v>20380</v>
      </c>
      <c r="BC2429" s="80" t="s">
        <v>18231</v>
      </c>
      <c r="BD2429" s="80" t="s">
        <v>20877</v>
      </c>
      <c r="BE2429" s="77"/>
      <c r="BF2429" s="77"/>
      <c r="BG2429" s="77"/>
      <c r="BH2429" s="77"/>
      <c r="BI2429" s="77"/>
    </row>
    <row r="2430" spans="1:61" x14ac:dyDescent="0.25">
      <c r="A2430" s="62" t="s">
        <v>1006</v>
      </c>
      <c r="B2430" s="62" t="s">
        <v>1006</v>
      </c>
      <c r="C2430" s="63"/>
      <c r="D2430" s="64"/>
      <c r="E2430" s="65"/>
      <c r="F2430" s="66"/>
      <c r="G2430" s="63"/>
      <c r="H2430" s="67"/>
      <c r="I2430" s="68"/>
      <c r="J2430" s="68"/>
      <c r="K2430" s="32"/>
      <c r="L2430" s="75">
        <v>2430</v>
      </c>
      <c r="M2430" s="75"/>
      <c r="N2430" s="70"/>
      <c r="O2430" s="77" t="s">
        <v>2081</v>
      </c>
      <c r="P2430" s="79">
        <v>45192.077673611115</v>
      </c>
      <c r="Q2430" s="77" t="s">
        <v>4232</v>
      </c>
      <c r="R2430" s="77">
        <v>3</v>
      </c>
      <c r="S2430" s="77">
        <v>4</v>
      </c>
      <c r="T2430" s="77">
        <v>0</v>
      </c>
      <c r="U2430" s="77">
        <v>0</v>
      </c>
      <c r="V2430" s="77">
        <v>175</v>
      </c>
      <c r="W2430" s="80" t="s">
        <v>7435</v>
      </c>
      <c r="X2430" s="83" t="str">
        <f>HYPERLINK("https://www.baopina.com/2023/09/22/milei-en-parque-norte-la-locura-no-es-cerrar-el-banco-central-sino-tenerlo/")</f>
        <v>https://www.baopina.com/2023/09/22/milei-en-parque-norte-la-locura-no-es-cerrar-el-banco-central-sino-tenerlo/</v>
      </c>
      <c r="Y2430" s="77" t="s">
        <v>8770</v>
      </c>
      <c r="Z2430" s="77" t="s">
        <v>1006</v>
      </c>
      <c r="AA2430" s="77"/>
      <c r="AB2430" s="77"/>
      <c r="AC2430" s="80" t="s">
        <v>10541</v>
      </c>
      <c r="AD2430" s="77" t="s">
        <v>10620</v>
      </c>
      <c r="AE2430" s="83" t="str">
        <f>HYPERLINK("https://twitter.com/opinaba/status/1705399546501640539")</f>
        <v>https://twitter.com/opinaba/status/1705399546501640539</v>
      </c>
      <c r="AF2430" s="79">
        <v>45192.077673611115</v>
      </c>
      <c r="AG2430" s="85">
        <v>45192</v>
      </c>
      <c r="AH2430" s="80" t="s">
        <v>12763</v>
      </c>
      <c r="AI2430" s="77" t="b">
        <v>0</v>
      </c>
      <c r="AJ2430" s="77"/>
      <c r="AK2430" s="77"/>
      <c r="AL2430" s="77"/>
      <c r="AM2430" s="77"/>
      <c r="AN2430" s="77"/>
      <c r="AO2430" s="77"/>
      <c r="AP2430" s="77"/>
      <c r="AQ2430" s="77"/>
      <c r="AR2430" s="77"/>
      <c r="AS2430" s="77"/>
      <c r="AT2430" s="77"/>
      <c r="AU2430" s="77"/>
      <c r="AV2430" s="83" t="str">
        <f>HYPERLINK("https://pbs.twimg.com/profile_images/1372924399205150720/_sX_N7OB_normal.jpg")</f>
        <v>https://pbs.twimg.com/profile_images/1372924399205150720/_sX_N7OB_normal.jpg</v>
      </c>
      <c r="AW2430" s="80" t="s">
        <v>18232</v>
      </c>
      <c r="AX2430" s="80" t="s">
        <v>18232</v>
      </c>
      <c r="AY2430" s="77"/>
      <c r="AZ2430" s="80" t="s">
        <v>20380</v>
      </c>
      <c r="BA2430" s="80" t="s">
        <v>20380</v>
      </c>
      <c r="BB2430" s="80" t="s">
        <v>20380</v>
      </c>
      <c r="BC2430" s="80" t="s">
        <v>18232</v>
      </c>
      <c r="BD2430" s="80" t="s">
        <v>20877</v>
      </c>
      <c r="BE2430" s="77"/>
      <c r="BF2430" s="77"/>
      <c r="BG2430" s="77"/>
      <c r="BH2430" s="77"/>
      <c r="BI2430" s="77"/>
    </row>
    <row r="2431" spans="1:61" x14ac:dyDescent="0.25">
      <c r="A2431" s="62" t="s">
        <v>1006</v>
      </c>
      <c r="B2431" s="62" t="s">
        <v>1006</v>
      </c>
      <c r="C2431" s="63"/>
      <c r="D2431" s="64"/>
      <c r="E2431" s="65"/>
      <c r="F2431" s="66"/>
      <c r="G2431" s="63"/>
      <c r="H2431" s="67"/>
      <c r="I2431" s="68"/>
      <c r="J2431" s="68"/>
      <c r="K2431" s="32"/>
      <c r="L2431" s="75">
        <v>2431</v>
      </c>
      <c r="M2431" s="75"/>
      <c r="N2431" s="70"/>
      <c r="O2431" s="77" t="s">
        <v>2081</v>
      </c>
      <c r="P2431" s="79">
        <v>45197.922013888892</v>
      </c>
      <c r="Q2431" s="77" t="s">
        <v>4233</v>
      </c>
      <c r="R2431" s="77">
        <v>0</v>
      </c>
      <c r="S2431" s="77">
        <v>0</v>
      </c>
      <c r="T2431" s="77">
        <v>0</v>
      </c>
      <c r="U2431" s="77">
        <v>0</v>
      </c>
      <c r="V2431" s="77">
        <v>1</v>
      </c>
      <c r="W2431" s="80" t="s">
        <v>7436</v>
      </c>
      <c r="X2431" s="83" t="str">
        <f>HYPERLINK("https://www.baopina.com/2023/09/28/el-bcra-prorrogo-hasta-marzo-de-2024-la-principal-linea-de-financiamiento-para-mipymes/")</f>
        <v>https://www.baopina.com/2023/09/28/el-bcra-prorrogo-hasta-marzo-de-2024-la-principal-linea-de-financiamiento-para-mipymes/</v>
      </c>
      <c r="Y2431" s="77" t="s">
        <v>8770</v>
      </c>
      <c r="Z2431" s="77" t="s">
        <v>1006</v>
      </c>
      <c r="AA2431" s="77"/>
      <c r="AB2431" s="77"/>
      <c r="AC2431" s="80" t="s">
        <v>10541</v>
      </c>
      <c r="AD2431" s="77" t="s">
        <v>10620</v>
      </c>
      <c r="AE2431" s="83" t="str">
        <f>HYPERLINK("https://twitter.com/opinaba/status/1707517464190357708")</f>
        <v>https://twitter.com/opinaba/status/1707517464190357708</v>
      </c>
      <c r="AF2431" s="79">
        <v>45197.922013888892</v>
      </c>
      <c r="AG2431" s="85">
        <v>45197</v>
      </c>
      <c r="AH2431" s="80" t="s">
        <v>12764</v>
      </c>
      <c r="AI2431" s="77" t="b">
        <v>0</v>
      </c>
      <c r="AJ2431" s="77"/>
      <c r="AK2431" s="77"/>
      <c r="AL2431" s="77"/>
      <c r="AM2431" s="77"/>
      <c r="AN2431" s="77"/>
      <c r="AO2431" s="77"/>
      <c r="AP2431" s="77"/>
      <c r="AQ2431" s="77"/>
      <c r="AR2431" s="77"/>
      <c r="AS2431" s="77"/>
      <c r="AT2431" s="77"/>
      <c r="AU2431" s="77"/>
      <c r="AV2431" s="83" t="str">
        <f>HYPERLINK("https://pbs.twimg.com/profile_images/1372924399205150720/_sX_N7OB_normal.jpg")</f>
        <v>https://pbs.twimg.com/profile_images/1372924399205150720/_sX_N7OB_normal.jpg</v>
      </c>
      <c r="AW2431" s="80" t="s">
        <v>18233</v>
      </c>
      <c r="AX2431" s="80" t="s">
        <v>18233</v>
      </c>
      <c r="AY2431" s="77"/>
      <c r="AZ2431" s="80" t="s">
        <v>20380</v>
      </c>
      <c r="BA2431" s="80" t="s">
        <v>20380</v>
      </c>
      <c r="BB2431" s="80" t="s">
        <v>20380</v>
      </c>
      <c r="BC2431" s="80" t="s">
        <v>18233</v>
      </c>
      <c r="BD2431" s="80" t="s">
        <v>20877</v>
      </c>
      <c r="BE2431" s="77"/>
      <c r="BF2431" s="77"/>
      <c r="BG2431" s="77"/>
      <c r="BH2431" s="77"/>
      <c r="BI2431" s="77"/>
    </row>
    <row r="2432" spans="1:61" x14ac:dyDescent="0.25">
      <c r="A2432" s="62" t="s">
        <v>1007</v>
      </c>
      <c r="B2432" s="62" t="s">
        <v>1006</v>
      </c>
      <c r="C2432" s="63"/>
      <c r="D2432" s="64"/>
      <c r="E2432" s="65"/>
      <c r="F2432" s="66"/>
      <c r="G2432" s="63"/>
      <c r="H2432" s="67"/>
      <c r="I2432" s="68"/>
      <c r="J2432" s="68"/>
      <c r="K2432" s="32"/>
      <c r="L2432" s="75">
        <v>2432</v>
      </c>
      <c r="M2432" s="75"/>
      <c r="N2432" s="70"/>
      <c r="O2432" s="77" t="s">
        <v>2085</v>
      </c>
      <c r="P2432" s="79">
        <v>45192.140902777777</v>
      </c>
      <c r="Q2432" s="77" t="s">
        <v>4036</v>
      </c>
      <c r="R2432" s="77">
        <v>3</v>
      </c>
      <c r="S2432" s="77">
        <v>0</v>
      </c>
      <c r="T2432" s="77">
        <v>0</v>
      </c>
      <c r="U2432" s="77">
        <v>0</v>
      </c>
      <c r="V2432" s="77"/>
      <c r="W2432" s="77"/>
      <c r="X2432" s="83" t="str">
        <f>HYPERLINK("https://www.baopina.com/2023/09/22/milei-en-parque-norte-la-locura-no-es-cerrar-el-banco-central-sino-tenerlo/")</f>
        <v>https://www.baopina.com/2023/09/22/milei-en-parque-norte-la-locura-no-es-cerrar-el-banco-central-sino-tenerlo/</v>
      </c>
      <c r="Y2432" s="77" t="s">
        <v>8770</v>
      </c>
      <c r="Z2432" s="77" t="s">
        <v>8972</v>
      </c>
      <c r="AA2432" s="77"/>
      <c r="AB2432" s="77"/>
      <c r="AC2432" s="80" t="s">
        <v>10541</v>
      </c>
      <c r="AD2432" s="77" t="s">
        <v>10620</v>
      </c>
      <c r="AE2432" s="83" t="str">
        <f>HYPERLINK("https://twitter.com/periodisminter/status/1705422458650538060")</f>
        <v>https://twitter.com/periodisminter/status/1705422458650538060</v>
      </c>
      <c r="AF2432" s="79">
        <v>45192.140902777777</v>
      </c>
      <c r="AG2432" s="85">
        <v>45192</v>
      </c>
      <c r="AH2432" s="80" t="s">
        <v>12765</v>
      </c>
      <c r="AI2432" s="77" t="b">
        <v>0</v>
      </c>
      <c r="AJ2432" s="77"/>
      <c r="AK2432" s="77"/>
      <c r="AL2432" s="77"/>
      <c r="AM2432" s="77"/>
      <c r="AN2432" s="77"/>
      <c r="AO2432" s="77"/>
      <c r="AP2432" s="77"/>
      <c r="AQ2432" s="77"/>
      <c r="AR2432" s="77"/>
      <c r="AS2432" s="77"/>
      <c r="AT2432" s="77"/>
      <c r="AU2432" s="77"/>
      <c r="AV2432" s="83" t="str">
        <f>HYPERLINK("https://pbs.twimg.com/profile_images/960554411188736001/juzAzvhn_normal.jpg")</f>
        <v>https://pbs.twimg.com/profile_images/960554411188736001/juzAzvhn_normal.jpg</v>
      </c>
      <c r="AW2432" s="80" t="s">
        <v>18234</v>
      </c>
      <c r="AX2432" s="80" t="s">
        <v>18234</v>
      </c>
      <c r="AY2432" s="77"/>
      <c r="AZ2432" s="80" t="s">
        <v>20380</v>
      </c>
      <c r="BA2432" s="80" t="s">
        <v>20380</v>
      </c>
      <c r="BB2432" s="80" t="s">
        <v>18232</v>
      </c>
      <c r="BC2432" s="80" t="s">
        <v>18232</v>
      </c>
      <c r="BD2432" s="80" t="s">
        <v>20878</v>
      </c>
      <c r="BE2432" s="77"/>
      <c r="BF2432" s="77"/>
      <c r="BG2432" s="77"/>
      <c r="BH2432" s="77"/>
      <c r="BI2432" s="77"/>
    </row>
    <row r="2433" spans="1:61" x14ac:dyDescent="0.25">
      <c r="A2433" s="62" t="s">
        <v>1007</v>
      </c>
      <c r="B2433" s="62" t="s">
        <v>1006</v>
      </c>
      <c r="C2433" s="63"/>
      <c r="D2433" s="64"/>
      <c r="E2433" s="65"/>
      <c r="F2433" s="66"/>
      <c r="G2433" s="63"/>
      <c r="H2433" s="67"/>
      <c r="I2433" s="68"/>
      <c r="J2433" s="68"/>
      <c r="K2433" s="32"/>
      <c r="L2433" s="75">
        <v>2433</v>
      </c>
      <c r="M2433" s="75"/>
      <c r="N2433" s="70"/>
      <c r="O2433" s="77" t="s">
        <v>2083</v>
      </c>
      <c r="P2433" s="79">
        <v>45192.140902777777</v>
      </c>
      <c r="Q2433" s="77" t="s">
        <v>4036</v>
      </c>
      <c r="R2433" s="77">
        <v>3</v>
      </c>
      <c r="S2433" s="77">
        <v>0</v>
      </c>
      <c r="T2433" s="77">
        <v>0</v>
      </c>
      <c r="U2433" s="77">
        <v>0</v>
      </c>
      <c r="V2433" s="77"/>
      <c r="W2433" s="77"/>
      <c r="X2433" s="83" t="str">
        <f>HYPERLINK("https://www.baopina.com/2023/09/22/milei-en-parque-norte-la-locura-no-es-cerrar-el-banco-central-sino-tenerlo/")</f>
        <v>https://www.baopina.com/2023/09/22/milei-en-parque-norte-la-locura-no-es-cerrar-el-banco-central-sino-tenerlo/</v>
      </c>
      <c r="Y2433" s="77" t="s">
        <v>8770</v>
      </c>
      <c r="Z2433" s="77" t="s">
        <v>8972</v>
      </c>
      <c r="AA2433" s="77"/>
      <c r="AB2433" s="77"/>
      <c r="AC2433" s="80" t="s">
        <v>10541</v>
      </c>
      <c r="AD2433" s="77" t="s">
        <v>10620</v>
      </c>
      <c r="AE2433" s="83" t="str">
        <f>HYPERLINK("https://twitter.com/periodisminter/status/1705422458650538060")</f>
        <v>https://twitter.com/periodisminter/status/1705422458650538060</v>
      </c>
      <c r="AF2433" s="79">
        <v>45192.140902777777</v>
      </c>
      <c r="AG2433" s="85">
        <v>45192</v>
      </c>
      <c r="AH2433" s="80" t="s">
        <v>12765</v>
      </c>
      <c r="AI2433" s="77" t="b">
        <v>0</v>
      </c>
      <c r="AJ2433" s="77"/>
      <c r="AK2433" s="77"/>
      <c r="AL2433" s="77"/>
      <c r="AM2433" s="77"/>
      <c r="AN2433" s="77"/>
      <c r="AO2433" s="77"/>
      <c r="AP2433" s="77"/>
      <c r="AQ2433" s="77"/>
      <c r="AR2433" s="77"/>
      <c r="AS2433" s="77"/>
      <c r="AT2433" s="77"/>
      <c r="AU2433" s="77"/>
      <c r="AV2433" s="83" t="str">
        <f>HYPERLINK("https://pbs.twimg.com/profile_images/960554411188736001/juzAzvhn_normal.jpg")</f>
        <v>https://pbs.twimg.com/profile_images/960554411188736001/juzAzvhn_normal.jpg</v>
      </c>
      <c r="AW2433" s="80" t="s">
        <v>18234</v>
      </c>
      <c r="AX2433" s="80" t="s">
        <v>18234</v>
      </c>
      <c r="AY2433" s="77"/>
      <c r="AZ2433" s="80" t="s">
        <v>20380</v>
      </c>
      <c r="BA2433" s="80" t="s">
        <v>20380</v>
      </c>
      <c r="BB2433" s="80" t="s">
        <v>18232</v>
      </c>
      <c r="BC2433" s="80" t="s">
        <v>18232</v>
      </c>
      <c r="BD2433" s="80" t="s">
        <v>20878</v>
      </c>
      <c r="BE2433" s="77"/>
      <c r="BF2433" s="77"/>
      <c r="BG2433" s="77"/>
      <c r="BH2433" s="77"/>
      <c r="BI2433" s="77"/>
    </row>
    <row r="2434" spans="1:61" x14ac:dyDescent="0.25">
      <c r="A2434" s="62" t="s">
        <v>1008</v>
      </c>
      <c r="B2434" s="62" t="s">
        <v>1939</v>
      </c>
      <c r="C2434" s="63"/>
      <c r="D2434" s="64"/>
      <c r="E2434" s="65"/>
      <c r="F2434" s="66"/>
      <c r="G2434" s="63"/>
      <c r="H2434" s="67"/>
      <c r="I2434" s="68"/>
      <c r="J2434" s="68"/>
      <c r="K2434" s="32"/>
      <c r="L2434" s="75">
        <v>2434</v>
      </c>
      <c r="M2434" s="75"/>
      <c r="N2434" s="70"/>
      <c r="O2434" s="77" t="s">
        <v>2079</v>
      </c>
      <c r="P2434" s="79">
        <v>45100.587766203702</v>
      </c>
      <c r="Q2434" s="77" t="s">
        <v>4234</v>
      </c>
      <c r="R2434" s="77">
        <v>1</v>
      </c>
      <c r="S2434" s="77">
        <v>0</v>
      </c>
      <c r="T2434" s="77">
        <v>0</v>
      </c>
      <c r="U2434" s="77">
        <v>0</v>
      </c>
      <c r="V2434" s="77">
        <v>43</v>
      </c>
      <c r="W2434" s="80" t="s">
        <v>7437</v>
      </c>
      <c r="X2434" s="77"/>
      <c r="Y2434" s="77"/>
      <c r="Z2434" s="77" t="s">
        <v>8984</v>
      </c>
      <c r="AA2434" s="77"/>
      <c r="AB2434" s="77"/>
      <c r="AC2434" s="80" t="s">
        <v>10541</v>
      </c>
      <c r="AD2434" s="77" t="s">
        <v>10617</v>
      </c>
      <c r="AE2434" s="83" t="str">
        <f>HYPERLINK("https://twitter.com/rrjunior11/status/1672244714555187200")</f>
        <v>https://twitter.com/rrjunior11/status/1672244714555187200</v>
      </c>
      <c r="AF2434" s="79">
        <v>45100.587766203702</v>
      </c>
      <c r="AG2434" s="85">
        <v>45100</v>
      </c>
      <c r="AH2434" s="80" t="s">
        <v>12766</v>
      </c>
      <c r="AI2434" s="77"/>
      <c r="AJ2434" s="77"/>
      <c r="AK2434" s="77"/>
      <c r="AL2434" s="77"/>
      <c r="AM2434" s="77"/>
      <c r="AN2434" s="77"/>
      <c r="AO2434" s="77"/>
      <c r="AP2434" s="77"/>
      <c r="AQ2434" s="77"/>
      <c r="AR2434" s="77"/>
      <c r="AS2434" s="77"/>
      <c r="AT2434" s="77"/>
      <c r="AU2434" s="77"/>
      <c r="AV2434" s="83" t="str">
        <f>HYPERLINK("https://pbs.twimg.com/profile_images/1705589169974616064/wvxg-9zD_normal.jpg")</f>
        <v>https://pbs.twimg.com/profile_images/1705589169974616064/wvxg-9zD_normal.jpg</v>
      </c>
      <c r="AW2434" s="80" t="s">
        <v>18235</v>
      </c>
      <c r="AX2434" s="80" t="s">
        <v>20064</v>
      </c>
      <c r="AY2434" s="80" t="s">
        <v>20316</v>
      </c>
      <c r="AZ2434" s="80" t="s">
        <v>20426</v>
      </c>
      <c r="BA2434" s="80" t="s">
        <v>20380</v>
      </c>
      <c r="BB2434" s="80" t="s">
        <v>20380</v>
      </c>
      <c r="BC2434" s="80" t="s">
        <v>20426</v>
      </c>
      <c r="BD2434" s="80" t="s">
        <v>20316</v>
      </c>
      <c r="BE2434" s="77"/>
      <c r="BF2434" s="77"/>
      <c r="BG2434" s="77"/>
      <c r="BH2434" s="77"/>
      <c r="BI2434" s="77"/>
    </row>
    <row r="2435" spans="1:61" x14ac:dyDescent="0.25">
      <c r="A2435" s="62" t="s">
        <v>1008</v>
      </c>
      <c r="B2435" s="62" t="s">
        <v>1761</v>
      </c>
      <c r="C2435" s="63"/>
      <c r="D2435" s="64"/>
      <c r="E2435" s="65"/>
      <c r="F2435" s="66"/>
      <c r="G2435" s="63"/>
      <c r="H2435" s="67"/>
      <c r="I2435" s="68"/>
      <c r="J2435" s="68"/>
      <c r="K2435" s="32"/>
      <c r="L2435" s="75">
        <v>2435</v>
      </c>
      <c r="M2435" s="75"/>
      <c r="N2435" s="70"/>
      <c r="O2435" s="77" t="s">
        <v>2079</v>
      </c>
      <c r="P2435" s="79">
        <v>45100.587766203702</v>
      </c>
      <c r="Q2435" s="77" t="s">
        <v>4234</v>
      </c>
      <c r="R2435" s="77">
        <v>1</v>
      </c>
      <c r="S2435" s="77">
        <v>0</v>
      </c>
      <c r="T2435" s="77">
        <v>0</v>
      </c>
      <c r="U2435" s="77">
        <v>0</v>
      </c>
      <c r="V2435" s="77">
        <v>43</v>
      </c>
      <c r="W2435" s="80" t="s">
        <v>7437</v>
      </c>
      <c r="X2435" s="77"/>
      <c r="Y2435" s="77"/>
      <c r="Z2435" s="77" t="s">
        <v>8984</v>
      </c>
      <c r="AA2435" s="77"/>
      <c r="AB2435" s="77"/>
      <c r="AC2435" s="80" t="s">
        <v>10541</v>
      </c>
      <c r="AD2435" s="77" t="s">
        <v>10617</v>
      </c>
      <c r="AE2435" s="83" t="str">
        <f>HYPERLINK("https://twitter.com/rrjunior11/status/1672244714555187200")</f>
        <v>https://twitter.com/rrjunior11/status/1672244714555187200</v>
      </c>
      <c r="AF2435" s="79">
        <v>45100.587766203702</v>
      </c>
      <c r="AG2435" s="85">
        <v>45100</v>
      </c>
      <c r="AH2435" s="80" t="s">
        <v>12766</v>
      </c>
      <c r="AI2435" s="77"/>
      <c r="AJ2435" s="77"/>
      <c r="AK2435" s="77"/>
      <c r="AL2435" s="77"/>
      <c r="AM2435" s="77"/>
      <c r="AN2435" s="77"/>
      <c r="AO2435" s="77"/>
      <c r="AP2435" s="77"/>
      <c r="AQ2435" s="77"/>
      <c r="AR2435" s="77"/>
      <c r="AS2435" s="77"/>
      <c r="AT2435" s="77"/>
      <c r="AU2435" s="77"/>
      <c r="AV2435" s="83" t="str">
        <f>HYPERLINK("https://pbs.twimg.com/profile_images/1705589169974616064/wvxg-9zD_normal.jpg")</f>
        <v>https://pbs.twimg.com/profile_images/1705589169974616064/wvxg-9zD_normal.jpg</v>
      </c>
      <c r="AW2435" s="80" t="s">
        <v>18235</v>
      </c>
      <c r="AX2435" s="80" t="s">
        <v>20064</v>
      </c>
      <c r="AY2435" s="80" t="s">
        <v>20316</v>
      </c>
      <c r="AZ2435" s="80" t="s">
        <v>20426</v>
      </c>
      <c r="BA2435" s="80" t="s">
        <v>20380</v>
      </c>
      <c r="BB2435" s="80" t="s">
        <v>20380</v>
      </c>
      <c r="BC2435" s="80" t="s">
        <v>20426</v>
      </c>
      <c r="BD2435" s="80" t="s">
        <v>20316</v>
      </c>
      <c r="BE2435" s="77"/>
      <c r="BF2435" s="77"/>
      <c r="BG2435" s="77"/>
      <c r="BH2435" s="77"/>
      <c r="BI2435" s="77"/>
    </row>
    <row r="2436" spans="1:61" x14ac:dyDescent="0.25">
      <c r="A2436" s="62" t="s">
        <v>1008</v>
      </c>
      <c r="B2436" s="62" t="s">
        <v>1008</v>
      </c>
      <c r="C2436" s="63"/>
      <c r="D2436" s="64"/>
      <c r="E2436" s="65"/>
      <c r="F2436" s="66"/>
      <c r="G2436" s="63"/>
      <c r="H2436" s="67"/>
      <c r="I2436" s="68"/>
      <c r="J2436" s="68"/>
      <c r="K2436" s="32"/>
      <c r="L2436" s="75">
        <v>2436</v>
      </c>
      <c r="M2436" s="75"/>
      <c r="N2436" s="70"/>
      <c r="O2436" s="77" t="s">
        <v>2078</v>
      </c>
      <c r="P2436" s="79">
        <v>45100.587766203702</v>
      </c>
      <c r="Q2436" s="77" t="s">
        <v>4234</v>
      </c>
      <c r="R2436" s="77">
        <v>1</v>
      </c>
      <c r="S2436" s="77">
        <v>0</v>
      </c>
      <c r="T2436" s="77">
        <v>0</v>
      </c>
      <c r="U2436" s="77">
        <v>0</v>
      </c>
      <c r="V2436" s="77">
        <v>43</v>
      </c>
      <c r="W2436" s="80" t="s">
        <v>7437</v>
      </c>
      <c r="X2436" s="77"/>
      <c r="Y2436" s="77"/>
      <c r="Z2436" s="77" t="s">
        <v>8984</v>
      </c>
      <c r="AA2436" s="77"/>
      <c r="AB2436" s="77"/>
      <c r="AC2436" s="80" t="s">
        <v>10541</v>
      </c>
      <c r="AD2436" s="77" t="s">
        <v>10617</v>
      </c>
      <c r="AE2436" s="83" t="str">
        <f>HYPERLINK("https://twitter.com/rrjunior11/status/1672244714555187200")</f>
        <v>https://twitter.com/rrjunior11/status/1672244714555187200</v>
      </c>
      <c r="AF2436" s="79">
        <v>45100.587766203702</v>
      </c>
      <c r="AG2436" s="85">
        <v>45100</v>
      </c>
      <c r="AH2436" s="80" t="s">
        <v>12766</v>
      </c>
      <c r="AI2436" s="77"/>
      <c r="AJ2436" s="77"/>
      <c r="AK2436" s="77"/>
      <c r="AL2436" s="77"/>
      <c r="AM2436" s="77"/>
      <c r="AN2436" s="77"/>
      <c r="AO2436" s="77"/>
      <c r="AP2436" s="77"/>
      <c r="AQ2436" s="77"/>
      <c r="AR2436" s="77"/>
      <c r="AS2436" s="77"/>
      <c r="AT2436" s="77"/>
      <c r="AU2436" s="77"/>
      <c r="AV2436" s="83" t="str">
        <f>HYPERLINK("https://pbs.twimg.com/profile_images/1705589169974616064/wvxg-9zD_normal.jpg")</f>
        <v>https://pbs.twimg.com/profile_images/1705589169974616064/wvxg-9zD_normal.jpg</v>
      </c>
      <c r="AW2436" s="80" t="s">
        <v>18235</v>
      </c>
      <c r="AX2436" s="80" t="s">
        <v>20064</v>
      </c>
      <c r="AY2436" s="80" t="s">
        <v>20316</v>
      </c>
      <c r="AZ2436" s="80" t="s">
        <v>20426</v>
      </c>
      <c r="BA2436" s="80" t="s">
        <v>20380</v>
      </c>
      <c r="BB2436" s="80" t="s">
        <v>20380</v>
      </c>
      <c r="BC2436" s="80" t="s">
        <v>20426</v>
      </c>
      <c r="BD2436" s="80" t="s">
        <v>20316</v>
      </c>
      <c r="BE2436" s="77"/>
      <c r="BF2436" s="77"/>
      <c r="BG2436" s="77"/>
      <c r="BH2436" s="77"/>
      <c r="BI2436" s="77"/>
    </row>
    <row r="2437" spans="1:61" x14ac:dyDescent="0.25">
      <c r="A2437" s="62" t="s">
        <v>1009</v>
      </c>
      <c r="B2437" s="62" t="s">
        <v>1940</v>
      </c>
      <c r="C2437" s="63"/>
      <c r="D2437" s="64"/>
      <c r="E2437" s="65"/>
      <c r="F2437" s="66"/>
      <c r="G2437" s="63"/>
      <c r="H2437" s="67"/>
      <c r="I2437" s="68"/>
      <c r="J2437" s="68"/>
      <c r="K2437" s="32"/>
      <c r="L2437" s="75">
        <v>2437</v>
      </c>
      <c r="M2437" s="75"/>
      <c r="N2437" s="70"/>
      <c r="O2437" s="77" t="s">
        <v>2081</v>
      </c>
      <c r="P2437" s="79">
        <v>45182.230787037035</v>
      </c>
      <c r="Q2437" s="77" t="s">
        <v>4235</v>
      </c>
      <c r="R2437" s="77">
        <v>1</v>
      </c>
      <c r="S2437" s="77">
        <v>3</v>
      </c>
      <c r="T2437" s="77">
        <v>0</v>
      </c>
      <c r="U2437" s="77">
        <v>0</v>
      </c>
      <c r="V2437" s="77">
        <v>791</v>
      </c>
      <c r="W2437" s="80" t="s">
        <v>7438</v>
      </c>
      <c r="X2437" s="77"/>
      <c r="Y2437" s="77"/>
      <c r="Z2437" s="77" t="s">
        <v>8985</v>
      </c>
      <c r="AA2437" s="77" t="s">
        <v>9749</v>
      </c>
      <c r="AB2437" s="77" t="s">
        <v>10535</v>
      </c>
      <c r="AC2437" s="80" t="s">
        <v>10541</v>
      </c>
      <c r="AD2437" s="77" t="s">
        <v>10620</v>
      </c>
      <c r="AE2437" s="83" t="str">
        <f>HYPERLINK("https://twitter.com/roberto_ruarte/status/1701831155803095099")</f>
        <v>https://twitter.com/roberto_ruarte/status/1701831155803095099</v>
      </c>
      <c r="AF2437" s="79">
        <v>45182.230787037035</v>
      </c>
      <c r="AG2437" s="85">
        <v>45182</v>
      </c>
      <c r="AH2437" s="80" t="s">
        <v>12767</v>
      </c>
      <c r="AI2437" s="77" t="b">
        <v>0</v>
      </c>
      <c r="AJ2437" s="77"/>
      <c r="AK2437" s="77"/>
      <c r="AL2437" s="77"/>
      <c r="AM2437" s="77"/>
      <c r="AN2437" s="77"/>
      <c r="AO2437" s="77"/>
      <c r="AP2437" s="77"/>
      <c r="AQ2437" s="77" t="s">
        <v>15231</v>
      </c>
      <c r="AR2437" s="77"/>
      <c r="AS2437" s="77"/>
      <c r="AT2437" s="77"/>
      <c r="AU2437" s="77"/>
      <c r="AV2437" s="83" t="str">
        <f>HYPERLINK("https://pbs.twimg.com/media/F54d69TXcAAcmA1.jpg")</f>
        <v>https://pbs.twimg.com/media/F54d69TXcAAcmA1.jpg</v>
      </c>
      <c r="AW2437" s="80" t="s">
        <v>18236</v>
      </c>
      <c r="AX2437" s="80" t="s">
        <v>18236</v>
      </c>
      <c r="AY2437" s="77"/>
      <c r="AZ2437" s="80" t="s">
        <v>20380</v>
      </c>
      <c r="BA2437" s="80" t="s">
        <v>20380</v>
      </c>
      <c r="BB2437" s="80" t="s">
        <v>20380</v>
      </c>
      <c r="BC2437" s="80" t="s">
        <v>18236</v>
      </c>
      <c r="BD2437" s="77">
        <v>3070073066</v>
      </c>
      <c r="BE2437" s="77"/>
      <c r="BF2437" s="77"/>
      <c r="BG2437" s="77"/>
      <c r="BH2437" s="77"/>
      <c r="BI2437" s="77"/>
    </row>
    <row r="2438" spans="1:61" x14ac:dyDescent="0.25">
      <c r="A2438" s="62" t="s">
        <v>1009</v>
      </c>
      <c r="B2438" s="62" t="s">
        <v>1941</v>
      </c>
      <c r="C2438" s="63"/>
      <c r="D2438" s="64"/>
      <c r="E2438" s="65"/>
      <c r="F2438" s="66"/>
      <c r="G2438" s="63"/>
      <c r="H2438" s="67"/>
      <c r="I2438" s="68"/>
      <c r="J2438" s="68"/>
      <c r="K2438" s="32"/>
      <c r="L2438" s="75">
        <v>2438</v>
      </c>
      <c r="M2438" s="75"/>
      <c r="N2438" s="70"/>
      <c r="O2438" s="77" t="s">
        <v>2081</v>
      </c>
      <c r="P2438" s="79">
        <v>45182.230787037035</v>
      </c>
      <c r="Q2438" s="77" t="s">
        <v>4235</v>
      </c>
      <c r="R2438" s="77">
        <v>1</v>
      </c>
      <c r="S2438" s="77">
        <v>3</v>
      </c>
      <c r="T2438" s="77">
        <v>0</v>
      </c>
      <c r="U2438" s="77">
        <v>0</v>
      </c>
      <c r="V2438" s="77">
        <v>791</v>
      </c>
      <c r="W2438" s="80" t="s">
        <v>7438</v>
      </c>
      <c r="X2438" s="77"/>
      <c r="Y2438" s="77"/>
      <c r="Z2438" s="77" t="s">
        <v>8985</v>
      </c>
      <c r="AA2438" s="77" t="s">
        <v>9749</v>
      </c>
      <c r="AB2438" s="77" t="s">
        <v>10535</v>
      </c>
      <c r="AC2438" s="80" t="s">
        <v>10541</v>
      </c>
      <c r="AD2438" s="77" t="s">
        <v>10620</v>
      </c>
      <c r="AE2438" s="83" t="str">
        <f>HYPERLINK("https://twitter.com/roberto_ruarte/status/1701831155803095099")</f>
        <v>https://twitter.com/roberto_ruarte/status/1701831155803095099</v>
      </c>
      <c r="AF2438" s="79">
        <v>45182.230787037035</v>
      </c>
      <c r="AG2438" s="85">
        <v>45182</v>
      </c>
      <c r="AH2438" s="80" t="s">
        <v>12767</v>
      </c>
      <c r="AI2438" s="77" t="b">
        <v>0</v>
      </c>
      <c r="AJ2438" s="77"/>
      <c r="AK2438" s="77"/>
      <c r="AL2438" s="77"/>
      <c r="AM2438" s="77"/>
      <c r="AN2438" s="77"/>
      <c r="AO2438" s="77"/>
      <c r="AP2438" s="77"/>
      <c r="AQ2438" s="77" t="s">
        <v>15231</v>
      </c>
      <c r="AR2438" s="77"/>
      <c r="AS2438" s="77"/>
      <c r="AT2438" s="77"/>
      <c r="AU2438" s="77"/>
      <c r="AV2438" s="83" t="str">
        <f>HYPERLINK("https://pbs.twimg.com/media/F54d69TXcAAcmA1.jpg")</f>
        <v>https://pbs.twimg.com/media/F54d69TXcAAcmA1.jpg</v>
      </c>
      <c r="AW2438" s="80" t="s">
        <v>18236</v>
      </c>
      <c r="AX2438" s="80" t="s">
        <v>18236</v>
      </c>
      <c r="AY2438" s="77"/>
      <c r="AZ2438" s="80" t="s">
        <v>20380</v>
      </c>
      <c r="BA2438" s="80" t="s">
        <v>20380</v>
      </c>
      <c r="BB2438" s="80" t="s">
        <v>20380</v>
      </c>
      <c r="BC2438" s="80" t="s">
        <v>18236</v>
      </c>
      <c r="BD2438" s="77">
        <v>3070073066</v>
      </c>
      <c r="BE2438" s="77"/>
      <c r="BF2438" s="77"/>
      <c r="BG2438" s="77"/>
      <c r="BH2438" s="77"/>
      <c r="BI2438" s="77"/>
    </row>
    <row r="2439" spans="1:61" x14ac:dyDescent="0.25">
      <c r="A2439" s="62" t="s">
        <v>1009</v>
      </c>
      <c r="B2439" s="62" t="s">
        <v>1942</v>
      </c>
      <c r="C2439" s="63"/>
      <c r="D2439" s="64"/>
      <c r="E2439" s="65"/>
      <c r="F2439" s="66"/>
      <c r="G2439" s="63"/>
      <c r="H2439" s="67"/>
      <c r="I2439" s="68"/>
      <c r="J2439" s="68"/>
      <c r="K2439" s="32"/>
      <c r="L2439" s="75">
        <v>2439</v>
      </c>
      <c r="M2439" s="75"/>
      <c r="N2439" s="70"/>
      <c r="O2439" s="77" t="s">
        <v>2081</v>
      </c>
      <c r="P2439" s="79">
        <v>45182.230787037035</v>
      </c>
      <c r="Q2439" s="77" t="s">
        <v>4235</v>
      </c>
      <c r="R2439" s="77">
        <v>1</v>
      </c>
      <c r="S2439" s="77">
        <v>3</v>
      </c>
      <c r="T2439" s="77">
        <v>0</v>
      </c>
      <c r="U2439" s="77">
        <v>0</v>
      </c>
      <c r="V2439" s="77">
        <v>791</v>
      </c>
      <c r="W2439" s="80" t="s">
        <v>7438</v>
      </c>
      <c r="X2439" s="77"/>
      <c r="Y2439" s="77"/>
      <c r="Z2439" s="77" t="s">
        <v>8985</v>
      </c>
      <c r="AA2439" s="77" t="s">
        <v>9749</v>
      </c>
      <c r="AB2439" s="77" t="s">
        <v>10535</v>
      </c>
      <c r="AC2439" s="80" t="s">
        <v>10541</v>
      </c>
      <c r="AD2439" s="77" t="s">
        <v>10620</v>
      </c>
      <c r="AE2439" s="83" t="str">
        <f>HYPERLINK("https://twitter.com/roberto_ruarte/status/1701831155803095099")</f>
        <v>https://twitter.com/roberto_ruarte/status/1701831155803095099</v>
      </c>
      <c r="AF2439" s="79">
        <v>45182.230787037035</v>
      </c>
      <c r="AG2439" s="85">
        <v>45182</v>
      </c>
      <c r="AH2439" s="80" t="s">
        <v>12767</v>
      </c>
      <c r="AI2439" s="77" t="b">
        <v>0</v>
      </c>
      <c r="AJ2439" s="77"/>
      <c r="AK2439" s="77"/>
      <c r="AL2439" s="77"/>
      <c r="AM2439" s="77"/>
      <c r="AN2439" s="77"/>
      <c r="AO2439" s="77"/>
      <c r="AP2439" s="77"/>
      <c r="AQ2439" s="77" t="s">
        <v>15231</v>
      </c>
      <c r="AR2439" s="77"/>
      <c r="AS2439" s="77"/>
      <c r="AT2439" s="77"/>
      <c r="AU2439" s="77"/>
      <c r="AV2439" s="83" t="str">
        <f>HYPERLINK("https://pbs.twimg.com/media/F54d69TXcAAcmA1.jpg")</f>
        <v>https://pbs.twimg.com/media/F54d69TXcAAcmA1.jpg</v>
      </c>
      <c r="AW2439" s="80" t="s">
        <v>18236</v>
      </c>
      <c r="AX2439" s="80" t="s">
        <v>18236</v>
      </c>
      <c r="AY2439" s="77"/>
      <c r="AZ2439" s="80" t="s">
        <v>20380</v>
      </c>
      <c r="BA2439" s="80" t="s">
        <v>20380</v>
      </c>
      <c r="BB2439" s="80" t="s">
        <v>20380</v>
      </c>
      <c r="BC2439" s="80" t="s">
        <v>18236</v>
      </c>
      <c r="BD2439" s="77">
        <v>3070073066</v>
      </c>
      <c r="BE2439" s="77"/>
      <c r="BF2439" s="77"/>
      <c r="BG2439" s="77"/>
      <c r="BH2439" s="77"/>
      <c r="BI2439" s="77"/>
    </row>
    <row r="2440" spans="1:61" x14ac:dyDescent="0.25">
      <c r="A2440" s="62" t="s">
        <v>1009</v>
      </c>
      <c r="B2440" s="62" t="s">
        <v>1943</v>
      </c>
      <c r="C2440" s="63"/>
      <c r="D2440" s="64"/>
      <c r="E2440" s="65"/>
      <c r="F2440" s="66"/>
      <c r="G2440" s="63"/>
      <c r="H2440" s="67"/>
      <c r="I2440" s="68"/>
      <c r="J2440" s="68"/>
      <c r="K2440" s="32"/>
      <c r="L2440" s="75">
        <v>2440</v>
      </c>
      <c r="M2440" s="75"/>
      <c r="N2440" s="70"/>
      <c r="O2440" s="77" t="s">
        <v>2081</v>
      </c>
      <c r="P2440" s="79">
        <v>45182.230787037035</v>
      </c>
      <c r="Q2440" s="77" t="s">
        <v>4235</v>
      </c>
      <c r="R2440" s="77">
        <v>1</v>
      </c>
      <c r="S2440" s="77">
        <v>3</v>
      </c>
      <c r="T2440" s="77">
        <v>0</v>
      </c>
      <c r="U2440" s="77">
        <v>0</v>
      </c>
      <c r="V2440" s="77">
        <v>791</v>
      </c>
      <c r="W2440" s="80" t="s">
        <v>7438</v>
      </c>
      <c r="X2440" s="77"/>
      <c r="Y2440" s="77"/>
      <c r="Z2440" s="77" t="s">
        <v>8985</v>
      </c>
      <c r="AA2440" s="77" t="s">
        <v>9749</v>
      </c>
      <c r="AB2440" s="77" t="s">
        <v>10535</v>
      </c>
      <c r="AC2440" s="80" t="s">
        <v>10541</v>
      </c>
      <c r="AD2440" s="77" t="s">
        <v>10620</v>
      </c>
      <c r="AE2440" s="83" t="str">
        <f>HYPERLINK("https://twitter.com/roberto_ruarte/status/1701831155803095099")</f>
        <v>https://twitter.com/roberto_ruarte/status/1701831155803095099</v>
      </c>
      <c r="AF2440" s="79">
        <v>45182.230787037035</v>
      </c>
      <c r="AG2440" s="85">
        <v>45182</v>
      </c>
      <c r="AH2440" s="80" t="s">
        <v>12767</v>
      </c>
      <c r="AI2440" s="77" t="b">
        <v>0</v>
      </c>
      <c r="AJ2440" s="77"/>
      <c r="AK2440" s="77"/>
      <c r="AL2440" s="77"/>
      <c r="AM2440" s="77"/>
      <c r="AN2440" s="77"/>
      <c r="AO2440" s="77"/>
      <c r="AP2440" s="77"/>
      <c r="AQ2440" s="77" t="s">
        <v>15231</v>
      </c>
      <c r="AR2440" s="77"/>
      <c r="AS2440" s="77"/>
      <c r="AT2440" s="77"/>
      <c r="AU2440" s="77"/>
      <c r="AV2440" s="83" t="str">
        <f>HYPERLINK("https://pbs.twimg.com/media/F54d69TXcAAcmA1.jpg")</f>
        <v>https://pbs.twimg.com/media/F54d69TXcAAcmA1.jpg</v>
      </c>
      <c r="AW2440" s="80" t="s">
        <v>18236</v>
      </c>
      <c r="AX2440" s="80" t="s">
        <v>18236</v>
      </c>
      <c r="AY2440" s="77"/>
      <c r="AZ2440" s="80" t="s">
        <v>20380</v>
      </c>
      <c r="BA2440" s="80" t="s">
        <v>20380</v>
      </c>
      <c r="BB2440" s="80" t="s">
        <v>20380</v>
      </c>
      <c r="BC2440" s="80" t="s">
        <v>18236</v>
      </c>
      <c r="BD2440" s="77">
        <v>3070073066</v>
      </c>
      <c r="BE2440" s="77"/>
      <c r="BF2440" s="77"/>
      <c r="BG2440" s="77"/>
      <c r="BH2440" s="77"/>
      <c r="BI2440" s="77"/>
    </row>
    <row r="2441" spans="1:61" x14ac:dyDescent="0.25">
      <c r="A2441" s="62" t="s">
        <v>1010</v>
      </c>
      <c r="B2441" s="62" t="s">
        <v>1010</v>
      </c>
      <c r="C2441" s="63"/>
      <c r="D2441" s="64"/>
      <c r="E2441" s="65"/>
      <c r="F2441" s="66"/>
      <c r="G2441" s="63"/>
      <c r="H2441" s="67"/>
      <c r="I2441" s="68"/>
      <c r="J2441" s="68"/>
      <c r="K2441" s="32"/>
      <c r="L2441" s="75">
        <v>2441</v>
      </c>
      <c r="M2441" s="75"/>
      <c r="N2441" s="70"/>
      <c r="O2441" s="77" t="s">
        <v>179</v>
      </c>
      <c r="P2441" s="79">
        <v>45109.845543981479</v>
      </c>
      <c r="Q2441" s="77" t="s">
        <v>4236</v>
      </c>
      <c r="R2441" s="77">
        <v>2</v>
      </c>
      <c r="S2441" s="77">
        <v>4</v>
      </c>
      <c r="T2441" s="77">
        <v>0</v>
      </c>
      <c r="U2441" s="77">
        <v>1</v>
      </c>
      <c r="V2441" s="77">
        <v>149</v>
      </c>
      <c r="W2441" s="80" t="s">
        <v>7439</v>
      </c>
      <c r="X2441" s="83" t="str">
        <f>HYPERLINK("https://www.descubriendochina.org/post/bcra-argentino-relación-con-china-se-fortalece-con-incorporación-del-yuan-al-sistema-financiero")</f>
        <v>https://www.descubriendochina.org/post/bcra-argentino-relación-con-china-se-fortalece-con-incorporación-del-yuan-al-sistema-financiero</v>
      </c>
      <c r="Y2441" s="77" t="s">
        <v>8789</v>
      </c>
      <c r="Z2441" s="77"/>
      <c r="AA2441" s="77" t="s">
        <v>9750</v>
      </c>
      <c r="AB2441" s="77" t="s">
        <v>10535</v>
      </c>
      <c r="AC2441" s="80" t="s">
        <v>10542</v>
      </c>
      <c r="AD2441" s="77" t="s">
        <v>10620</v>
      </c>
      <c r="AE2441" s="83" t="str">
        <f>HYPERLINK("https://twitter.com/descubre_china/status/1675599622713102337")</f>
        <v>https://twitter.com/descubre_china/status/1675599622713102337</v>
      </c>
      <c r="AF2441" s="79">
        <v>45109.845543981479</v>
      </c>
      <c r="AG2441" s="85">
        <v>45109</v>
      </c>
      <c r="AH2441" s="80" t="s">
        <v>12768</v>
      </c>
      <c r="AI2441" s="77" t="b">
        <v>0</v>
      </c>
      <c r="AJ2441" s="77"/>
      <c r="AK2441" s="77"/>
      <c r="AL2441" s="77"/>
      <c r="AM2441" s="77"/>
      <c r="AN2441" s="77"/>
      <c r="AO2441" s="77"/>
      <c r="AP2441" s="77"/>
      <c r="AQ2441" s="77" t="s">
        <v>15232</v>
      </c>
      <c r="AR2441" s="77"/>
      <c r="AS2441" s="77"/>
      <c r="AT2441" s="77"/>
      <c r="AU2441" s="77"/>
      <c r="AV2441" s="83" t="str">
        <f>HYPERLINK("https://pbs.twimg.com/media/F0Ds-W5XoAAig54.jpg")</f>
        <v>https://pbs.twimg.com/media/F0Ds-W5XoAAig54.jpg</v>
      </c>
      <c r="AW2441" s="80" t="s">
        <v>18237</v>
      </c>
      <c r="AX2441" s="80" t="s">
        <v>18237</v>
      </c>
      <c r="AY2441" s="77"/>
      <c r="AZ2441" s="80" t="s">
        <v>20380</v>
      </c>
      <c r="BA2441" s="80" t="s">
        <v>20380</v>
      </c>
      <c r="BB2441" s="80" t="s">
        <v>20380</v>
      </c>
      <c r="BC2441" s="80" t="s">
        <v>18237</v>
      </c>
      <c r="BD2441" s="80" t="s">
        <v>20879</v>
      </c>
      <c r="BE2441" s="77"/>
      <c r="BF2441" s="77"/>
      <c r="BG2441" s="77"/>
      <c r="BH2441" s="77"/>
      <c r="BI2441" s="77"/>
    </row>
    <row r="2442" spans="1:61" x14ac:dyDescent="0.25">
      <c r="A2442" s="62" t="s">
        <v>1010</v>
      </c>
      <c r="B2442" s="62" t="s">
        <v>1010</v>
      </c>
      <c r="C2442" s="63"/>
      <c r="D2442" s="64"/>
      <c r="E2442" s="65"/>
      <c r="F2442" s="66"/>
      <c r="G2442" s="63"/>
      <c r="H2442" s="67"/>
      <c r="I2442" s="68"/>
      <c r="J2442" s="68"/>
      <c r="K2442" s="32"/>
      <c r="L2442" s="75">
        <v>2442</v>
      </c>
      <c r="M2442" s="75"/>
      <c r="N2442" s="70"/>
      <c r="O2442" s="77" t="s">
        <v>179</v>
      </c>
      <c r="P2442" s="79">
        <v>45109.60260416667</v>
      </c>
      <c r="Q2442" s="77" t="s">
        <v>4237</v>
      </c>
      <c r="R2442" s="77">
        <v>1</v>
      </c>
      <c r="S2442" s="77">
        <v>2</v>
      </c>
      <c r="T2442" s="77">
        <v>0</v>
      </c>
      <c r="U2442" s="77">
        <v>0</v>
      </c>
      <c r="V2442" s="77">
        <v>68</v>
      </c>
      <c r="W2442" s="80" t="s">
        <v>7439</v>
      </c>
      <c r="X2442" s="83" t="str">
        <f>HYPERLINK("https://www.descubriendochina.org/post/bcra-argentino-relación-con-china-se-fortalece-con-incorporación-del-yuan-al-sistema-financiero")</f>
        <v>https://www.descubriendochina.org/post/bcra-argentino-relación-con-china-se-fortalece-con-incorporación-del-yuan-al-sistema-financiero</v>
      </c>
      <c r="Y2442" s="77" t="s">
        <v>8789</v>
      </c>
      <c r="Z2442" s="77"/>
      <c r="AA2442" s="77" t="s">
        <v>9751</v>
      </c>
      <c r="AB2442" s="77" t="s">
        <v>10535</v>
      </c>
      <c r="AC2442" s="80" t="s">
        <v>10542</v>
      </c>
      <c r="AD2442" s="77" t="s">
        <v>10620</v>
      </c>
      <c r="AE2442" s="83" t="str">
        <f>HYPERLINK("https://twitter.com/descubre_china/status/1675511583638708230")</f>
        <v>https://twitter.com/descubre_china/status/1675511583638708230</v>
      </c>
      <c r="AF2442" s="79">
        <v>45109.60260416667</v>
      </c>
      <c r="AG2442" s="85">
        <v>45109</v>
      </c>
      <c r="AH2442" s="80" t="s">
        <v>12769</v>
      </c>
      <c r="AI2442" s="77" t="b">
        <v>0</v>
      </c>
      <c r="AJ2442" s="77"/>
      <c r="AK2442" s="77"/>
      <c r="AL2442" s="77"/>
      <c r="AM2442" s="77"/>
      <c r="AN2442" s="77"/>
      <c r="AO2442" s="77"/>
      <c r="AP2442" s="77"/>
      <c r="AQ2442" s="77" t="s">
        <v>15233</v>
      </c>
      <c r="AR2442" s="77"/>
      <c r="AS2442" s="77"/>
      <c r="AT2442" s="77"/>
      <c r="AU2442" s="77"/>
      <c r="AV2442" s="83" t="str">
        <f>HYPERLINK("https://pbs.twimg.com/media/F0Cc50YXwAEeJ3c.jpg")</f>
        <v>https://pbs.twimg.com/media/F0Cc50YXwAEeJ3c.jpg</v>
      </c>
      <c r="AW2442" s="80" t="s">
        <v>18238</v>
      </c>
      <c r="AX2442" s="80" t="s">
        <v>18238</v>
      </c>
      <c r="AY2442" s="77"/>
      <c r="AZ2442" s="80" t="s">
        <v>20380</v>
      </c>
      <c r="BA2442" s="80" t="s">
        <v>20380</v>
      </c>
      <c r="BB2442" s="80" t="s">
        <v>20380</v>
      </c>
      <c r="BC2442" s="80" t="s">
        <v>18238</v>
      </c>
      <c r="BD2442" s="80" t="s">
        <v>20879</v>
      </c>
      <c r="BE2442" s="77"/>
      <c r="BF2442" s="77"/>
      <c r="BG2442" s="77"/>
      <c r="BH2442" s="77"/>
      <c r="BI2442" s="77"/>
    </row>
    <row r="2443" spans="1:61" x14ac:dyDescent="0.25">
      <c r="A2443" s="62" t="s">
        <v>1010</v>
      </c>
      <c r="B2443" s="62" t="s">
        <v>1010</v>
      </c>
      <c r="C2443" s="63"/>
      <c r="D2443" s="64"/>
      <c r="E2443" s="65"/>
      <c r="F2443" s="66"/>
      <c r="G2443" s="63"/>
      <c r="H2443" s="67"/>
      <c r="I2443" s="68"/>
      <c r="J2443" s="68"/>
      <c r="K2443" s="32"/>
      <c r="L2443" s="75">
        <v>2443</v>
      </c>
      <c r="M2443" s="75"/>
      <c r="N2443" s="70"/>
      <c r="O2443" s="77" t="s">
        <v>179</v>
      </c>
      <c r="P2443" s="79">
        <v>45109.602071759262</v>
      </c>
      <c r="Q2443" s="77" t="s">
        <v>4238</v>
      </c>
      <c r="R2443" s="77">
        <v>0</v>
      </c>
      <c r="S2443" s="77">
        <v>0</v>
      </c>
      <c r="T2443" s="77">
        <v>0</v>
      </c>
      <c r="U2443" s="77">
        <v>0</v>
      </c>
      <c r="V2443" s="77">
        <v>33</v>
      </c>
      <c r="W2443" s="80" t="s">
        <v>7439</v>
      </c>
      <c r="X2443" s="83" t="str">
        <f>HYPERLINK("https://www.descubriendochina.org/post/bcra-argentino-relación-con-china-se-fortalece-con-incorporación-del-yuan-al-sistema-financiero")</f>
        <v>https://www.descubriendochina.org/post/bcra-argentino-relación-con-china-se-fortalece-con-incorporación-del-yuan-al-sistema-financiero</v>
      </c>
      <c r="Y2443" s="77" t="s">
        <v>8789</v>
      </c>
      <c r="Z2443" s="77"/>
      <c r="AA2443" s="77"/>
      <c r="AB2443" s="77"/>
      <c r="AC2443" s="80" t="s">
        <v>10542</v>
      </c>
      <c r="AD2443" s="77" t="s">
        <v>10620</v>
      </c>
      <c r="AE2443" s="83" t="str">
        <f>HYPERLINK("https://twitter.com/descubre_china/status/1675511388154871808")</f>
        <v>https://twitter.com/descubre_china/status/1675511388154871808</v>
      </c>
      <c r="AF2443" s="79">
        <v>45109.602071759262</v>
      </c>
      <c r="AG2443" s="85">
        <v>45109</v>
      </c>
      <c r="AH2443" s="80" t="s">
        <v>12770</v>
      </c>
      <c r="AI2443" s="77" t="b">
        <v>0</v>
      </c>
      <c r="AJ2443" s="77"/>
      <c r="AK2443" s="77"/>
      <c r="AL2443" s="77"/>
      <c r="AM2443" s="77"/>
      <c r="AN2443" s="77"/>
      <c r="AO2443" s="77"/>
      <c r="AP2443" s="77"/>
      <c r="AQ2443" s="77"/>
      <c r="AR2443" s="77"/>
      <c r="AS2443" s="77"/>
      <c r="AT2443" s="77"/>
      <c r="AU2443" s="77"/>
      <c r="AV2443" s="83" t="str">
        <f>HYPERLINK("https://pbs.twimg.com/profile_images/1591427159406649352/EAGyMe6R_normal.jpg")</f>
        <v>https://pbs.twimg.com/profile_images/1591427159406649352/EAGyMe6R_normal.jpg</v>
      </c>
      <c r="AW2443" s="80" t="s">
        <v>18239</v>
      </c>
      <c r="AX2443" s="80" t="s">
        <v>18239</v>
      </c>
      <c r="AY2443" s="77"/>
      <c r="AZ2443" s="80" t="s">
        <v>20380</v>
      </c>
      <c r="BA2443" s="80" t="s">
        <v>20380</v>
      </c>
      <c r="BB2443" s="80" t="s">
        <v>20380</v>
      </c>
      <c r="BC2443" s="80" t="s">
        <v>18239</v>
      </c>
      <c r="BD2443" s="80" t="s">
        <v>20879</v>
      </c>
      <c r="BE2443" s="77"/>
      <c r="BF2443" s="77"/>
      <c r="BG2443" s="77"/>
      <c r="BH2443" s="77"/>
      <c r="BI2443" s="77"/>
    </row>
    <row r="2444" spans="1:61" x14ac:dyDescent="0.25">
      <c r="A2444" s="62" t="s">
        <v>1010</v>
      </c>
      <c r="B2444" s="62" t="s">
        <v>1010</v>
      </c>
      <c r="C2444" s="63"/>
      <c r="D2444" s="64"/>
      <c r="E2444" s="65"/>
      <c r="F2444" s="66"/>
      <c r="G2444" s="63"/>
      <c r="H2444" s="67"/>
      <c r="I2444" s="68"/>
      <c r="J2444" s="68"/>
      <c r="K2444" s="32"/>
      <c r="L2444" s="75">
        <v>2444</v>
      </c>
      <c r="M2444" s="75"/>
      <c r="N2444" s="70"/>
      <c r="O2444" s="77" t="s">
        <v>179</v>
      </c>
      <c r="P2444" s="79">
        <v>45109.600428240738</v>
      </c>
      <c r="Q2444" s="77" t="s">
        <v>4239</v>
      </c>
      <c r="R2444" s="77">
        <v>1</v>
      </c>
      <c r="S2444" s="77">
        <v>1</v>
      </c>
      <c r="T2444" s="77">
        <v>0</v>
      </c>
      <c r="U2444" s="77">
        <v>0</v>
      </c>
      <c r="V2444" s="77">
        <v>40</v>
      </c>
      <c r="W2444" s="80" t="s">
        <v>7439</v>
      </c>
      <c r="X2444" s="83" t="str">
        <f>HYPERLINK("https://www.descubriendochina.org/post/bcra-argentino-relación-con-china-se-fortalece-con-incorporación-del-yuan-al-sistema-financiero")</f>
        <v>https://www.descubriendochina.org/post/bcra-argentino-relación-con-china-se-fortalece-con-incorporación-del-yuan-al-sistema-financiero</v>
      </c>
      <c r="Y2444" s="77" t="s">
        <v>8789</v>
      </c>
      <c r="Z2444" s="77"/>
      <c r="AA2444" s="77"/>
      <c r="AB2444" s="77"/>
      <c r="AC2444" s="80" t="s">
        <v>10541</v>
      </c>
      <c r="AD2444" s="77" t="s">
        <v>10620</v>
      </c>
      <c r="AE2444" s="83" t="str">
        <f>HYPERLINK("https://twitter.com/descubre_china/status/1675510792811163648")</f>
        <v>https://twitter.com/descubre_china/status/1675510792811163648</v>
      </c>
      <c r="AF2444" s="79">
        <v>45109.600428240738</v>
      </c>
      <c r="AG2444" s="85">
        <v>45109</v>
      </c>
      <c r="AH2444" s="80" t="s">
        <v>12771</v>
      </c>
      <c r="AI2444" s="77" t="b">
        <v>0</v>
      </c>
      <c r="AJ2444" s="77"/>
      <c r="AK2444" s="77"/>
      <c r="AL2444" s="77"/>
      <c r="AM2444" s="77"/>
      <c r="AN2444" s="77"/>
      <c r="AO2444" s="77"/>
      <c r="AP2444" s="77"/>
      <c r="AQ2444" s="77"/>
      <c r="AR2444" s="77"/>
      <c r="AS2444" s="77"/>
      <c r="AT2444" s="77"/>
      <c r="AU2444" s="77"/>
      <c r="AV2444" s="83" t="str">
        <f>HYPERLINK("https://pbs.twimg.com/profile_images/1591427159406649352/EAGyMe6R_normal.jpg")</f>
        <v>https://pbs.twimg.com/profile_images/1591427159406649352/EAGyMe6R_normal.jpg</v>
      </c>
      <c r="AW2444" s="80" t="s">
        <v>18240</v>
      </c>
      <c r="AX2444" s="80" t="s">
        <v>18240</v>
      </c>
      <c r="AY2444" s="77"/>
      <c r="AZ2444" s="80" t="s">
        <v>20380</v>
      </c>
      <c r="BA2444" s="80" t="s">
        <v>20380</v>
      </c>
      <c r="BB2444" s="80" t="s">
        <v>20380</v>
      </c>
      <c r="BC2444" s="80" t="s">
        <v>18240</v>
      </c>
      <c r="BD2444" s="80" t="s">
        <v>20879</v>
      </c>
      <c r="BE2444" s="77"/>
      <c r="BF2444" s="77"/>
      <c r="BG2444" s="77"/>
      <c r="BH2444" s="77"/>
      <c r="BI2444" s="77"/>
    </row>
    <row r="2445" spans="1:61" x14ac:dyDescent="0.25">
      <c r="A2445" s="62" t="s">
        <v>1011</v>
      </c>
      <c r="B2445" s="62" t="s">
        <v>1011</v>
      </c>
      <c r="C2445" s="63"/>
      <c r="D2445" s="64"/>
      <c r="E2445" s="65"/>
      <c r="F2445" s="66"/>
      <c r="G2445" s="63"/>
      <c r="H2445" s="67"/>
      <c r="I2445" s="68"/>
      <c r="J2445" s="68"/>
      <c r="K2445" s="32"/>
      <c r="L2445" s="75">
        <v>2445</v>
      </c>
      <c r="M2445" s="75"/>
      <c r="N2445" s="70"/>
      <c r="O2445" s="77" t="s">
        <v>179</v>
      </c>
      <c r="P2445" s="79">
        <v>45069.581400462965</v>
      </c>
      <c r="Q2445" s="77" t="s">
        <v>4240</v>
      </c>
      <c r="R2445" s="77">
        <v>0</v>
      </c>
      <c r="S2445" s="77">
        <v>0</v>
      </c>
      <c r="T2445" s="77">
        <v>0</v>
      </c>
      <c r="U2445" s="77">
        <v>0</v>
      </c>
      <c r="V2445" s="77">
        <v>49</v>
      </c>
      <c r="W2445" s="80" t="s">
        <v>7440</v>
      </c>
      <c r="X2445" s="83" t="str">
        <f>HYPERLINK("https://puentedenoticias.com/el-billete-de-2000-ya-esta-en-circulacion/")</f>
        <v>https://puentedenoticias.com/el-billete-de-2000-ya-esta-en-circulacion/</v>
      </c>
      <c r="Y2445" s="77" t="s">
        <v>8790</v>
      </c>
      <c r="Z2445" s="77"/>
      <c r="AA2445" s="77"/>
      <c r="AB2445" s="77"/>
      <c r="AC2445" s="80" t="s">
        <v>10541</v>
      </c>
      <c r="AD2445" s="77" t="s">
        <v>10620</v>
      </c>
      <c r="AE2445" s="83" t="str">
        <f>HYPERLINK("https://twitter.com/puentedenews/status/1661008384081166340")</f>
        <v>https://twitter.com/puentedenews/status/1661008384081166340</v>
      </c>
      <c r="AF2445" s="79">
        <v>45069.581400462965</v>
      </c>
      <c r="AG2445" s="85">
        <v>45069</v>
      </c>
      <c r="AH2445" s="80" t="s">
        <v>12772</v>
      </c>
      <c r="AI2445" s="77" t="b">
        <v>0</v>
      </c>
      <c r="AJ2445" s="77"/>
      <c r="AK2445" s="77"/>
      <c r="AL2445" s="77"/>
      <c r="AM2445" s="77"/>
      <c r="AN2445" s="77"/>
      <c r="AO2445" s="77"/>
      <c r="AP2445" s="77"/>
      <c r="AQ2445" s="77"/>
      <c r="AR2445" s="77"/>
      <c r="AS2445" s="77"/>
      <c r="AT2445" s="77"/>
      <c r="AU2445" s="77"/>
      <c r="AV2445" s="83" t="str">
        <f>HYPERLINK("https://pbs.twimg.com/profile_images/1529126027166986248/-5OK7Gki_normal.png")</f>
        <v>https://pbs.twimg.com/profile_images/1529126027166986248/-5OK7Gki_normal.png</v>
      </c>
      <c r="AW2445" s="80" t="s">
        <v>18241</v>
      </c>
      <c r="AX2445" s="80" t="s">
        <v>18241</v>
      </c>
      <c r="AY2445" s="77"/>
      <c r="AZ2445" s="80" t="s">
        <v>20380</v>
      </c>
      <c r="BA2445" s="80" t="s">
        <v>20380</v>
      </c>
      <c r="BB2445" s="80" t="s">
        <v>20380</v>
      </c>
      <c r="BC2445" s="80" t="s">
        <v>18241</v>
      </c>
      <c r="BD2445" s="80" t="s">
        <v>20880</v>
      </c>
      <c r="BE2445" s="77"/>
      <c r="BF2445" s="77"/>
      <c r="BG2445" s="77"/>
      <c r="BH2445" s="77"/>
      <c r="BI2445" s="77"/>
    </row>
    <row r="2446" spans="1:61" x14ac:dyDescent="0.25">
      <c r="A2446" s="62" t="s">
        <v>1011</v>
      </c>
      <c r="B2446" s="62" t="s">
        <v>1011</v>
      </c>
      <c r="C2446" s="63"/>
      <c r="D2446" s="64"/>
      <c r="E2446" s="65"/>
      <c r="F2446" s="66"/>
      <c r="G2446" s="63"/>
      <c r="H2446" s="67"/>
      <c r="I2446" s="68"/>
      <c r="J2446" s="68"/>
      <c r="K2446" s="32"/>
      <c r="L2446" s="75">
        <v>2446</v>
      </c>
      <c r="M2446" s="75"/>
      <c r="N2446" s="70"/>
      <c r="O2446" s="77" t="s">
        <v>179</v>
      </c>
      <c r="P2446" s="79">
        <v>45153.584120370368</v>
      </c>
      <c r="Q2446" s="77" t="s">
        <v>4241</v>
      </c>
      <c r="R2446" s="77">
        <v>0</v>
      </c>
      <c r="S2446" s="77">
        <v>0</v>
      </c>
      <c r="T2446" s="77">
        <v>0</v>
      </c>
      <c r="U2446" s="77">
        <v>0</v>
      </c>
      <c r="V2446" s="77">
        <v>30</v>
      </c>
      <c r="W2446" s="80" t="s">
        <v>7441</v>
      </c>
      <c r="X2446" s="83" t="str">
        <f>HYPERLINK("https://puentedenoticias.com/evaluacion-de-estrategias.../#Milei")</f>
        <v>https://puentedenoticias.com/evaluacion-de-estrategias.../#Milei</v>
      </c>
      <c r="Y2446" s="77" t="s">
        <v>8790</v>
      </c>
      <c r="Z2446" s="77"/>
      <c r="AA2446" s="77" t="s">
        <v>9752</v>
      </c>
      <c r="AB2446" s="77" t="s">
        <v>10535</v>
      </c>
      <c r="AC2446" s="80" t="s">
        <v>10541</v>
      </c>
      <c r="AD2446" s="77" t="s">
        <v>10620</v>
      </c>
      <c r="AE2446" s="83" t="str">
        <f>HYPERLINK("https://twitter.com/puentedenews/status/1691449952390819840")</f>
        <v>https://twitter.com/puentedenews/status/1691449952390819840</v>
      </c>
      <c r="AF2446" s="79">
        <v>45153.584120370368</v>
      </c>
      <c r="AG2446" s="85">
        <v>45153</v>
      </c>
      <c r="AH2446" s="80" t="s">
        <v>12773</v>
      </c>
      <c r="AI2446" s="77" t="b">
        <v>0</v>
      </c>
      <c r="AJ2446" s="77"/>
      <c r="AK2446" s="77"/>
      <c r="AL2446" s="77"/>
      <c r="AM2446" s="77"/>
      <c r="AN2446" s="77"/>
      <c r="AO2446" s="77"/>
      <c r="AP2446" s="77"/>
      <c r="AQ2446" s="77" t="s">
        <v>15234</v>
      </c>
      <c r="AR2446" s="77"/>
      <c r="AS2446" s="77"/>
      <c r="AT2446" s="77"/>
      <c r="AU2446" s="77"/>
      <c r="AV2446" s="83" t="str">
        <f>HYPERLINK("https://pbs.twimg.com/media/F3k8vUqaEAAsyUD.jpg")</f>
        <v>https://pbs.twimg.com/media/F3k8vUqaEAAsyUD.jpg</v>
      </c>
      <c r="AW2446" s="80" t="s">
        <v>18242</v>
      </c>
      <c r="AX2446" s="80" t="s">
        <v>18242</v>
      </c>
      <c r="AY2446" s="77"/>
      <c r="AZ2446" s="80" t="s">
        <v>20380</v>
      </c>
      <c r="BA2446" s="80" t="s">
        <v>20380</v>
      </c>
      <c r="BB2446" s="80" t="s">
        <v>20380</v>
      </c>
      <c r="BC2446" s="80" t="s">
        <v>18242</v>
      </c>
      <c r="BD2446" s="80" t="s">
        <v>20880</v>
      </c>
      <c r="BE2446" s="77"/>
      <c r="BF2446" s="77"/>
      <c r="BG2446" s="77"/>
      <c r="BH2446" s="77"/>
      <c r="BI2446" s="77"/>
    </row>
    <row r="2447" spans="1:61" x14ac:dyDescent="0.25">
      <c r="A2447" s="62" t="s">
        <v>1011</v>
      </c>
      <c r="B2447" s="62" t="s">
        <v>1011</v>
      </c>
      <c r="C2447" s="63"/>
      <c r="D2447" s="64"/>
      <c r="E2447" s="65"/>
      <c r="F2447" s="66"/>
      <c r="G2447" s="63"/>
      <c r="H2447" s="67"/>
      <c r="I2447" s="68"/>
      <c r="J2447" s="68"/>
      <c r="K2447" s="32"/>
      <c r="L2447" s="75">
        <v>2447</v>
      </c>
      <c r="M2447" s="75"/>
      <c r="N2447" s="70"/>
      <c r="O2447" s="77" t="s">
        <v>179</v>
      </c>
      <c r="P2447" s="79">
        <v>45163.58861111111</v>
      </c>
      <c r="Q2447" s="77" t="s">
        <v>4242</v>
      </c>
      <c r="R2447" s="77">
        <v>0</v>
      </c>
      <c r="S2447" s="77">
        <v>0</v>
      </c>
      <c r="T2447" s="77">
        <v>0</v>
      </c>
      <c r="U2447" s="77">
        <v>0</v>
      </c>
      <c r="V2447" s="77">
        <v>28</v>
      </c>
      <c r="W2447" s="80" t="s">
        <v>7442</v>
      </c>
      <c r="X2447" s="83" t="str">
        <f>HYPERLINK("https://puentedenoticias.com/dolar-hoy-tasas-de-cambio-y-resumen-de-las-noticias-financieras-del-25-de-agosto/#PDN")</f>
        <v>https://puentedenoticias.com/dolar-hoy-tasas-de-cambio-y-resumen-de-las-noticias-financieras-del-25-de-agosto/#PDN</v>
      </c>
      <c r="Y2447" s="77" t="s">
        <v>8790</v>
      </c>
      <c r="Z2447" s="77"/>
      <c r="AA2447" s="77"/>
      <c r="AB2447" s="77"/>
      <c r="AC2447" s="80" t="s">
        <v>10541</v>
      </c>
      <c r="AD2447" s="77" t="s">
        <v>10620</v>
      </c>
      <c r="AE2447" s="83" t="str">
        <f>HYPERLINK("https://twitter.com/puentedenews/status/1695075456930693138")</f>
        <v>https://twitter.com/puentedenews/status/1695075456930693138</v>
      </c>
      <c r="AF2447" s="79">
        <v>45163.58861111111</v>
      </c>
      <c r="AG2447" s="85">
        <v>45163</v>
      </c>
      <c r="AH2447" s="80" t="s">
        <v>12774</v>
      </c>
      <c r="AI2447" s="77" t="b">
        <v>0</v>
      </c>
      <c r="AJ2447" s="77"/>
      <c r="AK2447" s="77"/>
      <c r="AL2447" s="77"/>
      <c r="AM2447" s="77"/>
      <c r="AN2447" s="77"/>
      <c r="AO2447" s="77"/>
      <c r="AP2447" s="77"/>
      <c r="AQ2447" s="77"/>
      <c r="AR2447" s="77"/>
      <c r="AS2447" s="77"/>
      <c r="AT2447" s="77"/>
      <c r="AU2447" s="77"/>
      <c r="AV2447" s="83" t="str">
        <f>HYPERLINK("https://pbs.twimg.com/profile_images/1529126027166986248/-5OK7Gki_normal.png")</f>
        <v>https://pbs.twimg.com/profile_images/1529126027166986248/-5OK7Gki_normal.png</v>
      </c>
      <c r="AW2447" s="80" t="s">
        <v>18243</v>
      </c>
      <c r="AX2447" s="80" t="s">
        <v>18243</v>
      </c>
      <c r="AY2447" s="77"/>
      <c r="AZ2447" s="80" t="s">
        <v>20380</v>
      </c>
      <c r="BA2447" s="80" t="s">
        <v>20380</v>
      </c>
      <c r="BB2447" s="80" t="s">
        <v>20380</v>
      </c>
      <c r="BC2447" s="80" t="s">
        <v>18243</v>
      </c>
      <c r="BD2447" s="80" t="s">
        <v>20880</v>
      </c>
      <c r="BE2447" s="77"/>
      <c r="BF2447" s="77"/>
      <c r="BG2447" s="77"/>
      <c r="BH2447" s="77"/>
      <c r="BI2447" s="77"/>
    </row>
    <row r="2448" spans="1:61" x14ac:dyDescent="0.25">
      <c r="A2448" s="62" t="s">
        <v>1012</v>
      </c>
      <c r="B2448" s="62" t="s">
        <v>1012</v>
      </c>
      <c r="C2448" s="63"/>
      <c r="D2448" s="64"/>
      <c r="E2448" s="65"/>
      <c r="F2448" s="66"/>
      <c r="G2448" s="63"/>
      <c r="H2448" s="67"/>
      <c r="I2448" s="68"/>
      <c r="J2448" s="68"/>
      <c r="K2448" s="32"/>
      <c r="L2448" s="75">
        <v>2448</v>
      </c>
      <c r="M2448" s="75"/>
      <c r="N2448" s="70"/>
      <c r="O2448" s="77" t="s">
        <v>179</v>
      </c>
      <c r="P2448" s="79">
        <v>45109.110254629632</v>
      </c>
      <c r="Q2448" s="77" t="s">
        <v>4243</v>
      </c>
      <c r="R2448" s="77">
        <v>0</v>
      </c>
      <c r="S2448" s="77">
        <v>0</v>
      </c>
      <c r="T2448" s="77">
        <v>0</v>
      </c>
      <c r="U2448" s="77">
        <v>0</v>
      </c>
      <c r="V2448" s="77">
        <v>30</v>
      </c>
      <c r="W2448" s="80" t="s">
        <v>7443</v>
      </c>
      <c r="X2448" s="77"/>
      <c r="Y2448" s="77"/>
      <c r="Z2448" s="77"/>
      <c r="AA2448" s="77"/>
      <c r="AB2448" s="77"/>
      <c r="AC2448" s="80" t="s">
        <v>10540</v>
      </c>
      <c r="AD2448" s="77" t="s">
        <v>10627</v>
      </c>
      <c r="AE2448" s="83" t="str">
        <f>HYPERLINK("https://twitter.com/tropicalstrings/status/1675333160295342080")</f>
        <v>https://twitter.com/tropicalstrings/status/1675333160295342080</v>
      </c>
      <c r="AF2448" s="79">
        <v>45109.110254629632</v>
      </c>
      <c r="AG2448" s="85">
        <v>45109</v>
      </c>
      <c r="AH2448" s="80" t="s">
        <v>12775</v>
      </c>
      <c r="AI2448" s="77"/>
      <c r="AJ2448" s="77"/>
      <c r="AK2448" s="77"/>
      <c r="AL2448" s="77"/>
      <c r="AM2448" s="77"/>
      <c r="AN2448" s="77"/>
      <c r="AO2448" s="77"/>
      <c r="AP2448" s="77"/>
      <c r="AQ2448" s="77"/>
      <c r="AR2448" s="77"/>
      <c r="AS2448" s="77"/>
      <c r="AT2448" s="77"/>
      <c r="AU2448" s="77"/>
      <c r="AV2448" s="83" t="str">
        <f>HYPERLINK("https://pbs.twimg.com/profile_images/1144333235167645696/RFzkLmkJ_normal.jpg")</f>
        <v>https://pbs.twimg.com/profile_images/1144333235167645696/RFzkLmkJ_normal.jpg</v>
      </c>
      <c r="AW2448" s="80" t="s">
        <v>18244</v>
      </c>
      <c r="AX2448" s="80" t="s">
        <v>18244</v>
      </c>
      <c r="AY2448" s="77"/>
      <c r="AZ2448" s="80" t="s">
        <v>20380</v>
      </c>
      <c r="BA2448" s="80" t="s">
        <v>20380</v>
      </c>
      <c r="BB2448" s="80" t="s">
        <v>20380</v>
      </c>
      <c r="BC2448" s="80" t="s">
        <v>18244</v>
      </c>
      <c r="BD2448" s="80" t="s">
        <v>20881</v>
      </c>
      <c r="BE2448" s="77"/>
      <c r="BF2448" s="77"/>
      <c r="BG2448" s="77"/>
      <c r="BH2448" s="77"/>
      <c r="BI2448" s="77"/>
    </row>
    <row r="2449" spans="1:61" x14ac:dyDescent="0.25">
      <c r="A2449" s="62" t="s">
        <v>1012</v>
      </c>
      <c r="B2449" s="62" t="s">
        <v>1012</v>
      </c>
      <c r="C2449" s="63"/>
      <c r="D2449" s="64"/>
      <c r="E2449" s="65"/>
      <c r="F2449" s="66"/>
      <c r="G2449" s="63"/>
      <c r="H2449" s="67"/>
      <c r="I2449" s="68"/>
      <c r="J2449" s="68"/>
      <c r="K2449" s="32"/>
      <c r="L2449" s="75">
        <v>2449</v>
      </c>
      <c r="M2449" s="75"/>
      <c r="N2449" s="70"/>
      <c r="O2449" s="77" t="s">
        <v>179</v>
      </c>
      <c r="P2449" s="79">
        <v>45108.07539351852</v>
      </c>
      <c r="Q2449" s="77" t="s">
        <v>4244</v>
      </c>
      <c r="R2449" s="77">
        <v>0</v>
      </c>
      <c r="S2449" s="77">
        <v>0</v>
      </c>
      <c r="T2449" s="77">
        <v>0</v>
      </c>
      <c r="U2449" s="77">
        <v>0</v>
      </c>
      <c r="V2449" s="77">
        <v>31</v>
      </c>
      <c r="W2449" s="80" t="s">
        <v>7443</v>
      </c>
      <c r="X2449" s="77"/>
      <c r="Y2449" s="77"/>
      <c r="Z2449" s="77"/>
      <c r="AA2449" s="77"/>
      <c r="AB2449" s="77"/>
      <c r="AC2449" s="80" t="s">
        <v>10540</v>
      </c>
      <c r="AD2449" s="77" t="s">
        <v>10627</v>
      </c>
      <c r="AE2449" s="83" t="str">
        <f>HYPERLINK("https://twitter.com/tropicalstrings/status/1674958140725444608")</f>
        <v>https://twitter.com/tropicalstrings/status/1674958140725444608</v>
      </c>
      <c r="AF2449" s="79">
        <v>45108.07539351852</v>
      </c>
      <c r="AG2449" s="85">
        <v>45108</v>
      </c>
      <c r="AH2449" s="80" t="s">
        <v>12776</v>
      </c>
      <c r="AI2449" s="77"/>
      <c r="AJ2449" s="77"/>
      <c r="AK2449" s="77"/>
      <c r="AL2449" s="77"/>
      <c r="AM2449" s="77"/>
      <c r="AN2449" s="77"/>
      <c r="AO2449" s="77"/>
      <c r="AP2449" s="77"/>
      <c r="AQ2449" s="77"/>
      <c r="AR2449" s="77"/>
      <c r="AS2449" s="77"/>
      <c r="AT2449" s="77"/>
      <c r="AU2449" s="77"/>
      <c r="AV2449" s="83" t="str">
        <f>HYPERLINK("https://pbs.twimg.com/profile_images/1144333235167645696/RFzkLmkJ_normal.jpg")</f>
        <v>https://pbs.twimg.com/profile_images/1144333235167645696/RFzkLmkJ_normal.jpg</v>
      </c>
      <c r="AW2449" s="80" t="s">
        <v>18245</v>
      </c>
      <c r="AX2449" s="80" t="s">
        <v>18245</v>
      </c>
      <c r="AY2449" s="77"/>
      <c r="AZ2449" s="80" t="s">
        <v>20380</v>
      </c>
      <c r="BA2449" s="80" t="s">
        <v>20380</v>
      </c>
      <c r="BB2449" s="80" t="s">
        <v>20380</v>
      </c>
      <c r="BC2449" s="80" t="s">
        <v>18245</v>
      </c>
      <c r="BD2449" s="80" t="s">
        <v>20881</v>
      </c>
      <c r="BE2449" s="77"/>
      <c r="BF2449" s="77"/>
      <c r="BG2449" s="77"/>
      <c r="BH2449" s="77"/>
      <c r="BI2449" s="77"/>
    </row>
    <row r="2450" spans="1:61" x14ac:dyDescent="0.25">
      <c r="A2450" s="62" t="s">
        <v>1013</v>
      </c>
      <c r="B2450" s="62" t="s">
        <v>1013</v>
      </c>
      <c r="C2450" s="63"/>
      <c r="D2450" s="64"/>
      <c r="E2450" s="65"/>
      <c r="F2450" s="66"/>
      <c r="G2450" s="63"/>
      <c r="H2450" s="67"/>
      <c r="I2450" s="68"/>
      <c r="J2450" s="68"/>
      <c r="K2450" s="32"/>
      <c r="L2450" s="75">
        <v>2450</v>
      </c>
      <c r="M2450" s="75"/>
      <c r="N2450" s="70"/>
      <c r="O2450" s="77" t="s">
        <v>179</v>
      </c>
      <c r="P2450" s="79">
        <v>45089.535185185188</v>
      </c>
      <c r="Q2450" s="77" t="s">
        <v>4245</v>
      </c>
      <c r="R2450" s="77">
        <v>0</v>
      </c>
      <c r="S2450" s="77">
        <v>0</v>
      </c>
      <c r="T2450" s="77">
        <v>0</v>
      </c>
      <c r="U2450" s="77">
        <v>0</v>
      </c>
      <c r="V2450" s="77">
        <v>279</v>
      </c>
      <c r="W2450" s="80" t="s">
        <v>7444</v>
      </c>
      <c r="X2450" s="77"/>
      <c r="Y2450" s="77"/>
      <c r="Z2450" s="77"/>
      <c r="AA2450" s="77" t="s">
        <v>9753</v>
      </c>
      <c r="AB2450" s="77" t="s">
        <v>10535</v>
      </c>
      <c r="AC2450" s="80" t="s">
        <v>10541</v>
      </c>
      <c r="AD2450" s="77" t="s">
        <v>10617</v>
      </c>
      <c r="AE2450" s="83" t="str">
        <f>HYPERLINK("https://twitter.com/glaucojarzinski/status/1668239392677175296")</f>
        <v>https://twitter.com/glaucojarzinski/status/1668239392677175296</v>
      </c>
      <c r="AF2450" s="79">
        <v>45089.535185185188</v>
      </c>
      <c r="AG2450" s="85">
        <v>45089</v>
      </c>
      <c r="AH2450" s="80" t="s">
        <v>12777</v>
      </c>
      <c r="AI2450" s="77" t="b">
        <v>0</v>
      </c>
      <c r="AJ2450" s="77"/>
      <c r="AK2450" s="77"/>
      <c r="AL2450" s="77"/>
      <c r="AM2450" s="77"/>
      <c r="AN2450" s="77"/>
      <c r="AO2450" s="77"/>
      <c r="AP2450" s="77"/>
      <c r="AQ2450" s="77" t="s">
        <v>15235</v>
      </c>
      <c r="AR2450" s="77"/>
      <c r="AS2450" s="77"/>
      <c r="AT2450" s="77"/>
      <c r="AU2450" s="77"/>
      <c r="AV2450" s="83" t="str">
        <f>HYPERLINK("https://pbs.twimg.com/media/FybG30_WIAMxzLr.jpg")</f>
        <v>https://pbs.twimg.com/media/FybG30_WIAMxzLr.jpg</v>
      </c>
      <c r="AW2450" s="80" t="s">
        <v>18246</v>
      </c>
      <c r="AX2450" s="80" t="s">
        <v>18246</v>
      </c>
      <c r="AY2450" s="77"/>
      <c r="AZ2450" s="80" t="s">
        <v>20380</v>
      </c>
      <c r="BA2450" s="80" t="s">
        <v>20380</v>
      </c>
      <c r="BB2450" s="80" t="s">
        <v>20380</v>
      </c>
      <c r="BC2450" s="80" t="s">
        <v>18246</v>
      </c>
      <c r="BD2450" s="77">
        <v>93754487</v>
      </c>
      <c r="BE2450" s="77"/>
      <c r="BF2450" s="77"/>
      <c r="BG2450" s="77"/>
      <c r="BH2450" s="77"/>
      <c r="BI2450" s="77"/>
    </row>
    <row r="2451" spans="1:61" x14ac:dyDescent="0.25">
      <c r="A2451" s="62" t="s">
        <v>1013</v>
      </c>
      <c r="B2451" s="62" t="s">
        <v>1013</v>
      </c>
      <c r="C2451" s="63"/>
      <c r="D2451" s="64"/>
      <c r="E2451" s="65"/>
      <c r="F2451" s="66"/>
      <c r="G2451" s="63"/>
      <c r="H2451" s="67"/>
      <c r="I2451" s="68"/>
      <c r="J2451" s="68"/>
      <c r="K2451" s="32"/>
      <c r="L2451" s="75">
        <v>2451</v>
      </c>
      <c r="M2451" s="75"/>
      <c r="N2451" s="70"/>
      <c r="O2451" s="77" t="s">
        <v>179</v>
      </c>
      <c r="P2451" s="79">
        <v>45145.576967592591</v>
      </c>
      <c r="Q2451" s="77" t="s">
        <v>4246</v>
      </c>
      <c r="R2451" s="77">
        <v>0</v>
      </c>
      <c r="S2451" s="77">
        <v>0</v>
      </c>
      <c r="T2451" s="77">
        <v>0</v>
      </c>
      <c r="U2451" s="77">
        <v>0</v>
      </c>
      <c r="V2451" s="77">
        <v>133</v>
      </c>
      <c r="W2451" s="80" t="s">
        <v>7445</v>
      </c>
      <c r="X2451" s="77"/>
      <c r="Y2451" s="77"/>
      <c r="Z2451" s="77"/>
      <c r="AA2451" s="77" t="s">
        <v>9754</v>
      </c>
      <c r="AB2451" s="77" t="s">
        <v>10535</v>
      </c>
      <c r="AC2451" s="80" t="s">
        <v>10541</v>
      </c>
      <c r="AD2451" s="77" t="s">
        <v>10617</v>
      </c>
      <c r="AE2451" s="83" t="str">
        <f>HYPERLINK("https://twitter.com/glaucojarzinski/status/1688548255045451776")</f>
        <v>https://twitter.com/glaucojarzinski/status/1688548255045451776</v>
      </c>
      <c r="AF2451" s="79">
        <v>45145.576967592591</v>
      </c>
      <c r="AG2451" s="85">
        <v>45145</v>
      </c>
      <c r="AH2451" s="80" t="s">
        <v>12778</v>
      </c>
      <c r="AI2451" s="77" t="b">
        <v>0</v>
      </c>
      <c r="AJ2451" s="77"/>
      <c r="AK2451" s="77"/>
      <c r="AL2451" s="77"/>
      <c r="AM2451" s="77"/>
      <c r="AN2451" s="77"/>
      <c r="AO2451" s="77"/>
      <c r="AP2451" s="77"/>
      <c r="AQ2451" s="77" t="s">
        <v>15236</v>
      </c>
      <c r="AR2451" s="77"/>
      <c r="AS2451" s="77"/>
      <c r="AT2451" s="77"/>
      <c r="AU2451" s="77"/>
      <c r="AV2451" s="83" t="str">
        <f>HYPERLINK("https://pbs.twimg.com/media/F27tr47XMAAn0Lz.jpg")</f>
        <v>https://pbs.twimg.com/media/F27tr47XMAAn0Lz.jpg</v>
      </c>
      <c r="AW2451" s="80" t="s">
        <v>18247</v>
      </c>
      <c r="AX2451" s="80" t="s">
        <v>18247</v>
      </c>
      <c r="AY2451" s="77"/>
      <c r="AZ2451" s="80" t="s">
        <v>20380</v>
      </c>
      <c r="BA2451" s="80" t="s">
        <v>20380</v>
      </c>
      <c r="BB2451" s="80" t="s">
        <v>20380</v>
      </c>
      <c r="BC2451" s="80" t="s">
        <v>18247</v>
      </c>
      <c r="BD2451" s="77">
        <v>93754487</v>
      </c>
      <c r="BE2451" s="77"/>
      <c r="BF2451" s="77"/>
      <c r="BG2451" s="77"/>
      <c r="BH2451" s="77"/>
      <c r="BI2451" s="77"/>
    </row>
    <row r="2452" spans="1:61" x14ac:dyDescent="0.25">
      <c r="A2452" s="62" t="s">
        <v>1013</v>
      </c>
      <c r="B2452" s="62" t="s">
        <v>1013</v>
      </c>
      <c r="C2452" s="63"/>
      <c r="D2452" s="64"/>
      <c r="E2452" s="65"/>
      <c r="F2452" s="66"/>
      <c r="G2452" s="63"/>
      <c r="H2452" s="67"/>
      <c r="I2452" s="68"/>
      <c r="J2452" s="68"/>
      <c r="K2452" s="32"/>
      <c r="L2452" s="75">
        <v>2452</v>
      </c>
      <c r="M2452" s="75"/>
      <c r="N2452" s="70"/>
      <c r="O2452" s="77" t="s">
        <v>179</v>
      </c>
      <c r="P2452" s="79">
        <v>45152.57366898148</v>
      </c>
      <c r="Q2452" s="77" t="s">
        <v>4247</v>
      </c>
      <c r="R2452" s="77">
        <v>0</v>
      </c>
      <c r="S2452" s="77">
        <v>0</v>
      </c>
      <c r="T2452" s="77">
        <v>0</v>
      </c>
      <c r="U2452" s="77">
        <v>0</v>
      </c>
      <c r="V2452" s="77">
        <v>201</v>
      </c>
      <c r="W2452" s="80" t="s">
        <v>7445</v>
      </c>
      <c r="X2452" s="77"/>
      <c r="Y2452" s="77"/>
      <c r="Z2452" s="77"/>
      <c r="AA2452" s="77" t="s">
        <v>9755</v>
      </c>
      <c r="AB2452" s="77" t="s">
        <v>10535</v>
      </c>
      <c r="AC2452" s="80" t="s">
        <v>10541</v>
      </c>
      <c r="AD2452" s="77" t="s">
        <v>10617</v>
      </c>
      <c r="AE2452" s="83" t="str">
        <f>HYPERLINK("https://twitter.com/glaucojarzinski/status/1691083775881424896")</f>
        <v>https://twitter.com/glaucojarzinski/status/1691083775881424896</v>
      </c>
      <c r="AF2452" s="79">
        <v>45152.57366898148</v>
      </c>
      <c r="AG2452" s="85">
        <v>45152</v>
      </c>
      <c r="AH2452" s="80" t="s">
        <v>12779</v>
      </c>
      <c r="AI2452" s="77" t="b">
        <v>0</v>
      </c>
      <c r="AJ2452" s="77"/>
      <c r="AK2452" s="77"/>
      <c r="AL2452" s="77"/>
      <c r="AM2452" s="77"/>
      <c r="AN2452" s="77"/>
      <c r="AO2452" s="77"/>
      <c r="AP2452" s="77"/>
      <c r="AQ2452" s="77" t="s">
        <v>15237</v>
      </c>
      <c r="AR2452" s="77"/>
      <c r="AS2452" s="77"/>
      <c r="AT2452" s="77"/>
      <c r="AU2452" s="77"/>
      <c r="AV2452" s="83" t="str">
        <f>HYPERLINK("https://pbs.twimg.com/media/F3fvt8zWgAExuAp.jpg")</f>
        <v>https://pbs.twimg.com/media/F3fvt8zWgAExuAp.jpg</v>
      </c>
      <c r="AW2452" s="80" t="s">
        <v>18248</v>
      </c>
      <c r="AX2452" s="80" t="s">
        <v>18248</v>
      </c>
      <c r="AY2452" s="77"/>
      <c r="AZ2452" s="80" t="s">
        <v>20380</v>
      </c>
      <c r="BA2452" s="80" t="s">
        <v>20380</v>
      </c>
      <c r="BB2452" s="80" t="s">
        <v>20380</v>
      </c>
      <c r="BC2452" s="80" t="s">
        <v>18248</v>
      </c>
      <c r="BD2452" s="77">
        <v>93754487</v>
      </c>
      <c r="BE2452" s="77"/>
      <c r="BF2452" s="77"/>
      <c r="BG2452" s="77"/>
      <c r="BH2452" s="77"/>
      <c r="BI2452" s="77"/>
    </row>
    <row r="2453" spans="1:61" x14ac:dyDescent="0.25">
      <c r="A2453" s="62" t="s">
        <v>1013</v>
      </c>
      <c r="B2453" s="62" t="s">
        <v>1013</v>
      </c>
      <c r="C2453" s="63"/>
      <c r="D2453" s="64"/>
      <c r="E2453" s="65"/>
      <c r="F2453" s="66"/>
      <c r="G2453" s="63"/>
      <c r="H2453" s="67"/>
      <c r="I2453" s="68"/>
      <c r="J2453" s="68"/>
      <c r="K2453" s="32"/>
      <c r="L2453" s="75">
        <v>2453</v>
      </c>
      <c r="M2453" s="75"/>
      <c r="N2453" s="70"/>
      <c r="O2453" s="77" t="s">
        <v>179</v>
      </c>
      <c r="P2453" s="79">
        <v>45117.527754629627</v>
      </c>
      <c r="Q2453" s="77" t="s">
        <v>4248</v>
      </c>
      <c r="R2453" s="77">
        <v>0</v>
      </c>
      <c r="S2453" s="77">
        <v>0</v>
      </c>
      <c r="T2453" s="77">
        <v>0</v>
      </c>
      <c r="U2453" s="77">
        <v>0</v>
      </c>
      <c r="V2453" s="77">
        <v>142</v>
      </c>
      <c r="W2453" s="80" t="s">
        <v>7445</v>
      </c>
      <c r="X2453" s="77"/>
      <c r="Y2453" s="77"/>
      <c r="Z2453" s="77"/>
      <c r="AA2453" s="77" t="s">
        <v>9756</v>
      </c>
      <c r="AB2453" s="77" t="s">
        <v>10535</v>
      </c>
      <c r="AC2453" s="80" t="s">
        <v>10541</v>
      </c>
      <c r="AD2453" s="77" t="s">
        <v>10617</v>
      </c>
      <c r="AE2453" s="83" t="str">
        <f>HYPERLINK("https://twitter.com/glaucojarzinski/status/1678383561294921728")</f>
        <v>https://twitter.com/glaucojarzinski/status/1678383561294921728</v>
      </c>
      <c r="AF2453" s="79">
        <v>45117.527754629627</v>
      </c>
      <c r="AG2453" s="85">
        <v>45117</v>
      </c>
      <c r="AH2453" s="80" t="s">
        <v>12780</v>
      </c>
      <c r="AI2453" s="77" t="b">
        <v>0</v>
      </c>
      <c r="AJ2453" s="77"/>
      <c r="AK2453" s="77"/>
      <c r="AL2453" s="77"/>
      <c r="AM2453" s="77"/>
      <c r="AN2453" s="77"/>
      <c r="AO2453" s="77"/>
      <c r="AP2453" s="77"/>
      <c r="AQ2453" s="77" t="s">
        <v>15238</v>
      </c>
      <c r="AR2453" s="77"/>
      <c r="AS2453" s="77"/>
      <c r="AT2453" s="77"/>
      <c r="AU2453" s="77"/>
      <c r="AV2453" s="83" t="str">
        <f>HYPERLINK("https://pbs.twimg.com/media/F0rQ7v1WwAI4wiM.jpg")</f>
        <v>https://pbs.twimg.com/media/F0rQ7v1WwAI4wiM.jpg</v>
      </c>
      <c r="AW2453" s="80" t="s">
        <v>18249</v>
      </c>
      <c r="AX2453" s="80" t="s">
        <v>18249</v>
      </c>
      <c r="AY2453" s="77"/>
      <c r="AZ2453" s="80" t="s">
        <v>20380</v>
      </c>
      <c r="BA2453" s="80" t="s">
        <v>20380</v>
      </c>
      <c r="BB2453" s="80" t="s">
        <v>20380</v>
      </c>
      <c r="BC2453" s="80" t="s">
        <v>18249</v>
      </c>
      <c r="BD2453" s="77">
        <v>93754487</v>
      </c>
      <c r="BE2453" s="77"/>
      <c r="BF2453" s="77"/>
      <c r="BG2453" s="77"/>
      <c r="BH2453" s="77"/>
      <c r="BI2453" s="77"/>
    </row>
    <row r="2454" spans="1:61" x14ac:dyDescent="0.25">
      <c r="A2454" s="62" t="s">
        <v>1013</v>
      </c>
      <c r="B2454" s="62" t="s">
        <v>1013</v>
      </c>
      <c r="C2454" s="63"/>
      <c r="D2454" s="64"/>
      <c r="E2454" s="65"/>
      <c r="F2454" s="66"/>
      <c r="G2454" s="63"/>
      <c r="H2454" s="67"/>
      <c r="I2454" s="68"/>
      <c r="J2454" s="68"/>
      <c r="K2454" s="32"/>
      <c r="L2454" s="75">
        <v>2454</v>
      </c>
      <c r="M2454" s="75"/>
      <c r="N2454" s="70"/>
      <c r="O2454" s="77" t="s">
        <v>179</v>
      </c>
      <c r="P2454" s="79">
        <v>45075.5471875</v>
      </c>
      <c r="Q2454" s="77" t="s">
        <v>4249</v>
      </c>
      <c r="R2454" s="77">
        <v>0</v>
      </c>
      <c r="S2454" s="77">
        <v>1</v>
      </c>
      <c r="T2454" s="77">
        <v>0</v>
      </c>
      <c r="U2454" s="77">
        <v>0</v>
      </c>
      <c r="V2454" s="77">
        <v>89</v>
      </c>
      <c r="W2454" s="80" t="s">
        <v>7445</v>
      </c>
      <c r="X2454" s="77"/>
      <c r="Y2454" s="77"/>
      <c r="Z2454" s="77"/>
      <c r="AA2454" s="77" t="s">
        <v>9757</v>
      </c>
      <c r="AB2454" s="77" t="s">
        <v>10535</v>
      </c>
      <c r="AC2454" s="80" t="s">
        <v>10541</v>
      </c>
      <c r="AD2454" s="77" t="s">
        <v>10617</v>
      </c>
      <c r="AE2454" s="83" t="str">
        <f>HYPERLINK("https://twitter.com/glaucojarzinski/status/1663170313910140929")</f>
        <v>https://twitter.com/glaucojarzinski/status/1663170313910140929</v>
      </c>
      <c r="AF2454" s="79">
        <v>45075.5471875</v>
      </c>
      <c r="AG2454" s="85">
        <v>45075</v>
      </c>
      <c r="AH2454" s="80" t="s">
        <v>12019</v>
      </c>
      <c r="AI2454" s="77" t="b">
        <v>0</v>
      </c>
      <c r="AJ2454" s="77"/>
      <c r="AK2454" s="77"/>
      <c r="AL2454" s="77"/>
      <c r="AM2454" s="77"/>
      <c r="AN2454" s="77"/>
      <c r="AO2454" s="77"/>
      <c r="AP2454" s="77"/>
      <c r="AQ2454" s="77" t="s">
        <v>15239</v>
      </c>
      <c r="AR2454" s="77"/>
      <c r="AS2454" s="77"/>
      <c r="AT2454" s="77"/>
      <c r="AU2454" s="77"/>
      <c r="AV2454" s="83" t="str">
        <f>HYPERLINK("https://pbs.twimg.com/media/FxTEkaqWYAIPLxE.jpg")</f>
        <v>https://pbs.twimg.com/media/FxTEkaqWYAIPLxE.jpg</v>
      </c>
      <c r="AW2454" s="80" t="s">
        <v>18250</v>
      </c>
      <c r="AX2454" s="80" t="s">
        <v>18250</v>
      </c>
      <c r="AY2454" s="77"/>
      <c r="AZ2454" s="80" t="s">
        <v>20380</v>
      </c>
      <c r="BA2454" s="80" t="s">
        <v>20380</v>
      </c>
      <c r="BB2454" s="80" t="s">
        <v>20380</v>
      </c>
      <c r="BC2454" s="80" t="s">
        <v>18250</v>
      </c>
      <c r="BD2454" s="77">
        <v>93754487</v>
      </c>
      <c r="BE2454" s="77"/>
      <c r="BF2454" s="77"/>
      <c r="BG2454" s="77"/>
      <c r="BH2454" s="77"/>
      <c r="BI2454" s="77"/>
    </row>
    <row r="2455" spans="1:61" x14ac:dyDescent="0.25">
      <c r="A2455" s="62" t="s">
        <v>1013</v>
      </c>
      <c r="B2455" s="62" t="s">
        <v>1013</v>
      </c>
      <c r="C2455" s="63"/>
      <c r="D2455" s="64"/>
      <c r="E2455" s="65"/>
      <c r="F2455" s="66"/>
      <c r="G2455" s="63"/>
      <c r="H2455" s="67"/>
      <c r="I2455" s="68"/>
      <c r="J2455" s="68"/>
      <c r="K2455" s="32"/>
      <c r="L2455" s="75">
        <v>2455</v>
      </c>
      <c r="M2455" s="75"/>
      <c r="N2455" s="70"/>
      <c r="O2455" s="77" t="s">
        <v>179</v>
      </c>
      <c r="P2455" s="79">
        <v>45061.53665509259</v>
      </c>
      <c r="Q2455" s="77" t="s">
        <v>4250</v>
      </c>
      <c r="R2455" s="77">
        <v>0</v>
      </c>
      <c r="S2455" s="77">
        <v>0</v>
      </c>
      <c r="T2455" s="77">
        <v>1</v>
      </c>
      <c r="U2455" s="77">
        <v>0</v>
      </c>
      <c r="V2455" s="77">
        <v>123</v>
      </c>
      <c r="W2455" s="80" t="s">
        <v>7445</v>
      </c>
      <c r="X2455" s="77"/>
      <c r="Y2455" s="77"/>
      <c r="Z2455" s="77"/>
      <c r="AA2455" s="77" t="s">
        <v>9758</v>
      </c>
      <c r="AB2455" s="77" t="s">
        <v>10535</v>
      </c>
      <c r="AC2455" s="80" t="s">
        <v>10541</v>
      </c>
      <c r="AD2455" s="77" t="s">
        <v>10617</v>
      </c>
      <c r="AE2455" s="83" t="str">
        <f>HYPERLINK("https://twitter.com/glaucojarzinski/status/1658093066018758658")</f>
        <v>https://twitter.com/glaucojarzinski/status/1658093066018758658</v>
      </c>
      <c r="AF2455" s="79">
        <v>45061.53665509259</v>
      </c>
      <c r="AG2455" s="85">
        <v>45061</v>
      </c>
      <c r="AH2455" s="80" t="s">
        <v>12781</v>
      </c>
      <c r="AI2455" s="77" t="b">
        <v>0</v>
      </c>
      <c r="AJ2455" s="77"/>
      <c r="AK2455" s="77"/>
      <c r="AL2455" s="77"/>
      <c r="AM2455" s="77"/>
      <c r="AN2455" s="77"/>
      <c r="AO2455" s="77"/>
      <c r="AP2455" s="77"/>
      <c r="AQ2455" s="77" t="s">
        <v>15240</v>
      </c>
      <c r="AR2455" s="77"/>
      <c r="AS2455" s="77"/>
      <c r="AT2455" s="77"/>
      <c r="AU2455" s="77"/>
      <c r="AV2455" s="83" t="str">
        <f>HYPERLINK("https://pbs.twimg.com/media/FwK62U-XgAA5aQT.jpg")</f>
        <v>https://pbs.twimg.com/media/FwK62U-XgAA5aQT.jpg</v>
      </c>
      <c r="AW2455" s="80" t="s">
        <v>18251</v>
      </c>
      <c r="AX2455" s="80" t="s">
        <v>18251</v>
      </c>
      <c r="AY2455" s="77"/>
      <c r="AZ2455" s="80" t="s">
        <v>20380</v>
      </c>
      <c r="BA2455" s="80" t="s">
        <v>20380</v>
      </c>
      <c r="BB2455" s="80" t="s">
        <v>20380</v>
      </c>
      <c r="BC2455" s="80" t="s">
        <v>18251</v>
      </c>
      <c r="BD2455" s="77">
        <v>93754487</v>
      </c>
      <c r="BE2455" s="77"/>
      <c r="BF2455" s="77"/>
      <c r="BG2455" s="77"/>
      <c r="BH2455" s="77"/>
      <c r="BI2455" s="77"/>
    </row>
    <row r="2456" spans="1:61" x14ac:dyDescent="0.25">
      <c r="A2456" s="62" t="s">
        <v>1013</v>
      </c>
      <c r="B2456" s="62" t="s">
        <v>1013</v>
      </c>
      <c r="C2456" s="63"/>
      <c r="D2456" s="64"/>
      <c r="E2456" s="65"/>
      <c r="F2456" s="66"/>
      <c r="G2456" s="63"/>
      <c r="H2456" s="67"/>
      <c r="I2456" s="68"/>
      <c r="J2456" s="68"/>
      <c r="K2456" s="32"/>
      <c r="L2456" s="75">
        <v>2456</v>
      </c>
      <c r="M2456" s="75"/>
      <c r="N2456" s="70"/>
      <c r="O2456" s="77" t="s">
        <v>179</v>
      </c>
      <c r="P2456" s="79">
        <v>45159.525358796294</v>
      </c>
      <c r="Q2456" s="77" t="s">
        <v>4251</v>
      </c>
      <c r="R2456" s="77">
        <v>0</v>
      </c>
      <c r="S2456" s="77">
        <v>0</v>
      </c>
      <c r="T2456" s="77">
        <v>0</v>
      </c>
      <c r="U2456" s="77">
        <v>0</v>
      </c>
      <c r="V2456" s="77">
        <v>155</v>
      </c>
      <c r="W2456" s="80" t="s">
        <v>7445</v>
      </c>
      <c r="X2456" s="77"/>
      <c r="Y2456" s="77"/>
      <c r="Z2456" s="77"/>
      <c r="AA2456" s="77" t="s">
        <v>9759</v>
      </c>
      <c r="AB2456" s="77" t="s">
        <v>10535</v>
      </c>
      <c r="AC2456" s="80" t="s">
        <v>10541</v>
      </c>
      <c r="AD2456" s="77" t="s">
        <v>10617</v>
      </c>
      <c r="AE2456" s="83" t="str">
        <f>HYPERLINK("https://twitter.com/glaucojarzinski/status/1693602983387213848")</f>
        <v>https://twitter.com/glaucojarzinski/status/1693602983387213848</v>
      </c>
      <c r="AF2456" s="79">
        <v>45159.525358796294</v>
      </c>
      <c r="AG2456" s="85">
        <v>45159</v>
      </c>
      <c r="AH2456" s="80" t="s">
        <v>12782</v>
      </c>
      <c r="AI2456" s="77" t="b">
        <v>0</v>
      </c>
      <c r="AJ2456" s="77"/>
      <c r="AK2456" s="77"/>
      <c r="AL2456" s="77"/>
      <c r="AM2456" s="77"/>
      <c r="AN2456" s="77"/>
      <c r="AO2456" s="77"/>
      <c r="AP2456" s="77"/>
      <c r="AQ2456" s="77" t="s">
        <v>15241</v>
      </c>
      <c r="AR2456" s="77"/>
      <c r="AS2456" s="77"/>
      <c r="AT2456" s="77"/>
      <c r="AU2456" s="77"/>
      <c r="AV2456" s="83" t="str">
        <f>HYPERLINK("https://pbs.twimg.com/media/F4Di73PWkAADDQZ.jpg")</f>
        <v>https://pbs.twimg.com/media/F4Di73PWkAADDQZ.jpg</v>
      </c>
      <c r="AW2456" s="80" t="s">
        <v>18252</v>
      </c>
      <c r="AX2456" s="80" t="s">
        <v>18252</v>
      </c>
      <c r="AY2456" s="77"/>
      <c r="AZ2456" s="80" t="s">
        <v>20380</v>
      </c>
      <c r="BA2456" s="80" t="s">
        <v>20380</v>
      </c>
      <c r="BB2456" s="80" t="s">
        <v>20380</v>
      </c>
      <c r="BC2456" s="80" t="s">
        <v>18252</v>
      </c>
      <c r="BD2456" s="77">
        <v>93754487</v>
      </c>
      <c r="BE2456" s="77"/>
      <c r="BF2456" s="77"/>
      <c r="BG2456" s="77"/>
      <c r="BH2456" s="77"/>
      <c r="BI2456" s="77"/>
    </row>
    <row r="2457" spans="1:61" x14ac:dyDescent="0.25">
      <c r="A2457" s="62" t="s">
        <v>1013</v>
      </c>
      <c r="B2457" s="62" t="s">
        <v>1013</v>
      </c>
      <c r="C2457" s="63"/>
      <c r="D2457" s="64"/>
      <c r="E2457" s="65"/>
      <c r="F2457" s="66"/>
      <c r="G2457" s="63"/>
      <c r="H2457" s="67"/>
      <c r="I2457" s="68"/>
      <c r="J2457" s="68"/>
      <c r="K2457" s="32"/>
      <c r="L2457" s="75">
        <v>2457</v>
      </c>
      <c r="M2457" s="75"/>
      <c r="N2457" s="70"/>
      <c r="O2457" s="77" t="s">
        <v>179</v>
      </c>
      <c r="P2457" s="79">
        <v>45103.519849537035</v>
      </c>
      <c r="Q2457" s="77" t="s">
        <v>4252</v>
      </c>
      <c r="R2457" s="77">
        <v>0</v>
      </c>
      <c r="S2457" s="77">
        <v>0</v>
      </c>
      <c r="T2457" s="77">
        <v>0</v>
      </c>
      <c r="U2457" s="77">
        <v>0</v>
      </c>
      <c r="V2457" s="77">
        <v>173</v>
      </c>
      <c r="W2457" s="80" t="s">
        <v>7445</v>
      </c>
      <c r="X2457" s="77"/>
      <c r="Y2457" s="77"/>
      <c r="Z2457" s="77"/>
      <c r="AA2457" s="77" t="s">
        <v>9760</v>
      </c>
      <c r="AB2457" s="77" t="s">
        <v>10535</v>
      </c>
      <c r="AC2457" s="80" t="s">
        <v>10541</v>
      </c>
      <c r="AD2457" s="77" t="s">
        <v>10617</v>
      </c>
      <c r="AE2457" s="83" t="str">
        <f>HYPERLINK("https://twitter.com/glaucojarzinski/status/1673307266605367297")</f>
        <v>https://twitter.com/glaucojarzinski/status/1673307266605367297</v>
      </c>
      <c r="AF2457" s="79">
        <v>45103.519849537035</v>
      </c>
      <c r="AG2457" s="85">
        <v>45103</v>
      </c>
      <c r="AH2457" s="80" t="s">
        <v>12783</v>
      </c>
      <c r="AI2457" s="77" t="b">
        <v>0</v>
      </c>
      <c r="AJ2457" s="77"/>
      <c r="AK2457" s="77"/>
      <c r="AL2457" s="77"/>
      <c r="AM2457" s="77"/>
      <c r="AN2457" s="77"/>
      <c r="AO2457" s="77"/>
      <c r="AP2457" s="77"/>
      <c r="AQ2457" s="77" t="s">
        <v>15242</v>
      </c>
      <c r="AR2457" s="77"/>
      <c r="AS2457" s="77"/>
      <c r="AT2457" s="77"/>
      <c r="AU2457" s="77"/>
      <c r="AV2457" s="83" t="str">
        <f>HYPERLINK("https://pbs.twimg.com/media/FzjIFd3WYAEj4-f.jpg")</f>
        <v>https://pbs.twimg.com/media/FzjIFd3WYAEj4-f.jpg</v>
      </c>
      <c r="AW2457" s="80" t="s">
        <v>18253</v>
      </c>
      <c r="AX2457" s="80" t="s">
        <v>18253</v>
      </c>
      <c r="AY2457" s="77"/>
      <c r="AZ2457" s="80" t="s">
        <v>20380</v>
      </c>
      <c r="BA2457" s="80" t="s">
        <v>20380</v>
      </c>
      <c r="BB2457" s="80" t="s">
        <v>20380</v>
      </c>
      <c r="BC2457" s="80" t="s">
        <v>18253</v>
      </c>
      <c r="BD2457" s="77">
        <v>93754487</v>
      </c>
      <c r="BE2457" s="77"/>
      <c r="BF2457" s="77"/>
      <c r="BG2457" s="77"/>
      <c r="BH2457" s="77"/>
      <c r="BI2457" s="77"/>
    </row>
    <row r="2458" spans="1:61" x14ac:dyDescent="0.25">
      <c r="A2458" s="62" t="s">
        <v>1013</v>
      </c>
      <c r="B2458" s="62" t="s">
        <v>1013</v>
      </c>
      <c r="C2458" s="63"/>
      <c r="D2458" s="64"/>
      <c r="E2458" s="65"/>
      <c r="F2458" s="66"/>
      <c r="G2458" s="63"/>
      <c r="H2458" s="67"/>
      <c r="I2458" s="68"/>
      <c r="J2458" s="68"/>
      <c r="K2458" s="32"/>
      <c r="L2458" s="75">
        <v>2458</v>
      </c>
      <c r="M2458" s="75"/>
      <c r="N2458" s="70"/>
      <c r="O2458" s="77" t="s">
        <v>179</v>
      </c>
      <c r="P2458" s="79">
        <v>45054.53162037037</v>
      </c>
      <c r="Q2458" s="77" t="s">
        <v>4253</v>
      </c>
      <c r="R2458" s="77">
        <v>0</v>
      </c>
      <c r="S2458" s="77">
        <v>0</v>
      </c>
      <c r="T2458" s="77">
        <v>1</v>
      </c>
      <c r="U2458" s="77">
        <v>0</v>
      </c>
      <c r="V2458" s="77">
        <v>74</v>
      </c>
      <c r="W2458" s="80" t="s">
        <v>7445</v>
      </c>
      <c r="X2458" s="77"/>
      <c r="Y2458" s="77"/>
      <c r="Z2458" s="77"/>
      <c r="AA2458" s="77" t="s">
        <v>9761</v>
      </c>
      <c r="AB2458" s="77" t="s">
        <v>10535</v>
      </c>
      <c r="AC2458" s="80" t="s">
        <v>10541</v>
      </c>
      <c r="AD2458" s="77" t="s">
        <v>10617</v>
      </c>
      <c r="AE2458" s="83" t="str">
        <f>HYPERLINK("https://twitter.com/glaucojarzinski/status/1655554526949113859")</f>
        <v>https://twitter.com/glaucojarzinski/status/1655554526949113859</v>
      </c>
      <c r="AF2458" s="79">
        <v>45054.53162037037</v>
      </c>
      <c r="AG2458" s="85">
        <v>45054</v>
      </c>
      <c r="AH2458" s="80" t="s">
        <v>12784</v>
      </c>
      <c r="AI2458" s="77" t="b">
        <v>0</v>
      </c>
      <c r="AJ2458" s="77"/>
      <c r="AK2458" s="77"/>
      <c r="AL2458" s="77"/>
      <c r="AM2458" s="77"/>
      <c r="AN2458" s="77"/>
      <c r="AO2458" s="77"/>
      <c r="AP2458" s="77"/>
      <c r="AQ2458" s="77" t="s">
        <v>15243</v>
      </c>
      <c r="AR2458" s="77"/>
      <c r="AS2458" s="77"/>
      <c r="AT2458" s="77"/>
      <c r="AU2458" s="77"/>
      <c r="AV2458" s="83" t="str">
        <f>HYPERLINK("https://pbs.twimg.com/media/Fvm2DmlWwAApxYY.jpg")</f>
        <v>https://pbs.twimg.com/media/Fvm2DmlWwAApxYY.jpg</v>
      </c>
      <c r="AW2458" s="80" t="s">
        <v>18254</v>
      </c>
      <c r="AX2458" s="80" t="s">
        <v>18254</v>
      </c>
      <c r="AY2458" s="77"/>
      <c r="AZ2458" s="80" t="s">
        <v>20380</v>
      </c>
      <c r="BA2458" s="80" t="s">
        <v>20380</v>
      </c>
      <c r="BB2458" s="80" t="s">
        <v>20380</v>
      </c>
      <c r="BC2458" s="80" t="s">
        <v>18254</v>
      </c>
      <c r="BD2458" s="77">
        <v>93754487</v>
      </c>
      <c r="BE2458" s="77"/>
      <c r="BF2458" s="77"/>
      <c r="BG2458" s="77"/>
      <c r="BH2458" s="77"/>
      <c r="BI2458" s="77"/>
    </row>
    <row r="2459" spans="1:61" x14ac:dyDescent="0.25">
      <c r="A2459" s="62" t="s">
        <v>1013</v>
      </c>
      <c r="B2459" s="62" t="s">
        <v>1013</v>
      </c>
      <c r="C2459" s="63"/>
      <c r="D2459" s="64"/>
      <c r="E2459" s="65"/>
      <c r="F2459" s="66"/>
      <c r="G2459" s="63"/>
      <c r="H2459" s="67"/>
      <c r="I2459" s="68"/>
      <c r="J2459" s="68"/>
      <c r="K2459" s="32"/>
      <c r="L2459" s="75">
        <v>2459</v>
      </c>
      <c r="M2459" s="75"/>
      <c r="N2459" s="70"/>
      <c r="O2459" s="77" t="s">
        <v>179</v>
      </c>
      <c r="P2459" s="79">
        <v>45166.557314814818</v>
      </c>
      <c r="Q2459" s="77" t="s">
        <v>4254</v>
      </c>
      <c r="R2459" s="77">
        <v>0</v>
      </c>
      <c r="S2459" s="77">
        <v>0</v>
      </c>
      <c r="T2459" s="77">
        <v>0</v>
      </c>
      <c r="U2459" s="77">
        <v>0</v>
      </c>
      <c r="V2459" s="77">
        <v>100</v>
      </c>
      <c r="W2459" s="80" t="s">
        <v>7445</v>
      </c>
      <c r="X2459" s="77"/>
      <c r="Y2459" s="77"/>
      <c r="Z2459" s="77"/>
      <c r="AA2459" s="77" t="s">
        <v>9762</v>
      </c>
      <c r="AB2459" s="77" t="s">
        <v>10535</v>
      </c>
      <c r="AC2459" s="80" t="s">
        <v>10541</v>
      </c>
      <c r="AD2459" s="77" t="s">
        <v>10617</v>
      </c>
      <c r="AE2459" s="83" t="str">
        <f>HYPERLINK("https://twitter.com/glaucojarzinski/status/1696151278127088082")</f>
        <v>https://twitter.com/glaucojarzinski/status/1696151278127088082</v>
      </c>
      <c r="AF2459" s="79">
        <v>45166.557314814818</v>
      </c>
      <c r="AG2459" s="85">
        <v>45166</v>
      </c>
      <c r="AH2459" s="80" t="s">
        <v>12785</v>
      </c>
      <c r="AI2459" s="77" t="b">
        <v>0</v>
      </c>
      <c r="AJ2459" s="77"/>
      <c r="AK2459" s="77"/>
      <c r="AL2459" s="77"/>
      <c r="AM2459" s="77"/>
      <c r="AN2459" s="77"/>
      <c r="AO2459" s="77"/>
      <c r="AP2459" s="77"/>
      <c r="AQ2459" s="77" t="s">
        <v>15244</v>
      </c>
      <c r="AR2459" s="77"/>
      <c r="AS2459" s="77"/>
      <c r="AT2459" s="77"/>
      <c r="AU2459" s="77"/>
      <c r="AV2459" s="83" t="str">
        <f>HYPERLINK("https://pbs.twimg.com/media/F4nwfxnWoAAQLeW.jpg")</f>
        <v>https://pbs.twimg.com/media/F4nwfxnWoAAQLeW.jpg</v>
      </c>
      <c r="AW2459" s="80" t="s">
        <v>18255</v>
      </c>
      <c r="AX2459" s="80" t="s">
        <v>18255</v>
      </c>
      <c r="AY2459" s="77"/>
      <c r="AZ2459" s="80" t="s">
        <v>20380</v>
      </c>
      <c r="BA2459" s="80" t="s">
        <v>20380</v>
      </c>
      <c r="BB2459" s="80" t="s">
        <v>20380</v>
      </c>
      <c r="BC2459" s="80" t="s">
        <v>18255</v>
      </c>
      <c r="BD2459" s="77">
        <v>93754487</v>
      </c>
      <c r="BE2459" s="77"/>
      <c r="BF2459" s="77"/>
      <c r="BG2459" s="77"/>
      <c r="BH2459" s="77"/>
      <c r="BI2459" s="77"/>
    </row>
    <row r="2460" spans="1:61" x14ac:dyDescent="0.25">
      <c r="A2460" s="62" t="s">
        <v>1013</v>
      </c>
      <c r="B2460" s="62" t="s">
        <v>1013</v>
      </c>
      <c r="C2460" s="63"/>
      <c r="D2460" s="64"/>
      <c r="E2460" s="65"/>
      <c r="F2460" s="66"/>
      <c r="G2460" s="63"/>
      <c r="H2460" s="67"/>
      <c r="I2460" s="68"/>
      <c r="J2460" s="68"/>
      <c r="K2460" s="32"/>
      <c r="L2460" s="75">
        <v>2460</v>
      </c>
      <c r="M2460" s="75"/>
      <c r="N2460" s="70"/>
      <c r="O2460" s="77" t="s">
        <v>179</v>
      </c>
      <c r="P2460" s="79">
        <v>45068.537129629629</v>
      </c>
      <c r="Q2460" s="77" t="s">
        <v>4255</v>
      </c>
      <c r="R2460" s="77">
        <v>0</v>
      </c>
      <c r="S2460" s="77">
        <v>0</v>
      </c>
      <c r="T2460" s="77">
        <v>0</v>
      </c>
      <c r="U2460" s="77">
        <v>0</v>
      </c>
      <c r="V2460" s="77">
        <v>73</v>
      </c>
      <c r="W2460" s="80" t="s">
        <v>7445</v>
      </c>
      <c r="X2460" s="77"/>
      <c r="Y2460" s="77"/>
      <c r="Z2460" s="77"/>
      <c r="AA2460" s="77" t="s">
        <v>9763</v>
      </c>
      <c r="AB2460" s="77" t="s">
        <v>10535</v>
      </c>
      <c r="AC2460" s="80" t="s">
        <v>10541</v>
      </c>
      <c r="AD2460" s="77" t="s">
        <v>10617</v>
      </c>
      <c r="AE2460" s="83" t="str">
        <f>HYPERLINK("https://twitter.com/glaucojarzinski/status/1660629951458975751")</f>
        <v>https://twitter.com/glaucojarzinski/status/1660629951458975751</v>
      </c>
      <c r="AF2460" s="79">
        <v>45068.537129629629</v>
      </c>
      <c r="AG2460" s="85">
        <v>45068</v>
      </c>
      <c r="AH2460" s="80" t="s">
        <v>12786</v>
      </c>
      <c r="AI2460" s="77" t="b">
        <v>0</v>
      </c>
      <c r="AJ2460" s="77"/>
      <c r="AK2460" s="77"/>
      <c r="AL2460" s="77"/>
      <c r="AM2460" s="77"/>
      <c r="AN2460" s="77"/>
      <c r="AO2460" s="77"/>
      <c r="AP2460" s="77"/>
      <c r="AQ2460" s="77" t="s">
        <v>15245</v>
      </c>
      <c r="AR2460" s="77"/>
      <c r="AS2460" s="77"/>
      <c r="AT2460" s="77"/>
      <c r="AU2460" s="77"/>
      <c r="AV2460" s="83" t="str">
        <f>HYPERLINK("https://pbs.twimg.com/media/Fwu-InlWYAE0a5t.jpg")</f>
        <v>https://pbs.twimg.com/media/Fwu-InlWYAE0a5t.jpg</v>
      </c>
      <c r="AW2460" s="80" t="s">
        <v>18256</v>
      </c>
      <c r="AX2460" s="80" t="s">
        <v>18256</v>
      </c>
      <c r="AY2460" s="77"/>
      <c r="AZ2460" s="80" t="s">
        <v>20380</v>
      </c>
      <c r="BA2460" s="80" t="s">
        <v>20380</v>
      </c>
      <c r="BB2460" s="80" t="s">
        <v>20380</v>
      </c>
      <c r="BC2460" s="80" t="s">
        <v>18256</v>
      </c>
      <c r="BD2460" s="77">
        <v>93754487</v>
      </c>
      <c r="BE2460" s="77"/>
      <c r="BF2460" s="77"/>
      <c r="BG2460" s="77"/>
      <c r="BH2460" s="77"/>
      <c r="BI2460" s="77"/>
    </row>
    <row r="2461" spans="1:61" x14ac:dyDescent="0.25">
      <c r="A2461" s="62" t="s">
        <v>1013</v>
      </c>
      <c r="B2461" s="62" t="s">
        <v>1013</v>
      </c>
      <c r="C2461" s="63"/>
      <c r="D2461" s="64"/>
      <c r="E2461" s="65"/>
      <c r="F2461" s="66"/>
      <c r="G2461" s="63"/>
      <c r="H2461" s="67"/>
      <c r="I2461" s="68"/>
      <c r="J2461" s="68"/>
      <c r="K2461" s="32"/>
      <c r="L2461" s="75">
        <v>2461</v>
      </c>
      <c r="M2461" s="75"/>
      <c r="N2461" s="70"/>
      <c r="O2461" s="77" t="s">
        <v>179</v>
      </c>
      <c r="P2461" s="79">
        <v>45180.501168981478</v>
      </c>
      <c r="Q2461" s="77" t="s">
        <v>4256</v>
      </c>
      <c r="R2461" s="77">
        <v>0</v>
      </c>
      <c r="S2461" s="77">
        <v>0</v>
      </c>
      <c r="T2461" s="77">
        <v>0</v>
      </c>
      <c r="U2461" s="77">
        <v>0</v>
      </c>
      <c r="V2461" s="77">
        <v>63</v>
      </c>
      <c r="W2461" s="80" t="s">
        <v>7446</v>
      </c>
      <c r="X2461" s="77"/>
      <c r="Y2461" s="77"/>
      <c r="Z2461" s="77"/>
      <c r="AA2461" s="77" t="s">
        <v>9764</v>
      </c>
      <c r="AB2461" s="77" t="s">
        <v>10535</v>
      </c>
      <c r="AC2461" s="80" t="s">
        <v>10541</v>
      </c>
      <c r="AD2461" s="77" t="s">
        <v>10617</v>
      </c>
      <c r="AE2461" s="83" t="str">
        <f>HYPERLINK("https://twitter.com/glaucojarzinski/status/1701204363165786272")</f>
        <v>https://twitter.com/glaucojarzinski/status/1701204363165786272</v>
      </c>
      <c r="AF2461" s="79">
        <v>45180.501168981478</v>
      </c>
      <c r="AG2461" s="85">
        <v>45180</v>
      </c>
      <c r="AH2461" s="80" t="s">
        <v>12787</v>
      </c>
      <c r="AI2461" s="77" t="b">
        <v>0</v>
      </c>
      <c r="AJ2461" s="77"/>
      <c r="AK2461" s="77"/>
      <c r="AL2461" s="77"/>
      <c r="AM2461" s="77"/>
      <c r="AN2461" s="77"/>
      <c r="AO2461" s="77"/>
      <c r="AP2461" s="77"/>
      <c r="AQ2461" s="77" t="s">
        <v>15246</v>
      </c>
      <c r="AR2461" s="77"/>
      <c r="AS2461" s="77"/>
      <c r="AT2461" s="77"/>
      <c r="AU2461" s="77"/>
      <c r="AV2461" s="83" t="str">
        <f>HYPERLINK("https://pbs.twimg.com/media/F5vkWYqWwAAKukA.jpg")</f>
        <v>https://pbs.twimg.com/media/F5vkWYqWwAAKukA.jpg</v>
      </c>
      <c r="AW2461" s="80" t="s">
        <v>18257</v>
      </c>
      <c r="AX2461" s="80" t="s">
        <v>18257</v>
      </c>
      <c r="AY2461" s="77"/>
      <c r="AZ2461" s="80" t="s">
        <v>20380</v>
      </c>
      <c r="BA2461" s="80" t="s">
        <v>20380</v>
      </c>
      <c r="BB2461" s="80" t="s">
        <v>20380</v>
      </c>
      <c r="BC2461" s="80" t="s">
        <v>18257</v>
      </c>
      <c r="BD2461" s="77">
        <v>93754487</v>
      </c>
      <c r="BE2461" s="77"/>
      <c r="BF2461" s="77"/>
      <c r="BG2461" s="77"/>
      <c r="BH2461" s="77"/>
      <c r="BI2461" s="77"/>
    </row>
    <row r="2462" spans="1:61" x14ac:dyDescent="0.25">
      <c r="A2462" s="62" t="s">
        <v>1013</v>
      </c>
      <c r="B2462" s="62" t="s">
        <v>1013</v>
      </c>
      <c r="C2462" s="63"/>
      <c r="D2462" s="64"/>
      <c r="E2462" s="65"/>
      <c r="F2462" s="66"/>
      <c r="G2462" s="63"/>
      <c r="H2462" s="67"/>
      <c r="I2462" s="68"/>
      <c r="J2462" s="68"/>
      <c r="K2462" s="32"/>
      <c r="L2462" s="75">
        <v>2462</v>
      </c>
      <c r="M2462" s="75"/>
      <c r="N2462" s="70"/>
      <c r="O2462" s="77" t="s">
        <v>179</v>
      </c>
      <c r="P2462" s="79">
        <v>45173.514537037037</v>
      </c>
      <c r="Q2462" s="77" t="s">
        <v>4257</v>
      </c>
      <c r="R2462" s="77">
        <v>0</v>
      </c>
      <c r="S2462" s="77">
        <v>0</v>
      </c>
      <c r="T2462" s="77">
        <v>0</v>
      </c>
      <c r="U2462" s="77">
        <v>0</v>
      </c>
      <c r="V2462" s="77">
        <v>86</v>
      </c>
      <c r="W2462" s="80" t="s">
        <v>7445</v>
      </c>
      <c r="X2462" s="77"/>
      <c r="Y2462" s="77"/>
      <c r="Z2462" s="77"/>
      <c r="AA2462" s="77" t="s">
        <v>9765</v>
      </c>
      <c r="AB2462" s="77" t="s">
        <v>10535</v>
      </c>
      <c r="AC2462" s="80" t="s">
        <v>10541</v>
      </c>
      <c r="AD2462" s="77" t="s">
        <v>10617</v>
      </c>
      <c r="AE2462" s="83" t="str">
        <f>HYPERLINK("https://twitter.com/glaucojarzinski/status/1698672492393431144")</f>
        <v>https://twitter.com/glaucojarzinski/status/1698672492393431144</v>
      </c>
      <c r="AF2462" s="79">
        <v>45173.514537037037</v>
      </c>
      <c r="AG2462" s="85">
        <v>45173</v>
      </c>
      <c r="AH2462" s="80" t="s">
        <v>12788</v>
      </c>
      <c r="AI2462" s="77" t="b">
        <v>0</v>
      </c>
      <c r="AJ2462" s="77"/>
      <c r="AK2462" s="77"/>
      <c r="AL2462" s="77"/>
      <c r="AM2462" s="77"/>
      <c r="AN2462" s="77"/>
      <c r="AO2462" s="77"/>
      <c r="AP2462" s="77"/>
      <c r="AQ2462" s="77" t="s">
        <v>15247</v>
      </c>
      <c r="AR2462" s="77"/>
      <c r="AS2462" s="77"/>
      <c r="AT2462" s="77"/>
      <c r="AU2462" s="77"/>
      <c r="AV2462" s="83" t="str">
        <f>HYPERLINK("https://pbs.twimg.com/media/F5Lln7iWYAA91IC.jpg")</f>
        <v>https://pbs.twimg.com/media/F5Lln7iWYAA91IC.jpg</v>
      </c>
      <c r="AW2462" s="80" t="s">
        <v>18258</v>
      </c>
      <c r="AX2462" s="80" t="s">
        <v>18258</v>
      </c>
      <c r="AY2462" s="77"/>
      <c r="AZ2462" s="80" t="s">
        <v>20380</v>
      </c>
      <c r="BA2462" s="80" t="s">
        <v>20380</v>
      </c>
      <c r="BB2462" s="80" t="s">
        <v>20380</v>
      </c>
      <c r="BC2462" s="80" t="s">
        <v>18258</v>
      </c>
      <c r="BD2462" s="77">
        <v>93754487</v>
      </c>
      <c r="BE2462" s="77"/>
      <c r="BF2462" s="77"/>
      <c r="BG2462" s="77"/>
      <c r="BH2462" s="77"/>
      <c r="BI2462" s="77"/>
    </row>
    <row r="2463" spans="1:61" x14ac:dyDescent="0.25">
      <c r="A2463" s="62" t="s">
        <v>1013</v>
      </c>
      <c r="B2463" s="62" t="s">
        <v>1013</v>
      </c>
      <c r="C2463" s="63"/>
      <c r="D2463" s="64"/>
      <c r="E2463" s="65"/>
      <c r="F2463" s="66"/>
      <c r="G2463" s="63"/>
      <c r="H2463" s="67"/>
      <c r="I2463" s="68"/>
      <c r="J2463" s="68"/>
      <c r="K2463" s="32"/>
      <c r="L2463" s="75">
        <v>2463</v>
      </c>
      <c r="M2463" s="75"/>
      <c r="N2463" s="70"/>
      <c r="O2463" s="77" t="s">
        <v>179</v>
      </c>
      <c r="P2463" s="79">
        <v>45099.534479166665</v>
      </c>
      <c r="Q2463" s="77" t="s">
        <v>4258</v>
      </c>
      <c r="R2463" s="77">
        <v>0</v>
      </c>
      <c r="S2463" s="77">
        <v>0</v>
      </c>
      <c r="T2463" s="77">
        <v>0</v>
      </c>
      <c r="U2463" s="77">
        <v>0</v>
      </c>
      <c r="V2463" s="77">
        <v>9</v>
      </c>
      <c r="W2463" s="80" t="s">
        <v>7447</v>
      </c>
      <c r="X2463" s="83" t="str">
        <f>HYPERLINK("https://oespecialista.com.br/mercado-repercute-tom-hawkish-do-copom-nesta-quinta-feira/")</f>
        <v>https://oespecialista.com.br/mercado-repercute-tom-hawkish-do-copom-nesta-quinta-feira/</v>
      </c>
      <c r="Y2463" s="77" t="s">
        <v>8611</v>
      </c>
      <c r="Z2463" s="77"/>
      <c r="AA2463" s="77"/>
      <c r="AB2463" s="77"/>
      <c r="AC2463" s="80" t="s">
        <v>10541</v>
      </c>
      <c r="AD2463" s="77" t="s">
        <v>10617</v>
      </c>
      <c r="AE2463" s="83" t="str">
        <f>HYPERLINK("https://twitter.com/glaucojarzinski/status/1671863016680243200")</f>
        <v>https://twitter.com/glaucojarzinski/status/1671863016680243200</v>
      </c>
      <c r="AF2463" s="79">
        <v>45099.534479166665</v>
      </c>
      <c r="AG2463" s="85">
        <v>45099</v>
      </c>
      <c r="AH2463" s="80" t="s">
        <v>12789</v>
      </c>
      <c r="AI2463" s="77" t="b">
        <v>0</v>
      </c>
      <c r="AJ2463" s="77"/>
      <c r="AK2463" s="77"/>
      <c r="AL2463" s="77"/>
      <c r="AM2463" s="77"/>
      <c r="AN2463" s="77"/>
      <c r="AO2463" s="77"/>
      <c r="AP2463" s="77"/>
      <c r="AQ2463" s="77"/>
      <c r="AR2463" s="77"/>
      <c r="AS2463" s="77"/>
      <c r="AT2463" s="77"/>
      <c r="AU2463" s="77"/>
      <c r="AV2463" s="83" t="str">
        <f>HYPERLINK("https://pbs.twimg.com/profile_images/1601221671033229317/vdk9I2tD_normal.jpg")</f>
        <v>https://pbs.twimg.com/profile_images/1601221671033229317/vdk9I2tD_normal.jpg</v>
      </c>
      <c r="AW2463" s="80" t="s">
        <v>18259</v>
      </c>
      <c r="AX2463" s="80" t="s">
        <v>18259</v>
      </c>
      <c r="AY2463" s="77"/>
      <c r="AZ2463" s="80" t="s">
        <v>20380</v>
      </c>
      <c r="BA2463" s="80" t="s">
        <v>20380</v>
      </c>
      <c r="BB2463" s="80" t="s">
        <v>20380</v>
      </c>
      <c r="BC2463" s="80" t="s">
        <v>18259</v>
      </c>
      <c r="BD2463" s="77">
        <v>93754487</v>
      </c>
      <c r="BE2463" s="77"/>
      <c r="BF2463" s="77"/>
      <c r="BG2463" s="77"/>
      <c r="BH2463" s="77"/>
      <c r="BI2463" s="77"/>
    </row>
    <row r="2464" spans="1:61" x14ac:dyDescent="0.25">
      <c r="A2464" s="62" t="s">
        <v>1013</v>
      </c>
      <c r="B2464" s="62" t="s">
        <v>1013</v>
      </c>
      <c r="C2464" s="63"/>
      <c r="D2464" s="64"/>
      <c r="E2464" s="65"/>
      <c r="F2464" s="66"/>
      <c r="G2464" s="63"/>
      <c r="H2464" s="67"/>
      <c r="I2464" s="68"/>
      <c r="J2464" s="68"/>
      <c r="K2464" s="32"/>
      <c r="L2464" s="75">
        <v>2464</v>
      </c>
      <c r="M2464" s="75"/>
      <c r="N2464" s="70"/>
      <c r="O2464" s="77" t="s">
        <v>179</v>
      </c>
      <c r="P2464" s="79">
        <v>45187.528506944444</v>
      </c>
      <c r="Q2464" s="77" t="s">
        <v>4259</v>
      </c>
      <c r="R2464" s="77">
        <v>0</v>
      </c>
      <c r="S2464" s="77">
        <v>0</v>
      </c>
      <c r="T2464" s="77">
        <v>0</v>
      </c>
      <c r="U2464" s="77">
        <v>0</v>
      </c>
      <c r="V2464" s="77">
        <v>166</v>
      </c>
      <c r="W2464" s="80" t="s">
        <v>7445</v>
      </c>
      <c r="X2464" s="77"/>
      <c r="Y2464" s="77"/>
      <c r="Z2464" s="77"/>
      <c r="AA2464" s="77" t="s">
        <v>9766</v>
      </c>
      <c r="AB2464" s="77" t="s">
        <v>10535</v>
      </c>
      <c r="AC2464" s="80" t="s">
        <v>10541</v>
      </c>
      <c r="AD2464" s="77" t="s">
        <v>10617</v>
      </c>
      <c r="AE2464" s="83" t="str">
        <f>HYPERLINK("https://twitter.com/glaucojarzinski/status/1703750984084623626")</f>
        <v>https://twitter.com/glaucojarzinski/status/1703750984084623626</v>
      </c>
      <c r="AF2464" s="79">
        <v>45187.528506944444</v>
      </c>
      <c r="AG2464" s="85">
        <v>45187</v>
      </c>
      <c r="AH2464" s="80" t="s">
        <v>12790</v>
      </c>
      <c r="AI2464" s="77" t="b">
        <v>0</v>
      </c>
      <c r="AJ2464" s="77"/>
      <c r="AK2464" s="77"/>
      <c r="AL2464" s="77"/>
      <c r="AM2464" s="77"/>
      <c r="AN2464" s="77"/>
      <c r="AO2464" s="77"/>
      <c r="AP2464" s="77"/>
      <c r="AQ2464" s="77" t="s">
        <v>15248</v>
      </c>
      <c r="AR2464" s="77"/>
      <c r="AS2464" s="77"/>
      <c r="AT2464" s="77"/>
      <c r="AU2464" s="77"/>
      <c r="AV2464" s="83" t="str">
        <f>HYPERLINK("https://pbs.twimg.com/media/F6TwfOjXkAA5kae.jpg")</f>
        <v>https://pbs.twimg.com/media/F6TwfOjXkAA5kae.jpg</v>
      </c>
      <c r="AW2464" s="80" t="s">
        <v>18260</v>
      </c>
      <c r="AX2464" s="80" t="s">
        <v>18260</v>
      </c>
      <c r="AY2464" s="77"/>
      <c r="AZ2464" s="80" t="s">
        <v>20380</v>
      </c>
      <c r="BA2464" s="80" t="s">
        <v>20380</v>
      </c>
      <c r="BB2464" s="80" t="s">
        <v>20380</v>
      </c>
      <c r="BC2464" s="80" t="s">
        <v>18260</v>
      </c>
      <c r="BD2464" s="77">
        <v>93754487</v>
      </c>
      <c r="BE2464" s="77"/>
      <c r="BF2464" s="77"/>
      <c r="BG2464" s="77"/>
      <c r="BH2464" s="77"/>
      <c r="BI2464" s="77"/>
    </row>
    <row r="2465" spans="1:61" x14ac:dyDescent="0.25">
      <c r="A2465" s="62" t="s">
        <v>1013</v>
      </c>
      <c r="B2465" s="62" t="s">
        <v>1013</v>
      </c>
      <c r="C2465" s="63"/>
      <c r="D2465" s="64"/>
      <c r="E2465" s="65"/>
      <c r="F2465" s="66"/>
      <c r="G2465" s="63"/>
      <c r="H2465" s="67"/>
      <c r="I2465" s="68"/>
      <c r="J2465" s="68"/>
      <c r="K2465" s="32"/>
      <c r="L2465" s="75">
        <v>2465</v>
      </c>
      <c r="M2465" s="75"/>
      <c r="N2465" s="70"/>
      <c r="O2465" s="77" t="s">
        <v>179</v>
      </c>
      <c r="P2465" s="79">
        <v>45138.549722222226</v>
      </c>
      <c r="Q2465" s="77" t="s">
        <v>4260</v>
      </c>
      <c r="R2465" s="77">
        <v>0</v>
      </c>
      <c r="S2465" s="77">
        <v>0</v>
      </c>
      <c r="T2465" s="77">
        <v>0</v>
      </c>
      <c r="U2465" s="77">
        <v>0</v>
      </c>
      <c r="V2465" s="77">
        <v>148</v>
      </c>
      <c r="W2465" s="80" t="s">
        <v>7445</v>
      </c>
      <c r="X2465" s="77"/>
      <c r="Y2465" s="77"/>
      <c r="Z2465" s="77"/>
      <c r="AA2465" s="77" t="s">
        <v>9767</v>
      </c>
      <c r="AB2465" s="77" t="s">
        <v>10535</v>
      </c>
      <c r="AC2465" s="80" t="s">
        <v>10541</v>
      </c>
      <c r="AD2465" s="77" t="s">
        <v>10617</v>
      </c>
      <c r="AE2465" s="83" t="str">
        <f>HYPERLINK("https://twitter.com/glaucojarzinski/status/1686001667295117312")</f>
        <v>https://twitter.com/glaucojarzinski/status/1686001667295117312</v>
      </c>
      <c r="AF2465" s="79">
        <v>45138.549722222226</v>
      </c>
      <c r="AG2465" s="85">
        <v>45138</v>
      </c>
      <c r="AH2465" s="80" t="s">
        <v>12791</v>
      </c>
      <c r="AI2465" s="77" t="b">
        <v>0</v>
      </c>
      <c r="AJ2465" s="77"/>
      <c r="AK2465" s="77"/>
      <c r="AL2465" s="77"/>
      <c r="AM2465" s="77"/>
      <c r="AN2465" s="77"/>
      <c r="AO2465" s="77"/>
      <c r="AP2465" s="77"/>
      <c r="AQ2465" s="77" t="s">
        <v>15249</v>
      </c>
      <c r="AR2465" s="77"/>
      <c r="AS2465" s="77"/>
      <c r="AT2465" s="77"/>
      <c r="AU2465" s="77"/>
      <c r="AV2465" s="83" t="str">
        <f>HYPERLINK("https://pbs.twimg.com/media/F2XhlDzXkAANloY.jpg")</f>
        <v>https://pbs.twimg.com/media/F2XhlDzXkAANloY.jpg</v>
      </c>
      <c r="AW2465" s="80" t="s">
        <v>18261</v>
      </c>
      <c r="AX2465" s="80" t="s">
        <v>18261</v>
      </c>
      <c r="AY2465" s="77"/>
      <c r="AZ2465" s="80" t="s">
        <v>20380</v>
      </c>
      <c r="BA2465" s="80" t="s">
        <v>20380</v>
      </c>
      <c r="BB2465" s="80" t="s">
        <v>20380</v>
      </c>
      <c r="BC2465" s="80" t="s">
        <v>18261</v>
      </c>
      <c r="BD2465" s="77">
        <v>93754487</v>
      </c>
      <c r="BE2465" s="77"/>
      <c r="BF2465" s="77"/>
      <c r="BG2465" s="77"/>
      <c r="BH2465" s="77"/>
      <c r="BI2465" s="77"/>
    </row>
    <row r="2466" spans="1:61" x14ac:dyDescent="0.25">
      <c r="A2466" s="62" t="s">
        <v>1013</v>
      </c>
      <c r="B2466" s="62" t="s">
        <v>1013</v>
      </c>
      <c r="C2466" s="63"/>
      <c r="D2466" s="64"/>
      <c r="E2466" s="65"/>
      <c r="F2466" s="66"/>
      <c r="G2466" s="63"/>
      <c r="H2466" s="67"/>
      <c r="I2466" s="68"/>
      <c r="J2466" s="68"/>
      <c r="K2466" s="32"/>
      <c r="L2466" s="75">
        <v>2466</v>
      </c>
      <c r="M2466" s="75"/>
      <c r="N2466" s="70"/>
      <c r="O2466" s="77" t="s">
        <v>179</v>
      </c>
      <c r="P2466" s="79">
        <v>45112.537766203706</v>
      </c>
      <c r="Q2466" s="77" t="s">
        <v>4261</v>
      </c>
      <c r="R2466" s="77">
        <v>0</v>
      </c>
      <c r="S2466" s="77">
        <v>0</v>
      </c>
      <c r="T2466" s="77">
        <v>0</v>
      </c>
      <c r="U2466" s="77">
        <v>0</v>
      </c>
      <c r="V2466" s="77">
        <v>30</v>
      </c>
      <c r="W2466" s="80" t="s">
        <v>7448</v>
      </c>
      <c r="X2466" s="83" t="str">
        <f>HYPERLINK("https://oespecialista.com.br/senado-aprova-gabriel-galipolo-para-a-diretoria-do-banco-central/")</f>
        <v>https://oespecialista.com.br/senado-aprova-gabriel-galipolo-para-a-diretoria-do-banco-central/</v>
      </c>
      <c r="Y2466" s="77" t="s">
        <v>8611</v>
      </c>
      <c r="Z2466" s="77"/>
      <c r="AA2466" s="77"/>
      <c r="AB2466" s="77"/>
      <c r="AC2466" s="80" t="s">
        <v>10541</v>
      </c>
      <c r="AD2466" s="77" t="s">
        <v>10617</v>
      </c>
      <c r="AE2466" s="83" t="str">
        <f>HYPERLINK("https://twitter.com/glaucojarzinski/status/1676575249284857857")</f>
        <v>https://twitter.com/glaucojarzinski/status/1676575249284857857</v>
      </c>
      <c r="AF2466" s="79">
        <v>45112.537766203706</v>
      </c>
      <c r="AG2466" s="85">
        <v>45112</v>
      </c>
      <c r="AH2466" s="80" t="s">
        <v>12792</v>
      </c>
      <c r="AI2466" s="77" t="b">
        <v>0</v>
      </c>
      <c r="AJ2466" s="77"/>
      <c r="AK2466" s="77"/>
      <c r="AL2466" s="77"/>
      <c r="AM2466" s="77"/>
      <c r="AN2466" s="77"/>
      <c r="AO2466" s="77"/>
      <c r="AP2466" s="77"/>
      <c r="AQ2466" s="77"/>
      <c r="AR2466" s="77"/>
      <c r="AS2466" s="77"/>
      <c r="AT2466" s="77"/>
      <c r="AU2466" s="77"/>
      <c r="AV2466" s="83" t="str">
        <f>HYPERLINK("https://pbs.twimg.com/profile_images/1601221671033229317/vdk9I2tD_normal.jpg")</f>
        <v>https://pbs.twimg.com/profile_images/1601221671033229317/vdk9I2tD_normal.jpg</v>
      </c>
      <c r="AW2466" s="80" t="s">
        <v>18262</v>
      </c>
      <c r="AX2466" s="80" t="s">
        <v>18262</v>
      </c>
      <c r="AY2466" s="77"/>
      <c r="AZ2466" s="80" t="s">
        <v>20380</v>
      </c>
      <c r="BA2466" s="80" t="s">
        <v>20380</v>
      </c>
      <c r="BB2466" s="80" t="s">
        <v>20380</v>
      </c>
      <c r="BC2466" s="80" t="s">
        <v>18262</v>
      </c>
      <c r="BD2466" s="77">
        <v>93754487</v>
      </c>
      <c r="BE2466" s="77"/>
      <c r="BF2466" s="77"/>
      <c r="BG2466" s="77"/>
      <c r="BH2466" s="77"/>
      <c r="BI2466" s="77"/>
    </row>
    <row r="2467" spans="1:61" x14ac:dyDescent="0.25">
      <c r="A2467" s="62" t="s">
        <v>1013</v>
      </c>
      <c r="B2467" s="62" t="s">
        <v>1013</v>
      </c>
      <c r="C2467" s="63"/>
      <c r="D2467" s="64"/>
      <c r="E2467" s="65"/>
      <c r="F2467" s="66"/>
      <c r="G2467" s="63"/>
      <c r="H2467" s="67"/>
      <c r="I2467" s="68"/>
      <c r="J2467" s="68"/>
      <c r="K2467" s="32"/>
      <c r="L2467" s="75">
        <v>2467</v>
      </c>
      <c r="M2467" s="75"/>
      <c r="N2467" s="70"/>
      <c r="O2467" s="77" t="s">
        <v>179</v>
      </c>
      <c r="P2467" s="79">
        <v>45194.530532407407</v>
      </c>
      <c r="Q2467" s="77" t="s">
        <v>4262</v>
      </c>
      <c r="R2467" s="77">
        <v>0</v>
      </c>
      <c r="S2467" s="77">
        <v>0</v>
      </c>
      <c r="T2467" s="77">
        <v>0</v>
      </c>
      <c r="U2467" s="77">
        <v>0</v>
      </c>
      <c r="V2467" s="77">
        <v>58</v>
      </c>
      <c r="W2467" s="80" t="s">
        <v>7445</v>
      </c>
      <c r="X2467" s="77"/>
      <c r="Y2467" s="77"/>
      <c r="Z2467" s="77"/>
      <c r="AA2467" s="77" t="s">
        <v>9768</v>
      </c>
      <c r="AB2467" s="77" t="s">
        <v>10535</v>
      </c>
      <c r="AC2467" s="80" t="s">
        <v>10541</v>
      </c>
      <c r="AD2467" s="77" t="s">
        <v>10617</v>
      </c>
      <c r="AE2467" s="83" t="str">
        <f>HYPERLINK("https://twitter.com/glaucojarzinski/status/1706288434841567392")</f>
        <v>https://twitter.com/glaucojarzinski/status/1706288434841567392</v>
      </c>
      <c r="AF2467" s="79">
        <v>45194.530532407407</v>
      </c>
      <c r="AG2467" s="85">
        <v>45194</v>
      </c>
      <c r="AH2467" s="80" t="s">
        <v>12793</v>
      </c>
      <c r="AI2467" s="77" t="b">
        <v>0</v>
      </c>
      <c r="AJ2467" s="77"/>
      <c r="AK2467" s="77"/>
      <c r="AL2467" s="77"/>
      <c r="AM2467" s="77"/>
      <c r="AN2467" s="77"/>
      <c r="AO2467" s="77"/>
      <c r="AP2467" s="77"/>
      <c r="AQ2467" s="77" t="s">
        <v>15250</v>
      </c>
      <c r="AR2467" s="77"/>
      <c r="AS2467" s="77"/>
      <c r="AT2467" s="77"/>
      <c r="AU2467" s="77"/>
      <c r="AV2467" s="83" t="str">
        <f>HYPERLINK("https://pbs.twimg.com/media/F63z-TFXsAATFCp.jpg")</f>
        <v>https://pbs.twimg.com/media/F63z-TFXsAATFCp.jpg</v>
      </c>
      <c r="AW2467" s="80" t="s">
        <v>18263</v>
      </c>
      <c r="AX2467" s="80" t="s">
        <v>18263</v>
      </c>
      <c r="AY2467" s="77"/>
      <c r="AZ2467" s="80" t="s">
        <v>20380</v>
      </c>
      <c r="BA2467" s="80" t="s">
        <v>20380</v>
      </c>
      <c r="BB2467" s="80" t="s">
        <v>20380</v>
      </c>
      <c r="BC2467" s="80" t="s">
        <v>18263</v>
      </c>
      <c r="BD2467" s="77">
        <v>93754487</v>
      </c>
      <c r="BE2467" s="77"/>
      <c r="BF2467" s="77"/>
      <c r="BG2467" s="77"/>
      <c r="BH2467" s="77"/>
      <c r="BI2467" s="77"/>
    </row>
    <row r="2468" spans="1:61" x14ac:dyDescent="0.25">
      <c r="A2468" s="62" t="s">
        <v>1013</v>
      </c>
      <c r="B2468" s="62" t="s">
        <v>1013</v>
      </c>
      <c r="C2468" s="63"/>
      <c r="D2468" s="64"/>
      <c r="E2468" s="65"/>
      <c r="F2468" s="66"/>
      <c r="G2468" s="63"/>
      <c r="H2468" s="67"/>
      <c r="I2468" s="68"/>
      <c r="J2468" s="68"/>
      <c r="K2468" s="32"/>
      <c r="L2468" s="75">
        <v>2468</v>
      </c>
      <c r="M2468" s="75"/>
      <c r="N2468" s="70"/>
      <c r="O2468" s="77" t="s">
        <v>179</v>
      </c>
      <c r="P2468" s="79">
        <v>45110.54011574074</v>
      </c>
      <c r="Q2468" s="77" t="s">
        <v>4263</v>
      </c>
      <c r="R2468" s="77">
        <v>0</v>
      </c>
      <c r="S2468" s="77">
        <v>0</v>
      </c>
      <c r="T2468" s="77">
        <v>0</v>
      </c>
      <c r="U2468" s="77">
        <v>0</v>
      </c>
      <c r="V2468" s="77">
        <v>132</v>
      </c>
      <c r="W2468" s="80" t="s">
        <v>7445</v>
      </c>
      <c r="X2468" s="77"/>
      <c r="Y2468" s="77"/>
      <c r="Z2468" s="77"/>
      <c r="AA2468" s="77" t="s">
        <v>9769</v>
      </c>
      <c r="AB2468" s="77" t="s">
        <v>10535</v>
      </c>
      <c r="AC2468" s="80" t="s">
        <v>10541</v>
      </c>
      <c r="AD2468" s="77" t="s">
        <v>10617</v>
      </c>
      <c r="AE2468" s="83" t="str">
        <f>HYPERLINK("https://twitter.com/glaucojarzinski/status/1675851327237177345")</f>
        <v>https://twitter.com/glaucojarzinski/status/1675851327237177345</v>
      </c>
      <c r="AF2468" s="79">
        <v>45110.54011574074</v>
      </c>
      <c r="AG2468" s="85">
        <v>45110</v>
      </c>
      <c r="AH2468" s="80" t="s">
        <v>12794</v>
      </c>
      <c r="AI2468" s="77" t="b">
        <v>0</v>
      </c>
      <c r="AJ2468" s="77"/>
      <c r="AK2468" s="77"/>
      <c r="AL2468" s="77"/>
      <c r="AM2468" s="77"/>
      <c r="AN2468" s="77"/>
      <c r="AO2468" s="77"/>
      <c r="AP2468" s="77"/>
      <c r="AQ2468" s="77" t="s">
        <v>15251</v>
      </c>
      <c r="AR2468" s="77"/>
      <c r="AS2468" s="77"/>
      <c r="AT2468" s="77"/>
      <c r="AU2468" s="77"/>
      <c r="AV2468" s="83" t="str">
        <f>HYPERLINK("https://pbs.twimg.com/media/F0HR5ZkWYAABZbM.jpg")</f>
        <v>https://pbs.twimg.com/media/F0HR5ZkWYAABZbM.jpg</v>
      </c>
      <c r="AW2468" s="80" t="s">
        <v>18264</v>
      </c>
      <c r="AX2468" s="80" t="s">
        <v>18264</v>
      </c>
      <c r="AY2468" s="77"/>
      <c r="AZ2468" s="80" t="s">
        <v>20380</v>
      </c>
      <c r="BA2468" s="80" t="s">
        <v>20380</v>
      </c>
      <c r="BB2468" s="80" t="s">
        <v>20380</v>
      </c>
      <c r="BC2468" s="80" t="s">
        <v>18264</v>
      </c>
      <c r="BD2468" s="77">
        <v>93754487</v>
      </c>
      <c r="BE2468" s="77"/>
      <c r="BF2468" s="77"/>
      <c r="BG2468" s="77"/>
      <c r="BH2468" s="77"/>
      <c r="BI2468" s="77"/>
    </row>
    <row r="2469" spans="1:61" x14ac:dyDescent="0.25">
      <c r="A2469" s="62" t="s">
        <v>1013</v>
      </c>
      <c r="B2469" s="62" t="s">
        <v>1013</v>
      </c>
      <c r="C2469" s="63"/>
      <c r="D2469" s="64"/>
      <c r="E2469" s="65"/>
      <c r="F2469" s="66"/>
      <c r="G2469" s="63"/>
      <c r="H2469" s="67"/>
      <c r="I2469" s="68"/>
      <c r="J2469" s="68"/>
      <c r="K2469" s="32"/>
      <c r="L2469" s="75">
        <v>2469</v>
      </c>
      <c r="M2469" s="75"/>
      <c r="N2469" s="70"/>
      <c r="O2469" s="77" t="s">
        <v>179</v>
      </c>
      <c r="P2469" s="79">
        <v>45096.499074074076</v>
      </c>
      <c r="Q2469" s="77" t="s">
        <v>4264</v>
      </c>
      <c r="R2469" s="77">
        <v>0</v>
      </c>
      <c r="S2469" s="77">
        <v>0</v>
      </c>
      <c r="T2469" s="77">
        <v>0</v>
      </c>
      <c r="U2469" s="77">
        <v>0</v>
      </c>
      <c r="V2469" s="77">
        <v>139</v>
      </c>
      <c r="W2469" s="80" t="s">
        <v>7445</v>
      </c>
      <c r="X2469" s="77"/>
      <c r="Y2469" s="77"/>
      <c r="Z2469" s="77"/>
      <c r="AA2469" s="77" t="s">
        <v>9770</v>
      </c>
      <c r="AB2469" s="77" t="s">
        <v>10535</v>
      </c>
      <c r="AC2469" s="80" t="s">
        <v>10541</v>
      </c>
      <c r="AD2469" s="77" t="s">
        <v>10617</v>
      </c>
      <c r="AE2469" s="83" t="str">
        <f>HYPERLINK("https://twitter.com/glaucojarzinski/status/1670763024406261760")</f>
        <v>https://twitter.com/glaucojarzinski/status/1670763024406261760</v>
      </c>
      <c r="AF2469" s="79">
        <v>45096.499074074076</v>
      </c>
      <c r="AG2469" s="85">
        <v>45096</v>
      </c>
      <c r="AH2469" s="80" t="s">
        <v>12795</v>
      </c>
      <c r="AI2469" s="77" t="b">
        <v>0</v>
      </c>
      <c r="AJ2469" s="77"/>
      <c r="AK2469" s="77"/>
      <c r="AL2469" s="77"/>
      <c r="AM2469" s="77"/>
      <c r="AN2469" s="77"/>
      <c r="AO2469" s="77"/>
      <c r="AP2469" s="77"/>
      <c r="AQ2469" s="77" t="s">
        <v>15252</v>
      </c>
      <c r="AR2469" s="77"/>
      <c r="AS2469" s="77"/>
      <c r="AT2469" s="77"/>
      <c r="AU2469" s="77"/>
      <c r="AV2469" s="83" t="str">
        <f>HYPERLINK("https://pbs.twimg.com/media/Fy--HCmWAAUY07-.jpg")</f>
        <v>https://pbs.twimg.com/media/Fy--HCmWAAUY07-.jpg</v>
      </c>
      <c r="AW2469" s="80" t="s">
        <v>18265</v>
      </c>
      <c r="AX2469" s="80" t="s">
        <v>18265</v>
      </c>
      <c r="AY2469" s="77"/>
      <c r="AZ2469" s="80" t="s">
        <v>20380</v>
      </c>
      <c r="BA2469" s="80" t="s">
        <v>20380</v>
      </c>
      <c r="BB2469" s="80" t="s">
        <v>20380</v>
      </c>
      <c r="BC2469" s="80" t="s">
        <v>18265</v>
      </c>
      <c r="BD2469" s="77">
        <v>93754487</v>
      </c>
      <c r="BE2469" s="77"/>
      <c r="BF2469" s="77"/>
      <c r="BG2469" s="77"/>
      <c r="BH2469" s="77"/>
      <c r="BI2469" s="77"/>
    </row>
    <row r="2470" spans="1:61" x14ac:dyDescent="0.25">
      <c r="A2470" s="62" t="s">
        <v>1014</v>
      </c>
      <c r="B2470" s="62" t="s">
        <v>1014</v>
      </c>
      <c r="C2470" s="63"/>
      <c r="D2470" s="64"/>
      <c r="E2470" s="65"/>
      <c r="F2470" s="66"/>
      <c r="G2470" s="63"/>
      <c r="H2470" s="67"/>
      <c r="I2470" s="68"/>
      <c r="J2470" s="68"/>
      <c r="K2470" s="32"/>
      <c r="L2470" s="75">
        <v>2470</v>
      </c>
      <c r="M2470" s="75"/>
      <c r="N2470" s="70"/>
      <c r="O2470" s="77" t="s">
        <v>179</v>
      </c>
      <c r="P2470" s="79">
        <v>45061.831423611111</v>
      </c>
      <c r="Q2470" s="77" t="s">
        <v>4265</v>
      </c>
      <c r="R2470" s="77">
        <v>0</v>
      </c>
      <c r="S2470" s="77">
        <v>0</v>
      </c>
      <c r="T2470" s="77">
        <v>0</v>
      </c>
      <c r="U2470" s="77">
        <v>0</v>
      </c>
      <c r="V2470" s="77">
        <v>72</v>
      </c>
      <c r="W2470" s="80" t="s">
        <v>5884</v>
      </c>
      <c r="X2470" s="77"/>
      <c r="Y2470" s="77"/>
      <c r="Z2470" s="77"/>
      <c r="AA2470" s="77" t="s">
        <v>9771</v>
      </c>
      <c r="AB2470" s="77" t="s">
        <v>10535</v>
      </c>
      <c r="AC2470" s="80" t="s">
        <v>10541</v>
      </c>
      <c r="AD2470" s="77" t="s">
        <v>10620</v>
      </c>
      <c r="AE2470" s="83" t="str">
        <f>HYPERLINK("https://twitter.com/visionsierras/status/1658199887102484482")</f>
        <v>https://twitter.com/visionsierras/status/1658199887102484482</v>
      </c>
      <c r="AF2470" s="79">
        <v>45061.831423611111</v>
      </c>
      <c r="AG2470" s="85">
        <v>45061</v>
      </c>
      <c r="AH2470" s="80" t="s">
        <v>12796</v>
      </c>
      <c r="AI2470" s="77" t="b">
        <v>0</v>
      </c>
      <c r="AJ2470" s="77"/>
      <c r="AK2470" s="77"/>
      <c r="AL2470" s="77"/>
      <c r="AM2470" s="77"/>
      <c r="AN2470" s="77"/>
      <c r="AO2470" s="77"/>
      <c r="AP2470" s="77"/>
      <c r="AQ2470" s="77" t="s">
        <v>15253</v>
      </c>
      <c r="AR2470" s="77"/>
      <c r="AS2470" s="77"/>
      <c r="AT2470" s="77"/>
      <c r="AU2470" s="77"/>
      <c r="AV2470" s="83" t="str">
        <f>HYPERLINK("https://pbs.twimg.com/media/FwMcAWCXoAM4w5d.jpg")</f>
        <v>https://pbs.twimg.com/media/FwMcAWCXoAM4w5d.jpg</v>
      </c>
      <c r="AW2470" s="80" t="s">
        <v>18266</v>
      </c>
      <c r="AX2470" s="80" t="s">
        <v>18266</v>
      </c>
      <c r="AY2470" s="77"/>
      <c r="AZ2470" s="80" t="s">
        <v>20380</v>
      </c>
      <c r="BA2470" s="80" t="s">
        <v>20380</v>
      </c>
      <c r="BB2470" s="80" t="s">
        <v>20380</v>
      </c>
      <c r="BC2470" s="80" t="s">
        <v>18266</v>
      </c>
      <c r="BD2470" s="77">
        <v>4855626387</v>
      </c>
      <c r="BE2470" s="77"/>
      <c r="BF2470" s="77"/>
      <c r="BG2470" s="77"/>
      <c r="BH2470" s="77"/>
      <c r="BI2470" s="77"/>
    </row>
    <row r="2471" spans="1:61" x14ac:dyDescent="0.25">
      <c r="A2471" s="62" t="s">
        <v>1015</v>
      </c>
      <c r="B2471" s="62" t="s">
        <v>1655</v>
      </c>
      <c r="C2471" s="63"/>
      <c r="D2471" s="64"/>
      <c r="E2471" s="65"/>
      <c r="F2471" s="66"/>
      <c r="G2471" s="63"/>
      <c r="H2471" s="67"/>
      <c r="I2471" s="68"/>
      <c r="J2471" s="68"/>
      <c r="K2471" s="32"/>
      <c r="L2471" s="75">
        <v>2471</v>
      </c>
      <c r="M2471" s="75"/>
      <c r="N2471" s="70"/>
      <c r="O2471" s="77" t="s">
        <v>2083</v>
      </c>
      <c r="P2471" s="79">
        <v>45191.466307870367</v>
      </c>
      <c r="Q2471" s="77" t="s">
        <v>2120</v>
      </c>
      <c r="R2471" s="77">
        <v>57</v>
      </c>
      <c r="S2471" s="77">
        <v>0</v>
      </c>
      <c r="T2471" s="77">
        <v>0</v>
      </c>
      <c r="U2471" s="77">
        <v>0</v>
      </c>
      <c r="V2471" s="77"/>
      <c r="W2471" s="80" t="s">
        <v>5917</v>
      </c>
      <c r="X2471" s="77"/>
      <c r="Y2471" s="77"/>
      <c r="Z2471" s="77" t="s">
        <v>1655</v>
      </c>
      <c r="AA2471" s="77"/>
      <c r="AB2471" s="77"/>
      <c r="AC2471" s="80" t="s">
        <v>10540</v>
      </c>
      <c r="AD2471" s="77" t="s">
        <v>10617</v>
      </c>
      <c r="AE2471" s="83" t="str">
        <f>HYPERLINK("https://twitter.com/ailtonlima09/status/1705177995944607955")</f>
        <v>https://twitter.com/ailtonlima09/status/1705177995944607955</v>
      </c>
      <c r="AF2471" s="79">
        <v>45191.466307870367</v>
      </c>
      <c r="AG2471" s="85">
        <v>45191</v>
      </c>
      <c r="AH2471" s="80" t="s">
        <v>12797</v>
      </c>
      <c r="AI2471" s="77"/>
      <c r="AJ2471" s="77"/>
      <c r="AK2471" s="77"/>
      <c r="AL2471" s="77"/>
      <c r="AM2471" s="77"/>
      <c r="AN2471" s="77"/>
      <c r="AO2471" s="77"/>
      <c r="AP2471" s="77"/>
      <c r="AQ2471" s="77"/>
      <c r="AR2471" s="77"/>
      <c r="AS2471" s="77"/>
      <c r="AT2471" s="77"/>
      <c r="AU2471" s="77"/>
      <c r="AV2471" s="83" t="str">
        <f>HYPERLINK("https://pbs.twimg.com/profile_images/1646658305291440129/t1hHjbvN_normal.jpg")</f>
        <v>https://pbs.twimg.com/profile_images/1646658305291440129/t1hHjbvN_normal.jpg</v>
      </c>
      <c r="AW2471" s="80" t="s">
        <v>18267</v>
      </c>
      <c r="AX2471" s="80" t="s">
        <v>18267</v>
      </c>
      <c r="AY2471" s="77"/>
      <c r="AZ2471" s="80" t="s">
        <v>20380</v>
      </c>
      <c r="BA2471" s="80" t="s">
        <v>20380</v>
      </c>
      <c r="BB2471" s="80" t="s">
        <v>19843</v>
      </c>
      <c r="BC2471" s="80" t="s">
        <v>19843</v>
      </c>
      <c r="BD2471" s="80" t="s">
        <v>20882</v>
      </c>
      <c r="BE2471" s="77"/>
      <c r="BF2471" s="77"/>
      <c r="BG2471" s="77"/>
      <c r="BH2471" s="77"/>
      <c r="BI2471" s="77"/>
    </row>
    <row r="2472" spans="1:61" x14ac:dyDescent="0.25">
      <c r="A2472" s="62" t="s">
        <v>1016</v>
      </c>
      <c r="B2472" s="62" t="s">
        <v>1016</v>
      </c>
      <c r="C2472" s="63"/>
      <c r="D2472" s="64"/>
      <c r="E2472" s="65"/>
      <c r="F2472" s="66"/>
      <c r="G2472" s="63"/>
      <c r="H2472" s="67"/>
      <c r="I2472" s="68"/>
      <c r="J2472" s="68"/>
      <c r="K2472" s="32"/>
      <c r="L2472" s="75">
        <v>2472</v>
      </c>
      <c r="M2472" s="75"/>
      <c r="N2472" s="70"/>
      <c r="O2472" s="77" t="s">
        <v>179</v>
      </c>
      <c r="P2472" s="79">
        <v>45187.640856481485</v>
      </c>
      <c r="Q2472" s="77" t="s">
        <v>4266</v>
      </c>
      <c r="R2472" s="77">
        <v>0</v>
      </c>
      <c r="S2472" s="77">
        <v>0</v>
      </c>
      <c r="T2472" s="77">
        <v>0</v>
      </c>
      <c r="U2472" s="77">
        <v>0</v>
      </c>
      <c r="V2472" s="77">
        <v>22</v>
      </c>
      <c r="W2472" s="80" t="s">
        <v>7449</v>
      </c>
      <c r="X2472" s="77"/>
      <c r="Y2472" s="77"/>
      <c r="Z2472" s="77"/>
      <c r="AA2472" s="77"/>
      <c r="AB2472" s="77"/>
      <c r="AC2472" s="80" t="s">
        <v>10541</v>
      </c>
      <c r="AD2472" s="77" t="s">
        <v>10617</v>
      </c>
      <c r="AE2472" s="83" t="str">
        <f>HYPERLINK("https://twitter.com/zlsomosnos/status/1703791698382397687")</f>
        <v>https://twitter.com/zlsomosnos/status/1703791698382397687</v>
      </c>
      <c r="AF2472" s="79">
        <v>45187.640856481485</v>
      </c>
      <c r="AG2472" s="85">
        <v>45187</v>
      </c>
      <c r="AH2472" s="80" t="s">
        <v>12798</v>
      </c>
      <c r="AI2472" s="77"/>
      <c r="AJ2472" s="77"/>
      <c r="AK2472" s="77"/>
      <c r="AL2472" s="77"/>
      <c r="AM2472" s="77"/>
      <c r="AN2472" s="77"/>
      <c r="AO2472" s="77"/>
      <c r="AP2472" s="77"/>
      <c r="AQ2472" s="77"/>
      <c r="AR2472" s="77"/>
      <c r="AS2472" s="77"/>
      <c r="AT2472" s="77"/>
      <c r="AU2472" s="77"/>
      <c r="AV2472" s="83" t="str">
        <f>HYPERLINK("https://pbs.twimg.com/profile_images/1697759311600955392/UxO95e9w_normal.jpg")</f>
        <v>https://pbs.twimg.com/profile_images/1697759311600955392/UxO95e9w_normal.jpg</v>
      </c>
      <c r="AW2472" s="80" t="s">
        <v>18268</v>
      </c>
      <c r="AX2472" s="80" t="s">
        <v>18268</v>
      </c>
      <c r="AY2472" s="77"/>
      <c r="AZ2472" s="80" t="s">
        <v>20380</v>
      </c>
      <c r="BA2472" s="80" t="s">
        <v>20380</v>
      </c>
      <c r="BB2472" s="80" t="s">
        <v>20380</v>
      </c>
      <c r="BC2472" s="80" t="s">
        <v>18268</v>
      </c>
      <c r="BD2472" s="80" t="s">
        <v>20883</v>
      </c>
      <c r="BE2472" s="77"/>
      <c r="BF2472" s="77"/>
      <c r="BG2472" s="77"/>
      <c r="BH2472" s="77"/>
      <c r="BI2472" s="77"/>
    </row>
    <row r="2473" spans="1:61" x14ac:dyDescent="0.25">
      <c r="A2473" s="62" t="s">
        <v>1017</v>
      </c>
      <c r="B2473" s="62" t="s">
        <v>1017</v>
      </c>
      <c r="C2473" s="63"/>
      <c r="D2473" s="64"/>
      <c r="E2473" s="65"/>
      <c r="F2473" s="66"/>
      <c r="G2473" s="63"/>
      <c r="H2473" s="67"/>
      <c r="I2473" s="68"/>
      <c r="J2473" s="68"/>
      <c r="K2473" s="32"/>
      <c r="L2473" s="75">
        <v>2473</v>
      </c>
      <c r="M2473" s="75"/>
      <c r="N2473" s="70"/>
      <c r="O2473" s="77" t="s">
        <v>179</v>
      </c>
      <c r="P2473" s="79">
        <v>45139.437152777777</v>
      </c>
      <c r="Q2473" s="77" t="s">
        <v>4267</v>
      </c>
      <c r="R2473" s="77">
        <v>2</v>
      </c>
      <c r="S2473" s="77">
        <v>2</v>
      </c>
      <c r="T2473" s="77">
        <v>1</v>
      </c>
      <c r="U2473" s="77">
        <v>0</v>
      </c>
      <c r="V2473" s="77">
        <v>1446</v>
      </c>
      <c r="W2473" s="80" t="s">
        <v>7450</v>
      </c>
      <c r="X2473" s="77"/>
      <c r="Y2473" s="77"/>
      <c r="Z2473" s="77"/>
      <c r="AA2473" s="77" t="s">
        <v>9772</v>
      </c>
      <c r="AB2473" s="77" t="s">
        <v>10535</v>
      </c>
      <c r="AC2473" s="80" t="s">
        <v>10541</v>
      </c>
      <c r="AD2473" s="77" t="s">
        <v>10620</v>
      </c>
      <c r="AE2473" s="83" t="str">
        <f>HYPERLINK("https://twitter.com/cdn37/status/1686323262785998848")</f>
        <v>https://twitter.com/cdn37/status/1686323262785998848</v>
      </c>
      <c r="AF2473" s="79">
        <v>45139.437152777777</v>
      </c>
      <c r="AG2473" s="85">
        <v>45139</v>
      </c>
      <c r="AH2473" s="80" t="s">
        <v>12799</v>
      </c>
      <c r="AI2473" s="77" t="b">
        <v>0</v>
      </c>
      <c r="AJ2473" s="77"/>
      <c r="AK2473" s="77"/>
      <c r="AL2473" s="77"/>
      <c r="AM2473" s="77"/>
      <c r="AN2473" s="77"/>
      <c r="AO2473" s="77"/>
      <c r="AP2473" s="77"/>
      <c r="AQ2473" s="77" t="s">
        <v>15254</v>
      </c>
      <c r="AR2473" s="77"/>
      <c r="AS2473" s="77"/>
      <c r="AT2473" s="77"/>
      <c r="AU2473" s="77"/>
      <c r="AV2473" s="83" t="str">
        <f>HYPERLINK("https://pbs.twimg.com/media/F2cFqikWAAAL-t9.png")</f>
        <v>https://pbs.twimg.com/media/F2cFqikWAAAL-t9.png</v>
      </c>
      <c r="AW2473" s="80" t="s">
        <v>18269</v>
      </c>
      <c r="AX2473" s="80" t="s">
        <v>18269</v>
      </c>
      <c r="AY2473" s="77"/>
      <c r="AZ2473" s="80" t="s">
        <v>20380</v>
      </c>
      <c r="BA2473" s="80" t="s">
        <v>20380</v>
      </c>
      <c r="BB2473" s="80" t="s">
        <v>20380</v>
      </c>
      <c r="BC2473" s="80" t="s">
        <v>18269</v>
      </c>
      <c r="BD2473" s="77">
        <v>145802745</v>
      </c>
      <c r="BE2473" s="77"/>
      <c r="BF2473" s="77"/>
      <c r="BG2473" s="77"/>
      <c r="BH2473" s="77"/>
      <c r="BI2473" s="77"/>
    </row>
    <row r="2474" spans="1:61" x14ac:dyDescent="0.25">
      <c r="A2474" s="62" t="s">
        <v>1018</v>
      </c>
      <c r="B2474" s="62" t="s">
        <v>1018</v>
      </c>
      <c r="C2474" s="63"/>
      <c r="D2474" s="64"/>
      <c r="E2474" s="65"/>
      <c r="F2474" s="66"/>
      <c r="G2474" s="63"/>
      <c r="H2474" s="67"/>
      <c r="I2474" s="68"/>
      <c r="J2474" s="68"/>
      <c r="K2474" s="32"/>
      <c r="L2474" s="75">
        <v>2474</v>
      </c>
      <c r="M2474" s="75"/>
      <c r="N2474" s="70"/>
      <c r="O2474" s="77" t="s">
        <v>179</v>
      </c>
      <c r="P2474" s="79">
        <v>45124.655659722222</v>
      </c>
      <c r="Q2474" s="77" t="s">
        <v>4268</v>
      </c>
      <c r="R2474" s="77">
        <v>0</v>
      </c>
      <c r="S2474" s="77">
        <v>0</v>
      </c>
      <c r="T2474" s="77">
        <v>0</v>
      </c>
      <c r="U2474" s="77">
        <v>0</v>
      </c>
      <c r="V2474" s="77">
        <v>16</v>
      </c>
      <c r="W2474" s="80" t="s">
        <v>7451</v>
      </c>
      <c r="X2474" s="83" t="str">
        <f>HYPERLINK("https://www.candeiasmix.com.br/economia/74002/renegociacao-dividas-faixa-2-desenrola-brasil-comeca/")</f>
        <v>https://www.candeiasmix.com.br/economia/74002/renegociacao-dividas-faixa-2-desenrola-brasil-comeca/</v>
      </c>
      <c r="Y2474" s="77" t="s">
        <v>8611</v>
      </c>
      <c r="Z2474" s="77"/>
      <c r="AA2474" s="77" t="s">
        <v>9773</v>
      </c>
      <c r="AB2474" s="77" t="s">
        <v>10535</v>
      </c>
      <c r="AC2474" s="80" t="s">
        <v>10590</v>
      </c>
      <c r="AD2474" s="77" t="s">
        <v>10617</v>
      </c>
      <c r="AE2474" s="83" t="str">
        <f>HYPERLINK("https://twitter.com/candeiasmix/status/1680966627393765377")</f>
        <v>https://twitter.com/candeiasmix/status/1680966627393765377</v>
      </c>
      <c r="AF2474" s="79">
        <v>45124.655659722222</v>
      </c>
      <c r="AG2474" s="85">
        <v>45124</v>
      </c>
      <c r="AH2474" s="80" t="s">
        <v>12800</v>
      </c>
      <c r="AI2474" s="77" t="b">
        <v>0</v>
      </c>
      <c r="AJ2474" s="77"/>
      <c r="AK2474" s="77"/>
      <c r="AL2474" s="77"/>
      <c r="AM2474" s="77"/>
      <c r="AN2474" s="77"/>
      <c r="AO2474" s="77"/>
      <c r="AP2474" s="77"/>
      <c r="AQ2474" s="77" t="s">
        <v>15255</v>
      </c>
      <c r="AR2474" s="77"/>
      <c r="AS2474" s="77"/>
      <c r="AT2474" s="77"/>
      <c r="AU2474" s="77"/>
      <c r="AV2474" s="83" t="str">
        <f>HYPERLINK("https://pbs.twimg.com/media/F1P-PWwXsAAQyZg.jpg")</f>
        <v>https://pbs.twimg.com/media/F1P-PWwXsAAQyZg.jpg</v>
      </c>
      <c r="AW2474" s="80" t="s">
        <v>18270</v>
      </c>
      <c r="AX2474" s="80" t="s">
        <v>18270</v>
      </c>
      <c r="AY2474" s="77"/>
      <c r="AZ2474" s="80" t="s">
        <v>20380</v>
      </c>
      <c r="BA2474" s="80" t="s">
        <v>20380</v>
      </c>
      <c r="BB2474" s="80" t="s">
        <v>20380</v>
      </c>
      <c r="BC2474" s="80" t="s">
        <v>18270</v>
      </c>
      <c r="BD2474" s="77">
        <v>570093803</v>
      </c>
      <c r="BE2474" s="77"/>
      <c r="BF2474" s="77"/>
      <c r="BG2474" s="77"/>
      <c r="BH2474" s="77"/>
      <c r="BI2474" s="77"/>
    </row>
    <row r="2475" spans="1:61" x14ac:dyDescent="0.25">
      <c r="A2475" s="62" t="s">
        <v>1018</v>
      </c>
      <c r="B2475" s="62" t="s">
        <v>1018</v>
      </c>
      <c r="C2475" s="63"/>
      <c r="D2475" s="64"/>
      <c r="E2475" s="65"/>
      <c r="F2475" s="66"/>
      <c r="G2475" s="63"/>
      <c r="H2475" s="67"/>
      <c r="I2475" s="68"/>
      <c r="J2475" s="68"/>
      <c r="K2475" s="32"/>
      <c r="L2475" s="75">
        <v>2475</v>
      </c>
      <c r="M2475" s="75"/>
      <c r="N2475" s="70"/>
      <c r="O2475" s="77" t="s">
        <v>179</v>
      </c>
      <c r="P2475" s="79">
        <v>45141.622627314813</v>
      </c>
      <c r="Q2475" s="77" t="s">
        <v>4269</v>
      </c>
      <c r="R2475" s="77">
        <v>0</v>
      </c>
      <c r="S2475" s="77">
        <v>0</v>
      </c>
      <c r="T2475" s="77">
        <v>0</v>
      </c>
      <c r="U2475" s="77">
        <v>0</v>
      </c>
      <c r="V2475" s="77">
        <v>20</v>
      </c>
      <c r="W2475" s="80" t="s">
        <v>7452</v>
      </c>
      <c r="X2475" s="83" t="str">
        <f>HYPERLINK("https://www.candeiasmix.com.br/ciencia-e-tecnologia/74482/150-distritos-baianos-sinal-celular-acesso-internet/")</f>
        <v>https://www.candeiasmix.com.br/ciencia-e-tecnologia/74482/150-distritos-baianos-sinal-celular-acesso-internet/</v>
      </c>
      <c r="Y2475" s="77" t="s">
        <v>8611</v>
      </c>
      <c r="Z2475" s="77"/>
      <c r="AA2475" s="77" t="s">
        <v>9774</v>
      </c>
      <c r="AB2475" s="77" t="s">
        <v>10535</v>
      </c>
      <c r="AC2475" s="80" t="s">
        <v>10590</v>
      </c>
      <c r="AD2475" s="77" t="s">
        <v>10617</v>
      </c>
      <c r="AE2475" s="83" t="str">
        <f>HYPERLINK("https://twitter.com/candeiasmix/status/1687115248715907072")</f>
        <v>https://twitter.com/candeiasmix/status/1687115248715907072</v>
      </c>
      <c r="AF2475" s="79">
        <v>45141.622627314813</v>
      </c>
      <c r="AG2475" s="85">
        <v>45141</v>
      </c>
      <c r="AH2475" s="80" t="s">
        <v>12801</v>
      </c>
      <c r="AI2475" s="77" t="b">
        <v>0</v>
      </c>
      <c r="AJ2475" s="77"/>
      <c r="AK2475" s="77"/>
      <c r="AL2475" s="77"/>
      <c r="AM2475" s="77"/>
      <c r="AN2475" s="77"/>
      <c r="AO2475" s="77"/>
      <c r="AP2475" s="77"/>
      <c r="AQ2475" s="77" t="s">
        <v>15256</v>
      </c>
      <c r="AR2475" s="77"/>
      <c r="AS2475" s="77"/>
      <c r="AT2475" s="77"/>
      <c r="AU2475" s="77"/>
      <c r="AV2475" s="83" t="str">
        <f>HYPERLINK("https://pbs.twimg.com/media/F2nWYHKbkAAZPZl.jpg")</f>
        <v>https://pbs.twimg.com/media/F2nWYHKbkAAZPZl.jpg</v>
      </c>
      <c r="AW2475" s="80" t="s">
        <v>18271</v>
      </c>
      <c r="AX2475" s="80" t="s">
        <v>18271</v>
      </c>
      <c r="AY2475" s="77"/>
      <c r="AZ2475" s="80" t="s">
        <v>20380</v>
      </c>
      <c r="BA2475" s="80" t="s">
        <v>20380</v>
      </c>
      <c r="BB2475" s="80" t="s">
        <v>20380</v>
      </c>
      <c r="BC2475" s="80" t="s">
        <v>18271</v>
      </c>
      <c r="BD2475" s="77">
        <v>570093803</v>
      </c>
      <c r="BE2475" s="77"/>
      <c r="BF2475" s="77"/>
      <c r="BG2475" s="77"/>
      <c r="BH2475" s="77"/>
      <c r="BI2475" s="77"/>
    </row>
    <row r="2476" spans="1:61" x14ac:dyDescent="0.25">
      <c r="A2476" s="62" t="s">
        <v>1018</v>
      </c>
      <c r="B2476" s="62" t="s">
        <v>1018</v>
      </c>
      <c r="C2476" s="63"/>
      <c r="D2476" s="64"/>
      <c r="E2476" s="65"/>
      <c r="F2476" s="66"/>
      <c r="G2476" s="63"/>
      <c r="H2476" s="67"/>
      <c r="I2476" s="68"/>
      <c r="J2476" s="68"/>
      <c r="K2476" s="32"/>
      <c r="L2476" s="75">
        <v>2476</v>
      </c>
      <c r="M2476" s="75"/>
      <c r="N2476" s="70"/>
      <c r="O2476" s="77" t="s">
        <v>179</v>
      </c>
      <c r="P2476" s="79">
        <v>45161.671249999999</v>
      </c>
      <c r="Q2476" s="77" t="s">
        <v>4270</v>
      </c>
      <c r="R2476" s="77">
        <v>0</v>
      </c>
      <c r="S2476" s="77">
        <v>0</v>
      </c>
      <c r="T2476" s="77">
        <v>0</v>
      </c>
      <c r="U2476" s="77">
        <v>0</v>
      </c>
      <c r="V2476" s="77">
        <v>7</v>
      </c>
      <c r="W2476" s="80" t="s">
        <v>7453</v>
      </c>
      <c r="X2476" s="83" t="str">
        <f>HYPERLINK("https://www.candeiasmix.com.br/economia/74965/banco-central-comunica-vazamento-dados-238-chaves-pix/")</f>
        <v>https://www.candeiasmix.com.br/economia/74965/banco-central-comunica-vazamento-dados-238-chaves-pix/</v>
      </c>
      <c r="Y2476" s="77" t="s">
        <v>8611</v>
      </c>
      <c r="Z2476" s="77"/>
      <c r="AA2476" s="77" t="s">
        <v>9775</v>
      </c>
      <c r="AB2476" s="77" t="s">
        <v>10535</v>
      </c>
      <c r="AC2476" s="80" t="s">
        <v>10590</v>
      </c>
      <c r="AD2476" s="77" t="s">
        <v>10628</v>
      </c>
      <c r="AE2476" s="83" t="str">
        <f>HYPERLINK("https://twitter.com/candeiasmix/status/1694380628580446364")</f>
        <v>https://twitter.com/candeiasmix/status/1694380628580446364</v>
      </c>
      <c r="AF2476" s="79">
        <v>45161.671249999999</v>
      </c>
      <c r="AG2476" s="85">
        <v>45161</v>
      </c>
      <c r="AH2476" s="80" t="s">
        <v>12802</v>
      </c>
      <c r="AI2476" s="77" t="b">
        <v>0</v>
      </c>
      <c r="AJ2476" s="77"/>
      <c r="AK2476" s="77"/>
      <c r="AL2476" s="77"/>
      <c r="AM2476" s="77"/>
      <c r="AN2476" s="77"/>
      <c r="AO2476" s="77"/>
      <c r="AP2476" s="77"/>
      <c r="AQ2476" s="77" t="s">
        <v>15257</v>
      </c>
      <c r="AR2476" s="77"/>
      <c r="AS2476" s="77"/>
      <c r="AT2476" s="77"/>
      <c r="AU2476" s="77"/>
      <c r="AV2476" s="83" t="str">
        <f>HYPERLINK("https://pbs.twimg.com/media/F4OmM6RWEAAbGCA.jpg")</f>
        <v>https://pbs.twimg.com/media/F4OmM6RWEAAbGCA.jpg</v>
      </c>
      <c r="AW2476" s="80" t="s">
        <v>18272</v>
      </c>
      <c r="AX2476" s="80" t="s">
        <v>18272</v>
      </c>
      <c r="AY2476" s="77"/>
      <c r="AZ2476" s="80" t="s">
        <v>20380</v>
      </c>
      <c r="BA2476" s="80" t="s">
        <v>20380</v>
      </c>
      <c r="BB2476" s="80" t="s">
        <v>20380</v>
      </c>
      <c r="BC2476" s="80" t="s">
        <v>18272</v>
      </c>
      <c r="BD2476" s="77">
        <v>570093803</v>
      </c>
      <c r="BE2476" s="77"/>
      <c r="BF2476" s="77"/>
      <c r="BG2476" s="77"/>
      <c r="BH2476" s="77"/>
      <c r="BI2476" s="77"/>
    </row>
    <row r="2477" spans="1:61" x14ac:dyDescent="0.25">
      <c r="A2477" s="62" t="s">
        <v>1019</v>
      </c>
      <c r="B2477" s="62" t="s">
        <v>1019</v>
      </c>
      <c r="C2477" s="63"/>
      <c r="D2477" s="64"/>
      <c r="E2477" s="65"/>
      <c r="F2477" s="66"/>
      <c r="G2477" s="63"/>
      <c r="H2477" s="67"/>
      <c r="I2477" s="68"/>
      <c r="J2477" s="68"/>
      <c r="K2477" s="32"/>
      <c r="L2477" s="75">
        <v>2477</v>
      </c>
      <c r="M2477" s="75"/>
      <c r="N2477" s="70"/>
      <c r="O2477" s="77" t="s">
        <v>2078</v>
      </c>
      <c r="P2477" s="79">
        <v>45106.855671296296</v>
      </c>
      <c r="Q2477" s="77" t="s">
        <v>4271</v>
      </c>
      <c r="R2477" s="77">
        <v>1</v>
      </c>
      <c r="S2477" s="77">
        <v>4</v>
      </c>
      <c r="T2477" s="77">
        <v>0</v>
      </c>
      <c r="U2477" s="77">
        <v>0</v>
      </c>
      <c r="V2477" s="77">
        <v>66</v>
      </c>
      <c r="W2477" s="80" t="s">
        <v>7454</v>
      </c>
      <c r="X2477" s="77"/>
      <c r="Y2477" s="77"/>
      <c r="Z2477" s="77"/>
      <c r="AA2477" s="77"/>
      <c r="AB2477" s="77"/>
      <c r="AC2477" s="80" t="s">
        <v>10541</v>
      </c>
      <c r="AD2477" s="77" t="s">
        <v>10617</v>
      </c>
      <c r="AE2477" s="83" t="str">
        <f>HYPERLINK("https://twitter.com/minoriacn/status/1674516129685946374")</f>
        <v>https://twitter.com/minoriacn/status/1674516129685946374</v>
      </c>
      <c r="AF2477" s="79">
        <v>45106.855671296296</v>
      </c>
      <c r="AG2477" s="85">
        <v>45106</v>
      </c>
      <c r="AH2477" s="80" t="s">
        <v>12803</v>
      </c>
      <c r="AI2477" s="77"/>
      <c r="AJ2477" s="77"/>
      <c r="AK2477" s="77"/>
      <c r="AL2477" s="77"/>
      <c r="AM2477" s="77"/>
      <c r="AN2477" s="77"/>
      <c r="AO2477" s="77"/>
      <c r="AP2477" s="77"/>
      <c r="AQ2477" s="77"/>
      <c r="AR2477" s="77"/>
      <c r="AS2477" s="77"/>
      <c r="AT2477" s="77"/>
      <c r="AU2477" s="77"/>
      <c r="AV2477" s="83" t="str">
        <f>HYPERLINK("https://pbs.twimg.com/profile_images/1651762281150136321/Yd86zH61_normal.jpg")</f>
        <v>https://pbs.twimg.com/profile_images/1651762281150136321/Yd86zH61_normal.jpg</v>
      </c>
      <c r="AW2477" s="80" t="s">
        <v>18273</v>
      </c>
      <c r="AX2477" s="80" t="s">
        <v>20065</v>
      </c>
      <c r="AY2477" s="80" t="s">
        <v>20317</v>
      </c>
      <c r="AZ2477" s="80" t="s">
        <v>20065</v>
      </c>
      <c r="BA2477" s="80" t="s">
        <v>20380</v>
      </c>
      <c r="BB2477" s="80" t="s">
        <v>20380</v>
      </c>
      <c r="BC2477" s="80" t="s">
        <v>20065</v>
      </c>
      <c r="BD2477" s="80" t="s">
        <v>20317</v>
      </c>
      <c r="BE2477" s="77"/>
      <c r="BF2477" s="77"/>
      <c r="BG2477" s="77"/>
      <c r="BH2477" s="77"/>
      <c r="BI2477" s="77"/>
    </row>
    <row r="2478" spans="1:61" x14ac:dyDescent="0.25">
      <c r="A2478" s="62" t="s">
        <v>1019</v>
      </c>
      <c r="B2478" s="62" t="s">
        <v>1019</v>
      </c>
      <c r="C2478" s="63"/>
      <c r="D2478" s="64"/>
      <c r="E2478" s="65"/>
      <c r="F2478" s="66"/>
      <c r="G2478" s="63"/>
      <c r="H2478" s="67"/>
      <c r="I2478" s="68"/>
      <c r="J2478" s="68"/>
      <c r="K2478" s="32"/>
      <c r="L2478" s="75">
        <v>2478</v>
      </c>
      <c r="M2478" s="75"/>
      <c r="N2478" s="70"/>
      <c r="O2478" s="77" t="s">
        <v>2078</v>
      </c>
      <c r="P2478" s="79">
        <v>45111.824525462966</v>
      </c>
      <c r="Q2478" s="77" t="s">
        <v>4272</v>
      </c>
      <c r="R2478" s="77">
        <v>1</v>
      </c>
      <c r="S2478" s="77">
        <v>6</v>
      </c>
      <c r="T2478" s="77">
        <v>0</v>
      </c>
      <c r="U2478" s="77">
        <v>0</v>
      </c>
      <c r="V2478" s="77">
        <v>77</v>
      </c>
      <c r="W2478" s="80" t="s">
        <v>5884</v>
      </c>
      <c r="X2478" s="77"/>
      <c r="Y2478" s="77"/>
      <c r="Z2478" s="77" t="s">
        <v>8986</v>
      </c>
      <c r="AA2478" s="77" t="s">
        <v>9776</v>
      </c>
      <c r="AB2478" s="77" t="s">
        <v>10534</v>
      </c>
      <c r="AC2478" s="80" t="s">
        <v>10541</v>
      </c>
      <c r="AD2478" s="77" t="s">
        <v>10617</v>
      </c>
      <c r="AE2478" s="83" t="str">
        <f>HYPERLINK("https://twitter.com/minoriacn/status/1676316778287321088")</f>
        <v>https://twitter.com/minoriacn/status/1676316778287321088</v>
      </c>
      <c r="AF2478" s="79">
        <v>45111.824525462966</v>
      </c>
      <c r="AG2478" s="85">
        <v>45111</v>
      </c>
      <c r="AH2478" s="80" t="s">
        <v>12804</v>
      </c>
      <c r="AI2478" s="77" t="b">
        <v>0</v>
      </c>
      <c r="AJ2478" s="77"/>
      <c r="AK2478" s="77"/>
      <c r="AL2478" s="77"/>
      <c r="AM2478" s="77"/>
      <c r="AN2478" s="77"/>
      <c r="AO2478" s="77"/>
      <c r="AP2478" s="77"/>
      <c r="AQ2478" s="77" t="s">
        <v>15258</v>
      </c>
      <c r="AR2478" s="77">
        <v>95971</v>
      </c>
      <c r="AS2478" s="77"/>
      <c r="AT2478" s="77"/>
      <c r="AU2478" s="77"/>
      <c r="AV2478" s="83" t="str">
        <f>HYPERLINK("https://pbs.twimg.com/ext_tw_video_thumb/1676316683605012480/pu/img/KB_ipJzj-jFILESI.jpg")</f>
        <v>https://pbs.twimg.com/ext_tw_video_thumb/1676316683605012480/pu/img/KB_ipJzj-jFILESI.jpg</v>
      </c>
      <c r="AW2478" s="80" t="s">
        <v>18274</v>
      </c>
      <c r="AX2478" s="80" t="s">
        <v>20066</v>
      </c>
      <c r="AY2478" s="80" t="s">
        <v>20317</v>
      </c>
      <c r="AZ2478" s="80" t="s">
        <v>18275</v>
      </c>
      <c r="BA2478" s="80" t="s">
        <v>20380</v>
      </c>
      <c r="BB2478" s="80" t="s">
        <v>20380</v>
      </c>
      <c r="BC2478" s="80" t="s">
        <v>18275</v>
      </c>
      <c r="BD2478" s="80" t="s">
        <v>20317</v>
      </c>
      <c r="BE2478" s="77"/>
      <c r="BF2478" s="77"/>
      <c r="BG2478" s="77"/>
      <c r="BH2478" s="77"/>
      <c r="BI2478" s="77"/>
    </row>
    <row r="2479" spans="1:61" x14ac:dyDescent="0.25">
      <c r="A2479" s="62" t="s">
        <v>1019</v>
      </c>
      <c r="B2479" s="62" t="s">
        <v>1019</v>
      </c>
      <c r="C2479" s="63"/>
      <c r="D2479" s="64"/>
      <c r="E2479" s="65"/>
      <c r="F2479" s="66"/>
      <c r="G2479" s="63"/>
      <c r="H2479" s="67"/>
      <c r="I2479" s="68"/>
      <c r="J2479" s="68"/>
      <c r="K2479" s="32"/>
      <c r="L2479" s="75">
        <v>2479</v>
      </c>
      <c r="M2479" s="75"/>
      <c r="N2479" s="70"/>
      <c r="O2479" s="77" t="s">
        <v>2078</v>
      </c>
      <c r="P2479" s="79">
        <v>45111.610393518517</v>
      </c>
      <c r="Q2479" s="77" t="s">
        <v>4273</v>
      </c>
      <c r="R2479" s="77">
        <v>1</v>
      </c>
      <c r="S2479" s="77">
        <v>6</v>
      </c>
      <c r="T2479" s="77">
        <v>1</v>
      </c>
      <c r="U2479" s="77">
        <v>0</v>
      </c>
      <c r="V2479" s="77">
        <v>155</v>
      </c>
      <c r="W2479" s="80" t="s">
        <v>7455</v>
      </c>
      <c r="X2479" s="77"/>
      <c r="Y2479" s="77"/>
      <c r="Z2479" s="77"/>
      <c r="AA2479" s="77"/>
      <c r="AB2479" s="77"/>
      <c r="AC2479" s="80" t="s">
        <v>10541</v>
      </c>
      <c r="AD2479" s="77" t="s">
        <v>10617</v>
      </c>
      <c r="AE2479" s="83" t="str">
        <f>HYPERLINK("https://twitter.com/minoriacn/status/1676239180534349825")</f>
        <v>https://twitter.com/minoriacn/status/1676239180534349825</v>
      </c>
      <c r="AF2479" s="79">
        <v>45111.610393518517</v>
      </c>
      <c r="AG2479" s="85">
        <v>45111</v>
      </c>
      <c r="AH2479" s="80" t="s">
        <v>12805</v>
      </c>
      <c r="AI2479" s="77"/>
      <c r="AJ2479" s="77"/>
      <c r="AK2479" s="77"/>
      <c r="AL2479" s="77"/>
      <c r="AM2479" s="77"/>
      <c r="AN2479" s="77"/>
      <c r="AO2479" s="77"/>
      <c r="AP2479" s="77"/>
      <c r="AQ2479" s="77"/>
      <c r="AR2479" s="77"/>
      <c r="AS2479" s="77"/>
      <c r="AT2479" s="77"/>
      <c r="AU2479" s="77"/>
      <c r="AV2479" s="83" t="str">
        <f>HYPERLINK("https://pbs.twimg.com/profile_images/1651762281150136321/Yd86zH61_normal.jpg")</f>
        <v>https://pbs.twimg.com/profile_images/1651762281150136321/Yd86zH61_normal.jpg</v>
      </c>
      <c r="AW2479" s="80" t="s">
        <v>18275</v>
      </c>
      <c r="AX2479" s="80" t="s">
        <v>20066</v>
      </c>
      <c r="AY2479" s="80" t="s">
        <v>20317</v>
      </c>
      <c r="AZ2479" s="80" t="s">
        <v>20066</v>
      </c>
      <c r="BA2479" s="80" t="s">
        <v>20380</v>
      </c>
      <c r="BB2479" s="80" t="s">
        <v>20380</v>
      </c>
      <c r="BC2479" s="80" t="s">
        <v>20066</v>
      </c>
      <c r="BD2479" s="80" t="s">
        <v>20317</v>
      </c>
      <c r="BE2479" s="77"/>
      <c r="BF2479" s="77"/>
      <c r="BG2479" s="77"/>
      <c r="BH2479" s="77"/>
      <c r="BI2479" s="77"/>
    </row>
    <row r="2480" spans="1:61" x14ac:dyDescent="0.25">
      <c r="A2480" s="62" t="s">
        <v>1020</v>
      </c>
      <c r="B2480" s="62" t="s">
        <v>1944</v>
      </c>
      <c r="C2480" s="63"/>
      <c r="D2480" s="64"/>
      <c r="E2480" s="65"/>
      <c r="F2480" s="66"/>
      <c r="G2480" s="63"/>
      <c r="H2480" s="67"/>
      <c r="I2480" s="68"/>
      <c r="J2480" s="68"/>
      <c r="K2480" s="32"/>
      <c r="L2480" s="75">
        <v>2480</v>
      </c>
      <c r="M2480" s="75"/>
      <c r="N2480" s="70"/>
      <c r="O2480" s="77" t="s">
        <v>2081</v>
      </c>
      <c r="P2480" s="79">
        <v>45100.873923611114</v>
      </c>
      <c r="Q2480" s="77" t="s">
        <v>4274</v>
      </c>
      <c r="R2480" s="77">
        <v>2</v>
      </c>
      <c r="S2480" s="77">
        <v>3</v>
      </c>
      <c r="T2480" s="77">
        <v>2</v>
      </c>
      <c r="U2480" s="77">
        <v>0</v>
      </c>
      <c r="V2480" s="77">
        <v>853</v>
      </c>
      <c r="W2480" s="80" t="s">
        <v>7456</v>
      </c>
      <c r="X2480" s="77"/>
      <c r="Y2480" s="77"/>
      <c r="Z2480" s="77" t="s">
        <v>8987</v>
      </c>
      <c r="AA2480" s="77" t="s">
        <v>9777</v>
      </c>
      <c r="AB2480" s="77" t="s">
        <v>10538</v>
      </c>
      <c r="AC2480" s="80" t="s">
        <v>10541</v>
      </c>
      <c r="AD2480" s="77" t="s">
        <v>10620</v>
      </c>
      <c r="AE2480" s="83" t="str">
        <f>HYPERLINK("https://twitter.com/fciuach/status/1672348416309854215")</f>
        <v>https://twitter.com/fciuach/status/1672348416309854215</v>
      </c>
      <c r="AF2480" s="79">
        <v>45100.873923611114</v>
      </c>
      <c r="AG2480" s="85">
        <v>45100</v>
      </c>
      <c r="AH2480" s="80" t="s">
        <v>12806</v>
      </c>
      <c r="AI2480" s="77" t="b">
        <v>0</v>
      </c>
      <c r="AJ2480" s="77"/>
      <c r="AK2480" s="77"/>
      <c r="AL2480" s="77"/>
      <c r="AM2480" s="77"/>
      <c r="AN2480" s="77"/>
      <c r="AO2480" s="77"/>
      <c r="AP2480" s="77"/>
      <c r="AQ2480" s="77" t="s">
        <v>15259</v>
      </c>
      <c r="AR2480" s="77"/>
      <c r="AS2480" s="77"/>
      <c r="AT2480" s="77"/>
      <c r="AU2480" s="77"/>
      <c r="AV2480" s="83" t="str">
        <f>HYPERLINK("https://pbs.twimg.com/media/FzVfz3dWYAA0L0-.jpg")</f>
        <v>https://pbs.twimg.com/media/FzVfz3dWYAA0L0-.jpg</v>
      </c>
      <c r="AW2480" s="80" t="s">
        <v>18276</v>
      </c>
      <c r="AX2480" s="80" t="s">
        <v>18276</v>
      </c>
      <c r="AY2480" s="77"/>
      <c r="AZ2480" s="80" t="s">
        <v>20380</v>
      </c>
      <c r="BA2480" s="80" t="s">
        <v>20380</v>
      </c>
      <c r="BB2480" s="80" t="s">
        <v>20380</v>
      </c>
      <c r="BC2480" s="80" t="s">
        <v>18276</v>
      </c>
      <c r="BD2480" s="77">
        <v>307920275</v>
      </c>
      <c r="BE2480" s="77"/>
      <c r="BF2480" s="77"/>
      <c r="BG2480" s="77"/>
      <c r="BH2480" s="77"/>
      <c r="BI2480" s="77"/>
    </row>
    <row r="2481" spans="1:61" x14ac:dyDescent="0.25">
      <c r="A2481" s="62" t="s">
        <v>1020</v>
      </c>
      <c r="B2481" s="62" t="s">
        <v>1020</v>
      </c>
      <c r="C2481" s="63"/>
      <c r="D2481" s="64"/>
      <c r="E2481" s="65"/>
      <c r="F2481" s="66"/>
      <c r="G2481" s="63"/>
      <c r="H2481" s="67"/>
      <c r="I2481" s="68"/>
      <c r="J2481" s="68"/>
      <c r="K2481" s="32"/>
      <c r="L2481" s="75">
        <v>2481</v>
      </c>
      <c r="M2481" s="75"/>
      <c r="N2481" s="70"/>
      <c r="O2481" s="77" t="s">
        <v>2081</v>
      </c>
      <c r="P2481" s="79">
        <v>45100.873923611114</v>
      </c>
      <c r="Q2481" s="77" t="s">
        <v>4274</v>
      </c>
      <c r="R2481" s="77">
        <v>2</v>
      </c>
      <c r="S2481" s="77">
        <v>3</v>
      </c>
      <c r="T2481" s="77">
        <v>2</v>
      </c>
      <c r="U2481" s="77">
        <v>0</v>
      </c>
      <c r="V2481" s="77">
        <v>853</v>
      </c>
      <c r="W2481" s="80" t="s">
        <v>7456</v>
      </c>
      <c r="X2481" s="77"/>
      <c r="Y2481" s="77"/>
      <c r="Z2481" s="77" t="s">
        <v>8987</v>
      </c>
      <c r="AA2481" s="77" t="s">
        <v>9777</v>
      </c>
      <c r="AB2481" s="77" t="s">
        <v>10538</v>
      </c>
      <c r="AC2481" s="80" t="s">
        <v>10541</v>
      </c>
      <c r="AD2481" s="77" t="s">
        <v>10620</v>
      </c>
      <c r="AE2481" s="83" t="str">
        <f>HYPERLINK("https://twitter.com/fciuach/status/1672348416309854215")</f>
        <v>https://twitter.com/fciuach/status/1672348416309854215</v>
      </c>
      <c r="AF2481" s="79">
        <v>45100.873923611114</v>
      </c>
      <c r="AG2481" s="85">
        <v>45100</v>
      </c>
      <c r="AH2481" s="80" t="s">
        <v>12806</v>
      </c>
      <c r="AI2481" s="77" t="b">
        <v>0</v>
      </c>
      <c r="AJ2481" s="77"/>
      <c r="AK2481" s="77"/>
      <c r="AL2481" s="77"/>
      <c r="AM2481" s="77"/>
      <c r="AN2481" s="77"/>
      <c r="AO2481" s="77"/>
      <c r="AP2481" s="77"/>
      <c r="AQ2481" s="77" t="s">
        <v>15259</v>
      </c>
      <c r="AR2481" s="77"/>
      <c r="AS2481" s="77"/>
      <c r="AT2481" s="77"/>
      <c r="AU2481" s="77"/>
      <c r="AV2481" s="83" t="str">
        <f>HYPERLINK("https://pbs.twimg.com/media/FzVfz3dWYAA0L0-.jpg")</f>
        <v>https://pbs.twimg.com/media/FzVfz3dWYAA0L0-.jpg</v>
      </c>
      <c r="AW2481" s="80" t="s">
        <v>18276</v>
      </c>
      <c r="AX2481" s="80" t="s">
        <v>18276</v>
      </c>
      <c r="AY2481" s="77"/>
      <c r="AZ2481" s="80" t="s">
        <v>20380</v>
      </c>
      <c r="BA2481" s="80" t="s">
        <v>20380</v>
      </c>
      <c r="BB2481" s="80" t="s">
        <v>20380</v>
      </c>
      <c r="BC2481" s="80" t="s">
        <v>18276</v>
      </c>
      <c r="BD2481" s="77">
        <v>307920275</v>
      </c>
      <c r="BE2481" s="77"/>
      <c r="BF2481" s="77"/>
      <c r="BG2481" s="77"/>
      <c r="BH2481" s="77"/>
      <c r="BI2481" s="77"/>
    </row>
    <row r="2482" spans="1:61" x14ac:dyDescent="0.25">
      <c r="A2482" s="62" t="s">
        <v>1020</v>
      </c>
      <c r="B2482" s="62" t="s">
        <v>1384</v>
      </c>
      <c r="C2482" s="63"/>
      <c r="D2482" s="64"/>
      <c r="E2482" s="65"/>
      <c r="F2482" s="66"/>
      <c r="G2482" s="63"/>
      <c r="H2482" s="67"/>
      <c r="I2482" s="68"/>
      <c r="J2482" s="68"/>
      <c r="K2482" s="32"/>
      <c r="L2482" s="75">
        <v>2482</v>
      </c>
      <c r="M2482" s="75"/>
      <c r="N2482" s="70"/>
      <c r="O2482" s="77" t="s">
        <v>2081</v>
      </c>
      <c r="P2482" s="79">
        <v>45100.873923611114</v>
      </c>
      <c r="Q2482" s="77" t="s">
        <v>4274</v>
      </c>
      <c r="R2482" s="77">
        <v>2</v>
      </c>
      <c r="S2482" s="77">
        <v>3</v>
      </c>
      <c r="T2482" s="77">
        <v>2</v>
      </c>
      <c r="U2482" s="77">
        <v>0</v>
      </c>
      <c r="V2482" s="77">
        <v>853</v>
      </c>
      <c r="W2482" s="80" t="s">
        <v>7456</v>
      </c>
      <c r="X2482" s="77"/>
      <c r="Y2482" s="77"/>
      <c r="Z2482" s="77" t="s">
        <v>8987</v>
      </c>
      <c r="AA2482" s="77" t="s">
        <v>9777</v>
      </c>
      <c r="AB2482" s="77" t="s">
        <v>10538</v>
      </c>
      <c r="AC2482" s="80" t="s">
        <v>10541</v>
      </c>
      <c r="AD2482" s="77" t="s">
        <v>10620</v>
      </c>
      <c r="AE2482" s="83" t="str">
        <f>HYPERLINK("https://twitter.com/fciuach/status/1672348416309854215")</f>
        <v>https://twitter.com/fciuach/status/1672348416309854215</v>
      </c>
      <c r="AF2482" s="79">
        <v>45100.873923611114</v>
      </c>
      <c r="AG2482" s="85">
        <v>45100</v>
      </c>
      <c r="AH2482" s="80" t="s">
        <v>12806</v>
      </c>
      <c r="AI2482" s="77" t="b">
        <v>0</v>
      </c>
      <c r="AJ2482" s="77"/>
      <c r="AK2482" s="77"/>
      <c r="AL2482" s="77"/>
      <c r="AM2482" s="77"/>
      <c r="AN2482" s="77"/>
      <c r="AO2482" s="77"/>
      <c r="AP2482" s="77"/>
      <c r="AQ2482" s="77" t="s">
        <v>15259</v>
      </c>
      <c r="AR2482" s="77"/>
      <c r="AS2482" s="77"/>
      <c r="AT2482" s="77"/>
      <c r="AU2482" s="77"/>
      <c r="AV2482" s="83" t="str">
        <f>HYPERLINK("https://pbs.twimg.com/media/FzVfz3dWYAA0L0-.jpg")</f>
        <v>https://pbs.twimg.com/media/FzVfz3dWYAA0L0-.jpg</v>
      </c>
      <c r="AW2482" s="80" t="s">
        <v>18276</v>
      </c>
      <c r="AX2482" s="80" t="s">
        <v>18276</v>
      </c>
      <c r="AY2482" s="77"/>
      <c r="AZ2482" s="80" t="s">
        <v>20380</v>
      </c>
      <c r="BA2482" s="80" t="s">
        <v>20380</v>
      </c>
      <c r="BB2482" s="80" t="s">
        <v>20380</v>
      </c>
      <c r="BC2482" s="80" t="s">
        <v>18276</v>
      </c>
      <c r="BD2482" s="77">
        <v>307920275</v>
      </c>
      <c r="BE2482" s="77"/>
      <c r="BF2482" s="77"/>
      <c r="BG2482" s="77"/>
      <c r="BH2482" s="77"/>
      <c r="BI2482" s="77"/>
    </row>
    <row r="2483" spans="1:61" x14ac:dyDescent="0.25">
      <c r="A2483" s="62" t="s">
        <v>1021</v>
      </c>
      <c r="B2483" s="62" t="s">
        <v>1021</v>
      </c>
      <c r="C2483" s="63"/>
      <c r="D2483" s="64"/>
      <c r="E2483" s="65"/>
      <c r="F2483" s="66"/>
      <c r="G2483" s="63"/>
      <c r="H2483" s="67"/>
      <c r="I2483" s="68"/>
      <c r="J2483" s="68"/>
      <c r="K2483" s="32"/>
      <c r="L2483" s="75">
        <v>2483</v>
      </c>
      <c r="M2483" s="75"/>
      <c r="N2483" s="70"/>
      <c r="O2483" s="77" t="s">
        <v>179</v>
      </c>
      <c r="P2483" s="79">
        <v>45049.750937500001</v>
      </c>
      <c r="Q2483" s="77" t="s">
        <v>4275</v>
      </c>
      <c r="R2483" s="77">
        <v>0</v>
      </c>
      <c r="S2483" s="77">
        <v>1</v>
      </c>
      <c r="T2483" s="77">
        <v>0</v>
      </c>
      <c r="U2483" s="77">
        <v>0</v>
      </c>
      <c r="V2483" s="77">
        <v>1349</v>
      </c>
      <c r="W2483" s="80" t="s">
        <v>7457</v>
      </c>
      <c r="X2483" s="77"/>
      <c r="Y2483" s="77"/>
      <c r="Z2483" s="77"/>
      <c r="AA2483" s="77" t="s">
        <v>9778</v>
      </c>
      <c r="AB2483" s="77" t="s">
        <v>10535</v>
      </c>
      <c r="AC2483" s="80" t="s">
        <v>10542</v>
      </c>
      <c r="AD2483" s="77" t="s">
        <v>10617</v>
      </c>
      <c r="AE2483" s="83" t="str">
        <f>HYPERLINK("https://twitter.com/quantzed/status/1653822066485764102")</f>
        <v>https://twitter.com/quantzed/status/1653822066485764102</v>
      </c>
      <c r="AF2483" s="79">
        <v>45049.750937500001</v>
      </c>
      <c r="AG2483" s="85">
        <v>45049</v>
      </c>
      <c r="AH2483" s="80" t="s">
        <v>12807</v>
      </c>
      <c r="AI2483" s="77" t="b">
        <v>0</v>
      </c>
      <c r="AJ2483" s="77"/>
      <c r="AK2483" s="77"/>
      <c r="AL2483" s="77"/>
      <c r="AM2483" s="77"/>
      <c r="AN2483" s="77"/>
      <c r="AO2483" s="77"/>
      <c r="AP2483" s="77"/>
      <c r="AQ2483" s="77" t="s">
        <v>15260</v>
      </c>
      <c r="AR2483" s="77"/>
      <c r="AS2483" s="77"/>
      <c r="AT2483" s="77"/>
      <c r="AU2483" s="77"/>
      <c r="AV2483" s="83" t="str">
        <f>HYPERLINK("https://pbs.twimg.com/media/FvOOZycWwAMmLMO.jpg")</f>
        <v>https://pbs.twimg.com/media/FvOOZycWwAMmLMO.jpg</v>
      </c>
      <c r="AW2483" s="80" t="s">
        <v>18277</v>
      </c>
      <c r="AX2483" s="80" t="s">
        <v>18277</v>
      </c>
      <c r="AY2483" s="77"/>
      <c r="AZ2483" s="80" t="s">
        <v>20380</v>
      </c>
      <c r="BA2483" s="80" t="s">
        <v>20380</v>
      </c>
      <c r="BB2483" s="80" t="s">
        <v>20380</v>
      </c>
      <c r="BC2483" s="80" t="s">
        <v>18277</v>
      </c>
      <c r="BD2483" s="80" t="s">
        <v>20884</v>
      </c>
      <c r="BE2483" s="77"/>
      <c r="BF2483" s="77"/>
      <c r="BG2483" s="77"/>
      <c r="BH2483" s="77"/>
      <c r="BI2483" s="77"/>
    </row>
    <row r="2484" spans="1:61" x14ac:dyDescent="0.25">
      <c r="A2484" s="62" t="s">
        <v>1022</v>
      </c>
      <c r="B2484" s="62" t="s">
        <v>1022</v>
      </c>
      <c r="C2484" s="63"/>
      <c r="D2484" s="64"/>
      <c r="E2484" s="65"/>
      <c r="F2484" s="66"/>
      <c r="G2484" s="63"/>
      <c r="H2484" s="67"/>
      <c r="I2484" s="68"/>
      <c r="J2484" s="68"/>
      <c r="K2484" s="32"/>
      <c r="L2484" s="75">
        <v>2484</v>
      </c>
      <c r="M2484" s="75"/>
      <c r="N2484" s="70"/>
      <c r="O2484" s="77" t="s">
        <v>179</v>
      </c>
      <c r="P2484" s="79">
        <v>45104.738761574074</v>
      </c>
      <c r="Q2484" s="77" t="s">
        <v>4276</v>
      </c>
      <c r="R2484" s="77">
        <v>0</v>
      </c>
      <c r="S2484" s="77">
        <v>0</v>
      </c>
      <c r="T2484" s="77">
        <v>0</v>
      </c>
      <c r="U2484" s="77">
        <v>0</v>
      </c>
      <c r="V2484" s="77">
        <v>18</v>
      </c>
      <c r="W2484" s="80" t="s">
        <v>7458</v>
      </c>
      <c r="X2484" s="83" t="str">
        <f>HYPERLINK("https://bit.ly/3CQzSk2")</f>
        <v>https://bit.ly/3CQzSk2</v>
      </c>
      <c r="Y2484" s="77" t="s">
        <v>8618</v>
      </c>
      <c r="Z2484" s="77"/>
      <c r="AA2484" s="77" t="s">
        <v>9779</v>
      </c>
      <c r="AB2484" s="77" t="s">
        <v>10535</v>
      </c>
      <c r="AC2484" s="80" t="s">
        <v>10541</v>
      </c>
      <c r="AD2484" s="77" t="s">
        <v>10617</v>
      </c>
      <c r="AE2484" s="83" t="str">
        <f>HYPERLINK("https://twitter.com/easycoop/status/1673748983745859585")</f>
        <v>https://twitter.com/easycoop/status/1673748983745859585</v>
      </c>
      <c r="AF2484" s="79">
        <v>45104.738761574074</v>
      </c>
      <c r="AG2484" s="85">
        <v>45104</v>
      </c>
      <c r="AH2484" s="80" t="s">
        <v>12808</v>
      </c>
      <c r="AI2484" s="77" t="b">
        <v>0</v>
      </c>
      <c r="AJ2484" s="77"/>
      <c r="AK2484" s="77"/>
      <c r="AL2484" s="77"/>
      <c r="AM2484" s="77"/>
      <c r="AN2484" s="77"/>
      <c r="AO2484" s="77"/>
      <c r="AP2484" s="77"/>
      <c r="AQ2484" s="77" t="s">
        <v>15261</v>
      </c>
      <c r="AR2484" s="77"/>
      <c r="AS2484" s="77"/>
      <c r="AT2484" s="77"/>
      <c r="AU2484" s="77"/>
      <c r="AV2484" s="83" t="str">
        <f>HYPERLINK("https://pbs.twimg.com/media/FzpZ09vWIAo5Nr9.jpg")</f>
        <v>https://pbs.twimg.com/media/FzpZ09vWIAo5Nr9.jpg</v>
      </c>
      <c r="AW2484" s="80" t="s">
        <v>18278</v>
      </c>
      <c r="AX2484" s="80" t="s">
        <v>18278</v>
      </c>
      <c r="AY2484" s="77"/>
      <c r="AZ2484" s="80" t="s">
        <v>20380</v>
      </c>
      <c r="BA2484" s="80" t="s">
        <v>20380</v>
      </c>
      <c r="BB2484" s="80" t="s">
        <v>20380</v>
      </c>
      <c r="BC2484" s="80" t="s">
        <v>18278</v>
      </c>
      <c r="BD2484" s="77">
        <v>96114119</v>
      </c>
      <c r="BE2484" s="77"/>
      <c r="BF2484" s="77"/>
      <c r="BG2484" s="77"/>
      <c r="BH2484" s="77"/>
      <c r="BI2484" s="77"/>
    </row>
    <row r="2485" spans="1:61" x14ac:dyDescent="0.25">
      <c r="A2485" s="62" t="s">
        <v>1023</v>
      </c>
      <c r="B2485" s="62" t="s">
        <v>1354</v>
      </c>
      <c r="C2485" s="63"/>
      <c r="D2485" s="64"/>
      <c r="E2485" s="65"/>
      <c r="F2485" s="66"/>
      <c r="G2485" s="63"/>
      <c r="H2485" s="67"/>
      <c r="I2485" s="68"/>
      <c r="J2485" s="68"/>
      <c r="K2485" s="32"/>
      <c r="L2485" s="75">
        <v>2485</v>
      </c>
      <c r="M2485" s="75"/>
      <c r="N2485" s="70"/>
      <c r="O2485" s="77" t="s">
        <v>2082</v>
      </c>
      <c r="P2485" s="79">
        <v>45112.666539351849</v>
      </c>
      <c r="Q2485" s="77" t="s">
        <v>4277</v>
      </c>
      <c r="R2485" s="77">
        <v>5</v>
      </c>
      <c r="S2485" s="77">
        <v>24</v>
      </c>
      <c r="T2485" s="77">
        <v>0</v>
      </c>
      <c r="U2485" s="77">
        <v>0</v>
      </c>
      <c r="V2485" s="77">
        <v>847</v>
      </c>
      <c r="W2485" s="80" t="s">
        <v>7459</v>
      </c>
      <c r="X2485" s="77"/>
      <c r="Y2485" s="77"/>
      <c r="Z2485" s="77"/>
      <c r="AA2485" s="77" t="s">
        <v>9780</v>
      </c>
      <c r="AB2485" s="77" t="s">
        <v>10535</v>
      </c>
      <c r="AC2485" s="80" t="s">
        <v>10541</v>
      </c>
      <c r="AD2485" s="77" t="s">
        <v>10620</v>
      </c>
      <c r="AE2485" s="83" t="str">
        <f>HYPERLINK("https://twitter.com/hispanismoc/status/1676621914133889024")</f>
        <v>https://twitter.com/hispanismoc/status/1676621914133889024</v>
      </c>
      <c r="AF2485" s="79">
        <v>45112.666539351849</v>
      </c>
      <c r="AG2485" s="85">
        <v>45112</v>
      </c>
      <c r="AH2485" s="80" t="s">
        <v>12809</v>
      </c>
      <c r="AI2485" s="77" t="b">
        <v>0</v>
      </c>
      <c r="AJ2485" s="77"/>
      <c r="AK2485" s="77"/>
      <c r="AL2485" s="77"/>
      <c r="AM2485" s="77"/>
      <c r="AN2485" s="77"/>
      <c r="AO2485" s="77"/>
      <c r="AP2485" s="77"/>
      <c r="AQ2485" s="77" t="s">
        <v>15262</v>
      </c>
      <c r="AR2485" s="77"/>
      <c r="AS2485" s="77"/>
      <c r="AT2485" s="77"/>
      <c r="AU2485" s="77"/>
      <c r="AV2485" s="83" t="str">
        <f>HYPERLINK("https://pbs.twimg.com/media/F0SOpTFWcAIgrke.png")</f>
        <v>https://pbs.twimg.com/media/F0SOpTFWcAIgrke.png</v>
      </c>
      <c r="AW2485" s="80" t="s">
        <v>18279</v>
      </c>
      <c r="AX2485" s="80" t="s">
        <v>18279</v>
      </c>
      <c r="AY2485" s="77"/>
      <c r="AZ2485" s="80" t="s">
        <v>20380</v>
      </c>
      <c r="BA2485" s="80" t="s">
        <v>19148</v>
      </c>
      <c r="BB2485" s="80" t="s">
        <v>20380</v>
      </c>
      <c r="BC2485" s="80" t="s">
        <v>19148</v>
      </c>
      <c r="BD2485" s="80" t="s">
        <v>20885</v>
      </c>
      <c r="BE2485" s="77"/>
      <c r="BF2485" s="77"/>
      <c r="BG2485" s="77"/>
      <c r="BH2485" s="77"/>
      <c r="BI2485" s="77"/>
    </row>
    <row r="2486" spans="1:61" x14ac:dyDescent="0.25">
      <c r="A2486" s="62" t="s">
        <v>1024</v>
      </c>
      <c r="B2486" s="62" t="s">
        <v>1024</v>
      </c>
      <c r="C2486" s="63"/>
      <c r="D2486" s="64"/>
      <c r="E2486" s="65"/>
      <c r="F2486" s="66"/>
      <c r="G2486" s="63"/>
      <c r="H2486" s="67"/>
      <c r="I2486" s="68"/>
      <c r="J2486" s="68"/>
      <c r="K2486" s="32"/>
      <c r="L2486" s="75">
        <v>2486</v>
      </c>
      <c r="M2486" s="75"/>
      <c r="N2486" s="70"/>
      <c r="O2486" s="77" t="s">
        <v>179</v>
      </c>
      <c r="P2486" s="79">
        <v>45152.560104166667</v>
      </c>
      <c r="Q2486" s="77" t="s">
        <v>4278</v>
      </c>
      <c r="R2486" s="77">
        <v>0</v>
      </c>
      <c r="S2486" s="77">
        <v>2</v>
      </c>
      <c r="T2486" s="77">
        <v>0</v>
      </c>
      <c r="U2486" s="77">
        <v>0</v>
      </c>
      <c r="V2486" s="77">
        <v>120</v>
      </c>
      <c r="W2486" s="80" t="s">
        <v>7460</v>
      </c>
      <c r="X2486" s="77"/>
      <c r="Y2486" s="77"/>
      <c r="Z2486" s="77"/>
      <c r="AA2486" s="77"/>
      <c r="AB2486" s="77"/>
      <c r="AC2486" s="80" t="s">
        <v>10540</v>
      </c>
      <c r="AD2486" s="77" t="s">
        <v>10620</v>
      </c>
      <c r="AE2486" s="83" t="str">
        <f>HYPERLINK("https://twitter.com/aaronenoc3/status/1691078858768883712")</f>
        <v>https://twitter.com/aaronenoc3/status/1691078858768883712</v>
      </c>
      <c r="AF2486" s="79">
        <v>45152.560104166667</v>
      </c>
      <c r="AG2486" s="85">
        <v>45152</v>
      </c>
      <c r="AH2486" s="80" t="s">
        <v>12810</v>
      </c>
      <c r="AI2486" s="77"/>
      <c r="AJ2486" s="77"/>
      <c r="AK2486" s="77"/>
      <c r="AL2486" s="77"/>
      <c r="AM2486" s="77"/>
      <c r="AN2486" s="77"/>
      <c r="AO2486" s="77"/>
      <c r="AP2486" s="77"/>
      <c r="AQ2486" s="77"/>
      <c r="AR2486" s="77"/>
      <c r="AS2486" s="77"/>
      <c r="AT2486" s="77"/>
      <c r="AU2486" s="77"/>
      <c r="AV2486" s="83" t="str">
        <f>HYPERLINK("https://pbs.twimg.com/profile_images/1606297079168524291/R4reR1Pt_normal.jpg")</f>
        <v>https://pbs.twimg.com/profile_images/1606297079168524291/R4reR1Pt_normal.jpg</v>
      </c>
      <c r="AW2486" s="80" t="s">
        <v>18280</v>
      </c>
      <c r="AX2486" s="80" t="s">
        <v>18280</v>
      </c>
      <c r="AY2486" s="77"/>
      <c r="AZ2486" s="80" t="s">
        <v>20380</v>
      </c>
      <c r="BA2486" s="80" t="s">
        <v>20380</v>
      </c>
      <c r="BB2486" s="80" t="s">
        <v>20380</v>
      </c>
      <c r="BC2486" s="80" t="s">
        <v>18280</v>
      </c>
      <c r="BD2486" s="80" t="s">
        <v>20886</v>
      </c>
      <c r="BE2486" s="77"/>
      <c r="BF2486" s="77"/>
      <c r="BG2486" s="77"/>
      <c r="BH2486" s="77"/>
      <c r="BI2486" s="77"/>
    </row>
    <row r="2487" spans="1:61" x14ac:dyDescent="0.25">
      <c r="A2487" s="62" t="s">
        <v>1025</v>
      </c>
      <c r="B2487" s="62" t="s">
        <v>1025</v>
      </c>
      <c r="C2487" s="63"/>
      <c r="D2487" s="64"/>
      <c r="E2487" s="65"/>
      <c r="F2487" s="66"/>
      <c r="G2487" s="63"/>
      <c r="H2487" s="67"/>
      <c r="I2487" s="68"/>
      <c r="J2487" s="68"/>
      <c r="K2487" s="32"/>
      <c r="L2487" s="75">
        <v>2487</v>
      </c>
      <c r="M2487" s="75"/>
      <c r="N2487" s="70"/>
      <c r="O2487" s="77" t="s">
        <v>179</v>
      </c>
      <c r="P2487" s="79">
        <v>45145.753194444442</v>
      </c>
      <c r="Q2487" s="77" t="s">
        <v>4279</v>
      </c>
      <c r="R2487" s="77">
        <v>0</v>
      </c>
      <c r="S2487" s="77">
        <v>0</v>
      </c>
      <c r="T2487" s="77">
        <v>1</v>
      </c>
      <c r="U2487" s="77">
        <v>0</v>
      </c>
      <c r="V2487" s="77">
        <v>48</v>
      </c>
      <c r="W2487" s="80" t="s">
        <v>5884</v>
      </c>
      <c r="X2487" s="77"/>
      <c r="Y2487" s="77"/>
      <c r="Z2487" s="77"/>
      <c r="AA2487" s="77"/>
      <c r="AB2487" s="77"/>
      <c r="AC2487" s="80" t="s">
        <v>10542</v>
      </c>
      <c r="AD2487" s="77" t="s">
        <v>10617</v>
      </c>
      <c r="AE2487" s="83" t="str">
        <f>HYPERLINK("https://twitter.com/edmarbertolo/status/1688612116452851712")</f>
        <v>https://twitter.com/edmarbertolo/status/1688612116452851712</v>
      </c>
      <c r="AF2487" s="79">
        <v>45145.753194444442</v>
      </c>
      <c r="AG2487" s="85">
        <v>45145</v>
      </c>
      <c r="AH2487" s="80" t="s">
        <v>12811</v>
      </c>
      <c r="AI2487" s="77"/>
      <c r="AJ2487" s="77"/>
      <c r="AK2487" s="77"/>
      <c r="AL2487" s="77"/>
      <c r="AM2487" s="77"/>
      <c r="AN2487" s="77"/>
      <c r="AO2487" s="77"/>
      <c r="AP2487" s="77"/>
      <c r="AQ2487" s="77"/>
      <c r="AR2487" s="77"/>
      <c r="AS2487" s="77"/>
      <c r="AT2487" s="77"/>
      <c r="AU2487" s="77"/>
      <c r="AV2487" s="83" t="str">
        <f>HYPERLINK("https://pbs.twimg.com/profile_images/1609191412381122560/R9iBJcOv_normal.jpg")</f>
        <v>https://pbs.twimg.com/profile_images/1609191412381122560/R9iBJcOv_normal.jpg</v>
      </c>
      <c r="AW2487" s="80" t="s">
        <v>18281</v>
      </c>
      <c r="AX2487" s="80" t="s">
        <v>18281</v>
      </c>
      <c r="AY2487" s="77"/>
      <c r="AZ2487" s="80" t="s">
        <v>20380</v>
      </c>
      <c r="BA2487" s="80" t="s">
        <v>20380</v>
      </c>
      <c r="BB2487" s="80" t="s">
        <v>20380</v>
      </c>
      <c r="BC2487" s="80" t="s">
        <v>18281</v>
      </c>
      <c r="BD2487" s="77">
        <v>277177609</v>
      </c>
      <c r="BE2487" s="77"/>
      <c r="BF2487" s="77"/>
      <c r="BG2487" s="77"/>
      <c r="BH2487" s="77"/>
      <c r="BI2487" s="77"/>
    </row>
    <row r="2488" spans="1:61" x14ac:dyDescent="0.25">
      <c r="A2488" s="62" t="s">
        <v>1026</v>
      </c>
      <c r="B2488" s="62" t="s">
        <v>1026</v>
      </c>
      <c r="C2488" s="63"/>
      <c r="D2488" s="64"/>
      <c r="E2488" s="65"/>
      <c r="F2488" s="66"/>
      <c r="G2488" s="63"/>
      <c r="H2488" s="67"/>
      <c r="I2488" s="68"/>
      <c r="J2488" s="68"/>
      <c r="K2488" s="32"/>
      <c r="L2488" s="75">
        <v>2488</v>
      </c>
      <c r="M2488" s="75"/>
      <c r="N2488" s="70"/>
      <c r="O2488" s="77" t="s">
        <v>179</v>
      </c>
      <c r="P2488" s="79">
        <v>45096.939791666664</v>
      </c>
      <c r="Q2488" s="77" t="s">
        <v>4280</v>
      </c>
      <c r="R2488" s="77">
        <v>0</v>
      </c>
      <c r="S2488" s="77">
        <v>0</v>
      </c>
      <c r="T2488" s="77">
        <v>0</v>
      </c>
      <c r="U2488" s="77">
        <v>2</v>
      </c>
      <c r="V2488" s="77">
        <v>542</v>
      </c>
      <c r="W2488" s="80" t="s">
        <v>7461</v>
      </c>
      <c r="X2488" s="77"/>
      <c r="Y2488" s="77"/>
      <c r="Z2488" s="77"/>
      <c r="AA2488" s="77" t="s">
        <v>9781</v>
      </c>
      <c r="AB2488" s="77" t="s">
        <v>10538</v>
      </c>
      <c r="AC2488" s="80" t="s">
        <v>10541</v>
      </c>
      <c r="AD2488" s="77" t="s">
        <v>10620</v>
      </c>
      <c r="AE2488" s="83" t="str">
        <f>HYPERLINK("https://twitter.com/cmquilpue/status/1670922733536923650")</f>
        <v>https://twitter.com/cmquilpue/status/1670922733536923650</v>
      </c>
      <c r="AF2488" s="79">
        <v>45096.939791666664</v>
      </c>
      <c r="AG2488" s="85">
        <v>45096</v>
      </c>
      <c r="AH2488" s="80" t="s">
        <v>12812</v>
      </c>
      <c r="AI2488" s="77" t="b">
        <v>0</v>
      </c>
      <c r="AJ2488" s="77"/>
      <c r="AK2488" s="77"/>
      <c r="AL2488" s="77"/>
      <c r="AM2488" s="77"/>
      <c r="AN2488" s="77"/>
      <c r="AO2488" s="77"/>
      <c r="AP2488" s="77"/>
      <c r="AQ2488" s="77" t="s">
        <v>15263</v>
      </c>
      <c r="AR2488" s="77"/>
      <c r="AS2488" s="77"/>
      <c r="AT2488" s="77"/>
      <c r="AU2488" s="77"/>
      <c r="AV2488" s="83" t="str">
        <f>HYPERLINK("https://pbs.twimg.com/media/FzBOpI8WAAopRsi.jpg")</f>
        <v>https://pbs.twimg.com/media/FzBOpI8WAAopRsi.jpg</v>
      </c>
      <c r="AW2488" s="80" t="s">
        <v>18282</v>
      </c>
      <c r="AX2488" s="80" t="s">
        <v>18282</v>
      </c>
      <c r="AY2488" s="77"/>
      <c r="AZ2488" s="80" t="s">
        <v>20380</v>
      </c>
      <c r="BA2488" s="80" t="s">
        <v>20380</v>
      </c>
      <c r="BB2488" s="80" t="s">
        <v>20380</v>
      </c>
      <c r="BC2488" s="80" t="s">
        <v>18282</v>
      </c>
      <c r="BD2488" s="77">
        <v>293698120</v>
      </c>
      <c r="BE2488" s="77"/>
      <c r="BF2488" s="77"/>
      <c r="BG2488" s="77"/>
      <c r="BH2488" s="77"/>
      <c r="BI2488" s="77"/>
    </row>
    <row r="2489" spans="1:61" x14ac:dyDescent="0.25">
      <c r="A2489" s="62" t="s">
        <v>1027</v>
      </c>
      <c r="B2489" s="62" t="s">
        <v>1027</v>
      </c>
      <c r="C2489" s="63"/>
      <c r="D2489" s="64"/>
      <c r="E2489" s="65"/>
      <c r="F2489" s="66"/>
      <c r="G2489" s="63"/>
      <c r="H2489" s="67"/>
      <c r="I2489" s="68"/>
      <c r="J2489" s="68"/>
      <c r="K2489" s="32"/>
      <c r="L2489" s="75">
        <v>2489</v>
      </c>
      <c r="M2489" s="75"/>
      <c r="N2489" s="70"/>
      <c r="O2489" s="77" t="s">
        <v>179</v>
      </c>
      <c r="P2489" s="79">
        <v>45191.832361111112</v>
      </c>
      <c r="Q2489" s="77" t="s">
        <v>4281</v>
      </c>
      <c r="R2489" s="77">
        <v>0</v>
      </c>
      <c r="S2489" s="77">
        <v>0</v>
      </c>
      <c r="T2489" s="77">
        <v>0</v>
      </c>
      <c r="U2489" s="77">
        <v>0</v>
      </c>
      <c r="V2489" s="77">
        <v>12</v>
      </c>
      <c r="W2489" s="80" t="s">
        <v>7462</v>
      </c>
      <c r="X2489" s="83" t="str">
        <f>HYPERLINK("https://www.asteriscos.tv/noticia-73193.html")</f>
        <v>https://www.asteriscos.tv/noticia-73193.html</v>
      </c>
      <c r="Y2489" s="77" t="s">
        <v>8791</v>
      </c>
      <c r="Z2489" s="77"/>
      <c r="AA2489" s="77" t="s">
        <v>9782</v>
      </c>
      <c r="AB2489" s="77" t="s">
        <v>10535</v>
      </c>
      <c r="AC2489" s="80" t="s">
        <v>10541</v>
      </c>
      <c r="AD2489" s="77" t="s">
        <v>10620</v>
      </c>
      <c r="AE2489" s="83" t="str">
        <f>HYPERLINK("https://twitter.com/asteriscostv/status/1705310650610614604")</f>
        <v>https://twitter.com/asteriscostv/status/1705310650610614604</v>
      </c>
      <c r="AF2489" s="79">
        <v>45191.832361111112</v>
      </c>
      <c r="AG2489" s="85">
        <v>45191</v>
      </c>
      <c r="AH2489" s="80" t="s">
        <v>12813</v>
      </c>
      <c r="AI2489" s="77" t="b">
        <v>0</v>
      </c>
      <c r="AJ2489" s="77"/>
      <c r="AK2489" s="77"/>
      <c r="AL2489" s="77"/>
      <c r="AM2489" s="77"/>
      <c r="AN2489" s="77"/>
      <c r="AO2489" s="77"/>
      <c r="AP2489" s="77"/>
      <c r="AQ2489" s="77" t="s">
        <v>15264</v>
      </c>
      <c r="AR2489" s="77"/>
      <c r="AS2489" s="77"/>
      <c r="AT2489" s="77"/>
      <c r="AU2489" s="77"/>
      <c r="AV2489" s="83" t="str">
        <f>HYPERLINK("https://pbs.twimg.com/media/F6p6_sYWMAAyoo4.png")</f>
        <v>https://pbs.twimg.com/media/F6p6_sYWMAAyoo4.png</v>
      </c>
      <c r="AW2489" s="80" t="s">
        <v>18283</v>
      </c>
      <c r="AX2489" s="80" t="s">
        <v>18283</v>
      </c>
      <c r="AY2489" s="77"/>
      <c r="AZ2489" s="80" t="s">
        <v>20380</v>
      </c>
      <c r="BA2489" s="80" t="s">
        <v>20380</v>
      </c>
      <c r="BB2489" s="80" t="s">
        <v>20380</v>
      </c>
      <c r="BC2489" s="80" t="s">
        <v>18283</v>
      </c>
      <c r="BD2489" s="77">
        <v>149982380</v>
      </c>
      <c r="BE2489" s="77"/>
      <c r="BF2489" s="77"/>
      <c r="BG2489" s="77"/>
      <c r="BH2489" s="77"/>
      <c r="BI2489" s="77"/>
    </row>
    <row r="2490" spans="1:61" x14ac:dyDescent="0.25">
      <c r="A2490" s="62" t="s">
        <v>1028</v>
      </c>
      <c r="B2490" s="62" t="s">
        <v>1028</v>
      </c>
      <c r="C2490" s="63"/>
      <c r="D2490" s="64"/>
      <c r="E2490" s="65"/>
      <c r="F2490" s="66"/>
      <c r="G2490" s="63"/>
      <c r="H2490" s="67"/>
      <c r="I2490" s="68"/>
      <c r="J2490" s="68"/>
      <c r="K2490" s="32"/>
      <c r="L2490" s="75">
        <v>2490</v>
      </c>
      <c r="M2490" s="75"/>
      <c r="N2490" s="70"/>
      <c r="O2490" s="77" t="s">
        <v>179</v>
      </c>
      <c r="P2490" s="79">
        <v>45055.866666666669</v>
      </c>
      <c r="Q2490" s="77" t="s">
        <v>4282</v>
      </c>
      <c r="R2490" s="77">
        <v>0</v>
      </c>
      <c r="S2490" s="77">
        <v>3</v>
      </c>
      <c r="T2490" s="77">
        <v>1</v>
      </c>
      <c r="U2490" s="77">
        <v>0</v>
      </c>
      <c r="V2490" s="77">
        <v>138</v>
      </c>
      <c r="W2490" s="80" t="s">
        <v>7463</v>
      </c>
      <c r="X2490" s="83" t="str">
        <f>HYPERLINK("https://aterraeredonda.com.br/gabriel-galipolo-no-banco-central/")</f>
        <v>https://aterraeredonda.com.br/gabriel-galipolo-no-banco-central/</v>
      </c>
      <c r="Y2490" s="77" t="s">
        <v>8611</v>
      </c>
      <c r="Z2490" s="77"/>
      <c r="AA2490" s="77" t="s">
        <v>9783</v>
      </c>
      <c r="AB2490" s="77" t="s">
        <v>10535</v>
      </c>
      <c r="AC2490" s="80" t="s">
        <v>10541</v>
      </c>
      <c r="AD2490" s="77" t="s">
        <v>10617</v>
      </c>
      <c r="AE2490" s="83" t="str">
        <f>HYPERLINK("https://twitter.com/aterraredonda1/status/1656038329924849664")</f>
        <v>https://twitter.com/aterraredonda1/status/1656038329924849664</v>
      </c>
      <c r="AF2490" s="79">
        <v>45055.866666666669</v>
      </c>
      <c r="AG2490" s="85">
        <v>45055</v>
      </c>
      <c r="AH2490" s="80" t="s">
        <v>12814</v>
      </c>
      <c r="AI2490" s="77" t="b">
        <v>0</v>
      </c>
      <c r="AJ2490" s="77"/>
      <c r="AK2490" s="77"/>
      <c r="AL2490" s="77"/>
      <c r="AM2490" s="77"/>
      <c r="AN2490" s="77"/>
      <c r="AO2490" s="77"/>
      <c r="AP2490" s="77"/>
      <c r="AQ2490" s="77" t="s">
        <v>15265</v>
      </c>
      <c r="AR2490" s="77"/>
      <c r="AS2490" s="77"/>
      <c r="AT2490" s="77"/>
      <c r="AU2490" s="77"/>
      <c r="AV2490" s="83" t="str">
        <f>HYPERLINK("https://pbs.twimg.com/media/FvtgZVPXoAQTM6M.jpg")</f>
        <v>https://pbs.twimg.com/media/FvtgZVPXoAQTM6M.jpg</v>
      </c>
      <c r="AW2490" s="80" t="s">
        <v>18284</v>
      </c>
      <c r="AX2490" s="80" t="s">
        <v>18284</v>
      </c>
      <c r="AY2490" s="77"/>
      <c r="AZ2490" s="80" t="s">
        <v>20380</v>
      </c>
      <c r="BA2490" s="80" t="s">
        <v>20380</v>
      </c>
      <c r="BB2490" s="80" t="s">
        <v>20380</v>
      </c>
      <c r="BC2490" s="80" t="s">
        <v>18284</v>
      </c>
      <c r="BD2490" s="80" t="s">
        <v>20887</v>
      </c>
      <c r="BE2490" s="77"/>
      <c r="BF2490" s="77"/>
      <c r="BG2490" s="77"/>
      <c r="BH2490" s="77"/>
      <c r="BI2490" s="77"/>
    </row>
    <row r="2491" spans="1:61" x14ac:dyDescent="0.25">
      <c r="A2491" s="62" t="s">
        <v>1028</v>
      </c>
      <c r="B2491" s="62" t="s">
        <v>1028</v>
      </c>
      <c r="C2491" s="63"/>
      <c r="D2491" s="64"/>
      <c r="E2491" s="65"/>
      <c r="F2491" s="66"/>
      <c r="G2491" s="63"/>
      <c r="H2491" s="67"/>
      <c r="I2491" s="68"/>
      <c r="J2491" s="68"/>
      <c r="K2491" s="32"/>
      <c r="L2491" s="75">
        <v>2491</v>
      </c>
      <c r="M2491" s="75"/>
      <c r="N2491" s="70"/>
      <c r="O2491" s="77" t="s">
        <v>179</v>
      </c>
      <c r="P2491" s="79">
        <v>45065.990972222222</v>
      </c>
      <c r="Q2491" s="77" t="s">
        <v>4283</v>
      </c>
      <c r="R2491" s="77">
        <v>1</v>
      </c>
      <c r="S2491" s="77">
        <v>3</v>
      </c>
      <c r="T2491" s="77">
        <v>0</v>
      </c>
      <c r="U2491" s="77">
        <v>0</v>
      </c>
      <c r="V2491" s="77">
        <v>113</v>
      </c>
      <c r="W2491" s="80" t="s">
        <v>7464</v>
      </c>
      <c r="X2491" s="83" t="str">
        <f>HYPERLINK("https://aterraeredonda.com.br/as-novas-indicacoes-para-o-banco-central/")</f>
        <v>https://aterraeredonda.com.br/as-novas-indicacoes-para-o-banco-central/</v>
      </c>
      <c r="Y2491" s="77" t="s">
        <v>8611</v>
      </c>
      <c r="Z2491" s="77"/>
      <c r="AA2491" s="77" t="s">
        <v>9784</v>
      </c>
      <c r="AB2491" s="77" t="s">
        <v>10535</v>
      </c>
      <c r="AC2491" s="80" t="s">
        <v>10541</v>
      </c>
      <c r="AD2491" s="77" t="s">
        <v>10617</v>
      </c>
      <c r="AE2491" s="83" t="str">
        <f>HYPERLINK("https://twitter.com/aterraredonda1/status/1659707255393243137")</f>
        <v>https://twitter.com/aterraredonda1/status/1659707255393243137</v>
      </c>
      <c r="AF2491" s="79">
        <v>45065.990972222222</v>
      </c>
      <c r="AG2491" s="85">
        <v>45065</v>
      </c>
      <c r="AH2491" s="80" t="s">
        <v>12815</v>
      </c>
      <c r="AI2491" s="77" t="b">
        <v>0</v>
      </c>
      <c r="AJ2491" s="77"/>
      <c r="AK2491" s="77"/>
      <c r="AL2491" s="77"/>
      <c r="AM2491" s="77"/>
      <c r="AN2491" s="77"/>
      <c r="AO2491" s="77"/>
      <c r="AP2491" s="77"/>
      <c r="AQ2491" s="77" t="s">
        <v>15266</v>
      </c>
      <c r="AR2491" s="77"/>
      <c r="AS2491" s="77"/>
      <c r="AT2491" s="77"/>
      <c r="AU2491" s="77"/>
      <c r="AV2491" s="83" t="str">
        <f>HYPERLINK("https://pbs.twimg.com/media/FwhN9-XWYAAa6f5.jpg")</f>
        <v>https://pbs.twimg.com/media/FwhN9-XWYAAa6f5.jpg</v>
      </c>
      <c r="AW2491" s="80" t="s">
        <v>18285</v>
      </c>
      <c r="AX2491" s="80" t="s">
        <v>18285</v>
      </c>
      <c r="AY2491" s="77"/>
      <c r="AZ2491" s="80" t="s">
        <v>20380</v>
      </c>
      <c r="BA2491" s="80" t="s">
        <v>20380</v>
      </c>
      <c r="BB2491" s="80" t="s">
        <v>20380</v>
      </c>
      <c r="BC2491" s="80" t="s">
        <v>18285</v>
      </c>
      <c r="BD2491" s="80" t="s">
        <v>20887</v>
      </c>
      <c r="BE2491" s="77"/>
      <c r="BF2491" s="77"/>
      <c r="BG2491" s="77"/>
      <c r="BH2491" s="77"/>
      <c r="BI2491" s="77"/>
    </row>
    <row r="2492" spans="1:61" x14ac:dyDescent="0.25">
      <c r="A2492" s="62" t="s">
        <v>1028</v>
      </c>
      <c r="B2492" s="62" t="s">
        <v>1028</v>
      </c>
      <c r="C2492" s="63"/>
      <c r="D2492" s="64"/>
      <c r="E2492" s="65"/>
      <c r="F2492" s="66"/>
      <c r="G2492" s="63"/>
      <c r="H2492" s="67"/>
      <c r="I2492" s="68"/>
      <c r="J2492" s="68"/>
      <c r="K2492" s="32"/>
      <c r="L2492" s="75">
        <v>2492</v>
      </c>
      <c r="M2492" s="75"/>
      <c r="N2492" s="70"/>
      <c r="O2492" s="77" t="s">
        <v>179</v>
      </c>
      <c r="P2492" s="79">
        <v>45102.861111111109</v>
      </c>
      <c r="Q2492" s="77" t="s">
        <v>4284</v>
      </c>
      <c r="R2492" s="77">
        <v>1</v>
      </c>
      <c r="S2492" s="77">
        <v>0</v>
      </c>
      <c r="T2492" s="77">
        <v>0</v>
      </c>
      <c r="U2492" s="77">
        <v>0</v>
      </c>
      <c r="V2492" s="77">
        <v>240</v>
      </c>
      <c r="W2492" s="80" t="s">
        <v>7465</v>
      </c>
      <c r="X2492" s="83" t="str">
        <f>HYPERLINK("https://aterraeredonda.com.br/os-gastos-do-banco-central/")</f>
        <v>https://aterraeredonda.com.br/os-gastos-do-banco-central/</v>
      </c>
      <c r="Y2492" s="77" t="s">
        <v>8611</v>
      </c>
      <c r="Z2492" s="77"/>
      <c r="AA2492" s="77" t="s">
        <v>9785</v>
      </c>
      <c r="AB2492" s="77" t="s">
        <v>10535</v>
      </c>
      <c r="AC2492" s="80" t="s">
        <v>10541</v>
      </c>
      <c r="AD2492" s="77" t="s">
        <v>10617</v>
      </c>
      <c r="AE2492" s="83" t="str">
        <f>HYPERLINK("https://twitter.com/aterraredonda1/status/1673068546320900098")</f>
        <v>https://twitter.com/aterraredonda1/status/1673068546320900098</v>
      </c>
      <c r="AF2492" s="79">
        <v>45102.861111111109</v>
      </c>
      <c r="AG2492" s="85">
        <v>45102</v>
      </c>
      <c r="AH2492" s="80" t="s">
        <v>12816</v>
      </c>
      <c r="AI2492" s="77" t="b">
        <v>0</v>
      </c>
      <c r="AJ2492" s="77"/>
      <c r="AK2492" s="77"/>
      <c r="AL2492" s="77"/>
      <c r="AM2492" s="77"/>
      <c r="AN2492" s="77"/>
      <c r="AO2492" s="77"/>
      <c r="AP2492" s="77"/>
      <c r="AQ2492" s="77" t="s">
        <v>15267</v>
      </c>
      <c r="AR2492" s="77"/>
      <c r="AS2492" s="77"/>
      <c r="AT2492" s="77"/>
      <c r="AU2492" s="77"/>
      <c r="AV2492" s="83" t="str">
        <f>HYPERLINK("https://pbs.twimg.com/media/FzfhPeAWAAEz1Gf.jpg")</f>
        <v>https://pbs.twimg.com/media/FzfhPeAWAAEz1Gf.jpg</v>
      </c>
      <c r="AW2492" s="80" t="s">
        <v>18286</v>
      </c>
      <c r="AX2492" s="80" t="s">
        <v>18286</v>
      </c>
      <c r="AY2492" s="77"/>
      <c r="AZ2492" s="80" t="s">
        <v>20380</v>
      </c>
      <c r="BA2492" s="80" t="s">
        <v>20380</v>
      </c>
      <c r="BB2492" s="80" t="s">
        <v>20380</v>
      </c>
      <c r="BC2492" s="80" t="s">
        <v>18286</v>
      </c>
      <c r="BD2492" s="80" t="s">
        <v>20887</v>
      </c>
      <c r="BE2492" s="77"/>
      <c r="BF2492" s="77"/>
      <c r="BG2492" s="77"/>
      <c r="BH2492" s="77"/>
      <c r="BI2492" s="77"/>
    </row>
    <row r="2493" spans="1:61" x14ac:dyDescent="0.25">
      <c r="A2493" s="62" t="s">
        <v>1028</v>
      </c>
      <c r="B2493" s="62" t="s">
        <v>1028</v>
      </c>
      <c r="C2493" s="63"/>
      <c r="D2493" s="64"/>
      <c r="E2493" s="65"/>
      <c r="F2493" s="66"/>
      <c r="G2493" s="63"/>
      <c r="H2493" s="67"/>
      <c r="I2493" s="68"/>
      <c r="J2493" s="68"/>
      <c r="K2493" s="32"/>
      <c r="L2493" s="75">
        <v>2493</v>
      </c>
      <c r="M2493" s="75"/>
      <c r="N2493" s="70"/>
      <c r="O2493" s="77" t="s">
        <v>179</v>
      </c>
      <c r="P2493" s="79">
        <v>45140.810312499998</v>
      </c>
      <c r="Q2493" s="77" t="s">
        <v>4285</v>
      </c>
      <c r="R2493" s="77">
        <v>1</v>
      </c>
      <c r="S2493" s="77">
        <v>1</v>
      </c>
      <c r="T2493" s="77">
        <v>0</v>
      </c>
      <c r="U2493" s="77">
        <v>0</v>
      </c>
      <c r="V2493" s="77">
        <v>160</v>
      </c>
      <c r="W2493" s="80" t="s">
        <v>7466</v>
      </c>
      <c r="X2493" s="83" t="str">
        <f>HYPERLINK("https://aterraeredonda.com.br/autonomia-do-banco-central-a-nova-prisao/")</f>
        <v>https://aterraeredonda.com.br/autonomia-do-banco-central-a-nova-prisao/</v>
      </c>
      <c r="Y2493" s="77" t="s">
        <v>8611</v>
      </c>
      <c r="Z2493" s="77"/>
      <c r="AA2493" s="77" t="s">
        <v>9786</v>
      </c>
      <c r="AB2493" s="77" t="s">
        <v>10535</v>
      </c>
      <c r="AC2493" s="80" t="s">
        <v>10541</v>
      </c>
      <c r="AD2493" s="77" t="s">
        <v>10617</v>
      </c>
      <c r="AE2493" s="83" t="str">
        <f>HYPERLINK("https://twitter.com/aterraredonda1/status/1686820875926913026")</f>
        <v>https://twitter.com/aterraredonda1/status/1686820875926913026</v>
      </c>
      <c r="AF2493" s="79">
        <v>45140.810312499998</v>
      </c>
      <c r="AG2493" s="85">
        <v>45140</v>
      </c>
      <c r="AH2493" s="80" t="s">
        <v>12817</v>
      </c>
      <c r="AI2493" s="77" t="b">
        <v>0</v>
      </c>
      <c r="AJ2493" s="77"/>
      <c r="AK2493" s="77"/>
      <c r="AL2493" s="77"/>
      <c r="AM2493" s="77"/>
      <c r="AN2493" s="77"/>
      <c r="AO2493" s="77"/>
      <c r="AP2493" s="77"/>
      <c r="AQ2493" s="77" t="s">
        <v>15268</v>
      </c>
      <c r="AR2493" s="77"/>
      <c r="AS2493" s="77"/>
      <c r="AT2493" s="77"/>
      <c r="AU2493" s="77"/>
      <c r="AV2493" s="83" t="str">
        <f>HYPERLINK("https://pbs.twimg.com/media/F2jKn6UWQAAHEzP.jpg")</f>
        <v>https://pbs.twimg.com/media/F2jKn6UWQAAHEzP.jpg</v>
      </c>
      <c r="AW2493" s="80" t="s">
        <v>18287</v>
      </c>
      <c r="AX2493" s="80" t="s">
        <v>18287</v>
      </c>
      <c r="AY2493" s="77"/>
      <c r="AZ2493" s="80" t="s">
        <v>20380</v>
      </c>
      <c r="BA2493" s="80" t="s">
        <v>20380</v>
      </c>
      <c r="BB2493" s="80" t="s">
        <v>20380</v>
      </c>
      <c r="BC2493" s="80" t="s">
        <v>18287</v>
      </c>
      <c r="BD2493" s="80" t="s">
        <v>20887</v>
      </c>
      <c r="BE2493" s="77"/>
      <c r="BF2493" s="77"/>
      <c r="BG2493" s="77"/>
      <c r="BH2493" s="77"/>
      <c r="BI2493" s="77"/>
    </row>
    <row r="2494" spans="1:61" x14ac:dyDescent="0.25">
      <c r="A2494" s="62" t="s">
        <v>1029</v>
      </c>
      <c r="B2494" s="62" t="s">
        <v>1029</v>
      </c>
      <c r="C2494" s="63"/>
      <c r="D2494" s="64"/>
      <c r="E2494" s="65"/>
      <c r="F2494" s="66"/>
      <c r="G2494" s="63"/>
      <c r="H2494" s="67"/>
      <c r="I2494" s="68"/>
      <c r="J2494" s="68"/>
      <c r="K2494" s="32"/>
      <c r="L2494" s="75">
        <v>2494</v>
      </c>
      <c r="M2494" s="75"/>
      <c r="N2494" s="70"/>
      <c r="O2494" s="77" t="s">
        <v>179</v>
      </c>
      <c r="P2494" s="79">
        <v>45136.067361111112</v>
      </c>
      <c r="Q2494" s="77" t="s">
        <v>4286</v>
      </c>
      <c r="R2494" s="77">
        <v>1</v>
      </c>
      <c r="S2494" s="77">
        <v>1</v>
      </c>
      <c r="T2494" s="77">
        <v>0</v>
      </c>
      <c r="U2494" s="77">
        <v>0</v>
      </c>
      <c r="V2494" s="77">
        <v>224</v>
      </c>
      <c r="W2494" s="80" t="s">
        <v>7467</v>
      </c>
      <c r="X2494" s="83" t="str">
        <f>HYPERLINK("https://eleccionespresidencialeschile.cl/encuestajulio/")</f>
        <v>https://eleccionespresidencialeschile.cl/encuestajulio/</v>
      </c>
      <c r="Y2494" s="77" t="s">
        <v>8792</v>
      </c>
      <c r="Z2494" s="77"/>
      <c r="AA2494" s="77" t="s">
        <v>9787</v>
      </c>
      <c r="AB2494" s="77" t="s">
        <v>10535</v>
      </c>
      <c r="AC2494" s="80" t="s">
        <v>10541</v>
      </c>
      <c r="AD2494" s="77" t="s">
        <v>10620</v>
      </c>
      <c r="AE2494" s="83" t="str">
        <f>HYPERLINK("https://twitter.com/epch_oficial/status/1685102088420765697")</f>
        <v>https://twitter.com/epch_oficial/status/1685102088420765697</v>
      </c>
      <c r="AF2494" s="79">
        <v>45136.067361111112</v>
      </c>
      <c r="AG2494" s="85">
        <v>45136</v>
      </c>
      <c r="AH2494" s="80" t="s">
        <v>12818</v>
      </c>
      <c r="AI2494" s="77" t="b">
        <v>0</v>
      </c>
      <c r="AJ2494" s="77"/>
      <c r="AK2494" s="77"/>
      <c r="AL2494" s="77"/>
      <c r="AM2494" s="77"/>
      <c r="AN2494" s="77"/>
      <c r="AO2494" s="77"/>
      <c r="AP2494" s="77"/>
      <c r="AQ2494" s="77" t="s">
        <v>15269</v>
      </c>
      <c r="AR2494" s="77"/>
      <c r="AS2494" s="77"/>
      <c r="AT2494" s="77"/>
      <c r="AU2494" s="77"/>
      <c r="AV2494" s="83" t="str">
        <f>HYPERLINK("https://pbs.twimg.com/media/F2KvQKsXAAIJH5Q.jpg")</f>
        <v>https://pbs.twimg.com/media/F2KvQKsXAAIJH5Q.jpg</v>
      </c>
      <c r="AW2494" s="80" t="s">
        <v>18288</v>
      </c>
      <c r="AX2494" s="80" t="s">
        <v>18288</v>
      </c>
      <c r="AY2494" s="77"/>
      <c r="AZ2494" s="80" t="s">
        <v>20380</v>
      </c>
      <c r="BA2494" s="80" t="s">
        <v>20380</v>
      </c>
      <c r="BB2494" s="80" t="s">
        <v>20380</v>
      </c>
      <c r="BC2494" s="80" t="s">
        <v>18288</v>
      </c>
      <c r="BD2494" s="80" t="s">
        <v>20888</v>
      </c>
      <c r="BE2494" s="77"/>
      <c r="BF2494" s="77"/>
      <c r="BG2494" s="77"/>
      <c r="BH2494" s="77"/>
      <c r="BI2494" s="77"/>
    </row>
    <row r="2495" spans="1:61" x14ac:dyDescent="0.25">
      <c r="A2495" s="62" t="s">
        <v>1030</v>
      </c>
      <c r="B2495" s="62" t="s">
        <v>1030</v>
      </c>
      <c r="C2495" s="63"/>
      <c r="D2495" s="64"/>
      <c r="E2495" s="65"/>
      <c r="F2495" s="66"/>
      <c r="G2495" s="63"/>
      <c r="H2495" s="67"/>
      <c r="I2495" s="68"/>
      <c r="J2495" s="68"/>
      <c r="K2495" s="32"/>
      <c r="L2495" s="75">
        <v>2495</v>
      </c>
      <c r="M2495" s="75"/>
      <c r="N2495" s="70"/>
      <c r="O2495" s="77" t="s">
        <v>179</v>
      </c>
      <c r="P2495" s="79">
        <v>45114.103773148148</v>
      </c>
      <c r="Q2495" s="77" t="s">
        <v>4287</v>
      </c>
      <c r="R2495" s="77">
        <v>0</v>
      </c>
      <c r="S2495" s="77">
        <v>0</v>
      </c>
      <c r="T2495" s="77">
        <v>0</v>
      </c>
      <c r="U2495" s="77">
        <v>0</v>
      </c>
      <c r="V2495" s="77">
        <v>47</v>
      </c>
      <c r="W2495" s="80" t="s">
        <v>7468</v>
      </c>
      <c r="X2495" s="77"/>
      <c r="Y2495" s="77"/>
      <c r="Z2495" s="77"/>
      <c r="AA2495" s="77" t="s">
        <v>9788</v>
      </c>
      <c r="AB2495" s="77" t="s">
        <v>10535</v>
      </c>
      <c r="AC2495" s="80" t="s">
        <v>10541</v>
      </c>
      <c r="AD2495" s="77" t="s">
        <v>10617</v>
      </c>
      <c r="AE2495" s="83" t="str">
        <f>HYPERLINK("https://twitter.com/adilson900/status/1677142751807172609")</f>
        <v>https://twitter.com/adilson900/status/1677142751807172609</v>
      </c>
      <c r="AF2495" s="79">
        <v>45114.103773148148</v>
      </c>
      <c r="AG2495" s="85">
        <v>45114</v>
      </c>
      <c r="AH2495" s="80" t="s">
        <v>12819</v>
      </c>
      <c r="AI2495" s="77" t="b">
        <v>0</v>
      </c>
      <c r="AJ2495" s="77"/>
      <c r="AK2495" s="77"/>
      <c r="AL2495" s="77"/>
      <c r="AM2495" s="77"/>
      <c r="AN2495" s="77"/>
      <c r="AO2495" s="77"/>
      <c r="AP2495" s="77"/>
      <c r="AQ2495" s="77" t="s">
        <v>15270</v>
      </c>
      <c r="AR2495" s="77"/>
      <c r="AS2495" s="77"/>
      <c r="AT2495" s="77"/>
      <c r="AU2495" s="77"/>
      <c r="AV2495" s="83" t="str">
        <f>HYPERLINK("https://pbs.twimg.com/media/F0ZnOmkXgAA9cpZ.jpg")</f>
        <v>https://pbs.twimg.com/media/F0ZnOmkXgAA9cpZ.jpg</v>
      </c>
      <c r="AW2495" s="80" t="s">
        <v>18289</v>
      </c>
      <c r="AX2495" s="80" t="s">
        <v>18289</v>
      </c>
      <c r="AY2495" s="77"/>
      <c r="AZ2495" s="80" t="s">
        <v>20380</v>
      </c>
      <c r="BA2495" s="80" t="s">
        <v>20380</v>
      </c>
      <c r="BB2495" s="80" t="s">
        <v>20380</v>
      </c>
      <c r="BC2495" s="80" t="s">
        <v>18289</v>
      </c>
      <c r="BD2495" s="80" t="s">
        <v>20889</v>
      </c>
      <c r="BE2495" s="77"/>
      <c r="BF2495" s="77"/>
      <c r="BG2495" s="77"/>
      <c r="BH2495" s="77"/>
      <c r="BI2495" s="77"/>
    </row>
    <row r="2496" spans="1:61" x14ac:dyDescent="0.25">
      <c r="A2496" s="62" t="s">
        <v>1031</v>
      </c>
      <c r="B2496" s="62" t="s">
        <v>1031</v>
      </c>
      <c r="C2496" s="63"/>
      <c r="D2496" s="64"/>
      <c r="E2496" s="65"/>
      <c r="F2496" s="66"/>
      <c r="G2496" s="63"/>
      <c r="H2496" s="67"/>
      <c r="I2496" s="68"/>
      <c r="J2496" s="68"/>
      <c r="K2496" s="32"/>
      <c r="L2496" s="75">
        <v>2496</v>
      </c>
      <c r="M2496" s="75"/>
      <c r="N2496" s="70"/>
      <c r="O2496" s="77" t="s">
        <v>179</v>
      </c>
      <c r="P2496" s="79">
        <v>45152.705381944441</v>
      </c>
      <c r="Q2496" s="77" t="s">
        <v>4288</v>
      </c>
      <c r="R2496" s="77">
        <v>1</v>
      </c>
      <c r="S2496" s="77">
        <v>2</v>
      </c>
      <c r="T2496" s="77">
        <v>0</v>
      </c>
      <c r="U2496" s="77">
        <v>0</v>
      </c>
      <c r="V2496" s="77">
        <v>213</v>
      </c>
      <c r="W2496" s="80" t="s">
        <v>7469</v>
      </c>
      <c r="X2496" s="83" t="str">
        <f>HYPERLINK("https://ow.ly/moHU50PyUba")</f>
        <v>https://ow.ly/moHU50PyUba</v>
      </c>
      <c r="Y2496" s="77" t="s">
        <v>8709</v>
      </c>
      <c r="Z2496" s="77"/>
      <c r="AA2496" s="77"/>
      <c r="AB2496" s="77"/>
      <c r="AC2496" s="80" t="s">
        <v>10541</v>
      </c>
      <c r="AD2496" s="77" t="s">
        <v>10620</v>
      </c>
      <c r="AE2496" s="83" t="str">
        <f>HYPERLINK("https://twitter.com/danielgriboff/status/1691131504812822528")</f>
        <v>https://twitter.com/danielgriboff/status/1691131504812822528</v>
      </c>
      <c r="AF2496" s="79">
        <v>45152.705381944441</v>
      </c>
      <c r="AG2496" s="85">
        <v>45152</v>
      </c>
      <c r="AH2496" s="80" t="s">
        <v>11364</v>
      </c>
      <c r="AI2496" s="77" t="b">
        <v>0</v>
      </c>
      <c r="AJ2496" s="77"/>
      <c r="AK2496" s="77"/>
      <c r="AL2496" s="77"/>
      <c r="AM2496" s="77"/>
      <c r="AN2496" s="77"/>
      <c r="AO2496" s="77"/>
      <c r="AP2496" s="77"/>
      <c r="AQ2496" s="77"/>
      <c r="AR2496" s="77"/>
      <c r="AS2496" s="77"/>
      <c r="AT2496" s="77"/>
      <c r="AU2496" s="77"/>
      <c r="AV2496" s="83" t="str">
        <f>HYPERLINK("https://pbs.twimg.com/profile_images/1690060876651405312/OlUgE2QI_normal.jpg")</f>
        <v>https://pbs.twimg.com/profile_images/1690060876651405312/OlUgE2QI_normal.jpg</v>
      </c>
      <c r="AW2496" s="80" t="s">
        <v>18290</v>
      </c>
      <c r="AX2496" s="80" t="s">
        <v>18290</v>
      </c>
      <c r="AY2496" s="77"/>
      <c r="AZ2496" s="80" t="s">
        <v>20380</v>
      </c>
      <c r="BA2496" s="80" t="s">
        <v>20380</v>
      </c>
      <c r="BB2496" s="80" t="s">
        <v>20380</v>
      </c>
      <c r="BC2496" s="80" t="s">
        <v>18290</v>
      </c>
      <c r="BD2496" s="77">
        <v>569461337</v>
      </c>
      <c r="BE2496" s="77"/>
      <c r="BF2496" s="77"/>
      <c r="BG2496" s="77"/>
      <c r="BH2496" s="77"/>
      <c r="BI2496" s="77"/>
    </row>
    <row r="2497" spans="1:61" x14ac:dyDescent="0.25">
      <c r="A2497" s="62" t="s">
        <v>1032</v>
      </c>
      <c r="B2497" s="62" t="s">
        <v>1032</v>
      </c>
      <c r="C2497" s="63"/>
      <c r="D2497" s="64"/>
      <c r="E2497" s="65"/>
      <c r="F2497" s="66"/>
      <c r="G2497" s="63"/>
      <c r="H2497" s="67"/>
      <c r="I2497" s="68"/>
      <c r="J2497" s="68"/>
      <c r="K2497" s="32"/>
      <c r="L2497" s="75">
        <v>2497</v>
      </c>
      <c r="M2497" s="75"/>
      <c r="N2497" s="70"/>
      <c r="O2497" s="77" t="s">
        <v>179</v>
      </c>
      <c r="P2497" s="79">
        <v>45134.562210648146</v>
      </c>
      <c r="Q2497" s="77" t="s">
        <v>4289</v>
      </c>
      <c r="R2497" s="77">
        <v>1</v>
      </c>
      <c r="S2497" s="77">
        <v>6</v>
      </c>
      <c r="T2497" s="77">
        <v>0</v>
      </c>
      <c r="U2497" s="77">
        <v>0</v>
      </c>
      <c r="V2497" s="77">
        <v>1403</v>
      </c>
      <c r="W2497" s="80" t="s">
        <v>7470</v>
      </c>
      <c r="X2497" s="83" t="str">
        <f>HYPERLINK("https://forbes.com.br/forbes-money/2023/07/bce-eleva-juros-para-pico-em-23-anos-e-mantem-opcoes-em-aberto-para-setembro/")</f>
        <v>https://forbes.com.br/forbes-money/2023/07/bce-eleva-juros-para-pico-em-23-anos-e-mantem-opcoes-em-aberto-para-setembro/</v>
      </c>
      <c r="Y2497" s="77" t="s">
        <v>8611</v>
      </c>
      <c r="Z2497" s="77"/>
      <c r="AA2497" s="77"/>
      <c r="AB2497" s="77"/>
      <c r="AC2497" s="80" t="s">
        <v>10541</v>
      </c>
      <c r="AD2497" s="77" t="s">
        <v>10617</v>
      </c>
      <c r="AE2497" s="83" t="str">
        <f>HYPERLINK("https://twitter.com/forbesbr/status/1684556643420479491")</f>
        <v>https://twitter.com/forbesbr/status/1684556643420479491</v>
      </c>
      <c r="AF2497" s="79">
        <v>45134.562210648146</v>
      </c>
      <c r="AG2497" s="85">
        <v>45134</v>
      </c>
      <c r="AH2497" s="80" t="s">
        <v>12820</v>
      </c>
      <c r="AI2497" s="77" t="b">
        <v>0</v>
      </c>
      <c r="AJ2497" s="77"/>
      <c r="AK2497" s="77"/>
      <c r="AL2497" s="77"/>
      <c r="AM2497" s="77"/>
      <c r="AN2497" s="77"/>
      <c r="AO2497" s="77"/>
      <c r="AP2497" s="77"/>
      <c r="AQ2497" s="77"/>
      <c r="AR2497" s="77"/>
      <c r="AS2497" s="77"/>
      <c r="AT2497" s="77"/>
      <c r="AU2497" s="77"/>
      <c r="AV2497" s="83" t="str">
        <f>HYPERLINK("https://pbs.twimg.com/profile_images/1334211682235768834/iQOE8aBe_normal.jpg")</f>
        <v>https://pbs.twimg.com/profile_images/1334211682235768834/iQOE8aBe_normal.jpg</v>
      </c>
      <c r="AW2497" s="80" t="s">
        <v>18291</v>
      </c>
      <c r="AX2497" s="80" t="s">
        <v>18291</v>
      </c>
      <c r="AY2497" s="77"/>
      <c r="AZ2497" s="80" t="s">
        <v>20380</v>
      </c>
      <c r="BA2497" s="80" t="s">
        <v>20380</v>
      </c>
      <c r="BB2497" s="80" t="s">
        <v>20380</v>
      </c>
      <c r="BC2497" s="80" t="s">
        <v>18291</v>
      </c>
      <c r="BD2497" s="77">
        <v>510272910</v>
      </c>
      <c r="BE2497" s="77"/>
      <c r="BF2497" s="77"/>
      <c r="BG2497" s="77"/>
      <c r="BH2497" s="77"/>
      <c r="BI2497" s="77"/>
    </row>
    <row r="2498" spans="1:61" x14ac:dyDescent="0.25">
      <c r="A2498" s="62" t="s">
        <v>1032</v>
      </c>
      <c r="B2498" s="62" t="s">
        <v>1032</v>
      </c>
      <c r="C2498" s="63"/>
      <c r="D2498" s="64"/>
      <c r="E2498" s="65"/>
      <c r="F2498" s="66"/>
      <c r="G2498" s="63"/>
      <c r="H2498" s="67"/>
      <c r="I2498" s="68"/>
      <c r="J2498" s="68"/>
      <c r="K2498" s="32"/>
      <c r="L2498" s="75">
        <v>2498</v>
      </c>
      <c r="M2498" s="75"/>
      <c r="N2498" s="70"/>
      <c r="O2498" s="77" t="s">
        <v>179</v>
      </c>
      <c r="P2498" s="79">
        <v>45174.819305555553</v>
      </c>
      <c r="Q2498" s="77" t="s">
        <v>4290</v>
      </c>
      <c r="R2498" s="77">
        <v>1</v>
      </c>
      <c r="S2498" s="77">
        <v>3</v>
      </c>
      <c r="T2498" s="77">
        <v>1</v>
      </c>
      <c r="U2498" s="77">
        <v>0</v>
      </c>
      <c r="V2498" s="77">
        <v>1061</v>
      </c>
      <c r="W2498" s="80" t="s">
        <v>5884</v>
      </c>
      <c r="X2498" s="83" t="str">
        <f>HYPERLINK("https://forbes.com.br/forbes-money/2023/09/pix-permitira-debito-automatico-e-bc-ve-evolucao-para-pagamento-offline/")</f>
        <v>https://forbes.com.br/forbes-money/2023/09/pix-permitira-debito-automatico-e-bc-ve-evolucao-para-pagamento-offline/</v>
      </c>
      <c r="Y2498" s="77" t="s">
        <v>8611</v>
      </c>
      <c r="Z2498" s="77"/>
      <c r="AA2498" s="77"/>
      <c r="AB2498" s="77"/>
      <c r="AC2498" s="80" t="s">
        <v>10541</v>
      </c>
      <c r="AD2498" s="77" t="s">
        <v>10617</v>
      </c>
      <c r="AE2498" s="83" t="str">
        <f>HYPERLINK("https://twitter.com/forbesbr/status/1699145324630028672")</f>
        <v>https://twitter.com/forbesbr/status/1699145324630028672</v>
      </c>
      <c r="AF2498" s="79">
        <v>45174.819305555553</v>
      </c>
      <c r="AG2498" s="85">
        <v>45174</v>
      </c>
      <c r="AH2498" s="80" t="s">
        <v>12821</v>
      </c>
      <c r="AI2498" s="77" t="b">
        <v>0</v>
      </c>
      <c r="AJ2498" s="77"/>
      <c r="AK2498" s="77"/>
      <c r="AL2498" s="77"/>
      <c r="AM2498" s="77"/>
      <c r="AN2498" s="77"/>
      <c r="AO2498" s="77"/>
      <c r="AP2498" s="77"/>
      <c r="AQ2498" s="77"/>
      <c r="AR2498" s="77"/>
      <c r="AS2498" s="77"/>
      <c r="AT2498" s="77"/>
      <c r="AU2498" s="77"/>
      <c r="AV2498" s="83" t="str">
        <f>HYPERLINK("https://pbs.twimg.com/profile_images/1334211682235768834/iQOE8aBe_normal.jpg")</f>
        <v>https://pbs.twimg.com/profile_images/1334211682235768834/iQOE8aBe_normal.jpg</v>
      </c>
      <c r="AW2498" s="80" t="s">
        <v>18292</v>
      </c>
      <c r="AX2498" s="80" t="s">
        <v>18292</v>
      </c>
      <c r="AY2498" s="77"/>
      <c r="AZ2498" s="80" t="s">
        <v>20380</v>
      </c>
      <c r="BA2498" s="80" t="s">
        <v>20380</v>
      </c>
      <c r="BB2498" s="80" t="s">
        <v>20380</v>
      </c>
      <c r="BC2498" s="80" t="s">
        <v>18292</v>
      </c>
      <c r="BD2498" s="77">
        <v>510272910</v>
      </c>
      <c r="BE2498" s="77"/>
      <c r="BF2498" s="77"/>
      <c r="BG2498" s="77"/>
      <c r="BH2498" s="77"/>
      <c r="BI2498" s="77"/>
    </row>
    <row r="2499" spans="1:61" x14ac:dyDescent="0.25">
      <c r="A2499" s="62" t="s">
        <v>1033</v>
      </c>
      <c r="B2499" s="62" t="s">
        <v>1945</v>
      </c>
      <c r="C2499" s="63"/>
      <c r="D2499" s="64"/>
      <c r="E2499" s="65"/>
      <c r="F2499" s="66"/>
      <c r="G2499" s="63"/>
      <c r="H2499" s="67"/>
      <c r="I2499" s="68"/>
      <c r="J2499" s="68"/>
      <c r="K2499" s="32"/>
      <c r="L2499" s="75">
        <v>2499</v>
      </c>
      <c r="M2499" s="75"/>
      <c r="N2499" s="70"/>
      <c r="O2499" s="77" t="s">
        <v>2081</v>
      </c>
      <c r="P2499" s="79">
        <v>45091.71435185185</v>
      </c>
      <c r="Q2499" s="77" t="s">
        <v>4291</v>
      </c>
      <c r="R2499" s="77">
        <v>0</v>
      </c>
      <c r="S2499" s="77">
        <v>0</v>
      </c>
      <c r="T2499" s="77">
        <v>0</v>
      </c>
      <c r="U2499" s="77">
        <v>0</v>
      </c>
      <c r="V2499" s="77">
        <v>19</v>
      </c>
      <c r="W2499" s="80" t="s">
        <v>7471</v>
      </c>
      <c r="X2499" s="83" t="str">
        <f>HYPERLINK("https://conexionparques.com.ar/el-banco-provincia-duplico-los-creditos-a-la-produccion/")</f>
        <v>https://conexionparques.com.ar/el-banco-provincia-duplico-los-creditos-a-la-produccion/</v>
      </c>
      <c r="Y2499" s="77" t="s">
        <v>8624</v>
      </c>
      <c r="Z2499" s="77" t="s">
        <v>1945</v>
      </c>
      <c r="AA2499" s="77" t="s">
        <v>9789</v>
      </c>
      <c r="AB2499" s="77" t="s">
        <v>10535</v>
      </c>
      <c r="AC2499" s="80" t="s">
        <v>10541</v>
      </c>
      <c r="AD2499" s="77" t="s">
        <v>10620</v>
      </c>
      <c r="AE2499" s="83" t="str">
        <f>HYPERLINK("https://twitter.com/conexionparques/status/1669029095823245312")</f>
        <v>https://twitter.com/conexionparques/status/1669029095823245312</v>
      </c>
      <c r="AF2499" s="79">
        <v>45091.71435185185</v>
      </c>
      <c r="AG2499" s="85">
        <v>45091</v>
      </c>
      <c r="AH2499" s="80" t="s">
        <v>12822</v>
      </c>
      <c r="AI2499" s="77" t="b">
        <v>0</v>
      </c>
      <c r="AJ2499" s="77"/>
      <c r="AK2499" s="77"/>
      <c r="AL2499" s="77"/>
      <c r="AM2499" s="77"/>
      <c r="AN2499" s="77"/>
      <c r="AO2499" s="77"/>
      <c r="AP2499" s="77"/>
      <c r="AQ2499" s="77" t="s">
        <v>15271</v>
      </c>
      <c r="AR2499" s="77"/>
      <c r="AS2499" s="77"/>
      <c r="AT2499" s="77"/>
      <c r="AU2499" s="77"/>
      <c r="AV2499" s="83" t="str">
        <f>HYPERLINK("https://pbs.twimg.com/media/FymRsh4XoAgFcBK.jpg")</f>
        <v>https://pbs.twimg.com/media/FymRsh4XoAgFcBK.jpg</v>
      </c>
      <c r="AW2499" s="80" t="s">
        <v>18293</v>
      </c>
      <c r="AX2499" s="80" t="s">
        <v>18293</v>
      </c>
      <c r="AY2499" s="77"/>
      <c r="AZ2499" s="80" t="s">
        <v>20380</v>
      </c>
      <c r="BA2499" s="80" t="s">
        <v>20380</v>
      </c>
      <c r="BB2499" s="80" t="s">
        <v>20380</v>
      </c>
      <c r="BC2499" s="80" t="s">
        <v>18293</v>
      </c>
      <c r="BD2499" s="80" t="s">
        <v>20890</v>
      </c>
      <c r="BE2499" s="77"/>
      <c r="BF2499" s="77"/>
      <c r="BG2499" s="77"/>
      <c r="BH2499" s="77"/>
      <c r="BI2499" s="77"/>
    </row>
    <row r="2500" spans="1:61" x14ac:dyDescent="0.25">
      <c r="A2500" s="62" t="s">
        <v>1034</v>
      </c>
      <c r="B2500" s="62" t="s">
        <v>1418</v>
      </c>
      <c r="C2500" s="63"/>
      <c r="D2500" s="64"/>
      <c r="E2500" s="65"/>
      <c r="F2500" s="66"/>
      <c r="G2500" s="63"/>
      <c r="H2500" s="67"/>
      <c r="I2500" s="68"/>
      <c r="J2500" s="68"/>
      <c r="K2500" s="32"/>
      <c r="L2500" s="75">
        <v>2500</v>
      </c>
      <c r="M2500" s="75"/>
      <c r="N2500" s="70"/>
      <c r="O2500" s="77" t="s">
        <v>2081</v>
      </c>
      <c r="P2500" s="79">
        <v>45111.658379629633</v>
      </c>
      <c r="Q2500" s="77" t="s">
        <v>4292</v>
      </c>
      <c r="R2500" s="77">
        <v>0</v>
      </c>
      <c r="S2500" s="77">
        <v>3</v>
      </c>
      <c r="T2500" s="77">
        <v>0</v>
      </c>
      <c r="U2500" s="77">
        <v>0</v>
      </c>
      <c r="V2500" s="77">
        <v>302</v>
      </c>
      <c r="W2500" s="80" t="s">
        <v>7472</v>
      </c>
      <c r="X2500" s="83" t="str">
        <f>HYPERLINK("https://youtu.be/yOaBsiKEy5Q")</f>
        <v>https://youtu.be/yOaBsiKEy5Q</v>
      </c>
      <c r="Y2500" s="77" t="s">
        <v>8635</v>
      </c>
      <c r="Z2500" s="77" t="s">
        <v>1418</v>
      </c>
      <c r="AA2500" s="77"/>
      <c r="AB2500" s="77"/>
      <c r="AC2500" s="80" t="s">
        <v>10541</v>
      </c>
      <c r="AD2500" s="77" t="s">
        <v>10617</v>
      </c>
      <c r="AE2500" s="83" t="str">
        <f>HYPERLINK("https://twitter.com/oinegue/status/1676256568986202114")</f>
        <v>https://twitter.com/oinegue/status/1676256568986202114</v>
      </c>
      <c r="AF2500" s="79">
        <v>45111.658379629633</v>
      </c>
      <c r="AG2500" s="85">
        <v>45111</v>
      </c>
      <c r="AH2500" s="80" t="s">
        <v>12823</v>
      </c>
      <c r="AI2500" s="77" t="b">
        <v>0</v>
      </c>
      <c r="AJ2500" s="77"/>
      <c r="AK2500" s="77"/>
      <c r="AL2500" s="77"/>
      <c r="AM2500" s="77"/>
      <c r="AN2500" s="77"/>
      <c r="AO2500" s="77"/>
      <c r="AP2500" s="77"/>
      <c r="AQ2500" s="77"/>
      <c r="AR2500" s="77"/>
      <c r="AS2500" s="77"/>
      <c r="AT2500" s="77"/>
      <c r="AU2500" s="77"/>
      <c r="AV2500" s="83" t="str">
        <f>HYPERLINK("https://pbs.twimg.com/profile_images/1351582681264496640/nVrkxzE1_normal.jpg")</f>
        <v>https://pbs.twimg.com/profile_images/1351582681264496640/nVrkxzE1_normal.jpg</v>
      </c>
      <c r="AW2500" s="80" t="s">
        <v>18294</v>
      </c>
      <c r="AX2500" s="80" t="s">
        <v>18294</v>
      </c>
      <c r="AY2500" s="77"/>
      <c r="AZ2500" s="80" t="s">
        <v>20380</v>
      </c>
      <c r="BA2500" s="80" t="s">
        <v>20380</v>
      </c>
      <c r="BB2500" s="80" t="s">
        <v>20380</v>
      </c>
      <c r="BC2500" s="80" t="s">
        <v>18294</v>
      </c>
      <c r="BD2500" s="77">
        <v>41788880</v>
      </c>
      <c r="BE2500" s="77"/>
      <c r="BF2500" s="77"/>
      <c r="BG2500" s="77"/>
      <c r="BH2500" s="77"/>
      <c r="BI2500" s="77"/>
    </row>
    <row r="2501" spans="1:61" x14ac:dyDescent="0.25">
      <c r="A2501" s="62" t="s">
        <v>1034</v>
      </c>
      <c r="B2501" s="62" t="s">
        <v>1034</v>
      </c>
      <c r="C2501" s="63"/>
      <c r="D2501" s="64"/>
      <c r="E2501" s="65"/>
      <c r="F2501" s="66"/>
      <c r="G2501" s="63"/>
      <c r="H2501" s="67"/>
      <c r="I2501" s="68"/>
      <c r="J2501" s="68"/>
      <c r="K2501" s="32"/>
      <c r="L2501" s="75">
        <v>2501</v>
      </c>
      <c r="M2501" s="75"/>
      <c r="N2501" s="70"/>
      <c r="O2501" s="77" t="s">
        <v>179</v>
      </c>
      <c r="P2501" s="79">
        <v>45111.021539351852</v>
      </c>
      <c r="Q2501" s="77" t="s">
        <v>4293</v>
      </c>
      <c r="R2501" s="77">
        <v>0</v>
      </c>
      <c r="S2501" s="77">
        <v>4</v>
      </c>
      <c r="T2501" s="77">
        <v>2</v>
      </c>
      <c r="U2501" s="77">
        <v>0</v>
      </c>
      <c r="V2501" s="77">
        <v>552</v>
      </c>
      <c r="W2501" s="80" t="s">
        <v>7472</v>
      </c>
      <c r="X2501" s="83" t="str">
        <f>HYPERLINK("https://youtu.be/rw-u2DSzPx0")</f>
        <v>https://youtu.be/rw-u2DSzPx0</v>
      </c>
      <c r="Y2501" s="77" t="s">
        <v>8635</v>
      </c>
      <c r="Z2501" s="77"/>
      <c r="AA2501" s="77"/>
      <c r="AB2501" s="77"/>
      <c r="AC2501" s="80" t="s">
        <v>10541</v>
      </c>
      <c r="AD2501" s="77" t="s">
        <v>10617</v>
      </c>
      <c r="AE2501" s="83" t="str">
        <f>HYPERLINK("https://twitter.com/oinegue/status/1676025787672150017")</f>
        <v>https://twitter.com/oinegue/status/1676025787672150017</v>
      </c>
      <c r="AF2501" s="79">
        <v>45111.021539351852</v>
      </c>
      <c r="AG2501" s="85">
        <v>45111</v>
      </c>
      <c r="AH2501" s="80" t="s">
        <v>12824</v>
      </c>
      <c r="AI2501" s="77" t="b">
        <v>0</v>
      </c>
      <c r="AJ2501" s="77"/>
      <c r="AK2501" s="77"/>
      <c r="AL2501" s="77"/>
      <c r="AM2501" s="77"/>
      <c r="AN2501" s="77"/>
      <c r="AO2501" s="77"/>
      <c r="AP2501" s="77"/>
      <c r="AQ2501" s="77"/>
      <c r="AR2501" s="77"/>
      <c r="AS2501" s="77"/>
      <c r="AT2501" s="77"/>
      <c r="AU2501" s="77"/>
      <c r="AV2501" s="83" t="str">
        <f>HYPERLINK("https://pbs.twimg.com/profile_images/1351582681264496640/nVrkxzE1_normal.jpg")</f>
        <v>https://pbs.twimg.com/profile_images/1351582681264496640/nVrkxzE1_normal.jpg</v>
      </c>
      <c r="AW2501" s="80" t="s">
        <v>18295</v>
      </c>
      <c r="AX2501" s="80" t="s">
        <v>18295</v>
      </c>
      <c r="AY2501" s="77"/>
      <c r="AZ2501" s="80" t="s">
        <v>20380</v>
      </c>
      <c r="BA2501" s="80" t="s">
        <v>20380</v>
      </c>
      <c r="BB2501" s="80" t="s">
        <v>20380</v>
      </c>
      <c r="BC2501" s="80" t="s">
        <v>18295</v>
      </c>
      <c r="BD2501" s="77">
        <v>41788880</v>
      </c>
      <c r="BE2501" s="77"/>
      <c r="BF2501" s="77"/>
      <c r="BG2501" s="77"/>
      <c r="BH2501" s="77"/>
      <c r="BI2501" s="77"/>
    </row>
    <row r="2502" spans="1:61" x14ac:dyDescent="0.25">
      <c r="A2502" s="62" t="s">
        <v>1034</v>
      </c>
      <c r="B2502" s="62" t="s">
        <v>1034</v>
      </c>
      <c r="C2502" s="63"/>
      <c r="D2502" s="64"/>
      <c r="E2502" s="65"/>
      <c r="F2502" s="66"/>
      <c r="G2502" s="63"/>
      <c r="H2502" s="67"/>
      <c r="I2502" s="68"/>
      <c r="J2502" s="68"/>
      <c r="K2502" s="32"/>
      <c r="L2502" s="75">
        <v>2502</v>
      </c>
      <c r="M2502" s="75"/>
      <c r="N2502" s="70"/>
      <c r="O2502" s="77" t="s">
        <v>179</v>
      </c>
      <c r="P2502" s="79">
        <v>45097.986238425925</v>
      </c>
      <c r="Q2502" s="77" t="s">
        <v>4294</v>
      </c>
      <c r="R2502" s="77">
        <v>0</v>
      </c>
      <c r="S2502" s="77">
        <v>4</v>
      </c>
      <c r="T2502" s="77">
        <v>1</v>
      </c>
      <c r="U2502" s="77">
        <v>0</v>
      </c>
      <c r="V2502" s="77">
        <v>387</v>
      </c>
      <c r="W2502" s="80" t="s">
        <v>7473</v>
      </c>
      <c r="X2502" s="83" t="str">
        <f>HYPERLINK("https://youtu.be/it1IbNPn3Wo")</f>
        <v>https://youtu.be/it1IbNPn3Wo</v>
      </c>
      <c r="Y2502" s="77" t="s">
        <v>8635</v>
      </c>
      <c r="Z2502" s="77"/>
      <c r="AA2502" s="77"/>
      <c r="AB2502" s="77"/>
      <c r="AC2502" s="80" t="s">
        <v>10541</v>
      </c>
      <c r="AD2502" s="77" t="s">
        <v>10617</v>
      </c>
      <c r="AE2502" s="83" t="str">
        <f>HYPERLINK("https://twitter.com/oinegue/status/1671301951093452801")</f>
        <v>https://twitter.com/oinegue/status/1671301951093452801</v>
      </c>
      <c r="AF2502" s="79">
        <v>45097.986238425925</v>
      </c>
      <c r="AG2502" s="85">
        <v>45097</v>
      </c>
      <c r="AH2502" s="80" t="s">
        <v>12825</v>
      </c>
      <c r="AI2502" s="77" t="b">
        <v>0</v>
      </c>
      <c r="AJ2502" s="77"/>
      <c r="AK2502" s="77"/>
      <c r="AL2502" s="77"/>
      <c r="AM2502" s="77"/>
      <c r="AN2502" s="77"/>
      <c r="AO2502" s="77"/>
      <c r="AP2502" s="77"/>
      <c r="AQ2502" s="77"/>
      <c r="AR2502" s="77"/>
      <c r="AS2502" s="77"/>
      <c r="AT2502" s="77"/>
      <c r="AU2502" s="77"/>
      <c r="AV2502" s="83" t="str">
        <f>HYPERLINK("https://pbs.twimg.com/profile_images/1351582681264496640/nVrkxzE1_normal.jpg")</f>
        <v>https://pbs.twimg.com/profile_images/1351582681264496640/nVrkxzE1_normal.jpg</v>
      </c>
      <c r="AW2502" s="80" t="s">
        <v>18296</v>
      </c>
      <c r="AX2502" s="80" t="s">
        <v>18296</v>
      </c>
      <c r="AY2502" s="77"/>
      <c r="AZ2502" s="80" t="s">
        <v>20380</v>
      </c>
      <c r="BA2502" s="80" t="s">
        <v>20380</v>
      </c>
      <c r="BB2502" s="80" t="s">
        <v>20380</v>
      </c>
      <c r="BC2502" s="80" t="s">
        <v>18296</v>
      </c>
      <c r="BD2502" s="77">
        <v>41788880</v>
      </c>
      <c r="BE2502" s="77"/>
      <c r="BF2502" s="77"/>
      <c r="BG2502" s="77"/>
      <c r="BH2502" s="77"/>
      <c r="BI2502" s="77"/>
    </row>
    <row r="2503" spans="1:61" x14ac:dyDescent="0.25">
      <c r="A2503" s="62" t="s">
        <v>1034</v>
      </c>
      <c r="B2503" s="62" t="s">
        <v>1418</v>
      </c>
      <c r="C2503" s="63"/>
      <c r="D2503" s="64"/>
      <c r="E2503" s="65"/>
      <c r="F2503" s="66"/>
      <c r="G2503" s="63"/>
      <c r="H2503" s="67"/>
      <c r="I2503" s="68"/>
      <c r="J2503" s="68"/>
      <c r="K2503" s="32"/>
      <c r="L2503" s="75">
        <v>2503</v>
      </c>
      <c r="M2503" s="75"/>
      <c r="N2503" s="70"/>
      <c r="O2503" s="77" t="s">
        <v>2081</v>
      </c>
      <c r="P2503" s="79">
        <v>45097.986087962963</v>
      </c>
      <c r="Q2503" s="77" t="s">
        <v>4295</v>
      </c>
      <c r="R2503" s="77">
        <v>0</v>
      </c>
      <c r="S2503" s="77">
        <v>2</v>
      </c>
      <c r="T2503" s="77">
        <v>1</v>
      </c>
      <c r="U2503" s="77">
        <v>0</v>
      </c>
      <c r="V2503" s="77">
        <v>321</v>
      </c>
      <c r="W2503" s="80" t="s">
        <v>7472</v>
      </c>
      <c r="X2503" s="83" t="str">
        <f>HYPERLINK("https://youtu.be/Jx8yzwlj4tc")</f>
        <v>https://youtu.be/Jx8yzwlj4tc</v>
      </c>
      <c r="Y2503" s="77" t="s">
        <v>8635</v>
      </c>
      <c r="Z2503" s="77" t="s">
        <v>1418</v>
      </c>
      <c r="AA2503" s="77"/>
      <c r="AB2503" s="77"/>
      <c r="AC2503" s="80" t="s">
        <v>10541</v>
      </c>
      <c r="AD2503" s="77" t="s">
        <v>10617</v>
      </c>
      <c r="AE2503" s="83" t="str">
        <f>HYPERLINK("https://twitter.com/oinegue/status/1671301899373428738")</f>
        <v>https://twitter.com/oinegue/status/1671301899373428738</v>
      </c>
      <c r="AF2503" s="79">
        <v>45097.986087962963</v>
      </c>
      <c r="AG2503" s="85">
        <v>45097</v>
      </c>
      <c r="AH2503" s="80" t="s">
        <v>12826</v>
      </c>
      <c r="AI2503" s="77" t="b">
        <v>0</v>
      </c>
      <c r="AJ2503" s="77"/>
      <c r="AK2503" s="77"/>
      <c r="AL2503" s="77"/>
      <c r="AM2503" s="77"/>
      <c r="AN2503" s="77"/>
      <c r="AO2503" s="77"/>
      <c r="AP2503" s="77"/>
      <c r="AQ2503" s="77"/>
      <c r="AR2503" s="77"/>
      <c r="AS2503" s="77"/>
      <c r="AT2503" s="77"/>
      <c r="AU2503" s="77"/>
      <c r="AV2503" s="83" t="str">
        <f>HYPERLINK("https://pbs.twimg.com/profile_images/1351582681264496640/nVrkxzE1_normal.jpg")</f>
        <v>https://pbs.twimg.com/profile_images/1351582681264496640/nVrkxzE1_normal.jpg</v>
      </c>
      <c r="AW2503" s="80" t="s">
        <v>18297</v>
      </c>
      <c r="AX2503" s="80" t="s">
        <v>18297</v>
      </c>
      <c r="AY2503" s="77"/>
      <c r="AZ2503" s="80" t="s">
        <v>20380</v>
      </c>
      <c r="BA2503" s="80" t="s">
        <v>20380</v>
      </c>
      <c r="BB2503" s="80" t="s">
        <v>20380</v>
      </c>
      <c r="BC2503" s="80" t="s">
        <v>18297</v>
      </c>
      <c r="BD2503" s="77">
        <v>41788880</v>
      </c>
      <c r="BE2503" s="77"/>
      <c r="BF2503" s="77"/>
      <c r="BG2503" s="77"/>
      <c r="BH2503" s="77"/>
      <c r="BI2503" s="77"/>
    </row>
    <row r="2504" spans="1:61" x14ac:dyDescent="0.25">
      <c r="A2504" s="62" t="s">
        <v>1034</v>
      </c>
      <c r="B2504" s="62" t="s">
        <v>1034</v>
      </c>
      <c r="C2504" s="63"/>
      <c r="D2504" s="64"/>
      <c r="E2504" s="65"/>
      <c r="F2504" s="66"/>
      <c r="G2504" s="63"/>
      <c r="H2504" s="67"/>
      <c r="I2504" s="68"/>
      <c r="J2504" s="68"/>
      <c r="K2504" s="32"/>
      <c r="L2504" s="75">
        <v>2504</v>
      </c>
      <c r="M2504" s="75"/>
      <c r="N2504" s="70"/>
      <c r="O2504" s="77" t="s">
        <v>179</v>
      </c>
      <c r="P2504" s="79">
        <v>45134.812511574077</v>
      </c>
      <c r="Q2504" s="77" t="s">
        <v>4296</v>
      </c>
      <c r="R2504" s="77">
        <v>0</v>
      </c>
      <c r="S2504" s="77">
        <v>5</v>
      </c>
      <c r="T2504" s="77">
        <v>4</v>
      </c>
      <c r="U2504" s="77">
        <v>0</v>
      </c>
      <c r="V2504" s="77">
        <v>830</v>
      </c>
      <c r="W2504" s="80" t="s">
        <v>7474</v>
      </c>
      <c r="X2504" s="83" t="str">
        <f>HYPERLINK("https://youtu.be/4AlcWx0gNAU")</f>
        <v>https://youtu.be/4AlcWx0gNAU</v>
      </c>
      <c r="Y2504" s="77" t="s">
        <v>8635</v>
      </c>
      <c r="Z2504" s="77"/>
      <c r="AA2504" s="77"/>
      <c r="AB2504" s="77"/>
      <c r="AC2504" s="80" t="s">
        <v>10541</v>
      </c>
      <c r="AD2504" s="77" t="s">
        <v>10617</v>
      </c>
      <c r="AE2504" s="83" t="str">
        <f>HYPERLINK("https://twitter.com/oinegue/status/1684647347274342400")</f>
        <v>https://twitter.com/oinegue/status/1684647347274342400</v>
      </c>
      <c r="AF2504" s="79">
        <v>45134.812511574077</v>
      </c>
      <c r="AG2504" s="85">
        <v>45134</v>
      </c>
      <c r="AH2504" s="80" t="s">
        <v>12827</v>
      </c>
      <c r="AI2504" s="77" t="b">
        <v>0</v>
      </c>
      <c r="AJ2504" s="77"/>
      <c r="AK2504" s="77"/>
      <c r="AL2504" s="77"/>
      <c r="AM2504" s="77"/>
      <c r="AN2504" s="77"/>
      <c r="AO2504" s="77"/>
      <c r="AP2504" s="77"/>
      <c r="AQ2504" s="77"/>
      <c r="AR2504" s="77"/>
      <c r="AS2504" s="77"/>
      <c r="AT2504" s="77"/>
      <c r="AU2504" s="77"/>
      <c r="AV2504" s="83" t="str">
        <f>HYPERLINK("https://pbs.twimg.com/profile_images/1351582681264496640/nVrkxzE1_normal.jpg")</f>
        <v>https://pbs.twimg.com/profile_images/1351582681264496640/nVrkxzE1_normal.jpg</v>
      </c>
      <c r="AW2504" s="80" t="s">
        <v>18298</v>
      </c>
      <c r="AX2504" s="80" t="s">
        <v>18298</v>
      </c>
      <c r="AY2504" s="77"/>
      <c r="AZ2504" s="80" t="s">
        <v>20380</v>
      </c>
      <c r="BA2504" s="80" t="s">
        <v>20380</v>
      </c>
      <c r="BB2504" s="80" t="s">
        <v>20380</v>
      </c>
      <c r="BC2504" s="80" t="s">
        <v>18298</v>
      </c>
      <c r="BD2504" s="77">
        <v>41788880</v>
      </c>
      <c r="BE2504" s="77"/>
      <c r="BF2504" s="77"/>
      <c r="BG2504" s="77"/>
      <c r="BH2504" s="77"/>
      <c r="BI2504" s="77"/>
    </row>
    <row r="2505" spans="1:61" x14ac:dyDescent="0.25">
      <c r="A2505" s="62" t="s">
        <v>1034</v>
      </c>
      <c r="B2505" s="62" t="s">
        <v>1034</v>
      </c>
      <c r="C2505" s="63"/>
      <c r="D2505" s="64"/>
      <c r="E2505" s="65"/>
      <c r="F2505" s="66"/>
      <c r="G2505" s="63"/>
      <c r="H2505" s="67"/>
      <c r="I2505" s="68"/>
      <c r="J2505" s="68"/>
      <c r="K2505" s="32"/>
      <c r="L2505" s="75">
        <v>2505</v>
      </c>
      <c r="M2505" s="75"/>
      <c r="N2505" s="70"/>
      <c r="O2505" s="77" t="s">
        <v>179</v>
      </c>
      <c r="P2505" s="79">
        <v>45097.133738425924</v>
      </c>
      <c r="Q2505" s="77" t="s">
        <v>4297</v>
      </c>
      <c r="R2505" s="77">
        <v>0</v>
      </c>
      <c r="S2505" s="77">
        <v>0</v>
      </c>
      <c r="T2505" s="77">
        <v>1</v>
      </c>
      <c r="U2505" s="77">
        <v>0</v>
      </c>
      <c r="V2505" s="77">
        <v>400</v>
      </c>
      <c r="W2505" s="80" t="s">
        <v>7472</v>
      </c>
      <c r="X2505" s="83" t="str">
        <f>HYPERLINK("https://youtu.be/Zzb8xp8zNl4")</f>
        <v>https://youtu.be/Zzb8xp8zNl4</v>
      </c>
      <c r="Y2505" s="77" t="s">
        <v>8635</v>
      </c>
      <c r="Z2505" s="77"/>
      <c r="AA2505" s="77"/>
      <c r="AB2505" s="77"/>
      <c r="AC2505" s="80" t="s">
        <v>10541</v>
      </c>
      <c r="AD2505" s="77" t="s">
        <v>10617</v>
      </c>
      <c r="AE2505" s="83" t="str">
        <f>HYPERLINK("https://twitter.com/oinegue/status/1670993016297857026")</f>
        <v>https://twitter.com/oinegue/status/1670993016297857026</v>
      </c>
      <c r="AF2505" s="79">
        <v>45097.133738425924</v>
      </c>
      <c r="AG2505" s="85">
        <v>45097</v>
      </c>
      <c r="AH2505" s="80" t="s">
        <v>12828</v>
      </c>
      <c r="AI2505" s="77" t="b">
        <v>0</v>
      </c>
      <c r="AJ2505" s="77"/>
      <c r="AK2505" s="77"/>
      <c r="AL2505" s="77"/>
      <c r="AM2505" s="77"/>
      <c r="AN2505" s="77"/>
      <c r="AO2505" s="77"/>
      <c r="AP2505" s="77"/>
      <c r="AQ2505" s="77"/>
      <c r="AR2505" s="77"/>
      <c r="AS2505" s="77"/>
      <c r="AT2505" s="77"/>
      <c r="AU2505" s="77"/>
      <c r="AV2505" s="83" t="str">
        <f>HYPERLINK("https://pbs.twimg.com/profile_images/1351582681264496640/nVrkxzE1_normal.jpg")</f>
        <v>https://pbs.twimg.com/profile_images/1351582681264496640/nVrkxzE1_normal.jpg</v>
      </c>
      <c r="AW2505" s="80" t="s">
        <v>18299</v>
      </c>
      <c r="AX2505" s="80" t="s">
        <v>18299</v>
      </c>
      <c r="AY2505" s="77"/>
      <c r="AZ2505" s="80" t="s">
        <v>20380</v>
      </c>
      <c r="BA2505" s="80" t="s">
        <v>20380</v>
      </c>
      <c r="BB2505" s="80" t="s">
        <v>20380</v>
      </c>
      <c r="BC2505" s="80" t="s">
        <v>18299</v>
      </c>
      <c r="BD2505" s="77">
        <v>41788880</v>
      </c>
      <c r="BE2505" s="77"/>
      <c r="BF2505" s="77"/>
      <c r="BG2505" s="77"/>
      <c r="BH2505" s="77"/>
      <c r="BI2505" s="77"/>
    </row>
    <row r="2506" spans="1:61" x14ac:dyDescent="0.25">
      <c r="A2506" s="62" t="s">
        <v>1035</v>
      </c>
      <c r="B2506" s="62" t="s">
        <v>1035</v>
      </c>
      <c r="C2506" s="63"/>
      <c r="D2506" s="64"/>
      <c r="E2506" s="65"/>
      <c r="F2506" s="66"/>
      <c r="G2506" s="63"/>
      <c r="H2506" s="67"/>
      <c r="I2506" s="68"/>
      <c r="J2506" s="68"/>
      <c r="K2506" s="32"/>
      <c r="L2506" s="75">
        <v>2506</v>
      </c>
      <c r="M2506" s="75"/>
      <c r="N2506" s="70"/>
      <c r="O2506" s="77" t="s">
        <v>179</v>
      </c>
      <c r="P2506" s="79">
        <v>45071.621180555558</v>
      </c>
      <c r="Q2506" s="77" t="s">
        <v>4298</v>
      </c>
      <c r="R2506" s="77">
        <v>1</v>
      </c>
      <c r="S2506" s="77">
        <v>2</v>
      </c>
      <c r="T2506" s="77">
        <v>1</v>
      </c>
      <c r="U2506" s="77">
        <v>0</v>
      </c>
      <c r="V2506" s="77">
        <v>647</v>
      </c>
      <c r="W2506" s="80" t="s">
        <v>7475</v>
      </c>
      <c r="X2506" s="77"/>
      <c r="Y2506" s="77"/>
      <c r="Z2506" s="77"/>
      <c r="AA2506" s="77" t="s">
        <v>9790</v>
      </c>
      <c r="AB2506" s="77" t="s">
        <v>10535</v>
      </c>
      <c r="AC2506" s="80" t="s">
        <v>10541</v>
      </c>
      <c r="AD2506" s="77" t="s">
        <v>10620</v>
      </c>
      <c r="AE2506" s="83" t="str">
        <f>HYPERLINK("https://twitter.com/fondoalerta/status/1661747574704062464")</f>
        <v>https://twitter.com/fondoalerta/status/1661747574704062464</v>
      </c>
      <c r="AF2506" s="79">
        <v>45071.621180555558</v>
      </c>
      <c r="AG2506" s="85">
        <v>45071</v>
      </c>
      <c r="AH2506" s="80" t="s">
        <v>12829</v>
      </c>
      <c r="AI2506" s="77" t="b">
        <v>0</v>
      </c>
      <c r="AJ2506" s="77"/>
      <c r="AK2506" s="77"/>
      <c r="AL2506" s="77"/>
      <c r="AM2506" s="77"/>
      <c r="AN2506" s="77"/>
      <c r="AO2506" s="77"/>
      <c r="AP2506" s="77"/>
      <c r="AQ2506" s="77" t="s">
        <v>15272</v>
      </c>
      <c r="AR2506" s="77"/>
      <c r="AS2506" s="77"/>
      <c r="AT2506" s="77"/>
      <c r="AU2506" s="77"/>
      <c r="AV2506" s="83" t="str">
        <f>HYPERLINK("https://pbs.twimg.com/media/Fw-1woYaIAAqJNn.png")</f>
        <v>https://pbs.twimg.com/media/Fw-1woYaIAAqJNn.png</v>
      </c>
      <c r="AW2506" s="80" t="s">
        <v>18300</v>
      </c>
      <c r="AX2506" s="80" t="s">
        <v>18300</v>
      </c>
      <c r="AY2506" s="77"/>
      <c r="AZ2506" s="80" t="s">
        <v>20380</v>
      </c>
      <c r="BA2506" s="80" t="s">
        <v>20380</v>
      </c>
      <c r="BB2506" s="80" t="s">
        <v>20380</v>
      </c>
      <c r="BC2506" s="80" t="s">
        <v>18300</v>
      </c>
      <c r="BD2506" s="77">
        <v>90736344</v>
      </c>
      <c r="BE2506" s="77"/>
      <c r="BF2506" s="77"/>
      <c r="BG2506" s="77"/>
      <c r="BH2506" s="77"/>
      <c r="BI2506" s="77"/>
    </row>
    <row r="2507" spans="1:61" x14ac:dyDescent="0.25">
      <c r="A2507" s="62" t="s">
        <v>1036</v>
      </c>
      <c r="B2507" s="62" t="s">
        <v>1655</v>
      </c>
      <c r="C2507" s="63"/>
      <c r="D2507" s="64"/>
      <c r="E2507" s="65"/>
      <c r="F2507" s="66"/>
      <c r="G2507" s="63"/>
      <c r="H2507" s="67"/>
      <c r="I2507" s="68"/>
      <c r="J2507" s="68"/>
      <c r="K2507" s="32"/>
      <c r="L2507" s="75">
        <v>2507</v>
      </c>
      <c r="M2507" s="75"/>
      <c r="N2507" s="70"/>
      <c r="O2507" s="77" t="s">
        <v>2083</v>
      </c>
      <c r="P2507" s="79">
        <v>45191.464259259257</v>
      </c>
      <c r="Q2507" s="77" t="s">
        <v>2120</v>
      </c>
      <c r="R2507" s="77">
        <v>25</v>
      </c>
      <c r="S2507" s="77">
        <v>0</v>
      </c>
      <c r="T2507" s="77">
        <v>0</v>
      </c>
      <c r="U2507" s="77">
        <v>0</v>
      </c>
      <c r="V2507" s="77"/>
      <c r="W2507" s="80" t="s">
        <v>5917</v>
      </c>
      <c r="X2507" s="77"/>
      <c r="Y2507" s="77"/>
      <c r="Z2507" s="77" t="s">
        <v>1655</v>
      </c>
      <c r="AA2507" s="77"/>
      <c r="AB2507" s="77"/>
      <c r="AC2507" s="80" t="s">
        <v>10542</v>
      </c>
      <c r="AD2507" s="77" t="s">
        <v>10617</v>
      </c>
      <c r="AE2507" s="83" t="str">
        <f>HYPERLINK("https://twitter.com/mariacl84248332/status/1705177253087199383")</f>
        <v>https://twitter.com/mariacl84248332/status/1705177253087199383</v>
      </c>
      <c r="AF2507" s="79">
        <v>45191.464259259257</v>
      </c>
      <c r="AG2507" s="85">
        <v>45191</v>
      </c>
      <c r="AH2507" s="80" t="s">
        <v>12830</v>
      </c>
      <c r="AI2507" s="77"/>
      <c r="AJ2507" s="77"/>
      <c r="AK2507" s="77"/>
      <c r="AL2507" s="77"/>
      <c r="AM2507" s="77"/>
      <c r="AN2507" s="77"/>
      <c r="AO2507" s="77"/>
      <c r="AP2507" s="77"/>
      <c r="AQ2507" s="77"/>
      <c r="AR2507" s="77"/>
      <c r="AS2507" s="77"/>
      <c r="AT2507" s="77"/>
      <c r="AU2507" s="77"/>
      <c r="AV2507" s="83" t="str">
        <f>HYPERLINK("https://abs.twimg.com/sticky/default_profile_images/default_profile_normal.png")</f>
        <v>https://abs.twimg.com/sticky/default_profile_images/default_profile_normal.png</v>
      </c>
      <c r="AW2507" s="80" t="s">
        <v>18301</v>
      </c>
      <c r="AX2507" s="80" t="s">
        <v>18301</v>
      </c>
      <c r="AY2507" s="77"/>
      <c r="AZ2507" s="80" t="s">
        <v>20380</v>
      </c>
      <c r="BA2507" s="80" t="s">
        <v>20380</v>
      </c>
      <c r="BB2507" s="80" t="s">
        <v>19844</v>
      </c>
      <c r="BC2507" s="80" t="s">
        <v>19844</v>
      </c>
      <c r="BD2507" s="80" t="s">
        <v>20891</v>
      </c>
      <c r="BE2507" s="77"/>
      <c r="BF2507" s="77"/>
      <c r="BG2507" s="77"/>
      <c r="BH2507" s="77"/>
      <c r="BI2507" s="77"/>
    </row>
    <row r="2508" spans="1:61" x14ac:dyDescent="0.25">
      <c r="A2508" s="62" t="s">
        <v>1037</v>
      </c>
      <c r="B2508" s="62" t="s">
        <v>1037</v>
      </c>
      <c r="C2508" s="63"/>
      <c r="D2508" s="64"/>
      <c r="E2508" s="65"/>
      <c r="F2508" s="66"/>
      <c r="G2508" s="63"/>
      <c r="H2508" s="67"/>
      <c r="I2508" s="68"/>
      <c r="J2508" s="68"/>
      <c r="K2508" s="32"/>
      <c r="L2508" s="75">
        <v>2508</v>
      </c>
      <c r="M2508" s="75"/>
      <c r="N2508" s="70"/>
      <c r="O2508" s="77" t="s">
        <v>179</v>
      </c>
      <c r="P2508" s="79">
        <v>45078.679895833331</v>
      </c>
      <c r="Q2508" s="77" t="s">
        <v>4299</v>
      </c>
      <c r="R2508" s="77">
        <v>1</v>
      </c>
      <c r="S2508" s="77">
        <v>1</v>
      </c>
      <c r="T2508" s="77">
        <v>0</v>
      </c>
      <c r="U2508" s="77">
        <v>0</v>
      </c>
      <c r="V2508" s="77">
        <v>493</v>
      </c>
      <c r="W2508" s="80" t="s">
        <v>7476</v>
      </c>
      <c r="X2508" s="83" t="str">
        <f>HYPERLINK("https://mtr.cool/upafdnlswr")</f>
        <v>https://mtr.cool/upafdnlswr</v>
      </c>
      <c r="Y2508" s="77" t="s">
        <v>8632</v>
      </c>
      <c r="Z2508" s="77"/>
      <c r="AA2508" s="77" t="s">
        <v>9791</v>
      </c>
      <c r="AB2508" s="77" t="s">
        <v>10535</v>
      </c>
      <c r="AC2508" s="80" t="s">
        <v>10543</v>
      </c>
      <c r="AD2508" s="77" t="s">
        <v>10620</v>
      </c>
      <c r="AE2508" s="83" t="str">
        <f>HYPERLINK("https://twitter.com/dfmas/status/1664305568033513475")</f>
        <v>https://twitter.com/dfmas/status/1664305568033513475</v>
      </c>
      <c r="AF2508" s="79">
        <v>45078.679895833331</v>
      </c>
      <c r="AG2508" s="85">
        <v>45078</v>
      </c>
      <c r="AH2508" s="80" t="s">
        <v>12831</v>
      </c>
      <c r="AI2508" s="77" t="b">
        <v>0</v>
      </c>
      <c r="AJ2508" s="77"/>
      <c r="AK2508" s="77"/>
      <c r="AL2508" s="77"/>
      <c r="AM2508" s="77"/>
      <c r="AN2508" s="77"/>
      <c r="AO2508" s="77"/>
      <c r="AP2508" s="77"/>
      <c r="AQ2508" s="77" t="s">
        <v>15273</v>
      </c>
      <c r="AR2508" s="77"/>
      <c r="AS2508" s="77"/>
      <c r="AT2508" s="77"/>
      <c r="AU2508" s="77"/>
      <c r="AV2508" s="83" t="str">
        <f>HYPERLINK("https://pbs.twimg.com/media/FxjNF1QXoAEpNip.jpg")</f>
        <v>https://pbs.twimg.com/media/FxjNF1QXoAEpNip.jpg</v>
      </c>
      <c r="AW2508" s="80" t="s">
        <v>18302</v>
      </c>
      <c r="AX2508" s="80" t="s">
        <v>18302</v>
      </c>
      <c r="AY2508" s="77"/>
      <c r="AZ2508" s="80" t="s">
        <v>20380</v>
      </c>
      <c r="BA2508" s="80" t="s">
        <v>20380</v>
      </c>
      <c r="BB2508" s="80" t="s">
        <v>20380</v>
      </c>
      <c r="BC2508" s="80" t="s">
        <v>18302</v>
      </c>
      <c r="BD2508" s="77">
        <v>21238299</v>
      </c>
      <c r="BE2508" s="77"/>
      <c r="BF2508" s="77"/>
      <c r="BG2508" s="77"/>
      <c r="BH2508" s="77"/>
      <c r="BI2508" s="77"/>
    </row>
    <row r="2509" spans="1:61" x14ac:dyDescent="0.25">
      <c r="A2509" s="62" t="s">
        <v>1038</v>
      </c>
      <c r="B2509" s="62" t="s">
        <v>1038</v>
      </c>
      <c r="C2509" s="63"/>
      <c r="D2509" s="64"/>
      <c r="E2509" s="65"/>
      <c r="F2509" s="66"/>
      <c r="G2509" s="63"/>
      <c r="H2509" s="67"/>
      <c r="I2509" s="68"/>
      <c r="J2509" s="68"/>
      <c r="K2509" s="32"/>
      <c r="L2509" s="75">
        <v>2509</v>
      </c>
      <c r="M2509" s="75"/>
      <c r="N2509" s="70"/>
      <c r="O2509" s="77" t="s">
        <v>179</v>
      </c>
      <c r="P2509" s="79">
        <v>45154.504988425928</v>
      </c>
      <c r="Q2509" s="77" t="s">
        <v>4300</v>
      </c>
      <c r="R2509" s="77">
        <v>1</v>
      </c>
      <c r="S2509" s="77">
        <v>1</v>
      </c>
      <c r="T2509" s="77">
        <v>1</v>
      </c>
      <c r="U2509" s="77">
        <v>0</v>
      </c>
      <c r="V2509" s="77">
        <v>104</v>
      </c>
      <c r="W2509" s="80" t="s">
        <v>7477</v>
      </c>
      <c r="X2509" s="77"/>
      <c r="Y2509" s="77"/>
      <c r="Z2509" s="77"/>
      <c r="AA2509" s="77" t="s">
        <v>9792</v>
      </c>
      <c r="AB2509" s="77" t="s">
        <v>10534</v>
      </c>
      <c r="AC2509" s="80" t="s">
        <v>10540</v>
      </c>
      <c r="AD2509" s="77" t="s">
        <v>10625</v>
      </c>
      <c r="AE2509" s="83" t="str">
        <f>HYPERLINK("https://twitter.com/iracihasler/status/1691783661308252210")</f>
        <v>https://twitter.com/iracihasler/status/1691783661308252210</v>
      </c>
      <c r="AF2509" s="79">
        <v>45154.504988425928</v>
      </c>
      <c r="AG2509" s="85">
        <v>45154</v>
      </c>
      <c r="AH2509" s="80" t="s">
        <v>12832</v>
      </c>
      <c r="AI2509" s="77" t="b">
        <v>0</v>
      </c>
      <c r="AJ2509" s="77"/>
      <c r="AK2509" s="77"/>
      <c r="AL2509" s="77"/>
      <c r="AM2509" s="77"/>
      <c r="AN2509" s="77"/>
      <c r="AO2509" s="77"/>
      <c r="AP2509" s="77"/>
      <c r="AQ2509" s="77" t="s">
        <v>15274</v>
      </c>
      <c r="AR2509" s="77">
        <v>75117</v>
      </c>
      <c r="AS2509" s="77"/>
      <c r="AT2509" s="77"/>
      <c r="AU2509" s="77"/>
      <c r="AV2509" s="83" t="str">
        <f>HYPERLINK("https://pbs.twimg.com/ext_tw_video_thumb/1691783571248160768/pu/img/dvXKFwS8zAONekRm.jpg")</f>
        <v>https://pbs.twimg.com/ext_tw_video_thumb/1691783571248160768/pu/img/dvXKFwS8zAONekRm.jpg</v>
      </c>
      <c r="AW2509" s="80" t="s">
        <v>18303</v>
      </c>
      <c r="AX2509" s="80" t="s">
        <v>18303</v>
      </c>
      <c r="AY2509" s="77"/>
      <c r="AZ2509" s="80" t="s">
        <v>20380</v>
      </c>
      <c r="BA2509" s="80" t="s">
        <v>20380</v>
      </c>
      <c r="BB2509" s="80" t="s">
        <v>20380</v>
      </c>
      <c r="BC2509" s="80" t="s">
        <v>18303</v>
      </c>
      <c r="BD2509" s="80" t="s">
        <v>20892</v>
      </c>
      <c r="BE2509" s="77"/>
      <c r="BF2509" s="77"/>
      <c r="BG2509" s="77"/>
      <c r="BH2509" s="77"/>
      <c r="BI2509" s="77"/>
    </row>
    <row r="2510" spans="1:61" x14ac:dyDescent="0.25">
      <c r="A2510" s="62" t="s">
        <v>1039</v>
      </c>
      <c r="B2510" s="62" t="s">
        <v>1946</v>
      </c>
      <c r="C2510" s="63"/>
      <c r="D2510" s="64"/>
      <c r="E2510" s="65"/>
      <c r="F2510" s="66"/>
      <c r="G2510" s="63"/>
      <c r="H2510" s="67"/>
      <c r="I2510" s="68"/>
      <c r="J2510" s="68"/>
      <c r="K2510" s="32"/>
      <c r="L2510" s="75">
        <v>2510</v>
      </c>
      <c r="M2510" s="75"/>
      <c r="N2510" s="70"/>
      <c r="O2510" s="77" t="s">
        <v>2081</v>
      </c>
      <c r="P2510" s="79">
        <v>45104.93917824074</v>
      </c>
      <c r="Q2510" s="77" t="s">
        <v>4301</v>
      </c>
      <c r="R2510" s="77">
        <v>39</v>
      </c>
      <c r="S2510" s="77">
        <v>40</v>
      </c>
      <c r="T2510" s="77">
        <v>7</v>
      </c>
      <c r="U2510" s="77">
        <v>9</v>
      </c>
      <c r="V2510" s="77">
        <v>1802</v>
      </c>
      <c r="W2510" s="80" t="s">
        <v>7478</v>
      </c>
      <c r="X2510" s="77"/>
      <c r="Y2510" s="77"/>
      <c r="Z2510" s="77" t="s">
        <v>1946</v>
      </c>
      <c r="AA2510" s="77" t="s">
        <v>9793</v>
      </c>
      <c r="AB2510" s="77" t="s">
        <v>10534</v>
      </c>
      <c r="AC2510" s="80" t="s">
        <v>10542</v>
      </c>
      <c r="AD2510" s="77" t="s">
        <v>10620</v>
      </c>
      <c r="AE2510" s="83" t="str">
        <f>HYPERLINK("https://twitter.com/hablamosclarord/status/1673821612129366017")</f>
        <v>https://twitter.com/hablamosclarord/status/1673821612129366017</v>
      </c>
      <c r="AF2510" s="79">
        <v>45104.93917824074</v>
      </c>
      <c r="AG2510" s="85">
        <v>45104</v>
      </c>
      <c r="AH2510" s="80" t="s">
        <v>12833</v>
      </c>
      <c r="AI2510" s="77" t="b">
        <v>0</v>
      </c>
      <c r="AJ2510" s="77"/>
      <c r="AK2510" s="77"/>
      <c r="AL2510" s="77"/>
      <c r="AM2510" s="77"/>
      <c r="AN2510" s="77"/>
      <c r="AO2510" s="77"/>
      <c r="AP2510" s="77"/>
      <c r="AQ2510" s="77" t="s">
        <v>15275</v>
      </c>
      <c r="AR2510" s="77">
        <v>84500</v>
      </c>
      <c r="AS2510" s="77"/>
      <c r="AT2510" s="77"/>
      <c r="AU2510" s="77"/>
      <c r="AV2510" s="83" t="str">
        <f>HYPERLINK("https://pbs.twimg.com/ext_tw_video_thumb/1673821496949497857/pu/img/-TIljgDpCc_lQemb.jpg")</f>
        <v>https://pbs.twimg.com/ext_tw_video_thumb/1673821496949497857/pu/img/-TIljgDpCc_lQemb.jpg</v>
      </c>
      <c r="AW2510" s="80" t="s">
        <v>18304</v>
      </c>
      <c r="AX2510" s="80" t="s">
        <v>18304</v>
      </c>
      <c r="AY2510" s="77"/>
      <c r="AZ2510" s="80" t="s">
        <v>20380</v>
      </c>
      <c r="BA2510" s="80" t="s">
        <v>20380</v>
      </c>
      <c r="BB2510" s="80" t="s">
        <v>20380</v>
      </c>
      <c r="BC2510" s="80" t="s">
        <v>18304</v>
      </c>
      <c r="BD2510" s="80" t="s">
        <v>20893</v>
      </c>
      <c r="BE2510" s="77"/>
      <c r="BF2510" s="77"/>
      <c r="BG2510" s="77"/>
      <c r="BH2510" s="77"/>
      <c r="BI2510" s="77"/>
    </row>
    <row r="2511" spans="1:61" x14ac:dyDescent="0.25">
      <c r="A2511" s="62" t="s">
        <v>1040</v>
      </c>
      <c r="B2511" s="62" t="s">
        <v>1040</v>
      </c>
      <c r="C2511" s="63"/>
      <c r="D2511" s="64"/>
      <c r="E2511" s="65"/>
      <c r="F2511" s="66"/>
      <c r="G2511" s="63"/>
      <c r="H2511" s="67"/>
      <c r="I2511" s="68"/>
      <c r="J2511" s="68"/>
      <c r="K2511" s="32"/>
      <c r="L2511" s="75">
        <v>2511</v>
      </c>
      <c r="M2511" s="75"/>
      <c r="N2511" s="70"/>
      <c r="O2511" s="77" t="s">
        <v>179</v>
      </c>
      <c r="P2511" s="79">
        <v>45049.666701388887</v>
      </c>
      <c r="Q2511" s="77" t="s">
        <v>4302</v>
      </c>
      <c r="R2511" s="77">
        <v>0</v>
      </c>
      <c r="S2511" s="77">
        <v>0</v>
      </c>
      <c r="T2511" s="77">
        <v>0</v>
      </c>
      <c r="U2511" s="77">
        <v>0</v>
      </c>
      <c r="V2511" s="77">
        <v>21</v>
      </c>
      <c r="W2511" s="80" t="s">
        <v>7479</v>
      </c>
      <c r="X2511" s="83" t="str">
        <f>HYPERLINK("https://bit.ly/3nnGNwW")</f>
        <v>https://bit.ly/3nnGNwW</v>
      </c>
      <c r="Y2511" s="77" t="s">
        <v>8618</v>
      </c>
      <c r="Z2511" s="77"/>
      <c r="AA2511" s="77" t="s">
        <v>9794</v>
      </c>
      <c r="AB2511" s="77" t="s">
        <v>10535</v>
      </c>
      <c r="AC2511" s="80" t="s">
        <v>10555</v>
      </c>
      <c r="AD2511" s="77" t="s">
        <v>10620</v>
      </c>
      <c r="AE2511" s="83" t="str">
        <f>HYPERLINK("https://twitter.com/elinmobiliariod/status/1653791539217448962")</f>
        <v>https://twitter.com/elinmobiliariod/status/1653791539217448962</v>
      </c>
      <c r="AF2511" s="79">
        <v>45049.666701388887</v>
      </c>
      <c r="AG2511" s="85">
        <v>45049</v>
      </c>
      <c r="AH2511" s="80" t="s">
        <v>12834</v>
      </c>
      <c r="AI2511" s="77" t="b">
        <v>0</v>
      </c>
      <c r="AJ2511" s="77"/>
      <c r="AK2511" s="77"/>
      <c r="AL2511" s="77"/>
      <c r="AM2511" s="77"/>
      <c r="AN2511" s="77"/>
      <c r="AO2511" s="77"/>
      <c r="AP2511" s="77"/>
      <c r="AQ2511" s="77" t="s">
        <v>15276</v>
      </c>
      <c r="AR2511" s="77"/>
      <c r="AS2511" s="77"/>
      <c r="AT2511" s="77"/>
      <c r="AU2511" s="77"/>
      <c r="AV2511" s="83" t="str">
        <f>HYPERLINK("https://pbs.twimg.com/media/FvM9R8hWwAAGRFq.jpg")</f>
        <v>https://pbs.twimg.com/media/FvM9R8hWwAAGRFq.jpg</v>
      </c>
      <c r="AW2511" s="80" t="s">
        <v>18305</v>
      </c>
      <c r="AX2511" s="80" t="s">
        <v>18305</v>
      </c>
      <c r="AY2511" s="77"/>
      <c r="AZ2511" s="80" t="s">
        <v>20380</v>
      </c>
      <c r="BA2511" s="80" t="s">
        <v>20380</v>
      </c>
      <c r="BB2511" s="80" t="s">
        <v>20380</v>
      </c>
      <c r="BC2511" s="80" t="s">
        <v>18305</v>
      </c>
      <c r="BD2511" s="80" t="s">
        <v>20894</v>
      </c>
      <c r="BE2511" s="77"/>
      <c r="BF2511" s="77"/>
      <c r="BG2511" s="77"/>
      <c r="BH2511" s="77"/>
      <c r="BI2511" s="77"/>
    </row>
    <row r="2512" spans="1:61" x14ac:dyDescent="0.25">
      <c r="A2512" s="62" t="s">
        <v>1041</v>
      </c>
      <c r="B2512" s="62" t="s">
        <v>1041</v>
      </c>
      <c r="C2512" s="63"/>
      <c r="D2512" s="64"/>
      <c r="E2512" s="65"/>
      <c r="F2512" s="66"/>
      <c r="G2512" s="63"/>
      <c r="H2512" s="67"/>
      <c r="I2512" s="68"/>
      <c r="J2512" s="68"/>
      <c r="K2512" s="32"/>
      <c r="L2512" s="75">
        <v>2512</v>
      </c>
      <c r="M2512" s="75"/>
      <c r="N2512" s="70"/>
      <c r="O2512" s="77" t="s">
        <v>179</v>
      </c>
      <c r="P2512" s="79">
        <v>45174.599027777775</v>
      </c>
      <c r="Q2512" s="77" t="s">
        <v>4303</v>
      </c>
      <c r="R2512" s="77">
        <v>0</v>
      </c>
      <c r="S2512" s="77">
        <v>1</v>
      </c>
      <c r="T2512" s="77">
        <v>0</v>
      </c>
      <c r="U2512" s="77">
        <v>0</v>
      </c>
      <c r="V2512" s="77">
        <v>182</v>
      </c>
      <c r="W2512" s="80" t="s">
        <v>6371</v>
      </c>
      <c r="X2512" s="83" t="str">
        <f>HYPERLINK("https://jc.ne10.uol.com.br/economia/2023/09/15586147-banco-central-revela-maior-valor-ja-transferido-pelo-pix.html?utm_source=JM&amp;utm_medium=social&amp;utm_campaign=distribuicao")</f>
        <v>https://jc.ne10.uol.com.br/economia/2023/09/15586147-banco-central-revela-maior-valor-ja-transferido-pelo-pix.html?utm_source=JM&amp;utm_medium=social&amp;utm_campaign=distribuicao</v>
      </c>
      <c r="Y2512" s="77" t="s">
        <v>8611</v>
      </c>
      <c r="Z2512" s="77"/>
      <c r="AA2512" s="77"/>
      <c r="AB2512" s="77"/>
      <c r="AC2512" s="80" t="s">
        <v>10541</v>
      </c>
      <c r="AD2512" s="77" t="s">
        <v>10617</v>
      </c>
      <c r="AE2512" s="83" t="str">
        <f>HYPERLINK("https://twitter.com/tvjornalsbt/status/1699065499672621142")</f>
        <v>https://twitter.com/tvjornalsbt/status/1699065499672621142</v>
      </c>
      <c r="AF2512" s="79">
        <v>45174.599027777775</v>
      </c>
      <c r="AG2512" s="85">
        <v>45174</v>
      </c>
      <c r="AH2512" s="80" t="s">
        <v>12835</v>
      </c>
      <c r="AI2512" s="77" t="b">
        <v>0</v>
      </c>
      <c r="AJ2512" s="77"/>
      <c r="AK2512" s="77"/>
      <c r="AL2512" s="77"/>
      <c r="AM2512" s="77"/>
      <c r="AN2512" s="77"/>
      <c r="AO2512" s="77"/>
      <c r="AP2512" s="77"/>
      <c r="AQ2512" s="77"/>
      <c r="AR2512" s="77"/>
      <c r="AS2512" s="77"/>
      <c r="AT2512" s="77"/>
      <c r="AU2512" s="77"/>
      <c r="AV2512" s="83" t="str">
        <f>HYPERLINK("https://pbs.twimg.com/profile_images/1631314606856568839/39AdIFY6_normal.jpg")</f>
        <v>https://pbs.twimg.com/profile_images/1631314606856568839/39AdIFY6_normal.jpg</v>
      </c>
      <c r="AW2512" s="80" t="s">
        <v>18306</v>
      </c>
      <c r="AX2512" s="80" t="s">
        <v>18306</v>
      </c>
      <c r="AY2512" s="77"/>
      <c r="AZ2512" s="80" t="s">
        <v>20380</v>
      </c>
      <c r="BA2512" s="80" t="s">
        <v>20380</v>
      </c>
      <c r="BB2512" s="80" t="s">
        <v>20380</v>
      </c>
      <c r="BC2512" s="80" t="s">
        <v>18306</v>
      </c>
      <c r="BD2512" s="77">
        <v>90791021</v>
      </c>
      <c r="BE2512" s="77"/>
      <c r="BF2512" s="77"/>
      <c r="BG2512" s="77"/>
      <c r="BH2512" s="77"/>
      <c r="BI2512" s="77"/>
    </row>
    <row r="2513" spans="1:61" x14ac:dyDescent="0.25">
      <c r="A2513" s="62" t="s">
        <v>1042</v>
      </c>
      <c r="B2513" s="62" t="s">
        <v>1042</v>
      </c>
      <c r="C2513" s="63"/>
      <c r="D2513" s="64"/>
      <c r="E2513" s="65"/>
      <c r="F2513" s="66"/>
      <c r="G2513" s="63"/>
      <c r="H2513" s="67"/>
      <c r="I2513" s="68"/>
      <c r="J2513" s="68"/>
      <c r="K2513" s="32"/>
      <c r="L2513" s="75">
        <v>2513</v>
      </c>
      <c r="M2513" s="75"/>
      <c r="N2513" s="70"/>
      <c r="O2513" s="77" t="s">
        <v>179</v>
      </c>
      <c r="P2513" s="79">
        <v>45152.723310185182</v>
      </c>
      <c r="Q2513" s="77" t="s">
        <v>4304</v>
      </c>
      <c r="R2513" s="77">
        <v>0</v>
      </c>
      <c r="S2513" s="77">
        <v>0</v>
      </c>
      <c r="T2513" s="77">
        <v>0</v>
      </c>
      <c r="U2513" s="77">
        <v>0</v>
      </c>
      <c r="V2513" s="77">
        <v>49</v>
      </c>
      <c r="W2513" s="80" t="s">
        <v>5884</v>
      </c>
      <c r="X2513" s="77"/>
      <c r="Y2513" s="77"/>
      <c r="Z2513" s="77"/>
      <c r="AA2513" s="77"/>
      <c r="AB2513" s="77"/>
      <c r="AC2513" s="80" t="s">
        <v>10541</v>
      </c>
      <c r="AD2513" s="77" t="s">
        <v>10620</v>
      </c>
      <c r="AE2513" s="83" t="str">
        <f>HYPERLINK("https://twitter.com/alejandro_zet/status/1691138001466699780")</f>
        <v>https://twitter.com/alejandro_zet/status/1691138001466699780</v>
      </c>
      <c r="AF2513" s="79">
        <v>45152.723310185182</v>
      </c>
      <c r="AG2513" s="85">
        <v>45152</v>
      </c>
      <c r="AH2513" s="80" t="s">
        <v>12836</v>
      </c>
      <c r="AI2513" s="77"/>
      <c r="AJ2513" s="77"/>
      <c r="AK2513" s="77"/>
      <c r="AL2513" s="77"/>
      <c r="AM2513" s="77"/>
      <c r="AN2513" s="77"/>
      <c r="AO2513" s="77"/>
      <c r="AP2513" s="77"/>
      <c r="AQ2513" s="77"/>
      <c r="AR2513" s="77"/>
      <c r="AS2513" s="77"/>
      <c r="AT2513" s="77"/>
      <c r="AU2513" s="77"/>
      <c r="AV2513" s="83" t="str">
        <f>HYPERLINK("https://pbs.twimg.com/profile_images/1440531986800529410/QelzPUNd_normal.jpg")</f>
        <v>https://pbs.twimg.com/profile_images/1440531986800529410/QelzPUNd_normal.jpg</v>
      </c>
      <c r="AW2513" s="80" t="s">
        <v>18307</v>
      </c>
      <c r="AX2513" s="80" t="s">
        <v>18307</v>
      </c>
      <c r="AY2513" s="77"/>
      <c r="AZ2513" s="80" t="s">
        <v>20380</v>
      </c>
      <c r="BA2513" s="80" t="s">
        <v>20380</v>
      </c>
      <c r="BB2513" s="80" t="s">
        <v>20380</v>
      </c>
      <c r="BC2513" s="80" t="s">
        <v>18307</v>
      </c>
      <c r="BD2513" s="77">
        <v>2373001656</v>
      </c>
      <c r="BE2513" s="77"/>
      <c r="BF2513" s="77"/>
      <c r="BG2513" s="77"/>
      <c r="BH2513" s="77"/>
      <c r="BI2513" s="77"/>
    </row>
    <row r="2514" spans="1:61" x14ac:dyDescent="0.25">
      <c r="A2514" s="62" t="s">
        <v>1043</v>
      </c>
      <c r="B2514" s="62" t="s">
        <v>1043</v>
      </c>
      <c r="C2514" s="63"/>
      <c r="D2514" s="64"/>
      <c r="E2514" s="65"/>
      <c r="F2514" s="66"/>
      <c r="G2514" s="63"/>
      <c r="H2514" s="67"/>
      <c r="I2514" s="68"/>
      <c r="J2514" s="68"/>
      <c r="K2514" s="32"/>
      <c r="L2514" s="75">
        <v>2514</v>
      </c>
      <c r="M2514" s="75"/>
      <c r="N2514" s="70"/>
      <c r="O2514" s="77" t="s">
        <v>179</v>
      </c>
      <c r="P2514" s="79">
        <v>45152.539155092592</v>
      </c>
      <c r="Q2514" s="77" t="s">
        <v>4305</v>
      </c>
      <c r="R2514" s="77">
        <v>1</v>
      </c>
      <c r="S2514" s="77">
        <v>5</v>
      </c>
      <c r="T2514" s="77">
        <v>0</v>
      </c>
      <c r="U2514" s="77">
        <v>0</v>
      </c>
      <c r="V2514" s="77">
        <v>99</v>
      </c>
      <c r="W2514" s="80" t="s">
        <v>7480</v>
      </c>
      <c r="X2514" s="77"/>
      <c r="Y2514" s="77"/>
      <c r="Z2514" s="77"/>
      <c r="AA2514" s="77"/>
      <c r="AB2514" s="77"/>
      <c r="AC2514" s="80" t="s">
        <v>10541</v>
      </c>
      <c r="AD2514" s="77" t="s">
        <v>10620</v>
      </c>
      <c r="AE2514" s="83" t="str">
        <f>HYPERLINK("https://twitter.com/benjariquelme/status/1691071269603614722")</f>
        <v>https://twitter.com/benjariquelme/status/1691071269603614722</v>
      </c>
      <c r="AF2514" s="79">
        <v>45152.539155092592</v>
      </c>
      <c r="AG2514" s="85">
        <v>45152</v>
      </c>
      <c r="AH2514" s="80" t="s">
        <v>12837</v>
      </c>
      <c r="AI2514" s="77"/>
      <c r="AJ2514" s="77"/>
      <c r="AK2514" s="77"/>
      <c r="AL2514" s="77"/>
      <c r="AM2514" s="77"/>
      <c r="AN2514" s="77"/>
      <c r="AO2514" s="77"/>
      <c r="AP2514" s="77"/>
      <c r="AQ2514" s="77"/>
      <c r="AR2514" s="77"/>
      <c r="AS2514" s="77"/>
      <c r="AT2514" s="77"/>
      <c r="AU2514" s="77"/>
      <c r="AV2514" s="83" t="str">
        <f>HYPERLINK("https://pbs.twimg.com/profile_images/1055726858/TerremotoTwitter_normal.jpg")</f>
        <v>https://pbs.twimg.com/profile_images/1055726858/TerremotoTwitter_normal.jpg</v>
      </c>
      <c r="AW2514" s="80" t="s">
        <v>18308</v>
      </c>
      <c r="AX2514" s="80" t="s">
        <v>18308</v>
      </c>
      <c r="AY2514" s="77"/>
      <c r="AZ2514" s="80" t="s">
        <v>20380</v>
      </c>
      <c r="BA2514" s="80" t="s">
        <v>20380</v>
      </c>
      <c r="BB2514" s="80" t="s">
        <v>20380</v>
      </c>
      <c r="BC2514" s="80" t="s">
        <v>18308</v>
      </c>
      <c r="BD2514" s="77">
        <v>162093008</v>
      </c>
      <c r="BE2514" s="77"/>
      <c r="BF2514" s="77"/>
      <c r="BG2514" s="77"/>
      <c r="BH2514" s="77"/>
      <c r="BI2514" s="77"/>
    </row>
    <row r="2515" spans="1:61" x14ac:dyDescent="0.25">
      <c r="A2515" s="62" t="s">
        <v>1044</v>
      </c>
      <c r="B2515" s="62" t="s">
        <v>1044</v>
      </c>
      <c r="C2515" s="63"/>
      <c r="D2515" s="64"/>
      <c r="E2515" s="65"/>
      <c r="F2515" s="66"/>
      <c r="G2515" s="63"/>
      <c r="H2515" s="67"/>
      <c r="I2515" s="68"/>
      <c r="J2515" s="68"/>
      <c r="K2515" s="32"/>
      <c r="L2515" s="75">
        <v>2515</v>
      </c>
      <c r="M2515" s="75"/>
      <c r="N2515" s="70"/>
      <c r="O2515" s="77" t="s">
        <v>179</v>
      </c>
      <c r="P2515" s="79">
        <v>45097.739490740743</v>
      </c>
      <c r="Q2515" s="77" t="s">
        <v>4306</v>
      </c>
      <c r="R2515" s="77">
        <v>0</v>
      </c>
      <c r="S2515" s="77">
        <v>0</v>
      </c>
      <c r="T2515" s="77">
        <v>0</v>
      </c>
      <c r="U2515" s="77">
        <v>0</v>
      </c>
      <c r="V2515" s="77">
        <v>9</v>
      </c>
      <c r="W2515" s="80" t="s">
        <v>7481</v>
      </c>
      <c r="X2515" s="83" t="str">
        <f>HYPERLINK("https://diarioreferencia.com.br/economia/caixa-comeca-a-cobrar-pix-de-pessoas-juridicas-em-19-de-julho/")</f>
        <v>https://diarioreferencia.com.br/economia/caixa-comeca-a-cobrar-pix-de-pessoas-juridicas-em-19-de-julho/</v>
      </c>
      <c r="Y2515" s="77" t="s">
        <v>8611</v>
      </c>
      <c r="Z2515" s="77"/>
      <c r="AA2515" s="77" t="s">
        <v>9795</v>
      </c>
      <c r="AB2515" s="77" t="s">
        <v>10535</v>
      </c>
      <c r="AC2515" s="80" t="s">
        <v>10550</v>
      </c>
      <c r="AD2515" s="77" t="s">
        <v>10619</v>
      </c>
      <c r="AE2515" s="83" t="str">
        <f>HYPERLINK("https://twitter.com/diarioreferenci/status/1671212533087125505")</f>
        <v>https://twitter.com/diarioreferenci/status/1671212533087125505</v>
      </c>
      <c r="AF2515" s="79">
        <v>45097.739490740743</v>
      </c>
      <c r="AG2515" s="85">
        <v>45097</v>
      </c>
      <c r="AH2515" s="80" t="s">
        <v>12838</v>
      </c>
      <c r="AI2515" s="77" t="b">
        <v>0</v>
      </c>
      <c r="AJ2515" s="77"/>
      <c r="AK2515" s="77"/>
      <c r="AL2515" s="77"/>
      <c r="AM2515" s="77"/>
      <c r="AN2515" s="77"/>
      <c r="AO2515" s="77"/>
      <c r="AP2515" s="77"/>
      <c r="AQ2515" s="77" t="s">
        <v>15277</v>
      </c>
      <c r="AR2515" s="77"/>
      <c r="AS2515" s="77"/>
      <c r="AT2515" s="77"/>
      <c r="AU2515" s="77"/>
      <c r="AV2515" s="83" t="str">
        <f>HYPERLINK("https://pbs.twimg.com/media/FzFW8TjXoAEebQG.jpg")</f>
        <v>https://pbs.twimg.com/media/FzFW8TjXoAEebQG.jpg</v>
      </c>
      <c r="AW2515" s="80" t="s">
        <v>18309</v>
      </c>
      <c r="AX2515" s="80" t="s">
        <v>18309</v>
      </c>
      <c r="AY2515" s="77"/>
      <c r="AZ2515" s="80" t="s">
        <v>20380</v>
      </c>
      <c r="BA2515" s="80" t="s">
        <v>20380</v>
      </c>
      <c r="BB2515" s="80" t="s">
        <v>20380</v>
      </c>
      <c r="BC2515" s="80" t="s">
        <v>18309</v>
      </c>
      <c r="BD2515" s="80" t="s">
        <v>20895</v>
      </c>
      <c r="BE2515" s="77"/>
      <c r="BF2515" s="77"/>
      <c r="BG2515" s="77"/>
      <c r="BH2515" s="77"/>
      <c r="BI2515" s="77"/>
    </row>
    <row r="2516" spans="1:61" x14ac:dyDescent="0.25">
      <c r="A2516" s="62" t="s">
        <v>1045</v>
      </c>
      <c r="B2516" s="62" t="s">
        <v>1045</v>
      </c>
      <c r="C2516" s="63"/>
      <c r="D2516" s="64"/>
      <c r="E2516" s="65"/>
      <c r="F2516" s="66"/>
      <c r="G2516" s="63"/>
      <c r="H2516" s="67"/>
      <c r="I2516" s="68"/>
      <c r="J2516" s="68"/>
      <c r="K2516" s="32"/>
      <c r="L2516" s="75">
        <v>2516</v>
      </c>
      <c r="M2516" s="75"/>
      <c r="N2516" s="70"/>
      <c r="O2516" s="77" t="s">
        <v>179</v>
      </c>
      <c r="P2516" s="79">
        <v>45074.98609953704</v>
      </c>
      <c r="Q2516" s="77" t="s">
        <v>4307</v>
      </c>
      <c r="R2516" s="77">
        <v>0</v>
      </c>
      <c r="S2516" s="77">
        <v>0</v>
      </c>
      <c r="T2516" s="77">
        <v>0</v>
      </c>
      <c r="U2516" s="77">
        <v>0</v>
      </c>
      <c r="V2516" s="77">
        <v>4</v>
      </c>
      <c r="W2516" s="80" t="s">
        <v>7482</v>
      </c>
      <c r="X2516" s="83" t="str">
        <f>HYPERLINK("https://tinyurl.com/2jp2ogry")</f>
        <v>https://tinyurl.com/2jp2ogry</v>
      </c>
      <c r="Y2516" s="77" t="s">
        <v>8670</v>
      </c>
      <c r="Z2516" s="77"/>
      <c r="AA2516" s="77"/>
      <c r="AB2516" s="77"/>
      <c r="AC2516" s="80" t="s">
        <v>10564</v>
      </c>
      <c r="AD2516" s="77" t="s">
        <v>10620</v>
      </c>
      <c r="AE2516" s="83" t="str">
        <f>HYPERLINK("https://twitter.com/zorolitt/status/1662966982243696640")</f>
        <v>https://twitter.com/zorolitt/status/1662966982243696640</v>
      </c>
      <c r="AF2516" s="79">
        <v>45074.98609953704</v>
      </c>
      <c r="AG2516" s="85">
        <v>45074</v>
      </c>
      <c r="AH2516" s="80" t="s">
        <v>12839</v>
      </c>
      <c r="AI2516" s="77" t="b">
        <v>0</v>
      </c>
      <c r="AJ2516" s="77"/>
      <c r="AK2516" s="77"/>
      <c r="AL2516" s="77"/>
      <c r="AM2516" s="77"/>
      <c r="AN2516" s="77"/>
      <c r="AO2516" s="77"/>
      <c r="AP2516" s="77"/>
      <c r="AQ2516" s="77"/>
      <c r="AR2516" s="77"/>
      <c r="AS2516" s="77"/>
      <c r="AT2516" s="77"/>
      <c r="AU2516" s="77"/>
      <c r="AV2516" s="83" t="str">
        <f>HYPERLINK("https://pbs.twimg.com/profile_images/1543720227581693952/nJHp4ISS_normal.jpg")</f>
        <v>https://pbs.twimg.com/profile_images/1543720227581693952/nJHp4ISS_normal.jpg</v>
      </c>
      <c r="AW2516" s="80" t="s">
        <v>18310</v>
      </c>
      <c r="AX2516" s="80" t="s">
        <v>18310</v>
      </c>
      <c r="AY2516" s="77"/>
      <c r="AZ2516" s="80" t="s">
        <v>20380</v>
      </c>
      <c r="BA2516" s="80" t="s">
        <v>20380</v>
      </c>
      <c r="BB2516" s="80" t="s">
        <v>20380</v>
      </c>
      <c r="BC2516" s="80" t="s">
        <v>18310</v>
      </c>
      <c r="BD2516" s="80" t="s">
        <v>20896</v>
      </c>
      <c r="BE2516" s="77"/>
      <c r="BF2516" s="77"/>
      <c r="BG2516" s="77"/>
      <c r="BH2516" s="77"/>
      <c r="BI2516" s="77"/>
    </row>
    <row r="2517" spans="1:61" x14ac:dyDescent="0.25">
      <c r="A2517" s="62" t="s">
        <v>1045</v>
      </c>
      <c r="B2517" s="62" t="s">
        <v>1045</v>
      </c>
      <c r="C2517" s="63"/>
      <c r="D2517" s="64"/>
      <c r="E2517" s="65"/>
      <c r="F2517" s="66"/>
      <c r="G2517" s="63"/>
      <c r="H2517" s="67"/>
      <c r="I2517" s="68"/>
      <c r="J2517" s="68"/>
      <c r="K2517" s="32"/>
      <c r="L2517" s="75">
        <v>2517</v>
      </c>
      <c r="M2517" s="75"/>
      <c r="N2517" s="70"/>
      <c r="O2517" s="77" t="s">
        <v>179</v>
      </c>
      <c r="P2517" s="79">
        <v>45084.180150462962</v>
      </c>
      <c r="Q2517" s="77" t="s">
        <v>4308</v>
      </c>
      <c r="R2517" s="77">
        <v>0</v>
      </c>
      <c r="S2517" s="77">
        <v>0</v>
      </c>
      <c r="T2517" s="77">
        <v>0</v>
      </c>
      <c r="U2517" s="77">
        <v>0</v>
      </c>
      <c r="V2517" s="77">
        <v>14</v>
      </c>
      <c r="W2517" s="80" t="s">
        <v>7483</v>
      </c>
      <c r="X2517" s="83" t="str">
        <f>HYPERLINK("https://tinyurl.com/2e2a7o4l")</f>
        <v>https://tinyurl.com/2e2a7o4l</v>
      </c>
      <c r="Y2517" s="77" t="s">
        <v>8670</v>
      </c>
      <c r="Z2517" s="77"/>
      <c r="AA2517" s="77"/>
      <c r="AB2517" s="77"/>
      <c r="AC2517" s="80" t="s">
        <v>10564</v>
      </c>
      <c r="AD2517" s="77" t="s">
        <v>10620</v>
      </c>
      <c r="AE2517" s="83" t="str">
        <f>HYPERLINK("https://twitter.com/zorolitt/status/1666298795808661505")</f>
        <v>https://twitter.com/zorolitt/status/1666298795808661505</v>
      </c>
      <c r="AF2517" s="79">
        <v>45084.180150462962</v>
      </c>
      <c r="AG2517" s="85">
        <v>45084</v>
      </c>
      <c r="AH2517" s="80" t="s">
        <v>12840</v>
      </c>
      <c r="AI2517" s="77" t="b">
        <v>0</v>
      </c>
      <c r="AJ2517" s="77"/>
      <c r="AK2517" s="77"/>
      <c r="AL2517" s="77"/>
      <c r="AM2517" s="77"/>
      <c r="AN2517" s="77"/>
      <c r="AO2517" s="77"/>
      <c r="AP2517" s="77"/>
      <c r="AQ2517" s="77"/>
      <c r="AR2517" s="77"/>
      <c r="AS2517" s="77"/>
      <c r="AT2517" s="77"/>
      <c r="AU2517" s="77"/>
      <c r="AV2517" s="83" t="str">
        <f>HYPERLINK("https://pbs.twimg.com/profile_images/1543720227581693952/nJHp4ISS_normal.jpg")</f>
        <v>https://pbs.twimg.com/profile_images/1543720227581693952/nJHp4ISS_normal.jpg</v>
      </c>
      <c r="AW2517" s="80" t="s">
        <v>18311</v>
      </c>
      <c r="AX2517" s="80" t="s">
        <v>18311</v>
      </c>
      <c r="AY2517" s="77"/>
      <c r="AZ2517" s="80" t="s">
        <v>20380</v>
      </c>
      <c r="BA2517" s="80" t="s">
        <v>20380</v>
      </c>
      <c r="BB2517" s="80" t="s">
        <v>20380</v>
      </c>
      <c r="BC2517" s="80" t="s">
        <v>18311</v>
      </c>
      <c r="BD2517" s="80" t="s">
        <v>20896</v>
      </c>
      <c r="BE2517" s="77"/>
      <c r="BF2517" s="77"/>
      <c r="BG2517" s="77"/>
      <c r="BH2517" s="77"/>
      <c r="BI2517" s="77"/>
    </row>
    <row r="2518" spans="1:61" x14ac:dyDescent="0.25">
      <c r="A2518" s="62" t="s">
        <v>1045</v>
      </c>
      <c r="B2518" s="62" t="s">
        <v>1045</v>
      </c>
      <c r="C2518" s="63"/>
      <c r="D2518" s="64"/>
      <c r="E2518" s="65"/>
      <c r="F2518" s="66"/>
      <c r="G2518" s="63"/>
      <c r="H2518" s="67"/>
      <c r="I2518" s="68"/>
      <c r="J2518" s="68"/>
      <c r="K2518" s="32"/>
      <c r="L2518" s="75">
        <v>2518</v>
      </c>
      <c r="M2518" s="75"/>
      <c r="N2518" s="70"/>
      <c r="O2518" s="77" t="s">
        <v>179</v>
      </c>
      <c r="P2518" s="79">
        <v>45080.262627314813</v>
      </c>
      <c r="Q2518" s="77" t="s">
        <v>4309</v>
      </c>
      <c r="R2518" s="77">
        <v>0</v>
      </c>
      <c r="S2518" s="77">
        <v>0</v>
      </c>
      <c r="T2518" s="77">
        <v>0</v>
      </c>
      <c r="U2518" s="77">
        <v>0</v>
      </c>
      <c r="V2518" s="77">
        <v>12</v>
      </c>
      <c r="W2518" s="80" t="s">
        <v>7484</v>
      </c>
      <c r="X2518" s="83" t="str">
        <f>HYPERLINK("https://tinyurl.com/2j9fr3kl")</f>
        <v>https://tinyurl.com/2j9fr3kl</v>
      </c>
      <c r="Y2518" s="77" t="s">
        <v>8670</v>
      </c>
      <c r="Z2518" s="77"/>
      <c r="AA2518" s="77"/>
      <c r="AB2518" s="77"/>
      <c r="AC2518" s="80" t="s">
        <v>10564</v>
      </c>
      <c r="AD2518" s="77" t="s">
        <v>10620</v>
      </c>
      <c r="AE2518" s="83" t="str">
        <f>HYPERLINK("https://twitter.com/zorolitt/status/1664879130800709635")</f>
        <v>https://twitter.com/zorolitt/status/1664879130800709635</v>
      </c>
      <c r="AF2518" s="79">
        <v>45080.262627314813</v>
      </c>
      <c r="AG2518" s="85">
        <v>45080</v>
      </c>
      <c r="AH2518" s="80" t="s">
        <v>12841</v>
      </c>
      <c r="AI2518" s="77" t="b">
        <v>0</v>
      </c>
      <c r="AJ2518" s="77"/>
      <c r="AK2518" s="77"/>
      <c r="AL2518" s="77"/>
      <c r="AM2518" s="77"/>
      <c r="AN2518" s="77"/>
      <c r="AO2518" s="77"/>
      <c r="AP2518" s="77"/>
      <c r="AQ2518" s="77"/>
      <c r="AR2518" s="77"/>
      <c r="AS2518" s="77"/>
      <c r="AT2518" s="77"/>
      <c r="AU2518" s="77"/>
      <c r="AV2518" s="83" t="str">
        <f>HYPERLINK("https://pbs.twimg.com/profile_images/1543720227581693952/nJHp4ISS_normal.jpg")</f>
        <v>https://pbs.twimg.com/profile_images/1543720227581693952/nJHp4ISS_normal.jpg</v>
      </c>
      <c r="AW2518" s="80" t="s">
        <v>18312</v>
      </c>
      <c r="AX2518" s="80" t="s">
        <v>18312</v>
      </c>
      <c r="AY2518" s="77"/>
      <c r="AZ2518" s="80" t="s">
        <v>20380</v>
      </c>
      <c r="BA2518" s="80" t="s">
        <v>20380</v>
      </c>
      <c r="BB2518" s="80" t="s">
        <v>20380</v>
      </c>
      <c r="BC2518" s="80" t="s">
        <v>18312</v>
      </c>
      <c r="BD2518" s="80" t="s">
        <v>20896</v>
      </c>
      <c r="BE2518" s="77"/>
      <c r="BF2518" s="77"/>
      <c r="BG2518" s="77"/>
      <c r="BH2518" s="77"/>
      <c r="BI2518" s="77"/>
    </row>
    <row r="2519" spans="1:61" x14ac:dyDescent="0.25">
      <c r="A2519" s="62" t="s">
        <v>1045</v>
      </c>
      <c r="B2519" s="62" t="s">
        <v>1045</v>
      </c>
      <c r="C2519" s="63"/>
      <c r="D2519" s="64"/>
      <c r="E2519" s="65"/>
      <c r="F2519" s="66"/>
      <c r="G2519" s="63"/>
      <c r="H2519" s="67"/>
      <c r="I2519" s="68"/>
      <c r="J2519" s="68"/>
      <c r="K2519" s="32"/>
      <c r="L2519" s="75">
        <v>2519</v>
      </c>
      <c r="M2519" s="75"/>
      <c r="N2519" s="70"/>
      <c r="O2519" s="77" t="s">
        <v>179</v>
      </c>
      <c r="P2519" s="79">
        <v>45196.895312499997</v>
      </c>
      <c r="Q2519" s="77" t="s">
        <v>4310</v>
      </c>
      <c r="R2519" s="77">
        <v>0</v>
      </c>
      <c r="S2519" s="77">
        <v>0</v>
      </c>
      <c r="T2519" s="77">
        <v>0</v>
      </c>
      <c r="U2519" s="77">
        <v>0</v>
      </c>
      <c r="V2519" s="77">
        <v>9</v>
      </c>
      <c r="W2519" s="80" t="s">
        <v>7485</v>
      </c>
      <c r="X2519" s="83" t="str">
        <f>HYPERLINK("https://tinyurl.com/293j99bu")</f>
        <v>https://tinyurl.com/293j99bu</v>
      </c>
      <c r="Y2519" s="77" t="s">
        <v>8670</v>
      </c>
      <c r="Z2519" s="77"/>
      <c r="AA2519" s="77"/>
      <c r="AB2519" s="77"/>
      <c r="AC2519" s="80" t="s">
        <v>10541</v>
      </c>
      <c r="AD2519" s="77" t="s">
        <v>10620</v>
      </c>
      <c r="AE2519" s="83" t="str">
        <f>HYPERLINK("https://twitter.com/zorolitt/status/1707145399960523216")</f>
        <v>https://twitter.com/zorolitt/status/1707145399960523216</v>
      </c>
      <c r="AF2519" s="79">
        <v>45196.895312499997</v>
      </c>
      <c r="AG2519" s="85">
        <v>45196</v>
      </c>
      <c r="AH2519" s="80" t="s">
        <v>12842</v>
      </c>
      <c r="AI2519" s="77" t="b">
        <v>0</v>
      </c>
      <c r="AJ2519" s="77"/>
      <c r="AK2519" s="77"/>
      <c r="AL2519" s="77"/>
      <c r="AM2519" s="77"/>
      <c r="AN2519" s="77"/>
      <c r="AO2519" s="77"/>
      <c r="AP2519" s="77"/>
      <c r="AQ2519" s="77"/>
      <c r="AR2519" s="77"/>
      <c r="AS2519" s="77"/>
      <c r="AT2519" s="77"/>
      <c r="AU2519" s="77"/>
      <c r="AV2519" s="83" t="str">
        <f>HYPERLINK("https://pbs.twimg.com/profile_images/1543720227581693952/nJHp4ISS_normal.jpg")</f>
        <v>https://pbs.twimg.com/profile_images/1543720227581693952/nJHp4ISS_normal.jpg</v>
      </c>
      <c r="AW2519" s="80" t="s">
        <v>18313</v>
      </c>
      <c r="AX2519" s="80" t="s">
        <v>18313</v>
      </c>
      <c r="AY2519" s="77"/>
      <c r="AZ2519" s="80" t="s">
        <v>20380</v>
      </c>
      <c r="BA2519" s="80" t="s">
        <v>20380</v>
      </c>
      <c r="BB2519" s="80" t="s">
        <v>20380</v>
      </c>
      <c r="BC2519" s="80" t="s">
        <v>18313</v>
      </c>
      <c r="BD2519" s="80" t="s">
        <v>20896</v>
      </c>
      <c r="BE2519" s="77"/>
      <c r="BF2519" s="77"/>
      <c r="BG2519" s="77"/>
      <c r="BH2519" s="77"/>
      <c r="BI2519" s="77"/>
    </row>
    <row r="2520" spans="1:61" x14ac:dyDescent="0.25">
      <c r="A2520" s="62" t="s">
        <v>1045</v>
      </c>
      <c r="B2520" s="62" t="s">
        <v>1045</v>
      </c>
      <c r="C2520" s="63"/>
      <c r="D2520" s="64"/>
      <c r="E2520" s="65"/>
      <c r="F2520" s="66"/>
      <c r="G2520" s="63"/>
      <c r="H2520" s="67"/>
      <c r="I2520" s="68"/>
      <c r="J2520" s="68"/>
      <c r="K2520" s="32"/>
      <c r="L2520" s="75">
        <v>2520</v>
      </c>
      <c r="M2520" s="75"/>
      <c r="N2520" s="70"/>
      <c r="O2520" s="77" t="s">
        <v>179</v>
      </c>
      <c r="P2520" s="79">
        <v>45184.582372685189</v>
      </c>
      <c r="Q2520" s="77" t="s">
        <v>4311</v>
      </c>
      <c r="R2520" s="77">
        <v>0</v>
      </c>
      <c r="S2520" s="77">
        <v>0</v>
      </c>
      <c r="T2520" s="77">
        <v>0</v>
      </c>
      <c r="U2520" s="77">
        <v>0</v>
      </c>
      <c r="V2520" s="77">
        <v>14</v>
      </c>
      <c r="W2520" s="80" t="s">
        <v>7486</v>
      </c>
      <c r="X2520" s="83" t="str">
        <f>HYPERLINK("https://tinyurl.com/ymlfysy3")</f>
        <v>https://tinyurl.com/ymlfysy3</v>
      </c>
      <c r="Y2520" s="77" t="s">
        <v>8670</v>
      </c>
      <c r="Z2520" s="77"/>
      <c r="AA2520" s="77"/>
      <c r="AB2520" s="77"/>
      <c r="AC2520" s="80" t="s">
        <v>10541</v>
      </c>
      <c r="AD2520" s="77" t="s">
        <v>10620</v>
      </c>
      <c r="AE2520" s="83" t="str">
        <f>HYPERLINK("https://twitter.com/zorolitt/status/1702683339444920389")</f>
        <v>https://twitter.com/zorolitt/status/1702683339444920389</v>
      </c>
      <c r="AF2520" s="79">
        <v>45184.582372685189</v>
      </c>
      <c r="AG2520" s="85">
        <v>45184</v>
      </c>
      <c r="AH2520" s="80" t="s">
        <v>12843</v>
      </c>
      <c r="AI2520" s="77" t="b">
        <v>0</v>
      </c>
      <c r="AJ2520" s="77"/>
      <c r="AK2520" s="77"/>
      <c r="AL2520" s="77"/>
      <c r="AM2520" s="77"/>
      <c r="AN2520" s="77"/>
      <c r="AO2520" s="77"/>
      <c r="AP2520" s="77"/>
      <c r="AQ2520" s="77"/>
      <c r="AR2520" s="77"/>
      <c r="AS2520" s="77"/>
      <c r="AT2520" s="77"/>
      <c r="AU2520" s="77"/>
      <c r="AV2520" s="83" t="str">
        <f>HYPERLINK("https://pbs.twimg.com/profile_images/1543720227581693952/nJHp4ISS_normal.jpg")</f>
        <v>https://pbs.twimg.com/profile_images/1543720227581693952/nJHp4ISS_normal.jpg</v>
      </c>
      <c r="AW2520" s="80" t="s">
        <v>18314</v>
      </c>
      <c r="AX2520" s="80" t="s">
        <v>18314</v>
      </c>
      <c r="AY2520" s="77"/>
      <c r="AZ2520" s="80" t="s">
        <v>20380</v>
      </c>
      <c r="BA2520" s="80" t="s">
        <v>20380</v>
      </c>
      <c r="BB2520" s="80" t="s">
        <v>20380</v>
      </c>
      <c r="BC2520" s="80" t="s">
        <v>18314</v>
      </c>
      <c r="BD2520" s="80" t="s">
        <v>20896</v>
      </c>
      <c r="BE2520" s="77"/>
      <c r="BF2520" s="77"/>
      <c r="BG2520" s="77"/>
      <c r="BH2520" s="77"/>
      <c r="BI2520" s="77"/>
    </row>
    <row r="2521" spans="1:61" x14ac:dyDescent="0.25">
      <c r="A2521" s="62" t="s">
        <v>1045</v>
      </c>
      <c r="B2521" s="62" t="s">
        <v>1045</v>
      </c>
      <c r="C2521" s="63"/>
      <c r="D2521" s="64"/>
      <c r="E2521" s="65"/>
      <c r="F2521" s="66"/>
      <c r="G2521" s="63"/>
      <c r="H2521" s="67"/>
      <c r="I2521" s="68"/>
      <c r="J2521" s="68"/>
      <c r="K2521" s="32"/>
      <c r="L2521" s="75">
        <v>2521</v>
      </c>
      <c r="M2521" s="75"/>
      <c r="N2521" s="70"/>
      <c r="O2521" s="77" t="s">
        <v>179</v>
      </c>
      <c r="P2521" s="79">
        <v>45137.540520833332</v>
      </c>
      <c r="Q2521" s="77" t="s">
        <v>4312</v>
      </c>
      <c r="R2521" s="77">
        <v>0</v>
      </c>
      <c r="S2521" s="77">
        <v>0</v>
      </c>
      <c r="T2521" s="77">
        <v>0</v>
      </c>
      <c r="U2521" s="77">
        <v>0</v>
      </c>
      <c r="V2521" s="77">
        <v>14</v>
      </c>
      <c r="W2521" s="80" t="s">
        <v>7487</v>
      </c>
      <c r="X2521" s="83" t="str">
        <f>HYPERLINK("https://tinyurl.com/242rqhs2")</f>
        <v>https://tinyurl.com/242rqhs2</v>
      </c>
      <c r="Y2521" s="77" t="s">
        <v>8670</v>
      </c>
      <c r="Z2521" s="77"/>
      <c r="AA2521" s="77"/>
      <c r="AB2521" s="77"/>
      <c r="AC2521" s="80" t="s">
        <v>10541</v>
      </c>
      <c r="AD2521" s="77" t="s">
        <v>10620</v>
      </c>
      <c r="AE2521" s="83" t="str">
        <f>HYPERLINK("https://twitter.com/zorolitt/status/1685635945679257600")</f>
        <v>https://twitter.com/zorolitt/status/1685635945679257600</v>
      </c>
      <c r="AF2521" s="79">
        <v>45137.540520833332</v>
      </c>
      <c r="AG2521" s="85">
        <v>45137</v>
      </c>
      <c r="AH2521" s="80" t="s">
        <v>12844</v>
      </c>
      <c r="AI2521" s="77" t="b">
        <v>0</v>
      </c>
      <c r="AJ2521" s="77"/>
      <c r="AK2521" s="77"/>
      <c r="AL2521" s="77"/>
      <c r="AM2521" s="77"/>
      <c r="AN2521" s="77"/>
      <c r="AO2521" s="77"/>
      <c r="AP2521" s="77"/>
      <c r="AQ2521" s="77"/>
      <c r="AR2521" s="77"/>
      <c r="AS2521" s="77"/>
      <c r="AT2521" s="77"/>
      <c r="AU2521" s="77"/>
      <c r="AV2521" s="83" t="str">
        <f>HYPERLINK("https://pbs.twimg.com/profile_images/1543720227581693952/nJHp4ISS_normal.jpg")</f>
        <v>https://pbs.twimg.com/profile_images/1543720227581693952/nJHp4ISS_normal.jpg</v>
      </c>
      <c r="AW2521" s="80" t="s">
        <v>18315</v>
      </c>
      <c r="AX2521" s="80" t="s">
        <v>18315</v>
      </c>
      <c r="AY2521" s="77"/>
      <c r="AZ2521" s="80" t="s">
        <v>20380</v>
      </c>
      <c r="BA2521" s="80" t="s">
        <v>20380</v>
      </c>
      <c r="BB2521" s="80" t="s">
        <v>20380</v>
      </c>
      <c r="BC2521" s="80" t="s">
        <v>18315</v>
      </c>
      <c r="BD2521" s="80" t="s">
        <v>20896</v>
      </c>
      <c r="BE2521" s="77"/>
      <c r="BF2521" s="77"/>
      <c r="BG2521" s="77"/>
      <c r="BH2521" s="77"/>
      <c r="BI2521" s="77"/>
    </row>
    <row r="2522" spans="1:61" x14ac:dyDescent="0.25">
      <c r="A2522" s="62" t="s">
        <v>1046</v>
      </c>
      <c r="B2522" s="62" t="s">
        <v>1947</v>
      </c>
      <c r="C2522" s="63"/>
      <c r="D2522" s="64"/>
      <c r="E2522" s="65"/>
      <c r="F2522" s="66"/>
      <c r="G2522" s="63"/>
      <c r="H2522" s="67"/>
      <c r="I2522" s="68"/>
      <c r="J2522" s="68"/>
      <c r="K2522" s="32"/>
      <c r="L2522" s="75">
        <v>2522</v>
      </c>
      <c r="M2522" s="75"/>
      <c r="N2522" s="70"/>
      <c r="O2522" s="77" t="s">
        <v>2081</v>
      </c>
      <c r="P2522" s="79">
        <v>45069.687673611108</v>
      </c>
      <c r="Q2522" s="77" t="s">
        <v>4313</v>
      </c>
      <c r="R2522" s="77">
        <v>0</v>
      </c>
      <c r="S2522" s="77">
        <v>1</v>
      </c>
      <c r="T2522" s="77">
        <v>0</v>
      </c>
      <c r="U2522" s="77">
        <v>0</v>
      </c>
      <c r="V2522" s="77">
        <v>61</v>
      </c>
      <c r="W2522" s="80" t="s">
        <v>6205</v>
      </c>
      <c r="X2522" s="83" t="str">
        <f>HYPERLINK("http://bit.ly/3My1yPa")</f>
        <v>http://bit.ly/3My1yPa</v>
      </c>
      <c r="Y2522" s="77" t="s">
        <v>8618</v>
      </c>
      <c r="Z2522" s="77" t="s">
        <v>8988</v>
      </c>
      <c r="AA2522" s="77" t="s">
        <v>9796</v>
      </c>
      <c r="AB2522" s="77" t="s">
        <v>10535</v>
      </c>
      <c r="AC2522" s="80" t="s">
        <v>10541</v>
      </c>
      <c r="AD2522" s="77" t="s">
        <v>10620</v>
      </c>
      <c r="AE2522" s="83" t="str">
        <f>HYPERLINK("https://twitter.com/notaalpieok/status/1661046896545218576")</f>
        <v>https://twitter.com/notaalpieok/status/1661046896545218576</v>
      </c>
      <c r="AF2522" s="79">
        <v>45069.687673611108</v>
      </c>
      <c r="AG2522" s="85">
        <v>45069</v>
      </c>
      <c r="AH2522" s="80" t="s">
        <v>12845</v>
      </c>
      <c r="AI2522" s="77" t="b">
        <v>0</v>
      </c>
      <c r="AJ2522" s="77"/>
      <c r="AK2522" s="77"/>
      <c r="AL2522" s="77"/>
      <c r="AM2522" s="77"/>
      <c r="AN2522" s="77"/>
      <c r="AO2522" s="77"/>
      <c r="AP2522" s="77"/>
      <c r="AQ2522" s="77" t="s">
        <v>15278</v>
      </c>
      <c r="AR2522" s="77"/>
      <c r="AS2522" s="77"/>
      <c r="AT2522" s="77"/>
      <c r="AU2522" s="77"/>
      <c r="AV2522" s="83" t="str">
        <f>HYPERLINK("https://pbs.twimg.com/media/Fw05U_xXgAYXzgM.jpg")</f>
        <v>https://pbs.twimg.com/media/Fw05U_xXgAYXzgM.jpg</v>
      </c>
      <c r="AW2522" s="80" t="s">
        <v>18316</v>
      </c>
      <c r="AX2522" s="80" t="s">
        <v>18316</v>
      </c>
      <c r="AY2522" s="77"/>
      <c r="AZ2522" s="80" t="s">
        <v>20380</v>
      </c>
      <c r="BA2522" s="80" t="s">
        <v>20380</v>
      </c>
      <c r="BB2522" s="80" t="s">
        <v>20380</v>
      </c>
      <c r="BC2522" s="80" t="s">
        <v>18316</v>
      </c>
      <c r="BD2522" s="80" t="s">
        <v>20897</v>
      </c>
      <c r="BE2522" s="77"/>
      <c r="BF2522" s="77"/>
      <c r="BG2522" s="77"/>
      <c r="BH2522" s="77"/>
      <c r="BI2522" s="77"/>
    </row>
    <row r="2523" spans="1:61" x14ac:dyDescent="0.25">
      <c r="A2523" s="62" t="s">
        <v>1046</v>
      </c>
      <c r="B2523" s="62" t="s">
        <v>1948</v>
      </c>
      <c r="C2523" s="63"/>
      <c r="D2523" s="64"/>
      <c r="E2523" s="65"/>
      <c r="F2523" s="66"/>
      <c r="G2523" s="63"/>
      <c r="H2523" s="67"/>
      <c r="I2523" s="68"/>
      <c r="J2523" s="68"/>
      <c r="K2523" s="32"/>
      <c r="L2523" s="75">
        <v>2523</v>
      </c>
      <c r="M2523" s="75"/>
      <c r="N2523" s="70"/>
      <c r="O2523" s="77" t="s">
        <v>2081</v>
      </c>
      <c r="P2523" s="79">
        <v>45147.643634259257</v>
      </c>
      <c r="Q2523" s="77" t="s">
        <v>4314</v>
      </c>
      <c r="R2523" s="77">
        <v>1</v>
      </c>
      <c r="S2523" s="77">
        <v>1</v>
      </c>
      <c r="T2523" s="77">
        <v>0</v>
      </c>
      <c r="U2523" s="77">
        <v>0</v>
      </c>
      <c r="V2523" s="77">
        <v>46</v>
      </c>
      <c r="W2523" s="80" t="s">
        <v>7488</v>
      </c>
      <c r="X2523" s="83" t="str">
        <f>HYPERLINK("https://bit.ly/3s3xaWh")</f>
        <v>https://bit.ly/3s3xaWh</v>
      </c>
      <c r="Y2523" s="77" t="s">
        <v>8618</v>
      </c>
      <c r="Z2523" s="77" t="s">
        <v>1948</v>
      </c>
      <c r="AA2523" s="77"/>
      <c r="AB2523" s="77"/>
      <c r="AC2523" s="80" t="s">
        <v>10542</v>
      </c>
      <c r="AD2523" s="77" t="s">
        <v>10620</v>
      </c>
      <c r="AE2523" s="83" t="str">
        <f>HYPERLINK("https://twitter.com/notaalpieok/status/1689297188445196288")</f>
        <v>https://twitter.com/notaalpieok/status/1689297188445196288</v>
      </c>
      <c r="AF2523" s="79">
        <v>45147.643634259257</v>
      </c>
      <c r="AG2523" s="85">
        <v>45147</v>
      </c>
      <c r="AH2523" s="80" t="s">
        <v>12846</v>
      </c>
      <c r="AI2523" s="77" t="b">
        <v>0</v>
      </c>
      <c r="AJ2523" s="77"/>
      <c r="AK2523" s="77"/>
      <c r="AL2523" s="77"/>
      <c r="AM2523" s="77"/>
      <c r="AN2523" s="77"/>
      <c r="AO2523" s="77"/>
      <c r="AP2523" s="77"/>
      <c r="AQ2523" s="77"/>
      <c r="AR2523" s="77"/>
      <c r="AS2523" s="77"/>
      <c r="AT2523" s="77"/>
      <c r="AU2523" s="77"/>
      <c r="AV2523" s="83" t="str">
        <f>HYPERLINK("https://pbs.twimg.com/profile_images/1612486412556800001/2NWbOiQn_normal.jpg")</f>
        <v>https://pbs.twimg.com/profile_images/1612486412556800001/2NWbOiQn_normal.jpg</v>
      </c>
      <c r="AW2523" s="80" t="s">
        <v>18317</v>
      </c>
      <c r="AX2523" s="80" t="s">
        <v>18317</v>
      </c>
      <c r="AY2523" s="77"/>
      <c r="AZ2523" s="80" t="s">
        <v>20380</v>
      </c>
      <c r="BA2523" s="80" t="s">
        <v>20380</v>
      </c>
      <c r="BB2523" s="80" t="s">
        <v>20380</v>
      </c>
      <c r="BC2523" s="80" t="s">
        <v>18317</v>
      </c>
      <c r="BD2523" s="80" t="s">
        <v>20897</v>
      </c>
      <c r="BE2523" s="77"/>
      <c r="BF2523" s="77"/>
      <c r="BG2523" s="77"/>
      <c r="BH2523" s="77"/>
      <c r="BI2523" s="77"/>
    </row>
    <row r="2524" spans="1:61" x14ac:dyDescent="0.25">
      <c r="A2524" s="62" t="s">
        <v>1046</v>
      </c>
      <c r="B2524" s="62" t="s">
        <v>1715</v>
      </c>
      <c r="C2524" s="63"/>
      <c r="D2524" s="64"/>
      <c r="E2524" s="65"/>
      <c r="F2524" s="66"/>
      <c r="G2524" s="63"/>
      <c r="H2524" s="67"/>
      <c r="I2524" s="68"/>
      <c r="J2524" s="68"/>
      <c r="K2524" s="32"/>
      <c r="L2524" s="75">
        <v>2524</v>
      </c>
      <c r="M2524" s="75"/>
      <c r="N2524" s="70"/>
      <c r="O2524" s="77" t="s">
        <v>2081</v>
      </c>
      <c r="P2524" s="79">
        <v>45069.687673611108</v>
      </c>
      <c r="Q2524" s="77" t="s">
        <v>4313</v>
      </c>
      <c r="R2524" s="77">
        <v>0</v>
      </c>
      <c r="S2524" s="77">
        <v>1</v>
      </c>
      <c r="T2524" s="77">
        <v>0</v>
      </c>
      <c r="U2524" s="77">
        <v>0</v>
      </c>
      <c r="V2524" s="77">
        <v>61</v>
      </c>
      <c r="W2524" s="80" t="s">
        <v>6205</v>
      </c>
      <c r="X2524" s="83" t="str">
        <f>HYPERLINK("http://bit.ly/3My1yPa")</f>
        <v>http://bit.ly/3My1yPa</v>
      </c>
      <c r="Y2524" s="77" t="s">
        <v>8618</v>
      </c>
      <c r="Z2524" s="77" t="s">
        <v>8988</v>
      </c>
      <c r="AA2524" s="77" t="s">
        <v>9796</v>
      </c>
      <c r="AB2524" s="77" t="s">
        <v>10535</v>
      </c>
      <c r="AC2524" s="80" t="s">
        <v>10541</v>
      </c>
      <c r="AD2524" s="77" t="s">
        <v>10620</v>
      </c>
      <c r="AE2524" s="83" t="str">
        <f>HYPERLINK("https://twitter.com/notaalpieok/status/1661046896545218576")</f>
        <v>https://twitter.com/notaalpieok/status/1661046896545218576</v>
      </c>
      <c r="AF2524" s="79">
        <v>45069.687673611108</v>
      </c>
      <c r="AG2524" s="85">
        <v>45069</v>
      </c>
      <c r="AH2524" s="80" t="s">
        <v>12845</v>
      </c>
      <c r="AI2524" s="77" t="b">
        <v>0</v>
      </c>
      <c r="AJ2524" s="77"/>
      <c r="AK2524" s="77"/>
      <c r="AL2524" s="77"/>
      <c r="AM2524" s="77"/>
      <c r="AN2524" s="77"/>
      <c r="AO2524" s="77"/>
      <c r="AP2524" s="77"/>
      <c r="AQ2524" s="77" t="s">
        <v>15278</v>
      </c>
      <c r="AR2524" s="77"/>
      <c r="AS2524" s="77"/>
      <c r="AT2524" s="77"/>
      <c r="AU2524" s="77"/>
      <c r="AV2524" s="83" t="str">
        <f>HYPERLINK("https://pbs.twimg.com/media/Fw05U_xXgAYXzgM.jpg")</f>
        <v>https://pbs.twimg.com/media/Fw05U_xXgAYXzgM.jpg</v>
      </c>
      <c r="AW2524" s="80" t="s">
        <v>18316</v>
      </c>
      <c r="AX2524" s="80" t="s">
        <v>18316</v>
      </c>
      <c r="AY2524" s="77"/>
      <c r="AZ2524" s="80" t="s">
        <v>20380</v>
      </c>
      <c r="BA2524" s="80" t="s">
        <v>20380</v>
      </c>
      <c r="BB2524" s="80" t="s">
        <v>20380</v>
      </c>
      <c r="BC2524" s="80" t="s">
        <v>18316</v>
      </c>
      <c r="BD2524" s="80" t="s">
        <v>20897</v>
      </c>
      <c r="BE2524" s="77"/>
      <c r="BF2524" s="77"/>
      <c r="BG2524" s="77"/>
      <c r="BH2524" s="77"/>
      <c r="BI2524" s="77"/>
    </row>
    <row r="2525" spans="1:61" x14ac:dyDescent="0.25">
      <c r="A2525" s="62" t="s">
        <v>1046</v>
      </c>
      <c r="B2525" s="62" t="s">
        <v>1046</v>
      </c>
      <c r="C2525" s="63"/>
      <c r="D2525" s="64"/>
      <c r="E2525" s="65"/>
      <c r="F2525" s="66"/>
      <c r="G2525" s="63"/>
      <c r="H2525" s="67"/>
      <c r="I2525" s="68"/>
      <c r="J2525" s="68"/>
      <c r="K2525" s="32"/>
      <c r="L2525" s="75">
        <v>2525</v>
      </c>
      <c r="M2525" s="75"/>
      <c r="N2525" s="70"/>
      <c r="O2525" s="77" t="s">
        <v>179</v>
      </c>
      <c r="P2525" s="79">
        <v>45152.645208333335</v>
      </c>
      <c r="Q2525" s="77" t="s">
        <v>4315</v>
      </c>
      <c r="R2525" s="77">
        <v>0</v>
      </c>
      <c r="S2525" s="77">
        <v>1</v>
      </c>
      <c r="T2525" s="77">
        <v>0</v>
      </c>
      <c r="U2525" s="77">
        <v>0</v>
      </c>
      <c r="V2525" s="77">
        <v>127</v>
      </c>
      <c r="W2525" s="80" t="s">
        <v>7489</v>
      </c>
      <c r="X2525" s="77"/>
      <c r="Y2525" s="77"/>
      <c r="Z2525" s="77"/>
      <c r="AA2525" s="77" t="s">
        <v>9797</v>
      </c>
      <c r="AB2525" s="77" t="s">
        <v>10534</v>
      </c>
      <c r="AC2525" s="80" t="s">
        <v>10541</v>
      </c>
      <c r="AD2525" s="77" t="s">
        <v>10620</v>
      </c>
      <c r="AE2525" s="83" t="str">
        <f>HYPERLINK("https://twitter.com/notaalpieok/status/1691109700723716096")</f>
        <v>https://twitter.com/notaalpieok/status/1691109700723716096</v>
      </c>
      <c r="AF2525" s="79">
        <v>45152.645208333335</v>
      </c>
      <c r="AG2525" s="85">
        <v>45152</v>
      </c>
      <c r="AH2525" s="80" t="s">
        <v>12847</v>
      </c>
      <c r="AI2525" s="77" t="b">
        <v>0</v>
      </c>
      <c r="AJ2525" s="77"/>
      <c r="AK2525" s="77"/>
      <c r="AL2525" s="77"/>
      <c r="AM2525" s="77"/>
      <c r="AN2525" s="77"/>
      <c r="AO2525" s="77"/>
      <c r="AP2525" s="77"/>
      <c r="AQ2525" s="77" t="s">
        <v>15279</v>
      </c>
      <c r="AR2525" s="77">
        <v>31949</v>
      </c>
      <c r="AS2525" s="77"/>
      <c r="AT2525" s="77"/>
      <c r="AU2525" s="77"/>
      <c r="AV2525" s="83" t="str">
        <f>HYPERLINK("https://pbs.twimg.com/ext_tw_video_thumb/1691109634050781184/pu/img/1ul0FpkId7qg2MRI.jpg")</f>
        <v>https://pbs.twimg.com/ext_tw_video_thumb/1691109634050781184/pu/img/1ul0FpkId7qg2MRI.jpg</v>
      </c>
      <c r="AW2525" s="80" t="s">
        <v>18318</v>
      </c>
      <c r="AX2525" s="80" t="s">
        <v>18318</v>
      </c>
      <c r="AY2525" s="77"/>
      <c r="AZ2525" s="80" t="s">
        <v>20380</v>
      </c>
      <c r="BA2525" s="80" t="s">
        <v>20380</v>
      </c>
      <c r="BB2525" s="80" t="s">
        <v>20380</v>
      </c>
      <c r="BC2525" s="80" t="s">
        <v>18318</v>
      </c>
      <c r="BD2525" s="80" t="s">
        <v>20897</v>
      </c>
      <c r="BE2525" s="77"/>
      <c r="BF2525" s="77"/>
      <c r="BG2525" s="77"/>
      <c r="BH2525" s="77"/>
      <c r="BI2525" s="77"/>
    </row>
    <row r="2526" spans="1:61" x14ac:dyDescent="0.25">
      <c r="A2526" s="62" t="s">
        <v>1047</v>
      </c>
      <c r="B2526" s="62" t="s">
        <v>1655</v>
      </c>
      <c r="C2526" s="63"/>
      <c r="D2526" s="64"/>
      <c r="E2526" s="65"/>
      <c r="F2526" s="66"/>
      <c r="G2526" s="63"/>
      <c r="H2526" s="67"/>
      <c r="I2526" s="68"/>
      <c r="J2526" s="68"/>
      <c r="K2526" s="32"/>
      <c r="L2526" s="75">
        <v>2526</v>
      </c>
      <c r="M2526" s="75"/>
      <c r="N2526" s="70"/>
      <c r="O2526" s="77" t="s">
        <v>2083</v>
      </c>
      <c r="P2526" s="79">
        <v>45191.319178240738</v>
      </c>
      <c r="Q2526" s="77" t="s">
        <v>2120</v>
      </c>
      <c r="R2526" s="77">
        <v>57</v>
      </c>
      <c r="S2526" s="77">
        <v>0</v>
      </c>
      <c r="T2526" s="77">
        <v>0</v>
      </c>
      <c r="U2526" s="77">
        <v>0</v>
      </c>
      <c r="V2526" s="77"/>
      <c r="W2526" s="80" t="s">
        <v>5917</v>
      </c>
      <c r="X2526" s="77"/>
      <c r="Y2526" s="77"/>
      <c r="Z2526" s="77" t="s">
        <v>1655</v>
      </c>
      <c r="AA2526" s="77"/>
      <c r="AB2526" s="77"/>
      <c r="AC2526" s="80" t="s">
        <v>10540</v>
      </c>
      <c r="AD2526" s="77" t="s">
        <v>10617</v>
      </c>
      <c r="AE2526" s="83" t="str">
        <f>HYPERLINK("https://twitter.com/cgabia/status/1705124676949708976")</f>
        <v>https://twitter.com/cgabia/status/1705124676949708976</v>
      </c>
      <c r="AF2526" s="79">
        <v>45191.319178240738</v>
      </c>
      <c r="AG2526" s="85">
        <v>45191</v>
      </c>
      <c r="AH2526" s="80" t="s">
        <v>12848</v>
      </c>
      <c r="AI2526" s="77"/>
      <c r="AJ2526" s="77"/>
      <c r="AK2526" s="77"/>
      <c r="AL2526" s="77"/>
      <c r="AM2526" s="77"/>
      <c r="AN2526" s="77"/>
      <c r="AO2526" s="77"/>
      <c r="AP2526" s="77"/>
      <c r="AQ2526" s="77"/>
      <c r="AR2526" s="77"/>
      <c r="AS2526" s="77"/>
      <c r="AT2526" s="77"/>
      <c r="AU2526" s="77"/>
      <c r="AV2526" s="83" t="str">
        <f>HYPERLINK("https://pbs.twimg.com/profile_images/1607507422456717312/3fF80GcF_normal.jpg")</f>
        <v>https://pbs.twimg.com/profile_images/1607507422456717312/3fF80GcF_normal.jpg</v>
      </c>
      <c r="AW2526" s="80" t="s">
        <v>18319</v>
      </c>
      <c r="AX2526" s="80" t="s">
        <v>18319</v>
      </c>
      <c r="AY2526" s="77"/>
      <c r="AZ2526" s="80" t="s">
        <v>20380</v>
      </c>
      <c r="BA2526" s="80" t="s">
        <v>20380</v>
      </c>
      <c r="BB2526" s="80" t="s">
        <v>19843</v>
      </c>
      <c r="BC2526" s="80" t="s">
        <v>19843</v>
      </c>
      <c r="BD2526" s="77">
        <v>97785458</v>
      </c>
      <c r="BE2526" s="77"/>
      <c r="BF2526" s="77"/>
      <c r="BG2526" s="77"/>
      <c r="BH2526" s="77"/>
      <c r="BI2526" s="77"/>
    </row>
    <row r="2527" spans="1:61" x14ac:dyDescent="0.25">
      <c r="A2527" s="62" t="s">
        <v>1048</v>
      </c>
      <c r="B2527" s="62" t="s">
        <v>1425</v>
      </c>
      <c r="C2527" s="63"/>
      <c r="D2527" s="64"/>
      <c r="E2527" s="65"/>
      <c r="F2527" s="66"/>
      <c r="G2527" s="63"/>
      <c r="H2527" s="67"/>
      <c r="I2527" s="68"/>
      <c r="J2527" s="68"/>
      <c r="K2527" s="32"/>
      <c r="L2527" s="75">
        <v>2527</v>
      </c>
      <c r="M2527" s="75"/>
      <c r="N2527" s="70"/>
      <c r="O2527" s="77" t="s">
        <v>2083</v>
      </c>
      <c r="P2527" s="79">
        <v>45194.901701388888</v>
      </c>
      <c r="Q2527" s="77" t="s">
        <v>2640</v>
      </c>
      <c r="R2527" s="77">
        <v>6</v>
      </c>
      <c r="S2527" s="77">
        <v>0</v>
      </c>
      <c r="T2527" s="77">
        <v>0</v>
      </c>
      <c r="U2527" s="77">
        <v>0</v>
      </c>
      <c r="V2527" s="77"/>
      <c r="W2527" s="80" t="s">
        <v>6346</v>
      </c>
      <c r="X2527" s="77"/>
      <c r="Y2527" s="77"/>
      <c r="Z2527" s="77" t="s">
        <v>1425</v>
      </c>
      <c r="AA2527" s="77"/>
      <c r="AB2527" s="77"/>
      <c r="AC2527" s="80" t="s">
        <v>10541</v>
      </c>
      <c r="AD2527" s="77" t="s">
        <v>10620</v>
      </c>
      <c r="AE2527" s="83" t="str">
        <f>HYPERLINK("https://twitter.com/valentina38l/status/1706422942018724130")</f>
        <v>https://twitter.com/valentina38l/status/1706422942018724130</v>
      </c>
      <c r="AF2527" s="79">
        <v>45194.901701388888</v>
      </c>
      <c r="AG2527" s="85">
        <v>45194</v>
      </c>
      <c r="AH2527" s="80" t="s">
        <v>12849</v>
      </c>
      <c r="AI2527" s="77"/>
      <c r="AJ2527" s="77"/>
      <c r="AK2527" s="77"/>
      <c r="AL2527" s="77"/>
      <c r="AM2527" s="77"/>
      <c r="AN2527" s="77"/>
      <c r="AO2527" s="77"/>
      <c r="AP2527" s="77"/>
      <c r="AQ2527" s="77"/>
      <c r="AR2527" s="77"/>
      <c r="AS2527" s="77"/>
      <c r="AT2527" s="77"/>
      <c r="AU2527" s="77"/>
      <c r="AV2527" s="83" t="str">
        <f>HYPERLINK("https://pbs.twimg.com/profile_images/1583266031228911616/J_Oe7Y3a_normal.jpg")</f>
        <v>https://pbs.twimg.com/profile_images/1583266031228911616/J_Oe7Y3a_normal.jpg</v>
      </c>
      <c r="AW2527" s="80" t="s">
        <v>18320</v>
      </c>
      <c r="AX2527" s="80" t="s">
        <v>18320</v>
      </c>
      <c r="AY2527" s="77"/>
      <c r="AZ2527" s="80" t="s">
        <v>20380</v>
      </c>
      <c r="BA2527" s="80" t="s">
        <v>20380</v>
      </c>
      <c r="BB2527" s="80" t="s">
        <v>19289</v>
      </c>
      <c r="BC2527" s="80" t="s">
        <v>19289</v>
      </c>
      <c r="BD2527" s="80" t="s">
        <v>20898</v>
      </c>
      <c r="BE2527" s="77"/>
      <c r="BF2527" s="77"/>
      <c r="BG2527" s="77"/>
      <c r="BH2527" s="77"/>
      <c r="BI2527" s="77"/>
    </row>
    <row r="2528" spans="1:61" x14ac:dyDescent="0.25">
      <c r="A2528" s="62" t="s">
        <v>1049</v>
      </c>
      <c r="B2528" s="62" t="s">
        <v>1256</v>
      </c>
      <c r="C2528" s="63"/>
      <c r="D2528" s="64"/>
      <c r="E2528" s="65"/>
      <c r="F2528" s="66"/>
      <c r="G2528" s="63"/>
      <c r="H2528" s="67"/>
      <c r="I2528" s="68"/>
      <c r="J2528" s="68"/>
      <c r="K2528" s="32"/>
      <c r="L2528" s="75">
        <v>2528</v>
      </c>
      <c r="M2528" s="75"/>
      <c r="N2528" s="70"/>
      <c r="O2528" s="77" t="s">
        <v>2083</v>
      </c>
      <c r="P2528" s="79">
        <v>45196.90116898148</v>
      </c>
      <c r="Q2528" s="77" t="s">
        <v>4316</v>
      </c>
      <c r="R2528" s="77">
        <v>2</v>
      </c>
      <c r="S2528" s="77">
        <v>0</v>
      </c>
      <c r="T2528" s="77">
        <v>0</v>
      </c>
      <c r="U2528" s="77">
        <v>0</v>
      </c>
      <c r="V2528" s="77"/>
      <c r="W2528" s="80" t="s">
        <v>7490</v>
      </c>
      <c r="X2528" s="77"/>
      <c r="Y2528" s="77"/>
      <c r="Z2528" s="77" t="s">
        <v>1256</v>
      </c>
      <c r="AA2528" s="77"/>
      <c r="AB2528" s="77"/>
      <c r="AC2528" s="80" t="s">
        <v>10541</v>
      </c>
      <c r="AD2528" s="77" t="s">
        <v>10617</v>
      </c>
      <c r="AE2528" s="83" t="str">
        <f>HYPERLINK("https://twitter.com/rogermatos24/status/1707147523247296568")</f>
        <v>https://twitter.com/rogermatos24/status/1707147523247296568</v>
      </c>
      <c r="AF2528" s="79">
        <v>45196.90116898148</v>
      </c>
      <c r="AG2528" s="85">
        <v>45196</v>
      </c>
      <c r="AH2528" s="80" t="s">
        <v>12850</v>
      </c>
      <c r="AI2528" s="77" t="b">
        <v>0</v>
      </c>
      <c r="AJ2528" s="77"/>
      <c r="AK2528" s="77"/>
      <c r="AL2528" s="77"/>
      <c r="AM2528" s="77"/>
      <c r="AN2528" s="77"/>
      <c r="AO2528" s="77"/>
      <c r="AP2528" s="77"/>
      <c r="AQ2528" s="77"/>
      <c r="AR2528" s="77"/>
      <c r="AS2528" s="77"/>
      <c r="AT2528" s="77"/>
      <c r="AU2528" s="77"/>
      <c r="AV2528" s="83" t="str">
        <f>HYPERLINK("https://pbs.twimg.com/profile_images/1643762335956312065/TT6SEQ1x_normal.jpg")</f>
        <v>https://pbs.twimg.com/profile_images/1643762335956312065/TT6SEQ1x_normal.jpg</v>
      </c>
      <c r="AW2528" s="80" t="s">
        <v>18321</v>
      </c>
      <c r="AX2528" s="80" t="s">
        <v>18321</v>
      </c>
      <c r="AY2528" s="77"/>
      <c r="AZ2528" s="80" t="s">
        <v>20380</v>
      </c>
      <c r="BA2528" s="80" t="s">
        <v>20380</v>
      </c>
      <c r="BB2528" s="80" t="s">
        <v>18897</v>
      </c>
      <c r="BC2528" s="80" t="s">
        <v>18897</v>
      </c>
      <c r="BD2528" s="77">
        <v>59245505</v>
      </c>
      <c r="BE2528" s="77"/>
      <c r="BF2528" s="77"/>
      <c r="BG2528" s="77"/>
      <c r="BH2528" s="77"/>
      <c r="BI2528" s="77"/>
    </row>
    <row r="2529" spans="1:61" x14ac:dyDescent="0.25">
      <c r="A2529" s="62" t="s">
        <v>1050</v>
      </c>
      <c r="B2529" s="62" t="s">
        <v>1050</v>
      </c>
      <c r="C2529" s="63"/>
      <c r="D2529" s="64"/>
      <c r="E2529" s="65"/>
      <c r="F2529" s="66"/>
      <c r="G2529" s="63"/>
      <c r="H2529" s="67"/>
      <c r="I2529" s="68"/>
      <c r="J2529" s="68"/>
      <c r="K2529" s="32"/>
      <c r="L2529" s="75">
        <v>2529</v>
      </c>
      <c r="M2529" s="75"/>
      <c r="N2529" s="70"/>
      <c r="O2529" s="77" t="s">
        <v>179</v>
      </c>
      <c r="P2529" s="79">
        <v>45066.942523148151</v>
      </c>
      <c r="Q2529" s="77" t="s">
        <v>4317</v>
      </c>
      <c r="R2529" s="77">
        <v>0</v>
      </c>
      <c r="S2529" s="77">
        <v>0</v>
      </c>
      <c r="T2529" s="77">
        <v>0</v>
      </c>
      <c r="U2529" s="77">
        <v>0</v>
      </c>
      <c r="V2529" s="77">
        <v>54</v>
      </c>
      <c r="W2529" s="80" t="s">
        <v>7491</v>
      </c>
      <c r="X2529" s="77"/>
      <c r="Y2529" s="77"/>
      <c r="Z2529" s="77"/>
      <c r="AA2529" s="77" t="s">
        <v>9798</v>
      </c>
      <c r="AB2529" s="77" t="s">
        <v>10535</v>
      </c>
      <c r="AC2529" s="80" t="s">
        <v>10541</v>
      </c>
      <c r="AD2529" s="77" t="s">
        <v>10617</v>
      </c>
      <c r="AE2529" s="83" t="str">
        <f>HYPERLINK("https://twitter.com/cjsbarros/status/1660052088942886912")</f>
        <v>https://twitter.com/cjsbarros/status/1660052088942886912</v>
      </c>
      <c r="AF2529" s="79">
        <v>45066.942523148151</v>
      </c>
      <c r="AG2529" s="85">
        <v>45066</v>
      </c>
      <c r="AH2529" s="80" t="s">
        <v>12851</v>
      </c>
      <c r="AI2529" s="77" t="b">
        <v>0</v>
      </c>
      <c r="AJ2529" s="77"/>
      <c r="AK2529" s="77"/>
      <c r="AL2529" s="77"/>
      <c r="AM2529" s="77"/>
      <c r="AN2529" s="77"/>
      <c r="AO2529" s="77"/>
      <c r="AP2529" s="77"/>
      <c r="AQ2529" s="77" t="s">
        <v>15280</v>
      </c>
      <c r="AR2529" s="77"/>
      <c r="AS2529" s="77"/>
      <c r="AT2529" s="77"/>
      <c r="AU2529" s="77"/>
      <c r="AV2529" s="83" t="str">
        <f>HYPERLINK("https://pbs.twimg.com/media/FwmwUzFXgAEkvqS.jpg")</f>
        <v>https://pbs.twimg.com/media/FwmwUzFXgAEkvqS.jpg</v>
      </c>
      <c r="AW2529" s="80" t="s">
        <v>18322</v>
      </c>
      <c r="AX2529" s="80" t="s">
        <v>18322</v>
      </c>
      <c r="AY2529" s="77"/>
      <c r="AZ2529" s="80" t="s">
        <v>20380</v>
      </c>
      <c r="BA2529" s="80" t="s">
        <v>20380</v>
      </c>
      <c r="BB2529" s="80" t="s">
        <v>20380</v>
      </c>
      <c r="BC2529" s="80" t="s">
        <v>18322</v>
      </c>
      <c r="BD2529" s="77">
        <v>1535550655</v>
      </c>
      <c r="BE2529" s="77"/>
      <c r="BF2529" s="77"/>
      <c r="BG2529" s="77"/>
      <c r="BH2529" s="77"/>
      <c r="BI2529" s="77"/>
    </row>
    <row r="2530" spans="1:61" x14ac:dyDescent="0.25">
      <c r="A2530" s="62" t="s">
        <v>1050</v>
      </c>
      <c r="B2530" s="62" t="s">
        <v>1050</v>
      </c>
      <c r="C2530" s="63"/>
      <c r="D2530" s="64"/>
      <c r="E2530" s="65"/>
      <c r="F2530" s="66"/>
      <c r="G2530" s="63"/>
      <c r="H2530" s="67"/>
      <c r="I2530" s="68"/>
      <c r="J2530" s="68"/>
      <c r="K2530" s="32"/>
      <c r="L2530" s="75">
        <v>2530</v>
      </c>
      <c r="M2530" s="75"/>
      <c r="N2530" s="70"/>
      <c r="O2530" s="77" t="s">
        <v>179</v>
      </c>
      <c r="P2530" s="79">
        <v>45153.082662037035</v>
      </c>
      <c r="Q2530" s="77" t="s">
        <v>4318</v>
      </c>
      <c r="R2530" s="77">
        <v>0</v>
      </c>
      <c r="S2530" s="77">
        <v>0</v>
      </c>
      <c r="T2530" s="77">
        <v>0</v>
      </c>
      <c r="U2530" s="77">
        <v>0</v>
      </c>
      <c r="V2530" s="77">
        <v>102</v>
      </c>
      <c r="W2530" s="80" t="s">
        <v>7492</v>
      </c>
      <c r="X2530" s="77"/>
      <c r="Y2530" s="77"/>
      <c r="Z2530" s="77"/>
      <c r="AA2530" s="77" t="s">
        <v>9799</v>
      </c>
      <c r="AB2530" s="77" t="s">
        <v>10535</v>
      </c>
      <c r="AC2530" s="80" t="s">
        <v>10541</v>
      </c>
      <c r="AD2530" s="77" t="s">
        <v>10617</v>
      </c>
      <c r="AE2530" s="83" t="str">
        <f>HYPERLINK("https://twitter.com/cjsbarros/status/1691268228637401090")</f>
        <v>https://twitter.com/cjsbarros/status/1691268228637401090</v>
      </c>
      <c r="AF2530" s="79">
        <v>45153.082662037035</v>
      </c>
      <c r="AG2530" s="85">
        <v>45153</v>
      </c>
      <c r="AH2530" s="80" t="s">
        <v>12852</v>
      </c>
      <c r="AI2530" s="77" t="b">
        <v>0</v>
      </c>
      <c r="AJ2530" s="77"/>
      <c r="AK2530" s="77"/>
      <c r="AL2530" s="77"/>
      <c r="AM2530" s="77"/>
      <c r="AN2530" s="77"/>
      <c r="AO2530" s="77"/>
      <c r="AP2530" s="77"/>
      <c r="AQ2530" s="77" t="s">
        <v>15281</v>
      </c>
      <c r="AR2530" s="77"/>
      <c r="AS2530" s="77"/>
      <c r="AT2530" s="77"/>
      <c r="AU2530" s="77"/>
      <c r="AV2530" s="83" t="str">
        <f>HYPERLINK("https://pbs.twimg.com/media/F3iXNdeWMAAkZZ_.jpg")</f>
        <v>https://pbs.twimg.com/media/F3iXNdeWMAAkZZ_.jpg</v>
      </c>
      <c r="AW2530" s="80" t="s">
        <v>18323</v>
      </c>
      <c r="AX2530" s="80" t="s">
        <v>18323</v>
      </c>
      <c r="AY2530" s="77"/>
      <c r="AZ2530" s="80" t="s">
        <v>20380</v>
      </c>
      <c r="BA2530" s="80" t="s">
        <v>20380</v>
      </c>
      <c r="BB2530" s="80" t="s">
        <v>20380</v>
      </c>
      <c r="BC2530" s="80" t="s">
        <v>18323</v>
      </c>
      <c r="BD2530" s="77">
        <v>1535550655</v>
      </c>
      <c r="BE2530" s="77"/>
      <c r="BF2530" s="77"/>
      <c r="BG2530" s="77"/>
      <c r="BH2530" s="77"/>
      <c r="BI2530" s="77"/>
    </row>
    <row r="2531" spans="1:61" x14ac:dyDescent="0.25">
      <c r="A2531" s="62" t="s">
        <v>1051</v>
      </c>
      <c r="B2531" s="62" t="s">
        <v>1051</v>
      </c>
      <c r="C2531" s="63"/>
      <c r="D2531" s="64"/>
      <c r="E2531" s="65"/>
      <c r="F2531" s="66"/>
      <c r="G2531" s="63"/>
      <c r="H2531" s="67"/>
      <c r="I2531" s="68"/>
      <c r="J2531" s="68"/>
      <c r="K2531" s="32"/>
      <c r="L2531" s="75">
        <v>2531</v>
      </c>
      <c r="M2531" s="75"/>
      <c r="N2531" s="70"/>
      <c r="O2531" s="77" t="s">
        <v>179</v>
      </c>
      <c r="P2531" s="79">
        <v>45113.795810185184</v>
      </c>
      <c r="Q2531" s="77" t="s">
        <v>4319</v>
      </c>
      <c r="R2531" s="77">
        <v>1</v>
      </c>
      <c r="S2531" s="77">
        <v>6</v>
      </c>
      <c r="T2531" s="77">
        <v>0</v>
      </c>
      <c r="U2531" s="77">
        <v>0</v>
      </c>
      <c r="V2531" s="77">
        <v>226</v>
      </c>
      <c r="W2531" s="80" t="s">
        <v>7493</v>
      </c>
      <c r="X2531" s="77"/>
      <c r="Y2531" s="77"/>
      <c r="Z2531" s="77"/>
      <c r="AA2531" s="77" t="s">
        <v>9800</v>
      </c>
      <c r="AB2531" s="77" t="s">
        <v>10535</v>
      </c>
      <c r="AC2531" s="80" t="s">
        <v>10542</v>
      </c>
      <c r="AD2531" s="77" t="s">
        <v>10620</v>
      </c>
      <c r="AE2531" s="83" t="str">
        <f>HYPERLINK("https://twitter.com/canalformosa/status/1677031148600401922")</f>
        <v>https://twitter.com/canalformosa/status/1677031148600401922</v>
      </c>
      <c r="AF2531" s="79">
        <v>45113.795810185184</v>
      </c>
      <c r="AG2531" s="85">
        <v>45113</v>
      </c>
      <c r="AH2531" s="80" t="s">
        <v>12853</v>
      </c>
      <c r="AI2531" s="77" t="b">
        <v>0</v>
      </c>
      <c r="AJ2531" s="77"/>
      <c r="AK2531" s="77"/>
      <c r="AL2531" s="77"/>
      <c r="AM2531" s="77"/>
      <c r="AN2531" s="77"/>
      <c r="AO2531" s="77"/>
      <c r="AP2531" s="77"/>
      <c r="AQ2531" s="77" t="s">
        <v>15282</v>
      </c>
      <c r="AR2531" s="77"/>
      <c r="AS2531" s="77"/>
      <c r="AT2531" s="77"/>
      <c r="AU2531" s="77"/>
      <c r="AV2531" s="83" t="str">
        <f>HYPERLINK("https://pbs.twimg.com/media/F0YC8C-WAAEjCod.jpg")</f>
        <v>https://pbs.twimg.com/media/F0YC8C-WAAEjCod.jpg</v>
      </c>
      <c r="AW2531" s="80" t="s">
        <v>18324</v>
      </c>
      <c r="AX2531" s="80" t="s">
        <v>18324</v>
      </c>
      <c r="AY2531" s="77"/>
      <c r="AZ2531" s="80" t="s">
        <v>20380</v>
      </c>
      <c r="BA2531" s="80" t="s">
        <v>20380</v>
      </c>
      <c r="BB2531" s="80" t="s">
        <v>20380</v>
      </c>
      <c r="BC2531" s="80" t="s">
        <v>18324</v>
      </c>
      <c r="BD2531" s="80" t="s">
        <v>20899</v>
      </c>
      <c r="BE2531" s="77"/>
      <c r="BF2531" s="77"/>
      <c r="BG2531" s="77"/>
      <c r="BH2531" s="77"/>
      <c r="BI2531" s="77"/>
    </row>
    <row r="2532" spans="1:61" x14ac:dyDescent="0.25">
      <c r="A2532" s="62" t="s">
        <v>1051</v>
      </c>
      <c r="B2532" s="62" t="s">
        <v>1051</v>
      </c>
      <c r="C2532" s="63"/>
      <c r="D2532" s="64"/>
      <c r="E2532" s="65"/>
      <c r="F2532" s="66"/>
      <c r="G2532" s="63"/>
      <c r="H2532" s="67"/>
      <c r="I2532" s="68"/>
      <c r="J2532" s="68"/>
      <c r="K2532" s="32"/>
      <c r="L2532" s="75">
        <v>2532</v>
      </c>
      <c r="M2532" s="75"/>
      <c r="N2532" s="70"/>
      <c r="O2532" s="77" t="s">
        <v>179</v>
      </c>
      <c r="P2532" s="79">
        <v>45175.562314814815</v>
      </c>
      <c r="Q2532" s="77" t="s">
        <v>4320</v>
      </c>
      <c r="R2532" s="77">
        <v>0</v>
      </c>
      <c r="S2532" s="77">
        <v>0</v>
      </c>
      <c r="T2532" s="77">
        <v>0</v>
      </c>
      <c r="U2532" s="77">
        <v>0</v>
      </c>
      <c r="V2532" s="77">
        <v>62</v>
      </c>
      <c r="W2532" s="80" t="s">
        <v>7494</v>
      </c>
      <c r="X2532" s="77"/>
      <c r="Y2532" s="77"/>
      <c r="Z2532" s="77"/>
      <c r="AA2532" s="77" t="s">
        <v>9801</v>
      </c>
      <c r="AB2532" s="77" t="s">
        <v>10535</v>
      </c>
      <c r="AC2532" s="80" t="s">
        <v>10542</v>
      </c>
      <c r="AD2532" s="77" t="s">
        <v>10620</v>
      </c>
      <c r="AE2532" s="83" t="str">
        <f>HYPERLINK("https://twitter.com/canalformosa/status/1699414580374429999")</f>
        <v>https://twitter.com/canalformosa/status/1699414580374429999</v>
      </c>
      <c r="AF2532" s="79">
        <v>45175.562314814815</v>
      </c>
      <c r="AG2532" s="85">
        <v>45175</v>
      </c>
      <c r="AH2532" s="80" t="s">
        <v>12854</v>
      </c>
      <c r="AI2532" s="77" t="b">
        <v>0</v>
      </c>
      <c r="AJ2532" s="77"/>
      <c r="AK2532" s="77"/>
      <c r="AL2532" s="77"/>
      <c r="AM2532" s="77"/>
      <c r="AN2532" s="77"/>
      <c r="AO2532" s="77"/>
      <c r="AP2532" s="77"/>
      <c r="AQ2532" s="77" t="s">
        <v>15283</v>
      </c>
      <c r="AR2532" s="77"/>
      <c r="AS2532" s="77"/>
      <c r="AT2532" s="77"/>
      <c r="AU2532" s="77"/>
      <c r="AV2532" s="83" t="str">
        <f>HYPERLINK("https://pbs.twimg.com/media/F5WIjTrWsAEkRjB.jpg")</f>
        <v>https://pbs.twimg.com/media/F5WIjTrWsAEkRjB.jpg</v>
      </c>
      <c r="AW2532" s="80" t="s">
        <v>18325</v>
      </c>
      <c r="AX2532" s="80" t="s">
        <v>18325</v>
      </c>
      <c r="AY2532" s="77"/>
      <c r="AZ2532" s="80" t="s">
        <v>20380</v>
      </c>
      <c r="BA2532" s="80" t="s">
        <v>20380</v>
      </c>
      <c r="BB2532" s="80" t="s">
        <v>20380</v>
      </c>
      <c r="BC2532" s="80" t="s">
        <v>18325</v>
      </c>
      <c r="BD2532" s="80" t="s">
        <v>20899</v>
      </c>
      <c r="BE2532" s="77"/>
      <c r="BF2532" s="77"/>
      <c r="BG2532" s="77"/>
      <c r="BH2532" s="77"/>
      <c r="BI2532" s="77"/>
    </row>
    <row r="2533" spans="1:61" x14ac:dyDescent="0.25">
      <c r="A2533" s="62" t="s">
        <v>1052</v>
      </c>
      <c r="B2533" s="62" t="s">
        <v>1052</v>
      </c>
      <c r="C2533" s="63"/>
      <c r="D2533" s="64"/>
      <c r="E2533" s="65"/>
      <c r="F2533" s="66"/>
      <c r="G2533" s="63"/>
      <c r="H2533" s="67"/>
      <c r="I2533" s="68"/>
      <c r="J2533" s="68"/>
      <c r="K2533" s="32"/>
      <c r="L2533" s="75">
        <v>2533</v>
      </c>
      <c r="M2533" s="75"/>
      <c r="N2533" s="70"/>
      <c r="O2533" s="77" t="s">
        <v>179</v>
      </c>
      <c r="P2533" s="79">
        <v>45153.085023148145</v>
      </c>
      <c r="Q2533" s="77" t="s">
        <v>4321</v>
      </c>
      <c r="R2533" s="77">
        <v>0</v>
      </c>
      <c r="S2533" s="77">
        <v>0</v>
      </c>
      <c r="T2533" s="77">
        <v>0</v>
      </c>
      <c r="U2533" s="77">
        <v>0</v>
      </c>
      <c r="V2533" s="77">
        <v>124</v>
      </c>
      <c r="W2533" s="80" t="s">
        <v>7495</v>
      </c>
      <c r="X2533" s="77"/>
      <c r="Y2533" s="77"/>
      <c r="Z2533" s="77"/>
      <c r="AA2533" s="77" t="s">
        <v>9802</v>
      </c>
      <c r="AB2533" s="77" t="s">
        <v>10534</v>
      </c>
      <c r="AC2533" s="80" t="s">
        <v>10540</v>
      </c>
      <c r="AD2533" s="77" t="s">
        <v>10620</v>
      </c>
      <c r="AE2533" s="83" t="str">
        <f>HYPERLINK("https://twitter.com/runrun_atuq/status/1691269084334194688")</f>
        <v>https://twitter.com/runrun_atuq/status/1691269084334194688</v>
      </c>
      <c r="AF2533" s="79">
        <v>45153.085023148145</v>
      </c>
      <c r="AG2533" s="85">
        <v>45153</v>
      </c>
      <c r="AH2533" s="80" t="s">
        <v>12855</v>
      </c>
      <c r="AI2533" s="77" t="b">
        <v>0</v>
      </c>
      <c r="AJ2533" s="77"/>
      <c r="AK2533" s="77"/>
      <c r="AL2533" s="77"/>
      <c r="AM2533" s="77"/>
      <c r="AN2533" s="77"/>
      <c r="AO2533" s="77"/>
      <c r="AP2533" s="77"/>
      <c r="AQ2533" s="77" t="s">
        <v>15284</v>
      </c>
      <c r="AR2533" s="77">
        <v>81929</v>
      </c>
      <c r="AS2533" s="77"/>
      <c r="AT2533" s="77"/>
      <c r="AU2533" s="77"/>
      <c r="AV2533" s="83" t="str">
        <f>HYPERLINK("https://pbs.twimg.com/ext_tw_video_thumb/1691268980504244224/pu/img/ehFjWAnQsU6q_MaM.jpg")</f>
        <v>https://pbs.twimg.com/ext_tw_video_thumb/1691268980504244224/pu/img/ehFjWAnQsU6q_MaM.jpg</v>
      </c>
      <c r="AW2533" s="80" t="s">
        <v>18326</v>
      </c>
      <c r="AX2533" s="80" t="s">
        <v>18326</v>
      </c>
      <c r="AY2533" s="77"/>
      <c r="AZ2533" s="80" t="s">
        <v>20380</v>
      </c>
      <c r="BA2533" s="80" t="s">
        <v>20380</v>
      </c>
      <c r="BB2533" s="80" t="s">
        <v>20380</v>
      </c>
      <c r="BC2533" s="80" t="s">
        <v>18326</v>
      </c>
      <c r="BD2533" s="80" t="s">
        <v>20900</v>
      </c>
      <c r="BE2533" s="77"/>
      <c r="BF2533" s="77"/>
      <c r="BG2533" s="77"/>
      <c r="BH2533" s="77"/>
      <c r="BI2533" s="77"/>
    </row>
    <row r="2534" spans="1:61" x14ac:dyDescent="0.25">
      <c r="A2534" s="62" t="s">
        <v>1053</v>
      </c>
      <c r="B2534" s="62" t="s">
        <v>1053</v>
      </c>
      <c r="C2534" s="63"/>
      <c r="D2534" s="64"/>
      <c r="E2534" s="65"/>
      <c r="F2534" s="66"/>
      <c r="G2534" s="63"/>
      <c r="H2534" s="67"/>
      <c r="I2534" s="68"/>
      <c r="J2534" s="68"/>
      <c r="K2534" s="32"/>
      <c r="L2534" s="75">
        <v>2534</v>
      </c>
      <c r="M2534" s="75"/>
      <c r="N2534" s="70"/>
      <c r="O2534" s="77" t="s">
        <v>179</v>
      </c>
      <c r="P2534" s="79">
        <v>45139.482997685183</v>
      </c>
      <c r="Q2534" s="77" t="s">
        <v>4322</v>
      </c>
      <c r="R2534" s="77">
        <v>0</v>
      </c>
      <c r="S2534" s="77">
        <v>3</v>
      </c>
      <c r="T2534" s="77">
        <v>0</v>
      </c>
      <c r="U2534" s="77">
        <v>0</v>
      </c>
      <c r="V2534" s="77">
        <v>332</v>
      </c>
      <c r="W2534" s="80" t="s">
        <v>7496</v>
      </c>
      <c r="X2534" s="83" t="str">
        <f>HYPERLINK("https://adncuba.com/tendencias/banco-central-del-regimen-cubano-asegura-que-no-circulan-billetes-falsos-o-con-errores")</f>
        <v>https://adncuba.com/tendencias/banco-central-del-regimen-cubano-asegura-que-no-circulan-billetes-falsos-o-con-errores</v>
      </c>
      <c r="Y2534" s="77" t="s">
        <v>8793</v>
      </c>
      <c r="Z2534" s="77"/>
      <c r="AA2534" s="77"/>
      <c r="AB2534" s="77"/>
      <c r="AC2534" s="80" t="s">
        <v>10591</v>
      </c>
      <c r="AD2534" s="77" t="s">
        <v>10620</v>
      </c>
      <c r="AE2534" s="83" t="str">
        <f>HYPERLINK("https://twitter.com/cubaadn/status/1686339875417841664")</f>
        <v>https://twitter.com/cubaadn/status/1686339875417841664</v>
      </c>
      <c r="AF2534" s="79">
        <v>45139.482997685183</v>
      </c>
      <c r="AG2534" s="85">
        <v>45139</v>
      </c>
      <c r="AH2534" s="80" t="s">
        <v>12856</v>
      </c>
      <c r="AI2534" s="77" t="b">
        <v>0</v>
      </c>
      <c r="AJ2534" s="77"/>
      <c r="AK2534" s="77"/>
      <c r="AL2534" s="77"/>
      <c r="AM2534" s="77"/>
      <c r="AN2534" s="77"/>
      <c r="AO2534" s="77"/>
      <c r="AP2534" s="77"/>
      <c r="AQ2534" s="77"/>
      <c r="AR2534" s="77"/>
      <c r="AS2534" s="77"/>
      <c r="AT2534" s="77"/>
      <c r="AU2534" s="77"/>
      <c r="AV2534" s="83" t="str">
        <f>HYPERLINK("https://pbs.twimg.com/profile_images/1188759380273127424/MbkFToOL_normal.jpg")</f>
        <v>https://pbs.twimg.com/profile_images/1188759380273127424/MbkFToOL_normal.jpg</v>
      </c>
      <c r="AW2534" s="80" t="s">
        <v>18327</v>
      </c>
      <c r="AX2534" s="80" t="s">
        <v>18327</v>
      </c>
      <c r="AY2534" s="77"/>
      <c r="AZ2534" s="80" t="s">
        <v>20380</v>
      </c>
      <c r="BA2534" s="80" t="s">
        <v>20380</v>
      </c>
      <c r="BB2534" s="80" t="s">
        <v>20380</v>
      </c>
      <c r="BC2534" s="80" t="s">
        <v>18327</v>
      </c>
      <c r="BD2534" s="80" t="s">
        <v>20901</v>
      </c>
      <c r="BE2534" s="77"/>
      <c r="BF2534" s="77"/>
      <c r="BG2534" s="77"/>
      <c r="BH2534" s="77"/>
      <c r="BI2534" s="77"/>
    </row>
    <row r="2535" spans="1:61" x14ac:dyDescent="0.25">
      <c r="A2535" s="62" t="s">
        <v>1054</v>
      </c>
      <c r="B2535" s="62" t="s">
        <v>1054</v>
      </c>
      <c r="C2535" s="63"/>
      <c r="D2535" s="64"/>
      <c r="E2535" s="65"/>
      <c r="F2535" s="66"/>
      <c r="G2535" s="63"/>
      <c r="H2535" s="67"/>
      <c r="I2535" s="68"/>
      <c r="J2535" s="68"/>
      <c r="K2535" s="32"/>
      <c r="L2535" s="75">
        <v>2535</v>
      </c>
      <c r="M2535" s="75"/>
      <c r="N2535" s="70"/>
      <c r="O2535" s="77" t="s">
        <v>179</v>
      </c>
      <c r="P2535" s="79">
        <v>45168.737187500003</v>
      </c>
      <c r="Q2535" s="77" t="s">
        <v>4323</v>
      </c>
      <c r="R2535" s="77">
        <v>0</v>
      </c>
      <c r="S2535" s="77">
        <v>0</v>
      </c>
      <c r="T2535" s="77">
        <v>0</v>
      </c>
      <c r="U2535" s="77">
        <v>0</v>
      </c>
      <c r="V2535" s="77">
        <v>55</v>
      </c>
      <c r="W2535" s="80" t="s">
        <v>7497</v>
      </c>
      <c r="X2535" s="83" t="str">
        <f>HYPERLINK("https://seucreditodigital.com.br/afinal-o-parcelamento-sem-juros-no-cartao-de-credito-vai-acabar/")</f>
        <v>https://seucreditodigital.com.br/afinal-o-parcelamento-sem-juros-no-cartao-de-credito-vai-acabar/</v>
      </c>
      <c r="Y2535" s="77" t="s">
        <v>8611</v>
      </c>
      <c r="Z2535" s="77"/>
      <c r="AA2535" s="77"/>
      <c r="AB2535" s="77"/>
      <c r="AC2535" s="80" t="s">
        <v>10541</v>
      </c>
      <c r="AD2535" s="77" t="s">
        <v>10617</v>
      </c>
      <c r="AE2535" s="83" t="str">
        <f>HYPERLINK("https://twitter.com/seucredito/status/1696941236215529521")</f>
        <v>https://twitter.com/seucredito/status/1696941236215529521</v>
      </c>
      <c r="AF2535" s="79">
        <v>45168.737187500003</v>
      </c>
      <c r="AG2535" s="85">
        <v>45168</v>
      </c>
      <c r="AH2535" s="80" t="s">
        <v>12857</v>
      </c>
      <c r="AI2535" s="77" t="b">
        <v>0</v>
      </c>
      <c r="AJ2535" s="77"/>
      <c r="AK2535" s="77"/>
      <c r="AL2535" s="77"/>
      <c r="AM2535" s="77"/>
      <c r="AN2535" s="77"/>
      <c r="AO2535" s="77"/>
      <c r="AP2535" s="77"/>
      <c r="AQ2535" s="77"/>
      <c r="AR2535" s="77"/>
      <c r="AS2535" s="77"/>
      <c r="AT2535" s="77"/>
      <c r="AU2535" s="77"/>
      <c r="AV2535" s="83" t="str">
        <f>HYPERLINK("https://pbs.twimg.com/profile_images/1663350784870825990/H3M4u2uw_normal.jpg")</f>
        <v>https://pbs.twimg.com/profile_images/1663350784870825990/H3M4u2uw_normal.jpg</v>
      </c>
      <c r="AW2535" s="80" t="s">
        <v>18328</v>
      </c>
      <c r="AX2535" s="80" t="s">
        <v>18328</v>
      </c>
      <c r="AY2535" s="77"/>
      <c r="AZ2535" s="80" t="s">
        <v>20380</v>
      </c>
      <c r="BA2535" s="80" t="s">
        <v>20380</v>
      </c>
      <c r="BB2535" s="80" t="s">
        <v>20380</v>
      </c>
      <c r="BC2535" s="80" t="s">
        <v>18328</v>
      </c>
      <c r="BD2535" s="80" t="s">
        <v>20902</v>
      </c>
      <c r="BE2535" s="77"/>
      <c r="BF2535" s="77"/>
      <c r="BG2535" s="77"/>
      <c r="BH2535" s="77"/>
      <c r="BI2535" s="77"/>
    </row>
    <row r="2536" spans="1:61" x14ac:dyDescent="0.25">
      <c r="A2536" s="62" t="s">
        <v>1055</v>
      </c>
      <c r="B2536" s="62" t="s">
        <v>1055</v>
      </c>
      <c r="C2536" s="63"/>
      <c r="D2536" s="64"/>
      <c r="E2536" s="65"/>
      <c r="F2536" s="66"/>
      <c r="G2536" s="63"/>
      <c r="H2536" s="67"/>
      <c r="I2536" s="68"/>
      <c r="J2536" s="68"/>
      <c r="K2536" s="32"/>
      <c r="L2536" s="75">
        <v>2536</v>
      </c>
      <c r="M2536" s="75"/>
      <c r="N2536" s="70"/>
      <c r="O2536" s="77" t="s">
        <v>179</v>
      </c>
      <c r="P2536" s="79">
        <v>45080.617002314815</v>
      </c>
      <c r="Q2536" s="77" t="s">
        <v>4324</v>
      </c>
      <c r="R2536" s="77">
        <v>4</v>
      </c>
      <c r="S2536" s="77">
        <v>18</v>
      </c>
      <c r="T2536" s="77">
        <v>5</v>
      </c>
      <c r="U2536" s="77">
        <v>10</v>
      </c>
      <c r="V2536" s="77">
        <v>16266</v>
      </c>
      <c r="W2536" s="77"/>
      <c r="X2536" s="83" t="str">
        <f>HYPERLINK("https://expresso.pt/economia/2023-06-03-Bancos-vao-passar-a-vender-Certificados-de-Aforro-292f00ef?utm_term=Autofeed&amp;utm_medium=Social&amp;utm_source=Twitter#Echobox=1685803148")</f>
        <v>https://expresso.pt/economia/2023-06-03-Bancos-vao-passar-a-vender-Certificados-de-Aforro-292f00ef?utm_term=Autofeed&amp;utm_medium=Social&amp;utm_source=Twitter#Echobox=1685803148</v>
      </c>
      <c r="Y2536" s="77" t="s">
        <v>8794</v>
      </c>
      <c r="Z2536" s="77"/>
      <c r="AA2536" s="77"/>
      <c r="AB2536" s="77"/>
      <c r="AC2536" s="80" t="s">
        <v>10592</v>
      </c>
      <c r="AD2536" s="77" t="s">
        <v>10617</v>
      </c>
      <c r="AE2536" s="83" t="str">
        <f>HYPERLINK("https://twitter.com/expresso/status/1665007552487120897")</f>
        <v>https://twitter.com/expresso/status/1665007552487120897</v>
      </c>
      <c r="AF2536" s="79">
        <v>45080.617002314815</v>
      </c>
      <c r="AG2536" s="85">
        <v>45080</v>
      </c>
      <c r="AH2536" s="80" t="s">
        <v>12858</v>
      </c>
      <c r="AI2536" s="77" t="b">
        <v>0</v>
      </c>
      <c r="AJ2536" s="77"/>
      <c r="AK2536" s="77"/>
      <c r="AL2536" s="77"/>
      <c r="AM2536" s="77"/>
      <c r="AN2536" s="77"/>
      <c r="AO2536" s="77"/>
      <c r="AP2536" s="77"/>
      <c r="AQ2536" s="77"/>
      <c r="AR2536" s="77"/>
      <c r="AS2536" s="77"/>
      <c r="AT2536" s="77"/>
      <c r="AU2536" s="77"/>
      <c r="AV2536" s="83" t="str">
        <f>HYPERLINK("https://pbs.twimg.com/profile_images/1611340721314844674/C-7sVw7-_normal.jpg")</f>
        <v>https://pbs.twimg.com/profile_images/1611340721314844674/C-7sVw7-_normal.jpg</v>
      </c>
      <c r="AW2536" s="80" t="s">
        <v>18329</v>
      </c>
      <c r="AX2536" s="80" t="s">
        <v>18329</v>
      </c>
      <c r="AY2536" s="77"/>
      <c r="AZ2536" s="80" t="s">
        <v>20380</v>
      </c>
      <c r="BA2536" s="80" t="s">
        <v>20380</v>
      </c>
      <c r="BB2536" s="80" t="s">
        <v>20380</v>
      </c>
      <c r="BC2536" s="80" t="s">
        <v>18329</v>
      </c>
      <c r="BD2536" s="77">
        <v>8665852</v>
      </c>
      <c r="BE2536" s="77"/>
      <c r="BF2536" s="77"/>
      <c r="BG2536" s="77"/>
      <c r="BH2536" s="77"/>
      <c r="BI2536" s="77"/>
    </row>
    <row r="2537" spans="1:61" x14ac:dyDescent="0.25">
      <c r="A2537" s="62" t="s">
        <v>1056</v>
      </c>
      <c r="B2537" s="62" t="s">
        <v>1650</v>
      </c>
      <c r="C2537" s="63"/>
      <c r="D2537" s="64"/>
      <c r="E2537" s="65"/>
      <c r="F2537" s="66"/>
      <c r="G2537" s="63"/>
      <c r="H2537" s="67"/>
      <c r="I2537" s="68"/>
      <c r="J2537" s="68"/>
      <c r="K2537" s="32"/>
      <c r="L2537" s="75">
        <v>2537</v>
      </c>
      <c r="M2537" s="75"/>
      <c r="N2537" s="70"/>
      <c r="O2537" s="77" t="s">
        <v>2083</v>
      </c>
      <c r="P2537" s="79">
        <v>45197.913090277776</v>
      </c>
      <c r="Q2537" s="77" t="s">
        <v>2786</v>
      </c>
      <c r="R2537" s="77">
        <v>3</v>
      </c>
      <c r="S2537" s="77">
        <v>0</v>
      </c>
      <c r="T2537" s="77">
        <v>0</v>
      </c>
      <c r="U2537" s="77">
        <v>0</v>
      </c>
      <c r="V2537" s="77"/>
      <c r="W2537" s="77"/>
      <c r="X2537" s="77"/>
      <c r="Y2537" s="77"/>
      <c r="Z2537" s="77" t="s">
        <v>1650</v>
      </c>
      <c r="AA2537" s="77"/>
      <c r="AB2537" s="77"/>
      <c r="AC2537" s="80" t="s">
        <v>10540</v>
      </c>
      <c r="AD2537" s="77" t="s">
        <v>10617</v>
      </c>
      <c r="AE2537" s="83" t="str">
        <f>HYPERLINK("https://twitter.com/vickfiorillo/status/1707514232554553653")</f>
        <v>https://twitter.com/vickfiorillo/status/1707514232554553653</v>
      </c>
      <c r="AF2537" s="79">
        <v>45197.913090277776</v>
      </c>
      <c r="AG2537" s="85">
        <v>45197</v>
      </c>
      <c r="AH2537" s="80" t="s">
        <v>12859</v>
      </c>
      <c r="AI2537" s="77"/>
      <c r="AJ2537" s="77"/>
      <c r="AK2537" s="77"/>
      <c r="AL2537" s="77"/>
      <c r="AM2537" s="77"/>
      <c r="AN2537" s="77"/>
      <c r="AO2537" s="77"/>
      <c r="AP2537" s="77"/>
      <c r="AQ2537" s="77"/>
      <c r="AR2537" s="77"/>
      <c r="AS2537" s="77"/>
      <c r="AT2537" s="77"/>
      <c r="AU2537" s="77"/>
      <c r="AV2537" s="83" t="str">
        <f>HYPERLINK("https://pbs.twimg.com/profile_images/1609268163891400710/ivI9UJTo_normal.jpg")</f>
        <v>https://pbs.twimg.com/profile_images/1609268163891400710/ivI9UJTo_normal.jpg</v>
      </c>
      <c r="AW2537" s="80" t="s">
        <v>18330</v>
      </c>
      <c r="AX2537" s="80" t="s">
        <v>18330</v>
      </c>
      <c r="AY2537" s="77"/>
      <c r="AZ2537" s="80" t="s">
        <v>20380</v>
      </c>
      <c r="BA2537" s="80" t="s">
        <v>20380</v>
      </c>
      <c r="BB2537" s="80" t="s">
        <v>19805</v>
      </c>
      <c r="BC2537" s="80" t="s">
        <v>19805</v>
      </c>
      <c r="BD2537" s="80" t="s">
        <v>20903</v>
      </c>
      <c r="BE2537" s="77"/>
      <c r="BF2537" s="77"/>
      <c r="BG2537" s="77"/>
      <c r="BH2537" s="77"/>
      <c r="BI2537" s="77"/>
    </row>
    <row r="2538" spans="1:61" x14ac:dyDescent="0.25">
      <c r="A2538" s="62" t="s">
        <v>1056</v>
      </c>
      <c r="B2538" s="62" t="s">
        <v>1651</v>
      </c>
      <c r="C2538" s="63"/>
      <c r="D2538" s="64"/>
      <c r="E2538" s="65"/>
      <c r="F2538" s="66"/>
      <c r="G2538" s="63"/>
      <c r="H2538" s="67"/>
      <c r="I2538" s="68"/>
      <c r="J2538" s="68"/>
      <c r="K2538" s="32"/>
      <c r="L2538" s="75">
        <v>2538</v>
      </c>
      <c r="M2538" s="75"/>
      <c r="N2538" s="70"/>
      <c r="O2538" s="77" t="s">
        <v>2083</v>
      </c>
      <c r="P2538" s="79">
        <v>45197.91479166667</v>
      </c>
      <c r="Q2538" s="77" t="s">
        <v>4325</v>
      </c>
      <c r="R2538" s="77">
        <v>1</v>
      </c>
      <c r="S2538" s="77">
        <v>0</v>
      </c>
      <c r="T2538" s="77">
        <v>0</v>
      </c>
      <c r="U2538" s="77">
        <v>0</v>
      </c>
      <c r="V2538" s="77"/>
      <c r="W2538" s="80" t="s">
        <v>7498</v>
      </c>
      <c r="X2538" s="77"/>
      <c r="Y2538" s="77"/>
      <c r="Z2538" s="77" t="s">
        <v>1651</v>
      </c>
      <c r="AA2538" s="77"/>
      <c r="AB2538" s="77"/>
      <c r="AC2538" s="80" t="s">
        <v>10540</v>
      </c>
      <c r="AD2538" s="77" t="s">
        <v>10617</v>
      </c>
      <c r="AE2538" s="83" t="str">
        <f>HYPERLINK("https://twitter.com/vickfiorillo/status/1707514849436017085")</f>
        <v>https://twitter.com/vickfiorillo/status/1707514849436017085</v>
      </c>
      <c r="AF2538" s="79">
        <v>45197.91479166667</v>
      </c>
      <c r="AG2538" s="85">
        <v>45197</v>
      </c>
      <c r="AH2538" s="80" t="s">
        <v>12860</v>
      </c>
      <c r="AI2538" s="77"/>
      <c r="AJ2538" s="77"/>
      <c r="AK2538" s="77"/>
      <c r="AL2538" s="77"/>
      <c r="AM2538" s="77"/>
      <c r="AN2538" s="77"/>
      <c r="AO2538" s="77"/>
      <c r="AP2538" s="77"/>
      <c r="AQ2538" s="77"/>
      <c r="AR2538" s="77"/>
      <c r="AS2538" s="77"/>
      <c r="AT2538" s="77"/>
      <c r="AU2538" s="77"/>
      <c r="AV2538" s="83" t="str">
        <f>HYPERLINK("https://pbs.twimg.com/profile_images/1609268163891400710/ivI9UJTo_normal.jpg")</f>
        <v>https://pbs.twimg.com/profile_images/1609268163891400710/ivI9UJTo_normal.jpg</v>
      </c>
      <c r="AW2538" s="80" t="s">
        <v>18331</v>
      </c>
      <c r="AX2538" s="80" t="s">
        <v>18331</v>
      </c>
      <c r="AY2538" s="77"/>
      <c r="AZ2538" s="80" t="s">
        <v>20380</v>
      </c>
      <c r="BA2538" s="80" t="s">
        <v>19805</v>
      </c>
      <c r="BB2538" s="80" t="s">
        <v>19813</v>
      </c>
      <c r="BC2538" s="80" t="s">
        <v>19813</v>
      </c>
      <c r="BD2538" s="80" t="s">
        <v>20903</v>
      </c>
      <c r="BE2538" s="77"/>
      <c r="BF2538" s="77"/>
      <c r="BG2538" s="77"/>
      <c r="BH2538" s="77"/>
      <c r="BI2538" s="77"/>
    </row>
    <row r="2539" spans="1:61" x14ac:dyDescent="0.25">
      <c r="A2539" s="62" t="s">
        <v>1057</v>
      </c>
      <c r="B2539" s="62" t="s">
        <v>1949</v>
      </c>
      <c r="C2539" s="63"/>
      <c r="D2539" s="64"/>
      <c r="E2539" s="65"/>
      <c r="F2539" s="66"/>
      <c r="G2539" s="63"/>
      <c r="H2539" s="67"/>
      <c r="I2539" s="68"/>
      <c r="J2539" s="68"/>
      <c r="K2539" s="32"/>
      <c r="L2539" s="75">
        <v>2539</v>
      </c>
      <c r="M2539" s="75"/>
      <c r="N2539" s="70"/>
      <c r="O2539" s="77" t="s">
        <v>2081</v>
      </c>
      <c r="P2539" s="79">
        <v>45111.546273148146</v>
      </c>
      <c r="Q2539" s="77" t="s">
        <v>4326</v>
      </c>
      <c r="R2539" s="77">
        <v>0</v>
      </c>
      <c r="S2539" s="77">
        <v>2</v>
      </c>
      <c r="T2539" s="77">
        <v>0</v>
      </c>
      <c r="U2539" s="77">
        <v>0</v>
      </c>
      <c r="V2539" s="77">
        <v>64</v>
      </c>
      <c r="W2539" s="80" t="s">
        <v>7499</v>
      </c>
      <c r="X2539" s="77"/>
      <c r="Y2539" s="77"/>
      <c r="Z2539" s="77" t="s">
        <v>8989</v>
      </c>
      <c r="AA2539" s="77" t="s">
        <v>9803</v>
      </c>
      <c r="AB2539" s="77" t="s">
        <v>10534</v>
      </c>
      <c r="AC2539" s="80" t="s">
        <v>10541</v>
      </c>
      <c r="AD2539" s="77" t="s">
        <v>10620</v>
      </c>
      <c r="AE2539" s="83" t="str">
        <f>HYPERLINK("https://twitter.com/rumba_985fm/status/1676215945482629120")</f>
        <v>https://twitter.com/rumba_985fm/status/1676215945482629120</v>
      </c>
      <c r="AF2539" s="79">
        <v>45111.546273148146</v>
      </c>
      <c r="AG2539" s="85">
        <v>45111</v>
      </c>
      <c r="AH2539" s="80" t="s">
        <v>12861</v>
      </c>
      <c r="AI2539" s="77" t="b">
        <v>0</v>
      </c>
      <c r="AJ2539" s="77"/>
      <c r="AK2539" s="77"/>
      <c r="AL2539" s="77"/>
      <c r="AM2539" s="77"/>
      <c r="AN2539" s="77"/>
      <c r="AO2539" s="77"/>
      <c r="AP2539" s="77"/>
      <c r="AQ2539" s="77" t="s">
        <v>15285</v>
      </c>
      <c r="AR2539" s="77">
        <v>94894</v>
      </c>
      <c r="AS2539" s="77"/>
      <c r="AT2539" s="77"/>
      <c r="AU2539" s="77"/>
      <c r="AV2539" s="83" t="str">
        <f>HYPERLINK("https://pbs.twimg.com/ext_tw_video_thumb/1676215389397590019/pu/img/T-_5FN_LHEG-eXXo.jpg")</f>
        <v>https://pbs.twimg.com/ext_tw_video_thumb/1676215389397590019/pu/img/T-_5FN_LHEG-eXXo.jpg</v>
      </c>
      <c r="AW2539" s="80" t="s">
        <v>18332</v>
      </c>
      <c r="AX2539" s="80" t="s">
        <v>18332</v>
      </c>
      <c r="AY2539" s="77"/>
      <c r="AZ2539" s="80" t="s">
        <v>20380</v>
      </c>
      <c r="BA2539" s="80" t="s">
        <v>20380</v>
      </c>
      <c r="BB2539" s="80" t="s">
        <v>20380</v>
      </c>
      <c r="BC2539" s="80" t="s">
        <v>18332</v>
      </c>
      <c r="BD2539" s="80" t="s">
        <v>20904</v>
      </c>
      <c r="BE2539" s="77"/>
      <c r="BF2539" s="77"/>
      <c r="BG2539" s="77"/>
      <c r="BH2539" s="77"/>
      <c r="BI2539" s="77"/>
    </row>
    <row r="2540" spans="1:61" x14ac:dyDescent="0.25">
      <c r="A2540" s="62" t="s">
        <v>1057</v>
      </c>
      <c r="B2540" s="62" t="s">
        <v>1950</v>
      </c>
      <c r="C2540" s="63"/>
      <c r="D2540" s="64"/>
      <c r="E2540" s="65"/>
      <c r="F2540" s="66"/>
      <c r="G2540" s="63"/>
      <c r="H2540" s="67"/>
      <c r="I2540" s="68"/>
      <c r="J2540" s="68"/>
      <c r="K2540" s="32"/>
      <c r="L2540" s="75">
        <v>2540</v>
      </c>
      <c r="M2540" s="75"/>
      <c r="N2540" s="70"/>
      <c r="O2540" s="77" t="s">
        <v>2081</v>
      </c>
      <c r="P2540" s="79">
        <v>45111.546273148146</v>
      </c>
      <c r="Q2540" s="77" t="s">
        <v>4326</v>
      </c>
      <c r="R2540" s="77">
        <v>0</v>
      </c>
      <c r="S2540" s="77">
        <v>2</v>
      </c>
      <c r="T2540" s="77">
        <v>0</v>
      </c>
      <c r="U2540" s="77">
        <v>0</v>
      </c>
      <c r="V2540" s="77">
        <v>64</v>
      </c>
      <c r="W2540" s="80" t="s">
        <v>7499</v>
      </c>
      <c r="X2540" s="77"/>
      <c r="Y2540" s="77"/>
      <c r="Z2540" s="77" t="s">
        <v>8989</v>
      </c>
      <c r="AA2540" s="77" t="s">
        <v>9803</v>
      </c>
      <c r="AB2540" s="77" t="s">
        <v>10534</v>
      </c>
      <c r="AC2540" s="80" t="s">
        <v>10541</v>
      </c>
      <c r="AD2540" s="77" t="s">
        <v>10620</v>
      </c>
      <c r="AE2540" s="83" t="str">
        <f>HYPERLINK("https://twitter.com/rumba_985fm/status/1676215945482629120")</f>
        <v>https://twitter.com/rumba_985fm/status/1676215945482629120</v>
      </c>
      <c r="AF2540" s="79">
        <v>45111.546273148146</v>
      </c>
      <c r="AG2540" s="85">
        <v>45111</v>
      </c>
      <c r="AH2540" s="80" t="s">
        <v>12861</v>
      </c>
      <c r="AI2540" s="77" t="b">
        <v>0</v>
      </c>
      <c r="AJ2540" s="77"/>
      <c r="AK2540" s="77"/>
      <c r="AL2540" s="77"/>
      <c r="AM2540" s="77"/>
      <c r="AN2540" s="77"/>
      <c r="AO2540" s="77"/>
      <c r="AP2540" s="77"/>
      <c r="AQ2540" s="77" t="s">
        <v>15285</v>
      </c>
      <c r="AR2540" s="77">
        <v>94894</v>
      </c>
      <c r="AS2540" s="77"/>
      <c r="AT2540" s="77"/>
      <c r="AU2540" s="77"/>
      <c r="AV2540" s="83" t="str">
        <f>HYPERLINK("https://pbs.twimg.com/ext_tw_video_thumb/1676215389397590019/pu/img/T-_5FN_LHEG-eXXo.jpg")</f>
        <v>https://pbs.twimg.com/ext_tw_video_thumb/1676215389397590019/pu/img/T-_5FN_LHEG-eXXo.jpg</v>
      </c>
      <c r="AW2540" s="80" t="s">
        <v>18332</v>
      </c>
      <c r="AX2540" s="80" t="s">
        <v>18332</v>
      </c>
      <c r="AY2540" s="77"/>
      <c r="AZ2540" s="80" t="s">
        <v>20380</v>
      </c>
      <c r="BA2540" s="80" t="s">
        <v>20380</v>
      </c>
      <c r="BB2540" s="80" t="s">
        <v>20380</v>
      </c>
      <c r="BC2540" s="80" t="s">
        <v>18332</v>
      </c>
      <c r="BD2540" s="80" t="s">
        <v>20904</v>
      </c>
      <c r="BE2540" s="77"/>
      <c r="BF2540" s="77"/>
      <c r="BG2540" s="77"/>
      <c r="BH2540" s="77"/>
      <c r="BI2540" s="77"/>
    </row>
    <row r="2541" spans="1:61" x14ac:dyDescent="0.25">
      <c r="A2541" s="62" t="s">
        <v>1057</v>
      </c>
      <c r="B2541" s="62" t="s">
        <v>1070</v>
      </c>
      <c r="C2541" s="63"/>
      <c r="D2541" s="64"/>
      <c r="E2541" s="65"/>
      <c r="F2541" s="66"/>
      <c r="G2541" s="63"/>
      <c r="H2541" s="67"/>
      <c r="I2541" s="68"/>
      <c r="J2541" s="68"/>
      <c r="K2541" s="32"/>
      <c r="L2541" s="75">
        <v>2541</v>
      </c>
      <c r="M2541" s="75"/>
      <c r="N2541" s="70"/>
      <c r="O2541" s="77" t="s">
        <v>2081</v>
      </c>
      <c r="P2541" s="79">
        <v>45111.546273148146</v>
      </c>
      <c r="Q2541" s="77" t="s">
        <v>4326</v>
      </c>
      <c r="R2541" s="77">
        <v>0</v>
      </c>
      <c r="S2541" s="77">
        <v>2</v>
      </c>
      <c r="T2541" s="77">
        <v>0</v>
      </c>
      <c r="U2541" s="77">
        <v>0</v>
      </c>
      <c r="V2541" s="77">
        <v>64</v>
      </c>
      <c r="W2541" s="80" t="s">
        <v>7499</v>
      </c>
      <c r="X2541" s="77"/>
      <c r="Y2541" s="77"/>
      <c r="Z2541" s="77" t="s">
        <v>8989</v>
      </c>
      <c r="AA2541" s="77" t="s">
        <v>9803</v>
      </c>
      <c r="AB2541" s="77" t="s">
        <v>10534</v>
      </c>
      <c r="AC2541" s="80" t="s">
        <v>10541</v>
      </c>
      <c r="AD2541" s="77" t="s">
        <v>10620</v>
      </c>
      <c r="AE2541" s="83" t="str">
        <f>HYPERLINK("https://twitter.com/rumba_985fm/status/1676215945482629120")</f>
        <v>https://twitter.com/rumba_985fm/status/1676215945482629120</v>
      </c>
      <c r="AF2541" s="79">
        <v>45111.546273148146</v>
      </c>
      <c r="AG2541" s="85">
        <v>45111</v>
      </c>
      <c r="AH2541" s="80" t="s">
        <v>12861</v>
      </c>
      <c r="AI2541" s="77" t="b">
        <v>0</v>
      </c>
      <c r="AJ2541" s="77"/>
      <c r="AK2541" s="77"/>
      <c r="AL2541" s="77"/>
      <c r="AM2541" s="77"/>
      <c r="AN2541" s="77"/>
      <c r="AO2541" s="77"/>
      <c r="AP2541" s="77"/>
      <c r="AQ2541" s="77" t="s">
        <v>15285</v>
      </c>
      <c r="AR2541" s="77">
        <v>94894</v>
      </c>
      <c r="AS2541" s="77"/>
      <c r="AT2541" s="77"/>
      <c r="AU2541" s="77"/>
      <c r="AV2541" s="83" t="str">
        <f>HYPERLINK("https://pbs.twimg.com/ext_tw_video_thumb/1676215389397590019/pu/img/T-_5FN_LHEG-eXXo.jpg")</f>
        <v>https://pbs.twimg.com/ext_tw_video_thumb/1676215389397590019/pu/img/T-_5FN_LHEG-eXXo.jpg</v>
      </c>
      <c r="AW2541" s="80" t="s">
        <v>18332</v>
      </c>
      <c r="AX2541" s="80" t="s">
        <v>18332</v>
      </c>
      <c r="AY2541" s="77"/>
      <c r="AZ2541" s="80" t="s">
        <v>20380</v>
      </c>
      <c r="BA2541" s="80" t="s">
        <v>20380</v>
      </c>
      <c r="BB2541" s="80" t="s">
        <v>20380</v>
      </c>
      <c r="BC2541" s="80" t="s">
        <v>18332</v>
      </c>
      <c r="BD2541" s="80" t="s">
        <v>20904</v>
      </c>
      <c r="BE2541" s="77"/>
      <c r="BF2541" s="77"/>
      <c r="BG2541" s="77"/>
      <c r="BH2541" s="77"/>
      <c r="BI2541" s="77"/>
    </row>
    <row r="2542" spans="1:61" x14ac:dyDescent="0.25">
      <c r="A2542" s="62" t="s">
        <v>1057</v>
      </c>
      <c r="B2542" s="62" t="s">
        <v>1716</v>
      </c>
      <c r="C2542" s="63"/>
      <c r="D2542" s="64"/>
      <c r="E2542" s="65"/>
      <c r="F2542" s="66"/>
      <c r="G2542" s="63"/>
      <c r="H2542" s="67"/>
      <c r="I2542" s="68"/>
      <c r="J2542" s="68"/>
      <c r="K2542" s="32"/>
      <c r="L2542" s="75">
        <v>2542</v>
      </c>
      <c r="M2542" s="75"/>
      <c r="N2542" s="70"/>
      <c r="O2542" s="77" t="s">
        <v>2081</v>
      </c>
      <c r="P2542" s="79">
        <v>45111.546273148146</v>
      </c>
      <c r="Q2542" s="77" t="s">
        <v>4326</v>
      </c>
      <c r="R2542" s="77">
        <v>0</v>
      </c>
      <c r="S2542" s="77">
        <v>2</v>
      </c>
      <c r="T2542" s="77">
        <v>0</v>
      </c>
      <c r="U2542" s="77">
        <v>0</v>
      </c>
      <c r="V2542" s="77">
        <v>64</v>
      </c>
      <c r="W2542" s="80" t="s">
        <v>7499</v>
      </c>
      <c r="X2542" s="77"/>
      <c r="Y2542" s="77"/>
      <c r="Z2542" s="77" t="s">
        <v>8989</v>
      </c>
      <c r="AA2542" s="77" t="s">
        <v>9803</v>
      </c>
      <c r="AB2542" s="77" t="s">
        <v>10534</v>
      </c>
      <c r="AC2542" s="80" t="s">
        <v>10541</v>
      </c>
      <c r="AD2542" s="77" t="s">
        <v>10620</v>
      </c>
      <c r="AE2542" s="83" t="str">
        <f>HYPERLINK("https://twitter.com/rumba_985fm/status/1676215945482629120")</f>
        <v>https://twitter.com/rumba_985fm/status/1676215945482629120</v>
      </c>
      <c r="AF2542" s="79">
        <v>45111.546273148146</v>
      </c>
      <c r="AG2542" s="85">
        <v>45111</v>
      </c>
      <c r="AH2542" s="80" t="s">
        <v>12861</v>
      </c>
      <c r="AI2542" s="77" t="b">
        <v>0</v>
      </c>
      <c r="AJ2542" s="77"/>
      <c r="AK2542" s="77"/>
      <c r="AL2542" s="77"/>
      <c r="AM2542" s="77"/>
      <c r="AN2542" s="77"/>
      <c r="AO2542" s="77"/>
      <c r="AP2542" s="77"/>
      <c r="AQ2542" s="77" t="s">
        <v>15285</v>
      </c>
      <c r="AR2542" s="77">
        <v>94894</v>
      </c>
      <c r="AS2542" s="77"/>
      <c r="AT2542" s="77"/>
      <c r="AU2542" s="77"/>
      <c r="AV2542" s="83" t="str">
        <f>HYPERLINK("https://pbs.twimg.com/ext_tw_video_thumb/1676215389397590019/pu/img/T-_5FN_LHEG-eXXo.jpg")</f>
        <v>https://pbs.twimg.com/ext_tw_video_thumb/1676215389397590019/pu/img/T-_5FN_LHEG-eXXo.jpg</v>
      </c>
      <c r="AW2542" s="80" t="s">
        <v>18332</v>
      </c>
      <c r="AX2542" s="80" t="s">
        <v>18332</v>
      </c>
      <c r="AY2542" s="77"/>
      <c r="AZ2542" s="80" t="s">
        <v>20380</v>
      </c>
      <c r="BA2542" s="80" t="s">
        <v>20380</v>
      </c>
      <c r="BB2542" s="80" t="s">
        <v>20380</v>
      </c>
      <c r="BC2542" s="80" t="s">
        <v>18332</v>
      </c>
      <c r="BD2542" s="80" t="s">
        <v>20904</v>
      </c>
      <c r="BE2542" s="77"/>
      <c r="BF2542" s="77"/>
      <c r="BG2542" s="77"/>
      <c r="BH2542" s="77"/>
      <c r="BI2542" s="77"/>
    </row>
    <row r="2543" spans="1:61" x14ac:dyDescent="0.25">
      <c r="A2543" s="62" t="s">
        <v>1058</v>
      </c>
      <c r="B2543" s="62" t="s">
        <v>1058</v>
      </c>
      <c r="C2543" s="63"/>
      <c r="D2543" s="64"/>
      <c r="E2543" s="65"/>
      <c r="F2543" s="66"/>
      <c r="G2543" s="63"/>
      <c r="H2543" s="67"/>
      <c r="I2543" s="68"/>
      <c r="J2543" s="68"/>
      <c r="K2543" s="32"/>
      <c r="L2543" s="75">
        <v>2543</v>
      </c>
      <c r="M2543" s="75"/>
      <c r="N2543" s="70"/>
      <c r="O2543" s="77" t="s">
        <v>179</v>
      </c>
      <c r="P2543" s="79">
        <v>45103.814050925925</v>
      </c>
      <c r="Q2543" s="77" t="s">
        <v>4327</v>
      </c>
      <c r="R2543" s="77">
        <v>0</v>
      </c>
      <c r="S2543" s="77">
        <v>4</v>
      </c>
      <c r="T2543" s="77">
        <v>0</v>
      </c>
      <c r="U2543" s="77">
        <v>0</v>
      </c>
      <c r="V2543" s="77">
        <v>145</v>
      </c>
      <c r="W2543" s="80" t="s">
        <v>7500</v>
      </c>
      <c r="X2543" s="77"/>
      <c r="Y2543" s="77"/>
      <c r="Z2543" s="77"/>
      <c r="AA2543" s="77"/>
      <c r="AB2543" s="77"/>
      <c r="AC2543" s="80" t="s">
        <v>10541</v>
      </c>
      <c r="AD2543" s="77" t="s">
        <v>10617</v>
      </c>
      <c r="AE2543" s="83" t="str">
        <f>HYPERLINK("https://twitter.com/ivannaatz/status/1673413881933307904")</f>
        <v>https://twitter.com/ivannaatz/status/1673413881933307904</v>
      </c>
      <c r="AF2543" s="79">
        <v>45103.814050925925</v>
      </c>
      <c r="AG2543" s="85">
        <v>45103</v>
      </c>
      <c r="AH2543" s="80" t="s">
        <v>12862</v>
      </c>
      <c r="AI2543" s="77"/>
      <c r="AJ2543" s="77"/>
      <c r="AK2543" s="77"/>
      <c r="AL2543" s="77"/>
      <c r="AM2543" s="77"/>
      <c r="AN2543" s="77"/>
      <c r="AO2543" s="77"/>
      <c r="AP2543" s="77"/>
      <c r="AQ2543" s="77"/>
      <c r="AR2543" s="77"/>
      <c r="AS2543" s="77"/>
      <c r="AT2543" s="77"/>
      <c r="AU2543" s="77"/>
      <c r="AV2543" s="83" t="str">
        <f>HYPERLINK("https://pbs.twimg.com/profile_images/1457785546013495296/13rlO1Re_normal.jpg")</f>
        <v>https://pbs.twimg.com/profile_images/1457785546013495296/13rlO1Re_normal.jpg</v>
      </c>
      <c r="AW2543" s="80" t="s">
        <v>18333</v>
      </c>
      <c r="AX2543" s="80" t="s">
        <v>18333</v>
      </c>
      <c r="AY2543" s="77"/>
      <c r="AZ2543" s="80" t="s">
        <v>20380</v>
      </c>
      <c r="BA2543" s="80" t="s">
        <v>20380</v>
      </c>
      <c r="BB2543" s="80" t="s">
        <v>20380</v>
      </c>
      <c r="BC2543" s="80" t="s">
        <v>18333</v>
      </c>
      <c r="BD2543" s="77">
        <v>68000600</v>
      </c>
      <c r="BE2543" s="77"/>
      <c r="BF2543" s="77"/>
      <c r="BG2543" s="77"/>
      <c r="BH2543" s="77"/>
      <c r="BI2543" s="77"/>
    </row>
    <row r="2544" spans="1:61" x14ac:dyDescent="0.25">
      <c r="A2544" s="62" t="s">
        <v>1059</v>
      </c>
      <c r="B2544" s="62" t="s">
        <v>1059</v>
      </c>
      <c r="C2544" s="63"/>
      <c r="D2544" s="64"/>
      <c r="E2544" s="65"/>
      <c r="F2544" s="66"/>
      <c r="G2544" s="63"/>
      <c r="H2544" s="67"/>
      <c r="I2544" s="68"/>
      <c r="J2544" s="68"/>
      <c r="K2544" s="32"/>
      <c r="L2544" s="75">
        <v>2544</v>
      </c>
      <c r="M2544" s="75"/>
      <c r="N2544" s="70"/>
      <c r="O2544" s="77" t="s">
        <v>179</v>
      </c>
      <c r="P2544" s="79">
        <v>45060.673611111109</v>
      </c>
      <c r="Q2544" s="77" t="s">
        <v>4328</v>
      </c>
      <c r="R2544" s="77">
        <v>0</v>
      </c>
      <c r="S2544" s="77">
        <v>2</v>
      </c>
      <c r="T2544" s="77">
        <v>0</v>
      </c>
      <c r="U2544" s="77">
        <v>0</v>
      </c>
      <c r="V2544" s="77">
        <v>253</v>
      </c>
      <c r="W2544" s="80" t="s">
        <v>7501</v>
      </c>
      <c r="X2544" s="83" t="str">
        <f>HYPERLINK("https://bit.ly/3nZM5Pz")</f>
        <v>https://bit.ly/3nZM5Pz</v>
      </c>
      <c r="Y2544" s="77" t="s">
        <v>8618</v>
      </c>
      <c r="Z2544" s="77"/>
      <c r="AA2544" s="77" t="s">
        <v>9804</v>
      </c>
      <c r="AB2544" s="77" t="s">
        <v>10535</v>
      </c>
      <c r="AC2544" s="80" t="s">
        <v>10541</v>
      </c>
      <c r="AD2544" s="77" t="s">
        <v>10620</v>
      </c>
      <c r="AE2544" s="83" t="str">
        <f>HYPERLINK("https://twitter.com/diarionortecom/status/1657780308232777729")</f>
        <v>https://twitter.com/diarionortecom/status/1657780308232777729</v>
      </c>
      <c r="AF2544" s="79">
        <v>45060.673611111109</v>
      </c>
      <c r="AG2544" s="85">
        <v>45060</v>
      </c>
      <c r="AH2544" s="80" t="s">
        <v>12863</v>
      </c>
      <c r="AI2544" s="77" t="b">
        <v>0</v>
      </c>
      <c r="AJ2544" s="77"/>
      <c r="AK2544" s="77"/>
      <c r="AL2544" s="77"/>
      <c r="AM2544" s="77"/>
      <c r="AN2544" s="77"/>
      <c r="AO2544" s="77"/>
      <c r="AP2544" s="77"/>
      <c r="AQ2544" s="77" t="s">
        <v>15286</v>
      </c>
      <c r="AR2544" s="77"/>
      <c r="AS2544" s="77"/>
      <c r="AT2544" s="77"/>
      <c r="AU2544" s="77"/>
      <c r="AV2544" s="83" t="str">
        <f>HYPERLINK("https://pbs.twimg.com/media/FwGZ5XHWcAIxxy6.jpg")</f>
        <v>https://pbs.twimg.com/media/FwGZ5XHWcAIxxy6.jpg</v>
      </c>
      <c r="AW2544" s="80" t="s">
        <v>18334</v>
      </c>
      <c r="AX2544" s="80" t="s">
        <v>18334</v>
      </c>
      <c r="AY2544" s="77"/>
      <c r="AZ2544" s="80" t="s">
        <v>20380</v>
      </c>
      <c r="BA2544" s="80" t="s">
        <v>20380</v>
      </c>
      <c r="BB2544" s="80" t="s">
        <v>20380</v>
      </c>
      <c r="BC2544" s="80" t="s">
        <v>18334</v>
      </c>
      <c r="BD2544" s="77">
        <v>981499554</v>
      </c>
      <c r="BE2544" s="77"/>
      <c r="BF2544" s="77"/>
      <c r="BG2544" s="77"/>
      <c r="BH2544" s="77"/>
      <c r="BI2544" s="77"/>
    </row>
    <row r="2545" spans="1:61" x14ac:dyDescent="0.25">
      <c r="A2545" s="62" t="s">
        <v>1060</v>
      </c>
      <c r="B2545" s="62" t="s">
        <v>1951</v>
      </c>
      <c r="C2545" s="63"/>
      <c r="D2545" s="64"/>
      <c r="E2545" s="65"/>
      <c r="F2545" s="66"/>
      <c r="G2545" s="63"/>
      <c r="H2545" s="67"/>
      <c r="I2545" s="68"/>
      <c r="J2545" s="68"/>
      <c r="K2545" s="32"/>
      <c r="L2545" s="75">
        <v>2545</v>
      </c>
      <c r="M2545" s="75"/>
      <c r="N2545" s="70"/>
      <c r="O2545" s="77" t="s">
        <v>2081</v>
      </c>
      <c r="P2545" s="79">
        <v>45064.597048611111</v>
      </c>
      <c r="Q2545" s="77" t="s">
        <v>4329</v>
      </c>
      <c r="R2545" s="77">
        <v>0</v>
      </c>
      <c r="S2545" s="77">
        <v>1</v>
      </c>
      <c r="T2545" s="77">
        <v>1</v>
      </c>
      <c r="U2545" s="77">
        <v>0</v>
      </c>
      <c r="V2545" s="77">
        <v>31</v>
      </c>
      <c r="W2545" s="80" t="s">
        <v>7502</v>
      </c>
      <c r="X2545" s="77"/>
      <c r="Y2545" s="77"/>
      <c r="Z2545" s="77" t="s">
        <v>1951</v>
      </c>
      <c r="AA2545" s="77"/>
      <c r="AB2545" s="77"/>
      <c r="AC2545" s="80" t="s">
        <v>10542</v>
      </c>
      <c r="AD2545" s="77" t="s">
        <v>10620</v>
      </c>
      <c r="AE2545" s="83" t="str">
        <f>HYPERLINK("https://twitter.com/inkoms_oficial/status/1659202114281934851")</f>
        <v>https://twitter.com/inkoms_oficial/status/1659202114281934851</v>
      </c>
      <c r="AF2545" s="79">
        <v>45064.597048611111</v>
      </c>
      <c r="AG2545" s="85">
        <v>45064</v>
      </c>
      <c r="AH2545" s="80" t="s">
        <v>12864</v>
      </c>
      <c r="AI2545" s="77"/>
      <c r="AJ2545" s="77"/>
      <c r="AK2545" s="77"/>
      <c r="AL2545" s="77"/>
      <c r="AM2545" s="77"/>
      <c r="AN2545" s="77"/>
      <c r="AO2545" s="77"/>
      <c r="AP2545" s="77"/>
      <c r="AQ2545" s="77"/>
      <c r="AR2545" s="77"/>
      <c r="AS2545" s="77"/>
      <c r="AT2545" s="77"/>
      <c r="AU2545" s="77"/>
      <c r="AV2545" s="83" t="str">
        <f>HYPERLINK("https://pbs.twimg.com/profile_images/1619043500623904771/TWBtrW6X_normal.jpg")</f>
        <v>https://pbs.twimg.com/profile_images/1619043500623904771/TWBtrW6X_normal.jpg</v>
      </c>
      <c r="AW2545" s="80" t="s">
        <v>18335</v>
      </c>
      <c r="AX2545" s="80" t="s">
        <v>18335</v>
      </c>
      <c r="AY2545" s="77"/>
      <c r="AZ2545" s="80" t="s">
        <v>20380</v>
      </c>
      <c r="BA2545" s="80" t="s">
        <v>20380</v>
      </c>
      <c r="BB2545" s="80" t="s">
        <v>20380</v>
      </c>
      <c r="BC2545" s="80" t="s">
        <v>18335</v>
      </c>
      <c r="BD2545" s="80" t="s">
        <v>20905</v>
      </c>
      <c r="BE2545" s="77"/>
      <c r="BF2545" s="77"/>
      <c r="BG2545" s="77"/>
      <c r="BH2545" s="77"/>
      <c r="BI2545" s="77"/>
    </row>
    <row r="2546" spans="1:61" x14ac:dyDescent="0.25">
      <c r="A2546" s="62" t="s">
        <v>1061</v>
      </c>
      <c r="B2546" s="62" t="s">
        <v>1575</v>
      </c>
      <c r="C2546" s="63"/>
      <c r="D2546" s="64"/>
      <c r="E2546" s="65"/>
      <c r="F2546" s="66"/>
      <c r="G2546" s="63"/>
      <c r="H2546" s="67"/>
      <c r="I2546" s="68"/>
      <c r="J2546" s="68"/>
      <c r="K2546" s="32"/>
      <c r="L2546" s="75">
        <v>2546</v>
      </c>
      <c r="M2546" s="75"/>
      <c r="N2546" s="70"/>
      <c r="O2546" s="77" t="s">
        <v>2083</v>
      </c>
      <c r="P2546" s="79">
        <v>45188.908842592595</v>
      </c>
      <c r="Q2546" s="77" t="s">
        <v>4330</v>
      </c>
      <c r="R2546" s="77">
        <v>1</v>
      </c>
      <c r="S2546" s="77">
        <v>0</v>
      </c>
      <c r="T2546" s="77">
        <v>0</v>
      </c>
      <c r="U2546" s="77">
        <v>0</v>
      </c>
      <c r="V2546" s="77"/>
      <c r="W2546" s="80" t="s">
        <v>7503</v>
      </c>
      <c r="X2546" s="77"/>
      <c r="Y2546" s="77"/>
      <c r="Z2546" s="77" t="s">
        <v>1575</v>
      </c>
      <c r="AA2546" s="77"/>
      <c r="AB2546" s="77"/>
      <c r="AC2546" s="80" t="s">
        <v>10541</v>
      </c>
      <c r="AD2546" s="77" t="s">
        <v>10620</v>
      </c>
      <c r="AE2546" s="83" t="str">
        <f>HYPERLINK("https://twitter.com/mrodriguezrocha/status/1704251202207158658")</f>
        <v>https://twitter.com/mrodriguezrocha/status/1704251202207158658</v>
      </c>
      <c r="AF2546" s="79">
        <v>45188.908842592595</v>
      </c>
      <c r="AG2546" s="85">
        <v>45188</v>
      </c>
      <c r="AH2546" s="80" t="s">
        <v>12865</v>
      </c>
      <c r="AI2546" s="77" t="b">
        <v>0</v>
      </c>
      <c r="AJ2546" s="77"/>
      <c r="AK2546" s="77"/>
      <c r="AL2546" s="77"/>
      <c r="AM2546" s="77"/>
      <c r="AN2546" s="77"/>
      <c r="AO2546" s="77"/>
      <c r="AP2546" s="77"/>
      <c r="AQ2546" s="77"/>
      <c r="AR2546" s="77"/>
      <c r="AS2546" s="77"/>
      <c r="AT2546" s="77"/>
      <c r="AU2546" s="77"/>
      <c r="AV2546" s="83" t="str">
        <f>HYPERLINK("https://pbs.twimg.com/profile_images/1264327384922296321/kJ-Vb43p_normal.jpg")</f>
        <v>https://pbs.twimg.com/profile_images/1264327384922296321/kJ-Vb43p_normal.jpg</v>
      </c>
      <c r="AW2546" s="80" t="s">
        <v>18336</v>
      </c>
      <c r="AX2546" s="80" t="s">
        <v>18336</v>
      </c>
      <c r="AY2546" s="77"/>
      <c r="AZ2546" s="80" t="s">
        <v>20380</v>
      </c>
      <c r="BA2546" s="80" t="s">
        <v>20380</v>
      </c>
      <c r="BB2546" s="80" t="s">
        <v>19590</v>
      </c>
      <c r="BC2546" s="80" t="s">
        <v>19590</v>
      </c>
      <c r="BD2546" s="77">
        <v>180625864</v>
      </c>
      <c r="BE2546" s="77"/>
      <c r="BF2546" s="77"/>
      <c r="BG2546" s="77"/>
      <c r="BH2546" s="77"/>
      <c r="BI2546" s="77"/>
    </row>
    <row r="2547" spans="1:61" x14ac:dyDescent="0.25">
      <c r="A2547" s="62" t="s">
        <v>1062</v>
      </c>
      <c r="B2547" s="62" t="s">
        <v>1062</v>
      </c>
      <c r="C2547" s="63"/>
      <c r="D2547" s="64"/>
      <c r="E2547" s="65"/>
      <c r="F2547" s="66"/>
      <c r="G2547" s="63"/>
      <c r="H2547" s="67"/>
      <c r="I2547" s="68"/>
      <c r="J2547" s="68"/>
      <c r="K2547" s="32"/>
      <c r="L2547" s="75">
        <v>2547</v>
      </c>
      <c r="M2547" s="75"/>
      <c r="N2547" s="70"/>
      <c r="O2547" s="77" t="s">
        <v>179</v>
      </c>
      <c r="P2547" s="79">
        <v>45100.902314814812</v>
      </c>
      <c r="Q2547" s="77" t="s">
        <v>4331</v>
      </c>
      <c r="R2547" s="77">
        <v>1</v>
      </c>
      <c r="S2547" s="77">
        <v>1</v>
      </c>
      <c r="T2547" s="77">
        <v>1</v>
      </c>
      <c r="U2547" s="77">
        <v>0</v>
      </c>
      <c r="V2547" s="77">
        <v>1181</v>
      </c>
      <c r="W2547" s="80" t="s">
        <v>7504</v>
      </c>
      <c r="X2547" s="83" t="str">
        <f>HYPERLINK("https://www.nsctotal.com.br/colunistas/renato-igor/debate-sobre-taxa-de-juro-do-banco-central-pega-fogo-na-cbn-floripa-ouca")</f>
        <v>https://www.nsctotal.com.br/colunistas/renato-igor/debate-sobre-taxa-de-juro-do-banco-central-pega-fogo-na-cbn-floripa-ouca</v>
      </c>
      <c r="Y2547" s="77" t="s">
        <v>8611</v>
      </c>
      <c r="Z2547" s="77"/>
      <c r="AA2547" s="77" t="s">
        <v>9805</v>
      </c>
      <c r="AB2547" s="77" t="s">
        <v>10535</v>
      </c>
      <c r="AC2547" s="80" t="s">
        <v>10541</v>
      </c>
      <c r="AD2547" s="77" t="s">
        <v>10617</v>
      </c>
      <c r="AE2547" s="83" t="str">
        <f>HYPERLINK("https://twitter.com/renatoigor/status/1672358704174317568")</f>
        <v>https://twitter.com/renatoigor/status/1672358704174317568</v>
      </c>
      <c r="AF2547" s="79">
        <v>45100.902314814812</v>
      </c>
      <c r="AG2547" s="85">
        <v>45100</v>
      </c>
      <c r="AH2547" s="80" t="s">
        <v>12866</v>
      </c>
      <c r="AI2547" s="77" t="b">
        <v>0</v>
      </c>
      <c r="AJ2547" s="77"/>
      <c r="AK2547" s="77"/>
      <c r="AL2547" s="77"/>
      <c r="AM2547" s="77"/>
      <c r="AN2547" s="77"/>
      <c r="AO2547" s="77"/>
      <c r="AP2547" s="77"/>
      <c r="AQ2547" s="77" t="s">
        <v>15287</v>
      </c>
      <c r="AR2547" s="77"/>
      <c r="AS2547" s="77"/>
      <c r="AT2547" s="77"/>
      <c r="AU2547" s="77"/>
      <c r="AV2547" s="83" t="str">
        <f>HYPERLINK("https://pbs.twimg.com/media/FzVpSOmXwAEyob3.jpg")</f>
        <v>https://pbs.twimg.com/media/FzVpSOmXwAEyob3.jpg</v>
      </c>
      <c r="AW2547" s="80" t="s">
        <v>18337</v>
      </c>
      <c r="AX2547" s="80" t="s">
        <v>18337</v>
      </c>
      <c r="AY2547" s="77"/>
      <c r="AZ2547" s="80" t="s">
        <v>20380</v>
      </c>
      <c r="BA2547" s="80" t="s">
        <v>20380</v>
      </c>
      <c r="BB2547" s="80" t="s">
        <v>20380</v>
      </c>
      <c r="BC2547" s="80" t="s">
        <v>18337</v>
      </c>
      <c r="BD2547" s="77">
        <v>52162988</v>
      </c>
      <c r="BE2547" s="77"/>
      <c r="BF2547" s="77"/>
      <c r="BG2547" s="77"/>
      <c r="BH2547" s="77"/>
      <c r="BI2547" s="77"/>
    </row>
    <row r="2548" spans="1:61" x14ac:dyDescent="0.25">
      <c r="A2548" s="62" t="s">
        <v>1063</v>
      </c>
      <c r="B2548" s="62" t="s">
        <v>1615</v>
      </c>
      <c r="C2548" s="63"/>
      <c r="D2548" s="64"/>
      <c r="E2548" s="65"/>
      <c r="F2548" s="66"/>
      <c r="G2548" s="63"/>
      <c r="H2548" s="67"/>
      <c r="I2548" s="68"/>
      <c r="J2548" s="68"/>
      <c r="K2548" s="32"/>
      <c r="L2548" s="75">
        <v>2548</v>
      </c>
      <c r="M2548" s="75"/>
      <c r="N2548" s="70"/>
      <c r="O2548" s="77" t="s">
        <v>2083</v>
      </c>
      <c r="P2548" s="79">
        <v>45191.869432870371</v>
      </c>
      <c r="Q2548" s="77" t="s">
        <v>2809</v>
      </c>
      <c r="R2548" s="77">
        <v>4</v>
      </c>
      <c r="S2548" s="77">
        <v>0</v>
      </c>
      <c r="T2548" s="77">
        <v>0</v>
      </c>
      <c r="U2548" s="77">
        <v>0</v>
      </c>
      <c r="V2548" s="77"/>
      <c r="W2548" s="77"/>
      <c r="X2548" s="77"/>
      <c r="Y2548" s="77"/>
      <c r="Z2548" s="77" t="s">
        <v>1615</v>
      </c>
      <c r="AA2548" s="77"/>
      <c r="AB2548" s="77"/>
      <c r="AC2548" s="80" t="s">
        <v>10540</v>
      </c>
      <c r="AD2548" s="77" t="s">
        <v>10617</v>
      </c>
      <c r="AE2548" s="83" t="str">
        <f>HYPERLINK("https://twitter.com/pedrobluesfx258/status/1705324083817197999")</f>
        <v>https://twitter.com/pedrobluesfx258/status/1705324083817197999</v>
      </c>
      <c r="AF2548" s="79">
        <v>45191.869432870371</v>
      </c>
      <c r="AG2548" s="85">
        <v>45191</v>
      </c>
      <c r="AH2548" s="80" t="s">
        <v>12867</v>
      </c>
      <c r="AI2548" s="77" t="b">
        <v>0</v>
      </c>
      <c r="AJ2548" s="77"/>
      <c r="AK2548" s="77"/>
      <c r="AL2548" s="77"/>
      <c r="AM2548" s="77"/>
      <c r="AN2548" s="77"/>
      <c r="AO2548" s="77"/>
      <c r="AP2548" s="77"/>
      <c r="AQ2548" s="77"/>
      <c r="AR2548" s="77"/>
      <c r="AS2548" s="77"/>
      <c r="AT2548" s="77"/>
      <c r="AU2548" s="77"/>
      <c r="AV2548" s="83" t="str">
        <f>HYPERLINK("https://pbs.twimg.com/profile_images/1640594218488930305/OfNJHBRm_normal.jpg")</f>
        <v>https://pbs.twimg.com/profile_images/1640594218488930305/OfNJHBRm_normal.jpg</v>
      </c>
      <c r="AW2548" s="80" t="s">
        <v>18338</v>
      </c>
      <c r="AX2548" s="80" t="s">
        <v>18338</v>
      </c>
      <c r="AY2548" s="77"/>
      <c r="AZ2548" s="80" t="s">
        <v>20380</v>
      </c>
      <c r="BA2548" s="80" t="s">
        <v>20380</v>
      </c>
      <c r="BB2548" s="80" t="s">
        <v>19732</v>
      </c>
      <c r="BC2548" s="80" t="s">
        <v>19732</v>
      </c>
      <c r="BD2548" s="80" t="s">
        <v>20906</v>
      </c>
      <c r="BE2548" s="77"/>
      <c r="BF2548" s="77"/>
      <c r="BG2548" s="77"/>
      <c r="BH2548" s="77"/>
      <c r="BI2548" s="77"/>
    </row>
    <row r="2549" spans="1:61" x14ac:dyDescent="0.25">
      <c r="A2549" s="62" t="s">
        <v>1064</v>
      </c>
      <c r="B2549" s="62" t="s">
        <v>1064</v>
      </c>
      <c r="C2549" s="63"/>
      <c r="D2549" s="64"/>
      <c r="E2549" s="65"/>
      <c r="F2549" s="66"/>
      <c r="G2549" s="63"/>
      <c r="H2549" s="67"/>
      <c r="I2549" s="68"/>
      <c r="J2549" s="68"/>
      <c r="K2549" s="32"/>
      <c r="L2549" s="75">
        <v>2549</v>
      </c>
      <c r="M2549" s="75"/>
      <c r="N2549" s="70"/>
      <c r="O2549" s="77" t="s">
        <v>179</v>
      </c>
      <c r="P2549" s="79">
        <v>45145.861643518518</v>
      </c>
      <c r="Q2549" s="77" t="s">
        <v>4332</v>
      </c>
      <c r="R2549" s="77">
        <v>27</v>
      </c>
      <c r="S2549" s="77">
        <v>51</v>
      </c>
      <c r="T2549" s="77">
        <v>6</v>
      </c>
      <c r="U2549" s="77">
        <v>5</v>
      </c>
      <c r="V2549" s="77">
        <v>69766</v>
      </c>
      <c r="W2549" s="77"/>
      <c r="X2549" s="83" t="str">
        <f>HYPERLINK("http://reut.rs/47oUT3q")</f>
        <v>http://reut.rs/47oUT3q</v>
      </c>
      <c r="Y2549" s="77" t="s">
        <v>8795</v>
      </c>
      <c r="Z2549" s="77"/>
      <c r="AA2549" s="77" t="s">
        <v>9806</v>
      </c>
      <c r="AB2549" s="77" t="s">
        <v>10535</v>
      </c>
      <c r="AC2549" s="80" t="s">
        <v>10593</v>
      </c>
      <c r="AD2549" s="77" t="s">
        <v>10622</v>
      </c>
      <c r="AE2549" s="83" t="str">
        <f>HYPERLINK("https://twitter.com/reuters/status/1688651418247249920")</f>
        <v>https://twitter.com/reuters/status/1688651418247249920</v>
      </c>
      <c r="AF2549" s="79">
        <v>45145.861643518518</v>
      </c>
      <c r="AG2549" s="85">
        <v>45145</v>
      </c>
      <c r="AH2549" s="80" t="s">
        <v>12868</v>
      </c>
      <c r="AI2549" s="77" t="b">
        <v>0</v>
      </c>
      <c r="AJ2549" s="77"/>
      <c r="AK2549" s="77"/>
      <c r="AL2549" s="77"/>
      <c r="AM2549" s="77"/>
      <c r="AN2549" s="77"/>
      <c r="AO2549" s="77"/>
      <c r="AP2549" s="77"/>
      <c r="AQ2549" s="77" t="s">
        <v>15288</v>
      </c>
      <c r="AR2549" s="77"/>
      <c r="AS2549" s="77"/>
      <c r="AT2549" s="77"/>
      <c r="AU2549" s="77"/>
      <c r="AV2549" s="83" t="str">
        <f>HYPERLINK("https://pbs.twimg.com/media/F29LhCkXYAEBf7o.jpg")</f>
        <v>https://pbs.twimg.com/media/F29LhCkXYAEBf7o.jpg</v>
      </c>
      <c r="AW2549" s="80" t="s">
        <v>18339</v>
      </c>
      <c r="AX2549" s="80" t="s">
        <v>18339</v>
      </c>
      <c r="AY2549" s="77"/>
      <c r="AZ2549" s="80" t="s">
        <v>20380</v>
      </c>
      <c r="BA2549" s="80" t="s">
        <v>20380</v>
      </c>
      <c r="BB2549" s="80" t="s">
        <v>20380</v>
      </c>
      <c r="BC2549" s="80" t="s">
        <v>18339</v>
      </c>
      <c r="BD2549" s="77">
        <v>1652541</v>
      </c>
      <c r="BE2549" s="77"/>
      <c r="BF2549" s="77"/>
      <c r="BG2549" s="77"/>
      <c r="BH2549" s="77"/>
      <c r="BI2549" s="77"/>
    </row>
    <row r="2550" spans="1:61" x14ac:dyDescent="0.25">
      <c r="A2550" s="62" t="s">
        <v>1065</v>
      </c>
      <c r="B2550" s="62" t="s">
        <v>1065</v>
      </c>
      <c r="C2550" s="63"/>
      <c r="D2550" s="64"/>
      <c r="E2550" s="65"/>
      <c r="F2550" s="66"/>
      <c r="G2550" s="63"/>
      <c r="H2550" s="67"/>
      <c r="I2550" s="68"/>
      <c r="J2550" s="68"/>
      <c r="K2550" s="32"/>
      <c r="L2550" s="75">
        <v>2550</v>
      </c>
      <c r="M2550" s="75"/>
      <c r="N2550" s="70"/>
      <c r="O2550" s="77" t="s">
        <v>179</v>
      </c>
      <c r="P2550" s="79">
        <v>45180.617418981485</v>
      </c>
      <c r="Q2550" s="77" t="s">
        <v>4333</v>
      </c>
      <c r="R2550" s="77">
        <v>0</v>
      </c>
      <c r="S2550" s="77">
        <v>0</v>
      </c>
      <c r="T2550" s="77">
        <v>0</v>
      </c>
      <c r="U2550" s="77">
        <v>0</v>
      </c>
      <c r="V2550" s="77">
        <v>5</v>
      </c>
      <c r="W2550" s="80" t="s">
        <v>7505</v>
      </c>
      <c r="X2550" s="77"/>
      <c r="Y2550" s="77"/>
      <c r="Z2550" s="77"/>
      <c r="AA2550" s="77"/>
      <c r="AB2550" s="77"/>
      <c r="AC2550" s="80" t="s">
        <v>10541</v>
      </c>
      <c r="AD2550" s="77" t="s">
        <v>10617</v>
      </c>
      <c r="AE2550" s="83" t="str">
        <f>HYPERLINK("https://twitter.com/elizeusantos/status/1701246489207459882")</f>
        <v>https://twitter.com/elizeusantos/status/1701246489207459882</v>
      </c>
      <c r="AF2550" s="79">
        <v>45180.617418981485</v>
      </c>
      <c r="AG2550" s="85">
        <v>45180</v>
      </c>
      <c r="AH2550" s="80" t="s">
        <v>12869</v>
      </c>
      <c r="AI2550" s="77"/>
      <c r="AJ2550" s="77"/>
      <c r="AK2550" s="77"/>
      <c r="AL2550" s="77"/>
      <c r="AM2550" s="77"/>
      <c r="AN2550" s="77"/>
      <c r="AO2550" s="77"/>
      <c r="AP2550" s="77"/>
      <c r="AQ2550" s="77"/>
      <c r="AR2550" s="77"/>
      <c r="AS2550" s="77"/>
      <c r="AT2550" s="77"/>
      <c r="AU2550" s="77"/>
      <c r="AV2550" s="83" t="str">
        <f>HYPERLINK("https://pbs.twimg.com/profile_images/567256094611742720/BLiLLrGY_normal.jpeg")</f>
        <v>https://pbs.twimg.com/profile_images/567256094611742720/BLiLLrGY_normal.jpeg</v>
      </c>
      <c r="AW2550" s="80" t="s">
        <v>18340</v>
      </c>
      <c r="AX2550" s="80" t="s">
        <v>18340</v>
      </c>
      <c r="AY2550" s="77"/>
      <c r="AZ2550" s="80" t="s">
        <v>20380</v>
      </c>
      <c r="BA2550" s="80" t="s">
        <v>20380</v>
      </c>
      <c r="BB2550" s="80" t="s">
        <v>20380</v>
      </c>
      <c r="BC2550" s="80" t="s">
        <v>18340</v>
      </c>
      <c r="BD2550" s="77">
        <v>15467410</v>
      </c>
      <c r="BE2550" s="77"/>
      <c r="BF2550" s="77"/>
      <c r="BG2550" s="77"/>
      <c r="BH2550" s="77"/>
      <c r="BI2550" s="77"/>
    </row>
    <row r="2551" spans="1:61" x14ac:dyDescent="0.25">
      <c r="A2551" s="62" t="s">
        <v>1065</v>
      </c>
      <c r="B2551" s="62" t="s">
        <v>1065</v>
      </c>
      <c r="C2551" s="63"/>
      <c r="D2551" s="64"/>
      <c r="E2551" s="65"/>
      <c r="F2551" s="66"/>
      <c r="G2551" s="63"/>
      <c r="H2551" s="67"/>
      <c r="I2551" s="68"/>
      <c r="J2551" s="68"/>
      <c r="K2551" s="32"/>
      <c r="L2551" s="75">
        <v>2551</v>
      </c>
      <c r="M2551" s="75"/>
      <c r="N2551" s="70"/>
      <c r="O2551" s="77" t="s">
        <v>179</v>
      </c>
      <c r="P2551" s="79">
        <v>45180.566631944443</v>
      </c>
      <c r="Q2551" s="77" t="s">
        <v>4334</v>
      </c>
      <c r="R2551" s="77">
        <v>0</v>
      </c>
      <c r="S2551" s="77">
        <v>0</v>
      </c>
      <c r="T2551" s="77">
        <v>0</v>
      </c>
      <c r="U2551" s="77">
        <v>0</v>
      </c>
      <c r="V2551" s="77">
        <v>29</v>
      </c>
      <c r="W2551" s="80" t="s">
        <v>7506</v>
      </c>
      <c r="X2551" s="77"/>
      <c r="Y2551" s="77"/>
      <c r="Z2551" s="77"/>
      <c r="AA2551" s="77"/>
      <c r="AB2551" s="77"/>
      <c r="AC2551" s="80" t="s">
        <v>10541</v>
      </c>
      <c r="AD2551" s="77" t="s">
        <v>10617</v>
      </c>
      <c r="AE2551" s="83" t="str">
        <f>HYPERLINK("https://twitter.com/elizeusantos/status/1701228087290007960")</f>
        <v>https://twitter.com/elizeusantos/status/1701228087290007960</v>
      </c>
      <c r="AF2551" s="79">
        <v>45180.566631944443</v>
      </c>
      <c r="AG2551" s="85">
        <v>45180</v>
      </c>
      <c r="AH2551" s="80" t="s">
        <v>12870</v>
      </c>
      <c r="AI2551" s="77"/>
      <c r="AJ2551" s="77"/>
      <c r="AK2551" s="77"/>
      <c r="AL2551" s="77"/>
      <c r="AM2551" s="77"/>
      <c r="AN2551" s="77"/>
      <c r="AO2551" s="77"/>
      <c r="AP2551" s="77"/>
      <c r="AQ2551" s="77"/>
      <c r="AR2551" s="77"/>
      <c r="AS2551" s="77"/>
      <c r="AT2551" s="77"/>
      <c r="AU2551" s="77"/>
      <c r="AV2551" s="83" t="str">
        <f>HYPERLINK("https://pbs.twimg.com/profile_images/567256094611742720/BLiLLrGY_normal.jpeg")</f>
        <v>https://pbs.twimg.com/profile_images/567256094611742720/BLiLLrGY_normal.jpeg</v>
      </c>
      <c r="AW2551" s="80" t="s">
        <v>18341</v>
      </c>
      <c r="AX2551" s="80" t="s">
        <v>18341</v>
      </c>
      <c r="AY2551" s="77"/>
      <c r="AZ2551" s="80" t="s">
        <v>20380</v>
      </c>
      <c r="BA2551" s="80" t="s">
        <v>20380</v>
      </c>
      <c r="BB2551" s="80" t="s">
        <v>20380</v>
      </c>
      <c r="BC2551" s="80" t="s">
        <v>18341</v>
      </c>
      <c r="BD2551" s="77">
        <v>15467410</v>
      </c>
      <c r="BE2551" s="77"/>
      <c r="BF2551" s="77"/>
      <c r="BG2551" s="77"/>
      <c r="BH2551" s="77"/>
      <c r="BI2551" s="77"/>
    </row>
    <row r="2552" spans="1:61" x14ac:dyDescent="0.25">
      <c r="A2552" s="62" t="s">
        <v>1066</v>
      </c>
      <c r="B2552" s="62" t="s">
        <v>1066</v>
      </c>
      <c r="C2552" s="63"/>
      <c r="D2552" s="64"/>
      <c r="E2552" s="65"/>
      <c r="F2552" s="66"/>
      <c r="G2552" s="63"/>
      <c r="H2552" s="67"/>
      <c r="I2552" s="68"/>
      <c r="J2552" s="68"/>
      <c r="K2552" s="32"/>
      <c r="L2552" s="75">
        <v>2552</v>
      </c>
      <c r="M2552" s="75"/>
      <c r="N2552" s="70"/>
      <c r="O2552" s="77" t="s">
        <v>179</v>
      </c>
      <c r="P2552" s="79">
        <v>45078.868298611109</v>
      </c>
      <c r="Q2552" s="77" t="s">
        <v>4335</v>
      </c>
      <c r="R2552" s="77">
        <v>0</v>
      </c>
      <c r="S2552" s="77">
        <v>0</v>
      </c>
      <c r="T2552" s="77">
        <v>0</v>
      </c>
      <c r="U2552" s="77">
        <v>0</v>
      </c>
      <c r="V2552" s="77">
        <v>19</v>
      </c>
      <c r="W2552" s="80" t="s">
        <v>6242</v>
      </c>
      <c r="X2552" s="83" t="str">
        <f>HYPERLINK("https://estrellasyredes.net/?p=73891")</f>
        <v>https://estrellasyredes.net/?p=73891</v>
      </c>
      <c r="Y2552" s="77" t="s">
        <v>8668</v>
      </c>
      <c r="Z2552" s="77"/>
      <c r="AA2552" s="77" t="s">
        <v>9807</v>
      </c>
      <c r="AB2552" s="77" t="s">
        <v>10535</v>
      </c>
      <c r="AC2552" s="80" t="s">
        <v>10540</v>
      </c>
      <c r="AD2552" s="77" t="s">
        <v>10620</v>
      </c>
      <c r="AE2552" s="83" t="str">
        <f>HYPERLINK("https://twitter.com/eyrnews/status/1664373843090128897")</f>
        <v>https://twitter.com/eyrnews/status/1664373843090128897</v>
      </c>
      <c r="AF2552" s="79">
        <v>45078.868298611109</v>
      </c>
      <c r="AG2552" s="85">
        <v>45078</v>
      </c>
      <c r="AH2552" s="80" t="s">
        <v>10828</v>
      </c>
      <c r="AI2552" s="77" t="b">
        <v>0</v>
      </c>
      <c r="AJ2552" s="77"/>
      <c r="AK2552" s="77"/>
      <c r="AL2552" s="77"/>
      <c r="AM2552" s="77"/>
      <c r="AN2552" s="77"/>
      <c r="AO2552" s="77"/>
      <c r="AP2552" s="77"/>
      <c r="AQ2552" s="77" t="s">
        <v>15289</v>
      </c>
      <c r="AR2552" s="77"/>
      <c r="AS2552" s="77"/>
      <c r="AT2552" s="77"/>
      <c r="AU2552" s="77"/>
      <c r="AV2552" s="83" t="str">
        <f>HYPERLINK("https://pbs.twimg.com/media/FxkLMJ1XwAIK1S-.jpg")</f>
        <v>https://pbs.twimg.com/media/FxkLMJ1XwAIK1S-.jpg</v>
      </c>
      <c r="AW2552" s="80" t="s">
        <v>18342</v>
      </c>
      <c r="AX2552" s="80" t="s">
        <v>18342</v>
      </c>
      <c r="AY2552" s="77"/>
      <c r="AZ2552" s="80" t="s">
        <v>20380</v>
      </c>
      <c r="BA2552" s="80" t="s">
        <v>20380</v>
      </c>
      <c r="BB2552" s="80" t="s">
        <v>20380</v>
      </c>
      <c r="BC2552" s="80" t="s">
        <v>18342</v>
      </c>
      <c r="BD2552" s="80" t="s">
        <v>20907</v>
      </c>
      <c r="BE2552" s="77"/>
      <c r="BF2552" s="77"/>
      <c r="BG2552" s="77"/>
      <c r="BH2552" s="77"/>
      <c r="BI2552" s="77"/>
    </row>
    <row r="2553" spans="1:61" x14ac:dyDescent="0.25">
      <c r="A2553" s="62" t="s">
        <v>1066</v>
      </c>
      <c r="B2553" s="62" t="s">
        <v>1066</v>
      </c>
      <c r="C2553" s="63"/>
      <c r="D2553" s="64"/>
      <c r="E2553" s="65"/>
      <c r="F2553" s="66"/>
      <c r="G2553" s="63"/>
      <c r="H2553" s="67"/>
      <c r="I2553" s="68"/>
      <c r="J2553" s="68"/>
      <c r="K2553" s="32"/>
      <c r="L2553" s="75">
        <v>2553</v>
      </c>
      <c r="M2553" s="75"/>
      <c r="N2553" s="70"/>
      <c r="O2553" s="77" t="s">
        <v>179</v>
      </c>
      <c r="P2553" s="79">
        <v>45108.137187499997</v>
      </c>
      <c r="Q2553" s="77" t="s">
        <v>4336</v>
      </c>
      <c r="R2553" s="77">
        <v>0</v>
      </c>
      <c r="S2553" s="77">
        <v>0</v>
      </c>
      <c r="T2553" s="77">
        <v>0</v>
      </c>
      <c r="U2553" s="77">
        <v>0</v>
      </c>
      <c r="V2553" s="77">
        <v>7</v>
      </c>
      <c r="W2553" s="80" t="s">
        <v>6243</v>
      </c>
      <c r="X2553" s="83" t="str">
        <f>HYPERLINK("https://estrellasyredes.net/?p=75593")</f>
        <v>https://estrellasyredes.net/?p=75593</v>
      </c>
      <c r="Y2553" s="77" t="s">
        <v>8668</v>
      </c>
      <c r="Z2553" s="77"/>
      <c r="AA2553" s="77" t="s">
        <v>9808</v>
      </c>
      <c r="AB2553" s="77" t="s">
        <v>10535</v>
      </c>
      <c r="AC2553" s="80" t="s">
        <v>10540</v>
      </c>
      <c r="AD2553" s="77" t="s">
        <v>10620</v>
      </c>
      <c r="AE2553" s="83" t="str">
        <f>HYPERLINK("https://twitter.com/eyrnews/status/1674980533464432640")</f>
        <v>https://twitter.com/eyrnews/status/1674980533464432640</v>
      </c>
      <c r="AF2553" s="79">
        <v>45108.137187499997</v>
      </c>
      <c r="AG2553" s="85">
        <v>45108</v>
      </c>
      <c r="AH2553" s="80" t="s">
        <v>12871</v>
      </c>
      <c r="AI2553" s="77" t="b">
        <v>0</v>
      </c>
      <c r="AJ2553" s="77"/>
      <c r="AK2553" s="77"/>
      <c r="AL2553" s="77"/>
      <c r="AM2553" s="77"/>
      <c r="AN2553" s="77"/>
      <c r="AO2553" s="77"/>
      <c r="AP2553" s="77"/>
      <c r="AQ2553" s="77" t="s">
        <v>15290</v>
      </c>
      <c r="AR2553" s="77"/>
      <c r="AS2553" s="77"/>
      <c r="AT2553" s="77"/>
      <c r="AU2553" s="77"/>
      <c r="AV2553" s="83" t="str">
        <f>HYPERLINK("https://pbs.twimg.com/media/Fz656y3XwAAqFK-.jpg")</f>
        <v>https://pbs.twimg.com/media/Fz656y3XwAAqFK-.jpg</v>
      </c>
      <c r="AW2553" s="80" t="s">
        <v>18343</v>
      </c>
      <c r="AX2553" s="80" t="s">
        <v>18343</v>
      </c>
      <c r="AY2553" s="77"/>
      <c r="AZ2553" s="80" t="s">
        <v>20380</v>
      </c>
      <c r="BA2553" s="80" t="s">
        <v>20380</v>
      </c>
      <c r="BB2553" s="80" t="s">
        <v>20380</v>
      </c>
      <c r="BC2553" s="80" t="s">
        <v>18343</v>
      </c>
      <c r="BD2553" s="80" t="s">
        <v>20907</v>
      </c>
      <c r="BE2553" s="77"/>
      <c r="BF2553" s="77"/>
      <c r="BG2553" s="77"/>
      <c r="BH2553" s="77"/>
      <c r="BI2553" s="77"/>
    </row>
    <row r="2554" spans="1:61" x14ac:dyDescent="0.25">
      <c r="A2554" s="62" t="s">
        <v>1066</v>
      </c>
      <c r="B2554" s="62" t="s">
        <v>1066</v>
      </c>
      <c r="C2554" s="63"/>
      <c r="D2554" s="64"/>
      <c r="E2554" s="65"/>
      <c r="F2554" s="66"/>
      <c r="G2554" s="63"/>
      <c r="H2554" s="67"/>
      <c r="I2554" s="68"/>
      <c r="J2554" s="68"/>
      <c r="K2554" s="32"/>
      <c r="L2554" s="75">
        <v>2554</v>
      </c>
      <c r="M2554" s="75"/>
      <c r="N2554" s="70"/>
      <c r="O2554" s="77" t="s">
        <v>179</v>
      </c>
      <c r="P2554" s="79">
        <v>45096.998113425929</v>
      </c>
      <c r="Q2554" s="77" t="s">
        <v>4337</v>
      </c>
      <c r="R2554" s="77">
        <v>0</v>
      </c>
      <c r="S2554" s="77">
        <v>1</v>
      </c>
      <c r="T2554" s="77">
        <v>0</v>
      </c>
      <c r="U2554" s="77">
        <v>0</v>
      </c>
      <c r="V2554" s="77">
        <v>18</v>
      </c>
      <c r="W2554" s="80" t="s">
        <v>6243</v>
      </c>
      <c r="X2554" s="83" t="str">
        <f>HYPERLINK("https://estrellasyredes.net/?p=74941")</f>
        <v>https://estrellasyredes.net/?p=74941</v>
      </c>
      <c r="Y2554" s="77" t="s">
        <v>8668</v>
      </c>
      <c r="Z2554" s="77"/>
      <c r="AA2554" s="77" t="s">
        <v>9809</v>
      </c>
      <c r="AB2554" s="77" t="s">
        <v>10535</v>
      </c>
      <c r="AC2554" s="80" t="s">
        <v>10540</v>
      </c>
      <c r="AD2554" s="77" t="s">
        <v>10620</v>
      </c>
      <c r="AE2554" s="83" t="str">
        <f>HYPERLINK("https://twitter.com/eyrnews/status/1670943868785704961")</f>
        <v>https://twitter.com/eyrnews/status/1670943868785704961</v>
      </c>
      <c r="AF2554" s="79">
        <v>45096.998113425929</v>
      </c>
      <c r="AG2554" s="85">
        <v>45096</v>
      </c>
      <c r="AH2554" s="80" t="s">
        <v>12872</v>
      </c>
      <c r="AI2554" s="77" t="b">
        <v>0</v>
      </c>
      <c r="AJ2554" s="77"/>
      <c r="AK2554" s="77"/>
      <c r="AL2554" s="77"/>
      <c r="AM2554" s="77"/>
      <c r="AN2554" s="77"/>
      <c r="AO2554" s="77"/>
      <c r="AP2554" s="77"/>
      <c r="AQ2554" s="77" t="s">
        <v>15291</v>
      </c>
      <c r="AR2554" s="77"/>
      <c r="AS2554" s="77"/>
      <c r="AT2554" s="77"/>
      <c r="AU2554" s="77"/>
      <c r="AV2554" s="83" t="str">
        <f>HYPERLINK("https://pbs.twimg.com/media/FzBil8oXoAElUC-.jpg")</f>
        <v>https://pbs.twimg.com/media/FzBil8oXoAElUC-.jpg</v>
      </c>
      <c r="AW2554" s="80" t="s">
        <v>18344</v>
      </c>
      <c r="AX2554" s="80" t="s">
        <v>18344</v>
      </c>
      <c r="AY2554" s="77"/>
      <c r="AZ2554" s="80" t="s">
        <v>20380</v>
      </c>
      <c r="BA2554" s="80" t="s">
        <v>20380</v>
      </c>
      <c r="BB2554" s="80" t="s">
        <v>20380</v>
      </c>
      <c r="BC2554" s="80" t="s">
        <v>18344</v>
      </c>
      <c r="BD2554" s="80" t="s">
        <v>20907</v>
      </c>
      <c r="BE2554" s="77"/>
      <c r="BF2554" s="77"/>
      <c r="BG2554" s="77"/>
      <c r="BH2554" s="77"/>
      <c r="BI2554" s="77"/>
    </row>
    <row r="2555" spans="1:61" x14ac:dyDescent="0.25">
      <c r="A2555" s="62" t="s">
        <v>1066</v>
      </c>
      <c r="B2555" s="62" t="s">
        <v>1066</v>
      </c>
      <c r="C2555" s="63"/>
      <c r="D2555" s="64"/>
      <c r="E2555" s="65"/>
      <c r="F2555" s="66"/>
      <c r="G2555" s="63"/>
      <c r="H2555" s="67"/>
      <c r="I2555" s="68"/>
      <c r="J2555" s="68"/>
      <c r="K2555" s="32"/>
      <c r="L2555" s="75">
        <v>2555</v>
      </c>
      <c r="M2555" s="75"/>
      <c r="N2555" s="70"/>
      <c r="O2555" s="77" t="s">
        <v>179</v>
      </c>
      <c r="P2555" s="79">
        <v>45096.919212962966</v>
      </c>
      <c r="Q2555" s="77" t="s">
        <v>4338</v>
      </c>
      <c r="R2555" s="77">
        <v>0</v>
      </c>
      <c r="S2555" s="77">
        <v>0</v>
      </c>
      <c r="T2555" s="77">
        <v>0</v>
      </c>
      <c r="U2555" s="77">
        <v>0</v>
      </c>
      <c r="V2555" s="77">
        <v>17</v>
      </c>
      <c r="W2555" s="80" t="s">
        <v>6242</v>
      </c>
      <c r="X2555" s="83" t="str">
        <f>HYPERLINK("https://estrellasyredes.net/?p=74926")</f>
        <v>https://estrellasyredes.net/?p=74926</v>
      </c>
      <c r="Y2555" s="77" t="s">
        <v>8668</v>
      </c>
      <c r="Z2555" s="77"/>
      <c r="AA2555" s="77" t="s">
        <v>9810</v>
      </c>
      <c r="AB2555" s="77" t="s">
        <v>10535</v>
      </c>
      <c r="AC2555" s="80" t="s">
        <v>10540</v>
      </c>
      <c r="AD2555" s="77" t="s">
        <v>10620</v>
      </c>
      <c r="AE2555" s="83" t="str">
        <f>HYPERLINK("https://twitter.com/eyrnews/status/1670915275754029058")</f>
        <v>https://twitter.com/eyrnews/status/1670915275754029058</v>
      </c>
      <c r="AF2555" s="79">
        <v>45096.919212962966</v>
      </c>
      <c r="AG2555" s="85">
        <v>45096</v>
      </c>
      <c r="AH2555" s="80" t="s">
        <v>12873</v>
      </c>
      <c r="AI2555" s="77" t="b">
        <v>0</v>
      </c>
      <c r="AJ2555" s="77"/>
      <c r="AK2555" s="77"/>
      <c r="AL2555" s="77"/>
      <c r="AM2555" s="77"/>
      <c r="AN2555" s="77"/>
      <c r="AO2555" s="77"/>
      <c r="AP2555" s="77"/>
      <c r="AQ2555" s="77" t="s">
        <v>15292</v>
      </c>
      <c r="AR2555" s="77"/>
      <c r="AS2555" s="77"/>
      <c r="AT2555" s="77"/>
      <c r="AU2555" s="77"/>
      <c r="AV2555" s="83" t="str">
        <f>HYPERLINK("https://pbs.twimg.com/media/FzBIlrtXsAIGZyr.jpg")</f>
        <v>https://pbs.twimg.com/media/FzBIlrtXsAIGZyr.jpg</v>
      </c>
      <c r="AW2555" s="80" t="s">
        <v>18345</v>
      </c>
      <c r="AX2555" s="80" t="s">
        <v>18345</v>
      </c>
      <c r="AY2555" s="77"/>
      <c r="AZ2555" s="80" t="s">
        <v>20380</v>
      </c>
      <c r="BA2555" s="80" t="s">
        <v>20380</v>
      </c>
      <c r="BB2555" s="80" t="s">
        <v>20380</v>
      </c>
      <c r="BC2555" s="80" t="s">
        <v>18345</v>
      </c>
      <c r="BD2555" s="80" t="s">
        <v>20907</v>
      </c>
      <c r="BE2555" s="77"/>
      <c r="BF2555" s="77"/>
      <c r="BG2555" s="77"/>
      <c r="BH2555" s="77"/>
      <c r="BI2555" s="77"/>
    </row>
    <row r="2556" spans="1:61" x14ac:dyDescent="0.25">
      <c r="A2556" s="62" t="s">
        <v>1066</v>
      </c>
      <c r="B2556" s="62" t="s">
        <v>1066</v>
      </c>
      <c r="C2556" s="63"/>
      <c r="D2556" s="64"/>
      <c r="E2556" s="65"/>
      <c r="F2556" s="66"/>
      <c r="G2556" s="63"/>
      <c r="H2556" s="67"/>
      <c r="I2556" s="68"/>
      <c r="J2556" s="68"/>
      <c r="K2556" s="32"/>
      <c r="L2556" s="75">
        <v>2556</v>
      </c>
      <c r="M2556" s="75"/>
      <c r="N2556" s="70"/>
      <c r="O2556" s="77" t="s">
        <v>179</v>
      </c>
      <c r="P2556" s="79">
        <v>45130.108020833337</v>
      </c>
      <c r="Q2556" s="77" t="s">
        <v>4339</v>
      </c>
      <c r="R2556" s="77">
        <v>1</v>
      </c>
      <c r="S2556" s="77">
        <v>1</v>
      </c>
      <c r="T2556" s="77">
        <v>0</v>
      </c>
      <c r="U2556" s="77">
        <v>0</v>
      </c>
      <c r="V2556" s="77">
        <v>12</v>
      </c>
      <c r="W2556" s="80" t="s">
        <v>7507</v>
      </c>
      <c r="X2556" s="83" t="str">
        <f>HYPERLINK("https://estrellasyredes.net/?p=77007")</f>
        <v>https://estrellasyredes.net/?p=77007</v>
      </c>
      <c r="Y2556" s="77" t="s">
        <v>8668</v>
      </c>
      <c r="Z2556" s="77"/>
      <c r="AA2556" s="77" t="s">
        <v>9811</v>
      </c>
      <c r="AB2556" s="77" t="s">
        <v>10535</v>
      </c>
      <c r="AC2556" s="80" t="s">
        <v>10540</v>
      </c>
      <c r="AD2556" s="77" t="s">
        <v>10620</v>
      </c>
      <c r="AE2556" s="83" t="str">
        <f>HYPERLINK("https://twitter.com/eyrnews/status/1682942498455388161")</f>
        <v>https://twitter.com/eyrnews/status/1682942498455388161</v>
      </c>
      <c r="AF2556" s="79">
        <v>45130.108020833337</v>
      </c>
      <c r="AG2556" s="85">
        <v>45130</v>
      </c>
      <c r="AH2556" s="80" t="s">
        <v>12874</v>
      </c>
      <c r="AI2556" s="77" t="b">
        <v>0</v>
      </c>
      <c r="AJ2556" s="77"/>
      <c r="AK2556" s="77"/>
      <c r="AL2556" s="77"/>
      <c r="AM2556" s="77"/>
      <c r="AN2556" s="77"/>
      <c r="AO2556" s="77"/>
      <c r="AP2556" s="77"/>
      <c r="AQ2556" s="77" t="s">
        <v>15293</v>
      </c>
      <c r="AR2556" s="77"/>
      <c r="AS2556" s="77"/>
      <c r="AT2556" s="77"/>
      <c r="AU2556" s="77"/>
      <c r="AV2556" s="83" t="str">
        <f>HYPERLINK("https://pbs.twimg.com/media/F1sDSMRXgAAtzLJ.jpg")</f>
        <v>https://pbs.twimg.com/media/F1sDSMRXgAAtzLJ.jpg</v>
      </c>
      <c r="AW2556" s="80" t="s">
        <v>18346</v>
      </c>
      <c r="AX2556" s="80" t="s">
        <v>18346</v>
      </c>
      <c r="AY2556" s="77"/>
      <c r="AZ2556" s="80" t="s">
        <v>20380</v>
      </c>
      <c r="BA2556" s="80" t="s">
        <v>20380</v>
      </c>
      <c r="BB2556" s="80" t="s">
        <v>20380</v>
      </c>
      <c r="BC2556" s="80" t="s">
        <v>18346</v>
      </c>
      <c r="BD2556" s="80" t="s">
        <v>20907</v>
      </c>
      <c r="BE2556" s="77"/>
      <c r="BF2556" s="77"/>
      <c r="BG2556" s="77"/>
      <c r="BH2556" s="77"/>
      <c r="BI2556" s="77"/>
    </row>
    <row r="2557" spans="1:61" x14ac:dyDescent="0.25">
      <c r="A2557" s="62" t="s">
        <v>1066</v>
      </c>
      <c r="B2557" s="62" t="s">
        <v>1066</v>
      </c>
      <c r="C2557" s="63"/>
      <c r="D2557" s="64"/>
      <c r="E2557" s="65"/>
      <c r="F2557" s="66"/>
      <c r="G2557" s="63"/>
      <c r="H2557" s="67"/>
      <c r="I2557" s="68"/>
      <c r="J2557" s="68"/>
      <c r="K2557" s="32"/>
      <c r="L2557" s="75">
        <v>2557</v>
      </c>
      <c r="M2557" s="75"/>
      <c r="N2557" s="70"/>
      <c r="O2557" s="77" t="s">
        <v>179</v>
      </c>
      <c r="P2557" s="79">
        <v>45138.934050925927</v>
      </c>
      <c r="Q2557" s="77" t="s">
        <v>4340</v>
      </c>
      <c r="R2557" s="77">
        <v>1</v>
      </c>
      <c r="S2557" s="77">
        <v>1</v>
      </c>
      <c r="T2557" s="77">
        <v>0</v>
      </c>
      <c r="U2557" s="77">
        <v>0</v>
      </c>
      <c r="V2557" s="77">
        <v>16</v>
      </c>
      <c r="W2557" s="80" t="s">
        <v>6243</v>
      </c>
      <c r="X2557" s="83" t="str">
        <f>HYPERLINK("https://estrellasyredes.net/?p=77521")</f>
        <v>https://estrellasyredes.net/?p=77521</v>
      </c>
      <c r="Y2557" s="77" t="s">
        <v>8668</v>
      </c>
      <c r="Z2557" s="77"/>
      <c r="AA2557" s="77" t="s">
        <v>9812</v>
      </c>
      <c r="AB2557" s="77" t="s">
        <v>10535</v>
      </c>
      <c r="AC2557" s="80" t="s">
        <v>10540</v>
      </c>
      <c r="AD2557" s="77" t="s">
        <v>10620</v>
      </c>
      <c r="AE2557" s="83" t="str">
        <f>HYPERLINK("https://twitter.com/eyrnews/status/1686140942183460865")</f>
        <v>https://twitter.com/eyrnews/status/1686140942183460865</v>
      </c>
      <c r="AF2557" s="79">
        <v>45138.934050925927</v>
      </c>
      <c r="AG2557" s="85">
        <v>45138</v>
      </c>
      <c r="AH2557" s="80" t="s">
        <v>12875</v>
      </c>
      <c r="AI2557" s="77" t="b">
        <v>0</v>
      </c>
      <c r="AJ2557" s="77"/>
      <c r="AK2557" s="77"/>
      <c r="AL2557" s="77"/>
      <c r="AM2557" s="77"/>
      <c r="AN2557" s="77"/>
      <c r="AO2557" s="77"/>
      <c r="AP2557" s="77"/>
      <c r="AQ2557" s="77" t="s">
        <v>15294</v>
      </c>
      <c r="AR2557" s="77"/>
      <c r="AS2557" s="77"/>
      <c r="AT2557" s="77"/>
      <c r="AU2557" s="77"/>
      <c r="AV2557" s="83" t="str">
        <f>HYPERLINK("https://pbs.twimg.com/media/F2ZgQEoXAAATGE7.jpg")</f>
        <v>https://pbs.twimg.com/media/F2ZgQEoXAAATGE7.jpg</v>
      </c>
      <c r="AW2557" s="80" t="s">
        <v>18347</v>
      </c>
      <c r="AX2557" s="80" t="s">
        <v>18347</v>
      </c>
      <c r="AY2557" s="77"/>
      <c r="AZ2557" s="80" t="s">
        <v>20380</v>
      </c>
      <c r="BA2557" s="80" t="s">
        <v>20380</v>
      </c>
      <c r="BB2557" s="80" t="s">
        <v>20380</v>
      </c>
      <c r="BC2557" s="80" t="s">
        <v>18347</v>
      </c>
      <c r="BD2557" s="80" t="s">
        <v>20907</v>
      </c>
      <c r="BE2557" s="77"/>
      <c r="BF2557" s="77"/>
      <c r="BG2557" s="77"/>
      <c r="BH2557" s="77"/>
      <c r="BI2557" s="77"/>
    </row>
    <row r="2558" spans="1:61" x14ac:dyDescent="0.25">
      <c r="A2558" s="62" t="s">
        <v>1066</v>
      </c>
      <c r="B2558" s="62" t="s">
        <v>1066</v>
      </c>
      <c r="C2558" s="63"/>
      <c r="D2558" s="64"/>
      <c r="E2558" s="65"/>
      <c r="F2558" s="66"/>
      <c r="G2558" s="63"/>
      <c r="H2558" s="67"/>
      <c r="I2558" s="68"/>
      <c r="J2558" s="68"/>
      <c r="K2558" s="32"/>
      <c r="L2558" s="75">
        <v>2558</v>
      </c>
      <c r="M2558" s="75"/>
      <c r="N2558" s="70"/>
      <c r="O2558" s="77" t="s">
        <v>179</v>
      </c>
      <c r="P2558" s="79">
        <v>45110.912870370368</v>
      </c>
      <c r="Q2558" s="77" t="s">
        <v>4341</v>
      </c>
      <c r="R2558" s="77">
        <v>0</v>
      </c>
      <c r="S2558" s="77">
        <v>0</v>
      </c>
      <c r="T2558" s="77">
        <v>0</v>
      </c>
      <c r="U2558" s="77">
        <v>0</v>
      </c>
      <c r="V2558" s="77">
        <v>12</v>
      </c>
      <c r="W2558" s="80" t="s">
        <v>7507</v>
      </c>
      <c r="X2558" s="83" t="str">
        <f>HYPERLINK("https://estrellasyredes.net/?p=75733")</f>
        <v>https://estrellasyredes.net/?p=75733</v>
      </c>
      <c r="Y2558" s="77" t="s">
        <v>8668</v>
      </c>
      <c r="Z2558" s="77"/>
      <c r="AA2558" s="77" t="s">
        <v>9813</v>
      </c>
      <c r="AB2558" s="77" t="s">
        <v>10535</v>
      </c>
      <c r="AC2558" s="80" t="s">
        <v>10540</v>
      </c>
      <c r="AD2558" s="77" t="s">
        <v>10620</v>
      </c>
      <c r="AE2558" s="83" t="str">
        <f>HYPERLINK("https://twitter.com/eyrnews/status/1675986406269759493")</f>
        <v>https://twitter.com/eyrnews/status/1675986406269759493</v>
      </c>
      <c r="AF2558" s="79">
        <v>45110.912870370368</v>
      </c>
      <c r="AG2558" s="85">
        <v>45110</v>
      </c>
      <c r="AH2558" s="80" t="s">
        <v>12876</v>
      </c>
      <c r="AI2558" s="77" t="b">
        <v>0</v>
      </c>
      <c r="AJ2558" s="77"/>
      <c r="AK2558" s="77"/>
      <c r="AL2558" s="77"/>
      <c r="AM2558" s="77"/>
      <c r="AN2558" s="77"/>
      <c r="AO2558" s="77"/>
      <c r="AP2558" s="77"/>
      <c r="AQ2558" s="77" t="s">
        <v>15295</v>
      </c>
      <c r="AR2558" s="77"/>
      <c r="AS2558" s="77"/>
      <c r="AT2558" s="77"/>
      <c r="AU2558" s="77"/>
      <c r="AV2558" s="83" t="str">
        <f>HYPERLINK("https://pbs.twimg.com/media/F0JMwRjWcAAR9sp.jpg")</f>
        <v>https://pbs.twimg.com/media/F0JMwRjWcAAR9sp.jpg</v>
      </c>
      <c r="AW2558" s="80" t="s">
        <v>18348</v>
      </c>
      <c r="AX2558" s="80" t="s">
        <v>18348</v>
      </c>
      <c r="AY2558" s="77"/>
      <c r="AZ2558" s="80" t="s">
        <v>20380</v>
      </c>
      <c r="BA2558" s="80" t="s">
        <v>20380</v>
      </c>
      <c r="BB2558" s="80" t="s">
        <v>20380</v>
      </c>
      <c r="BC2558" s="80" t="s">
        <v>18348</v>
      </c>
      <c r="BD2558" s="80" t="s">
        <v>20907</v>
      </c>
      <c r="BE2558" s="77"/>
      <c r="BF2558" s="77"/>
      <c r="BG2558" s="77"/>
      <c r="BH2558" s="77"/>
      <c r="BI2558" s="77"/>
    </row>
    <row r="2559" spans="1:61" x14ac:dyDescent="0.25">
      <c r="A2559" s="62" t="s">
        <v>1066</v>
      </c>
      <c r="B2559" s="62" t="s">
        <v>1066</v>
      </c>
      <c r="C2559" s="63"/>
      <c r="D2559" s="64"/>
      <c r="E2559" s="65"/>
      <c r="F2559" s="66"/>
      <c r="G2559" s="63"/>
      <c r="H2559" s="67"/>
      <c r="I2559" s="68"/>
      <c r="J2559" s="68"/>
      <c r="K2559" s="32"/>
      <c r="L2559" s="75">
        <v>2559</v>
      </c>
      <c r="M2559" s="75"/>
      <c r="N2559" s="70"/>
      <c r="O2559" s="77" t="s">
        <v>179</v>
      </c>
      <c r="P2559" s="79">
        <v>45174.906851851854</v>
      </c>
      <c r="Q2559" s="77" t="s">
        <v>4342</v>
      </c>
      <c r="R2559" s="77">
        <v>0</v>
      </c>
      <c r="S2559" s="77">
        <v>0</v>
      </c>
      <c r="T2559" s="77">
        <v>0</v>
      </c>
      <c r="U2559" s="77">
        <v>0</v>
      </c>
      <c r="V2559" s="77">
        <v>13</v>
      </c>
      <c r="W2559" s="80" t="s">
        <v>6242</v>
      </c>
      <c r="X2559" s="83" t="str">
        <f>HYPERLINK("https://estrellasyredes.net/?p=79584")</f>
        <v>https://estrellasyredes.net/?p=79584</v>
      </c>
      <c r="Y2559" s="77" t="s">
        <v>8668</v>
      </c>
      <c r="Z2559" s="77"/>
      <c r="AA2559" s="77" t="s">
        <v>9814</v>
      </c>
      <c r="AB2559" s="77" t="s">
        <v>10535</v>
      </c>
      <c r="AC2559" s="80" t="s">
        <v>10540</v>
      </c>
      <c r="AD2559" s="77" t="s">
        <v>10620</v>
      </c>
      <c r="AE2559" s="83" t="str">
        <f>HYPERLINK("https://twitter.com/eyrnews/status/1699177050609746087")</f>
        <v>https://twitter.com/eyrnews/status/1699177050609746087</v>
      </c>
      <c r="AF2559" s="79">
        <v>45174.906851851854</v>
      </c>
      <c r="AG2559" s="85">
        <v>45174</v>
      </c>
      <c r="AH2559" s="80" t="s">
        <v>12877</v>
      </c>
      <c r="AI2559" s="77" t="b">
        <v>0</v>
      </c>
      <c r="AJ2559" s="77"/>
      <c r="AK2559" s="77"/>
      <c r="AL2559" s="77"/>
      <c r="AM2559" s="77"/>
      <c r="AN2559" s="77"/>
      <c r="AO2559" s="77"/>
      <c r="AP2559" s="77"/>
      <c r="AQ2559" s="77" t="s">
        <v>15296</v>
      </c>
      <c r="AR2559" s="77"/>
      <c r="AS2559" s="77"/>
      <c r="AT2559" s="77"/>
      <c r="AU2559" s="77"/>
      <c r="AV2559" s="83" t="str">
        <f>HYPERLINK("https://pbs.twimg.com/media/F5Swhd4WkAA95rx.jpg")</f>
        <v>https://pbs.twimg.com/media/F5Swhd4WkAA95rx.jpg</v>
      </c>
      <c r="AW2559" s="80" t="s">
        <v>18349</v>
      </c>
      <c r="AX2559" s="80" t="s">
        <v>18349</v>
      </c>
      <c r="AY2559" s="77"/>
      <c r="AZ2559" s="80" t="s">
        <v>20380</v>
      </c>
      <c r="BA2559" s="80" t="s">
        <v>20380</v>
      </c>
      <c r="BB2559" s="80" t="s">
        <v>20380</v>
      </c>
      <c r="BC2559" s="80" t="s">
        <v>18349</v>
      </c>
      <c r="BD2559" s="80" t="s">
        <v>20907</v>
      </c>
      <c r="BE2559" s="77"/>
      <c r="BF2559" s="77"/>
      <c r="BG2559" s="77"/>
      <c r="BH2559" s="77"/>
      <c r="BI2559" s="77"/>
    </row>
    <row r="2560" spans="1:61" x14ac:dyDescent="0.25">
      <c r="A2560" s="62" t="s">
        <v>1066</v>
      </c>
      <c r="B2560" s="62" t="s">
        <v>1066</v>
      </c>
      <c r="C2560" s="63"/>
      <c r="D2560" s="64"/>
      <c r="E2560" s="65"/>
      <c r="F2560" s="66"/>
      <c r="G2560" s="63"/>
      <c r="H2560" s="67"/>
      <c r="I2560" s="68"/>
      <c r="J2560" s="68"/>
      <c r="K2560" s="32"/>
      <c r="L2560" s="75">
        <v>2560</v>
      </c>
      <c r="M2560" s="75"/>
      <c r="N2560" s="70"/>
      <c r="O2560" s="77" t="s">
        <v>179</v>
      </c>
      <c r="P2560" s="79">
        <v>45106.854641203703</v>
      </c>
      <c r="Q2560" s="77" t="s">
        <v>4343</v>
      </c>
      <c r="R2560" s="77">
        <v>0</v>
      </c>
      <c r="S2560" s="77">
        <v>0</v>
      </c>
      <c r="T2560" s="77">
        <v>0</v>
      </c>
      <c r="U2560" s="77">
        <v>0</v>
      </c>
      <c r="V2560" s="77">
        <v>7</v>
      </c>
      <c r="W2560" s="80" t="s">
        <v>6243</v>
      </c>
      <c r="X2560" s="83" t="str">
        <f>HYPERLINK("https://estrellasyredes.net/?p=75551")</f>
        <v>https://estrellasyredes.net/?p=75551</v>
      </c>
      <c r="Y2560" s="77" t="s">
        <v>8668</v>
      </c>
      <c r="Z2560" s="77"/>
      <c r="AA2560" s="77" t="s">
        <v>9815</v>
      </c>
      <c r="AB2560" s="77" t="s">
        <v>10535</v>
      </c>
      <c r="AC2560" s="80" t="s">
        <v>10540</v>
      </c>
      <c r="AD2560" s="77" t="s">
        <v>10620</v>
      </c>
      <c r="AE2560" s="83" t="str">
        <f>HYPERLINK("https://twitter.com/eyrnews/status/1674515755004579840")</f>
        <v>https://twitter.com/eyrnews/status/1674515755004579840</v>
      </c>
      <c r="AF2560" s="79">
        <v>45106.854641203703</v>
      </c>
      <c r="AG2560" s="85">
        <v>45106</v>
      </c>
      <c r="AH2560" s="80" t="s">
        <v>12878</v>
      </c>
      <c r="AI2560" s="77" t="b">
        <v>0</v>
      </c>
      <c r="AJ2560" s="77"/>
      <c r="AK2560" s="77"/>
      <c r="AL2560" s="77"/>
      <c r="AM2560" s="77"/>
      <c r="AN2560" s="77"/>
      <c r="AO2560" s="77"/>
      <c r="AP2560" s="77"/>
      <c r="AQ2560" s="77" t="s">
        <v>15297</v>
      </c>
      <c r="AR2560" s="77"/>
      <c r="AS2560" s="77"/>
      <c r="AT2560" s="77"/>
      <c r="AU2560" s="77"/>
      <c r="AV2560" s="83" t="str">
        <f>HYPERLINK("https://pbs.twimg.com/media/Fz0TNJ3WYAAVvnH.jpg")</f>
        <v>https://pbs.twimg.com/media/Fz0TNJ3WYAAVvnH.jpg</v>
      </c>
      <c r="AW2560" s="80" t="s">
        <v>18350</v>
      </c>
      <c r="AX2560" s="80" t="s">
        <v>18350</v>
      </c>
      <c r="AY2560" s="77"/>
      <c r="AZ2560" s="80" t="s">
        <v>20380</v>
      </c>
      <c r="BA2560" s="80" t="s">
        <v>20380</v>
      </c>
      <c r="BB2560" s="80" t="s">
        <v>20380</v>
      </c>
      <c r="BC2560" s="80" t="s">
        <v>18350</v>
      </c>
      <c r="BD2560" s="80" t="s">
        <v>20907</v>
      </c>
      <c r="BE2560" s="77"/>
      <c r="BF2560" s="77"/>
      <c r="BG2560" s="77"/>
      <c r="BH2560" s="77"/>
      <c r="BI2560" s="77"/>
    </row>
    <row r="2561" spans="1:61" x14ac:dyDescent="0.25">
      <c r="A2561" s="62" t="s">
        <v>1066</v>
      </c>
      <c r="B2561" s="62" t="s">
        <v>1066</v>
      </c>
      <c r="C2561" s="63"/>
      <c r="D2561" s="64"/>
      <c r="E2561" s="65"/>
      <c r="F2561" s="66"/>
      <c r="G2561" s="63"/>
      <c r="H2561" s="67"/>
      <c r="I2561" s="68"/>
      <c r="J2561" s="68"/>
      <c r="K2561" s="32"/>
      <c r="L2561" s="75">
        <v>2561</v>
      </c>
      <c r="M2561" s="75"/>
      <c r="N2561" s="70"/>
      <c r="O2561" s="77" t="s">
        <v>179</v>
      </c>
      <c r="P2561" s="79">
        <v>45177.566678240742</v>
      </c>
      <c r="Q2561" s="77" t="s">
        <v>4344</v>
      </c>
      <c r="R2561" s="77">
        <v>0</v>
      </c>
      <c r="S2561" s="77">
        <v>0</v>
      </c>
      <c r="T2561" s="77">
        <v>0</v>
      </c>
      <c r="U2561" s="77">
        <v>0</v>
      </c>
      <c r="V2561" s="77">
        <v>17</v>
      </c>
      <c r="W2561" s="80" t="s">
        <v>6243</v>
      </c>
      <c r="X2561" s="83" t="str">
        <f>HYPERLINK("https://estrellasyredes.net/?p=79674")</f>
        <v>https://estrellasyredes.net/?p=79674</v>
      </c>
      <c r="Y2561" s="77" t="s">
        <v>8668</v>
      </c>
      <c r="Z2561" s="77"/>
      <c r="AA2561" s="77" t="s">
        <v>9816</v>
      </c>
      <c r="AB2561" s="77" t="s">
        <v>10535</v>
      </c>
      <c r="AC2561" s="80" t="s">
        <v>10540</v>
      </c>
      <c r="AD2561" s="77" t="s">
        <v>10620</v>
      </c>
      <c r="AE2561" s="83" t="str">
        <f>HYPERLINK("https://twitter.com/eyrnews/status/1700140938520154251")</f>
        <v>https://twitter.com/eyrnews/status/1700140938520154251</v>
      </c>
      <c r="AF2561" s="79">
        <v>45177.566678240742</v>
      </c>
      <c r="AG2561" s="85">
        <v>45177</v>
      </c>
      <c r="AH2561" s="80" t="s">
        <v>12879</v>
      </c>
      <c r="AI2561" s="77" t="b">
        <v>0</v>
      </c>
      <c r="AJ2561" s="77"/>
      <c r="AK2561" s="77"/>
      <c r="AL2561" s="77"/>
      <c r="AM2561" s="77"/>
      <c r="AN2561" s="77"/>
      <c r="AO2561" s="77"/>
      <c r="AP2561" s="77"/>
      <c r="AQ2561" s="77" t="s">
        <v>15298</v>
      </c>
      <c r="AR2561" s="77"/>
      <c r="AS2561" s="77"/>
      <c r="AT2561" s="77"/>
      <c r="AU2561" s="77"/>
      <c r="AV2561" s="83" t="str">
        <f>HYPERLINK("https://pbs.twimg.com/media/F5gdLHnXMAAQ0l1.jpg")</f>
        <v>https://pbs.twimg.com/media/F5gdLHnXMAAQ0l1.jpg</v>
      </c>
      <c r="AW2561" s="80" t="s">
        <v>18351</v>
      </c>
      <c r="AX2561" s="80" t="s">
        <v>18351</v>
      </c>
      <c r="AY2561" s="77"/>
      <c r="AZ2561" s="80" t="s">
        <v>20380</v>
      </c>
      <c r="BA2561" s="80" t="s">
        <v>20380</v>
      </c>
      <c r="BB2561" s="80" t="s">
        <v>20380</v>
      </c>
      <c r="BC2561" s="80" t="s">
        <v>18351</v>
      </c>
      <c r="BD2561" s="80" t="s">
        <v>20907</v>
      </c>
      <c r="BE2561" s="77"/>
      <c r="BF2561" s="77"/>
      <c r="BG2561" s="77"/>
      <c r="BH2561" s="77"/>
      <c r="BI2561" s="77"/>
    </row>
    <row r="2562" spans="1:61" x14ac:dyDescent="0.25">
      <c r="A2562" s="62" t="s">
        <v>1066</v>
      </c>
      <c r="B2562" s="62" t="s">
        <v>1066</v>
      </c>
      <c r="C2562" s="63"/>
      <c r="D2562" s="64"/>
      <c r="E2562" s="65"/>
      <c r="F2562" s="66"/>
      <c r="G2562" s="63"/>
      <c r="H2562" s="67"/>
      <c r="I2562" s="68"/>
      <c r="J2562" s="68"/>
      <c r="K2562" s="32"/>
      <c r="L2562" s="75">
        <v>2562</v>
      </c>
      <c r="M2562" s="75"/>
      <c r="N2562" s="70"/>
      <c r="O2562" s="77" t="s">
        <v>179</v>
      </c>
      <c r="P2562" s="79">
        <v>45169.778645833336</v>
      </c>
      <c r="Q2562" s="77" t="s">
        <v>4345</v>
      </c>
      <c r="R2562" s="77">
        <v>0</v>
      </c>
      <c r="S2562" s="77">
        <v>0</v>
      </c>
      <c r="T2562" s="77">
        <v>0</v>
      </c>
      <c r="U2562" s="77">
        <v>0</v>
      </c>
      <c r="V2562" s="77">
        <v>20</v>
      </c>
      <c r="W2562" s="80" t="s">
        <v>6243</v>
      </c>
      <c r="X2562" s="83" t="str">
        <f>HYPERLINK("https://estrellasyredes.net/?p=79339")</f>
        <v>https://estrellasyredes.net/?p=79339</v>
      </c>
      <c r="Y2562" s="77" t="s">
        <v>8668</v>
      </c>
      <c r="Z2562" s="77"/>
      <c r="AA2562" s="77" t="s">
        <v>9817</v>
      </c>
      <c r="AB2562" s="77" t="s">
        <v>10535</v>
      </c>
      <c r="AC2562" s="80" t="s">
        <v>10540</v>
      </c>
      <c r="AD2562" s="77" t="s">
        <v>10620</v>
      </c>
      <c r="AE2562" s="83" t="str">
        <f>HYPERLINK("https://twitter.com/eyrnews/status/1697318649613132195")</f>
        <v>https://twitter.com/eyrnews/status/1697318649613132195</v>
      </c>
      <c r="AF2562" s="79">
        <v>45169.778645833336</v>
      </c>
      <c r="AG2562" s="85">
        <v>45169</v>
      </c>
      <c r="AH2562" s="80" t="s">
        <v>12880</v>
      </c>
      <c r="AI2562" s="77" t="b">
        <v>0</v>
      </c>
      <c r="AJ2562" s="77"/>
      <c r="AK2562" s="77"/>
      <c r="AL2562" s="77"/>
      <c r="AM2562" s="77"/>
      <c r="AN2562" s="77"/>
      <c r="AO2562" s="77"/>
      <c r="AP2562" s="77"/>
      <c r="AQ2562" s="77" t="s">
        <v>15299</v>
      </c>
      <c r="AR2562" s="77"/>
      <c r="AS2562" s="77"/>
      <c r="AT2562" s="77"/>
      <c r="AU2562" s="77"/>
      <c r="AV2562" s="83" t="str">
        <f>HYPERLINK("https://pbs.twimg.com/media/F44WUUfWsAA2PF6.jpg")</f>
        <v>https://pbs.twimg.com/media/F44WUUfWsAA2PF6.jpg</v>
      </c>
      <c r="AW2562" s="80" t="s">
        <v>18352</v>
      </c>
      <c r="AX2562" s="80" t="s">
        <v>18352</v>
      </c>
      <c r="AY2562" s="77"/>
      <c r="AZ2562" s="80" t="s">
        <v>20380</v>
      </c>
      <c r="BA2562" s="80" t="s">
        <v>20380</v>
      </c>
      <c r="BB2562" s="80" t="s">
        <v>20380</v>
      </c>
      <c r="BC2562" s="80" t="s">
        <v>18352</v>
      </c>
      <c r="BD2562" s="80" t="s">
        <v>20907</v>
      </c>
      <c r="BE2562" s="77"/>
      <c r="BF2562" s="77"/>
      <c r="BG2562" s="77"/>
      <c r="BH2562" s="77"/>
      <c r="BI2562" s="77"/>
    </row>
    <row r="2563" spans="1:61" x14ac:dyDescent="0.25">
      <c r="A2563" s="62" t="s">
        <v>1067</v>
      </c>
      <c r="B2563" s="62" t="s">
        <v>1067</v>
      </c>
      <c r="C2563" s="63"/>
      <c r="D2563" s="64"/>
      <c r="E2563" s="65"/>
      <c r="F2563" s="66"/>
      <c r="G2563" s="63"/>
      <c r="H2563" s="67"/>
      <c r="I2563" s="68"/>
      <c r="J2563" s="68"/>
      <c r="K2563" s="32"/>
      <c r="L2563" s="75">
        <v>2563</v>
      </c>
      <c r="M2563" s="75"/>
      <c r="N2563" s="70"/>
      <c r="O2563" s="77" t="s">
        <v>179</v>
      </c>
      <c r="P2563" s="79">
        <v>45071.822604166664</v>
      </c>
      <c r="Q2563" s="77" t="s">
        <v>4346</v>
      </c>
      <c r="R2563" s="77">
        <v>0</v>
      </c>
      <c r="S2563" s="77">
        <v>0</v>
      </c>
      <c r="T2563" s="77">
        <v>0</v>
      </c>
      <c r="U2563" s="77">
        <v>0</v>
      </c>
      <c r="V2563" s="77">
        <v>29</v>
      </c>
      <c r="W2563" s="80" t="s">
        <v>7508</v>
      </c>
      <c r="X2563" s="83" t="str">
        <f>HYPERLINK("https://www.instagram.com/pcp_sanvicente/")</f>
        <v>https://www.instagram.com/pcp_sanvicente/</v>
      </c>
      <c r="Y2563" s="77" t="s">
        <v>8630</v>
      </c>
      <c r="Z2563" s="77"/>
      <c r="AA2563" s="77" t="s">
        <v>9818</v>
      </c>
      <c r="AB2563" s="77" t="s">
        <v>10534</v>
      </c>
      <c r="AC2563" s="80" t="s">
        <v>10541</v>
      </c>
      <c r="AD2563" s="77" t="s">
        <v>10619</v>
      </c>
      <c r="AE2563" s="83" t="str">
        <f>HYPERLINK("https://twitter.com/lla_sanvicente/status/1661820570005020682")</f>
        <v>https://twitter.com/lla_sanvicente/status/1661820570005020682</v>
      </c>
      <c r="AF2563" s="79">
        <v>45071.822604166664</v>
      </c>
      <c r="AG2563" s="85">
        <v>45071</v>
      </c>
      <c r="AH2563" s="80" t="s">
        <v>12881</v>
      </c>
      <c r="AI2563" s="77" t="b">
        <v>0</v>
      </c>
      <c r="AJ2563" s="77"/>
      <c r="AK2563" s="77"/>
      <c r="AL2563" s="77"/>
      <c r="AM2563" s="77"/>
      <c r="AN2563" s="77"/>
      <c r="AO2563" s="77"/>
      <c r="AP2563" s="77"/>
      <c r="AQ2563" s="77" t="s">
        <v>15300</v>
      </c>
      <c r="AR2563" s="77">
        <v>56593</v>
      </c>
      <c r="AS2563" s="77"/>
      <c r="AT2563" s="77"/>
      <c r="AU2563" s="77"/>
      <c r="AV2563" s="83" t="str">
        <f>HYPERLINK("https://pbs.twimg.com/ext_tw_video_thumb/1661820239565209601/pu/img/aO28aMVtN6cRxWmt.jpg")</f>
        <v>https://pbs.twimg.com/ext_tw_video_thumb/1661820239565209601/pu/img/aO28aMVtN6cRxWmt.jpg</v>
      </c>
      <c r="AW2563" s="80" t="s">
        <v>18353</v>
      </c>
      <c r="AX2563" s="80" t="s">
        <v>18353</v>
      </c>
      <c r="AY2563" s="77"/>
      <c r="AZ2563" s="80" t="s">
        <v>20380</v>
      </c>
      <c r="BA2563" s="80" t="s">
        <v>20380</v>
      </c>
      <c r="BB2563" s="80" t="s">
        <v>20380</v>
      </c>
      <c r="BC2563" s="80" t="s">
        <v>18353</v>
      </c>
      <c r="BD2563" s="80" t="s">
        <v>20908</v>
      </c>
      <c r="BE2563" s="77"/>
      <c r="BF2563" s="77"/>
      <c r="BG2563" s="77"/>
      <c r="BH2563" s="77"/>
      <c r="BI2563" s="77"/>
    </row>
    <row r="2564" spans="1:61" x14ac:dyDescent="0.25">
      <c r="A2564" s="62" t="s">
        <v>1068</v>
      </c>
      <c r="B2564" s="62" t="s">
        <v>1068</v>
      </c>
      <c r="C2564" s="63"/>
      <c r="D2564" s="64"/>
      <c r="E2564" s="65"/>
      <c r="F2564" s="66"/>
      <c r="G2564" s="63"/>
      <c r="H2564" s="67"/>
      <c r="I2564" s="68"/>
      <c r="J2564" s="68"/>
      <c r="K2564" s="32"/>
      <c r="L2564" s="75">
        <v>2564</v>
      </c>
      <c r="M2564" s="75"/>
      <c r="N2564" s="70"/>
      <c r="O2564" s="77" t="s">
        <v>179</v>
      </c>
      <c r="P2564" s="79">
        <v>45097.757453703707</v>
      </c>
      <c r="Q2564" s="77" t="s">
        <v>4347</v>
      </c>
      <c r="R2564" s="77">
        <v>0</v>
      </c>
      <c r="S2564" s="77">
        <v>2</v>
      </c>
      <c r="T2564" s="77">
        <v>0</v>
      </c>
      <c r="U2564" s="77">
        <v>0</v>
      </c>
      <c r="V2564" s="77">
        <v>68</v>
      </c>
      <c r="W2564" s="80" t="s">
        <v>7509</v>
      </c>
      <c r="X2564" s="77"/>
      <c r="Y2564" s="77"/>
      <c r="Z2564" s="77"/>
      <c r="AA2564" s="77" t="s">
        <v>9819</v>
      </c>
      <c r="AB2564" s="77" t="s">
        <v>10535</v>
      </c>
      <c r="AC2564" s="80" t="s">
        <v>10540</v>
      </c>
      <c r="AD2564" s="77" t="s">
        <v>10620</v>
      </c>
      <c r="AE2564" s="83" t="str">
        <f>HYPERLINK("https://twitter.com/karinaescritora/status/1671219045591396353")</f>
        <v>https://twitter.com/karinaescritora/status/1671219045591396353</v>
      </c>
      <c r="AF2564" s="79">
        <v>45097.757453703707</v>
      </c>
      <c r="AG2564" s="85">
        <v>45097</v>
      </c>
      <c r="AH2564" s="80" t="s">
        <v>12882</v>
      </c>
      <c r="AI2564" s="77" t="b">
        <v>0</v>
      </c>
      <c r="AJ2564" s="77"/>
      <c r="AK2564" s="77"/>
      <c r="AL2564" s="77"/>
      <c r="AM2564" s="77"/>
      <c r="AN2564" s="77"/>
      <c r="AO2564" s="77"/>
      <c r="AP2564" s="77"/>
      <c r="AQ2564" s="77" t="s">
        <v>15301</v>
      </c>
      <c r="AR2564" s="77"/>
      <c r="AS2564" s="77"/>
      <c r="AT2564" s="77"/>
      <c r="AU2564" s="77"/>
      <c r="AV2564" s="83" t="str">
        <f>HYPERLINK("https://pbs.twimg.com/media/FzFc3CSWAAEkeVP.jpg")</f>
        <v>https://pbs.twimg.com/media/FzFc3CSWAAEkeVP.jpg</v>
      </c>
      <c r="AW2564" s="80" t="s">
        <v>18354</v>
      </c>
      <c r="AX2564" s="80" t="s">
        <v>18354</v>
      </c>
      <c r="AY2564" s="77"/>
      <c r="AZ2564" s="80" t="s">
        <v>20380</v>
      </c>
      <c r="BA2564" s="80" t="s">
        <v>20380</v>
      </c>
      <c r="BB2564" s="80" t="s">
        <v>20380</v>
      </c>
      <c r="BC2564" s="80" t="s">
        <v>18354</v>
      </c>
      <c r="BD2564" s="80" t="s">
        <v>20909</v>
      </c>
      <c r="BE2564" s="77"/>
      <c r="BF2564" s="77"/>
      <c r="BG2564" s="77"/>
      <c r="BH2564" s="77"/>
      <c r="BI2564" s="77"/>
    </row>
    <row r="2565" spans="1:61" x14ac:dyDescent="0.25">
      <c r="A2565" s="62" t="s">
        <v>1068</v>
      </c>
      <c r="B2565" s="62" t="s">
        <v>1068</v>
      </c>
      <c r="C2565" s="63"/>
      <c r="D2565" s="64"/>
      <c r="E2565" s="65"/>
      <c r="F2565" s="66"/>
      <c r="G2565" s="63"/>
      <c r="H2565" s="67"/>
      <c r="I2565" s="68"/>
      <c r="J2565" s="68"/>
      <c r="K2565" s="32"/>
      <c r="L2565" s="75">
        <v>2565</v>
      </c>
      <c r="M2565" s="75"/>
      <c r="N2565" s="70"/>
      <c r="O2565" s="77" t="s">
        <v>179</v>
      </c>
      <c r="P2565" s="79">
        <v>45097.756701388891</v>
      </c>
      <c r="Q2565" s="77" t="s">
        <v>4348</v>
      </c>
      <c r="R2565" s="77">
        <v>0</v>
      </c>
      <c r="S2565" s="77">
        <v>0</v>
      </c>
      <c r="T2565" s="77">
        <v>0</v>
      </c>
      <c r="U2565" s="77">
        <v>0</v>
      </c>
      <c r="V2565" s="77">
        <v>60</v>
      </c>
      <c r="W2565" s="80" t="s">
        <v>7510</v>
      </c>
      <c r="X2565" s="77"/>
      <c r="Y2565" s="77"/>
      <c r="Z2565" s="77"/>
      <c r="AA2565" s="77" t="s">
        <v>9820</v>
      </c>
      <c r="AB2565" s="77" t="s">
        <v>10535</v>
      </c>
      <c r="AC2565" s="80" t="s">
        <v>10540</v>
      </c>
      <c r="AD2565" s="77" t="s">
        <v>10620</v>
      </c>
      <c r="AE2565" s="83" t="str">
        <f>HYPERLINK("https://twitter.com/karinaescritora/status/1671218770046582786")</f>
        <v>https://twitter.com/karinaescritora/status/1671218770046582786</v>
      </c>
      <c r="AF2565" s="79">
        <v>45097.756701388891</v>
      </c>
      <c r="AG2565" s="85">
        <v>45097</v>
      </c>
      <c r="AH2565" s="80" t="s">
        <v>12883</v>
      </c>
      <c r="AI2565" s="77" t="b">
        <v>0</v>
      </c>
      <c r="AJ2565" s="77"/>
      <c r="AK2565" s="77"/>
      <c r="AL2565" s="77"/>
      <c r="AM2565" s="77"/>
      <c r="AN2565" s="77"/>
      <c r="AO2565" s="77"/>
      <c r="AP2565" s="77"/>
      <c r="AQ2565" s="77" t="s">
        <v>15302</v>
      </c>
      <c r="AR2565" s="77"/>
      <c r="AS2565" s="77"/>
      <c r="AT2565" s="77"/>
      <c r="AU2565" s="77"/>
      <c r="AV2565" s="83" t="str">
        <f>HYPERLINK("https://pbs.twimg.com/media/FzFcnSPWABQ0H4t.jpg")</f>
        <v>https://pbs.twimg.com/media/FzFcnSPWABQ0H4t.jpg</v>
      </c>
      <c r="AW2565" s="80" t="s">
        <v>18355</v>
      </c>
      <c r="AX2565" s="80" t="s">
        <v>18355</v>
      </c>
      <c r="AY2565" s="77"/>
      <c r="AZ2565" s="80" t="s">
        <v>20380</v>
      </c>
      <c r="BA2565" s="80" t="s">
        <v>20380</v>
      </c>
      <c r="BB2565" s="80" t="s">
        <v>20380</v>
      </c>
      <c r="BC2565" s="80" t="s">
        <v>18355</v>
      </c>
      <c r="BD2565" s="80" t="s">
        <v>20909</v>
      </c>
      <c r="BE2565" s="77"/>
      <c r="BF2565" s="77"/>
      <c r="BG2565" s="77"/>
      <c r="BH2565" s="77"/>
      <c r="BI2565" s="77"/>
    </row>
    <row r="2566" spans="1:61" x14ac:dyDescent="0.25">
      <c r="A2566" s="62" t="s">
        <v>1068</v>
      </c>
      <c r="B2566" s="62" t="s">
        <v>1068</v>
      </c>
      <c r="C2566" s="63"/>
      <c r="D2566" s="64"/>
      <c r="E2566" s="65"/>
      <c r="F2566" s="66"/>
      <c r="G2566" s="63"/>
      <c r="H2566" s="67"/>
      <c r="I2566" s="68"/>
      <c r="J2566" s="68"/>
      <c r="K2566" s="32"/>
      <c r="L2566" s="75">
        <v>2566</v>
      </c>
      <c r="M2566" s="75"/>
      <c r="N2566" s="70"/>
      <c r="O2566" s="77" t="s">
        <v>179</v>
      </c>
      <c r="P2566" s="79">
        <v>45097.755590277775</v>
      </c>
      <c r="Q2566" s="77" t="s">
        <v>4349</v>
      </c>
      <c r="R2566" s="77">
        <v>0</v>
      </c>
      <c r="S2566" s="77">
        <v>0</v>
      </c>
      <c r="T2566" s="77">
        <v>0</v>
      </c>
      <c r="U2566" s="77">
        <v>0</v>
      </c>
      <c r="V2566" s="77">
        <v>57</v>
      </c>
      <c r="W2566" s="80" t="s">
        <v>7511</v>
      </c>
      <c r="X2566" s="77"/>
      <c r="Y2566" s="77"/>
      <c r="Z2566" s="77"/>
      <c r="AA2566" s="77" t="s">
        <v>9821</v>
      </c>
      <c r="AB2566" s="77" t="s">
        <v>10535</v>
      </c>
      <c r="AC2566" s="80" t="s">
        <v>10540</v>
      </c>
      <c r="AD2566" s="77" t="s">
        <v>10620</v>
      </c>
      <c r="AE2566" s="83" t="str">
        <f>HYPERLINK("https://twitter.com/karinaescritora/status/1671218368282492937")</f>
        <v>https://twitter.com/karinaescritora/status/1671218368282492937</v>
      </c>
      <c r="AF2566" s="79">
        <v>45097.755590277775</v>
      </c>
      <c r="AG2566" s="85">
        <v>45097</v>
      </c>
      <c r="AH2566" s="80" t="s">
        <v>12884</v>
      </c>
      <c r="AI2566" s="77" t="b">
        <v>0</v>
      </c>
      <c r="AJ2566" s="77"/>
      <c r="AK2566" s="77"/>
      <c r="AL2566" s="77"/>
      <c r="AM2566" s="77"/>
      <c r="AN2566" s="77"/>
      <c r="AO2566" s="77"/>
      <c r="AP2566" s="77"/>
      <c r="AQ2566" s="77" t="s">
        <v>15303</v>
      </c>
      <c r="AR2566" s="77"/>
      <c r="AS2566" s="77"/>
      <c r="AT2566" s="77"/>
      <c r="AU2566" s="77"/>
      <c r="AV2566" s="83" t="str">
        <f>HYPERLINK("https://pbs.twimg.com/media/FzFcPn5WAAUnMxr.jpg")</f>
        <v>https://pbs.twimg.com/media/FzFcPn5WAAUnMxr.jpg</v>
      </c>
      <c r="AW2566" s="80" t="s">
        <v>18356</v>
      </c>
      <c r="AX2566" s="80" t="s">
        <v>18356</v>
      </c>
      <c r="AY2566" s="77"/>
      <c r="AZ2566" s="80" t="s">
        <v>20380</v>
      </c>
      <c r="BA2566" s="80" t="s">
        <v>20380</v>
      </c>
      <c r="BB2566" s="80" t="s">
        <v>20380</v>
      </c>
      <c r="BC2566" s="80" t="s">
        <v>18356</v>
      </c>
      <c r="BD2566" s="80" t="s">
        <v>20909</v>
      </c>
      <c r="BE2566" s="77"/>
      <c r="BF2566" s="77"/>
      <c r="BG2566" s="77"/>
      <c r="BH2566" s="77"/>
      <c r="BI2566" s="77"/>
    </row>
    <row r="2567" spans="1:61" x14ac:dyDescent="0.25">
      <c r="A2567" s="62" t="s">
        <v>1069</v>
      </c>
      <c r="B2567" s="62" t="s">
        <v>1069</v>
      </c>
      <c r="C2567" s="63"/>
      <c r="D2567" s="64"/>
      <c r="E2567" s="65"/>
      <c r="F2567" s="66"/>
      <c r="G2567" s="63"/>
      <c r="H2567" s="67"/>
      <c r="I2567" s="68"/>
      <c r="J2567" s="68"/>
      <c r="K2567" s="32"/>
      <c r="L2567" s="75">
        <v>2567</v>
      </c>
      <c r="M2567" s="75"/>
      <c r="N2567" s="70"/>
      <c r="O2567" s="77" t="s">
        <v>179</v>
      </c>
      <c r="P2567" s="79">
        <v>45070.020833333336</v>
      </c>
      <c r="Q2567" s="77" t="s">
        <v>4350</v>
      </c>
      <c r="R2567" s="77">
        <v>1</v>
      </c>
      <c r="S2567" s="77">
        <v>4</v>
      </c>
      <c r="T2567" s="77">
        <v>0</v>
      </c>
      <c r="U2567" s="77">
        <v>0</v>
      </c>
      <c r="V2567" s="77">
        <v>596</v>
      </c>
      <c r="W2567" s="80" t="s">
        <v>7512</v>
      </c>
      <c r="X2567" s="83" t="str">
        <f>HYPERLINK("https://bit.ly/3oZojmZ")</f>
        <v>https://bit.ly/3oZojmZ</v>
      </c>
      <c r="Y2567" s="77" t="s">
        <v>8618</v>
      </c>
      <c r="Z2567" s="77"/>
      <c r="AA2567" s="77" t="s">
        <v>9822</v>
      </c>
      <c r="AB2567" s="77" t="s">
        <v>10534</v>
      </c>
      <c r="AC2567" s="80" t="s">
        <v>10594</v>
      </c>
      <c r="AD2567" s="77" t="s">
        <v>10617</v>
      </c>
      <c r="AE2567" s="83" t="str">
        <f>HYPERLINK("https://twitter.com/bloomberglineab/status/1661167628591800323")</f>
        <v>https://twitter.com/bloomberglineab/status/1661167628591800323</v>
      </c>
      <c r="AF2567" s="79">
        <v>45070.020833333336</v>
      </c>
      <c r="AG2567" s="85">
        <v>45070</v>
      </c>
      <c r="AH2567" s="80" t="s">
        <v>12885</v>
      </c>
      <c r="AI2567" s="77" t="b">
        <v>0</v>
      </c>
      <c r="AJ2567" s="77"/>
      <c r="AK2567" s="77"/>
      <c r="AL2567" s="77"/>
      <c r="AM2567" s="77"/>
      <c r="AN2567" s="77"/>
      <c r="AO2567" s="77"/>
      <c r="AP2567" s="77"/>
      <c r="AQ2567" s="77" t="s">
        <v>15304</v>
      </c>
      <c r="AR2567" s="77">
        <v>48333</v>
      </c>
      <c r="AS2567" s="77"/>
      <c r="AT2567" s="77"/>
      <c r="AU2567" s="77"/>
      <c r="AV2567" s="83" t="str">
        <f>HYPERLINK("https://pbs.twimg.com/media/Fw2jXw_X0AIKORL.jpg")</f>
        <v>https://pbs.twimg.com/media/Fw2jXw_X0AIKORL.jpg</v>
      </c>
      <c r="AW2567" s="80" t="s">
        <v>18357</v>
      </c>
      <c r="AX2567" s="80" t="s">
        <v>18357</v>
      </c>
      <c r="AY2567" s="77"/>
      <c r="AZ2567" s="80" t="s">
        <v>20380</v>
      </c>
      <c r="BA2567" s="80" t="s">
        <v>20380</v>
      </c>
      <c r="BB2567" s="80" t="s">
        <v>20380</v>
      </c>
      <c r="BC2567" s="80" t="s">
        <v>18357</v>
      </c>
      <c r="BD2567" s="80" t="s">
        <v>20910</v>
      </c>
      <c r="BE2567" s="77"/>
      <c r="BF2567" s="77"/>
      <c r="BG2567" s="77"/>
      <c r="BH2567" s="77"/>
      <c r="BI2567" s="77"/>
    </row>
    <row r="2568" spans="1:61" x14ac:dyDescent="0.25">
      <c r="A2568" s="62" t="s">
        <v>1069</v>
      </c>
      <c r="B2568" s="62" t="s">
        <v>1069</v>
      </c>
      <c r="C2568" s="63"/>
      <c r="D2568" s="64"/>
      <c r="E2568" s="65"/>
      <c r="F2568" s="66"/>
      <c r="G2568" s="63"/>
      <c r="H2568" s="67"/>
      <c r="I2568" s="68"/>
      <c r="J2568" s="68"/>
      <c r="K2568" s="32"/>
      <c r="L2568" s="75">
        <v>2568</v>
      </c>
      <c r="M2568" s="75"/>
      <c r="N2568" s="70"/>
      <c r="O2568" s="77" t="s">
        <v>179</v>
      </c>
      <c r="P2568" s="79">
        <v>45050.708333333336</v>
      </c>
      <c r="Q2568" s="77" t="s">
        <v>4351</v>
      </c>
      <c r="R2568" s="77">
        <v>1</v>
      </c>
      <c r="S2568" s="77">
        <v>1</v>
      </c>
      <c r="T2568" s="77">
        <v>1</v>
      </c>
      <c r="U2568" s="77">
        <v>0</v>
      </c>
      <c r="V2568" s="77">
        <v>205</v>
      </c>
      <c r="W2568" s="80" t="s">
        <v>7513</v>
      </c>
      <c r="X2568" s="77"/>
      <c r="Y2568" s="77"/>
      <c r="Z2568" s="77"/>
      <c r="AA2568" s="77" t="s">
        <v>9823</v>
      </c>
      <c r="AB2568" s="77" t="s">
        <v>10534</v>
      </c>
      <c r="AC2568" s="80" t="s">
        <v>10594</v>
      </c>
      <c r="AD2568" s="77" t="s">
        <v>10617</v>
      </c>
      <c r="AE2568" s="83" t="str">
        <f>HYPERLINK("https://twitter.com/bloomberglineab/status/1654169014183120896")</f>
        <v>https://twitter.com/bloomberglineab/status/1654169014183120896</v>
      </c>
      <c r="AF2568" s="79">
        <v>45050.708333333336</v>
      </c>
      <c r="AG2568" s="85">
        <v>45050</v>
      </c>
      <c r="AH2568" s="80" t="s">
        <v>11788</v>
      </c>
      <c r="AI2568" s="77" t="b">
        <v>0</v>
      </c>
      <c r="AJ2568" s="77"/>
      <c r="AK2568" s="77"/>
      <c r="AL2568" s="77"/>
      <c r="AM2568" s="77"/>
      <c r="AN2568" s="77"/>
      <c r="AO2568" s="77"/>
      <c r="AP2568" s="77"/>
      <c r="AQ2568" s="77" t="s">
        <v>15305</v>
      </c>
      <c r="AR2568" s="77">
        <v>47480</v>
      </c>
      <c r="AS2568" s="77"/>
      <c r="AT2568" s="77"/>
      <c r="AU2568" s="77"/>
      <c r="AV2568" s="83" t="str">
        <f>HYPERLINK("https://pbs.twimg.com/media/FvSsXhgXgAAgRF5.jpg")</f>
        <v>https://pbs.twimg.com/media/FvSsXhgXgAAgRF5.jpg</v>
      </c>
      <c r="AW2568" s="80" t="s">
        <v>18358</v>
      </c>
      <c r="AX2568" s="80" t="s">
        <v>18358</v>
      </c>
      <c r="AY2568" s="77"/>
      <c r="AZ2568" s="80" t="s">
        <v>20380</v>
      </c>
      <c r="BA2568" s="80" t="s">
        <v>20380</v>
      </c>
      <c r="BB2568" s="80" t="s">
        <v>20380</v>
      </c>
      <c r="BC2568" s="80" t="s">
        <v>18358</v>
      </c>
      <c r="BD2568" s="80" t="s">
        <v>20910</v>
      </c>
      <c r="BE2568" s="77"/>
      <c r="BF2568" s="77"/>
      <c r="BG2568" s="77"/>
      <c r="BH2568" s="77"/>
      <c r="BI2568" s="77"/>
    </row>
    <row r="2569" spans="1:61" x14ac:dyDescent="0.25">
      <c r="A2569" s="62" t="s">
        <v>1069</v>
      </c>
      <c r="B2569" s="62" t="s">
        <v>1069</v>
      </c>
      <c r="C2569" s="63"/>
      <c r="D2569" s="64"/>
      <c r="E2569" s="65"/>
      <c r="F2569" s="66"/>
      <c r="G2569" s="63"/>
      <c r="H2569" s="67"/>
      <c r="I2569" s="68"/>
      <c r="J2569" s="68"/>
      <c r="K2569" s="32"/>
      <c r="L2569" s="75">
        <v>2569</v>
      </c>
      <c r="M2569" s="75"/>
      <c r="N2569" s="70"/>
      <c r="O2569" s="77" t="s">
        <v>179</v>
      </c>
      <c r="P2569" s="79">
        <v>45054.729178240741</v>
      </c>
      <c r="Q2569" s="77" t="s">
        <v>4352</v>
      </c>
      <c r="R2569" s="77">
        <v>1</v>
      </c>
      <c r="S2569" s="77">
        <v>3</v>
      </c>
      <c r="T2569" s="77">
        <v>0</v>
      </c>
      <c r="U2569" s="77">
        <v>1</v>
      </c>
      <c r="V2569" s="77">
        <v>806</v>
      </c>
      <c r="W2569" s="80" t="s">
        <v>6148</v>
      </c>
      <c r="X2569" s="77"/>
      <c r="Y2569" s="77"/>
      <c r="Z2569" s="77"/>
      <c r="AA2569" s="77" t="s">
        <v>9824</v>
      </c>
      <c r="AB2569" s="77" t="s">
        <v>10534</v>
      </c>
      <c r="AC2569" s="80" t="s">
        <v>10594</v>
      </c>
      <c r="AD2569" s="77" t="s">
        <v>10617</v>
      </c>
      <c r="AE2569" s="83" t="str">
        <f>HYPERLINK("https://twitter.com/bloomberglineab/status/1655626117171286027")</f>
        <v>https://twitter.com/bloomberglineab/status/1655626117171286027</v>
      </c>
      <c r="AF2569" s="79">
        <v>45054.729178240741</v>
      </c>
      <c r="AG2569" s="85">
        <v>45054</v>
      </c>
      <c r="AH2569" s="80" t="s">
        <v>12886</v>
      </c>
      <c r="AI2569" s="77" t="b">
        <v>0</v>
      </c>
      <c r="AJ2569" s="77"/>
      <c r="AK2569" s="77"/>
      <c r="AL2569" s="77"/>
      <c r="AM2569" s="77"/>
      <c r="AN2569" s="77"/>
      <c r="AO2569" s="77"/>
      <c r="AP2569" s="77"/>
      <c r="AQ2569" s="77" t="s">
        <v>15306</v>
      </c>
      <c r="AR2569" s="77">
        <v>57757</v>
      </c>
      <c r="AS2569" s="77"/>
      <c r="AT2569" s="77"/>
      <c r="AU2569" s="77"/>
      <c r="AV2569" s="83" t="str">
        <f>HYPERLINK("https://pbs.twimg.com/media/FvntybbXsBQvPzm.jpg")</f>
        <v>https://pbs.twimg.com/media/FvntybbXsBQvPzm.jpg</v>
      </c>
      <c r="AW2569" s="80" t="s">
        <v>18359</v>
      </c>
      <c r="AX2569" s="80" t="s">
        <v>18359</v>
      </c>
      <c r="AY2569" s="77"/>
      <c r="AZ2569" s="80" t="s">
        <v>20380</v>
      </c>
      <c r="BA2569" s="80" t="s">
        <v>20380</v>
      </c>
      <c r="BB2569" s="80" t="s">
        <v>20380</v>
      </c>
      <c r="BC2569" s="80" t="s">
        <v>18359</v>
      </c>
      <c r="BD2569" s="80" t="s">
        <v>20910</v>
      </c>
      <c r="BE2569" s="77"/>
      <c r="BF2569" s="77"/>
      <c r="BG2569" s="77"/>
      <c r="BH2569" s="77"/>
      <c r="BI2569" s="77"/>
    </row>
    <row r="2570" spans="1:61" x14ac:dyDescent="0.25">
      <c r="A2570" s="62" t="s">
        <v>1069</v>
      </c>
      <c r="B2570" s="62" t="s">
        <v>1069</v>
      </c>
      <c r="C2570" s="63"/>
      <c r="D2570" s="64"/>
      <c r="E2570" s="65"/>
      <c r="F2570" s="66"/>
      <c r="G2570" s="63"/>
      <c r="H2570" s="67"/>
      <c r="I2570" s="68"/>
      <c r="J2570" s="68"/>
      <c r="K2570" s="32"/>
      <c r="L2570" s="75">
        <v>2570</v>
      </c>
      <c r="M2570" s="75"/>
      <c r="N2570" s="70"/>
      <c r="O2570" s="77" t="s">
        <v>179</v>
      </c>
      <c r="P2570" s="79">
        <v>45084.908182870371</v>
      </c>
      <c r="Q2570" s="77" t="s">
        <v>4353</v>
      </c>
      <c r="R2570" s="77">
        <v>0</v>
      </c>
      <c r="S2570" s="77">
        <v>3</v>
      </c>
      <c r="T2570" s="77">
        <v>0</v>
      </c>
      <c r="U2570" s="77">
        <v>0</v>
      </c>
      <c r="V2570" s="77">
        <v>422</v>
      </c>
      <c r="W2570" s="80" t="s">
        <v>7514</v>
      </c>
      <c r="X2570" s="77"/>
      <c r="Y2570" s="77"/>
      <c r="Z2570" s="77"/>
      <c r="AA2570" s="77" t="s">
        <v>9825</v>
      </c>
      <c r="AB2570" s="77" t="s">
        <v>10535</v>
      </c>
      <c r="AC2570" s="80" t="s">
        <v>10551</v>
      </c>
      <c r="AD2570" s="77" t="s">
        <v>10617</v>
      </c>
      <c r="AE2570" s="83" t="str">
        <f>HYPERLINK("https://twitter.com/bloomberglineab/status/1666562622739628033")</f>
        <v>https://twitter.com/bloomberglineab/status/1666562622739628033</v>
      </c>
      <c r="AF2570" s="79">
        <v>45084.908182870371</v>
      </c>
      <c r="AG2570" s="85">
        <v>45084</v>
      </c>
      <c r="AH2570" s="80" t="s">
        <v>12887</v>
      </c>
      <c r="AI2570" s="77" t="b">
        <v>0</v>
      </c>
      <c r="AJ2570" s="77"/>
      <c r="AK2570" s="77"/>
      <c r="AL2570" s="77"/>
      <c r="AM2570" s="77"/>
      <c r="AN2570" s="77"/>
      <c r="AO2570" s="77"/>
      <c r="AP2570" s="77"/>
      <c r="AQ2570" s="77" t="s">
        <v>15307</v>
      </c>
      <c r="AR2570" s="77"/>
      <c r="AS2570" s="77"/>
      <c r="AT2570" s="77"/>
      <c r="AU2570" s="77"/>
      <c r="AV2570" s="83" t="str">
        <f>HYPERLINK("https://pbs.twimg.com/media/FyDR3LnXwAMGQYf.jpg")</f>
        <v>https://pbs.twimg.com/media/FyDR3LnXwAMGQYf.jpg</v>
      </c>
      <c r="AW2570" s="80" t="s">
        <v>18360</v>
      </c>
      <c r="AX2570" s="80" t="s">
        <v>18360</v>
      </c>
      <c r="AY2570" s="77"/>
      <c r="AZ2570" s="80" t="s">
        <v>20380</v>
      </c>
      <c r="BA2570" s="80" t="s">
        <v>20380</v>
      </c>
      <c r="BB2570" s="80" t="s">
        <v>20380</v>
      </c>
      <c r="BC2570" s="80" t="s">
        <v>18360</v>
      </c>
      <c r="BD2570" s="80" t="s">
        <v>20910</v>
      </c>
      <c r="BE2570" s="77"/>
      <c r="BF2570" s="77"/>
      <c r="BG2570" s="77"/>
      <c r="BH2570" s="77"/>
      <c r="BI2570" s="77"/>
    </row>
    <row r="2571" spans="1:61" x14ac:dyDescent="0.25">
      <c r="A2571" s="62" t="s">
        <v>1069</v>
      </c>
      <c r="B2571" s="62" t="s">
        <v>1069</v>
      </c>
      <c r="C2571" s="63"/>
      <c r="D2571" s="64"/>
      <c r="E2571" s="65"/>
      <c r="F2571" s="66"/>
      <c r="G2571" s="63"/>
      <c r="H2571" s="67"/>
      <c r="I2571" s="68"/>
      <c r="J2571" s="68"/>
      <c r="K2571" s="32"/>
      <c r="L2571" s="75">
        <v>2571</v>
      </c>
      <c r="M2571" s="75"/>
      <c r="N2571" s="70"/>
      <c r="O2571" s="77" t="s">
        <v>179</v>
      </c>
      <c r="P2571" s="79">
        <v>45092.790625000001</v>
      </c>
      <c r="Q2571" s="77" t="s">
        <v>4354</v>
      </c>
      <c r="R2571" s="77">
        <v>0</v>
      </c>
      <c r="S2571" s="77">
        <v>2</v>
      </c>
      <c r="T2571" s="77">
        <v>0</v>
      </c>
      <c r="U2571" s="77">
        <v>0</v>
      </c>
      <c r="V2571" s="77">
        <v>326</v>
      </c>
      <c r="W2571" s="80" t="s">
        <v>7515</v>
      </c>
      <c r="X2571" s="77"/>
      <c r="Y2571" s="77"/>
      <c r="Z2571" s="77"/>
      <c r="AA2571" s="77" t="s">
        <v>9826</v>
      </c>
      <c r="AB2571" s="77" t="s">
        <v>10535</v>
      </c>
      <c r="AC2571" s="80" t="s">
        <v>10551</v>
      </c>
      <c r="AD2571" s="77" t="s">
        <v>10617</v>
      </c>
      <c r="AE2571" s="83" t="str">
        <f>HYPERLINK("https://twitter.com/bloomberglineab/status/1669419126937272346")</f>
        <v>https://twitter.com/bloomberglineab/status/1669419126937272346</v>
      </c>
      <c r="AF2571" s="79">
        <v>45092.790625000001</v>
      </c>
      <c r="AG2571" s="85">
        <v>45092</v>
      </c>
      <c r="AH2571" s="80" t="s">
        <v>12888</v>
      </c>
      <c r="AI2571" s="77" t="b">
        <v>0</v>
      </c>
      <c r="AJ2571" s="77"/>
      <c r="AK2571" s="77"/>
      <c r="AL2571" s="77"/>
      <c r="AM2571" s="77"/>
      <c r="AN2571" s="77"/>
      <c r="AO2571" s="77"/>
      <c r="AP2571" s="77"/>
      <c r="AQ2571" s="77" t="s">
        <v>15308</v>
      </c>
      <c r="AR2571" s="77"/>
      <c r="AS2571" s="77"/>
      <c r="AT2571" s="77"/>
      <c r="AU2571" s="77"/>
      <c r="AV2571" s="83" t="str">
        <f>HYPERLINK("https://pbs.twimg.com/media/Fyr3qtYWwA0XDz6.jpg")</f>
        <v>https://pbs.twimg.com/media/Fyr3qtYWwA0XDz6.jpg</v>
      </c>
      <c r="AW2571" s="80" t="s">
        <v>18361</v>
      </c>
      <c r="AX2571" s="80" t="s">
        <v>18361</v>
      </c>
      <c r="AY2571" s="77"/>
      <c r="AZ2571" s="80" t="s">
        <v>20380</v>
      </c>
      <c r="BA2571" s="80" t="s">
        <v>20380</v>
      </c>
      <c r="BB2571" s="80" t="s">
        <v>20380</v>
      </c>
      <c r="BC2571" s="80" t="s">
        <v>18361</v>
      </c>
      <c r="BD2571" s="80" t="s">
        <v>20910</v>
      </c>
      <c r="BE2571" s="77"/>
      <c r="BF2571" s="77"/>
      <c r="BG2571" s="77"/>
      <c r="BH2571" s="77"/>
      <c r="BI2571" s="77"/>
    </row>
    <row r="2572" spans="1:61" x14ac:dyDescent="0.25">
      <c r="A2572" s="62" t="s">
        <v>1069</v>
      </c>
      <c r="B2572" s="62" t="s">
        <v>1069</v>
      </c>
      <c r="C2572" s="63"/>
      <c r="D2572" s="64"/>
      <c r="E2572" s="65"/>
      <c r="F2572" s="66"/>
      <c r="G2572" s="63"/>
      <c r="H2572" s="67"/>
      <c r="I2572" s="68"/>
      <c r="J2572" s="68"/>
      <c r="K2572" s="32"/>
      <c r="L2572" s="75">
        <v>2572</v>
      </c>
      <c r="M2572" s="75"/>
      <c r="N2572" s="70"/>
      <c r="O2572" s="77" t="s">
        <v>179</v>
      </c>
      <c r="P2572" s="79">
        <v>45196.605995370373</v>
      </c>
      <c r="Q2572" s="77" t="s">
        <v>4355</v>
      </c>
      <c r="R2572" s="77">
        <v>0</v>
      </c>
      <c r="S2572" s="77">
        <v>0</v>
      </c>
      <c r="T2572" s="77">
        <v>0</v>
      </c>
      <c r="U2572" s="77">
        <v>0</v>
      </c>
      <c r="V2572" s="77">
        <v>247</v>
      </c>
      <c r="W2572" s="80" t="s">
        <v>7516</v>
      </c>
      <c r="X2572" s="83" t="str">
        <f>HYPERLINK("https://bit.ly/3oZojmZ")</f>
        <v>https://bit.ly/3oZojmZ</v>
      </c>
      <c r="Y2572" s="77" t="s">
        <v>8618</v>
      </c>
      <c r="Z2572" s="77"/>
      <c r="AA2572" s="77" t="s">
        <v>9827</v>
      </c>
      <c r="AB2572" s="77" t="s">
        <v>10534</v>
      </c>
      <c r="AC2572" s="80" t="s">
        <v>10594</v>
      </c>
      <c r="AD2572" s="77" t="s">
        <v>10617</v>
      </c>
      <c r="AE2572" s="83" t="str">
        <f>HYPERLINK("https://twitter.com/bloomberglineab/status/1707040555811631485")</f>
        <v>https://twitter.com/bloomberglineab/status/1707040555811631485</v>
      </c>
      <c r="AF2572" s="79">
        <v>45196.605995370373</v>
      </c>
      <c r="AG2572" s="85">
        <v>45196</v>
      </c>
      <c r="AH2572" s="80" t="s">
        <v>12889</v>
      </c>
      <c r="AI2572" s="77" t="b">
        <v>0</v>
      </c>
      <c r="AJ2572" s="77"/>
      <c r="AK2572" s="77"/>
      <c r="AL2572" s="77"/>
      <c r="AM2572" s="77"/>
      <c r="AN2572" s="77"/>
      <c r="AO2572" s="77"/>
      <c r="AP2572" s="77"/>
      <c r="AQ2572" s="77" t="s">
        <v>15309</v>
      </c>
      <c r="AR2572" s="77">
        <v>54800</v>
      </c>
      <c r="AS2572" s="77"/>
      <c r="AT2572" s="77"/>
      <c r="AU2572" s="77"/>
      <c r="AV2572" s="83" t="str">
        <f>HYPERLINK("https://pbs.twimg.com/media/F7CgBm7W8AAQBZR.jpg")</f>
        <v>https://pbs.twimg.com/media/F7CgBm7W8AAQBZR.jpg</v>
      </c>
      <c r="AW2572" s="80" t="s">
        <v>18362</v>
      </c>
      <c r="AX2572" s="80" t="s">
        <v>18362</v>
      </c>
      <c r="AY2572" s="77"/>
      <c r="AZ2572" s="80" t="s">
        <v>20380</v>
      </c>
      <c r="BA2572" s="80" t="s">
        <v>20380</v>
      </c>
      <c r="BB2572" s="80" t="s">
        <v>20380</v>
      </c>
      <c r="BC2572" s="80" t="s">
        <v>18362</v>
      </c>
      <c r="BD2572" s="80" t="s">
        <v>20910</v>
      </c>
      <c r="BE2572" s="77"/>
      <c r="BF2572" s="77"/>
      <c r="BG2572" s="77"/>
      <c r="BH2572" s="77"/>
      <c r="BI2572" s="77"/>
    </row>
    <row r="2573" spans="1:61" x14ac:dyDescent="0.25">
      <c r="A2573" s="62" t="s">
        <v>1069</v>
      </c>
      <c r="B2573" s="62" t="s">
        <v>1069</v>
      </c>
      <c r="C2573" s="63"/>
      <c r="D2573" s="64"/>
      <c r="E2573" s="65"/>
      <c r="F2573" s="66"/>
      <c r="G2573" s="63"/>
      <c r="H2573" s="67"/>
      <c r="I2573" s="68"/>
      <c r="J2573" s="68"/>
      <c r="K2573" s="32"/>
      <c r="L2573" s="75">
        <v>2573</v>
      </c>
      <c r="M2573" s="75"/>
      <c r="N2573" s="70"/>
      <c r="O2573" s="77" t="s">
        <v>179</v>
      </c>
      <c r="P2573" s="79">
        <v>45098.956250000003</v>
      </c>
      <c r="Q2573" s="77" t="s">
        <v>4356</v>
      </c>
      <c r="R2573" s="77">
        <v>1</v>
      </c>
      <c r="S2573" s="77">
        <v>3</v>
      </c>
      <c r="T2573" s="77">
        <v>0</v>
      </c>
      <c r="U2573" s="77">
        <v>0</v>
      </c>
      <c r="V2573" s="77">
        <v>563</v>
      </c>
      <c r="W2573" s="80" t="s">
        <v>6547</v>
      </c>
      <c r="X2573" s="77"/>
      <c r="Y2573" s="77"/>
      <c r="Z2573" s="77"/>
      <c r="AA2573" s="77" t="s">
        <v>9828</v>
      </c>
      <c r="AB2573" s="77" t="s">
        <v>10534</v>
      </c>
      <c r="AC2573" s="80" t="s">
        <v>10594</v>
      </c>
      <c r="AD2573" s="77" t="s">
        <v>10617</v>
      </c>
      <c r="AE2573" s="83" t="str">
        <f>HYPERLINK("https://twitter.com/bloomberglineab/status/1671653472654196736")</f>
        <v>https://twitter.com/bloomberglineab/status/1671653472654196736</v>
      </c>
      <c r="AF2573" s="79">
        <v>45098.956250000003</v>
      </c>
      <c r="AG2573" s="85">
        <v>45098</v>
      </c>
      <c r="AH2573" s="80" t="s">
        <v>12890</v>
      </c>
      <c r="AI2573" s="77" t="b">
        <v>0</v>
      </c>
      <c r="AJ2573" s="77"/>
      <c r="AK2573" s="77"/>
      <c r="AL2573" s="77"/>
      <c r="AM2573" s="77"/>
      <c r="AN2573" s="77"/>
      <c r="AO2573" s="77"/>
      <c r="AP2573" s="77"/>
      <c r="AQ2573" s="77" t="s">
        <v>15310</v>
      </c>
      <c r="AR2573" s="77">
        <v>45945</v>
      </c>
      <c r="AS2573" s="77"/>
      <c r="AT2573" s="77"/>
      <c r="AU2573" s="77"/>
      <c r="AV2573" s="83" t="str">
        <f>HYPERLINK("https://pbs.twimg.com/media/FzLmkyUaAAAFQtW.jpg")</f>
        <v>https://pbs.twimg.com/media/FzLmkyUaAAAFQtW.jpg</v>
      </c>
      <c r="AW2573" s="80" t="s">
        <v>18363</v>
      </c>
      <c r="AX2573" s="80" t="s">
        <v>18363</v>
      </c>
      <c r="AY2573" s="77"/>
      <c r="AZ2573" s="80" t="s">
        <v>20380</v>
      </c>
      <c r="BA2573" s="80" t="s">
        <v>20380</v>
      </c>
      <c r="BB2573" s="80" t="s">
        <v>20380</v>
      </c>
      <c r="BC2573" s="80" t="s">
        <v>18363</v>
      </c>
      <c r="BD2573" s="80" t="s">
        <v>20910</v>
      </c>
      <c r="BE2573" s="77"/>
      <c r="BF2573" s="77"/>
      <c r="BG2573" s="77"/>
      <c r="BH2573" s="77"/>
      <c r="BI2573" s="77"/>
    </row>
    <row r="2574" spans="1:61" x14ac:dyDescent="0.25">
      <c r="A2574" s="62" t="s">
        <v>1070</v>
      </c>
      <c r="B2574" s="62" t="s">
        <v>1070</v>
      </c>
      <c r="C2574" s="63"/>
      <c r="D2574" s="64"/>
      <c r="E2574" s="65"/>
      <c r="F2574" s="66"/>
      <c r="G2574" s="63"/>
      <c r="H2574" s="67"/>
      <c r="I2574" s="68"/>
      <c r="J2574" s="68"/>
      <c r="K2574" s="32"/>
      <c r="L2574" s="75">
        <v>2574</v>
      </c>
      <c r="M2574" s="75"/>
      <c r="N2574" s="70"/>
      <c r="O2574" s="77" t="s">
        <v>179</v>
      </c>
      <c r="P2574" s="79">
        <v>45091.088240740741</v>
      </c>
      <c r="Q2574" s="77" t="s">
        <v>4357</v>
      </c>
      <c r="R2574" s="77">
        <v>1</v>
      </c>
      <c r="S2574" s="77">
        <v>1</v>
      </c>
      <c r="T2574" s="77">
        <v>0</v>
      </c>
      <c r="U2574" s="77">
        <v>0</v>
      </c>
      <c r="V2574" s="77">
        <v>407</v>
      </c>
      <c r="W2574" s="80" t="s">
        <v>7517</v>
      </c>
      <c r="X2574" s="83" t="str">
        <f>HYPERLINK("https://rccmedia.com.do/las-remesas-hacia-republica-dominicana-siguen-en-aumento/")</f>
        <v>https://rccmedia.com.do/las-remesas-hacia-republica-dominicana-siguen-en-aumento/</v>
      </c>
      <c r="Y2574" s="77" t="s">
        <v>8625</v>
      </c>
      <c r="Z2574" s="77"/>
      <c r="AA2574" s="77" t="s">
        <v>9829</v>
      </c>
      <c r="AB2574" s="77" t="s">
        <v>10535</v>
      </c>
      <c r="AC2574" s="80" t="s">
        <v>10541</v>
      </c>
      <c r="AD2574" s="77" t="s">
        <v>10620</v>
      </c>
      <c r="AE2574" s="83" t="str">
        <f>HYPERLINK("https://twitter.com/rccmediard/status/1668802200477261825")</f>
        <v>https://twitter.com/rccmediard/status/1668802200477261825</v>
      </c>
      <c r="AF2574" s="79">
        <v>45091.088240740741</v>
      </c>
      <c r="AG2574" s="85">
        <v>45091</v>
      </c>
      <c r="AH2574" s="80" t="s">
        <v>12891</v>
      </c>
      <c r="AI2574" s="77" t="b">
        <v>0</v>
      </c>
      <c r="AJ2574" s="77"/>
      <c r="AK2574" s="77"/>
      <c r="AL2574" s="77"/>
      <c r="AM2574" s="77"/>
      <c r="AN2574" s="77"/>
      <c r="AO2574" s="77"/>
      <c r="AP2574" s="77"/>
      <c r="AQ2574" s="77" t="s">
        <v>15311</v>
      </c>
      <c r="AR2574" s="77"/>
      <c r="AS2574" s="77"/>
      <c r="AT2574" s="77"/>
      <c r="AU2574" s="77"/>
      <c r="AV2574" s="83" t="str">
        <f>HYPERLINK("https://pbs.twimg.com/media/FyjGiGkXwAMVary.png")</f>
        <v>https://pbs.twimg.com/media/FyjGiGkXwAMVary.png</v>
      </c>
      <c r="AW2574" s="80" t="s">
        <v>18364</v>
      </c>
      <c r="AX2574" s="80" t="s">
        <v>18364</v>
      </c>
      <c r="AY2574" s="77"/>
      <c r="AZ2574" s="80" t="s">
        <v>20380</v>
      </c>
      <c r="BA2574" s="80" t="s">
        <v>20380</v>
      </c>
      <c r="BB2574" s="80" t="s">
        <v>20380</v>
      </c>
      <c r="BC2574" s="80" t="s">
        <v>18364</v>
      </c>
      <c r="BD2574" s="80" t="s">
        <v>20911</v>
      </c>
      <c r="BE2574" s="77"/>
      <c r="BF2574" s="77"/>
      <c r="BG2574" s="77"/>
      <c r="BH2574" s="77"/>
      <c r="BI2574" s="77"/>
    </row>
    <row r="2575" spans="1:61" x14ac:dyDescent="0.25">
      <c r="A2575" s="62" t="s">
        <v>1070</v>
      </c>
      <c r="B2575" s="62" t="s">
        <v>1716</v>
      </c>
      <c r="C2575" s="63"/>
      <c r="D2575" s="64"/>
      <c r="E2575" s="65"/>
      <c r="F2575" s="66"/>
      <c r="G2575" s="63"/>
      <c r="H2575" s="67"/>
      <c r="I2575" s="68"/>
      <c r="J2575" s="68"/>
      <c r="K2575" s="32"/>
      <c r="L2575" s="75">
        <v>2575</v>
      </c>
      <c r="M2575" s="75"/>
      <c r="N2575" s="70"/>
      <c r="O2575" s="77" t="s">
        <v>2081</v>
      </c>
      <c r="P2575" s="79">
        <v>45116.615428240744</v>
      </c>
      <c r="Q2575" s="77" t="s">
        <v>4358</v>
      </c>
      <c r="R2575" s="77">
        <v>0</v>
      </c>
      <c r="S2575" s="77">
        <v>4</v>
      </c>
      <c r="T2575" s="77">
        <v>0</v>
      </c>
      <c r="U2575" s="77">
        <v>1</v>
      </c>
      <c r="V2575" s="77">
        <v>499</v>
      </c>
      <c r="W2575" s="80" t="s">
        <v>7518</v>
      </c>
      <c r="X2575" s="83" t="str">
        <f>HYPERLINK("https://rccmedia.com.do/remesas-llegaron-a-5-mil-19-9-millones-de-dolares-en-primer-semestre-2023/")</f>
        <v>https://rccmedia.com.do/remesas-llegaron-a-5-mil-19-9-millones-de-dolares-en-primer-semestre-2023/</v>
      </c>
      <c r="Y2575" s="77" t="s">
        <v>8625</v>
      </c>
      <c r="Z2575" s="77" t="s">
        <v>1716</v>
      </c>
      <c r="AA2575" s="77"/>
      <c r="AB2575" s="77"/>
      <c r="AC2575" s="80" t="s">
        <v>10541</v>
      </c>
      <c r="AD2575" s="77" t="s">
        <v>10620</v>
      </c>
      <c r="AE2575" s="83" t="str">
        <f>HYPERLINK("https://twitter.com/rccmediard/status/1678052945798021121")</f>
        <v>https://twitter.com/rccmediard/status/1678052945798021121</v>
      </c>
      <c r="AF2575" s="79">
        <v>45116.615428240744</v>
      </c>
      <c r="AG2575" s="85">
        <v>45116</v>
      </c>
      <c r="AH2575" s="80" t="s">
        <v>12892</v>
      </c>
      <c r="AI2575" s="77" t="b">
        <v>0</v>
      </c>
      <c r="AJ2575" s="77"/>
      <c r="AK2575" s="77"/>
      <c r="AL2575" s="77"/>
      <c r="AM2575" s="77"/>
      <c r="AN2575" s="77"/>
      <c r="AO2575" s="77"/>
      <c r="AP2575" s="77"/>
      <c r="AQ2575" s="77"/>
      <c r="AR2575" s="77"/>
      <c r="AS2575" s="77"/>
      <c r="AT2575" s="77"/>
      <c r="AU2575" s="77"/>
      <c r="AV2575" s="83" t="str">
        <f>HYPERLINK("https://pbs.twimg.com/profile_images/1455618573976604686/fLgMmCBn_normal.jpg")</f>
        <v>https://pbs.twimg.com/profile_images/1455618573976604686/fLgMmCBn_normal.jpg</v>
      </c>
      <c r="AW2575" s="80" t="s">
        <v>18365</v>
      </c>
      <c r="AX2575" s="80" t="s">
        <v>18365</v>
      </c>
      <c r="AY2575" s="77"/>
      <c r="AZ2575" s="80" t="s">
        <v>20380</v>
      </c>
      <c r="BA2575" s="80" t="s">
        <v>20380</v>
      </c>
      <c r="BB2575" s="80" t="s">
        <v>20380</v>
      </c>
      <c r="BC2575" s="80" t="s">
        <v>18365</v>
      </c>
      <c r="BD2575" s="80" t="s">
        <v>20911</v>
      </c>
      <c r="BE2575" s="77"/>
      <c r="BF2575" s="77"/>
      <c r="BG2575" s="77"/>
      <c r="BH2575" s="77"/>
      <c r="BI2575" s="77"/>
    </row>
    <row r="2576" spans="1:61" x14ac:dyDescent="0.25">
      <c r="A2576" s="62" t="s">
        <v>1070</v>
      </c>
      <c r="B2576" s="62" t="s">
        <v>1070</v>
      </c>
      <c r="C2576" s="63"/>
      <c r="D2576" s="64"/>
      <c r="E2576" s="65"/>
      <c r="F2576" s="66"/>
      <c r="G2576" s="63"/>
      <c r="H2576" s="67"/>
      <c r="I2576" s="68"/>
      <c r="J2576" s="68"/>
      <c r="K2576" s="32"/>
      <c r="L2576" s="75">
        <v>2576</v>
      </c>
      <c r="M2576" s="75"/>
      <c r="N2576" s="70"/>
      <c r="O2576" s="77" t="s">
        <v>179</v>
      </c>
      <c r="P2576" s="79">
        <v>45107.843078703707</v>
      </c>
      <c r="Q2576" s="77" t="s">
        <v>4359</v>
      </c>
      <c r="R2576" s="77">
        <v>1</v>
      </c>
      <c r="S2576" s="77">
        <v>0</v>
      </c>
      <c r="T2576" s="77">
        <v>0</v>
      </c>
      <c r="U2576" s="77">
        <v>0</v>
      </c>
      <c r="V2576" s="77">
        <v>220</v>
      </c>
      <c r="W2576" s="80" t="s">
        <v>7519</v>
      </c>
      <c r="X2576" s="83" t="str">
        <f>HYPERLINK("https://rccmedia.com.do/tribunal-de-londres-desestima-recurso-de-venezuela/")</f>
        <v>https://rccmedia.com.do/tribunal-de-londres-desestima-recurso-de-venezuela/</v>
      </c>
      <c r="Y2576" s="77" t="s">
        <v>8625</v>
      </c>
      <c r="Z2576" s="77"/>
      <c r="AA2576" s="77"/>
      <c r="AB2576" s="77"/>
      <c r="AC2576" s="80" t="s">
        <v>10541</v>
      </c>
      <c r="AD2576" s="77" t="s">
        <v>10620</v>
      </c>
      <c r="AE2576" s="83" t="str">
        <f>HYPERLINK("https://twitter.com/rccmediard/status/1674873952726810625")</f>
        <v>https://twitter.com/rccmediard/status/1674873952726810625</v>
      </c>
      <c r="AF2576" s="79">
        <v>45107.843078703707</v>
      </c>
      <c r="AG2576" s="85">
        <v>45107</v>
      </c>
      <c r="AH2576" s="80" t="s">
        <v>12893</v>
      </c>
      <c r="AI2576" s="77" t="b">
        <v>0</v>
      </c>
      <c r="AJ2576" s="77"/>
      <c r="AK2576" s="77"/>
      <c r="AL2576" s="77"/>
      <c r="AM2576" s="77"/>
      <c r="AN2576" s="77"/>
      <c r="AO2576" s="77"/>
      <c r="AP2576" s="77"/>
      <c r="AQ2576" s="77"/>
      <c r="AR2576" s="77"/>
      <c r="AS2576" s="77"/>
      <c r="AT2576" s="77"/>
      <c r="AU2576" s="77"/>
      <c r="AV2576" s="83" t="str">
        <f>HYPERLINK("https://pbs.twimg.com/profile_images/1455618573976604686/fLgMmCBn_normal.jpg")</f>
        <v>https://pbs.twimg.com/profile_images/1455618573976604686/fLgMmCBn_normal.jpg</v>
      </c>
      <c r="AW2576" s="80" t="s">
        <v>18366</v>
      </c>
      <c r="AX2576" s="80" t="s">
        <v>18366</v>
      </c>
      <c r="AY2576" s="77"/>
      <c r="AZ2576" s="80" t="s">
        <v>20380</v>
      </c>
      <c r="BA2576" s="80" t="s">
        <v>20380</v>
      </c>
      <c r="BB2576" s="80" t="s">
        <v>20380</v>
      </c>
      <c r="BC2576" s="80" t="s">
        <v>18366</v>
      </c>
      <c r="BD2576" s="80" t="s">
        <v>20911</v>
      </c>
      <c r="BE2576" s="77"/>
      <c r="BF2576" s="77"/>
      <c r="BG2576" s="77"/>
      <c r="BH2576" s="77"/>
      <c r="BI2576" s="77"/>
    </row>
    <row r="2577" spans="1:61" x14ac:dyDescent="0.25">
      <c r="A2577" s="62" t="s">
        <v>1070</v>
      </c>
      <c r="B2577" s="62" t="s">
        <v>1070</v>
      </c>
      <c r="C2577" s="63"/>
      <c r="D2577" s="64"/>
      <c r="E2577" s="65"/>
      <c r="F2577" s="66"/>
      <c r="G2577" s="63"/>
      <c r="H2577" s="67"/>
      <c r="I2577" s="68"/>
      <c r="J2577" s="68"/>
      <c r="K2577" s="32"/>
      <c r="L2577" s="75">
        <v>2577</v>
      </c>
      <c r="M2577" s="75"/>
      <c r="N2577" s="70"/>
      <c r="O2577" s="77" t="s">
        <v>179</v>
      </c>
      <c r="P2577" s="79">
        <v>45107.825023148151</v>
      </c>
      <c r="Q2577" s="77" t="s">
        <v>4360</v>
      </c>
      <c r="R2577" s="77">
        <v>0</v>
      </c>
      <c r="S2577" s="77">
        <v>2</v>
      </c>
      <c r="T2577" s="77">
        <v>0</v>
      </c>
      <c r="U2577" s="77">
        <v>0</v>
      </c>
      <c r="V2577" s="77">
        <v>245</v>
      </c>
      <c r="W2577" s="80" t="s">
        <v>7520</v>
      </c>
      <c r="X2577" s="83" t="str">
        <f>HYPERLINK("https://rccmedia.com.do/el-banco-central-de-argentina-habilita-la-apertura-de-cuentas-bancarias-en-yuan/")</f>
        <v>https://rccmedia.com.do/el-banco-central-de-argentina-habilita-la-apertura-de-cuentas-bancarias-en-yuan/</v>
      </c>
      <c r="Y2577" s="77" t="s">
        <v>8625</v>
      </c>
      <c r="Z2577" s="77"/>
      <c r="AA2577" s="77"/>
      <c r="AB2577" s="77"/>
      <c r="AC2577" s="80" t="s">
        <v>10541</v>
      </c>
      <c r="AD2577" s="77" t="s">
        <v>10620</v>
      </c>
      <c r="AE2577" s="83" t="str">
        <f>HYPERLINK("https://twitter.com/rccmediard/status/1674867409591623700")</f>
        <v>https://twitter.com/rccmediard/status/1674867409591623700</v>
      </c>
      <c r="AF2577" s="79">
        <v>45107.825023148151</v>
      </c>
      <c r="AG2577" s="85">
        <v>45107</v>
      </c>
      <c r="AH2577" s="80" t="s">
        <v>12894</v>
      </c>
      <c r="AI2577" s="77" t="b">
        <v>0</v>
      </c>
      <c r="AJ2577" s="77"/>
      <c r="AK2577" s="77"/>
      <c r="AL2577" s="77"/>
      <c r="AM2577" s="77"/>
      <c r="AN2577" s="77"/>
      <c r="AO2577" s="77"/>
      <c r="AP2577" s="77"/>
      <c r="AQ2577" s="77"/>
      <c r="AR2577" s="77"/>
      <c r="AS2577" s="77"/>
      <c r="AT2577" s="77"/>
      <c r="AU2577" s="77"/>
      <c r="AV2577" s="83" t="str">
        <f>HYPERLINK("https://pbs.twimg.com/profile_images/1455618573976604686/fLgMmCBn_normal.jpg")</f>
        <v>https://pbs.twimg.com/profile_images/1455618573976604686/fLgMmCBn_normal.jpg</v>
      </c>
      <c r="AW2577" s="80" t="s">
        <v>18367</v>
      </c>
      <c r="AX2577" s="80" t="s">
        <v>18367</v>
      </c>
      <c r="AY2577" s="77"/>
      <c r="AZ2577" s="80" t="s">
        <v>20380</v>
      </c>
      <c r="BA2577" s="80" t="s">
        <v>20380</v>
      </c>
      <c r="BB2577" s="80" t="s">
        <v>20380</v>
      </c>
      <c r="BC2577" s="80" t="s">
        <v>18367</v>
      </c>
      <c r="BD2577" s="80" t="s">
        <v>20911</v>
      </c>
      <c r="BE2577" s="77"/>
      <c r="BF2577" s="77"/>
      <c r="BG2577" s="77"/>
      <c r="BH2577" s="77"/>
      <c r="BI2577" s="77"/>
    </row>
    <row r="2578" spans="1:61" x14ac:dyDescent="0.25">
      <c r="A2578" s="62" t="s">
        <v>1070</v>
      </c>
      <c r="B2578" s="62" t="s">
        <v>1070</v>
      </c>
      <c r="C2578" s="63"/>
      <c r="D2578" s="64"/>
      <c r="E2578" s="65"/>
      <c r="F2578" s="66"/>
      <c r="G2578" s="63"/>
      <c r="H2578" s="67"/>
      <c r="I2578" s="68"/>
      <c r="J2578" s="68"/>
      <c r="K2578" s="32"/>
      <c r="L2578" s="75">
        <v>2578</v>
      </c>
      <c r="M2578" s="75"/>
      <c r="N2578" s="70"/>
      <c r="O2578" s="77" t="s">
        <v>179</v>
      </c>
      <c r="P2578" s="79">
        <v>45112.063217592593</v>
      </c>
      <c r="Q2578" s="77" t="s">
        <v>4361</v>
      </c>
      <c r="R2578" s="77">
        <v>0</v>
      </c>
      <c r="S2578" s="77">
        <v>1</v>
      </c>
      <c r="T2578" s="77">
        <v>0</v>
      </c>
      <c r="U2578" s="77">
        <v>0</v>
      </c>
      <c r="V2578" s="77">
        <v>308</v>
      </c>
      <c r="W2578" s="80" t="s">
        <v>7521</v>
      </c>
      <c r="X2578" s="83" t="str">
        <f>HYPERLINK("https://rccmedia.com.do/entra-en-circulacion-el-nuevo-billete-de-rd2000-del-ano-2022/")</f>
        <v>https://rccmedia.com.do/entra-en-circulacion-el-nuevo-billete-de-rd2000-del-ano-2022/</v>
      </c>
      <c r="Y2578" s="77" t="s">
        <v>8625</v>
      </c>
      <c r="Z2578" s="77"/>
      <c r="AA2578" s="77"/>
      <c r="AB2578" s="77"/>
      <c r="AC2578" s="80" t="s">
        <v>10541</v>
      </c>
      <c r="AD2578" s="77" t="s">
        <v>10620</v>
      </c>
      <c r="AE2578" s="83" t="str">
        <f>HYPERLINK("https://twitter.com/rccmediard/status/1676403279033507840")</f>
        <v>https://twitter.com/rccmediard/status/1676403279033507840</v>
      </c>
      <c r="AF2578" s="79">
        <v>45112.063217592593</v>
      </c>
      <c r="AG2578" s="85">
        <v>45112</v>
      </c>
      <c r="AH2578" s="80" t="s">
        <v>12895</v>
      </c>
      <c r="AI2578" s="77" t="b">
        <v>0</v>
      </c>
      <c r="AJ2578" s="77"/>
      <c r="AK2578" s="77"/>
      <c r="AL2578" s="77"/>
      <c r="AM2578" s="77"/>
      <c r="AN2578" s="77"/>
      <c r="AO2578" s="77"/>
      <c r="AP2578" s="77"/>
      <c r="AQ2578" s="77"/>
      <c r="AR2578" s="77"/>
      <c r="AS2578" s="77"/>
      <c r="AT2578" s="77"/>
      <c r="AU2578" s="77"/>
      <c r="AV2578" s="83" t="str">
        <f>HYPERLINK("https://pbs.twimg.com/profile_images/1455618573976604686/fLgMmCBn_normal.jpg")</f>
        <v>https://pbs.twimg.com/profile_images/1455618573976604686/fLgMmCBn_normal.jpg</v>
      </c>
      <c r="AW2578" s="80" t="s">
        <v>18368</v>
      </c>
      <c r="AX2578" s="80" t="s">
        <v>18368</v>
      </c>
      <c r="AY2578" s="77"/>
      <c r="AZ2578" s="80" t="s">
        <v>20380</v>
      </c>
      <c r="BA2578" s="80" t="s">
        <v>20380</v>
      </c>
      <c r="BB2578" s="80" t="s">
        <v>20380</v>
      </c>
      <c r="BC2578" s="80" t="s">
        <v>18368</v>
      </c>
      <c r="BD2578" s="80" t="s">
        <v>20911</v>
      </c>
      <c r="BE2578" s="77"/>
      <c r="BF2578" s="77"/>
      <c r="BG2578" s="77"/>
      <c r="BH2578" s="77"/>
      <c r="BI2578" s="77"/>
    </row>
    <row r="2579" spans="1:61" x14ac:dyDescent="0.25">
      <c r="A2579" s="62" t="s">
        <v>1070</v>
      </c>
      <c r="B2579" s="62" t="s">
        <v>1070</v>
      </c>
      <c r="C2579" s="63"/>
      <c r="D2579" s="64"/>
      <c r="E2579" s="65"/>
      <c r="F2579" s="66"/>
      <c r="G2579" s="63"/>
      <c r="H2579" s="67"/>
      <c r="I2579" s="68"/>
      <c r="J2579" s="68"/>
      <c r="K2579" s="32"/>
      <c r="L2579" s="75">
        <v>2579</v>
      </c>
      <c r="M2579" s="75"/>
      <c r="N2579" s="70"/>
      <c r="O2579" s="77" t="s">
        <v>179</v>
      </c>
      <c r="P2579" s="79">
        <v>45111.070497685185</v>
      </c>
      <c r="Q2579" s="77" t="s">
        <v>4362</v>
      </c>
      <c r="R2579" s="77">
        <v>0</v>
      </c>
      <c r="S2579" s="77">
        <v>0</v>
      </c>
      <c r="T2579" s="77">
        <v>0</v>
      </c>
      <c r="U2579" s="77">
        <v>0</v>
      </c>
      <c r="V2579" s="77">
        <v>250</v>
      </c>
      <c r="W2579" s="80" t="s">
        <v>7522</v>
      </c>
      <c r="X2579" s="83" t="str">
        <f>HYPERLINK("https://rccmedia.com.do/empresas-y-mipymes-buscan-estimulos-monetarios-tras-reduccion-de-tasas/")</f>
        <v>https://rccmedia.com.do/empresas-y-mipymes-buscan-estimulos-monetarios-tras-reduccion-de-tasas/</v>
      </c>
      <c r="Y2579" s="77" t="s">
        <v>8625</v>
      </c>
      <c r="Z2579" s="77"/>
      <c r="AA2579" s="77"/>
      <c r="AB2579" s="77"/>
      <c r="AC2579" s="80" t="s">
        <v>10541</v>
      </c>
      <c r="AD2579" s="77" t="s">
        <v>10620</v>
      </c>
      <c r="AE2579" s="83" t="str">
        <f>HYPERLINK("https://twitter.com/rccmediard/status/1676043530735681538")</f>
        <v>https://twitter.com/rccmediard/status/1676043530735681538</v>
      </c>
      <c r="AF2579" s="79">
        <v>45111.070497685185</v>
      </c>
      <c r="AG2579" s="85">
        <v>45111</v>
      </c>
      <c r="AH2579" s="80" t="s">
        <v>12896</v>
      </c>
      <c r="AI2579" s="77" t="b">
        <v>0</v>
      </c>
      <c r="AJ2579" s="77"/>
      <c r="AK2579" s="77"/>
      <c r="AL2579" s="77"/>
      <c r="AM2579" s="77"/>
      <c r="AN2579" s="77"/>
      <c r="AO2579" s="77"/>
      <c r="AP2579" s="77"/>
      <c r="AQ2579" s="77"/>
      <c r="AR2579" s="77"/>
      <c r="AS2579" s="77"/>
      <c r="AT2579" s="77"/>
      <c r="AU2579" s="77"/>
      <c r="AV2579" s="83" t="str">
        <f>HYPERLINK("https://pbs.twimg.com/profile_images/1455618573976604686/fLgMmCBn_normal.jpg")</f>
        <v>https://pbs.twimg.com/profile_images/1455618573976604686/fLgMmCBn_normal.jpg</v>
      </c>
      <c r="AW2579" s="80" t="s">
        <v>18369</v>
      </c>
      <c r="AX2579" s="80" t="s">
        <v>18369</v>
      </c>
      <c r="AY2579" s="77"/>
      <c r="AZ2579" s="80" t="s">
        <v>20380</v>
      </c>
      <c r="BA2579" s="80" t="s">
        <v>20380</v>
      </c>
      <c r="BB2579" s="80" t="s">
        <v>20380</v>
      </c>
      <c r="BC2579" s="80" t="s">
        <v>18369</v>
      </c>
      <c r="BD2579" s="80" t="s">
        <v>20911</v>
      </c>
      <c r="BE2579" s="77"/>
      <c r="BF2579" s="77"/>
      <c r="BG2579" s="77"/>
      <c r="BH2579" s="77"/>
      <c r="BI2579" s="77"/>
    </row>
    <row r="2580" spans="1:61" x14ac:dyDescent="0.25">
      <c r="A2580" s="62" t="s">
        <v>1071</v>
      </c>
      <c r="B2580" s="62" t="s">
        <v>1596</v>
      </c>
      <c r="C2580" s="63"/>
      <c r="D2580" s="64"/>
      <c r="E2580" s="65"/>
      <c r="F2580" s="66"/>
      <c r="G2580" s="63"/>
      <c r="H2580" s="67"/>
      <c r="I2580" s="68"/>
      <c r="J2580" s="68"/>
      <c r="K2580" s="32"/>
      <c r="L2580" s="75">
        <v>2580</v>
      </c>
      <c r="M2580" s="75"/>
      <c r="N2580" s="70"/>
      <c r="O2580" s="77" t="s">
        <v>2081</v>
      </c>
      <c r="P2580" s="79">
        <v>45068.556631944448</v>
      </c>
      <c r="Q2580" s="77" t="s">
        <v>4363</v>
      </c>
      <c r="R2580" s="77">
        <v>0</v>
      </c>
      <c r="S2580" s="77">
        <v>0</v>
      </c>
      <c r="T2580" s="77">
        <v>0</v>
      </c>
      <c r="U2580" s="77">
        <v>0</v>
      </c>
      <c r="V2580" s="77">
        <v>8</v>
      </c>
      <c r="W2580" s="80" t="s">
        <v>6008</v>
      </c>
      <c r="X2580" s="83" t="str">
        <f>HYPERLINK("https://www.bcb.gov.br/publicacoes/focus?fbclid=IwAR2UB4g7AcxQn-2LaNxku0e6WKkxyV2YD12OGkYZAwbTctldRX2RLW_qN4Q")</f>
        <v>https://www.bcb.gov.br/publicacoes/focus?fbclid=IwAR2UB4g7AcxQn-2LaNxku0e6WKkxyV2YD12OGkYZAwbTctldRX2RLW_qN4Q</v>
      </c>
      <c r="Y2580" s="77" t="s">
        <v>8633</v>
      </c>
      <c r="Z2580" s="77" t="s">
        <v>1596</v>
      </c>
      <c r="AA2580" s="77"/>
      <c r="AB2580" s="77"/>
      <c r="AC2580" s="80" t="s">
        <v>10541</v>
      </c>
      <c r="AD2580" s="77" t="s">
        <v>10617</v>
      </c>
      <c r="AE2580" s="83" t="str">
        <f>HYPERLINK("https://twitter.com/fabioalbianibar/status/1660637020299960321")</f>
        <v>https://twitter.com/fabioalbianibar/status/1660637020299960321</v>
      </c>
      <c r="AF2580" s="79">
        <v>45068.556631944448</v>
      </c>
      <c r="AG2580" s="85">
        <v>45068</v>
      </c>
      <c r="AH2580" s="80" t="s">
        <v>12897</v>
      </c>
      <c r="AI2580" s="77" t="b">
        <v>0</v>
      </c>
      <c r="AJ2580" s="77"/>
      <c r="AK2580" s="77"/>
      <c r="AL2580" s="77"/>
      <c r="AM2580" s="77"/>
      <c r="AN2580" s="77"/>
      <c r="AO2580" s="77"/>
      <c r="AP2580" s="77"/>
      <c r="AQ2580" s="77"/>
      <c r="AR2580" s="77"/>
      <c r="AS2580" s="77"/>
      <c r="AT2580" s="77"/>
      <c r="AU2580" s="77"/>
      <c r="AV2580" s="83" t="str">
        <f>HYPERLINK("https://abs.twimg.com/sticky/default_profile_images/default_profile_normal.png")</f>
        <v>https://abs.twimg.com/sticky/default_profile_images/default_profile_normal.png</v>
      </c>
      <c r="AW2580" s="80" t="s">
        <v>18370</v>
      </c>
      <c r="AX2580" s="80" t="s">
        <v>18370</v>
      </c>
      <c r="AY2580" s="77"/>
      <c r="AZ2580" s="80" t="s">
        <v>20380</v>
      </c>
      <c r="BA2580" s="80" t="s">
        <v>20380</v>
      </c>
      <c r="BB2580" s="80" t="s">
        <v>20380</v>
      </c>
      <c r="BC2580" s="80" t="s">
        <v>18370</v>
      </c>
      <c r="BD2580" s="77">
        <v>1961817306</v>
      </c>
      <c r="BE2580" s="77"/>
      <c r="BF2580" s="77"/>
      <c r="BG2580" s="77"/>
      <c r="BH2580" s="77"/>
      <c r="BI2580" s="77"/>
    </row>
    <row r="2581" spans="1:61" x14ac:dyDescent="0.25">
      <c r="A2581" s="62" t="s">
        <v>1072</v>
      </c>
      <c r="B2581" s="62" t="s">
        <v>1072</v>
      </c>
      <c r="C2581" s="63"/>
      <c r="D2581" s="64"/>
      <c r="E2581" s="65"/>
      <c r="F2581" s="66"/>
      <c r="G2581" s="63"/>
      <c r="H2581" s="67"/>
      <c r="I2581" s="68"/>
      <c r="J2581" s="68"/>
      <c r="K2581" s="32"/>
      <c r="L2581" s="75">
        <v>2581</v>
      </c>
      <c r="M2581" s="75"/>
      <c r="N2581" s="70"/>
      <c r="O2581" s="77" t="s">
        <v>179</v>
      </c>
      <c r="P2581" s="79">
        <v>45048.684953703705</v>
      </c>
      <c r="Q2581" s="77" t="s">
        <v>4364</v>
      </c>
      <c r="R2581" s="77">
        <v>0</v>
      </c>
      <c r="S2581" s="77">
        <v>0</v>
      </c>
      <c r="T2581" s="77">
        <v>0</v>
      </c>
      <c r="U2581" s="77">
        <v>0</v>
      </c>
      <c r="V2581" s="77">
        <v>25</v>
      </c>
      <c r="W2581" s="80" t="s">
        <v>7523</v>
      </c>
      <c r="X2581" s="77"/>
      <c r="Y2581" s="77"/>
      <c r="Z2581" s="77"/>
      <c r="AA2581" s="77" t="s">
        <v>9830</v>
      </c>
      <c r="AB2581" s="77" t="s">
        <v>10535</v>
      </c>
      <c r="AC2581" s="80" t="s">
        <v>10541</v>
      </c>
      <c r="AD2581" s="77" t="s">
        <v>10617</v>
      </c>
      <c r="AE2581" s="83" t="str">
        <f>HYPERLINK("https://twitter.com/nascimentomma/status/1653435765227921409")</f>
        <v>https://twitter.com/nascimentomma/status/1653435765227921409</v>
      </c>
      <c r="AF2581" s="79">
        <v>45048.684953703705</v>
      </c>
      <c r="AG2581" s="85">
        <v>45048</v>
      </c>
      <c r="AH2581" s="80" t="s">
        <v>12898</v>
      </c>
      <c r="AI2581" s="77" t="b">
        <v>0</v>
      </c>
      <c r="AJ2581" s="77"/>
      <c r="AK2581" s="77"/>
      <c r="AL2581" s="77"/>
      <c r="AM2581" s="77"/>
      <c r="AN2581" s="77"/>
      <c r="AO2581" s="77"/>
      <c r="AP2581" s="77"/>
      <c r="AQ2581" s="77" t="s">
        <v>15312</v>
      </c>
      <c r="AR2581" s="77"/>
      <c r="AS2581" s="77"/>
      <c r="AT2581" s="77"/>
      <c r="AU2581" s="77"/>
      <c r="AV2581" s="83" t="str">
        <f>HYPERLINK("https://pbs.twimg.com/media/FvIueogXgAMsHbC.jpg")</f>
        <v>https://pbs.twimg.com/media/FvIueogXgAMsHbC.jpg</v>
      </c>
      <c r="AW2581" s="80" t="s">
        <v>18371</v>
      </c>
      <c r="AX2581" s="80" t="s">
        <v>18371</v>
      </c>
      <c r="AY2581" s="77"/>
      <c r="AZ2581" s="80" t="s">
        <v>20380</v>
      </c>
      <c r="BA2581" s="80" t="s">
        <v>20380</v>
      </c>
      <c r="BB2581" s="80" t="s">
        <v>20380</v>
      </c>
      <c r="BC2581" s="80" t="s">
        <v>18371</v>
      </c>
      <c r="BD2581" s="80" t="s">
        <v>20912</v>
      </c>
      <c r="BE2581" s="77"/>
      <c r="BF2581" s="77"/>
      <c r="BG2581" s="77"/>
      <c r="BH2581" s="77"/>
      <c r="BI2581" s="77"/>
    </row>
    <row r="2582" spans="1:61" x14ac:dyDescent="0.25">
      <c r="A2582" s="62" t="s">
        <v>1073</v>
      </c>
      <c r="B2582" s="62" t="s">
        <v>1073</v>
      </c>
      <c r="C2582" s="63"/>
      <c r="D2582" s="64"/>
      <c r="E2582" s="65"/>
      <c r="F2582" s="66"/>
      <c r="G2582" s="63"/>
      <c r="H2582" s="67"/>
      <c r="I2582" s="68"/>
      <c r="J2582" s="68"/>
      <c r="K2582" s="32"/>
      <c r="L2582" s="75">
        <v>2582</v>
      </c>
      <c r="M2582" s="75"/>
      <c r="N2582" s="70"/>
      <c r="O2582" s="77" t="s">
        <v>179</v>
      </c>
      <c r="P2582" s="79">
        <v>45141.096747685187</v>
      </c>
      <c r="Q2582" s="77" t="s">
        <v>4365</v>
      </c>
      <c r="R2582" s="77">
        <v>0</v>
      </c>
      <c r="S2582" s="77">
        <v>0</v>
      </c>
      <c r="T2582" s="77">
        <v>0</v>
      </c>
      <c r="U2582" s="77">
        <v>0</v>
      </c>
      <c r="V2582" s="77">
        <v>14</v>
      </c>
      <c r="W2582" s="80" t="s">
        <v>7524</v>
      </c>
      <c r="X2582" s="83" t="str">
        <f>HYPERLINK("https://agenciabrasil.ebc.com.br/economia/noticia/2023-08/copom-reduz-juros-basicos-da-economia-para-1325-ao-ano")</f>
        <v>https://agenciabrasil.ebc.com.br/economia/noticia/2023-08/copom-reduz-juros-basicos-da-economia-para-1325-ao-ano</v>
      </c>
      <c r="Y2582" s="77" t="s">
        <v>8611</v>
      </c>
      <c r="Z2582" s="77"/>
      <c r="AA2582" s="77"/>
      <c r="AB2582" s="77"/>
      <c r="AC2582" s="80" t="s">
        <v>10541</v>
      </c>
      <c r="AD2582" s="77" t="s">
        <v>10617</v>
      </c>
      <c r="AE2582" s="83" t="str">
        <f>HYPERLINK("https://twitter.com/robertoleo1975/status/1686924676264497152")</f>
        <v>https://twitter.com/robertoleo1975/status/1686924676264497152</v>
      </c>
      <c r="AF2582" s="79">
        <v>45141.096747685187</v>
      </c>
      <c r="AG2582" s="85">
        <v>45141</v>
      </c>
      <c r="AH2582" s="80" t="s">
        <v>12899</v>
      </c>
      <c r="AI2582" s="77" t="b">
        <v>0</v>
      </c>
      <c r="AJ2582" s="77"/>
      <c r="AK2582" s="77"/>
      <c r="AL2582" s="77"/>
      <c r="AM2582" s="77"/>
      <c r="AN2582" s="77"/>
      <c r="AO2582" s="77"/>
      <c r="AP2582" s="77"/>
      <c r="AQ2582" s="77"/>
      <c r="AR2582" s="77"/>
      <c r="AS2582" s="77"/>
      <c r="AT2582" s="77"/>
      <c r="AU2582" s="77"/>
      <c r="AV2582" s="83" t="str">
        <f>HYPERLINK("https://pbs.twimg.com/profile_images/1676537849968046080/7wbrqYd8_normal.jpg")</f>
        <v>https://pbs.twimg.com/profile_images/1676537849968046080/7wbrqYd8_normal.jpg</v>
      </c>
      <c r="AW2582" s="80" t="s">
        <v>18372</v>
      </c>
      <c r="AX2582" s="80" t="s">
        <v>18372</v>
      </c>
      <c r="AY2582" s="77"/>
      <c r="AZ2582" s="80" t="s">
        <v>20380</v>
      </c>
      <c r="BA2582" s="80" t="s">
        <v>20380</v>
      </c>
      <c r="BB2582" s="80" t="s">
        <v>20380</v>
      </c>
      <c r="BC2582" s="80" t="s">
        <v>18372</v>
      </c>
      <c r="BD2582" s="80" t="s">
        <v>20913</v>
      </c>
      <c r="BE2582" s="77"/>
      <c r="BF2582" s="77"/>
      <c r="BG2582" s="77"/>
      <c r="BH2582" s="77"/>
      <c r="BI2582" s="77"/>
    </row>
    <row r="2583" spans="1:61" x14ac:dyDescent="0.25">
      <c r="A2583" s="62" t="s">
        <v>1074</v>
      </c>
      <c r="B2583" s="62" t="s">
        <v>1655</v>
      </c>
      <c r="C2583" s="63"/>
      <c r="D2583" s="64"/>
      <c r="E2583" s="65"/>
      <c r="F2583" s="66"/>
      <c r="G2583" s="63"/>
      <c r="H2583" s="67"/>
      <c r="I2583" s="68"/>
      <c r="J2583" s="68"/>
      <c r="K2583" s="32"/>
      <c r="L2583" s="75">
        <v>2583</v>
      </c>
      <c r="M2583" s="75"/>
      <c r="N2583" s="70"/>
      <c r="O2583" s="77" t="s">
        <v>2083</v>
      </c>
      <c r="P2583" s="79">
        <v>45191.010787037034</v>
      </c>
      <c r="Q2583" s="77" t="s">
        <v>2120</v>
      </c>
      <c r="R2583" s="77">
        <v>57</v>
      </c>
      <c r="S2583" s="77">
        <v>0</v>
      </c>
      <c r="T2583" s="77">
        <v>0</v>
      </c>
      <c r="U2583" s="77">
        <v>0</v>
      </c>
      <c r="V2583" s="77"/>
      <c r="W2583" s="80" t="s">
        <v>5917</v>
      </c>
      <c r="X2583" s="77"/>
      <c r="Y2583" s="77"/>
      <c r="Z2583" s="77" t="s">
        <v>1655</v>
      </c>
      <c r="AA2583" s="77"/>
      <c r="AB2583" s="77"/>
      <c r="AC2583" s="80" t="s">
        <v>10540</v>
      </c>
      <c r="AD2583" s="77" t="s">
        <v>10617</v>
      </c>
      <c r="AE2583" s="83" t="str">
        <f>HYPERLINK("https://twitter.com/carlosnovo30/status/1705012920147399160")</f>
        <v>https://twitter.com/carlosnovo30/status/1705012920147399160</v>
      </c>
      <c r="AF2583" s="79">
        <v>45191.010787037034</v>
      </c>
      <c r="AG2583" s="85">
        <v>45191</v>
      </c>
      <c r="AH2583" s="80" t="s">
        <v>12900</v>
      </c>
      <c r="AI2583" s="77"/>
      <c r="AJ2583" s="77"/>
      <c r="AK2583" s="77"/>
      <c r="AL2583" s="77"/>
      <c r="AM2583" s="77"/>
      <c r="AN2583" s="77"/>
      <c r="AO2583" s="77"/>
      <c r="AP2583" s="77"/>
      <c r="AQ2583" s="77"/>
      <c r="AR2583" s="77"/>
      <c r="AS2583" s="77"/>
      <c r="AT2583" s="77"/>
      <c r="AU2583" s="77"/>
      <c r="AV2583" s="83" t="str">
        <f>HYPERLINK("https://pbs.twimg.com/profile_images/1644766058732036096/nxByH--d_normal.jpg")</f>
        <v>https://pbs.twimg.com/profile_images/1644766058732036096/nxByH--d_normal.jpg</v>
      </c>
      <c r="AW2583" s="80" t="s">
        <v>18373</v>
      </c>
      <c r="AX2583" s="80" t="s">
        <v>18373</v>
      </c>
      <c r="AY2583" s="77"/>
      <c r="AZ2583" s="80" t="s">
        <v>20380</v>
      </c>
      <c r="BA2583" s="80" t="s">
        <v>20380</v>
      </c>
      <c r="BB2583" s="80" t="s">
        <v>19843</v>
      </c>
      <c r="BC2583" s="80" t="s">
        <v>19843</v>
      </c>
      <c r="BD2583" s="77">
        <v>2576308558</v>
      </c>
      <c r="BE2583" s="77"/>
      <c r="BF2583" s="77"/>
      <c r="BG2583" s="77"/>
      <c r="BH2583" s="77"/>
      <c r="BI2583" s="77"/>
    </row>
    <row r="2584" spans="1:61" x14ac:dyDescent="0.25">
      <c r="A2584" s="62" t="s">
        <v>1075</v>
      </c>
      <c r="B2584" s="62" t="s">
        <v>1952</v>
      </c>
      <c r="C2584" s="63"/>
      <c r="D2584" s="64"/>
      <c r="E2584" s="65"/>
      <c r="F2584" s="66"/>
      <c r="G2584" s="63"/>
      <c r="H2584" s="67"/>
      <c r="I2584" s="68"/>
      <c r="J2584" s="68"/>
      <c r="K2584" s="32"/>
      <c r="L2584" s="75">
        <v>2584</v>
      </c>
      <c r="M2584" s="75"/>
      <c r="N2584" s="70"/>
      <c r="O2584" s="77" t="s">
        <v>2078</v>
      </c>
      <c r="P2584" s="79">
        <v>45180.660127314812</v>
      </c>
      <c r="Q2584" s="77" t="s">
        <v>4366</v>
      </c>
      <c r="R2584" s="77">
        <v>1</v>
      </c>
      <c r="S2584" s="77">
        <v>0</v>
      </c>
      <c r="T2584" s="77">
        <v>0</v>
      </c>
      <c r="U2584" s="77">
        <v>0</v>
      </c>
      <c r="V2584" s="77">
        <v>91</v>
      </c>
      <c r="W2584" s="80" t="s">
        <v>7525</v>
      </c>
      <c r="X2584" s="77"/>
      <c r="Y2584" s="77"/>
      <c r="Z2584" s="77" t="s">
        <v>1952</v>
      </c>
      <c r="AA2584" s="77"/>
      <c r="AB2584" s="77"/>
      <c r="AC2584" s="80" t="s">
        <v>10540</v>
      </c>
      <c r="AD2584" s="77" t="s">
        <v>10617</v>
      </c>
      <c r="AE2584" s="83" t="str">
        <f>HYPERLINK("https://twitter.com/lugomes2020/status/1701261966189170762")</f>
        <v>https://twitter.com/lugomes2020/status/1701261966189170762</v>
      </c>
      <c r="AF2584" s="79">
        <v>45180.660127314812</v>
      </c>
      <c r="AG2584" s="85">
        <v>45180</v>
      </c>
      <c r="AH2584" s="80" t="s">
        <v>12901</v>
      </c>
      <c r="AI2584" s="77"/>
      <c r="AJ2584" s="77"/>
      <c r="AK2584" s="77"/>
      <c r="AL2584" s="77"/>
      <c r="AM2584" s="77"/>
      <c r="AN2584" s="77"/>
      <c r="AO2584" s="77"/>
      <c r="AP2584" s="77"/>
      <c r="AQ2584" s="77"/>
      <c r="AR2584" s="77"/>
      <c r="AS2584" s="77"/>
      <c r="AT2584" s="77"/>
      <c r="AU2584" s="77"/>
      <c r="AV2584" s="83" t="str">
        <f>HYPERLINK("https://pbs.twimg.com/profile_images/1338438902869340163/_6hd9SYO_normal.jpg")</f>
        <v>https://pbs.twimg.com/profile_images/1338438902869340163/_6hd9SYO_normal.jpg</v>
      </c>
      <c r="AW2584" s="80" t="s">
        <v>18374</v>
      </c>
      <c r="AX2584" s="80" t="s">
        <v>20067</v>
      </c>
      <c r="AY2584" s="80" t="s">
        <v>20318</v>
      </c>
      <c r="AZ2584" s="80" t="s">
        <v>20067</v>
      </c>
      <c r="BA2584" s="80" t="s">
        <v>20380</v>
      </c>
      <c r="BB2584" s="80" t="s">
        <v>20380</v>
      </c>
      <c r="BC2584" s="80" t="s">
        <v>20067</v>
      </c>
      <c r="BD2584" s="80" t="s">
        <v>20914</v>
      </c>
      <c r="BE2584" s="77"/>
      <c r="BF2584" s="77"/>
      <c r="BG2584" s="77"/>
      <c r="BH2584" s="77"/>
      <c r="BI2584" s="77"/>
    </row>
    <row r="2585" spans="1:61" x14ac:dyDescent="0.25">
      <c r="A2585" s="62" t="s">
        <v>1076</v>
      </c>
      <c r="B2585" s="62" t="s">
        <v>1076</v>
      </c>
      <c r="C2585" s="63"/>
      <c r="D2585" s="64"/>
      <c r="E2585" s="65"/>
      <c r="F2585" s="66"/>
      <c r="G2585" s="63"/>
      <c r="H2585" s="67"/>
      <c r="I2585" s="68"/>
      <c r="J2585" s="68"/>
      <c r="K2585" s="32"/>
      <c r="L2585" s="75">
        <v>2585</v>
      </c>
      <c r="M2585" s="75"/>
      <c r="N2585" s="70"/>
      <c r="O2585" s="77" t="s">
        <v>179</v>
      </c>
      <c r="P2585" s="79">
        <v>45147.171782407408</v>
      </c>
      <c r="Q2585" s="77" t="s">
        <v>4367</v>
      </c>
      <c r="R2585" s="77">
        <v>10</v>
      </c>
      <c r="S2585" s="77">
        <v>7</v>
      </c>
      <c r="T2585" s="77">
        <v>0</v>
      </c>
      <c r="U2585" s="77">
        <v>0</v>
      </c>
      <c r="V2585" s="77">
        <v>32</v>
      </c>
      <c r="W2585" s="80" t="s">
        <v>6836</v>
      </c>
      <c r="X2585" s="77"/>
      <c r="Y2585" s="77"/>
      <c r="Z2585" s="77"/>
      <c r="AA2585" s="77" t="s">
        <v>9831</v>
      </c>
      <c r="AB2585" s="77" t="s">
        <v>10535</v>
      </c>
      <c r="AC2585" s="80" t="s">
        <v>10540</v>
      </c>
      <c r="AD2585" s="77" t="s">
        <v>10625</v>
      </c>
      <c r="AE2585" s="83" t="str">
        <f>HYPERLINK("https://twitter.com/carboneltriana/status/1689126196771004416")</f>
        <v>https://twitter.com/carboneltriana/status/1689126196771004416</v>
      </c>
      <c r="AF2585" s="79">
        <v>45147.171782407408</v>
      </c>
      <c r="AG2585" s="85">
        <v>45147</v>
      </c>
      <c r="AH2585" s="80" t="s">
        <v>12902</v>
      </c>
      <c r="AI2585" s="77" t="b">
        <v>0</v>
      </c>
      <c r="AJ2585" s="77"/>
      <c r="AK2585" s="77"/>
      <c r="AL2585" s="77"/>
      <c r="AM2585" s="77"/>
      <c r="AN2585" s="77"/>
      <c r="AO2585" s="77"/>
      <c r="AP2585" s="77"/>
      <c r="AQ2585" s="77" t="s">
        <v>15313</v>
      </c>
      <c r="AR2585" s="77"/>
      <c r="AS2585" s="77"/>
      <c r="AT2585" s="77"/>
      <c r="AU2585" s="77"/>
      <c r="AV2585" s="83" t="str">
        <f>HYPERLINK("https://pbs.twimg.com/media/F3D7T_LXwAEgcym.jpg")</f>
        <v>https://pbs.twimg.com/media/F3D7T_LXwAEgcym.jpg</v>
      </c>
      <c r="AW2585" s="80" t="s">
        <v>18375</v>
      </c>
      <c r="AX2585" s="80" t="s">
        <v>18375</v>
      </c>
      <c r="AY2585" s="77"/>
      <c r="AZ2585" s="80" t="s">
        <v>20380</v>
      </c>
      <c r="BA2585" s="80" t="s">
        <v>20380</v>
      </c>
      <c r="BB2585" s="80" t="s">
        <v>20380</v>
      </c>
      <c r="BC2585" s="80" t="s">
        <v>18375</v>
      </c>
      <c r="BD2585" s="80" t="s">
        <v>20915</v>
      </c>
      <c r="BE2585" s="77"/>
      <c r="BF2585" s="77"/>
      <c r="BG2585" s="77"/>
      <c r="BH2585" s="77"/>
      <c r="BI2585" s="77"/>
    </row>
    <row r="2586" spans="1:61" x14ac:dyDescent="0.25">
      <c r="A2586" s="62" t="s">
        <v>1076</v>
      </c>
      <c r="B2586" s="62" t="s">
        <v>1076</v>
      </c>
      <c r="C2586" s="63"/>
      <c r="D2586" s="64"/>
      <c r="E2586" s="65"/>
      <c r="F2586" s="66"/>
      <c r="G2586" s="63"/>
      <c r="H2586" s="67"/>
      <c r="I2586" s="68"/>
      <c r="J2586" s="68"/>
      <c r="K2586" s="32"/>
      <c r="L2586" s="75">
        <v>2586</v>
      </c>
      <c r="M2586" s="75"/>
      <c r="N2586" s="70"/>
      <c r="O2586" s="77" t="s">
        <v>179</v>
      </c>
      <c r="P2586" s="79">
        <v>45147.170891203707</v>
      </c>
      <c r="Q2586" s="77" t="s">
        <v>4368</v>
      </c>
      <c r="R2586" s="77">
        <v>8</v>
      </c>
      <c r="S2586" s="77">
        <v>6</v>
      </c>
      <c r="T2586" s="77">
        <v>0</v>
      </c>
      <c r="U2586" s="77">
        <v>0</v>
      </c>
      <c r="V2586" s="77">
        <v>30</v>
      </c>
      <c r="W2586" s="80" t="s">
        <v>6836</v>
      </c>
      <c r="X2586" s="77"/>
      <c r="Y2586" s="77"/>
      <c r="Z2586" s="77"/>
      <c r="AA2586" s="77" t="s">
        <v>9832</v>
      </c>
      <c r="AB2586" s="77" t="s">
        <v>10535</v>
      </c>
      <c r="AC2586" s="80" t="s">
        <v>10540</v>
      </c>
      <c r="AD2586" s="77" t="s">
        <v>10625</v>
      </c>
      <c r="AE2586" s="83" t="str">
        <f>HYPERLINK("https://twitter.com/carboneltriana/status/1689125873092288512")</f>
        <v>https://twitter.com/carboneltriana/status/1689125873092288512</v>
      </c>
      <c r="AF2586" s="79">
        <v>45147.170891203707</v>
      </c>
      <c r="AG2586" s="85">
        <v>45147</v>
      </c>
      <c r="AH2586" s="80" t="s">
        <v>12903</v>
      </c>
      <c r="AI2586" s="77" t="b">
        <v>0</v>
      </c>
      <c r="AJ2586" s="77"/>
      <c r="AK2586" s="77"/>
      <c r="AL2586" s="77"/>
      <c r="AM2586" s="77"/>
      <c r="AN2586" s="77"/>
      <c r="AO2586" s="77"/>
      <c r="AP2586" s="77"/>
      <c r="AQ2586" s="77" t="s">
        <v>15314</v>
      </c>
      <c r="AR2586" s="77"/>
      <c r="AS2586" s="77"/>
      <c r="AT2586" s="77"/>
      <c r="AU2586" s="77"/>
      <c r="AV2586" s="83" t="str">
        <f>HYPERLINK("https://pbs.twimg.com/media/F3D7BIXWEAAxW2E.jpg")</f>
        <v>https://pbs.twimg.com/media/F3D7BIXWEAAxW2E.jpg</v>
      </c>
      <c r="AW2586" s="80" t="s">
        <v>18376</v>
      </c>
      <c r="AX2586" s="80" t="s">
        <v>18376</v>
      </c>
      <c r="AY2586" s="77"/>
      <c r="AZ2586" s="80" t="s">
        <v>20380</v>
      </c>
      <c r="BA2586" s="80" t="s">
        <v>20380</v>
      </c>
      <c r="BB2586" s="80" t="s">
        <v>20380</v>
      </c>
      <c r="BC2586" s="80" t="s">
        <v>18376</v>
      </c>
      <c r="BD2586" s="80" t="s">
        <v>20915</v>
      </c>
      <c r="BE2586" s="77"/>
      <c r="BF2586" s="77"/>
      <c r="BG2586" s="77"/>
      <c r="BH2586" s="77"/>
      <c r="BI2586" s="77"/>
    </row>
    <row r="2587" spans="1:61" x14ac:dyDescent="0.25">
      <c r="A2587" s="62" t="s">
        <v>1076</v>
      </c>
      <c r="B2587" s="62" t="s">
        <v>1076</v>
      </c>
      <c r="C2587" s="63"/>
      <c r="D2587" s="64"/>
      <c r="E2587" s="65"/>
      <c r="F2587" s="66"/>
      <c r="G2587" s="63"/>
      <c r="H2587" s="67"/>
      <c r="I2587" s="68"/>
      <c r="J2587" s="68"/>
      <c r="K2587" s="32"/>
      <c r="L2587" s="75">
        <v>2587</v>
      </c>
      <c r="M2587" s="75"/>
      <c r="N2587" s="70"/>
      <c r="O2587" s="77" t="s">
        <v>179</v>
      </c>
      <c r="P2587" s="79">
        <v>45147.169930555552</v>
      </c>
      <c r="Q2587" s="77" t="s">
        <v>4369</v>
      </c>
      <c r="R2587" s="77">
        <v>10</v>
      </c>
      <c r="S2587" s="77">
        <v>8</v>
      </c>
      <c r="T2587" s="77">
        <v>0</v>
      </c>
      <c r="U2587" s="77">
        <v>0</v>
      </c>
      <c r="V2587" s="77">
        <v>33</v>
      </c>
      <c r="W2587" s="80" t="s">
        <v>6836</v>
      </c>
      <c r="X2587" s="77"/>
      <c r="Y2587" s="77"/>
      <c r="Z2587" s="77"/>
      <c r="AA2587" s="77" t="s">
        <v>9833</v>
      </c>
      <c r="AB2587" s="77" t="s">
        <v>10535</v>
      </c>
      <c r="AC2587" s="80" t="s">
        <v>10540</v>
      </c>
      <c r="AD2587" s="77" t="s">
        <v>10625</v>
      </c>
      <c r="AE2587" s="83" t="str">
        <f>HYPERLINK("https://twitter.com/carboneltriana/status/1689125527922126848")</f>
        <v>https://twitter.com/carboneltriana/status/1689125527922126848</v>
      </c>
      <c r="AF2587" s="79">
        <v>45147.169930555552</v>
      </c>
      <c r="AG2587" s="85">
        <v>45147</v>
      </c>
      <c r="AH2587" s="80" t="s">
        <v>12904</v>
      </c>
      <c r="AI2587" s="77" t="b">
        <v>0</v>
      </c>
      <c r="AJ2587" s="77"/>
      <c r="AK2587" s="77"/>
      <c r="AL2587" s="77"/>
      <c r="AM2587" s="77"/>
      <c r="AN2587" s="77"/>
      <c r="AO2587" s="77"/>
      <c r="AP2587" s="77"/>
      <c r="AQ2587" s="77" t="s">
        <v>15315</v>
      </c>
      <c r="AR2587" s="77"/>
      <c r="AS2587" s="77"/>
      <c r="AT2587" s="77"/>
      <c r="AU2587" s="77"/>
      <c r="AV2587" s="83" t="str">
        <f>HYPERLINK("https://pbs.twimg.com/media/F3D6siNW0AALJqu.jpg")</f>
        <v>https://pbs.twimg.com/media/F3D6siNW0AALJqu.jpg</v>
      </c>
      <c r="AW2587" s="80" t="s">
        <v>18377</v>
      </c>
      <c r="AX2587" s="80" t="s">
        <v>18377</v>
      </c>
      <c r="AY2587" s="77"/>
      <c r="AZ2587" s="80" t="s">
        <v>20380</v>
      </c>
      <c r="BA2587" s="80" t="s">
        <v>20380</v>
      </c>
      <c r="BB2587" s="80" t="s">
        <v>20380</v>
      </c>
      <c r="BC2587" s="80" t="s">
        <v>18377</v>
      </c>
      <c r="BD2587" s="80" t="s">
        <v>20915</v>
      </c>
      <c r="BE2587" s="77"/>
      <c r="BF2587" s="77"/>
      <c r="BG2587" s="77"/>
      <c r="BH2587" s="77"/>
      <c r="BI2587" s="77"/>
    </row>
    <row r="2588" spans="1:61" x14ac:dyDescent="0.25">
      <c r="A2588" s="62" t="s">
        <v>1077</v>
      </c>
      <c r="B2588" s="62" t="s">
        <v>1077</v>
      </c>
      <c r="C2588" s="63"/>
      <c r="D2588" s="64"/>
      <c r="E2588" s="65"/>
      <c r="F2588" s="66"/>
      <c r="G2588" s="63"/>
      <c r="H2588" s="67"/>
      <c r="I2588" s="68"/>
      <c r="J2588" s="68"/>
      <c r="K2588" s="32"/>
      <c r="L2588" s="75">
        <v>2588</v>
      </c>
      <c r="M2588" s="75"/>
      <c r="N2588" s="70"/>
      <c r="O2588" s="77" t="s">
        <v>179</v>
      </c>
      <c r="P2588" s="79">
        <v>45133.824999999997</v>
      </c>
      <c r="Q2588" s="77" t="s">
        <v>4370</v>
      </c>
      <c r="R2588" s="77">
        <v>0</v>
      </c>
      <c r="S2588" s="77">
        <v>0</v>
      </c>
      <c r="T2588" s="77">
        <v>0</v>
      </c>
      <c r="U2588" s="77">
        <v>0</v>
      </c>
      <c r="V2588" s="77">
        <v>6</v>
      </c>
      <c r="W2588" s="80" t="s">
        <v>7526</v>
      </c>
      <c r="X2588" s="83" t="str">
        <f>HYPERLINK("https://bit.ly/44FjezX")</f>
        <v>https://bit.ly/44FjezX</v>
      </c>
      <c r="Y2588" s="77" t="s">
        <v>8618</v>
      </c>
      <c r="Z2588" s="77"/>
      <c r="AA2588" s="77"/>
      <c r="AB2588" s="77"/>
      <c r="AC2588" s="80" t="s">
        <v>10541</v>
      </c>
      <c r="AD2588" s="77" t="s">
        <v>10617</v>
      </c>
      <c r="AE2588" s="83" t="str">
        <f>HYPERLINK("https://twitter.com/lexlatinbr/status/1684289484009996296")</f>
        <v>https://twitter.com/lexlatinbr/status/1684289484009996296</v>
      </c>
      <c r="AF2588" s="79">
        <v>45133.824999999997</v>
      </c>
      <c r="AG2588" s="85">
        <v>45133</v>
      </c>
      <c r="AH2588" s="80" t="s">
        <v>12905</v>
      </c>
      <c r="AI2588" s="77" t="b">
        <v>0</v>
      </c>
      <c r="AJ2588" s="77"/>
      <c r="AK2588" s="77"/>
      <c r="AL2588" s="77"/>
      <c r="AM2588" s="77"/>
      <c r="AN2588" s="77"/>
      <c r="AO2588" s="77"/>
      <c r="AP2588" s="77"/>
      <c r="AQ2588" s="77"/>
      <c r="AR2588" s="77"/>
      <c r="AS2588" s="77"/>
      <c r="AT2588" s="77"/>
      <c r="AU2588" s="77"/>
      <c r="AV2588" s="83" t="str">
        <f>HYPERLINK("https://pbs.twimg.com/profile_images/1387518297860628483/90Ffrl0y_normal.jpg")</f>
        <v>https://pbs.twimg.com/profile_images/1387518297860628483/90Ffrl0y_normal.jpg</v>
      </c>
      <c r="AW2588" s="80" t="s">
        <v>18378</v>
      </c>
      <c r="AX2588" s="80" t="s">
        <v>18378</v>
      </c>
      <c r="AY2588" s="77"/>
      <c r="AZ2588" s="80" t="s">
        <v>20380</v>
      </c>
      <c r="BA2588" s="80" t="s">
        <v>20380</v>
      </c>
      <c r="BB2588" s="80" t="s">
        <v>20380</v>
      </c>
      <c r="BC2588" s="80" t="s">
        <v>18378</v>
      </c>
      <c r="BD2588" s="80" t="s">
        <v>20916</v>
      </c>
      <c r="BE2588" s="77"/>
      <c r="BF2588" s="77"/>
      <c r="BG2588" s="77"/>
      <c r="BH2588" s="77"/>
      <c r="BI2588" s="77"/>
    </row>
    <row r="2589" spans="1:61" x14ac:dyDescent="0.25">
      <c r="A2589" s="62" t="s">
        <v>1078</v>
      </c>
      <c r="B2589" s="62" t="s">
        <v>1953</v>
      </c>
      <c r="C2589" s="63"/>
      <c r="D2589" s="64"/>
      <c r="E2589" s="65"/>
      <c r="F2589" s="66"/>
      <c r="G2589" s="63"/>
      <c r="H2589" s="67"/>
      <c r="I2589" s="68"/>
      <c r="J2589" s="68"/>
      <c r="K2589" s="32"/>
      <c r="L2589" s="75">
        <v>2589</v>
      </c>
      <c r="M2589" s="75"/>
      <c r="N2589" s="70"/>
      <c r="O2589" s="77" t="s">
        <v>2078</v>
      </c>
      <c r="P2589" s="79">
        <v>45161.762743055559</v>
      </c>
      <c r="Q2589" s="77" t="s">
        <v>4371</v>
      </c>
      <c r="R2589" s="77">
        <v>0</v>
      </c>
      <c r="S2589" s="77">
        <v>1</v>
      </c>
      <c r="T2589" s="77">
        <v>0</v>
      </c>
      <c r="U2589" s="77">
        <v>0</v>
      </c>
      <c r="V2589" s="77">
        <v>29</v>
      </c>
      <c r="W2589" s="80" t="s">
        <v>7527</v>
      </c>
      <c r="X2589" s="77"/>
      <c r="Y2589" s="77"/>
      <c r="Z2589" s="77" t="s">
        <v>1953</v>
      </c>
      <c r="AA2589" s="77"/>
      <c r="AB2589" s="77"/>
      <c r="AC2589" s="80" t="s">
        <v>10542</v>
      </c>
      <c r="AD2589" s="77" t="s">
        <v>10617</v>
      </c>
      <c r="AE2589" s="83" t="str">
        <f>HYPERLINK("https://twitter.com/carvalhoalves/status/1694413785497321496")</f>
        <v>https://twitter.com/carvalhoalves/status/1694413785497321496</v>
      </c>
      <c r="AF2589" s="79">
        <v>45161.762743055559</v>
      </c>
      <c r="AG2589" s="85">
        <v>45161</v>
      </c>
      <c r="AH2589" s="80" t="s">
        <v>12906</v>
      </c>
      <c r="AI2589" s="77"/>
      <c r="AJ2589" s="77"/>
      <c r="AK2589" s="77"/>
      <c r="AL2589" s="77"/>
      <c r="AM2589" s="77"/>
      <c r="AN2589" s="77"/>
      <c r="AO2589" s="77"/>
      <c r="AP2589" s="77"/>
      <c r="AQ2589" s="77"/>
      <c r="AR2589" s="77"/>
      <c r="AS2589" s="77"/>
      <c r="AT2589" s="77"/>
      <c r="AU2589" s="77"/>
      <c r="AV2589" s="83" t="str">
        <f>HYPERLINK("https://pbs.twimg.com/profile_images/1691954772008386560/6TSuua77_normal.jpg")</f>
        <v>https://pbs.twimg.com/profile_images/1691954772008386560/6TSuua77_normal.jpg</v>
      </c>
      <c r="AW2589" s="80" t="s">
        <v>18379</v>
      </c>
      <c r="AX2589" s="80" t="s">
        <v>20068</v>
      </c>
      <c r="AY2589" s="80" t="s">
        <v>20319</v>
      </c>
      <c r="AZ2589" s="80" t="s">
        <v>20068</v>
      </c>
      <c r="BA2589" s="80" t="s">
        <v>20380</v>
      </c>
      <c r="BB2589" s="80" t="s">
        <v>20380</v>
      </c>
      <c r="BC2589" s="80" t="s">
        <v>20068</v>
      </c>
      <c r="BD2589" s="80" t="s">
        <v>20917</v>
      </c>
      <c r="BE2589" s="77"/>
      <c r="BF2589" s="77"/>
      <c r="BG2589" s="77"/>
      <c r="BH2589" s="77"/>
      <c r="BI2589" s="77"/>
    </row>
    <row r="2590" spans="1:61" x14ac:dyDescent="0.25">
      <c r="A2590" s="62" t="s">
        <v>1079</v>
      </c>
      <c r="B2590" s="62" t="s">
        <v>1079</v>
      </c>
      <c r="C2590" s="63"/>
      <c r="D2590" s="64"/>
      <c r="E2590" s="65"/>
      <c r="F2590" s="66"/>
      <c r="G2590" s="63"/>
      <c r="H2590" s="67"/>
      <c r="I2590" s="68"/>
      <c r="J2590" s="68"/>
      <c r="K2590" s="32"/>
      <c r="L2590" s="75">
        <v>2590</v>
      </c>
      <c r="M2590" s="75"/>
      <c r="N2590" s="70"/>
      <c r="O2590" s="77" t="s">
        <v>179</v>
      </c>
      <c r="P2590" s="79">
        <v>45103.600925925923</v>
      </c>
      <c r="Q2590" s="77" t="s">
        <v>4372</v>
      </c>
      <c r="R2590" s="77">
        <v>0</v>
      </c>
      <c r="S2590" s="77">
        <v>0</v>
      </c>
      <c r="T2590" s="77">
        <v>0</v>
      </c>
      <c r="U2590" s="77">
        <v>0</v>
      </c>
      <c r="V2590" s="77">
        <v>27</v>
      </c>
      <c r="W2590" s="80" t="s">
        <v>7528</v>
      </c>
      <c r="X2590" s="77"/>
      <c r="Y2590" s="77"/>
      <c r="Z2590" s="77"/>
      <c r="AA2590" s="77" t="s">
        <v>9834</v>
      </c>
      <c r="AB2590" s="77" t="s">
        <v>10535</v>
      </c>
      <c r="AC2590" s="80" t="s">
        <v>10550</v>
      </c>
      <c r="AD2590" s="77" t="s">
        <v>10617</v>
      </c>
      <c r="AE2590" s="83" t="str">
        <f>HYPERLINK("https://twitter.com/ricardoptal/status/1673336649126748161")</f>
        <v>https://twitter.com/ricardoptal/status/1673336649126748161</v>
      </c>
      <c r="AF2590" s="79">
        <v>45103.600925925923</v>
      </c>
      <c r="AG2590" s="85">
        <v>45103</v>
      </c>
      <c r="AH2590" s="80" t="s">
        <v>12907</v>
      </c>
      <c r="AI2590" s="77" t="b">
        <v>0</v>
      </c>
      <c r="AJ2590" s="77"/>
      <c r="AK2590" s="77"/>
      <c r="AL2590" s="77"/>
      <c r="AM2590" s="77"/>
      <c r="AN2590" s="77"/>
      <c r="AO2590" s="77"/>
      <c r="AP2590" s="77"/>
      <c r="AQ2590" s="77" t="s">
        <v>15316</v>
      </c>
      <c r="AR2590" s="77"/>
      <c r="AS2590" s="77"/>
      <c r="AT2590" s="77"/>
      <c r="AU2590" s="77"/>
      <c r="AV2590" s="83" t="str">
        <f>HYPERLINK("https://pbs.twimg.com/media/Fzji0IDWcAsALeX.jpg")</f>
        <v>https://pbs.twimg.com/media/Fzji0IDWcAsALeX.jpg</v>
      </c>
      <c r="AW2590" s="80" t="s">
        <v>18380</v>
      </c>
      <c r="AX2590" s="80" t="s">
        <v>18380</v>
      </c>
      <c r="AY2590" s="77"/>
      <c r="AZ2590" s="80" t="s">
        <v>20380</v>
      </c>
      <c r="BA2590" s="80" t="s">
        <v>20380</v>
      </c>
      <c r="BB2590" s="80" t="s">
        <v>20380</v>
      </c>
      <c r="BC2590" s="80" t="s">
        <v>18380</v>
      </c>
      <c r="BD2590" s="80" t="s">
        <v>20918</v>
      </c>
      <c r="BE2590" s="77"/>
      <c r="BF2590" s="77"/>
      <c r="BG2590" s="77"/>
      <c r="BH2590" s="77"/>
      <c r="BI2590" s="77"/>
    </row>
    <row r="2591" spans="1:61" x14ac:dyDescent="0.25">
      <c r="A2591" s="62" t="s">
        <v>1080</v>
      </c>
      <c r="B2591" s="62" t="s">
        <v>1080</v>
      </c>
      <c r="C2591" s="63"/>
      <c r="D2591" s="64"/>
      <c r="E2591" s="65"/>
      <c r="F2591" s="66"/>
      <c r="G2591" s="63"/>
      <c r="H2591" s="67"/>
      <c r="I2591" s="68"/>
      <c r="J2591" s="68"/>
      <c r="K2591" s="32"/>
      <c r="L2591" s="75">
        <v>2591</v>
      </c>
      <c r="M2591" s="75"/>
      <c r="N2591" s="70"/>
      <c r="O2591" s="77" t="s">
        <v>179</v>
      </c>
      <c r="P2591" s="79">
        <v>45082.73027777778</v>
      </c>
      <c r="Q2591" s="77" t="s">
        <v>4373</v>
      </c>
      <c r="R2591" s="77">
        <v>0</v>
      </c>
      <c r="S2591" s="77">
        <v>0</v>
      </c>
      <c r="T2591" s="77">
        <v>0</v>
      </c>
      <c r="U2591" s="77">
        <v>0</v>
      </c>
      <c r="V2591" s="77">
        <v>13</v>
      </c>
      <c r="W2591" s="80" t="s">
        <v>7529</v>
      </c>
      <c r="X2591" s="83" t="str">
        <f>HYPERLINK("https://tinformas.com/la-demanda-de-dolares-vuelve-a-la-normalidad-asegura-el-vicepresidente-del-banco-central")</f>
        <v>https://tinformas.com/la-demanda-de-dolares-vuelve-a-la-normalidad-asegura-el-vicepresidente-del-banco-central</v>
      </c>
      <c r="Y2591" s="77" t="s">
        <v>8796</v>
      </c>
      <c r="Z2591" s="77"/>
      <c r="AA2591" s="77"/>
      <c r="AB2591" s="77"/>
      <c r="AC2591" s="80" t="s">
        <v>10541</v>
      </c>
      <c r="AD2591" s="77" t="s">
        <v>10620</v>
      </c>
      <c r="AE2591" s="83" t="str">
        <f>HYPERLINK("https://twitter.com/tinformasbo/status/1665773377880047619")</f>
        <v>https://twitter.com/tinformasbo/status/1665773377880047619</v>
      </c>
      <c r="AF2591" s="79">
        <v>45082.73027777778</v>
      </c>
      <c r="AG2591" s="85">
        <v>45082</v>
      </c>
      <c r="AH2591" s="80" t="s">
        <v>12908</v>
      </c>
      <c r="AI2591" s="77" t="b">
        <v>0</v>
      </c>
      <c r="AJ2591" s="77"/>
      <c r="AK2591" s="77"/>
      <c r="AL2591" s="77"/>
      <c r="AM2591" s="77"/>
      <c r="AN2591" s="77"/>
      <c r="AO2591" s="77"/>
      <c r="AP2591" s="77"/>
      <c r="AQ2591" s="77"/>
      <c r="AR2591" s="77"/>
      <c r="AS2591" s="77"/>
      <c r="AT2591" s="77"/>
      <c r="AU2591" s="77"/>
      <c r="AV2591" s="83" t="str">
        <f>HYPERLINK("https://pbs.twimg.com/profile_images/1701614674721341440/HTsz6bfT_normal.jpg")</f>
        <v>https://pbs.twimg.com/profile_images/1701614674721341440/HTsz6bfT_normal.jpg</v>
      </c>
      <c r="AW2591" s="80" t="s">
        <v>18381</v>
      </c>
      <c r="AX2591" s="80" t="s">
        <v>18381</v>
      </c>
      <c r="AY2591" s="77"/>
      <c r="AZ2591" s="80" t="s">
        <v>20380</v>
      </c>
      <c r="BA2591" s="80" t="s">
        <v>20380</v>
      </c>
      <c r="BB2591" s="80" t="s">
        <v>20380</v>
      </c>
      <c r="BC2591" s="80" t="s">
        <v>18381</v>
      </c>
      <c r="BD2591" s="80" t="s">
        <v>20919</v>
      </c>
      <c r="BE2591" s="77"/>
      <c r="BF2591" s="77"/>
      <c r="BG2591" s="77"/>
      <c r="BH2591" s="77"/>
      <c r="BI2591" s="77"/>
    </row>
    <row r="2592" spans="1:61" x14ac:dyDescent="0.25">
      <c r="A2592" s="62" t="s">
        <v>1081</v>
      </c>
      <c r="B2592" s="62" t="s">
        <v>1081</v>
      </c>
      <c r="C2592" s="63"/>
      <c r="D2592" s="64"/>
      <c r="E2592" s="65"/>
      <c r="F2592" s="66"/>
      <c r="G2592" s="63"/>
      <c r="H2592" s="67"/>
      <c r="I2592" s="68"/>
      <c r="J2592" s="68"/>
      <c r="K2592" s="32"/>
      <c r="L2592" s="75">
        <v>2592</v>
      </c>
      <c r="M2592" s="75"/>
      <c r="N2592" s="70"/>
      <c r="O2592" s="77" t="s">
        <v>179</v>
      </c>
      <c r="P2592" s="79">
        <v>45085.04959490741</v>
      </c>
      <c r="Q2592" s="77" t="s">
        <v>4374</v>
      </c>
      <c r="R2592" s="77">
        <v>1</v>
      </c>
      <c r="S2592" s="77">
        <v>1</v>
      </c>
      <c r="T2592" s="77">
        <v>0</v>
      </c>
      <c r="U2592" s="77">
        <v>0</v>
      </c>
      <c r="V2592" s="77">
        <v>122</v>
      </c>
      <c r="W2592" s="80" t="s">
        <v>7530</v>
      </c>
      <c r="X2592" s="77"/>
      <c r="Y2592" s="77"/>
      <c r="Z2592" s="77"/>
      <c r="AA2592" s="77"/>
      <c r="AB2592" s="77"/>
      <c r="AC2592" s="80" t="s">
        <v>10542</v>
      </c>
      <c r="AD2592" s="77" t="s">
        <v>10620</v>
      </c>
      <c r="AE2592" s="83" t="str">
        <f>HYPERLINK("https://twitter.com/filesec/status/1666613870281064450")</f>
        <v>https://twitter.com/filesec/status/1666613870281064450</v>
      </c>
      <c r="AF2592" s="79">
        <v>45085.04959490741</v>
      </c>
      <c r="AG2592" s="85">
        <v>45085</v>
      </c>
      <c r="AH2592" s="80" t="s">
        <v>12909</v>
      </c>
      <c r="AI2592" s="77"/>
      <c r="AJ2592" s="77"/>
      <c r="AK2592" s="77"/>
      <c r="AL2592" s="77"/>
      <c r="AM2592" s="77"/>
      <c r="AN2592" s="77"/>
      <c r="AO2592" s="77"/>
      <c r="AP2592" s="77"/>
      <c r="AQ2592" s="77"/>
      <c r="AR2592" s="77"/>
      <c r="AS2592" s="77"/>
      <c r="AT2592" s="77"/>
      <c r="AU2592" s="77"/>
      <c r="AV2592" s="83" t="str">
        <f>HYPERLINK("https://pbs.twimg.com/profile_images/1383821886111457284/NF0rmnOx_normal.jpg")</f>
        <v>https://pbs.twimg.com/profile_images/1383821886111457284/NF0rmnOx_normal.jpg</v>
      </c>
      <c r="AW2592" s="80" t="s">
        <v>18382</v>
      </c>
      <c r="AX2592" s="80" t="s">
        <v>18382</v>
      </c>
      <c r="AY2592" s="77"/>
      <c r="AZ2592" s="80" t="s">
        <v>20380</v>
      </c>
      <c r="BA2592" s="80" t="s">
        <v>20380</v>
      </c>
      <c r="BB2592" s="80" t="s">
        <v>20380</v>
      </c>
      <c r="BC2592" s="80" t="s">
        <v>18382</v>
      </c>
      <c r="BD2592" s="77">
        <v>3299785390</v>
      </c>
      <c r="BE2592" s="77"/>
      <c r="BF2592" s="77"/>
      <c r="BG2592" s="77"/>
      <c r="BH2592" s="77"/>
      <c r="BI2592" s="77"/>
    </row>
    <row r="2593" spans="1:61" x14ac:dyDescent="0.25">
      <c r="A2593" s="62" t="s">
        <v>1082</v>
      </c>
      <c r="B2593" s="62" t="s">
        <v>1082</v>
      </c>
      <c r="C2593" s="63"/>
      <c r="D2593" s="64"/>
      <c r="E2593" s="65"/>
      <c r="F2593" s="66"/>
      <c r="G2593" s="63"/>
      <c r="H2593" s="67"/>
      <c r="I2593" s="68"/>
      <c r="J2593" s="68"/>
      <c r="K2593" s="32"/>
      <c r="L2593" s="75">
        <v>2593</v>
      </c>
      <c r="M2593" s="75"/>
      <c r="N2593" s="70"/>
      <c r="O2593" s="77" t="s">
        <v>179</v>
      </c>
      <c r="P2593" s="79">
        <v>45160.918229166666</v>
      </c>
      <c r="Q2593" s="77" t="s">
        <v>4375</v>
      </c>
      <c r="R2593" s="77">
        <v>0</v>
      </c>
      <c r="S2593" s="77">
        <v>0</v>
      </c>
      <c r="T2593" s="77">
        <v>0</v>
      </c>
      <c r="U2593" s="77">
        <v>0</v>
      </c>
      <c r="V2593" s="77">
        <v>11</v>
      </c>
      <c r="W2593" s="80" t="s">
        <v>7531</v>
      </c>
      <c r="X2593" s="83" t="str">
        <f>HYPERLINK("https://economicnewsbrasil.com.br/?p=84393")</f>
        <v>https://economicnewsbrasil.com.br/?p=84393</v>
      </c>
      <c r="Y2593" s="77" t="s">
        <v>8611</v>
      </c>
      <c r="Z2593" s="77"/>
      <c r="AA2593" s="77" t="s">
        <v>9835</v>
      </c>
      <c r="AB2593" s="77" t="s">
        <v>10535</v>
      </c>
      <c r="AC2593" s="80" t="s">
        <v>10595</v>
      </c>
      <c r="AD2593" s="77" t="s">
        <v>10617</v>
      </c>
      <c r="AE2593" s="83" t="str">
        <f>HYPERLINK("https://twitter.com/economicnewsbr/status/1694107744029045141")</f>
        <v>https://twitter.com/economicnewsbr/status/1694107744029045141</v>
      </c>
      <c r="AF2593" s="79">
        <v>45160.918229166666</v>
      </c>
      <c r="AG2593" s="85">
        <v>45160</v>
      </c>
      <c r="AH2593" s="80" t="s">
        <v>12910</v>
      </c>
      <c r="AI2593" s="77" t="b">
        <v>0</v>
      </c>
      <c r="AJ2593" s="77"/>
      <c r="AK2593" s="77"/>
      <c r="AL2593" s="77"/>
      <c r="AM2593" s="77"/>
      <c r="AN2593" s="77"/>
      <c r="AO2593" s="77"/>
      <c r="AP2593" s="77"/>
      <c r="AQ2593" s="77" t="s">
        <v>15317</v>
      </c>
      <c r="AR2593" s="77"/>
      <c r="AS2593" s="77"/>
      <c r="AT2593" s="77"/>
      <c r="AU2593" s="77"/>
      <c r="AV2593" s="83" t="str">
        <f>HYPERLINK("https://pbs.twimg.com/media/F4KuBAiXoAAwRkN.jpg")</f>
        <v>https://pbs.twimg.com/media/F4KuBAiXoAAwRkN.jpg</v>
      </c>
      <c r="AW2593" s="80" t="s">
        <v>18383</v>
      </c>
      <c r="AX2593" s="80" t="s">
        <v>18383</v>
      </c>
      <c r="AY2593" s="77"/>
      <c r="AZ2593" s="80" t="s">
        <v>20380</v>
      </c>
      <c r="BA2593" s="80" t="s">
        <v>20380</v>
      </c>
      <c r="BB2593" s="80" t="s">
        <v>20380</v>
      </c>
      <c r="BC2593" s="80" t="s">
        <v>18383</v>
      </c>
      <c r="BD2593" s="80" t="s">
        <v>20920</v>
      </c>
      <c r="BE2593" s="77"/>
      <c r="BF2593" s="77"/>
      <c r="BG2593" s="77"/>
      <c r="BH2593" s="77"/>
      <c r="BI2593" s="77"/>
    </row>
    <row r="2594" spans="1:61" x14ac:dyDescent="0.25">
      <c r="A2594" s="62" t="s">
        <v>1082</v>
      </c>
      <c r="B2594" s="62" t="s">
        <v>1082</v>
      </c>
      <c r="C2594" s="63"/>
      <c r="D2594" s="64"/>
      <c r="E2594" s="65"/>
      <c r="F2594" s="66"/>
      <c r="G2594" s="63"/>
      <c r="H2594" s="67"/>
      <c r="I2594" s="68"/>
      <c r="J2594" s="68"/>
      <c r="K2594" s="32"/>
      <c r="L2594" s="75">
        <v>2594</v>
      </c>
      <c r="M2594" s="75"/>
      <c r="N2594" s="70"/>
      <c r="O2594" s="77" t="s">
        <v>179</v>
      </c>
      <c r="P2594" s="79">
        <v>45145.586157407408</v>
      </c>
      <c r="Q2594" s="77" t="s">
        <v>4376</v>
      </c>
      <c r="R2594" s="77">
        <v>0</v>
      </c>
      <c r="S2594" s="77">
        <v>0</v>
      </c>
      <c r="T2594" s="77">
        <v>0</v>
      </c>
      <c r="U2594" s="77">
        <v>0</v>
      </c>
      <c r="V2594" s="77">
        <v>12</v>
      </c>
      <c r="W2594" s="80" t="s">
        <v>5884</v>
      </c>
      <c r="X2594" s="83" t="str">
        <f>HYPERLINK("https://economicnewsbrasil.com.br/?p=82403")</f>
        <v>https://economicnewsbrasil.com.br/?p=82403</v>
      </c>
      <c r="Y2594" s="77" t="s">
        <v>8611</v>
      </c>
      <c r="Z2594" s="77"/>
      <c r="AA2594" s="77" t="s">
        <v>9836</v>
      </c>
      <c r="AB2594" s="77" t="s">
        <v>10535</v>
      </c>
      <c r="AC2594" s="80" t="s">
        <v>10595</v>
      </c>
      <c r="AD2594" s="77" t="s">
        <v>10617</v>
      </c>
      <c r="AE2594" s="83" t="str">
        <f>HYPERLINK("https://twitter.com/economicnewsbr/status/1688551587008929792")</f>
        <v>https://twitter.com/economicnewsbr/status/1688551587008929792</v>
      </c>
      <c r="AF2594" s="79">
        <v>45145.586157407408</v>
      </c>
      <c r="AG2594" s="85">
        <v>45145</v>
      </c>
      <c r="AH2594" s="80" t="s">
        <v>12911</v>
      </c>
      <c r="AI2594" s="77" t="b">
        <v>0</v>
      </c>
      <c r="AJ2594" s="77"/>
      <c r="AK2594" s="77"/>
      <c r="AL2594" s="77"/>
      <c r="AM2594" s="77"/>
      <c r="AN2594" s="77"/>
      <c r="AO2594" s="77"/>
      <c r="AP2594" s="77"/>
      <c r="AQ2594" s="77" t="s">
        <v>15318</v>
      </c>
      <c r="AR2594" s="77"/>
      <c r="AS2594" s="77"/>
      <c r="AT2594" s="77"/>
      <c r="AU2594" s="77"/>
      <c r="AV2594" s="83" t="str">
        <f>HYPERLINK("https://pbs.twimg.com/media/F27wuHYWkAAz21v.jpg")</f>
        <v>https://pbs.twimg.com/media/F27wuHYWkAAz21v.jpg</v>
      </c>
      <c r="AW2594" s="80" t="s">
        <v>18384</v>
      </c>
      <c r="AX2594" s="80" t="s">
        <v>18384</v>
      </c>
      <c r="AY2594" s="77"/>
      <c r="AZ2594" s="80" t="s">
        <v>20380</v>
      </c>
      <c r="BA2594" s="80" t="s">
        <v>20380</v>
      </c>
      <c r="BB2594" s="80" t="s">
        <v>20380</v>
      </c>
      <c r="BC2594" s="80" t="s">
        <v>18384</v>
      </c>
      <c r="BD2594" s="80" t="s">
        <v>20920</v>
      </c>
      <c r="BE2594" s="77"/>
      <c r="BF2594" s="77"/>
      <c r="BG2594" s="77"/>
      <c r="BH2594" s="77"/>
      <c r="BI2594" s="77"/>
    </row>
    <row r="2595" spans="1:61" x14ac:dyDescent="0.25">
      <c r="A2595" s="62" t="s">
        <v>1082</v>
      </c>
      <c r="B2595" s="62" t="s">
        <v>1082</v>
      </c>
      <c r="C2595" s="63"/>
      <c r="D2595" s="64"/>
      <c r="E2595" s="65"/>
      <c r="F2595" s="66"/>
      <c r="G2595" s="63"/>
      <c r="H2595" s="67"/>
      <c r="I2595" s="68"/>
      <c r="J2595" s="68"/>
      <c r="K2595" s="32"/>
      <c r="L2595" s="75">
        <v>2595</v>
      </c>
      <c r="M2595" s="75"/>
      <c r="N2595" s="70"/>
      <c r="O2595" s="77" t="s">
        <v>179</v>
      </c>
      <c r="P2595" s="79">
        <v>45104.794895833336</v>
      </c>
      <c r="Q2595" s="77" t="s">
        <v>4377</v>
      </c>
      <c r="R2595" s="77">
        <v>0</v>
      </c>
      <c r="S2595" s="77">
        <v>0</v>
      </c>
      <c r="T2595" s="77">
        <v>0</v>
      </c>
      <c r="U2595" s="77">
        <v>0</v>
      </c>
      <c r="V2595" s="77">
        <v>4</v>
      </c>
      <c r="W2595" s="80" t="s">
        <v>5896</v>
      </c>
      <c r="X2595" s="83" t="str">
        <f>HYPERLINK("https://economicnewsbrasil.com.br/?p=74574")</f>
        <v>https://economicnewsbrasil.com.br/?p=74574</v>
      </c>
      <c r="Y2595" s="77" t="s">
        <v>8611</v>
      </c>
      <c r="Z2595" s="77"/>
      <c r="AA2595" s="77" t="s">
        <v>9837</v>
      </c>
      <c r="AB2595" s="77" t="s">
        <v>10535</v>
      </c>
      <c r="AC2595" s="80" t="s">
        <v>10546</v>
      </c>
      <c r="AD2595" s="77" t="s">
        <v>10617</v>
      </c>
      <c r="AE2595" s="83" t="str">
        <f>HYPERLINK("https://twitter.com/economicnewsbr/status/1673769327579766810")</f>
        <v>https://twitter.com/economicnewsbr/status/1673769327579766810</v>
      </c>
      <c r="AF2595" s="79">
        <v>45104.794895833336</v>
      </c>
      <c r="AG2595" s="85">
        <v>45104</v>
      </c>
      <c r="AH2595" s="80" t="s">
        <v>12912</v>
      </c>
      <c r="AI2595" s="77" t="b">
        <v>0</v>
      </c>
      <c r="AJ2595" s="77"/>
      <c r="AK2595" s="77"/>
      <c r="AL2595" s="77"/>
      <c r="AM2595" s="77"/>
      <c r="AN2595" s="77"/>
      <c r="AO2595" s="77"/>
      <c r="AP2595" s="77"/>
      <c r="AQ2595" s="77" t="s">
        <v>15319</v>
      </c>
      <c r="AR2595" s="77"/>
      <c r="AS2595" s="77"/>
      <c r="AT2595" s="77"/>
      <c r="AU2595" s="77"/>
      <c r="AV2595" s="83" t="str">
        <f>HYPERLINK("https://pbs.twimg.com/media/FzpsVU2WIAYlOSm.jpg")</f>
        <v>https://pbs.twimg.com/media/FzpsVU2WIAYlOSm.jpg</v>
      </c>
      <c r="AW2595" s="80" t="s">
        <v>18385</v>
      </c>
      <c r="AX2595" s="80" t="s">
        <v>18385</v>
      </c>
      <c r="AY2595" s="77"/>
      <c r="AZ2595" s="80" t="s">
        <v>20380</v>
      </c>
      <c r="BA2595" s="80" t="s">
        <v>20380</v>
      </c>
      <c r="BB2595" s="80" t="s">
        <v>20380</v>
      </c>
      <c r="BC2595" s="80" t="s">
        <v>18385</v>
      </c>
      <c r="BD2595" s="80" t="s">
        <v>20920</v>
      </c>
      <c r="BE2595" s="77"/>
      <c r="BF2595" s="77"/>
      <c r="BG2595" s="77"/>
      <c r="BH2595" s="77"/>
      <c r="BI2595" s="77"/>
    </row>
    <row r="2596" spans="1:61" x14ac:dyDescent="0.25">
      <c r="A2596" s="62" t="s">
        <v>1082</v>
      </c>
      <c r="B2596" s="62" t="s">
        <v>1082</v>
      </c>
      <c r="C2596" s="63"/>
      <c r="D2596" s="64"/>
      <c r="E2596" s="65"/>
      <c r="F2596" s="66"/>
      <c r="G2596" s="63"/>
      <c r="H2596" s="67"/>
      <c r="I2596" s="68"/>
      <c r="J2596" s="68"/>
      <c r="K2596" s="32"/>
      <c r="L2596" s="75">
        <v>2596</v>
      </c>
      <c r="M2596" s="75"/>
      <c r="N2596" s="70"/>
      <c r="O2596" s="77" t="s">
        <v>179</v>
      </c>
      <c r="P2596" s="79">
        <v>45159.539027777777</v>
      </c>
      <c r="Q2596" s="77" t="s">
        <v>4378</v>
      </c>
      <c r="R2596" s="77">
        <v>0</v>
      </c>
      <c r="S2596" s="77">
        <v>0</v>
      </c>
      <c r="T2596" s="77">
        <v>0</v>
      </c>
      <c r="U2596" s="77">
        <v>0</v>
      </c>
      <c r="V2596" s="77">
        <v>19</v>
      </c>
      <c r="W2596" s="80" t="s">
        <v>7532</v>
      </c>
      <c r="X2596" s="83" t="str">
        <f>HYPERLINK("https://economicnewsbrasil.com.br/2023/08/21/boletim-focus-eleva-previsao-da-inflacao-de-484-para-49-este-ano/")</f>
        <v>https://economicnewsbrasil.com.br/2023/08/21/boletim-focus-eleva-previsao-da-inflacao-de-484-para-49-este-ano/</v>
      </c>
      <c r="Y2596" s="77" t="s">
        <v>8611</v>
      </c>
      <c r="Z2596" s="77"/>
      <c r="AA2596" s="77" t="s">
        <v>9838</v>
      </c>
      <c r="AB2596" s="77" t="s">
        <v>10535</v>
      </c>
      <c r="AC2596" s="80" t="s">
        <v>10595</v>
      </c>
      <c r="AD2596" s="77" t="s">
        <v>10617</v>
      </c>
      <c r="AE2596" s="83" t="str">
        <f>HYPERLINK("https://twitter.com/economicnewsbr/status/1693607938835763366")</f>
        <v>https://twitter.com/economicnewsbr/status/1693607938835763366</v>
      </c>
      <c r="AF2596" s="79">
        <v>45159.539027777777</v>
      </c>
      <c r="AG2596" s="85">
        <v>45159</v>
      </c>
      <c r="AH2596" s="80" t="s">
        <v>12913</v>
      </c>
      <c r="AI2596" s="77" t="b">
        <v>0</v>
      </c>
      <c r="AJ2596" s="77"/>
      <c r="AK2596" s="77"/>
      <c r="AL2596" s="77"/>
      <c r="AM2596" s="77"/>
      <c r="AN2596" s="77"/>
      <c r="AO2596" s="77"/>
      <c r="AP2596" s="77"/>
      <c r="AQ2596" s="77" t="s">
        <v>15320</v>
      </c>
      <c r="AR2596" s="77"/>
      <c r="AS2596" s="77"/>
      <c r="AT2596" s="77"/>
      <c r="AU2596" s="77"/>
      <c r="AV2596" s="83" t="str">
        <f>HYPERLINK("https://pbs.twimg.com/media/F4DncgHWsAA24RG.jpg")</f>
        <v>https://pbs.twimg.com/media/F4DncgHWsAA24RG.jpg</v>
      </c>
      <c r="AW2596" s="80" t="s">
        <v>18386</v>
      </c>
      <c r="AX2596" s="80" t="s">
        <v>18386</v>
      </c>
      <c r="AY2596" s="77"/>
      <c r="AZ2596" s="80" t="s">
        <v>20380</v>
      </c>
      <c r="BA2596" s="80" t="s">
        <v>20380</v>
      </c>
      <c r="BB2596" s="80" t="s">
        <v>20380</v>
      </c>
      <c r="BC2596" s="80" t="s">
        <v>18386</v>
      </c>
      <c r="BD2596" s="80" t="s">
        <v>20920</v>
      </c>
      <c r="BE2596" s="77"/>
      <c r="BF2596" s="77"/>
      <c r="BG2596" s="77"/>
      <c r="BH2596" s="77"/>
      <c r="BI2596" s="77"/>
    </row>
    <row r="2597" spans="1:61" x14ac:dyDescent="0.25">
      <c r="A2597" s="62" t="s">
        <v>1082</v>
      </c>
      <c r="B2597" s="62" t="s">
        <v>1082</v>
      </c>
      <c r="C2597" s="63"/>
      <c r="D2597" s="64"/>
      <c r="E2597" s="65"/>
      <c r="F2597" s="66"/>
      <c r="G2597" s="63"/>
      <c r="H2597" s="67"/>
      <c r="I2597" s="68"/>
      <c r="J2597" s="68"/>
      <c r="K2597" s="32"/>
      <c r="L2597" s="75">
        <v>2597</v>
      </c>
      <c r="M2597" s="75"/>
      <c r="N2597" s="70"/>
      <c r="O2597" s="77" t="s">
        <v>179</v>
      </c>
      <c r="P2597" s="79">
        <v>45149.959490740737</v>
      </c>
      <c r="Q2597" s="77" t="s">
        <v>4379</v>
      </c>
      <c r="R2597" s="77">
        <v>0</v>
      </c>
      <c r="S2597" s="77">
        <v>1</v>
      </c>
      <c r="T2597" s="77">
        <v>0</v>
      </c>
      <c r="U2597" s="77">
        <v>0</v>
      </c>
      <c r="V2597" s="77">
        <v>14</v>
      </c>
      <c r="W2597" s="80" t="s">
        <v>7531</v>
      </c>
      <c r="X2597" s="83" t="str">
        <f>HYPERLINK("https://economicnewsbrasil.com.br/?p=83073")</f>
        <v>https://economicnewsbrasil.com.br/?p=83073</v>
      </c>
      <c r="Y2597" s="77" t="s">
        <v>8611</v>
      </c>
      <c r="Z2597" s="77"/>
      <c r="AA2597" s="77"/>
      <c r="AB2597" s="77"/>
      <c r="AC2597" s="80" t="s">
        <v>10595</v>
      </c>
      <c r="AD2597" s="77" t="s">
        <v>10617</v>
      </c>
      <c r="AE2597" s="83" t="str">
        <f>HYPERLINK("https://twitter.com/economicnewsbr/status/1690136429093957632")</f>
        <v>https://twitter.com/economicnewsbr/status/1690136429093957632</v>
      </c>
      <c r="AF2597" s="79">
        <v>45149.959490740737</v>
      </c>
      <c r="AG2597" s="85">
        <v>45149</v>
      </c>
      <c r="AH2597" s="80" t="s">
        <v>12914</v>
      </c>
      <c r="AI2597" s="77" t="b">
        <v>0</v>
      </c>
      <c r="AJ2597" s="77"/>
      <c r="AK2597" s="77"/>
      <c r="AL2597" s="77"/>
      <c r="AM2597" s="77"/>
      <c r="AN2597" s="77"/>
      <c r="AO2597" s="77"/>
      <c r="AP2597" s="77"/>
      <c r="AQ2597" s="77"/>
      <c r="AR2597" s="77"/>
      <c r="AS2597" s="77"/>
      <c r="AT2597" s="77"/>
      <c r="AU2597" s="77"/>
      <c r="AV2597" s="83" t="str">
        <f>HYPERLINK("https://pbs.twimg.com/profile_images/1211027151870402560/9JIqaKmf_normal.jpg")</f>
        <v>https://pbs.twimg.com/profile_images/1211027151870402560/9JIqaKmf_normal.jpg</v>
      </c>
      <c r="AW2597" s="80" t="s">
        <v>18387</v>
      </c>
      <c r="AX2597" s="80" t="s">
        <v>18387</v>
      </c>
      <c r="AY2597" s="77"/>
      <c r="AZ2597" s="80" t="s">
        <v>20380</v>
      </c>
      <c r="BA2597" s="80" t="s">
        <v>20380</v>
      </c>
      <c r="BB2597" s="80" t="s">
        <v>20380</v>
      </c>
      <c r="BC2597" s="80" t="s">
        <v>18387</v>
      </c>
      <c r="BD2597" s="80" t="s">
        <v>20920</v>
      </c>
      <c r="BE2597" s="77"/>
      <c r="BF2597" s="77"/>
      <c r="BG2597" s="77"/>
      <c r="BH2597" s="77"/>
      <c r="BI2597" s="77"/>
    </row>
    <row r="2598" spans="1:61" x14ac:dyDescent="0.25">
      <c r="A2598" s="62" t="s">
        <v>1082</v>
      </c>
      <c r="B2598" s="62" t="s">
        <v>1082</v>
      </c>
      <c r="C2598" s="63"/>
      <c r="D2598" s="64"/>
      <c r="E2598" s="65"/>
      <c r="F2598" s="66"/>
      <c r="G2598" s="63"/>
      <c r="H2598" s="67"/>
      <c r="I2598" s="68"/>
      <c r="J2598" s="68"/>
      <c r="K2598" s="32"/>
      <c r="L2598" s="75">
        <v>2598</v>
      </c>
      <c r="M2598" s="75"/>
      <c r="N2598" s="70"/>
      <c r="O2598" s="77" t="s">
        <v>179</v>
      </c>
      <c r="P2598" s="79">
        <v>45142.626759259256</v>
      </c>
      <c r="Q2598" s="77" t="s">
        <v>4380</v>
      </c>
      <c r="R2598" s="77">
        <v>0</v>
      </c>
      <c r="S2598" s="77">
        <v>0</v>
      </c>
      <c r="T2598" s="77">
        <v>0</v>
      </c>
      <c r="U2598" s="77">
        <v>0</v>
      </c>
      <c r="V2598" s="77">
        <v>12</v>
      </c>
      <c r="W2598" s="80" t="s">
        <v>5884</v>
      </c>
      <c r="X2598" s="83" t="str">
        <f>HYPERLINK("https://economicnewsbrasil.com.br/?p=82046")</f>
        <v>https://economicnewsbrasil.com.br/?p=82046</v>
      </c>
      <c r="Y2598" s="77" t="s">
        <v>8611</v>
      </c>
      <c r="Z2598" s="77"/>
      <c r="AA2598" s="77" t="s">
        <v>9839</v>
      </c>
      <c r="AB2598" s="77" t="s">
        <v>10535</v>
      </c>
      <c r="AC2598" s="80" t="s">
        <v>10595</v>
      </c>
      <c r="AD2598" s="77" t="s">
        <v>10617</v>
      </c>
      <c r="AE2598" s="83" t="str">
        <f>HYPERLINK("https://twitter.com/economicnewsbr/status/1687479137445859329")</f>
        <v>https://twitter.com/economicnewsbr/status/1687479137445859329</v>
      </c>
      <c r="AF2598" s="79">
        <v>45142.626759259256</v>
      </c>
      <c r="AG2598" s="85">
        <v>45142</v>
      </c>
      <c r="AH2598" s="80" t="s">
        <v>12915</v>
      </c>
      <c r="AI2598" s="77" t="b">
        <v>0</v>
      </c>
      <c r="AJ2598" s="77"/>
      <c r="AK2598" s="77"/>
      <c r="AL2598" s="77"/>
      <c r="AM2598" s="77"/>
      <c r="AN2598" s="77"/>
      <c r="AO2598" s="77"/>
      <c r="AP2598" s="77"/>
      <c r="AQ2598" s="77" t="s">
        <v>15321</v>
      </c>
      <c r="AR2598" s="77"/>
      <c r="AS2598" s="77"/>
      <c r="AT2598" s="77"/>
      <c r="AU2598" s="77"/>
      <c r="AV2598" s="83" t="str">
        <f>HYPERLINK("https://pbs.twimg.com/media/F2shVSUW4AAj5b_.jpg")</f>
        <v>https://pbs.twimg.com/media/F2shVSUW4AAj5b_.jpg</v>
      </c>
      <c r="AW2598" s="80" t="s">
        <v>18388</v>
      </c>
      <c r="AX2598" s="80" t="s">
        <v>18388</v>
      </c>
      <c r="AY2598" s="77"/>
      <c r="AZ2598" s="80" t="s">
        <v>20380</v>
      </c>
      <c r="BA2598" s="80" t="s">
        <v>20380</v>
      </c>
      <c r="BB2598" s="80" t="s">
        <v>20380</v>
      </c>
      <c r="BC2598" s="80" t="s">
        <v>18388</v>
      </c>
      <c r="BD2598" s="80" t="s">
        <v>20920</v>
      </c>
      <c r="BE2598" s="77"/>
      <c r="BF2598" s="77"/>
      <c r="BG2598" s="77"/>
      <c r="BH2598" s="77"/>
      <c r="BI2598" s="77"/>
    </row>
    <row r="2599" spans="1:61" x14ac:dyDescent="0.25">
      <c r="A2599" s="62" t="s">
        <v>1082</v>
      </c>
      <c r="B2599" s="62" t="s">
        <v>1082</v>
      </c>
      <c r="C2599" s="63"/>
      <c r="D2599" s="64"/>
      <c r="E2599" s="65"/>
      <c r="F2599" s="66"/>
      <c r="G2599" s="63"/>
      <c r="H2599" s="67"/>
      <c r="I2599" s="68"/>
      <c r="J2599" s="68"/>
      <c r="K2599" s="32"/>
      <c r="L2599" s="75">
        <v>2599</v>
      </c>
      <c r="M2599" s="75"/>
      <c r="N2599" s="70"/>
      <c r="O2599" s="77" t="s">
        <v>179</v>
      </c>
      <c r="P2599" s="79">
        <v>45103.702847222223</v>
      </c>
      <c r="Q2599" s="77" t="s">
        <v>4381</v>
      </c>
      <c r="R2599" s="77">
        <v>0</v>
      </c>
      <c r="S2599" s="77">
        <v>0</v>
      </c>
      <c r="T2599" s="77">
        <v>0</v>
      </c>
      <c r="U2599" s="77">
        <v>0</v>
      </c>
      <c r="V2599" s="77">
        <v>8</v>
      </c>
      <c r="W2599" s="80" t="s">
        <v>5884</v>
      </c>
      <c r="X2599" s="83" t="str">
        <f>HYPERLINK("https://economicnewsbrasil.com.br/?p=74489")</f>
        <v>https://economicnewsbrasil.com.br/?p=74489</v>
      </c>
      <c r="Y2599" s="77" t="s">
        <v>8611</v>
      </c>
      <c r="Z2599" s="77"/>
      <c r="AA2599" s="77" t="s">
        <v>9840</v>
      </c>
      <c r="AB2599" s="77" t="s">
        <v>10535</v>
      </c>
      <c r="AC2599" s="80" t="s">
        <v>10546</v>
      </c>
      <c r="AD2599" s="77" t="s">
        <v>10617</v>
      </c>
      <c r="AE2599" s="83" t="str">
        <f>HYPERLINK("https://twitter.com/economicnewsbr/status/1673373582343258113")</f>
        <v>https://twitter.com/economicnewsbr/status/1673373582343258113</v>
      </c>
      <c r="AF2599" s="79">
        <v>45103.702847222223</v>
      </c>
      <c r="AG2599" s="85">
        <v>45103</v>
      </c>
      <c r="AH2599" s="80" t="s">
        <v>12916</v>
      </c>
      <c r="AI2599" s="77" t="b">
        <v>0</v>
      </c>
      <c r="AJ2599" s="77"/>
      <c r="AK2599" s="77"/>
      <c r="AL2599" s="77"/>
      <c r="AM2599" s="77"/>
      <c r="AN2599" s="77"/>
      <c r="AO2599" s="77"/>
      <c r="AP2599" s="77"/>
      <c r="AQ2599" s="77" t="s">
        <v>15322</v>
      </c>
      <c r="AR2599" s="77"/>
      <c r="AS2599" s="77"/>
      <c r="AT2599" s="77"/>
      <c r="AU2599" s="77"/>
      <c r="AV2599" s="83" t="str">
        <f>HYPERLINK("https://pbs.twimg.com/media/FzkEZ6dXwAsm_0V.jpg")</f>
        <v>https://pbs.twimg.com/media/FzkEZ6dXwAsm_0V.jpg</v>
      </c>
      <c r="AW2599" s="80" t="s">
        <v>18389</v>
      </c>
      <c r="AX2599" s="80" t="s">
        <v>18389</v>
      </c>
      <c r="AY2599" s="77"/>
      <c r="AZ2599" s="80" t="s">
        <v>20380</v>
      </c>
      <c r="BA2599" s="80" t="s">
        <v>20380</v>
      </c>
      <c r="BB2599" s="80" t="s">
        <v>20380</v>
      </c>
      <c r="BC2599" s="80" t="s">
        <v>18389</v>
      </c>
      <c r="BD2599" s="80" t="s">
        <v>20920</v>
      </c>
      <c r="BE2599" s="77"/>
      <c r="BF2599" s="77"/>
      <c r="BG2599" s="77"/>
      <c r="BH2599" s="77"/>
      <c r="BI2599" s="77"/>
    </row>
    <row r="2600" spans="1:61" x14ac:dyDescent="0.25">
      <c r="A2600" s="62" t="s">
        <v>1082</v>
      </c>
      <c r="B2600" s="62" t="s">
        <v>1082</v>
      </c>
      <c r="C2600" s="63"/>
      <c r="D2600" s="64"/>
      <c r="E2600" s="65"/>
      <c r="F2600" s="66"/>
      <c r="G2600" s="63"/>
      <c r="H2600" s="67"/>
      <c r="I2600" s="68"/>
      <c r="J2600" s="68"/>
      <c r="K2600" s="32"/>
      <c r="L2600" s="75">
        <v>2600</v>
      </c>
      <c r="M2600" s="75"/>
      <c r="N2600" s="70"/>
      <c r="O2600" s="77" t="s">
        <v>179</v>
      </c>
      <c r="P2600" s="79">
        <v>45166.523460648146</v>
      </c>
      <c r="Q2600" s="77" t="s">
        <v>4382</v>
      </c>
      <c r="R2600" s="77">
        <v>0</v>
      </c>
      <c r="S2600" s="77">
        <v>0</v>
      </c>
      <c r="T2600" s="77">
        <v>0</v>
      </c>
      <c r="U2600" s="77">
        <v>0</v>
      </c>
      <c r="V2600" s="77">
        <v>21</v>
      </c>
      <c r="W2600" s="80" t="s">
        <v>7532</v>
      </c>
      <c r="X2600" s="83" t="str">
        <f>HYPERLINK("https://economicnewsbrasil.com.br/2023/08/28/boletim-focus-pib-sobe-para-231-e-inflacao-para-2023-e-mantida-em-490/")</f>
        <v>https://economicnewsbrasil.com.br/2023/08/28/boletim-focus-pib-sobe-para-231-e-inflacao-para-2023-e-mantida-em-490/</v>
      </c>
      <c r="Y2600" s="77" t="s">
        <v>8611</v>
      </c>
      <c r="Z2600" s="77"/>
      <c r="AA2600" s="77" t="s">
        <v>9841</v>
      </c>
      <c r="AB2600" s="77" t="s">
        <v>10535</v>
      </c>
      <c r="AC2600" s="80" t="s">
        <v>10595</v>
      </c>
      <c r="AD2600" s="77" t="s">
        <v>10617</v>
      </c>
      <c r="AE2600" s="83" t="str">
        <f>HYPERLINK("https://twitter.com/economicnewsbr/status/1696139010979078378")</f>
        <v>https://twitter.com/economicnewsbr/status/1696139010979078378</v>
      </c>
      <c r="AF2600" s="79">
        <v>45166.523460648146</v>
      </c>
      <c r="AG2600" s="85">
        <v>45166</v>
      </c>
      <c r="AH2600" s="80" t="s">
        <v>12917</v>
      </c>
      <c r="AI2600" s="77" t="b">
        <v>0</v>
      </c>
      <c r="AJ2600" s="77"/>
      <c r="AK2600" s="77"/>
      <c r="AL2600" s="77"/>
      <c r="AM2600" s="77"/>
      <c r="AN2600" s="77"/>
      <c r="AO2600" s="77"/>
      <c r="AP2600" s="77"/>
      <c r="AQ2600" s="77" t="s">
        <v>15323</v>
      </c>
      <c r="AR2600" s="77"/>
      <c r="AS2600" s="77"/>
      <c r="AT2600" s="77"/>
      <c r="AU2600" s="77"/>
      <c r="AV2600" s="83" t="str">
        <f>HYPERLINK("https://pbs.twimg.com/media/F4nlcRaXcAEdhRo.jpg")</f>
        <v>https://pbs.twimg.com/media/F4nlcRaXcAEdhRo.jpg</v>
      </c>
      <c r="AW2600" s="80" t="s">
        <v>18390</v>
      </c>
      <c r="AX2600" s="80" t="s">
        <v>18390</v>
      </c>
      <c r="AY2600" s="77"/>
      <c r="AZ2600" s="80" t="s">
        <v>20380</v>
      </c>
      <c r="BA2600" s="80" t="s">
        <v>20380</v>
      </c>
      <c r="BB2600" s="80" t="s">
        <v>20380</v>
      </c>
      <c r="BC2600" s="80" t="s">
        <v>18390</v>
      </c>
      <c r="BD2600" s="80" t="s">
        <v>20920</v>
      </c>
      <c r="BE2600" s="77"/>
      <c r="BF2600" s="77"/>
      <c r="BG2600" s="77"/>
      <c r="BH2600" s="77"/>
      <c r="BI2600" s="77"/>
    </row>
    <row r="2601" spans="1:61" x14ac:dyDescent="0.25">
      <c r="A2601" s="62" t="s">
        <v>1082</v>
      </c>
      <c r="B2601" s="62" t="s">
        <v>1082</v>
      </c>
      <c r="C2601" s="63"/>
      <c r="D2601" s="64"/>
      <c r="E2601" s="65"/>
      <c r="F2601" s="66"/>
      <c r="G2601" s="63"/>
      <c r="H2601" s="67"/>
      <c r="I2601" s="68"/>
      <c r="J2601" s="68"/>
      <c r="K2601" s="32"/>
      <c r="L2601" s="75">
        <v>2601</v>
      </c>
      <c r="M2601" s="75"/>
      <c r="N2601" s="70"/>
      <c r="O2601" s="77" t="s">
        <v>179</v>
      </c>
      <c r="P2601" s="79">
        <v>45120.023495370369</v>
      </c>
      <c r="Q2601" s="77" t="s">
        <v>4383</v>
      </c>
      <c r="R2601" s="77">
        <v>0</v>
      </c>
      <c r="S2601" s="77">
        <v>0</v>
      </c>
      <c r="T2601" s="77">
        <v>0</v>
      </c>
      <c r="U2601" s="77">
        <v>0</v>
      </c>
      <c r="V2601" s="77">
        <v>66</v>
      </c>
      <c r="W2601" s="80" t="s">
        <v>7533</v>
      </c>
      <c r="X2601" s="83" t="str">
        <f>HYPERLINK("https://economicnewsbrasil.com.br/2023/07/12/novos-diretores-do-banco-central-assumem-mandato-ate-2027/")</f>
        <v>https://economicnewsbrasil.com.br/2023/07/12/novos-diretores-do-banco-central-assumem-mandato-ate-2027/</v>
      </c>
      <c r="Y2601" s="77" t="s">
        <v>8611</v>
      </c>
      <c r="Z2601" s="77"/>
      <c r="AA2601" s="77"/>
      <c r="AB2601" s="77"/>
      <c r="AC2601" s="80" t="s">
        <v>10546</v>
      </c>
      <c r="AD2601" s="77" t="s">
        <v>10617</v>
      </c>
      <c r="AE2601" s="83" t="str">
        <f>HYPERLINK("https://twitter.com/economicnewsbr/status/1679287989229240320")</f>
        <v>https://twitter.com/economicnewsbr/status/1679287989229240320</v>
      </c>
      <c r="AF2601" s="79">
        <v>45120.023495370369</v>
      </c>
      <c r="AG2601" s="85">
        <v>45120</v>
      </c>
      <c r="AH2601" s="80" t="s">
        <v>12918</v>
      </c>
      <c r="AI2601" s="77" t="b">
        <v>0</v>
      </c>
      <c r="AJ2601" s="77"/>
      <c r="AK2601" s="77"/>
      <c r="AL2601" s="77"/>
      <c r="AM2601" s="77"/>
      <c r="AN2601" s="77"/>
      <c r="AO2601" s="77"/>
      <c r="AP2601" s="77"/>
      <c r="AQ2601" s="77"/>
      <c r="AR2601" s="77"/>
      <c r="AS2601" s="77"/>
      <c r="AT2601" s="77"/>
      <c r="AU2601" s="77"/>
      <c r="AV2601" s="83" t="str">
        <f>HYPERLINK("https://pbs.twimg.com/profile_images/1211027151870402560/9JIqaKmf_normal.jpg")</f>
        <v>https://pbs.twimg.com/profile_images/1211027151870402560/9JIqaKmf_normal.jpg</v>
      </c>
      <c r="AW2601" s="80" t="s">
        <v>18391</v>
      </c>
      <c r="AX2601" s="80" t="s">
        <v>18391</v>
      </c>
      <c r="AY2601" s="77"/>
      <c r="AZ2601" s="80" t="s">
        <v>20380</v>
      </c>
      <c r="BA2601" s="80" t="s">
        <v>20380</v>
      </c>
      <c r="BB2601" s="80" t="s">
        <v>20380</v>
      </c>
      <c r="BC2601" s="80" t="s">
        <v>18391</v>
      </c>
      <c r="BD2601" s="80" t="s">
        <v>20920</v>
      </c>
      <c r="BE2601" s="77"/>
      <c r="BF2601" s="77"/>
      <c r="BG2601" s="77"/>
      <c r="BH2601" s="77"/>
      <c r="BI2601" s="77"/>
    </row>
    <row r="2602" spans="1:61" x14ac:dyDescent="0.25">
      <c r="A2602" s="62" t="s">
        <v>1082</v>
      </c>
      <c r="B2602" s="62" t="s">
        <v>1082</v>
      </c>
      <c r="C2602" s="63"/>
      <c r="D2602" s="64"/>
      <c r="E2602" s="65"/>
      <c r="F2602" s="66"/>
      <c r="G2602" s="63"/>
      <c r="H2602" s="67"/>
      <c r="I2602" s="68"/>
      <c r="J2602" s="68"/>
      <c r="K2602" s="32"/>
      <c r="L2602" s="75">
        <v>2602</v>
      </c>
      <c r="M2602" s="75"/>
      <c r="N2602" s="70"/>
      <c r="O2602" s="77" t="s">
        <v>179</v>
      </c>
      <c r="P2602" s="79">
        <v>45107.474166666667</v>
      </c>
      <c r="Q2602" s="77" t="s">
        <v>4384</v>
      </c>
      <c r="R2602" s="77">
        <v>0</v>
      </c>
      <c r="S2602" s="77">
        <v>0</v>
      </c>
      <c r="T2602" s="77">
        <v>0</v>
      </c>
      <c r="U2602" s="77">
        <v>0</v>
      </c>
      <c r="V2602" s="77">
        <v>4</v>
      </c>
      <c r="W2602" s="80" t="s">
        <v>7534</v>
      </c>
      <c r="X2602" s="83" t="str">
        <f>HYPERLINK("https://economicnewsbrasil.com.br/?p=74757")</f>
        <v>https://economicnewsbrasil.com.br/?p=74757</v>
      </c>
      <c r="Y2602" s="77" t="s">
        <v>8611</v>
      </c>
      <c r="Z2602" s="77"/>
      <c r="AA2602" s="77" t="s">
        <v>9842</v>
      </c>
      <c r="AB2602" s="77" t="s">
        <v>10535</v>
      </c>
      <c r="AC2602" s="80" t="s">
        <v>10546</v>
      </c>
      <c r="AD2602" s="77" t="s">
        <v>10617</v>
      </c>
      <c r="AE2602" s="83" t="str">
        <f>HYPERLINK("https://twitter.com/economicnewsbr/status/1674740263384924162")</f>
        <v>https://twitter.com/economicnewsbr/status/1674740263384924162</v>
      </c>
      <c r="AF2602" s="79">
        <v>45107.474166666667</v>
      </c>
      <c r="AG2602" s="85">
        <v>45107</v>
      </c>
      <c r="AH2602" s="80" t="s">
        <v>12919</v>
      </c>
      <c r="AI2602" s="77" t="b">
        <v>0</v>
      </c>
      <c r="AJ2602" s="77"/>
      <c r="AK2602" s="77"/>
      <c r="AL2602" s="77"/>
      <c r="AM2602" s="77"/>
      <c r="AN2602" s="77"/>
      <c r="AO2602" s="77"/>
      <c r="AP2602" s="77"/>
      <c r="AQ2602" s="77" t="s">
        <v>15324</v>
      </c>
      <c r="AR2602" s="77"/>
      <c r="AS2602" s="77"/>
      <c r="AT2602" s="77"/>
      <c r="AU2602" s="77"/>
      <c r="AV2602" s="83" t="str">
        <f>HYPERLINK("https://pbs.twimg.com/media/Fz3fZQzXgAIt1ca.jpg")</f>
        <v>https://pbs.twimg.com/media/Fz3fZQzXgAIt1ca.jpg</v>
      </c>
      <c r="AW2602" s="80" t="s">
        <v>18392</v>
      </c>
      <c r="AX2602" s="80" t="s">
        <v>18392</v>
      </c>
      <c r="AY2602" s="77"/>
      <c r="AZ2602" s="80" t="s">
        <v>20380</v>
      </c>
      <c r="BA2602" s="80" t="s">
        <v>20380</v>
      </c>
      <c r="BB2602" s="80" t="s">
        <v>20380</v>
      </c>
      <c r="BC2602" s="80" t="s">
        <v>18392</v>
      </c>
      <c r="BD2602" s="80" t="s">
        <v>20920</v>
      </c>
      <c r="BE2602" s="77"/>
      <c r="BF2602" s="77"/>
      <c r="BG2602" s="77"/>
      <c r="BH2602" s="77"/>
      <c r="BI2602" s="77"/>
    </row>
    <row r="2603" spans="1:61" x14ac:dyDescent="0.25">
      <c r="A2603" s="62" t="s">
        <v>1082</v>
      </c>
      <c r="B2603" s="62" t="s">
        <v>1082</v>
      </c>
      <c r="C2603" s="63"/>
      <c r="D2603" s="64"/>
      <c r="E2603" s="65"/>
      <c r="F2603" s="66"/>
      <c r="G2603" s="63"/>
      <c r="H2603" s="67"/>
      <c r="I2603" s="68"/>
      <c r="J2603" s="68"/>
      <c r="K2603" s="32"/>
      <c r="L2603" s="75">
        <v>2603</v>
      </c>
      <c r="M2603" s="75"/>
      <c r="N2603" s="70"/>
      <c r="O2603" s="77" t="s">
        <v>179</v>
      </c>
      <c r="P2603" s="79">
        <v>45107.355358796296</v>
      </c>
      <c r="Q2603" s="77" t="s">
        <v>4385</v>
      </c>
      <c r="R2603" s="77">
        <v>0</v>
      </c>
      <c r="S2603" s="77">
        <v>0</v>
      </c>
      <c r="T2603" s="77">
        <v>0</v>
      </c>
      <c r="U2603" s="77">
        <v>0</v>
      </c>
      <c r="V2603" s="77">
        <v>4</v>
      </c>
      <c r="W2603" s="80" t="s">
        <v>7535</v>
      </c>
      <c r="X2603" s="83" t="str">
        <f>HYPERLINK("https://economicnewsbrasil.com.br/?p=74769")</f>
        <v>https://economicnewsbrasil.com.br/?p=74769</v>
      </c>
      <c r="Y2603" s="77" t="s">
        <v>8611</v>
      </c>
      <c r="Z2603" s="77"/>
      <c r="AA2603" s="77" t="s">
        <v>9843</v>
      </c>
      <c r="AB2603" s="77" t="s">
        <v>10535</v>
      </c>
      <c r="AC2603" s="80" t="s">
        <v>10546</v>
      </c>
      <c r="AD2603" s="77" t="s">
        <v>10617</v>
      </c>
      <c r="AE2603" s="83" t="str">
        <f>HYPERLINK("https://twitter.com/economicnewsbr/status/1674697207633592321")</f>
        <v>https://twitter.com/economicnewsbr/status/1674697207633592321</v>
      </c>
      <c r="AF2603" s="79">
        <v>45107.355358796296</v>
      </c>
      <c r="AG2603" s="85">
        <v>45107</v>
      </c>
      <c r="AH2603" s="80" t="s">
        <v>11028</v>
      </c>
      <c r="AI2603" s="77" t="b">
        <v>0</v>
      </c>
      <c r="AJ2603" s="77"/>
      <c r="AK2603" s="77"/>
      <c r="AL2603" s="77"/>
      <c r="AM2603" s="77"/>
      <c r="AN2603" s="77"/>
      <c r="AO2603" s="77"/>
      <c r="AP2603" s="77"/>
      <c r="AQ2603" s="77" t="s">
        <v>15325</v>
      </c>
      <c r="AR2603" s="77"/>
      <c r="AS2603" s="77"/>
      <c r="AT2603" s="77"/>
      <c r="AU2603" s="77"/>
      <c r="AV2603" s="83" t="str">
        <f>HYPERLINK("https://pbs.twimg.com/media/Fz24PEcWIAA2Ksg.jpg")</f>
        <v>https://pbs.twimg.com/media/Fz24PEcWIAA2Ksg.jpg</v>
      </c>
      <c r="AW2603" s="80" t="s">
        <v>18393</v>
      </c>
      <c r="AX2603" s="80" t="s">
        <v>18393</v>
      </c>
      <c r="AY2603" s="77"/>
      <c r="AZ2603" s="80" t="s">
        <v>20380</v>
      </c>
      <c r="BA2603" s="80" t="s">
        <v>20380</v>
      </c>
      <c r="BB2603" s="80" t="s">
        <v>20380</v>
      </c>
      <c r="BC2603" s="80" t="s">
        <v>18393</v>
      </c>
      <c r="BD2603" s="80" t="s">
        <v>20920</v>
      </c>
      <c r="BE2603" s="77"/>
      <c r="BF2603" s="77"/>
      <c r="BG2603" s="77"/>
      <c r="BH2603" s="77"/>
      <c r="BI2603" s="77"/>
    </row>
    <row r="2604" spans="1:61" x14ac:dyDescent="0.25">
      <c r="A2604" s="62" t="s">
        <v>1082</v>
      </c>
      <c r="B2604" s="62" t="s">
        <v>1082</v>
      </c>
      <c r="C2604" s="63"/>
      <c r="D2604" s="64"/>
      <c r="E2604" s="65"/>
      <c r="F2604" s="66"/>
      <c r="G2604" s="63"/>
      <c r="H2604" s="67"/>
      <c r="I2604" s="68"/>
      <c r="J2604" s="68"/>
      <c r="K2604" s="32"/>
      <c r="L2604" s="75">
        <v>2604</v>
      </c>
      <c r="M2604" s="75"/>
      <c r="N2604" s="70"/>
      <c r="O2604" s="77" t="s">
        <v>179</v>
      </c>
      <c r="P2604" s="79">
        <v>45180.576099537036</v>
      </c>
      <c r="Q2604" s="77" t="s">
        <v>4386</v>
      </c>
      <c r="R2604" s="77">
        <v>0</v>
      </c>
      <c r="S2604" s="77">
        <v>0</v>
      </c>
      <c r="T2604" s="77">
        <v>0</v>
      </c>
      <c r="U2604" s="77">
        <v>0</v>
      </c>
      <c r="V2604" s="77">
        <v>16</v>
      </c>
      <c r="W2604" s="80" t="s">
        <v>7536</v>
      </c>
      <c r="X2604" s="83" t="str">
        <f>HYPERLINK("https://economicnewsbrasil.com.br/2023/09/11/boletim-focus-sinaliza-crescimento-e-inflacao-em-alta-em-2023/")</f>
        <v>https://economicnewsbrasil.com.br/2023/09/11/boletim-focus-sinaliza-crescimento-e-inflacao-em-alta-em-2023/</v>
      </c>
      <c r="Y2604" s="77" t="s">
        <v>8611</v>
      </c>
      <c r="Z2604" s="77"/>
      <c r="AA2604" s="77"/>
      <c r="AB2604" s="77"/>
      <c r="AC2604" s="80" t="s">
        <v>10595</v>
      </c>
      <c r="AD2604" s="77" t="s">
        <v>10617</v>
      </c>
      <c r="AE2604" s="83" t="str">
        <f>HYPERLINK("https://twitter.com/economicnewsbr/status/1701231516934627396")</f>
        <v>https://twitter.com/economicnewsbr/status/1701231516934627396</v>
      </c>
      <c r="AF2604" s="79">
        <v>45180.576099537036</v>
      </c>
      <c r="AG2604" s="85">
        <v>45180</v>
      </c>
      <c r="AH2604" s="80" t="s">
        <v>12920</v>
      </c>
      <c r="AI2604" s="77" t="b">
        <v>0</v>
      </c>
      <c r="AJ2604" s="77"/>
      <c r="AK2604" s="77"/>
      <c r="AL2604" s="77"/>
      <c r="AM2604" s="77"/>
      <c r="AN2604" s="77"/>
      <c r="AO2604" s="77"/>
      <c r="AP2604" s="77"/>
      <c r="AQ2604" s="77"/>
      <c r="AR2604" s="77"/>
      <c r="AS2604" s="77"/>
      <c r="AT2604" s="77"/>
      <c r="AU2604" s="77"/>
      <c r="AV2604" s="83" t="str">
        <f>HYPERLINK("https://pbs.twimg.com/profile_images/1211027151870402560/9JIqaKmf_normal.jpg")</f>
        <v>https://pbs.twimg.com/profile_images/1211027151870402560/9JIqaKmf_normal.jpg</v>
      </c>
      <c r="AW2604" s="80" t="s">
        <v>18394</v>
      </c>
      <c r="AX2604" s="80" t="s">
        <v>18394</v>
      </c>
      <c r="AY2604" s="77"/>
      <c r="AZ2604" s="80" t="s">
        <v>20380</v>
      </c>
      <c r="BA2604" s="80" t="s">
        <v>20380</v>
      </c>
      <c r="BB2604" s="80" t="s">
        <v>20380</v>
      </c>
      <c r="BC2604" s="80" t="s">
        <v>18394</v>
      </c>
      <c r="BD2604" s="80" t="s">
        <v>20920</v>
      </c>
      <c r="BE2604" s="77"/>
      <c r="BF2604" s="77"/>
      <c r="BG2604" s="77"/>
      <c r="BH2604" s="77"/>
      <c r="BI2604" s="77"/>
    </row>
    <row r="2605" spans="1:61" x14ac:dyDescent="0.25">
      <c r="A2605" s="62" t="s">
        <v>1082</v>
      </c>
      <c r="B2605" s="62" t="s">
        <v>1082</v>
      </c>
      <c r="C2605" s="63"/>
      <c r="D2605" s="64"/>
      <c r="E2605" s="65"/>
      <c r="F2605" s="66"/>
      <c r="G2605" s="63"/>
      <c r="H2605" s="67"/>
      <c r="I2605" s="68"/>
      <c r="J2605" s="68"/>
      <c r="K2605" s="32"/>
      <c r="L2605" s="75">
        <v>2605</v>
      </c>
      <c r="M2605" s="75"/>
      <c r="N2605" s="70"/>
      <c r="O2605" s="77" t="s">
        <v>179</v>
      </c>
      <c r="P2605" s="79">
        <v>45140.915127314816</v>
      </c>
      <c r="Q2605" s="77" t="s">
        <v>4387</v>
      </c>
      <c r="R2605" s="77">
        <v>0</v>
      </c>
      <c r="S2605" s="77">
        <v>1</v>
      </c>
      <c r="T2605" s="77">
        <v>0</v>
      </c>
      <c r="U2605" s="77">
        <v>0</v>
      </c>
      <c r="V2605" s="77">
        <v>79</v>
      </c>
      <c r="W2605" s="80" t="s">
        <v>7537</v>
      </c>
      <c r="X2605" s="83" t="str">
        <f>HYPERLINK("https://economicnewsbrasil.com.br/2023/08/02/banco-central-reduz-juros-em-em-05-ponto-percentual-para-1325-ao-ano-pela-primeira-vez-em-tres-anos/")</f>
        <v>https://economicnewsbrasil.com.br/2023/08/02/banco-central-reduz-juros-em-em-05-ponto-percentual-para-1325-ao-ano-pela-primeira-vez-em-tres-anos/</v>
      </c>
      <c r="Y2605" s="77" t="s">
        <v>8611</v>
      </c>
      <c r="Z2605" s="77"/>
      <c r="AA2605" s="77" t="s">
        <v>9844</v>
      </c>
      <c r="AB2605" s="77" t="s">
        <v>10535</v>
      </c>
      <c r="AC2605" s="80" t="s">
        <v>10595</v>
      </c>
      <c r="AD2605" s="77" t="s">
        <v>10617</v>
      </c>
      <c r="AE2605" s="83" t="str">
        <f>HYPERLINK("https://twitter.com/economicnewsbr/status/1686858860911271937")</f>
        <v>https://twitter.com/economicnewsbr/status/1686858860911271937</v>
      </c>
      <c r="AF2605" s="79">
        <v>45140.915127314816</v>
      </c>
      <c r="AG2605" s="85">
        <v>45140</v>
      </c>
      <c r="AH2605" s="80" t="s">
        <v>12921</v>
      </c>
      <c r="AI2605" s="77" t="b">
        <v>0</v>
      </c>
      <c r="AJ2605" s="77"/>
      <c r="AK2605" s="77"/>
      <c r="AL2605" s="77"/>
      <c r="AM2605" s="77"/>
      <c r="AN2605" s="77"/>
      <c r="AO2605" s="77"/>
      <c r="AP2605" s="77"/>
      <c r="AQ2605" s="77" t="s">
        <v>15326</v>
      </c>
      <c r="AR2605" s="77"/>
      <c r="AS2605" s="77"/>
      <c r="AT2605" s="77"/>
      <c r="AU2605" s="77"/>
      <c r="AV2605" s="83" t="str">
        <f>HYPERLINK("https://pbs.twimg.com/media/F2jtMc-WgAAC40W.jpg")</f>
        <v>https://pbs.twimg.com/media/F2jtMc-WgAAC40W.jpg</v>
      </c>
      <c r="AW2605" s="80" t="s">
        <v>18395</v>
      </c>
      <c r="AX2605" s="80" t="s">
        <v>18395</v>
      </c>
      <c r="AY2605" s="77"/>
      <c r="AZ2605" s="80" t="s">
        <v>20380</v>
      </c>
      <c r="BA2605" s="80" t="s">
        <v>20380</v>
      </c>
      <c r="BB2605" s="80" t="s">
        <v>20380</v>
      </c>
      <c r="BC2605" s="80" t="s">
        <v>18395</v>
      </c>
      <c r="BD2605" s="80" t="s">
        <v>20920</v>
      </c>
      <c r="BE2605" s="77"/>
      <c r="BF2605" s="77"/>
      <c r="BG2605" s="77"/>
      <c r="BH2605" s="77"/>
      <c r="BI2605" s="77"/>
    </row>
    <row r="2606" spans="1:61" x14ac:dyDescent="0.25">
      <c r="A2606" s="62" t="s">
        <v>1082</v>
      </c>
      <c r="B2606" s="62" t="s">
        <v>1082</v>
      </c>
      <c r="C2606" s="63"/>
      <c r="D2606" s="64"/>
      <c r="E2606" s="65"/>
      <c r="F2606" s="66"/>
      <c r="G2606" s="63"/>
      <c r="H2606" s="67"/>
      <c r="I2606" s="68"/>
      <c r="J2606" s="68"/>
      <c r="K2606" s="32"/>
      <c r="L2606" s="75">
        <v>2606</v>
      </c>
      <c r="M2606" s="75"/>
      <c r="N2606" s="70"/>
      <c r="O2606" s="77" t="s">
        <v>179</v>
      </c>
      <c r="P2606" s="79">
        <v>45084.47210648148</v>
      </c>
      <c r="Q2606" s="77" t="s">
        <v>4388</v>
      </c>
      <c r="R2606" s="77">
        <v>0</v>
      </c>
      <c r="S2606" s="77">
        <v>0</v>
      </c>
      <c r="T2606" s="77">
        <v>0</v>
      </c>
      <c r="U2606" s="77">
        <v>0</v>
      </c>
      <c r="V2606" s="77">
        <v>5</v>
      </c>
      <c r="W2606" s="80" t="s">
        <v>7538</v>
      </c>
      <c r="X2606" s="83" t="str">
        <f>HYPERLINK("https://economicnewsbrasil.com.br/2023/06/07/poupanca-tem-recorde-de-retirada-em-maio/")</f>
        <v>https://economicnewsbrasil.com.br/2023/06/07/poupanca-tem-recorde-de-retirada-em-maio/</v>
      </c>
      <c r="Y2606" s="77" t="s">
        <v>8611</v>
      </c>
      <c r="Z2606" s="77"/>
      <c r="AA2606" s="77" t="s">
        <v>9845</v>
      </c>
      <c r="AB2606" s="77" t="s">
        <v>10535</v>
      </c>
      <c r="AC2606" s="80" t="s">
        <v>10546</v>
      </c>
      <c r="AD2606" s="77" t="s">
        <v>10617</v>
      </c>
      <c r="AE2606" s="83" t="str">
        <f>HYPERLINK("https://twitter.com/economicnewsbr/status/1666404596967776256")</f>
        <v>https://twitter.com/economicnewsbr/status/1666404596967776256</v>
      </c>
      <c r="AF2606" s="79">
        <v>45084.47210648148</v>
      </c>
      <c r="AG2606" s="85">
        <v>45084</v>
      </c>
      <c r="AH2606" s="80" t="s">
        <v>12922</v>
      </c>
      <c r="AI2606" s="77" t="b">
        <v>0</v>
      </c>
      <c r="AJ2606" s="77"/>
      <c r="AK2606" s="77"/>
      <c r="AL2606" s="77"/>
      <c r="AM2606" s="77"/>
      <c r="AN2606" s="77"/>
      <c r="AO2606" s="77"/>
      <c r="AP2606" s="77"/>
      <c r="AQ2606" s="77" t="s">
        <v>15327</v>
      </c>
      <c r="AR2606" s="77"/>
      <c r="AS2606" s="77"/>
      <c r="AT2606" s="77"/>
      <c r="AU2606" s="77"/>
      <c r="AV2606" s="83" t="str">
        <f>HYPERLINK("https://pbs.twimg.com/media/FyBCJmcXoAAVm3o.jpg")</f>
        <v>https://pbs.twimg.com/media/FyBCJmcXoAAVm3o.jpg</v>
      </c>
      <c r="AW2606" s="80" t="s">
        <v>18396</v>
      </c>
      <c r="AX2606" s="80" t="s">
        <v>18396</v>
      </c>
      <c r="AY2606" s="77"/>
      <c r="AZ2606" s="80" t="s">
        <v>20380</v>
      </c>
      <c r="BA2606" s="80" t="s">
        <v>20380</v>
      </c>
      <c r="BB2606" s="80" t="s">
        <v>20380</v>
      </c>
      <c r="BC2606" s="80" t="s">
        <v>18396</v>
      </c>
      <c r="BD2606" s="80" t="s">
        <v>20920</v>
      </c>
      <c r="BE2606" s="77"/>
      <c r="BF2606" s="77"/>
      <c r="BG2606" s="77"/>
      <c r="BH2606" s="77"/>
      <c r="BI2606" s="77"/>
    </row>
    <row r="2607" spans="1:61" x14ac:dyDescent="0.25">
      <c r="A2607" s="62" t="s">
        <v>1082</v>
      </c>
      <c r="B2607" s="62" t="s">
        <v>1082</v>
      </c>
      <c r="C2607" s="63"/>
      <c r="D2607" s="64"/>
      <c r="E2607" s="65"/>
      <c r="F2607" s="66"/>
      <c r="G2607" s="63"/>
      <c r="H2607" s="67"/>
      <c r="I2607" s="68"/>
      <c r="J2607" s="68"/>
      <c r="K2607" s="32"/>
      <c r="L2607" s="75">
        <v>2607</v>
      </c>
      <c r="M2607" s="75"/>
      <c r="N2607" s="70"/>
      <c r="O2607" s="77" t="s">
        <v>179</v>
      </c>
      <c r="P2607" s="79">
        <v>45084.406469907408</v>
      </c>
      <c r="Q2607" s="77" t="s">
        <v>4389</v>
      </c>
      <c r="R2607" s="77">
        <v>0</v>
      </c>
      <c r="S2607" s="77">
        <v>0</v>
      </c>
      <c r="T2607" s="77">
        <v>0</v>
      </c>
      <c r="U2607" s="77">
        <v>0</v>
      </c>
      <c r="V2607" s="77">
        <v>10</v>
      </c>
      <c r="W2607" s="80" t="s">
        <v>5884</v>
      </c>
      <c r="X2607" s="83" t="str">
        <f>HYPERLINK("https://economicnewsbrasil.com.br/?p=71782")</f>
        <v>https://economicnewsbrasil.com.br/?p=71782</v>
      </c>
      <c r="Y2607" s="77" t="s">
        <v>8611</v>
      </c>
      <c r="Z2607" s="77"/>
      <c r="AA2607" s="77" t="s">
        <v>9846</v>
      </c>
      <c r="AB2607" s="77" t="s">
        <v>10535</v>
      </c>
      <c r="AC2607" s="80" t="s">
        <v>10546</v>
      </c>
      <c r="AD2607" s="77" t="s">
        <v>10617</v>
      </c>
      <c r="AE2607" s="83" t="str">
        <f>HYPERLINK("https://twitter.com/economicnewsbr/status/1666380808737660930")</f>
        <v>https://twitter.com/economicnewsbr/status/1666380808737660930</v>
      </c>
      <c r="AF2607" s="79">
        <v>45084.406469907408</v>
      </c>
      <c r="AG2607" s="85">
        <v>45084</v>
      </c>
      <c r="AH2607" s="80" t="s">
        <v>12923</v>
      </c>
      <c r="AI2607" s="77" t="b">
        <v>0</v>
      </c>
      <c r="AJ2607" s="77"/>
      <c r="AK2607" s="77"/>
      <c r="AL2607" s="77"/>
      <c r="AM2607" s="77"/>
      <c r="AN2607" s="77"/>
      <c r="AO2607" s="77"/>
      <c r="AP2607" s="77"/>
      <c r="AQ2607" s="77" t="s">
        <v>15328</v>
      </c>
      <c r="AR2607" s="77"/>
      <c r="AS2607" s="77"/>
      <c r="AT2607" s="77"/>
      <c r="AU2607" s="77"/>
      <c r="AV2607" s="83" t="str">
        <f>HYPERLINK("https://pbs.twimg.com/media/FyAsg9RXgAEaoUE.jpg")</f>
        <v>https://pbs.twimg.com/media/FyAsg9RXgAEaoUE.jpg</v>
      </c>
      <c r="AW2607" s="80" t="s">
        <v>18397</v>
      </c>
      <c r="AX2607" s="80" t="s">
        <v>18397</v>
      </c>
      <c r="AY2607" s="77"/>
      <c r="AZ2607" s="80" t="s">
        <v>20380</v>
      </c>
      <c r="BA2607" s="80" t="s">
        <v>20380</v>
      </c>
      <c r="BB2607" s="80" t="s">
        <v>20380</v>
      </c>
      <c r="BC2607" s="80" t="s">
        <v>18397</v>
      </c>
      <c r="BD2607" s="80" t="s">
        <v>20920</v>
      </c>
      <c r="BE2607" s="77"/>
      <c r="BF2607" s="77"/>
      <c r="BG2607" s="77"/>
      <c r="BH2607" s="77"/>
      <c r="BI2607" s="77"/>
    </row>
    <row r="2608" spans="1:61" x14ac:dyDescent="0.25">
      <c r="A2608" s="62" t="s">
        <v>1082</v>
      </c>
      <c r="B2608" s="62" t="s">
        <v>1082</v>
      </c>
      <c r="C2608" s="63"/>
      <c r="D2608" s="64"/>
      <c r="E2608" s="65"/>
      <c r="F2608" s="66"/>
      <c r="G2608" s="63"/>
      <c r="H2608" s="67"/>
      <c r="I2608" s="68"/>
      <c r="J2608" s="68"/>
      <c r="K2608" s="32"/>
      <c r="L2608" s="75">
        <v>2608</v>
      </c>
      <c r="M2608" s="75"/>
      <c r="N2608" s="70"/>
      <c r="O2608" s="77" t="s">
        <v>179</v>
      </c>
      <c r="P2608" s="79">
        <v>45193.802395833336</v>
      </c>
      <c r="Q2608" s="77" t="s">
        <v>4390</v>
      </c>
      <c r="R2608" s="77">
        <v>0</v>
      </c>
      <c r="S2608" s="77">
        <v>0</v>
      </c>
      <c r="T2608" s="77">
        <v>0</v>
      </c>
      <c r="U2608" s="77">
        <v>0</v>
      </c>
      <c r="V2608" s="77">
        <v>20</v>
      </c>
      <c r="W2608" s="80" t="s">
        <v>7539</v>
      </c>
      <c r="X2608" s="83" t="str">
        <f>HYPERLINK("https://economicnewsbrasil.com.br/?p=90081")</f>
        <v>https://economicnewsbrasil.com.br/?p=90081</v>
      </c>
      <c r="Y2608" s="77" t="s">
        <v>8611</v>
      </c>
      <c r="Z2608" s="77"/>
      <c r="AA2608" s="77"/>
      <c r="AB2608" s="77"/>
      <c r="AC2608" s="80" t="s">
        <v>10595</v>
      </c>
      <c r="AD2608" s="77" t="s">
        <v>10617</v>
      </c>
      <c r="AE2608" s="83" t="str">
        <f>HYPERLINK("https://twitter.com/economicnewsbr/status/1706024564013006986")</f>
        <v>https://twitter.com/economicnewsbr/status/1706024564013006986</v>
      </c>
      <c r="AF2608" s="79">
        <v>45193.802395833336</v>
      </c>
      <c r="AG2608" s="85">
        <v>45193</v>
      </c>
      <c r="AH2608" s="80" t="s">
        <v>12924</v>
      </c>
      <c r="AI2608" s="77" t="b">
        <v>0</v>
      </c>
      <c r="AJ2608" s="77"/>
      <c r="AK2608" s="77"/>
      <c r="AL2608" s="77"/>
      <c r="AM2608" s="77"/>
      <c r="AN2608" s="77"/>
      <c r="AO2608" s="77"/>
      <c r="AP2608" s="77"/>
      <c r="AQ2608" s="77"/>
      <c r="AR2608" s="77"/>
      <c r="AS2608" s="77"/>
      <c r="AT2608" s="77"/>
      <c r="AU2608" s="77"/>
      <c r="AV2608" s="83" t="str">
        <f>HYPERLINK("https://pbs.twimg.com/profile_images/1211027151870402560/9JIqaKmf_normal.jpg")</f>
        <v>https://pbs.twimg.com/profile_images/1211027151870402560/9JIqaKmf_normal.jpg</v>
      </c>
      <c r="AW2608" s="80" t="s">
        <v>18398</v>
      </c>
      <c r="AX2608" s="80" t="s">
        <v>18398</v>
      </c>
      <c r="AY2608" s="77"/>
      <c r="AZ2608" s="80" t="s">
        <v>20380</v>
      </c>
      <c r="BA2608" s="80" t="s">
        <v>20380</v>
      </c>
      <c r="BB2608" s="80" t="s">
        <v>20380</v>
      </c>
      <c r="BC2608" s="80" t="s">
        <v>18398</v>
      </c>
      <c r="BD2608" s="80" t="s">
        <v>20920</v>
      </c>
      <c r="BE2608" s="77"/>
      <c r="BF2608" s="77"/>
      <c r="BG2608" s="77"/>
      <c r="BH2608" s="77"/>
      <c r="BI2608" s="77"/>
    </row>
    <row r="2609" spans="1:61" x14ac:dyDescent="0.25">
      <c r="A2609" s="62" t="s">
        <v>1082</v>
      </c>
      <c r="B2609" s="62" t="s">
        <v>1082</v>
      </c>
      <c r="C2609" s="63"/>
      <c r="D2609" s="64"/>
      <c r="E2609" s="65"/>
      <c r="F2609" s="66"/>
      <c r="G2609" s="63"/>
      <c r="H2609" s="67"/>
      <c r="I2609" s="68"/>
      <c r="J2609" s="68"/>
      <c r="K2609" s="32"/>
      <c r="L2609" s="75">
        <v>2609</v>
      </c>
      <c r="M2609" s="75"/>
      <c r="N2609" s="70"/>
      <c r="O2609" s="77" t="s">
        <v>179</v>
      </c>
      <c r="P2609" s="79">
        <v>45194.771863425929</v>
      </c>
      <c r="Q2609" s="77" t="s">
        <v>4391</v>
      </c>
      <c r="R2609" s="77">
        <v>0</v>
      </c>
      <c r="S2609" s="77">
        <v>0</v>
      </c>
      <c r="T2609" s="77">
        <v>0</v>
      </c>
      <c r="U2609" s="77">
        <v>0</v>
      </c>
      <c r="V2609" s="77">
        <v>28</v>
      </c>
      <c r="W2609" s="80" t="s">
        <v>7540</v>
      </c>
      <c r="X2609" s="83" t="str">
        <f>HYPERLINK("https://economicnewsbrasil.com.br/?p=90753")</f>
        <v>https://economicnewsbrasil.com.br/?p=90753</v>
      </c>
      <c r="Y2609" s="77" t="s">
        <v>8611</v>
      </c>
      <c r="Z2609" s="77"/>
      <c r="AA2609" s="77" t="s">
        <v>9847</v>
      </c>
      <c r="AB2609" s="77" t="s">
        <v>10535</v>
      </c>
      <c r="AC2609" s="80" t="s">
        <v>10595</v>
      </c>
      <c r="AD2609" s="77" t="s">
        <v>10617</v>
      </c>
      <c r="AE2609" s="83" t="str">
        <f>HYPERLINK("https://twitter.com/economicnewsbr/status/1706375887950647629")</f>
        <v>https://twitter.com/economicnewsbr/status/1706375887950647629</v>
      </c>
      <c r="AF2609" s="79">
        <v>45194.771863425929</v>
      </c>
      <c r="AG2609" s="85">
        <v>45194</v>
      </c>
      <c r="AH2609" s="80" t="s">
        <v>12925</v>
      </c>
      <c r="AI2609" s="77" t="b">
        <v>0</v>
      </c>
      <c r="AJ2609" s="77"/>
      <c r="AK2609" s="77"/>
      <c r="AL2609" s="77"/>
      <c r="AM2609" s="77"/>
      <c r="AN2609" s="77"/>
      <c r="AO2609" s="77"/>
      <c r="AP2609" s="77"/>
      <c r="AQ2609" s="77" t="s">
        <v>15329</v>
      </c>
      <c r="AR2609" s="77"/>
      <c r="AS2609" s="77"/>
      <c r="AT2609" s="77"/>
      <c r="AU2609" s="77"/>
      <c r="AV2609" s="83" t="str">
        <f>HYPERLINK("https://pbs.twimg.com/media/F65D0-nWYAA7IoL.jpg")</f>
        <v>https://pbs.twimg.com/media/F65D0-nWYAA7IoL.jpg</v>
      </c>
      <c r="AW2609" s="80" t="s">
        <v>18399</v>
      </c>
      <c r="AX2609" s="80" t="s">
        <v>18399</v>
      </c>
      <c r="AY2609" s="77"/>
      <c r="AZ2609" s="80" t="s">
        <v>20380</v>
      </c>
      <c r="BA2609" s="80" t="s">
        <v>20380</v>
      </c>
      <c r="BB2609" s="80" t="s">
        <v>20380</v>
      </c>
      <c r="BC2609" s="80" t="s">
        <v>18399</v>
      </c>
      <c r="BD2609" s="80" t="s">
        <v>20920</v>
      </c>
      <c r="BE2609" s="77"/>
      <c r="BF2609" s="77"/>
      <c r="BG2609" s="77"/>
      <c r="BH2609" s="77"/>
      <c r="BI2609" s="77"/>
    </row>
    <row r="2610" spans="1:61" x14ac:dyDescent="0.25">
      <c r="A2610" s="62" t="s">
        <v>1082</v>
      </c>
      <c r="B2610" s="62" t="s">
        <v>1082</v>
      </c>
      <c r="C2610" s="63"/>
      <c r="D2610" s="64"/>
      <c r="E2610" s="65"/>
      <c r="F2610" s="66"/>
      <c r="G2610" s="63"/>
      <c r="H2610" s="67"/>
      <c r="I2610" s="68"/>
      <c r="J2610" s="68"/>
      <c r="K2610" s="32"/>
      <c r="L2610" s="75">
        <v>2610</v>
      </c>
      <c r="M2610" s="75"/>
      <c r="N2610" s="70"/>
      <c r="O2610" s="77" t="s">
        <v>179</v>
      </c>
      <c r="P2610" s="79">
        <v>45111.398645833331</v>
      </c>
      <c r="Q2610" s="77" t="s">
        <v>4392</v>
      </c>
      <c r="R2610" s="77">
        <v>0</v>
      </c>
      <c r="S2610" s="77">
        <v>0</v>
      </c>
      <c r="T2610" s="77">
        <v>0</v>
      </c>
      <c r="U2610" s="77">
        <v>0</v>
      </c>
      <c r="V2610" s="77">
        <v>11</v>
      </c>
      <c r="W2610" s="80" t="s">
        <v>7541</v>
      </c>
      <c r="X2610" s="83" t="str">
        <f>HYPERLINK("https://economicnewsbrasil.com.br/?p=75108")</f>
        <v>https://economicnewsbrasil.com.br/?p=75108</v>
      </c>
      <c r="Y2610" s="77" t="s">
        <v>8611</v>
      </c>
      <c r="Z2610" s="77"/>
      <c r="AA2610" s="77" t="s">
        <v>9848</v>
      </c>
      <c r="AB2610" s="77" t="s">
        <v>10535</v>
      </c>
      <c r="AC2610" s="80" t="s">
        <v>10546</v>
      </c>
      <c r="AD2610" s="77" t="s">
        <v>10617</v>
      </c>
      <c r="AE2610" s="83" t="str">
        <f>HYPERLINK("https://twitter.com/economicnewsbr/status/1676162447403614208")</f>
        <v>https://twitter.com/economicnewsbr/status/1676162447403614208</v>
      </c>
      <c r="AF2610" s="79">
        <v>45111.398645833331</v>
      </c>
      <c r="AG2610" s="85">
        <v>45111</v>
      </c>
      <c r="AH2610" s="80" t="s">
        <v>12926</v>
      </c>
      <c r="AI2610" s="77" t="b">
        <v>0</v>
      </c>
      <c r="AJ2610" s="77"/>
      <c r="AK2610" s="77"/>
      <c r="AL2610" s="77"/>
      <c r="AM2610" s="77"/>
      <c r="AN2610" s="77"/>
      <c r="AO2610" s="77"/>
      <c r="AP2610" s="77"/>
      <c r="AQ2610" s="77" t="s">
        <v>15330</v>
      </c>
      <c r="AR2610" s="77"/>
      <c r="AS2610" s="77"/>
      <c r="AT2610" s="77"/>
      <c r="AU2610" s="77"/>
      <c r="AV2610" s="83" t="str">
        <f>HYPERLINK("https://pbs.twimg.com/media/F0Ls3SZWYAEQdbg.jpg")</f>
        <v>https://pbs.twimg.com/media/F0Ls3SZWYAEQdbg.jpg</v>
      </c>
      <c r="AW2610" s="80" t="s">
        <v>18400</v>
      </c>
      <c r="AX2610" s="80" t="s">
        <v>18400</v>
      </c>
      <c r="AY2610" s="77"/>
      <c r="AZ2610" s="80" t="s">
        <v>20380</v>
      </c>
      <c r="BA2610" s="80" t="s">
        <v>20380</v>
      </c>
      <c r="BB2610" s="80" t="s">
        <v>20380</v>
      </c>
      <c r="BC2610" s="80" t="s">
        <v>18400</v>
      </c>
      <c r="BD2610" s="80" t="s">
        <v>20920</v>
      </c>
      <c r="BE2610" s="77"/>
      <c r="BF2610" s="77"/>
      <c r="BG2610" s="77"/>
      <c r="BH2610" s="77"/>
      <c r="BI2610" s="77"/>
    </row>
    <row r="2611" spans="1:61" x14ac:dyDescent="0.25">
      <c r="A2611" s="62" t="s">
        <v>1082</v>
      </c>
      <c r="B2611" s="62" t="s">
        <v>1082</v>
      </c>
      <c r="C2611" s="63"/>
      <c r="D2611" s="64"/>
      <c r="E2611" s="65"/>
      <c r="F2611" s="66"/>
      <c r="G2611" s="63"/>
      <c r="H2611" s="67"/>
      <c r="I2611" s="68"/>
      <c r="J2611" s="68"/>
      <c r="K2611" s="32"/>
      <c r="L2611" s="75">
        <v>2611</v>
      </c>
      <c r="M2611" s="75"/>
      <c r="N2611" s="70"/>
      <c r="O2611" s="77" t="s">
        <v>179</v>
      </c>
      <c r="P2611" s="79">
        <v>45097.628240740742</v>
      </c>
      <c r="Q2611" s="77" t="s">
        <v>4393</v>
      </c>
      <c r="R2611" s="77">
        <v>0</v>
      </c>
      <c r="S2611" s="77">
        <v>0</v>
      </c>
      <c r="T2611" s="77">
        <v>0</v>
      </c>
      <c r="U2611" s="77">
        <v>0</v>
      </c>
      <c r="V2611" s="77">
        <v>22</v>
      </c>
      <c r="W2611" s="80" t="s">
        <v>7542</v>
      </c>
      <c r="X2611" s="83" t="str">
        <f>HYPERLINK("https://economicnewsbrasil.com.br/?p=73490")</f>
        <v>https://economicnewsbrasil.com.br/?p=73490</v>
      </c>
      <c r="Y2611" s="77" t="s">
        <v>8611</v>
      </c>
      <c r="Z2611" s="77"/>
      <c r="AA2611" s="77" t="s">
        <v>9849</v>
      </c>
      <c r="AB2611" s="77" t="s">
        <v>10535</v>
      </c>
      <c r="AC2611" s="80" t="s">
        <v>10546</v>
      </c>
      <c r="AD2611" s="77" t="s">
        <v>10617</v>
      </c>
      <c r="AE2611" s="83" t="str">
        <f>HYPERLINK("https://twitter.com/economicnewsbr/status/1671172220461391877")</f>
        <v>https://twitter.com/economicnewsbr/status/1671172220461391877</v>
      </c>
      <c r="AF2611" s="79">
        <v>45097.628240740742</v>
      </c>
      <c r="AG2611" s="85">
        <v>45097</v>
      </c>
      <c r="AH2611" s="80" t="s">
        <v>12927</v>
      </c>
      <c r="AI2611" s="77" t="b">
        <v>0</v>
      </c>
      <c r="AJ2611" s="77"/>
      <c r="AK2611" s="77"/>
      <c r="AL2611" s="77"/>
      <c r="AM2611" s="77"/>
      <c r="AN2611" s="77"/>
      <c r="AO2611" s="77"/>
      <c r="AP2611" s="77"/>
      <c r="AQ2611" s="77" t="s">
        <v>15331</v>
      </c>
      <c r="AR2611" s="77"/>
      <c r="AS2611" s="77"/>
      <c r="AT2611" s="77"/>
      <c r="AU2611" s="77"/>
      <c r="AV2611" s="83" t="str">
        <f>HYPERLINK("https://pbs.twimg.com/media/FzEyR1AaEAQSTUT.png")</f>
        <v>https://pbs.twimg.com/media/FzEyR1AaEAQSTUT.png</v>
      </c>
      <c r="AW2611" s="80" t="s">
        <v>18401</v>
      </c>
      <c r="AX2611" s="80" t="s">
        <v>18401</v>
      </c>
      <c r="AY2611" s="77"/>
      <c r="AZ2611" s="80" t="s">
        <v>20380</v>
      </c>
      <c r="BA2611" s="80" t="s">
        <v>20380</v>
      </c>
      <c r="BB2611" s="80" t="s">
        <v>20380</v>
      </c>
      <c r="BC2611" s="80" t="s">
        <v>18401</v>
      </c>
      <c r="BD2611" s="80" t="s">
        <v>20920</v>
      </c>
      <c r="BE2611" s="77"/>
      <c r="BF2611" s="77"/>
      <c r="BG2611" s="77"/>
      <c r="BH2611" s="77"/>
      <c r="BI2611" s="77"/>
    </row>
    <row r="2612" spans="1:61" x14ac:dyDescent="0.25">
      <c r="A2612" s="62" t="s">
        <v>1082</v>
      </c>
      <c r="B2612" s="62" t="s">
        <v>1082</v>
      </c>
      <c r="C2612" s="63"/>
      <c r="D2612" s="64"/>
      <c r="E2612" s="65"/>
      <c r="F2612" s="66"/>
      <c r="G2612" s="63"/>
      <c r="H2612" s="67"/>
      <c r="I2612" s="68"/>
      <c r="J2612" s="68"/>
      <c r="K2612" s="32"/>
      <c r="L2612" s="75">
        <v>2612</v>
      </c>
      <c r="M2612" s="75"/>
      <c r="N2612" s="70"/>
      <c r="O2612" s="77" t="s">
        <v>179</v>
      </c>
      <c r="P2612" s="79">
        <v>45072.491388888891</v>
      </c>
      <c r="Q2612" s="77" t="s">
        <v>4394</v>
      </c>
      <c r="R2612" s="77">
        <v>0</v>
      </c>
      <c r="S2612" s="77">
        <v>1</v>
      </c>
      <c r="T2612" s="77">
        <v>0</v>
      </c>
      <c r="U2612" s="77">
        <v>0</v>
      </c>
      <c r="V2612" s="77">
        <v>70</v>
      </c>
      <c r="W2612" s="80" t="s">
        <v>5884</v>
      </c>
      <c r="X2612" s="83" t="str">
        <f>HYPERLINK("https://economicnewsbrasil.com.br/2023/05/26/banco-central-anuncia-instituicoes-participantes-do-piloto-rd-para-o-real-digital/")</f>
        <v>https://economicnewsbrasil.com.br/2023/05/26/banco-central-anuncia-instituicoes-participantes-do-piloto-rd-para-o-real-digital/</v>
      </c>
      <c r="Y2612" s="77" t="s">
        <v>8611</v>
      </c>
      <c r="Z2612" s="77"/>
      <c r="AA2612" s="77" t="s">
        <v>9850</v>
      </c>
      <c r="AB2612" s="77" t="s">
        <v>10535</v>
      </c>
      <c r="AC2612" s="80" t="s">
        <v>10546</v>
      </c>
      <c r="AD2612" s="77" t="s">
        <v>10617</v>
      </c>
      <c r="AE2612" s="83" t="str">
        <f>HYPERLINK("https://twitter.com/economicnewsbr/status/1662062930064490496")</f>
        <v>https://twitter.com/economicnewsbr/status/1662062930064490496</v>
      </c>
      <c r="AF2612" s="79">
        <v>45072.491388888891</v>
      </c>
      <c r="AG2612" s="85">
        <v>45072</v>
      </c>
      <c r="AH2612" s="80" t="s">
        <v>12928</v>
      </c>
      <c r="AI2612" s="77" t="b">
        <v>0</v>
      </c>
      <c r="AJ2612" s="77"/>
      <c r="AK2612" s="77"/>
      <c r="AL2612" s="77"/>
      <c r="AM2612" s="77"/>
      <c r="AN2612" s="77"/>
      <c r="AO2612" s="77"/>
      <c r="AP2612" s="77"/>
      <c r="AQ2612" s="77" t="s">
        <v>15332</v>
      </c>
      <c r="AR2612" s="77"/>
      <c r="AS2612" s="77"/>
      <c r="AT2612" s="77"/>
      <c r="AU2612" s="77"/>
      <c r="AV2612" s="83" t="str">
        <f>HYPERLINK("https://pbs.twimg.com/media/FxDVbU7XwAAzhJ0.jpg")</f>
        <v>https://pbs.twimg.com/media/FxDVbU7XwAAzhJ0.jpg</v>
      </c>
      <c r="AW2612" s="80" t="s">
        <v>18402</v>
      </c>
      <c r="AX2612" s="80" t="s">
        <v>18402</v>
      </c>
      <c r="AY2612" s="77"/>
      <c r="AZ2612" s="80" t="s">
        <v>20380</v>
      </c>
      <c r="BA2612" s="80" t="s">
        <v>20380</v>
      </c>
      <c r="BB2612" s="80" t="s">
        <v>20380</v>
      </c>
      <c r="BC2612" s="80" t="s">
        <v>18402</v>
      </c>
      <c r="BD2612" s="80" t="s">
        <v>20920</v>
      </c>
      <c r="BE2612" s="77"/>
      <c r="BF2612" s="77"/>
      <c r="BG2612" s="77"/>
      <c r="BH2612" s="77"/>
      <c r="BI2612" s="77"/>
    </row>
    <row r="2613" spans="1:61" x14ac:dyDescent="0.25">
      <c r="A2613" s="62" t="s">
        <v>1082</v>
      </c>
      <c r="B2613" s="62" t="s">
        <v>1082</v>
      </c>
      <c r="C2613" s="63"/>
      <c r="D2613" s="64"/>
      <c r="E2613" s="65"/>
      <c r="F2613" s="66"/>
      <c r="G2613" s="63"/>
      <c r="H2613" s="67"/>
      <c r="I2613" s="68"/>
      <c r="J2613" s="68"/>
      <c r="K2613" s="32"/>
      <c r="L2613" s="75">
        <v>2613</v>
      </c>
      <c r="M2613" s="75"/>
      <c r="N2613" s="70"/>
      <c r="O2613" s="77" t="s">
        <v>179</v>
      </c>
      <c r="P2613" s="79">
        <v>45072.487997685188</v>
      </c>
      <c r="Q2613" s="77" t="s">
        <v>4395</v>
      </c>
      <c r="R2613" s="77">
        <v>0</v>
      </c>
      <c r="S2613" s="77">
        <v>0</v>
      </c>
      <c r="T2613" s="77">
        <v>0</v>
      </c>
      <c r="U2613" s="77">
        <v>0</v>
      </c>
      <c r="V2613" s="77">
        <v>45</v>
      </c>
      <c r="W2613" s="80" t="s">
        <v>5884</v>
      </c>
      <c r="X2613" s="83" t="str">
        <f>HYPERLINK("https://economicnewsbrasil.com.br/2023/05/26/instituicoes-financeiras-serao-obrigadas-a-compartilhar-informacoes-sobre-fraudes/")</f>
        <v>https://economicnewsbrasil.com.br/2023/05/26/instituicoes-financeiras-serao-obrigadas-a-compartilhar-informacoes-sobre-fraudes/</v>
      </c>
      <c r="Y2613" s="77" t="s">
        <v>8611</v>
      </c>
      <c r="Z2613" s="77"/>
      <c r="AA2613" s="77" t="s">
        <v>9851</v>
      </c>
      <c r="AB2613" s="77" t="s">
        <v>10535</v>
      </c>
      <c r="AC2613" s="80" t="s">
        <v>10546</v>
      </c>
      <c r="AD2613" s="77" t="s">
        <v>10617</v>
      </c>
      <c r="AE2613" s="83" t="str">
        <f>HYPERLINK("https://twitter.com/economicnewsbr/status/1662061698012807168")</f>
        <v>https://twitter.com/economicnewsbr/status/1662061698012807168</v>
      </c>
      <c r="AF2613" s="79">
        <v>45072.487997685188</v>
      </c>
      <c r="AG2613" s="85">
        <v>45072</v>
      </c>
      <c r="AH2613" s="80" t="s">
        <v>12929</v>
      </c>
      <c r="AI2613" s="77" t="b">
        <v>0</v>
      </c>
      <c r="AJ2613" s="77"/>
      <c r="AK2613" s="77"/>
      <c r="AL2613" s="77"/>
      <c r="AM2613" s="77"/>
      <c r="AN2613" s="77"/>
      <c r="AO2613" s="77"/>
      <c r="AP2613" s="77"/>
      <c r="AQ2613" s="77" t="s">
        <v>15333</v>
      </c>
      <c r="AR2613" s="77"/>
      <c r="AS2613" s="77"/>
      <c r="AT2613" s="77"/>
      <c r="AU2613" s="77"/>
      <c r="AV2613" s="83" t="str">
        <f>HYPERLINK("https://pbs.twimg.com/media/FxDUTnwWcAALjt0.jpg")</f>
        <v>https://pbs.twimg.com/media/FxDUTnwWcAALjt0.jpg</v>
      </c>
      <c r="AW2613" s="80" t="s">
        <v>18403</v>
      </c>
      <c r="AX2613" s="80" t="s">
        <v>18403</v>
      </c>
      <c r="AY2613" s="77"/>
      <c r="AZ2613" s="80" t="s">
        <v>20380</v>
      </c>
      <c r="BA2613" s="80" t="s">
        <v>20380</v>
      </c>
      <c r="BB2613" s="80" t="s">
        <v>20380</v>
      </c>
      <c r="BC2613" s="80" t="s">
        <v>18403</v>
      </c>
      <c r="BD2613" s="80" t="s">
        <v>20920</v>
      </c>
      <c r="BE2613" s="77"/>
      <c r="BF2613" s="77"/>
      <c r="BG2613" s="77"/>
      <c r="BH2613" s="77"/>
      <c r="BI2613" s="77"/>
    </row>
    <row r="2614" spans="1:61" x14ac:dyDescent="0.25">
      <c r="A2614" s="62" t="s">
        <v>1082</v>
      </c>
      <c r="B2614" s="62" t="s">
        <v>1082</v>
      </c>
      <c r="C2614" s="63"/>
      <c r="D2614" s="64"/>
      <c r="E2614" s="65"/>
      <c r="F2614" s="66"/>
      <c r="G2614" s="63"/>
      <c r="H2614" s="67"/>
      <c r="I2614" s="68"/>
      <c r="J2614" s="68"/>
      <c r="K2614" s="32"/>
      <c r="L2614" s="75">
        <v>2614</v>
      </c>
      <c r="M2614" s="75"/>
      <c r="N2614" s="70"/>
      <c r="O2614" s="77" t="s">
        <v>179</v>
      </c>
      <c r="P2614" s="79">
        <v>45071.594641203701</v>
      </c>
      <c r="Q2614" s="77" t="s">
        <v>4396</v>
      </c>
      <c r="R2614" s="77">
        <v>0</v>
      </c>
      <c r="S2614" s="77">
        <v>0</v>
      </c>
      <c r="T2614" s="77">
        <v>0</v>
      </c>
      <c r="U2614" s="77">
        <v>0</v>
      </c>
      <c r="V2614" s="77">
        <v>5</v>
      </c>
      <c r="W2614" s="80" t="s">
        <v>7538</v>
      </c>
      <c r="X2614" s="83" t="str">
        <f>HYPERLINK("https://economicnewsbrasil.com.br/?p=69335")</f>
        <v>https://economicnewsbrasil.com.br/?p=69335</v>
      </c>
      <c r="Y2614" s="77" t="s">
        <v>8611</v>
      </c>
      <c r="Z2614" s="77"/>
      <c r="AA2614" s="77" t="s">
        <v>9852</v>
      </c>
      <c r="AB2614" s="77" t="s">
        <v>10535</v>
      </c>
      <c r="AC2614" s="80" t="s">
        <v>10546</v>
      </c>
      <c r="AD2614" s="77" t="s">
        <v>10617</v>
      </c>
      <c r="AE2614" s="83" t="str">
        <f>HYPERLINK("https://twitter.com/economicnewsbr/status/1661737957634756610")</f>
        <v>https://twitter.com/economicnewsbr/status/1661737957634756610</v>
      </c>
      <c r="AF2614" s="79">
        <v>45071.594641203701</v>
      </c>
      <c r="AG2614" s="85">
        <v>45071</v>
      </c>
      <c r="AH2614" s="80" t="s">
        <v>12930</v>
      </c>
      <c r="AI2614" s="77" t="b">
        <v>0</v>
      </c>
      <c r="AJ2614" s="77"/>
      <c r="AK2614" s="77"/>
      <c r="AL2614" s="77"/>
      <c r="AM2614" s="77"/>
      <c r="AN2614" s="77"/>
      <c r="AO2614" s="77"/>
      <c r="AP2614" s="77"/>
      <c r="AQ2614" s="77" t="s">
        <v>15334</v>
      </c>
      <c r="AR2614" s="77"/>
      <c r="AS2614" s="77"/>
      <c r="AT2614" s="77"/>
      <c r="AU2614" s="77"/>
      <c r="AV2614" s="83" t="str">
        <f>HYPERLINK("https://pbs.twimg.com/media/Fw-t3Y4aYAABAZJ.jpg")</f>
        <v>https://pbs.twimg.com/media/Fw-t3Y4aYAABAZJ.jpg</v>
      </c>
      <c r="AW2614" s="80" t="s">
        <v>18404</v>
      </c>
      <c r="AX2614" s="80" t="s">
        <v>18404</v>
      </c>
      <c r="AY2614" s="77"/>
      <c r="AZ2614" s="80" t="s">
        <v>20380</v>
      </c>
      <c r="BA2614" s="80" t="s">
        <v>20380</v>
      </c>
      <c r="BB2614" s="80" t="s">
        <v>20380</v>
      </c>
      <c r="BC2614" s="80" t="s">
        <v>18404</v>
      </c>
      <c r="BD2614" s="80" t="s">
        <v>20920</v>
      </c>
      <c r="BE2614" s="77"/>
      <c r="BF2614" s="77"/>
      <c r="BG2614" s="77"/>
      <c r="BH2614" s="77"/>
      <c r="BI2614" s="77"/>
    </row>
    <row r="2615" spans="1:61" x14ac:dyDescent="0.25">
      <c r="A2615" s="62" t="s">
        <v>1082</v>
      </c>
      <c r="B2615" s="62" t="s">
        <v>1082</v>
      </c>
      <c r="C2615" s="63"/>
      <c r="D2615" s="64"/>
      <c r="E2615" s="65"/>
      <c r="F2615" s="66"/>
      <c r="G2615" s="63"/>
      <c r="H2615" s="67"/>
      <c r="I2615" s="68"/>
      <c r="J2615" s="68"/>
      <c r="K2615" s="32"/>
      <c r="L2615" s="75">
        <v>2615</v>
      </c>
      <c r="M2615" s="75"/>
      <c r="N2615" s="70"/>
      <c r="O2615" s="77" t="s">
        <v>179</v>
      </c>
      <c r="P2615" s="79">
        <v>45069.626898148148</v>
      </c>
      <c r="Q2615" s="77" t="s">
        <v>4397</v>
      </c>
      <c r="R2615" s="77">
        <v>0</v>
      </c>
      <c r="S2615" s="77">
        <v>0</v>
      </c>
      <c r="T2615" s="77">
        <v>0</v>
      </c>
      <c r="U2615" s="77">
        <v>0</v>
      </c>
      <c r="V2615" s="77">
        <v>5</v>
      </c>
      <c r="W2615" s="80" t="s">
        <v>5884</v>
      </c>
      <c r="X2615" s="83" t="str">
        <f>HYPERLINK("https://economicnewsbrasil.com.br/?p=68923")</f>
        <v>https://economicnewsbrasil.com.br/?p=68923</v>
      </c>
      <c r="Y2615" s="77" t="s">
        <v>8611</v>
      </c>
      <c r="Z2615" s="77"/>
      <c r="AA2615" s="77"/>
      <c r="AB2615" s="77"/>
      <c r="AC2615" s="80" t="s">
        <v>10546</v>
      </c>
      <c r="AD2615" s="77" t="s">
        <v>10617</v>
      </c>
      <c r="AE2615" s="83" t="str">
        <f>HYPERLINK("https://twitter.com/economicnewsbr/status/1661024870787088391")</f>
        <v>https://twitter.com/economicnewsbr/status/1661024870787088391</v>
      </c>
      <c r="AF2615" s="79">
        <v>45069.626898148148</v>
      </c>
      <c r="AG2615" s="85">
        <v>45069</v>
      </c>
      <c r="AH2615" s="80" t="s">
        <v>12931</v>
      </c>
      <c r="AI2615" s="77" t="b">
        <v>0</v>
      </c>
      <c r="AJ2615" s="77"/>
      <c r="AK2615" s="77"/>
      <c r="AL2615" s="77"/>
      <c r="AM2615" s="77"/>
      <c r="AN2615" s="77"/>
      <c r="AO2615" s="77"/>
      <c r="AP2615" s="77"/>
      <c r="AQ2615" s="77"/>
      <c r="AR2615" s="77"/>
      <c r="AS2615" s="77"/>
      <c r="AT2615" s="77"/>
      <c r="AU2615" s="77"/>
      <c r="AV2615" s="83" t="str">
        <f>HYPERLINK("https://pbs.twimg.com/profile_images/1211027151870402560/9JIqaKmf_normal.jpg")</f>
        <v>https://pbs.twimg.com/profile_images/1211027151870402560/9JIqaKmf_normal.jpg</v>
      </c>
      <c r="AW2615" s="80" t="s">
        <v>18405</v>
      </c>
      <c r="AX2615" s="80" t="s">
        <v>18405</v>
      </c>
      <c r="AY2615" s="77"/>
      <c r="AZ2615" s="80" t="s">
        <v>20380</v>
      </c>
      <c r="BA2615" s="80" t="s">
        <v>20380</v>
      </c>
      <c r="BB2615" s="80" t="s">
        <v>20380</v>
      </c>
      <c r="BC2615" s="80" t="s">
        <v>18405</v>
      </c>
      <c r="BD2615" s="80" t="s">
        <v>20920</v>
      </c>
      <c r="BE2615" s="77"/>
      <c r="BF2615" s="77"/>
      <c r="BG2615" s="77"/>
      <c r="BH2615" s="77"/>
      <c r="BI2615" s="77"/>
    </row>
    <row r="2616" spans="1:61" x14ac:dyDescent="0.25">
      <c r="A2616" s="62" t="s">
        <v>1082</v>
      </c>
      <c r="B2616" s="62" t="s">
        <v>1082</v>
      </c>
      <c r="C2616" s="63"/>
      <c r="D2616" s="64"/>
      <c r="E2616" s="65"/>
      <c r="F2616" s="66"/>
      <c r="G2616" s="63"/>
      <c r="H2616" s="67"/>
      <c r="I2616" s="68"/>
      <c r="J2616" s="68"/>
      <c r="K2616" s="32"/>
      <c r="L2616" s="75">
        <v>2616</v>
      </c>
      <c r="M2616" s="75"/>
      <c r="N2616" s="70"/>
      <c r="O2616" s="77" t="s">
        <v>179</v>
      </c>
      <c r="P2616" s="79">
        <v>45192.645185185182</v>
      </c>
      <c r="Q2616" s="77" t="s">
        <v>4398</v>
      </c>
      <c r="R2616" s="77">
        <v>0</v>
      </c>
      <c r="S2616" s="77">
        <v>0</v>
      </c>
      <c r="T2616" s="77">
        <v>0</v>
      </c>
      <c r="U2616" s="77">
        <v>0</v>
      </c>
      <c r="V2616" s="77">
        <v>14</v>
      </c>
      <c r="W2616" s="80" t="s">
        <v>5884</v>
      </c>
      <c r="X2616" s="83" t="str">
        <f>HYPERLINK("https://economicnewsbrasil.com.br/?p=90421")</f>
        <v>https://economicnewsbrasil.com.br/?p=90421</v>
      </c>
      <c r="Y2616" s="77" t="s">
        <v>8611</v>
      </c>
      <c r="Z2616" s="77"/>
      <c r="AA2616" s="77" t="s">
        <v>9853</v>
      </c>
      <c r="AB2616" s="77" t="s">
        <v>10535</v>
      </c>
      <c r="AC2616" s="80" t="s">
        <v>10595</v>
      </c>
      <c r="AD2616" s="77" t="s">
        <v>10617</v>
      </c>
      <c r="AE2616" s="83" t="str">
        <f>HYPERLINK("https://twitter.com/economicnewsbr/status/1705605208598786385")</f>
        <v>https://twitter.com/economicnewsbr/status/1705605208598786385</v>
      </c>
      <c r="AF2616" s="79">
        <v>45192.645185185182</v>
      </c>
      <c r="AG2616" s="85">
        <v>45192</v>
      </c>
      <c r="AH2616" s="80" t="s">
        <v>12024</v>
      </c>
      <c r="AI2616" s="77" t="b">
        <v>0</v>
      </c>
      <c r="AJ2616" s="77"/>
      <c r="AK2616" s="77"/>
      <c r="AL2616" s="77"/>
      <c r="AM2616" s="77"/>
      <c r="AN2616" s="77"/>
      <c r="AO2616" s="77"/>
      <c r="AP2616" s="77"/>
      <c r="AQ2616" s="77" t="s">
        <v>15335</v>
      </c>
      <c r="AR2616" s="77"/>
      <c r="AS2616" s="77"/>
      <c r="AT2616" s="77"/>
      <c r="AU2616" s="77"/>
      <c r="AV2616" s="83" t="str">
        <f>HYPERLINK("https://pbs.twimg.com/media/F6uG5c_WIAAXC2h.jpg")</f>
        <v>https://pbs.twimg.com/media/F6uG5c_WIAAXC2h.jpg</v>
      </c>
      <c r="AW2616" s="80" t="s">
        <v>18406</v>
      </c>
      <c r="AX2616" s="80" t="s">
        <v>18406</v>
      </c>
      <c r="AY2616" s="77"/>
      <c r="AZ2616" s="80" t="s">
        <v>20380</v>
      </c>
      <c r="BA2616" s="80" t="s">
        <v>20380</v>
      </c>
      <c r="BB2616" s="80" t="s">
        <v>20380</v>
      </c>
      <c r="BC2616" s="80" t="s">
        <v>18406</v>
      </c>
      <c r="BD2616" s="80" t="s">
        <v>20920</v>
      </c>
      <c r="BE2616" s="77"/>
      <c r="BF2616" s="77"/>
      <c r="BG2616" s="77"/>
      <c r="BH2616" s="77"/>
      <c r="BI2616" s="77"/>
    </row>
    <row r="2617" spans="1:61" x14ac:dyDescent="0.25">
      <c r="A2617" s="62" t="s">
        <v>1082</v>
      </c>
      <c r="B2617" s="62" t="s">
        <v>1082</v>
      </c>
      <c r="C2617" s="63"/>
      <c r="D2617" s="64"/>
      <c r="E2617" s="65"/>
      <c r="F2617" s="66"/>
      <c r="G2617" s="63"/>
      <c r="H2617" s="67"/>
      <c r="I2617" s="68"/>
      <c r="J2617" s="68"/>
      <c r="K2617" s="32"/>
      <c r="L2617" s="75">
        <v>2617</v>
      </c>
      <c r="M2617" s="75"/>
      <c r="N2617" s="70"/>
      <c r="O2617" s="77" t="s">
        <v>179</v>
      </c>
      <c r="P2617" s="79">
        <v>45177.666018518517</v>
      </c>
      <c r="Q2617" s="77" t="s">
        <v>4399</v>
      </c>
      <c r="R2617" s="77">
        <v>0</v>
      </c>
      <c r="S2617" s="77">
        <v>0</v>
      </c>
      <c r="T2617" s="77">
        <v>0</v>
      </c>
      <c r="U2617" s="77">
        <v>0</v>
      </c>
      <c r="V2617" s="77">
        <v>14</v>
      </c>
      <c r="W2617" s="80" t="s">
        <v>7543</v>
      </c>
      <c r="X2617" s="83" t="str">
        <f>HYPERLINK("https://economicnewsbrasil.com.br/2023/09/08/saques-na-poupanca-agosto-registra-deficit-de-r-101-bilhoes/")</f>
        <v>https://economicnewsbrasil.com.br/2023/09/08/saques-na-poupanca-agosto-registra-deficit-de-r-101-bilhoes/</v>
      </c>
      <c r="Y2617" s="77" t="s">
        <v>8611</v>
      </c>
      <c r="Z2617" s="77"/>
      <c r="AA2617" s="77"/>
      <c r="AB2617" s="77"/>
      <c r="AC2617" s="80" t="s">
        <v>10595</v>
      </c>
      <c r="AD2617" s="77" t="s">
        <v>10617</v>
      </c>
      <c r="AE2617" s="83" t="str">
        <f>HYPERLINK("https://twitter.com/economicnewsbr/status/1700176939632189923")</f>
        <v>https://twitter.com/economicnewsbr/status/1700176939632189923</v>
      </c>
      <c r="AF2617" s="79">
        <v>45177.666018518517</v>
      </c>
      <c r="AG2617" s="85">
        <v>45177</v>
      </c>
      <c r="AH2617" s="80" t="s">
        <v>12932</v>
      </c>
      <c r="AI2617" s="77" t="b">
        <v>0</v>
      </c>
      <c r="AJ2617" s="77"/>
      <c r="AK2617" s="77"/>
      <c r="AL2617" s="77"/>
      <c r="AM2617" s="77"/>
      <c r="AN2617" s="77"/>
      <c r="AO2617" s="77"/>
      <c r="AP2617" s="77"/>
      <c r="AQ2617" s="77"/>
      <c r="AR2617" s="77"/>
      <c r="AS2617" s="77"/>
      <c r="AT2617" s="77"/>
      <c r="AU2617" s="77"/>
      <c r="AV2617" s="83" t="str">
        <f>HYPERLINK("https://pbs.twimg.com/profile_images/1211027151870402560/9JIqaKmf_normal.jpg")</f>
        <v>https://pbs.twimg.com/profile_images/1211027151870402560/9JIqaKmf_normal.jpg</v>
      </c>
      <c r="AW2617" s="80" t="s">
        <v>18407</v>
      </c>
      <c r="AX2617" s="80" t="s">
        <v>18407</v>
      </c>
      <c r="AY2617" s="77"/>
      <c r="AZ2617" s="80" t="s">
        <v>20380</v>
      </c>
      <c r="BA2617" s="80" t="s">
        <v>20380</v>
      </c>
      <c r="BB2617" s="80" t="s">
        <v>20380</v>
      </c>
      <c r="BC2617" s="80" t="s">
        <v>18407</v>
      </c>
      <c r="BD2617" s="80" t="s">
        <v>20920</v>
      </c>
      <c r="BE2617" s="77"/>
      <c r="BF2617" s="77"/>
      <c r="BG2617" s="77"/>
      <c r="BH2617" s="77"/>
      <c r="BI2617" s="77"/>
    </row>
    <row r="2618" spans="1:61" x14ac:dyDescent="0.25">
      <c r="A2618" s="62" t="s">
        <v>1082</v>
      </c>
      <c r="B2618" s="62" t="s">
        <v>1082</v>
      </c>
      <c r="C2618" s="63"/>
      <c r="D2618" s="64"/>
      <c r="E2618" s="65"/>
      <c r="F2618" s="66"/>
      <c r="G2618" s="63"/>
      <c r="H2618" s="67"/>
      <c r="I2618" s="68"/>
      <c r="J2618" s="68"/>
      <c r="K2618" s="32"/>
      <c r="L2618" s="75">
        <v>2618</v>
      </c>
      <c r="M2618" s="75"/>
      <c r="N2618" s="70"/>
      <c r="O2618" s="77" t="s">
        <v>179</v>
      </c>
      <c r="P2618" s="79">
        <v>45177.576481481483</v>
      </c>
      <c r="Q2618" s="77" t="s">
        <v>4400</v>
      </c>
      <c r="R2618" s="77">
        <v>0</v>
      </c>
      <c r="S2618" s="77">
        <v>0</v>
      </c>
      <c r="T2618" s="77">
        <v>0</v>
      </c>
      <c r="U2618" s="77">
        <v>0</v>
      </c>
      <c r="V2618" s="77">
        <v>14</v>
      </c>
      <c r="W2618" s="80" t="s">
        <v>7544</v>
      </c>
      <c r="X2618" s="83" t="str">
        <f>HYPERLINK("https://economicnewsbrasil.com.br/2023/09/08/pix-supera-debito-no-brasil/")</f>
        <v>https://economicnewsbrasil.com.br/2023/09/08/pix-supera-debito-no-brasil/</v>
      </c>
      <c r="Y2618" s="77" t="s">
        <v>8611</v>
      </c>
      <c r="Z2618" s="77"/>
      <c r="AA2618" s="77"/>
      <c r="AB2618" s="77"/>
      <c r="AC2618" s="80" t="s">
        <v>10595</v>
      </c>
      <c r="AD2618" s="77" t="s">
        <v>10617</v>
      </c>
      <c r="AE2618" s="83" t="str">
        <f>HYPERLINK("https://twitter.com/economicnewsbr/status/1700144489514291533")</f>
        <v>https://twitter.com/economicnewsbr/status/1700144489514291533</v>
      </c>
      <c r="AF2618" s="79">
        <v>45177.576481481483</v>
      </c>
      <c r="AG2618" s="85">
        <v>45177</v>
      </c>
      <c r="AH2618" s="80" t="s">
        <v>12933</v>
      </c>
      <c r="AI2618" s="77" t="b">
        <v>0</v>
      </c>
      <c r="AJ2618" s="77"/>
      <c r="AK2618" s="77"/>
      <c r="AL2618" s="77"/>
      <c r="AM2618" s="77"/>
      <c r="AN2618" s="77"/>
      <c r="AO2618" s="77"/>
      <c r="AP2618" s="77"/>
      <c r="AQ2618" s="77"/>
      <c r="AR2618" s="77"/>
      <c r="AS2618" s="77"/>
      <c r="AT2618" s="77"/>
      <c r="AU2618" s="77"/>
      <c r="AV2618" s="83" t="str">
        <f>HYPERLINK("https://pbs.twimg.com/profile_images/1211027151870402560/9JIqaKmf_normal.jpg")</f>
        <v>https://pbs.twimg.com/profile_images/1211027151870402560/9JIqaKmf_normal.jpg</v>
      </c>
      <c r="AW2618" s="80" t="s">
        <v>18408</v>
      </c>
      <c r="AX2618" s="80" t="s">
        <v>18408</v>
      </c>
      <c r="AY2618" s="77"/>
      <c r="AZ2618" s="80" t="s">
        <v>20380</v>
      </c>
      <c r="BA2618" s="80" t="s">
        <v>20380</v>
      </c>
      <c r="BB2618" s="80" t="s">
        <v>20380</v>
      </c>
      <c r="BC2618" s="80" t="s">
        <v>18408</v>
      </c>
      <c r="BD2618" s="80" t="s">
        <v>20920</v>
      </c>
      <c r="BE2618" s="77"/>
      <c r="BF2618" s="77"/>
      <c r="BG2618" s="77"/>
      <c r="BH2618" s="77"/>
      <c r="BI2618" s="77"/>
    </row>
    <row r="2619" spans="1:61" x14ac:dyDescent="0.25">
      <c r="A2619" s="62" t="s">
        <v>1082</v>
      </c>
      <c r="B2619" s="62" t="s">
        <v>1082</v>
      </c>
      <c r="C2619" s="63"/>
      <c r="D2619" s="64"/>
      <c r="E2619" s="65"/>
      <c r="F2619" s="66"/>
      <c r="G2619" s="63"/>
      <c r="H2619" s="67"/>
      <c r="I2619" s="68"/>
      <c r="J2619" s="68"/>
      <c r="K2619" s="32"/>
      <c r="L2619" s="75">
        <v>2619</v>
      </c>
      <c r="M2619" s="75"/>
      <c r="N2619" s="70"/>
      <c r="O2619" s="77" t="s">
        <v>179</v>
      </c>
      <c r="P2619" s="79">
        <v>45148.627453703702</v>
      </c>
      <c r="Q2619" s="77" t="s">
        <v>4401</v>
      </c>
      <c r="R2619" s="77">
        <v>0</v>
      </c>
      <c r="S2619" s="77">
        <v>0</v>
      </c>
      <c r="T2619" s="77">
        <v>0</v>
      </c>
      <c r="U2619" s="77">
        <v>0</v>
      </c>
      <c r="V2619" s="77">
        <v>12</v>
      </c>
      <c r="W2619" s="80" t="s">
        <v>7545</v>
      </c>
      <c r="X2619" s="83" t="str">
        <f>HYPERLINK("https://economicnewsbrasil.com.br/?p=82201")</f>
        <v>https://economicnewsbrasil.com.br/?p=82201</v>
      </c>
      <c r="Y2619" s="77" t="s">
        <v>8611</v>
      </c>
      <c r="Z2619" s="77"/>
      <c r="AA2619" s="77" t="s">
        <v>9854</v>
      </c>
      <c r="AB2619" s="77" t="s">
        <v>10535</v>
      </c>
      <c r="AC2619" s="80" t="s">
        <v>10595</v>
      </c>
      <c r="AD2619" s="77" t="s">
        <v>10617</v>
      </c>
      <c r="AE2619" s="83" t="str">
        <f>HYPERLINK("https://twitter.com/economicnewsbr/status/1689653715429658625")</f>
        <v>https://twitter.com/economicnewsbr/status/1689653715429658625</v>
      </c>
      <c r="AF2619" s="79">
        <v>45148.627453703702</v>
      </c>
      <c r="AG2619" s="85">
        <v>45148</v>
      </c>
      <c r="AH2619" s="80" t="s">
        <v>12934</v>
      </c>
      <c r="AI2619" s="77" t="b">
        <v>0</v>
      </c>
      <c r="AJ2619" s="77"/>
      <c r="AK2619" s="77"/>
      <c r="AL2619" s="77"/>
      <c r="AM2619" s="77"/>
      <c r="AN2619" s="77"/>
      <c r="AO2619" s="77"/>
      <c r="AP2619" s="77"/>
      <c r="AQ2619" s="77" t="s">
        <v>15336</v>
      </c>
      <c r="AR2619" s="77"/>
      <c r="AS2619" s="77"/>
      <c r="AT2619" s="77"/>
      <c r="AU2619" s="77"/>
      <c r="AV2619" s="83" t="str">
        <f>HYPERLINK("https://pbs.twimg.com/media/F3LbGbAa4AAaaVB.jpg")</f>
        <v>https://pbs.twimg.com/media/F3LbGbAa4AAaaVB.jpg</v>
      </c>
      <c r="AW2619" s="80" t="s">
        <v>18409</v>
      </c>
      <c r="AX2619" s="80" t="s">
        <v>18409</v>
      </c>
      <c r="AY2619" s="77"/>
      <c r="AZ2619" s="80" t="s">
        <v>20380</v>
      </c>
      <c r="BA2619" s="80" t="s">
        <v>20380</v>
      </c>
      <c r="BB2619" s="80" t="s">
        <v>20380</v>
      </c>
      <c r="BC2619" s="80" t="s">
        <v>18409</v>
      </c>
      <c r="BD2619" s="80" t="s">
        <v>20920</v>
      </c>
      <c r="BE2619" s="77"/>
      <c r="BF2619" s="77"/>
      <c r="BG2619" s="77"/>
      <c r="BH2619" s="77"/>
      <c r="BI2619" s="77"/>
    </row>
    <row r="2620" spans="1:61" x14ac:dyDescent="0.25">
      <c r="A2620" s="62" t="s">
        <v>1082</v>
      </c>
      <c r="B2620" s="62" t="s">
        <v>1082</v>
      </c>
      <c r="C2620" s="63"/>
      <c r="D2620" s="64"/>
      <c r="E2620" s="65"/>
      <c r="F2620" s="66"/>
      <c r="G2620" s="63"/>
      <c r="H2620" s="67"/>
      <c r="I2620" s="68"/>
      <c r="J2620" s="68"/>
      <c r="K2620" s="32"/>
      <c r="L2620" s="75">
        <v>2620</v>
      </c>
      <c r="M2620" s="75"/>
      <c r="N2620" s="70"/>
      <c r="O2620" s="77" t="s">
        <v>179</v>
      </c>
      <c r="P2620" s="79">
        <v>45197.394074074073</v>
      </c>
      <c r="Q2620" s="77" t="s">
        <v>4402</v>
      </c>
      <c r="R2620" s="77">
        <v>0</v>
      </c>
      <c r="S2620" s="77">
        <v>0</v>
      </c>
      <c r="T2620" s="77">
        <v>0</v>
      </c>
      <c r="U2620" s="77">
        <v>0</v>
      </c>
      <c r="V2620" s="77">
        <v>6</v>
      </c>
      <c r="W2620" s="80" t="s">
        <v>7546</v>
      </c>
      <c r="X2620" s="83" t="str">
        <f>HYPERLINK("https://economicnewsbrasil.com.br/?p=91096")</f>
        <v>https://economicnewsbrasil.com.br/?p=91096</v>
      </c>
      <c r="Y2620" s="77" t="s">
        <v>8611</v>
      </c>
      <c r="Z2620" s="77"/>
      <c r="AA2620" s="77"/>
      <c r="AB2620" s="77"/>
      <c r="AC2620" s="80" t="s">
        <v>10595</v>
      </c>
      <c r="AD2620" s="77" t="s">
        <v>10617</v>
      </c>
      <c r="AE2620" s="83" t="str">
        <f>HYPERLINK("https://twitter.com/economicnewsbr/status/1707326145752932861")</f>
        <v>https://twitter.com/economicnewsbr/status/1707326145752932861</v>
      </c>
      <c r="AF2620" s="79">
        <v>45197.394074074073</v>
      </c>
      <c r="AG2620" s="85">
        <v>45197</v>
      </c>
      <c r="AH2620" s="80" t="s">
        <v>12935</v>
      </c>
      <c r="AI2620" s="77" t="b">
        <v>0</v>
      </c>
      <c r="AJ2620" s="77"/>
      <c r="AK2620" s="77"/>
      <c r="AL2620" s="77"/>
      <c r="AM2620" s="77"/>
      <c r="AN2620" s="77"/>
      <c r="AO2620" s="77"/>
      <c r="AP2620" s="77"/>
      <c r="AQ2620" s="77"/>
      <c r="AR2620" s="77"/>
      <c r="AS2620" s="77"/>
      <c r="AT2620" s="77"/>
      <c r="AU2620" s="77"/>
      <c r="AV2620" s="83" t="str">
        <f>HYPERLINK("https://pbs.twimg.com/profile_images/1211027151870402560/9JIqaKmf_normal.jpg")</f>
        <v>https://pbs.twimg.com/profile_images/1211027151870402560/9JIqaKmf_normal.jpg</v>
      </c>
      <c r="AW2620" s="80" t="s">
        <v>18410</v>
      </c>
      <c r="AX2620" s="80" t="s">
        <v>18410</v>
      </c>
      <c r="AY2620" s="77"/>
      <c r="AZ2620" s="80" t="s">
        <v>20380</v>
      </c>
      <c r="BA2620" s="80" t="s">
        <v>20380</v>
      </c>
      <c r="BB2620" s="80" t="s">
        <v>20380</v>
      </c>
      <c r="BC2620" s="80" t="s">
        <v>18410</v>
      </c>
      <c r="BD2620" s="80" t="s">
        <v>20920</v>
      </c>
      <c r="BE2620" s="77"/>
      <c r="BF2620" s="77"/>
      <c r="BG2620" s="77"/>
      <c r="BH2620" s="77"/>
      <c r="BI2620" s="77"/>
    </row>
    <row r="2621" spans="1:61" x14ac:dyDescent="0.25">
      <c r="A2621" s="62" t="s">
        <v>1082</v>
      </c>
      <c r="B2621" s="62" t="s">
        <v>1082</v>
      </c>
      <c r="C2621" s="63"/>
      <c r="D2621" s="64"/>
      <c r="E2621" s="65"/>
      <c r="F2621" s="66"/>
      <c r="G2621" s="63"/>
      <c r="H2621" s="67"/>
      <c r="I2621" s="68"/>
      <c r="J2621" s="68"/>
      <c r="K2621" s="32"/>
      <c r="L2621" s="75">
        <v>2621</v>
      </c>
      <c r="M2621" s="75"/>
      <c r="N2621" s="70"/>
      <c r="O2621" s="77" t="s">
        <v>179</v>
      </c>
      <c r="P2621" s="79">
        <v>45189.583344907405</v>
      </c>
      <c r="Q2621" s="77" t="s">
        <v>4403</v>
      </c>
      <c r="R2621" s="77">
        <v>0</v>
      </c>
      <c r="S2621" s="77">
        <v>1</v>
      </c>
      <c r="T2621" s="77">
        <v>0</v>
      </c>
      <c r="U2621" s="77">
        <v>0</v>
      </c>
      <c r="V2621" s="77">
        <v>49</v>
      </c>
      <c r="W2621" s="80" t="s">
        <v>5884</v>
      </c>
      <c r="X2621" s="83" t="str">
        <f>HYPERLINK("https://economicnewsbrasil.com.br/2023/09/20/selic-deve-baixar-05-ainda-hoje-e-atingir-1275/")</f>
        <v>https://economicnewsbrasil.com.br/2023/09/20/selic-deve-baixar-05-ainda-hoje-e-atingir-1275/</v>
      </c>
      <c r="Y2621" s="77" t="s">
        <v>8611</v>
      </c>
      <c r="Z2621" s="77"/>
      <c r="AA2621" s="77" t="s">
        <v>9855</v>
      </c>
      <c r="AB2621" s="77" t="s">
        <v>10535</v>
      </c>
      <c r="AC2621" s="80" t="s">
        <v>10595</v>
      </c>
      <c r="AD2621" s="77" t="s">
        <v>10617</v>
      </c>
      <c r="AE2621" s="83" t="str">
        <f>HYPERLINK("https://twitter.com/economicnewsbr/status/1704495632579174461")</f>
        <v>https://twitter.com/economicnewsbr/status/1704495632579174461</v>
      </c>
      <c r="AF2621" s="79">
        <v>45189.583344907405</v>
      </c>
      <c r="AG2621" s="85">
        <v>45189</v>
      </c>
      <c r="AH2621" s="80" t="s">
        <v>12936</v>
      </c>
      <c r="AI2621" s="77" t="b">
        <v>0</v>
      </c>
      <c r="AJ2621" s="77"/>
      <c r="AK2621" s="77"/>
      <c r="AL2621" s="77"/>
      <c r="AM2621" s="77"/>
      <c r="AN2621" s="77"/>
      <c r="AO2621" s="77"/>
      <c r="AP2621" s="77"/>
      <c r="AQ2621" s="77" t="s">
        <v>15337</v>
      </c>
      <c r="AR2621" s="77"/>
      <c r="AS2621" s="77"/>
      <c r="AT2621" s="77"/>
      <c r="AU2621" s="77"/>
      <c r="AV2621" s="83" t="str">
        <f>HYPERLINK("https://pbs.twimg.com/media/F6eVvliXoAAiotc.png")</f>
        <v>https://pbs.twimg.com/media/F6eVvliXoAAiotc.png</v>
      </c>
      <c r="AW2621" s="80" t="s">
        <v>18411</v>
      </c>
      <c r="AX2621" s="80" t="s">
        <v>18411</v>
      </c>
      <c r="AY2621" s="77"/>
      <c r="AZ2621" s="80" t="s">
        <v>20380</v>
      </c>
      <c r="BA2621" s="80" t="s">
        <v>20380</v>
      </c>
      <c r="BB2621" s="80" t="s">
        <v>20380</v>
      </c>
      <c r="BC2621" s="80" t="s">
        <v>18411</v>
      </c>
      <c r="BD2621" s="80" t="s">
        <v>20920</v>
      </c>
      <c r="BE2621" s="77"/>
      <c r="BF2621" s="77"/>
      <c r="BG2621" s="77"/>
      <c r="BH2621" s="77"/>
      <c r="BI2621" s="77"/>
    </row>
    <row r="2622" spans="1:61" x14ac:dyDescent="0.25">
      <c r="A2622" s="62" t="s">
        <v>1082</v>
      </c>
      <c r="B2622" s="62" t="s">
        <v>1082</v>
      </c>
      <c r="C2622" s="63"/>
      <c r="D2622" s="64"/>
      <c r="E2622" s="65"/>
      <c r="F2622" s="66"/>
      <c r="G2622" s="63"/>
      <c r="H2622" s="67"/>
      <c r="I2622" s="68"/>
      <c r="J2622" s="68"/>
      <c r="K2622" s="32"/>
      <c r="L2622" s="75">
        <v>2622</v>
      </c>
      <c r="M2622" s="75"/>
      <c r="N2622" s="70"/>
      <c r="O2622" s="77" t="s">
        <v>179</v>
      </c>
      <c r="P2622" s="79">
        <v>45152.497731481482</v>
      </c>
      <c r="Q2622" s="77" t="s">
        <v>4404</v>
      </c>
      <c r="R2622" s="77">
        <v>0</v>
      </c>
      <c r="S2622" s="77">
        <v>0</v>
      </c>
      <c r="T2622" s="77">
        <v>0</v>
      </c>
      <c r="U2622" s="77">
        <v>0</v>
      </c>
      <c r="V2622" s="77">
        <v>18</v>
      </c>
      <c r="W2622" s="80" t="s">
        <v>5884</v>
      </c>
      <c r="X2622" s="83" t="str">
        <f>HYPERLINK("https://economicnewsbrasil.com.br/2023/08/14/boletim-focus-estabilidade-nas-projecoes-de-inflacao-e-revisao-positiva-para-o-pib/")</f>
        <v>https://economicnewsbrasil.com.br/2023/08/14/boletim-focus-estabilidade-nas-projecoes-de-inflacao-e-revisao-positiva-para-o-pib/</v>
      </c>
      <c r="Y2622" s="77" t="s">
        <v>8611</v>
      </c>
      <c r="Z2622" s="77"/>
      <c r="AA2622" s="77"/>
      <c r="AB2622" s="77"/>
      <c r="AC2622" s="80" t="s">
        <v>10595</v>
      </c>
      <c r="AD2622" s="77" t="s">
        <v>10617</v>
      </c>
      <c r="AE2622" s="83" t="str">
        <f>HYPERLINK("https://twitter.com/economicnewsbr/status/1691056255844978689")</f>
        <v>https://twitter.com/economicnewsbr/status/1691056255844978689</v>
      </c>
      <c r="AF2622" s="79">
        <v>45152.497731481482</v>
      </c>
      <c r="AG2622" s="85">
        <v>45152</v>
      </c>
      <c r="AH2622" s="80" t="s">
        <v>12937</v>
      </c>
      <c r="AI2622" s="77" t="b">
        <v>0</v>
      </c>
      <c r="AJ2622" s="77"/>
      <c r="AK2622" s="77"/>
      <c r="AL2622" s="77"/>
      <c r="AM2622" s="77"/>
      <c r="AN2622" s="77"/>
      <c r="AO2622" s="77"/>
      <c r="AP2622" s="77"/>
      <c r="AQ2622" s="77"/>
      <c r="AR2622" s="77"/>
      <c r="AS2622" s="77"/>
      <c r="AT2622" s="77"/>
      <c r="AU2622" s="77"/>
      <c r="AV2622" s="83" t="str">
        <f>HYPERLINK("https://pbs.twimg.com/profile_images/1211027151870402560/9JIqaKmf_normal.jpg")</f>
        <v>https://pbs.twimg.com/profile_images/1211027151870402560/9JIqaKmf_normal.jpg</v>
      </c>
      <c r="AW2622" s="80" t="s">
        <v>18412</v>
      </c>
      <c r="AX2622" s="80" t="s">
        <v>18412</v>
      </c>
      <c r="AY2622" s="77"/>
      <c r="AZ2622" s="80" t="s">
        <v>20380</v>
      </c>
      <c r="BA2622" s="80" t="s">
        <v>20380</v>
      </c>
      <c r="BB2622" s="80" t="s">
        <v>20380</v>
      </c>
      <c r="BC2622" s="80" t="s">
        <v>18412</v>
      </c>
      <c r="BD2622" s="80" t="s">
        <v>20920</v>
      </c>
      <c r="BE2622" s="77"/>
      <c r="BF2622" s="77"/>
      <c r="BG2622" s="77"/>
      <c r="BH2622" s="77"/>
      <c r="BI2622" s="77"/>
    </row>
    <row r="2623" spans="1:61" x14ac:dyDescent="0.25">
      <c r="A2623" s="62" t="s">
        <v>1082</v>
      </c>
      <c r="B2623" s="62" t="s">
        <v>1082</v>
      </c>
      <c r="C2623" s="63"/>
      <c r="D2623" s="64"/>
      <c r="E2623" s="65"/>
      <c r="F2623" s="66"/>
      <c r="G2623" s="63"/>
      <c r="H2623" s="67"/>
      <c r="I2623" s="68"/>
      <c r="J2623" s="68"/>
      <c r="K2623" s="32"/>
      <c r="L2623" s="75">
        <v>2623</v>
      </c>
      <c r="M2623" s="75"/>
      <c r="N2623" s="70"/>
      <c r="O2623" s="77" t="s">
        <v>179</v>
      </c>
      <c r="P2623" s="79">
        <v>45077.889872685184</v>
      </c>
      <c r="Q2623" s="77" t="s">
        <v>4405</v>
      </c>
      <c r="R2623" s="77">
        <v>0</v>
      </c>
      <c r="S2623" s="77">
        <v>0</v>
      </c>
      <c r="T2623" s="77">
        <v>0</v>
      </c>
      <c r="U2623" s="77">
        <v>0</v>
      </c>
      <c r="V2623" s="77">
        <v>18</v>
      </c>
      <c r="W2623" s="80" t="s">
        <v>7547</v>
      </c>
      <c r="X2623" s="83" t="str">
        <f>HYPERLINK("https://economicnewsbrasil.com.br/?p=70549")</f>
        <v>https://economicnewsbrasil.com.br/?p=70549</v>
      </c>
      <c r="Y2623" s="77" t="s">
        <v>8611</v>
      </c>
      <c r="Z2623" s="77"/>
      <c r="AA2623" s="77" t="s">
        <v>9856</v>
      </c>
      <c r="AB2623" s="77" t="s">
        <v>10535</v>
      </c>
      <c r="AC2623" s="80" t="s">
        <v>10546</v>
      </c>
      <c r="AD2623" s="77" t="s">
        <v>10617</v>
      </c>
      <c r="AE2623" s="83" t="str">
        <f>HYPERLINK("https://twitter.com/economicnewsbr/status/1664019272459329538")</f>
        <v>https://twitter.com/economicnewsbr/status/1664019272459329538</v>
      </c>
      <c r="AF2623" s="79">
        <v>45077.889872685184</v>
      </c>
      <c r="AG2623" s="85">
        <v>45077</v>
      </c>
      <c r="AH2623" s="80" t="s">
        <v>12938</v>
      </c>
      <c r="AI2623" s="77" t="b">
        <v>0</v>
      </c>
      <c r="AJ2623" s="77"/>
      <c r="AK2623" s="77"/>
      <c r="AL2623" s="77"/>
      <c r="AM2623" s="77"/>
      <c r="AN2623" s="77"/>
      <c r="AO2623" s="77"/>
      <c r="AP2623" s="77"/>
      <c r="AQ2623" s="77" t="s">
        <v>15338</v>
      </c>
      <c r="AR2623" s="77"/>
      <c r="AS2623" s="77"/>
      <c r="AT2623" s="77"/>
      <c r="AU2623" s="77"/>
      <c r="AV2623" s="83" t="str">
        <f>HYPERLINK("https://pbs.twimg.com/media/FxfItclX0AAnkKD.jpg")</f>
        <v>https://pbs.twimg.com/media/FxfItclX0AAnkKD.jpg</v>
      </c>
      <c r="AW2623" s="80" t="s">
        <v>18413</v>
      </c>
      <c r="AX2623" s="80" t="s">
        <v>18413</v>
      </c>
      <c r="AY2623" s="77"/>
      <c r="AZ2623" s="80" t="s">
        <v>20380</v>
      </c>
      <c r="BA2623" s="80" t="s">
        <v>20380</v>
      </c>
      <c r="BB2623" s="80" t="s">
        <v>20380</v>
      </c>
      <c r="BC2623" s="80" t="s">
        <v>18413</v>
      </c>
      <c r="BD2623" s="80" t="s">
        <v>20920</v>
      </c>
      <c r="BE2623" s="77"/>
      <c r="BF2623" s="77"/>
      <c r="BG2623" s="77"/>
      <c r="BH2623" s="77"/>
      <c r="BI2623" s="77"/>
    </row>
    <row r="2624" spans="1:61" x14ac:dyDescent="0.25">
      <c r="A2624" s="62" t="s">
        <v>1082</v>
      </c>
      <c r="B2624" s="62" t="s">
        <v>1082</v>
      </c>
      <c r="C2624" s="63"/>
      <c r="D2624" s="64"/>
      <c r="E2624" s="65"/>
      <c r="F2624" s="66"/>
      <c r="G2624" s="63"/>
      <c r="H2624" s="67"/>
      <c r="I2624" s="68"/>
      <c r="J2624" s="68"/>
      <c r="K2624" s="32"/>
      <c r="L2624" s="75">
        <v>2624</v>
      </c>
      <c r="M2624" s="75"/>
      <c r="N2624" s="70"/>
      <c r="O2624" s="77" t="s">
        <v>179</v>
      </c>
      <c r="P2624" s="79">
        <v>45060.578564814816</v>
      </c>
      <c r="Q2624" s="77" t="s">
        <v>4406</v>
      </c>
      <c r="R2624" s="77">
        <v>0</v>
      </c>
      <c r="S2624" s="77">
        <v>0</v>
      </c>
      <c r="T2624" s="77">
        <v>0</v>
      </c>
      <c r="U2624" s="77">
        <v>0</v>
      </c>
      <c r="V2624" s="77">
        <v>7</v>
      </c>
      <c r="W2624" s="80" t="s">
        <v>7548</v>
      </c>
      <c r="X2624" s="83" t="str">
        <f>HYPERLINK("https://economicnewsbrasil.com.br/2023/05/13/banco-central-afirma-que-crise-da-americanas-tem-impacto-irrelevante-no-sistema-bancario/")</f>
        <v>https://economicnewsbrasil.com.br/2023/05/13/banco-central-afirma-que-crise-da-americanas-tem-impacto-irrelevante-no-sistema-bancario/</v>
      </c>
      <c r="Y2624" s="77" t="s">
        <v>8611</v>
      </c>
      <c r="Z2624" s="77"/>
      <c r="AA2624" s="77" t="s">
        <v>9857</v>
      </c>
      <c r="AB2624" s="77" t="s">
        <v>10535</v>
      </c>
      <c r="AC2624" s="80" t="s">
        <v>10546</v>
      </c>
      <c r="AD2624" s="77" t="s">
        <v>10617</v>
      </c>
      <c r="AE2624" s="83" t="str">
        <f>HYPERLINK("https://twitter.com/economicnewsbr/status/1657745866474618882")</f>
        <v>https://twitter.com/economicnewsbr/status/1657745866474618882</v>
      </c>
      <c r="AF2624" s="79">
        <v>45060.578564814816</v>
      </c>
      <c r="AG2624" s="85">
        <v>45060</v>
      </c>
      <c r="AH2624" s="80" t="s">
        <v>12939</v>
      </c>
      <c r="AI2624" s="77" t="b">
        <v>0</v>
      </c>
      <c r="AJ2624" s="77"/>
      <c r="AK2624" s="77"/>
      <c r="AL2624" s="77"/>
      <c r="AM2624" s="77"/>
      <c r="AN2624" s="77"/>
      <c r="AO2624" s="77"/>
      <c r="AP2624" s="77"/>
      <c r="AQ2624" s="77" t="s">
        <v>15339</v>
      </c>
      <c r="AR2624" s="77"/>
      <c r="AS2624" s="77"/>
      <c r="AT2624" s="77"/>
      <c r="AU2624" s="77"/>
      <c r="AV2624" s="83" t="str">
        <f>HYPERLINK("https://pbs.twimg.com/media/FwF_FLCX0AMNW78.jpg")</f>
        <v>https://pbs.twimg.com/media/FwF_FLCX0AMNW78.jpg</v>
      </c>
      <c r="AW2624" s="80" t="s">
        <v>18414</v>
      </c>
      <c r="AX2624" s="80" t="s">
        <v>18414</v>
      </c>
      <c r="AY2624" s="77"/>
      <c r="AZ2624" s="80" t="s">
        <v>20380</v>
      </c>
      <c r="BA2624" s="80" t="s">
        <v>20380</v>
      </c>
      <c r="BB2624" s="80" t="s">
        <v>20380</v>
      </c>
      <c r="BC2624" s="80" t="s">
        <v>18414</v>
      </c>
      <c r="BD2624" s="80" t="s">
        <v>20920</v>
      </c>
      <c r="BE2624" s="77"/>
      <c r="BF2624" s="77"/>
      <c r="BG2624" s="77"/>
      <c r="BH2624" s="77"/>
      <c r="BI2624" s="77"/>
    </row>
    <row r="2625" spans="1:61" x14ac:dyDescent="0.25">
      <c r="A2625" s="62" t="s">
        <v>1083</v>
      </c>
      <c r="B2625" s="62" t="s">
        <v>1954</v>
      </c>
      <c r="C2625" s="63"/>
      <c r="D2625" s="64"/>
      <c r="E2625" s="65"/>
      <c r="F2625" s="66"/>
      <c r="G2625" s="63"/>
      <c r="H2625" s="67"/>
      <c r="I2625" s="68"/>
      <c r="J2625" s="68"/>
      <c r="K2625" s="32"/>
      <c r="L2625" s="75">
        <v>2625</v>
      </c>
      <c r="M2625" s="75"/>
      <c r="N2625" s="70"/>
      <c r="O2625" s="77" t="s">
        <v>2081</v>
      </c>
      <c r="P2625" s="79">
        <v>45090.491666666669</v>
      </c>
      <c r="Q2625" s="77" t="s">
        <v>4407</v>
      </c>
      <c r="R2625" s="77">
        <v>4</v>
      </c>
      <c r="S2625" s="77">
        <v>8</v>
      </c>
      <c r="T2625" s="77">
        <v>0</v>
      </c>
      <c r="U2625" s="77">
        <v>0</v>
      </c>
      <c r="V2625" s="77">
        <v>1299</v>
      </c>
      <c r="W2625" s="80" t="s">
        <v>5884</v>
      </c>
      <c r="X2625" s="83" t="str">
        <f>HYPERLINK("https://digital.elmercurio.com/2023/06/13/B")</f>
        <v>https://digital.elmercurio.com/2023/06/13/B</v>
      </c>
      <c r="Y2625" s="77" t="s">
        <v>8797</v>
      </c>
      <c r="Z2625" s="77" t="s">
        <v>8990</v>
      </c>
      <c r="AA2625" s="77" t="s">
        <v>9858</v>
      </c>
      <c r="AB2625" s="77" t="s">
        <v>10535</v>
      </c>
      <c r="AC2625" s="80" t="s">
        <v>10541</v>
      </c>
      <c r="AD2625" s="77" t="s">
        <v>10620</v>
      </c>
      <c r="AE2625" s="83" t="str">
        <f>HYPERLINK("https://twitter.com/eyn_elmercurio/status/1668586009888702464")</f>
        <v>https://twitter.com/eyn_elmercurio/status/1668586009888702464</v>
      </c>
      <c r="AF2625" s="79">
        <v>45090.491666666669</v>
      </c>
      <c r="AG2625" s="85">
        <v>45090</v>
      </c>
      <c r="AH2625" s="80" t="s">
        <v>12940</v>
      </c>
      <c r="AI2625" s="77" t="b">
        <v>0</v>
      </c>
      <c r="AJ2625" s="77"/>
      <c r="AK2625" s="77"/>
      <c r="AL2625" s="77"/>
      <c r="AM2625" s="77"/>
      <c r="AN2625" s="77"/>
      <c r="AO2625" s="77"/>
      <c r="AP2625" s="77"/>
      <c r="AQ2625" s="77" t="s">
        <v>15340</v>
      </c>
      <c r="AR2625" s="77"/>
      <c r="AS2625" s="77"/>
      <c r="AT2625" s="77"/>
      <c r="AU2625" s="77"/>
      <c r="AV2625" s="83" t="str">
        <f>HYPERLINK("https://pbs.twimg.com/media/FyeINKwXgAILhQr.jpg")</f>
        <v>https://pbs.twimg.com/media/FyeINKwXgAILhQr.jpg</v>
      </c>
      <c r="AW2625" s="80" t="s">
        <v>18415</v>
      </c>
      <c r="AX2625" s="80" t="s">
        <v>18415</v>
      </c>
      <c r="AY2625" s="77"/>
      <c r="AZ2625" s="80" t="s">
        <v>20380</v>
      </c>
      <c r="BA2625" s="80" t="s">
        <v>20380</v>
      </c>
      <c r="BB2625" s="80" t="s">
        <v>20380</v>
      </c>
      <c r="BC2625" s="80" t="s">
        <v>18415</v>
      </c>
      <c r="BD2625" s="77">
        <v>74592426</v>
      </c>
      <c r="BE2625" s="77"/>
      <c r="BF2625" s="77"/>
      <c r="BG2625" s="77"/>
      <c r="BH2625" s="77"/>
      <c r="BI2625" s="77"/>
    </row>
    <row r="2626" spans="1:61" x14ac:dyDescent="0.25">
      <c r="A2626" s="62" t="s">
        <v>1083</v>
      </c>
      <c r="B2626" s="62" t="s">
        <v>1955</v>
      </c>
      <c r="C2626" s="63"/>
      <c r="D2626" s="64"/>
      <c r="E2626" s="65"/>
      <c r="F2626" s="66"/>
      <c r="G2626" s="63"/>
      <c r="H2626" s="67"/>
      <c r="I2626" s="68"/>
      <c r="J2626" s="68"/>
      <c r="K2626" s="32"/>
      <c r="L2626" s="75">
        <v>2626</v>
      </c>
      <c r="M2626" s="75"/>
      <c r="N2626" s="70"/>
      <c r="O2626" s="77" t="s">
        <v>2081</v>
      </c>
      <c r="P2626" s="79">
        <v>45090.491666666669</v>
      </c>
      <c r="Q2626" s="77" t="s">
        <v>4407</v>
      </c>
      <c r="R2626" s="77">
        <v>4</v>
      </c>
      <c r="S2626" s="77">
        <v>8</v>
      </c>
      <c r="T2626" s="77">
        <v>0</v>
      </c>
      <c r="U2626" s="77">
        <v>0</v>
      </c>
      <c r="V2626" s="77">
        <v>1299</v>
      </c>
      <c r="W2626" s="80" t="s">
        <v>5884</v>
      </c>
      <c r="X2626" s="83" t="str">
        <f>HYPERLINK("https://digital.elmercurio.com/2023/06/13/B")</f>
        <v>https://digital.elmercurio.com/2023/06/13/B</v>
      </c>
      <c r="Y2626" s="77" t="s">
        <v>8797</v>
      </c>
      <c r="Z2626" s="77" t="s">
        <v>8990</v>
      </c>
      <c r="AA2626" s="77" t="s">
        <v>9858</v>
      </c>
      <c r="AB2626" s="77" t="s">
        <v>10535</v>
      </c>
      <c r="AC2626" s="80" t="s">
        <v>10541</v>
      </c>
      <c r="AD2626" s="77" t="s">
        <v>10620</v>
      </c>
      <c r="AE2626" s="83" t="str">
        <f>HYPERLINK("https://twitter.com/eyn_elmercurio/status/1668586009888702464")</f>
        <v>https://twitter.com/eyn_elmercurio/status/1668586009888702464</v>
      </c>
      <c r="AF2626" s="79">
        <v>45090.491666666669</v>
      </c>
      <c r="AG2626" s="85">
        <v>45090</v>
      </c>
      <c r="AH2626" s="80" t="s">
        <v>12940</v>
      </c>
      <c r="AI2626" s="77" t="b">
        <v>0</v>
      </c>
      <c r="AJ2626" s="77"/>
      <c r="AK2626" s="77"/>
      <c r="AL2626" s="77"/>
      <c r="AM2626" s="77"/>
      <c r="AN2626" s="77"/>
      <c r="AO2626" s="77"/>
      <c r="AP2626" s="77"/>
      <c r="AQ2626" s="77" t="s">
        <v>15340</v>
      </c>
      <c r="AR2626" s="77"/>
      <c r="AS2626" s="77"/>
      <c r="AT2626" s="77"/>
      <c r="AU2626" s="77"/>
      <c r="AV2626" s="83" t="str">
        <f>HYPERLINK("https://pbs.twimg.com/media/FyeINKwXgAILhQr.jpg")</f>
        <v>https://pbs.twimg.com/media/FyeINKwXgAILhQr.jpg</v>
      </c>
      <c r="AW2626" s="80" t="s">
        <v>18415</v>
      </c>
      <c r="AX2626" s="80" t="s">
        <v>18415</v>
      </c>
      <c r="AY2626" s="77"/>
      <c r="AZ2626" s="80" t="s">
        <v>20380</v>
      </c>
      <c r="BA2626" s="80" t="s">
        <v>20380</v>
      </c>
      <c r="BB2626" s="80" t="s">
        <v>20380</v>
      </c>
      <c r="BC2626" s="80" t="s">
        <v>18415</v>
      </c>
      <c r="BD2626" s="77">
        <v>74592426</v>
      </c>
      <c r="BE2626" s="77"/>
      <c r="BF2626" s="77"/>
      <c r="BG2626" s="77"/>
      <c r="BH2626" s="77"/>
      <c r="BI2626" s="77"/>
    </row>
    <row r="2627" spans="1:61" x14ac:dyDescent="0.25">
      <c r="A2627" s="62" t="s">
        <v>1083</v>
      </c>
      <c r="B2627" s="62" t="s">
        <v>1956</v>
      </c>
      <c r="C2627" s="63"/>
      <c r="D2627" s="64"/>
      <c r="E2627" s="65"/>
      <c r="F2627" s="66"/>
      <c r="G2627" s="63"/>
      <c r="H2627" s="67"/>
      <c r="I2627" s="68"/>
      <c r="J2627" s="68"/>
      <c r="K2627" s="32"/>
      <c r="L2627" s="75">
        <v>2627</v>
      </c>
      <c r="M2627" s="75"/>
      <c r="N2627" s="70"/>
      <c r="O2627" s="77" t="s">
        <v>2081</v>
      </c>
      <c r="P2627" s="79">
        <v>45090.491666666669</v>
      </c>
      <c r="Q2627" s="77" t="s">
        <v>4407</v>
      </c>
      <c r="R2627" s="77">
        <v>4</v>
      </c>
      <c r="S2627" s="77">
        <v>8</v>
      </c>
      <c r="T2627" s="77">
        <v>0</v>
      </c>
      <c r="U2627" s="77">
        <v>0</v>
      </c>
      <c r="V2627" s="77">
        <v>1299</v>
      </c>
      <c r="W2627" s="80" t="s">
        <v>5884</v>
      </c>
      <c r="X2627" s="83" t="str">
        <f>HYPERLINK("https://digital.elmercurio.com/2023/06/13/B")</f>
        <v>https://digital.elmercurio.com/2023/06/13/B</v>
      </c>
      <c r="Y2627" s="77" t="s">
        <v>8797</v>
      </c>
      <c r="Z2627" s="77" t="s">
        <v>8990</v>
      </c>
      <c r="AA2627" s="77" t="s">
        <v>9858</v>
      </c>
      <c r="AB2627" s="77" t="s">
        <v>10535</v>
      </c>
      <c r="AC2627" s="80" t="s">
        <v>10541</v>
      </c>
      <c r="AD2627" s="77" t="s">
        <v>10620</v>
      </c>
      <c r="AE2627" s="83" t="str">
        <f>HYPERLINK("https://twitter.com/eyn_elmercurio/status/1668586009888702464")</f>
        <v>https://twitter.com/eyn_elmercurio/status/1668586009888702464</v>
      </c>
      <c r="AF2627" s="79">
        <v>45090.491666666669</v>
      </c>
      <c r="AG2627" s="85">
        <v>45090</v>
      </c>
      <c r="AH2627" s="80" t="s">
        <v>12940</v>
      </c>
      <c r="AI2627" s="77" t="b">
        <v>0</v>
      </c>
      <c r="AJ2627" s="77"/>
      <c r="AK2627" s="77"/>
      <c r="AL2627" s="77"/>
      <c r="AM2627" s="77"/>
      <c r="AN2627" s="77"/>
      <c r="AO2627" s="77"/>
      <c r="AP2627" s="77"/>
      <c r="AQ2627" s="77" t="s">
        <v>15340</v>
      </c>
      <c r="AR2627" s="77"/>
      <c r="AS2627" s="77"/>
      <c r="AT2627" s="77"/>
      <c r="AU2627" s="77"/>
      <c r="AV2627" s="83" t="str">
        <f>HYPERLINK("https://pbs.twimg.com/media/FyeINKwXgAILhQr.jpg")</f>
        <v>https://pbs.twimg.com/media/FyeINKwXgAILhQr.jpg</v>
      </c>
      <c r="AW2627" s="80" t="s">
        <v>18415</v>
      </c>
      <c r="AX2627" s="80" t="s">
        <v>18415</v>
      </c>
      <c r="AY2627" s="77"/>
      <c r="AZ2627" s="80" t="s">
        <v>20380</v>
      </c>
      <c r="BA2627" s="80" t="s">
        <v>20380</v>
      </c>
      <c r="BB2627" s="80" t="s">
        <v>20380</v>
      </c>
      <c r="BC2627" s="80" t="s">
        <v>18415</v>
      </c>
      <c r="BD2627" s="77">
        <v>74592426</v>
      </c>
      <c r="BE2627" s="77"/>
      <c r="BF2627" s="77"/>
      <c r="BG2627" s="77"/>
      <c r="BH2627" s="77"/>
      <c r="BI2627" s="77"/>
    </row>
    <row r="2628" spans="1:61" x14ac:dyDescent="0.25">
      <c r="A2628" s="62" t="s">
        <v>1083</v>
      </c>
      <c r="B2628" s="62" t="s">
        <v>1957</v>
      </c>
      <c r="C2628" s="63"/>
      <c r="D2628" s="64"/>
      <c r="E2628" s="65"/>
      <c r="F2628" s="66"/>
      <c r="G2628" s="63"/>
      <c r="H2628" s="67"/>
      <c r="I2628" s="68"/>
      <c r="J2628" s="68"/>
      <c r="K2628" s="32"/>
      <c r="L2628" s="75">
        <v>2628</v>
      </c>
      <c r="M2628" s="75"/>
      <c r="N2628" s="70"/>
      <c r="O2628" s="77" t="s">
        <v>2081</v>
      </c>
      <c r="P2628" s="79">
        <v>45115.466666666667</v>
      </c>
      <c r="Q2628" s="77" t="s">
        <v>4408</v>
      </c>
      <c r="R2628" s="77">
        <v>4</v>
      </c>
      <c r="S2628" s="77">
        <v>2</v>
      </c>
      <c r="T2628" s="77">
        <v>0</v>
      </c>
      <c r="U2628" s="77">
        <v>1</v>
      </c>
      <c r="V2628" s="77">
        <v>1058</v>
      </c>
      <c r="W2628" s="80" t="s">
        <v>7549</v>
      </c>
      <c r="X2628" s="83" t="str">
        <f>HYPERLINK("https://digital.elmercurio.com/2023/07/08/B")</f>
        <v>https://digital.elmercurio.com/2023/07/08/B</v>
      </c>
      <c r="Y2628" s="77" t="s">
        <v>8797</v>
      </c>
      <c r="Z2628" s="77" t="s">
        <v>8991</v>
      </c>
      <c r="AA2628" s="77" t="s">
        <v>9859</v>
      </c>
      <c r="AB2628" s="77" t="s">
        <v>10535</v>
      </c>
      <c r="AC2628" s="80" t="s">
        <v>10541</v>
      </c>
      <c r="AD2628" s="77" t="s">
        <v>10620</v>
      </c>
      <c r="AE2628" s="83" t="str">
        <f>HYPERLINK("https://twitter.com/eyn_elmercurio/status/1677636646752370689")</f>
        <v>https://twitter.com/eyn_elmercurio/status/1677636646752370689</v>
      </c>
      <c r="AF2628" s="79">
        <v>45115.466666666667</v>
      </c>
      <c r="AG2628" s="85">
        <v>45115</v>
      </c>
      <c r="AH2628" s="80" t="s">
        <v>12941</v>
      </c>
      <c r="AI2628" s="77" t="b">
        <v>0</v>
      </c>
      <c r="AJ2628" s="77"/>
      <c r="AK2628" s="77"/>
      <c r="AL2628" s="77"/>
      <c r="AM2628" s="77"/>
      <c r="AN2628" s="77"/>
      <c r="AO2628" s="77"/>
      <c r="AP2628" s="77"/>
      <c r="AQ2628" s="77" t="s">
        <v>15341</v>
      </c>
      <c r="AR2628" s="77"/>
      <c r="AS2628" s="77"/>
      <c r="AT2628" s="77"/>
      <c r="AU2628" s="77"/>
      <c r="AV2628" s="83" t="str">
        <f>HYPERLINK("https://pbs.twimg.com/media/F0fdJKLWAA0sQK3.png")</f>
        <v>https://pbs.twimg.com/media/F0fdJKLWAA0sQK3.png</v>
      </c>
      <c r="AW2628" s="80" t="s">
        <v>18416</v>
      </c>
      <c r="AX2628" s="80" t="s">
        <v>18416</v>
      </c>
      <c r="AY2628" s="77"/>
      <c r="AZ2628" s="80" t="s">
        <v>20380</v>
      </c>
      <c r="BA2628" s="80" t="s">
        <v>20380</v>
      </c>
      <c r="BB2628" s="80" t="s">
        <v>20380</v>
      </c>
      <c r="BC2628" s="80" t="s">
        <v>18416</v>
      </c>
      <c r="BD2628" s="77">
        <v>74592426</v>
      </c>
      <c r="BE2628" s="77"/>
      <c r="BF2628" s="77"/>
      <c r="BG2628" s="77"/>
      <c r="BH2628" s="77"/>
      <c r="BI2628" s="77"/>
    </row>
    <row r="2629" spans="1:61" x14ac:dyDescent="0.25">
      <c r="A2629" s="62" t="s">
        <v>1083</v>
      </c>
      <c r="B2629" s="62" t="s">
        <v>1083</v>
      </c>
      <c r="C2629" s="63"/>
      <c r="D2629" s="64"/>
      <c r="E2629" s="65"/>
      <c r="F2629" s="66"/>
      <c r="G2629" s="63"/>
      <c r="H2629" s="67"/>
      <c r="I2629" s="68"/>
      <c r="J2629" s="68"/>
      <c r="K2629" s="32"/>
      <c r="L2629" s="75">
        <v>2629</v>
      </c>
      <c r="M2629" s="75"/>
      <c r="N2629" s="70"/>
      <c r="O2629" s="77" t="s">
        <v>179</v>
      </c>
      <c r="P2629" s="79">
        <v>45098.472916666666</v>
      </c>
      <c r="Q2629" s="77" t="s">
        <v>4409</v>
      </c>
      <c r="R2629" s="77">
        <v>2</v>
      </c>
      <c r="S2629" s="77">
        <v>1</v>
      </c>
      <c r="T2629" s="77">
        <v>0</v>
      </c>
      <c r="U2629" s="77">
        <v>1</v>
      </c>
      <c r="V2629" s="77">
        <v>1009</v>
      </c>
      <c r="W2629" s="80" t="s">
        <v>5884</v>
      </c>
      <c r="X2629" s="83" t="str">
        <f>HYPERLINK("https://digital.elmercurio.com/2023/06/21/B")</f>
        <v>https://digital.elmercurio.com/2023/06/21/B</v>
      </c>
      <c r="Y2629" s="77" t="s">
        <v>8797</v>
      </c>
      <c r="Z2629" s="77"/>
      <c r="AA2629" s="77" t="s">
        <v>9860</v>
      </c>
      <c r="AB2629" s="77" t="s">
        <v>10535</v>
      </c>
      <c r="AC2629" s="80" t="s">
        <v>10541</v>
      </c>
      <c r="AD2629" s="77" t="s">
        <v>10620</v>
      </c>
      <c r="AE2629" s="83" t="str">
        <f>HYPERLINK("https://twitter.com/eyn_elmercurio/status/1671478318141517824")</f>
        <v>https://twitter.com/eyn_elmercurio/status/1671478318141517824</v>
      </c>
      <c r="AF2629" s="79">
        <v>45098.472916666666</v>
      </c>
      <c r="AG2629" s="85">
        <v>45098</v>
      </c>
      <c r="AH2629" s="80" t="s">
        <v>11355</v>
      </c>
      <c r="AI2629" s="77" t="b">
        <v>0</v>
      </c>
      <c r="AJ2629" s="77"/>
      <c r="AK2629" s="77"/>
      <c r="AL2629" s="77"/>
      <c r="AM2629" s="77"/>
      <c r="AN2629" s="77"/>
      <c r="AO2629" s="77"/>
      <c r="AP2629" s="77"/>
      <c r="AQ2629" s="77" t="s">
        <v>15342</v>
      </c>
      <c r="AR2629" s="77"/>
      <c r="AS2629" s="77"/>
      <c r="AT2629" s="77"/>
      <c r="AU2629" s="77"/>
      <c r="AV2629" s="83" t="str">
        <f>HYPERLINK("https://pbs.twimg.com/media/FzHRN0iWwAEzZg9.png")</f>
        <v>https://pbs.twimg.com/media/FzHRN0iWwAEzZg9.png</v>
      </c>
      <c r="AW2629" s="80" t="s">
        <v>18417</v>
      </c>
      <c r="AX2629" s="80" t="s">
        <v>18417</v>
      </c>
      <c r="AY2629" s="77"/>
      <c r="AZ2629" s="80" t="s">
        <v>20380</v>
      </c>
      <c r="BA2629" s="80" t="s">
        <v>20380</v>
      </c>
      <c r="BB2629" s="80" t="s">
        <v>20380</v>
      </c>
      <c r="BC2629" s="80" t="s">
        <v>18417</v>
      </c>
      <c r="BD2629" s="77">
        <v>74592426</v>
      </c>
      <c r="BE2629" s="77"/>
      <c r="BF2629" s="77"/>
      <c r="BG2629" s="77"/>
      <c r="BH2629" s="77"/>
      <c r="BI2629" s="77"/>
    </row>
    <row r="2630" spans="1:61" x14ac:dyDescent="0.25">
      <c r="A2630" s="62" t="s">
        <v>1083</v>
      </c>
      <c r="B2630" s="62" t="s">
        <v>1083</v>
      </c>
      <c r="C2630" s="63"/>
      <c r="D2630" s="64"/>
      <c r="E2630" s="65"/>
      <c r="F2630" s="66"/>
      <c r="G2630" s="63"/>
      <c r="H2630" s="67"/>
      <c r="I2630" s="68"/>
      <c r="J2630" s="68"/>
      <c r="K2630" s="32"/>
      <c r="L2630" s="75">
        <v>2630</v>
      </c>
      <c r="M2630" s="75"/>
      <c r="N2630" s="70"/>
      <c r="O2630" s="77" t="s">
        <v>179</v>
      </c>
      <c r="P2630" s="79">
        <v>45155.233923611115</v>
      </c>
      <c r="Q2630" s="77" t="s">
        <v>4410</v>
      </c>
      <c r="R2630" s="77">
        <v>3</v>
      </c>
      <c r="S2630" s="77">
        <v>7</v>
      </c>
      <c r="T2630" s="77">
        <v>0</v>
      </c>
      <c r="U2630" s="77">
        <v>1</v>
      </c>
      <c r="V2630" s="77">
        <v>1469</v>
      </c>
      <c r="W2630" s="80" t="s">
        <v>6655</v>
      </c>
      <c r="X2630" s="83" t="str">
        <f>HYPERLINK("https://digital.elmercurio.com/2023/08/17/B")</f>
        <v>https://digital.elmercurio.com/2023/08/17/B</v>
      </c>
      <c r="Y2630" s="77" t="s">
        <v>8797</v>
      </c>
      <c r="Z2630" s="77"/>
      <c r="AA2630" s="77" t="s">
        <v>9861</v>
      </c>
      <c r="AB2630" s="77" t="s">
        <v>10535</v>
      </c>
      <c r="AC2630" s="80" t="s">
        <v>10541</v>
      </c>
      <c r="AD2630" s="77" t="s">
        <v>10620</v>
      </c>
      <c r="AE2630" s="83" t="str">
        <f>HYPERLINK("https://twitter.com/eyn_elmercurio/status/1692047819694014728")</f>
        <v>https://twitter.com/eyn_elmercurio/status/1692047819694014728</v>
      </c>
      <c r="AF2630" s="79">
        <v>45155.233923611115</v>
      </c>
      <c r="AG2630" s="85">
        <v>45155</v>
      </c>
      <c r="AH2630" s="80" t="s">
        <v>12942</v>
      </c>
      <c r="AI2630" s="77" t="b">
        <v>0</v>
      </c>
      <c r="AJ2630" s="77"/>
      <c r="AK2630" s="77"/>
      <c r="AL2630" s="77"/>
      <c r="AM2630" s="77"/>
      <c r="AN2630" s="77"/>
      <c r="AO2630" s="77"/>
      <c r="AP2630" s="77"/>
      <c r="AQ2630" s="77" t="s">
        <v>15343</v>
      </c>
      <c r="AR2630" s="77"/>
      <c r="AS2630" s="77"/>
      <c r="AT2630" s="77"/>
      <c r="AU2630" s="77"/>
      <c r="AV2630" s="83" t="str">
        <f>HYPERLINK("https://pbs.twimg.com/media/F3tcUUzWsAATQ4-.png")</f>
        <v>https://pbs.twimg.com/media/F3tcUUzWsAATQ4-.png</v>
      </c>
      <c r="AW2630" s="80" t="s">
        <v>18418</v>
      </c>
      <c r="AX2630" s="80" t="s">
        <v>18418</v>
      </c>
      <c r="AY2630" s="77"/>
      <c r="AZ2630" s="80" t="s">
        <v>20380</v>
      </c>
      <c r="BA2630" s="80" t="s">
        <v>20380</v>
      </c>
      <c r="BB2630" s="80" t="s">
        <v>20380</v>
      </c>
      <c r="BC2630" s="80" t="s">
        <v>18418</v>
      </c>
      <c r="BD2630" s="77">
        <v>74592426</v>
      </c>
      <c r="BE2630" s="77"/>
      <c r="BF2630" s="77"/>
      <c r="BG2630" s="77"/>
      <c r="BH2630" s="77"/>
      <c r="BI2630" s="77"/>
    </row>
    <row r="2631" spans="1:61" x14ac:dyDescent="0.25">
      <c r="A2631" s="62" t="s">
        <v>1083</v>
      </c>
      <c r="B2631" s="62" t="s">
        <v>1384</v>
      </c>
      <c r="C2631" s="63"/>
      <c r="D2631" s="64"/>
      <c r="E2631" s="65"/>
      <c r="F2631" s="66"/>
      <c r="G2631" s="63"/>
      <c r="H2631" s="67"/>
      <c r="I2631" s="68"/>
      <c r="J2631" s="68"/>
      <c r="K2631" s="32"/>
      <c r="L2631" s="75">
        <v>2631</v>
      </c>
      <c r="M2631" s="75"/>
      <c r="N2631" s="70"/>
      <c r="O2631" s="77" t="s">
        <v>2081</v>
      </c>
      <c r="P2631" s="79">
        <v>45115.466666666667</v>
      </c>
      <c r="Q2631" s="77" t="s">
        <v>4408</v>
      </c>
      <c r="R2631" s="77">
        <v>4</v>
      </c>
      <c r="S2631" s="77">
        <v>2</v>
      </c>
      <c r="T2631" s="77">
        <v>0</v>
      </c>
      <c r="U2631" s="77">
        <v>1</v>
      </c>
      <c r="V2631" s="77">
        <v>1058</v>
      </c>
      <c r="W2631" s="80" t="s">
        <v>7549</v>
      </c>
      <c r="X2631" s="83" t="str">
        <f>HYPERLINK("https://digital.elmercurio.com/2023/07/08/B")</f>
        <v>https://digital.elmercurio.com/2023/07/08/B</v>
      </c>
      <c r="Y2631" s="77" t="s">
        <v>8797</v>
      </c>
      <c r="Z2631" s="77" t="s">
        <v>8991</v>
      </c>
      <c r="AA2631" s="77" t="s">
        <v>9859</v>
      </c>
      <c r="AB2631" s="77" t="s">
        <v>10535</v>
      </c>
      <c r="AC2631" s="80" t="s">
        <v>10541</v>
      </c>
      <c r="AD2631" s="77" t="s">
        <v>10620</v>
      </c>
      <c r="AE2631" s="83" t="str">
        <f>HYPERLINK("https://twitter.com/eyn_elmercurio/status/1677636646752370689")</f>
        <v>https://twitter.com/eyn_elmercurio/status/1677636646752370689</v>
      </c>
      <c r="AF2631" s="79">
        <v>45115.466666666667</v>
      </c>
      <c r="AG2631" s="85">
        <v>45115</v>
      </c>
      <c r="AH2631" s="80" t="s">
        <v>12941</v>
      </c>
      <c r="AI2631" s="77" t="b">
        <v>0</v>
      </c>
      <c r="AJ2631" s="77"/>
      <c r="AK2631" s="77"/>
      <c r="AL2631" s="77"/>
      <c r="AM2631" s="77"/>
      <c r="AN2631" s="77"/>
      <c r="AO2631" s="77"/>
      <c r="AP2631" s="77"/>
      <c r="AQ2631" s="77" t="s">
        <v>15341</v>
      </c>
      <c r="AR2631" s="77"/>
      <c r="AS2631" s="77"/>
      <c r="AT2631" s="77"/>
      <c r="AU2631" s="77"/>
      <c r="AV2631" s="83" t="str">
        <f>HYPERLINK("https://pbs.twimg.com/media/F0fdJKLWAA0sQK3.png")</f>
        <v>https://pbs.twimg.com/media/F0fdJKLWAA0sQK3.png</v>
      </c>
      <c r="AW2631" s="80" t="s">
        <v>18416</v>
      </c>
      <c r="AX2631" s="80" t="s">
        <v>18416</v>
      </c>
      <c r="AY2631" s="77"/>
      <c r="AZ2631" s="80" t="s">
        <v>20380</v>
      </c>
      <c r="BA2631" s="80" t="s">
        <v>20380</v>
      </c>
      <c r="BB2631" s="80" t="s">
        <v>20380</v>
      </c>
      <c r="BC2631" s="80" t="s">
        <v>18416</v>
      </c>
      <c r="BD2631" s="77">
        <v>74592426</v>
      </c>
      <c r="BE2631" s="77"/>
      <c r="BF2631" s="77"/>
      <c r="BG2631" s="77"/>
      <c r="BH2631" s="77"/>
      <c r="BI2631" s="77"/>
    </row>
    <row r="2632" spans="1:61" x14ac:dyDescent="0.25">
      <c r="A2632" s="62" t="s">
        <v>1083</v>
      </c>
      <c r="B2632" s="62" t="s">
        <v>1083</v>
      </c>
      <c r="C2632" s="63"/>
      <c r="D2632" s="64"/>
      <c r="E2632" s="65"/>
      <c r="F2632" s="66"/>
      <c r="G2632" s="63"/>
      <c r="H2632" s="67"/>
      <c r="I2632" s="68"/>
      <c r="J2632" s="68"/>
      <c r="K2632" s="32"/>
      <c r="L2632" s="75">
        <v>2632</v>
      </c>
      <c r="M2632" s="75"/>
      <c r="N2632" s="70"/>
      <c r="O2632" s="77" t="s">
        <v>179</v>
      </c>
      <c r="P2632" s="79">
        <v>45174.42083333333</v>
      </c>
      <c r="Q2632" s="77" t="s">
        <v>4411</v>
      </c>
      <c r="R2632" s="77">
        <v>1</v>
      </c>
      <c r="S2632" s="77">
        <v>1</v>
      </c>
      <c r="T2632" s="77">
        <v>0</v>
      </c>
      <c r="U2632" s="77">
        <v>0</v>
      </c>
      <c r="V2632" s="77">
        <v>846</v>
      </c>
      <c r="W2632" s="80" t="s">
        <v>5884</v>
      </c>
      <c r="X2632" s="83" t="str">
        <f>HYPERLINK("https://digital.elmercurio.com/2023/09/05/B")</f>
        <v>https://digital.elmercurio.com/2023/09/05/B</v>
      </c>
      <c r="Y2632" s="77" t="s">
        <v>8797</v>
      </c>
      <c r="Z2632" s="77"/>
      <c r="AA2632" s="77" t="s">
        <v>9862</v>
      </c>
      <c r="AB2632" s="77" t="s">
        <v>10535</v>
      </c>
      <c r="AC2632" s="80" t="s">
        <v>10541</v>
      </c>
      <c r="AD2632" s="77" t="s">
        <v>10620</v>
      </c>
      <c r="AE2632" s="83" t="str">
        <f>HYPERLINK("https://twitter.com/eyn_elmercurio/status/1699000921362251891")</f>
        <v>https://twitter.com/eyn_elmercurio/status/1699000921362251891</v>
      </c>
      <c r="AF2632" s="79">
        <v>45174.42083333333</v>
      </c>
      <c r="AG2632" s="85">
        <v>45174</v>
      </c>
      <c r="AH2632" s="80" t="s">
        <v>12943</v>
      </c>
      <c r="AI2632" s="77" t="b">
        <v>0</v>
      </c>
      <c r="AJ2632" s="77"/>
      <c r="AK2632" s="77"/>
      <c r="AL2632" s="77"/>
      <c r="AM2632" s="77"/>
      <c r="AN2632" s="77"/>
      <c r="AO2632" s="77"/>
      <c r="AP2632" s="77"/>
      <c r="AQ2632" s="77" t="s">
        <v>15344</v>
      </c>
      <c r="AR2632" s="77"/>
      <c r="AS2632" s="77"/>
      <c r="AT2632" s="77"/>
      <c r="AU2632" s="77"/>
      <c r="AV2632" s="83" t="str">
        <f>HYPERLINK("https://pbs.twimg.com/media/F5OVhIZWQAAEiDS.jpg")</f>
        <v>https://pbs.twimg.com/media/F5OVhIZWQAAEiDS.jpg</v>
      </c>
      <c r="AW2632" s="80" t="s">
        <v>18419</v>
      </c>
      <c r="AX2632" s="80" t="s">
        <v>18419</v>
      </c>
      <c r="AY2632" s="77"/>
      <c r="AZ2632" s="80" t="s">
        <v>20380</v>
      </c>
      <c r="BA2632" s="80" t="s">
        <v>20380</v>
      </c>
      <c r="BB2632" s="80" t="s">
        <v>20380</v>
      </c>
      <c r="BC2632" s="80" t="s">
        <v>18419</v>
      </c>
      <c r="BD2632" s="77">
        <v>74592426</v>
      </c>
      <c r="BE2632" s="77"/>
      <c r="BF2632" s="77"/>
      <c r="BG2632" s="77"/>
      <c r="BH2632" s="77"/>
      <c r="BI2632" s="77"/>
    </row>
    <row r="2633" spans="1:61" x14ac:dyDescent="0.25">
      <c r="A2633" s="62" t="s">
        <v>1083</v>
      </c>
      <c r="B2633" s="62" t="s">
        <v>1083</v>
      </c>
      <c r="C2633" s="63"/>
      <c r="D2633" s="64"/>
      <c r="E2633" s="65"/>
      <c r="F2633" s="66"/>
      <c r="G2633" s="63"/>
      <c r="H2633" s="67"/>
      <c r="I2633" s="68"/>
      <c r="J2633" s="68"/>
      <c r="K2633" s="32"/>
      <c r="L2633" s="75">
        <v>2633</v>
      </c>
      <c r="M2633" s="75"/>
      <c r="N2633" s="70"/>
      <c r="O2633" s="77" t="s">
        <v>179</v>
      </c>
      <c r="P2633" s="79">
        <v>45141.461805555555</v>
      </c>
      <c r="Q2633" s="77" t="s">
        <v>4412</v>
      </c>
      <c r="R2633" s="77">
        <v>3</v>
      </c>
      <c r="S2633" s="77">
        <v>5</v>
      </c>
      <c r="T2633" s="77">
        <v>0</v>
      </c>
      <c r="U2633" s="77">
        <v>0</v>
      </c>
      <c r="V2633" s="77">
        <v>1637</v>
      </c>
      <c r="W2633" s="80" t="s">
        <v>7550</v>
      </c>
      <c r="X2633" s="83" t="str">
        <f>HYPERLINK("https://digital.elmercurio.com/2023/08/03/B")</f>
        <v>https://digital.elmercurio.com/2023/08/03/B</v>
      </c>
      <c r="Y2633" s="77" t="s">
        <v>8797</v>
      </c>
      <c r="Z2633" s="77"/>
      <c r="AA2633" s="77" t="s">
        <v>9863</v>
      </c>
      <c r="AB2633" s="77" t="s">
        <v>10535</v>
      </c>
      <c r="AC2633" s="80" t="s">
        <v>10541</v>
      </c>
      <c r="AD2633" s="77" t="s">
        <v>10620</v>
      </c>
      <c r="AE2633" s="83" t="str">
        <f>HYPERLINK("https://twitter.com/eyn_elmercurio/status/1687056970216341504")</f>
        <v>https://twitter.com/eyn_elmercurio/status/1687056970216341504</v>
      </c>
      <c r="AF2633" s="79">
        <v>45141.461805555555</v>
      </c>
      <c r="AG2633" s="85">
        <v>45141</v>
      </c>
      <c r="AH2633" s="80" t="s">
        <v>12944</v>
      </c>
      <c r="AI2633" s="77" t="b">
        <v>0</v>
      </c>
      <c r="AJ2633" s="77"/>
      <c r="AK2633" s="77"/>
      <c r="AL2633" s="77"/>
      <c r="AM2633" s="77"/>
      <c r="AN2633" s="77"/>
      <c r="AO2633" s="77"/>
      <c r="AP2633" s="77"/>
      <c r="AQ2633" s="77" t="s">
        <v>15345</v>
      </c>
      <c r="AR2633" s="77"/>
      <c r="AS2633" s="77"/>
      <c r="AT2633" s="77"/>
      <c r="AU2633" s="77"/>
      <c r="AV2633" s="83" t="str">
        <f>HYPERLINK("https://pbs.twimg.com/media/F2kmKS0W4AAgSEH.png")</f>
        <v>https://pbs.twimg.com/media/F2kmKS0W4AAgSEH.png</v>
      </c>
      <c r="AW2633" s="80" t="s">
        <v>18420</v>
      </c>
      <c r="AX2633" s="80" t="s">
        <v>18420</v>
      </c>
      <c r="AY2633" s="77"/>
      <c r="AZ2633" s="80" t="s">
        <v>20380</v>
      </c>
      <c r="BA2633" s="80" t="s">
        <v>20380</v>
      </c>
      <c r="BB2633" s="80" t="s">
        <v>20380</v>
      </c>
      <c r="BC2633" s="80" t="s">
        <v>18420</v>
      </c>
      <c r="BD2633" s="77">
        <v>74592426</v>
      </c>
      <c r="BE2633" s="77"/>
      <c r="BF2633" s="77"/>
      <c r="BG2633" s="77"/>
      <c r="BH2633" s="77"/>
      <c r="BI2633" s="77"/>
    </row>
    <row r="2634" spans="1:61" x14ac:dyDescent="0.25">
      <c r="A2634" s="62" t="s">
        <v>1084</v>
      </c>
      <c r="B2634" s="62" t="s">
        <v>1084</v>
      </c>
      <c r="C2634" s="63"/>
      <c r="D2634" s="64"/>
      <c r="E2634" s="65"/>
      <c r="F2634" s="66"/>
      <c r="G2634" s="63"/>
      <c r="H2634" s="67"/>
      <c r="I2634" s="68"/>
      <c r="J2634" s="68"/>
      <c r="K2634" s="32"/>
      <c r="L2634" s="75">
        <v>2634</v>
      </c>
      <c r="M2634" s="75"/>
      <c r="N2634" s="70"/>
      <c r="O2634" s="77" t="s">
        <v>179</v>
      </c>
      <c r="P2634" s="79">
        <v>45194.962187500001</v>
      </c>
      <c r="Q2634" s="77" t="s">
        <v>4413</v>
      </c>
      <c r="R2634" s="77">
        <v>0</v>
      </c>
      <c r="S2634" s="77">
        <v>0</v>
      </c>
      <c r="T2634" s="77">
        <v>0</v>
      </c>
      <c r="U2634" s="77">
        <v>0</v>
      </c>
      <c r="V2634" s="77">
        <v>65</v>
      </c>
      <c r="W2634" s="80" t="s">
        <v>7551</v>
      </c>
      <c r="X2634" s="83" t="str">
        <f>HYPERLINK("http://dlvr.it/SwbdGw")</f>
        <v>http://dlvr.it/SwbdGw</v>
      </c>
      <c r="Y2634" s="77" t="s">
        <v>8629</v>
      </c>
      <c r="Z2634" s="77"/>
      <c r="AA2634" s="77" t="s">
        <v>9864</v>
      </c>
      <c r="AB2634" s="77" t="s">
        <v>10535</v>
      </c>
      <c r="AC2634" s="80" t="s">
        <v>8629</v>
      </c>
      <c r="AD2634" s="77" t="s">
        <v>10620</v>
      </c>
      <c r="AE2634" s="83" t="str">
        <f>HYPERLINK("https://twitter.com/bahiadigital/status/1706444861073936612")</f>
        <v>https://twitter.com/bahiadigital/status/1706444861073936612</v>
      </c>
      <c r="AF2634" s="79">
        <v>45194.962187500001</v>
      </c>
      <c r="AG2634" s="85">
        <v>45194</v>
      </c>
      <c r="AH2634" s="80" t="s">
        <v>12945</v>
      </c>
      <c r="AI2634" s="77" t="b">
        <v>0</v>
      </c>
      <c r="AJ2634" s="77"/>
      <c r="AK2634" s="77"/>
      <c r="AL2634" s="77"/>
      <c r="AM2634" s="77"/>
      <c r="AN2634" s="77"/>
      <c r="AO2634" s="77"/>
      <c r="AP2634" s="77"/>
      <c r="AQ2634" s="77" t="s">
        <v>15346</v>
      </c>
      <c r="AR2634" s="77"/>
      <c r="AS2634" s="77"/>
      <c r="AT2634" s="77"/>
      <c r="AU2634" s="77"/>
      <c r="AV2634" s="83" t="str">
        <f>HYPERLINK("https://pbs.twimg.com/media/F66Cjv4aEAEGiob.jpg")</f>
        <v>https://pbs.twimg.com/media/F66Cjv4aEAEGiob.jpg</v>
      </c>
      <c r="AW2634" s="80" t="s">
        <v>18421</v>
      </c>
      <c r="AX2634" s="80" t="s">
        <v>18421</v>
      </c>
      <c r="AY2634" s="77"/>
      <c r="AZ2634" s="80" t="s">
        <v>20380</v>
      </c>
      <c r="BA2634" s="80" t="s">
        <v>20380</v>
      </c>
      <c r="BB2634" s="80" t="s">
        <v>20380</v>
      </c>
      <c r="BC2634" s="80" t="s">
        <v>18421</v>
      </c>
      <c r="BD2634" s="77">
        <v>42317726</v>
      </c>
      <c r="BE2634" s="77"/>
      <c r="BF2634" s="77"/>
      <c r="BG2634" s="77"/>
      <c r="BH2634" s="77"/>
      <c r="BI2634" s="77"/>
    </row>
    <row r="2635" spans="1:61" x14ac:dyDescent="0.25">
      <c r="A2635" s="62" t="s">
        <v>1085</v>
      </c>
      <c r="B2635" s="62" t="s">
        <v>1958</v>
      </c>
      <c r="C2635" s="63"/>
      <c r="D2635" s="64"/>
      <c r="E2635" s="65"/>
      <c r="F2635" s="66"/>
      <c r="G2635" s="63"/>
      <c r="H2635" s="67"/>
      <c r="I2635" s="68"/>
      <c r="J2635" s="68"/>
      <c r="K2635" s="32"/>
      <c r="L2635" s="75">
        <v>2635</v>
      </c>
      <c r="M2635" s="75"/>
      <c r="N2635" s="70"/>
      <c r="O2635" s="77" t="s">
        <v>2079</v>
      </c>
      <c r="P2635" s="79">
        <v>45117.878969907404</v>
      </c>
      <c r="Q2635" s="77" t="s">
        <v>4414</v>
      </c>
      <c r="R2635" s="77">
        <v>2</v>
      </c>
      <c r="S2635" s="77">
        <v>1</v>
      </c>
      <c r="T2635" s="77">
        <v>2</v>
      </c>
      <c r="U2635" s="77">
        <v>0</v>
      </c>
      <c r="V2635" s="77">
        <v>20</v>
      </c>
      <c r="W2635" s="80" t="s">
        <v>7552</v>
      </c>
      <c r="X2635" s="77"/>
      <c r="Y2635" s="77"/>
      <c r="Z2635" s="77" t="s">
        <v>8992</v>
      </c>
      <c r="AA2635" s="77"/>
      <c r="AB2635" s="77"/>
      <c r="AC2635" s="80" t="s">
        <v>10540</v>
      </c>
      <c r="AD2635" s="77" t="s">
        <v>10620</v>
      </c>
      <c r="AE2635" s="83" t="str">
        <f>HYPERLINK("https://twitter.com/mariamcardamo/status/1678510835541368832")</f>
        <v>https://twitter.com/mariamcardamo/status/1678510835541368832</v>
      </c>
      <c r="AF2635" s="79">
        <v>45117.878969907404</v>
      </c>
      <c r="AG2635" s="85">
        <v>45117</v>
      </c>
      <c r="AH2635" s="80" t="s">
        <v>12946</v>
      </c>
      <c r="AI2635" s="77"/>
      <c r="AJ2635" s="77"/>
      <c r="AK2635" s="77"/>
      <c r="AL2635" s="77"/>
      <c r="AM2635" s="77"/>
      <c r="AN2635" s="77"/>
      <c r="AO2635" s="77"/>
      <c r="AP2635" s="77"/>
      <c r="AQ2635" s="77"/>
      <c r="AR2635" s="77"/>
      <c r="AS2635" s="77"/>
      <c r="AT2635" s="77"/>
      <c r="AU2635" s="77"/>
      <c r="AV2635" s="83" t="str">
        <f>HYPERLINK("https://pbs.twimg.com/profile_images/1640193234386440193/1Zifrb5V_normal.jpg")</f>
        <v>https://pbs.twimg.com/profile_images/1640193234386440193/1Zifrb5V_normal.jpg</v>
      </c>
      <c r="AW2635" s="80" t="s">
        <v>18422</v>
      </c>
      <c r="AX2635" s="80" t="s">
        <v>20069</v>
      </c>
      <c r="AY2635" s="80" t="s">
        <v>20320</v>
      </c>
      <c r="AZ2635" s="80" t="s">
        <v>20069</v>
      </c>
      <c r="BA2635" s="80" t="s">
        <v>20380</v>
      </c>
      <c r="BB2635" s="80" t="s">
        <v>20380</v>
      </c>
      <c r="BC2635" s="80" t="s">
        <v>20069</v>
      </c>
      <c r="BD2635" s="77">
        <v>3702612315</v>
      </c>
      <c r="BE2635" s="77"/>
      <c r="BF2635" s="77"/>
      <c r="BG2635" s="77"/>
      <c r="BH2635" s="77"/>
      <c r="BI2635" s="77"/>
    </row>
    <row r="2636" spans="1:61" x14ac:dyDescent="0.25">
      <c r="A2636" s="62" t="s">
        <v>1085</v>
      </c>
      <c r="B2636" s="62" t="s">
        <v>1959</v>
      </c>
      <c r="C2636" s="63"/>
      <c r="D2636" s="64"/>
      <c r="E2636" s="65"/>
      <c r="F2636" s="66"/>
      <c r="G2636" s="63"/>
      <c r="H2636" s="67"/>
      <c r="I2636" s="68"/>
      <c r="J2636" s="68"/>
      <c r="K2636" s="32"/>
      <c r="L2636" s="75">
        <v>2636</v>
      </c>
      <c r="M2636" s="75"/>
      <c r="N2636" s="70"/>
      <c r="O2636" s="77" t="s">
        <v>2079</v>
      </c>
      <c r="P2636" s="79">
        <v>45117.878969907404</v>
      </c>
      <c r="Q2636" s="77" t="s">
        <v>4414</v>
      </c>
      <c r="R2636" s="77">
        <v>2</v>
      </c>
      <c r="S2636" s="77">
        <v>1</v>
      </c>
      <c r="T2636" s="77">
        <v>2</v>
      </c>
      <c r="U2636" s="77">
        <v>0</v>
      </c>
      <c r="V2636" s="77">
        <v>20</v>
      </c>
      <c r="W2636" s="80" t="s">
        <v>7552</v>
      </c>
      <c r="X2636" s="77"/>
      <c r="Y2636" s="77"/>
      <c r="Z2636" s="77" t="s">
        <v>8992</v>
      </c>
      <c r="AA2636" s="77"/>
      <c r="AB2636" s="77"/>
      <c r="AC2636" s="80" t="s">
        <v>10540</v>
      </c>
      <c r="AD2636" s="77" t="s">
        <v>10620</v>
      </c>
      <c r="AE2636" s="83" t="str">
        <f>HYPERLINK("https://twitter.com/mariamcardamo/status/1678510835541368832")</f>
        <v>https://twitter.com/mariamcardamo/status/1678510835541368832</v>
      </c>
      <c r="AF2636" s="79">
        <v>45117.878969907404</v>
      </c>
      <c r="AG2636" s="85">
        <v>45117</v>
      </c>
      <c r="AH2636" s="80" t="s">
        <v>12946</v>
      </c>
      <c r="AI2636" s="77"/>
      <c r="AJ2636" s="77"/>
      <c r="AK2636" s="77"/>
      <c r="AL2636" s="77"/>
      <c r="AM2636" s="77"/>
      <c r="AN2636" s="77"/>
      <c r="AO2636" s="77"/>
      <c r="AP2636" s="77"/>
      <c r="AQ2636" s="77"/>
      <c r="AR2636" s="77"/>
      <c r="AS2636" s="77"/>
      <c r="AT2636" s="77"/>
      <c r="AU2636" s="77"/>
      <c r="AV2636" s="83" t="str">
        <f>HYPERLINK("https://pbs.twimg.com/profile_images/1640193234386440193/1Zifrb5V_normal.jpg")</f>
        <v>https://pbs.twimg.com/profile_images/1640193234386440193/1Zifrb5V_normal.jpg</v>
      </c>
      <c r="AW2636" s="80" t="s">
        <v>18422</v>
      </c>
      <c r="AX2636" s="80" t="s">
        <v>20069</v>
      </c>
      <c r="AY2636" s="80" t="s">
        <v>20320</v>
      </c>
      <c r="AZ2636" s="80" t="s">
        <v>20069</v>
      </c>
      <c r="BA2636" s="80" t="s">
        <v>20380</v>
      </c>
      <c r="BB2636" s="80" t="s">
        <v>20380</v>
      </c>
      <c r="BC2636" s="80" t="s">
        <v>20069</v>
      </c>
      <c r="BD2636" s="77">
        <v>3702612315</v>
      </c>
      <c r="BE2636" s="77"/>
      <c r="BF2636" s="77"/>
      <c r="BG2636" s="77"/>
      <c r="BH2636" s="77"/>
      <c r="BI2636" s="77"/>
    </row>
    <row r="2637" spans="1:61" x14ac:dyDescent="0.25">
      <c r="A2637" s="62" t="s">
        <v>1085</v>
      </c>
      <c r="B2637" s="62" t="s">
        <v>1960</v>
      </c>
      <c r="C2637" s="63"/>
      <c r="D2637" s="64"/>
      <c r="E2637" s="65"/>
      <c r="F2637" s="66"/>
      <c r="G2637" s="63"/>
      <c r="H2637" s="67"/>
      <c r="I2637" s="68"/>
      <c r="J2637" s="68"/>
      <c r="K2637" s="32"/>
      <c r="L2637" s="75">
        <v>2637</v>
      </c>
      <c r="M2637" s="75"/>
      <c r="N2637" s="70"/>
      <c r="O2637" s="77" t="s">
        <v>2079</v>
      </c>
      <c r="P2637" s="79">
        <v>45117.878969907404</v>
      </c>
      <c r="Q2637" s="77" t="s">
        <v>4414</v>
      </c>
      <c r="R2637" s="77">
        <v>2</v>
      </c>
      <c r="S2637" s="77">
        <v>1</v>
      </c>
      <c r="T2637" s="77">
        <v>2</v>
      </c>
      <c r="U2637" s="77">
        <v>0</v>
      </c>
      <c r="V2637" s="77">
        <v>20</v>
      </c>
      <c r="W2637" s="80" t="s">
        <v>7552</v>
      </c>
      <c r="X2637" s="77"/>
      <c r="Y2637" s="77"/>
      <c r="Z2637" s="77" t="s">
        <v>8992</v>
      </c>
      <c r="AA2637" s="77"/>
      <c r="AB2637" s="77"/>
      <c r="AC2637" s="80" t="s">
        <v>10540</v>
      </c>
      <c r="AD2637" s="77" t="s">
        <v>10620</v>
      </c>
      <c r="AE2637" s="83" t="str">
        <f>HYPERLINK("https://twitter.com/mariamcardamo/status/1678510835541368832")</f>
        <v>https://twitter.com/mariamcardamo/status/1678510835541368832</v>
      </c>
      <c r="AF2637" s="79">
        <v>45117.878969907404</v>
      </c>
      <c r="AG2637" s="85">
        <v>45117</v>
      </c>
      <c r="AH2637" s="80" t="s">
        <v>12946</v>
      </c>
      <c r="AI2637" s="77"/>
      <c r="AJ2637" s="77"/>
      <c r="AK2637" s="77"/>
      <c r="AL2637" s="77"/>
      <c r="AM2637" s="77"/>
      <c r="AN2637" s="77"/>
      <c r="AO2637" s="77"/>
      <c r="AP2637" s="77"/>
      <c r="AQ2637" s="77"/>
      <c r="AR2637" s="77"/>
      <c r="AS2637" s="77"/>
      <c r="AT2637" s="77"/>
      <c r="AU2637" s="77"/>
      <c r="AV2637" s="83" t="str">
        <f>HYPERLINK("https://pbs.twimg.com/profile_images/1640193234386440193/1Zifrb5V_normal.jpg")</f>
        <v>https://pbs.twimg.com/profile_images/1640193234386440193/1Zifrb5V_normal.jpg</v>
      </c>
      <c r="AW2637" s="80" t="s">
        <v>18422</v>
      </c>
      <c r="AX2637" s="80" t="s">
        <v>20069</v>
      </c>
      <c r="AY2637" s="80" t="s">
        <v>20320</v>
      </c>
      <c r="AZ2637" s="80" t="s">
        <v>20069</v>
      </c>
      <c r="BA2637" s="80" t="s">
        <v>20380</v>
      </c>
      <c r="BB2637" s="80" t="s">
        <v>20380</v>
      </c>
      <c r="BC2637" s="80" t="s">
        <v>20069</v>
      </c>
      <c r="BD2637" s="77">
        <v>3702612315</v>
      </c>
      <c r="BE2637" s="77"/>
      <c r="BF2637" s="77"/>
      <c r="BG2637" s="77"/>
      <c r="BH2637" s="77"/>
      <c r="BI2637" s="77"/>
    </row>
    <row r="2638" spans="1:61" x14ac:dyDescent="0.25">
      <c r="A2638" s="62" t="s">
        <v>1085</v>
      </c>
      <c r="B2638" s="62" t="s">
        <v>1961</v>
      </c>
      <c r="C2638" s="63"/>
      <c r="D2638" s="64"/>
      <c r="E2638" s="65"/>
      <c r="F2638" s="66"/>
      <c r="G2638" s="63"/>
      <c r="H2638" s="67"/>
      <c r="I2638" s="68"/>
      <c r="J2638" s="68"/>
      <c r="K2638" s="32"/>
      <c r="L2638" s="75">
        <v>2638</v>
      </c>
      <c r="M2638" s="75"/>
      <c r="N2638" s="70"/>
      <c r="O2638" s="77" t="s">
        <v>2079</v>
      </c>
      <c r="P2638" s="79">
        <v>45117.878969907404</v>
      </c>
      <c r="Q2638" s="77" t="s">
        <v>4414</v>
      </c>
      <c r="R2638" s="77">
        <v>2</v>
      </c>
      <c r="S2638" s="77">
        <v>1</v>
      </c>
      <c r="T2638" s="77">
        <v>2</v>
      </c>
      <c r="U2638" s="77">
        <v>0</v>
      </c>
      <c r="V2638" s="77">
        <v>20</v>
      </c>
      <c r="W2638" s="80" t="s">
        <v>7552</v>
      </c>
      <c r="X2638" s="77"/>
      <c r="Y2638" s="77"/>
      <c r="Z2638" s="77" t="s">
        <v>8992</v>
      </c>
      <c r="AA2638" s="77"/>
      <c r="AB2638" s="77"/>
      <c r="AC2638" s="80" t="s">
        <v>10540</v>
      </c>
      <c r="AD2638" s="77" t="s">
        <v>10620</v>
      </c>
      <c r="AE2638" s="83" t="str">
        <f>HYPERLINK("https://twitter.com/mariamcardamo/status/1678510835541368832")</f>
        <v>https://twitter.com/mariamcardamo/status/1678510835541368832</v>
      </c>
      <c r="AF2638" s="79">
        <v>45117.878969907404</v>
      </c>
      <c r="AG2638" s="85">
        <v>45117</v>
      </c>
      <c r="AH2638" s="80" t="s">
        <v>12946</v>
      </c>
      <c r="AI2638" s="77"/>
      <c r="AJ2638" s="77"/>
      <c r="AK2638" s="77"/>
      <c r="AL2638" s="77"/>
      <c r="AM2638" s="77"/>
      <c r="AN2638" s="77"/>
      <c r="AO2638" s="77"/>
      <c r="AP2638" s="77"/>
      <c r="AQ2638" s="77"/>
      <c r="AR2638" s="77"/>
      <c r="AS2638" s="77"/>
      <c r="AT2638" s="77"/>
      <c r="AU2638" s="77"/>
      <c r="AV2638" s="83" t="str">
        <f>HYPERLINK("https://pbs.twimg.com/profile_images/1640193234386440193/1Zifrb5V_normal.jpg")</f>
        <v>https://pbs.twimg.com/profile_images/1640193234386440193/1Zifrb5V_normal.jpg</v>
      </c>
      <c r="AW2638" s="80" t="s">
        <v>18422</v>
      </c>
      <c r="AX2638" s="80" t="s">
        <v>20069</v>
      </c>
      <c r="AY2638" s="80" t="s">
        <v>20320</v>
      </c>
      <c r="AZ2638" s="80" t="s">
        <v>20069</v>
      </c>
      <c r="BA2638" s="80" t="s">
        <v>20380</v>
      </c>
      <c r="BB2638" s="80" t="s">
        <v>20380</v>
      </c>
      <c r="BC2638" s="80" t="s">
        <v>20069</v>
      </c>
      <c r="BD2638" s="77">
        <v>3702612315</v>
      </c>
      <c r="BE2638" s="77"/>
      <c r="BF2638" s="77"/>
      <c r="BG2638" s="77"/>
      <c r="BH2638" s="77"/>
      <c r="BI2638" s="77"/>
    </row>
    <row r="2639" spans="1:61" x14ac:dyDescent="0.25">
      <c r="A2639" s="62" t="s">
        <v>1085</v>
      </c>
      <c r="B2639" s="62" t="s">
        <v>1962</v>
      </c>
      <c r="C2639" s="63"/>
      <c r="D2639" s="64"/>
      <c r="E2639" s="65"/>
      <c r="F2639" s="66"/>
      <c r="G2639" s="63"/>
      <c r="H2639" s="67"/>
      <c r="I2639" s="68"/>
      <c r="J2639" s="68"/>
      <c r="K2639" s="32"/>
      <c r="L2639" s="75">
        <v>2639</v>
      </c>
      <c r="M2639" s="75"/>
      <c r="N2639" s="70"/>
      <c r="O2639" s="77" t="s">
        <v>2079</v>
      </c>
      <c r="P2639" s="79">
        <v>45117.878969907404</v>
      </c>
      <c r="Q2639" s="77" t="s">
        <v>4414</v>
      </c>
      <c r="R2639" s="77">
        <v>2</v>
      </c>
      <c r="S2639" s="77">
        <v>1</v>
      </c>
      <c r="T2639" s="77">
        <v>2</v>
      </c>
      <c r="U2639" s="77">
        <v>0</v>
      </c>
      <c r="V2639" s="77">
        <v>20</v>
      </c>
      <c r="W2639" s="80" t="s">
        <v>7552</v>
      </c>
      <c r="X2639" s="77"/>
      <c r="Y2639" s="77"/>
      <c r="Z2639" s="77" t="s">
        <v>8992</v>
      </c>
      <c r="AA2639" s="77"/>
      <c r="AB2639" s="77"/>
      <c r="AC2639" s="80" t="s">
        <v>10540</v>
      </c>
      <c r="AD2639" s="77" t="s">
        <v>10620</v>
      </c>
      <c r="AE2639" s="83" t="str">
        <f>HYPERLINK("https://twitter.com/mariamcardamo/status/1678510835541368832")</f>
        <v>https://twitter.com/mariamcardamo/status/1678510835541368832</v>
      </c>
      <c r="AF2639" s="79">
        <v>45117.878969907404</v>
      </c>
      <c r="AG2639" s="85">
        <v>45117</v>
      </c>
      <c r="AH2639" s="80" t="s">
        <v>12946</v>
      </c>
      <c r="AI2639" s="77"/>
      <c r="AJ2639" s="77"/>
      <c r="AK2639" s="77"/>
      <c r="AL2639" s="77"/>
      <c r="AM2639" s="77"/>
      <c r="AN2639" s="77"/>
      <c r="AO2639" s="77"/>
      <c r="AP2639" s="77"/>
      <c r="AQ2639" s="77"/>
      <c r="AR2639" s="77"/>
      <c r="AS2639" s="77"/>
      <c r="AT2639" s="77"/>
      <c r="AU2639" s="77"/>
      <c r="AV2639" s="83" t="str">
        <f>HYPERLINK("https://pbs.twimg.com/profile_images/1640193234386440193/1Zifrb5V_normal.jpg")</f>
        <v>https://pbs.twimg.com/profile_images/1640193234386440193/1Zifrb5V_normal.jpg</v>
      </c>
      <c r="AW2639" s="80" t="s">
        <v>18422</v>
      </c>
      <c r="AX2639" s="80" t="s">
        <v>20069</v>
      </c>
      <c r="AY2639" s="80" t="s">
        <v>20320</v>
      </c>
      <c r="AZ2639" s="80" t="s">
        <v>20069</v>
      </c>
      <c r="BA2639" s="80" t="s">
        <v>20380</v>
      </c>
      <c r="BB2639" s="80" t="s">
        <v>20380</v>
      </c>
      <c r="BC2639" s="80" t="s">
        <v>20069</v>
      </c>
      <c r="BD2639" s="77">
        <v>3702612315</v>
      </c>
      <c r="BE2639" s="77"/>
      <c r="BF2639" s="77"/>
      <c r="BG2639" s="77"/>
      <c r="BH2639" s="77"/>
      <c r="BI2639" s="77"/>
    </row>
    <row r="2640" spans="1:61" x14ac:dyDescent="0.25">
      <c r="A2640" s="62" t="s">
        <v>1085</v>
      </c>
      <c r="B2640" s="62" t="s">
        <v>1725</v>
      </c>
      <c r="C2640" s="63"/>
      <c r="D2640" s="64"/>
      <c r="E2640" s="65"/>
      <c r="F2640" s="66"/>
      <c r="G2640" s="63"/>
      <c r="H2640" s="67"/>
      <c r="I2640" s="68"/>
      <c r="J2640" s="68"/>
      <c r="K2640" s="32"/>
      <c r="L2640" s="75">
        <v>2640</v>
      </c>
      <c r="M2640" s="75"/>
      <c r="N2640" s="70"/>
      <c r="O2640" s="77" t="s">
        <v>2079</v>
      </c>
      <c r="P2640" s="79">
        <v>45117.878969907404</v>
      </c>
      <c r="Q2640" s="77" t="s">
        <v>4414</v>
      </c>
      <c r="R2640" s="77">
        <v>2</v>
      </c>
      <c r="S2640" s="77">
        <v>1</v>
      </c>
      <c r="T2640" s="77">
        <v>2</v>
      </c>
      <c r="U2640" s="77">
        <v>0</v>
      </c>
      <c r="V2640" s="77">
        <v>20</v>
      </c>
      <c r="W2640" s="80" t="s">
        <v>7552</v>
      </c>
      <c r="X2640" s="77"/>
      <c r="Y2640" s="77"/>
      <c r="Z2640" s="77" t="s">
        <v>8992</v>
      </c>
      <c r="AA2640" s="77"/>
      <c r="AB2640" s="77"/>
      <c r="AC2640" s="80" t="s">
        <v>10540</v>
      </c>
      <c r="AD2640" s="77" t="s">
        <v>10620</v>
      </c>
      <c r="AE2640" s="83" t="str">
        <f>HYPERLINK("https://twitter.com/mariamcardamo/status/1678510835541368832")</f>
        <v>https://twitter.com/mariamcardamo/status/1678510835541368832</v>
      </c>
      <c r="AF2640" s="79">
        <v>45117.878969907404</v>
      </c>
      <c r="AG2640" s="85">
        <v>45117</v>
      </c>
      <c r="AH2640" s="80" t="s">
        <v>12946</v>
      </c>
      <c r="AI2640" s="77"/>
      <c r="AJ2640" s="77"/>
      <c r="AK2640" s="77"/>
      <c r="AL2640" s="77"/>
      <c r="AM2640" s="77"/>
      <c r="AN2640" s="77"/>
      <c r="AO2640" s="77"/>
      <c r="AP2640" s="77"/>
      <c r="AQ2640" s="77"/>
      <c r="AR2640" s="77"/>
      <c r="AS2640" s="77"/>
      <c r="AT2640" s="77"/>
      <c r="AU2640" s="77"/>
      <c r="AV2640" s="83" t="str">
        <f>HYPERLINK("https://pbs.twimg.com/profile_images/1640193234386440193/1Zifrb5V_normal.jpg")</f>
        <v>https://pbs.twimg.com/profile_images/1640193234386440193/1Zifrb5V_normal.jpg</v>
      </c>
      <c r="AW2640" s="80" t="s">
        <v>18422</v>
      </c>
      <c r="AX2640" s="80" t="s">
        <v>20069</v>
      </c>
      <c r="AY2640" s="80" t="s">
        <v>20320</v>
      </c>
      <c r="AZ2640" s="80" t="s">
        <v>20069</v>
      </c>
      <c r="BA2640" s="80" t="s">
        <v>20380</v>
      </c>
      <c r="BB2640" s="80" t="s">
        <v>20380</v>
      </c>
      <c r="BC2640" s="80" t="s">
        <v>20069</v>
      </c>
      <c r="BD2640" s="77">
        <v>3702612315</v>
      </c>
      <c r="BE2640" s="77"/>
      <c r="BF2640" s="77"/>
      <c r="BG2640" s="77"/>
      <c r="BH2640" s="77"/>
      <c r="BI2640" s="77"/>
    </row>
    <row r="2641" spans="1:61" x14ac:dyDescent="0.25">
      <c r="A2641" s="62" t="s">
        <v>1085</v>
      </c>
      <c r="B2641" s="62" t="s">
        <v>1963</v>
      </c>
      <c r="C2641" s="63"/>
      <c r="D2641" s="64"/>
      <c r="E2641" s="65"/>
      <c r="F2641" s="66"/>
      <c r="G2641" s="63"/>
      <c r="H2641" s="67"/>
      <c r="I2641" s="68"/>
      <c r="J2641" s="68"/>
      <c r="K2641" s="32"/>
      <c r="L2641" s="75">
        <v>2641</v>
      </c>
      <c r="M2641" s="75"/>
      <c r="N2641" s="70"/>
      <c r="O2641" s="77" t="s">
        <v>2079</v>
      </c>
      <c r="P2641" s="79">
        <v>45117.878969907404</v>
      </c>
      <c r="Q2641" s="77" t="s">
        <v>4414</v>
      </c>
      <c r="R2641" s="77">
        <v>2</v>
      </c>
      <c r="S2641" s="77">
        <v>1</v>
      </c>
      <c r="T2641" s="77">
        <v>2</v>
      </c>
      <c r="U2641" s="77">
        <v>0</v>
      </c>
      <c r="V2641" s="77">
        <v>20</v>
      </c>
      <c r="W2641" s="80" t="s">
        <v>7552</v>
      </c>
      <c r="X2641" s="77"/>
      <c r="Y2641" s="77"/>
      <c r="Z2641" s="77" t="s">
        <v>8992</v>
      </c>
      <c r="AA2641" s="77"/>
      <c r="AB2641" s="77"/>
      <c r="AC2641" s="80" t="s">
        <v>10540</v>
      </c>
      <c r="AD2641" s="77" t="s">
        <v>10620</v>
      </c>
      <c r="AE2641" s="83" t="str">
        <f>HYPERLINK("https://twitter.com/mariamcardamo/status/1678510835541368832")</f>
        <v>https://twitter.com/mariamcardamo/status/1678510835541368832</v>
      </c>
      <c r="AF2641" s="79">
        <v>45117.878969907404</v>
      </c>
      <c r="AG2641" s="85">
        <v>45117</v>
      </c>
      <c r="AH2641" s="80" t="s">
        <v>12946</v>
      </c>
      <c r="AI2641" s="77"/>
      <c r="AJ2641" s="77"/>
      <c r="AK2641" s="77"/>
      <c r="AL2641" s="77"/>
      <c r="AM2641" s="77"/>
      <c r="AN2641" s="77"/>
      <c r="AO2641" s="77"/>
      <c r="AP2641" s="77"/>
      <c r="AQ2641" s="77"/>
      <c r="AR2641" s="77"/>
      <c r="AS2641" s="77"/>
      <c r="AT2641" s="77"/>
      <c r="AU2641" s="77"/>
      <c r="AV2641" s="83" t="str">
        <f>HYPERLINK("https://pbs.twimg.com/profile_images/1640193234386440193/1Zifrb5V_normal.jpg")</f>
        <v>https://pbs.twimg.com/profile_images/1640193234386440193/1Zifrb5V_normal.jpg</v>
      </c>
      <c r="AW2641" s="80" t="s">
        <v>18422</v>
      </c>
      <c r="AX2641" s="80" t="s">
        <v>20069</v>
      </c>
      <c r="AY2641" s="80" t="s">
        <v>20320</v>
      </c>
      <c r="AZ2641" s="80" t="s">
        <v>20069</v>
      </c>
      <c r="BA2641" s="80" t="s">
        <v>20380</v>
      </c>
      <c r="BB2641" s="80" t="s">
        <v>20380</v>
      </c>
      <c r="BC2641" s="80" t="s">
        <v>20069</v>
      </c>
      <c r="BD2641" s="77">
        <v>3702612315</v>
      </c>
      <c r="BE2641" s="77"/>
      <c r="BF2641" s="77"/>
      <c r="BG2641" s="77"/>
      <c r="BH2641" s="77"/>
      <c r="BI2641" s="77"/>
    </row>
    <row r="2642" spans="1:61" x14ac:dyDescent="0.25">
      <c r="A2642" s="62" t="s">
        <v>1085</v>
      </c>
      <c r="B2642" s="62" t="s">
        <v>1964</v>
      </c>
      <c r="C2642" s="63"/>
      <c r="D2642" s="64"/>
      <c r="E2642" s="65"/>
      <c r="F2642" s="66"/>
      <c r="G2642" s="63"/>
      <c r="H2642" s="67"/>
      <c r="I2642" s="68"/>
      <c r="J2642" s="68"/>
      <c r="K2642" s="32"/>
      <c r="L2642" s="75">
        <v>2642</v>
      </c>
      <c r="M2642" s="75"/>
      <c r="N2642" s="70"/>
      <c r="O2642" s="77" t="s">
        <v>2079</v>
      </c>
      <c r="P2642" s="79">
        <v>45117.878969907404</v>
      </c>
      <c r="Q2642" s="77" t="s">
        <v>4414</v>
      </c>
      <c r="R2642" s="77">
        <v>2</v>
      </c>
      <c r="S2642" s="77">
        <v>1</v>
      </c>
      <c r="T2642" s="77">
        <v>2</v>
      </c>
      <c r="U2642" s="77">
        <v>0</v>
      </c>
      <c r="V2642" s="77">
        <v>20</v>
      </c>
      <c r="W2642" s="80" t="s">
        <v>7552</v>
      </c>
      <c r="X2642" s="77"/>
      <c r="Y2642" s="77"/>
      <c r="Z2642" s="77" t="s">
        <v>8992</v>
      </c>
      <c r="AA2642" s="77"/>
      <c r="AB2642" s="77"/>
      <c r="AC2642" s="80" t="s">
        <v>10540</v>
      </c>
      <c r="AD2642" s="77" t="s">
        <v>10620</v>
      </c>
      <c r="AE2642" s="83" t="str">
        <f>HYPERLINK("https://twitter.com/mariamcardamo/status/1678510835541368832")</f>
        <v>https://twitter.com/mariamcardamo/status/1678510835541368832</v>
      </c>
      <c r="AF2642" s="79">
        <v>45117.878969907404</v>
      </c>
      <c r="AG2642" s="85">
        <v>45117</v>
      </c>
      <c r="AH2642" s="80" t="s">
        <v>12946</v>
      </c>
      <c r="AI2642" s="77"/>
      <c r="AJ2642" s="77"/>
      <c r="AK2642" s="77"/>
      <c r="AL2642" s="77"/>
      <c r="AM2642" s="77"/>
      <c r="AN2642" s="77"/>
      <c r="AO2642" s="77"/>
      <c r="AP2642" s="77"/>
      <c r="AQ2642" s="77"/>
      <c r="AR2642" s="77"/>
      <c r="AS2642" s="77"/>
      <c r="AT2642" s="77"/>
      <c r="AU2642" s="77"/>
      <c r="AV2642" s="83" t="str">
        <f>HYPERLINK("https://pbs.twimg.com/profile_images/1640193234386440193/1Zifrb5V_normal.jpg")</f>
        <v>https://pbs.twimg.com/profile_images/1640193234386440193/1Zifrb5V_normal.jpg</v>
      </c>
      <c r="AW2642" s="80" t="s">
        <v>18422</v>
      </c>
      <c r="AX2642" s="80" t="s">
        <v>20069</v>
      </c>
      <c r="AY2642" s="80" t="s">
        <v>20320</v>
      </c>
      <c r="AZ2642" s="80" t="s">
        <v>20069</v>
      </c>
      <c r="BA2642" s="80" t="s">
        <v>20380</v>
      </c>
      <c r="BB2642" s="80" t="s">
        <v>20380</v>
      </c>
      <c r="BC2642" s="80" t="s">
        <v>20069</v>
      </c>
      <c r="BD2642" s="77">
        <v>3702612315</v>
      </c>
      <c r="BE2642" s="77"/>
      <c r="BF2642" s="77"/>
      <c r="BG2642" s="77"/>
      <c r="BH2642" s="77"/>
      <c r="BI2642" s="77"/>
    </row>
    <row r="2643" spans="1:61" x14ac:dyDescent="0.25">
      <c r="A2643" s="62" t="s">
        <v>1085</v>
      </c>
      <c r="B2643" s="62" t="s">
        <v>1965</v>
      </c>
      <c r="C2643" s="63"/>
      <c r="D2643" s="64"/>
      <c r="E2643" s="65"/>
      <c r="F2643" s="66"/>
      <c r="G2643" s="63"/>
      <c r="H2643" s="67"/>
      <c r="I2643" s="68"/>
      <c r="J2643" s="68"/>
      <c r="K2643" s="32"/>
      <c r="L2643" s="75">
        <v>2643</v>
      </c>
      <c r="M2643" s="75"/>
      <c r="N2643" s="70"/>
      <c r="O2643" s="77" t="s">
        <v>2079</v>
      </c>
      <c r="P2643" s="79">
        <v>45117.878969907404</v>
      </c>
      <c r="Q2643" s="77" t="s">
        <v>4414</v>
      </c>
      <c r="R2643" s="77">
        <v>2</v>
      </c>
      <c r="S2643" s="77">
        <v>1</v>
      </c>
      <c r="T2643" s="77">
        <v>2</v>
      </c>
      <c r="U2643" s="77">
        <v>0</v>
      </c>
      <c r="V2643" s="77">
        <v>20</v>
      </c>
      <c r="W2643" s="80" t="s">
        <v>7552</v>
      </c>
      <c r="X2643" s="77"/>
      <c r="Y2643" s="77"/>
      <c r="Z2643" s="77" t="s">
        <v>8992</v>
      </c>
      <c r="AA2643" s="77"/>
      <c r="AB2643" s="77"/>
      <c r="AC2643" s="80" t="s">
        <v>10540</v>
      </c>
      <c r="AD2643" s="77" t="s">
        <v>10620</v>
      </c>
      <c r="AE2643" s="83" t="str">
        <f>HYPERLINK("https://twitter.com/mariamcardamo/status/1678510835541368832")</f>
        <v>https://twitter.com/mariamcardamo/status/1678510835541368832</v>
      </c>
      <c r="AF2643" s="79">
        <v>45117.878969907404</v>
      </c>
      <c r="AG2643" s="85">
        <v>45117</v>
      </c>
      <c r="AH2643" s="80" t="s">
        <v>12946</v>
      </c>
      <c r="AI2643" s="77"/>
      <c r="AJ2643" s="77"/>
      <c r="AK2643" s="77"/>
      <c r="AL2643" s="77"/>
      <c r="AM2643" s="77"/>
      <c r="AN2643" s="77"/>
      <c r="AO2643" s="77"/>
      <c r="AP2643" s="77"/>
      <c r="AQ2643" s="77"/>
      <c r="AR2643" s="77"/>
      <c r="AS2643" s="77"/>
      <c r="AT2643" s="77"/>
      <c r="AU2643" s="77"/>
      <c r="AV2643" s="83" t="str">
        <f>HYPERLINK("https://pbs.twimg.com/profile_images/1640193234386440193/1Zifrb5V_normal.jpg")</f>
        <v>https://pbs.twimg.com/profile_images/1640193234386440193/1Zifrb5V_normal.jpg</v>
      </c>
      <c r="AW2643" s="80" t="s">
        <v>18422</v>
      </c>
      <c r="AX2643" s="80" t="s">
        <v>20069</v>
      </c>
      <c r="AY2643" s="80" t="s">
        <v>20320</v>
      </c>
      <c r="AZ2643" s="80" t="s">
        <v>20069</v>
      </c>
      <c r="BA2643" s="80" t="s">
        <v>20380</v>
      </c>
      <c r="BB2643" s="80" t="s">
        <v>20380</v>
      </c>
      <c r="BC2643" s="80" t="s">
        <v>20069</v>
      </c>
      <c r="BD2643" s="77">
        <v>3702612315</v>
      </c>
      <c r="BE2643" s="77"/>
      <c r="BF2643" s="77"/>
      <c r="BG2643" s="77"/>
      <c r="BH2643" s="77"/>
      <c r="BI2643" s="77"/>
    </row>
    <row r="2644" spans="1:61" x14ac:dyDescent="0.25">
      <c r="A2644" s="62" t="s">
        <v>1085</v>
      </c>
      <c r="B2644" s="62" t="s">
        <v>1966</v>
      </c>
      <c r="C2644" s="63"/>
      <c r="D2644" s="64"/>
      <c r="E2644" s="65"/>
      <c r="F2644" s="66"/>
      <c r="G2644" s="63"/>
      <c r="H2644" s="67"/>
      <c r="I2644" s="68"/>
      <c r="J2644" s="68"/>
      <c r="K2644" s="32"/>
      <c r="L2644" s="75">
        <v>2644</v>
      </c>
      <c r="M2644" s="75"/>
      <c r="N2644" s="70"/>
      <c r="O2644" s="77" t="s">
        <v>2079</v>
      </c>
      <c r="P2644" s="79">
        <v>45117.878969907404</v>
      </c>
      <c r="Q2644" s="77" t="s">
        <v>4414</v>
      </c>
      <c r="R2644" s="77">
        <v>2</v>
      </c>
      <c r="S2644" s="77">
        <v>1</v>
      </c>
      <c r="T2644" s="77">
        <v>2</v>
      </c>
      <c r="U2644" s="77">
        <v>0</v>
      </c>
      <c r="V2644" s="77">
        <v>20</v>
      </c>
      <c r="W2644" s="80" t="s">
        <v>7552</v>
      </c>
      <c r="X2644" s="77"/>
      <c r="Y2644" s="77"/>
      <c r="Z2644" s="77" t="s">
        <v>8992</v>
      </c>
      <c r="AA2644" s="77"/>
      <c r="AB2644" s="77"/>
      <c r="AC2644" s="80" t="s">
        <v>10540</v>
      </c>
      <c r="AD2644" s="77" t="s">
        <v>10620</v>
      </c>
      <c r="AE2644" s="83" t="str">
        <f>HYPERLINK("https://twitter.com/mariamcardamo/status/1678510835541368832")</f>
        <v>https://twitter.com/mariamcardamo/status/1678510835541368832</v>
      </c>
      <c r="AF2644" s="79">
        <v>45117.878969907404</v>
      </c>
      <c r="AG2644" s="85">
        <v>45117</v>
      </c>
      <c r="AH2644" s="80" t="s">
        <v>12946</v>
      </c>
      <c r="AI2644" s="77"/>
      <c r="AJ2644" s="77"/>
      <c r="AK2644" s="77"/>
      <c r="AL2644" s="77"/>
      <c r="AM2644" s="77"/>
      <c r="AN2644" s="77"/>
      <c r="AO2644" s="77"/>
      <c r="AP2644" s="77"/>
      <c r="AQ2644" s="77"/>
      <c r="AR2644" s="77"/>
      <c r="AS2644" s="77"/>
      <c r="AT2644" s="77"/>
      <c r="AU2644" s="77"/>
      <c r="AV2644" s="83" t="str">
        <f>HYPERLINK("https://pbs.twimg.com/profile_images/1640193234386440193/1Zifrb5V_normal.jpg")</f>
        <v>https://pbs.twimg.com/profile_images/1640193234386440193/1Zifrb5V_normal.jpg</v>
      </c>
      <c r="AW2644" s="80" t="s">
        <v>18422</v>
      </c>
      <c r="AX2644" s="80" t="s">
        <v>20069</v>
      </c>
      <c r="AY2644" s="80" t="s">
        <v>20320</v>
      </c>
      <c r="AZ2644" s="80" t="s">
        <v>20069</v>
      </c>
      <c r="BA2644" s="80" t="s">
        <v>20380</v>
      </c>
      <c r="BB2644" s="80" t="s">
        <v>20380</v>
      </c>
      <c r="BC2644" s="80" t="s">
        <v>20069</v>
      </c>
      <c r="BD2644" s="77">
        <v>3702612315</v>
      </c>
      <c r="BE2644" s="77"/>
      <c r="BF2644" s="77"/>
      <c r="BG2644" s="77"/>
      <c r="BH2644" s="77"/>
      <c r="BI2644" s="77"/>
    </row>
    <row r="2645" spans="1:61" x14ac:dyDescent="0.25">
      <c r="A2645" s="62" t="s">
        <v>1085</v>
      </c>
      <c r="B2645" s="62" t="s">
        <v>1967</v>
      </c>
      <c r="C2645" s="63"/>
      <c r="D2645" s="64"/>
      <c r="E2645" s="65"/>
      <c r="F2645" s="66"/>
      <c r="G2645" s="63"/>
      <c r="H2645" s="67"/>
      <c r="I2645" s="68"/>
      <c r="J2645" s="68"/>
      <c r="K2645" s="32"/>
      <c r="L2645" s="75">
        <v>2645</v>
      </c>
      <c r="M2645" s="75"/>
      <c r="N2645" s="70"/>
      <c r="O2645" s="77" t="s">
        <v>2079</v>
      </c>
      <c r="P2645" s="79">
        <v>45117.878969907404</v>
      </c>
      <c r="Q2645" s="77" t="s">
        <v>4414</v>
      </c>
      <c r="R2645" s="77">
        <v>2</v>
      </c>
      <c r="S2645" s="77">
        <v>1</v>
      </c>
      <c r="T2645" s="77">
        <v>2</v>
      </c>
      <c r="U2645" s="77">
        <v>0</v>
      </c>
      <c r="V2645" s="77">
        <v>20</v>
      </c>
      <c r="W2645" s="80" t="s">
        <v>7552</v>
      </c>
      <c r="X2645" s="77"/>
      <c r="Y2645" s="77"/>
      <c r="Z2645" s="77" t="s">
        <v>8992</v>
      </c>
      <c r="AA2645" s="77"/>
      <c r="AB2645" s="77"/>
      <c r="AC2645" s="80" t="s">
        <v>10540</v>
      </c>
      <c r="AD2645" s="77" t="s">
        <v>10620</v>
      </c>
      <c r="AE2645" s="83" t="str">
        <f>HYPERLINK("https://twitter.com/mariamcardamo/status/1678510835541368832")</f>
        <v>https://twitter.com/mariamcardamo/status/1678510835541368832</v>
      </c>
      <c r="AF2645" s="79">
        <v>45117.878969907404</v>
      </c>
      <c r="AG2645" s="85">
        <v>45117</v>
      </c>
      <c r="AH2645" s="80" t="s">
        <v>12946</v>
      </c>
      <c r="AI2645" s="77"/>
      <c r="AJ2645" s="77"/>
      <c r="AK2645" s="77"/>
      <c r="AL2645" s="77"/>
      <c r="AM2645" s="77"/>
      <c r="AN2645" s="77"/>
      <c r="AO2645" s="77"/>
      <c r="AP2645" s="77"/>
      <c r="AQ2645" s="77"/>
      <c r="AR2645" s="77"/>
      <c r="AS2645" s="77"/>
      <c r="AT2645" s="77"/>
      <c r="AU2645" s="77"/>
      <c r="AV2645" s="83" t="str">
        <f>HYPERLINK("https://pbs.twimg.com/profile_images/1640193234386440193/1Zifrb5V_normal.jpg")</f>
        <v>https://pbs.twimg.com/profile_images/1640193234386440193/1Zifrb5V_normal.jpg</v>
      </c>
      <c r="AW2645" s="80" t="s">
        <v>18422</v>
      </c>
      <c r="AX2645" s="80" t="s">
        <v>20069</v>
      </c>
      <c r="AY2645" s="80" t="s">
        <v>20320</v>
      </c>
      <c r="AZ2645" s="80" t="s">
        <v>20069</v>
      </c>
      <c r="BA2645" s="80" t="s">
        <v>20380</v>
      </c>
      <c r="BB2645" s="80" t="s">
        <v>20380</v>
      </c>
      <c r="BC2645" s="80" t="s">
        <v>20069</v>
      </c>
      <c r="BD2645" s="77">
        <v>3702612315</v>
      </c>
      <c r="BE2645" s="77"/>
      <c r="BF2645" s="77"/>
      <c r="BG2645" s="77"/>
      <c r="BH2645" s="77"/>
      <c r="BI2645" s="77"/>
    </row>
    <row r="2646" spans="1:61" x14ac:dyDescent="0.25">
      <c r="A2646" s="62" t="s">
        <v>1085</v>
      </c>
      <c r="B2646" s="62" t="s">
        <v>1968</v>
      </c>
      <c r="C2646" s="63"/>
      <c r="D2646" s="64"/>
      <c r="E2646" s="65"/>
      <c r="F2646" s="66"/>
      <c r="G2646" s="63"/>
      <c r="H2646" s="67"/>
      <c r="I2646" s="68"/>
      <c r="J2646" s="68"/>
      <c r="K2646" s="32"/>
      <c r="L2646" s="75">
        <v>2646</v>
      </c>
      <c r="M2646" s="75"/>
      <c r="N2646" s="70"/>
      <c r="O2646" s="77" t="s">
        <v>2078</v>
      </c>
      <c r="P2646" s="79">
        <v>45117.878969907404</v>
      </c>
      <c r="Q2646" s="77" t="s">
        <v>4414</v>
      </c>
      <c r="R2646" s="77">
        <v>2</v>
      </c>
      <c r="S2646" s="77">
        <v>1</v>
      </c>
      <c r="T2646" s="77">
        <v>2</v>
      </c>
      <c r="U2646" s="77">
        <v>0</v>
      </c>
      <c r="V2646" s="77">
        <v>20</v>
      </c>
      <c r="W2646" s="80" t="s">
        <v>7552</v>
      </c>
      <c r="X2646" s="77"/>
      <c r="Y2646" s="77"/>
      <c r="Z2646" s="77" t="s">
        <v>8992</v>
      </c>
      <c r="AA2646" s="77"/>
      <c r="AB2646" s="77"/>
      <c r="AC2646" s="80" t="s">
        <v>10540</v>
      </c>
      <c r="AD2646" s="77" t="s">
        <v>10620</v>
      </c>
      <c r="AE2646" s="83" t="str">
        <f>HYPERLINK("https://twitter.com/mariamcardamo/status/1678510835541368832")</f>
        <v>https://twitter.com/mariamcardamo/status/1678510835541368832</v>
      </c>
      <c r="AF2646" s="79">
        <v>45117.878969907404</v>
      </c>
      <c r="AG2646" s="85">
        <v>45117</v>
      </c>
      <c r="AH2646" s="80" t="s">
        <v>12946</v>
      </c>
      <c r="AI2646" s="77"/>
      <c r="AJ2646" s="77"/>
      <c r="AK2646" s="77"/>
      <c r="AL2646" s="77"/>
      <c r="AM2646" s="77"/>
      <c r="AN2646" s="77"/>
      <c r="AO2646" s="77"/>
      <c r="AP2646" s="77"/>
      <c r="AQ2646" s="77"/>
      <c r="AR2646" s="77"/>
      <c r="AS2646" s="77"/>
      <c r="AT2646" s="77"/>
      <c r="AU2646" s="77"/>
      <c r="AV2646" s="83" t="str">
        <f>HYPERLINK("https://pbs.twimg.com/profile_images/1640193234386440193/1Zifrb5V_normal.jpg")</f>
        <v>https://pbs.twimg.com/profile_images/1640193234386440193/1Zifrb5V_normal.jpg</v>
      </c>
      <c r="AW2646" s="80" t="s">
        <v>18422</v>
      </c>
      <c r="AX2646" s="80" t="s">
        <v>20069</v>
      </c>
      <c r="AY2646" s="80" t="s">
        <v>20320</v>
      </c>
      <c r="AZ2646" s="80" t="s">
        <v>20069</v>
      </c>
      <c r="BA2646" s="80" t="s">
        <v>20380</v>
      </c>
      <c r="BB2646" s="80" t="s">
        <v>20380</v>
      </c>
      <c r="BC2646" s="80" t="s">
        <v>20069</v>
      </c>
      <c r="BD2646" s="77">
        <v>3702612315</v>
      </c>
      <c r="BE2646" s="77"/>
      <c r="BF2646" s="77"/>
      <c r="BG2646" s="77"/>
      <c r="BH2646" s="77"/>
      <c r="BI2646" s="77"/>
    </row>
    <row r="2647" spans="1:61" x14ac:dyDescent="0.25">
      <c r="A2647" s="62" t="s">
        <v>1085</v>
      </c>
      <c r="B2647" s="62" t="s">
        <v>1901</v>
      </c>
      <c r="C2647" s="63"/>
      <c r="D2647" s="64"/>
      <c r="E2647" s="65"/>
      <c r="F2647" s="66"/>
      <c r="G2647" s="63"/>
      <c r="H2647" s="67"/>
      <c r="I2647" s="68"/>
      <c r="J2647" s="68"/>
      <c r="K2647" s="32"/>
      <c r="L2647" s="75">
        <v>2647</v>
      </c>
      <c r="M2647" s="75"/>
      <c r="N2647" s="70"/>
      <c r="O2647" s="77" t="s">
        <v>2079</v>
      </c>
      <c r="P2647" s="79">
        <v>45117.878969907404</v>
      </c>
      <c r="Q2647" s="77" t="s">
        <v>4414</v>
      </c>
      <c r="R2647" s="77">
        <v>2</v>
      </c>
      <c r="S2647" s="77">
        <v>1</v>
      </c>
      <c r="T2647" s="77">
        <v>2</v>
      </c>
      <c r="U2647" s="77">
        <v>0</v>
      </c>
      <c r="V2647" s="77">
        <v>20</v>
      </c>
      <c r="W2647" s="80" t="s">
        <v>7552</v>
      </c>
      <c r="X2647" s="77"/>
      <c r="Y2647" s="77"/>
      <c r="Z2647" s="77" t="s">
        <v>8992</v>
      </c>
      <c r="AA2647" s="77"/>
      <c r="AB2647" s="77"/>
      <c r="AC2647" s="80" t="s">
        <v>10540</v>
      </c>
      <c r="AD2647" s="77" t="s">
        <v>10620</v>
      </c>
      <c r="AE2647" s="83" t="str">
        <f>HYPERLINK("https://twitter.com/mariamcardamo/status/1678510835541368832")</f>
        <v>https://twitter.com/mariamcardamo/status/1678510835541368832</v>
      </c>
      <c r="AF2647" s="79">
        <v>45117.878969907404</v>
      </c>
      <c r="AG2647" s="85">
        <v>45117</v>
      </c>
      <c r="AH2647" s="80" t="s">
        <v>12946</v>
      </c>
      <c r="AI2647" s="77"/>
      <c r="AJ2647" s="77"/>
      <c r="AK2647" s="77"/>
      <c r="AL2647" s="77"/>
      <c r="AM2647" s="77"/>
      <c r="AN2647" s="77"/>
      <c r="AO2647" s="77"/>
      <c r="AP2647" s="77"/>
      <c r="AQ2647" s="77"/>
      <c r="AR2647" s="77"/>
      <c r="AS2647" s="77"/>
      <c r="AT2647" s="77"/>
      <c r="AU2647" s="77"/>
      <c r="AV2647" s="83" t="str">
        <f>HYPERLINK("https://pbs.twimg.com/profile_images/1640193234386440193/1Zifrb5V_normal.jpg")</f>
        <v>https://pbs.twimg.com/profile_images/1640193234386440193/1Zifrb5V_normal.jpg</v>
      </c>
      <c r="AW2647" s="80" t="s">
        <v>18422</v>
      </c>
      <c r="AX2647" s="80" t="s">
        <v>20069</v>
      </c>
      <c r="AY2647" s="80" t="s">
        <v>20320</v>
      </c>
      <c r="AZ2647" s="80" t="s">
        <v>20069</v>
      </c>
      <c r="BA2647" s="80" t="s">
        <v>20380</v>
      </c>
      <c r="BB2647" s="80" t="s">
        <v>20380</v>
      </c>
      <c r="BC2647" s="80" t="s">
        <v>20069</v>
      </c>
      <c r="BD2647" s="77">
        <v>3702612315</v>
      </c>
      <c r="BE2647" s="77"/>
      <c r="BF2647" s="77"/>
      <c r="BG2647" s="77"/>
      <c r="BH2647" s="77"/>
      <c r="BI2647" s="77"/>
    </row>
    <row r="2648" spans="1:61" x14ac:dyDescent="0.25">
      <c r="A2648" s="62" t="s">
        <v>1086</v>
      </c>
      <c r="B2648" s="62" t="s">
        <v>1086</v>
      </c>
      <c r="C2648" s="63"/>
      <c r="D2648" s="64"/>
      <c r="E2648" s="65"/>
      <c r="F2648" s="66"/>
      <c r="G2648" s="63"/>
      <c r="H2648" s="67"/>
      <c r="I2648" s="68"/>
      <c r="J2648" s="68"/>
      <c r="K2648" s="32"/>
      <c r="L2648" s="75">
        <v>2648</v>
      </c>
      <c r="M2648" s="75"/>
      <c r="N2648" s="70"/>
      <c r="O2648" s="77" t="s">
        <v>179</v>
      </c>
      <c r="P2648" s="79">
        <v>45093.857997685183</v>
      </c>
      <c r="Q2648" s="77" t="s">
        <v>4415</v>
      </c>
      <c r="R2648" s="77">
        <v>5</v>
      </c>
      <c r="S2648" s="77">
        <v>13</v>
      </c>
      <c r="T2648" s="77">
        <v>0</v>
      </c>
      <c r="U2648" s="77">
        <v>0</v>
      </c>
      <c r="V2648" s="77">
        <v>1582</v>
      </c>
      <c r="W2648" s="80" t="s">
        <v>7553</v>
      </c>
      <c r="X2648" s="83" t="str">
        <f>HYPERLINK("https://bit.ly/444XRrm")</f>
        <v>https://bit.ly/444XRrm</v>
      </c>
      <c r="Y2648" s="77" t="s">
        <v>8618</v>
      </c>
      <c r="Z2648" s="77"/>
      <c r="AA2648" s="77"/>
      <c r="AB2648" s="77"/>
      <c r="AC2648" s="80" t="s">
        <v>10596</v>
      </c>
      <c r="AD2648" s="77" t="s">
        <v>10620</v>
      </c>
      <c r="AE2648" s="83" t="str">
        <f>HYPERLINK("https://twitter.com/telenoticiasrd/status/1669805929989021696")</f>
        <v>https://twitter.com/telenoticiasrd/status/1669805929989021696</v>
      </c>
      <c r="AF2648" s="79">
        <v>45093.857997685183</v>
      </c>
      <c r="AG2648" s="85">
        <v>45093</v>
      </c>
      <c r="AH2648" s="80" t="s">
        <v>12947</v>
      </c>
      <c r="AI2648" s="77" t="b">
        <v>0</v>
      </c>
      <c r="AJ2648" s="77"/>
      <c r="AK2648" s="77"/>
      <c r="AL2648" s="77"/>
      <c r="AM2648" s="77"/>
      <c r="AN2648" s="77"/>
      <c r="AO2648" s="77"/>
      <c r="AP2648" s="77"/>
      <c r="AQ2648" s="77"/>
      <c r="AR2648" s="77"/>
      <c r="AS2648" s="77"/>
      <c r="AT2648" s="77"/>
      <c r="AU2648" s="77"/>
      <c r="AV2648" s="83" t="str">
        <f>HYPERLINK("https://pbs.twimg.com/profile_images/1633919342814412807/35sdQJcV_normal.jpg")</f>
        <v>https://pbs.twimg.com/profile_images/1633919342814412807/35sdQJcV_normal.jpg</v>
      </c>
      <c r="AW2648" s="80" t="s">
        <v>18423</v>
      </c>
      <c r="AX2648" s="80" t="s">
        <v>18423</v>
      </c>
      <c r="AY2648" s="77"/>
      <c r="AZ2648" s="80" t="s">
        <v>20380</v>
      </c>
      <c r="BA2648" s="80" t="s">
        <v>20380</v>
      </c>
      <c r="BB2648" s="80" t="s">
        <v>20380</v>
      </c>
      <c r="BC2648" s="80" t="s">
        <v>18423</v>
      </c>
      <c r="BD2648" s="77">
        <v>54045693</v>
      </c>
      <c r="BE2648" s="77"/>
      <c r="BF2648" s="77"/>
      <c r="BG2648" s="77"/>
      <c r="BH2648" s="77"/>
      <c r="BI2648" s="77"/>
    </row>
    <row r="2649" spans="1:61" x14ac:dyDescent="0.25">
      <c r="A2649" s="62" t="s">
        <v>1086</v>
      </c>
      <c r="B2649" s="62" t="s">
        <v>1086</v>
      </c>
      <c r="C2649" s="63"/>
      <c r="D2649" s="64"/>
      <c r="E2649" s="65"/>
      <c r="F2649" s="66"/>
      <c r="G2649" s="63"/>
      <c r="H2649" s="67"/>
      <c r="I2649" s="68"/>
      <c r="J2649" s="68"/>
      <c r="K2649" s="32"/>
      <c r="L2649" s="75">
        <v>2649</v>
      </c>
      <c r="M2649" s="75"/>
      <c r="N2649" s="70"/>
      <c r="O2649" s="77" t="s">
        <v>179</v>
      </c>
      <c r="P2649" s="79">
        <v>45127.79959490741</v>
      </c>
      <c r="Q2649" s="77" t="s">
        <v>4416</v>
      </c>
      <c r="R2649" s="77">
        <v>5</v>
      </c>
      <c r="S2649" s="77">
        <v>9</v>
      </c>
      <c r="T2649" s="77">
        <v>4</v>
      </c>
      <c r="U2649" s="77">
        <v>0</v>
      </c>
      <c r="V2649" s="77">
        <v>3132</v>
      </c>
      <c r="W2649" s="80" t="s">
        <v>7554</v>
      </c>
      <c r="X2649" s="83" t="str">
        <f>HYPERLINK("https://bit.ly/44A8Zgm")</f>
        <v>https://bit.ly/44A8Zgm</v>
      </c>
      <c r="Y2649" s="77" t="s">
        <v>8618</v>
      </c>
      <c r="Z2649" s="77"/>
      <c r="AA2649" s="77"/>
      <c r="AB2649" s="77"/>
      <c r="AC2649" s="80" t="s">
        <v>10596</v>
      </c>
      <c r="AD2649" s="77" t="s">
        <v>10620</v>
      </c>
      <c r="AE2649" s="83" t="str">
        <f>HYPERLINK("https://twitter.com/telenoticiasrd/status/1682105950738472965")</f>
        <v>https://twitter.com/telenoticiasrd/status/1682105950738472965</v>
      </c>
      <c r="AF2649" s="79">
        <v>45127.79959490741</v>
      </c>
      <c r="AG2649" s="85">
        <v>45127</v>
      </c>
      <c r="AH2649" s="80" t="s">
        <v>12948</v>
      </c>
      <c r="AI2649" s="77" t="b">
        <v>0</v>
      </c>
      <c r="AJ2649" s="77"/>
      <c r="AK2649" s="77"/>
      <c r="AL2649" s="77"/>
      <c r="AM2649" s="77"/>
      <c r="AN2649" s="77"/>
      <c r="AO2649" s="77"/>
      <c r="AP2649" s="77"/>
      <c r="AQ2649" s="77"/>
      <c r="AR2649" s="77"/>
      <c r="AS2649" s="77"/>
      <c r="AT2649" s="77"/>
      <c r="AU2649" s="77"/>
      <c r="AV2649" s="83" t="str">
        <f>HYPERLINK("https://pbs.twimg.com/profile_images/1633919342814412807/35sdQJcV_normal.jpg")</f>
        <v>https://pbs.twimg.com/profile_images/1633919342814412807/35sdQJcV_normal.jpg</v>
      </c>
      <c r="AW2649" s="80" t="s">
        <v>18424</v>
      </c>
      <c r="AX2649" s="80" t="s">
        <v>18424</v>
      </c>
      <c r="AY2649" s="77"/>
      <c r="AZ2649" s="80" t="s">
        <v>20380</v>
      </c>
      <c r="BA2649" s="80" t="s">
        <v>20380</v>
      </c>
      <c r="BB2649" s="80" t="s">
        <v>20380</v>
      </c>
      <c r="BC2649" s="80" t="s">
        <v>18424</v>
      </c>
      <c r="BD2649" s="77">
        <v>54045693</v>
      </c>
      <c r="BE2649" s="77"/>
      <c r="BF2649" s="77"/>
      <c r="BG2649" s="77"/>
      <c r="BH2649" s="77"/>
      <c r="BI2649" s="77"/>
    </row>
    <row r="2650" spans="1:61" x14ac:dyDescent="0.25">
      <c r="A2650" s="62" t="s">
        <v>1086</v>
      </c>
      <c r="B2650" s="62" t="s">
        <v>1086</v>
      </c>
      <c r="C2650" s="63"/>
      <c r="D2650" s="64"/>
      <c r="E2650" s="65"/>
      <c r="F2650" s="66"/>
      <c r="G2650" s="63"/>
      <c r="H2650" s="67"/>
      <c r="I2650" s="68"/>
      <c r="J2650" s="68"/>
      <c r="K2650" s="32"/>
      <c r="L2650" s="75">
        <v>2650</v>
      </c>
      <c r="M2650" s="75"/>
      <c r="N2650" s="70"/>
      <c r="O2650" s="77" t="s">
        <v>179</v>
      </c>
      <c r="P2650" s="79">
        <v>45176.026493055557</v>
      </c>
      <c r="Q2650" s="77" t="s">
        <v>4417</v>
      </c>
      <c r="R2650" s="77">
        <v>0</v>
      </c>
      <c r="S2650" s="77">
        <v>0</v>
      </c>
      <c r="T2650" s="77">
        <v>0</v>
      </c>
      <c r="U2650" s="77">
        <v>0</v>
      </c>
      <c r="V2650" s="77">
        <v>986</v>
      </c>
      <c r="W2650" s="80" t="s">
        <v>7555</v>
      </c>
      <c r="X2650" s="83" t="str">
        <f>HYPERLINK("https://bit.ly/3P8chRx")</f>
        <v>https://bit.ly/3P8chRx</v>
      </c>
      <c r="Y2650" s="77" t="s">
        <v>8618</v>
      </c>
      <c r="Z2650" s="77"/>
      <c r="AA2650" s="77"/>
      <c r="AB2650" s="77"/>
      <c r="AC2650" s="80" t="s">
        <v>10596</v>
      </c>
      <c r="AD2650" s="77" t="s">
        <v>10620</v>
      </c>
      <c r="AE2650" s="83" t="str">
        <f>HYPERLINK("https://twitter.com/telenoticiasrd/status/1699582795859841218")</f>
        <v>https://twitter.com/telenoticiasrd/status/1699582795859841218</v>
      </c>
      <c r="AF2650" s="79">
        <v>45176.026493055557</v>
      </c>
      <c r="AG2650" s="85">
        <v>45176</v>
      </c>
      <c r="AH2650" s="80" t="s">
        <v>12949</v>
      </c>
      <c r="AI2650" s="77" t="b">
        <v>0</v>
      </c>
      <c r="AJ2650" s="77"/>
      <c r="AK2650" s="77"/>
      <c r="AL2650" s="77"/>
      <c r="AM2650" s="77"/>
      <c r="AN2650" s="77"/>
      <c r="AO2650" s="77"/>
      <c r="AP2650" s="77"/>
      <c r="AQ2650" s="77"/>
      <c r="AR2650" s="77"/>
      <c r="AS2650" s="77"/>
      <c r="AT2650" s="77"/>
      <c r="AU2650" s="77"/>
      <c r="AV2650" s="83" t="str">
        <f>HYPERLINK("https://pbs.twimg.com/profile_images/1633919342814412807/35sdQJcV_normal.jpg")</f>
        <v>https://pbs.twimg.com/profile_images/1633919342814412807/35sdQJcV_normal.jpg</v>
      </c>
      <c r="AW2650" s="80" t="s">
        <v>18425</v>
      </c>
      <c r="AX2650" s="80" t="s">
        <v>18425</v>
      </c>
      <c r="AY2650" s="77"/>
      <c r="AZ2650" s="80" t="s">
        <v>20380</v>
      </c>
      <c r="BA2650" s="80" t="s">
        <v>20380</v>
      </c>
      <c r="BB2650" s="80" t="s">
        <v>20380</v>
      </c>
      <c r="BC2650" s="80" t="s">
        <v>18425</v>
      </c>
      <c r="BD2650" s="77">
        <v>54045693</v>
      </c>
      <c r="BE2650" s="77"/>
      <c r="BF2650" s="77"/>
      <c r="BG2650" s="77"/>
      <c r="BH2650" s="77"/>
      <c r="BI2650" s="77"/>
    </row>
    <row r="2651" spans="1:61" x14ac:dyDescent="0.25">
      <c r="A2651" s="62" t="s">
        <v>1087</v>
      </c>
      <c r="B2651" s="62" t="s">
        <v>1681</v>
      </c>
      <c r="C2651" s="63"/>
      <c r="D2651" s="64"/>
      <c r="E2651" s="65"/>
      <c r="F2651" s="66"/>
      <c r="G2651" s="63"/>
      <c r="H2651" s="67"/>
      <c r="I2651" s="68"/>
      <c r="J2651" s="68"/>
      <c r="K2651" s="32"/>
      <c r="L2651" s="75">
        <v>2651</v>
      </c>
      <c r="M2651" s="75"/>
      <c r="N2651" s="70"/>
      <c r="O2651" s="77" t="s">
        <v>2083</v>
      </c>
      <c r="P2651" s="79">
        <v>45189.8596875</v>
      </c>
      <c r="Q2651" s="77" t="s">
        <v>2237</v>
      </c>
      <c r="R2651" s="77">
        <v>18</v>
      </c>
      <c r="S2651" s="77">
        <v>0</v>
      </c>
      <c r="T2651" s="77">
        <v>0</v>
      </c>
      <c r="U2651" s="77">
        <v>0</v>
      </c>
      <c r="V2651" s="77"/>
      <c r="W2651" s="80" t="s">
        <v>6018</v>
      </c>
      <c r="X2651" s="77"/>
      <c r="Y2651" s="77"/>
      <c r="Z2651" s="77" t="s">
        <v>1681</v>
      </c>
      <c r="AA2651" s="77"/>
      <c r="AB2651" s="77"/>
      <c r="AC2651" s="80" t="s">
        <v>10541</v>
      </c>
      <c r="AD2651" s="77" t="s">
        <v>10617</v>
      </c>
      <c r="AE2651" s="83" t="str">
        <f>HYPERLINK("https://twitter.com/audueriz/status/1704595777035587739")</f>
        <v>https://twitter.com/audueriz/status/1704595777035587739</v>
      </c>
      <c r="AF2651" s="79">
        <v>45189.8596875</v>
      </c>
      <c r="AG2651" s="85">
        <v>45189</v>
      </c>
      <c r="AH2651" s="80" t="s">
        <v>12950</v>
      </c>
      <c r="AI2651" s="77"/>
      <c r="AJ2651" s="77"/>
      <c r="AK2651" s="77"/>
      <c r="AL2651" s="77"/>
      <c r="AM2651" s="77"/>
      <c r="AN2651" s="77"/>
      <c r="AO2651" s="77"/>
      <c r="AP2651" s="77"/>
      <c r="AQ2651" s="77"/>
      <c r="AR2651" s="77"/>
      <c r="AS2651" s="77"/>
      <c r="AT2651" s="77"/>
      <c r="AU2651" s="77"/>
      <c r="AV2651" s="83" t="str">
        <f>HYPERLINK("https://pbs.twimg.com/profile_images/880221784414486529/0amDs1ea_normal.jpg")</f>
        <v>https://pbs.twimg.com/profile_images/880221784414486529/0amDs1ea_normal.jpg</v>
      </c>
      <c r="AW2651" s="80" t="s">
        <v>18426</v>
      </c>
      <c r="AX2651" s="80" t="s">
        <v>18426</v>
      </c>
      <c r="AY2651" s="77"/>
      <c r="AZ2651" s="80" t="s">
        <v>20380</v>
      </c>
      <c r="BA2651" s="80" t="s">
        <v>20380</v>
      </c>
      <c r="BB2651" s="80" t="s">
        <v>19932</v>
      </c>
      <c r="BC2651" s="80" t="s">
        <v>19932</v>
      </c>
      <c r="BD2651" s="77">
        <v>43145613</v>
      </c>
      <c r="BE2651" s="77"/>
      <c r="BF2651" s="77"/>
      <c r="BG2651" s="77"/>
      <c r="BH2651" s="77"/>
      <c r="BI2651" s="77"/>
    </row>
    <row r="2652" spans="1:61" x14ac:dyDescent="0.25">
      <c r="A2652" s="62" t="s">
        <v>1088</v>
      </c>
      <c r="B2652" s="62" t="s">
        <v>1088</v>
      </c>
      <c r="C2652" s="63"/>
      <c r="D2652" s="64"/>
      <c r="E2652" s="65"/>
      <c r="F2652" s="66"/>
      <c r="G2652" s="63"/>
      <c r="H2652" s="67"/>
      <c r="I2652" s="68"/>
      <c r="J2652" s="68"/>
      <c r="K2652" s="32"/>
      <c r="L2652" s="75">
        <v>2652</v>
      </c>
      <c r="M2652" s="75"/>
      <c r="N2652" s="70"/>
      <c r="O2652" s="77" t="s">
        <v>179</v>
      </c>
      <c r="P2652" s="79">
        <v>45054.860914351855</v>
      </c>
      <c r="Q2652" s="77" t="s">
        <v>4418</v>
      </c>
      <c r="R2652" s="77">
        <v>0</v>
      </c>
      <c r="S2652" s="77">
        <v>0</v>
      </c>
      <c r="T2652" s="77">
        <v>0</v>
      </c>
      <c r="U2652" s="77">
        <v>0</v>
      </c>
      <c r="V2652" s="77">
        <v>5</v>
      </c>
      <c r="W2652" s="80" t="s">
        <v>7556</v>
      </c>
      <c r="X2652" s="77"/>
      <c r="Y2652" s="77"/>
      <c r="Z2652" s="77"/>
      <c r="AA2652" s="77"/>
      <c r="AB2652" s="77"/>
      <c r="AC2652" s="80" t="s">
        <v>10540</v>
      </c>
      <c r="AD2652" s="77" t="s">
        <v>10617</v>
      </c>
      <c r="AE2652" s="83" t="str">
        <f>HYPERLINK("https://twitter.com/nascimentoferre/status/1655673859759022080")</f>
        <v>https://twitter.com/nascimentoferre/status/1655673859759022080</v>
      </c>
      <c r="AF2652" s="79">
        <v>45054.860914351855</v>
      </c>
      <c r="AG2652" s="85">
        <v>45054</v>
      </c>
      <c r="AH2652" s="80" t="s">
        <v>12951</v>
      </c>
      <c r="AI2652" s="77"/>
      <c r="AJ2652" s="77"/>
      <c r="AK2652" s="77"/>
      <c r="AL2652" s="77"/>
      <c r="AM2652" s="77"/>
      <c r="AN2652" s="77"/>
      <c r="AO2652" s="77"/>
      <c r="AP2652" s="77"/>
      <c r="AQ2652" s="77"/>
      <c r="AR2652" s="77"/>
      <c r="AS2652" s="77"/>
      <c r="AT2652" s="77"/>
      <c r="AU2652" s="77"/>
      <c r="AV2652" s="83" t="str">
        <f>HYPERLINK("https://pbs.twimg.com/profile_images/1651031748703141888/zpWsTfHk_normal.jpg")</f>
        <v>https://pbs.twimg.com/profile_images/1651031748703141888/zpWsTfHk_normal.jpg</v>
      </c>
      <c r="AW2652" s="80" t="s">
        <v>18427</v>
      </c>
      <c r="AX2652" s="80" t="s">
        <v>18427</v>
      </c>
      <c r="AY2652" s="77"/>
      <c r="AZ2652" s="80" t="s">
        <v>20380</v>
      </c>
      <c r="BA2652" s="80" t="s">
        <v>20380</v>
      </c>
      <c r="BB2652" s="80" t="s">
        <v>20380</v>
      </c>
      <c r="BC2652" s="80" t="s">
        <v>18427</v>
      </c>
      <c r="BD2652" s="77">
        <v>38381272</v>
      </c>
      <c r="BE2652" s="77"/>
      <c r="BF2652" s="77"/>
      <c r="BG2652" s="77"/>
      <c r="BH2652" s="77"/>
      <c r="BI2652" s="77"/>
    </row>
    <row r="2653" spans="1:61" x14ac:dyDescent="0.25">
      <c r="A2653" s="62" t="s">
        <v>1089</v>
      </c>
      <c r="B2653" s="62" t="s">
        <v>1089</v>
      </c>
      <c r="C2653" s="63"/>
      <c r="D2653" s="64"/>
      <c r="E2653" s="65"/>
      <c r="F2653" s="66"/>
      <c r="G2653" s="63"/>
      <c r="H2653" s="67"/>
      <c r="I2653" s="68"/>
      <c r="J2653" s="68"/>
      <c r="K2653" s="32"/>
      <c r="L2653" s="75">
        <v>2653</v>
      </c>
      <c r="M2653" s="75"/>
      <c r="N2653" s="70"/>
      <c r="O2653" s="77" t="s">
        <v>179</v>
      </c>
      <c r="P2653" s="79">
        <v>45188.793229166666</v>
      </c>
      <c r="Q2653" s="77" t="s">
        <v>4419</v>
      </c>
      <c r="R2653" s="77">
        <v>0</v>
      </c>
      <c r="S2653" s="77">
        <v>0</v>
      </c>
      <c r="T2653" s="77">
        <v>0</v>
      </c>
      <c r="U2653" s="77">
        <v>0</v>
      </c>
      <c r="V2653" s="77">
        <v>8</v>
      </c>
      <c r="W2653" s="80" t="s">
        <v>7557</v>
      </c>
      <c r="X2653" s="83" t="str">
        <f>HYPERLINK("https://portalopoder.com.br/2023/09/19/banco-central-indica-alta-de-044-na-atividade-economica-em-julho/")</f>
        <v>https://portalopoder.com.br/2023/09/19/banco-central-indica-alta-de-044-na-atividade-economica-em-julho/</v>
      </c>
      <c r="Y2653" s="77" t="s">
        <v>8611</v>
      </c>
      <c r="Z2653" s="77"/>
      <c r="AA2653" s="77"/>
      <c r="AB2653" s="77"/>
      <c r="AC2653" s="80" t="s">
        <v>10541</v>
      </c>
      <c r="AD2653" s="77" t="s">
        <v>10617</v>
      </c>
      <c r="AE2653" s="83" t="str">
        <f>HYPERLINK("https://twitter.com/_portalopoder/status/1704209303211536750")</f>
        <v>https://twitter.com/_portalopoder/status/1704209303211536750</v>
      </c>
      <c r="AF2653" s="79">
        <v>45188.793229166666</v>
      </c>
      <c r="AG2653" s="85">
        <v>45188</v>
      </c>
      <c r="AH2653" s="80" t="s">
        <v>12952</v>
      </c>
      <c r="AI2653" s="77" t="b">
        <v>0</v>
      </c>
      <c r="AJ2653" s="77"/>
      <c r="AK2653" s="77"/>
      <c r="AL2653" s="77"/>
      <c r="AM2653" s="77"/>
      <c r="AN2653" s="77"/>
      <c r="AO2653" s="77"/>
      <c r="AP2653" s="77"/>
      <c r="AQ2653" s="77"/>
      <c r="AR2653" s="77"/>
      <c r="AS2653" s="77"/>
      <c r="AT2653" s="77"/>
      <c r="AU2653" s="77"/>
      <c r="AV2653" s="83" t="str">
        <f>HYPERLINK("https://pbs.twimg.com/profile_images/1385689981511999492/uANMjIRf_normal.jpg")</f>
        <v>https://pbs.twimg.com/profile_images/1385689981511999492/uANMjIRf_normal.jpg</v>
      </c>
      <c r="AW2653" s="80" t="s">
        <v>18428</v>
      </c>
      <c r="AX2653" s="80" t="s">
        <v>18428</v>
      </c>
      <c r="AY2653" s="77"/>
      <c r="AZ2653" s="80" t="s">
        <v>20380</v>
      </c>
      <c r="BA2653" s="80" t="s">
        <v>20380</v>
      </c>
      <c r="BB2653" s="80" t="s">
        <v>20380</v>
      </c>
      <c r="BC2653" s="80" t="s">
        <v>18428</v>
      </c>
      <c r="BD2653" s="80" t="s">
        <v>20921</v>
      </c>
      <c r="BE2653" s="77"/>
      <c r="BF2653" s="77"/>
      <c r="BG2653" s="77"/>
      <c r="BH2653" s="77"/>
      <c r="BI2653" s="77"/>
    </row>
    <row r="2654" spans="1:61" x14ac:dyDescent="0.25">
      <c r="A2654" s="62" t="s">
        <v>1090</v>
      </c>
      <c r="B2654" s="62" t="s">
        <v>1939</v>
      </c>
      <c r="C2654" s="63"/>
      <c r="D2654" s="64"/>
      <c r="E2654" s="65"/>
      <c r="F2654" s="66"/>
      <c r="G2654" s="63"/>
      <c r="H2654" s="67"/>
      <c r="I2654" s="68"/>
      <c r="J2654" s="68"/>
      <c r="K2654" s="32"/>
      <c r="L2654" s="75">
        <v>2654</v>
      </c>
      <c r="M2654" s="75"/>
      <c r="N2654" s="70"/>
      <c r="O2654" s="77" t="s">
        <v>2079</v>
      </c>
      <c r="P2654" s="79">
        <v>45055.537152777775</v>
      </c>
      <c r="Q2654" s="77" t="s">
        <v>4420</v>
      </c>
      <c r="R2654" s="77">
        <v>0</v>
      </c>
      <c r="S2654" s="77">
        <v>0</v>
      </c>
      <c r="T2654" s="77">
        <v>0</v>
      </c>
      <c r="U2654" s="77">
        <v>0</v>
      </c>
      <c r="V2654" s="77">
        <v>10</v>
      </c>
      <c r="W2654" s="80" t="s">
        <v>5884</v>
      </c>
      <c r="X2654" s="77"/>
      <c r="Y2654" s="77"/>
      <c r="Z2654" s="77" t="s">
        <v>8993</v>
      </c>
      <c r="AA2654" s="77"/>
      <c r="AB2654" s="77"/>
      <c r="AC2654" s="80" t="s">
        <v>10540</v>
      </c>
      <c r="AD2654" s="77" t="s">
        <v>10617</v>
      </c>
      <c r="AE2654" s="83" t="str">
        <f>HYPERLINK("https://twitter.com/ing_diez/status/1655918920845369344")</f>
        <v>https://twitter.com/ing_diez/status/1655918920845369344</v>
      </c>
      <c r="AF2654" s="79">
        <v>45055.537152777775</v>
      </c>
      <c r="AG2654" s="85">
        <v>45055</v>
      </c>
      <c r="AH2654" s="80" t="s">
        <v>12953</v>
      </c>
      <c r="AI2654" s="77"/>
      <c r="AJ2654" s="77"/>
      <c r="AK2654" s="77"/>
      <c r="AL2654" s="77"/>
      <c r="AM2654" s="77"/>
      <c r="AN2654" s="77"/>
      <c r="AO2654" s="77"/>
      <c r="AP2654" s="77"/>
      <c r="AQ2654" s="77"/>
      <c r="AR2654" s="77"/>
      <c r="AS2654" s="77"/>
      <c r="AT2654" s="77"/>
      <c r="AU2654" s="77"/>
      <c r="AV2654" s="83" t="str">
        <f>HYPERLINK("https://pbs.twimg.com/profile_images/1260956103711604744/WGzqVE3-_normal.jpg")</f>
        <v>https://pbs.twimg.com/profile_images/1260956103711604744/WGzqVE3-_normal.jpg</v>
      </c>
      <c r="AW2654" s="80" t="s">
        <v>18429</v>
      </c>
      <c r="AX2654" s="80" t="s">
        <v>20070</v>
      </c>
      <c r="AY2654" s="80" t="s">
        <v>20321</v>
      </c>
      <c r="AZ2654" s="80" t="s">
        <v>20070</v>
      </c>
      <c r="BA2654" s="80" t="s">
        <v>20380</v>
      </c>
      <c r="BB2654" s="80" t="s">
        <v>20380</v>
      </c>
      <c r="BC2654" s="80" t="s">
        <v>20070</v>
      </c>
      <c r="BD2654" s="77">
        <v>2456490592</v>
      </c>
      <c r="BE2654" s="77"/>
      <c r="BF2654" s="77"/>
      <c r="BG2654" s="77"/>
      <c r="BH2654" s="77"/>
      <c r="BI2654" s="77"/>
    </row>
    <row r="2655" spans="1:61" x14ac:dyDescent="0.25">
      <c r="A2655" s="62" t="s">
        <v>1090</v>
      </c>
      <c r="B2655" s="62" t="s">
        <v>547</v>
      </c>
      <c r="C2655" s="63"/>
      <c r="D2655" s="64"/>
      <c r="E2655" s="65"/>
      <c r="F2655" s="66"/>
      <c r="G2655" s="63"/>
      <c r="H2655" s="67"/>
      <c r="I2655" s="68"/>
      <c r="J2655" s="68"/>
      <c r="K2655" s="32"/>
      <c r="L2655" s="75">
        <v>2655</v>
      </c>
      <c r="M2655" s="75"/>
      <c r="N2655" s="70"/>
      <c r="O2655" s="77" t="s">
        <v>2078</v>
      </c>
      <c r="P2655" s="79">
        <v>45055.537152777775</v>
      </c>
      <c r="Q2655" s="77" t="s">
        <v>4420</v>
      </c>
      <c r="R2655" s="77">
        <v>0</v>
      </c>
      <c r="S2655" s="77">
        <v>0</v>
      </c>
      <c r="T2655" s="77">
        <v>0</v>
      </c>
      <c r="U2655" s="77">
        <v>0</v>
      </c>
      <c r="V2655" s="77">
        <v>10</v>
      </c>
      <c r="W2655" s="80" t="s">
        <v>5884</v>
      </c>
      <c r="X2655" s="77"/>
      <c r="Y2655" s="77"/>
      <c r="Z2655" s="77" t="s">
        <v>8993</v>
      </c>
      <c r="AA2655" s="77"/>
      <c r="AB2655" s="77"/>
      <c r="AC2655" s="80" t="s">
        <v>10540</v>
      </c>
      <c r="AD2655" s="77" t="s">
        <v>10617</v>
      </c>
      <c r="AE2655" s="83" t="str">
        <f>HYPERLINK("https://twitter.com/ing_diez/status/1655918920845369344")</f>
        <v>https://twitter.com/ing_diez/status/1655918920845369344</v>
      </c>
      <c r="AF2655" s="79">
        <v>45055.537152777775</v>
      </c>
      <c r="AG2655" s="85">
        <v>45055</v>
      </c>
      <c r="AH2655" s="80" t="s">
        <v>12953</v>
      </c>
      <c r="AI2655" s="77"/>
      <c r="AJ2655" s="77"/>
      <c r="AK2655" s="77"/>
      <c r="AL2655" s="77"/>
      <c r="AM2655" s="77"/>
      <c r="AN2655" s="77"/>
      <c r="AO2655" s="77"/>
      <c r="AP2655" s="77"/>
      <c r="AQ2655" s="77"/>
      <c r="AR2655" s="77"/>
      <c r="AS2655" s="77"/>
      <c r="AT2655" s="77"/>
      <c r="AU2655" s="77"/>
      <c r="AV2655" s="83" t="str">
        <f>HYPERLINK("https://pbs.twimg.com/profile_images/1260956103711604744/WGzqVE3-_normal.jpg")</f>
        <v>https://pbs.twimg.com/profile_images/1260956103711604744/WGzqVE3-_normal.jpg</v>
      </c>
      <c r="AW2655" s="80" t="s">
        <v>18429</v>
      </c>
      <c r="AX2655" s="80" t="s">
        <v>20070</v>
      </c>
      <c r="AY2655" s="80" t="s">
        <v>20321</v>
      </c>
      <c r="AZ2655" s="80" t="s">
        <v>20070</v>
      </c>
      <c r="BA2655" s="80" t="s">
        <v>20380</v>
      </c>
      <c r="BB2655" s="80" t="s">
        <v>20380</v>
      </c>
      <c r="BC2655" s="80" t="s">
        <v>20070</v>
      </c>
      <c r="BD2655" s="77">
        <v>2456490592</v>
      </c>
      <c r="BE2655" s="77"/>
      <c r="BF2655" s="77"/>
      <c r="BG2655" s="77"/>
      <c r="BH2655" s="77"/>
      <c r="BI2655" s="77"/>
    </row>
    <row r="2656" spans="1:61" x14ac:dyDescent="0.25">
      <c r="A2656" s="62" t="s">
        <v>1091</v>
      </c>
      <c r="B2656" s="62" t="s">
        <v>1091</v>
      </c>
      <c r="C2656" s="63"/>
      <c r="D2656" s="64"/>
      <c r="E2656" s="65"/>
      <c r="F2656" s="66"/>
      <c r="G2656" s="63"/>
      <c r="H2656" s="67"/>
      <c r="I2656" s="68"/>
      <c r="J2656" s="68"/>
      <c r="K2656" s="32"/>
      <c r="L2656" s="75">
        <v>2656</v>
      </c>
      <c r="M2656" s="75"/>
      <c r="N2656" s="70"/>
      <c r="O2656" s="77" t="s">
        <v>179</v>
      </c>
      <c r="P2656" s="79">
        <v>45064.779282407406</v>
      </c>
      <c r="Q2656" s="77" t="s">
        <v>4421</v>
      </c>
      <c r="R2656" s="77">
        <v>0</v>
      </c>
      <c r="S2656" s="77">
        <v>0</v>
      </c>
      <c r="T2656" s="77">
        <v>0</v>
      </c>
      <c r="U2656" s="77">
        <v>0</v>
      </c>
      <c r="V2656" s="77">
        <v>32</v>
      </c>
      <c r="W2656" s="80" t="s">
        <v>7558</v>
      </c>
      <c r="X2656" s="77"/>
      <c r="Y2656" s="77"/>
      <c r="Z2656" s="77"/>
      <c r="AA2656" s="77"/>
      <c r="AB2656" s="77"/>
      <c r="AC2656" s="80" t="s">
        <v>10542</v>
      </c>
      <c r="AD2656" s="77" t="s">
        <v>10617</v>
      </c>
      <c r="AE2656" s="83" t="str">
        <f>HYPERLINK("https://twitter.com/endireitadora22/status/1659268154839769113")</f>
        <v>https://twitter.com/endireitadora22/status/1659268154839769113</v>
      </c>
      <c r="AF2656" s="79">
        <v>45064.779282407406</v>
      </c>
      <c r="AG2656" s="85">
        <v>45064</v>
      </c>
      <c r="AH2656" s="80" t="s">
        <v>12954</v>
      </c>
      <c r="AI2656" s="77"/>
      <c r="AJ2656" s="77"/>
      <c r="AK2656" s="77"/>
      <c r="AL2656" s="77"/>
      <c r="AM2656" s="77"/>
      <c r="AN2656" s="77"/>
      <c r="AO2656" s="77"/>
      <c r="AP2656" s="77"/>
      <c r="AQ2656" s="77"/>
      <c r="AR2656" s="77"/>
      <c r="AS2656" s="77"/>
      <c r="AT2656" s="77"/>
      <c r="AU2656" s="77"/>
      <c r="AV2656" s="83" t="str">
        <f>HYPERLINK("https://pbs.twimg.com/profile_images/1599797911415623682/LGLshcOx_normal.jpg")</f>
        <v>https://pbs.twimg.com/profile_images/1599797911415623682/LGLshcOx_normal.jpg</v>
      </c>
      <c r="AW2656" s="80" t="s">
        <v>18430</v>
      </c>
      <c r="AX2656" s="80" t="s">
        <v>18430</v>
      </c>
      <c r="AY2656" s="77"/>
      <c r="AZ2656" s="80" t="s">
        <v>20380</v>
      </c>
      <c r="BA2656" s="80" t="s">
        <v>20380</v>
      </c>
      <c r="BB2656" s="80" t="s">
        <v>20380</v>
      </c>
      <c r="BC2656" s="80" t="s">
        <v>18430</v>
      </c>
      <c r="BD2656" s="80" t="s">
        <v>20922</v>
      </c>
      <c r="BE2656" s="77"/>
      <c r="BF2656" s="77"/>
      <c r="BG2656" s="77"/>
      <c r="BH2656" s="77"/>
      <c r="BI2656" s="77"/>
    </row>
    <row r="2657" spans="1:61" x14ac:dyDescent="0.25">
      <c r="A2657" s="62" t="s">
        <v>1091</v>
      </c>
      <c r="B2657" s="62" t="s">
        <v>1091</v>
      </c>
      <c r="C2657" s="63"/>
      <c r="D2657" s="64"/>
      <c r="E2657" s="65"/>
      <c r="F2657" s="66"/>
      <c r="G2657" s="63"/>
      <c r="H2657" s="67"/>
      <c r="I2657" s="68"/>
      <c r="J2657" s="68"/>
      <c r="K2657" s="32"/>
      <c r="L2657" s="75">
        <v>2657</v>
      </c>
      <c r="M2657" s="75"/>
      <c r="N2657" s="70"/>
      <c r="O2657" s="77" t="s">
        <v>179</v>
      </c>
      <c r="P2657" s="79">
        <v>45063.706111111111</v>
      </c>
      <c r="Q2657" s="77" t="s">
        <v>4422</v>
      </c>
      <c r="R2657" s="77">
        <v>0</v>
      </c>
      <c r="S2657" s="77">
        <v>0</v>
      </c>
      <c r="T2657" s="77">
        <v>0</v>
      </c>
      <c r="U2657" s="77">
        <v>0</v>
      </c>
      <c r="V2657" s="77">
        <v>6</v>
      </c>
      <c r="W2657" s="80" t="s">
        <v>7559</v>
      </c>
      <c r="X2657" s="77"/>
      <c r="Y2657" s="77"/>
      <c r="Z2657" s="77"/>
      <c r="AA2657" s="77"/>
      <c r="AB2657" s="77"/>
      <c r="AC2657" s="80" t="s">
        <v>10542</v>
      </c>
      <c r="AD2657" s="77" t="s">
        <v>10617</v>
      </c>
      <c r="AE2657" s="83" t="str">
        <f>HYPERLINK("https://twitter.com/endireitadora22/status/1658879251536281628")</f>
        <v>https://twitter.com/endireitadora22/status/1658879251536281628</v>
      </c>
      <c r="AF2657" s="79">
        <v>45063.706111111111</v>
      </c>
      <c r="AG2657" s="85">
        <v>45063</v>
      </c>
      <c r="AH2657" s="80" t="s">
        <v>12955</v>
      </c>
      <c r="AI2657" s="77"/>
      <c r="AJ2657" s="77"/>
      <c r="AK2657" s="77"/>
      <c r="AL2657" s="77"/>
      <c r="AM2657" s="77"/>
      <c r="AN2657" s="77"/>
      <c r="AO2657" s="77"/>
      <c r="AP2657" s="77"/>
      <c r="AQ2657" s="77"/>
      <c r="AR2657" s="77"/>
      <c r="AS2657" s="77"/>
      <c r="AT2657" s="77"/>
      <c r="AU2657" s="77"/>
      <c r="AV2657" s="83" t="str">
        <f>HYPERLINK("https://pbs.twimg.com/profile_images/1599797911415623682/LGLshcOx_normal.jpg")</f>
        <v>https://pbs.twimg.com/profile_images/1599797911415623682/LGLshcOx_normal.jpg</v>
      </c>
      <c r="AW2657" s="80" t="s">
        <v>18431</v>
      </c>
      <c r="AX2657" s="80" t="s">
        <v>18431</v>
      </c>
      <c r="AY2657" s="77"/>
      <c r="AZ2657" s="80" t="s">
        <v>20380</v>
      </c>
      <c r="BA2657" s="80" t="s">
        <v>20380</v>
      </c>
      <c r="BB2657" s="80" t="s">
        <v>20380</v>
      </c>
      <c r="BC2657" s="80" t="s">
        <v>18431</v>
      </c>
      <c r="BD2657" s="80" t="s">
        <v>20922</v>
      </c>
      <c r="BE2657" s="77"/>
      <c r="BF2657" s="77"/>
      <c r="BG2657" s="77"/>
      <c r="BH2657" s="77"/>
      <c r="BI2657" s="77"/>
    </row>
    <row r="2658" spans="1:61" x14ac:dyDescent="0.25">
      <c r="A2658" s="62" t="s">
        <v>1092</v>
      </c>
      <c r="B2658" s="62" t="s">
        <v>1092</v>
      </c>
      <c r="C2658" s="63"/>
      <c r="D2658" s="64"/>
      <c r="E2658" s="65"/>
      <c r="F2658" s="66"/>
      <c r="G2658" s="63"/>
      <c r="H2658" s="67"/>
      <c r="I2658" s="68"/>
      <c r="J2658" s="68"/>
      <c r="K2658" s="32"/>
      <c r="L2658" s="75">
        <v>2658</v>
      </c>
      <c r="M2658" s="75"/>
      <c r="N2658" s="70"/>
      <c r="O2658" s="77" t="s">
        <v>179</v>
      </c>
      <c r="P2658" s="79">
        <v>45051.547511574077</v>
      </c>
      <c r="Q2658" s="77" t="s">
        <v>4423</v>
      </c>
      <c r="R2658" s="77">
        <v>1</v>
      </c>
      <c r="S2658" s="77">
        <v>2</v>
      </c>
      <c r="T2658" s="77">
        <v>0</v>
      </c>
      <c r="U2658" s="77">
        <v>0</v>
      </c>
      <c r="V2658" s="77">
        <v>13</v>
      </c>
      <c r="W2658" s="80" t="s">
        <v>7560</v>
      </c>
      <c r="X2658" s="77"/>
      <c r="Y2658" s="77"/>
      <c r="Z2658" s="77"/>
      <c r="AA2658" s="77" t="s">
        <v>9865</v>
      </c>
      <c r="AB2658" s="77" t="s">
        <v>10535</v>
      </c>
      <c r="AC2658" s="80" t="s">
        <v>10541</v>
      </c>
      <c r="AD2658" s="77" t="s">
        <v>10620</v>
      </c>
      <c r="AE2658" s="83" t="str">
        <f>HYPERLINK("https://twitter.com/cryptofand/status/1654473123540992001")</f>
        <v>https://twitter.com/cryptofand/status/1654473123540992001</v>
      </c>
      <c r="AF2658" s="79">
        <v>45051.547511574077</v>
      </c>
      <c r="AG2658" s="85">
        <v>45051</v>
      </c>
      <c r="AH2658" s="80" t="s">
        <v>12956</v>
      </c>
      <c r="AI2658" s="77" t="b">
        <v>0</v>
      </c>
      <c r="AJ2658" s="77"/>
      <c r="AK2658" s="77"/>
      <c r="AL2658" s="77"/>
      <c r="AM2658" s="77"/>
      <c r="AN2658" s="77"/>
      <c r="AO2658" s="77"/>
      <c r="AP2658" s="77"/>
      <c r="AQ2658" s="77" t="s">
        <v>15347</v>
      </c>
      <c r="AR2658" s="77"/>
      <c r="AS2658" s="77"/>
      <c r="AT2658" s="77"/>
      <c r="AU2658" s="77"/>
      <c r="AV2658" s="83" t="str">
        <f>HYPERLINK("https://pbs.twimg.com/media/FvXeVQ8X0AQR6gi.jpg")</f>
        <v>https://pbs.twimg.com/media/FvXeVQ8X0AQR6gi.jpg</v>
      </c>
      <c r="AW2658" s="80" t="s">
        <v>18432</v>
      </c>
      <c r="AX2658" s="80" t="s">
        <v>18432</v>
      </c>
      <c r="AY2658" s="77"/>
      <c r="AZ2658" s="80" t="s">
        <v>20380</v>
      </c>
      <c r="BA2658" s="80" t="s">
        <v>20380</v>
      </c>
      <c r="BB2658" s="80" t="s">
        <v>20380</v>
      </c>
      <c r="BC2658" s="80" t="s">
        <v>18432</v>
      </c>
      <c r="BD2658" s="80" t="s">
        <v>20923</v>
      </c>
      <c r="BE2658" s="77"/>
      <c r="BF2658" s="77"/>
      <c r="BG2658" s="77"/>
      <c r="BH2658" s="77"/>
      <c r="BI2658" s="77"/>
    </row>
    <row r="2659" spans="1:61" x14ac:dyDescent="0.25">
      <c r="A2659" s="62" t="s">
        <v>1092</v>
      </c>
      <c r="B2659" s="62" t="s">
        <v>1092</v>
      </c>
      <c r="C2659" s="63"/>
      <c r="D2659" s="64"/>
      <c r="E2659" s="65"/>
      <c r="F2659" s="66"/>
      <c r="G2659" s="63"/>
      <c r="H2659" s="67"/>
      <c r="I2659" s="68"/>
      <c r="J2659" s="68"/>
      <c r="K2659" s="32"/>
      <c r="L2659" s="75">
        <v>2659</v>
      </c>
      <c r="M2659" s="75"/>
      <c r="N2659" s="70"/>
      <c r="O2659" s="77" t="s">
        <v>179</v>
      </c>
      <c r="P2659" s="79">
        <v>45176.534872685188</v>
      </c>
      <c r="Q2659" s="77" t="s">
        <v>4424</v>
      </c>
      <c r="R2659" s="77">
        <v>0</v>
      </c>
      <c r="S2659" s="77">
        <v>2</v>
      </c>
      <c r="T2659" s="77">
        <v>0</v>
      </c>
      <c r="U2659" s="77">
        <v>0</v>
      </c>
      <c r="V2659" s="77">
        <v>12</v>
      </c>
      <c r="W2659" s="80" t="s">
        <v>7561</v>
      </c>
      <c r="X2659" s="77"/>
      <c r="Y2659" s="77"/>
      <c r="Z2659" s="77"/>
      <c r="AA2659" s="77" t="s">
        <v>9866</v>
      </c>
      <c r="AB2659" s="77" t="s">
        <v>10535</v>
      </c>
      <c r="AC2659" s="80" t="s">
        <v>10541</v>
      </c>
      <c r="AD2659" s="77" t="s">
        <v>10620</v>
      </c>
      <c r="AE2659" s="83" t="str">
        <f>HYPERLINK("https://twitter.com/cryptofand/status/1699767024950325365")</f>
        <v>https://twitter.com/cryptofand/status/1699767024950325365</v>
      </c>
      <c r="AF2659" s="79">
        <v>45176.534872685188</v>
      </c>
      <c r="AG2659" s="85">
        <v>45176</v>
      </c>
      <c r="AH2659" s="80" t="s">
        <v>12957</v>
      </c>
      <c r="AI2659" s="77" t="b">
        <v>0</v>
      </c>
      <c r="AJ2659" s="77"/>
      <c r="AK2659" s="77"/>
      <c r="AL2659" s="77"/>
      <c r="AM2659" s="77"/>
      <c r="AN2659" s="77"/>
      <c r="AO2659" s="77"/>
      <c r="AP2659" s="77"/>
      <c r="AQ2659" s="77" t="s">
        <v>15348</v>
      </c>
      <c r="AR2659" s="77"/>
      <c r="AS2659" s="77"/>
      <c r="AT2659" s="77"/>
      <c r="AU2659" s="77"/>
      <c r="AV2659" s="83" t="str">
        <f>HYPERLINK("https://pbs.twimg.com/media/F5bIv0hX0AA1Mii.jpg")</f>
        <v>https://pbs.twimg.com/media/F5bIv0hX0AA1Mii.jpg</v>
      </c>
      <c r="AW2659" s="80" t="s">
        <v>18433</v>
      </c>
      <c r="AX2659" s="80" t="s">
        <v>18433</v>
      </c>
      <c r="AY2659" s="77"/>
      <c r="AZ2659" s="80" t="s">
        <v>20380</v>
      </c>
      <c r="BA2659" s="80" t="s">
        <v>20380</v>
      </c>
      <c r="BB2659" s="80" t="s">
        <v>20380</v>
      </c>
      <c r="BC2659" s="80" t="s">
        <v>18433</v>
      </c>
      <c r="BD2659" s="80" t="s">
        <v>20923</v>
      </c>
      <c r="BE2659" s="77"/>
      <c r="BF2659" s="77"/>
      <c r="BG2659" s="77"/>
      <c r="BH2659" s="77"/>
      <c r="BI2659" s="77"/>
    </row>
    <row r="2660" spans="1:61" x14ac:dyDescent="0.25">
      <c r="A2660" s="62" t="s">
        <v>1092</v>
      </c>
      <c r="B2660" s="62" t="s">
        <v>1092</v>
      </c>
      <c r="C2660" s="63"/>
      <c r="D2660" s="64"/>
      <c r="E2660" s="65"/>
      <c r="F2660" s="66"/>
      <c r="G2660" s="63"/>
      <c r="H2660" s="67"/>
      <c r="I2660" s="68"/>
      <c r="J2660" s="68"/>
      <c r="K2660" s="32"/>
      <c r="L2660" s="75">
        <v>2660</v>
      </c>
      <c r="M2660" s="75"/>
      <c r="N2660" s="70"/>
      <c r="O2660" s="77" t="s">
        <v>179</v>
      </c>
      <c r="P2660" s="79">
        <v>45107.598923611113</v>
      </c>
      <c r="Q2660" s="77" t="s">
        <v>4425</v>
      </c>
      <c r="R2660" s="77">
        <v>0</v>
      </c>
      <c r="S2660" s="77">
        <v>2</v>
      </c>
      <c r="T2660" s="77">
        <v>0</v>
      </c>
      <c r="U2660" s="77">
        <v>0</v>
      </c>
      <c r="V2660" s="77">
        <v>37</v>
      </c>
      <c r="W2660" s="80" t="s">
        <v>7562</v>
      </c>
      <c r="X2660" s="77"/>
      <c r="Y2660" s="77"/>
      <c r="Z2660" s="77"/>
      <c r="AA2660" s="77" t="s">
        <v>9867</v>
      </c>
      <c r="AB2660" s="77" t="s">
        <v>10535</v>
      </c>
      <c r="AC2660" s="80" t="s">
        <v>10541</v>
      </c>
      <c r="AD2660" s="77" t="s">
        <v>10620</v>
      </c>
      <c r="AE2660" s="83" t="str">
        <f>HYPERLINK("https://twitter.com/cryptofand/status/1674785471271145473")</f>
        <v>https://twitter.com/cryptofand/status/1674785471271145473</v>
      </c>
      <c r="AF2660" s="79">
        <v>45107.598923611113</v>
      </c>
      <c r="AG2660" s="85">
        <v>45107</v>
      </c>
      <c r="AH2660" s="80" t="s">
        <v>12958</v>
      </c>
      <c r="AI2660" s="77" t="b">
        <v>0</v>
      </c>
      <c r="AJ2660" s="77"/>
      <c r="AK2660" s="77"/>
      <c r="AL2660" s="77"/>
      <c r="AM2660" s="77"/>
      <c r="AN2660" s="77"/>
      <c r="AO2660" s="77"/>
      <c r="AP2660" s="77"/>
      <c r="AQ2660" s="77" t="s">
        <v>15349</v>
      </c>
      <c r="AR2660" s="77"/>
      <c r="AS2660" s="77"/>
      <c r="AT2660" s="77"/>
      <c r="AU2660" s="77"/>
      <c r="AV2660" s="83" t="str">
        <f>HYPERLINK("https://pbs.twimg.com/media/Fz4Gt9EaMAQLatu.jpg")</f>
        <v>https://pbs.twimg.com/media/Fz4Gt9EaMAQLatu.jpg</v>
      </c>
      <c r="AW2660" s="80" t="s">
        <v>18434</v>
      </c>
      <c r="AX2660" s="80" t="s">
        <v>18434</v>
      </c>
      <c r="AY2660" s="77"/>
      <c r="AZ2660" s="80" t="s">
        <v>20380</v>
      </c>
      <c r="BA2660" s="80" t="s">
        <v>20380</v>
      </c>
      <c r="BB2660" s="80" t="s">
        <v>20380</v>
      </c>
      <c r="BC2660" s="80" t="s">
        <v>18434</v>
      </c>
      <c r="BD2660" s="80" t="s">
        <v>20923</v>
      </c>
      <c r="BE2660" s="77"/>
      <c r="BF2660" s="77"/>
      <c r="BG2660" s="77"/>
      <c r="BH2660" s="77"/>
      <c r="BI2660" s="77"/>
    </row>
    <row r="2661" spans="1:61" x14ac:dyDescent="0.25">
      <c r="A2661" s="62" t="s">
        <v>1093</v>
      </c>
      <c r="B2661" s="62" t="s">
        <v>1596</v>
      </c>
      <c r="C2661" s="63"/>
      <c r="D2661" s="64"/>
      <c r="E2661" s="65"/>
      <c r="F2661" s="66"/>
      <c r="G2661" s="63"/>
      <c r="H2661" s="67"/>
      <c r="I2661" s="68"/>
      <c r="J2661" s="68"/>
      <c r="K2661" s="32"/>
      <c r="L2661" s="75">
        <v>2661</v>
      </c>
      <c r="M2661" s="75"/>
      <c r="N2661" s="70"/>
      <c r="O2661" s="77" t="s">
        <v>2085</v>
      </c>
      <c r="P2661" s="79">
        <v>45189.912638888891</v>
      </c>
      <c r="Q2661" s="77" t="s">
        <v>4426</v>
      </c>
      <c r="R2661" s="77">
        <v>2</v>
      </c>
      <c r="S2661" s="77">
        <v>0</v>
      </c>
      <c r="T2661" s="77">
        <v>0</v>
      </c>
      <c r="U2661" s="77">
        <v>0</v>
      </c>
      <c r="V2661" s="77"/>
      <c r="W2661" s="80" t="s">
        <v>6008</v>
      </c>
      <c r="X2661" s="83" t="str">
        <f>HYPERLINK("https://www.bcb.gov.br/detalhenoticia/17981/nota")</f>
        <v>https://www.bcb.gov.br/detalhenoticia/17981/nota</v>
      </c>
      <c r="Y2661" s="77" t="s">
        <v>8633</v>
      </c>
      <c r="Z2661" s="77" t="s">
        <v>8994</v>
      </c>
      <c r="AA2661" s="77"/>
      <c r="AB2661" s="77"/>
      <c r="AC2661" s="80" t="s">
        <v>10541</v>
      </c>
      <c r="AD2661" s="77" t="s">
        <v>10617</v>
      </c>
      <c r="AE2661" s="83" t="str">
        <f>HYPERLINK("https://twitter.com/cthamasaki/status/1704614965087183212")</f>
        <v>https://twitter.com/cthamasaki/status/1704614965087183212</v>
      </c>
      <c r="AF2661" s="79">
        <v>45189.912638888891</v>
      </c>
      <c r="AG2661" s="85">
        <v>45189</v>
      </c>
      <c r="AH2661" s="80" t="s">
        <v>12959</v>
      </c>
      <c r="AI2661" s="77" t="b">
        <v>0</v>
      </c>
      <c r="AJ2661" s="77"/>
      <c r="AK2661" s="77"/>
      <c r="AL2661" s="77"/>
      <c r="AM2661" s="77"/>
      <c r="AN2661" s="77"/>
      <c r="AO2661" s="77"/>
      <c r="AP2661" s="77"/>
      <c r="AQ2661" s="77"/>
      <c r="AR2661" s="77"/>
      <c r="AS2661" s="77"/>
      <c r="AT2661" s="77"/>
      <c r="AU2661" s="77"/>
      <c r="AV2661" s="83" t="str">
        <f>HYPERLINK("https://pbs.twimg.com/profile_images/1692966875829792768/lVIZtz04_normal.jpg")</f>
        <v>https://pbs.twimg.com/profile_images/1692966875829792768/lVIZtz04_normal.jpg</v>
      </c>
      <c r="AW2661" s="80" t="s">
        <v>18435</v>
      </c>
      <c r="AX2661" s="80" t="s">
        <v>18435</v>
      </c>
      <c r="AY2661" s="77"/>
      <c r="AZ2661" s="80" t="s">
        <v>20380</v>
      </c>
      <c r="BA2661" s="80" t="s">
        <v>20380</v>
      </c>
      <c r="BB2661" s="80" t="s">
        <v>18856</v>
      </c>
      <c r="BC2661" s="80" t="s">
        <v>18856</v>
      </c>
      <c r="BD2661" s="77">
        <v>38532902</v>
      </c>
      <c r="BE2661" s="77"/>
      <c r="BF2661" s="77"/>
      <c r="BG2661" s="77"/>
      <c r="BH2661" s="77"/>
      <c r="BI2661" s="77"/>
    </row>
    <row r="2662" spans="1:61" x14ac:dyDescent="0.25">
      <c r="A2662" s="62" t="s">
        <v>1093</v>
      </c>
      <c r="B2662" s="62" t="s">
        <v>1236</v>
      </c>
      <c r="C2662" s="63"/>
      <c r="D2662" s="64"/>
      <c r="E2662" s="65"/>
      <c r="F2662" s="66"/>
      <c r="G2662" s="63"/>
      <c r="H2662" s="67"/>
      <c r="I2662" s="68"/>
      <c r="J2662" s="68"/>
      <c r="K2662" s="32"/>
      <c r="L2662" s="75">
        <v>2662</v>
      </c>
      <c r="M2662" s="75"/>
      <c r="N2662" s="70"/>
      <c r="O2662" s="77" t="s">
        <v>2083</v>
      </c>
      <c r="P2662" s="79">
        <v>45189.912638888891</v>
      </c>
      <c r="Q2662" s="77" t="s">
        <v>4426</v>
      </c>
      <c r="R2662" s="77">
        <v>2</v>
      </c>
      <c r="S2662" s="77">
        <v>0</v>
      </c>
      <c r="T2662" s="77">
        <v>0</v>
      </c>
      <c r="U2662" s="77">
        <v>0</v>
      </c>
      <c r="V2662" s="77"/>
      <c r="W2662" s="80" t="s">
        <v>6008</v>
      </c>
      <c r="X2662" s="83" t="str">
        <f>HYPERLINK("https://www.bcb.gov.br/detalhenoticia/17981/nota")</f>
        <v>https://www.bcb.gov.br/detalhenoticia/17981/nota</v>
      </c>
      <c r="Y2662" s="77" t="s">
        <v>8633</v>
      </c>
      <c r="Z2662" s="77" t="s">
        <v>8994</v>
      </c>
      <c r="AA2662" s="77"/>
      <c r="AB2662" s="77"/>
      <c r="AC2662" s="80" t="s">
        <v>10541</v>
      </c>
      <c r="AD2662" s="77" t="s">
        <v>10617</v>
      </c>
      <c r="AE2662" s="83" t="str">
        <f>HYPERLINK("https://twitter.com/cthamasaki/status/1704614965087183212")</f>
        <v>https://twitter.com/cthamasaki/status/1704614965087183212</v>
      </c>
      <c r="AF2662" s="79">
        <v>45189.912638888891</v>
      </c>
      <c r="AG2662" s="85">
        <v>45189</v>
      </c>
      <c r="AH2662" s="80" t="s">
        <v>12959</v>
      </c>
      <c r="AI2662" s="77" t="b">
        <v>0</v>
      </c>
      <c r="AJ2662" s="77"/>
      <c r="AK2662" s="77"/>
      <c r="AL2662" s="77"/>
      <c r="AM2662" s="77"/>
      <c r="AN2662" s="77"/>
      <c r="AO2662" s="77"/>
      <c r="AP2662" s="77"/>
      <c r="AQ2662" s="77"/>
      <c r="AR2662" s="77"/>
      <c r="AS2662" s="77"/>
      <c r="AT2662" s="77"/>
      <c r="AU2662" s="77"/>
      <c r="AV2662" s="83" t="str">
        <f>HYPERLINK("https://pbs.twimg.com/profile_images/1692966875829792768/lVIZtz04_normal.jpg")</f>
        <v>https://pbs.twimg.com/profile_images/1692966875829792768/lVIZtz04_normal.jpg</v>
      </c>
      <c r="AW2662" s="80" t="s">
        <v>18435</v>
      </c>
      <c r="AX2662" s="80" t="s">
        <v>18435</v>
      </c>
      <c r="AY2662" s="77"/>
      <c r="AZ2662" s="80" t="s">
        <v>20380</v>
      </c>
      <c r="BA2662" s="80" t="s">
        <v>20380</v>
      </c>
      <c r="BB2662" s="80" t="s">
        <v>18856</v>
      </c>
      <c r="BC2662" s="80" t="s">
        <v>18856</v>
      </c>
      <c r="BD2662" s="77">
        <v>38532902</v>
      </c>
      <c r="BE2662" s="77"/>
      <c r="BF2662" s="77"/>
      <c r="BG2662" s="77"/>
      <c r="BH2662" s="77"/>
      <c r="BI2662" s="77"/>
    </row>
    <row r="2663" spans="1:61" x14ac:dyDescent="0.25">
      <c r="A2663" s="62" t="s">
        <v>1094</v>
      </c>
      <c r="B2663" s="62" t="s">
        <v>1596</v>
      </c>
      <c r="C2663" s="63"/>
      <c r="D2663" s="64"/>
      <c r="E2663" s="65"/>
      <c r="F2663" s="66"/>
      <c r="G2663" s="63"/>
      <c r="H2663" s="67"/>
      <c r="I2663" s="68"/>
      <c r="J2663" s="68"/>
      <c r="K2663" s="32"/>
      <c r="L2663" s="75">
        <v>2663</v>
      </c>
      <c r="M2663" s="75"/>
      <c r="N2663" s="70"/>
      <c r="O2663" s="77" t="s">
        <v>2084</v>
      </c>
      <c r="P2663" s="79">
        <v>45099.481574074074</v>
      </c>
      <c r="Q2663" s="77" t="s">
        <v>4427</v>
      </c>
      <c r="R2663" s="77">
        <v>1</v>
      </c>
      <c r="S2663" s="77">
        <v>1</v>
      </c>
      <c r="T2663" s="77">
        <v>0</v>
      </c>
      <c r="U2663" s="77">
        <v>0</v>
      </c>
      <c r="V2663" s="77">
        <v>28</v>
      </c>
      <c r="W2663" s="80" t="s">
        <v>5884</v>
      </c>
      <c r="X2663" s="77"/>
      <c r="Y2663" s="77"/>
      <c r="Z2663" s="77" t="s">
        <v>8948</v>
      </c>
      <c r="AA2663" s="77"/>
      <c r="AB2663" s="77"/>
      <c r="AC2663" s="80" t="s">
        <v>10540</v>
      </c>
      <c r="AD2663" s="77" t="s">
        <v>10617</v>
      </c>
      <c r="AE2663" s="83" t="str">
        <f>HYPERLINK("https://twitter.com/fofao_marcelo/status/1671843843753275394")</f>
        <v>https://twitter.com/fofao_marcelo/status/1671843843753275394</v>
      </c>
      <c r="AF2663" s="79">
        <v>45099.481574074074</v>
      </c>
      <c r="AG2663" s="85">
        <v>45099</v>
      </c>
      <c r="AH2663" s="80" t="s">
        <v>12037</v>
      </c>
      <c r="AI2663" s="77"/>
      <c r="AJ2663" s="77"/>
      <c r="AK2663" s="77"/>
      <c r="AL2663" s="77"/>
      <c r="AM2663" s="77"/>
      <c r="AN2663" s="77"/>
      <c r="AO2663" s="77"/>
      <c r="AP2663" s="77"/>
      <c r="AQ2663" s="77"/>
      <c r="AR2663" s="77"/>
      <c r="AS2663" s="77"/>
      <c r="AT2663" s="77"/>
      <c r="AU2663" s="77"/>
      <c r="AV2663" s="83" t="str">
        <f>HYPERLINK("https://pbs.twimg.com/profile_images/1577673371600437249/QUJQqFkS_normal.jpg")</f>
        <v>https://pbs.twimg.com/profile_images/1577673371600437249/QUJQqFkS_normal.jpg</v>
      </c>
      <c r="AW2663" s="80" t="s">
        <v>18436</v>
      </c>
      <c r="AX2663" s="80" t="s">
        <v>18436</v>
      </c>
      <c r="AY2663" s="77"/>
      <c r="AZ2663" s="80" t="s">
        <v>20380</v>
      </c>
      <c r="BA2663" s="80" t="s">
        <v>19759</v>
      </c>
      <c r="BB2663" s="80" t="s">
        <v>20380</v>
      </c>
      <c r="BC2663" s="80" t="s">
        <v>19759</v>
      </c>
      <c r="BD2663" s="80" t="s">
        <v>20924</v>
      </c>
      <c r="BE2663" s="77"/>
      <c r="BF2663" s="77"/>
      <c r="BG2663" s="77"/>
      <c r="BH2663" s="77"/>
      <c r="BI2663" s="77"/>
    </row>
    <row r="2664" spans="1:61" x14ac:dyDescent="0.25">
      <c r="A2664" s="62" t="s">
        <v>1094</v>
      </c>
      <c r="B2664" s="62" t="s">
        <v>1624</v>
      </c>
      <c r="C2664" s="63"/>
      <c r="D2664" s="64"/>
      <c r="E2664" s="65"/>
      <c r="F2664" s="66"/>
      <c r="G2664" s="63"/>
      <c r="H2664" s="67"/>
      <c r="I2664" s="68"/>
      <c r="J2664" s="68"/>
      <c r="K2664" s="32"/>
      <c r="L2664" s="75">
        <v>2664</v>
      </c>
      <c r="M2664" s="75"/>
      <c r="N2664" s="70"/>
      <c r="O2664" s="77" t="s">
        <v>2084</v>
      </c>
      <c r="P2664" s="79">
        <v>45099.481574074074</v>
      </c>
      <c r="Q2664" s="77" t="s">
        <v>4427</v>
      </c>
      <c r="R2664" s="77">
        <v>1</v>
      </c>
      <c r="S2664" s="77">
        <v>1</v>
      </c>
      <c r="T2664" s="77">
        <v>0</v>
      </c>
      <c r="U2664" s="77">
        <v>0</v>
      </c>
      <c r="V2664" s="77">
        <v>28</v>
      </c>
      <c r="W2664" s="80" t="s">
        <v>5884</v>
      </c>
      <c r="X2664" s="77"/>
      <c r="Y2664" s="77"/>
      <c r="Z2664" s="77" t="s">
        <v>8948</v>
      </c>
      <c r="AA2664" s="77"/>
      <c r="AB2664" s="77"/>
      <c r="AC2664" s="80" t="s">
        <v>10540</v>
      </c>
      <c r="AD2664" s="77" t="s">
        <v>10617</v>
      </c>
      <c r="AE2664" s="83" t="str">
        <f>HYPERLINK("https://twitter.com/fofao_marcelo/status/1671843843753275394")</f>
        <v>https://twitter.com/fofao_marcelo/status/1671843843753275394</v>
      </c>
      <c r="AF2664" s="79">
        <v>45099.481574074074</v>
      </c>
      <c r="AG2664" s="85">
        <v>45099</v>
      </c>
      <c r="AH2664" s="80" t="s">
        <v>12037</v>
      </c>
      <c r="AI2664" s="77"/>
      <c r="AJ2664" s="77"/>
      <c r="AK2664" s="77"/>
      <c r="AL2664" s="77"/>
      <c r="AM2664" s="77"/>
      <c r="AN2664" s="77"/>
      <c r="AO2664" s="77"/>
      <c r="AP2664" s="77"/>
      <c r="AQ2664" s="77"/>
      <c r="AR2664" s="77"/>
      <c r="AS2664" s="77"/>
      <c r="AT2664" s="77"/>
      <c r="AU2664" s="77"/>
      <c r="AV2664" s="83" t="str">
        <f>HYPERLINK("https://pbs.twimg.com/profile_images/1577673371600437249/QUJQqFkS_normal.jpg")</f>
        <v>https://pbs.twimg.com/profile_images/1577673371600437249/QUJQqFkS_normal.jpg</v>
      </c>
      <c r="AW2664" s="80" t="s">
        <v>18436</v>
      </c>
      <c r="AX2664" s="80" t="s">
        <v>18436</v>
      </c>
      <c r="AY2664" s="77"/>
      <c r="AZ2664" s="80" t="s">
        <v>20380</v>
      </c>
      <c r="BA2664" s="80" t="s">
        <v>19759</v>
      </c>
      <c r="BB2664" s="80" t="s">
        <v>20380</v>
      </c>
      <c r="BC2664" s="80" t="s">
        <v>19759</v>
      </c>
      <c r="BD2664" s="80" t="s">
        <v>20924</v>
      </c>
      <c r="BE2664" s="77"/>
      <c r="BF2664" s="77"/>
      <c r="BG2664" s="77"/>
      <c r="BH2664" s="77"/>
      <c r="BI2664" s="77"/>
    </row>
    <row r="2665" spans="1:61" x14ac:dyDescent="0.25">
      <c r="A2665" s="62" t="s">
        <v>1094</v>
      </c>
      <c r="B2665" s="62" t="s">
        <v>1624</v>
      </c>
      <c r="C2665" s="63"/>
      <c r="D2665" s="64"/>
      <c r="E2665" s="65"/>
      <c r="F2665" s="66"/>
      <c r="G2665" s="63"/>
      <c r="H2665" s="67"/>
      <c r="I2665" s="68"/>
      <c r="J2665" s="68"/>
      <c r="K2665" s="32"/>
      <c r="L2665" s="75">
        <v>2665</v>
      </c>
      <c r="M2665" s="75"/>
      <c r="N2665" s="70"/>
      <c r="O2665" s="77" t="s">
        <v>2082</v>
      </c>
      <c r="P2665" s="79">
        <v>45099.481574074074</v>
      </c>
      <c r="Q2665" s="77" t="s">
        <v>4427</v>
      </c>
      <c r="R2665" s="77">
        <v>1</v>
      </c>
      <c r="S2665" s="77">
        <v>1</v>
      </c>
      <c r="T2665" s="77">
        <v>0</v>
      </c>
      <c r="U2665" s="77">
        <v>0</v>
      </c>
      <c r="V2665" s="77">
        <v>28</v>
      </c>
      <c r="W2665" s="80" t="s">
        <v>5884</v>
      </c>
      <c r="X2665" s="77"/>
      <c r="Y2665" s="77"/>
      <c r="Z2665" s="77" t="s">
        <v>8948</v>
      </c>
      <c r="AA2665" s="77"/>
      <c r="AB2665" s="77"/>
      <c r="AC2665" s="80" t="s">
        <v>10540</v>
      </c>
      <c r="AD2665" s="77" t="s">
        <v>10617</v>
      </c>
      <c r="AE2665" s="83" t="str">
        <f>HYPERLINK("https://twitter.com/fofao_marcelo/status/1671843843753275394")</f>
        <v>https://twitter.com/fofao_marcelo/status/1671843843753275394</v>
      </c>
      <c r="AF2665" s="79">
        <v>45099.481574074074</v>
      </c>
      <c r="AG2665" s="85">
        <v>45099</v>
      </c>
      <c r="AH2665" s="80" t="s">
        <v>12037</v>
      </c>
      <c r="AI2665" s="77"/>
      <c r="AJ2665" s="77"/>
      <c r="AK2665" s="77"/>
      <c r="AL2665" s="77"/>
      <c r="AM2665" s="77"/>
      <c r="AN2665" s="77"/>
      <c r="AO2665" s="77"/>
      <c r="AP2665" s="77"/>
      <c r="AQ2665" s="77"/>
      <c r="AR2665" s="77"/>
      <c r="AS2665" s="77"/>
      <c r="AT2665" s="77"/>
      <c r="AU2665" s="77"/>
      <c r="AV2665" s="83" t="str">
        <f>HYPERLINK("https://pbs.twimg.com/profile_images/1577673371600437249/QUJQqFkS_normal.jpg")</f>
        <v>https://pbs.twimg.com/profile_images/1577673371600437249/QUJQqFkS_normal.jpg</v>
      </c>
      <c r="AW2665" s="80" t="s">
        <v>18436</v>
      </c>
      <c r="AX2665" s="80" t="s">
        <v>18436</v>
      </c>
      <c r="AY2665" s="77"/>
      <c r="AZ2665" s="80" t="s">
        <v>20380</v>
      </c>
      <c r="BA2665" s="80" t="s">
        <v>19759</v>
      </c>
      <c r="BB2665" s="80" t="s">
        <v>20380</v>
      </c>
      <c r="BC2665" s="80" t="s">
        <v>19759</v>
      </c>
      <c r="BD2665" s="80" t="s">
        <v>20924</v>
      </c>
      <c r="BE2665" s="77"/>
      <c r="BF2665" s="77"/>
      <c r="BG2665" s="77"/>
      <c r="BH2665" s="77"/>
      <c r="BI2665" s="77"/>
    </row>
    <row r="2666" spans="1:61" x14ac:dyDescent="0.25">
      <c r="A2666" s="62" t="s">
        <v>1095</v>
      </c>
      <c r="B2666" s="62" t="s">
        <v>1969</v>
      </c>
      <c r="C2666" s="63"/>
      <c r="D2666" s="64"/>
      <c r="E2666" s="65"/>
      <c r="F2666" s="66"/>
      <c r="G2666" s="63"/>
      <c r="H2666" s="67"/>
      <c r="I2666" s="68"/>
      <c r="J2666" s="68"/>
      <c r="K2666" s="32"/>
      <c r="L2666" s="75">
        <v>2666</v>
      </c>
      <c r="M2666" s="75"/>
      <c r="N2666" s="70"/>
      <c r="O2666" s="77" t="s">
        <v>2081</v>
      </c>
      <c r="P2666" s="79">
        <v>45072.83221064815</v>
      </c>
      <c r="Q2666" s="77" t="s">
        <v>4428</v>
      </c>
      <c r="R2666" s="77">
        <v>0</v>
      </c>
      <c r="S2666" s="77">
        <v>0</v>
      </c>
      <c r="T2666" s="77">
        <v>0</v>
      </c>
      <c r="U2666" s="77">
        <v>0</v>
      </c>
      <c r="V2666" s="77">
        <v>30</v>
      </c>
      <c r="W2666" s="80" t="s">
        <v>7563</v>
      </c>
      <c r="X2666" s="83" t="str">
        <f>HYPERLINK("https://www.periodicomensaje.com/otras/finanzas/10766-banco-popular-recibe-certificacion-como-entidad-libre-de-efectivo")</f>
        <v>https://www.periodicomensaje.com/otras/finanzas/10766-banco-popular-recibe-certificacion-como-entidad-libre-de-efectivo</v>
      </c>
      <c r="Y2666" s="77" t="s">
        <v>8798</v>
      </c>
      <c r="Z2666" s="77" t="s">
        <v>1969</v>
      </c>
      <c r="AA2666" s="77"/>
      <c r="AB2666" s="77"/>
      <c r="AC2666" s="80" t="s">
        <v>10552</v>
      </c>
      <c r="AD2666" s="77" t="s">
        <v>10620</v>
      </c>
      <c r="AE2666" s="83" t="str">
        <f>HYPERLINK("https://twitter.com/pmensaje/status/1662186436534124550")</f>
        <v>https://twitter.com/pmensaje/status/1662186436534124550</v>
      </c>
      <c r="AF2666" s="79">
        <v>45072.83221064815</v>
      </c>
      <c r="AG2666" s="85">
        <v>45072</v>
      </c>
      <c r="AH2666" s="80" t="s">
        <v>12960</v>
      </c>
      <c r="AI2666" s="77" t="b">
        <v>0</v>
      </c>
      <c r="AJ2666" s="77"/>
      <c r="AK2666" s="77"/>
      <c r="AL2666" s="77"/>
      <c r="AM2666" s="77"/>
      <c r="AN2666" s="77"/>
      <c r="AO2666" s="77"/>
      <c r="AP2666" s="77"/>
      <c r="AQ2666" s="77"/>
      <c r="AR2666" s="77"/>
      <c r="AS2666" s="77"/>
      <c r="AT2666" s="77"/>
      <c r="AU2666" s="77"/>
      <c r="AV2666" s="83" t="str">
        <f>HYPERLINK("https://pbs.twimg.com/profile_images/969267558623989761/yo4RaCa3_normal.jpg")</f>
        <v>https://pbs.twimg.com/profile_images/969267558623989761/yo4RaCa3_normal.jpg</v>
      </c>
      <c r="AW2666" s="80" t="s">
        <v>18437</v>
      </c>
      <c r="AX2666" s="80" t="s">
        <v>18437</v>
      </c>
      <c r="AY2666" s="77"/>
      <c r="AZ2666" s="80" t="s">
        <v>20380</v>
      </c>
      <c r="BA2666" s="80" t="s">
        <v>20380</v>
      </c>
      <c r="BB2666" s="80" t="s">
        <v>20380</v>
      </c>
      <c r="BC2666" s="80" t="s">
        <v>18437</v>
      </c>
      <c r="BD2666" s="77">
        <v>3168996618</v>
      </c>
      <c r="BE2666" s="77"/>
      <c r="BF2666" s="77"/>
      <c r="BG2666" s="77"/>
      <c r="BH2666" s="77"/>
      <c r="BI2666" s="77"/>
    </row>
    <row r="2667" spans="1:61" x14ac:dyDescent="0.25">
      <c r="A2667" s="62" t="s">
        <v>1096</v>
      </c>
      <c r="B2667" s="62" t="s">
        <v>1096</v>
      </c>
      <c r="C2667" s="63"/>
      <c r="D2667" s="64"/>
      <c r="E2667" s="65"/>
      <c r="F2667" s="66"/>
      <c r="G2667" s="63"/>
      <c r="H2667" s="67"/>
      <c r="I2667" s="68"/>
      <c r="J2667" s="68"/>
      <c r="K2667" s="32"/>
      <c r="L2667" s="75">
        <v>2667</v>
      </c>
      <c r="M2667" s="75"/>
      <c r="N2667" s="70"/>
      <c r="O2667" s="77" t="s">
        <v>2078</v>
      </c>
      <c r="P2667" s="79">
        <v>45119.625914351855</v>
      </c>
      <c r="Q2667" s="77" t="s">
        <v>4429</v>
      </c>
      <c r="R2667" s="77">
        <v>0</v>
      </c>
      <c r="S2667" s="77">
        <v>0</v>
      </c>
      <c r="T2667" s="77">
        <v>0</v>
      </c>
      <c r="U2667" s="77">
        <v>0</v>
      </c>
      <c r="V2667" s="77">
        <v>24</v>
      </c>
      <c r="W2667" s="80" t="s">
        <v>7564</v>
      </c>
      <c r="X2667" s="77"/>
      <c r="Y2667" s="77"/>
      <c r="Z2667" s="77"/>
      <c r="AA2667" s="77"/>
      <c r="AB2667" s="77"/>
      <c r="AC2667" s="80" t="s">
        <v>10540</v>
      </c>
      <c r="AD2667" s="77" t="s">
        <v>10617</v>
      </c>
      <c r="AE2667" s="83" t="str">
        <f>HYPERLINK("https://twitter.com/sandro_mabel_/status/1679143908054368257")</f>
        <v>https://twitter.com/sandro_mabel_/status/1679143908054368257</v>
      </c>
      <c r="AF2667" s="79">
        <v>45119.625914351855</v>
      </c>
      <c r="AG2667" s="85">
        <v>45119</v>
      </c>
      <c r="AH2667" s="80" t="s">
        <v>12961</v>
      </c>
      <c r="AI2667" s="77"/>
      <c r="AJ2667" s="77"/>
      <c r="AK2667" s="77"/>
      <c r="AL2667" s="77"/>
      <c r="AM2667" s="77"/>
      <c r="AN2667" s="77"/>
      <c r="AO2667" s="77"/>
      <c r="AP2667" s="77"/>
      <c r="AQ2667" s="77"/>
      <c r="AR2667" s="77"/>
      <c r="AS2667" s="77"/>
      <c r="AT2667" s="77"/>
      <c r="AU2667" s="77"/>
      <c r="AV2667" s="83" t="str">
        <f>HYPERLINK("https://pbs.twimg.com/profile_images/1438138345335541764/rHtNF_5i_normal.jpg")</f>
        <v>https://pbs.twimg.com/profile_images/1438138345335541764/rHtNF_5i_normal.jpg</v>
      </c>
      <c r="AW2667" s="80" t="s">
        <v>18438</v>
      </c>
      <c r="AX2667" s="80" t="s">
        <v>20071</v>
      </c>
      <c r="AY2667" s="80" t="s">
        <v>20322</v>
      </c>
      <c r="AZ2667" s="80" t="s">
        <v>20427</v>
      </c>
      <c r="BA2667" s="80" t="s">
        <v>20380</v>
      </c>
      <c r="BB2667" s="80" t="s">
        <v>20380</v>
      </c>
      <c r="BC2667" s="80" t="s">
        <v>20427</v>
      </c>
      <c r="BD2667" s="80" t="s">
        <v>20322</v>
      </c>
      <c r="BE2667" s="77"/>
      <c r="BF2667" s="77"/>
      <c r="BG2667" s="77"/>
      <c r="BH2667" s="77"/>
      <c r="BI2667" s="77"/>
    </row>
    <row r="2668" spans="1:61" x14ac:dyDescent="0.25">
      <c r="A2668" s="62" t="s">
        <v>1097</v>
      </c>
      <c r="B2668" s="62" t="s">
        <v>1920</v>
      </c>
      <c r="C2668" s="63"/>
      <c r="D2668" s="64"/>
      <c r="E2668" s="65"/>
      <c r="F2668" s="66"/>
      <c r="G2668" s="63"/>
      <c r="H2668" s="67"/>
      <c r="I2668" s="68"/>
      <c r="J2668" s="68"/>
      <c r="K2668" s="32"/>
      <c r="L2668" s="75">
        <v>2668</v>
      </c>
      <c r="M2668" s="75"/>
      <c r="N2668" s="70"/>
      <c r="O2668" s="77" t="s">
        <v>2081</v>
      </c>
      <c r="P2668" s="79">
        <v>45054.93041666667</v>
      </c>
      <c r="Q2668" s="77" t="s">
        <v>4430</v>
      </c>
      <c r="R2668" s="77">
        <v>2</v>
      </c>
      <c r="S2668" s="77">
        <v>1</v>
      </c>
      <c r="T2668" s="77">
        <v>0</v>
      </c>
      <c r="U2668" s="77">
        <v>0</v>
      </c>
      <c r="V2668" s="77">
        <v>543</v>
      </c>
      <c r="W2668" s="80" t="s">
        <v>7565</v>
      </c>
      <c r="X2668" s="77"/>
      <c r="Y2668" s="77"/>
      <c r="Z2668" s="77" t="s">
        <v>1920</v>
      </c>
      <c r="AA2668" s="77" t="s">
        <v>9868</v>
      </c>
      <c r="AB2668" s="77" t="s">
        <v>10534</v>
      </c>
      <c r="AC2668" s="80" t="s">
        <v>10597</v>
      </c>
      <c r="AD2668" s="77" t="s">
        <v>10626</v>
      </c>
      <c r="AE2668" s="83" t="str">
        <f>HYPERLINK("https://twitter.com/imminent_news/status/1655699044935532545")</f>
        <v>https://twitter.com/imminent_news/status/1655699044935532545</v>
      </c>
      <c r="AF2668" s="79">
        <v>45054.93041666667</v>
      </c>
      <c r="AG2668" s="85">
        <v>45054</v>
      </c>
      <c r="AH2668" s="80" t="s">
        <v>12604</v>
      </c>
      <c r="AI2668" s="77" t="b">
        <v>0</v>
      </c>
      <c r="AJ2668" s="77"/>
      <c r="AK2668" s="77"/>
      <c r="AL2668" s="77"/>
      <c r="AM2668" s="77"/>
      <c r="AN2668" s="77"/>
      <c r="AO2668" s="77"/>
      <c r="AP2668" s="77"/>
      <c r="AQ2668" s="77" t="s">
        <v>15139</v>
      </c>
      <c r="AR2668" s="77">
        <v>98681</v>
      </c>
      <c r="AS2668" s="77"/>
      <c r="AT2668" s="77"/>
      <c r="AU2668" s="77"/>
      <c r="AV2668" s="83" t="str">
        <f>HYPERLINK("https://pbs.twimg.com/ext_tw_video_thumb/1655682200447201281/pu/img/j0wMlHbivDaSH0MR.jpg")</f>
        <v>https://pbs.twimg.com/ext_tw_video_thumb/1655682200447201281/pu/img/j0wMlHbivDaSH0MR.jpg</v>
      </c>
      <c r="AW2668" s="80" t="s">
        <v>18439</v>
      </c>
      <c r="AX2668" s="80" t="s">
        <v>18439</v>
      </c>
      <c r="AY2668" s="77"/>
      <c r="AZ2668" s="80" t="s">
        <v>20380</v>
      </c>
      <c r="BA2668" s="80" t="s">
        <v>20380</v>
      </c>
      <c r="BB2668" s="80" t="s">
        <v>20380</v>
      </c>
      <c r="BC2668" s="80" t="s">
        <v>18439</v>
      </c>
      <c r="BD2668" s="80" t="s">
        <v>20925</v>
      </c>
      <c r="BE2668" s="77"/>
      <c r="BF2668" s="77"/>
      <c r="BG2668" s="77"/>
      <c r="BH2668" s="77"/>
      <c r="BI2668" s="77"/>
    </row>
    <row r="2669" spans="1:61" x14ac:dyDescent="0.25">
      <c r="A2669" s="62" t="s">
        <v>1098</v>
      </c>
      <c r="B2669" s="62" t="s">
        <v>1098</v>
      </c>
      <c r="C2669" s="63"/>
      <c r="D2669" s="64"/>
      <c r="E2669" s="65"/>
      <c r="F2669" s="66"/>
      <c r="G2669" s="63"/>
      <c r="H2669" s="67"/>
      <c r="I2669" s="68"/>
      <c r="J2669" s="68"/>
      <c r="K2669" s="32"/>
      <c r="L2669" s="75">
        <v>2669</v>
      </c>
      <c r="M2669" s="75"/>
      <c r="N2669" s="70"/>
      <c r="O2669" s="77" t="s">
        <v>179</v>
      </c>
      <c r="P2669" s="79">
        <v>45154.876435185186</v>
      </c>
      <c r="Q2669" s="77" t="s">
        <v>4431</v>
      </c>
      <c r="R2669" s="77">
        <v>0</v>
      </c>
      <c r="S2669" s="77">
        <v>1</v>
      </c>
      <c r="T2669" s="77">
        <v>0</v>
      </c>
      <c r="U2669" s="77">
        <v>0</v>
      </c>
      <c r="V2669" s="77">
        <v>35</v>
      </c>
      <c r="W2669" s="80" t="s">
        <v>7566</v>
      </c>
      <c r="X2669" s="83" t="str">
        <f>HYPERLINK("https://www.youtube.com/watch?v=k4Jds7duGzg")</f>
        <v>https://www.youtube.com/watch?v=k4Jds7duGzg</v>
      </c>
      <c r="Y2669" s="77" t="s">
        <v>8612</v>
      </c>
      <c r="Z2669" s="77"/>
      <c r="AA2669" s="77"/>
      <c r="AB2669" s="77"/>
      <c r="AC2669" s="80" t="s">
        <v>10565</v>
      </c>
      <c r="AD2669" s="77" t="s">
        <v>10617</v>
      </c>
      <c r="AE2669" s="83" t="str">
        <f>HYPERLINK("https://twitter.com/bpopeconomia/status/1691918271350448523")</f>
        <v>https://twitter.com/bpopeconomia/status/1691918271350448523</v>
      </c>
      <c r="AF2669" s="79">
        <v>45154.876435185186</v>
      </c>
      <c r="AG2669" s="85">
        <v>45154</v>
      </c>
      <c r="AH2669" s="80" t="s">
        <v>12962</v>
      </c>
      <c r="AI2669" s="77" t="b">
        <v>0</v>
      </c>
      <c r="AJ2669" s="77"/>
      <c r="AK2669" s="77"/>
      <c r="AL2669" s="77"/>
      <c r="AM2669" s="77"/>
      <c r="AN2669" s="77"/>
      <c r="AO2669" s="77"/>
      <c r="AP2669" s="77"/>
      <c r="AQ2669" s="77"/>
      <c r="AR2669" s="77"/>
      <c r="AS2669" s="77"/>
      <c r="AT2669" s="77"/>
      <c r="AU2669" s="77"/>
      <c r="AV2669" s="83" t="str">
        <f>HYPERLINK("https://pbs.twimg.com/profile_images/1608865797509627906/NmQyzXGt_normal.jpg")</f>
        <v>https://pbs.twimg.com/profile_images/1608865797509627906/NmQyzXGt_normal.jpg</v>
      </c>
      <c r="AW2669" s="80" t="s">
        <v>18440</v>
      </c>
      <c r="AX2669" s="80" t="s">
        <v>18440</v>
      </c>
      <c r="AY2669" s="77"/>
      <c r="AZ2669" s="80" t="s">
        <v>20380</v>
      </c>
      <c r="BA2669" s="80" t="s">
        <v>20380</v>
      </c>
      <c r="BB2669" s="80" t="s">
        <v>20380</v>
      </c>
      <c r="BC2669" s="80" t="s">
        <v>18440</v>
      </c>
      <c r="BD2669" s="80" t="s">
        <v>20926</v>
      </c>
      <c r="BE2669" s="77"/>
      <c r="BF2669" s="77"/>
      <c r="BG2669" s="77"/>
      <c r="BH2669" s="77"/>
      <c r="BI2669" s="77"/>
    </row>
    <row r="2670" spans="1:61" x14ac:dyDescent="0.25">
      <c r="A2670" s="62" t="s">
        <v>1099</v>
      </c>
      <c r="B2670" s="62" t="s">
        <v>1099</v>
      </c>
      <c r="C2670" s="63"/>
      <c r="D2670" s="64"/>
      <c r="E2670" s="65"/>
      <c r="F2670" s="66"/>
      <c r="G2670" s="63"/>
      <c r="H2670" s="67"/>
      <c r="I2670" s="68"/>
      <c r="J2670" s="68"/>
      <c r="K2670" s="32"/>
      <c r="L2670" s="75">
        <v>2670</v>
      </c>
      <c r="M2670" s="75"/>
      <c r="N2670" s="70"/>
      <c r="O2670" s="77" t="s">
        <v>179</v>
      </c>
      <c r="P2670" s="79">
        <v>45115.601319444446</v>
      </c>
      <c r="Q2670" s="77" t="s">
        <v>4432</v>
      </c>
      <c r="R2670" s="77">
        <v>0</v>
      </c>
      <c r="S2670" s="77">
        <v>0</v>
      </c>
      <c r="T2670" s="77">
        <v>0</v>
      </c>
      <c r="U2670" s="77">
        <v>0</v>
      </c>
      <c r="V2670" s="77">
        <v>62</v>
      </c>
      <c r="W2670" s="80" t="s">
        <v>5884</v>
      </c>
      <c r="X2670" s="83" t="str">
        <f>HYPERLINK("https://www.marcainformativacba.com/fmi/el-banco-central-cerro-la-semana-otra-fuerte-venta-dolares-n35213")</f>
        <v>https://www.marcainformativacba.com/fmi/el-banco-central-cerro-la-semana-otra-fuerte-venta-dolares-n35213</v>
      </c>
      <c r="Y2670" s="77" t="s">
        <v>8799</v>
      </c>
      <c r="Z2670" s="77"/>
      <c r="AA2670" s="77"/>
      <c r="AB2670" s="77"/>
      <c r="AC2670" s="80" t="s">
        <v>10541</v>
      </c>
      <c r="AD2670" s="77" t="s">
        <v>10620</v>
      </c>
      <c r="AE2670" s="83" t="str">
        <f>HYPERLINK("https://twitter.com/cbamarca/status/1677685443737837568")</f>
        <v>https://twitter.com/cbamarca/status/1677685443737837568</v>
      </c>
      <c r="AF2670" s="79">
        <v>45115.601319444446</v>
      </c>
      <c r="AG2670" s="85">
        <v>45115</v>
      </c>
      <c r="AH2670" s="80" t="s">
        <v>12963</v>
      </c>
      <c r="AI2670" s="77" t="b">
        <v>0</v>
      </c>
      <c r="AJ2670" s="77"/>
      <c r="AK2670" s="77"/>
      <c r="AL2670" s="77"/>
      <c r="AM2670" s="77"/>
      <c r="AN2670" s="77"/>
      <c r="AO2670" s="77"/>
      <c r="AP2670" s="77"/>
      <c r="AQ2670" s="77"/>
      <c r="AR2670" s="77"/>
      <c r="AS2670" s="77"/>
      <c r="AT2670" s="77"/>
      <c r="AU2670" s="77"/>
      <c r="AV2670" s="83" t="str">
        <f>HYPERLINK("https://pbs.twimg.com/profile_images/1380256050327265281/XdZNWy6F_normal.jpg")</f>
        <v>https://pbs.twimg.com/profile_images/1380256050327265281/XdZNWy6F_normal.jpg</v>
      </c>
      <c r="AW2670" s="80" t="s">
        <v>18441</v>
      </c>
      <c r="AX2670" s="80" t="s">
        <v>18441</v>
      </c>
      <c r="AY2670" s="77"/>
      <c r="AZ2670" s="80" t="s">
        <v>20380</v>
      </c>
      <c r="BA2670" s="80" t="s">
        <v>20380</v>
      </c>
      <c r="BB2670" s="80" t="s">
        <v>20380</v>
      </c>
      <c r="BC2670" s="80" t="s">
        <v>18441</v>
      </c>
      <c r="BD2670" s="80" t="s">
        <v>20927</v>
      </c>
      <c r="BE2670" s="77"/>
      <c r="BF2670" s="77"/>
      <c r="BG2670" s="77"/>
      <c r="BH2670" s="77"/>
      <c r="BI2670" s="77"/>
    </row>
    <row r="2671" spans="1:61" x14ac:dyDescent="0.25">
      <c r="A2671" s="62" t="s">
        <v>1099</v>
      </c>
      <c r="B2671" s="62" t="s">
        <v>1099</v>
      </c>
      <c r="C2671" s="63"/>
      <c r="D2671" s="64"/>
      <c r="E2671" s="65"/>
      <c r="F2671" s="66"/>
      <c r="G2671" s="63"/>
      <c r="H2671" s="67"/>
      <c r="I2671" s="68"/>
      <c r="J2671" s="68"/>
      <c r="K2671" s="32"/>
      <c r="L2671" s="75">
        <v>2671</v>
      </c>
      <c r="M2671" s="75"/>
      <c r="N2671" s="70"/>
      <c r="O2671" s="77" t="s">
        <v>179</v>
      </c>
      <c r="P2671" s="79">
        <v>45152.613668981481</v>
      </c>
      <c r="Q2671" s="77" t="s">
        <v>4433</v>
      </c>
      <c r="R2671" s="77">
        <v>0</v>
      </c>
      <c r="S2671" s="77">
        <v>0</v>
      </c>
      <c r="T2671" s="77">
        <v>0</v>
      </c>
      <c r="U2671" s="77">
        <v>0</v>
      </c>
      <c r="V2671" s="77">
        <v>385</v>
      </c>
      <c r="W2671" s="80" t="s">
        <v>5966</v>
      </c>
      <c r="X2671" s="83" t="str">
        <f>HYPERLINK("https://www.marcainformativacba.com/paso/efecto-paso-el-banco-central-devalua-el-dolar-oficial-y-lleva-la-cotizacion-350-n35914")</f>
        <v>https://www.marcainformativacba.com/paso/efecto-paso-el-banco-central-devalua-el-dolar-oficial-y-lleva-la-cotizacion-350-n35914</v>
      </c>
      <c r="Y2671" s="77" t="s">
        <v>8799</v>
      </c>
      <c r="Z2671" s="77"/>
      <c r="AA2671" s="77"/>
      <c r="AB2671" s="77"/>
      <c r="AC2671" s="80" t="s">
        <v>10541</v>
      </c>
      <c r="AD2671" s="77" t="s">
        <v>10620</v>
      </c>
      <c r="AE2671" s="83" t="str">
        <f>HYPERLINK("https://twitter.com/cbamarca/status/1691098270758793216")</f>
        <v>https://twitter.com/cbamarca/status/1691098270758793216</v>
      </c>
      <c r="AF2671" s="79">
        <v>45152.613668981481</v>
      </c>
      <c r="AG2671" s="85">
        <v>45152</v>
      </c>
      <c r="AH2671" s="80" t="s">
        <v>12964</v>
      </c>
      <c r="AI2671" s="77" t="b">
        <v>0</v>
      </c>
      <c r="AJ2671" s="77" t="s">
        <v>14363</v>
      </c>
      <c r="AK2671" s="77" t="s">
        <v>14385</v>
      </c>
      <c r="AL2671" s="77" t="s">
        <v>14394</v>
      </c>
      <c r="AM2671" s="77" t="s">
        <v>14420</v>
      </c>
      <c r="AN2671" s="77" t="s">
        <v>14460</v>
      </c>
      <c r="AO2671" s="77" t="s">
        <v>14499</v>
      </c>
      <c r="AP2671" s="77" t="s">
        <v>14516</v>
      </c>
      <c r="AQ2671" s="77"/>
      <c r="AR2671" s="77"/>
      <c r="AS2671" s="77"/>
      <c r="AT2671" s="77"/>
      <c r="AU2671" s="77"/>
      <c r="AV2671" s="83" t="str">
        <f>HYPERLINK("https://pbs.twimg.com/profile_images/1380256050327265281/XdZNWy6F_normal.jpg")</f>
        <v>https://pbs.twimg.com/profile_images/1380256050327265281/XdZNWy6F_normal.jpg</v>
      </c>
      <c r="AW2671" s="80" t="s">
        <v>18442</v>
      </c>
      <c r="AX2671" s="80" t="s">
        <v>18442</v>
      </c>
      <c r="AY2671" s="77"/>
      <c r="AZ2671" s="80" t="s">
        <v>20380</v>
      </c>
      <c r="BA2671" s="80" t="s">
        <v>20380</v>
      </c>
      <c r="BB2671" s="80" t="s">
        <v>20380</v>
      </c>
      <c r="BC2671" s="80" t="s">
        <v>18442</v>
      </c>
      <c r="BD2671" s="80" t="s">
        <v>20927</v>
      </c>
      <c r="BE2671" s="77"/>
      <c r="BF2671" s="77"/>
      <c r="BG2671" s="77"/>
      <c r="BH2671" s="77"/>
      <c r="BI2671" s="77"/>
    </row>
    <row r="2672" spans="1:61" x14ac:dyDescent="0.25">
      <c r="A2672" s="62" t="s">
        <v>1099</v>
      </c>
      <c r="B2672" s="62" t="s">
        <v>1099</v>
      </c>
      <c r="C2672" s="63"/>
      <c r="D2672" s="64"/>
      <c r="E2672" s="65"/>
      <c r="F2672" s="66"/>
      <c r="G2672" s="63"/>
      <c r="H2672" s="67"/>
      <c r="I2672" s="68"/>
      <c r="J2672" s="68"/>
      <c r="K2672" s="32"/>
      <c r="L2672" s="75">
        <v>2672</v>
      </c>
      <c r="M2672" s="75"/>
      <c r="N2672" s="70"/>
      <c r="O2672" s="77" t="s">
        <v>179</v>
      </c>
      <c r="P2672" s="79">
        <v>45104.924004629633</v>
      </c>
      <c r="Q2672" s="77" t="s">
        <v>4434</v>
      </c>
      <c r="R2672" s="77">
        <v>1</v>
      </c>
      <c r="S2672" s="77">
        <v>0</v>
      </c>
      <c r="T2672" s="77">
        <v>0</v>
      </c>
      <c r="U2672" s="77">
        <v>0</v>
      </c>
      <c r="V2672" s="77">
        <v>105</v>
      </c>
      <c r="W2672" s="80" t="s">
        <v>7567</v>
      </c>
      <c r="X2672" s="83" t="str">
        <f>HYPERLINK("https://www.marcainformativacba.com/dolar-blue/subio-el-dolar-blue-y-el-banco-central-volvio-vender-divisas-n35004")</f>
        <v>https://www.marcainformativacba.com/dolar-blue/subio-el-dolar-blue-y-el-banco-central-volvio-vender-divisas-n35004</v>
      </c>
      <c r="Y2672" s="77" t="s">
        <v>8799</v>
      </c>
      <c r="Z2672" s="77"/>
      <c r="AA2672" s="77"/>
      <c r="AB2672" s="77"/>
      <c r="AC2672" s="80" t="s">
        <v>10541</v>
      </c>
      <c r="AD2672" s="77" t="s">
        <v>10620</v>
      </c>
      <c r="AE2672" s="83" t="str">
        <f>HYPERLINK("https://twitter.com/cbamarca/status/1673816113304551424")</f>
        <v>https://twitter.com/cbamarca/status/1673816113304551424</v>
      </c>
      <c r="AF2672" s="79">
        <v>45104.924004629633</v>
      </c>
      <c r="AG2672" s="85">
        <v>45104</v>
      </c>
      <c r="AH2672" s="80" t="s">
        <v>12965</v>
      </c>
      <c r="AI2672" s="77" t="b">
        <v>0</v>
      </c>
      <c r="AJ2672" s="77"/>
      <c r="AK2672" s="77"/>
      <c r="AL2672" s="77"/>
      <c r="AM2672" s="77"/>
      <c r="AN2672" s="77"/>
      <c r="AO2672" s="77"/>
      <c r="AP2672" s="77"/>
      <c r="AQ2672" s="77"/>
      <c r="AR2672" s="77"/>
      <c r="AS2672" s="77"/>
      <c r="AT2672" s="77"/>
      <c r="AU2672" s="77"/>
      <c r="AV2672" s="83" t="str">
        <f>HYPERLINK("https://pbs.twimg.com/profile_images/1380256050327265281/XdZNWy6F_normal.jpg")</f>
        <v>https://pbs.twimg.com/profile_images/1380256050327265281/XdZNWy6F_normal.jpg</v>
      </c>
      <c r="AW2672" s="80" t="s">
        <v>18443</v>
      </c>
      <c r="AX2672" s="80" t="s">
        <v>18443</v>
      </c>
      <c r="AY2672" s="77"/>
      <c r="AZ2672" s="80" t="s">
        <v>20380</v>
      </c>
      <c r="BA2672" s="80" t="s">
        <v>20380</v>
      </c>
      <c r="BB2672" s="80" t="s">
        <v>20380</v>
      </c>
      <c r="BC2672" s="80" t="s">
        <v>18443</v>
      </c>
      <c r="BD2672" s="80" t="s">
        <v>20927</v>
      </c>
      <c r="BE2672" s="77"/>
      <c r="BF2672" s="77"/>
      <c r="BG2672" s="77"/>
      <c r="BH2672" s="77"/>
      <c r="BI2672" s="77"/>
    </row>
    <row r="2673" spans="1:61" x14ac:dyDescent="0.25">
      <c r="A2673" s="62" t="s">
        <v>1100</v>
      </c>
      <c r="B2673" s="62" t="s">
        <v>1615</v>
      </c>
      <c r="C2673" s="63"/>
      <c r="D2673" s="64"/>
      <c r="E2673" s="65"/>
      <c r="F2673" s="66"/>
      <c r="G2673" s="63"/>
      <c r="H2673" s="67"/>
      <c r="I2673" s="68"/>
      <c r="J2673" s="68"/>
      <c r="K2673" s="32"/>
      <c r="L2673" s="75">
        <v>2673</v>
      </c>
      <c r="M2673" s="75"/>
      <c r="N2673" s="70"/>
      <c r="O2673" s="77" t="s">
        <v>2083</v>
      </c>
      <c r="P2673" s="79">
        <v>45196.368888888886</v>
      </c>
      <c r="Q2673" s="77" t="s">
        <v>2216</v>
      </c>
      <c r="R2673" s="77">
        <v>7</v>
      </c>
      <c r="S2673" s="77">
        <v>0</v>
      </c>
      <c r="T2673" s="77">
        <v>0</v>
      </c>
      <c r="U2673" s="77">
        <v>0</v>
      </c>
      <c r="V2673" s="77"/>
      <c r="W2673" s="80" t="s">
        <v>5997</v>
      </c>
      <c r="X2673" s="77"/>
      <c r="Y2673" s="77"/>
      <c r="Z2673" s="77" t="s">
        <v>1615</v>
      </c>
      <c r="AA2673" s="77" t="s">
        <v>9078</v>
      </c>
      <c r="AB2673" s="77" t="s">
        <v>10535</v>
      </c>
      <c r="AC2673" s="80" t="s">
        <v>10542</v>
      </c>
      <c r="AD2673" s="77" t="s">
        <v>10617</v>
      </c>
      <c r="AE2673" s="83" t="str">
        <f>HYPERLINK("https://twitter.com/komodojjoe/status/1706954631274697194")</f>
        <v>https://twitter.com/komodojjoe/status/1706954631274697194</v>
      </c>
      <c r="AF2673" s="79">
        <v>45196.368888888886</v>
      </c>
      <c r="AG2673" s="85">
        <v>45196</v>
      </c>
      <c r="AH2673" s="80" t="s">
        <v>12966</v>
      </c>
      <c r="AI2673" s="77" t="b">
        <v>1</v>
      </c>
      <c r="AJ2673" s="77"/>
      <c r="AK2673" s="77"/>
      <c r="AL2673" s="77"/>
      <c r="AM2673" s="77"/>
      <c r="AN2673" s="77"/>
      <c r="AO2673" s="77"/>
      <c r="AP2673" s="77"/>
      <c r="AQ2673" s="77" t="s">
        <v>14560</v>
      </c>
      <c r="AR2673" s="77"/>
      <c r="AS2673" s="77"/>
      <c r="AT2673" s="77"/>
      <c r="AU2673" s="77"/>
      <c r="AV2673" s="83" t="str">
        <f>HYPERLINK("https://pbs.twimg.com/media/F7BR3b-WUAEVt-O.jpg")</f>
        <v>https://pbs.twimg.com/media/F7BR3b-WUAEVt-O.jpg</v>
      </c>
      <c r="AW2673" s="80" t="s">
        <v>18444</v>
      </c>
      <c r="AX2673" s="80" t="s">
        <v>18444</v>
      </c>
      <c r="AY2673" s="77"/>
      <c r="AZ2673" s="80" t="s">
        <v>20380</v>
      </c>
      <c r="BA2673" s="80" t="s">
        <v>20380</v>
      </c>
      <c r="BB2673" s="80" t="s">
        <v>19742</v>
      </c>
      <c r="BC2673" s="80" t="s">
        <v>19742</v>
      </c>
      <c r="BD2673" s="80" t="s">
        <v>20928</v>
      </c>
      <c r="BE2673" s="77"/>
      <c r="BF2673" s="77"/>
      <c r="BG2673" s="77"/>
      <c r="BH2673" s="77"/>
      <c r="BI2673" s="77"/>
    </row>
    <row r="2674" spans="1:61" x14ac:dyDescent="0.25">
      <c r="A2674" s="62" t="s">
        <v>1101</v>
      </c>
      <c r="B2674" s="62" t="s">
        <v>1101</v>
      </c>
      <c r="C2674" s="63"/>
      <c r="D2674" s="64"/>
      <c r="E2674" s="65"/>
      <c r="F2674" s="66"/>
      <c r="G2674" s="63"/>
      <c r="H2674" s="67"/>
      <c r="I2674" s="68"/>
      <c r="J2674" s="68"/>
      <c r="K2674" s="32"/>
      <c r="L2674" s="75">
        <v>2674</v>
      </c>
      <c r="M2674" s="75"/>
      <c r="N2674" s="70"/>
      <c r="O2674" s="77" t="s">
        <v>179</v>
      </c>
      <c r="P2674" s="79">
        <v>45099.571018518516</v>
      </c>
      <c r="Q2674" s="77" t="s">
        <v>4435</v>
      </c>
      <c r="R2674" s="77">
        <v>0</v>
      </c>
      <c r="S2674" s="77">
        <v>0</v>
      </c>
      <c r="T2674" s="77">
        <v>1</v>
      </c>
      <c r="U2674" s="77">
        <v>0</v>
      </c>
      <c r="V2674" s="77">
        <v>13</v>
      </c>
      <c r="W2674" s="80" t="s">
        <v>7568</v>
      </c>
      <c r="X2674" s="77"/>
      <c r="Y2674" s="77"/>
      <c r="Z2674" s="77"/>
      <c r="AA2674" s="77" t="s">
        <v>9869</v>
      </c>
      <c r="AB2674" s="77" t="s">
        <v>10535</v>
      </c>
      <c r="AC2674" s="80" t="s">
        <v>10540</v>
      </c>
      <c r="AD2674" s="77" t="s">
        <v>10617</v>
      </c>
      <c r="AE2674" s="83" t="str">
        <f>HYPERLINK("https://twitter.com/israelwallysso1/status/1671876259280744449")</f>
        <v>https://twitter.com/israelwallysso1/status/1671876259280744449</v>
      </c>
      <c r="AF2674" s="79">
        <v>45099.571018518516</v>
      </c>
      <c r="AG2674" s="85">
        <v>45099</v>
      </c>
      <c r="AH2674" s="80" t="s">
        <v>12967</v>
      </c>
      <c r="AI2674" s="77" t="b">
        <v>0</v>
      </c>
      <c r="AJ2674" s="77"/>
      <c r="AK2674" s="77"/>
      <c r="AL2674" s="77"/>
      <c r="AM2674" s="77"/>
      <c r="AN2674" s="77"/>
      <c r="AO2674" s="77"/>
      <c r="AP2674" s="77"/>
      <c r="AQ2674" s="77" t="s">
        <v>15350</v>
      </c>
      <c r="AR2674" s="77"/>
      <c r="AS2674" s="77"/>
      <c r="AT2674" s="77"/>
      <c r="AU2674" s="77"/>
      <c r="AV2674" s="83" t="str">
        <f>HYPERLINK("https://pbs.twimg.com/media/FzOylL_aAAEtfmX.jpg")</f>
        <v>https://pbs.twimg.com/media/FzOylL_aAAEtfmX.jpg</v>
      </c>
      <c r="AW2674" s="80" t="s">
        <v>18445</v>
      </c>
      <c r="AX2674" s="80" t="s">
        <v>18445</v>
      </c>
      <c r="AY2674" s="77"/>
      <c r="AZ2674" s="80" t="s">
        <v>20380</v>
      </c>
      <c r="BA2674" s="80" t="s">
        <v>20380</v>
      </c>
      <c r="BB2674" s="80" t="s">
        <v>20380</v>
      </c>
      <c r="BC2674" s="80" t="s">
        <v>18445</v>
      </c>
      <c r="BD2674" s="80" t="s">
        <v>20929</v>
      </c>
      <c r="BE2674" s="77"/>
      <c r="BF2674" s="77"/>
      <c r="BG2674" s="77"/>
      <c r="BH2674" s="77"/>
      <c r="BI2674" s="77"/>
    </row>
    <row r="2675" spans="1:61" x14ac:dyDescent="0.25">
      <c r="A2675" s="62" t="s">
        <v>1102</v>
      </c>
      <c r="B2675" s="62" t="s">
        <v>1655</v>
      </c>
      <c r="C2675" s="63"/>
      <c r="D2675" s="64"/>
      <c r="E2675" s="65"/>
      <c r="F2675" s="66"/>
      <c r="G2675" s="63"/>
      <c r="H2675" s="67"/>
      <c r="I2675" s="68"/>
      <c r="J2675" s="68"/>
      <c r="K2675" s="32"/>
      <c r="L2675" s="75">
        <v>2675</v>
      </c>
      <c r="M2675" s="75"/>
      <c r="N2675" s="70"/>
      <c r="O2675" s="77" t="s">
        <v>2083</v>
      </c>
      <c r="P2675" s="79">
        <v>45191.150324074071</v>
      </c>
      <c r="Q2675" s="77" t="s">
        <v>2120</v>
      </c>
      <c r="R2675" s="77">
        <v>57</v>
      </c>
      <c r="S2675" s="77">
        <v>0</v>
      </c>
      <c r="T2675" s="77">
        <v>0</v>
      </c>
      <c r="U2675" s="77">
        <v>0</v>
      </c>
      <c r="V2675" s="77"/>
      <c r="W2675" s="80" t="s">
        <v>5917</v>
      </c>
      <c r="X2675" s="77"/>
      <c r="Y2675" s="77"/>
      <c r="Z2675" s="77" t="s">
        <v>1655</v>
      </c>
      <c r="AA2675" s="77"/>
      <c r="AB2675" s="77"/>
      <c r="AC2675" s="80" t="s">
        <v>10540</v>
      </c>
      <c r="AD2675" s="77" t="s">
        <v>10617</v>
      </c>
      <c r="AE2675" s="83" t="str">
        <f>HYPERLINK("https://twitter.com/soares_edeson/status/1705063488228393176")</f>
        <v>https://twitter.com/soares_edeson/status/1705063488228393176</v>
      </c>
      <c r="AF2675" s="79">
        <v>45191.150324074071</v>
      </c>
      <c r="AG2675" s="85">
        <v>45191</v>
      </c>
      <c r="AH2675" s="80" t="s">
        <v>12968</v>
      </c>
      <c r="AI2675" s="77"/>
      <c r="AJ2675" s="77"/>
      <c r="AK2675" s="77"/>
      <c r="AL2675" s="77"/>
      <c r="AM2675" s="77"/>
      <c r="AN2675" s="77"/>
      <c r="AO2675" s="77"/>
      <c r="AP2675" s="77"/>
      <c r="AQ2675" s="77"/>
      <c r="AR2675" s="77"/>
      <c r="AS2675" s="77"/>
      <c r="AT2675" s="77"/>
      <c r="AU2675" s="77"/>
      <c r="AV2675" s="83" t="str">
        <f>HYPERLINK("https://pbs.twimg.com/profile_images/1655983323640889346/bgyRQY3R_normal.jpg")</f>
        <v>https://pbs.twimg.com/profile_images/1655983323640889346/bgyRQY3R_normal.jpg</v>
      </c>
      <c r="AW2675" s="80" t="s">
        <v>18446</v>
      </c>
      <c r="AX2675" s="80" t="s">
        <v>18446</v>
      </c>
      <c r="AY2675" s="77"/>
      <c r="AZ2675" s="80" t="s">
        <v>20380</v>
      </c>
      <c r="BA2675" s="80" t="s">
        <v>20380</v>
      </c>
      <c r="BB2675" s="80" t="s">
        <v>19843</v>
      </c>
      <c r="BC2675" s="80" t="s">
        <v>19843</v>
      </c>
      <c r="BD2675" s="80" t="s">
        <v>20930</v>
      </c>
      <c r="BE2675" s="77"/>
      <c r="BF2675" s="77"/>
      <c r="BG2675" s="77"/>
      <c r="BH2675" s="77"/>
      <c r="BI2675" s="77"/>
    </row>
    <row r="2676" spans="1:61" x14ac:dyDescent="0.25">
      <c r="A2676" s="62" t="s">
        <v>1102</v>
      </c>
      <c r="B2676" s="62" t="s">
        <v>1655</v>
      </c>
      <c r="C2676" s="63"/>
      <c r="D2676" s="64"/>
      <c r="E2676" s="65"/>
      <c r="F2676" s="66"/>
      <c r="G2676" s="63"/>
      <c r="H2676" s="67"/>
      <c r="I2676" s="68"/>
      <c r="J2676" s="68"/>
      <c r="K2676" s="32"/>
      <c r="L2676" s="75">
        <v>2676</v>
      </c>
      <c r="M2676" s="75"/>
      <c r="N2676" s="70"/>
      <c r="O2676" s="77" t="s">
        <v>2083</v>
      </c>
      <c r="P2676" s="79">
        <v>45191.049849537034</v>
      </c>
      <c r="Q2676" s="77" t="s">
        <v>2120</v>
      </c>
      <c r="R2676" s="77">
        <v>25</v>
      </c>
      <c r="S2676" s="77">
        <v>0</v>
      </c>
      <c r="T2676" s="77">
        <v>0</v>
      </c>
      <c r="U2676" s="77">
        <v>0</v>
      </c>
      <c r="V2676" s="77"/>
      <c r="W2676" s="80" t="s">
        <v>5917</v>
      </c>
      <c r="X2676" s="77"/>
      <c r="Y2676" s="77"/>
      <c r="Z2676" s="77" t="s">
        <v>1655</v>
      </c>
      <c r="AA2676" s="77"/>
      <c r="AB2676" s="77"/>
      <c r="AC2676" s="80" t="s">
        <v>10540</v>
      </c>
      <c r="AD2676" s="77" t="s">
        <v>10617</v>
      </c>
      <c r="AE2676" s="83" t="str">
        <f>HYPERLINK("https://twitter.com/soares_edeson/status/1705027077047513404")</f>
        <v>https://twitter.com/soares_edeson/status/1705027077047513404</v>
      </c>
      <c r="AF2676" s="79">
        <v>45191.049849537034</v>
      </c>
      <c r="AG2676" s="85">
        <v>45191</v>
      </c>
      <c r="AH2676" s="80" t="s">
        <v>12969</v>
      </c>
      <c r="AI2676" s="77"/>
      <c r="AJ2676" s="77"/>
      <c r="AK2676" s="77"/>
      <c r="AL2676" s="77"/>
      <c r="AM2676" s="77"/>
      <c r="AN2676" s="77"/>
      <c r="AO2676" s="77"/>
      <c r="AP2676" s="77"/>
      <c r="AQ2676" s="77"/>
      <c r="AR2676" s="77"/>
      <c r="AS2676" s="77"/>
      <c r="AT2676" s="77"/>
      <c r="AU2676" s="77"/>
      <c r="AV2676" s="83" t="str">
        <f>HYPERLINK("https://pbs.twimg.com/profile_images/1655983323640889346/bgyRQY3R_normal.jpg")</f>
        <v>https://pbs.twimg.com/profile_images/1655983323640889346/bgyRQY3R_normal.jpg</v>
      </c>
      <c r="AW2676" s="80" t="s">
        <v>18447</v>
      </c>
      <c r="AX2676" s="80" t="s">
        <v>18447</v>
      </c>
      <c r="AY2676" s="77"/>
      <c r="AZ2676" s="80" t="s">
        <v>20380</v>
      </c>
      <c r="BA2676" s="80" t="s">
        <v>20380</v>
      </c>
      <c r="BB2676" s="80" t="s">
        <v>19844</v>
      </c>
      <c r="BC2676" s="80" t="s">
        <v>19844</v>
      </c>
      <c r="BD2676" s="80" t="s">
        <v>20930</v>
      </c>
      <c r="BE2676" s="77"/>
      <c r="BF2676" s="77"/>
      <c r="BG2676" s="77"/>
      <c r="BH2676" s="77"/>
      <c r="BI2676" s="77"/>
    </row>
    <row r="2677" spans="1:61" x14ac:dyDescent="0.25">
      <c r="A2677" s="62" t="s">
        <v>1103</v>
      </c>
      <c r="B2677" s="62" t="s">
        <v>1103</v>
      </c>
      <c r="C2677" s="63"/>
      <c r="D2677" s="64"/>
      <c r="E2677" s="65"/>
      <c r="F2677" s="66"/>
      <c r="G2677" s="63"/>
      <c r="H2677" s="67"/>
      <c r="I2677" s="68"/>
      <c r="J2677" s="68"/>
      <c r="K2677" s="32"/>
      <c r="L2677" s="75">
        <v>2677</v>
      </c>
      <c r="M2677" s="75"/>
      <c r="N2677" s="70"/>
      <c r="O2677" s="77" t="s">
        <v>179</v>
      </c>
      <c r="P2677" s="79">
        <v>45140.75167824074</v>
      </c>
      <c r="Q2677" s="77" t="s">
        <v>4436</v>
      </c>
      <c r="R2677" s="77">
        <v>7</v>
      </c>
      <c r="S2677" s="77">
        <v>20</v>
      </c>
      <c r="T2677" s="77">
        <v>2</v>
      </c>
      <c r="U2677" s="77">
        <v>0</v>
      </c>
      <c r="V2677" s="77">
        <v>446</v>
      </c>
      <c r="W2677" s="80" t="s">
        <v>7569</v>
      </c>
      <c r="X2677" s="77"/>
      <c r="Y2677" s="77"/>
      <c r="Z2677" s="77"/>
      <c r="AA2677" s="77" t="s">
        <v>9870</v>
      </c>
      <c r="AB2677" s="77" t="s">
        <v>10534</v>
      </c>
      <c r="AC2677" s="80" t="s">
        <v>10540</v>
      </c>
      <c r="AD2677" s="77" t="s">
        <v>10617</v>
      </c>
      <c r="AE2677" s="83" t="str">
        <f>HYPERLINK("https://twitter.com/alencarbraga13/status/1686799629940125726")</f>
        <v>https://twitter.com/alencarbraga13/status/1686799629940125726</v>
      </c>
      <c r="AF2677" s="79">
        <v>45140.75167824074</v>
      </c>
      <c r="AG2677" s="85">
        <v>45140</v>
      </c>
      <c r="AH2677" s="80" t="s">
        <v>12970</v>
      </c>
      <c r="AI2677" s="77" t="b">
        <v>0</v>
      </c>
      <c r="AJ2677" s="77"/>
      <c r="AK2677" s="77"/>
      <c r="AL2677" s="77"/>
      <c r="AM2677" s="77"/>
      <c r="AN2677" s="77"/>
      <c r="AO2677" s="77"/>
      <c r="AP2677" s="77"/>
      <c r="AQ2677" s="77" t="s">
        <v>15351</v>
      </c>
      <c r="AR2677" s="77">
        <v>55330</v>
      </c>
      <c r="AS2677" s="77"/>
      <c r="AT2677" s="77"/>
      <c r="AU2677" s="77"/>
      <c r="AV2677" s="83" t="str">
        <f>HYPERLINK("https://pbs.twimg.com/ext_tw_video_thumb/1686799564131495939/pu/img/I_wTqgBnC66ssLeW.jpg")</f>
        <v>https://pbs.twimg.com/ext_tw_video_thumb/1686799564131495939/pu/img/I_wTqgBnC66ssLeW.jpg</v>
      </c>
      <c r="AW2677" s="80" t="s">
        <v>18448</v>
      </c>
      <c r="AX2677" s="80" t="s">
        <v>18448</v>
      </c>
      <c r="AY2677" s="77"/>
      <c r="AZ2677" s="80" t="s">
        <v>20380</v>
      </c>
      <c r="BA2677" s="80" t="s">
        <v>20380</v>
      </c>
      <c r="BB2677" s="80" t="s">
        <v>20380</v>
      </c>
      <c r="BC2677" s="80" t="s">
        <v>18448</v>
      </c>
      <c r="BD2677" s="77">
        <v>74243131</v>
      </c>
      <c r="BE2677" s="77"/>
      <c r="BF2677" s="77"/>
      <c r="BG2677" s="77"/>
      <c r="BH2677" s="77"/>
      <c r="BI2677" s="77"/>
    </row>
    <row r="2678" spans="1:61" x14ac:dyDescent="0.25">
      <c r="A2678" s="62" t="s">
        <v>1104</v>
      </c>
      <c r="B2678" s="62" t="s">
        <v>1104</v>
      </c>
      <c r="C2678" s="63"/>
      <c r="D2678" s="64"/>
      <c r="E2678" s="65"/>
      <c r="F2678" s="66"/>
      <c r="G2678" s="63"/>
      <c r="H2678" s="67"/>
      <c r="I2678" s="68"/>
      <c r="J2678" s="68"/>
      <c r="K2678" s="32"/>
      <c r="L2678" s="75">
        <v>2678</v>
      </c>
      <c r="M2678" s="75"/>
      <c r="N2678" s="70"/>
      <c r="O2678" s="77" t="s">
        <v>2081</v>
      </c>
      <c r="P2678" s="79">
        <v>45101.598749999997</v>
      </c>
      <c r="Q2678" s="77" t="s">
        <v>4437</v>
      </c>
      <c r="R2678" s="77">
        <v>2</v>
      </c>
      <c r="S2678" s="77">
        <v>3</v>
      </c>
      <c r="T2678" s="77">
        <v>0</v>
      </c>
      <c r="U2678" s="77">
        <v>0</v>
      </c>
      <c r="V2678" s="77">
        <v>98</v>
      </c>
      <c r="W2678" s="80" t="s">
        <v>5884</v>
      </c>
      <c r="X2678" s="83" t="str">
        <f>HYPERLINK("https://cartacampinas.com.br/2023/02/falsa-independencia-do-banco-central-e-a-perudizacao-do-brasil-heranca-do-golpe-de-2016/")</f>
        <v>https://cartacampinas.com.br/2023/02/falsa-independencia-do-banco-central-e-a-perudizacao-do-brasil-heranca-do-golpe-de-2016/</v>
      </c>
      <c r="Y2678" s="77" t="s">
        <v>8611</v>
      </c>
      <c r="Z2678" s="77" t="s">
        <v>1104</v>
      </c>
      <c r="AA2678" s="77"/>
      <c r="AB2678" s="77"/>
      <c r="AC2678" s="80" t="s">
        <v>10541</v>
      </c>
      <c r="AD2678" s="77" t="s">
        <v>10617</v>
      </c>
      <c r="AE2678" s="83" t="str">
        <f>HYPERLINK("https://twitter.com/cartacampinas/status/1672611082962190337")</f>
        <v>https://twitter.com/cartacampinas/status/1672611082962190337</v>
      </c>
      <c r="AF2678" s="79">
        <v>45101.598749999997</v>
      </c>
      <c r="AG2678" s="85">
        <v>45101</v>
      </c>
      <c r="AH2678" s="80" t="s">
        <v>12971</v>
      </c>
      <c r="AI2678" s="77" t="b">
        <v>0</v>
      </c>
      <c r="AJ2678" s="77"/>
      <c r="AK2678" s="77"/>
      <c r="AL2678" s="77"/>
      <c r="AM2678" s="77"/>
      <c r="AN2678" s="77"/>
      <c r="AO2678" s="77"/>
      <c r="AP2678" s="77"/>
      <c r="AQ2678" s="77"/>
      <c r="AR2678" s="77"/>
      <c r="AS2678" s="77"/>
      <c r="AT2678" s="77"/>
      <c r="AU2678" s="77"/>
      <c r="AV2678" s="83" t="str">
        <f>HYPERLINK("https://pbs.twimg.com/profile_images/1627465139908669440/h0N8QuJV_normal.jpg")</f>
        <v>https://pbs.twimg.com/profile_images/1627465139908669440/h0N8QuJV_normal.jpg</v>
      </c>
      <c r="AW2678" s="80" t="s">
        <v>18449</v>
      </c>
      <c r="AX2678" s="80" t="s">
        <v>18449</v>
      </c>
      <c r="AY2678" s="77"/>
      <c r="AZ2678" s="80" t="s">
        <v>20380</v>
      </c>
      <c r="BA2678" s="80" t="s">
        <v>20380</v>
      </c>
      <c r="BB2678" s="80" t="s">
        <v>20380</v>
      </c>
      <c r="BC2678" s="80" t="s">
        <v>18449</v>
      </c>
      <c r="BD2678" s="77">
        <v>1683571658</v>
      </c>
      <c r="BE2678" s="77"/>
      <c r="BF2678" s="77"/>
      <c r="BG2678" s="77"/>
      <c r="BH2678" s="77"/>
      <c r="BI2678" s="77"/>
    </row>
    <row r="2679" spans="1:61" x14ac:dyDescent="0.25">
      <c r="A2679" s="62" t="s">
        <v>1104</v>
      </c>
      <c r="B2679" s="62" t="s">
        <v>1104</v>
      </c>
      <c r="C2679" s="63"/>
      <c r="D2679" s="64"/>
      <c r="E2679" s="65"/>
      <c r="F2679" s="66"/>
      <c r="G2679" s="63"/>
      <c r="H2679" s="67"/>
      <c r="I2679" s="68"/>
      <c r="J2679" s="68"/>
      <c r="K2679" s="32"/>
      <c r="L2679" s="75">
        <v>2679</v>
      </c>
      <c r="M2679" s="75"/>
      <c r="N2679" s="70"/>
      <c r="O2679" s="77" t="s">
        <v>2081</v>
      </c>
      <c r="P2679" s="79">
        <v>45118.73064814815</v>
      </c>
      <c r="Q2679" s="77" t="s">
        <v>4438</v>
      </c>
      <c r="R2679" s="77">
        <v>0</v>
      </c>
      <c r="S2679" s="77">
        <v>1</v>
      </c>
      <c r="T2679" s="77">
        <v>0</v>
      </c>
      <c r="U2679" s="77">
        <v>0</v>
      </c>
      <c r="V2679" s="77">
        <v>60</v>
      </c>
      <c r="W2679" s="80" t="s">
        <v>7570</v>
      </c>
      <c r="X2679" s="83" t="str">
        <f>HYPERLINK("https://cartacampinas.com.br/2023/07/video-se-usar-a-cooperativa-de-credito-populacao-pode-baixar-os-juros-do-banco-central-diz-economista/")</f>
        <v>https://cartacampinas.com.br/2023/07/video-se-usar-a-cooperativa-de-credito-populacao-pode-baixar-os-juros-do-banco-central-diz-economista/</v>
      </c>
      <c r="Y2679" s="77" t="s">
        <v>8611</v>
      </c>
      <c r="Z2679" s="77" t="s">
        <v>1104</v>
      </c>
      <c r="AA2679" s="77"/>
      <c r="AB2679" s="77"/>
      <c r="AC2679" s="80" t="s">
        <v>10541</v>
      </c>
      <c r="AD2679" s="77" t="s">
        <v>10617</v>
      </c>
      <c r="AE2679" s="83" t="str">
        <f>HYPERLINK("https://twitter.com/cartacampinas/status/1678819474131091457")</f>
        <v>https://twitter.com/cartacampinas/status/1678819474131091457</v>
      </c>
      <c r="AF2679" s="79">
        <v>45118.73064814815</v>
      </c>
      <c r="AG2679" s="85">
        <v>45118</v>
      </c>
      <c r="AH2679" s="80" t="s">
        <v>12972</v>
      </c>
      <c r="AI2679" s="77" t="b">
        <v>0</v>
      </c>
      <c r="AJ2679" s="77"/>
      <c r="AK2679" s="77"/>
      <c r="AL2679" s="77"/>
      <c r="AM2679" s="77"/>
      <c r="AN2679" s="77"/>
      <c r="AO2679" s="77"/>
      <c r="AP2679" s="77"/>
      <c r="AQ2679" s="77"/>
      <c r="AR2679" s="77"/>
      <c r="AS2679" s="77"/>
      <c r="AT2679" s="77"/>
      <c r="AU2679" s="77"/>
      <c r="AV2679" s="83" t="str">
        <f>HYPERLINK("https://pbs.twimg.com/profile_images/1627465139908669440/h0N8QuJV_normal.jpg")</f>
        <v>https://pbs.twimg.com/profile_images/1627465139908669440/h0N8QuJV_normal.jpg</v>
      </c>
      <c r="AW2679" s="80" t="s">
        <v>18450</v>
      </c>
      <c r="AX2679" s="80" t="s">
        <v>18450</v>
      </c>
      <c r="AY2679" s="77"/>
      <c r="AZ2679" s="80" t="s">
        <v>20380</v>
      </c>
      <c r="BA2679" s="80" t="s">
        <v>20380</v>
      </c>
      <c r="BB2679" s="80" t="s">
        <v>20380</v>
      </c>
      <c r="BC2679" s="80" t="s">
        <v>18450</v>
      </c>
      <c r="BD2679" s="77">
        <v>1683571658</v>
      </c>
      <c r="BE2679" s="77"/>
      <c r="BF2679" s="77"/>
      <c r="BG2679" s="77"/>
      <c r="BH2679" s="77"/>
      <c r="BI2679" s="77"/>
    </row>
    <row r="2680" spans="1:61" x14ac:dyDescent="0.25">
      <c r="A2680" s="62" t="s">
        <v>1104</v>
      </c>
      <c r="B2680" s="62" t="s">
        <v>1104</v>
      </c>
      <c r="C2680" s="63"/>
      <c r="D2680" s="64"/>
      <c r="E2680" s="65"/>
      <c r="F2680" s="66"/>
      <c r="G2680" s="63"/>
      <c r="H2680" s="67"/>
      <c r="I2680" s="68"/>
      <c r="J2680" s="68"/>
      <c r="K2680" s="32"/>
      <c r="L2680" s="75">
        <v>2680</v>
      </c>
      <c r="M2680" s="75"/>
      <c r="N2680" s="70"/>
      <c r="O2680" s="77" t="s">
        <v>2081</v>
      </c>
      <c r="P2680" s="79">
        <v>45140.758703703701</v>
      </c>
      <c r="Q2680" s="77" t="s">
        <v>4439</v>
      </c>
      <c r="R2680" s="77">
        <v>0</v>
      </c>
      <c r="S2680" s="77">
        <v>1</v>
      </c>
      <c r="T2680" s="77">
        <v>0</v>
      </c>
      <c r="U2680" s="77">
        <v>0</v>
      </c>
      <c r="V2680" s="77">
        <v>59</v>
      </c>
      <c r="W2680" s="80" t="s">
        <v>7571</v>
      </c>
      <c r="X2680" s="83" t="str">
        <f>HYPERLINK("https://cartacampinas.com.br/2023/08/campos-neto-defende-reinado-absolutista-no-banco-central-em-ataque-a-democracia/")</f>
        <v>https://cartacampinas.com.br/2023/08/campos-neto-defende-reinado-absolutista-no-banco-central-em-ataque-a-democracia/</v>
      </c>
      <c r="Y2680" s="77" t="s">
        <v>8611</v>
      </c>
      <c r="Z2680" s="77" t="s">
        <v>1104</v>
      </c>
      <c r="AA2680" s="77"/>
      <c r="AB2680" s="77"/>
      <c r="AC2680" s="80" t="s">
        <v>10541</v>
      </c>
      <c r="AD2680" s="77" t="s">
        <v>10617</v>
      </c>
      <c r="AE2680" s="83" t="str">
        <f>HYPERLINK("https://twitter.com/cartacampinas/status/1686802174414647310")</f>
        <v>https://twitter.com/cartacampinas/status/1686802174414647310</v>
      </c>
      <c r="AF2680" s="79">
        <v>45140.758703703701</v>
      </c>
      <c r="AG2680" s="85">
        <v>45140</v>
      </c>
      <c r="AH2680" s="80" t="s">
        <v>12973</v>
      </c>
      <c r="AI2680" s="77" t="b">
        <v>0</v>
      </c>
      <c r="AJ2680" s="77"/>
      <c r="AK2680" s="77"/>
      <c r="AL2680" s="77"/>
      <c r="AM2680" s="77"/>
      <c r="AN2680" s="77"/>
      <c r="AO2680" s="77"/>
      <c r="AP2680" s="77"/>
      <c r="AQ2680" s="77"/>
      <c r="AR2680" s="77"/>
      <c r="AS2680" s="77"/>
      <c r="AT2680" s="77"/>
      <c r="AU2680" s="77"/>
      <c r="AV2680" s="83" t="str">
        <f>HYPERLINK("https://pbs.twimg.com/profile_images/1627465139908669440/h0N8QuJV_normal.jpg")</f>
        <v>https://pbs.twimg.com/profile_images/1627465139908669440/h0N8QuJV_normal.jpg</v>
      </c>
      <c r="AW2680" s="80" t="s">
        <v>18451</v>
      </c>
      <c r="AX2680" s="80" t="s">
        <v>18451</v>
      </c>
      <c r="AY2680" s="77"/>
      <c r="AZ2680" s="80" t="s">
        <v>20380</v>
      </c>
      <c r="BA2680" s="80" t="s">
        <v>20380</v>
      </c>
      <c r="BB2680" s="80" t="s">
        <v>20380</v>
      </c>
      <c r="BC2680" s="80" t="s">
        <v>18451</v>
      </c>
      <c r="BD2680" s="77">
        <v>1683571658</v>
      </c>
      <c r="BE2680" s="77"/>
      <c r="BF2680" s="77"/>
      <c r="BG2680" s="77"/>
      <c r="BH2680" s="77"/>
      <c r="BI2680" s="77"/>
    </row>
    <row r="2681" spans="1:61" x14ac:dyDescent="0.25">
      <c r="A2681" s="62" t="s">
        <v>1105</v>
      </c>
      <c r="B2681" s="62" t="s">
        <v>1105</v>
      </c>
      <c r="C2681" s="63"/>
      <c r="D2681" s="64"/>
      <c r="E2681" s="65"/>
      <c r="F2681" s="66"/>
      <c r="G2681" s="63"/>
      <c r="H2681" s="67"/>
      <c r="I2681" s="68"/>
      <c r="J2681" s="68"/>
      <c r="K2681" s="32"/>
      <c r="L2681" s="75">
        <v>2681</v>
      </c>
      <c r="M2681" s="75"/>
      <c r="N2681" s="70"/>
      <c r="O2681" s="77" t="s">
        <v>179</v>
      </c>
      <c r="P2681" s="79">
        <v>45090.797303240739</v>
      </c>
      <c r="Q2681" s="77" t="s">
        <v>4440</v>
      </c>
      <c r="R2681" s="77">
        <v>0</v>
      </c>
      <c r="S2681" s="77">
        <v>0</v>
      </c>
      <c r="T2681" s="77">
        <v>0</v>
      </c>
      <c r="U2681" s="77">
        <v>0</v>
      </c>
      <c r="V2681" s="77">
        <v>18</v>
      </c>
      <c r="W2681" s="80" t="s">
        <v>7572</v>
      </c>
      <c r="X2681" s="83" t="str">
        <f>HYPERLINK("https://goo.su/JpYouhM")</f>
        <v>https://goo.su/JpYouhM</v>
      </c>
      <c r="Y2681" s="77" t="s">
        <v>8774</v>
      </c>
      <c r="Z2681" s="77"/>
      <c r="AA2681" s="77" t="s">
        <v>9871</v>
      </c>
      <c r="AB2681" s="77" t="s">
        <v>10535</v>
      </c>
      <c r="AC2681" s="80" t="s">
        <v>10541</v>
      </c>
      <c r="AD2681" s="77" t="s">
        <v>10620</v>
      </c>
      <c r="AE2681" s="83" t="str">
        <f>HYPERLINK("https://twitter.com/noticentro13rd/status/1668696769562017795")</f>
        <v>https://twitter.com/noticentro13rd/status/1668696769562017795</v>
      </c>
      <c r="AF2681" s="79">
        <v>45090.797303240739</v>
      </c>
      <c r="AG2681" s="85">
        <v>45090</v>
      </c>
      <c r="AH2681" s="80" t="s">
        <v>12974</v>
      </c>
      <c r="AI2681" s="77" t="b">
        <v>1</v>
      </c>
      <c r="AJ2681" s="77"/>
      <c r="AK2681" s="77"/>
      <c r="AL2681" s="77"/>
      <c r="AM2681" s="77"/>
      <c r="AN2681" s="77"/>
      <c r="AO2681" s="77"/>
      <c r="AP2681" s="77"/>
      <c r="AQ2681" s="77" t="s">
        <v>15352</v>
      </c>
      <c r="AR2681" s="77"/>
      <c r="AS2681" s="77"/>
      <c r="AT2681" s="77"/>
      <c r="AU2681" s="77"/>
      <c r="AV2681" s="83" t="str">
        <f>HYPERLINK("https://pbs.twimg.com/media/FyhmztXXoAYEMHP.jpg")</f>
        <v>https://pbs.twimg.com/media/FyhmztXXoAYEMHP.jpg</v>
      </c>
      <c r="AW2681" s="80" t="s">
        <v>18452</v>
      </c>
      <c r="AX2681" s="80" t="s">
        <v>18452</v>
      </c>
      <c r="AY2681" s="77"/>
      <c r="AZ2681" s="80" t="s">
        <v>20380</v>
      </c>
      <c r="BA2681" s="80" t="s">
        <v>20380</v>
      </c>
      <c r="BB2681" s="80" t="s">
        <v>20380</v>
      </c>
      <c r="BC2681" s="80" t="s">
        <v>18452</v>
      </c>
      <c r="BD2681" s="80" t="s">
        <v>20931</v>
      </c>
      <c r="BE2681" s="77"/>
      <c r="BF2681" s="77"/>
      <c r="BG2681" s="77"/>
      <c r="BH2681" s="77"/>
      <c r="BI2681" s="77"/>
    </row>
    <row r="2682" spans="1:61" x14ac:dyDescent="0.25">
      <c r="A2682" s="62" t="s">
        <v>1106</v>
      </c>
      <c r="B2682" s="62" t="s">
        <v>1106</v>
      </c>
      <c r="C2682" s="63"/>
      <c r="D2682" s="64"/>
      <c r="E2682" s="65"/>
      <c r="F2682" s="66"/>
      <c r="G2682" s="63"/>
      <c r="H2682" s="67"/>
      <c r="I2682" s="68"/>
      <c r="J2682" s="68"/>
      <c r="K2682" s="32"/>
      <c r="L2682" s="75">
        <v>2682</v>
      </c>
      <c r="M2682" s="75"/>
      <c r="N2682" s="70"/>
      <c r="O2682" s="77" t="s">
        <v>179</v>
      </c>
      <c r="P2682" s="79">
        <v>45059.170127314814</v>
      </c>
      <c r="Q2682" s="77" t="s">
        <v>4441</v>
      </c>
      <c r="R2682" s="77">
        <v>0</v>
      </c>
      <c r="S2682" s="77">
        <v>0</v>
      </c>
      <c r="T2682" s="77">
        <v>0</v>
      </c>
      <c r="U2682" s="77">
        <v>0</v>
      </c>
      <c r="V2682" s="77">
        <v>30</v>
      </c>
      <c r="W2682" s="80" t="s">
        <v>7573</v>
      </c>
      <c r="X2682" s="77"/>
      <c r="Y2682" s="77"/>
      <c r="Z2682" s="77"/>
      <c r="AA2682" s="77" t="s">
        <v>9872</v>
      </c>
      <c r="AB2682" s="77" t="s">
        <v>10535</v>
      </c>
      <c r="AC2682" s="80" t="s">
        <v>10540</v>
      </c>
      <c r="AD2682" s="77" t="s">
        <v>10619</v>
      </c>
      <c r="AE2682" s="83" t="str">
        <f>HYPERLINK("https://twitter.com/climazen_astro/status/1657235465160753153")</f>
        <v>https://twitter.com/climazen_astro/status/1657235465160753153</v>
      </c>
      <c r="AF2682" s="79">
        <v>45059.170127314814</v>
      </c>
      <c r="AG2682" s="85">
        <v>45059</v>
      </c>
      <c r="AH2682" s="80" t="s">
        <v>12975</v>
      </c>
      <c r="AI2682" s="77" t="b">
        <v>0</v>
      </c>
      <c r="AJ2682" s="77"/>
      <c r="AK2682" s="77"/>
      <c r="AL2682" s="77"/>
      <c r="AM2682" s="77"/>
      <c r="AN2682" s="77"/>
      <c r="AO2682" s="77"/>
      <c r="AP2682" s="77"/>
      <c r="AQ2682" s="77" t="s">
        <v>15353</v>
      </c>
      <c r="AR2682" s="77"/>
      <c r="AS2682" s="77"/>
      <c r="AT2682" s="77"/>
      <c r="AU2682" s="77"/>
      <c r="AV2682" s="83" t="str">
        <f>HYPERLINK("https://pbs.twimg.com/media/Fv-u3zGWYAAL8-7.jpg")</f>
        <v>https://pbs.twimg.com/media/Fv-u3zGWYAAL8-7.jpg</v>
      </c>
      <c r="AW2682" s="80" t="s">
        <v>18453</v>
      </c>
      <c r="AX2682" s="80" t="s">
        <v>18453</v>
      </c>
      <c r="AY2682" s="77"/>
      <c r="AZ2682" s="80" t="s">
        <v>20380</v>
      </c>
      <c r="BA2682" s="80" t="s">
        <v>20380</v>
      </c>
      <c r="BB2682" s="80" t="s">
        <v>20380</v>
      </c>
      <c r="BC2682" s="80" t="s">
        <v>18453</v>
      </c>
      <c r="BD2682" s="77">
        <v>50483335</v>
      </c>
      <c r="BE2682" s="77"/>
      <c r="BF2682" s="77"/>
      <c r="BG2682" s="77"/>
      <c r="BH2682" s="77"/>
      <c r="BI2682" s="77"/>
    </row>
    <row r="2683" spans="1:61" x14ac:dyDescent="0.25">
      <c r="A2683" s="62" t="s">
        <v>1107</v>
      </c>
      <c r="B2683" s="62" t="s">
        <v>1107</v>
      </c>
      <c r="C2683" s="63"/>
      <c r="D2683" s="64"/>
      <c r="E2683" s="65"/>
      <c r="F2683" s="66"/>
      <c r="G2683" s="63"/>
      <c r="H2683" s="67"/>
      <c r="I2683" s="68"/>
      <c r="J2683" s="68"/>
      <c r="K2683" s="32"/>
      <c r="L2683" s="75">
        <v>2683</v>
      </c>
      <c r="M2683" s="75"/>
      <c r="N2683" s="70"/>
      <c r="O2683" s="77" t="s">
        <v>179</v>
      </c>
      <c r="P2683" s="79">
        <v>45176.768564814818</v>
      </c>
      <c r="Q2683" s="77" t="s">
        <v>4442</v>
      </c>
      <c r="R2683" s="77">
        <v>0</v>
      </c>
      <c r="S2683" s="77">
        <v>0</v>
      </c>
      <c r="T2683" s="77">
        <v>0</v>
      </c>
      <c r="U2683" s="77">
        <v>0</v>
      </c>
      <c r="V2683" s="77">
        <v>136</v>
      </c>
      <c r="W2683" s="80" t="s">
        <v>5884</v>
      </c>
      <c r="X2683" s="77"/>
      <c r="Y2683" s="77"/>
      <c r="Z2683" s="77"/>
      <c r="AA2683" s="77" t="s">
        <v>9873</v>
      </c>
      <c r="AB2683" s="77" t="s">
        <v>10535</v>
      </c>
      <c r="AC2683" s="80" t="s">
        <v>10541</v>
      </c>
      <c r="AD2683" s="77" t="s">
        <v>10620</v>
      </c>
      <c r="AE2683" s="83" t="str">
        <f>HYPERLINK("https://twitter.com/avellaneda_real/status/1699851710615753034")</f>
        <v>https://twitter.com/avellaneda_real/status/1699851710615753034</v>
      </c>
      <c r="AF2683" s="79">
        <v>45176.768564814818</v>
      </c>
      <c r="AG2683" s="85">
        <v>45176</v>
      </c>
      <c r="AH2683" s="80" t="s">
        <v>12976</v>
      </c>
      <c r="AI2683" s="77" t="b">
        <v>0</v>
      </c>
      <c r="AJ2683" s="77" t="s">
        <v>14364</v>
      </c>
      <c r="AK2683" s="77" t="s">
        <v>14385</v>
      </c>
      <c r="AL2683" s="77" t="s">
        <v>14394</v>
      </c>
      <c r="AM2683" s="77" t="s">
        <v>14421</v>
      </c>
      <c r="AN2683" s="77" t="s">
        <v>14461</v>
      </c>
      <c r="AO2683" s="77" t="s">
        <v>14500</v>
      </c>
      <c r="AP2683" s="77" t="s">
        <v>14516</v>
      </c>
      <c r="AQ2683" s="77" t="s">
        <v>15354</v>
      </c>
      <c r="AR2683" s="77"/>
      <c r="AS2683" s="77"/>
      <c r="AT2683" s="77"/>
      <c r="AU2683" s="77"/>
      <c r="AV2683" s="83" t="str">
        <f>HYPERLINK("https://pbs.twimg.com/media/F5cVal_X0AAdswO.jpg")</f>
        <v>https://pbs.twimg.com/media/F5cVal_X0AAdswO.jpg</v>
      </c>
      <c r="AW2683" s="80" t="s">
        <v>18454</v>
      </c>
      <c r="AX2683" s="80" t="s">
        <v>18454</v>
      </c>
      <c r="AY2683" s="77"/>
      <c r="AZ2683" s="80" t="s">
        <v>20380</v>
      </c>
      <c r="BA2683" s="80" t="s">
        <v>20380</v>
      </c>
      <c r="BB2683" s="80" t="s">
        <v>20380</v>
      </c>
      <c r="BC2683" s="80" t="s">
        <v>18454</v>
      </c>
      <c r="BD2683" s="80" t="s">
        <v>20932</v>
      </c>
      <c r="BE2683" s="77"/>
      <c r="BF2683" s="77"/>
      <c r="BG2683" s="77"/>
      <c r="BH2683" s="77"/>
      <c r="BI2683" s="77"/>
    </row>
    <row r="2684" spans="1:61" x14ac:dyDescent="0.25">
      <c r="A2684" s="62" t="s">
        <v>1108</v>
      </c>
      <c r="B2684" s="62" t="s">
        <v>1108</v>
      </c>
      <c r="C2684" s="63"/>
      <c r="D2684" s="64"/>
      <c r="E2684" s="65"/>
      <c r="F2684" s="66"/>
      <c r="G2684" s="63"/>
      <c r="H2684" s="67"/>
      <c r="I2684" s="68"/>
      <c r="J2684" s="68"/>
      <c r="K2684" s="32"/>
      <c r="L2684" s="75">
        <v>2684</v>
      </c>
      <c r="M2684" s="75"/>
      <c r="N2684" s="70"/>
      <c r="O2684" s="77" t="s">
        <v>179</v>
      </c>
      <c r="P2684" s="79">
        <v>45127.125937500001</v>
      </c>
      <c r="Q2684" s="77" t="s">
        <v>4443</v>
      </c>
      <c r="R2684" s="77">
        <v>0</v>
      </c>
      <c r="S2684" s="77">
        <v>1</v>
      </c>
      <c r="T2684" s="77">
        <v>0</v>
      </c>
      <c r="U2684" s="77">
        <v>0</v>
      </c>
      <c r="V2684" s="77">
        <v>220</v>
      </c>
      <c r="W2684" s="80" t="s">
        <v>7574</v>
      </c>
      <c r="X2684" s="83" t="str">
        <f>HYPERLINK("https://diariodecuba.com/economia/1689772512_48616.html")</f>
        <v>https://diariodecuba.com/economia/1689772512_48616.html</v>
      </c>
      <c r="Y2684" s="77" t="s">
        <v>8800</v>
      </c>
      <c r="Z2684" s="77"/>
      <c r="AA2684" s="77"/>
      <c r="AB2684" s="77"/>
      <c r="AC2684" s="80" t="s">
        <v>10543</v>
      </c>
      <c r="AD2684" s="77" t="s">
        <v>10620</v>
      </c>
      <c r="AE2684" s="83" t="str">
        <f>HYPERLINK("https://twitter.com/diariodecuba/status/1681861825699119104")</f>
        <v>https://twitter.com/diariodecuba/status/1681861825699119104</v>
      </c>
      <c r="AF2684" s="79">
        <v>45127.125937500001</v>
      </c>
      <c r="AG2684" s="85">
        <v>45127</v>
      </c>
      <c r="AH2684" s="80" t="s">
        <v>12977</v>
      </c>
      <c r="AI2684" s="77" t="b">
        <v>0</v>
      </c>
      <c r="AJ2684" s="77"/>
      <c r="AK2684" s="77"/>
      <c r="AL2684" s="77"/>
      <c r="AM2684" s="77"/>
      <c r="AN2684" s="77"/>
      <c r="AO2684" s="77"/>
      <c r="AP2684" s="77"/>
      <c r="AQ2684" s="77"/>
      <c r="AR2684" s="77"/>
      <c r="AS2684" s="77"/>
      <c r="AT2684" s="77"/>
      <c r="AU2684" s="77"/>
      <c r="AV2684" s="83" t="str">
        <f>HYPERLINK("https://pbs.twimg.com/profile_images/978647479951544321/rni_X102_normal.jpg")</f>
        <v>https://pbs.twimg.com/profile_images/978647479951544321/rni_X102_normal.jpg</v>
      </c>
      <c r="AW2684" s="80" t="s">
        <v>18455</v>
      </c>
      <c r="AX2684" s="80" t="s">
        <v>18455</v>
      </c>
      <c r="AY2684" s="77"/>
      <c r="AZ2684" s="80" t="s">
        <v>20380</v>
      </c>
      <c r="BA2684" s="80" t="s">
        <v>20380</v>
      </c>
      <c r="BB2684" s="80" t="s">
        <v>20380</v>
      </c>
      <c r="BC2684" s="80" t="s">
        <v>18455</v>
      </c>
      <c r="BD2684" s="77">
        <v>16966331</v>
      </c>
      <c r="BE2684" s="77"/>
      <c r="BF2684" s="77"/>
      <c r="BG2684" s="77"/>
      <c r="BH2684" s="77"/>
      <c r="BI2684" s="77"/>
    </row>
    <row r="2685" spans="1:61" x14ac:dyDescent="0.25">
      <c r="A2685" s="62" t="s">
        <v>1109</v>
      </c>
      <c r="B2685" s="62" t="s">
        <v>1596</v>
      </c>
      <c r="C2685" s="63"/>
      <c r="D2685" s="64"/>
      <c r="E2685" s="65"/>
      <c r="F2685" s="66"/>
      <c r="G2685" s="63"/>
      <c r="H2685" s="67"/>
      <c r="I2685" s="68"/>
      <c r="J2685" s="68"/>
      <c r="K2685" s="32"/>
      <c r="L2685" s="75">
        <v>2685</v>
      </c>
      <c r="M2685" s="75"/>
      <c r="N2685" s="70"/>
      <c r="O2685" s="77" t="s">
        <v>2081</v>
      </c>
      <c r="P2685" s="79">
        <v>45049.99800925926</v>
      </c>
      <c r="Q2685" s="77" t="s">
        <v>4444</v>
      </c>
      <c r="R2685" s="77">
        <v>0</v>
      </c>
      <c r="S2685" s="77">
        <v>0</v>
      </c>
      <c r="T2685" s="77">
        <v>0</v>
      </c>
      <c r="U2685" s="77">
        <v>0</v>
      </c>
      <c r="V2685" s="77">
        <v>3</v>
      </c>
      <c r="W2685" s="80" t="s">
        <v>6008</v>
      </c>
      <c r="X2685" s="83" t="str">
        <f>HYPERLINK("https://www.bcb.gov.br/detalhenoticia/17886/nota")</f>
        <v>https://www.bcb.gov.br/detalhenoticia/17886/nota</v>
      </c>
      <c r="Y2685" s="77" t="s">
        <v>8633</v>
      </c>
      <c r="Z2685" s="77" t="s">
        <v>1596</v>
      </c>
      <c r="AA2685" s="77"/>
      <c r="AB2685" s="77"/>
      <c r="AC2685" s="80" t="s">
        <v>10541</v>
      </c>
      <c r="AD2685" s="77" t="s">
        <v>10617</v>
      </c>
      <c r="AE2685" s="83" t="str">
        <f>HYPERLINK("https://twitter.com/bruno_gianetti/status/1653911602838503425")</f>
        <v>https://twitter.com/bruno_gianetti/status/1653911602838503425</v>
      </c>
      <c r="AF2685" s="79">
        <v>45049.99800925926</v>
      </c>
      <c r="AG2685" s="85">
        <v>45049</v>
      </c>
      <c r="AH2685" s="80" t="s">
        <v>12978</v>
      </c>
      <c r="AI2685" s="77" t="b">
        <v>0</v>
      </c>
      <c r="AJ2685" s="77"/>
      <c r="AK2685" s="77"/>
      <c r="AL2685" s="77"/>
      <c r="AM2685" s="77"/>
      <c r="AN2685" s="77"/>
      <c r="AO2685" s="77"/>
      <c r="AP2685" s="77"/>
      <c r="AQ2685" s="77"/>
      <c r="AR2685" s="77"/>
      <c r="AS2685" s="77"/>
      <c r="AT2685" s="77"/>
      <c r="AU2685" s="77"/>
      <c r="AV2685" s="83" t="str">
        <f>HYPERLINK("https://pbs.twimg.com/profile_images/1671327682989096961/RFt9LPMw_normal.jpg")</f>
        <v>https://pbs.twimg.com/profile_images/1671327682989096961/RFt9LPMw_normal.jpg</v>
      </c>
      <c r="AW2685" s="80" t="s">
        <v>18456</v>
      </c>
      <c r="AX2685" s="80" t="s">
        <v>18456</v>
      </c>
      <c r="AY2685" s="77"/>
      <c r="AZ2685" s="80" t="s">
        <v>20380</v>
      </c>
      <c r="BA2685" s="80" t="s">
        <v>20380</v>
      </c>
      <c r="BB2685" s="80" t="s">
        <v>20380</v>
      </c>
      <c r="BC2685" s="80" t="s">
        <v>18456</v>
      </c>
      <c r="BD2685" s="80" t="s">
        <v>20933</v>
      </c>
      <c r="BE2685" s="77"/>
      <c r="BF2685" s="77"/>
      <c r="BG2685" s="77"/>
      <c r="BH2685" s="77"/>
      <c r="BI2685" s="77"/>
    </row>
    <row r="2686" spans="1:61" x14ac:dyDescent="0.25">
      <c r="A2686" s="62" t="s">
        <v>1110</v>
      </c>
      <c r="B2686" s="62" t="s">
        <v>1110</v>
      </c>
      <c r="C2686" s="63"/>
      <c r="D2686" s="64"/>
      <c r="E2686" s="65"/>
      <c r="F2686" s="66"/>
      <c r="G2686" s="63"/>
      <c r="H2686" s="67"/>
      <c r="I2686" s="68"/>
      <c r="J2686" s="68"/>
      <c r="K2686" s="32"/>
      <c r="L2686" s="75">
        <v>2686</v>
      </c>
      <c r="M2686" s="75"/>
      <c r="N2686" s="70"/>
      <c r="O2686" s="77" t="s">
        <v>179</v>
      </c>
      <c r="P2686" s="79">
        <v>45180.697916666664</v>
      </c>
      <c r="Q2686" s="77" t="s">
        <v>4445</v>
      </c>
      <c r="R2686" s="77">
        <v>5</v>
      </c>
      <c r="S2686" s="77">
        <v>6</v>
      </c>
      <c r="T2686" s="77">
        <v>4</v>
      </c>
      <c r="U2686" s="77">
        <v>1</v>
      </c>
      <c r="V2686" s="77">
        <v>3150</v>
      </c>
      <c r="W2686" s="80" t="s">
        <v>7575</v>
      </c>
      <c r="X2686" s="83" t="str">
        <f>HYPERLINK("https://www.df.cl/economia-y-politica/macro/rosanna-costa-presidenta-del-banco-central-esta-alza-reciente-del")</f>
        <v>https://www.df.cl/economia-y-politica/macro/rosanna-costa-presidenta-del-banco-central-esta-alza-reciente-del</v>
      </c>
      <c r="Y2686" s="77" t="s">
        <v>8801</v>
      </c>
      <c r="Z2686" s="77"/>
      <c r="AA2686" s="77" t="s">
        <v>9874</v>
      </c>
      <c r="AB2686" s="77" t="s">
        <v>10535</v>
      </c>
      <c r="AC2686" s="80" t="s">
        <v>10555</v>
      </c>
      <c r="AD2686" s="77" t="s">
        <v>10620</v>
      </c>
      <c r="AE2686" s="83" t="str">
        <f>HYPERLINK("https://twitter.com/dfinanciero/status/1701275660034195936")</f>
        <v>https://twitter.com/dfinanciero/status/1701275660034195936</v>
      </c>
      <c r="AF2686" s="79">
        <v>45180.697916666664</v>
      </c>
      <c r="AG2686" s="85">
        <v>45180</v>
      </c>
      <c r="AH2686" s="80" t="s">
        <v>12979</v>
      </c>
      <c r="AI2686" s="77" t="b">
        <v>0</v>
      </c>
      <c r="AJ2686" s="77"/>
      <c r="AK2686" s="77"/>
      <c r="AL2686" s="77"/>
      <c r="AM2686" s="77"/>
      <c r="AN2686" s="77"/>
      <c r="AO2686" s="77"/>
      <c r="AP2686" s="77"/>
      <c r="AQ2686" s="77" t="s">
        <v>15355</v>
      </c>
      <c r="AR2686" s="77"/>
      <c r="AS2686" s="77"/>
      <c r="AT2686" s="77"/>
      <c r="AU2686" s="77"/>
      <c r="AV2686" s="83" t="str">
        <f>HYPERLINK("https://pbs.twimg.com/media/F5v6zBIWQAI6m1c.png")</f>
        <v>https://pbs.twimg.com/media/F5v6zBIWQAI6m1c.png</v>
      </c>
      <c r="AW2686" s="80" t="s">
        <v>18457</v>
      </c>
      <c r="AX2686" s="80" t="s">
        <v>18457</v>
      </c>
      <c r="AY2686" s="77"/>
      <c r="AZ2686" s="80" t="s">
        <v>20380</v>
      </c>
      <c r="BA2686" s="80" t="s">
        <v>20380</v>
      </c>
      <c r="BB2686" s="80" t="s">
        <v>20380</v>
      </c>
      <c r="BC2686" s="80" t="s">
        <v>18457</v>
      </c>
      <c r="BD2686" s="77">
        <v>63805938</v>
      </c>
      <c r="BE2686" s="77"/>
      <c r="BF2686" s="77"/>
      <c r="BG2686" s="77"/>
      <c r="BH2686" s="77"/>
      <c r="BI2686" s="77"/>
    </row>
    <row r="2687" spans="1:61" x14ac:dyDescent="0.25">
      <c r="A2687" s="62" t="s">
        <v>1111</v>
      </c>
      <c r="B2687" s="62" t="s">
        <v>1110</v>
      </c>
      <c r="C2687" s="63"/>
      <c r="D2687" s="64"/>
      <c r="E2687" s="65"/>
      <c r="F2687" s="66"/>
      <c r="G2687" s="63"/>
      <c r="H2687" s="67"/>
      <c r="I2687" s="68"/>
      <c r="J2687" s="68"/>
      <c r="K2687" s="32"/>
      <c r="L2687" s="75">
        <v>2687</v>
      </c>
      <c r="M2687" s="75"/>
      <c r="N2687" s="70"/>
      <c r="O2687" s="77" t="s">
        <v>2078</v>
      </c>
      <c r="P2687" s="79">
        <v>45071.580127314817</v>
      </c>
      <c r="Q2687" s="77" t="s">
        <v>4446</v>
      </c>
      <c r="R2687" s="77">
        <v>0</v>
      </c>
      <c r="S2687" s="77">
        <v>0</v>
      </c>
      <c r="T2687" s="77">
        <v>0</v>
      </c>
      <c r="U2687" s="77">
        <v>0</v>
      </c>
      <c r="V2687" s="77">
        <v>2</v>
      </c>
      <c r="W2687" s="80" t="s">
        <v>5884</v>
      </c>
      <c r="X2687" s="77"/>
      <c r="Y2687" s="77"/>
      <c r="Z2687" s="77" t="s">
        <v>8995</v>
      </c>
      <c r="AA2687" s="77"/>
      <c r="AB2687" s="77"/>
      <c r="AC2687" s="80" t="s">
        <v>10541</v>
      </c>
      <c r="AD2687" s="77" t="s">
        <v>10620</v>
      </c>
      <c r="AE2687" s="83" t="str">
        <f>HYPERLINK("https://twitter.com/schweinsteighan/status/1661732700133404673")</f>
        <v>https://twitter.com/schweinsteighan/status/1661732700133404673</v>
      </c>
      <c r="AF2687" s="79">
        <v>45071.580127314817</v>
      </c>
      <c r="AG2687" s="85">
        <v>45071</v>
      </c>
      <c r="AH2687" s="80" t="s">
        <v>12980</v>
      </c>
      <c r="AI2687" s="77"/>
      <c r="AJ2687" s="77"/>
      <c r="AK2687" s="77"/>
      <c r="AL2687" s="77"/>
      <c r="AM2687" s="77"/>
      <c r="AN2687" s="77"/>
      <c r="AO2687" s="77"/>
      <c r="AP2687" s="77"/>
      <c r="AQ2687" s="77"/>
      <c r="AR2687" s="77"/>
      <c r="AS2687" s="77"/>
      <c r="AT2687" s="77"/>
      <c r="AU2687" s="77"/>
      <c r="AV2687" s="83" t="str">
        <f>HYPERLINK("https://pbs.twimg.com/profile_images/1282072875747418112/TEvvb3An_normal.jpg")</f>
        <v>https://pbs.twimg.com/profile_images/1282072875747418112/TEvvb3An_normal.jpg</v>
      </c>
      <c r="AW2687" s="80" t="s">
        <v>18458</v>
      </c>
      <c r="AX2687" s="80" t="s">
        <v>20072</v>
      </c>
      <c r="AY2687" s="80" t="s">
        <v>20323</v>
      </c>
      <c r="AZ2687" s="80" t="s">
        <v>20072</v>
      </c>
      <c r="BA2687" s="80" t="s">
        <v>20380</v>
      </c>
      <c r="BB2687" s="80" t="s">
        <v>20380</v>
      </c>
      <c r="BC2687" s="80" t="s">
        <v>20072</v>
      </c>
      <c r="BD2687" s="80" t="s">
        <v>20934</v>
      </c>
      <c r="BE2687" s="77"/>
      <c r="BF2687" s="77"/>
      <c r="BG2687" s="77"/>
      <c r="BH2687" s="77"/>
      <c r="BI2687" s="77"/>
    </row>
    <row r="2688" spans="1:61" x14ac:dyDescent="0.25">
      <c r="A2688" s="62" t="s">
        <v>1111</v>
      </c>
      <c r="B2688" s="62" t="s">
        <v>1970</v>
      </c>
      <c r="C2688" s="63"/>
      <c r="D2688" s="64"/>
      <c r="E2688" s="65"/>
      <c r="F2688" s="66"/>
      <c r="G2688" s="63"/>
      <c r="H2688" s="67"/>
      <c r="I2688" s="68"/>
      <c r="J2688" s="68"/>
      <c r="K2688" s="32"/>
      <c r="L2688" s="75">
        <v>2688</v>
      </c>
      <c r="M2688" s="75"/>
      <c r="N2688" s="70"/>
      <c r="O2688" s="77" t="s">
        <v>2079</v>
      </c>
      <c r="P2688" s="79">
        <v>45071.580127314817</v>
      </c>
      <c r="Q2688" s="77" t="s">
        <v>4446</v>
      </c>
      <c r="R2688" s="77">
        <v>0</v>
      </c>
      <c r="S2688" s="77">
        <v>0</v>
      </c>
      <c r="T2688" s="77">
        <v>0</v>
      </c>
      <c r="U2688" s="77">
        <v>0</v>
      </c>
      <c r="V2688" s="77">
        <v>2</v>
      </c>
      <c r="W2688" s="80" t="s">
        <v>5884</v>
      </c>
      <c r="X2688" s="77"/>
      <c r="Y2688" s="77"/>
      <c r="Z2688" s="77" t="s">
        <v>8995</v>
      </c>
      <c r="AA2688" s="77"/>
      <c r="AB2688" s="77"/>
      <c r="AC2688" s="80" t="s">
        <v>10541</v>
      </c>
      <c r="AD2688" s="77" t="s">
        <v>10620</v>
      </c>
      <c r="AE2688" s="83" t="str">
        <f>HYPERLINK("https://twitter.com/schweinsteighan/status/1661732700133404673")</f>
        <v>https://twitter.com/schweinsteighan/status/1661732700133404673</v>
      </c>
      <c r="AF2688" s="79">
        <v>45071.580127314817</v>
      </c>
      <c r="AG2688" s="85">
        <v>45071</v>
      </c>
      <c r="AH2688" s="80" t="s">
        <v>12980</v>
      </c>
      <c r="AI2688" s="77"/>
      <c r="AJ2688" s="77"/>
      <c r="AK2688" s="77"/>
      <c r="AL2688" s="77"/>
      <c r="AM2688" s="77"/>
      <c r="AN2688" s="77"/>
      <c r="AO2688" s="77"/>
      <c r="AP2688" s="77"/>
      <c r="AQ2688" s="77"/>
      <c r="AR2688" s="77"/>
      <c r="AS2688" s="77"/>
      <c r="AT2688" s="77"/>
      <c r="AU2688" s="77"/>
      <c r="AV2688" s="83" t="str">
        <f>HYPERLINK("https://pbs.twimg.com/profile_images/1282072875747418112/TEvvb3An_normal.jpg")</f>
        <v>https://pbs.twimg.com/profile_images/1282072875747418112/TEvvb3An_normal.jpg</v>
      </c>
      <c r="AW2688" s="80" t="s">
        <v>18458</v>
      </c>
      <c r="AX2688" s="80" t="s">
        <v>20072</v>
      </c>
      <c r="AY2688" s="80" t="s">
        <v>20323</v>
      </c>
      <c r="AZ2688" s="80" t="s">
        <v>20072</v>
      </c>
      <c r="BA2688" s="80" t="s">
        <v>20380</v>
      </c>
      <c r="BB2688" s="80" t="s">
        <v>20380</v>
      </c>
      <c r="BC2688" s="80" t="s">
        <v>20072</v>
      </c>
      <c r="BD2688" s="80" t="s">
        <v>20934</v>
      </c>
      <c r="BE2688" s="77"/>
      <c r="BF2688" s="77"/>
      <c r="BG2688" s="77"/>
      <c r="BH2688" s="77"/>
      <c r="BI2688" s="77"/>
    </row>
    <row r="2689" spans="1:61" x14ac:dyDescent="0.25">
      <c r="A2689" s="62" t="s">
        <v>1112</v>
      </c>
      <c r="B2689" s="62" t="s">
        <v>1112</v>
      </c>
      <c r="C2689" s="63"/>
      <c r="D2689" s="64"/>
      <c r="E2689" s="65"/>
      <c r="F2689" s="66"/>
      <c r="G2689" s="63"/>
      <c r="H2689" s="67"/>
      <c r="I2689" s="68"/>
      <c r="J2689" s="68"/>
      <c r="K2689" s="32"/>
      <c r="L2689" s="75">
        <v>2689</v>
      </c>
      <c r="M2689" s="75"/>
      <c r="N2689" s="70"/>
      <c r="O2689" s="77" t="s">
        <v>179</v>
      </c>
      <c r="P2689" s="79">
        <v>45141.57539351852</v>
      </c>
      <c r="Q2689" s="77" t="s">
        <v>4447</v>
      </c>
      <c r="R2689" s="77">
        <v>0</v>
      </c>
      <c r="S2689" s="77">
        <v>0</v>
      </c>
      <c r="T2689" s="77">
        <v>0</v>
      </c>
      <c r="U2689" s="77">
        <v>0</v>
      </c>
      <c r="V2689" s="77">
        <v>64</v>
      </c>
      <c r="W2689" s="80" t="s">
        <v>7576</v>
      </c>
      <c r="X2689" s="83" t="str">
        <f>HYPERLINK("http://92amz.com.br/2023/08/03/copom-reduz-juros-basicos-da-economia-para-1325-ao-ano/")</f>
        <v>http://92amz.com.br/2023/08/03/copom-reduz-juros-basicos-da-economia-para-1325-ao-ano/</v>
      </c>
      <c r="Y2689" s="77" t="s">
        <v>8611</v>
      </c>
      <c r="Z2689" s="77"/>
      <c r="AA2689" s="77" t="s">
        <v>9875</v>
      </c>
      <c r="AB2689" s="77" t="s">
        <v>10535</v>
      </c>
      <c r="AC2689" s="80" t="s">
        <v>10541</v>
      </c>
      <c r="AD2689" s="77" t="s">
        <v>10617</v>
      </c>
      <c r="AE2689" s="83" t="str">
        <f>HYPERLINK("https://twitter.com/luizreis653/status/1687098133912879106")</f>
        <v>https://twitter.com/luizreis653/status/1687098133912879106</v>
      </c>
      <c r="AF2689" s="79">
        <v>45141.57539351852</v>
      </c>
      <c r="AG2689" s="85">
        <v>45141</v>
      </c>
      <c r="AH2689" s="80" t="s">
        <v>12981</v>
      </c>
      <c r="AI2689" s="77" t="b">
        <v>0</v>
      </c>
      <c r="AJ2689" s="77"/>
      <c r="AK2689" s="77"/>
      <c r="AL2689" s="77"/>
      <c r="AM2689" s="77"/>
      <c r="AN2689" s="77"/>
      <c r="AO2689" s="77"/>
      <c r="AP2689" s="77"/>
      <c r="AQ2689" s="77" t="s">
        <v>15356</v>
      </c>
      <c r="AR2689" s="77"/>
      <c r="AS2689" s="77"/>
      <c r="AT2689" s="77"/>
      <c r="AU2689" s="77"/>
      <c r="AV2689" s="83" t="str">
        <f>HYPERLINK("https://pbs.twimg.com/media/F2nGrp3agAAuI8Y.jpg")</f>
        <v>https://pbs.twimg.com/media/F2nGrp3agAAuI8Y.jpg</v>
      </c>
      <c r="AW2689" s="80" t="s">
        <v>18459</v>
      </c>
      <c r="AX2689" s="80" t="s">
        <v>18459</v>
      </c>
      <c r="AY2689" s="77"/>
      <c r="AZ2689" s="80" t="s">
        <v>20380</v>
      </c>
      <c r="BA2689" s="80" t="s">
        <v>20380</v>
      </c>
      <c r="BB2689" s="80" t="s">
        <v>20380</v>
      </c>
      <c r="BC2689" s="80" t="s">
        <v>18459</v>
      </c>
      <c r="BD2689" s="80" t="s">
        <v>20935</v>
      </c>
      <c r="BE2689" s="77"/>
      <c r="BF2689" s="77"/>
      <c r="BG2689" s="77"/>
      <c r="BH2689" s="77"/>
      <c r="BI2689" s="77"/>
    </row>
    <row r="2690" spans="1:61" x14ac:dyDescent="0.25">
      <c r="A2690" s="62" t="s">
        <v>1113</v>
      </c>
      <c r="B2690" s="62" t="s">
        <v>1113</v>
      </c>
      <c r="C2690" s="63"/>
      <c r="D2690" s="64"/>
      <c r="E2690" s="65"/>
      <c r="F2690" s="66"/>
      <c r="G2690" s="63"/>
      <c r="H2690" s="67"/>
      <c r="I2690" s="68"/>
      <c r="J2690" s="68"/>
      <c r="K2690" s="32"/>
      <c r="L2690" s="75">
        <v>2690</v>
      </c>
      <c r="M2690" s="75"/>
      <c r="N2690" s="70"/>
      <c r="O2690" s="77" t="s">
        <v>179</v>
      </c>
      <c r="P2690" s="79">
        <v>45174.566504629627</v>
      </c>
      <c r="Q2690" s="77" t="s">
        <v>4448</v>
      </c>
      <c r="R2690" s="77">
        <v>3</v>
      </c>
      <c r="S2690" s="77">
        <v>2</v>
      </c>
      <c r="T2690" s="77">
        <v>0</v>
      </c>
      <c r="U2690" s="77">
        <v>0</v>
      </c>
      <c r="V2690" s="77">
        <v>1114</v>
      </c>
      <c r="W2690" s="80" t="s">
        <v>7577</v>
      </c>
      <c r="X2690" s="83" t="str">
        <f>HYPERLINK("https://lapoliticaonline.info/3PqXIKb")</f>
        <v>https://lapoliticaonline.info/3PqXIKb</v>
      </c>
      <c r="Y2690" s="77" t="s">
        <v>8764</v>
      </c>
      <c r="Z2690" s="77"/>
      <c r="AA2690" s="77" t="s">
        <v>9876</v>
      </c>
      <c r="AB2690" s="77" t="s">
        <v>10535</v>
      </c>
      <c r="AC2690" s="80" t="s">
        <v>10552</v>
      </c>
      <c r="AD2690" s="77" t="s">
        <v>10620</v>
      </c>
      <c r="AE2690" s="83" t="str">
        <f>HYPERLINK("https://twitter.com/lpoparaguay/status/1699053713724235873")</f>
        <v>https://twitter.com/lpoparaguay/status/1699053713724235873</v>
      </c>
      <c r="AF2690" s="79">
        <v>45174.566504629627</v>
      </c>
      <c r="AG2690" s="85">
        <v>45174</v>
      </c>
      <c r="AH2690" s="80" t="s">
        <v>12982</v>
      </c>
      <c r="AI2690" s="77" t="b">
        <v>0</v>
      </c>
      <c r="AJ2690" s="77"/>
      <c r="AK2690" s="77"/>
      <c r="AL2690" s="77"/>
      <c r="AM2690" s="77"/>
      <c r="AN2690" s="77"/>
      <c r="AO2690" s="77"/>
      <c r="AP2690" s="77"/>
      <c r="AQ2690" s="77" t="s">
        <v>15357</v>
      </c>
      <c r="AR2690" s="77"/>
      <c r="AS2690" s="77"/>
      <c r="AT2690" s="77"/>
      <c r="AU2690" s="77"/>
      <c r="AV2690" s="83" t="str">
        <f>HYPERLINK("https://pbs.twimg.com/media/F5RAWWVWoAATTnn.jpg")</f>
        <v>https://pbs.twimg.com/media/F5RAWWVWoAATTnn.jpg</v>
      </c>
      <c r="AW2690" s="80" t="s">
        <v>18460</v>
      </c>
      <c r="AX2690" s="80" t="s">
        <v>18460</v>
      </c>
      <c r="AY2690" s="77"/>
      <c r="AZ2690" s="80" t="s">
        <v>20380</v>
      </c>
      <c r="BA2690" s="80" t="s">
        <v>20380</v>
      </c>
      <c r="BB2690" s="80" t="s">
        <v>20380</v>
      </c>
      <c r="BC2690" s="80" t="s">
        <v>18460</v>
      </c>
      <c r="BD2690" s="80" t="s">
        <v>20936</v>
      </c>
      <c r="BE2690" s="77"/>
      <c r="BF2690" s="77"/>
      <c r="BG2690" s="77"/>
      <c r="BH2690" s="77"/>
      <c r="BI2690" s="77"/>
    </row>
    <row r="2691" spans="1:61" x14ac:dyDescent="0.25">
      <c r="A2691" s="62" t="s">
        <v>1113</v>
      </c>
      <c r="B2691" s="62" t="s">
        <v>1113</v>
      </c>
      <c r="C2691" s="63"/>
      <c r="D2691" s="64"/>
      <c r="E2691" s="65"/>
      <c r="F2691" s="66"/>
      <c r="G2691" s="63"/>
      <c r="H2691" s="67"/>
      <c r="I2691" s="68"/>
      <c r="J2691" s="68"/>
      <c r="K2691" s="32"/>
      <c r="L2691" s="75">
        <v>2691</v>
      </c>
      <c r="M2691" s="75"/>
      <c r="N2691" s="70"/>
      <c r="O2691" s="77" t="s">
        <v>179</v>
      </c>
      <c r="P2691" s="79">
        <v>45175.613368055558</v>
      </c>
      <c r="Q2691" s="77" t="s">
        <v>4449</v>
      </c>
      <c r="R2691" s="77">
        <v>1</v>
      </c>
      <c r="S2691" s="77">
        <v>1</v>
      </c>
      <c r="T2691" s="77">
        <v>0</v>
      </c>
      <c r="U2691" s="77">
        <v>0</v>
      </c>
      <c r="V2691" s="77">
        <v>131</v>
      </c>
      <c r="W2691" s="80" t="s">
        <v>7577</v>
      </c>
      <c r="X2691" s="83" t="str">
        <f>HYPERLINK("https://lapoliticaonline.info/3PqXIKb")</f>
        <v>https://lapoliticaonline.info/3PqXIKb</v>
      </c>
      <c r="Y2691" s="77" t="s">
        <v>8764</v>
      </c>
      <c r="Z2691" s="77"/>
      <c r="AA2691" s="77" t="s">
        <v>9877</v>
      </c>
      <c r="AB2691" s="77" t="s">
        <v>10535</v>
      </c>
      <c r="AC2691" s="80" t="s">
        <v>10552</v>
      </c>
      <c r="AD2691" s="77" t="s">
        <v>10620</v>
      </c>
      <c r="AE2691" s="83" t="str">
        <f>HYPERLINK("https://twitter.com/lpoparaguay/status/1699433082510619013")</f>
        <v>https://twitter.com/lpoparaguay/status/1699433082510619013</v>
      </c>
      <c r="AF2691" s="79">
        <v>45175.613368055558</v>
      </c>
      <c r="AG2691" s="85">
        <v>45175</v>
      </c>
      <c r="AH2691" s="80" t="s">
        <v>12983</v>
      </c>
      <c r="AI2691" s="77" t="b">
        <v>0</v>
      </c>
      <c r="AJ2691" s="77"/>
      <c r="AK2691" s="77"/>
      <c r="AL2691" s="77"/>
      <c r="AM2691" s="77"/>
      <c r="AN2691" s="77"/>
      <c r="AO2691" s="77"/>
      <c r="AP2691" s="77"/>
      <c r="AQ2691" s="77" t="s">
        <v>15358</v>
      </c>
      <c r="AR2691" s="77"/>
      <c r="AS2691" s="77"/>
      <c r="AT2691" s="77"/>
      <c r="AU2691" s="77"/>
      <c r="AV2691" s="83" t="str">
        <f>HYPERLINK("https://pbs.twimg.com/media/F5WZYgQWwAAMmcH.jpg")</f>
        <v>https://pbs.twimg.com/media/F5WZYgQWwAAMmcH.jpg</v>
      </c>
      <c r="AW2691" s="80" t="s">
        <v>18461</v>
      </c>
      <c r="AX2691" s="80" t="s">
        <v>18461</v>
      </c>
      <c r="AY2691" s="77"/>
      <c r="AZ2691" s="80" t="s">
        <v>20380</v>
      </c>
      <c r="BA2691" s="80" t="s">
        <v>20380</v>
      </c>
      <c r="BB2691" s="80" t="s">
        <v>20380</v>
      </c>
      <c r="BC2691" s="80" t="s">
        <v>18461</v>
      </c>
      <c r="BD2691" s="80" t="s">
        <v>20936</v>
      </c>
      <c r="BE2691" s="77"/>
      <c r="BF2691" s="77"/>
      <c r="BG2691" s="77"/>
      <c r="BH2691" s="77"/>
      <c r="BI2691" s="77"/>
    </row>
    <row r="2692" spans="1:61" x14ac:dyDescent="0.25">
      <c r="A2692" s="62" t="s">
        <v>1114</v>
      </c>
      <c r="B2692" s="62" t="s">
        <v>1384</v>
      </c>
      <c r="C2692" s="63"/>
      <c r="D2692" s="64"/>
      <c r="E2692" s="65"/>
      <c r="F2692" s="66"/>
      <c r="G2692" s="63"/>
      <c r="H2692" s="67"/>
      <c r="I2692" s="68"/>
      <c r="J2692" s="68"/>
      <c r="K2692" s="32"/>
      <c r="L2692" s="75">
        <v>2692</v>
      </c>
      <c r="M2692" s="75"/>
      <c r="N2692" s="70"/>
      <c r="O2692" s="77" t="s">
        <v>2081</v>
      </c>
      <c r="P2692" s="79">
        <v>45050.866956018515</v>
      </c>
      <c r="Q2692" s="77" t="s">
        <v>4450</v>
      </c>
      <c r="R2692" s="77">
        <v>0</v>
      </c>
      <c r="S2692" s="77">
        <v>0</v>
      </c>
      <c r="T2692" s="77">
        <v>0</v>
      </c>
      <c r="U2692" s="77">
        <v>0</v>
      </c>
      <c r="V2692" s="77">
        <v>58</v>
      </c>
      <c r="W2692" s="80" t="s">
        <v>5884</v>
      </c>
      <c r="X2692" s="83" t="str">
        <f>HYPERLINK("https://www.bcentral.cl/contenido/-/detalle/la-nueva-encuesta-de-determinantes-y-expectativas-de-precios")</f>
        <v>https://www.bcentral.cl/contenido/-/detalle/la-nueva-encuesta-de-determinantes-y-expectativas-de-precios</v>
      </c>
      <c r="Y2692" s="77" t="s">
        <v>8679</v>
      </c>
      <c r="Z2692" s="77" t="s">
        <v>1384</v>
      </c>
      <c r="AA2692" s="77"/>
      <c r="AB2692" s="77"/>
      <c r="AC2692" s="80" t="s">
        <v>10541</v>
      </c>
      <c r="AD2692" s="77" t="s">
        <v>10620</v>
      </c>
      <c r="AE2692" s="83" t="str">
        <f>HYPERLINK("https://twitter.com/fjume96/status/1654226498679902210")</f>
        <v>https://twitter.com/fjume96/status/1654226498679902210</v>
      </c>
      <c r="AF2692" s="79">
        <v>45050.866956018515</v>
      </c>
      <c r="AG2692" s="85">
        <v>45050</v>
      </c>
      <c r="AH2692" s="80" t="s">
        <v>12984</v>
      </c>
      <c r="AI2692" s="77" t="b">
        <v>0</v>
      </c>
      <c r="AJ2692" s="77"/>
      <c r="AK2692" s="77"/>
      <c r="AL2692" s="77"/>
      <c r="AM2692" s="77"/>
      <c r="AN2692" s="77"/>
      <c r="AO2692" s="77"/>
      <c r="AP2692" s="77"/>
      <c r="AQ2692" s="77"/>
      <c r="AR2692" s="77"/>
      <c r="AS2692" s="77"/>
      <c r="AT2692" s="77"/>
      <c r="AU2692" s="77"/>
      <c r="AV2692" s="83" t="str">
        <f>HYPERLINK("https://pbs.twimg.com/profile_images/1673743281883168769/l58WPPqh_normal.jpg")</f>
        <v>https://pbs.twimg.com/profile_images/1673743281883168769/l58WPPqh_normal.jpg</v>
      </c>
      <c r="AW2692" s="80" t="s">
        <v>18462</v>
      </c>
      <c r="AX2692" s="80" t="s">
        <v>18462</v>
      </c>
      <c r="AY2692" s="77"/>
      <c r="AZ2692" s="80" t="s">
        <v>20380</v>
      </c>
      <c r="BA2692" s="80" t="s">
        <v>20380</v>
      </c>
      <c r="BB2692" s="80" t="s">
        <v>20380</v>
      </c>
      <c r="BC2692" s="80" t="s">
        <v>18462</v>
      </c>
      <c r="BD2692" s="77">
        <v>113708220</v>
      </c>
      <c r="BE2692" s="77"/>
      <c r="BF2692" s="77"/>
      <c r="BG2692" s="77"/>
      <c r="BH2692" s="77"/>
      <c r="BI2692" s="77"/>
    </row>
    <row r="2693" spans="1:61" x14ac:dyDescent="0.25">
      <c r="A2693" s="62" t="s">
        <v>1115</v>
      </c>
      <c r="B2693" s="62" t="s">
        <v>1115</v>
      </c>
      <c r="C2693" s="63"/>
      <c r="D2693" s="64"/>
      <c r="E2693" s="65"/>
      <c r="F2693" s="66"/>
      <c r="G2693" s="63"/>
      <c r="H2693" s="67"/>
      <c r="I2693" s="68"/>
      <c r="J2693" s="68"/>
      <c r="K2693" s="32"/>
      <c r="L2693" s="75">
        <v>2693</v>
      </c>
      <c r="M2693" s="75"/>
      <c r="N2693" s="70"/>
      <c r="O2693" s="77" t="s">
        <v>2078</v>
      </c>
      <c r="P2693" s="79">
        <v>45070.902337962965</v>
      </c>
      <c r="Q2693" s="77" t="s">
        <v>4451</v>
      </c>
      <c r="R2693" s="77">
        <v>0</v>
      </c>
      <c r="S2693" s="77">
        <v>0</v>
      </c>
      <c r="T2693" s="77">
        <v>0</v>
      </c>
      <c r="U2693" s="77">
        <v>0</v>
      </c>
      <c r="V2693" s="77">
        <v>89</v>
      </c>
      <c r="W2693" s="80" t="s">
        <v>7578</v>
      </c>
      <c r="X2693" s="77"/>
      <c r="Y2693" s="77"/>
      <c r="Z2693" s="77"/>
      <c r="AA2693" s="77"/>
      <c r="AB2693" s="77"/>
      <c r="AC2693" s="80" t="s">
        <v>10541</v>
      </c>
      <c r="AD2693" s="77" t="s">
        <v>10622</v>
      </c>
      <c r="AE2693" s="83" t="str">
        <f>HYPERLINK("https://twitter.com/skandiacol/status/1661487077891125248")</f>
        <v>https://twitter.com/skandiacol/status/1661487077891125248</v>
      </c>
      <c r="AF2693" s="79">
        <v>45070.902337962965</v>
      </c>
      <c r="AG2693" s="85">
        <v>45070</v>
      </c>
      <c r="AH2693" s="80" t="s">
        <v>12985</v>
      </c>
      <c r="AI2693" s="77"/>
      <c r="AJ2693" s="77"/>
      <c r="AK2693" s="77"/>
      <c r="AL2693" s="77"/>
      <c r="AM2693" s="77"/>
      <c r="AN2693" s="77"/>
      <c r="AO2693" s="77"/>
      <c r="AP2693" s="77"/>
      <c r="AQ2693" s="77"/>
      <c r="AR2693" s="77"/>
      <c r="AS2693" s="77"/>
      <c r="AT2693" s="77"/>
      <c r="AU2693" s="77"/>
      <c r="AV2693" s="83" t="str">
        <f>HYPERLINK("https://pbs.twimg.com/profile_images/1148329777738240001/8ACj40Ij_normal.png")</f>
        <v>https://pbs.twimg.com/profile_images/1148329777738240001/8ACj40Ij_normal.png</v>
      </c>
      <c r="AW2693" s="80" t="s">
        <v>18463</v>
      </c>
      <c r="AX2693" s="80" t="s">
        <v>20073</v>
      </c>
      <c r="AY2693" s="80" t="s">
        <v>20324</v>
      </c>
      <c r="AZ2693" s="80" t="s">
        <v>20428</v>
      </c>
      <c r="BA2693" s="80" t="s">
        <v>20380</v>
      </c>
      <c r="BB2693" s="80" t="s">
        <v>20380</v>
      </c>
      <c r="BC2693" s="80" t="s">
        <v>20428</v>
      </c>
      <c r="BD2693" s="77">
        <v>154669803</v>
      </c>
      <c r="BE2693" s="77"/>
      <c r="BF2693" s="77"/>
      <c r="BG2693" s="77"/>
      <c r="BH2693" s="77"/>
      <c r="BI2693" s="77"/>
    </row>
    <row r="2694" spans="1:61" x14ac:dyDescent="0.25">
      <c r="A2694" s="62" t="s">
        <v>1116</v>
      </c>
      <c r="B2694" s="62" t="s">
        <v>1116</v>
      </c>
      <c r="C2694" s="63"/>
      <c r="D2694" s="64"/>
      <c r="E2694" s="65"/>
      <c r="F2694" s="66"/>
      <c r="G2694" s="63"/>
      <c r="H2694" s="67"/>
      <c r="I2694" s="68"/>
      <c r="J2694" s="68"/>
      <c r="K2694" s="32"/>
      <c r="L2694" s="75">
        <v>2694</v>
      </c>
      <c r="M2694" s="75"/>
      <c r="N2694" s="70"/>
      <c r="O2694" s="77" t="s">
        <v>179</v>
      </c>
      <c r="P2694" s="79">
        <v>45197.684942129628</v>
      </c>
      <c r="Q2694" s="77" t="s">
        <v>4452</v>
      </c>
      <c r="R2694" s="77">
        <v>0</v>
      </c>
      <c r="S2694" s="77">
        <v>0</v>
      </c>
      <c r="T2694" s="77">
        <v>0</v>
      </c>
      <c r="U2694" s="77">
        <v>0</v>
      </c>
      <c r="V2694" s="77">
        <v>5</v>
      </c>
      <c r="W2694" s="80" t="s">
        <v>7579</v>
      </c>
      <c r="X2694" s="83" t="str">
        <f>HYPERLINK("https://agro2.com.br/economia/pib-pode-aumentar-para-2-9-em-2023-conforme-projecao-do-banco-central/?swcfpc=1")</f>
        <v>https://agro2.com.br/economia/pib-pode-aumentar-para-2-9-em-2023-conforme-projecao-do-banco-central/?swcfpc=1</v>
      </c>
      <c r="Y2694" s="77" t="s">
        <v>8611</v>
      </c>
      <c r="Z2694" s="77"/>
      <c r="AA2694" s="77"/>
      <c r="AB2694" s="77"/>
      <c r="AC2694" s="80" t="s">
        <v>10541</v>
      </c>
      <c r="AD2694" s="77" t="s">
        <v>10617</v>
      </c>
      <c r="AE2694" s="83" t="str">
        <f>HYPERLINK("https://twitter.com/portalagro2/status/1707431554182533153")</f>
        <v>https://twitter.com/portalagro2/status/1707431554182533153</v>
      </c>
      <c r="AF2694" s="79">
        <v>45197.684942129628</v>
      </c>
      <c r="AG2694" s="85">
        <v>45197</v>
      </c>
      <c r="AH2694" s="80" t="s">
        <v>12986</v>
      </c>
      <c r="AI2694" s="77" t="b">
        <v>0</v>
      </c>
      <c r="AJ2694" s="77"/>
      <c r="AK2694" s="77"/>
      <c r="AL2694" s="77"/>
      <c r="AM2694" s="77"/>
      <c r="AN2694" s="77"/>
      <c r="AO2694" s="77"/>
      <c r="AP2694" s="77"/>
      <c r="AQ2694" s="77"/>
      <c r="AR2694" s="77"/>
      <c r="AS2694" s="77"/>
      <c r="AT2694" s="77"/>
      <c r="AU2694" s="77"/>
      <c r="AV2694" s="83" t="str">
        <f>HYPERLINK("https://pbs.twimg.com/profile_images/1519022809942532102/_9A8sX-g_normal.jpg")</f>
        <v>https://pbs.twimg.com/profile_images/1519022809942532102/_9A8sX-g_normal.jpg</v>
      </c>
      <c r="AW2694" s="80" t="s">
        <v>18464</v>
      </c>
      <c r="AX2694" s="80" t="s">
        <v>18464</v>
      </c>
      <c r="AY2694" s="77"/>
      <c r="AZ2694" s="80" t="s">
        <v>20380</v>
      </c>
      <c r="BA2694" s="80" t="s">
        <v>20380</v>
      </c>
      <c r="BB2694" s="80" t="s">
        <v>20380</v>
      </c>
      <c r="BC2694" s="80" t="s">
        <v>18464</v>
      </c>
      <c r="BD2694" s="80" t="s">
        <v>20937</v>
      </c>
      <c r="BE2694" s="77"/>
      <c r="BF2694" s="77"/>
      <c r="BG2694" s="77"/>
      <c r="BH2694" s="77"/>
      <c r="BI2694" s="77"/>
    </row>
    <row r="2695" spans="1:61" x14ac:dyDescent="0.25">
      <c r="A2695" s="62" t="s">
        <v>1116</v>
      </c>
      <c r="B2695" s="62" t="s">
        <v>1116</v>
      </c>
      <c r="C2695" s="63"/>
      <c r="D2695" s="64"/>
      <c r="E2695" s="65"/>
      <c r="F2695" s="66"/>
      <c r="G2695" s="63"/>
      <c r="H2695" s="67"/>
      <c r="I2695" s="68"/>
      <c r="J2695" s="68"/>
      <c r="K2695" s="32"/>
      <c r="L2695" s="75">
        <v>2695</v>
      </c>
      <c r="M2695" s="75"/>
      <c r="N2695" s="70"/>
      <c r="O2695" s="77" t="s">
        <v>179</v>
      </c>
      <c r="P2695" s="79">
        <v>45141.727824074071</v>
      </c>
      <c r="Q2695" s="77" t="s">
        <v>4453</v>
      </c>
      <c r="R2695" s="77">
        <v>0</v>
      </c>
      <c r="S2695" s="77">
        <v>0</v>
      </c>
      <c r="T2695" s="77">
        <v>0</v>
      </c>
      <c r="U2695" s="77">
        <v>0</v>
      </c>
      <c r="V2695" s="77">
        <v>6</v>
      </c>
      <c r="W2695" s="80" t="s">
        <v>7580</v>
      </c>
      <c r="X2695" s="83" t="str">
        <f>HYPERLINK("https://agro2.com.br/economia/bc-reduz-taxa-selic-para-1325-ao-ano-entenda-o-impacto-na-economia/")</f>
        <v>https://agro2.com.br/economia/bc-reduz-taxa-selic-para-1325-ao-ano-entenda-o-impacto-na-economia/</v>
      </c>
      <c r="Y2695" s="77" t="s">
        <v>8611</v>
      </c>
      <c r="Z2695" s="77"/>
      <c r="AA2695" s="77"/>
      <c r="AB2695" s="77"/>
      <c r="AC2695" s="80" t="s">
        <v>10541</v>
      </c>
      <c r="AD2695" s="77" t="s">
        <v>10617</v>
      </c>
      <c r="AE2695" s="83" t="str">
        <f>HYPERLINK("https://twitter.com/portalagro2/status/1687153374184050688")</f>
        <v>https://twitter.com/portalagro2/status/1687153374184050688</v>
      </c>
      <c r="AF2695" s="79">
        <v>45141.727824074071</v>
      </c>
      <c r="AG2695" s="85">
        <v>45141</v>
      </c>
      <c r="AH2695" s="80" t="s">
        <v>12987</v>
      </c>
      <c r="AI2695" s="77" t="b">
        <v>0</v>
      </c>
      <c r="AJ2695" s="77"/>
      <c r="AK2695" s="77"/>
      <c r="AL2695" s="77"/>
      <c r="AM2695" s="77"/>
      <c r="AN2695" s="77"/>
      <c r="AO2695" s="77"/>
      <c r="AP2695" s="77"/>
      <c r="AQ2695" s="77"/>
      <c r="AR2695" s="77"/>
      <c r="AS2695" s="77"/>
      <c r="AT2695" s="77"/>
      <c r="AU2695" s="77"/>
      <c r="AV2695" s="83" t="str">
        <f>HYPERLINK("https://pbs.twimg.com/profile_images/1519022809942532102/_9A8sX-g_normal.jpg")</f>
        <v>https://pbs.twimg.com/profile_images/1519022809942532102/_9A8sX-g_normal.jpg</v>
      </c>
      <c r="AW2695" s="80" t="s">
        <v>18465</v>
      </c>
      <c r="AX2695" s="80" t="s">
        <v>18465</v>
      </c>
      <c r="AY2695" s="77"/>
      <c r="AZ2695" s="80" t="s">
        <v>20380</v>
      </c>
      <c r="BA2695" s="80" t="s">
        <v>20380</v>
      </c>
      <c r="BB2695" s="80" t="s">
        <v>20380</v>
      </c>
      <c r="BC2695" s="80" t="s">
        <v>18465</v>
      </c>
      <c r="BD2695" s="80" t="s">
        <v>20937</v>
      </c>
      <c r="BE2695" s="77"/>
      <c r="BF2695" s="77"/>
      <c r="BG2695" s="77"/>
      <c r="BH2695" s="77"/>
      <c r="BI2695" s="77"/>
    </row>
    <row r="2696" spans="1:61" x14ac:dyDescent="0.25">
      <c r="A2696" s="62" t="s">
        <v>1117</v>
      </c>
      <c r="B2696" s="62" t="s">
        <v>1117</v>
      </c>
      <c r="C2696" s="63"/>
      <c r="D2696" s="64"/>
      <c r="E2696" s="65"/>
      <c r="F2696" s="66"/>
      <c r="G2696" s="63"/>
      <c r="H2696" s="67"/>
      <c r="I2696" s="68"/>
      <c r="J2696" s="68"/>
      <c r="K2696" s="32"/>
      <c r="L2696" s="75">
        <v>2696</v>
      </c>
      <c r="M2696" s="75"/>
      <c r="N2696" s="70"/>
      <c r="O2696" s="77" t="s">
        <v>179</v>
      </c>
      <c r="P2696" s="79">
        <v>45125.976597222223</v>
      </c>
      <c r="Q2696" s="77" t="s">
        <v>4454</v>
      </c>
      <c r="R2696" s="77">
        <v>0</v>
      </c>
      <c r="S2696" s="77">
        <v>0</v>
      </c>
      <c r="T2696" s="77">
        <v>0</v>
      </c>
      <c r="U2696" s="77">
        <v>0</v>
      </c>
      <c r="V2696" s="77">
        <v>6</v>
      </c>
      <c r="W2696" s="80" t="s">
        <v>7581</v>
      </c>
      <c r="X2696" s="83" t="str">
        <f>HYPERLINK("https://jornalempresasenegocios.com.br/economia/bc-fara-consultas-publicas-para-regular-mercado-de-criptoativos/")</f>
        <v>https://jornalempresasenegocios.com.br/economia/bc-fara-consultas-publicas-para-regular-mercado-de-criptoativos/</v>
      </c>
      <c r="Y2696" s="77" t="s">
        <v>8611</v>
      </c>
      <c r="Z2696" s="77"/>
      <c r="AA2696" s="77"/>
      <c r="AB2696" s="77"/>
      <c r="AC2696" s="80" t="s">
        <v>10541</v>
      </c>
      <c r="AD2696" s="77" t="s">
        <v>10617</v>
      </c>
      <c r="AE2696" s="83" t="str">
        <f>HYPERLINK("https://twitter.com/empresasjornal/status/1681445320344109060")</f>
        <v>https://twitter.com/empresasjornal/status/1681445320344109060</v>
      </c>
      <c r="AF2696" s="79">
        <v>45125.976597222223</v>
      </c>
      <c r="AG2696" s="85">
        <v>45125</v>
      </c>
      <c r="AH2696" s="80" t="s">
        <v>12988</v>
      </c>
      <c r="AI2696" s="77" t="b">
        <v>0</v>
      </c>
      <c r="AJ2696" s="77"/>
      <c r="AK2696" s="77"/>
      <c r="AL2696" s="77"/>
      <c r="AM2696" s="77"/>
      <c r="AN2696" s="77"/>
      <c r="AO2696" s="77"/>
      <c r="AP2696" s="77"/>
      <c r="AQ2696" s="77"/>
      <c r="AR2696" s="77"/>
      <c r="AS2696" s="77"/>
      <c r="AT2696" s="77"/>
      <c r="AU2696" s="77"/>
      <c r="AV2696" s="83" t="str">
        <f>HYPERLINK("https://pbs.twimg.com/profile_images/1382017656103002114/Z5GVr1b4_normal.jpg")</f>
        <v>https://pbs.twimg.com/profile_images/1382017656103002114/Z5GVr1b4_normal.jpg</v>
      </c>
      <c r="AW2696" s="80" t="s">
        <v>18466</v>
      </c>
      <c r="AX2696" s="80" t="s">
        <v>18466</v>
      </c>
      <c r="AY2696" s="77"/>
      <c r="AZ2696" s="80" t="s">
        <v>20380</v>
      </c>
      <c r="BA2696" s="80" t="s">
        <v>20380</v>
      </c>
      <c r="BB2696" s="80" t="s">
        <v>20380</v>
      </c>
      <c r="BC2696" s="80" t="s">
        <v>18466</v>
      </c>
      <c r="BD2696" s="80" t="s">
        <v>20938</v>
      </c>
      <c r="BE2696" s="77"/>
      <c r="BF2696" s="77"/>
      <c r="BG2696" s="77"/>
      <c r="BH2696" s="77"/>
      <c r="BI2696" s="77"/>
    </row>
    <row r="2697" spans="1:61" x14ac:dyDescent="0.25">
      <c r="A2697" s="62" t="s">
        <v>1118</v>
      </c>
      <c r="B2697" s="62" t="s">
        <v>1118</v>
      </c>
      <c r="C2697" s="63"/>
      <c r="D2697" s="64"/>
      <c r="E2697" s="65"/>
      <c r="F2697" s="66"/>
      <c r="G2697" s="63"/>
      <c r="H2697" s="67"/>
      <c r="I2697" s="68"/>
      <c r="J2697" s="68"/>
      <c r="K2697" s="32"/>
      <c r="L2697" s="75">
        <v>2697</v>
      </c>
      <c r="M2697" s="75"/>
      <c r="N2697" s="70"/>
      <c r="O2697" s="77" t="s">
        <v>179</v>
      </c>
      <c r="P2697" s="79">
        <v>45163.945891203701</v>
      </c>
      <c r="Q2697" s="77" t="s">
        <v>4455</v>
      </c>
      <c r="R2697" s="77">
        <v>0</v>
      </c>
      <c r="S2697" s="77">
        <v>0</v>
      </c>
      <c r="T2697" s="77">
        <v>0</v>
      </c>
      <c r="U2697" s="77">
        <v>0</v>
      </c>
      <c r="V2697" s="77">
        <v>27</v>
      </c>
      <c r="W2697" s="80" t="s">
        <v>7582</v>
      </c>
      <c r="X2697" s="77"/>
      <c r="Y2697" s="77"/>
      <c r="Z2697" s="77"/>
      <c r="AA2697" s="77" t="s">
        <v>9878</v>
      </c>
      <c r="AB2697" s="77" t="s">
        <v>10534</v>
      </c>
      <c r="AC2697" s="80" t="s">
        <v>10540</v>
      </c>
      <c r="AD2697" s="77" t="s">
        <v>10619</v>
      </c>
      <c r="AE2697" s="83" t="str">
        <f>HYPERLINK("https://twitter.com/tony_de_derecha/status/1695204930884079962")</f>
        <v>https://twitter.com/tony_de_derecha/status/1695204930884079962</v>
      </c>
      <c r="AF2697" s="79">
        <v>45163.945891203701</v>
      </c>
      <c r="AG2697" s="85">
        <v>45163</v>
      </c>
      <c r="AH2697" s="80" t="s">
        <v>12989</v>
      </c>
      <c r="AI2697" s="77" t="b">
        <v>0</v>
      </c>
      <c r="AJ2697" s="77"/>
      <c r="AK2697" s="77"/>
      <c r="AL2697" s="77"/>
      <c r="AM2697" s="77"/>
      <c r="AN2697" s="77"/>
      <c r="AO2697" s="77"/>
      <c r="AP2697" s="77"/>
      <c r="AQ2697" s="77" t="s">
        <v>15359</v>
      </c>
      <c r="AR2697" s="77">
        <v>21501</v>
      </c>
      <c r="AS2697" s="77"/>
      <c r="AT2697" s="77"/>
      <c r="AU2697" s="77"/>
      <c r="AV2697" s="83" t="str">
        <f>HYPERLINK("https://pbs.twimg.com/ext_tw_video_thumb/1695204878103048192/pu/img/stz6xU2RTC9GoEkr.jpg")</f>
        <v>https://pbs.twimg.com/ext_tw_video_thumb/1695204878103048192/pu/img/stz6xU2RTC9GoEkr.jpg</v>
      </c>
      <c r="AW2697" s="80" t="s">
        <v>18467</v>
      </c>
      <c r="AX2697" s="80" t="s">
        <v>18467</v>
      </c>
      <c r="AY2697" s="77"/>
      <c r="AZ2697" s="80" t="s">
        <v>20380</v>
      </c>
      <c r="BA2697" s="80" t="s">
        <v>20380</v>
      </c>
      <c r="BB2697" s="80" t="s">
        <v>20380</v>
      </c>
      <c r="BC2697" s="80" t="s">
        <v>18467</v>
      </c>
      <c r="BD2697" s="80" t="s">
        <v>20939</v>
      </c>
      <c r="BE2697" s="77"/>
      <c r="BF2697" s="77"/>
      <c r="BG2697" s="77"/>
      <c r="BH2697" s="77"/>
      <c r="BI2697" s="77"/>
    </row>
    <row r="2698" spans="1:61" x14ac:dyDescent="0.25">
      <c r="A2698" s="62" t="s">
        <v>1119</v>
      </c>
      <c r="B2698" s="62" t="s">
        <v>1119</v>
      </c>
      <c r="C2698" s="63"/>
      <c r="D2698" s="64"/>
      <c r="E2698" s="65"/>
      <c r="F2698" s="66"/>
      <c r="G2698" s="63"/>
      <c r="H2698" s="67"/>
      <c r="I2698" s="68"/>
      <c r="J2698" s="68"/>
      <c r="K2698" s="32"/>
      <c r="L2698" s="75">
        <v>2698</v>
      </c>
      <c r="M2698" s="75"/>
      <c r="N2698" s="70"/>
      <c r="O2698" s="77" t="s">
        <v>179</v>
      </c>
      <c r="P2698" s="79">
        <v>45100.643194444441</v>
      </c>
      <c r="Q2698" s="77" t="s">
        <v>4456</v>
      </c>
      <c r="R2698" s="77">
        <v>0</v>
      </c>
      <c r="S2698" s="77">
        <v>0</v>
      </c>
      <c r="T2698" s="77">
        <v>0</v>
      </c>
      <c r="U2698" s="77">
        <v>0</v>
      </c>
      <c r="V2698" s="77">
        <v>7</v>
      </c>
      <c r="W2698" s="80" t="s">
        <v>6131</v>
      </c>
      <c r="X2698" s="83" t="str">
        <f>HYPERLINK("https://g1.globo.com/podcast/o-assunto/noticia/2023/06/20/banco-central-esta-atrasado-na-queda-de-juros-analisa-monica-de-bolle.ghtml")</f>
        <v>https://g1.globo.com/podcast/o-assunto/noticia/2023/06/20/banco-central-esta-atrasado-na-queda-de-juros-analisa-monica-de-bolle.ghtml</v>
      </c>
      <c r="Y2698" s="77" t="s">
        <v>8686</v>
      </c>
      <c r="Z2698" s="77"/>
      <c r="AA2698" s="77"/>
      <c r="AB2698" s="77"/>
      <c r="AC2698" s="80" t="s">
        <v>10541</v>
      </c>
      <c r="AD2698" s="77" t="s">
        <v>10619</v>
      </c>
      <c r="AE2698" s="83" t="str">
        <f>HYPERLINK("https://twitter.com/maxvillares/status/1672264802226282496")</f>
        <v>https://twitter.com/maxvillares/status/1672264802226282496</v>
      </c>
      <c r="AF2698" s="79">
        <v>45100.643194444441</v>
      </c>
      <c r="AG2698" s="85">
        <v>45100</v>
      </c>
      <c r="AH2698" s="80" t="s">
        <v>12990</v>
      </c>
      <c r="AI2698" s="77" t="b">
        <v>0</v>
      </c>
      <c r="AJ2698" s="77"/>
      <c r="AK2698" s="77"/>
      <c r="AL2698" s="77"/>
      <c r="AM2698" s="77"/>
      <c r="AN2698" s="77"/>
      <c r="AO2698" s="77"/>
      <c r="AP2698" s="77"/>
      <c r="AQ2698" s="77"/>
      <c r="AR2698" s="77"/>
      <c r="AS2698" s="77"/>
      <c r="AT2698" s="77"/>
      <c r="AU2698" s="77"/>
      <c r="AV2698" s="83" t="str">
        <f>HYPERLINK("https://pbs.twimg.com/profile_images/1594989142345240580/OcjHGFZL_normal.jpg")</f>
        <v>https://pbs.twimg.com/profile_images/1594989142345240580/OcjHGFZL_normal.jpg</v>
      </c>
      <c r="AW2698" s="80" t="s">
        <v>18468</v>
      </c>
      <c r="AX2698" s="80" t="s">
        <v>18468</v>
      </c>
      <c r="AY2698" s="77"/>
      <c r="AZ2698" s="80" t="s">
        <v>20380</v>
      </c>
      <c r="BA2698" s="80" t="s">
        <v>20380</v>
      </c>
      <c r="BB2698" s="80" t="s">
        <v>20380</v>
      </c>
      <c r="BC2698" s="80" t="s">
        <v>18468</v>
      </c>
      <c r="BD2698" s="80" t="s">
        <v>20940</v>
      </c>
      <c r="BE2698" s="77"/>
      <c r="BF2698" s="77"/>
      <c r="BG2698" s="77"/>
      <c r="BH2698" s="77"/>
      <c r="BI2698" s="77"/>
    </row>
    <row r="2699" spans="1:61" x14ac:dyDescent="0.25">
      <c r="A2699" s="62" t="s">
        <v>1120</v>
      </c>
      <c r="B2699" s="62" t="s">
        <v>1120</v>
      </c>
      <c r="C2699" s="63"/>
      <c r="D2699" s="64"/>
      <c r="E2699" s="65"/>
      <c r="F2699" s="66"/>
      <c r="G2699" s="63"/>
      <c r="H2699" s="67"/>
      <c r="I2699" s="68"/>
      <c r="J2699" s="68"/>
      <c r="K2699" s="32"/>
      <c r="L2699" s="75">
        <v>2699</v>
      </c>
      <c r="M2699" s="75"/>
      <c r="N2699" s="70"/>
      <c r="O2699" s="77" t="s">
        <v>179</v>
      </c>
      <c r="P2699" s="79">
        <v>45152.705428240741</v>
      </c>
      <c r="Q2699" s="77" t="s">
        <v>4457</v>
      </c>
      <c r="R2699" s="77">
        <v>0</v>
      </c>
      <c r="S2699" s="77">
        <v>0</v>
      </c>
      <c r="T2699" s="77">
        <v>0</v>
      </c>
      <c r="U2699" s="77">
        <v>0</v>
      </c>
      <c r="V2699" s="77">
        <v>59</v>
      </c>
      <c r="W2699" s="80" t="s">
        <v>7583</v>
      </c>
      <c r="X2699" s="83" t="str">
        <f>HYPERLINK("https://my.flexmls.com/ramon_cardozo/search/saved_searches/20200804131252198220000000/listings/20221031151810837632000000?from_filter=false")</f>
        <v>https://my.flexmls.com/ramon_cardozo/search/saved_searches/20200804131252198220000000/listings/20221031151810837632000000?from_filter=false</v>
      </c>
      <c r="Y2699" s="77" t="s">
        <v>8802</v>
      </c>
      <c r="Z2699" s="77"/>
      <c r="AA2699" s="77"/>
      <c r="AB2699" s="77"/>
      <c r="AC2699" s="80" t="s">
        <v>10540</v>
      </c>
      <c r="AD2699" s="77" t="s">
        <v>10620</v>
      </c>
      <c r="AE2699" s="83" t="str">
        <f>HYPERLINK("https://twitter.com/reycardozo/status/1691131522831601664")</f>
        <v>https://twitter.com/reycardozo/status/1691131522831601664</v>
      </c>
      <c r="AF2699" s="79">
        <v>45152.705428240741</v>
      </c>
      <c r="AG2699" s="85">
        <v>45152</v>
      </c>
      <c r="AH2699" s="80" t="s">
        <v>12991</v>
      </c>
      <c r="AI2699" s="77" t="b">
        <v>0</v>
      </c>
      <c r="AJ2699" s="77"/>
      <c r="AK2699" s="77"/>
      <c r="AL2699" s="77"/>
      <c r="AM2699" s="77"/>
      <c r="AN2699" s="77"/>
      <c r="AO2699" s="77"/>
      <c r="AP2699" s="77"/>
      <c r="AQ2699" s="77"/>
      <c r="AR2699" s="77"/>
      <c r="AS2699" s="77"/>
      <c r="AT2699" s="77"/>
      <c r="AU2699" s="77"/>
      <c r="AV2699" s="83" t="str">
        <f>HYPERLINK("https://pbs.twimg.com/profile_images/1536664052604223488/qxIKvJcY_normal.jpg")</f>
        <v>https://pbs.twimg.com/profile_images/1536664052604223488/qxIKvJcY_normal.jpg</v>
      </c>
      <c r="AW2699" s="80" t="s">
        <v>18469</v>
      </c>
      <c r="AX2699" s="80" t="s">
        <v>18469</v>
      </c>
      <c r="AY2699" s="77"/>
      <c r="AZ2699" s="80" t="s">
        <v>20380</v>
      </c>
      <c r="BA2699" s="80" t="s">
        <v>20380</v>
      </c>
      <c r="BB2699" s="80" t="s">
        <v>20380</v>
      </c>
      <c r="BC2699" s="80" t="s">
        <v>18469</v>
      </c>
      <c r="BD2699" s="77">
        <v>98784464</v>
      </c>
      <c r="BE2699" s="77"/>
      <c r="BF2699" s="77"/>
      <c r="BG2699" s="77"/>
      <c r="BH2699" s="77"/>
      <c r="BI2699" s="77"/>
    </row>
    <row r="2700" spans="1:61" x14ac:dyDescent="0.25">
      <c r="A2700" s="62" t="s">
        <v>1121</v>
      </c>
      <c r="B2700" s="62" t="s">
        <v>1121</v>
      </c>
      <c r="C2700" s="63"/>
      <c r="D2700" s="64"/>
      <c r="E2700" s="65"/>
      <c r="F2700" s="66"/>
      <c r="G2700" s="63"/>
      <c r="H2700" s="67"/>
      <c r="I2700" s="68"/>
      <c r="J2700" s="68"/>
      <c r="K2700" s="32"/>
      <c r="L2700" s="75">
        <v>2700</v>
      </c>
      <c r="M2700" s="75"/>
      <c r="N2700" s="70"/>
      <c r="O2700" s="77" t="s">
        <v>179</v>
      </c>
      <c r="P2700" s="79">
        <v>45136.075868055559</v>
      </c>
      <c r="Q2700" s="77" t="s">
        <v>4458</v>
      </c>
      <c r="R2700" s="77">
        <v>0</v>
      </c>
      <c r="S2700" s="77">
        <v>0</v>
      </c>
      <c r="T2700" s="77">
        <v>0</v>
      </c>
      <c r="U2700" s="77">
        <v>0</v>
      </c>
      <c r="V2700" s="77">
        <v>39</v>
      </c>
      <c r="W2700" s="80" t="s">
        <v>7584</v>
      </c>
      <c r="X2700" s="77"/>
      <c r="Y2700" s="77"/>
      <c r="Z2700" s="77"/>
      <c r="AA2700" s="77" t="s">
        <v>9879</v>
      </c>
      <c r="AB2700" s="77" t="s">
        <v>10535</v>
      </c>
      <c r="AC2700" s="80" t="s">
        <v>10541</v>
      </c>
      <c r="AD2700" s="77" t="s">
        <v>10625</v>
      </c>
      <c r="AE2700" s="83" t="str">
        <f>HYPERLINK("https://twitter.com/afk_1rl/status/1685105172366741504")</f>
        <v>https://twitter.com/afk_1rl/status/1685105172366741504</v>
      </c>
      <c r="AF2700" s="79">
        <v>45136.075868055559</v>
      </c>
      <c r="AG2700" s="85">
        <v>45136</v>
      </c>
      <c r="AH2700" s="80" t="s">
        <v>12992</v>
      </c>
      <c r="AI2700" s="77" t="b">
        <v>0</v>
      </c>
      <c r="AJ2700" s="77"/>
      <c r="AK2700" s="77"/>
      <c r="AL2700" s="77"/>
      <c r="AM2700" s="77"/>
      <c r="AN2700" s="77"/>
      <c r="AO2700" s="77"/>
      <c r="AP2700" s="77"/>
      <c r="AQ2700" s="77" t="s">
        <v>15360</v>
      </c>
      <c r="AR2700" s="77"/>
      <c r="AS2700" s="77"/>
      <c r="AT2700" s="77"/>
      <c r="AU2700" s="77"/>
      <c r="AV2700" s="83" t="str">
        <f>HYPERLINK("https://pbs.twimg.com/media/F2KxdIFWcAApdQo.png")</f>
        <v>https://pbs.twimg.com/media/F2KxdIFWcAApdQo.png</v>
      </c>
      <c r="AW2700" s="80" t="s">
        <v>18470</v>
      </c>
      <c r="AX2700" s="80" t="s">
        <v>18470</v>
      </c>
      <c r="AY2700" s="77"/>
      <c r="AZ2700" s="80" t="s">
        <v>20380</v>
      </c>
      <c r="BA2700" s="80" t="s">
        <v>20380</v>
      </c>
      <c r="BB2700" s="80" t="s">
        <v>20380</v>
      </c>
      <c r="BC2700" s="80" t="s">
        <v>18470</v>
      </c>
      <c r="BD2700" s="80" t="s">
        <v>20941</v>
      </c>
      <c r="BE2700" s="77"/>
      <c r="BF2700" s="77"/>
      <c r="BG2700" s="77"/>
      <c r="BH2700" s="77"/>
      <c r="BI2700" s="77"/>
    </row>
    <row r="2701" spans="1:61" x14ac:dyDescent="0.25">
      <c r="A2701" s="62" t="s">
        <v>1122</v>
      </c>
      <c r="B2701" s="62" t="s">
        <v>1122</v>
      </c>
      <c r="C2701" s="63"/>
      <c r="D2701" s="64"/>
      <c r="E2701" s="65"/>
      <c r="F2701" s="66"/>
      <c r="G2701" s="63"/>
      <c r="H2701" s="67"/>
      <c r="I2701" s="68"/>
      <c r="J2701" s="68"/>
      <c r="K2701" s="32"/>
      <c r="L2701" s="75">
        <v>2701</v>
      </c>
      <c r="M2701" s="75"/>
      <c r="N2701" s="70"/>
      <c r="O2701" s="77" t="s">
        <v>179</v>
      </c>
      <c r="P2701" s="79">
        <v>45054.771354166667</v>
      </c>
      <c r="Q2701" s="77" t="s">
        <v>4459</v>
      </c>
      <c r="R2701" s="77">
        <v>0</v>
      </c>
      <c r="S2701" s="77">
        <v>1</v>
      </c>
      <c r="T2701" s="77">
        <v>0</v>
      </c>
      <c r="U2701" s="77">
        <v>0</v>
      </c>
      <c r="V2701" s="77">
        <v>90</v>
      </c>
      <c r="W2701" s="80" t="s">
        <v>7585</v>
      </c>
      <c r="X2701" s="83" t="str">
        <f>HYPERLINK("https://rdctv.com.br/destaques-do-dia/mercado-financeiro-reduz-para-602-previsao-de-inflacao-em-2023/")</f>
        <v>https://rdctv.com.br/destaques-do-dia/mercado-financeiro-reduz-para-602-previsao-de-inflacao-em-2023/</v>
      </c>
      <c r="Y2701" s="77" t="s">
        <v>8611</v>
      </c>
      <c r="Z2701" s="77"/>
      <c r="AA2701" s="77"/>
      <c r="AB2701" s="77"/>
      <c r="AC2701" s="80" t="s">
        <v>10550</v>
      </c>
      <c r="AD2701" s="77" t="s">
        <v>10617</v>
      </c>
      <c r="AE2701" s="83" t="str">
        <f>HYPERLINK("https://twitter.com/rdctvdigital/status/1655641401936207884")</f>
        <v>https://twitter.com/rdctvdigital/status/1655641401936207884</v>
      </c>
      <c r="AF2701" s="79">
        <v>45054.771354166667</v>
      </c>
      <c r="AG2701" s="85">
        <v>45054</v>
      </c>
      <c r="AH2701" s="80" t="s">
        <v>11333</v>
      </c>
      <c r="AI2701" s="77" t="b">
        <v>0</v>
      </c>
      <c r="AJ2701" s="77"/>
      <c r="AK2701" s="77"/>
      <c r="AL2701" s="77"/>
      <c r="AM2701" s="77"/>
      <c r="AN2701" s="77"/>
      <c r="AO2701" s="77"/>
      <c r="AP2701" s="77"/>
      <c r="AQ2701" s="77"/>
      <c r="AR2701" s="77"/>
      <c r="AS2701" s="77"/>
      <c r="AT2701" s="77"/>
      <c r="AU2701" s="77"/>
      <c r="AV2701" s="83" t="str">
        <f>HYPERLINK("https://pbs.twimg.com/profile_images/1466023206486253570/ibbXwo_e_normal.jpg")</f>
        <v>https://pbs.twimg.com/profile_images/1466023206486253570/ibbXwo_e_normal.jpg</v>
      </c>
      <c r="AW2701" s="80" t="s">
        <v>18471</v>
      </c>
      <c r="AX2701" s="80" t="s">
        <v>18471</v>
      </c>
      <c r="AY2701" s="77"/>
      <c r="AZ2701" s="80" t="s">
        <v>20380</v>
      </c>
      <c r="BA2701" s="80" t="s">
        <v>20380</v>
      </c>
      <c r="BB2701" s="80" t="s">
        <v>20380</v>
      </c>
      <c r="BC2701" s="80" t="s">
        <v>18471</v>
      </c>
      <c r="BD2701" s="80" t="s">
        <v>20942</v>
      </c>
      <c r="BE2701" s="77"/>
      <c r="BF2701" s="77"/>
      <c r="BG2701" s="77"/>
      <c r="BH2701" s="77"/>
      <c r="BI2701" s="77"/>
    </row>
    <row r="2702" spans="1:61" x14ac:dyDescent="0.25">
      <c r="A2702" s="62" t="s">
        <v>1123</v>
      </c>
      <c r="B2702" s="62" t="s">
        <v>1123</v>
      </c>
      <c r="C2702" s="63"/>
      <c r="D2702" s="64"/>
      <c r="E2702" s="65"/>
      <c r="F2702" s="66"/>
      <c r="G2702" s="63"/>
      <c r="H2702" s="67"/>
      <c r="I2702" s="68"/>
      <c r="J2702" s="68"/>
      <c r="K2702" s="32"/>
      <c r="L2702" s="75">
        <v>2702</v>
      </c>
      <c r="M2702" s="75"/>
      <c r="N2702" s="70"/>
      <c r="O2702" s="77" t="s">
        <v>179</v>
      </c>
      <c r="P2702" s="79">
        <v>45090.838240740741</v>
      </c>
      <c r="Q2702" s="77" t="s">
        <v>4460</v>
      </c>
      <c r="R2702" s="77">
        <v>0</v>
      </c>
      <c r="S2702" s="77">
        <v>0</v>
      </c>
      <c r="T2702" s="77">
        <v>0</v>
      </c>
      <c r="U2702" s="77">
        <v>0</v>
      </c>
      <c r="V2702" s="77">
        <v>38</v>
      </c>
      <c r="W2702" s="80" t="s">
        <v>7586</v>
      </c>
      <c r="X2702" s="83" t="str">
        <f>HYPERLINK("https://jornalsomos.com.br/brasil/detalhe/coluna-cairo-santos-pix-no-transporte-publico-a-facilidade-que-o-povo-precisa")</f>
        <v>https://jornalsomos.com.br/brasil/detalhe/coluna-cairo-santos-pix-no-transporte-publico-a-facilidade-que-o-povo-precisa</v>
      </c>
      <c r="Y2702" s="77" t="s">
        <v>8611</v>
      </c>
      <c r="Z2702" s="77"/>
      <c r="AA2702" s="77" t="s">
        <v>9880</v>
      </c>
      <c r="AB2702" s="77" t="s">
        <v>10535</v>
      </c>
      <c r="AC2702" s="80" t="s">
        <v>10541</v>
      </c>
      <c r="AD2702" s="77" t="s">
        <v>10617</v>
      </c>
      <c r="AE2702" s="83" t="str">
        <f>HYPERLINK("https://twitter.com/jornalsomos/status/1668711604697923590")</f>
        <v>https://twitter.com/jornalsomos/status/1668711604697923590</v>
      </c>
      <c r="AF2702" s="79">
        <v>45090.838240740741</v>
      </c>
      <c r="AG2702" s="85">
        <v>45090</v>
      </c>
      <c r="AH2702" s="80" t="s">
        <v>12993</v>
      </c>
      <c r="AI2702" s="77" t="b">
        <v>0</v>
      </c>
      <c r="AJ2702" s="77"/>
      <c r="AK2702" s="77"/>
      <c r="AL2702" s="77"/>
      <c r="AM2702" s="77"/>
      <c r="AN2702" s="77"/>
      <c r="AO2702" s="77"/>
      <c r="AP2702" s="77"/>
      <c r="AQ2702" s="77" t="s">
        <v>15361</v>
      </c>
      <c r="AR2702" s="77"/>
      <c r="AS2702" s="77"/>
      <c r="AT2702" s="77"/>
      <c r="AU2702" s="77"/>
      <c r="AV2702" s="83" t="str">
        <f>HYPERLINK("https://pbs.twimg.com/media/Fyh0TUrX0AMbmWB.jpg")</f>
        <v>https://pbs.twimg.com/media/Fyh0TUrX0AMbmWB.jpg</v>
      </c>
      <c r="AW2702" s="80" t="s">
        <v>18472</v>
      </c>
      <c r="AX2702" s="80" t="s">
        <v>18472</v>
      </c>
      <c r="AY2702" s="77"/>
      <c r="AZ2702" s="80" t="s">
        <v>20380</v>
      </c>
      <c r="BA2702" s="80" t="s">
        <v>20380</v>
      </c>
      <c r="BB2702" s="80" t="s">
        <v>20380</v>
      </c>
      <c r="BC2702" s="80" t="s">
        <v>18472</v>
      </c>
      <c r="BD2702" s="80" t="s">
        <v>20943</v>
      </c>
      <c r="BE2702" s="77"/>
      <c r="BF2702" s="77"/>
      <c r="BG2702" s="77"/>
      <c r="BH2702" s="77"/>
      <c r="BI2702" s="77"/>
    </row>
    <row r="2703" spans="1:61" x14ac:dyDescent="0.25">
      <c r="A2703" s="62" t="s">
        <v>1123</v>
      </c>
      <c r="B2703" s="62" t="s">
        <v>1123</v>
      </c>
      <c r="C2703" s="63"/>
      <c r="D2703" s="64"/>
      <c r="E2703" s="65"/>
      <c r="F2703" s="66"/>
      <c r="G2703" s="63"/>
      <c r="H2703" s="67"/>
      <c r="I2703" s="68"/>
      <c r="J2703" s="68"/>
      <c r="K2703" s="32"/>
      <c r="L2703" s="75">
        <v>2703</v>
      </c>
      <c r="M2703" s="75"/>
      <c r="N2703" s="70"/>
      <c r="O2703" s="77" t="s">
        <v>179</v>
      </c>
      <c r="P2703" s="79">
        <v>45190.63658564815</v>
      </c>
      <c r="Q2703" s="77" t="s">
        <v>4461</v>
      </c>
      <c r="R2703" s="77">
        <v>0</v>
      </c>
      <c r="S2703" s="77">
        <v>0</v>
      </c>
      <c r="T2703" s="77">
        <v>0</v>
      </c>
      <c r="U2703" s="77">
        <v>0</v>
      </c>
      <c r="V2703" s="77">
        <v>13</v>
      </c>
      <c r="W2703" s="80" t="s">
        <v>7587</v>
      </c>
      <c r="X2703" s="83" t="str">
        <f>HYPERLINK("https://jornalsomos.com.br/goias/detalhe/economia-goiana-cresce-9-13-em-julho-e-tem-o-segundo-melhor-resultado-no-pais-no-periodo")</f>
        <v>https://jornalsomos.com.br/goias/detalhe/economia-goiana-cresce-9-13-em-julho-e-tem-o-segundo-melhor-resultado-no-pais-no-periodo</v>
      </c>
      <c r="Y2703" s="77" t="s">
        <v>8611</v>
      </c>
      <c r="Z2703" s="77"/>
      <c r="AA2703" s="77" t="s">
        <v>9881</v>
      </c>
      <c r="AB2703" s="77" t="s">
        <v>10535</v>
      </c>
      <c r="AC2703" s="80" t="s">
        <v>10541</v>
      </c>
      <c r="AD2703" s="77" t="s">
        <v>10619</v>
      </c>
      <c r="AE2703" s="83" t="str">
        <f>HYPERLINK("https://twitter.com/jornalsomos/status/1704877314419327471")</f>
        <v>https://twitter.com/jornalsomos/status/1704877314419327471</v>
      </c>
      <c r="AF2703" s="79">
        <v>45190.63658564815</v>
      </c>
      <c r="AG2703" s="85">
        <v>45190</v>
      </c>
      <c r="AH2703" s="80" t="s">
        <v>12994</v>
      </c>
      <c r="AI2703" s="77" t="b">
        <v>0</v>
      </c>
      <c r="AJ2703" s="77"/>
      <c r="AK2703" s="77"/>
      <c r="AL2703" s="77"/>
      <c r="AM2703" s="77"/>
      <c r="AN2703" s="77"/>
      <c r="AO2703" s="77"/>
      <c r="AP2703" s="77"/>
      <c r="AQ2703" s="77" t="s">
        <v>15362</v>
      </c>
      <c r="AR2703" s="77"/>
      <c r="AS2703" s="77"/>
      <c r="AT2703" s="77"/>
      <c r="AU2703" s="77"/>
      <c r="AV2703" s="83" t="str">
        <f>HYPERLINK("https://pbs.twimg.com/media/F6jw3otWgAAnQka.jpg")</f>
        <v>https://pbs.twimg.com/media/F6jw3otWgAAnQka.jpg</v>
      </c>
      <c r="AW2703" s="80" t="s">
        <v>18473</v>
      </c>
      <c r="AX2703" s="80" t="s">
        <v>18473</v>
      </c>
      <c r="AY2703" s="77"/>
      <c r="AZ2703" s="80" t="s">
        <v>20380</v>
      </c>
      <c r="BA2703" s="80" t="s">
        <v>20380</v>
      </c>
      <c r="BB2703" s="80" t="s">
        <v>20380</v>
      </c>
      <c r="BC2703" s="80" t="s">
        <v>18473</v>
      </c>
      <c r="BD2703" s="80" t="s">
        <v>20943</v>
      </c>
      <c r="BE2703" s="77"/>
      <c r="BF2703" s="77"/>
      <c r="BG2703" s="77"/>
      <c r="BH2703" s="77"/>
      <c r="BI2703" s="77"/>
    </row>
    <row r="2704" spans="1:61" x14ac:dyDescent="0.25">
      <c r="A2704" s="62" t="s">
        <v>1124</v>
      </c>
      <c r="B2704" s="62" t="s">
        <v>1124</v>
      </c>
      <c r="C2704" s="63"/>
      <c r="D2704" s="64"/>
      <c r="E2704" s="65"/>
      <c r="F2704" s="66"/>
      <c r="G2704" s="63"/>
      <c r="H2704" s="67"/>
      <c r="I2704" s="68"/>
      <c r="J2704" s="68"/>
      <c r="K2704" s="32"/>
      <c r="L2704" s="75">
        <v>2704</v>
      </c>
      <c r="M2704" s="75"/>
      <c r="N2704" s="70"/>
      <c r="O2704" s="77" t="s">
        <v>179</v>
      </c>
      <c r="P2704" s="79">
        <v>45050.827847222223</v>
      </c>
      <c r="Q2704" s="77" t="s">
        <v>4462</v>
      </c>
      <c r="R2704" s="77">
        <v>1</v>
      </c>
      <c r="S2704" s="77">
        <v>2</v>
      </c>
      <c r="T2704" s="77">
        <v>0</v>
      </c>
      <c r="U2704" s="77">
        <v>0</v>
      </c>
      <c r="V2704" s="77">
        <v>171</v>
      </c>
      <c r="W2704" s="80" t="s">
        <v>7588</v>
      </c>
      <c r="X2704" s="77"/>
      <c r="Y2704" s="77"/>
      <c r="Z2704" s="77"/>
      <c r="AA2704" s="77" t="s">
        <v>9882</v>
      </c>
      <c r="AB2704" s="77" t="s">
        <v>10535</v>
      </c>
      <c r="AC2704" s="80" t="s">
        <v>10541</v>
      </c>
      <c r="AD2704" s="77" t="s">
        <v>10620</v>
      </c>
      <c r="AE2704" s="83" t="str">
        <f>HYPERLINK("https://twitter.com/ariesfmsalta/status/1654212326076162048")</f>
        <v>https://twitter.com/ariesfmsalta/status/1654212326076162048</v>
      </c>
      <c r="AF2704" s="79">
        <v>45050.827847222223</v>
      </c>
      <c r="AG2704" s="85">
        <v>45050</v>
      </c>
      <c r="AH2704" s="80" t="s">
        <v>12995</v>
      </c>
      <c r="AI2704" s="77" t="b">
        <v>0</v>
      </c>
      <c r="AJ2704" s="77" t="s">
        <v>14365</v>
      </c>
      <c r="AK2704" s="77" t="s">
        <v>14385</v>
      </c>
      <c r="AL2704" s="77" t="s">
        <v>14394</v>
      </c>
      <c r="AM2704" s="77" t="s">
        <v>14422</v>
      </c>
      <c r="AN2704" s="77" t="s">
        <v>14462</v>
      </c>
      <c r="AO2704" s="77" t="s">
        <v>14501</v>
      </c>
      <c r="AP2704" s="77" t="s">
        <v>14516</v>
      </c>
      <c r="AQ2704" s="77" t="s">
        <v>15363</v>
      </c>
      <c r="AR2704" s="77"/>
      <c r="AS2704" s="77"/>
      <c r="AT2704" s="77"/>
      <c r="AU2704" s="77"/>
      <c r="AV2704" s="83" t="str">
        <f>HYPERLINK("https://pbs.twimg.com/media/FvTw30gXsAIXYCK.jpg")</f>
        <v>https://pbs.twimg.com/media/FvTw30gXsAIXYCK.jpg</v>
      </c>
      <c r="AW2704" s="80" t="s">
        <v>18474</v>
      </c>
      <c r="AX2704" s="80" t="s">
        <v>18474</v>
      </c>
      <c r="AY2704" s="77"/>
      <c r="AZ2704" s="80" t="s">
        <v>20380</v>
      </c>
      <c r="BA2704" s="80" t="s">
        <v>20380</v>
      </c>
      <c r="BB2704" s="80" t="s">
        <v>20380</v>
      </c>
      <c r="BC2704" s="80" t="s">
        <v>18474</v>
      </c>
      <c r="BD2704" s="77">
        <v>214859075</v>
      </c>
      <c r="BE2704" s="77"/>
      <c r="BF2704" s="77"/>
      <c r="BG2704" s="77"/>
      <c r="BH2704" s="77"/>
      <c r="BI2704" s="77"/>
    </row>
    <row r="2705" spans="1:61" x14ac:dyDescent="0.25">
      <c r="A2705" s="62" t="s">
        <v>1124</v>
      </c>
      <c r="B2705" s="62" t="s">
        <v>1124</v>
      </c>
      <c r="C2705" s="63"/>
      <c r="D2705" s="64"/>
      <c r="E2705" s="65"/>
      <c r="F2705" s="66"/>
      <c r="G2705" s="63"/>
      <c r="H2705" s="67"/>
      <c r="I2705" s="68"/>
      <c r="J2705" s="68"/>
      <c r="K2705" s="32"/>
      <c r="L2705" s="75">
        <v>2705</v>
      </c>
      <c r="M2705" s="75"/>
      <c r="N2705" s="70"/>
      <c r="O2705" s="77" t="s">
        <v>179</v>
      </c>
      <c r="P2705" s="79">
        <v>45068.599016203705</v>
      </c>
      <c r="Q2705" s="77" t="s">
        <v>4463</v>
      </c>
      <c r="R2705" s="77">
        <v>0</v>
      </c>
      <c r="S2705" s="77">
        <v>0</v>
      </c>
      <c r="T2705" s="77">
        <v>0</v>
      </c>
      <c r="U2705" s="77">
        <v>0</v>
      </c>
      <c r="V2705" s="77">
        <v>124</v>
      </c>
      <c r="W2705" s="80" t="s">
        <v>7589</v>
      </c>
      <c r="X2705" s="77"/>
      <c r="Y2705" s="77"/>
      <c r="Z2705" s="77"/>
      <c r="AA2705" s="77" t="s">
        <v>9883</v>
      </c>
      <c r="AB2705" s="77" t="s">
        <v>10535</v>
      </c>
      <c r="AC2705" s="80" t="s">
        <v>10541</v>
      </c>
      <c r="AD2705" s="77" t="s">
        <v>10620</v>
      </c>
      <c r="AE2705" s="83" t="str">
        <f>HYPERLINK("https://twitter.com/ariesfmsalta/status/1660652378058637320")</f>
        <v>https://twitter.com/ariesfmsalta/status/1660652378058637320</v>
      </c>
      <c r="AF2705" s="79">
        <v>45068.599016203705</v>
      </c>
      <c r="AG2705" s="85">
        <v>45068</v>
      </c>
      <c r="AH2705" s="80" t="s">
        <v>12996</v>
      </c>
      <c r="AI2705" s="77" t="b">
        <v>0</v>
      </c>
      <c r="AJ2705" s="77" t="s">
        <v>14365</v>
      </c>
      <c r="AK2705" s="77" t="s">
        <v>14385</v>
      </c>
      <c r="AL2705" s="77" t="s">
        <v>14394</v>
      </c>
      <c r="AM2705" s="77" t="s">
        <v>14422</v>
      </c>
      <c r="AN2705" s="77" t="s">
        <v>14462</v>
      </c>
      <c r="AO2705" s="77" t="s">
        <v>14501</v>
      </c>
      <c r="AP2705" s="77" t="s">
        <v>14516</v>
      </c>
      <c r="AQ2705" s="77" t="s">
        <v>15364</v>
      </c>
      <c r="AR2705" s="77"/>
      <c r="AS2705" s="77"/>
      <c r="AT2705" s="77"/>
      <c r="AU2705" s="77"/>
      <c r="AV2705" s="83" t="str">
        <f>HYPERLINK("https://pbs.twimg.com/media/FwvSHNNWAAEJ7ZR.jpg")</f>
        <v>https://pbs.twimg.com/media/FwvSHNNWAAEJ7ZR.jpg</v>
      </c>
      <c r="AW2705" s="80" t="s">
        <v>18475</v>
      </c>
      <c r="AX2705" s="80" t="s">
        <v>18475</v>
      </c>
      <c r="AY2705" s="77"/>
      <c r="AZ2705" s="80" t="s">
        <v>20380</v>
      </c>
      <c r="BA2705" s="80" t="s">
        <v>20380</v>
      </c>
      <c r="BB2705" s="80" t="s">
        <v>20380</v>
      </c>
      <c r="BC2705" s="80" t="s">
        <v>18475</v>
      </c>
      <c r="BD2705" s="77">
        <v>214859075</v>
      </c>
      <c r="BE2705" s="77"/>
      <c r="BF2705" s="77"/>
      <c r="BG2705" s="77"/>
      <c r="BH2705" s="77"/>
      <c r="BI2705" s="77"/>
    </row>
    <row r="2706" spans="1:61" x14ac:dyDescent="0.25">
      <c r="A2706" s="62" t="s">
        <v>1124</v>
      </c>
      <c r="B2706" s="62" t="s">
        <v>1124</v>
      </c>
      <c r="C2706" s="63"/>
      <c r="D2706" s="64"/>
      <c r="E2706" s="65"/>
      <c r="F2706" s="66"/>
      <c r="G2706" s="63"/>
      <c r="H2706" s="67"/>
      <c r="I2706" s="68"/>
      <c r="J2706" s="68"/>
      <c r="K2706" s="32"/>
      <c r="L2706" s="75">
        <v>2706</v>
      </c>
      <c r="M2706" s="75"/>
      <c r="N2706" s="70"/>
      <c r="O2706" s="77" t="s">
        <v>179</v>
      </c>
      <c r="P2706" s="79">
        <v>45155.731203703705</v>
      </c>
      <c r="Q2706" s="77" t="s">
        <v>4464</v>
      </c>
      <c r="R2706" s="77">
        <v>0</v>
      </c>
      <c r="S2706" s="77">
        <v>1</v>
      </c>
      <c r="T2706" s="77">
        <v>0</v>
      </c>
      <c r="U2706" s="77">
        <v>0</v>
      </c>
      <c r="V2706" s="77">
        <v>341</v>
      </c>
      <c r="W2706" s="80" t="s">
        <v>7590</v>
      </c>
      <c r="X2706" s="77"/>
      <c r="Y2706" s="77"/>
      <c r="Z2706" s="77"/>
      <c r="AA2706" s="77" t="s">
        <v>9884</v>
      </c>
      <c r="AB2706" s="77" t="s">
        <v>10534</v>
      </c>
      <c r="AC2706" s="80" t="s">
        <v>10541</v>
      </c>
      <c r="AD2706" s="77" t="s">
        <v>10620</v>
      </c>
      <c r="AE2706" s="83" t="str">
        <f>HYPERLINK("https://twitter.com/ariesfmsalta/status/1692228027273372131")</f>
        <v>https://twitter.com/ariesfmsalta/status/1692228027273372131</v>
      </c>
      <c r="AF2706" s="79">
        <v>45155.731203703705</v>
      </c>
      <c r="AG2706" s="85">
        <v>45155</v>
      </c>
      <c r="AH2706" s="80" t="s">
        <v>12997</v>
      </c>
      <c r="AI2706" s="77" t="b">
        <v>0</v>
      </c>
      <c r="AJ2706" s="77" t="s">
        <v>14365</v>
      </c>
      <c r="AK2706" s="77" t="s">
        <v>14385</v>
      </c>
      <c r="AL2706" s="77" t="s">
        <v>14394</v>
      </c>
      <c r="AM2706" s="77" t="s">
        <v>14422</v>
      </c>
      <c r="AN2706" s="77" t="s">
        <v>14462</v>
      </c>
      <c r="AO2706" s="77" t="s">
        <v>14501</v>
      </c>
      <c r="AP2706" s="77" t="s">
        <v>14516</v>
      </c>
      <c r="AQ2706" s="77" t="s">
        <v>15365</v>
      </c>
      <c r="AR2706" s="77">
        <v>36403</v>
      </c>
      <c r="AS2706" s="77"/>
      <c r="AT2706" s="77"/>
      <c r="AU2706" s="77"/>
      <c r="AV2706" s="83" t="str">
        <f>HYPERLINK("https://pbs.twimg.com/ext_tw_video_thumb/1692227713157750790/pu/img/c-4qpaQa137UbQI7.jpg")</f>
        <v>https://pbs.twimg.com/ext_tw_video_thumb/1692227713157750790/pu/img/c-4qpaQa137UbQI7.jpg</v>
      </c>
      <c r="AW2706" s="80" t="s">
        <v>18476</v>
      </c>
      <c r="AX2706" s="80" t="s">
        <v>18476</v>
      </c>
      <c r="AY2706" s="77"/>
      <c r="AZ2706" s="80" t="s">
        <v>20380</v>
      </c>
      <c r="BA2706" s="80" t="s">
        <v>20380</v>
      </c>
      <c r="BB2706" s="80" t="s">
        <v>20380</v>
      </c>
      <c r="BC2706" s="80" t="s">
        <v>18476</v>
      </c>
      <c r="BD2706" s="77">
        <v>214859075</v>
      </c>
      <c r="BE2706" s="77"/>
      <c r="BF2706" s="77"/>
      <c r="BG2706" s="77"/>
      <c r="BH2706" s="77"/>
      <c r="BI2706" s="77"/>
    </row>
    <row r="2707" spans="1:61" x14ac:dyDescent="0.25">
      <c r="A2707" s="62" t="s">
        <v>1125</v>
      </c>
      <c r="B2707" s="62" t="s">
        <v>1125</v>
      </c>
      <c r="C2707" s="63"/>
      <c r="D2707" s="64"/>
      <c r="E2707" s="65"/>
      <c r="F2707" s="66"/>
      <c r="G2707" s="63"/>
      <c r="H2707" s="67"/>
      <c r="I2707" s="68"/>
      <c r="J2707" s="68"/>
      <c r="K2707" s="32"/>
      <c r="L2707" s="75">
        <v>2707</v>
      </c>
      <c r="M2707" s="75"/>
      <c r="N2707" s="70"/>
      <c r="O2707" s="77" t="s">
        <v>179</v>
      </c>
      <c r="P2707" s="79">
        <v>45191.727430555555</v>
      </c>
      <c r="Q2707" s="77" t="s">
        <v>4465</v>
      </c>
      <c r="R2707" s="77">
        <v>455</v>
      </c>
      <c r="S2707" s="77">
        <v>745</v>
      </c>
      <c r="T2707" s="77">
        <v>187</v>
      </c>
      <c r="U2707" s="77">
        <v>28</v>
      </c>
      <c r="V2707" s="77">
        <v>51883</v>
      </c>
      <c r="W2707" s="80" t="s">
        <v>7591</v>
      </c>
      <c r="X2707" s="77"/>
      <c r="Y2707" s="77"/>
      <c r="Z2707" s="77"/>
      <c r="AA2707" s="77" t="s">
        <v>9885</v>
      </c>
      <c r="AB2707" s="77" t="s">
        <v>10535</v>
      </c>
      <c r="AC2707" s="80" t="s">
        <v>10542</v>
      </c>
      <c r="AD2707" s="77" t="s">
        <v>10620</v>
      </c>
      <c r="AE2707" s="83" t="str">
        <f>HYPERLINK("https://twitter.com/mau_comandatore/status/1705272622529843704")</f>
        <v>https://twitter.com/mau_comandatore/status/1705272622529843704</v>
      </c>
      <c r="AF2707" s="79">
        <v>45191.727430555555</v>
      </c>
      <c r="AG2707" s="85">
        <v>45191</v>
      </c>
      <c r="AH2707" s="80" t="s">
        <v>12998</v>
      </c>
      <c r="AI2707" s="77" t="b">
        <v>0</v>
      </c>
      <c r="AJ2707" s="77"/>
      <c r="AK2707" s="77"/>
      <c r="AL2707" s="77"/>
      <c r="AM2707" s="77"/>
      <c r="AN2707" s="77"/>
      <c r="AO2707" s="77"/>
      <c r="AP2707" s="77"/>
      <c r="AQ2707" s="77" t="s">
        <v>15366</v>
      </c>
      <c r="AR2707" s="77"/>
      <c r="AS2707" s="77"/>
      <c r="AT2707" s="77"/>
      <c r="AU2707" s="77"/>
      <c r="AV2707" s="83" t="str">
        <f>HYPERLINK("https://pbs.twimg.com/media/F6pYaPrX0AAlEzF.jpg")</f>
        <v>https://pbs.twimg.com/media/F6pYaPrX0AAlEzF.jpg</v>
      </c>
      <c r="AW2707" s="80" t="s">
        <v>18477</v>
      </c>
      <c r="AX2707" s="80" t="s">
        <v>18477</v>
      </c>
      <c r="AY2707" s="77"/>
      <c r="AZ2707" s="80" t="s">
        <v>20380</v>
      </c>
      <c r="BA2707" s="80" t="s">
        <v>20380</v>
      </c>
      <c r="BB2707" s="80" t="s">
        <v>20380</v>
      </c>
      <c r="BC2707" s="80" t="s">
        <v>18477</v>
      </c>
      <c r="BD2707" s="77">
        <v>1209749604</v>
      </c>
      <c r="BE2707" s="77"/>
      <c r="BF2707" s="77"/>
      <c r="BG2707" s="77"/>
      <c r="BH2707" s="77"/>
      <c r="BI2707" s="77"/>
    </row>
    <row r="2708" spans="1:61" x14ac:dyDescent="0.25">
      <c r="A2708" s="62" t="s">
        <v>1126</v>
      </c>
      <c r="B2708" s="62" t="s">
        <v>1126</v>
      </c>
      <c r="C2708" s="63"/>
      <c r="D2708" s="64"/>
      <c r="E2708" s="65"/>
      <c r="F2708" s="66"/>
      <c r="G2708" s="63"/>
      <c r="H2708" s="67"/>
      <c r="I2708" s="68"/>
      <c r="J2708" s="68"/>
      <c r="K2708" s="32"/>
      <c r="L2708" s="75">
        <v>2708</v>
      </c>
      <c r="M2708" s="75"/>
      <c r="N2708" s="70"/>
      <c r="O2708" s="77" t="s">
        <v>179</v>
      </c>
      <c r="P2708" s="79">
        <v>45100.594143518516</v>
      </c>
      <c r="Q2708" s="77" t="s">
        <v>4466</v>
      </c>
      <c r="R2708" s="77">
        <v>1</v>
      </c>
      <c r="S2708" s="77">
        <v>6</v>
      </c>
      <c r="T2708" s="77">
        <v>0</v>
      </c>
      <c r="U2708" s="77">
        <v>1</v>
      </c>
      <c r="V2708" s="77">
        <v>48</v>
      </c>
      <c r="W2708" s="80" t="s">
        <v>5884</v>
      </c>
      <c r="X2708" s="77"/>
      <c r="Y2708" s="77"/>
      <c r="Z2708" s="77"/>
      <c r="AA2708" s="77"/>
      <c r="AB2708" s="77"/>
      <c r="AC2708" s="80" t="s">
        <v>10550</v>
      </c>
      <c r="AD2708" s="77" t="s">
        <v>10617</v>
      </c>
      <c r="AE2708" s="83" t="str">
        <f>HYPERLINK("https://twitter.com/neivamrs/status/1672247025411260417")</f>
        <v>https://twitter.com/neivamrs/status/1672247025411260417</v>
      </c>
      <c r="AF2708" s="79">
        <v>45100.594143518516</v>
      </c>
      <c r="AG2708" s="85">
        <v>45100</v>
      </c>
      <c r="AH2708" s="80" t="s">
        <v>12999</v>
      </c>
      <c r="AI2708" s="77"/>
      <c r="AJ2708" s="77"/>
      <c r="AK2708" s="77"/>
      <c r="AL2708" s="77"/>
      <c r="AM2708" s="77"/>
      <c r="AN2708" s="77"/>
      <c r="AO2708" s="77"/>
      <c r="AP2708" s="77"/>
      <c r="AQ2708" s="77"/>
      <c r="AR2708" s="77"/>
      <c r="AS2708" s="77"/>
      <c r="AT2708" s="77"/>
      <c r="AU2708" s="77"/>
      <c r="AV2708" s="83" t="str">
        <f>HYPERLINK("https://pbs.twimg.com/profile_images/1675879873468944385/BMQ3tR84_normal.jpg")</f>
        <v>https://pbs.twimg.com/profile_images/1675879873468944385/BMQ3tR84_normal.jpg</v>
      </c>
      <c r="AW2708" s="80" t="s">
        <v>18478</v>
      </c>
      <c r="AX2708" s="80" t="s">
        <v>18478</v>
      </c>
      <c r="AY2708" s="77"/>
      <c r="AZ2708" s="80" t="s">
        <v>20380</v>
      </c>
      <c r="BA2708" s="80" t="s">
        <v>20380</v>
      </c>
      <c r="BB2708" s="80" t="s">
        <v>20380</v>
      </c>
      <c r="BC2708" s="80" t="s">
        <v>18478</v>
      </c>
      <c r="BD2708" s="77">
        <v>1648921452</v>
      </c>
      <c r="BE2708" s="77"/>
      <c r="BF2708" s="77"/>
      <c r="BG2708" s="77"/>
      <c r="BH2708" s="77"/>
      <c r="BI2708" s="77"/>
    </row>
    <row r="2709" spans="1:61" x14ac:dyDescent="0.25">
      <c r="A2709" s="62" t="s">
        <v>1126</v>
      </c>
      <c r="B2709" s="62" t="s">
        <v>1126</v>
      </c>
      <c r="C2709" s="63"/>
      <c r="D2709" s="64"/>
      <c r="E2709" s="65"/>
      <c r="F2709" s="66"/>
      <c r="G2709" s="63"/>
      <c r="H2709" s="67"/>
      <c r="I2709" s="68"/>
      <c r="J2709" s="68"/>
      <c r="K2709" s="32"/>
      <c r="L2709" s="75">
        <v>2709</v>
      </c>
      <c r="M2709" s="75"/>
      <c r="N2709" s="70"/>
      <c r="O2709" s="77" t="s">
        <v>2078</v>
      </c>
      <c r="P2709" s="79">
        <v>45103.820439814815</v>
      </c>
      <c r="Q2709" s="77" t="s">
        <v>4467</v>
      </c>
      <c r="R2709" s="77">
        <v>1</v>
      </c>
      <c r="S2709" s="77">
        <v>5</v>
      </c>
      <c r="T2709" s="77">
        <v>0</v>
      </c>
      <c r="U2709" s="77">
        <v>1</v>
      </c>
      <c r="V2709" s="77">
        <v>44</v>
      </c>
      <c r="W2709" s="80" t="s">
        <v>5884</v>
      </c>
      <c r="X2709" s="77"/>
      <c r="Y2709" s="77"/>
      <c r="Z2709" s="77"/>
      <c r="AA2709" s="77"/>
      <c r="AB2709" s="77"/>
      <c r="AC2709" s="80" t="s">
        <v>10541</v>
      </c>
      <c r="AD2709" s="77" t="s">
        <v>10617</v>
      </c>
      <c r="AE2709" s="83" t="str">
        <f>HYPERLINK("https://twitter.com/neivamrs/status/1673416194617929739")</f>
        <v>https://twitter.com/neivamrs/status/1673416194617929739</v>
      </c>
      <c r="AF2709" s="79">
        <v>45103.820439814815</v>
      </c>
      <c r="AG2709" s="85">
        <v>45103</v>
      </c>
      <c r="AH2709" s="80" t="s">
        <v>13000</v>
      </c>
      <c r="AI2709" s="77"/>
      <c r="AJ2709" s="77"/>
      <c r="AK2709" s="77"/>
      <c r="AL2709" s="77"/>
      <c r="AM2709" s="77"/>
      <c r="AN2709" s="77"/>
      <c r="AO2709" s="77"/>
      <c r="AP2709" s="77"/>
      <c r="AQ2709" s="77"/>
      <c r="AR2709" s="77"/>
      <c r="AS2709" s="77"/>
      <c r="AT2709" s="77"/>
      <c r="AU2709" s="77"/>
      <c r="AV2709" s="83" t="str">
        <f>HYPERLINK("https://pbs.twimg.com/profile_images/1675879873468944385/BMQ3tR84_normal.jpg")</f>
        <v>https://pbs.twimg.com/profile_images/1675879873468944385/BMQ3tR84_normal.jpg</v>
      </c>
      <c r="AW2709" s="80" t="s">
        <v>18479</v>
      </c>
      <c r="AX2709" s="80" t="s">
        <v>20074</v>
      </c>
      <c r="AY2709" s="80" t="s">
        <v>20325</v>
      </c>
      <c r="AZ2709" s="80" t="s">
        <v>20429</v>
      </c>
      <c r="BA2709" s="80" t="s">
        <v>20380</v>
      </c>
      <c r="BB2709" s="80" t="s">
        <v>20380</v>
      </c>
      <c r="BC2709" s="80" t="s">
        <v>20429</v>
      </c>
      <c r="BD2709" s="77">
        <v>1648921452</v>
      </c>
      <c r="BE2709" s="77"/>
      <c r="BF2709" s="77"/>
      <c r="BG2709" s="77"/>
      <c r="BH2709" s="77"/>
      <c r="BI2709" s="77"/>
    </row>
    <row r="2710" spans="1:61" x14ac:dyDescent="0.25">
      <c r="A2710" s="62" t="s">
        <v>1127</v>
      </c>
      <c r="B2710" s="62" t="s">
        <v>1127</v>
      </c>
      <c r="C2710" s="63"/>
      <c r="D2710" s="64"/>
      <c r="E2710" s="65"/>
      <c r="F2710" s="66"/>
      <c r="G2710" s="63"/>
      <c r="H2710" s="67"/>
      <c r="I2710" s="68"/>
      <c r="J2710" s="68"/>
      <c r="K2710" s="32"/>
      <c r="L2710" s="75">
        <v>2710</v>
      </c>
      <c r="M2710" s="75"/>
      <c r="N2710" s="70"/>
      <c r="O2710" s="77" t="s">
        <v>179</v>
      </c>
      <c r="P2710" s="79">
        <v>45132.488043981481</v>
      </c>
      <c r="Q2710" s="77" t="s">
        <v>4468</v>
      </c>
      <c r="R2710" s="77">
        <v>0</v>
      </c>
      <c r="S2710" s="77">
        <v>0</v>
      </c>
      <c r="T2710" s="77">
        <v>0</v>
      </c>
      <c r="U2710" s="77">
        <v>0</v>
      </c>
      <c r="V2710" s="77">
        <v>78</v>
      </c>
      <c r="W2710" s="80" t="s">
        <v>7592</v>
      </c>
      <c r="X2710" s="83" t="str">
        <f>HYPERLINK("https://flj.com.br/noticia/focus-reduz-as-expectativas-para-inflacao-e-dolar-para-o-final-de-2023")</f>
        <v>https://flj.com.br/noticia/focus-reduz-as-expectativas-para-inflacao-e-dolar-para-o-final-de-2023</v>
      </c>
      <c r="Y2710" s="77" t="s">
        <v>8611</v>
      </c>
      <c r="Z2710" s="77"/>
      <c r="AA2710" s="77"/>
      <c r="AB2710" s="77"/>
      <c r="AC2710" s="80" t="s">
        <v>10541</v>
      </c>
      <c r="AD2710" s="77" t="s">
        <v>10617</v>
      </c>
      <c r="AE2710" s="83" t="str">
        <f>HYPERLINK("https://twitter.com/leiaflj/status/1683804990534565889")</f>
        <v>https://twitter.com/leiaflj/status/1683804990534565889</v>
      </c>
      <c r="AF2710" s="79">
        <v>45132.488043981481</v>
      </c>
      <c r="AG2710" s="85">
        <v>45132</v>
      </c>
      <c r="AH2710" s="80" t="s">
        <v>13001</v>
      </c>
      <c r="AI2710" s="77" t="b">
        <v>0</v>
      </c>
      <c r="AJ2710" s="77"/>
      <c r="AK2710" s="77"/>
      <c r="AL2710" s="77"/>
      <c r="AM2710" s="77"/>
      <c r="AN2710" s="77"/>
      <c r="AO2710" s="77"/>
      <c r="AP2710" s="77"/>
      <c r="AQ2710" s="77"/>
      <c r="AR2710" s="77"/>
      <c r="AS2710" s="77"/>
      <c r="AT2710" s="77"/>
      <c r="AU2710" s="77"/>
      <c r="AV2710" s="83" t="str">
        <f>HYPERLINK("https://pbs.twimg.com/profile_images/1620068456165933060/TShADQck_normal.jpg")</f>
        <v>https://pbs.twimg.com/profile_images/1620068456165933060/TShADQck_normal.jpg</v>
      </c>
      <c r="AW2710" s="80" t="s">
        <v>18480</v>
      </c>
      <c r="AX2710" s="80" t="s">
        <v>18480</v>
      </c>
      <c r="AY2710" s="77"/>
      <c r="AZ2710" s="80" t="s">
        <v>20380</v>
      </c>
      <c r="BA2710" s="80" t="s">
        <v>20380</v>
      </c>
      <c r="BB2710" s="80" t="s">
        <v>20380</v>
      </c>
      <c r="BC2710" s="80" t="s">
        <v>18480</v>
      </c>
      <c r="BD2710" s="80" t="s">
        <v>20944</v>
      </c>
      <c r="BE2710" s="77"/>
      <c r="BF2710" s="77"/>
      <c r="BG2710" s="77"/>
      <c r="BH2710" s="77"/>
      <c r="BI2710" s="77"/>
    </row>
    <row r="2711" spans="1:61" x14ac:dyDescent="0.25">
      <c r="A2711" s="62" t="s">
        <v>1127</v>
      </c>
      <c r="B2711" s="62" t="s">
        <v>1127</v>
      </c>
      <c r="C2711" s="63"/>
      <c r="D2711" s="64"/>
      <c r="E2711" s="65"/>
      <c r="F2711" s="66"/>
      <c r="G2711" s="63"/>
      <c r="H2711" s="67"/>
      <c r="I2711" s="68"/>
      <c r="J2711" s="68"/>
      <c r="K2711" s="32"/>
      <c r="L2711" s="75">
        <v>2711</v>
      </c>
      <c r="M2711" s="75"/>
      <c r="N2711" s="70"/>
      <c r="O2711" s="77" t="s">
        <v>179</v>
      </c>
      <c r="P2711" s="79">
        <v>45106.48332175926</v>
      </c>
      <c r="Q2711" s="77" t="s">
        <v>4469</v>
      </c>
      <c r="R2711" s="77">
        <v>0</v>
      </c>
      <c r="S2711" s="77">
        <v>0</v>
      </c>
      <c r="T2711" s="77">
        <v>0</v>
      </c>
      <c r="U2711" s="77">
        <v>0</v>
      </c>
      <c r="V2711" s="77">
        <v>76</v>
      </c>
      <c r="W2711" s="80" t="s">
        <v>7593</v>
      </c>
      <c r="X2711" s="83" t="str">
        <f>HYPERLINK("https://flj.com.br/noticia/bc-melhora-previsao-de-crescimento-da-economia-do-brasil-em-2023-para-20")</f>
        <v>https://flj.com.br/noticia/bc-melhora-previsao-de-crescimento-da-economia-do-brasil-em-2023-para-20</v>
      </c>
      <c r="Y2711" s="77" t="s">
        <v>8611</v>
      </c>
      <c r="Z2711" s="77"/>
      <c r="AA2711" s="77"/>
      <c r="AB2711" s="77"/>
      <c r="AC2711" s="80" t="s">
        <v>10541</v>
      </c>
      <c r="AD2711" s="77" t="s">
        <v>10617</v>
      </c>
      <c r="AE2711" s="83" t="str">
        <f>HYPERLINK("https://twitter.com/leiaflj/status/1674381194476044291")</f>
        <v>https://twitter.com/leiaflj/status/1674381194476044291</v>
      </c>
      <c r="AF2711" s="79">
        <v>45106.48332175926</v>
      </c>
      <c r="AG2711" s="85">
        <v>45106</v>
      </c>
      <c r="AH2711" s="80" t="s">
        <v>13002</v>
      </c>
      <c r="AI2711" s="77" t="b">
        <v>0</v>
      </c>
      <c r="AJ2711" s="77"/>
      <c r="AK2711" s="77"/>
      <c r="AL2711" s="77"/>
      <c r="AM2711" s="77"/>
      <c r="AN2711" s="77"/>
      <c r="AO2711" s="77"/>
      <c r="AP2711" s="77"/>
      <c r="AQ2711" s="77"/>
      <c r="AR2711" s="77"/>
      <c r="AS2711" s="77"/>
      <c r="AT2711" s="77"/>
      <c r="AU2711" s="77"/>
      <c r="AV2711" s="83" t="str">
        <f>HYPERLINK("https://pbs.twimg.com/profile_images/1620068456165933060/TShADQck_normal.jpg")</f>
        <v>https://pbs.twimg.com/profile_images/1620068456165933060/TShADQck_normal.jpg</v>
      </c>
      <c r="AW2711" s="80" t="s">
        <v>18481</v>
      </c>
      <c r="AX2711" s="80" t="s">
        <v>18481</v>
      </c>
      <c r="AY2711" s="77"/>
      <c r="AZ2711" s="80" t="s">
        <v>20380</v>
      </c>
      <c r="BA2711" s="80" t="s">
        <v>20380</v>
      </c>
      <c r="BB2711" s="80" t="s">
        <v>20380</v>
      </c>
      <c r="BC2711" s="80" t="s">
        <v>18481</v>
      </c>
      <c r="BD2711" s="80" t="s">
        <v>20944</v>
      </c>
      <c r="BE2711" s="77"/>
      <c r="BF2711" s="77"/>
      <c r="BG2711" s="77"/>
      <c r="BH2711" s="77"/>
      <c r="BI2711" s="77"/>
    </row>
    <row r="2712" spans="1:61" x14ac:dyDescent="0.25">
      <c r="A2712" s="62" t="s">
        <v>1127</v>
      </c>
      <c r="B2712" s="62" t="s">
        <v>1127</v>
      </c>
      <c r="C2712" s="63"/>
      <c r="D2712" s="64"/>
      <c r="E2712" s="65"/>
      <c r="F2712" s="66"/>
      <c r="G2712" s="63"/>
      <c r="H2712" s="67"/>
      <c r="I2712" s="68"/>
      <c r="J2712" s="68"/>
      <c r="K2712" s="32"/>
      <c r="L2712" s="75">
        <v>2712</v>
      </c>
      <c r="M2712" s="75"/>
      <c r="N2712" s="70"/>
      <c r="O2712" s="77" t="s">
        <v>179</v>
      </c>
      <c r="P2712" s="79">
        <v>45091.929895833331</v>
      </c>
      <c r="Q2712" s="77" t="s">
        <v>4470</v>
      </c>
      <c r="R2712" s="77">
        <v>0</v>
      </c>
      <c r="S2712" s="77">
        <v>0</v>
      </c>
      <c r="T2712" s="77">
        <v>0</v>
      </c>
      <c r="U2712" s="77">
        <v>0</v>
      </c>
      <c r="V2712" s="77">
        <v>104</v>
      </c>
      <c r="W2712" s="80" t="s">
        <v>6546</v>
      </c>
      <c r="X2712" s="83" t="str">
        <f>HYPERLINK("https://flj.com.br/noticia/haddad-diz-que-falta-banco-central-se-somar-ao-esforco-para-reduzir-juros")</f>
        <v>https://flj.com.br/noticia/haddad-diz-que-falta-banco-central-se-somar-ao-esforco-para-reduzir-juros</v>
      </c>
      <c r="Y2712" s="77" t="s">
        <v>8611</v>
      </c>
      <c r="Z2712" s="77"/>
      <c r="AA2712" s="77"/>
      <c r="AB2712" s="77"/>
      <c r="AC2712" s="80" t="s">
        <v>10541</v>
      </c>
      <c r="AD2712" s="77" t="s">
        <v>10617</v>
      </c>
      <c r="AE2712" s="83" t="str">
        <f>HYPERLINK("https://twitter.com/leiaflj/status/1669107209253318657")</f>
        <v>https://twitter.com/leiaflj/status/1669107209253318657</v>
      </c>
      <c r="AF2712" s="79">
        <v>45091.929895833331</v>
      </c>
      <c r="AG2712" s="85">
        <v>45091</v>
      </c>
      <c r="AH2712" s="80" t="s">
        <v>13003</v>
      </c>
      <c r="AI2712" s="77" t="b">
        <v>0</v>
      </c>
      <c r="AJ2712" s="77"/>
      <c r="AK2712" s="77"/>
      <c r="AL2712" s="77"/>
      <c r="AM2712" s="77"/>
      <c r="AN2712" s="77"/>
      <c r="AO2712" s="77"/>
      <c r="AP2712" s="77"/>
      <c r="AQ2712" s="77"/>
      <c r="AR2712" s="77"/>
      <c r="AS2712" s="77"/>
      <c r="AT2712" s="77"/>
      <c r="AU2712" s="77"/>
      <c r="AV2712" s="83" t="str">
        <f>HYPERLINK("https://pbs.twimg.com/profile_images/1620068456165933060/TShADQck_normal.jpg")</f>
        <v>https://pbs.twimg.com/profile_images/1620068456165933060/TShADQck_normal.jpg</v>
      </c>
      <c r="AW2712" s="80" t="s">
        <v>18482</v>
      </c>
      <c r="AX2712" s="80" t="s">
        <v>18482</v>
      </c>
      <c r="AY2712" s="77"/>
      <c r="AZ2712" s="80" t="s">
        <v>20380</v>
      </c>
      <c r="BA2712" s="80" t="s">
        <v>20380</v>
      </c>
      <c r="BB2712" s="80" t="s">
        <v>20380</v>
      </c>
      <c r="BC2712" s="80" t="s">
        <v>18482</v>
      </c>
      <c r="BD2712" s="80" t="s">
        <v>20944</v>
      </c>
      <c r="BE2712" s="77"/>
      <c r="BF2712" s="77"/>
      <c r="BG2712" s="77"/>
      <c r="BH2712" s="77"/>
      <c r="BI2712" s="77"/>
    </row>
    <row r="2713" spans="1:61" x14ac:dyDescent="0.25">
      <c r="A2713" s="62" t="s">
        <v>1127</v>
      </c>
      <c r="B2713" s="62" t="s">
        <v>1127</v>
      </c>
      <c r="C2713" s="63"/>
      <c r="D2713" s="64"/>
      <c r="E2713" s="65"/>
      <c r="F2713" s="66"/>
      <c r="G2713" s="63"/>
      <c r="H2713" s="67"/>
      <c r="I2713" s="68"/>
      <c r="J2713" s="68"/>
      <c r="K2713" s="32"/>
      <c r="L2713" s="75">
        <v>2713</v>
      </c>
      <c r="M2713" s="75"/>
      <c r="N2713" s="70"/>
      <c r="O2713" s="77" t="s">
        <v>179</v>
      </c>
      <c r="P2713" s="79">
        <v>45055.511273148149</v>
      </c>
      <c r="Q2713" s="77" t="s">
        <v>4471</v>
      </c>
      <c r="R2713" s="77">
        <v>0</v>
      </c>
      <c r="S2713" s="77">
        <v>1</v>
      </c>
      <c r="T2713" s="77">
        <v>0</v>
      </c>
      <c r="U2713" s="77">
        <v>0</v>
      </c>
      <c r="V2713" s="77">
        <v>88</v>
      </c>
      <c r="W2713" s="80" t="s">
        <v>7594</v>
      </c>
      <c r="X2713" s="83" t="str">
        <f>HYPERLINK("https://flj.com.br/noticia/ata-do-copom-lista-possivel-alteracao-da-meta-como-parte-do-motivo-para-expectativas-desancoradas")</f>
        <v>https://flj.com.br/noticia/ata-do-copom-lista-possivel-alteracao-da-meta-como-parte-do-motivo-para-expectativas-desancoradas</v>
      </c>
      <c r="Y2713" s="77" t="s">
        <v>8611</v>
      </c>
      <c r="Z2713" s="77"/>
      <c r="AA2713" s="77"/>
      <c r="AB2713" s="77"/>
      <c r="AC2713" s="80" t="s">
        <v>10541</v>
      </c>
      <c r="AD2713" s="77" t="s">
        <v>10617</v>
      </c>
      <c r="AE2713" s="83" t="str">
        <f>HYPERLINK("https://twitter.com/leiaflj/status/1655909541287022592")</f>
        <v>https://twitter.com/leiaflj/status/1655909541287022592</v>
      </c>
      <c r="AF2713" s="79">
        <v>45055.511273148149</v>
      </c>
      <c r="AG2713" s="85">
        <v>45055</v>
      </c>
      <c r="AH2713" s="80" t="s">
        <v>13004</v>
      </c>
      <c r="AI2713" s="77" t="b">
        <v>0</v>
      </c>
      <c r="AJ2713" s="77"/>
      <c r="AK2713" s="77"/>
      <c r="AL2713" s="77"/>
      <c r="AM2713" s="77"/>
      <c r="AN2713" s="77"/>
      <c r="AO2713" s="77"/>
      <c r="AP2713" s="77"/>
      <c r="AQ2713" s="77"/>
      <c r="AR2713" s="77"/>
      <c r="AS2713" s="77"/>
      <c r="AT2713" s="77"/>
      <c r="AU2713" s="77"/>
      <c r="AV2713" s="83" t="str">
        <f>HYPERLINK("https://pbs.twimg.com/profile_images/1620068456165933060/TShADQck_normal.jpg")</f>
        <v>https://pbs.twimg.com/profile_images/1620068456165933060/TShADQck_normal.jpg</v>
      </c>
      <c r="AW2713" s="80" t="s">
        <v>18483</v>
      </c>
      <c r="AX2713" s="80" t="s">
        <v>18483</v>
      </c>
      <c r="AY2713" s="77"/>
      <c r="AZ2713" s="80" t="s">
        <v>20380</v>
      </c>
      <c r="BA2713" s="80" t="s">
        <v>20380</v>
      </c>
      <c r="BB2713" s="80" t="s">
        <v>20380</v>
      </c>
      <c r="BC2713" s="80" t="s">
        <v>18483</v>
      </c>
      <c r="BD2713" s="80" t="s">
        <v>20944</v>
      </c>
      <c r="BE2713" s="77"/>
      <c r="BF2713" s="77"/>
      <c r="BG2713" s="77"/>
      <c r="BH2713" s="77"/>
      <c r="BI2713" s="77"/>
    </row>
    <row r="2714" spans="1:61" x14ac:dyDescent="0.25">
      <c r="A2714" s="62" t="s">
        <v>1127</v>
      </c>
      <c r="B2714" s="62" t="s">
        <v>1127</v>
      </c>
      <c r="C2714" s="63"/>
      <c r="D2714" s="64"/>
      <c r="E2714" s="65"/>
      <c r="F2714" s="66"/>
      <c r="G2714" s="63"/>
      <c r="H2714" s="67"/>
      <c r="I2714" s="68"/>
      <c r="J2714" s="68"/>
      <c r="K2714" s="32"/>
      <c r="L2714" s="75">
        <v>2714</v>
      </c>
      <c r="M2714" s="75"/>
      <c r="N2714" s="70"/>
      <c r="O2714" s="77" t="s">
        <v>179</v>
      </c>
      <c r="P2714" s="79">
        <v>45055.510335648149</v>
      </c>
      <c r="Q2714" s="77" t="s">
        <v>4472</v>
      </c>
      <c r="R2714" s="77">
        <v>1</v>
      </c>
      <c r="S2714" s="77">
        <v>3</v>
      </c>
      <c r="T2714" s="77">
        <v>0</v>
      </c>
      <c r="U2714" s="77">
        <v>0</v>
      </c>
      <c r="V2714" s="77">
        <v>983</v>
      </c>
      <c r="W2714" s="80" t="s">
        <v>7595</v>
      </c>
      <c r="X2714" s="83" t="str">
        <f>HYPERLINK("https://flj.com.br/noticia/ata-do-copom-queda-das-importacoes-da-china-e-fala-de-membros-do-fed-movem-ativos")</f>
        <v>https://flj.com.br/noticia/ata-do-copom-queda-das-importacoes-da-china-e-fala-de-membros-do-fed-movem-ativos</v>
      </c>
      <c r="Y2714" s="77" t="s">
        <v>8611</v>
      </c>
      <c r="Z2714" s="77"/>
      <c r="AA2714" s="77"/>
      <c r="AB2714" s="77"/>
      <c r="AC2714" s="80" t="s">
        <v>10541</v>
      </c>
      <c r="AD2714" s="77" t="s">
        <v>10617</v>
      </c>
      <c r="AE2714" s="83" t="str">
        <f>HYPERLINK("https://twitter.com/leiaflj/status/1655909201502167044")</f>
        <v>https://twitter.com/leiaflj/status/1655909201502167044</v>
      </c>
      <c r="AF2714" s="79">
        <v>45055.510335648149</v>
      </c>
      <c r="AG2714" s="85">
        <v>45055</v>
      </c>
      <c r="AH2714" s="80" t="s">
        <v>13005</v>
      </c>
      <c r="AI2714" s="77" t="b">
        <v>0</v>
      </c>
      <c r="AJ2714" s="77"/>
      <c r="AK2714" s="77"/>
      <c r="AL2714" s="77"/>
      <c r="AM2714" s="77"/>
      <c r="AN2714" s="77"/>
      <c r="AO2714" s="77"/>
      <c r="AP2714" s="77"/>
      <c r="AQ2714" s="77"/>
      <c r="AR2714" s="77"/>
      <c r="AS2714" s="77"/>
      <c r="AT2714" s="77"/>
      <c r="AU2714" s="77"/>
      <c r="AV2714" s="83" t="str">
        <f>HYPERLINK("https://pbs.twimg.com/profile_images/1620068456165933060/TShADQck_normal.jpg")</f>
        <v>https://pbs.twimg.com/profile_images/1620068456165933060/TShADQck_normal.jpg</v>
      </c>
      <c r="AW2714" s="80" t="s">
        <v>18484</v>
      </c>
      <c r="AX2714" s="80" t="s">
        <v>18484</v>
      </c>
      <c r="AY2714" s="77"/>
      <c r="AZ2714" s="80" t="s">
        <v>20380</v>
      </c>
      <c r="BA2714" s="80" t="s">
        <v>20380</v>
      </c>
      <c r="BB2714" s="80" t="s">
        <v>20380</v>
      </c>
      <c r="BC2714" s="80" t="s">
        <v>18484</v>
      </c>
      <c r="BD2714" s="80" t="s">
        <v>20944</v>
      </c>
      <c r="BE2714" s="77"/>
      <c r="BF2714" s="77"/>
      <c r="BG2714" s="77"/>
      <c r="BH2714" s="77"/>
      <c r="BI2714" s="77"/>
    </row>
    <row r="2715" spans="1:61" x14ac:dyDescent="0.25">
      <c r="A2715" s="62" t="s">
        <v>1127</v>
      </c>
      <c r="B2715" s="62" t="s">
        <v>1127</v>
      </c>
      <c r="C2715" s="63"/>
      <c r="D2715" s="64"/>
      <c r="E2715" s="65"/>
      <c r="F2715" s="66"/>
      <c r="G2715" s="63"/>
      <c r="H2715" s="67"/>
      <c r="I2715" s="68"/>
      <c r="J2715" s="68"/>
      <c r="K2715" s="32"/>
      <c r="L2715" s="75">
        <v>2715</v>
      </c>
      <c r="M2715" s="75"/>
      <c r="N2715" s="70"/>
      <c r="O2715" s="77" t="s">
        <v>179</v>
      </c>
      <c r="P2715" s="79">
        <v>45132.978472222225</v>
      </c>
      <c r="Q2715" s="77" t="s">
        <v>4473</v>
      </c>
      <c r="R2715" s="77">
        <v>0</v>
      </c>
      <c r="S2715" s="77">
        <v>0</v>
      </c>
      <c r="T2715" s="77">
        <v>0</v>
      </c>
      <c r="U2715" s="77">
        <v>0</v>
      </c>
      <c r="V2715" s="77">
        <v>127</v>
      </c>
      <c r="W2715" s="80" t="s">
        <v>7596</v>
      </c>
      <c r="X2715" s="83" t="str">
        <f>HYPERLINK("https://flj.com.br/noticia/tcu-vai-apurar-declaracao-de-campos-neto-sobre-terceirizar-gestao-de-ativos-do-bc")</f>
        <v>https://flj.com.br/noticia/tcu-vai-apurar-declaracao-de-campos-neto-sobre-terceirizar-gestao-de-ativos-do-bc</v>
      </c>
      <c r="Y2715" s="77" t="s">
        <v>8611</v>
      </c>
      <c r="Z2715" s="77"/>
      <c r="AA2715" s="77"/>
      <c r="AB2715" s="77"/>
      <c r="AC2715" s="80" t="s">
        <v>10541</v>
      </c>
      <c r="AD2715" s="77" t="s">
        <v>10617</v>
      </c>
      <c r="AE2715" s="83" t="str">
        <f>HYPERLINK("https://twitter.com/leiaflj/status/1683982712535760897")</f>
        <v>https://twitter.com/leiaflj/status/1683982712535760897</v>
      </c>
      <c r="AF2715" s="79">
        <v>45132.978472222225</v>
      </c>
      <c r="AG2715" s="85">
        <v>45132</v>
      </c>
      <c r="AH2715" s="80" t="s">
        <v>13006</v>
      </c>
      <c r="AI2715" s="77" t="b">
        <v>0</v>
      </c>
      <c r="AJ2715" s="77"/>
      <c r="AK2715" s="77"/>
      <c r="AL2715" s="77"/>
      <c r="AM2715" s="77"/>
      <c r="AN2715" s="77"/>
      <c r="AO2715" s="77"/>
      <c r="AP2715" s="77"/>
      <c r="AQ2715" s="77"/>
      <c r="AR2715" s="77"/>
      <c r="AS2715" s="77"/>
      <c r="AT2715" s="77"/>
      <c r="AU2715" s="77"/>
      <c r="AV2715" s="83" t="str">
        <f>HYPERLINK("https://pbs.twimg.com/profile_images/1620068456165933060/TShADQck_normal.jpg")</f>
        <v>https://pbs.twimg.com/profile_images/1620068456165933060/TShADQck_normal.jpg</v>
      </c>
      <c r="AW2715" s="80" t="s">
        <v>18485</v>
      </c>
      <c r="AX2715" s="80" t="s">
        <v>18485</v>
      </c>
      <c r="AY2715" s="77"/>
      <c r="AZ2715" s="80" t="s">
        <v>20380</v>
      </c>
      <c r="BA2715" s="80" t="s">
        <v>20380</v>
      </c>
      <c r="BB2715" s="80" t="s">
        <v>20380</v>
      </c>
      <c r="BC2715" s="80" t="s">
        <v>18485</v>
      </c>
      <c r="BD2715" s="80" t="s">
        <v>20944</v>
      </c>
      <c r="BE2715" s="77"/>
      <c r="BF2715" s="77"/>
      <c r="BG2715" s="77"/>
      <c r="BH2715" s="77"/>
      <c r="BI2715" s="77"/>
    </row>
    <row r="2716" spans="1:61" x14ac:dyDescent="0.25">
      <c r="A2716" s="62" t="s">
        <v>1127</v>
      </c>
      <c r="B2716" s="62" t="s">
        <v>1127</v>
      </c>
      <c r="C2716" s="63"/>
      <c r="D2716" s="64"/>
      <c r="E2716" s="65"/>
      <c r="F2716" s="66"/>
      <c r="G2716" s="63"/>
      <c r="H2716" s="67"/>
      <c r="I2716" s="68"/>
      <c r="J2716" s="68"/>
      <c r="K2716" s="32"/>
      <c r="L2716" s="75">
        <v>2716</v>
      </c>
      <c r="M2716" s="75"/>
      <c r="N2716" s="70"/>
      <c r="O2716" s="77" t="s">
        <v>179</v>
      </c>
      <c r="P2716" s="79">
        <v>45120.968564814815</v>
      </c>
      <c r="Q2716" s="77" t="s">
        <v>4474</v>
      </c>
      <c r="R2716" s="77">
        <v>0</v>
      </c>
      <c r="S2716" s="77">
        <v>0</v>
      </c>
      <c r="T2716" s="77">
        <v>0</v>
      </c>
      <c r="U2716" s="77">
        <v>0</v>
      </c>
      <c r="V2716" s="77">
        <v>83</v>
      </c>
      <c r="W2716" s="80" t="s">
        <v>7597</v>
      </c>
      <c r="X2716" s="83" t="str">
        <f>HYPERLINK("https://flj.com.br/noticia/pacheco-diz-que-presidente-do-bc-deve-comparecer-ao-senado-em-10-de-agosto")</f>
        <v>https://flj.com.br/noticia/pacheco-diz-que-presidente-do-bc-deve-comparecer-ao-senado-em-10-de-agosto</v>
      </c>
      <c r="Y2716" s="77" t="s">
        <v>8611</v>
      </c>
      <c r="Z2716" s="77"/>
      <c r="AA2716" s="77"/>
      <c r="AB2716" s="77"/>
      <c r="AC2716" s="80" t="s">
        <v>10541</v>
      </c>
      <c r="AD2716" s="77" t="s">
        <v>10617</v>
      </c>
      <c r="AE2716" s="83" t="str">
        <f>HYPERLINK("https://twitter.com/leiaflj/status/1679630467669082112")</f>
        <v>https://twitter.com/leiaflj/status/1679630467669082112</v>
      </c>
      <c r="AF2716" s="79">
        <v>45120.968564814815</v>
      </c>
      <c r="AG2716" s="85">
        <v>45120</v>
      </c>
      <c r="AH2716" s="80" t="s">
        <v>13007</v>
      </c>
      <c r="AI2716" s="77" t="b">
        <v>0</v>
      </c>
      <c r="AJ2716" s="77"/>
      <c r="AK2716" s="77"/>
      <c r="AL2716" s="77"/>
      <c r="AM2716" s="77"/>
      <c r="AN2716" s="77"/>
      <c r="AO2716" s="77"/>
      <c r="AP2716" s="77"/>
      <c r="AQ2716" s="77"/>
      <c r="AR2716" s="77"/>
      <c r="AS2716" s="77"/>
      <c r="AT2716" s="77"/>
      <c r="AU2716" s="77"/>
      <c r="AV2716" s="83" t="str">
        <f>HYPERLINK("https://pbs.twimg.com/profile_images/1620068456165933060/TShADQck_normal.jpg")</f>
        <v>https://pbs.twimg.com/profile_images/1620068456165933060/TShADQck_normal.jpg</v>
      </c>
      <c r="AW2716" s="80" t="s">
        <v>18486</v>
      </c>
      <c r="AX2716" s="80" t="s">
        <v>18486</v>
      </c>
      <c r="AY2716" s="77"/>
      <c r="AZ2716" s="80" t="s">
        <v>20380</v>
      </c>
      <c r="BA2716" s="80" t="s">
        <v>20380</v>
      </c>
      <c r="BB2716" s="80" t="s">
        <v>20380</v>
      </c>
      <c r="BC2716" s="80" t="s">
        <v>18486</v>
      </c>
      <c r="BD2716" s="80" t="s">
        <v>20944</v>
      </c>
      <c r="BE2716" s="77"/>
      <c r="BF2716" s="77"/>
      <c r="BG2716" s="77"/>
      <c r="BH2716" s="77"/>
      <c r="BI2716" s="77"/>
    </row>
    <row r="2717" spans="1:61" x14ac:dyDescent="0.25">
      <c r="A2717" s="62" t="s">
        <v>1127</v>
      </c>
      <c r="B2717" s="62" t="s">
        <v>1127</v>
      </c>
      <c r="C2717" s="63"/>
      <c r="D2717" s="64"/>
      <c r="E2717" s="65"/>
      <c r="F2717" s="66"/>
      <c r="G2717" s="63"/>
      <c r="H2717" s="67"/>
      <c r="I2717" s="68"/>
      <c r="J2717" s="68"/>
      <c r="K2717" s="32"/>
      <c r="L2717" s="75">
        <v>2717</v>
      </c>
      <c r="M2717" s="75"/>
      <c r="N2717" s="70"/>
      <c r="O2717" s="77" t="s">
        <v>179</v>
      </c>
      <c r="P2717" s="79">
        <v>45120.620682870373</v>
      </c>
      <c r="Q2717" s="77" t="s">
        <v>4475</v>
      </c>
      <c r="R2717" s="77">
        <v>0</v>
      </c>
      <c r="S2717" s="77">
        <v>0</v>
      </c>
      <c r="T2717" s="77">
        <v>0</v>
      </c>
      <c r="U2717" s="77">
        <v>0</v>
      </c>
      <c r="V2717" s="77">
        <v>106</v>
      </c>
      <c r="W2717" s="80" t="s">
        <v>7598</v>
      </c>
      <c r="X2717" s="77"/>
      <c r="Y2717" s="77"/>
      <c r="Z2717" s="77"/>
      <c r="AA2717" s="77"/>
      <c r="AB2717" s="77"/>
      <c r="AC2717" s="80" t="s">
        <v>10541</v>
      </c>
      <c r="AD2717" s="77" t="s">
        <v>10617</v>
      </c>
      <c r="AE2717" s="83" t="str">
        <f>HYPERLINK("https://twitter.com/leiaflj/status/1679504399855484928")</f>
        <v>https://twitter.com/leiaflj/status/1679504399855484928</v>
      </c>
      <c r="AF2717" s="79">
        <v>45120.620682870373</v>
      </c>
      <c r="AG2717" s="85">
        <v>45120</v>
      </c>
      <c r="AH2717" s="80" t="s">
        <v>13008</v>
      </c>
      <c r="AI2717" s="77" t="b">
        <v>0</v>
      </c>
      <c r="AJ2717" s="77"/>
      <c r="AK2717" s="77"/>
      <c r="AL2717" s="77"/>
      <c r="AM2717" s="77"/>
      <c r="AN2717" s="77"/>
      <c r="AO2717" s="77"/>
      <c r="AP2717" s="77"/>
      <c r="AQ2717" s="77"/>
      <c r="AR2717" s="77"/>
      <c r="AS2717" s="77"/>
      <c r="AT2717" s="77"/>
      <c r="AU2717" s="77"/>
      <c r="AV2717" s="83" t="str">
        <f>HYPERLINK("https://pbs.twimg.com/profile_images/1620068456165933060/TShADQck_normal.jpg")</f>
        <v>https://pbs.twimg.com/profile_images/1620068456165933060/TShADQck_normal.jpg</v>
      </c>
      <c r="AW2717" s="80" t="s">
        <v>18487</v>
      </c>
      <c r="AX2717" s="80" t="s">
        <v>18487</v>
      </c>
      <c r="AY2717" s="77"/>
      <c r="AZ2717" s="80" t="s">
        <v>20380</v>
      </c>
      <c r="BA2717" s="80" t="s">
        <v>20380</v>
      </c>
      <c r="BB2717" s="80" t="s">
        <v>20380</v>
      </c>
      <c r="BC2717" s="80" t="s">
        <v>18487</v>
      </c>
      <c r="BD2717" s="80" t="s">
        <v>20944</v>
      </c>
      <c r="BE2717" s="77"/>
      <c r="BF2717" s="77"/>
      <c r="BG2717" s="77"/>
      <c r="BH2717" s="77"/>
      <c r="BI2717" s="77"/>
    </row>
    <row r="2718" spans="1:61" x14ac:dyDescent="0.25">
      <c r="A2718" s="62" t="s">
        <v>1127</v>
      </c>
      <c r="B2718" s="62" t="s">
        <v>1127</v>
      </c>
      <c r="C2718" s="63"/>
      <c r="D2718" s="64"/>
      <c r="E2718" s="65"/>
      <c r="F2718" s="66"/>
      <c r="G2718" s="63"/>
      <c r="H2718" s="67"/>
      <c r="I2718" s="68"/>
      <c r="J2718" s="68"/>
      <c r="K2718" s="32"/>
      <c r="L2718" s="75">
        <v>2718</v>
      </c>
      <c r="M2718" s="75"/>
      <c r="N2718" s="70"/>
      <c r="O2718" s="77" t="s">
        <v>179</v>
      </c>
      <c r="P2718" s="79">
        <v>45120.607766203706</v>
      </c>
      <c r="Q2718" s="77" t="s">
        <v>4476</v>
      </c>
      <c r="R2718" s="77">
        <v>0</v>
      </c>
      <c r="S2718" s="77">
        <v>2</v>
      </c>
      <c r="T2718" s="77">
        <v>0</v>
      </c>
      <c r="U2718" s="77">
        <v>0</v>
      </c>
      <c r="V2718" s="77">
        <v>82</v>
      </c>
      <c r="W2718" s="80" t="s">
        <v>7599</v>
      </c>
      <c r="X2718" s="83" t="str">
        <f>HYPERLINK("https://flj.com.br/noticia/bc-tem-espaco-para-cortar-selic-em-mais-de-025-p-p-diz-haddad")</f>
        <v>https://flj.com.br/noticia/bc-tem-espaco-para-cortar-selic-em-mais-de-025-p-p-diz-haddad</v>
      </c>
      <c r="Y2718" s="77" t="s">
        <v>8611</v>
      </c>
      <c r="Z2718" s="77"/>
      <c r="AA2718" s="77"/>
      <c r="AB2718" s="77"/>
      <c r="AC2718" s="80" t="s">
        <v>10541</v>
      </c>
      <c r="AD2718" s="77" t="s">
        <v>10617</v>
      </c>
      <c r="AE2718" s="83" t="str">
        <f>HYPERLINK("https://twitter.com/leiaflj/status/1679499720828366848")</f>
        <v>https://twitter.com/leiaflj/status/1679499720828366848</v>
      </c>
      <c r="AF2718" s="79">
        <v>45120.607766203706</v>
      </c>
      <c r="AG2718" s="85">
        <v>45120</v>
      </c>
      <c r="AH2718" s="80" t="s">
        <v>13009</v>
      </c>
      <c r="AI2718" s="77" t="b">
        <v>0</v>
      </c>
      <c r="AJ2718" s="77"/>
      <c r="AK2718" s="77"/>
      <c r="AL2718" s="77"/>
      <c r="AM2718" s="77"/>
      <c r="AN2718" s="77"/>
      <c r="AO2718" s="77"/>
      <c r="AP2718" s="77"/>
      <c r="AQ2718" s="77"/>
      <c r="AR2718" s="77"/>
      <c r="AS2718" s="77"/>
      <c r="AT2718" s="77"/>
      <c r="AU2718" s="77"/>
      <c r="AV2718" s="83" t="str">
        <f>HYPERLINK("https://pbs.twimg.com/profile_images/1620068456165933060/TShADQck_normal.jpg")</f>
        <v>https://pbs.twimg.com/profile_images/1620068456165933060/TShADQck_normal.jpg</v>
      </c>
      <c r="AW2718" s="80" t="s">
        <v>18488</v>
      </c>
      <c r="AX2718" s="80" t="s">
        <v>18488</v>
      </c>
      <c r="AY2718" s="77"/>
      <c r="AZ2718" s="80" t="s">
        <v>20380</v>
      </c>
      <c r="BA2718" s="80" t="s">
        <v>20380</v>
      </c>
      <c r="BB2718" s="80" t="s">
        <v>20380</v>
      </c>
      <c r="BC2718" s="80" t="s">
        <v>18488</v>
      </c>
      <c r="BD2718" s="80" t="s">
        <v>20944</v>
      </c>
      <c r="BE2718" s="77"/>
      <c r="BF2718" s="77"/>
      <c r="BG2718" s="77"/>
      <c r="BH2718" s="77"/>
      <c r="BI2718" s="77"/>
    </row>
    <row r="2719" spans="1:61" x14ac:dyDescent="0.25">
      <c r="A2719" s="62" t="s">
        <v>1127</v>
      </c>
      <c r="B2719" s="62" t="s">
        <v>1127</v>
      </c>
      <c r="C2719" s="63"/>
      <c r="D2719" s="64"/>
      <c r="E2719" s="65"/>
      <c r="F2719" s="66"/>
      <c r="G2719" s="63"/>
      <c r="H2719" s="67"/>
      <c r="I2719" s="68"/>
      <c r="J2719" s="68"/>
      <c r="K2719" s="32"/>
      <c r="L2719" s="75">
        <v>2719</v>
      </c>
      <c r="M2719" s="75"/>
      <c r="N2719" s="70"/>
      <c r="O2719" s="77" t="s">
        <v>179</v>
      </c>
      <c r="P2719" s="79">
        <v>45146.489918981482</v>
      </c>
      <c r="Q2719" s="77" t="s">
        <v>4477</v>
      </c>
      <c r="R2719" s="77">
        <v>0</v>
      </c>
      <c r="S2719" s="77">
        <v>1</v>
      </c>
      <c r="T2719" s="77">
        <v>0</v>
      </c>
      <c r="U2719" s="77">
        <v>0</v>
      </c>
      <c r="V2719" s="77">
        <v>105</v>
      </c>
      <c r="W2719" s="80" t="s">
        <v>7600</v>
      </c>
      <c r="X2719" s="83" t="str">
        <f>HYPERLINK("https://flj.com.br/noticia/bc-ata-arcabouco-e-contaminacao-politica-do-bc-foram-discutidos-na-ultima-reuniao-do-copom")</f>
        <v>https://flj.com.br/noticia/bc-ata-arcabouco-e-contaminacao-politica-do-bc-foram-discutidos-na-ultima-reuniao-do-copom</v>
      </c>
      <c r="Y2719" s="77" t="s">
        <v>8611</v>
      </c>
      <c r="Z2719" s="77"/>
      <c r="AA2719" s="77"/>
      <c r="AB2719" s="77"/>
      <c r="AC2719" s="80" t="s">
        <v>10541</v>
      </c>
      <c r="AD2719" s="77" t="s">
        <v>10617</v>
      </c>
      <c r="AE2719" s="83" t="str">
        <f>HYPERLINK("https://twitter.com/leiaflj/status/1688879099035504641")</f>
        <v>https://twitter.com/leiaflj/status/1688879099035504641</v>
      </c>
      <c r="AF2719" s="79">
        <v>45146.489918981482</v>
      </c>
      <c r="AG2719" s="85">
        <v>45146</v>
      </c>
      <c r="AH2719" s="80" t="s">
        <v>13010</v>
      </c>
      <c r="AI2719" s="77" t="b">
        <v>0</v>
      </c>
      <c r="AJ2719" s="77"/>
      <c r="AK2719" s="77"/>
      <c r="AL2719" s="77"/>
      <c r="AM2719" s="77"/>
      <c r="AN2719" s="77"/>
      <c r="AO2719" s="77"/>
      <c r="AP2719" s="77"/>
      <c r="AQ2719" s="77"/>
      <c r="AR2719" s="77"/>
      <c r="AS2719" s="77"/>
      <c r="AT2719" s="77"/>
      <c r="AU2719" s="77"/>
      <c r="AV2719" s="83" t="str">
        <f>HYPERLINK("https://pbs.twimg.com/profile_images/1620068456165933060/TShADQck_normal.jpg")</f>
        <v>https://pbs.twimg.com/profile_images/1620068456165933060/TShADQck_normal.jpg</v>
      </c>
      <c r="AW2719" s="80" t="s">
        <v>18489</v>
      </c>
      <c r="AX2719" s="80" t="s">
        <v>18489</v>
      </c>
      <c r="AY2719" s="77"/>
      <c r="AZ2719" s="80" t="s">
        <v>20380</v>
      </c>
      <c r="BA2719" s="80" t="s">
        <v>20380</v>
      </c>
      <c r="BB2719" s="80" t="s">
        <v>20380</v>
      </c>
      <c r="BC2719" s="80" t="s">
        <v>18489</v>
      </c>
      <c r="BD2719" s="80" t="s">
        <v>20944</v>
      </c>
      <c r="BE2719" s="77"/>
      <c r="BF2719" s="77"/>
      <c r="BG2719" s="77"/>
      <c r="BH2719" s="77"/>
      <c r="BI2719" s="77"/>
    </row>
    <row r="2720" spans="1:61" x14ac:dyDescent="0.25">
      <c r="A2720" s="62" t="s">
        <v>1127</v>
      </c>
      <c r="B2720" s="62" t="s">
        <v>1127</v>
      </c>
      <c r="C2720" s="63"/>
      <c r="D2720" s="64"/>
      <c r="E2720" s="65"/>
      <c r="F2720" s="66"/>
      <c r="G2720" s="63"/>
      <c r="H2720" s="67"/>
      <c r="I2720" s="68"/>
      <c r="J2720" s="68"/>
      <c r="K2720" s="32"/>
      <c r="L2720" s="75">
        <v>2720</v>
      </c>
      <c r="M2720" s="75"/>
      <c r="N2720" s="70"/>
      <c r="O2720" s="77" t="s">
        <v>179</v>
      </c>
      <c r="P2720" s="79">
        <v>45111.908067129632</v>
      </c>
      <c r="Q2720" s="77" t="s">
        <v>4478</v>
      </c>
      <c r="R2720" s="77">
        <v>0</v>
      </c>
      <c r="S2720" s="77">
        <v>1</v>
      </c>
      <c r="T2720" s="77">
        <v>1</v>
      </c>
      <c r="U2720" s="77">
        <v>0</v>
      </c>
      <c r="V2720" s="77">
        <v>137</v>
      </c>
      <c r="W2720" s="80" t="s">
        <v>7601</v>
      </c>
      <c r="X2720" s="83" t="str">
        <f>HYPERLINK("https://flj.com.br/noticia/senado-aprova-gabriel-galipolo-para-diretoria-do-banco-central")</f>
        <v>https://flj.com.br/noticia/senado-aprova-gabriel-galipolo-para-diretoria-do-banco-central</v>
      </c>
      <c r="Y2720" s="77" t="s">
        <v>8611</v>
      </c>
      <c r="Z2720" s="77"/>
      <c r="AA2720" s="77"/>
      <c r="AB2720" s="77"/>
      <c r="AC2720" s="80" t="s">
        <v>10541</v>
      </c>
      <c r="AD2720" s="77" t="s">
        <v>10617</v>
      </c>
      <c r="AE2720" s="83" t="str">
        <f>HYPERLINK("https://twitter.com/leiaflj/status/1676347053696270342")</f>
        <v>https://twitter.com/leiaflj/status/1676347053696270342</v>
      </c>
      <c r="AF2720" s="79">
        <v>45111.908067129632</v>
      </c>
      <c r="AG2720" s="85">
        <v>45111</v>
      </c>
      <c r="AH2720" s="80" t="s">
        <v>13011</v>
      </c>
      <c r="AI2720" s="77" t="b">
        <v>0</v>
      </c>
      <c r="AJ2720" s="77"/>
      <c r="AK2720" s="77"/>
      <c r="AL2720" s="77"/>
      <c r="AM2720" s="77"/>
      <c r="AN2720" s="77"/>
      <c r="AO2720" s="77"/>
      <c r="AP2720" s="77"/>
      <c r="AQ2720" s="77"/>
      <c r="AR2720" s="77"/>
      <c r="AS2720" s="77"/>
      <c r="AT2720" s="77"/>
      <c r="AU2720" s="77"/>
      <c r="AV2720" s="83" t="str">
        <f>HYPERLINK("https://pbs.twimg.com/profile_images/1620068456165933060/TShADQck_normal.jpg")</f>
        <v>https://pbs.twimg.com/profile_images/1620068456165933060/TShADQck_normal.jpg</v>
      </c>
      <c r="AW2720" s="80" t="s">
        <v>18490</v>
      </c>
      <c r="AX2720" s="80" t="s">
        <v>18490</v>
      </c>
      <c r="AY2720" s="77"/>
      <c r="AZ2720" s="80" t="s">
        <v>20380</v>
      </c>
      <c r="BA2720" s="80" t="s">
        <v>20380</v>
      </c>
      <c r="BB2720" s="80" t="s">
        <v>20380</v>
      </c>
      <c r="BC2720" s="80" t="s">
        <v>18490</v>
      </c>
      <c r="BD2720" s="80" t="s">
        <v>20944</v>
      </c>
      <c r="BE2720" s="77"/>
      <c r="BF2720" s="77"/>
      <c r="BG2720" s="77"/>
      <c r="BH2720" s="77"/>
      <c r="BI2720" s="77"/>
    </row>
    <row r="2721" spans="1:61" x14ac:dyDescent="0.25">
      <c r="A2721" s="62" t="s">
        <v>1127</v>
      </c>
      <c r="B2721" s="62" t="s">
        <v>1127</v>
      </c>
      <c r="C2721" s="63"/>
      <c r="D2721" s="64"/>
      <c r="E2721" s="65"/>
      <c r="F2721" s="66"/>
      <c r="G2721" s="63"/>
      <c r="H2721" s="67"/>
      <c r="I2721" s="68"/>
      <c r="J2721" s="68"/>
      <c r="K2721" s="32"/>
      <c r="L2721" s="75">
        <v>2721</v>
      </c>
      <c r="M2721" s="75"/>
      <c r="N2721" s="70"/>
      <c r="O2721" s="77" t="s">
        <v>179</v>
      </c>
      <c r="P2721" s="79">
        <v>45111.674872685187</v>
      </c>
      <c r="Q2721" s="77" t="s">
        <v>4479</v>
      </c>
      <c r="R2721" s="77">
        <v>0</v>
      </c>
      <c r="S2721" s="77">
        <v>1</v>
      </c>
      <c r="T2721" s="77">
        <v>0</v>
      </c>
      <c r="U2721" s="77">
        <v>0</v>
      </c>
      <c r="V2721" s="77">
        <v>103</v>
      </c>
      <c r="W2721" s="80" t="s">
        <v>7602</v>
      </c>
      <c r="X2721" s="83" t="str">
        <f>HYPERLINK("https://flj.com.br/noticia/comissao-do-senado-aprova-galipolo-e-aquino-para-diretoria-do-bc")</f>
        <v>https://flj.com.br/noticia/comissao-do-senado-aprova-galipolo-e-aquino-para-diretoria-do-bc</v>
      </c>
      <c r="Y2721" s="77" t="s">
        <v>8611</v>
      </c>
      <c r="Z2721" s="77"/>
      <c r="AA2721" s="77"/>
      <c r="AB2721" s="77"/>
      <c r="AC2721" s="80" t="s">
        <v>10541</v>
      </c>
      <c r="AD2721" s="77" t="s">
        <v>10617</v>
      </c>
      <c r="AE2721" s="83" t="str">
        <f>HYPERLINK("https://twitter.com/leiaflj/status/1676262548968972289")</f>
        <v>https://twitter.com/leiaflj/status/1676262548968972289</v>
      </c>
      <c r="AF2721" s="79">
        <v>45111.674872685187</v>
      </c>
      <c r="AG2721" s="85">
        <v>45111</v>
      </c>
      <c r="AH2721" s="80" t="s">
        <v>13012</v>
      </c>
      <c r="AI2721" s="77" t="b">
        <v>0</v>
      </c>
      <c r="AJ2721" s="77"/>
      <c r="AK2721" s="77"/>
      <c r="AL2721" s="77"/>
      <c r="AM2721" s="77"/>
      <c r="AN2721" s="77"/>
      <c r="AO2721" s="77"/>
      <c r="AP2721" s="77"/>
      <c r="AQ2721" s="77"/>
      <c r="AR2721" s="77"/>
      <c r="AS2721" s="77"/>
      <c r="AT2721" s="77"/>
      <c r="AU2721" s="77"/>
      <c r="AV2721" s="83" t="str">
        <f>HYPERLINK("https://pbs.twimg.com/profile_images/1620068456165933060/TShADQck_normal.jpg")</f>
        <v>https://pbs.twimg.com/profile_images/1620068456165933060/TShADQck_normal.jpg</v>
      </c>
      <c r="AW2721" s="80" t="s">
        <v>18491</v>
      </c>
      <c r="AX2721" s="80" t="s">
        <v>18491</v>
      </c>
      <c r="AY2721" s="77"/>
      <c r="AZ2721" s="80" t="s">
        <v>20380</v>
      </c>
      <c r="BA2721" s="80" t="s">
        <v>20380</v>
      </c>
      <c r="BB2721" s="80" t="s">
        <v>20380</v>
      </c>
      <c r="BC2721" s="80" t="s">
        <v>18491</v>
      </c>
      <c r="BD2721" s="80" t="s">
        <v>20944</v>
      </c>
      <c r="BE2721" s="77"/>
      <c r="BF2721" s="77"/>
      <c r="BG2721" s="77"/>
      <c r="BH2721" s="77"/>
      <c r="BI2721" s="77"/>
    </row>
    <row r="2722" spans="1:61" x14ac:dyDescent="0.25">
      <c r="A2722" s="62" t="s">
        <v>1127</v>
      </c>
      <c r="B2722" s="62" t="s">
        <v>1127</v>
      </c>
      <c r="C2722" s="63"/>
      <c r="D2722" s="64"/>
      <c r="E2722" s="65"/>
      <c r="F2722" s="66"/>
      <c r="G2722" s="63"/>
      <c r="H2722" s="67"/>
      <c r="I2722" s="68"/>
      <c r="J2722" s="68"/>
      <c r="K2722" s="32"/>
      <c r="L2722" s="75">
        <v>2722</v>
      </c>
      <c r="M2722" s="75"/>
      <c r="N2722" s="70"/>
      <c r="O2722" s="77" t="s">
        <v>179</v>
      </c>
      <c r="P2722" s="79">
        <v>45111.600138888891</v>
      </c>
      <c r="Q2722" s="77" t="s">
        <v>4480</v>
      </c>
      <c r="R2722" s="77">
        <v>0</v>
      </c>
      <c r="S2722" s="77">
        <v>0</v>
      </c>
      <c r="T2722" s="77">
        <v>0</v>
      </c>
      <c r="U2722" s="77">
        <v>0</v>
      </c>
      <c r="V2722" s="77">
        <v>91</v>
      </c>
      <c r="W2722" s="80" t="s">
        <v>7603</v>
      </c>
      <c r="X2722" s="83" t="str">
        <f>HYPERLINK("https://flj.com.br/noticia/medidas-do-governo-geraram-perspectiva-de-flexibilizacao-monetaria-para-breve-diz-galipolo-em-sabatina")</f>
        <v>https://flj.com.br/noticia/medidas-do-governo-geraram-perspectiva-de-flexibilizacao-monetaria-para-breve-diz-galipolo-em-sabatina</v>
      </c>
      <c r="Y2722" s="77" t="s">
        <v>8611</v>
      </c>
      <c r="Z2722" s="77"/>
      <c r="AA2722" s="77"/>
      <c r="AB2722" s="77"/>
      <c r="AC2722" s="80" t="s">
        <v>10541</v>
      </c>
      <c r="AD2722" s="77" t="s">
        <v>10617</v>
      </c>
      <c r="AE2722" s="83" t="str">
        <f>HYPERLINK("https://twitter.com/leiaflj/status/1676235465668608001")</f>
        <v>https://twitter.com/leiaflj/status/1676235465668608001</v>
      </c>
      <c r="AF2722" s="79">
        <v>45111.600138888891</v>
      </c>
      <c r="AG2722" s="85">
        <v>45111</v>
      </c>
      <c r="AH2722" s="80" t="s">
        <v>13013</v>
      </c>
      <c r="AI2722" s="77" t="b">
        <v>0</v>
      </c>
      <c r="AJ2722" s="77"/>
      <c r="AK2722" s="77"/>
      <c r="AL2722" s="77"/>
      <c r="AM2722" s="77"/>
      <c r="AN2722" s="77"/>
      <c r="AO2722" s="77"/>
      <c r="AP2722" s="77"/>
      <c r="AQ2722" s="77"/>
      <c r="AR2722" s="77"/>
      <c r="AS2722" s="77"/>
      <c r="AT2722" s="77"/>
      <c r="AU2722" s="77"/>
      <c r="AV2722" s="83" t="str">
        <f>HYPERLINK("https://pbs.twimg.com/profile_images/1620068456165933060/TShADQck_normal.jpg")</f>
        <v>https://pbs.twimg.com/profile_images/1620068456165933060/TShADQck_normal.jpg</v>
      </c>
      <c r="AW2722" s="80" t="s">
        <v>18492</v>
      </c>
      <c r="AX2722" s="80" t="s">
        <v>18492</v>
      </c>
      <c r="AY2722" s="77"/>
      <c r="AZ2722" s="80" t="s">
        <v>20380</v>
      </c>
      <c r="BA2722" s="80" t="s">
        <v>20380</v>
      </c>
      <c r="BB2722" s="80" t="s">
        <v>20380</v>
      </c>
      <c r="BC2722" s="80" t="s">
        <v>18492</v>
      </c>
      <c r="BD2722" s="80" t="s">
        <v>20944</v>
      </c>
      <c r="BE2722" s="77"/>
      <c r="BF2722" s="77"/>
      <c r="BG2722" s="77"/>
      <c r="BH2722" s="77"/>
      <c r="BI2722" s="77"/>
    </row>
    <row r="2723" spans="1:61" x14ac:dyDescent="0.25">
      <c r="A2723" s="62" t="s">
        <v>1127</v>
      </c>
      <c r="B2723" s="62" t="s">
        <v>1127</v>
      </c>
      <c r="C2723" s="63"/>
      <c r="D2723" s="64"/>
      <c r="E2723" s="65"/>
      <c r="F2723" s="66"/>
      <c r="G2723" s="63"/>
      <c r="H2723" s="67"/>
      <c r="I2723" s="68"/>
      <c r="J2723" s="68"/>
      <c r="K2723" s="32"/>
      <c r="L2723" s="75">
        <v>2723</v>
      </c>
      <c r="M2723" s="75"/>
      <c r="N2723" s="70"/>
      <c r="O2723" s="77" t="s">
        <v>179</v>
      </c>
      <c r="P2723" s="79">
        <v>45098.415613425925</v>
      </c>
      <c r="Q2723" s="77" t="s">
        <v>4481</v>
      </c>
      <c r="R2723" s="77">
        <v>0</v>
      </c>
      <c r="S2723" s="77">
        <v>1</v>
      </c>
      <c r="T2723" s="77">
        <v>0</v>
      </c>
      <c r="U2723" s="77">
        <v>0</v>
      </c>
      <c r="V2723" s="77">
        <v>114</v>
      </c>
      <c r="W2723" s="80" t="s">
        <v>7604</v>
      </c>
      <c r="X2723" s="83" t="str">
        <f>HYPERLINK("https://flj.com.br/noticia/copom-para-onde-vai-a-taxa-selic-nesta-quarta-feira")</f>
        <v>https://flj.com.br/noticia/copom-para-onde-vai-a-taxa-selic-nesta-quarta-feira</v>
      </c>
      <c r="Y2723" s="77" t="s">
        <v>8611</v>
      </c>
      <c r="Z2723" s="77"/>
      <c r="AA2723" s="77"/>
      <c r="AB2723" s="77"/>
      <c r="AC2723" s="80" t="s">
        <v>10541</v>
      </c>
      <c r="AD2723" s="77" t="s">
        <v>10617</v>
      </c>
      <c r="AE2723" s="83" t="str">
        <f>HYPERLINK("https://twitter.com/leiaflj/status/1671457552389877761")</f>
        <v>https://twitter.com/leiaflj/status/1671457552389877761</v>
      </c>
      <c r="AF2723" s="79">
        <v>45098.415613425925</v>
      </c>
      <c r="AG2723" s="85">
        <v>45098</v>
      </c>
      <c r="AH2723" s="80" t="s">
        <v>13014</v>
      </c>
      <c r="AI2723" s="77" t="b">
        <v>0</v>
      </c>
      <c r="AJ2723" s="77"/>
      <c r="AK2723" s="77"/>
      <c r="AL2723" s="77"/>
      <c r="AM2723" s="77"/>
      <c r="AN2723" s="77"/>
      <c r="AO2723" s="77"/>
      <c r="AP2723" s="77"/>
      <c r="AQ2723" s="77"/>
      <c r="AR2723" s="77"/>
      <c r="AS2723" s="77"/>
      <c r="AT2723" s="77"/>
      <c r="AU2723" s="77"/>
      <c r="AV2723" s="83" t="str">
        <f>HYPERLINK("https://pbs.twimg.com/profile_images/1620068456165933060/TShADQck_normal.jpg")</f>
        <v>https://pbs.twimg.com/profile_images/1620068456165933060/TShADQck_normal.jpg</v>
      </c>
      <c r="AW2723" s="80" t="s">
        <v>18493</v>
      </c>
      <c r="AX2723" s="80" t="s">
        <v>18493</v>
      </c>
      <c r="AY2723" s="77"/>
      <c r="AZ2723" s="80" t="s">
        <v>20380</v>
      </c>
      <c r="BA2723" s="80" t="s">
        <v>20380</v>
      </c>
      <c r="BB2723" s="80" t="s">
        <v>20380</v>
      </c>
      <c r="BC2723" s="80" t="s">
        <v>18493</v>
      </c>
      <c r="BD2723" s="80" t="s">
        <v>20944</v>
      </c>
      <c r="BE2723" s="77"/>
      <c r="BF2723" s="77"/>
      <c r="BG2723" s="77"/>
      <c r="BH2723" s="77"/>
      <c r="BI2723" s="77"/>
    </row>
    <row r="2724" spans="1:61" x14ac:dyDescent="0.25">
      <c r="A2724" s="62" t="s">
        <v>1127</v>
      </c>
      <c r="B2724" s="62" t="s">
        <v>1127</v>
      </c>
      <c r="C2724" s="63"/>
      <c r="D2724" s="64"/>
      <c r="E2724" s="65"/>
      <c r="F2724" s="66"/>
      <c r="G2724" s="63"/>
      <c r="H2724" s="67"/>
      <c r="I2724" s="68"/>
      <c r="J2724" s="68"/>
      <c r="K2724" s="32"/>
      <c r="L2724" s="75">
        <v>2724</v>
      </c>
      <c r="M2724" s="75"/>
      <c r="N2724" s="70"/>
      <c r="O2724" s="77" t="s">
        <v>179</v>
      </c>
      <c r="P2724" s="79">
        <v>45071.795358796298</v>
      </c>
      <c r="Q2724" s="77" t="s">
        <v>4482</v>
      </c>
      <c r="R2724" s="77">
        <v>0</v>
      </c>
      <c r="S2724" s="77">
        <v>1</v>
      </c>
      <c r="T2724" s="77">
        <v>0</v>
      </c>
      <c r="U2724" s="77">
        <v>0</v>
      </c>
      <c r="V2724" s="77">
        <v>117</v>
      </c>
      <c r="W2724" s="80" t="s">
        <v>7605</v>
      </c>
      <c r="X2724" s="83" t="str">
        <f>HYPERLINK("https://flj.com.br/noticia/estudo-do-bc-mostrou-ineficiencia-em-meta-de-inflacao-seguir-ano-fiscal-diz-campos-neto")</f>
        <v>https://flj.com.br/noticia/estudo-do-bc-mostrou-ineficiencia-em-meta-de-inflacao-seguir-ano-fiscal-diz-campos-neto</v>
      </c>
      <c r="Y2724" s="77" t="s">
        <v>8611</v>
      </c>
      <c r="Z2724" s="77"/>
      <c r="AA2724" s="77"/>
      <c r="AB2724" s="77"/>
      <c r="AC2724" s="80" t="s">
        <v>10541</v>
      </c>
      <c r="AD2724" s="77" t="s">
        <v>10617</v>
      </c>
      <c r="AE2724" s="83" t="str">
        <f>HYPERLINK("https://twitter.com/leiaflj/status/1661810694986104839")</f>
        <v>https://twitter.com/leiaflj/status/1661810694986104839</v>
      </c>
      <c r="AF2724" s="79">
        <v>45071.795358796298</v>
      </c>
      <c r="AG2724" s="85">
        <v>45071</v>
      </c>
      <c r="AH2724" s="80" t="s">
        <v>13015</v>
      </c>
      <c r="AI2724" s="77" t="b">
        <v>0</v>
      </c>
      <c r="AJ2724" s="77"/>
      <c r="AK2724" s="77"/>
      <c r="AL2724" s="77"/>
      <c r="AM2724" s="77"/>
      <c r="AN2724" s="77"/>
      <c r="AO2724" s="77"/>
      <c r="AP2724" s="77"/>
      <c r="AQ2724" s="77"/>
      <c r="AR2724" s="77"/>
      <c r="AS2724" s="77"/>
      <c r="AT2724" s="77"/>
      <c r="AU2724" s="77"/>
      <c r="AV2724" s="83" t="str">
        <f>HYPERLINK("https://pbs.twimg.com/profile_images/1620068456165933060/TShADQck_normal.jpg")</f>
        <v>https://pbs.twimg.com/profile_images/1620068456165933060/TShADQck_normal.jpg</v>
      </c>
      <c r="AW2724" s="80" t="s">
        <v>18494</v>
      </c>
      <c r="AX2724" s="80" t="s">
        <v>18494</v>
      </c>
      <c r="AY2724" s="77"/>
      <c r="AZ2724" s="80" t="s">
        <v>20380</v>
      </c>
      <c r="BA2724" s="80" t="s">
        <v>20380</v>
      </c>
      <c r="BB2724" s="80" t="s">
        <v>20380</v>
      </c>
      <c r="BC2724" s="80" t="s">
        <v>18494</v>
      </c>
      <c r="BD2724" s="80" t="s">
        <v>20944</v>
      </c>
      <c r="BE2724" s="77"/>
      <c r="BF2724" s="77"/>
      <c r="BG2724" s="77"/>
      <c r="BH2724" s="77"/>
      <c r="BI2724" s="77"/>
    </row>
    <row r="2725" spans="1:61" x14ac:dyDescent="0.25">
      <c r="A2725" s="62" t="s">
        <v>1127</v>
      </c>
      <c r="B2725" s="62" t="s">
        <v>1127</v>
      </c>
      <c r="C2725" s="63"/>
      <c r="D2725" s="64"/>
      <c r="E2725" s="65"/>
      <c r="F2725" s="66"/>
      <c r="G2725" s="63"/>
      <c r="H2725" s="67"/>
      <c r="I2725" s="68"/>
      <c r="J2725" s="68"/>
      <c r="K2725" s="32"/>
      <c r="L2725" s="75">
        <v>2725</v>
      </c>
      <c r="M2725" s="75"/>
      <c r="N2725" s="70"/>
      <c r="O2725" s="77" t="s">
        <v>179</v>
      </c>
      <c r="P2725" s="79">
        <v>45075.498298611114</v>
      </c>
      <c r="Q2725" s="77" t="s">
        <v>4483</v>
      </c>
      <c r="R2725" s="77">
        <v>0</v>
      </c>
      <c r="S2725" s="77">
        <v>1</v>
      </c>
      <c r="T2725" s="77">
        <v>0</v>
      </c>
      <c r="U2725" s="77">
        <v>0</v>
      </c>
      <c r="V2725" s="77">
        <v>111</v>
      </c>
      <c r="W2725" s="80" t="s">
        <v>7606</v>
      </c>
      <c r="X2725" s="83" t="str">
        <f>HYPERLINK("https://flj.com.br/noticia/focus-reduz-projecao-de-ipca-pela-segunda-semana-seguida-e-eleva-pib-para-2023")</f>
        <v>https://flj.com.br/noticia/focus-reduz-projecao-de-ipca-pela-segunda-semana-seguida-e-eleva-pib-para-2023</v>
      </c>
      <c r="Y2725" s="77" t="s">
        <v>8611</v>
      </c>
      <c r="Z2725" s="77"/>
      <c r="AA2725" s="77"/>
      <c r="AB2725" s="77"/>
      <c r="AC2725" s="80" t="s">
        <v>10541</v>
      </c>
      <c r="AD2725" s="77" t="s">
        <v>10617</v>
      </c>
      <c r="AE2725" s="83" t="str">
        <f>HYPERLINK("https://twitter.com/leiaflj/status/1663152598323429377")</f>
        <v>https://twitter.com/leiaflj/status/1663152598323429377</v>
      </c>
      <c r="AF2725" s="79">
        <v>45075.498298611114</v>
      </c>
      <c r="AG2725" s="85">
        <v>45075</v>
      </c>
      <c r="AH2725" s="80" t="s">
        <v>13016</v>
      </c>
      <c r="AI2725" s="77" t="b">
        <v>0</v>
      </c>
      <c r="AJ2725" s="77"/>
      <c r="AK2725" s="77"/>
      <c r="AL2725" s="77"/>
      <c r="AM2725" s="77"/>
      <c r="AN2725" s="77"/>
      <c r="AO2725" s="77"/>
      <c r="AP2725" s="77"/>
      <c r="AQ2725" s="77"/>
      <c r="AR2725" s="77"/>
      <c r="AS2725" s="77"/>
      <c r="AT2725" s="77"/>
      <c r="AU2725" s="77"/>
      <c r="AV2725" s="83" t="str">
        <f>HYPERLINK("https://pbs.twimg.com/profile_images/1620068456165933060/TShADQck_normal.jpg")</f>
        <v>https://pbs.twimg.com/profile_images/1620068456165933060/TShADQck_normal.jpg</v>
      </c>
      <c r="AW2725" s="80" t="s">
        <v>18495</v>
      </c>
      <c r="AX2725" s="80" t="s">
        <v>18495</v>
      </c>
      <c r="AY2725" s="77"/>
      <c r="AZ2725" s="80" t="s">
        <v>20380</v>
      </c>
      <c r="BA2725" s="80" t="s">
        <v>20380</v>
      </c>
      <c r="BB2725" s="80" t="s">
        <v>20380</v>
      </c>
      <c r="BC2725" s="80" t="s">
        <v>18495</v>
      </c>
      <c r="BD2725" s="80" t="s">
        <v>20944</v>
      </c>
      <c r="BE2725" s="77"/>
      <c r="BF2725" s="77"/>
      <c r="BG2725" s="77"/>
      <c r="BH2725" s="77"/>
      <c r="BI2725" s="77"/>
    </row>
    <row r="2726" spans="1:61" x14ac:dyDescent="0.25">
      <c r="A2726" s="62" t="s">
        <v>1127</v>
      </c>
      <c r="B2726" s="62" t="s">
        <v>1127</v>
      </c>
      <c r="C2726" s="63"/>
      <c r="D2726" s="64"/>
      <c r="E2726" s="65"/>
      <c r="F2726" s="66"/>
      <c r="G2726" s="63"/>
      <c r="H2726" s="67"/>
      <c r="I2726" s="68"/>
      <c r="J2726" s="68"/>
      <c r="K2726" s="32"/>
      <c r="L2726" s="75">
        <v>2726</v>
      </c>
      <c r="M2726" s="75"/>
      <c r="N2726" s="70"/>
      <c r="O2726" s="77" t="s">
        <v>179</v>
      </c>
      <c r="P2726" s="79">
        <v>45148.810868055552</v>
      </c>
      <c r="Q2726" s="77" t="s">
        <v>4484</v>
      </c>
      <c r="R2726" s="77">
        <v>0</v>
      </c>
      <c r="S2726" s="77">
        <v>3</v>
      </c>
      <c r="T2726" s="77">
        <v>1</v>
      </c>
      <c r="U2726" s="77">
        <v>0</v>
      </c>
      <c r="V2726" s="77">
        <v>563</v>
      </c>
      <c r="W2726" s="80" t="s">
        <v>7607</v>
      </c>
      <c r="X2726" s="83" t="str">
        <f>HYPERLINK("http://flj.com.br/noticia/banco-master-investe-r-30-milhoes-para-reduzir-reclamacoes-no-bc")</f>
        <v>http://flj.com.br/noticia/banco-master-investe-r-30-milhoes-para-reduzir-reclamacoes-no-bc</v>
      </c>
      <c r="Y2726" s="77" t="s">
        <v>8611</v>
      </c>
      <c r="Z2726" s="77"/>
      <c r="AA2726" s="77"/>
      <c r="AB2726" s="77"/>
      <c r="AC2726" s="80" t="s">
        <v>10541</v>
      </c>
      <c r="AD2726" s="77" t="s">
        <v>10617</v>
      </c>
      <c r="AE2726" s="83" t="str">
        <f>HYPERLINK("https://twitter.com/leiaflj/status/1689720180849418246")</f>
        <v>https://twitter.com/leiaflj/status/1689720180849418246</v>
      </c>
      <c r="AF2726" s="79">
        <v>45148.810868055552</v>
      </c>
      <c r="AG2726" s="85">
        <v>45148</v>
      </c>
      <c r="AH2726" s="80" t="s">
        <v>13017</v>
      </c>
      <c r="AI2726" s="77" t="b">
        <v>0</v>
      </c>
      <c r="AJ2726" s="77"/>
      <c r="AK2726" s="77"/>
      <c r="AL2726" s="77"/>
      <c r="AM2726" s="77"/>
      <c r="AN2726" s="77"/>
      <c r="AO2726" s="77"/>
      <c r="AP2726" s="77"/>
      <c r="AQ2726" s="77"/>
      <c r="AR2726" s="77"/>
      <c r="AS2726" s="77"/>
      <c r="AT2726" s="77"/>
      <c r="AU2726" s="77"/>
      <c r="AV2726" s="83" t="str">
        <f>HYPERLINK("https://pbs.twimg.com/profile_images/1620068456165933060/TShADQck_normal.jpg")</f>
        <v>https://pbs.twimg.com/profile_images/1620068456165933060/TShADQck_normal.jpg</v>
      </c>
      <c r="AW2726" s="80" t="s">
        <v>18496</v>
      </c>
      <c r="AX2726" s="80" t="s">
        <v>18496</v>
      </c>
      <c r="AY2726" s="77"/>
      <c r="AZ2726" s="80" t="s">
        <v>20380</v>
      </c>
      <c r="BA2726" s="80" t="s">
        <v>20380</v>
      </c>
      <c r="BB2726" s="80" t="s">
        <v>20380</v>
      </c>
      <c r="BC2726" s="80" t="s">
        <v>18496</v>
      </c>
      <c r="BD2726" s="80" t="s">
        <v>20944</v>
      </c>
      <c r="BE2726" s="77"/>
      <c r="BF2726" s="77"/>
      <c r="BG2726" s="77"/>
      <c r="BH2726" s="77"/>
      <c r="BI2726" s="77"/>
    </row>
    <row r="2727" spans="1:61" x14ac:dyDescent="0.25">
      <c r="A2727" s="62" t="s">
        <v>1127</v>
      </c>
      <c r="B2727" s="62" t="s">
        <v>1127</v>
      </c>
      <c r="C2727" s="63"/>
      <c r="D2727" s="64"/>
      <c r="E2727" s="65"/>
      <c r="F2727" s="66"/>
      <c r="G2727" s="63"/>
      <c r="H2727" s="67"/>
      <c r="I2727" s="68"/>
      <c r="J2727" s="68"/>
      <c r="K2727" s="32"/>
      <c r="L2727" s="75">
        <v>2727</v>
      </c>
      <c r="M2727" s="75"/>
      <c r="N2727" s="70"/>
      <c r="O2727" s="77" t="s">
        <v>179</v>
      </c>
      <c r="P2727" s="79">
        <v>45112.838761574072</v>
      </c>
      <c r="Q2727" s="77" t="s">
        <v>4485</v>
      </c>
      <c r="R2727" s="77">
        <v>0</v>
      </c>
      <c r="S2727" s="77">
        <v>1</v>
      </c>
      <c r="T2727" s="77">
        <v>0</v>
      </c>
      <c r="U2727" s="77">
        <v>0</v>
      </c>
      <c r="V2727" s="77">
        <v>127</v>
      </c>
      <c r="W2727" s="80" t="s">
        <v>6002</v>
      </c>
      <c r="X2727" s="83" t="str">
        <f>HYPERLINK("https://flj.com.br/noticia/genoa-capital-preve-corte-de-050-ponto-percentual-na-selic-em-agosto")</f>
        <v>https://flj.com.br/noticia/genoa-capital-preve-corte-de-050-ponto-percentual-na-selic-em-agosto</v>
      </c>
      <c r="Y2727" s="77" t="s">
        <v>8611</v>
      </c>
      <c r="Z2727" s="77"/>
      <c r="AA2727" s="77"/>
      <c r="AB2727" s="77"/>
      <c r="AC2727" s="80" t="s">
        <v>10541</v>
      </c>
      <c r="AD2727" s="77" t="s">
        <v>10617</v>
      </c>
      <c r="AE2727" s="83" t="str">
        <f>HYPERLINK("https://twitter.com/leiaflj/status/1676684326891601920")</f>
        <v>https://twitter.com/leiaflj/status/1676684326891601920</v>
      </c>
      <c r="AF2727" s="79">
        <v>45112.838761574072</v>
      </c>
      <c r="AG2727" s="85">
        <v>45112</v>
      </c>
      <c r="AH2727" s="80" t="s">
        <v>13018</v>
      </c>
      <c r="AI2727" s="77" t="b">
        <v>0</v>
      </c>
      <c r="AJ2727" s="77"/>
      <c r="AK2727" s="77"/>
      <c r="AL2727" s="77"/>
      <c r="AM2727" s="77"/>
      <c r="AN2727" s="77"/>
      <c r="AO2727" s="77"/>
      <c r="AP2727" s="77"/>
      <c r="AQ2727" s="77"/>
      <c r="AR2727" s="77"/>
      <c r="AS2727" s="77"/>
      <c r="AT2727" s="77"/>
      <c r="AU2727" s="77"/>
      <c r="AV2727" s="83" t="str">
        <f>HYPERLINK("https://pbs.twimg.com/profile_images/1620068456165933060/TShADQck_normal.jpg")</f>
        <v>https://pbs.twimg.com/profile_images/1620068456165933060/TShADQck_normal.jpg</v>
      </c>
      <c r="AW2727" s="80" t="s">
        <v>18497</v>
      </c>
      <c r="AX2727" s="80" t="s">
        <v>18497</v>
      </c>
      <c r="AY2727" s="77"/>
      <c r="AZ2727" s="80" t="s">
        <v>20380</v>
      </c>
      <c r="BA2727" s="80" t="s">
        <v>20380</v>
      </c>
      <c r="BB2727" s="80" t="s">
        <v>20380</v>
      </c>
      <c r="BC2727" s="80" t="s">
        <v>18497</v>
      </c>
      <c r="BD2727" s="80" t="s">
        <v>20944</v>
      </c>
      <c r="BE2727" s="77"/>
      <c r="BF2727" s="77"/>
      <c r="BG2727" s="77"/>
      <c r="BH2727" s="77"/>
      <c r="BI2727" s="77"/>
    </row>
    <row r="2728" spans="1:61" x14ac:dyDescent="0.25">
      <c r="A2728" s="62" t="s">
        <v>1127</v>
      </c>
      <c r="B2728" s="62" t="s">
        <v>1127</v>
      </c>
      <c r="C2728" s="63"/>
      <c r="D2728" s="64"/>
      <c r="E2728" s="65"/>
      <c r="F2728" s="66"/>
      <c r="G2728" s="63"/>
      <c r="H2728" s="67"/>
      <c r="I2728" s="68"/>
      <c r="J2728" s="68"/>
      <c r="K2728" s="32"/>
      <c r="L2728" s="75">
        <v>2728</v>
      </c>
      <c r="M2728" s="75"/>
      <c r="N2728" s="70"/>
      <c r="O2728" s="77" t="s">
        <v>179</v>
      </c>
      <c r="P2728" s="79">
        <v>45100.548460648148</v>
      </c>
      <c r="Q2728" s="77" t="s">
        <v>4486</v>
      </c>
      <c r="R2728" s="77">
        <v>1</v>
      </c>
      <c r="S2728" s="77">
        <v>0</v>
      </c>
      <c r="T2728" s="77">
        <v>0</v>
      </c>
      <c r="U2728" s="77">
        <v>0</v>
      </c>
      <c r="V2728" s="77">
        <v>116</v>
      </c>
      <c r="W2728" s="80" t="s">
        <v>7608</v>
      </c>
      <c r="X2728" s="83" t="str">
        <f>HYPERLINK("https://flj.com.br/noticia/alckmin-critica-bc-e-diz-que-selic-elevada-prejudica-responsabilidade-fiscal")</f>
        <v>https://flj.com.br/noticia/alckmin-critica-bc-e-diz-que-selic-elevada-prejudica-responsabilidade-fiscal</v>
      </c>
      <c r="Y2728" s="77" t="s">
        <v>8611</v>
      </c>
      <c r="Z2728" s="77"/>
      <c r="AA2728" s="77" t="s">
        <v>9886</v>
      </c>
      <c r="AB2728" s="77" t="s">
        <v>10535</v>
      </c>
      <c r="AC2728" s="80" t="s">
        <v>10541</v>
      </c>
      <c r="AD2728" s="77" t="s">
        <v>10617</v>
      </c>
      <c r="AE2728" s="83" t="str">
        <f>HYPERLINK("https://twitter.com/leiaflj/status/1672230469931343872")</f>
        <v>https://twitter.com/leiaflj/status/1672230469931343872</v>
      </c>
      <c r="AF2728" s="79">
        <v>45100.548460648148</v>
      </c>
      <c r="AG2728" s="85">
        <v>45100</v>
      </c>
      <c r="AH2728" s="80" t="s">
        <v>13019</v>
      </c>
      <c r="AI2728" s="77" t="b">
        <v>0</v>
      </c>
      <c r="AJ2728" s="77"/>
      <c r="AK2728" s="77"/>
      <c r="AL2728" s="77"/>
      <c r="AM2728" s="77"/>
      <c r="AN2728" s="77"/>
      <c r="AO2728" s="77"/>
      <c r="AP2728" s="77"/>
      <c r="AQ2728" s="77" t="s">
        <v>15367</v>
      </c>
      <c r="AR2728" s="77"/>
      <c r="AS2728" s="77"/>
      <c r="AT2728" s="77"/>
      <c r="AU2728" s="77"/>
      <c r="AV2728" s="83" t="str">
        <f>HYPERLINK("https://pbs.twimg.com/media/FzT0qKAWAAAijZZ.jpg")</f>
        <v>https://pbs.twimg.com/media/FzT0qKAWAAAijZZ.jpg</v>
      </c>
      <c r="AW2728" s="80" t="s">
        <v>18498</v>
      </c>
      <c r="AX2728" s="80" t="s">
        <v>18498</v>
      </c>
      <c r="AY2728" s="77"/>
      <c r="AZ2728" s="80" t="s">
        <v>20380</v>
      </c>
      <c r="BA2728" s="80" t="s">
        <v>20380</v>
      </c>
      <c r="BB2728" s="80" t="s">
        <v>20380</v>
      </c>
      <c r="BC2728" s="80" t="s">
        <v>18498</v>
      </c>
      <c r="BD2728" s="80" t="s">
        <v>20944</v>
      </c>
      <c r="BE2728" s="77"/>
      <c r="BF2728" s="77"/>
      <c r="BG2728" s="77"/>
      <c r="BH2728" s="77"/>
      <c r="BI2728" s="77"/>
    </row>
    <row r="2729" spans="1:61" x14ac:dyDescent="0.25">
      <c r="A2729" s="62" t="s">
        <v>1127</v>
      </c>
      <c r="B2729" s="62" t="s">
        <v>1127</v>
      </c>
      <c r="C2729" s="63"/>
      <c r="D2729" s="64"/>
      <c r="E2729" s="65"/>
      <c r="F2729" s="66"/>
      <c r="G2729" s="63"/>
      <c r="H2729" s="67"/>
      <c r="I2729" s="68"/>
      <c r="J2729" s="68"/>
      <c r="K2729" s="32"/>
      <c r="L2729" s="75">
        <v>2729</v>
      </c>
      <c r="M2729" s="75"/>
      <c r="N2729" s="70"/>
      <c r="O2729" s="77" t="s">
        <v>179</v>
      </c>
      <c r="P2729" s="79">
        <v>45049.521238425928</v>
      </c>
      <c r="Q2729" s="77" t="s">
        <v>4487</v>
      </c>
      <c r="R2729" s="77">
        <v>0</v>
      </c>
      <c r="S2729" s="77">
        <v>1</v>
      </c>
      <c r="T2729" s="77">
        <v>0</v>
      </c>
      <c r="U2729" s="77">
        <v>0</v>
      </c>
      <c r="V2729" s="77">
        <v>158</v>
      </c>
      <c r="W2729" s="80" t="s">
        <v>7609</v>
      </c>
      <c r="X2729" s="83" t="str">
        <f>HYPERLINK("https://flj.com.br/noticia/super-quarta-o-que-esperar-das-decisoes-do-fomc-e-do-copom")</f>
        <v>https://flj.com.br/noticia/super-quarta-o-que-esperar-das-decisoes-do-fomc-e-do-copom</v>
      </c>
      <c r="Y2729" s="77" t="s">
        <v>8611</v>
      </c>
      <c r="Z2729" s="77"/>
      <c r="AA2729" s="77"/>
      <c r="AB2729" s="77"/>
      <c r="AC2729" s="80" t="s">
        <v>10541</v>
      </c>
      <c r="AD2729" s="77" t="s">
        <v>10617</v>
      </c>
      <c r="AE2729" s="83" t="str">
        <f>HYPERLINK("https://twitter.com/leiaflj/status/1653738824290148357")</f>
        <v>https://twitter.com/leiaflj/status/1653738824290148357</v>
      </c>
      <c r="AF2729" s="79">
        <v>45049.521238425928</v>
      </c>
      <c r="AG2729" s="85">
        <v>45049</v>
      </c>
      <c r="AH2729" s="80" t="s">
        <v>13020</v>
      </c>
      <c r="AI2729" s="77" t="b">
        <v>0</v>
      </c>
      <c r="AJ2729" s="77"/>
      <c r="AK2729" s="77"/>
      <c r="AL2729" s="77"/>
      <c r="AM2729" s="77"/>
      <c r="AN2729" s="77"/>
      <c r="AO2729" s="77"/>
      <c r="AP2729" s="77"/>
      <c r="AQ2729" s="77"/>
      <c r="AR2729" s="77"/>
      <c r="AS2729" s="77"/>
      <c r="AT2729" s="77"/>
      <c r="AU2729" s="77"/>
      <c r="AV2729" s="83" t="str">
        <f>HYPERLINK("https://pbs.twimg.com/profile_images/1620068456165933060/TShADQck_normal.jpg")</f>
        <v>https://pbs.twimg.com/profile_images/1620068456165933060/TShADQck_normal.jpg</v>
      </c>
      <c r="AW2729" s="80" t="s">
        <v>18499</v>
      </c>
      <c r="AX2729" s="80" t="s">
        <v>18499</v>
      </c>
      <c r="AY2729" s="77"/>
      <c r="AZ2729" s="80" t="s">
        <v>20380</v>
      </c>
      <c r="BA2729" s="80" t="s">
        <v>20380</v>
      </c>
      <c r="BB2729" s="80" t="s">
        <v>20380</v>
      </c>
      <c r="BC2729" s="80" t="s">
        <v>18499</v>
      </c>
      <c r="BD2729" s="80" t="s">
        <v>20944</v>
      </c>
      <c r="BE2729" s="77"/>
      <c r="BF2729" s="77"/>
      <c r="BG2729" s="77"/>
      <c r="BH2729" s="77"/>
      <c r="BI2729" s="77"/>
    </row>
    <row r="2730" spans="1:61" x14ac:dyDescent="0.25">
      <c r="A2730" s="62" t="s">
        <v>1127</v>
      </c>
      <c r="B2730" s="62" t="s">
        <v>1127</v>
      </c>
      <c r="C2730" s="63"/>
      <c r="D2730" s="64"/>
      <c r="E2730" s="65"/>
      <c r="F2730" s="66"/>
      <c r="G2730" s="63"/>
      <c r="H2730" s="67"/>
      <c r="I2730" s="68"/>
      <c r="J2730" s="68"/>
      <c r="K2730" s="32"/>
      <c r="L2730" s="75">
        <v>2730</v>
      </c>
      <c r="M2730" s="75"/>
      <c r="N2730" s="70"/>
      <c r="O2730" s="77" t="s">
        <v>179</v>
      </c>
      <c r="P2730" s="79">
        <v>45153.998611111114</v>
      </c>
      <c r="Q2730" s="77" t="s">
        <v>4488</v>
      </c>
      <c r="R2730" s="77">
        <v>2</v>
      </c>
      <c r="S2730" s="77">
        <v>5</v>
      </c>
      <c r="T2730" s="77">
        <v>0</v>
      </c>
      <c r="U2730" s="77">
        <v>0</v>
      </c>
      <c r="V2730" s="77">
        <v>214</v>
      </c>
      <c r="W2730" s="80" t="s">
        <v>7437</v>
      </c>
      <c r="X2730" s="83" t="str">
        <f>HYPERLINK("https://flj.com.br/noticia/condicoes-para-bc-intensificar-cortes-de-juros-sao-bastante-dificeis-de-serem-atingidas-diz-diretora")</f>
        <v>https://flj.com.br/noticia/condicoes-para-bc-intensificar-cortes-de-juros-sao-bastante-dificeis-de-serem-atingidas-diz-diretora</v>
      </c>
      <c r="Y2730" s="77" t="s">
        <v>8611</v>
      </c>
      <c r="Z2730" s="77"/>
      <c r="AA2730" s="77"/>
      <c r="AB2730" s="77"/>
      <c r="AC2730" s="80" t="s">
        <v>10541</v>
      </c>
      <c r="AD2730" s="77" t="s">
        <v>10617</v>
      </c>
      <c r="AE2730" s="83" t="str">
        <f>HYPERLINK("https://twitter.com/leiaflj/status/1691600155756077227")</f>
        <v>https://twitter.com/leiaflj/status/1691600155756077227</v>
      </c>
      <c r="AF2730" s="79">
        <v>45153.998611111114</v>
      </c>
      <c r="AG2730" s="85">
        <v>45153</v>
      </c>
      <c r="AH2730" s="80" t="s">
        <v>13021</v>
      </c>
      <c r="AI2730" s="77" t="b">
        <v>0</v>
      </c>
      <c r="AJ2730" s="77"/>
      <c r="AK2730" s="77"/>
      <c r="AL2730" s="77"/>
      <c r="AM2730" s="77"/>
      <c r="AN2730" s="77"/>
      <c r="AO2730" s="77"/>
      <c r="AP2730" s="77"/>
      <c r="AQ2730" s="77"/>
      <c r="AR2730" s="77"/>
      <c r="AS2730" s="77"/>
      <c r="AT2730" s="77"/>
      <c r="AU2730" s="77"/>
      <c r="AV2730" s="83" t="str">
        <f>HYPERLINK("https://pbs.twimg.com/profile_images/1620068456165933060/TShADQck_normal.jpg")</f>
        <v>https://pbs.twimg.com/profile_images/1620068456165933060/TShADQck_normal.jpg</v>
      </c>
      <c r="AW2730" s="80" t="s">
        <v>18500</v>
      </c>
      <c r="AX2730" s="80" t="s">
        <v>18500</v>
      </c>
      <c r="AY2730" s="77"/>
      <c r="AZ2730" s="80" t="s">
        <v>20380</v>
      </c>
      <c r="BA2730" s="80" t="s">
        <v>20380</v>
      </c>
      <c r="BB2730" s="80" t="s">
        <v>20380</v>
      </c>
      <c r="BC2730" s="80" t="s">
        <v>18500</v>
      </c>
      <c r="BD2730" s="80" t="s">
        <v>20944</v>
      </c>
      <c r="BE2730" s="77"/>
      <c r="BF2730" s="77"/>
      <c r="BG2730" s="77"/>
      <c r="BH2730" s="77"/>
      <c r="BI2730" s="77"/>
    </row>
    <row r="2731" spans="1:61" x14ac:dyDescent="0.25">
      <c r="A2731" s="62" t="s">
        <v>1127</v>
      </c>
      <c r="B2731" s="62" t="s">
        <v>1127</v>
      </c>
      <c r="C2731" s="63"/>
      <c r="D2731" s="64"/>
      <c r="E2731" s="65"/>
      <c r="F2731" s="66"/>
      <c r="G2731" s="63"/>
      <c r="H2731" s="67"/>
      <c r="I2731" s="68"/>
      <c r="J2731" s="68"/>
      <c r="K2731" s="32"/>
      <c r="L2731" s="75">
        <v>2731</v>
      </c>
      <c r="M2731" s="75"/>
      <c r="N2731" s="70"/>
      <c r="O2731" s="77" t="s">
        <v>179</v>
      </c>
      <c r="P2731" s="79">
        <v>45146.982685185183</v>
      </c>
      <c r="Q2731" s="77" t="s">
        <v>4489</v>
      </c>
      <c r="R2731" s="77">
        <v>0</v>
      </c>
      <c r="S2731" s="77">
        <v>1</v>
      </c>
      <c r="T2731" s="77">
        <v>0</v>
      </c>
      <c r="U2731" s="77">
        <v>0</v>
      </c>
      <c r="V2731" s="77">
        <v>107</v>
      </c>
      <c r="W2731" s="80" t="s">
        <v>7610</v>
      </c>
      <c r="X2731" s="83" t="str">
        <f>HYPERLINK("https://flj.com.br/noticia/diretor-do-bc-detalha-divisao-no-copom-sobre-corte-da-selic")</f>
        <v>https://flj.com.br/noticia/diretor-do-bc-detalha-divisao-no-copom-sobre-corte-da-selic</v>
      </c>
      <c r="Y2731" s="77" t="s">
        <v>8611</v>
      </c>
      <c r="Z2731" s="77"/>
      <c r="AA2731" s="77"/>
      <c r="AB2731" s="77"/>
      <c r="AC2731" s="80" t="s">
        <v>10541</v>
      </c>
      <c r="AD2731" s="77" t="s">
        <v>10617</v>
      </c>
      <c r="AE2731" s="83" t="str">
        <f>HYPERLINK("https://twitter.com/leiaflj/status/1689057672123887616")</f>
        <v>https://twitter.com/leiaflj/status/1689057672123887616</v>
      </c>
      <c r="AF2731" s="79">
        <v>45146.982685185183</v>
      </c>
      <c r="AG2731" s="85">
        <v>45146</v>
      </c>
      <c r="AH2731" s="80" t="s">
        <v>13022</v>
      </c>
      <c r="AI2731" s="77" t="b">
        <v>0</v>
      </c>
      <c r="AJ2731" s="77"/>
      <c r="AK2731" s="77"/>
      <c r="AL2731" s="77"/>
      <c r="AM2731" s="77"/>
      <c r="AN2731" s="77"/>
      <c r="AO2731" s="77"/>
      <c r="AP2731" s="77"/>
      <c r="AQ2731" s="77"/>
      <c r="AR2731" s="77"/>
      <c r="AS2731" s="77"/>
      <c r="AT2731" s="77"/>
      <c r="AU2731" s="77"/>
      <c r="AV2731" s="83" t="str">
        <f>HYPERLINK("https://pbs.twimg.com/profile_images/1620068456165933060/TShADQck_normal.jpg")</f>
        <v>https://pbs.twimg.com/profile_images/1620068456165933060/TShADQck_normal.jpg</v>
      </c>
      <c r="AW2731" s="80" t="s">
        <v>18501</v>
      </c>
      <c r="AX2731" s="80" t="s">
        <v>18501</v>
      </c>
      <c r="AY2731" s="77"/>
      <c r="AZ2731" s="80" t="s">
        <v>20380</v>
      </c>
      <c r="BA2731" s="80" t="s">
        <v>20380</v>
      </c>
      <c r="BB2731" s="80" t="s">
        <v>20380</v>
      </c>
      <c r="BC2731" s="80" t="s">
        <v>18501</v>
      </c>
      <c r="BD2731" s="80" t="s">
        <v>20944</v>
      </c>
      <c r="BE2731" s="77"/>
      <c r="BF2731" s="77"/>
      <c r="BG2731" s="77"/>
      <c r="BH2731" s="77"/>
      <c r="BI2731" s="77"/>
    </row>
    <row r="2732" spans="1:61" x14ac:dyDescent="0.25">
      <c r="A2732" s="62" t="s">
        <v>1127</v>
      </c>
      <c r="B2732" s="62" t="s">
        <v>1127</v>
      </c>
      <c r="C2732" s="63"/>
      <c r="D2732" s="64"/>
      <c r="E2732" s="65"/>
      <c r="F2732" s="66"/>
      <c r="G2732" s="63"/>
      <c r="H2732" s="67"/>
      <c r="I2732" s="68"/>
      <c r="J2732" s="68"/>
      <c r="K2732" s="32"/>
      <c r="L2732" s="75">
        <v>2732</v>
      </c>
      <c r="M2732" s="75"/>
      <c r="N2732" s="70"/>
      <c r="O2732" s="77" t="s">
        <v>179</v>
      </c>
      <c r="P2732" s="79">
        <v>45138.474027777775</v>
      </c>
      <c r="Q2732" s="77" t="s">
        <v>4490</v>
      </c>
      <c r="R2732" s="77">
        <v>0</v>
      </c>
      <c r="S2732" s="77">
        <v>0</v>
      </c>
      <c r="T2732" s="77">
        <v>0</v>
      </c>
      <c r="U2732" s="77">
        <v>0</v>
      </c>
      <c r="V2732" s="77">
        <v>87</v>
      </c>
      <c r="W2732" s="80" t="s">
        <v>7611</v>
      </c>
      <c r="X2732" s="83" t="str">
        <f>HYPERLINK("https://flj.com.br/noticia/bc-tem-espaco-consideravel-para-reduzir-juros-diz-haddad")</f>
        <v>https://flj.com.br/noticia/bc-tem-espaco-consideravel-para-reduzir-juros-diz-haddad</v>
      </c>
      <c r="Y2732" s="77" t="s">
        <v>8611</v>
      </c>
      <c r="Z2732" s="77"/>
      <c r="AA2732" s="77"/>
      <c r="AB2732" s="77"/>
      <c r="AC2732" s="80" t="s">
        <v>10541</v>
      </c>
      <c r="AD2732" s="77" t="s">
        <v>10617</v>
      </c>
      <c r="AE2732" s="83" t="str">
        <f>HYPERLINK("https://twitter.com/leiaflj/status/1685974237775798273")</f>
        <v>https://twitter.com/leiaflj/status/1685974237775798273</v>
      </c>
      <c r="AF2732" s="79">
        <v>45138.474027777775</v>
      </c>
      <c r="AG2732" s="85">
        <v>45138</v>
      </c>
      <c r="AH2732" s="80" t="s">
        <v>13023</v>
      </c>
      <c r="AI2732" s="77" t="b">
        <v>0</v>
      </c>
      <c r="AJ2732" s="77"/>
      <c r="AK2732" s="77"/>
      <c r="AL2732" s="77"/>
      <c r="AM2732" s="77"/>
      <c r="AN2732" s="77"/>
      <c r="AO2732" s="77"/>
      <c r="AP2732" s="77"/>
      <c r="AQ2732" s="77"/>
      <c r="AR2732" s="77"/>
      <c r="AS2732" s="77"/>
      <c r="AT2732" s="77"/>
      <c r="AU2732" s="77"/>
      <c r="AV2732" s="83" t="str">
        <f>HYPERLINK("https://pbs.twimg.com/profile_images/1620068456165933060/TShADQck_normal.jpg")</f>
        <v>https://pbs.twimg.com/profile_images/1620068456165933060/TShADQck_normal.jpg</v>
      </c>
      <c r="AW2732" s="80" t="s">
        <v>18502</v>
      </c>
      <c r="AX2732" s="80" t="s">
        <v>18502</v>
      </c>
      <c r="AY2732" s="77"/>
      <c r="AZ2732" s="80" t="s">
        <v>20380</v>
      </c>
      <c r="BA2732" s="80" t="s">
        <v>20380</v>
      </c>
      <c r="BB2732" s="80" t="s">
        <v>20380</v>
      </c>
      <c r="BC2732" s="80" t="s">
        <v>18502</v>
      </c>
      <c r="BD2732" s="80" t="s">
        <v>20944</v>
      </c>
      <c r="BE2732" s="77"/>
      <c r="BF2732" s="77"/>
      <c r="BG2732" s="77"/>
      <c r="BH2732" s="77"/>
      <c r="BI2732" s="77"/>
    </row>
    <row r="2733" spans="1:61" x14ac:dyDescent="0.25">
      <c r="A2733" s="62" t="s">
        <v>1127</v>
      </c>
      <c r="B2733" s="62" t="s">
        <v>1127</v>
      </c>
      <c r="C2733" s="63"/>
      <c r="D2733" s="64"/>
      <c r="E2733" s="65"/>
      <c r="F2733" s="66"/>
      <c r="G2733" s="63"/>
      <c r="H2733" s="67"/>
      <c r="I2733" s="68"/>
      <c r="J2733" s="68"/>
      <c r="K2733" s="32"/>
      <c r="L2733" s="75">
        <v>2733</v>
      </c>
      <c r="M2733" s="75"/>
      <c r="N2733" s="70"/>
      <c r="O2733" s="77" t="s">
        <v>179</v>
      </c>
      <c r="P2733" s="79">
        <v>45135.53974537037</v>
      </c>
      <c r="Q2733" s="77" t="s">
        <v>4491</v>
      </c>
      <c r="R2733" s="77">
        <v>0</v>
      </c>
      <c r="S2733" s="77">
        <v>0</v>
      </c>
      <c r="T2733" s="77">
        <v>0</v>
      </c>
      <c r="U2733" s="77">
        <v>0</v>
      </c>
      <c r="V2733" s="77">
        <v>83</v>
      </c>
      <c r="W2733" s="80" t="s">
        <v>7612</v>
      </c>
      <c r="X2733" s="83" t="str">
        <f>HYPERLINK("https://flj.com.br/noticia/bancos-centrais-iniciam-mudancas-na-politica-monetaria-a-medida-que-inflacao-desacelera")</f>
        <v>https://flj.com.br/noticia/bancos-centrais-iniciam-mudancas-na-politica-monetaria-a-medida-que-inflacao-desacelera</v>
      </c>
      <c r="Y2733" s="77" t="s">
        <v>8611</v>
      </c>
      <c r="Z2733" s="77"/>
      <c r="AA2733" s="77"/>
      <c r="AB2733" s="77"/>
      <c r="AC2733" s="80" t="s">
        <v>10541</v>
      </c>
      <c r="AD2733" s="77" t="s">
        <v>10617</v>
      </c>
      <c r="AE2733" s="83" t="str">
        <f>HYPERLINK("https://twitter.com/leiaflj/status/1684910889219039234")</f>
        <v>https://twitter.com/leiaflj/status/1684910889219039234</v>
      </c>
      <c r="AF2733" s="79">
        <v>45135.53974537037</v>
      </c>
      <c r="AG2733" s="85">
        <v>45135</v>
      </c>
      <c r="AH2733" s="80" t="s">
        <v>13024</v>
      </c>
      <c r="AI2733" s="77" t="b">
        <v>0</v>
      </c>
      <c r="AJ2733" s="77"/>
      <c r="AK2733" s="77"/>
      <c r="AL2733" s="77"/>
      <c r="AM2733" s="77"/>
      <c r="AN2733" s="77"/>
      <c r="AO2733" s="77"/>
      <c r="AP2733" s="77"/>
      <c r="AQ2733" s="77"/>
      <c r="AR2733" s="77"/>
      <c r="AS2733" s="77"/>
      <c r="AT2733" s="77"/>
      <c r="AU2733" s="77"/>
      <c r="AV2733" s="83" t="str">
        <f>HYPERLINK("https://pbs.twimg.com/profile_images/1620068456165933060/TShADQck_normal.jpg")</f>
        <v>https://pbs.twimg.com/profile_images/1620068456165933060/TShADQck_normal.jpg</v>
      </c>
      <c r="AW2733" s="80" t="s">
        <v>18503</v>
      </c>
      <c r="AX2733" s="80" t="s">
        <v>18503</v>
      </c>
      <c r="AY2733" s="77"/>
      <c r="AZ2733" s="80" t="s">
        <v>20380</v>
      </c>
      <c r="BA2733" s="80" t="s">
        <v>20380</v>
      </c>
      <c r="BB2733" s="80" t="s">
        <v>20380</v>
      </c>
      <c r="BC2733" s="80" t="s">
        <v>18503</v>
      </c>
      <c r="BD2733" s="80" t="s">
        <v>20944</v>
      </c>
      <c r="BE2733" s="77"/>
      <c r="BF2733" s="77"/>
      <c r="BG2733" s="77"/>
      <c r="BH2733" s="77"/>
      <c r="BI2733" s="77"/>
    </row>
    <row r="2734" spans="1:61" x14ac:dyDescent="0.25">
      <c r="A2734" s="62" t="s">
        <v>1127</v>
      </c>
      <c r="B2734" s="62" t="s">
        <v>1127</v>
      </c>
      <c r="C2734" s="63"/>
      <c r="D2734" s="64"/>
      <c r="E2734" s="65"/>
      <c r="F2734" s="66"/>
      <c r="G2734" s="63"/>
      <c r="H2734" s="67"/>
      <c r="I2734" s="68"/>
      <c r="J2734" s="68"/>
      <c r="K2734" s="32"/>
      <c r="L2734" s="75">
        <v>2734</v>
      </c>
      <c r="M2734" s="75"/>
      <c r="N2734" s="70"/>
      <c r="O2734" s="77" t="s">
        <v>179</v>
      </c>
      <c r="P2734" s="79">
        <v>45096.766979166663</v>
      </c>
      <c r="Q2734" s="77" t="s">
        <v>4492</v>
      </c>
      <c r="R2734" s="77">
        <v>0</v>
      </c>
      <c r="S2734" s="77">
        <v>1</v>
      </c>
      <c r="T2734" s="77">
        <v>0</v>
      </c>
      <c r="U2734" s="77">
        <v>0</v>
      </c>
      <c r="V2734" s="77">
        <v>155</v>
      </c>
      <c r="W2734" s="80" t="s">
        <v>7613</v>
      </c>
      <c r="X2734" s="83" t="str">
        <f>HYPERLINK("https://flj.com.br/noticia/mercado-espera-manutencao-da-selic-em-13-75-e-indicacao-de-corte-no-2o-semestre")</f>
        <v>https://flj.com.br/noticia/mercado-espera-manutencao-da-selic-em-13-75-e-indicacao-de-corte-no-2o-semestre</v>
      </c>
      <c r="Y2734" s="77" t="s">
        <v>8611</v>
      </c>
      <c r="Z2734" s="77"/>
      <c r="AA2734" s="77"/>
      <c r="AB2734" s="77"/>
      <c r="AC2734" s="80" t="s">
        <v>10541</v>
      </c>
      <c r="AD2734" s="77" t="s">
        <v>10617</v>
      </c>
      <c r="AE2734" s="83" t="str">
        <f>HYPERLINK("https://twitter.com/leiaflj/status/1670860109218496513")</f>
        <v>https://twitter.com/leiaflj/status/1670860109218496513</v>
      </c>
      <c r="AF2734" s="79">
        <v>45096.766979166663</v>
      </c>
      <c r="AG2734" s="85">
        <v>45096</v>
      </c>
      <c r="AH2734" s="80" t="s">
        <v>13025</v>
      </c>
      <c r="AI2734" s="77" t="b">
        <v>0</v>
      </c>
      <c r="AJ2734" s="77"/>
      <c r="AK2734" s="77"/>
      <c r="AL2734" s="77"/>
      <c r="AM2734" s="77"/>
      <c r="AN2734" s="77"/>
      <c r="AO2734" s="77"/>
      <c r="AP2734" s="77"/>
      <c r="AQ2734" s="77"/>
      <c r="AR2734" s="77"/>
      <c r="AS2734" s="77"/>
      <c r="AT2734" s="77"/>
      <c r="AU2734" s="77"/>
      <c r="AV2734" s="83" t="str">
        <f>HYPERLINK("https://pbs.twimg.com/profile_images/1620068456165933060/TShADQck_normal.jpg")</f>
        <v>https://pbs.twimg.com/profile_images/1620068456165933060/TShADQck_normal.jpg</v>
      </c>
      <c r="AW2734" s="80" t="s">
        <v>18504</v>
      </c>
      <c r="AX2734" s="80" t="s">
        <v>18504</v>
      </c>
      <c r="AY2734" s="77"/>
      <c r="AZ2734" s="80" t="s">
        <v>20380</v>
      </c>
      <c r="BA2734" s="80" t="s">
        <v>20380</v>
      </c>
      <c r="BB2734" s="80" t="s">
        <v>20380</v>
      </c>
      <c r="BC2734" s="80" t="s">
        <v>18504</v>
      </c>
      <c r="BD2734" s="80" t="s">
        <v>20944</v>
      </c>
      <c r="BE2734" s="77"/>
      <c r="BF2734" s="77"/>
      <c r="BG2734" s="77"/>
      <c r="BH2734" s="77"/>
      <c r="BI2734" s="77"/>
    </row>
    <row r="2735" spans="1:61" x14ac:dyDescent="0.25">
      <c r="A2735" s="62" t="s">
        <v>1127</v>
      </c>
      <c r="B2735" s="62" t="s">
        <v>1127</v>
      </c>
      <c r="C2735" s="63"/>
      <c r="D2735" s="64"/>
      <c r="E2735" s="65"/>
      <c r="F2735" s="66"/>
      <c r="G2735" s="63"/>
      <c r="H2735" s="67"/>
      <c r="I2735" s="68"/>
      <c r="J2735" s="68"/>
      <c r="K2735" s="32"/>
      <c r="L2735" s="75">
        <v>2735</v>
      </c>
      <c r="M2735" s="75"/>
      <c r="N2735" s="70"/>
      <c r="O2735" s="77" t="s">
        <v>179</v>
      </c>
      <c r="P2735" s="79">
        <v>45096.487233796295</v>
      </c>
      <c r="Q2735" s="77" t="s">
        <v>4493</v>
      </c>
      <c r="R2735" s="77">
        <v>0</v>
      </c>
      <c r="S2735" s="77">
        <v>1</v>
      </c>
      <c r="T2735" s="77">
        <v>0</v>
      </c>
      <c r="U2735" s="77">
        <v>0</v>
      </c>
      <c r="V2735" s="77">
        <v>167</v>
      </c>
      <c r="W2735" s="80" t="s">
        <v>7614</v>
      </c>
      <c r="X2735" s="83" t="str">
        <f>HYPERLINK("https://flj.com.br/noticia/focus-eleva-projecao-do-pib-e-reduz-expectativa-de-inflacao")</f>
        <v>https://flj.com.br/noticia/focus-eleva-projecao-do-pib-e-reduz-expectativa-de-inflacao</v>
      </c>
      <c r="Y2735" s="77" t="s">
        <v>8611</v>
      </c>
      <c r="Z2735" s="77"/>
      <c r="AA2735" s="77"/>
      <c r="AB2735" s="77"/>
      <c r="AC2735" s="80" t="s">
        <v>10541</v>
      </c>
      <c r="AD2735" s="77" t="s">
        <v>10617</v>
      </c>
      <c r="AE2735" s="83" t="str">
        <f>HYPERLINK("https://twitter.com/leiaflj/status/1670758729950679040")</f>
        <v>https://twitter.com/leiaflj/status/1670758729950679040</v>
      </c>
      <c r="AF2735" s="79">
        <v>45096.487233796295</v>
      </c>
      <c r="AG2735" s="85">
        <v>45096</v>
      </c>
      <c r="AH2735" s="80" t="s">
        <v>11329</v>
      </c>
      <c r="AI2735" s="77" t="b">
        <v>0</v>
      </c>
      <c r="AJ2735" s="77"/>
      <c r="AK2735" s="77"/>
      <c r="AL2735" s="77"/>
      <c r="AM2735" s="77"/>
      <c r="AN2735" s="77"/>
      <c r="AO2735" s="77"/>
      <c r="AP2735" s="77"/>
      <c r="AQ2735" s="77"/>
      <c r="AR2735" s="77"/>
      <c r="AS2735" s="77"/>
      <c r="AT2735" s="77"/>
      <c r="AU2735" s="77"/>
      <c r="AV2735" s="83" t="str">
        <f>HYPERLINK("https://pbs.twimg.com/profile_images/1620068456165933060/TShADQck_normal.jpg")</f>
        <v>https://pbs.twimg.com/profile_images/1620068456165933060/TShADQck_normal.jpg</v>
      </c>
      <c r="AW2735" s="80" t="s">
        <v>18505</v>
      </c>
      <c r="AX2735" s="80" t="s">
        <v>18505</v>
      </c>
      <c r="AY2735" s="77"/>
      <c r="AZ2735" s="80" t="s">
        <v>20380</v>
      </c>
      <c r="BA2735" s="80" t="s">
        <v>20380</v>
      </c>
      <c r="BB2735" s="80" t="s">
        <v>20380</v>
      </c>
      <c r="BC2735" s="80" t="s">
        <v>18505</v>
      </c>
      <c r="BD2735" s="80" t="s">
        <v>20944</v>
      </c>
      <c r="BE2735" s="77"/>
      <c r="BF2735" s="77"/>
      <c r="BG2735" s="77"/>
      <c r="BH2735" s="77"/>
      <c r="BI2735" s="77"/>
    </row>
    <row r="2736" spans="1:61" x14ac:dyDescent="0.25">
      <c r="A2736" s="62" t="s">
        <v>1127</v>
      </c>
      <c r="B2736" s="62" t="s">
        <v>1127</v>
      </c>
      <c r="C2736" s="63"/>
      <c r="D2736" s="64"/>
      <c r="E2736" s="65"/>
      <c r="F2736" s="66"/>
      <c r="G2736" s="63"/>
      <c r="H2736" s="67"/>
      <c r="I2736" s="68"/>
      <c r="J2736" s="68"/>
      <c r="K2736" s="32"/>
      <c r="L2736" s="75">
        <v>2736</v>
      </c>
      <c r="M2736" s="75"/>
      <c r="N2736" s="70"/>
      <c r="O2736" s="77" t="s">
        <v>179</v>
      </c>
      <c r="P2736" s="79">
        <v>45163.547106481485</v>
      </c>
      <c r="Q2736" s="77" t="s">
        <v>4494</v>
      </c>
      <c r="R2736" s="77">
        <v>0</v>
      </c>
      <c r="S2736" s="77">
        <v>0</v>
      </c>
      <c r="T2736" s="77">
        <v>0</v>
      </c>
      <c r="U2736" s="77">
        <v>0</v>
      </c>
      <c r="V2736" s="77">
        <v>97</v>
      </c>
      <c r="W2736" s="80" t="s">
        <v>7615</v>
      </c>
      <c r="X2736" s="83" t="str">
        <f>HYPERLINK("https://flj.com.br/noticia/bc-conta-corrente-tem-deficit-de-us-36-bilhoes-em-julho-abaixo-da-previsao")</f>
        <v>https://flj.com.br/noticia/bc-conta-corrente-tem-deficit-de-us-36-bilhoes-em-julho-abaixo-da-previsao</v>
      </c>
      <c r="Y2736" s="77" t="s">
        <v>8611</v>
      </c>
      <c r="Z2736" s="77"/>
      <c r="AA2736" s="77"/>
      <c r="AB2736" s="77"/>
      <c r="AC2736" s="80" t="s">
        <v>10541</v>
      </c>
      <c r="AD2736" s="77" t="s">
        <v>10617</v>
      </c>
      <c r="AE2736" s="83" t="str">
        <f>HYPERLINK("https://twitter.com/leiaflj/status/1695060415665852834")</f>
        <v>https://twitter.com/leiaflj/status/1695060415665852834</v>
      </c>
      <c r="AF2736" s="79">
        <v>45163.547106481485</v>
      </c>
      <c r="AG2736" s="85">
        <v>45163</v>
      </c>
      <c r="AH2736" s="80" t="s">
        <v>13026</v>
      </c>
      <c r="AI2736" s="77" t="b">
        <v>0</v>
      </c>
      <c r="AJ2736" s="77"/>
      <c r="AK2736" s="77"/>
      <c r="AL2736" s="77"/>
      <c r="AM2736" s="77"/>
      <c r="AN2736" s="77"/>
      <c r="AO2736" s="77"/>
      <c r="AP2736" s="77"/>
      <c r="AQ2736" s="77"/>
      <c r="AR2736" s="77"/>
      <c r="AS2736" s="77"/>
      <c r="AT2736" s="77"/>
      <c r="AU2736" s="77"/>
      <c r="AV2736" s="83" t="str">
        <f>HYPERLINK("https://pbs.twimg.com/profile_images/1620068456165933060/TShADQck_normal.jpg")</f>
        <v>https://pbs.twimg.com/profile_images/1620068456165933060/TShADQck_normal.jpg</v>
      </c>
      <c r="AW2736" s="80" t="s">
        <v>18506</v>
      </c>
      <c r="AX2736" s="80" t="s">
        <v>18506</v>
      </c>
      <c r="AY2736" s="77"/>
      <c r="AZ2736" s="80" t="s">
        <v>20380</v>
      </c>
      <c r="BA2736" s="80" t="s">
        <v>20380</v>
      </c>
      <c r="BB2736" s="80" t="s">
        <v>20380</v>
      </c>
      <c r="BC2736" s="80" t="s">
        <v>18506</v>
      </c>
      <c r="BD2736" s="80" t="s">
        <v>20944</v>
      </c>
      <c r="BE2736" s="77"/>
      <c r="BF2736" s="77"/>
      <c r="BG2736" s="77"/>
      <c r="BH2736" s="77"/>
      <c r="BI2736" s="77"/>
    </row>
    <row r="2737" spans="1:61" x14ac:dyDescent="0.25">
      <c r="A2737" s="62" t="s">
        <v>1127</v>
      </c>
      <c r="B2737" s="62" t="s">
        <v>1127</v>
      </c>
      <c r="C2737" s="63"/>
      <c r="D2737" s="64"/>
      <c r="E2737" s="65"/>
      <c r="F2737" s="66"/>
      <c r="G2737" s="63"/>
      <c r="H2737" s="67"/>
      <c r="I2737" s="68"/>
      <c r="J2737" s="68"/>
      <c r="K2737" s="32"/>
      <c r="L2737" s="75">
        <v>2737</v>
      </c>
      <c r="M2737" s="75"/>
      <c r="N2737" s="70"/>
      <c r="O2737" s="77" t="s">
        <v>179</v>
      </c>
      <c r="P2737" s="79">
        <v>45124.841249999998</v>
      </c>
      <c r="Q2737" s="77" t="s">
        <v>4495</v>
      </c>
      <c r="R2737" s="77">
        <v>0</v>
      </c>
      <c r="S2737" s="77">
        <v>0</v>
      </c>
      <c r="T2737" s="77">
        <v>0</v>
      </c>
      <c r="U2737" s="77">
        <v>0</v>
      </c>
      <c r="V2737" s="77">
        <v>111</v>
      </c>
      <c r="W2737" s="80" t="s">
        <v>7616</v>
      </c>
      <c r="X2737" s="83" t="str">
        <f>HYPERLINK("https://flj.com.br/noticia/sem-forca-do-agro-ibc-br-expoe-alerta-vermelho-para-economia-nacional")</f>
        <v>https://flj.com.br/noticia/sem-forca-do-agro-ibc-br-expoe-alerta-vermelho-para-economia-nacional</v>
      </c>
      <c r="Y2737" s="77" t="s">
        <v>8611</v>
      </c>
      <c r="Z2737" s="77"/>
      <c r="AA2737" s="77"/>
      <c r="AB2737" s="77"/>
      <c r="AC2737" s="80" t="s">
        <v>10541</v>
      </c>
      <c r="AD2737" s="77" t="s">
        <v>10617</v>
      </c>
      <c r="AE2737" s="83" t="str">
        <f>HYPERLINK("https://twitter.com/leiaflj/status/1681033883741978627")</f>
        <v>https://twitter.com/leiaflj/status/1681033883741978627</v>
      </c>
      <c r="AF2737" s="79">
        <v>45124.841249999998</v>
      </c>
      <c r="AG2737" s="85">
        <v>45124</v>
      </c>
      <c r="AH2737" s="80" t="s">
        <v>13027</v>
      </c>
      <c r="AI2737" s="77" t="b">
        <v>0</v>
      </c>
      <c r="AJ2737" s="77"/>
      <c r="AK2737" s="77"/>
      <c r="AL2737" s="77"/>
      <c r="AM2737" s="77"/>
      <c r="AN2737" s="77"/>
      <c r="AO2737" s="77"/>
      <c r="AP2737" s="77"/>
      <c r="AQ2737" s="77"/>
      <c r="AR2737" s="77"/>
      <c r="AS2737" s="77"/>
      <c r="AT2737" s="77"/>
      <c r="AU2737" s="77"/>
      <c r="AV2737" s="83" t="str">
        <f>HYPERLINK("https://pbs.twimg.com/profile_images/1620068456165933060/TShADQck_normal.jpg")</f>
        <v>https://pbs.twimg.com/profile_images/1620068456165933060/TShADQck_normal.jpg</v>
      </c>
      <c r="AW2737" s="80" t="s">
        <v>18507</v>
      </c>
      <c r="AX2737" s="80" t="s">
        <v>18507</v>
      </c>
      <c r="AY2737" s="77"/>
      <c r="AZ2737" s="80" t="s">
        <v>20380</v>
      </c>
      <c r="BA2737" s="80" t="s">
        <v>20380</v>
      </c>
      <c r="BB2737" s="80" t="s">
        <v>20380</v>
      </c>
      <c r="BC2737" s="80" t="s">
        <v>18507</v>
      </c>
      <c r="BD2737" s="80" t="s">
        <v>20944</v>
      </c>
      <c r="BE2737" s="77"/>
      <c r="BF2737" s="77"/>
      <c r="BG2737" s="77"/>
      <c r="BH2737" s="77"/>
      <c r="BI2737" s="77"/>
    </row>
    <row r="2738" spans="1:61" x14ac:dyDescent="0.25">
      <c r="A2738" s="62" t="s">
        <v>1127</v>
      </c>
      <c r="B2738" s="62" t="s">
        <v>1127</v>
      </c>
      <c r="C2738" s="63"/>
      <c r="D2738" s="64"/>
      <c r="E2738" s="65"/>
      <c r="F2738" s="66"/>
      <c r="G2738" s="63"/>
      <c r="H2738" s="67"/>
      <c r="I2738" s="68"/>
      <c r="J2738" s="68"/>
      <c r="K2738" s="32"/>
      <c r="L2738" s="75">
        <v>2738</v>
      </c>
      <c r="M2738" s="75"/>
      <c r="N2738" s="70"/>
      <c r="O2738" s="77" t="s">
        <v>179</v>
      </c>
      <c r="P2738" s="79">
        <v>45049.911747685182</v>
      </c>
      <c r="Q2738" s="77" t="s">
        <v>4496</v>
      </c>
      <c r="R2738" s="77">
        <v>0</v>
      </c>
      <c r="S2738" s="77">
        <v>3</v>
      </c>
      <c r="T2738" s="77">
        <v>0</v>
      </c>
      <c r="U2738" s="77">
        <v>0</v>
      </c>
      <c r="V2738" s="77">
        <v>152</v>
      </c>
      <c r="W2738" s="80" t="s">
        <v>7617</v>
      </c>
      <c r="X2738" s="83" t="str">
        <f>HYPERLINK("https://flj.com.br/noticia/banco-central-mantem-selic")</f>
        <v>https://flj.com.br/noticia/banco-central-mantem-selic</v>
      </c>
      <c r="Y2738" s="77" t="s">
        <v>8611</v>
      </c>
      <c r="Z2738" s="77"/>
      <c r="AA2738" s="77"/>
      <c r="AB2738" s="77"/>
      <c r="AC2738" s="80" t="s">
        <v>10541</v>
      </c>
      <c r="AD2738" s="77" t="s">
        <v>10619</v>
      </c>
      <c r="AE2738" s="83" t="str">
        <f>HYPERLINK("https://twitter.com/leiaflj/status/1653880341399044096")</f>
        <v>https://twitter.com/leiaflj/status/1653880341399044096</v>
      </c>
      <c r="AF2738" s="79">
        <v>45049.911747685182</v>
      </c>
      <c r="AG2738" s="85">
        <v>45049</v>
      </c>
      <c r="AH2738" s="80" t="s">
        <v>13028</v>
      </c>
      <c r="AI2738" s="77" t="b">
        <v>0</v>
      </c>
      <c r="AJ2738" s="77"/>
      <c r="AK2738" s="77"/>
      <c r="AL2738" s="77"/>
      <c r="AM2738" s="77"/>
      <c r="AN2738" s="77"/>
      <c r="AO2738" s="77"/>
      <c r="AP2738" s="77"/>
      <c r="AQ2738" s="77"/>
      <c r="AR2738" s="77"/>
      <c r="AS2738" s="77"/>
      <c r="AT2738" s="77"/>
      <c r="AU2738" s="77"/>
      <c r="AV2738" s="83" t="str">
        <f>HYPERLINK("https://pbs.twimg.com/profile_images/1620068456165933060/TShADQck_normal.jpg")</f>
        <v>https://pbs.twimg.com/profile_images/1620068456165933060/TShADQck_normal.jpg</v>
      </c>
      <c r="AW2738" s="80" t="s">
        <v>18508</v>
      </c>
      <c r="AX2738" s="80" t="s">
        <v>18508</v>
      </c>
      <c r="AY2738" s="77"/>
      <c r="AZ2738" s="80" t="s">
        <v>20380</v>
      </c>
      <c r="BA2738" s="80" t="s">
        <v>20380</v>
      </c>
      <c r="BB2738" s="80" t="s">
        <v>20380</v>
      </c>
      <c r="BC2738" s="80" t="s">
        <v>18508</v>
      </c>
      <c r="BD2738" s="80" t="s">
        <v>20944</v>
      </c>
      <c r="BE2738" s="77"/>
      <c r="BF2738" s="77"/>
      <c r="BG2738" s="77"/>
      <c r="BH2738" s="77"/>
      <c r="BI2738" s="77"/>
    </row>
    <row r="2739" spans="1:61" x14ac:dyDescent="0.25">
      <c r="A2739" s="62" t="s">
        <v>1127</v>
      </c>
      <c r="B2739" s="62" t="s">
        <v>1127</v>
      </c>
      <c r="C2739" s="63"/>
      <c r="D2739" s="64"/>
      <c r="E2739" s="65"/>
      <c r="F2739" s="66"/>
      <c r="G2739" s="63"/>
      <c r="H2739" s="67"/>
      <c r="I2739" s="68"/>
      <c r="J2739" s="68"/>
      <c r="K2739" s="32"/>
      <c r="L2739" s="75">
        <v>2739</v>
      </c>
      <c r="M2739" s="75"/>
      <c r="N2739" s="70"/>
      <c r="O2739" s="77" t="s">
        <v>179</v>
      </c>
      <c r="P2739" s="79">
        <v>45174.795381944445</v>
      </c>
      <c r="Q2739" s="77" t="s">
        <v>4497</v>
      </c>
      <c r="R2739" s="77">
        <v>0</v>
      </c>
      <c r="S2739" s="77">
        <v>2</v>
      </c>
      <c r="T2739" s="77">
        <v>0</v>
      </c>
      <c r="U2739" s="77">
        <v>0</v>
      </c>
      <c r="V2739" s="77">
        <v>107</v>
      </c>
      <c r="W2739" s="80" t="s">
        <v>7618</v>
      </c>
      <c r="X2739" s="83" t="str">
        <f>HYPERLINK("http://flj.com.br/noticia/guardado-bc-surpresa-altista-do-pib-deve-influenciar-hiato-da-atividade-economica")</f>
        <v>http://flj.com.br/noticia/guardado-bc-surpresa-altista-do-pib-deve-influenciar-hiato-da-atividade-economica</v>
      </c>
      <c r="Y2739" s="77" t="s">
        <v>8611</v>
      </c>
      <c r="Z2739" s="77"/>
      <c r="AA2739" s="77"/>
      <c r="AB2739" s="77"/>
      <c r="AC2739" s="80" t="s">
        <v>10541</v>
      </c>
      <c r="AD2739" s="77" t="s">
        <v>10617</v>
      </c>
      <c r="AE2739" s="83" t="str">
        <f>HYPERLINK("https://twitter.com/leiaflj/status/1699136654546514086")</f>
        <v>https://twitter.com/leiaflj/status/1699136654546514086</v>
      </c>
      <c r="AF2739" s="79">
        <v>45174.795381944445</v>
      </c>
      <c r="AG2739" s="85">
        <v>45174</v>
      </c>
      <c r="AH2739" s="80" t="s">
        <v>13029</v>
      </c>
      <c r="AI2739" s="77" t="b">
        <v>0</v>
      </c>
      <c r="AJ2739" s="77"/>
      <c r="AK2739" s="77"/>
      <c r="AL2739" s="77"/>
      <c r="AM2739" s="77"/>
      <c r="AN2739" s="77"/>
      <c r="AO2739" s="77"/>
      <c r="AP2739" s="77"/>
      <c r="AQ2739" s="77"/>
      <c r="AR2739" s="77"/>
      <c r="AS2739" s="77"/>
      <c r="AT2739" s="77"/>
      <c r="AU2739" s="77"/>
      <c r="AV2739" s="83" t="str">
        <f>HYPERLINK("https://pbs.twimg.com/profile_images/1620068456165933060/TShADQck_normal.jpg")</f>
        <v>https://pbs.twimg.com/profile_images/1620068456165933060/TShADQck_normal.jpg</v>
      </c>
      <c r="AW2739" s="80" t="s">
        <v>18509</v>
      </c>
      <c r="AX2739" s="80" t="s">
        <v>18509</v>
      </c>
      <c r="AY2739" s="77"/>
      <c r="AZ2739" s="80" t="s">
        <v>20380</v>
      </c>
      <c r="BA2739" s="80" t="s">
        <v>20380</v>
      </c>
      <c r="BB2739" s="80" t="s">
        <v>20380</v>
      </c>
      <c r="BC2739" s="80" t="s">
        <v>18509</v>
      </c>
      <c r="BD2739" s="80" t="s">
        <v>20944</v>
      </c>
      <c r="BE2739" s="77"/>
      <c r="BF2739" s="77"/>
      <c r="BG2739" s="77"/>
      <c r="BH2739" s="77"/>
      <c r="BI2739" s="77"/>
    </row>
    <row r="2740" spans="1:61" x14ac:dyDescent="0.25">
      <c r="A2740" s="62" t="s">
        <v>1127</v>
      </c>
      <c r="B2740" s="62" t="s">
        <v>1127</v>
      </c>
      <c r="C2740" s="63"/>
      <c r="D2740" s="64"/>
      <c r="E2740" s="65"/>
      <c r="F2740" s="66"/>
      <c r="G2740" s="63"/>
      <c r="H2740" s="67"/>
      <c r="I2740" s="68"/>
      <c r="J2740" s="68"/>
      <c r="K2740" s="32"/>
      <c r="L2740" s="75">
        <v>2740</v>
      </c>
      <c r="M2740" s="75"/>
      <c r="N2740" s="70"/>
      <c r="O2740" s="77" t="s">
        <v>179</v>
      </c>
      <c r="P2740" s="79">
        <v>45173.837500000001</v>
      </c>
      <c r="Q2740" s="77" t="s">
        <v>4498</v>
      </c>
      <c r="R2740" s="77">
        <v>0</v>
      </c>
      <c r="S2740" s="77">
        <v>1</v>
      </c>
      <c r="T2740" s="77">
        <v>0</v>
      </c>
      <c r="U2740" s="77">
        <v>0</v>
      </c>
      <c r="V2740" s="77">
        <v>158</v>
      </c>
      <c r="W2740" s="80" t="s">
        <v>7619</v>
      </c>
      <c r="X2740" s="83" t="str">
        <f>HYPERLINK("http://flj.com.br/noticia/reformas-economicas-podem-explicar-surpresas-positivas-no-pib-brasileiro-diz-campos-neto")</f>
        <v>http://flj.com.br/noticia/reformas-economicas-podem-explicar-surpresas-positivas-no-pib-brasileiro-diz-campos-neto</v>
      </c>
      <c r="Y2740" s="77" t="s">
        <v>8611</v>
      </c>
      <c r="Z2740" s="77"/>
      <c r="AA2740" s="77"/>
      <c r="AB2740" s="77"/>
      <c r="AC2740" s="80" t="s">
        <v>10541</v>
      </c>
      <c r="AD2740" s="77" t="s">
        <v>10617</v>
      </c>
      <c r="AE2740" s="83" t="str">
        <f>HYPERLINK("https://twitter.com/leiaflj/status/1698789528423575756")</f>
        <v>https://twitter.com/leiaflj/status/1698789528423575756</v>
      </c>
      <c r="AF2740" s="79">
        <v>45173.837500000001</v>
      </c>
      <c r="AG2740" s="85">
        <v>45173</v>
      </c>
      <c r="AH2740" s="80" t="s">
        <v>13030</v>
      </c>
      <c r="AI2740" s="77" t="b">
        <v>0</v>
      </c>
      <c r="AJ2740" s="77"/>
      <c r="AK2740" s="77"/>
      <c r="AL2740" s="77"/>
      <c r="AM2740" s="77"/>
      <c r="AN2740" s="77"/>
      <c r="AO2740" s="77"/>
      <c r="AP2740" s="77"/>
      <c r="AQ2740" s="77"/>
      <c r="AR2740" s="77"/>
      <c r="AS2740" s="77"/>
      <c r="AT2740" s="77"/>
      <c r="AU2740" s="77"/>
      <c r="AV2740" s="83" t="str">
        <f>HYPERLINK("https://pbs.twimg.com/profile_images/1620068456165933060/TShADQck_normal.jpg")</f>
        <v>https://pbs.twimg.com/profile_images/1620068456165933060/TShADQck_normal.jpg</v>
      </c>
      <c r="AW2740" s="80" t="s">
        <v>18510</v>
      </c>
      <c r="AX2740" s="80" t="s">
        <v>18510</v>
      </c>
      <c r="AY2740" s="77"/>
      <c r="AZ2740" s="80" t="s">
        <v>20380</v>
      </c>
      <c r="BA2740" s="80" t="s">
        <v>20380</v>
      </c>
      <c r="BB2740" s="80" t="s">
        <v>20380</v>
      </c>
      <c r="BC2740" s="80" t="s">
        <v>18510</v>
      </c>
      <c r="BD2740" s="80" t="s">
        <v>20944</v>
      </c>
      <c r="BE2740" s="77"/>
      <c r="BF2740" s="77"/>
      <c r="BG2740" s="77"/>
      <c r="BH2740" s="77"/>
      <c r="BI2740" s="77"/>
    </row>
    <row r="2741" spans="1:61" x14ac:dyDescent="0.25">
      <c r="A2741" s="62" t="s">
        <v>1127</v>
      </c>
      <c r="B2741" s="62" t="s">
        <v>1127</v>
      </c>
      <c r="C2741" s="63"/>
      <c r="D2741" s="64"/>
      <c r="E2741" s="65"/>
      <c r="F2741" s="66"/>
      <c r="G2741" s="63"/>
      <c r="H2741" s="67"/>
      <c r="I2741" s="68"/>
      <c r="J2741" s="68"/>
      <c r="K2741" s="32"/>
      <c r="L2741" s="75">
        <v>2741</v>
      </c>
      <c r="M2741" s="75"/>
      <c r="N2741" s="70"/>
      <c r="O2741" s="77" t="s">
        <v>179</v>
      </c>
      <c r="P2741" s="79">
        <v>45160.736446759256</v>
      </c>
      <c r="Q2741" s="77" t="s">
        <v>4499</v>
      </c>
      <c r="R2741" s="77">
        <v>1</v>
      </c>
      <c r="S2741" s="77">
        <v>1</v>
      </c>
      <c r="T2741" s="77">
        <v>0</v>
      </c>
      <c r="U2741" s="77">
        <v>0</v>
      </c>
      <c r="V2741" s="77">
        <v>118</v>
      </c>
      <c r="W2741" s="80" t="s">
        <v>7620</v>
      </c>
      <c r="X2741" s="83" t="str">
        <f>HYPERLINK("https://flj.com.br/noticia/bc-tem-espaco-para-cortar-juros-mantendo-condicoes-restritivas-diz-galipolo")</f>
        <v>https://flj.com.br/noticia/bc-tem-espaco-para-cortar-juros-mantendo-condicoes-restritivas-diz-galipolo</v>
      </c>
      <c r="Y2741" s="77" t="s">
        <v>8611</v>
      </c>
      <c r="Z2741" s="77"/>
      <c r="AA2741" s="77"/>
      <c r="AB2741" s="77"/>
      <c r="AC2741" s="80" t="s">
        <v>10541</v>
      </c>
      <c r="AD2741" s="77" t="s">
        <v>10617</v>
      </c>
      <c r="AE2741" s="83" t="str">
        <f>HYPERLINK("https://twitter.com/leiaflj/status/1694041867640324605")</f>
        <v>https://twitter.com/leiaflj/status/1694041867640324605</v>
      </c>
      <c r="AF2741" s="79">
        <v>45160.736446759256</v>
      </c>
      <c r="AG2741" s="85">
        <v>45160</v>
      </c>
      <c r="AH2741" s="80" t="s">
        <v>13031</v>
      </c>
      <c r="AI2741" s="77" t="b">
        <v>0</v>
      </c>
      <c r="AJ2741" s="77"/>
      <c r="AK2741" s="77"/>
      <c r="AL2741" s="77"/>
      <c r="AM2741" s="77"/>
      <c r="AN2741" s="77"/>
      <c r="AO2741" s="77"/>
      <c r="AP2741" s="77"/>
      <c r="AQ2741" s="77"/>
      <c r="AR2741" s="77"/>
      <c r="AS2741" s="77"/>
      <c r="AT2741" s="77"/>
      <c r="AU2741" s="77"/>
      <c r="AV2741" s="83" t="str">
        <f>HYPERLINK("https://pbs.twimg.com/profile_images/1620068456165933060/TShADQck_normal.jpg")</f>
        <v>https://pbs.twimg.com/profile_images/1620068456165933060/TShADQck_normal.jpg</v>
      </c>
      <c r="AW2741" s="80" t="s">
        <v>18511</v>
      </c>
      <c r="AX2741" s="80" t="s">
        <v>18511</v>
      </c>
      <c r="AY2741" s="77"/>
      <c r="AZ2741" s="80" t="s">
        <v>20380</v>
      </c>
      <c r="BA2741" s="80" t="s">
        <v>20380</v>
      </c>
      <c r="BB2741" s="80" t="s">
        <v>20380</v>
      </c>
      <c r="BC2741" s="80" t="s">
        <v>18511</v>
      </c>
      <c r="BD2741" s="80" t="s">
        <v>20944</v>
      </c>
      <c r="BE2741" s="77"/>
      <c r="BF2741" s="77"/>
      <c r="BG2741" s="77"/>
      <c r="BH2741" s="77"/>
      <c r="BI2741" s="77"/>
    </row>
    <row r="2742" spans="1:61" x14ac:dyDescent="0.25">
      <c r="A2742" s="62" t="s">
        <v>1127</v>
      </c>
      <c r="B2742" s="62" t="s">
        <v>1127</v>
      </c>
      <c r="C2742" s="63"/>
      <c r="D2742" s="64"/>
      <c r="E2742" s="65"/>
      <c r="F2742" s="66"/>
      <c r="G2742" s="63"/>
      <c r="H2742" s="67"/>
      <c r="I2742" s="68"/>
      <c r="J2742" s="68"/>
      <c r="K2742" s="32"/>
      <c r="L2742" s="75">
        <v>2742</v>
      </c>
      <c r="M2742" s="75"/>
      <c r="N2742" s="70"/>
      <c r="O2742" s="77" t="s">
        <v>179</v>
      </c>
      <c r="P2742" s="79">
        <v>45152.528622685182</v>
      </c>
      <c r="Q2742" s="77" t="s">
        <v>4500</v>
      </c>
      <c r="R2742" s="77">
        <v>0</v>
      </c>
      <c r="S2742" s="77">
        <v>1</v>
      </c>
      <c r="T2742" s="77">
        <v>1</v>
      </c>
      <c r="U2742" s="77">
        <v>0</v>
      </c>
      <c r="V2742" s="77">
        <v>197</v>
      </c>
      <c r="W2742" s="80" t="s">
        <v>7621</v>
      </c>
      <c r="X2742" s="83" t="str">
        <f>HYPERLINK("https://flj.com.br/noticia/previa-do-pib-ibc-br-sobe-0-63-em-junho-diz-banco-central")</f>
        <v>https://flj.com.br/noticia/previa-do-pib-ibc-br-sobe-0-63-em-junho-diz-banco-central</v>
      </c>
      <c r="Y2742" s="77" t="s">
        <v>8611</v>
      </c>
      <c r="Z2742" s="77"/>
      <c r="AA2742" s="77"/>
      <c r="AB2742" s="77"/>
      <c r="AC2742" s="80" t="s">
        <v>10541</v>
      </c>
      <c r="AD2742" s="77" t="s">
        <v>10617</v>
      </c>
      <c r="AE2742" s="83" t="str">
        <f>HYPERLINK("https://twitter.com/leiaflj/status/1691067451016900608")</f>
        <v>https://twitter.com/leiaflj/status/1691067451016900608</v>
      </c>
      <c r="AF2742" s="79">
        <v>45152.528622685182</v>
      </c>
      <c r="AG2742" s="85">
        <v>45152</v>
      </c>
      <c r="AH2742" s="80" t="s">
        <v>13032</v>
      </c>
      <c r="AI2742" s="77" t="b">
        <v>0</v>
      </c>
      <c r="AJ2742" s="77"/>
      <c r="AK2742" s="77"/>
      <c r="AL2742" s="77"/>
      <c r="AM2742" s="77"/>
      <c r="AN2742" s="77"/>
      <c r="AO2742" s="77"/>
      <c r="AP2742" s="77"/>
      <c r="AQ2742" s="77"/>
      <c r="AR2742" s="77"/>
      <c r="AS2742" s="77"/>
      <c r="AT2742" s="77"/>
      <c r="AU2742" s="77"/>
      <c r="AV2742" s="83" t="str">
        <f>HYPERLINK("https://pbs.twimg.com/profile_images/1620068456165933060/TShADQck_normal.jpg")</f>
        <v>https://pbs.twimg.com/profile_images/1620068456165933060/TShADQck_normal.jpg</v>
      </c>
      <c r="AW2742" s="80" t="s">
        <v>18512</v>
      </c>
      <c r="AX2742" s="80" t="s">
        <v>18512</v>
      </c>
      <c r="AY2742" s="77"/>
      <c r="AZ2742" s="80" t="s">
        <v>20380</v>
      </c>
      <c r="BA2742" s="80" t="s">
        <v>20380</v>
      </c>
      <c r="BB2742" s="80" t="s">
        <v>20380</v>
      </c>
      <c r="BC2742" s="80" t="s">
        <v>18512</v>
      </c>
      <c r="BD2742" s="80" t="s">
        <v>20944</v>
      </c>
      <c r="BE2742" s="77"/>
      <c r="BF2742" s="77"/>
      <c r="BG2742" s="77"/>
      <c r="BH2742" s="77"/>
      <c r="BI2742" s="77"/>
    </row>
    <row r="2743" spans="1:61" x14ac:dyDescent="0.25">
      <c r="A2743" s="62" t="s">
        <v>1127</v>
      </c>
      <c r="B2743" s="62" t="s">
        <v>1127</v>
      </c>
      <c r="C2743" s="63"/>
      <c r="D2743" s="64"/>
      <c r="E2743" s="65"/>
      <c r="F2743" s="66"/>
      <c r="G2743" s="63"/>
      <c r="H2743" s="67"/>
      <c r="I2743" s="68"/>
      <c r="J2743" s="68"/>
      <c r="K2743" s="32"/>
      <c r="L2743" s="75">
        <v>2743</v>
      </c>
      <c r="M2743" s="75"/>
      <c r="N2743" s="70"/>
      <c r="O2743" s="77" t="s">
        <v>179</v>
      </c>
      <c r="P2743" s="79">
        <v>45141.511770833335</v>
      </c>
      <c r="Q2743" s="77" t="s">
        <v>4501</v>
      </c>
      <c r="R2743" s="77">
        <v>0</v>
      </c>
      <c r="S2743" s="77">
        <v>0</v>
      </c>
      <c r="T2743" s="77">
        <v>0</v>
      </c>
      <c r="U2743" s="77">
        <v>0</v>
      </c>
      <c r="V2743" s="77">
        <v>116</v>
      </c>
      <c r="W2743" s="80" t="s">
        <v>7622</v>
      </c>
      <c r="X2743" s="83" t="str">
        <f>HYPERLINK("https://flj.com.br/noticia/bofa-ve-selic-a-1175-no-fim-de-2023-e-em-950-em-2024")</f>
        <v>https://flj.com.br/noticia/bofa-ve-selic-a-1175-no-fim-de-2023-e-em-950-em-2024</v>
      </c>
      <c r="Y2743" s="77" t="s">
        <v>8611</v>
      </c>
      <c r="Z2743" s="77"/>
      <c r="AA2743" s="77"/>
      <c r="AB2743" s="77"/>
      <c r="AC2743" s="80" t="s">
        <v>10541</v>
      </c>
      <c r="AD2743" s="77" t="s">
        <v>10617</v>
      </c>
      <c r="AE2743" s="83" t="str">
        <f>HYPERLINK("https://twitter.com/leiaflj/status/1687075079664848896")</f>
        <v>https://twitter.com/leiaflj/status/1687075079664848896</v>
      </c>
      <c r="AF2743" s="79">
        <v>45141.511770833335</v>
      </c>
      <c r="AG2743" s="85">
        <v>45141</v>
      </c>
      <c r="AH2743" s="80" t="s">
        <v>12669</v>
      </c>
      <c r="AI2743" s="77" t="b">
        <v>0</v>
      </c>
      <c r="AJ2743" s="77"/>
      <c r="AK2743" s="77"/>
      <c r="AL2743" s="77"/>
      <c r="AM2743" s="77"/>
      <c r="AN2743" s="77"/>
      <c r="AO2743" s="77"/>
      <c r="AP2743" s="77"/>
      <c r="AQ2743" s="77"/>
      <c r="AR2743" s="77"/>
      <c r="AS2743" s="77"/>
      <c r="AT2743" s="77"/>
      <c r="AU2743" s="77"/>
      <c r="AV2743" s="83" t="str">
        <f>HYPERLINK("https://pbs.twimg.com/profile_images/1620068456165933060/TShADQck_normal.jpg")</f>
        <v>https://pbs.twimg.com/profile_images/1620068456165933060/TShADQck_normal.jpg</v>
      </c>
      <c r="AW2743" s="80" t="s">
        <v>18513</v>
      </c>
      <c r="AX2743" s="80" t="s">
        <v>18513</v>
      </c>
      <c r="AY2743" s="77"/>
      <c r="AZ2743" s="80" t="s">
        <v>20380</v>
      </c>
      <c r="BA2743" s="80" t="s">
        <v>20380</v>
      </c>
      <c r="BB2743" s="80" t="s">
        <v>20380</v>
      </c>
      <c r="BC2743" s="80" t="s">
        <v>18513</v>
      </c>
      <c r="BD2743" s="80" t="s">
        <v>20944</v>
      </c>
      <c r="BE2743" s="77"/>
      <c r="BF2743" s="77"/>
      <c r="BG2743" s="77"/>
      <c r="BH2743" s="77"/>
      <c r="BI2743" s="77"/>
    </row>
    <row r="2744" spans="1:61" x14ac:dyDescent="0.25">
      <c r="A2744" s="62" t="s">
        <v>1127</v>
      </c>
      <c r="B2744" s="62" t="s">
        <v>1127</v>
      </c>
      <c r="C2744" s="63"/>
      <c r="D2744" s="64"/>
      <c r="E2744" s="65"/>
      <c r="F2744" s="66"/>
      <c r="G2744" s="63"/>
      <c r="H2744" s="67"/>
      <c r="I2744" s="68"/>
      <c r="J2744" s="68"/>
      <c r="K2744" s="32"/>
      <c r="L2744" s="75">
        <v>2744</v>
      </c>
      <c r="M2744" s="75"/>
      <c r="N2744" s="70"/>
      <c r="O2744" s="77" t="s">
        <v>179</v>
      </c>
      <c r="P2744" s="79">
        <v>45188.506828703707</v>
      </c>
      <c r="Q2744" s="77" t="s">
        <v>4502</v>
      </c>
      <c r="R2744" s="77">
        <v>0</v>
      </c>
      <c r="S2744" s="77">
        <v>1</v>
      </c>
      <c r="T2744" s="77">
        <v>0</v>
      </c>
      <c r="U2744" s="77">
        <v>0</v>
      </c>
      <c r="V2744" s="77">
        <v>96</v>
      </c>
      <c r="W2744" s="80" t="s">
        <v>7623</v>
      </c>
      <c r="X2744" s="83" t="str">
        <f>HYPERLINK("https://flj.com.br/noticia/previa-do-pib-tem-alta-de-0-44-em-julho-diz-banco-central")</f>
        <v>https://flj.com.br/noticia/previa-do-pib-tem-alta-de-0-44-em-julho-diz-banco-central</v>
      </c>
      <c r="Y2744" s="77" t="s">
        <v>8611</v>
      </c>
      <c r="Z2744" s="77"/>
      <c r="AA2744" s="77"/>
      <c r="AB2744" s="77"/>
      <c r="AC2744" s="80" t="s">
        <v>10541</v>
      </c>
      <c r="AD2744" s="77" t="s">
        <v>10617</v>
      </c>
      <c r="AE2744" s="83" t="str">
        <f>HYPERLINK("https://twitter.com/leiaflj/status/1704105515607785592")</f>
        <v>https://twitter.com/leiaflj/status/1704105515607785592</v>
      </c>
      <c r="AF2744" s="79">
        <v>45188.506828703707</v>
      </c>
      <c r="AG2744" s="85">
        <v>45188</v>
      </c>
      <c r="AH2744" s="80" t="s">
        <v>13033</v>
      </c>
      <c r="AI2744" s="77" t="b">
        <v>0</v>
      </c>
      <c r="AJ2744" s="77"/>
      <c r="AK2744" s="77"/>
      <c r="AL2744" s="77"/>
      <c r="AM2744" s="77"/>
      <c r="AN2744" s="77"/>
      <c r="AO2744" s="77"/>
      <c r="AP2744" s="77"/>
      <c r="AQ2744" s="77"/>
      <c r="AR2744" s="77"/>
      <c r="AS2744" s="77"/>
      <c r="AT2744" s="77"/>
      <c r="AU2744" s="77"/>
      <c r="AV2744" s="83" t="str">
        <f>HYPERLINK("https://pbs.twimg.com/profile_images/1620068456165933060/TShADQck_normal.jpg")</f>
        <v>https://pbs.twimg.com/profile_images/1620068456165933060/TShADQck_normal.jpg</v>
      </c>
      <c r="AW2744" s="80" t="s">
        <v>18514</v>
      </c>
      <c r="AX2744" s="80" t="s">
        <v>18514</v>
      </c>
      <c r="AY2744" s="77"/>
      <c r="AZ2744" s="80" t="s">
        <v>20380</v>
      </c>
      <c r="BA2744" s="80" t="s">
        <v>20380</v>
      </c>
      <c r="BB2744" s="80" t="s">
        <v>20380</v>
      </c>
      <c r="BC2744" s="80" t="s">
        <v>18514</v>
      </c>
      <c r="BD2744" s="80" t="s">
        <v>20944</v>
      </c>
      <c r="BE2744" s="77"/>
      <c r="BF2744" s="77"/>
      <c r="BG2744" s="77"/>
      <c r="BH2744" s="77"/>
      <c r="BI2744" s="77"/>
    </row>
    <row r="2745" spans="1:61" x14ac:dyDescent="0.25">
      <c r="A2745" s="62" t="s">
        <v>1127</v>
      </c>
      <c r="B2745" s="62" t="s">
        <v>1127</v>
      </c>
      <c r="C2745" s="63"/>
      <c r="D2745" s="64"/>
      <c r="E2745" s="65"/>
      <c r="F2745" s="66"/>
      <c r="G2745" s="63"/>
      <c r="H2745" s="67"/>
      <c r="I2745" s="68"/>
      <c r="J2745" s="68"/>
      <c r="K2745" s="32"/>
      <c r="L2745" s="75">
        <v>2745</v>
      </c>
      <c r="M2745" s="75"/>
      <c r="N2745" s="70"/>
      <c r="O2745" s="77" t="s">
        <v>179</v>
      </c>
      <c r="P2745" s="79">
        <v>45126.992812500001</v>
      </c>
      <c r="Q2745" s="77" t="s">
        <v>4503</v>
      </c>
      <c r="R2745" s="77">
        <v>0</v>
      </c>
      <c r="S2745" s="77">
        <v>0</v>
      </c>
      <c r="T2745" s="77">
        <v>0</v>
      </c>
      <c r="U2745" s="77">
        <v>0</v>
      </c>
      <c r="V2745" s="77">
        <v>117</v>
      </c>
      <c r="W2745" s="80" t="s">
        <v>7624</v>
      </c>
      <c r="X2745" s="83" t="str">
        <f>HYPERLINK("http://flj.com.br/noticia/galipolo-sera-ponte-muito-importante-entre-fazenda-e-bc-diz-haddad")</f>
        <v>http://flj.com.br/noticia/galipolo-sera-ponte-muito-importante-entre-fazenda-e-bc-diz-haddad</v>
      </c>
      <c r="Y2745" s="77" t="s">
        <v>8611</v>
      </c>
      <c r="Z2745" s="77"/>
      <c r="AA2745" s="77"/>
      <c r="AB2745" s="77"/>
      <c r="AC2745" s="80" t="s">
        <v>10541</v>
      </c>
      <c r="AD2745" s="77" t="s">
        <v>10617</v>
      </c>
      <c r="AE2745" s="83" t="str">
        <f>HYPERLINK("https://twitter.com/leiaflj/status/1681813584534183938")</f>
        <v>https://twitter.com/leiaflj/status/1681813584534183938</v>
      </c>
      <c r="AF2745" s="79">
        <v>45126.992812500001</v>
      </c>
      <c r="AG2745" s="85">
        <v>45126</v>
      </c>
      <c r="AH2745" s="80" t="s">
        <v>13034</v>
      </c>
      <c r="AI2745" s="77" t="b">
        <v>0</v>
      </c>
      <c r="AJ2745" s="77"/>
      <c r="AK2745" s="77"/>
      <c r="AL2745" s="77"/>
      <c r="AM2745" s="77"/>
      <c r="AN2745" s="77"/>
      <c r="AO2745" s="77"/>
      <c r="AP2745" s="77"/>
      <c r="AQ2745" s="77"/>
      <c r="AR2745" s="77"/>
      <c r="AS2745" s="77"/>
      <c r="AT2745" s="77"/>
      <c r="AU2745" s="77"/>
      <c r="AV2745" s="83" t="str">
        <f>HYPERLINK("https://pbs.twimg.com/profile_images/1620068456165933060/TShADQck_normal.jpg")</f>
        <v>https://pbs.twimg.com/profile_images/1620068456165933060/TShADQck_normal.jpg</v>
      </c>
      <c r="AW2745" s="80" t="s">
        <v>18515</v>
      </c>
      <c r="AX2745" s="80" t="s">
        <v>18515</v>
      </c>
      <c r="AY2745" s="77"/>
      <c r="AZ2745" s="80" t="s">
        <v>20380</v>
      </c>
      <c r="BA2745" s="80" t="s">
        <v>20380</v>
      </c>
      <c r="BB2745" s="80" t="s">
        <v>20380</v>
      </c>
      <c r="BC2745" s="80" t="s">
        <v>18515</v>
      </c>
      <c r="BD2745" s="80" t="s">
        <v>20944</v>
      </c>
      <c r="BE2745" s="77"/>
      <c r="BF2745" s="77"/>
      <c r="BG2745" s="77"/>
      <c r="BH2745" s="77"/>
      <c r="BI2745" s="77"/>
    </row>
    <row r="2746" spans="1:61" x14ac:dyDescent="0.25">
      <c r="A2746" s="62" t="s">
        <v>1127</v>
      </c>
      <c r="B2746" s="62" t="s">
        <v>1127</v>
      </c>
      <c r="C2746" s="63"/>
      <c r="D2746" s="64"/>
      <c r="E2746" s="65"/>
      <c r="F2746" s="66"/>
      <c r="G2746" s="63"/>
      <c r="H2746" s="67"/>
      <c r="I2746" s="68"/>
      <c r="J2746" s="68"/>
      <c r="K2746" s="32"/>
      <c r="L2746" s="75">
        <v>2746</v>
      </c>
      <c r="M2746" s="75"/>
      <c r="N2746" s="70"/>
      <c r="O2746" s="77" t="s">
        <v>179</v>
      </c>
      <c r="P2746" s="79">
        <v>45126.992083333331</v>
      </c>
      <c r="Q2746" s="77" t="s">
        <v>4504</v>
      </c>
      <c r="R2746" s="77">
        <v>0</v>
      </c>
      <c r="S2746" s="77">
        <v>0</v>
      </c>
      <c r="T2746" s="77">
        <v>0</v>
      </c>
      <c r="U2746" s="77">
        <v>0</v>
      </c>
      <c r="V2746" s="77">
        <v>146</v>
      </c>
      <c r="W2746" s="80" t="s">
        <v>7625</v>
      </c>
      <c r="X2746" s="83" t="str">
        <f>HYPERLINK("http://flj.com.br/noticia/nao-existe-e-jamais-existira-censura-a-livre-manifestacao-de-diretores-diz-bc")</f>
        <v>http://flj.com.br/noticia/nao-existe-e-jamais-existira-censura-a-livre-manifestacao-de-diretores-diz-bc</v>
      </c>
      <c r="Y2746" s="77" t="s">
        <v>8611</v>
      </c>
      <c r="Z2746" s="77"/>
      <c r="AA2746" s="77"/>
      <c r="AB2746" s="77"/>
      <c r="AC2746" s="80" t="s">
        <v>10541</v>
      </c>
      <c r="AD2746" s="77" t="s">
        <v>10617</v>
      </c>
      <c r="AE2746" s="83" t="str">
        <f>HYPERLINK("https://twitter.com/leiaflj/status/1681813320465100801")</f>
        <v>https://twitter.com/leiaflj/status/1681813320465100801</v>
      </c>
      <c r="AF2746" s="79">
        <v>45126.992083333331</v>
      </c>
      <c r="AG2746" s="85">
        <v>45126</v>
      </c>
      <c r="AH2746" s="80" t="s">
        <v>13035</v>
      </c>
      <c r="AI2746" s="77" t="b">
        <v>0</v>
      </c>
      <c r="AJ2746" s="77"/>
      <c r="AK2746" s="77"/>
      <c r="AL2746" s="77"/>
      <c r="AM2746" s="77"/>
      <c r="AN2746" s="77"/>
      <c r="AO2746" s="77"/>
      <c r="AP2746" s="77"/>
      <c r="AQ2746" s="77"/>
      <c r="AR2746" s="77"/>
      <c r="AS2746" s="77"/>
      <c r="AT2746" s="77"/>
      <c r="AU2746" s="77"/>
      <c r="AV2746" s="83" t="str">
        <f>HYPERLINK("https://pbs.twimg.com/profile_images/1620068456165933060/TShADQck_normal.jpg")</f>
        <v>https://pbs.twimg.com/profile_images/1620068456165933060/TShADQck_normal.jpg</v>
      </c>
      <c r="AW2746" s="80" t="s">
        <v>18516</v>
      </c>
      <c r="AX2746" s="80" t="s">
        <v>18516</v>
      </c>
      <c r="AY2746" s="77"/>
      <c r="AZ2746" s="80" t="s">
        <v>20380</v>
      </c>
      <c r="BA2746" s="80" t="s">
        <v>20380</v>
      </c>
      <c r="BB2746" s="80" t="s">
        <v>20380</v>
      </c>
      <c r="BC2746" s="80" t="s">
        <v>18516</v>
      </c>
      <c r="BD2746" s="80" t="s">
        <v>20944</v>
      </c>
      <c r="BE2746" s="77"/>
      <c r="BF2746" s="77"/>
      <c r="BG2746" s="77"/>
      <c r="BH2746" s="77"/>
      <c r="BI2746" s="77"/>
    </row>
    <row r="2747" spans="1:61" x14ac:dyDescent="0.25">
      <c r="A2747" s="62" t="s">
        <v>1127</v>
      </c>
      <c r="B2747" s="62" t="s">
        <v>1127</v>
      </c>
      <c r="C2747" s="63"/>
      <c r="D2747" s="64"/>
      <c r="E2747" s="65"/>
      <c r="F2747" s="66"/>
      <c r="G2747" s="63"/>
      <c r="H2747" s="67"/>
      <c r="I2747" s="68"/>
      <c r="J2747" s="68"/>
      <c r="K2747" s="32"/>
      <c r="L2747" s="75">
        <v>2747</v>
      </c>
      <c r="M2747" s="75"/>
      <c r="N2747" s="70"/>
      <c r="O2747" s="77" t="s">
        <v>179</v>
      </c>
      <c r="P2747" s="79">
        <v>45126.873611111114</v>
      </c>
      <c r="Q2747" s="77" t="s">
        <v>4505</v>
      </c>
      <c r="R2747" s="77">
        <v>0</v>
      </c>
      <c r="S2747" s="77">
        <v>0</v>
      </c>
      <c r="T2747" s="77">
        <v>0</v>
      </c>
      <c r="U2747" s="77">
        <v>0</v>
      </c>
      <c r="V2747" s="77">
        <v>92</v>
      </c>
      <c r="W2747" s="80" t="s">
        <v>7626</v>
      </c>
      <c r="X2747" s="83" t="str">
        <f>HYPERLINK("https://flj.com.br/noticia/secretario-de-politica-economica-diz-que-nao-ha-razao-tecnica-para-atual-patamar-da-selic")</f>
        <v>https://flj.com.br/noticia/secretario-de-politica-economica-diz-que-nao-ha-razao-tecnica-para-atual-patamar-da-selic</v>
      </c>
      <c r="Y2747" s="77" t="s">
        <v>8611</v>
      </c>
      <c r="Z2747" s="77"/>
      <c r="AA2747" s="77"/>
      <c r="AB2747" s="77"/>
      <c r="AC2747" s="80" t="s">
        <v>10541</v>
      </c>
      <c r="AD2747" s="77" t="s">
        <v>10617</v>
      </c>
      <c r="AE2747" s="83" t="str">
        <f>HYPERLINK("https://twitter.com/leiaflj/status/1681770384901783552")</f>
        <v>https://twitter.com/leiaflj/status/1681770384901783552</v>
      </c>
      <c r="AF2747" s="79">
        <v>45126.873611111114</v>
      </c>
      <c r="AG2747" s="85">
        <v>45126</v>
      </c>
      <c r="AH2747" s="80" t="s">
        <v>12541</v>
      </c>
      <c r="AI2747" s="77" t="b">
        <v>0</v>
      </c>
      <c r="AJ2747" s="77"/>
      <c r="AK2747" s="77"/>
      <c r="AL2747" s="77"/>
      <c r="AM2747" s="77"/>
      <c r="AN2747" s="77"/>
      <c r="AO2747" s="77"/>
      <c r="AP2747" s="77"/>
      <c r="AQ2747" s="77"/>
      <c r="AR2747" s="77"/>
      <c r="AS2747" s="77"/>
      <c r="AT2747" s="77"/>
      <c r="AU2747" s="77"/>
      <c r="AV2747" s="83" t="str">
        <f>HYPERLINK("https://pbs.twimg.com/profile_images/1620068456165933060/TShADQck_normal.jpg")</f>
        <v>https://pbs.twimg.com/profile_images/1620068456165933060/TShADQck_normal.jpg</v>
      </c>
      <c r="AW2747" s="80" t="s">
        <v>18517</v>
      </c>
      <c r="AX2747" s="80" t="s">
        <v>18517</v>
      </c>
      <c r="AY2747" s="77"/>
      <c r="AZ2747" s="80" t="s">
        <v>20380</v>
      </c>
      <c r="BA2747" s="80" t="s">
        <v>20380</v>
      </c>
      <c r="BB2747" s="80" t="s">
        <v>20380</v>
      </c>
      <c r="BC2747" s="80" t="s">
        <v>18517</v>
      </c>
      <c r="BD2747" s="80" t="s">
        <v>20944</v>
      </c>
      <c r="BE2747" s="77"/>
      <c r="BF2747" s="77"/>
      <c r="BG2747" s="77"/>
      <c r="BH2747" s="77"/>
      <c r="BI2747" s="77"/>
    </row>
    <row r="2748" spans="1:61" x14ac:dyDescent="0.25">
      <c r="A2748" s="62" t="s">
        <v>1127</v>
      </c>
      <c r="B2748" s="62" t="s">
        <v>1127</v>
      </c>
      <c r="C2748" s="63"/>
      <c r="D2748" s="64"/>
      <c r="E2748" s="65"/>
      <c r="F2748" s="66"/>
      <c r="G2748" s="63"/>
      <c r="H2748" s="67"/>
      <c r="I2748" s="68"/>
      <c r="J2748" s="68"/>
      <c r="K2748" s="32"/>
      <c r="L2748" s="75">
        <v>2748</v>
      </c>
      <c r="M2748" s="75"/>
      <c r="N2748" s="70"/>
      <c r="O2748" s="77" t="s">
        <v>179</v>
      </c>
      <c r="P2748" s="79">
        <v>45104.643969907411</v>
      </c>
      <c r="Q2748" s="77" t="s">
        <v>4506</v>
      </c>
      <c r="R2748" s="77">
        <v>0</v>
      </c>
      <c r="S2748" s="77">
        <v>0</v>
      </c>
      <c r="T2748" s="77">
        <v>0</v>
      </c>
      <c r="U2748" s="77">
        <v>0</v>
      </c>
      <c r="V2748" s="77">
        <v>105</v>
      </c>
      <c r="W2748" s="80" t="s">
        <v>7627</v>
      </c>
      <c r="X2748" s="83" t="str">
        <f>HYPERLINK("https://flj.com.br/noticia/ata-do-copom-mostra-que-harmonizacao-da-politica-monetaria-pode-acontecer-em-breve-diz-haddad")</f>
        <v>https://flj.com.br/noticia/ata-do-copom-mostra-que-harmonizacao-da-politica-monetaria-pode-acontecer-em-breve-diz-haddad</v>
      </c>
      <c r="Y2748" s="77" t="s">
        <v>8611</v>
      </c>
      <c r="Z2748" s="77"/>
      <c r="AA2748" s="77"/>
      <c r="AB2748" s="77"/>
      <c r="AC2748" s="80" t="s">
        <v>10541</v>
      </c>
      <c r="AD2748" s="77" t="s">
        <v>10617</v>
      </c>
      <c r="AE2748" s="83" t="str">
        <f>HYPERLINK("https://twitter.com/leiaflj/status/1673714634690293761")</f>
        <v>https://twitter.com/leiaflj/status/1673714634690293761</v>
      </c>
      <c r="AF2748" s="79">
        <v>45104.643969907411</v>
      </c>
      <c r="AG2748" s="85">
        <v>45104</v>
      </c>
      <c r="AH2748" s="80" t="s">
        <v>13036</v>
      </c>
      <c r="AI2748" s="77" t="b">
        <v>0</v>
      </c>
      <c r="AJ2748" s="77"/>
      <c r="AK2748" s="77"/>
      <c r="AL2748" s="77"/>
      <c r="AM2748" s="77"/>
      <c r="AN2748" s="77"/>
      <c r="AO2748" s="77"/>
      <c r="AP2748" s="77"/>
      <c r="AQ2748" s="77"/>
      <c r="AR2748" s="77"/>
      <c r="AS2748" s="77"/>
      <c r="AT2748" s="77"/>
      <c r="AU2748" s="77"/>
      <c r="AV2748" s="83" t="str">
        <f>HYPERLINK("https://pbs.twimg.com/profile_images/1620068456165933060/TShADQck_normal.jpg")</f>
        <v>https://pbs.twimg.com/profile_images/1620068456165933060/TShADQck_normal.jpg</v>
      </c>
      <c r="AW2748" s="80" t="s">
        <v>18518</v>
      </c>
      <c r="AX2748" s="80" t="s">
        <v>18518</v>
      </c>
      <c r="AY2748" s="77"/>
      <c r="AZ2748" s="80" t="s">
        <v>20380</v>
      </c>
      <c r="BA2748" s="80" t="s">
        <v>20380</v>
      </c>
      <c r="BB2748" s="80" t="s">
        <v>20380</v>
      </c>
      <c r="BC2748" s="80" t="s">
        <v>18518</v>
      </c>
      <c r="BD2748" s="80" t="s">
        <v>20944</v>
      </c>
      <c r="BE2748" s="77"/>
      <c r="BF2748" s="77"/>
      <c r="BG2748" s="77"/>
      <c r="BH2748" s="77"/>
      <c r="BI2748" s="77"/>
    </row>
    <row r="2749" spans="1:61" x14ac:dyDescent="0.25">
      <c r="A2749" s="62" t="s">
        <v>1127</v>
      </c>
      <c r="B2749" s="62" t="s">
        <v>1127</v>
      </c>
      <c r="C2749" s="63"/>
      <c r="D2749" s="64"/>
      <c r="E2749" s="65"/>
      <c r="F2749" s="66"/>
      <c r="G2749" s="63"/>
      <c r="H2749" s="67"/>
      <c r="I2749" s="68"/>
      <c r="J2749" s="68"/>
      <c r="K2749" s="32"/>
      <c r="L2749" s="75">
        <v>2749</v>
      </c>
      <c r="M2749" s="75"/>
      <c r="N2749" s="70"/>
      <c r="O2749" s="77" t="s">
        <v>179</v>
      </c>
      <c r="P2749" s="79">
        <v>45089.842361111114</v>
      </c>
      <c r="Q2749" s="77" t="s">
        <v>4507</v>
      </c>
      <c r="R2749" s="77">
        <v>0</v>
      </c>
      <c r="S2749" s="77">
        <v>0</v>
      </c>
      <c r="T2749" s="77">
        <v>0</v>
      </c>
      <c r="U2749" s="77">
        <v>0</v>
      </c>
      <c r="V2749" s="77">
        <v>111</v>
      </c>
      <c r="W2749" s="80" t="s">
        <v>7628</v>
      </c>
      <c r="X2749" s="83" t="str">
        <f>HYPERLINK("https://flj.com.br/noticia/juros-futuros-tem-tido-queda-relevante-o-que-abre-espaco-para-politica-monetaria-a-frente-diz-campos-neto")</f>
        <v>https://flj.com.br/noticia/juros-futuros-tem-tido-queda-relevante-o-que-abre-espaco-para-politica-monetaria-a-frente-diz-campos-neto</v>
      </c>
      <c r="Y2749" s="77" t="s">
        <v>8611</v>
      </c>
      <c r="Z2749" s="77"/>
      <c r="AA2749" s="77"/>
      <c r="AB2749" s="77"/>
      <c r="AC2749" s="80" t="s">
        <v>10541</v>
      </c>
      <c r="AD2749" s="77" t="s">
        <v>10617</v>
      </c>
      <c r="AE2749" s="83" t="str">
        <f>HYPERLINK("https://twitter.com/leiaflj/status/1668350709316608016")</f>
        <v>https://twitter.com/leiaflj/status/1668350709316608016</v>
      </c>
      <c r="AF2749" s="79">
        <v>45089.842361111114</v>
      </c>
      <c r="AG2749" s="85">
        <v>45089</v>
      </c>
      <c r="AH2749" s="80" t="s">
        <v>13037</v>
      </c>
      <c r="AI2749" s="77" t="b">
        <v>0</v>
      </c>
      <c r="AJ2749" s="77"/>
      <c r="AK2749" s="77"/>
      <c r="AL2749" s="77"/>
      <c r="AM2749" s="77"/>
      <c r="AN2749" s="77"/>
      <c r="AO2749" s="77"/>
      <c r="AP2749" s="77"/>
      <c r="AQ2749" s="77"/>
      <c r="AR2749" s="77"/>
      <c r="AS2749" s="77"/>
      <c r="AT2749" s="77"/>
      <c r="AU2749" s="77"/>
      <c r="AV2749" s="83" t="str">
        <f>HYPERLINK("https://pbs.twimg.com/profile_images/1620068456165933060/TShADQck_normal.jpg")</f>
        <v>https://pbs.twimg.com/profile_images/1620068456165933060/TShADQck_normal.jpg</v>
      </c>
      <c r="AW2749" s="80" t="s">
        <v>18519</v>
      </c>
      <c r="AX2749" s="80" t="s">
        <v>18519</v>
      </c>
      <c r="AY2749" s="77"/>
      <c r="AZ2749" s="80" t="s">
        <v>20380</v>
      </c>
      <c r="BA2749" s="80" t="s">
        <v>20380</v>
      </c>
      <c r="BB2749" s="80" t="s">
        <v>20380</v>
      </c>
      <c r="BC2749" s="80" t="s">
        <v>18519</v>
      </c>
      <c r="BD2749" s="80" t="s">
        <v>20944</v>
      </c>
      <c r="BE2749" s="77"/>
      <c r="BF2749" s="77"/>
      <c r="BG2749" s="77"/>
      <c r="BH2749" s="77"/>
      <c r="BI2749" s="77"/>
    </row>
    <row r="2750" spans="1:61" x14ac:dyDescent="0.25">
      <c r="A2750" s="62" t="s">
        <v>1127</v>
      </c>
      <c r="B2750" s="62" t="s">
        <v>1127</v>
      </c>
      <c r="C2750" s="63"/>
      <c r="D2750" s="64"/>
      <c r="E2750" s="65"/>
      <c r="F2750" s="66"/>
      <c r="G2750" s="63"/>
      <c r="H2750" s="67"/>
      <c r="I2750" s="68"/>
      <c r="J2750" s="68"/>
      <c r="K2750" s="32"/>
      <c r="L2750" s="75">
        <v>2750</v>
      </c>
      <c r="M2750" s="75"/>
      <c r="N2750" s="70"/>
      <c r="O2750" s="77" t="s">
        <v>179</v>
      </c>
      <c r="P2750" s="79">
        <v>45054.747337962966</v>
      </c>
      <c r="Q2750" s="77" t="s">
        <v>4508</v>
      </c>
      <c r="R2750" s="77">
        <v>0</v>
      </c>
      <c r="S2750" s="77">
        <v>1</v>
      </c>
      <c r="T2750" s="77">
        <v>0</v>
      </c>
      <c r="U2750" s="77">
        <v>0</v>
      </c>
      <c r="V2750" s="77">
        <v>104</v>
      </c>
      <c r="W2750" s="80" t="s">
        <v>7629</v>
      </c>
      <c r="X2750" s="83" t="str">
        <f>HYPERLINK("https://flj.com.br/noticia/haddad-anuncia-galipolo-para-a-diretoria-do-banco-central")</f>
        <v>https://flj.com.br/noticia/haddad-anuncia-galipolo-para-a-diretoria-do-banco-central</v>
      </c>
      <c r="Y2750" s="77" t="s">
        <v>8611</v>
      </c>
      <c r="Z2750" s="77"/>
      <c r="AA2750" s="77"/>
      <c r="AB2750" s="77"/>
      <c r="AC2750" s="80" t="s">
        <v>10541</v>
      </c>
      <c r="AD2750" s="77" t="s">
        <v>10620</v>
      </c>
      <c r="AE2750" s="83" t="str">
        <f>HYPERLINK("https://twitter.com/leiaflj/status/1655632701985021970")</f>
        <v>https://twitter.com/leiaflj/status/1655632701985021970</v>
      </c>
      <c r="AF2750" s="79">
        <v>45054.747337962966</v>
      </c>
      <c r="AG2750" s="85">
        <v>45054</v>
      </c>
      <c r="AH2750" s="80" t="s">
        <v>13038</v>
      </c>
      <c r="AI2750" s="77" t="b">
        <v>0</v>
      </c>
      <c r="AJ2750" s="77"/>
      <c r="AK2750" s="77"/>
      <c r="AL2750" s="77"/>
      <c r="AM2750" s="77"/>
      <c r="AN2750" s="77"/>
      <c r="AO2750" s="77"/>
      <c r="AP2750" s="77"/>
      <c r="AQ2750" s="77"/>
      <c r="AR2750" s="77"/>
      <c r="AS2750" s="77"/>
      <c r="AT2750" s="77"/>
      <c r="AU2750" s="77"/>
      <c r="AV2750" s="83" t="str">
        <f>HYPERLINK("https://pbs.twimg.com/profile_images/1620068456165933060/TShADQck_normal.jpg")</f>
        <v>https://pbs.twimg.com/profile_images/1620068456165933060/TShADQck_normal.jpg</v>
      </c>
      <c r="AW2750" s="80" t="s">
        <v>18520</v>
      </c>
      <c r="AX2750" s="80" t="s">
        <v>18520</v>
      </c>
      <c r="AY2750" s="77"/>
      <c r="AZ2750" s="80" t="s">
        <v>20380</v>
      </c>
      <c r="BA2750" s="80" t="s">
        <v>20380</v>
      </c>
      <c r="BB2750" s="80" t="s">
        <v>20380</v>
      </c>
      <c r="BC2750" s="80" t="s">
        <v>18520</v>
      </c>
      <c r="BD2750" s="80" t="s">
        <v>20944</v>
      </c>
      <c r="BE2750" s="77"/>
      <c r="BF2750" s="77"/>
      <c r="BG2750" s="77"/>
      <c r="BH2750" s="77"/>
      <c r="BI2750" s="77"/>
    </row>
    <row r="2751" spans="1:61" x14ac:dyDescent="0.25">
      <c r="A2751" s="62" t="s">
        <v>1128</v>
      </c>
      <c r="B2751" s="62" t="s">
        <v>1128</v>
      </c>
      <c r="C2751" s="63"/>
      <c r="D2751" s="64"/>
      <c r="E2751" s="65"/>
      <c r="F2751" s="66"/>
      <c r="G2751" s="63"/>
      <c r="H2751" s="67"/>
      <c r="I2751" s="68"/>
      <c r="J2751" s="68"/>
      <c r="K2751" s="32"/>
      <c r="L2751" s="75">
        <v>2751</v>
      </c>
      <c r="M2751" s="75"/>
      <c r="N2751" s="70"/>
      <c r="O2751" s="77" t="s">
        <v>179</v>
      </c>
      <c r="P2751" s="79">
        <v>45197.905775462961</v>
      </c>
      <c r="Q2751" s="77" t="s">
        <v>4509</v>
      </c>
      <c r="R2751" s="77">
        <v>0</v>
      </c>
      <c r="S2751" s="77">
        <v>0</v>
      </c>
      <c r="T2751" s="77">
        <v>0</v>
      </c>
      <c r="U2751" s="77">
        <v>0</v>
      </c>
      <c r="V2751" s="77">
        <v>11</v>
      </c>
      <c r="W2751" s="80" t="s">
        <v>7630</v>
      </c>
      <c r="X2751" s="77"/>
      <c r="Y2751" s="77"/>
      <c r="Z2751" s="77"/>
      <c r="AA2751" s="77" t="s">
        <v>9887</v>
      </c>
      <c r="AB2751" s="77" t="s">
        <v>10534</v>
      </c>
      <c r="AC2751" s="80" t="s">
        <v>10540</v>
      </c>
      <c r="AD2751" s="77" t="s">
        <v>10617</v>
      </c>
      <c r="AE2751" s="83" t="str">
        <f>HYPERLINK("https://twitter.com/deputadohauly/status/1707511579590230371")</f>
        <v>https://twitter.com/deputadohauly/status/1707511579590230371</v>
      </c>
      <c r="AF2751" s="79">
        <v>45197.905775462961</v>
      </c>
      <c r="AG2751" s="85">
        <v>45197</v>
      </c>
      <c r="AH2751" s="80" t="s">
        <v>13039</v>
      </c>
      <c r="AI2751" s="77" t="b">
        <v>0</v>
      </c>
      <c r="AJ2751" s="77" t="s">
        <v>14354</v>
      </c>
      <c r="AK2751" s="77" t="s">
        <v>14382</v>
      </c>
      <c r="AL2751" s="77" t="s">
        <v>14391</v>
      </c>
      <c r="AM2751" s="77" t="s">
        <v>14411</v>
      </c>
      <c r="AN2751" s="77" t="s">
        <v>14451</v>
      </c>
      <c r="AO2751" s="77" t="s">
        <v>14490</v>
      </c>
      <c r="AP2751" s="77" t="s">
        <v>14516</v>
      </c>
      <c r="AQ2751" s="77" t="s">
        <v>15368</v>
      </c>
      <c r="AR2751" s="77">
        <v>37996</v>
      </c>
      <c r="AS2751" s="77"/>
      <c r="AT2751" s="77"/>
      <c r="AU2751" s="77"/>
      <c r="AV2751" s="83" t="str">
        <f>HYPERLINK("https://pbs.twimg.com/ext_tw_video_thumb/1707511428859449344/pu/img/52iaSkkVx4nVI_Dt.jpg")</f>
        <v>https://pbs.twimg.com/ext_tw_video_thumb/1707511428859449344/pu/img/52iaSkkVx4nVI_Dt.jpg</v>
      </c>
      <c r="AW2751" s="80" t="s">
        <v>18521</v>
      </c>
      <c r="AX2751" s="80" t="s">
        <v>18521</v>
      </c>
      <c r="AY2751" s="77"/>
      <c r="AZ2751" s="80" t="s">
        <v>20380</v>
      </c>
      <c r="BA2751" s="80" t="s">
        <v>20380</v>
      </c>
      <c r="BB2751" s="80" t="s">
        <v>20380</v>
      </c>
      <c r="BC2751" s="80" t="s">
        <v>18521</v>
      </c>
      <c r="BD2751" s="77">
        <v>92117145</v>
      </c>
      <c r="BE2751" s="77"/>
      <c r="BF2751" s="77"/>
      <c r="BG2751" s="77"/>
      <c r="BH2751" s="77"/>
      <c r="BI2751" s="77"/>
    </row>
    <row r="2752" spans="1:61" x14ac:dyDescent="0.25">
      <c r="A2752" s="62" t="s">
        <v>1129</v>
      </c>
      <c r="B2752" s="62" t="s">
        <v>1129</v>
      </c>
      <c r="C2752" s="63"/>
      <c r="D2752" s="64"/>
      <c r="E2752" s="65"/>
      <c r="F2752" s="66"/>
      <c r="G2752" s="63"/>
      <c r="H2752" s="67"/>
      <c r="I2752" s="68"/>
      <c r="J2752" s="68"/>
      <c r="K2752" s="32"/>
      <c r="L2752" s="75">
        <v>2752</v>
      </c>
      <c r="M2752" s="75"/>
      <c r="N2752" s="70"/>
      <c r="O2752" s="77" t="s">
        <v>179</v>
      </c>
      <c r="P2752" s="79">
        <v>45148.94902777778</v>
      </c>
      <c r="Q2752" s="77" t="s">
        <v>4510</v>
      </c>
      <c r="R2752" s="77">
        <v>0</v>
      </c>
      <c r="S2752" s="77">
        <v>0</v>
      </c>
      <c r="T2752" s="77">
        <v>0</v>
      </c>
      <c r="U2752" s="77">
        <v>0</v>
      </c>
      <c r="V2752" s="77">
        <v>62</v>
      </c>
      <c r="W2752" s="80" t="s">
        <v>5884</v>
      </c>
      <c r="X2752" s="83" t="str">
        <f>HYPERLINK("https://www.mdpya.com.ar/las-apps-de-bancos-deben-permitir-cargar-cuentas-de-otras-entidades/")</f>
        <v>https://www.mdpya.com.ar/las-apps-de-bancos-deben-permitir-cargar-cuentas-de-otras-entidades/</v>
      </c>
      <c r="Y2752" s="77" t="s">
        <v>8624</v>
      </c>
      <c r="Z2752" s="77"/>
      <c r="AA2752" s="77"/>
      <c r="AB2752" s="77"/>
      <c r="AC2752" s="80" t="s">
        <v>10541</v>
      </c>
      <c r="AD2752" s="77" t="s">
        <v>10620</v>
      </c>
      <c r="AE2752" s="83" t="str">
        <f>HYPERLINK("https://twitter.com/infomdpya/status/1689770248470196224")</f>
        <v>https://twitter.com/infomdpya/status/1689770248470196224</v>
      </c>
      <c r="AF2752" s="79">
        <v>45148.94902777778</v>
      </c>
      <c r="AG2752" s="85">
        <v>45148</v>
      </c>
      <c r="AH2752" s="80" t="s">
        <v>13040</v>
      </c>
      <c r="AI2752" s="77" t="b">
        <v>0</v>
      </c>
      <c r="AJ2752" s="77"/>
      <c r="AK2752" s="77"/>
      <c r="AL2752" s="77"/>
      <c r="AM2752" s="77"/>
      <c r="AN2752" s="77"/>
      <c r="AO2752" s="77"/>
      <c r="AP2752" s="77"/>
      <c r="AQ2752" s="77"/>
      <c r="AR2752" s="77"/>
      <c r="AS2752" s="77"/>
      <c r="AT2752" s="77"/>
      <c r="AU2752" s="77"/>
      <c r="AV2752" s="83" t="str">
        <f>HYPERLINK("https://pbs.twimg.com/profile_images/1685028799677698048/A3FDnInL_normal.jpg")</f>
        <v>https://pbs.twimg.com/profile_images/1685028799677698048/A3FDnInL_normal.jpg</v>
      </c>
      <c r="AW2752" s="80" t="s">
        <v>18522</v>
      </c>
      <c r="AX2752" s="80" t="s">
        <v>18522</v>
      </c>
      <c r="AY2752" s="77"/>
      <c r="AZ2752" s="80" t="s">
        <v>20380</v>
      </c>
      <c r="BA2752" s="80" t="s">
        <v>20380</v>
      </c>
      <c r="BB2752" s="80" t="s">
        <v>20380</v>
      </c>
      <c r="BC2752" s="80" t="s">
        <v>18522</v>
      </c>
      <c r="BD2752" s="80" t="s">
        <v>20945</v>
      </c>
      <c r="BE2752" s="77"/>
      <c r="BF2752" s="77"/>
      <c r="BG2752" s="77"/>
      <c r="BH2752" s="77"/>
      <c r="BI2752" s="77"/>
    </row>
    <row r="2753" spans="1:61" x14ac:dyDescent="0.25">
      <c r="A2753" s="62" t="s">
        <v>1129</v>
      </c>
      <c r="B2753" s="62" t="s">
        <v>1129</v>
      </c>
      <c r="C2753" s="63"/>
      <c r="D2753" s="64"/>
      <c r="E2753" s="65"/>
      <c r="F2753" s="66"/>
      <c r="G2753" s="63"/>
      <c r="H2753" s="67"/>
      <c r="I2753" s="68"/>
      <c r="J2753" s="68"/>
      <c r="K2753" s="32"/>
      <c r="L2753" s="75">
        <v>2753</v>
      </c>
      <c r="M2753" s="75"/>
      <c r="N2753" s="70"/>
      <c r="O2753" s="77" t="s">
        <v>179</v>
      </c>
      <c r="P2753" s="79">
        <v>45152.638888888891</v>
      </c>
      <c r="Q2753" s="77" t="s">
        <v>4511</v>
      </c>
      <c r="R2753" s="77">
        <v>0</v>
      </c>
      <c r="S2753" s="77">
        <v>0</v>
      </c>
      <c r="T2753" s="77">
        <v>0</v>
      </c>
      <c r="U2753" s="77">
        <v>0</v>
      </c>
      <c r="V2753" s="77">
        <v>482</v>
      </c>
      <c r="W2753" s="80" t="s">
        <v>7631</v>
      </c>
      <c r="X2753" s="83" t="str">
        <f>HYPERLINK("https://www.mdpya.com.ar/el-banco-central-llevo-el-dolar-a-350-hasta-octubre/")</f>
        <v>https://www.mdpya.com.ar/el-banco-central-llevo-el-dolar-a-350-hasta-octubre/</v>
      </c>
      <c r="Y2753" s="77" t="s">
        <v>8624</v>
      </c>
      <c r="Z2753" s="77"/>
      <c r="AA2753" s="77"/>
      <c r="AB2753" s="77"/>
      <c r="AC2753" s="80" t="s">
        <v>10541</v>
      </c>
      <c r="AD2753" s="77" t="s">
        <v>10620</v>
      </c>
      <c r="AE2753" s="83" t="str">
        <f>HYPERLINK("https://twitter.com/infomdpya/status/1691107408909611008")</f>
        <v>https://twitter.com/infomdpya/status/1691107408909611008</v>
      </c>
      <c r="AF2753" s="79">
        <v>45152.638888888891</v>
      </c>
      <c r="AG2753" s="85">
        <v>45152</v>
      </c>
      <c r="AH2753" s="80" t="s">
        <v>11754</v>
      </c>
      <c r="AI2753" s="77" t="b">
        <v>0</v>
      </c>
      <c r="AJ2753" s="77"/>
      <c r="AK2753" s="77"/>
      <c r="AL2753" s="77"/>
      <c r="AM2753" s="77"/>
      <c r="AN2753" s="77"/>
      <c r="AO2753" s="77"/>
      <c r="AP2753" s="77"/>
      <c r="AQ2753" s="77"/>
      <c r="AR2753" s="77"/>
      <c r="AS2753" s="77"/>
      <c r="AT2753" s="77"/>
      <c r="AU2753" s="77"/>
      <c r="AV2753" s="83" t="str">
        <f>HYPERLINK("https://pbs.twimg.com/profile_images/1685028799677698048/A3FDnInL_normal.jpg")</f>
        <v>https://pbs.twimg.com/profile_images/1685028799677698048/A3FDnInL_normal.jpg</v>
      </c>
      <c r="AW2753" s="80" t="s">
        <v>18523</v>
      </c>
      <c r="AX2753" s="80" t="s">
        <v>18523</v>
      </c>
      <c r="AY2753" s="77"/>
      <c r="AZ2753" s="80" t="s">
        <v>20380</v>
      </c>
      <c r="BA2753" s="80" t="s">
        <v>20380</v>
      </c>
      <c r="BB2753" s="80" t="s">
        <v>20380</v>
      </c>
      <c r="BC2753" s="80" t="s">
        <v>18523</v>
      </c>
      <c r="BD2753" s="80" t="s">
        <v>20945</v>
      </c>
      <c r="BE2753" s="77"/>
      <c r="BF2753" s="77"/>
      <c r="BG2753" s="77"/>
      <c r="BH2753" s="77"/>
      <c r="BI2753" s="77"/>
    </row>
    <row r="2754" spans="1:61" x14ac:dyDescent="0.25">
      <c r="A2754" s="62" t="s">
        <v>1130</v>
      </c>
      <c r="B2754" s="62" t="s">
        <v>1130</v>
      </c>
      <c r="C2754" s="63"/>
      <c r="D2754" s="64"/>
      <c r="E2754" s="65"/>
      <c r="F2754" s="66"/>
      <c r="G2754" s="63"/>
      <c r="H2754" s="67"/>
      <c r="I2754" s="68"/>
      <c r="J2754" s="68"/>
      <c r="K2754" s="32"/>
      <c r="L2754" s="75">
        <v>2754</v>
      </c>
      <c r="M2754" s="75"/>
      <c r="N2754" s="70"/>
      <c r="O2754" s="77" t="s">
        <v>179</v>
      </c>
      <c r="P2754" s="79">
        <v>45104.584722222222</v>
      </c>
      <c r="Q2754" s="77" t="s">
        <v>4512</v>
      </c>
      <c r="R2754" s="77">
        <v>8</v>
      </c>
      <c r="S2754" s="77">
        <v>37</v>
      </c>
      <c r="T2754" s="77">
        <v>50</v>
      </c>
      <c r="U2754" s="77">
        <v>4</v>
      </c>
      <c r="V2754" s="77">
        <v>5131</v>
      </c>
      <c r="W2754" s="77"/>
      <c r="X2754" s="83" t="str">
        <f>HYPERLINK("https://bit.ly/3pptFbG")</f>
        <v>https://bit.ly/3pptFbG</v>
      </c>
      <c r="Y2754" s="77" t="s">
        <v>8618</v>
      </c>
      <c r="Z2754" s="77"/>
      <c r="AA2754" s="77" t="s">
        <v>9888</v>
      </c>
      <c r="AB2754" s="77" t="s">
        <v>10535</v>
      </c>
      <c r="AC2754" s="80" t="s">
        <v>10551</v>
      </c>
      <c r="AD2754" s="77" t="s">
        <v>10617</v>
      </c>
      <c r="AE2754" s="83" t="str">
        <f>HYPERLINK("https://twitter.com/senadofederal/status/1673693162513260544")</f>
        <v>https://twitter.com/senadofederal/status/1673693162513260544</v>
      </c>
      <c r="AF2754" s="79">
        <v>45104.584722222222</v>
      </c>
      <c r="AG2754" s="85">
        <v>45104</v>
      </c>
      <c r="AH2754" s="80" t="s">
        <v>13041</v>
      </c>
      <c r="AI2754" s="77" t="b">
        <v>0</v>
      </c>
      <c r="AJ2754" s="77"/>
      <c r="AK2754" s="77"/>
      <c r="AL2754" s="77"/>
      <c r="AM2754" s="77"/>
      <c r="AN2754" s="77"/>
      <c r="AO2754" s="77"/>
      <c r="AP2754" s="77"/>
      <c r="AQ2754" s="77" t="s">
        <v>15369</v>
      </c>
      <c r="AR2754" s="77"/>
      <c r="AS2754" s="77"/>
      <c r="AT2754" s="77"/>
      <c r="AU2754" s="77"/>
      <c r="AV2754" s="83" t="str">
        <f>HYPERLINK("https://pbs.twimg.com/media/FzoiqnKXgAI025X.jpg")</f>
        <v>https://pbs.twimg.com/media/FzoiqnKXgAI025X.jpg</v>
      </c>
      <c r="AW2754" s="80" t="s">
        <v>18524</v>
      </c>
      <c r="AX2754" s="80" t="s">
        <v>18524</v>
      </c>
      <c r="AY2754" s="77"/>
      <c r="AZ2754" s="80" t="s">
        <v>20380</v>
      </c>
      <c r="BA2754" s="80" t="s">
        <v>20380</v>
      </c>
      <c r="BB2754" s="80" t="s">
        <v>20380</v>
      </c>
      <c r="BC2754" s="80" t="s">
        <v>18524</v>
      </c>
      <c r="BD2754" s="77">
        <v>40095953</v>
      </c>
      <c r="BE2754" s="77"/>
      <c r="BF2754" s="77"/>
      <c r="BG2754" s="77"/>
      <c r="BH2754" s="77"/>
      <c r="BI2754" s="77"/>
    </row>
    <row r="2755" spans="1:61" x14ac:dyDescent="0.25">
      <c r="A2755" s="62" t="s">
        <v>1131</v>
      </c>
      <c r="B2755" s="62" t="s">
        <v>1130</v>
      </c>
      <c r="C2755" s="63"/>
      <c r="D2755" s="64"/>
      <c r="E2755" s="65"/>
      <c r="F2755" s="66"/>
      <c r="G2755" s="63"/>
      <c r="H2755" s="67"/>
      <c r="I2755" s="68"/>
      <c r="J2755" s="68"/>
      <c r="K2755" s="32"/>
      <c r="L2755" s="75">
        <v>2755</v>
      </c>
      <c r="M2755" s="75"/>
      <c r="N2755" s="70"/>
      <c r="O2755" s="77" t="s">
        <v>2082</v>
      </c>
      <c r="P2755" s="79">
        <v>45104.767685185187</v>
      </c>
      <c r="Q2755" s="77" t="s">
        <v>4513</v>
      </c>
      <c r="R2755" s="77">
        <v>2</v>
      </c>
      <c r="S2755" s="77">
        <v>9</v>
      </c>
      <c r="T2755" s="77">
        <v>6</v>
      </c>
      <c r="U2755" s="77">
        <v>0</v>
      </c>
      <c r="V2755" s="77">
        <v>594</v>
      </c>
      <c r="W2755" s="80" t="s">
        <v>7632</v>
      </c>
      <c r="X2755" s="77"/>
      <c r="Y2755" s="77"/>
      <c r="Z2755" s="77"/>
      <c r="AA2755" s="77"/>
      <c r="AB2755" s="77"/>
      <c r="AC2755" s="80" t="s">
        <v>10542</v>
      </c>
      <c r="AD2755" s="77" t="s">
        <v>10617</v>
      </c>
      <c r="AE2755" s="83" t="str">
        <f>HYPERLINK("https://twitter.com/eduardobraga_am/status/1673759468759162888")</f>
        <v>https://twitter.com/eduardobraga_am/status/1673759468759162888</v>
      </c>
      <c r="AF2755" s="79">
        <v>45104.767685185187</v>
      </c>
      <c r="AG2755" s="85">
        <v>45104</v>
      </c>
      <c r="AH2755" s="80" t="s">
        <v>13042</v>
      </c>
      <c r="AI2755" s="77"/>
      <c r="AJ2755" s="77"/>
      <c r="AK2755" s="77"/>
      <c r="AL2755" s="77"/>
      <c r="AM2755" s="77"/>
      <c r="AN2755" s="77"/>
      <c r="AO2755" s="77"/>
      <c r="AP2755" s="77"/>
      <c r="AQ2755" s="77"/>
      <c r="AR2755" s="77"/>
      <c r="AS2755" s="77"/>
      <c r="AT2755" s="77"/>
      <c r="AU2755" s="77"/>
      <c r="AV2755" s="83" t="str">
        <f>HYPERLINK("https://pbs.twimg.com/profile_images/1697667396633341952/TCrLm48Y_normal.jpg")</f>
        <v>https://pbs.twimg.com/profile_images/1697667396633341952/TCrLm48Y_normal.jpg</v>
      </c>
      <c r="AW2755" s="80" t="s">
        <v>18525</v>
      </c>
      <c r="AX2755" s="80" t="s">
        <v>18525</v>
      </c>
      <c r="AY2755" s="77"/>
      <c r="AZ2755" s="80" t="s">
        <v>20380</v>
      </c>
      <c r="BA2755" s="80" t="s">
        <v>18524</v>
      </c>
      <c r="BB2755" s="80" t="s">
        <v>20380</v>
      </c>
      <c r="BC2755" s="80" t="s">
        <v>18524</v>
      </c>
      <c r="BD2755" s="77">
        <v>164439493</v>
      </c>
      <c r="BE2755" s="77"/>
      <c r="BF2755" s="77"/>
      <c r="BG2755" s="77"/>
      <c r="BH2755" s="77"/>
      <c r="BI2755" s="77"/>
    </row>
    <row r="2756" spans="1:61" x14ac:dyDescent="0.25">
      <c r="A2756" s="62" t="s">
        <v>1131</v>
      </c>
      <c r="B2756" s="62" t="s">
        <v>1130</v>
      </c>
      <c r="C2756" s="63"/>
      <c r="D2756" s="64"/>
      <c r="E2756" s="65"/>
      <c r="F2756" s="66"/>
      <c r="G2756" s="63"/>
      <c r="H2756" s="67"/>
      <c r="I2756" s="68"/>
      <c r="J2756" s="68"/>
      <c r="K2756" s="32"/>
      <c r="L2756" s="75">
        <v>2756</v>
      </c>
      <c r="M2756" s="75"/>
      <c r="N2756" s="70"/>
      <c r="O2756" s="77" t="s">
        <v>2081</v>
      </c>
      <c r="P2756" s="79">
        <v>45149.682604166665</v>
      </c>
      <c r="Q2756" s="77" t="s">
        <v>4514</v>
      </c>
      <c r="R2756" s="77">
        <v>1</v>
      </c>
      <c r="S2756" s="77">
        <v>10</v>
      </c>
      <c r="T2756" s="77">
        <v>0</v>
      </c>
      <c r="U2756" s="77">
        <v>0</v>
      </c>
      <c r="V2756" s="77">
        <v>215</v>
      </c>
      <c r="W2756" s="80" t="s">
        <v>7633</v>
      </c>
      <c r="X2756" s="77"/>
      <c r="Y2756" s="77"/>
      <c r="Z2756" s="77" t="s">
        <v>1130</v>
      </c>
      <c r="AA2756" s="77" t="s">
        <v>9889</v>
      </c>
      <c r="AB2756" s="77" t="s">
        <v>10534</v>
      </c>
      <c r="AC2756" s="80" t="s">
        <v>10542</v>
      </c>
      <c r="AD2756" s="77" t="s">
        <v>10617</v>
      </c>
      <c r="AE2756" s="83" t="str">
        <f>HYPERLINK("https://twitter.com/eduardobraga_am/status/1690036089216471041")</f>
        <v>https://twitter.com/eduardobraga_am/status/1690036089216471041</v>
      </c>
      <c r="AF2756" s="79">
        <v>45149.682604166665</v>
      </c>
      <c r="AG2756" s="85">
        <v>45149</v>
      </c>
      <c r="AH2756" s="80" t="s">
        <v>13043</v>
      </c>
      <c r="AI2756" s="77" t="b">
        <v>0</v>
      </c>
      <c r="AJ2756" s="77"/>
      <c r="AK2756" s="77"/>
      <c r="AL2756" s="77"/>
      <c r="AM2756" s="77"/>
      <c r="AN2756" s="77"/>
      <c r="AO2756" s="77"/>
      <c r="AP2756" s="77"/>
      <c r="AQ2756" s="77" t="s">
        <v>15370</v>
      </c>
      <c r="AR2756" s="77">
        <v>91100</v>
      </c>
      <c r="AS2756" s="77"/>
      <c r="AT2756" s="77"/>
      <c r="AU2756" s="77"/>
      <c r="AV2756" s="83" t="str">
        <f>HYPERLINK("https://pbs.twimg.com/ext_tw_video_thumb/1690035481562562560/pu/img/MPfUzZd_KLXkEKf9.jpg")</f>
        <v>https://pbs.twimg.com/ext_tw_video_thumb/1690035481562562560/pu/img/MPfUzZd_KLXkEKf9.jpg</v>
      </c>
      <c r="AW2756" s="80" t="s">
        <v>18526</v>
      </c>
      <c r="AX2756" s="80" t="s">
        <v>18526</v>
      </c>
      <c r="AY2756" s="77"/>
      <c r="AZ2756" s="80" t="s">
        <v>20380</v>
      </c>
      <c r="BA2756" s="80" t="s">
        <v>20380</v>
      </c>
      <c r="BB2756" s="80" t="s">
        <v>20380</v>
      </c>
      <c r="BC2756" s="80" t="s">
        <v>18526</v>
      </c>
      <c r="BD2756" s="77">
        <v>164439493</v>
      </c>
      <c r="BE2756" s="77"/>
      <c r="BF2756" s="77"/>
      <c r="BG2756" s="77"/>
      <c r="BH2756" s="77"/>
      <c r="BI2756" s="77"/>
    </row>
    <row r="2757" spans="1:61" x14ac:dyDescent="0.25">
      <c r="A2757" s="62" t="s">
        <v>1131</v>
      </c>
      <c r="B2757" s="62" t="s">
        <v>1778</v>
      </c>
      <c r="C2757" s="63"/>
      <c r="D2757" s="64"/>
      <c r="E2757" s="65"/>
      <c r="F2757" s="66"/>
      <c r="G2757" s="63"/>
      <c r="H2757" s="67"/>
      <c r="I2757" s="68"/>
      <c r="J2757" s="68"/>
      <c r="K2757" s="32"/>
      <c r="L2757" s="75">
        <v>2757</v>
      </c>
      <c r="M2757" s="75"/>
      <c r="N2757" s="70"/>
      <c r="O2757" s="77" t="s">
        <v>2081</v>
      </c>
      <c r="P2757" s="79">
        <v>45140.63082175926</v>
      </c>
      <c r="Q2757" s="77" t="s">
        <v>4515</v>
      </c>
      <c r="R2757" s="77">
        <v>0</v>
      </c>
      <c r="S2757" s="77">
        <v>4</v>
      </c>
      <c r="T2757" s="77">
        <v>1</v>
      </c>
      <c r="U2757" s="77">
        <v>0</v>
      </c>
      <c r="V2757" s="77">
        <v>131</v>
      </c>
      <c r="W2757" s="80" t="s">
        <v>7634</v>
      </c>
      <c r="X2757" s="83" t="str">
        <f>HYPERLINK("https://www.cartacapital.com.br/economia/em-dia-de-decisao-no-copom-haddad-diz-esperar-corte-mais-consistente-da-taxa-de-juros/")</f>
        <v>https://www.cartacapital.com.br/economia/em-dia-de-decisao-no-copom-haddad-diz-esperar-corte-mais-consistente-da-taxa-de-juros/</v>
      </c>
      <c r="Y2757" s="77" t="s">
        <v>8611</v>
      </c>
      <c r="Z2757" s="77" t="s">
        <v>1778</v>
      </c>
      <c r="AA2757" s="77"/>
      <c r="AB2757" s="77"/>
      <c r="AC2757" s="80" t="s">
        <v>10542</v>
      </c>
      <c r="AD2757" s="77" t="s">
        <v>10617</v>
      </c>
      <c r="AE2757" s="83" t="str">
        <f>HYPERLINK("https://twitter.com/eduardobraga_am/status/1686755830345986048")</f>
        <v>https://twitter.com/eduardobraga_am/status/1686755830345986048</v>
      </c>
      <c r="AF2757" s="79">
        <v>45140.63082175926</v>
      </c>
      <c r="AG2757" s="85">
        <v>45140</v>
      </c>
      <c r="AH2757" s="80" t="s">
        <v>11218</v>
      </c>
      <c r="AI2757" s="77" t="b">
        <v>0</v>
      </c>
      <c r="AJ2757" s="77"/>
      <c r="AK2757" s="77"/>
      <c r="AL2757" s="77"/>
      <c r="AM2757" s="77"/>
      <c r="AN2757" s="77"/>
      <c r="AO2757" s="77"/>
      <c r="AP2757" s="77"/>
      <c r="AQ2757" s="77"/>
      <c r="AR2757" s="77"/>
      <c r="AS2757" s="77"/>
      <c r="AT2757" s="77"/>
      <c r="AU2757" s="77"/>
      <c r="AV2757" s="83" t="str">
        <f>HYPERLINK("https://pbs.twimg.com/profile_images/1697667396633341952/TCrLm48Y_normal.jpg")</f>
        <v>https://pbs.twimg.com/profile_images/1697667396633341952/TCrLm48Y_normal.jpg</v>
      </c>
      <c r="AW2757" s="80" t="s">
        <v>18527</v>
      </c>
      <c r="AX2757" s="80" t="s">
        <v>18527</v>
      </c>
      <c r="AY2757" s="77"/>
      <c r="AZ2757" s="80" t="s">
        <v>20380</v>
      </c>
      <c r="BA2757" s="80" t="s">
        <v>20380</v>
      </c>
      <c r="BB2757" s="80" t="s">
        <v>20380</v>
      </c>
      <c r="BC2757" s="80" t="s">
        <v>18527</v>
      </c>
      <c r="BD2757" s="77">
        <v>164439493</v>
      </c>
      <c r="BE2757" s="77"/>
      <c r="BF2757" s="77"/>
      <c r="BG2757" s="77"/>
      <c r="BH2757" s="77"/>
      <c r="BI2757" s="77"/>
    </row>
    <row r="2758" spans="1:61" x14ac:dyDescent="0.25">
      <c r="A2758" s="62" t="s">
        <v>1132</v>
      </c>
      <c r="B2758" s="62" t="s">
        <v>1132</v>
      </c>
      <c r="C2758" s="63"/>
      <c r="D2758" s="64"/>
      <c r="E2758" s="65"/>
      <c r="F2758" s="66"/>
      <c r="G2758" s="63"/>
      <c r="H2758" s="67"/>
      <c r="I2758" s="68"/>
      <c r="J2758" s="68"/>
      <c r="K2758" s="32"/>
      <c r="L2758" s="75">
        <v>2758</v>
      </c>
      <c r="M2758" s="75"/>
      <c r="N2758" s="70"/>
      <c r="O2758" s="77" t="s">
        <v>179</v>
      </c>
      <c r="P2758" s="79">
        <v>45191.715578703705</v>
      </c>
      <c r="Q2758" s="77" t="s">
        <v>4516</v>
      </c>
      <c r="R2758" s="77">
        <v>0</v>
      </c>
      <c r="S2758" s="77">
        <v>0</v>
      </c>
      <c r="T2758" s="77">
        <v>0</v>
      </c>
      <c r="U2758" s="77">
        <v>0</v>
      </c>
      <c r="V2758" s="77">
        <v>13</v>
      </c>
      <c r="W2758" s="80" t="s">
        <v>7635</v>
      </c>
      <c r="X2758" s="77"/>
      <c r="Y2758" s="77"/>
      <c r="Z2758" s="77"/>
      <c r="AA2758" s="77"/>
      <c r="AB2758" s="77"/>
      <c r="AC2758" s="80" t="s">
        <v>10541</v>
      </c>
      <c r="AD2758" s="77" t="s">
        <v>10620</v>
      </c>
      <c r="AE2758" s="83" t="str">
        <f>HYPERLINK("https://twitter.com/ravkliber/status/1705268329819107589")</f>
        <v>https://twitter.com/ravkliber/status/1705268329819107589</v>
      </c>
      <c r="AF2758" s="79">
        <v>45191.715578703705</v>
      </c>
      <c r="AG2758" s="85">
        <v>45191</v>
      </c>
      <c r="AH2758" s="80" t="s">
        <v>13044</v>
      </c>
      <c r="AI2758" s="77"/>
      <c r="AJ2758" s="77"/>
      <c r="AK2758" s="77"/>
      <c r="AL2758" s="77"/>
      <c r="AM2758" s="77"/>
      <c r="AN2758" s="77"/>
      <c r="AO2758" s="77"/>
      <c r="AP2758" s="77"/>
      <c r="AQ2758" s="77"/>
      <c r="AR2758" s="77"/>
      <c r="AS2758" s="77"/>
      <c r="AT2758" s="77"/>
      <c r="AU2758" s="77"/>
      <c r="AV2758" s="83" t="str">
        <f>HYPERLINK("https://pbs.twimg.com/profile_images/1566038178812805120/41o4jsEx_normal.jpg")</f>
        <v>https://pbs.twimg.com/profile_images/1566038178812805120/41o4jsEx_normal.jpg</v>
      </c>
      <c r="AW2758" s="80" t="s">
        <v>18528</v>
      </c>
      <c r="AX2758" s="80" t="s">
        <v>18528</v>
      </c>
      <c r="AY2758" s="77"/>
      <c r="AZ2758" s="80" t="s">
        <v>20380</v>
      </c>
      <c r="BA2758" s="80" t="s">
        <v>20380</v>
      </c>
      <c r="BB2758" s="80" t="s">
        <v>20380</v>
      </c>
      <c r="BC2758" s="80" t="s">
        <v>18528</v>
      </c>
      <c r="BD2758" s="80" t="s">
        <v>20946</v>
      </c>
      <c r="BE2758" s="77"/>
      <c r="BF2758" s="77"/>
      <c r="BG2758" s="77"/>
      <c r="BH2758" s="77"/>
      <c r="BI2758" s="77"/>
    </row>
    <row r="2759" spans="1:61" x14ac:dyDescent="0.25">
      <c r="A2759" s="62" t="s">
        <v>1133</v>
      </c>
      <c r="B2759" s="62" t="s">
        <v>1615</v>
      </c>
      <c r="C2759" s="63"/>
      <c r="D2759" s="64"/>
      <c r="E2759" s="65"/>
      <c r="F2759" s="66"/>
      <c r="G2759" s="63"/>
      <c r="H2759" s="67"/>
      <c r="I2759" s="68"/>
      <c r="J2759" s="68"/>
      <c r="K2759" s="32"/>
      <c r="L2759" s="75">
        <v>2759</v>
      </c>
      <c r="M2759" s="75"/>
      <c r="N2759" s="70"/>
      <c r="O2759" s="77" t="s">
        <v>2083</v>
      </c>
      <c r="P2759" s="79">
        <v>45189.300462962965</v>
      </c>
      <c r="Q2759" s="77" t="s">
        <v>2102</v>
      </c>
      <c r="R2759" s="77">
        <v>10</v>
      </c>
      <c r="S2759" s="77">
        <v>0</v>
      </c>
      <c r="T2759" s="77">
        <v>0</v>
      </c>
      <c r="U2759" s="77">
        <v>0</v>
      </c>
      <c r="V2759" s="77"/>
      <c r="W2759" s="80" t="s">
        <v>5899</v>
      </c>
      <c r="X2759" s="77"/>
      <c r="Y2759" s="77"/>
      <c r="Z2759" s="77" t="s">
        <v>1615</v>
      </c>
      <c r="AA2759" s="77" t="s">
        <v>9047</v>
      </c>
      <c r="AB2759" s="77" t="s">
        <v>10535</v>
      </c>
      <c r="AC2759" s="80" t="s">
        <v>10542</v>
      </c>
      <c r="AD2759" s="77" t="s">
        <v>10619</v>
      </c>
      <c r="AE2759" s="83" t="str">
        <f>HYPERLINK("https://twitter.com/thegoondoxjn/status/1704393118731173904")</f>
        <v>https://twitter.com/thegoondoxjn/status/1704393118731173904</v>
      </c>
      <c r="AF2759" s="79">
        <v>45189.300462962965</v>
      </c>
      <c r="AG2759" s="85">
        <v>45189</v>
      </c>
      <c r="AH2759" s="80" t="s">
        <v>13045</v>
      </c>
      <c r="AI2759" s="77" t="b">
        <v>1</v>
      </c>
      <c r="AJ2759" s="77"/>
      <c r="AK2759" s="77"/>
      <c r="AL2759" s="77"/>
      <c r="AM2759" s="77"/>
      <c r="AN2759" s="77"/>
      <c r="AO2759" s="77"/>
      <c r="AP2759" s="77"/>
      <c r="AQ2759" s="77" t="s">
        <v>14529</v>
      </c>
      <c r="AR2759" s="77"/>
      <c r="AS2759" s="77"/>
      <c r="AT2759" s="77"/>
      <c r="AU2759" s="77"/>
      <c r="AV2759" s="83" t="str">
        <f>HYPERLINK("https://pbs.twimg.com/media/F6c2kgoWAAAEEnO.jpg")</f>
        <v>https://pbs.twimg.com/media/F6c2kgoWAAAEEnO.jpg</v>
      </c>
      <c r="AW2759" s="80" t="s">
        <v>18529</v>
      </c>
      <c r="AX2759" s="80" t="s">
        <v>18529</v>
      </c>
      <c r="AY2759" s="77"/>
      <c r="AZ2759" s="80" t="s">
        <v>20380</v>
      </c>
      <c r="BA2759" s="80" t="s">
        <v>20380</v>
      </c>
      <c r="BB2759" s="80" t="s">
        <v>19728</v>
      </c>
      <c r="BC2759" s="80" t="s">
        <v>19728</v>
      </c>
      <c r="BD2759" s="77">
        <v>64672669</v>
      </c>
      <c r="BE2759" s="77"/>
      <c r="BF2759" s="77"/>
      <c r="BG2759" s="77"/>
      <c r="BH2759" s="77"/>
      <c r="BI2759" s="77"/>
    </row>
    <row r="2760" spans="1:61" x14ac:dyDescent="0.25">
      <c r="A2760" s="62" t="s">
        <v>1134</v>
      </c>
      <c r="B2760" s="62" t="s">
        <v>1384</v>
      </c>
      <c r="C2760" s="63"/>
      <c r="D2760" s="64"/>
      <c r="E2760" s="65"/>
      <c r="F2760" s="66"/>
      <c r="G2760" s="63"/>
      <c r="H2760" s="67"/>
      <c r="I2760" s="68"/>
      <c r="J2760" s="68"/>
      <c r="K2760" s="32"/>
      <c r="L2760" s="75">
        <v>2760</v>
      </c>
      <c r="M2760" s="75"/>
      <c r="N2760" s="70"/>
      <c r="O2760" s="77" t="s">
        <v>2081</v>
      </c>
      <c r="P2760" s="79">
        <v>45140.688877314817</v>
      </c>
      <c r="Q2760" s="77" t="s">
        <v>4517</v>
      </c>
      <c r="R2760" s="77">
        <v>0</v>
      </c>
      <c r="S2760" s="77">
        <v>0</v>
      </c>
      <c r="T2760" s="77">
        <v>0</v>
      </c>
      <c r="U2760" s="77">
        <v>0</v>
      </c>
      <c r="V2760" s="77">
        <v>154</v>
      </c>
      <c r="W2760" s="80" t="s">
        <v>7636</v>
      </c>
      <c r="X2760" s="83" t="str">
        <f>HYPERLINK("https://hubs.ly/Q01ZQ87n0")</f>
        <v>https://hubs.ly/Q01ZQ87n0</v>
      </c>
      <c r="Y2760" s="77" t="s">
        <v>8803</v>
      </c>
      <c r="Z2760" s="77" t="s">
        <v>1384</v>
      </c>
      <c r="AA2760" s="77" t="s">
        <v>9890</v>
      </c>
      <c r="AB2760" s="77" t="s">
        <v>10535</v>
      </c>
      <c r="AC2760" s="80" t="s">
        <v>10585</v>
      </c>
      <c r="AD2760" s="77" t="s">
        <v>10620</v>
      </c>
      <c r="AE2760" s="83" t="str">
        <f>HYPERLINK("https://twitter.com/nuboxchile/status/1686776871646609408")</f>
        <v>https://twitter.com/nuboxchile/status/1686776871646609408</v>
      </c>
      <c r="AF2760" s="79">
        <v>45140.688877314817</v>
      </c>
      <c r="AG2760" s="85">
        <v>45140</v>
      </c>
      <c r="AH2760" s="80" t="s">
        <v>13046</v>
      </c>
      <c r="AI2760" s="77" t="b">
        <v>0</v>
      </c>
      <c r="AJ2760" s="77"/>
      <c r="AK2760" s="77"/>
      <c r="AL2760" s="77"/>
      <c r="AM2760" s="77"/>
      <c r="AN2760" s="77"/>
      <c r="AO2760" s="77"/>
      <c r="AP2760" s="77"/>
      <c r="AQ2760" s="77" t="s">
        <v>15371</v>
      </c>
      <c r="AR2760" s="77"/>
      <c r="AS2760" s="77"/>
      <c r="AT2760" s="77"/>
      <c r="AU2760" s="77"/>
      <c r="AV2760" s="83" t="str">
        <f>HYPERLINK("https://pbs.twimg.com/media/F2iioFPXwAIut6z.jpg")</f>
        <v>https://pbs.twimg.com/media/F2iioFPXwAIut6z.jpg</v>
      </c>
      <c r="AW2760" s="80" t="s">
        <v>18530</v>
      </c>
      <c r="AX2760" s="80" t="s">
        <v>18530</v>
      </c>
      <c r="AY2760" s="77"/>
      <c r="AZ2760" s="80" t="s">
        <v>20380</v>
      </c>
      <c r="BA2760" s="80" t="s">
        <v>20380</v>
      </c>
      <c r="BB2760" s="80" t="s">
        <v>20380</v>
      </c>
      <c r="BC2760" s="80" t="s">
        <v>18530</v>
      </c>
      <c r="BD2760" s="77">
        <v>1120075057</v>
      </c>
      <c r="BE2760" s="77"/>
      <c r="BF2760" s="77"/>
      <c r="BG2760" s="77"/>
      <c r="BH2760" s="77"/>
      <c r="BI2760" s="77"/>
    </row>
    <row r="2761" spans="1:61" x14ac:dyDescent="0.25">
      <c r="A2761" s="62" t="s">
        <v>1134</v>
      </c>
      <c r="B2761" s="62" t="s">
        <v>1384</v>
      </c>
      <c r="C2761" s="63"/>
      <c r="D2761" s="64"/>
      <c r="E2761" s="65"/>
      <c r="F2761" s="66"/>
      <c r="G2761" s="63"/>
      <c r="H2761" s="67"/>
      <c r="I2761" s="68"/>
      <c r="J2761" s="68"/>
      <c r="K2761" s="32"/>
      <c r="L2761" s="75">
        <v>2761</v>
      </c>
      <c r="M2761" s="75"/>
      <c r="N2761" s="70"/>
      <c r="O2761" s="77" t="s">
        <v>2081</v>
      </c>
      <c r="P2761" s="79">
        <v>45114.645833333336</v>
      </c>
      <c r="Q2761" s="77" t="s">
        <v>4518</v>
      </c>
      <c r="R2761" s="77">
        <v>0</v>
      </c>
      <c r="S2761" s="77">
        <v>0</v>
      </c>
      <c r="T2761" s="77">
        <v>0</v>
      </c>
      <c r="U2761" s="77">
        <v>0</v>
      </c>
      <c r="V2761" s="77">
        <v>40</v>
      </c>
      <c r="W2761" s="80" t="s">
        <v>7636</v>
      </c>
      <c r="X2761" s="83" t="str">
        <f>HYPERLINK("https://hubs.ly/Q01X0mZt0")</f>
        <v>https://hubs.ly/Q01X0mZt0</v>
      </c>
      <c r="Y2761" s="77" t="s">
        <v>8803</v>
      </c>
      <c r="Z2761" s="77" t="s">
        <v>1384</v>
      </c>
      <c r="AA2761" s="77" t="s">
        <v>9891</v>
      </c>
      <c r="AB2761" s="77" t="s">
        <v>10535</v>
      </c>
      <c r="AC2761" s="80" t="s">
        <v>10585</v>
      </c>
      <c r="AD2761" s="77" t="s">
        <v>10620</v>
      </c>
      <c r="AE2761" s="83" t="str">
        <f>HYPERLINK("https://twitter.com/nuboxchile/status/1677339185806548995")</f>
        <v>https://twitter.com/nuboxchile/status/1677339185806548995</v>
      </c>
      <c r="AF2761" s="79">
        <v>45114.645833333336</v>
      </c>
      <c r="AG2761" s="85">
        <v>45114</v>
      </c>
      <c r="AH2761" s="80" t="s">
        <v>10857</v>
      </c>
      <c r="AI2761" s="77" t="b">
        <v>0</v>
      </c>
      <c r="AJ2761" s="77"/>
      <c r="AK2761" s="77"/>
      <c r="AL2761" s="77"/>
      <c r="AM2761" s="77"/>
      <c r="AN2761" s="77"/>
      <c r="AO2761" s="77"/>
      <c r="AP2761" s="77"/>
      <c r="AQ2761" s="77" t="s">
        <v>15372</v>
      </c>
      <c r="AR2761" s="77"/>
      <c r="AS2761" s="77"/>
      <c r="AT2761" s="77"/>
      <c r="AU2761" s="77"/>
      <c r="AV2761" s="83" t="str">
        <f>HYPERLINK("https://pbs.twimg.com/media/F0cbGdwXsAIgqu7.jpg")</f>
        <v>https://pbs.twimg.com/media/F0cbGdwXsAIgqu7.jpg</v>
      </c>
      <c r="AW2761" s="80" t="s">
        <v>18531</v>
      </c>
      <c r="AX2761" s="80" t="s">
        <v>18531</v>
      </c>
      <c r="AY2761" s="77"/>
      <c r="AZ2761" s="80" t="s">
        <v>20380</v>
      </c>
      <c r="BA2761" s="80" t="s">
        <v>20380</v>
      </c>
      <c r="BB2761" s="80" t="s">
        <v>20380</v>
      </c>
      <c r="BC2761" s="80" t="s">
        <v>18531</v>
      </c>
      <c r="BD2761" s="77">
        <v>1120075057</v>
      </c>
      <c r="BE2761" s="77"/>
      <c r="BF2761" s="77"/>
      <c r="BG2761" s="77"/>
      <c r="BH2761" s="77"/>
      <c r="BI2761" s="77"/>
    </row>
    <row r="2762" spans="1:61" x14ac:dyDescent="0.25">
      <c r="A2762" s="62" t="s">
        <v>1134</v>
      </c>
      <c r="B2762" s="62" t="s">
        <v>1384</v>
      </c>
      <c r="C2762" s="63"/>
      <c r="D2762" s="64"/>
      <c r="E2762" s="65"/>
      <c r="F2762" s="66"/>
      <c r="G2762" s="63"/>
      <c r="H2762" s="67"/>
      <c r="I2762" s="68"/>
      <c r="J2762" s="68"/>
      <c r="K2762" s="32"/>
      <c r="L2762" s="75">
        <v>2762</v>
      </c>
      <c r="M2762" s="75"/>
      <c r="N2762" s="70"/>
      <c r="O2762" s="77" t="s">
        <v>2081</v>
      </c>
      <c r="P2762" s="79">
        <v>45113.583356481482</v>
      </c>
      <c r="Q2762" s="77" t="s">
        <v>4519</v>
      </c>
      <c r="R2762" s="77">
        <v>0</v>
      </c>
      <c r="S2762" s="77">
        <v>0</v>
      </c>
      <c r="T2762" s="77">
        <v>0</v>
      </c>
      <c r="U2762" s="77">
        <v>0</v>
      </c>
      <c r="V2762" s="77">
        <v>39</v>
      </c>
      <c r="W2762" s="80" t="s">
        <v>7636</v>
      </c>
      <c r="X2762" s="83" t="str">
        <f>HYPERLINK("https://hubs.ly/Q01WTg_00")</f>
        <v>https://hubs.ly/Q01WTg_00</v>
      </c>
      <c r="Y2762" s="77" t="s">
        <v>8803</v>
      </c>
      <c r="Z2762" s="77" t="s">
        <v>1384</v>
      </c>
      <c r="AA2762" s="77" t="s">
        <v>9892</v>
      </c>
      <c r="AB2762" s="77" t="s">
        <v>10535</v>
      </c>
      <c r="AC2762" s="80" t="s">
        <v>10585</v>
      </c>
      <c r="AD2762" s="77" t="s">
        <v>10620</v>
      </c>
      <c r="AE2762" s="83" t="str">
        <f>HYPERLINK("https://twitter.com/nuboxchile/status/1676954161081110528")</f>
        <v>https://twitter.com/nuboxchile/status/1676954161081110528</v>
      </c>
      <c r="AF2762" s="79">
        <v>45113.583356481482</v>
      </c>
      <c r="AG2762" s="85">
        <v>45113</v>
      </c>
      <c r="AH2762" s="80" t="s">
        <v>10845</v>
      </c>
      <c r="AI2762" s="77" t="b">
        <v>0</v>
      </c>
      <c r="AJ2762" s="77"/>
      <c r="AK2762" s="77"/>
      <c r="AL2762" s="77"/>
      <c r="AM2762" s="77"/>
      <c r="AN2762" s="77"/>
      <c r="AO2762" s="77"/>
      <c r="AP2762" s="77"/>
      <c r="AQ2762" s="77" t="s">
        <v>15373</v>
      </c>
      <c r="AR2762" s="77"/>
      <c r="AS2762" s="77"/>
      <c r="AT2762" s="77"/>
      <c r="AU2762" s="77"/>
      <c r="AV2762" s="83" t="str">
        <f>HYPERLINK("https://pbs.twimg.com/media/F0W87BXaQAA1oin.jpg")</f>
        <v>https://pbs.twimg.com/media/F0W87BXaQAA1oin.jpg</v>
      </c>
      <c r="AW2762" s="80" t="s">
        <v>18532</v>
      </c>
      <c r="AX2762" s="80" t="s">
        <v>18532</v>
      </c>
      <c r="AY2762" s="77"/>
      <c r="AZ2762" s="80" t="s">
        <v>20380</v>
      </c>
      <c r="BA2762" s="80" t="s">
        <v>20380</v>
      </c>
      <c r="BB2762" s="80" t="s">
        <v>20380</v>
      </c>
      <c r="BC2762" s="80" t="s">
        <v>18532</v>
      </c>
      <c r="BD2762" s="77">
        <v>1120075057</v>
      </c>
      <c r="BE2762" s="77"/>
      <c r="BF2762" s="77"/>
      <c r="BG2762" s="77"/>
      <c r="BH2762" s="77"/>
      <c r="BI2762" s="77"/>
    </row>
    <row r="2763" spans="1:61" x14ac:dyDescent="0.25">
      <c r="A2763" s="62" t="s">
        <v>1134</v>
      </c>
      <c r="B2763" s="62" t="s">
        <v>1384</v>
      </c>
      <c r="C2763" s="63"/>
      <c r="D2763" s="64"/>
      <c r="E2763" s="65"/>
      <c r="F2763" s="66"/>
      <c r="G2763" s="63"/>
      <c r="H2763" s="67"/>
      <c r="I2763" s="68"/>
      <c r="J2763" s="68"/>
      <c r="K2763" s="32"/>
      <c r="L2763" s="75">
        <v>2763</v>
      </c>
      <c r="M2763" s="75"/>
      <c r="N2763" s="70"/>
      <c r="O2763" s="77" t="s">
        <v>2081</v>
      </c>
      <c r="P2763" s="79">
        <v>45099.839942129627</v>
      </c>
      <c r="Q2763" s="77" t="s">
        <v>4520</v>
      </c>
      <c r="R2763" s="77">
        <v>0</v>
      </c>
      <c r="S2763" s="77">
        <v>0</v>
      </c>
      <c r="T2763" s="77">
        <v>0</v>
      </c>
      <c r="U2763" s="77">
        <v>0</v>
      </c>
      <c r="V2763" s="77">
        <v>268</v>
      </c>
      <c r="W2763" s="80" t="s">
        <v>7637</v>
      </c>
      <c r="X2763" s="83" t="str">
        <f>HYPERLINK("https://hubs.ly/Q01Pl5Z20")</f>
        <v>https://hubs.ly/Q01Pl5Z20</v>
      </c>
      <c r="Y2763" s="77" t="s">
        <v>8803</v>
      </c>
      <c r="Z2763" s="77" t="s">
        <v>1384</v>
      </c>
      <c r="AA2763" s="77" t="s">
        <v>9893</v>
      </c>
      <c r="AB2763" s="77" t="s">
        <v>10535</v>
      </c>
      <c r="AC2763" s="80" t="s">
        <v>10552</v>
      </c>
      <c r="AD2763" s="77" t="s">
        <v>10620</v>
      </c>
      <c r="AE2763" s="83" t="str">
        <f>HYPERLINK("https://twitter.com/nuboxchile/status/1671973711837118464")</f>
        <v>https://twitter.com/nuboxchile/status/1671973711837118464</v>
      </c>
      <c r="AF2763" s="79">
        <v>45099.839942129627</v>
      </c>
      <c r="AG2763" s="85">
        <v>45099</v>
      </c>
      <c r="AH2763" s="80" t="s">
        <v>13047</v>
      </c>
      <c r="AI2763" s="77" t="b">
        <v>0</v>
      </c>
      <c r="AJ2763" s="77" t="s">
        <v>14349</v>
      </c>
      <c r="AK2763" s="77" t="s">
        <v>14386</v>
      </c>
      <c r="AL2763" s="77" t="s">
        <v>14395</v>
      </c>
      <c r="AM2763" s="77" t="s">
        <v>14406</v>
      </c>
      <c r="AN2763" s="77" t="s">
        <v>14446</v>
      </c>
      <c r="AO2763" s="77" t="s">
        <v>14485</v>
      </c>
      <c r="AP2763" s="77" t="s">
        <v>14516</v>
      </c>
      <c r="AQ2763" s="77" t="s">
        <v>15374</v>
      </c>
      <c r="AR2763" s="77"/>
      <c r="AS2763" s="77"/>
      <c r="AT2763" s="77"/>
      <c r="AU2763" s="77"/>
      <c r="AV2763" s="83" t="str">
        <f>HYPERLINK("https://pbs.twimg.com/media/FzQLOv6XwAAm2lA.jpg")</f>
        <v>https://pbs.twimg.com/media/FzQLOv6XwAAm2lA.jpg</v>
      </c>
      <c r="AW2763" s="80" t="s">
        <v>18533</v>
      </c>
      <c r="AX2763" s="80" t="s">
        <v>18533</v>
      </c>
      <c r="AY2763" s="77"/>
      <c r="AZ2763" s="80" t="s">
        <v>20380</v>
      </c>
      <c r="BA2763" s="80" t="s">
        <v>20380</v>
      </c>
      <c r="BB2763" s="80" t="s">
        <v>20380</v>
      </c>
      <c r="BC2763" s="80" t="s">
        <v>18533</v>
      </c>
      <c r="BD2763" s="77">
        <v>1120075057</v>
      </c>
      <c r="BE2763" s="77"/>
      <c r="BF2763" s="77"/>
      <c r="BG2763" s="77"/>
      <c r="BH2763" s="77"/>
      <c r="BI2763" s="77"/>
    </row>
    <row r="2764" spans="1:61" x14ac:dyDescent="0.25">
      <c r="A2764" s="62" t="s">
        <v>1134</v>
      </c>
      <c r="B2764" s="62" t="s">
        <v>1384</v>
      </c>
      <c r="C2764" s="63"/>
      <c r="D2764" s="64"/>
      <c r="E2764" s="65"/>
      <c r="F2764" s="66"/>
      <c r="G2764" s="63"/>
      <c r="H2764" s="67"/>
      <c r="I2764" s="68"/>
      <c r="J2764" s="68"/>
      <c r="K2764" s="32"/>
      <c r="L2764" s="75">
        <v>2764</v>
      </c>
      <c r="M2764" s="75"/>
      <c r="N2764" s="70"/>
      <c r="O2764" s="77" t="s">
        <v>2081</v>
      </c>
      <c r="P2764" s="79">
        <v>45084.555694444447</v>
      </c>
      <c r="Q2764" s="77" t="s">
        <v>4521</v>
      </c>
      <c r="R2764" s="77">
        <v>0</v>
      </c>
      <c r="S2764" s="77">
        <v>0</v>
      </c>
      <c r="T2764" s="77">
        <v>0</v>
      </c>
      <c r="U2764" s="77">
        <v>0</v>
      </c>
      <c r="V2764" s="77">
        <v>47</v>
      </c>
      <c r="W2764" s="80" t="s">
        <v>7637</v>
      </c>
      <c r="X2764" s="83" t="str">
        <f>HYPERLINK("https://hubs.ly/Q01Pl5Z20")</f>
        <v>https://hubs.ly/Q01Pl5Z20</v>
      </c>
      <c r="Y2764" s="77" t="s">
        <v>8803</v>
      </c>
      <c r="Z2764" s="77" t="s">
        <v>1384</v>
      </c>
      <c r="AA2764" s="77" t="s">
        <v>9894</v>
      </c>
      <c r="AB2764" s="77" t="s">
        <v>10535</v>
      </c>
      <c r="AC2764" s="80" t="s">
        <v>10552</v>
      </c>
      <c r="AD2764" s="77" t="s">
        <v>10620</v>
      </c>
      <c r="AE2764" s="83" t="str">
        <f>HYPERLINK("https://twitter.com/nuboxchile/status/1666434887786668039")</f>
        <v>https://twitter.com/nuboxchile/status/1666434887786668039</v>
      </c>
      <c r="AF2764" s="79">
        <v>45084.555694444447</v>
      </c>
      <c r="AG2764" s="85">
        <v>45084</v>
      </c>
      <c r="AH2764" s="80" t="s">
        <v>13048</v>
      </c>
      <c r="AI2764" s="77" t="b">
        <v>0</v>
      </c>
      <c r="AJ2764" s="77" t="s">
        <v>14349</v>
      </c>
      <c r="AK2764" s="77" t="s">
        <v>14386</v>
      </c>
      <c r="AL2764" s="77" t="s">
        <v>14395</v>
      </c>
      <c r="AM2764" s="77" t="s">
        <v>14406</v>
      </c>
      <c r="AN2764" s="77" t="s">
        <v>14446</v>
      </c>
      <c r="AO2764" s="77" t="s">
        <v>14485</v>
      </c>
      <c r="AP2764" s="77" t="s">
        <v>14516</v>
      </c>
      <c r="AQ2764" s="77" t="s">
        <v>15375</v>
      </c>
      <c r="AR2764" s="77"/>
      <c r="AS2764" s="77"/>
      <c r="AT2764" s="77"/>
      <c r="AU2764" s="77"/>
      <c r="AV2764" s="83" t="str">
        <f>HYPERLINK("https://pbs.twimg.com/media/FyBdsriXgAA635R.jpg")</f>
        <v>https://pbs.twimg.com/media/FyBdsriXgAA635R.jpg</v>
      </c>
      <c r="AW2764" s="80" t="s">
        <v>18534</v>
      </c>
      <c r="AX2764" s="80" t="s">
        <v>18534</v>
      </c>
      <c r="AY2764" s="77"/>
      <c r="AZ2764" s="80" t="s">
        <v>20380</v>
      </c>
      <c r="BA2764" s="80" t="s">
        <v>20380</v>
      </c>
      <c r="BB2764" s="80" t="s">
        <v>20380</v>
      </c>
      <c r="BC2764" s="80" t="s">
        <v>18534</v>
      </c>
      <c r="BD2764" s="77">
        <v>1120075057</v>
      </c>
      <c r="BE2764" s="77"/>
      <c r="BF2764" s="77"/>
      <c r="BG2764" s="77"/>
      <c r="BH2764" s="77"/>
      <c r="BI2764" s="77"/>
    </row>
    <row r="2765" spans="1:61" x14ac:dyDescent="0.25">
      <c r="A2765" s="62" t="s">
        <v>1134</v>
      </c>
      <c r="B2765" s="62" t="s">
        <v>1384</v>
      </c>
      <c r="C2765" s="63"/>
      <c r="D2765" s="64"/>
      <c r="E2765" s="65"/>
      <c r="F2765" s="66"/>
      <c r="G2765" s="63"/>
      <c r="H2765" s="67"/>
      <c r="I2765" s="68"/>
      <c r="J2765" s="68"/>
      <c r="K2765" s="32"/>
      <c r="L2765" s="75">
        <v>2765</v>
      </c>
      <c r="M2765" s="75"/>
      <c r="N2765" s="70"/>
      <c r="O2765" s="77" t="s">
        <v>2081</v>
      </c>
      <c r="P2765" s="79">
        <v>45082.559166666666</v>
      </c>
      <c r="Q2765" s="77" t="s">
        <v>4522</v>
      </c>
      <c r="R2765" s="77">
        <v>0</v>
      </c>
      <c r="S2765" s="77">
        <v>0</v>
      </c>
      <c r="T2765" s="77">
        <v>0</v>
      </c>
      <c r="U2765" s="77">
        <v>0</v>
      </c>
      <c r="V2765" s="77">
        <v>68</v>
      </c>
      <c r="W2765" s="80" t="s">
        <v>7637</v>
      </c>
      <c r="X2765" s="83" t="str">
        <f>HYPERLINK("https://hubs.ly/Q01Pl5Z20")</f>
        <v>https://hubs.ly/Q01Pl5Z20</v>
      </c>
      <c r="Y2765" s="77" t="s">
        <v>8803</v>
      </c>
      <c r="Z2765" s="77" t="s">
        <v>1384</v>
      </c>
      <c r="AA2765" s="77" t="s">
        <v>9895</v>
      </c>
      <c r="AB2765" s="77" t="s">
        <v>10535</v>
      </c>
      <c r="AC2765" s="80" t="s">
        <v>10552</v>
      </c>
      <c r="AD2765" s="77" t="s">
        <v>10620</v>
      </c>
      <c r="AE2765" s="83" t="str">
        <f>HYPERLINK("https://twitter.com/nuboxchile/status/1665711367691673600")</f>
        <v>https://twitter.com/nuboxchile/status/1665711367691673600</v>
      </c>
      <c r="AF2765" s="79">
        <v>45082.559166666666</v>
      </c>
      <c r="AG2765" s="85">
        <v>45082</v>
      </c>
      <c r="AH2765" s="80" t="s">
        <v>13049</v>
      </c>
      <c r="AI2765" s="77" t="b">
        <v>0</v>
      </c>
      <c r="AJ2765" s="77" t="s">
        <v>14349</v>
      </c>
      <c r="AK2765" s="77" t="s">
        <v>14386</v>
      </c>
      <c r="AL2765" s="77" t="s">
        <v>14395</v>
      </c>
      <c r="AM2765" s="77" t="s">
        <v>14406</v>
      </c>
      <c r="AN2765" s="77" t="s">
        <v>14446</v>
      </c>
      <c r="AO2765" s="77" t="s">
        <v>14485</v>
      </c>
      <c r="AP2765" s="77" t="s">
        <v>14516</v>
      </c>
      <c r="AQ2765" s="77" t="s">
        <v>15376</v>
      </c>
      <c r="AR2765" s="77"/>
      <c r="AS2765" s="77"/>
      <c r="AT2765" s="77"/>
      <c r="AU2765" s="77"/>
      <c r="AV2765" s="83" t="str">
        <f>HYPERLINK("https://pbs.twimg.com/media/Fx3LqW2WwAQqpuJ.jpg")</f>
        <v>https://pbs.twimg.com/media/Fx3LqW2WwAQqpuJ.jpg</v>
      </c>
      <c r="AW2765" s="80" t="s">
        <v>18535</v>
      </c>
      <c r="AX2765" s="80" t="s">
        <v>18535</v>
      </c>
      <c r="AY2765" s="77"/>
      <c r="AZ2765" s="80" t="s">
        <v>20380</v>
      </c>
      <c r="BA2765" s="80" t="s">
        <v>20380</v>
      </c>
      <c r="BB2765" s="80" t="s">
        <v>20380</v>
      </c>
      <c r="BC2765" s="80" t="s">
        <v>18535</v>
      </c>
      <c r="BD2765" s="77">
        <v>1120075057</v>
      </c>
      <c r="BE2765" s="77"/>
      <c r="BF2765" s="77"/>
      <c r="BG2765" s="77"/>
      <c r="BH2765" s="77"/>
      <c r="BI2765" s="77"/>
    </row>
    <row r="2766" spans="1:61" x14ac:dyDescent="0.25">
      <c r="A2766" s="62" t="s">
        <v>1134</v>
      </c>
      <c r="B2766" s="62" t="s">
        <v>1384</v>
      </c>
      <c r="C2766" s="63"/>
      <c r="D2766" s="64"/>
      <c r="E2766" s="65"/>
      <c r="F2766" s="66"/>
      <c r="G2766" s="63"/>
      <c r="H2766" s="67"/>
      <c r="I2766" s="68"/>
      <c r="J2766" s="68"/>
      <c r="K2766" s="32"/>
      <c r="L2766" s="75">
        <v>2766</v>
      </c>
      <c r="M2766" s="75"/>
      <c r="N2766" s="70"/>
      <c r="O2766" s="77" t="s">
        <v>2081</v>
      </c>
      <c r="P2766" s="79">
        <v>45049.577951388892</v>
      </c>
      <c r="Q2766" s="77" t="s">
        <v>4523</v>
      </c>
      <c r="R2766" s="77">
        <v>0</v>
      </c>
      <c r="S2766" s="77">
        <v>0</v>
      </c>
      <c r="T2766" s="77">
        <v>0</v>
      </c>
      <c r="U2766" s="77">
        <v>0</v>
      </c>
      <c r="V2766" s="77">
        <v>51</v>
      </c>
      <c r="W2766" s="80" t="s">
        <v>7637</v>
      </c>
      <c r="X2766" s="83" t="str">
        <f>HYPERLINK("https://hubs.ly/Q01Nw00x0")</f>
        <v>https://hubs.ly/Q01Nw00x0</v>
      </c>
      <c r="Y2766" s="77" t="s">
        <v>8803</v>
      </c>
      <c r="Z2766" s="77" t="s">
        <v>1384</v>
      </c>
      <c r="AA2766" s="77" t="s">
        <v>9896</v>
      </c>
      <c r="AB2766" s="77" t="s">
        <v>10535</v>
      </c>
      <c r="AC2766" s="80" t="s">
        <v>10585</v>
      </c>
      <c r="AD2766" s="77" t="s">
        <v>10620</v>
      </c>
      <c r="AE2766" s="83" t="str">
        <f>HYPERLINK("https://twitter.com/nuboxchile/status/1653759375171788800")</f>
        <v>https://twitter.com/nuboxchile/status/1653759375171788800</v>
      </c>
      <c r="AF2766" s="79">
        <v>45049.577951388892</v>
      </c>
      <c r="AG2766" s="85">
        <v>45049</v>
      </c>
      <c r="AH2766" s="80" t="s">
        <v>13050</v>
      </c>
      <c r="AI2766" s="77" t="b">
        <v>0</v>
      </c>
      <c r="AJ2766" s="77"/>
      <c r="AK2766" s="77"/>
      <c r="AL2766" s="77"/>
      <c r="AM2766" s="77"/>
      <c r="AN2766" s="77"/>
      <c r="AO2766" s="77"/>
      <c r="AP2766" s="77"/>
      <c r="AQ2766" s="77" t="s">
        <v>15377</v>
      </c>
      <c r="AR2766" s="77"/>
      <c r="AS2766" s="77"/>
      <c r="AT2766" s="77"/>
      <c r="AU2766" s="77"/>
      <c r="AV2766" s="83" t="str">
        <f>HYPERLINK("https://pbs.twimg.com/media/FvNVY2wX0AMPIQ2.jpg")</f>
        <v>https://pbs.twimg.com/media/FvNVY2wX0AMPIQ2.jpg</v>
      </c>
      <c r="AW2766" s="80" t="s">
        <v>18536</v>
      </c>
      <c r="AX2766" s="80" t="s">
        <v>18536</v>
      </c>
      <c r="AY2766" s="77"/>
      <c r="AZ2766" s="80" t="s">
        <v>20380</v>
      </c>
      <c r="BA2766" s="80" t="s">
        <v>20380</v>
      </c>
      <c r="BB2766" s="80" t="s">
        <v>20380</v>
      </c>
      <c r="BC2766" s="80" t="s">
        <v>18536</v>
      </c>
      <c r="BD2766" s="77">
        <v>1120075057</v>
      </c>
      <c r="BE2766" s="77"/>
      <c r="BF2766" s="77"/>
      <c r="BG2766" s="77"/>
      <c r="BH2766" s="77"/>
      <c r="BI2766" s="77"/>
    </row>
    <row r="2767" spans="1:61" x14ac:dyDescent="0.25">
      <c r="A2767" s="62" t="s">
        <v>1134</v>
      </c>
      <c r="B2767" s="62" t="s">
        <v>1134</v>
      </c>
      <c r="C2767" s="63"/>
      <c r="D2767" s="64"/>
      <c r="E2767" s="65"/>
      <c r="F2767" s="66"/>
      <c r="G2767" s="63"/>
      <c r="H2767" s="67"/>
      <c r="I2767" s="68"/>
      <c r="J2767" s="68"/>
      <c r="K2767" s="32"/>
      <c r="L2767" s="75">
        <v>2767</v>
      </c>
      <c r="M2767" s="75"/>
      <c r="N2767" s="70"/>
      <c r="O2767" s="77" t="s">
        <v>179</v>
      </c>
      <c r="P2767" s="79">
        <v>45142.562569444446</v>
      </c>
      <c r="Q2767" s="77" t="s">
        <v>4524</v>
      </c>
      <c r="R2767" s="77">
        <v>0</v>
      </c>
      <c r="S2767" s="77">
        <v>0</v>
      </c>
      <c r="T2767" s="77">
        <v>0</v>
      </c>
      <c r="U2767" s="77">
        <v>0</v>
      </c>
      <c r="V2767" s="77">
        <v>41</v>
      </c>
      <c r="W2767" s="80" t="s">
        <v>7636</v>
      </c>
      <c r="X2767" s="83" t="str">
        <f>HYPERLINK("https://sge.st/OSE1oX6")</f>
        <v>https://sge.st/OSE1oX6</v>
      </c>
      <c r="Y2767" s="77" t="s">
        <v>8804</v>
      </c>
      <c r="Z2767" s="77"/>
      <c r="AA2767" s="77" t="s">
        <v>9897</v>
      </c>
      <c r="AB2767" s="77" t="s">
        <v>10535</v>
      </c>
      <c r="AC2767" s="80" t="s">
        <v>10598</v>
      </c>
      <c r="AD2767" s="77" t="s">
        <v>10620</v>
      </c>
      <c r="AE2767" s="83" t="str">
        <f>HYPERLINK("https://twitter.com/nuboxchile/status/1687455875223449601")</f>
        <v>https://twitter.com/nuboxchile/status/1687455875223449601</v>
      </c>
      <c r="AF2767" s="79">
        <v>45142.562569444446</v>
      </c>
      <c r="AG2767" s="85">
        <v>45142</v>
      </c>
      <c r="AH2767" s="80" t="s">
        <v>13051</v>
      </c>
      <c r="AI2767" s="77" t="b">
        <v>0</v>
      </c>
      <c r="AJ2767" s="77"/>
      <c r="AK2767" s="77"/>
      <c r="AL2767" s="77"/>
      <c r="AM2767" s="77"/>
      <c r="AN2767" s="77"/>
      <c r="AO2767" s="77"/>
      <c r="AP2767" s="77"/>
      <c r="AQ2767" s="77" t="s">
        <v>15378</v>
      </c>
      <c r="AR2767" s="77"/>
      <c r="AS2767" s="77"/>
      <c r="AT2767" s="77"/>
      <c r="AU2767" s="77"/>
      <c r="AV2767" s="83" t="str">
        <f>HYPERLINK("https://pbs.twimg.com/media/F2sMLLxXgAAGd6K.jpg")</f>
        <v>https://pbs.twimg.com/media/F2sMLLxXgAAGd6K.jpg</v>
      </c>
      <c r="AW2767" s="80" t="s">
        <v>18537</v>
      </c>
      <c r="AX2767" s="80" t="s">
        <v>18537</v>
      </c>
      <c r="AY2767" s="77"/>
      <c r="AZ2767" s="80" t="s">
        <v>20380</v>
      </c>
      <c r="BA2767" s="80" t="s">
        <v>20380</v>
      </c>
      <c r="BB2767" s="80" t="s">
        <v>20380</v>
      </c>
      <c r="BC2767" s="80" t="s">
        <v>18537</v>
      </c>
      <c r="BD2767" s="77">
        <v>1120075057</v>
      </c>
      <c r="BE2767" s="77"/>
      <c r="BF2767" s="77"/>
      <c r="BG2767" s="77"/>
      <c r="BH2767" s="77"/>
      <c r="BI2767" s="77"/>
    </row>
    <row r="2768" spans="1:61" x14ac:dyDescent="0.25">
      <c r="A2768" s="62" t="s">
        <v>1134</v>
      </c>
      <c r="B2768" s="62" t="s">
        <v>1134</v>
      </c>
      <c r="C2768" s="63"/>
      <c r="D2768" s="64"/>
      <c r="E2768" s="65"/>
      <c r="F2768" s="66"/>
      <c r="G2768" s="63"/>
      <c r="H2768" s="67"/>
      <c r="I2768" s="68"/>
      <c r="J2768" s="68"/>
      <c r="K2768" s="32"/>
      <c r="L2768" s="75">
        <v>2768</v>
      </c>
      <c r="M2768" s="75"/>
      <c r="N2768" s="70"/>
      <c r="O2768" s="77" t="s">
        <v>179</v>
      </c>
      <c r="P2768" s="79">
        <v>45127.621157407404</v>
      </c>
      <c r="Q2768" s="77" t="s">
        <v>4525</v>
      </c>
      <c r="R2768" s="77">
        <v>0</v>
      </c>
      <c r="S2768" s="77">
        <v>0</v>
      </c>
      <c r="T2768" s="77">
        <v>0</v>
      </c>
      <c r="U2768" s="77">
        <v>0</v>
      </c>
      <c r="V2768" s="77">
        <v>90</v>
      </c>
      <c r="W2768" s="80" t="s">
        <v>7636</v>
      </c>
      <c r="X2768" s="83" t="str">
        <f>HYPERLINK("https://sge.st/OSE1oX6")</f>
        <v>https://sge.st/OSE1oX6</v>
      </c>
      <c r="Y2768" s="77" t="s">
        <v>8804</v>
      </c>
      <c r="Z2768" s="77"/>
      <c r="AA2768" s="77" t="s">
        <v>9898</v>
      </c>
      <c r="AB2768" s="77" t="s">
        <v>10535</v>
      </c>
      <c r="AC2768" s="80" t="s">
        <v>10598</v>
      </c>
      <c r="AD2768" s="77" t="s">
        <v>10620</v>
      </c>
      <c r="AE2768" s="83" t="str">
        <f>HYPERLINK("https://twitter.com/nuboxchile/status/1682041288856842240")</f>
        <v>https://twitter.com/nuboxchile/status/1682041288856842240</v>
      </c>
      <c r="AF2768" s="79">
        <v>45127.621157407404</v>
      </c>
      <c r="AG2768" s="85">
        <v>45127</v>
      </c>
      <c r="AH2768" s="80" t="s">
        <v>13052</v>
      </c>
      <c r="AI2768" s="77" t="b">
        <v>0</v>
      </c>
      <c r="AJ2768" s="77"/>
      <c r="AK2768" s="77"/>
      <c r="AL2768" s="77"/>
      <c r="AM2768" s="77"/>
      <c r="AN2768" s="77"/>
      <c r="AO2768" s="77"/>
      <c r="AP2768" s="77"/>
      <c r="AQ2768" s="77" t="s">
        <v>15379</v>
      </c>
      <c r="AR2768" s="77"/>
      <c r="AS2768" s="77"/>
      <c r="AT2768" s="77"/>
      <c r="AU2768" s="77"/>
      <c r="AV2768" s="83" t="str">
        <f>HYPERLINK("https://pbs.twimg.com/media/F1fPop9akAAToRx.jpg")</f>
        <v>https://pbs.twimg.com/media/F1fPop9akAAToRx.jpg</v>
      </c>
      <c r="AW2768" s="80" t="s">
        <v>18538</v>
      </c>
      <c r="AX2768" s="80" t="s">
        <v>18538</v>
      </c>
      <c r="AY2768" s="77"/>
      <c r="AZ2768" s="80" t="s">
        <v>20380</v>
      </c>
      <c r="BA2768" s="80" t="s">
        <v>20380</v>
      </c>
      <c r="BB2768" s="80" t="s">
        <v>20380</v>
      </c>
      <c r="BC2768" s="80" t="s">
        <v>18538</v>
      </c>
      <c r="BD2768" s="77">
        <v>1120075057</v>
      </c>
      <c r="BE2768" s="77"/>
      <c r="BF2768" s="77"/>
      <c r="BG2768" s="77"/>
      <c r="BH2768" s="77"/>
      <c r="BI2768" s="77"/>
    </row>
    <row r="2769" spans="1:61" x14ac:dyDescent="0.25">
      <c r="A2769" s="62" t="s">
        <v>1134</v>
      </c>
      <c r="B2769" s="62" t="s">
        <v>1384</v>
      </c>
      <c r="C2769" s="63"/>
      <c r="D2769" s="64"/>
      <c r="E2769" s="65"/>
      <c r="F2769" s="66"/>
      <c r="G2769" s="63"/>
      <c r="H2769" s="67"/>
      <c r="I2769" s="68"/>
      <c r="J2769" s="68"/>
      <c r="K2769" s="32"/>
      <c r="L2769" s="75">
        <v>2769</v>
      </c>
      <c r="M2769" s="75"/>
      <c r="N2769" s="70"/>
      <c r="O2769" s="77" t="s">
        <v>2081</v>
      </c>
      <c r="P2769" s="79">
        <v>45126.671435185184</v>
      </c>
      <c r="Q2769" s="77" t="s">
        <v>4526</v>
      </c>
      <c r="R2769" s="77">
        <v>0</v>
      </c>
      <c r="S2769" s="77">
        <v>0</v>
      </c>
      <c r="T2769" s="77">
        <v>0</v>
      </c>
      <c r="U2769" s="77">
        <v>0</v>
      </c>
      <c r="V2769" s="77">
        <v>40</v>
      </c>
      <c r="W2769" s="80" t="s">
        <v>7636</v>
      </c>
      <c r="X2769" s="83" t="str">
        <f>HYPERLINK("https://hubs.ly/Q01Yc9d40")</f>
        <v>https://hubs.ly/Q01Yc9d40</v>
      </c>
      <c r="Y2769" s="77" t="s">
        <v>8803</v>
      </c>
      <c r="Z2769" s="77" t="s">
        <v>1384</v>
      </c>
      <c r="AA2769" s="77" t="s">
        <v>9899</v>
      </c>
      <c r="AB2769" s="77" t="s">
        <v>10535</v>
      </c>
      <c r="AC2769" s="80" t="s">
        <v>10585</v>
      </c>
      <c r="AD2769" s="77" t="s">
        <v>10620</v>
      </c>
      <c r="AE2769" s="83" t="str">
        <f>HYPERLINK("https://twitter.com/nuboxchile/status/1681697121525800964")</f>
        <v>https://twitter.com/nuboxchile/status/1681697121525800964</v>
      </c>
      <c r="AF2769" s="79">
        <v>45126.671435185184</v>
      </c>
      <c r="AG2769" s="85">
        <v>45126</v>
      </c>
      <c r="AH2769" s="80" t="s">
        <v>13053</v>
      </c>
      <c r="AI2769" s="77" t="b">
        <v>0</v>
      </c>
      <c r="AJ2769" s="77"/>
      <c r="AK2769" s="77"/>
      <c r="AL2769" s="77"/>
      <c r="AM2769" s="77"/>
      <c r="AN2769" s="77"/>
      <c r="AO2769" s="77"/>
      <c r="AP2769" s="77"/>
      <c r="AQ2769" s="77" t="s">
        <v>15380</v>
      </c>
      <c r="AR2769" s="77"/>
      <c r="AS2769" s="77"/>
      <c r="AT2769" s="77"/>
      <c r="AU2769" s="77"/>
      <c r="AV2769" s="83" t="str">
        <f>HYPERLINK("https://pbs.twimg.com/media/F1aWnp8X0AIfr5K.jpg")</f>
        <v>https://pbs.twimg.com/media/F1aWnp8X0AIfr5K.jpg</v>
      </c>
      <c r="AW2769" s="80" t="s">
        <v>18539</v>
      </c>
      <c r="AX2769" s="80" t="s">
        <v>18539</v>
      </c>
      <c r="AY2769" s="77"/>
      <c r="AZ2769" s="80" t="s">
        <v>20380</v>
      </c>
      <c r="BA2769" s="80" t="s">
        <v>20380</v>
      </c>
      <c r="BB2769" s="80" t="s">
        <v>20380</v>
      </c>
      <c r="BC2769" s="80" t="s">
        <v>18539</v>
      </c>
      <c r="BD2769" s="77">
        <v>1120075057</v>
      </c>
      <c r="BE2769" s="77"/>
      <c r="BF2769" s="77"/>
      <c r="BG2769" s="77"/>
      <c r="BH2769" s="77"/>
      <c r="BI2769" s="77"/>
    </row>
    <row r="2770" spans="1:61" x14ac:dyDescent="0.25">
      <c r="A2770" s="62" t="s">
        <v>1134</v>
      </c>
      <c r="B2770" s="62" t="s">
        <v>1384</v>
      </c>
      <c r="C2770" s="63"/>
      <c r="D2770" s="64"/>
      <c r="E2770" s="65"/>
      <c r="F2770" s="66"/>
      <c r="G2770" s="63"/>
      <c r="H2770" s="67"/>
      <c r="I2770" s="68"/>
      <c r="J2770" s="68"/>
      <c r="K2770" s="32"/>
      <c r="L2770" s="75">
        <v>2770</v>
      </c>
      <c r="M2770" s="75"/>
      <c r="N2770" s="70"/>
      <c r="O2770" s="77" t="s">
        <v>2081</v>
      </c>
      <c r="P2770" s="79">
        <v>45090.574270833335</v>
      </c>
      <c r="Q2770" s="77" t="s">
        <v>4527</v>
      </c>
      <c r="R2770" s="77">
        <v>1</v>
      </c>
      <c r="S2770" s="77">
        <v>1</v>
      </c>
      <c r="T2770" s="77">
        <v>0</v>
      </c>
      <c r="U2770" s="77">
        <v>0</v>
      </c>
      <c r="V2770" s="77">
        <v>123</v>
      </c>
      <c r="W2770" s="80" t="s">
        <v>7637</v>
      </c>
      <c r="X2770" s="83" t="str">
        <f>HYPERLINK("https://hubs.ly/Q01ThmkZ0")</f>
        <v>https://hubs.ly/Q01ThmkZ0</v>
      </c>
      <c r="Y2770" s="77" t="s">
        <v>8803</v>
      </c>
      <c r="Z2770" s="77" t="s">
        <v>1384</v>
      </c>
      <c r="AA2770" s="77" t="s">
        <v>9900</v>
      </c>
      <c r="AB2770" s="77" t="s">
        <v>10535</v>
      </c>
      <c r="AC2770" s="80" t="s">
        <v>10585</v>
      </c>
      <c r="AD2770" s="77" t="s">
        <v>10620</v>
      </c>
      <c r="AE2770" s="83" t="str">
        <f>HYPERLINK("https://twitter.com/nuboxchile/status/1668615943621058561")</f>
        <v>https://twitter.com/nuboxchile/status/1668615943621058561</v>
      </c>
      <c r="AF2770" s="79">
        <v>45090.574270833335</v>
      </c>
      <c r="AG2770" s="85">
        <v>45090</v>
      </c>
      <c r="AH2770" s="80" t="s">
        <v>13054</v>
      </c>
      <c r="AI2770" s="77" t="b">
        <v>0</v>
      </c>
      <c r="AJ2770" s="77"/>
      <c r="AK2770" s="77"/>
      <c r="AL2770" s="77"/>
      <c r="AM2770" s="77"/>
      <c r="AN2770" s="77"/>
      <c r="AO2770" s="77"/>
      <c r="AP2770" s="77"/>
      <c r="AQ2770" s="77" t="s">
        <v>15381</v>
      </c>
      <c r="AR2770" s="77"/>
      <c r="AS2770" s="77"/>
      <c r="AT2770" s="77"/>
      <c r="AU2770" s="77"/>
      <c r="AV2770" s="83" t="str">
        <f>HYPERLINK("https://pbs.twimg.com/media/FygdW8ZWwAAvR6e.jpg")</f>
        <v>https://pbs.twimg.com/media/FygdW8ZWwAAvR6e.jpg</v>
      </c>
      <c r="AW2770" s="80" t="s">
        <v>18540</v>
      </c>
      <c r="AX2770" s="80" t="s">
        <v>18540</v>
      </c>
      <c r="AY2770" s="77"/>
      <c r="AZ2770" s="80" t="s">
        <v>20380</v>
      </c>
      <c r="BA2770" s="80" t="s">
        <v>20380</v>
      </c>
      <c r="BB2770" s="80" t="s">
        <v>20380</v>
      </c>
      <c r="BC2770" s="80" t="s">
        <v>18540</v>
      </c>
      <c r="BD2770" s="77">
        <v>1120075057</v>
      </c>
      <c r="BE2770" s="77"/>
      <c r="BF2770" s="77"/>
      <c r="BG2770" s="77"/>
      <c r="BH2770" s="77"/>
      <c r="BI2770" s="77"/>
    </row>
    <row r="2771" spans="1:61" x14ac:dyDescent="0.25">
      <c r="A2771" s="62" t="s">
        <v>1134</v>
      </c>
      <c r="B2771" s="62" t="s">
        <v>1384</v>
      </c>
      <c r="C2771" s="63"/>
      <c r="D2771" s="64"/>
      <c r="E2771" s="65"/>
      <c r="F2771" s="66"/>
      <c r="G2771" s="63"/>
      <c r="H2771" s="67"/>
      <c r="I2771" s="68"/>
      <c r="J2771" s="68"/>
      <c r="K2771" s="32"/>
      <c r="L2771" s="75">
        <v>2771</v>
      </c>
      <c r="M2771" s="75"/>
      <c r="N2771" s="70"/>
      <c r="O2771" s="77" t="s">
        <v>2081</v>
      </c>
      <c r="P2771" s="79">
        <v>45054.562511574077</v>
      </c>
      <c r="Q2771" s="77" t="s">
        <v>4528</v>
      </c>
      <c r="R2771" s="77">
        <v>0</v>
      </c>
      <c r="S2771" s="77">
        <v>0</v>
      </c>
      <c r="T2771" s="77">
        <v>0</v>
      </c>
      <c r="U2771" s="77">
        <v>0</v>
      </c>
      <c r="V2771" s="77">
        <v>82</v>
      </c>
      <c r="W2771" s="80" t="s">
        <v>7637</v>
      </c>
      <c r="X2771" s="83" t="str">
        <f>HYPERLINK("https://hubs.ly/Q01NYJRw0")</f>
        <v>https://hubs.ly/Q01NYJRw0</v>
      </c>
      <c r="Y2771" s="77" t="s">
        <v>8803</v>
      </c>
      <c r="Z2771" s="77" t="s">
        <v>1384</v>
      </c>
      <c r="AA2771" s="77" t="s">
        <v>9901</v>
      </c>
      <c r="AB2771" s="77" t="s">
        <v>10535</v>
      </c>
      <c r="AC2771" s="80" t="s">
        <v>10585</v>
      </c>
      <c r="AD2771" s="77" t="s">
        <v>10620</v>
      </c>
      <c r="AE2771" s="83" t="str">
        <f>HYPERLINK("https://twitter.com/nuboxchile/status/1655565719143165952")</f>
        <v>https://twitter.com/nuboxchile/status/1655565719143165952</v>
      </c>
      <c r="AF2771" s="79">
        <v>45054.562511574077</v>
      </c>
      <c r="AG2771" s="85">
        <v>45054</v>
      </c>
      <c r="AH2771" s="80" t="s">
        <v>10858</v>
      </c>
      <c r="AI2771" s="77" t="b">
        <v>0</v>
      </c>
      <c r="AJ2771" s="77"/>
      <c r="AK2771" s="77"/>
      <c r="AL2771" s="77"/>
      <c r="AM2771" s="77"/>
      <c r="AN2771" s="77"/>
      <c r="AO2771" s="77"/>
      <c r="AP2771" s="77"/>
      <c r="AQ2771" s="77" t="s">
        <v>15382</v>
      </c>
      <c r="AR2771" s="77"/>
      <c r="AS2771" s="77"/>
      <c r="AT2771" s="77"/>
      <c r="AU2771" s="77"/>
      <c r="AV2771" s="83" t="str">
        <f>HYPERLINK("https://pbs.twimg.com/media/FvnAP5dXoAE7j4w.jpg")</f>
        <v>https://pbs.twimg.com/media/FvnAP5dXoAE7j4w.jpg</v>
      </c>
      <c r="AW2771" s="80" t="s">
        <v>18541</v>
      </c>
      <c r="AX2771" s="80" t="s">
        <v>18541</v>
      </c>
      <c r="AY2771" s="77"/>
      <c r="AZ2771" s="80" t="s">
        <v>20380</v>
      </c>
      <c r="BA2771" s="80" t="s">
        <v>20380</v>
      </c>
      <c r="BB2771" s="80" t="s">
        <v>20380</v>
      </c>
      <c r="BC2771" s="80" t="s">
        <v>18541</v>
      </c>
      <c r="BD2771" s="77">
        <v>1120075057</v>
      </c>
      <c r="BE2771" s="77"/>
      <c r="BF2771" s="77"/>
      <c r="BG2771" s="77"/>
      <c r="BH2771" s="77"/>
      <c r="BI2771" s="77"/>
    </row>
    <row r="2772" spans="1:61" x14ac:dyDescent="0.25">
      <c r="A2772" s="62" t="s">
        <v>1134</v>
      </c>
      <c r="B2772" s="62" t="s">
        <v>1384</v>
      </c>
      <c r="C2772" s="63"/>
      <c r="D2772" s="64"/>
      <c r="E2772" s="65"/>
      <c r="F2772" s="66"/>
      <c r="G2772" s="63"/>
      <c r="H2772" s="67"/>
      <c r="I2772" s="68"/>
      <c r="J2772" s="68"/>
      <c r="K2772" s="32"/>
      <c r="L2772" s="75">
        <v>2772</v>
      </c>
      <c r="M2772" s="75"/>
      <c r="N2772" s="70"/>
      <c r="O2772" s="77" t="s">
        <v>2081</v>
      </c>
      <c r="P2772" s="79">
        <v>45079.56958333333</v>
      </c>
      <c r="Q2772" s="77" t="s">
        <v>4529</v>
      </c>
      <c r="R2772" s="77">
        <v>0</v>
      </c>
      <c r="S2772" s="77">
        <v>0</v>
      </c>
      <c r="T2772" s="77">
        <v>0</v>
      </c>
      <c r="U2772" s="77">
        <v>0</v>
      </c>
      <c r="V2772" s="77">
        <v>41</v>
      </c>
      <c r="W2772" s="80" t="s">
        <v>7637</v>
      </c>
      <c r="X2772" s="83" t="str">
        <f>HYPERLINK("https://hubs.ly/Q01Pl5Z20")</f>
        <v>https://hubs.ly/Q01Pl5Z20</v>
      </c>
      <c r="Y2772" s="77" t="s">
        <v>8803</v>
      </c>
      <c r="Z2772" s="77" t="s">
        <v>1384</v>
      </c>
      <c r="AA2772" s="77" t="s">
        <v>9902</v>
      </c>
      <c r="AB2772" s="77" t="s">
        <v>10535</v>
      </c>
      <c r="AC2772" s="80" t="s">
        <v>10552</v>
      </c>
      <c r="AD2772" s="77" t="s">
        <v>10620</v>
      </c>
      <c r="AE2772" s="83" t="str">
        <f>HYPERLINK("https://twitter.com/nuboxchile/status/1664627978989387778")</f>
        <v>https://twitter.com/nuboxchile/status/1664627978989387778</v>
      </c>
      <c r="AF2772" s="79">
        <v>45079.56958333333</v>
      </c>
      <c r="AG2772" s="85">
        <v>45079</v>
      </c>
      <c r="AH2772" s="80" t="s">
        <v>13055</v>
      </c>
      <c r="AI2772" s="77" t="b">
        <v>0</v>
      </c>
      <c r="AJ2772" s="77" t="s">
        <v>14349</v>
      </c>
      <c r="AK2772" s="77" t="s">
        <v>14386</v>
      </c>
      <c r="AL2772" s="77" t="s">
        <v>14395</v>
      </c>
      <c r="AM2772" s="77" t="s">
        <v>14406</v>
      </c>
      <c r="AN2772" s="77" t="s">
        <v>14446</v>
      </c>
      <c r="AO2772" s="77" t="s">
        <v>14485</v>
      </c>
      <c r="AP2772" s="77" t="s">
        <v>14516</v>
      </c>
      <c r="AQ2772" s="77" t="s">
        <v>15383</v>
      </c>
      <c r="AR2772" s="77"/>
      <c r="AS2772" s="77"/>
      <c r="AT2772" s="77"/>
      <c r="AU2772" s="77"/>
      <c r="AV2772" s="83" t="str">
        <f>HYPERLINK("https://pbs.twimg.com/media/FxnyU25X0AMWCk3.jpg")</f>
        <v>https://pbs.twimg.com/media/FxnyU25X0AMWCk3.jpg</v>
      </c>
      <c r="AW2772" s="80" t="s">
        <v>18542</v>
      </c>
      <c r="AX2772" s="80" t="s">
        <v>18542</v>
      </c>
      <c r="AY2772" s="77"/>
      <c r="AZ2772" s="80" t="s">
        <v>20380</v>
      </c>
      <c r="BA2772" s="80" t="s">
        <v>20380</v>
      </c>
      <c r="BB2772" s="80" t="s">
        <v>20380</v>
      </c>
      <c r="BC2772" s="80" t="s">
        <v>18542</v>
      </c>
      <c r="BD2772" s="77">
        <v>1120075057</v>
      </c>
      <c r="BE2772" s="77"/>
      <c r="BF2772" s="77"/>
      <c r="BG2772" s="77"/>
      <c r="BH2772" s="77"/>
      <c r="BI2772" s="77"/>
    </row>
    <row r="2773" spans="1:61" x14ac:dyDescent="0.25">
      <c r="A2773" s="62" t="s">
        <v>1134</v>
      </c>
      <c r="B2773" s="62" t="s">
        <v>1134</v>
      </c>
      <c r="C2773" s="63"/>
      <c r="D2773" s="64"/>
      <c r="E2773" s="65"/>
      <c r="F2773" s="66"/>
      <c r="G2773" s="63"/>
      <c r="H2773" s="67"/>
      <c r="I2773" s="68"/>
      <c r="J2773" s="68"/>
      <c r="K2773" s="32"/>
      <c r="L2773" s="75">
        <v>2773</v>
      </c>
      <c r="M2773" s="75"/>
      <c r="N2773" s="70"/>
      <c r="O2773" s="77" t="s">
        <v>179</v>
      </c>
      <c r="P2773" s="79">
        <v>45161.572962962964</v>
      </c>
      <c r="Q2773" s="77" t="s">
        <v>4530</v>
      </c>
      <c r="R2773" s="77">
        <v>0</v>
      </c>
      <c r="S2773" s="77">
        <v>0</v>
      </c>
      <c r="T2773" s="77">
        <v>0</v>
      </c>
      <c r="U2773" s="77">
        <v>0</v>
      </c>
      <c r="V2773" s="77">
        <v>49</v>
      </c>
      <c r="W2773" s="80" t="s">
        <v>7636</v>
      </c>
      <c r="X2773" s="83" t="str">
        <f>HYPERLINK("https://sge.st/OSE1oX6")</f>
        <v>https://sge.st/OSE1oX6</v>
      </c>
      <c r="Y2773" s="77" t="s">
        <v>8804</v>
      </c>
      <c r="Z2773" s="77"/>
      <c r="AA2773" s="77" t="s">
        <v>9903</v>
      </c>
      <c r="AB2773" s="77" t="s">
        <v>10535</v>
      </c>
      <c r="AC2773" s="80" t="s">
        <v>10598</v>
      </c>
      <c r="AD2773" s="77" t="s">
        <v>10620</v>
      </c>
      <c r="AE2773" s="83" t="str">
        <f>HYPERLINK("https://twitter.com/nuboxchile/status/1694345012010504400")</f>
        <v>https://twitter.com/nuboxchile/status/1694345012010504400</v>
      </c>
      <c r="AF2773" s="79">
        <v>45161.572962962964</v>
      </c>
      <c r="AG2773" s="85">
        <v>45161</v>
      </c>
      <c r="AH2773" s="80" t="s">
        <v>13056</v>
      </c>
      <c r="AI2773" s="77" t="b">
        <v>0</v>
      </c>
      <c r="AJ2773" s="77"/>
      <c r="AK2773" s="77"/>
      <c r="AL2773" s="77"/>
      <c r="AM2773" s="77"/>
      <c r="AN2773" s="77"/>
      <c r="AO2773" s="77"/>
      <c r="AP2773" s="77"/>
      <c r="AQ2773" s="77" t="s">
        <v>15384</v>
      </c>
      <c r="AR2773" s="77"/>
      <c r="AS2773" s="77"/>
      <c r="AT2773" s="77"/>
      <c r="AU2773" s="77"/>
      <c r="AV2773" s="83" t="str">
        <f>HYPERLINK("https://pbs.twimg.com/media/F4OFzuiXsAExXe-.jpg")</f>
        <v>https://pbs.twimg.com/media/F4OFzuiXsAExXe-.jpg</v>
      </c>
      <c r="AW2773" s="80" t="s">
        <v>18543</v>
      </c>
      <c r="AX2773" s="80" t="s">
        <v>18543</v>
      </c>
      <c r="AY2773" s="77"/>
      <c r="AZ2773" s="80" t="s">
        <v>20380</v>
      </c>
      <c r="BA2773" s="80" t="s">
        <v>20380</v>
      </c>
      <c r="BB2773" s="80" t="s">
        <v>20380</v>
      </c>
      <c r="BC2773" s="80" t="s">
        <v>18543</v>
      </c>
      <c r="BD2773" s="77">
        <v>1120075057</v>
      </c>
      <c r="BE2773" s="77"/>
      <c r="BF2773" s="77"/>
      <c r="BG2773" s="77"/>
      <c r="BH2773" s="77"/>
      <c r="BI2773" s="77"/>
    </row>
    <row r="2774" spans="1:61" x14ac:dyDescent="0.25">
      <c r="A2774" s="62" t="s">
        <v>1134</v>
      </c>
      <c r="B2774" s="62" t="s">
        <v>1134</v>
      </c>
      <c r="C2774" s="63"/>
      <c r="D2774" s="64"/>
      <c r="E2774" s="65"/>
      <c r="F2774" s="66"/>
      <c r="G2774" s="63"/>
      <c r="H2774" s="67"/>
      <c r="I2774" s="68"/>
      <c r="J2774" s="68"/>
      <c r="K2774" s="32"/>
      <c r="L2774" s="75">
        <v>2774</v>
      </c>
      <c r="M2774" s="75"/>
      <c r="N2774" s="70"/>
      <c r="O2774" s="77" t="s">
        <v>179</v>
      </c>
      <c r="P2774" s="79">
        <v>45145.5937962963</v>
      </c>
      <c r="Q2774" s="77" t="s">
        <v>4531</v>
      </c>
      <c r="R2774" s="77">
        <v>0</v>
      </c>
      <c r="S2774" s="77">
        <v>0</v>
      </c>
      <c r="T2774" s="77">
        <v>0</v>
      </c>
      <c r="U2774" s="77">
        <v>0</v>
      </c>
      <c r="V2774" s="77">
        <v>67</v>
      </c>
      <c r="W2774" s="80" t="s">
        <v>7636</v>
      </c>
      <c r="X2774" s="83" t="str">
        <f>HYPERLINK("https://sge.st/OSE1oX6")</f>
        <v>https://sge.st/OSE1oX6</v>
      </c>
      <c r="Y2774" s="77" t="s">
        <v>8804</v>
      </c>
      <c r="Z2774" s="77"/>
      <c r="AA2774" s="77" t="s">
        <v>9904</v>
      </c>
      <c r="AB2774" s="77" t="s">
        <v>10535</v>
      </c>
      <c r="AC2774" s="80" t="s">
        <v>10598</v>
      </c>
      <c r="AD2774" s="77" t="s">
        <v>10620</v>
      </c>
      <c r="AE2774" s="83" t="str">
        <f>HYPERLINK("https://twitter.com/nuboxchile/status/1688554353538265088")</f>
        <v>https://twitter.com/nuboxchile/status/1688554353538265088</v>
      </c>
      <c r="AF2774" s="79">
        <v>45145.5937962963</v>
      </c>
      <c r="AG2774" s="85">
        <v>45145</v>
      </c>
      <c r="AH2774" s="80" t="s">
        <v>13057</v>
      </c>
      <c r="AI2774" s="77" t="b">
        <v>0</v>
      </c>
      <c r="AJ2774" s="77"/>
      <c r="AK2774" s="77"/>
      <c r="AL2774" s="77"/>
      <c r="AM2774" s="77"/>
      <c r="AN2774" s="77"/>
      <c r="AO2774" s="77"/>
      <c r="AP2774" s="77"/>
      <c r="AQ2774" s="77" t="s">
        <v>15385</v>
      </c>
      <c r="AR2774" s="77"/>
      <c r="AS2774" s="77"/>
      <c r="AT2774" s="77"/>
      <c r="AU2774" s="77"/>
      <c r="AV2774" s="83" t="str">
        <f>HYPERLINK("https://pbs.twimg.com/media/F27zPC9WEAEhSIQ.jpg")</f>
        <v>https://pbs.twimg.com/media/F27zPC9WEAEhSIQ.jpg</v>
      </c>
      <c r="AW2774" s="80" t="s">
        <v>18544</v>
      </c>
      <c r="AX2774" s="80" t="s">
        <v>18544</v>
      </c>
      <c r="AY2774" s="77"/>
      <c r="AZ2774" s="80" t="s">
        <v>20380</v>
      </c>
      <c r="BA2774" s="80" t="s">
        <v>20380</v>
      </c>
      <c r="BB2774" s="80" t="s">
        <v>20380</v>
      </c>
      <c r="BC2774" s="80" t="s">
        <v>18544</v>
      </c>
      <c r="BD2774" s="77">
        <v>1120075057</v>
      </c>
      <c r="BE2774" s="77"/>
      <c r="BF2774" s="77"/>
      <c r="BG2774" s="77"/>
      <c r="BH2774" s="77"/>
      <c r="BI2774" s="77"/>
    </row>
    <row r="2775" spans="1:61" x14ac:dyDescent="0.25">
      <c r="A2775" s="62" t="s">
        <v>1134</v>
      </c>
      <c r="B2775" s="62" t="s">
        <v>1134</v>
      </c>
      <c r="C2775" s="63"/>
      <c r="D2775" s="64"/>
      <c r="E2775" s="65"/>
      <c r="F2775" s="66"/>
      <c r="G2775" s="63"/>
      <c r="H2775" s="67"/>
      <c r="I2775" s="68"/>
      <c r="J2775" s="68"/>
      <c r="K2775" s="32"/>
      <c r="L2775" s="75">
        <v>2775</v>
      </c>
      <c r="M2775" s="75"/>
      <c r="N2775" s="70"/>
      <c r="O2775" s="77" t="s">
        <v>179</v>
      </c>
      <c r="P2775" s="79">
        <v>45132.562557870369</v>
      </c>
      <c r="Q2775" s="77" t="s">
        <v>4532</v>
      </c>
      <c r="R2775" s="77">
        <v>0</v>
      </c>
      <c r="S2775" s="77">
        <v>0</v>
      </c>
      <c r="T2775" s="77">
        <v>0</v>
      </c>
      <c r="U2775" s="77">
        <v>0</v>
      </c>
      <c r="V2775" s="77">
        <v>46</v>
      </c>
      <c r="W2775" s="80" t="s">
        <v>7636</v>
      </c>
      <c r="X2775" s="83" t="str">
        <f>HYPERLINK("https://sge.st/OSE1oX6")</f>
        <v>https://sge.st/OSE1oX6</v>
      </c>
      <c r="Y2775" s="77" t="s">
        <v>8804</v>
      </c>
      <c r="Z2775" s="77"/>
      <c r="AA2775" s="77" t="s">
        <v>9905</v>
      </c>
      <c r="AB2775" s="77" t="s">
        <v>10535</v>
      </c>
      <c r="AC2775" s="80" t="s">
        <v>10598</v>
      </c>
      <c r="AD2775" s="77" t="s">
        <v>10620</v>
      </c>
      <c r="AE2775" s="83" t="str">
        <f>HYPERLINK("https://twitter.com/nuboxchile/status/1683831990837993473")</f>
        <v>https://twitter.com/nuboxchile/status/1683831990837993473</v>
      </c>
      <c r="AF2775" s="79">
        <v>45132.562557870369</v>
      </c>
      <c r="AG2775" s="85">
        <v>45132</v>
      </c>
      <c r="AH2775" s="80" t="s">
        <v>13058</v>
      </c>
      <c r="AI2775" s="77" t="b">
        <v>0</v>
      </c>
      <c r="AJ2775" s="77"/>
      <c r="AK2775" s="77"/>
      <c r="AL2775" s="77"/>
      <c r="AM2775" s="77"/>
      <c r="AN2775" s="77"/>
      <c r="AO2775" s="77"/>
      <c r="AP2775" s="77"/>
      <c r="AQ2775" s="77" t="s">
        <v>15386</v>
      </c>
      <c r="AR2775" s="77"/>
      <c r="AS2775" s="77"/>
      <c r="AT2775" s="77"/>
      <c r="AU2775" s="77"/>
      <c r="AV2775" s="83" t="str">
        <f>HYPERLINK("https://pbs.twimg.com/media/F14sRWtWYAAJdv7.jpg")</f>
        <v>https://pbs.twimg.com/media/F14sRWtWYAAJdv7.jpg</v>
      </c>
      <c r="AW2775" s="80" t="s">
        <v>18545</v>
      </c>
      <c r="AX2775" s="80" t="s">
        <v>18545</v>
      </c>
      <c r="AY2775" s="77"/>
      <c r="AZ2775" s="80" t="s">
        <v>20380</v>
      </c>
      <c r="BA2775" s="80" t="s">
        <v>20380</v>
      </c>
      <c r="BB2775" s="80" t="s">
        <v>20380</v>
      </c>
      <c r="BC2775" s="80" t="s">
        <v>18545</v>
      </c>
      <c r="BD2775" s="77">
        <v>1120075057</v>
      </c>
      <c r="BE2775" s="77"/>
      <c r="BF2775" s="77"/>
      <c r="BG2775" s="77"/>
      <c r="BH2775" s="77"/>
      <c r="BI2775" s="77"/>
    </row>
    <row r="2776" spans="1:61" x14ac:dyDescent="0.25">
      <c r="A2776" s="62" t="s">
        <v>1134</v>
      </c>
      <c r="B2776" s="62" t="s">
        <v>1134</v>
      </c>
      <c r="C2776" s="63"/>
      <c r="D2776" s="64"/>
      <c r="E2776" s="65"/>
      <c r="F2776" s="66"/>
      <c r="G2776" s="63"/>
      <c r="H2776" s="67"/>
      <c r="I2776" s="68"/>
      <c r="J2776" s="68"/>
      <c r="K2776" s="32"/>
      <c r="L2776" s="75">
        <v>2776</v>
      </c>
      <c r="M2776" s="75"/>
      <c r="N2776" s="70"/>
      <c r="O2776" s="77" t="s">
        <v>179</v>
      </c>
      <c r="P2776" s="79">
        <v>45131.634525462963</v>
      </c>
      <c r="Q2776" s="77" t="s">
        <v>4533</v>
      </c>
      <c r="R2776" s="77">
        <v>0</v>
      </c>
      <c r="S2776" s="77">
        <v>0</v>
      </c>
      <c r="T2776" s="77">
        <v>0</v>
      </c>
      <c r="U2776" s="77">
        <v>0</v>
      </c>
      <c r="V2776" s="77">
        <v>100</v>
      </c>
      <c r="W2776" s="80" t="s">
        <v>7636</v>
      </c>
      <c r="X2776" s="83" t="str">
        <f>HYPERLINK("https://sge.st/OSE1oX6")</f>
        <v>https://sge.st/OSE1oX6</v>
      </c>
      <c r="Y2776" s="77" t="s">
        <v>8804</v>
      </c>
      <c r="Z2776" s="77"/>
      <c r="AA2776" s="77" t="s">
        <v>9906</v>
      </c>
      <c r="AB2776" s="77" t="s">
        <v>10535</v>
      </c>
      <c r="AC2776" s="80" t="s">
        <v>10598</v>
      </c>
      <c r="AD2776" s="77" t="s">
        <v>10620</v>
      </c>
      <c r="AE2776" s="83" t="str">
        <f>HYPERLINK("https://twitter.com/nuboxchile/status/1683495683859283968")</f>
        <v>https://twitter.com/nuboxchile/status/1683495683859283968</v>
      </c>
      <c r="AF2776" s="79">
        <v>45131.634525462963</v>
      </c>
      <c r="AG2776" s="85">
        <v>45131</v>
      </c>
      <c r="AH2776" s="80" t="s">
        <v>10829</v>
      </c>
      <c r="AI2776" s="77" t="b">
        <v>0</v>
      </c>
      <c r="AJ2776" s="77"/>
      <c r="AK2776" s="77"/>
      <c r="AL2776" s="77"/>
      <c r="AM2776" s="77"/>
      <c r="AN2776" s="77"/>
      <c r="AO2776" s="77"/>
      <c r="AP2776" s="77"/>
      <c r="AQ2776" s="77" t="s">
        <v>15387</v>
      </c>
      <c r="AR2776" s="77"/>
      <c r="AS2776" s="77"/>
      <c r="AT2776" s="77"/>
      <c r="AU2776" s="77"/>
      <c r="AV2776" s="83" t="str">
        <f>HYPERLINK("https://pbs.twimg.com/media/F1z6Zr3X0AMleAx.jpg")</f>
        <v>https://pbs.twimg.com/media/F1z6Zr3X0AMleAx.jpg</v>
      </c>
      <c r="AW2776" s="80" t="s">
        <v>18546</v>
      </c>
      <c r="AX2776" s="80" t="s">
        <v>18546</v>
      </c>
      <c r="AY2776" s="77"/>
      <c r="AZ2776" s="80" t="s">
        <v>20380</v>
      </c>
      <c r="BA2776" s="80" t="s">
        <v>20380</v>
      </c>
      <c r="BB2776" s="80" t="s">
        <v>20380</v>
      </c>
      <c r="BC2776" s="80" t="s">
        <v>18546</v>
      </c>
      <c r="BD2776" s="77">
        <v>1120075057</v>
      </c>
      <c r="BE2776" s="77"/>
      <c r="BF2776" s="77"/>
      <c r="BG2776" s="77"/>
      <c r="BH2776" s="77"/>
      <c r="BI2776" s="77"/>
    </row>
    <row r="2777" spans="1:61" x14ac:dyDescent="0.25">
      <c r="A2777" s="62" t="s">
        <v>1134</v>
      </c>
      <c r="B2777" s="62" t="s">
        <v>1134</v>
      </c>
      <c r="C2777" s="63"/>
      <c r="D2777" s="64"/>
      <c r="E2777" s="65"/>
      <c r="F2777" s="66"/>
      <c r="G2777" s="63"/>
      <c r="H2777" s="67"/>
      <c r="I2777" s="68"/>
      <c r="J2777" s="68"/>
      <c r="K2777" s="32"/>
      <c r="L2777" s="75">
        <v>2777</v>
      </c>
      <c r="M2777" s="75"/>
      <c r="N2777" s="70"/>
      <c r="O2777" s="77" t="s">
        <v>179</v>
      </c>
      <c r="P2777" s="79">
        <v>45128.614641203705</v>
      </c>
      <c r="Q2777" s="77" t="s">
        <v>4534</v>
      </c>
      <c r="R2777" s="77">
        <v>0</v>
      </c>
      <c r="S2777" s="77">
        <v>0</v>
      </c>
      <c r="T2777" s="77">
        <v>0</v>
      </c>
      <c r="U2777" s="77">
        <v>0</v>
      </c>
      <c r="V2777" s="77">
        <v>29</v>
      </c>
      <c r="W2777" s="80" t="s">
        <v>7636</v>
      </c>
      <c r="X2777" s="83" t="str">
        <f>HYPERLINK("https://sge.st/OSE1oX6")</f>
        <v>https://sge.st/OSE1oX6</v>
      </c>
      <c r="Y2777" s="77" t="s">
        <v>8804</v>
      </c>
      <c r="Z2777" s="77"/>
      <c r="AA2777" s="77" t="s">
        <v>9907</v>
      </c>
      <c r="AB2777" s="77" t="s">
        <v>10535</v>
      </c>
      <c r="AC2777" s="80" t="s">
        <v>10598</v>
      </c>
      <c r="AD2777" s="77" t="s">
        <v>10620</v>
      </c>
      <c r="AE2777" s="83" t="str">
        <f>HYPERLINK("https://twitter.com/nuboxchile/status/1682401313177448449")</f>
        <v>https://twitter.com/nuboxchile/status/1682401313177448449</v>
      </c>
      <c r="AF2777" s="79">
        <v>45128.614641203705</v>
      </c>
      <c r="AG2777" s="85">
        <v>45128</v>
      </c>
      <c r="AH2777" s="80" t="s">
        <v>11462</v>
      </c>
      <c r="AI2777" s="77" t="b">
        <v>0</v>
      </c>
      <c r="AJ2777" s="77"/>
      <c r="AK2777" s="77"/>
      <c r="AL2777" s="77"/>
      <c r="AM2777" s="77"/>
      <c r="AN2777" s="77"/>
      <c r="AO2777" s="77"/>
      <c r="AP2777" s="77"/>
      <c r="AQ2777" s="77" t="s">
        <v>15388</v>
      </c>
      <c r="AR2777" s="77"/>
      <c r="AS2777" s="77"/>
      <c r="AT2777" s="77"/>
      <c r="AU2777" s="77"/>
      <c r="AV2777" s="83" t="str">
        <f>HYPERLINK("https://pbs.twimg.com/media/F1kXE9TWcAAh19l.jpg")</f>
        <v>https://pbs.twimg.com/media/F1kXE9TWcAAh19l.jpg</v>
      </c>
      <c r="AW2777" s="80" t="s">
        <v>18547</v>
      </c>
      <c r="AX2777" s="80" t="s">
        <v>18547</v>
      </c>
      <c r="AY2777" s="77"/>
      <c r="AZ2777" s="80" t="s">
        <v>20380</v>
      </c>
      <c r="BA2777" s="80" t="s">
        <v>20380</v>
      </c>
      <c r="BB2777" s="80" t="s">
        <v>20380</v>
      </c>
      <c r="BC2777" s="80" t="s">
        <v>18547</v>
      </c>
      <c r="BD2777" s="77">
        <v>1120075057</v>
      </c>
      <c r="BE2777" s="77"/>
      <c r="BF2777" s="77"/>
      <c r="BG2777" s="77"/>
      <c r="BH2777" s="77"/>
      <c r="BI2777" s="77"/>
    </row>
    <row r="2778" spans="1:61" x14ac:dyDescent="0.25">
      <c r="A2778" s="62" t="s">
        <v>1134</v>
      </c>
      <c r="B2778" s="62" t="s">
        <v>1384</v>
      </c>
      <c r="C2778" s="63"/>
      <c r="D2778" s="64"/>
      <c r="E2778" s="65"/>
      <c r="F2778" s="66"/>
      <c r="G2778" s="63"/>
      <c r="H2778" s="67"/>
      <c r="I2778" s="68"/>
      <c r="J2778" s="68"/>
      <c r="K2778" s="32"/>
      <c r="L2778" s="75">
        <v>2778</v>
      </c>
      <c r="M2778" s="75"/>
      <c r="N2778" s="70"/>
      <c r="O2778" s="77" t="s">
        <v>2081</v>
      </c>
      <c r="P2778" s="79">
        <v>45105.604328703703</v>
      </c>
      <c r="Q2778" s="77" t="s">
        <v>4535</v>
      </c>
      <c r="R2778" s="77">
        <v>0</v>
      </c>
      <c r="S2778" s="77">
        <v>0</v>
      </c>
      <c r="T2778" s="77">
        <v>0</v>
      </c>
      <c r="U2778" s="77">
        <v>0</v>
      </c>
      <c r="V2778" s="77">
        <v>46</v>
      </c>
      <c r="W2778" s="80" t="s">
        <v>7637</v>
      </c>
      <c r="X2778" s="83" t="str">
        <f>HYPERLINK("https://hubs.ly/Q01Pl5Z20")</f>
        <v>https://hubs.ly/Q01Pl5Z20</v>
      </c>
      <c r="Y2778" s="77" t="s">
        <v>8803</v>
      </c>
      <c r="Z2778" s="77" t="s">
        <v>1384</v>
      </c>
      <c r="AA2778" s="77" t="s">
        <v>9908</v>
      </c>
      <c r="AB2778" s="77" t="s">
        <v>10535</v>
      </c>
      <c r="AC2778" s="80" t="s">
        <v>10552</v>
      </c>
      <c r="AD2778" s="77" t="s">
        <v>10620</v>
      </c>
      <c r="AE2778" s="83" t="str">
        <f>HYPERLINK("https://twitter.com/nuboxchile/status/1674062654774693888")</f>
        <v>https://twitter.com/nuboxchile/status/1674062654774693888</v>
      </c>
      <c r="AF2778" s="79">
        <v>45105.604328703703</v>
      </c>
      <c r="AG2778" s="85">
        <v>45105</v>
      </c>
      <c r="AH2778" s="80" t="s">
        <v>13059</v>
      </c>
      <c r="AI2778" s="77" t="b">
        <v>0</v>
      </c>
      <c r="AJ2778" s="77" t="s">
        <v>14349</v>
      </c>
      <c r="AK2778" s="77" t="s">
        <v>14386</v>
      </c>
      <c r="AL2778" s="77" t="s">
        <v>14395</v>
      </c>
      <c r="AM2778" s="77" t="s">
        <v>14406</v>
      </c>
      <c r="AN2778" s="77" t="s">
        <v>14446</v>
      </c>
      <c r="AO2778" s="77" t="s">
        <v>14485</v>
      </c>
      <c r="AP2778" s="77" t="s">
        <v>14516</v>
      </c>
      <c r="AQ2778" s="77" t="s">
        <v>15389</v>
      </c>
      <c r="AR2778" s="77"/>
      <c r="AS2778" s="77"/>
      <c r="AT2778" s="77"/>
      <c r="AU2778" s="77"/>
      <c r="AV2778" s="83" t="str">
        <f>HYPERLINK("https://pbs.twimg.com/media/Fzt3HQIXgAQCjxE.jpg")</f>
        <v>https://pbs.twimg.com/media/Fzt3HQIXgAQCjxE.jpg</v>
      </c>
      <c r="AW2778" s="80" t="s">
        <v>18548</v>
      </c>
      <c r="AX2778" s="80" t="s">
        <v>18548</v>
      </c>
      <c r="AY2778" s="77"/>
      <c r="AZ2778" s="80" t="s">
        <v>20380</v>
      </c>
      <c r="BA2778" s="80" t="s">
        <v>20380</v>
      </c>
      <c r="BB2778" s="80" t="s">
        <v>20380</v>
      </c>
      <c r="BC2778" s="80" t="s">
        <v>18548</v>
      </c>
      <c r="BD2778" s="77">
        <v>1120075057</v>
      </c>
      <c r="BE2778" s="77"/>
      <c r="BF2778" s="77"/>
      <c r="BG2778" s="77"/>
      <c r="BH2778" s="77"/>
      <c r="BI2778" s="77"/>
    </row>
    <row r="2779" spans="1:61" x14ac:dyDescent="0.25">
      <c r="A2779" s="62" t="s">
        <v>1134</v>
      </c>
      <c r="B2779" s="62" t="s">
        <v>1384</v>
      </c>
      <c r="C2779" s="63"/>
      <c r="D2779" s="64"/>
      <c r="E2779" s="65"/>
      <c r="F2779" s="66"/>
      <c r="G2779" s="63"/>
      <c r="H2779" s="67"/>
      <c r="I2779" s="68"/>
      <c r="J2779" s="68"/>
      <c r="K2779" s="32"/>
      <c r="L2779" s="75">
        <v>2779</v>
      </c>
      <c r="M2779" s="75"/>
      <c r="N2779" s="70"/>
      <c r="O2779" s="77" t="s">
        <v>2081</v>
      </c>
      <c r="P2779" s="79">
        <v>45104.737384259257</v>
      </c>
      <c r="Q2779" s="77" t="s">
        <v>4536</v>
      </c>
      <c r="R2779" s="77">
        <v>0</v>
      </c>
      <c r="S2779" s="77">
        <v>0</v>
      </c>
      <c r="T2779" s="77">
        <v>0</v>
      </c>
      <c r="U2779" s="77">
        <v>0</v>
      </c>
      <c r="V2779" s="77">
        <v>77</v>
      </c>
      <c r="W2779" s="80" t="s">
        <v>7637</v>
      </c>
      <c r="X2779" s="83" t="str">
        <f>HYPERLINK("https://hubs.ly/Q01Pl5Z20")</f>
        <v>https://hubs.ly/Q01Pl5Z20</v>
      </c>
      <c r="Y2779" s="77" t="s">
        <v>8803</v>
      </c>
      <c r="Z2779" s="77" t="s">
        <v>1384</v>
      </c>
      <c r="AA2779" s="77" t="s">
        <v>9909</v>
      </c>
      <c r="AB2779" s="77" t="s">
        <v>10535</v>
      </c>
      <c r="AC2779" s="80" t="s">
        <v>10552</v>
      </c>
      <c r="AD2779" s="77" t="s">
        <v>10620</v>
      </c>
      <c r="AE2779" s="83" t="str">
        <f>HYPERLINK("https://twitter.com/nuboxchile/status/1673748485609250817")</f>
        <v>https://twitter.com/nuboxchile/status/1673748485609250817</v>
      </c>
      <c r="AF2779" s="79">
        <v>45104.737384259257</v>
      </c>
      <c r="AG2779" s="85">
        <v>45104</v>
      </c>
      <c r="AH2779" s="80" t="s">
        <v>13060</v>
      </c>
      <c r="AI2779" s="77" t="b">
        <v>0</v>
      </c>
      <c r="AJ2779" s="77" t="s">
        <v>14349</v>
      </c>
      <c r="AK2779" s="77" t="s">
        <v>14386</v>
      </c>
      <c r="AL2779" s="77" t="s">
        <v>14395</v>
      </c>
      <c r="AM2779" s="77" t="s">
        <v>14406</v>
      </c>
      <c r="AN2779" s="77" t="s">
        <v>14446</v>
      </c>
      <c r="AO2779" s="77" t="s">
        <v>14485</v>
      </c>
      <c r="AP2779" s="77" t="s">
        <v>14516</v>
      </c>
      <c r="AQ2779" s="77" t="s">
        <v>15390</v>
      </c>
      <c r="AR2779" s="77"/>
      <c r="AS2779" s="77"/>
      <c r="AT2779" s="77"/>
      <c r="AU2779" s="77"/>
      <c r="AV2779" s="83" t="str">
        <f>HYPERLINK("https://pbs.twimg.com/media/FzpZYMLX0AEEzTC.jpg")</f>
        <v>https://pbs.twimg.com/media/FzpZYMLX0AEEzTC.jpg</v>
      </c>
      <c r="AW2779" s="80" t="s">
        <v>18549</v>
      </c>
      <c r="AX2779" s="80" t="s">
        <v>18549</v>
      </c>
      <c r="AY2779" s="77"/>
      <c r="AZ2779" s="80" t="s">
        <v>20380</v>
      </c>
      <c r="BA2779" s="80" t="s">
        <v>20380</v>
      </c>
      <c r="BB2779" s="80" t="s">
        <v>20380</v>
      </c>
      <c r="BC2779" s="80" t="s">
        <v>18549</v>
      </c>
      <c r="BD2779" s="77">
        <v>1120075057</v>
      </c>
      <c r="BE2779" s="77"/>
      <c r="BF2779" s="77"/>
      <c r="BG2779" s="77"/>
      <c r="BH2779" s="77"/>
      <c r="BI2779" s="77"/>
    </row>
    <row r="2780" spans="1:61" x14ac:dyDescent="0.25">
      <c r="A2780" s="62" t="s">
        <v>1134</v>
      </c>
      <c r="B2780" s="62" t="s">
        <v>1384</v>
      </c>
      <c r="C2780" s="63"/>
      <c r="D2780" s="64"/>
      <c r="E2780" s="65"/>
      <c r="F2780" s="66"/>
      <c r="G2780" s="63"/>
      <c r="H2780" s="67"/>
      <c r="I2780" s="68"/>
      <c r="J2780" s="68"/>
      <c r="K2780" s="32"/>
      <c r="L2780" s="75">
        <v>2780</v>
      </c>
      <c r="M2780" s="75"/>
      <c r="N2780" s="70"/>
      <c r="O2780" s="77" t="s">
        <v>2081</v>
      </c>
      <c r="P2780" s="79">
        <v>45091.616249999999</v>
      </c>
      <c r="Q2780" s="77" t="s">
        <v>4537</v>
      </c>
      <c r="R2780" s="77">
        <v>0</v>
      </c>
      <c r="S2780" s="77">
        <v>0</v>
      </c>
      <c r="T2780" s="77">
        <v>0</v>
      </c>
      <c r="U2780" s="77">
        <v>0</v>
      </c>
      <c r="V2780" s="77">
        <v>32</v>
      </c>
      <c r="W2780" s="80" t="s">
        <v>7637</v>
      </c>
      <c r="X2780" s="83" t="str">
        <f>HYPERLINK("https://hubs.ly/Q01Twlkl0")</f>
        <v>https://hubs.ly/Q01Twlkl0</v>
      </c>
      <c r="Y2780" s="77" t="s">
        <v>8803</v>
      </c>
      <c r="Z2780" s="77" t="s">
        <v>1384</v>
      </c>
      <c r="AA2780" s="77" t="s">
        <v>9910</v>
      </c>
      <c r="AB2780" s="77" t="s">
        <v>10535</v>
      </c>
      <c r="AC2780" s="80" t="s">
        <v>10585</v>
      </c>
      <c r="AD2780" s="77" t="s">
        <v>10620</v>
      </c>
      <c r="AE2780" s="83" t="str">
        <f>HYPERLINK("https://twitter.com/nuboxchile/status/1668993546953555968")</f>
        <v>https://twitter.com/nuboxchile/status/1668993546953555968</v>
      </c>
      <c r="AF2780" s="79">
        <v>45091.616249999999</v>
      </c>
      <c r="AG2780" s="85">
        <v>45091</v>
      </c>
      <c r="AH2780" s="80" t="s">
        <v>13061</v>
      </c>
      <c r="AI2780" s="77" t="b">
        <v>0</v>
      </c>
      <c r="AJ2780" s="77"/>
      <c r="AK2780" s="77"/>
      <c r="AL2780" s="77"/>
      <c r="AM2780" s="77"/>
      <c r="AN2780" s="77"/>
      <c r="AO2780" s="77"/>
      <c r="AP2780" s="77"/>
      <c r="AQ2780" s="77" t="s">
        <v>15391</v>
      </c>
      <c r="AR2780" s="77"/>
      <c r="AS2780" s="77"/>
      <c r="AT2780" s="77"/>
      <c r="AU2780" s="77"/>
      <c r="AV2780" s="83" t="str">
        <f>HYPERLINK("https://pbs.twimg.com/media/Fyl0yVmWAAIM7po.jpg")</f>
        <v>https://pbs.twimg.com/media/Fyl0yVmWAAIM7po.jpg</v>
      </c>
      <c r="AW2780" s="80" t="s">
        <v>18550</v>
      </c>
      <c r="AX2780" s="80" t="s">
        <v>18550</v>
      </c>
      <c r="AY2780" s="77"/>
      <c r="AZ2780" s="80" t="s">
        <v>20380</v>
      </c>
      <c r="BA2780" s="80" t="s">
        <v>20380</v>
      </c>
      <c r="BB2780" s="80" t="s">
        <v>20380</v>
      </c>
      <c r="BC2780" s="80" t="s">
        <v>18550</v>
      </c>
      <c r="BD2780" s="77">
        <v>1120075057</v>
      </c>
      <c r="BE2780" s="77"/>
      <c r="BF2780" s="77"/>
      <c r="BG2780" s="77"/>
      <c r="BH2780" s="77"/>
      <c r="BI2780" s="77"/>
    </row>
    <row r="2781" spans="1:61" x14ac:dyDescent="0.25">
      <c r="A2781" s="62" t="s">
        <v>1134</v>
      </c>
      <c r="B2781" s="62" t="s">
        <v>1384</v>
      </c>
      <c r="C2781" s="63"/>
      <c r="D2781" s="64"/>
      <c r="E2781" s="65"/>
      <c r="F2781" s="66"/>
      <c r="G2781" s="63"/>
      <c r="H2781" s="67"/>
      <c r="I2781" s="68"/>
      <c r="J2781" s="68"/>
      <c r="K2781" s="32"/>
      <c r="L2781" s="75">
        <v>2781</v>
      </c>
      <c r="M2781" s="75"/>
      <c r="N2781" s="70"/>
      <c r="O2781" s="77" t="s">
        <v>2081</v>
      </c>
      <c r="P2781" s="79">
        <v>45058.666979166665</v>
      </c>
      <c r="Q2781" s="77" t="s">
        <v>4538</v>
      </c>
      <c r="R2781" s="77">
        <v>1</v>
      </c>
      <c r="S2781" s="77">
        <v>2</v>
      </c>
      <c r="T2781" s="77">
        <v>0</v>
      </c>
      <c r="U2781" s="77">
        <v>1</v>
      </c>
      <c r="V2781" s="77">
        <v>303</v>
      </c>
      <c r="W2781" s="80" t="s">
        <v>7637</v>
      </c>
      <c r="X2781" s="83" t="str">
        <f>HYPERLINK("https://hubs.ly/Q01Pl5Z20")</f>
        <v>https://hubs.ly/Q01Pl5Z20</v>
      </c>
      <c r="Y2781" s="77" t="s">
        <v>8803</v>
      </c>
      <c r="Z2781" s="77" t="s">
        <v>1384</v>
      </c>
      <c r="AA2781" s="77" t="s">
        <v>9911</v>
      </c>
      <c r="AB2781" s="77" t="s">
        <v>10535</v>
      </c>
      <c r="AC2781" s="80" t="s">
        <v>10552</v>
      </c>
      <c r="AD2781" s="77" t="s">
        <v>10620</v>
      </c>
      <c r="AE2781" s="83" t="str">
        <f>HYPERLINK("https://twitter.com/nuboxchile/status/1657053132034134016")</f>
        <v>https://twitter.com/nuboxchile/status/1657053132034134016</v>
      </c>
      <c r="AF2781" s="79">
        <v>45058.666979166665</v>
      </c>
      <c r="AG2781" s="85">
        <v>45058</v>
      </c>
      <c r="AH2781" s="80" t="s">
        <v>13062</v>
      </c>
      <c r="AI2781" s="77" t="b">
        <v>0</v>
      </c>
      <c r="AJ2781" s="77" t="s">
        <v>14349</v>
      </c>
      <c r="AK2781" s="77" t="s">
        <v>14386</v>
      </c>
      <c r="AL2781" s="77" t="s">
        <v>14395</v>
      </c>
      <c r="AM2781" s="77" t="s">
        <v>14406</v>
      </c>
      <c r="AN2781" s="77" t="s">
        <v>14446</v>
      </c>
      <c r="AO2781" s="77" t="s">
        <v>14485</v>
      </c>
      <c r="AP2781" s="77" t="s">
        <v>14516</v>
      </c>
      <c r="AQ2781" s="77" t="s">
        <v>15392</v>
      </c>
      <c r="AR2781" s="77"/>
      <c r="AS2781" s="77"/>
      <c r="AT2781" s="77"/>
      <c r="AU2781" s="77"/>
      <c r="AV2781" s="83" t="str">
        <f>HYPERLINK("https://pbs.twimg.com/media/Fv8JCwAX0AEYzdC.jpg")</f>
        <v>https://pbs.twimg.com/media/Fv8JCwAX0AEYzdC.jpg</v>
      </c>
      <c r="AW2781" s="80" t="s">
        <v>18551</v>
      </c>
      <c r="AX2781" s="80" t="s">
        <v>18551</v>
      </c>
      <c r="AY2781" s="77"/>
      <c r="AZ2781" s="80" t="s">
        <v>20380</v>
      </c>
      <c r="BA2781" s="80" t="s">
        <v>20380</v>
      </c>
      <c r="BB2781" s="80" t="s">
        <v>20380</v>
      </c>
      <c r="BC2781" s="80" t="s">
        <v>18551</v>
      </c>
      <c r="BD2781" s="77">
        <v>1120075057</v>
      </c>
      <c r="BE2781" s="77"/>
      <c r="BF2781" s="77"/>
      <c r="BG2781" s="77"/>
      <c r="BH2781" s="77"/>
      <c r="BI2781" s="77"/>
    </row>
    <row r="2782" spans="1:61" x14ac:dyDescent="0.25">
      <c r="A2782" s="62" t="s">
        <v>1134</v>
      </c>
      <c r="B2782" s="62" t="s">
        <v>1384</v>
      </c>
      <c r="C2782" s="63"/>
      <c r="D2782" s="64"/>
      <c r="E2782" s="65"/>
      <c r="F2782" s="66"/>
      <c r="G2782" s="63"/>
      <c r="H2782" s="67"/>
      <c r="I2782" s="68"/>
      <c r="J2782" s="68"/>
      <c r="K2782" s="32"/>
      <c r="L2782" s="75">
        <v>2782</v>
      </c>
      <c r="M2782" s="75"/>
      <c r="N2782" s="70"/>
      <c r="O2782" s="77" t="s">
        <v>2081</v>
      </c>
      <c r="P2782" s="79">
        <v>45057.5625</v>
      </c>
      <c r="Q2782" s="77" t="s">
        <v>4539</v>
      </c>
      <c r="R2782" s="77">
        <v>0</v>
      </c>
      <c r="S2782" s="77">
        <v>0</v>
      </c>
      <c r="T2782" s="77">
        <v>0</v>
      </c>
      <c r="U2782" s="77">
        <v>0</v>
      </c>
      <c r="V2782" s="77">
        <v>85</v>
      </c>
      <c r="W2782" s="80" t="s">
        <v>7637</v>
      </c>
      <c r="X2782" s="83" t="str">
        <f>HYPERLINK("https://hubs.ly/Q01Pvl9M0")</f>
        <v>https://hubs.ly/Q01Pvl9M0</v>
      </c>
      <c r="Y2782" s="77" t="s">
        <v>8803</v>
      </c>
      <c r="Z2782" s="77" t="s">
        <v>1384</v>
      </c>
      <c r="AA2782" s="77" t="s">
        <v>9912</v>
      </c>
      <c r="AB2782" s="77" t="s">
        <v>10535</v>
      </c>
      <c r="AC2782" s="80" t="s">
        <v>10585</v>
      </c>
      <c r="AD2782" s="77" t="s">
        <v>10620</v>
      </c>
      <c r="AE2782" s="83" t="str">
        <f>HYPERLINK("https://twitter.com/nuboxchile/status/1656652880315645952")</f>
        <v>https://twitter.com/nuboxchile/status/1656652880315645952</v>
      </c>
      <c r="AF2782" s="79">
        <v>45057.5625</v>
      </c>
      <c r="AG2782" s="85">
        <v>45057</v>
      </c>
      <c r="AH2782" s="80" t="s">
        <v>11296</v>
      </c>
      <c r="AI2782" s="77" t="b">
        <v>0</v>
      </c>
      <c r="AJ2782" s="77"/>
      <c r="AK2782" s="77"/>
      <c r="AL2782" s="77"/>
      <c r="AM2782" s="77"/>
      <c r="AN2782" s="77"/>
      <c r="AO2782" s="77"/>
      <c r="AP2782" s="77"/>
      <c r="AQ2782" s="77" t="s">
        <v>15393</v>
      </c>
      <c r="AR2782" s="77"/>
      <c r="AS2782" s="77"/>
      <c r="AT2782" s="77"/>
      <c r="AU2782" s="77"/>
      <c r="AV2782" s="83" t="str">
        <f>HYPERLINK("https://pbs.twimg.com/media/Fv2dA_zXoAA4mhO.jpg")</f>
        <v>https://pbs.twimg.com/media/Fv2dA_zXoAA4mhO.jpg</v>
      </c>
      <c r="AW2782" s="80" t="s">
        <v>18552</v>
      </c>
      <c r="AX2782" s="80" t="s">
        <v>18552</v>
      </c>
      <c r="AY2782" s="77"/>
      <c r="AZ2782" s="80" t="s">
        <v>20380</v>
      </c>
      <c r="BA2782" s="80" t="s">
        <v>20380</v>
      </c>
      <c r="BB2782" s="80" t="s">
        <v>20380</v>
      </c>
      <c r="BC2782" s="80" t="s">
        <v>18552</v>
      </c>
      <c r="BD2782" s="77">
        <v>1120075057</v>
      </c>
      <c r="BE2782" s="77"/>
      <c r="BF2782" s="77"/>
      <c r="BG2782" s="77"/>
      <c r="BH2782" s="77"/>
      <c r="BI2782" s="77"/>
    </row>
    <row r="2783" spans="1:61" x14ac:dyDescent="0.25">
      <c r="A2783" s="62" t="s">
        <v>1134</v>
      </c>
      <c r="B2783" s="62" t="s">
        <v>1384</v>
      </c>
      <c r="C2783" s="63"/>
      <c r="D2783" s="64"/>
      <c r="E2783" s="65"/>
      <c r="F2783" s="66"/>
      <c r="G2783" s="63"/>
      <c r="H2783" s="67"/>
      <c r="I2783" s="68"/>
      <c r="J2783" s="68"/>
      <c r="K2783" s="32"/>
      <c r="L2783" s="75">
        <v>2783</v>
      </c>
      <c r="M2783" s="75"/>
      <c r="N2783" s="70"/>
      <c r="O2783" s="77" t="s">
        <v>2081</v>
      </c>
      <c r="P2783" s="79">
        <v>45056.581145833334</v>
      </c>
      <c r="Q2783" s="77" t="s">
        <v>4540</v>
      </c>
      <c r="R2783" s="77">
        <v>0</v>
      </c>
      <c r="S2783" s="77">
        <v>0</v>
      </c>
      <c r="T2783" s="77">
        <v>0</v>
      </c>
      <c r="U2783" s="77">
        <v>0</v>
      </c>
      <c r="V2783" s="77">
        <v>59</v>
      </c>
      <c r="W2783" s="80" t="s">
        <v>7637</v>
      </c>
      <c r="X2783" s="83" t="str">
        <f>HYPERLINK("https://hubs.ly/Q01Pl5Z20")</f>
        <v>https://hubs.ly/Q01Pl5Z20</v>
      </c>
      <c r="Y2783" s="77" t="s">
        <v>8803</v>
      </c>
      <c r="Z2783" s="77" t="s">
        <v>1384</v>
      </c>
      <c r="AA2783" s="77" t="s">
        <v>9913</v>
      </c>
      <c r="AB2783" s="77" t="s">
        <v>10535</v>
      </c>
      <c r="AC2783" s="80" t="s">
        <v>10585</v>
      </c>
      <c r="AD2783" s="77" t="s">
        <v>10620</v>
      </c>
      <c r="AE2783" s="83" t="str">
        <f>HYPERLINK("https://twitter.com/nuboxchile/status/1656297249998028805")</f>
        <v>https://twitter.com/nuboxchile/status/1656297249998028805</v>
      </c>
      <c r="AF2783" s="79">
        <v>45056.581145833334</v>
      </c>
      <c r="AG2783" s="85">
        <v>45056</v>
      </c>
      <c r="AH2783" s="80" t="s">
        <v>12563</v>
      </c>
      <c r="AI2783" s="77" t="b">
        <v>0</v>
      </c>
      <c r="AJ2783" s="77"/>
      <c r="AK2783" s="77"/>
      <c r="AL2783" s="77"/>
      <c r="AM2783" s="77"/>
      <c r="AN2783" s="77"/>
      <c r="AO2783" s="77"/>
      <c r="AP2783" s="77"/>
      <c r="AQ2783" s="77" t="s">
        <v>15394</v>
      </c>
      <c r="AR2783" s="77"/>
      <c r="AS2783" s="77"/>
      <c r="AT2783" s="77"/>
      <c r="AU2783" s="77"/>
      <c r="AV2783" s="83" t="str">
        <f>HYPERLINK("https://pbs.twimg.com/media/FvxZklUXwAI6LCF.jpg")</f>
        <v>https://pbs.twimg.com/media/FvxZklUXwAI6LCF.jpg</v>
      </c>
      <c r="AW2783" s="80" t="s">
        <v>18553</v>
      </c>
      <c r="AX2783" s="80" t="s">
        <v>18553</v>
      </c>
      <c r="AY2783" s="77"/>
      <c r="AZ2783" s="80" t="s">
        <v>20380</v>
      </c>
      <c r="BA2783" s="80" t="s">
        <v>20380</v>
      </c>
      <c r="BB2783" s="80" t="s">
        <v>20380</v>
      </c>
      <c r="BC2783" s="80" t="s">
        <v>18553</v>
      </c>
      <c r="BD2783" s="77">
        <v>1120075057</v>
      </c>
      <c r="BE2783" s="77"/>
      <c r="BF2783" s="77"/>
      <c r="BG2783" s="77"/>
      <c r="BH2783" s="77"/>
      <c r="BI2783" s="77"/>
    </row>
    <row r="2784" spans="1:61" x14ac:dyDescent="0.25">
      <c r="A2784" s="62" t="s">
        <v>1134</v>
      </c>
      <c r="B2784" s="62" t="s">
        <v>1384</v>
      </c>
      <c r="C2784" s="63"/>
      <c r="D2784" s="64"/>
      <c r="E2784" s="65"/>
      <c r="F2784" s="66"/>
      <c r="G2784" s="63"/>
      <c r="H2784" s="67"/>
      <c r="I2784" s="68"/>
      <c r="J2784" s="68"/>
      <c r="K2784" s="32"/>
      <c r="L2784" s="75">
        <v>2784</v>
      </c>
      <c r="M2784" s="75"/>
      <c r="N2784" s="70"/>
      <c r="O2784" s="77" t="s">
        <v>2081</v>
      </c>
      <c r="P2784" s="79">
        <v>45055.573657407411</v>
      </c>
      <c r="Q2784" s="77" t="s">
        <v>4541</v>
      </c>
      <c r="R2784" s="77">
        <v>0</v>
      </c>
      <c r="S2784" s="77">
        <v>0</v>
      </c>
      <c r="T2784" s="77">
        <v>0</v>
      </c>
      <c r="U2784" s="77">
        <v>0</v>
      </c>
      <c r="V2784" s="77">
        <v>68</v>
      </c>
      <c r="W2784" s="80" t="s">
        <v>7637</v>
      </c>
      <c r="X2784" s="83" t="str">
        <f>HYPERLINK("https://hubs.ly/Q01P6D-m0")</f>
        <v>https://hubs.ly/Q01P6D-m0</v>
      </c>
      <c r="Y2784" s="77" t="s">
        <v>8803</v>
      </c>
      <c r="Z2784" s="77" t="s">
        <v>1384</v>
      </c>
      <c r="AA2784" s="77" t="s">
        <v>9914</v>
      </c>
      <c r="AB2784" s="77" t="s">
        <v>10535</v>
      </c>
      <c r="AC2784" s="80" t="s">
        <v>10585</v>
      </c>
      <c r="AD2784" s="77" t="s">
        <v>10620</v>
      </c>
      <c r="AE2784" s="83" t="str">
        <f>HYPERLINK("https://twitter.com/nuboxchile/status/1655932148811980800")</f>
        <v>https://twitter.com/nuboxchile/status/1655932148811980800</v>
      </c>
      <c r="AF2784" s="79">
        <v>45055.573657407411</v>
      </c>
      <c r="AG2784" s="85">
        <v>45055</v>
      </c>
      <c r="AH2784" s="80" t="s">
        <v>13063</v>
      </c>
      <c r="AI2784" s="77" t="b">
        <v>0</v>
      </c>
      <c r="AJ2784" s="77"/>
      <c r="AK2784" s="77"/>
      <c r="AL2784" s="77"/>
      <c r="AM2784" s="77"/>
      <c r="AN2784" s="77"/>
      <c r="AO2784" s="77"/>
      <c r="AP2784" s="77"/>
      <c r="AQ2784" s="77" t="s">
        <v>15395</v>
      </c>
      <c r="AR2784" s="77"/>
      <c r="AS2784" s="77"/>
      <c r="AT2784" s="77"/>
      <c r="AU2784" s="77"/>
      <c r="AV2784" s="83" t="str">
        <f>HYPERLINK("https://pbs.twimg.com/media/FvsNg8OWcAApN76.jpg")</f>
        <v>https://pbs.twimg.com/media/FvsNg8OWcAApN76.jpg</v>
      </c>
      <c r="AW2784" s="80" t="s">
        <v>18554</v>
      </c>
      <c r="AX2784" s="80" t="s">
        <v>18554</v>
      </c>
      <c r="AY2784" s="77"/>
      <c r="AZ2784" s="80" t="s">
        <v>20380</v>
      </c>
      <c r="BA2784" s="80" t="s">
        <v>20380</v>
      </c>
      <c r="BB2784" s="80" t="s">
        <v>20380</v>
      </c>
      <c r="BC2784" s="80" t="s">
        <v>18554</v>
      </c>
      <c r="BD2784" s="77">
        <v>1120075057</v>
      </c>
      <c r="BE2784" s="77"/>
      <c r="BF2784" s="77"/>
      <c r="BG2784" s="77"/>
      <c r="BH2784" s="77"/>
      <c r="BI2784" s="77"/>
    </row>
    <row r="2785" spans="1:61" x14ac:dyDescent="0.25">
      <c r="A2785" s="62" t="s">
        <v>1134</v>
      </c>
      <c r="B2785" s="62" t="s">
        <v>1134</v>
      </c>
      <c r="C2785" s="63"/>
      <c r="D2785" s="64"/>
      <c r="E2785" s="65"/>
      <c r="F2785" s="66"/>
      <c r="G2785" s="63"/>
      <c r="H2785" s="67"/>
      <c r="I2785" s="68"/>
      <c r="J2785" s="68"/>
      <c r="K2785" s="32"/>
      <c r="L2785" s="75">
        <v>2785</v>
      </c>
      <c r="M2785" s="75"/>
      <c r="N2785" s="70"/>
      <c r="O2785" s="77" t="s">
        <v>179</v>
      </c>
      <c r="P2785" s="79">
        <v>45162.604224537034</v>
      </c>
      <c r="Q2785" s="77" t="s">
        <v>4542</v>
      </c>
      <c r="R2785" s="77">
        <v>1</v>
      </c>
      <c r="S2785" s="77">
        <v>1</v>
      </c>
      <c r="T2785" s="77">
        <v>0</v>
      </c>
      <c r="U2785" s="77">
        <v>0</v>
      </c>
      <c r="V2785" s="77">
        <v>305</v>
      </c>
      <c r="W2785" s="80" t="s">
        <v>7636</v>
      </c>
      <c r="X2785" s="83" t="str">
        <f>HYPERLINK("https://sge.st/OSE1oX6")</f>
        <v>https://sge.st/OSE1oX6</v>
      </c>
      <c r="Y2785" s="77" t="s">
        <v>8804</v>
      </c>
      <c r="Z2785" s="77"/>
      <c r="AA2785" s="77" t="s">
        <v>9915</v>
      </c>
      <c r="AB2785" s="77" t="s">
        <v>10535</v>
      </c>
      <c r="AC2785" s="80" t="s">
        <v>10598</v>
      </c>
      <c r="AD2785" s="77" t="s">
        <v>10620</v>
      </c>
      <c r="AE2785" s="83" t="str">
        <f>HYPERLINK("https://twitter.com/nuboxchile/status/1694718726825029741")</f>
        <v>https://twitter.com/nuboxchile/status/1694718726825029741</v>
      </c>
      <c r="AF2785" s="79">
        <v>45162.604224537034</v>
      </c>
      <c r="AG2785" s="85">
        <v>45162</v>
      </c>
      <c r="AH2785" s="80" t="s">
        <v>13064</v>
      </c>
      <c r="AI2785" s="77" t="b">
        <v>0</v>
      </c>
      <c r="AJ2785" s="77"/>
      <c r="AK2785" s="77"/>
      <c r="AL2785" s="77"/>
      <c r="AM2785" s="77"/>
      <c r="AN2785" s="77"/>
      <c r="AO2785" s="77"/>
      <c r="AP2785" s="77"/>
      <c r="AQ2785" s="77" t="s">
        <v>15396</v>
      </c>
      <c r="AR2785" s="77"/>
      <c r="AS2785" s="77"/>
      <c r="AT2785" s="77"/>
      <c r="AU2785" s="77"/>
      <c r="AV2785" s="83" t="str">
        <f>HYPERLINK("https://pbs.twimg.com/media/F4TZsljacAA6znT.jpg")</f>
        <v>https://pbs.twimg.com/media/F4TZsljacAA6znT.jpg</v>
      </c>
      <c r="AW2785" s="80" t="s">
        <v>18555</v>
      </c>
      <c r="AX2785" s="80" t="s">
        <v>18555</v>
      </c>
      <c r="AY2785" s="77"/>
      <c r="AZ2785" s="80" t="s">
        <v>20380</v>
      </c>
      <c r="BA2785" s="80" t="s">
        <v>20380</v>
      </c>
      <c r="BB2785" s="80" t="s">
        <v>20380</v>
      </c>
      <c r="BC2785" s="80" t="s">
        <v>18555</v>
      </c>
      <c r="BD2785" s="77">
        <v>1120075057</v>
      </c>
      <c r="BE2785" s="77"/>
      <c r="BF2785" s="77"/>
      <c r="BG2785" s="77"/>
      <c r="BH2785" s="77"/>
      <c r="BI2785" s="77"/>
    </row>
    <row r="2786" spans="1:61" x14ac:dyDescent="0.25">
      <c r="A2786" s="62" t="s">
        <v>1134</v>
      </c>
      <c r="B2786" s="62" t="s">
        <v>1134</v>
      </c>
      <c r="C2786" s="63"/>
      <c r="D2786" s="64"/>
      <c r="E2786" s="65"/>
      <c r="F2786" s="66"/>
      <c r="G2786" s="63"/>
      <c r="H2786" s="67"/>
      <c r="I2786" s="68"/>
      <c r="J2786" s="68"/>
      <c r="K2786" s="32"/>
      <c r="L2786" s="75">
        <v>2786</v>
      </c>
      <c r="M2786" s="75"/>
      <c r="N2786" s="70"/>
      <c r="O2786" s="77" t="s">
        <v>179</v>
      </c>
      <c r="P2786" s="79">
        <v>45133.572962962964</v>
      </c>
      <c r="Q2786" s="77" t="s">
        <v>4543</v>
      </c>
      <c r="R2786" s="77">
        <v>0</v>
      </c>
      <c r="S2786" s="77">
        <v>0</v>
      </c>
      <c r="T2786" s="77">
        <v>0</v>
      </c>
      <c r="U2786" s="77">
        <v>0</v>
      </c>
      <c r="V2786" s="77">
        <v>59</v>
      </c>
      <c r="W2786" s="80" t="s">
        <v>7636</v>
      </c>
      <c r="X2786" s="83" t="str">
        <f>HYPERLINK("https://sge.st/OSE1oX6")</f>
        <v>https://sge.st/OSE1oX6</v>
      </c>
      <c r="Y2786" s="77" t="s">
        <v>8804</v>
      </c>
      <c r="Z2786" s="77"/>
      <c r="AA2786" s="77" t="s">
        <v>9916</v>
      </c>
      <c r="AB2786" s="77" t="s">
        <v>10535</v>
      </c>
      <c r="AC2786" s="80" t="s">
        <v>10598</v>
      </c>
      <c r="AD2786" s="77" t="s">
        <v>10620</v>
      </c>
      <c r="AE2786" s="83" t="str">
        <f>HYPERLINK("https://twitter.com/nuboxchile/status/1684198152063049729")</f>
        <v>https://twitter.com/nuboxchile/status/1684198152063049729</v>
      </c>
      <c r="AF2786" s="79">
        <v>45133.572962962964</v>
      </c>
      <c r="AG2786" s="85">
        <v>45133</v>
      </c>
      <c r="AH2786" s="80" t="s">
        <v>13056</v>
      </c>
      <c r="AI2786" s="77" t="b">
        <v>0</v>
      </c>
      <c r="AJ2786" s="77"/>
      <c r="AK2786" s="77"/>
      <c r="AL2786" s="77"/>
      <c r="AM2786" s="77"/>
      <c r="AN2786" s="77"/>
      <c r="AO2786" s="77"/>
      <c r="AP2786" s="77"/>
      <c r="AQ2786" s="77" t="s">
        <v>15397</v>
      </c>
      <c r="AR2786" s="77"/>
      <c r="AS2786" s="77"/>
      <c r="AT2786" s="77"/>
      <c r="AU2786" s="77"/>
      <c r="AV2786" s="83" t="str">
        <f>HYPERLINK("https://pbs.twimg.com/media/F195SwCX0AAbyaj.jpg")</f>
        <v>https://pbs.twimg.com/media/F195SwCX0AAbyaj.jpg</v>
      </c>
      <c r="AW2786" s="80" t="s">
        <v>18556</v>
      </c>
      <c r="AX2786" s="80" t="s">
        <v>18556</v>
      </c>
      <c r="AY2786" s="77"/>
      <c r="AZ2786" s="80" t="s">
        <v>20380</v>
      </c>
      <c r="BA2786" s="80" t="s">
        <v>20380</v>
      </c>
      <c r="BB2786" s="80" t="s">
        <v>20380</v>
      </c>
      <c r="BC2786" s="80" t="s">
        <v>18556</v>
      </c>
      <c r="BD2786" s="77">
        <v>1120075057</v>
      </c>
      <c r="BE2786" s="77"/>
      <c r="BF2786" s="77"/>
      <c r="BG2786" s="77"/>
      <c r="BH2786" s="77"/>
      <c r="BI2786" s="77"/>
    </row>
    <row r="2787" spans="1:61" x14ac:dyDescent="0.25">
      <c r="A2787" s="62" t="s">
        <v>1134</v>
      </c>
      <c r="B2787" s="62" t="s">
        <v>1384</v>
      </c>
      <c r="C2787" s="63"/>
      <c r="D2787" s="64"/>
      <c r="E2787" s="65"/>
      <c r="F2787" s="66"/>
      <c r="G2787" s="63"/>
      <c r="H2787" s="67"/>
      <c r="I2787" s="68"/>
      <c r="J2787" s="68"/>
      <c r="K2787" s="32"/>
      <c r="L2787" s="75">
        <v>2787</v>
      </c>
      <c r="M2787" s="75"/>
      <c r="N2787" s="70"/>
      <c r="O2787" s="77" t="s">
        <v>2081</v>
      </c>
      <c r="P2787" s="79">
        <v>45121.583356481482</v>
      </c>
      <c r="Q2787" s="77" t="s">
        <v>4544</v>
      </c>
      <c r="R2787" s="77">
        <v>0</v>
      </c>
      <c r="S2787" s="77">
        <v>0</v>
      </c>
      <c r="T2787" s="77">
        <v>0</v>
      </c>
      <c r="U2787" s="77">
        <v>0</v>
      </c>
      <c r="V2787" s="77">
        <v>33</v>
      </c>
      <c r="W2787" s="80" t="s">
        <v>7636</v>
      </c>
      <c r="X2787" s="83" t="str">
        <f>HYPERLINK("https://hubs.ly/Q01XMYWd0")</f>
        <v>https://hubs.ly/Q01XMYWd0</v>
      </c>
      <c r="Y2787" s="77" t="s">
        <v>8803</v>
      </c>
      <c r="Z2787" s="77" t="s">
        <v>1384</v>
      </c>
      <c r="AA2787" s="77" t="s">
        <v>9917</v>
      </c>
      <c r="AB2787" s="77" t="s">
        <v>10535</v>
      </c>
      <c r="AC2787" s="80" t="s">
        <v>10585</v>
      </c>
      <c r="AD2787" s="77" t="s">
        <v>10620</v>
      </c>
      <c r="AE2787" s="83" t="str">
        <f>HYPERLINK("https://twitter.com/nuboxchile/status/1679853260302106629")</f>
        <v>https://twitter.com/nuboxchile/status/1679853260302106629</v>
      </c>
      <c r="AF2787" s="79">
        <v>45121.583356481482</v>
      </c>
      <c r="AG2787" s="85">
        <v>45121</v>
      </c>
      <c r="AH2787" s="80" t="s">
        <v>10845</v>
      </c>
      <c r="AI2787" s="77" t="b">
        <v>0</v>
      </c>
      <c r="AJ2787" s="77"/>
      <c r="AK2787" s="77"/>
      <c r="AL2787" s="77"/>
      <c r="AM2787" s="77"/>
      <c r="AN2787" s="77"/>
      <c r="AO2787" s="77"/>
      <c r="AP2787" s="77"/>
      <c r="AQ2787" s="77" t="s">
        <v>15398</v>
      </c>
      <c r="AR2787" s="77"/>
      <c r="AS2787" s="77"/>
      <c r="AT2787" s="77"/>
      <c r="AU2787" s="77"/>
      <c r="AV2787" s="83" t="str">
        <f>HYPERLINK("https://pbs.twimg.com/media/F1AJo1QWYAE0EyW.jpg")</f>
        <v>https://pbs.twimg.com/media/F1AJo1QWYAE0EyW.jpg</v>
      </c>
      <c r="AW2787" s="80" t="s">
        <v>18557</v>
      </c>
      <c r="AX2787" s="80" t="s">
        <v>18557</v>
      </c>
      <c r="AY2787" s="77"/>
      <c r="AZ2787" s="80" t="s">
        <v>20380</v>
      </c>
      <c r="BA2787" s="80" t="s">
        <v>20380</v>
      </c>
      <c r="BB2787" s="80" t="s">
        <v>20380</v>
      </c>
      <c r="BC2787" s="80" t="s">
        <v>18557</v>
      </c>
      <c r="BD2787" s="77">
        <v>1120075057</v>
      </c>
      <c r="BE2787" s="77"/>
      <c r="BF2787" s="77"/>
      <c r="BG2787" s="77"/>
      <c r="BH2787" s="77"/>
      <c r="BI2787" s="77"/>
    </row>
    <row r="2788" spans="1:61" x14ac:dyDescent="0.25">
      <c r="A2788" s="62" t="s">
        <v>1134</v>
      </c>
      <c r="B2788" s="62" t="s">
        <v>1384</v>
      </c>
      <c r="C2788" s="63"/>
      <c r="D2788" s="64"/>
      <c r="E2788" s="65"/>
      <c r="F2788" s="66"/>
      <c r="G2788" s="63"/>
      <c r="H2788" s="67"/>
      <c r="I2788" s="68"/>
      <c r="J2788" s="68"/>
      <c r="K2788" s="32"/>
      <c r="L2788" s="75">
        <v>2788</v>
      </c>
      <c r="M2788" s="75"/>
      <c r="N2788" s="70"/>
      <c r="O2788" s="77" t="s">
        <v>2081</v>
      </c>
      <c r="P2788" s="79">
        <v>45120.5625</v>
      </c>
      <c r="Q2788" s="77" t="s">
        <v>4545</v>
      </c>
      <c r="R2788" s="77">
        <v>0</v>
      </c>
      <c r="S2788" s="77">
        <v>0</v>
      </c>
      <c r="T2788" s="77">
        <v>0</v>
      </c>
      <c r="U2788" s="77">
        <v>0</v>
      </c>
      <c r="V2788" s="77">
        <v>23</v>
      </c>
      <c r="W2788" s="80" t="s">
        <v>7636</v>
      </c>
      <c r="X2788" s="83" t="str">
        <f>HYPERLINK("https://hubs.ly/Q01XBsZD0")</f>
        <v>https://hubs.ly/Q01XBsZD0</v>
      </c>
      <c r="Y2788" s="77" t="s">
        <v>8803</v>
      </c>
      <c r="Z2788" s="77" t="s">
        <v>1384</v>
      </c>
      <c r="AA2788" s="77" t="s">
        <v>9918</v>
      </c>
      <c r="AB2788" s="77" t="s">
        <v>10535</v>
      </c>
      <c r="AC2788" s="80" t="s">
        <v>10585</v>
      </c>
      <c r="AD2788" s="77" t="s">
        <v>10620</v>
      </c>
      <c r="AE2788" s="83" t="str">
        <f>HYPERLINK("https://twitter.com/nuboxchile/status/1679483317081501699")</f>
        <v>https://twitter.com/nuboxchile/status/1679483317081501699</v>
      </c>
      <c r="AF2788" s="79">
        <v>45120.5625</v>
      </c>
      <c r="AG2788" s="85">
        <v>45120</v>
      </c>
      <c r="AH2788" s="80" t="s">
        <v>11296</v>
      </c>
      <c r="AI2788" s="77" t="b">
        <v>0</v>
      </c>
      <c r="AJ2788" s="77"/>
      <c r="AK2788" s="77"/>
      <c r="AL2788" s="77"/>
      <c r="AM2788" s="77"/>
      <c r="AN2788" s="77"/>
      <c r="AO2788" s="77"/>
      <c r="AP2788" s="77"/>
      <c r="AQ2788" s="77" t="s">
        <v>15399</v>
      </c>
      <c r="AR2788" s="77"/>
      <c r="AS2788" s="77"/>
      <c r="AT2788" s="77"/>
      <c r="AU2788" s="77"/>
      <c r="AV2788" s="83" t="str">
        <f>HYPERLINK("https://pbs.twimg.com/media/F065LWHXgAEWbOo.jpg")</f>
        <v>https://pbs.twimg.com/media/F065LWHXgAEWbOo.jpg</v>
      </c>
      <c r="AW2788" s="80" t="s">
        <v>18558</v>
      </c>
      <c r="AX2788" s="80" t="s">
        <v>18558</v>
      </c>
      <c r="AY2788" s="77"/>
      <c r="AZ2788" s="80" t="s">
        <v>20380</v>
      </c>
      <c r="BA2788" s="80" t="s">
        <v>20380</v>
      </c>
      <c r="BB2788" s="80" t="s">
        <v>20380</v>
      </c>
      <c r="BC2788" s="80" t="s">
        <v>18558</v>
      </c>
      <c r="BD2788" s="77">
        <v>1120075057</v>
      </c>
      <c r="BE2788" s="77"/>
      <c r="BF2788" s="77"/>
      <c r="BG2788" s="77"/>
      <c r="BH2788" s="77"/>
      <c r="BI2788" s="77"/>
    </row>
    <row r="2789" spans="1:61" x14ac:dyDescent="0.25">
      <c r="A2789" s="62" t="s">
        <v>1134</v>
      </c>
      <c r="B2789" s="62" t="s">
        <v>1384</v>
      </c>
      <c r="C2789" s="63"/>
      <c r="D2789" s="64"/>
      <c r="E2789" s="65"/>
      <c r="F2789" s="66"/>
      <c r="G2789" s="63"/>
      <c r="H2789" s="67"/>
      <c r="I2789" s="68"/>
      <c r="J2789" s="68"/>
      <c r="K2789" s="32"/>
      <c r="L2789" s="75">
        <v>2789</v>
      </c>
      <c r="M2789" s="75"/>
      <c r="N2789" s="70"/>
      <c r="O2789" s="77" t="s">
        <v>2081</v>
      </c>
      <c r="P2789" s="79">
        <v>45119.625011574077</v>
      </c>
      <c r="Q2789" s="77" t="s">
        <v>4546</v>
      </c>
      <c r="R2789" s="77">
        <v>0</v>
      </c>
      <c r="S2789" s="77">
        <v>0</v>
      </c>
      <c r="T2789" s="77">
        <v>0</v>
      </c>
      <c r="U2789" s="77">
        <v>0</v>
      </c>
      <c r="V2789" s="77">
        <v>65</v>
      </c>
      <c r="W2789" s="80" t="s">
        <v>7636</v>
      </c>
      <c r="X2789" s="83" t="str">
        <f>HYPERLINK("https://hubs.ly/Q01XrqJL0")</f>
        <v>https://hubs.ly/Q01XrqJL0</v>
      </c>
      <c r="Y2789" s="77" t="s">
        <v>8803</v>
      </c>
      <c r="Z2789" s="77" t="s">
        <v>1384</v>
      </c>
      <c r="AA2789" s="77" t="s">
        <v>9919</v>
      </c>
      <c r="AB2789" s="77" t="s">
        <v>10535</v>
      </c>
      <c r="AC2789" s="80" t="s">
        <v>10585</v>
      </c>
      <c r="AD2789" s="77" t="s">
        <v>10620</v>
      </c>
      <c r="AE2789" s="83" t="str">
        <f>HYPERLINK("https://twitter.com/nuboxchile/status/1679143583021150209")</f>
        <v>https://twitter.com/nuboxchile/status/1679143583021150209</v>
      </c>
      <c r="AF2789" s="79">
        <v>45119.625011574077</v>
      </c>
      <c r="AG2789" s="85">
        <v>45119</v>
      </c>
      <c r="AH2789" s="80" t="s">
        <v>11299</v>
      </c>
      <c r="AI2789" s="77" t="b">
        <v>0</v>
      </c>
      <c r="AJ2789" s="77"/>
      <c r="AK2789" s="77"/>
      <c r="AL2789" s="77"/>
      <c r="AM2789" s="77"/>
      <c r="AN2789" s="77"/>
      <c r="AO2789" s="77"/>
      <c r="AP2789" s="77"/>
      <c r="AQ2789" s="77" t="s">
        <v>15400</v>
      </c>
      <c r="AR2789" s="77"/>
      <c r="AS2789" s="77"/>
      <c r="AT2789" s="77"/>
      <c r="AU2789" s="77"/>
      <c r="AV2789" s="83" t="str">
        <f>HYPERLINK("https://pbs.twimg.com/media/F02EMKYWcAMiX1N.jpg")</f>
        <v>https://pbs.twimg.com/media/F02EMKYWcAMiX1N.jpg</v>
      </c>
      <c r="AW2789" s="80" t="s">
        <v>18559</v>
      </c>
      <c r="AX2789" s="80" t="s">
        <v>18559</v>
      </c>
      <c r="AY2789" s="77"/>
      <c r="AZ2789" s="80" t="s">
        <v>20380</v>
      </c>
      <c r="BA2789" s="80" t="s">
        <v>20380</v>
      </c>
      <c r="BB2789" s="80" t="s">
        <v>20380</v>
      </c>
      <c r="BC2789" s="80" t="s">
        <v>18559</v>
      </c>
      <c r="BD2789" s="77">
        <v>1120075057</v>
      </c>
      <c r="BE2789" s="77"/>
      <c r="BF2789" s="77"/>
      <c r="BG2789" s="77"/>
      <c r="BH2789" s="77"/>
      <c r="BI2789" s="77"/>
    </row>
    <row r="2790" spans="1:61" x14ac:dyDescent="0.25">
      <c r="A2790" s="62" t="s">
        <v>1134</v>
      </c>
      <c r="B2790" s="62" t="s">
        <v>1384</v>
      </c>
      <c r="C2790" s="63"/>
      <c r="D2790" s="64"/>
      <c r="E2790" s="65"/>
      <c r="F2790" s="66"/>
      <c r="G2790" s="63"/>
      <c r="H2790" s="67"/>
      <c r="I2790" s="68"/>
      <c r="J2790" s="68"/>
      <c r="K2790" s="32"/>
      <c r="L2790" s="75">
        <v>2790</v>
      </c>
      <c r="M2790" s="75"/>
      <c r="N2790" s="70"/>
      <c r="O2790" s="77" t="s">
        <v>2081</v>
      </c>
      <c r="P2790" s="79">
        <v>45107.608182870368</v>
      </c>
      <c r="Q2790" s="77" t="s">
        <v>4547</v>
      </c>
      <c r="R2790" s="77">
        <v>0</v>
      </c>
      <c r="S2790" s="77">
        <v>0</v>
      </c>
      <c r="T2790" s="77">
        <v>0</v>
      </c>
      <c r="U2790" s="77">
        <v>0</v>
      </c>
      <c r="V2790" s="77">
        <v>41</v>
      </c>
      <c r="W2790" s="80" t="s">
        <v>7637</v>
      </c>
      <c r="X2790" s="83" t="str">
        <f>HYPERLINK("https://hubs.ly/Q01Pl5Z20")</f>
        <v>https://hubs.ly/Q01Pl5Z20</v>
      </c>
      <c r="Y2790" s="77" t="s">
        <v>8803</v>
      </c>
      <c r="Z2790" s="77" t="s">
        <v>1384</v>
      </c>
      <c r="AA2790" s="77" t="s">
        <v>9920</v>
      </c>
      <c r="AB2790" s="77" t="s">
        <v>10535</v>
      </c>
      <c r="AC2790" s="80" t="s">
        <v>10552</v>
      </c>
      <c r="AD2790" s="77" t="s">
        <v>10620</v>
      </c>
      <c r="AE2790" s="83" t="str">
        <f>HYPERLINK("https://twitter.com/nuboxchile/status/1674788828870238209")</f>
        <v>https://twitter.com/nuboxchile/status/1674788828870238209</v>
      </c>
      <c r="AF2790" s="79">
        <v>45107.608182870368</v>
      </c>
      <c r="AG2790" s="85">
        <v>45107</v>
      </c>
      <c r="AH2790" s="80" t="s">
        <v>13065</v>
      </c>
      <c r="AI2790" s="77" t="b">
        <v>0</v>
      </c>
      <c r="AJ2790" s="77" t="s">
        <v>14349</v>
      </c>
      <c r="AK2790" s="77" t="s">
        <v>14386</v>
      </c>
      <c r="AL2790" s="77" t="s">
        <v>14395</v>
      </c>
      <c r="AM2790" s="77" t="s">
        <v>14406</v>
      </c>
      <c r="AN2790" s="77" t="s">
        <v>14446</v>
      </c>
      <c r="AO2790" s="77" t="s">
        <v>14485</v>
      </c>
      <c r="AP2790" s="77" t="s">
        <v>14516</v>
      </c>
      <c r="AQ2790" s="77" t="s">
        <v>15401</v>
      </c>
      <c r="AR2790" s="77"/>
      <c r="AS2790" s="77"/>
      <c r="AT2790" s="77"/>
      <c r="AU2790" s="77"/>
      <c r="AV2790" s="83" t="str">
        <f>HYPERLINK("https://pbs.twimg.com/media/Fz4LkEAaQAQhYz0.jpg")</f>
        <v>https://pbs.twimg.com/media/Fz4LkEAaQAQhYz0.jpg</v>
      </c>
      <c r="AW2790" s="80" t="s">
        <v>18560</v>
      </c>
      <c r="AX2790" s="80" t="s">
        <v>18560</v>
      </c>
      <c r="AY2790" s="77"/>
      <c r="AZ2790" s="80" t="s">
        <v>20380</v>
      </c>
      <c r="BA2790" s="80" t="s">
        <v>20380</v>
      </c>
      <c r="BB2790" s="80" t="s">
        <v>20380</v>
      </c>
      <c r="BC2790" s="80" t="s">
        <v>18560</v>
      </c>
      <c r="BD2790" s="77">
        <v>1120075057</v>
      </c>
      <c r="BE2790" s="77"/>
      <c r="BF2790" s="77"/>
      <c r="BG2790" s="77"/>
      <c r="BH2790" s="77"/>
      <c r="BI2790" s="77"/>
    </row>
    <row r="2791" spans="1:61" x14ac:dyDescent="0.25">
      <c r="A2791" s="62" t="s">
        <v>1134</v>
      </c>
      <c r="B2791" s="62" t="s">
        <v>1384</v>
      </c>
      <c r="C2791" s="63"/>
      <c r="D2791" s="64"/>
      <c r="E2791" s="65"/>
      <c r="F2791" s="66"/>
      <c r="G2791" s="63"/>
      <c r="H2791" s="67"/>
      <c r="I2791" s="68"/>
      <c r="J2791" s="68"/>
      <c r="K2791" s="32"/>
      <c r="L2791" s="75">
        <v>2791</v>
      </c>
      <c r="M2791" s="75"/>
      <c r="N2791" s="70"/>
      <c r="O2791" s="77" t="s">
        <v>2081</v>
      </c>
      <c r="P2791" s="79">
        <v>45106.686909722222</v>
      </c>
      <c r="Q2791" s="77" t="s">
        <v>4548</v>
      </c>
      <c r="R2791" s="77">
        <v>0</v>
      </c>
      <c r="S2791" s="77">
        <v>0</v>
      </c>
      <c r="T2791" s="77">
        <v>0</v>
      </c>
      <c r="U2791" s="77">
        <v>0</v>
      </c>
      <c r="V2791" s="77">
        <v>55</v>
      </c>
      <c r="W2791" s="80" t="s">
        <v>7637</v>
      </c>
      <c r="X2791" s="83" t="str">
        <f>HYPERLINK("https://hubs.ly/Q01Pl5Z20")</f>
        <v>https://hubs.ly/Q01Pl5Z20</v>
      </c>
      <c r="Y2791" s="77" t="s">
        <v>8803</v>
      </c>
      <c r="Z2791" s="77" t="s">
        <v>1384</v>
      </c>
      <c r="AA2791" s="77" t="s">
        <v>9921</v>
      </c>
      <c r="AB2791" s="77" t="s">
        <v>10535</v>
      </c>
      <c r="AC2791" s="80" t="s">
        <v>10552</v>
      </c>
      <c r="AD2791" s="77" t="s">
        <v>10620</v>
      </c>
      <c r="AE2791" s="83" t="str">
        <f>HYPERLINK("https://twitter.com/nuboxchile/status/1674454970865795072")</f>
        <v>https://twitter.com/nuboxchile/status/1674454970865795072</v>
      </c>
      <c r="AF2791" s="79">
        <v>45106.686909722222</v>
      </c>
      <c r="AG2791" s="85">
        <v>45106</v>
      </c>
      <c r="AH2791" s="80" t="s">
        <v>13066</v>
      </c>
      <c r="AI2791" s="77" t="b">
        <v>0</v>
      </c>
      <c r="AJ2791" s="77" t="s">
        <v>14349</v>
      </c>
      <c r="AK2791" s="77" t="s">
        <v>14386</v>
      </c>
      <c r="AL2791" s="77" t="s">
        <v>14395</v>
      </c>
      <c r="AM2791" s="77" t="s">
        <v>14406</v>
      </c>
      <c r="AN2791" s="77" t="s">
        <v>14446</v>
      </c>
      <c r="AO2791" s="77" t="s">
        <v>14485</v>
      </c>
      <c r="AP2791" s="77" t="s">
        <v>14516</v>
      </c>
      <c r="AQ2791" s="77" t="s">
        <v>15402</v>
      </c>
      <c r="AR2791" s="77"/>
      <c r="AS2791" s="77"/>
      <c r="AT2791" s="77"/>
      <c r="AU2791" s="77"/>
      <c r="AV2791" s="83" t="str">
        <f>HYPERLINK("https://pbs.twimg.com/media/Fzzb7DRWAAIPkN6.jpg")</f>
        <v>https://pbs.twimg.com/media/Fzzb7DRWAAIPkN6.jpg</v>
      </c>
      <c r="AW2791" s="80" t="s">
        <v>18561</v>
      </c>
      <c r="AX2791" s="80" t="s">
        <v>18561</v>
      </c>
      <c r="AY2791" s="77"/>
      <c r="AZ2791" s="80" t="s">
        <v>20380</v>
      </c>
      <c r="BA2791" s="80" t="s">
        <v>20380</v>
      </c>
      <c r="BB2791" s="80" t="s">
        <v>20380</v>
      </c>
      <c r="BC2791" s="80" t="s">
        <v>18561</v>
      </c>
      <c r="BD2791" s="77">
        <v>1120075057</v>
      </c>
      <c r="BE2791" s="77"/>
      <c r="BF2791" s="77"/>
      <c r="BG2791" s="77"/>
      <c r="BH2791" s="77"/>
      <c r="BI2791" s="77"/>
    </row>
    <row r="2792" spans="1:61" x14ac:dyDescent="0.25">
      <c r="A2792" s="62" t="s">
        <v>1134</v>
      </c>
      <c r="B2792" s="62" t="s">
        <v>1384</v>
      </c>
      <c r="C2792" s="63"/>
      <c r="D2792" s="64"/>
      <c r="E2792" s="65"/>
      <c r="F2792" s="66"/>
      <c r="G2792" s="63"/>
      <c r="H2792" s="67"/>
      <c r="I2792" s="68"/>
      <c r="J2792" s="68"/>
      <c r="K2792" s="32"/>
      <c r="L2792" s="75">
        <v>2792</v>
      </c>
      <c r="M2792" s="75"/>
      <c r="N2792" s="70"/>
      <c r="O2792" s="77" t="s">
        <v>2081</v>
      </c>
      <c r="P2792" s="79">
        <v>45093.583738425928</v>
      </c>
      <c r="Q2792" s="77" t="s">
        <v>4549</v>
      </c>
      <c r="R2792" s="77">
        <v>0</v>
      </c>
      <c r="S2792" s="77">
        <v>0</v>
      </c>
      <c r="T2792" s="77">
        <v>0</v>
      </c>
      <c r="U2792" s="77">
        <v>0</v>
      </c>
      <c r="V2792" s="77">
        <v>42</v>
      </c>
      <c r="W2792" s="80" t="s">
        <v>7637</v>
      </c>
      <c r="X2792" s="83" t="str">
        <f>HYPERLINK("https://hubs.ly/Q01Pl5Z20")</f>
        <v>https://hubs.ly/Q01Pl5Z20</v>
      </c>
      <c r="Y2792" s="77" t="s">
        <v>8803</v>
      </c>
      <c r="Z2792" s="77" t="s">
        <v>1384</v>
      </c>
      <c r="AA2792" s="77" t="s">
        <v>9922</v>
      </c>
      <c r="AB2792" s="77" t="s">
        <v>10535</v>
      </c>
      <c r="AC2792" s="80" t="s">
        <v>10552</v>
      </c>
      <c r="AD2792" s="77" t="s">
        <v>10620</v>
      </c>
      <c r="AE2792" s="83" t="str">
        <f>HYPERLINK("https://twitter.com/nuboxchile/status/1669706539148488707")</f>
        <v>https://twitter.com/nuboxchile/status/1669706539148488707</v>
      </c>
      <c r="AF2792" s="79">
        <v>45093.583738425928</v>
      </c>
      <c r="AG2792" s="85">
        <v>45093</v>
      </c>
      <c r="AH2792" s="80" t="s">
        <v>13067</v>
      </c>
      <c r="AI2792" s="77" t="b">
        <v>0</v>
      </c>
      <c r="AJ2792" s="77" t="s">
        <v>14349</v>
      </c>
      <c r="AK2792" s="77" t="s">
        <v>14386</v>
      </c>
      <c r="AL2792" s="77" t="s">
        <v>14395</v>
      </c>
      <c r="AM2792" s="77" t="s">
        <v>14406</v>
      </c>
      <c r="AN2792" s="77" t="s">
        <v>14446</v>
      </c>
      <c r="AO2792" s="77" t="s">
        <v>14485</v>
      </c>
      <c r="AP2792" s="77" t="s">
        <v>14516</v>
      </c>
      <c r="AQ2792" s="77" t="s">
        <v>15403</v>
      </c>
      <c r="AR2792" s="77"/>
      <c r="AS2792" s="77"/>
      <c r="AT2792" s="77"/>
      <c r="AU2792" s="77"/>
      <c r="AV2792" s="83" t="str">
        <f>HYPERLINK("https://pbs.twimg.com/media/Fyv9P-eWYAMMBGn.jpg")</f>
        <v>https://pbs.twimg.com/media/Fyv9P-eWYAMMBGn.jpg</v>
      </c>
      <c r="AW2792" s="80" t="s">
        <v>18562</v>
      </c>
      <c r="AX2792" s="80" t="s">
        <v>18562</v>
      </c>
      <c r="AY2792" s="77"/>
      <c r="AZ2792" s="80" t="s">
        <v>20380</v>
      </c>
      <c r="BA2792" s="80" t="s">
        <v>20380</v>
      </c>
      <c r="BB2792" s="80" t="s">
        <v>20380</v>
      </c>
      <c r="BC2792" s="80" t="s">
        <v>18562</v>
      </c>
      <c r="BD2792" s="77">
        <v>1120075057</v>
      </c>
      <c r="BE2792" s="77"/>
      <c r="BF2792" s="77"/>
      <c r="BG2792" s="77"/>
      <c r="BH2792" s="77"/>
      <c r="BI2792" s="77"/>
    </row>
    <row r="2793" spans="1:61" x14ac:dyDescent="0.25">
      <c r="A2793" s="62" t="s">
        <v>1134</v>
      </c>
      <c r="B2793" s="62" t="s">
        <v>1384</v>
      </c>
      <c r="C2793" s="63"/>
      <c r="D2793" s="64"/>
      <c r="E2793" s="65"/>
      <c r="F2793" s="66"/>
      <c r="G2793" s="63"/>
      <c r="H2793" s="67"/>
      <c r="I2793" s="68"/>
      <c r="J2793" s="68"/>
      <c r="K2793" s="32"/>
      <c r="L2793" s="75">
        <v>2793</v>
      </c>
      <c r="M2793" s="75"/>
      <c r="N2793" s="70"/>
      <c r="O2793" s="77" t="s">
        <v>2081</v>
      </c>
      <c r="P2793" s="79">
        <v>45092.583692129629</v>
      </c>
      <c r="Q2793" s="77" t="s">
        <v>4550</v>
      </c>
      <c r="R2793" s="77">
        <v>0</v>
      </c>
      <c r="S2793" s="77">
        <v>0</v>
      </c>
      <c r="T2793" s="77">
        <v>0</v>
      </c>
      <c r="U2793" s="77">
        <v>0</v>
      </c>
      <c r="V2793" s="77">
        <v>47</v>
      </c>
      <c r="W2793" s="80" t="s">
        <v>7637</v>
      </c>
      <c r="X2793" s="83" t="str">
        <f>HYPERLINK("https://hubs.ly/Q01Pl5Z20")</f>
        <v>https://hubs.ly/Q01Pl5Z20</v>
      </c>
      <c r="Y2793" s="77" t="s">
        <v>8803</v>
      </c>
      <c r="Z2793" s="77" t="s">
        <v>1384</v>
      </c>
      <c r="AA2793" s="77" t="s">
        <v>9923</v>
      </c>
      <c r="AB2793" s="77" t="s">
        <v>10535</v>
      </c>
      <c r="AC2793" s="80" t="s">
        <v>10552</v>
      </c>
      <c r="AD2793" s="77" t="s">
        <v>10620</v>
      </c>
      <c r="AE2793" s="83" t="str">
        <f>HYPERLINK("https://twitter.com/nuboxchile/status/1669344134900121607")</f>
        <v>https://twitter.com/nuboxchile/status/1669344134900121607</v>
      </c>
      <c r="AF2793" s="79">
        <v>45092.583692129629</v>
      </c>
      <c r="AG2793" s="85">
        <v>45092</v>
      </c>
      <c r="AH2793" s="80" t="s">
        <v>13068</v>
      </c>
      <c r="AI2793" s="77" t="b">
        <v>0</v>
      </c>
      <c r="AJ2793" s="77" t="s">
        <v>14349</v>
      </c>
      <c r="AK2793" s="77" t="s">
        <v>14386</v>
      </c>
      <c r="AL2793" s="77" t="s">
        <v>14395</v>
      </c>
      <c r="AM2793" s="77" t="s">
        <v>14406</v>
      </c>
      <c r="AN2793" s="77" t="s">
        <v>14446</v>
      </c>
      <c r="AO2793" s="77" t="s">
        <v>14485</v>
      </c>
      <c r="AP2793" s="77" t="s">
        <v>14516</v>
      </c>
      <c r="AQ2793" s="77" t="s">
        <v>15404</v>
      </c>
      <c r="AR2793" s="77"/>
      <c r="AS2793" s="77"/>
      <c r="AT2793" s="77"/>
      <c r="AU2793" s="77"/>
      <c r="AV2793" s="83" t="str">
        <f>HYPERLINK("https://pbs.twimg.com/media/FyqzpNyaAAEiCEp.jpg")</f>
        <v>https://pbs.twimg.com/media/FyqzpNyaAAEiCEp.jpg</v>
      </c>
      <c r="AW2793" s="80" t="s">
        <v>18563</v>
      </c>
      <c r="AX2793" s="80" t="s">
        <v>18563</v>
      </c>
      <c r="AY2793" s="77"/>
      <c r="AZ2793" s="80" t="s">
        <v>20380</v>
      </c>
      <c r="BA2793" s="80" t="s">
        <v>20380</v>
      </c>
      <c r="BB2793" s="80" t="s">
        <v>20380</v>
      </c>
      <c r="BC2793" s="80" t="s">
        <v>18563</v>
      </c>
      <c r="BD2793" s="77">
        <v>1120075057</v>
      </c>
      <c r="BE2793" s="77"/>
      <c r="BF2793" s="77"/>
      <c r="BG2793" s="77"/>
      <c r="BH2793" s="77"/>
      <c r="BI2793" s="77"/>
    </row>
    <row r="2794" spans="1:61" x14ac:dyDescent="0.25">
      <c r="A2794" s="62" t="s">
        <v>1134</v>
      </c>
      <c r="B2794" s="62" t="s">
        <v>1384</v>
      </c>
      <c r="C2794" s="63"/>
      <c r="D2794" s="64"/>
      <c r="E2794" s="65"/>
      <c r="F2794" s="66"/>
      <c r="G2794" s="63"/>
      <c r="H2794" s="67"/>
      <c r="I2794" s="68"/>
      <c r="J2794" s="68"/>
      <c r="K2794" s="32"/>
      <c r="L2794" s="75">
        <v>2794</v>
      </c>
      <c r="M2794" s="75"/>
      <c r="N2794" s="70"/>
      <c r="O2794" s="77" t="s">
        <v>2081</v>
      </c>
      <c r="P2794" s="79">
        <v>45068.552222222221</v>
      </c>
      <c r="Q2794" s="77" t="s">
        <v>4551</v>
      </c>
      <c r="R2794" s="77">
        <v>0</v>
      </c>
      <c r="S2794" s="77">
        <v>0</v>
      </c>
      <c r="T2794" s="77">
        <v>0</v>
      </c>
      <c r="U2794" s="77">
        <v>0</v>
      </c>
      <c r="V2794" s="77">
        <v>53</v>
      </c>
      <c r="W2794" s="80" t="s">
        <v>7637</v>
      </c>
      <c r="X2794" s="83" t="str">
        <f>HYPERLINK("https://hubs.ly/Q01Pl5Z20")</f>
        <v>https://hubs.ly/Q01Pl5Z20</v>
      </c>
      <c r="Y2794" s="77" t="s">
        <v>8803</v>
      </c>
      <c r="Z2794" s="77" t="s">
        <v>1384</v>
      </c>
      <c r="AA2794" s="77" t="s">
        <v>9924</v>
      </c>
      <c r="AB2794" s="77" t="s">
        <v>10535</v>
      </c>
      <c r="AC2794" s="80" t="s">
        <v>10552</v>
      </c>
      <c r="AD2794" s="77" t="s">
        <v>10620</v>
      </c>
      <c r="AE2794" s="83" t="str">
        <f>HYPERLINK("https://twitter.com/nuboxchile/status/1660635423842918400")</f>
        <v>https://twitter.com/nuboxchile/status/1660635423842918400</v>
      </c>
      <c r="AF2794" s="79">
        <v>45068.552222222221</v>
      </c>
      <c r="AG2794" s="85">
        <v>45068</v>
      </c>
      <c r="AH2794" s="80" t="s">
        <v>13069</v>
      </c>
      <c r="AI2794" s="77" t="b">
        <v>0</v>
      </c>
      <c r="AJ2794" s="77" t="s">
        <v>14349</v>
      </c>
      <c r="AK2794" s="77" t="s">
        <v>14386</v>
      </c>
      <c r="AL2794" s="77" t="s">
        <v>14395</v>
      </c>
      <c r="AM2794" s="77" t="s">
        <v>14406</v>
      </c>
      <c r="AN2794" s="77" t="s">
        <v>14446</v>
      </c>
      <c r="AO2794" s="77" t="s">
        <v>14485</v>
      </c>
      <c r="AP2794" s="77" t="s">
        <v>14516</v>
      </c>
      <c r="AQ2794" s="77" t="s">
        <v>15405</v>
      </c>
      <c r="AR2794" s="77"/>
      <c r="AS2794" s="77"/>
      <c r="AT2794" s="77"/>
      <c r="AU2794" s="77"/>
      <c r="AV2794" s="83" t="str">
        <f>HYPERLINK("https://pbs.twimg.com/media/FwvDHkYXsAAwNk1.jpg")</f>
        <v>https://pbs.twimg.com/media/FwvDHkYXsAAwNk1.jpg</v>
      </c>
      <c r="AW2794" s="80" t="s">
        <v>18564</v>
      </c>
      <c r="AX2794" s="80" t="s">
        <v>18564</v>
      </c>
      <c r="AY2794" s="77"/>
      <c r="AZ2794" s="80" t="s">
        <v>20380</v>
      </c>
      <c r="BA2794" s="80" t="s">
        <v>20380</v>
      </c>
      <c r="BB2794" s="80" t="s">
        <v>20380</v>
      </c>
      <c r="BC2794" s="80" t="s">
        <v>18564</v>
      </c>
      <c r="BD2794" s="77">
        <v>1120075057</v>
      </c>
      <c r="BE2794" s="77"/>
      <c r="BF2794" s="77"/>
      <c r="BG2794" s="77"/>
      <c r="BH2794" s="77"/>
      <c r="BI2794" s="77"/>
    </row>
    <row r="2795" spans="1:61" x14ac:dyDescent="0.25">
      <c r="A2795" s="62" t="s">
        <v>1134</v>
      </c>
      <c r="B2795" s="62" t="s">
        <v>1134</v>
      </c>
      <c r="C2795" s="63"/>
      <c r="D2795" s="64"/>
      <c r="E2795" s="65"/>
      <c r="F2795" s="66"/>
      <c r="G2795" s="63"/>
      <c r="H2795" s="67"/>
      <c r="I2795" s="68"/>
      <c r="J2795" s="68"/>
      <c r="K2795" s="32"/>
      <c r="L2795" s="75">
        <v>2795</v>
      </c>
      <c r="M2795" s="75"/>
      <c r="N2795" s="70"/>
      <c r="O2795" s="77" t="s">
        <v>179</v>
      </c>
      <c r="P2795" s="79">
        <v>45191.566087962965</v>
      </c>
      <c r="Q2795" s="77" t="s">
        <v>4552</v>
      </c>
      <c r="R2795" s="77">
        <v>0</v>
      </c>
      <c r="S2795" s="77">
        <v>0</v>
      </c>
      <c r="T2795" s="77">
        <v>0</v>
      </c>
      <c r="U2795" s="77">
        <v>0</v>
      </c>
      <c r="V2795" s="77">
        <v>42</v>
      </c>
      <c r="W2795" s="80" t="s">
        <v>7636</v>
      </c>
      <c r="X2795" s="83" t="str">
        <f>HYPERLINK("https://sge.st/OSE1oX6")</f>
        <v>https://sge.st/OSE1oX6</v>
      </c>
      <c r="Y2795" s="77" t="s">
        <v>8804</v>
      </c>
      <c r="Z2795" s="77"/>
      <c r="AA2795" s="77" t="s">
        <v>9925</v>
      </c>
      <c r="AB2795" s="77" t="s">
        <v>10535</v>
      </c>
      <c r="AC2795" s="80" t="s">
        <v>10598</v>
      </c>
      <c r="AD2795" s="77" t="s">
        <v>10620</v>
      </c>
      <c r="AE2795" s="83" t="str">
        <f>HYPERLINK("https://twitter.com/nuboxchile/status/1705214154057937405")</f>
        <v>https://twitter.com/nuboxchile/status/1705214154057937405</v>
      </c>
      <c r="AF2795" s="79">
        <v>45191.566087962965</v>
      </c>
      <c r="AG2795" s="85">
        <v>45191</v>
      </c>
      <c r="AH2795" s="80" t="s">
        <v>13070</v>
      </c>
      <c r="AI2795" s="77" t="b">
        <v>0</v>
      </c>
      <c r="AJ2795" s="77"/>
      <c r="AK2795" s="77"/>
      <c r="AL2795" s="77"/>
      <c r="AM2795" s="77"/>
      <c r="AN2795" s="77"/>
      <c r="AO2795" s="77"/>
      <c r="AP2795" s="77"/>
      <c r="AQ2795" s="77" t="s">
        <v>15406</v>
      </c>
      <c r="AR2795" s="77"/>
      <c r="AS2795" s="77"/>
      <c r="AT2795" s="77"/>
      <c r="AU2795" s="77"/>
      <c r="AV2795" s="83" t="str">
        <f>HYPERLINK("https://pbs.twimg.com/media/F6ojPFxWYAAn0yY.jpg")</f>
        <v>https://pbs.twimg.com/media/F6ojPFxWYAAn0yY.jpg</v>
      </c>
      <c r="AW2795" s="80" t="s">
        <v>18565</v>
      </c>
      <c r="AX2795" s="80" t="s">
        <v>18565</v>
      </c>
      <c r="AY2795" s="77"/>
      <c r="AZ2795" s="80" t="s">
        <v>20380</v>
      </c>
      <c r="BA2795" s="80" t="s">
        <v>20380</v>
      </c>
      <c r="BB2795" s="80" t="s">
        <v>20380</v>
      </c>
      <c r="BC2795" s="80" t="s">
        <v>18565</v>
      </c>
      <c r="BD2795" s="77">
        <v>1120075057</v>
      </c>
      <c r="BE2795" s="77"/>
      <c r="BF2795" s="77"/>
      <c r="BG2795" s="77"/>
      <c r="BH2795" s="77"/>
      <c r="BI2795" s="77"/>
    </row>
    <row r="2796" spans="1:61" x14ac:dyDescent="0.25">
      <c r="A2796" s="62" t="s">
        <v>1134</v>
      </c>
      <c r="B2796" s="62" t="s">
        <v>1384</v>
      </c>
      <c r="C2796" s="63"/>
      <c r="D2796" s="64"/>
      <c r="E2796" s="65"/>
      <c r="F2796" s="66"/>
      <c r="G2796" s="63"/>
      <c r="H2796" s="67"/>
      <c r="I2796" s="68"/>
      <c r="J2796" s="68"/>
      <c r="K2796" s="32"/>
      <c r="L2796" s="75">
        <v>2796</v>
      </c>
      <c r="M2796" s="75"/>
      <c r="N2796" s="70"/>
      <c r="O2796" s="77" t="s">
        <v>2081</v>
      </c>
      <c r="P2796" s="79">
        <v>45124.5625</v>
      </c>
      <c r="Q2796" s="77" t="s">
        <v>4553</v>
      </c>
      <c r="R2796" s="77">
        <v>0</v>
      </c>
      <c r="S2796" s="77">
        <v>0</v>
      </c>
      <c r="T2796" s="77">
        <v>0</v>
      </c>
      <c r="U2796" s="77">
        <v>0</v>
      </c>
      <c r="V2796" s="77">
        <v>64</v>
      </c>
      <c r="W2796" s="80" t="s">
        <v>7636</v>
      </c>
      <c r="X2796" s="83" t="str">
        <f>HYPERLINK("https://hubs.ly/Q01XVZMF0")</f>
        <v>https://hubs.ly/Q01XVZMF0</v>
      </c>
      <c r="Y2796" s="77" t="s">
        <v>8803</v>
      </c>
      <c r="Z2796" s="77" t="s">
        <v>1384</v>
      </c>
      <c r="AA2796" s="77" t="s">
        <v>9926</v>
      </c>
      <c r="AB2796" s="77" t="s">
        <v>10535</v>
      </c>
      <c r="AC2796" s="80" t="s">
        <v>10585</v>
      </c>
      <c r="AD2796" s="77" t="s">
        <v>10620</v>
      </c>
      <c r="AE2796" s="83" t="str">
        <f>HYPERLINK("https://twitter.com/nuboxchile/status/1680932865456914433")</f>
        <v>https://twitter.com/nuboxchile/status/1680932865456914433</v>
      </c>
      <c r="AF2796" s="79">
        <v>45124.5625</v>
      </c>
      <c r="AG2796" s="85">
        <v>45124</v>
      </c>
      <c r="AH2796" s="80" t="s">
        <v>11296</v>
      </c>
      <c r="AI2796" s="77" t="b">
        <v>0</v>
      </c>
      <c r="AJ2796" s="77"/>
      <c r="AK2796" s="77"/>
      <c r="AL2796" s="77"/>
      <c r="AM2796" s="77"/>
      <c r="AN2796" s="77"/>
      <c r="AO2796" s="77"/>
      <c r="AP2796" s="77"/>
      <c r="AQ2796" s="77" t="s">
        <v>15407</v>
      </c>
      <c r="AR2796" s="77"/>
      <c r="AS2796" s="77"/>
      <c r="AT2796" s="77"/>
      <c r="AU2796" s="77"/>
      <c r="AV2796" s="83" t="str">
        <f>HYPERLINK("https://pbs.twimg.com/media/F1PfiJ0XgAMBZQS.jpg")</f>
        <v>https://pbs.twimg.com/media/F1PfiJ0XgAMBZQS.jpg</v>
      </c>
      <c r="AW2796" s="80" t="s">
        <v>18566</v>
      </c>
      <c r="AX2796" s="80" t="s">
        <v>18566</v>
      </c>
      <c r="AY2796" s="77"/>
      <c r="AZ2796" s="80" t="s">
        <v>20380</v>
      </c>
      <c r="BA2796" s="80" t="s">
        <v>20380</v>
      </c>
      <c r="BB2796" s="80" t="s">
        <v>20380</v>
      </c>
      <c r="BC2796" s="80" t="s">
        <v>18566</v>
      </c>
      <c r="BD2796" s="77">
        <v>1120075057</v>
      </c>
      <c r="BE2796" s="77"/>
      <c r="BF2796" s="77"/>
      <c r="BG2796" s="77"/>
      <c r="BH2796" s="77"/>
      <c r="BI2796" s="77"/>
    </row>
    <row r="2797" spans="1:61" x14ac:dyDescent="0.25">
      <c r="A2797" s="62" t="s">
        <v>1134</v>
      </c>
      <c r="B2797" s="62" t="s">
        <v>1384</v>
      </c>
      <c r="C2797" s="63"/>
      <c r="D2797" s="64"/>
      <c r="E2797" s="65"/>
      <c r="F2797" s="66"/>
      <c r="G2797" s="63"/>
      <c r="H2797" s="67"/>
      <c r="I2797" s="68"/>
      <c r="J2797" s="68"/>
      <c r="K2797" s="32"/>
      <c r="L2797" s="75">
        <v>2797</v>
      </c>
      <c r="M2797" s="75"/>
      <c r="N2797" s="70"/>
      <c r="O2797" s="77" t="s">
        <v>2081</v>
      </c>
      <c r="P2797" s="79">
        <v>45100.583680555559</v>
      </c>
      <c r="Q2797" s="77" t="s">
        <v>4554</v>
      </c>
      <c r="R2797" s="77">
        <v>0</v>
      </c>
      <c r="S2797" s="77">
        <v>0</v>
      </c>
      <c r="T2797" s="77">
        <v>0</v>
      </c>
      <c r="U2797" s="77">
        <v>0</v>
      </c>
      <c r="V2797" s="77">
        <v>56</v>
      </c>
      <c r="W2797" s="80" t="s">
        <v>7637</v>
      </c>
      <c r="X2797" s="83" t="str">
        <f>HYPERLINK("https://hubs.ly/Q01Pl5Z20")</f>
        <v>https://hubs.ly/Q01Pl5Z20</v>
      </c>
      <c r="Y2797" s="77" t="s">
        <v>8803</v>
      </c>
      <c r="Z2797" s="77" t="s">
        <v>1384</v>
      </c>
      <c r="AA2797" s="77" t="s">
        <v>9927</v>
      </c>
      <c r="AB2797" s="77" t="s">
        <v>10535</v>
      </c>
      <c r="AC2797" s="80" t="s">
        <v>10552</v>
      </c>
      <c r="AD2797" s="77" t="s">
        <v>10620</v>
      </c>
      <c r="AE2797" s="83" t="str">
        <f>HYPERLINK("https://twitter.com/nuboxchile/status/1672243236402806785")</f>
        <v>https://twitter.com/nuboxchile/status/1672243236402806785</v>
      </c>
      <c r="AF2797" s="79">
        <v>45100.583680555559</v>
      </c>
      <c r="AG2797" s="85">
        <v>45100</v>
      </c>
      <c r="AH2797" s="80" t="s">
        <v>13071</v>
      </c>
      <c r="AI2797" s="77" t="b">
        <v>0</v>
      </c>
      <c r="AJ2797" s="77" t="s">
        <v>14349</v>
      </c>
      <c r="AK2797" s="77" t="s">
        <v>14386</v>
      </c>
      <c r="AL2797" s="77" t="s">
        <v>14395</v>
      </c>
      <c r="AM2797" s="77" t="s">
        <v>14406</v>
      </c>
      <c r="AN2797" s="77" t="s">
        <v>14446</v>
      </c>
      <c r="AO2797" s="77" t="s">
        <v>14485</v>
      </c>
      <c r="AP2797" s="77" t="s">
        <v>14516</v>
      </c>
      <c r="AQ2797" s="77" t="s">
        <v>15408</v>
      </c>
      <c r="AR2797" s="77"/>
      <c r="AS2797" s="77"/>
      <c r="AT2797" s="77"/>
      <c r="AU2797" s="77"/>
      <c r="AV2797" s="83" t="str">
        <f>HYPERLINK("https://pbs.twimg.com/media/FzUAXHRX0AgmFUC.jpg")</f>
        <v>https://pbs.twimg.com/media/FzUAXHRX0AgmFUC.jpg</v>
      </c>
      <c r="AW2797" s="80" t="s">
        <v>18567</v>
      </c>
      <c r="AX2797" s="80" t="s">
        <v>18567</v>
      </c>
      <c r="AY2797" s="77"/>
      <c r="AZ2797" s="80" t="s">
        <v>20380</v>
      </c>
      <c r="BA2797" s="80" t="s">
        <v>20380</v>
      </c>
      <c r="BB2797" s="80" t="s">
        <v>20380</v>
      </c>
      <c r="BC2797" s="80" t="s">
        <v>18567</v>
      </c>
      <c r="BD2797" s="77">
        <v>1120075057</v>
      </c>
      <c r="BE2797" s="77"/>
      <c r="BF2797" s="77"/>
      <c r="BG2797" s="77"/>
      <c r="BH2797" s="77"/>
      <c r="BI2797" s="77"/>
    </row>
    <row r="2798" spans="1:61" x14ac:dyDescent="0.25">
      <c r="A2798" s="62" t="s">
        <v>1134</v>
      </c>
      <c r="B2798" s="62" t="s">
        <v>1384</v>
      </c>
      <c r="C2798" s="63"/>
      <c r="D2798" s="64"/>
      <c r="E2798" s="65"/>
      <c r="F2798" s="66"/>
      <c r="G2798" s="63"/>
      <c r="H2798" s="67"/>
      <c r="I2798" s="68"/>
      <c r="J2798" s="68"/>
      <c r="K2798" s="32"/>
      <c r="L2798" s="75">
        <v>2798</v>
      </c>
      <c r="M2798" s="75"/>
      <c r="N2798" s="70"/>
      <c r="O2798" s="77" t="s">
        <v>2081</v>
      </c>
      <c r="P2798" s="79">
        <v>45089.584641203706</v>
      </c>
      <c r="Q2798" s="77" t="s">
        <v>4555</v>
      </c>
      <c r="R2798" s="77">
        <v>0</v>
      </c>
      <c r="S2798" s="77">
        <v>0</v>
      </c>
      <c r="T2798" s="77">
        <v>0</v>
      </c>
      <c r="U2798" s="77">
        <v>0</v>
      </c>
      <c r="V2798" s="77">
        <v>81</v>
      </c>
      <c r="W2798" s="80" t="s">
        <v>7637</v>
      </c>
      <c r="X2798" s="83" t="str">
        <f>HYPERLINK("https://hubs.ly/Q01T52Tr0")</f>
        <v>https://hubs.ly/Q01T52Tr0</v>
      </c>
      <c r="Y2798" s="77" t="s">
        <v>8803</v>
      </c>
      <c r="Z2798" s="77" t="s">
        <v>1384</v>
      </c>
      <c r="AA2798" s="77" t="s">
        <v>9928</v>
      </c>
      <c r="AB2798" s="77" t="s">
        <v>10535</v>
      </c>
      <c r="AC2798" s="80" t="s">
        <v>10585</v>
      </c>
      <c r="AD2798" s="77" t="s">
        <v>10620</v>
      </c>
      <c r="AE2798" s="83" t="str">
        <f>HYPERLINK("https://twitter.com/nuboxchile/status/1668257317618343941")</f>
        <v>https://twitter.com/nuboxchile/status/1668257317618343941</v>
      </c>
      <c r="AF2798" s="79">
        <v>45089.584641203706</v>
      </c>
      <c r="AG2798" s="85">
        <v>45089</v>
      </c>
      <c r="AH2798" s="80" t="s">
        <v>13072</v>
      </c>
      <c r="AI2798" s="77" t="b">
        <v>0</v>
      </c>
      <c r="AJ2798" s="77"/>
      <c r="AK2798" s="77"/>
      <c r="AL2798" s="77"/>
      <c r="AM2798" s="77"/>
      <c r="AN2798" s="77"/>
      <c r="AO2798" s="77"/>
      <c r="AP2798" s="77"/>
      <c r="AQ2798" s="77" t="s">
        <v>15409</v>
      </c>
      <c r="AR2798" s="77"/>
      <c r="AS2798" s="77"/>
      <c r="AT2798" s="77"/>
      <c r="AU2798" s="77"/>
      <c r="AV2798" s="83" t="str">
        <f>HYPERLINK("https://pbs.twimg.com/media/FybXMIlX0AUJid0.jpg")</f>
        <v>https://pbs.twimg.com/media/FybXMIlX0AUJid0.jpg</v>
      </c>
      <c r="AW2798" s="80" t="s">
        <v>18568</v>
      </c>
      <c r="AX2798" s="80" t="s">
        <v>18568</v>
      </c>
      <c r="AY2798" s="77"/>
      <c r="AZ2798" s="80" t="s">
        <v>20380</v>
      </c>
      <c r="BA2798" s="80" t="s">
        <v>20380</v>
      </c>
      <c r="BB2798" s="80" t="s">
        <v>20380</v>
      </c>
      <c r="BC2798" s="80" t="s">
        <v>18568</v>
      </c>
      <c r="BD2798" s="77">
        <v>1120075057</v>
      </c>
      <c r="BE2798" s="77"/>
      <c r="BF2798" s="77"/>
      <c r="BG2798" s="77"/>
      <c r="BH2798" s="77"/>
      <c r="BI2798" s="77"/>
    </row>
    <row r="2799" spans="1:61" x14ac:dyDescent="0.25">
      <c r="A2799" s="62" t="s">
        <v>1134</v>
      </c>
      <c r="B2799" s="62" t="s">
        <v>1384</v>
      </c>
      <c r="C2799" s="63"/>
      <c r="D2799" s="64"/>
      <c r="E2799" s="65"/>
      <c r="F2799" s="66"/>
      <c r="G2799" s="63"/>
      <c r="H2799" s="67"/>
      <c r="I2799" s="68"/>
      <c r="J2799" s="68"/>
      <c r="K2799" s="32"/>
      <c r="L2799" s="75">
        <v>2799</v>
      </c>
      <c r="M2799" s="75"/>
      <c r="N2799" s="70"/>
      <c r="O2799" s="77" t="s">
        <v>2081</v>
      </c>
      <c r="P2799" s="79">
        <v>45086.725810185184</v>
      </c>
      <c r="Q2799" s="77" t="s">
        <v>4556</v>
      </c>
      <c r="R2799" s="77">
        <v>0</v>
      </c>
      <c r="S2799" s="77">
        <v>0</v>
      </c>
      <c r="T2799" s="77">
        <v>0</v>
      </c>
      <c r="U2799" s="77">
        <v>0</v>
      </c>
      <c r="V2799" s="77">
        <v>49</v>
      </c>
      <c r="W2799" s="80" t="s">
        <v>7637</v>
      </c>
      <c r="X2799" s="83" t="str">
        <f>HYPERLINK("https://hubs.ly/Q01Pl5Z20")</f>
        <v>https://hubs.ly/Q01Pl5Z20</v>
      </c>
      <c r="Y2799" s="77" t="s">
        <v>8803</v>
      </c>
      <c r="Z2799" s="77" t="s">
        <v>1384</v>
      </c>
      <c r="AA2799" s="77" t="s">
        <v>9929</v>
      </c>
      <c r="AB2799" s="77" t="s">
        <v>10535</v>
      </c>
      <c r="AC2799" s="80" t="s">
        <v>10552</v>
      </c>
      <c r="AD2799" s="77" t="s">
        <v>10620</v>
      </c>
      <c r="AE2799" s="83" t="str">
        <f>HYPERLINK("https://twitter.com/nuboxchile/status/1667221312111034376")</f>
        <v>https://twitter.com/nuboxchile/status/1667221312111034376</v>
      </c>
      <c r="AF2799" s="79">
        <v>45086.725810185184</v>
      </c>
      <c r="AG2799" s="85">
        <v>45086</v>
      </c>
      <c r="AH2799" s="80" t="s">
        <v>13073</v>
      </c>
      <c r="AI2799" s="77" t="b">
        <v>0</v>
      </c>
      <c r="AJ2799" s="77" t="s">
        <v>14349</v>
      </c>
      <c r="AK2799" s="77" t="s">
        <v>14386</v>
      </c>
      <c r="AL2799" s="77" t="s">
        <v>14395</v>
      </c>
      <c r="AM2799" s="77" t="s">
        <v>14406</v>
      </c>
      <c r="AN2799" s="77" t="s">
        <v>14446</v>
      </c>
      <c r="AO2799" s="77" t="s">
        <v>14485</v>
      </c>
      <c r="AP2799" s="77" t="s">
        <v>14516</v>
      </c>
      <c r="AQ2799" s="77" t="s">
        <v>15410</v>
      </c>
      <c r="AR2799" s="77"/>
      <c r="AS2799" s="77"/>
      <c r="AT2799" s="77"/>
      <c r="AU2799" s="77"/>
      <c r="AV2799" s="83" t="str">
        <f>HYPERLINK("https://pbs.twimg.com/media/FyMo8sGXwAAZUsm.jpg")</f>
        <v>https://pbs.twimg.com/media/FyMo8sGXwAAZUsm.jpg</v>
      </c>
      <c r="AW2799" s="80" t="s">
        <v>18569</v>
      </c>
      <c r="AX2799" s="80" t="s">
        <v>18569</v>
      </c>
      <c r="AY2799" s="77"/>
      <c r="AZ2799" s="80" t="s">
        <v>20380</v>
      </c>
      <c r="BA2799" s="80" t="s">
        <v>20380</v>
      </c>
      <c r="BB2799" s="80" t="s">
        <v>20380</v>
      </c>
      <c r="BC2799" s="80" t="s">
        <v>18569</v>
      </c>
      <c r="BD2799" s="77">
        <v>1120075057</v>
      </c>
      <c r="BE2799" s="77"/>
      <c r="BF2799" s="77"/>
      <c r="BG2799" s="77"/>
      <c r="BH2799" s="77"/>
      <c r="BI2799" s="77"/>
    </row>
    <row r="2800" spans="1:61" x14ac:dyDescent="0.25">
      <c r="A2800" s="62" t="s">
        <v>1134</v>
      </c>
      <c r="B2800" s="62" t="s">
        <v>1384</v>
      </c>
      <c r="C2800" s="63"/>
      <c r="D2800" s="64"/>
      <c r="E2800" s="65"/>
      <c r="F2800" s="66"/>
      <c r="G2800" s="63"/>
      <c r="H2800" s="67"/>
      <c r="I2800" s="68"/>
      <c r="J2800" s="68"/>
      <c r="K2800" s="32"/>
      <c r="L2800" s="75">
        <v>2800</v>
      </c>
      <c r="M2800" s="75"/>
      <c r="N2800" s="70"/>
      <c r="O2800" s="77" t="s">
        <v>2081</v>
      </c>
      <c r="P2800" s="79">
        <v>45085.612488425926</v>
      </c>
      <c r="Q2800" s="77" t="s">
        <v>4557</v>
      </c>
      <c r="R2800" s="77">
        <v>0</v>
      </c>
      <c r="S2800" s="77">
        <v>0</v>
      </c>
      <c r="T2800" s="77">
        <v>0</v>
      </c>
      <c r="U2800" s="77">
        <v>0</v>
      </c>
      <c r="V2800" s="77">
        <v>66</v>
      </c>
      <c r="W2800" s="80" t="s">
        <v>7637</v>
      </c>
      <c r="X2800" s="83" t="str">
        <f>HYPERLINK("https://hubs.ly/Q01Pl5Z20")</f>
        <v>https://hubs.ly/Q01Pl5Z20</v>
      </c>
      <c r="Y2800" s="77" t="s">
        <v>8803</v>
      </c>
      <c r="Z2800" s="77" t="s">
        <v>1384</v>
      </c>
      <c r="AA2800" s="77" t="s">
        <v>9930</v>
      </c>
      <c r="AB2800" s="77" t="s">
        <v>10535</v>
      </c>
      <c r="AC2800" s="80" t="s">
        <v>10552</v>
      </c>
      <c r="AD2800" s="77" t="s">
        <v>10620</v>
      </c>
      <c r="AE2800" s="83" t="str">
        <f>HYPERLINK("https://twitter.com/nuboxchile/status/1666817855931961360")</f>
        <v>https://twitter.com/nuboxchile/status/1666817855931961360</v>
      </c>
      <c r="AF2800" s="79">
        <v>45085.612488425926</v>
      </c>
      <c r="AG2800" s="85">
        <v>45085</v>
      </c>
      <c r="AH2800" s="80" t="s">
        <v>13074</v>
      </c>
      <c r="AI2800" s="77" t="b">
        <v>0</v>
      </c>
      <c r="AJ2800" s="77" t="s">
        <v>14349</v>
      </c>
      <c r="AK2800" s="77" t="s">
        <v>14386</v>
      </c>
      <c r="AL2800" s="77" t="s">
        <v>14395</v>
      </c>
      <c r="AM2800" s="77" t="s">
        <v>14406</v>
      </c>
      <c r="AN2800" s="77" t="s">
        <v>14446</v>
      </c>
      <c r="AO2800" s="77" t="s">
        <v>14485</v>
      </c>
      <c r="AP2800" s="77" t="s">
        <v>14516</v>
      </c>
      <c r="AQ2800" s="77" t="s">
        <v>15411</v>
      </c>
      <c r="AR2800" s="77"/>
      <c r="AS2800" s="77"/>
      <c r="AT2800" s="77"/>
      <c r="AU2800" s="77"/>
      <c r="AV2800" s="83" t="str">
        <f>HYPERLINK("https://pbs.twimg.com/media/FyG6Ad5aMAAWzhU.jpg")</f>
        <v>https://pbs.twimg.com/media/FyG6Ad5aMAAWzhU.jpg</v>
      </c>
      <c r="AW2800" s="80" t="s">
        <v>18570</v>
      </c>
      <c r="AX2800" s="80" t="s">
        <v>18570</v>
      </c>
      <c r="AY2800" s="77"/>
      <c r="AZ2800" s="80" t="s">
        <v>20380</v>
      </c>
      <c r="BA2800" s="80" t="s">
        <v>20380</v>
      </c>
      <c r="BB2800" s="80" t="s">
        <v>20380</v>
      </c>
      <c r="BC2800" s="80" t="s">
        <v>18570</v>
      </c>
      <c r="BD2800" s="77">
        <v>1120075057</v>
      </c>
      <c r="BE2800" s="77"/>
      <c r="BF2800" s="77"/>
      <c r="BG2800" s="77"/>
      <c r="BH2800" s="77"/>
      <c r="BI2800" s="77"/>
    </row>
    <row r="2801" spans="1:61" x14ac:dyDescent="0.25">
      <c r="A2801" s="62" t="s">
        <v>1134</v>
      </c>
      <c r="B2801" s="62" t="s">
        <v>1384</v>
      </c>
      <c r="C2801" s="63"/>
      <c r="D2801" s="64"/>
      <c r="E2801" s="65"/>
      <c r="F2801" s="66"/>
      <c r="G2801" s="63"/>
      <c r="H2801" s="67"/>
      <c r="I2801" s="68"/>
      <c r="J2801" s="68"/>
      <c r="K2801" s="32"/>
      <c r="L2801" s="75">
        <v>2801</v>
      </c>
      <c r="M2801" s="75"/>
      <c r="N2801" s="70"/>
      <c r="O2801" s="77" t="s">
        <v>2081</v>
      </c>
      <c r="P2801" s="79">
        <v>45050.623923611114</v>
      </c>
      <c r="Q2801" s="77" t="s">
        <v>4558</v>
      </c>
      <c r="R2801" s="77">
        <v>0</v>
      </c>
      <c r="S2801" s="77">
        <v>1</v>
      </c>
      <c r="T2801" s="77">
        <v>0</v>
      </c>
      <c r="U2801" s="77">
        <v>0</v>
      </c>
      <c r="V2801" s="77">
        <v>86</v>
      </c>
      <c r="W2801" s="80" t="s">
        <v>7637</v>
      </c>
      <c r="X2801" s="83" t="str">
        <f>HYPERLINK("https://hubs.ly/Q01NHL3h0")</f>
        <v>https://hubs.ly/Q01NHL3h0</v>
      </c>
      <c r="Y2801" s="77" t="s">
        <v>8803</v>
      </c>
      <c r="Z2801" s="77" t="s">
        <v>1384</v>
      </c>
      <c r="AA2801" s="77" t="s">
        <v>9931</v>
      </c>
      <c r="AB2801" s="77" t="s">
        <v>10535</v>
      </c>
      <c r="AC2801" s="80" t="s">
        <v>10585</v>
      </c>
      <c r="AD2801" s="77" t="s">
        <v>10620</v>
      </c>
      <c r="AE2801" s="83" t="str">
        <f>HYPERLINK("https://twitter.com/nuboxchile/status/1654138425409150978")</f>
        <v>https://twitter.com/nuboxchile/status/1654138425409150978</v>
      </c>
      <c r="AF2801" s="79">
        <v>45050.623923611114</v>
      </c>
      <c r="AG2801" s="85">
        <v>45050</v>
      </c>
      <c r="AH2801" s="80" t="s">
        <v>13075</v>
      </c>
      <c r="AI2801" s="77" t="b">
        <v>0</v>
      </c>
      <c r="AJ2801" s="77"/>
      <c r="AK2801" s="77"/>
      <c r="AL2801" s="77"/>
      <c r="AM2801" s="77"/>
      <c r="AN2801" s="77"/>
      <c r="AO2801" s="77"/>
      <c r="AP2801" s="77"/>
      <c r="AQ2801" s="77" t="s">
        <v>15412</v>
      </c>
      <c r="AR2801" s="77"/>
      <c r="AS2801" s="77"/>
      <c r="AT2801" s="77"/>
      <c r="AU2801" s="77"/>
      <c r="AV2801" s="83" t="str">
        <f>HYPERLINK("https://pbs.twimg.com/media/FvSuIfHWYAA6ZdV.jpg")</f>
        <v>https://pbs.twimg.com/media/FvSuIfHWYAA6ZdV.jpg</v>
      </c>
      <c r="AW2801" s="80" t="s">
        <v>18571</v>
      </c>
      <c r="AX2801" s="80" t="s">
        <v>18571</v>
      </c>
      <c r="AY2801" s="77"/>
      <c r="AZ2801" s="80" t="s">
        <v>20380</v>
      </c>
      <c r="BA2801" s="80" t="s">
        <v>20380</v>
      </c>
      <c r="BB2801" s="80" t="s">
        <v>20380</v>
      </c>
      <c r="BC2801" s="80" t="s">
        <v>18571</v>
      </c>
      <c r="BD2801" s="77">
        <v>1120075057</v>
      </c>
      <c r="BE2801" s="77"/>
      <c r="BF2801" s="77"/>
      <c r="BG2801" s="77"/>
      <c r="BH2801" s="77"/>
      <c r="BI2801" s="77"/>
    </row>
    <row r="2802" spans="1:61" x14ac:dyDescent="0.25">
      <c r="A2802" s="62" t="s">
        <v>1134</v>
      </c>
      <c r="B2802" s="62" t="s">
        <v>1134</v>
      </c>
      <c r="C2802" s="63"/>
      <c r="D2802" s="64"/>
      <c r="E2802" s="65"/>
      <c r="F2802" s="66"/>
      <c r="G2802" s="63"/>
      <c r="H2802" s="67"/>
      <c r="I2802" s="68"/>
      <c r="J2802" s="68"/>
      <c r="K2802" s="32"/>
      <c r="L2802" s="75">
        <v>2802</v>
      </c>
      <c r="M2802" s="75"/>
      <c r="N2802" s="70"/>
      <c r="O2802" s="77" t="s">
        <v>179</v>
      </c>
      <c r="P2802" s="79">
        <v>45194.581724537034</v>
      </c>
      <c r="Q2802" s="77" t="s">
        <v>4559</v>
      </c>
      <c r="R2802" s="77">
        <v>0</v>
      </c>
      <c r="S2802" s="77">
        <v>0</v>
      </c>
      <c r="T2802" s="77">
        <v>0</v>
      </c>
      <c r="U2802" s="77">
        <v>0</v>
      </c>
      <c r="V2802" s="77">
        <v>78</v>
      </c>
      <c r="W2802" s="80" t="s">
        <v>7636</v>
      </c>
      <c r="X2802" s="83" t="str">
        <f>HYPERLINK("https://sge.st/OSE1oX6")</f>
        <v>https://sge.st/OSE1oX6</v>
      </c>
      <c r="Y2802" s="77" t="s">
        <v>8804</v>
      </c>
      <c r="Z2802" s="77"/>
      <c r="AA2802" s="77" t="s">
        <v>9932</v>
      </c>
      <c r="AB2802" s="77" t="s">
        <v>10535</v>
      </c>
      <c r="AC2802" s="80" t="s">
        <v>10598</v>
      </c>
      <c r="AD2802" s="77" t="s">
        <v>10620</v>
      </c>
      <c r="AE2802" s="83" t="str">
        <f>HYPERLINK("https://twitter.com/nuboxchile/status/1706306986520752340")</f>
        <v>https://twitter.com/nuboxchile/status/1706306986520752340</v>
      </c>
      <c r="AF2802" s="79">
        <v>45194.581724537034</v>
      </c>
      <c r="AG2802" s="85">
        <v>45194</v>
      </c>
      <c r="AH2802" s="80" t="s">
        <v>13076</v>
      </c>
      <c r="AI2802" s="77" t="b">
        <v>0</v>
      </c>
      <c r="AJ2802" s="77"/>
      <c r="AK2802" s="77"/>
      <c r="AL2802" s="77"/>
      <c r="AM2802" s="77"/>
      <c r="AN2802" s="77"/>
      <c r="AO2802" s="77"/>
      <c r="AP2802" s="77"/>
      <c r="AQ2802" s="77" t="s">
        <v>15413</v>
      </c>
      <c r="AR2802" s="77"/>
      <c r="AS2802" s="77"/>
      <c r="AT2802" s="77"/>
      <c r="AU2802" s="77"/>
      <c r="AV2802" s="83" t="str">
        <f>HYPERLINK("https://pbs.twimg.com/media/F64FKRrXMAAGW9H.jpg")</f>
        <v>https://pbs.twimg.com/media/F64FKRrXMAAGW9H.jpg</v>
      </c>
      <c r="AW2802" s="80" t="s">
        <v>18572</v>
      </c>
      <c r="AX2802" s="80" t="s">
        <v>18572</v>
      </c>
      <c r="AY2802" s="77"/>
      <c r="AZ2802" s="80" t="s">
        <v>20380</v>
      </c>
      <c r="BA2802" s="80" t="s">
        <v>20380</v>
      </c>
      <c r="BB2802" s="80" t="s">
        <v>20380</v>
      </c>
      <c r="BC2802" s="80" t="s">
        <v>18572</v>
      </c>
      <c r="BD2802" s="77">
        <v>1120075057</v>
      </c>
      <c r="BE2802" s="77"/>
      <c r="BF2802" s="77"/>
      <c r="BG2802" s="77"/>
      <c r="BH2802" s="77"/>
      <c r="BI2802" s="77"/>
    </row>
    <row r="2803" spans="1:61" x14ac:dyDescent="0.25">
      <c r="A2803" s="62" t="s">
        <v>1134</v>
      </c>
      <c r="B2803" s="62" t="s">
        <v>1134</v>
      </c>
      <c r="C2803" s="63"/>
      <c r="D2803" s="64"/>
      <c r="E2803" s="65"/>
      <c r="F2803" s="66"/>
      <c r="G2803" s="63"/>
      <c r="H2803" s="67"/>
      <c r="I2803" s="68"/>
      <c r="J2803" s="68"/>
      <c r="K2803" s="32"/>
      <c r="L2803" s="75">
        <v>2803</v>
      </c>
      <c r="M2803" s="75"/>
      <c r="N2803" s="70"/>
      <c r="O2803" s="77" t="s">
        <v>179</v>
      </c>
      <c r="P2803" s="79">
        <v>45190.5312962963</v>
      </c>
      <c r="Q2803" s="77" t="s">
        <v>4560</v>
      </c>
      <c r="R2803" s="77">
        <v>0</v>
      </c>
      <c r="S2803" s="77">
        <v>0</v>
      </c>
      <c r="T2803" s="77">
        <v>0</v>
      </c>
      <c r="U2803" s="77">
        <v>0</v>
      </c>
      <c r="V2803" s="77">
        <v>52</v>
      </c>
      <c r="W2803" s="80" t="s">
        <v>7636</v>
      </c>
      <c r="X2803" s="83" t="str">
        <f>HYPERLINK("https://sge.st/OSE1oX6")</f>
        <v>https://sge.st/OSE1oX6</v>
      </c>
      <c r="Y2803" s="77" t="s">
        <v>8804</v>
      </c>
      <c r="Z2803" s="77"/>
      <c r="AA2803" s="77" t="s">
        <v>9933</v>
      </c>
      <c r="AB2803" s="77" t="s">
        <v>10535</v>
      </c>
      <c r="AC2803" s="80" t="s">
        <v>10598</v>
      </c>
      <c r="AD2803" s="77" t="s">
        <v>10620</v>
      </c>
      <c r="AE2803" s="83" t="str">
        <f>HYPERLINK("https://twitter.com/nuboxchile/status/1704839158743871990")</f>
        <v>https://twitter.com/nuboxchile/status/1704839158743871990</v>
      </c>
      <c r="AF2803" s="79">
        <v>45190.5312962963</v>
      </c>
      <c r="AG2803" s="85">
        <v>45190</v>
      </c>
      <c r="AH2803" s="80" t="s">
        <v>13077</v>
      </c>
      <c r="AI2803" s="77" t="b">
        <v>0</v>
      </c>
      <c r="AJ2803" s="77"/>
      <c r="AK2803" s="77"/>
      <c r="AL2803" s="77"/>
      <c r="AM2803" s="77"/>
      <c r="AN2803" s="77"/>
      <c r="AO2803" s="77"/>
      <c r="AP2803" s="77"/>
      <c r="AQ2803" s="77" t="s">
        <v>15414</v>
      </c>
      <c r="AR2803" s="77"/>
      <c r="AS2803" s="77"/>
      <c r="AT2803" s="77"/>
      <c r="AU2803" s="77"/>
      <c r="AV2803" s="83" t="str">
        <f>HYPERLINK("https://pbs.twimg.com/media/F6jOLbhWQAAOHbW.jpg")</f>
        <v>https://pbs.twimg.com/media/F6jOLbhWQAAOHbW.jpg</v>
      </c>
      <c r="AW2803" s="80" t="s">
        <v>18573</v>
      </c>
      <c r="AX2803" s="80" t="s">
        <v>18573</v>
      </c>
      <c r="AY2803" s="77"/>
      <c r="AZ2803" s="80" t="s">
        <v>20380</v>
      </c>
      <c r="BA2803" s="80" t="s">
        <v>20380</v>
      </c>
      <c r="BB2803" s="80" t="s">
        <v>20380</v>
      </c>
      <c r="BC2803" s="80" t="s">
        <v>18573</v>
      </c>
      <c r="BD2803" s="77">
        <v>1120075057</v>
      </c>
      <c r="BE2803" s="77"/>
      <c r="BF2803" s="77"/>
      <c r="BG2803" s="77"/>
      <c r="BH2803" s="77"/>
      <c r="BI2803" s="77"/>
    </row>
    <row r="2804" spans="1:61" x14ac:dyDescent="0.25">
      <c r="A2804" s="62" t="s">
        <v>1134</v>
      </c>
      <c r="B2804" s="62" t="s">
        <v>1134</v>
      </c>
      <c r="C2804" s="63"/>
      <c r="D2804" s="64"/>
      <c r="E2804" s="65"/>
      <c r="F2804" s="66"/>
      <c r="G2804" s="63"/>
      <c r="H2804" s="67"/>
      <c r="I2804" s="68"/>
      <c r="J2804" s="68"/>
      <c r="K2804" s="32"/>
      <c r="L2804" s="75">
        <v>2804</v>
      </c>
      <c r="M2804" s="75"/>
      <c r="N2804" s="70"/>
      <c r="O2804" s="77" t="s">
        <v>179</v>
      </c>
      <c r="P2804" s="79">
        <v>45134.572974537034</v>
      </c>
      <c r="Q2804" s="77" t="s">
        <v>4561</v>
      </c>
      <c r="R2804" s="77">
        <v>0</v>
      </c>
      <c r="S2804" s="77">
        <v>0</v>
      </c>
      <c r="T2804" s="77">
        <v>0</v>
      </c>
      <c r="U2804" s="77">
        <v>0</v>
      </c>
      <c r="V2804" s="77">
        <v>73</v>
      </c>
      <c r="W2804" s="80" t="s">
        <v>7636</v>
      </c>
      <c r="X2804" s="83" t="str">
        <f>HYPERLINK("https://sge.st/OSE1oX6")</f>
        <v>https://sge.st/OSE1oX6</v>
      </c>
      <c r="Y2804" s="77" t="s">
        <v>8804</v>
      </c>
      <c r="Z2804" s="77"/>
      <c r="AA2804" s="77" t="s">
        <v>9934</v>
      </c>
      <c r="AB2804" s="77" t="s">
        <v>10535</v>
      </c>
      <c r="AC2804" s="80" t="s">
        <v>10598</v>
      </c>
      <c r="AD2804" s="77" t="s">
        <v>10620</v>
      </c>
      <c r="AE2804" s="83" t="str">
        <f>HYPERLINK("https://twitter.com/nuboxchile/status/1684560541304356864")</f>
        <v>https://twitter.com/nuboxchile/status/1684560541304356864</v>
      </c>
      <c r="AF2804" s="79">
        <v>45134.572974537034</v>
      </c>
      <c r="AG2804" s="85">
        <v>45134</v>
      </c>
      <c r="AH2804" s="80" t="s">
        <v>13078</v>
      </c>
      <c r="AI2804" s="77" t="b">
        <v>0</v>
      </c>
      <c r="AJ2804" s="77"/>
      <c r="AK2804" s="77"/>
      <c r="AL2804" s="77"/>
      <c r="AM2804" s="77"/>
      <c r="AN2804" s="77"/>
      <c r="AO2804" s="77"/>
      <c r="AP2804" s="77"/>
      <c r="AQ2804" s="77" t="s">
        <v>15415</v>
      </c>
      <c r="AR2804" s="77"/>
      <c r="AS2804" s="77"/>
      <c r="AT2804" s="77"/>
      <c r="AU2804" s="77"/>
      <c r="AV2804" s="83" t="str">
        <f>HYPERLINK("https://pbs.twimg.com/media/F2DC4cCWUAAjWWm.jpg")</f>
        <v>https://pbs.twimg.com/media/F2DC4cCWUAAjWWm.jpg</v>
      </c>
      <c r="AW2804" s="80" t="s">
        <v>18574</v>
      </c>
      <c r="AX2804" s="80" t="s">
        <v>18574</v>
      </c>
      <c r="AY2804" s="77"/>
      <c r="AZ2804" s="80" t="s">
        <v>20380</v>
      </c>
      <c r="BA2804" s="80" t="s">
        <v>20380</v>
      </c>
      <c r="BB2804" s="80" t="s">
        <v>20380</v>
      </c>
      <c r="BC2804" s="80" t="s">
        <v>18574</v>
      </c>
      <c r="BD2804" s="77">
        <v>1120075057</v>
      </c>
      <c r="BE2804" s="77"/>
      <c r="BF2804" s="77"/>
      <c r="BG2804" s="77"/>
      <c r="BH2804" s="77"/>
      <c r="BI2804" s="77"/>
    </row>
    <row r="2805" spans="1:61" x14ac:dyDescent="0.25">
      <c r="A2805" s="62" t="s">
        <v>1134</v>
      </c>
      <c r="B2805" s="62" t="s">
        <v>1384</v>
      </c>
      <c r="C2805" s="63"/>
      <c r="D2805" s="64"/>
      <c r="E2805" s="65"/>
      <c r="F2805" s="66"/>
      <c r="G2805" s="63"/>
      <c r="H2805" s="67"/>
      <c r="I2805" s="68"/>
      <c r="J2805" s="68"/>
      <c r="K2805" s="32"/>
      <c r="L2805" s="75">
        <v>2805</v>
      </c>
      <c r="M2805" s="75"/>
      <c r="N2805" s="70"/>
      <c r="O2805" s="77" t="s">
        <v>2081</v>
      </c>
      <c r="P2805" s="79">
        <v>45110.604166666664</v>
      </c>
      <c r="Q2805" s="77" t="s">
        <v>4562</v>
      </c>
      <c r="R2805" s="77">
        <v>0</v>
      </c>
      <c r="S2805" s="77">
        <v>0</v>
      </c>
      <c r="T2805" s="77">
        <v>0</v>
      </c>
      <c r="U2805" s="77">
        <v>0</v>
      </c>
      <c r="V2805" s="77">
        <v>107</v>
      </c>
      <c r="W2805" s="80" t="s">
        <v>7636</v>
      </c>
      <c r="X2805" s="83" t="str">
        <f>HYPERLINK("https://hubs.ly/Q01WwhK40")</f>
        <v>https://hubs.ly/Q01WwhK40</v>
      </c>
      <c r="Y2805" s="77" t="s">
        <v>8803</v>
      </c>
      <c r="Z2805" s="77" t="s">
        <v>1384</v>
      </c>
      <c r="AA2805" s="77" t="s">
        <v>9935</v>
      </c>
      <c r="AB2805" s="77" t="s">
        <v>10535</v>
      </c>
      <c r="AC2805" s="80" t="s">
        <v>10585</v>
      </c>
      <c r="AD2805" s="77" t="s">
        <v>10620</v>
      </c>
      <c r="AE2805" s="83" t="str">
        <f>HYPERLINK("https://twitter.com/nuboxchile/status/1675874535176908801")</f>
        <v>https://twitter.com/nuboxchile/status/1675874535176908801</v>
      </c>
      <c r="AF2805" s="79">
        <v>45110.604166666664</v>
      </c>
      <c r="AG2805" s="85">
        <v>45110</v>
      </c>
      <c r="AH2805" s="80" t="s">
        <v>10855</v>
      </c>
      <c r="AI2805" s="77" t="b">
        <v>0</v>
      </c>
      <c r="AJ2805" s="77"/>
      <c r="AK2805" s="77"/>
      <c r="AL2805" s="77"/>
      <c r="AM2805" s="77"/>
      <c r="AN2805" s="77"/>
      <c r="AO2805" s="77"/>
      <c r="AP2805" s="77"/>
      <c r="AQ2805" s="77" t="s">
        <v>15416</v>
      </c>
      <c r="AR2805" s="77"/>
      <c r="AS2805" s="77"/>
      <c r="AT2805" s="77"/>
      <c r="AU2805" s="77"/>
      <c r="AV2805" s="83" t="str">
        <f>HYPERLINK("https://pbs.twimg.com/media/F0HnAlrWYAA4cv5.jpg")</f>
        <v>https://pbs.twimg.com/media/F0HnAlrWYAA4cv5.jpg</v>
      </c>
      <c r="AW2805" s="80" t="s">
        <v>18575</v>
      </c>
      <c r="AX2805" s="80" t="s">
        <v>18575</v>
      </c>
      <c r="AY2805" s="77"/>
      <c r="AZ2805" s="80" t="s">
        <v>20380</v>
      </c>
      <c r="BA2805" s="80" t="s">
        <v>20380</v>
      </c>
      <c r="BB2805" s="80" t="s">
        <v>20380</v>
      </c>
      <c r="BC2805" s="80" t="s">
        <v>18575</v>
      </c>
      <c r="BD2805" s="77">
        <v>1120075057</v>
      </c>
      <c r="BE2805" s="77"/>
      <c r="BF2805" s="77"/>
      <c r="BG2805" s="77"/>
      <c r="BH2805" s="77"/>
      <c r="BI2805" s="77"/>
    </row>
    <row r="2806" spans="1:61" x14ac:dyDescent="0.25">
      <c r="A2806" s="62" t="s">
        <v>1134</v>
      </c>
      <c r="B2806" s="62" t="s">
        <v>1384</v>
      </c>
      <c r="C2806" s="63"/>
      <c r="D2806" s="64"/>
      <c r="E2806" s="65"/>
      <c r="F2806" s="66"/>
      <c r="G2806" s="63"/>
      <c r="H2806" s="67"/>
      <c r="I2806" s="68"/>
      <c r="J2806" s="68"/>
      <c r="K2806" s="32"/>
      <c r="L2806" s="75">
        <v>2806</v>
      </c>
      <c r="M2806" s="75"/>
      <c r="N2806" s="70"/>
      <c r="O2806" s="77" t="s">
        <v>2081</v>
      </c>
      <c r="P2806" s="79">
        <v>45096.632094907407</v>
      </c>
      <c r="Q2806" s="77" t="s">
        <v>4563</v>
      </c>
      <c r="R2806" s="77">
        <v>1</v>
      </c>
      <c r="S2806" s="77">
        <v>1</v>
      </c>
      <c r="T2806" s="77">
        <v>0</v>
      </c>
      <c r="U2806" s="77">
        <v>0</v>
      </c>
      <c r="V2806" s="77">
        <v>186</v>
      </c>
      <c r="W2806" s="80" t="s">
        <v>7637</v>
      </c>
      <c r="X2806" s="83" t="str">
        <f>HYPERLINK("https://hubs.ly/Q01Pl5Z20")</f>
        <v>https://hubs.ly/Q01Pl5Z20</v>
      </c>
      <c r="Y2806" s="77" t="s">
        <v>8803</v>
      </c>
      <c r="Z2806" s="77" t="s">
        <v>1384</v>
      </c>
      <c r="AA2806" s="77" t="s">
        <v>9936</v>
      </c>
      <c r="AB2806" s="77" t="s">
        <v>10535</v>
      </c>
      <c r="AC2806" s="80" t="s">
        <v>10552</v>
      </c>
      <c r="AD2806" s="77" t="s">
        <v>10620</v>
      </c>
      <c r="AE2806" s="83" t="str">
        <f>HYPERLINK("https://twitter.com/nuboxchile/status/1670811226186870784")</f>
        <v>https://twitter.com/nuboxchile/status/1670811226186870784</v>
      </c>
      <c r="AF2806" s="79">
        <v>45096.632094907407</v>
      </c>
      <c r="AG2806" s="85">
        <v>45096</v>
      </c>
      <c r="AH2806" s="80" t="s">
        <v>13079</v>
      </c>
      <c r="AI2806" s="77" t="b">
        <v>0</v>
      </c>
      <c r="AJ2806" s="77" t="s">
        <v>14349</v>
      </c>
      <c r="AK2806" s="77" t="s">
        <v>14386</v>
      </c>
      <c r="AL2806" s="77" t="s">
        <v>14395</v>
      </c>
      <c r="AM2806" s="77" t="s">
        <v>14406</v>
      </c>
      <c r="AN2806" s="77" t="s">
        <v>14446</v>
      </c>
      <c r="AO2806" s="77" t="s">
        <v>14485</v>
      </c>
      <c r="AP2806" s="77" t="s">
        <v>14516</v>
      </c>
      <c r="AQ2806" s="77" t="s">
        <v>15417</v>
      </c>
      <c r="AR2806" s="77"/>
      <c r="AS2806" s="77"/>
      <c r="AT2806" s="77"/>
      <c r="AU2806" s="77"/>
      <c r="AV2806" s="83" t="str">
        <f>HYPERLINK("https://pbs.twimg.com/media/Fy_p9MrXgAI-W9a.jpg")</f>
        <v>https://pbs.twimg.com/media/Fy_p9MrXgAI-W9a.jpg</v>
      </c>
      <c r="AW2806" s="80" t="s">
        <v>18576</v>
      </c>
      <c r="AX2806" s="80" t="s">
        <v>18576</v>
      </c>
      <c r="AY2806" s="77"/>
      <c r="AZ2806" s="80" t="s">
        <v>20380</v>
      </c>
      <c r="BA2806" s="80" t="s">
        <v>20380</v>
      </c>
      <c r="BB2806" s="80" t="s">
        <v>20380</v>
      </c>
      <c r="BC2806" s="80" t="s">
        <v>18576</v>
      </c>
      <c r="BD2806" s="77">
        <v>1120075057</v>
      </c>
      <c r="BE2806" s="77"/>
      <c r="BF2806" s="77"/>
      <c r="BG2806" s="77"/>
      <c r="BH2806" s="77"/>
      <c r="BI2806" s="77"/>
    </row>
    <row r="2807" spans="1:61" x14ac:dyDescent="0.25">
      <c r="A2807" s="62" t="s">
        <v>1134</v>
      </c>
      <c r="B2807" s="62" t="s">
        <v>1384</v>
      </c>
      <c r="C2807" s="63"/>
      <c r="D2807" s="64"/>
      <c r="E2807" s="65"/>
      <c r="F2807" s="66"/>
      <c r="G2807" s="63"/>
      <c r="H2807" s="67"/>
      <c r="I2807" s="68"/>
      <c r="J2807" s="68"/>
      <c r="K2807" s="32"/>
      <c r="L2807" s="75">
        <v>2807</v>
      </c>
      <c r="M2807" s="75"/>
      <c r="N2807" s="70"/>
      <c r="O2807" s="77" t="s">
        <v>2081</v>
      </c>
      <c r="P2807" s="79">
        <v>45062.583622685182</v>
      </c>
      <c r="Q2807" s="77" t="s">
        <v>4564</v>
      </c>
      <c r="R2807" s="77">
        <v>0</v>
      </c>
      <c r="S2807" s="77">
        <v>1</v>
      </c>
      <c r="T2807" s="77">
        <v>0</v>
      </c>
      <c r="U2807" s="77">
        <v>0</v>
      </c>
      <c r="V2807" s="77">
        <v>152</v>
      </c>
      <c r="W2807" s="80" t="s">
        <v>7637</v>
      </c>
      <c r="X2807" s="83" t="str">
        <f>HYPERLINK("https://hubs.ly/Q01Pl5Z20")</f>
        <v>https://hubs.ly/Q01Pl5Z20</v>
      </c>
      <c r="Y2807" s="77" t="s">
        <v>8803</v>
      </c>
      <c r="Z2807" s="77" t="s">
        <v>1384</v>
      </c>
      <c r="AA2807" s="77" t="s">
        <v>9937</v>
      </c>
      <c r="AB2807" s="77" t="s">
        <v>10535</v>
      </c>
      <c r="AC2807" s="80" t="s">
        <v>10552</v>
      </c>
      <c r="AD2807" s="77" t="s">
        <v>10620</v>
      </c>
      <c r="AE2807" s="83" t="str">
        <f>HYPERLINK("https://twitter.com/nuboxchile/status/1658472472738697221")</f>
        <v>https://twitter.com/nuboxchile/status/1658472472738697221</v>
      </c>
      <c r="AF2807" s="79">
        <v>45062.583622685182</v>
      </c>
      <c r="AG2807" s="85">
        <v>45062</v>
      </c>
      <c r="AH2807" s="80" t="s">
        <v>13080</v>
      </c>
      <c r="AI2807" s="77" t="b">
        <v>0</v>
      </c>
      <c r="AJ2807" s="77" t="s">
        <v>14349</v>
      </c>
      <c r="AK2807" s="77" t="s">
        <v>14386</v>
      </c>
      <c r="AL2807" s="77" t="s">
        <v>14395</v>
      </c>
      <c r="AM2807" s="77" t="s">
        <v>14406</v>
      </c>
      <c r="AN2807" s="77" t="s">
        <v>14446</v>
      </c>
      <c r="AO2807" s="77" t="s">
        <v>14485</v>
      </c>
      <c r="AP2807" s="77" t="s">
        <v>14516</v>
      </c>
      <c r="AQ2807" s="77" t="s">
        <v>15418</v>
      </c>
      <c r="AR2807" s="77"/>
      <c r="AS2807" s="77"/>
      <c r="AT2807" s="77"/>
      <c r="AU2807" s="77"/>
      <c r="AV2807" s="83" t="str">
        <f>HYPERLINK("https://pbs.twimg.com/media/FwQT7OGaQAcwSpT.jpg")</f>
        <v>https://pbs.twimg.com/media/FwQT7OGaQAcwSpT.jpg</v>
      </c>
      <c r="AW2807" s="80" t="s">
        <v>18577</v>
      </c>
      <c r="AX2807" s="80" t="s">
        <v>18577</v>
      </c>
      <c r="AY2807" s="77"/>
      <c r="AZ2807" s="80" t="s">
        <v>20380</v>
      </c>
      <c r="BA2807" s="80" t="s">
        <v>20380</v>
      </c>
      <c r="BB2807" s="80" t="s">
        <v>20380</v>
      </c>
      <c r="BC2807" s="80" t="s">
        <v>18577</v>
      </c>
      <c r="BD2807" s="77">
        <v>1120075057</v>
      </c>
      <c r="BE2807" s="77"/>
      <c r="BF2807" s="77"/>
      <c r="BG2807" s="77"/>
      <c r="BH2807" s="77"/>
      <c r="BI2807" s="77"/>
    </row>
    <row r="2808" spans="1:61" x14ac:dyDescent="0.25">
      <c r="A2808" s="62" t="s">
        <v>1134</v>
      </c>
      <c r="B2808" s="62" t="s">
        <v>1384</v>
      </c>
      <c r="C2808" s="63"/>
      <c r="D2808" s="64"/>
      <c r="E2808" s="65"/>
      <c r="F2808" s="66"/>
      <c r="G2808" s="63"/>
      <c r="H2808" s="67"/>
      <c r="I2808" s="68"/>
      <c r="J2808" s="68"/>
      <c r="K2808" s="32"/>
      <c r="L2808" s="75">
        <v>2808</v>
      </c>
      <c r="M2808" s="75"/>
      <c r="N2808" s="70"/>
      <c r="O2808" s="77" t="s">
        <v>2081</v>
      </c>
      <c r="P2808" s="79">
        <v>45051.562488425923</v>
      </c>
      <c r="Q2808" s="77" t="s">
        <v>4565</v>
      </c>
      <c r="R2808" s="77">
        <v>0</v>
      </c>
      <c r="S2808" s="77">
        <v>0</v>
      </c>
      <c r="T2808" s="77">
        <v>0</v>
      </c>
      <c r="U2808" s="77">
        <v>0</v>
      </c>
      <c r="V2808" s="77">
        <v>48</v>
      </c>
      <c r="W2808" s="80" t="s">
        <v>7637</v>
      </c>
      <c r="X2808" s="83" t="str">
        <f>HYPERLINK("https://hubs.ly/Q01NQBtk0")</f>
        <v>https://hubs.ly/Q01NQBtk0</v>
      </c>
      <c r="Y2808" s="77" t="s">
        <v>8803</v>
      </c>
      <c r="Z2808" s="77" t="s">
        <v>1384</v>
      </c>
      <c r="AA2808" s="77" t="s">
        <v>9938</v>
      </c>
      <c r="AB2808" s="77" t="s">
        <v>10535</v>
      </c>
      <c r="AC2808" s="80" t="s">
        <v>10585</v>
      </c>
      <c r="AD2808" s="77" t="s">
        <v>10620</v>
      </c>
      <c r="AE2808" s="83" t="str">
        <f>HYPERLINK("https://twitter.com/nuboxchile/status/1654478551213637634")</f>
        <v>https://twitter.com/nuboxchile/status/1654478551213637634</v>
      </c>
      <c r="AF2808" s="79">
        <v>45051.562488425923</v>
      </c>
      <c r="AG2808" s="85">
        <v>45051</v>
      </c>
      <c r="AH2808" s="80" t="s">
        <v>13081</v>
      </c>
      <c r="AI2808" s="77" t="b">
        <v>0</v>
      </c>
      <c r="AJ2808" s="77"/>
      <c r="AK2808" s="77"/>
      <c r="AL2808" s="77"/>
      <c r="AM2808" s="77"/>
      <c r="AN2808" s="77"/>
      <c r="AO2808" s="77"/>
      <c r="AP2808" s="77"/>
      <c r="AQ2808" s="77" t="s">
        <v>15419</v>
      </c>
      <c r="AR2808" s="77"/>
      <c r="AS2808" s="77"/>
      <c r="AT2808" s="77"/>
      <c r="AU2808" s="77"/>
      <c r="AV2808" s="83" t="str">
        <f>HYPERLINK("https://pbs.twimg.com/media/FvXjeZGWwAIrOLp.jpg")</f>
        <v>https://pbs.twimg.com/media/FvXjeZGWwAIrOLp.jpg</v>
      </c>
      <c r="AW2808" s="80" t="s">
        <v>18578</v>
      </c>
      <c r="AX2808" s="80" t="s">
        <v>18578</v>
      </c>
      <c r="AY2808" s="77"/>
      <c r="AZ2808" s="80" t="s">
        <v>20380</v>
      </c>
      <c r="BA2808" s="80" t="s">
        <v>20380</v>
      </c>
      <c r="BB2808" s="80" t="s">
        <v>20380</v>
      </c>
      <c r="BC2808" s="80" t="s">
        <v>18578</v>
      </c>
      <c r="BD2808" s="77">
        <v>1120075057</v>
      </c>
      <c r="BE2808" s="77"/>
      <c r="BF2808" s="77"/>
      <c r="BG2808" s="77"/>
      <c r="BH2808" s="77"/>
      <c r="BI2808" s="77"/>
    </row>
    <row r="2809" spans="1:61" x14ac:dyDescent="0.25">
      <c r="A2809" s="62" t="s">
        <v>1134</v>
      </c>
      <c r="B2809" s="62" t="s">
        <v>1134</v>
      </c>
      <c r="C2809" s="63"/>
      <c r="D2809" s="64"/>
      <c r="E2809" s="65"/>
      <c r="F2809" s="66"/>
      <c r="G2809" s="63"/>
      <c r="H2809" s="67"/>
      <c r="I2809" s="68"/>
      <c r="J2809" s="68"/>
      <c r="K2809" s="32"/>
      <c r="L2809" s="75">
        <v>2809</v>
      </c>
      <c r="M2809" s="75"/>
      <c r="N2809" s="70"/>
      <c r="O2809" s="77" t="s">
        <v>179</v>
      </c>
      <c r="P2809" s="79">
        <v>45196.553506944445</v>
      </c>
      <c r="Q2809" s="77" t="s">
        <v>4566</v>
      </c>
      <c r="R2809" s="77">
        <v>0</v>
      </c>
      <c r="S2809" s="77">
        <v>0</v>
      </c>
      <c r="T2809" s="77">
        <v>0</v>
      </c>
      <c r="U2809" s="77">
        <v>0</v>
      </c>
      <c r="V2809" s="77">
        <v>52</v>
      </c>
      <c r="W2809" s="80" t="s">
        <v>7636</v>
      </c>
      <c r="X2809" s="83" t="str">
        <f>HYPERLINK("https://sge.st/OSE1oX6")</f>
        <v>https://sge.st/OSE1oX6</v>
      </c>
      <c r="Y2809" s="77" t="s">
        <v>8804</v>
      </c>
      <c r="Z2809" s="77"/>
      <c r="AA2809" s="77" t="s">
        <v>9939</v>
      </c>
      <c r="AB2809" s="77" t="s">
        <v>10535</v>
      </c>
      <c r="AC2809" s="80" t="s">
        <v>10598</v>
      </c>
      <c r="AD2809" s="77" t="s">
        <v>10620</v>
      </c>
      <c r="AE2809" s="83" t="str">
        <f>HYPERLINK("https://twitter.com/nuboxchile/status/1707021533657366816")</f>
        <v>https://twitter.com/nuboxchile/status/1707021533657366816</v>
      </c>
      <c r="AF2809" s="79">
        <v>45196.553506944445</v>
      </c>
      <c r="AG2809" s="85">
        <v>45196</v>
      </c>
      <c r="AH2809" s="80" t="s">
        <v>13082</v>
      </c>
      <c r="AI2809" s="77" t="b">
        <v>0</v>
      </c>
      <c r="AJ2809" s="77"/>
      <c r="AK2809" s="77"/>
      <c r="AL2809" s="77"/>
      <c r="AM2809" s="77"/>
      <c r="AN2809" s="77"/>
      <c r="AO2809" s="77"/>
      <c r="AP2809" s="77"/>
      <c r="AQ2809" s="77" t="s">
        <v>15420</v>
      </c>
      <c r="AR2809" s="77"/>
      <c r="AS2809" s="77"/>
      <c r="AT2809" s="77"/>
      <c r="AU2809" s="77"/>
      <c r="AV2809" s="83" t="str">
        <f>HYPERLINK("https://pbs.twimg.com/media/F7CPCXTW4AAgsJS.jpg")</f>
        <v>https://pbs.twimg.com/media/F7CPCXTW4AAgsJS.jpg</v>
      </c>
      <c r="AW2809" s="80" t="s">
        <v>18579</v>
      </c>
      <c r="AX2809" s="80" t="s">
        <v>18579</v>
      </c>
      <c r="AY2809" s="77"/>
      <c r="AZ2809" s="80" t="s">
        <v>20380</v>
      </c>
      <c r="BA2809" s="80" t="s">
        <v>20380</v>
      </c>
      <c r="BB2809" s="80" t="s">
        <v>20380</v>
      </c>
      <c r="BC2809" s="80" t="s">
        <v>18579</v>
      </c>
      <c r="BD2809" s="77">
        <v>1120075057</v>
      </c>
      <c r="BE2809" s="77"/>
      <c r="BF2809" s="77"/>
      <c r="BG2809" s="77"/>
      <c r="BH2809" s="77"/>
      <c r="BI2809" s="77"/>
    </row>
    <row r="2810" spans="1:61" x14ac:dyDescent="0.25">
      <c r="A2810" s="62" t="s">
        <v>1134</v>
      </c>
      <c r="B2810" s="62" t="s">
        <v>1134</v>
      </c>
      <c r="C2810" s="63"/>
      <c r="D2810" s="64"/>
      <c r="E2810" s="65"/>
      <c r="F2810" s="66"/>
      <c r="G2810" s="63"/>
      <c r="H2810" s="67"/>
      <c r="I2810" s="68"/>
      <c r="J2810" s="68"/>
      <c r="K2810" s="32"/>
      <c r="L2810" s="75">
        <v>2810</v>
      </c>
      <c r="M2810" s="75"/>
      <c r="N2810" s="70"/>
      <c r="O2810" s="77" t="s">
        <v>179</v>
      </c>
      <c r="P2810" s="79">
        <v>45138.562569444446</v>
      </c>
      <c r="Q2810" s="77" t="s">
        <v>4567</v>
      </c>
      <c r="R2810" s="77">
        <v>0</v>
      </c>
      <c r="S2810" s="77">
        <v>0</v>
      </c>
      <c r="T2810" s="77">
        <v>0</v>
      </c>
      <c r="U2810" s="77">
        <v>0</v>
      </c>
      <c r="V2810" s="77">
        <v>76</v>
      </c>
      <c r="W2810" s="80" t="s">
        <v>7636</v>
      </c>
      <c r="X2810" s="83" t="str">
        <f>HYPERLINK("https://sge.st/OSE1oX6")</f>
        <v>https://sge.st/OSE1oX6</v>
      </c>
      <c r="Y2810" s="77" t="s">
        <v>8804</v>
      </c>
      <c r="Z2810" s="77"/>
      <c r="AA2810" s="77" t="s">
        <v>9940</v>
      </c>
      <c r="AB2810" s="77" t="s">
        <v>10535</v>
      </c>
      <c r="AC2810" s="80" t="s">
        <v>10598</v>
      </c>
      <c r="AD2810" s="77" t="s">
        <v>10620</v>
      </c>
      <c r="AE2810" s="83" t="str">
        <f>HYPERLINK("https://twitter.com/nuboxchile/status/1686006321181544448")</f>
        <v>https://twitter.com/nuboxchile/status/1686006321181544448</v>
      </c>
      <c r="AF2810" s="79">
        <v>45138.562569444446</v>
      </c>
      <c r="AG2810" s="85">
        <v>45138</v>
      </c>
      <c r="AH2810" s="80" t="s">
        <v>13051</v>
      </c>
      <c r="AI2810" s="77" t="b">
        <v>0</v>
      </c>
      <c r="AJ2810" s="77"/>
      <c r="AK2810" s="77"/>
      <c r="AL2810" s="77"/>
      <c r="AM2810" s="77"/>
      <c r="AN2810" s="77"/>
      <c r="AO2810" s="77"/>
      <c r="AP2810" s="77"/>
      <c r="AQ2810" s="77" t="s">
        <v>15421</v>
      </c>
      <c r="AR2810" s="77"/>
      <c r="AS2810" s="77"/>
      <c r="AT2810" s="77"/>
      <c r="AU2810" s="77"/>
      <c r="AV2810" s="83" t="str">
        <f>HYPERLINK("https://pbs.twimg.com/media/F2Xl0B0XgAAFK4I.jpg")</f>
        <v>https://pbs.twimg.com/media/F2Xl0B0XgAAFK4I.jpg</v>
      </c>
      <c r="AW2810" s="80" t="s">
        <v>18580</v>
      </c>
      <c r="AX2810" s="80" t="s">
        <v>18580</v>
      </c>
      <c r="AY2810" s="77"/>
      <c r="AZ2810" s="80" t="s">
        <v>20380</v>
      </c>
      <c r="BA2810" s="80" t="s">
        <v>20380</v>
      </c>
      <c r="BB2810" s="80" t="s">
        <v>20380</v>
      </c>
      <c r="BC2810" s="80" t="s">
        <v>18580</v>
      </c>
      <c r="BD2810" s="77">
        <v>1120075057</v>
      </c>
      <c r="BE2810" s="77"/>
      <c r="BF2810" s="77"/>
      <c r="BG2810" s="77"/>
      <c r="BH2810" s="77"/>
      <c r="BI2810" s="77"/>
    </row>
    <row r="2811" spans="1:61" x14ac:dyDescent="0.25">
      <c r="A2811" s="62" t="s">
        <v>1134</v>
      </c>
      <c r="B2811" s="62" t="s">
        <v>1384</v>
      </c>
      <c r="C2811" s="63"/>
      <c r="D2811" s="64"/>
      <c r="E2811" s="65"/>
      <c r="F2811" s="66"/>
      <c r="G2811" s="63"/>
      <c r="H2811" s="67"/>
      <c r="I2811" s="68"/>
      <c r="J2811" s="68"/>
      <c r="K2811" s="32"/>
      <c r="L2811" s="75">
        <v>2811</v>
      </c>
      <c r="M2811" s="75"/>
      <c r="N2811" s="70"/>
      <c r="O2811" s="77" t="s">
        <v>2081</v>
      </c>
      <c r="P2811" s="79">
        <v>45112.631261574075</v>
      </c>
      <c r="Q2811" s="77" t="s">
        <v>4568</v>
      </c>
      <c r="R2811" s="77">
        <v>0</v>
      </c>
      <c r="S2811" s="77">
        <v>0</v>
      </c>
      <c r="T2811" s="77">
        <v>0</v>
      </c>
      <c r="U2811" s="77">
        <v>0</v>
      </c>
      <c r="V2811" s="77">
        <v>42</v>
      </c>
      <c r="W2811" s="80" t="s">
        <v>7636</v>
      </c>
      <c r="X2811" s="83" t="str">
        <f>HYPERLINK("https://hubs.ly/Q01WL8HW0")</f>
        <v>https://hubs.ly/Q01WL8HW0</v>
      </c>
      <c r="Y2811" s="77" t="s">
        <v>8803</v>
      </c>
      <c r="Z2811" s="77" t="s">
        <v>1384</v>
      </c>
      <c r="AA2811" s="77" t="s">
        <v>9941</v>
      </c>
      <c r="AB2811" s="77" t="s">
        <v>10535</v>
      </c>
      <c r="AC2811" s="80" t="s">
        <v>10585</v>
      </c>
      <c r="AD2811" s="77" t="s">
        <v>10620</v>
      </c>
      <c r="AE2811" s="83" t="str">
        <f>HYPERLINK("https://twitter.com/nuboxchile/status/1676609132030308353")</f>
        <v>https://twitter.com/nuboxchile/status/1676609132030308353</v>
      </c>
      <c r="AF2811" s="79">
        <v>45112.631261574075</v>
      </c>
      <c r="AG2811" s="85">
        <v>45112</v>
      </c>
      <c r="AH2811" s="80" t="s">
        <v>13083</v>
      </c>
      <c r="AI2811" s="77" t="b">
        <v>0</v>
      </c>
      <c r="AJ2811" s="77"/>
      <c r="AK2811" s="77"/>
      <c r="AL2811" s="77"/>
      <c r="AM2811" s="77"/>
      <c r="AN2811" s="77"/>
      <c r="AO2811" s="77"/>
      <c r="AP2811" s="77"/>
      <c r="AQ2811" s="77" t="s">
        <v>15422</v>
      </c>
      <c r="AR2811" s="77"/>
      <c r="AS2811" s="77"/>
      <c r="AT2811" s="77"/>
      <c r="AU2811" s="77"/>
      <c r="AV2811" s="83" t="str">
        <f>HYPERLINK("https://pbs.twimg.com/media/F0SDHvgXsAAOA6D.jpg")</f>
        <v>https://pbs.twimg.com/media/F0SDHvgXsAAOA6D.jpg</v>
      </c>
      <c r="AW2811" s="80" t="s">
        <v>18581</v>
      </c>
      <c r="AX2811" s="80" t="s">
        <v>18581</v>
      </c>
      <c r="AY2811" s="77"/>
      <c r="AZ2811" s="80" t="s">
        <v>20380</v>
      </c>
      <c r="BA2811" s="80" t="s">
        <v>20380</v>
      </c>
      <c r="BB2811" s="80" t="s">
        <v>20380</v>
      </c>
      <c r="BC2811" s="80" t="s">
        <v>18581</v>
      </c>
      <c r="BD2811" s="77">
        <v>1120075057</v>
      </c>
      <c r="BE2811" s="77"/>
      <c r="BF2811" s="77"/>
      <c r="BG2811" s="77"/>
      <c r="BH2811" s="77"/>
      <c r="BI2811" s="77"/>
    </row>
    <row r="2812" spans="1:61" x14ac:dyDescent="0.25">
      <c r="A2812" s="62" t="s">
        <v>1134</v>
      </c>
      <c r="B2812" s="62" t="s">
        <v>1384</v>
      </c>
      <c r="C2812" s="63"/>
      <c r="D2812" s="64"/>
      <c r="E2812" s="65"/>
      <c r="F2812" s="66"/>
      <c r="G2812" s="63"/>
      <c r="H2812" s="67"/>
      <c r="I2812" s="68"/>
      <c r="J2812" s="68"/>
      <c r="K2812" s="32"/>
      <c r="L2812" s="75">
        <v>2812</v>
      </c>
      <c r="M2812" s="75"/>
      <c r="N2812" s="70"/>
      <c r="O2812" s="77" t="s">
        <v>2081</v>
      </c>
      <c r="P2812" s="79">
        <v>45111.562511574077</v>
      </c>
      <c r="Q2812" s="77" t="s">
        <v>4569</v>
      </c>
      <c r="R2812" s="77">
        <v>0</v>
      </c>
      <c r="S2812" s="77">
        <v>0</v>
      </c>
      <c r="T2812" s="77">
        <v>0</v>
      </c>
      <c r="U2812" s="77">
        <v>0</v>
      </c>
      <c r="V2812" s="77">
        <v>39</v>
      </c>
      <c r="W2812" s="80" t="s">
        <v>7636</v>
      </c>
      <c r="X2812" s="83" t="str">
        <f>HYPERLINK("https://hubs.ly/Q01WDl3Y0")</f>
        <v>https://hubs.ly/Q01WDl3Y0</v>
      </c>
      <c r="Y2812" s="77" t="s">
        <v>8803</v>
      </c>
      <c r="Z2812" s="77" t="s">
        <v>1384</v>
      </c>
      <c r="AA2812" s="77" t="s">
        <v>9942</v>
      </c>
      <c r="AB2812" s="77" t="s">
        <v>10535</v>
      </c>
      <c r="AC2812" s="80" t="s">
        <v>10585</v>
      </c>
      <c r="AD2812" s="77" t="s">
        <v>10620</v>
      </c>
      <c r="AE2812" s="83" t="str">
        <f>HYPERLINK("https://twitter.com/nuboxchile/status/1676221827662708737")</f>
        <v>https://twitter.com/nuboxchile/status/1676221827662708737</v>
      </c>
      <c r="AF2812" s="79">
        <v>45111.562511574077</v>
      </c>
      <c r="AG2812" s="85">
        <v>45111</v>
      </c>
      <c r="AH2812" s="80" t="s">
        <v>10858</v>
      </c>
      <c r="AI2812" s="77" t="b">
        <v>0</v>
      </c>
      <c r="AJ2812" s="77"/>
      <c r="AK2812" s="77"/>
      <c r="AL2812" s="77"/>
      <c r="AM2812" s="77"/>
      <c r="AN2812" s="77"/>
      <c r="AO2812" s="77"/>
      <c r="AP2812" s="77"/>
      <c r="AQ2812" s="77" t="s">
        <v>15423</v>
      </c>
      <c r="AR2812" s="77"/>
      <c r="AS2812" s="77"/>
      <c r="AT2812" s="77"/>
      <c r="AU2812" s="77"/>
      <c r="AV2812" s="83" t="str">
        <f>HYPERLINK("https://pbs.twimg.com/media/F0Mi3pXWwAQpjc7.jpg")</f>
        <v>https://pbs.twimg.com/media/F0Mi3pXWwAQpjc7.jpg</v>
      </c>
      <c r="AW2812" s="80" t="s">
        <v>18582</v>
      </c>
      <c r="AX2812" s="80" t="s">
        <v>18582</v>
      </c>
      <c r="AY2812" s="77"/>
      <c r="AZ2812" s="80" t="s">
        <v>20380</v>
      </c>
      <c r="BA2812" s="80" t="s">
        <v>20380</v>
      </c>
      <c r="BB2812" s="80" t="s">
        <v>20380</v>
      </c>
      <c r="BC2812" s="80" t="s">
        <v>18582</v>
      </c>
      <c r="BD2812" s="77">
        <v>1120075057</v>
      </c>
      <c r="BE2812" s="77"/>
      <c r="BF2812" s="77"/>
      <c r="BG2812" s="77"/>
      <c r="BH2812" s="77"/>
      <c r="BI2812" s="77"/>
    </row>
    <row r="2813" spans="1:61" x14ac:dyDescent="0.25">
      <c r="A2813" s="62" t="s">
        <v>1134</v>
      </c>
      <c r="B2813" s="62" t="s">
        <v>1384</v>
      </c>
      <c r="C2813" s="63"/>
      <c r="D2813" s="64"/>
      <c r="E2813" s="65"/>
      <c r="F2813" s="66"/>
      <c r="G2813" s="63"/>
      <c r="H2813" s="67"/>
      <c r="I2813" s="68"/>
      <c r="J2813" s="68"/>
      <c r="K2813" s="32"/>
      <c r="L2813" s="75">
        <v>2813</v>
      </c>
      <c r="M2813" s="75"/>
      <c r="N2813" s="70"/>
      <c r="O2813" s="77" t="s">
        <v>2081</v>
      </c>
      <c r="P2813" s="79">
        <v>45097.586944444447</v>
      </c>
      <c r="Q2813" s="77" t="s">
        <v>4570</v>
      </c>
      <c r="R2813" s="77">
        <v>0</v>
      </c>
      <c r="S2813" s="77">
        <v>0</v>
      </c>
      <c r="T2813" s="77">
        <v>0</v>
      </c>
      <c r="U2813" s="77">
        <v>0</v>
      </c>
      <c r="V2813" s="77">
        <v>51</v>
      </c>
      <c r="W2813" s="80" t="s">
        <v>7637</v>
      </c>
      <c r="X2813" s="83" t="str">
        <f>HYPERLINK("https://hubs.ly/Q01Pl5Z20")</f>
        <v>https://hubs.ly/Q01Pl5Z20</v>
      </c>
      <c r="Y2813" s="77" t="s">
        <v>8803</v>
      </c>
      <c r="Z2813" s="77" t="s">
        <v>1384</v>
      </c>
      <c r="AA2813" s="77" t="s">
        <v>9943</v>
      </c>
      <c r="AB2813" s="77" t="s">
        <v>10535</v>
      </c>
      <c r="AC2813" s="80" t="s">
        <v>10552</v>
      </c>
      <c r="AD2813" s="77" t="s">
        <v>10620</v>
      </c>
      <c r="AE2813" s="83" t="str">
        <f>HYPERLINK("https://twitter.com/nuboxchile/status/1671157253054038017")</f>
        <v>https://twitter.com/nuboxchile/status/1671157253054038017</v>
      </c>
      <c r="AF2813" s="79">
        <v>45097.586944444447</v>
      </c>
      <c r="AG2813" s="85">
        <v>45097</v>
      </c>
      <c r="AH2813" s="80" t="s">
        <v>13084</v>
      </c>
      <c r="AI2813" s="77" t="b">
        <v>0</v>
      </c>
      <c r="AJ2813" s="77" t="s">
        <v>14349</v>
      </c>
      <c r="AK2813" s="77" t="s">
        <v>14386</v>
      </c>
      <c r="AL2813" s="77" t="s">
        <v>14395</v>
      </c>
      <c r="AM2813" s="77" t="s">
        <v>14406</v>
      </c>
      <c r="AN2813" s="77" t="s">
        <v>14446</v>
      </c>
      <c r="AO2813" s="77" t="s">
        <v>14485</v>
      </c>
      <c r="AP2813" s="77" t="s">
        <v>14516</v>
      </c>
      <c r="AQ2813" s="77" t="s">
        <v>15424</v>
      </c>
      <c r="AR2813" s="77"/>
      <c r="AS2813" s="77"/>
      <c r="AT2813" s="77"/>
      <c r="AU2813" s="77"/>
      <c r="AV2813" s="83" t="str">
        <f>HYPERLINK("https://pbs.twimg.com/media/FzEkqmUaIAEQK3T.jpg")</f>
        <v>https://pbs.twimg.com/media/FzEkqmUaIAEQK3T.jpg</v>
      </c>
      <c r="AW2813" s="80" t="s">
        <v>18583</v>
      </c>
      <c r="AX2813" s="80" t="s">
        <v>18583</v>
      </c>
      <c r="AY2813" s="77"/>
      <c r="AZ2813" s="80" t="s">
        <v>20380</v>
      </c>
      <c r="BA2813" s="80" t="s">
        <v>20380</v>
      </c>
      <c r="BB2813" s="80" t="s">
        <v>20380</v>
      </c>
      <c r="BC2813" s="80" t="s">
        <v>18583</v>
      </c>
      <c r="BD2813" s="77">
        <v>1120075057</v>
      </c>
      <c r="BE2813" s="77"/>
      <c r="BF2813" s="77"/>
      <c r="BG2813" s="77"/>
      <c r="BH2813" s="77"/>
      <c r="BI2813" s="77"/>
    </row>
    <row r="2814" spans="1:61" x14ac:dyDescent="0.25">
      <c r="A2814" s="62" t="s">
        <v>1134</v>
      </c>
      <c r="B2814" s="62" t="s">
        <v>1384</v>
      </c>
      <c r="C2814" s="63"/>
      <c r="D2814" s="64"/>
      <c r="E2814" s="65"/>
      <c r="F2814" s="66"/>
      <c r="G2814" s="63"/>
      <c r="H2814" s="67"/>
      <c r="I2814" s="68"/>
      <c r="J2814" s="68"/>
      <c r="K2814" s="32"/>
      <c r="L2814" s="75">
        <v>2814</v>
      </c>
      <c r="M2814" s="75"/>
      <c r="N2814" s="70"/>
      <c r="O2814" s="77" t="s">
        <v>2081</v>
      </c>
      <c r="P2814" s="79">
        <v>45072.562638888892</v>
      </c>
      <c r="Q2814" s="77" t="s">
        <v>4571</v>
      </c>
      <c r="R2814" s="77">
        <v>0</v>
      </c>
      <c r="S2814" s="77">
        <v>1</v>
      </c>
      <c r="T2814" s="77">
        <v>0</v>
      </c>
      <c r="U2814" s="77">
        <v>0</v>
      </c>
      <c r="V2814" s="77">
        <v>37</v>
      </c>
      <c r="W2814" s="80" t="s">
        <v>7637</v>
      </c>
      <c r="X2814" s="83" t="str">
        <f>HYPERLINK("https://hubs.ly/Q01Pl5Z20")</f>
        <v>https://hubs.ly/Q01Pl5Z20</v>
      </c>
      <c r="Y2814" s="77" t="s">
        <v>8803</v>
      </c>
      <c r="Z2814" s="77" t="s">
        <v>1384</v>
      </c>
      <c r="AA2814" s="77"/>
      <c r="AB2814" s="77"/>
      <c r="AC2814" s="80" t="s">
        <v>10552</v>
      </c>
      <c r="AD2814" s="77" t="s">
        <v>10620</v>
      </c>
      <c r="AE2814" s="83" t="str">
        <f>HYPERLINK("https://twitter.com/nuboxchile/status/1662088747486261249")</f>
        <v>https://twitter.com/nuboxchile/status/1662088747486261249</v>
      </c>
      <c r="AF2814" s="79">
        <v>45072.562638888892</v>
      </c>
      <c r="AG2814" s="85">
        <v>45072</v>
      </c>
      <c r="AH2814" s="80" t="s">
        <v>13085</v>
      </c>
      <c r="AI2814" s="77" t="b">
        <v>0</v>
      </c>
      <c r="AJ2814" s="77" t="s">
        <v>14349</v>
      </c>
      <c r="AK2814" s="77" t="s">
        <v>14386</v>
      </c>
      <c r="AL2814" s="77" t="s">
        <v>14395</v>
      </c>
      <c r="AM2814" s="77" t="s">
        <v>14406</v>
      </c>
      <c r="AN2814" s="77" t="s">
        <v>14446</v>
      </c>
      <c r="AO2814" s="77" t="s">
        <v>14485</v>
      </c>
      <c r="AP2814" s="77" t="s">
        <v>14516</v>
      </c>
      <c r="AQ2814" s="77"/>
      <c r="AR2814" s="77"/>
      <c r="AS2814" s="77"/>
      <c r="AT2814" s="77"/>
      <c r="AU2814" s="77"/>
      <c r="AV2814" s="83" t="str">
        <f>HYPERLINK("https://pbs.twimg.com/profile_images/1675885997282807810/V6prPpT0_normal.jpg")</f>
        <v>https://pbs.twimg.com/profile_images/1675885997282807810/V6prPpT0_normal.jpg</v>
      </c>
      <c r="AW2814" s="80" t="s">
        <v>18584</v>
      </c>
      <c r="AX2814" s="80" t="s">
        <v>18584</v>
      </c>
      <c r="AY2814" s="77"/>
      <c r="AZ2814" s="80" t="s">
        <v>20380</v>
      </c>
      <c r="BA2814" s="80" t="s">
        <v>20380</v>
      </c>
      <c r="BB2814" s="80" t="s">
        <v>20380</v>
      </c>
      <c r="BC2814" s="80" t="s">
        <v>18584</v>
      </c>
      <c r="BD2814" s="77">
        <v>1120075057</v>
      </c>
      <c r="BE2814" s="77"/>
      <c r="BF2814" s="77"/>
      <c r="BG2814" s="77"/>
      <c r="BH2814" s="77"/>
      <c r="BI2814" s="77"/>
    </row>
    <row r="2815" spans="1:61" x14ac:dyDescent="0.25">
      <c r="A2815" s="62" t="s">
        <v>1134</v>
      </c>
      <c r="B2815" s="62" t="s">
        <v>1384</v>
      </c>
      <c r="C2815" s="63"/>
      <c r="D2815" s="64"/>
      <c r="E2815" s="65"/>
      <c r="F2815" s="66"/>
      <c r="G2815" s="63"/>
      <c r="H2815" s="67"/>
      <c r="I2815" s="68"/>
      <c r="J2815" s="68"/>
      <c r="K2815" s="32"/>
      <c r="L2815" s="75">
        <v>2815</v>
      </c>
      <c r="M2815" s="75"/>
      <c r="N2815" s="70"/>
      <c r="O2815" s="77" t="s">
        <v>2081</v>
      </c>
      <c r="P2815" s="79">
        <v>45071.583668981482</v>
      </c>
      <c r="Q2815" s="77" t="s">
        <v>4572</v>
      </c>
      <c r="R2815" s="77">
        <v>0</v>
      </c>
      <c r="S2815" s="77">
        <v>0</v>
      </c>
      <c r="T2815" s="77">
        <v>0</v>
      </c>
      <c r="U2815" s="77">
        <v>0</v>
      </c>
      <c r="V2815" s="77">
        <v>31</v>
      </c>
      <c r="W2815" s="80" t="s">
        <v>7637</v>
      </c>
      <c r="X2815" s="83" t="str">
        <f>HYPERLINK("https://hubs.ly/Q01Pl5Z20")</f>
        <v>https://hubs.ly/Q01Pl5Z20</v>
      </c>
      <c r="Y2815" s="77" t="s">
        <v>8803</v>
      </c>
      <c r="Z2815" s="77" t="s">
        <v>1384</v>
      </c>
      <c r="AA2815" s="77" t="s">
        <v>9944</v>
      </c>
      <c r="AB2815" s="77" t="s">
        <v>10535</v>
      </c>
      <c r="AC2815" s="80" t="s">
        <v>10552</v>
      </c>
      <c r="AD2815" s="77" t="s">
        <v>10620</v>
      </c>
      <c r="AE2815" s="83" t="str">
        <f>HYPERLINK("https://twitter.com/nuboxchile/status/1661733981661069318")</f>
        <v>https://twitter.com/nuboxchile/status/1661733981661069318</v>
      </c>
      <c r="AF2815" s="79">
        <v>45071.583668981482</v>
      </c>
      <c r="AG2815" s="85">
        <v>45071</v>
      </c>
      <c r="AH2815" s="80" t="s">
        <v>13086</v>
      </c>
      <c r="AI2815" s="77" t="b">
        <v>0</v>
      </c>
      <c r="AJ2815" s="77" t="s">
        <v>14349</v>
      </c>
      <c r="AK2815" s="77" t="s">
        <v>14386</v>
      </c>
      <c r="AL2815" s="77" t="s">
        <v>14395</v>
      </c>
      <c r="AM2815" s="77" t="s">
        <v>14406</v>
      </c>
      <c r="AN2815" s="77" t="s">
        <v>14446</v>
      </c>
      <c r="AO2815" s="77" t="s">
        <v>14485</v>
      </c>
      <c r="AP2815" s="77" t="s">
        <v>14516</v>
      </c>
      <c r="AQ2815" s="77" t="s">
        <v>15425</v>
      </c>
      <c r="AR2815" s="77"/>
      <c r="AS2815" s="77"/>
      <c r="AT2815" s="77"/>
      <c r="AU2815" s="77"/>
      <c r="AV2815" s="83" t="str">
        <f>HYPERLINK("https://pbs.twimg.com/media/Fw-qQBtaUAMrp_k.jpg")</f>
        <v>https://pbs.twimg.com/media/Fw-qQBtaUAMrp_k.jpg</v>
      </c>
      <c r="AW2815" s="80" t="s">
        <v>18585</v>
      </c>
      <c r="AX2815" s="80" t="s">
        <v>18585</v>
      </c>
      <c r="AY2815" s="77"/>
      <c r="AZ2815" s="80" t="s">
        <v>20380</v>
      </c>
      <c r="BA2815" s="80" t="s">
        <v>20380</v>
      </c>
      <c r="BB2815" s="80" t="s">
        <v>20380</v>
      </c>
      <c r="BC2815" s="80" t="s">
        <v>18585</v>
      </c>
      <c r="BD2815" s="77">
        <v>1120075057</v>
      </c>
      <c r="BE2815" s="77"/>
      <c r="BF2815" s="77"/>
      <c r="BG2815" s="77"/>
      <c r="BH2815" s="77"/>
      <c r="BI2815" s="77"/>
    </row>
    <row r="2816" spans="1:61" x14ac:dyDescent="0.25">
      <c r="A2816" s="62" t="s">
        <v>1134</v>
      </c>
      <c r="B2816" s="62" t="s">
        <v>1384</v>
      </c>
      <c r="C2816" s="63"/>
      <c r="D2816" s="64"/>
      <c r="E2816" s="65"/>
      <c r="F2816" s="66"/>
      <c r="G2816" s="63"/>
      <c r="H2816" s="67"/>
      <c r="I2816" s="68"/>
      <c r="J2816" s="68"/>
      <c r="K2816" s="32"/>
      <c r="L2816" s="75">
        <v>2816</v>
      </c>
      <c r="M2816" s="75"/>
      <c r="N2816" s="70"/>
      <c r="O2816" s="77" t="s">
        <v>2081</v>
      </c>
      <c r="P2816" s="79">
        <v>45070.56108796296</v>
      </c>
      <c r="Q2816" s="77" t="s">
        <v>4573</v>
      </c>
      <c r="R2816" s="77">
        <v>0</v>
      </c>
      <c r="S2816" s="77">
        <v>0</v>
      </c>
      <c r="T2816" s="77">
        <v>0</v>
      </c>
      <c r="U2816" s="77">
        <v>0</v>
      </c>
      <c r="V2816" s="77">
        <v>69</v>
      </c>
      <c r="W2816" s="80" t="s">
        <v>7637</v>
      </c>
      <c r="X2816" s="83" t="str">
        <f>HYPERLINK("https://hubs.ly/Q01Pl5Z20")</f>
        <v>https://hubs.ly/Q01Pl5Z20</v>
      </c>
      <c r="Y2816" s="77" t="s">
        <v>8803</v>
      </c>
      <c r="Z2816" s="77" t="s">
        <v>1384</v>
      </c>
      <c r="AA2816" s="77" t="s">
        <v>9945</v>
      </c>
      <c r="AB2816" s="77" t="s">
        <v>10535</v>
      </c>
      <c r="AC2816" s="80" t="s">
        <v>10552</v>
      </c>
      <c r="AD2816" s="77" t="s">
        <v>10620</v>
      </c>
      <c r="AE2816" s="83" t="str">
        <f>HYPERLINK("https://twitter.com/nuboxchile/status/1661363410422968323")</f>
        <v>https://twitter.com/nuboxchile/status/1661363410422968323</v>
      </c>
      <c r="AF2816" s="79">
        <v>45070.56108796296</v>
      </c>
      <c r="AG2816" s="85">
        <v>45070</v>
      </c>
      <c r="AH2816" s="80" t="s">
        <v>13087</v>
      </c>
      <c r="AI2816" s="77" t="b">
        <v>0</v>
      </c>
      <c r="AJ2816" s="77" t="s">
        <v>14349</v>
      </c>
      <c r="AK2816" s="77" t="s">
        <v>14386</v>
      </c>
      <c r="AL2816" s="77" t="s">
        <v>14395</v>
      </c>
      <c r="AM2816" s="77" t="s">
        <v>14406</v>
      </c>
      <c r="AN2816" s="77" t="s">
        <v>14446</v>
      </c>
      <c r="AO2816" s="77" t="s">
        <v>14485</v>
      </c>
      <c r="AP2816" s="77" t="s">
        <v>14516</v>
      </c>
      <c r="AQ2816" s="77" t="s">
        <v>15426</v>
      </c>
      <c r="AR2816" s="77"/>
      <c r="AS2816" s="77"/>
      <c r="AT2816" s="77"/>
      <c r="AU2816" s="77"/>
      <c r="AV2816" s="83" t="str">
        <f>HYPERLINK("https://pbs.twimg.com/media/Fw5ZN99XoAAG6kd.jpg")</f>
        <v>https://pbs.twimg.com/media/Fw5ZN99XoAAG6kd.jpg</v>
      </c>
      <c r="AW2816" s="80" t="s">
        <v>18586</v>
      </c>
      <c r="AX2816" s="80" t="s">
        <v>18586</v>
      </c>
      <c r="AY2816" s="77"/>
      <c r="AZ2816" s="80" t="s">
        <v>20380</v>
      </c>
      <c r="BA2816" s="80" t="s">
        <v>20380</v>
      </c>
      <c r="BB2816" s="80" t="s">
        <v>20380</v>
      </c>
      <c r="BC2816" s="80" t="s">
        <v>18586</v>
      </c>
      <c r="BD2816" s="77">
        <v>1120075057</v>
      </c>
      <c r="BE2816" s="77"/>
      <c r="BF2816" s="77"/>
      <c r="BG2816" s="77"/>
      <c r="BH2816" s="77"/>
      <c r="BI2816" s="77"/>
    </row>
    <row r="2817" spans="1:61" x14ac:dyDescent="0.25">
      <c r="A2817" s="62" t="s">
        <v>1134</v>
      </c>
      <c r="B2817" s="62" t="s">
        <v>1384</v>
      </c>
      <c r="C2817" s="63"/>
      <c r="D2817" s="64"/>
      <c r="E2817" s="65"/>
      <c r="F2817" s="66"/>
      <c r="G2817" s="63"/>
      <c r="H2817" s="67"/>
      <c r="I2817" s="68"/>
      <c r="J2817" s="68"/>
      <c r="K2817" s="32"/>
      <c r="L2817" s="75">
        <v>2817</v>
      </c>
      <c r="M2817" s="75"/>
      <c r="N2817" s="70"/>
      <c r="O2817" s="77" t="s">
        <v>2081</v>
      </c>
      <c r="P2817" s="79">
        <v>45069.566111111111</v>
      </c>
      <c r="Q2817" s="77" t="s">
        <v>4574</v>
      </c>
      <c r="R2817" s="77">
        <v>0</v>
      </c>
      <c r="S2817" s="77">
        <v>1</v>
      </c>
      <c r="T2817" s="77">
        <v>0</v>
      </c>
      <c r="U2817" s="77">
        <v>0</v>
      </c>
      <c r="V2817" s="77">
        <v>103</v>
      </c>
      <c r="W2817" s="80" t="s">
        <v>7637</v>
      </c>
      <c r="X2817" s="83" t="str">
        <f>HYPERLINK("https://hubs.ly/Q01Pl5Z20")</f>
        <v>https://hubs.ly/Q01Pl5Z20</v>
      </c>
      <c r="Y2817" s="77" t="s">
        <v>8803</v>
      </c>
      <c r="Z2817" s="77" t="s">
        <v>1384</v>
      </c>
      <c r="AA2817" s="77" t="s">
        <v>9946</v>
      </c>
      <c r="AB2817" s="77" t="s">
        <v>10535</v>
      </c>
      <c r="AC2817" s="80" t="s">
        <v>10552</v>
      </c>
      <c r="AD2817" s="77" t="s">
        <v>10620</v>
      </c>
      <c r="AE2817" s="83" t="str">
        <f>HYPERLINK("https://twitter.com/nuboxchile/status/1661002844315475970")</f>
        <v>https://twitter.com/nuboxchile/status/1661002844315475970</v>
      </c>
      <c r="AF2817" s="79">
        <v>45069.566111111111</v>
      </c>
      <c r="AG2817" s="85">
        <v>45069</v>
      </c>
      <c r="AH2817" s="80" t="s">
        <v>13088</v>
      </c>
      <c r="AI2817" s="77" t="b">
        <v>0</v>
      </c>
      <c r="AJ2817" s="77" t="s">
        <v>14349</v>
      </c>
      <c r="AK2817" s="77" t="s">
        <v>14386</v>
      </c>
      <c r="AL2817" s="77" t="s">
        <v>14395</v>
      </c>
      <c r="AM2817" s="77" t="s">
        <v>14406</v>
      </c>
      <c r="AN2817" s="77" t="s">
        <v>14446</v>
      </c>
      <c r="AO2817" s="77" t="s">
        <v>14485</v>
      </c>
      <c r="AP2817" s="77" t="s">
        <v>14516</v>
      </c>
      <c r="AQ2817" s="77" t="s">
        <v>15427</v>
      </c>
      <c r="AR2817" s="77"/>
      <c r="AS2817" s="77"/>
      <c r="AT2817" s="77"/>
      <c r="AU2817" s="77"/>
      <c r="AV2817" s="83" t="str">
        <f>HYPERLINK("https://pbs.twimg.com/media/Fw0RSPWX0AArL2f.jpg")</f>
        <v>https://pbs.twimg.com/media/Fw0RSPWX0AArL2f.jpg</v>
      </c>
      <c r="AW2817" s="80" t="s">
        <v>18587</v>
      </c>
      <c r="AX2817" s="80" t="s">
        <v>18587</v>
      </c>
      <c r="AY2817" s="77"/>
      <c r="AZ2817" s="80" t="s">
        <v>20380</v>
      </c>
      <c r="BA2817" s="80" t="s">
        <v>20380</v>
      </c>
      <c r="BB2817" s="80" t="s">
        <v>20380</v>
      </c>
      <c r="BC2817" s="80" t="s">
        <v>18587</v>
      </c>
      <c r="BD2817" s="77">
        <v>1120075057</v>
      </c>
      <c r="BE2817" s="77"/>
      <c r="BF2817" s="77"/>
      <c r="BG2817" s="77"/>
      <c r="BH2817" s="77"/>
      <c r="BI2817" s="77"/>
    </row>
    <row r="2818" spans="1:61" x14ac:dyDescent="0.25">
      <c r="A2818" s="62" t="s">
        <v>1134</v>
      </c>
      <c r="B2818" s="62" t="s">
        <v>1134</v>
      </c>
      <c r="C2818" s="63"/>
      <c r="D2818" s="64"/>
      <c r="E2818" s="65"/>
      <c r="F2818" s="66"/>
      <c r="G2818" s="63"/>
      <c r="H2818" s="67"/>
      <c r="I2818" s="68"/>
      <c r="J2818" s="68"/>
      <c r="K2818" s="32"/>
      <c r="L2818" s="75">
        <v>2818</v>
      </c>
      <c r="M2818" s="75"/>
      <c r="N2818" s="70"/>
      <c r="O2818" s="77" t="s">
        <v>179</v>
      </c>
      <c r="P2818" s="79">
        <v>45197.531550925924</v>
      </c>
      <c r="Q2818" s="77" t="s">
        <v>4575</v>
      </c>
      <c r="R2818" s="77">
        <v>0</v>
      </c>
      <c r="S2818" s="77">
        <v>0</v>
      </c>
      <c r="T2818" s="77">
        <v>0</v>
      </c>
      <c r="U2818" s="77">
        <v>0</v>
      </c>
      <c r="V2818" s="77">
        <v>31</v>
      </c>
      <c r="W2818" s="80" t="s">
        <v>7636</v>
      </c>
      <c r="X2818" s="83" t="str">
        <f>HYPERLINK("https://sge.st/OSE1oX6")</f>
        <v>https://sge.st/OSE1oX6</v>
      </c>
      <c r="Y2818" s="77" t="s">
        <v>8804</v>
      </c>
      <c r="Z2818" s="77"/>
      <c r="AA2818" s="77" t="s">
        <v>9947</v>
      </c>
      <c r="AB2818" s="77" t="s">
        <v>10535</v>
      </c>
      <c r="AC2818" s="80" t="s">
        <v>10598</v>
      </c>
      <c r="AD2818" s="77" t="s">
        <v>10620</v>
      </c>
      <c r="AE2818" s="83" t="str">
        <f>HYPERLINK("https://twitter.com/nuboxchile/status/1707375965913993670")</f>
        <v>https://twitter.com/nuboxchile/status/1707375965913993670</v>
      </c>
      <c r="AF2818" s="79">
        <v>45197.531550925924</v>
      </c>
      <c r="AG2818" s="85">
        <v>45197</v>
      </c>
      <c r="AH2818" s="80" t="s">
        <v>13089</v>
      </c>
      <c r="AI2818" s="77" t="b">
        <v>0</v>
      </c>
      <c r="AJ2818" s="77"/>
      <c r="AK2818" s="77"/>
      <c r="AL2818" s="77"/>
      <c r="AM2818" s="77"/>
      <c r="AN2818" s="77"/>
      <c r="AO2818" s="77"/>
      <c r="AP2818" s="77"/>
      <c r="AQ2818" s="77" t="s">
        <v>15428</v>
      </c>
      <c r="AR2818" s="77"/>
      <c r="AS2818" s="77"/>
      <c r="AT2818" s="77"/>
      <c r="AU2818" s="77"/>
      <c r="AV2818" s="83" t="str">
        <f>HYPERLINK("https://pbs.twimg.com/media/F7HRZDDXYAAohOD.jpg")</f>
        <v>https://pbs.twimg.com/media/F7HRZDDXYAAohOD.jpg</v>
      </c>
      <c r="AW2818" s="80" t="s">
        <v>18588</v>
      </c>
      <c r="AX2818" s="80" t="s">
        <v>18588</v>
      </c>
      <c r="AY2818" s="77"/>
      <c r="AZ2818" s="80" t="s">
        <v>20380</v>
      </c>
      <c r="BA2818" s="80" t="s">
        <v>20380</v>
      </c>
      <c r="BB2818" s="80" t="s">
        <v>20380</v>
      </c>
      <c r="BC2818" s="80" t="s">
        <v>18588</v>
      </c>
      <c r="BD2818" s="77">
        <v>1120075057</v>
      </c>
      <c r="BE2818" s="77"/>
      <c r="BF2818" s="77"/>
      <c r="BG2818" s="77"/>
      <c r="BH2818" s="77"/>
      <c r="BI2818" s="77"/>
    </row>
    <row r="2819" spans="1:61" x14ac:dyDescent="0.25">
      <c r="A2819" s="62" t="s">
        <v>1134</v>
      </c>
      <c r="B2819" s="62" t="s">
        <v>1134</v>
      </c>
      <c r="C2819" s="63"/>
      <c r="D2819" s="64"/>
      <c r="E2819" s="65"/>
      <c r="F2819" s="66"/>
      <c r="G2819" s="63"/>
      <c r="H2819" s="67"/>
      <c r="I2819" s="68"/>
      <c r="J2819" s="68"/>
      <c r="K2819" s="32"/>
      <c r="L2819" s="75">
        <v>2819</v>
      </c>
      <c r="M2819" s="75"/>
      <c r="N2819" s="70"/>
      <c r="O2819" s="77" t="s">
        <v>179</v>
      </c>
      <c r="P2819" s="79">
        <v>45195.552222222221</v>
      </c>
      <c r="Q2819" s="77" t="s">
        <v>4576</v>
      </c>
      <c r="R2819" s="77">
        <v>0</v>
      </c>
      <c r="S2819" s="77">
        <v>1</v>
      </c>
      <c r="T2819" s="77">
        <v>0</v>
      </c>
      <c r="U2819" s="77">
        <v>0</v>
      </c>
      <c r="V2819" s="77">
        <v>72</v>
      </c>
      <c r="W2819" s="80" t="s">
        <v>7636</v>
      </c>
      <c r="X2819" s="83" t="str">
        <f>HYPERLINK("https://sge.st/OSE1oX6")</f>
        <v>https://sge.st/OSE1oX6</v>
      </c>
      <c r="Y2819" s="77" t="s">
        <v>8804</v>
      </c>
      <c r="Z2819" s="77"/>
      <c r="AA2819" s="77" t="s">
        <v>9948</v>
      </c>
      <c r="AB2819" s="77" t="s">
        <v>10535</v>
      </c>
      <c r="AC2819" s="80" t="s">
        <v>10598</v>
      </c>
      <c r="AD2819" s="77" t="s">
        <v>10620</v>
      </c>
      <c r="AE2819" s="83" t="str">
        <f>HYPERLINK("https://twitter.com/nuboxchile/status/1706658681255813199")</f>
        <v>https://twitter.com/nuboxchile/status/1706658681255813199</v>
      </c>
      <c r="AF2819" s="79">
        <v>45195.552222222221</v>
      </c>
      <c r="AG2819" s="85">
        <v>45195</v>
      </c>
      <c r="AH2819" s="80" t="s">
        <v>13069</v>
      </c>
      <c r="AI2819" s="77" t="b">
        <v>0</v>
      </c>
      <c r="AJ2819" s="77"/>
      <c r="AK2819" s="77"/>
      <c r="AL2819" s="77"/>
      <c r="AM2819" s="77"/>
      <c r="AN2819" s="77"/>
      <c r="AO2819" s="77"/>
      <c r="AP2819" s="77"/>
      <c r="AQ2819" s="77" t="s">
        <v>15429</v>
      </c>
      <c r="AR2819" s="77"/>
      <c r="AS2819" s="77"/>
      <c r="AT2819" s="77"/>
      <c r="AU2819" s="77"/>
      <c r="AV2819" s="83" t="str">
        <f>HYPERLINK("https://pbs.twimg.com/media/F69FBo2XsAAQ44e.jpg")</f>
        <v>https://pbs.twimg.com/media/F69FBo2XsAAQ44e.jpg</v>
      </c>
      <c r="AW2819" s="80" t="s">
        <v>18589</v>
      </c>
      <c r="AX2819" s="80" t="s">
        <v>18589</v>
      </c>
      <c r="AY2819" s="77"/>
      <c r="AZ2819" s="80" t="s">
        <v>20380</v>
      </c>
      <c r="BA2819" s="80" t="s">
        <v>20380</v>
      </c>
      <c r="BB2819" s="80" t="s">
        <v>20380</v>
      </c>
      <c r="BC2819" s="80" t="s">
        <v>18589</v>
      </c>
      <c r="BD2819" s="77">
        <v>1120075057</v>
      </c>
      <c r="BE2819" s="77"/>
      <c r="BF2819" s="77"/>
      <c r="BG2819" s="77"/>
      <c r="BH2819" s="77"/>
      <c r="BI2819" s="77"/>
    </row>
    <row r="2820" spans="1:61" x14ac:dyDescent="0.25">
      <c r="A2820" s="62" t="s">
        <v>1134</v>
      </c>
      <c r="B2820" s="62" t="s">
        <v>1134</v>
      </c>
      <c r="C2820" s="63"/>
      <c r="D2820" s="64"/>
      <c r="E2820" s="65"/>
      <c r="F2820" s="66"/>
      <c r="G2820" s="63"/>
      <c r="H2820" s="67"/>
      <c r="I2820" s="68"/>
      <c r="J2820" s="68"/>
      <c r="K2820" s="32"/>
      <c r="L2820" s="75">
        <v>2820</v>
      </c>
      <c r="M2820" s="75"/>
      <c r="N2820" s="70"/>
      <c r="O2820" s="77" t="s">
        <v>179</v>
      </c>
      <c r="P2820" s="79">
        <v>45189.578842592593</v>
      </c>
      <c r="Q2820" s="77" t="s">
        <v>4577</v>
      </c>
      <c r="R2820" s="77">
        <v>0</v>
      </c>
      <c r="S2820" s="77">
        <v>0</v>
      </c>
      <c r="T2820" s="77">
        <v>0</v>
      </c>
      <c r="U2820" s="77">
        <v>0</v>
      </c>
      <c r="V2820" s="77">
        <v>52</v>
      </c>
      <c r="W2820" s="80" t="s">
        <v>7636</v>
      </c>
      <c r="X2820" s="83" t="str">
        <f>HYPERLINK("https://sge.st/OSE1oX6")</f>
        <v>https://sge.st/OSE1oX6</v>
      </c>
      <c r="Y2820" s="77" t="s">
        <v>8804</v>
      </c>
      <c r="Z2820" s="77"/>
      <c r="AA2820" s="77" t="s">
        <v>9949</v>
      </c>
      <c r="AB2820" s="77" t="s">
        <v>10535</v>
      </c>
      <c r="AC2820" s="80" t="s">
        <v>10598</v>
      </c>
      <c r="AD2820" s="77" t="s">
        <v>10620</v>
      </c>
      <c r="AE2820" s="83" t="str">
        <f>HYPERLINK("https://twitter.com/nuboxchile/status/1704494003096302048")</f>
        <v>https://twitter.com/nuboxchile/status/1704494003096302048</v>
      </c>
      <c r="AF2820" s="79">
        <v>45189.578842592593</v>
      </c>
      <c r="AG2820" s="85">
        <v>45189</v>
      </c>
      <c r="AH2820" s="80" t="s">
        <v>13090</v>
      </c>
      <c r="AI2820" s="77" t="b">
        <v>0</v>
      </c>
      <c r="AJ2820" s="77"/>
      <c r="AK2820" s="77"/>
      <c r="AL2820" s="77"/>
      <c r="AM2820" s="77"/>
      <c r="AN2820" s="77"/>
      <c r="AO2820" s="77"/>
      <c r="AP2820" s="77"/>
      <c r="AQ2820" s="77" t="s">
        <v>15430</v>
      </c>
      <c r="AR2820" s="77"/>
      <c r="AS2820" s="77"/>
      <c r="AT2820" s="77"/>
      <c r="AU2820" s="77"/>
      <c r="AV2820" s="83" t="str">
        <f>HYPERLINK("https://pbs.twimg.com/media/F6eUQvWWcAAoTzs.jpg")</f>
        <v>https://pbs.twimg.com/media/F6eUQvWWcAAoTzs.jpg</v>
      </c>
      <c r="AW2820" s="80" t="s">
        <v>18590</v>
      </c>
      <c r="AX2820" s="80" t="s">
        <v>18590</v>
      </c>
      <c r="AY2820" s="77"/>
      <c r="AZ2820" s="80" t="s">
        <v>20380</v>
      </c>
      <c r="BA2820" s="80" t="s">
        <v>20380</v>
      </c>
      <c r="BB2820" s="80" t="s">
        <v>20380</v>
      </c>
      <c r="BC2820" s="80" t="s">
        <v>18590</v>
      </c>
      <c r="BD2820" s="77">
        <v>1120075057</v>
      </c>
      <c r="BE2820" s="77"/>
      <c r="BF2820" s="77"/>
      <c r="BG2820" s="77"/>
      <c r="BH2820" s="77"/>
      <c r="BI2820" s="77"/>
    </row>
    <row r="2821" spans="1:61" x14ac:dyDescent="0.25">
      <c r="A2821" s="62" t="s">
        <v>1134</v>
      </c>
      <c r="B2821" s="62" t="s">
        <v>1134</v>
      </c>
      <c r="C2821" s="63"/>
      <c r="D2821" s="64"/>
      <c r="E2821" s="65"/>
      <c r="F2821" s="66"/>
      <c r="G2821" s="63"/>
      <c r="H2821" s="67"/>
      <c r="I2821" s="68"/>
      <c r="J2821" s="68"/>
      <c r="K2821" s="32"/>
      <c r="L2821" s="75">
        <v>2821</v>
      </c>
      <c r="M2821" s="75"/>
      <c r="N2821" s="70"/>
      <c r="O2821" s="77" t="s">
        <v>179</v>
      </c>
      <c r="P2821" s="79">
        <v>45160.645879629628</v>
      </c>
      <c r="Q2821" s="77" t="s">
        <v>4578</v>
      </c>
      <c r="R2821" s="77">
        <v>0</v>
      </c>
      <c r="S2821" s="77">
        <v>0</v>
      </c>
      <c r="T2821" s="77">
        <v>0</v>
      </c>
      <c r="U2821" s="77">
        <v>0</v>
      </c>
      <c r="V2821" s="77">
        <v>56</v>
      </c>
      <c r="W2821" s="80" t="s">
        <v>7636</v>
      </c>
      <c r="X2821" s="83" t="str">
        <f>HYPERLINK("https://sge.st/OSE1oX6")</f>
        <v>https://sge.st/OSE1oX6</v>
      </c>
      <c r="Y2821" s="77" t="s">
        <v>8804</v>
      </c>
      <c r="Z2821" s="77"/>
      <c r="AA2821" s="77" t="s">
        <v>9950</v>
      </c>
      <c r="AB2821" s="77" t="s">
        <v>10535</v>
      </c>
      <c r="AC2821" s="80" t="s">
        <v>10598</v>
      </c>
      <c r="AD2821" s="77" t="s">
        <v>10620</v>
      </c>
      <c r="AE2821" s="83" t="str">
        <f>HYPERLINK("https://twitter.com/nuboxchile/status/1694009048113287270")</f>
        <v>https://twitter.com/nuboxchile/status/1694009048113287270</v>
      </c>
      <c r="AF2821" s="79">
        <v>45160.645879629628</v>
      </c>
      <c r="AG2821" s="85">
        <v>45160</v>
      </c>
      <c r="AH2821" s="80" t="s">
        <v>13091</v>
      </c>
      <c r="AI2821" s="77" t="b">
        <v>0</v>
      </c>
      <c r="AJ2821" s="77"/>
      <c r="AK2821" s="77"/>
      <c r="AL2821" s="77"/>
      <c r="AM2821" s="77"/>
      <c r="AN2821" s="77"/>
      <c r="AO2821" s="77"/>
      <c r="AP2821" s="77"/>
      <c r="AQ2821" s="77" t="s">
        <v>15431</v>
      </c>
      <c r="AR2821" s="77"/>
      <c r="AS2821" s="77"/>
      <c r="AT2821" s="77"/>
      <c r="AU2821" s="77"/>
      <c r="AV2821" s="83" t="str">
        <f>HYPERLINK("https://pbs.twimg.com/media/F4JUQEzW8AE6MO9.jpg")</f>
        <v>https://pbs.twimg.com/media/F4JUQEzW8AE6MO9.jpg</v>
      </c>
      <c r="AW2821" s="80" t="s">
        <v>18591</v>
      </c>
      <c r="AX2821" s="80" t="s">
        <v>18591</v>
      </c>
      <c r="AY2821" s="77"/>
      <c r="AZ2821" s="80" t="s">
        <v>20380</v>
      </c>
      <c r="BA2821" s="80" t="s">
        <v>20380</v>
      </c>
      <c r="BB2821" s="80" t="s">
        <v>20380</v>
      </c>
      <c r="BC2821" s="80" t="s">
        <v>18591</v>
      </c>
      <c r="BD2821" s="77">
        <v>1120075057</v>
      </c>
      <c r="BE2821" s="77"/>
      <c r="BF2821" s="77"/>
      <c r="BG2821" s="77"/>
      <c r="BH2821" s="77"/>
      <c r="BI2821" s="77"/>
    </row>
    <row r="2822" spans="1:61" x14ac:dyDescent="0.25">
      <c r="A2822" s="62" t="s">
        <v>1134</v>
      </c>
      <c r="B2822" s="62" t="s">
        <v>1134</v>
      </c>
      <c r="C2822" s="63"/>
      <c r="D2822" s="64"/>
      <c r="E2822" s="65"/>
      <c r="F2822" s="66"/>
      <c r="G2822" s="63"/>
      <c r="H2822" s="67"/>
      <c r="I2822" s="68"/>
      <c r="J2822" s="68"/>
      <c r="K2822" s="32"/>
      <c r="L2822" s="75">
        <v>2822</v>
      </c>
      <c r="M2822" s="75"/>
      <c r="N2822" s="70"/>
      <c r="O2822" s="77" t="s">
        <v>179</v>
      </c>
      <c r="P2822" s="79">
        <v>45141.562557870369</v>
      </c>
      <c r="Q2822" s="77" t="s">
        <v>4579</v>
      </c>
      <c r="R2822" s="77">
        <v>0</v>
      </c>
      <c r="S2822" s="77">
        <v>0</v>
      </c>
      <c r="T2822" s="77">
        <v>0</v>
      </c>
      <c r="U2822" s="77">
        <v>0</v>
      </c>
      <c r="V2822" s="77">
        <v>81</v>
      </c>
      <c r="W2822" s="80" t="s">
        <v>7636</v>
      </c>
      <c r="X2822" s="83" t="str">
        <f>HYPERLINK("https://sge.st/OSE1oX6")</f>
        <v>https://sge.st/OSE1oX6</v>
      </c>
      <c r="Y2822" s="77" t="s">
        <v>8804</v>
      </c>
      <c r="Z2822" s="77"/>
      <c r="AA2822" s="77" t="s">
        <v>9951</v>
      </c>
      <c r="AB2822" s="77" t="s">
        <v>10535</v>
      </c>
      <c r="AC2822" s="80" t="s">
        <v>10598</v>
      </c>
      <c r="AD2822" s="77" t="s">
        <v>10620</v>
      </c>
      <c r="AE2822" s="83" t="str">
        <f>HYPERLINK("https://twitter.com/nuboxchile/status/1687093481343217664")</f>
        <v>https://twitter.com/nuboxchile/status/1687093481343217664</v>
      </c>
      <c r="AF2822" s="79">
        <v>45141.562557870369</v>
      </c>
      <c r="AG2822" s="85">
        <v>45141</v>
      </c>
      <c r="AH2822" s="80" t="s">
        <v>13058</v>
      </c>
      <c r="AI2822" s="77" t="b">
        <v>0</v>
      </c>
      <c r="AJ2822" s="77"/>
      <c r="AK2822" s="77"/>
      <c r="AL2822" s="77"/>
      <c r="AM2822" s="77"/>
      <c r="AN2822" s="77"/>
      <c r="AO2822" s="77"/>
      <c r="AP2822" s="77"/>
      <c r="AQ2822" s="77" t="s">
        <v>15432</v>
      </c>
      <c r="AR2822" s="77"/>
      <c r="AS2822" s="77"/>
      <c r="AT2822" s="77"/>
      <c r="AU2822" s="77"/>
      <c r="AV2822" s="83" t="str">
        <f>HYPERLINK("https://pbs.twimg.com/media/F2nClGAWcAA1jue.jpg")</f>
        <v>https://pbs.twimg.com/media/F2nClGAWcAA1jue.jpg</v>
      </c>
      <c r="AW2822" s="80" t="s">
        <v>18592</v>
      </c>
      <c r="AX2822" s="80" t="s">
        <v>18592</v>
      </c>
      <c r="AY2822" s="77"/>
      <c r="AZ2822" s="80" t="s">
        <v>20380</v>
      </c>
      <c r="BA2822" s="80" t="s">
        <v>20380</v>
      </c>
      <c r="BB2822" s="80" t="s">
        <v>20380</v>
      </c>
      <c r="BC2822" s="80" t="s">
        <v>18592</v>
      </c>
      <c r="BD2822" s="77">
        <v>1120075057</v>
      </c>
      <c r="BE2822" s="77"/>
      <c r="BF2822" s="77"/>
      <c r="BG2822" s="77"/>
      <c r="BH2822" s="77"/>
      <c r="BI2822" s="77"/>
    </row>
    <row r="2823" spans="1:61" x14ac:dyDescent="0.25">
      <c r="A2823" s="62" t="s">
        <v>1134</v>
      </c>
      <c r="B2823" s="62" t="s">
        <v>1384</v>
      </c>
      <c r="C2823" s="63"/>
      <c r="D2823" s="64"/>
      <c r="E2823" s="65"/>
      <c r="F2823" s="66"/>
      <c r="G2823" s="63"/>
      <c r="H2823" s="67"/>
      <c r="I2823" s="68"/>
      <c r="J2823" s="68"/>
      <c r="K2823" s="32"/>
      <c r="L2823" s="75">
        <v>2823</v>
      </c>
      <c r="M2823" s="75"/>
      <c r="N2823" s="70"/>
      <c r="O2823" s="77" t="s">
        <v>2081</v>
      </c>
      <c r="P2823" s="79">
        <v>45118.583356481482</v>
      </c>
      <c r="Q2823" s="77" t="s">
        <v>4580</v>
      </c>
      <c r="R2823" s="77">
        <v>0</v>
      </c>
      <c r="S2823" s="77">
        <v>0</v>
      </c>
      <c r="T2823" s="77">
        <v>0</v>
      </c>
      <c r="U2823" s="77">
        <v>0</v>
      </c>
      <c r="V2823" s="77">
        <v>25</v>
      </c>
      <c r="W2823" s="80" t="s">
        <v>7636</v>
      </c>
      <c r="X2823" s="83" t="str">
        <f>HYPERLINK("https://hubs.ly/Q01XhqFg0")</f>
        <v>https://hubs.ly/Q01XhqFg0</v>
      </c>
      <c r="Y2823" s="77" t="s">
        <v>8803</v>
      </c>
      <c r="Z2823" s="77" t="s">
        <v>1384</v>
      </c>
      <c r="AA2823" s="77" t="s">
        <v>9952</v>
      </c>
      <c r="AB2823" s="77" t="s">
        <v>10535</v>
      </c>
      <c r="AC2823" s="80" t="s">
        <v>10585</v>
      </c>
      <c r="AD2823" s="77" t="s">
        <v>10620</v>
      </c>
      <c r="AE2823" s="83" t="str">
        <f>HYPERLINK("https://twitter.com/nuboxchile/status/1678766096797802500")</f>
        <v>https://twitter.com/nuboxchile/status/1678766096797802500</v>
      </c>
      <c r="AF2823" s="79">
        <v>45118.583356481482</v>
      </c>
      <c r="AG2823" s="85">
        <v>45118</v>
      </c>
      <c r="AH2823" s="80" t="s">
        <v>10845</v>
      </c>
      <c r="AI2823" s="77" t="b">
        <v>0</v>
      </c>
      <c r="AJ2823" s="77"/>
      <c r="AK2823" s="77"/>
      <c r="AL2823" s="77"/>
      <c r="AM2823" s="77"/>
      <c r="AN2823" s="77"/>
      <c r="AO2823" s="77"/>
      <c r="AP2823" s="77"/>
      <c r="AQ2823" s="77" t="s">
        <v>15433</v>
      </c>
      <c r="AR2823" s="77"/>
      <c r="AS2823" s="77"/>
      <c r="AT2823" s="77"/>
      <c r="AU2823" s="77"/>
      <c r="AV2823" s="83" t="str">
        <f>HYPERLINK("https://pbs.twimg.com/media/F0ws3hsaEAAONqi.jpg")</f>
        <v>https://pbs.twimg.com/media/F0ws3hsaEAAONqi.jpg</v>
      </c>
      <c r="AW2823" s="80" t="s">
        <v>18593</v>
      </c>
      <c r="AX2823" s="80" t="s">
        <v>18593</v>
      </c>
      <c r="AY2823" s="77"/>
      <c r="AZ2823" s="80" t="s">
        <v>20380</v>
      </c>
      <c r="BA2823" s="80" t="s">
        <v>20380</v>
      </c>
      <c r="BB2823" s="80" t="s">
        <v>20380</v>
      </c>
      <c r="BC2823" s="80" t="s">
        <v>18593</v>
      </c>
      <c r="BD2823" s="77">
        <v>1120075057</v>
      </c>
      <c r="BE2823" s="77"/>
      <c r="BF2823" s="77"/>
      <c r="BG2823" s="77"/>
      <c r="BH2823" s="77"/>
      <c r="BI2823" s="77"/>
    </row>
    <row r="2824" spans="1:61" x14ac:dyDescent="0.25">
      <c r="A2824" s="62" t="s">
        <v>1134</v>
      </c>
      <c r="B2824" s="62" t="s">
        <v>1384</v>
      </c>
      <c r="C2824" s="63"/>
      <c r="D2824" s="64"/>
      <c r="E2824" s="65"/>
      <c r="F2824" s="66"/>
      <c r="G2824" s="63"/>
      <c r="H2824" s="67"/>
      <c r="I2824" s="68"/>
      <c r="J2824" s="68"/>
      <c r="K2824" s="32"/>
      <c r="L2824" s="75">
        <v>2824</v>
      </c>
      <c r="M2824" s="75"/>
      <c r="N2824" s="70"/>
      <c r="O2824" s="77" t="s">
        <v>2081</v>
      </c>
      <c r="P2824" s="79">
        <v>45117.583356481482</v>
      </c>
      <c r="Q2824" s="77" t="s">
        <v>4581</v>
      </c>
      <c r="R2824" s="77">
        <v>0</v>
      </c>
      <c r="S2824" s="77">
        <v>0</v>
      </c>
      <c r="T2824" s="77">
        <v>0</v>
      </c>
      <c r="U2824" s="77">
        <v>0</v>
      </c>
      <c r="V2824" s="77">
        <v>32</v>
      </c>
      <c r="W2824" s="80" t="s">
        <v>7636</v>
      </c>
      <c r="X2824" s="83" t="str">
        <f>HYPERLINK("https://hubs.ly/Q01X7nRW0")</f>
        <v>https://hubs.ly/Q01X7nRW0</v>
      </c>
      <c r="Y2824" s="77" t="s">
        <v>8803</v>
      </c>
      <c r="Z2824" s="77" t="s">
        <v>1384</v>
      </c>
      <c r="AA2824" s="77" t="s">
        <v>9953</v>
      </c>
      <c r="AB2824" s="77" t="s">
        <v>10535</v>
      </c>
      <c r="AC2824" s="80" t="s">
        <v>10585</v>
      </c>
      <c r="AD2824" s="77" t="s">
        <v>10620</v>
      </c>
      <c r="AE2824" s="83" t="str">
        <f>HYPERLINK("https://twitter.com/nuboxchile/status/1678403709217193989")</f>
        <v>https://twitter.com/nuboxchile/status/1678403709217193989</v>
      </c>
      <c r="AF2824" s="79">
        <v>45117.583356481482</v>
      </c>
      <c r="AG2824" s="85">
        <v>45117</v>
      </c>
      <c r="AH2824" s="80" t="s">
        <v>10845</v>
      </c>
      <c r="AI2824" s="77" t="b">
        <v>0</v>
      </c>
      <c r="AJ2824" s="77"/>
      <c r="AK2824" s="77"/>
      <c r="AL2824" s="77"/>
      <c r="AM2824" s="77"/>
      <c r="AN2824" s="77"/>
      <c r="AO2824" s="77"/>
      <c r="AP2824" s="77"/>
      <c r="AQ2824" s="77" t="s">
        <v>15434</v>
      </c>
      <c r="AR2824" s="77"/>
      <c r="AS2824" s="77"/>
      <c r="AT2824" s="77"/>
      <c r="AU2824" s="77"/>
      <c r="AV2824" s="83" t="str">
        <f>HYPERLINK("https://pbs.twimg.com/media/F0rjR32XsAAtQC9.jpg")</f>
        <v>https://pbs.twimg.com/media/F0rjR32XsAAtQC9.jpg</v>
      </c>
      <c r="AW2824" s="80" t="s">
        <v>18594</v>
      </c>
      <c r="AX2824" s="80" t="s">
        <v>18594</v>
      </c>
      <c r="AY2824" s="77"/>
      <c r="AZ2824" s="80" t="s">
        <v>20380</v>
      </c>
      <c r="BA2824" s="80" t="s">
        <v>20380</v>
      </c>
      <c r="BB2824" s="80" t="s">
        <v>20380</v>
      </c>
      <c r="BC2824" s="80" t="s">
        <v>18594</v>
      </c>
      <c r="BD2824" s="77">
        <v>1120075057</v>
      </c>
      <c r="BE2824" s="77"/>
      <c r="BF2824" s="77"/>
      <c r="BG2824" s="77"/>
      <c r="BH2824" s="77"/>
      <c r="BI2824" s="77"/>
    </row>
    <row r="2825" spans="1:61" x14ac:dyDescent="0.25">
      <c r="A2825" s="62" t="s">
        <v>1134</v>
      </c>
      <c r="B2825" s="62" t="s">
        <v>1384</v>
      </c>
      <c r="C2825" s="63"/>
      <c r="D2825" s="64"/>
      <c r="E2825" s="65"/>
      <c r="F2825" s="66"/>
      <c r="G2825" s="63"/>
      <c r="H2825" s="67"/>
      <c r="I2825" s="68"/>
      <c r="J2825" s="68"/>
      <c r="K2825" s="32"/>
      <c r="L2825" s="75">
        <v>2825</v>
      </c>
      <c r="M2825" s="75"/>
      <c r="N2825" s="70"/>
      <c r="O2825" s="77" t="s">
        <v>2081</v>
      </c>
      <c r="P2825" s="79">
        <v>45078.555706018517</v>
      </c>
      <c r="Q2825" s="77" t="s">
        <v>4582</v>
      </c>
      <c r="R2825" s="77">
        <v>0</v>
      </c>
      <c r="S2825" s="77">
        <v>0</v>
      </c>
      <c r="T2825" s="77">
        <v>0</v>
      </c>
      <c r="U2825" s="77">
        <v>0</v>
      </c>
      <c r="V2825" s="77">
        <v>182</v>
      </c>
      <c r="W2825" s="80" t="s">
        <v>7637</v>
      </c>
      <c r="X2825" s="83" t="str">
        <f>HYPERLINK("https://hubs.ly/Q01Pl5Z20")</f>
        <v>https://hubs.ly/Q01Pl5Z20</v>
      </c>
      <c r="Y2825" s="77" t="s">
        <v>8803</v>
      </c>
      <c r="Z2825" s="77" t="s">
        <v>1384</v>
      </c>
      <c r="AA2825" s="77" t="s">
        <v>9954</v>
      </c>
      <c r="AB2825" s="77" t="s">
        <v>10535</v>
      </c>
      <c r="AC2825" s="80" t="s">
        <v>10552</v>
      </c>
      <c r="AD2825" s="77" t="s">
        <v>10620</v>
      </c>
      <c r="AE2825" s="83" t="str">
        <f>HYPERLINK("https://twitter.com/nuboxchile/status/1664260565202509828")</f>
        <v>https://twitter.com/nuboxchile/status/1664260565202509828</v>
      </c>
      <c r="AF2825" s="79">
        <v>45078.555706018517</v>
      </c>
      <c r="AG2825" s="85">
        <v>45078</v>
      </c>
      <c r="AH2825" s="80" t="s">
        <v>13092</v>
      </c>
      <c r="AI2825" s="77" t="b">
        <v>0</v>
      </c>
      <c r="AJ2825" s="77" t="s">
        <v>14349</v>
      </c>
      <c r="AK2825" s="77" t="s">
        <v>14386</v>
      </c>
      <c r="AL2825" s="77" t="s">
        <v>14395</v>
      </c>
      <c r="AM2825" s="77" t="s">
        <v>14406</v>
      </c>
      <c r="AN2825" s="77" t="s">
        <v>14446</v>
      </c>
      <c r="AO2825" s="77" t="s">
        <v>14485</v>
      </c>
      <c r="AP2825" s="77" t="s">
        <v>14516</v>
      </c>
      <c r="AQ2825" s="77" t="s">
        <v>15435</v>
      </c>
      <c r="AR2825" s="77"/>
      <c r="AS2825" s="77"/>
      <c r="AT2825" s="77"/>
      <c r="AU2825" s="77"/>
      <c r="AV2825" s="83" t="str">
        <f>HYPERLINK("https://pbs.twimg.com/media/FxikKlOWcAIXWvm.jpg")</f>
        <v>https://pbs.twimg.com/media/FxikKlOWcAIXWvm.jpg</v>
      </c>
      <c r="AW2825" s="80" t="s">
        <v>18595</v>
      </c>
      <c r="AX2825" s="80" t="s">
        <v>18595</v>
      </c>
      <c r="AY2825" s="77"/>
      <c r="AZ2825" s="80" t="s">
        <v>20380</v>
      </c>
      <c r="BA2825" s="80" t="s">
        <v>20380</v>
      </c>
      <c r="BB2825" s="80" t="s">
        <v>20380</v>
      </c>
      <c r="BC2825" s="80" t="s">
        <v>18595</v>
      </c>
      <c r="BD2825" s="77">
        <v>1120075057</v>
      </c>
      <c r="BE2825" s="77"/>
      <c r="BF2825" s="77"/>
      <c r="BG2825" s="77"/>
      <c r="BH2825" s="77"/>
      <c r="BI2825" s="77"/>
    </row>
    <row r="2826" spans="1:61" x14ac:dyDescent="0.25">
      <c r="A2826" s="62" t="s">
        <v>1134</v>
      </c>
      <c r="B2826" s="62" t="s">
        <v>1384</v>
      </c>
      <c r="C2826" s="63"/>
      <c r="D2826" s="64"/>
      <c r="E2826" s="65"/>
      <c r="F2826" s="66"/>
      <c r="G2826" s="63"/>
      <c r="H2826" s="67"/>
      <c r="I2826" s="68"/>
      <c r="J2826" s="68"/>
      <c r="K2826" s="32"/>
      <c r="L2826" s="75">
        <v>2826</v>
      </c>
      <c r="M2826" s="75"/>
      <c r="N2826" s="70"/>
      <c r="O2826" s="77" t="s">
        <v>2081</v>
      </c>
      <c r="P2826" s="79">
        <v>45077.637025462966</v>
      </c>
      <c r="Q2826" s="77" t="s">
        <v>4583</v>
      </c>
      <c r="R2826" s="77">
        <v>0</v>
      </c>
      <c r="S2826" s="77">
        <v>0</v>
      </c>
      <c r="T2826" s="77">
        <v>0</v>
      </c>
      <c r="U2826" s="77">
        <v>0</v>
      </c>
      <c r="V2826" s="77">
        <v>133</v>
      </c>
      <c r="W2826" s="80" t="s">
        <v>7637</v>
      </c>
      <c r="X2826" s="83" t="str">
        <f>HYPERLINK("https://hubs.ly/Q01Pl5Z20")</f>
        <v>https://hubs.ly/Q01Pl5Z20</v>
      </c>
      <c r="Y2826" s="77" t="s">
        <v>8803</v>
      </c>
      <c r="Z2826" s="77" t="s">
        <v>1384</v>
      </c>
      <c r="AA2826" s="77" t="s">
        <v>9955</v>
      </c>
      <c r="AB2826" s="77" t="s">
        <v>10535</v>
      </c>
      <c r="AC2826" s="80" t="s">
        <v>10552</v>
      </c>
      <c r="AD2826" s="77" t="s">
        <v>10620</v>
      </c>
      <c r="AE2826" s="83" t="str">
        <f>HYPERLINK("https://twitter.com/nuboxchile/status/1663927646839775232")</f>
        <v>https://twitter.com/nuboxchile/status/1663927646839775232</v>
      </c>
      <c r="AF2826" s="79">
        <v>45077.637025462966</v>
      </c>
      <c r="AG2826" s="85">
        <v>45077</v>
      </c>
      <c r="AH2826" s="80" t="s">
        <v>13093</v>
      </c>
      <c r="AI2826" s="77" t="b">
        <v>0</v>
      </c>
      <c r="AJ2826" s="77" t="s">
        <v>14349</v>
      </c>
      <c r="AK2826" s="77" t="s">
        <v>14386</v>
      </c>
      <c r="AL2826" s="77" t="s">
        <v>14395</v>
      </c>
      <c r="AM2826" s="77" t="s">
        <v>14406</v>
      </c>
      <c r="AN2826" s="77" t="s">
        <v>14446</v>
      </c>
      <c r="AO2826" s="77" t="s">
        <v>14485</v>
      </c>
      <c r="AP2826" s="77" t="s">
        <v>14516</v>
      </c>
      <c r="AQ2826" s="77" t="s">
        <v>15436</v>
      </c>
      <c r="AR2826" s="77"/>
      <c r="AS2826" s="77"/>
      <c r="AT2826" s="77"/>
      <c r="AU2826" s="77"/>
      <c r="AV2826" s="83" t="str">
        <f>HYPERLINK("https://pbs.twimg.com/media/Fxd1YLVXwAUg05U.jpg")</f>
        <v>https://pbs.twimg.com/media/Fxd1YLVXwAUg05U.jpg</v>
      </c>
      <c r="AW2826" s="80" t="s">
        <v>18596</v>
      </c>
      <c r="AX2826" s="80" t="s">
        <v>18596</v>
      </c>
      <c r="AY2826" s="77"/>
      <c r="AZ2826" s="80" t="s">
        <v>20380</v>
      </c>
      <c r="BA2826" s="80" t="s">
        <v>20380</v>
      </c>
      <c r="BB2826" s="80" t="s">
        <v>20380</v>
      </c>
      <c r="BC2826" s="80" t="s">
        <v>18596</v>
      </c>
      <c r="BD2826" s="77">
        <v>1120075057</v>
      </c>
      <c r="BE2826" s="77"/>
      <c r="BF2826" s="77"/>
      <c r="BG2826" s="77"/>
      <c r="BH2826" s="77"/>
      <c r="BI2826" s="77"/>
    </row>
    <row r="2827" spans="1:61" x14ac:dyDescent="0.25">
      <c r="A2827" s="62" t="s">
        <v>1134</v>
      </c>
      <c r="B2827" s="62" t="s">
        <v>1384</v>
      </c>
      <c r="C2827" s="63"/>
      <c r="D2827" s="64"/>
      <c r="E2827" s="65"/>
      <c r="F2827" s="66"/>
      <c r="G2827" s="63"/>
      <c r="H2827" s="67"/>
      <c r="I2827" s="68"/>
      <c r="J2827" s="68"/>
      <c r="K2827" s="32"/>
      <c r="L2827" s="75">
        <v>2827</v>
      </c>
      <c r="M2827" s="75"/>
      <c r="N2827" s="70"/>
      <c r="O2827" s="77" t="s">
        <v>2081</v>
      </c>
      <c r="P2827" s="79">
        <v>45076.569571759261</v>
      </c>
      <c r="Q2827" s="77" t="s">
        <v>4584</v>
      </c>
      <c r="R2827" s="77">
        <v>0</v>
      </c>
      <c r="S2827" s="77">
        <v>0</v>
      </c>
      <c r="T2827" s="77">
        <v>0</v>
      </c>
      <c r="U2827" s="77">
        <v>0</v>
      </c>
      <c r="V2827" s="77">
        <v>74</v>
      </c>
      <c r="W2827" s="80" t="s">
        <v>7637</v>
      </c>
      <c r="X2827" s="83" t="str">
        <f>HYPERLINK("https://hubs.ly/Q01Pl5Z20")</f>
        <v>https://hubs.ly/Q01Pl5Z20</v>
      </c>
      <c r="Y2827" s="77" t="s">
        <v>8803</v>
      </c>
      <c r="Z2827" s="77" t="s">
        <v>1384</v>
      </c>
      <c r="AA2827" s="77" t="s">
        <v>9956</v>
      </c>
      <c r="AB2827" s="77" t="s">
        <v>10535</v>
      </c>
      <c r="AC2827" s="80" t="s">
        <v>10552</v>
      </c>
      <c r="AD2827" s="77" t="s">
        <v>10620</v>
      </c>
      <c r="AE2827" s="83" t="str">
        <f>HYPERLINK("https://twitter.com/nuboxchile/status/1663540811818999808")</f>
        <v>https://twitter.com/nuboxchile/status/1663540811818999808</v>
      </c>
      <c r="AF2827" s="79">
        <v>45076.569571759261</v>
      </c>
      <c r="AG2827" s="85">
        <v>45076</v>
      </c>
      <c r="AH2827" s="80" t="s">
        <v>13094</v>
      </c>
      <c r="AI2827" s="77" t="b">
        <v>0</v>
      </c>
      <c r="AJ2827" s="77" t="s">
        <v>14349</v>
      </c>
      <c r="AK2827" s="77" t="s">
        <v>14386</v>
      </c>
      <c r="AL2827" s="77" t="s">
        <v>14395</v>
      </c>
      <c r="AM2827" s="77" t="s">
        <v>14406</v>
      </c>
      <c r="AN2827" s="77" t="s">
        <v>14446</v>
      </c>
      <c r="AO2827" s="77" t="s">
        <v>14485</v>
      </c>
      <c r="AP2827" s="77" t="s">
        <v>14516</v>
      </c>
      <c r="AQ2827" s="77" t="s">
        <v>15437</v>
      </c>
      <c r="AR2827" s="77"/>
      <c r="AS2827" s="77"/>
      <c r="AT2827" s="77"/>
      <c r="AU2827" s="77"/>
      <c r="AV2827" s="83" t="str">
        <f>HYPERLINK("https://pbs.twimg.com/media/FxYVjahXoAAaywZ.jpg")</f>
        <v>https://pbs.twimg.com/media/FxYVjahXoAAaywZ.jpg</v>
      </c>
      <c r="AW2827" s="80" t="s">
        <v>18597</v>
      </c>
      <c r="AX2827" s="80" t="s">
        <v>18597</v>
      </c>
      <c r="AY2827" s="77"/>
      <c r="AZ2827" s="80" t="s">
        <v>20380</v>
      </c>
      <c r="BA2827" s="80" t="s">
        <v>20380</v>
      </c>
      <c r="BB2827" s="80" t="s">
        <v>20380</v>
      </c>
      <c r="BC2827" s="80" t="s">
        <v>18597</v>
      </c>
      <c r="BD2827" s="77">
        <v>1120075057</v>
      </c>
      <c r="BE2827" s="77"/>
      <c r="BF2827" s="77"/>
      <c r="BG2827" s="77"/>
      <c r="BH2827" s="77"/>
      <c r="BI2827" s="77"/>
    </row>
    <row r="2828" spans="1:61" x14ac:dyDescent="0.25">
      <c r="A2828" s="62" t="s">
        <v>1134</v>
      </c>
      <c r="B2828" s="62" t="s">
        <v>1384</v>
      </c>
      <c r="C2828" s="63"/>
      <c r="D2828" s="64"/>
      <c r="E2828" s="65"/>
      <c r="F2828" s="66"/>
      <c r="G2828" s="63"/>
      <c r="H2828" s="67"/>
      <c r="I2828" s="68"/>
      <c r="J2828" s="68"/>
      <c r="K2828" s="32"/>
      <c r="L2828" s="75">
        <v>2828</v>
      </c>
      <c r="M2828" s="75"/>
      <c r="N2828" s="70"/>
      <c r="O2828" s="77" t="s">
        <v>2081</v>
      </c>
      <c r="P2828" s="79">
        <v>45075.56958333333</v>
      </c>
      <c r="Q2828" s="77" t="s">
        <v>4585</v>
      </c>
      <c r="R2828" s="77">
        <v>0</v>
      </c>
      <c r="S2828" s="77">
        <v>0</v>
      </c>
      <c r="T2828" s="77">
        <v>0</v>
      </c>
      <c r="U2828" s="77">
        <v>0</v>
      </c>
      <c r="V2828" s="77">
        <v>104</v>
      </c>
      <c r="W2828" s="80" t="s">
        <v>7637</v>
      </c>
      <c r="X2828" s="83" t="str">
        <f>HYPERLINK("https://hubs.ly/Q01Pl5Z20")</f>
        <v>https://hubs.ly/Q01Pl5Z20</v>
      </c>
      <c r="Y2828" s="77" t="s">
        <v>8803</v>
      </c>
      <c r="Z2828" s="77" t="s">
        <v>1384</v>
      </c>
      <c r="AA2828" s="77" t="s">
        <v>9957</v>
      </c>
      <c r="AB2828" s="77" t="s">
        <v>10535</v>
      </c>
      <c r="AC2828" s="80" t="s">
        <v>10552</v>
      </c>
      <c r="AD2828" s="77" t="s">
        <v>10620</v>
      </c>
      <c r="AE2828" s="83" t="str">
        <f>HYPERLINK("https://twitter.com/nuboxchile/status/1663178428743286791")</f>
        <v>https://twitter.com/nuboxchile/status/1663178428743286791</v>
      </c>
      <c r="AF2828" s="79">
        <v>45075.56958333333</v>
      </c>
      <c r="AG2828" s="85">
        <v>45075</v>
      </c>
      <c r="AH2828" s="80" t="s">
        <v>13055</v>
      </c>
      <c r="AI2828" s="77" t="b">
        <v>0</v>
      </c>
      <c r="AJ2828" s="77" t="s">
        <v>14349</v>
      </c>
      <c r="AK2828" s="77" t="s">
        <v>14386</v>
      </c>
      <c r="AL2828" s="77" t="s">
        <v>14395</v>
      </c>
      <c r="AM2828" s="77" t="s">
        <v>14406</v>
      </c>
      <c r="AN2828" s="77" t="s">
        <v>14446</v>
      </c>
      <c r="AO2828" s="77" t="s">
        <v>14485</v>
      </c>
      <c r="AP2828" s="77" t="s">
        <v>14516</v>
      </c>
      <c r="AQ2828" s="77" t="s">
        <v>15438</v>
      </c>
      <c r="AR2828" s="77"/>
      <c r="AS2828" s="77"/>
      <c r="AT2828" s="77"/>
      <c r="AU2828" s="77"/>
      <c r="AV2828" s="83" t="str">
        <f>HYPERLINK("https://pbs.twimg.com/media/FxTL97yXwAIRyYG.jpg")</f>
        <v>https://pbs.twimg.com/media/FxTL97yXwAIRyYG.jpg</v>
      </c>
      <c r="AW2828" s="80" t="s">
        <v>18598</v>
      </c>
      <c r="AX2828" s="80" t="s">
        <v>18598</v>
      </c>
      <c r="AY2828" s="77"/>
      <c r="AZ2828" s="80" t="s">
        <v>20380</v>
      </c>
      <c r="BA2828" s="80" t="s">
        <v>20380</v>
      </c>
      <c r="BB2828" s="80" t="s">
        <v>20380</v>
      </c>
      <c r="BC2828" s="80" t="s">
        <v>18598</v>
      </c>
      <c r="BD2828" s="77">
        <v>1120075057</v>
      </c>
      <c r="BE2828" s="77"/>
      <c r="BF2828" s="77"/>
      <c r="BG2828" s="77"/>
      <c r="BH2828" s="77"/>
      <c r="BI2828" s="77"/>
    </row>
    <row r="2829" spans="1:61" x14ac:dyDescent="0.25">
      <c r="A2829" s="62" t="s">
        <v>1134</v>
      </c>
      <c r="B2829" s="62" t="s">
        <v>1384</v>
      </c>
      <c r="C2829" s="63"/>
      <c r="D2829" s="64"/>
      <c r="E2829" s="65"/>
      <c r="F2829" s="66"/>
      <c r="G2829" s="63"/>
      <c r="H2829" s="67"/>
      <c r="I2829" s="68"/>
      <c r="J2829" s="68"/>
      <c r="K2829" s="32"/>
      <c r="L2829" s="75">
        <v>2829</v>
      </c>
      <c r="M2829" s="75"/>
      <c r="N2829" s="70"/>
      <c r="O2829" s="77" t="s">
        <v>2081</v>
      </c>
      <c r="P2829" s="79">
        <v>45061.583634259259</v>
      </c>
      <c r="Q2829" s="77" t="s">
        <v>4586</v>
      </c>
      <c r="R2829" s="77">
        <v>0</v>
      </c>
      <c r="S2829" s="77">
        <v>1</v>
      </c>
      <c r="T2829" s="77">
        <v>0</v>
      </c>
      <c r="U2829" s="77">
        <v>0</v>
      </c>
      <c r="V2829" s="77">
        <v>182</v>
      </c>
      <c r="W2829" s="80" t="s">
        <v>7637</v>
      </c>
      <c r="X2829" s="83" t="str">
        <f>HYPERLINK("https://hubs.ly/Q01Pl5Z20")</f>
        <v>https://hubs.ly/Q01Pl5Z20</v>
      </c>
      <c r="Y2829" s="77" t="s">
        <v>8803</v>
      </c>
      <c r="Z2829" s="77" t="s">
        <v>1384</v>
      </c>
      <c r="AA2829" s="77" t="s">
        <v>9958</v>
      </c>
      <c r="AB2829" s="77" t="s">
        <v>10535</v>
      </c>
      <c r="AC2829" s="80" t="s">
        <v>10552</v>
      </c>
      <c r="AD2829" s="77" t="s">
        <v>10620</v>
      </c>
      <c r="AE2829" s="83" t="str">
        <f>HYPERLINK("https://twitter.com/nuboxchile/status/1658110092259082240")</f>
        <v>https://twitter.com/nuboxchile/status/1658110092259082240</v>
      </c>
      <c r="AF2829" s="79">
        <v>45061.583634259259</v>
      </c>
      <c r="AG2829" s="85">
        <v>45061</v>
      </c>
      <c r="AH2829" s="80" t="s">
        <v>13095</v>
      </c>
      <c r="AI2829" s="77" t="b">
        <v>0</v>
      </c>
      <c r="AJ2829" s="77" t="s">
        <v>14349</v>
      </c>
      <c r="AK2829" s="77" t="s">
        <v>14386</v>
      </c>
      <c r="AL2829" s="77" t="s">
        <v>14395</v>
      </c>
      <c r="AM2829" s="77" t="s">
        <v>14406</v>
      </c>
      <c r="AN2829" s="77" t="s">
        <v>14446</v>
      </c>
      <c r="AO2829" s="77" t="s">
        <v>14485</v>
      </c>
      <c r="AP2829" s="77" t="s">
        <v>14516</v>
      </c>
      <c r="AQ2829" s="77" t="s">
        <v>15439</v>
      </c>
      <c r="AR2829" s="77"/>
      <c r="AS2829" s="77"/>
      <c r="AT2829" s="77"/>
      <c r="AU2829" s="77"/>
      <c r="AV2829" s="83" t="str">
        <f>HYPERLINK("https://pbs.twimg.com/media/FwLKV5PXgAE4Od8.jpg")</f>
        <v>https://pbs.twimg.com/media/FwLKV5PXgAE4Od8.jpg</v>
      </c>
      <c r="AW2829" s="80" t="s">
        <v>18599</v>
      </c>
      <c r="AX2829" s="80" t="s">
        <v>18599</v>
      </c>
      <c r="AY2829" s="77"/>
      <c r="AZ2829" s="80" t="s">
        <v>20380</v>
      </c>
      <c r="BA2829" s="80" t="s">
        <v>20380</v>
      </c>
      <c r="BB2829" s="80" t="s">
        <v>20380</v>
      </c>
      <c r="BC2829" s="80" t="s">
        <v>18599</v>
      </c>
      <c r="BD2829" s="77">
        <v>1120075057</v>
      </c>
      <c r="BE2829" s="77"/>
      <c r="BF2829" s="77"/>
      <c r="BG2829" s="77"/>
      <c r="BH2829" s="77"/>
      <c r="BI2829" s="77"/>
    </row>
    <row r="2830" spans="1:61" x14ac:dyDescent="0.25">
      <c r="A2830" s="62" t="s">
        <v>1135</v>
      </c>
      <c r="B2830" s="62" t="s">
        <v>1135</v>
      </c>
      <c r="C2830" s="63"/>
      <c r="D2830" s="64"/>
      <c r="E2830" s="65"/>
      <c r="F2830" s="66"/>
      <c r="G2830" s="63"/>
      <c r="H2830" s="67"/>
      <c r="I2830" s="68"/>
      <c r="J2830" s="68"/>
      <c r="K2830" s="32"/>
      <c r="L2830" s="75">
        <v>2830</v>
      </c>
      <c r="M2830" s="75"/>
      <c r="N2830" s="70"/>
      <c r="O2830" s="77" t="s">
        <v>179</v>
      </c>
      <c r="P2830" s="79">
        <v>45100.587060185186</v>
      </c>
      <c r="Q2830" s="77" t="s">
        <v>4587</v>
      </c>
      <c r="R2830" s="77">
        <v>0</v>
      </c>
      <c r="S2830" s="77">
        <v>5</v>
      </c>
      <c r="T2830" s="77">
        <v>0</v>
      </c>
      <c r="U2830" s="77">
        <v>2</v>
      </c>
      <c r="V2830" s="77">
        <v>41</v>
      </c>
      <c r="W2830" s="80" t="s">
        <v>6642</v>
      </c>
      <c r="X2830" s="77"/>
      <c r="Y2830" s="77"/>
      <c r="Z2830" s="77"/>
      <c r="AA2830" s="77"/>
      <c r="AB2830" s="77"/>
      <c r="AC2830" s="80" t="s">
        <v>10550</v>
      </c>
      <c r="AD2830" s="77" t="s">
        <v>10617</v>
      </c>
      <c r="AE2830" s="83" t="str">
        <f>HYPERLINK("https://twitter.com/ivonesilva/status/1672244459872845825")</f>
        <v>https://twitter.com/ivonesilva/status/1672244459872845825</v>
      </c>
      <c r="AF2830" s="79">
        <v>45100.587060185186</v>
      </c>
      <c r="AG2830" s="85">
        <v>45100</v>
      </c>
      <c r="AH2830" s="80" t="s">
        <v>13096</v>
      </c>
      <c r="AI2830" s="77"/>
      <c r="AJ2830" s="77"/>
      <c r="AK2830" s="77"/>
      <c r="AL2830" s="77"/>
      <c r="AM2830" s="77"/>
      <c r="AN2830" s="77"/>
      <c r="AO2830" s="77"/>
      <c r="AP2830" s="77"/>
      <c r="AQ2830" s="77"/>
      <c r="AR2830" s="77"/>
      <c r="AS2830" s="77"/>
      <c r="AT2830" s="77"/>
      <c r="AU2830" s="77"/>
      <c r="AV2830" s="83" t="str">
        <f>HYPERLINK("https://pbs.twimg.com/profile_images/1687420216001609728/RZH92yt1_normal.jpg")</f>
        <v>https://pbs.twimg.com/profile_images/1687420216001609728/RZH92yt1_normal.jpg</v>
      </c>
      <c r="AW2830" s="80" t="s">
        <v>18600</v>
      </c>
      <c r="AX2830" s="80" t="s">
        <v>18600</v>
      </c>
      <c r="AY2830" s="77"/>
      <c r="AZ2830" s="80" t="s">
        <v>20380</v>
      </c>
      <c r="BA2830" s="80" t="s">
        <v>20380</v>
      </c>
      <c r="BB2830" s="80" t="s">
        <v>20380</v>
      </c>
      <c r="BC2830" s="80" t="s">
        <v>18600</v>
      </c>
      <c r="BD2830" s="77">
        <v>46179375</v>
      </c>
      <c r="BE2830" s="77"/>
      <c r="BF2830" s="77"/>
      <c r="BG2830" s="77"/>
      <c r="BH2830" s="77"/>
      <c r="BI2830" s="77"/>
    </row>
    <row r="2831" spans="1:61" x14ac:dyDescent="0.25">
      <c r="A2831" s="62" t="s">
        <v>1135</v>
      </c>
      <c r="B2831" s="62" t="s">
        <v>1135</v>
      </c>
      <c r="C2831" s="63"/>
      <c r="D2831" s="64"/>
      <c r="E2831" s="65"/>
      <c r="F2831" s="66"/>
      <c r="G2831" s="63"/>
      <c r="H2831" s="67"/>
      <c r="I2831" s="68"/>
      <c r="J2831" s="68"/>
      <c r="K2831" s="32"/>
      <c r="L2831" s="75">
        <v>2831</v>
      </c>
      <c r="M2831" s="75"/>
      <c r="N2831" s="70"/>
      <c r="O2831" s="77" t="s">
        <v>2078</v>
      </c>
      <c r="P2831" s="79">
        <v>45103.820069444446</v>
      </c>
      <c r="Q2831" s="77" t="s">
        <v>4588</v>
      </c>
      <c r="R2831" s="77">
        <v>0</v>
      </c>
      <c r="S2831" s="77">
        <v>2</v>
      </c>
      <c r="T2831" s="77">
        <v>0</v>
      </c>
      <c r="U2831" s="77">
        <v>1</v>
      </c>
      <c r="V2831" s="77">
        <v>32</v>
      </c>
      <c r="W2831" s="80" t="s">
        <v>5884</v>
      </c>
      <c r="X2831" s="77"/>
      <c r="Y2831" s="77"/>
      <c r="Z2831" s="77"/>
      <c r="AA2831" s="77"/>
      <c r="AB2831" s="77"/>
      <c r="AC2831" s="80" t="s">
        <v>10541</v>
      </c>
      <c r="AD2831" s="77" t="s">
        <v>10617</v>
      </c>
      <c r="AE2831" s="83" t="str">
        <f>HYPERLINK("https://twitter.com/ivonesilva/status/1673416064275820544")</f>
        <v>https://twitter.com/ivonesilva/status/1673416064275820544</v>
      </c>
      <c r="AF2831" s="79">
        <v>45103.820069444446</v>
      </c>
      <c r="AG2831" s="85">
        <v>45103</v>
      </c>
      <c r="AH2831" s="80" t="s">
        <v>13097</v>
      </c>
      <c r="AI2831" s="77"/>
      <c r="AJ2831" s="77"/>
      <c r="AK2831" s="77"/>
      <c r="AL2831" s="77"/>
      <c r="AM2831" s="77"/>
      <c r="AN2831" s="77"/>
      <c r="AO2831" s="77"/>
      <c r="AP2831" s="77"/>
      <c r="AQ2831" s="77"/>
      <c r="AR2831" s="77"/>
      <c r="AS2831" s="77"/>
      <c r="AT2831" s="77"/>
      <c r="AU2831" s="77"/>
      <c r="AV2831" s="83" t="str">
        <f>HYPERLINK("https://pbs.twimg.com/profile_images/1687420216001609728/RZH92yt1_normal.jpg")</f>
        <v>https://pbs.twimg.com/profile_images/1687420216001609728/RZH92yt1_normal.jpg</v>
      </c>
      <c r="AW2831" s="80" t="s">
        <v>18601</v>
      </c>
      <c r="AX2831" s="80" t="s">
        <v>20075</v>
      </c>
      <c r="AY2831" s="80" t="s">
        <v>20326</v>
      </c>
      <c r="AZ2831" s="80" t="s">
        <v>20075</v>
      </c>
      <c r="BA2831" s="80" t="s">
        <v>20380</v>
      </c>
      <c r="BB2831" s="80" t="s">
        <v>20380</v>
      </c>
      <c r="BC2831" s="80" t="s">
        <v>20075</v>
      </c>
      <c r="BD2831" s="77">
        <v>46179375</v>
      </c>
      <c r="BE2831" s="77"/>
      <c r="BF2831" s="77"/>
      <c r="BG2831" s="77"/>
      <c r="BH2831" s="77"/>
      <c r="BI2831" s="77"/>
    </row>
    <row r="2832" spans="1:61" x14ac:dyDescent="0.25">
      <c r="A2832" s="62" t="s">
        <v>1136</v>
      </c>
      <c r="B2832" s="62" t="s">
        <v>1136</v>
      </c>
      <c r="C2832" s="63"/>
      <c r="D2832" s="64"/>
      <c r="E2832" s="65"/>
      <c r="F2832" s="66"/>
      <c r="G2832" s="63"/>
      <c r="H2832" s="67"/>
      <c r="I2832" s="68"/>
      <c r="J2832" s="68"/>
      <c r="K2832" s="32"/>
      <c r="L2832" s="75">
        <v>2832</v>
      </c>
      <c r="M2832" s="75"/>
      <c r="N2832" s="70"/>
      <c r="O2832" s="77" t="s">
        <v>179</v>
      </c>
      <c r="P2832" s="79">
        <v>45152.09542824074</v>
      </c>
      <c r="Q2832" s="77" t="s">
        <v>4589</v>
      </c>
      <c r="R2832" s="77">
        <v>0</v>
      </c>
      <c r="S2832" s="77">
        <v>0</v>
      </c>
      <c r="T2832" s="77">
        <v>0</v>
      </c>
      <c r="U2832" s="77">
        <v>0</v>
      </c>
      <c r="V2832" s="77">
        <v>85</v>
      </c>
      <c r="W2832" s="80" t="s">
        <v>7638</v>
      </c>
      <c r="X2832" s="77"/>
      <c r="Y2832" s="77"/>
      <c r="Z2832" s="77"/>
      <c r="AA2832" s="77" t="s">
        <v>9959</v>
      </c>
      <c r="AB2832" s="77" t="s">
        <v>10535</v>
      </c>
      <c r="AC2832" s="80" t="s">
        <v>10540</v>
      </c>
      <c r="AD2832" s="77" t="s">
        <v>10620</v>
      </c>
      <c r="AE2832" s="83" t="str">
        <f>HYPERLINK("https://twitter.com/adn_035/status/1690910468276097025")</f>
        <v>https://twitter.com/adn_035/status/1690910468276097025</v>
      </c>
      <c r="AF2832" s="79">
        <v>45152.09542824074</v>
      </c>
      <c r="AG2832" s="85">
        <v>45152</v>
      </c>
      <c r="AH2832" s="80" t="s">
        <v>13098</v>
      </c>
      <c r="AI2832" s="77" t="b">
        <v>0</v>
      </c>
      <c r="AJ2832" s="77" t="s">
        <v>14366</v>
      </c>
      <c r="AK2832" s="77" t="s">
        <v>14385</v>
      </c>
      <c r="AL2832" s="77" t="s">
        <v>14394</v>
      </c>
      <c r="AM2832" s="77" t="s">
        <v>14423</v>
      </c>
      <c r="AN2832" s="77" t="s">
        <v>14463</v>
      </c>
      <c r="AO2832" s="77" t="s">
        <v>14502</v>
      </c>
      <c r="AP2832" s="77" t="s">
        <v>14519</v>
      </c>
      <c r="AQ2832" s="77" t="s">
        <v>15440</v>
      </c>
      <c r="AR2832" s="77"/>
      <c r="AS2832" s="77"/>
      <c r="AT2832" s="77"/>
      <c r="AU2832" s="77"/>
      <c r="AV2832" s="83" t="str">
        <f>HYPERLINK("https://pbs.twimg.com/media/F3dSG-zWkAAQhat.jpg")</f>
        <v>https://pbs.twimg.com/media/F3dSG-zWkAAQhat.jpg</v>
      </c>
      <c r="AW2832" s="80" t="s">
        <v>18602</v>
      </c>
      <c r="AX2832" s="80" t="s">
        <v>18602</v>
      </c>
      <c r="AY2832" s="77"/>
      <c r="AZ2832" s="80" t="s">
        <v>20380</v>
      </c>
      <c r="BA2832" s="80" t="s">
        <v>20380</v>
      </c>
      <c r="BB2832" s="80" t="s">
        <v>20380</v>
      </c>
      <c r="BC2832" s="80" t="s">
        <v>18602</v>
      </c>
      <c r="BD2832" s="77">
        <v>87540103</v>
      </c>
      <c r="BE2832" s="77"/>
      <c r="BF2832" s="77"/>
      <c r="BG2832" s="77"/>
      <c r="BH2832" s="77"/>
      <c r="BI2832" s="77"/>
    </row>
    <row r="2833" spans="1:61" x14ac:dyDescent="0.25">
      <c r="A2833" s="62" t="s">
        <v>1137</v>
      </c>
      <c r="B2833" s="62" t="s">
        <v>1137</v>
      </c>
      <c r="C2833" s="63"/>
      <c r="D2833" s="64"/>
      <c r="E2833" s="65"/>
      <c r="F2833" s="66"/>
      <c r="G2833" s="63"/>
      <c r="H2833" s="67"/>
      <c r="I2833" s="68"/>
      <c r="J2833" s="68"/>
      <c r="K2833" s="32"/>
      <c r="L2833" s="75">
        <v>2833</v>
      </c>
      <c r="M2833" s="75"/>
      <c r="N2833" s="70"/>
      <c r="O2833" s="77" t="s">
        <v>179</v>
      </c>
      <c r="P2833" s="79">
        <v>45132.641655092593</v>
      </c>
      <c r="Q2833" s="77" t="s">
        <v>4590</v>
      </c>
      <c r="R2833" s="77">
        <v>0</v>
      </c>
      <c r="S2833" s="77">
        <v>0</v>
      </c>
      <c r="T2833" s="77">
        <v>0</v>
      </c>
      <c r="U2833" s="77">
        <v>0</v>
      </c>
      <c r="V2833" s="77">
        <v>13</v>
      </c>
      <c r="W2833" s="80" t="s">
        <v>7639</v>
      </c>
      <c r="X2833" s="77"/>
      <c r="Y2833" s="77"/>
      <c r="Z2833" s="77"/>
      <c r="AA2833" s="77" t="s">
        <v>9960</v>
      </c>
      <c r="AB2833" s="77" t="s">
        <v>10535</v>
      </c>
      <c r="AC2833" s="80" t="s">
        <v>10542</v>
      </c>
      <c r="AD2833" s="77" t="s">
        <v>10619</v>
      </c>
      <c r="AE2833" s="83" t="str">
        <f>HYPERLINK("https://twitter.com/helenaselmaaze2/status/1683860654770249729")</f>
        <v>https://twitter.com/helenaselmaaze2/status/1683860654770249729</v>
      </c>
      <c r="AF2833" s="79">
        <v>45132.641655092593</v>
      </c>
      <c r="AG2833" s="85">
        <v>45132</v>
      </c>
      <c r="AH2833" s="80" t="s">
        <v>13099</v>
      </c>
      <c r="AI2833" s="77" t="b">
        <v>0</v>
      </c>
      <c r="AJ2833" s="77"/>
      <c r="AK2833" s="77"/>
      <c r="AL2833" s="77"/>
      <c r="AM2833" s="77"/>
      <c r="AN2833" s="77"/>
      <c r="AO2833" s="77"/>
      <c r="AP2833" s="77"/>
      <c r="AQ2833" s="77" t="s">
        <v>15441</v>
      </c>
      <c r="AR2833" s="77"/>
      <c r="AS2833" s="77"/>
      <c r="AT2833" s="77"/>
      <c r="AU2833" s="77"/>
      <c r="AV2833" s="83" t="str">
        <f>HYPERLINK("https://pbs.twimg.com/media/F15GVyBWcAAotX_.jpg")</f>
        <v>https://pbs.twimg.com/media/F15GVyBWcAAotX_.jpg</v>
      </c>
      <c r="AW2833" s="80" t="s">
        <v>18603</v>
      </c>
      <c r="AX2833" s="80" t="s">
        <v>18603</v>
      </c>
      <c r="AY2833" s="77"/>
      <c r="AZ2833" s="80" t="s">
        <v>20380</v>
      </c>
      <c r="BA2833" s="80" t="s">
        <v>20380</v>
      </c>
      <c r="BB2833" s="80" t="s">
        <v>20380</v>
      </c>
      <c r="BC2833" s="80" t="s">
        <v>18603</v>
      </c>
      <c r="BD2833" s="80" t="s">
        <v>20947</v>
      </c>
      <c r="BE2833" s="77"/>
      <c r="BF2833" s="77"/>
      <c r="BG2833" s="77"/>
      <c r="BH2833" s="77"/>
      <c r="BI2833" s="77"/>
    </row>
    <row r="2834" spans="1:61" x14ac:dyDescent="0.25">
      <c r="A2834" s="62" t="s">
        <v>1138</v>
      </c>
      <c r="B2834" s="62" t="s">
        <v>1138</v>
      </c>
      <c r="C2834" s="63"/>
      <c r="D2834" s="64"/>
      <c r="E2834" s="65"/>
      <c r="F2834" s="66"/>
      <c r="G2834" s="63"/>
      <c r="H2834" s="67"/>
      <c r="I2834" s="68"/>
      <c r="J2834" s="68"/>
      <c r="K2834" s="32"/>
      <c r="L2834" s="75">
        <v>2834</v>
      </c>
      <c r="M2834" s="75"/>
      <c r="N2834" s="70"/>
      <c r="O2834" s="77" t="s">
        <v>179</v>
      </c>
      <c r="P2834" s="79">
        <v>45078.879305555558</v>
      </c>
      <c r="Q2834" s="77" t="s">
        <v>4591</v>
      </c>
      <c r="R2834" s="77">
        <v>0</v>
      </c>
      <c r="S2834" s="77">
        <v>0</v>
      </c>
      <c r="T2834" s="77">
        <v>0</v>
      </c>
      <c r="U2834" s="77">
        <v>0</v>
      </c>
      <c r="V2834" s="77">
        <v>96</v>
      </c>
      <c r="W2834" s="80" t="s">
        <v>7640</v>
      </c>
      <c r="X2834" s="83" t="str">
        <f>HYPERLINK("https://aplatanaonews.com/junta-monetaria-aprueba-medidas-de-estimulo-monetario-por-rd94000-millones-para-financiamiento-a-sectores-productivos-y-hogares-a-bajas-tasas-de-interes/")</f>
        <v>https://aplatanaonews.com/junta-monetaria-aprueba-medidas-de-estimulo-monetario-por-rd94000-millones-para-financiamiento-a-sectores-productivos-y-hogares-a-bajas-tasas-de-interes/</v>
      </c>
      <c r="Y2834" s="77" t="s">
        <v>8805</v>
      </c>
      <c r="Z2834" s="77"/>
      <c r="AA2834" s="77" t="s">
        <v>9961</v>
      </c>
      <c r="AB2834" s="77" t="s">
        <v>10535</v>
      </c>
      <c r="AC2834" s="80" t="s">
        <v>10542</v>
      </c>
      <c r="AD2834" s="77" t="s">
        <v>10620</v>
      </c>
      <c r="AE2834" s="83" t="str">
        <f>HYPERLINK("https://twitter.com/aplatanaonews/status/1664377833819369479")</f>
        <v>https://twitter.com/aplatanaonews/status/1664377833819369479</v>
      </c>
      <c r="AF2834" s="79">
        <v>45078.879305555558</v>
      </c>
      <c r="AG2834" s="85">
        <v>45078</v>
      </c>
      <c r="AH2834" s="80" t="s">
        <v>13100</v>
      </c>
      <c r="AI2834" s="77" t="b">
        <v>0</v>
      </c>
      <c r="AJ2834" s="77"/>
      <c r="AK2834" s="77"/>
      <c r="AL2834" s="77"/>
      <c r="AM2834" s="77"/>
      <c r="AN2834" s="77"/>
      <c r="AO2834" s="77"/>
      <c r="AP2834" s="77"/>
      <c r="AQ2834" s="77" t="s">
        <v>15442</v>
      </c>
      <c r="AR2834" s="77"/>
      <c r="AS2834" s="77"/>
      <c r="AT2834" s="77"/>
      <c r="AU2834" s="77"/>
      <c r="AV2834" s="83" t="str">
        <f>HYPERLINK("https://pbs.twimg.com/media/FxkO0ViXwAYLEAU.jpg")</f>
        <v>https://pbs.twimg.com/media/FxkO0ViXwAYLEAU.jpg</v>
      </c>
      <c r="AW2834" s="80" t="s">
        <v>18604</v>
      </c>
      <c r="AX2834" s="80" t="s">
        <v>18604</v>
      </c>
      <c r="AY2834" s="77"/>
      <c r="AZ2834" s="80" t="s">
        <v>20380</v>
      </c>
      <c r="BA2834" s="80" t="s">
        <v>20380</v>
      </c>
      <c r="BB2834" s="80" t="s">
        <v>20380</v>
      </c>
      <c r="BC2834" s="80" t="s">
        <v>18604</v>
      </c>
      <c r="BD2834" s="77">
        <v>3577998621</v>
      </c>
      <c r="BE2834" s="77"/>
      <c r="BF2834" s="77"/>
      <c r="BG2834" s="77"/>
      <c r="BH2834" s="77"/>
      <c r="BI2834" s="77"/>
    </row>
    <row r="2835" spans="1:61" x14ac:dyDescent="0.25">
      <c r="A2835" s="62" t="s">
        <v>1139</v>
      </c>
      <c r="B2835" s="62" t="s">
        <v>1655</v>
      </c>
      <c r="C2835" s="63"/>
      <c r="D2835" s="64"/>
      <c r="E2835" s="65"/>
      <c r="F2835" s="66"/>
      <c r="G2835" s="63"/>
      <c r="H2835" s="67"/>
      <c r="I2835" s="68"/>
      <c r="J2835" s="68"/>
      <c r="K2835" s="32"/>
      <c r="L2835" s="75">
        <v>2835</v>
      </c>
      <c r="M2835" s="75"/>
      <c r="N2835" s="70"/>
      <c r="O2835" s="77" t="s">
        <v>2083</v>
      </c>
      <c r="P2835" s="79">
        <v>45191.05945601852</v>
      </c>
      <c r="Q2835" s="77" t="s">
        <v>2120</v>
      </c>
      <c r="R2835" s="77">
        <v>57</v>
      </c>
      <c r="S2835" s="77">
        <v>0</v>
      </c>
      <c r="T2835" s="77">
        <v>0</v>
      </c>
      <c r="U2835" s="77">
        <v>0</v>
      </c>
      <c r="V2835" s="77"/>
      <c r="W2835" s="80" t="s">
        <v>5917</v>
      </c>
      <c r="X2835" s="77"/>
      <c r="Y2835" s="77"/>
      <c r="Z2835" s="77" t="s">
        <v>1655</v>
      </c>
      <c r="AA2835" s="77"/>
      <c r="AB2835" s="77"/>
      <c r="AC2835" s="80" t="s">
        <v>10540</v>
      </c>
      <c r="AD2835" s="77" t="s">
        <v>10617</v>
      </c>
      <c r="AE2835" s="83" t="str">
        <f>HYPERLINK("https://twitter.com/rauberjef/status/1705030555757101122")</f>
        <v>https://twitter.com/rauberjef/status/1705030555757101122</v>
      </c>
      <c r="AF2835" s="79">
        <v>45191.05945601852</v>
      </c>
      <c r="AG2835" s="85">
        <v>45191</v>
      </c>
      <c r="AH2835" s="80" t="s">
        <v>13101</v>
      </c>
      <c r="AI2835" s="77"/>
      <c r="AJ2835" s="77"/>
      <c r="AK2835" s="77"/>
      <c r="AL2835" s="77"/>
      <c r="AM2835" s="77"/>
      <c r="AN2835" s="77"/>
      <c r="AO2835" s="77"/>
      <c r="AP2835" s="77"/>
      <c r="AQ2835" s="77"/>
      <c r="AR2835" s="77"/>
      <c r="AS2835" s="77"/>
      <c r="AT2835" s="77"/>
      <c r="AU2835" s="77"/>
      <c r="AV2835" s="83" t="str">
        <f>HYPERLINK("https://pbs.twimg.com/profile_images/1468234090684026894/xQ1ed52__normal.jpg")</f>
        <v>https://pbs.twimg.com/profile_images/1468234090684026894/xQ1ed52__normal.jpg</v>
      </c>
      <c r="AW2835" s="80" t="s">
        <v>18605</v>
      </c>
      <c r="AX2835" s="80" t="s">
        <v>18605</v>
      </c>
      <c r="AY2835" s="77"/>
      <c r="AZ2835" s="80" t="s">
        <v>20380</v>
      </c>
      <c r="BA2835" s="80" t="s">
        <v>20380</v>
      </c>
      <c r="BB2835" s="80" t="s">
        <v>19843</v>
      </c>
      <c r="BC2835" s="80" t="s">
        <v>19843</v>
      </c>
      <c r="BD2835" s="77">
        <v>74701047</v>
      </c>
      <c r="BE2835" s="77"/>
      <c r="BF2835" s="77"/>
      <c r="BG2835" s="77"/>
      <c r="BH2835" s="77"/>
      <c r="BI2835" s="77"/>
    </row>
    <row r="2836" spans="1:61" x14ac:dyDescent="0.25">
      <c r="A2836" s="62" t="s">
        <v>1140</v>
      </c>
      <c r="B2836" s="62" t="s">
        <v>1140</v>
      </c>
      <c r="C2836" s="63"/>
      <c r="D2836" s="64"/>
      <c r="E2836" s="65"/>
      <c r="F2836" s="66"/>
      <c r="G2836" s="63"/>
      <c r="H2836" s="67"/>
      <c r="I2836" s="68"/>
      <c r="J2836" s="68"/>
      <c r="K2836" s="32"/>
      <c r="L2836" s="75">
        <v>2836</v>
      </c>
      <c r="M2836" s="75"/>
      <c r="N2836" s="70"/>
      <c r="O2836" s="77" t="s">
        <v>179</v>
      </c>
      <c r="P2836" s="79">
        <v>45050.765509259261</v>
      </c>
      <c r="Q2836" s="77" t="s">
        <v>4592</v>
      </c>
      <c r="R2836" s="77">
        <v>0</v>
      </c>
      <c r="S2836" s="77">
        <v>2</v>
      </c>
      <c r="T2836" s="77">
        <v>0</v>
      </c>
      <c r="U2836" s="77">
        <v>0</v>
      </c>
      <c r="V2836" s="77">
        <v>1264</v>
      </c>
      <c r="W2836" s="80" t="s">
        <v>7641</v>
      </c>
      <c r="X2836" s="83" t="str">
        <f>HYPERLINK("https://cultura.uol.com.br/noticias/58443_todo-mundo-aqui-pode-falar-de-tudo-so-nao-pode-falar-de-juros-diz-lula.html")</f>
        <v>https://cultura.uol.com.br/noticias/58443_todo-mundo-aqui-pode-falar-de-tudo-so-nao-pode-falar-de-juros-diz-lula.html</v>
      </c>
      <c r="Y2836" s="77" t="s">
        <v>8611</v>
      </c>
      <c r="Z2836" s="77"/>
      <c r="AA2836" s="77"/>
      <c r="AB2836" s="77"/>
      <c r="AC2836" s="80" t="s">
        <v>10551</v>
      </c>
      <c r="AD2836" s="77" t="s">
        <v>10617</v>
      </c>
      <c r="AE2836" s="83" t="str">
        <f>HYPERLINK("https://twitter.com/tvcultura/status/1654189733746966528")</f>
        <v>https://twitter.com/tvcultura/status/1654189733746966528</v>
      </c>
      <c r="AF2836" s="79">
        <v>45050.765509259261</v>
      </c>
      <c r="AG2836" s="85">
        <v>45050</v>
      </c>
      <c r="AH2836" s="80" t="s">
        <v>13102</v>
      </c>
      <c r="AI2836" s="77" t="b">
        <v>0</v>
      </c>
      <c r="AJ2836" s="77"/>
      <c r="AK2836" s="77"/>
      <c r="AL2836" s="77"/>
      <c r="AM2836" s="77"/>
      <c r="AN2836" s="77"/>
      <c r="AO2836" s="77"/>
      <c r="AP2836" s="77"/>
      <c r="AQ2836" s="77"/>
      <c r="AR2836" s="77"/>
      <c r="AS2836" s="77"/>
      <c r="AT2836" s="77"/>
      <c r="AU2836" s="77"/>
      <c r="AV2836" s="83" t="str">
        <f>HYPERLINK("https://pbs.twimg.com/profile_images/1649150439605039104/ws2NLiGq_normal.jpg")</f>
        <v>https://pbs.twimg.com/profile_images/1649150439605039104/ws2NLiGq_normal.jpg</v>
      </c>
      <c r="AW2836" s="80" t="s">
        <v>18606</v>
      </c>
      <c r="AX2836" s="80" t="s">
        <v>18606</v>
      </c>
      <c r="AY2836" s="77"/>
      <c r="AZ2836" s="80" t="s">
        <v>20380</v>
      </c>
      <c r="BA2836" s="80" t="s">
        <v>20380</v>
      </c>
      <c r="BB2836" s="80" t="s">
        <v>20380</v>
      </c>
      <c r="BC2836" s="80" t="s">
        <v>18606</v>
      </c>
      <c r="BD2836" s="77">
        <v>14306125</v>
      </c>
      <c r="BE2836" s="77"/>
      <c r="BF2836" s="77"/>
      <c r="BG2836" s="77"/>
      <c r="BH2836" s="77"/>
      <c r="BI2836" s="77"/>
    </row>
    <row r="2837" spans="1:61" x14ac:dyDescent="0.25">
      <c r="A2837" s="62" t="s">
        <v>1140</v>
      </c>
      <c r="B2837" s="62" t="s">
        <v>1140</v>
      </c>
      <c r="C2837" s="63"/>
      <c r="D2837" s="64"/>
      <c r="E2837" s="65"/>
      <c r="F2837" s="66"/>
      <c r="G2837" s="63"/>
      <c r="H2837" s="67"/>
      <c r="I2837" s="68"/>
      <c r="J2837" s="68"/>
      <c r="K2837" s="32"/>
      <c r="L2837" s="75">
        <v>2837</v>
      </c>
      <c r="M2837" s="75"/>
      <c r="N2837" s="70"/>
      <c r="O2837" s="77" t="s">
        <v>179</v>
      </c>
      <c r="P2837" s="79">
        <v>45050.046863425923</v>
      </c>
      <c r="Q2837" s="77" t="s">
        <v>4593</v>
      </c>
      <c r="R2837" s="77">
        <v>0</v>
      </c>
      <c r="S2837" s="77">
        <v>5</v>
      </c>
      <c r="T2837" s="77">
        <v>0</v>
      </c>
      <c r="U2837" s="77">
        <v>0</v>
      </c>
      <c r="V2837" s="77">
        <v>2335</v>
      </c>
      <c r="W2837" s="80" t="s">
        <v>7642</v>
      </c>
      <c r="X2837" s="83" t="str">
        <f>HYPERLINK("https://cultura.uol.com.br/noticias/58423_mesmo-sob-pressao-do-governo-lula-bc-mantem-taxa-de-juros-pela-sexta-vez-consecutiva.html")</f>
        <v>https://cultura.uol.com.br/noticias/58423_mesmo-sob-pressao-do-governo-lula-bc-mantem-taxa-de-juros-pela-sexta-vez-consecutiva.html</v>
      </c>
      <c r="Y2837" s="77" t="s">
        <v>8611</v>
      </c>
      <c r="Z2837" s="77"/>
      <c r="AA2837" s="77"/>
      <c r="AB2837" s="77"/>
      <c r="AC2837" s="80" t="s">
        <v>10551</v>
      </c>
      <c r="AD2837" s="77" t="s">
        <v>10617</v>
      </c>
      <c r="AE2837" s="83" t="str">
        <f>HYPERLINK("https://twitter.com/tvcultura/status/1653929303153713154")</f>
        <v>https://twitter.com/tvcultura/status/1653929303153713154</v>
      </c>
      <c r="AF2837" s="79">
        <v>45050.046863425923</v>
      </c>
      <c r="AG2837" s="85">
        <v>45050</v>
      </c>
      <c r="AH2837" s="80" t="s">
        <v>13103</v>
      </c>
      <c r="AI2837" s="77" t="b">
        <v>0</v>
      </c>
      <c r="AJ2837" s="77"/>
      <c r="AK2837" s="77"/>
      <c r="AL2837" s="77"/>
      <c r="AM2837" s="77"/>
      <c r="AN2837" s="77"/>
      <c r="AO2837" s="77"/>
      <c r="AP2837" s="77"/>
      <c r="AQ2837" s="77"/>
      <c r="AR2837" s="77"/>
      <c r="AS2837" s="77"/>
      <c r="AT2837" s="77"/>
      <c r="AU2837" s="77"/>
      <c r="AV2837" s="83" t="str">
        <f>HYPERLINK("https://pbs.twimg.com/profile_images/1649150439605039104/ws2NLiGq_normal.jpg")</f>
        <v>https://pbs.twimg.com/profile_images/1649150439605039104/ws2NLiGq_normal.jpg</v>
      </c>
      <c r="AW2837" s="80" t="s">
        <v>18607</v>
      </c>
      <c r="AX2837" s="80" t="s">
        <v>18607</v>
      </c>
      <c r="AY2837" s="77"/>
      <c r="AZ2837" s="80" t="s">
        <v>20380</v>
      </c>
      <c r="BA2837" s="80" t="s">
        <v>20380</v>
      </c>
      <c r="BB2837" s="80" t="s">
        <v>20380</v>
      </c>
      <c r="BC2837" s="80" t="s">
        <v>18607</v>
      </c>
      <c r="BD2837" s="77">
        <v>14306125</v>
      </c>
      <c r="BE2837" s="77"/>
      <c r="BF2837" s="77"/>
      <c r="BG2837" s="77"/>
      <c r="BH2837" s="77"/>
      <c r="BI2837" s="77"/>
    </row>
    <row r="2838" spans="1:61" x14ac:dyDescent="0.25">
      <c r="A2838" s="62" t="s">
        <v>1140</v>
      </c>
      <c r="B2838" s="62" t="s">
        <v>1140</v>
      </c>
      <c r="C2838" s="63"/>
      <c r="D2838" s="64"/>
      <c r="E2838" s="65"/>
      <c r="F2838" s="66"/>
      <c r="G2838" s="63"/>
      <c r="H2838" s="67"/>
      <c r="I2838" s="68"/>
      <c r="J2838" s="68"/>
      <c r="K2838" s="32"/>
      <c r="L2838" s="75">
        <v>2838</v>
      </c>
      <c r="M2838" s="75"/>
      <c r="N2838" s="70"/>
      <c r="O2838" s="77" t="s">
        <v>179</v>
      </c>
      <c r="P2838" s="79">
        <v>45096.621782407405</v>
      </c>
      <c r="Q2838" s="77" t="s">
        <v>4594</v>
      </c>
      <c r="R2838" s="77">
        <v>0</v>
      </c>
      <c r="S2838" s="77">
        <v>3</v>
      </c>
      <c r="T2838" s="77">
        <v>0</v>
      </c>
      <c r="U2838" s="77">
        <v>0</v>
      </c>
      <c r="V2838" s="77">
        <v>1240</v>
      </c>
      <c r="W2838" s="80" t="s">
        <v>7643</v>
      </c>
      <c r="X2838" s="83" t="str">
        <f>HYPERLINK("https://cultura.uol.com.br/economia/noticias/2023/06/19/278_banco-central-define-nesta-quarta-feira-19-a-taxa-basica-de-juros-da-economia-brasileira.html")</f>
        <v>https://cultura.uol.com.br/economia/noticias/2023/06/19/278_banco-central-define-nesta-quarta-feira-19-a-taxa-basica-de-juros-da-economia-brasileira.html</v>
      </c>
      <c r="Y2838" s="77" t="s">
        <v>8611</v>
      </c>
      <c r="Z2838" s="77"/>
      <c r="AA2838" s="77"/>
      <c r="AB2838" s="77"/>
      <c r="AC2838" s="80" t="s">
        <v>10551</v>
      </c>
      <c r="AD2838" s="77" t="s">
        <v>10617</v>
      </c>
      <c r="AE2838" s="83" t="str">
        <f>HYPERLINK("https://twitter.com/tvcultura/status/1670807488915177472")</f>
        <v>https://twitter.com/tvcultura/status/1670807488915177472</v>
      </c>
      <c r="AF2838" s="79">
        <v>45096.621782407405</v>
      </c>
      <c r="AG2838" s="85">
        <v>45096</v>
      </c>
      <c r="AH2838" s="80" t="s">
        <v>13104</v>
      </c>
      <c r="AI2838" s="77" t="b">
        <v>0</v>
      </c>
      <c r="AJ2838" s="77"/>
      <c r="AK2838" s="77"/>
      <c r="AL2838" s="77"/>
      <c r="AM2838" s="77"/>
      <c r="AN2838" s="77"/>
      <c r="AO2838" s="77"/>
      <c r="AP2838" s="77"/>
      <c r="AQ2838" s="77"/>
      <c r="AR2838" s="77"/>
      <c r="AS2838" s="77"/>
      <c r="AT2838" s="77"/>
      <c r="AU2838" s="77"/>
      <c r="AV2838" s="83" t="str">
        <f>HYPERLINK("https://pbs.twimg.com/profile_images/1649150439605039104/ws2NLiGq_normal.jpg")</f>
        <v>https://pbs.twimg.com/profile_images/1649150439605039104/ws2NLiGq_normal.jpg</v>
      </c>
      <c r="AW2838" s="80" t="s">
        <v>18608</v>
      </c>
      <c r="AX2838" s="80" t="s">
        <v>18608</v>
      </c>
      <c r="AY2838" s="77"/>
      <c r="AZ2838" s="80" t="s">
        <v>20380</v>
      </c>
      <c r="BA2838" s="80" t="s">
        <v>20380</v>
      </c>
      <c r="BB2838" s="80" t="s">
        <v>20380</v>
      </c>
      <c r="BC2838" s="80" t="s">
        <v>18608</v>
      </c>
      <c r="BD2838" s="77">
        <v>14306125</v>
      </c>
      <c r="BE2838" s="77"/>
      <c r="BF2838" s="77"/>
      <c r="BG2838" s="77"/>
      <c r="BH2838" s="77"/>
      <c r="BI2838" s="77"/>
    </row>
    <row r="2839" spans="1:61" x14ac:dyDescent="0.25">
      <c r="A2839" s="62" t="s">
        <v>1140</v>
      </c>
      <c r="B2839" s="62" t="s">
        <v>1140</v>
      </c>
      <c r="C2839" s="63"/>
      <c r="D2839" s="64"/>
      <c r="E2839" s="65"/>
      <c r="F2839" s="66"/>
      <c r="G2839" s="63"/>
      <c r="H2839" s="67"/>
      <c r="I2839" s="68"/>
      <c r="J2839" s="68"/>
      <c r="K2839" s="32"/>
      <c r="L2839" s="75">
        <v>2839</v>
      </c>
      <c r="M2839" s="75"/>
      <c r="N2839" s="70"/>
      <c r="O2839" s="77" t="s">
        <v>179</v>
      </c>
      <c r="P2839" s="79">
        <v>45062.120046296295</v>
      </c>
      <c r="Q2839" s="77" t="s">
        <v>4595</v>
      </c>
      <c r="R2839" s="77">
        <v>0</v>
      </c>
      <c r="S2839" s="77">
        <v>4</v>
      </c>
      <c r="T2839" s="77">
        <v>0</v>
      </c>
      <c r="U2839" s="77">
        <v>0</v>
      </c>
      <c r="V2839" s="77">
        <v>2074</v>
      </c>
      <c r="W2839" s="80" t="s">
        <v>7644</v>
      </c>
      <c r="X2839" s="83" t="str">
        <f>HYPERLINK("https://cultura.uol.com.br/noticias/58723_o-governo-esta-tentando-honrar-a-responsabilidade-que-tem-com-as-empresas-diz-presidente-do-bndes-sobre-eletrobras.html")</f>
        <v>https://cultura.uol.com.br/noticias/58723_o-governo-esta-tentando-honrar-a-responsabilidade-que-tem-com-as-empresas-diz-presidente-do-bndes-sobre-eletrobras.html</v>
      </c>
      <c r="Y2839" s="77" t="s">
        <v>8611</v>
      </c>
      <c r="Z2839" s="77"/>
      <c r="AA2839" s="77"/>
      <c r="AB2839" s="77"/>
      <c r="AC2839" s="80" t="s">
        <v>10551</v>
      </c>
      <c r="AD2839" s="77" t="s">
        <v>10617</v>
      </c>
      <c r="AE2839" s="83" t="str">
        <f>HYPERLINK("https://twitter.com/tvcultura/status/1658304480671154177")</f>
        <v>https://twitter.com/tvcultura/status/1658304480671154177</v>
      </c>
      <c r="AF2839" s="79">
        <v>45062.120046296295</v>
      </c>
      <c r="AG2839" s="85">
        <v>45062</v>
      </c>
      <c r="AH2839" s="80" t="s">
        <v>13105</v>
      </c>
      <c r="AI2839" s="77" t="b">
        <v>0</v>
      </c>
      <c r="AJ2839" s="77"/>
      <c r="AK2839" s="77"/>
      <c r="AL2839" s="77"/>
      <c r="AM2839" s="77"/>
      <c r="AN2839" s="77"/>
      <c r="AO2839" s="77"/>
      <c r="AP2839" s="77"/>
      <c r="AQ2839" s="77"/>
      <c r="AR2839" s="77"/>
      <c r="AS2839" s="77"/>
      <c r="AT2839" s="77"/>
      <c r="AU2839" s="77"/>
      <c r="AV2839" s="83" t="str">
        <f>HYPERLINK("https://pbs.twimg.com/profile_images/1649150439605039104/ws2NLiGq_normal.jpg")</f>
        <v>https://pbs.twimg.com/profile_images/1649150439605039104/ws2NLiGq_normal.jpg</v>
      </c>
      <c r="AW2839" s="80" t="s">
        <v>18609</v>
      </c>
      <c r="AX2839" s="80" t="s">
        <v>18609</v>
      </c>
      <c r="AY2839" s="77"/>
      <c r="AZ2839" s="80" t="s">
        <v>20380</v>
      </c>
      <c r="BA2839" s="80" t="s">
        <v>20380</v>
      </c>
      <c r="BB2839" s="80" t="s">
        <v>20380</v>
      </c>
      <c r="BC2839" s="80" t="s">
        <v>18609</v>
      </c>
      <c r="BD2839" s="77">
        <v>14306125</v>
      </c>
      <c r="BE2839" s="77"/>
      <c r="BF2839" s="77"/>
      <c r="BG2839" s="77"/>
      <c r="BH2839" s="77"/>
      <c r="BI2839" s="77"/>
    </row>
    <row r="2840" spans="1:61" x14ac:dyDescent="0.25">
      <c r="A2840" s="62" t="s">
        <v>1140</v>
      </c>
      <c r="B2840" s="62" t="s">
        <v>1140</v>
      </c>
      <c r="C2840" s="63"/>
      <c r="D2840" s="64"/>
      <c r="E2840" s="65"/>
      <c r="F2840" s="66"/>
      <c r="G2840" s="63"/>
      <c r="H2840" s="67"/>
      <c r="I2840" s="68"/>
      <c r="J2840" s="68"/>
      <c r="K2840" s="32"/>
      <c r="L2840" s="75">
        <v>2840</v>
      </c>
      <c r="M2840" s="75"/>
      <c r="N2840" s="70"/>
      <c r="O2840" s="77" t="s">
        <v>179</v>
      </c>
      <c r="P2840" s="79">
        <v>45051.857615740744</v>
      </c>
      <c r="Q2840" s="77" t="s">
        <v>4596</v>
      </c>
      <c r="R2840" s="77">
        <v>0</v>
      </c>
      <c r="S2840" s="77">
        <v>1</v>
      </c>
      <c r="T2840" s="77">
        <v>0</v>
      </c>
      <c r="U2840" s="77">
        <v>0</v>
      </c>
      <c r="V2840" s="77">
        <v>1521</v>
      </c>
      <c r="W2840" s="80" t="s">
        <v>7645</v>
      </c>
      <c r="X2840" s="83" t="str">
        <f>HYPERLINK("https://cultura.uol.com.br/noticias/58480_poupanca-tem-resgate-liquido-de-r625-bi-em-abril-diz-banco-central.html")</f>
        <v>https://cultura.uol.com.br/noticias/58480_poupanca-tem-resgate-liquido-de-r625-bi-em-abril-diz-banco-central.html</v>
      </c>
      <c r="Y2840" s="77" t="s">
        <v>8611</v>
      </c>
      <c r="Z2840" s="77"/>
      <c r="AA2840" s="77"/>
      <c r="AB2840" s="77"/>
      <c r="AC2840" s="80" t="s">
        <v>10551</v>
      </c>
      <c r="AD2840" s="77" t="s">
        <v>10617</v>
      </c>
      <c r="AE2840" s="83" t="str">
        <f>HYPERLINK("https://twitter.com/tvcultura/status/1654585500739461120")</f>
        <v>https://twitter.com/tvcultura/status/1654585500739461120</v>
      </c>
      <c r="AF2840" s="79">
        <v>45051.857615740744</v>
      </c>
      <c r="AG2840" s="85">
        <v>45051</v>
      </c>
      <c r="AH2840" s="80" t="s">
        <v>13106</v>
      </c>
      <c r="AI2840" s="77" t="b">
        <v>0</v>
      </c>
      <c r="AJ2840" s="77"/>
      <c r="AK2840" s="77"/>
      <c r="AL2840" s="77"/>
      <c r="AM2840" s="77"/>
      <c r="AN2840" s="77"/>
      <c r="AO2840" s="77"/>
      <c r="AP2840" s="77"/>
      <c r="AQ2840" s="77"/>
      <c r="AR2840" s="77"/>
      <c r="AS2840" s="77"/>
      <c r="AT2840" s="77"/>
      <c r="AU2840" s="77"/>
      <c r="AV2840" s="83" t="str">
        <f>HYPERLINK("https://pbs.twimg.com/profile_images/1649150439605039104/ws2NLiGq_normal.jpg")</f>
        <v>https://pbs.twimg.com/profile_images/1649150439605039104/ws2NLiGq_normal.jpg</v>
      </c>
      <c r="AW2840" s="80" t="s">
        <v>18610</v>
      </c>
      <c r="AX2840" s="80" t="s">
        <v>18610</v>
      </c>
      <c r="AY2840" s="77"/>
      <c r="AZ2840" s="80" t="s">
        <v>20380</v>
      </c>
      <c r="BA2840" s="80" t="s">
        <v>20380</v>
      </c>
      <c r="BB2840" s="80" t="s">
        <v>20380</v>
      </c>
      <c r="BC2840" s="80" t="s">
        <v>18610</v>
      </c>
      <c r="BD2840" s="77">
        <v>14306125</v>
      </c>
      <c r="BE2840" s="77"/>
      <c r="BF2840" s="77"/>
      <c r="BG2840" s="77"/>
      <c r="BH2840" s="77"/>
      <c r="BI2840" s="77"/>
    </row>
    <row r="2841" spans="1:61" x14ac:dyDescent="0.25">
      <c r="A2841" s="62" t="s">
        <v>1140</v>
      </c>
      <c r="B2841" s="62" t="s">
        <v>1140</v>
      </c>
      <c r="C2841" s="63"/>
      <c r="D2841" s="64"/>
      <c r="E2841" s="65"/>
      <c r="F2841" s="66"/>
      <c r="G2841" s="63"/>
      <c r="H2841" s="67"/>
      <c r="I2841" s="68"/>
      <c r="J2841" s="68"/>
      <c r="K2841" s="32"/>
      <c r="L2841" s="75">
        <v>2841</v>
      </c>
      <c r="M2841" s="75"/>
      <c r="N2841" s="70"/>
      <c r="O2841" s="77" t="s">
        <v>179</v>
      </c>
      <c r="P2841" s="79">
        <v>45111.941504629627</v>
      </c>
      <c r="Q2841" s="77" t="s">
        <v>4597</v>
      </c>
      <c r="R2841" s="77">
        <v>1</v>
      </c>
      <c r="S2841" s="77">
        <v>3</v>
      </c>
      <c r="T2841" s="77">
        <v>0</v>
      </c>
      <c r="U2841" s="77">
        <v>0</v>
      </c>
      <c r="V2841" s="77">
        <v>1642</v>
      </c>
      <c r="W2841" s="80" t="s">
        <v>7646</v>
      </c>
      <c r="X2841" s="83" t="str">
        <f>HYPERLINK("https://cultura.uol.com.br/noticias/59925_senado-aprova-indicacoes-de-lula-ao-banco-central.html")</f>
        <v>https://cultura.uol.com.br/noticias/59925_senado-aprova-indicacoes-de-lula-ao-banco-central.html</v>
      </c>
      <c r="Y2841" s="77" t="s">
        <v>8611</v>
      </c>
      <c r="Z2841" s="77"/>
      <c r="AA2841" s="77"/>
      <c r="AB2841" s="77"/>
      <c r="AC2841" s="80" t="s">
        <v>10541</v>
      </c>
      <c r="AD2841" s="77" t="s">
        <v>10617</v>
      </c>
      <c r="AE2841" s="83" t="str">
        <f>HYPERLINK("https://twitter.com/tvcultura/status/1676359170067505153")</f>
        <v>https://twitter.com/tvcultura/status/1676359170067505153</v>
      </c>
      <c r="AF2841" s="79">
        <v>45111.941504629627</v>
      </c>
      <c r="AG2841" s="85">
        <v>45111</v>
      </c>
      <c r="AH2841" s="80" t="s">
        <v>13107</v>
      </c>
      <c r="AI2841" s="77" t="b">
        <v>0</v>
      </c>
      <c r="AJ2841" s="77"/>
      <c r="AK2841" s="77"/>
      <c r="AL2841" s="77"/>
      <c r="AM2841" s="77"/>
      <c r="AN2841" s="77"/>
      <c r="AO2841" s="77"/>
      <c r="AP2841" s="77"/>
      <c r="AQ2841" s="77"/>
      <c r="AR2841" s="77"/>
      <c r="AS2841" s="77"/>
      <c r="AT2841" s="77"/>
      <c r="AU2841" s="77"/>
      <c r="AV2841" s="83" t="str">
        <f>HYPERLINK("https://pbs.twimg.com/profile_images/1649150439605039104/ws2NLiGq_normal.jpg")</f>
        <v>https://pbs.twimg.com/profile_images/1649150439605039104/ws2NLiGq_normal.jpg</v>
      </c>
      <c r="AW2841" s="80" t="s">
        <v>18611</v>
      </c>
      <c r="AX2841" s="80" t="s">
        <v>18611</v>
      </c>
      <c r="AY2841" s="77"/>
      <c r="AZ2841" s="80" t="s">
        <v>20380</v>
      </c>
      <c r="BA2841" s="80" t="s">
        <v>20380</v>
      </c>
      <c r="BB2841" s="80" t="s">
        <v>20380</v>
      </c>
      <c r="BC2841" s="80" t="s">
        <v>18611</v>
      </c>
      <c r="BD2841" s="77">
        <v>14306125</v>
      </c>
      <c r="BE2841" s="77"/>
      <c r="BF2841" s="77"/>
      <c r="BG2841" s="77"/>
      <c r="BH2841" s="77"/>
      <c r="BI2841" s="77"/>
    </row>
    <row r="2842" spans="1:61" x14ac:dyDescent="0.25">
      <c r="A2842" s="62" t="s">
        <v>1140</v>
      </c>
      <c r="B2842" s="62" t="s">
        <v>1140</v>
      </c>
      <c r="C2842" s="63"/>
      <c r="D2842" s="64"/>
      <c r="E2842" s="65"/>
      <c r="F2842" s="66"/>
      <c r="G2842" s="63"/>
      <c r="H2842" s="67"/>
      <c r="I2842" s="68"/>
      <c r="J2842" s="68"/>
      <c r="K2842" s="32"/>
      <c r="L2842" s="75">
        <v>2842</v>
      </c>
      <c r="M2842" s="75"/>
      <c r="N2842" s="70"/>
      <c r="O2842" s="77" t="s">
        <v>179</v>
      </c>
      <c r="P2842" s="79">
        <v>45111.525682870371</v>
      </c>
      <c r="Q2842" s="77" t="s">
        <v>4598</v>
      </c>
      <c r="R2842" s="77">
        <v>0</v>
      </c>
      <c r="S2842" s="77">
        <v>2</v>
      </c>
      <c r="T2842" s="77">
        <v>0</v>
      </c>
      <c r="U2842" s="77">
        <v>0</v>
      </c>
      <c r="V2842" s="77">
        <v>1109</v>
      </c>
      <c r="W2842" s="80" t="s">
        <v>7647</v>
      </c>
      <c r="X2842" s="83" t="str">
        <f>HYPERLINK("https://cultura.uol.com.br/noticias/59913_indicado-de-haddad-para-o-banco-central-e-sabatinado-pelo-senado-nesta-terca-4.html")</f>
        <v>https://cultura.uol.com.br/noticias/59913_indicado-de-haddad-para-o-banco-central-e-sabatinado-pelo-senado-nesta-terca-4.html</v>
      </c>
      <c r="Y2842" s="77" t="s">
        <v>8611</v>
      </c>
      <c r="Z2842" s="77"/>
      <c r="AA2842" s="77"/>
      <c r="AB2842" s="77"/>
      <c r="AC2842" s="80" t="s">
        <v>10541</v>
      </c>
      <c r="AD2842" s="77" t="s">
        <v>10617</v>
      </c>
      <c r="AE2842" s="83" t="str">
        <f>HYPERLINK("https://twitter.com/tvcultura/status/1676208481227898880")</f>
        <v>https://twitter.com/tvcultura/status/1676208481227898880</v>
      </c>
      <c r="AF2842" s="79">
        <v>45111.525682870371</v>
      </c>
      <c r="AG2842" s="85">
        <v>45111</v>
      </c>
      <c r="AH2842" s="80" t="s">
        <v>11011</v>
      </c>
      <c r="AI2842" s="77" t="b">
        <v>0</v>
      </c>
      <c r="AJ2842" s="77"/>
      <c r="AK2842" s="77"/>
      <c r="AL2842" s="77"/>
      <c r="AM2842" s="77"/>
      <c r="AN2842" s="77"/>
      <c r="AO2842" s="77"/>
      <c r="AP2842" s="77"/>
      <c r="AQ2842" s="77"/>
      <c r="AR2842" s="77"/>
      <c r="AS2842" s="77"/>
      <c r="AT2842" s="77"/>
      <c r="AU2842" s="77"/>
      <c r="AV2842" s="83" t="str">
        <f>HYPERLINK("https://pbs.twimg.com/profile_images/1649150439605039104/ws2NLiGq_normal.jpg")</f>
        <v>https://pbs.twimg.com/profile_images/1649150439605039104/ws2NLiGq_normal.jpg</v>
      </c>
      <c r="AW2842" s="80" t="s">
        <v>18612</v>
      </c>
      <c r="AX2842" s="80" t="s">
        <v>18612</v>
      </c>
      <c r="AY2842" s="77"/>
      <c r="AZ2842" s="80" t="s">
        <v>20380</v>
      </c>
      <c r="BA2842" s="80" t="s">
        <v>20380</v>
      </c>
      <c r="BB2842" s="80" t="s">
        <v>20380</v>
      </c>
      <c r="BC2842" s="80" t="s">
        <v>18612</v>
      </c>
      <c r="BD2842" s="77">
        <v>14306125</v>
      </c>
      <c r="BE2842" s="77"/>
      <c r="BF2842" s="77"/>
      <c r="BG2842" s="77"/>
      <c r="BH2842" s="77"/>
      <c r="BI2842" s="77"/>
    </row>
    <row r="2843" spans="1:61" x14ac:dyDescent="0.25">
      <c r="A2843" s="62" t="s">
        <v>1140</v>
      </c>
      <c r="B2843" s="62" t="s">
        <v>1140</v>
      </c>
      <c r="C2843" s="63"/>
      <c r="D2843" s="64"/>
      <c r="E2843" s="65"/>
      <c r="F2843" s="66"/>
      <c r="G2843" s="63"/>
      <c r="H2843" s="67"/>
      <c r="I2843" s="68"/>
      <c r="J2843" s="68"/>
      <c r="K2843" s="32"/>
      <c r="L2843" s="75">
        <v>2843</v>
      </c>
      <c r="M2843" s="75"/>
      <c r="N2843" s="70"/>
      <c r="O2843" s="77" t="s">
        <v>179</v>
      </c>
      <c r="P2843" s="79">
        <v>45098.493298611109</v>
      </c>
      <c r="Q2843" s="77" t="s">
        <v>4599</v>
      </c>
      <c r="R2843" s="77">
        <v>1</v>
      </c>
      <c r="S2843" s="77">
        <v>5</v>
      </c>
      <c r="T2843" s="77">
        <v>0</v>
      </c>
      <c r="U2843" s="77">
        <v>1</v>
      </c>
      <c r="V2843" s="77">
        <v>1634</v>
      </c>
      <c r="W2843" s="80" t="s">
        <v>7648</v>
      </c>
      <c r="X2843" s="83" t="str">
        <f>HYPERLINK("https://cultura.uol.com.br/economia/noticias/2023/06/21/280_banco-central-define-nesta-quarta-21-a-taxa-basica-de-juros-da-economia-brasileira.html")</f>
        <v>https://cultura.uol.com.br/economia/noticias/2023/06/21/280_banco-central-define-nesta-quarta-21-a-taxa-basica-de-juros-da-economia-brasileira.html</v>
      </c>
      <c r="Y2843" s="77" t="s">
        <v>8611</v>
      </c>
      <c r="Z2843" s="77"/>
      <c r="AA2843" s="77"/>
      <c r="AB2843" s="77"/>
      <c r="AC2843" s="80" t="s">
        <v>10551</v>
      </c>
      <c r="AD2843" s="77" t="s">
        <v>10617</v>
      </c>
      <c r="AE2843" s="83" t="str">
        <f>HYPERLINK("https://twitter.com/tvcultura/status/1671485706135392259")</f>
        <v>https://twitter.com/tvcultura/status/1671485706135392259</v>
      </c>
      <c r="AF2843" s="79">
        <v>45098.493298611109</v>
      </c>
      <c r="AG2843" s="85">
        <v>45098</v>
      </c>
      <c r="AH2843" s="80" t="s">
        <v>13108</v>
      </c>
      <c r="AI2843" s="77" t="b">
        <v>0</v>
      </c>
      <c r="AJ2843" s="77"/>
      <c r="AK2843" s="77"/>
      <c r="AL2843" s="77"/>
      <c r="AM2843" s="77"/>
      <c r="AN2843" s="77"/>
      <c r="AO2843" s="77"/>
      <c r="AP2843" s="77"/>
      <c r="AQ2843" s="77"/>
      <c r="AR2843" s="77"/>
      <c r="AS2843" s="77"/>
      <c r="AT2843" s="77"/>
      <c r="AU2843" s="77"/>
      <c r="AV2843" s="83" t="str">
        <f>HYPERLINK("https://pbs.twimg.com/profile_images/1649150439605039104/ws2NLiGq_normal.jpg")</f>
        <v>https://pbs.twimg.com/profile_images/1649150439605039104/ws2NLiGq_normal.jpg</v>
      </c>
      <c r="AW2843" s="80" t="s">
        <v>18613</v>
      </c>
      <c r="AX2843" s="80" t="s">
        <v>18613</v>
      </c>
      <c r="AY2843" s="77"/>
      <c r="AZ2843" s="80" t="s">
        <v>20380</v>
      </c>
      <c r="BA2843" s="80" t="s">
        <v>20380</v>
      </c>
      <c r="BB2843" s="80" t="s">
        <v>20380</v>
      </c>
      <c r="BC2843" s="80" t="s">
        <v>18613</v>
      </c>
      <c r="BD2843" s="77">
        <v>14306125</v>
      </c>
      <c r="BE2843" s="77"/>
      <c r="BF2843" s="77"/>
      <c r="BG2843" s="77"/>
      <c r="BH2843" s="77"/>
      <c r="BI2843" s="77"/>
    </row>
    <row r="2844" spans="1:61" x14ac:dyDescent="0.25">
      <c r="A2844" s="62" t="s">
        <v>1140</v>
      </c>
      <c r="B2844" s="62" t="s">
        <v>1140</v>
      </c>
      <c r="C2844" s="63"/>
      <c r="D2844" s="64"/>
      <c r="E2844" s="65"/>
      <c r="F2844" s="66"/>
      <c r="G2844" s="63"/>
      <c r="H2844" s="67"/>
      <c r="I2844" s="68"/>
      <c r="J2844" s="68"/>
      <c r="K2844" s="32"/>
      <c r="L2844" s="75">
        <v>2844</v>
      </c>
      <c r="M2844" s="75"/>
      <c r="N2844" s="70"/>
      <c r="O2844" s="77" t="s">
        <v>179</v>
      </c>
      <c r="P2844" s="79">
        <v>45145.983194444445</v>
      </c>
      <c r="Q2844" s="77" t="s">
        <v>4600</v>
      </c>
      <c r="R2844" s="77">
        <v>0</v>
      </c>
      <c r="S2844" s="77">
        <v>6</v>
      </c>
      <c r="T2844" s="77">
        <v>0</v>
      </c>
      <c r="U2844" s="77">
        <v>0</v>
      </c>
      <c r="V2844" s="77">
        <v>2095</v>
      </c>
      <c r="W2844" s="80" t="s">
        <v>7649</v>
      </c>
      <c r="X2844" s="83" t="str">
        <f>HYPERLINK("https://cultura.uol.com.br/noticias/60539_dinheiro-esquecido-mais-de-r-72-bilhoes-ainda-podem-ser-resgatados.html")</f>
        <v>https://cultura.uol.com.br/noticias/60539_dinheiro-esquecido-mais-de-r-72-bilhoes-ainda-podem-ser-resgatados.html</v>
      </c>
      <c r="Y2844" s="77" t="s">
        <v>8611</v>
      </c>
      <c r="Z2844" s="77"/>
      <c r="AA2844" s="77"/>
      <c r="AB2844" s="77"/>
      <c r="AC2844" s="80" t="s">
        <v>10541</v>
      </c>
      <c r="AD2844" s="77" t="s">
        <v>10617</v>
      </c>
      <c r="AE2844" s="83" t="str">
        <f>HYPERLINK("https://twitter.com/tvcultura/status/1688695465737400321")</f>
        <v>https://twitter.com/tvcultura/status/1688695465737400321</v>
      </c>
      <c r="AF2844" s="79">
        <v>45145.983194444445</v>
      </c>
      <c r="AG2844" s="85">
        <v>45145</v>
      </c>
      <c r="AH2844" s="80" t="s">
        <v>13109</v>
      </c>
      <c r="AI2844" s="77" t="b">
        <v>0</v>
      </c>
      <c r="AJ2844" s="77"/>
      <c r="AK2844" s="77"/>
      <c r="AL2844" s="77"/>
      <c r="AM2844" s="77"/>
      <c r="AN2844" s="77"/>
      <c r="AO2844" s="77"/>
      <c r="AP2844" s="77"/>
      <c r="AQ2844" s="77"/>
      <c r="AR2844" s="77"/>
      <c r="AS2844" s="77"/>
      <c r="AT2844" s="77"/>
      <c r="AU2844" s="77"/>
      <c r="AV2844" s="83" t="str">
        <f>HYPERLINK("https://pbs.twimg.com/profile_images/1649150439605039104/ws2NLiGq_normal.jpg")</f>
        <v>https://pbs.twimg.com/profile_images/1649150439605039104/ws2NLiGq_normal.jpg</v>
      </c>
      <c r="AW2844" s="80" t="s">
        <v>18614</v>
      </c>
      <c r="AX2844" s="80" t="s">
        <v>18614</v>
      </c>
      <c r="AY2844" s="77"/>
      <c r="AZ2844" s="80" t="s">
        <v>20380</v>
      </c>
      <c r="BA2844" s="80" t="s">
        <v>20380</v>
      </c>
      <c r="BB2844" s="80" t="s">
        <v>20380</v>
      </c>
      <c r="BC2844" s="80" t="s">
        <v>18614</v>
      </c>
      <c r="BD2844" s="77">
        <v>14306125</v>
      </c>
      <c r="BE2844" s="77"/>
      <c r="BF2844" s="77"/>
      <c r="BG2844" s="77"/>
      <c r="BH2844" s="77"/>
      <c r="BI2844" s="77"/>
    </row>
    <row r="2845" spans="1:61" x14ac:dyDescent="0.25">
      <c r="A2845" s="62" t="s">
        <v>1140</v>
      </c>
      <c r="B2845" s="62" t="s">
        <v>1140</v>
      </c>
      <c r="C2845" s="63"/>
      <c r="D2845" s="64"/>
      <c r="E2845" s="65"/>
      <c r="F2845" s="66"/>
      <c r="G2845" s="63"/>
      <c r="H2845" s="67"/>
      <c r="I2845" s="68"/>
      <c r="J2845" s="68"/>
      <c r="K2845" s="32"/>
      <c r="L2845" s="75">
        <v>2845</v>
      </c>
      <c r="M2845" s="75"/>
      <c r="N2845" s="70"/>
      <c r="O2845" s="77" t="s">
        <v>179</v>
      </c>
      <c r="P2845" s="79">
        <v>45145.923854166664</v>
      </c>
      <c r="Q2845" s="77" t="s">
        <v>4601</v>
      </c>
      <c r="R2845" s="77">
        <v>2</v>
      </c>
      <c r="S2845" s="77">
        <v>5</v>
      </c>
      <c r="T2845" s="77">
        <v>1</v>
      </c>
      <c r="U2845" s="77">
        <v>0</v>
      </c>
      <c r="V2845" s="77">
        <v>1474</v>
      </c>
      <c r="W2845" s="80" t="s">
        <v>7650</v>
      </c>
      <c r="X2845" s="83" t="str">
        <f>HYPERLINK("https://cultura.uol.com.br/noticias/60535_banco-central-define-drex-como-nome-da-nova-moeda-digital-do-brasil.html")</f>
        <v>https://cultura.uol.com.br/noticias/60535_banco-central-define-drex-como-nome-da-nova-moeda-digital-do-brasil.html</v>
      </c>
      <c r="Y2845" s="77" t="s">
        <v>8611</v>
      </c>
      <c r="Z2845" s="77"/>
      <c r="AA2845" s="77"/>
      <c r="AB2845" s="77"/>
      <c r="AC2845" s="80" t="s">
        <v>10541</v>
      </c>
      <c r="AD2845" s="77" t="s">
        <v>10617</v>
      </c>
      <c r="AE2845" s="83" t="str">
        <f>HYPERLINK("https://twitter.com/tvcultura/status/1688673963654762496")</f>
        <v>https://twitter.com/tvcultura/status/1688673963654762496</v>
      </c>
      <c r="AF2845" s="79">
        <v>45145.923854166664</v>
      </c>
      <c r="AG2845" s="85">
        <v>45145</v>
      </c>
      <c r="AH2845" s="80" t="s">
        <v>13110</v>
      </c>
      <c r="AI2845" s="77" t="b">
        <v>0</v>
      </c>
      <c r="AJ2845" s="77"/>
      <c r="AK2845" s="77"/>
      <c r="AL2845" s="77"/>
      <c r="AM2845" s="77"/>
      <c r="AN2845" s="77"/>
      <c r="AO2845" s="77"/>
      <c r="AP2845" s="77"/>
      <c r="AQ2845" s="77"/>
      <c r="AR2845" s="77"/>
      <c r="AS2845" s="77"/>
      <c r="AT2845" s="77"/>
      <c r="AU2845" s="77"/>
      <c r="AV2845" s="83" t="str">
        <f>HYPERLINK("https://pbs.twimg.com/profile_images/1649150439605039104/ws2NLiGq_normal.jpg")</f>
        <v>https://pbs.twimg.com/profile_images/1649150439605039104/ws2NLiGq_normal.jpg</v>
      </c>
      <c r="AW2845" s="80" t="s">
        <v>18615</v>
      </c>
      <c r="AX2845" s="80" t="s">
        <v>18615</v>
      </c>
      <c r="AY2845" s="77"/>
      <c r="AZ2845" s="80" t="s">
        <v>20380</v>
      </c>
      <c r="BA2845" s="80" t="s">
        <v>20380</v>
      </c>
      <c r="BB2845" s="80" t="s">
        <v>20380</v>
      </c>
      <c r="BC2845" s="80" t="s">
        <v>18615</v>
      </c>
      <c r="BD2845" s="77">
        <v>14306125</v>
      </c>
      <c r="BE2845" s="77"/>
      <c r="BF2845" s="77"/>
      <c r="BG2845" s="77"/>
      <c r="BH2845" s="77"/>
      <c r="BI2845" s="77"/>
    </row>
    <row r="2846" spans="1:61" x14ac:dyDescent="0.25">
      <c r="A2846" s="62" t="s">
        <v>1140</v>
      </c>
      <c r="B2846" s="62" t="s">
        <v>1140</v>
      </c>
      <c r="C2846" s="63"/>
      <c r="D2846" s="64"/>
      <c r="E2846" s="65"/>
      <c r="F2846" s="66"/>
      <c r="G2846" s="63"/>
      <c r="H2846" s="67"/>
      <c r="I2846" s="68"/>
      <c r="J2846" s="68"/>
      <c r="K2846" s="32"/>
      <c r="L2846" s="75">
        <v>2846</v>
      </c>
      <c r="M2846" s="75"/>
      <c r="N2846" s="70"/>
      <c r="O2846" s="77" t="s">
        <v>179</v>
      </c>
      <c r="P2846" s="79">
        <v>45093.649305555555</v>
      </c>
      <c r="Q2846" s="77" t="s">
        <v>4602</v>
      </c>
      <c r="R2846" s="77">
        <v>0</v>
      </c>
      <c r="S2846" s="77">
        <v>2</v>
      </c>
      <c r="T2846" s="77">
        <v>0</v>
      </c>
      <c r="U2846" s="77">
        <v>0</v>
      </c>
      <c r="V2846" s="77">
        <v>1141</v>
      </c>
      <c r="W2846" s="80" t="s">
        <v>7651</v>
      </c>
      <c r="X2846" s="83" t="str">
        <f>HYPERLINK("https://cultura.uol.com.br/economia/noticias/2023/06/16/277_ibc-br-previa-do-pib-do-banco-central-indica-elevacao-de-056-em-abril.html")</f>
        <v>https://cultura.uol.com.br/economia/noticias/2023/06/16/277_ibc-br-previa-do-pib-do-banco-central-indica-elevacao-de-056-em-abril.html</v>
      </c>
      <c r="Y2846" s="77" t="s">
        <v>8611</v>
      </c>
      <c r="Z2846" s="77"/>
      <c r="AA2846" s="77"/>
      <c r="AB2846" s="77"/>
      <c r="AC2846" s="80" t="s">
        <v>10551</v>
      </c>
      <c r="AD2846" s="77" t="s">
        <v>10617</v>
      </c>
      <c r="AE2846" s="83" t="str">
        <f>HYPERLINK("https://twitter.com/tvcultura/status/1669730300065361924")</f>
        <v>https://twitter.com/tvcultura/status/1669730300065361924</v>
      </c>
      <c r="AF2846" s="79">
        <v>45093.649305555555</v>
      </c>
      <c r="AG2846" s="85">
        <v>45093</v>
      </c>
      <c r="AH2846" s="80" t="s">
        <v>13111</v>
      </c>
      <c r="AI2846" s="77" t="b">
        <v>0</v>
      </c>
      <c r="AJ2846" s="77"/>
      <c r="AK2846" s="77"/>
      <c r="AL2846" s="77"/>
      <c r="AM2846" s="77"/>
      <c r="AN2846" s="77"/>
      <c r="AO2846" s="77"/>
      <c r="AP2846" s="77"/>
      <c r="AQ2846" s="77"/>
      <c r="AR2846" s="77"/>
      <c r="AS2846" s="77"/>
      <c r="AT2846" s="77"/>
      <c r="AU2846" s="77"/>
      <c r="AV2846" s="83" t="str">
        <f>HYPERLINK("https://pbs.twimg.com/profile_images/1649150439605039104/ws2NLiGq_normal.jpg")</f>
        <v>https://pbs.twimg.com/profile_images/1649150439605039104/ws2NLiGq_normal.jpg</v>
      </c>
      <c r="AW2846" s="80" t="s">
        <v>18616</v>
      </c>
      <c r="AX2846" s="80" t="s">
        <v>18616</v>
      </c>
      <c r="AY2846" s="77"/>
      <c r="AZ2846" s="80" t="s">
        <v>20380</v>
      </c>
      <c r="BA2846" s="80" t="s">
        <v>20380</v>
      </c>
      <c r="BB2846" s="80" t="s">
        <v>20380</v>
      </c>
      <c r="BC2846" s="80" t="s">
        <v>18616</v>
      </c>
      <c r="BD2846" s="77">
        <v>14306125</v>
      </c>
      <c r="BE2846" s="77"/>
      <c r="BF2846" s="77"/>
      <c r="BG2846" s="77"/>
      <c r="BH2846" s="77"/>
      <c r="BI2846" s="77"/>
    </row>
    <row r="2847" spans="1:61" x14ac:dyDescent="0.25">
      <c r="A2847" s="62" t="s">
        <v>1140</v>
      </c>
      <c r="B2847" s="62" t="s">
        <v>1140</v>
      </c>
      <c r="C2847" s="63"/>
      <c r="D2847" s="64"/>
      <c r="E2847" s="65"/>
      <c r="F2847" s="66"/>
      <c r="G2847" s="63"/>
      <c r="H2847" s="67"/>
      <c r="I2847" s="68"/>
      <c r="J2847" s="68"/>
      <c r="K2847" s="32"/>
      <c r="L2847" s="75">
        <v>2847</v>
      </c>
      <c r="M2847" s="75"/>
      <c r="N2847" s="70"/>
      <c r="O2847" s="77" t="s">
        <v>179</v>
      </c>
      <c r="P2847" s="79">
        <v>45068.65284722222</v>
      </c>
      <c r="Q2847" s="77" t="s">
        <v>4603</v>
      </c>
      <c r="R2847" s="77">
        <v>1</v>
      </c>
      <c r="S2847" s="77">
        <v>8</v>
      </c>
      <c r="T2847" s="77">
        <v>0</v>
      </c>
      <c r="U2847" s="77">
        <v>0</v>
      </c>
      <c r="V2847" s="77">
        <v>1573</v>
      </c>
      <c r="W2847" s="80" t="s">
        <v>7652</v>
      </c>
      <c r="X2847" s="83" t="str">
        <f>HYPERLINK("https://cultura.uol.com.br/economia/noticias/2023/05/22/266_boletim-focus-do-banco-central-preve-melhora-da-economia-brasileira-em-2023.html")</f>
        <v>https://cultura.uol.com.br/economia/noticias/2023/05/22/266_boletim-focus-do-banco-central-preve-melhora-da-economia-brasileira-em-2023.html</v>
      </c>
      <c r="Y2847" s="77" t="s">
        <v>8611</v>
      </c>
      <c r="Z2847" s="77"/>
      <c r="AA2847" s="77"/>
      <c r="AB2847" s="77"/>
      <c r="AC2847" s="80" t="s">
        <v>10551</v>
      </c>
      <c r="AD2847" s="77" t="s">
        <v>10617</v>
      </c>
      <c r="AE2847" s="83" t="str">
        <f>HYPERLINK("https://twitter.com/tvcultura/status/1660671887146471425")</f>
        <v>https://twitter.com/tvcultura/status/1660671887146471425</v>
      </c>
      <c r="AF2847" s="79">
        <v>45068.65284722222</v>
      </c>
      <c r="AG2847" s="85">
        <v>45068</v>
      </c>
      <c r="AH2847" s="80" t="s">
        <v>13112</v>
      </c>
      <c r="AI2847" s="77" t="b">
        <v>0</v>
      </c>
      <c r="AJ2847" s="77"/>
      <c r="AK2847" s="77"/>
      <c r="AL2847" s="77"/>
      <c r="AM2847" s="77"/>
      <c r="AN2847" s="77"/>
      <c r="AO2847" s="77"/>
      <c r="AP2847" s="77"/>
      <c r="AQ2847" s="77"/>
      <c r="AR2847" s="77"/>
      <c r="AS2847" s="77"/>
      <c r="AT2847" s="77"/>
      <c r="AU2847" s="77"/>
      <c r="AV2847" s="83" t="str">
        <f>HYPERLINK("https://pbs.twimg.com/profile_images/1649150439605039104/ws2NLiGq_normal.jpg")</f>
        <v>https://pbs.twimg.com/profile_images/1649150439605039104/ws2NLiGq_normal.jpg</v>
      </c>
      <c r="AW2847" s="80" t="s">
        <v>18617</v>
      </c>
      <c r="AX2847" s="80" t="s">
        <v>18617</v>
      </c>
      <c r="AY2847" s="77"/>
      <c r="AZ2847" s="80" t="s">
        <v>20380</v>
      </c>
      <c r="BA2847" s="80" t="s">
        <v>20380</v>
      </c>
      <c r="BB2847" s="80" t="s">
        <v>20380</v>
      </c>
      <c r="BC2847" s="80" t="s">
        <v>18617</v>
      </c>
      <c r="BD2847" s="77">
        <v>14306125</v>
      </c>
      <c r="BE2847" s="77"/>
      <c r="BF2847" s="77"/>
      <c r="BG2847" s="77"/>
      <c r="BH2847" s="77"/>
      <c r="BI2847" s="77"/>
    </row>
    <row r="2848" spans="1:61" x14ac:dyDescent="0.25">
      <c r="A2848" s="62" t="s">
        <v>1140</v>
      </c>
      <c r="B2848" s="62" t="s">
        <v>1140</v>
      </c>
      <c r="C2848" s="63"/>
      <c r="D2848" s="64"/>
      <c r="E2848" s="65"/>
      <c r="F2848" s="66"/>
      <c r="G2848" s="63"/>
      <c r="H2848" s="67"/>
      <c r="I2848" s="68"/>
      <c r="J2848" s="68"/>
      <c r="K2848" s="32"/>
      <c r="L2848" s="75">
        <v>2848</v>
      </c>
      <c r="M2848" s="75"/>
      <c r="N2848" s="70"/>
      <c r="O2848" s="77" t="s">
        <v>179</v>
      </c>
      <c r="P2848" s="79">
        <v>45065.990185185183</v>
      </c>
      <c r="Q2848" s="77" t="s">
        <v>4604</v>
      </c>
      <c r="R2848" s="77">
        <v>0</v>
      </c>
      <c r="S2848" s="77">
        <v>3</v>
      </c>
      <c r="T2848" s="77">
        <v>2</v>
      </c>
      <c r="U2848" s="77">
        <v>0</v>
      </c>
      <c r="V2848" s="77">
        <v>1874</v>
      </c>
      <c r="W2848" s="80" t="s">
        <v>7653</v>
      </c>
      <c r="X2848" s="83" t="str">
        <f>HYPERLINK("https://cultura.uol.com.br/noticias/58873_precisamos-de-reformas-estruturais-diz-presidente-do-bc-sobre-as-chances-de-baixar-o-juros.html")</f>
        <v>https://cultura.uol.com.br/noticias/58873_precisamos-de-reformas-estruturais-diz-presidente-do-bc-sobre-as-chances-de-baixar-o-juros.html</v>
      </c>
      <c r="Y2848" s="77" t="s">
        <v>8611</v>
      </c>
      <c r="Z2848" s="77"/>
      <c r="AA2848" s="77"/>
      <c r="AB2848" s="77"/>
      <c r="AC2848" s="80" t="s">
        <v>10551</v>
      </c>
      <c r="AD2848" s="77" t="s">
        <v>10617</v>
      </c>
      <c r="AE2848" s="83" t="str">
        <f>HYPERLINK("https://twitter.com/tvcultura/status/1659706969651920896")</f>
        <v>https://twitter.com/tvcultura/status/1659706969651920896</v>
      </c>
      <c r="AF2848" s="79">
        <v>45065.990185185183</v>
      </c>
      <c r="AG2848" s="85">
        <v>45065</v>
      </c>
      <c r="AH2848" s="80" t="s">
        <v>13113</v>
      </c>
      <c r="AI2848" s="77" t="b">
        <v>0</v>
      </c>
      <c r="AJ2848" s="77"/>
      <c r="AK2848" s="77"/>
      <c r="AL2848" s="77"/>
      <c r="AM2848" s="77"/>
      <c r="AN2848" s="77"/>
      <c r="AO2848" s="77"/>
      <c r="AP2848" s="77"/>
      <c r="AQ2848" s="77"/>
      <c r="AR2848" s="77"/>
      <c r="AS2848" s="77"/>
      <c r="AT2848" s="77"/>
      <c r="AU2848" s="77"/>
      <c r="AV2848" s="83" t="str">
        <f>HYPERLINK("https://pbs.twimg.com/profile_images/1649150439605039104/ws2NLiGq_normal.jpg")</f>
        <v>https://pbs.twimg.com/profile_images/1649150439605039104/ws2NLiGq_normal.jpg</v>
      </c>
      <c r="AW2848" s="80" t="s">
        <v>18618</v>
      </c>
      <c r="AX2848" s="80" t="s">
        <v>18618</v>
      </c>
      <c r="AY2848" s="77"/>
      <c r="AZ2848" s="80" t="s">
        <v>20380</v>
      </c>
      <c r="BA2848" s="80" t="s">
        <v>20380</v>
      </c>
      <c r="BB2848" s="80" t="s">
        <v>20380</v>
      </c>
      <c r="BC2848" s="80" t="s">
        <v>18618</v>
      </c>
      <c r="BD2848" s="77">
        <v>14306125</v>
      </c>
      <c r="BE2848" s="77"/>
      <c r="BF2848" s="77"/>
      <c r="BG2848" s="77"/>
      <c r="BH2848" s="77"/>
      <c r="BI2848" s="77"/>
    </row>
    <row r="2849" spans="1:61" x14ac:dyDescent="0.25">
      <c r="A2849" s="62" t="s">
        <v>1140</v>
      </c>
      <c r="B2849" s="62" t="s">
        <v>1140</v>
      </c>
      <c r="C2849" s="63"/>
      <c r="D2849" s="64"/>
      <c r="E2849" s="65"/>
      <c r="F2849" s="66"/>
      <c r="G2849" s="63"/>
      <c r="H2849" s="67"/>
      <c r="I2849" s="68"/>
      <c r="J2849" s="68"/>
      <c r="K2849" s="32"/>
      <c r="L2849" s="75">
        <v>2849</v>
      </c>
      <c r="M2849" s="75"/>
      <c r="N2849" s="70"/>
      <c r="O2849" s="77" t="s">
        <v>179</v>
      </c>
      <c r="P2849" s="79">
        <v>45065.976087962961</v>
      </c>
      <c r="Q2849" s="77" t="s">
        <v>4605</v>
      </c>
      <c r="R2849" s="77">
        <v>0</v>
      </c>
      <c r="S2849" s="77">
        <v>5</v>
      </c>
      <c r="T2849" s="77">
        <v>0</v>
      </c>
      <c r="U2849" s="77">
        <v>0</v>
      </c>
      <c r="V2849" s="77">
        <v>1671</v>
      </c>
      <c r="W2849" s="80" t="s">
        <v>7654</v>
      </c>
      <c r="X2849" s="83" t="str">
        <f>HYPERLINK("https://cultura.uol.com.br/noticias/58869_haddad-volta-a-defender-que-o-banco-central-reduza-a-taxa-de-juros-do-pais.html")</f>
        <v>https://cultura.uol.com.br/noticias/58869_haddad-volta-a-defender-que-o-banco-central-reduza-a-taxa-de-juros-do-pais.html</v>
      </c>
      <c r="Y2849" s="77" t="s">
        <v>8611</v>
      </c>
      <c r="Z2849" s="77"/>
      <c r="AA2849" s="77"/>
      <c r="AB2849" s="77"/>
      <c r="AC2849" s="80" t="s">
        <v>10551</v>
      </c>
      <c r="AD2849" s="77" t="s">
        <v>10617</v>
      </c>
      <c r="AE2849" s="83" t="str">
        <f>HYPERLINK("https://twitter.com/tvcultura/status/1659701864076570625")</f>
        <v>https://twitter.com/tvcultura/status/1659701864076570625</v>
      </c>
      <c r="AF2849" s="79">
        <v>45065.976087962961</v>
      </c>
      <c r="AG2849" s="85">
        <v>45065</v>
      </c>
      <c r="AH2849" s="80" t="s">
        <v>13114</v>
      </c>
      <c r="AI2849" s="77" t="b">
        <v>0</v>
      </c>
      <c r="AJ2849" s="77"/>
      <c r="AK2849" s="77"/>
      <c r="AL2849" s="77"/>
      <c r="AM2849" s="77"/>
      <c r="AN2849" s="77"/>
      <c r="AO2849" s="77"/>
      <c r="AP2849" s="77"/>
      <c r="AQ2849" s="77"/>
      <c r="AR2849" s="77"/>
      <c r="AS2849" s="77"/>
      <c r="AT2849" s="77"/>
      <c r="AU2849" s="77"/>
      <c r="AV2849" s="83" t="str">
        <f>HYPERLINK("https://pbs.twimg.com/profile_images/1649150439605039104/ws2NLiGq_normal.jpg")</f>
        <v>https://pbs.twimg.com/profile_images/1649150439605039104/ws2NLiGq_normal.jpg</v>
      </c>
      <c r="AW2849" s="80" t="s">
        <v>18619</v>
      </c>
      <c r="AX2849" s="80" t="s">
        <v>18619</v>
      </c>
      <c r="AY2849" s="77"/>
      <c r="AZ2849" s="80" t="s">
        <v>20380</v>
      </c>
      <c r="BA2849" s="80" t="s">
        <v>20380</v>
      </c>
      <c r="BB2849" s="80" t="s">
        <v>20380</v>
      </c>
      <c r="BC2849" s="80" t="s">
        <v>18619</v>
      </c>
      <c r="BD2849" s="77">
        <v>14306125</v>
      </c>
      <c r="BE2849" s="77"/>
      <c r="BF2849" s="77"/>
      <c r="BG2849" s="77"/>
      <c r="BH2849" s="77"/>
      <c r="BI2849" s="77"/>
    </row>
    <row r="2850" spans="1:61" x14ac:dyDescent="0.25">
      <c r="A2850" s="62" t="s">
        <v>1140</v>
      </c>
      <c r="B2850" s="62" t="s">
        <v>1140</v>
      </c>
      <c r="C2850" s="63"/>
      <c r="D2850" s="64"/>
      <c r="E2850" s="65"/>
      <c r="F2850" s="66"/>
      <c r="G2850" s="63"/>
      <c r="H2850" s="67"/>
      <c r="I2850" s="68"/>
      <c r="J2850" s="68"/>
      <c r="K2850" s="32"/>
      <c r="L2850" s="75">
        <v>2850</v>
      </c>
      <c r="M2850" s="75"/>
      <c r="N2850" s="70"/>
      <c r="O2850" s="77" t="s">
        <v>179</v>
      </c>
      <c r="P2850" s="79">
        <v>45173.880416666667</v>
      </c>
      <c r="Q2850" s="77" t="s">
        <v>4606</v>
      </c>
      <c r="R2850" s="77">
        <v>1</v>
      </c>
      <c r="S2850" s="77">
        <v>5</v>
      </c>
      <c r="T2850" s="77">
        <v>0</v>
      </c>
      <c r="U2850" s="77">
        <v>0</v>
      </c>
      <c r="V2850" s="77">
        <v>1195</v>
      </c>
      <c r="W2850" s="80" t="s">
        <v>7655</v>
      </c>
      <c r="X2850" s="83" t="str">
        <f>HYPERLINK("https://cultura.uol.com.br/noticias/61082_banco-central-projeto-uso-do-pix-em-pedagios-estacionamentos-e-transporte-publico.html")</f>
        <v>https://cultura.uol.com.br/noticias/61082_banco-central-projeto-uso-do-pix-em-pedagios-estacionamentos-e-transporte-publico.html</v>
      </c>
      <c r="Y2850" s="77" t="s">
        <v>8611</v>
      </c>
      <c r="Z2850" s="77"/>
      <c r="AA2850" s="77"/>
      <c r="AB2850" s="77"/>
      <c r="AC2850" s="80" t="s">
        <v>10541</v>
      </c>
      <c r="AD2850" s="77" t="s">
        <v>10617</v>
      </c>
      <c r="AE2850" s="83" t="str">
        <f>HYPERLINK("https://twitter.com/tvcultura/status/1698805080185565220")</f>
        <v>https://twitter.com/tvcultura/status/1698805080185565220</v>
      </c>
      <c r="AF2850" s="79">
        <v>45173.880416666667</v>
      </c>
      <c r="AG2850" s="85">
        <v>45173</v>
      </c>
      <c r="AH2850" s="80" t="s">
        <v>13115</v>
      </c>
      <c r="AI2850" s="77" t="b">
        <v>0</v>
      </c>
      <c r="AJ2850" s="77"/>
      <c r="AK2850" s="77"/>
      <c r="AL2850" s="77"/>
      <c r="AM2850" s="77"/>
      <c r="AN2850" s="77"/>
      <c r="AO2850" s="77"/>
      <c r="AP2850" s="77"/>
      <c r="AQ2850" s="77"/>
      <c r="AR2850" s="77"/>
      <c r="AS2850" s="77"/>
      <c r="AT2850" s="77"/>
      <c r="AU2850" s="77"/>
      <c r="AV2850" s="83" t="str">
        <f>HYPERLINK("https://pbs.twimg.com/profile_images/1649150439605039104/ws2NLiGq_normal.jpg")</f>
        <v>https://pbs.twimg.com/profile_images/1649150439605039104/ws2NLiGq_normal.jpg</v>
      </c>
      <c r="AW2850" s="80" t="s">
        <v>18620</v>
      </c>
      <c r="AX2850" s="80" t="s">
        <v>18620</v>
      </c>
      <c r="AY2850" s="77"/>
      <c r="AZ2850" s="80" t="s">
        <v>20380</v>
      </c>
      <c r="BA2850" s="80" t="s">
        <v>20380</v>
      </c>
      <c r="BB2850" s="80" t="s">
        <v>20380</v>
      </c>
      <c r="BC2850" s="80" t="s">
        <v>18620</v>
      </c>
      <c r="BD2850" s="77">
        <v>14306125</v>
      </c>
      <c r="BE2850" s="77"/>
      <c r="BF2850" s="77"/>
      <c r="BG2850" s="77"/>
      <c r="BH2850" s="77"/>
      <c r="BI2850" s="77"/>
    </row>
    <row r="2851" spans="1:61" x14ac:dyDescent="0.25">
      <c r="A2851" s="62" t="s">
        <v>1140</v>
      </c>
      <c r="B2851" s="62" t="s">
        <v>1140</v>
      </c>
      <c r="C2851" s="63"/>
      <c r="D2851" s="64"/>
      <c r="E2851" s="65"/>
      <c r="F2851" s="66"/>
      <c r="G2851" s="63"/>
      <c r="H2851" s="67"/>
      <c r="I2851" s="68"/>
      <c r="J2851" s="68"/>
      <c r="K2851" s="32"/>
      <c r="L2851" s="75">
        <v>2851</v>
      </c>
      <c r="M2851" s="75"/>
      <c r="N2851" s="70"/>
      <c r="O2851" s="77" t="s">
        <v>179</v>
      </c>
      <c r="P2851" s="79">
        <v>45160.623159722221</v>
      </c>
      <c r="Q2851" s="77" t="s">
        <v>4607</v>
      </c>
      <c r="R2851" s="77">
        <v>1</v>
      </c>
      <c r="S2851" s="77">
        <v>1</v>
      </c>
      <c r="T2851" s="77">
        <v>0</v>
      </c>
      <c r="U2851" s="77">
        <v>0</v>
      </c>
      <c r="V2851" s="77">
        <v>1200</v>
      </c>
      <c r="W2851" s="80" t="s">
        <v>7656</v>
      </c>
      <c r="X2851" s="83" t="str">
        <f>HYPERLINK("https://cultura.uol.com.br/webstories/2023/08/como-resgatar-seu-dinheiro-esquecido/")</f>
        <v>https://cultura.uol.com.br/webstories/2023/08/como-resgatar-seu-dinheiro-esquecido/</v>
      </c>
      <c r="Y2851" s="77" t="s">
        <v>8611</v>
      </c>
      <c r="Z2851" s="77"/>
      <c r="AA2851" s="77"/>
      <c r="AB2851" s="77"/>
      <c r="AC2851" s="80" t="s">
        <v>10541</v>
      </c>
      <c r="AD2851" s="77" t="s">
        <v>10617</v>
      </c>
      <c r="AE2851" s="83" t="str">
        <f>HYPERLINK("https://twitter.com/tvcultura/status/1694000813457522920")</f>
        <v>https://twitter.com/tvcultura/status/1694000813457522920</v>
      </c>
      <c r="AF2851" s="79">
        <v>45160.623159722221</v>
      </c>
      <c r="AG2851" s="85">
        <v>45160</v>
      </c>
      <c r="AH2851" s="80" t="s">
        <v>13116</v>
      </c>
      <c r="AI2851" s="77" t="b">
        <v>0</v>
      </c>
      <c r="AJ2851" s="77"/>
      <c r="AK2851" s="77"/>
      <c r="AL2851" s="77"/>
      <c r="AM2851" s="77"/>
      <c r="AN2851" s="77"/>
      <c r="AO2851" s="77"/>
      <c r="AP2851" s="77"/>
      <c r="AQ2851" s="77"/>
      <c r="AR2851" s="77"/>
      <c r="AS2851" s="77"/>
      <c r="AT2851" s="77"/>
      <c r="AU2851" s="77"/>
      <c r="AV2851" s="83" t="str">
        <f>HYPERLINK("https://pbs.twimg.com/profile_images/1649150439605039104/ws2NLiGq_normal.jpg")</f>
        <v>https://pbs.twimg.com/profile_images/1649150439605039104/ws2NLiGq_normal.jpg</v>
      </c>
      <c r="AW2851" s="80" t="s">
        <v>18621</v>
      </c>
      <c r="AX2851" s="80" t="s">
        <v>18621</v>
      </c>
      <c r="AY2851" s="77"/>
      <c r="AZ2851" s="80" t="s">
        <v>20380</v>
      </c>
      <c r="BA2851" s="80" t="s">
        <v>20380</v>
      </c>
      <c r="BB2851" s="80" t="s">
        <v>20380</v>
      </c>
      <c r="BC2851" s="80" t="s">
        <v>18621</v>
      </c>
      <c r="BD2851" s="77">
        <v>14306125</v>
      </c>
      <c r="BE2851" s="77"/>
      <c r="BF2851" s="77"/>
      <c r="BG2851" s="77"/>
      <c r="BH2851" s="77"/>
      <c r="BI2851" s="77"/>
    </row>
    <row r="2852" spans="1:61" x14ac:dyDescent="0.25">
      <c r="A2852" s="62" t="s">
        <v>1140</v>
      </c>
      <c r="B2852" s="62" t="s">
        <v>1140</v>
      </c>
      <c r="C2852" s="63"/>
      <c r="D2852" s="64"/>
      <c r="E2852" s="65"/>
      <c r="F2852" s="66"/>
      <c r="G2852" s="63"/>
      <c r="H2852" s="67"/>
      <c r="I2852" s="68"/>
      <c r="J2852" s="68"/>
      <c r="K2852" s="32"/>
      <c r="L2852" s="75">
        <v>2852</v>
      </c>
      <c r="M2852" s="75"/>
      <c r="N2852" s="70"/>
      <c r="O2852" s="77" t="s">
        <v>179</v>
      </c>
      <c r="P2852" s="79">
        <v>45099.053229166668</v>
      </c>
      <c r="Q2852" s="77" t="s">
        <v>4608</v>
      </c>
      <c r="R2852" s="77">
        <v>0</v>
      </c>
      <c r="S2852" s="77">
        <v>1</v>
      </c>
      <c r="T2852" s="77">
        <v>0</v>
      </c>
      <c r="U2852" s="77">
        <v>0</v>
      </c>
      <c r="V2852" s="77">
        <v>2122</v>
      </c>
      <c r="W2852" s="80" t="s">
        <v>7657</v>
      </c>
      <c r="X2852" s="83" t="str">
        <f>HYPERLINK("https://cultura.uol.com.br/noticias/59643_elida-graziane-critica-manutencao-da-taxa-de-juros-pelo-banco-central-descumpre-os-objetivos-complementares.html")</f>
        <v>https://cultura.uol.com.br/noticias/59643_elida-graziane-critica-manutencao-da-taxa-de-juros-pelo-banco-central-descumpre-os-objetivos-complementares.html</v>
      </c>
      <c r="Y2852" s="77" t="s">
        <v>8611</v>
      </c>
      <c r="Z2852" s="77"/>
      <c r="AA2852" s="77"/>
      <c r="AB2852" s="77"/>
      <c r="AC2852" s="80" t="s">
        <v>10551</v>
      </c>
      <c r="AD2852" s="77" t="s">
        <v>10617</v>
      </c>
      <c r="AE2852" s="83" t="str">
        <f>HYPERLINK("https://twitter.com/tvcultura/status/1671688617163456512")</f>
        <v>https://twitter.com/tvcultura/status/1671688617163456512</v>
      </c>
      <c r="AF2852" s="79">
        <v>45099.053229166668</v>
      </c>
      <c r="AG2852" s="85">
        <v>45099</v>
      </c>
      <c r="AH2852" s="80" t="s">
        <v>13117</v>
      </c>
      <c r="AI2852" s="77" t="b">
        <v>0</v>
      </c>
      <c r="AJ2852" s="77"/>
      <c r="AK2852" s="77"/>
      <c r="AL2852" s="77"/>
      <c r="AM2852" s="77"/>
      <c r="AN2852" s="77"/>
      <c r="AO2852" s="77"/>
      <c r="AP2852" s="77"/>
      <c r="AQ2852" s="77"/>
      <c r="AR2852" s="77"/>
      <c r="AS2852" s="77"/>
      <c r="AT2852" s="77"/>
      <c r="AU2852" s="77"/>
      <c r="AV2852" s="83" t="str">
        <f>HYPERLINK("https://pbs.twimg.com/profile_images/1649150439605039104/ws2NLiGq_normal.jpg")</f>
        <v>https://pbs.twimg.com/profile_images/1649150439605039104/ws2NLiGq_normal.jpg</v>
      </c>
      <c r="AW2852" s="80" t="s">
        <v>18622</v>
      </c>
      <c r="AX2852" s="80" t="s">
        <v>18622</v>
      </c>
      <c r="AY2852" s="77"/>
      <c r="AZ2852" s="80" t="s">
        <v>20380</v>
      </c>
      <c r="BA2852" s="80" t="s">
        <v>20380</v>
      </c>
      <c r="BB2852" s="80" t="s">
        <v>20380</v>
      </c>
      <c r="BC2852" s="80" t="s">
        <v>18622</v>
      </c>
      <c r="BD2852" s="77">
        <v>14306125</v>
      </c>
      <c r="BE2852" s="77"/>
      <c r="BF2852" s="77"/>
      <c r="BG2852" s="77"/>
      <c r="BH2852" s="77"/>
      <c r="BI2852" s="77"/>
    </row>
    <row r="2853" spans="1:61" x14ac:dyDescent="0.25">
      <c r="A2853" s="62" t="s">
        <v>1140</v>
      </c>
      <c r="B2853" s="62" t="s">
        <v>1140</v>
      </c>
      <c r="C2853" s="63"/>
      <c r="D2853" s="64"/>
      <c r="E2853" s="65"/>
      <c r="F2853" s="66"/>
      <c r="G2853" s="63"/>
      <c r="H2853" s="67"/>
      <c r="I2853" s="68"/>
      <c r="J2853" s="68"/>
      <c r="K2853" s="32"/>
      <c r="L2853" s="75">
        <v>2853</v>
      </c>
      <c r="M2853" s="75"/>
      <c r="N2853" s="70"/>
      <c r="O2853" s="77" t="s">
        <v>179</v>
      </c>
      <c r="P2853" s="79">
        <v>45098.970578703702</v>
      </c>
      <c r="Q2853" s="77" t="s">
        <v>4609</v>
      </c>
      <c r="R2853" s="77">
        <v>0</v>
      </c>
      <c r="S2853" s="77">
        <v>4</v>
      </c>
      <c r="T2853" s="77">
        <v>0</v>
      </c>
      <c r="U2853" s="77">
        <v>0</v>
      </c>
      <c r="V2853" s="77">
        <v>1587</v>
      </c>
      <c r="W2853" s="80" t="s">
        <v>7658</v>
      </c>
      <c r="X2853" s="83" t="str">
        <f>HYPERLINK("https://cultura.uol.com.br/noticias/59636_copom-mantem-taxa-de-juros-em-1375-ao-ano.html")</f>
        <v>https://cultura.uol.com.br/noticias/59636_copom-mantem-taxa-de-juros-em-1375-ao-ano.html</v>
      </c>
      <c r="Y2853" s="77" t="s">
        <v>8611</v>
      </c>
      <c r="Z2853" s="77"/>
      <c r="AA2853" s="77"/>
      <c r="AB2853" s="77"/>
      <c r="AC2853" s="80" t="s">
        <v>10551</v>
      </c>
      <c r="AD2853" s="77" t="s">
        <v>10617</v>
      </c>
      <c r="AE2853" s="83" t="str">
        <f>HYPERLINK("https://twitter.com/tvcultura/status/1671658667655979011")</f>
        <v>https://twitter.com/tvcultura/status/1671658667655979011</v>
      </c>
      <c r="AF2853" s="79">
        <v>45098.970578703702</v>
      </c>
      <c r="AG2853" s="85">
        <v>45098</v>
      </c>
      <c r="AH2853" s="80" t="s">
        <v>13118</v>
      </c>
      <c r="AI2853" s="77" t="b">
        <v>0</v>
      </c>
      <c r="AJ2853" s="77"/>
      <c r="AK2853" s="77"/>
      <c r="AL2853" s="77"/>
      <c r="AM2853" s="77"/>
      <c r="AN2853" s="77"/>
      <c r="AO2853" s="77"/>
      <c r="AP2853" s="77"/>
      <c r="AQ2853" s="77"/>
      <c r="AR2853" s="77"/>
      <c r="AS2853" s="77"/>
      <c r="AT2853" s="77"/>
      <c r="AU2853" s="77"/>
      <c r="AV2853" s="83" t="str">
        <f>HYPERLINK("https://pbs.twimg.com/profile_images/1649150439605039104/ws2NLiGq_normal.jpg")</f>
        <v>https://pbs.twimg.com/profile_images/1649150439605039104/ws2NLiGq_normal.jpg</v>
      </c>
      <c r="AW2853" s="80" t="s">
        <v>18623</v>
      </c>
      <c r="AX2853" s="80" t="s">
        <v>18623</v>
      </c>
      <c r="AY2853" s="77"/>
      <c r="AZ2853" s="80" t="s">
        <v>20380</v>
      </c>
      <c r="BA2853" s="80" t="s">
        <v>20380</v>
      </c>
      <c r="BB2853" s="80" t="s">
        <v>20380</v>
      </c>
      <c r="BC2853" s="80" t="s">
        <v>18623</v>
      </c>
      <c r="BD2853" s="77">
        <v>14306125</v>
      </c>
      <c r="BE2853" s="77"/>
      <c r="BF2853" s="77"/>
      <c r="BG2853" s="77"/>
      <c r="BH2853" s="77"/>
      <c r="BI2853" s="77"/>
    </row>
    <row r="2854" spans="1:61" x14ac:dyDescent="0.25">
      <c r="A2854" s="62" t="s">
        <v>1140</v>
      </c>
      <c r="B2854" s="62" t="s">
        <v>1140</v>
      </c>
      <c r="C2854" s="63"/>
      <c r="D2854" s="64"/>
      <c r="E2854" s="65"/>
      <c r="F2854" s="66"/>
      <c r="G2854" s="63"/>
      <c r="H2854" s="67"/>
      <c r="I2854" s="68"/>
      <c r="J2854" s="68"/>
      <c r="K2854" s="32"/>
      <c r="L2854" s="75">
        <v>2854</v>
      </c>
      <c r="M2854" s="75"/>
      <c r="N2854" s="70"/>
      <c r="O2854" s="77" t="s">
        <v>179</v>
      </c>
      <c r="P2854" s="79">
        <v>45098.768043981479</v>
      </c>
      <c r="Q2854" s="77" t="s">
        <v>4610</v>
      </c>
      <c r="R2854" s="77">
        <v>0</v>
      </c>
      <c r="S2854" s="77">
        <v>2</v>
      </c>
      <c r="T2854" s="77">
        <v>0</v>
      </c>
      <c r="U2854" s="77">
        <v>0</v>
      </c>
      <c r="V2854" s="77">
        <v>1341</v>
      </c>
      <c r="W2854" s="80" t="s">
        <v>7655</v>
      </c>
      <c r="X2854" s="83" t="str">
        <f>HYPERLINK("https://cultura.uol.com.br/noticias/59624_banco-central-anuncia-pix-automatico-ferramenta-de-pagamentos-periodicos-para-abril-de-2024.html")</f>
        <v>https://cultura.uol.com.br/noticias/59624_banco-central-anuncia-pix-automatico-ferramenta-de-pagamentos-periodicos-para-abril-de-2024.html</v>
      </c>
      <c r="Y2854" s="77" t="s">
        <v>8611</v>
      </c>
      <c r="Z2854" s="77"/>
      <c r="AA2854" s="77"/>
      <c r="AB2854" s="77"/>
      <c r="AC2854" s="80" t="s">
        <v>10551</v>
      </c>
      <c r="AD2854" s="77" t="s">
        <v>10617</v>
      </c>
      <c r="AE2854" s="83" t="str">
        <f>HYPERLINK("https://twitter.com/tvcultura/status/1671585270825721872")</f>
        <v>https://twitter.com/tvcultura/status/1671585270825721872</v>
      </c>
      <c r="AF2854" s="79">
        <v>45098.768043981479</v>
      </c>
      <c r="AG2854" s="85">
        <v>45098</v>
      </c>
      <c r="AH2854" s="80" t="s">
        <v>13119</v>
      </c>
      <c r="AI2854" s="77" t="b">
        <v>0</v>
      </c>
      <c r="AJ2854" s="77"/>
      <c r="AK2854" s="77"/>
      <c r="AL2854" s="77"/>
      <c r="AM2854" s="77"/>
      <c r="AN2854" s="77"/>
      <c r="AO2854" s="77"/>
      <c r="AP2854" s="77"/>
      <c r="AQ2854" s="77"/>
      <c r="AR2854" s="77"/>
      <c r="AS2854" s="77"/>
      <c r="AT2854" s="77"/>
      <c r="AU2854" s="77"/>
      <c r="AV2854" s="83" t="str">
        <f>HYPERLINK("https://pbs.twimg.com/profile_images/1649150439605039104/ws2NLiGq_normal.jpg")</f>
        <v>https://pbs.twimg.com/profile_images/1649150439605039104/ws2NLiGq_normal.jpg</v>
      </c>
      <c r="AW2854" s="80" t="s">
        <v>18624</v>
      </c>
      <c r="AX2854" s="80" t="s">
        <v>18624</v>
      </c>
      <c r="AY2854" s="77"/>
      <c r="AZ2854" s="80" t="s">
        <v>20380</v>
      </c>
      <c r="BA2854" s="80" t="s">
        <v>20380</v>
      </c>
      <c r="BB2854" s="80" t="s">
        <v>20380</v>
      </c>
      <c r="BC2854" s="80" t="s">
        <v>18624</v>
      </c>
      <c r="BD2854" s="77">
        <v>14306125</v>
      </c>
      <c r="BE2854" s="77"/>
      <c r="BF2854" s="77"/>
      <c r="BG2854" s="77"/>
      <c r="BH2854" s="77"/>
      <c r="BI2854" s="77"/>
    </row>
    <row r="2855" spans="1:61" x14ac:dyDescent="0.25">
      <c r="A2855" s="62" t="s">
        <v>1140</v>
      </c>
      <c r="B2855" s="62" t="s">
        <v>1140</v>
      </c>
      <c r="C2855" s="63"/>
      <c r="D2855" s="64"/>
      <c r="E2855" s="65"/>
      <c r="F2855" s="66"/>
      <c r="G2855" s="63"/>
      <c r="H2855" s="67"/>
      <c r="I2855" s="68"/>
      <c r="J2855" s="68"/>
      <c r="K2855" s="32"/>
      <c r="L2855" s="75">
        <v>2855</v>
      </c>
      <c r="M2855" s="75"/>
      <c r="N2855" s="70"/>
      <c r="O2855" s="77" t="s">
        <v>179</v>
      </c>
      <c r="P2855" s="79">
        <v>45178.048541666663</v>
      </c>
      <c r="Q2855" s="77" t="s">
        <v>4611</v>
      </c>
      <c r="R2855" s="77">
        <v>2</v>
      </c>
      <c r="S2855" s="77">
        <v>3</v>
      </c>
      <c r="T2855" s="77">
        <v>1</v>
      </c>
      <c r="U2855" s="77">
        <v>0</v>
      </c>
      <c r="V2855" s="77">
        <v>1919</v>
      </c>
      <c r="W2855" s="80" t="s">
        <v>7659</v>
      </c>
      <c r="X2855" s="83" t="str">
        <f>HYPERLINK("https://cultura.uol.com.br/noticias/61164_pix-bate-recorde-ao-registrar-mais-de-150-milhoes-de-transacoes-em-um-unico-dia.html")</f>
        <v>https://cultura.uol.com.br/noticias/61164_pix-bate-recorde-ao-registrar-mais-de-150-milhoes-de-transacoes-em-um-unico-dia.html</v>
      </c>
      <c r="Y2855" s="77" t="s">
        <v>8611</v>
      </c>
      <c r="Z2855" s="77"/>
      <c r="AA2855" s="77"/>
      <c r="AB2855" s="77"/>
      <c r="AC2855" s="80" t="s">
        <v>10541</v>
      </c>
      <c r="AD2855" s="77" t="s">
        <v>10617</v>
      </c>
      <c r="AE2855" s="83" t="str">
        <f>HYPERLINK("https://twitter.com/tvcultura/status/1700315558019825953")</f>
        <v>https://twitter.com/tvcultura/status/1700315558019825953</v>
      </c>
      <c r="AF2855" s="79">
        <v>45178.048541666663</v>
      </c>
      <c r="AG2855" s="85">
        <v>45178</v>
      </c>
      <c r="AH2855" s="80" t="s">
        <v>13120</v>
      </c>
      <c r="AI2855" s="77" t="b">
        <v>0</v>
      </c>
      <c r="AJ2855" s="77"/>
      <c r="AK2855" s="77"/>
      <c r="AL2855" s="77"/>
      <c r="AM2855" s="77"/>
      <c r="AN2855" s="77"/>
      <c r="AO2855" s="77"/>
      <c r="AP2855" s="77"/>
      <c r="AQ2855" s="77"/>
      <c r="AR2855" s="77"/>
      <c r="AS2855" s="77"/>
      <c r="AT2855" s="77"/>
      <c r="AU2855" s="77"/>
      <c r="AV2855" s="83" t="str">
        <f>HYPERLINK("https://pbs.twimg.com/profile_images/1649150439605039104/ws2NLiGq_normal.jpg")</f>
        <v>https://pbs.twimg.com/profile_images/1649150439605039104/ws2NLiGq_normal.jpg</v>
      </c>
      <c r="AW2855" s="80" t="s">
        <v>18625</v>
      </c>
      <c r="AX2855" s="80" t="s">
        <v>18625</v>
      </c>
      <c r="AY2855" s="77"/>
      <c r="AZ2855" s="80" t="s">
        <v>20380</v>
      </c>
      <c r="BA2855" s="80" t="s">
        <v>20380</v>
      </c>
      <c r="BB2855" s="80" t="s">
        <v>20380</v>
      </c>
      <c r="BC2855" s="80" t="s">
        <v>18625</v>
      </c>
      <c r="BD2855" s="77">
        <v>14306125</v>
      </c>
      <c r="BE2855" s="77"/>
      <c r="BF2855" s="77"/>
      <c r="BG2855" s="77"/>
      <c r="BH2855" s="77"/>
      <c r="BI2855" s="77"/>
    </row>
    <row r="2856" spans="1:61" x14ac:dyDescent="0.25">
      <c r="A2856" s="62" t="s">
        <v>1140</v>
      </c>
      <c r="B2856" s="62" t="s">
        <v>1140</v>
      </c>
      <c r="C2856" s="63"/>
      <c r="D2856" s="64"/>
      <c r="E2856" s="65"/>
      <c r="F2856" s="66"/>
      <c r="G2856" s="63"/>
      <c r="H2856" s="67"/>
      <c r="I2856" s="68"/>
      <c r="J2856" s="68"/>
      <c r="K2856" s="32"/>
      <c r="L2856" s="75">
        <v>2856</v>
      </c>
      <c r="M2856" s="75"/>
      <c r="N2856" s="70"/>
      <c r="O2856" s="77" t="s">
        <v>179</v>
      </c>
      <c r="P2856" s="79">
        <v>45148.768125000002</v>
      </c>
      <c r="Q2856" s="77" t="s">
        <v>4612</v>
      </c>
      <c r="R2856" s="77">
        <v>0</v>
      </c>
      <c r="S2856" s="77">
        <v>5</v>
      </c>
      <c r="T2856" s="77">
        <v>0</v>
      </c>
      <c r="U2856" s="77">
        <v>0</v>
      </c>
      <c r="V2856" s="77">
        <v>1035</v>
      </c>
      <c r="W2856" s="80" t="s">
        <v>7660</v>
      </c>
      <c r="X2856" s="83" t="str">
        <f>HYPERLINK("https://cultura.uol.com.br/noticias/60608_presidente-do-banco-central-diz-que-quer-extinguir-rotativo-do-cartao-de-credito-e-disciplinar-consumo.html")</f>
        <v>https://cultura.uol.com.br/noticias/60608_presidente-do-banco-central-diz-que-quer-extinguir-rotativo-do-cartao-de-credito-e-disciplinar-consumo.html</v>
      </c>
      <c r="Y2856" s="77" t="s">
        <v>8611</v>
      </c>
      <c r="Z2856" s="77"/>
      <c r="AA2856" s="77"/>
      <c r="AB2856" s="77"/>
      <c r="AC2856" s="80" t="s">
        <v>10541</v>
      </c>
      <c r="AD2856" s="77" t="s">
        <v>10617</v>
      </c>
      <c r="AE2856" s="83" t="str">
        <f>HYPERLINK("https://twitter.com/tvcultura/status/1689704693054738439")</f>
        <v>https://twitter.com/tvcultura/status/1689704693054738439</v>
      </c>
      <c r="AF2856" s="79">
        <v>45148.768125000002</v>
      </c>
      <c r="AG2856" s="85">
        <v>45148</v>
      </c>
      <c r="AH2856" s="80" t="s">
        <v>13121</v>
      </c>
      <c r="AI2856" s="77" t="b">
        <v>0</v>
      </c>
      <c r="AJ2856" s="77"/>
      <c r="AK2856" s="77"/>
      <c r="AL2856" s="77"/>
      <c r="AM2856" s="77"/>
      <c r="AN2856" s="77"/>
      <c r="AO2856" s="77"/>
      <c r="AP2856" s="77"/>
      <c r="AQ2856" s="77"/>
      <c r="AR2856" s="77"/>
      <c r="AS2856" s="77"/>
      <c r="AT2856" s="77"/>
      <c r="AU2856" s="77"/>
      <c r="AV2856" s="83" t="str">
        <f>HYPERLINK("https://pbs.twimg.com/profile_images/1649150439605039104/ws2NLiGq_normal.jpg")</f>
        <v>https://pbs.twimg.com/profile_images/1649150439605039104/ws2NLiGq_normal.jpg</v>
      </c>
      <c r="AW2856" s="80" t="s">
        <v>18626</v>
      </c>
      <c r="AX2856" s="80" t="s">
        <v>18626</v>
      </c>
      <c r="AY2856" s="77"/>
      <c r="AZ2856" s="80" t="s">
        <v>20380</v>
      </c>
      <c r="BA2856" s="80" t="s">
        <v>20380</v>
      </c>
      <c r="BB2856" s="80" t="s">
        <v>20380</v>
      </c>
      <c r="BC2856" s="80" t="s">
        <v>18626</v>
      </c>
      <c r="BD2856" s="77">
        <v>14306125</v>
      </c>
      <c r="BE2856" s="77"/>
      <c r="BF2856" s="77"/>
      <c r="BG2856" s="77"/>
      <c r="BH2856" s="77"/>
      <c r="BI2856" s="77"/>
    </row>
    <row r="2857" spans="1:61" x14ac:dyDescent="0.25">
      <c r="A2857" s="62" t="s">
        <v>1140</v>
      </c>
      <c r="B2857" s="62" t="s">
        <v>1140</v>
      </c>
      <c r="C2857" s="63"/>
      <c r="D2857" s="64"/>
      <c r="E2857" s="65"/>
      <c r="F2857" s="66"/>
      <c r="G2857" s="63"/>
      <c r="H2857" s="67"/>
      <c r="I2857" s="68"/>
      <c r="J2857" s="68"/>
      <c r="K2857" s="32"/>
      <c r="L2857" s="75">
        <v>2857</v>
      </c>
      <c r="M2857" s="75"/>
      <c r="N2857" s="70"/>
      <c r="O2857" s="77" t="s">
        <v>179</v>
      </c>
      <c r="P2857" s="79">
        <v>45140.958101851851</v>
      </c>
      <c r="Q2857" s="77" t="s">
        <v>4613</v>
      </c>
      <c r="R2857" s="77">
        <v>1</v>
      </c>
      <c r="S2857" s="77">
        <v>8</v>
      </c>
      <c r="T2857" s="77">
        <v>0</v>
      </c>
      <c r="U2857" s="77">
        <v>0</v>
      </c>
      <c r="V2857" s="77">
        <v>1210</v>
      </c>
      <c r="W2857" s="80" t="s">
        <v>7661</v>
      </c>
      <c r="X2857" s="83" t="str">
        <f>HYPERLINK("https://cultura.uol.com.br/noticias/60451_banco-central-reduz-taxa-de-juros-de-1375-para-1325.html")</f>
        <v>https://cultura.uol.com.br/noticias/60451_banco-central-reduz-taxa-de-juros-de-1375-para-1325.html</v>
      </c>
      <c r="Y2857" s="77" t="s">
        <v>8611</v>
      </c>
      <c r="Z2857" s="77"/>
      <c r="AA2857" s="77"/>
      <c r="AB2857" s="77"/>
      <c r="AC2857" s="80" t="s">
        <v>10555</v>
      </c>
      <c r="AD2857" s="77" t="s">
        <v>10617</v>
      </c>
      <c r="AE2857" s="83" t="str">
        <f>HYPERLINK("https://twitter.com/tvcultura/status/1686874435561693185")</f>
        <v>https://twitter.com/tvcultura/status/1686874435561693185</v>
      </c>
      <c r="AF2857" s="79">
        <v>45140.958101851851</v>
      </c>
      <c r="AG2857" s="85">
        <v>45140</v>
      </c>
      <c r="AH2857" s="80" t="s">
        <v>13122</v>
      </c>
      <c r="AI2857" s="77" t="b">
        <v>0</v>
      </c>
      <c r="AJ2857" s="77"/>
      <c r="AK2857" s="77"/>
      <c r="AL2857" s="77"/>
      <c r="AM2857" s="77"/>
      <c r="AN2857" s="77"/>
      <c r="AO2857" s="77"/>
      <c r="AP2857" s="77"/>
      <c r="AQ2857" s="77"/>
      <c r="AR2857" s="77"/>
      <c r="AS2857" s="77"/>
      <c r="AT2857" s="77"/>
      <c r="AU2857" s="77"/>
      <c r="AV2857" s="83" t="str">
        <f>HYPERLINK("https://pbs.twimg.com/profile_images/1649150439605039104/ws2NLiGq_normal.jpg")</f>
        <v>https://pbs.twimg.com/profile_images/1649150439605039104/ws2NLiGq_normal.jpg</v>
      </c>
      <c r="AW2857" s="80" t="s">
        <v>18627</v>
      </c>
      <c r="AX2857" s="80" t="s">
        <v>18627</v>
      </c>
      <c r="AY2857" s="77"/>
      <c r="AZ2857" s="80" t="s">
        <v>20380</v>
      </c>
      <c r="BA2857" s="80" t="s">
        <v>20380</v>
      </c>
      <c r="BB2857" s="80" t="s">
        <v>20380</v>
      </c>
      <c r="BC2857" s="80" t="s">
        <v>18627</v>
      </c>
      <c r="BD2857" s="77">
        <v>14306125</v>
      </c>
      <c r="BE2857" s="77"/>
      <c r="BF2857" s="77"/>
      <c r="BG2857" s="77"/>
      <c r="BH2857" s="77"/>
      <c r="BI2857" s="77"/>
    </row>
    <row r="2858" spans="1:61" x14ac:dyDescent="0.25">
      <c r="A2858" s="62" t="s">
        <v>1140</v>
      </c>
      <c r="B2858" s="62" t="s">
        <v>1140</v>
      </c>
      <c r="C2858" s="63"/>
      <c r="D2858" s="64"/>
      <c r="E2858" s="65"/>
      <c r="F2858" s="66"/>
      <c r="G2858" s="63"/>
      <c r="H2858" s="67"/>
      <c r="I2858" s="68"/>
      <c r="J2858" s="68"/>
      <c r="K2858" s="32"/>
      <c r="L2858" s="75">
        <v>2858</v>
      </c>
      <c r="M2858" s="75"/>
      <c r="N2858" s="70"/>
      <c r="O2858" s="77" t="s">
        <v>179</v>
      </c>
      <c r="P2858" s="79">
        <v>45114.966111111113</v>
      </c>
      <c r="Q2858" s="77" t="s">
        <v>4614</v>
      </c>
      <c r="R2858" s="77">
        <v>0</v>
      </c>
      <c r="S2858" s="77">
        <v>5</v>
      </c>
      <c r="T2858" s="77">
        <v>0</v>
      </c>
      <c r="U2858" s="77">
        <v>0</v>
      </c>
      <c r="V2858" s="77">
        <v>1921</v>
      </c>
      <c r="W2858" s="80" t="s">
        <v>7649</v>
      </c>
      <c r="X2858" s="83" t="str">
        <f>HYPERLINK("https://cultura.uol.com.br/noticias/59983_dinheiro-esquecido-mais-de-r-7-bilhoes-ainda-podem-ser-resgatados.html")</f>
        <v>https://cultura.uol.com.br/noticias/59983_dinheiro-esquecido-mais-de-r-7-bilhoes-ainda-podem-ser-resgatados.html</v>
      </c>
      <c r="Y2858" s="77" t="s">
        <v>8611</v>
      </c>
      <c r="Z2858" s="77"/>
      <c r="AA2858" s="77"/>
      <c r="AB2858" s="77"/>
      <c r="AC2858" s="80" t="s">
        <v>10541</v>
      </c>
      <c r="AD2858" s="77" t="s">
        <v>10617</v>
      </c>
      <c r="AE2858" s="83" t="str">
        <f>HYPERLINK("https://twitter.com/tvcultura/status/1677455251849314304")</f>
        <v>https://twitter.com/tvcultura/status/1677455251849314304</v>
      </c>
      <c r="AF2858" s="79">
        <v>45114.966111111113</v>
      </c>
      <c r="AG2858" s="85">
        <v>45114</v>
      </c>
      <c r="AH2858" s="80" t="s">
        <v>13123</v>
      </c>
      <c r="AI2858" s="77" t="b">
        <v>0</v>
      </c>
      <c r="AJ2858" s="77"/>
      <c r="AK2858" s="77"/>
      <c r="AL2858" s="77"/>
      <c r="AM2858" s="77"/>
      <c r="AN2858" s="77"/>
      <c r="AO2858" s="77"/>
      <c r="AP2858" s="77"/>
      <c r="AQ2858" s="77"/>
      <c r="AR2858" s="77"/>
      <c r="AS2858" s="77"/>
      <c r="AT2858" s="77"/>
      <c r="AU2858" s="77"/>
      <c r="AV2858" s="83" t="str">
        <f>HYPERLINK("https://pbs.twimg.com/profile_images/1649150439605039104/ws2NLiGq_normal.jpg")</f>
        <v>https://pbs.twimg.com/profile_images/1649150439605039104/ws2NLiGq_normal.jpg</v>
      </c>
      <c r="AW2858" s="80" t="s">
        <v>18628</v>
      </c>
      <c r="AX2858" s="80" t="s">
        <v>18628</v>
      </c>
      <c r="AY2858" s="77"/>
      <c r="AZ2858" s="80" t="s">
        <v>20380</v>
      </c>
      <c r="BA2858" s="80" t="s">
        <v>20380</v>
      </c>
      <c r="BB2858" s="80" t="s">
        <v>20380</v>
      </c>
      <c r="BC2858" s="80" t="s">
        <v>18628</v>
      </c>
      <c r="BD2858" s="77">
        <v>14306125</v>
      </c>
      <c r="BE2858" s="77"/>
      <c r="BF2858" s="77"/>
      <c r="BG2858" s="77"/>
      <c r="BH2858" s="77"/>
      <c r="BI2858" s="77"/>
    </row>
    <row r="2859" spans="1:61" x14ac:dyDescent="0.25">
      <c r="A2859" s="62" t="s">
        <v>1140</v>
      </c>
      <c r="B2859" s="62" t="s">
        <v>1140</v>
      </c>
      <c r="C2859" s="63"/>
      <c r="D2859" s="64"/>
      <c r="E2859" s="65"/>
      <c r="F2859" s="66"/>
      <c r="G2859" s="63"/>
      <c r="H2859" s="67"/>
      <c r="I2859" s="68"/>
      <c r="J2859" s="68"/>
      <c r="K2859" s="32"/>
      <c r="L2859" s="75">
        <v>2859</v>
      </c>
      <c r="M2859" s="75"/>
      <c r="N2859" s="70"/>
      <c r="O2859" s="77" t="s">
        <v>179</v>
      </c>
      <c r="P2859" s="79">
        <v>45079.798148148147</v>
      </c>
      <c r="Q2859" s="77" t="s">
        <v>4615</v>
      </c>
      <c r="R2859" s="77">
        <v>1</v>
      </c>
      <c r="S2859" s="77">
        <v>4</v>
      </c>
      <c r="T2859" s="77">
        <v>0</v>
      </c>
      <c r="U2859" s="77">
        <v>0</v>
      </c>
      <c r="V2859" s="77">
        <v>1332</v>
      </c>
      <c r="W2859" s="80" t="s">
        <v>7662</v>
      </c>
      <c r="X2859" s="83" t="str">
        <f>HYPERLINK("https://cultura.uol.com.br/noticias/59200_presidente-do-banco-central-afirma-ser-muito-contra-criacao-de-moedas-comuns-entre-paises.html")</f>
        <v>https://cultura.uol.com.br/noticias/59200_presidente-do-banco-central-afirma-ser-muito-contra-criacao-de-moedas-comuns-entre-paises.html</v>
      </c>
      <c r="Y2859" s="77" t="s">
        <v>8611</v>
      </c>
      <c r="Z2859" s="77"/>
      <c r="AA2859" s="77"/>
      <c r="AB2859" s="77"/>
      <c r="AC2859" s="80" t="s">
        <v>10541</v>
      </c>
      <c r="AD2859" s="77" t="s">
        <v>10617</v>
      </c>
      <c r="AE2859" s="83" t="str">
        <f>HYPERLINK("https://twitter.com/tvcultura/status/1664710809258164224")</f>
        <v>https://twitter.com/tvcultura/status/1664710809258164224</v>
      </c>
      <c r="AF2859" s="79">
        <v>45079.798148148147</v>
      </c>
      <c r="AG2859" s="85">
        <v>45079</v>
      </c>
      <c r="AH2859" s="80" t="s">
        <v>13124</v>
      </c>
      <c r="AI2859" s="77" t="b">
        <v>0</v>
      </c>
      <c r="AJ2859" s="77"/>
      <c r="AK2859" s="77"/>
      <c r="AL2859" s="77"/>
      <c r="AM2859" s="77"/>
      <c r="AN2859" s="77"/>
      <c r="AO2859" s="77"/>
      <c r="AP2859" s="77"/>
      <c r="AQ2859" s="77"/>
      <c r="AR2859" s="77"/>
      <c r="AS2859" s="77"/>
      <c r="AT2859" s="77"/>
      <c r="AU2859" s="77"/>
      <c r="AV2859" s="83" t="str">
        <f>HYPERLINK("https://pbs.twimg.com/profile_images/1649150439605039104/ws2NLiGq_normal.jpg")</f>
        <v>https://pbs.twimg.com/profile_images/1649150439605039104/ws2NLiGq_normal.jpg</v>
      </c>
      <c r="AW2859" s="80" t="s">
        <v>18629</v>
      </c>
      <c r="AX2859" s="80" t="s">
        <v>18629</v>
      </c>
      <c r="AY2859" s="77"/>
      <c r="AZ2859" s="80" t="s">
        <v>20380</v>
      </c>
      <c r="BA2859" s="80" t="s">
        <v>20380</v>
      </c>
      <c r="BB2859" s="80" t="s">
        <v>20380</v>
      </c>
      <c r="BC2859" s="80" t="s">
        <v>18629</v>
      </c>
      <c r="BD2859" s="77">
        <v>14306125</v>
      </c>
      <c r="BE2859" s="77"/>
      <c r="BF2859" s="77"/>
      <c r="BG2859" s="77"/>
      <c r="BH2859" s="77"/>
      <c r="BI2859" s="77"/>
    </row>
    <row r="2860" spans="1:61" x14ac:dyDescent="0.25">
      <c r="A2860" s="62" t="s">
        <v>1140</v>
      </c>
      <c r="B2860" s="62" t="s">
        <v>1140</v>
      </c>
      <c r="C2860" s="63"/>
      <c r="D2860" s="64"/>
      <c r="E2860" s="65"/>
      <c r="F2860" s="66"/>
      <c r="G2860" s="63"/>
      <c r="H2860" s="67"/>
      <c r="I2860" s="68"/>
      <c r="J2860" s="68"/>
      <c r="K2860" s="32"/>
      <c r="L2860" s="75">
        <v>2860</v>
      </c>
      <c r="M2860" s="75"/>
      <c r="N2860" s="70"/>
      <c r="O2860" s="77" t="s">
        <v>179</v>
      </c>
      <c r="P2860" s="79">
        <v>45049.494039351855</v>
      </c>
      <c r="Q2860" s="77" t="s">
        <v>4616</v>
      </c>
      <c r="R2860" s="77">
        <v>0</v>
      </c>
      <c r="S2860" s="77">
        <v>2</v>
      </c>
      <c r="T2860" s="77">
        <v>0</v>
      </c>
      <c r="U2860" s="77">
        <v>0</v>
      </c>
      <c r="V2860" s="77">
        <v>1430</v>
      </c>
      <c r="W2860" s="80" t="s">
        <v>7663</v>
      </c>
      <c r="X2860" s="83" t="str">
        <f>HYPERLINK("https://cultura.uol.com.br/noticias/58398_banco-central-define-nesta-quarta-feira-3-a-taxa-basica-de-juros-da-economia-brasileira.html")</f>
        <v>https://cultura.uol.com.br/noticias/58398_banco-central-define-nesta-quarta-feira-3-a-taxa-basica-de-juros-da-economia-brasileira.html</v>
      </c>
      <c r="Y2860" s="77" t="s">
        <v>8611</v>
      </c>
      <c r="Z2860" s="77"/>
      <c r="AA2860" s="77"/>
      <c r="AB2860" s="77"/>
      <c r="AC2860" s="80" t="s">
        <v>10551</v>
      </c>
      <c r="AD2860" s="77" t="s">
        <v>10617</v>
      </c>
      <c r="AE2860" s="83" t="str">
        <f>HYPERLINK("https://twitter.com/tvcultura/status/1653728967138877440")</f>
        <v>https://twitter.com/tvcultura/status/1653728967138877440</v>
      </c>
      <c r="AF2860" s="79">
        <v>45049.494039351855</v>
      </c>
      <c r="AG2860" s="85">
        <v>45049</v>
      </c>
      <c r="AH2860" s="80" t="s">
        <v>13125</v>
      </c>
      <c r="AI2860" s="77" t="b">
        <v>0</v>
      </c>
      <c r="AJ2860" s="77"/>
      <c r="AK2860" s="77"/>
      <c r="AL2860" s="77"/>
      <c r="AM2860" s="77"/>
      <c r="AN2860" s="77"/>
      <c r="AO2860" s="77"/>
      <c r="AP2860" s="77"/>
      <c r="AQ2860" s="77"/>
      <c r="AR2860" s="77"/>
      <c r="AS2860" s="77"/>
      <c r="AT2860" s="77"/>
      <c r="AU2860" s="77"/>
      <c r="AV2860" s="83" t="str">
        <f>HYPERLINK("https://pbs.twimg.com/profile_images/1649150439605039104/ws2NLiGq_normal.jpg")</f>
        <v>https://pbs.twimg.com/profile_images/1649150439605039104/ws2NLiGq_normal.jpg</v>
      </c>
      <c r="AW2860" s="80" t="s">
        <v>18630</v>
      </c>
      <c r="AX2860" s="80" t="s">
        <v>18630</v>
      </c>
      <c r="AY2860" s="77"/>
      <c r="AZ2860" s="80" t="s">
        <v>20380</v>
      </c>
      <c r="BA2860" s="80" t="s">
        <v>20380</v>
      </c>
      <c r="BB2860" s="80" t="s">
        <v>20380</v>
      </c>
      <c r="BC2860" s="80" t="s">
        <v>18630</v>
      </c>
      <c r="BD2860" s="77">
        <v>14306125</v>
      </c>
      <c r="BE2860" s="77"/>
      <c r="BF2860" s="77"/>
      <c r="BG2860" s="77"/>
      <c r="BH2860" s="77"/>
      <c r="BI2860" s="77"/>
    </row>
    <row r="2861" spans="1:61" x14ac:dyDescent="0.25">
      <c r="A2861" s="62" t="s">
        <v>1140</v>
      </c>
      <c r="B2861" s="62" t="s">
        <v>1140</v>
      </c>
      <c r="C2861" s="63"/>
      <c r="D2861" s="64"/>
      <c r="E2861" s="65"/>
      <c r="F2861" s="66"/>
      <c r="G2861" s="63"/>
      <c r="H2861" s="67"/>
      <c r="I2861" s="68"/>
      <c r="J2861" s="68"/>
      <c r="K2861" s="32"/>
      <c r="L2861" s="75">
        <v>2861</v>
      </c>
      <c r="M2861" s="75"/>
      <c r="N2861" s="70"/>
      <c r="O2861" s="77" t="s">
        <v>179</v>
      </c>
      <c r="P2861" s="79">
        <v>45180.813206018516</v>
      </c>
      <c r="Q2861" s="77" t="s">
        <v>4617</v>
      </c>
      <c r="R2861" s="77">
        <v>1</v>
      </c>
      <c r="S2861" s="77">
        <v>1</v>
      </c>
      <c r="T2861" s="77">
        <v>1</v>
      </c>
      <c r="U2861" s="77">
        <v>0</v>
      </c>
      <c r="V2861" s="77">
        <v>1303</v>
      </c>
      <c r="W2861" s="80" t="s">
        <v>7649</v>
      </c>
      <c r="X2861" s="83" t="str">
        <f>HYPERLINK("https://cultura.uol.com.br/noticias/61207_dinheiro-esquecido-mais-de-r-72-bilhoes-ainda-estao-disponiveis-veja-como-resgatar.html")</f>
        <v>https://cultura.uol.com.br/noticias/61207_dinheiro-esquecido-mais-de-r-72-bilhoes-ainda-estao-disponiveis-veja-como-resgatar.html</v>
      </c>
      <c r="Y2861" s="77" t="s">
        <v>8611</v>
      </c>
      <c r="Z2861" s="77"/>
      <c r="AA2861" s="77"/>
      <c r="AB2861" s="77"/>
      <c r="AC2861" s="80" t="s">
        <v>10541</v>
      </c>
      <c r="AD2861" s="77" t="s">
        <v>10617</v>
      </c>
      <c r="AE2861" s="83" t="str">
        <f>HYPERLINK("https://twitter.com/tvcultura/status/1701317441517690919")</f>
        <v>https://twitter.com/tvcultura/status/1701317441517690919</v>
      </c>
      <c r="AF2861" s="79">
        <v>45180.813206018516</v>
      </c>
      <c r="AG2861" s="85">
        <v>45180</v>
      </c>
      <c r="AH2861" s="80" t="s">
        <v>13126</v>
      </c>
      <c r="AI2861" s="77" t="b">
        <v>0</v>
      </c>
      <c r="AJ2861" s="77"/>
      <c r="AK2861" s="77"/>
      <c r="AL2861" s="77"/>
      <c r="AM2861" s="77"/>
      <c r="AN2861" s="77"/>
      <c r="AO2861" s="77"/>
      <c r="AP2861" s="77"/>
      <c r="AQ2861" s="77"/>
      <c r="AR2861" s="77"/>
      <c r="AS2861" s="77"/>
      <c r="AT2861" s="77"/>
      <c r="AU2861" s="77"/>
      <c r="AV2861" s="83" t="str">
        <f>HYPERLINK("https://pbs.twimg.com/profile_images/1649150439605039104/ws2NLiGq_normal.jpg")</f>
        <v>https://pbs.twimg.com/profile_images/1649150439605039104/ws2NLiGq_normal.jpg</v>
      </c>
      <c r="AW2861" s="80" t="s">
        <v>18631</v>
      </c>
      <c r="AX2861" s="80" t="s">
        <v>18631</v>
      </c>
      <c r="AY2861" s="77"/>
      <c r="AZ2861" s="80" t="s">
        <v>20380</v>
      </c>
      <c r="BA2861" s="80" t="s">
        <v>20380</v>
      </c>
      <c r="BB2861" s="80" t="s">
        <v>20380</v>
      </c>
      <c r="BC2861" s="80" t="s">
        <v>18631</v>
      </c>
      <c r="BD2861" s="77">
        <v>14306125</v>
      </c>
      <c r="BE2861" s="77"/>
      <c r="BF2861" s="77"/>
      <c r="BG2861" s="77"/>
      <c r="BH2861" s="77"/>
      <c r="BI2861" s="77"/>
    </row>
    <row r="2862" spans="1:61" x14ac:dyDescent="0.25">
      <c r="A2862" s="62" t="s">
        <v>1140</v>
      </c>
      <c r="B2862" s="62" t="s">
        <v>1140</v>
      </c>
      <c r="C2862" s="63"/>
      <c r="D2862" s="64"/>
      <c r="E2862" s="65"/>
      <c r="F2862" s="66"/>
      <c r="G2862" s="63"/>
      <c r="H2862" s="67"/>
      <c r="I2862" s="68"/>
      <c r="J2862" s="68"/>
      <c r="K2862" s="32"/>
      <c r="L2862" s="75">
        <v>2862</v>
      </c>
      <c r="M2862" s="75"/>
      <c r="N2862" s="70"/>
      <c r="O2862" s="77" t="s">
        <v>179</v>
      </c>
      <c r="P2862" s="79">
        <v>45149.810335648152</v>
      </c>
      <c r="Q2862" s="77" t="s">
        <v>4618</v>
      </c>
      <c r="R2862" s="77">
        <v>1</v>
      </c>
      <c r="S2862" s="77">
        <v>5</v>
      </c>
      <c r="T2862" s="77">
        <v>0</v>
      </c>
      <c r="U2862" s="77">
        <v>0</v>
      </c>
      <c r="V2862" s="77">
        <v>1279</v>
      </c>
      <c r="W2862" s="80" t="s">
        <v>7664</v>
      </c>
      <c r="X2862" s="83" t="str">
        <f>HYPERLINK("https://cultura.uol.com.br/noticias/60632_apesar-de-puxao-de-orelha-campos-neto-diz-que-bc-segue-com-planos-para-rotativo-do-cartao.html")</f>
        <v>https://cultura.uol.com.br/noticias/60632_apesar-de-puxao-de-orelha-campos-neto-diz-que-bc-segue-com-planos-para-rotativo-do-cartao.html</v>
      </c>
      <c r="Y2862" s="77" t="s">
        <v>8611</v>
      </c>
      <c r="Z2862" s="77"/>
      <c r="AA2862" s="77"/>
      <c r="AB2862" s="77"/>
      <c r="AC2862" s="80" t="s">
        <v>10541</v>
      </c>
      <c r="AD2862" s="77" t="s">
        <v>10617</v>
      </c>
      <c r="AE2862" s="83" t="str">
        <f>HYPERLINK("https://twitter.com/tvcultura/status/1690082376951484416")</f>
        <v>https://twitter.com/tvcultura/status/1690082376951484416</v>
      </c>
      <c r="AF2862" s="79">
        <v>45149.810335648152</v>
      </c>
      <c r="AG2862" s="85">
        <v>45149</v>
      </c>
      <c r="AH2862" s="80" t="s">
        <v>13127</v>
      </c>
      <c r="AI2862" s="77" t="b">
        <v>0</v>
      </c>
      <c r="AJ2862" s="77"/>
      <c r="AK2862" s="77"/>
      <c r="AL2862" s="77"/>
      <c r="AM2862" s="77"/>
      <c r="AN2862" s="77"/>
      <c r="AO2862" s="77"/>
      <c r="AP2862" s="77"/>
      <c r="AQ2862" s="77"/>
      <c r="AR2862" s="77"/>
      <c r="AS2862" s="77"/>
      <c r="AT2862" s="77"/>
      <c r="AU2862" s="77"/>
      <c r="AV2862" s="83" t="str">
        <f>HYPERLINK("https://pbs.twimg.com/profile_images/1649150439605039104/ws2NLiGq_normal.jpg")</f>
        <v>https://pbs.twimg.com/profile_images/1649150439605039104/ws2NLiGq_normal.jpg</v>
      </c>
      <c r="AW2862" s="80" t="s">
        <v>18632</v>
      </c>
      <c r="AX2862" s="80" t="s">
        <v>18632</v>
      </c>
      <c r="AY2862" s="77"/>
      <c r="AZ2862" s="80" t="s">
        <v>20380</v>
      </c>
      <c r="BA2862" s="80" t="s">
        <v>20380</v>
      </c>
      <c r="BB2862" s="80" t="s">
        <v>20380</v>
      </c>
      <c r="BC2862" s="80" t="s">
        <v>18632</v>
      </c>
      <c r="BD2862" s="77">
        <v>14306125</v>
      </c>
      <c r="BE2862" s="77"/>
      <c r="BF2862" s="77"/>
      <c r="BG2862" s="77"/>
      <c r="BH2862" s="77"/>
      <c r="BI2862" s="77"/>
    </row>
    <row r="2863" spans="1:61" x14ac:dyDescent="0.25">
      <c r="A2863" s="62" t="s">
        <v>1140</v>
      </c>
      <c r="B2863" s="62" t="s">
        <v>1140</v>
      </c>
      <c r="C2863" s="63"/>
      <c r="D2863" s="64"/>
      <c r="E2863" s="65"/>
      <c r="F2863" s="66"/>
      <c r="G2863" s="63"/>
      <c r="H2863" s="67"/>
      <c r="I2863" s="68"/>
      <c r="J2863" s="68"/>
      <c r="K2863" s="32"/>
      <c r="L2863" s="75">
        <v>2863</v>
      </c>
      <c r="M2863" s="75"/>
      <c r="N2863" s="70"/>
      <c r="O2863" s="77" t="s">
        <v>179</v>
      </c>
      <c r="P2863" s="79">
        <v>45104.555300925924</v>
      </c>
      <c r="Q2863" s="77" t="s">
        <v>4619</v>
      </c>
      <c r="R2863" s="77">
        <v>2</v>
      </c>
      <c r="S2863" s="77">
        <v>5</v>
      </c>
      <c r="T2863" s="77">
        <v>0</v>
      </c>
      <c r="U2863" s="77">
        <v>1</v>
      </c>
      <c r="V2863" s="77">
        <v>1259</v>
      </c>
      <c r="W2863" s="80" t="s">
        <v>7665</v>
      </c>
      <c r="X2863" s="83" t="str">
        <f>HYPERLINK("https://cultura.uol.com.br/economia/noticias/2023/06/27/282_com-queda-na-inflacao-taxa-de-juros-pode-ser-reduzida-em-agosto-avalia-copom.html")</f>
        <v>https://cultura.uol.com.br/economia/noticias/2023/06/27/282_com-queda-na-inflacao-taxa-de-juros-pode-ser-reduzida-em-agosto-avalia-copom.html</v>
      </c>
      <c r="Y2863" s="77" t="s">
        <v>8611</v>
      </c>
      <c r="Z2863" s="77"/>
      <c r="AA2863" s="77"/>
      <c r="AB2863" s="77"/>
      <c r="AC2863" s="80" t="s">
        <v>10551</v>
      </c>
      <c r="AD2863" s="77" t="s">
        <v>10617</v>
      </c>
      <c r="AE2863" s="83" t="str">
        <f>HYPERLINK("https://twitter.com/tvcultura/status/1673682501259128834")</f>
        <v>https://twitter.com/tvcultura/status/1673682501259128834</v>
      </c>
      <c r="AF2863" s="79">
        <v>45104.555300925924</v>
      </c>
      <c r="AG2863" s="85">
        <v>45104</v>
      </c>
      <c r="AH2863" s="80" t="s">
        <v>13128</v>
      </c>
      <c r="AI2863" s="77" t="b">
        <v>0</v>
      </c>
      <c r="AJ2863" s="77"/>
      <c r="AK2863" s="77"/>
      <c r="AL2863" s="77"/>
      <c r="AM2863" s="77"/>
      <c r="AN2863" s="77"/>
      <c r="AO2863" s="77"/>
      <c r="AP2863" s="77"/>
      <c r="AQ2863" s="77"/>
      <c r="AR2863" s="77"/>
      <c r="AS2863" s="77"/>
      <c r="AT2863" s="77"/>
      <c r="AU2863" s="77"/>
      <c r="AV2863" s="83" t="str">
        <f>HYPERLINK("https://pbs.twimg.com/profile_images/1649150439605039104/ws2NLiGq_normal.jpg")</f>
        <v>https://pbs.twimg.com/profile_images/1649150439605039104/ws2NLiGq_normal.jpg</v>
      </c>
      <c r="AW2863" s="80" t="s">
        <v>18633</v>
      </c>
      <c r="AX2863" s="80" t="s">
        <v>18633</v>
      </c>
      <c r="AY2863" s="77"/>
      <c r="AZ2863" s="80" t="s">
        <v>20380</v>
      </c>
      <c r="BA2863" s="80" t="s">
        <v>20380</v>
      </c>
      <c r="BB2863" s="80" t="s">
        <v>20380</v>
      </c>
      <c r="BC2863" s="80" t="s">
        <v>18633</v>
      </c>
      <c r="BD2863" s="77">
        <v>14306125</v>
      </c>
      <c r="BE2863" s="77"/>
      <c r="BF2863" s="77"/>
      <c r="BG2863" s="77"/>
      <c r="BH2863" s="77"/>
      <c r="BI2863" s="77"/>
    </row>
    <row r="2864" spans="1:61" x14ac:dyDescent="0.25">
      <c r="A2864" s="62" t="s">
        <v>1140</v>
      </c>
      <c r="B2864" s="62" t="s">
        <v>1140</v>
      </c>
      <c r="C2864" s="63"/>
      <c r="D2864" s="64"/>
      <c r="E2864" s="65"/>
      <c r="F2864" s="66"/>
      <c r="G2864" s="63"/>
      <c r="H2864" s="67"/>
      <c r="I2864" s="68"/>
      <c r="J2864" s="68"/>
      <c r="K2864" s="32"/>
      <c r="L2864" s="75">
        <v>2864</v>
      </c>
      <c r="M2864" s="75"/>
      <c r="N2864" s="70"/>
      <c r="O2864" s="77" t="s">
        <v>179</v>
      </c>
      <c r="P2864" s="79">
        <v>45054.765324074076</v>
      </c>
      <c r="Q2864" s="77" t="s">
        <v>4620</v>
      </c>
      <c r="R2864" s="77">
        <v>0</v>
      </c>
      <c r="S2864" s="77">
        <v>9</v>
      </c>
      <c r="T2864" s="77">
        <v>0</v>
      </c>
      <c r="U2864" s="77">
        <v>0</v>
      </c>
      <c r="V2864" s="77">
        <v>1616</v>
      </c>
      <c r="W2864" s="80" t="s">
        <v>7666</v>
      </c>
      <c r="X2864" s="83" t="str">
        <f>HYPERLINK("https://cultura.uol.com.br/noticias/58522_haddad-indica-gabriel-galipolo-para-assumir-diretoria-de-politica-monetaria-do-banco-central.html")</f>
        <v>https://cultura.uol.com.br/noticias/58522_haddad-indica-gabriel-galipolo-para-assumir-diretoria-de-politica-monetaria-do-banco-central.html</v>
      </c>
      <c r="Y2864" s="77" t="s">
        <v>8611</v>
      </c>
      <c r="Z2864" s="77"/>
      <c r="AA2864" s="77"/>
      <c r="AB2864" s="77"/>
      <c r="AC2864" s="80" t="s">
        <v>10551</v>
      </c>
      <c r="AD2864" s="77" t="s">
        <v>10617</v>
      </c>
      <c r="AE2864" s="83" t="str">
        <f>HYPERLINK("https://twitter.com/tvcultura/status/1655639218020835336")</f>
        <v>https://twitter.com/tvcultura/status/1655639218020835336</v>
      </c>
      <c r="AF2864" s="79">
        <v>45054.765324074076</v>
      </c>
      <c r="AG2864" s="85">
        <v>45054</v>
      </c>
      <c r="AH2864" s="80" t="s">
        <v>13129</v>
      </c>
      <c r="AI2864" s="77" t="b">
        <v>0</v>
      </c>
      <c r="AJ2864" s="77"/>
      <c r="AK2864" s="77"/>
      <c r="AL2864" s="77"/>
      <c r="AM2864" s="77"/>
      <c r="AN2864" s="77"/>
      <c r="AO2864" s="77"/>
      <c r="AP2864" s="77"/>
      <c r="AQ2864" s="77"/>
      <c r="AR2864" s="77"/>
      <c r="AS2864" s="77"/>
      <c r="AT2864" s="77"/>
      <c r="AU2864" s="77"/>
      <c r="AV2864" s="83" t="str">
        <f>HYPERLINK("https://pbs.twimg.com/profile_images/1649150439605039104/ws2NLiGq_normal.jpg")</f>
        <v>https://pbs.twimg.com/profile_images/1649150439605039104/ws2NLiGq_normal.jpg</v>
      </c>
      <c r="AW2864" s="80" t="s">
        <v>18634</v>
      </c>
      <c r="AX2864" s="80" t="s">
        <v>18634</v>
      </c>
      <c r="AY2864" s="77"/>
      <c r="AZ2864" s="80" t="s">
        <v>20380</v>
      </c>
      <c r="BA2864" s="80" t="s">
        <v>20380</v>
      </c>
      <c r="BB2864" s="80" t="s">
        <v>20380</v>
      </c>
      <c r="BC2864" s="80" t="s">
        <v>18634</v>
      </c>
      <c r="BD2864" s="77">
        <v>14306125</v>
      </c>
      <c r="BE2864" s="77"/>
      <c r="BF2864" s="77"/>
      <c r="BG2864" s="77"/>
      <c r="BH2864" s="77"/>
      <c r="BI2864" s="77"/>
    </row>
    <row r="2865" spans="1:61" x14ac:dyDescent="0.25">
      <c r="A2865" s="62" t="s">
        <v>1140</v>
      </c>
      <c r="B2865" s="62" t="s">
        <v>1140</v>
      </c>
      <c r="C2865" s="63"/>
      <c r="D2865" s="64"/>
      <c r="E2865" s="65"/>
      <c r="F2865" s="66"/>
      <c r="G2865" s="63"/>
      <c r="H2865" s="67"/>
      <c r="I2865" s="68"/>
      <c r="J2865" s="68"/>
      <c r="K2865" s="32"/>
      <c r="L2865" s="75">
        <v>2865</v>
      </c>
      <c r="M2865" s="75"/>
      <c r="N2865" s="70"/>
      <c r="O2865" s="77" t="s">
        <v>179</v>
      </c>
      <c r="P2865" s="79">
        <v>45189.927986111114</v>
      </c>
      <c r="Q2865" s="77" t="s">
        <v>4621</v>
      </c>
      <c r="R2865" s="77">
        <v>1</v>
      </c>
      <c r="S2865" s="77">
        <v>6</v>
      </c>
      <c r="T2865" s="77">
        <v>0</v>
      </c>
      <c r="U2865" s="77">
        <v>0</v>
      </c>
      <c r="V2865" s="77">
        <v>1566</v>
      </c>
      <c r="W2865" s="80" t="s">
        <v>7661</v>
      </c>
      <c r="X2865" s="83" t="str">
        <f>HYPERLINK("https://cultura.uol.com.br/economia/noticias/2023/09/20/304_pela-segunda-vez-seguida-copom-reduz-a-taxa-selic-que-vai-de-1325-para-1275.html")</f>
        <v>https://cultura.uol.com.br/economia/noticias/2023/09/20/304_pela-segunda-vez-seguida-copom-reduz-a-taxa-selic-que-vai-de-1325-para-1275.html</v>
      </c>
      <c r="Y2865" s="77" t="s">
        <v>8611</v>
      </c>
      <c r="Z2865" s="77"/>
      <c r="AA2865" s="77"/>
      <c r="AB2865" s="77"/>
      <c r="AC2865" s="80" t="s">
        <v>10541</v>
      </c>
      <c r="AD2865" s="77" t="s">
        <v>10617</v>
      </c>
      <c r="AE2865" s="83" t="str">
        <f>HYPERLINK("https://twitter.com/tvcultura/status/1704620525673234599")</f>
        <v>https://twitter.com/tvcultura/status/1704620525673234599</v>
      </c>
      <c r="AF2865" s="79">
        <v>45189.927986111114</v>
      </c>
      <c r="AG2865" s="85">
        <v>45189</v>
      </c>
      <c r="AH2865" s="80" t="s">
        <v>13130</v>
      </c>
      <c r="AI2865" s="77" t="b">
        <v>0</v>
      </c>
      <c r="AJ2865" s="77"/>
      <c r="AK2865" s="77"/>
      <c r="AL2865" s="77"/>
      <c r="AM2865" s="77"/>
      <c r="AN2865" s="77"/>
      <c r="AO2865" s="77"/>
      <c r="AP2865" s="77"/>
      <c r="AQ2865" s="77"/>
      <c r="AR2865" s="77"/>
      <c r="AS2865" s="77"/>
      <c r="AT2865" s="77"/>
      <c r="AU2865" s="77"/>
      <c r="AV2865" s="83" t="str">
        <f>HYPERLINK("https://pbs.twimg.com/profile_images/1649150439605039104/ws2NLiGq_normal.jpg")</f>
        <v>https://pbs.twimg.com/profile_images/1649150439605039104/ws2NLiGq_normal.jpg</v>
      </c>
      <c r="AW2865" s="80" t="s">
        <v>18635</v>
      </c>
      <c r="AX2865" s="80" t="s">
        <v>18635</v>
      </c>
      <c r="AY2865" s="77"/>
      <c r="AZ2865" s="80" t="s">
        <v>20380</v>
      </c>
      <c r="BA2865" s="80" t="s">
        <v>20380</v>
      </c>
      <c r="BB2865" s="80" t="s">
        <v>20380</v>
      </c>
      <c r="BC2865" s="80" t="s">
        <v>18635</v>
      </c>
      <c r="BD2865" s="77">
        <v>14306125</v>
      </c>
      <c r="BE2865" s="77"/>
      <c r="BF2865" s="77"/>
      <c r="BG2865" s="77"/>
      <c r="BH2865" s="77"/>
      <c r="BI2865" s="77"/>
    </row>
    <row r="2866" spans="1:61" x14ac:dyDescent="0.25">
      <c r="A2866" s="62" t="s">
        <v>1140</v>
      </c>
      <c r="B2866" s="62" t="s">
        <v>1140</v>
      </c>
      <c r="C2866" s="63"/>
      <c r="D2866" s="64"/>
      <c r="E2866" s="65"/>
      <c r="F2866" s="66"/>
      <c r="G2866" s="63"/>
      <c r="H2866" s="67"/>
      <c r="I2866" s="68"/>
      <c r="J2866" s="68"/>
      <c r="K2866" s="32"/>
      <c r="L2866" s="75">
        <v>2866</v>
      </c>
      <c r="M2866" s="75"/>
      <c r="N2866" s="70"/>
      <c r="O2866" s="77" t="s">
        <v>179</v>
      </c>
      <c r="P2866" s="79">
        <v>45175.035150462965</v>
      </c>
      <c r="Q2866" s="77" t="s">
        <v>4622</v>
      </c>
      <c r="R2866" s="77">
        <v>0</v>
      </c>
      <c r="S2866" s="77">
        <v>4</v>
      </c>
      <c r="T2866" s="77">
        <v>0</v>
      </c>
      <c r="U2866" s="77">
        <v>0</v>
      </c>
      <c r="V2866" s="77">
        <v>1486</v>
      </c>
      <c r="W2866" s="80" t="s">
        <v>7667</v>
      </c>
      <c r="X2866" s="83" t="str">
        <f>HYPERLINK("https://cultura.uol.com.br/noticias/61119_caixa-economica-e-banco-do-brasil-promovem-1-transferencia-entre-bancos-publicos-com-o-drex-o-real-digital.html")</f>
        <v>https://cultura.uol.com.br/noticias/61119_caixa-economica-e-banco-do-brasil-promovem-1-transferencia-entre-bancos-publicos-com-o-drex-o-real-digital.html</v>
      </c>
      <c r="Y2866" s="77" t="s">
        <v>8611</v>
      </c>
      <c r="Z2866" s="77"/>
      <c r="AA2866" s="77"/>
      <c r="AB2866" s="77"/>
      <c r="AC2866" s="80" t="s">
        <v>10541</v>
      </c>
      <c r="AD2866" s="77" t="s">
        <v>10617</v>
      </c>
      <c r="AE2866" s="83" t="str">
        <f>HYPERLINK("https://twitter.com/tvcultura/status/1699223545547514221")</f>
        <v>https://twitter.com/tvcultura/status/1699223545547514221</v>
      </c>
      <c r="AF2866" s="79">
        <v>45175.035150462965</v>
      </c>
      <c r="AG2866" s="85">
        <v>45175</v>
      </c>
      <c r="AH2866" s="80" t="s">
        <v>13131</v>
      </c>
      <c r="AI2866" s="77" t="b">
        <v>0</v>
      </c>
      <c r="AJ2866" s="77"/>
      <c r="AK2866" s="77"/>
      <c r="AL2866" s="77"/>
      <c r="AM2866" s="77"/>
      <c r="AN2866" s="77"/>
      <c r="AO2866" s="77"/>
      <c r="AP2866" s="77"/>
      <c r="AQ2866" s="77"/>
      <c r="AR2866" s="77"/>
      <c r="AS2866" s="77"/>
      <c r="AT2866" s="77"/>
      <c r="AU2866" s="77"/>
      <c r="AV2866" s="83" t="str">
        <f>HYPERLINK("https://pbs.twimg.com/profile_images/1649150439605039104/ws2NLiGq_normal.jpg")</f>
        <v>https://pbs.twimg.com/profile_images/1649150439605039104/ws2NLiGq_normal.jpg</v>
      </c>
      <c r="AW2866" s="80" t="s">
        <v>18636</v>
      </c>
      <c r="AX2866" s="80" t="s">
        <v>18636</v>
      </c>
      <c r="AY2866" s="77"/>
      <c r="AZ2866" s="80" t="s">
        <v>20380</v>
      </c>
      <c r="BA2866" s="80" t="s">
        <v>20380</v>
      </c>
      <c r="BB2866" s="80" t="s">
        <v>20380</v>
      </c>
      <c r="BC2866" s="80" t="s">
        <v>18636</v>
      </c>
      <c r="BD2866" s="77">
        <v>14306125</v>
      </c>
      <c r="BE2866" s="77"/>
      <c r="BF2866" s="77"/>
      <c r="BG2866" s="77"/>
      <c r="BH2866" s="77"/>
      <c r="BI2866" s="77"/>
    </row>
    <row r="2867" spans="1:61" x14ac:dyDescent="0.25">
      <c r="A2867" s="62" t="s">
        <v>1140</v>
      </c>
      <c r="B2867" s="62" t="s">
        <v>1140</v>
      </c>
      <c r="C2867" s="63"/>
      <c r="D2867" s="64"/>
      <c r="E2867" s="65"/>
      <c r="F2867" s="66"/>
      <c r="G2867" s="63"/>
      <c r="H2867" s="67"/>
      <c r="I2867" s="68"/>
      <c r="J2867" s="68"/>
      <c r="K2867" s="32"/>
      <c r="L2867" s="75">
        <v>2867</v>
      </c>
      <c r="M2867" s="75"/>
      <c r="N2867" s="70"/>
      <c r="O2867" s="77" t="s">
        <v>179</v>
      </c>
      <c r="P2867" s="79">
        <v>45091.83766203704</v>
      </c>
      <c r="Q2867" s="77" t="s">
        <v>4623</v>
      </c>
      <c r="R2867" s="77">
        <v>0</v>
      </c>
      <c r="S2867" s="77">
        <v>5</v>
      </c>
      <c r="T2867" s="77">
        <v>0</v>
      </c>
      <c r="U2867" s="77">
        <v>0</v>
      </c>
      <c r="V2867" s="77">
        <v>1275</v>
      </c>
      <c r="W2867" s="80" t="s">
        <v>7668</v>
      </c>
      <c r="X2867" s="83" t="str">
        <f>HYPERLINK("https://cultura.uol.com.br/economia/noticias/2023/06/14/275_banco-central-dos-estados-unidos-quebra-ciclo-de-alta-e-mantem-taxa-de-juros-entre-5-e-525.html")</f>
        <v>https://cultura.uol.com.br/economia/noticias/2023/06/14/275_banco-central-dos-estados-unidos-quebra-ciclo-de-alta-e-mantem-taxa-de-juros-entre-5-e-525.html</v>
      </c>
      <c r="Y2867" s="77" t="s">
        <v>8611</v>
      </c>
      <c r="Z2867" s="77"/>
      <c r="AA2867" s="77"/>
      <c r="AB2867" s="77"/>
      <c r="AC2867" s="80" t="s">
        <v>10551</v>
      </c>
      <c r="AD2867" s="77" t="s">
        <v>10617</v>
      </c>
      <c r="AE2867" s="83" t="str">
        <f>HYPERLINK("https://twitter.com/tvcultura/status/1669073782206611456")</f>
        <v>https://twitter.com/tvcultura/status/1669073782206611456</v>
      </c>
      <c r="AF2867" s="79">
        <v>45091.83766203704</v>
      </c>
      <c r="AG2867" s="85">
        <v>45091</v>
      </c>
      <c r="AH2867" s="80" t="s">
        <v>13132</v>
      </c>
      <c r="AI2867" s="77" t="b">
        <v>0</v>
      </c>
      <c r="AJ2867" s="77"/>
      <c r="AK2867" s="77"/>
      <c r="AL2867" s="77"/>
      <c r="AM2867" s="77"/>
      <c r="AN2867" s="77"/>
      <c r="AO2867" s="77"/>
      <c r="AP2867" s="77"/>
      <c r="AQ2867" s="77"/>
      <c r="AR2867" s="77"/>
      <c r="AS2867" s="77"/>
      <c r="AT2867" s="77"/>
      <c r="AU2867" s="77"/>
      <c r="AV2867" s="83" t="str">
        <f>HYPERLINK("https://pbs.twimg.com/profile_images/1649150439605039104/ws2NLiGq_normal.jpg")</f>
        <v>https://pbs.twimg.com/profile_images/1649150439605039104/ws2NLiGq_normal.jpg</v>
      </c>
      <c r="AW2867" s="80" t="s">
        <v>18637</v>
      </c>
      <c r="AX2867" s="80" t="s">
        <v>18637</v>
      </c>
      <c r="AY2867" s="77"/>
      <c r="AZ2867" s="80" t="s">
        <v>20380</v>
      </c>
      <c r="BA2867" s="80" t="s">
        <v>20380</v>
      </c>
      <c r="BB2867" s="80" t="s">
        <v>20380</v>
      </c>
      <c r="BC2867" s="80" t="s">
        <v>18637</v>
      </c>
      <c r="BD2867" s="77">
        <v>14306125</v>
      </c>
      <c r="BE2867" s="77"/>
      <c r="BF2867" s="77"/>
      <c r="BG2867" s="77"/>
      <c r="BH2867" s="77"/>
      <c r="BI2867" s="77"/>
    </row>
    <row r="2868" spans="1:61" x14ac:dyDescent="0.25">
      <c r="A2868" s="62" t="s">
        <v>1141</v>
      </c>
      <c r="B2868" s="62" t="s">
        <v>1141</v>
      </c>
      <c r="C2868" s="63"/>
      <c r="D2868" s="64"/>
      <c r="E2868" s="65"/>
      <c r="F2868" s="66"/>
      <c r="G2868" s="63"/>
      <c r="H2868" s="67"/>
      <c r="I2868" s="68"/>
      <c r="J2868" s="68"/>
      <c r="K2868" s="32"/>
      <c r="L2868" s="75">
        <v>2868</v>
      </c>
      <c r="M2868" s="75"/>
      <c r="N2868" s="70"/>
      <c r="O2868" s="77" t="s">
        <v>179</v>
      </c>
      <c r="P2868" s="79">
        <v>45157.08898148148</v>
      </c>
      <c r="Q2868" s="77" t="s">
        <v>4624</v>
      </c>
      <c r="R2868" s="77">
        <v>0</v>
      </c>
      <c r="S2868" s="77">
        <v>1</v>
      </c>
      <c r="T2868" s="77">
        <v>0</v>
      </c>
      <c r="U2868" s="77">
        <v>0</v>
      </c>
      <c r="V2868" s="77">
        <v>59</v>
      </c>
      <c r="W2868" s="80" t="s">
        <v>7669</v>
      </c>
      <c r="X2868" s="83" t="str">
        <f>HYPERLINK("https://youtu.be/bCJIBkowQps")</f>
        <v>https://youtu.be/bCJIBkowQps</v>
      </c>
      <c r="Y2868" s="77" t="s">
        <v>8635</v>
      </c>
      <c r="Z2868" s="77"/>
      <c r="AA2868" s="77" t="s">
        <v>9962</v>
      </c>
      <c r="AB2868" s="77" t="s">
        <v>10535</v>
      </c>
      <c r="AC2868" s="80" t="s">
        <v>10542</v>
      </c>
      <c r="AD2868" s="77" t="s">
        <v>10620</v>
      </c>
      <c r="AE2868" s="83" t="str">
        <f>HYPERLINK("https://twitter.com/carlosescaffir/status/1692720070399537384")</f>
        <v>https://twitter.com/carlosescaffir/status/1692720070399537384</v>
      </c>
      <c r="AF2868" s="79">
        <v>45157.08898148148</v>
      </c>
      <c r="AG2868" s="85">
        <v>45157</v>
      </c>
      <c r="AH2868" s="80" t="s">
        <v>13133</v>
      </c>
      <c r="AI2868" s="77" t="b">
        <v>0</v>
      </c>
      <c r="AJ2868" s="77"/>
      <c r="AK2868" s="77"/>
      <c r="AL2868" s="77"/>
      <c r="AM2868" s="77"/>
      <c r="AN2868" s="77"/>
      <c r="AO2868" s="77"/>
      <c r="AP2868" s="77"/>
      <c r="AQ2868" s="77" t="s">
        <v>15443</v>
      </c>
      <c r="AR2868" s="77"/>
      <c r="AS2868" s="77"/>
      <c r="AT2868" s="77"/>
      <c r="AU2868" s="77"/>
      <c r="AV2868" s="83" t="str">
        <f>HYPERLINK("https://pbs.twimg.com/media/F32_7Y7XUAAcF04.jpg")</f>
        <v>https://pbs.twimg.com/media/F32_7Y7XUAAcF04.jpg</v>
      </c>
      <c r="AW2868" s="80" t="s">
        <v>18638</v>
      </c>
      <c r="AX2868" s="80" t="s">
        <v>18638</v>
      </c>
      <c r="AY2868" s="77"/>
      <c r="AZ2868" s="80" t="s">
        <v>20380</v>
      </c>
      <c r="BA2868" s="80" t="s">
        <v>20380</v>
      </c>
      <c r="BB2868" s="80" t="s">
        <v>20380</v>
      </c>
      <c r="BC2868" s="80" t="s">
        <v>18638</v>
      </c>
      <c r="BD2868" s="77">
        <v>4141989947</v>
      </c>
      <c r="BE2868" s="77"/>
      <c r="BF2868" s="77"/>
      <c r="BG2868" s="77"/>
      <c r="BH2868" s="77"/>
      <c r="BI2868" s="77"/>
    </row>
    <row r="2869" spans="1:61" x14ac:dyDescent="0.25">
      <c r="A2869" s="62" t="s">
        <v>1142</v>
      </c>
      <c r="B2869" s="62" t="s">
        <v>1761</v>
      </c>
      <c r="C2869" s="63"/>
      <c r="D2869" s="64"/>
      <c r="E2869" s="65"/>
      <c r="F2869" s="66"/>
      <c r="G2869" s="63"/>
      <c r="H2869" s="67"/>
      <c r="I2869" s="68"/>
      <c r="J2869" s="68"/>
      <c r="K2869" s="32"/>
      <c r="L2869" s="75">
        <v>2869</v>
      </c>
      <c r="M2869" s="75"/>
      <c r="N2869" s="70"/>
      <c r="O2869" s="77" t="s">
        <v>2078</v>
      </c>
      <c r="P2869" s="79">
        <v>45105.287986111114</v>
      </c>
      <c r="Q2869" s="77" t="s">
        <v>4625</v>
      </c>
      <c r="R2869" s="77">
        <v>0</v>
      </c>
      <c r="S2869" s="77">
        <v>0</v>
      </c>
      <c r="T2869" s="77">
        <v>0</v>
      </c>
      <c r="U2869" s="77">
        <v>0</v>
      </c>
      <c r="V2869" s="77">
        <v>18</v>
      </c>
      <c r="W2869" s="80" t="s">
        <v>7670</v>
      </c>
      <c r="X2869" s="77"/>
      <c r="Y2869" s="77"/>
      <c r="Z2869" s="77" t="s">
        <v>1761</v>
      </c>
      <c r="AA2869" s="77"/>
      <c r="AB2869" s="77"/>
      <c r="AC2869" s="80" t="s">
        <v>10541</v>
      </c>
      <c r="AD2869" s="77" t="s">
        <v>10617</v>
      </c>
      <c r="AE2869" s="83" t="str">
        <f>HYPERLINK("https://twitter.com/robiepaula/status/1673948015600586753")</f>
        <v>https://twitter.com/robiepaula/status/1673948015600586753</v>
      </c>
      <c r="AF2869" s="79">
        <v>45105.287986111114</v>
      </c>
      <c r="AG2869" s="85">
        <v>45105</v>
      </c>
      <c r="AH2869" s="80" t="s">
        <v>13134</v>
      </c>
      <c r="AI2869" s="77"/>
      <c r="AJ2869" s="77"/>
      <c r="AK2869" s="77"/>
      <c r="AL2869" s="77"/>
      <c r="AM2869" s="77"/>
      <c r="AN2869" s="77"/>
      <c r="AO2869" s="77"/>
      <c r="AP2869" s="77"/>
      <c r="AQ2869" s="77"/>
      <c r="AR2869" s="77"/>
      <c r="AS2869" s="77"/>
      <c r="AT2869" s="77"/>
      <c r="AU2869" s="77"/>
      <c r="AV2869" s="83" t="str">
        <f>HYPERLINK("https://pbs.twimg.com/profile_images/1361474510034251779/yhC8J7UE_normal.jpg")</f>
        <v>https://pbs.twimg.com/profile_images/1361474510034251779/yhC8J7UE_normal.jpg</v>
      </c>
      <c r="AW2869" s="80" t="s">
        <v>18639</v>
      </c>
      <c r="AX2869" s="80" t="s">
        <v>20076</v>
      </c>
      <c r="AY2869" s="80" t="s">
        <v>20239</v>
      </c>
      <c r="AZ2869" s="80" t="s">
        <v>20076</v>
      </c>
      <c r="BA2869" s="80" t="s">
        <v>20380</v>
      </c>
      <c r="BB2869" s="80" t="s">
        <v>20380</v>
      </c>
      <c r="BC2869" s="80" t="s">
        <v>20076</v>
      </c>
      <c r="BD2869" s="80" t="s">
        <v>20948</v>
      </c>
      <c r="BE2869" s="77"/>
      <c r="BF2869" s="77"/>
      <c r="BG2869" s="77"/>
      <c r="BH2869" s="77"/>
      <c r="BI2869" s="77"/>
    </row>
    <row r="2870" spans="1:61" x14ac:dyDescent="0.25">
      <c r="A2870" s="62" t="s">
        <v>1143</v>
      </c>
      <c r="B2870" s="62" t="s">
        <v>1143</v>
      </c>
      <c r="C2870" s="63"/>
      <c r="D2870" s="64"/>
      <c r="E2870" s="65"/>
      <c r="F2870" s="66"/>
      <c r="G2870" s="63"/>
      <c r="H2870" s="67"/>
      <c r="I2870" s="68"/>
      <c r="J2870" s="68"/>
      <c r="K2870" s="32"/>
      <c r="L2870" s="75">
        <v>2870</v>
      </c>
      <c r="M2870" s="75"/>
      <c r="N2870" s="70"/>
      <c r="O2870" s="77" t="s">
        <v>2078</v>
      </c>
      <c r="P2870" s="79">
        <v>45150.81077546296</v>
      </c>
      <c r="Q2870" s="77" t="s">
        <v>4626</v>
      </c>
      <c r="R2870" s="77">
        <v>0</v>
      </c>
      <c r="S2870" s="77">
        <v>0</v>
      </c>
      <c r="T2870" s="77">
        <v>1</v>
      </c>
      <c r="U2870" s="77">
        <v>0</v>
      </c>
      <c r="V2870" s="77">
        <v>69</v>
      </c>
      <c r="W2870" s="80" t="s">
        <v>5884</v>
      </c>
      <c r="X2870" s="77"/>
      <c r="Y2870" s="77"/>
      <c r="Z2870" s="77"/>
      <c r="AA2870" s="77"/>
      <c r="AB2870" s="77"/>
      <c r="AC2870" s="80" t="s">
        <v>10541</v>
      </c>
      <c r="AD2870" s="77" t="s">
        <v>10620</v>
      </c>
      <c r="AE2870" s="83" t="str">
        <f>HYPERLINK("https://twitter.com/politeiaarg/status/1690444922661277696")</f>
        <v>https://twitter.com/politeiaarg/status/1690444922661277696</v>
      </c>
      <c r="AF2870" s="79">
        <v>45150.81077546296</v>
      </c>
      <c r="AG2870" s="85">
        <v>45150</v>
      </c>
      <c r="AH2870" s="80" t="s">
        <v>13135</v>
      </c>
      <c r="AI2870" s="77"/>
      <c r="AJ2870" s="77"/>
      <c r="AK2870" s="77"/>
      <c r="AL2870" s="77"/>
      <c r="AM2870" s="77"/>
      <c r="AN2870" s="77"/>
      <c r="AO2870" s="77"/>
      <c r="AP2870" s="77"/>
      <c r="AQ2870" s="77"/>
      <c r="AR2870" s="77"/>
      <c r="AS2870" s="77"/>
      <c r="AT2870" s="77"/>
      <c r="AU2870" s="77"/>
      <c r="AV2870" s="83" t="str">
        <f>HYPERLINK("https://pbs.twimg.com/profile_images/1380505452992167936/mbPKgzR0_normal.jpg")</f>
        <v>https://pbs.twimg.com/profile_images/1380505452992167936/mbPKgzR0_normal.jpg</v>
      </c>
      <c r="AW2870" s="80" t="s">
        <v>18640</v>
      </c>
      <c r="AX2870" s="80" t="s">
        <v>20077</v>
      </c>
      <c r="AY2870" s="80" t="s">
        <v>20327</v>
      </c>
      <c r="AZ2870" s="80" t="s">
        <v>18641</v>
      </c>
      <c r="BA2870" s="80" t="s">
        <v>20380</v>
      </c>
      <c r="BB2870" s="80" t="s">
        <v>20380</v>
      </c>
      <c r="BC2870" s="80" t="s">
        <v>18641</v>
      </c>
      <c r="BD2870" s="80" t="s">
        <v>20327</v>
      </c>
      <c r="BE2870" s="77"/>
      <c r="BF2870" s="77"/>
      <c r="BG2870" s="77"/>
      <c r="BH2870" s="77"/>
      <c r="BI2870" s="77"/>
    </row>
    <row r="2871" spans="1:61" x14ac:dyDescent="0.25">
      <c r="A2871" s="62" t="s">
        <v>1143</v>
      </c>
      <c r="B2871" s="62" t="s">
        <v>1143</v>
      </c>
      <c r="C2871" s="63"/>
      <c r="D2871" s="64"/>
      <c r="E2871" s="65"/>
      <c r="F2871" s="66"/>
      <c r="G2871" s="63"/>
      <c r="H2871" s="67"/>
      <c r="I2871" s="68"/>
      <c r="J2871" s="68"/>
      <c r="K2871" s="32"/>
      <c r="L2871" s="75">
        <v>2871</v>
      </c>
      <c r="M2871" s="75"/>
      <c r="N2871" s="70"/>
      <c r="O2871" s="77" t="s">
        <v>2078</v>
      </c>
      <c r="P2871" s="79">
        <v>45150.810763888891</v>
      </c>
      <c r="Q2871" s="77" t="s">
        <v>4627</v>
      </c>
      <c r="R2871" s="77">
        <v>0</v>
      </c>
      <c r="S2871" s="77">
        <v>0</v>
      </c>
      <c r="T2871" s="77">
        <v>1</v>
      </c>
      <c r="U2871" s="77">
        <v>0</v>
      </c>
      <c r="V2871" s="77">
        <v>85</v>
      </c>
      <c r="W2871" s="80" t="s">
        <v>5884</v>
      </c>
      <c r="X2871" s="77"/>
      <c r="Y2871" s="77"/>
      <c r="Z2871" s="77"/>
      <c r="AA2871" s="77"/>
      <c r="AB2871" s="77"/>
      <c r="AC2871" s="80" t="s">
        <v>10541</v>
      </c>
      <c r="AD2871" s="77" t="s">
        <v>10620</v>
      </c>
      <c r="AE2871" s="83" t="str">
        <f>HYPERLINK("https://twitter.com/politeiaarg/status/1690444920266379264")</f>
        <v>https://twitter.com/politeiaarg/status/1690444920266379264</v>
      </c>
      <c r="AF2871" s="79">
        <v>45150.810763888891</v>
      </c>
      <c r="AG2871" s="85">
        <v>45150</v>
      </c>
      <c r="AH2871" s="80" t="s">
        <v>13136</v>
      </c>
      <c r="AI2871" s="77"/>
      <c r="AJ2871" s="77"/>
      <c r="AK2871" s="77"/>
      <c r="AL2871" s="77"/>
      <c r="AM2871" s="77"/>
      <c r="AN2871" s="77"/>
      <c r="AO2871" s="77"/>
      <c r="AP2871" s="77"/>
      <c r="AQ2871" s="77"/>
      <c r="AR2871" s="77"/>
      <c r="AS2871" s="77"/>
      <c r="AT2871" s="77"/>
      <c r="AU2871" s="77"/>
      <c r="AV2871" s="83" t="str">
        <f>HYPERLINK("https://pbs.twimg.com/profile_images/1380505452992167936/mbPKgzR0_normal.jpg")</f>
        <v>https://pbs.twimg.com/profile_images/1380505452992167936/mbPKgzR0_normal.jpg</v>
      </c>
      <c r="AW2871" s="80" t="s">
        <v>18641</v>
      </c>
      <c r="AX2871" s="80" t="s">
        <v>20077</v>
      </c>
      <c r="AY2871" s="80" t="s">
        <v>20327</v>
      </c>
      <c r="AZ2871" s="80" t="s">
        <v>20430</v>
      </c>
      <c r="BA2871" s="80" t="s">
        <v>20380</v>
      </c>
      <c r="BB2871" s="80" t="s">
        <v>20380</v>
      </c>
      <c r="BC2871" s="80" t="s">
        <v>20430</v>
      </c>
      <c r="BD2871" s="80" t="s">
        <v>20327</v>
      </c>
      <c r="BE2871" s="77"/>
      <c r="BF2871" s="77"/>
      <c r="BG2871" s="77"/>
      <c r="BH2871" s="77"/>
      <c r="BI2871" s="77"/>
    </row>
    <row r="2872" spans="1:61" x14ac:dyDescent="0.25">
      <c r="A2872" s="62" t="s">
        <v>1144</v>
      </c>
      <c r="B2872" s="62" t="s">
        <v>1144</v>
      </c>
      <c r="C2872" s="63"/>
      <c r="D2872" s="64"/>
      <c r="E2872" s="65"/>
      <c r="F2872" s="66"/>
      <c r="G2872" s="63"/>
      <c r="H2872" s="67"/>
      <c r="I2872" s="68"/>
      <c r="J2872" s="68"/>
      <c r="K2872" s="32"/>
      <c r="L2872" s="75">
        <v>2872</v>
      </c>
      <c r="M2872" s="75"/>
      <c r="N2872" s="70"/>
      <c r="O2872" s="77" t="s">
        <v>179</v>
      </c>
      <c r="P2872" s="79">
        <v>45139.879004629627</v>
      </c>
      <c r="Q2872" s="77" t="s">
        <v>4628</v>
      </c>
      <c r="R2872" s="77">
        <v>12</v>
      </c>
      <c r="S2872" s="77">
        <v>15</v>
      </c>
      <c r="T2872" s="77">
        <v>0</v>
      </c>
      <c r="U2872" s="77">
        <v>0</v>
      </c>
      <c r="V2872" s="77">
        <v>818</v>
      </c>
      <c r="W2872" s="80" t="s">
        <v>7671</v>
      </c>
      <c r="X2872" s="77"/>
      <c r="Y2872" s="77"/>
      <c r="Z2872" s="77"/>
      <c r="AA2872" s="77" t="s">
        <v>9963</v>
      </c>
      <c r="AB2872" s="77" t="s">
        <v>10534</v>
      </c>
      <c r="AC2872" s="80" t="s">
        <v>10541</v>
      </c>
      <c r="AD2872" s="77" t="s">
        <v>10620</v>
      </c>
      <c r="AE2872" s="83" t="str">
        <f>HYPERLINK("https://twitter.com/679evolucion/status/1686483381104648192")</f>
        <v>https://twitter.com/679evolucion/status/1686483381104648192</v>
      </c>
      <c r="AF2872" s="79">
        <v>45139.879004629627</v>
      </c>
      <c r="AG2872" s="85">
        <v>45139</v>
      </c>
      <c r="AH2872" s="80" t="s">
        <v>13137</v>
      </c>
      <c r="AI2872" s="77" t="b">
        <v>0</v>
      </c>
      <c r="AJ2872" s="77"/>
      <c r="AK2872" s="77"/>
      <c r="AL2872" s="77"/>
      <c r="AM2872" s="77"/>
      <c r="AN2872" s="77"/>
      <c r="AO2872" s="77"/>
      <c r="AP2872" s="77"/>
      <c r="AQ2872" s="77" t="s">
        <v>15444</v>
      </c>
      <c r="AR2872" s="77">
        <v>139100</v>
      </c>
      <c r="AS2872" s="77"/>
      <c r="AT2872" s="77"/>
      <c r="AU2872" s="77"/>
      <c r="AV2872" s="83" t="str">
        <f>HYPERLINK("https://pbs.twimg.com/ext_tw_video_thumb/1686480883111669760/pu/img/iRZgKXGLSQ16dlZl.jpg")</f>
        <v>https://pbs.twimg.com/ext_tw_video_thumb/1686480883111669760/pu/img/iRZgKXGLSQ16dlZl.jpg</v>
      </c>
      <c r="AW2872" s="80" t="s">
        <v>18642</v>
      </c>
      <c r="AX2872" s="80" t="s">
        <v>18642</v>
      </c>
      <c r="AY2872" s="77"/>
      <c r="AZ2872" s="80" t="s">
        <v>20380</v>
      </c>
      <c r="BA2872" s="80" t="s">
        <v>20380</v>
      </c>
      <c r="BB2872" s="80" t="s">
        <v>20380</v>
      </c>
      <c r="BC2872" s="80" t="s">
        <v>18642</v>
      </c>
      <c r="BD2872" s="80" t="s">
        <v>20949</v>
      </c>
      <c r="BE2872" s="77"/>
      <c r="BF2872" s="77"/>
      <c r="BG2872" s="77"/>
      <c r="BH2872" s="77"/>
      <c r="BI2872" s="77"/>
    </row>
    <row r="2873" spans="1:61" x14ac:dyDescent="0.25">
      <c r="A2873" s="62" t="s">
        <v>1145</v>
      </c>
      <c r="B2873" s="62" t="s">
        <v>1827</v>
      </c>
      <c r="C2873" s="63"/>
      <c r="D2873" s="64"/>
      <c r="E2873" s="65"/>
      <c r="F2873" s="66"/>
      <c r="G2873" s="63"/>
      <c r="H2873" s="67"/>
      <c r="I2873" s="68"/>
      <c r="J2873" s="68"/>
      <c r="K2873" s="32"/>
      <c r="L2873" s="75">
        <v>2873</v>
      </c>
      <c r="M2873" s="75"/>
      <c r="N2873" s="70"/>
      <c r="O2873" s="77" t="s">
        <v>2081</v>
      </c>
      <c r="P2873" s="79">
        <v>45077.962222222224</v>
      </c>
      <c r="Q2873" s="77" t="s">
        <v>4629</v>
      </c>
      <c r="R2873" s="77">
        <v>1</v>
      </c>
      <c r="S2873" s="77">
        <v>1</v>
      </c>
      <c r="T2873" s="77">
        <v>0</v>
      </c>
      <c r="U2873" s="77">
        <v>0</v>
      </c>
      <c r="V2873" s="77">
        <v>29</v>
      </c>
      <c r="W2873" s="80" t="s">
        <v>7672</v>
      </c>
      <c r="X2873" s="83" t="str">
        <f>HYPERLINK("https://youtu.be/Kx1VPdbBBeo")</f>
        <v>https://youtu.be/Kx1VPdbBBeo</v>
      </c>
      <c r="Y2873" s="77" t="s">
        <v>8635</v>
      </c>
      <c r="Z2873" s="77" t="s">
        <v>1827</v>
      </c>
      <c r="AA2873" s="77"/>
      <c r="AB2873" s="77"/>
      <c r="AC2873" s="80" t="s">
        <v>10541</v>
      </c>
      <c r="AD2873" s="77" t="s">
        <v>10620</v>
      </c>
      <c r="AE2873" s="83" t="str">
        <f>HYPERLINK("https://twitter.com/medinamateo6/status/1664045490831327237")</f>
        <v>https://twitter.com/medinamateo6/status/1664045490831327237</v>
      </c>
      <c r="AF2873" s="79">
        <v>45077.962222222224</v>
      </c>
      <c r="AG2873" s="85">
        <v>45077</v>
      </c>
      <c r="AH2873" s="80" t="s">
        <v>13138</v>
      </c>
      <c r="AI2873" s="77" t="b">
        <v>0</v>
      </c>
      <c r="AJ2873" s="77"/>
      <c r="AK2873" s="77"/>
      <c r="AL2873" s="77"/>
      <c r="AM2873" s="77"/>
      <c r="AN2873" s="77"/>
      <c r="AO2873" s="77"/>
      <c r="AP2873" s="77"/>
      <c r="AQ2873" s="77"/>
      <c r="AR2873" s="77"/>
      <c r="AS2873" s="77"/>
      <c r="AT2873" s="77"/>
      <c r="AU2873" s="77"/>
      <c r="AV2873" s="83" t="str">
        <f>HYPERLINK("https://pbs.twimg.com/profile_images/1674880722304114689/TfrlObOi_normal.jpg")</f>
        <v>https://pbs.twimg.com/profile_images/1674880722304114689/TfrlObOi_normal.jpg</v>
      </c>
      <c r="AW2873" s="80" t="s">
        <v>18643</v>
      </c>
      <c r="AX2873" s="80" t="s">
        <v>18643</v>
      </c>
      <c r="AY2873" s="77"/>
      <c r="AZ2873" s="80" t="s">
        <v>20380</v>
      </c>
      <c r="BA2873" s="80" t="s">
        <v>20380</v>
      </c>
      <c r="BB2873" s="80" t="s">
        <v>20380</v>
      </c>
      <c r="BC2873" s="80" t="s">
        <v>18643</v>
      </c>
      <c r="BD2873" s="80" t="s">
        <v>20950</v>
      </c>
      <c r="BE2873" s="77"/>
      <c r="BF2873" s="77"/>
      <c r="BG2873" s="77"/>
      <c r="BH2873" s="77"/>
      <c r="BI2873" s="77"/>
    </row>
    <row r="2874" spans="1:61" x14ac:dyDescent="0.25">
      <c r="A2874" s="62" t="s">
        <v>1145</v>
      </c>
      <c r="B2874" s="62" t="s">
        <v>1827</v>
      </c>
      <c r="C2874" s="63"/>
      <c r="D2874" s="64"/>
      <c r="E2874" s="65"/>
      <c r="F2874" s="66"/>
      <c r="G2874" s="63"/>
      <c r="H2874" s="67"/>
      <c r="I2874" s="68"/>
      <c r="J2874" s="68"/>
      <c r="K2874" s="32"/>
      <c r="L2874" s="75">
        <v>2874</v>
      </c>
      <c r="M2874" s="75"/>
      <c r="N2874" s="70"/>
      <c r="O2874" s="77" t="s">
        <v>2081</v>
      </c>
      <c r="P2874" s="79">
        <v>45107.083865740744</v>
      </c>
      <c r="Q2874" s="77" t="s">
        <v>4630</v>
      </c>
      <c r="R2874" s="77">
        <v>1</v>
      </c>
      <c r="S2874" s="77">
        <v>1</v>
      </c>
      <c r="T2874" s="77">
        <v>0</v>
      </c>
      <c r="U2874" s="77">
        <v>0</v>
      </c>
      <c r="V2874" s="77">
        <v>146</v>
      </c>
      <c r="W2874" s="80" t="s">
        <v>7673</v>
      </c>
      <c r="X2874" s="83" t="str">
        <f>HYPERLINK("https://youtu.be/briCXkNbPDU")</f>
        <v>https://youtu.be/briCXkNbPDU</v>
      </c>
      <c r="Y2874" s="77" t="s">
        <v>8635</v>
      </c>
      <c r="Z2874" s="77" t="s">
        <v>1827</v>
      </c>
      <c r="AA2874" s="77"/>
      <c r="AB2874" s="77"/>
      <c r="AC2874" s="80" t="s">
        <v>10541</v>
      </c>
      <c r="AD2874" s="77" t="s">
        <v>10624</v>
      </c>
      <c r="AE2874" s="83" t="str">
        <f>HYPERLINK("https://twitter.com/medinamateo6/status/1674598824604577794")</f>
        <v>https://twitter.com/medinamateo6/status/1674598824604577794</v>
      </c>
      <c r="AF2874" s="79">
        <v>45107.083865740744</v>
      </c>
      <c r="AG2874" s="85">
        <v>45107</v>
      </c>
      <c r="AH2874" s="80" t="s">
        <v>13139</v>
      </c>
      <c r="AI2874" s="77" t="b">
        <v>0</v>
      </c>
      <c r="AJ2874" s="77"/>
      <c r="AK2874" s="77"/>
      <c r="AL2874" s="77"/>
      <c r="AM2874" s="77"/>
      <c r="AN2874" s="77"/>
      <c r="AO2874" s="77"/>
      <c r="AP2874" s="77"/>
      <c r="AQ2874" s="77"/>
      <c r="AR2874" s="77"/>
      <c r="AS2874" s="77"/>
      <c r="AT2874" s="77"/>
      <c r="AU2874" s="77"/>
      <c r="AV2874" s="83" t="str">
        <f>HYPERLINK("https://pbs.twimg.com/profile_images/1674880722304114689/TfrlObOi_normal.jpg")</f>
        <v>https://pbs.twimg.com/profile_images/1674880722304114689/TfrlObOi_normal.jpg</v>
      </c>
      <c r="AW2874" s="80" t="s">
        <v>18644</v>
      </c>
      <c r="AX2874" s="80" t="s">
        <v>18644</v>
      </c>
      <c r="AY2874" s="77"/>
      <c r="AZ2874" s="80" t="s">
        <v>20380</v>
      </c>
      <c r="BA2874" s="80" t="s">
        <v>20380</v>
      </c>
      <c r="BB2874" s="80" t="s">
        <v>20380</v>
      </c>
      <c r="BC2874" s="80" t="s">
        <v>18644</v>
      </c>
      <c r="BD2874" s="80" t="s">
        <v>20950</v>
      </c>
      <c r="BE2874" s="77"/>
      <c r="BF2874" s="77"/>
      <c r="BG2874" s="77"/>
      <c r="BH2874" s="77"/>
      <c r="BI2874" s="77"/>
    </row>
    <row r="2875" spans="1:61" x14ac:dyDescent="0.25">
      <c r="A2875" s="62" t="s">
        <v>1146</v>
      </c>
      <c r="B2875" s="62" t="s">
        <v>1971</v>
      </c>
      <c r="C2875" s="63"/>
      <c r="D2875" s="64"/>
      <c r="E2875" s="65"/>
      <c r="F2875" s="66"/>
      <c r="G2875" s="63"/>
      <c r="H2875" s="67"/>
      <c r="I2875" s="68"/>
      <c r="J2875" s="68"/>
      <c r="K2875" s="32"/>
      <c r="L2875" s="75">
        <v>2875</v>
      </c>
      <c r="M2875" s="75"/>
      <c r="N2875" s="70"/>
      <c r="O2875" s="77" t="s">
        <v>2084</v>
      </c>
      <c r="P2875" s="79">
        <v>45175.141493055555</v>
      </c>
      <c r="Q2875" s="77" t="s">
        <v>4631</v>
      </c>
      <c r="R2875" s="77">
        <v>0</v>
      </c>
      <c r="S2875" s="77">
        <v>0</v>
      </c>
      <c r="T2875" s="77">
        <v>0</v>
      </c>
      <c r="U2875" s="77">
        <v>0</v>
      </c>
      <c r="V2875" s="77">
        <v>53</v>
      </c>
      <c r="W2875" s="80" t="s">
        <v>7674</v>
      </c>
      <c r="X2875" s="77"/>
      <c r="Y2875" s="77"/>
      <c r="Z2875" s="77" t="s">
        <v>1971</v>
      </c>
      <c r="AA2875" s="77"/>
      <c r="AB2875" s="77"/>
      <c r="AC2875" s="80" t="s">
        <v>10540</v>
      </c>
      <c r="AD2875" s="77" t="s">
        <v>10620</v>
      </c>
      <c r="AE2875" s="83" t="str">
        <f>HYPERLINK("https://twitter.com/rhfuenzespin/status/1699262082116472980")</f>
        <v>https://twitter.com/rhfuenzespin/status/1699262082116472980</v>
      </c>
      <c r="AF2875" s="79">
        <v>45175.141493055555</v>
      </c>
      <c r="AG2875" s="85">
        <v>45175</v>
      </c>
      <c r="AH2875" s="80" t="s">
        <v>13140</v>
      </c>
      <c r="AI2875" s="77"/>
      <c r="AJ2875" s="77"/>
      <c r="AK2875" s="77"/>
      <c r="AL2875" s="77"/>
      <c r="AM2875" s="77"/>
      <c r="AN2875" s="77"/>
      <c r="AO2875" s="77"/>
      <c r="AP2875" s="77"/>
      <c r="AQ2875" s="77"/>
      <c r="AR2875" s="77"/>
      <c r="AS2875" s="77"/>
      <c r="AT2875" s="77"/>
      <c r="AU2875" s="77"/>
      <c r="AV2875" s="83" t="str">
        <f>HYPERLINK("https://pbs.twimg.com/profile_images/1667254293869600768/szzpL9SM_normal.jpg")</f>
        <v>https://pbs.twimg.com/profile_images/1667254293869600768/szzpL9SM_normal.jpg</v>
      </c>
      <c r="AW2875" s="80" t="s">
        <v>18645</v>
      </c>
      <c r="AX2875" s="80" t="s">
        <v>18645</v>
      </c>
      <c r="AY2875" s="77"/>
      <c r="AZ2875" s="80" t="s">
        <v>20380</v>
      </c>
      <c r="BA2875" s="80" t="s">
        <v>18653</v>
      </c>
      <c r="BB2875" s="80" t="s">
        <v>20380</v>
      </c>
      <c r="BC2875" s="80" t="s">
        <v>18653</v>
      </c>
      <c r="BD2875" s="80" t="s">
        <v>20951</v>
      </c>
      <c r="BE2875" s="77"/>
      <c r="BF2875" s="77"/>
      <c r="BG2875" s="77"/>
      <c r="BH2875" s="77"/>
      <c r="BI2875" s="77"/>
    </row>
    <row r="2876" spans="1:61" x14ac:dyDescent="0.25">
      <c r="A2876" s="62" t="s">
        <v>1147</v>
      </c>
      <c r="B2876" s="62" t="s">
        <v>1147</v>
      </c>
      <c r="C2876" s="63"/>
      <c r="D2876" s="64"/>
      <c r="E2876" s="65"/>
      <c r="F2876" s="66"/>
      <c r="G2876" s="63"/>
      <c r="H2876" s="67"/>
      <c r="I2876" s="68"/>
      <c r="J2876" s="68"/>
      <c r="K2876" s="32"/>
      <c r="L2876" s="75">
        <v>2876</v>
      </c>
      <c r="M2876" s="75"/>
      <c r="N2876" s="70"/>
      <c r="O2876" s="77" t="s">
        <v>179</v>
      </c>
      <c r="P2876" s="79">
        <v>45075.725694444445</v>
      </c>
      <c r="Q2876" s="77" t="s">
        <v>4632</v>
      </c>
      <c r="R2876" s="77">
        <v>9</v>
      </c>
      <c r="S2876" s="77">
        <v>8</v>
      </c>
      <c r="T2876" s="77">
        <v>3</v>
      </c>
      <c r="U2876" s="77">
        <v>3</v>
      </c>
      <c r="V2876" s="77">
        <v>15033</v>
      </c>
      <c r="W2876" s="80" t="s">
        <v>6692</v>
      </c>
      <c r="X2876" s="83" t="str">
        <f>HYPERLINK("https://tinyurl.com/46m8cpd5")</f>
        <v>https://tinyurl.com/46m8cpd5</v>
      </c>
      <c r="Y2876" s="77" t="s">
        <v>8670</v>
      </c>
      <c r="Z2876" s="77"/>
      <c r="AA2876" s="77" t="s">
        <v>9964</v>
      </c>
      <c r="AB2876" s="77" t="s">
        <v>10535</v>
      </c>
      <c r="AC2876" s="80" t="s">
        <v>10551</v>
      </c>
      <c r="AD2876" s="77" t="s">
        <v>10620</v>
      </c>
      <c r="AE2876" s="83" t="str">
        <f>HYPERLINK("https://twitter.com/elmostrador/status/1663235000551063560")</f>
        <v>https://twitter.com/elmostrador/status/1663235000551063560</v>
      </c>
      <c r="AF2876" s="79">
        <v>45075.725694444445</v>
      </c>
      <c r="AG2876" s="85">
        <v>45075</v>
      </c>
      <c r="AH2876" s="80" t="s">
        <v>13141</v>
      </c>
      <c r="AI2876" s="77" t="b">
        <v>0</v>
      </c>
      <c r="AJ2876" s="77"/>
      <c r="AK2876" s="77"/>
      <c r="AL2876" s="77"/>
      <c r="AM2876" s="77"/>
      <c r="AN2876" s="77"/>
      <c r="AO2876" s="77"/>
      <c r="AP2876" s="77"/>
      <c r="AQ2876" s="77" t="s">
        <v>15445</v>
      </c>
      <c r="AR2876" s="77"/>
      <c r="AS2876" s="77"/>
      <c r="AT2876" s="77"/>
      <c r="AU2876" s="77"/>
      <c r="AV2876" s="83" t="str">
        <f>HYPERLINK("https://pbs.twimg.com/media/FxT-Zd-XwB0zV8i.png")</f>
        <v>https://pbs.twimg.com/media/FxT-Zd-XwB0zV8i.png</v>
      </c>
      <c r="AW2876" s="80" t="s">
        <v>18646</v>
      </c>
      <c r="AX2876" s="80" t="s">
        <v>18646</v>
      </c>
      <c r="AY2876" s="77"/>
      <c r="AZ2876" s="80" t="s">
        <v>20380</v>
      </c>
      <c r="BA2876" s="80" t="s">
        <v>20380</v>
      </c>
      <c r="BB2876" s="80" t="s">
        <v>20380</v>
      </c>
      <c r="BC2876" s="80" t="s">
        <v>18646</v>
      </c>
      <c r="BD2876" s="77">
        <v>12815132</v>
      </c>
      <c r="BE2876" s="77"/>
      <c r="BF2876" s="77"/>
      <c r="BG2876" s="77"/>
      <c r="BH2876" s="77"/>
      <c r="BI2876" s="77"/>
    </row>
    <row r="2877" spans="1:61" x14ac:dyDescent="0.25">
      <c r="A2877" s="62" t="s">
        <v>1147</v>
      </c>
      <c r="B2877" s="62" t="s">
        <v>1147</v>
      </c>
      <c r="C2877" s="63"/>
      <c r="D2877" s="64"/>
      <c r="E2877" s="65"/>
      <c r="F2877" s="66"/>
      <c r="G2877" s="63"/>
      <c r="H2877" s="67"/>
      <c r="I2877" s="68"/>
      <c r="J2877" s="68"/>
      <c r="K2877" s="32"/>
      <c r="L2877" s="75">
        <v>2877</v>
      </c>
      <c r="M2877" s="75"/>
      <c r="N2877" s="70"/>
      <c r="O2877" s="77" t="s">
        <v>179</v>
      </c>
      <c r="P2877" s="79">
        <v>45082.569444444445</v>
      </c>
      <c r="Q2877" s="77" t="s">
        <v>4633</v>
      </c>
      <c r="R2877" s="77">
        <v>0</v>
      </c>
      <c r="S2877" s="77">
        <v>2</v>
      </c>
      <c r="T2877" s="77">
        <v>1</v>
      </c>
      <c r="U2877" s="77">
        <v>0</v>
      </c>
      <c r="V2877" s="77">
        <v>3204</v>
      </c>
      <c r="W2877" s="80" t="s">
        <v>5884</v>
      </c>
      <c r="X2877" s="83" t="str">
        <f>HYPERLINK("https://tinyurl.com/3k26dfd3")</f>
        <v>https://tinyurl.com/3k26dfd3</v>
      </c>
      <c r="Y2877" s="77" t="s">
        <v>8670</v>
      </c>
      <c r="Z2877" s="77"/>
      <c r="AA2877" s="77" t="s">
        <v>9965</v>
      </c>
      <c r="AB2877" s="77" t="s">
        <v>10535</v>
      </c>
      <c r="AC2877" s="80" t="s">
        <v>10551</v>
      </c>
      <c r="AD2877" s="77" t="s">
        <v>10620</v>
      </c>
      <c r="AE2877" s="83" t="str">
        <f>HYPERLINK("https://twitter.com/elmostrador/status/1665715092502233092")</f>
        <v>https://twitter.com/elmostrador/status/1665715092502233092</v>
      </c>
      <c r="AF2877" s="79">
        <v>45082.569444444445</v>
      </c>
      <c r="AG2877" s="85">
        <v>45082</v>
      </c>
      <c r="AH2877" s="80" t="s">
        <v>13142</v>
      </c>
      <c r="AI2877" s="77" t="b">
        <v>0</v>
      </c>
      <c r="AJ2877" s="77"/>
      <c r="AK2877" s="77"/>
      <c r="AL2877" s="77"/>
      <c r="AM2877" s="77"/>
      <c r="AN2877" s="77"/>
      <c r="AO2877" s="77"/>
      <c r="AP2877" s="77"/>
      <c r="AQ2877" s="77" t="s">
        <v>15446</v>
      </c>
      <c r="AR2877" s="77"/>
      <c r="AS2877" s="77"/>
      <c r="AT2877" s="77"/>
      <c r="AU2877" s="77"/>
      <c r="AV2877" s="83" t="str">
        <f>HYPERLINK("https://pbs.twimg.com/media/Fx3JMySWcAASP0V.jpg")</f>
        <v>https://pbs.twimg.com/media/Fx3JMySWcAASP0V.jpg</v>
      </c>
      <c r="AW2877" s="80" t="s">
        <v>18647</v>
      </c>
      <c r="AX2877" s="80" t="s">
        <v>18647</v>
      </c>
      <c r="AY2877" s="77"/>
      <c r="AZ2877" s="80" t="s">
        <v>20380</v>
      </c>
      <c r="BA2877" s="80" t="s">
        <v>20380</v>
      </c>
      <c r="BB2877" s="80" t="s">
        <v>20380</v>
      </c>
      <c r="BC2877" s="80" t="s">
        <v>18647</v>
      </c>
      <c r="BD2877" s="77">
        <v>12815132</v>
      </c>
      <c r="BE2877" s="77"/>
      <c r="BF2877" s="77"/>
      <c r="BG2877" s="77"/>
      <c r="BH2877" s="77"/>
      <c r="BI2877" s="77"/>
    </row>
    <row r="2878" spans="1:61" x14ac:dyDescent="0.25">
      <c r="A2878" s="62" t="s">
        <v>1147</v>
      </c>
      <c r="B2878" s="62" t="s">
        <v>1147</v>
      </c>
      <c r="C2878" s="63"/>
      <c r="D2878" s="64"/>
      <c r="E2878" s="65"/>
      <c r="F2878" s="66"/>
      <c r="G2878" s="63"/>
      <c r="H2878" s="67"/>
      <c r="I2878" s="68"/>
      <c r="J2878" s="68"/>
      <c r="K2878" s="32"/>
      <c r="L2878" s="75">
        <v>2878</v>
      </c>
      <c r="M2878" s="75"/>
      <c r="N2878" s="70"/>
      <c r="O2878" s="77" t="s">
        <v>179</v>
      </c>
      <c r="P2878" s="79">
        <v>45071.768518518518</v>
      </c>
      <c r="Q2878" s="77" t="s">
        <v>4634</v>
      </c>
      <c r="R2878" s="77">
        <v>2</v>
      </c>
      <c r="S2878" s="77">
        <v>2</v>
      </c>
      <c r="T2878" s="77">
        <v>1</v>
      </c>
      <c r="U2878" s="77">
        <v>0</v>
      </c>
      <c r="V2878" s="77">
        <v>3634</v>
      </c>
      <c r="W2878" s="80" t="s">
        <v>5884</v>
      </c>
      <c r="X2878" s="83" t="str">
        <f>HYPERLINK("https://tinyurl.com/y9as393z")</f>
        <v>https://tinyurl.com/y9as393z</v>
      </c>
      <c r="Y2878" s="77" t="s">
        <v>8670</v>
      </c>
      <c r="Z2878" s="77"/>
      <c r="AA2878" s="77" t="s">
        <v>9966</v>
      </c>
      <c r="AB2878" s="77" t="s">
        <v>10535</v>
      </c>
      <c r="AC2878" s="80" t="s">
        <v>10551</v>
      </c>
      <c r="AD2878" s="77" t="s">
        <v>10620</v>
      </c>
      <c r="AE2878" s="83" t="str">
        <f>HYPERLINK("https://twitter.com/elmostrador/status/1661800968273494042")</f>
        <v>https://twitter.com/elmostrador/status/1661800968273494042</v>
      </c>
      <c r="AF2878" s="79">
        <v>45071.768518518518</v>
      </c>
      <c r="AG2878" s="85">
        <v>45071</v>
      </c>
      <c r="AH2878" s="80" t="s">
        <v>13143</v>
      </c>
      <c r="AI2878" s="77" t="b">
        <v>0</v>
      </c>
      <c r="AJ2878" s="77"/>
      <c r="AK2878" s="77"/>
      <c r="AL2878" s="77"/>
      <c r="AM2878" s="77"/>
      <c r="AN2878" s="77"/>
      <c r="AO2878" s="77"/>
      <c r="AP2878" s="77"/>
      <c r="AQ2878" s="77" t="s">
        <v>15447</v>
      </c>
      <c r="AR2878" s="77"/>
      <c r="AS2878" s="77"/>
      <c r="AT2878" s="77"/>
      <c r="AU2878" s="77"/>
      <c r="AV2878" s="83" t="str">
        <f>HYPERLINK("https://pbs.twimg.com/media/Fw_nG5_XwAAZKwo.jpg")</f>
        <v>https://pbs.twimg.com/media/Fw_nG5_XwAAZKwo.jpg</v>
      </c>
      <c r="AW2878" s="80" t="s">
        <v>18648</v>
      </c>
      <c r="AX2878" s="80" t="s">
        <v>18648</v>
      </c>
      <c r="AY2878" s="77"/>
      <c r="AZ2878" s="80" t="s">
        <v>20380</v>
      </c>
      <c r="BA2878" s="80" t="s">
        <v>20380</v>
      </c>
      <c r="BB2878" s="80" t="s">
        <v>20380</v>
      </c>
      <c r="BC2878" s="80" t="s">
        <v>18648</v>
      </c>
      <c r="BD2878" s="77">
        <v>12815132</v>
      </c>
      <c r="BE2878" s="77"/>
      <c r="BF2878" s="77"/>
      <c r="BG2878" s="77"/>
      <c r="BH2878" s="77"/>
      <c r="BI2878" s="77"/>
    </row>
    <row r="2879" spans="1:61" x14ac:dyDescent="0.25">
      <c r="A2879" s="62" t="s">
        <v>1147</v>
      </c>
      <c r="B2879" s="62" t="s">
        <v>1147</v>
      </c>
      <c r="C2879" s="63"/>
      <c r="D2879" s="64"/>
      <c r="E2879" s="65"/>
      <c r="F2879" s="66"/>
      <c r="G2879" s="63"/>
      <c r="H2879" s="67"/>
      <c r="I2879" s="68"/>
      <c r="J2879" s="68"/>
      <c r="K2879" s="32"/>
      <c r="L2879" s="75">
        <v>2879</v>
      </c>
      <c r="M2879" s="75"/>
      <c r="N2879" s="70"/>
      <c r="O2879" s="77" t="s">
        <v>179</v>
      </c>
      <c r="P2879" s="79">
        <v>45089.754224537035</v>
      </c>
      <c r="Q2879" s="77" t="s">
        <v>4635</v>
      </c>
      <c r="R2879" s="77">
        <v>3</v>
      </c>
      <c r="S2879" s="77">
        <v>7</v>
      </c>
      <c r="T2879" s="77">
        <v>0</v>
      </c>
      <c r="U2879" s="77">
        <v>0</v>
      </c>
      <c r="V2879" s="77">
        <v>4249</v>
      </c>
      <c r="W2879" s="80" t="s">
        <v>5884</v>
      </c>
      <c r="X2879" s="83" t="str">
        <f>HYPERLINK("https://tinyurl.com/2p8c2wub")</f>
        <v>https://tinyurl.com/2p8c2wub</v>
      </c>
      <c r="Y2879" s="77" t="s">
        <v>8670</v>
      </c>
      <c r="Z2879" s="77"/>
      <c r="AA2879" s="77" t="s">
        <v>9967</v>
      </c>
      <c r="AB2879" s="77" t="s">
        <v>10535</v>
      </c>
      <c r="AC2879" s="80" t="s">
        <v>10551</v>
      </c>
      <c r="AD2879" s="77" t="s">
        <v>10620</v>
      </c>
      <c r="AE2879" s="83" t="str">
        <f>HYPERLINK("https://twitter.com/elmostrador/status/1668318769142194186")</f>
        <v>https://twitter.com/elmostrador/status/1668318769142194186</v>
      </c>
      <c r="AF2879" s="79">
        <v>45089.754224537035</v>
      </c>
      <c r="AG2879" s="85">
        <v>45089</v>
      </c>
      <c r="AH2879" s="80" t="s">
        <v>13144</v>
      </c>
      <c r="AI2879" s="77" t="b">
        <v>0</v>
      </c>
      <c r="AJ2879" s="77"/>
      <c r="AK2879" s="77"/>
      <c r="AL2879" s="77"/>
      <c r="AM2879" s="77"/>
      <c r="AN2879" s="77"/>
      <c r="AO2879" s="77"/>
      <c r="AP2879" s="77"/>
      <c r="AQ2879" s="77" t="s">
        <v>15448</v>
      </c>
      <c r="AR2879" s="77"/>
      <c r="AS2879" s="77"/>
      <c r="AT2879" s="77"/>
      <c r="AU2879" s="77"/>
      <c r="AV2879" s="83" t="str">
        <f>HYPERLINK("https://pbs.twimg.com/media/FycO-OXX0AETP6u.jpg")</f>
        <v>https://pbs.twimg.com/media/FycO-OXX0AETP6u.jpg</v>
      </c>
      <c r="AW2879" s="80" t="s">
        <v>18649</v>
      </c>
      <c r="AX2879" s="80" t="s">
        <v>18649</v>
      </c>
      <c r="AY2879" s="77"/>
      <c r="AZ2879" s="80" t="s">
        <v>20380</v>
      </c>
      <c r="BA2879" s="80" t="s">
        <v>20380</v>
      </c>
      <c r="BB2879" s="80" t="s">
        <v>20380</v>
      </c>
      <c r="BC2879" s="80" t="s">
        <v>18649</v>
      </c>
      <c r="BD2879" s="77">
        <v>12815132</v>
      </c>
      <c r="BE2879" s="77"/>
      <c r="BF2879" s="77"/>
      <c r="BG2879" s="77"/>
      <c r="BH2879" s="77"/>
      <c r="BI2879" s="77"/>
    </row>
    <row r="2880" spans="1:61" x14ac:dyDescent="0.25">
      <c r="A2880" s="62" t="s">
        <v>1147</v>
      </c>
      <c r="B2880" s="62" t="s">
        <v>1147</v>
      </c>
      <c r="C2880" s="63"/>
      <c r="D2880" s="64"/>
      <c r="E2880" s="65"/>
      <c r="F2880" s="66"/>
      <c r="G2880" s="63"/>
      <c r="H2880" s="67"/>
      <c r="I2880" s="68"/>
      <c r="J2880" s="68"/>
      <c r="K2880" s="32"/>
      <c r="L2880" s="75">
        <v>2880</v>
      </c>
      <c r="M2880" s="75"/>
      <c r="N2880" s="70"/>
      <c r="O2880" s="77" t="s">
        <v>179</v>
      </c>
      <c r="P2880" s="79">
        <v>45110.555555555555</v>
      </c>
      <c r="Q2880" s="77" t="s">
        <v>4636</v>
      </c>
      <c r="R2880" s="77">
        <v>2</v>
      </c>
      <c r="S2880" s="77">
        <v>2</v>
      </c>
      <c r="T2880" s="77">
        <v>1</v>
      </c>
      <c r="U2880" s="77">
        <v>0</v>
      </c>
      <c r="V2880" s="77">
        <v>3656</v>
      </c>
      <c r="W2880" s="80" t="s">
        <v>5884</v>
      </c>
      <c r="X2880" s="83" t="str">
        <f>HYPERLINK("https://tinyurl.com/aneymdcp")</f>
        <v>https://tinyurl.com/aneymdcp</v>
      </c>
      <c r="Y2880" s="77" t="s">
        <v>8670</v>
      </c>
      <c r="Z2880" s="77"/>
      <c r="AA2880" s="77" t="s">
        <v>9968</v>
      </c>
      <c r="AB2880" s="77" t="s">
        <v>10535</v>
      </c>
      <c r="AC2880" s="80" t="s">
        <v>10551</v>
      </c>
      <c r="AD2880" s="77" t="s">
        <v>10620</v>
      </c>
      <c r="AE2880" s="83" t="str">
        <f>HYPERLINK("https://twitter.com/elmostrador/status/1675856920048021505")</f>
        <v>https://twitter.com/elmostrador/status/1675856920048021505</v>
      </c>
      <c r="AF2880" s="79">
        <v>45110.555555555555</v>
      </c>
      <c r="AG2880" s="85">
        <v>45110</v>
      </c>
      <c r="AH2880" s="80" t="s">
        <v>13145</v>
      </c>
      <c r="AI2880" s="77" t="b">
        <v>0</v>
      </c>
      <c r="AJ2880" s="77"/>
      <c r="AK2880" s="77"/>
      <c r="AL2880" s="77"/>
      <c r="AM2880" s="77"/>
      <c r="AN2880" s="77"/>
      <c r="AO2880" s="77"/>
      <c r="AP2880" s="77"/>
      <c r="AQ2880" s="77" t="s">
        <v>15449</v>
      </c>
      <c r="AR2880" s="77"/>
      <c r="AS2880" s="77"/>
      <c r="AT2880" s="77"/>
      <c r="AU2880" s="77"/>
      <c r="AV2880" s="83" t="str">
        <f>HYPERLINK("https://pbs.twimg.com/media/F0HU7yKWAAIV6c1.jpg")</f>
        <v>https://pbs.twimg.com/media/F0HU7yKWAAIV6c1.jpg</v>
      </c>
      <c r="AW2880" s="80" t="s">
        <v>18650</v>
      </c>
      <c r="AX2880" s="80" t="s">
        <v>18650</v>
      </c>
      <c r="AY2880" s="77"/>
      <c r="AZ2880" s="80" t="s">
        <v>20380</v>
      </c>
      <c r="BA2880" s="80" t="s">
        <v>20380</v>
      </c>
      <c r="BB2880" s="80" t="s">
        <v>20380</v>
      </c>
      <c r="BC2880" s="80" t="s">
        <v>18650</v>
      </c>
      <c r="BD2880" s="77">
        <v>12815132</v>
      </c>
      <c r="BE2880" s="77"/>
      <c r="BF2880" s="77"/>
      <c r="BG2880" s="77"/>
      <c r="BH2880" s="77"/>
      <c r="BI2880" s="77"/>
    </row>
    <row r="2881" spans="1:61" x14ac:dyDescent="0.25">
      <c r="A2881" s="62" t="s">
        <v>1147</v>
      </c>
      <c r="B2881" s="62" t="s">
        <v>1147</v>
      </c>
      <c r="C2881" s="63"/>
      <c r="D2881" s="64"/>
      <c r="E2881" s="65"/>
      <c r="F2881" s="66"/>
      <c r="G2881" s="63"/>
      <c r="H2881" s="67"/>
      <c r="I2881" s="68"/>
      <c r="J2881" s="68"/>
      <c r="K2881" s="32"/>
      <c r="L2881" s="75">
        <v>2881</v>
      </c>
      <c r="M2881" s="75"/>
      <c r="N2881" s="70"/>
      <c r="O2881" s="77" t="s">
        <v>179</v>
      </c>
      <c r="P2881" s="79">
        <v>45064.702233796299</v>
      </c>
      <c r="Q2881" s="77" t="s">
        <v>4637</v>
      </c>
      <c r="R2881" s="77">
        <v>2</v>
      </c>
      <c r="S2881" s="77">
        <v>4</v>
      </c>
      <c r="T2881" s="77">
        <v>1</v>
      </c>
      <c r="U2881" s="77">
        <v>0</v>
      </c>
      <c r="V2881" s="77">
        <v>3970</v>
      </c>
      <c r="W2881" s="80" t="s">
        <v>6694</v>
      </c>
      <c r="X2881" s="83" t="str">
        <f>HYPERLINK("https://bit.ly/43cVbHL")</f>
        <v>https://bit.ly/43cVbHL</v>
      </c>
      <c r="Y2881" s="77" t="s">
        <v>8618</v>
      </c>
      <c r="Z2881" s="77"/>
      <c r="AA2881" s="77" t="s">
        <v>9969</v>
      </c>
      <c r="AB2881" s="77" t="s">
        <v>10535</v>
      </c>
      <c r="AC2881" s="80" t="s">
        <v>10551</v>
      </c>
      <c r="AD2881" s="77" t="s">
        <v>10620</v>
      </c>
      <c r="AE2881" s="83" t="str">
        <f>HYPERLINK("https://twitter.com/elmostrador/status/1659240234490396689")</f>
        <v>https://twitter.com/elmostrador/status/1659240234490396689</v>
      </c>
      <c r="AF2881" s="79">
        <v>45064.702233796299</v>
      </c>
      <c r="AG2881" s="85">
        <v>45064</v>
      </c>
      <c r="AH2881" s="80" t="s">
        <v>13146</v>
      </c>
      <c r="AI2881" s="77" t="b">
        <v>0</v>
      </c>
      <c r="AJ2881" s="77"/>
      <c r="AK2881" s="77"/>
      <c r="AL2881" s="77"/>
      <c r="AM2881" s="77"/>
      <c r="AN2881" s="77"/>
      <c r="AO2881" s="77"/>
      <c r="AP2881" s="77"/>
      <c r="AQ2881" s="77" t="s">
        <v>15450</v>
      </c>
      <c r="AR2881" s="77"/>
      <c r="AS2881" s="77"/>
      <c r="AT2881" s="77"/>
      <c r="AU2881" s="77"/>
      <c r="AV2881" s="83" t="str">
        <f>HYPERLINK("https://pbs.twimg.com/media/FwbOL8OXgAApsYN.jpg")</f>
        <v>https://pbs.twimg.com/media/FwbOL8OXgAApsYN.jpg</v>
      </c>
      <c r="AW2881" s="80" t="s">
        <v>18651</v>
      </c>
      <c r="AX2881" s="80" t="s">
        <v>18651</v>
      </c>
      <c r="AY2881" s="77"/>
      <c r="AZ2881" s="80" t="s">
        <v>20380</v>
      </c>
      <c r="BA2881" s="80" t="s">
        <v>20380</v>
      </c>
      <c r="BB2881" s="80" t="s">
        <v>20380</v>
      </c>
      <c r="BC2881" s="80" t="s">
        <v>18651</v>
      </c>
      <c r="BD2881" s="77">
        <v>12815132</v>
      </c>
      <c r="BE2881" s="77"/>
      <c r="BF2881" s="77"/>
      <c r="BG2881" s="77"/>
      <c r="BH2881" s="77"/>
      <c r="BI2881" s="77"/>
    </row>
    <row r="2882" spans="1:61" x14ac:dyDescent="0.25">
      <c r="A2882" s="62" t="s">
        <v>1147</v>
      </c>
      <c r="B2882" s="62" t="s">
        <v>1147</v>
      </c>
      <c r="C2882" s="63"/>
      <c r="D2882" s="64"/>
      <c r="E2882" s="65"/>
      <c r="F2882" s="66"/>
      <c r="G2882" s="63"/>
      <c r="H2882" s="67"/>
      <c r="I2882" s="68"/>
      <c r="J2882" s="68"/>
      <c r="K2882" s="32"/>
      <c r="L2882" s="75">
        <v>2882</v>
      </c>
      <c r="M2882" s="75"/>
      <c r="N2882" s="70"/>
      <c r="O2882" s="77" t="s">
        <v>179</v>
      </c>
      <c r="P2882" s="79">
        <v>45061.774108796293</v>
      </c>
      <c r="Q2882" s="77" t="s">
        <v>4638</v>
      </c>
      <c r="R2882" s="77">
        <v>0</v>
      </c>
      <c r="S2882" s="77">
        <v>0</v>
      </c>
      <c r="T2882" s="77">
        <v>0</v>
      </c>
      <c r="U2882" s="77">
        <v>0</v>
      </c>
      <c r="V2882" s="77">
        <v>4499</v>
      </c>
      <c r="W2882" s="80" t="s">
        <v>7675</v>
      </c>
      <c r="X2882" s="83" t="str">
        <f>HYPERLINK("https://bit.ly/3o5RwfV")</f>
        <v>https://bit.ly/3o5RwfV</v>
      </c>
      <c r="Y2882" s="77" t="s">
        <v>8618</v>
      </c>
      <c r="Z2882" s="77"/>
      <c r="AA2882" s="77" t="s">
        <v>9970</v>
      </c>
      <c r="AB2882" s="77" t="s">
        <v>10535</v>
      </c>
      <c r="AC2882" s="80" t="s">
        <v>10551</v>
      </c>
      <c r="AD2882" s="77" t="s">
        <v>10620</v>
      </c>
      <c r="AE2882" s="83" t="str">
        <f>HYPERLINK("https://twitter.com/elmostrador/status/1658179116393193494")</f>
        <v>https://twitter.com/elmostrador/status/1658179116393193494</v>
      </c>
      <c r="AF2882" s="79">
        <v>45061.774108796293</v>
      </c>
      <c r="AG2882" s="85">
        <v>45061</v>
      </c>
      <c r="AH2882" s="80" t="s">
        <v>13147</v>
      </c>
      <c r="AI2882" s="77" t="b">
        <v>0</v>
      </c>
      <c r="AJ2882" s="77"/>
      <c r="AK2882" s="77"/>
      <c r="AL2882" s="77"/>
      <c r="AM2882" s="77"/>
      <c r="AN2882" s="77"/>
      <c r="AO2882" s="77"/>
      <c r="AP2882" s="77"/>
      <c r="AQ2882" s="77" t="s">
        <v>15451</v>
      </c>
      <c r="AR2882" s="77"/>
      <c r="AS2882" s="77"/>
      <c r="AT2882" s="77"/>
      <c r="AU2882" s="77"/>
      <c r="AV2882" s="83" t="str">
        <f>HYPERLINK("https://pbs.twimg.com/media/FwMI6BcWYBgarxt.jpg")</f>
        <v>https://pbs.twimg.com/media/FwMI6BcWYBgarxt.jpg</v>
      </c>
      <c r="AW2882" s="80" t="s">
        <v>18652</v>
      </c>
      <c r="AX2882" s="80" t="s">
        <v>18652</v>
      </c>
      <c r="AY2882" s="77"/>
      <c r="AZ2882" s="80" t="s">
        <v>20380</v>
      </c>
      <c r="BA2882" s="80" t="s">
        <v>20380</v>
      </c>
      <c r="BB2882" s="80" t="s">
        <v>20380</v>
      </c>
      <c r="BC2882" s="80" t="s">
        <v>18652</v>
      </c>
      <c r="BD2882" s="77">
        <v>12815132</v>
      </c>
      <c r="BE2882" s="77"/>
      <c r="BF2882" s="77"/>
      <c r="BG2882" s="77"/>
      <c r="BH2882" s="77"/>
      <c r="BI2882" s="77"/>
    </row>
    <row r="2883" spans="1:61" x14ac:dyDescent="0.25">
      <c r="A2883" s="62" t="s">
        <v>1147</v>
      </c>
      <c r="B2883" s="62" t="s">
        <v>1147</v>
      </c>
      <c r="C2883" s="63"/>
      <c r="D2883" s="64"/>
      <c r="E2883" s="65"/>
      <c r="F2883" s="66"/>
      <c r="G2883" s="63"/>
      <c r="H2883" s="67"/>
      <c r="I2883" s="68"/>
      <c r="J2883" s="68"/>
      <c r="K2883" s="32"/>
      <c r="L2883" s="75">
        <v>2883</v>
      </c>
      <c r="M2883" s="75"/>
      <c r="N2883" s="70"/>
      <c r="O2883" s="77" t="s">
        <v>179</v>
      </c>
      <c r="P2883" s="79">
        <v>45174.879641203705</v>
      </c>
      <c r="Q2883" s="77" t="s">
        <v>4639</v>
      </c>
      <c r="R2883" s="77">
        <v>18</v>
      </c>
      <c r="S2883" s="77">
        <v>55</v>
      </c>
      <c r="T2883" s="77">
        <v>0</v>
      </c>
      <c r="U2883" s="77">
        <v>1</v>
      </c>
      <c r="V2883" s="77">
        <v>10098</v>
      </c>
      <c r="W2883" s="77"/>
      <c r="X2883" s="77"/>
      <c r="Y2883" s="77"/>
      <c r="Z2883" s="77"/>
      <c r="AA2883" s="77" t="s">
        <v>9971</v>
      </c>
      <c r="AB2883" s="77" t="s">
        <v>10539</v>
      </c>
      <c r="AC2883" s="80" t="s">
        <v>10555</v>
      </c>
      <c r="AD2883" s="77" t="s">
        <v>10620</v>
      </c>
      <c r="AE2883" s="83" t="str">
        <f>HYPERLINK("https://twitter.com/elmostrador/status/1699167189343846548")</f>
        <v>https://twitter.com/elmostrador/status/1699167189343846548</v>
      </c>
      <c r="AF2883" s="79">
        <v>45174.879641203705</v>
      </c>
      <c r="AG2883" s="85">
        <v>45174</v>
      </c>
      <c r="AH2883" s="80" t="s">
        <v>13148</v>
      </c>
      <c r="AI2883" s="77" t="b">
        <v>0</v>
      </c>
      <c r="AJ2883" s="77"/>
      <c r="AK2883" s="77"/>
      <c r="AL2883" s="77"/>
      <c r="AM2883" s="77"/>
      <c r="AN2883" s="77"/>
      <c r="AO2883" s="77"/>
      <c r="AP2883" s="77"/>
      <c r="AQ2883" s="77" t="s">
        <v>15452</v>
      </c>
      <c r="AR2883" s="77"/>
      <c r="AS2883" s="77"/>
      <c r="AT2883" s="77"/>
      <c r="AU2883" s="77"/>
      <c r="AV2883" s="83" t="str">
        <f>HYPERLINK("https://pbs.twimg.com/tweet_video_thumb/F5SndYiXwAAR1-H.jpg")</f>
        <v>https://pbs.twimg.com/tweet_video_thumb/F5SndYiXwAAR1-H.jpg</v>
      </c>
      <c r="AW2883" s="80" t="s">
        <v>18653</v>
      </c>
      <c r="AX2883" s="80" t="s">
        <v>18653</v>
      </c>
      <c r="AY2883" s="77"/>
      <c r="AZ2883" s="80" t="s">
        <v>20380</v>
      </c>
      <c r="BA2883" s="80" t="s">
        <v>20380</v>
      </c>
      <c r="BB2883" s="80" t="s">
        <v>20380</v>
      </c>
      <c r="BC2883" s="80" t="s">
        <v>18653</v>
      </c>
      <c r="BD2883" s="77">
        <v>12815132</v>
      </c>
      <c r="BE2883" s="77"/>
      <c r="BF2883" s="77"/>
      <c r="BG2883" s="77"/>
      <c r="BH2883" s="77"/>
      <c r="BI2883" s="77"/>
    </row>
    <row r="2884" spans="1:61" x14ac:dyDescent="0.25">
      <c r="A2884" s="62" t="s">
        <v>1147</v>
      </c>
      <c r="B2884" s="62" t="s">
        <v>1147</v>
      </c>
      <c r="C2884" s="63"/>
      <c r="D2884" s="64"/>
      <c r="E2884" s="65"/>
      <c r="F2884" s="66"/>
      <c r="G2884" s="63"/>
      <c r="H2884" s="67"/>
      <c r="I2884" s="68"/>
      <c r="J2884" s="68"/>
      <c r="K2884" s="32"/>
      <c r="L2884" s="75">
        <v>2884</v>
      </c>
      <c r="M2884" s="75"/>
      <c r="N2884" s="70"/>
      <c r="O2884" s="77" t="s">
        <v>179</v>
      </c>
      <c r="P2884" s="79">
        <v>45058.965925925928</v>
      </c>
      <c r="Q2884" s="77" t="s">
        <v>4640</v>
      </c>
      <c r="R2884" s="77">
        <v>3</v>
      </c>
      <c r="S2884" s="77">
        <v>3</v>
      </c>
      <c r="T2884" s="77">
        <v>0</v>
      </c>
      <c r="U2884" s="77">
        <v>0</v>
      </c>
      <c r="V2884" s="77">
        <v>5456</v>
      </c>
      <c r="W2884" s="80" t="s">
        <v>6693</v>
      </c>
      <c r="X2884" s="83" t="str">
        <f>HYPERLINK("https://bit.ly/44YfpGI")</f>
        <v>https://bit.ly/44YfpGI</v>
      </c>
      <c r="Y2884" s="77" t="s">
        <v>8618</v>
      </c>
      <c r="Z2884" s="77"/>
      <c r="AA2884" s="77" t="s">
        <v>9972</v>
      </c>
      <c r="AB2884" s="77" t="s">
        <v>10535</v>
      </c>
      <c r="AC2884" s="80" t="s">
        <v>10555</v>
      </c>
      <c r="AD2884" s="77" t="s">
        <v>10620</v>
      </c>
      <c r="AE2884" s="83" t="str">
        <f>HYPERLINK("https://twitter.com/elmostrador/status/1657161465751535618")</f>
        <v>https://twitter.com/elmostrador/status/1657161465751535618</v>
      </c>
      <c r="AF2884" s="79">
        <v>45058.965925925928</v>
      </c>
      <c r="AG2884" s="85">
        <v>45058</v>
      </c>
      <c r="AH2884" s="80" t="s">
        <v>13149</v>
      </c>
      <c r="AI2884" s="77" t="b">
        <v>0</v>
      </c>
      <c r="AJ2884" s="77"/>
      <c r="AK2884" s="77"/>
      <c r="AL2884" s="77"/>
      <c r="AM2884" s="77"/>
      <c r="AN2884" s="77"/>
      <c r="AO2884" s="77"/>
      <c r="AP2884" s="77"/>
      <c r="AQ2884" s="77" t="s">
        <v>15453</v>
      </c>
      <c r="AR2884" s="77"/>
      <c r="AS2884" s="77"/>
      <c r="AT2884" s="77"/>
      <c r="AU2884" s="77"/>
      <c r="AV2884" s="83" t="str">
        <f>HYPERLINK("https://pbs.twimg.com/media/Fv9rgT4XsAEnYpt.jpg")</f>
        <v>https://pbs.twimg.com/media/Fv9rgT4XsAEnYpt.jpg</v>
      </c>
      <c r="AW2884" s="80" t="s">
        <v>18654</v>
      </c>
      <c r="AX2884" s="80" t="s">
        <v>18654</v>
      </c>
      <c r="AY2884" s="77"/>
      <c r="AZ2884" s="80" t="s">
        <v>20380</v>
      </c>
      <c r="BA2884" s="80" t="s">
        <v>20380</v>
      </c>
      <c r="BB2884" s="80" t="s">
        <v>20380</v>
      </c>
      <c r="BC2884" s="80" t="s">
        <v>18654</v>
      </c>
      <c r="BD2884" s="77">
        <v>12815132</v>
      </c>
      <c r="BE2884" s="77"/>
      <c r="BF2884" s="77"/>
      <c r="BG2884" s="77"/>
      <c r="BH2884" s="77"/>
      <c r="BI2884" s="77"/>
    </row>
    <row r="2885" spans="1:61" x14ac:dyDescent="0.25">
      <c r="A2885" s="62" t="s">
        <v>1147</v>
      </c>
      <c r="B2885" s="62" t="s">
        <v>1147</v>
      </c>
      <c r="C2885" s="63"/>
      <c r="D2885" s="64"/>
      <c r="E2885" s="65"/>
      <c r="F2885" s="66"/>
      <c r="G2885" s="63"/>
      <c r="H2885" s="67"/>
      <c r="I2885" s="68"/>
      <c r="J2885" s="68"/>
      <c r="K2885" s="32"/>
      <c r="L2885" s="75">
        <v>2885</v>
      </c>
      <c r="M2885" s="75"/>
      <c r="N2885" s="70"/>
      <c r="O2885" s="77" t="s">
        <v>179</v>
      </c>
      <c r="P2885" s="79">
        <v>45058.857187499998</v>
      </c>
      <c r="Q2885" s="77" t="s">
        <v>4641</v>
      </c>
      <c r="R2885" s="77">
        <v>0</v>
      </c>
      <c r="S2885" s="77">
        <v>5</v>
      </c>
      <c r="T2885" s="77">
        <v>0</v>
      </c>
      <c r="U2885" s="77">
        <v>0</v>
      </c>
      <c r="V2885" s="77">
        <v>4261</v>
      </c>
      <c r="W2885" s="80" t="s">
        <v>5884</v>
      </c>
      <c r="X2885" s="83" t="str">
        <f>HYPERLINK("https://bit.ly/42uzL8N")</f>
        <v>https://bit.ly/42uzL8N</v>
      </c>
      <c r="Y2885" s="77" t="s">
        <v>8618</v>
      </c>
      <c r="Z2885" s="77"/>
      <c r="AA2885" s="77" t="s">
        <v>9973</v>
      </c>
      <c r="AB2885" s="77" t="s">
        <v>10535</v>
      </c>
      <c r="AC2885" s="80" t="s">
        <v>10555</v>
      </c>
      <c r="AD2885" s="77" t="s">
        <v>10620</v>
      </c>
      <c r="AE2885" s="83" t="str">
        <f>HYPERLINK("https://twitter.com/elmostrador/status/1657122060957634598")</f>
        <v>https://twitter.com/elmostrador/status/1657122060957634598</v>
      </c>
      <c r="AF2885" s="79">
        <v>45058.857187499998</v>
      </c>
      <c r="AG2885" s="85">
        <v>45058</v>
      </c>
      <c r="AH2885" s="80" t="s">
        <v>13150</v>
      </c>
      <c r="AI2885" s="77" t="b">
        <v>0</v>
      </c>
      <c r="AJ2885" s="77"/>
      <c r="AK2885" s="77"/>
      <c r="AL2885" s="77"/>
      <c r="AM2885" s="77"/>
      <c r="AN2885" s="77"/>
      <c r="AO2885" s="77"/>
      <c r="AP2885" s="77"/>
      <c r="AQ2885" s="77" t="s">
        <v>15454</v>
      </c>
      <c r="AR2885" s="77"/>
      <c r="AS2885" s="77"/>
      <c r="AT2885" s="77"/>
      <c r="AU2885" s="77"/>
      <c r="AV2885" s="83" t="str">
        <f>HYPERLINK("https://pbs.twimg.com/media/Fv9HtpYX0Bon3oj.jpg")</f>
        <v>https://pbs.twimg.com/media/Fv9HtpYX0Bon3oj.jpg</v>
      </c>
      <c r="AW2885" s="80" t="s">
        <v>18655</v>
      </c>
      <c r="AX2885" s="80" t="s">
        <v>18655</v>
      </c>
      <c r="AY2885" s="77"/>
      <c r="AZ2885" s="80" t="s">
        <v>20380</v>
      </c>
      <c r="BA2885" s="80" t="s">
        <v>20380</v>
      </c>
      <c r="BB2885" s="80" t="s">
        <v>20380</v>
      </c>
      <c r="BC2885" s="80" t="s">
        <v>18655</v>
      </c>
      <c r="BD2885" s="77">
        <v>12815132</v>
      </c>
      <c r="BE2885" s="77"/>
      <c r="BF2885" s="77"/>
      <c r="BG2885" s="77"/>
      <c r="BH2885" s="77"/>
      <c r="BI2885" s="77"/>
    </row>
    <row r="2886" spans="1:61" x14ac:dyDescent="0.25">
      <c r="A2886" s="62" t="s">
        <v>1146</v>
      </c>
      <c r="B2886" s="62" t="s">
        <v>1147</v>
      </c>
      <c r="C2886" s="63"/>
      <c r="D2886" s="64"/>
      <c r="E2886" s="65"/>
      <c r="F2886" s="66"/>
      <c r="G2886" s="63"/>
      <c r="H2886" s="67"/>
      <c r="I2886" s="68"/>
      <c r="J2886" s="68"/>
      <c r="K2886" s="32"/>
      <c r="L2886" s="75">
        <v>2886</v>
      </c>
      <c r="M2886" s="75"/>
      <c r="N2886" s="70"/>
      <c r="O2886" s="77" t="s">
        <v>2082</v>
      </c>
      <c r="P2886" s="79">
        <v>45175.141493055555</v>
      </c>
      <c r="Q2886" s="77" t="s">
        <v>4631</v>
      </c>
      <c r="R2886" s="77">
        <v>0</v>
      </c>
      <c r="S2886" s="77">
        <v>0</v>
      </c>
      <c r="T2886" s="77">
        <v>0</v>
      </c>
      <c r="U2886" s="77">
        <v>0</v>
      </c>
      <c r="V2886" s="77">
        <v>53</v>
      </c>
      <c r="W2886" s="80" t="s">
        <v>7674</v>
      </c>
      <c r="X2886" s="77"/>
      <c r="Y2886" s="77"/>
      <c r="Z2886" s="77" t="s">
        <v>1971</v>
      </c>
      <c r="AA2886" s="77"/>
      <c r="AB2886" s="77"/>
      <c r="AC2886" s="80" t="s">
        <v>10540</v>
      </c>
      <c r="AD2886" s="77" t="s">
        <v>10620</v>
      </c>
      <c r="AE2886" s="83" t="str">
        <f>HYPERLINK("https://twitter.com/rhfuenzespin/status/1699262082116472980")</f>
        <v>https://twitter.com/rhfuenzespin/status/1699262082116472980</v>
      </c>
      <c r="AF2886" s="79">
        <v>45175.141493055555</v>
      </c>
      <c r="AG2886" s="85">
        <v>45175</v>
      </c>
      <c r="AH2886" s="80" t="s">
        <v>13140</v>
      </c>
      <c r="AI2886" s="77"/>
      <c r="AJ2886" s="77"/>
      <c r="AK2886" s="77"/>
      <c r="AL2886" s="77"/>
      <c r="AM2886" s="77"/>
      <c r="AN2886" s="77"/>
      <c r="AO2886" s="77"/>
      <c r="AP2886" s="77"/>
      <c r="AQ2886" s="77"/>
      <c r="AR2886" s="77"/>
      <c r="AS2886" s="77"/>
      <c r="AT2886" s="77"/>
      <c r="AU2886" s="77"/>
      <c r="AV2886" s="83" t="str">
        <f>HYPERLINK("https://pbs.twimg.com/profile_images/1667254293869600768/szzpL9SM_normal.jpg")</f>
        <v>https://pbs.twimg.com/profile_images/1667254293869600768/szzpL9SM_normal.jpg</v>
      </c>
      <c r="AW2886" s="80" t="s">
        <v>18645</v>
      </c>
      <c r="AX2886" s="80" t="s">
        <v>18645</v>
      </c>
      <c r="AY2886" s="77"/>
      <c r="AZ2886" s="80" t="s">
        <v>20380</v>
      </c>
      <c r="BA2886" s="80" t="s">
        <v>18653</v>
      </c>
      <c r="BB2886" s="80" t="s">
        <v>20380</v>
      </c>
      <c r="BC2886" s="80" t="s">
        <v>18653</v>
      </c>
      <c r="BD2886" s="80" t="s">
        <v>20951</v>
      </c>
      <c r="BE2886" s="77"/>
      <c r="BF2886" s="77"/>
      <c r="BG2886" s="77"/>
      <c r="BH2886" s="77"/>
      <c r="BI2886" s="77"/>
    </row>
    <row r="2887" spans="1:61" x14ac:dyDescent="0.25">
      <c r="A2887" s="62" t="s">
        <v>1148</v>
      </c>
      <c r="B2887" s="62" t="s">
        <v>1148</v>
      </c>
      <c r="C2887" s="63"/>
      <c r="D2887" s="64"/>
      <c r="E2887" s="65"/>
      <c r="F2887" s="66"/>
      <c r="G2887" s="63"/>
      <c r="H2887" s="67"/>
      <c r="I2887" s="68"/>
      <c r="J2887" s="68"/>
      <c r="K2887" s="32"/>
      <c r="L2887" s="75">
        <v>2887</v>
      </c>
      <c r="M2887" s="75"/>
      <c r="N2887" s="70"/>
      <c r="O2887" s="77" t="s">
        <v>179</v>
      </c>
      <c r="P2887" s="79">
        <v>45049.445138888892</v>
      </c>
      <c r="Q2887" s="77" t="s">
        <v>4642</v>
      </c>
      <c r="R2887" s="77">
        <v>0</v>
      </c>
      <c r="S2887" s="77">
        <v>0</v>
      </c>
      <c r="T2887" s="77">
        <v>0</v>
      </c>
      <c r="U2887" s="77">
        <v>0</v>
      </c>
      <c r="V2887" s="77">
        <v>24</v>
      </c>
      <c r="W2887" s="80" t="s">
        <v>6250</v>
      </c>
      <c r="X2887" s="83" t="str">
        <f>HYPERLINK("https://www.modaisemfoco.com.br/noticias/pix-vai-ganhar-reforco-de-seguranca-a-partir-de-novembro")</f>
        <v>https://www.modaisemfoco.com.br/noticias/pix-vai-ganhar-reforco-de-seguranca-a-partir-de-novembro</v>
      </c>
      <c r="Y2887" s="77" t="s">
        <v>8611</v>
      </c>
      <c r="Z2887" s="77"/>
      <c r="AA2887" s="77"/>
      <c r="AB2887" s="77"/>
      <c r="AC2887" s="80" t="s">
        <v>10540</v>
      </c>
      <c r="AD2887" s="77" t="s">
        <v>10617</v>
      </c>
      <c r="AE2887" s="83" t="str">
        <f>HYPERLINK("https://twitter.com/modaisf/status/1653711245457932290")</f>
        <v>https://twitter.com/modaisf/status/1653711245457932290</v>
      </c>
      <c r="AF2887" s="79">
        <v>45049.445138888892</v>
      </c>
      <c r="AG2887" s="85">
        <v>45049</v>
      </c>
      <c r="AH2887" s="80" t="s">
        <v>13151</v>
      </c>
      <c r="AI2887" s="77" t="b">
        <v>0</v>
      </c>
      <c r="AJ2887" s="77"/>
      <c r="AK2887" s="77"/>
      <c r="AL2887" s="77"/>
      <c r="AM2887" s="77"/>
      <c r="AN2887" s="77"/>
      <c r="AO2887" s="77"/>
      <c r="AP2887" s="77"/>
      <c r="AQ2887" s="77"/>
      <c r="AR2887" s="77"/>
      <c r="AS2887" s="77"/>
      <c r="AT2887" s="77"/>
      <c r="AU2887" s="77"/>
      <c r="AV2887" s="83" t="str">
        <f>HYPERLINK("https://pbs.twimg.com/profile_images/1205121910360727553/8Ne0tQ5o_normal.jpg")</f>
        <v>https://pbs.twimg.com/profile_images/1205121910360727553/8Ne0tQ5o_normal.jpg</v>
      </c>
      <c r="AW2887" s="80" t="s">
        <v>18656</v>
      </c>
      <c r="AX2887" s="80" t="s">
        <v>18656</v>
      </c>
      <c r="AY2887" s="77"/>
      <c r="AZ2887" s="80" t="s">
        <v>20380</v>
      </c>
      <c r="BA2887" s="80" t="s">
        <v>20380</v>
      </c>
      <c r="BB2887" s="80" t="s">
        <v>20380</v>
      </c>
      <c r="BC2887" s="80" t="s">
        <v>18656</v>
      </c>
      <c r="BD2887" s="80" t="s">
        <v>20952</v>
      </c>
      <c r="BE2887" s="77"/>
      <c r="BF2887" s="77"/>
      <c r="BG2887" s="77"/>
      <c r="BH2887" s="77"/>
      <c r="BI2887" s="77"/>
    </row>
    <row r="2888" spans="1:61" x14ac:dyDescent="0.25">
      <c r="A2888" s="62" t="s">
        <v>1149</v>
      </c>
      <c r="B2888" s="62" t="s">
        <v>1149</v>
      </c>
      <c r="C2888" s="63"/>
      <c r="D2888" s="64"/>
      <c r="E2888" s="65"/>
      <c r="F2888" s="66"/>
      <c r="G2888" s="63"/>
      <c r="H2888" s="67"/>
      <c r="I2888" s="68"/>
      <c r="J2888" s="68"/>
      <c r="K2888" s="32"/>
      <c r="L2888" s="75">
        <v>2888</v>
      </c>
      <c r="M2888" s="75"/>
      <c r="N2888" s="70"/>
      <c r="O2888" s="77" t="s">
        <v>179</v>
      </c>
      <c r="P2888" s="79">
        <v>45138.922442129631</v>
      </c>
      <c r="Q2888" s="77" t="s">
        <v>4643</v>
      </c>
      <c r="R2888" s="77">
        <v>321</v>
      </c>
      <c r="S2888" s="77">
        <v>229</v>
      </c>
      <c r="T2888" s="77">
        <v>3</v>
      </c>
      <c r="U2888" s="77">
        <v>7</v>
      </c>
      <c r="V2888" s="77">
        <v>2573</v>
      </c>
      <c r="W2888" s="80" t="s">
        <v>7676</v>
      </c>
      <c r="X2888" s="83" t="str">
        <f>HYPERLINK("https://acortartu.link/sve2q")</f>
        <v>https://acortartu.link/sve2q</v>
      </c>
      <c r="Y2888" s="77" t="s">
        <v>8806</v>
      </c>
      <c r="Z2888" s="77"/>
      <c r="AA2888" s="77" t="s">
        <v>9974</v>
      </c>
      <c r="AB2888" s="77" t="s">
        <v>10535</v>
      </c>
      <c r="AC2888" s="80" t="s">
        <v>10540</v>
      </c>
      <c r="AD2888" s="77" t="s">
        <v>10620</v>
      </c>
      <c r="AE2888" s="83" t="str">
        <f>HYPERLINK("https://twitter.com/cubadebatecu/status/1686136734499672064")</f>
        <v>https://twitter.com/cubadebatecu/status/1686136734499672064</v>
      </c>
      <c r="AF2888" s="79">
        <v>45138.922442129631</v>
      </c>
      <c r="AG2888" s="85">
        <v>45138</v>
      </c>
      <c r="AH2888" s="80" t="s">
        <v>13152</v>
      </c>
      <c r="AI2888" s="77" t="b">
        <v>0</v>
      </c>
      <c r="AJ2888" s="77"/>
      <c r="AK2888" s="77"/>
      <c r="AL2888" s="77"/>
      <c r="AM2888" s="77"/>
      <c r="AN2888" s="77"/>
      <c r="AO2888" s="77"/>
      <c r="AP2888" s="77"/>
      <c r="AQ2888" s="77" t="s">
        <v>15455</v>
      </c>
      <c r="AR2888" s="77"/>
      <c r="AS2888" s="77"/>
      <c r="AT2888" s="77"/>
      <c r="AU2888" s="77"/>
      <c r="AV2888" s="83" t="str">
        <f>HYPERLINK("https://pbs.twimg.com/media/F2ZcbJpW4AASgqt.jpg")</f>
        <v>https://pbs.twimg.com/media/F2ZcbJpW4AASgqt.jpg</v>
      </c>
      <c r="AW2888" s="80" t="s">
        <v>18657</v>
      </c>
      <c r="AX2888" s="80" t="s">
        <v>18657</v>
      </c>
      <c r="AY2888" s="77"/>
      <c r="AZ2888" s="80" t="s">
        <v>20380</v>
      </c>
      <c r="BA2888" s="80" t="s">
        <v>20380</v>
      </c>
      <c r="BB2888" s="80" t="s">
        <v>20380</v>
      </c>
      <c r="BC2888" s="80" t="s">
        <v>18657</v>
      </c>
      <c r="BD2888" s="80" t="s">
        <v>20953</v>
      </c>
      <c r="BE2888" s="77"/>
      <c r="BF2888" s="77"/>
      <c r="BG2888" s="77"/>
      <c r="BH2888" s="77"/>
      <c r="BI2888" s="77"/>
    </row>
    <row r="2889" spans="1:61" x14ac:dyDescent="0.25">
      <c r="A2889" s="62" t="s">
        <v>1150</v>
      </c>
      <c r="B2889" s="62" t="s">
        <v>1149</v>
      </c>
      <c r="C2889" s="63"/>
      <c r="D2889" s="64"/>
      <c r="E2889" s="65"/>
      <c r="F2889" s="66"/>
      <c r="G2889" s="63"/>
      <c r="H2889" s="67"/>
      <c r="I2889" s="68"/>
      <c r="J2889" s="68"/>
      <c r="K2889" s="32"/>
      <c r="L2889" s="75">
        <v>2889</v>
      </c>
      <c r="M2889" s="75"/>
      <c r="N2889" s="70"/>
      <c r="O2889" s="77" t="s">
        <v>2082</v>
      </c>
      <c r="P2889" s="79">
        <v>45140.841805555552</v>
      </c>
      <c r="Q2889" s="77" t="s">
        <v>2656</v>
      </c>
      <c r="R2889" s="77">
        <v>0</v>
      </c>
      <c r="S2889" s="77">
        <v>0</v>
      </c>
      <c r="T2889" s="77">
        <v>0</v>
      </c>
      <c r="U2889" s="77">
        <v>0</v>
      </c>
      <c r="V2889" s="77">
        <v>9</v>
      </c>
      <c r="W2889" s="80" t="s">
        <v>5884</v>
      </c>
      <c r="X2889" s="77"/>
      <c r="Y2889" s="77"/>
      <c r="Z2889" s="77"/>
      <c r="AA2889" s="77"/>
      <c r="AB2889" s="77"/>
      <c r="AC2889" s="80" t="s">
        <v>10541</v>
      </c>
      <c r="AD2889" s="77" t="s">
        <v>10618</v>
      </c>
      <c r="AE2889" s="83" t="str">
        <f>HYPERLINK("https://twitter.com/gleidys82565095/status/1686832290557526016")</f>
        <v>https://twitter.com/gleidys82565095/status/1686832290557526016</v>
      </c>
      <c r="AF2889" s="79">
        <v>45140.841805555552</v>
      </c>
      <c r="AG2889" s="85">
        <v>45140</v>
      </c>
      <c r="AH2889" s="80" t="s">
        <v>13153</v>
      </c>
      <c r="AI2889" s="77"/>
      <c r="AJ2889" s="77"/>
      <c r="AK2889" s="77"/>
      <c r="AL2889" s="77"/>
      <c r="AM2889" s="77"/>
      <c r="AN2889" s="77"/>
      <c r="AO2889" s="77"/>
      <c r="AP2889" s="77"/>
      <c r="AQ2889" s="77"/>
      <c r="AR2889" s="77"/>
      <c r="AS2889" s="77"/>
      <c r="AT2889" s="77"/>
      <c r="AU2889" s="77"/>
      <c r="AV2889" s="83" t="str">
        <f>HYPERLINK("https://pbs.twimg.com/profile_images/1573434721467498497/gM23Ehtn_normal.jpg")</f>
        <v>https://pbs.twimg.com/profile_images/1573434721467498497/gM23Ehtn_normal.jpg</v>
      </c>
      <c r="AW2889" s="80" t="s">
        <v>18658</v>
      </c>
      <c r="AX2889" s="80" t="s">
        <v>18658</v>
      </c>
      <c r="AY2889" s="77"/>
      <c r="AZ2889" s="80" t="s">
        <v>20380</v>
      </c>
      <c r="BA2889" s="80" t="s">
        <v>18657</v>
      </c>
      <c r="BB2889" s="80" t="s">
        <v>20380</v>
      </c>
      <c r="BC2889" s="80" t="s">
        <v>18657</v>
      </c>
      <c r="BD2889" s="80" t="s">
        <v>20954</v>
      </c>
      <c r="BE2889" s="77"/>
      <c r="BF2889" s="77"/>
      <c r="BG2889" s="77"/>
      <c r="BH2889" s="77"/>
      <c r="BI2889" s="77"/>
    </row>
    <row r="2890" spans="1:61" x14ac:dyDescent="0.25">
      <c r="A2890" s="62" t="s">
        <v>1150</v>
      </c>
      <c r="B2890" s="62" t="s">
        <v>262</v>
      </c>
      <c r="C2890" s="63"/>
      <c r="D2890" s="64"/>
      <c r="E2890" s="65"/>
      <c r="F2890" s="66"/>
      <c r="G2890" s="63"/>
      <c r="H2890" s="67"/>
      <c r="I2890" s="68"/>
      <c r="J2890" s="68"/>
      <c r="K2890" s="32"/>
      <c r="L2890" s="75">
        <v>2890</v>
      </c>
      <c r="M2890" s="75"/>
      <c r="N2890" s="70"/>
      <c r="O2890" s="77" t="s">
        <v>2082</v>
      </c>
      <c r="P2890" s="79">
        <v>45140.833645833336</v>
      </c>
      <c r="Q2890" s="77" t="s">
        <v>2656</v>
      </c>
      <c r="R2890" s="77">
        <v>0</v>
      </c>
      <c r="S2890" s="77">
        <v>0</v>
      </c>
      <c r="T2890" s="77">
        <v>0</v>
      </c>
      <c r="U2890" s="77">
        <v>0</v>
      </c>
      <c r="V2890" s="77">
        <v>22</v>
      </c>
      <c r="W2890" s="80" t="s">
        <v>5884</v>
      </c>
      <c r="X2890" s="77"/>
      <c r="Y2890" s="77"/>
      <c r="Z2890" s="77"/>
      <c r="AA2890" s="77"/>
      <c r="AB2890" s="77"/>
      <c r="AC2890" s="80" t="s">
        <v>10541</v>
      </c>
      <c r="AD2890" s="77" t="s">
        <v>10618</v>
      </c>
      <c r="AE2890" s="83" t="str">
        <f>HYPERLINK("https://twitter.com/gleidys82565095/status/1686829331887063040")</f>
        <v>https://twitter.com/gleidys82565095/status/1686829331887063040</v>
      </c>
      <c r="AF2890" s="79">
        <v>45140.833645833336</v>
      </c>
      <c r="AG2890" s="85">
        <v>45140</v>
      </c>
      <c r="AH2890" s="80" t="s">
        <v>13154</v>
      </c>
      <c r="AI2890" s="77"/>
      <c r="AJ2890" s="77"/>
      <c r="AK2890" s="77"/>
      <c r="AL2890" s="77"/>
      <c r="AM2890" s="77"/>
      <c r="AN2890" s="77"/>
      <c r="AO2890" s="77"/>
      <c r="AP2890" s="77"/>
      <c r="AQ2890" s="77"/>
      <c r="AR2890" s="77"/>
      <c r="AS2890" s="77"/>
      <c r="AT2890" s="77"/>
      <c r="AU2890" s="77"/>
      <c r="AV2890" s="83" t="str">
        <f>HYPERLINK("https://pbs.twimg.com/profile_images/1573434721467498497/gM23Ehtn_normal.jpg")</f>
        <v>https://pbs.twimg.com/profile_images/1573434721467498497/gM23Ehtn_normal.jpg</v>
      </c>
      <c r="AW2890" s="80" t="s">
        <v>18659</v>
      </c>
      <c r="AX2890" s="80" t="s">
        <v>18659</v>
      </c>
      <c r="AY2890" s="77"/>
      <c r="AZ2890" s="80" t="s">
        <v>20380</v>
      </c>
      <c r="BA2890" s="80" t="s">
        <v>16099</v>
      </c>
      <c r="BB2890" s="80" t="s">
        <v>20380</v>
      </c>
      <c r="BC2890" s="80" t="s">
        <v>16099</v>
      </c>
      <c r="BD2890" s="80" t="s">
        <v>20954</v>
      </c>
      <c r="BE2890" s="77"/>
      <c r="BF2890" s="77"/>
      <c r="BG2890" s="77"/>
      <c r="BH2890" s="77"/>
      <c r="BI2890" s="77"/>
    </row>
    <row r="2891" spans="1:61" x14ac:dyDescent="0.25">
      <c r="A2891" s="62" t="s">
        <v>1151</v>
      </c>
      <c r="B2891" s="62" t="s">
        <v>1151</v>
      </c>
      <c r="C2891" s="63"/>
      <c r="D2891" s="64"/>
      <c r="E2891" s="65"/>
      <c r="F2891" s="66"/>
      <c r="G2891" s="63"/>
      <c r="H2891" s="67"/>
      <c r="I2891" s="68"/>
      <c r="J2891" s="68"/>
      <c r="K2891" s="32"/>
      <c r="L2891" s="75">
        <v>2891</v>
      </c>
      <c r="M2891" s="75"/>
      <c r="N2891" s="70"/>
      <c r="O2891" s="77" t="s">
        <v>179</v>
      </c>
      <c r="P2891" s="79">
        <v>45141.561030092591</v>
      </c>
      <c r="Q2891" s="77" t="s">
        <v>4644</v>
      </c>
      <c r="R2891" s="77">
        <v>0</v>
      </c>
      <c r="S2891" s="77">
        <v>0</v>
      </c>
      <c r="T2891" s="77">
        <v>0</v>
      </c>
      <c r="U2891" s="77">
        <v>0</v>
      </c>
      <c r="V2891" s="77">
        <v>11</v>
      </c>
      <c r="W2891" s="80" t="s">
        <v>7677</v>
      </c>
      <c r="X2891" s="77"/>
      <c r="Y2891" s="77"/>
      <c r="Z2891" s="77"/>
      <c r="AA2891" s="77"/>
      <c r="AB2891" s="77"/>
      <c r="AC2891" s="80" t="s">
        <v>10541</v>
      </c>
      <c r="AD2891" s="77" t="s">
        <v>10617</v>
      </c>
      <c r="AE2891" s="83" t="str">
        <f>HYPERLINK("https://twitter.com/joaovic95113474/status/1687092926785208320")</f>
        <v>https://twitter.com/joaovic95113474/status/1687092926785208320</v>
      </c>
      <c r="AF2891" s="79">
        <v>45141.561030092591</v>
      </c>
      <c r="AG2891" s="85">
        <v>45141</v>
      </c>
      <c r="AH2891" s="80" t="s">
        <v>13155</v>
      </c>
      <c r="AI2891" s="77"/>
      <c r="AJ2891" s="77"/>
      <c r="AK2891" s="77"/>
      <c r="AL2891" s="77"/>
      <c r="AM2891" s="77"/>
      <c r="AN2891" s="77"/>
      <c r="AO2891" s="77"/>
      <c r="AP2891" s="77"/>
      <c r="AQ2891" s="77"/>
      <c r="AR2891" s="77"/>
      <c r="AS2891" s="77"/>
      <c r="AT2891" s="77"/>
      <c r="AU2891" s="77"/>
      <c r="AV2891" s="83" t="str">
        <f>HYPERLINK("https://pbs.twimg.com/profile_images/1630924337812328448/AdN-B4iE_normal.jpg")</f>
        <v>https://pbs.twimg.com/profile_images/1630924337812328448/AdN-B4iE_normal.jpg</v>
      </c>
      <c r="AW2891" s="80" t="s">
        <v>18660</v>
      </c>
      <c r="AX2891" s="80" t="s">
        <v>18660</v>
      </c>
      <c r="AY2891" s="77"/>
      <c r="AZ2891" s="80" t="s">
        <v>20380</v>
      </c>
      <c r="BA2891" s="80" t="s">
        <v>20380</v>
      </c>
      <c r="BB2891" s="80" t="s">
        <v>20380</v>
      </c>
      <c r="BC2891" s="80" t="s">
        <v>18660</v>
      </c>
      <c r="BD2891" s="80" t="s">
        <v>20955</v>
      </c>
      <c r="BE2891" s="77"/>
      <c r="BF2891" s="77"/>
      <c r="BG2891" s="77"/>
      <c r="BH2891" s="77"/>
      <c r="BI2891" s="77"/>
    </row>
    <row r="2892" spans="1:61" x14ac:dyDescent="0.25">
      <c r="A2892" s="62" t="s">
        <v>1152</v>
      </c>
      <c r="B2892" s="62" t="s">
        <v>1669</v>
      </c>
      <c r="C2892" s="63"/>
      <c r="D2892" s="64"/>
      <c r="E2892" s="65"/>
      <c r="F2892" s="66"/>
      <c r="G2892" s="63"/>
      <c r="H2892" s="67"/>
      <c r="I2892" s="68"/>
      <c r="J2892" s="68"/>
      <c r="K2892" s="32"/>
      <c r="L2892" s="75">
        <v>2892</v>
      </c>
      <c r="M2892" s="75"/>
      <c r="N2892" s="70"/>
      <c r="O2892" s="77" t="s">
        <v>2081</v>
      </c>
      <c r="P2892" s="79">
        <v>45149.843425925923</v>
      </c>
      <c r="Q2892" s="77" t="s">
        <v>4645</v>
      </c>
      <c r="R2892" s="77">
        <v>0</v>
      </c>
      <c r="S2892" s="77">
        <v>0</v>
      </c>
      <c r="T2892" s="77">
        <v>0</v>
      </c>
      <c r="U2892" s="77">
        <v>0</v>
      </c>
      <c r="V2892" s="77">
        <v>26</v>
      </c>
      <c r="W2892" s="80" t="s">
        <v>7678</v>
      </c>
      <c r="X2892" s="83" t="str">
        <f>HYPERLINK("https://infocronos.com.ar/nota/36312/se-viene-el-nuevo-billete-de-200-como-sera-y-cuando-saldra/")</f>
        <v>https://infocronos.com.ar/nota/36312/se-viene-el-nuevo-billete-de-200-como-sera-y-cuando-saldra/</v>
      </c>
      <c r="Y2892" s="77" t="s">
        <v>8624</v>
      </c>
      <c r="Z2892" s="77" t="s">
        <v>1669</v>
      </c>
      <c r="AA2892" s="77"/>
      <c r="AB2892" s="77"/>
      <c r="AC2892" s="80" t="s">
        <v>10541</v>
      </c>
      <c r="AD2892" s="77" t="s">
        <v>10620</v>
      </c>
      <c r="AE2892" s="83" t="str">
        <f>HYPERLINK("https://twitter.com/cronos_noticias/status/1690094370135945216")</f>
        <v>https://twitter.com/cronos_noticias/status/1690094370135945216</v>
      </c>
      <c r="AF2892" s="79">
        <v>45149.843425925923</v>
      </c>
      <c r="AG2892" s="85">
        <v>45149</v>
      </c>
      <c r="AH2892" s="80" t="s">
        <v>13156</v>
      </c>
      <c r="AI2892" s="77" t="b">
        <v>0</v>
      </c>
      <c r="AJ2892" s="77"/>
      <c r="AK2892" s="77"/>
      <c r="AL2892" s="77"/>
      <c r="AM2892" s="77"/>
      <c r="AN2892" s="77"/>
      <c r="AO2892" s="77"/>
      <c r="AP2892" s="77"/>
      <c r="AQ2892" s="77"/>
      <c r="AR2892" s="77"/>
      <c r="AS2892" s="77"/>
      <c r="AT2892" s="77"/>
      <c r="AU2892" s="77"/>
      <c r="AV2892" s="83" t="str">
        <f>HYPERLINK("https://pbs.twimg.com/profile_images/1091386096934633480/0QLTX8E2_normal.jpg")</f>
        <v>https://pbs.twimg.com/profile_images/1091386096934633480/0QLTX8E2_normal.jpg</v>
      </c>
      <c r="AW2892" s="80" t="s">
        <v>18661</v>
      </c>
      <c r="AX2892" s="80" t="s">
        <v>18661</v>
      </c>
      <c r="AY2892" s="77"/>
      <c r="AZ2892" s="80" t="s">
        <v>20380</v>
      </c>
      <c r="BA2892" s="80" t="s">
        <v>20380</v>
      </c>
      <c r="BB2892" s="80" t="s">
        <v>20380</v>
      </c>
      <c r="BC2892" s="80" t="s">
        <v>18661</v>
      </c>
      <c r="BD2892" s="80" t="s">
        <v>20956</v>
      </c>
      <c r="BE2892" s="77"/>
      <c r="BF2892" s="77"/>
      <c r="BG2892" s="77"/>
      <c r="BH2892" s="77"/>
      <c r="BI2892" s="77"/>
    </row>
    <row r="2893" spans="1:61" x14ac:dyDescent="0.25">
      <c r="A2893" s="62" t="s">
        <v>1153</v>
      </c>
      <c r="B2893" s="62" t="s">
        <v>1596</v>
      </c>
      <c r="C2893" s="63"/>
      <c r="D2893" s="64"/>
      <c r="E2893" s="65"/>
      <c r="F2893" s="66"/>
      <c r="G2893" s="63"/>
      <c r="H2893" s="67"/>
      <c r="I2893" s="68"/>
      <c r="J2893" s="68"/>
      <c r="K2893" s="32"/>
      <c r="L2893" s="75">
        <v>2893</v>
      </c>
      <c r="M2893" s="75"/>
      <c r="N2893" s="70"/>
      <c r="O2893" s="77" t="s">
        <v>2081</v>
      </c>
      <c r="P2893" s="79">
        <v>45056.537893518522</v>
      </c>
      <c r="Q2893" s="77" t="s">
        <v>4646</v>
      </c>
      <c r="R2893" s="77">
        <v>0</v>
      </c>
      <c r="S2893" s="77">
        <v>0</v>
      </c>
      <c r="T2893" s="77">
        <v>0</v>
      </c>
      <c r="U2893" s="77">
        <v>0</v>
      </c>
      <c r="V2893" s="77">
        <v>25</v>
      </c>
      <c r="W2893" s="80" t="s">
        <v>6008</v>
      </c>
      <c r="X2893" s="83" t="str">
        <f>HYPERLINK("https://www.bcb.gov.br/publicacoes/ref/202304")</f>
        <v>https://www.bcb.gov.br/publicacoes/ref/202304</v>
      </c>
      <c r="Y2893" s="77" t="s">
        <v>8633</v>
      </c>
      <c r="Z2893" s="77" t="s">
        <v>1596</v>
      </c>
      <c r="AA2893" s="77"/>
      <c r="AB2893" s="77"/>
      <c r="AC2893" s="80" t="s">
        <v>10541</v>
      </c>
      <c r="AD2893" s="77" t="s">
        <v>10617</v>
      </c>
      <c r="AE2893" s="83" t="str">
        <f>HYPERLINK("https://twitter.com/flaviasoares/status/1656281573652570113")</f>
        <v>https://twitter.com/flaviasoares/status/1656281573652570113</v>
      </c>
      <c r="AF2893" s="79">
        <v>45056.537893518522</v>
      </c>
      <c r="AG2893" s="85">
        <v>45056</v>
      </c>
      <c r="AH2893" s="80" t="s">
        <v>13157</v>
      </c>
      <c r="AI2893" s="77" t="b">
        <v>0</v>
      </c>
      <c r="AJ2893" s="77"/>
      <c r="AK2893" s="77"/>
      <c r="AL2893" s="77"/>
      <c r="AM2893" s="77"/>
      <c r="AN2893" s="77"/>
      <c r="AO2893" s="77"/>
      <c r="AP2893" s="77"/>
      <c r="AQ2893" s="77"/>
      <c r="AR2893" s="77"/>
      <c r="AS2893" s="77"/>
      <c r="AT2893" s="77"/>
      <c r="AU2893" s="77"/>
      <c r="AV2893" s="83" t="str">
        <f>HYPERLINK("https://pbs.twimg.com/profile_images/1676231261306724355/eXhgXdLl_normal.jpg")</f>
        <v>https://pbs.twimg.com/profile_images/1676231261306724355/eXhgXdLl_normal.jpg</v>
      </c>
      <c r="AW2893" s="80" t="s">
        <v>18662</v>
      </c>
      <c r="AX2893" s="80" t="s">
        <v>18662</v>
      </c>
      <c r="AY2893" s="77"/>
      <c r="AZ2893" s="80" t="s">
        <v>20380</v>
      </c>
      <c r="BA2893" s="80" t="s">
        <v>20380</v>
      </c>
      <c r="BB2893" s="80" t="s">
        <v>20380</v>
      </c>
      <c r="BC2893" s="80" t="s">
        <v>18662</v>
      </c>
      <c r="BD2893" s="77">
        <v>22477577</v>
      </c>
      <c r="BE2893" s="77"/>
      <c r="BF2893" s="77"/>
      <c r="BG2893" s="77"/>
      <c r="BH2893" s="77"/>
      <c r="BI2893" s="77"/>
    </row>
    <row r="2894" spans="1:61" x14ac:dyDescent="0.25">
      <c r="A2894" s="62" t="s">
        <v>1154</v>
      </c>
      <c r="B2894" s="62" t="s">
        <v>1154</v>
      </c>
      <c r="C2894" s="63"/>
      <c r="D2894" s="64"/>
      <c r="E2894" s="65"/>
      <c r="F2894" s="66"/>
      <c r="G2894" s="63"/>
      <c r="H2894" s="67"/>
      <c r="I2894" s="68"/>
      <c r="J2894" s="68"/>
      <c r="K2894" s="32"/>
      <c r="L2894" s="75">
        <v>2894</v>
      </c>
      <c r="M2894" s="75"/>
      <c r="N2894" s="70"/>
      <c r="O2894" s="77" t="s">
        <v>179</v>
      </c>
      <c r="P2894" s="79">
        <v>45070.426203703704</v>
      </c>
      <c r="Q2894" s="77" t="s">
        <v>4647</v>
      </c>
      <c r="R2894" s="77">
        <v>0</v>
      </c>
      <c r="S2894" s="77">
        <v>0</v>
      </c>
      <c r="T2894" s="77">
        <v>0</v>
      </c>
      <c r="U2894" s="77">
        <v>0</v>
      </c>
      <c r="V2894" s="77">
        <v>31</v>
      </c>
      <c r="W2894" s="80" t="s">
        <v>7679</v>
      </c>
      <c r="X2894" s="83" t="str">
        <f>HYPERLINK("https://www.agendasalta.com.ar/noticias/sociedad-2/nuevo-billete-de-2000-en-circulacion-como-darse-cuanta-si-son-falsos-16488")</f>
        <v>https://www.agendasalta.com.ar/noticias/sociedad-2/nuevo-billete-de-2000-en-circulacion-como-darse-cuanta-si-son-falsos-16488</v>
      </c>
      <c r="Y2894" s="77" t="s">
        <v>8624</v>
      </c>
      <c r="Z2894" s="77"/>
      <c r="AA2894" s="77" t="s">
        <v>9975</v>
      </c>
      <c r="AB2894" s="77" t="s">
        <v>10535</v>
      </c>
      <c r="AC2894" s="80" t="s">
        <v>10541</v>
      </c>
      <c r="AD2894" s="77" t="s">
        <v>10620</v>
      </c>
      <c r="AE2894" s="83" t="str">
        <f>HYPERLINK("https://twitter.com/agendasalta/status/1661314531451191296")</f>
        <v>https://twitter.com/agendasalta/status/1661314531451191296</v>
      </c>
      <c r="AF2894" s="79">
        <v>45070.426203703704</v>
      </c>
      <c r="AG2894" s="85">
        <v>45070</v>
      </c>
      <c r="AH2894" s="80" t="s">
        <v>13158</v>
      </c>
      <c r="AI2894" s="77" t="b">
        <v>1</v>
      </c>
      <c r="AJ2894" s="77"/>
      <c r="AK2894" s="77"/>
      <c r="AL2894" s="77"/>
      <c r="AM2894" s="77"/>
      <c r="AN2894" s="77"/>
      <c r="AO2894" s="77"/>
      <c r="AP2894" s="77"/>
      <c r="AQ2894" s="77" t="s">
        <v>15456</v>
      </c>
      <c r="AR2894" s="77"/>
      <c r="AS2894" s="77"/>
      <c r="AT2894" s="77"/>
      <c r="AU2894" s="77"/>
      <c r="AV2894" s="83" t="str">
        <f>HYPERLINK("https://pbs.twimg.com/media/Fw4sgEZXgAE79Mz.jpg")</f>
        <v>https://pbs.twimg.com/media/Fw4sgEZXgAE79Mz.jpg</v>
      </c>
      <c r="AW2894" s="80" t="s">
        <v>18663</v>
      </c>
      <c r="AX2894" s="80" t="s">
        <v>18663</v>
      </c>
      <c r="AY2894" s="77"/>
      <c r="AZ2894" s="80" t="s">
        <v>20380</v>
      </c>
      <c r="BA2894" s="80" t="s">
        <v>20380</v>
      </c>
      <c r="BB2894" s="80" t="s">
        <v>20380</v>
      </c>
      <c r="BC2894" s="80" t="s">
        <v>18663</v>
      </c>
      <c r="BD2894" s="80" t="s">
        <v>20957</v>
      </c>
      <c r="BE2894" s="77"/>
      <c r="BF2894" s="77"/>
      <c r="BG2894" s="77"/>
      <c r="BH2894" s="77"/>
      <c r="BI2894" s="77"/>
    </row>
    <row r="2895" spans="1:61" x14ac:dyDescent="0.25">
      <c r="A2895" s="62" t="s">
        <v>1154</v>
      </c>
      <c r="B2895" s="62" t="s">
        <v>1154</v>
      </c>
      <c r="C2895" s="63"/>
      <c r="D2895" s="64"/>
      <c r="E2895" s="65"/>
      <c r="F2895" s="66"/>
      <c r="G2895" s="63"/>
      <c r="H2895" s="67"/>
      <c r="I2895" s="68"/>
      <c r="J2895" s="68"/>
      <c r="K2895" s="32"/>
      <c r="L2895" s="75">
        <v>2895</v>
      </c>
      <c r="M2895" s="75"/>
      <c r="N2895" s="70"/>
      <c r="O2895" s="77" t="s">
        <v>179</v>
      </c>
      <c r="P2895" s="79">
        <v>45050.441064814811</v>
      </c>
      <c r="Q2895" s="77" t="s">
        <v>4648</v>
      </c>
      <c r="R2895" s="77">
        <v>0</v>
      </c>
      <c r="S2895" s="77">
        <v>0</v>
      </c>
      <c r="T2895" s="77">
        <v>0</v>
      </c>
      <c r="U2895" s="77">
        <v>0</v>
      </c>
      <c r="V2895" s="77">
        <v>27</v>
      </c>
      <c r="W2895" s="80" t="s">
        <v>7680</v>
      </c>
      <c r="X2895" s="83" t="str">
        <f>HYPERLINK("https://www.agendasalta.com.ar/noticias/internacionales-7/la-fed-subio-25-puntos-basicos-la-tasa-y-pausa-los-aumentos-15412")</f>
        <v>https://www.agendasalta.com.ar/noticias/internacionales-7/la-fed-subio-25-puntos-basicos-la-tasa-y-pausa-los-aumentos-15412</v>
      </c>
      <c r="Y2895" s="77" t="s">
        <v>8624</v>
      </c>
      <c r="Z2895" s="77"/>
      <c r="AA2895" s="77" t="s">
        <v>9976</v>
      </c>
      <c r="AB2895" s="77" t="s">
        <v>10535</v>
      </c>
      <c r="AC2895" s="80" t="s">
        <v>10541</v>
      </c>
      <c r="AD2895" s="77" t="s">
        <v>10620</v>
      </c>
      <c r="AE2895" s="83" t="str">
        <f>HYPERLINK("https://twitter.com/agendasalta/status/1654072158388092928")</f>
        <v>https://twitter.com/agendasalta/status/1654072158388092928</v>
      </c>
      <c r="AF2895" s="79">
        <v>45050.441064814811</v>
      </c>
      <c r="AG2895" s="85">
        <v>45050</v>
      </c>
      <c r="AH2895" s="80" t="s">
        <v>13159</v>
      </c>
      <c r="AI2895" s="77" t="b">
        <v>0</v>
      </c>
      <c r="AJ2895" s="77"/>
      <c r="AK2895" s="77"/>
      <c r="AL2895" s="77"/>
      <c r="AM2895" s="77"/>
      <c r="AN2895" s="77"/>
      <c r="AO2895" s="77"/>
      <c r="AP2895" s="77"/>
      <c r="AQ2895" s="77" t="s">
        <v>15457</v>
      </c>
      <c r="AR2895" s="77"/>
      <c r="AS2895" s="77"/>
      <c r="AT2895" s="77"/>
      <c r="AU2895" s="77"/>
      <c r="AV2895" s="83" t="str">
        <f>HYPERLINK("https://pbs.twimg.com/media/FvRxua_XgAIy4V-.jpg")</f>
        <v>https://pbs.twimg.com/media/FvRxua_XgAIy4V-.jpg</v>
      </c>
      <c r="AW2895" s="80" t="s">
        <v>18664</v>
      </c>
      <c r="AX2895" s="80" t="s">
        <v>18664</v>
      </c>
      <c r="AY2895" s="77"/>
      <c r="AZ2895" s="80" t="s">
        <v>20380</v>
      </c>
      <c r="BA2895" s="80" t="s">
        <v>20380</v>
      </c>
      <c r="BB2895" s="80" t="s">
        <v>20380</v>
      </c>
      <c r="BC2895" s="80" t="s">
        <v>18664</v>
      </c>
      <c r="BD2895" s="80" t="s">
        <v>20957</v>
      </c>
      <c r="BE2895" s="77"/>
      <c r="BF2895" s="77"/>
      <c r="BG2895" s="77"/>
      <c r="BH2895" s="77"/>
      <c r="BI2895" s="77"/>
    </row>
    <row r="2896" spans="1:61" x14ac:dyDescent="0.25">
      <c r="A2896" s="62" t="s">
        <v>1154</v>
      </c>
      <c r="B2896" s="62" t="s">
        <v>1154</v>
      </c>
      <c r="C2896" s="63"/>
      <c r="D2896" s="64"/>
      <c r="E2896" s="65"/>
      <c r="F2896" s="66"/>
      <c r="G2896" s="63"/>
      <c r="H2896" s="67"/>
      <c r="I2896" s="68"/>
      <c r="J2896" s="68"/>
      <c r="K2896" s="32"/>
      <c r="L2896" s="75">
        <v>2896</v>
      </c>
      <c r="M2896" s="75"/>
      <c r="N2896" s="70"/>
      <c r="O2896" s="77" t="s">
        <v>179</v>
      </c>
      <c r="P2896" s="79">
        <v>45196.410532407404</v>
      </c>
      <c r="Q2896" s="77" t="s">
        <v>4649</v>
      </c>
      <c r="R2896" s="77">
        <v>0</v>
      </c>
      <c r="S2896" s="77">
        <v>0</v>
      </c>
      <c r="T2896" s="77">
        <v>0</v>
      </c>
      <c r="U2896" s="77">
        <v>0</v>
      </c>
      <c r="V2896" s="77">
        <v>18</v>
      </c>
      <c r="W2896" s="80" t="s">
        <v>7681</v>
      </c>
      <c r="X2896" s="83" t="str">
        <f>HYPERLINK("https://www.agendasalta.com.ar/noticias/economia-4/los-principales-argumentos-del-equipo-de-milei-para-cerrar-el-banco-central-y-terminar-con-la-inflacion-22943")</f>
        <v>https://www.agendasalta.com.ar/noticias/economia-4/los-principales-argumentos-del-equipo-de-milei-para-cerrar-el-banco-central-y-terminar-con-la-inflacion-22943</v>
      </c>
      <c r="Y2896" s="77" t="s">
        <v>8624</v>
      </c>
      <c r="Z2896" s="77"/>
      <c r="AA2896" s="77" t="s">
        <v>9977</v>
      </c>
      <c r="AB2896" s="77" t="s">
        <v>10535</v>
      </c>
      <c r="AC2896" s="80" t="s">
        <v>10541</v>
      </c>
      <c r="AD2896" s="77" t="s">
        <v>10620</v>
      </c>
      <c r="AE2896" s="83" t="str">
        <f>HYPERLINK("https://twitter.com/agendasalta/status/1706969720736379351")</f>
        <v>https://twitter.com/agendasalta/status/1706969720736379351</v>
      </c>
      <c r="AF2896" s="79">
        <v>45196.410532407404</v>
      </c>
      <c r="AG2896" s="85">
        <v>45196</v>
      </c>
      <c r="AH2896" s="80" t="s">
        <v>13160</v>
      </c>
      <c r="AI2896" s="77" t="b">
        <v>0</v>
      </c>
      <c r="AJ2896" s="77"/>
      <c r="AK2896" s="77"/>
      <c r="AL2896" s="77"/>
      <c r="AM2896" s="77"/>
      <c r="AN2896" s="77"/>
      <c r="AO2896" s="77"/>
      <c r="AP2896" s="77"/>
      <c r="AQ2896" s="77" t="s">
        <v>15458</v>
      </c>
      <c r="AR2896" s="77"/>
      <c r="AS2896" s="77"/>
      <c r="AT2896" s="77"/>
      <c r="AU2896" s="77"/>
      <c r="AV2896" s="83" t="str">
        <f>HYPERLINK("https://pbs.twimg.com/media/F7BfsJuXgAAtWBq.jpg")</f>
        <v>https://pbs.twimg.com/media/F7BfsJuXgAAtWBq.jpg</v>
      </c>
      <c r="AW2896" s="80" t="s">
        <v>18665</v>
      </c>
      <c r="AX2896" s="80" t="s">
        <v>18665</v>
      </c>
      <c r="AY2896" s="77"/>
      <c r="AZ2896" s="80" t="s">
        <v>20380</v>
      </c>
      <c r="BA2896" s="80" t="s">
        <v>20380</v>
      </c>
      <c r="BB2896" s="80" t="s">
        <v>20380</v>
      </c>
      <c r="BC2896" s="80" t="s">
        <v>18665</v>
      </c>
      <c r="BD2896" s="80" t="s">
        <v>20957</v>
      </c>
      <c r="BE2896" s="77"/>
      <c r="BF2896" s="77"/>
      <c r="BG2896" s="77"/>
      <c r="BH2896" s="77"/>
      <c r="BI2896" s="77"/>
    </row>
    <row r="2897" spans="1:61" x14ac:dyDescent="0.25">
      <c r="A2897" s="62" t="s">
        <v>1155</v>
      </c>
      <c r="B2897" s="62" t="s">
        <v>1155</v>
      </c>
      <c r="C2897" s="63"/>
      <c r="D2897" s="64"/>
      <c r="E2897" s="65"/>
      <c r="F2897" s="66"/>
      <c r="G2897" s="63"/>
      <c r="H2897" s="67"/>
      <c r="I2897" s="68"/>
      <c r="J2897" s="68"/>
      <c r="K2897" s="32"/>
      <c r="L2897" s="75">
        <v>2897</v>
      </c>
      <c r="M2897" s="75"/>
      <c r="N2897" s="70"/>
      <c r="O2897" s="77" t="s">
        <v>179</v>
      </c>
      <c r="P2897" s="79">
        <v>45152.694502314815</v>
      </c>
      <c r="Q2897" s="77" t="s">
        <v>4650</v>
      </c>
      <c r="R2897" s="77">
        <v>0</v>
      </c>
      <c r="S2897" s="77">
        <v>0</v>
      </c>
      <c r="T2897" s="77">
        <v>0</v>
      </c>
      <c r="U2897" s="77">
        <v>0</v>
      </c>
      <c r="V2897" s="77">
        <v>28</v>
      </c>
      <c r="W2897" s="80" t="s">
        <v>7682</v>
      </c>
      <c r="X2897" s="77"/>
      <c r="Y2897" s="77"/>
      <c r="Z2897" s="77"/>
      <c r="AA2897" s="77"/>
      <c r="AB2897" s="77"/>
      <c r="AC2897" s="80" t="s">
        <v>10542</v>
      </c>
      <c r="AD2897" s="77" t="s">
        <v>10620</v>
      </c>
      <c r="AE2897" s="83" t="str">
        <f>HYPERLINK("https://twitter.com/_____yo_____yo/status/1691127565543731201")</f>
        <v>https://twitter.com/_____yo_____yo/status/1691127565543731201</v>
      </c>
      <c r="AF2897" s="79">
        <v>45152.694502314815</v>
      </c>
      <c r="AG2897" s="85">
        <v>45152</v>
      </c>
      <c r="AH2897" s="80" t="s">
        <v>13161</v>
      </c>
      <c r="AI2897" s="77"/>
      <c r="AJ2897" s="77"/>
      <c r="AK2897" s="77"/>
      <c r="AL2897" s="77"/>
      <c r="AM2897" s="77"/>
      <c r="AN2897" s="77"/>
      <c r="AO2897" s="77"/>
      <c r="AP2897" s="77"/>
      <c r="AQ2897" s="77"/>
      <c r="AR2897" s="77"/>
      <c r="AS2897" s="77"/>
      <c r="AT2897" s="77"/>
      <c r="AU2897" s="77"/>
      <c r="AV2897" s="83" t="str">
        <f>HYPERLINK("https://pbs.twimg.com/profile_images/1648310611246215173/l5k1WLFL_normal.jpg")</f>
        <v>https://pbs.twimg.com/profile_images/1648310611246215173/l5k1WLFL_normal.jpg</v>
      </c>
      <c r="AW2897" s="80" t="s">
        <v>18666</v>
      </c>
      <c r="AX2897" s="80" t="s">
        <v>18666</v>
      </c>
      <c r="AY2897" s="77"/>
      <c r="AZ2897" s="80" t="s">
        <v>20380</v>
      </c>
      <c r="BA2897" s="80" t="s">
        <v>20380</v>
      </c>
      <c r="BB2897" s="80" t="s">
        <v>20380</v>
      </c>
      <c r="BC2897" s="80" t="s">
        <v>18666</v>
      </c>
      <c r="BD2897" s="77">
        <v>4076387662</v>
      </c>
      <c r="BE2897" s="77"/>
      <c r="BF2897" s="77"/>
      <c r="BG2897" s="77"/>
      <c r="BH2897" s="77"/>
      <c r="BI2897" s="77"/>
    </row>
    <row r="2898" spans="1:61" x14ac:dyDescent="0.25">
      <c r="A2898" s="62" t="s">
        <v>1156</v>
      </c>
      <c r="B2898" s="62" t="s">
        <v>1156</v>
      </c>
      <c r="C2898" s="63"/>
      <c r="D2898" s="64"/>
      <c r="E2898" s="65"/>
      <c r="F2898" s="66"/>
      <c r="G2898" s="63"/>
      <c r="H2898" s="67"/>
      <c r="I2898" s="68"/>
      <c r="J2898" s="68"/>
      <c r="K2898" s="32"/>
      <c r="L2898" s="75">
        <v>2898</v>
      </c>
      <c r="M2898" s="75"/>
      <c r="N2898" s="70"/>
      <c r="O2898" s="77" t="s">
        <v>179</v>
      </c>
      <c r="P2898" s="79">
        <v>45103.055671296293</v>
      </c>
      <c r="Q2898" s="77" t="s">
        <v>4651</v>
      </c>
      <c r="R2898" s="77">
        <v>0</v>
      </c>
      <c r="S2898" s="77">
        <v>0</v>
      </c>
      <c r="T2898" s="77">
        <v>0</v>
      </c>
      <c r="U2898" s="77">
        <v>0</v>
      </c>
      <c r="V2898" s="77">
        <v>19</v>
      </c>
      <c r="W2898" s="80" t="s">
        <v>7683</v>
      </c>
      <c r="X2898" s="83" t="str">
        <f>HYPERLINK("https://mascontainercentroamerica.com/honduras-deuda-externa-publica-crecio-32-hasta-abril/")</f>
        <v>https://mascontainercentroamerica.com/honduras-deuda-externa-publica-crecio-32-hasta-abril/</v>
      </c>
      <c r="Y2898" s="77" t="s">
        <v>8807</v>
      </c>
      <c r="Z2898" s="77"/>
      <c r="AA2898" s="77"/>
      <c r="AB2898" s="77"/>
      <c r="AC2898" s="80" t="s">
        <v>10552</v>
      </c>
      <c r="AD2898" s="77" t="s">
        <v>10620</v>
      </c>
      <c r="AE2898" s="83" t="str">
        <f>HYPERLINK("https://twitter.com/mascontainerca/status/1673139052596412416")</f>
        <v>https://twitter.com/mascontainerca/status/1673139052596412416</v>
      </c>
      <c r="AF2898" s="79">
        <v>45103.055671296293</v>
      </c>
      <c r="AG2898" s="85">
        <v>45103</v>
      </c>
      <c r="AH2898" s="80" t="s">
        <v>13162</v>
      </c>
      <c r="AI2898" s="77" t="b">
        <v>0</v>
      </c>
      <c r="AJ2898" s="77"/>
      <c r="AK2898" s="77"/>
      <c r="AL2898" s="77"/>
      <c r="AM2898" s="77"/>
      <c r="AN2898" s="77"/>
      <c r="AO2898" s="77"/>
      <c r="AP2898" s="77"/>
      <c r="AQ2898" s="77"/>
      <c r="AR2898" s="77"/>
      <c r="AS2898" s="77"/>
      <c r="AT2898" s="77"/>
      <c r="AU2898" s="77"/>
      <c r="AV2898" s="83" t="str">
        <f>HYPERLINK("https://pbs.twimg.com/profile_images/1628548007997186049/IlM9t9sJ_normal.png")</f>
        <v>https://pbs.twimg.com/profile_images/1628548007997186049/IlM9t9sJ_normal.png</v>
      </c>
      <c r="AW2898" s="80" t="s">
        <v>18667</v>
      </c>
      <c r="AX2898" s="80" t="s">
        <v>18667</v>
      </c>
      <c r="AY2898" s="77"/>
      <c r="AZ2898" s="80" t="s">
        <v>20380</v>
      </c>
      <c r="BA2898" s="80" t="s">
        <v>20380</v>
      </c>
      <c r="BB2898" s="80" t="s">
        <v>20380</v>
      </c>
      <c r="BC2898" s="80" t="s">
        <v>18667</v>
      </c>
      <c r="BD2898" s="80" t="s">
        <v>20958</v>
      </c>
      <c r="BE2898" s="77"/>
      <c r="BF2898" s="77"/>
      <c r="BG2898" s="77"/>
      <c r="BH2898" s="77"/>
      <c r="BI2898" s="77"/>
    </row>
    <row r="2899" spans="1:61" x14ac:dyDescent="0.25">
      <c r="A2899" s="62" t="s">
        <v>1156</v>
      </c>
      <c r="B2899" s="62" t="s">
        <v>1156</v>
      </c>
      <c r="C2899" s="63"/>
      <c r="D2899" s="64"/>
      <c r="E2899" s="65"/>
      <c r="F2899" s="66"/>
      <c r="G2899" s="63"/>
      <c r="H2899" s="67"/>
      <c r="I2899" s="68"/>
      <c r="J2899" s="68"/>
      <c r="K2899" s="32"/>
      <c r="L2899" s="75">
        <v>2899</v>
      </c>
      <c r="M2899" s="75"/>
      <c r="N2899" s="70"/>
      <c r="O2899" s="77" t="s">
        <v>179</v>
      </c>
      <c r="P2899" s="79">
        <v>45115.673738425925</v>
      </c>
      <c r="Q2899" s="77" t="s">
        <v>4652</v>
      </c>
      <c r="R2899" s="77">
        <v>0</v>
      </c>
      <c r="S2899" s="77">
        <v>0</v>
      </c>
      <c r="T2899" s="77">
        <v>0</v>
      </c>
      <c r="U2899" s="77">
        <v>0</v>
      </c>
      <c r="V2899" s="77">
        <v>12</v>
      </c>
      <c r="W2899" s="80" t="s">
        <v>7684</v>
      </c>
      <c r="X2899" s="83" t="str">
        <f>HYPERLINK("https://mascontainercentroamerica.com/honduras-tasa-de-inflacion-es-la-mas-baja-en-18-meses/")</f>
        <v>https://mascontainercentroamerica.com/honduras-tasa-de-inflacion-es-la-mas-baja-en-18-meses/</v>
      </c>
      <c r="Y2899" s="77" t="s">
        <v>8807</v>
      </c>
      <c r="Z2899" s="77"/>
      <c r="AA2899" s="77"/>
      <c r="AB2899" s="77"/>
      <c r="AC2899" s="80" t="s">
        <v>10552</v>
      </c>
      <c r="AD2899" s="77" t="s">
        <v>10620</v>
      </c>
      <c r="AE2899" s="83" t="str">
        <f>HYPERLINK("https://twitter.com/mascontainerca/status/1677711686793322497")</f>
        <v>https://twitter.com/mascontainerca/status/1677711686793322497</v>
      </c>
      <c r="AF2899" s="79">
        <v>45115.673738425925</v>
      </c>
      <c r="AG2899" s="85">
        <v>45115</v>
      </c>
      <c r="AH2899" s="80" t="s">
        <v>13163</v>
      </c>
      <c r="AI2899" s="77" t="b">
        <v>0</v>
      </c>
      <c r="AJ2899" s="77"/>
      <c r="AK2899" s="77"/>
      <c r="AL2899" s="77"/>
      <c r="AM2899" s="77"/>
      <c r="AN2899" s="77"/>
      <c r="AO2899" s="77"/>
      <c r="AP2899" s="77"/>
      <c r="AQ2899" s="77"/>
      <c r="AR2899" s="77"/>
      <c r="AS2899" s="77"/>
      <c r="AT2899" s="77"/>
      <c r="AU2899" s="77"/>
      <c r="AV2899" s="83" t="str">
        <f>HYPERLINK("https://pbs.twimg.com/profile_images/1628548007997186049/IlM9t9sJ_normal.png")</f>
        <v>https://pbs.twimg.com/profile_images/1628548007997186049/IlM9t9sJ_normal.png</v>
      </c>
      <c r="AW2899" s="80" t="s">
        <v>18668</v>
      </c>
      <c r="AX2899" s="80" t="s">
        <v>18668</v>
      </c>
      <c r="AY2899" s="77"/>
      <c r="AZ2899" s="80" t="s">
        <v>20380</v>
      </c>
      <c r="BA2899" s="80" t="s">
        <v>20380</v>
      </c>
      <c r="BB2899" s="80" t="s">
        <v>20380</v>
      </c>
      <c r="BC2899" s="80" t="s">
        <v>18668</v>
      </c>
      <c r="BD2899" s="80" t="s">
        <v>20958</v>
      </c>
      <c r="BE2899" s="77"/>
      <c r="BF2899" s="77"/>
      <c r="BG2899" s="77"/>
      <c r="BH2899" s="77"/>
      <c r="BI2899" s="77"/>
    </row>
    <row r="2900" spans="1:61" x14ac:dyDescent="0.25">
      <c r="A2900" s="62" t="s">
        <v>1156</v>
      </c>
      <c r="B2900" s="62" t="s">
        <v>1156</v>
      </c>
      <c r="C2900" s="63"/>
      <c r="D2900" s="64"/>
      <c r="E2900" s="65"/>
      <c r="F2900" s="66"/>
      <c r="G2900" s="63"/>
      <c r="H2900" s="67"/>
      <c r="I2900" s="68"/>
      <c r="J2900" s="68"/>
      <c r="K2900" s="32"/>
      <c r="L2900" s="75">
        <v>2900</v>
      </c>
      <c r="M2900" s="75"/>
      <c r="N2900" s="70"/>
      <c r="O2900" s="77" t="s">
        <v>179</v>
      </c>
      <c r="P2900" s="79">
        <v>45085.055659722224</v>
      </c>
      <c r="Q2900" s="77" t="s">
        <v>4653</v>
      </c>
      <c r="R2900" s="77">
        <v>0</v>
      </c>
      <c r="S2900" s="77">
        <v>0</v>
      </c>
      <c r="T2900" s="77">
        <v>0</v>
      </c>
      <c r="U2900" s="77">
        <v>0</v>
      </c>
      <c r="V2900" s="77">
        <v>7</v>
      </c>
      <c r="W2900" s="80" t="s">
        <v>7685</v>
      </c>
      <c r="X2900" s="83" t="str">
        <f>HYPERLINK("https://mascontainercentroamerica.com/banco-central-dominicano-toma-medidas-tras-limitado-crecimiento/")</f>
        <v>https://mascontainercentroamerica.com/banco-central-dominicano-toma-medidas-tras-limitado-crecimiento/</v>
      </c>
      <c r="Y2900" s="77" t="s">
        <v>8807</v>
      </c>
      <c r="Z2900" s="77"/>
      <c r="AA2900" s="77"/>
      <c r="AB2900" s="77"/>
      <c r="AC2900" s="80" t="s">
        <v>10552</v>
      </c>
      <c r="AD2900" s="77" t="s">
        <v>10620</v>
      </c>
      <c r="AE2900" s="83" t="str">
        <f>HYPERLINK("https://twitter.com/mascontainerca/status/1666616069434351616")</f>
        <v>https://twitter.com/mascontainerca/status/1666616069434351616</v>
      </c>
      <c r="AF2900" s="79">
        <v>45085.055659722224</v>
      </c>
      <c r="AG2900" s="85">
        <v>45085</v>
      </c>
      <c r="AH2900" s="80" t="s">
        <v>13164</v>
      </c>
      <c r="AI2900" s="77" t="b">
        <v>0</v>
      </c>
      <c r="AJ2900" s="77"/>
      <c r="AK2900" s="77"/>
      <c r="AL2900" s="77"/>
      <c r="AM2900" s="77"/>
      <c r="AN2900" s="77"/>
      <c r="AO2900" s="77"/>
      <c r="AP2900" s="77"/>
      <c r="AQ2900" s="77"/>
      <c r="AR2900" s="77"/>
      <c r="AS2900" s="77"/>
      <c r="AT2900" s="77"/>
      <c r="AU2900" s="77"/>
      <c r="AV2900" s="83" t="str">
        <f>HYPERLINK("https://pbs.twimg.com/profile_images/1628548007997186049/IlM9t9sJ_normal.png")</f>
        <v>https://pbs.twimg.com/profile_images/1628548007997186049/IlM9t9sJ_normal.png</v>
      </c>
      <c r="AW2900" s="80" t="s">
        <v>18669</v>
      </c>
      <c r="AX2900" s="80" t="s">
        <v>18669</v>
      </c>
      <c r="AY2900" s="77"/>
      <c r="AZ2900" s="80" t="s">
        <v>20380</v>
      </c>
      <c r="BA2900" s="80" t="s">
        <v>20380</v>
      </c>
      <c r="BB2900" s="80" t="s">
        <v>20380</v>
      </c>
      <c r="BC2900" s="80" t="s">
        <v>18669</v>
      </c>
      <c r="BD2900" s="80" t="s">
        <v>20958</v>
      </c>
      <c r="BE2900" s="77"/>
      <c r="BF2900" s="77"/>
      <c r="BG2900" s="77"/>
      <c r="BH2900" s="77"/>
      <c r="BI2900" s="77"/>
    </row>
    <row r="2901" spans="1:61" x14ac:dyDescent="0.25">
      <c r="A2901" s="62" t="s">
        <v>1156</v>
      </c>
      <c r="B2901" s="62" t="s">
        <v>1156</v>
      </c>
      <c r="C2901" s="63"/>
      <c r="D2901" s="64"/>
      <c r="E2901" s="65"/>
      <c r="F2901" s="66"/>
      <c r="G2901" s="63"/>
      <c r="H2901" s="67"/>
      <c r="I2901" s="68"/>
      <c r="J2901" s="68"/>
      <c r="K2901" s="32"/>
      <c r="L2901" s="75">
        <v>2901</v>
      </c>
      <c r="M2901" s="75"/>
      <c r="N2901" s="70"/>
      <c r="O2901" s="77" t="s">
        <v>179</v>
      </c>
      <c r="P2901" s="79">
        <v>45143.055694444447</v>
      </c>
      <c r="Q2901" s="77" t="s">
        <v>4654</v>
      </c>
      <c r="R2901" s="77">
        <v>0</v>
      </c>
      <c r="S2901" s="77">
        <v>0</v>
      </c>
      <c r="T2901" s="77">
        <v>0</v>
      </c>
      <c r="U2901" s="77">
        <v>0</v>
      </c>
      <c r="V2901" s="77">
        <v>22</v>
      </c>
      <c r="W2901" s="80" t="s">
        <v>7686</v>
      </c>
      <c r="X2901" s="83" t="str">
        <f>HYPERLINK("https://mascontainercentroamerica.com/costa-rica-revisa-proyeccion-de-crecimiento-economico/")</f>
        <v>https://mascontainercentroamerica.com/costa-rica-revisa-proyeccion-de-crecimiento-economico/</v>
      </c>
      <c r="Y2901" s="77" t="s">
        <v>8807</v>
      </c>
      <c r="Z2901" s="77"/>
      <c r="AA2901" s="77"/>
      <c r="AB2901" s="77"/>
      <c r="AC2901" s="80" t="s">
        <v>10552</v>
      </c>
      <c r="AD2901" s="77" t="s">
        <v>10620</v>
      </c>
      <c r="AE2901" s="83" t="str">
        <f>HYPERLINK("https://twitter.com/mascontainerca/status/1687634575952941058")</f>
        <v>https://twitter.com/mascontainerca/status/1687634575952941058</v>
      </c>
      <c r="AF2901" s="79">
        <v>45143.055694444447</v>
      </c>
      <c r="AG2901" s="85">
        <v>45143</v>
      </c>
      <c r="AH2901" s="80" t="s">
        <v>13165</v>
      </c>
      <c r="AI2901" s="77" t="b">
        <v>0</v>
      </c>
      <c r="AJ2901" s="77"/>
      <c r="AK2901" s="77"/>
      <c r="AL2901" s="77"/>
      <c r="AM2901" s="77"/>
      <c r="AN2901" s="77"/>
      <c r="AO2901" s="77"/>
      <c r="AP2901" s="77"/>
      <c r="AQ2901" s="77"/>
      <c r="AR2901" s="77"/>
      <c r="AS2901" s="77"/>
      <c r="AT2901" s="77"/>
      <c r="AU2901" s="77"/>
      <c r="AV2901" s="83" t="str">
        <f>HYPERLINK("https://pbs.twimg.com/profile_images/1628548007997186049/IlM9t9sJ_normal.png")</f>
        <v>https://pbs.twimg.com/profile_images/1628548007997186049/IlM9t9sJ_normal.png</v>
      </c>
      <c r="AW2901" s="80" t="s">
        <v>18670</v>
      </c>
      <c r="AX2901" s="80" t="s">
        <v>18670</v>
      </c>
      <c r="AY2901" s="77"/>
      <c r="AZ2901" s="80" t="s">
        <v>20380</v>
      </c>
      <c r="BA2901" s="80" t="s">
        <v>20380</v>
      </c>
      <c r="BB2901" s="80" t="s">
        <v>20380</v>
      </c>
      <c r="BC2901" s="80" t="s">
        <v>18670</v>
      </c>
      <c r="BD2901" s="80" t="s">
        <v>20958</v>
      </c>
      <c r="BE2901" s="77"/>
      <c r="BF2901" s="77"/>
      <c r="BG2901" s="77"/>
      <c r="BH2901" s="77"/>
      <c r="BI2901" s="77"/>
    </row>
    <row r="2902" spans="1:61" x14ac:dyDescent="0.25">
      <c r="A2902" s="62" t="s">
        <v>1156</v>
      </c>
      <c r="B2902" s="62" t="s">
        <v>1156</v>
      </c>
      <c r="C2902" s="63"/>
      <c r="D2902" s="64"/>
      <c r="E2902" s="65"/>
      <c r="F2902" s="66"/>
      <c r="G2902" s="63"/>
      <c r="H2902" s="67"/>
      <c r="I2902" s="68"/>
      <c r="J2902" s="68"/>
      <c r="K2902" s="32"/>
      <c r="L2902" s="75">
        <v>2902</v>
      </c>
      <c r="M2902" s="75"/>
      <c r="N2902" s="70"/>
      <c r="O2902" s="77" t="s">
        <v>179</v>
      </c>
      <c r="P2902" s="79">
        <v>45145.805659722224</v>
      </c>
      <c r="Q2902" s="77" t="s">
        <v>4655</v>
      </c>
      <c r="R2902" s="77">
        <v>0</v>
      </c>
      <c r="S2902" s="77">
        <v>0</v>
      </c>
      <c r="T2902" s="77">
        <v>0</v>
      </c>
      <c r="U2902" s="77">
        <v>0</v>
      </c>
      <c r="V2902" s="77">
        <v>15</v>
      </c>
      <c r="W2902" s="80" t="s">
        <v>7687</v>
      </c>
      <c r="X2902" s="83" t="str">
        <f>HYPERLINK("https://mascontainercentroamerica.com/nicaragua-reservas-internacionales-alcanzan-us-4-989-millones/")</f>
        <v>https://mascontainercentroamerica.com/nicaragua-reservas-internacionales-alcanzan-us-4-989-millones/</v>
      </c>
      <c r="Y2902" s="77" t="s">
        <v>8807</v>
      </c>
      <c r="Z2902" s="77"/>
      <c r="AA2902" s="77"/>
      <c r="AB2902" s="77"/>
      <c r="AC2902" s="80" t="s">
        <v>10552</v>
      </c>
      <c r="AD2902" s="77" t="s">
        <v>10620</v>
      </c>
      <c r="AE2902" s="83" t="str">
        <f>HYPERLINK("https://twitter.com/mascontainerca/status/1688631130818236416")</f>
        <v>https://twitter.com/mascontainerca/status/1688631130818236416</v>
      </c>
      <c r="AF2902" s="79">
        <v>45145.805659722224</v>
      </c>
      <c r="AG2902" s="85">
        <v>45145</v>
      </c>
      <c r="AH2902" s="80" t="s">
        <v>13166</v>
      </c>
      <c r="AI2902" s="77" t="b">
        <v>0</v>
      </c>
      <c r="AJ2902" s="77"/>
      <c r="AK2902" s="77"/>
      <c r="AL2902" s="77"/>
      <c r="AM2902" s="77"/>
      <c r="AN2902" s="77"/>
      <c r="AO2902" s="77"/>
      <c r="AP2902" s="77"/>
      <c r="AQ2902" s="77"/>
      <c r="AR2902" s="77"/>
      <c r="AS2902" s="77"/>
      <c r="AT2902" s="77"/>
      <c r="AU2902" s="77"/>
      <c r="AV2902" s="83" t="str">
        <f>HYPERLINK("https://pbs.twimg.com/profile_images/1628548007997186049/IlM9t9sJ_normal.png")</f>
        <v>https://pbs.twimg.com/profile_images/1628548007997186049/IlM9t9sJ_normal.png</v>
      </c>
      <c r="AW2902" s="80" t="s">
        <v>18671</v>
      </c>
      <c r="AX2902" s="80" t="s">
        <v>18671</v>
      </c>
      <c r="AY2902" s="77"/>
      <c r="AZ2902" s="80" t="s">
        <v>20380</v>
      </c>
      <c r="BA2902" s="80" t="s">
        <v>20380</v>
      </c>
      <c r="BB2902" s="80" t="s">
        <v>20380</v>
      </c>
      <c r="BC2902" s="80" t="s">
        <v>18671</v>
      </c>
      <c r="BD2902" s="80" t="s">
        <v>20958</v>
      </c>
      <c r="BE2902" s="77"/>
      <c r="BF2902" s="77"/>
      <c r="BG2902" s="77"/>
      <c r="BH2902" s="77"/>
      <c r="BI2902" s="77"/>
    </row>
    <row r="2903" spans="1:61" x14ac:dyDescent="0.25">
      <c r="A2903" s="62" t="s">
        <v>1157</v>
      </c>
      <c r="B2903" s="62" t="s">
        <v>1157</v>
      </c>
      <c r="C2903" s="63"/>
      <c r="D2903" s="64"/>
      <c r="E2903" s="65"/>
      <c r="F2903" s="66"/>
      <c r="G2903" s="63"/>
      <c r="H2903" s="67"/>
      <c r="I2903" s="68"/>
      <c r="J2903" s="68"/>
      <c r="K2903" s="32"/>
      <c r="L2903" s="75">
        <v>2903</v>
      </c>
      <c r="M2903" s="75"/>
      <c r="N2903" s="70"/>
      <c r="O2903" s="77" t="s">
        <v>179</v>
      </c>
      <c r="P2903" s="79">
        <v>45056.75037037037</v>
      </c>
      <c r="Q2903" s="77" t="s">
        <v>4656</v>
      </c>
      <c r="R2903" s="77">
        <v>2</v>
      </c>
      <c r="S2903" s="77">
        <v>3</v>
      </c>
      <c r="T2903" s="77">
        <v>0</v>
      </c>
      <c r="U2903" s="77">
        <v>0</v>
      </c>
      <c r="V2903" s="77">
        <v>491</v>
      </c>
      <c r="W2903" s="80" t="s">
        <v>7688</v>
      </c>
      <c r="X2903" s="83" t="str">
        <f>HYPERLINK("https://www.youtube.com/watch?v=Xm3pxPmWVk4")</f>
        <v>https://www.youtube.com/watch?v=Xm3pxPmWVk4</v>
      </c>
      <c r="Y2903" s="77" t="s">
        <v>8612</v>
      </c>
      <c r="Z2903" s="77"/>
      <c r="AA2903" s="77" t="s">
        <v>9978</v>
      </c>
      <c r="AB2903" s="77" t="s">
        <v>10535</v>
      </c>
      <c r="AC2903" s="80" t="s">
        <v>10599</v>
      </c>
      <c r="AD2903" s="77" t="s">
        <v>10617</v>
      </c>
      <c r="AE2903" s="83" t="str">
        <f>HYPERLINK("https://twitter.com/operamundi/status/1656358574249897984")</f>
        <v>https://twitter.com/operamundi/status/1656358574249897984</v>
      </c>
      <c r="AF2903" s="79">
        <v>45056.75037037037</v>
      </c>
      <c r="AG2903" s="85">
        <v>45056</v>
      </c>
      <c r="AH2903" s="80" t="s">
        <v>13167</v>
      </c>
      <c r="AI2903" s="77" t="b">
        <v>0</v>
      </c>
      <c r="AJ2903" s="77"/>
      <c r="AK2903" s="77"/>
      <c r="AL2903" s="77"/>
      <c r="AM2903" s="77"/>
      <c r="AN2903" s="77"/>
      <c r="AO2903" s="77"/>
      <c r="AP2903" s="77"/>
      <c r="AQ2903" s="77" t="s">
        <v>15459</v>
      </c>
      <c r="AR2903" s="77"/>
      <c r="AS2903" s="77"/>
      <c r="AT2903" s="77"/>
      <c r="AU2903" s="77"/>
      <c r="AV2903" s="83" t="str">
        <f>HYPERLINK("https://pbs.twimg.com/media/FvyRWI7WYAEL0p8.jpg")</f>
        <v>https://pbs.twimg.com/media/FvyRWI7WYAEL0p8.jpg</v>
      </c>
      <c r="AW2903" s="80" t="s">
        <v>18672</v>
      </c>
      <c r="AX2903" s="80" t="s">
        <v>18672</v>
      </c>
      <c r="AY2903" s="77"/>
      <c r="AZ2903" s="80" t="s">
        <v>20380</v>
      </c>
      <c r="BA2903" s="80" t="s">
        <v>20380</v>
      </c>
      <c r="BB2903" s="80" t="s">
        <v>20380</v>
      </c>
      <c r="BC2903" s="80" t="s">
        <v>18672</v>
      </c>
      <c r="BD2903" s="77">
        <v>18144791</v>
      </c>
      <c r="BE2903" s="77"/>
      <c r="BF2903" s="77"/>
      <c r="BG2903" s="77"/>
      <c r="BH2903" s="77"/>
      <c r="BI2903" s="77"/>
    </row>
    <row r="2904" spans="1:61" x14ac:dyDescent="0.25">
      <c r="A2904" s="62" t="s">
        <v>1157</v>
      </c>
      <c r="B2904" s="62" t="s">
        <v>1157</v>
      </c>
      <c r="C2904" s="63"/>
      <c r="D2904" s="64"/>
      <c r="E2904" s="65"/>
      <c r="F2904" s="66"/>
      <c r="G2904" s="63"/>
      <c r="H2904" s="67"/>
      <c r="I2904" s="68"/>
      <c r="J2904" s="68"/>
      <c r="K2904" s="32"/>
      <c r="L2904" s="75">
        <v>2904</v>
      </c>
      <c r="M2904" s="75"/>
      <c r="N2904" s="70"/>
      <c r="O2904" s="77" t="s">
        <v>179</v>
      </c>
      <c r="P2904" s="79">
        <v>45050.878553240742</v>
      </c>
      <c r="Q2904" s="77" t="s">
        <v>4657</v>
      </c>
      <c r="R2904" s="77">
        <v>2</v>
      </c>
      <c r="S2904" s="77">
        <v>2</v>
      </c>
      <c r="T2904" s="77">
        <v>0</v>
      </c>
      <c r="U2904" s="77">
        <v>0</v>
      </c>
      <c r="V2904" s="77">
        <v>683</v>
      </c>
      <c r="W2904" s="80" t="s">
        <v>7689</v>
      </c>
      <c r="X2904" s="83" t="str">
        <f>HYPERLINK("https://www.youtube.com/watch?v=HaWeQVWNC3o")</f>
        <v>https://www.youtube.com/watch?v=HaWeQVWNC3o</v>
      </c>
      <c r="Y2904" s="77" t="s">
        <v>8612</v>
      </c>
      <c r="Z2904" s="77"/>
      <c r="AA2904" s="77" t="s">
        <v>9979</v>
      </c>
      <c r="AB2904" s="77" t="s">
        <v>10535</v>
      </c>
      <c r="AC2904" s="80" t="s">
        <v>10599</v>
      </c>
      <c r="AD2904" s="77" t="s">
        <v>10617</v>
      </c>
      <c r="AE2904" s="83" t="str">
        <f>HYPERLINK("https://twitter.com/operamundi/status/1654230698121744384")</f>
        <v>https://twitter.com/operamundi/status/1654230698121744384</v>
      </c>
      <c r="AF2904" s="79">
        <v>45050.878553240742</v>
      </c>
      <c r="AG2904" s="85">
        <v>45050</v>
      </c>
      <c r="AH2904" s="80" t="s">
        <v>13168</v>
      </c>
      <c r="AI2904" s="77" t="b">
        <v>0</v>
      </c>
      <c r="AJ2904" s="77"/>
      <c r="AK2904" s="77"/>
      <c r="AL2904" s="77"/>
      <c r="AM2904" s="77"/>
      <c r="AN2904" s="77"/>
      <c r="AO2904" s="77"/>
      <c r="AP2904" s="77"/>
      <c r="AQ2904" s="77" t="s">
        <v>15460</v>
      </c>
      <c r="AR2904" s="77"/>
      <c r="AS2904" s="77"/>
      <c r="AT2904" s="77"/>
      <c r="AU2904" s="77"/>
      <c r="AV2904" s="83" t="str">
        <f>HYPERLINK("https://pbs.twimg.com/media/FvUCDc6WcAIXeTh.jpg")</f>
        <v>https://pbs.twimg.com/media/FvUCDc6WcAIXeTh.jpg</v>
      </c>
      <c r="AW2904" s="80" t="s">
        <v>18673</v>
      </c>
      <c r="AX2904" s="80" t="s">
        <v>18673</v>
      </c>
      <c r="AY2904" s="77"/>
      <c r="AZ2904" s="80" t="s">
        <v>20380</v>
      </c>
      <c r="BA2904" s="80" t="s">
        <v>20380</v>
      </c>
      <c r="BB2904" s="80" t="s">
        <v>20380</v>
      </c>
      <c r="BC2904" s="80" t="s">
        <v>18673</v>
      </c>
      <c r="BD2904" s="77">
        <v>18144791</v>
      </c>
      <c r="BE2904" s="77"/>
      <c r="BF2904" s="77"/>
      <c r="BG2904" s="77"/>
      <c r="BH2904" s="77"/>
      <c r="BI2904" s="77"/>
    </row>
    <row r="2905" spans="1:61" x14ac:dyDescent="0.25">
      <c r="A2905" s="62" t="s">
        <v>1158</v>
      </c>
      <c r="B2905" s="62" t="s">
        <v>1158</v>
      </c>
      <c r="C2905" s="63"/>
      <c r="D2905" s="64"/>
      <c r="E2905" s="65"/>
      <c r="F2905" s="66"/>
      <c r="G2905" s="63"/>
      <c r="H2905" s="67"/>
      <c r="I2905" s="68"/>
      <c r="J2905" s="68"/>
      <c r="K2905" s="32"/>
      <c r="L2905" s="75">
        <v>2905</v>
      </c>
      <c r="M2905" s="75"/>
      <c r="N2905" s="70"/>
      <c r="O2905" s="77" t="s">
        <v>179</v>
      </c>
      <c r="P2905" s="79">
        <v>45057.838321759256</v>
      </c>
      <c r="Q2905" s="77" t="s">
        <v>4658</v>
      </c>
      <c r="R2905" s="77">
        <v>0</v>
      </c>
      <c r="S2905" s="77">
        <v>0</v>
      </c>
      <c r="T2905" s="77">
        <v>0</v>
      </c>
      <c r="U2905" s="77">
        <v>0</v>
      </c>
      <c r="V2905" s="77">
        <v>45</v>
      </c>
      <c r="W2905" s="80" t="s">
        <v>7335</v>
      </c>
      <c r="X2905" s="83" t="str">
        <f>HYPERLINK("https://saltaradionox.com/2023/05/el-banco-central-compro-us11-millones-y-suma-cinco-ruedas-consecutivas-con-saldo-positivo/")</f>
        <v>https://saltaradionox.com/2023/05/el-banco-central-compro-us11-millones-y-suma-cinco-ruedas-consecutivas-con-saldo-positivo/</v>
      </c>
      <c r="Y2905" s="77" t="s">
        <v>8808</v>
      </c>
      <c r="Z2905" s="77"/>
      <c r="AA2905" s="77"/>
      <c r="AB2905" s="77"/>
      <c r="AC2905" s="80" t="s">
        <v>10546</v>
      </c>
      <c r="AD2905" s="77" t="s">
        <v>10620</v>
      </c>
      <c r="AE2905" s="83" t="str">
        <f>HYPERLINK("https://twitter.com/pablomartearena/status/1656752833146810377")</f>
        <v>https://twitter.com/pablomartearena/status/1656752833146810377</v>
      </c>
      <c r="AF2905" s="79">
        <v>45057.838321759256</v>
      </c>
      <c r="AG2905" s="85">
        <v>45057</v>
      </c>
      <c r="AH2905" s="80" t="s">
        <v>13169</v>
      </c>
      <c r="AI2905" s="77" t="b">
        <v>0</v>
      </c>
      <c r="AJ2905" s="77"/>
      <c r="AK2905" s="77"/>
      <c r="AL2905" s="77"/>
      <c r="AM2905" s="77"/>
      <c r="AN2905" s="77"/>
      <c r="AO2905" s="77"/>
      <c r="AP2905" s="77"/>
      <c r="AQ2905" s="77"/>
      <c r="AR2905" s="77"/>
      <c r="AS2905" s="77"/>
      <c r="AT2905" s="77"/>
      <c r="AU2905" s="77"/>
      <c r="AV2905" s="83" t="str">
        <f>HYPERLINK("https://pbs.twimg.com/profile_images/1706862766206701568/LMRq3-oL_normal.jpg")</f>
        <v>https://pbs.twimg.com/profile_images/1706862766206701568/LMRq3-oL_normal.jpg</v>
      </c>
      <c r="AW2905" s="80" t="s">
        <v>18674</v>
      </c>
      <c r="AX2905" s="80" t="s">
        <v>18674</v>
      </c>
      <c r="AY2905" s="77"/>
      <c r="AZ2905" s="80" t="s">
        <v>20380</v>
      </c>
      <c r="BA2905" s="80" t="s">
        <v>20380</v>
      </c>
      <c r="BB2905" s="80" t="s">
        <v>20380</v>
      </c>
      <c r="BC2905" s="80" t="s">
        <v>18674</v>
      </c>
      <c r="BD2905" s="77">
        <v>183463551</v>
      </c>
      <c r="BE2905" s="77"/>
      <c r="BF2905" s="77"/>
      <c r="BG2905" s="77"/>
      <c r="BH2905" s="77"/>
      <c r="BI2905" s="77"/>
    </row>
    <row r="2906" spans="1:61" x14ac:dyDescent="0.25">
      <c r="A2906" s="62" t="s">
        <v>1158</v>
      </c>
      <c r="B2906" s="62" t="s">
        <v>1158</v>
      </c>
      <c r="C2906" s="63"/>
      <c r="D2906" s="64"/>
      <c r="E2906" s="65"/>
      <c r="F2906" s="66"/>
      <c r="G2906" s="63"/>
      <c r="H2906" s="67"/>
      <c r="I2906" s="68"/>
      <c r="J2906" s="68"/>
      <c r="K2906" s="32"/>
      <c r="L2906" s="75">
        <v>2906</v>
      </c>
      <c r="M2906" s="75"/>
      <c r="N2906" s="70"/>
      <c r="O2906" s="77" t="s">
        <v>179</v>
      </c>
      <c r="P2906" s="79">
        <v>45077.947870370372</v>
      </c>
      <c r="Q2906" s="77" t="s">
        <v>4659</v>
      </c>
      <c r="R2906" s="77">
        <v>0</v>
      </c>
      <c r="S2906" s="77">
        <v>0</v>
      </c>
      <c r="T2906" s="77">
        <v>0</v>
      </c>
      <c r="U2906" s="77">
        <v>0</v>
      </c>
      <c r="V2906" s="77">
        <v>17</v>
      </c>
      <c r="W2906" s="80" t="s">
        <v>7335</v>
      </c>
      <c r="X2906" s="83" t="str">
        <f>HYPERLINK("https://saltaradionox.com/el-banco-central-compro-us451-millones-y-acumula-17-ruedas-consecutivas-con-saldo-positivo/")</f>
        <v>https://saltaradionox.com/el-banco-central-compro-us451-millones-y-acumula-17-ruedas-consecutivas-con-saldo-positivo/</v>
      </c>
      <c r="Y2906" s="77" t="s">
        <v>8808</v>
      </c>
      <c r="Z2906" s="77"/>
      <c r="AA2906" s="77"/>
      <c r="AB2906" s="77"/>
      <c r="AC2906" s="80" t="s">
        <v>10546</v>
      </c>
      <c r="AD2906" s="77" t="s">
        <v>10620</v>
      </c>
      <c r="AE2906" s="83" t="str">
        <f>HYPERLINK("https://twitter.com/pablomartearena/status/1664040291257679872")</f>
        <v>https://twitter.com/pablomartearena/status/1664040291257679872</v>
      </c>
      <c r="AF2906" s="79">
        <v>45077.947870370372</v>
      </c>
      <c r="AG2906" s="85">
        <v>45077</v>
      </c>
      <c r="AH2906" s="80" t="s">
        <v>13170</v>
      </c>
      <c r="AI2906" s="77" t="b">
        <v>0</v>
      </c>
      <c r="AJ2906" s="77"/>
      <c r="AK2906" s="77"/>
      <c r="AL2906" s="77"/>
      <c r="AM2906" s="77"/>
      <c r="AN2906" s="77"/>
      <c r="AO2906" s="77"/>
      <c r="AP2906" s="77"/>
      <c r="AQ2906" s="77"/>
      <c r="AR2906" s="77"/>
      <c r="AS2906" s="77"/>
      <c r="AT2906" s="77"/>
      <c r="AU2906" s="77"/>
      <c r="AV2906" s="83" t="str">
        <f>HYPERLINK("https://pbs.twimg.com/profile_images/1706862766206701568/LMRq3-oL_normal.jpg")</f>
        <v>https://pbs.twimg.com/profile_images/1706862766206701568/LMRq3-oL_normal.jpg</v>
      </c>
      <c r="AW2906" s="80" t="s">
        <v>18675</v>
      </c>
      <c r="AX2906" s="80" t="s">
        <v>18675</v>
      </c>
      <c r="AY2906" s="77"/>
      <c r="AZ2906" s="80" t="s">
        <v>20380</v>
      </c>
      <c r="BA2906" s="80" t="s">
        <v>20380</v>
      </c>
      <c r="BB2906" s="80" t="s">
        <v>20380</v>
      </c>
      <c r="BC2906" s="80" t="s">
        <v>18675</v>
      </c>
      <c r="BD2906" s="77">
        <v>183463551</v>
      </c>
      <c r="BE2906" s="77"/>
      <c r="BF2906" s="77"/>
      <c r="BG2906" s="77"/>
      <c r="BH2906" s="77"/>
      <c r="BI2906" s="77"/>
    </row>
    <row r="2907" spans="1:61" x14ac:dyDescent="0.25">
      <c r="A2907" s="62" t="s">
        <v>1159</v>
      </c>
      <c r="B2907" s="62" t="s">
        <v>1159</v>
      </c>
      <c r="C2907" s="63"/>
      <c r="D2907" s="64"/>
      <c r="E2907" s="65"/>
      <c r="F2907" s="66"/>
      <c r="G2907" s="63"/>
      <c r="H2907" s="67"/>
      <c r="I2907" s="68"/>
      <c r="J2907" s="68"/>
      <c r="K2907" s="32"/>
      <c r="L2907" s="75">
        <v>2907</v>
      </c>
      <c r="M2907" s="75"/>
      <c r="N2907" s="70"/>
      <c r="O2907" s="77" t="s">
        <v>179</v>
      </c>
      <c r="P2907" s="79">
        <v>45049.983958333331</v>
      </c>
      <c r="Q2907" s="77" t="s">
        <v>4660</v>
      </c>
      <c r="R2907" s="77">
        <v>0</v>
      </c>
      <c r="S2907" s="77">
        <v>2</v>
      </c>
      <c r="T2907" s="77">
        <v>0</v>
      </c>
      <c r="U2907" s="77">
        <v>0</v>
      </c>
      <c r="V2907" s="77">
        <v>373</v>
      </c>
      <c r="W2907" s="80" t="s">
        <v>7690</v>
      </c>
      <c r="X2907" s="83" t="str">
        <f>HYPERLINK("https://portaldeprefeitura.com.br/2023/05/03/pela-sexta-vez-consecutiva-banco-central-nao-recua-e-mantem-taxa-de-juros-em-1375/")</f>
        <v>https://portaldeprefeitura.com.br/2023/05/03/pela-sexta-vez-consecutiva-banco-central-nao-recua-e-mantem-taxa-de-juros-em-1375/</v>
      </c>
      <c r="Y2907" s="77" t="s">
        <v>8611</v>
      </c>
      <c r="Z2907" s="77"/>
      <c r="AA2907" s="77"/>
      <c r="AB2907" s="77"/>
      <c r="AC2907" s="80" t="s">
        <v>10559</v>
      </c>
      <c r="AD2907" s="77" t="s">
        <v>10617</v>
      </c>
      <c r="AE2907" s="83" t="str">
        <f>HYPERLINK("https://twitter.com/p_prefeitura/status/1653906509909184512")</f>
        <v>https://twitter.com/p_prefeitura/status/1653906509909184512</v>
      </c>
      <c r="AF2907" s="79">
        <v>45049.983958333331</v>
      </c>
      <c r="AG2907" s="85">
        <v>45049</v>
      </c>
      <c r="AH2907" s="80" t="s">
        <v>13171</v>
      </c>
      <c r="AI2907" s="77" t="b">
        <v>0</v>
      </c>
      <c r="AJ2907" s="77"/>
      <c r="AK2907" s="77"/>
      <c r="AL2907" s="77"/>
      <c r="AM2907" s="77"/>
      <c r="AN2907" s="77"/>
      <c r="AO2907" s="77"/>
      <c r="AP2907" s="77"/>
      <c r="AQ2907" s="77"/>
      <c r="AR2907" s="77"/>
      <c r="AS2907" s="77"/>
      <c r="AT2907" s="77"/>
      <c r="AU2907" s="77"/>
      <c r="AV2907" s="83" t="str">
        <f>HYPERLINK("https://pbs.twimg.com/profile_images/1669793783867645969/-NOFVFmF_normal.jpg")</f>
        <v>https://pbs.twimg.com/profile_images/1669793783867645969/-NOFVFmF_normal.jpg</v>
      </c>
      <c r="AW2907" s="80" t="s">
        <v>18676</v>
      </c>
      <c r="AX2907" s="80" t="s">
        <v>18676</v>
      </c>
      <c r="AY2907" s="77"/>
      <c r="AZ2907" s="80" t="s">
        <v>20380</v>
      </c>
      <c r="BA2907" s="80" t="s">
        <v>20380</v>
      </c>
      <c r="BB2907" s="80" t="s">
        <v>20380</v>
      </c>
      <c r="BC2907" s="80" t="s">
        <v>18676</v>
      </c>
      <c r="BD2907" s="77">
        <v>3024436931</v>
      </c>
      <c r="BE2907" s="77"/>
      <c r="BF2907" s="77"/>
      <c r="BG2907" s="77"/>
      <c r="BH2907" s="77"/>
      <c r="BI2907" s="77"/>
    </row>
    <row r="2908" spans="1:61" x14ac:dyDescent="0.25">
      <c r="A2908" s="62" t="s">
        <v>1159</v>
      </c>
      <c r="B2908" s="62" t="s">
        <v>1159</v>
      </c>
      <c r="C2908" s="63"/>
      <c r="D2908" s="64"/>
      <c r="E2908" s="65"/>
      <c r="F2908" s="66"/>
      <c r="G2908" s="63"/>
      <c r="H2908" s="67"/>
      <c r="I2908" s="68"/>
      <c r="J2908" s="68"/>
      <c r="K2908" s="32"/>
      <c r="L2908" s="75">
        <v>2908</v>
      </c>
      <c r="M2908" s="75"/>
      <c r="N2908" s="70"/>
      <c r="O2908" s="77" t="s">
        <v>179</v>
      </c>
      <c r="P2908" s="79">
        <v>45134.698530092595</v>
      </c>
      <c r="Q2908" s="77" t="s">
        <v>4661</v>
      </c>
      <c r="R2908" s="77">
        <v>0</v>
      </c>
      <c r="S2908" s="77">
        <v>0</v>
      </c>
      <c r="T2908" s="77">
        <v>0</v>
      </c>
      <c r="U2908" s="77">
        <v>0</v>
      </c>
      <c r="V2908" s="77">
        <v>211</v>
      </c>
      <c r="W2908" s="80" t="s">
        <v>7691</v>
      </c>
      <c r="X2908" s="83" t="str">
        <f>HYPERLINK("https://portaldeprefeitura.com.br/2023/07/27/bancos-tem-queda-para-446-em-juros-medios-em-meio-a-expectativa-de-reducao-da-taxa-basica-pelo-bc/")</f>
        <v>https://portaldeprefeitura.com.br/2023/07/27/bancos-tem-queda-para-446-em-juros-medios-em-meio-a-expectativa-de-reducao-da-taxa-basica-pelo-bc/</v>
      </c>
      <c r="Y2908" s="77" t="s">
        <v>8611</v>
      </c>
      <c r="Z2908" s="77"/>
      <c r="AA2908" s="77"/>
      <c r="AB2908" s="77"/>
      <c r="AC2908" s="80" t="s">
        <v>10541</v>
      </c>
      <c r="AD2908" s="77" t="s">
        <v>10617</v>
      </c>
      <c r="AE2908" s="83" t="str">
        <f>HYPERLINK("https://twitter.com/p_prefeitura/status/1684606043400044558")</f>
        <v>https://twitter.com/p_prefeitura/status/1684606043400044558</v>
      </c>
      <c r="AF2908" s="79">
        <v>45134.698530092595</v>
      </c>
      <c r="AG2908" s="85">
        <v>45134</v>
      </c>
      <c r="AH2908" s="80" t="s">
        <v>13172</v>
      </c>
      <c r="AI2908" s="77" t="b">
        <v>0</v>
      </c>
      <c r="AJ2908" s="77"/>
      <c r="AK2908" s="77"/>
      <c r="AL2908" s="77"/>
      <c r="AM2908" s="77"/>
      <c r="AN2908" s="77"/>
      <c r="AO2908" s="77"/>
      <c r="AP2908" s="77"/>
      <c r="AQ2908" s="77"/>
      <c r="AR2908" s="77"/>
      <c r="AS2908" s="77"/>
      <c r="AT2908" s="77"/>
      <c r="AU2908" s="77"/>
      <c r="AV2908" s="83" t="str">
        <f>HYPERLINK("https://pbs.twimg.com/profile_images/1669793783867645969/-NOFVFmF_normal.jpg")</f>
        <v>https://pbs.twimg.com/profile_images/1669793783867645969/-NOFVFmF_normal.jpg</v>
      </c>
      <c r="AW2908" s="80" t="s">
        <v>18677</v>
      </c>
      <c r="AX2908" s="80" t="s">
        <v>18677</v>
      </c>
      <c r="AY2908" s="77"/>
      <c r="AZ2908" s="80" t="s">
        <v>20380</v>
      </c>
      <c r="BA2908" s="80" t="s">
        <v>20380</v>
      </c>
      <c r="BB2908" s="80" t="s">
        <v>20380</v>
      </c>
      <c r="BC2908" s="80" t="s">
        <v>18677</v>
      </c>
      <c r="BD2908" s="77">
        <v>3024436931</v>
      </c>
      <c r="BE2908" s="77"/>
      <c r="BF2908" s="77"/>
      <c r="BG2908" s="77"/>
      <c r="BH2908" s="77"/>
      <c r="BI2908" s="77"/>
    </row>
    <row r="2909" spans="1:61" x14ac:dyDescent="0.25">
      <c r="A2909" s="62" t="s">
        <v>1159</v>
      </c>
      <c r="B2909" s="62" t="s">
        <v>1159</v>
      </c>
      <c r="C2909" s="63"/>
      <c r="D2909" s="64"/>
      <c r="E2909" s="65"/>
      <c r="F2909" s="66"/>
      <c r="G2909" s="63"/>
      <c r="H2909" s="67"/>
      <c r="I2909" s="68"/>
      <c r="J2909" s="68"/>
      <c r="K2909" s="32"/>
      <c r="L2909" s="75">
        <v>2909</v>
      </c>
      <c r="M2909" s="75"/>
      <c r="N2909" s="70"/>
      <c r="O2909" s="77" t="s">
        <v>179</v>
      </c>
      <c r="P2909" s="79">
        <v>45161.636666666665</v>
      </c>
      <c r="Q2909" s="77" t="s">
        <v>4662</v>
      </c>
      <c r="R2909" s="77">
        <v>0</v>
      </c>
      <c r="S2909" s="77">
        <v>0</v>
      </c>
      <c r="T2909" s="77">
        <v>0</v>
      </c>
      <c r="U2909" s="77">
        <v>0</v>
      </c>
      <c r="V2909" s="77">
        <v>128</v>
      </c>
      <c r="W2909" s="80" t="s">
        <v>7692</v>
      </c>
      <c r="X2909" s="83" t="str">
        <f>HYPERLINK("https://portaldeprefeitura.com.br/2023/08/23/pix-banco-central-comunica-novo-vazamento-de-dados-cadastrais-centenas-de-clientes/")</f>
        <v>https://portaldeprefeitura.com.br/2023/08/23/pix-banco-central-comunica-novo-vazamento-de-dados-cadastrais-centenas-de-clientes/</v>
      </c>
      <c r="Y2909" s="77" t="s">
        <v>8611</v>
      </c>
      <c r="Z2909" s="77"/>
      <c r="AA2909" s="77"/>
      <c r="AB2909" s="77"/>
      <c r="AC2909" s="80" t="s">
        <v>10541</v>
      </c>
      <c r="AD2909" s="77" t="s">
        <v>10617</v>
      </c>
      <c r="AE2909" s="83" t="str">
        <f>HYPERLINK("https://twitter.com/p_prefeitura/status/1694368094955717022")</f>
        <v>https://twitter.com/p_prefeitura/status/1694368094955717022</v>
      </c>
      <c r="AF2909" s="79">
        <v>45161.636666666665</v>
      </c>
      <c r="AG2909" s="85">
        <v>45161</v>
      </c>
      <c r="AH2909" s="80" t="s">
        <v>13173</v>
      </c>
      <c r="AI2909" s="77" t="b">
        <v>0</v>
      </c>
      <c r="AJ2909" s="77"/>
      <c r="AK2909" s="77"/>
      <c r="AL2909" s="77"/>
      <c r="AM2909" s="77"/>
      <c r="AN2909" s="77"/>
      <c r="AO2909" s="77"/>
      <c r="AP2909" s="77"/>
      <c r="AQ2909" s="77"/>
      <c r="AR2909" s="77"/>
      <c r="AS2909" s="77"/>
      <c r="AT2909" s="77"/>
      <c r="AU2909" s="77"/>
      <c r="AV2909" s="83" t="str">
        <f>HYPERLINK("https://pbs.twimg.com/profile_images/1669793783867645969/-NOFVFmF_normal.jpg")</f>
        <v>https://pbs.twimg.com/profile_images/1669793783867645969/-NOFVFmF_normal.jpg</v>
      </c>
      <c r="AW2909" s="80" t="s">
        <v>18678</v>
      </c>
      <c r="AX2909" s="80" t="s">
        <v>18678</v>
      </c>
      <c r="AY2909" s="77"/>
      <c r="AZ2909" s="80" t="s">
        <v>20380</v>
      </c>
      <c r="BA2909" s="80" t="s">
        <v>20380</v>
      </c>
      <c r="BB2909" s="80" t="s">
        <v>20380</v>
      </c>
      <c r="BC2909" s="80" t="s">
        <v>18678</v>
      </c>
      <c r="BD2909" s="77">
        <v>3024436931</v>
      </c>
      <c r="BE2909" s="77"/>
      <c r="BF2909" s="77"/>
      <c r="BG2909" s="77"/>
      <c r="BH2909" s="77"/>
      <c r="BI2909" s="77"/>
    </row>
    <row r="2910" spans="1:61" x14ac:dyDescent="0.25">
      <c r="A2910" s="62" t="s">
        <v>1159</v>
      </c>
      <c r="B2910" s="62" t="s">
        <v>1159</v>
      </c>
      <c r="C2910" s="63"/>
      <c r="D2910" s="64"/>
      <c r="E2910" s="65"/>
      <c r="F2910" s="66"/>
      <c r="G2910" s="63"/>
      <c r="H2910" s="67"/>
      <c r="I2910" s="68"/>
      <c r="J2910" s="68"/>
      <c r="K2910" s="32"/>
      <c r="L2910" s="75">
        <v>2910</v>
      </c>
      <c r="M2910" s="75"/>
      <c r="N2910" s="70"/>
      <c r="O2910" s="77" t="s">
        <v>179</v>
      </c>
      <c r="P2910" s="79">
        <v>45161.635416666664</v>
      </c>
      <c r="Q2910" s="77" t="s">
        <v>4663</v>
      </c>
      <c r="R2910" s="77">
        <v>0</v>
      </c>
      <c r="S2910" s="77">
        <v>0</v>
      </c>
      <c r="T2910" s="77">
        <v>0</v>
      </c>
      <c r="U2910" s="77">
        <v>0</v>
      </c>
      <c r="V2910" s="77">
        <v>131</v>
      </c>
      <c r="W2910" s="80" t="s">
        <v>7692</v>
      </c>
      <c r="X2910" s="83" t="str">
        <f>HYPERLINK("https://portaldeprefeitura.com.br/2023/08/23/pix-banco-central-comunica-novo-vazamento-de-dados-cadastrais-centenas-de-clientes/")</f>
        <v>https://portaldeprefeitura.com.br/2023/08/23/pix-banco-central-comunica-novo-vazamento-de-dados-cadastrais-centenas-de-clientes/</v>
      </c>
      <c r="Y2910" s="77" t="s">
        <v>8611</v>
      </c>
      <c r="Z2910" s="77"/>
      <c r="AA2910" s="77"/>
      <c r="AB2910" s="77"/>
      <c r="AC2910" s="80" t="s">
        <v>10541</v>
      </c>
      <c r="AD2910" s="77" t="s">
        <v>10617</v>
      </c>
      <c r="AE2910" s="83" t="str">
        <f>HYPERLINK("https://twitter.com/p_prefeitura/status/1694367641924682081")</f>
        <v>https://twitter.com/p_prefeitura/status/1694367641924682081</v>
      </c>
      <c r="AF2910" s="79">
        <v>45161.635416666664</v>
      </c>
      <c r="AG2910" s="85">
        <v>45161</v>
      </c>
      <c r="AH2910" s="80" t="s">
        <v>12735</v>
      </c>
      <c r="AI2910" s="77" t="b">
        <v>0</v>
      </c>
      <c r="AJ2910" s="77"/>
      <c r="AK2910" s="77"/>
      <c r="AL2910" s="77"/>
      <c r="AM2910" s="77"/>
      <c r="AN2910" s="77"/>
      <c r="AO2910" s="77"/>
      <c r="AP2910" s="77"/>
      <c r="AQ2910" s="77"/>
      <c r="AR2910" s="77"/>
      <c r="AS2910" s="77"/>
      <c r="AT2910" s="77"/>
      <c r="AU2910" s="77"/>
      <c r="AV2910" s="83" t="str">
        <f>HYPERLINK("https://pbs.twimg.com/profile_images/1669793783867645969/-NOFVFmF_normal.jpg")</f>
        <v>https://pbs.twimg.com/profile_images/1669793783867645969/-NOFVFmF_normal.jpg</v>
      </c>
      <c r="AW2910" s="80" t="s">
        <v>18679</v>
      </c>
      <c r="AX2910" s="80" t="s">
        <v>18679</v>
      </c>
      <c r="AY2910" s="77"/>
      <c r="AZ2910" s="80" t="s">
        <v>20380</v>
      </c>
      <c r="BA2910" s="80" t="s">
        <v>20380</v>
      </c>
      <c r="BB2910" s="80" t="s">
        <v>20380</v>
      </c>
      <c r="BC2910" s="80" t="s">
        <v>18679</v>
      </c>
      <c r="BD2910" s="77">
        <v>3024436931</v>
      </c>
      <c r="BE2910" s="77"/>
      <c r="BF2910" s="77"/>
      <c r="BG2910" s="77"/>
      <c r="BH2910" s="77"/>
      <c r="BI2910" s="77"/>
    </row>
    <row r="2911" spans="1:61" x14ac:dyDescent="0.25">
      <c r="A2911" s="62" t="s">
        <v>1159</v>
      </c>
      <c r="B2911" s="62" t="s">
        <v>1159</v>
      </c>
      <c r="C2911" s="63"/>
      <c r="D2911" s="64"/>
      <c r="E2911" s="65"/>
      <c r="F2911" s="66"/>
      <c r="G2911" s="63"/>
      <c r="H2911" s="67"/>
      <c r="I2911" s="68"/>
      <c r="J2911" s="68"/>
      <c r="K2911" s="32"/>
      <c r="L2911" s="75">
        <v>2911</v>
      </c>
      <c r="M2911" s="75"/>
      <c r="N2911" s="70"/>
      <c r="O2911" s="77" t="s">
        <v>179</v>
      </c>
      <c r="P2911" s="79">
        <v>45129.85701388889</v>
      </c>
      <c r="Q2911" s="77" t="s">
        <v>4664</v>
      </c>
      <c r="R2911" s="77">
        <v>0</v>
      </c>
      <c r="S2911" s="77">
        <v>0</v>
      </c>
      <c r="T2911" s="77">
        <v>0</v>
      </c>
      <c r="U2911" s="77">
        <v>0</v>
      </c>
      <c r="V2911" s="77">
        <v>270</v>
      </c>
      <c r="W2911" s="80" t="s">
        <v>7693</v>
      </c>
      <c r="X2911" s="83" t="str">
        <f>HYPERLINK("https://portaldeprefeitura.com.br/2023/07/22/concurso-publico-federal-banco-central-autoriza-novo-edital-confira-detalhes/")</f>
        <v>https://portaldeprefeitura.com.br/2023/07/22/concurso-publico-federal-banco-central-autoriza-novo-edital-confira-detalhes/</v>
      </c>
      <c r="Y2911" s="77" t="s">
        <v>8611</v>
      </c>
      <c r="Z2911" s="77"/>
      <c r="AA2911" s="77"/>
      <c r="AB2911" s="77"/>
      <c r="AC2911" s="80" t="s">
        <v>10541</v>
      </c>
      <c r="AD2911" s="77" t="s">
        <v>10617</v>
      </c>
      <c r="AE2911" s="83" t="str">
        <f>HYPERLINK("https://twitter.com/p_prefeitura/status/1682851533119975424")</f>
        <v>https://twitter.com/p_prefeitura/status/1682851533119975424</v>
      </c>
      <c r="AF2911" s="79">
        <v>45129.85701388889</v>
      </c>
      <c r="AG2911" s="85">
        <v>45129</v>
      </c>
      <c r="AH2911" s="80" t="s">
        <v>13174</v>
      </c>
      <c r="AI2911" s="77" t="b">
        <v>0</v>
      </c>
      <c r="AJ2911" s="77"/>
      <c r="AK2911" s="77"/>
      <c r="AL2911" s="77"/>
      <c r="AM2911" s="77"/>
      <c r="AN2911" s="77"/>
      <c r="AO2911" s="77"/>
      <c r="AP2911" s="77"/>
      <c r="AQ2911" s="77"/>
      <c r="AR2911" s="77"/>
      <c r="AS2911" s="77"/>
      <c r="AT2911" s="77"/>
      <c r="AU2911" s="77"/>
      <c r="AV2911" s="83" t="str">
        <f>HYPERLINK("https://pbs.twimg.com/profile_images/1669793783867645969/-NOFVFmF_normal.jpg")</f>
        <v>https://pbs.twimg.com/profile_images/1669793783867645969/-NOFVFmF_normal.jpg</v>
      </c>
      <c r="AW2911" s="80" t="s">
        <v>18680</v>
      </c>
      <c r="AX2911" s="80" t="s">
        <v>18680</v>
      </c>
      <c r="AY2911" s="77"/>
      <c r="AZ2911" s="80" t="s">
        <v>20380</v>
      </c>
      <c r="BA2911" s="80" t="s">
        <v>20380</v>
      </c>
      <c r="BB2911" s="80" t="s">
        <v>20380</v>
      </c>
      <c r="BC2911" s="80" t="s">
        <v>18680</v>
      </c>
      <c r="BD2911" s="77">
        <v>3024436931</v>
      </c>
      <c r="BE2911" s="77"/>
      <c r="BF2911" s="77"/>
      <c r="BG2911" s="77"/>
      <c r="BH2911" s="77"/>
      <c r="BI2911" s="77"/>
    </row>
    <row r="2912" spans="1:61" x14ac:dyDescent="0.25">
      <c r="A2912" s="62" t="s">
        <v>1159</v>
      </c>
      <c r="B2912" s="62" t="s">
        <v>1159</v>
      </c>
      <c r="C2912" s="63"/>
      <c r="D2912" s="64"/>
      <c r="E2912" s="65"/>
      <c r="F2912" s="66"/>
      <c r="G2912" s="63"/>
      <c r="H2912" s="67"/>
      <c r="I2912" s="68"/>
      <c r="J2912" s="68"/>
      <c r="K2912" s="32"/>
      <c r="L2912" s="75">
        <v>2912</v>
      </c>
      <c r="M2912" s="75"/>
      <c r="N2912" s="70"/>
      <c r="O2912" s="77" t="s">
        <v>179</v>
      </c>
      <c r="P2912" s="79">
        <v>45090.946388888886</v>
      </c>
      <c r="Q2912" s="77" t="s">
        <v>4665</v>
      </c>
      <c r="R2912" s="77">
        <v>0</v>
      </c>
      <c r="S2912" s="77">
        <v>1</v>
      </c>
      <c r="T2912" s="77">
        <v>0</v>
      </c>
      <c r="U2912" s="77">
        <v>0</v>
      </c>
      <c r="V2912" s="77">
        <v>370</v>
      </c>
      <c r="W2912" s="80" t="s">
        <v>7694</v>
      </c>
      <c r="X2912" s="83" t="str">
        <f>HYPERLINK("https://portaldeprefeitura.com.br/2023/06/13/luiza-trajano-dona-do-magazine-luiza-diz-que-vai-ter-muita-gente-quebrada-no-brasil/")</f>
        <v>https://portaldeprefeitura.com.br/2023/06/13/luiza-trajano-dona-do-magazine-luiza-diz-que-vai-ter-muita-gente-quebrada-no-brasil/</v>
      </c>
      <c r="Y2912" s="77" t="s">
        <v>8611</v>
      </c>
      <c r="Z2912" s="77"/>
      <c r="AA2912" s="77"/>
      <c r="AB2912" s="77"/>
      <c r="AC2912" s="80" t="s">
        <v>10541</v>
      </c>
      <c r="AD2912" s="77" t="s">
        <v>10617</v>
      </c>
      <c r="AE2912" s="83" t="str">
        <f>HYPERLINK("https://twitter.com/p_prefeitura/status/1668750794685054977")</f>
        <v>https://twitter.com/p_prefeitura/status/1668750794685054977</v>
      </c>
      <c r="AF2912" s="79">
        <v>45090.946388888886</v>
      </c>
      <c r="AG2912" s="85">
        <v>45090</v>
      </c>
      <c r="AH2912" s="80" t="s">
        <v>13175</v>
      </c>
      <c r="AI2912" s="77" t="b">
        <v>0</v>
      </c>
      <c r="AJ2912" s="77"/>
      <c r="AK2912" s="77"/>
      <c r="AL2912" s="77"/>
      <c r="AM2912" s="77"/>
      <c r="AN2912" s="77"/>
      <c r="AO2912" s="77"/>
      <c r="AP2912" s="77"/>
      <c r="AQ2912" s="77"/>
      <c r="AR2912" s="77"/>
      <c r="AS2912" s="77"/>
      <c r="AT2912" s="77"/>
      <c r="AU2912" s="77"/>
      <c r="AV2912" s="83" t="str">
        <f>HYPERLINK("https://pbs.twimg.com/profile_images/1669793783867645969/-NOFVFmF_normal.jpg")</f>
        <v>https://pbs.twimg.com/profile_images/1669793783867645969/-NOFVFmF_normal.jpg</v>
      </c>
      <c r="AW2912" s="80" t="s">
        <v>18681</v>
      </c>
      <c r="AX2912" s="80" t="s">
        <v>18681</v>
      </c>
      <c r="AY2912" s="77"/>
      <c r="AZ2912" s="80" t="s">
        <v>20380</v>
      </c>
      <c r="BA2912" s="80" t="s">
        <v>20380</v>
      </c>
      <c r="BB2912" s="80" t="s">
        <v>20380</v>
      </c>
      <c r="BC2912" s="80" t="s">
        <v>18681</v>
      </c>
      <c r="BD2912" s="77">
        <v>3024436931</v>
      </c>
      <c r="BE2912" s="77"/>
      <c r="BF2912" s="77"/>
      <c r="BG2912" s="77"/>
      <c r="BH2912" s="77"/>
      <c r="BI2912" s="77"/>
    </row>
    <row r="2913" spans="1:61" x14ac:dyDescent="0.25">
      <c r="A2913" s="62" t="s">
        <v>1159</v>
      </c>
      <c r="B2913" s="62" t="s">
        <v>1159</v>
      </c>
      <c r="C2913" s="63"/>
      <c r="D2913" s="64"/>
      <c r="E2913" s="65"/>
      <c r="F2913" s="66"/>
      <c r="G2913" s="63"/>
      <c r="H2913" s="67"/>
      <c r="I2913" s="68"/>
      <c r="J2913" s="68"/>
      <c r="K2913" s="32"/>
      <c r="L2913" s="75">
        <v>2913</v>
      </c>
      <c r="M2913" s="75"/>
      <c r="N2913" s="70"/>
      <c r="O2913" s="77" t="s">
        <v>179</v>
      </c>
      <c r="P2913" s="79">
        <v>45166.601979166669</v>
      </c>
      <c r="Q2913" s="77" t="s">
        <v>4666</v>
      </c>
      <c r="R2913" s="77">
        <v>0</v>
      </c>
      <c r="S2913" s="77">
        <v>0</v>
      </c>
      <c r="T2913" s="77">
        <v>0</v>
      </c>
      <c r="U2913" s="77">
        <v>0</v>
      </c>
      <c r="V2913" s="77">
        <v>759</v>
      </c>
      <c r="W2913" s="80" t="s">
        <v>7695</v>
      </c>
      <c r="X2913" s="83" t="str">
        <f>HYPERLINK("https://portaldeprefeitura.com.br/2023/08/28/pib-2023-boletim-focus-divulga-elevamento-de-229-para-231-na-projecao-de-crescimento/")</f>
        <v>https://portaldeprefeitura.com.br/2023/08/28/pib-2023-boletim-focus-divulga-elevamento-de-229-para-231-na-projecao-de-crescimento/</v>
      </c>
      <c r="Y2913" s="77" t="s">
        <v>8611</v>
      </c>
      <c r="Z2913" s="77"/>
      <c r="AA2913" s="77"/>
      <c r="AB2913" s="77"/>
      <c r="AC2913" s="80" t="s">
        <v>10541</v>
      </c>
      <c r="AD2913" s="77" t="s">
        <v>10617</v>
      </c>
      <c r="AE2913" s="83" t="str">
        <f>HYPERLINK("https://twitter.com/p_prefeitura/status/1696167462939582569")</f>
        <v>https://twitter.com/p_prefeitura/status/1696167462939582569</v>
      </c>
      <c r="AF2913" s="79">
        <v>45166.601979166669</v>
      </c>
      <c r="AG2913" s="85">
        <v>45166</v>
      </c>
      <c r="AH2913" s="80" t="s">
        <v>13176</v>
      </c>
      <c r="AI2913" s="77" t="b">
        <v>0</v>
      </c>
      <c r="AJ2913" s="77"/>
      <c r="AK2913" s="77"/>
      <c r="AL2913" s="77"/>
      <c r="AM2913" s="77"/>
      <c r="AN2913" s="77"/>
      <c r="AO2913" s="77"/>
      <c r="AP2913" s="77"/>
      <c r="AQ2913" s="77"/>
      <c r="AR2913" s="77"/>
      <c r="AS2913" s="77"/>
      <c r="AT2913" s="77"/>
      <c r="AU2913" s="77"/>
      <c r="AV2913" s="83" t="str">
        <f>HYPERLINK("https://pbs.twimg.com/profile_images/1669793783867645969/-NOFVFmF_normal.jpg")</f>
        <v>https://pbs.twimg.com/profile_images/1669793783867645969/-NOFVFmF_normal.jpg</v>
      </c>
      <c r="AW2913" s="80" t="s">
        <v>18682</v>
      </c>
      <c r="AX2913" s="80" t="s">
        <v>18682</v>
      </c>
      <c r="AY2913" s="77"/>
      <c r="AZ2913" s="80" t="s">
        <v>20380</v>
      </c>
      <c r="BA2913" s="80" t="s">
        <v>20380</v>
      </c>
      <c r="BB2913" s="80" t="s">
        <v>20380</v>
      </c>
      <c r="BC2913" s="80" t="s">
        <v>18682</v>
      </c>
      <c r="BD2913" s="77">
        <v>3024436931</v>
      </c>
      <c r="BE2913" s="77"/>
      <c r="BF2913" s="77"/>
      <c r="BG2913" s="77"/>
      <c r="BH2913" s="77"/>
      <c r="BI2913" s="77"/>
    </row>
    <row r="2914" spans="1:61" x14ac:dyDescent="0.25">
      <c r="A2914" s="62" t="s">
        <v>1159</v>
      </c>
      <c r="B2914" s="62" t="s">
        <v>1159</v>
      </c>
      <c r="C2914" s="63"/>
      <c r="D2914" s="64"/>
      <c r="E2914" s="65"/>
      <c r="F2914" s="66"/>
      <c r="G2914" s="63"/>
      <c r="H2914" s="67"/>
      <c r="I2914" s="68"/>
      <c r="J2914" s="68"/>
      <c r="K2914" s="32"/>
      <c r="L2914" s="75">
        <v>2914</v>
      </c>
      <c r="M2914" s="75"/>
      <c r="N2914" s="70"/>
      <c r="O2914" s="77" t="s">
        <v>179</v>
      </c>
      <c r="P2914" s="79">
        <v>45164.645196759258</v>
      </c>
      <c r="Q2914" s="77" t="s">
        <v>4667</v>
      </c>
      <c r="R2914" s="77">
        <v>0</v>
      </c>
      <c r="S2914" s="77">
        <v>0</v>
      </c>
      <c r="T2914" s="77">
        <v>0</v>
      </c>
      <c r="U2914" s="77">
        <v>0</v>
      </c>
      <c r="V2914" s="77">
        <v>321</v>
      </c>
      <c r="W2914" s="80" t="s">
        <v>7696</v>
      </c>
      <c r="X2914" s="83" t="str">
        <f>HYPERLINK("https://portaldeprefeitura.com.br/2023/08/26/banco-central-esta-no-limite-de-sua-capacidade-de-entregas-para-a-sociedade-e-precisa-de-abertura-imeditada-da-mesa-de-negociacoes/")</f>
        <v>https://portaldeprefeitura.com.br/2023/08/26/banco-central-esta-no-limite-de-sua-capacidade-de-entregas-para-a-sociedade-e-precisa-de-abertura-imeditada-da-mesa-de-negociacoes/</v>
      </c>
      <c r="Y2914" s="77" t="s">
        <v>8611</v>
      </c>
      <c r="Z2914" s="77"/>
      <c r="AA2914" s="77"/>
      <c r="AB2914" s="77"/>
      <c r="AC2914" s="80" t="s">
        <v>10541</v>
      </c>
      <c r="AD2914" s="77" t="s">
        <v>10617</v>
      </c>
      <c r="AE2914" s="83" t="str">
        <f>HYPERLINK("https://twitter.com/p_prefeitura/status/1695458349561896975")</f>
        <v>https://twitter.com/p_prefeitura/status/1695458349561896975</v>
      </c>
      <c r="AF2914" s="79">
        <v>45164.645196759258</v>
      </c>
      <c r="AG2914" s="85">
        <v>45164</v>
      </c>
      <c r="AH2914" s="80" t="s">
        <v>13177</v>
      </c>
      <c r="AI2914" s="77" t="b">
        <v>0</v>
      </c>
      <c r="AJ2914" s="77"/>
      <c r="AK2914" s="77"/>
      <c r="AL2914" s="77"/>
      <c r="AM2914" s="77"/>
      <c r="AN2914" s="77"/>
      <c r="AO2914" s="77"/>
      <c r="AP2914" s="77"/>
      <c r="AQ2914" s="77"/>
      <c r="AR2914" s="77"/>
      <c r="AS2914" s="77"/>
      <c r="AT2914" s="77"/>
      <c r="AU2914" s="77"/>
      <c r="AV2914" s="83" t="str">
        <f>HYPERLINK("https://pbs.twimg.com/profile_images/1669793783867645969/-NOFVFmF_normal.jpg")</f>
        <v>https://pbs.twimg.com/profile_images/1669793783867645969/-NOFVFmF_normal.jpg</v>
      </c>
      <c r="AW2914" s="80" t="s">
        <v>18683</v>
      </c>
      <c r="AX2914" s="80" t="s">
        <v>18683</v>
      </c>
      <c r="AY2914" s="77"/>
      <c r="AZ2914" s="80" t="s">
        <v>20380</v>
      </c>
      <c r="BA2914" s="80" t="s">
        <v>20380</v>
      </c>
      <c r="BB2914" s="80" t="s">
        <v>20380</v>
      </c>
      <c r="BC2914" s="80" t="s">
        <v>18683</v>
      </c>
      <c r="BD2914" s="77">
        <v>3024436931</v>
      </c>
      <c r="BE2914" s="77"/>
      <c r="BF2914" s="77"/>
      <c r="BG2914" s="77"/>
      <c r="BH2914" s="77"/>
      <c r="BI2914" s="77"/>
    </row>
    <row r="2915" spans="1:61" x14ac:dyDescent="0.25">
      <c r="A2915" s="62" t="s">
        <v>1159</v>
      </c>
      <c r="B2915" s="62" t="s">
        <v>1159</v>
      </c>
      <c r="C2915" s="63"/>
      <c r="D2915" s="64"/>
      <c r="E2915" s="65"/>
      <c r="F2915" s="66"/>
      <c r="G2915" s="63"/>
      <c r="H2915" s="67"/>
      <c r="I2915" s="68"/>
      <c r="J2915" s="68"/>
      <c r="K2915" s="32"/>
      <c r="L2915" s="75">
        <v>2915</v>
      </c>
      <c r="M2915" s="75"/>
      <c r="N2915" s="70"/>
      <c r="O2915" s="77" t="s">
        <v>179</v>
      </c>
      <c r="P2915" s="79">
        <v>45180.74790509259</v>
      </c>
      <c r="Q2915" s="77" t="s">
        <v>4668</v>
      </c>
      <c r="R2915" s="77">
        <v>0</v>
      </c>
      <c r="S2915" s="77">
        <v>0</v>
      </c>
      <c r="T2915" s="77">
        <v>0</v>
      </c>
      <c r="U2915" s="77">
        <v>0</v>
      </c>
      <c r="V2915" s="77">
        <v>138</v>
      </c>
      <c r="W2915" s="80" t="s">
        <v>7697</v>
      </c>
      <c r="X2915" s="83" t="str">
        <f>HYPERLINK("https://portaldeprefeitura.com.br/2023/09/mercado-financeiro-eleva-para-264-projecao-do-crescimento-da-economia-em-2023-segundo-pesquisa-do-banco-central/")</f>
        <v>https://portaldeprefeitura.com.br/2023/09/mercado-financeiro-eleva-para-264-projecao-do-crescimento-da-economia-em-2023-segundo-pesquisa-do-banco-central/</v>
      </c>
      <c r="Y2915" s="77" t="s">
        <v>8611</v>
      </c>
      <c r="Z2915" s="77"/>
      <c r="AA2915" s="77"/>
      <c r="AB2915" s="77"/>
      <c r="AC2915" s="80" t="s">
        <v>10541</v>
      </c>
      <c r="AD2915" s="77" t="s">
        <v>10617</v>
      </c>
      <c r="AE2915" s="83" t="str">
        <f>HYPERLINK("https://twitter.com/p_prefeitura/status/1701293776591872416")</f>
        <v>https://twitter.com/p_prefeitura/status/1701293776591872416</v>
      </c>
      <c r="AF2915" s="79">
        <v>45180.74790509259</v>
      </c>
      <c r="AG2915" s="85">
        <v>45180</v>
      </c>
      <c r="AH2915" s="80" t="s">
        <v>13178</v>
      </c>
      <c r="AI2915" s="77" t="b">
        <v>0</v>
      </c>
      <c r="AJ2915" s="77"/>
      <c r="AK2915" s="77"/>
      <c r="AL2915" s="77"/>
      <c r="AM2915" s="77"/>
      <c r="AN2915" s="77"/>
      <c r="AO2915" s="77"/>
      <c r="AP2915" s="77"/>
      <c r="AQ2915" s="77"/>
      <c r="AR2915" s="77"/>
      <c r="AS2915" s="77"/>
      <c r="AT2915" s="77"/>
      <c r="AU2915" s="77"/>
      <c r="AV2915" s="83" t="str">
        <f>HYPERLINK("https://pbs.twimg.com/profile_images/1669793783867645969/-NOFVFmF_normal.jpg")</f>
        <v>https://pbs.twimg.com/profile_images/1669793783867645969/-NOFVFmF_normal.jpg</v>
      </c>
      <c r="AW2915" s="80" t="s">
        <v>18684</v>
      </c>
      <c r="AX2915" s="80" t="s">
        <v>18684</v>
      </c>
      <c r="AY2915" s="77"/>
      <c r="AZ2915" s="80" t="s">
        <v>20380</v>
      </c>
      <c r="BA2915" s="80" t="s">
        <v>20380</v>
      </c>
      <c r="BB2915" s="80" t="s">
        <v>20380</v>
      </c>
      <c r="BC2915" s="80" t="s">
        <v>18684</v>
      </c>
      <c r="BD2915" s="77">
        <v>3024436931</v>
      </c>
      <c r="BE2915" s="77"/>
      <c r="BF2915" s="77"/>
      <c r="BG2915" s="77"/>
      <c r="BH2915" s="77"/>
      <c r="BI2915" s="77"/>
    </row>
    <row r="2916" spans="1:61" x14ac:dyDescent="0.25">
      <c r="A2916" s="62" t="s">
        <v>1159</v>
      </c>
      <c r="B2916" s="62" t="s">
        <v>1159</v>
      </c>
      <c r="C2916" s="63"/>
      <c r="D2916" s="64"/>
      <c r="E2916" s="65"/>
      <c r="F2916" s="66"/>
      <c r="G2916" s="63"/>
      <c r="H2916" s="67"/>
      <c r="I2916" s="68"/>
      <c r="J2916" s="68"/>
      <c r="K2916" s="32"/>
      <c r="L2916" s="75">
        <v>2916</v>
      </c>
      <c r="M2916" s="75"/>
      <c r="N2916" s="70"/>
      <c r="O2916" s="77" t="s">
        <v>179</v>
      </c>
      <c r="P2916" s="79">
        <v>45196.031655092593</v>
      </c>
      <c r="Q2916" s="77" t="s">
        <v>4669</v>
      </c>
      <c r="R2916" s="77">
        <v>0</v>
      </c>
      <c r="S2916" s="77">
        <v>0</v>
      </c>
      <c r="T2916" s="77">
        <v>0</v>
      </c>
      <c r="U2916" s="77">
        <v>0</v>
      </c>
      <c r="V2916" s="77">
        <v>193</v>
      </c>
      <c r="W2916" s="80" t="s">
        <v>7698</v>
      </c>
      <c r="X2916" s="83" t="str">
        <f>HYPERLINK("https://portaldeprefeitura.com.br/2023/09/pix-banco-central-obriga-instituicoes-financeiras-a-avisar-clientes-sobre-vazamentos-de-dados/")</f>
        <v>https://portaldeprefeitura.com.br/2023/09/pix-banco-central-obriga-instituicoes-financeiras-a-avisar-clientes-sobre-vazamentos-de-dados/</v>
      </c>
      <c r="Y2916" s="77" t="s">
        <v>8611</v>
      </c>
      <c r="Z2916" s="77"/>
      <c r="AA2916" s="77"/>
      <c r="AB2916" s="77"/>
      <c r="AC2916" s="80" t="s">
        <v>10541</v>
      </c>
      <c r="AD2916" s="77" t="s">
        <v>10617</v>
      </c>
      <c r="AE2916" s="83" t="str">
        <f>HYPERLINK("https://twitter.com/p_prefeitura/status/1706832423412007388")</f>
        <v>https://twitter.com/p_prefeitura/status/1706832423412007388</v>
      </c>
      <c r="AF2916" s="79">
        <v>45196.031655092593</v>
      </c>
      <c r="AG2916" s="85">
        <v>45196</v>
      </c>
      <c r="AH2916" s="80" t="s">
        <v>13179</v>
      </c>
      <c r="AI2916" s="77" t="b">
        <v>0</v>
      </c>
      <c r="AJ2916" s="77"/>
      <c r="AK2916" s="77"/>
      <c r="AL2916" s="77"/>
      <c r="AM2916" s="77"/>
      <c r="AN2916" s="77"/>
      <c r="AO2916" s="77"/>
      <c r="AP2916" s="77"/>
      <c r="AQ2916" s="77"/>
      <c r="AR2916" s="77"/>
      <c r="AS2916" s="77"/>
      <c r="AT2916" s="77"/>
      <c r="AU2916" s="77"/>
      <c r="AV2916" s="83" t="str">
        <f>HYPERLINK("https://pbs.twimg.com/profile_images/1669793783867645969/-NOFVFmF_normal.jpg")</f>
        <v>https://pbs.twimg.com/profile_images/1669793783867645969/-NOFVFmF_normal.jpg</v>
      </c>
      <c r="AW2916" s="80" t="s">
        <v>18685</v>
      </c>
      <c r="AX2916" s="80" t="s">
        <v>18685</v>
      </c>
      <c r="AY2916" s="77"/>
      <c r="AZ2916" s="80" t="s">
        <v>20380</v>
      </c>
      <c r="BA2916" s="80" t="s">
        <v>20380</v>
      </c>
      <c r="BB2916" s="80" t="s">
        <v>20380</v>
      </c>
      <c r="BC2916" s="80" t="s">
        <v>18685</v>
      </c>
      <c r="BD2916" s="77">
        <v>3024436931</v>
      </c>
      <c r="BE2916" s="77"/>
      <c r="BF2916" s="77"/>
      <c r="BG2916" s="77"/>
      <c r="BH2916" s="77"/>
      <c r="BI2916" s="77"/>
    </row>
    <row r="2917" spans="1:61" x14ac:dyDescent="0.25">
      <c r="A2917" s="62" t="s">
        <v>1159</v>
      </c>
      <c r="B2917" s="62" t="s">
        <v>1159</v>
      </c>
      <c r="C2917" s="63"/>
      <c r="D2917" s="64"/>
      <c r="E2917" s="65"/>
      <c r="F2917" s="66"/>
      <c r="G2917" s="63"/>
      <c r="H2917" s="67"/>
      <c r="I2917" s="68"/>
      <c r="J2917" s="68"/>
      <c r="K2917" s="32"/>
      <c r="L2917" s="75">
        <v>2917</v>
      </c>
      <c r="M2917" s="75"/>
      <c r="N2917" s="70"/>
      <c r="O2917" s="77" t="s">
        <v>179</v>
      </c>
      <c r="P2917" s="79">
        <v>45171.481400462966</v>
      </c>
      <c r="Q2917" s="77" t="s">
        <v>4670</v>
      </c>
      <c r="R2917" s="77">
        <v>0</v>
      </c>
      <c r="S2917" s="77">
        <v>0</v>
      </c>
      <c r="T2917" s="77">
        <v>0</v>
      </c>
      <c r="U2917" s="77">
        <v>0</v>
      </c>
      <c r="V2917" s="77">
        <v>211</v>
      </c>
      <c r="W2917" s="80" t="s">
        <v>7699</v>
      </c>
      <c r="X2917" s="83" t="str">
        <f>HYPERLINK("https://portaldeprefeitura.com.br/2023/09/02/lula-diz-que-juros-ainda-estao-altos-e-critica-presidente-do-banco-central-vamos-continuar-brigando/")</f>
        <v>https://portaldeprefeitura.com.br/2023/09/02/lula-diz-que-juros-ainda-estao-altos-e-critica-presidente-do-banco-central-vamos-continuar-brigando/</v>
      </c>
      <c r="Y2917" s="77" t="s">
        <v>8611</v>
      </c>
      <c r="Z2917" s="77"/>
      <c r="AA2917" s="77"/>
      <c r="AB2917" s="77"/>
      <c r="AC2917" s="80" t="s">
        <v>10541</v>
      </c>
      <c r="AD2917" s="77" t="s">
        <v>10617</v>
      </c>
      <c r="AE2917" s="83" t="str">
        <f>HYPERLINK("https://twitter.com/p_prefeitura/status/1697935708005027905")</f>
        <v>https://twitter.com/p_prefeitura/status/1697935708005027905</v>
      </c>
      <c r="AF2917" s="79">
        <v>45171.481400462966</v>
      </c>
      <c r="AG2917" s="85">
        <v>45171</v>
      </c>
      <c r="AH2917" s="80" t="s">
        <v>13180</v>
      </c>
      <c r="AI2917" s="77" t="b">
        <v>0</v>
      </c>
      <c r="AJ2917" s="77"/>
      <c r="AK2917" s="77"/>
      <c r="AL2917" s="77"/>
      <c r="AM2917" s="77"/>
      <c r="AN2917" s="77"/>
      <c r="AO2917" s="77"/>
      <c r="AP2917" s="77"/>
      <c r="AQ2917" s="77"/>
      <c r="AR2917" s="77"/>
      <c r="AS2917" s="77"/>
      <c r="AT2917" s="77"/>
      <c r="AU2917" s="77"/>
      <c r="AV2917" s="83" t="str">
        <f>HYPERLINK("https://pbs.twimg.com/profile_images/1669793783867645969/-NOFVFmF_normal.jpg")</f>
        <v>https://pbs.twimg.com/profile_images/1669793783867645969/-NOFVFmF_normal.jpg</v>
      </c>
      <c r="AW2917" s="80" t="s">
        <v>18686</v>
      </c>
      <c r="AX2917" s="80" t="s">
        <v>18686</v>
      </c>
      <c r="AY2917" s="77"/>
      <c r="AZ2917" s="80" t="s">
        <v>20380</v>
      </c>
      <c r="BA2917" s="80" t="s">
        <v>20380</v>
      </c>
      <c r="BB2917" s="80" t="s">
        <v>20380</v>
      </c>
      <c r="BC2917" s="80" t="s">
        <v>18686</v>
      </c>
      <c r="BD2917" s="77">
        <v>3024436931</v>
      </c>
      <c r="BE2917" s="77"/>
      <c r="BF2917" s="77"/>
      <c r="BG2917" s="77"/>
      <c r="BH2917" s="77"/>
      <c r="BI2917" s="77"/>
    </row>
    <row r="2918" spans="1:61" x14ac:dyDescent="0.25">
      <c r="A2918" s="62" t="s">
        <v>1159</v>
      </c>
      <c r="B2918" s="62" t="s">
        <v>1159</v>
      </c>
      <c r="C2918" s="63"/>
      <c r="D2918" s="64"/>
      <c r="E2918" s="65"/>
      <c r="F2918" s="66"/>
      <c r="G2918" s="63"/>
      <c r="H2918" s="67"/>
      <c r="I2918" s="68"/>
      <c r="J2918" s="68"/>
      <c r="K2918" s="32"/>
      <c r="L2918" s="75">
        <v>2918</v>
      </c>
      <c r="M2918" s="75"/>
      <c r="N2918" s="70"/>
      <c r="O2918" s="77" t="s">
        <v>179</v>
      </c>
      <c r="P2918" s="79">
        <v>45170.687731481485</v>
      </c>
      <c r="Q2918" s="77" t="s">
        <v>4671</v>
      </c>
      <c r="R2918" s="77">
        <v>0</v>
      </c>
      <c r="S2918" s="77">
        <v>0</v>
      </c>
      <c r="T2918" s="77">
        <v>0</v>
      </c>
      <c r="U2918" s="77">
        <v>0</v>
      </c>
      <c r="V2918" s="77">
        <v>208</v>
      </c>
      <c r="W2918" s="80" t="s">
        <v>7700</v>
      </c>
      <c r="X2918" s="83" t="str">
        <f>HYPERLINK("https://portaldeprefeitura.com.br/2023/09/01/lula-para-campos-neto-nao-pense-que-acho-que-o-juro-esta-baixo/")</f>
        <v>https://portaldeprefeitura.com.br/2023/09/01/lula-para-campos-neto-nao-pense-que-acho-que-o-juro-esta-baixo/</v>
      </c>
      <c r="Y2918" s="77" t="s">
        <v>8611</v>
      </c>
      <c r="Z2918" s="77"/>
      <c r="AA2918" s="77"/>
      <c r="AB2918" s="77"/>
      <c r="AC2918" s="80" t="s">
        <v>10541</v>
      </c>
      <c r="AD2918" s="77" t="s">
        <v>10617</v>
      </c>
      <c r="AE2918" s="83" t="str">
        <f>HYPERLINK("https://twitter.com/p_prefeitura/status/1697648091246080456")</f>
        <v>https://twitter.com/p_prefeitura/status/1697648091246080456</v>
      </c>
      <c r="AF2918" s="79">
        <v>45170.687731481485</v>
      </c>
      <c r="AG2918" s="85">
        <v>45170</v>
      </c>
      <c r="AH2918" s="80" t="s">
        <v>13181</v>
      </c>
      <c r="AI2918" s="77" t="b">
        <v>0</v>
      </c>
      <c r="AJ2918" s="77"/>
      <c r="AK2918" s="77"/>
      <c r="AL2918" s="77"/>
      <c r="AM2918" s="77"/>
      <c r="AN2918" s="77"/>
      <c r="AO2918" s="77"/>
      <c r="AP2918" s="77"/>
      <c r="AQ2918" s="77"/>
      <c r="AR2918" s="77"/>
      <c r="AS2918" s="77"/>
      <c r="AT2918" s="77"/>
      <c r="AU2918" s="77"/>
      <c r="AV2918" s="83" t="str">
        <f>HYPERLINK("https://pbs.twimg.com/profile_images/1669793783867645969/-NOFVFmF_normal.jpg")</f>
        <v>https://pbs.twimg.com/profile_images/1669793783867645969/-NOFVFmF_normal.jpg</v>
      </c>
      <c r="AW2918" s="80" t="s">
        <v>18687</v>
      </c>
      <c r="AX2918" s="80" t="s">
        <v>18687</v>
      </c>
      <c r="AY2918" s="77"/>
      <c r="AZ2918" s="80" t="s">
        <v>20380</v>
      </c>
      <c r="BA2918" s="80" t="s">
        <v>20380</v>
      </c>
      <c r="BB2918" s="80" t="s">
        <v>20380</v>
      </c>
      <c r="BC2918" s="80" t="s">
        <v>18687</v>
      </c>
      <c r="BD2918" s="77">
        <v>3024436931</v>
      </c>
      <c r="BE2918" s="77"/>
      <c r="BF2918" s="77"/>
      <c r="BG2918" s="77"/>
      <c r="BH2918" s="77"/>
      <c r="BI2918" s="77"/>
    </row>
    <row r="2919" spans="1:61" x14ac:dyDescent="0.25">
      <c r="A2919" s="62" t="s">
        <v>1159</v>
      </c>
      <c r="B2919" s="62" t="s">
        <v>1159</v>
      </c>
      <c r="C2919" s="63"/>
      <c r="D2919" s="64"/>
      <c r="E2919" s="65"/>
      <c r="F2919" s="66"/>
      <c r="G2919" s="63"/>
      <c r="H2919" s="67"/>
      <c r="I2919" s="68"/>
      <c r="J2919" s="68"/>
      <c r="K2919" s="32"/>
      <c r="L2919" s="75">
        <v>2919</v>
      </c>
      <c r="M2919" s="75"/>
      <c r="N2919" s="70"/>
      <c r="O2919" s="77" t="s">
        <v>179</v>
      </c>
      <c r="P2919" s="79">
        <v>45099.636678240742</v>
      </c>
      <c r="Q2919" s="77" t="s">
        <v>4672</v>
      </c>
      <c r="R2919" s="77">
        <v>0</v>
      </c>
      <c r="S2919" s="77">
        <v>0</v>
      </c>
      <c r="T2919" s="77">
        <v>1</v>
      </c>
      <c r="U2919" s="77">
        <v>0</v>
      </c>
      <c r="V2919" s="77">
        <v>279</v>
      </c>
      <c r="W2919" s="80" t="s">
        <v>7701</v>
      </c>
      <c r="X2919" s="83" t="str">
        <f>HYPERLINK("https://portaldeprefeitura.com.br/2023/06/22/lula-diz-que-banco-central-manter-taxa-de-juros-em-1375-e-irracional/")</f>
        <v>https://portaldeprefeitura.com.br/2023/06/22/lula-diz-que-banco-central-manter-taxa-de-juros-em-1375-e-irracional/</v>
      </c>
      <c r="Y2919" s="77" t="s">
        <v>8611</v>
      </c>
      <c r="Z2919" s="77"/>
      <c r="AA2919" s="77"/>
      <c r="AB2919" s="77"/>
      <c r="AC2919" s="80" t="s">
        <v>10541</v>
      </c>
      <c r="AD2919" s="77" t="s">
        <v>10617</v>
      </c>
      <c r="AE2919" s="83" t="str">
        <f>HYPERLINK("https://twitter.com/p_prefeitura/status/1671900052430700545")</f>
        <v>https://twitter.com/p_prefeitura/status/1671900052430700545</v>
      </c>
      <c r="AF2919" s="79">
        <v>45099.636678240742</v>
      </c>
      <c r="AG2919" s="85">
        <v>45099</v>
      </c>
      <c r="AH2919" s="80" t="s">
        <v>13182</v>
      </c>
      <c r="AI2919" s="77" t="b">
        <v>0</v>
      </c>
      <c r="AJ2919" s="77"/>
      <c r="AK2919" s="77"/>
      <c r="AL2919" s="77"/>
      <c r="AM2919" s="77"/>
      <c r="AN2919" s="77"/>
      <c r="AO2919" s="77"/>
      <c r="AP2919" s="77"/>
      <c r="AQ2919" s="77"/>
      <c r="AR2919" s="77"/>
      <c r="AS2919" s="77"/>
      <c r="AT2919" s="77"/>
      <c r="AU2919" s="77"/>
      <c r="AV2919" s="83" t="str">
        <f>HYPERLINK("https://pbs.twimg.com/profile_images/1669793783867645969/-NOFVFmF_normal.jpg")</f>
        <v>https://pbs.twimg.com/profile_images/1669793783867645969/-NOFVFmF_normal.jpg</v>
      </c>
      <c r="AW2919" s="80" t="s">
        <v>18688</v>
      </c>
      <c r="AX2919" s="80" t="s">
        <v>18688</v>
      </c>
      <c r="AY2919" s="77"/>
      <c r="AZ2919" s="80" t="s">
        <v>20380</v>
      </c>
      <c r="BA2919" s="80" t="s">
        <v>20380</v>
      </c>
      <c r="BB2919" s="80" t="s">
        <v>20380</v>
      </c>
      <c r="BC2919" s="80" t="s">
        <v>18688</v>
      </c>
      <c r="BD2919" s="77">
        <v>3024436931</v>
      </c>
      <c r="BE2919" s="77"/>
      <c r="BF2919" s="77"/>
      <c r="BG2919" s="77"/>
      <c r="BH2919" s="77"/>
      <c r="BI2919" s="77"/>
    </row>
    <row r="2920" spans="1:61" x14ac:dyDescent="0.25">
      <c r="A2920" s="62" t="s">
        <v>1159</v>
      </c>
      <c r="B2920" s="62" t="s">
        <v>1159</v>
      </c>
      <c r="C2920" s="63"/>
      <c r="D2920" s="64"/>
      <c r="E2920" s="65"/>
      <c r="F2920" s="66"/>
      <c r="G2920" s="63"/>
      <c r="H2920" s="67"/>
      <c r="I2920" s="68"/>
      <c r="J2920" s="68"/>
      <c r="K2920" s="32"/>
      <c r="L2920" s="75">
        <v>2920</v>
      </c>
      <c r="M2920" s="75"/>
      <c r="N2920" s="70"/>
      <c r="O2920" s="77" t="s">
        <v>179</v>
      </c>
      <c r="P2920" s="79">
        <v>45099.619108796294</v>
      </c>
      <c r="Q2920" s="77" t="s">
        <v>4673</v>
      </c>
      <c r="R2920" s="77">
        <v>0</v>
      </c>
      <c r="S2920" s="77">
        <v>0</v>
      </c>
      <c r="T2920" s="77">
        <v>1</v>
      </c>
      <c r="U2920" s="77">
        <v>0</v>
      </c>
      <c r="V2920" s="77">
        <v>281</v>
      </c>
      <c r="W2920" s="80" t="s">
        <v>7702</v>
      </c>
      <c r="X2920" s="83" t="str">
        <f>HYPERLINK("https://portaldeprefeitura.com.br/2023/06/22/banco-central-mantem-taxa-de-juros-em-1375-pela-setima-vez-seguida/")</f>
        <v>https://portaldeprefeitura.com.br/2023/06/22/banco-central-mantem-taxa-de-juros-em-1375-pela-setima-vez-seguida/</v>
      </c>
      <c r="Y2920" s="77" t="s">
        <v>8611</v>
      </c>
      <c r="Z2920" s="77"/>
      <c r="AA2920" s="77"/>
      <c r="AB2920" s="77"/>
      <c r="AC2920" s="80" t="s">
        <v>10541</v>
      </c>
      <c r="AD2920" s="77" t="s">
        <v>10617</v>
      </c>
      <c r="AE2920" s="83" t="str">
        <f>HYPERLINK("https://twitter.com/p_prefeitura/status/1671893684948971523")</f>
        <v>https://twitter.com/p_prefeitura/status/1671893684948971523</v>
      </c>
      <c r="AF2920" s="79">
        <v>45099.619108796294</v>
      </c>
      <c r="AG2920" s="85">
        <v>45099</v>
      </c>
      <c r="AH2920" s="80" t="s">
        <v>13183</v>
      </c>
      <c r="AI2920" s="77" t="b">
        <v>0</v>
      </c>
      <c r="AJ2920" s="77"/>
      <c r="AK2920" s="77"/>
      <c r="AL2920" s="77"/>
      <c r="AM2920" s="77"/>
      <c r="AN2920" s="77"/>
      <c r="AO2920" s="77"/>
      <c r="AP2920" s="77"/>
      <c r="AQ2920" s="77"/>
      <c r="AR2920" s="77"/>
      <c r="AS2920" s="77"/>
      <c r="AT2920" s="77"/>
      <c r="AU2920" s="77"/>
      <c r="AV2920" s="83" t="str">
        <f>HYPERLINK("https://pbs.twimg.com/profile_images/1669793783867645969/-NOFVFmF_normal.jpg")</f>
        <v>https://pbs.twimg.com/profile_images/1669793783867645969/-NOFVFmF_normal.jpg</v>
      </c>
      <c r="AW2920" s="80" t="s">
        <v>18689</v>
      </c>
      <c r="AX2920" s="80" t="s">
        <v>18689</v>
      </c>
      <c r="AY2920" s="77"/>
      <c r="AZ2920" s="80" t="s">
        <v>20380</v>
      </c>
      <c r="BA2920" s="80" t="s">
        <v>20380</v>
      </c>
      <c r="BB2920" s="80" t="s">
        <v>20380</v>
      </c>
      <c r="BC2920" s="80" t="s">
        <v>18689</v>
      </c>
      <c r="BD2920" s="77">
        <v>3024436931</v>
      </c>
      <c r="BE2920" s="77"/>
      <c r="BF2920" s="77"/>
      <c r="BG2920" s="77"/>
      <c r="BH2920" s="77"/>
      <c r="BI2920" s="77"/>
    </row>
    <row r="2921" spans="1:61" x14ac:dyDescent="0.25">
      <c r="A2921" s="62" t="s">
        <v>1159</v>
      </c>
      <c r="B2921" s="62" t="s">
        <v>1159</v>
      </c>
      <c r="C2921" s="63"/>
      <c r="D2921" s="64"/>
      <c r="E2921" s="65"/>
      <c r="F2921" s="66"/>
      <c r="G2921" s="63"/>
      <c r="H2921" s="67"/>
      <c r="I2921" s="68"/>
      <c r="J2921" s="68"/>
      <c r="K2921" s="32"/>
      <c r="L2921" s="75">
        <v>2921</v>
      </c>
      <c r="M2921" s="75"/>
      <c r="N2921" s="70"/>
      <c r="O2921" s="77" t="s">
        <v>179</v>
      </c>
      <c r="P2921" s="79">
        <v>45196.714606481481</v>
      </c>
      <c r="Q2921" s="77" t="s">
        <v>4674</v>
      </c>
      <c r="R2921" s="77">
        <v>0</v>
      </c>
      <c r="S2921" s="77">
        <v>0</v>
      </c>
      <c r="T2921" s="77">
        <v>0</v>
      </c>
      <c r="U2921" s="77">
        <v>0</v>
      </c>
      <c r="V2921" s="77">
        <v>184</v>
      </c>
      <c r="W2921" s="80" t="s">
        <v>7703</v>
      </c>
      <c r="X2921" s="83" t="str">
        <f>HYPERLINK("https://portaldeprefeitura.com.br/2023/09/lula-vai-se-reunir-com-campos-neto-pela-primeira-vez-nesta-quarta-27/")</f>
        <v>https://portaldeprefeitura.com.br/2023/09/lula-vai-se-reunir-com-campos-neto-pela-primeira-vez-nesta-quarta-27/</v>
      </c>
      <c r="Y2921" s="77" t="s">
        <v>8611</v>
      </c>
      <c r="Z2921" s="77"/>
      <c r="AA2921" s="77"/>
      <c r="AB2921" s="77"/>
      <c r="AC2921" s="80" t="s">
        <v>10541</v>
      </c>
      <c r="AD2921" s="77" t="s">
        <v>10617</v>
      </c>
      <c r="AE2921" s="83" t="str">
        <f>HYPERLINK("https://twitter.com/p_prefeitura/status/1707079913684033836")</f>
        <v>https://twitter.com/p_prefeitura/status/1707079913684033836</v>
      </c>
      <c r="AF2921" s="79">
        <v>45196.714606481481</v>
      </c>
      <c r="AG2921" s="85">
        <v>45196</v>
      </c>
      <c r="AH2921" s="80" t="s">
        <v>13184</v>
      </c>
      <c r="AI2921" s="77" t="b">
        <v>0</v>
      </c>
      <c r="AJ2921" s="77"/>
      <c r="AK2921" s="77"/>
      <c r="AL2921" s="77"/>
      <c r="AM2921" s="77"/>
      <c r="AN2921" s="77"/>
      <c r="AO2921" s="77"/>
      <c r="AP2921" s="77"/>
      <c r="AQ2921" s="77"/>
      <c r="AR2921" s="77"/>
      <c r="AS2921" s="77"/>
      <c r="AT2921" s="77"/>
      <c r="AU2921" s="77"/>
      <c r="AV2921" s="83" t="str">
        <f>HYPERLINK("https://pbs.twimg.com/profile_images/1669793783867645969/-NOFVFmF_normal.jpg")</f>
        <v>https://pbs.twimg.com/profile_images/1669793783867645969/-NOFVFmF_normal.jpg</v>
      </c>
      <c r="AW2921" s="80" t="s">
        <v>18690</v>
      </c>
      <c r="AX2921" s="80" t="s">
        <v>18690</v>
      </c>
      <c r="AY2921" s="77"/>
      <c r="AZ2921" s="80" t="s">
        <v>20380</v>
      </c>
      <c r="BA2921" s="80" t="s">
        <v>20380</v>
      </c>
      <c r="BB2921" s="80" t="s">
        <v>20380</v>
      </c>
      <c r="BC2921" s="80" t="s">
        <v>18690</v>
      </c>
      <c r="BD2921" s="77">
        <v>3024436931</v>
      </c>
      <c r="BE2921" s="77"/>
      <c r="BF2921" s="77"/>
      <c r="BG2921" s="77"/>
      <c r="BH2921" s="77"/>
      <c r="BI2921" s="77"/>
    </row>
    <row r="2922" spans="1:61" x14ac:dyDescent="0.25">
      <c r="A2922" s="62" t="s">
        <v>1159</v>
      </c>
      <c r="B2922" s="62" t="s">
        <v>1159</v>
      </c>
      <c r="C2922" s="63"/>
      <c r="D2922" s="64"/>
      <c r="E2922" s="65"/>
      <c r="F2922" s="66"/>
      <c r="G2922" s="63"/>
      <c r="H2922" s="67"/>
      <c r="I2922" s="68"/>
      <c r="J2922" s="68"/>
      <c r="K2922" s="32"/>
      <c r="L2922" s="75">
        <v>2922</v>
      </c>
      <c r="M2922" s="75"/>
      <c r="N2922" s="70"/>
      <c r="O2922" s="77" t="s">
        <v>179</v>
      </c>
      <c r="P2922" s="79">
        <v>45146.537268518521</v>
      </c>
      <c r="Q2922" s="77" t="s">
        <v>4675</v>
      </c>
      <c r="R2922" s="77">
        <v>0</v>
      </c>
      <c r="S2922" s="77">
        <v>0</v>
      </c>
      <c r="T2922" s="77">
        <v>0</v>
      </c>
      <c r="U2922" s="77">
        <v>0</v>
      </c>
      <c r="V2922" s="77">
        <v>159</v>
      </c>
      <c r="W2922" s="80" t="s">
        <v>7704</v>
      </c>
      <c r="X2922" s="83" t="str">
        <f>HYPERLINK("https://portaldeprefeitura.com.br/2023/08/08/banco-central-diz-que-brasileiros-ainda-nao-sacaram-r-718-bilhoes-esquecidos-saiba-como-consultar/")</f>
        <v>https://portaldeprefeitura.com.br/2023/08/08/banco-central-diz-que-brasileiros-ainda-nao-sacaram-r-718-bilhoes-esquecidos-saiba-como-consultar/</v>
      </c>
      <c r="Y2922" s="77" t="s">
        <v>8611</v>
      </c>
      <c r="Z2922" s="77"/>
      <c r="AA2922" s="77"/>
      <c r="AB2922" s="77"/>
      <c r="AC2922" s="80" t="s">
        <v>10541</v>
      </c>
      <c r="AD2922" s="77" t="s">
        <v>10617</v>
      </c>
      <c r="AE2922" s="83" t="str">
        <f>HYPERLINK("https://twitter.com/p_prefeitura/status/1688896257563983873")</f>
        <v>https://twitter.com/p_prefeitura/status/1688896257563983873</v>
      </c>
      <c r="AF2922" s="79">
        <v>45146.537268518521</v>
      </c>
      <c r="AG2922" s="85">
        <v>45146</v>
      </c>
      <c r="AH2922" s="80" t="s">
        <v>13185</v>
      </c>
      <c r="AI2922" s="77" t="b">
        <v>0</v>
      </c>
      <c r="AJ2922" s="77"/>
      <c r="AK2922" s="77"/>
      <c r="AL2922" s="77"/>
      <c r="AM2922" s="77"/>
      <c r="AN2922" s="77"/>
      <c r="AO2922" s="77"/>
      <c r="AP2922" s="77"/>
      <c r="AQ2922" s="77"/>
      <c r="AR2922" s="77"/>
      <c r="AS2922" s="77"/>
      <c r="AT2922" s="77"/>
      <c r="AU2922" s="77"/>
      <c r="AV2922" s="83" t="str">
        <f>HYPERLINK("https://pbs.twimg.com/profile_images/1669793783867645969/-NOFVFmF_normal.jpg")</f>
        <v>https://pbs.twimg.com/profile_images/1669793783867645969/-NOFVFmF_normal.jpg</v>
      </c>
      <c r="AW2922" s="80" t="s">
        <v>18691</v>
      </c>
      <c r="AX2922" s="80" t="s">
        <v>18691</v>
      </c>
      <c r="AY2922" s="77"/>
      <c r="AZ2922" s="80" t="s">
        <v>20380</v>
      </c>
      <c r="BA2922" s="80" t="s">
        <v>20380</v>
      </c>
      <c r="BB2922" s="80" t="s">
        <v>20380</v>
      </c>
      <c r="BC2922" s="80" t="s">
        <v>18691</v>
      </c>
      <c r="BD2922" s="77">
        <v>3024436931</v>
      </c>
      <c r="BE2922" s="77"/>
      <c r="BF2922" s="77"/>
      <c r="BG2922" s="77"/>
      <c r="BH2922" s="77"/>
      <c r="BI2922" s="77"/>
    </row>
    <row r="2923" spans="1:61" x14ac:dyDescent="0.25">
      <c r="A2923" s="62" t="s">
        <v>1159</v>
      </c>
      <c r="B2923" s="62" t="s">
        <v>1159</v>
      </c>
      <c r="C2923" s="63"/>
      <c r="D2923" s="64"/>
      <c r="E2923" s="65"/>
      <c r="F2923" s="66"/>
      <c r="G2923" s="63"/>
      <c r="H2923" s="67"/>
      <c r="I2923" s="68"/>
      <c r="J2923" s="68"/>
      <c r="K2923" s="32"/>
      <c r="L2923" s="75">
        <v>2923</v>
      </c>
      <c r="M2923" s="75"/>
      <c r="N2923" s="70"/>
      <c r="O2923" s="77" t="s">
        <v>179</v>
      </c>
      <c r="P2923" s="79">
        <v>45197.674351851849</v>
      </c>
      <c r="Q2923" s="77" t="s">
        <v>4676</v>
      </c>
      <c r="R2923" s="77">
        <v>0</v>
      </c>
      <c r="S2923" s="77">
        <v>0</v>
      </c>
      <c r="T2923" s="77">
        <v>0</v>
      </c>
      <c r="U2923" s="77">
        <v>0</v>
      </c>
      <c r="V2923" s="77">
        <v>153</v>
      </c>
      <c r="W2923" s="80" t="s">
        <v>7705</v>
      </c>
      <c r="X2923" s="83" t="str">
        <f>HYPERLINK("https://portaldeprefeitura.com.br/2023/09/haddad-diz-que-reuniao-entre-lula-e-presidente-do-branco-central-foi-excelente-para-construcao-de-relacao/")</f>
        <v>https://portaldeprefeitura.com.br/2023/09/haddad-diz-que-reuniao-entre-lula-e-presidente-do-branco-central-foi-excelente-para-construcao-de-relacao/</v>
      </c>
      <c r="Y2923" s="77" t="s">
        <v>8611</v>
      </c>
      <c r="Z2923" s="77"/>
      <c r="AA2923" s="77"/>
      <c r="AB2923" s="77"/>
      <c r="AC2923" s="80" t="s">
        <v>10541</v>
      </c>
      <c r="AD2923" s="77" t="s">
        <v>10617</v>
      </c>
      <c r="AE2923" s="83" t="str">
        <f>HYPERLINK("https://twitter.com/p_prefeitura/status/1707427716490817959")</f>
        <v>https://twitter.com/p_prefeitura/status/1707427716490817959</v>
      </c>
      <c r="AF2923" s="79">
        <v>45197.674351851849</v>
      </c>
      <c r="AG2923" s="85">
        <v>45197</v>
      </c>
      <c r="AH2923" s="80" t="s">
        <v>13186</v>
      </c>
      <c r="AI2923" s="77" t="b">
        <v>0</v>
      </c>
      <c r="AJ2923" s="77"/>
      <c r="AK2923" s="77"/>
      <c r="AL2923" s="77"/>
      <c r="AM2923" s="77"/>
      <c r="AN2923" s="77"/>
      <c r="AO2923" s="77"/>
      <c r="AP2923" s="77"/>
      <c r="AQ2923" s="77"/>
      <c r="AR2923" s="77"/>
      <c r="AS2923" s="77"/>
      <c r="AT2923" s="77"/>
      <c r="AU2923" s="77"/>
      <c r="AV2923" s="83" t="str">
        <f>HYPERLINK("https://pbs.twimg.com/profile_images/1669793783867645969/-NOFVFmF_normal.jpg")</f>
        <v>https://pbs.twimg.com/profile_images/1669793783867645969/-NOFVFmF_normal.jpg</v>
      </c>
      <c r="AW2923" s="80" t="s">
        <v>18692</v>
      </c>
      <c r="AX2923" s="80" t="s">
        <v>18692</v>
      </c>
      <c r="AY2923" s="77"/>
      <c r="AZ2923" s="80" t="s">
        <v>20380</v>
      </c>
      <c r="BA2923" s="80" t="s">
        <v>20380</v>
      </c>
      <c r="BB2923" s="80" t="s">
        <v>20380</v>
      </c>
      <c r="BC2923" s="80" t="s">
        <v>18692</v>
      </c>
      <c r="BD2923" s="77">
        <v>3024436931</v>
      </c>
      <c r="BE2923" s="77"/>
      <c r="BF2923" s="77"/>
      <c r="BG2923" s="77"/>
      <c r="BH2923" s="77"/>
      <c r="BI2923" s="77"/>
    </row>
    <row r="2924" spans="1:61" x14ac:dyDescent="0.25">
      <c r="A2924" s="62" t="s">
        <v>1159</v>
      </c>
      <c r="B2924" s="62" t="s">
        <v>1159</v>
      </c>
      <c r="C2924" s="63"/>
      <c r="D2924" s="64"/>
      <c r="E2924" s="65"/>
      <c r="F2924" s="66"/>
      <c r="G2924" s="63"/>
      <c r="H2924" s="67"/>
      <c r="I2924" s="68"/>
      <c r="J2924" s="68"/>
      <c r="K2924" s="32"/>
      <c r="L2924" s="75">
        <v>2924</v>
      </c>
      <c r="M2924" s="75"/>
      <c r="N2924" s="70"/>
      <c r="O2924" s="77" t="s">
        <v>179</v>
      </c>
      <c r="P2924" s="79">
        <v>45141.492384259262</v>
      </c>
      <c r="Q2924" s="77" t="s">
        <v>4677</v>
      </c>
      <c r="R2924" s="77">
        <v>0</v>
      </c>
      <c r="S2924" s="77">
        <v>1</v>
      </c>
      <c r="T2924" s="77">
        <v>0</v>
      </c>
      <c r="U2924" s="77">
        <v>0</v>
      </c>
      <c r="V2924" s="77">
        <v>214</v>
      </c>
      <c r="W2924" s="80" t="s">
        <v>7706</v>
      </c>
      <c r="X2924" s="83" t="str">
        <f>HYPERLINK("https://portaldeprefeitura.com.br/2023/08/03/banco-central-reduz-taxa-de-juros-pela-primeira-vez-em-tres-anos-selic-vai-a-1325-ao-ano/")</f>
        <v>https://portaldeprefeitura.com.br/2023/08/03/banco-central-reduz-taxa-de-juros-pela-primeira-vez-em-tres-anos-selic-vai-a-1325-ao-ano/</v>
      </c>
      <c r="Y2924" s="77" t="s">
        <v>8611</v>
      </c>
      <c r="Z2924" s="77"/>
      <c r="AA2924" s="77"/>
      <c r="AB2924" s="77"/>
      <c r="AC2924" s="80" t="s">
        <v>10541</v>
      </c>
      <c r="AD2924" s="77" t="s">
        <v>10617</v>
      </c>
      <c r="AE2924" s="83" t="str">
        <f>HYPERLINK("https://twitter.com/p_prefeitura/status/1687068051684864000")</f>
        <v>https://twitter.com/p_prefeitura/status/1687068051684864000</v>
      </c>
      <c r="AF2924" s="79">
        <v>45141.492384259262</v>
      </c>
      <c r="AG2924" s="85">
        <v>45141</v>
      </c>
      <c r="AH2924" s="80" t="s">
        <v>13187</v>
      </c>
      <c r="AI2924" s="77" t="b">
        <v>0</v>
      </c>
      <c r="AJ2924" s="77"/>
      <c r="AK2924" s="77"/>
      <c r="AL2924" s="77"/>
      <c r="AM2924" s="77"/>
      <c r="AN2924" s="77"/>
      <c r="AO2924" s="77"/>
      <c r="AP2924" s="77"/>
      <c r="AQ2924" s="77"/>
      <c r="AR2924" s="77"/>
      <c r="AS2924" s="77"/>
      <c r="AT2924" s="77"/>
      <c r="AU2924" s="77"/>
      <c r="AV2924" s="83" t="str">
        <f>HYPERLINK("https://pbs.twimg.com/profile_images/1669793783867645969/-NOFVFmF_normal.jpg")</f>
        <v>https://pbs.twimg.com/profile_images/1669793783867645969/-NOFVFmF_normal.jpg</v>
      </c>
      <c r="AW2924" s="80" t="s">
        <v>18693</v>
      </c>
      <c r="AX2924" s="80" t="s">
        <v>18693</v>
      </c>
      <c r="AY2924" s="77"/>
      <c r="AZ2924" s="80" t="s">
        <v>20380</v>
      </c>
      <c r="BA2924" s="80" t="s">
        <v>20380</v>
      </c>
      <c r="BB2924" s="80" t="s">
        <v>20380</v>
      </c>
      <c r="BC2924" s="80" t="s">
        <v>18693</v>
      </c>
      <c r="BD2924" s="77">
        <v>3024436931</v>
      </c>
      <c r="BE2924" s="77"/>
      <c r="BF2924" s="77"/>
      <c r="BG2924" s="77"/>
      <c r="BH2924" s="77"/>
      <c r="BI2924" s="77"/>
    </row>
    <row r="2925" spans="1:61" x14ac:dyDescent="0.25">
      <c r="A2925" s="62" t="s">
        <v>1160</v>
      </c>
      <c r="B2925" s="62" t="s">
        <v>1160</v>
      </c>
      <c r="C2925" s="63"/>
      <c r="D2925" s="64"/>
      <c r="E2925" s="65"/>
      <c r="F2925" s="66"/>
      <c r="G2925" s="63"/>
      <c r="H2925" s="67"/>
      <c r="I2925" s="68"/>
      <c r="J2925" s="68"/>
      <c r="K2925" s="32"/>
      <c r="L2925" s="75">
        <v>2925</v>
      </c>
      <c r="M2925" s="75"/>
      <c r="N2925" s="70"/>
      <c r="O2925" s="77" t="s">
        <v>179</v>
      </c>
      <c r="P2925" s="79">
        <v>45073.190428240741</v>
      </c>
      <c r="Q2925" s="77" t="s">
        <v>4678</v>
      </c>
      <c r="R2925" s="77">
        <v>0</v>
      </c>
      <c r="S2925" s="77">
        <v>1</v>
      </c>
      <c r="T2925" s="77">
        <v>0</v>
      </c>
      <c r="U2925" s="77">
        <v>0</v>
      </c>
      <c r="V2925" s="77">
        <v>1060</v>
      </c>
      <c r="W2925" s="80" t="s">
        <v>7707</v>
      </c>
      <c r="X2925" s="77"/>
      <c r="Y2925" s="77"/>
      <c r="Z2925" s="77"/>
      <c r="AA2925" s="77"/>
      <c r="AB2925" s="77"/>
      <c r="AC2925" s="80" t="s">
        <v>10542</v>
      </c>
      <c r="AD2925" s="77" t="s">
        <v>10620</v>
      </c>
      <c r="AE2925" s="83" t="str">
        <f>HYPERLINK("https://twitter.com/josmar1987/status/1662316250221912066")</f>
        <v>https://twitter.com/josmar1987/status/1662316250221912066</v>
      </c>
      <c r="AF2925" s="79">
        <v>45073.190428240741</v>
      </c>
      <c r="AG2925" s="85">
        <v>45073</v>
      </c>
      <c r="AH2925" s="80" t="s">
        <v>13188</v>
      </c>
      <c r="AI2925" s="77"/>
      <c r="AJ2925" s="77"/>
      <c r="AK2925" s="77"/>
      <c r="AL2925" s="77"/>
      <c r="AM2925" s="77"/>
      <c r="AN2925" s="77"/>
      <c r="AO2925" s="77"/>
      <c r="AP2925" s="77"/>
      <c r="AQ2925" s="77"/>
      <c r="AR2925" s="77"/>
      <c r="AS2925" s="77"/>
      <c r="AT2925" s="77"/>
      <c r="AU2925" s="77"/>
      <c r="AV2925" s="83" t="str">
        <f>HYPERLINK("https://pbs.twimg.com/profile_images/1627522364924633091/YV40nSgI_normal.jpg")</f>
        <v>https://pbs.twimg.com/profile_images/1627522364924633091/YV40nSgI_normal.jpg</v>
      </c>
      <c r="AW2925" s="80" t="s">
        <v>18694</v>
      </c>
      <c r="AX2925" s="80" t="s">
        <v>18694</v>
      </c>
      <c r="AY2925" s="77"/>
      <c r="AZ2925" s="80" t="s">
        <v>20380</v>
      </c>
      <c r="BA2925" s="80" t="s">
        <v>20380</v>
      </c>
      <c r="BB2925" s="80" t="s">
        <v>20380</v>
      </c>
      <c r="BC2925" s="80" t="s">
        <v>18694</v>
      </c>
      <c r="BD2925" s="77">
        <v>181075480</v>
      </c>
      <c r="BE2925" s="77"/>
      <c r="BF2925" s="77"/>
      <c r="BG2925" s="77"/>
      <c r="BH2925" s="77"/>
      <c r="BI2925" s="77"/>
    </row>
    <row r="2926" spans="1:61" x14ac:dyDescent="0.25">
      <c r="A2926" s="62" t="s">
        <v>1161</v>
      </c>
      <c r="B2926" s="62" t="s">
        <v>1161</v>
      </c>
      <c r="C2926" s="63"/>
      <c r="D2926" s="64"/>
      <c r="E2926" s="65"/>
      <c r="F2926" s="66"/>
      <c r="G2926" s="63"/>
      <c r="H2926" s="67"/>
      <c r="I2926" s="68"/>
      <c r="J2926" s="68"/>
      <c r="K2926" s="32"/>
      <c r="L2926" s="75">
        <v>2926</v>
      </c>
      <c r="M2926" s="75"/>
      <c r="N2926" s="70"/>
      <c r="O2926" s="77" t="s">
        <v>179</v>
      </c>
      <c r="P2926" s="79">
        <v>45162.958356481482</v>
      </c>
      <c r="Q2926" s="77" t="s">
        <v>4679</v>
      </c>
      <c r="R2926" s="77">
        <v>1</v>
      </c>
      <c r="S2926" s="77">
        <v>0</v>
      </c>
      <c r="T2926" s="77">
        <v>0</v>
      </c>
      <c r="U2926" s="77">
        <v>0</v>
      </c>
      <c r="V2926" s="77">
        <v>31</v>
      </c>
      <c r="W2926" s="80" t="s">
        <v>7708</v>
      </c>
      <c r="X2926" s="83" t="str">
        <f>HYPERLINK("https://cadenadelosandesfm.com.ar/el-impacto-de-las-tasas-de-interes-en-el-pago-minimo-de-la-tarjeta-de-credito/")</f>
        <v>https://cadenadelosandesfm.com.ar/el-impacto-de-las-tasas-de-interes-en-el-pago-minimo-de-la-tarjeta-de-credito/</v>
      </c>
      <c r="Y2926" s="77" t="s">
        <v>8624</v>
      </c>
      <c r="Z2926" s="77"/>
      <c r="AA2926" s="77"/>
      <c r="AB2926" s="77"/>
      <c r="AC2926" s="80" t="s">
        <v>10541</v>
      </c>
      <c r="AD2926" s="77" t="s">
        <v>10620</v>
      </c>
      <c r="AE2926" s="83" t="str">
        <f>HYPERLINK("https://twitter.com/delosandesweb/status/1694847059373732280")</f>
        <v>https://twitter.com/delosandesweb/status/1694847059373732280</v>
      </c>
      <c r="AF2926" s="79">
        <v>45162.958356481482</v>
      </c>
      <c r="AG2926" s="85">
        <v>45162</v>
      </c>
      <c r="AH2926" s="80" t="s">
        <v>13189</v>
      </c>
      <c r="AI2926" s="77" t="b">
        <v>0</v>
      </c>
      <c r="AJ2926" s="77"/>
      <c r="AK2926" s="77"/>
      <c r="AL2926" s="77"/>
      <c r="AM2926" s="77"/>
      <c r="AN2926" s="77"/>
      <c r="AO2926" s="77"/>
      <c r="AP2926" s="77"/>
      <c r="AQ2926" s="77"/>
      <c r="AR2926" s="77"/>
      <c r="AS2926" s="77"/>
      <c r="AT2926" s="77"/>
      <c r="AU2926" s="77"/>
      <c r="AV2926" s="83" t="str">
        <f>HYPERLINK("https://pbs.twimg.com/profile_images/1631323498307108866/DJIhHUkB_normal.jpg")</f>
        <v>https://pbs.twimg.com/profile_images/1631323498307108866/DJIhHUkB_normal.jpg</v>
      </c>
      <c r="AW2926" s="80" t="s">
        <v>18695</v>
      </c>
      <c r="AX2926" s="80" t="s">
        <v>18695</v>
      </c>
      <c r="AY2926" s="77"/>
      <c r="AZ2926" s="80" t="s">
        <v>20380</v>
      </c>
      <c r="BA2926" s="80" t="s">
        <v>20380</v>
      </c>
      <c r="BB2926" s="80" t="s">
        <v>20380</v>
      </c>
      <c r="BC2926" s="80" t="s">
        <v>18695</v>
      </c>
      <c r="BD2926" s="77">
        <v>3302958387</v>
      </c>
      <c r="BE2926" s="77"/>
      <c r="BF2926" s="77"/>
      <c r="BG2926" s="77"/>
      <c r="BH2926" s="77"/>
      <c r="BI2926" s="77"/>
    </row>
    <row r="2927" spans="1:61" x14ac:dyDescent="0.25">
      <c r="A2927" s="62" t="s">
        <v>1161</v>
      </c>
      <c r="B2927" s="62" t="s">
        <v>1161</v>
      </c>
      <c r="C2927" s="63"/>
      <c r="D2927" s="64"/>
      <c r="E2927" s="65"/>
      <c r="F2927" s="66"/>
      <c r="G2927" s="63"/>
      <c r="H2927" s="67"/>
      <c r="I2927" s="68"/>
      <c r="J2927" s="68"/>
      <c r="K2927" s="32"/>
      <c r="L2927" s="75">
        <v>2927</v>
      </c>
      <c r="M2927" s="75"/>
      <c r="N2927" s="70"/>
      <c r="O2927" s="77" t="s">
        <v>179</v>
      </c>
      <c r="P2927" s="79">
        <v>45152.637442129628</v>
      </c>
      <c r="Q2927" s="77" t="s">
        <v>4680</v>
      </c>
      <c r="R2927" s="77">
        <v>1</v>
      </c>
      <c r="S2927" s="77">
        <v>0</v>
      </c>
      <c r="T2927" s="77">
        <v>0</v>
      </c>
      <c r="U2927" s="77">
        <v>0</v>
      </c>
      <c r="V2927" s="77">
        <v>34</v>
      </c>
      <c r="W2927" s="80" t="s">
        <v>7709</v>
      </c>
      <c r="X2927" s="83" t="str">
        <f>HYPERLINK("https://cadenadelosandesfm.com.ar/el-banco-central-devaluo-mas-del-20-llevo-el-dolar-oficial-a-36550-y-la-tasa-a-118/")</f>
        <v>https://cadenadelosandesfm.com.ar/el-banco-central-devaluo-mas-del-20-llevo-el-dolar-oficial-a-36550-y-la-tasa-a-118/</v>
      </c>
      <c r="Y2927" s="77" t="s">
        <v>8624</v>
      </c>
      <c r="Z2927" s="77"/>
      <c r="AA2927" s="77"/>
      <c r="AB2927" s="77"/>
      <c r="AC2927" s="80" t="s">
        <v>10541</v>
      </c>
      <c r="AD2927" s="77" t="s">
        <v>10620</v>
      </c>
      <c r="AE2927" s="83" t="str">
        <f>HYPERLINK("https://twitter.com/delosandesweb/status/1691106884369915904")</f>
        <v>https://twitter.com/delosandesweb/status/1691106884369915904</v>
      </c>
      <c r="AF2927" s="79">
        <v>45152.637442129628</v>
      </c>
      <c r="AG2927" s="85">
        <v>45152</v>
      </c>
      <c r="AH2927" s="80" t="s">
        <v>13190</v>
      </c>
      <c r="AI2927" s="77" t="b">
        <v>0</v>
      </c>
      <c r="AJ2927" s="77"/>
      <c r="AK2927" s="77"/>
      <c r="AL2927" s="77"/>
      <c r="AM2927" s="77"/>
      <c r="AN2927" s="77"/>
      <c r="AO2927" s="77"/>
      <c r="AP2927" s="77"/>
      <c r="AQ2927" s="77"/>
      <c r="AR2927" s="77"/>
      <c r="AS2927" s="77"/>
      <c r="AT2927" s="77"/>
      <c r="AU2927" s="77"/>
      <c r="AV2927" s="83" t="str">
        <f>HYPERLINK("https://pbs.twimg.com/profile_images/1631323498307108866/DJIhHUkB_normal.jpg")</f>
        <v>https://pbs.twimg.com/profile_images/1631323498307108866/DJIhHUkB_normal.jpg</v>
      </c>
      <c r="AW2927" s="80" t="s">
        <v>18696</v>
      </c>
      <c r="AX2927" s="80" t="s">
        <v>18696</v>
      </c>
      <c r="AY2927" s="77"/>
      <c r="AZ2927" s="80" t="s">
        <v>20380</v>
      </c>
      <c r="BA2927" s="80" t="s">
        <v>20380</v>
      </c>
      <c r="BB2927" s="80" t="s">
        <v>20380</v>
      </c>
      <c r="BC2927" s="80" t="s">
        <v>18696</v>
      </c>
      <c r="BD2927" s="77">
        <v>3302958387</v>
      </c>
      <c r="BE2927" s="77"/>
      <c r="BF2927" s="77"/>
      <c r="BG2927" s="77"/>
      <c r="BH2927" s="77"/>
      <c r="BI2927" s="77"/>
    </row>
    <row r="2928" spans="1:61" x14ac:dyDescent="0.25">
      <c r="A2928" s="62" t="s">
        <v>1161</v>
      </c>
      <c r="B2928" s="62" t="s">
        <v>1161</v>
      </c>
      <c r="C2928" s="63"/>
      <c r="D2928" s="64"/>
      <c r="E2928" s="65"/>
      <c r="F2928" s="66"/>
      <c r="G2928" s="63"/>
      <c r="H2928" s="67"/>
      <c r="I2928" s="68"/>
      <c r="J2928" s="68"/>
      <c r="K2928" s="32"/>
      <c r="L2928" s="75">
        <v>2928</v>
      </c>
      <c r="M2928" s="75"/>
      <c r="N2928" s="70"/>
      <c r="O2928" s="77" t="s">
        <v>179</v>
      </c>
      <c r="P2928" s="79">
        <v>45065.630844907406</v>
      </c>
      <c r="Q2928" s="77" t="s">
        <v>4681</v>
      </c>
      <c r="R2928" s="77">
        <v>0</v>
      </c>
      <c r="S2928" s="77">
        <v>0</v>
      </c>
      <c r="T2928" s="77">
        <v>0</v>
      </c>
      <c r="U2928" s="77">
        <v>0</v>
      </c>
      <c r="V2928" s="77">
        <v>16</v>
      </c>
      <c r="W2928" s="80" t="s">
        <v>7710</v>
      </c>
      <c r="X2928" s="83" t="str">
        <f>HYPERLINK("https://cadenadelosandesfm.com.ar/los-comercios-que-tengan-pago-con-qr-tendran-que-aceptar-billeteras-digitales/")</f>
        <v>https://cadenadelosandesfm.com.ar/los-comercios-que-tengan-pago-con-qr-tendran-que-aceptar-billeteras-digitales/</v>
      </c>
      <c r="Y2928" s="77" t="s">
        <v>8624</v>
      </c>
      <c r="Z2928" s="77"/>
      <c r="AA2928" s="77"/>
      <c r="AB2928" s="77"/>
      <c r="AC2928" s="80" t="s">
        <v>10541</v>
      </c>
      <c r="AD2928" s="77" t="s">
        <v>10620</v>
      </c>
      <c r="AE2928" s="83" t="str">
        <f>HYPERLINK("https://twitter.com/delosandesweb/status/1659576749452328961")</f>
        <v>https://twitter.com/delosandesweb/status/1659576749452328961</v>
      </c>
      <c r="AF2928" s="79">
        <v>45065.630844907406</v>
      </c>
      <c r="AG2928" s="85">
        <v>45065</v>
      </c>
      <c r="AH2928" s="80" t="s">
        <v>13191</v>
      </c>
      <c r="AI2928" s="77" t="b">
        <v>0</v>
      </c>
      <c r="AJ2928" s="77"/>
      <c r="AK2928" s="77"/>
      <c r="AL2928" s="77"/>
      <c r="AM2928" s="77"/>
      <c r="AN2928" s="77"/>
      <c r="AO2928" s="77"/>
      <c r="AP2928" s="77"/>
      <c r="AQ2928" s="77"/>
      <c r="AR2928" s="77"/>
      <c r="AS2928" s="77"/>
      <c r="AT2928" s="77"/>
      <c r="AU2928" s="77"/>
      <c r="AV2928" s="83" t="str">
        <f>HYPERLINK("https://pbs.twimg.com/profile_images/1631323498307108866/DJIhHUkB_normal.jpg")</f>
        <v>https://pbs.twimg.com/profile_images/1631323498307108866/DJIhHUkB_normal.jpg</v>
      </c>
      <c r="AW2928" s="80" t="s">
        <v>18697</v>
      </c>
      <c r="AX2928" s="80" t="s">
        <v>18697</v>
      </c>
      <c r="AY2928" s="77"/>
      <c r="AZ2928" s="80" t="s">
        <v>20380</v>
      </c>
      <c r="BA2928" s="80" t="s">
        <v>20380</v>
      </c>
      <c r="BB2928" s="80" t="s">
        <v>20380</v>
      </c>
      <c r="BC2928" s="80" t="s">
        <v>18697</v>
      </c>
      <c r="BD2928" s="77">
        <v>3302958387</v>
      </c>
      <c r="BE2928" s="77"/>
      <c r="BF2928" s="77"/>
      <c r="BG2928" s="77"/>
      <c r="BH2928" s="77"/>
      <c r="BI2928" s="77"/>
    </row>
    <row r="2929" spans="1:61" x14ac:dyDescent="0.25">
      <c r="A2929" s="62" t="s">
        <v>1162</v>
      </c>
      <c r="B2929" s="62" t="s">
        <v>1162</v>
      </c>
      <c r="C2929" s="63"/>
      <c r="D2929" s="64"/>
      <c r="E2929" s="65"/>
      <c r="F2929" s="66"/>
      <c r="G2929" s="63"/>
      <c r="H2929" s="67"/>
      <c r="I2929" s="68"/>
      <c r="J2929" s="68"/>
      <c r="K2929" s="32"/>
      <c r="L2929" s="75">
        <v>2929</v>
      </c>
      <c r="M2929" s="75"/>
      <c r="N2929" s="70"/>
      <c r="O2929" s="77" t="s">
        <v>179</v>
      </c>
      <c r="P2929" s="79">
        <v>45055.722060185188</v>
      </c>
      <c r="Q2929" s="77" t="s">
        <v>4682</v>
      </c>
      <c r="R2929" s="77">
        <v>3</v>
      </c>
      <c r="S2929" s="77">
        <v>10</v>
      </c>
      <c r="T2929" s="77">
        <v>0</v>
      </c>
      <c r="U2929" s="77">
        <v>0</v>
      </c>
      <c r="V2929" s="77">
        <v>287</v>
      </c>
      <c r="W2929" s="80" t="s">
        <v>7711</v>
      </c>
      <c r="X2929" s="77"/>
      <c r="Y2929" s="77"/>
      <c r="Z2929" s="77"/>
      <c r="AA2929" s="77" t="s">
        <v>9980</v>
      </c>
      <c r="AB2929" s="77" t="s">
        <v>10534</v>
      </c>
      <c r="AC2929" s="80" t="s">
        <v>10540</v>
      </c>
      <c r="AD2929" s="77" t="s">
        <v>10617</v>
      </c>
      <c r="AE2929" s="83" t="str">
        <f>HYPERLINK("https://twitter.com/lopretelovers/status/1655985927922106368")</f>
        <v>https://twitter.com/lopretelovers/status/1655985927922106368</v>
      </c>
      <c r="AF2929" s="79">
        <v>45055.722060185188</v>
      </c>
      <c r="AG2929" s="85">
        <v>45055</v>
      </c>
      <c r="AH2929" s="80" t="s">
        <v>13192</v>
      </c>
      <c r="AI2929" s="77" t="b">
        <v>0</v>
      </c>
      <c r="AJ2929" s="77"/>
      <c r="AK2929" s="77"/>
      <c r="AL2929" s="77"/>
      <c r="AM2929" s="77"/>
      <c r="AN2929" s="77"/>
      <c r="AO2929" s="77"/>
      <c r="AP2929" s="77"/>
      <c r="AQ2929" s="77" t="s">
        <v>15461</v>
      </c>
      <c r="AR2929" s="77">
        <v>57194</v>
      </c>
      <c r="AS2929" s="77"/>
      <c r="AT2929" s="77"/>
      <c r="AU2929" s="77"/>
      <c r="AV2929" s="83" t="str">
        <f>HYPERLINK("https://pbs.twimg.com/ext_tw_video_thumb/1655985818660491265/pu/img/90o9msRXA2b49Drj.jpg")</f>
        <v>https://pbs.twimg.com/ext_tw_video_thumb/1655985818660491265/pu/img/90o9msRXA2b49Drj.jpg</v>
      </c>
      <c r="AW2929" s="80" t="s">
        <v>18698</v>
      </c>
      <c r="AX2929" s="80" t="s">
        <v>18698</v>
      </c>
      <c r="AY2929" s="77"/>
      <c r="AZ2929" s="80" t="s">
        <v>20380</v>
      </c>
      <c r="BA2929" s="80" t="s">
        <v>20380</v>
      </c>
      <c r="BB2929" s="80" t="s">
        <v>20380</v>
      </c>
      <c r="BC2929" s="80" t="s">
        <v>18698</v>
      </c>
      <c r="BD2929" s="80" t="s">
        <v>20959</v>
      </c>
      <c r="BE2929" s="77"/>
      <c r="BF2929" s="77"/>
      <c r="BG2929" s="77"/>
      <c r="BH2929" s="77"/>
      <c r="BI2929" s="77"/>
    </row>
    <row r="2930" spans="1:61" x14ac:dyDescent="0.25">
      <c r="A2930" s="62" t="s">
        <v>1163</v>
      </c>
      <c r="B2930" s="62" t="s">
        <v>1908</v>
      </c>
      <c r="C2930" s="63"/>
      <c r="D2930" s="64"/>
      <c r="E2930" s="65"/>
      <c r="F2930" s="66"/>
      <c r="G2930" s="63"/>
      <c r="H2930" s="67"/>
      <c r="I2930" s="68"/>
      <c r="J2930" s="68"/>
      <c r="K2930" s="32"/>
      <c r="L2930" s="75">
        <v>2930</v>
      </c>
      <c r="M2930" s="75"/>
      <c r="N2930" s="70"/>
      <c r="O2930" s="77" t="s">
        <v>2078</v>
      </c>
      <c r="P2930" s="79">
        <v>45099.677395833336</v>
      </c>
      <c r="Q2930" s="77" t="s">
        <v>4683</v>
      </c>
      <c r="R2930" s="77">
        <v>0</v>
      </c>
      <c r="S2930" s="77">
        <v>0</v>
      </c>
      <c r="T2930" s="77">
        <v>0</v>
      </c>
      <c r="U2930" s="77">
        <v>0</v>
      </c>
      <c r="V2930" s="77">
        <v>4</v>
      </c>
      <c r="W2930" s="80" t="s">
        <v>6700</v>
      </c>
      <c r="X2930" s="77"/>
      <c r="Y2930" s="77"/>
      <c r="Z2930" s="77" t="s">
        <v>1908</v>
      </c>
      <c r="AA2930" s="77"/>
      <c r="AB2930" s="77"/>
      <c r="AC2930" s="80" t="s">
        <v>10541</v>
      </c>
      <c r="AD2930" s="77" t="s">
        <v>10617</v>
      </c>
      <c r="AE2930" s="83" t="str">
        <f>HYPERLINK("https://twitter.com/rikaryo/status/1671914806280962063")</f>
        <v>https://twitter.com/rikaryo/status/1671914806280962063</v>
      </c>
      <c r="AF2930" s="79">
        <v>45099.677395833336</v>
      </c>
      <c r="AG2930" s="85">
        <v>45099</v>
      </c>
      <c r="AH2930" s="80" t="s">
        <v>13193</v>
      </c>
      <c r="AI2930" s="77"/>
      <c r="AJ2930" s="77"/>
      <c r="AK2930" s="77"/>
      <c r="AL2930" s="77"/>
      <c r="AM2930" s="77"/>
      <c r="AN2930" s="77"/>
      <c r="AO2930" s="77"/>
      <c r="AP2930" s="77"/>
      <c r="AQ2930" s="77"/>
      <c r="AR2930" s="77"/>
      <c r="AS2930" s="77"/>
      <c r="AT2930" s="77"/>
      <c r="AU2930" s="77"/>
      <c r="AV2930" s="83" t="str">
        <f>HYPERLINK("https://pbs.twimg.com/profile_images/1623453579183882242/9W-v9fqN_normal.jpg")</f>
        <v>https://pbs.twimg.com/profile_images/1623453579183882242/9W-v9fqN_normal.jpg</v>
      </c>
      <c r="AW2930" s="80" t="s">
        <v>18699</v>
      </c>
      <c r="AX2930" s="80" t="s">
        <v>20078</v>
      </c>
      <c r="AY2930" s="80" t="s">
        <v>20296</v>
      </c>
      <c r="AZ2930" s="80" t="s">
        <v>20078</v>
      </c>
      <c r="BA2930" s="80" t="s">
        <v>20380</v>
      </c>
      <c r="BB2930" s="80" t="s">
        <v>20380</v>
      </c>
      <c r="BC2930" s="80" t="s">
        <v>20078</v>
      </c>
      <c r="BD2930" s="77">
        <v>27566796</v>
      </c>
      <c r="BE2930" s="77"/>
      <c r="BF2930" s="77"/>
      <c r="BG2930" s="77"/>
      <c r="BH2930" s="77"/>
      <c r="BI2930" s="77"/>
    </row>
    <row r="2931" spans="1:61" x14ac:dyDescent="0.25">
      <c r="A2931" s="62" t="s">
        <v>1164</v>
      </c>
      <c r="B2931" s="62" t="s">
        <v>1972</v>
      </c>
      <c r="C2931" s="63"/>
      <c r="D2931" s="64"/>
      <c r="E2931" s="65"/>
      <c r="F2931" s="66"/>
      <c r="G2931" s="63"/>
      <c r="H2931" s="67"/>
      <c r="I2931" s="68"/>
      <c r="J2931" s="68"/>
      <c r="K2931" s="32"/>
      <c r="L2931" s="75">
        <v>2931</v>
      </c>
      <c r="M2931" s="75"/>
      <c r="N2931" s="70"/>
      <c r="O2931" s="77" t="s">
        <v>2081</v>
      </c>
      <c r="P2931" s="79">
        <v>45127.587650462963</v>
      </c>
      <c r="Q2931" s="77" t="s">
        <v>4684</v>
      </c>
      <c r="R2931" s="77">
        <v>2</v>
      </c>
      <c r="S2931" s="77">
        <v>13</v>
      </c>
      <c r="T2931" s="77">
        <v>0</v>
      </c>
      <c r="U2931" s="77">
        <v>0</v>
      </c>
      <c r="V2931" s="77">
        <v>1953</v>
      </c>
      <c r="W2931" s="80" t="s">
        <v>7571</v>
      </c>
      <c r="X2931" s="77"/>
      <c r="Y2931" s="77"/>
      <c r="Z2931" s="77" t="s">
        <v>1972</v>
      </c>
      <c r="AA2931" s="77" t="s">
        <v>9981</v>
      </c>
      <c r="AB2931" s="77" t="s">
        <v>10534</v>
      </c>
      <c r="AC2931" s="80" t="s">
        <v>10600</v>
      </c>
      <c r="AD2931" s="77" t="s">
        <v>10617</v>
      </c>
      <c r="AE2931" s="83" t="str">
        <f>HYPERLINK("https://twitter.com/radiobandnewsfm/status/1682029144048279552")</f>
        <v>https://twitter.com/radiobandnewsfm/status/1682029144048279552</v>
      </c>
      <c r="AF2931" s="79">
        <v>45127.587650462963</v>
      </c>
      <c r="AG2931" s="85">
        <v>45127</v>
      </c>
      <c r="AH2931" s="80" t="s">
        <v>13194</v>
      </c>
      <c r="AI2931" s="77" t="b">
        <v>0</v>
      </c>
      <c r="AJ2931" s="77"/>
      <c r="AK2931" s="77"/>
      <c r="AL2931" s="77"/>
      <c r="AM2931" s="77"/>
      <c r="AN2931" s="77"/>
      <c r="AO2931" s="77"/>
      <c r="AP2931" s="77"/>
      <c r="AQ2931" s="77" t="s">
        <v>15462</v>
      </c>
      <c r="AR2931" s="77">
        <v>436646</v>
      </c>
      <c r="AS2931" s="77"/>
      <c r="AT2931" s="77"/>
      <c r="AU2931" s="77"/>
      <c r="AV2931" s="83" t="str">
        <f>HYPERLINK("https://pbs.twimg.com/amplify_video_thumb/1682028957628272642/img/tFULaK8rGW1xtb1C.jpg")</f>
        <v>https://pbs.twimg.com/amplify_video_thumb/1682028957628272642/img/tFULaK8rGW1xtb1C.jpg</v>
      </c>
      <c r="AW2931" s="80" t="s">
        <v>18700</v>
      </c>
      <c r="AX2931" s="80" t="s">
        <v>18700</v>
      </c>
      <c r="AY2931" s="77"/>
      <c r="AZ2931" s="80" t="s">
        <v>20380</v>
      </c>
      <c r="BA2931" s="80" t="s">
        <v>20380</v>
      </c>
      <c r="BB2931" s="80" t="s">
        <v>20380</v>
      </c>
      <c r="BC2931" s="80" t="s">
        <v>18700</v>
      </c>
      <c r="BD2931" s="77">
        <v>26573303</v>
      </c>
      <c r="BE2931" s="77"/>
      <c r="BF2931" s="77"/>
      <c r="BG2931" s="77"/>
      <c r="BH2931" s="77"/>
      <c r="BI2931" s="77"/>
    </row>
    <row r="2932" spans="1:61" x14ac:dyDescent="0.25">
      <c r="A2932" s="62" t="s">
        <v>1164</v>
      </c>
      <c r="B2932" s="62" t="s">
        <v>1973</v>
      </c>
      <c r="C2932" s="63"/>
      <c r="D2932" s="64"/>
      <c r="E2932" s="65"/>
      <c r="F2932" s="66"/>
      <c r="G2932" s="63"/>
      <c r="H2932" s="67"/>
      <c r="I2932" s="68"/>
      <c r="J2932" s="68"/>
      <c r="K2932" s="32"/>
      <c r="L2932" s="75">
        <v>2932</v>
      </c>
      <c r="M2932" s="75"/>
      <c r="N2932" s="70"/>
      <c r="O2932" s="77" t="s">
        <v>2081</v>
      </c>
      <c r="P2932" s="79">
        <v>45135.608715277776</v>
      </c>
      <c r="Q2932" s="77" t="s">
        <v>4685</v>
      </c>
      <c r="R2932" s="77">
        <v>0</v>
      </c>
      <c r="S2932" s="77">
        <v>14</v>
      </c>
      <c r="T2932" s="77">
        <v>0</v>
      </c>
      <c r="U2932" s="77">
        <v>0</v>
      </c>
      <c r="V2932" s="77">
        <v>1906</v>
      </c>
      <c r="W2932" s="80" t="s">
        <v>7712</v>
      </c>
      <c r="X2932" s="77"/>
      <c r="Y2932" s="77"/>
      <c r="Z2932" s="77" t="s">
        <v>1973</v>
      </c>
      <c r="AA2932" s="77" t="s">
        <v>9982</v>
      </c>
      <c r="AB2932" s="77" t="s">
        <v>10534</v>
      </c>
      <c r="AC2932" s="80" t="s">
        <v>10571</v>
      </c>
      <c r="AD2932" s="77" t="s">
        <v>10617</v>
      </c>
      <c r="AE2932" s="83" t="str">
        <f>HYPERLINK("https://twitter.com/radiobandnewsfm/status/1684935880790728705")</f>
        <v>https://twitter.com/radiobandnewsfm/status/1684935880790728705</v>
      </c>
      <c r="AF2932" s="79">
        <v>45135.608715277776</v>
      </c>
      <c r="AG2932" s="85">
        <v>45135</v>
      </c>
      <c r="AH2932" s="80" t="s">
        <v>13195</v>
      </c>
      <c r="AI2932" s="77" t="b">
        <v>0</v>
      </c>
      <c r="AJ2932" s="77"/>
      <c r="AK2932" s="77"/>
      <c r="AL2932" s="77"/>
      <c r="AM2932" s="77"/>
      <c r="AN2932" s="77"/>
      <c r="AO2932" s="77"/>
      <c r="AP2932" s="77"/>
      <c r="AQ2932" s="77" t="s">
        <v>15463</v>
      </c>
      <c r="AR2932" s="77">
        <v>351250</v>
      </c>
      <c r="AS2932" s="77"/>
      <c r="AT2932" s="77"/>
      <c r="AU2932" s="77"/>
      <c r="AV2932" s="83" t="str">
        <f>HYPERLINK("https://pbs.twimg.com/amplify_video_thumb/1684934098693816320/img/-mKBQM0SvTkjpV0R.jpg")</f>
        <v>https://pbs.twimg.com/amplify_video_thumb/1684934098693816320/img/-mKBQM0SvTkjpV0R.jpg</v>
      </c>
      <c r="AW2932" s="80" t="s">
        <v>18701</v>
      </c>
      <c r="AX2932" s="80" t="s">
        <v>18701</v>
      </c>
      <c r="AY2932" s="77"/>
      <c r="AZ2932" s="80" t="s">
        <v>20380</v>
      </c>
      <c r="BA2932" s="80" t="s">
        <v>20380</v>
      </c>
      <c r="BB2932" s="80" t="s">
        <v>20380</v>
      </c>
      <c r="BC2932" s="80" t="s">
        <v>18701</v>
      </c>
      <c r="BD2932" s="77">
        <v>26573303</v>
      </c>
      <c r="BE2932" s="77"/>
      <c r="BF2932" s="77"/>
      <c r="BG2932" s="77"/>
      <c r="BH2932" s="77"/>
      <c r="BI2932" s="77"/>
    </row>
    <row r="2933" spans="1:61" x14ac:dyDescent="0.25">
      <c r="A2933" s="62" t="s">
        <v>1164</v>
      </c>
      <c r="B2933" s="62" t="s">
        <v>1973</v>
      </c>
      <c r="C2933" s="63"/>
      <c r="D2933" s="64"/>
      <c r="E2933" s="65"/>
      <c r="F2933" s="66"/>
      <c r="G2933" s="63"/>
      <c r="H2933" s="67"/>
      <c r="I2933" s="68"/>
      <c r="J2933" s="68"/>
      <c r="K2933" s="32"/>
      <c r="L2933" s="75">
        <v>2933</v>
      </c>
      <c r="M2933" s="75"/>
      <c r="N2933" s="70"/>
      <c r="O2933" s="77" t="s">
        <v>2081</v>
      </c>
      <c r="P2933" s="79">
        <v>45141.617905092593</v>
      </c>
      <c r="Q2933" s="77" t="s">
        <v>4686</v>
      </c>
      <c r="R2933" s="77">
        <v>0</v>
      </c>
      <c r="S2933" s="77">
        <v>4</v>
      </c>
      <c r="T2933" s="77">
        <v>1</v>
      </c>
      <c r="U2933" s="77">
        <v>1</v>
      </c>
      <c r="V2933" s="77">
        <v>1799</v>
      </c>
      <c r="W2933" s="80" t="s">
        <v>7713</v>
      </c>
      <c r="X2933" s="77"/>
      <c r="Y2933" s="77"/>
      <c r="Z2933" s="77" t="s">
        <v>1973</v>
      </c>
      <c r="AA2933" s="77" t="s">
        <v>9983</v>
      </c>
      <c r="AB2933" s="77" t="s">
        <v>10534</v>
      </c>
      <c r="AC2933" s="80" t="s">
        <v>10571</v>
      </c>
      <c r="AD2933" s="77" t="s">
        <v>10617</v>
      </c>
      <c r="AE2933" s="83" t="str">
        <f>HYPERLINK("https://twitter.com/radiobandnewsfm/status/1687113540682096640")</f>
        <v>https://twitter.com/radiobandnewsfm/status/1687113540682096640</v>
      </c>
      <c r="AF2933" s="79">
        <v>45141.617905092593</v>
      </c>
      <c r="AG2933" s="85">
        <v>45141</v>
      </c>
      <c r="AH2933" s="80" t="s">
        <v>13196</v>
      </c>
      <c r="AI2933" s="77" t="b">
        <v>0</v>
      </c>
      <c r="AJ2933" s="77"/>
      <c r="AK2933" s="77"/>
      <c r="AL2933" s="77"/>
      <c r="AM2933" s="77"/>
      <c r="AN2933" s="77"/>
      <c r="AO2933" s="77"/>
      <c r="AP2933" s="77"/>
      <c r="AQ2933" s="77" t="s">
        <v>15464</v>
      </c>
      <c r="AR2933" s="77">
        <v>241600</v>
      </c>
      <c r="AS2933" s="77"/>
      <c r="AT2933" s="77"/>
      <c r="AU2933" s="77"/>
      <c r="AV2933" s="83" t="str">
        <f>HYPERLINK("https://pbs.twimg.com/amplify_video_thumb/1687110221850894338/img/8KYTsORInvSpiR8w.jpg")</f>
        <v>https://pbs.twimg.com/amplify_video_thumb/1687110221850894338/img/8KYTsORInvSpiR8w.jpg</v>
      </c>
      <c r="AW2933" s="80" t="s">
        <v>18702</v>
      </c>
      <c r="AX2933" s="80" t="s">
        <v>18702</v>
      </c>
      <c r="AY2933" s="77"/>
      <c r="AZ2933" s="80" t="s">
        <v>20380</v>
      </c>
      <c r="BA2933" s="80" t="s">
        <v>20380</v>
      </c>
      <c r="BB2933" s="80" t="s">
        <v>20380</v>
      </c>
      <c r="BC2933" s="80" t="s">
        <v>18702</v>
      </c>
      <c r="BD2933" s="77">
        <v>26573303</v>
      </c>
      <c r="BE2933" s="77"/>
      <c r="BF2933" s="77"/>
      <c r="BG2933" s="77"/>
      <c r="BH2933" s="77"/>
      <c r="BI2933" s="77"/>
    </row>
    <row r="2934" spans="1:61" x14ac:dyDescent="0.25">
      <c r="A2934" s="62" t="s">
        <v>1164</v>
      </c>
      <c r="B2934" s="62" t="s">
        <v>1164</v>
      </c>
      <c r="C2934" s="63"/>
      <c r="D2934" s="64"/>
      <c r="E2934" s="65"/>
      <c r="F2934" s="66"/>
      <c r="G2934" s="63"/>
      <c r="H2934" s="67"/>
      <c r="I2934" s="68"/>
      <c r="J2934" s="68"/>
      <c r="K2934" s="32"/>
      <c r="L2934" s="75">
        <v>2934</v>
      </c>
      <c r="M2934" s="75"/>
      <c r="N2934" s="70"/>
      <c r="O2934" s="77" t="s">
        <v>179</v>
      </c>
      <c r="P2934" s="79">
        <v>45049.50136574074</v>
      </c>
      <c r="Q2934" s="77" t="s">
        <v>4687</v>
      </c>
      <c r="R2934" s="77">
        <v>0</v>
      </c>
      <c r="S2934" s="77">
        <v>4</v>
      </c>
      <c r="T2934" s="77">
        <v>0</v>
      </c>
      <c r="U2934" s="77">
        <v>0</v>
      </c>
      <c r="V2934" s="77">
        <v>2301</v>
      </c>
      <c r="W2934" s="80" t="s">
        <v>6342</v>
      </c>
      <c r="X2934" s="77"/>
      <c r="Y2934" s="77"/>
      <c r="Z2934" s="77"/>
      <c r="AA2934" s="77" t="s">
        <v>9984</v>
      </c>
      <c r="AB2934" s="77" t="s">
        <v>10534</v>
      </c>
      <c r="AC2934" s="80" t="s">
        <v>10600</v>
      </c>
      <c r="AD2934" s="77" t="s">
        <v>10617</v>
      </c>
      <c r="AE2934" s="83" t="str">
        <f>HYPERLINK("https://twitter.com/radiobandnewsfm/status/1653731624285007873")</f>
        <v>https://twitter.com/radiobandnewsfm/status/1653731624285007873</v>
      </c>
      <c r="AF2934" s="79">
        <v>45049.50136574074</v>
      </c>
      <c r="AG2934" s="85">
        <v>45049</v>
      </c>
      <c r="AH2934" s="80" t="s">
        <v>13197</v>
      </c>
      <c r="AI2934" s="77" t="b">
        <v>0</v>
      </c>
      <c r="AJ2934" s="77"/>
      <c r="AK2934" s="77"/>
      <c r="AL2934" s="77"/>
      <c r="AM2934" s="77"/>
      <c r="AN2934" s="77"/>
      <c r="AO2934" s="77"/>
      <c r="AP2934" s="77"/>
      <c r="AQ2934" s="77" t="s">
        <v>15465</v>
      </c>
      <c r="AR2934" s="77">
        <v>73721</v>
      </c>
      <c r="AS2934" s="77"/>
      <c r="AT2934" s="77"/>
      <c r="AU2934" s="77"/>
      <c r="AV2934" s="83" t="str">
        <f>HYPERLINK("https://pbs.twimg.com/amplify_video_thumb/1653731525320474625/img/LTltpCoS6aIFjez3.jpg")</f>
        <v>https://pbs.twimg.com/amplify_video_thumb/1653731525320474625/img/LTltpCoS6aIFjez3.jpg</v>
      </c>
      <c r="AW2934" s="80" t="s">
        <v>18703</v>
      </c>
      <c r="AX2934" s="80" t="s">
        <v>18703</v>
      </c>
      <c r="AY2934" s="77"/>
      <c r="AZ2934" s="80" t="s">
        <v>20380</v>
      </c>
      <c r="BA2934" s="80" t="s">
        <v>20380</v>
      </c>
      <c r="BB2934" s="80" t="s">
        <v>20380</v>
      </c>
      <c r="BC2934" s="80" t="s">
        <v>18703</v>
      </c>
      <c r="BD2934" s="77">
        <v>26573303</v>
      </c>
      <c r="BE2934" s="77"/>
      <c r="BF2934" s="77"/>
      <c r="BG2934" s="77"/>
      <c r="BH2934" s="77"/>
      <c r="BI2934" s="77"/>
    </row>
    <row r="2935" spans="1:61" x14ac:dyDescent="0.25">
      <c r="A2935" s="62" t="s">
        <v>1164</v>
      </c>
      <c r="B2935" s="62" t="s">
        <v>1164</v>
      </c>
      <c r="C2935" s="63"/>
      <c r="D2935" s="64"/>
      <c r="E2935" s="65"/>
      <c r="F2935" s="66"/>
      <c r="G2935" s="63"/>
      <c r="H2935" s="67"/>
      <c r="I2935" s="68"/>
      <c r="J2935" s="68"/>
      <c r="K2935" s="32"/>
      <c r="L2935" s="75">
        <v>2935</v>
      </c>
      <c r="M2935" s="75"/>
      <c r="N2935" s="70"/>
      <c r="O2935" s="77" t="s">
        <v>179</v>
      </c>
      <c r="P2935" s="79">
        <v>45072.508657407408</v>
      </c>
      <c r="Q2935" s="77" t="s">
        <v>4688</v>
      </c>
      <c r="R2935" s="77">
        <v>5</v>
      </c>
      <c r="S2935" s="77">
        <v>12</v>
      </c>
      <c r="T2935" s="77">
        <v>0</v>
      </c>
      <c r="U2935" s="77">
        <v>0</v>
      </c>
      <c r="V2935" s="77">
        <v>1939</v>
      </c>
      <c r="W2935" s="80" t="s">
        <v>7714</v>
      </c>
      <c r="X2935" s="77"/>
      <c r="Y2935" s="77"/>
      <c r="Z2935" s="77"/>
      <c r="AA2935" s="77" t="s">
        <v>9985</v>
      </c>
      <c r="AB2935" s="77" t="s">
        <v>10534</v>
      </c>
      <c r="AC2935" s="80" t="s">
        <v>10600</v>
      </c>
      <c r="AD2935" s="77" t="s">
        <v>10617</v>
      </c>
      <c r="AE2935" s="83" t="str">
        <f>HYPERLINK("https://twitter.com/radiobandnewsfm/status/1662069187068456963")</f>
        <v>https://twitter.com/radiobandnewsfm/status/1662069187068456963</v>
      </c>
      <c r="AF2935" s="79">
        <v>45072.508657407408</v>
      </c>
      <c r="AG2935" s="85">
        <v>45072</v>
      </c>
      <c r="AH2935" s="80" t="s">
        <v>13198</v>
      </c>
      <c r="AI2935" s="77" t="b">
        <v>0</v>
      </c>
      <c r="AJ2935" s="77"/>
      <c r="AK2935" s="77"/>
      <c r="AL2935" s="77"/>
      <c r="AM2935" s="77"/>
      <c r="AN2935" s="77"/>
      <c r="AO2935" s="77"/>
      <c r="AP2935" s="77"/>
      <c r="AQ2935" s="77" t="s">
        <v>15466</v>
      </c>
      <c r="AR2935" s="77">
        <v>125533</v>
      </c>
      <c r="AS2935" s="77"/>
      <c r="AT2935" s="77"/>
      <c r="AU2935" s="77"/>
      <c r="AV2935" s="83" t="str">
        <f>HYPERLINK("https://pbs.twimg.com/amplify_video_thumb/1662069126829842432/img/AvLhSdPBPIXo1HnW.jpg")</f>
        <v>https://pbs.twimg.com/amplify_video_thumb/1662069126829842432/img/AvLhSdPBPIXo1HnW.jpg</v>
      </c>
      <c r="AW2935" s="80" t="s">
        <v>18704</v>
      </c>
      <c r="AX2935" s="80" t="s">
        <v>18704</v>
      </c>
      <c r="AY2935" s="77"/>
      <c r="AZ2935" s="80" t="s">
        <v>20380</v>
      </c>
      <c r="BA2935" s="80" t="s">
        <v>20380</v>
      </c>
      <c r="BB2935" s="80" t="s">
        <v>20380</v>
      </c>
      <c r="BC2935" s="80" t="s">
        <v>18704</v>
      </c>
      <c r="BD2935" s="77">
        <v>26573303</v>
      </c>
      <c r="BE2935" s="77"/>
      <c r="BF2935" s="77"/>
      <c r="BG2935" s="77"/>
      <c r="BH2935" s="77"/>
      <c r="BI2935" s="77"/>
    </row>
    <row r="2936" spans="1:61" x14ac:dyDescent="0.25">
      <c r="A2936" s="62" t="s">
        <v>1164</v>
      </c>
      <c r="B2936" s="62" t="s">
        <v>1164</v>
      </c>
      <c r="C2936" s="63"/>
      <c r="D2936" s="64"/>
      <c r="E2936" s="65"/>
      <c r="F2936" s="66"/>
      <c r="G2936" s="63"/>
      <c r="H2936" s="67"/>
      <c r="I2936" s="68"/>
      <c r="J2936" s="68"/>
      <c r="K2936" s="32"/>
      <c r="L2936" s="75">
        <v>2936</v>
      </c>
      <c r="M2936" s="75"/>
      <c r="N2936" s="70"/>
      <c r="O2936" s="77" t="s">
        <v>179</v>
      </c>
      <c r="P2936" s="79">
        <v>45110.748877314814</v>
      </c>
      <c r="Q2936" s="77" t="s">
        <v>4689</v>
      </c>
      <c r="R2936" s="77">
        <v>1</v>
      </c>
      <c r="S2936" s="77">
        <v>4</v>
      </c>
      <c r="T2936" s="77">
        <v>3</v>
      </c>
      <c r="U2936" s="77">
        <v>0</v>
      </c>
      <c r="V2936" s="77">
        <v>2875</v>
      </c>
      <c r="W2936" s="80" t="s">
        <v>7117</v>
      </c>
      <c r="X2936" s="77"/>
      <c r="Y2936" s="77"/>
      <c r="Z2936" s="77"/>
      <c r="AA2936" s="77" t="s">
        <v>9986</v>
      </c>
      <c r="AB2936" s="77" t="s">
        <v>10534</v>
      </c>
      <c r="AC2936" s="80" t="s">
        <v>10600</v>
      </c>
      <c r="AD2936" s="77" t="s">
        <v>10617</v>
      </c>
      <c r="AE2936" s="83" t="str">
        <f>HYPERLINK("https://twitter.com/radiobandnewsfm/status/1675926977004314644")</f>
        <v>https://twitter.com/radiobandnewsfm/status/1675926977004314644</v>
      </c>
      <c r="AF2936" s="79">
        <v>45110.748877314814</v>
      </c>
      <c r="AG2936" s="85">
        <v>45110</v>
      </c>
      <c r="AH2936" s="80" t="s">
        <v>13199</v>
      </c>
      <c r="AI2936" s="77" t="b">
        <v>0</v>
      </c>
      <c r="AJ2936" s="77"/>
      <c r="AK2936" s="77"/>
      <c r="AL2936" s="77"/>
      <c r="AM2936" s="77"/>
      <c r="AN2936" s="77"/>
      <c r="AO2936" s="77"/>
      <c r="AP2936" s="77"/>
      <c r="AQ2936" s="77" t="s">
        <v>15467</v>
      </c>
      <c r="AR2936" s="77">
        <v>407760</v>
      </c>
      <c r="AS2936" s="77"/>
      <c r="AT2936" s="77"/>
      <c r="AU2936" s="77"/>
      <c r="AV2936" s="83" t="str">
        <f>HYPERLINK("https://pbs.twimg.com/amplify_video_thumb/1675926241231118336/img/MUW2zKWFxUVPcows.jpg")</f>
        <v>https://pbs.twimg.com/amplify_video_thumb/1675926241231118336/img/MUW2zKWFxUVPcows.jpg</v>
      </c>
      <c r="AW2936" s="80" t="s">
        <v>18705</v>
      </c>
      <c r="AX2936" s="80" t="s">
        <v>18705</v>
      </c>
      <c r="AY2936" s="77"/>
      <c r="AZ2936" s="80" t="s">
        <v>20380</v>
      </c>
      <c r="BA2936" s="80" t="s">
        <v>20380</v>
      </c>
      <c r="BB2936" s="80" t="s">
        <v>20380</v>
      </c>
      <c r="BC2936" s="80" t="s">
        <v>18705</v>
      </c>
      <c r="BD2936" s="77">
        <v>26573303</v>
      </c>
      <c r="BE2936" s="77"/>
      <c r="BF2936" s="77"/>
      <c r="BG2936" s="77"/>
      <c r="BH2936" s="77"/>
      <c r="BI2936" s="77"/>
    </row>
    <row r="2937" spans="1:61" x14ac:dyDescent="0.25">
      <c r="A2937" s="62" t="s">
        <v>1164</v>
      </c>
      <c r="B2937" s="62" t="s">
        <v>1164</v>
      </c>
      <c r="C2937" s="63"/>
      <c r="D2937" s="64"/>
      <c r="E2937" s="65"/>
      <c r="F2937" s="66"/>
      <c r="G2937" s="63"/>
      <c r="H2937" s="67"/>
      <c r="I2937" s="68"/>
      <c r="J2937" s="68"/>
      <c r="K2937" s="32"/>
      <c r="L2937" s="75">
        <v>2937</v>
      </c>
      <c r="M2937" s="75"/>
      <c r="N2937" s="70"/>
      <c r="O2937" s="77" t="s">
        <v>179</v>
      </c>
      <c r="P2937" s="79">
        <v>45051.512731481482</v>
      </c>
      <c r="Q2937" s="77" t="s">
        <v>4690</v>
      </c>
      <c r="R2937" s="77">
        <v>1</v>
      </c>
      <c r="S2937" s="77">
        <v>8</v>
      </c>
      <c r="T2937" s="77">
        <v>0</v>
      </c>
      <c r="U2937" s="77">
        <v>0</v>
      </c>
      <c r="V2937" s="77">
        <v>2005</v>
      </c>
      <c r="W2937" s="80" t="s">
        <v>7715</v>
      </c>
      <c r="X2937" s="77"/>
      <c r="Y2937" s="77"/>
      <c r="Z2937" s="77"/>
      <c r="AA2937" s="77" t="s">
        <v>9987</v>
      </c>
      <c r="AB2937" s="77" t="s">
        <v>10534</v>
      </c>
      <c r="AC2937" s="80" t="s">
        <v>10600</v>
      </c>
      <c r="AD2937" s="77" t="s">
        <v>10617</v>
      </c>
      <c r="AE2937" s="83" t="str">
        <f>HYPERLINK("https://twitter.com/radiobandnewsfm/status/1654460519917518850")</f>
        <v>https://twitter.com/radiobandnewsfm/status/1654460519917518850</v>
      </c>
      <c r="AF2937" s="79">
        <v>45051.512731481482</v>
      </c>
      <c r="AG2937" s="85">
        <v>45051</v>
      </c>
      <c r="AH2937" s="80" t="s">
        <v>13200</v>
      </c>
      <c r="AI2937" s="77" t="b">
        <v>0</v>
      </c>
      <c r="AJ2937" s="77"/>
      <c r="AK2937" s="77"/>
      <c r="AL2937" s="77"/>
      <c r="AM2937" s="77"/>
      <c r="AN2937" s="77"/>
      <c r="AO2937" s="77"/>
      <c r="AP2937" s="77"/>
      <c r="AQ2937" s="77" t="s">
        <v>15468</v>
      </c>
      <c r="AR2937" s="77">
        <v>346402</v>
      </c>
      <c r="AS2937" s="77"/>
      <c r="AT2937" s="77"/>
      <c r="AU2937" s="77"/>
      <c r="AV2937" s="83" t="str">
        <f>HYPERLINK("https://pbs.twimg.com/amplify_video_thumb/1654460144921501697/img/Jp41agZjMAKRCKS3.jpg")</f>
        <v>https://pbs.twimg.com/amplify_video_thumb/1654460144921501697/img/Jp41agZjMAKRCKS3.jpg</v>
      </c>
      <c r="AW2937" s="80" t="s">
        <v>18706</v>
      </c>
      <c r="AX2937" s="80" t="s">
        <v>18706</v>
      </c>
      <c r="AY2937" s="77"/>
      <c r="AZ2937" s="80" t="s">
        <v>20380</v>
      </c>
      <c r="BA2937" s="80" t="s">
        <v>20380</v>
      </c>
      <c r="BB2937" s="80" t="s">
        <v>20380</v>
      </c>
      <c r="BC2937" s="80" t="s">
        <v>18706</v>
      </c>
      <c r="BD2937" s="77">
        <v>26573303</v>
      </c>
      <c r="BE2937" s="77"/>
      <c r="BF2937" s="77"/>
      <c r="BG2937" s="77"/>
      <c r="BH2937" s="77"/>
      <c r="BI2937" s="77"/>
    </row>
    <row r="2938" spans="1:61" x14ac:dyDescent="0.25">
      <c r="A2938" s="62" t="s">
        <v>1164</v>
      </c>
      <c r="B2938" s="62" t="s">
        <v>1164</v>
      </c>
      <c r="C2938" s="63"/>
      <c r="D2938" s="64"/>
      <c r="E2938" s="65"/>
      <c r="F2938" s="66"/>
      <c r="G2938" s="63"/>
      <c r="H2938" s="67"/>
      <c r="I2938" s="68"/>
      <c r="J2938" s="68"/>
      <c r="K2938" s="32"/>
      <c r="L2938" s="75">
        <v>2938</v>
      </c>
      <c r="M2938" s="75"/>
      <c r="N2938" s="70"/>
      <c r="O2938" s="77" t="s">
        <v>179</v>
      </c>
      <c r="P2938" s="79">
        <v>45076.526701388888</v>
      </c>
      <c r="Q2938" s="77" t="s">
        <v>4691</v>
      </c>
      <c r="R2938" s="77">
        <v>2</v>
      </c>
      <c r="S2938" s="77">
        <v>10</v>
      </c>
      <c r="T2938" s="77">
        <v>3</v>
      </c>
      <c r="U2938" s="77">
        <v>0</v>
      </c>
      <c r="V2938" s="77">
        <v>2155</v>
      </c>
      <c r="W2938" s="80" t="s">
        <v>7716</v>
      </c>
      <c r="X2938" s="77"/>
      <c r="Y2938" s="77"/>
      <c r="Z2938" s="77"/>
      <c r="AA2938" s="77" t="s">
        <v>9988</v>
      </c>
      <c r="AB2938" s="77" t="s">
        <v>10534</v>
      </c>
      <c r="AC2938" s="80" t="s">
        <v>10600</v>
      </c>
      <c r="AD2938" s="77" t="s">
        <v>10617</v>
      </c>
      <c r="AE2938" s="83" t="str">
        <f>HYPERLINK("https://twitter.com/radiobandnewsfm/status/1663525277492805634")</f>
        <v>https://twitter.com/radiobandnewsfm/status/1663525277492805634</v>
      </c>
      <c r="AF2938" s="79">
        <v>45076.526701388888</v>
      </c>
      <c r="AG2938" s="85">
        <v>45076</v>
      </c>
      <c r="AH2938" s="80" t="s">
        <v>13201</v>
      </c>
      <c r="AI2938" s="77" t="b">
        <v>0</v>
      </c>
      <c r="AJ2938" s="77"/>
      <c r="AK2938" s="77"/>
      <c r="AL2938" s="77"/>
      <c r="AM2938" s="77"/>
      <c r="AN2938" s="77"/>
      <c r="AO2938" s="77"/>
      <c r="AP2938" s="77"/>
      <c r="AQ2938" s="77" t="s">
        <v>15469</v>
      </c>
      <c r="AR2938" s="77">
        <v>338088</v>
      </c>
      <c r="AS2938" s="77"/>
      <c r="AT2938" s="77"/>
      <c r="AU2938" s="77"/>
      <c r="AV2938" s="83" t="str">
        <f>HYPERLINK("https://pbs.twimg.com/amplify_video_thumb/1663524898004692996/img/u1AHtwHcKIrE_QQB.jpg")</f>
        <v>https://pbs.twimg.com/amplify_video_thumb/1663524898004692996/img/u1AHtwHcKIrE_QQB.jpg</v>
      </c>
      <c r="AW2938" s="80" t="s">
        <v>18707</v>
      </c>
      <c r="AX2938" s="80" t="s">
        <v>18707</v>
      </c>
      <c r="AY2938" s="77"/>
      <c r="AZ2938" s="80" t="s">
        <v>20380</v>
      </c>
      <c r="BA2938" s="80" t="s">
        <v>20380</v>
      </c>
      <c r="BB2938" s="80" t="s">
        <v>20380</v>
      </c>
      <c r="BC2938" s="80" t="s">
        <v>18707</v>
      </c>
      <c r="BD2938" s="77">
        <v>26573303</v>
      </c>
      <c r="BE2938" s="77"/>
      <c r="BF2938" s="77"/>
      <c r="BG2938" s="77"/>
      <c r="BH2938" s="77"/>
      <c r="BI2938" s="77"/>
    </row>
    <row r="2939" spans="1:61" x14ac:dyDescent="0.25">
      <c r="A2939" s="62" t="s">
        <v>1164</v>
      </c>
      <c r="B2939" s="62" t="s">
        <v>1164</v>
      </c>
      <c r="C2939" s="63"/>
      <c r="D2939" s="64"/>
      <c r="E2939" s="65"/>
      <c r="F2939" s="66"/>
      <c r="G2939" s="63"/>
      <c r="H2939" s="67"/>
      <c r="I2939" s="68"/>
      <c r="J2939" s="68"/>
      <c r="K2939" s="32"/>
      <c r="L2939" s="75">
        <v>2939</v>
      </c>
      <c r="M2939" s="75"/>
      <c r="N2939" s="70"/>
      <c r="O2939" s="77" t="s">
        <v>179</v>
      </c>
      <c r="P2939" s="79">
        <v>45177.656493055554</v>
      </c>
      <c r="Q2939" s="77" t="s">
        <v>4692</v>
      </c>
      <c r="R2939" s="77">
        <v>0</v>
      </c>
      <c r="S2939" s="77">
        <v>5</v>
      </c>
      <c r="T2939" s="77">
        <v>1</v>
      </c>
      <c r="U2939" s="77">
        <v>0</v>
      </c>
      <c r="V2939" s="77">
        <v>1903</v>
      </c>
      <c r="W2939" s="80" t="s">
        <v>6250</v>
      </c>
      <c r="X2939" s="77"/>
      <c r="Y2939" s="77"/>
      <c r="Z2939" s="77"/>
      <c r="AA2939" s="77" t="s">
        <v>9989</v>
      </c>
      <c r="AB2939" s="77" t="s">
        <v>10534</v>
      </c>
      <c r="AC2939" s="80" t="s">
        <v>10554</v>
      </c>
      <c r="AD2939" s="77" t="s">
        <v>10617</v>
      </c>
      <c r="AE2939" s="83" t="str">
        <f>HYPERLINK("https://twitter.com/radiobandnewsfm/status/1700173485538939220")</f>
        <v>https://twitter.com/radiobandnewsfm/status/1700173485538939220</v>
      </c>
      <c r="AF2939" s="79">
        <v>45177.656493055554</v>
      </c>
      <c r="AG2939" s="85">
        <v>45177</v>
      </c>
      <c r="AH2939" s="80" t="s">
        <v>13202</v>
      </c>
      <c r="AI2939" s="77" t="b">
        <v>0</v>
      </c>
      <c r="AJ2939" s="77"/>
      <c r="AK2939" s="77"/>
      <c r="AL2939" s="77"/>
      <c r="AM2939" s="77"/>
      <c r="AN2939" s="77"/>
      <c r="AO2939" s="77"/>
      <c r="AP2939" s="77"/>
      <c r="AQ2939" s="77" t="s">
        <v>15470</v>
      </c>
      <c r="AR2939" s="77">
        <v>56679</v>
      </c>
      <c r="AS2939" s="77"/>
      <c r="AT2939" s="77"/>
      <c r="AU2939" s="77"/>
      <c r="AV2939" s="83" t="str">
        <f>HYPERLINK("https://pbs.twimg.com/amplify_video_thumb/1700173270387953664/img/5ha60MoF3vUwY1LJ.jpg")</f>
        <v>https://pbs.twimg.com/amplify_video_thumb/1700173270387953664/img/5ha60MoF3vUwY1LJ.jpg</v>
      </c>
      <c r="AW2939" s="80" t="s">
        <v>18708</v>
      </c>
      <c r="AX2939" s="80" t="s">
        <v>18708</v>
      </c>
      <c r="AY2939" s="77"/>
      <c r="AZ2939" s="80" t="s">
        <v>20380</v>
      </c>
      <c r="BA2939" s="80" t="s">
        <v>20380</v>
      </c>
      <c r="BB2939" s="80" t="s">
        <v>20380</v>
      </c>
      <c r="BC2939" s="80" t="s">
        <v>18708</v>
      </c>
      <c r="BD2939" s="77">
        <v>26573303</v>
      </c>
      <c r="BE2939" s="77"/>
      <c r="BF2939" s="77"/>
      <c r="BG2939" s="77"/>
      <c r="BH2939" s="77"/>
      <c r="BI2939" s="77"/>
    </row>
    <row r="2940" spans="1:61" x14ac:dyDescent="0.25">
      <c r="A2940" s="62" t="s">
        <v>1164</v>
      </c>
      <c r="B2940" s="62" t="s">
        <v>1164</v>
      </c>
      <c r="C2940" s="63"/>
      <c r="D2940" s="64"/>
      <c r="E2940" s="65"/>
      <c r="F2940" s="66"/>
      <c r="G2940" s="63"/>
      <c r="H2940" s="67"/>
      <c r="I2940" s="68"/>
      <c r="J2940" s="68"/>
      <c r="K2940" s="32"/>
      <c r="L2940" s="75">
        <v>2940</v>
      </c>
      <c r="M2940" s="75"/>
      <c r="N2940" s="70"/>
      <c r="O2940" s="77" t="s">
        <v>179</v>
      </c>
      <c r="P2940" s="79">
        <v>45050.514166666668</v>
      </c>
      <c r="Q2940" s="77" t="s">
        <v>4693</v>
      </c>
      <c r="R2940" s="77">
        <v>0</v>
      </c>
      <c r="S2940" s="77">
        <v>2</v>
      </c>
      <c r="T2940" s="77">
        <v>0</v>
      </c>
      <c r="U2940" s="77">
        <v>0</v>
      </c>
      <c r="V2940" s="77">
        <v>2074</v>
      </c>
      <c r="W2940" s="80" t="s">
        <v>6535</v>
      </c>
      <c r="X2940" s="77"/>
      <c r="Y2940" s="77"/>
      <c r="Z2940" s="77"/>
      <c r="AA2940" s="77" t="s">
        <v>9990</v>
      </c>
      <c r="AB2940" s="77" t="s">
        <v>10534</v>
      </c>
      <c r="AC2940" s="80" t="s">
        <v>10600</v>
      </c>
      <c r="AD2940" s="77" t="s">
        <v>10617</v>
      </c>
      <c r="AE2940" s="83" t="str">
        <f>HYPERLINK("https://twitter.com/radiobandnewsfm/status/1654098649192755205")</f>
        <v>https://twitter.com/radiobandnewsfm/status/1654098649192755205</v>
      </c>
      <c r="AF2940" s="79">
        <v>45050.514166666668</v>
      </c>
      <c r="AG2940" s="85">
        <v>45050</v>
      </c>
      <c r="AH2940" s="80" t="s">
        <v>13203</v>
      </c>
      <c r="AI2940" s="77" t="b">
        <v>0</v>
      </c>
      <c r="AJ2940" s="77"/>
      <c r="AK2940" s="77"/>
      <c r="AL2940" s="77"/>
      <c r="AM2940" s="77"/>
      <c r="AN2940" s="77"/>
      <c r="AO2940" s="77"/>
      <c r="AP2940" s="77"/>
      <c r="AQ2940" s="77" t="s">
        <v>15471</v>
      </c>
      <c r="AR2940" s="77">
        <v>232853</v>
      </c>
      <c r="AS2940" s="77"/>
      <c r="AT2940" s="77"/>
      <c r="AU2940" s="77"/>
      <c r="AV2940" s="83" t="str">
        <f>HYPERLINK("https://pbs.twimg.com/amplify_video_thumb/1654098482154680321/img/qV7xmFHlrhlPgzSs.jpg")</f>
        <v>https://pbs.twimg.com/amplify_video_thumb/1654098482154680321/img/qV7xmFHlrhlPgzSs.jpg</v>
      </c>
      <c r="AW2940" s="80" t="s">
        <v>18709</v>
      </c>
      <c r="AX2940" s="80" t="s">
        <v>18709</v>
      </c>
      <c r="AY2940" s="77"/>
      <c r="AZ2940" s="80" t="s">
        <v>20380</v>
      </c>
      <c r="BA2940" s="80" t="s">
        <v>20380</v>
      </c>
      <c r="BB2940" s="80" t="s">
        <v>20380</v>
      </c>
      <c r="BC2940" s="80" t="s">
        <v>18709</v>
      </c>
      <c r="BD2940" s="77">
        <v>26573303</v>
      </c>
      <c r="BE2940" s="77"/>
      <c r="BF2940" s="77"/>
      <c r="BG2940" s="77"/>
      <c r="BH2940" s="77"/>
      <c r="BI2940" s="77"/>
    </row>
    <row r="2941" spans="1:61" x14ac:dyDescent="0.25">
      <c r="A2941" s="62" t="s">
        <v>1165</v>
      </c>
      <c r="B2941" s="62" t="s">
        <v>1810</v>
      </c>
      <c r="C2941" s="63"/>
      <c r="D2941" s="64"/>
      <c r="E2941" s="65"/>
      <c r="F2941" s="66"/>
      <c r="G2941" s="63"/>
      <c r="H2941" s="67"/>
      <c r="I2941" s="68"/>
      <c r="J2941" s="68"/>
      <c r="K2941" s="32"/>
      <c r="L2941" s="75">
        <v>2941</v>
      </c>
      <c r="M2941" s="75"/>
      <c r="N2941" s="70"/>
      <c r="O2941" s="77" t="s">
        <v>2081</v>
      </c>
      <c r="P2941" s="79">
        <v>45173.657488425924</v>
      </c>
      <c r="Q2941" s="77" t="s">
        <v>4694</v>
      </c>
      <c r="R2941" s="77">
        <v>12</v>
      </c>
      <c r="S2941" s="77">
        <v>20</v>
      </c>
      <c r="T2941" s="77">
        <v>3</v>
      </c>
      <c r="U2941" s="77">
        <v>0</v>
      </c>
      <c r="V2941" s="77">
        <v>6674</v>
      </c>
      <c r="W2941" s="80" t="s">
        <v>7717</v>
      </c>
      <c r="X2941" s="77"/>
      <c r="Y2941" s="77"/>
      <c r="Z2941" s="77" t="s">
        <v>1810</v>
      </c>
      <c r="AA2941" s="77" t="s">
        <v>9991</v>
      </c>
      <c r="AB2941" s="77" t="s">
        <v>10534</v>
      </c>
      <c r="AC2941" s="80" t="s">
        <v>10540</v>
      </c>
      <c r="AD2941" s="77" t="s">
        <v>10620</v>
      </c>
      <c r="AE2941" s="83" t="str">
        <f>HYPERLINK("https://twitter.com/alberdianaok/status/1698724294337962164")</f>
        <v>https://twitter.com/alberdianaok/status/1698724294337962164</v>
      </c>
      <c r="AF2941" s="79">
        <v>45173.657488425924</v>
      </c>
      <c r="AG2941" s="85">
        <v>45173</v>
      </c>
      <c r="AH2941" s="80" t="s">
        <v>13204</v>
      </c>
      <c r="AI2941" s="77" t="b">
        <v>0</v>
      </c>
      <c r="AJ2941" s="77"/>
      <c r="AK2941" s="77"/>
      <c r="AL2941" s="77"/>
      <c r="AM2941" s="77"/>
      <c r="AN2941" s="77"/>
      <c r="AO2941" s="77"/>
      <c r="AP2941" s="77"/>
      <c r="AQ2941" s="77" t="s">
        <v>15472</v>
      </c>
      <c r="AR2941" s="77">
        <v>26191</v>
      </c>
      <c r="AS2941" s="77"/>
      <c r="AT2941" s="77"/>
      <c r="AU2941" s="77"/>
      <c r="AV2941" s="83" t="str">
        <f>HYPERLINK("https://pbs.twimg.com/ext_tw_video_thumb/1698724230320230400/pu/img/3rprO7U4R3pIviTC.jpg")</f>
        <v>https://pbs.twimg.com/ext_tw_video_thumb/1698724230320230400/pu/img/3rprO7U4R3pIviTC.jpg</v>
      </c>
      <c r="AW2941" s="80" t="s">
        <v>18710</v>
      </c>
      <c r="AX2941" s="80" t="s">
        <v>18710</v>
      </c>
      <c r="AY2941" s="80" t="s">
        <v>20273</v>
      </c>
      <c r="AZ2941" s="80" t="s">
        <v>20380</v>
      </c>
      <c r="BA2941" s="80" t="s">
        <v>20380</v>
      </c>
      <c r="BB2941" s="80" t="s">
        <v>20380</v>
      </c>
      <c r="BC2941" s="80" t="s">
        <v>18710</v>
      </c>
      <c r="BD2941" s="80" t="s">
        <v>20960</v>
      </c>
      <c r="BE2941" s="77"/>
      <c r="BF2941" s="77"/>
      <c r="BG2941" s="77"/>
      <c r="BH2941" s="77"/>
      <c r="BI2941" s="77"/>
    </row>
    <row r="2942" spans="1:61" x14ac:dyDescent="0.25">
      <c r="A2942" s="62" t="s">
        <v>1166</v>
      </c>
      <c r="B2942" s="62" t="s">
        <v>1596</v>
      </c>
      <c r="C2942" s="63"/>
      <c r="D2942" s="64"/>
      <c r="E2942" s="65"/>
      <c r="F2942" s="66"/>
      <c r="G2942" s="63"/>
      <c r="H2942" s="67"/>
      <c r="I2942" s="68"/>
      <c r="J2942" s="68"/>
      <c r="K2942" s="32"/>
      <c r="L2942" s="75">
        <v>2942</v>
      </c>
      <c r="M2942" s="75"/>
      <c r="N2942" s="70"/>
      <c r="O2942" s="77" t="s">
        <v>2081</v>
      </c>
      <c r="P2942" s="79">
        <v>45098.651562500003</v>
      </c>
      <c r="Q2942" s="77" t="s">
        <v>4695</v>
      </c>
      <c r="R2942" s="77">
        <v>0</v>
      </c>
      <c r="S2942" s="77">
        <v>0</v>
      </c>
      <c r="T2942" s="77">
        <v>0</v>
      </c>
      <c r="U2942" s="77">
        <v>0</v>
      </c>
      <c r="V2942" s="77">
        <v>9</v>
      </c>
      <c r="W2942" s="80" t="s">
        <v>6008</v>
      </c>
      <c r="X2942" s="83" t="str">
        <f>HYPERLINK("https://www.bcb.gov.br/publicacoes/focus")</f>
        <v>https://www.bcb.gov.br/publicacoes/focus</v>
      </c>
      <c r="Y2942" s="77" t="s">
        <v>8633</v>
      </c>
      <c r="Z2942" s="77" t="s">
        <v>1596</v>
      </c>
      <c r="AA2942" s="77"/>
      <c r="AB2942" s="77"/>
      <c r="AC2942" s="80" t="s">
        <v>10542</v>
      </c>
      <c r="AD2942" s="77" t="s">
        <v>10617</v>
      </c>
      <c r="AE2942" s="83" t="str">
        <f>HYPERLINK("https://twitter.com/joedsoncosta13/status/1671543058620399619")</f>
        <v>https://twitter.com/joedsoncosta13/status/1671543058620399619</v>
      </c>
      <c r="AF2942" s="79">
        <v>45098.651562500003</v>
      </c>
      <c r="AG2942" s="85">
        <v>45098</v>
      </c>
      <c r="AH2942" s="80" t="s">
        <v>13205</v>
      </c>
      <c r="AI2942" s="77" t="b">
        <v>0</v>
      </c>
      <c r="AJ2942" s="77"/>
      <c r="AK2942" s="77"/>
      <c r="AL2942" s="77"/>
      <c r="AM2942" s="77"/>
      <c r="AN2942" s="77"/>
      <c r="AO2942" s="77"/>
      <c r="AP2942" s="77"/>
      <c r="AQ2942" s="77"/>
      <c r="AR2942" s="77"/>
      <c r="AS2942" s="77"/>
      <c r="AT2942" s="77"/>
      <c r="AU2942" s="77"/>
      <c r="AV2942" s="83" t="str">
        <f>HYPERLINK("https://pbs.twimg.com/profile_images/1267597898386214918/6DfF_GVF_normal.jpg")</f>
        <v>https://pbs.twimg.com/profile_images/1267597898386214918/6DfF_GVF_normal.jpg</v>
      </c>
      <c r="AW2942" s="80" t="s">
        <v>18711</v>
      </c>
      <c r="AX2942" s="80" t="s">
        <v>18711</v>
      </c>
      <c r="AY2942" s="77"/>
      <c r="AZ2942" s="80" t="s">
        <v>20380</v>
      </c>
      <c r="BA2942" s="80" t="s">
        <v>20380</v>
      </c>
      <c r="BB2942" s="80" t="s">
        <v>20380</v>
      </c>
      <c r="BC2942" s="80" t="s">
        <v>18711</v>
      </c>
      <c r="BD2942" s="80" t="s">
        <v>20961</v>
      </c>
      <c r="BE2942" s="77"/>
      <c r="BF2942" s="77"/>
      <c r="BG2942" s="77"/>
      <c r="BH2942" s="77"/>
      <c r="BI2942" s="77"/>
    </row>
    <row r="2943" spans="1:61" x14ac:dyDescent="0.25">
      <c r="A2943" s="62" t="s">
        <v>1167</v>
      </c>
      <c r="B2943" s="62" t="s">
        <v>1672</v>
      </c>
      <c r="C2943" s="63"/>
      <c r="D2943" s="64"/>
      <c r="E2943" s="65"/>
      <c r="F2943" s="66"/>
      <c r="G2943" s="63"/>
      <c r="H2943" s="67"/>
      <c r="I2943" s="68"/>
      <c r="J2943" s="68"/>
      <c r="K2943" s="32"/>
      <c r="L2943" s="75">
        <v>2943</v>
      </c>
      <c r="M2943" s="75"/>
      <c r="N2943" s="70"/>
      <c r="O2943" s="77" t="s">
        <v>2083</v>
      </c>
      <c r="P2943" s="79">
        <v>45196.829699074071</v>
      </c>
      <c r="Q2943" s="77" t="s">
        <v>3780</v>
      </c>
      <c r="R2943" s="77">
        <v>3</v>
      </c>
      <c r="S2943" s="77">
        <v>0</v>
      </c>
      <c r="T2943" s="77">
        <v>0</v>
      </c>
      <c r="U2943" s="77">
        <v>0</v>
      </c>
      <c r="V2943" s="77"/>
      <c r="W2943" s="80" t="s">
        <v>7090</v>
      </c>
      <c r="X2943" s="77"/>
      <c r="Y2943" s="77"/>
      <c r="Z2943" s="77" t="s">
        <v>1672</v>
      </c>
      <c r="AA2943" s="77"/>
      <c r="AB2943" s="77"/>
      <c r="AC2943" s="80" t="s">
        <v>10541</v>
      </c>
      <c r="AD2943" s="77" t="s">
        <v>10620</v>
      </c>
      <c r="AE2943" s="83" t="str">
        <f>HYPERLINK("https://twitter.com/ronaldc63388126/status/1707121622694469902")</f>
        <v>https://twitter.com/ronaldc63388126/status/1707121622694469902</v>
      </c>
      <c r="AF2943" s="79">
        <v>45196.829699074071</v>
      </c>
      <c r="AG2943" s="85">
        <v>45196</v>
      </c>
      <c r="AH2943" s="80" t="s">
        <v>13206</v>
      </c>
      <c r="AI2943" s="77" t="b">
        <v>0</v>
      </c>
      <c r="AJ2943" s="77"/>
      <c r="AK2943" s="77"/>
      <c r="AL2943" s="77"/>
      <c r="AM2943" s="77"/>
      <c r="AN2943" s="77"/>
      <c r="AO2943" s="77"/>
      <c r="AP2943" s="77"/>
      <c r="AQ2943" s="77"/>
      <c r="AR2943" s="77"/>
      <c r="AS2943" s="77"/>
      <c r="AT2943" s="77"/>
      <c r="AU2943" s="77"/>
      <c r="AV2943" s="83" t="str">
        <f>HYPERLINK("https://abs.twimg.com/sticky/default_profile_images/default_profile_normal.png")</f>
        <v>https://abs.twimg.com/sticky/default_profile_images/default_profile_normal.png</v>
      </c>
      <c r="AW2943" s="80" t="s">
        <v>18712</v>
      </c>
      <c r="AX2943" s="80" t="s">
        <v>18712</v>
      </c>
      <c r="AY2943" s="77"/>
      <c r="AZ2943" s="80" t="s">
        <v>20380</v>
      </c>
      <c r="BA2943" s="80" t="s">
        <v>20380</v>
      </c>
      <c r="BB2943" s="80" t="s">
        <v>19890</v>
      </c>
      <c r="BC2943" s="80" t="s">
        <v>19890</v>
      </c>
      <c r="BD2943" s="80" t="s">
        <v>20962</v>
      </c>
      <c r="BE2943" s="77"/>
      <c r="BF2943" s="77"/>
      <c r="BG2943" s="77"/>
      <c r="BH2943" s="77"/>
      <c r="BI2943" s="77"/>
    </row>
    <row r="2944" spans="1:61" x14ac:dyDescent="0.25">
      <c r="A2944" s="62" t="s">
        <v>1168</v>
      </c>
      <c r="B2944" s="62" t="s">
        <v>1168</v>
      </c>
      <c r="C2944" s="63"/>
      <c r="D2944" s="64"/>
      <c r="E2944" s="65"/>
      <c r="F2944" s="66"/>
      <c r="G2944" s="63"/>
      <c r="H2944" s="67"/>
      <c r="I2944" s="68"/>
      <c r="J2944" s="68"/>
      <c r="K2944" s="32"/>
      <c r="L2944" s="75">
        <v>2944</v>
      </c>
      <c r="M2944" s="75"/>
      <c r="N2944" s="70"/>
      <c r="O2944" s="77" t="s">
        <v>179</v>
      </c>
      <c r="P2944" s="79">
        <v>45070.023240740738</v>
      </c>
      <c r="Q2944" s="77" t="s">
        <v>4696</v>
      </c>
      <c r="R2944" s="77">
        <v>1</v>
      </c>
      <c r="S2944" s="77">
        <v>1</v>
      </c>
      <c r="T2944" s="77">
        <v>0</v>
      </c>
      <c r="U2944" s="77">
        <v>0</v>
      </c>
      <c r="V2944" s="77">
        <v>2714</v>
      </c>
      <c r="W2944" s="80" t="s">
        <v>5884</v>
      </c>
      <c r="X2944" s="83" t="str">
        <f>HYPERLINK("https://www.perfil.com/noticias/economia/las-reservas-del-banco-central-volvieron-a-caer-y-quedaron-por-debajo-de-los-us-33000-millones.phtml")</f>
        <v>https://www.perfil.com/noticias/economia/las-reservas-del-banco-central-volvieron-a-caer-y-quedaron-por-debajo-de-los-us-33000-millones.phtml</v>
      </c>
      <c r="Y2944" s="77" t="s">
        <v>8615</v>
      </c>
      <c r="Z2944" s="77"/>
      <c r="AA2944" s="77"/>
      <c r="AB2944" s="77"/>
      <c r="AC2944" s="80" t="s">
        <v>10542</v>
      </c>
      <c r="AD2944" s="77" t="s">
        <v>10620</v>
      </c>
      <c r="AE2944" s="83" t="str">
        <f>HYPERLINK("https://twitter.com/perfilcom/status/1661168503791951872")</f>
        <v>https://twitter.com/perfilcom/status/1661168503791951872</v>
      </c>
      <c r="AF2944" s="79">
        <v>45070.023240740738</v>
      </c>
      <c r="AG2944" s="85">
        <v>45070</v>
      </c>
      <c r="AH2944" s="80" t="s">
        <v>13207</v>
      </c>
      <c r="AI2944" s="77" t="b">
        <v>0</v>
      </c>
      <c r="AJ2944" s="77"/>
      <c r="AK2944" s="77"/>
      <c r="AL2944" s="77"/>
      <c r="AM2944" s="77"/>
      <c r="AN2944" s="77"/>
      <c r="AO2944" s="77"/>
      <c r="AP2944" s="77"/>
      <c r="AQ2944" s="77"/>
      <c r="AR2944" s="77"/>
      <c r="AS2944" s="77"/>
      <c r="AT2944" s="77"/>
      <c r="AU2944" s="77"/>
      <c r="AV2944" s="83" t="str">
        <f>HYPERLINK("https://pbs.twimg.com/profile_images/1608111146980065280/8m-bXoQr_normal.jpg")</f>
        <v>https://pbs.twimg.com/profile_images/1608111146980065280/8m-bXoQr_normal.jpg</v>
      </c>
      <c r="AW2944" s="80" t="s">
        <v>18713</v>
      </c>
      <c r="AX2944" s="80" t="s">
        <v>18713</v>
      </c>
      <c r="AY2944" s="77"/>
      <c r="AZ2944" s="80" t="s">
        <v>20380</v>
      </c>
      <c r="BA2944" s="80" t="s">
        <v>20380</v>
      </c>
      <c r="BB2944" s="80" t="s">
        <v>20380</v>
      </c>
      <c r="BC2944" s="80" t="s">
        <v>18713</v>
      </c>
      <c r="BD2944" s="77">
        <v>16294264</v>
      </c>
      <c r="BE2944" s="77"/>
      <c r="BF2944" s="77"/>
      <c r="BG2944" s="77"/>
      <c r="BH2944" s="77"/>
      <c r="BI2944" s="77"/>
    </row>
    <row r="2945" spans="1:61" x14ac:dyDescent="0.25">
      <c r="A2945" s="62" t="s">
        <v>1168</v>
      </c>
      <c r="B2945" s="62" t="s">
        <v>1168</v>
      </c>
      <c r="C2945" s="63"/>
      <c r="D2945" s="64"/>
      <c r="E2945" s="65"/>
      <c r="F2945" s="66"/>
      <c r="G2945" s="63"/>
      <c r="H2945" s="67"/>
      <c r="I2945" s="68"/>
      <c r="J2945" s="68"/>
      <c r="K2945" s="32"/>
      <c r="L2945" s="75">
        <v>2945</v>
      </c>
      <c r="M2945" s="75"/>
      <c r="N2945" s="70"/>
      <c r="O2945" s="77" t="s">
        <v>179</v>
      </c>
      <c r="P2945" s="79">
        <v>45092.763888888891</v>
      </c>
      <c r="Q2945" s="77" t="s">
        <v>4697</v>
      </c>
      <c r="R2945" s="77">
        <v>0</v>
      </c>
      <c r="S2945" s="77">
        <v>2</v>
      </c>
      <c r="T2945" s="77">
        <v>1</v>
      </c>
      <c r="U2945" s="77">
        <v>1</v>
      </c>
      <c r="V2945" s="77">
        <v>3556</v>
      </c>
      <c r="W2945" s="80" t="s">
        <v>7337</v>
      </c>
      <c r="X2945" s="77" t="s">
        <v>8606</v>
      </c>
      <c r="Y2945" s="77" t="s">
        <v>8809</v>
      </c>
      <c r="Z2945" s="77"/>
      <c r="AA2945" s="77"/>
      <c r="AB2945" s="77"/>
      <c r="AC2945" s="80" t="s">
        <v>10551</v>
      </c>
      <c r="AD2945" s="77" t="s">
        <v>10620</v>
      </c>
      <c r="AE2945" s="83" t="str">
        <f>HYPERLINK("https://twitter.com/perfilcom/status/1669409435687747584")</f>
        <v>https://twitter.com/perfilcom/status/1669409435687747584</v>
      </c>
      <c r="AF2945" s="79">
        <v>45092.763888888891</v>
      </c>
      <c r="AG2945" s="85">
        <v>45092</v>
      </c>
      <c r="AH2945" s="80" t="s">
        <v>13208</v>
      </c>
      <c r="AI2945" s="77" t="b">
        <v>0</v>
      </c>
      <c r="AJ2945" s="77"/>
      <c r="AK2945" s="77"/>
      <c r="AL2945" s="77"/>
      <c r="AM2945" s="77"/>
      <c r="AN2945" s="77"/>
      <c r="AO2945" s="77"/>
      <c r="AP2945" s="77"/>
      <c r="AQ2945" s="77"/>
      <c r="AR2945" s="77"/>
      <c r="AS2945" s="77"/>
      <c r="AT2945" s="77"/>
      <c r="AU2945" s="77"/>
      <c r="AV2945" s="83" t="str">
        <f>HYPERLINK("https://pbs.twimg.com/profile_images/1608111146980065280/8m-bXoQr_normal.jpg")</f>
        <v>https://pbs.twimg.com/profile_images/1608111146980065280/8m-bXoQr_normal.jpg</v>
      </c>
      <c r="AW2945" s="80" t="s">
        <v>18714</v>
      </c>
      <c r="AX2945" s="80" t="s">
        <v>18714</v>
      </c>
      <c r="AY2945" s="77"/>
      <c r="AZ2945" s="80" t="s">
        <v>20380</v>
      </c>
      <c r="BA2945" s="80" t="s">
        <v>20380</v>
      </c>
      <c r="BB2945" s="80" t="s">
        <v>20380</v>
      </c>
      <c r="BC2945" s="80" t="s">
        <v>18714</v>
      </c>
      <c r="BD2945" s="77">
        <v>16294264</v>
      </c>
      <c r="BE2945" s="77"/>
      <c r="BF2945" s="77"/>
      <c r="BG2945" s="77"/>
      <c r="BH2945" s="77"/>
      <c r="BI2945" s="77"/>
    </row>
    <row r="2946" spans="1:61" x14ac:dyDescent="0.25">
      <c r="A2946" s="62" t="s">
        <v>1169</v>
      </c>
      <c r="B2946" s="62" t="s">
        <v>1698</v>
      </c>
      <c r="C2946" s="63"/>
      <c r="D2946" s="64"/>
      <c r="E2946" s="65"/>
      <c r="F2946" s="66"/>
      <c r="G2946" s="63"/>
      <c r="H2946" s="67"/>
      <c r="I2946" s="68"/>
      <c r="J2946" s="68"/>
      <c r="K2946" s="32"/>
      <c r="L2946" s="75">
        <v>2946</v>
      </c>
      <c r="M2946" s="75"/>
      <c r="N2946" s="70"/>
      <c r="O2946" s="77" t="s">
        <v>2081</v>
      </c>
      <c r="P2946" s="79">
        <v>45118.563101851854</v>
      </c>
      <c r="Q2946" s="77" t="s">
        <v>4698</v>
      </c>
      <c r="R2946" s="77">
        <v>0</v>
      </c>
      <c r="S2946" s="77">
        <v>0</v>
      </c>
      <c r="T2946" s="77">
        <v>0</v>
      </c>
      <c r="U2946" s="77">
        <v>0</v>
      </c>
      <c r="V2946" s="77">
        <v>19</v>
      </c>
      <c r="W2946" s="80" t="s">
        <v>7718</v>
      </c>
      <c r="X2946" s="83" t="str">
        <f>HYPERLINK("https://tinyurl.com/26ybwky5")</f>
        <v>https://tinyurl.com/26ybwky5</v>
      </c>
      <c r="Y2946" s="77" t="s">
        <v>8670</v>
      </c>
      <c r="Z2946" s="77" t="s">
        <v>8996</v>
      </c>
      <c r="AA2946" s="77" t="s">
        <v>9992</v>
      </c>
      <c r="AB2946" s="77" t="s">
        <v>10535</v>
      </c>
      <c r="AC2946" s="80" t="s">
        <v>10541</v>
      </c>
      <c r="AD2946" s="77" t="s">
        <v>10620</v>
      </c>
      <c r="AE2946" s="83" t="str">
        <f>HYPERLINK("https://twitter.com/elfronterizodg/status/1678758760297144321")</f>
        <v>https://twitter.com/elfronterizodg/status/1678758760297144321</v>
      </c>
      <c r="AF2946" s="79">
        <v>45118.563101851854</v>
      </c>
      <c r="AG2946" s="85">
        <v>45118</v>
      </c>
      <c r="AH2946" s="80" t="s">
        <v>13209</v>
      </c>
      <c r="AI2946" s="77" t="b">
        <v>0</v>
      </c>
      <c r="AJ2946" s="77"/>
      <c r="AK2946" s="77"/>
      <c r="AL2946" s="77"/>
      <c r="AM2946" s="77"/>
      <c r="AN2946" s="77"/>
      <c r="AO2946" s="77"/>
      <c r="AP2946" s="77"/>
      <c r="AQ2946" s="77" t="s">
        <v>15473</v>
      </c>
      <c r="AR2946" s="77"/>
      <c r="AS2946" s="77"/>
      <c r="AT2946" s="77"/>
      <c r="AU2946" s="77"/>
      <c r="AV2946" s="83" t="str">
        <f>HYPERLINK("https://pbs.twimg.com/media/F0wkmz5XoAAEiOK.jpg")</f>
        <v>https://pbs.twimg.com/media/F0wkmz5XoAAEiOK.jpg</v>
      </c>
      <c r="AW2946" s="80" t="s">
        <v>18715</v>
      </c>
      <c r="AX2946" s="80" t="s">
        <v>18715</v>
      </c>
      <c r="AY2946" s="77"/>
      <c r="AZ2946" s="80" t="s">
        <v>20380</v>
      </c>
      <c r="BA2946" s="80" t="s">
        <v>20380</v>
      </c>
      <c r="BB2946" s="80" t="s">
        <v>20380</v>
      </c>
      <c r="BC2946" s="80" t="s">
        <v>18715</v>
      </c>
      <c r="BD2946" s="77">
        <v>1281753962</v>
      </c>
      <c r="BE2946" s="77"/>
      <c r="BF2946" s="77"/>
      <c r="BG2946" s="77"/>
      <c r="BH2946" s="77"/>
      <c r="BI2946" s="77"/>
    </row>
    <row r="2947" spans="1:61" x14ac:dyDescent="0.25">
      <c r="A2947" s="62" t="s">
        <v>1169</v>
      </c>
      <c r="B2947" s="62" t="s">
        <v>1974</v>
      </c>
      <c r="C2947" s="63"/>
      <c r="D2947" s="64"/>
      <c r="E2947" s="65"/>
      <c r="F2947" s="66"/>
      <c r="G2947" s="63"/>
      <c r="H2947" s="67"/>
      <c r="I2947" s="68"/>
      <c r="J2947" s="68"/>
      <c r="K2947" s="32"/>
      <c r="L2947" s="75">
        <v>2947</v>
      </c>
      <c r="M2947" s="75"/>
      <c r="N2947" s="70"/>
      <c r="O2947" s="77" t="s">
        <v>2081</v>
      </c>
      <c r="P2947" s="79">
        <v>45118.563101851854</v>
      </c>
      <c r="Q2947" s="77" t="s">
        <v>4698</v>
      </c>
      <c r="R2947" s="77">
        <v>0</v>
      </c>
      <c r="S2947" s="77">
        <v>0</v>
      </c>
      <c r="T2947" s="77">
        <v>0</v>
      </c>
      <c r="U2947" s="77">
        <v>0</v>
      </c>
      <c r="V2947" s="77">
        <v>19</v>
      </c>
      <c r="W2947" s="80" t="s">
        <v>7718</v>
      </c>
      <c r="X2947" s="83" t="str">
        <f>HYPERLINK("https://tinyurl.com/26ybwky5")</f>
        <v>https://tinyurl.com/26ybwky5</v>
      </c>
      <c r="Y2947" s="77" t="s">
        <v>8670</v>
      </c>
      <c r="Z2947" s="77" t="s">
        <v>8996</v>
      </c>
      <c r="AA2947" s="77" t="s">
        <v>9992</v>
      </c>
      <c r="AB2947" s="77" t="s">
        <v>10535</v>
      </c>
      <c r="AC2947" s="80" t="s">
        <v>10541</v>
      </c>
      <c r="AD2947" s="77" t="s">
        <v>10620</v>
      </c>
      <c r="AE2947" s="83" t="str">
        <f>HYPERLINK("https://twitter.com/elfronterizodg/status/1678758760297144321")</f>
        <v>https://twitter.com/elfronterizodg/status/1678758760297144321</v>
      </c>
      <c r="AF2947" s="79">
        <v>45118.563101851854</v>
      </c>
      <c r="AG2947" s="85">
        <v>45118</v>
      </c>
      <c r="AH2947" s="80" t="s">
        <v>13209</v>
      </c>
      <c r="AI2947" s="77" t="b">
        <v>0</v>
      </c>
      <c r="AJ2947" s="77"/>
      <c r="AK2947" s="77"/>
      <c r="AL2947" s="77"/>
      <c r="AM2947" s="77"/>
      <c r="AN2947" s="77"/>
      <c r="AO2947" s="77"/>
      <c r="AP2947" s="77"/>
      <c r="AQ2947" s="77" t="s">
        <v>15473</v>
      </c>
      <c r="AR2947" s="77"/>
      <c r="AS2947" s="77"/>
      <c r="AT2947" s="77"/>
      <c r="AU2947" s="77"/>
      <c r="AV2947" s="83" t="str">
        <f>HYPERLINK("https://pbs.twimg.com/media/F0wkmz5XoAAEiOK.jpg")</f>
        <v>https://pbs.twimg.com/media/F0wkmz5XoAAEiOK.jpg</v>
      </c>
      <c r="AW2947" s="80" t="s">
        <v>18715</v>
      </c>
      <c r="AX2947" s="80" t="s">
        <v>18715</v>
      </c>
      <c r="AY2947" s="77"/>
      <c r="AZ2947" s="80" t="s">
        <v>20380</v>
      </c>
      <c r="BA2947" s="80" t="s">
        <v>20380</v>
      </c>
      <c r="BB2947" s="80" t="s">
        <v>20380</v>
      </c>
      <c r="BC2947" s="80" t="s">
        <v>18715</v>
      </c>
      <c r="BD2947" s="77">
        <v>1281753962</v>
      </c>
      <c r="BE2947" s="77"/>
      <c r="BF2947" s="77"/>
      <c r="BG2947" s="77"/>
      <c r="BH2947" s="77"/>
      <c r="BI2947" s="77"/>
    </row>
    <row r="2948" spans="1:61" x14ac:dyDescent="0.25">
      <c r="A2948" s="62" t="s">
        <v>1169</v>
      </c>
      <c r="B2948" s="62" t="s">
        <v>1716</v>
      </c>
      <c r="C2948" s="63"/>
      <c r="D2948" s="64"/>
      <c r="E2948" s="65"/>
      <c r="F2948" s="66"/>
      <c r="G2948" s="63"/>
      <c r="H2948" s="67"/>
      <c r="I2948" s="68"/>
      <c r="J2948" s="68"/>
      <c r="K2948" s="32"/>
      <c r="L2948" s="75">
        <v>2948</v>
      </c>
      <c r="M2948" s="75"/>
      <c r="N2948" s="70"/>
      <c r="O2948" s="77" t="s">
        <v>2081</v>
      </c>
      <c r="P2948" s="79">
        <v>45118.563101851854</v>
      </c>
      <c r="Q2948" s="77" t="s">
        <v>4698</v>
      </c>
      <c r="R2948" s="77">
        <v>0</v>
      </c>
      <c r="S2948" s="77">
        <v>0</v>
      </c>
      <c r="T2948" s="77">
        <v>0</v>
      </c>
      <c r="U2948" s="77">
        <v>0</v>
      </c>
      <c r="V2948" s="77">
        <v>19</v>
      </c>
      <c r="W2948" s="80" t="s">
        <v>7718</v>
      </c>
      <c r="X2948" s="83" t="str">
        <f>HYPERLINK("https://tinyurl.com/26ybwky5")</f>
        <v>https://tinyurl.com/26ybwky5</v>
      </c>
      <c r="Y2948" s="77" t="s">
        <v>8670</v>
      </c>
      <c r="Z2948" s="77" t="s">
        <v>8996</v>
      </c>
      <c r="AA2948" s="77" t="s">
        <v>9992</v>
      </c>
      <c r="AB2948" s="77" t="s">
        <v>10535</v>
      </c>
      <c r="AC2948" s="80" t="s">
        <v>10541</v>
      </c>
      <c r="AD2948" s="77" t="s">
        <v>10620</v>
      </c>
      <c r="AE2948" s="83" t="str">
        <f>HYPERLINK("https://twitter.com/elfronterizodg/status/1678758760297144321")</f>
        <v>https://twitter.com/elfronterizodg/status/1678758760297144321</v>
      </c>
      <c r="AF2948" s="79">
        <v>45118.563101851854</v>
      </c>
      <c r="AG2948" s="85">
        <v>45118</v>
      </c>
      <c r="AH2948" s="80" t="s">
        <v>13209</v>
      </c>
      <c r="AI2948" s="77" t="b">
        <v>0</v>
      </c>
      <c r="AJ2948" s="77"/>
      <c r="AK2948" s="77"/>
      <c r="AL2948" s="77"/>
      <c r="AM2948" s="77"/>
      <c r="AN2948" s="77"/>
      <c r="AO2948" s="77"/>
      <c r="AP2948" s="77"/>
      <c r="AQ2948" s="77" t="s">
        <v>15473</v>
      </c>
      <c r="AR2948" s="77"/>
      <c r="AS2948" s="77"/>
      <c r="AT2948" s="77"/>
      <c r="AU2948" s="77"/>
      <c r="AV2948" s="83" t="str">
        <f>HYPERLINK("https://pbs.twimg.com/media/F0wkmz5XoAAEiOK.jpg")</f>
        <v>https://pbs.twimg.com/media/F0wkmz5XoAAEiOK.jpg</v>
      </c>
      <c r="AW2948" s="80" t="s">
        <v>18715</v>
      </c>
      <c r="AX2948" s="80" t="s">
        <v>18715</v>
      </c>
      <c r="AY2948" s="77"/>
      <c r="AZ2948" s="80" t="s">
        <v>20380</v>
      </c>
      <c r="BA2948" s="80" t="s">
        <v>20380</v>
      </c>
      <c r="BB2948" s="80" t="s">
        <v>20380</v>
      </c>
      <c r="BC2948" s="80" t="s">
        <v>18715</v>
      </c>
      <c r="BD2948" s="77">
        <v>1281753962</v>
      </c>
      <c r="BE2948" s="77"/>
      <c r="BF2948" s="77"/>
      <c r="BG2948" s="77"/>
      <c r="BH2948" s="77"/>
      <c r="BI2948" s="77"/>
    </row>
    <row r="2949" spans="1:61" x14ac:dyDescent="0.25">
      <c r="A2949" s="62" t="s">
        <v>1170</v>
      </c>
      <c r="B2949" s="62" t="s">
        <v>1170</v>
      </c>
      <c r="C2949" s="63"/>
      <c r="D2949" s="64"/>
      <c r="E2949" s="65"/>
      <c r="F2949" s="66"/>
      <c r="G2949" s="63"/>
      <c r="H2949" s="67"/>
      <c r="I2949" s="68"/>
      <c r="J2949" s="68"/>
      <c r="K2949" s="32"/>
      <c r="L2949" s="75">
        <v>2949</v>
      </c>
      <c r="M2949" s="75"/>
      <c r="N2949" s="70"/>
      <c r="O2949" s="77" t="s">
        <v>179</v>
      </c>
      <c r="P2949" s="79">
        <v>45099.042615740742</v>
      </c>
      <c r="Q2949" s="77" t="s">
        <v>4699</v>
      </c>
      <c r="R2949" s="77">
        <v>0</v>
      </c>
      <c r="S2949" s="77">
        <v>0</v>
      </c>
      <c r="T2949" s="77">
        <v>0</v>
      </c>
      <c r="U2949" s="77">
        <v>0</v>
      </c>
      <c r="V2949" s="77">
        <v>112</v>
      </c>
      <c r="W2949" s="80" t="s">
        <v>7719</v>
      </c>
      <c r="X2949" s="83" t="str">
        <f>HYPERLINK("https://bit.ly/43Qo1OB")</f>
        <v>https://bit.ly/43Qo1OB</v>
      </c>
      <c r="Y2949" s="77" t="s">
        <v>8618</v>
      </c>
      <c r="Z2949" s="77"/>
      <c r="AA2949" s="77" t="s">
        <v>9993</v>
      </c>
      <c r="AB2949" s="77" t="s">
        <v>10535</v>
      </c>
      <c r="AC2949" s="80" t="s">
        <v>10541</v>
      </c>
      <c r="AD2949" s="77" t="s">
        <v>10617</v>
      </c>
      <c r="AE2949" s="83" t="str">
        <f>HYPERLINK("https://twitter.com/portalvgv/status/1671684771473248257")</f>
        <v>https://twitter.com/portalvgv/status/1671684771473248257</v>
      </c>
      <c r="AF2949" s="79">
        <v>45099.042615740742</v>
      </c>
      <c r="AG2949" s="85">
        <v>45099</v>
      </c>
      <c r="AH2949" s="80" t="s">
        <v>13210</v>
      </c>
      <c r="AI2949" s="77" t="b">
        <v>0</v>
      </c>
      <c r="AJ2949" s="77"/>
      <c r="AK2949" s="77"/>
      <c r="AL2949" s="77"/>
      <c r="AM2949" s="77"/>
      <c r="AN2949" s="77"/>
      <c r="AO2949" s="77"/>
      <c r="AP2949" s="77"/>
      <c r="AQ2949" s="77" t="s">
        <v>15474</v>
      </c>
      <c r="AR2949" s="77"/>
      <c r="AS2949" s="77"/>
      <c r="AT2949" s="77"/>
      <c r="AU2949" s="77"/>
      <c r="AV2949" s="83" t="str">
        <f>HYPERLINK("https://pbs.twimg.com/media/FzMEZcdWAAE5-G6.jpg")</f>
        <v>https://pbs.twimg.com/media/FzMEZcdWAAE5-G6.jpg</v>
      </c>
      <c r="AW2949" s="80" t="s">
        <v>18716</v>
      </c>
      <c r="AX2949" s="80" t="s">
        <v>18716</v>
      </c>
      <c r="AY2949" s="77"/>
      <c r="AZ2949" s="80" t="s">
        <v>20380</v>
      </c>
      <c r="BA2949" s="80" t="s">
        <v>20380</v>
      </c>
      <c r="BB2949" s="80" t="s">
        <v>20380</v>
      </c>
      <c r="BC2949" s="80" t="s">
        <v>18716</v>
      </c>
      <c r="BD2949" s="77">
        <v>67350941</v>
      </c>
      <c r="BE2949" s="77"/>
      <c r="BF2949" s="77"/>
      <c r="BG2949" s="77"/>
      <c r="BH2949" s="77"/>
      <c r="BI2949" s="77"/>
    </row>
    <row r="2950" spans="1:61" x14ac:dyDescent="0.25">
      <c r="A2950" s="62" t="s">
        <v>1170</v>
      </c>
      <c r="B2950" s="62" t="s">
        <v>1170</v>
      </c>
      <c r="C2950" s="63"/>
      <c r="D2950" s="64"/>
      <c r="E2950" s="65"/>
      <c r="F2950" s="66"/>
      <c r="G2950" s="63"/>
      <c r="H2950" s="67"/>
      <c r="I2950" s="68"/>
      <c r="J2950" s="68"/>
      <c r="K2950" s="32"/>
      <c r="L2950" s="75">
        <v>2950</v>
      </c>
      <c r="M2950" s="75"/>
      <c r="N2950" s="70"/>
      <c r="O2950" s="77" t="s">
        <v>179</v>
      </c>
      <c r="P2950" s="79">
        <v>45138.743831018517</v>
      </c>
      <c r="Q2950" s="77" t="s">
        <v>4700</v>
      </c>
      <c r="R2950" s="77">
        <v>0</v>
      </c>
      <c r="S2950" s="77">
        <v>1</v>
      </c>
      <c r="T2950" s="77">
        <v>0</v>
      </c>
      <c r="U2950" s="77">
        <v>0</v>
      </c>
      <c r="V2950" s="77">
        <v>102</v>
      </c>
      <c r="W2950" s="80" t="s">
        <v>7720</v>
      </c>
      <c r="X2950" s="83" t="str">
        <f>HYPERLINK("https://bit.ly/43QtCE3")</f>
        <v>https://bit.ly/43QtCE3</v>
      </c>
      <c r="Y2950" s="77" t="s">
        <v>8618</v>
      </c>
      <c r="Z2950" s="77"/>
      <c r="AA2950" s="77" t="s">
        <v>9994</v>
      </c>
      <c r="AB2950" s="77" t="s">
        <v>10535</v>
      </c>
      <c r="AC2950" s="80" t="s">
        <v>10541</v>
      </c>
      <c r="AD2950" s="77" t="s">
        <v>10617</v>
      </c>
      <c r="AE2950" s="83" t="str">
        <f>HYPERLINK("https://twitter.com/portalvgv/status/1686072008151351306")</f>
        <v>https://twitter.com/portalvgv/status/1686072008151351306</v>
      </c>
      <c r="AF2950" s="79">
        <v>45138.743831018517</v>
      </c>
      <c r="AG2950" s="85">
        <v>45138</v>
      </c>
      <c r="AH2950" s="80" t="s">
        <v>13211</v>
      </c>
      <c r="AI2950" s="77" t="b">
        <v>0</v>
      </c>
      <c r="AJ2950" s="77"/>
      <c r="AK2950" s="77"/>
      <c r="AL2950" s="77"/>
      <c r="AM2950" s="77"/>
      <c r="AN2950" s="77"/>
      <c r="AO2950" s="77"/>
      <c r="AP2950" s="77"/>
      <c r="AQ2950" s="77" t="s">
        <v>15475</v>
      </c>
      <c r="AR2950" s="77"/>
      <c r="AS2950" s="77"/>
      <c r="AT2950" s="77"/>
      <c r="AU2950" s="77"/>
      <c r="AV2950" s="83" t="str">
        <f>HYPERLINK("https://pbs.twimg.com/media/F2YhjS7XoAAQvyC.jpg")</f>
        <v>https://pbs.twimg.com/media/F2YhjS7XoAAQvyC.jpg</v>
      </c>
      <c r="AW2950" s="80" t="s">
        <v>18717</v>
      </c>
      <c r="AX2950" s="80" t="s">
        <v>18717</v>
      </c>
      <c r="AY2950" s="77"/>
      <c r="AZ2950" s="80" t="s">
        <v>20380</v>
      </c>
      <c r="BA2950" s="80" t="s">
        <v>20380</v>
      </c>
      <c r="BB2950" s="80" t="s">
        <v>20380</v>
      </c>
      <c r="BC2950" s="80" t="s">
        <v>18717</v>
      </c>
      <c r="BD2950" s="77">
        <v>67350941</v>
      </c>
      <c r="BE2950" s="77"/>
      <c r="BF2950" s="77"/>
      <c r="BG2950" s="77"/>
      <c r="BH2950" s="77"/>
      <c r="BI2950" s="77"/>
    </row>
    <row r="2951" spans="1:61" x14ac:dyDescent="0.25">
      <c r="A2951" s="62" t="s">
        <v>1170</v>
      </c>
      <c r="B2951" s="62" t="s">
        <v>1170</v>
      </c>
      <c r="C2951" s="63"/>
      <c r="D2951" s="64"/>
      <c r="E2951" s="65"/>
      <c r="F2951" s="66"/>
      <c r="G2951" s="63"/>
      <c r="H2951" s="67"/>
      <c r="I2951" s="68"/>
      <c r="J2951" s="68"/>
      <c r="K2951" s="32"/>
      <c r="L2951" s="75">
        <v>2951</v>
      </c>
      <c r="M2951" s="75"/>
      <c r="N2951" s="70"/>
      <c r="O2951" s="77" t="s">
        <v>179</v>
      </c>
      <c r="P2951" s="79">
        <v>45097.607557870368</v>
      </c>
      <c r="Q2951" s="77" t="s">
        <v>4701</v>
      </c>
      <c r="R2951" s="77">
        <v>0</v>
      </c>
      <c r="S2951" s="77">
        <v>1</v>
      </c>
      <c r="T2951" s="77">
        <v>0</v>
      </c>
      <c r="U2951" s="77">
        <v>0</v>
      </c>
      <c r="V2951" s="77">
        <v>82</v>
      </c>
      <c r="W2951" s="80" t="s">
        <v>7721</v>
      </c>
      <c r="X2951" s="83" t="str">
        <f>HYPERLINK("https://bit.ly/3Jng4Zd")</f>
        <v>https://bit.ly/3Jng4Zd</v>
      </c>
      <c r="Y2951" s="77" t="s">
        <v>8618</v>
      </c>
      <c r="Z2951" s="77"/>
      <c r="AA2951" s="77" t="s">
        <v>9995</v>
      </c>
      <c r="AB2951" s="77" t="s">
        <v>10535</v>
      </c>
      <c r="AC2951" s="80" t="s">
        <v>10541</v>
      </c>
      <c r="AD2951" s="77" t="s">
        <v>10617</v>
      </c>
      <c r="AE2951" s="83" t="str">
        <f>HYPERLINK("https://twitter.com/portalvgv/status/1671164722509660160")</f>
        <v>https://twitter.com/portalvgv/status/1671164722509660160</v>
      </c>
      <c r="AF2951" s="79">
        <v>45097.607557870368</v>
      </c>
      <c r="AG2951" s="85">
        <v>45097</v>
      </c>
      <c r="AH2951" s="80" t="s">
        <v>13212</v>
      </c>
      <c r="AI2951" s="77" t="b">
        <v>0</v>
      </c>
      <c r="AJ2951" s="77"/>
      <c r="AK2951" s="77"/>
      <c r="AL2951" s="77"/>
      <c r="AM2951" s="77"/>
      <c r="AN2951" s="77"/>
      <c r="AO2951" s="77"/>
      <c r="AP2951" s="77"/>
      <c r="AQ2951" s="77" t="s">
        <v>15476</v>
      </c>
      <c r="AR2951" s="77"/>
      <c r="AS2951" s="77"/>
      <c r="AT2951" s="77"/>
      <c r="AU2951" s="77"/>
      <c r="AV2951" s="83" t="str">
        <f>HYPERLINK("https://pbs.twimg.com/media/FzErbo2aUAIPhjS.jpg")</f>
        <v>https://pbs.twimg.com/media/FzErbo2aUAIPhjS.jpg</v>
      </c>
      <c r="AW2951" s="80" t="s">
        <v>18718</v>
      </c>
      <c r="AX2951" s="80" t="s">
        <v>18718</v>
      </c>
      <c r="AY2951" s="77"/>
      <c r="AZ2951" s="80" t="s">
        <v>20380</v>
      </c>
      <c r="BA2951" s="80" t="s">
        <v>20380</v>
      </c>
      <c r="BB2951" s="80" t="s">
        <v>20380</v>
      </c>
      <c r="BC2951" s="80" t="s">
        <v>18718</v>
      </c>
      <c r="BD2951" s="77">
        <v>67350941</v>
      </c>
      <c r="BE2951" s="77"/>
      <c r="BF2951" s="77"/>
      <c r="BG2951" s="77"/>
      <c r="BH2951" s="77"/>
      <c r="BI2951" s="77"/>
    </row>
    <row r="2952" spans="1:61" x14ac:dyDescent="0.25">
      <c r="A2952" s="62" t="s">
        <v>1170</v>
      </c>
      <c r="B2952" s="62" t="s">
        <v>1170</v>
      </c>
      <c r="C2952" s="63"/>
      <c r="D2952" s="64"/>
      <c r="E2952" s="65"/>
      <c r="F2952" s="66"/>
      <c r="G2952" s="63"/>
      <c r="H2952" s="67"/>
      <c r="I2952" s="68"/>
      <c r="J2952" s="68"/>
      <c r="K2952" s="32"/>
      <c r="L2952" s="75">
        <v>2952</v>
      </c>
      <c r="M2952" s="75"/>
      <c r="N2952" s="70"/>
      <c r="O2952" s="77" t="s">
        <v>179</v>
      </c>
      <c r="P2952" s="79">
        <v>45135.772222222222</v>
      </c>
      <c r="Q2952" s="77" t="s">
        <v>4702</v>
      </c>
      <c r="R2952" s="77">
        <v>0</v>
      </c>
      <c r="S2952" s="77">
        <v>0</v>
      </c>
      <c r="T2952" s="77">
        <v>0</v>
      </c>
      <c r="U2952" s="77">
        <v>0</v>
      </c>
      <c r="V2952" s="77">
        <v>70</v>
      </c>
      <c r="W2952" s="80" t="s">
        <v>7722</v>
      </c>
      <c r="X2952" s="83" t="str">
        <f>HYPERLINK("https://bit.ly/44MboEO")</f>
        <v>https://bit.ly/44MboEO</v>
      </c>
      <c r="Y2952" s="77" t="s">
        <v>8618</v>
      </c>
      <c r="Z2952" s="77"/>
      <c r="AA2952" s="77" t="s">
        <v>9996</v>
      </c>
      <c r="AB2952" s="77" t="s">
        <v>10535</v>
      </c>
      <c r="AC2952" s="80" t="s">
        <v>10541</v>
      </c>
      <c r="AD2952" s="77" t="s">
        <v>10617</v>
      </c>
      <c r="AE2952" s="83" t="str">
        <f>HYPERLINK("https://twitter.com/portalvgv/status/1684995133828411392")</f>
        <v>https://twitter.com/portalvgv/status/1684995133828411392</v>
      </c>
      <c r="AF2952" s="79">
        <v>45135.772222222222</v>
      </c>
      <c r="AG2952" s="85">
        <v>45135</v>
      </c>
      <c r="AH2952" s="80" t="s">
        <v>13213</v>
      </c>
      <c r="AI2952" s="77" t="b">
        <v>0</v>
      </c>
      <c r="AJ2952" s="77"/>
      <c r="AK2952" s="77"/>
      <c r="AL2952" s="77"/>
      <c r="AM2952" s="77"/>
      <c r="AN2952" s="77"/>
      <c r="AO2952" s="77"/>
      <c r="AP2952" s="77"/>
      <c r="AQ2952" s="77" t="s">
        <v>15477</v>
      </c>
      <c r="AR2952" s="77"/>
      <c r="AS2952" s="77"/>
      <c r="AT2952" s="77"/>
      <c r="AU2952" s="77"/>
      <c r="AV2952" s="83" t="str">
        <f>HYPERLINK("https://pbs.twimg.com/media/F2I9gMjWsAwEatv.jpg")</f>
        <v>https://pbs.twimg.com/media/F2I9gMjWsAwEatv.jpg</v>
      </c>
      <c r="AW2952" s="80" t="s">
        <v>18719</v>
      </c>
      <c r="AX2952" s="80" t="s">
        <v>18719</v>
      </c>
      <c r="AY2952" s="77"/>
      <c r="AZ2952" s="80" t="s">
        <v>20380</v>
      </c>
      <c r="BA2952" s="80" t="s">
        <v>20380</v>
      </c>
      <c r="BB2952" s="80" t="s">
        <v>20380</v>
      </c>
      <c r="BC2952" s="80" t="s">
        <v>18719</v>
      </c>
      <c r="BD2952" s="77">
        <v>67350941</v>
      </c>
      <c r="BE2952" s="77"/>
      <c r="BF2952" s="77"/>
      <c r="BG2952" s="77"/>
      <c r="BH2952" s="77"/>
      <c r="BI2952" s="77"/>
    </row>
    <row r="2953" spans="1:61" x14ac:dyDescent="0.25">
      <c r="A2953" s="62" t="s">
        <v>1170</v>
      </c>
      <c r="B2953" s="62" t="s">
        <v>1170</v>
      </c>
      <c r="C2953" s="63"/>
      <c r="D2953" s="64"/>
      <c r="E2953" s="65"/>
      <c r="F2953" s="66"/>
      <c r="G2953" s="63"/>
      <c r="H2953" s="67"/>
      <c r="I2953" s="68"/>
      <c r="J2953" s="68"/>
      <c r="K2953" s="32"/>
      <c r="L2953" s="75">
        <v>2953</v>
      </c>
      <c r="M2953" s="75"/>
      <c r="N2953" s="70"/>
      <c r="O2953" s="77" t="s">
        <v>179</v>
      </c>
      <c r="P2953" s="79">
        <v>45139.727326388886</v>
      </c>
      <c r="Q2953" s="77" t="s">
        <v>4703</v>
      </c>
      <c r="R2953" s="77">
        <v>0</v>
      </c>
      <c r="S2953" s="77">
        <v>0</v>
      </c>
      <c r="T2953" s="77">
        <v>0</v>
      </c>
      <c r="U2953" s="77">
        <v>0</v>
      </c>
      <c r="V2953" s="77">
        <v>61</v>
      </c>
      <c r="W2953" s="80" t="s">
        <v>7723</v>
      </c>
      <c r="X2953" s="83" t="str">
        <f>HYPERLINK("https://bit.ly/47bUOjr")</f>
        <v>https://bit.ly/47bUOjr</v>
      </c>
      <c r="Y2953" s="77" t="s">
        <v>8618</v>
      </c>
      <c r="Z2953" s="77"/>
      <c r="AA2953" s="77"/>
      <c r="AB2953" s="77"/>
      <c r="AC2953" s="80" t="s">
        <v>10541</v>
      </c>
      <c r="AD2953" s="77" t="s">
        <v>10617</v>
      </c>
      <c r="AE2953" s="83" t="str">
        <f>HYPERLINK("https://twitter.com/portalvgv/status/1686428415962796032")</f>
        <v>https://twitter.com/portalvgv/status/1686428415962796032</v>
      </c>
      <c r="AF2953" s="79">
        <v>45139.727326388886</v>
      </c>
      <c r="AG2953" s="85">
        <v>45139</v>
      </c>
      <c r="AH2953" s="80" t="s">
        <v>13214</v>
      </c>
      <c r="AI2953" s="77" t="b">
        <v>0</v>
      </c>
      <c r="AJ2953" s="77"/>
      <c r="AK2953" s="77"/>
      <c r="AL2953" s="77"/>
      <c r="AM2953" s="77"/>
      <c r="AN2953" s="77"/>
      <c r="AO2953" s="77"/>
      <c r="AP2953" s="77"/>
      <c r="AQ2953" s="77"/>
      <c r="AR2953" s="77"/>
      <c r="AS2953" s="77"/>
      <c r="AT2953" s="77"/>
      <c r="AU2953" s="77"/>
      <c r="AV2953" s="83" t="str">
        <f>HYPERLINK("https://pbs.twimg.com/profile_images/1630688084558856193/upY1XZ9v_normal.jpg")</f>
        <v>https://pbs.twimg.com/profile_images/1630688084558856193/upY1XZ9v_normal.jpg</v>
      </c>
      <c r="AW2953" s="80" t="s">
        <v>18720</v>
      </c>
      <c r="AX2953" s="80" t="s">
        <v>18720</v>
      </c>
      <c r="AY2953" s="77"/>
      <c r="AZ2953" s="80" t="s">
        <v>20380</v>
      </c>
      <c r="BA2953" s="80" t="s">
        <v>20380</v>
      </c>
      <c r="BB2953" s="80" t="s">
        <v>20380</v>
      </c>
      <c r="BC2953" s="80" t="s">
        <v>18720</v>
      </c>
      <c r="BD2953" s="77">
        <v>67350941</v>
      </c>
      <c r="BE2953" s="77"/>
      <c r="BF2953" s="77"/>
      <c r="BG2953" s="77"/>
      <c r="BH2953" s="77"/>
      <c r="BI2953" s="77"/>
    </row>
    <row r="2954" spans="1:61" x14ac:dyDescent="0.25">
      <c r="A2954" s="62" t="s">
        <v>1170</v>
      </c>
      <c r="B2954" s="62" t="s">
        <v>1170</v>
      </c>
      <c r="C2954" s="63"/>
      <c r="D2954" s="64"/>
      <c r="E2954" s="65"/>
      <c r="F2954" s="66"/>
      <c r="G2954" s="63"/>
      <c r="H2954" s="67"/>
      <c r="I2954" s="68"/>
      <c r="J2954" s="68"/>
      <c r="K2954" s="32"/>
      <c r="L2954" s="75">
        <v>2954</v>
      </c>
      <c r="M2954" s="75"/>
      <c r="N2954" s="70"/>
      <c r="O2954" s="77" t="s">
        <v>179</v>
      </c>
      <c r="P2954" s="79">
        <v>45145.849907407406</v>
      </c>
      <c r="Q2954" s="77" t="s">
        <v>4704</v>
      </c>
      <c r="R2954" s="77">
        <v>0</v>
      </c>
      <c r="S2954" s="77">
        <v>2</v>
      </c>
      <c r="T2954" s="77">
        <v>0</v>
      </c>
      <c r="U2954" s="77">
        <v>0</v>
      </c>
      <c r="V2954" s="77">
        <v>88</v>
      </c>
      <c r="W2954" s="80" t="s">
        <v>7724</v>
      </c>
      <c r="X2954" s="83" t="str">
        <f>HYPERLINK("https://bit.ly/44ZA8d1")</f>
        <v>https://bit.ly/44ZA8d1</v>
      </c>
      <c r="Y2954" s="77" t="s">
        <v>8618</v>
      </c>
      <c r="Z2954" s="77"/>
      <c r="AA2954" s="77" t="s">
        <v>9997</v>
      </c>
      <c r="AB2954" s="77" t="s">
        <v>10535</v>
      </c>
      <c r="AC2954" s="80" t="s">
        <v>10541</v>
      </c>
      <c r="AD2954" s="77" t="s">
        <v>10617</v>
      </c>
      <c r="AE2954" s="83" t="str">
        <f>HYPERLINK("https://twitter.com/portalvgv/status/1688647165466312704")</f>
        <v>https://twitter.com/portalvgv/status/1688647165466312704</v>
      </c>
      <c r="AF2954" s="79">
        <v>45145.849907407406</v>
      </c>
      <c r="AG2954" s="85">
        <v>45145</v>
      </c>
      <c r="AH2954" s="80" t="s">
        <v>13215</v>
      </c>
      <c r="AI2954" s="77" t="b">
        <v>0</v>
      </c>
      <c r="AJ2954" s="77"/>
      <c r="AK2954" s="77"/>
      <c r="AL2954" s="77"/>
      <c r="AM2954" s="77"/>
      <c r="AN2954" s="77"/>
      <c r="AO2954" s="77"/>
      <c r="AP2954" s="77"/>
      <c r="AQ2954" s="77" t="s">
        <v>15478</v>
      </c>
      <c r="AR2954" s="77"/>
      <c r="AS2954" s="77"/>
      <c r="AT2954" s="77"/>
      <c r="AU2954" s="77"/>
      <c r="AV2954" s="83" t="str">
        <f>HYPERLINK("https://pbs.twimg.com/media/F29HoQFXkAEnzFb.jpg")</f>
        <v>https://pbs.twimg.com/media/F29HoQFXkAEnzFb.jpg</v>
      </c>
      <c r="AW2954" s="80" t="s">
        <v>18721</v>
      </c>
      <c r="AX2954" s="80" t="s">
        <v>18721</v>
      </c>
      <c r="AY2954" s="77"/>
      <c r="AZ2954" s="80" t="s">
        <v>20380</v>
      </c>
      <c r="BA2954" s="80" t="s">
        <v>20380</v>
      </c>
      <c r="BB2954" s="80" t="s">
        <v>20380</v>
      </c>
      <c r="BC2954" s="80" t="s">
        <v>18721</v>
      </c>
      <c r="BD2954" s="77">
        <v>67350941</v>
      </c>
      <c r="BE2954" s="77"/>
      <c r="BF2954" s="77"/>
      <c r="BG2954" s="77"/>
      <c r="BH2954" s="77"/>
      <c r="BI2954" s="77"/>
    </row>
    <row r="2955" spans="1:61" x14ac:dyDescent="0.25">
      <c r="A2955" s="62" t="s">
        <v>1171</v>
      </c>
      <c r="B2955" s="62" t="s">
        <v>1171</v>
      </c>
      <c r="C2955" s="63"/>
      <c r="D2955" s="64"/>
      <c r="E2955" s="65"/>
      <c r="F2955" s="66"/>
      <c r="G2955" s="63"/>
      <c r="H2955" s="67"/>
      <c r="I2955" s="68"/>
      <c r="J2955" s="68"/>
      <c r="K2955" s="32"/>
      <c r="L2955" s="75">
        <v>2955</v>
      </c>
      <c r="M2955" s="75"/>
      <c r="N2955" s="70"/>
      <c r="O2955" s="77" t="s">
        <v>179</v>
      </c>
      <c r="P2955" s="79">
        <v>45059.101261574076</v>
      </c>
      <c r="Q2955" s="77" t="s">
        <v>4705</v>
      </c>
      <c r="R2955" s="77">
        <v>0</v>
      </c>
      <c r="S2955" s="77">
        <v>2</v>
      </c>
      <c r="T2955" s="77">
        <v>0</v>
      </c>
      <c r="U2955" s="77">
        <v>0</v>
      </c>
      <c r="V2955" s="77">
        <v>1818</v>
      </c>
      <c r="W2955" s="80" t="s">
        <v>7725</v>
      </c>
      <c r="X2955" s="83" t="str">
        <f>HYPERLINK("https://www.elcaribe.com.do/panorama/dinero/servicio-de-pagos-al-instante-podria-presentar-retrasos-este-sabado-informa-el-banco-central")</f>
        <v>https://www.elcaribe.com.do/panorama/dinero/servicio-de-pagos-al-instante-podria-presentar-retrasos-este-sabado-informa-el-banco-central</v>
      </c>
      <c r="Y2955" s="77" t="s">
        <v>8625</v>
      </c>
      <c r="Z2955" s="77"/>
      <c r="AA2955" s="77"/>
      <c r="AB2955" s="77"/>
      <c r="AC2955" s="80" t="s">
        <v>10541</v>
      </c>
      <c r="AD2955" s="77" t="s">
        <v>10620</v>
      </c>
      <c r="AE2955" s="83" t="str">
        <f>HYPERLINK("https://twitter.com/elcariberd/status/1657210510662590469")</f>
        <v>https://twitter.com/elcariberd/status/1657210510662590469</v>
      </c>
      <c r="AF2955" s="79">
        <v>45059.101261574076</v>
      </c>
      <c r="AG2955" s="85">
        <v>45059</v>
      </c>
      <c r="AH2955" s="80" t="s">
        <v>13216</v>
      </c>
      <c r="AI2955" s="77" t="b">
        <v>0</v>
      </c>
      <c r="AJ2955" s="77"/>
      <c r="AK2955" s="77"/>
      <c r="AL2955" s="77"/>
      <c r="AM2955" s="77"/>
      <c r="AN2955" s="77"/>
      <c r="AO2955" s="77"/>
      <c r="AP2955" s="77"/>
      <c r="AQ2955" s="77"/>
      <c r="AR2955" s="77"/>
      <c r="AS2955" s="77"/>
      <c r="AT2955" s="77"/>
      <c r="AU2955" s="77"/>
      <c r="AV2955" s="83" t="str">
        <f>HYPERLINK("https://pbs.twimg.com/profile_images/1611021810807590912/A13BO61o_normal.jpg")</f>
        <v>https://pbs.twimg.com/profile_images/1611021810807590912/A13BO61o_normal.jpg</v>
      </c>
      <c r="AW2955" s="80" t="s">
        <v>18722</v>
      </c>
      <c r="AX2955" s="80" t="s">
        <v>18722</v>
      </c>
      <c r="AY2955" s="77"/>
      <c r="AZ2955" s="80" t="s">
        <v>20380</v>
      </c>
      <c r="BA2955" s="80" t="s">
        <v>20380</v>
      </c>
      <c r="BB2955" s="80" t="s">
        <v>20380</v>
      </c>
      <c r="BC2955" s="80" t="s">
        <v>18722</v>
      </c>
      <c r="BD2955" s="77">
        <v>36958479</v>
      </c>
      <c r="BE2955" s="77"/>
      <c r="BF2955" s="77"/>
      <c r="BG2955" s="77"/>
      <c r="BH2955" s="77"/>
      <c r="BI2955" s="77"/>
    </row>
    <row r="2956" spans="1:61" x14ac:dyDescent="0.25">
      <c r="A2956" s="62" t="s">
        <v>1171</v>
      </c>
      <c r="B2956" s="62" t="s">
        <v>1171</v>
      </c>
      <c r="C2956" s="63"/>
      <c r="D2956" s="64"/>
      <c r="E2956" s="65"/>
      <c r="F2956" s="66"/>
      <c r="G2956" s="63"/>
      <c r="H2956" s="67"/>
      <c r="I2956" s="68"/>
      <c r="J2956" s="68"/>
      <c r="K2956" s="32"/>
      <c r="L2956" s="75">
        <v>2956</v>
      </c>
      <c r="M2956" s="75"/>
      <c r="N2956" s="70"/>
      <c r="O2956" s="77" t="s">
        <v>179</v>
      </c>
      <c r="P2956" s="79">
        <v>45141.334155092591</v>
      </c>
      <c r="Q2956" s="77" t="s">
        <v>4706</v>
      </c>
      <c r="R2956" s="77">
        <v>0</v>
      </c>
      <c r="S2956" s="77">
        <v>1</v>
      </c>
      <c r="T2956" s="77">
        <v>0</v>
      </c>
      <c r="U2956" s="77">
        <v>0</v>
      </c>
      <c r="V2956" s="77">
        <v>1077</v>
      </c>
      <c r="W2956" s="80" t="s">
        <v>7726</v>
      </c>
      <c r="X2956" s="83" t="str">
        <f>HYPERLINK("https://www.elcaribe.com.do/panorama/dinero/el-banco-central-tiene-postura-cautelosa-por-panorama-economico/")</f>
        <v>https://www.elcaribe.com.do/panorama/dinero/el-banco-central-tiene-postura-cautelosa-por-panorama-economico/</v>
      </c>
      <c r="Y2956" s="77" t="s">
        <v>8625</v>
      </c>
      <c r="Z2956" s="77"/>
      <c r="AA2956" s="77"/>
      <c r="AB2956" s="77"/>
      <c r="AC2956" s="80" t="s">
        <v>10552</v>
      </c>
      <c r="AD2956" s="77" t="s">
        <v>10620</v>
      </c>
      <c r="AE2956" s="83" t="str">
        <f>HYPERLINK("https://twitter.com/elcariberd/status/1687010712516759552")</f>
        <v>https://twitter.com/elcariberd/status/1687010712516759552</v>
      </c>
      <c r="AF2956" s="79">
        <v>45141.334155092591</v>
      </c>
      <c r="AG2956" s="85">
        <v>45141</v>
      </c>
      <c r="AH2956" s="80" t="s">
        <v>13217</v>
      </c>
      <c r="AI2956" s="77" t="b">
        <v>0</v>
      </c>
      <c r="AJ2956" s="77"/>
      <c r="AK2956" s="77"/>
      <c r="AL2956" s="77"/>
      <c r="AM2956" s="77"/>
      <c r="AN2956" s="77"/>
      <c r="AO2956" s="77"/>
      <c r="AP2956" s="77"/>
      <c r="AQ2956" s="77"/>
      <c r="AR2956" s="77"/>
      <c r="AS2956" s="77"/>
      <c r="AT2956" s="77"/>
      <c r="AU2956" s="77"/>
      <c r="AV2956" s="83" t="str">
        <f>HYPERLINK("https://pbs.twimg.com/profile_images/1611021810807590912/A13BO61o_normal.jpg")</f>
        <v>https://pbs.twimg.com/profile_images/1611021810807590912/A13BO61o_normal.jpg</v>
      </c>
      <c r="AW2956" s="80" t="s">
        <v>18723</v>
      </c>
      <c r="AX2956" s="80" t="s">
        <v>18723</v>
      </c>
      <c r="AY2956" s="77"/>
      <c r="AZ2956" s="80" t="s">
        <v>20380</v>
      </c>
      <c r="BA2956" s="80" t="s">
        <v>20380</v>
      </c>
      <c r="BB2956" s="80" t="s">
        <v>20380</v>
      </c>
      <c r="BC2956" s="80" t="s">
        <v>18723</v>
      </c>
      <c r="BD2956" s="77">
        <v>36958479</v>
      </c>
      <c r="BE2956" s="77"/>
      <c r="BF2956" s="77"/>
      <c r="BG2956" s="77"/>
      <c r="BH2956" s="77"/>
      <c r="BI2956" s="77"/>
    </row>
    <row r="2957" spans="1:61" x14ac:dyDescent="0.25">
      <c r="A2957" s="62" t="s">
        <v>1171</v>
      </c>
      <c r="B2957" s="62" t="s">
        <v>1171</v>
      </c>
      <c r="C2957" s="63"/>
      <c r="D2957" s="64"/>
      <c r="E2957" s="65"/>
      <c r="F2957" s="66"/>
      <c r="G2957" s="63"/>
      <c r="H2957" s="67"/>
      <c r="I2957" s="68"/>
      <c r="J2957" s="68"/>
      <c r="K2957" s="32"/>
      <c r="L2957" s="75">
        <v>2957</v>
      </c>
      <c r="M2957" s="75"/>
      <c r="N2957" s="70"/>
      <c r="O2957" s="77" t="s">
        <v>179</v>
      </c>
      <c r="P2957" s="79">
        <v>45140.546701388892</v>
      </c>
      <c r="Q2957" s="77" t="s">
        <v>4707</v>
      </c>
      <c r="R2957" s="77">
        <v>1</v>
      </c>
      <c r="S2957" s="77">
        <v>1</v>
      </c>
      <c r="T2957" s="77">
        <v>0</v>
      </c>
      <c r="U2957" s="77">
        <v>0</v>
      </c>
      <c r="V2957" s="77">
        <v>981</v>
      </c>
      <c r="W2957" s="80" t="s">
        <v>7727</v>
      </c>
      <c r="X2957" s="83" t="str">
        <f>HYPERLINK("https://www.elcaribe.com.do/panorama/dinero/el-banco-central-tiene-postura-cautelosa-por-panorama-economico")</f>
        <v>https://www.elcaribe.com.do/panorama/dinero/el-banco-central-tiene-postura-cautelosa-por-panorama-economico</v>
      </c>
      <c r="Y2957" s="77" t="s">
        <v>8625</v>
      </c>
      <c r="Z2957" s="77"/>
      <c r="AA2957" s="77"/>
      <c r="AB2957" s="77"/>
      <c r="AC2957" s="80" t="s">
        <v>10541</v>
      </c>
      <c r="AD2957" s="77" t="s">
        <v>10620</v>
      </c>
      <c r="AE2957" s="83" t="str">
        <f>HYPERLINK("https://twitter.com/elcariberd/status/1686725348853956608")</f>
        <v>https://twitter.com/elcariberd/status/1686725348853956608</v>
      </c>
      <c r="AF2957" s="79">
        <v>45140.546701388892</v>
      </c>
      <c r="AG2957" s="85">
        <v>45140</v>
      </c>
      <c r="AH2957" s="80" t="s">
        <v>13218</v>
      </c>
      <c r="AI2957" s="77" t="b">
        <v>0</v>
      </c>
      <c r="AJ2957" s="77"/>
      <c r="AK2957" s="77"/>
      <c r="AL2957" s="77"/>
      <c r="AM2957" s="77"/>
      <c r="AN2957" s="77"/>
      <c r="AO2957" s="77"/>
      <c r="AP2957" s="77"/>
      <c r="AQ2957" s="77"/>
      <c r="AR2957" s="77"/>
      <c r="AS2957" s="77"/>
      <c r="AT2957" s="77"/>
      <c r="AU2957" s="77"/>
      <c r="AV2957" s="83" t="str">
        <f>HYPERLINK("https://pbs.twimg.com/profile_images/1611021810807590912/A13BO61o_normal.jpg")</f>
        <v>https://pbs.twimg.com/profile_images/1611021810807590912/A13BO61o_normal.jpg</v>
      </c>
      <c r="AW2957" s="80" t="s">
        <v>18724</v>
      </c>
      <c r="AX2957" s="80" t="s">
        <v>18724</v>
      </c>
      <c r="AY2957" s="77"/>
      <c r="AZ2957" s="80" t="s">
        <v>20380</v>
      </c>
      <c r="BA2957" s="80" t="s">
        <v>20380</v>
      </c>
      <c r="BB2957" s="80" t="s">
        <v>20380</v>
      </c>
      <c r="BC2957" s="80" t="s">
        <v>18724</v>
      </c>
      <c r="BD2957" s="77">
        <v>36958479</v>
      </c>
      <c r="BE2957" s="77"/>
      <c r="BF2957" s="77"/>
      <c r="BG2957" s="77"/>
      <c r="BH2957" s="77"/>
      <c r="BI2957" s="77"/>
    </row>
    <row r="2958" spans="1:61" x14ac:dyDescent="0.25">
      <c r="A2958" s="62" t="s">
        <v>1171</v>
      </c>
      <c r="B2958" s="62" t="s">
        <v>1171</v>
      </c>
      <c r="C2958" s="63"/>
      <c r="D2958" s="64"/>
      <c r="E2958" s="65"/>
      <c r="F2958" s="66"/>
      <c r="G2958" s="63"/>
      <c r="H2958" s="67"/>
      <c r="I2958" s="68"/>
      <c r="J2958" s="68"/>
      <c r="K2958" s="32"/>
      <c r="L2958" s="75">
        <v>2958</v>
      </c>
      <c r="M2958" s="75"/>
      <c r="N2958" s="70"/>
      <c r="O2958" s="77" t="s">
        <v>179</v>
      </c>
      <c r="P2958" s="79">
        <v>45088.623912037037</v>
      </c>
      <c r="Q2958" s="77" t="s">
        <v>4708</v>
      </c>
      <c r="R2958" s="77">
        <v>1</v>
      </c>
      <c r="S2958" s="77">
        <v>12</v>
      </c>
      <c r="T2958" s="77">
        <v>6</v>
      </c>
      <c r="U2958" s="77">
        <v>1</v>
      </c>
      <c r="V2958" s="77">
        <v>3562</v>
      </c>
      <c r="W2958" s="80" t="s">
        <v>7728</v>
      </c>
      <c r="X2958" s="83" t="str">
        <f>HYPERLINK("https://www.elcaribe.com.do/panorama/dinero/dice-medidas-monetarias-del-bc-dinamizaran-economia/")</f>
        <v>https://www.elcaribe.com.do/panorama/dinero/dice-medidas-monetarias-del-bc-dinamizaran-economia/</v>
      </c>
      <c r="Y2958" s="77" t="s">
        <v>8625</v>
      </c>
      <c r="Z2958" s="77"/>
      <c r="AA2958" s="77"/>
      <c r="AB2958" s="77"/>
      <c r="AC2958" s="80" t="s">
        <v>10541</v>
      </c>
      <c r="AD2958" s="77" t="s">
        <v>10620</v>
      </c>
      <c r="AE2958" s="83" t="str">
        <f>HYPERLINK("https://twitter.com/elcariberd/status/1667909160908865536")</f>
        <v>https://twitter.com/elcariberd/status/1667909160908865536</v>
      </c>
      <c r="AF2958" s="79">
        <v>45088.623912037037</v>
      </c>
      <c r="AG2958" s="85">
        <v>45088</v>
      </c>
      <c r="AH2958" s="80" t="s">
        <v>13219</v>
      </c>
      <c r="AI2958" s="77" t="b">
        <v>0</v>
      </c>
      <c r="AJ2958" s="77"/>
      <c r="AK2958" s="77"/>
      <c r="AL2958" s="77"/>
      <c r="AM2958" s="77"/>
      <c r="AN2958" s="77"/>
      <c r="AO2958" s="77"/>
      <c r="AP2958" s="77"/>
      <c r="AQ2958" s="77"/>
      <c r="AR2958" s="77"/>
      <c r="AS2958" s="77"/>
      <c r="AT2958" s="77"/>
      <c r="AU2958" s="77"/>
      <c r="AV2958" s="83" t="str">
        <f>HYPERLINK("https://pbs.twimg.com/profile_images/1611021810807590912/A13BO61o_normal.jpg")</f>
        <v>https://pbs.twimg.com/profile_images/1611021810807590912/A13BO61o_normal.jpg</v>
      </c>
      <c r="AW2958" s="80" t="s">
        <v>18725</v>
      </c>
      <c r="AX2958" s="80" t="s">
        <v>18725</v>
      </c>
      <c r="AY2958" s="77"/>
      <c r="AZ2958" s="80" t="s">
        <v>20380</v>
      </c>
      <c r="BA2958" s="80" t="s">
        <v>20380</v>
      </c>
      <c r="BB2958" s="80" t="s">
        <v>20380</v>
      </c>
      <c r="BC2958" s="80" t="s">
        <v>18725</v>
      </c>
      <c r="BD2958" s="77">
        <v>36958479</v>
      </c>
      <c r="BE2958" s="77"/>
      <c r="BF2958" s="77"/>
      <c r="BG2958" s="77"/>
      <c r="BH2958" s="77"/>
      <c r="BI2958" s="77"/>
    </row>
    <row r="2959" spans="1:61" x14ac:dyDescent="0.25">
      <c r="A2959" s="62" t="s">
        <v>1171</v>
      </c>
      <c r="B2959" s="62" t="s">
        <v>1171</v>
      </c>
      <c r="C2959" s="63"/>
      <c r="D2959" s="64"/>
      <c r="E2959" s="65"/>
      <c r="F2959" s="66"/>
      <c r="G2959" s="63"/>
      <c r="H2959" s="67"/>
      <c r="I2959" s="68"/>
      <c r="J2959" s="68"/>
      <c r="K2959" s="32"/>
      <c r="L2959" s="75">
        <v>2959</v>
      </c>
      <c r="M2959" s="75"/>
      <c r="N2959" s="70"/>
      <c r="O2959" s="77" t="s">
        <v>179</v>
      </c>
      <c r="P2959" s="79">
        <v>45152.788518518515</v>
      </c>
      <c r="Q2959" s="77" t="s">
        <v>4709</v>
      </c>
      <c r="R2959" s="77">
        <v>3</v>
      </c>
      <c r="S2959" s="77">
        <v>3</v>
      </c>
      <c r="T2959" s="77">
        <v>0</v>
      </c>
      <c r="U2959" s="77">
        <v>0</v>
      </c>
      <c r="V2959" s="77">
        <v>1028</v>
      </c>
      <c r="W2959" s="80" t="s">
        <v>7729</v>
      </c>
      <c r="X2959" s="83" t="str">
        <f>HYPERLINK("https://www.elcaribe.com.do/panorama/dinero/remesas-superaron-los-us5900-0-millones-en-primeros-meses-2023-segun-banco-central")</f>
        <v>https://www.elcaribe.com.do/panorama/dinero/remesas-superaron-los-us5900-0-millones-en-primeros-meses-2023-segun-banco-central</v>
      </c>
      <c r="Y2959" s="77" t="s">
        <v>8625</v>
      </c>
      <c r="Z2959" s="77"/>
      <c r="AA2959" s="77"/>
      <c r="AB2959" s="77"/>
      <c r="AC2959" s="80" t="s">
        <v>10541</v>
      </c>
      <c r="AD2959" s="77" t="s">
        <v>10620</v>
      </c>
      <c r="AE2959" s="83" t="str">
        <f>HYPERLINK("https://twitter.com/elcariberd/status/1691161636113887232")</f>
        <v>https://twitter.com/elcariberd/status/1691161636113887232</v>
      </c>
      <c r="AF2959" s="79">
        <v>45152.788518518515</v>
      </c>
      <c r="AG2959" s="85">
        <v>45152</v>
      </c>
      <c r="AH2959" s="80" t="s">
        <v>13220</v>
      </c>
      <c r="AI2959" s="77" t="b">
        <v>0</v>
      </c>
      <c r="AJ2959" s="77"/>
      <c r="AK2959" s="77"/>
      <c r="AL2959" s="77"/>
      <c r="AM2959" s="77"/>
      <c r="AN2959" s="77"/>
      <c r="AO2959" s="77"/>
      <c r="AP2959" s="77"/>
      <c r="AQ2959" s="77"/>
      <c r="AR2959" s="77"/>
      <c r="AS2959" s="77"/>
      <c r="AT2959" s="77"/>
      <c r="AU2959" s="77"/>
      <c r="AV2959" s="83" t="str">
        <f>HYPERLINK("https://pbs.twimg.com/profile_images/1611021810807590912/A13BO61o_normal.jpg")</f>
        <v>https://pbs.twimg.com/profile_images/1611021810807590912/A13BO61o_normal.jpg</v>
      </c>
      <c r="AW2959" s="80" t="s">
        <v>18726</v>
      </c>
      <c r="AX2959" s="80" t="s">
        <v>18726</v>
      </c>
      <c r="AY2959" s="77"/>
      <c r="AZ2959" s="80" t="s">
        <v>20380</v>
      </c>
      <c r="BA2959" s="80" t="s">
        <v>20380</v>
      </c>
      <c r="BB2959" s="80" t="s">
        <v>20380</v>
      </c>
      <c r="BC2959" s="80" t="s">
        <v>18726</v>
      </c>
      <c r="BD2959" s="77">
        <v>36958479</v>
      </c>
      <c r="BE2959" s="77"/>
      <c r="BF2959" s="77"/>
      <c r="BG2959" s="77"/>
      <c r="BH2959" s="77"/>
      <c r="BI2959" s="77"/>
    </row>
    <row r="2960" spans="1:61" x14ac:dyDescent="0.25">
      <c r="A2960" s="62" t="s">
        <v>1171</v>
      </c>
      <c r="B2960" s="62" t="s">
        <v>1171</v>
      </c>
      <c r="C2960" s="63"/>
      <c r="D2960" s="64"/>
      <c r="E2960" s="65"/>
      <c r="F2960" s="66"/>
      <c r="G2960" s="63"/>
      <c r="H2960" s="67"/>
      <c r="I2960" s="68"/>
      <c r="J2960" s="68"/>
      <c r="K2960" s="32"/>
      <c r="L2960" s="75">
        <v>2960</v>
      </c>
      <c r="M2960" s="75"/>
      <c r="N2960" s="70"/>
      <c r="O2960" s="77" t="s">
        <v>179</v>
      </c>
      <c r="P2960" s="79">
        <v>45138.963819444441</v>
      </c>
      <c r="Q2960" s="77" t="s">
        <v>4710</v>
      </c>
      <c r="R2960" s="77">
        <v>1</v>
      </c>
      <c r="S2960" s="77">
        <v>0</v>
      </c>
      <c r="T2960" s="77">
        <v>0</v>
      </c>
      <c r="U2960" s="77">
        <v>0</v>
      </c>
      <c r="V2960" s="77">
        <v>1242</v>
      </c>
      <c r="W2960" s="80" t="s">
        <v>7730</v>
      </c>
      <c r="X2960" s="83" t="str">
        <f>HYPERLINK("https://www.elcaribe.com.do/panorama/dinero/banco-central-informa-pausa-en-el-ciclo-de-reducciones-de-su-tasa-de-politica-monetaria/")</f>
        <v>https://www.elcaribe.com.do/panorama/dinero/banco-central-informa-pausa-en-el-ciclo-de-reducciones-de-su-tasa-de-politica-monetaria/</v>
      </c>
      <c r="Y2960" s="77" t="s">
        <v>8625</v>
      </c>
      <c r="Z2960" s="77"/>
      <c r="AA2960" s="77"/>
      <c r="AB2960" s="77"/>
      <c r="AC2960" s="80" t="s">
        <v>10541</v>
      </c>
      <c r="AD2960" s="77" t="s">
        <v>10620</v>
      </c>
      <c r="AE2960" s="83" t="str">
        <f>HYPERLINK("https://twitter.com/elcariberd/status/1686151731233660929")</f>
        <v>https://twitter.com/elcariberd/status/1686151731233660929</v>
      </c>
      <c r="AF2960" s="79">
        <v>45138.963819444441</v>
      </c>
      <c r="AG2960" s="85">
        <v>45138</v>
      </c>
      <c r="AH2960" s="80" t="s">
        <v>13221</v>
      </c>
      <c r="AI2960" s="77" t="b">
        <v>0</v>
      </c>
      <c r="AJ2960" s="77"/>
      <c r="AK2960" s="77"/>
      <c r="AL2960" s="77"/>
      <c r="AM2960" s="77"/>
      <c r="AN2960" s="77"/>
      <c r="AO2960" s="77"/>
      <c r="AP2960" s="77"/>
      <c r="AQ2960" s="77"/>
      <c r="AR2960" s="77"/>
      <c r="AS2960" s="77"/>
      <c r="AT2960" s="77"/>
      <c r="AU2960" s="77"/>
      <c r="AV2960" s="83" t="str">
        <f>HYPERLINK("https://pbs.twimg.com/profile_images/1611021810807590912/A13BO61o_normal.jpg")</f>
        <v>https://pbs.twimg.com/profile_images/1611021810807590912/A13BO61o_normal.jpg</v>
      </c>
      <c r="AW2960" s="80" t="s">
        <v>18727</v>
      </c>
      <c r="AX2960" s="80" t="s">
        <v>18727</v>
      </c>
      <c r="AY2960" s="77"/>
      <c r="AZ2960" s="80" t="s">
        <v>20380</v>
      </c>
      <c r="BA2960" s="80" t="s">
        <v>20380</v>
      </c>
      <c r="BB2960" s="80" t="s">
        <v>20380</v>
      </c>
      <c r="BC2960" s="80" t="s">
        <v>18727</v>
      </c>
      <c r="BD2960" s="77">
        <v>36958479</v>
      </c>
      <c r="BE2960" s="77"/>
      <c r="BF2960" s="77"/>
      <c r="BG2960" s="77"/>
      <c r="BH2960" s="77"/>
      <c r="BI2960" s="77"/>
    </row>
    <row r="2961" spans="1:61" x14ac:dyDescent="0.25">
      <c r="A2961" s="62" t="s">
        <v>1171</v>
      </c>
      <c r="B2961" s="62" t="s">
        <v>1171</v>
      </c>
      <c r="C2961" s="63"/>
      <c r="D2961" s="64"/>
      <c r="E2961" s="65"/>
      <c r="F2961" s="66"/>
      <c r="G2961" s="63"/>
      <c r="H2961" s="67"/>
      <c r="I2961" s="68"/>
      <c r="J2961" s="68"/>
      <c r="K2961" s="32"/>
      <c r="L2961" s="75">
        <v>2961</v>
      </c>
      <c r="M2961" s="75"/>
      <c r="N2961" s="70"/>
      <c r="O2961" s="77" t="s">
        <v>179</v>
      </c>
      <c r="P2961" s="79">
        <v>45070.773611111108</v>
      </c>
      <c r="Q2961" s="77" t="s">
        <v>4711</v>
      </c>
      <c r="R2961" s="77">
        <v>3</v>
      </c>
      <c r="S2961" s="77">
        <v>2</v>
      </c>
      <c r="T2961" s="77">
        <v>0</v>
      </c>
      <c r="U2961" s="77">
        <v>0</v>
      </c>
      <c r="V2961" s="77">
        <v>1348</v>
      </c>
      <c r="W2961" s="80" t="s">
        <v>7731</v>
      </c>
      <c r="X2961" s="83" t="str">
        <f>HYPERLINK("https://www.elcaribe.com.do/panorama/dinero/gobernador-banco-central-anuncia-inflacion-entraria-dentro-del-rango-meta-de-4-%c2%b1-1-al-cierre-de-mayo")</f>
        <v>https://www.elcaribe.com.do/panorama/dinero/gobernador-banco-central-anuncia-inflacion-entraria-dentro-del-rango-meta-de-4-%c2%b1-1-al-cierre-de-mayo</v>
      </c>
      <c r="Y2961" s="77" t="s">
        <v>8625</v>
      </c>
      <c r="Z2961" s="77"/>
      <c r="AA2961" s="77"/>
      <c r="AB2961" s="77"/>
      <c r="AC2961" s="80" t="s">
        <v>10541</v>
      </c>
      <c r="AD2961" s="77" t="s">
        <v>10620</v>
      </c>
      <c r="AE2961" s="83" t="str">
        <f>HYPERLINK("https://twitter.com/elcariberd/status/1661440425742270495")</f>
        <v>https://twitter.com/elcariberd/status/1661440425742270495</v>
      </c>
      <c r="AF2961" s="79">
        <v>45070.773611111108</v>
      </c>
      <c r="AG2961" s="85">
        <v>45070</v>
      </c>
      <c r="AH2961" s="80" t="s">
        <v>13222</v>
      </c>
      <c r="AI2961" s="77" t="b">
        <v>0</v>
      </c>
      <c r="AJ2961" s="77"/>
      <c r="AK2961" s="77"/>
      <c r="AL2961" s="77"/>
      <c r="AM2961" s="77"/>
      <c r="AN2961" s="77"/>
      <c r="AO2961" s="77"/>
      <c r="AP2961" s="77"/>
      <c r="AQ2961" s="77"/>
      <c r="AR2961" s="77"/>
      <c r="AS2961" s="77"/>
      <c r="AT2961" s="77"/>
      <c r="AU2961" s="77"/>
      <c r="AV2961" s="83" t="str">
        <f>HYPERLINK("https://pbs.twimg.com/profile_images/1611021810807590912/A13BO61o_normal.jpg")</f>
        <v>https://pbs.twimg.com/profile_images/1611021810807590912/A13BO61o_normal.jpg</v>
      </c>
      <c r="AW2961" s="80" t="s">
        <v>18728</v>
      </c>
      <c r="AX2961" s="80" t="s">
        <v>18728</v>
      </c>
      <c r="AY2961" s="77"/>
      <c r="AZ2961" s="80" t="s">
        <v>20380</v>
      </c>
      <c r="BA2961" s="80" t="s">
        <v>20380</v>
      </c>
      <c r="BB2961" s="80" t="s">
        <v>20380</v>
      </c>
      <c r="BC2961" s="80" t="s">
        <v>18728</v>
      </c>
      <c r="BD2961" s="77">
        <v>36958479</v>
      </c>
      <c r="BE2961" s="77"/>
      <c r="BF2961" s="77"/>
      <c r="BG2961" s="77"/>
      <c r="BH2961" s="77"/>
      <c r="BI2961" s="77"/>
    </row>
    <row r="2962" spans="1:61" x14ac:dyDescent="0.25">
      <c r="A2962" s="62" t="s">
        <v>1171</v>
      </c>
      <c r="B2962" s="62" t="s">
        <v>1171</v>
      </c>
      <c r="C2962" s="63"/>
      <c r="D2962" s="64"/>
      <c r="E2962" s="65"/>
      <c r="F2962" s="66"/>
      <c r="G2962" s="63"/>
      <c r="H2962" s="67"/>
      <c r="I2962" s="68"/>
      <c r="J2962" s="68"/>
      <c r="K2962" s="32"/>
      <c r="L2962" s="75">
        <v>2962</v>
      </c>
      <c r="M2962" s="75"/>
      <c r="N2962" s="70"/>
      <c r="O2962" s="77" t="s">
        <v>179</v>
      </c>
      <c r="P2962" s="79">
        <v>45174.850474537037</v>
      </c>
      <c r="Q2962" s="77" t="s">
        <v>4712</v>
      </c>
      <c r="R2962" s="77">
        <v>1</v>
      </c>
      <c r="S2962" s="77">
        <v>1</v>
      </c>
      <c r="T2962" s="77">
        <v>0</v>
      </c>
      <c r="U2962" s="77">
        <v>0</v>
      </c>
      <c r="V2962" s="77">
        <v>973</v>
      </c>
      <c r="W2962" s="80" t="s">
        <v>7732</v>
      </c>
      <c r="X2962" s="83" t="str">
        <f>HYPERLINK("https://www.elcaribe.com.do/panorama/dinero/recursos-aprobados-por-la-jm-superan-los-rd117-mil-millones-al-cierre-de-agosto-de-2023")</f>
        <v>https://www.elcaribe.com.do/panorama/dinero/recursos-aprobados-por-la-jm-superan-los-rd117-mil-millones-al-cierre-de-agosto-de-2023</v>
      </c>
      <c r="Y2962" s="77" t="s">
        <v>8625</v>
      </c>
      <c r="Z2962" s="77"/>
      <c r="AA2962" s="77"/>
      <c r="AB2962" s="77"/>
      <c r="AC2962" s="80" t="s">
        <v>10541</v>
      </c>
      <c r="AD2962" s="77" t="s">
        <v>10620</v>
      </c>
      <c r="AE2962" s="83" t="str">
        <f>HYPERLINK("https://twitter.com/elcariberd/status/1699156620272697635")</f>
        <v>https://twitter.com/elcariberd/status/1699156620272697635</v>
      </c>
      <c r="AF2962" s="79">
        <v>45174.850474537037</v>
      </c>
      <c r="AG2962" s="85">
        <v>45174</v>
      </c>
      <c r="AH2962" s="80" t="s">
        <v>13223</v>
      </c>
      <c r="AI2962" s="77" t="b">
        <v>0</v>
      </c>
      <c r="AJ2962" s="77"/>
      <c r="AK2962" s="77"/>
      <c r="AL2962" s="77"/>
      <c r="AM2962" s="77"/>
      <c r="AN2962" s="77"/>
      <c r="AO2962" s="77"/>
      <c r="AP2962" s="77"/>
      <c r="AQ2962" s="77"/>
      <c r="AR2962" s="77"/>
      <c r="AS2962" s="77"/>
      <c r="AT2962" s="77"/>
      <c r="AU2962" s="77"/>
      <c r="AV2962" s="83" t="str">
        <f>HYPERLINK("https://pbs.twimg.com/profile_images/1611021810807590912/A13BO61o_normal.jpg")</f>
        <v>https://pbs.twimg.com/profile_images/1611021810807590912/A13BO61o_normal.jpg</v>
      </c>
      <c r="AW2962" s="80" t="s">
        <v>18729</v>
      </c>
      <c r="AX2962" s="80" t="s">
        <v>18729</v>
      </c>
      <c r="AY2962" s="77"/>
      <c r="AZ2962" s="80" t="s">
        <v>20380</v>
      </c>
      <c r="BA2962" s="80" t="s">
        <v>20380</v>
      </c>
      <c r="BB2962" s="80" t="s">
        <v>20380</v>
      </c>
      <c r="BC2962" s="80" t="s">
        <v>18729</v>
      </c>
      <c r="BD2962" s="77">
        <v>36958479</v>
      </c>
      <c r="BE2962" s="77"/>
      <c r="BF2962" s="77"/>
      <c r="BG2962" s="77"/>
      <c r="BH2962" s="77"/>
      <c r="BI2962" s="77"/>
    </row>
    <row r="2963" spans="1:61" x14ac:dyDescent="0.25">
      <c r="A2963" s="62" t="s">
        <v>1171</v>
      </c>
      <c r="B2963" s="62" t="s">
        <v>1171</v>
      </c>
      <c r="C2963" s="63"/>
      <c r="D2963" s="64"/>
      <c r="E2963" s="65"/>
      <c r="F2963" s="66"/>
      <c r="G2963" s="63"/>
      <c r="H2963" s="67"/>
      <c r="I2963" s="68"/>
      <c r="J2963" s="68"/>
      <c r="K2963" s="32"/>
      <c r="L2963" s="75">
        <v>2963</v>
      </c>
      <c r="M2963" s="75"/>
      <c r="N2963" s="70"/>
      <c r="O2963" s="77" t="s">
        <v>179</v>
      </c>
      <c r="P2963" s="79">
        <v>45188.510011574072</v>
      </c>
      <c r="Q2963" s="77" t="s">
        <v>4713</v>
      </c>
      <c r="R2963" s="77">
        <v>0</v>
      </c>
      <c r="S2963" s="77">
        <v>1</v>
      </c>
      <c r="T2963" s="77">
        <v>0</v>
      </c>
      <c r="U2963" s="77">
        <v>1</v>
      </c>
      <c r="V2963" s="77">
        <v>925</v>
      </c>
      <c r="W2963" s="80" t="s">
        <v>7733</v>
      </c>
      <c r="X2963" s="83" t="str">
        <f>HYPERLINK("https://www.elcaribe.com.do/panorama/dinero/estrecha-brecha-tasas-de-interes-ee-uu-y-rd-enciende-luz-amarilla/")</f>
        <v>https://www.elcaribe.com.do/panorama/dinero/estrecha-brecha-tasas-de-interes-ee-uu-y-rd-enciende-luz-amarilla/</v>
      </c>
      <c r="Y2963" s="77" t="s">
        <v>8625</v>
      </c>
      <c r="Z2963" s="77"/>
      <c r="AA2963" s="77"/>
      <c r="AB2963" s="77"/>
      <c r="AC2963" s="80" t="s">
        <v>10541</v>
      </c>
      <c r="AD2963" s="77" t="s">
        <v>10620</v>
      </c>
      <c r="AE2963" s="83" t="str">
        <f>HYPERLINK("https://twitter.com/elcariberd/status/1704106669423153316")</f>
        <v>https://twitter.com/elcariberd/status/1704106669423153316</v>
      </c>
      <c r="AF2963" s="79">
        <v>45188.510011574072</v>
      </c>
      <c r="AG2963" s="85">
        <v>45188</v>
      </c>
      <c r="AH2963" s="80" t="s">
        <v>13224</v>
      </c>
      <c r="AI2963" s="77" t="b">
        <v>0</v>
      </c>
      <c r="AJ2963" s="77"/>
      <c r="AK2963" s="77"/>
      <c r="AL2963" s="77"/>
      <c r="AM2963" s="77"/>
      <c r="AN2963" s="77"/>
      <c r="AO2963" s="77"/>
      <c r="AP2963" s="77"/>
      <c r="AQ2963" s="77"/>
      <c r="AR2963" s="77"/>
      <c r="AS2963" s="77"/>
      <c r="AT2963" s="77"/>
      <c r="AU2963" s="77"/>
      <c r="AV2963" s="83" t="str">
        <f>HYPERLINK("https://pbs.twimg.com/profile_images/1611021810807590912/A13BO61o_normal.jpg")</f>
        <v>https://pbs.twimg.com/profile_images/1611021810807590912/A13BO61o_normal.jpg</v>
      </c>
      <c r="AW2963" s="80" t="s">
        <v>18730</v>
      </c>
      <c r="AX2963" s="80" t="s">
        <v>18730</v>
      </c>
      <c r="AY2963" s="77"/>
      <c r="AZ2963" s="80" t="s">
        <v>20380</v>
      </c>
      <c r="BA2963" s="80" t="s">
        <v>20380</v>
      </c>
      <c r="BB2963" s="80" t="s">
        <v>20380</v>
      </c>
      <c r="BC2963" s="80" t="s">
        <v>18730</v>
      </c>
      <c r="BD2963" s="77">
        <v>36958479</v>
      </c>
      <c r="BE2963" s="77"/>
      <c r="BF2963" s="77"/>
      <c r="BG2963" s="77"/>
      <c r="BH2963" s="77"/>
      <c r="BI2963" s="77"/>
    </row>
    <row r="2964" spans="1:61" x14ac:dyDescent="0.25">
      <c r="A2964" s="62" t="s">
        <v>1171</v>
      </c>
      <c r="B2964" s="62" t="s">
        <v>1171</v>
      </c>
      <c r="C2964" s="63"/>
      <c r="D2964" s="64"/>
      <c r="E2964" s="65"/>
      <c r="F2964" s="66"/>
      <c r="G2964" s="63"/>
      <c r="H2964" s="67"/>
      <c r="I2964" s="68"/>
      <c r="J2964" s="68"/>
      <c r="K2964" s="32"/>
      <c r="L2964" s="75">
        <v>2964</v>
      </c>
      <c r="M2964" s="75"/>
      <c r="N2964" s="70"/>
      <c r="O2964" s="77" t="s">
        <v>179</v>
      </c>
      <c r="P2964" s="79">
        <v>45127.511423611111</v>
      </c>
      <c r="Q2964" s="77" t="s">
        <v>4714</v>
      </c>
      <c r="R2964" s="77">
        <v>4</v>
      </c>
      <c r="S2964" s="77">
        <v>3</v>
      </c>
      <c r="T2964" s="77">
        <v>4</v>
      </c>
      <c r="U2964" s="77">
        <v>0</v>
      </c>
      <c r="V2964" s="77">
        <v>2752</v>
      </c>
      <c r="W2964" s="80" t="s">
        <v>7734</v>
      </c>
      <c r="X2964" s="83" t="str">
        <f>HYPERLINK("https://www.elcaribe.com.do/panorama/dinero/bcrd-desembolsa-58741-mm-para-empujar-economia/")</f>
        <v>https://www.elcaribe.com.do/panorama/dinero/bcrd-desembolsa-58741-mm-para-empujar-economia/</v>
      </c>
      <c r="Y2964" s="77" t="s">
        <v>8625</v>
      </c>
      <c r="Z2964" s="77"/>
      <c r="AA2964" s="77"/>
      <c r="AB2964" s="77"/>
      <c r="AC2964" s="80" t="s">
        <v>10541</v>
      </c>
      <c r="AD2964" s="77" t="s">
        <v>10620</v>
      </c>
      <c r="AE2964" s="83" t="str">
        <f>HYPERLINK("https://twitter.com/elcariberd/status/1682001520886251523")</f>
        <v>https://twitter.com/elcariberd/status/1682001520886251523</v>
      </c>
      <c r="AF2964" s="79">
        <v>45127.511423611111</v>
      </c>
      <c r="AG2964" s="85">
        <v>45127</v>
      </c>
      <c r="AH2964" s="80" t="s">
        <v>13225</v>
      </c>
      <c r="AI2964" s="77" t="b">
        <v>0</v>
      </c>
      <c r="AJ2964" s="77"/>
      <c r="AK2964" s="77"/>
      <c r="AL2964" s="77"/>
      <c r="AM2964" s="77"/>
      <c r="AN2964" s="77"/>
      <c r="AO2964" s="77"/>
      <c r="AP2964" s="77"/>
      <c r="AQ2964" s="77"/>
      <c r="AR2964" s="77"/>
      <c r="AS2964" s="77"/>
      <c r="AT2964" s="77"/>
      <c r="AU2964" s="77"/>
      <c r="AV2964" s="83" t="str">
        <f>HYPERLINK("https://pbs.twimg.com/profile_images/1611021810807590912/A13BO61o_normal.jpg")</f>
        <v>https://pbs.twimg.com/profile_images/1611021810807590912/A13BO61o_normal.jpg</v>
      </c>
      <c r="AW2964" s="80" t="s">
        <v>18731</v>
      </c>
      <c r="AX2964" s="80" t="s">
        <v>18731</v>
      </c>
      <c r="AY2964" s="77"/>
      <c r="AZ2964" s="80" t="s">
        <v>20380</v>
      </c>
      <c r="BA2964" s="80" t="s">
        <v>20380</v>
      </c>
      <c r="BB2964" s="80" t="s">
        <v>20380</v>
      </c>
      <c r="BC2964" s="80" t="s">
        <v>18731</v>
      </c>
      <c r="BD2964" s="77">
        <v>36958479</v>
      </c>
      <c r="BE2964" s="77"/>
      <c r="BF2964" s="77"/>
      <c r="BG2964" s="77"/>
      <c r="BH2964" s="77"/>
      <c r="BI2964" s="77"/>
    </row>
    <row r="2965" spans="1:61" x14ac:dyDescent="0.25">
      <c r="A2965" s="62" t="s">
        <v>1171</v>
      </c>
      <c r="B2965" s="62" t="s">
        <v>1171</v>
      </c>
      <c r="C2965" s="63"/>
      <c r="D2965" s="64"/>
      <c r="E2965" s="65"/>
      <c r="F2965" s="66"/>
      <c r="G2965" s="63"/>
      <c r="H2965" s="67"/>
      <c r="I2965" s="68"/>
      <c r="J2965" s="68"/>
      <c r="K2965" s="32"/>
      <c r="L2965" s="75">
        <v>2965</v>
      </c>
      <c r="M2965" s="75"/>
      <c r="N2965" s="70"/>
      <c r="O2965" s="77" t="s">
        <v>179</v>
      </c>
      <c r="P2965" s="79">
        <v>45089.624293981484</v>
      </c>
      <c r="Q2965" s="77" t="s">
        <v>4715</v>
      </c>
      <c r="R2965" s="77">
        <v>3</v>
      </c>
      <c r="S2965" s="77">
        <v>5</v>
      </c>
      <c r="T2965" s="77">
        <v>0</v>
      </c>
      <c r="U2965" s="77">
        <v>0</v>
      </c>
      <c r="V2965" s="77">
        <v>1440</v>
      </c>
      <c r="W2965" s="80" t="s">
        <v>7735</v>
      </c>
      <c r="X2965" s="83" t="str">
        <f>HYPERLINK("https://www.elcaribe.com.do/panorama/dinero/bc-dice-medidas-monetarias-dinamizaran-la-economia-de-rd")</f>
        <v>https://www.elcaribe.com.do/panorama/dinero/bc-dice-medidas-monetarias-dinamizaran-la-economia-de-rd</v>
      </c>
      <c r="Y2965" s="77" t="s">
        <v>8625</v>
      </c>
      <c r="Z2965" s="77"/>
      <c r="AA2965" s="77"/>
      <c r="AB2965" s="77"/>
      <c r="AC2965" s="80" t="s">
        <v>10541</v>
      </c>
      <c r="AD2965" s="77" t="s">
        <v>10620</v>
      </c>
      <c r="AE2965" s="83" t="str">
        <f>HYPERLINK("https://twitter.com/elcariberd/status/1668271686381187074")</f>
        <v>https://twitter.com/elcariberd/status/1668271686381187074</v>
      </c>
      <c r="AF2965" s="79">
        <v>45089.624293981484</v>
      </c>
      <c r="AG2965" s="85">
        <v>45089</v>
      </c>
      <c r="AH2965" s="80" t="s">
        <v>13226</v>
      </c>
      <c r="AI2965" s="77" t="b">
        <v>0</v>
      </c>
      <c r="AJ2965" s="77"/>
      <c r="AK2965" s="77"/>
      <c r="AL2965" s="77"/>
      <c r="AM2965" s="77"/>
      <c r="AN2965" s="77"/>
      <c r="AO2965" s="77"/>
      <c r="AP2965" s="77"/>
      <c r="AQ2965" s="77"/>
      <c r="AR2965" s="77"/>
      <c r="AS2965" s="77"/>
      <c r="AT2965" s="77"/>
      <c r="AU2965" s="77"/>
      <c r="AV2965" s="83" t="str">
        <f>HYPERLINK("https://pbs.twimg.com/profile_images/1611021810807590912/A13BO61o_normal.jpg")</f>
        <v>https://pbs.twimg.com/profile_images/1611021810807590912/A13BO61o_normal.jpg</v>
      </c>
      <c r="AW2965" s="80" t="s">
        <v>18732</v>
      </c>
      <c r="AX2965" s="80" t="s">
        <v>18732</v>
      </c>
      <c r="AY2965" s="77"/>
      <c r="AZ2965" s="80" t="s">
        <v>20380</v>
      </c>
      <c r="BA2965" s="80" t="s">
        <v>20380</v>
      </c>
      <c r="BB2965" s="80" t="s">
        <v>20380</v>
      </c>
      <c r="BC2965" s="80" t="s">
        <v>18732</v>
      </c>
      <c r="BD2965" s="77">
        <v>36958479</v>
      </c>
      <c r="BE2965" s="77"/>
      <c r="BF2965" s="77"/>
      <c r="BG2965" s="77"/>
      <c r="BH2965" s="77"/>
      <c r="BI2965" s="77"/>
    </row>
    <row r="2966" spans="1:61" x14ac:dyDescent="0.25">
      <c r="A2966" s="62" t="s">
        <v>1172</v>
      </c>
      <c r="B2966" s="62" t="s">
        <v>1171</v>
      </c>
      <c r="C2966" s="63"/>
      <c r="D2966" s="64"/>
      <c r="E2966" s="65"/>
      <c r="F2966" s="66"/>
      <c r="G2966" s="63"/>
      <c r="H2966" s="67"/>
      <c r="I2966" s="68"/>
      <c r="J2966" s="68"/>
      <c r="K2966" s="32"/>
      <c r="L2966" s="75">
        <v>2966</v>
      </c>
      <c r="M2966" s="75"/>
      <c r="N2966" s="70"/>
      <c r="O2966" s="77" t="s">
        <v>2081</v>
      </c>
      <c r="P2966" s="79">
        <v>45140.543171296296</v>
      </c>
      <c r="Q2966" s="77" t="s">
        <v>4716</v>
      </c>
      <c r="R2966" s="77">
        <v>0</v>
      </c>
      <c r="S2966" s="77">
        <v>0</v>
      </c>
      <c r="T2966" s="77">
        <v>0</v>
      </c>
      <c r="U2966" s="77">
        <v>0</v>
      </c>
      <c r="V2966" s="77">
        <v>24</v>
      </c>
      <c r="W2966" s="80" t="s">
        <v>7736</v>
      </c>
      <c r="X2966" s="83" t="str">
        <f>HYPERLINK("https://www.elcaribe.com.do/panorama/dinero/el-banco-central-tiene-postura-cautelosa-por-panorama-economico/")</f>
        <v>https://www.elcaribe.com.do/panorama/dinero/el-banco-central-tiene-postura-cautelosa-por-panorama-economico/</v>
      </c>
      <c r="Y2966" s="77" t="s">
        <v>8625</v>
      </c>
      <c r="Z2966" s="77" t="s">
        <v>1171</v>
      </c>
      <c r="AA2966" s="77" t="s">
        <v>9998</v>
      </c>
      <c r="AB2966" s="77" t="s">
        <v>10535</v>
      </c>
      <c r="AC2966" s="80" t="s">
        <v>10540</v>
      </c>
      <c r="AD2966" s="77" t="s">
        <v>10620</v>
      </c>
      <c r="AE2966" s="83" t="str">
        <f>HYPERLINK("https://twitter.com/polancomartin6/status/1686724066990764032")</f>
        <v>https://twitter.com/polancomartin6/status/1686724066990764032</v>
      </c>
      <c r="AF2966" s="79">
        <v>45140.543171296296</v>
      </c>
      <c r="AG2966" s="85">
        <v>45140</v>
      </c>
      <c r="AH2966" s="80" t="s">
        <v>13227</v>
      </c>
      <c r="AI2966" s="77" t="b">
        <v>0</v>
      </c>
      <c r="AJ2966" s="77"/>
      <c r="AK2966" s="77"/>
      <c r="AL2966" s="77"/>
      <c r="AM2966" s="77"/>
      <c r="AN2966" s="77"/>
      <c r="AO2966" s="77"/>
      <c r="AP2966" s="77"/>
      <c r="AQ2966" s="77" t="s">
        <v>15479</v>
      </c>
      <c r="AR2966" s="77"/>
      <c r="AS2966" s="77"/>
      <c r="AT2966" s="77"/>
      <c r="AU2966" s="77"/>
      <c r="AV2966" s="83" t="str">
        <f>HYPERLINK("https://pbs.twimg.com/media/F2hyl4YWUAEzktq.jpg")</f>
        <v>https://pbs.twimg.com/media/F2hyl4YWUAEzktq.jpg</v>
      </c>
      <c r="AW2966" s="80" t="s">
        <v>18733</v>
      </c>
      <c r="AX2966" s="80" t="s">
        <v>18733</v>
      </c>
      <c r="AY2966" s="77"/>
      <c r="AZ2966" s="80" t="s">
        <v>20380</v>
      </c>
      <c r="BA2966" s="80" t="s">
        <v>20380</v>
      </c>
      <c r="BB2966" s="80" t="s">
        <v>20380</v>
      </c>
      <c r="BC2966" s="80" t="s">
        <v>18733</v>
      </c>
      <c r="BD2966" s="77">
        <v>187253173</v>
      </c>
      <c r="BE2966" s="77"/>
      <c r="BF2966" s="77"/>
      <c r="BG2966" s="77"/>
      <c r="BH2966" s="77"/>
      <c r="BI2966" s="77"/>
    </row>
    <row r="2967" spans="1:61" x14ac:dyDescent="0.25">
      <c r="A2967" s="62" t="s">
        <v>1173</v>
      </c>
      <c r="B2967" s="62" t="s">
        <v>1173</v>
      </c>
      <c r="C2967" s="63"/>
      <c r="D2967" s="64"/>
      <c r="E2967" s="65"/>
      <c r="F2967" s="66"/>
      <c r="G2967" s="63"/>
      <c r="H2967" s="67"/>
      <c r="I2967" s="68"/>
      <c r="J2967" s="68"/>
      <c r="K2967" s="32"/>
      <c r="L2967" s="75">
        <v>2967</v>
      </c>
      <c r="M2967" s="75"/>
      <c r="N2967" s="70"/>
      <c r="O2967" s="77" t="s">
        <v>179</v>
      </c>
      <c r="P2967" s="79">
        <v>45144.419432870367</v>
      </c>
      <c r="Q2967" s="77" t="s">
        <v>4717</v>
      </c>
      <c r="R2967" s="77">
        <v>112</v>
      </c>
      <c r="S2967" s="77">
        <v>240</v>
      </c>
      <c r="T2967" s="77">
        <v>384</v>
      </c>
      <c r="U2967" s="77">
        <v>13</v>
      </c>
      <c r="V2967" s="77">
        <v>28624</v>
      </c>
      <c r="W2967" s="80" t="s">
        <v>7737</v>
      </c>
      <c r="X2967" s="77"/>
      <c r="Y2967" s="77"/>
      <c r="Z2967" s="77"/>
      <c r="AA2967" s="77"/>
      <c r="AB2967" s="77"/>
      <c r="AC2967" s="80" t="s">
        <v>10541</v>
      </c>
      <c r="AD2967" s="77" t="s">
        <v>10620</v>
      </c>
      <c r="AE2967" s="83" t="str">
        <f>HYPERLINK("https://twitter.com/radio10/status/1688128779871240193")</f>
        <v>https://twitter.com/radio10/status/1688128779871240193</v>
      </c>
      <c r="AF2967" s="79">
        <v>45144.419432870367</v>
      </c>
      <c r="AG2967" s="85">
        <v>45144</v>
      </c>
      <c r="AH2967" s="80" t="s">
        <v>13228</v>
      </c>
      <c r="AI2967" s="77" t="b">
        <v>0</v>
      </c>
      <c r="AJ2967" s="77"/>
      <c r="AK2967" s="77"/>
      <c r="AL2967" s="77"/>
      <c r="AM2967" s="77"/>
      <c r="AN2967" s="77"/>
      <c r="AO2967" s="77"/>
      <c r="AP2967" s="77"/>
      <c r="AQ2967" s="77"/>
      <c r="AR2967" s="77"/>
      <c r="AS2967" s="77"/>
      <c r="AT2967" s="77"/>
      <c r="AU2967" s="77"/>
      <c r="AV2967" s="83" t="str">
        <f>HYPERLINK("https://pbs.twimg.com/profile_images/1609526437618262017/wHGDptZt_normal.jpg")</f>
        <v>https://pbs.twimg.com/profile_images/1609526437618262017/wHGDptZt_normal.jpg</v>
      </c>
      <c r="AW2967" s="80" t="s">
        <v>18734</v>
      </c>
      <c r="AX2967" s="80" t="s">
        <v>18734</v>
      </c>
      <c r="AY2967" s="77"/>
      <c r="AZ2967" s="80" t="s">
        <v>20380</v>
      </c>
      <c r="BA2967" s="80" t="s">
        <v>20380</v>
      </c>
      <c r="BB2967" s="80" t="s">
        <v>20380</v>
      </c>
      <c r="BC2967" s="80" t="s">
        <v>18734</v>
      </c>
      <c r="BD2967" s="77">
        <v>18898168</v>
      </c>
      <c r="BE2967" s="77"/>
      <c r="BF2967" s="77"/>
      <c r="BG2967" s="77"/>
      <c r="BH2967" s="77"/>
      <c r="BI2967" s="77"/>
    </row>
    <row r="2968" spans="1:61" x14ac:dyDescent="0.25">
      <c r="A2968" s="62" t="s">
        <v>1174</v>
      </c>
      <c r="B2968" s="62" t="s">
        <v>1173</v>
      </c>
      <c r="C2968" s="63"/>
      <c r="D2968" s="64"/>
      <c r="E2968" s="65"/>
      <c r="F2968" s="66"/>
      <c r="G2968" s="63"/>
      <c r="H2968" s="67"/>
      <c r="I2968" s="68"/>
      <c r="J2968" s="68"/>
      <c r="K2968" s="32"/>
      <c r="L2968" s="75">
        <v>2968</v>
      </c>
      <c r="M2968" s="75"/>
      <c r="N2968" s="70"/>
      <c r="O2968" s="77" t="s">
        <v>2082</v>
      </c>
      <c r="P2968" s="79">
        <v>45144.536400462966</v>
      </c>
      <c r="Q2968" s="77" t="s">
        <v>4718</v>
      </c>
      <c r="R2968" s="77">
        <v>0</v>
      </c>
      <c r="S2968" s="77">
        <v>0</v>
      </c>
      <c r="T2968" s="77">
        <v>0</v>
      </c>
      <c r="U2968" s="77">
        <v>0</v>
      </c>
      <c r="V2968" s="77">
        <v>15</v>
      </c>
      <c r="W2968" s="80" t="s">
        <v>7738</v>
      </c>
      <c r="X2968" s="77"/>
      <c r="Y2968" s="77"/>
      <c r="Z2968" s="77"/>
      <c r="AA2968" s="77"/>
      <c r="AB2968" s="77"/>
      <c r="AC2968" s="80" t="s">
        <v>10540</v>
      </c>
      <c r="AD2968" s="77" t="s">
        <v>10620</v>
      </c>
      <c r="AE2968" s="83" t="str">
        <f>HYPERLINK("https://twitter.com/guille_fe/status/1688171165238366208")</f>
        <v>https://twitter.com/guille_fe/status/1688171165238366208</v>
      </c>
      <c r="AF2968" s="79">
        <v>45144.536400462966</v>
      </c>
      <c r="AG2968" s="85">
        <v>45144</v>
      </c>
      <c r="AH2968" s="80" t="s">
        <v>13229</v>
      </c>
      <c r="AI2968" s="77"/>
      <c r="AJ2968" s="77"/>
      <c r="AK2968" s="77"/>
      <c r="AL2968" s="77"/>
      <c r="AM2968" s="77"/>
      <c r="AN2968" s="77"/>
      <c r="AO2968" s="77"/>
      <c r="AP2968" s="77"/>
      <c r="AQ2968" s="77"/>
      <c r="AR2968" s="77"/>
      <c r="AS2968" s="77"/>
      <c r="AT2968" s="77"/>
      <c r="AU2968" s="77"/>
      <c r="AV2968" s="83" t="str">
        <f>HYPERLINK("https://pbs.twimg.com/profile_images/1659890688622821376/-WKgKcPI_normal.jpg")</f>
        <v>https://pbs.twimg.com/profile_images/1659890688622821376/-WKgKcPI_normal.jpg</v>
      </c>
      <c r="AW2968" s="80" t="s">
        <v>18735</v>
      </c>
      <c r="AX2968" s="80" t="s">
        <v>18735</v>
      </c>
      <c r="AY2968" s="77"/>
      <c r="AZ2968" s="80" t="s">
        <v>20380</v>
      </c>
      <c r="BA2968" s="80" t="s">
        <v>18734</v>
      </c>
      <c r="BB2968" s="80" t="s">
        <v>20380</v>
      </c>
      <c r="BC2968" s="80" t="s">
        <v>18734</v>
      </c>
      <c r="BD2968" s="77">
        <v>124814431</v>
      </c>
      <c r="BE2968" s="77"/>
      <c r="BF2968" s="77"/>
      <c r="BG2968" s="77"/>
      <c r="BH2968" s="77"/>
      <c r="BI2968" s="77"/>
    </row>
    <row r="2969" spans="1:61" x14ac:dyDescent="0.25">
      <c r="A2969" s="62" t="s">
        <v>1174</v>
      </c>
      <c r="B2969" s="62" t="s">
        <v>1174</v>
      </c>
      <c r="C2969" s="63"/>
      <c r="D2969" s="64"/>
      <c r="E2969" s="65"/>
      <c r="F2969" s="66"/>
      <c r="G2969" s="63"/>
      <c r="H2969" s="67"/>
      <c r="I2969" s="68"/>
      <c r="J2969" s="68"/>
      <c r="K2969" s="32"/>
      <c r="L2969" s="75">
        <v>2969</v>
      </c>
      <c r="M2969" s="75"/>
      <c r="N2969" s="70"/>
      <c r="O2969" s="77" t="s">
        <v>179</v>
      </c>
      <c r="P2969" s="79">
        <v>45144.54146990741</v>
      </c>
      <c r="Q2969" s="77" t="s">
        <v>4719</v>
      </c>
      <c r="R2969" s="77">
        <v>0</v>
      </c>
      <c r="S2969" s="77">
        <v>0</v>
      </c>
      <c r="T2969" s="77">
        <v>0</v>
      </c>
      <c r="U2969" s="77">
        <v>0</v>
      </c>
      <c r="V2969" s="77">
        <v>9</v>
      </c>
      <c r="W2969" s="80" t="s">
        <v>7739</v>
      </c>
      <c r="X2969" s="77"/>
      <c r="Y2969" s="77"/>
      <c r="Z2969" s="77"/>
      <c r="AA2969" s="77"/>
      <c r="AB2969" s="77"/>
      <c r="AC2969" s="80" t="s">
        <v>10540</v>
      </c>
      <c r="AD2969" s="77" t="s">
        <v>10620</v>
      </c>
      <c r="AE2969" s="83" t="str">
        <f>HYPERLINK("https://twitter.com/guille_fe/status/1688173005862510592")</f>
        <v>https://twitter.com/guille_fe/status/1688173005862510592</v>
      </c>
      <c r="AF2969" s="79">
        <v>45144.54146990741</v>
      </c>
      <c r="AG2969" s="85">
        <v>45144</v>
      </c>
      <c r="AH2969" s="80" t="s">
        <v>13230</v>
      </c>
      <c r="AI2969" s="77"/>
      <c r="AJ2969" s="77"/>
      <c r="AK2969" s="77"/>
      <c r="AL2969" s="77"/>
      <c r="AM2969" s="77"/>
      <c r="AN2969" s="77"/>
      <c r="AO2969" s="77"/>
      <c r="AP2969" s="77"/>
      <c r="AQ2969" s="77"/>
      <c r="AR2969" s="77"/>
      <c r="AS2969" s="77"/>
      <c r="AT2969" s="77"/>
      <c r="AU2969" s="77"/>
      <c r="AV2969" s="83" t="str">
        <f>HYPERLINK("https://pbs.twimg.com/profile_images/1659890688622821376/-WKgKcPI_normal.jpg")</f>
        <v>https://pbs.twimg.com/profile_images/1659890688622821376/-WKgKcPI_normal.jpg</v>
      </c>
      <c r="AW2969" s="80" t="s">
        <v>18736</v>
      </c>
      <c r="AX2969" s="80" t="s">
        <v>18736</v>
      </c>
      <c r="AY2969" s="77"/>
      <c r="AZ2969" s="80" t="s">
        <v>20380</v>
      </c>
      <c r="BA2969" s="80" t="s">
        <v>20380</v>
      </c>
      <c r="BB2969" s="80" t="s">
        <v>20380</v>
      </c>
      <c r="BC2969" s="80" t="s">
        <v>18736</v>
      </c>
      <c r="BD2969" s="77">
        <v>124814431</v>
      </c>
      <c r="BE2969" s="77"/>
      <c r="BF2969" s="77"/>
      <c r="BG2969" s="77"/>
      <c r="BH2969" s="77"/>
      <c r="BI2969" s="77"/>
    </row>
    <row r="2970" spans="1:61" x14ac:dyDescent="0.25">
      <c r="A2970" s="62" t="s">
        <v>1175</v>
      </c>
      <c r="B2970" s="62" t="s">
        <v>1681</v>
      </c>
      <c r="C2970" s="63"/>
      <c r="D2970" s="64"/>
      <c r="E2970" s="65"/>
      <c r="F2970" s="66"/>
      <c r="G2970" s="63"/>
      <c r="H2970" s="67"/>
      <c r="I2970" s="68"/>
      <c r="J2970" s="68"/>
      <c r="K2970" s="32"/>
      <c r="L2970" s="75">
        <v>2970</v>
      </c>
      <c r="M2970" s="75"/>
      <c r="N2970" s="70"/>
      <c r="O2970" s="77" t="s">
        <v>2083</v>
      </c>
      <c r="P2970" s="79">
        <v>45189.747754629629</v>
      </c>
      <c r="Q2970" s="77" t="s">
        <v>2237</v>
      </c>
      <c r="R2970" s="77">
        <v>18</v>
      </c>
      <c r="S2970" s="77">
        <v>0</v>
      </c>
      <c r="T2970" s="77">
        <v>0</v>
      </c>
      <c r="U2970" s="77">
        <v>0</v>
      </c>
      <c r="V2970" s="77"/>
      <c r="W2970" s="80" t="s">
        <v>6018</v>
      </c>
      <c r="X2970" s="77"/>
      <c r="Y2970" s="77"/>
      <c r="Z2970" s="77" t="s">
        <v>1681</v>
      </c>
      <c r="AA2970" s="77"/>
      <c r="AB2970" s="77"/>
      <c r="AC2970" s="80" t="s">
        <v>10541</v>
      </c>
      <c r="AD2970" s="77" t="s">
        <v>10617</v>
      </c>
      <c r="AE2970" s="83" t="str">
        <f>HYPERLINK("https://twitter.com/fermoraes/status/1704555214412325121")</f>
        <v>https://twitter.com/fermoraes/status/1704555214412325121</v>
      </c>
      <c r="AF2970" s="79">
        <v>45189.747754629629</v>
      </c>
      <c r="AG2970" s="85">
        <v>45189</v>
      </c>
      <c r="AH2970" s="80" t="s">
        <v>13231</v>
      </c>
      <c r="AI2970" s="77"/>
      <c r="AJ2970" s="77"/>
      <c r="AK2970" s="77"/>
      <c r="AL2970" s="77"/>
      <c r="AM2970" s="77"/>
      <c r="AN2970" s="77"/>
      <c r="AO2970" s="77"/>
      <c r="AP2970" s="77"/>
      <c r="AQ2970" s="77"/>
      <c r="AR2970" s="77"/>
      <c r="AS2970" s="77"/>
      <c r="AT2970" s="77"/>
      <c r="AU2970" s="77"/>
      <c r="AV2970" s="83" t="str">
        <f>HYPERLINK("https://pbs.twimg.com/profile_images/1279435285370109954/-uPnXeOO_normal.jpg")</f>
        <v>https://pbs.twimg.com/profile_images/1279435285370109954/-uPnXeOO_normal.jpg</v>
      </c>
      <c r="AW2970" s="80" t="s">
        <v>18737</v>
      </c>
      <c r="AX2970" s="80" t="s">
        <v>18737</v>
      </c>
      <c r="AY2970" s="77"/>
      <c r="AZ2970" s="80" t="s">
        <v>20380</v>
      </c>
      <c r="BA2970" s="80" t="s">
        <v>20380</v>
      </c>
      <c r="BB2970" s="80" t="s">
        <v>19932</v>
      </c>
      <c r="BC2970" s="80" t="s">
        <v>19932</v>
      </c>
      <c r="BD2970" s="77">
        <v>35876835</v>
      </c>
      <c r="BE2970" s="77"/>
      <c r="BF2970" s="77"/>
      <c r="BG2970" s="77"/>
      <c r="BH2970" s="77"/>
      <c r="BI2970" s="77"/>
    </row>
    <row r="2971" spans="1:61" x14ac:dyDescent="0.25">
      <c r="A2971" s="62" t="s">
        <v>1176</v>
      </c>
      <c r="B2971" s="62" t="s">
        <v>1778</v>
      </c>
      <c r="C2971" s="63"/>
      <c r="D2971" s="64"/>
      <c r="E2971" s="65"/>
      <c r="F2971" s="66"/>
      <c r="G2971" s="63"/>
      <c r="H2971" s="67"/>
      <c r="I2971" s="68"/>
      <c r="J2971" s="68"/>
      <c r="K2971" s="32"/>
      <c r="L2971" s="75">
        <v>2971</v>
      </c>
      <c r="M2971" s="75"/>
      <c r="N2971" s="70"/>
      <c r="O2971" s="77" t="s">
        <v>2078</v>
      </c>
      <c r="P2971" s="79">
        <v>45088.98474537037</v>
      </c>
      <c r="Q2971" s="77" t="s">
        <v>4720</v>
      </c>
      <c r="R2971" s="77">
        <v>0</v>
      </c>
      <c r="S2971" s="77">
        <v>3</v>
      </c>
      <c r="T2971" s="77">
        <v>0</v>
      </c>
      <c r="U2971" s="77">
        <v>0</v>
      </c>
      <c r="V2971" s="77">
        <v>49</v>
      </c>
      <c r="W2971" s="80" t="s">
        <v>7740</v>
      </c>
      <c r="X2971" s="77"/>
      <c r="Y2971" s="77"/>
      <c r="Z2971" s="77" t="s">
        <v>8997</v>
      </c>
      <c r="AA2971" s="77"/>
      <c r="AB2971" s="77"/>
      <c r="AC2971" s="80" t="s">
        <v>10540</v>
      </c>
      <c r="AD2971" s="77" t="s">
        <v>10617</v>
      </c>
      <c r="AE2971" s="83" t="str">
        <f>HYPERLINK("https://twitter.com/todeboa34342569/status/1668039922056413185")</f>
        <v>https://twitter.com/todeboa34342569/status/1668039922056413185</v>
      </c>
      <c r="AF2971" s="79">
        <v>45088.98474537037</v>
      </c>
      <c r="AG2971" s="85">
        <v>45088</v>
      </c>
      <c r="AH2971" s="80" t="s">
        <v>13232</v>
      </c>
      <c r="AI2971" s="77"/>
      <c r="AJ2971" s="77"/>
      <c r="AK2971" s="77"/>
      <c r="AL2971" s="77"/>
      <c r="AM2971" s="77"/>
      <c r="AN2971" s="77"/>
      <c r="AO2971" s="77"/>
      <c r="AP2971" s="77"/>
      <c r="AQ2971" s="77"/>
      <c r="AR2971" s="77"/>
      <c r="AS2971" s="77"/>
      <c r="AT2971" s="77"/>
      <c r="AU2971" s="77"/>
      <c r="AV2971" s="83" t="str">
        <f>HYPERLINK("https://pbs.twimg.com/profile_images/1659969073172586500/oQtrdyPY_normal.jpg")</f>
        <v>https://pbs.twimg.com/profile_images/1659969073172586500/oQtrdyPY_normal.jpg</v>
      </c>
      <c r="AW2971" s="80" t="s">
        <v>18738</v>
      </c>
      <c r="AX2971" s="80" t="s">
        <v>20079</v>
      </c>
      <c r="AY2971" s="80" t="s">
        <v>20328</v>
      </c>
      <c r="AZ2971" s="80" t="s">
        <v>20079</v>
      </c>
      <c r="BA2971" s="80" t="s">
        <v>20380</v>
      </c>
      <c r="BB2971" s="80" t="s">
        <v>20380</v>
      </c>
      <c r="BC2971" s="80" t="s">
        <v>20079</v>
      </c>
      <c r="BD2971" s="80" t="s">
        <v>20963</v>
      </c>
      <c r="BE2971" s="77"/>
      <c r="BF2971" s="77"/>
      <c r="BG2971" s="77"/>
      <c r="BH2971" s="77"/>
      <c r="BI2971" s="77"/>
    </row>
    <row r="2972" spans="1:61" x14ac:dyDescent="0.25">
      <c r="A2972" s="62" t="s">
        <v>1177</v>
      </c>
      <c r="B2972" s="62" t="s">
        <v>1857</v>
      </c>
      <c r="C2972" s="63"/>
      <c r="D2972" s="64"/>
      <c r="E2972" s="65"/>
      <c r="F2972" s="66"/>
      <c r="G2972" s="63"/>
      <c r="H2972" s="67"/>
      <c r="I2972" s="68"/>
      <c r="J2972" s="68"/>
      <c r="K2972" s="32"/>
      <c r="L2972" s="75">
        <v>2972</v>
      </c>
      <c r="M2972" s="75"/>
      <c r="N2972" s="70"/>
      <c r="O2972" s="77" t="s">
        <v>2081</v>
      </c>
      <c r="P2972" s="79">
        <v>45164.012164351851</v>
      </c>
      <c r="Q2972" s="77" t="s">
        <v>4721</v>
      </c>
      <c r="R2972" s="77">
        <v>0</v>
      </c>
      <c r="S2972" s="77">
        <v>0</v>
      </c>
      <c r="T2972" s="77">
        <v>0</v>
      </c>
      <c r="U2972" s="77">
        <v>0</v>
      </c>
      <c r="V2972" s="77">
        <v>16</v>
      </c>
      <c r="W2972" s="80" t="s">
        <v>7741</v>
      </c>
      <c r="X2972" s="83" t="str">
        <f>HYPERLINK("https://www.spreaker.com/user/elpisodigital/new")</f>
        <v>https://www.spreaker.com/user/elpisodigital/new</v>
      </c>
      <c r="Y2972" s="77" t="s">
        <v>8750</v>
      </c>
      <c r="Z2972" s="77" t="s">
        <v>1857</v>
      </c>
      <c r="AA2972" s="77"/>
      <c r="AB2972" s="77"/>
      <c r="AC2972" s="80" t="s">
        <v>10582</v>
      </c>
      <c r="AD2972" s="77" t="s">
        <v>10620</v>
      </c>
      <c r="AE2972" s="83" t="str">
        <f>HYPERLINK("https://twitter.com/elpisodigital/status/1695228948035056114")</f>
        <v>https://twitter.com/elpisodigital/status/1695228948035056114</v>
      </c>
      <c r="AF2972" s="79">
        <v>45164.012164351851</v>
      </c>
      <c r="AG2972" s="85">
        <v>45164</v>
      </c>
      <c r="AH2972" s="80" t="s">
        <v>13233</v>
      </c>
      <c r="AI2972" s="77" t="b">
        <v>0</v>
      </c>
      <c r="AJ2972" s="77"/>
      <c r="AK2972" s="77"/>
      <c r="AL2972" s="77"/>
      <c r="AM2972" s="77"/>
      <c r="AN2972" s="77"/>
      <c r="AO2972" s="77"/>
      <c r="AP2972" s="77"/>
      <c r="AQ2972" s="77"/>
      <c r="AR2972" s="77"/>
      <c r="AS2972" s="77"/>
      <c r="AT2972" s="77"/>
      <c r="AU2972" s="77"/>
      <c r="AV2972" s="83" t="str">
        <f>HYPERLINK("https://pbs.twimg.com/profile_images/1362887051381727233/lWKNjvJc_normal.jpg")</f>
        <v>https://pbs.twimg.com/profile_images/1362887051381727233/lWKNjvJc_normal.jpg</v>
      </c>
      <c r="AW2972" s="80" t="s">
        <v>18739</v>
      </c>
      <c r="AX2972" s="80" t="s">
        <v>18739</v>
      </c>
      <c r="AY2972" s="77"/>
      <c r="AZ2972" s="80" t="s">
        <v>20380</v>
      </c>
      <c r="BA2972" s="80" t="s">
        <v>20380</v>
      </c>
      <c r="BB2972" s="80" t="s">
        <v>20380</v>
      </c>
      <c r="BC2972" s="80" t="s">
        <v>18739</v>
      </c>
      <c r="BD2972" s="80" t="s">
        <v>20964</v>
      </c>
      <c r="BE2972" s="77"/>
      <c r="BF2972" s="77"/>
      <c r="BG2972" s="77"/>
      <c r="BH2972" s="77"/>
      <c r="BI2972" s="77"/>
    </row>
    <row r="2973" spans="1:61" x14ac:dyDescent="0.25">
      <c r="A2973" s="62" t="s">
        <v>1178</v>
      </c>
      <c r="B2973" s="62" t="s">
        <v>1975</v>
      </c>
      <c r="C2973" s="63"/>
      <c r="D2973" s="64"/>
      <c r="E2973" s="65"/>
      <c r="F2973" s="66"/>
      <c r="G2973" s="63"/>
      <c r="H2973" s="67"/>
      <c r="I2973" s="68"/>
      <c r="J2973" s="68"/>
      <c r="K2973" s="32"/>
      <c r="L2973" s="75">
        <v>2973</v>
      </c>
      <c r="M2973" s="75"/>
      <c r="N2973" s="70"/>
      <c r="O2973" s="77" t="s">
        <v>2081</v>
      </c>
      <c r="P2973" s="79">
        <v>45181.577662037038</v>
      </c>
      <c r="Q2973" s="77" t="s">
        <v>4722</v>
      </c>
      <c r="R2973" s="77">
        <v>0</v>
      </c>
      <c r="S2973" s="77">
        <v>2</v>
      </c>
      <c r="T2973" s="77">
        <v>0</v>
      </c>
      <c r="U2973" s="77">
        <v>0</v>
      </c>
      <c r="V2973" s="77">
        <v>34</v>
      </c>
      <c r="W2973" s="80" t="s">
        <v>7742</v>
      </c>
      <c r="X2973" s="77"/>
      <c r="Y2973" s="77"/>
      <c r="Z2973" s="77" t="s">
        <v>8998</v>
      </c>
      <c r="AA2973" s="77"/>
      <c r="AB2973" s="77"/>
      <c r="AC2973" s="80" t="s">
        <v>10541</v>
      </c>
      <c r="AD2973" s="77" t="s">
        <v>10620</v>
      </c>
      <c r="AE2973" s="83" t="str">
        <f>HYPERLINK("https://twitter.com/adosaariel/status/1701594469844607075")</f>
        <v>https://twitter.com/adosaariel/status/1701594469844607075</v>
      </c>
      <c r="AF2973" s="79">
        <v>45181.577662037038</v>
      </c>
      <c r="AG2973" s="85">
        <v>45181</v>
      </c>
      <c r="AH2973" s="80" t="s">
        <v>13234</v>
      </c>
      <c r="AI2973" s="77"/>
      <c r="AJ2973" s="77"/>
      <c r="AK2973" s="77"/>
      <c r="AL2973" s="77"/>
      <c r="AM2973" s="77"/>
      <c r="AN2973" s="77"/>
      <c r="AO2973" s="77"/>
      <c r="AP2973" s="77"/>
      <c r="AQ2973" s="77"/>
      <c r="AR2973" s="77"/>
      <c r="AS2973" s="77"/>
      <c r="AT2973" s="77"/>
      <c r="AU2973" s="77"/>
      <c r="AV2973" s="83" t="str">
        <f>HYPERLINK("https://pbs.twimg.com/profile_images/674748220581519361/dzDau7Al_normal.jpg")</f>
        <v>https://pbs.twimg.com/profile_images/674748220581519361/dzDau7Al_normal.jpg</v>
      </c>
      <c r="AW2973" s="80" t="s">
        <v>18740</v>
      </c>
      <c r="AX2973" s="80" t="s">
        <v>18740</v>
      </c>
      <c r="AY2973" s="77"/>
      <c r="AZ2973" s="80" t="s">
        <v>20380</v>
      </c>
      <c r="BA2973" s="80" t="s">
        <v>20380</v>
      </c>
      <c r="BB2973" s="80" t="s">
        <v>20380</v>
      </c>
      <c r="BC2973" s="80" t="s">
        <v>18740</v>
      </c>
      <c r="BD2973" s="77">
        <v>765265519</v>
      </c>
      <c r="BE2973" s="77"/>
      <c r="BF2973" s="77"/>
      <c r="BG2973" s="77"/>
      <c r="BH2973" s="77"/>
      <c r="BI2973" s="77"/>
    </row>
    <row r="2974" spans="1:61" x14ac:dyDescent="0.25">
      <c r="A2974" s="62" t="s">
        <v>1178</v>
      </c>
      <c r="B2974" s="62" t="s">
        <v>1976</v>
      </c>
      <c r="C2974" s="63"/>
      <c r="D2974" s="64"/>
      <c r="E2974" s="65"/>
      <c r="F2974" s="66"/>
      <c r="G2974" s="63"/>
      <c r="H2974" s="67"/>
      <c r="I2974" s="68"/>
      <c r="J2974" s="68"/>
      <c r="K2974" s="32"/>
      <c r="L2974" s="75">
        <v>2974</v>
      </c>
      <c r="M2974" s="75"/>
      <c r="N2974" s="70"/>
      <c r="O2974" s="77" t="s">
        <v>2081</v>
      </c>
      <c r="P2974" s="79">
        <v>45181.577662037038</v>
      </c>
      <c r="Q2974" s="77" t="s">
        <v>4722</v>
      </c>
      <c r="R2974" s="77">
        <v>0</v>
      </c>
      <c r="S2974" s="77">
        <v>2</v>
      </c>
      <c r="T2974" s="77">
        <v>0</v>
      </c>
      <c r="U2974" s="77">
        <v>0</v>
      </c>
      <c r="V2974" s="77">
        <v>34</v>
      </c>
      <c r="W2974" s="80" t="s">
        <v>7742</v>
      </c>
      <c r="X2974" s="77"/>
      <c r="Y2974" s="77"/>
      <c r="Z2974" s="77" t="s">
        <v>8998</v>
      </c>
      <c r="AA2974" s="77"/>
      <c r="AB2974" s="77"/>
      <c r="AC2974" s="80" t="s">
        <v>10541</v>
      </c>
      <c r="AD2974" s="77" t="s">
        <v>10620</v>
      </c>
      <c r="AE2974" s="83" t="str">
        <f>HYPERLINK("https://twitter.com/adosaariel/status/1701594469844607075")</f>
        <v>https://twitter.com/adosaariel/status/1701594469844607075</v>
      </c>
      <c r="AF2974" s="79">
        <v>45181.577662037038</v>
      </c>
      <c r="AG2974" s="85">
        <v>45181</v>
      </c>
      <c r="AH2974" s="80" t="s">
        <v>13234</v>
      </c>
      <c r="AI2974" s="77"/>
      <c r="AJ2974" s="77"/>
      <c r="AK2974" s="77"/>
      <c r="AL2974" s="77"/>
      <c r="AM2974" s="77"/>
      <c r="AN2974" s="77"/>
      <c r="AO2974" s="77"/>
      <c r="AP2974" s="77"/>
      <c r="AQ2974" s="77"/>
      <c r="AR2974" s="77"/>
      <c r="AS2974" s="77"/>
      <c r="AT2974" s="77"/>
      <c r="AU2974" s="77"/>
      <c r="AV2974" s="83" t="str">
        <f>HYPERLINK("https://pbs.twimg.com/profile_images/674748220581519361/dzDau7Al_normal.jpg")</f>
        <v>https://pbs.twimg.com/profile_images/674748220581519361/dzDau7Al_normal.jpg</v>
      </c>
      <c r="AW2974" s="80" t="s">
        <v>18740</v>
      </c>
      <c r="AX2974" s="80" t="s">
        <v>18740</v>
      </c>
      <c r="AY2974" s="77"/>
      <c r="AZ2974" s="80" t="s">
        <v>20380</v>
      </c>
      <c r="BA2974" s="80" t="s">
        <v>20380</v>
      </c>
      <c r="BB2974" s="80" t="s">
        <v>20380</v>
      </c>
      <c r="BC2974" s="80" t="s">
        <v>18740</v>
      </c>
      <c r="BD2974" s="77">
        <v>765265519</v>
      </c>
      <c r="BE2974" s="77"/>
      <c r="BF2974" s="77"/>
      <c r="BG2974" s="77"/>
      <c r="BH2974" s="77"/>
      <c r="BI2974" s="77"/>
    </row>
    <row r="2975" spans="1:61" x14ac:dyDescent="0.25">
      <c r="A2975" s="62" t="s">
        <v>1179</v>
      </c>
      <c r="B2975" s="62" t="s">
        <v>1977</v>
      </c>
      <c r="C2975" s="63"/>
      <c r="D2975" s="64"/>
      <c r="E2975" s="65"/>
      <c r="F2975" s="66"/>
      <c r="G2975" s="63"/>
      <c r="H2975" s="67"/>
      <c r="I2975" s="68"/>
      <c r="J2975" s="68"/>
      <c r="K2975" s="32"/>
      <c r="L2975" s="75">
        <v>2975</v>
      </c>
      <c r="M2975" s="75"/>
      <c r="N2975" s="70"/>
      <c r="O2975" s="77" t="s">
        <v>2081</v>
      </c>
      <c r="P2975" s="79">
        <v>45098.899270833332</v>
      </c>
      <c r="Q2975" s="77" t="s">
        <v>4723</v>
      </c>
      <c r="R2975" s="77">
        <v>1</v>
      </c>
      <c r="S2975" s="77">
        <v>3</v>
      </c>
      <c r="T2975" s="77">
        <v>0</v>
      </c>
      <c r="U2975" s="77">
        <v>1</v>
      </c>
      <c r="V2975" s="77">
        <v>647</v>
      </c>
      <c r="W2975" s="80" t="s">
        <v>7743</v>
      </c>
      <c r="X2975" s="83" t="str">
        <f>HYPERLINK("https://www.youtube.com/watch?v=VwsQZ0AmXqE")</f>
        <v>https://www.youtube.com/watch?v=VwsQZ0AmXqE</v>
      </c>
      <c r="Y2975" s="77" t="s">
        <v>8612</v>
      </c>
      <c r="Z2975" s="77" t="s">
        <v>1977</v>
      </c>
      <c r="AA2975" s="77" t="s">
        <v>9999</v>
      </c>
      <c r="AB2975" s="77" t="s">
        <v>10535</v>
      </c>
      <c r="AC2975" s="80" t="s">
        <v>10541</v>
      </c>
      <c r="AD2975" s="77" t="s">
        <v>10617</v>
      </c>
      <c r="AE2975" s="83" t="str">
        <f>HYPERLINK("https://twitter.com/sobcustodio/status/1671632826154795008")</f>
        <v>https://twitter.com/sobcustodio/status/1671632826154795008</v>
      </c>
      <c r="AF2975" s="79">
        <v>45098.899270833332</v>
      </c>
      <c r="AG2975" s="85">
        <v>45098</v>
      </c>
      <c r="AH2975" s="80" t="s">
        <v>13235</v>
      </c>
      <c r="AI2975" s="77" t="b">
        <v>0</v>
      </c>
      <c r="AJ2975" s="77"/>
      <c r="AK2975" s="77"/>
      <c r="AL2975" s="77"/>
      <c r="AM2975" s="77"/>
      <c r="AN2975" s="77"/>
      <c r="AO2975" s="77"/>
      <c r="AP2975" s="77"/>
      <c r="AQ2975" s="77" t="s">
        <v>15480</v>
      </c>
      <c r="AR2975" s="77"/>
      <c r="AS2975" s="77"/>
      <c r="AT2975" s="77"/>
      <c r="AU2975" s="77"/>
      <c r="AV2975" s="83" t="str">
        <f>HYPERLINK("https://pbs.twimg.com/media/FzLUupMWwAAYRHj.jpg")</f>
        <v>https://pbs.twimg.com/media/FzLUupMWwAAYRHj.jpg</v>
      </c>
      <c r="AW2975" s="80" t="s">
        <v>18741</v>
      </c>
      <c r="AX2975" s="80" t="s">
        <v>18741</v>
      </c>
      <c r="AY2975" s="77"/>
      <c r="AZ2975" s="80" t="s">
        <v>20380</v>
      </c>
      <c r="BA2975" s="80" t="s">
        <v>20380</v>
      </c>
      <c r="BB2975" s="80" t="s">
        <v>20380</v>
      </c>
      <c r="BC2975" s="80" t="s">
        <v>18741</v>
      </c>
      <c r="BD2975" s="80" t="s">
        <v>20965</v>
      </c>
      <c r="BE2975" s="77"/>
      <c r="BF2975" s="77"/>
      <c r="BG2975" s="77"/>
      <c r="BH2975" s="77"/>
      <c r="BI2975" s="77"/>
    </row>
    <row r="2976" spans="1:61" x14ac:dyDescent="0.25">
      <c r="A2976" s="62" t="s">
        <v>1180</v>
      </c>
      <c r="B2976" s="62" t="s">
        <v>1180</v>
      </c>
      <c r="C2976" s="63"/>
      <c r="D2976" s="64"/>
      <c r="E2976" s="65"/>
      <c r="F2976" s="66"/>
      <c r="G2976" s="63"/>
      <c r="H2976" s="67"/>
      <c r="I2976" s="68"/>
      <c r="J2976" s="68"/>
      <c r="K2976" s="32"/>
      <c r="L2976" s="75">
        <v>2976</v>
      </c>
      <c r="M2976" s="75"/>
      <c r="N2976" s="70"/>
      <c r="O2976" s="77" t="s">
        <v>179</v>
      </c>
      <c r="P2976" s="79">
        <v>45099.562199074076</v>
      </c>
      <c r="Q2976" s="77" t="s">
        <v>4724</v>
      </c>
      <c r="R2976" s="77">
        <v>1</v>
      </c>
      <c r="S2976" s="77">
        <v>3</v>
      </c>
      <c r="T2976" s="77">
        <v>0</v>
      </c>
      <c r="U2976" s="77">
        <v>0</v>
      </c>
      <c r="V2976" s="77">
        <v>92</v>
      </c>
      <c r="W2976" s="80" t="s">
        <v>7744</v>
      </c>
      <c r="X2976" s="77"/>
      <c r="Y2976" s="77"/>
      <c r="Z2976" s="77"/>
      <c r="AA2976" s="77" t="s">
        <v>10000</v>
      </c>
      <c r="AB2976" s="77" t="s">
        <v>10534</v>
      </c>
      <c r="AC2976" s="80" t="s">
        <v>10556</v>
      </c>
      <c r="AD2976" s="77" t="s">
        <v>10617</v>
      </c>
      <c r="AE2976" s="83" t="str">
        <f>HYPERLINK("https://twitter.com/taxialphaville/status/1671873059853090816")</f>
        <v>https://twitter.com/taxialphaville/status/1671873059853090816</v>
      </c>
      <c r="AF2976" s="79">
        <v>45099.562199074076</v>
      </c>
      <c r="AG2976" s="85">
        <v>45099</v>
      </c>
      <c r="AH2976" s="80" t="s">
        <v>13236</v>
      </c>
      <c r="AI2976" s="77" t="b">
        <v>0</v>
      </c>
      <c r="AJ2976" s="77"/>
      <c r="AK2976" s="77"/>
      <c r="AL2976" s="77"/>
      <c r="AM2976" s="77"/>
      <c r="AN2976" s="77"/>
      <c r="AO2976" s="77"/>
      <c r="AP2976" s="77"/>
      <c r="AQ2976" s="77" t="s">
        <v>15481</v>
      </c>
      <c r="AR2976" s="77">
        <v>360000</v>
      </c>
      <c r="AS2976" s="77"/>
      <c r="AT2976" s="77"/>
      <c r="AU2976" s="77"/>
      <c r="AV2976" s="83" t="str">
        <f>HYPERLINK("https://pbs.twimg.com/amplify_video_thumb/1671852853097553922/img/SdyDO7edgGq9psBt.jpg")</f>
        <v>https://pbs.twimg.com/amplify_video_thumb/1671852853097553922/img/SdyDO7edgGq9psBt.jpg</v>
      </c>
      <c r="AW2976" s="80" t="s">
        <v>18742</v>
      </c>
      <c r="AX2976" s="80" t="s">
        <v>18742</v>
      </c>
      <c r="AY2976" s="77"/>
      <c r="AZ2976" s="80" t="s">
        <v>20380</v>
      </c>
      <c r="BA2976" s="80" t="s">
        <v>20380</v>
      </c>
      <c r="BB2976" s="80" t="s">
        <v>20380</v>
      </c>
      <c r="BC2976" s="80" t="s">
        <v>18742</v>
      </c>
      <c r="BD2976" s="77">
        <v>1431742526</v>
      </c>
      <c r="BE2976" s="77"/>
      <c r="BF2976" s="77"/>
      <c r="BG2976" s="77"/>
      <c r="BH2976" s="77"/>
      <c r="BI2976" s="77"/>
    </row>
    <row r="2977" spans="1:61" x14ac:dyDescent="0.25">
      <c r="A2977" s="62" t="s">
        <v>1181</v>
      </c>
      <c r="B2977" s="62" t="s">
        <v>1181</v>
      </c>
      <c r="C2977" s="63"/>
      <c r="D2977" s="64"/>
      <c r="E2977" s="65"/>
      <c r="F2977" s="66"/>
      <c r="G2977" s="63"/>
      <c r="H2977" s="67"/>
      <c r="I2977" s="68"/>
      <c r="J2977" s="68"/>
      <c r="K2977" s="32"/>
      <c r="L2977" s="75">
        <v>2977</v>
      </c>
      <c r="M2977" s="75"/>
      <c r="N2977" s="70"/>
      <c r="O2977" s="77" t="s">
        <v>179</v>
      </c>
      <c r="P2977" s="79">
        <v>45150.712581018517</v>
      </c>
      <c r="Q2977" s="77" t="s">
        <v>4725</v>
      </c>
      <c r="R2977" s="77">
        <v>0</v>
      </c>
      <c r="S2977" s="77">
        <v>1</v>
      </c>
      <c r="T2977" s="77">
        <v>0</v>
      </c>
      <c r="U2977" s="77">
        <v>0</v>
      </c>
      <c r="V2977" s="77">
        <v>54</v>
      </c>
      <c r="W2977" s="80" t="s">
        <v>5940</v>
      </c>
      <c r="X2977" s="83" t="str">
        <f>HYPERLINK("https://infoflash.com.br/campos-neto-diz-que-pix-podera-ser-alternativa-para-cartao-de-credito-e-emprestimos/")</f>
        <v>https://infoflash.com.br/campos-neto-diz-que-pix-podera-ser-alternativa-para-cartao-de-credito-e-emprestimos/</v>
      </c>
      <c r="Y2977" s="77" t="s">
        <v>8611</v>
      </c>
      <c r="Z2977" s="77"/>
      <c r="AA2977" s="77" t="s">
        <v>10001</v>
      </c>
      <c r="AB2977" s="77" t="s">
        <v>10535</v>
      </c>
      <c r="AC2977" s="80" t="s">
        <v>10601</v>
      </c>
      <c r="AD2977" s="77" t="s">
        <v>10617</v>
      </c>
      <c r="AE2977" s="83" t="str">
        <f>HYPERLINK("https://twitter.com/infoflashbr/status/1690409337661919233")</f>
        <v>https://twitter.com/infoflashbr/status/1690409337661919233</v>
      </c>
      <c r="AF2977" s="79">
        <v>45150.712581018517</v>
      </c>
      <c r="AG2977" s="85">
        <v>45150</v>
      </c>
      <c r="AH2977" s="80" t="s">
        <v>13237</v>
      </c>
      <c r="AI2977" s="77" t="b">
        <v>0</v>
      </c>
      <c r="AJ2977" s="77"/>
      <c r="AK2977" s="77"/>
      <c r="AL2977" s="77"/>
      <c r="AM2977" s="77"/>
      <c r="AN2977" s="77"/>
      <c r="AO2977" s="77"/>
      <c r="AP2977" s="77"/>
      <c r="AQ2977" s="77" t="s">
        <v>15482</v>
      </c>
      <c r="AR2977" s="77"/>
      <c r="AS2977" s="77"/>
      <c r="AT2977" s="77"/>
      <c r="AU2977" s="77"/>
      <c r="AV2977" s="83" t="str">
        <f>HYPERLINK("https://pbs.twimg.com/media/F3WKVYYWMAEnfTH.jpg")</f>
        <v>https://pbs.twimg.com/media/F3WKVYYWMAEnfTH.jpg</v>
      </c>
      <c r="AW2977" s="80" t="s">
        <v>18743</v>
      </c>
      <c r="AX2977" s="80" t="s">
        <v>18743</v>
      </c>
      <c r="AY2977" s="77"/>
      <c r="AZ2977" s="80" t="s">
        <v>20380</v>
      </c>
      <c r="BA2977" s="80" t="s">
        <v>20380</v>
      </c>
      <c r="BB2977" s="80" t="s">
        <v>20380</v>
      </c>
      <c r="BC2977" s="80" t="s">
        <v>18743</v>
      </c>
      <c r="BD2977" s="80" t="s">
        <v>20966</v>
      </c>
      <c r="BE2977" s="77"/>
      <c r="BF2977" s="77"/>
      <c r="BG2977" s="77"/>
      <c r="BH2977" s="77"/>
      <c r="BI2977" s="77"/>
    </row>
    <row r="2978" spans="1:61" x14ac:dyDescent="0.25">
      <c r="A2978" s="62" t="s">
        <v>1181</v>
      </c>
      <c r="B2978" s="62" t="s">
        <v>1181</v>
      </c>
      <c r="C2978" s="63"/>
      <c r="D2978" s="64"/>
      <c r="E2978" s="65"/>
      <c r="F2978" s="66"/>
      <c r="G2978" s="63"/>
      <c r="H2978" s="67"/>
      <c r="I2978" s="68"/>
      <c r="J2978" s="68"/>
      <c r="K2978" s="32"/>
      <c r="L2978" s="75">
        <v>2978</v>
      </c>
      <c r="M2978" s="75"/>
      <c r="N2978" s="70"/>
      <c r="O2978" s="77" t="s">
        <v>179</v>
      </c>
      <c r="P2978" s="79">
        <v>45153.48101851852</v>
      </c>
      <c r="Q2978" s="77" t="s">
        <v>4726</v>
      </c>
      <c r="R2978" s="77">
        <v>0</v>
      </c>
      <c r="S2978" s="77">
        <v>0</v>
      </c>
      <c r="T2978" s="77">
        <v>0</v>
      </c>
      <c r="U2978" s="77">
        <v>0</v>
      </c>
      <c r="V2978" s="77">
        <v>30</v>
      </c>
      <c r="W2978" s="80" t="s">
        <v>5884</v>
      </c>
      <c r="X2978" s="83" t="str">
        <f>HYPERLINK("https://infoflash.com.br/mercado-eleva-para-229-projecao-do-crescimento-da-economia-em-2023-mostra-boletim-focus/")</f>
        <v>https://infoflash.com.br/mercado-eleva-para-229-projecao-do-crescimento-da-economia-em-2023-mostra-boletim-focus/</v>
      </c>
      <c r="Y2978" s="77" t="s">
        <v>8611</v>
      </c>
      <c r="Z2978" s="77"/>
      <c r="AA2978" s="77" t="s">
        <v>10002</v>
      </c>
      <c r="AB2978" s="77" t="s">
        <v>10535</v>
      </c>
      <c r="AC2978" s="80" t="s">
        <v>10601</v>
      </c>
      <c r="AD2978" s="77" t="s">
        <v>10617</v>
      </c>
      <c r="AE2978" s="83" t="str">
        <f>HYPERLINK("https://twitter.com/infoflashbr/status/1691412586837716993")</f>
        <v>https://twitter.com/infoflashbr/status/1691412586837716993</v>
      </c>
      <c r="AF2978" s="79">
        <v>45153.48101851852</v>
      </c>
      <c r="AG2978" s="85">
        <v>45153</v>
      </c>
      <c r="AH2978" s="80" t="s">
        <v>13238</v>
      </c>
      <c r="AI2978" s="77" t="b">
        <v>0</v>
      </c>
      <c r="AJ2978" s="77"/>
      <c r="AK2978" s="77"/>
      <c r="AL2978" s="77"/>
      <c r="AM2978" s="77"/>
      <c r="AN2978" s="77"/>
      <c r="AO2978" s="77"/>
      <c r="AP2978" s="77"/>
      <c r="AQ2978" s="77" t="s">
        <v>15483</v>
      </c>
      <c r="AR2978" s="77"/>
      <c r="AS2978" s="77"/>
      <c r="AT2978" s="77"/>
      <c r="AU2978" s="77"/>
      <c r="AV2978" s="83" t="str">
        <f>HYPERLINK("https://pbs.twimg.com/media/F3kayMIXAAANlxo.jpg")</f>
        <v>https://pbs.twimg.com/media/F3kayMIXAAANlxo.jpg</v>
      </c>
      <c r="AW2978" s="80" t="s">
        <v>18744</v>
      </c>
      <c r="AX2978" s="80" t="s">
        <v>18744</v>
      </c>
      <c r="AY2978" s="77"/>
      <c r="AZ2978" s="80" t="s">
        <v>20380</v>
      </c>
      <c r="BA2978" s="80" t="s">
        <v>20380</v>
      </c>
      <c r="BB2978" s="80" t="s">
        <v>20380</v>
      </c>
      <c r="BC2978" s="80" t="s">
        <v>18744</v>
      </c>
      <c r="BD2978" s="80" t="s">
        <v>20966</v>
      </c>
      <c r="BE2978" s="77"/>
      <c r="BF2978" s="77"/>
      <c r="BG2978" s="77"/>
      <c r="BH2978" s="77"/>
      <c r="BI2978" s="77"/>
    </row>
    <row r="2979" spans="1:61" x14ac:dyDescent="0.25">
      <c r="A2979" s="62" t="s">
        <v>1181</v>
      </c>
      <c r="B2979" s="62" t="s">
        <v>1181</v>
      </c>
      <c r="C2979" s="63"/>
      <c r="D2979" s="64"/>
      <c r="E2979" s="65"/>
      <c r="F2979" s="66"/>
      <c r="G2979" s="63"/>
      <c r="H2979" s="67"/>
      <c r="I2979" s="68"/>
      <c r="J2979" s="68"/>
      <c r="K2979" s="32"/>
      <c r="L2979" s="75">
        <v>2979</v>
      </c>
      <c r="M2979" s="75"/>
      <c r="N2979" s="70"/>
      <c r="O2979" s="77" t="s">
        <v>179</v>
      </c>
      <c r="P2979" s="79">
        <v>45180.970694444448</v>
      </c>
      <c r="Q2979" s="77" t="s">
        <v>4727</v>
      </c>
      <c r="R2979" s="77">
        <v>0</v>
      </c>
      <c r="S2979" s="77">
        <v>0</v>
      </c>
      <c r="T2979" s="77">
        <v>0</v>
      </c>
      <c r="U2979" s="77">
        <v>0</v>
      </c>
      <c r="V2979" s="77">
        <v>51</v>
      </c>
      <c r="W2979" s="80" t="s">
        <v>7745</v>
      </c>
      <c r="X2979" s="83" t="str">
        <f>HYPERLINK("https://infoflash.com.br/banco-central-informa-que-correntistas-ainda-tem-r-72-bilhoes-esquecidos-em-contas-inativas/")</f>
        <v>https://infoflash.com.br/banco-central-informa-que-correntistas-ainda-tem-r-72-bilhoes-esquecidos-em-contas-inativas/</v>
      </c>
      <c r="Y2979" s="77" t="s">
        <v>8611</v>
      </c>
      <c r="Z2979" s="77"/>
      <c r="AA2979" s="77" t="s">
        <v>10003</v>
      </c>
      <c r="AB2979" s="77" t="s">
        <v>10535</v>
      </c>
      <c r="AC2979" s="80" t="s">
        <v>10602</v>
      </c>
      <c r="AD2979" s="77" t="s">
        <v>10617</v>
      </c>
      <c r="AE2979" s="83" t="str">
        <f>HYPERLINK("https://twitter.com/infoflashbr/status/1701374511440887888")</f>
        <v>https://twitter.com/infoflashbr/status/1701374511440887888</v>
      </c>
      <c r="AF2979" s="79">
        <v>45180.970694444448</v>
      </c>
      <c r="AG2979" s="85">
        <v>45180</v>
      </c>
      <c r="AH2979" s="80" t="s">
        <v>13239</v>
      </c>
      <c r="AI2979" s="77" t="b">
        <v>0</v>
      </c>
      <c r="AJ2979" s="77"/>
      <c r="AK2979" s="77"/>
      <c r="AL2979" s="77"/>
      <c r="AM2979" s="77"/>
      <c r="AN2979" s="77"/>
      <c r="AO2979" s="77"/>
      <c r="AP2979" s="77"/>
      <c r="AQ2979" s="77" t="s">
        <v>15484</v>
      </c>
      <c r="AR2979" s="77"/>
      <c r="AS2979" s="77"/>
      <c r="AT2979" s="77"/>
      <c r="AU2979" s="77"/>
      <c r="AV2979" s="83" t="str">
        <f>HYPERLINK("https://pbs.twimg.com/media/F5x_GhKXkAAS7qd.jpg")</f>
        <v>https://pbs.twimg.com/media/F5x_GhKXkAAS7qd.jpg</v>
      </c>
      <c r="AW2979" s="80" t="s">
        <v>18745</v>
      </c>
      <c r="AX2979" s="80" t="s">
        <v>18745</v>
      </c>
      <c r="AY2979" s="77"/>
      <c r="AZ2979" s="80" t="s">
        <v>20380</v>
      </c>
      <c r="BA2979" s="80" t="s">
        <v>20380</v>
      </c>
      <c r="BB2979" s="80" t="s">
        <v>20380</v>
      </c>
      <c r="BC2979" s="80" t="s">
        <v>18745</v>
      </c>
      <c r="BD2979" s="80" t="s">
        <v>20966</v>
      </c>
      <c r="BE2979" s="77"/>
      <c r="BF2979" s="77"/>
      <c r="BG2979" s="77"/>
      <c r="BH2979" s="77"/>
      <c r="BI2979" s="77"/>
    </row>
    <row r="2980" spans="1:61" x14ac:dyDescent="0.25">
      <c r="A2980" s="62" t="s">
        <v>1182</v>
      </c>
      <c r="B2980" s="62" t="s">
        <v>1248</v>
      </c>
      <c r="C2980" s="63"/>
      <c r="D2980" s="64"/>
      <c r="E2980" s="65"/>
      <c r="F2980" s="66"/>
      <c r="G2980" s="63"/>
      <c r="H2980" s="67"/>
      <c r="I2980" s="68"/>
      <c r="J2980" s="68"/>
      <c r="K2980" s="32"/>
      <c r="L2980" s="75">
        <v>2980</v>
      </c>
      <c r="M2980" s="75"/>
      <c r="N2980" s="70"/>
      <c r="O2980" s="77" t="s">
        <v>2083</v>
      </c>
      <c r="P2980" s="79">
        <v>45189.602847222224</v>
      </c>
      <c r="Q2980" s="77" t="s">
        <v>4728</v>
      </c>
      <c r="R2980" s="77">
        <v>2</v>
      </c>
      <c r="S2980" s="77">
        <v>0</v>
      </c>
      <c r="T2980" s="77">
        <v>0</v>
      </c>
      <c r="U2980" s="77">
        <v>0</v>
      </c>
      <c r="V2980" s="77"/>
      <c r="W2980" s="77"/>
      <c r="X2980" s="77"/>
      <c r="Y2980" s="77"/>
      <c r="Z2980" s="77" t="s">
        <v>1248</v>
      </c>
      <c r="AA2980" s="77"/>
      <c r="AB2980" s="77"/>
      <c r="AC2980" s="80" t="s">
        <v>10540</v>
      </c>
      <c r="AD2980" s="77" t="s">
        <v>10617</v>
      </c>
      <c r="AE2980" s="83" t="str">
        <f>HYPERLINK("https://twitter.com/ardmoficial_/status/1704502701281681696")</f>
        <v>https://twitter.com/ardmoficial_/status/1704502701281681696</v>
      </c>
      <c r="AF2980" s="79">
        <v>45189.602847222224</v>
      </c>
      <c r="AG2980" s="85">
        <v>45189</v>
      </c>
      <c r="AH2980" s="80" t="s">
        <v>13240</v>
      </c>
      <c r="AI2980" s="77"/>
      <c r="AJ2980" s="77"/>
      <c r="AK2980" s="77"/>
      <c r="AL2980" s="77"/>
      <c r="AM2980" s="77"/>
      <c r="AN2980" s="77"/>
      <c r="AO2980" s="77"/>
      <c r="AP2980" s="77"/>
      <c r="AQ2980" s="77"/>
      <c r="AR2980" s="77"/>
      <c r="AS2980" s="77"/>
      <c r="AT2980" s="77"/>
      <c r="AU2980" s="77"/>
      <c r="AV2980" s="83" t="str">
        <f>HYPERLINK("https://pbs.twimg.com/profile_images/1646201494008479771/l_PbO52J_normal.jpg")</f>
        <v>https://pbs.twimg.com/profile_images/1646201494008479771/l_PbO52J_normal.jpg</v>
      </c>
      <c r="AW2980" s="80" t="s">
        <v>18746</v>
      </c>
      <c r="AX2980" s="80" t="s">
        <v>18746</v>
      </c>
      <c r="AY2980" s="77"/>
      <c r="AZ2980" s="80" t="s">
        <v>20380</v>
      </c>
      <c r="BA2980" s="80" t="s">
        <v>20380</v>
      </c>
      <c r="BB2980" s="80" t="s">
        <v>18879</v>
      </c>
      <c r="BC2980" s="80" t="s">
        <v>18879</v>
      </c>
      <c r="BD2980" s="80" t="s">
        <v>20967</v>
      </c>
      <c r="BE2980" s="77"/>
      <c r="BF2980" s="77"/>
      <c r="BG2980" s="77"/>
      <c r="BH2980" s="77"/>
      <c r="BI2980" s="77"/>
    </row>
    <row r="2981" spans="1:61" x14ac:dyDescent="0.25">
      <c r="A2981" s="62" t="s">
        <v>1183</v>
      </c>
      <c r="B2981" s="62" t="s">
        <v>1183</v>
      </c>
      <c r="C2981" s="63"/>
      <c r="D2981" s="64"/>
      <c r="E2981" s="65"/>
      <c r="F2981" s="66"/>
      <c r="G2981" s="63"/>
      <c r="H2981" s="67"/>
      <c r="I2981" s="68"/>
      <c r="J2981" s="68"/>
      <c r="K2981" s="32"/>
      <c r="L2981" s="75">
        <v>2981</v>
      </c>
      <c r="M2981" s="75"/>
      <c r="N2981" s="70"/>
      <c r="O2981" s="77" t="s">
        <v>179</v>
      </c>
      <c r="P2981" s="79">
        <v>45074.921909722223</v>
      </c>
      <c r="Q2981" s="77" t="s">
        <v>4729</v>
      </c>
      <c r="R2981" s="77">
        <v>0</v>
      </c>
      <c r="S2981" s="77">
        <v>0</v>
      </c>
      <c r="T2981" s="77">
        <v>0</v>
      </c>
      <c r="U2981" s="77">
        <v>0</v>
      </c>
      <c r="V2981" s="77">
        <v>48</v>
      </c>
      <c r="W2981" s="80" t="s">
        <v>7746</v>
      </c>
      <c r="X2981" s="77"/>
      <c r="Y2981" s="77"/>
      <c r="Z2981" s="77"/>
      <c r="AA2981" s="77" t="s">
        <v>10004</v>
      </c>
      <c r="AB2981" s="77" t="s">
        <v>10534</v>
      </c>
      <c r="AC2981" s="80" t="s">
        <v>10540</v>
      </c>
      <c r="AD2981" s="77" t="s">
        <v>10620</v>
      </c>
      <c r="AE2981" s="83" t="str">
        <f>HYPERLINK("https://twitter.com/ramonfreirereal/status/1662943719480328193")</f>
        <v>https://twitter.com/ramonfreirereal/status/1662943719480328193</v>
      </c>
      <c r="AF2981" s="79">
        <v>45074.921909722223</v>
      </c>
      <c r="AG2981" s="85">
        <v>45074</v>
      </c>
      <c r="AH2981" s="80" t="s">
        <v>13241</v>
      </c>
      <c r="AI2981" s="77" t="b">
        <v>0</v>
      </c>
      <c r="AJ2981" s="77"/>
      <c r="AK2981" s="77"/>
      <c r="AL2981" s="77"/>
      <c r="AM2981" s="77"/>
      <c r="AN2981" s="77"/>
      <c r="AO2981" s="77"/>
      <c r="AP2981" s="77"/>
      <c r="AQ2981" s="77" t="s">
        <v>15485</v>
      </c>
      <c r="AR2981" s="77">
        <v>7569</v>
      </c>
      <c r="AS2981" s="77"/>
      <c r="AT2981" s="77"/>
      <c r="AU2981" s="77"/>
      <c r="AV2981" s="83" t="str">
        <f>HYPERLINK("https://pbs.twimg.com/ext_tw_video_thumb/1662943696713555969/pu/img/psVfDuAfhdipptTr.jpg")</f>
        <v>https://pbs.twimg.com/ext_tw_video_thumb/1662943696713555969/pu/img/psVfDuAfhdipptTr.jpg</v>
      </c>
      <c r="AW2981" s="80" t="s">
        <v>18747</v>
      </c>
      <c r="AX2981" s="80" t="s">
        <v>18747</v>
      </c>
      <c r="AY2981" s="77"/>
      <c r="AZ2981" s="80" t="s">
        <v>20380</v>
      </c>
      <c r="BA2981" s="80" t="s">
        <v>20380</v>
      </c>
      <c r="BB2981" s="80" t="s">
        <v>20380</v>
      </c>
      <c r="BC2981" s="80" t="s">
        <v>18747</v>
      </c>
      <c r="BD2981" s="80" t="s">
        <v>20968</v>
      </c>
      <c r="BE2981" s="77"/>
      <c r="BF2981" s="77"/>
      <c r="BG2981" s="77"/>
      <c r="BH2981" s="77"/>
      <c r="BI2981" s="77"/>
    </row>
    <row r="2982" spans="1:61" x14ac:dyDescent="0.25">
      <c r="A2982" s="62" t="s">
        <v>1184</v>
      </c>
      <c r="B2982" s="62" t="s">
        <v>1208</v>
      </c>
      <c r="C2982" s="63"/>
      <c r="D2982" s="64"/>
      <c r="E2982" s="65"/>
      <c r="F2982" s="66"/>
      <c r="G2982" s="63"/>
      <c r="H2982" s="67"/>
      <c r="I2982" s="68"/>
      <c r="J2982" s="68"/>
      <c r="K2982" s="32"/>
      <c r="L2982" s="75">
        <v>2982</v>
      </c>
      <c r="M2982" s="75"/>
      <c r="N2982" s="70"/>
      <c r="O2982" s="77" t="s">
        <v>2083</v>
      </c>
      <c r="P2982" s="79">
        <v>45191.958333333336</v>
      </c>
      <c r="Q2982" s="77" t="s">
        <v>4730</v>
      </c>
      <c r="R2982" s="77">
        <v>2</v>
      </c>
      <c r="S2982" s="77">
        <v>0</v>
      </c>
      <c r="T2982" s="77">
        <v>0</v>
      </c>
      <c r="U2982" s="77">
        <v>0</v>
      </c>
      <c r="V2982" s="77"/>
      <c r="W2982" s="80" t="s">
        <v>6510</v>
      </c>
      <c r="X2982" s="77"/>
      <c r="Y2982" s="77"/>
      <c r="Z2982" s="77" t="s">
        <v>1208</v>
      </c>
      <c r="AA2982" s="77"/>
      <c r="AB2982" s="77"/>
      <c r="AC2982" s="80" t="s">
        <v>10541</v>
      </c>
      <c r="AD2982" s="77" t="s">
        <v>10620</v>
      </c>
      <c r="AE2982" s="83" t="str">
        <f>HYPERLINK("https://twitter.com/ferado2014/status/1705356297867038772")</f>
        <v>https://twitter.com/ferado2014/status/1705356297867038772</v>
      </c>
      <c r="AF2982" s="79">
        <v>45191.958333333336</v>
      </c>
      <c r="AG2982" s="85">
        <v>45191</v>
      </c>
      <c r="AH2982" s="80" t="s">
        <v>10891</v>
      </c>
      <c r="AI2982" s="77"/>
      <c r="AJ2982" s="77"/>
      <c r="AK2982" s="77"/>
      <c r="AL2982" s="77"/>
      <c r="AM2982" s="77"/>
      <c r="AN2982" s="77"/>
      <c r="AO2982" s="77"/>
      <c r="AP2982" s="77"/>
      <c r="AQ2982" s="77"/>
      <c r="AR2982" s="77"/>
      <c r="AS2982" s="77"/>
      <c r="AT2982" s="77"/>
      <c r="AU2982" s="77"/>
      <c r="AV2982" s="83" t="str">
        <f>HYPERLINK("https://pbs.twimg.com/profile_images/868076429937967104/wcVDTaGe_normal.jpg")</f>
        <v>https://pbs.twimg.com/profile_images/868076429937967104/wcVDTaGe_normal.jpg</v>
      </c>
      <c r="AW2982" s="80" t="s">
        <v>18748</v>
      </c>
      <c r="AX2982" s="80" t="s">
        <v>18748</v>
      </c>
      <c r="AY2982" s="77"/>
      <c r="AZ2982" s="80" t="s">
        <v>20380</v>
      </c>
      <c r="BA2982" s="80" t="s">
        <v>20380</v>
      </c>
      <c r="BB2982" s="80" t="s">
        <v>18804</v>
      </c>
      <c r="BC2982" s="80" t="s">
        <v>18804</v>
      </c>
      <c r="BD2982" s="77">
        <v>2629017858</v>
      </c>
      <c r="BE2982" s="77"/>
      <c r="BF2982" s="77"/>
      <c r="BG2982" s="77"/>
      <c r="BH2982" s="77"/>
      <c r="BI2982" s="77"/>
    </row>
    <row r="2983" spans="1:61" x14ac:dyDescent="0.25">
      <c r="A2983" s="62" t="s">
        <v>1185</v>
      </c>
      <c r="B2983" s="62" t="s">
        <v>1978</v>
      </c>
      <c r="C2983" s="63"/>
      <c r="D2983" s="64"/>
      <c r="E2983" s="65"/>
      <c r="F2983" s="66"/>
      <c r="G2983" s="63"/>
      <c r="H2983" s="67"/>
      <c r="I2983" s="68"/>
      <c r="J2983" s="68"/>
      <c r="K2983" s="32"/>
      <c r="L2983" s="75">
        <v>2983</v>
      </c>
      <c r="M2983" s="75"/>
      <c r="N2983" s="70"/>
      <c r="O2983" s="77" t="s">
        <v>2081</v>
      </c>
      <c r="P2983" s="79">
        <v>45181.619606481479</v>
      </c>
      <c r="Q2983" s="77" t="s">
        <v>4731</v>
      </c>
      <c r="R2983" s="77">
        <v>1</v>
      </c>
      <c r="S2983" s="77">
        <v>2</v>
      </c>
      <c r="T2983" s="77">
        <v>5</v>
      </c>
      <c r="U2983" s="77">
        <v>1</v>
      </c>
      <c r="V2983" s="77">
        <v>524</v>
      </c>
      <c r="W2983" s="80" t="s">
        <v>7747</v>
      </c>
      <c r="X2983" s="77"/>
      <c r="Y2983" s="77"/>
      <c r="Z2983" s="77" t="s">
        <v>1978</v>
      </c>
      <c r="AA2983" s="77" t="s">
        <v>10005</v>
      </c>
      <c r="AB2983" s="77" t="s">
        <v>10535</v>
      </c>
      <c r="AC2983" s="80" t="s">
        <v>10540</v>
      </c>
      <c r="AD2983" s="77" t="s">
        <v>10617</v>
      </c>
      <c r="AE2983" s="83" t="str">
        <f>HYPERLINK("https://twitter.com/guscard0s0/status/1701609671474524516")</f>
        <v>https://twitter.com/guscard0s0/status/1701609671474524516</v>
      </c>
      <c r="AF2983" s="79">
        <v>45181.619606481479</v>
      </c>
      <c r="AG2983" s="85">
        <v>45181</v>
      </c>
      <c r="AH2983" s="80" t="s">
        <v>12099</v>
      </c>
      <c r="AI2983" s="77" t="b">
        <v>0</v>
      </c>
      <c r="AJ2983" s="77"/>
      <c r="AK2983" s="77"/>
      <c r="AL2983" s="77"/>
      <c r="AM2983" s="77"/>
      <c r="AN2983" s="77"/>
      <c r="AO2983" s="77"/>
      <c r="AP2983" s="77"/>
      <c r="AQ2983" s="77" t="s">
        <v>15486</v>
      </c>
      <c r="AR2983" s="77"/>
      <c r="AS2983" s="77"/>
      <c r="AT2983" s="77"/>
      <c r="AU2983" s="77"/>
      <c r="AV2983" s="83" t="str">
        <f>HYPERLINK("https://pbs.twimg.com/media/F51U-mMboAE7m9m.jpg")</f>
        <v>https://pbs.twimg.com/media/F51U-mMboAE7m9m.jpg</v>
      </c>
      <c r="AW2983" s="80" t="s">
        <v>18749</v>
      </c>
      <c r="AX2983" s="80" t="s">
        <v>18749</v>
      </c>
      <c r="AY2983" s="80" t="s">
        <v>20329</v>
      </c>
      <c r="AZ2983" s="80" t="s">
        <v>20380</v>
      </c>
      <c r="BA2983" s="80" t="s">
        <v>20380</v>
      </c>
      <c r="BB2983" s="80" t="s">
        <v>20380</v>
      </c>
      <c r="BC2983" s="80" t="s">
        <v>18749</v>
      </c>
      <c r="BD2983" s="80" t="s">
        <v>20969</v>
      </c>
      <c r="BE2983" s="77"/>
      <c r="BF2983" s="77"/>
      <c r="BG2983" s="77"/>
      <c r="BH2983" s="77"/>
      <c r="BI2983" s="77"/>
    </row>
    <row r="2984" spans="1:61" x14ac:dyDescent="0.25">
      <c r="A2984" s="62" t="s">
        <v>1186</v>
      </c>
      <c r="B2984" s="62" t="s">
        <v>1186</v>
      </c>
      <c r="C2984" s="63"/>
      <c r="D2984" s="64"/>
      <c r="E2984" s="65"/>
      <c r="F2984" s="66"/>
      <c r="G2984" s="63"/>
      <c r="H2984" s="67"/>
      <c r="I2984" s="68"/>
      <c r="J2984" s="68"/>
      <c r="K2984" s="32"/>
      <c r="L2984" s="75">
        <v>2984</v>
      </c>
      <c r="M2984" s="75"/>
      <c r="N2984" s="70"/>
      <c r="O2984" s="77" t="s">
        <v>179</v>
      </c>
      <c r="P2984" s="79">
        <v>45190.24422453704</v>
      </c>
      <c r="Q2984" s="77" t="s">
        <v>4732</v>
      </c>
      <c r="R2984" s="77">
        <v>0</v>
      </c>
      <c r="S2984" s="77">
        <v>0</v>
      </c>
      <c r="T2984" s="77">
        <v>0</v>
      </c>
      <c r="U2984" s="77">
        <v>0</v>
      </c>
      <c r="V2984" s="77">
        <v>14</v>
      </c>
      <c r="W2984" s="80" t="s">
        <v>5884</v>
      </c>
      <c r="X2984" s="83" t="str">
        <f>HYPERLINK("https://www.bcentral.cl/contenido/-/detalle/banco-central-publica-estadisticas-valor-mercado-vivienda-vmv")</f>
        <v>https://www.bcentral.cl/contenido/-/detalle/banco-central-publica-estadisticas-valor-mercado-vivienda-vmv</v>
      </c>
      <c r="Y2984" s="77" t="s">
        <v>8679</v>
      </c>
      <c r="Z2984" s="77"/>
      <c r="AA2984" s="77"/>
      <c r="AB2984" s="77"/>
      <c r="AC2984" s="80" t="s">
        <v>10540</v>
      </c>
      <c r="AD2984" s="77" t="s">
        <v>10620</v>
      </c>
      <c r="AE2984" s="83" t="str">
        <f>HYPERLINK("https://twitter.com/nemocan/status/1704735126280683771")</f>
        <v>https://twitter.com/nemocan/status/1704735126280683771</v>
      </c>
      <c r="AF2984" s="79">
        <v>45190.24422453704</v>
      </c>
      <c r="AG2984" s="85">
        <v>45190</v>
      </c>
      <c r="AH2984" s="80" t="s">
        <v>13242</v>
      </c>
      <c r="AI2984" s="77" t="b">
        <v>0</v>
      </c>
      <c r="AJ2984" s="77"/>
      <c r="AK2984" s="77"/>
      <c r="AL2984" s="77"/>
      <c r="AM2984" s="77"/>
      <c r="AN2984" s="77"/>
      <c r="AO2984" s="77"/>
      <c r="AP2984" s="77"/>
      <c r="AQ2984" s="77"/>
      <c r="AR2984" s="77"/>
      <c r="AS2984" s="77"/>
      <c r="AT2984" s="77"/>
      <c r="AU2984" s="77"/>
      <c r="AV2984" s="83" t="str">
        <f>HYPERLINK("https://pbs.twimg.com/profile_images/486122864844996608/SLWYENvs_normal.jpeg")</f>
        <v>https://pbs.twimg.com/profile_images/486122864844996608/SLWYENvs_normal.jpeg</v>
      </c>
      <c r="AW2984" s="80" t="s">
        <v>18750</v>
      </c>
      <c r="AX2984" s="80" t="s">
        <v>18750</v>
      </c>
      <c r="AY2984" s="77"/>
      <c r="AZ2984" s="80" t="s">
        <v>20380</v>
      </c>
      <c r="BA2984" s="80" t="s">
        <v>20380</v>
      </c>
      <c r="BB2984" s="80" t="s">
        <v>20380</v>
      </c>
      <c r="BC2984" s="80" t="s">
        <v>18750</v>
      </c>
      <c r="BD2984" s="77">
        <v>120003503</v>
      </c>
      <c r="BE2984" s="77"/>
      <c r="BF2984" s="77"/>
      <c r="BG2984" s="77"/>
      <c r="BH2984" s="77"/>
      <c r="BI2984" s="77"/>
    </row>
    <row r="2985" spans="1:61" x14ac:dyDescent="0.25">
      <c r="A2985" s="62" t="s">
        <v>1187</v>
      </c>
      <c r="B2985" s="62" t="s">
        <v>1615</v>
      </c>
      <c r="C2985" s="63"/>
      <c r="D2985" s="64"/>
      <c r="E2985" s="65"/>
      <c r="F2985" s="66"/>
      <c r="G2985" s="63"/>
      <c r="H2985" s="67"/>
      <c r="I2985" s="68"/>
      <c r="J2985" s="68"/>
      <c r="K2985" s="32"/>
      <c r="L2985" s="75">
        <v>2985</v>
      </c>
      <c r="M2985" s="75"/>
      <c r="N2985" s="70"/>
      <c r="O2985" s="77" t="s">
        <v>2083</v>
      </c>
      <c r="P2985" s="79">
        <v>45196.492974537039</v>
      </c>
      <c r="Q2985" s="77" t="s">
        <v>2216</v>
      </c>
      <c r="R2985" s="77">
        <v>7</v>
      </c>
      <c r="S2985" s="77">
        <v>0</v>
      </c>
      <c r="T2985" s="77">
        <v>0</v>
      </c>
      <c r="U2985" s="77">
        <v>0</v>
      </c>
      <c r="V2985" s="77"/>
      <c r="W2985" s="80" t="s">
        <v>5997</v>
      </c>
      <c r="X2985" s="77"/>
      <c r="Y2985" s="77"/>
      <c r="Z2985" s="77" t="s">
        <v>1615</v>
      </c>
      <c r="AA2985" s="77" t="s">
        <v>9078</v>
      </c>
      <c r="AB2985" s="77" t="s">
        <v>10535</v>
      </c>
      <c r="AC2985" s="80" t="s">
        <v>10542</v>
      </c>
      <c r="AD2985" s="77" t="s">
        <v>10617</v>
      </c>
      <c r="AE2985" s="83" t="str">
        <f>HYPERLINK("https://twitter.com/flamingleo727/status/1706999597787238687")</f>
        <v>https://twitter.com/flamingleo727/status/1706999597787238687</v>
      </c>
      <c r="AF2985" s="79">
        <v>45196.492974537039</v>
      </c>
      <c r="AG2985" s="85">
        <v>45196</v>
      </c>
      <c r="AH2985" s="80" t="s">
        <v>13243</v>
      </c>
      <c r="AI2985" s="77" t="b">
        <v>0</v>
      </c>
      <c r="AJ2985" s="77"/>
      <c r="AK2985" s="77"/>
      <c r="AL2985" s="77"/>
      <c r="AM2985" s="77"/>
      <c r="AN2985" s="77"/>
      <c r="AO2985" s="77"/>
      <c r="AP2985" s="77"/>
      <c r="AQ2985" s="77" t="s">
        <v>14560</v>
      </c>
      <c r="AR2985" s="77"/>
      <c r="AS2985" s="77"/>
      <c r="AT2985" s="77"/>
      <c r="AU2985" s="77"/>
      <c r="AV2985" s="83" t="str">
        <f>HYPERLINK("https://pbs.twimg.com/media/F7BR3b-WUAEVt-O.jpg")</f>
        <v>https://pbs.twimg.com/media/F7BR3b-WUAEVt-O.jpg</v>
      </c>
      <c r="AW2985" s="80" t="s">
        <v>18751</v>
      </c>
      <c r="AX2985" s="80" t="s">
        <v>18751</v>
      </c>
      <c r="AY2985" s="77"/>
      <c r="AZ2985" s="80" t="s">
        <v>20380</v>
      </c>
      <c r="BA2985" s="80" t="s">
        <v>20380</v>
      </c>
      <c r="BB2985" s="80" t="s">
        <v>19742</v>
      </c>
      <c r="BC2985" s="80" t="s">
        <v>19742</v>
      </c>
      <c r="BD2985" s="77">
        <v>223841121</v>
      </c>
      <c r="BE2985" s="77"/>
      <c r="BF2985" s="77"/>
      <c r="BG2985" s="77"/>
      <c r="BH2985" s="77"/>
      <c r="BI2985" s="77"/>
    </row>
    <row r="2986" spans="1:61" x14ac:dyDescent="0.25">
      <c r="A2986" s="62" t="s">
        <v>1188</v>
      </c>
      <c r="B2986" s="62" t="s">
        <v>1188</v>
      </c>
      <c r="C2986" s="63"/>
      <c r="D2986" s="64"/>
      <c r="E2986" s="65"/>
      <c r="F2986" s="66"/>
      <c r="G2986" s="63"/>
      <c r="H2986" s="67"/>
      <c r="I2986" s="68"/>
      <c r="J2986" s="68"/>
      <c r="K2986" s="32"/>
      <c r="L2986" s="75">
        <v>2986</v>
      </c>
      <c r="M2986" s="75"/>
      <c r="N2986" s="70"/>
      <c r="O2986" s="77" t="s">
        <v>179</v>
      </c>
      <c r="P2986" s="79">
        <v>45197.490416666667</v>
      </c>
      <c r="Q2986" s="77" t="s">
        <v>4733</v>
      </c>
      <c r="R2986" s="77">
        <v>0</v>
      </c>
      <c r="S2986" s="77">
        <v>0</v>
      </c>
      <c r="T2986" s="77">
        <v>0</v>
      </c>
      <c r="U2986" s="77">
        <v>0</v>
      </c>
      <c r="V2986" s="77">
        <v>21</v>
      </c>
      <c r="W2986" s="80" t="s">
        <v>7748</v>
      </c>
      <c r="X2986" s="83" t="str">
        <f>HYPERLINK("https://www.pergaminovirtual.com.ar/amp/Massa-da-marcha-atras-con-la-medida-que-afectaba-a-MercadoPago-y-demas-billeteras-virtuales-8862.html")</f>
        <v>https://www.pergaminovirtual.com.ar/amp/Massa-da-marcha-atras-con-la-medida-que-afectaba-a-MercadoPago-y-demas-billeteras-virtuales-8862.html</v>
      </c>
      <c r="Y2986" s="77" t="s">
        <v>8624</v>
      </c>
      <c r="Z2986" s="77"/>
      <c r="AA2986" s="77" t="s">
        <v>10006</v>
      </c>
      <c r="AB2986" s="77" t="s">
        <v>10535</v>
      </c>
      <c r="AC2986" s="80" t="s">
        <v>10541</v>
      </c>
      <c r="AD2986" s="77" t="s">
        <v>10620</v>
      </c>
      <c r="AE2986" s="83" t="str">
        <f>HYPERLINK("https://twitter.com/pergaminovirtu1/status/1707361057885356320")</f>
        <v>https://twitter.com/pergaminovirtu1/status/1707361057885356320</v>
      </c>
      <c r="AF2986" s="79">
        <v>45197.490416666667</v>
      </c>
      <c r="AG2986" s="85">
        <v>45197</v>
      </c>
      <c r="AH2986" s="80" t="s">
        <v>13244</v>
      </c>
      <c r="AI2986" s="77" t="b">
        <v>0</v>
      </c>
      <c r="AJ2986" s="77"/>
      <c r="AK2986" s="77"/>
      <c r="AL2986" s="77"/>
      <c r="AM2986" s="77"/>
      <c r="AN2986" s="77"/>
      <c r="AO2986" s="77"/>
      <c r="AP2986" s="77"/>
      <c r="AQ2986" s="77" t="s">
        <v>15487</v>
      </c>
      <c r="AR2986" s="77"/>
      <c r="AS2986" s="77"/>
      <c r="AT2986" s="77"/>
      <c r="AU2986" s="77"/>
      <c r="AV2986" s="83" t="str">
        <f>HYPERLINK("https://pbs.twimg.com/media/F7HD1OqXYAAZjHt.jpg")</f>
        <v>https://pbs.twimg.com/media/F7HD1OqXYAAZjHt.jpg</v>
      </c>
      <c r="AW2986" s="80" t="s">
        <v>18752</v>
      </c>
      <c r="AX2986" s="80" t="s">
        <v>18752</v>
      </c>
      <c r="AY2986" s="77"/>
      <c r="AZ2986" s="80" t="s">
        <v>20380</v>
      </c>
      <c r="BA2986" s="80" t="s">
        <v>20380</v>
      </c>
      <c r="BB2986" s="80" t="s">
        <v>20380</v>
      </c>
      <c r="BC2986" s="80" t="s">
        <v>18752</v>
      </c>
      <c r="BD2986" s="80" t="s">
        <v>20970</v>
      </c>
      <c r="BE2986" s="77"/>
      <c r="BF2986" s="77"/>
      <c r="BG2986" s="77"/>
      <c r="BH2986" s="77"/>
      <c r="BI2986" s="77"/>
    </row>
    <row r="2987" spans="1:61" x14ac:dyDescent="0.25">
      <c r="A2987" s="62" t="s">
        <v>1189</v>
      </c>
      <c r="B2987" s="62" t="s">
        <v>1189</v>
      </c>
      <c r="C2987" s="63"/>
      <c r="D2987" s="64"/>
      <c r="E2987" s="65"/>
      <c r="F2987" s="66"/>
      <c r="G2987" s="63"/>
      <c r="H2987" s="67"/>
      <c r="I2987" s="68"/>
      <c r="J2987" s="68"/>
      <c r="K2987" s="32"/>
      <c r="L2987" s="75">
        <v>2987</v>
      </c>
      <c r="M2987" s="75"/>
      <c r="N2987" s="70"/>
      <c r="O2987" s="77" t="s">
        <v>179</v>
      </c>
      <c r="P2987" s="79">
        <v>45068.940671296295</v>
      </c>
      <c r="Q2987" s="77" t="s">
        <v>4734</v>
      </c>
      <c r="R2987" s="77">
        <v>0</v>
      </c>
      <c r="S2987" s="77">
        <v>13</v>
      </c>
      <c r="T2987" s="77">
        <v>0</v>
      </c>
      <c r="U2987" s="77">
        <v>0</v>
      </c>
      <c r="V2987" s="77">
        <v>92</v>
      </c>
      <c r="W2987" s="80" t="s">
        <v>7749</v>
      </c>
      <c r="X2987" s="83" t="str">
        <f>HYPERLINK("https://mptnoticias.com/el-banco-central-ya-puso-en-circulacion-el-nuevo-billete-de-2000/")</f>
        <v>https://mptnoticias.com/el-banco-central-ya-puso-en-circulacion-el-nuevo-billete-de-2000/</v>
      </c>
      <c r="Y2987" s="77" t="s">
        <v>8810</v>
      </c>
      <c r="Z2987" s="77"/>
      <c r="AA2987" s="77" t="s">
        <v>10007</v>
      </c>
      <c r="AB2987" s="77" t="s">
        <v>10535</v>
      </c>
      <c r="AC2987" s="80" t="s">
        <v>10603</v>
      </c>
      <c r="AD2987" s="77" t="s">
        <v>10620</v>
      </c>
      <c r="AE2987" s="83" t="str">
        <f>HYPERLINK("https://twitter.com/misionesptodos/status/1660776192608284673")</f>
        <v>https://twitter.com/misionesptodos/status/1660776192608284673</v>
      </c>
      <c r="AF2987" s="79">
        <v>45068.940671296295</v>
      </c>
      <c r="AG2987" s="85">
        <v>45068</v>
      </c>
      <c r="AH2987" s="80" t="s">
        <v>13245</v>
      </c>
      <c r="AI2987" s="77" t="b">
        <v>0</v>
      </c>
      <c r="AJ2987" s="77"/>
      <c r="AK2987" s="77"/>
      <c r="AL2987" s="77"/>
      <c r="AM2987" s="77"/>
      <c r="AN2987" s="77"/>
      <c r="AO2987" s="77"/>
      <c r="AP2987" s="77"/>
      <c r="AQ2987" s="77" t="s">
        <v>15488</v>
      </c>
      <c r="AR2987" s="77"/>
      <c r="AS2987" s="77"/>
      <c r="AT2987" s="77"/>
      <c r="AU2987" s="77"/>
      <c r="AV2987" s="83" t="str">
        <f>HYPERLINK("https://pbs.twimg.com/media/FwxDJFdWYAALa3S.jpg")</f>
        <v>https://pbs.twimg.com/media/FwxDJFdWYAALa3S.jpg</v>
      </c>
      <c r="AW2987" s="80" t="s">
        <v>18753</v>
      </c>
      <c r="AX2987" s="80" t="s">
        <v>18753</v>
      </c>
      <c r="AY2987" s="77"/>
      <c r="AZ2987" s="80" t="s">
        <v>20380</v>
      </c>
      <c r="BA2987" s="80" t="s">
        <v>20380</v>
      </c>
      <c r="BB2987" s="80" t="s">
        <v>20380</v>
      </c>
      <c r="BC2987" s="80" t="s">
        <v>18753</v>
      </c>
      <c r="BD2987" s="77">
        <v>430928385</v>
      </c>
      <c r="BE2987" s="77"/>
      <c r="BF2987" s="77"/>
      <c r="BG2987" s="77"/>
      <c r="BH2987" s="77"/>
      <c r="BI2987" s="77"/>
    </row>
    <row r="2988" spans="1:61" x14ac:dyDescent="0.25">
      <c r="A2988" s="62" t="s">
        <v>1189</v>
      </c>
      <c r="B2988" s="62" t="s">
        <v>1189</v>
      </c>
      <c r="C2988" s="63"/>
      <c r="D2988" s="64"/>
      <c r="E2988" s="65"/>
      <c r="F2988" s="66"/>
      <c r="G2988" s="63"/>
      <c r="H2988" s="67"/>
      <c r="I2988" s="68"/>
      <c r="J2988" s="68"/>
      <c r="K2988" s="32"/>
      <c r="L2988" s="75">
        <v>2988</v>
      </c>
      <c r="M2988" s="75"/>
      <c r="N2988" s="70"/>
      <c r="O2988" s="77" t="s">
        <v>179</v>
      </c>
      <c r="P2988" s="79">
        <v>45155.92597222222</v>
      </c>
      <c r="Q2988" s="77" t="s">
        <v>4735</v>
      </c>
      <c r="R2988" s="77">
        <v>0</v>
      </c>
      <c r="S2988" s="77">
        <v>14</v>
      </c>
      <c r="T2988" s="77">
        <v>1</v>
      </c>
      <c r="U2988" s="77">
        <v>0</v>
      </c>
      <c r="V2988" s="77">
        <v>112</v>
      </c>
      <c r="W2988" s="80" t="s">
        <v>7750</v>
      </c>
      <c r="X2988" s="83" t="str">
        <f>HYPERLINK("https://mptnoticias.com/el-dolar-blue-retrocedio-despues-de-tres-dias-de-escalada/")</f>
        <v>https://mptnoticias.com/el-dolar-blue-retrocedio-despues-de-tres-dias-de-escalada/</v>
      </c>
      <c r="Y2988" s="77" t="s">
        <v>8810</v>
      </c>
      <c r="Z2988" s="77"/>
      <c r="AA2988" s="77" t="s">
        <v>10008</v>
      </c>
      <c r="AB2988" s="77" t="s">
        <v>10535</v>
      </c>
      <c r="AC2988" s="80" t="s">
        <v>10604</v>
      </c>
      <c r="AD2988" s="77" t="s">
        <v>10620</v>
      </c>
      <c r="AE2988" s="83" t="str">
        <f>HYPERLINK("https://twitter.com/misionesptodos/status/1692298610128408938")</f>
        <v>https://twitter.com/misionesptodos/status/1692298610128408938</v>
      </c>
      <c r="AF2988" s="79">
        <v>45155.92597222222</v>
      </c>
      <c r="AG2988" s="85">
        <v>45155</v>
      </c>
      <c r="AH2988" s="80" t="s">
        <v>11842</v>
      </c>
      <c r="AI2988" s="77" t="b">
        <v>0</v>
      </c>
      <c r="AJ2988" s="77"/>
      <c r="AK2988" s="77"/>
      <c r="AL2988" s="77"/>
      <c r="AM2988" s="77"/>
      <c r="AN2988" s="77"/>
      <c r="AO2988" s="77"/>
      <c r="AP2988" s="77"/>
      <c r="AQ2988" s="77" t="s">
        <v>15489</v>
      </c>
      <c r="AR2988" s="77"/>
      <c r="AS2988" s="77"/>
      <c r="AT2988" s="77"/>
      <c r="AU2988" s="77"/>
      <c r="AV2988" s="83" t="str">
        <f>HYPERLINK("https://pbs.twimg.com/media/F3xAnRPXsAA01yU.jpg")</f>
        <v>https://pbs.twimg.com/media/F3xAnRPXsAA01yU.jpg</v>
      </c>
      <c r="AW2988" s="80" t="s">
        <v>18754</v>
      </c>
      <c r="AX2988" s="80" t="s">
        <v>18754</v>
      </c>
      <c r="AY2988" s="77"/>
      <c r="AZ2988" s="80" t="s">
        <v>20380</v>
      </c>
      <c r="BA2988" s="80" t="s">
        <v>20380</v>
      </c>
      <c r="BB2988" s="80" t="s">
        <v>20380</v>
      </c>
      <c r="BC2988" s="80" t="s">
        <v>18754</v>
      </c>
      <c r="BD2988" s="77">
        <v>430928385</v>
      </c>
      <c r="BE2988" s="77"/>
      <c r="BF2988" s="77"/>
      <c r="BG2988" s="77"/>
      <c r="BH2988" s="77"/>
      <c r="BI2988" s="77"/>
    </row>
    <row r="2989" spans="1:61" x14ac:dyDescent="0.25">
      <c r="A2989" s="62" t="s">
        <v>1189</v>
      </c>
      <c r="B2989" s="62" t="s">
        <v>1189</v>
      </c>
      <c r="C2989" s="63"/>
      <c r="D2989" s="64"/>
      <c r="E2989" s="65"/>
      <c r="F2989" s="66"/>
      <c r="G2989" s="63"/>
      <c r="H2989" s="67"/>
      <c r="I2989" s="68"/>
      <c r="J2989" s="68"/>
      <c r="K2989" s="32"/>
      <c r="L2989" s="75">
        <v>2989</v>
      </c>
      <c r="M2989" s="75"/>
      <c r="N2989" s="70"/>
      <c r="O2989" s="77" t="s">
        <v>179</v>
      </c>
      <c r="P2989" s="79">
        <v>45170.447245370371</v>
      </c>
      <c r="Q2989" s="77" t="s">
        <v>4736</v>
      </c>
      <c r="R2989" s="77">
        <v>0</v>
      </c>
      <c r="S2989" s="77">
        <v>15</v>
      </c>
      <c r="T2989" s="77">
        <v>0</v>
      </c>
      <c r="U2989" s="77">
        <v>0</v>
      </c>
      <c r="V2989" s="77">
        <v>50</v>
      </c>
      <c r="W2989" s="80" t="s">
        <v>7751</v>
      </c>
      <c r="X2989" s="83" t="str">
        <f>HYPERLINK("https://mptnoticias.com/milei-defendio-la-dolarizacion-ustedes-no-necesitan-un-banco-central/")</f>
        <v>https://mptnoticias.com/milei-defendio-la-dolarizacion-ustedes-no-necesitan-un-banco-central/</v>
      </c>
      <c r="Y2989" s="77" t="s">
        <v>8810</v>
      </c>
      <c r="Z2989" s="77"/>
      <c r="AA2989" s="77" t="s">
        <v>10009</v>
      </c>
      <c r="AB2989" s="77" t="s">
        <v>10535</v>
      </c>
      <c r="AC2989" s="80" t="s">
        <v>10541</v>
      </c>
      <c r="AD2989" s="77" t="s">
        <v>10620</v>
      </c>
      <c r="AE2989" s="83" t="str">
        <f>HYPERLINK("https://twitter.com/misionesptodos/status/1697560941204758702")</f>
        <v>https://twitter.com/misionesptodos/status/1697560941204758702</v>
      </c>
      <c r="AF2989" s="79">
        <v>45170.447245370371</v>
      </c>
      <c r="AG2989" s="85">
        <v>45170</v>
      </c>
      <c r="AH2989" s="80" t="s">
        <v>13246</v>
      </c>
      <c r="AI2989" s="77" t="b">
        <v>0</v>
      </c>
      <c r="AJ2989" s="77"/>
      <c r="AK2989" s="77"/>
      <c r="AL2989" s="77"/>
      <c r="AM2989" s="77"/>
      <c r="AN2989" s="77"/>
      <c r="AO2989" s="77"/>
      <c r="AP2989" s="77"/>
      <c r="AQ2989" s="77" t="s">
        <v>15490</v>
      </c>
      <c r="AR2989" s="77"/>
      <c r="AS2989" s="77"/>
      <c r="AT2989" s="77"/>
      <c r="AU2989" s="77"/>
      <c r="AV2989" s="83" t="str">
        <f>HYPERLINK("https://pbs.twimg.com/media/F47yrW1WQAAaqse.jpg")</f>
        <v>https://pbs.twimg.com/media/F47yrW1WQAAaqse.jpg</v>
      </c>
      <c r="AW2989" s="80" t="s">
        <v>18755</v>
      </c>
      <c r="AX2989" s="80" t="s">
        <v>18755</v>
      </c>
      <c r="AY2989" s="77"/>
      <c r="AZ2989" s="80" t="s">
        <v>20380</v>
      </c>
      <c r="BA2989" s="80" t="s">
        <v>20380</v>
      </c>
      <c r="BB2989" s="80" t="s">
        <v>20380</v>
      </c>
      <c r="BC2989" s="80" t="s">
        <v>18755</v>
      </c>
      <c r="BD2989" s="77">
        <v>430928385</v>
      </c>
      <c r="BE2989" s="77"/>
      <c r="BF2989" s="77"/>
      <c r="BG2989" s="77"/>
      <c r="BH2989" s="77"/>
      <c r="BI2989" s="77"/>
    </row>
    <row r="2990" spans="1:61" x14ac:dyDescent="0.25">
      <c r="A2990" s="62" t="s">
        <v>1189</v>
      </c>
      <c r="B2990" s="62" t="s">
        <v>1189</v>
      </c>
      <c r="C2990" s="63"/>
      <c r="D2990" s="64"/>
      <c r="E2990" s="65"/>
      <c r="F2990" s="66"/>
      <c r="G2990" s="63"/>
      <c r="H2990" s="67"/>
      <c r="I2990" s="68"/>
      <c r="J2990" s="68"/>
      <c r="K2990" s="32"/>
      <c r="L2990" s="75">
        <v>2990</v>
      </c>
      <c r="M2990" s="75"/>
      <c r="N2990" s="70"/>
      <c r="O2990" s="77" t="s">
        <v>179</v>
      </c>
      <c r="P2990" s="79">
        <v>45140.433530092596</v>
      </c>
      <c r="Q2990" s="77" t="s">
        <v>4737</v>
      </c>
      <c r="R2990" s="77">
        <v>0</v>
      </c>
      <c r="S2990" s="77">
        <v>14</v>
      </c>
      <c r="T2990" s="77">
        <v>0</v>
      </c>
      <c r="U2990" s="77">
        <v>0</v>
      </c>
      <c r="V2990" s="77">
        <v>52</v>
      </c>
      <c r="W2990" s="80" t="s">
        <v>7752</v>
      </c>
      <c r="X2990" s="83" t="str">
        <f>HYPERLINK("https://mptnoticias.com/califican-de-bestialidad-la-propuesta-de-patricia-bullrich-de-entrar-con-una-camara-al-banco-central/")</f>
        <v>https://mptnoticias.com/califican-de-bestialidad-la-propuesta-de-patricia-bullrich-de-entrar-con-una-camara-al-banco-central/</v>
      </c>
      <c r="Y2990" s="77" t="s">
        <v>8810</v>
      </c>
      <c r="Z2990" s="77"/>
      <c r="AA2990" s="77" t="s">
        <v>10010</v>
      </c>
      <c r="AB2990" s="77" t="s">
        <v>10535</v>
      </c>
      <c r="AC2990" s="80" t="s">
        <v>10604</v>
      </c>
      <c r="AD2990" s="77" t="s">
        <v>10620</v>
      </c>
      <c r="AE2990" s="83" t="str">
        <f>HYPERLINK("https://twitter.com/misionesptodos/status/1686684334948864000")</f>
        <v>https://twitter.com/misionesptodos/status/1686684334948864000</v>
      </c>
      <c r="AF2990" s="79">
        <v>45140.433530092596</v>
      </c>
      <c r="AG2990" s="85">
        <v>45140</v>
      </c>
      <c r="AH2990" s="80" t="s">
        <v>13247</v>
      </c>
      <c r="AI2990" s="77" t="b">
        <v>0</v>
      </c>
      <c r="AJ2990" s="77"/>
      <c r="AK2990" s="77"/>
      <c r="AL2990" s="77"/>
      <c r="AM2990" s="77"/>
      <c r="AN2990" s="77"/>
      <c r="AO2990" s="77"/>
      <c r="AP2990" s="77"/>
      <c r="AQ2990" s="77" t="s">
        <v>15491</v>
      </c>
      <c r="AR2990" s="77"/>
      <c r="AS2990" s="77"/>
      <c r="AT2990" s="77"/>
      <c r="AU2990" s="77"/>
      <c r="AV2990" s="83" t="str">
        <f>HYPERLINK("https://pbs.twimg.com/media/F2hOddqXYAAZm-e.jpg")</f>
        <v>https://pbs.twimg.com/media/F2hOddqXYAAZm-e.jpg</v>
      </c>
      <c r="AW2990" s="80" t="s">
        <v>18756</v>
      </c>
      <c r="AX2990" s="80" t="s">
        <v>18756</v>
      </c>
      <c r="AY2990" s="77"/>
      <c r="AZ2990" s="80" t="s">
        <v>20380</v>
      </c>
      <c r="BA2990" s="80" t="s">
        <v>20380</v>
      </c>
      <c r="BB2990" s="80" t="s">
        <v>20380</v>
      </c>
      <c r="BC2990" s="80" t="s">
        <v>18756</v>
      </c>
      <c r="BD2990" s="77">
        <v>430928385</v>
      </c>
      <c r="BE2990" s="77"/>
      <c r="BF2990" s="77"/>
      <c r="BG2990" s="77"/>
      <c r="BH2990" s="77"/>
      <c r="BI2990" s="77"/>
    </row>
    <row r="2991" spans="1:61" x14ac:dyDescent="0.25">
      <c r="A2991" s="62" t="s">
        <v>1189</v>
      </c>
      <c r="B2991" s="62" t="s">
        <v>1189</v>
      </c>
      <c r="C2991" s="63"/>
      <c r="D2991" s="64"/>
      <c r="E2991" s="65"/>
      <c r="F2991" s="66"/>
      <c r="G2991" s="63"/>
      <c r="H2991" s="67"/>
      <c r="I2991" s="68"/>
      <c r="J2991" s="68"/>
      <c r="K2991" s="32"/>
      <c r="L2991" s="75">
        <v>2991</v>
      </c>
      <c r="M2991" s="75"/>
      <c r="N2991" s="70"/>
      <c r="O2991" s="77" t="s">
        <v>179</v>
      </c>
      <c r="P2991" s="79">
        <v>45139.982430555552</v>
      </c>
      <c r="Q2991" s="77" t="s">
        <v>4738</v>
      </c>
      <c r="R2991" s="77">
        <v>0</v>
      </c>
      <c r="S2991" s="77">
        <v>14</v>
      </c>
      <c r="T2991" s="77">
        <v>0</v>
      </c>
      <c r="U2991" s="77">
        <v>0</v>
      </c>
      <c r="V2991" s="77">
        <v>50</v>
      </c>
      <c r="W2991" s="80" t="s">
        <v>7752</v>
      </c>
      <c r="X2991" s="83" t="str">
        <f>HYPERLINK("https://mptnoticias.com/califican-de-bestialidad-la-propuesta-de-patricia-bullrich-de-entrar-con-una-camara-al-banco-central/")</f>
        <v>https://mptnoticias.com/califican-de-bestialidad-la-propuesta-de-patricia-bullrich-de-entrar-con-una-camara-al-banco-central/</v>
      </c>
      <c r="Y2991" s="77" t="s">
        <v>8810</v>
      </c>
      <c r="Z2991" s="77"/>
      <c r="AA2991" s="77" t="s">
        <v>10011</v>
      </c>
      <c r="AB2991" s="77" t="s">
        <v>10535</v>
      </c>
      <c r="AC2991" s="80" t="s">
        <v>10604</v>
      </c>
      <c r="AD2991" s="77" t="s">
        <v>10620</v>
      </c>
      <c r="AE2991" s="83" t="str">
        <f>HYPERLINK("https://twitter.com/misionesptodos/status/1686520863288442880")</f>
        <v>https://twitter.com/misionesptodos/status/1686520863288442880</v>
      </c>
      <c r="AF2991" s="79">
        <v>45139.982430555552</v>
      </c>
      <c r="AG2991" s="85">
        <v>45139</v>
      </c>
      <c r="AH2991" s="80" t="s">
        <v>13248</v>
      </c>
      <c r="AI2991" s="77" t="b">
        <v>0</v>
      </c>
      <c r="AJ2991" s="77"/>
      <c r="AK2991" s="77"/>
      <c r="AL2991" s="77"/>
      <c r="AM2991" s="77"/>
      <c r="AN2991" s="77"/>
      <c r="AO2991" s="77"/>
      <c r="AP2991" s="77"/>
      <c r="AQ2991" s="77" t="s">
        <v>15492</v>
      </c>
      <c r="AR2991" s="77"/>
      <c r="AS2991" s="77"/>
      <c r="AT2991" s="77"/>
      <c r="AU2991" s="77"/>
      <c r="AV2991" s="83" t="str">
        <f>HYPERLINK("https://pbs.twimg.com/media/F2e5yJiWAAAYpn0.jpg")</f>
        <v>https://pbs.twimg.com/media/F2e5yJiWAAAYpn0.jpg</v>
      </c>
      <c r="AW2991" s="80" t="s">
        <v>18757</v>
      </c>
      <c r="AX2991" s="80" t="s">
        <v>18757</v>
      </c>
      <c r="AY2991" s="77"/>
      <c r="AZ2991" s="80" t="s">
        <v>20380</v>
      </c>
      <c r="BA2991" s="80" t="s">
        <v>20380</v>
      </c>
      <c r="BB2991" s="80" t="s">
        <v>20380</v>
      </c>
      <c r="BC2991" s="80" t="s">
        <v>18757</v>
      </c>
      <c r="BD2991" s="77">
        <v>430928385</v>
      </c>
      <c r="BE2991" s="77"/>
      <c r="BF2991" s="77"/>
      <c r="BG2991" s="77"/>
      <c r="BH2991" s="77"/>
      <c r="BI2991" s="77"/>
    </row>
    <row r="2992" spans="1:61" x14ac:dyDescent="0.25">
      <c r="A2992" s="62" t="s">
        <v>1189</v>
      </c>
      <c r="B2992" s="62" t="s">
        <v>1189</v>
      </c>
      <c r="C2992" s="63"/>
      <c r="D2992" s="64"/>
      <c r="E2992" s="65"/>
      <c r="F2992" s="66"/>
      <c r="G2992" s="63"/>
      <c r="H2992" s="67"/>
      <c r="I2992" s="68"/>
      <c r="J2992" s="68"/>
      <c r="K2992" s="32"/>
      <c r="L2992" s="75">
        <v>2992</v>
      </c>
      <c r="M2992" s="75"/>
      <c r="N2992" s="70"/>
      <c r="O2992" s="77" t="s">
        <v>179</v>
      </c>
      <c r="P2992" s="79">
        <v>45184.92396990741</v>
      </c>
      <c r="Q2992" s="77" t="s">
        <v>4739</v>
      </c>
      <c r="R2992" s="77">
        <v>0</v>
      </c>
      <c r="S2992" s="77">
        <v>14</v>
      </c>
      <c r="T2992" s="77">
        <v>0</v>
      </c>
      <c r="U2992" s="77">
        <v>0</v>
      </c>
      <c r="V2992" s="77">
        <v>62</v>
      </c>
      <c r="W2992" s="80" t="s">
        <v>7753</v>
      </c>
      <c r="X2992" s="83" t="str">
        <f>HYPERLINK("https://mptnoticias.com/adios-a-los-billetes-de-2000-por-que-los-rechazan-los-cajeros-y-que-hacer-si-tengo-uno/")</f>
        <v>https://mptnoticias.com/adios-a-los-billetes-de-2000-por-que-los-rechazan-los-cajeros-y-que-hacer-si-tengo-uno/</v>
      </c>
      <c r="Y2992" s="77" t="s">
        <v>8810</v>
      </c>
      <c r="Z2992" s="77"/>
      <c r="AA2992" s="77" t="s">
        <v>10012</v>
      </c>
      <c r="AB2992" s="77" t="s">
        <v>10535</v>
      </c>
      <c r="AC2992" s="80" t="s">
        <v>10604</v>
      </c>
      <c r="AD2992" s="77" t="s">
        <v>10620</v>
      </c>
      <c r="AE2992" s="83" t="str">
        <f>HYPERLINK("https://twitter.com/misionesptodos/status/1702807132041629985")</f>
        <v>https://twitter.com/misionesptodos/status/1702807132041629985</v>
      </c>
      <c r="AF2992" s="79">
        <v>45184.92396990741</v>
      </c>
      <c r="AG2992" s="85">
        <v>45184</v>
      </c>
      <c r="AH2992" s="80" t="s">
        <v>13249</v>
      </c>
      <c r="AI2992" s="77" t="b">
        <v>0</v>
      </c>
      <c r="AJ2992" s="77"/>
      <c r="AK2992" s="77"/>
      <c r="AL2992" s="77"/>
      <c r="AM2992" s="77"/>
      <c r="AN2992" s="77"/>
      <c r="AO2992" s="77"/>
      <c r="AP2992" s="77"/>
      <c r="AQ2992" s="77" t="s">
        <v>15493</v>
      </c>
      <c r="AR2992" s="77"/>
      <c r="AS2992" s="77"/>
      <c r="AT2992" s="77"/>
      <c r="AU2992" s="77"/>
      <c r="AV2992" s="83" t="str">
        <f>HYPERLINK("https://pbs.twimg.com/media/F6GWDwZW8AAIDjp.jpg")</f>
        <v>https://pbs.twimg.com/media/F6GWDwZW8AAIDjp.jpg</v>
      </c>
      <c r="AW2992" s="80" t="s">
        <v>18758</v>
      </c>
      <c r="AX2992" s="80" t="s">
        <v>18758</v>
      </c>
      <c r="AY2992" s="77"/>
      <c r="AZ2992" s="80" t="s">
        <v>20380</v>
      </c>
      <c r="BA2992" s="80" t="s">
        <v>20380</v>
      </c>
      <c r="BB2992" s="80" t="s">
        <v>20380</v>
      </c>
      <c r="BC2992" s="80" t="s">
        <v>18758</v>
      </c>
      <c r="BD2992" s="77">
        <v>430928385</v>
      </c>
      <c r="BE2992" s="77"/>
      <c r="BF2992" s="77"/>
      <c r="BG2992" s="77"/>
      <c r="BH2992" s="77"/>
      <c r="BI2992" s="77"/>
    </row>
    <row r="2993" spans="1:61" x14ac:dyDescent="0.25">
      <c r="A2993" s="62" t="s">
        <v>1189</v>
      </c>
      <c r="B2993" s="62" t="s">
        <v>1189</v>
      </c>
      <c r="C2993" s="63"/>
      <c r="D2993" s="64"/>
      <c r="E2993" s="65"/>
      <c r="F2993" s="66"/>
      <c r="G2993" s="63"/>
      <c r="H2993" s="67"/>
      <c r="I2993" s="68"/>
      <c r="J2993" s="68"/>
      <c r="K2993" s="32"/>
      <c r="L2993" s="75">
        <v>2993</v>
      </c>
      <c r="M2993" s="75"/>
      <c r="N2993" s="70"/>
      <c r="O2993" s="77" t="s">
        <v>179</v>
      </c>
      <c r="P2993" s="79">
        <v>45192.434444444443</v>
      </c>
      <c r="Q2993" s="77" t="s">
        <v>4740</v>
      </c>
      <c r="R2993" s="77">
        <v>0</v>
      </c>
      <c r="S2993" s="77">
        <v>14</v>
      </c>
      <c r="T2993" s="77">
        <v>0</v>
      </c>
      <c r="U2993" s="77">
        <v>0</v>
      </c>
      <c r="V2993" s="77">
        <v>72</v>
      </c>
      <c r="W2993" s="80" t="s">
        <v>7754</v>
      </c>
      <c r="X2993" s="83" t="str">
        <f>HYPERLINK("https://mptnoticias.com/quien-es-emilio-ocampo-el-economista-que-javier-milei-piensa-poner-al-frente-del-banco-central-para-cerrarlo/")</f>
        <v>https://mptnoticias.com/quien-es-emilio-ocampo-el-economista-que-javier-milei-piensa-poner-al-frente-del-banco-central-para-cerrarlo/</v>
      </c>
      <c r="Y2993" s="77" t="s">
        <v>8810</v>
      </c>
      <c r="Z2993" s="77"/>
      <c r="AA2993" s="77" t="s">
        <v>10013</v>
      </c>
      <c r="AB2993" s="77" t="s">
        <v>10535</v>
      </c>
      <c r="AC2993" s="80" t="s">
        <v>10604</v>
      </c>
      <c r="AD2993" s="77" t="s">
        <v>10620</v>
      </c>
      <c r="AE2993" s="83" t="str">
        <f>HYPERLINK("https://twitter.com/misionesptodos/status/1705528836106883364")</f>
        <v>https://twitter.com/misionesptodos/status/1705528836106883364</v>
      </c>
      <c r="AF2993" s="79">
        <v>45192.434444444443</v>
      </c>
      <c r="AG2993" s="85">
        <v>45192</v>
      </c>
      <c r="AH2993" s="80" t="s">
        <v>13250</v>
      </c>
      <c r="AI2993" s="77" t="b">
        <v>0</v>
      </c>
      <c r="AJ2993" s="77"/>
      <c r="AK2993" s="77"/>
      <c r="AL2993" s="77"/>
      <c r="AM2993" s="77"/>
      <c r="AN2993" s="77"/>
      <c r="AO2993" s="77"/>
      <c r="AP2993" s="77"/>
      <c r="AQ2993" s="77" t="s">
        <v>15494</v>
      </c>
      <c r="AR2993" s="77"/>
      <c r="AS2993" s="77"/>
      <c r="AT2993" s="77"/>
      <c r="AU2993" s="77"/>
      <c r="AV2993" s="83" t="str">
        <f>HYPERLINK("https://pbs.twimg.com/media/F6tBbuwWgAA1yTh.jpg")</f>
        <v>https://pbs.twimg.com/media/F6tBbuwWgAA1yTh.jpg</v>
      </c>
      <c r="AW2993" s="80" t="s">
        <v>18759</v>
      </c>
      <c r="AX2993" s="80" t="s">
        <v>18759</v>
      </c>
      <c r="AY2993" s="77"/>
      <c r="AZ2993" s="80" t="s">
        <v>20380</v>
      </c>
      <c r="BA2993" s="80" t="s">
        <v>20380</v>
      </c>
      <c r="BB2993" s="80" t="s">
        <v>20380</v>
      </c>
      <c r="BC2993" s="80" t="s">
        <v>18759</v>
      </c>
      <c r="BD2993" s="77">
        <v>430928385</v>
      </c>
      <c r="BE2993" s="77"/>
      <c r="BF2993" s="77"/>
      <c r="BG2993" s="77"/>
      <c r="BH2993" s="77"/>
      <c r="BI2993" s="77"/>
    </row>
    <row r="2994" spans="1:61" x14ac:dyDescent="0.25">
      <c r="A2994" s="62" t="s">
        <v>1190</v>
      </c>
      <c r="B2994" s="62" t="s">
        <v>1190</v>
      </c>
      <c r="C2994" s="63"/>
      <c r="D2994" s="64"/>
      <c r="E2994" s="65"/>
      <c r="F2994" s="66"/>
      <c r="G2994" s="63"/>
      <c r="H2994" s="67"/>
      <c r="I2994" s="68"/>
      <c r="J2994" s="68"/>
      <c r="K2994" s="32"/>
      <c r="L2994" s="75">
        <v>2994</v>
      </c>
      <c r="M2994" s="75"/>
      <c r="N2994" s="70"/>
      <c r="O2994" s="77" t="s">
        <v>179</v>
      </c>
      <c r="P2994" s="79">
        <v>45082.697881944441</v>
      </c>
      <c r="Q2994" s="77" t="s">
        <v>4741</v>
      </c>
      <c r="R2994" s="77">
        <v>1</v>
      </c>
      <c r="S2994" s="77">
        <v>0</v>
      </c>
      <c r="T2994" s="77">
        <v>0</v>
      </c>
      <c r="U2994" s="77">
        <v>0</v>
      </c>
      <c r="V2994" s="77">
        <v>106</v>
      </c>
      <c r="W2994" s="80" t="s">
        <v>7755</v>
      </c>
      <c r="X2994" s="83" t="str">
        <f>HYPERLINK("http://www.araujosantosadvocacia.com.br")</f>
        <v>http://www.araujosantosadvocacia.com.br</v>
      </c>
      <c r="Y2994" s="77" t="s">
        <v>8611</v>
      </c>
      <c r="Z2994" s="77"/>
      <c r="AA2994" s="77" t="s">
        <v>10014</v>
      </c>
      <c r="AB2994" s="77" t="s">
        <v>10535</v>
      </c>
      <c r="AC2994" s="80" t="s">
        <v>10542</v>
      </c>
      <c r="AD2994" s="77" t="s">
        <v>10617</v>
      </c>
      <c r="AE2994" s="83" t="str">
        <f>HYPERLINK("https://twitter.com/araujosantosad1/status/1665761637091901451")</f>
        <v>https://twitter.com/araujosantosad1/status/1665761637091901451</v>
      </c>
      <c r="AF2994" s="79">
        <v>45082.697881944441</v>
      </c>
      <c r="AG2994" s="85">
        <v>45082</v>
      </c>
      <c r="AH2994" s="80" t="s">
        <v>13251</v>
      </c>
      <c r="AI2994" s="77" t="b">
        <v>0</v>
      </c>
      <c r="AJ2994" s="77"/>
      <c r="AK2994" s="77"/>
      <c r="AL2994" s="77"/>
      <c r="AM2994" s="77"/>
      <c r="AN2994" s="77"/>
      <c r="AO2994" s="77"/>
      <c r="AP2994" s="77"/>
      <c r="AQ2994" s="77" t="s">
        <v>15495</v>
      </c>
      <c r="AR2994" s="77"/>
      <c r="AS2994" s="77"/>
      <c r="AT2994" s="77"/>
      <c r="AU2994" s="77"/>
      <c r="AV2994" s="83" t="str">
        <f>HYPERLINK("https://pbs.twimg.com/media/Fx35YRKWABQv-oy.jpg")</f>
        <v>https://pbs.twimg.com/media/Fx35YRKWABQv-oy.jpg</v>
      </c>
      <c r="AW2994" s="80" t="s">
        <v>18760</v>
      </c>
      <c r="AX2994" s="80" t="s">
        <v>18760</v>
      </c>
      <c r="AY2994" s="77"/>
      <c r="AZ2994" s="80" t="s">
        <v>20380</v>
      </c>
      <c r="BA2994" s="80" t="s">
        <v>20380</v>
      </c>
      <c r="BB2994" s="80" t="s">
        <v>20380</v>
      </c>
      <c r="BC2994" s="80" t="s">
        <v>18760</v>
      </c>
      <c r="BD2994" s="80" t="s">
        <v>20971</v>
      </c>
      <c r="BE2994" s="77"/>
      <c r="BF2994" s="77"/>
      <c r="BG2994" s="77"/>
      <c r="BH2994" s="77"/>
      <c r="BI2994" s="77"/>
    </row>
    <row r="2995" spans="1:61" x14ac:dyDescent="0.25">
      <c r="A2995" s="62" t="s">
        <v>1191</v>
      </c>
      <c r="B2995" s="62" t="s">
        <v>1596</v>
      </c>
      <c r="C2995" s="63"/>
      <c r="D2995" s="64"/>
      <c r="E2995" s="65"/>
      <c r="F2995" s="66"/>
      <c r="G2995" s="63"/>
      <c r="H2995" s="67"/>
      <c r="I2995" s="68"/>
      <c r="J2995" s="68"/>
      <c r="K2995" s="32"/>
      <c r="L2995" s="75">
        <v>2995</v>
      </c>
      <c r="M2995" s="75"/>
      <c r="N2995" s="70"/>
      <c r="O2995" s="77" t="s">
        <v>2081</v>
      </c>
      <c r="P2995" s="79">
        <v>45098.192662037036</v>
      </c>
      <c r="Q2995" s="77" t="s">
        <v>2492</v>
      </c>
      <c r="R2995" s="77">
        <v>0</v>
      </c>
      <c r="S2995" s="77">
        <v>0</v>
      </c>
      <c r="T2995" s="77">
        <v>0</v>
      </c>
      <c r="U2995" s="77">
        <v>0</v>
      </c>
      <c r="V2995" s="77">
        <v>6</v>
      </c>
      <c r="W2995" s="80" t="s">
        <v>6008</v>
      </c>
      <c r="X2995" s="77"/>
      <c r="Y2995" s="77"/>
      <c r="Z2995" s="77" t="s">
        <v>1596</v>
      </c>
      <c r="AA2995" s="77"/>
      <c r="AB2995" s="77"/>
      <c r="AC2995" s="80" t="s">
        <v>10540</v>
      </c>
      <c r="AD2995" s="77" t="s">
        <v>10622</v>
      </c>
      <c r="AE2995" s="83" t="str">
        <f>HYPERLINK("https://twitter.com/duarte3_alcy/status/1671376759369920515")</f>
        <v>https://twitter.com/duarte3_alcy/status/1671376759369920515</v>
      </c>
      <c r="AF2995" s="79">
        <v>45098.192662037036</v>
      </c>
      <c r="AG2995" s="85">
        <v>45098</v>
      </c>
      <c r="AH2995" s="80" t="s">
        <v>13252</v>
      </c>
      <c r="AI2995" s="77"/>
      <c r="AJ2995" s="77"/>
      <c r="AK2995" s="77"/>
      <c r="AL2995" s="77"/>
      <c r="AM2995" s="77"/>
      <c r="AN2995" s="77"/>
      <c r="AO2995" s="77"/>
      <c r="AP2995" s="77"/>
      <c r="AQ2995" s="77"/>
      <c r="AR2995" s="77"/>
      <c r="AS2995" s="77"/>
      <c r="AT2995" s="77"/>
      <c r="AU2995" s="77"/>
      <c r="AV2995" s="83" t="str">
        <f>HYPERLINK("https://pbs.twimg.com/profile_images/1601505429732851712/HPzMHI68_normal.png")</f>
        <v>https://pbs.twimg.com/profile_images/1601505429732851712/HPzMHI68_normal.png</v>
      </c>
      <c r="AW2995" s="80" t="s">
        <v>18761</v>
      </c>
      <c r="AX2995" s="80" t="s">
        <v>18761</v>
      </c>
      <c r="AY2995" s="77"/>
      <c r="AZ2995" s="80" t="s">
        <v>20380</v>
      </c>
      <c r="BA2995" s="80" t="s">
        <v>20380</v>
      </c>
      <c r="BB2995" s="80" t="s">
        <v>20380</v>
      </c>
      <c r="BC2995" s="80" t="s">
        <v>18761</v>
      </c>
      <c r="BD2995" s="80" t="s">
        <v>20972</v>
      </c>
      <c r="BE2995" s="77"/>
      <c r="BF2995" s="77"/>
      <c r="BG2995" s="77"/>
      <c r="BH2995" s="77"/>
      <c r="BI2995" s="77"/>
    </row>
    <row r="2996" spans="1:61" x14ac:dyDescent="0.25">
      <c r="A2996" s="62" t="s">
        <v>1192</v>
      </c>
      <c r="B2996" s="62" t="s">
        <v>1192</v>
      </c>
      <c r="C2996" s="63"/>
      <c r="D2996" s="64"/>
      <c r="E2996" s="65"/>
      <c r="F2996" s="66"/>
      <c r="G2996" s="63"/>
      <c r="H2996" s="67"/>
      <c r="I2996" s="68"/>
      <c r="J2996" s="68"/>
      <c r="K2996" s="32"/>
      <c r="L2996" s="75">
        <v>2996</v>
      </c>
      <c r="M2996" s="75"/>
      <c r="N2996" s="70"/>
      <c r="O2996" s="77" t="s">
        <v>179</v>
      </c>
      <c r="P2996" s="79">
        <v>45173.600451388891</v>
      </c>
      <c r="Q2996" s="77" t="s">
        <v>4742</v>
      </c>
      <c r="R2996" s="77">
        <v>0</v>
      </c>
      <c r="S2996" s="77">
        <v>0</v>
      </c>
      <c r="T2996" s="77">
        <v>0</v>
      </c>
      <c r="U2996" s="77">
        <v>0</v>
      </c>
      <c r="V2996" s="77">
        <v>57</v>
      </c>
      <c r="W2996" s="80" t="s">
        <v>7756</v>
      </c>
      <c r="X2996" s="83" t="str">
        <f>HYPERLINK("https://amazonasatual.com.br/pix-de-r-12-bilhao-em-dezembro-de-2022-e-o-maior-ja-feito-diz-bc/")</f>
        <v>https://amazonasatual.com.br/pix-de-r-12-bilhao-em-dezembro-de-2022-e-o-maior-ja-feito-diz-bc/</v>
      </c>
      <c r="Y2996" s="77" t="s">
        <v>8611</v>
      </c>
      <c r="Z2996" s="77"/>
      <c r="AA2996" s="77"/>
      <c r="AB2996" s="77"/>
      <c r="AC2996" s="80" t="s">
        <v>10541</v>
      </c>
      <c r="AD2996" s="77" t="s">
        <v>10617</v>
      </c>
      <c r="AE2996" s="83" t="str">
        <f>HYPERLINK("https://twitter.com/amazonasatual/status/1698703625667682511")</f>
        <v>https://twitter.com/amazonasatual/status/1698703625667682511</v>
      </c>
      <c r="AF2996" s="79">
        <v>45173.600451388891</v>
      </c>
      <c r="AG2996" s="85">
        <v>45173</v>
      </c>
      <c r="AH2996" s="80" t="s">
        <v>13253</v>
      </c>
      <c r="AI2996" s="77" t="b">
        <v>0</v>
      </c>
      <c r="AJ2996" s="77"/>
      <c r="AK2996" s="77"/>
      <c r="AL2996" s="77"/>
      <c r="AM2996" s="77"/>
      <c r="AN2996" s="77"/>
      <c r="AO2996" s="77"/>
      <c r="AP2996" s="77"/>
      <c r="AQ2996" s="77"/>
      <c r="AR2996" s="77"/>
      <c r="AS2996" s="77"/>
      <c r="AT2996" s="77"/>
      <c r="AU2996" s="77"/>
      <c r="AV2996" s="83" t="str">
        <f>HYPERLINK("https://pbs.twimg.com/profile_images/1331219118796787716/xi-bcfdj_normal.jpg")</f>
        <v>https://pbs.twimg.com/profile_images/1331219118796787716/xi-bcfdj_normal.jpg</v>
      </c>
      <c r="AW2996" s="80" t="s">
        <v>18762</v>
      </c>
      <c r="AX2996" s="80" t="s">
        <v>18762</v>
      </c>
      <c r="AY2996" s="77"/>
      <c r="AZ2996" s="80" t="s">
        <v>20380</v>
      </c>
      <c r="BA2996" s="80" t="s">
        <v>20380</v>
      </c>
      <c r="BB2996" s="80" t="s">
        <v>20380</v>
      </c>
      <c r="BC2996" s="80" t="s">
        <v>18762</v>
      </c>
      <c r="BD2996" s="77">
        <v>1857286891</v>
      </c>
      <c r="BE2996" s="77"/>
      <c r="BF2996" s="77"/>
      <c r="BG2996" s="77"/>
      <c r="BH2996" s="77"/>
      <c r="BI2996" s="77"/>
    </row>
    <row r="2997" spans="1:61" x14ac:dyDescent="0.25">
      <c r="A2997" s="62" t="s">
        <v>1192</v>
      </c>
      <c r="B2997" s="62" t="s">
        <v>1192</v>
      </c>
      <c r="C2997" s="63"/>
      <c r="D2997" s="64"/>
      <c r="E2997" s="65"/>
      <c r="F2997" s="66"/>
      <c r="G2997" s="63"/>
      <c r="H2997" s="67"/>
      <c r="I2997" s="68"/>
      <c r="J2997" s="68"/>
      <c r="K2997" s="32"/>
      <c r="L2997" s="75">
        <v>2997</v>
      </c>
      <c r="M2997" s="75"/>
      <c r="N2997" s="70"/>
      <c r="O2997" s="77" t="s">
        <v>179</v>
      </c>
      <c r="P2997" s="79">
        <v>45140.958611111113</v>
      </c>
      <c r="Q2997" s="77" t="s">
        <v>4743</v>
      </c>
      <c r="R2997" s="77">
        <v>0</v>
      </c>
      <c r="S2997" s="77">
        <v>0</v>
      </c>
      <c r="T2997" s="77">
        <v>0</v>
      </c>
      <c r="U2997" s="77">
        <v>0</v>
      </c>
      <c r="V2997" s="77">
        <v>106</v>
      </c>
      <c r="W2997" s="80" t="s">
        <v>7757</v>
      </c>
      <c r="X2997" s="83" t="str">
        <f>HYPERLINK("https://amazonasatual.com.br/banco-central-corta-taxa-selic-em-05-ponto-para-1325/")</f>
        <v>https://amazonasatual.com.br/banco-central-corta-taxa-selic-em-05-ponto-para-1325/</v>
      </c>
      <c r="Y2997" s="77" t="s">
        <v>8611</v>
      </c>
      <c r="Z2997" s="77"/>
      <c r="AA2997" s="77"/>
      <c r="AB2997" s="77"/>
      <c r="AC2997" s="80" t="s">
        <v>10541</v>
      </c>
      <c r="AD2997" s="77" t="s">
        <v>10617</v>
      </c>
      <c r="AE2997" s="83" t="str">
        <f>HYPERLINK("https://twitter.com/amazonasatual/status/1686874618110337024")</f>
        <v>https://twitter.com/amazonasatual/status/1686874618110337024</v>
      </c>
      <c r="AF2997" s="79">
        <v>45140.958611111113</v>
      </c>
      <c r="AG2997" s="85">
        <v>45140</v>
      </c>
      <c r="AH2997" s="80" t="s">
        <v>13254</v>
      </c>
      <c r="AI2997" s="77" t="b">
        <v>0</v>
      </c>
      <c r="AJ2997" s="77"/>
      <c r="AK2997" s="77"/>
      <c r="AL2997" s="77"/>
      <c r="AM2997" s="77"/>
      <c r="AN2997" s="77"/>
      <c r="AO2997" s="77"/>
      <c r="AP2997" s="77"/>
      <c r="AQ2997" s="77"/>
      <c r="AR2997" s="77"/>
      <c r="AS2997" s="77"/>
      <c r="AT2997" s="77"/>
      <c r="AU2997" s="77"/>
      <c r="AV2997" s="83" t="str">
        <f>HYPERLINK("https://pbs.twimg.com/profile_images/1331219118796787716/xi-bcfdj_normal.jpg")</f>
        <v>https://pbs.twimg.com/profile_images/1331219118796787716/xi-bcfdj_normal.jpg</v>
      </c>
      <c r="AW2997" s="80" t="s">
        <v>18763</v>
      </c>
      <c r="AX2997" s="80" t="s">
        <v>18763</v>
      </c>
      <c r="AY2997" s="77"/>
      <c r="AZ2997" s="80" t="s">
        <v>20380</v>
      </c>
      <c r="BA2997" s="80" t="s">
        <v>20380</v>
      </c>
      <c r="BB2997" s="80" t="s">
        <v>20380</v>
      </c>
      <c r="BC2997" s="80" t="s">
        <v>18763</v>
      </c>
      <c r="BD2997" s="77">
        <v>1857286891</v>
      </c>
      <c r="BE2997" s="77"/>
      <c r="BF2997" s="77"/>
      <c r="BG2997" s="77"/>
      <c r="BH2997" s="77"/>
      <c r="BI2997" s="77"/>
    </row>
    <row r="2998" spans="1:61" x14ac:dyDescent="0.25">
      <c r="A2998" s="62" t="s">
        <v>1193</v>
      </c>
      <c r="B2998" s="62" t="s">
        <v>1193</v>
      </c>
      <c r="C2998" s="63"/>
      <c r="D2998" s="64"/>
      <c r="E2998" s="65"/>
      <c r="F2998" s="66"/>
      <c r="G2998" s="63"/>
      <c r="H2998" s="67"/>
      <c r="I2998" s="68"/>
      <c r="J2998" s="68"/>
      <c r="K2998" s="32"/>
      <c r="L2998" s="75">
        <v>2998</v>
      </c>
      <c r="M2998" s="75"/>
      <c r="N2998" s="70"/>
      <c r="O2998" s="77" t="s">
        <v>179</v>
      </c>
      <c r="P2998" s="79">
        <v>45175.911527777775</v>
      </c>
      <c r="Q2998" s="77" t="s">
        <v>4744</v>
      </c>
      <c r="R2998" s="77">
        <v>0</v>
      </c>
      <c r="S2998" s="77">
        <v>0</v>
      </c>
      <c r="T2998" s="77">
        <v>0</v>
      </c>
      <c r="U2998" s="77">
        <v>0</v>
      </c>
      <c r="V2998" s="77">
        <v>49</v>
      </c>
      <c r="W2998" s="80" t="s">
        <v>7758</v>
      </c>
      <c r="X2998" s="83" t="str">
        <f>HYPERLINK("https://www.latercera.com/pulso/noticia/ipom-banco-central-fija-techo-de-pib-2023-en-0-y-sube-levemente-proyecciones-de-inflacion/YALUAHAA6NHQBBWOPKBV5LDVCU/")</f>
        <v>https://www.latercera.com/pulso/noticia/ipom-banco-central-fija-techo-de-pib-2023-en-0-y-sube-levemente-proyecciones-de-inflacion/YALUAHAA6NHQBBWOPKBV5LDVCU/</v>
      </c>
      <c r="Y2998" s="77" t="s">
        <v>8811</v>
      </c>
      <c r="Z2998" s="77"/>
      <c r="AA2998" s="77"/>
      <c r="AB2998" s="77"/>
      <c r="AC2998" s="80" t="s">
        <v>10556</v>
      </c>
      <c r="AD2998" s="77" t="s">
        <v>10620</v>
      </c>
      <c r="AE2998" s="83" t="str">
        <f>HYPERLINK("https://twitter.com/politica2chile/status/1699541132730908762")</f>
        <v>https://twitter.com/politica2chile/status/1699541132730908762</v>
      </c>
      <c r="AF2998" s="79">
        <v>45175.911527777775</v>
      </c>
      <c r="AG2998" s="85">
        <v>45175</v>
      </c>
      <c r="AH2998" s="80" t="s">
        <v>11757</v>
      </c>
      <c r="AI2998" s="77" t="b">
        <v>0</v>
      </c>
      <c r="AJ2998" s="77"/>
      <c r="AK2998" s="77"/>
      <c r="AL2998" s="77"/>
      <c r="AM2998" s="77"/>
      <c r="AN2998" s="77"/>
      <c r="AO2998" s="77"/>
      <c r="AP2998" s="77"/>
      <c r="AQ2998" s="77"/>
      <c r="AR2998" s="77"/>
      <c r="AS2998" s="77"/>
      <c r="AT2998" s="77"/>
      <c r="AU2998" s="77"/>
      <c r="AV2998" s="83" t="str">
        <f>HYPERLINK("https://pbs.twimg.com/profile_images/1410742656532164608/_SQ-dzTk_normal.jpg")</f>
        <v>https://pbs.twimg.com/profile_images/1410742656532164608/_SQ-dzTk_normal.jpg</v>
      </c>
      <c r="AW2998" s="80" t="s">
        <v>18764</v>
      </c>
      <c r="AX2998" s="80" t="s">
        <v>18764</v>
      </c>
      <c r="AY2998" s="77"/>
      <c r="AZ2998" s="80" t="s">
        <v>20380</v>
      </c>
      <c r="BA2998" s="80" t="s">
        <v>20380</v>
      </c>
      <c r="BB2998" s="80" t="s">
        <v>20380</v>
      </c>
      <c r="BC2998" s="80" t="s">
        <v>18764</v>
      </c>
      <c r="BD2998" s="77">
        <v>50663227</v>
      </c>
      <c r="BE2998" s="77"/>
      <c r="BF2998" s="77"/>
      <c r="BG2998" s="77"/>
      <c r="BH2998" s="77"/>
      <c r="BI2998" s="77"/>
    </row>
    <row r="2999" spans="1:61" x14ac:dyDescent="0.25">
      <c r="A2999" s="62" t="s">
        <v>1193</v>
      </c>
      <c r="B2999" s="62" t="s">
        <v>1346</v>
      </c>
      <c r="C2999" s="63"/>
      <c r="D2999" s="64"/>
      <c r="E2999" s="65"/>
      <c r="F2999" s="66"/>
      <c r="G2999" s="63"/>
      <c r="H2999" s="67"/>
      <c r="I2999" s="68"/>
      <c r="J2999" s="68"/>
      <c r="K2999" s="32"/>
      <c r="L2999" s="75">
        <v>2999</v>
      </c>
      <c r="M2999" s="75"/>
      <c r="N2999" s="70"/>
      <c r="O2999" s="77" t="s">
        <v>2082</v>
      </c>
      <c r="P2999" s="79">
        <v>45175.784108796295</v>
      </c>
      <c r="Q2999" s="77" t="s">
        <v>4745</v>
      </c>
      <c r="R2999" s="77">
        <v>0</v>
      </c>
      <c r="S2999" s="77">
        <v>1</v>
      </c>
      <c r="T2999" s="77">
        <v>0</v>
      </c>
      <c r="U2999" s="77">
        <v>0</v>
      </c>
      <c r="V2999" s="77">
        <v>54</v>
      </c>
      <c r="W2999" s="80" t="s">
        <v>7759</v>
      </c>
      <c r="X2999" s="83" t="str">
        <f>HYPERLINK("https://twitter.com/latercera/status/1699493925025718510")</f>
        <v>https://twitter.com/latercera/status/1699493925025718510</v>
      </c>
      <c r="Y2999" s="77" t="s">
        <v>8610</v>
      </c>
      <c r="Z2999" s="77"/>
      <c r="AA2999" s="77"/>
      <c r="AB2999" s="77"/>
      <c r="AC2999" s="80" t="s">
        <v>10556</v>
      </c>
      <c r="AD2999" s="77" t="s">
        <v>10620</v>
      </c>
      <c r="AE2999" s="83" t="str">
        <f>HYPERLINK("https://twitter.com/politica2chile/status/1699494958175076401")</f>
        <v>https://twitter.com/politica2chile/status/1699494958175076401</v>
      </c>
      <c r="AF2999" s="79">
        <v>45175.784108796295</v>
      </c>
      <c r="AG2999" s="85">
        <v>45175</v>
      </c>
      <c r="AH2999" s="80" t="s">
        <v>13255</v>
      </c>
      <c r="AI2999" s="77" t="b">
        <v>0</v>
      </c>
      <c r="AJ2999" s="77"/>
      <c r="AK2999" s="77"/>
      <c r="AL2999" s="77"/>
      <c r="AM2999" s="77"/>
      <c r="AN2999" s="77"/>
      <c r="AO2999" s="77"/>
      <c r="AP2999" s="77"/>
      <c r="AQ2999" s="77"/>
      <c r="AR2999" s="77"/>
      <c r="AS2999" s="77"/>
      <c r="AT2999" s="77"/>
      <c r="AU2999" s="77"/>
      <c r="AV2999" s="83" t="str">
        <f>HYPERLINK("https://pbs.twimg.com/profile_images/1410742656532164608/_SQ-dzTk_normal.jpg")</f>
        <v>https://pbs.twimg.com/profile_images/1410742656532164608/_SQ-dzTk_normal.jpg</v>
      </c>
      <c r="AW2999" s="80" t="s">
        <v>18765</v>
      </c>
      <c r="AX2999" s="80" t="s">
        <v>18765</v>
      </c>
      <c r="AY2999" s="77"/>
      <c r="AZ2999" s="80" t="s">
        <v>20380</v>
      </c>
      <c r="BA2999" s="80" t="s">
        <v>19133</v>
      </c>
      <c r="BB2999" s="80" t="s">
        <v>20380</v>
      </c>
      <c r="BC2999" s="80" t="s">
        <v>19133</v>
      </c>
      <c r="BD2999" s="77">
        <v>50663227</v>
      </c>
      <c r="BE2999" s="77"/>
      <c r="BF2999" s="77"/>
      <c r="BG2999" s="77"/>
      <c r="BH2999" s="77"/>
      <c r="BI2999" s="77"/>
    </row>
    <row r="3000" spans="1:61" x14ac:dyDescent="0.25">
      <c r="A3000" s="62" t="s">
        <v>1194</v>
      </c>
      <c r="B3000" s="62" t="s">
        <v>1979</v>
      </c>
      <c r="C3000" s="63"/>
      <c r="D3000" s="64"/>
      <c r="E3000" s="65"/>
      <c r="F3000" s="66"/>
      <c r="G3000" s="63"/>
      <c r="H3000" s="67"/>
      <c r="I3000" s="68"/>
      <c r="J3000" s="68"/>
      <c r="K3000" s="32"/>
      <c r="L3000" s="75">
        <v>3000</v>
      </c>
      <c r="M3000" s="75"/>
      <c r="N3000" s="70"/>
      <c r="O3000" s="77" t="s">
        <v>2081</v>
      </c>
      <c r="P3000" s="79">
        <v>45084.97457175926</v>
      </c>
      <c r="Q3000" s="77" t="s">
        <v>4746</v>
      </c>
      <c r="R3000" s="77">
        <v>0</v>
      </c>
      <c r="S3000" s="77">
        <v>0</v>
      </c>
      <c r="T3000" s="77">
        <v>1</v>
      </c>
      <c r="U3000" s="77">
        <v>0</v>
      </c>
      <c r="V3000" s="77">
        <v>54</v>
      </c>
      <c r="W3000" s="80" t="s">
        <v>7760</v>
      </c>
      <c r="X3000" s="77"/>
      <c r="Y3000" s="77"/>
      <c r="Z3000" s="77" t="s">
        <v>8999</v>
      </c>
      <c r="AA3000" s="77" t="s">
        <v>10015</v>
      </c>
      <c r="AB3000" s="77" t="s">
        <v>10535</v>
      </c>
      <c r="AC3000" s="80" t="s">
        <v>10540</v>
      </c>
      <c r="AD3000" s="77" t="s">
        <v>10620</v>
      </c>
      <c r="AE3000" s="83" t="str">
        <f>HYPERLINK("https://twitter.com/1710ariana/status/1666586681493929984")</f>
        <v>https://twitter.com/1710ariana/status/1666586681493929984</v>
      </c>
      <c r="AF3000" s="79">
        <v>45084.97457175926</v>
      </c>
      <c r="AG3000" s="85">
        <v>45084</v>
      </c>
      <c r="AH3000" s="80" t="s">
        <v>13256</v>
      </c>
      <c r="AI3000" s="77" t="b">
        <v>0</v>
      </c>
      <c r="AJ3000" s="77"/>
      <c r="AK3000" s="77"/>
      <c r="AL3000" s="77"/>
      <c r="AM3000" s="77"/>
      <c r="AN3000" s="77"/>
      <c r="AO3000" s="77"/>
      <c r="AP3000" s="77"/>
      <c r="AQ3000" s="77" t="s">
        <v>15496</v>
      </c>
      <c r="AR3000" s="77"/>
      <c r="AS3000" s="77"/>
      <c r="AT3000" s="77"/>
      <c r="AU3000" s="77"/>
      <c r="AV3000" s="83" t="str">
        <f>HYPERLINK("https://pbs.twimg.com/media/FyDnwR_WwAEUzzx.jpg")</f>
        <v>https://pbs.twimg.com/media/FyDnwR_WwAEUzzx.jpg</v>
      </c>
      <c r="AW3000" s="80" t="s">
        <v>18766</v>
      </c>
      <c r="AX3000" s="80" t="s">
        <v>18766</v>
      </c>
      <c r="AY3000" s="77"/>
      <c r="AZ3000" s="80" t="s">
        <v>20380</v>
      </c>
      <c r="BA3000" s="80" t="s">
        <v>20380</v>
      </c>
      <c r="BB3000" s="80" t="s">
        <v>20380</v>
      </c>
      <c r="BC3000" s="80" t="s">
        <v>18766</v>
      </c>
      <c r="BD3000" s="77">
        <v>862965530</v>
      </c>
      <c r="BE3000" s="77"/>
      <c r="BF3000" s="77"/>
      <c r="BG3000" s="77"/>
      <c r="BH3000" s="77"/>
      <c r="BI3000" s="77"/>
    </row>
    <row r="3001" spans="1:61" x14ac:dyDescent="0.25">
      <c r="A3001" s="62" t="s">
        <v>1194</v>
      </c>
      <c r="B3001" s="62" t="s">
        <v>1980</v>
      </c>
      <c r="C3001" s="63"/>
      <c r="D3001" s="64"/>
      <c r="E3001" s="65"/>
      <c r="F3001" s="66"/>
      <c r="G3001" s="63"/>
      <c r="H3001" s="67"/>
      <c r="I3001" s="68"/>
      <c r="J3001" s="68"/>
      <c r="K3001" s="32"/>
      <c r="L3001" s="75">
        <v>3001</v>
      </c>
      <c r="M3001" s="75"/>
      <c r="N3001" s="70"/>
      <c r="O3001" s="77" t="s">
        <v>2081</v>
      </c>
      <c r="P3001" s="79">
        <v>45084.97457175926</v>
      </c>
      <c r="Q3001" s="77" t="s">
        <v>4746</v>
      </c>
      <c r="R3001" s="77">
        <v>0</v>
      </c>
      <c r="S3001" s="77">
        <v>0</v>
      </c>
      <c r="T3001" s="77">
        <v>1</v>
      </c>
      <c r="U3001" s="77">
        <v>0</v>
      </c>
      <c r="V3001" s="77">
        <v>54</v>
      </c>
      <c r="W3001" s="80" t="s">
        <v>7760</v>
      </c>
      <c r="X3001" s="77"/>
      <c r="Y3001" s="77"/>
      <c r="Z3001" s="77" t="s">
        <v>8999</v>
      </c>
      <c r="AA3001" s="77" t="s">
        <v>10015</v>
      </c>
      <c r="AB3001" s="77" t="s">
        <v>10535</v>
      </c>
      <c r="AC3001" s="80" t="s">
        <v>10540</v>
      </c>
      <c r="AD3001" s="77" t="s">
        <v>10620</v>
      </c>
      <c r="AE3001" s="83" t="str">
        <f>HYPERLINK("https://twitter.com/1710ariana/status/1666586681493929984")</f>
        <v>https://twitter.com/1710ariana/status/1666586681493929984</v>
      </c>
      <c r="AF3001" s="79">
        <v>45084.97457175926</v>
      </c>
      <c r="AG3001" s="85">
        <v>45084</v>
      </c>
      <c r="AH3001" s="80" t="s">
        <v>13256</v>
      </c>
      <c r="AI3001" s="77" t="b">
        <v>0</v>
      </c>
      <c r="AJ3001" s="77"/>
      <c r="AK3001" s="77"/>
      <c r="AL3001" s="77"/>
      <c r="AM3001" s="77"/>
      <c r="AN3001" s="77"/>
      <c r="AO3001" s="77"/>
      <c r="AP3001" s="77"/>
      <c r="AQ3001" s="77" t="s">
        <v>15496</v>
      </c>
      <c r="AR3001" s="77"/>
      <c r="AS3001" s="77"/>
      <c r="AT3001" s="77"/>
      <c r="AU3001" s="77"/>
      <c r="AV3001" s="83" t="str">
        <f>HYPERLINK("https://pbs.twimg.com/media/FyDnwR_WwAEUzzx.jpg")</f>
        <v>https://pbs.twimg.com/media/FyDnwR_WwAEUzzx.jpg</v>
      </c>
      <c r="AW3001" s="80" t="s">
        <v>18766</v>
      </c>
      <c r="AX3001" s="80" t="s">
        <v>18766</v>
      </c>
      <c r="AY3001" s="77"/>
      <c r="AZ3001" s="80" t="s">
        <v>20380</v>
      </c>
      <c r="BA3001" s="80" t="s">
        <v>20380</v>
      </c>
      <c r="BB3001" s="80" t="s">
        <v>20380</v>
      </c>
      <c r="BC3001" s="80" t="s">
        <v>18766</v>
      </c>
      <c r="BD3001" s="77">
        <v>862965530</v>
      </c>
      <c r="BE3001" s="77"/>
      <c r="BF3001" s="77"/>
      <c r="BG3001" s="77"/>
      <c r="BH3001" s="77"/>
      <c r="BI3001" s="77"/>
    </row>
    <row r="3002" spans="1:61" x14ac:dyDescent="0.25">
      <c r="A3002" s="62" t="s">
        <v>1194</v>
      </c>
      <c r="B3002" s="62" t="s">
        <v>1981</v>
      </c>
      <c r="C3002" s="63"/>
      <c r="D3002" s="64"/>
      <c r="E3002" s="65"/>
      <c r="F3002" s="66"/>
      <c r="G3002" s="63"/>
      <c r="H3002" s="67"/>
      <c r="I3002" s="68"/>
      <c r="J3002" s="68"/>
      <c r="K3002" s="32"/>
      <c r="L3002" s="75">
        <v>3002</v>
      </c>
      <c r="M3002" s="75"/>
      <c r="N3002" s="70"/>
      <c r="O3002" s="77" t="s">
        <v>2081</v>
      </c>
      <c r="P3002" s="79">
        <v>45084.97457175926</v>
      </c>
      <c r="Q3002" s="77" t="s">
        <v>4746</v>
      </c>
      <c r="R3002" s="77">
        <v>0</v>
      </c>
      <c r="S3002" s="77">
        <v>0</v>
      </c>
      <c r="T3002" s="77">
        <v>1</v>
      </c>
      <c r="U3002" s="77">
        <v>0</v>
      </c>
      <c r="V3002" s="77">
        <v>54</v>
      </c>
      <c r="W3002" s="80" t="s">
        <v>7760</v>
      </c>
      <c r="X3002" s="77"/>
      <c r="Y3002" s="77"/>
      <c r="Z3002" s="77" t="s">
        <v>8999</v>
      </c>
      <c r="AA3002" s="77" t="s">
        <v>10015</v>
      </c>
      <c r="AB3002" s="77" t="s">
        <v>10535</v>
      </c>
      <c r="AC3002" s="80" t="s">
        <v>10540</v>
      </c>
      <c r="AD3002" s="77" t="s">
        <v>10620</v>
      </c>
      <c r="AE3002" s="83" t="str">
        <f>HYPERLINK("https://twitter.com/1710ariana/status/1666586681493929984")</f>
        <v>https://twitter.com/1710ariana/status/1666586681493929984</v>
      </c>
      <c r="AF3002" s="79">
        <v>45084.97457175926</v>
      </c>
      <c r="AG3002" s="85">
        <v>45084</v>
      </c>
      <c r="AH3002" s="80" t="s">
        <v>13256</v>
      </c>
      <c r="AI3002" s="77" t="b">
        <v>0</v>
      </c>
      <c r="AJ3002" s="77"/>
      <c r="AK3002" s="77"/>
      <c r="AL3002" s="77"/>
      <c r="AM3002" s="77"/>
      <c r="AN3002" s="77"/>
      <c r="AO3002" s="77"/>
      <c r="AP3002" s="77"/>
      <c r="AQ3002" s="77" t="s">
        <v>15496</v>
      </c>
      <c r="AR3002" s="77"/>
      <c r="AS3002" s="77"/>
      <c r="AT3002" s="77"/>
      <c r="AU3002" s="77"/>
      <c r="AV3002" s="83" t="str">
        <f>HYPERLINK("https://pbs.twimg.com/media/FyDnwR_WwAEUzzx.jpg")</f>
        <v>https://pbs.twimg.com/media/FyDnwR_WwAEUzzx.jpg</v>
      </c>
      <c r="AW3002" s="80" t="s">
        <v>18766</v>
      </c>
      <c r="AX3002" s="80" t="s">
        <v>18766</v>
      </c>
      <c r="AY3002" s="77"/>
      <c r="AZ3002" s="80" t="s">
        <v>20380</v>
      </c>
      <c r="BA3002" s="80" t="s">
        <v>20380</v>
      </c>
      <c r="BB3002" s="80" t="s">
        <v>20380</v>
      </c>
      <c r="BC3002" s="80" t="s">
        <v>18766</v>
      </c>
      <c r="BD3002" s="77">
        <v>862965530</v>
      </c>
      <c r="BE3002" s="77"/>
      <c r="BF3002" s="77"/>
      <c r="BG3002" s="77"/>
      <c r="BH3002" s="77"/>
      <c r="BI3002" s="77"/>
    </row>
    <row r="3003" spans="1:61" x14ac:dyDescent="0.25">
      <c r="A3003" s="62" t="s">
        <v>1195</v>
      </c>
      <c r="B3003" s="62" t="s">
        <v>1195</v>
      </c>
      <c r="C3003" s="63"/>
      <c r="D3003" s="64"/>
      <c r="E3003" s="65"/>
      <c r="F3003" s="66"/>
      <c r="G3003" s="63"/>
      <c r="H3003" s="67"/>
      <c r="I3003" s="68"/>
      <c r="J3003" s="68"/>
      <c r="K3003" s="32"/>
      <c r="L3003" s="75">
        <v>3003</v>
      </c>
      <c r="M3003" s="75"/>
      <c r="N3003" s="70"/>
      <c r="O3003" s="77" t="s">
        <v>179</v>
      </c>
      <c r="P3003" s="79">
        <v>45082.830150462964</v>
      </c>
      <c r="Q3003" s="77" t="s">
        <v>4747</v>
      </c>
      <c r="R3003" s="77">
        <v>2</v>
      </c>
      <c r="S3003" s="77">
        <v>171</v>
      </c>
      <c r="T3003" s="77">
        <v>30</v>
      </c>
      <c r="U3003" s="77">
        <v>8</v>
      </c>
      <c r="V3003" s="77">
        <v>979401</v>
      </c>
      <c r="W3003" s="77"/>
      <c r="X3003" s="77"/>
      <c r="Y3003" s="77"/>
      <c r="Z3003" s="77"/>
      <c r="AA3003" s="77" t="s">
        <v>10016</v>
      </c>
      <c r="AB3003" s="77" t="s">
        <v>10535</v>
      </c>
      <c r="AC3003" s="80" t="s">
        <v>10541</v>
      </c>
      <c r="AD3003" s="77" t="s">
        <v>10620</v>
      </c>
      <c r="AE3003" s="83" t="str">
        <f>HYPERLINK("https://twitter.com/naranjax/status/1665809571414175744")</f>
        <v>https://twitter.com/naranjax/status/1665809571414175744</v>
      </c>
      <c r="AF3003" s="79">
        <v>45082.830150462964</v>
      </c>
      <c r="AG3003" s="85">
        <v>45082</v>
      </c>
      <c r="AH3003" s="80" t="s">
        <v>13257</v>
      </c>
      <c r="AI3003" s="77" t="b">
        <v>0</v>
      </c>
      <c r="AJ3003" s="77"/>
      <c r="AK3003" s="77"/>
      <c r="AL3003" s="77"/>
      <c r="AM3003" s="77"/>
      <c r="AN3003" s="77"/>
      <c r="AO3003" s="77"/>
      <c r="AP3003" s="77"/>
      <c r="AQ3003" s="77" t="s">
        <v>15497</v>
      </c>
      <c r="AR3003" s="77"/>
      <c r="AS3003" s="77"/>
      <c r="AT3003" s="77"/>
      <c r="AU3003" s="77"/>
      <c r="AV3003" s="83" t="str">
        <f>HYPERLINK("https://pbs.twimg.com/media/Fx4k3goWIAIj7LL.jpg")</f>
        <v>https://pbs.twimg.com/media/Fx4k3goWIAIj7LL.jpg</v>
      </c>
      <c r="AW3003" s="80" t="s">
        <v>18767</v>
      </c>
      <c r="AX3003" s="80" t="s">
        <v>18767</v>
      </c>
      <c r="AY3003" s="77"/>
      <c r="AZ3003" s="80" t="s">
        <v>20380</v>
      </c>
      <c r="BA3003" s="80" t="s">
        <v>20380</v>
      </c>
      <c r="BB3003" s="80" t="s">
        <v>20380</v>
      </c>
      <c r="BC3003" s="80" t="s">
        <v>18767</v>
      </c>
      <c r="BD3003" s="77">
        <v>55659088</v>
      </c>
      <c r="BE3003" s="77"/>
      <c r="BF3003" s="77"/>
      <c r="BG3003" s="77"/>
      <c r="BH3003" s="77"/>
      <c r="BI3003" s="77"/>
    </row>
    <row r="3004" spans="1:61" x14ac:dyDescent="0.25">
      <c r="A3004" s="62" t="s">
        <v>1196</v>
      </c>
      <c r="B3004" s="62" t="s">
        <v>1196</v>
      </c>
      <c r="C3004" s="63"/>
      <c r="D3004" s="64"/>
      <c r="E3004" s="65"/>
      <c r="F3004" s="66"/>
      <c r="G3004" s="63"/>
      <c r="H3004" s="67"/>
      <c r="I3004" s="68"/>
      <c r="J3004" s="68"/>
      <c r="K3004" s="32"/>
      <c r="L3004" s="75">
        <v>3004</v>
      </c>
      <c r="M3004" s="75"/>
      <c r="N3004" s="70"/>
      <c r="O3004" s="77" t="s">
        <v>179</v>
      </c>
      <c r="P3004" s="79">
        <v>45166.864583333336</v>
      </c>
      <c r="Q3004" s="77" t="s">
        <v>4748</v>
      </c>
      <c r="R3004" s="77">
        <v>0</v>
      </c>
      <c r="S3004" s="77">
        <v>0</v>
      </c>
      <c r="T3004" s="77">
        <v>0</v>
      </c>
      <c r="U3004" s="77">
        <v>0</v>
      </c>
      <c r="V3004" s="77">
        <v>22</v>
      </c>
      <c r="W3004" s="80" t="s">
        <v>5884</v>
      </c>
      <c r="X3004" s="83" t="str">
        <f>HYPERLINK("https://jovempan.com.br/noticias/economia/banco-central-informa-que-uma-so-pessoa-resgatou-r-28-milhoes-esquecidos.html")</f>
        <v>https://jovempan.com.br/noticias/economia/banco-central-informa-que-uma-so-pessoa-resgatou-r-28-milhoes-esquecidos.html</v>
      </c>
      <c r="Y3004" s="77" t="s">
        <v>8611</v>
      </c>
      <c r="Z3004" s="77"/>
      <c r="AA3004" s="77"/>
      <c r="AB3004" s="77"/>
      <c r="AC3004" s="80" t="s">
        <v>10541</v>
      </c>
      <c r="AD3004" s="77" t="s">
        <v>10617</v>
      </c>
      <c r="AE3004" s="83" t="str">
        <f>HYPERLINK("https://twitter.com/jovempangoiania/status/1696262627956040126")</f>
        <v>https://twitter.com/jovempangoiania/status/1696262627956040126</v>
      </c>
      <c r="AF3004" s="79">
        <v>45166.864583333336</v>
      </c>
      <c r="AG3004" s="85">
        <v>45166</v>
      </c>
      <c r="AH3004" s="80" t="s">
        <v>13258</v>
      </c>
      <c r="AI3004" s="77" t="b">
        <v>0</v>
      </c>
      <c r="AJ3004" s="77"/>
      <c r="AK3004" s="77"/>
      <c r="AL3004" s="77"/>
      <c r="AM3004" s="77"/>
      <c r="AN3004" s="77"/>
      <c r="AO3004" s="77"/>
      <c r="AP3004" s="77"/>
      <c r="AQ3004" s="77"/>
      <c r="AR3004" s="77"/>
      <c r="AS3004" s="77"/>
      <c r="AT3004" s="77"/>
      <c r="AU3004" s="77"/>
      <c r="AV3004" s="83" t="str">
        <f>HYPERLINK("https://pbs.twimg.com/profile_images/1650966257275994112/kyr0G21S_normal.jpg")</f>
        <v>https://pbs.twimg.com/profile_images/1650966257275994112/kyr0G21S_normal.jpg</v>
      </c>
      <c r="AW3004" s="80" t="s">
        <v>18768</v>
      </c>
      <c r="AX3004" s="80" t="s">
        <v>18768</v>
      </c>
      <c r="AY3004" s="77"/>
      <c r="AZ3004" s="80" t="s">
        <v>20380</v>
      </c>
      <c r="BA3004" s="80" t="s">
        <v>20380</v>
      </c>
      <c r="BB3004" s="80" t="s">
        <v>20380</v>
      </c>
      <c r="BC3004" s="80" t="s">
        <v>18768</v>
      </c>
      <c r="BD3004" s="77">
        <v>59325873</v>
      </c>
      <c r="BE3004" s="77"/>
      <c r="BF3004" s="77"/>
      <c r="BG3004" s="77"/>
      <c r="BH3004" s="77"/>
      <c r="BI3004" s="77"/>
    </row>
    <row r="3005" spans="1:61" x14ac:dyDescent="0.25">
      <c r="A3005" s="62" t="s">
        <v>1197</v>
      </c>
      <c r="B3005" s="62" t="s">
        <v>1197</v>
      </c>
      <c r="C3005" s="63"/>
      <c r="D3005" s="64"/>
      <c r="E3005" s="65"/>
      <c r="F3005" s="66"/>
      <c r="G3005" s="63"/>
      <c r="H3005" s="67"/>
      <c r="I3005" s="68"/>
      <c r="J3005" s="68"/>
      <c r="K3005" s="32"/>
      <c r="L3005" s="75">
        <v>3005</v>
      </c>
      <c r="M3005" s="75"/>
      <c r="N3005" s="70"/>
      <c r="O3005" s="77" t="s">
        <v>179</v>
      </c>
      <c r="P3005" s="79">
        <v>45090.701377314814</v>
      </c>
      <c r="Q3005" s="77" t="s">
        <v>4749</v>
      </c>
      <c r="R3005" s="77">
        <v>0</v>
      </c>
      <c r="S3005" s="77">
        <v>2</v>
      </c>
      <c r="T3005" s="77">
        <v>1</v>
      </c>
      <c r="U3005" s="77">
        <v>0</v>
      </c>
      <c r="V3005" s="77">
        <v>43</v>
      </c>
      <c r="W3005" s="80" t="s">
        <v>7761</v>
      </c>
      <c r="X3005" s="77"/>
      <c r="Y3005" s="77"/>
      <c r="Z3005" s="77"/>
      <c r="AA3005" s="77" t="s">
        <v>10017</v>
      </c>
      <c r="AB3005" s="77" t="s">
        <v>10535</v>
      </c>
      <c r="AC3005" s="80" t="s">
        <v>10541</v>
      </c>
      <c r="AD3005" s="77" t="s">
        <v>10620</v>
      </c>
      <c r="AE3005" s="83" t="str">
        <f>HYPERLINK("https://twitter.com/naviconarg/status/1668662006688231441")</f>
        <v>https://twitter.com/naviconarg/status/1668662006688231441</v>
      </c>
      <c r="AF3005" s="79">
        <v>45090.701377314814</v>
      </c>
      <c r="AG3005" s="85">
        <v>45090</v>
      </c>
      <c r="AH3005" s="80" t="s">
        <v>13259</v>
      </c>
      <c r="AI3005" s="77" t="b">
        <v>0</v>
      </c>
      <c r="AJ3005" s="77"/>
      <c r="AK3005" s="77"/>
      <c r="AL3005" s="77"/>
      <c r="AM3005" s="77"/>
      <c r="AN3005" s="77"/>
      <c r="AO3005" s="77"/>
      <c r="AP3005" s="77"/>
      <c r="AQ3005" s="77" t="s">
        <v>15498</v>
      </c>
      <c r="AR3005" s="77"/>
      <c r="AS3005" s="77"/>
      <c r="AT3005" s="77"/>
      <c r="AU3005" s="77"/>
      <c r="AV3005" s="83" t="str">
        <f>HYPERLINK("https://pbs.twimg.com/media/FyhGZtlXsBAL_ZQ.jpg")</f>
        <v>https://pbs.twimg.com/media/FyhGZtlXsBAL_ZQ.jpg</v>
      </c>
      <c r="AW3005" s="80" t="s">
        <v>18769</v>
      </c>
      <c r="AX3005" s="80" t="s">
        <v>18769</v>
      </c>
      <c r="AY3005" s="77"/>
      <c r="AZ3005" s="80" t="s">
        <v>20380</v>
      </c>
      <c r="BA3005" s="80" t="s">
        <v>20380</v>
      </c>
      <c r="BB3005" s="80" t="s">
        <v>20380</v>
      </c>
      <c r="BC3005" s="80" t="s">
        <v>18769</v>
      </c>
      <c r="BD3005" s="80" t="s">
        <v>20973</v>
      </c>
      <c r="BE3005" s="77"/>
      <c r="BF3005" s="77"/>
      <c r="BG3005" s="77"/>
      <c r="BH3005" s="77"/>
      <c r="BI3005" s="77"/>
    </row>
    <row r="3006" spans="1:61" x14ac:dyDescent="0.25">
      <c r="A3006" s="62" t="s">
        <v>1198</v>
      </c>
      <c r="B3006" s="62" t="s">
        <v>1528</v>
      </c>
      <c r="C3006" s="63"/>
      <c r="D3006" s="64"/>
      <c r="E3006" s="65"/>
      <c r="F3006" s="66"/>
      <c r="G3006" s="63"/>
      <c r="H3006" s="67"/>
      <c r="I3006" s="68"/>
      <c r="J3006" s="68"/>
      <c r="K3006" s="32"/>
      <c r="L3006" s="75">
        <v>3006</v>
      </c>
      <c r="M3006" s="75"/>
      <c r="N3006" s="70"/>
      <c r="O3006" s="77" t="s">
        <v>2085</v>
      </c>
      <c r="P3006" s="79">
        <v>45189.748726851853</v>
      </c>
      <c r="Q3006" s="77" t="s">
        <v>4750</v>
      </c>
      <c r="R3006" s="77">
        <v>3</v>
      </c>
      <c r="S3006" s="77">
        <v>0</v>
      </c>
      <c r="T3006" s="77">
        <v>0</v>
      </c>
      <c r="U3006" s="77">
        <v>0</v>
      </c>
      <c r="V3006" s="77"/>
      <c r="W3006" s="77"/>
      <c r="X3006" s="77"/>
      <c r="Y3006" s="77"/>
      <c r="Z3006" s="77" t="s">
        <v>9000</v>
      </c>
      <c r="AA3006" s="77"/>
      <c r="AB3006" s="77"/>
      <c r="AC3006" s="80" t="s">
        <v>10541</v>
      </c>
      <c r="AD3006" s="77" t="s">
        <v>10617</v>
      </c>
      <c r="AE3006" s="83" t="str">
        <f>HYPERLINK("https://twitter.com/jefferson26285/status/1704555565970608341")</f>
        <v>https://twitter.com/jefferson26285/status/1704555565970608341</v>
      </c>
      <c r="AF3006" s="79">
        <v>45189.748726851853</v>
      </c>
      <c r="AG3006" s="85">
        <v>45189</v>
      </c>
      <c r="AH3006" s="80" t="s">
        <v>13260</v>
      </c>
      <c r="AI3006" s="77"/>
      <c r="AJ3006" s="77"/>
      <c r="AK3006" s="77"/>
      <c r="AL3006" s="77"/>
      <c r="AM3006" s="77"/>
      <c r="AN3006" s="77"/>
      <c r="AO3006" s="77"/>
      <c r="AP3006" s="77"/>
      <c r="AQ3006" s="77"/>
      <c r="AR3006" s="77"/>
      <c r="AS3006" s="77"/>
      <c r="AT3006" s="77"/>
      <c r="AU3006" s="77"/>
      <c r="AV3006" s="83" t="str">
        <f>HYPERLINK("https://pbs.twimg.com/profile_images/892202562614636544/LgRRs5tt_normal.jpg")</f>
        <v>https://pbs.twimg.com/profile_images/892202562614636544/LgRRs5tt_normal.jpg</v>
      </c>
      <c r="AW3006" s="80" t="s">
        <v>18770</v>
      </c>
      <c r="AX3006" s="80" t="s">
        <v>18770</v>
      </c>
      <c r="AY3006" s="77"/>
      <c r="AZ3006" s="80" t="s">
        <v>20380</v>
      </c>
      <c r="BA3006" s="80" t="s">
        <v>20380</v>
      </c>
      <c r="BB3006" s="80" t="s">
        <v>19489</v>
      </c>
      <c r="BC3006" s="80" t="s">
        <v>19489</v>
      </c>
      <c r="BD3006" s="80" t="s">
        <v>20974</v>
      </c>
      <c r="BE3006" s="77"/>
      <c r="BF3006" s="77"/>
      <c r="BG3006" s="77"/>
      <c r="BH3006" s="77"/>
      <c r="BI3006" s="77"/>
    </row>
    <row r="3007" spans="1:61" x14ac:dyDescent="0.25">
      <c r="A3007" s="62" t="s">
        <v>1198</v>
      </c>
      <c r="B3007" s="62" t="s">
        <v>1528</v>
      </c>
      <c r="C3007" s="63"/>
      <c r="D3007" s="64"/>
      <c r="E3007" s="65"/>
      <c r="F3007" s="66"/>
      <c r="G3007" s="63"/>
      <c r="H3007" s="67"/>
      <c r="I3007" s="68"/>
      <c r="J3007" s="68"/>
      <c r="K3007" s="32"/>
      <c r="L3007" s="75">
        <v>3007</v>
      </c>
      <c r="M3007" s="75"/>
      <c r="N3007" s="70"/>
      <c r="O3007" s="77" t="s">
        <v>2083</v>
      </c>
      <c r="P3007" s="79">
        <v>45189.748726851853</v>
      </c>
      <c r="Q3007" s="77" t="s">
        <v>4750</v>
      </c>
      <c r="R3007" s="77">
        <v>3</v>
      </c>
      <c r="S3007" s="77">
        <v>0</v>
      </c>
      <c r="T3007" s="77">
        <v>0</v>
      </c>
      <c r="U3007" s="77">
        <v>0</v>
      </c>
      <c r="V3007" s="77"/>
      <c r="W3007" s="77"/>
      <c r="X3007" s="77"/>
      <c r="Y3007" s="77"/>
      <c r="Z3007" s="77" t="s">
        <v>9000</v>
      </c>
      <c r="AA3007" s="77"/>
      <c r="AB3007" s="77"/>
      <c r="AC3007" s="80" t="s">
        <v>10541</v>
      </c>
      <c r="AD3007" s="77" t="s">
        <v>10617</v>
      </c>
      <c r="AE3007" s="83" t="str">
        <f>HYPERLINK("https://twitter.com/jefferson26285/status/1704555565970608341")</f>
        <v>https://twitter.com/jefferson26285/status/1704555565970608341</v>
      </c>
      <c r="AF3007" s="79">
        <v>45189.748726851853</v>
      </c>
      <c r="AG3007" s="85">
        <v>45189</v>
      </c>
      <c r="AH3007" s="80" t="s">
        <v>13260</v>
      </c>
      <c r="AI3007" s="77"/>
      <c r="AJ3007" s="77"/>
      <c r="AK3007" s="77"/>
      <c r="AL3007" s="77"/>
      <c r="AM3007" s="77"/>
      <c r="AN3007" s="77"/>
      <c r="AO3007" s="77"/>
      <c r="AP3007" s="77"/>
      <c r="AQ3007" s="77"/>
      <c r="AR3007" s="77"/>
      <c r="AS3007" s="77"/>
      <c r="AT3007" s="77"/>
      <c r="AU3007" s="77"/>
      <c r="AV3007" s="83" t="str">
        <f>HYPERLINK("https://pbs.twimg.com/profile_images/892202562614636544/LgRRs5tt_normal.jpg")</f>
        <v>https://pbs.twimg.com/profile_images/892202562614636544/LgRRs5tt_normal.jpg</v>
      </c>
      <c r="AW3007" s="80" t="s">
        <v>18770</v>
      </c>
      <c r="AX3007" s="80" t="s">
        <v>18770</v>
      </c>
      <c r="AY3007" s="77"/>
      <c r="AZ3007" s="80" t="s">
        <v>20380</v>
      </c>
      <c r="BA3007" s="80" t="s">
        <v>20380</v>
      </c>
      <c r="BB3007" s="80" t="s">
        <v>19489</v>
      </c>
      <c r="BC3007" s="80" t="s">
        <v>19489</v>
      </c>
      <c r="BD3007" s="80" t="s">
        <v>20974</v>
      </c>
      <c r="BE3007" s="77"/>
      <c r="BF3007" s="77"/>
      <c r="BG3007" s="77"/>
      <c r="BH3007" s="77"/>
      <c r="BI3007" s="77"/>
    </row>
    <row r="3008" spans="1:61" x14ac:dyDescent="0.25">
      <c r="A3008" s="62" t="s">
        <v>1199</v>
      </c>
      <c r="B3008" s="62" t="s">
        <v>1199</v>
      </c>
      <c r="C3008" s="63"/>
      <c r="D3008" s="64"/>
      <c r="E3008" s="65"/>
      <c r="F3008" s="66"/>
      <c r="G3008" s="63"/>
      <c r="H3008" s="67"/>
      <c r="I3008" s="68"/>
      <c r="J3008" s="68"/>
      <c r="K3008" s="32"/>
      <c r="L3008" s="75">
        <v>3008</v>
      </c>
      <c r="M3008" s="75"/>
      <c r="N3008" s="70"/>
      <c r="O3008" s="77" t="s">
        <v>179</v>
      </c>
      <c r="P3008" s="79">
        <v>45100.563958333332</v>
      </c>
      <c r="Q3008" s="77" t="s">
        <v>4751</v>
      </c>
      <c r="R3008" s="77">
        <v>0</v>
      </c>
      <c r="S3008" s="77">
        <v>0</v>
      </c>
      <c r="T3008" s="77">
        <v>0</v>
      </c>
      <c r="U3008" s="77">
        <v>0</v>
      </c>
      <c r="V3008" s="77">
        <v>328</v>
      </c>
      <c r="W3008" s="80" t="s">
        <v>5884</v>
      </c>
      <c r="X3008" s="77"/>
      <c r="Y3008" s="77"/>
      <c r="Z3008" s="77"/>
      <c r="AA3008" s="77" t="s">
        <v>10018</v>
      </c>
      <c r="AB3008" s="77" t="s">
        <v>10535</v>
      </c>
      <c r="AC3008" s="80" t="s">
        <v>10540</v>
      </c>
      <c r="AD3008" s="77" t="s">
        <v>10620</v>
      </c>
      <c r="AE3008" s="83" t="str">
        <f>HYPERLINK("https://twitter.com/radiofenix951/status/1672236086037291008")</f>
        <v>https://twitter.com/radiofenix951/status/1672236086037291008</v>
      </c>
      <c r="AF3008" s="79">
        <v>45100.563958333332</v>
      </c>
      <c r="AG3008" s="85">
        <v>45100</v>
      </c>
      <c r="AH3008" s="80" t="s">
        <v>13261</v>
      </c>
      <c r="AI3008" s="77" t="b">
        <v>0</v>
      </c>
      <c r="AJ3008" s="77"/>
      <c r="AK3008" s="77"/>
      <c r="AL3008" s="77"/>
      <c r="AM3008" s="77"/>
      <c r="AN3008" s="77"/>
      <c r="AO3008" s="77"/>
      <c r="AP3008" s="77"/>
      <c r="AQ3008" s="77" t="s">
        <v>15499</v>
      </c>
      <c r="AR3008" s="77"/>
      <c r="AS3008" s="77"/>
      <c r="AT3008" s="77"/>
      <c r="AU3008" s="77"/>
      <c r="AV3008" s="83" t="str">
        <f>HYPERLINK("https://pbs.twimg.com/media/FzT524BWIAAdjEF.jpg")</f>
        <v>https://pbs.twimg.com/media/FzT524BWIAAdjEF.jpg</v>
      </c>
      <c r="AW3008" s="80" t="s">
        <v>18771</v>
      </c>
      <c r="AX3008" s="80" t="s">
        <v>18771</v>
      </c>
      <c r="AY3008" s="77"/>
      <c r="AZ3008" s="80" t="s">
        <v>20380</v>
      </c>
      <c r="BA3008" s="80" t="s">
        <v>20380</v>
      </c>
      <c r="BB3008" s="80" t="s">
        <v>20380</v>
      </c>
      <c r="BC3008" s="80" t="s">
        <v>18771</v>
      </c>
      <c r="BD3008" s="77">
        <v>393851882</v>
      </c>
      <c r="BE3008" s="77"/>
      <c r="BF3008" s="77"/>
      <c r="BG3008" s="77"/>
      <c r="BH3008" s="77"/>
      <c r="BI3008" s="77"/>
    </row>
    <row r="3009" spans="1:61" x14ac:dyDescent="0.25">
      <c r="A3009" s="62" t="s">
        <v>1200</v>
      </c>
      <c r="B3009" s="62" t="s">
        <v>1200</v>
      </c>
      <c r="C3009" s="63"/>
      <c r="D3009" s="64"/>
      <c r="E3009" s="65"/>
      <c r="F3009" s="66"/>
      <c r="G3009" s="63"/>
      <c r="H3009" s="67"/>
      <c r="I3009" s="68"/>
      <c r="J3009" s="68"/>
      <c r="K3009" s="32"/>
      <c r="L3009" s="75">
        <v>3009</v>
      </c>
      <c r="M3009" s="75"/>
      <c r="N3009" s="70"/>
      <c r="O3009" s="77" t="s">
        <v>179</v>
      </c>
      <c r="P3009" s="79">
        <v>45100.507986111108</v>
      </c>
      <c r="Q3009" s="77" t="s">
        <v>4752</v>
      </c>
      <c r="R3009" s="77">
        <v>1</v>
      </c>
      <c r="S3009" s="77">
        <v>2</v>
      </c>
      <c r="T3009" s="77">
        <v>0</v>
      </c>
      <c r="U3009" s="77">
        <v>0</v>
      </c>
      <c r="V3009" s="77">
        <v>72</v>
      </c>
      <c r="W3009" s="80" t="s">
        <v>7762</v>
      </c>
      <c r="X3009" s="83" t="str">
        <f>HYPERLINK("https://lobscontabil.com/desenrola-valores-serao-divididos-em-5-anos/")</f>
        <v>https://lobscontabil.com/desenrola-valores-serao-divididos-em-5-anos/</v>
      </c>
      <c r="Y3009" s="77" t="s">
        <v>8812</v>
      </c>
      <c r="Z3009" s="77"/>
      <c r="AA3009" s="77" t="s">
        <v>10019</v>
      </c>
      <c r="AB3009" s="77" t="s">
        <v>10535</v>
      </c>
      <c r="AC3009" s="80" t="s">
        <v>10546</v>
      </c>
      <c r="AD3009" s="77" t="s">
        <v>10617</v>
      </c>
      <c r="AE3009" s="83" t="str">
        <f>HYPERLINK("https://twitter.com/lobscontabilid1/status/1672215803335172097")</f>
        <v>https://twitter.com/lobscontabilid1/status/1672215803335172097</v>
      </c>
      <c r="AF3009" s="79">
        <v>45100.507986111108</v>
      </c>
      <c r="AG3009" s="85">
        <v>45100</v>
      </c>
      <c r="AH3009" s="80" t="s">
        <v>13262</v>
      </c>
      <c r="AI3009" s="77" t="b">
        <v>0</v>
      </c>
      <c r="AJ3009" s="77"/>
      <c r="AK3009" s="77"/>
      <c r="AL3009" s="77"/>
      <c r="AM3009" s="77"/>
      <c r="AN3009" s="77"/>
      <c r="AO3009" s="77"/>
      <c r="AP3009" s="77"/>
      <c r="AQ3009" s="77" t="s">
        <v>15500</v>
      </c>
      <c r="AR3009" s="77"/>
      <c r="AS3009" s="77"/>
      <c r="AT3009" s="77"/>
      <c r="AU3009" s="77"/>
      <c r="AV3009" s="83" t="str">
        <f>HYPERLINK("https://pbs.twimg.com/media/FzTnaTyXgAMwHNs.png")</f>
        <v>https://pbs.twimg.com/media/FzTnaTyXgAMwHNs.png</v>
      </c>
      <c r="AW3009" s="80" t="s">
        <v>18772</v>
      </c>
      <c r="AX3009" s="80" t="s">
        <v>18772</v>
      </c>
      <c r="AY3009" s="77"/>
      <c r="AZ3009" s="80" t="s">
        <v>20380</v>
      </c>
      <c r="BA3009" s="80" t="s">
        <v>20380</v>
      </c>
      <c r="BB3009" s="80" t="s">
        <v>20380</v>
      </c>
      <c r="BC3009" s="80" t="s">
        <v>18772</v>
      </c>
      <c r="BD3009" s="80" t="s">
        <v>20975</v>
      </c>
      <c r="BE3009" s="77"/>
      <c r="BF3009" s="77"/>
      <c r="BG3009" s="77"/>
      <c r="BH3009" s="77"/>
      <c r="BI3009" s="77"/>
    </row>
    <row r="3010" spans="1:61" x14ac:dyDescent="0.25">
      <c r="A3010" s="62" t="s">
        <v>1200</v>
      </c>
      <c r="B3010" s="62" t="s">
        <v>1200</v>
      </c>
      <c r="C3010" s="63"/>
      <c r="D3010" s="64"/>
      <c r="E3010" s="65"/>
      <c r="F3010" s="66"/>
      <c r="G3010" s="63"/>
      <c r="H3010" s="67"/>
      <c r="I3010" s="68"/>
      <c r="J3010" s="68"/>
      <c r="K3010" s="32"/>
      <c r="L3010" s="75">
        <v>3010</v>
      </c>
      <c r="M3010" s="75"/>
      <c r="N3010" s="70"/>
      <c r="O3010" s="77" t="s">
        <v>179</v>
      </c>
      <c r="P3010" s="79">
        <v>45111.488738425927</v>
      </c>
      <c r="Q3010" s="77" t="s">
        <v>4753</v>
      </c>
      <c r="R3010" s="77">
        <v>1</v>
      </c>
      <c r="S3010" s="77">
        <v>1</v>
      </c>
      <c r="T3010" s="77">
        <v>0</v>
      </c>
      <c r="U3010" s="77">
        <v>0</v>
      </c>
      <c r="V3010" s="77">
        <v>206</v>
      </c>
      <c r="W3010" s="80" t="s">
        <v>7763</v>
      </c>
      <c r="X3010" s="83" t="str">
        <f>HYPERLINK("https://lobscontabil.com/pix-pode-ser-taxado-nos-pequenos-negocios/")</f>
        <v>https://lobscontabil.com/pix-pode-ser-taxado-nos-pequenos-negocios/</v>
      </c>
      <c r="Y3010" s="77" t="s">
        <v>8812</v>
      </c>
      <c r="Z3010" s="77"/>
      <c r="AA3010" s="77" t="s">
        <v>10020</v>
      </c>
      <c r="AB3010" s="77" t="s">
        <v>10535</v>
      </c>
      <c r="AC3010" s="80" t="s">
        <v>10546</v>
      </c>
      <c r="AD3010" s="77" t="s">
        <v>10617</v>
      </c>
      <c r="AE3010" s="83" t="str">
        <f>HYPERLINK("https://twitter.com/lobscontabilid1/status/1676195096750850053")</f>
        <v>https://twitter.com/lobscontabilid1/status/1676195096750850053</v>
      </c>
      <c r="AF3010" s="79">
        <v>45111.488738425927</v>
      </c>
      <c r="AG3010" s="85">
        <v>45111</v>
      </c>
      <c r="AH3010" s="80" t="s">
        <v>13263</v>
      </c>
      <c r="AI3010" s="77" t="b">
        <v>0</v>
      </c>
      <c r="AJ3010" s="77"/>
      <c r="AK3010" s="77"/>
      <c r="AL3010" s="77"/>
      <c r="AM3010" s="77"/>
      <c r="AN3010" s="77"/>
      <c r="AO3010" s="77"/>
      <c r="AP3010" s="77"/>
      <c r="AQ3010" s="77" t="s">
        <v>15501</v>
      </c>
      <c r="AR3010" s="77"/>
      <c r="AS3010" s="77"/>
      <c r="AT3010" s="77"/>
      <c r="AU3010" s="77"/>
      <c r="AV3010" s="83" t="str">
        <f>HYPERLINK("https://pbs.twimg.com/media/F0MKjtaWwAEHdWn.png")</f>
        <v>https://pbs.twimg.com/media/F0MKjtaWwAEHdWn.png</v>
      </c>
      <c r="AW3010" s="80" t="s">
        <v>18773</v>
      </c>
      <c r="AX3010" s="80" t="s">
        <v>18773</v>
      </c>
      <c r="AY3010" s="77"/>
      <c r="AZ3010" s="80" t="s">
        <v>20380</v>
      </c>
      <c r="BA3010" s="80" t="s">
        <v>20380</v>
      </c>
      <c r="BB3010" s="80" t="s">
        <v>20380</v>
      </c>
      <c r="BC3010" s="80" t="s">
        <v>18773</v>
      </c>
      <c r="BD3010" s="80" t="s">
        <v>20975</v>
      </c>
      <c r="BE3010" s="77"/>
      <c r="BF3010" s="77"/>
      <c r="BG3010" s="77"/>
      <c r="BH3010" s="77"/>
      <c r="BI3010" s="77"/>
    </row>
    <row r="3011" spans="1:61" x14ac:dyDescent="0.25">
      <c r="A3011" s="62" t="s">
        <v>1200</v>
      </c>
      <c r="B3011" s="62" t="s">
        <v>1200</v>
      </c>
      <c r="C3011" s="63"/>
      <c r="D3011" s="64"/>
      <c r="E3011" s="65"/>
      <c r="F3011" s="66"/>
      <c r="G3011" s="63"/>
      <c r="H3011" s="67"/>
      <c r="I3011" s="68"/>
      <c r="J3011" s="68"/>
      <c r="K3011" s="32"/>
      <c r="L3011" s="75">
        <v>3011</v>
      </c>
      <c r="M3011" s="75"/>
      <c r="N3011" s="70"/>
      <c r="O3011" s="77" t="s">
        <v>179</v>
      </c>
      <c r="P3011" s="79">
        <v>45162.49082175926</v>
      </c>
      <c r="Q3011" s="77" t="s">
        <v>4754</v>
      </c>
      <c r="R3011" s="77">
        <v>1</v>
      </c>
      <c r="S3011" s="77">
        <v>1</v>
      </c>
      <c r="T3011" s="77">
        <v>0</v>
      </c>
      <c r="U3011" s="77">
        <v>0</v>
      </c>
      <c r="V3011" s="77">
        <v>36</v>
      </c>
      <c r="W3011" s="80" t="s">
        <v>7764</v>
      </c>
      <c r="X3011" s="83" t="str">
        <f>HYPERLINK("https://lobscontabil.com/trabalhador-tera-pagamento-via-pix-diretamente-do-saldo-do-fgts/")</f>
        <v>https://lobscontabil.com/trabalhador-tera-pagamento-via-pix-diretamente-do-saldo-do-fgts/</v>
      </c>
      <c r="Y3011" s="77" t="s">
        <v>8812</v>
      </c>
      <c r="Z3011" s="77"/>
      <c r="AA3011" s="77" t="s">
        <v>10021</v>
      </c>
      <c r="AB3011" s="77" t="s">
        <v>10535</v>
      </c>
      <c r="AC3011" s="80" t="s">
        <v>10541</v>
      </c>
      <c r="AD3011" s="77" t="s">
        <v>10617</v>
      </c>
      <c r="AE3011" s="83" t="str">
        <f>HYPERLINK("https://twitter.com/lobscontabilid1/status/1694677629553496255")</f>
        <v>https://twitter.com/lobscontabilid1/status/1694677629553496255</v>
      </c>
      <c r="AF3011" s="79">
        <v>45162.49082175926</v>
      </c>
      <c r="AG3011" s="85">
        <v>45162</v>
      </c>
      <c r="AH3011" s="80" t="s">
        <v>13264</v>
      </c>
      <c r="AI3011" s="77" t="b">
        <v>0</v>
      </c>
      <c r="AJ3011" s="77"/>
      <c r="AK3011" s="77"/>
      <c r="AL3011" s="77"/>
      <c r="AM3011" s="77"/>
      <c r="AN3011" s="77"/>
      <c r="AO3011" s="77"/>
      <c r="AP3011" s="77"/>
      <c r="AQ3011" s="77" t="s">
        <v>15502</v>
      </c>
      <c r="AR3011" s="77"/>
      <c r="AS3011" s="77"/>
      <c r="AT3011" s="77"/>
      <c r="AU3011" s="77"/>
      <c r="AV3011" s="83" t="str">
        <f>HYPERLINK("https://pbs.twimg.com/media/F4S0UVSW8AA9tWb.jpg")</f>
        <v>https://pbs.twimg.com/media/F4S0UVSW8AA9tWb.jpg</v>
      </c>
      <c r="AW3011" s="80" t="s">
        <v>18774</v>
      </c>
      <c r="AX3011" s="80" t="s">
        <v>18774</v>
      </c>
      <c r="AY3011" s="77"/>
      <c r="AZ3011" s="80" t="s">
        <v>20380</v>
      </c>
      <c r="BA3011" s="80" t="s">
        <v>20380</v>
      </c>
      <c r="BB3011" s="80" t="s">
        <v>20380</v>
      </c>
      <c r="BC3011" s="80" t="s">
        <v>18774</v>
      </c>
      <c r="BD3011" s="80" t="s">
        <v>20975</v>
      </c>
      <c r="BE3011" s="77"/>
      <c r="BF3011" s="77"/>
      <c r="BG3011" s="77"/>
      <c r="BH3011" s="77"/>
      <c r="BI3011" s="77"/>
    </row>
    <row r="3012" spans="1:61" x14ac:dyDescent="0.25">
      <c r="A3012" s="62" t="s">
        <v>1200</v>
      </c>
      <c r="B3012" s="62" t="s">
        <v>1200</v>
      </c>
      <c r="C3012" s="63"/>
      <c r="D3012" s="64"/>
      <c r="E3012" s="65"/>
      <c r="F3012" s="66"/>
      <c r="G3012" s="63"/>
      <c r="H3012" s="67"/>
      <c r="I3012" s="68"/>
      <c r="J3012" s="68"/>
      <c r="K3012" s="32"/>
      <c r="L3012" s="75">
        <v>3012</v>
      </c>
      <c r="M3012" s="75"/>
      <c r="N3012" s="70"/>
      <c r="O3012" s="77" t="s">
        <v>179</v>
      </c>
      <c r="P3012" s="79">
        <v>45163.536319444444</v>
      </c>
      <c r="Q3012" s="77" t="s">
        <v>4755</v>
      </c>
      <c r="R3012" s="77">
        <v>1</v>
      </c>
      <c r="S3012" s="77">
        <v>1</v>
      </c>
      <c r="T3012" s="77">
        <v>0</v>
      </c>
      <c r="U3012" s="77">
        <v>0</v>
      </c>
      <c r="V3012" s="77">
        <v>24</v>
      </c>
      <c r="W3012" s="80" t="s">
        <v>7765</v>
      </c>
      <c r="X3012" s="83" t="str">
        <f>HYPERLINK("https://lobscontabil.com/consumidor-podera-fazer-compras-com-credito-via-pix/")</f>
        <v>https://lobscontabil.com/consumidor-podera-fazer-compras-com-credito-via-pix/</v>
      </c>
      <c r="Y3012" s="77" t="s">
        <v>8812</v>
      </c>
      <c r="Z3012" s="77"/>
      <c r="AA3012" s="77" t="s">
        <v>10022</v>
      </c>
      <c r="AB3012" s="77" t="s">
        <v>10535</v>
      </c>
      <c r="AC3012" s="80" t="s">
        <v>10541</v>
      </c>
      <c r="AD3012" s="77" t="s">
        <v>10617</v>
      </c>
      <c r="AE3012" s="83" t="str">
        <f>HYPERLINK("https://twitter.com/lobscontabilid1/status/1695056506998198284")</f>
        <v>https://twitter.com/lobscontabilid1/status/1695056506998198284</v>
      </c>
      <c r="AF3012" s="79">
        <v>45163.536319444444</v>
      </c>
      <c r="AG3012" s="85">
        <v>45163</v>
      </c>
      <c r="AH3012" s="80" t="s">
        <v>13265</v>
      </c>
      <c r="AI3012" s="77" t="b">
        <v>0</v>
      </c>
      <c r="AJ3012" s="77"/>
      <c r="AK3012" s="77"/>
      <c r="AL3012" s="77"/>
      <c r="AM3012" s="77"/>
      <c r="AN3012" s="77"/>
      <c r="AO3012" s="77"/>
      <c r="AP3012" s="77"/>
      <c r="AQ3012" s="77" t="s">
        <v>15503</v>
      </c>
      <c r="AR3012" s="77"/>
      <c r="AS3012" s="77"/>
      <c r="AT3012" s="77"/>
      <c r="AU3012" s="77"/>
      <c r="AV3012" s="83" t="str">
        <f>HYPERLINK("https://pbs.twimg.com/media/F4YMkH8XIAAVIOR.jpg")</f>
        <v>https://pbs.twimg.com/media/F4YMkH8XIAAVIOR.jpg</v>
      </c>
      <c r="AW3012" s="80" t="s">
        <v>18775</v>
      </c>
      <c r="AX3012" s="80" t="s">
        <v>18775</v>
      </c>
      <c r="AY3012" s="77"/>
      <c r="AZ3012" s="80" t="s">
        <v>20380</v>
      </c>
      <c r="BA3012" s="80" t="s">
        <v>20380</v>
      </c>
      <c r="BB3012" s="80" t="s">
        <v>20380</v>
      </c>
      <c r="BC3012" s="80" t="s">
        <v>18775</v>
      </c>
      <c r="BD3012" s="80" t="s">
        <v>20975</v>
      </c>
      <c r="BE3012" s="77"/>
      <c r="BF3012" s="77"/>
      <c r="BG3012" s="77"/>
      <c r="BH3012" s="77"/>
      <c r="BI3012" s="77"/>
    </row>
    <row r="3013" spans="1:61" x14ac:dyDescent="0.25">
      <c r="A3013" s="62" t="s">
        <v>1201</v>
      </c>
      <c r="B3013" s="62" t="s">
        <v>1201</v>
      </c>
      <c r="C3013" s="63"/>
      <c r="D3013" s="64"/>
      <c r="E3013" s="65"/>
      <c r="F3013" s="66"/>
      <c r="G3013" s="63"/>
      <c r="H3013" s="67"/>
      <c r="I3013" s="68"/>
      <c r="J3013" s="68"/>
      <c r="K3013" s="32"/>
      <c r="L3013" s="75">
        <v>3013</v>
      </c>
      <c r="M3013" s="75"/>
      <c r="N3013" s="70"/>
      <c r="O3013" s="77" t="s">
        <v>179</v>
      </c>
      <c r="P3013" s="79">
        <v>45171.710682870369</v>
      </c>
      <c r="Q3013" s="77" t="s">
        <v>4756</v>
      </c>
      <c r="R3013" s="77">
        <v>1</v>
      </c>
      <c r="S3013" s="77">
        <v>23</v>
      </c>
      <c r="T3013" s="77">
        <v>1</v>
      </c>
      <c r="U3013" s="77">
        <v>0</v>
      </c>
      <c r="V3013" s="77">
        <v>1215</v>
      </c>
      <c r="W3013" s="80" t="s">
        <v>7766</v>
      </c>
      <c r="X3013" s="77"/>
      <c r="Y3013" s="77"/>
      <c r="Z3013" s="77"/>
      <c r="AA3013" s="77" t="s">
        <v>10023</v>
      </c>
      <c r="AB3013" s="77" t="s">
        <v>10535</v>
      </c>
      <c r="AC3013" s="80" t="s">
        <v>10541</v>
      </c>
      <c r="AD3013" s="77" t="s">
        <v>10619</v>
      </c>
      <c r="AE3013" s="83" t="str">
        <f>HYPERLINK("https://twitter.com/economainstream/status/1698018796550734168")</f>
        <v>https://twitter.com/economainstream/status/1698018796550734168</v>
      </c>
      <c r="AF3013" s="79">
        <v>45171.710682870369</v>
      </c>
      <c r="AG3013" s="85">
        <v>45171</v>
      </c>
      <c r="AH3013" s="80" t="s">
        <v>13266</v>
      </c>
      <c r="AI3013" s="77" t="b">
        <v>0</v>
      </c>
      <c r="AJ3013" s="77"/>
      <c r="AK3013" s="77"/>
      <c r="AL3013" s="77"/>
      <c r="AM3013" s="77"/>
      <c r="AN3013" s="77"/>
      <c r="AO3013" s="77"/>
      <c r="AP3013" s="77"/>
      <c r="AQ3013" s="77" t="s">
        <v>15504</v>
      </c>
      <c r="AR3013" s="77"/>
      <c r="AS3013" s="77"/>
      <c r="AT3013" s="77"/>
      <c r="AU3013" s="77"/>
      <c r="AV3013" s="83" t="str">
        <f>HYPERLINK("https://pbs.twimg.com/media/F5CS1-cW4AAwj2c.jpg")</f>
        <v>https://pbs.twimg.com/media/F5CS1-cW4AAwj2c.jpg</v>
      </c>
      <c r="AW3013" s="80" t="s">
        <v>18776</v>
      </c>
      <c r="AX3013" s="80" t="s">
        <v>18776</v>
      </c>
      <c r="AY3013" s="77"/>
      <c r="AZ3013" s="80" t="s">
        <v>20380</v>
      </c>
      <c r="BA3013" s="80" t="s">
        <v>20380</v>
      </c>
      <c r="BB3013" s="80" t="s">
        <v>20380</v>
      </c>
      <c r="BC3013" s="80" t="s">
        <v>18776</v>
      </c>
      <c r="BD3013" s="80" t="s">
        <v>20976</v>
      </c>
      <c r="BE3013" s="77"/>
      <c r="BF3013" s="77"/>
      <c r="BG3013" s="77"/>
      <c r="BH3013" s="77"/>
      <c r="BI3013" s="77"/>
    </row>
    <row r="3014" spans="1:61" x14ac:dyDescent="0.25">
      <c r="A3014" s="62" t="s">
        <v>1202</v>
      </c>
      <c r="B3014" s="62" t="s">
        <v>1982</v>
      </c>
      <c r="C3014" s="63"/>
      <c r="D3014" s="64"/>
      <c r="E3014" s="65"/>
      <c r="F3014" s="66"/>
      <c r="G3014" s="63"/>
      <c r="H3014" s="67"/>
      <c r="I3014" s="68"/>
      <c r="J3014" s="68"/>
      <c r="K3014" s="32"/>
      <c r="L3014" s="75">
        <v>3014</v>
      </c>
      <c r="M3014" s="75"/>
      <c r="N3014" s="70"/>
      <c r="O3014" s="77" t="s">
        <v>2081</v>
      </c>
      <c r="P3014" s="79">
        <v>45051.728483796294</v>
      </c>
      <c r="Q3014" s="77" t="s">
        <v>4757</v>
      </c>
      <c r="R3014" s="77">
        <v>0</v>
      </c>
      <c r="S3014" s="77">
        <v>0</v>
      </c>
      <c r="T3014" s="77">
        <v>0</v>
      </c>
      <c r="U3014" s="77">
        <v>0</v>
      </c>
      <c r="V3014" s="77">
        <v>37</v>
      </c>
      <c r="W3014" s="80" t="s">
        <v>7767</v>
      </c>
      <c r="X3014" s="83" t="str">
        <f>HYPERLINK("https://mundopoder.com/el-banco-central-escracho-a-tinelli-que-debe-mas-de-630-millones/")</f>
        <v>https://mundopoder.com/el-banco-central-escracho-a-tinelli-que-debe-mas-de-630-millones/</v>
      </c>
      <c r="Y3014" s="77" t="s">
        <v>8813</v>
      </c>
      <c r="Z3014" s="77" t="s">
        <v>1982</v>
      </c>
      <c r="AA3014" s="77" t="s">
        <v>10024</v>
      </c>
      <c r="AB3014" s="77" t="s">
        <v>10535</v>
      </c>
      <c r="AC3014" s="80" t="s">
        <v>10541</v>
      </c>
      <c r="AD3014" s="77" t="s">
        <v>10620</v>
      </c>
      <c r="AE3014" s="83" t="str">
        <f>HYPERLINK("https://twitter.com/mundopoderok/status/1654538702188584961")</f>
        <v>https://twitter.com/mundopoderok/status/1654538702188584961</v>
      </c>
      <c r="AF3014" s="79">
        <v>45051.728483796294</v>
      </c>
      <c r="AG3014" s="85">
        <v>45051</v>
      </c>
      <c r="AH3014" s="80" t="s">
        <v>13267</v>
      </c>
      <c r="AI3014" s="77" t="b">
        <v>1</v>
      </c>
      <c r="AJ3014" s="77"/>
      <c r="AK3014" s="77"/>
      <c r="AL3014" s="77"/>
      <c r="AM3014" s="77"/>
      <c r="AN3014" s="77"/>
      <c r="AO3014" s="77"/>
      <c r="AP3014" s="77"/>
      <c r="AQ3014" s="77" t="s">
        <v>15505</v>
      </c>
      <c r="AR3014" s="77"/>
      <c r="AS3014" s="77"/>
      <c r="AT3014" s="77"/>
      <c r="AU3014" s="77"/>
      <c r="AV3014" s="83" t="str">
        <f>HYPERLINK("https://pbs.twimg.com/media/FvYaLOQXgAUVUTO.jpg")</f>
        <v>https://pbs.twimg.com/media/FvYaLOQXgAUVUTO.jpg</v>
      </c>
      <c r="AW3014" s="80" t="s">
        <v>18777</v>
      </c>
      <c r="AX3014" s="80" t="s">
        <v>18777</v>
      </c>
      <c r="AY3014" s="77"/>
      <c r="AZ3014" s="80" t="s">
        <v>20380</v>
      </c>
      <c r="BA3014" s="80" t="s">
        <v>20380</v>
      </c>
      <c r="BB3014" s="80" t="s">
        <v>20380</v>
      </c>
      <c r="BC3014" s="80" t="s">
        <v>18777</v>
      </c>
      <c r="BD3014" s="80" t="s">
        <v>20977</v>
      </c>
      <c r="BE3014" s="77"/>
      <c r="BF3014" s="77"/>
      <c r="BG3014" s="77"/>
      <c r="BH3014" s="77"/>
      <c r="BI3014" s="77"/>
    </row>
    <row r="3015" spans="1:61" x14ac:dyDescent="0.25">
      <c r="A3015" s="62" t="s">
        <v>1202</v>
      </c>
      <c r="B3015" s="62" t="s">
        <v>1202</v>
      </c>
      <c r="C3015" s="63"/>
      <c r="D3015" s="64"/>
      <c r="E3015" s="65"/>
      <c r="F3015" s="66"/>
      <c r="G3015" s="63"/>
      <c r="H3015" s="67"/>
      <c r="I3015" s="68"/>
      <c r="J3015" s="68"/>
      <c r="K3015" s="32"/>
      <c r="L3015" s="75">
        <v>3015</v>
      </c>
      <c r="M3015" s="75"/>
      <c r="N3015" s="70"/>
      <c r="O3015" s="77" t="s">
        <v>179</v>
      </c>
      <c r="P3015" s="79">
        <v>45093.637604166666</v>
      </c>
      <c r="Q3015" s="77" t="s">
        <v>4758</v>
      </c>
      <c r="R3015" s="77">
        <v>0</v>
      </c>
      <c r="S3015" s="77">
        <v>0</v>
      </c>
      <c r="T3015" s="77">
        <v>0</v>
      </c>
      <c r="U3015" s="77">
        <v>0</v>
      </c>
      <c r="V3015" s="77">
        <v>3</v>
      </c>
      <c r="W3015" s="80" t="s">
        <v>7768</v>
      </c>
      <c r="X3015" s="83" t="str">
        <f>HYPERLINK("https://mundopoder.com/la-deuda-del-bcra-ya-supera-los-15-billones/")</f>
        <v>https://mundopoder.com/la-deuda-del-bcra-ya-supera-los-15-billones/</v>
      </c>
      <c r="Y3015" s="77" t="s">
        <v>8813</v>
      </c>
      <c r="Z3015" s="77"/>
      <c r="AA3015" s="77" t="s">
        <v>10025</v>
      </c>
      <c r="AB3015" s="77" t="s">
        <v>10535</v>
      </c>
      <c r="AC3015" s="80" t="s">
        <v>10540</v>
      </c>
      <c r="AD3015" s="77" t="s">
        <v>10620</v>
      </c>
      <c r="AE3015" s="83" t="str">
        <f>HYPERLINK("https://twitter.com/mundopoderok/status/1669726061188325376")</f>
        <v>https://twitter.com/mundopoderok/status/1669726061188325376</v>
      </c>
      <c r="AF3015" s="79">
        <v>45093.637604166666</v>
      </c>
      <c r="AG3015" s="85">
        <v>45093</v>
      </c>
      <c r="AH3015" s="80" t="s">
        <v>13268</v>
      </c>
      <c r="AI3015" s="77" t="b">
        <v>1</v>
      </c>
      <c r="AJ3015" s="77"/>
      <c r="AK3015" s="77"/>
      <c r="AL3015" s="77"/>
      <c r="AM3015" s="77"/>
      <c r="AN3015" s="77"/>
      <c r="AO3015" s="77"/>
      <c r="AP3015" s="77"/>
      <c r="AQ3015" s="77" t="s">
        <v>15506</v>
      </c>
      <c r="AR3015" s="77"/>
      <c r="AS3015" s="77"/>
      <c r="AT3015" s="77"/>
      <c r="AU3015" s="77"/>
      <c r="AV3015" s="83" t="str">
        <f>HYPERLINK("https://pbs.twimg.com/media/FywPAP8X0AEeB6H.jpg")</f>
        <v>https://pbs.twimg.com/media/FywPAP8X0AEeB6H.jpg</v>
      </c>
      <c r="AW3015" s="80" t="s">
        <v>18778</v>
      </c>
      <c r="AX3015" s="80" t="s">
        <v>18778</v>
      </c>
      <c r="AY3015" s="77"/>
      <c r="AZ3015" s="80" t="s">
        <v>20380</v>
      </c>
      <c r="BA3015" s="80" t="s">
        <v>20380</v>
      </c>
      <c r="BB3015" s="80" t="s">
        <v>20380</v>
      </c>
      <c r="BC3015" s="80" t="s">
        <v>18778</v>
      </c>
      <c r="BD3015" s="80" t="s">
        <v>20977</v>
      </c>
      <c r="BE3015" s="77"/>
      <c r="BF3015" s="77"/>
      <c r="BG3015" s="77"/>
      <c r="BH3015" s="77"/>
      <c r="BI3015" s="77"/>
    </row>
    <row r="3016" spans="1:61" x14ac:dyDescent="0.25">
      <c r="A3016" s="62" t="s">
        <v>1202</v>
      </c>
      <c r="B3016" s="62" t="s">
        <v>1202</v>
      </c>
      <c r="C3016" s="63"/>
      <c r="D3016" s="64"/>
      <c r="E3016" s="65"/>
      <c r="F3016" s="66"/>
      <c r="G3016" s="63"/>
      <c r="H3016" s="67"/>
      <c r="I3016" s="68"/>
      <c r="J3016" s="68"/>
      <c r="K3016" s="32"/>
      <c r="L3016" s="75">
        <v>3016</v>
      </c>
      <c r="M3016" s="75"/>
      <c r="N3016" s="70"/>
      <c r="O3016" s="77" t="s">
        <v>179</v>
      </c>
      <c r="P3016" s="79">
        <v>45068.821180555555</v>
      </c>
      <c r="Q3016" s="77" t="s">
        <v>4759</v>
      </c>
      <c r="R3016" s="77">
        <v>0</v>
      </c>
      <c r="S3016" s="77">
        <v>0</v>
      </c>
      <c r="T3016" s="77">
        <v>0</v>
      </c>
      <c r="U3016" s="77">
        <v>0</v>
      </c>
      <c r="V3016" s="77">
        <v>14</v>
      </c>
      <c r="W3016" s="80" t="s">
        <v>7769</v>
      </c>
      <c r="X3016" s="83" t="str">
        <f>HYPERLINK("https://mundopoder.com/comienza-a-circular-el-billete-de-2000/")</f>
        <v>https://mundopoder.com/comienza-a-circular-el-billete-de-2000/</v>
      </c>
      <c r="Y3016" s="77" t="s">
        <v>8813</v>
      </c>
      <c r="Z3016" s="77"/>
      <c r="AA3016" s="77" t="s">
        <v>10026</v>
      </c>
      <c r="AB3016" s="77" t="s">
        <v>10535</v>
      </c>
      <c r="AC3016" s="80" t="s">
        <v>10541</v>
      </c>
      <c r="AD3016" s="77" t="s">
        <v>10620</v>
      </c>
      <c r="AE3016" s="83" t="str">
        <f>HYPERLINK("https://twitter.com/mundopoderok/status/1660732888021708800")</f>
        <v>https://twitter.com/mundopoderok/status/1660732888021708800</v>
      </c>
      <c r="AF3016" s="79">
        <v>45068.821180555555</v>
      </c>
      <c r="AG3016" s="85">
        <v>45068</v>
      </c>
      <c r="AH3016" s="80" t="s">
        <v>13269</v>
      </c>
      <c r="AI3016" s="77" t="b">
        <v>1</v>
      </c>
      <c r="AJ3016" s="77"/>
      <c r="AK3016" s="77"/>
      <c r="AL3016" s="77"/>
      <c r="AM3016" s="77"/>
      <c r="AN3016" s="77"/>
      <c r="AO3016" s="77"/>
      <c r="AP3016" s="77"/>
      <c r="AQ3016" s="77" t="s">
        <v>15507</v>
      </c>
      <c r="AR3016" s="77"/>
      <c r="AS3016" s="77"/>
      <c r="AT3016" s="77"/>
      <c r="AU3016" s="77"/>
      <c r="AV3016" s="83" t="str">
        <f>HYPERLINK("https://pbs.twimg.com/media/FwwbsYCXsAApZjd.jpg")</f>
        <v>https://pbs.twimg.com/media/FwwbsYCXsAApZjd.jpg</v>
      </c>
      <c r="AW3016" s="80" t="s">
        <v>18779</v>
      </c>
      <c r="AX3016" s="80" t="s">
        <v>18779</v>
      </c>
      <c r="AY3016" s="77"/>
      <c r="AZ3016" s="80" t="s">
        <v>20380</v>
      </c>
      <c r="BA3016" s="80" t="s">
        <v>20380</v>
      </c>
      <c r="BB3016" s="80" t="s">
        <v>20380</v>
      </c>
      <c r="BC3016" s="80" t="s">
        <v>18779</v>
      </c>
      <c r="BD3016" s="80" t="s">
        <v>20977</v>
      </c>
      <c r="BE3016" s="77"/>
      <c r="BF3016" s="77"/>
      <c r="BG3016" s="77"/>
      <c r="BH3016" s="77"/>
      <c r="BI3016" s="77"/>
    </row>
    <row r="3017" spans="1:61" x14ac:dyDescent="0.25">
      <c r="A3017" s="62" t="s">
        <v>1202</v>
      </c>
      <c r="B3017" s="62" t="s">
        <v>1202</v>
      </c>
      <c r="C3017" s="63"/>
      <c r="D3017" s="64"/>
      <c r="E3017" s="65"/>
      <c r="F3017" s="66"/>
      <c r="G3017" s="63"/>
      <c r="H3017" s="67"/>
      <c r="I3017" s="68"/>
      <c r="J3017" s="68"/>
      <c r="K3017" s="32"/>
      <c r="L3017" s="75">
        <v>3017</v>
      </c>
      <c r="M3017" s="75"/>
      <c r="N3017" s="70"/>
      <c r="O3017" s="77" t="s">
        <v>179</v>
      </c>
      <c r="P3017" s="79">
        <v>45142.650266203702</v>
      </c>
      <c r="Q3017" s="77" t="s">
        <v>4760</v>
      </c>
      <c r="R3017" s="77">
        <v>0</v>
      </c>
      <c r="S3017" s="77">
        <v>0</v>
      </c>
      <c r="T3017" s="77">
        <v>0</v>
      </c>
      <c r="U3017" s="77">
        <v>0</v>
      </c>
      <c r="V3017" s="77">
        <v>7</v>
      </c>
      <c r="W3017" s="80" t="s">
        <v>7770</v>
      </c>
      <c r="X3017" s="83" t="str">
        <f>HYPERLINK("https://mundopoder.com/el-banco-central-informo-que-mantienen-la-misma-posicion-en-reservas-de-oro/")</f>
        <v>https://mundopoder.com/el-banco-central-informo-que-mantienen-la-misma-posicion-en-reservas-de-oro/</v>
      </c>
      <c r="Y3017" s="77" t="s">
        <v>8813</v>
      </c>
      <c r="Z3017" s="77"/>
      <c r="AA3017" s="77" t="s">
        <v>10027</v>
      </c>
      <c r="AB3017" s="77" t="s">
        <v>10535</v>
      </c>
      <c r="AC3017" s="80" t="s">
        <v>10540</v>
      </c>
      <c r="AD3017" s="77" t="s">
        <v>10620</v>
      </c>
      <c r="AE3017" s="83" t="str">
        <f>HYPERLINK("https://twitter.com/mundopoderok/status/1687487655854931968")</f>
        <v>https://twitter.com/mundopoderok/status/1687487655854931968</v>
      </c>
      <c r="AF3017" s="79">
        <v>45142.650266203702</v>
      </c>
      <c r="AG3017" s="85">
        <v>45142</v>
      </c>
      <c r="AH3017" s="80" t="s">
        <v>13270</v>
      </c>
      <c r="AI3017" s="77" t="b">
        <v>1</v>
      </c>
      <c r="AJ3017" s="77"/>
      <c r="AK3017" s="77"/>
      <c r="AL3017" s="77"/>
      <c r="AM3017" s="77"/>
      <c r="AN3017" s="77"/>
      <c r="AO3017" s="77"/>
      <c r="AP3017" s="77"/>
      <c r="AQ3017" s="77" t="s">
        <v>15508</v>
      </c>
      <c r="AR3017" s="77"/>
      <c r="AS3017" s="77"/>
      <c r="AT3017" s="77"/>
      <c r="AU3017" s="77"/>
      <c r="AV3017" s="83" t="str">
        <f>HYPERLINK("https://pbs.twimg.com/media/F2spFJMWoAA87MX.jpg")</f>
        <v>https://pbs.twimg.com/media/F2spFJMWoAA87MX.jpg</v>
      </c>
      <c r="AW3017" s="80" t="s">
        <v>18780</v>
      </c>
      <c r="AX3017" s="80" t="s">
        <v>18780</v>
      </c>
      <c r="AY3017" s="77"/>
      <c r="AZ3017" s="80" t="s">
        <v>20380</v>
      </c>
      <c r="BA3017" s="80" t="s">
        <v>20380</v>
      </c>
      <c r="BB3017" s="80" t="s">
        <v>20380</v>
      </c>
      <c r="BC3017" s="80" t="s">
        <v>18780</v>
      </c>
      <c r="BD3017" s="80" t="s">
        <v>20977</v>
      </c>
      <c r="BE3017" s="77"/>
      <c r="BF3017" s="77"/>
      <c r="BG3017" s="77"/>
      <c r="BH3017" s="77"/>
      <c r="BI3017" s="77"/>
    </row>
    <row r="3018" spans="1:61" x14ac:dyDescent="0.25">
      <c r="A3018" s="62" t="s">
        <v>1202</v>
      </c>
      <c r="B3018" s="62" t="s">
        <v>1202</v>
      </c>
      <c r="C3018" s="63"/>
      <c r="D3018" s="64"/>
      <c r="E3018" s="65"/>
      <c r="F3018" s="66"/>
      <c r="G3018" s="63"/>
      <c r="H3018" s="67"/>
      <c r="I3018" s="68"/>
      <c r="J3018" s="68"/>
      <c r="K3018" s="32"/>
      <c r="L3018" s="75">
        <v>3018</v>
      </c>
      <c r="M3018" s="75"/>
      <c r="N3018" s="70"/>
      <c r="O3018" s="77" t="s">
        <v>179</v>
      </c>
      <c r="P3018" s="79">
        <v>45152.597430555557</v>
      </c>
      <c r="Q3018" s="77" t="s">
        <v>4761</v>
      </c>
      <c r="R3018" s="77">
        <v>0</v>
      </c>
      <c r="S3018" s="77">
        <v>0</v>
      </c>
      <c r="T3018" s="77">
        <v>0</v>
      </c>
      <c r="U3018" s="77">
        <v>0</v>
      </c>
      <c r="V3018" s="77">
        <v>10</v>
      </c>
      <c r="W3018" s="80" t="s">
        <v>7771</v>
      </c>
      <c r="X3018" s="83" t="str">
        <f>HYPERLINK("https://www.mundopoder.com/2023/08/14/el-banco-central-fijo-el-tipo-de-cambio-oficial-a-$350-hasta-las-elecciones-de-octubre")</f>
        <v>https://www.mundopoder.com/2023/08/14/el-banco-central-fijo-el-tipo-de-cambio-oficial-a-$350-hasta-las-elecciones-de-octubre</v>
      </c>
      <c r="Y3018" s="77" t="s">
        <v>8813</v>
      </c>
      <c r="Z3018" s="77"/>
      <c r="AA3018" s="77" t="s">
        <v>10028</v>
      </c>
      <c r="AB3018" s="77" t="s">
        <v>10535</v>
      </c>
      <c r="AC3018" s="80" t="s">
        <v>10541</v>
      </c>
      <c r="AD3018" s="77" t="s">
        <v>10620</v>
      </c>
      <c r="AE3018" s="83" t="str">
        <f>HYPERLINK("https://twitter.com/mundopoderok/status/1691092386674622464")</f>
        <v>https://twitter.com/mundopoderok/status/1691092386674622464</v>
      </c>
      <c r="AF3018" s="79">
        <v>45152.597430555557</v>
      </c>
      <c r="AG3018" s="85">
        <v>45152</v>
      </c>
      <c r="AH3018" s="80" t="s">
        <v>13271</v>
      </c>
      <c r="AI3018" s="77" t="b">
        <v>1</v>
      </c>
      <c r="AJ3018" s="77"/>
      <c r="AK3018" s="77"/>
      <c r="AL3018" s="77"/>
      <c r="AM3018" s="77"/>
      <c r="AN3018" s="77"/>
      <c r="AO3018" s="77"/>
      <c r="AP3018" s="77"/>
      <c r="AQ3018" s="77" t="s">
        <v>15509</v>
      </c>
      <c r="AR3018" s="77"/>
      <c r="AS3018" s="77"/>
      <c r="AT3018" s="77"/>
      <c r="AU3018" s="77"/>
      <c r="AV3018" s="83" t="str">
        <f>HYPERLINK("https://pbs.twimg.com/media/F3f3jbfWEAAD6nR.jpg")</f>
        <v>https://pbs.twimg.com/media/F3f3jbfWEAAD6nR.jpg</v>
      </c>
      <c r="AW3018" s="80" t="s">
        <v>18781</v>
      </c>
      <c r="AX3018" s="80" t="s">
        <v>18781</v>
      </c>
      <c r="AY3018" s="77"/>
      <c r="AZ3018" s="80" t="s">
        <v>20380</v>
      </c>
      <c r="BA3018" s="80" t="s">
        <v>20380</v>
      </c>
      <c r="BB3018" s="80" t="s">
        <v>20380</v>
      </c>
      <c r="BC3018" s="80" t="s">
        <v>18781</v>
      </c>
      <c r="BD3018" s="80" t="s">
        <v>20977</v>
      </c>
      <c r="BE3018" s="77"/>
      <c r="BF3018" s="77"/>
      <c r="BG3018" s="77"/>
      <c r="BH3018" s="77"/>
      <c r="BI3018" s="77"/>
    </row>
    <row r="3019" spans="1:61" x14ac:dyDescent="0.25">
      <c r="A3019" s="62" t="s">
        <v>1202</v>
      </c>
      <c r="B3019" s="62" t="s">
        <v>1202</v>
      </c>
      <c r="C3019" s="63"/>
      <c r="D3019" s="64"/>
      <c r="E3019" s="65"/>
      <c r="F3019" s="66"/>
      <c r="G3019" s="63"/>
      <c r="H3019" s="67"/>
      <c r="I3019" s="68"/>
      <c r="J3019" s="68"/>
      <c r="K3019" s="32"/>
      <c r="L3019" s="75">
        <v>3019</v>
      </c>
      <c r="M3019" s="75"/>
      <c r="N3019" s="70"/>
      <c r="O3019" s="77" t="s">
        <v>179</v>
      </c>
      <c r="P3019" s="79">
        <v>45058.864918981482</v>
      </c>
      <c r="Q3019" s="77" t="s">
        <v>4762</v>
      </c>
      <c r="R3019" s="77">
        <v>0</v>
      </c>
      <c r="S3019" s="77">
        <v>0</v>
      </c>
      <c r="T3019" s="77">
        <v>0</v>
      </c>
      <c r="U3019" s="77">
        <v>0</v>
      </c>
      <c r="V3019" s="77">
        <v>24</v>
      </c>
      <c r="W3019" s="80" t="s">
        <v>7772</v>
      </c>
      <c r="X3019" s="83" t="str">
        <f>HYPERLINK("https://mundopoder.com/el-banco-central-compro-mas-de-usd-100-millones-en-el-mercado/")</f>
        <v>https://mundopoder.com/el-banco-central-compro-mas-de-usd-100-millones-en-el-mercado/</v>
      </c>
      <c r="Y3019" s="77" t="s">
        <v>8813</v>
      </c>
      <c r="Z3019" s="77"/>
      <c r="AA3019" s="77" t="s">
        <v>10029</v>
      </c>
      <c r="AB3019" s="77" t="s">
        <v>10535</v>
      </c>
      <c r="AC3019" s="80" t="s">
        <v>10541</v>
      </c>
      <c r="AD3019" s="77" t="s">
        <v>10620</v>
      </c>
      <c r="AE3019" s="83" t="str">
        <f>HYPERLINK("https://twitter.com/mundopoderok/status/1657124862446432256")</f>
        <v>https://twitter.com/mundopoderok/status/1657124862446432256</v>
      </c>
      <c r="AF3019" s="79">
        <v>45058.864918981482</v>
      </c>
      <c r="AG3019" s="85">
        <v>45058</v>
      </c>
      <c r="AH3019" s="80" t="s">
        <v>13272</v>
      </c>
      <c r="AI3019" s="77" t="b">
        <v>1</v>
      </c>
      <c r="AJ3019" s="77"/>
      <c r="AK3019" s="77"/>
      <c r="AL3019" s="77"/>
      <c r="AM3019" s="77"/>
      <c r="AN3019" s="77"/>
      <c r="AO3019" s="77"/>
      <c r="AP3019" s="77"/>
      <c r="AQ3019" s="77" t="s">
        <v>15510</v>
      </c>
      <c r="AR3019" s="77"/>
      <c r="AS3019" s="77"/>
      <c r="AT3019" s="77"/>
      <c r="AU3019" s="77"/>
      <c r="AV3019" s="83" t="str">
        <f>HYPERLINK("https://pbs.twimg.com/media/Fv9KQsNXsAESgfu.jpg")</f>
        <v>https://pbs.twimg.com/media/Fv9KQsNXsAESgfu.jpg</v>
      </c>
      <c r="AW3019" s="80" t="s">
        <v>18782</v>
      </c>
      <c r="AX3019" s="80" t="s">
        <v>18782</v>
      </c>
      <c r="AY3019" s="77"/>
      <c r="AZ3019" s="80" t="s">
        <v>20380</v>
      </c>
      <c r="BA3019" s="80" t="s">
        <v>20380</v>
      </c>
      <c r="BB3019" s="80" t="s">
        <v>20380</v>
      </c>
      <c r="BC3019" s="80" t="s">
        <v>18782</v>
      </c>
      <c r="BD3019" s="80" t="s">
        <v>20977</v>
      </c>
      <c r="BE3019" s="77"/>
      <c r="BF3019" s="77"/>
      <c r="BG3019" s="77"/>
      <c r="BH3019" s="77"/>
      <c r="BI3019" s="77"/>
    </row>
    <row r="3020" spans="1:61" x14ac:dyDescent="0.25">
      <c r="A3020" s="62" t="s">
        <v>1202</v>
      </c>
      <c r="B3020" s="62" t="s">
        <v>1202</v>
      </c>
      <c r="C3020" s="63"/>
      <c r="D3020" s="64"/>
      <c r="E3020" s="65"/>
      <c r="F3020" s="66"/>
      <c r="G3020" s="63"/>
      <c r="H3020" s="67"/>
      <c r="I3020" s="68"/>
      <c r="J3020" s="68"/>
      <c r="K3020" s="32"/>
      <c r="L3020" s="75">
        <v>3020</v>
      </c>
      <c r="M3020" s="75"/>
      <c r="N3020" s="70"/>
      <c r="O3020" s="77" t="s">
        <v>179</v>
      </c>
      <c r="P3020" s="79">
        <v>45154.58121527778</v>
      </c>
      <c r="Q3020" s="77" t="s">
        <v>4763</v>
      </c>
      <c r="R3020" s="77">
        <v>0</v>
      </c>
      <c r="S3020" s="77">
        <v>0</v>
      </c>
      <c r="T3020" s="77">
        <v>0</v>
      </c>
      <c r="U3020" s="77">
        <v>0</v>
      </c>
      <c r="V3020" s="77">
        <v>8</v>
      </c>
      <c r="W3020" s="80" t="s">
        <v>7773</v>
      </c>
      <c r="X3020" s="83" t="str">
        <f>HYPERLINK("https://www.mundopoder.com/2023/08/16/cuales-son-los-paises-sin-banco-central-a-los-que-milei-propone-unirse-")</f>
        <v>https://www.mundopoder.com/2023/08/16/cuales-son-los-paises-sin-banco-central-a-los-que-milei-propone-unirse-</v>
      </c>
      <c r="Y3020" s="77" t="s">
        <v>8813</v>
      </c>
      <c r="Z3020" s="77"/>
      <c r="AA3020" s="77" t="s">
        <v>10030</v>
      </c>
      <c r="AB3020" s="77" t="s">
        <v>10535</v>
      </c>
      <c r="AC3020" s="80" t="s">
        <v>10541</v>
      </c>
      <c r="AD3020" s="77" t="s">
        <v>10620</v>
      </c>
      <c r="AE3020" s="83" t="str">
        <f>HYPERLINK("https://twitter.com/mundopoderok/status/1691811284533104939")</f>
        <v>https://twitter.com/mundopoderok/status/1691811284533104939</v>
      </c>
      <c r="AF3020" s="79">
        <v>45154.58121527778</v>
      </c>
      <c r="AG3020" s="85">
        <v>45154</v>
      </c>
      <c r="AH3020" s="80" t="s">
        <v>13273</v>
      </c>
      <c r="AI3020" s="77" t="b">
        <v>1</v>
      </c>
      <c r="AJ3020" s="77"/>
      <c r="AK3020" s="77"/>
      <c r="AL3020" s="77"/>
      <c r="AM3020" s="77"/>
      <c r="AN3020" s="77"/>
      <c r="AO3020" s="77"/>
      <c r="AP3020" s="77"/>
      <c r="AQ3020" s="77" t="s">
        <v>15511</v>
      </c>
      <c r="AR3020" s="77"/>
      <c r="AS3020" s="77"/>
      <c r="AT3020" s="77"/>
      <c r="AU3020" s="77"/>
      <c r="AV3020" s="83" t="str">
        <f>HYPERLINK("https://pbs.twimg.com/media/F3qFUrNW4AEiEAv.jpg")</f>
        <v>https://pbs.twimg.com/media/F3qFUrNW4AEiEAv.jpg</v>
      </c>
      <c r="AW3020" s="80" t="s">
        <v>18783</v>
      </c>
      <c r="AX3020" s="80" t="s">
        <v>18783</v>
      </c>
      <c r="AY3020" s="77"/>
      <c r="AZ3020" s="80" t="s">
        <v>20380</v>
      </c>
      <c r="BA3020" s="80" t="s">
        <v>20380</v>
      </c>
      <c r="BB3020" s="80" t="s">
        <v>20380</v>
      </c>
      <c r="BC3020" s="80" t="s">
        <v>18783</v>
      </c>
      <c r="BD3020" s="80" t="s">
        <v>20977</v>
      </c>
      <c r="BE3020" s="77"/>
      <c r="BF3020" s="77"/>
      <c r="BG3020" s="77"/>
      <c r="BH3020" s="77"/>
      <c r="BI3020" s="77"/>
    </row>
    <row r="3021" spans="1:61" x14ac:dyDescent="0.25">
      <c r="A3021" s="62" t="s">
        <v>1202</v>
      </c>
      <c r="B3021" s="62" t="s">
        <v>1202</v>
      </c>
      <c r="C3021" s="63"/>
      <c r="D3021" s="64"/>
      <c r="E3021" s="65"/>
      <c r="F3021" s="66"/>
      <c r="G3021" s="63"/>
      <c r="H3021" s="67"/>
      <c r="I3021" s="68"/>
      <c r="J3021" s="68"/>
      <c r="K3021" s="32"/>
      <c r="L3021" s="75">
        <v>3021</v>
      </c>
      <c r="M3021" s="75"/>
      <c r="N3021" s="70"/>
      <c r="O3021" s="77" t="s">
        <v>179</v>
      </c>
      <c r="P3021" s="79">
        <v>45148.601539351854</v>
      </c>
      <c r="Q3021" s="77" t="s">
        <v>4764</v>
      </c>
      <c r="R3021" s="77">
        <v>0</v>
      </c>
      <c r="S3021" s="77">
        <v>0</v>
      </c>
      <c r="T3021" s="77">
        <v>0</v>
      </c>
      <c r="U3021" s="77">
        <v>0</v>
      </c>
      <c r="V3021" s="77">
        <v>6</v>
      </c>
      <c r="W3021" s="80" t="s">
        <v>7774</v>
      </c>
      <c r="X3021" s="83" t="str">
        <f>HYPERLINK("https://www.mundopoder.com/2023/08/10/las-reservas-cayeron-us$237-millones-y-alcanzaron-el-peor-nivel-desde-2006")</f>
        <v>https://www.mundopoder.com/2023/08/10/las-reservas-cayeron-us$237-millones-y-alcanzaron-el-peor-nivel-desde-2006</v>
      </c>
      <c r="Y3021" s="77" t="s">
        <v>8813</v>
      </c>
      <c r="Z3021" s="77"/>
      <c r="AA3021" s="77" t="s">
        <v>10031</v>
      </c>
      <c r="AB3021" s="77" t="s">
        <v>10535</v>
      </c>
      <c r="AC3021" s="80" t="s">
        <v>10541</v>
      </c>
      <c r="AD3021" s="77" t="s">
        <v>10620</v>
      </c>
      <c r="AE3021" s="83" t="str">
        <f>HYPERLINK("https://twitter.com/mundopoderok/status/1689644324634636289")</f>
        <v>https://twitter.com/mundopoderok/status/1689644324634636289</v>
      </c>
      <c r="AF3021" s="79">
        <v>45148.601539351854</v>
      </c>
      <c r="AG3021" s="85">
        <v>45148</v>
      </c>
      <c r="AH3021" s="80" t="s">
        <v>13274</v>
      </c>
      <c r="AI3021" s="77" t="b">
        <v>1</v>
      </c>
      <c r="AJ3021" s="77"/>
      <c r="AK3021" s="77"/>
      <c r="AL3021" s="77"/>
      <c r="AM3021" s="77"/>
      <c r="AN3021" s="77"/>
      <c r="AO3021" s="77"/>
      <c r="AP3021" s="77"/>
      <c r="AQ3021" s="77" t="s">
        <v>15512</v>
      </c>
      <c r="AR3021" s="77"/>
      <c r="AS3021" s="77"/>
      <c r="AT3021" s="77"/>
      <c r="AU3021" s="77"/>
      <c r="AV3021" s="83" t="str">
        <f>HYPERLINK("https://pbs.twimg.com/media/F3LSiE5boAE3bZj.jpg")</f>
        <v>https://pbs.twimg.com/media/F3LSiE5boAE3bZj.jpg</v>
      </c>
      <c r="AW3021" s="80" t="s">
        <v>18784</v>
      </c>
      <c r="AX3021" s="80" t="s">
        <v>18784</v>
      </c>
      <c r="AY3021" s="77"/>
      <c r="AZ3021" s="80" t="s">
        <v>20380</v>
      </c>
      <c r="BA3021" s="80" t="s">
        <v>20380</v>
      </c>
      <c r="BB3021" s="80" t="s">
        <v>20380</v>
      </c>
      <c r="BC3021" s="80" t="s">
        <v>18784</v>
      </c>
      <c r="BD3021" s="80" t="s">
        <v>20977</v>
      </c>
      <c r="BE3021" s="77"/>
      <c r="BF3021" s="77"/>
      <c r="BG3021" s="77"/>
      <c r="BH3021" s="77"/>
      <c r="BI3021" s="77"/>
    </row>
    <row r="3022" spans="1:61" x14ac:dyDescent="0.25">
      <c r="A3022" s="62" t="s">
        <v>1202</v>
      </c>
      <c r="B3022" s="62" t="s">
        <v>1202</v>
      </c>
      <c r="C3022" s="63"/>
      <c r="D3022" s="64"/>
      <c r="E3022" s="65"/>
      <c r="F3022" s="66"/>
      <c r="G3022" s="63"/>
      <c r="H3022" s="67"/>
      <c r="I3022" s="68"/>
      <c r="J3022" s="68"/>
      <c r="K3022" s="32"/>
      <c r="L3022" s="75">
        <v>3022</v>
      </c>
      <c r="M3022" s="75"/>
      <c r="N3022" s="70"/>
      <c r="O3022" s="77" t="s">
        <v>179</v>
      </c>
      <c r="P3022" s="79">
        <v>45125.505208333336</v>
      </c>
      <c r="Q3022" s="77" t="s">
        <v>4765</v>
      </c>
      <c r="R3022" s="77">
        <v>0</v>
      </c>
      <c r="S3022" s="77">
        <v>0</v>
      </c>
      <c r="T3022" s="77">
        <v>0</v>
      </c>
      <c r="U3022" s="77">
        <v>0</v>
      </c>
      <c r="V3022" s="77">
        <v>9</v>
      </c>
      <c r="W3022" s="80" t="s">
        <v>7775</v>
      </c>
      <c r="X3022" s="83" t="str">
        <f>HYPERLINK("https://mundopoder.com/en-lo-que-va-del-ano-las-reservas-del-banco-central-cayeron-un-42/")</f>
        <v>https://mundopoder.com/en-lo-que-va-del-ano-las-reservas-del-banco-central-cayeron-un-42/</v>
      </c>
      <c r="Y3022" s="77" t="s">
        <v>8813</v>
      </c>
      <c r="Z3022" s="77"/>
      <c r="AA3022" s="77" t="s">
        <v>10032</v>
      </c>
      <c r="AB3022" s="77" t="s">
        <v>10535</v>
      </c>
      <c r="AC3022" s="80" t="s">
        <v>10540</v>
      </c>
      <c r="AD3022" s="77" t="s">
        <v>10620</v>
      </c>
      <c r="AE3022" s="83" t="str">
        <f>HYPERLINK("https://twitter.com/mundopoderok/status/1681274495024209921")</f>
        <v>https://twitter.com/mundopoderok/status/1681274495024209921</v>
      </c>
      <c r="AF3022" s="79">
        <v>45125.505208333336</v>
      </c>
      <c r="AG3022" s="85">
        <v>45125</v>
      </c>
      <c r="AH3022" s="80" t="s">
        <v>13275</v>
      </c>
      <c r="AI3022" s="77" t="b">
        <v>1</v>
      </c>
      <c r="AJ3022" s="77"/>
      <c r="AK3022" s="77"/>
      <c r="AL3022" s="77"/>
      <c r="AM3022" s="77"/>
      <c r="AN3022" s="77"/>
      <c r="AO3022" s="77"/>
      <c r="AP3022" s="77"/>
      <c r="AQ3022" s="77" t="s">
        <v>15513</v>
      </c>
      <c r="AR3022" s="77"/>
      <c r="AS3022" s="77"/>
      <c r="AT3022" s="77"/>
      <c r="AU3022" s="77"/>
      <c r="AV3022" s="83" t="str">
        <f>HYPERLINK("https://pbs.twimg.com/media/F1UWPjWXsAI4Xm7.jpg")</f>
        <v>https://pbs.twimg.com/media/F1UWPjWXsAI4Xm7.jpg</v>
      </c>
      <c r="AW3022" s="80" t="s">
        <v>18785</v>
      </c>
      <c r="AX3022" s="80" t="s">
        <v>18785</v>
      </c>
      <c r="AY3022" s="77"/>
      <c r="AZ3022" s="80" t="s">
        <v>20380</v>
      </c>
      <c r="BA3022" s="80" t="s">
        <v>20380</v>
      </c>
      <c r="BB3022" s="80" t="s">
        <v>20380</v>
      </c>
      <c r="BC3022" s="80" t="s">
        <v>18785</v>
      </c>
      <c r="BD3022" s="80" t="s">
        <v>20977</v>
      </c>
      <c r="BE3022" s="77"/>
      <c r="BF3022" s="77"/>
      <c r="BG3022" s="77"/>
      <c r="BH3022" s="77"/>
      <c r="BI3022" s="77"/>
    </row>
    <row r="3023" spans="1:61" x14ac:dyDescent="0.25">
      <c r="A3023" s="62" t="s">
        <v>1202</v>
      </c>
      <c r="B3023" s="62" t="s">
        <v>1202</v>
      </c>
      <c r="C3023" s="63"/>
      <c r="D3023" s="64"/>
      <c r="E3023" s="65"/>
      <c r="F3023" s="66"/>
      <c r="G3023" s="63"/>
      <c r="H3023" s="67"/>
      <c r="I3023" s="68"/>
      <c r="J3023" s="68"/>
      <c r="K3023" s="32"/>
      <c r="L3023" s="75">
        <v>3023</v>
      </c>
      <c r="M3023" s="75"/>
      <c r="N3023" s="70"/>
      <c r="O3023" s="77" t="s">
        <v>179</v>
      </c>
      <c r="P3023" s="79">
        <v>45121.84443287037</v>
      </c>
      <c r="Q3023" s="77" t="s">
        <v>4766</v>
      </c>
      <c r="R3023" s="77">
        <v>0</v>
      </c>
      <c r="S3023" s="77">
        <v>0</v>
      </c>
      <c r="T3023" s="77">
        <v>0</v>
      </c>
      <c r="U3023" s="77">
        <v>0</v>
      </c>
      <c r="V3023" s="77">
        <v>4</v>
      </c>
      <c r="W3023" s="80" t="s">
        <v>7776</v>
      </c>
      <c r="X3023" s="83" t="str">
        <f>HYPERLINK("https://mundopoder.com/comenzo-a-circular-el-nuevo-billete-de-1000/")</f>
        <v>https://mundopoder.com/comenzo-a-circular-el-nuevo-billete-de-1000/</v>
      </c>
      <c r="Y3023" s="77" t="s">
        <v>8813</v>
      </c>
      <c r="Z3023" s="77"/>
      <c r="AA3023" s="77" t="s">
        <v>10033</v>
      </c>
      <c r="AB3023" s="77" t="s">
        <v>10535</v>
      </c>
      <c r="AC3023" s="80" t="s">
        <v>10541</v>
      </c>
      <c r="AD3023" s="77" t="s">
        <v>10620</v>
      </c>
      <c r="AE3023" s="83" t="str">
        <f>HYPERLINK("https://twitter.com/mundopoderok/status/1679947872886718464")</f>
        <v>https://twitter.com/mundopoderok/status/1679947872886718464</v>
      </c>
      <c r="AF3023" s="79">
        <v>45121.84443287037</v>
      </c>
      <c r="AG3023" s="85">
        <v>45121</v>
      </c>
      <c r="AH3023" s="80" t="s">
        <v>13276</v>
      </c>
      <c r="AI3023" s="77" t="b">
        <v>1</v>
      </c>
      <c r="AJ3023" s="77"/>
      <c r="AK3023" s="77"/>
      <c r="AL3023" s="77"/>
      <c r="AM3023" s="77"/>
      <c r="AN3023" s="77"/>
      <c r="AO3023" s="77"/>
      <c r="AP3023" s="77"/>
      <c r="AQ3023" s="77" t="s">
        <v>15514</v>
      </c>
      <c r="AR3023" s="77"/>
      <c r="AS3023" s="77"/>
      <c r="AT3023" s="77"/>
      <c r="AU3023" s="77"/>
      <c r="AV3023" s="83" t="str">
        <f>HYPERLINK("https://pbs.twimg.com/media/F1BfqtfWYAEme-9.png")</f>
        <v>https://pbs.twimg.com/media/F1BfqtfWYAEme-9.png</v>
      </c>
      <c r="AW3023" s="80" t="s">
        <v>18786</v>
      </c>
      <c r="AX3023" s="80" t="s">
        <v>18786</v>
      </c>
      <c r="AY3023" s="77"/>
      <c r="AZ3023" s="80" t="s">
        <v>20380</v>
      </c>
      <c r="BA3023" s="80" t="s">
        <v>20380</v>
      </c>
      <c r="BB3023" s="80" t="s">
        <v>20380</v>
      </c>
      <c r="BC3023" s="80" t="s">
        <v>18786</v>
      </c>
      <c r="BD3023" s="80" t="s">
        <v>20977</v>
      </c>
      <c r="BE3023" s="77"/>
      <c r="BF3023" s="77"/>
      <c r="BG3023" s="77"/>
      <c r="BH3023" s="77"/>
      <c r="BI3023" s="77"/>
    </row>
    <row r="3024" spans="1:61" x14ac:dyDescent="0.25">
      <c r="A3024" s="62" t="s">
        <v>1202</v>
      </c>
      <c r="B3024" s="62" t="s">
        <v>1202</v>
      </c>
      <c r="C3024" s="63"/>
      <c r="D3024" s="64"/>
      <c r="E3024" s="65"/>
      <c r="F3024" s="66"/>
      <c r="G3024" s="63"/>
      <c r="H3024" s="67"/>
      <c r="I3024" s="68"/>
      <c r="J3024" s="68"/>
      <c r="K3024" s="32"/>
      <c r="L3024" s="75">
        <v>3024</v>
      </c>
      <c r="M3024" s="75"/>
      <c r="N3024" s="70"/>
      <c r="O3024" s="77" t="s">
        <v>179</v>
      </c>
      <c r="P3024" s="79">
        <v>45174.714884259258</v>
      </c>
      <c r="Q3024" s="77" t="s">
        <v>4767</v>
      </c>
      <c r="R3024" s="77">
        <v>0</v>
      </c>
      <c r="S3024" s="77">
        <v>0</v>
      </c>
      <c r="T3024" s="77">
        <v>0</v>
      </c>
      <c r="U3024" s="77">
        <v>0</v>
      </c>
      <c r="V3024" s="77">
        <v>7</v>
      </c>
      <c r="W3024" s="80" t="s">
        <v>7777</v>
      </c>
      <c r="X3024" s="83" t="str">
        <f>HYPERLINK("https://www.mundopoder.com/2023/09/05/en-busqueda-de-reservas-para-el-central--el-gobierno-lanzo-un-nuevo-dolar-soja")</f>
        <v>https://www.mundopoder.com/2023/09/05/en-busqueda-de-reservas-para-el-central--el-gobierno-lanzo-un-nuevo-dolar-soja</v>
      </c>
      <c r="Y3024" s="77" t="s">
        <v>8813</v>
      </c>
      <c r="Z3024" s="77"/>
      <c r="AA3024" s="77" t="s">
        <v>10034</v>
      </c>
      <c r="AB3024" s="77" t="s">
        <v>10535</v>
      </c>
      <c r="AC3024" s="80" t="s">
        <v>10541</v>
      </c>
      <c r="AD3024" s="77" t="s">
        <v>10620</v>
      </c>
      <c r="AE3024" s="83" t="str">
        <f>HYPERLINK("https://twitter.com/mundopoderok/status/1699107483661337062")</f>
        <v>https://twitter.com/mundopoderok/status/1699107483661337062</v>
      </c>
      <c r="AF3024" s="79">
        <v>45174.714884259258</v>
      </c>
      <c r="AG3024" s="85">
        <v>45174</v>
      </c>
      <c r="AH3024" s="80" t="s">
        <v>13277</v>
      </c>
      <c r="AI3024" s="77" t="b">
        <v>1</v>
      </c>
      <c r="AJ3024" s="77"/>
      <c r="AK3024" s="77"/>
      <c r="AL3024" s="77"/>
      <c r="AM3024" s="77"/>
      <c r="AN3024" s="77"/>
      <c r="AO3024" s="77"/>
      <c r="AP3024" s="77"/>
      <c r="AQ3024" s="77" t="s">
        <v>15515</v>
      </c>
      <c r="AR3024" s="77"/>
      <c r="AS3024" s="77"/>
      <c r="AT3024" s="77"/>
      <c r="AU3024" s="77"/>
      <c r="AV3024" s="83" t="str">
        <f>HYPERLINK("https://pbs.twimg.com/media/F5RxOSPXMAAMOjJ.jpg")</f>
        <v>https://pbs.twimg.com/media/F5RxOSPXMAAMOjJ.jpg</v>
      </c>
      <c r="AW3024" s="80" t="s">
        <v>18787</v>
      </c>
      <c r="AX3024" s="80" t="s">
        <v>18787</v>
      </c>
      <c r="AY3024" s="77"/>
      <c r="AZ3024" s="80" t="s">
        <v>20380</v>
      </c>
      <c r="BA3024" s="80" t="s">
        <v>20380</v>
      </c>
      <c r="BB3024" s="80" t="s">
        <v>20380</v>
      </c>
      <c r="BC3024" s="80" t="s">
        <v>18787</v>
      </c>
      <c r="BD3024" s="80" t="s">
        <v>20977</v>
      </c>
      <c r="BE3024" s="77"/>
      <c r="BF3024" s="77"/>
      <c r="BG3024" s="77"/>
      <c r="BH3024" s="77"/>
      <c r="BI3024" s="77"/>
    </row>
    <row r="3025" spans="1:61" x14ac:dyDescent="0.25">
      <c r="A3025" s="62" t="s">
        <v>1202</v>
      </c>
      <c r="B3025" s="62" t="s">
        <v>1202</v>
      </c>
      <c r="C3025" s="63"/>
      <c r="D3025" s="64"/>
      <c r="E3025" s="65"/>
      <c r="F3025" s="66"/>
      <c r="G3025" s="63"/>
      <c r="H3025" s="67"/>
      <c r="I3025" s="68"/>
      <c r="J3025" s="68"/>
      <c r="K3025" s="32"/>
      <c r="L3025" s="75">
        <v>3025</v>
      </c>
      <c r="M3025" s="75"/>
      <c r="N3025" s="70"/>
      <c r="O3025" s="77" t="s">
        <v>179</v>
      </c>
      <c r="P3025" s="79">
        <v>45176.615624999999</v>
      </c>
      <c r="Q3025" s="77" t="s">
        <v>4768</v>
      </c>
      <c r="R3025" s="77">
        <v>0</v>
      </c>
      <c r="S3025" s="77">
        <v>0</v>
      </c>
      <c r="T3025" s="77">
        <v>0</v>
      </c>
      <c r="U3025" s="77">
        <v>0</v>
      </c>
      <c r="V3025" s="77">
        <v>6</v>
      </c>
      <c r="W3025" s="80" t="s">
        <v>7778</v>
      </c>
      <c r="X3025" s="83" t="str">
        <f>HYPERLINK("https://www.mundopoder.com/2023/09/07/reservas-del-banco-central-en-rojo-cayeron-us$17.000-millones-en-el-ano")</f>
        <v>https://www.mundopoder.com/2023/09/07/reservas-del-banco-central-en-rojo-cayeron-us$17.000-millones-en-el-ano</v>
      </c>
      <c r="Y3025" s="77" t="s">
        <v>8813</v>
      </c>
      <c r="Z3025" s="77"/>
      <c r="AA3025" s="77"/>
      <c r="AB3025" s="77"/>
      <c r="AC3025" s="80" t="s">
        <v>10541</v>
      </c>
      <c r="AD3025" s="77" t="s">
        <v>10620</v>
      </c>
      <c r="AE3025" s="83" t="str">
        <f>HYPERLINK("https://twitter.com/mundopoderok/status/1699796287447831007")</f>
        <v>https://twitter.com/mundopoderok/status/1699796287447831007</v>
      </c>
      <c r="AF3025" s="79">
        <v>45176.615624999999</v>
      </c>
      <c r="AG3025" s="85">
        <v>45176</v>
      </c>
      <c r="AH3025" s="80" t="s">
        <v>13278</v>
      </c>
      <c r="AI3025" s="77" t="b">
        <v>1</v>
      </c>
      <c r="AJ3025" s="77"/>
      <c r="AK3025" s="77"/>
      <c r="AL3025" s="77"/>
      <c r="AM3025" s="77"/>
      <c r="AN3025" s="77"/>
      <c r="AO3025" s="77"/>
      <c r="AP3025" s="77"/>
      <c r="AQ3025" s="77"/>
      <c r="AR3025" s="77"/>
      <c r="AS3025" s="77"/>
      <c r="AT3025" s="77"/>
      <c r="AU3025" s="77"/>
      <c r="AV3025" s="83" t="str">
        <f>HYPERLINK("https://pbs.twimg.com/profile_images/1568048433751113728/90cRDFMd_normal.jpg")</f>
        <v>https://pbs.twimg.com/profile_images/1568048433751113728/90cRDFMd_normal.jpg</v>
      </c>
      <c r="AW3025" s="80" t="s">
        <v>18788</v>
      </c>
      <c r="AX3025" s="80" t="s">
        <v>18788</v>
      </c>
      <c r="AY3025" s="77"/>
      <c r="AZ3025" s="80" t="s">
        <v>20380</v>
      </c>
      <c r="BA3025" s="80" t="s">
        <v>20380</v>
      </c>
      <c r="BB3025" s="80" t="s">
        <v>20380</v>
      </c>
      <c r="BC3025" s="80" t="s">
        <v>18788</v>
      </c>
      <c r="BD3025" s="80" t="s">
        <v>20977</v>
      </c>
      <c r="BE3025" s="77"/>
      <c r="BF3025" s="77"/>
      <c r="BG3025" s="77"/>
      <c r="BH3025" s="77"/>
      <c r="BI3025" s="77"/>
    </row>
    <row r="3026" spans="1:61" x14ac:dyDescent="0.25">
      <c r="A3026" s="62" t="s">
        <v>1203</v>
      </c>
      <c r="B3026" s="62" t="s">
        <v>1655</v>
      </c>
      <c r="C3026" s="63"/>
      <c r="D3026" s="64"/>
      <c r="E3026" s="65"/>
      <c r="F3026" s="66"/>
      <c r="G3026" s="63"/>
      <c r="H3026" s="67"/>
      <c r="I3026" s="68"/>
      <c r="J3026" s="68"/>
      <c r="K3026" s="32"/>
      <c r="L3026" s="75">
        <v>3026</v>
      </c>
      <c r="M3026" s="75"/>
      <c r="N3026" s="70"/>
      <c r="O3026" s="77" t="s">
        <v>2083</v>
      </c>
      <c r="P3026" s="79">
        <v>45191.46366898148</v>
      </c>
      <c r="Q3026" s="77" t="s">
        <v>2120</v>
      </c>
      <c r="R3026" s="77">
        <v>25</v>
      </c>
      <c r="S3026" s="77">
        <v>0</v>
      </c>
      <c r="T3026" s="77">
        <v>0</v>
      </c>
      <c r="U3026" s="77">
        <v>0</v>
      </c>
      <c r="V3026" s="77"/>
      <c r="W3026" s="80" t="s">
        <v>5917</v>
      </c>
      <c r="X3026" s="77"/>
      <c r="Y3026" s="77"/>
      <c r="Z3026" s="77" t="s">
        <v>1655</v>
      </c>
      <c r="AA3026" s="77"/>
      <c r="AB3026" s="77"/>
      <c r="AC3026" s="80" t="s">
        <v>10541</v>
      </c>
      <c r="AD3026" s="77" t="s">
        <v>10617</v>
      </c>
      <c r="AE3026" s="83" t="str">
        <f>HYPERLINK("https://twitter.com/claudioedantas/status/1705177041039933632")</f>
        <v>https://twitter.com/claudioedantas/status/1705177041039933632</v>
      </c>
      <c r="AF3026" s="79">
        <v>45191.46366898148</v>
      </c>
      <c r="AG3026" s="85">
        <v>45191</v>
      </c>
      <c r="AH3026" s="80" t="s">
        <v>13279</v>
      </c>
      <c r="AI3026" s="77"/>
      <c r="AJ3026" s="77"/>
      <c r="AK3026" s="77"/>
      <c r="AL3026" s="77"/>
      <c r="AM3026" s="77"/>
      <c r="AN3026" s="77"/>
      <c r="AO3026" s="77"/>
      <c r="AP3026" s="77"/>
      <c r="AQ3026" s="77"/>
      <c r="AR3026" s="77"/>
      <c r="AS3026" s="77"/>
      <c r="AT3026" s="77"/>
      <c r="AU3026" s="77"/>
      <c r="AV3026" s="83" t="str">
        <f>HYPERLINK("https://pbs.twimg.com/profile_images/1689610652984250368/1jTJBUwz_normal.jpg")</f>
        <v>https://pbs.twimg.com/profile_images/1689610652984250368/1jTJBUwz_normal.jpg</v>
      </c>
      <c r="AW3026" s="80" t="s">
        <v>18789</v>
      </c>
      <c r="AX3026" s="80" t="s">
        <v>18789</v>
      </c>
      <c r="AY3026" s="77"/>
      <c r="AZ3026" s="80" t="s">
        <v>20380</v>
      </c>
      <c r="BA3026" s="80" t="s">
        <v>20380</v>
      </c>
      <c r="BB3026" s="80" t="s">
        <v>19844</v>
      </c>
      <c r="BC3026" s="80" t="s">
        <v>19844</v>
      </c>
      <c r="BD3026" s="77">
        <v>2923397967</v>
      </c>
      <c r="BE3026" s="77"/>
      <c r="BF3026" s="77"/>
      <c r="BG3026" s="77"/>
      <c r="BH3026" s="77"/>
      <c r="BI3026" s="77"/>
    </row>
    <row r="3027" spans="1:61" x14ac:dyDescent="0.25">
      <c r="A3027" s="62" t="s">
        <v>1203</v>
      </c>
      <c r="B3027" s="62" t="s">
        <v>1655</v>
      </c>
      <c r="C3027" s="63"/>
      <c r="D3027" s="64"/>
      <c r="E3027" s="65"/>
      <c r="F3027" s="66"/>
      <c r="G3027" s="63"/>
      <c r="H3027" s="67"/>
      <c r="I3027" s="68"/>
      <c r="J3027" s="68"/>
      <c r="K3027" s="32"/>
      <c r="L3027" s="75">
        <v>3027</v>
      </c>
      <c r="M3027" s="75"/>
      <c r="N3027" s="70"/>
      <c r="O3027" s="77" t="s">
        <v>2083</v>
      </c>
      <c r="P3027" s="79">
        <v>45191.462824074071</v>
      </c>
      <c r="Q3027" s="77" t="s">
        <v>2120</v>
      </c>
      <c r="R3027" s="77">
        <v>57</v>
      </c>
      <c r="S3027" s="77">
        <v>0</v>
      </c>
      <c r="T3027" s="77">
        <v>0</v>
      </c>
      <c r="U3027" s="77">
        <v>0</v>
      </c>
      <c r="V3027" s="77">
        <v>1</v>
      </c>
      <c r="W3027" s="80" t="s">
        <v>5917</v>
      </c>
      <c r="X3027" s="77"/>
      <c r="Y3027" s="77"/>
      <c r="Z3027" s="77" t="s">
        <v>1655</v>
      </c>
      <c r="AA3027" s="77"/>
      <c r="AB3027" s="77"/>
      <c r="AC3027" s="80" t="s">
        <v>10541</v>
      </c>
      <c r="AD3027" s="77" t="s">
        <v>10617</v>
      </c>
      <c r="AE3027" s="83" t="str">
        <f>HYPERLINK("https://twitter.com/claudioedantas/status/1705176731269644292")</f>
        <v>https://twitter.com/claudioedantas/status/1705176731269644292</v>
      </c>
      <c r="AF3027" s="79">
        <v>45191.462824074071</v>
      </c>
      <c r="AG3027" s="85">
        <v>45191</v>
      </c>
      <c r="AH3027" s="80" t="s">
        <v>13280</v>
      </c>
      <c r="AI3027" s="77"/>
      <c r="AJ3027" s="77"/>
      <c r="AK3027" s="77"/>
      <c r="AL3027" s="77"/>
      <c r="AM3027" s="77"/>
      <c r="AN3027" s="77"/>
      <c r="AO3027" s="77"/>
      <c r="AP3027" s="77"/>
      <c r="AQ3027" s="77"/>
      <c r="AR3027" s="77"/>
      <c r="AS3027" s="77"/>
      <c r="AT3027" s="77"/>
      <c r="AU3027" s="77"/>
      <c r="AV3027" s="83" t="str">
        <f>HYPERLINK("https://pbs.twimg.com/profile_images/1689610652984250368/1jTJBUwz_normal.jpg")</f>
        <v>https://pbs.twimg.com/profile_images/1689610652984250368/1jTJBUwz_normal.jpg</v>
      </c>
      <c r="AW3027" s="80" t="s">
        <v>18790</v>
      </c>
      <c r="AX3027" s="80" t="s">
        <v>18790</v>
      </c>
      <c r="AY3027" s="77"/>
      <c r="AZ3027" s="80" t="s">
        <v>20380</v>
      </c>
      <c r="BA3027" s="80" t="s">
        <v>20380</v>
      </c>
      <c r="BB3027" s="80" t="s">
        <v>19843</v>
      </c>
      <c r="BC3027" s="80" t="s">
        <v>19843</v>
      </c>
      <c r="BD3027" s="77">
        <v>2923397967</v>
      </c>
      <c r="BE3027" s="77"/>
      <c r="BF3027" s="77"/>
      <c r="BG3027" s="77"/>
      <c r="BH3027" s="77"/>
      <c r="BI3027" s="77"/>
    </row>
    <row r="3028" spans="1:61" x14ac:dyDescent="0.25">
      <c r="A3028" s="62" t="s">
        <v>1204</v>
      </c>
      <c r="B3028" s="62" t="s">
        <v>1983</v>
      </c>
      <c r="C3028" s="63"/>
      <c r="D3028" s="64"/>
      <c r="E3028" s="65"/>
      <c r="F3028" s="66"/>
      <c r="G3028" s="63"/>
      <c r="H3028" s="67"/>
      <c r="I3028" s="68"/>
      <c r="J3028" s="68"/>
      <c r="K3028" s="32"/>
      <c r="L3028" s="75">
        <v>3028</v>
      </c>
      <c r="M3028" s="75"/>
      <c r="N3028" s="70"/>
      <c r="O3028" s="77" t="s">
        <v>2081</v>
      </c>
      <c r="P3028" s="79">
        <v>45153.494583333333</v>
      </c>
      <c r="Q3028" s="77" t="s">
        <v>4769</v>
      </c>
      <c r="R3028" s="77">
        <v>0</v>
      </c>
      <c r="S3028" s="77">
        <v>0</v>
      </c>
      <c r="T3028" s="77">
        <v>0</v>
      </c>
      <c r="U3028" s="77">
        <v>1</v>
      </c>
      <c r="V3028" s="77">
        <v>80</v>
      </c>
      <c r="W3028" s="80" t="s">
        <v>7779</v>
      </c>
      <c r="X3028" s="77"/>
      <c r="Y3028" s="77"/>
      <c r="Z3028" s="77" t="s">
        <v>9001</v>
      </c>
      <c r="AA3028" s="77" t="s">
        <v>10035</v>
      </c>
      <c r="AB3028" s="77" t="s">
        <v>10534</v>
      </c>
      <c r="AC3028" s="80" t="s">
        <v>10540</v>
      </c>
      <c r="AD3028" s="77" t="s">
        <v>10620</v>
      </c>
      <c r="AE3028" s="83" t="str">
        <f>HYPERLINK("https://twitter.com/eleduok1/status/1691417502218096640")</f>
        <v>https://twitter.com/eleduok1/status/1691417502218096640</v>
      </c>
      <c r="AF3028" s="79">
        <v>45153.494583333333</v>
      </c>
      <c r="AG3028" s="85">
        <v>45153</v>
      </c>
      <c r="AH3028" s="80" t="s">
        <v>13281</v>
      </c>
      <c r="AI3028" s="77" t="b">
        <v>0</v>
      </c>
      <c r="AJ3028" s="77"/>
      <c r="AK3028" s="77"/>
      <c r="AL3028" s="77"/>
      <c r="AM3028" s="77"/>
      <c r="AN3028" s="77"/>
      <c r="AO3028" s="77"/>
      <c r="AP3028" s="77"/>
      <c r="AQ3028" s="77" t="s">
        <v>15516</v>
      </c>
      <c r="AR3028" s="77">
        <v>5560</v>
      </c>
      <c r="AS3028" s="77"/>
      <c r="AT3028" s="77"/>
      <c r="AU3028" s="77"/>
      <c r="AV3028" s="83" t="str">
        <f>HYPERLINK("https://pbs.twimg.com/ext_tw_video_thumb/1691417401693208576/pu/img/5FpcDP3v84TvsgWd.jpg")</f>
        <v>https://pbs.twimg.com/ext_tw_video_thumb/1691417401693208576/pu/img/5FpcDP3v84TvsgWd.jpg</v>
      </c>
      <c r="AW3028" s="80" t="s">
        <v>18791</v>
      </c>
      <c r="AX3028" s="80" t="s">
        <v>18791</v>
      </c>
      <c r="AY3028" s="77"/>
      <c r="AZ3028" s="80" t="s">
        <v>20380</v>
      </c>
      <c r="BA3028" s="80" t="s">
        <v>20380</v>
      </c>
      <c r="BB3028" s="80" t="s">
        <v>20380</v>
      </c>
      <c r="BC3028" s="80" t="s">
        <v>18791</v>
      </c>
      <c r="BD3028" s="80" t="s">
        <v>20978</v>
      </c>
      <c r="BE3028" s="77"/>
      <c r="BF3028" s="77"/>
      <c r="BG3028" s="77"/>
      <c r="BH3028" s="77"/>
      <c r="BI3028" s="77"/>
    </row>
    <row r="3029" spans="1:61" x14ac:dyDescent="0.25">
      <c r="A3029" s="62" t="s">
        <v>1204</v>
      </c>
      <c r="B3029" s="62" t="s">
        <v>1810</v>
      </c>
      <c r="C3029" s="63"/>
      <c r="D3029" s="64"/>
      <c r="E3029" s="65"/>
      <c r="F3029" s="66"/>
      <c r="G3029" s="63"/>
      <c r="H3029" s="67"/>
      <c r="I3029" s="68"/>
      <c r="J3029" s="68"/>
      <c r="K3029" s="32"/>
      <c r="L3029" s="75">
        <v>3029</v>
      </c>
      <c r="M3029" s="75"/>
      <c r="N3029" s="70"/>
      <c r="O3029" s="77" t="s">
        <v>2081</v>
      </c>
      <c r="P3029" s="79">
        <v>45153.494583333333</v>
      </c>
      <c r="Q3029" s="77" t="s">
        <v>4769</v>
      </c>
      <c r="R3029" s="77">
        <v>0</v>
      </c>
      <c r="S3029" s="77">
        <v>0</v>
      </c>
      <c r="T3029" s="77">
        <v>0</v>
      </c>
      <c r="U3029" s="77">
        <v>1</v>
      </c>
      <c r="V3029" s="77">
        <v>80</v>
      </c>
      <c r="W3029" s="80" t="s">
        <v>7779</v>
      </c>
      <c r="X3029" s="77"/>
      <c r="Y3029" s="77"/>
      <c r="Z3029" s="77" t="s">
        <v>9001</v>
      </c>
      <c r="AA3029" s="77" t="s">
        <v>10035</v>
      </c>
      <c r="AB3029" s="77" t="s">
        <v>10534</v>
      </c>
      <c r="AC3029" s="80" t="s">
        <v>10540</v>
      </c>
      <c r="AD3029" s="77" t="s">
        <v>10620</v>
      </c>
      <c r="AE3029" s="83" t="str">
        <f>HYPERLINK("https://twitter.com/eleduok1/status/1691417502218096640")</f>
        <v>https://twitter.com/eleduok1/status/1691417502218096640</v>
      </c>
      <c r="AF3029" s="79">
        <v>45153.494583333333</v>
      </c>
      <c r="AG3029" s="85">
        <v>45153</v>
      </c>
      <c r="AH3029" s="80" t="s">
        <v>13281</v>
      </c>
      <c r="AI3029" s="77" t="b">
        <v>0</v>
      </c>
      <c r="AJ3029" s="77"/>
      <c r="AK3029" s="77"/>
      <c r="AL3029" s="77"/>
      <c r="AM3029" s="77"/>
      <c r="AN3029" s="77"/>
      <c r="AO3029" s="77"/>
      <c r="AP3029" s="77"/>
      <c r="AQ3029" s="77" t="s">
        <v>15516</v>
      </c>
      <c r="AR3029" s="77">
        <v>5560</v>
      </c>
      <c r="AS3029" s="77"/>
      <c r="AT3029" s="77"/>
      <c r="AU3029" s="77"/>
      <c r="AV3029" s="83" t="str">
        <f>HYPERLINK("https://pbs.twimg.com/ext_tw_video_thumb/1691417401693208576/pu/img/5FpcDP3v84TvsgWd.jpg")</f>
        <v>https://pbs.twimg.com/ext_tw_video_thumb/1691417401693208576/pu/img/5FpcDP3v84TvsgWd.jpg</v>
      </c>
      <c r="AW3029" s="80" t="s">
        <v>18791</v>
      </c>
      <c r="AX3029" s="80" t="s">
        <v>18791</v>
      </c>
      <c r="AY3029" s="77"/>
      <c r="AZ3029" s="80" t="s">
        <v>20380</v>
      </c>
      <c r="BA3029" s="80" t="s">
        <v>20380</v>
      </c>
      <c r="BB3029" s="80" t="s">
        <v>20380</v>
      </c>
      <c r="BC3029" s="80" t="s">
        <v>18791</v>
      </c>
      <c r="BD3029" s="80" t="s">
        <v>20978</v>
      </c>
      <c r="BE3029" s="77"/>
      <c r="BF3029" s="77"/>
      <c r="BG3029" s="77"/>
      <c r="BH3029" s="77"/>
      <c r="BI3029" s="77"/>
    </row>
    <row r="3030" spans="1:61" x14ac:dyDescent="0.25">
      <c r="A3030" s="62" t="s">
        <v>1205</v>
      </c>
      <c r="B3030" s="62" t="s">
        <v>1205</v>
      </c>
      <c r="C3030" s="63"/>
      <c r="D3030" s="64"/>
      <c r="E3030" s="65"/>
      <c r="F3030" s="66"/>
      <c r="G3030" s="63"/>
      <c r="H3030" s="67"/>
      <c r="I3030" s="68"/>
      <c r="J3030" s="68"/>
      <c r="K3030" s="32"/>
      <c r="L3030" s="75">
        <v>3030</v>
      </c>
      <c r="M3030" s="75"/>
      <c r="N3030" s="70"/>
      <c r="O3030" s="77" t="s">
        <v>179</v>
      </c>
      <c r="P3030" s="79">
        <v>45141.118993055556</v>
      </c>
      <c r="Q3030" s="77" t="s">
        <v>4770</v>
      </c>
      <c r="R3030" s="77">
        <v>0</v>
      </c>
      <c r="S3030" s="77">
        <v>0</v>
      </c>
      <c r="T3030" s="77">
        <v>0</v>
      </c>
      <c r="U3030" s="77">
        <v>1</v>
      </c>
      <c r="V3030" s="77">
        <v>44</v>
      </c>
      <c r="W3030" s="80" t="s">
        <v>6342</v>
      </c>
      <c r="X3030" s="77"/>
      <c r="Y3030" s="77"/>
      <c r="Z3030" s="77"/>
      <c r="AA3030" s="77"/>
      <c r="AB3030" s="77"/>
      <c r="AC3030" s="80" t="s">
        <v>10542</v>
      </c>
      <c r="AD3030" s="77" t="s">
        <v>10617</v>
      </c>
      <c r="AE3030" s="83" t="str">
        <f>HYPERLINK("https://twitter.com/luanalcantara99/status/1686932741240041473")</f>
        <v>https://twitter.com/luanalcantara99/status/1686932741240041473</v>
      </c>
      <c r="AF3030" s="79">
        <v>45141.118993055556</v>
      </c>
      <c r="AG3030" s="85">
        <v>45141</v>
      </c>
      <c r="AH3030" s="80" t="s">
        <v>13282</v>
      </c>
      <c r="AI3030" s="77"/>
      <c r="AJ3030" s="77" t="s">
        <v>14367</v>
      </c>
      <c r="AK3030" s="77" t="s">
        <v>14382</v>
      </c>
      <c r="AL3030" s="77" t="s">
        <v>14391</v>
      </c>
      <c r="AM3030" s="77" t="s">
        <v>14424</v>
      </c>
      <c r="AN3030" s="77" t="s">
        <v>14464</v>
      </c>
      <c r="AO3030" s="77" t="s">
        <v>14503</v>
      </c>
      <c r="AP3030" s="77" t="s">
        <v>14516</v>
      </c>
      <c r="AQ3030" s="77"/>
      <c r="AR3030" s="77"/>
      <c r="AS3030" s="77"/>
      <c r="AT3030" s="77"/>
      <c r="AU3030" s="77"/>
      <c r="AV3030" s="83" t="str">
        <f>HYPERLINK("https://pbs.twimg.com/profile_images/1704642195125370880/AB2m1wNa_normal.jpg")</f>
        <v>https://pbs.twimg.com/profile_images/1704642195125370880/AB2m1wNa_normal.jpg</v>
      </c>
      <c r="AW3030" s="80" t="s">
        <v>18792</v>
      </c>
      <c r="AX3030" s="80" t="s">
        <v>18792</v>
      </c>
      <c r="AY3030" s="77"/>
      <c r="AZ3030" s="80" t="s">
        <v>20380</v>
      </c>
      <c r="BA3030" s="80" t="s">
        <v>20380</v>
      </c>
      <c r="BB3030" s="80" t="s">
        <v>20380</v>
      </c>
      <c r="BC3030" s="80" t="s">
        <v>18792</v>
      </c>
      <c r="BD3030" s="80" t="s">
        <v>20979</v>
      </c>
      <c r="BE3030" s="77"/>
      <c r="BF3030" s="77"/>
      <c r="BG3030" s="77"/>
      <c r="BH3030" s="77"/>
      <c r="BI3030" s="77"/>
    </row>
    <row r="3031" spans="1:61" x14ac:dyDescent="0.25">
      <c r="A3031" s="62" t="s">
        <v>1206</v>
      </c>
      <c r="B3031" s="62" t="s">
        <v>1206</v>
      </c>
      <c r="C3031" s="63"/>
      <c r="D3031" s="64"/>
      <c r="E3031" s="65"/>
      <c r="F3031" s="66"/>
      <c r="G3031" s="63"/>
      <c r="H3031" s="67"/>
      <c r="I3031" s="68"/>
      <c r="J3031" s="68"/>
      <c r="K3031" s="32"/>
      <c r="L3031" s="75">
        <v>3031</v>
      </c>
      <c r="M3031" s="75"/>
      <c r="N3031" s="70"/>
      <c r="O3031" s="77" t="s">
        <v>179</v>
      </c>
      <c r="P3031" s="79">
        <v>45083.735196759262</v>
      </c>
      <c r="Q3031" s="77" t="s">
        <v>4771</v>
      </c>
      <c r="R3031" s="77">
        <v>0</v>
      </c>
      <c r="S3031" s="77">
        <v>0</v>
      </c>
      <c r="T3031" s="77">
        <v>0</v>
      </c>
      <c r="U3031" s="77">
        <v>0</v>
      </c>
      <c r="V3031" s="77">
        <v>9</v>
      </c>
      <c r="W3031" s="80" t="s">
        <v>7780</v>
      </c>
      <c r="X3031" s="83" t="str">
        <f>HYPERLINK("https://www.jornaljogoserio.com.br/noticia/rural/14120/na-cooxupe--presidente-do-banco-central-destaca-importancia-do-credito-rural-e-necessidade-de-mais-instrumentos-de-captacao-")</f>
        <v>https://www.jornaljogoserio.com.br/noticia/rural/14120/na-cooxupe--presidente-do-banco-central-destaca-importancia-do-credito-rural-e-necessidade-de-mais-instrumentos-de-captacao-</v>
      </c>
      <c r="Y3031" s="77" t="s">
        <v>8611</v>
      </c>
      <c r="Z3031" s="77"/>
      <c r="AA3031" s="77" t="s">
        <v>10036</v>
      </c>
      <c r="AB3031" s="77" t="s">
        <v>10535</v>
      </c>
      <c r="AC3031" s="80" t="s">
        <v>10541</v>
      </c>
      <c r="AD3031" s="77" t="s">
        <v>10617</v>
      </c>
      <c r="AE3031" s="83" t="str">
        <f>HYPERLINK("https://twitter.com/jornaljogoserio/status/1666137549771878422")</f>
        <v>https://twitter.com/jornaljogoserio/status/1666137549771878422</v>
      </c>
      <c r="AF3031" s="79">
        <v>45083.735196759262</v>
      </c>
      <c r="AG3031" s="85">
        <v>45083</v>
      </c>
      <c r="AH3031" s="80" t="s">
        <v>13283</v>
      </c>
      <c r="AI3031" s="77" t="b">
        <v>1</v>
      </c>
      <c r="AJ3031" s="77"/>
      <c r="AK3031" s="77"/>
      <c r="AL3031" s="77"/>
      <c r="AM3031" s="77"/>
      <c r="AN3031" s="77"/>
      <c r="AO3031" s="77"/>
      <c r="AP3031" s="77"/>
      <c r="AQ3031" s="77" t="s">
        <v>15517</v>
      </c>
      <c r="AR3031" s="77"/>
      <c r="AS3031" s="77"/>
      <c r="AT3031" s="77"/>
      <c r="AU3031" s="77"/>
      <c r="AV3031" s="83" t="str">
        <f>HYPERLINK("https://pbs.twimg.com/media/Fx9PRFQXsAY7iYP.jpg")</f>
        <v>https://pbs.twimg.com/media/Fx9PRFQXsAY7iYP.jpg</v>
      </c>
      <c r="AW3031" s="80" t="s">
        <v>18793</v>
      </c>
      <c r="AX3031" s="80" t="s">
        <v>18793</v>
      </c>
      <c r="AY3031" s="77"/>
      <c r="AZ3031" s="80" t="s">
        <v>20380</v>
      </c>
      <c r="BA3031" s="80" t="s">
        <v>20380</v>
      </c>
      <c r="BB3031" s="80" t="s">
        <v>20380</v>
      </c>
      <c r="BC3031" s="80" t="s">
        <v>18793</v>
      </c>
      <c r="BD3031" s="77">
        <v>236550324</v>
      </c>
      <c r="BE3031" s="77"/>
      <c r="BF3031" s="77"/>
      <c r="BG3031" s="77"/>
      <c r="BH3031" s="77"/>
      <c r="BI3031" s="77"/>
    </row>
    <row r="3032" spans="1:61" x14ac:dyDescent="0.25">
      <c r="A3032" s="62" t="s">
        <v>1207</v>
      </c>
      <c r="B3032" s="62" t="s">
        <v>1207</v>
      </c>
      <c r="C3032" s="63"/>
      <c r="D3032" s="64"/>
      <c r="E3032" s="65"/>
      <c r="F3032" s="66"/>
      <c r="G3032" s="63"/>
      <c r="H3032" s="67"/>
      <c r="I3032" s="68"/>
      <c r="J3032" s="68"/>
      <c r="K3032" s="32"/>
      <c r="L3032" s="75">
        <v>3032</v>
      </c>
      <c r="M3032" s="75"/>
      <c r="N3032" s="70"/>
      <c r="O3032" s="77" t="s">
        <v>2078</v>
      </c>
      <c r="P3032" s="79">
        <v>45068.844293981485</v>
      </c>
      <c r="Q3032" s="77" t="s">
        <v>4772</v>
      </c>
      <c r="R3032" s="77">
        <v>0</v>
      </c>
      <c r="S3032" s="77">
        <v>0</v>
      </c>
      <c r="T3032" s="77">
        <v>0</v>
      </c>
      <c r="U3032" s="77">
        <v>0</v>
      </c>
      <c r="V3032" s="77">
        <v>11</v>
      </c>
      <c r="W3032" s="80" t="s">
        <v>7781</v>
      </c>
      <c r="X3032" s="77"/>
      <c r="Y3032" s="77"/>
      <c r="Z3032" s="77"/>
      <c r="AA3032" s="77"/>
      <c r="AB3032" s="77"/>
      <c r="AC3032" s="80" t="s">
        <v>10546</v>
      </c>
      <c r="AD3032" s="77" t="s">
        <v>10618</v>
      </c>
      <c r="AE3032" s="83" t="str">
        <f>HYPERLINK("https://twitter.com/ahorasanjuan/status/1660741264277491736")</f>
        <v>https://twitter.com/ahorasanjuan/status/1660741264277491736</v>
      </c>
      <c r="AF3032" s="79">
        <v>45068.844293981485</v>
      </c>
      <c r="AG3032" s="85">
        <v>45068</v>
      </c>
      <c r="AH3032" s="80" t="s">
        <v>13284</v>
      </c>
      <c r="AI3032" s="77"/>
      <c r="AJ3032" s="77"/>
      <c r="AK3032" s="77"/>
      <c r="AL3032" s="77"/>
      <c r="AM3032" s="77"/>
      <c r="AN3032" s="77"/>
      <c r="AO3032" s="77"/>
      <c r="AP3032" s="77"/>
      <c r="AQ3032" s="77"/>
      <c r="AR3032" s="77"/>
      <c r="AS3032" s="77"/>
      <c r="AT3032" s="77"/>
      <c r="AU3032" s="77"/>
      <c r="AV3032" s="83" t="str">
        <f>HYPERLINK("https://pbs.twimg.com/profile_images/1370933643812728833/FMS1FPZM_normal.jpg")</f>
        <v>https://pbs.twimg.com/profile_images/1370933643812728833/FMS1FPZM_normal.jpg</v>
      </c>
      <c r="AW3032" s="80" t="s">
        <v>18794</v>
      </c>
      <c r="AX3032" s="80" t="s">
        <v>20080</v>
      </c>
      <c r="AY3032" s="80" t="s">
        <v>20330</v>
      </c>
      <c r="AZ3032" s="80" t="s">
        <v>20431</v>
      </c>
      <c r="BA3032" s="80" t="s">
        <v>20380</v>
      </c>
      <c r="BB3032" s="80" t="s">
        <v>20380</v>
      </c>
      <c r="BC3032" s="80" t="s">
        <v>20431</v>
      </c>
      <c r="BD3032" s="80" t="s">
        <v>20330</v>
      </c>
      <c r="BE3032" s="77"/>
      <c r="BF3032" s="77"/>
      <c r="BG3032" s="77"/>
      <c r="BH3032" s="77"/>
      <c r="BI3032" s="77"/>
    </row>
    <row r="3033" spans="1:61" x14ac:dyDescent="0.25">
      <c r="A3033" s="62" t="s">
        <v>1207</v>
      </c>
      <c r="B3033" s="62" t="s">
        <v>1207</v>
      </c>
      <c r="C3033" s="63"/>
      <c r="D3033" s="64"/>
      <c r="E3033" s="65"/>
      <c r="F3033" s="66"/>
      <c r="G3033" s="63"/>
      <c r="H3033" s="67"/>
      <c r="I3033" s="68"/>
      <c r="J3033" s="68"/>
      <c r="K3033" s="32"/>
      <c r="L3033" s="75">
        <v>3033</v>
      </c>
      <c r="M3033" s="75"/>
      <c r="N3033" s="70"/>
      <c r="O3033" s="77" t="s">
        <v>2078</v>
      </c>
      <c r="P3033" s="79">
        <v>45062.990081018521</v>
      </c>
      <c r="Q3033" s="77" t="s">
        <v>4773</v>
      </c>
      <c r="R3033" s="77">
        <v>0</v>
      </c>
      <c r="S3033" s="77">
        <v>0</v>
      </c>
      <c r="T3033" s="77">
        <v>0</v>
      </c>
      <c r="U3033" s="77">
        <v>0</v>
      </c>
      <c r="V3033" s="77">
        <v>15</v>
      </c>
      <c r="W3033" s="80" t="s">
        <v>7782</v>
      </c>
      <c r="X3033" s="77"/>
      <c r="Y3033" s="77"/>
      <c r="Z3033" s="77"/>
      <c r="AA3033" s="77"/>
      <c r="AB3033" s="77"/>
      <c r="AC3033" s="80" t="s">
        <v>10546</v>
      </c>
      <c r="AD3033" s="77" t="s">
        <v>10618</v>
      </c>
      <c r="AE3033" s="83" t="str">
        <f>HYPERLINK("https://twitter.com/ahorasanjuan/status/1658619770575499269")</f>
        <v>https://twitter.com/ahorasanjuan/status/1658619770575499269</v>
      </c>
      <c r="AF3033" s="79">
        <v>45062.990081018521</v>
      </c>
      <c r="AG3033" s="85">
        <v>45062</v>
      </c>
      <c r="AH3033" s="80" t="s">
        <v>13285</v>
      </c>
      <c r="AI3033" s="77"/>
      <c r="AJ3033" s="77"/>
      <c r="AK3033" s="77"/>
      <c r="AL3033" s="77"/>
      <c r="AM3033" s="77"/>
      <c r="AN3033" s="77"/>
      <c r="AO3033" s="77"/>
      <c r="AP3033" s="77"/>
      <c r="AQ3033" s="77"/>
      <c r="AR3033" s="77"/>
      <c r="AS3033" s="77"/>
      <c r="AT3033" s="77"/>
      <c r="AU3033" s="77"/>
      <c r="AV3033" s="83" t="str">
        <f>HYPERLINK("https://pbs.twimg.com/profile_images/1370933643812728833/FMS1FPZM_normal.jpg")</f>
        <v>https://pbs.twimg.com/profile_images/1370933643812728833/FMS1FPZM_normal.jpg</v>
      </c>
      <c r="AW3033" s="80" t="s">
        <v>18795</v>
      </c>
      <c r="AX3033" s="80" t="s">
        <v>20081</v>
      </c>
      <c r="AY3033" s="80" t="s">
        <v>20330</v>
      </c>
      <c r="AZ3033" s="80" t="s">
        <v>20432</v>
      </c>
      <c r="BA3033" s="80" t="s">
        <v>20380</v>
      </c>
      <c r="BB3033" s="80" t="s">
        <v>20380</v>
      </c>
      <c r="BC3033" s="80" t="s">
        <v>20432</v>
      </c>
      <c r="BD3033" s="80" t="s">
        <v>20330</v>
      </c>
      <c r="BE3033" s="77"/>
      <c r="BF3033" s="77"/>
      <c r="BG3033" s="77"/>
      <c r="BH3033" s="77"/>
      <c r="BI3033" s="77"/>
    </row>
    <row r="3034" spans="1:61" x14ac:dyDescent="0.25">
      <c r="A3034" s="62" t="s">
        <v>1207</v>
      </c>
      <c r="B3034" s="62" t="s">
        <v>1207</v>
      </c>
      <c r="C3034" s="63"/>
      <c r="D3034" s="64"/>
      <c r="E3034" s="65"/>
      <c r="F3034" s="66"/>
      <c r="G3034" s="63"/>
      <c r="H3034" s="67"/>
      <c r="I3034" s="68"/>
      <c r="J3034" s="68"/>
      <c r="K3034" s="32"/>
      <c r="L3034" s="75">
        <v>3034</v>
      </c>
      <c r="M3034" s="75"/>
      <c r="N3034" s="70"/>
      <c r="O3034" s="77" t="s">
        <v>2078</v>
      </c>
      <c r="P3034" s="79">
        <v>45084.385775462964</v>
      </c>
      <c r="Q3034" s="77" t="s">
        <v>4774</v>
      </c>
      <c r="R3034" s="77">
        <v>0</v>
      </c>
      <c r="S3034" s="77">
        <v>0</v>
      </c>
      <c r="T3034" s="77">
        <v>0</v>
      </c>
      <c r="U3034" s="77">
        <v>0</v>
      </c>
      <c r="V3034" s="77">
        <v>3</v>
      </c>
      <c r="W3034" s="80" t="s">
        <v>7783</v>
      </c>
      <c r="X3034" s="77"/>
      <c r="Y3034" s="77"/>
      <c r="Z3034" s="77"/>
      <c r="AA3034" s="77"/>
      <c r="AB3034" s="77"/>
      <c r="AC3034" s="80" t="s">
        <v>10546</v>
      </c>
      <c r="AD3034" s="77" t="s">
        <v>10618</v>
      </c>
      <c r="AE3034" s="83" t="str">
        <f>HYPERLINK("https://twitter.com/ahorasanjuan/status/1666373309448040450")</f>
        <v>https://twitter.com/ahorasanjuan/status/1666373309448040450</v>
      </c>
      <c r="AF3034" s="79">
        <v>45084.385775462964</v>
      </c>
      <c r="AG3034" s="85">
        <v>45084</v>
      </c>
      <c r="AH3034" s="80" t="s">
        <v>13286</v>
      </c>
      <c r="AI3034" s="77"/>
      <c r="AJ3034" s="77"/>
      <c r="AK3034" s="77"/>
      <c r="AL3034" s="77"/>
      <c r="AM3034" s="77"/>
      <c r="AN3034" s="77"/>
      <c r="AO3034" s="77"/>
      <c r="AP3034" s="77"/>
      <c r="AQ3034" s="77"/>
      <c r="AR3034" s="77"/>
      <c r="AS3034" s="77"/>
      <c r="AT3034" s="77"/>
      <c r="AU3034" s="77"/>
      <c r="AV3034" s="83" t="str">
        <f>HYPERLINK("https://pbs.twimg.com/profile_images/1370933643812728833/FMS1FPZM_normal.jpg")</f>
        <v>https://pbs.twimg.com/profile_images/1370933643812728833/FMS1FPZM_normal.jpg</v>
      </c>
      <c r="AW3034" s="80" t="s">
        <v>18796</v>
      </c>
      <c r="AX3034" s="80" t="s">
        <v>20082</v>
      </c>
      <c r="AY3034" s="80" t="s">
        <v>20330</v>
      </c>
      <c r="AZ3034" s="80" t="s">
        <v>20433</v>
      </c>
      <c r="BA3034" s="80" t="s">
        <v>20380</v>
      </c>
      <c r="BB3034" s="80" t="s">
        <v>20380</v>
      </c>
      <c r="BC3034" s="80" t="s">
        <v>20433</v>
      </c>
      <c r="BD3034" s="80" t="s">
        <v>20330</v>
      </c>
      <c r="BE3034" s="77"/>
      <c r="BF3034" s="77"/>
      <c r="BG3034" s="77"/>
      <c r="BH3034" s="77"/>
      <c r="BI3034" s="77"/>
    </row>
    <row r="3035" spans="1:61" x14ac:dyDescent="0.25">
      <c r="A3035" s="62" t="s">
        <v>1207</v>
      </c>
      <c r="B3035" s="62" t="s">
        <v>1207</v>
      </c>
      <c r="C3035" s="63"/>
      <c r="D3035" s="64"/>
      <c r="E3035" s="65"/>
      <c r="F3035" s="66"/>
      <c r="G3035" s="63"/>
      <c r="H3035" s="67"/>
      <c r="I3035" s="68"/>
      <c r="J3035" s="68"/>
      <c r="K3035" s="32"/>
      <c r="L3035" s="75">
        <v>3035</v>
      </c>
      <c r="M3035" s="75"/>
      <c r="N3035" s="70"/>
      <c r="O3035" s="77" t="s">
        <v>2078</v>
      </c>
      <c r="P3035" s="79">
        <v>45080.010763888888</v>
      </c>
      <c r="Q3035" s="77" t="s">
        <v>4775</v>
      </c>
      <c r="R3035" s="77">
        <v>0</v>
      </c>
      <c r="S3035" s="77">
        <v>0</v>
      </c>
      <c r="T3035" s="77">
        <v>0</v>
      </c>
      <c r="U3035" s="77">
        <v>0</v>
      </c>
      <c r="V3035" s="77">
        <v>35</v>
      </c>
      <c r="W3035" s="80" t="s">
        <v>7784</v>
      </c>
      <c r="X3035" s="77"/>
      <c r="Y3035" s="77"/>
      <c r="Z3035" s="77"/>
      <c r="AA3035" s="77"/>
      <c r="AB3035" s="77"/>
      <c r="AC3035" s="80" t="s">
        <v>10546</v>
      </c>
      <c r="AD3035" s="77" t="s">
        <v>10618</v>
      </c>
      <c r="AE3035" s="83" t="str">
        <f>HYPERLINK("https://twitter.com/ahorasanjuan/status/1664787858870116353")</f>
        <v>https://twitter.com/ahorasanjuan/status/1664787858870116353</v>
      </c>
      <c r="AF3035" s="79">
        <v>45080.010763888888</v>
      </c>
      <c r="AG3035" s="85">
        <v>45080</v>
      </c>
      <c r="AH3035" s="80" t="s">
        <v>13287</v>
      </c>
      <c r="AI3035" s="77"/>
      <c r="AJ3035" s="77"/>
      <c r="AK3035" s="77"/>
      <c r="AL3035" s="77"/>
      <c r="AM3035" s="77"/>
      <c r="AN3035" s="77"/>
      <c r="AO3035" s="77"/>
      <c r="AP3035" s="77"/>
      <c r="AQ3035" s="77"/>
      <c r="AR3035" s="77"/>
      <c r="AS3035" s="77"/>
      <c r="AT3035" s="77"/>
      <c r="AU3035" s="77"/>
      <c r="AV3035" s="83" t="str">
        <f>HYPERLINK("https://pbs.twimg.com/profile_images/1370933643812728833/FMS1FPZM_normal.jpg")</f>
        <v>https://pbs.twimg.com/profile_images/1370933643812728833/FMS1FPZM_normal.jpg</v>
      </c>
      <c r="AW3035" s="80" t="s">
        <v>18797</v>
      </c>
      <c r="AX3035" s="80" t="s">
        <v>20083</v>
      </c>
      <c r="AY3035" s="80" t="s">
        <v>20330</v>
      </c>
      <c r="AZ3035" s="80" t="s">
        <v>20434</v>
      </c>
      <c r="BA3035" s="80" t="s">
        <v>20380</v>
      </c>
      <c r="BB3035" s="80" t="s">
        <v>20380</v>
      </c>
      <c r="BC3035" s="80" t="s">
        <v>20434</v>
      </c>
      <c r="BD3035" s="80" t="s">
        <v>20330</v>
      </c>
      <c r="BE3035" s="77"/>
      <c r="BF3035" s="77"/>
      <c r="BG3035" s="77"/>
      <c r="BH3035" s="77"/>
      <c r="BI3035" s="77"/>
    </row>
    <row r="3036" spans="1:61" x14ac:dyDescent="0.25">
      <c r="A3036" s="62" t="s">
        <v>1207</v>
      </c>
      <c r="B3036" s="62" t="s">
        <v>1207</v>
      </c>
      <c r="C3036" s="63"/>
      <c r="D3036" s="64"/>
      <c r="E3036" s="65"/>
      <c r="F3036" s="66"/>
      <c r="G3036" s="63"/>
      <c r="H3036" s="67"/>
      <c r="I3036" s="68"/>
      <c r="J3036" s="68"/>
      <c r="K3036" s="32"/>
      <c r="L3036" s="75">
        <v>3036</v>
      </c>
      <c r="M3036" s="75"/>
      <c r="N3036" s="70"/>
      <c r="O3036" s="77" t="s">
        <v>2078</v>
      </c>
      <c r="P3036" s="79">
        <v>45085.977164351854</v>
      </c>
      <c r="Q3036" s="77" t="s">
        <v>4776</v>
      </c>
      <c r="R3036" s="77">
        <v>0</v>
      </c>
      <c r="S3036" s="77">
        <v>0</v>
      </c>
      <c r="T3036" s="77">
        <v>0</v>
      </c>
      <c r="U3036" s="77">
        <v>0</v>
      </c>
      <c r="V3036" s="77">
        <v>8</v>
      </c>
      <c r="W3036" s="80" t="s">
        <v>7785</v>
      </c>
      <c r="X3036" s="77"/>
      <c r="Y3036" s="77"/>
      <c r="Z3036" s="77"/>
      <c r="AA3036" s="77"/>
      <c r="AB3036" s="77"/>
      <c r="AC3036" s="80" t="s">
        <v>10546</v>
      </c>
      <c r="AD3036" s="77" t="s">
        <v>10618</v>
      </c>
      <c r="AE3036" s="83" t="str">
        <f>HYPERLINK("https://twitter.com/ahorasanjuan/status/1666950009512771585")</f>
        <v>https://twitter.com/ahorasanjuan/status/1666950009512771585</v>
      </c>
      <c r="AF3036" s="79">
        <v>45085.977164351854</v>
      </c>
      <c r="AG3036" s="85">
        <v>45085</v>
      </c>
      <c r="AH3036" s="80" t="s">
        <v>13288</v>
      </c>
      <c r="AI3036" s="77"/>
      <c r="AJ3036" s="77"/>
      <c r="AK3036" s="77"/>
      <c r="AL3036" s="77"/>
      <c r="AM3036" s="77"/>
      <c r="AN3036" s="77"/>
      <c r="AO3036" s="77"/>
      <c r="AP3036" s="77"/>
      <c r="AQ3036" s="77"/>
      <c r="AR3036" s="77"/>
      <c r="AS3036" s="77"/>
      <c r="AT3036" s="77"/>
      <c r="AU3036" s="77"/>
      <c r="AV3036" s="83" t="str">
        <f>HYPERLINK("https://pbs.twimg.com/profile_images/1370933643812728833/FMS1FPZM_normal.jpg")</f>
        <v>https://pbs.twimg.com/profile_images/1370933643812728833/FMS1FPZM_normal.jpg</v>
      </c>
      <c r="AW3036" s="80" t="s">
        <v>18798</v>
      </c>
      <c r="AX3036" s="80" t="s">
        <v>20084</v>
      </c>
      <c r="AY3036" s="80" t="s">
        <v>20330</v>
      </c>
      <c r="AZ3036" s="80" t="s">
        <v>20435</v>
      </c>
      <c r="BA3036" s="80" t="s">
        <v>20380</v>
      </c>
      <c r="BB3036" s="80" t="s">
        <v>20380</v>
      </c>
      <c r="BC3036" s="80" t="s">
        <v>20435</v>
      </c>
      <c r="BD3036" s="80" t="s">
        <v>20330</v>
      </c>
      <c r="BE3036" s="77"/>
      <c r="BF3036" s="77"/>
      <c r="BG3036" s="77"/>
      <c r="BH3036" s="77"/>
      <c r="BI3036" s="77"/>
    </row>
    <row r="3037" spans="1:61" x14ac:dyDescent="0.25">
      <c r="A3037" s="62" t="s">
        <v>1207</v>
      </c>
      <c r="B3037" s="62" t="s">
        <v>1207</v>
      </c>
      <c r="C3037" s="63"/>
      <c r="D3037" s="64"/>
      <c r="E3037" s="65"/>
      <c r="F3037" s="66"/>
      <c r="G3037" s="63"/>
      <c r="H3037" s="67"/>
      <c r="I3037" s="68"/>
      <c r="J3037" s="68"/>
      <c r="K3037" s="32"/>
      <c r="L3037" s="75">
        <v>3037</v>
      </c>
      <c r="M3037" s="75"/>
      <c r="N3037" s="70"/>
      <c r="O3037" s="77" t="s">
        <v>179</v>
      </c>
      <c r="P3037" s="79">
        <v>45197.458831018521</v>
      </c>
      <c r="Q3037" s="77" t="s">
        <v>4777</v>
      </c>
      <c r="R3037" s="77">
        <v>0</v>
      </c>
      <c r="S3037" s="77">
        <v>0</v>
      </c>
      <c r="T3037" s="77">
        <v>0</v>
      </c>
      <c r="U3037" s="77">
        <v>0</v>
      </c>
      <c r="V3037" s="77">
        <v>30</v>
      </c>
      <c r="W3037" s="80" t="s">
        <v>7786</v>
      </c>
      <c r="X3037" s="83" t="str">
        <f>HYPERLINK("https://bit.ly/3LEyGoM")</f>
        <v>https://bit.ly/3LEyGoM</v>
      </c>
      <c r="Y3037" s="77" t="s">
        <v>8618</v>
      </c>
      <c r="Z3037" s="77"/>
      <c r="AA3037" s="77" t="s">
        <v>10037</v>
      </c>
      <c r="AB3037" s="77" t="s">
        <v>10535</v>
      </c>
      <c r="AC3037" s="80" t="s">
        <v>10605</v>
      </c>
      <c r="AD3037" s="77" t="s">
        <v>10620</v>
      </c>
      <c r="AE3037" s="83" t="str">
        <f>HYPERLINK("https://twitter.com/ahorasanjuan/status/1707349615207412122")</f>
        <v>https://twitter.com/ahorasanjuan/status/1707349615207412122</v>
      </c>
      <c r="AF3037" s="79">
        <v>45197.458831018521</v>
      </c>
      <c r="AG3037" s="85">
        <v>45197</v>
      </c>
      <c r="AH3037" s="80" t="s">
        <v>13289</v>
      </c>
      <c r="AI3037" s="77" t="b">
        <v>0</v>
      </c>
      <c r="AJ3037" s="77"/>
      <c r="AK3037" s="77"/>
      <c r="AL3037" s="77"/>
      <c r="AM3037" s="77"/>
      <c r="AN3037" s="77"/>
      <c r="AO3037" s="77"/>
      <c r="AP3037" s="77"/>
      <c r="AQ3037" s="77" t="s">
        <v>15518</v>
      </c>
      <c r="AR3037" s="77"/>
      <c r="AS3037" s="77"/>
      <c r="AT3037" s="77"/>
      <c r="AU3037" s="77"/>
      <c r="AV3037" s="83" t="str">
        <f>HYPERLINK("https://pbs.twimg.com/media/F7G5bUxWAAAvtXU.jpg")</f>
        <v>https://pbs.twimg.com/media/F7G5bUxWAAAvtXU.jpg</v>
      </c>
      <c r="AW3037" s="80" t="s">
        <v>18799</v>
      </c>
      <c r="AX3037" s="80" t="s">
        <v>18799</v>
      </c>
      <c r="AY3037" s="77"/>
      <c r="AZ3037" s="80" t="s">
        <v>20380</v>
      </c>
      <c r="BA3037" s="80" t="s">
        <v>20380</v>
      </c>
      <c r="BB3037" s="80" t="s">
        <v>20380</v>
      </c>
      <c r="BC3037" s="80" t="s">
        <v>18799</v>
      </c>
      <c r="BD3037" s="80" t="s">
        <v>20330</v>
      </c>
      <c r="BE3037" s="77"/>
      <c r="BF3037" s="77"/>
      <c r="BG3037" s="77"/>
      <c r="BH3037" s="77"/>
      <c r="BI3037" s="77"/>
    </row>
    <row r="3038" spans="1:61" x14ac:dyDescent="0.25">
      <c r="A3038" s="62" t="s">
        <v>1208</v>
      </c>
      <c r="B3038" s="62" t="s">
        <v>1208</v>
      </c>
      <c r="C3038" s="63"/>
      <c r="D3038" s="64"/>
      <c r="E3038" s="65"/>
      <c r="F3038" s="66"/>
      <c r="G3038" s="63"/>
      <c r="H3038" s="67"/>
      <c r="I3038" s="68"/>
      <c r="J3038" s="68"/>
      <c r="K3038" s="32"/>
      <c r="L3038" s="75">
        <v>3038</v>
      </c>
      <c r="M3038" s="75"/>
      <c r="N3038" s="70"/>
      <c r="O3038" s="77" t="s">
        <v>179</v>
      </c>
      <c r="P3038" s="79">
        <v>45131.967268518521</v>
      </c>
      <c r="Q3038" s="77" t="s">
        <v>4778</v>
      </c>
      <c r="R3038" s="77">
        <v>1</v>
      </c>
      <c r="S3038" s="77">
        <v>1</v>
      </c>
      <c r="T3038" s="77">
        <v>0</v>
      </c>
      <c r="U3038" s="77">
        <v>0</v>
      </c>
      <c r="V3038" s="77">
        <v>594</v>
      </c>
      <c r="W3038" s="80" t="s">
        <v>7787</v>
      </c>
      <c r="X3038" s="77"/>
      <c r="Y3038" s="77"/>
      <c r="Z3038" s="77"/>
      <c r="AA3038" s="77"/>
      <c r="AB3038" s="77"/>
      <c r="AC3038" s="80" t="s">
        <v>10540</v>
      </c>
      <c r="AD3038" s="77" t="s">
        <v>10620</v>
      </c>
      <c r="AE3038" s="83" t="str">
        <f>HYPERLINK("https://twitter.com/radiodelplata/status/1683616264114130944")</f>
        <v>https://twitter.com/radiodelplata/status/1683616264114130944</v>
      </c>
      <c r="AF3038" s="79">
        <v>45131.967268518521</v>
      </c>
      <c r="AG3038" s="85">
        <v>45131</v>
      </c>
      <c r="AH3038" s="80" t="s">
        <v>13290</v>
      </c>
      <c r="AI3038" s="77"/>
      <c r="AJ3038" s="77"/>
      <c r="AK3038" s="77"/>
      <c r="AL3038" s="77"/>
      <c r="AM3038" s="77"/>
      <c r="AN3038" s="77"/>
      <c r="AO3038" s="77"/>
      <c r="AP3038" s="77"/>
      <c r="AQ3038" s="77"/>
      <c r="AR3038" s="77"/>
      <c r="AS3038" s="77"/>
      <c r="AT3038" s="77"/>
      <c r="AU3038" s="77"/>
      <c r="AV3038" s="83" t="str">
        <f>HYPERLINK("https://pbs.twimg.com/profile_images/1366358897422983169/l3sjZQHs_normal.jpg")</f>
        <v>https://pbs.twimg.com/profile_images/1366358897422983169/l3sjZQHs_normal.jpg</v>
      </c>
      <c r="AW3038" s="80" t="s">
        <v>18800</v>
      </c>
      <c r="AX3038" s="80" t="s">
        <v>18800</v>
      </c>
      <c r="AY3038" s="77"/>
      <c r="AZ3038" s="80" t="s">
        <v>20380</v>
      </c>
      <c r="BA3038" s="80" t="s">
        <v>20380</v>
      </c>
      <c r="BB3038" s="80" t="s">
        <v>20380</v>
      </c>
      <c r="BC3038" s="80" t="s">
        <v>18800</v>
      </c>
      <c r="BD3038" s="77">
        <v>16672021</v>
      </c>
      <c r="BE3038" s="77"/>
      <c r="BF3038" s="77"/>
      <c r="BG3038" s="77"/>
      <c r="BH3038" s="77"/>
      <c r="BI3038" s="77"/>
    </row>
    <row r="3039" spans="1:61" x14ac:dyDescent="0.25">
      <c r="A3039" s="62" t="s">
        <v>1208</v>
      </c>
      <c r="B3039" s="62" t="s">
        <v>1208</v>
      </c>
      <c r="C3039" s="63"/>
      <c r="D3039" s="64"/>
      <c r="E3039" s="65"/>
      <c r="F3039" s="66"/>
      <c r="G3039" s="63"/>
      <c r="H3039" s="67"/>
      <c r="I3039" s="68"/>
      <c r="J3039" s="68"/>
      <c r="K3039" s="32"/>
      <c r="L3039" s="75">
        <v>3039</v>
      </c>
      <c r="M3039" s="75"/>
      <c r="N3039" s="70"/>
      <c r="O3039" s="77" t="s">
        <v>179</v>
      </c>
      <c r="P3039" s="79">
        <v>45176.864386574074</v>
      </c>
      <c r="Q3039" s="77" t="s">
        <v>4779</v>
      </c>
      <c r="R3039" s="77">
        <v>2</v>
      </c>
      <c r="S3039" s="77">
        <v>0</v>
      </c>
      <c r="T3039" s="77">
        <v>1</v>
      </c>
      <c r="U3039" s="77">
        <v>0</v>
      </c>
      <c r="V3039" s="77">
        <v>457</v>
      </c>
      <c r="W3039" s="80" t="s">
        <v>6510</v>
      </c>
      <c r="X3039" s="77"/>
      <c r="Y3039" s="77"/>
      <c r="Z3039" s="77"/>
      <c r="AA3039" s="77" t="s">
        <v>10038</v>
      </c>
      <c r="AB3039" s="77" t="s">
        <v>10535</v>
      </c>
      <c r="AC3039" s="80" t="s">
        <v>10541</v>
      </c>
      <c r="AD3039" s="77" t="s">
        <v>10620</v>
      </c>
      <c r="AE3039" s="83" t="str">
        <f>HYPERLINK("https://twitter.com/radiodelplata/status/1699886435229409693")</f>
        <v>https://twitter.com/radiodelplata/status/1699886435229409693</v>
      </c>
      <c r="AF3039" s="79">
        <v>45176.864386574074</v>
      </c>
      <c r="AG3039" s="85">
        <v>45176</v>
      </c>
      <c r="AH3039" s="80" t="s">
        <v>13291</v>
      </c>
      <c r="AI3039" s="77" t="b">
        <v>0</v>
      </c>
      <c r="AJ3039" s="77"/>
      <c r="AK3039" s="77"/>
      <c r="AL3039" s="77"/>
      <c r="AM3039" s="77"/>
      <c r="AN3039" s="77"/>
      <c r="AO3039" s="77"/>
      <c r="AP3039" s="77"/>
      <c r="AQ3039" s="77" t="s">
        <v>15519</v>
      </c>
      <c r="AR3039" s="77"/>
      <c r="AS3039" s="77"/>
      <c r="AT3039" s="77"/>
      <c r="AU3039" s="77"/>
      <c r="AV3039" s="83" t="str">
        <f>HYPERLINK("https://pbs.twimg.com/media/F5c1qY3XsAAek-a.jpg")</f>
        <v>https://pbs.twimg.com/media/F5c1qY3XsAAek-a.jpg</v>
      </c>
      <c r="AW3039" s="80" t="s">
        <v>18801</v>
      </c>
      <c r="AX3039" s="80" t="s">
        <v>18801</v>
      </c>
      <c r="AY3039" s="77"/>
      <c r="AZ3039" s="80" t="s">
        <v>20380</v>
      </c>
      <c r="BA3039" s="80" t="s">
        <v>20380</v>
      </c>
      <c r="BB3039" s="80" t="s">
        <v>20380</v>
      </c>
      <c r="BC3039" s="80" t="s">
        <v>18801</v>
      </c>
      <c r="BD3039" s="77">
        <v>16672021</v>
      </c>
      <c r="BE3039" s="77"/>
      <c r="BF3039" s="77"/>
      <c r="BG3039" s="77"/>
      <c r="BH3039" s="77"/>
      <c r="BI3039" s="77"/>
    </row>
    <row r="3040" spans="1:61" x14ac:dyDescent="0.25">
      <c r="A3040" s="62" t="s">
        <v>1208</v>
      </c>
      <c r="B3040" s="62" t="s">
        <v>1208</v>
      </c>
      <c r="C3040" s="63"/>
      <c r="D3040" s="64"/>
      <c r="E3040" s="65"/>
      <c r="F3040" s="66"/>
      <c r="G3040" s="63"/>
      <c r="H3040" s="67"/>
      <c r="I3040" s="68"/>
      <c r="J3040" s="68"/>
      <c r="K3040" s="32"/>
      <c r="L3040" s="75">
        <v>3040</v>
      </c>
      <c r="M3040" s="75"/>
      <c r="N3040" s="70"/>
      <c r="O3040" s="77" t="s">
        <v>179</v>
      </c>
      <c r="P3040" s="79">
        <v>45183.049444444441</v>
      </c>
      <c r="Q3040" s="77" t="s">
        <v>4780</v>
      </c>
      <c r="R3040" s="77">
        <v>0</v>
      </c>
      <c r="S3040" s="77">
        <v>0</v>
      </c>
      <c r="T3040" s="77">
        <v>0</v>
      </c>
      <c r="U3040" s="77">
        <v>0</v>
      </c>
      <c r="V3040" s="77">
        <v>541</v>
      </c>
      <c r="W3040" s="80" t="s">
        <v>7788</v>
      </c>
      <c r="X3040" s="77"/>
      <c r="Y3040" s="77"/>
      <c r="Z3040" s="77"/>
      <c r="AA3040" s="77" t="s">
        <v>10039</v>
      </c>
      <c r="AB3040" s="77" t="s">
        <v>10535</v>
      </c>
      <c r="AC3040" s="80" t="s">
        <v>10541</v>
      </c>
      <c r="AD3040" s="77" t="s">
        <v>10620</v>
      </c>
      <c r="AE3040" s="83" t="str">
        <f>HYPERLINK("https://twitter.com/radiodelplata/status/1702127827091357793")</f>
        <v>https://twitter.com/radiodelplata/status/1702127827091357793</v>
      </c>
      <c r="AF3040" s="79">
        <v>45183.049444444441</v>
      </c>
      <c r="AG3040" s="85">
        <v>45183</v>
      </c>
      <c r="AH3040" s="80" t="s">
        <v>13292</v>
      </c>
      <c r="AI3040" s="77" t="b">
        <v>0</v>
      </c>
      <c r="AJ3040" s="77"/>
      <c r="AK3040" s="77"/>
      <c r="AL3040" s="77"/>
      <c r="AM3040" s="77"/>
      <c r="AN3040" s="77"/>
      <c r="AO3040" s="77"/>
      <c r="AP3040" s="77"/>
      <c r="AQ3040" s="77" t="s">
        <v>15520</v>
      </c>
      <c r="AR3040" s="77"/>
      <c r="AS3040" s="77"/>
      <c r="AT3040" s="77"/>
      <c r="AU3040" s="77"/>
      <c r="AV3040" s="83" t="str">
        <f>HYPERLINK("https://pbs.twimg.com/media/F58sOtXWMAAfutA.jpg")</f>
        <v>https://pbs.twimg.com/media/F58sOtXWMAAfutA.jpg</v>
      </c>
      <c r="AW3040" s="80" t="s">
        <v>18802</v>
      </c>
      <c r="AX3040" s="80" t="s">
        <v>18802</v>
      </c>
      <c r="AY3040" s="77"/>
      <c r="AZ3040" s="80" t="s">
        <v>20380</v>
      </c>
      <c r="BA3040" s="80" t="s">
        <v>20380</v>
      </c>
      <c r="BB3040" s="80" t="s">
        <v>20380</v>
      </c>
      <c r="BC3040" s="80" t="s">
        <v>18802</v>
      </c>
      <c r="BD3040" s="77">
        <v>16672021</v>
      </c>
      <c r="BE3040" s="77"/>
      <c r="BF3040" s="77"/>
      <c r="BG3040" s="77"/>
      <c r="BH3040" s="77"/>
      <c r="BI3040" s="77"/>
    </row>
    <row r="3041" spans="1:61" x14ac:dyDescent="0.25">
      <c r="A3041" s="62" t="s">
        <v>1208</v>
      </c>
      <c r="B3041" s="62" t="s">
        <v>1208</v>
      </c>
      <c r="C3041" s="63"/>
      <c r="D3041" s="64"/>
      <c r="E3041" s="65"/>
      <c r="F3041" s="66"/>
      <c r="G3041" s="63"/>
      <c r="H3041" s="67"/>
      <c r="I3041" s="68"/>
      <c r="J3041" s="68"/>
      <c r="K3041" s="32"/>
      <c r="L3041" s="75">
        <v>3041</v>
      </c>
      <c r="M3041" s="75"/>
      <c r="N3041" s="70"/>
      <c r="O3041" s="77" t="s">
        <v>179</v>
      </c>
      <c r="P3041" s="79">
        <v>45106.96947916667</v>
      </c>
      <c r="Q3041" s="77" t="s">
        <v>4781</v>
      </c>
      <c r="R3041" s="77">
        <v>0</v>
      </c>
      <c r="S3041" s="77">
        <v>1</v>
      </c>
      <c r="T3041" s="77">
        <v>0</v>
      </c>
      <c r="U3041" s="77">
        <v>0</v>
      </c>
      <c r="V3041" s="77">
        <v>499</v>
      </c>
      <c r="W3041" s="80" t="s">
        <v>7789</v>
      </c>
      <c r="X3041" s="77"/>
      <c r="Y3041" s="77"/>
      <c r="Z3041" s="77"/>
      <c r="AA3041" s="77"/>
      <c r="AB3041" s="77"/>
      <c r="AC3041" s="80" t="s">
        <v>10540</v>
      </c>
      <c r="AD3041" s="77" t="s">
        <v>10620</v>
      </c>
      <c r="AE3041" s="83" t="str">
        <f>HYPERLINK("https://twitter.com/radiodelplata/status/1674557369630576648")</f>
        <v>https://twitter.com/radiodelplata/status/1674557369630576648</v>
      </c>
      <c r="AF3041" s="79">
        <v>45106.96947916667</v>
      </c>
      <c r="AG3041" s="85">
        <v>45106</v>
      </c>
      <c r="AH3041" s="80" t="s">
        <v>13293</v>
      </c>
      <c r="AI3041" s="77"/>
      <c r="AJ3041" s="77"/>
      <c r="AK3041" s="77"/>
      <c r="AL3041" s="77"/>
      <c r="AM3041" s="77"/>
      <c r="AN3041" s="77"/>
      <c r="AO3041" s="77"/>
      <c r="AP3041" s="77"/>
      <c r="AQ3041" s="77"/>
      <c r="AR3041" s="77"/>
      <c r="AS3041" s="77"/>
      <c r="AT3041" s="77"/>
      <c r="AU3041" s="77"/>
      <c r="AV3041" s="83" t="str">
        <f>HYPERLINK("https://pbs.twimg.com/profile_images/1366358897422983169/l3sjZQHs_normal.jpg")</f>
        <v>https://pbs.twimg.com/profile_images/1366358897422983169/l3sjZQHs_normal.jpg</v>
      </c>
      <c r="AW3041" s="80" t="s">
        <v>18803</v>
      </c>
      <c r="AX3041" s="80" t="s">
        <v>18803</v>
      </c>
      <c r="AY3041" s="77"/>
      <c r="AZ3041" s="80" t="s">
        <v>20380</v>
      </c>
      <c r="BA3041" s="80" t="s">
        <v>20380</v>
      </c>
      <c r="BB3041" s="80" t="s">
        <v>20380</v>
      </c>
      <c r="BC3041" s="80" t="s">
        <v>18803</v>
      </c>
      <c r="BD3041" s="77">
        <v>16672021</v>
      </c>
      <c r="BE3041" s="77"/>
      <c r="BF3041" s="77"/>
      <c r="BG3041" s="77"/>
      <c r="BH3041" s="77"/>
      <c r="BI3041" s="77"/>
    </row>
    <row r="3042" spans="1:61" x14ac:dyDescent="0.25">
      <c r="A3042" s="62" t="s">
        <v>1208</v>
      </c>
      <c r="B3042" s="62" t="s">
        <v>1208</v>
      </c>
      <c r="C3042" s="63"/>
      <c r="D3042" s="64"/>
      <c r="E3042" s="65"/>
      <c r="F3042" s="66"/>
      <c r="G3042" s="63"/>
      <c r="H3042" s="67"/>
      <c r="I3042" s="68"/>
      <c r="J3042" s="68"/>
      <c r="K3042" s="32"/>
      <c r="L3042" s="75">
        <v>3042</v>
      </c>
      <c r="M3042" s="75"/>
      <c r="N3042" s="70"/>
      <c r="O3042" s="77" t="s">
        <v>179</v>
      </c>
      <c r="P3042" s="79">
        <v>45191.954664351855</v>
      </c>
      <c r="Q3042" s="77" t="s">
        <v>4782</v>
      </c>
      <c r="R3042" s="77">
        <v>2</v>
      </c>
      <c r="S3042" s="77">
        <v>1</v>
      </c>
      <c r="T3042" s="77">
        <v>0</v>
      </c>
      <c r="U3042" s="77">
        <v>0</v>
      </c>
      <c r="V3042" s="77">
        <v>428</v>
      </c>
      <c r="W3042" s="80" t="s">
        <v>7790</v>
      </c>
      <c r="X3042" s="77"/>
      <c r="Y3042" s="77"/>
      <c r="Z3042" s="77"/>
      <c r="AA3042" s="77" t="s">
        <v>10040</v>
      </c>
      <c r="AB3042" s="77" t="s">
        <v>10535</v>
      </c>
      <c r="AC3042" s="80" t="s">
        <v>10541</v>
      </c>
      <c r="AD3042" s="77" t="s">
        <v>10620</v>
      </c>
      <c r="AE3042" s="83" t="str">
        <f>HYPERLINK("https://twitter.com/radiodelplata/status/1705354970306850835")</f>
        <v>https://twitter.com/radiodelplata/status/1705354970306850835</v>
      </c>
      <c r="AF3042" s="79">
        <v>45191.954664351855</v>
      </c>
      <c r="AG3042" s="85">
        <v>45191</v>
      </c>
      <c r="AH3042" s="80" t="s">
        <v>13294</v>
      </c>
      <c r="AI3042" s="77" t="b">
        <v>0</v>
      </c>
      <c r="AJ3042" s="77"/>
      <c r="AK3042" s="77"/>
      <c r="AL3042" s="77"/>
      <c r="AM3042" s="77"/>
      <c r="AN3042" s="77"/>
      <c r="AO3042" s="77"/>
      <c r="AP3042" s="77"/>
      <c r="AQ3042" s="77" t="s">
        <v>15521</v>
      </c>
      <c r="AR3042" s="77"/>
      <c r="AS3042" s="77"/>
      <c r="AT3042" s="77"/>
      <c r="AU3042" s="77"/>
      <c r="AV3042" s="83" t="str">
        <f>HYPERLINK("https://pbs.twimg.com/media/F6qjS4dXgAAylSr.jpg")</f>
        <v>https://pbs.twimg.com/media/F6qjS4dXgAAylSr.jpg</v>
      </c>
      <c r="AW3042" s="80" t="s">
        <v>18804</v>
      </c>
      <c r="AX3042" s="80" t="s">
        <v>18804</v>
      </c>
      <c r="AY3042" s="77"/>
      <c r="AZ3042" s="80" t="s">
        <v>20380</v>
      </c>
      <c r="BA3042" s="80" t="s">
        <v>20380</v>
      </c>
      <c r="BB3042" s="80" t="s">
        <v>20380</v>
      </c>
      <c r="BC3042" s="80" t="s">
        <v>18804</v>
      </c>
      <c r="BD3042" s="77">
        <v>16672021</v>
      </c>
      <c r="BE3042" s="77"/>
      <c r="BF3042" s="77"/>
      <c r="BG3042" s="77"/>
      <c r="BH3042" s="77"/>
      <c r="BI3042" s="77"/>
    </row>
    <row r="3043" spans="1:61" x14ac:dyDescent="0.25">
      <c r="A3043" s="62" t="s">
        <v>1208</v>
      </c>
      <c r="B3043" s="62" t="s">
        <v>1208</v>
      </c>
      <c r="C3043" s="63"/>
      <c r="D3043" s="64"/>
      <c r="E3043" s="65"/>
      <c r="F3043" s="66"/>
      <c r="G3043" s="63"/>
      <c r="H3043" s="67"/>
      <c r="I3043" s="68"/>
      <c r="J3043" s="68"/>
      <c r="K3043" s="32"/>
      <c r="L3043" s="75">
        <v>3043</v>
      </c>
      <c r="M3043" s="75"/>
      <c r="N3043" s="70"/>
      <c r="O3043" s="77" t="s">
        <v>179</v>
      </c>
      <c r="P3043" s="79">
        <v>45113.081562500003</v>
      </c>
      <c r="Q3043" s="77" t="s">
        <v>4783</v>
      </c>
      <c r="R3043" s="77">
        <v>0</v>
      </c>
      <c r="S3043" s="77">
        <v>1</v>
      </c>
      <c r="T3043" s="77">
        <v>0</v>
      </c>
      <c r="U3043" s="77">
        <v>0</v>
      </c>
      <c r="V3043" s="77">
        <v>621</v>
      </c>
      <c r="W3043" s="80" t="s">
        <v>7791</v>
      </c>
      <c r="X3043" s="77"/>
      <c r="Y3043" s="77"/>
      <c r="Z3043" s="77"/>
      <c r="AA3043" s="77"/>
      <c r="AB3043" s="77"/>
      <c r="AC3043" s="80" t="s">
        <v>10540</v>
      </c>
      <c r="AD3043" s="77" t="s">
        <v>10620</v>
      </c>
      <c r="AE3043" s="83" t="str">
        <f>HYPERLINK("https://twitter.com/radiodelplata/status/1676772313730105344")</f>
        <v>https://twitter.com/radiodelplata/status/1676772313730105344</v>
      </c>
      <c r="AF3043" s="79">
        <v>45113.081562500003</v>
      </c>
      <c r="AG3043" s="85">
        <v>45113</v>
      </c>
      <c r="AH3043" s="80" t="s">
        <v>13295</v>
      </c>
      <c r="AI3043" s="77"/>
      <c r="AJ3043" s="77"/>
      <c r="AK3043" s="77"/>
      <c r="AL3043" s="77"/>
      <c r="AM3043" s="77"/>
      <c r="AN3043" s="77"/>
      <c r="AO3043" s="77"/>
      <c r="AP3043" s="77"/>
      <c r="AQ3043" s="77"/>
      <c r="AR3043" s="77"/>
      <c r="AS3043" s="77"/>
      <c r="AT3043" s="77"/>
      <c r="AU3043" s="77"/>
      <c r="AV3043" s="83" t="str">
        <f>HYPERLINK("https://pbs.twimg.com/profile_images/1366358897422983169/l3sjZQHs_normal.jpg")</f>
        <v>https://pbs.twimg.com/profile_images/1366358897422983169/l3sjZQHs_normal.jpg</v>
      </c>
      <c r="AW3043" s="80" t="s">
        <v>18805</v>
      </c>
      <c r="AX3043" s="80" t="s">
        <v>18805</v>
      </c>
      <c r="AY3043" s="77"/>
      <c r="AZ3043" s="80" t="s">
        <v>20380</v>
      </c>
      <c r="BA3043" s="80" t="s">
        <v>20380</v>
      </c>
      <c r="BB3043" s="80" t="s">
        <v>20380</v>
      </c>
      <c r="BC3043" s="80" t="s">
        <v>18805</v>
      </c>
      <c r="BD3043" s="77">
        <v>16672021</v>
      </c>
      <c r="BE3043" s="77"/>
      <c r="BF3043" s="77"/>
      <c r="BG3043" s="77"/>
      <c r="BH3043" s="77"/>
      <c r="BI3043" s="77"/>
    </row>
    <row r="3044" spans="1:61" x14ac:dyDescent="0.25">
      <c r="A3044" s="62" t="s">
        <v>1209</v>
      </c>
      <c r="B3044" s="62" t="s">
        <v>1208</v>
      </c>
      <c r="C3044" s="63"/>
      <c r="D3044" s="64"/>
      <c r="E3044" s="65"/>
      <c r="F3044" s="66"/>
      <c r="G3044" s="63"/>
      <c r="H3044" s="67"/>
      <c r="I3044" s="68"/>
      <c r="J3044" s="68"/>
      <c r="K3044" s="32"/>
      <c r="L3044" s="75">
        <v>3044</v>
      </c>
      <c r="M3044" s="75"/>
      <c r="N3044" s="70"/>
      <c r="O3044" s="77" t="s">
        <v>2083</v>
      </c>
      <c r="P3044" s="79">
        <v>45191.968773148146</v>
      </c>
      <c r="Q3044" s="77" t="s">
        <v>4730</v>
      </c>
      <c r="R3044" s="77">
        <v>2</v>
      </c>
      <c r="S3044" s="77">
        <v>0</v>
      </c>
      <c r="T3044" s="77">
        <v>0</v>
      </c>
      <c r="U3044" s="77">
        <v>0</v>
      </c>
      <c r="V3044" s="77"/>
      <c r="W3044" s="80" t="s">
        <v>6510</v>
      </c>
      <c r="X3044" s="77"/>
      <c r="Y3044" s="77"/>
      <c r="Z3044" s="77" t="s">
        <v>1208</v>
      </c>
      <c r="AA3044" s="77"/>
      <c r="AB3044" s="77"/>
      <c r="AC3044" s="80" t="s">
        <v>10541</v>
      </c>
      <c r="AD3044" s="77" t="s">
        <v>10620</v>
      </c>
      <c r="AE3044" s="83" t="str">
        <f>HYPERLINK("https://twitter.com/chongui64/status/1705360081481613421")</f>
        <v>https://twitter.com/chongui64/status/1705360081481613421</v>
      </c>
      <c r="AF3044" s="79">
        <v>45191.968773148146</v>
      </c>
      <c r="AG3044" s="85">
        <v>45191</v>
      </c>
      <c r="AH3044" s="80" t="s">
        <v>13296</v>
      </c>
      <c r="AI3044" s="77"/>
      <c r="AJ3044" s="77"/>
      <c r="AK3044" s="77"/>
      <c r="AL3044" s="77"/>
      <c r="AM3044" s="77"/>
      <c r="AN3044" s="77"/>
      <c r="AO3044" s="77"/>
      <c r="AP3044" s="77"/>
      <c r="AQ3044" s="77"/>
      <c r="AR3044" s="77"/>
      <c r="AS3044" s="77"/>
      <c r="AT3044" s="77"/>
      <c r="AU3044" s="77"/>
      <c r="AV3044" s="83" t="str">
        <f>HYPERLINK("https://pbs.twimg.com/profile_images/1309523082600755202/XuuCDnGT_normal.jpg")</f>
        <v>https://pbs.twimg.com/profile_images/1309523082600755202/XuuCDnGT_normal.jpg</v>
      </c>
      <c r="AW3044" s="80" t="s">
        <v>18806</v>
      </c>
      <c r="AX3044" s="80" t="s">
        <v>18806</v>
      </c>
      <c r="AY3044" s="77"/>
      <c r="AZ3044" s="80" t="s">
        <v>20380</v>
      </c>
      <c r="BA3044" s="80" t="s">
        <v>20380</v>
      </c>
      <c r="BB3044" s="80" t="s">
        <v>18804</v>
      </c>
      <c r="BC3044" s="80" t="s">
        <v>18804</v>
      </c>
      <c r="BD3044" s="80" t="s">
        <v>20980</v>
      </c>
      <c r="BE3044" s="77"/>
      <c r="BF3044" s="77"/>
      <c r="BG3044" s="77"/>
      <c r="BH3044" s="77"/>
      <c r="BI3044" s="77"/>
    </row>
    <row r="3045" spans="1:61" x14ac:dyDescent="0.25">
      <c r="A3045" s="62" t="s">
        <v>1210</v>
      </c>
      <c r="B3045" s="62" t="s">
        <v>400</v>
      </c>
      <c r="C3045" s="63"/>
      <c r="D3045" s="64"/>
      <c r="E3045" s="65"/>
      <c r="F3045" s="66"/>
      <c r="G3045" s="63"/>
      <c r="H3045" s="67"/>
      <c r="I3045" s="68"/>
      <c r="J3045" s="68"/>
      <c r="K3045" s="32"/>
      <c r="L3045" s="75">
        <v>3045</v>
      </c>
      <c r="M3045" s="75"/>
      <c r="N3045" s="70"/>
      <c r="O3045" s="77" t="s">
        <v>2081</v>
      </c>
      <c r="P3045" s="79">
        <v>45049.790972222225</v>
      </c>
      <c r="Q3045" s="77" t="s">
        <v>4784</v>
      </c>
      <c r="R3045" s="77">
        <v>0</v>
      </c>
      <c r="S3045" s="77">
        <v>0</v>
      </c>
      <c r="T3045" s="77">
        <v>0</v>
      </c>
      <c r="U3045" s="77">
        <v>0</v>
      </c>
      <c r="V3045" s="77">
        <v>4</v>
      </c>
      <c r="W3045" s="80" t="s">
        <v>5884</v>
      </c>
      <c r="X3045" s="83" t="str">
        <f>HYPERLINK("https://www.treslineas.com.ar/horacio-rodriguez-larreta-cerrar-puertas-banco-central-n-1710254.html")</f>
        <v>https://www.treslineas.com.ar/horacio-rodriguez-larreta-cerrar-puertas-banco-central-n-1710254.html</v>
      </c>
      <c r="Y3045" s="77" t="s">
        <v>8624</v>
      </c>
      <c r="Z3045" s="77" t="s">
        <v>400</v>
      </c>
      <c r="AA3045" s="77"/>
      <c r="AB3045" s="77"/>
      <c r="AC3045" s="80" t="s">
        <v>10541</v>
      </c>
      <c r="AD3045" s="77" t="s">
        <v>10620</v>
      </c>
      <c r="AE3045" s="83" t="str">
        <f>HYPERLINK("https://twitter.com/treslineasar/status/1653836572163186722")</f>
        <v>https://twitter.com/treslineasar/status/1653836572163186722</v>
      </c>
      <c r="AF3045" s="79">
        <v>45049.790972222225</v>
      </c>
      <c r="AG3045" s="85">
        <v>45049</v>
      </c>
      <c r="AH3045" s="80" t="s">
        <v>13297</v>
      </c>
      <c r="AI3045" s="77" t="b">
        <v>0</v>
      </c>
      <c r="AJ3045" s="77"/>
      <c r="AK3045" s="77"/>
      <c r="AL3045" s="77"/>
      <c r="AM3045" s="77"/>
      <c r="AN3045" s="77"/>
      <c r="AO3045" s="77"/>
      <c r="AP3045" s="77"/>
      <c r="AQ3045" s="77"/>
      <c r="AR3045" s="77"/>
      <c r="AS3045" s="77"/>
      <c r="AT3045" s="77"/>
      <c r="AU3045" s="77"/>
      <c r="AV3045" s="83" t="str">
        <f>HYPERLINK("https://pbs.twimg.com/profile_images/1458636698796150785/t-j8s6In_normal.jpg")</f>
        <v>https://pbs.twimg.com/profile_images/1458636698796150785/t-j8s6In_normal.jpg</v>
      </c>
      <c r="AW3045" s="80" t="s">
        <v>18807</v>
      </c>
      <c r="AX3045" s="80" t="s">
        <v>18807</v>
      </c>
      <c r="AY3045" s="77"/>
      <c r="AZ3045" s="80" t="s">
        <v>20380</v>
      </c>
      <c r="BA3045" s="80" t="s">
        <v>20380</v>
      </c>
      <c r="BB3045" s="80" t="s">
        <v>20380</v>
      </c>
      <c r="BC3045" s="80" t="s">
        <v>18807</v>
      </c>
      <c r="BD3045" s="80" t="s">
        <v>20981</v>
      </c>
      <c r="BE3045" s="77"/>
      <c r="BF3045" s="77"/>
      <c r="BG3045" s="77"/>
      <c r="BH3045" s="77"/>
      <c r="BI3045" s="77"/>
    </row>
    <row r="3046" spans="1:61" x14ac:dyDescent="0.25">
      <c r="A3046" s="62" t="s">
        <v>1210</v>
      </c>
      <c r="B3046" s="62" t="s">
        <v>1210</v>
      </c>
      <c r="C3046" s="63"/>
      <c r="D3046" s="64"/>
      <c r="E3046" s="65"/>
      <c r="F3046" s="66"/>
      <c r="G3046" s="63"/>
      <c r="H3046" s="67"/>
      <c r="I3046" s="68"/>
      <c r="J3046" s="68"/>
      <c r="K3046" s="32"/>
      <c r="L3046" s="75">
        <v>3046</v>
      </c>
      <c r="M3046" s="75"/>
      <c r="N3046" s="70"/>
      <c r="O3046" s="77" t="s">
        <v>179</v>
      </c>
      <c r="P3046" s="79">
        <v>45061.895833333336</v>
      </c>
      <c r="Q3046" s="77" t="s">
        <v>4785</v>
      </c>
      <c r="R3046" s="77">
        <v>0</v>
      </c>
      <c r="S3046" s="77">
        <v>0</v>
      </c>
      <c r="T3046" s="77">
        <v>0</v>
      </c>
      <c r="U3046" s="77">
        <v>0</v>
      </c>
      <c r="V3046" s="77">
        <v>16</v>
      </c>
      <c r="W3046" s="80" t="s">
        <v>7792</v>
      </c>
      <c r="X3046" s="83" t="str">
        <f>HYPERLINK("https://www.treslineas.com.ar/bcra-oficializo-suba-tasas-interes-como-afecta-plazos-fijos-tarjetas-credito-n-1711146.html")</f>
        <v>https://www.treslineas.com.ar/bcra-oficializo-suba-tasas-interes-como-afecta-plazos-fijos-tarjetas-credito-n-1711146.html</v>
      </c>
      <c r="Y3046" s="77" t="s">
        <v>8624</v>
      </c>
      <c r="Z3046" s="77"/>
      <c r="AA3046" s="77"/>
      <c r="AB3046" s="77"/>
      <c r="AC3046" s="80" t="s">
        <v>10541</v>
      </c>
      <c r="AD3046" s="77" t="s">
        <v>10620</v>
      </c>
      <c r="AE3046" s="83" t="str">
        <f>HYPERLINK("https://twitter.com/treslineasar/status/1658223226701398017")</f>
        <v>https://twitter.com/treslineasar/status/1658223226701398017</v>
      </c>
      <c r="AF3046" s="79">
        <v>45061.895833333336</v>
      </c>
      <c r="AG3046" s="85">
        <v>45061</v>
      </c>
      <c r="AH3046" s="80" t="s">
        <v>10852</v>
      </c>
      <c r="AI3046" s="77" t="b">
        <v>0</v>
      </c>
      <c r="AJ3046" s="77"/>
      <c r="AK3046" s="77"/>
      <c r="AL3046" s="77"/>
      <c r="AM3046" s="77"/>
      <c r="AN3046" s="77"/>
      <c r="AO3046" s="77"/>
      <c r="AP3046" s="77"/>
      <c r="AQ3046" s="77"/>
      <c r="AR3046" s="77"/>
      <c r="AS3046" s="77"/>
      <c r="AT3046" s="77"/>
      <c r="AU3046" s="77"/>
      <c r="AV3046" s="83" t="str">
        <f>HYPERLINK("https://pbs.twimg.com/profile_images/1458636698796150785/t-j8s6In_normal.jpg")</f>
        <v>https://pbs.twimg.com/profile_images/1458636698796150785/t-j8s6In_normal.jpg</v>
      </c>
      <c r="AW3046" s="80" t="s">
        <v>18808</v>
      </c>
      <c r="AX3046" s="80" t="s">
        <v>18808</v>
      </c>
      <c r="AY3046" s="77"/>
      <c r="AZ3046" s="80" t="s">
        <v>20380</v>
      </c>
      <c r="BA3046" s="80" t="s">
        <v>20380</v>
      </c>
      <c r="BB3046" s="80" t="s">
        <v>20380</v>
      </c>
      <c r="BC3046" s="80" t="s">
        <v>18808</v>
      </c>
      <c r="BD3046" s="80" t="s">
        <v>20981</v>
      </c>
      <c r="BE3046" s="77"/>
      <c r="BF3046" s="77"/>
      <c r="BG3046" s="77"/>
      <c r="BH3046" s="77"/>
      <c r="BI3046" s="77"/>
    </row>
    <row r="3047" spans="1:61" x14ac:dyDescent="0.25">
      <c r="A3047" s="62" t="s">
        <v>1210</v>
      </c>
      <c r="B3047" s="62" t="s">
        <v>1210</v>
      </c>
      <c r="C3047" s="63"/>
      <c r="D3047" s="64"/>
      <c r="E3047" s="65"/>
      <c r="F3047" s="66"/>
      <c r="G3047" s="63"/>
      <c r="H3047" s="67"/>
      <c r="I3047" s="68"/>
      <c r="J3047" s="68"/>
      <c r="K3047" s="32"/>
      <c r="L3047" s="75">
        <v>3047</v>
      </c>
      <c r="M3047" s="75"/>
      <c r="N3047" s="70"/>
      <c r="O3047" s="77" t="s">
        <v>179</v>
      </c>
      <c r="P3047" s="79">
        <v>45183.800694444442</v>
      </c>
      <c r="Q3047" s="77" t="s">
        <v>4786</v>
      </c>
      <c r="R3047" s="77">
        <v>0</v>
      </c>
      <c r="S3047" s="77">
        <v>0</v>
      </c>
      <c r="T3047" s="77">
        <v>0</v>
      </c>
      <c r="U3047" s="77">
        <v>0</v>
      </c>
      <c r="V3047" s="77">
        <v>33</v>
      </c>
      <c r="W3047" s="80" t="s">
        <v>7793</v>
      </c>
      <c r="X3047" s="83" t="str">
        <f>HYPERLINK("https://www.treslineas.com.ar/exclusivo-milei-quiere-sturzenegger-para-banco-central-n-1719541.html")</f>
        <v>https://www.treslineas.com.ar/exclusivo-milei-quiere-sturzenegger-para-banco-central-n-1719541.html</v>
      </c>
      <c r="Y3047" s="77" t="s">
        <v>8624</v>
      </c>
      <c r="Z3047" s="77"/>
      <c r="AA3047" s="77"/>
      <c r="AB3047" s="77"/>
      <c r="AC3047" s="80" t="s">
        <v>10541</v>
      </c>
      <c r="AD3047" s="77" t="s">
        <v>10620</v>
      </c>
      <c r="AE3047" s="83" t="str">
        <f>HYPERLINK("https://twitter.com/treslineasar/status/1702400069142716834")</f>
        <v>https://twitter.com/treslineasar/status/1702400069142716834</v>
      </c>
      <c r="AF3047" s="79">
        <v>45183.800694444442</v>
      </c>
      <c r="AG3047" s="85">
        <v>45183</v>
      </c>
      <c r="AH3047" s="80" t="s">
        <v>13298</v>
      </c>
      <c r="AI3047" s="77" t="b">
        <v>0</v>
      </c>
      <c r="AJ3047" s="77"/>
      <c r="AK3047" s="77"/>
      <c r="AL3047" s="77"/>
      <c r="AM3047" s="77"/>
      <c r="AN3047" s="77"/>
      <c r="AO3047" s="77"/>
      <c r="AP3047" s="77"/>
      <c r="AQ3047" s="77"/>
      <c r="AR3047" s="77"/>
      <c r="AS3047" s="77"/>
      <c r="AT3047" s="77"/>
      <c r="AU3047" s="77"/>
      <c r="AV3047" s="83" t="str">
        <f>HYPERLINK("https://pbs.twimg.com/profile_images/1458636698796150785/t-j8s6In_normal.jpg")</f>
        <v>https://pbs.twimg.com/profile_images/1458636698796150785/t-j8s6In_normal.jpg</v>
      </c>
      <c r="AW3047" s="80" t="s">
        <v>18809</v>
      </c>
      <c r="AX3047" s="80" t="s">
        <v>18809</v>
      </c>
      <c r="AY3047" s="77"/>
      <c r="AZ3047" s="80" t="s">
        <v>20380</v>
      </c>
      <c r="BA3047" s="80" t="s">
        <v>20380</v>
      </c>
      <c r="BB3047" s="80" t="s">
        <v>20380</v>
      </c>
      <c r="BC3047" s="80" t="s">
        <v>18809</v>
      </c>
      <c r="BD3047" s="80" t="s">
        <v>20981</v>
      </c>
      <c r="BE3047" s="77"/>
      <c r="BF3047" s="77"/>
      <c r="BG3047" s="77"/>
      <c r="BH3047" s="77"/>
      <c r="BI3047" s="77"/>
    </row>
    <row r="3048" spans="1:61" x14ac:dyDescent="0.25">
      <c r="A3048" s="62" t="s">
        <v>1211</v>
      </c>
      <c r="B3048" s="62" t="s">
        <v>1984</v>
      </c>
      <c r="C3048" s="63"/>
      <c r="D3048" s="64"/>
      <c r="E3048" s="65"/>
      <c r="F3048" s="66"/>
      <c r="G3048" s="63"/>
      <c r="H3048" s="67"/>
      <c r="I3048" s="68"/>
      <c r="J3048" s="68"/>
      <c r="K3048" s="32"/>
      <c r="L3048" s="75">
        <v>3048</v>
      </c>
      <c r="M3048" s="75"/>
      <c r="N3048" s="70"/>
      <c r="O3048" s="77" t="s">
        <v>2081</v>
      </c>
      <c r="P3048" s="79">
        <v>45184.542037037034</v>
      </c>
      <c r="Q3048" s="77" t="s">
        <v>4787</v>
      </c>
      <c r="R3048" s="77">
        <v>0</v>
      </c>
      <c r="S3048" s="77">
        <v>0</v>
      </c>
      <c r="T3048" s="77">
        <v>0</v>
      </c>
      <c r="U3048" s="77">
        <v>0</v>
      </c>
      <c r="V3048" s="77">
        <v>26</v>
      </c>
      <c r="W3048" s="80" t="s">
        <v>5884</v>
      </c>
      <c r="X3048" s="83" t="str">
        <f>HYPERLINK("https://www.lapoliticaonline.com/politica/exclusivo-milei-quiere-a-sturzenegger-para-el-banco-central/")</f>
        <v>https://www.lapoliticaonline.com/politica/exclusivo-milei-quiere-a-sturzenegger-para-el-banco-central/</v>
      </c>
      <c r="Y3048" s="77" t="s">
        <v>8765</v>
      </c>
      <c r="Z3048" s="77" t="s">
        <v>1984</v>
      </c>
      <c r="AA3048" s="77"/>
      <c r="AB3048" s="77"/>
      <c r="AC3048" s="80" t="s">
        <v>10541</v>
      </c>
      <c r="AD3048" s="77" t="s">
        <v>10620</v>
      </c>
      <c r="AE3048" s="83" t="str">
        <f>HYPERLINK("https://twitter.com/diegopenizzotto/status/1702668725940367564")</f>
        <v>https://twitter.com/diegopenizzotto/status/1702668725940367564</v>
      </c>
      <c r="AF3048" s="79">
        <v>45184.542037037034</v>
      </c>
      <c r="AG3048" s="85">
        <v>45184</v>
      </c>
      <c r="AH3048" s="80" t="s">
        <v>11890</v>
      </c>
      <c r="AI3048" s="77" t="b">
        <v>0</v>
      </c>
      <c r="AJ3048" s="77"/>
      <c r="AK3048" s="77"/>
      <c r="AL3048" s="77"/>
      <c r="AM3048" s="77"/>
      <c r="AN3048" s="77"/>
      <c r="AO3048" s="77"/>
      <c r="AP3048" s="77"/>
      <c r="AQ3048" s="77"/>
      <c r="AR3048" s="77"/>
      <c r="AS3048" s="77"/>
      <c r="AT3048" s="77"/>
      <c r="AU3048" s="77"/>
      <c r="AV3048" s="83" t="str">
        <f>HYPERLINK("https://pbs.twimg.com/profile_images/1004005440961859584/qbdcB79o_normal.jpg")</f>
        <v>https://pbs.twimg.com/profile_images/1004005440961859584/qbdcB79o_normal.jpg</v>
      </c>
      <c r="AW3048" s="80" t="s">
        <v>18810</v>
      </c>
      <c r="AX3048" s="80" t="s">
        <v>18810</v>
      </c>
      <c r="AY3048" s="77"/>
      <c r="AZ3048" s="80" t="s">
        <v>20380</v>
      </c>
      <c r="BA3048" s="80" t="s">
        <v>20380</v>
      </c>
      <c r="BB3048" s="80" t="s">
        <v>20380</v>
      </c>
      <c r="BC3048" s="80" t="s">
        <v>18810</v>
      </c>
      <c r="BD3048" s="77">
        <v>38005749</v>
      </c>
      <c r="BE3048" s="77"/>
      <c r="BF3048" s="77"/>
      <c r="BG3048" s="77"/>
      <c r="BH3048" s="77"/>
      <c r="BI3048" s="77"/>
    </row>
    <row r="3049" spans="1:61" x14ac:dyDescent="0.25">
      <c r="A3049" s="62" t="s">
        <v>1212</v>
      </c>
      <c r="B3049" s="62" t="s">
        <v>1985</v>
      </c>
      <c r="C3049" s="63"/>
      <c r="D3049" s="64"/>
      <c r="E3049" s="65"/>
      <c r="F3049" s="66"/>
      <c r="G3049" s="63"/>
      <c r="H3049" s="67"/>
      <c r="I3049" s="68"/>
      <c r="J3049" s="68"/>
      <c r="K3049" s="32"/>
      <c r="L3049" s="75">
        <v>3049</v>
      </c>
      <c r="M3049" s="75"/>
      <c r="N3049" s="70"/>
      <c r="O3049" s="77" t="s">
        <v>2078</v>
      </c>
      <c r="P3049" s="79">
        <v>45090.714699074073</v>
      </c>
      <c r="Q3049" s="77" t="s">
        <v>4788</v>
      </c>
      <c r="R3049" s="77">
        <v>0</v>
      </c>
      <c r="S3049" s="77">
        <v>0</v>
      </c>
      <c r="T3049" s="77">
        <v>0</v>
      </c>
      <c r="U3049" s="77">
        <v>0</v>
      </c>
      <c r="V3049" s="77"/>
      <c r="W3049" s="80" t="s">
        <v>5884</v>
      </c>
      <c r="X3049" s="77"/>
      <c r="Y3049" s="77"/>
      <c r="Z3049" s="77" t="s">
        <v>1985</v>
      </c>
      <c r="AA3049" s="77"/>
      <c r="AB3049" s="77"/>
      <c r="AC3049" s="80" t="s">
        <v>10541</v>
      </c>
      <c r="AD3049" s="77" t="s">
        <v>10617</v>
      </c>
      <c r="AE3049" s="83" t="str">
        <f>HYPERLINK("https://twitter.com/thepatologico/status/1668666835003224088")</f>
        <v>https://twitter.com/thepatologico/status/1668666835003224088</v>
      </c>
      <c r="AF3049" s="79">
        <v>45090.714699074073</v>
      </c>
      <c r="AG3049" s="85">
        <v>45090</v>
      </c>
      <c r="AH3049" s="80" t="s">
        <v>13299</v>
      </c>
      <c r="AI3049" s="77"/>
      <c r="AJ3049" s="77"/>
      <c r="AK3049" s="77"/>
      <c r="AL3049" s="77"/>
      <c r="AM3049" s="77"/>
      <c r="AN3049" s="77"/>
      <c r="AO3049" s="77"/>
      <c r="AP3049" s="77"/>
      <c r="AQ3049" s="77"/>
      <c r="AR3049" s="77"/>
      <c r="AS3049" s="77"/>
      <c r="AT3049" s="77"/>
      <c r="AU3049" s="77"/>
      <c r="AV3049" s="83" t="str">
        <f>HYPERLINK("https://pbs.twimg.com/profile_images/1667242796766445568/Ia76X1tu_normal.jpg")</f>
        <v>https://pbs.twimg.com/profile_images/1667242796766445568/Ia76X1tu_normal.jpg</v>
      </c>
      <c r="AW3049" s="80" t="s">
        <v>18811</v>
      </c>
      <c r="AX3049" s="80" t="s">
        <v>20085</v>
      </c>
      <c r="AY3049" s="80" t="s">
        <v>20331</v>
      </c>
      <c r="AZ3049" s="80" t="s">
        <v>20085</v>
      </c>
      <c r="BA3049" s="80" t="s">
        <v>20380</v>
      </c>
      <c r="BB3049" s="80" t="s">
        <v>20380</v>
      </c>
      <c r="BC3049" s="80" t="s">
        <v>20085</v>
      </c>
      <c r="BD3049" s="80" t="s">
        <v>20982</v>
      </c>
      <c r="BE3049" s="77"/>
      <c r="BF3049" s="77"/>
      <c r="BG3049" s="77"/>
      <c r="BH3049" s="77"/>
      <c r="BI3049" s="77"/>
    </row>
    <row r="3050" spans="1:61" x14ac:dyDescent="0.25">
      <c r="A3050" s="62" t="s">
        <v>1212</v>
      </c>
      <c r="B3050" s="62" t="s">
        <v>1848</v>
      </c>
      <c r="C3050" s="63"/>
      <c r="D3050" s="64"/>
      <c r="E3050" s="65"/>
      <c r="F3050" s="66"/>
      <c r="G3050" s="63"/>
      <c r="H3050" s="67"/>
      <c r="I3050" s="68"/>
      <c r="J3050" s="68"/>
      <c r="K3050" s="32"/>
      <c r="L3050" s="75">
        <v>3050</v>
      </c>
      <c r="M3050" s="75"/>
      <c r="N3050" s="70"/>
      <c r="O3050" s="77" t="s">
        <v>2078</v>
      </c>
      <c r="P3050" s="79">
        <v>45090.713935185187</v>
      </c>
      <c r="Q3050" s="77" t="s">
        <v>4789</v>
      </c>
      <c r="R3050" s="77">
        <v>0</v>
      </c>
      <c r="S3050" s="77">
        <v>0</v>
      </c>
      <c r="T3050" s="77">
        <v>0</v>
      </c>
      <c r="U3050" s="77">
        <v>0</v>
      </c>
      <c r="V3050" s="77">
        <v>1</v>
      </c>
      <c r="W3050" s="80" t="s">
        <v>5884</v>
      </c>
      <c r="X3050" s="77"/>
      <c r="Y3050" s="77"/>
      <c r="Z3050" s="77" t="s">
        <v>1848</v>
      </c>
      <c r="AA3050" s="77"/>
      <c r="AB3050" s="77"/>
      <c r="AC3050" s="80" t="s">
        <v>10541</v>
      </c>
      <c r="AD3050" s="77" t="s">
        <v>10617</v>
      </c>
      <c r="AE3050" s="83" t="str">
        <f>HYPERLINK("https://twitter.com/thepatologico/status/1668666559479382016")</f>
        <v>https://twitter.com/thepatologico/status/1668666559479382016</v>
      </c>
      <c r="AF3050" s="79">
        <v>45090.713935185187</v>
      </c>
      <c r="AG3050" s="85">
        <v>45090</v>
      </c>
      <c r="AH3050" s="80" t="s">
        <v>13300</v>
      </c>
      <c r="AI3050" s="77"/>
      <c r="AJ3050" s="77"/>
      <c r="AK3050" s="77"/>
      <c r="AL3050" s="77"/>
      <c r="AM3050" s="77"/>
      <c r="AN3050" s="77"/>
      <c r="AO3050" s="77"/>
      <c r="AP3050" s="77"/>
      <c r="AQ3050" s="77"/>
      <c r="AR3050" s="77"/>
      <c r="AS3050" s="77"/>
      <c r="AT3050" s="77"/>
      <c r="AU3050" s="77"/>
      <c r="AV3050" s="83" t="str">
        <f>HYPERLINK("https://pbs.twimg.com/profile_images/1667242796766445568/Ia76X1tu_normal.jpg")</f>
        <v>https://pbs.twimg.com/profile_images/1667242796766445568/Ia76X1tu_normal.jpg</v>
      </c>
      <c r="AW3050" s="80" t="s">
        <v>18812</v>
      </c>
      <c r="AX3050" s="80" t="s">
        <v>20086</v>
      </c>
      <c r="AY3050" s="80" t="s">
        <v>20263</v>
      </c>
      <c r="AZ3050" s="80" t="s">
        <v>20086</v>
      </c>
      <c r="BA3050" s="80" t="s">
        <v>20380</v>
      </c>
      <c r="BB3050" s="80" t="s">
        <v>20380</v>
      </c>
      <c r="BC3050" s="80" t="s">
        <v>20086</v>
      </c>
      <c r="BD3050" s="80" t="s">
        <v>20982</v>
      </c>
      <c r="BE3050" s="77"/>
      <c r="BF3050" s="77"/>
      <c r="BG3050" s="77"/>
      <c r="BH3050" s="77"/>
      <c r="BI3050" s="77"/>
    </row>
    <row r="3051" spans="1:61" x14ac:dyDescent="0.25">
      <c r="A3051" s="62" t="s">
        <v>1212</v>
      </c>
      <c r="B3051" s="62" t="s">
        <v>1212</v>
      </c>
      <c r="C3051" s="63"/>
      <c r="D3051" s="64"/>
      <c r="E3051" s="65"/>
      <c r="F3051" s="66"/>
      <c r="G3051" s="63"/>
      <c r="H3051" s="67"/>
      <c r="I3051" s="68"/>
      <c r="J3051" s="68"/>
      <c r="K3051" s="32"/>
      <c r="L3051" s="75">
        <v>3051</v>
      </c>
      <c r="M3051" s="75"/>
      <c r="N3051" s="70"/>
      <c r="O3051" s="77" t="s">
        <v>179</v>
      </c>
      <c r="P3051" s="79">
        <v>45090.695104166669</v>
      </c>
      <c r="Q3051" s="77" t="s">
        <v>4790</v>
      </c>
      <c r="R3051" s="77">
        <v>0</v>
      </c>
      <c r="S3051" s="77">
        <v>0</v>
      </c>
      <c r="T3051" s="77">
        <v>1</v>
      </c>
      <c r="U3051" s="77">
        <v>0</v>
      </c>
      <c r="V3051" s="77">
        <v>13</v>
      </c>
      <c r="W3051" s="80" t="s">
        <v>5884</v>
      </c>
      <c r="X3051" s="77"/>
      <c r="Y3051" s="77"/>
      <c r="Z3051" s="77"/>
      <c r="AA3051" s="77" t="s">
        <v>10041</v>
      </c>
      <c r="AB3051" s="77" t="s">
        <v>10535</v>
      </c>
      <c r="AC3051" s="80" t="s">
        <v>10541</v>
      </c>
      <c r="AD3051" s="77" t="s">
        <v>10617</v>
      </c>
      <c r="AE3051" s="83" t="str">
        <f>HYPERLINK("https://twitter.com/thepatologico/status/1668659732494573568")</f>
        <v>https://twitter.com/thepatologico/status/1668659732494573568</v>
      </c>
      <c r="AF3051" s="79">
        <v>45090.695104166669</v>
      </c>
      <c r="AG3051" s="85">
        <v>45090</v>
      </c>
      <c r="AH3051" s="80" t="s">
        <v>13301</v>
      </c>
      <c r="AI3051" s="77" t="b">
        <v>0</v>
      </c>
      <c r="AJ3051" s="77"/>
      <c r="AK3051" s="77"/>
      <c r="AL3051" s="77"/>
      <c r="AM3051" s="77"/>
      <c r="AN3051" s="77"/>
      <c r="AO3051" s="77"/>
      <c r="AP3051" s="77"/>
      <c r="AQ3051" s="77" t="s">
        <v>15522</v>
      </c>
      <c r="AR3051" s="77"/>
      <c r="AS3051" s="77"/>
      <c r="AT3051" s="77"/>
      <c r="AU3051" s="77"/>
      <c r="AV3051" s="83" t="str">
        <f>HYPERLINK("https://pbs.twimg.com/media/FyhFHdkWIAA5hT0.png")</f>
        <v>https://pbs.twimg.com/media/FyhFHdkWIAA5hT0.png</v>
      </c>
      <c r="AW3051" s="80" t="s">
        <v>18813</v>
      </c>
      <c r="AX3051" s="80" t="s">
        <v>18813</v>
      </c>
      <c r="AY3051" s="77"/>
      <c r="AZ3051" s="80" t="s">
        <v>20380</v>
      </c>
      <c r="BA3051" s="80" t="s">
        <v>20380</v>
      </c>
      <c r="BB3051" s="80" t="s">
        <v>20380</v>
      </c>
      <c r="BC3051" s="80" t="s">
        <v>18813</v>
      </c>
      <c r="BD3051" s="80" t="s">
        <v>20982</v>
      </c>
      <c r="BE3051" s="77"/>
      <c r="BF3051" s="77"/>
      <c r="BG3051" s="77"/>
      <c r="BH3051" s="77"/>
      <c r="BI3051" s="77"/>
    </row>
    <row r="3052" spans="1:61" x14ac:dyDescent="0.25">
      <c r="A3052" s="62" t="s">
        <v>1213</v>
      </c>
      <c r="B3052" s="62" t="s">
        <v>1986</v>
      </c>
      <c r="C3052" s="63"/>
      <c r="D3052" s="64"/>
      <c r="E3052" s="65"/>
      <c r="F3052" s="66"/>
      <c r="G3052" s="63"/>
      <c r="H3052" s="67"/>
      <c r="I3052" s="68"/>
      <c r="J3052" s="68"/>
      <c r="K3052" s="32"/>
      <c r="L3052" s="75">
        <v>3052</v>
      </c>
      <c r="M3052" s="75"/>
      <c r="N3052" s="70"/>
      <c r="O3052" s="77" t="s">
        <v>2079</v>
      </c>
      <c r="P3052" s="79">
        <v>45059.805578703701</v>
      </c>
      <c r="Q3052" s="77" t="s">
        <v>4791</v>
      </c>
      <c r="R3052" s="77">
        <v>0</v>
      </c>
      <c r="S3052" s="77">
        <v>1</v>
      </c>
      <c r="T3052" s="77">
        <v>0</v>
      </c>
      <c r="U3052" s="77">
        <v>0</v>
      </c>
      <c r="V3052" s="77">
        <v>108</v>
      </c>
      <c r="W3052" s="80" t="s">
        <v>7794</v>
      </c>
      <c r="X3052" s="83" t="str">
        <f>HYPERLINK("https://www.politicadistrital.com.br/2023/05/12/pornografico-taxa-de-juros-mantida-pelo-banco-central-de-1375-ao-ano-mata-o-brasileiro/")</f>
        <v>https://www.politicadistrital.com.br/2023/05/12/pornografico-taxa-de-juros-mantida-pelo-banco-central-de-1375-ao-ano-mata-o-brasileiro/</v>
      </c>
      <c r="Y3052" s="77" t="s">
        <v>8611</v>
      </c>
      <c r="Z3052" s="77" t="s">
        <v>9002</v>
      </c>
      <c r="AA3052" s="77"/>
      <c r="AB3052" s="77"/>
      <c r="AC3052" s="80" t="s">
        <v>10541</v>
      </c>
      <c r="AD3052" s="77" t="s">
        <v>10617</v>
      </c>
      <c r="AE3052" s="83" t="str">
        <f>HYPERLINK("https://twitter.com/kleberkarpov/status/1657465743712059395")</f>
        <v>https://twitter.com/kleberkarpov/status/1657465743712059395</v>
      </c>
      <c r="AF3052" s="79">
        <v>45059.805578703701</v>
      </c>
      <c r="AG3052" s="85">
        <v>45059</v>
      </c>
      <c r="AH3052" s="80" t="s">
        <v>13302</v>
      </c>
      <c r="AI3052" s="77" t="b">
        <v>0</v>
      </c>
      <c r="AJ3052" s="77"/>
      <c r="AK3052" s="77"/>
      <c r="AL3052" s="77"/>
      <c r="AM3052" s="77"/>
      <c r="AN3052" s="77"/>
      <c r="AO3052" s="77"/>
      <c r="AP3052" s="77"/>
      <c r="AQ3052" s="77"/>
      <c r="AR3052" s="77"/>
      <c r="AS3052" s="77"/>
      <c r="AT3052" s="77"/>
      <c r="AU3052" s="77"/>
      <c r="AV3052" s="83" t="str">
        <f>HYPERLINK("https://pbs.twimg.com/profile_images/1602136776688209920/6oZLiWV2_normal.jpg")</f>
        <v>https://pbs.twimg.com/profile_images/1602136776688209920/6oZLiWV2_normal.jpg</v>
      </c>
      <c r="AW3052" s="80" t="s">
        <v>18814</v>
      </c>
      <c r="AX3052" s="80" t="s">
        <v>20087</v>
      </c>
      <c r="AY3052" s="80" t="s">
        <v>20332</v>
      </c>
      <c r="AZ3052" s="80" t="s">
        <v>20436</v>
      </c>
      <c r="BA3052" s="80" t="s">
        <v>20380</v>
      </c>
      <c r="BB3052" s="80" t="s">
        <v>20380</v>
      </c>
      <c r="BC3052" s="80" t="s">
        <v>20436</v>
      </c>
      <c r="BD3052" s="77">
        <v>25091081</v>
      </c>
      <c r="BE3052" s="77"/>
      <c r="BF3052" s="77"/>
      <c r="BG3052" s="77"/>
      <c r="BH3052" s="77"/>
      <c r="BI3052" s="77"/>
    </row>
    <row r="3053" spans="1:61" x14ac:dyDescent="0.25">
      <c r="A3053" s="62" t="s">
        <v>1213</v>
      </c>
      <c r="B3053" s="62" t="s">
        <v>1987</v>
      </c>
      <c r="C3053" s="63"/>
      <c r="D3053" s="64"/>
      <c r="E3053" s="65"/>
      <c r="F3053" s="66"/>
      <c r="G3053" s="63"/>
      <c r="H3053" s="67"/>
      <c r="I3053" s="68"/>
      <c r="J3053" s="68"/>
      <c r="K3053" s="32"/>
      <c r="L3053" s="75">
        <v>3053</v>
      </c>
      <c r="M3053" s="75"/>
      <c r="N3053" s="70"/>
      <c r="O3053" s="77" t="s">
        <v>2079</v>
      </c>
      <c r="P3053" s="79">
        <v>45059.805578703701</v>
      </c>
      <c r="Q3053" s="77" t="s">
        <v>4791</v>
      </c>
      <c r="R3053" s="77">
        <v>0</v>
      </c>
      <c r="S3053" s="77">
        <v>1</v>
      </c>
      <c r="T3053" s="77">
        <v>0</v>
      </c>
      <c r="U3053" s="77">
        <v>0</v>
      </c>
      <c r="V3053" s="77">
        <v>108</v>
      </c>
      <c r="W3053" s="80" t="s">
        <v>7794</v>
      </c>
      <c r="X3053" s="83" t="str">
        <f>HYPERLINK("https://www.politicadistrital.com.br/2023/05/12/pornografico-taxa-de-juros-mantida-pelo-banco-central-de-1375-ao-ano-mata-o-brasileiro/")</f>
        <v>https://www.politicadistrital.com.br/2023/05/12/pornografico-taxa-de-juros-mantida-pelo-banco-central-de-1375-ao-ano-mata-o-brasileiro/</v>
      </c>
      <c r="Y3053" s="77" t="s">
        <v>8611</v>
      </c>
      <c r="Z3053" s="77" t="s">
        <v>9002</v>
      </c>
      <c r="AA3053" s="77"/>
      <c r="AB3053" s="77"/>
      <c r="AC3053" s="80" t="s">
        <v>10541</v>
      </c>
      <c r="AD3053" s="77" t="s">
        <v>10617</v>
      </c>
      <c r="AE3053" s="83" t="str">
        <f>HYPERLINK("https://twitter.com/kleberkarpov/status/1657465743712059395")</f>
        <v>https://twitter.com/kleberkarpov/status/1657465743712059395</v>
      </c>
      <c r="AF3053" s="79">
        <v>45059.805578703701</v>
      </c>
      <c r="AG3053" s="85">
        <v>45059</v>
      </c>
      <c r="AH3053" s="80" t="s">
        <v>13302</v>
      </c>
      <c r="AI3053" s="77" t="b">
        <v>0</v>
      </c>
      <c r="AJ3053" s="77"/>
      <c r="AK3053" s="77"/>
      <c r="AL3053" s="77"/>
      <c r="AM3053" s="77"/>
      <c r="AN3053" s="77"/>
      <c r="AO3053" s="77"/>
      <c r="AP3053" s="77"/>
      <c r="AQ3053" s="77"/>
      <c r="AR3053" s="77"/>
      <c r="AS3053" s="77"/>
      <c r="AT3053" s="77"/>
      <c r="AU3053" s="77"/>
      <c r="AV3053" s="83" t="str">
        <f>HYPERLINK("https://pbs.twimg.com/profile_images/1602136776688209920/6oZLiWV2_normal.jpg")</f>
        <v>https://pbs.twimg.com/profile_images/1602136776688209920/6oZLiWV2_normal.jpg</v>
      </c>
      <c r="AW3053" s="80" t="s">
        <v>18814</v>
      </c>
      <c r="AX3053" s="80" t="s">
        <v>20087</v>
      </c>
      <c r="AY3053" s="80" t="s">
        <v>20332</v>
      </c>
      <c r="AZ3053" s="80" t="s">
        <v>20436</v>
      </c>
      <c r="BA3053" s="80" t="s">
        <v>20380</v>
      </c>
      <c r="BB3053" s="80" t="s">
        <v>20380</v>
      </c>
      <c r="BC3053" s="80" t="s">
        <v>20436</v>
      </c>
      <c r="BD3053" s="77">
        <v>25091081</v>
      </c>
      <c r="BE3053" s="77"/>
      <c r="BF3053" s="77"/>
      <c r="BG3053" s="77"/>
      <c r="BH3053" s="77"/>
      <c r="BI3053" s="77"/>
    </row>
    <row r="3054" spans="1:61" x14ac:dyDescent="0.25">
      <c r="A3054" s="62" t="s">
        <v>1213</v>
      </c>
      <c r="B3054" s="62" t="s">
        <v>1988</v>
      </c>
      <c r="C3054" s="63"/>
      <c r="D3054" s="64"/>
      <c r="E3054" s="65"/>
      <c r="F3054" s="66"/>
      <c r="G3054" s="63"/>
      <c r="H3054" s="67"/>
      <c r="I3054" s="68"/>
      <c r="J3054" s="68"/>
      <c r="K3054" s="32"/>
      <c r="L3054" s="75">
        <v>3054</v>
      </c>
      <c r="M3054" s="75"/>
      <c r="N3054" s="70"/>
      <c r="O3054" s="77" t="s">
        <v>2079</v>
      </c>
      <c r="P3054" s="79">
        <v>45059.805578703701</v>
      </c>
      <c r="Q3054" s="77" t="s">
        <v>4791</v>
      </c>
      <c r="R3054" s="77">
        <v>0</v>
      </c>
      <c r="S3054" s="77">
        <v>1</v>
      </c>
      <c r="T3054" s="77">
        <v>0</v>
      </c>
      <c r="U3054" s="77">
        <v>0</v>
      </c>
      <c r="V3054" s="77">
        <v>108</v>
      </c>
      <c r="W3054" s="80" t="s">
        <v>7794</v>
      </c>
      <c r="X3054" s="83" t="str">
        <f>HYPERLINK("https://www.politicadistrital.com.br/2023/05/12/pornografico-taxa-de-juros-mantida-pelo-banco-central-de-1375-ao-ano-mata-o-brasileiro/")</f>
        <v>https://www.politicadistrital.com.br/2023/05/12/pornografico-taxa-de-juros-mantida-pelo-banco-central-de-1375-ao-ano-mata-o-brasileiro/</v>
      </c>
      <c r="Y3054" s="77" t="s">
        <v>8611</v>
      </c>
      <c r="Z3054" s="77" t="s">
        <v>9002</v>
      </c>
      <c r="AA3054" s="77"/>
      <c r="AB3054" s="77"/>
      <c r="AC3054" s="80" t="s">
        <v>10541</v>
      </c>
      <c r="AD3054" s="77" t="s">
        <v>10617</v>
      </c>
      <c r="AE3054" s="83" t="str">
        <f>HYPERLINK("https://twitter.com/kleberkarpov/status/1657465743712059395")</f>
        <v>https://twitter.com/kleberkarpov/status/1657465743712059395</v>
      </c>
      <c r="AF3054" s="79">
        <v>45059.805578703701</v>
      </c>
      <c r="AG3054" s="85">
        <v>45059</v>
      </c>
      <c r="AH3054" s="80" t="s">
        <v>13302</v>
      </c>
      <c r="AI3054" s="77" t="b">
        <v>0</v>
      </c>
      <c r="AJ3054" s="77"/>
      <c r="AK3054" s="77"/>
      <c r="AL3054" s="77"/>
      <c r="AM3054" s="77"/>
      <c r="AN3054" s="77"/>
      <c r="AO3054" s="77"/>
      <c r="AP3054" s="77"/>
      <c r="AQ3054" s="77"/>
      <c r="AR3054" s="77"/>
      <c r="AS3054" s="77"/>
      <c r="AT3054" s="77"/>
      <c r="AU3054" s="77"/>
      <c r="AV3054" s="83" t="str">
        <f>HYPERLINK("https://pbs.twimg.com/profile_images/1602136776688209920/6oZLiWV2_normal.jpg")</f>
        <v>https://pbs.twimg.com/profile_images/1602136776688209920/6oZLiWV2_normal.jpg</v>
      </c>
      <c r="AW3054" s="80" t="s">
        <v>18814</v>
      </c>
      <c r="AX3054" s="80" t="s">
        <v>20087</v>
      </c>
      <c r="AY3054" s="80" t="s">
        <v>20332</v>
      </c>
      <c r="AZ3054" s="80" t="s">
        <v>20436</v>
      </c>
      <c r="BA3054" s="80" t="s">
        <v>20380</v>
      </c>
      <c r="BB3054" s="80" t="s">
        <v>20380</v>
      </c>
      <c r="BC3054" s="80" t="s">
        <v>20436</v>
      </c>
      <c r="BD3054" s="77">
        <v>25091081</v>
      </c>
      <c r="BE3054" s="77"/>
      <c r="BF3054" s="77"/>
      <c r="BG3054" s="77"/>
      <c r="BH3054" s="77"/>
      <c r="BI3054" s="77"/>
    </row>
    <row r="3055" spans="1:61" x14ac:dyDescent="0.25">
      <c r="A3055" s="62" t="s">
        <v>1213</v>
      </c>
      <c r="B3055" s="62" t="s">
        <v>1989</v>
      </c>
      <c r="C3055" s="63"/>
      <c r="D3055" s="64"/>
      <c r="E3055" s="65"/>
      <c r="F3055" s="66"/>
      <c r="G3055" s="63"/>
      <c r="H3055" s="67"/>
      <c r="I3055" s="68"/>
      <c r="J3055" s="68"/>
      <c r="K3055" s="32"/>
      <c r="L3055" s="75">
        <v>3055</v>
      </c>
      <c r="M3055" s="75"/>
      <c r="N3055" s="70"/>
      <c r="O3055" s="77" t="s">
        <v>2079</v>
      </c>
      <c r="P3055" s="79">
        <v>45059.805578703701</v>
      </c>
      <c r="Q3055" s="77" t="s">
        <v>4791</v>
      </c>
      <c r="R3055" s="77">
        <v>0</v>
      </c>
      <c r="S3055" s="77">
        <v>1</v>
      </c>
      <c r="T3055" s="77">
        <v>0</v>
      </c>
      <c r="U3055" s="77">
        <v>0</v>
      </c>
      <c r="V3055" s="77">
        <v>108</v>
      </c>
      <c r="W3055" s="80" t="s">
        <v>7794</v>
      </c>
      <c r="X3055" s="83" t="str">
        <f>HYPERLINK("https://www.politicadistrital.com.br/2023/05/12/pornografico-taxa-de-juros-mantida-pelo-banco-central-de-1375-ao-ano-mata-o-brasileiro/")</f>
        <v>https://www.politicadistrital.com.br/2023/05/12/pornografico-taxa-de-juros-mantida-pelo-banco-central-de-1375-ao-ano-mata-o-brasileiro/</v>
      </c>
      <c r="Y3055" s="77" t="s">
        <v>8611</v>
      </c>
      <c r="Z3055" s="77" t="s">
        <v>9002</v>
      </c>
      <c r="AA3055" s="77"/>
      <c r="AB3055" s="77"/>
      <c r="AC3055" s="80" t="s">
        <v>10541</v>
      </c>
      <c r="AD3055" s="77" t="s">
        <v>10617</v>
      </c>
      <c r="AE3055" s="83" t="str">
        <f>HYPERLINK("https://twitter.com/kleberkarpov/status/1657465743712059395")</f>
        <v>https://twitter.com/kleberkarpov/status/1657465743712059395</v>
      </c>
      <c r="AF3055" s="79">
        <v>45059.805578703701</v>
      </c>
      <c r="AG3055" s="85">
        <v>45059</v>
      </c>
      <c r="AH3055" s="80" t="s">
        <v>13302</v>
      </c>
      <c r="AI3055" s="77" t="b">
        <v>0</v>
      </c>
      <c r="AJ3055" s="77"/>
      <c r="AK3055" s="77"/>
      <c r="AL3055" s="77"/>
      <c r="AM3055" s="77"/>
      <c r="AN3055" s="77"/>
      <c r="AO3055" s="77"/>
      <c r="AP3055" s="77"/>
      <c r="AQ3055" s="77"/>
      <c r="AR3055" s="77"/>
      <c r="AS3055" s="77"/>
      <c r="AT3055" s="77"/>
      <c r="AU3055" s="77"/>
      <c r="AV3055" s="83" t="str">
        <f>HYPERLINK("https://pbs.twimg.com/profile_images/1602136776688209920/6oZLiWV2_normal.jpg")</f>
        <v>https://pbs.twimg.com/profile_images/1602136776688209920/6oZLiWV2_normal.jpg</v>
      </c>
      <c r="AW3055" s="80" t="s">
        <v>18814</v>
      </c>
      <c r="AX3055" s="80" t="s">
        <v>20087</v>
      </c>
      <c r="AY3055" s="80" t="s">
        <v>20332</v>
      </c>
      <c r="AZ3055" s="80" t="s">
        <v>20436</v>
      </c>
      <c r="BA3055" s="80" t="s">
        <v>20380</v>
      </c>
      <c r="BB3055" s="80" t="s">
        <v>20380</v>
      </c>
      <c r="BC3055" s="80" t="s">
        <v>20436</v>
      </c>
      <c r="BD3055" s="77">
        <v>25091081</v>
      </c>
      <c r="BE3055" s="77"/>
      <c r="BF3055" s="77"/>
      <c r="BG3055" s="77"/>
      <c r="BH3055" s="77"/>
      <c r="BI3055" s="77"/>
    </row>
    <row r="3056" spans="1:61" x14ac:dyDescent="0.25">
      <c r="A3056" s="62" t="s">
        <v>1213</v>
      </c>
      <c r="B3056" s="62" t="s">
        <v>1990</v>
      </c>
      <c r="C3056" s="63"/>
      <c r="D3056" s="64"/>
      <c r="E3056" s="65"/>
      <c r="F3056" s="66"/>
      <c r="G3056" s="63"/>
      <c r="H3056" s="67"/>
      <c r="I3056" s="68"/>
      <c r="J3056" s="68"/>
      <c r="K3056" s="32"/>
      <c r="L3056" s="75">
        <v>3056</v>
      </c>
      <c r="M3056" s="75"/>
      <c r="N3056" s="70"/>
      <c r="O3056" s="77" t="s">
        <v>2079</v>
      </c>
      <c r="P3056" s="79">
        <v>45059.805578703701</v>
      </c>
      <c r="Q3056" s="77" t="s">
        <v>4791</v>
      </c>
      <c r="R3056" s="77">
        <v>0</v>
      </c>
      <c r="S3056" s="77">
        <v>1</v>
      </c>
      <c r="T3056" s="77">
        <v>0</v>
      </c>
      <c r="U3056" s="77">
        <v>0</v>
      </c>
      <c r="V3056" s="77">
        <v>108</v>
      </c>
      <c r="W3056" s="80" t="s">
        <v>7794</v>
      </c>
      <c r="X3056" s="83" t="str">
        <f>HYPERLINK("https://www.politicadistrital.com.br/2023/05/12/pornografico-taxa-de-juros-mantida-pelo-banco-central-de-1375-ao-ano-mata-o-brasileiro/")</f>
        <v>https://www.politicadistrital.com.br/2023/05/12/pornografico-taxa-de-juros-mantida-pelo-banco-central-de-1375-ao-ano-mata-o-brasileiro/</v>
      </c>
      <c r="Y3056" s="77" t="s">
        <v>8611</v>
      </c>
      <c r="Z3056" s="77" t="s">
        <v>9002</v>
      </c>
      <c r="AA3056" s="77"/>
      <c r="AB3056" s="77"/>
      <c r="AC3056" s="80" t="s">
        <v>10541</v>
      </c>
      <c r="AD3056" s="77" t="s">
        <v>10617</v>
      </c>
      <c r="AE3056" s="83" t="str">
        <f>HYPERLINK("https://twitter.com/kleberkarpov/status/1657465743712059395")</f>
        <v>https://twitter.com/kleberkarpov/status/1657465743712059395</v>
      </c>
      <c r="AF3056" s="79">
        <v>45059.805578703701</v>
      </c>
      <c r="AG3056" s="85">
        <v>45059</v>
      </c>
      <c r="AH3056" s="80" t="s">
        <v>13302</v>
      </c>
      <c r="AI3056" s="77" t="b">
        <v>0</v>
      </c>
      <c r="AJ3056" s="77"/>
      <c r="AK3056" s="77"/>
      <c r="AL3056" s="77"/>
      <c r="AM3056" s="77"/>
      <c r="AN3056" s="77"/>
      <c r="AO3056" s="77"/>
      <c r="AP3056" s="77"/>
      <c r="AQ3056" s="77"/>
      <c r="AR3056" s="77"/>
      <c r="AS3056" s="77"/>
      <c r="AT3056" s="77"/>
      <c r="AU3056" s="77"/>
      <c r="AV3056" s="83" t="str">
        <f>HYPERLINK("https://pbs.twimg.com/profile_images/1602136776688209920/6oZLiWV2_normal.jpg")</f>
        <v>https://pbs.twimg.com/profile_images/1602136776688209920/6oZLiWV2_normal.jpg</v>
      </c>
      <c r="AW3056" s="80" t="s">
        <v>18814</v>
      </c>
      <c r="AX3056" s="80" t="s">
        <v>20087</v>
      </c>
      <c r="AY3056" s="80" t="s">
        <v>20332</v>
      </c>
      <c r="AZ3056" s="80" t="s">
        <v>20436</v>
      </c>
      <c r="BA3056" s="80" t="s">
        <v>20380</v>
      </c>
      <c r="BB3056" s="80" t="s">
        <v>20380</v>
      </c>
      <c r="BC3056" s="80" t="s">
        <v>20436</v>
      </c>
      <c r="BD3056" s="77">
        <v>25091081</v>
      </c>
      <c r="BE3056" s="77"/>
      <c r="BF3056" s="77"/>
      <c r="BG3056" s="77"/>
      <c r="BH3056" s="77"/>
      <c r="BI3056" s="77"/>
    </row>
    <row r="3057" spans="1:61" x14ac:dyDescent="0.25">
      <c r="A3057" s="62" t="s">
        <v>1213</v>
      </c>
      <c r="B3057" s="62" t="s">
        <v>1990</v>
      </c>
      <c r="C3057" s="63"/>
      <c r="D3057" s="64"/>
      <c r="E3057" s="65"/>
      <c r="F3057" s="66"/>
      <c r="G3057" s="63"/>
      <c r="H3057" s="67"/>
      <c r="I3057" s="68"/>
      <c r="J3057" s="68"/>
      <c r="K3057" s="32"/>
      <c r="L3057" s="75">
        <v>3057</v>
      </c>
      <c r="M3057" s="75"/>
      <c r="N3057" s="70"/>
      <c r="O3057" s="77" t="s">
        <v>2078</v>
      </c>
      <c r="P3057" s="79">
        <v>45059.805578703701</v>
      </c>
      <c r="Q3057" s="77" t="s">
        <v>4791</v>
      </c>
      <c r="R3057" s="77">
        <v>0</v>
      </c>
      <c r="S3057" s="77">
        <v>1</v>
      </c>
      <c r="T3057" s="77">
        <v>0</v>
      </c>
      <c r="U3057" s="77">
        <v>0</v>
      </c>
      <c r="V3057" s="77">
        <v>108</v>
      </c>
      <c r="W3057" s="80" t="s">
        <v>7794</v>
      </c>
      <c r="X3057" s="83" t="str">
        <f>HYPERLINK("https://www.politicadistrital.com.br/2023/05/12/pornografico-taxa-de-juros-mantida-pelo-banco-central-de-1375-ao-ano-mata-o-brasileiro/")</f>
        <v>https://www.politicadistrital.com.br/2023/05/12/pornografico-taxa-de-juros-mantida-pelo-banco-central-de-1375-ao-ano-mata-o-brasileiro/</v>
      </c>
      <c r="Y3057" s="77" t="s">
        <v>8611</v>
      </c>
      <c r="Z3057" s="77" t="s">
        <v>9002</v>
      </c>
      <c r="AA3057" s="77"/>
      <c r="AB3057" s="77"/>
      <c r="AC3057" s="80" t="s">
        <v>10541</v>
      </c>
      <c r="AD3057" s="77" t="s">
        <v>10617</v>
      </c>
      <c r="AE3057" s="83" t="str">
        <f>HYPERLINK("https://twitter.com/kleberkarpov/status/1657465743712059395")</f>
        <v>https://twitter.com/kleberkarpov/status/1657465743712059395</v>
      </c>
      <c r="AF3057" s="79">
        <v>45059.805578703701</v>
      </c>
      <c r="AG3057" s="85">
        <v>45059</v>
      </c>
      <c r="AH3057" s="80" t="s">
        <v>13302</v>
      </c>
      <c r="AI3057" s="77" t="b">
        <v>0</v>
      </c>
      <c r="AJ3057" s="77"/>
      <c r="AK3057" s="77"/>
      <c r="AL3057" s="77"/>
      <c r="AM3057" s="77"/>
      <c r="AN3057" s="77"/>
      <c r="AO3057" s="77"/>
      <c r="AP3057" s="77"/>
      <c r="AQ3057" s="77"/>
      <c r="AR3057" s="77"/>
      <c r="AS3057" s="77"/>
      <c r="AT3057" s="77"/>
      <c r="AU3057" s="77"/>
      <c r="AV3057" s="83" t="str">
        <f>HYPERLINK("https://pbs.twimg.com/profile_images/1602136776688209920/6oZLiWV2_normal.jpg")</f>
        <v>https://pbs.twimg.com/profile_images/1602136776688209920/6oZLiWV2_normal.jpg</v>
      </c>
      <c r="AW3057" s="80" t="s">
        <v>18814</v>
      </c>
      <c r="AX3057" s="80" t="s">
        <v>20087</v>
      </c>
      <c r="AY3057" s="80" t="s">
        <v>20332</v>
      </c>
      <c r="AZ3057" s="80" t="s">
        <v>20436</v>
      </c>
      <c r="BA3057" s="80" t="s">
        <v>20380</v>
      </c>
      <c r="BB3057" s="80" t="s">
        <v>20380</v>
      </c>
      <c r="BC3057" s="80" t="s">
        <v>20436</v>
      </c>
      <c r="BD3057" s="77">
        <v>25091081</v>
      </c>
      <c r="BE3057" s="77"/>
      <c r="BF3057" s="77"/>
      <c r="BG3057" s="77"/>
      <c r="BH3057" s="77"/>
      <c r="BI3057" s="77"/>
    </row>
    <row r="3058" spans="1:61" x14ac:dyDescent="0.25">
      <c r="A3058" s="62" t="s">
        <v>1213</v>
      </c>
      <c r="B3058" s="62" t="s">
        <v>1596</v>
      </c>
      <c r="C3058" s="63"/>
      <c r="D3058" s="64"/>
      <c r="E3058" s="65"/>
      <c r="F3058" s="66"/>
      <c r="G3058" s="63"/>
      <c r="H3058" s="67"/>
      <c r="I3058" s="68"/>
      <c r="J3058" s="68"/>
      <c r="K3058" s="32"/>
      <c r="L3058" s="75">
        <v>3058</v>
      </c>
      <c r="M3058" s="75"/>
      <c r="N3058" s="70"/>
      <c r="O3058" s="77" t="s">
        <v>2079</v>
      </c>
      <c r="P3058" s="79">
        <v>45059.805578703701</v>
      </c>
      <c r="Q3058" s="77" t="s">
        <v>4791</v>
      </c>
      <c r="R3058" s="77">
        <v>0</v>
      </c>
      <c r="S3058" s="77">
        <v>1</v>
      </c>
      <c r="T3058" s="77">
        <v>0</v>
      </c>
      <c r="U3058" s="77">
        <v>0</v>
      </c>
      <c r="V3058" s="77">
        <v>108</v>
      </c>
      <c r="W3058" s="80" t="s">
        <v>7794</v>
      </c>
      <c r="X3058" s="83" t="str">
        <f>HYPERLINK("https://www.politicadistrital.com.br/2023/05/12/pornografico-taxa-de-juros-mantida-pelo-banco-central-de-1375-ao-ano-mata-o-brasileiro/")</f>
        <v>https://www.politicadistrital.com.br/2023/05/12/pornografico-taxa-de-juros-mantida-pelo-banco-central-de-1375-ao-ano-mata-o-brasileiro/</v>
      </c>
      <c r="Y3058" s="77" t="s">
        <v>8611</v>
      </c>
      <c r="Z3058" s="77" t="s">
        <v>9002</v>
      </c>
      <c r="AA3058" s="77"/>
      <c r="AB3058" s="77"/>
      <c r="AC3058" s="80" t="s">
        <v>10541</v>
      </c>
      <c r="AD3058" s="77" t="s">
        <v>10617</v>
      </c>
      <c r="AE3058" s="83" t="str">
        <f>HYPERLINK("https://twitter.com/kleberkarpov/status/1657465743712059395")</f>
        <v>https://twitter.com/kleberkarpov/status/1657465743712059395</v>
      </c>
      <c r="AF3058" s="79">
        <v>45059.805578703701</v>
      </c>
      <c r="AG3058" s="85">
        <v>45059</v>
      </c>
      <c r="AH3058" s="80" t="s">
        <v>13302</v>
      </c>
      <c r="AI3058" s="77" t="b">
        <v>0</v>
      </c>
      <c r="AJ3058" s="77"/>
      <c r="AK3058" s="77"/>
      <c r="AL3058" s="77"/>
      <c r="AM3058" s="77"/>
      <c r="AN3058" s="77"/>
      <c r="AO3058" s="77"/>
      <c r="AP3058" s="77"/>
      <c r="AQ3058" s="77"/>
      <c r="AR3058" s="77"/>
      <c r="AS3058" s="77"/>
      <c r="AT3058" s="77"/>
      <c r="AU3058" s="77"/>
      <c r="AV3058" s="83" t="str">
        <f>HYPERLINK("https://pbs.twimg.com/profile_images/1602136776688209920/6oZLiWV2_normal.jpg")</f>
        <v>https://pbs.twimg.com/profile_images/1602136776688209920/6oZLiWV2_normal.jpg</v>
      </c>
      <c r="AW3058" s="80" t="s">
        <v>18814</v>
      </c>
      <c r="AX3058" s="80" t="s">
        <v>20087</v>
      </c>
      <c r="AY3058" s="80" t="s">
        <v>20332</v>
      </c>
      <c r="AZ3058" s="80" t="s">
        <v>20436</v>
      </c>
      <c r="BA3058" s="80" t="s">
        <v>20380</v>
      </c>
      <c r="BB3058" s="80" t="s">
        <v>20380</v>
      </c>
      <c r="BC3058" s="80" t="s">
        <v>20436</v>
      </c>
      <c r="BD3058" s="77">
        <v>25091081</v>
      </c>
      <c r="BE3058" s="77"/>
      <c r="BF3058" s="77"/>
      <c r="BG3058" s="77"/>
      <c r="BH3058" s="77"/>
      <c r="BI3058" s="77"/>
    </row>
    <row r="3059" spans="1:61" x14ac:dyDescent="0.25">
      <c r="A3059" s="62" t="s">
        <v>1214</v>
      </c>
      <c r="B3059" s="62" t="s">
        <v>1214</v>
      </c>
      <c r="C3059" s="63"/>
      <c r="D3059" s="64"/>
      <c r="E3059" s="65"/>
      <c r="F3059" s="66"/>
      <c r="G3059" s="63"/>
      <c r="H3059" s="67"/>
      <c r="I3059" s="68"/>
      <c r="J3059" s="68"/>
      <c r="K3059" s="32"/>
      <c r="L3059" s="75">
        <v>3059</v>
      </c>
      <c r="M3059" s="75"/>
      <c r="N3059" s="70"/>
      <c r="O3059" s="77" t="s">
        <v>179</v>
      </c>
      <c r="P3059" s="79">
        <v>45099.563819444447</v>
      </c>
      <c r="Q3059" s="77" t="s">
        <v>4792</v>
      </c>
      <c r="R3059" s="77">
        <v>0</v>
      </c>
      <c r="S3059" s="77">
        <v>0</v>
      </c>
      <c r="T3059" s="77">
        <v>0</v>
      </c>
      <c r="U3059" s="77">
        <v>0</v>
      </c>
      <c r="V3059" s="77">
        <v>74</v>
      </c>
      <c r="W3059" s="80" t="s">
        <v>7795</v>
      </c>
      <c r="X3059" s="77"/>
      <c r="Y3059" s="77"/>
      <c r="Z3059" s="77"/>
      <c r="AA3059" s="77" t="s">
        <v>10042</v>
      </c>
      <c r="AB3059" s="77" t="s">
        <v>10534</v>
      </c>
      <c r="AC3059" s="80" t="s">
        <v>10542</v>
      </c>
      <c r="AD3059" s="77" t="s">
        <v>10620</v>
      </c>
      <c r="AE3059" s="83" t="str">
        <f>HYPERLINK("https://twitter.com/noaltpp11_/status/1671873650302042112")</f>
        <v>https://twitter.com/noaltpp11_/status/1671873650302042112</v>
      </c>
      <c r="AF3059" s="79">
        <v>45099.563819444447</v>
      </c>
      <c r="AG3059" s="85">
        <v>45099</v>
      </c>
      <c r="AH3059" s="80" t="s">
        <v>13303</v>
      </c>
      <c r="AI3059" s="77" t="b">
        <v>1</v>
      </c>
      <c r="AJ3059" s="77"/>
      <c r="AK3059" s="77"/>
      <c r="AL3059" s="77"/>
      <c r="AM3059" s="77"/>
      <c r="AN3059" s="77"/>
      <c r="AO3059" s="77"/>
      <c r="AP3059" s="77"/>
      <c r="AQ3059" s="77" t="s">
        <v>15523</v>
      </c>
      <c r="AR3059" s="77">
        <v>111500</v>
      </c>
      <c r="AS3059" s="77"/>
      <c r="AT3059" s="77"/>
      <c r="AU3059" s="77"/>
      <c r="AV3059" s="83" t="str">
        <f>HYPERLINK("https://pbs.twimg.com/ext_tw_video_thumb/1671873376548429825/pu/img/NLpYPeUxQkrE1HB2.jpg")</f>
        <v>https://pbs.twimg.com/ext_tw_video_thumb/1671873376548429825/pu/img/NLpYPeUxQkrE1HB2.jpg</v>
      </c>
      <c r="AW3059" s="80" t="s">
        <v>18815</v>
      </c>
      <c r="AX3059" s="80" t="s">
        <v>18815</v>
      </c>
      <c r="AY3059" s="77"/>
      <c r="AZ3059" s="80" t="s">
        <v>20380</v>
      </c>
      <c r="BA3059" s="80" t="s">
        <v>20380</v>
      </c>
      <c r="BB3059" s="80" t="s">
        <v>20380</v>
      </c>
      <c r="BC3059" s="80" t="s">
        <v>18815</v>
      </c>
      <c r="BD3059" s="77">
        <v>195485223</v>
      </c>
      <c r="BE3059" s="77"/>
      <c r="BF3059" s="77"/>
      <c r="BG3059" s="77"/>
      <c r="BH3059" s="77"/>
      <c r="BI3059" s="77"/>
    </row>
    <row r="3060" spans="1:61" x14ac:dyDescent="0.25">
      <c r="A3060" s="62" t="s">
        <v>1215</v>
      </c>
      <c r="B3060" s="62" t="s">
        <v>1215</v>
      </c>
      <c r="C3060" s="63"/>
      <c r="D3060" s="64"/>
      <c r="E3060" s="65"/>
      <c r="F3060" s="66"/>
      <c r="G3060" s="63"/>
      <c r="H3060" s="67"/>
      <c r="I3060" s="68"/>
      <c r="J3060" s="68"/>
      <c r="K3060" s="32"/>
      <c r="L3060" s="75">
        <v>3060</v>
      </c>
      <c r="M3060" s="75"/>
      <c r="N3060" s="70"/>
      <c r="O3060" s="77" t="s">
        <v>179</v>
      </c>
      <c r="P3060" s="79">
        <v>45136.203402777777</v>
      </c>
      <c r="Q3060" s="77" t="s">
        <v>4793</v>
      </c>
      <c r="R3060" s="77">
        <v>0</v>
      </c>
      <c r="S3060" s="77">
        <v>0</v>
      </c>
      <c r="T3060" s="77">
        <v>0</v>
      </c>
      <c r="U3060" s="77">
        <v>0</v>
      </c>
      <c r="V3060" s="77">
        <v>72</v>
      </c>
      <c r="W3060" s="80" t="s">
        <v>7796</v>
      </c>
      <c r="X3060" s="83" t="str">
        <f>HYPERLINK("http://bit.ly/3OzWGLw")</f>
        <v>http://bit.ly/3OzWGLw</v>
      </c>
      <c r="Y3060" s="77" t="s">
        <v>8618</v>
      </c>
      <c r="Z3060" s="77"/>
      <c r="AA3060" s="77"/>
      <c r="AB3060" s="77"/>
      <c r="AC3060" s="80" t="s">
        <v>10541</v>
      </c>
      <c r="AD3060" s="77" t="s">
        <v>10620</v>
      </c>
      <c r="AE3060" s="83" t="str">
        <f>HYPERLINK("https://twitter.com/horade_noticias/status/1685151387372396544")</f>
        <v>https://twitter.com/horade_noticias/status/1685151387372396544</v>
      </c>
      <c r="AF3060" s="79">
        <v>45136.203402777777</v>
      </c>
      <c r="AG3060" s="85">
        <v>45136</v>
      </c>
      <c r="AH3060" s="80" t="s">
        <v>13304</v>
      </c>
      <c r="AI3060" s="77" t="b">
        <v>0</v>
      </c>
      <c r="AJ3060" s="77"/>
      <c r="AK3060" s="77"/>
      <c r="AL3060" s="77"/>
      <c r="AM3060" s="77"/>
      <c r="AN3060" s="77"/>
      <c r="AO3060" s="77"/>
      <c r="AP3060" s="77"/>
      <c r="AQ3060" s="77"/>
      <c r="AR3060" s="77"/>
      <c r="AS3060" s="77"/>
      <c r="AT3060" s="77"/>
      <c r="AU3060" s="77"/>
      <c r="AV3060" s="83" t="str">
        <f>HYPERLINK("https://pbs.twimg.com/profile_images/1686452852359577606/hWHebMLj_normal.jpg")</f>
        <v>https://pbs.twimg.com/profile_images/1686452852359577606/hWHebMLj_normal.jpg</v>
      </c>
      <c r="AW3060" s="80" t="s">
        <v>18816</v>
      </c>
      <c r="AX3060" s="80" t="s">
        <v>18816</v>
      </c>
      <c r="AY3060" s="77"/>
      <c r="AZ3060" s="80" t="s">
        <v>20380</v>
      </c>
      <c r="BA3060" s="80" t="s">
        <v>20380</v>
      </c>
      <c r="BB3060" s="80" t="s">
        <v>20380</v>
      </c>
      <c r="BC3060" s="80" t="s">
        <v>18816</v>
      </c>
      <c r="BD3060" s="80" t="s">
        <v>20983</v>
      </c>
      <c r="BE3060" s="77"/>
      <c r="BF3060" s="77"/>
      <c r="BG3060" s="77"/>
      <c r="BH3060" s="77"/>
      <c r="BI3060" s="77"/>
    </row>
    <row r="3061" spans="1:61" x14ac:dyDescent="0.25">
      <c r="A3061" s="62" t="s">
        <v>1216</v>
      </c>
      <c r="B3061" s="62" t="s">
        <v>1991</v>
      </c>
      <c r="C3061" s="63"/>
      <c r="D3061" s="64"/>
      <c r="E3061" s="65"/>
      <c r="F3061" s="66"/>
      <c r="G3061" s="63"/>
      <c r="H3061" s="67"/>
      <c r="I3061" s="68"/>
      <c r="J3061" s="68"/>
      <c r="K3061" s="32"/>
      <c r="L3061" s="75">
        <v>3061</v>
      </c>
      <c r="M3061" s="75"/>
      <c r="N3061" s="70"/>
      <c r="O3061" s="77" t="s">
        <v>2081</v>
      </c>
      <c r="P3061" s="79">
        <v>45117.026377314818</v>
      </c>
      <c r="Q3061" s="77" t="s">
        <v>4794</v>
      </c>
      <c r="R3061" s="77">
        <v>0</v>
      </c>
      <c r="S3061" s="77">
        <v>0</v>
      </c>
      <c r="T3061" s="77">
        <v>0</v>
      </c>
      <c r="U3061" s="77">
        <v>0</v>
      </c>
      <c r="V3061" s="77">
        <v>217</v>
      </c>
      <c r="W3061" s="80" t="s">
        <v>7797</v>
      </c>
      <c r="X3061" s="83" t="str">
        <f>HYPERLINK("https://lc.cx/UfOK8X")</f>
        <v>https://lc.cx/UfOK8X</v>
      </c>
      <c r="Y3061" s="77" t="s">
        <v>8700</v>
      </c>
      <c r="Z3061" s="77" t="s">
        <v>9003</v>
      </c>
      <c r="AA3061" s="77" t="s">
        <v>10043</v>
      </c>
      <c r="AB3061" s="77" t="s">
        <v>10535</v>
      </c>
      <c r="AC3061" s="80" t="s">
        <v>10541</v>
      </c>
      <c r="AD3061" s="77" t="s">
        <v>10620</v>
      </c>
      <c r="AE3061" s="83" t="str">
        <f>HYPERLINK("https://twitter.com/sincortapisa_/status/1678201866121871363")</f>
        <v>https://twitter.com/sincortapisa_/status/1678201866121871363</v>
      </c>
      <c r="AF3061" s="79">
        <v>45117.026377314818</v>
      </c>
      <c r="AG3061" s="85">
        <v>45117</v>
      </c>
      <c r="AH3061" s="80" t="s">
        <v>13305</v>
      </c>
      <c r="AI3061" s="77" t="b">
        <v>0</v>
      </c>
      <c r="AJ3061" s="77"/>
      <c r="AK3061" s="77"/>
      <c r="AL3061" s="77"/>
      <c r="AM3061" s="77"/>
      <c r="AN3061" s="77"/>
      <c r="AO3061" s="77"/>
      <c r="AP3061" s="77"/>
      <c r="AQ3061" s="77" t="s">
        <v>15524</v>
      </c>
      <c r="AR3061" s="77"/>
      <c r="AS3061" s="77"/>
      <c r="AT3061" s="77"/>
      <c r="AU3061" s="77"/>
      <c r="AV3061" s="83" t="str">
        <f>HYPERLINK("https://pbs.twimg.com/media/F0oqbwpX0AM0q8j.jpg")</f>
        <v>https://pbs.twimg.com/media/F0oqbwpX0AM0q8j.jpg</v>
      </c>
      <c r="AW3061" s="80" t="s">
        <v>18817</v>
      </c>
      <c r="AX3061" s="80" t="s">
        <v>18817</v>
      </c>
      <c r="AY3061" s="77"/>
      <c r="AZ3061" s="80" t="s">
        <v>20380</v>
      </c>
      <c r="BA3061" s="80" t="s">
        <v>20380</v>
      </c>
      <c r="BB3061" s="80" t="s">
        <v>20380</v>
      </c>
      <c r="BC3061" s="80" t="s">
        <v>18817</v>
      </c>
      <c r="BD3061" s="77">
        <v>618254752</v>
      </c>
      <c r="BE3061" s="77"/>
      <c r="BF3061" s="77"/>
      <c r="BG3061" s="77"/>
      <c r="BH3061" s="77"/>
      <c r="BI3061" s="77"/>
    </row>
    <row r="3062" spans="1:61" x14ac:dyDescent="0.25">
      <c r="A3062" s="62" t="s">
        <v>1216</v>
      </c>
      <c r="B3062" s="62" t="s">
        <v>1992</v>
      </c>
      <c r="C3062" s="63"/>
      <c r="D3062" s="64"/>
      <c r="E3062" s="65"/>
      <c r="F3062" s="66"/>
      <c r="G3062" s="63"/>
      <c r="H3062" s="67"/>
      <c r="I3062" s="68"/>
      <c r="J3062" s="68"/>
      <c r="K3062" s="32"/>
      <c r="L3062" s="75">
        <v>3062</v>
      </c>
      <c r="M3062" s="75"/>
      <c r="N3062" s="70"/>
      <c r="O3062" s="77" t="s">
        <v>2081</v>
      </c>
      <c r="P3062" s="79">
        <v>45117.026377314818</v>
      </c>
      <c r="Q3062" s="77" t="s">
        <v>4794</v>
      </c>
      <c r="R3062" s="77">
        <v>0</v>
      </c>
      <c r="S3062" s="77">
        <v>0</v>
      </c>
      <c r="T3062" s="77">
        <v>0</v>
      </c>
      <c r="U3062" s="77">
        <v>0</v>
      </c>
      <c r="V3062" s="77">
        <v>217</v>
      </c>
      <c r="W3062" s="80" t="s">
        <v>7797</v>
      </c>
      <c r="X3062" s="83" t="str">
        <f>HYPERLINK("https://lc.cx/UfOK8X")</f>
        <v>https://lc.cx/UfOK8X</v>
      </c>
      <c r="Y3062" s="77" t="s">
        <v>8700</v>
      </c>
      <c r="Z3062" s="77" t="s">
        <v>9003</v>
      </c>
      <c r="AA3062" s="77" t="s">
        <v>10043</v>
      </c>
      <c r="AB3062" s="77" t="s">
        <v>10535</v>
      </c>
      <c r="AC3062" s="80" t="s">
        <v>10541</v>
      </c>
      <c r="AD3062" s="77" t="s">
        <v>10620</v>
      </c>
      <c r="AE3062" s="83" t="str">
        <f>HYPERLINK("https://twitter.com/sincortapisa_/status/1678201866121871363")</f>
        <v>https://twitter.com/sincortapisa_/status/1678201866121871363</v>
      </c>
      <c r="AF3062" s="79">
        <v>45117.026377314818</v>
      </c>
      <c r="AG3062" s="85">
        <v>45117</v>
      </c>
      <c r="AH3062" s="80" t="s">
        <v>13305</v>
      </c>
      <c r="AI3062" s="77" t="b">
        <v>0</v>
      </c>
      <c r="AJ3062" s="77"/>
      <c r="AK3062" s="77"/>
      <c r="AL3062" s="77"/>
      <c r="AM3062" s="77"/>
      <c r="AN3062" s="77"/>
      <c r="AO3062" s="77"/>
      <c r="AP3062" s="77"/>
      <c r="AQ3062" s="77" t="s">
        <v>15524</v>
      </c>
      <c r="AR3062" s="77"/>
      <c r="AS3062" s="77"/>
      <c r="AT3062" s="77"/>
      <c r="AU3062" s="77"/>
      <c r="AV3062" s="83" t="str">
        <f>HYPERLINK("https://pbs.twimg.com/media/F0oqbwpX0AM0q8j.jpg")</f>
        <v>https://pbs.twimg.com/media/F0oqbwpX0AM0q8j.jpg</v>
      </c>
      <c r="AW3062" s="80" t="s">
        <v>18817</v>
      </c>
      <c r="AX3062" s="80" t="s">
        <v>18817</v>
      </c>
      <c r="AY3062" s="77"/>
      <c r="AZ3062" s="80" t="s">
        <v>20380</v>
      </c>
      <c r="BA3062" s="80" t="s">
        <v>20380</v>
      </c>
      <c r="BB3062" s="80" t="s">
        <v>20380</v>
      </c>
      <c r="BC3062" s="80" t="s">
        <v>18817</v>
      </c>
      <c r="BD3062" s="77">
        <v>618254752</v>
      </c>
      <c r="BE3062" s="77"/>
      <c r="BF3062" s="77"/>
      <c r="BG3062" s="77"/>
      <c r="BH3062" s="77"/>
      <c r="BI3062" s="77"/>
    </row>
    <row r="3063" spans="1:61" x14ac:dyDescent="0.25">
      <c r="A3063" s="62" t="s">
        <v>1216</v>
      </c>
      <c r="B3063" s="62" t="s">
        <v>1993</v>
      </c>
      <c r="C3063" s="63"/>
      <c r="D3063" s="64"/>
      <c r="E3063" s="65"/>
      <c r="F3063" s="66"/>
      <c r="G3063" s="63"/>
      <c r="H3063" s="67"/>
      <c r="I3063" s="68"/>
      <c r="J3063" s="68"/>
      <c r="K3063" s="32"/>
      <c r="L3063" s="75">
        <v>3063</v>
      </c>
      <c r="M3063" s="75"/>
      <c r="N3063" s="70"/>
      <c r="O3063" s="77" t="s">
        <v>2081</v>
      </c>
      <c r="P3063" s="79">
        <v>45139.059432870374</v>
      </c>
      <c r="Q3063" s="77" t="s">
        <v>4795</v>
      </c>
      <c r="R3063" s="77">
        <v>0</v>
      </c>
      <c r="S3063" s="77">
        <v>0</v>
      </c>
      <c r="T3063" s="77">
        <v>0</v>
      </c>
      <c r="U3063" s="77">
        <v>0</v>
      </c>
      <c r="V3063" s="77">
        <v>40</v>
      </c>
      <c r="W3063" s="80" t="s">
        <v>7798</v>
      </c>
      <c r="X3063" s="83" t="str">
        <f>HYPERLINK("https://lc.cx/susnNq")</f>
        <v>https://lc.cx/susnNq</v>
      </c>
      <c r="Y3063" s="77" t="s">
        <v>8700</v>
      </c>
      <c r="Z3063" s="77" t="s">
        <v>9004</v>
      </c>
      <c r="AA3063" s="77" t="s">
        <v>10044</v>
      </c>
      <c r="AB3063" s="77" t="s">
        <v>10535</v>
      </c>
      <c r="AC3063" s="80" t="s">
        <v>10541</v>
      </c>
      <c r="AD3063" s="77" t="s">
        <v>10620</v>
      </c>
      <c r="AE3063" s="83" t="str">
        <f>HYPERLINK("https://twitter.com/sincortapisa_/status/1686186378567012352")</f>
        <v>https://twitter.com/sincortapisa_/status/1686186378567012352</v>
      </c>
      <c r="AF3063" s="79">
        <v>45139.059432870374</v>
      </c>
      <c r="AG3063" s="85">
        <v>45139</v>
      </c>
      <c r="AH3063" s="80" t="s">
        <v>13306</v>
      </c>
      <c r="AI3063" s="77" t="b">
        <v>0</v>
      </c>
      <c r="AJ3063" s="77"/>
      <c r="AK3063" s="77"/>
      <c r="AL3063" s="77"/>
      <c r="AM3063" s="77"/>
      <c r="AN3063" s="77"/>
      <c r="AO3063" s="77"/>
      <c r="AP3063" s="77"/>
      <c r="AQ3063" s="77" t="s">
        <v>15525</v>
      </c>
      <c r="AR3063" s="77"/>
      <c r="AS3063" s="77"/>
      <c r="AT3063" s="77"/>
      <c r="AU3063" s="77"/>
      <c r="AV3063" s="83" t="str">
        <f>HYPERLINK("https://pbs.twimg.com/media/F2aIIQJXsAAzaia.jpg")</f>
        <v>https://pbs.twimg.com/media/F2aIIQJXsAAzaia.jpg</v>
      </c>
      <c r="AW3063" s="80" t="s">
        <v>18818</v>
      </c>
      <c r="AX3063" s="80" t="s">
        <v>18818</v>
      </c>
      <c r="AY3063" s="77"/>
      <c r="AZ3063" s="80" t="s">
        <v>20380</v>
      </c>
      <c r="BA3063" s="80" t="s">
        <v>20380</v>
      </c>
      <c r="BB3063" s="80" t="s">
        <v>20380</v>
      </c>
      <c r="BC3063" s="80" t="s">
        <v>18818</v>
      </c>
      <c r="BD3063" s="77">
        <v>618254752</v>
      </c>
      <c r="BE3063" s="77"/>
      <c r="BF3063" s="77"/>
      <c r="BG3063" s="77"/>
      <c r="BH3063" s="77"/>
      <c r="BI3063" s="77"/>
    </row>
    <row r="3064" spans="1:61" x14ac:dyDescent="0.25">
      <c r="A3064" s="62" t="s">
        <v>1216</v>
      </c>
      <c r="B3064" s="62" t="s">
        <v>1698</v>
      </c>
      <c r="C3064" s="63"/>
      <c r="D3064" s="64"/>
      <c r="E3064" s="65"/>
      <c r="F3064" s="66"/>
      <c r="G3064" s="63"/>
      <c r="H3064" s="67"/>
      <c r="I3064" s="68"/>
      <c r="J3064" s="68"/>
      <c r="K3064" s="32"/>
      <c r="L3064" s="75">
        <v>3064</v>
      </c>
      <c r="M3064" s="75"/>
      <c r="N3064" s="70"/>
      <c r="O3064" s="77" t="s">
        <v>2081</v>
      </c>
      <c r="P3064" s="79">
        <v>45117.026377314818</v>
      </c>
      <c r="Q3064" s="77" t="s">
        <v>4794</v>
      </c>
      <c r="R3064" s="77">
        <v>0</v>
      </c>
      <c r="S3064" s="77">
        <v>0</v>
      </c>
      <c r="T3064" s="77">
        <v>0</v>
      </c>
      <c r="U3064" s="77">
        <v>0</v>
      </c>
      <c r="V3064" s="77">
        <v>217</v>
      </c>
      <c r="W3064" s="80" t="s">
        <v>7797</v>
      </c>
      <c r="X3064" s="83" t="str">
        <f>HYPERLINK("https://lc.cx/UfOK8X")</f>
        <v>https://lc.cx/UfOK8X</v>
      </c>
      <c r="Y3064" s="77" t="s">
        <v>8700</v>
      </c>
      <c r="Z3064" s="77" t="s">
        <v>9003</v>
      </c>
      <c r="AA3064" s="77" t="s">
        <v>10043</v>
      </c>
      <c r="AB3064" s="77" t="s">
        <v>10535</v>
      </c>
      <c r="AC3064" s="80" t="s">
        <v>10541</v>
      </c>
      <c r="AD3064" s="77" t="s">
        <v>10620</v>
      </c>
      <c r="AE3064" s="83" t="str">
        <f>HYPERLINK("https://twitter.com/sincortapisa_/status/1678201866121871363")</f>
        <v>https://twitter.com/sincortapisa_/status/1678201866121871363</v>
      </c>
      <c r="AF3064" s="79">
        <v>45117.026377314818</v>
      </c>
      <c r="AG3064" s="85">
        <v>45117</v>
      </c>
      <c r="AH3064" s="80" t="s">
        <v>13305</v>
      </c>
      <c r="AI3064" s="77" t="b">
        <v>0</v>
      </c>
      <c r="AJ3064" s="77"/>
      <c r="AK3064" s="77"/>
      <c r="AL3064" s="77"/>
      <c r="AM3064" s="77"/>
      <c r="AN3064" s="77"/>
      <c r="AO3064" s="77"/>
      <c r="AP3064" s="77"/>
      <c r="AQ3064" s="77" t="s">
        <v>15524</v>
      </c>
      <c r="AR3064" s="77"/>
      <c r="AS3064" s="77"/>
      <c r="AT3064" s="77"/>
      <c r="AU3064" s="77"/>
      <c r="AV3064" s="83" t="str">
        <f>HYPERLINK("https://pbs.twimg.com/media/F0oqbwpX0AM0q8j.jpg")</f>
        <v>https://pbs.twimg.com/media/F0oqbwpX0AM0q8j.jpg</v>
      </c>
      <c r="AW3064" s="80" t="s">
        <v>18817</v>
      </c>
      <c r="AX3064" s="80" t="s">
        <v>18817</v>
      </c>
      <c r="AY3064" s="77"/>
      <c r="AZ3064" s="80" t="s">
        <v>20380</v>
      </c>
      <c r="BA3064" s="80" t="s">
        <v>20380</v>
      </c>
      <c r="BB3064" s="80" t="s">
        <v>20380</v>
      </c>
      <c r="BC3064" s="80" t="s">
        <v>18817</v>
      </c>
      <c r="BD3064" s="77">
        <v>618254752</v>
      </c>
      <c r="BE3064" s="77"/>
      <c r="BF3064" s="77"/>
      <c r="BG3064" s="77"/>
      <c r="BH3064" s="77"/>
      <c r="BI3064" s="77"/>
    </row>
    <row r="3065" spans="1:61" x14ac:dyDescent="0.25">
      <c r="A3065" s="62" t="s">
        <v>1216</v>
      </c>
      <c r="B3065" s="62" t="s">
        <v>1698</v>
      </c>
      <c r="C3065" s="63"/>
      <c r="D3065" s="64"/>
      <c r="E3065" s="65"/>
      <c r="F3065" s="66"/>
      <c r="G3065" s="63"/>
      <c r="H3065" s="67"/>
      <c r="I3065" s="68"/>
      <c r="J3065" s="68"/>
      <c r="K3065" s="32"/>
      <c r="L3065" s="75">
        <v>3065</v>
      </c>
      <c r="M3065" s="75"/>
      <c r="N3065" s="70"/>
      <c r="O3065" s="77" t="s">
        <v>2081</v>
      </c>
      <c r="P3065" s="79">
        <v>45110.909108796295</v>
      </c>
      <c r="Q3065" s="77" t="s">
        <v>4796</v>
      </c>
      <c r="R3065" s="77">
        <v>0</v>
      </c>
      <c r="S3065" s="77">
        <v>0</v>
      </c>
      <c r="T3065" s="77">
        <v>0</v>
      </c>
      <c r="U3065" s="77">
        <v>0</v>
      </c>
      <c r="V3065" s="77">
        <v>51</v>
      </c>
      <c r="W3065" s="80" t="s">
        <v>7799</v>
      </c>
      <c r="X3065" s="83" t="str">
        <f>HYPERLINK("https://lc.cx/hHiS8d")</f>
        <v>https://lc.cx/hHiS8d</v>
      </c>
      <c r="Y3065" s="77" t="s">
        <v>8700</v>
      </c>
      <c r="Z3065" s="77" t="s">
        <v>8996</v>
      </c>
      <c r="AA3065" s="77" t="s">
        <v>10045</v>
      </c>
      <c r="AB3065" s="77" t="s">
        <v>10535</v>
      </c>
      <c r="AC3065" s="80" t="s">
        <v>10541</v>
      </c>
      <c r="AD3065" s="77" t="s">
        <v>10620</v>
      </c>
      <c r="AE3065" s="83" t="str">
        <f>HYPERLINK("https://twitter.com/sincortapisa_/status/1675985045952032768")</f>
        <v>https://twitter.com/sincortapisa_/status/1675985045952032768</v>
      </c>
      <c r="AF3065" s="79">
        <v>45110.909108796295</v>
      </c>
      <c r="AG3065" s="85">
        <v>45110</v>
      </c>
      <c r="AH3065" s="80" t="s">
        <v>11045</v>
      </c>
      <c r="AI3065" s="77" t="b">
        <v>0</v>
      </c>
      <c r="AJ3065" s="77"/>
      <c r="AK3065" s="77"/>
      <c r="AL3065" s="77"/>
      <c r="AM3065" s="77"/>
      <c r="AN3065" s="77"/>
      <c r="AO3065" s="77"/>
      <c r="AP3065" s="77"/>
      <c r="AQ3065" s="77" t="s">
        <v>15526</v>
      </c>
      <c r="AR3065" s="77"/>
      <c r="AS3065" s="77"/>
      <c r="AT3065" s="77"/>
      <c r="AU3065" s="77"/>
      <c r="AV3065" s="83" t="str">
        <f>HYPERLINK("https://pbs.twimg.com/media/F0JLSOFWwAAHk1Z.jpg")</f>
        <v>https://pbs.twimg.com/media/F0JLSOFWwAAHk1Z.jpg</v>
      </c>
      <c r="AW3065" s="80" t="s">
        <v>18819</v>
      </c>
      <c r="AX3065" s="80" t="s">
        <v>18819</v>
      </c>
      <c r="AY3065" s="77"/>
      <c r="AZ3065" s="80" t="s">
        <v>20380</v>
      </c>
      <c r="BA3065" s="80" t="s">
        <v>20380</v>
      </c>
      <c r="BB3065" s="80" t="s">
        <v>20380</v>
      </c>
      <c r="BC3065" s="80" t="s">
        <v>18819</v>
      </c>
      <c r="BD3065" s="77">
        <v>618254752</v>
      </c>
      <c r="BE3065" s="77"/>
      <c r="BF3065" s="77"/>
      <c r="BG3065" s="77"/>
      <c r="BH3065" s="77"/>
      <c r="BI3065" s="77"/>
    </row>
    <row r="3066" spans="1:61" x14ac:dyDescent="0.25">
      <c r="A3066" s="62" t="s">
        <v>1216</v>
      </c>
      <c r="B3066" s="62" t="s">
        <v>1974</v>
      </c>
      <c r="C3066" s="63"/>
      <c r="D3066" s="64"/>
      <c r="E3066" s="65"/>
      <c r="F3066" s="66"/>
      <c r="G3066" s="63"/>
      <c r="H3066" s="67"/>
      <c r="I3066" s="68"/>
      <c r="J3066" s="68"/>
      <c r="K3066" s="32"/>
      <c r="L3066" s="75">
        <v>3066</v>
      </c>
      <c r="M3066" s="75"/>
      <c r="N3066" s="70"/>
      <c r="O3066" s="77" t="s">
        <v>2081</v>
      </c>
      <c r="P3066" s="79">
        <v>45117.026377314818</v>
      </c>
      <c r="Q3066" s="77" t="s">
        <v>4794</v>
      </c>
      <c r="R3066" s="77">
        <v>0</v>
      </c>
      <c r="S3066" s="77">
        <v>0</v>
      </c>
      <c r="T3066" s="77">
        <v>0</v>
      </c>
      <c r="U3066" s="77">
        <v>0</v>
      </c>
      <c r="V3066" s="77">
        <v>217</v>
      </c>
      <c r="W3066" s="80" t="s">
        <v>7797</v>
      </c>
      <c r="X3066" s="83" t="str">
        <f>HYPERLINK("https://lc.cx/UfOK8X")</f>
        <v>https://lc.cx/UfOK8X</v>
      </c>
      <c r="Y3066" s="77" t="s">
        <v>8700</v>
      </c>
      <c r="Z3066" s="77" t="s">
        <v>9003</v>
      </c>
      <c r="AA3066" s="77" t="s">
        <v>10043</v>
      </c>
      <c r="AB3066" s="77" t="s">
        <v>10535</v>
      </c>
      <c r="AC3066" s="80" t="s">
        <v>10541</v>
      </c>
      <c r="AD3066" s="77" t="s">
        <v>10620</v>
      </c>
      <c r="AE3066" s="83" t="str">
        <f>HYPERLINK("https://twitter.com/sincortapisa_/status/1678201866121871363")</f>
        <v>https://twitter.com/sincortapisa_/status/1678201866121871363</v>
      </c>
      <c r="AF3066" s="79">
        <v>45117.026377314818</v>
      </c>
      <c r="AG3066" s="85">
        <v>45117</v>
      </c>
      <c r="AH3066" s="80" t="s">
        <v>13305</v>
      </c>
      <c r="AI3066" s="77" t="b">
        <v>0</v>
      </c>
      <c r="AJ3066" s="77"/>
      <c r="AK3066" s="77"/>
      <c r="AL3066" s="77"/>
      <c r="AM3066" s="77"/>
      <c r="AN3066" s="77"/>
      <c r="AO3066" s="77"/>
      <c r="AP3066" s="77"/>
      <c r="AQ3066" s="77" t="s">
        <v>15524</v>
      </c>
      <c r="AR3066" s="77"/>
      <c r="AS3066" s="77"/>
      <c r="AT3066" s="77"/>
      <c r="AU3066" s="77"/>
      <c r="AV3066" s="83" t="str">
        <f>HYPERLINK("https://pbs.twimg.com/media/F0oqbwpX0AM0q8j.jpg")</f>
        <v>https://pbs.twimg.com/media/F0oqbwpX0AM0q8j.jpg</v>
      </c>
      <c r="AW3066" s="80" t="s">
        <v>18817</v>
      </c>
      <c r="AX3066" s="80" t="s">
        <v>18817</v>
      </c>
      <c r="AY3066" s="77"/>
      <c r="AZ3066" s="80" t="s">
        <v>20380</v>
      </c>
      <c r="BA3066" s="80" t="s">
        <v>20380</v>
      </c>
      <c r="BB3066" s="80" t="s">
        <v>20380</v>
      </c>
      <c r="BC3066" s="80" t="s">
        <v>18817</v>
      </c>
      <c r="BD3066" s="77">
        <v>618254752</v>
      </c>
      <c r="BE3066" s="77"/>
      <c r="BF3066" s="77"/>
      <c r="BG3066" s="77"/>
      <c r="BH3066" s="77"/>
      <c r="BI3066" s="77"/>
    </row>
    <row r="3067" spans="1:61" x14ac:dyDescent="0.25">
      <c r="A3067" s="62" t="s">
        <v>1216</v>
      </c>
      <c r="B3067" s="62" t="s">
        <v>1974</v>
      </c>
      <c r="C3067" s="63"/>
      <c r="D3067" s="64"/>
      <c r="E3067" s="65"/>
      <c r="F3067" s="66"/>
      <c r="G3067" s="63"/>
      <c r="H3067" s="67"/>
      <c r="I3067" s="68"/>
      <c r="J3067" s="68"/>
      <c r="K3067" s="32"/>
      <c r="L3067" s="75">
        <v>3067</v>
      </c>
      <c r="M3067" s="75"/>
      <c r="N3067" s="70"/>
      <c r="O3067" s="77" t="s">
        <v>2081</v>
      </c>
      <c r="P3067" s="79">
        <v>45110.909108796295</v>
      </c>
      <c r="Q3067" s="77" t="s">
        <v>4796</v>
      </c>
      <c r="R3067" s="77">
        <v>0</v>
      </c>
      <c r="S3067" s="77">
        <v>0</v>
      </c>
      <c r="T3067" s="77">
        <v>0</v>
      </c>
      <c r="U3067" s="77">
        <v>0</v>
      </c>
      <c r="V3067" s="77">
        <v>51</v>
      </c>
      <c r="W3067" s="80" t="s">
        <v>7799</v>
      </c>
      <c r="X3067" s="83" t="str">
        <f>HYPERLINK("https://lc.cx/hHiS8d")</f>
        <v>https://lc.cx/hHiS8d</v>
      </c>
      <c r="Y3067" s="77" t="s">
        <v>8700</v>
      </c>
      <c r="Z3067" s="77" t="s">
        <v>8996</v>
      </c>
      <c r="AA3067" s="77" t="s">
        <v>10045</v>
      </c>
      <c r="AB3067" s="77" t="s">
        <v>10535</v>
      </c>
      <c r="AC3067" s="80" t="s">
        <v>10541</v>
      </c>
      <c r="AD3067" s="77" t="s">
        <v>10620</v>
      </c>
      <c r="AE3067" s="83" t="str">
        <f>HYPERLINK("https://twitter.com/sincortapisa_/status/1675985045952032768")</f>
        <v>https://twitter.com/sincortapisa_/status/1675985045952032768</v>
      </c>
      <c r="AF3067" s="79">
        <v>45110.909108796295</v>
      </c>
      <c r="AG3067" s="85">
        <v>45110</v>
      </c>
      <c r="AH3067" s="80" t="s">
        <v>11045</v>
      </c>
      <c r="AI3067" s="77" t="b">
        <v>0</v>
      </c>
      <c r="AJ3067" s="77"/>
      <c r="AK3067" s="77"/>
      <c r="AL3067" s="77"/>
      <c r="AM3067" s="77"/>
      <c r="AN3067" s="77"/>
      <c r="AO3067" s="77"/>
      <c r="AP3067" s="77"/>
      <c r="AQ3067" s="77" t="s">
        <v>15526</v>
      </c>
      <c r="AR3067" s="77"/>
      <c r="AS3067" s="77"/>
      <c r="AT3067" s="77"/>
      <c r="AU3067" s="77"/>
      <c r="AV3067" s="83" t="str">
        <f>HYPERLINK("https://pbs.twimg.com/media/F0JLSOFWwAAHk1Z.jpg")</f>
        <v>https://pbs.twimg.com/media/F0JLSOFWwAAHk1Z.jpg</v>
      </c>
      <c r="AW3067" s="80" t="s">
        <v>18819</v>
      </c>
      <c r="AX3067" s="80" t="s">
        <v>18819</v>
      </c>
      <c r="AY3067" s="77"/>
      <c r="AZ3067" s="80" t="s">
        <v>20380</v>
      </c>
      <c r="BA3067" s="80" t="s">
        <v>20380</v>
      </c>
      <c r="BB3067" s="80" t="s">
        <v>20380</v>
      </c>
      <c r="BC3067" s="80" t="s">
        <v>18819</v>
      </c>
      <c r="BD3067" s="77">
        <v>618254752</v>
      </c>
      <c r="BE3067" s="77"/>
      <c r="BF3067" s="77"/>
      <c r="BG3067" s="77"/>
      <c r="BH3067" s="77"/>
      <c r="BI3067" s="77"/>
    </row>
    <row r="3068" spans="1:61" x14ac:dyDescent="0.25">
      <c r="A3068" s="62" t="s">
        <v>1216</v>
      </c>
      <c r="B3068" s="62" t="s">
        <v>1994</v>
      </c>
      <c r="C3068" s="63"/>
      <c r="D3068" s="64"/>
      <c r="E3068" s="65"/>
      <c r="F3068" s="66"/>
      <c r="G3068" s="63"/>
      <c r="H3068" s="67"/>
      <c r="I3068" s="68"/>
      <c r="J3068" s="68"/>
      <c r="K3068" s="32"/>
      <c r="L3068" s="75">
        <v>3068</v>
      </c>
      <c r="M3068" s="75"/>
      <c r="N3068" s="70"/>
      <c r="O3068" s="77" t="s">
        <v>2081</v>
      </c>
      <c r="P3068" s="79">
        <v>45148.858206018522</v>
      </c>
      <c r="Q3068" s="77" t="s">
        <v>4797</v>
      </c>
      <c r="R3068" s="77">
        <v>0</v>
      </c>
      <c r="S3068" s="77">
        <v>0</v>
      </c>
      <c r="T3068" s="77">
        <v>0</v>
      </c>
      <c r="U3068" s="77">
        <v>0</v>
      </c>
      <c r="V3068" s="77">
        <v>42</v>
      </c>
      <c r="W3068" s="80" t="s">
        <v>7800</v>
      </c>
      <c r="X3068" s="83" t="str">
        <f>HYPERLINK("https://tinyurl.com/5n7vp9v7")</f>
        <v>https://tinyurl.com/5n7vp9v7</v>
      </c>
      <c r="Y3068" s="77" t="s">
        <v>8670</v>
      </c>
      <c r="Z3068" s="77" t="s">
        <v>1994</v>
      </c>
      <c r="AA3068" s="77" t="s">
        <v>10046</v>
      </c>
      <c r="AB3068" s="77" t="s">
        <v>10535</v>
      </c>
      <c r="AC3068" s="80" t="s">
        <v>10541</v>
      </c>
      <c r="AD3068" s="77" t="s">
        <v>10620</v>
      </c>
      <c r="AE3068" s="83" t="str">
        <f>HYPERLINK("https://twitter.com/sincortapisa_/status/1689737337150840832")</f>
        <v>https://twitter.com/sincortapisa_/status/1689737337150840832</v>
      </c>
      <c r="AF3068" s="79">
        <v>45148.858206018522</v>
      </c>
      <c r="AG3068" s="85">
        <v>45148</v>
      </c>
      <c r="AH3068" s="80" t="s">
        <v>13307</v>
      </c>
      <c r="AI3068" s="77" t="b">
        <v>0</v>
      </c>
      <c r="AJ3068" s="77"/>
      <c r="AK3068" s="77"/>
      <c r="AL3068" s="77"/>
      <c r="AM3068" s="77"/>
      <c r="AN3068" s="77"/>
      <c r="AO3068" s="77"/>
      <c r="AP3068" s="77"/>
      <c r="AQ3068" s="77" t="s">
        <v>15527</v>
      </c>
      <c r="AR3068" s="77"/>
      <c r="AS3068" s="77"/>
      <c r="AT3068" s="77"/>
      <c r="AU3068" s="77"/>
      <c r="AV3068" s="83" t="str">
        <f>HYPERLINK("https://pbs.twimg.com/media/F3Mm9nCXEAAIkRW.jpg")</f>
        <v>https://pbs.twimg.com/media/F3Mm9nCXEAAIkRW.jpg</v>
      </c>
      <c r="AW3068" s="80" t="s">
        <v>18820</v>
      </c>
      <c r="AX3068" s="80" t="s">
        <v>18820</v>
      </c>
      <c r="AY3068" s="77"/>
      <c r="AZ3068" s="80" t="s">
        <v>20380</v>
      </c>
      <c r="BA3068" s="80" t="s">
        <v>20380</v>
      </c>
      <c r="BB3068" s="80" t="s">
        <v>20380</v>
      </c>
      <c r="BC3068" s="80" t="s">
        <v>18820</v>
      </c>
      <c r="BD3068" s="77">
        <v>618254752</v>
      </c>
      <c r="BE3068" s="77"/>
      <c r="BF3068" s="77"/>
      <c r="BG3068" s="77"/>
      <c r="BH3068" s="77"/>
      <c r="BI3068" s="77"/>
    </row>
    <row r="3069" spans="1:61" x14ac:dyDescent="0.25">
      <c r="A3069" s="62" t="s">
        <v>1216</v>
      </c>
      <c r="B3069" s="62" t="s">
        <v>1995</v>
      </c>
      <c r="C3069" s="63"/>
      <c r="D3069" s="64"/>
      <c r="E3069" s="65"/>
      <c r="F3069" s="66"/>
      <c r="G3069" s="63"/>
      <c r="H3069" s="67"/>
      <c r="I3069" s="68"/>
      <c r="J3069" s="68"/>
      <c r="K3069" s="32"/>
      <c r="L3069" s="75">
        <v>3069</v>
      </c>
      <c r="M3069" s="75"/>
      <c r="N3069" s="70"/>
      <c r="O3069" s="77" t="s">
        <v>2081</v>
      </c>
      <c r="P3069" s="79">
        <v>45180.892592592594</v>
      </c>
      <c r="Q3069" s="77" t="s">
        <v>4798</v>
      </c>
      <c r="R3069" s="77">
        <v>0</v>
      </c>
      <c r="S3069" s="77">
        <v>0</v>
      </c>
      <c r="T3069" s="77">
        <v>0</v>
      </c>
      <c r="U3069" s="77">
        <v>0</v>
      </c>
      <c r="V3069" s="77">
        <v>47</v>
      </c>
      <c r="W3069" s="80" t="s">
        <v>7801</v>
      </c>
      <c r="X3069" s="83" t="str">
        <f>HYPERLINK("https://tinyurl.com/3fk77csm")</f>
        <v>https://tinyurl.com/3fk77csm</v>
      </c>
      <c r="Y3069" s="77" t="s">
        <v>8670</v>
      </c>
      <c r="Z3069" s="77" t="s">
        <v>1995</v>
      </c>
      <c r="AA3069" s="77" t="s">
        <v>10047</v>
      </c>
      <c r="AB3069" s="77" t="s">
        <v>10535</v>
      </c>
      <c r="AC3069" s="80" t="s">
        <v>10541</v>
      </c>
      <c r="AD3069" s="77" t="s">
        <v>10620</v>
      </c>
      <c r="AE3069" s="83" t="str">
        <f>HYPERLINK("https://twitter.com/sincortapisa_/status/1701346210689273882")</f>
        <v>https://twitter.com/sincortapisa_/status/1701346210689273882</v>
      </c>
      <c r="AF3069" s="79">
        <v>45180.892592592594</v>
      </c>
      <c r="AG3069" s="85">
        <v>45180</v>
      </c>
      <c r="AH3069" s="80" t="s">
        <v>13308</v>
      </c>
      <c r="AI3069" s="77" t="b">
        <v>0</v>
      </c>
      <c r="AJ3069" s="77"/>
      <c r="AK3069" s="77"/>
      <c r="AL3069" s="77"/>
      <c r="AM3069" s="77"/>
      <c r="AN3069" s="77"/>
      <c r="AO3069" s="77"/>
      <c r="AP3069" s="77"/>
      <c r="AQ3069" s="77" t="s">
        <v>15528</v>
      </c>
      <c r="AR3069" s="77"/>
      <c r="AS3069" s="77"/>
      <c r="AT3069" s="77"/>
      <c r="AU3069" s="77"/>
      <c r="AV3069" s="83" t="str">
        <f>HYPERLINK("https://pbs.twimg.com/media/F5xlExQWwAAnVZN.jpg")</f>
        <v>https://pbs.twimg.com/media/F5xlExQWwAAnVZN.jpg</v>
      </c>
      <c r="AW3069" s="80" t="s">
        <v>18821</v>
      </c>
      <c r="AX3069" s="80" t="s">
        <v>18821</v>
      </c>
      <c r="AY3069" s="77"/>
      <c r="AZ3069" s="80" t="s">
        <v>20380</v>
      </c>
      <c r="BA3069" s="80" t="s">
        <v>20380</v>
      </c>
      <c r="BB3069" s="80" t="s">
        <v>20380</v>
      </c>
      <c r="BC3069" s="80" t="s">
        <v>18821</v>
      </c>
      <c r="BD3069" s="77">
        <v>618254752</v>
      </c>
      <c r="BE3069" s="77"/>
      <c r="BF3069" s="77"/>
      <c r="BG3069" s="77"/>
      <c r="BH3069" s="77"/>
      <c r="BI3069" s="77"/>
    </row>
    <row r="3070" spans="1:61" x14ac:dyDescent="0.25">
      <c r="A3070" s="62" t="s">
        <v>1216</v>
      </c>
      <c r="B3070" s="62" t="s">
        <v>1716</v>
      </c>
      <c r="C3070" s="63"/>
      <c r="D3070" s="64"/>
      <c r="E3070" s="65"/>
      <c r="F3070" s="66"/>
      <c r="G3070" s="63"/>
      <c r="H3070" s="67"/>
      <c r="I3070" s="68"/>
      <c r="J3070" s="68"/>
      <c r="K3070" s="32"/>
      <c r="L3070" s="75">
        <v>3070</v>
      </c>
      <c r="M3070" s="75"/>
      <c r="N3070" s="70"/>
      <c r="O3070" s="77" t="s">
        <v>2081</v>
      </c>
      <c r="P3070" s="79">
        <v>45107.885775462964</v>
      </c>
      <c r="Q3070" s="77" t="s">
        <v>4799</v>
      </c>
      <c r="R3070" s="77">
        <v>0</v>
      </c>
      <c r="S3070" s="77">
        <v>0</v>
      </c>
      <c r="T3070" s="77">
        <v>0</v>
      </c>
      <c r="U3070" s="77">
        <v>0</v>
      </c>
      <c r="V3070" s="77">
        <v>46</v>
      </c>
      <c r="W3070" s="80" t="s">
        <v>7802</v>
      </c>
      <c r="X3070" s="83" t="str">
        <f>HYPERLINK("https://lc.cx/5_Bc0y")</f>
        <v>https://lc.cx/5_Bc0y</v>
      </c>
      <c r="Y3070" s="77" t="s">
        <v>8700</v>
      </c>
      <c r="Z3070" s="77" t="s">
        <v>1716</v>
      </c>
      <c r="AA3070" s="77" t="s">
        <v>10048</v>
      </c>
      <c r="AB3070" s="77" t="s">
        <v>10535</v>
      </c>
      <c r="AC3070" s="80" t="s">
        <v>10541</v>
      </c>
      <c r="AD3070" s="77" t="s">
        <v>10620</v>
      </c>
      <c r="AE3070" s="83" t="str">
        <f>HYPERLINK("https://twitter.com/sincortapisa_/status/1674889423878594560")</f>
        <v>https://twitter.com/sincortapisa_/status/1674889423878594560</v>
      </c>
      <c r="AF3070" s="79">
        <v>45107.885775462964</v>
      </c>
      <c r="AG3070" s="85">
        <v>45107</v>
      </c>
      <c r="AH3070" s="80" t="s">
        <v>11756</v>
      </c>
      <c r="AI3070" s="77" t="b">
        <v>0</v>
      </c>
      <c r="AJ3070" s="77"/>
      <c r="AK3070" s="77"/>
      <c r="AL3070" s="77"/>
      <c r="AM3070" s="77"/>
      <c r="AN3070" s="77"/>
      <c r="AO3070" s="77"/>
      <c r="AP3070" s="77"/>
      <c r="AQ3070" s="77" t="s">
        <v>15529</v>
      </c>
      <c r="AR3070" s="77"/>
      <c r="AS3070" s="77"/>
      <c r="AT3070" s="77"/>
      <c r="AU3070" s="77"/>
      <c r="AV3070" s="83" t="str">
        <f>HYPERLINK("https://pbs.twimg.com/media/Fz5m5AiXsAMsTQY.jpg")</f>
        <v>https://pbs.twimg.com/media/Fz5m5AiXsAMsTQY.jpg</v>
      </c>
      <c r="AW3070" s="80" t="s">
        <v>18822</v>
      </c>
      <c r="AX3070" s="80" t="s">
        <v>18822</v>
      </c>
      <c r="AY3070" s="77"/>
      <c r="AZ3070" s="80" t="s">
        <v>20380</v>
      </c>
      <c r="BA3070" s="80" t="s">
        <v>20380</v>
      </c>
      <c r="BB3070" s="80" t="s">
        <v>20380</v>
      </c>
      <c r="BC3070" s="80" t="s">
        <v>18822</v>
      </c>
      <c r="BD3070" s="77">
        <v>618254752</v>
      </c>
      <c r="BE3070" s="77"/>
      <c r="BF3070" s="77"/>
      <c r="BG3070" s="77"/>
      <c r="BH3070" s="77"/>
      <c r="BI3070" s="77"/>
    </row>
    <row r="3071" spans="1:61" x14ac:dyDescent="0.25">
      <c r="A3071" s="62" t="s">
        <v>1216</v>
      </c>
      <c r="B3071" s="62" t="s">
        <v>1716</v>
      </c>
      <c r="C3071" s="63"/>
      <c r="D3071" s="64"/>
      <c r="E3071" s="65"/>
      <c r="F3071" s="66"/>
      <c r="G3071" s="63"/>
      <c r="H3071" s="67"/>
      <c r="I3071" s="68"/>
      <c r="J3071" s="68"/>
      <c r="K3071" s="32"/>
      <c r="L3071" s="75">
        <v>3071</v>
      </c>
      <c r="M3071" s="75"/>
      <c r="N3071" s="70"/>
      <c r="O3071" s="77" t="s">
        <v>2081</v>
      </c>
      <c r="P3071" s="79">
        <v>45117.026377314818</v>
      </c>
      <c r="Q3071" s="77" t="s">
        <v>4794</v>
      </c>
      <c r="R3071" s="77">
        <v>0</v>
      </c>
      <c r="S3071" s="77">
        <v>0</v>
      </c>
      <c r="T3071" s="77">
        <v>0</v>
      </c>
      <c r="U3071" s="77">
        <v>0</v>
      </c>
      <c r="V3071" s="77">
        <v>217</v>
      </c>
      <c r="W3071" s="80" t="s">
        <v>7797</v>
      </c>
      <c r="X3071" s="83" t="str">
        <f>HYPERLINK("https://lc.cx/UfOK8X")</f>
        <v>https://lc.cx/UfOK8X</v>
      </c>
      <c r="Y3071" s="77" t="s">
        <v>8700</v>
      </c>
      <c r="Z3071" s="77" t="s">
        <v>9003</v>
      </c>
      <c r="AA3071" s="77" t="s">
        <v>10043</v>
      </c>
      <c r="AB3071" s="77" t="s">
        <v>10535</v>
      </c>
      <c r="AC3071" s="80" t="s">
        <v>10541</v>
      </c>
      <c r="AD3071" s="77" t="s">
        <v>10620</v>
      </c>
      <c r="AE3071" s="83" t="str">
        <f>HYPERLINK("https://twitter.com/sincortapisa_/status/1678201866121871363")</f>
        <v>https://twitter.com/sincortapisa_/status/1678201866121871363</v>
      </c>
      <c r="AF3071" s="79">
        <v>45117.026377314818</v>
      </c>
      <c r="AG3071" s="85">
        <v>45117</v>
      </c>
      <c r="AH3071" s="80" t="s">
        <v>13305</v>
      </c>
      <c r="AI3071" s="77" t="b">
        <v>0</v>
      </c>
      <c r="AJ3071" s="77"/>
      <c r="AK3071" s="77"/>
      <c r="AL3071" s="77"/>
      <c r="AM3071" s="77"/>
      <c r="AN3071" s="77"/>
      <c r="AO3071" s="77"/>
      <c r="AP3071" s="77"/>
      <c r="AQ3071" s="77" t="s">
        <v>15524</v>
      </c>
      <c r="AR3071" s="77"/>
      <c r="AS3071" s="77"/>
      <c r="AT3071" s="77"/>
      <c r="AU3071" s="77"/>
      <c r="AV3071" s="83" t="str">
        <f>HYPERLINK("https://pbs.twimg.com/media/F0oqbwpX0AM0q8j.jpg")</f>
        <v>https://pbs.twimg.com/media/F0oqbwpX0AM0q8j.jpg</v>
      </c>
      <c r="AW3071" s="80" t="s">
        <v>18817</v>
      </c>
      <c r="AX3071" s="80" t="s">
        <v>18817</v>
      </c>
      <c r="AY3071" s="77"/>
      <c r="AZ3071" s="80" t="s">
        <v>20380</v>
      </c>
      <c r="BA3071" s="80" t="s">
        <v>20380</v>
      </c>
      <c r="BB3071" s="80" t="s">
        <v>20380</v>
      </c>
      <c r="BC3071" s="80" t="s">
        <v>18817</v>
      </c>
      <c r="BD3071" s="77">
        <v>618254752</v>
      </c>
      <c r="BE3071" s="77"/>
      <c r="BF3071" s="77"/>
      <c r="BG3071" s="77"/>
      <c r="BH3071" s="77"/>
      <c r="BI3071" s="77"/>
    </row>
    <row r="3072" spans="1:61" x14ac:dyDescent="0.25">
      <c r="A3072" s="62" t="s">
        <v>1216</v>
      </c>
      <c r="B3072" s="62" t="s">
        <v>1716</v>
      </c>
      <c r="C3072" s="63"/>
      <c r="D3072" s="64"/>
      <c r="E3072" s="65"/>
      <c r="F3072" s="66"/>
      <c r="G3072" s="63"/>
      <c r="H3072" s="67"/>
      <c r="I3072" s="68"/>
      <c r="J3072" s="68"/>
      <c r="K3072" s="32"/>
      <c r="L3072" s="75">
        <v>3072</v>
      </c>
      <c r="M3072" s="75"/>
      <c r="N3072" s="70"/>
      <c r="O3072" s="77" t="s">
        <v>2081</v>
      </c>
      <c r="P3072" s="79">
        <v>45131.684999999998</v>
      </c>
      <c r="Q3072" s="77" t="s">
        <v>4800</v>
      </c>
      <c r="R3072" s="77">
        <v>0</v>
      </c>
      <c r="S3072" s="77">
        <v>0</v>
      </c>
      <c r="T3072" s="77">
        <v>0</v>
      </c>
      <c r="U3072" s="77">
        <v>0</v>
      </c>
      <c r="V3072" s="77">
        <v>63</v>
      </c>
      <c r="W3072" s="80" t="s">
        <v>7803</v>
      </c>
      <c r="X3072" s="83" t="str">
        <f>HYPERLINK("https://lc.cx/AsaKrI")</f>
        <v>https://lc.cx/AsaKrI</v>
      </c>
      <c r="Y3072" s="77" t="s">
        <v>8700</v>
      </c>
      <c r="Z3072" s="77" t="s">
        <v>1716</v>
      </c>
      <c r="AA3072" s="77" t="s">
        <v>10049</v>
      </c>
      <c r="AB3072" s="77" t="s">
        <v>10535</v>
      </c>
      <c r="AC3072" s="80" t="s">
        <v>10541</v>
      </c>
      <c r="AD3072" s="77" t="s">
        <v>10620</v>
      </c>
      <c r="AE3072" s="83" t="str">
        <f>HYPERLINK("https://twitter.com/sincortapisa_/status/1683513974267027463")</f>
        <v>https://twitter.com/sincortapisa_/status/1683513974267027463</v>
      </c>
      <c r="AF3072" s="79">
        <v>45131.684999999998</v>
      </c>
      <c r="AG3072" s="85">
        <v>45131</v>
      </c>
      <c r="AH3072" s="80" t="s">
        <v>13309</v>
      </c>
      <c r="AI3072" s="77" t="b">
        <v>0</v>
      </c>
      <c r="AJ3072" s="77"/>
      <c r="AK3072" s="77"/>
      <c r="AL3072" s="77"/>
      <c r="AM3072" s="77"/>
      <c r="AN3072" s="77"/>
      <c r="AO3072" s="77"/>
      <c r="AP3072" s="77"/>
      <c r="AQ3072" s="77" t="s">
        <v>15530</v>
      </c>
      <c r="AR3072" s="77"/>
      <c r="AS3072" s="77"/>
      <c r="AT3072" s="77"/>
      <c r="AU3072" s="77"/>
      <c r="AV3072" s="83" t="str">
        <f>HYPERLINK("https://pbs.twimg.com/media/F10J1YTXoAYGZJp.jpg")</f>
        <v>https://pbs.twimg.com/media/F10J1YTXoAYGZJp.jpg</v>
      </c>
      <c r="AW3072" s="80" t="s">
        <v>18823</v>
      </c>
      <c r="AX3072" s="80" t="s">
        <v>18823</v>
      </c>
      <c r="AY3072" s="77"/>
      <c r="AZ3072" s="80" t="s">
        <v>20380</v>
      </c>
      <c r="BA3072" s="80" t="s">
        <v>20380</v>
      </c>
      <c r="BB3072" s="80" t="s">
        <v>20380</v>
      </c>
      <c r="BC3072" s="80" t="s">
        <v>18823</v>
      </c>
      <c r="BD3072" s="77">
        <v>618254752</v>
      </c>
      <c r="BE3072" s="77"/>
      <c r="BF3072" s="77"/>
      <c r="BG3072" s="77"/>
      <c r="BH3072" s="77"/>
      <c r="BI3072" s="77"/>
    </row>
    <row r="3073" spans="1:61" x14ac:dyDescent="0.25">
      <c r="A3073" s="62" t="s">
        <v>1216</v>
      </c>
      <c r="B3073" s="62" t="s">
        <v>1716</v>
      </c>
      <c r="C3073" s="63"/>
      <c r="D3073" s="64"/>
      <c r="E3073" s="65"/>
      <c r="F3073" s="66"/>
      <c r="G3073" s="63"/>
      <c r="H3073" s="67"/>
      <c r="I3073" s="68"/>
      <c r="J3073" s="68"/>
      <c r="K3073" s="32"/>
      <c r="L3073" s="75">
        <v>3073</v>
      </c>
      <c r="M3073" s="75"/>
      <c r="N3073" s="70"/>
      <c r="O3073" s="77" t="s">
        <v>2081</v>
      </c>
      <c r="P3073" s="79">
        <v>45139.059432870374</v>
      </c>
      <c r="Q3073" s="77" t="s">
        <v>4795</v>
      </c>
      <c r="R3073" s="77">
        <v>0</v>
      </c>
      <c r="S3073" s="77">
        <v>0</v>
      </c>
      <c r="T3073" s="77">
        <v>0</v>
      </c>
      <c r="U3073" s="77">
        <v>0</v>
      </c>
      <c r="V3073" s="77">
        <v>40</v>
      </c>
      <c r="W3073" s="80" t="s">
        <v>7798</v>
      </c>
      <c r="X3073" s="83" t="str">
        <f>HYPERLINK("https://lc.cx/susnNq")</f>
        <v>https://lc.cx/susnNq</v>
      </c>
      <c r="Y3073" s="77" t="s">
        <v>8700</v>
      </c>
      <c r="Z3073" s="77" t="s">
        <v>9004</v>
      </c>
      <c r="AA3073" s="77" t="s">
        <v>10044</v>
      </c>
      <c r="AB3073" s="77" t="s">
        <v>10535</v>
      </c>
      <c r="AC3073" s="80" t="s">
        <v>10541</v>
      </c>
      <c r="AD3073" s="77" t="s">
        <v>10620</v>
      </c>
      <c r="AE3073" s="83" t="str">
        <f>HYPERLINK("https://twitter.com/sincortapisa_/status/1686186378567012352")</f>
        <v>https://twitter.com/sincortapisa_/status/1686186378567012352</v>
      </c>
      <c r="AF3073" s="79">
        <v>45139.059432870374</v>
      </c>
      <c r="AG3073" s="85">
        <v>45139</v>
      </c>
      <c r="AH3073" s="80" t="s">
        <v>13306</v>
      </c>
      <c r="AI3073" s="77" t="b">
        <v>0</v>
      </c>
      <c r="AJ3073" s="77"/>
      <c r="AK3073" s="77"/>
      <c r="AL3073" s="77"/>
      <c r="AM3073" s="77"/>
      <c r="AN3073" s="77"/>
      <c r="AO3073" s="77"/>
      <c r="AP3073" s="77"/>
      <c r="AQ3073" s="77" t="s">
        <v>15525</v>
      </c>
      <c r="AR3073" s="77"/>
      <c r="AS3073" s="77"/>
      <c r="AT3073" s="77"/>
      <c r="AU3073" s="77"/>
      <c r="AV3073" s="83" t="str">
        <f>HYPERLINK("https://pbs.twimg.com/media/F2aIIQJXsAAzaia.jpg")</f>
        <v>https://pbs.twimg.com/media/F2aIIQJXsAAzaia.jpg</v>
      </c>
      <c r="AW3073" s="80" t="s">
        <v>18818</v>
      </c>
      <c r="AX3073" s="80" t="s">
        <v>18818</v>
      </c>
      <c r="AY3073" s="77"/>
      <c r="AZ3073" s="80" t="s">
        <v>20380</v>
      </c>
      <c r="BA3073" s="80" t="s">
        <v>20380</v>
      </c>
      <c r="BB3073" s="80" t="s">
        <v>20380</v>
      </c>
      <c r="BC3073" s="80" t="s">
        <v>18818</v>
      </c>
      <c r="BD3073" s="77">
        <v>618254752</v>
      </c>
      <c r="BE3073" s="77"/>
      <c r="BF3073" s="77"/>
      <c r="BG3073" s="77"/>
      <c r="BH3073" s="77"/>
      <c r="BI3073" s="77"/>
    </row>
    <row r="3074" spans="1:61" x14ac:dyDescent="0.25">
      <c r="A3074" s="62" t="s">
        <v>1216</v>
      </c>
      <c r="B3074" s="62" t="s">
        <v>1716</v>
      </c>
      <c r="C3074" s="63"/>
      <c r="D3074" s="64"/>
      <c r="E3074" s="65"/>
      <c r="F3074" s="66"/>
      <c r="G3074" s="63"/>
      <c r="H3074" s="67"/>
      <c r="I3074" s="68"/>
      <c r="J3074" s="68"/>
      <c r="K3074" s="32"/>
      <c r="L3074" s="75">
        <v>3074</v>
      </c>
      <c r="M3074" s="75"/>
      <c r="N3074" s="70"/>
      <c r="O3074" s="77" t="s">
        <v>2081</v>
      </c>
      <c r="P3074" s="79">
        <v>45110.909108796295</v>
      </c>
      <c r="Q3074" s="77" t="s">
        <v>4796</v>
      </c>
      <c r="R3074" s="77">
        <v>0</v>
      </c>
      <c r="S3074" s="77">
        <v>0</v>
      </c>
      <c r="T3074" s="77">
        <v>0</v>
      </c>
      <c r="U3074" s="77">
        <v>0</v>
      </c>
      <c r="V3074" s="77">
        <v>51</v>
      </c>
      <c r="W3074" s="80" t="s">
        <v>7799</v>
      </c>
      <c r="X3074" s="83" t="str">
        <f>HYPERLINK("https://lc.cx/hHiS8d")</f>
        <v>https://lc.cx/hHiS8d</v>
      </c>
      <c r="Y3074" s="77" t="s">
        <v>8700</v>
      </c>
      <c r="Z3074" s="77" t="s">
        <v>8996</v>
      </c>
      <c r="AA3074" s="77" t="s">
        <v>10045</v>
      </c>
      <c r="AB3074" s="77" t="s">
        <v>10535</v>
      </c>
      <c r="AC3074" s="80" t="s">
        <v>10541</v>
      </c>
      <c r="AD3074" s="77" t="s">
        <v>10620</v>
      </c>
      <c r="AE3074" s="83" t="str">
        <f>HYPERLINK("https://twitter.com/sincortapisa_/status/1675985045952032768")</f>
        <v>https://twitter.com/sincortapisa_/status/1675985045952032768</v>
      </c>
      <c r="AF3074" s="79">
        <v>45110.909108796295</v>
      </c>
      <c r="AG3074" s="85">
        <v>45110</v>
      </c>
      <c r="AH3074" s="80" t="s">
        <v>11045</v>
      </c>
      <c r="AI3074" s="77" t="b">
        <v>0</v>
      </c>
      <c r="AJ3074" s="77"/>
      <c r="AK3074" s="77"/>
      <c r="AL3074" s="77"/>
      <c r="AM3074" s="77"/>
      <c r="AN3074" s="77"/>
      <c r="AO3074" s="77"/>
      <c r="AP3074" s="77"/>
      <c r="AQ3074" s="77" t="s">
        <v>15526</v>
      </c>
      <c r="AR3074" s="77"/>
      <c r="AS3074" s="77"/>
      <c r="AT3074" s="77"/>
      <c r="AU3074" s="77"/>
      <c r="AV3074" s="83" t="str">
        <f>HYPERLINK("https://pbs.twimg.com/media/F0JLSOFWwAAHk1Z.jpg")</f>
        <v>https://pbs.twimg.com/media/F0JLSOFWwAAHk1Z.jpg</v>
      </c>
      <c r="AW3074" s="80" t="s">
        <v>18819</v>
      </c>
      <c r="AX3074" s="80" t="s">
        <v>18819</v>
      </c>
      <c r="AY3074" s="77"/>
      <c r="AZ3074" s="80" t="s">
        <v>20380</v>
      </c>
      <c r="BA3074" s="80" t="s">
        <v>20380</v>
      </c>
      <c r="BB3074" s="80" t="s">
        <v>20380</v>
      </c>
      <c r="BC3074" s="80" t="s">
        <v>18819</v>
      </c>
      <c r="BD3074" s="77">
        <v>618254752</v>
      </c>
      <c r="BE3074" s="77"/>
      <c r="BF3074" s="77"/>
      <c r="BG3074" s="77"/>
      <c r="BH3074" s="77"/>
      <c r="BI3074" s="77"/>
    </row>
    <row r="3075" spans="1:61" x14ac:dyDescent="0.25">
      <c r="A3075" s="62" t="s">
        <v>1216</v>
      </c>
      <c r="B3075" s="62" t="s">
        <v>1716</v>
      </c>
      <c r="C3075" s="63"/>
      <c r="D3075" s="64"/>
      <c r="E3075" s="65"/>
      <c r="F3075" s="66"/>
      <c r="G3075" s="63"/>
      <c r="H3075" s="67"/>
      <c r="I3075" s="68"/>
      <c r="J3075" s="68"/>
      <c r="K3075" s="32"/>
      <c r="L3075" s="75">
        <v>3075</v>
      </c>
      <c r="M3075" s="75"/>
      <c r="N3075" s="70"/>
      <c r="O3075" s="77" t="s">
        <v>2081</v>
      </c>
      <c r="P3075" s="79">
        <v>45154.639560185184</v>
      </c>
      <c r="Q3075" s="77" t="s">
        <v>4801</v>
      </c>
      <c r="R3075" s="77">
        <v>0</v>
      </c>
      <c r="S3075" s="77">
        <v>0</v>
      </c>
      <c r="T3075" s="77">
        <v>0</v>
      </c>
      <c r="U3075" s="77">
        <v>0</v>
      </c>
      <c r="V3075" s="77">
        <v>29</v>
      </c>
      <c r="W3075" s="80" t="s">
        <v>7804</v>
      </c>
      <c r="X3075" s="83" t="str">
        <f>HYPERLINK("https://tinyurl.com/2s37hmdd")</f>
        <v>https://tinyurl.com/2s37hmdd</v>
      </c>
      <c r="Y3075" s="77" t="s">
        <v>8670</v>
      </c>
      <c r="Z3075" s="77" t="s">
        <v>1716</v>
      </c>
      <c r="AA3075" s="77" t="s">
        <v>10050</v>
      </c>
      <c r="AB3075" s="77" t="s">
        <v>10535</v>
      </c>
      <c r="AC3075" s="80" t="s">
        <v>10541</v>
      </c>
      <c r="AD3075" s="77" t="s">
        <v>10620</v>
      </c>
      <c r="AE3075" s="83" t="str">
        <f>HYPERLINK("https://twitter.com/sincortapisa_/status/1691832429604909315")</f>
        <v>https://twitter.com/sincortapisa_/status/1691832429604909315</v>
      </c>
      <c r="AF3075" s="79">
        <v>45154.639560185184</v>
      </c>
      <c r="AG3075" s="85">
        <v>45154</v>
      </c>
      <c r="AH3075" s="80" t="s">
        <v>13310</v>
      </c>
      <c r="AI3075" s="77" t="b">
        <v>0</v>
      </c>
      <c r="AJ3075" s="77"/>
      <c r="AK3075" s="77"/>
      <c r="AL3075" s="77"/>
      <c r="AM3075" s="77"/>
      <c r="AN3075" s="77"/>
      <c r="AO3075" s="77"/>
      <c r="AP3075" s="77"/>
      <c r="AQ3075" s="77" t="s">
        <v>15531</v>
      </c>
      <c r="AR3075" s="77"/>
      <c r="AS3075" s="77"/>
      <c r="AT3075" s="77"/>
      <c r="AU3075" s="77"/>
      <c r="AV3075" s="83" t="str">
        <f>HYPERLINK("https://pbs.twimg.com/media/F3qYRzqW8AIRD-o.jpg")</f>
        <v>https://pbs.twimg.com/media/F3qYRzqW8AIRD-o.jpg</v>
      </c>
      <c r="AW3075" s="80" t="s">
        <v>18824</v>
      </c>
      <c r="AX3075" s="80" t="s">
        <v>18824</v>
      </c>
      <c r="AY3075" s="77"/>
      <c r="AZ3075" s="80" t="s">
        <v>20380</v>
      </c>
      <c r="BA3075" s="80" t="s">
        <v>20380</v>
      </c>
      <c r="BB3075" s="80" t="s">
        <v>20380</v>
      </c>
      <c r="BC3075" s="80" t="s">
        <v>18824</v>
      </c>
      <c r="BD3075" s="77">
        <v>618254752</v>
      </c>
      <c r="BE3075" s="77"/>
      <c r="BF3075" s="77"/>
      <c r="BG3075" s="77"/>
      <c r="BH3075" s="77"/>
      <c r="BI3075" s="77"/>
    </row>
    <row r="3076" spans="1:61" x14ac:dyDescent="0.25">
      <c r="A3076" s="62" t="s">
        <v>1217</v>
      </c>
      <c r="B3076" s="62" t="s">
        <v>1217</v>
      </c>
      <c r="C3076" s="63"/>
      <c r="D3076" s="64"/>
      <c r="E3076" s="65"/>
      <c r="F3076" s="66"/>
      <c r="G3076" s="63"/>
      <c r="H3076" s="67"/>
      <c r="I3076" s="68"/>
      <c r="J3076" s="68"/>
      <c r="K3076" s="32"/>
      <c r="L3076" s="75">
        <v>3076</v>
      </c>
      <c r="M3076" s="75"/>
      <c r="N3076" s="70"/>
      <c r="O3076" s="77" t="s">
        <v>179</v>
      </c>
      <c r="P3076" s="79">
        <v>45164.632303240738</v>
      </c>
      <c r="Q3076" s="77" t="s">
        <v>4802</v>
      </c>
      <c r="R3076" s="77">
        <v>90</v>
      </c>
      <c r="S3076" s="77">
        <v>291</v>
      </c>
      <c r="T3076" s="77">
        <v>6</v>
      </c>
      <c r="U3076" s="77">
        <v>19</v>
      </c>
      <c r="V3076" s="77">
        <v>36491</v>
      </c>
      <c r="W3076" s="80" t="s">
        <v>7805</v>
      </c>
      <c r="X3076" s="77"/>
      <c r="Y3076" s="77"/>
      <c r="Z3076" s="77"/>
      <c r="AA3076" s="77"/>
      <c r="AB3076" s="77"/>
      <c r="AC3076" s="80" t="s">
        <v>10541</v>
      </c>
      <c r="AD3076" s="77" t="s">
        <v>10620</v>
      </c>
      <c r="AE3076" s="83" t="str">
        <f>HYPERLINK("https://twitter.com/ferpeirano/status/1695453678528843796")</f>
        <v>https://twitter.com/ferpeirano/status/1695453678528843796</v>
      </c>
      <c r="AF3076" s="79">
        <v>45164.632303240738</v>
      </c>
      <c r="AG3076" s="85">
        <v>45164</v>
      </c>
      <c r="AH3076" s="80" t="s">
        <v>12516</v>
      </c>
      <c r="AI3076" s="77"/>
      <c r="AJ3076" s="77"/>
      <c r="AK3076" s="77"/>
      <c r="AL3076" s="77"/>
      <c r="AM3076" s="77"/>
      <c r="AN3076" s="77"/>
      <c r="AO3076" s="77"/>
      <c r="AP3076" s="77"/>
      <c r="AQ3076" s="77"/>
      <c r="AR3076" s="77"/>
      <c r="AS3076" s="77"/>
      <c r="AT3076" s="77"/>
      <c r="AU3076" s="77"/>
      <c r="AV3076" s="83" t="str">
        <f>HYPERLINK("https://pbs.twimg.com/profile_images/1639838528828743683/VNWk-4Ps_normal.jpg")</f>
        <v>https://pbs.twimg.com/profile_images/1639838528828743683/VNWk-4Ps_normal.jpg</v>
      </c>
      <c r="AW3076" s="80" t="s">
        <v>18825</v>
      </c>
      <c r="AX3076" s="80" t="s">
        <v>18825</v>
      </c>
      <c r="AY3076" s="77"/>
      <c r="AZ3076" s="80" t="s">
        <v>20380</v>
      </c>
      <c r="BA3076" s="80" t="s">
        <v>20380</v>
      </c>
      <c r="BB3076" s="80" t="s">
        <v>20380</v>
      </c>
      <c r="BC3076" s="80" t="s">
        <v>18825</v>
      </c>
      <c r="BD3076" s="77">
        <v>242311942</v>
      </c>
      <c r="BE3076" s="77"/>
      <c r="BF3076" s="77"/>
      <c r="BG3076" s="77"/>
      <c r="BH3076" s="77"/>
      <c r="BI3076" s="77"/>
    </row>
    <row r="3077" spans="1:61" x14ac:dyDescent="0.25">
      <c r="A3077" s="62" t="s">
        <v>1218</v>
      </c>
      <c r="B3077" s="62" t="s">
        <v>1217</v>
      </c>
      <c r="C3077" s="63"/>
      <c r="D3077" s="64"/>
      <c r="E3077" s="65"/>
      <c r="F3077" s="66"/>
      <c r="G3077" s="63"/>
      <c r="H3077" s="67"/>
      <c r="I3077" s="68"/>
      <c r="J3077" s="68"/>
      <c r="K3077" s="32"/>
      <c r="L3077" s="75">
        <v>3077</v>
      </c>
      <c r="M3077" s="75"/>
      <c r="N3077" s="70"/>
      <c r="O3077" s="77" t="s">
        <v>2083</v>
      </c>
      <c r="P3077" s="79">
        <v>45192.057592592595</v>
      </c>
      <c r="Q3077" s="77" t="s">
        <v>4803</v>
      </c>
      <c r="R3077" s="77">
        <v>90</v>
      </c>
      <c r="S3077" s="77">
        <v>0</v>
      </c>
      <c r="T3077" s="77">
        <v>0</v>
      </c>
      <c r="U3077" s="77">
        <v>0</v>
      </c>
      <c r="V3077" s="77"/>
      <c r="W3077" s="80" t="s">
        <v>7805</v>
      </c>
      <c r="X3077" s="77"/>
      <c r="Y3077" s="77"/>
      <c r="Z3077" s="77" t="s">
        <v>1217</v>
      </c>
      <c r="AA3077" s="77"/>
      <c r="AB3077" s="77"/>
      <c r="AC3077" s="80" t="s">
        <v>10541</v>
      </c>
      <c r="AD3077" s="77" t="s">
        <v>10620</v>
      </c>
      <c r="AE3077" s="83" t="str">
        <f>HYPERLINK("https://twitter.com/homeroterann/status/1705392270240018770")</f>
        <v>https://twitter.com/homeroterann/status/1705392270240018770</v>
      </c>
      <c r="AF3077" s="79">
        <v>45192.057592592595</v>
      </c>
      <c r="AG3077" s="85">
        <v>45192</v>
      </c>
      <c r="AH3077" s="80" t="s">
        <v>13311</v>
      </c>
      <c r="AI3077" s="77"/>
      <c r="AJ3077" s="77"/>
      <c r="AK3077" s="77"/>
      <c r="AL3077" s="77"/>
      <c r="AM3077" s="77"/>
      <c r="AN3077" s="77"/>
      <c r="AO3077" s="77"/>
      <c r="AP3077" s="77"/>
      <c r="AQ3077" s="77"/>
      <c r="AR3077" s="77"/>
      <c r="AS3077" s="77"/>
      <c r="AT3077" s="77"/>
      <c r="AU3077" s="77"/>
      <c r="AV3077" s="83" t="str">
        <f>HYPERLINK("https://pbs.twimg.com/profile_images/1374135849428877312/tqkqo_Fl_normal.jpg")</f>
        <v>https://pbs.twimg.com/profile_images/1374135849428877312/tqkqo_Fl_normal.jpg</v>
      </c>
      <c r="AW3077" s="80" t="s">
        <v>18826</v>
      </c>
      <c r="AX3077" s="80" t="s">
        <v>18826</v>
      </c>
      <c r="AY3077" s="77"/>
      <c r="AZ3077" s="80" t="s">
        <v>20380</v>
      </c>
      <c r="BA3077" s="80" t="s">
        <v>20380</v>
      </c>
      <c r="BB3077" s="80" t="s">
        <v>18825</v>
      </c>
      <c r="BC3077" s="80" t="s">
        <v>18825</v>
      </c>
      <c r="BD3077" s="77">
        <v>1225866132</v>
      </c>
      <c r="BE3077" s="77"/>
      <c r="BF3077" s="77"/>
      <c r="BG3077" s="77"/>
      <c r="BH3077" s="77"/>
      <c r="BI3077" s="77"/>
    </row>
    <row r="3078" spans="1:61" x14ac:dyDescent="0.25">
      <c r="A3078" s="62" t="s">
        <v>1219</v>
      </c>
      <c r="B3078" s="62" t="s">
        <v>1219</v>
      </c>
      <c r="C3078" s="63"/>
      <c r="D3078" s="64"/>
      <c r="E3078" s="65"/>
      <c r="F3078" s="66"/>
      <c r="G3078" s="63"/>
      <c r="H3078" s="67"/>
      <c r="I3078" s="68"/>
      <c r="J3078" s="68"/>
      <c r="K3078" s="32"/>
      <c r="L3078" s="75">
        <v>3078</v>
      </c>
      <c r="M3078" s="75"/>
      <c r="N3078" s="70"/>
      <c r="O3078" s="77" t="s">
        <v>179</v>
      </c>
      <c r="P3078" s="79">
        <v>45089.953425925924</v>
      </c>
      <c r="Q3078" s="77" t="s">
        <v>4804</v>
      </c>
      <c r="R3078" s="77">
        <v>0</v>
      </c>
      <c r="S3078" s="77">
        <v>3</v>
      </c>
      <c r="T3078" s="77">
        <v>0</v>
      </c>
      <c r="U3078" s="77">
        <v>0</v>
      </c>
      <c r="V3078" s="77">
        <v>24</v>
      </c>
      <c r="W3078" s="80" t="s">
        <v>7806</v>
      </c>
      <c r="X3078" s="83" t="str">
        <f>HYPERLINK("https://finance.yahoo.com/news/bank-korea-warns-financial-risk-014512202.html")</f>
        <v>https://finance.yahoo.com/news/bank-korea-warns-financial-risk-014512202.html</v>
      </c>
      <c r="Y3078" s="77" t="s">
        <v>8814</v>
      </c>
      <c r="Z3078" s="77"/>
      <c r="AA3078" s="77"/>
      <c r="AB3078" s="77"/>
      <c r="AC3078" s="80" t="s">
        <v>10541</v>
      </c>
      <c r="AD3078" s="77" t="s">
        <v>10620</v>
      </c>
      <c r="AE3078" s="83" t="str">
        <f>HYPERLINK("https://twitter.com/dentrodelprecio/status/1668390960684847105")</f>
        <v>https://twitter.com/dentrodelprecio/status/1668390960684847105</v>
      </c>
      <c r="AF3078" s="79">
        <v>45089.953425925924</v>
      </c>
      <c r="AG3078" s="85">
        <v>45089</v>
      </c>
      <c r="AH3078" s="80" t="s">
        <v>13312</v>
      </c>
      <c r="AI3078" s="77" t="b">
        <v>0</v>
      </c>
      <c r="AJ3078" s="77"/>
      <c r="AK3078" s="77"/>
      <c r="AL3078" s="77"/>
      <c r="AM3078" s="77"/>
      <c r="AN3078" s="77"/>
      <c r="AO3078" s="77"/>
      <c r="AP3078" s="77"/>
      <c r="AQ3078" s="77"/>
      <c r="AR3078" s="77"/>
      <c r="AS3078" s="77"/>
      <c r="AT3078" s="77"/>
      <c r="AU3078" s="77"/>
      <c r="AV3078" s="83" t="str">
        <f>HYPERLINK("https://pbs.twimg.com/profile_images/1664018136402739201/E9XYLuLx_normal.jpg")</f>
        <v>https://pbs.twimg.com/profile_images/1664018136402739201/E9XYLuLx_normal.jpg</v>
      </c>
      <c r="AW3078" s="80" t="s">
        <v>18827</v>
      </c>
      <c r="AX3078" s="80" t="s">
        <v>18827</v>
      </c>
      <c r="AY3078" s="77"/>
      <c r="AZ3078" s="80" t="s">
        <v>20380</v>
      </c>
      <c r="BA3078" s="80" t="s">
        <v>20380</v>
      </c>
      <c r="BB3078" s="80" t="s">
        <v>20380</v>
      </c>
      <c r="BC3078" s="80" t="s">
        <v>18827</v>
      </c>
      <c r="BD3078" s="80" t="s">
        <v>20333</v>
      </c>
      <c r="BE3078" s="77"/>
      <c r="BF3078" s="77"/>
      <c r="BG3078" s="77"/>
      <c r="BH3078" s="77"/>
      <c r="BI3078" s="77"/>
    </row>
    <row r="3079" spans="1:61" x14ac:dyDescent="0.25">
      <c r="A3079" s="62" t="s">
        <v>1219</v>
      </c>
      <c r="B3079" s="62" t="s">
        <v>1219</v>
      </c>
      <c r="C3079" s="63"/>
      <c r="D3079" s="64"/>
      <c r="E3079" s="65"/>
      <c r="F3079" s="66"/>
      <c r="G3079" s="63"/>
      <c r="H3079" s="67"/>
      <c r="I3079" s="68"/>
      <c r="J3079" s="68"/>
      <c r="K3079" s="32"/>
      <c r="L3079" s="75">
        <v>3079</v>
      </c>
      <c r="M3079" s="75"/>
      <c r="N3079" s="70"/>
      <c r="O3079" s="77" t="s">
        <v>179</v>
      </c>
      <c r="P3079" s="79">
        <v>45089.946562500001</v>
      </c>
      <c r="Q3079" s="77" t="s">
        <v>4805</v>
      </c>
      <c r="R3079" s="77">
        <v>0</v>
      </c>
      <c r="S3079" s="77">
        <v>3</v>
      </c>
      <c r="T3079" s="77">
        <v>0</v>
      </c>
      <c r="U3079" s="77">
        <v>0</v>
      </c>
      <c r="V3079" s="77">
        <v>11</v>
      </c>
      <c r="W3079" s="80" t="s">
        <v>7807</v>
      </c>
      <c r="X3079" s="83" t="str">
        <f>HYPERLINK("https://es.finance.yahoo.com/noticias/bolsas-europeas-suben-atentas-reuniones-075153656.html")</f>
        <v>https://es.finance.yahoo.com/noticias/bolsas-europeas-suben-atentas-reuniones-075153656.html</v>
      </c>
      <c r="Y3079" s="77" t="s">
        <v>8814</v>
      </c>
      <c r="Z3079" s="77"/>
      <c r="AA3079" s="77"/>
      <c r="AB3079" s="77"/>
      <c r="AC3079" s="80" t="s">
        <v>10541</v>
      </c>
      <c r="AD3079" s="77" t="s">
        <v>10620</v>
      </c>
      <c r="AE3079" s="83" t="str">
        <f>HYPERLINK("https://twitter.com/dentrodelprecio/status/1668388470690127872")</f>
        <v>https://twitter.com/dentrodelprecio/status/1668388470690127872</v>
      </c>
      <c r="AF3079" s="79">
        <v>45089.946562500001</v>
      </c>
      <c r="AG3079" s="85">
        <v>45089</v>
      </c>
      <c r="AH3079" s="80" t="s">
        <v>13313</v>
      </c>
      <c r="AI3079" s="77" t="b">
        <v>0</v>
      </c>
      <c r="AJ3079" s="77"/>
      <c r="AK3079" s="77"/>
      <c r="AL3079" s="77"/>
      <c r="AM3079" s="77"/>
      <c r="AN3079" s="77"/>
      <c r="AO3079" s="77"/>
      <c r="AP3079" s="77"/>
      <c r="AQ3079" s="77"/>
      <c r="AR3079" s="77"/>
      <c r="AS3079" s="77"/>
      <c r="AT3079" s="77"/>
      <c r="AU3079" s="77"/>
      <c r="AV3079" s="83" t="str">
        <f>HYPERLINK("https://pbs.twimg.com/profile_images/1664018136402739201/E9XYLuLx_normal.jpg")</f>
        <v>https://pbs.twimg.com/profile_images/1664018136402739201/E9XYLuLx_normal.jpg</v>
      </c>
      <c r="AW3079" s="80" t="s">
        <v>18828</v>
      </c>
      <c r="AX3079" s="80" t="s">
        <v>18828</v>
      </c>
      <c r="AY3079" s="77"/>
      <c r="AZ3079" s="80" t="s">
        <v>20380</v>
      </c>
      <c r="BA3079" s="80" t="s">
        <v>20380</v>
      </c>
      <c r="BB3079" s="80" t="s">
        <v>20380</v>
      </c>
      <c r="BC3079" s="80" t="s">
        <v>18828</v>
      </c>
      <c r="BD3079" s="80" t="s">
        <v>20333</v>
      </c>
      <c r="BE3079" s="77"/>
      <c r="BF3079" s="77"/>
      <c r="BG3079" s="77"/>
      <c r="BH3079" s="77"/>
      <c r="BI3079" s="77"/>
    </row>
    <row r="3080" spans="1:61" x14ac:dyDescent="0.25">
      <c r="A3080" s="62" t="s">
        <v>1219</v>
      </c>
      <c r="B3080" s="62" t="s">
        <v>1219</v>
      </c>
      <c r="C3080" s="63"/>
      <c r="D3080" s="64"/>
      <c r="E3080" s="65"/>
      <c r="F3080" s="66"/>
      <c r="G3080" s="63"/>
      <c r="H3080" s="67"/>
      <c r="I3080" s="68"/>
      <c r="J3080" s="68"/>
      <c r="K3080" s="32"/>
      <c r="L3080" s="75">
        <v>3080</v>
      </c>
      <c r="M3080" s="75"/>
      <c r="N3080" s="70"/>
      <c r="O3080" s="77" t="s">
        <v>2078</v>
      </c>
      <c r="P3080" s="79">
        <v>45119.471493055556</v>
      </c>
      <c r="Q3080" s="77" t="s">
        <v>4806</v>
      </c>
      <c r="R3080" s="77">
        <v>0</v>
      </c>
      <c r="S3080" s="77">
        <v>2</v>
      </c>
      <c r="T3080" s="77">
        <v>0</v>
      </c>
      <c r="U3080" s="77">
        <v>0</v>
      </c>
      <c r="V3080" s="77">
        <v>19</v>
      </c>
      <c r="W3080" s="80" t="s">
        <v>7808</v>
      </c>
      <c r="X3080" s="77"/>
      <c r="Y3080" s="77"/>
      <c r="Z3080" s="77"/>
      <c r="AA3080" s="77" t="s">
        <v>10051</v>
      </c>
      <c r="AB3080" s="77" t="s">
        <v>10535</v>
      </c>
      <c r="AC3080" s="80" t="s">
        <v>10541</v>
      </c>
      <c r="AD3080" s="77" t="s">
        <v>10620</v>
      </c>
      <c r="AE3080" s="83" t="str">
        <f>HYPERLINK("https://twitter.com/dentrodelprecio/status/1679087946324930563")</f>
        <v>https://twitter.com/dentrodelprecio/status/1679087946324930563</v>
      </c>
      <c r="AF3080" s="79">
        <v>45119.471493055556</v>
      </c>
      <c r="AG3080" s="85">
        <v>45119</v>
      </c>
      <c r="AH3080" s="80" t="s">
        <v>13314</v>
      </c>
      <c r="AI3080" s="77" t="b">
        <v>0</v>
      </c>
      <c r="AJ3080" s="77"/>
      <c r="AK3080" s="77"/>
      <c r="AL3080" s="77"/>
      <c r="AM3080" s="77"/>
      <c r="AN3080" s="77"/>
      <c r="AO3080" s="77"/>
      <c r="AP3080" s="77"/>
      <c r="AQ3080" s="77" t="s">
        <v>15532</v>
      </c>
      <c r="AR3080" s="77"/>
      <c r="AS3080" s="77"/>
      <c r="AT3080" s="77"/>
      <c r="AU3080" s="77"/>
      <c r="AV3080" s="83" t="str">
        <f>HYPERLINK("https://pbs.twimg.com/media/F01QXGsWcAId_-m.jpg")</f>
        <v>https://pbs.twimg.com/media/F01QXGsWcAId_-m.jpg</v>
      </c>
      <c r="AW3080" s="80" t="s">
        <v>18829</v>
      </c>
      <c r="AX3080" s="80" t="s">
        <v>20088</v>
      </c>
      <c r="AY3080" s="80" t="s">
        <v>20333</v>
      </c>
      <c r="AZ3080" s="80" t="s">
        <v>20437</v>
      </c>
      <c r="BA3080" s="80" t="s">
        <v>20380</v>
      </c>
      <c r="BB3080" s="80" t="s">
        <v>20380</v>
      </c>
      <c r="BC3080" s="80" t="s">
        <v>20437</v>
      </c>
      <c r="BD3080" s="80" t="s">
        <v>20333</v>
      </c>
      <c r="BE3080" s="77"/>
      <c r="BF3080" s="77"/>
      <c r="BG3080" s="77"/>
      <c r="BH3080" s="77"/>
      <c r="BI3080" s="77"/>
    </row>
    <row r="3081" spans="1:61" x14ac:dyDescent="0.25">
      <c r="A3081" s="62" t="s">
        <v>1220</v>
      </c>
      <c r="B3081" s="62" t="s">
        <v>1220</v>
      </c>
      <c r="C3081" s="63"/>
      <c r="D3081" s="64"/>
      <c r="E3081" s="65"/>
      <c r="F3081" s="66"/>
      <c r="G3081" s="63"/>
      <c r="H3081" s="67"/>
      <c r="I3081" s="68"/>
      <c r="J3081" s="68"/>
      <c r="K3081" s="32"/>
      <c r="L3081" s="75">
        <v>3081</v>
      </c>
      <c r="M3081" s="75"/>
      <c r="N3081" s="70"/>
      <c r="O3081" s="77" t="s">
        <v>179</v>
      </c>
      <c r="P3081" s="79">
        <v>45183.854768518519</v>
      </c>
      <c r="Q3081" s="77" t="s">
        <v>4807</v>
      </c>
      <c r="R3081" s="77">
        <v>0</v>
      </c>
      <c r="S3081" s="77">
        <v>0</v>
      </c>
      <c r="T3081" s="77">
        <v>0</v>
      </c>
      <c r="U3081" s="77">
        <v>0</v>
      </c>
      <c r="V3081" s="77">
        <v>56</v>
      </c>
      <c r="W3081" s="80" t="s">
        <v>7809</v>
      </c>
      <c r="X3081" s="77"/>
      <c r="Y3081" s="77"/>
      <c r="Z3081" s="77"/>
      <c r="AA3081" s="77" t="s">
        <v>10052</v>
      </c>
      <c r="AB3081" s="77" t="s">
        <v>10535</v>
      </c>
      <c r="AC3081" s="80" t="s">
        <v>10541</v>
      </c>
      <c r="AD3081" s="77" t="s">
        <v>10620</v>
      </c>
      <c r="AE3081" s="83" t="str">
        <f>HYPERLINK("https://twitter.com/blokdenoticias/status/1702419664901710250")</f>
        <v>https://twitter.com/blokdenoticias/status/1702419664901710250</v>
      </c>
      <c r="AF3081" s="79">
        <v>45183.854768518519</v>
      </c>
      <c r="AG3081" s="85">
        <v>45183</v>
      </c>
      <c r="AH3081" s="80" t="s">
        <v>13315</v>
      </c>
      <c r="AI3081" s="77" t="b">
        <v>0</v>
      </c>
      <c r="AJ3081" s="77"/>
      <c r="AK3081" s="77"/>
      <c r="AL3081" s="77"/>
      <c r="AM3081" s="77"/>
      <c r="AN3081" s="77"/>
      <c r="AO3081" s="77"/>
      <c r="AP3081" s="77"/>
      <c r="AQ3081" s="77" t="s">
        <v>15533</v>
      </c>
      <c r="AR3081" s="77"/>
      <c r="AS3081" s="77"/>
      <c r="AT3081" s="77"/>
      <c r="AU3081" s="77"/>
      <c r="AV3081" s="83" t="str">
        <f>HYPERLINK("https://pbs.twimg.com/media/F6A1kd0XQAAkCox.jpg")</f>
        <v>https://pbs.twimg.com/media/F6A1kd0XQAAkCox.jpg</v>
      </c>
      <c r="AW3081" s="80" t="s">
        <v>18830</v>
      </c>
      <c r="AX3081" s="80" t="s">
        <v>18830</v>
      </c>
      <c r="AY3081" s="77"/>
      <c r="AZ3081" s="80" t="s">
        <v>20380</v>
      </c>
      <c r="BA3081" s="80" t="s">
        <v>20380</v>
      </c>
      <c r="BB3081" s="80" t="s">
        <v>20380</v>
      </c>
      <c r="BC3081" s="80" t="s">
        <v>18830</v>
      </c>
      <c r="BD3081" s="80" t="s">
        <v>20984</v>
      </c>
      <c r="BE3081" s="77"/>
      <c r="BF3081" s="77"/>
      <c r="BG3081" s="77"/>
      <c r="BH3081" s="77"/>
      <c r="BI3081" s="77"/>
    </row>
    <row r="3082" spans="1:61" x14ac:dyDescent="0.25">
      <c r="A3082" s="62" t="s">
        <v>1221</v>
      </c>
      <c r="B3082" s="62" t="s">
        <v>1996</v>
      </c>
      <c r="C3082" s="63"/>
      <c r="D3082" s="64"/>
      <c r="E3082" s="65"/>
      <c r="F3082" s="66"/>
      <c r="G3082" s="63"/>
      <c r="H3082" s="67"/>
      <c r="I3082" s="68"/>
      <c r="J3082" s="68"/>
      <c r="K3082" s="32"/>
      <c r="L3082" s="75">
        <v>3082</v>
      </c>
      <c r="M3082" s="75"/>
      <c r="N3082" s="70"/>
      <c r="O3082" s="77" t="s">
        <v>2082</v>
      </c>
      <c r="P3082" s="79">
        <v>45092.529479166667</v>
      </c>
      <c r="Q3082" s="77" t="s">
        <v>4808</v>
      </c>
      <c r="R3082" s="77">
        <v>1</v>
      </c>
      <c r="S3082" s="77">
        <v>1</v>
      </c>
      <c r="T3082" s="77">
        <v>0</v>
      </c>
      <c r="U3082" s="77">
        <v>0</v>
      </c>
      <c r="V3082" s="77">
        <v>62</v>
      </c>
      <c r="W3082" s="80" t="s">
        <v>7810</v>
      </c>
      <c r="X3082" s="77"/>
      <c r="Y3082" s="77"/>
      <c r="Z3082" s="77"/>
      <c r="AA3082" s="77"/>
      <c r="AB3082" s="77"/>
      <c r="AC3082" s="80" t="s">
        <v>10540</v>
      </c>
      <c r="AD3082" s="77" t="s">
        <v>10620</v>
      </c>
      <c r="AE3082" s="83" t="str">
        <f>HYPERLINK("https://twitter.com/cvm7002/status/1669324490898120704")</f>
        <v>https://twitter.com/cvm7002/status/1669324490898120704</v>
      </c>
      <c r="AF3082" s="79">
        <v>45092.529479166667</v>
      </c>
      <c r="AG3082" s="85">
        <v>45092</v>
      </c>
      <c r="AH3082" s="80" t="s">
        <v>13316</v>
      </c>
      <c r="AI3082" s="77"/>
      <c r="AJ3082" s="77"/>
      <c r="AK3082" s="77"/>
      <c r="AL3082" s="77"/>
      <c r="AM3082" s="77"/>
      <c r="AN3082" s="77"/>
      <c r="AO3082" s="77"/>
      <c r="AP3082" s="77"/>
      <c r="AQ3082" s="77"/>
      <c r="AR3082" s="77"/>
      <c r="AS3082" s="77"/>
      <c r="AT3082" s="77"/>
      <c r="AU3082" s="77"/>
      <c r="AV3082" s="83" t="str">
        <f>HYPERLINK("https://pbs.twimg.com/profile_images/1677495740518604800/YnS5aQxe_normal.jpg")</f>
        <v>https://pbs.twimg.com/profile_images/1677495740518604800/YnS5aQxe_normal.jpg</v>
      </c>
      <c r="AW3082" s="80" t="s">
        <v>18831</v>
      </c>
      <c r="AX3082" s="80" t="s">
        <v>18831</v>
      </c>
      <c r="AY3082" s="77"/>
      <c r="AZ3082" s="80" t="s">
        <v>20380</v>
      </c>
      <c r="BA3082" s="80" t="s">
        <v>20489</v>
      </c>
      <c r="BB3082" s="80" t="s">
        <v>20380</v>
      </c>
      <c r="BC3082" s="80" t="s">
        <v>20489</v>
      </c>
      <c r="BD3082" s="77">
        <v>1554339602</v>
      </c>
      <c r="BE3082" s="77"/>
      <c r="BF3082" s="77"/>
      <c r="BG3082" s="77"/>
      <c r="BH3082" s="77"/>
      <c r="BI3082" s="77"/>
    </row>
    <row r="3083" spans="1:61" x14ac:dyDescent="0.25">
      <c r="A3083" s="62" t="s">
        <v>1222</v>
      </c>
      <c r="B3083" s="62" t="s">
        <v>1997</v>
      </c>
      <c r="C3083" s="63"/>
      <c r="D3083" s="64"/>
      <c r="E3083" s="65"/>
      <c r="F3083" s="66"/>
      <c r="G3083" s="63"/>
      <c r="H3083" s="67"/>
      <c r="I3083" s="68"/>
      <c r="J3083" s="68"/>
      <c r="K3083" s="32"/>
      <c r="L3083" s="75">
        <v>3083</v>
      </c>
      <c r="M3083" s="75"/>
      <c r="N3083" s="70"/>
      <c r="O3083" s="77" t="s">
        <v>2078</v>
      </c>
      <c r="P3083" s="79">
        <v>45094.435925925929</v>
      </c>
      <c r="Q3083" s="77" t="s">
        <v>4809</v>
      </c>
      <c r="R3083" s="77">
        <v>0</v>
      </c>
      <c r="S3083" s="77">
        <v>0</v>
      </c>
      <c r="T3083" s="77">
        <v>0</v>
      </c>
      <c r="U3083" s="77">
        <v>0</v>
      </c>
      <c r="V3083" s="77">
        <v>1</v>
      </c>
      <c r="W3083" s="80" t="s">
        <v>7811</v>
      </c>
      <c r="X3083" s="77"/>
      <c r="Y3083" s="77"/>
      <c r="Z3083" s="77" t="s">
        <v>1997</v>
      </c>
      <c r="AA3083" s="77"/>
      <c r="AB3083" s="77"/>
      <c r="AC3083" s="80" t="s">
        <v>10541</v>
      </c>
      <c r="AD3083" s="77" t="s">
        <v>10617</v>
      </c>
      <c r="AE3083" s="83" t="str">
        <f>HYPERLINK("https://twitter.com/nacliteresa/status/1670015364288184322")</f>
        <v>https://twitter.com/nacliteresa/status/1670015364288184322</v>
      </c>
      <c r="AF3083" s="79">
        <v>45094.435925925929</v>
      </c>
      <c r="AG3083" s="85">
        <v>45094</v>
      </c>
      <c r="AH3083" s="80" t="s">
        <v>13317</v>
      </c>
      <c r="AI3083" s="77"/>
      <c r="AJ3083" s="77"/>
      <c r="AK3083" s="77"/>
      <c r="AL3083" s="77"/>
      <c r="AM3083" s="77"/>
      <c r="AN3083" s="77"/>
      <c r="AO3083" s="77"/>
      <c r="AP3083" s="77"/>
      <c r="AQ3083" s="77"/>
      <c r="AR3083" s="77"/>
      <c r="AS3083" s="77"/>
      <c r="AT3083" s="77"/>
      <c r="AU3083" s="77"/>
      <c r="AV3083" s="83" t="str">
        <f>HYPERLINK("https://pbs.twimg.com/profile_images/1417400625533444115/aNgkukbn_normal.jpg")</f>
        <v>https://pbs.twimg.com/profile_images/1417400625533444115/aNgkukbn_normal.jpg</v>
      </c>
      <c r="AW3083" s="80" t="s">
        <v>18832</v>
      </c>
      <c r="AX3083" s="80" t="s">
        <v>20089</v>
      </c>
      <c r="AY3083" s="80" t="s">
        <v>20334</v>
      </c>
      <c r="AZ3083" s="80" t="s">
        <v>20089</v>
      </c>
      <c r="BA3083" s="80" t="s">
        <v>20380</v>
      </c>
      <c r="BB3083" s="80" t="s">
        <v>20380</v>
      </c>
      <c r="BC3083" s="80" t="s">
        <v>20089</v>
      </c>
      <c r="BD3083" s="80" t="s">
        <v>20985</v>
      </c>
      <c r="BE3083" s="77"/>
      <c r="BF3083" s="77"/>
      <c r="BG3083" s="77"/>
      <c r="BH3083" s="77"/>
      <c r="BI3083" s="77"/>
    </row>
    <row r="3084" spans="1:61" x14ac:dyDescent="0.25">
      <c r="A3084" s="62" t="s">
        <v>1223</v>
      </c>
      <c r="B3084" s="62" t="s">
        <v>1624</v>
      </c>
      <c r="C3084" s="63"/>
      <c r="D3084" s="64"/>
      <c r="E3084" s="65"/>
      <c r="F3084" s="66"/>
      <c r="G3084" s="63"/>
      <c r="H3084" s="67"/>
      <c r="I3084" s="68"/>
      <c r="J3084" s="68"/>
      <c r="K3084" s="32"/>
      <c r="L3084" s="75">
        <v>3084</v>
      </c>
      <c r="M3084" s="75"/>
      <c r="N3084" s="70"/>
      <c r="O3084" s="77" t="s">
        <v>2081</v>
      </c>
      <c r="P3084" s="79">
        <v>45100.625648148147</v>
      </c>
      <c r="Q3084" s="77" t="s">
        <v>4810</v>
      </c>
      <c r="R3084" s="77">
        <v>286</v>
      </c>
      <c r="S3084" s="77">
        <v>1424</v>
      </c>
      <c r="T3084" s="77">
        <v>95</v>
      </c>
      <c r="U3084" s="77">
        <v>10</v>
      </c>
      <c r="V3084" s="77">
        <v>130645</v>
      </c>
      <c r="W3084" s="77"/>
      <c r="X3084" s="83" t="str">
        <f>HYPERLINK("https://www.gov.br/planalto/pt-br/acompanhe-o-planalto/discursos-e-pronunciamentos/2023/discurso-do-presidente-luiz-inacio-lula-da-silva-durante-a-cupula-para-um-novo-pacto-financeiro-global-na-franca")</f>
        <v>https://www.gov.br/planalto/pt-br/acompanhe-o-planalto/discursos-e-pronunciamentos/2023/discurso-do-presidente-luiz-inacio-lula-da-silva-durante-a-cupula-para-um-novo-pacto-financeiro-global-na-franca</v>
      </c>
      <c r="Y3084" s="77" t="s">
        <v>8633</v>
      </c>
      <c r="Z3084" s="77" t="s">
        <v>1624</v>
      </c>
      <c r="AA3084" s="77"/>
      <c r="AB3084" s="77"/>
      <c r="AC3084" s="80" t="s">
        <v>10541</v>
      </c>
      <c r="AD3084" s="77" t="s">
        <v>10617</v>
      </c>
      <c r="AE3084" s="83" t="str">
        <f>HYPERLINK("https://twitter.com/govbr/status/1672258443833405443")</f>
        <v>https://twitter.com/govbr/status/1672258443833405443</v>
      </c>
      <c r="AF3084" s="79">
        <v>45100.625648148147</v>
      </c>
      <c r="AG3084" s="85">
        <v>45100</v>
      </c>
      <c r="AH3084" s="80" t="s">
        <v>13318</v>
      </c>
      <c r="AI3084" s="77" t="b">
        <v>0</v>
      </c>
      <c r="AJ3084" s="77"/>
      <c r="AK3084" s="77"/>
      <c r="AL3084" s="77"/>
      <c r="AM3084" s="77"/>
      <c r="AN3084" s="77"/>
      <c r="AO3084" s="77"/>
      <c r="AP3084" s="77"/>
      <c r="AQ3084" s="77"/>
      <c r="AR3084" s="77"/>
      <c r="AS3084" s="77"/>
      <c r="AT3084" s="77"/>
      <c r="AU3084" s="77"/>
      <c r="AV3084" s="83" t="str">
        <f>HYPERLINK("https://pbs.twimg.com/profile_images/1697658337964228608/90ajpr4Z_normal.jpg")</f>
        <v>https://pbs.twimg.com/profile_images/1697658337964228608/90ajpr4Z_normal.jpg</v>
      </c>
      <c r="AW3084" s="80" t="s">
        <v>18833</v>
      </c>
      <c r="AX3084" s="80" t="s">
        <v>18833</v>
      </c>
      <c r="AY3084" s="77"/>
      <c r="AZ3084" s="80" t="s">
        <v>20380</v>
      </c>
      <c r="BA3084" s="80" t="s">
        <v>20380</v>
      </c>
      <c r="BB3084" s="80" t="s">
        <v>20380</v>
      </c>
      <c r="BC3084" s="80" t="s">
        <v>18833</v>
      </c>
      <c r="BD3084" s="80" t="s">
        <v>20986</v>
      </c>
      <c r="BE3084" s="77"/>
      <c r="BF3084" s="77"/>
      <c r="BG3084" s="77"/>
      <c r="BH3084" s="77"/>
      <c r="BI3084" s="77"/>
    </row>
    <row r="3085" spans="1:61" x14ac:dyDescent="0.25">
      <c r="A3085" s="62" t="s">
        <v>1222</v>
      </c>
      <c r="B3085" s="62" t="s">
        <v>1223</v>
      </c>
      <c r="C3085" s="63"/>
      <c r="D3085" s="64"/>
      <c r="E3085" s="65"/>
      <c r="F3085" s="66"/>
      <c r="G3085" s="63"/>
      <c r="H3085" s="67"/>
      <c r="I3085" s="68"/>
      <c r="J3085" s="68"/>
      <c r="K3085" s="32"/>
      <c r="L3085" s="75">
        <v>3085</v>
      </c>
      <c r="M3085" s="75"/>
      <c r="N3085" s="70"/>
      <c r="O3085" s="77" t="s">
        <v>2082</v>
      </c>
      <c r="P3085" s="79">
        <v>45101.702962962961</v>
      </c>
      <c r="Q3085" s="77" t="s">
        <v>4811</v>
      </c>
      <c r="R3085" s="77">
        <v>0</v>
      </c>
      <c r="S3085" s="77">
        <v>0</v>
      </c>
      <c r="T3085" s="77">
        <v>0</v>
      </c>
      <c r="U3085" s="77">
        <v>0</v>
      </c>
      <c r="V3085" s="77">
        <v>2</v>
      </c>
      <c r="W3085" s="80" t="s">
        <v>7812</v>
      </c>
      <c r="X3085" s="77"/>
      <c r="Y3085" s="77"/>
      <c r="Z3085" s="77" t="s">
        <v>1624</v>
      </c>
      <c r="AA3085" s="77"/>
      <c r="AB3085" s="77"/>
      <c r="AC3085" s="80" t="s">
        <v>10542</v>
      </c>
      <c r="AD3085" s="77" t="s">
        <v>10617</v>
      </c>
      <c r="AE3085" s="83" t="str">
        <f>HYPERLINK("https://twitter.com/nacliteresa/status/1672648847527407620")</f>
        <v>https://twitter.com/nacliteresa/status/1672648847527407620</v>
      </c>
      <c r="AF3085" s="79">
        <v>45101.702962962961</v>
      </c>
      <c r="AG3085" s="85">
        <v>45101</v>
      </c>
      <c r="AH3085" s="80" t="s">
        <v>13319</v>
      </c>
      <c r="AI3085" s="77"/>
      <c r="AJ3085" s="77"/>
      <c r="AK3085" s="77"/>
      <c r="AL3085" s="77"/>
      <c r="AM3085" s="77"/>
      <c r="AN3085" s="77"/>
      <c r="AO3085" s="77"/>
      <c r="AP3085" s="77"/>
      <c r="AQ3085" s="77"/>
      <c r="AR3085" s="77"/>
      <c r="AS3085" s="77"/>
      <c r="AT3085" s="77"/>
      <c r="AU3085" s="77"/>
      <c r="AV3085" s="83" t="str">
        <f>HYPERLINK("https://pbs.twimg.com/profile_images/1417400625533444115/aNgkukbn_normal.jpg")</f>
        <v>https://pbs.twimg.com/profile_images/1417400625533444115/aNgkukbn_normal.jpg</v>
      </c>
      <c r="AW3085" s="80" t="s">
        <v>18834</v>
      </c>
      <c r="AX3085" s="80" t="s">
        <v>18834</v>
      </c>
      <c r="AY3085" s="80" t="s">
        <v>20245</v>
      </c>
      <c r="AZ3085" s="80" t="s">
        <v>20380</v>
      </c>
      <c r="BA3085" s="80" t="s">
        <v>18833</v>
      </c>
      <c r="BB3085" s="80" t="s">
        <v>20380</v>
      </c>
      <c r="BC3085" s="80" t="s">
        <v>18833</v>
      </c>
      <c r="BD3085" s="80" t="s">
        <v>20985</v>
      </c>
      <c r="BE3085" s="77"/>
      <c r="BF3085" s="77"/>
      <c r="BG3085" s="77"/>
      <c r="BH3085" s="77"/>
      <c r="BI3085" s="77"/>
    </row>
    <row r="3086" spans="1:61" x14ac:dyDescent="0.25">
      <c r="A3086" s="62" t="s">
        <v>1222</v>
      </c>
      <c r="B3086" s="62" t="s">
        <v>1624</v>
      </c>
      <c r="C3086" s="63"/>
      <c r="D3086" s="64"/>
      <c r="E3086" s="65"/>
      <c r="F3086" s="66"/>
      <c r="G3086" s="63"/>
      <c r="H3086" s="67"/>
      <c r="I3086" s="68"/>
      <c r="J3086" s="68"/>
      <c r="K3086" s="32"/>
      <c r="L3086" s="75">
        <v>3086</v>
      </c>
      <c r="M3086" s="75"/>
      <c r="N3086" s="70"/>
      <c r="O3086" s="77" t="s">
        <v>2084</v>
      </c>
      <c r="P3086" s="79">
        <v>45101.702962962961</v>
      </c>
      <c r="Q3086" s="77" t="s">
        <v>4811</v>
      </c>
      <c r="R3086" s="77">
        <v>0</v>
      </c>
      <c r="S3086" s="77">
        <v>0</v>
      </c>
      <c r="T3086" s="77">
        <v>0</v>
      </c>
      <c r="U3086" s="77">
        <v>0</v>
      </c>
      <c r="V3086" s="77">
        <v>2</v>
      </c>
      <c r="W3086" s="80" t="s">
        <v>7812</v>
      </c>
      <c r="X3086" s="77"/>
      <c r="Y3086" s="77"/>
      <c r="Z3086" s="77" t="s">
        <v>1624</v>
      </c>
      <c r="AA3086" s="77"/>
      <c r="AB3086" s="77"/>
      <c r="AC3086" s="80" t="s">
        <v>10542</v>
      </c>
      <c r="AD3086" s="77" t="s">
        <v>10617</v>
      </c>
      <c r="AE3086" s="83" t="str">
        <f>HYPERLINK("https://twitter.com/nacliteresa/status/1672648847527407620")</f>
        <v>https://twitter.com/nacliteresa/status/1672648847527407620</v>
      </c>
      <c r="AF3086" s="79">
        <v>45101.702962962961</v>
      </c>
      <c r="AG3086" s="85">
        <v>45101</v>
      </c>
      <c r="AH3086" s="80" t="s">
        <v>13319</v>
      </c>
      <c r="AI3086" s="77"/>
      <c r="AJ3086" s="77"/>
      <c r="AK3086" s="77"/>
      <c r="AL3086" s="77"/>
      <c r="AM3086" s="77"/>
      <c r="AN3086" s="77"/>
      <c r="AO3086" s="77"/>
      <c r="AP3086" s="77"/>
      <c r="AQ3086" s="77"/>
      <c r="AR3086" s="77"/>
      <c r="AS3086" s="77"/>
      <c r="AT3086" s="77"/>
      <c r="AU3086" s="77"/>
      <c r="AV3086" s="83" t="str">
        <f>HYPERLINK("https://pbs.twimg.com/profile_images/1417400625533444115/aNgkukbn_normal.jpg")</f>
        <v>https://pbs.twimg.com/profile_images/1417400625533444115/aNgkukbn_normal.jpg</v>
      </c>
      <c r="AW3086" s="80" t="s">
        <v>18834</v>
      </c>
      <c r="AX3086" s="80" t="s">
        <v>18834</v>
      </c>
      <c r="AY3086" s="80" t="s">
        <v>20245</v>
      </c>
      <c r="AZ3086" s="80" t="s">
        <v>20380</v>
      </c>
      <c r="BA3086" s="80" t="s">
        <v>18833</v>
      </c>
      <c r="BB3086" s="80" t="s">
        <v>20380</v>
      </c>
      <c r="BC3086" s="80" t="s">
        <v>18833</v>
      </c>
      <c r="BD3086" s="80" t="s">
        <v>20985</v>
      </c>
      <c r="BE3086" s="77"/>
      <c r="BF3086" s="77"/>
      <c r="BG3086" s="77"/>
      <c r="BH3086" s="77"/>
      <c r="BI3086" s="77"/>
    </row>
    <row r="3087" spans="1:61" x14ac:dyDescent="0.25">
      <c r="A3087" s="62" t="s">
        <v>1224</v>
      </c>
      <c r="B3087" s="62" t="s">
        <v>1596</v>
      </c>
      <c r="C3087" s="63"/>
      <c r="D3087" s="64"/>
      <c r="E3087" s="65"/>
      <c r="F3087" s="66"/>
      <c r="G3087" s="63"/>
      <c r="H3087" s="67"/>
      <c r="I3087" s="68"/>
      <c r="J3087" s="68"/>
      <c r="K3087" s="32"/>
      <c r="L3087" s="75">
        <v>3087</v>
      </c>
      <c r="M3087" s="75"/>
      <c r="N3087" s="70"/>
      <c r="O3087" s="77" t="s">
        <v>2081</v>
      </c>
      <c r="P3087" s="79">
        <v>45161.54011574074</v>
      </c>
      <c r="Q3087" s="77" t="s">
        <v>4812</v>
      </c>
      <c r="R3087" s="77">
        <v>0</v>
      </c>
      <c r="S3087" s="77">
        <v>0</v>
      </c>
      <c r="T3087" s="77">
        <v>0</v>
      </c>
      <c r="U3087" s="77">
        <v>0</v>
      </c>
      <c r="V3087" s="77">
        <v>30</v>
      </c>
      <c r="W3087" s="80" t="s">
        <v>7813</v>
      </c>
      <c r="X3087" s="83" t="str">
        <f>HYPERLINK("https://www.bcb.gov.br/detalhenoticia/709/noticia")</f>
        <v>https://www.bcb.gov.br/detalhenoticia/709/noticia</v>
      </c>
      <c r="Y3087" s="77" t="s">
        <v>8633</v>
      </c>
      <c r="Z3087" s="77" t="s">
        <v>1596</v>
      </c>
      <c r="AA3087" s="77" t="s">
        <v>10053</v>
      </c>
      <c r="AB3087" s="77" t="s">
        <v>10535</v>
      </c>
      <c r="AC3087" s="80" t="s">
        <v>10541</v>
      </c>
      <c r="AD3087" s="77" t="s">
        <v>10617</v>
      </c>
      <c r="AE3087" s="83" t="str">
        <f>HYPERLINK("https://twitter.com/daniellima2022/status/1694333107267105018")</f>
        <v>https://twitter.com/daniellima2022/status/1694333107267105018</v>
      </c>
      <c r="AF3087" s="79">
        <v>45161.54011574074</v>
      </c>
      <c r="AG3087" s="85">
        <v>45161</v>
      </c>
      <c r="AH3087" s="80" t="s">
        <v>12794</v>
      </c>
      <c r="AI3087" s="77" t="b">
        <v>0</v>
      </c>
      <c r="AJ3087" s="77"/>
      <c r="AK3087" s="77"/>
      <c r="AL3087" s="77"/>
      <c r="AM3087" s="77"/>
      <c r="AN3087" s="77"/>
      <c r="AO3087" s="77"/>
      <c r="AP3087" s="77"/>
      <c r="AQ3087" s="77" t="s">
        <v>15534</v>
      </c>
      <c r="AR3087" s="77"/>
      <c r="AS3087" s="77"/>
      <c r="AT3087" s="77"/>
      <c r="AU3087" s="77"/>
      <c r="AV3087" s="83" t="str">
        <f>HYPERLINK("https://pbs.twimg.com/media/F4N68YRWcAAVGMI.jpg")</f>
        <v>https://pbs.twimg.com/media/F4N68YRWcAAVGMI.jpg</v>
      </c>
      <c r="AW3087" s="80" t="s">
        <v>18835</v>
      </c>
      <c r="AX3087" s="80" t="s">
        <v>18835</v>
      </c>
      <c r="AY3087" s="77"/>
      <c r="AZ3087" s="80" t="s">
        <v>20380</v>
      </c>
      <c r="BA3087" s="80" t="s">
        <v>20380</v>
      </c>
      <c r="BB3087" s="80" t="s">
        <v>20380</v>
      </c>
      <c r="BC3087" s="80" t="s">
        <v>18835</v>
      </c>
      <c r="BD3087" s="80" t="s">
        <v>20987</v>
      </c>
      <c r="BE3087" s="77"/>
      <c r="BF3087" s="77"/>
      <c r="BG3087" s="77"/>
      <c r="BH3087" s="77"/>
      <c r="BI3087" s="77"/>
    </row>
    <row r="3088" spans="1:61" x14ac:dyDescent="0.25">
      <c r="A3088" s="62" t="s">
        <v>1225</v>
      </c>
      <c r="B3088" s="62" t="s">
        <v>1998</v>
      </c>
      <c r="C3088" s="63"/>
      <c r="D3088" s="64"/>
      <c r="E3088" s="65"/>
      <c r="F3088" s="66"/>
      <c r="G3088" s="63"/>
      <c r="H3088" s="67"/>
      <c r="I3088" s="68"/>
      <c r="J3088" s="68"/>
      <c r="K3088" s="32"/>
      <c r="L3088" s="75">
        <v>3088</v>
      </c>
      <c r="M3088" s="75"/>
      <c r="N3088" s="70"/>
      <c r="O3088" s="77" t="s">
        <v>2079</v>
      </c>
      <c r="P3088" s="79">
        <v>45166.75236111111</v>
      </c>
      <c r="Q3088" s="77" t="s">
        <v>4813</v>
      </c>
      <c r="R3088" s="77">
        <v>1</v>
      </c>
      <c r="S3088" s="77">
        <v>2</v>
      </c>
      <c r="T3088" s="77">
        <v>0</v>
      </c>
      <c r="U3088" s="77">
        <v>0</v>
      </c>
      <c r="V3088" s="77">
        <v>155</v>
      </c>
      <c r="W3088" s="80" t="s">
        <v>5884</v>
      </c>
      <c r="X3088" s="77"/>
      <c r="Y3088" s="77"/>
      <c r="Z3088" s="77" t="s">
        <v>9005</v>
      </c>
      <c r="AA3088" s="77"/>
      <c r="AB3088" s="77"/>
      <c r="AC3088" s="80" t="s">
        <v>10542</v>
      </c>
      <c r="AD3088" s="77" t="s">
        <v>10620</v>
      </c>
      <c r="AE3088" s="83" t="str">
        <f>HYPERLINK("https://twitter.com/carobiedermann/status/1696221962886848894")</f>
        <v>https://twitter.com/carobiedermann/status/1696221962886848894</v>
      </c>
      <c r="AF3088" s="79">
        <v>45166.75236111111</v>
      </c>
      <c r="AG3088" s="85">
        <v>45166</v>
      </c>
      <c r="AH3088" s="80" t="s">
        <v>13320</v>
      </c>
      <c r="AI3088" s="77"/>
      <c r="AJ3088" s="77"/>
      <c r="AK3088" s="77"/>
      <c r="AL3088" s="77"/>
      <c r="AM3088" s="77"/>
      <c r="AN3088" s="77"/>
      <c r="AO3088" s="77"/>
      <c r="AP3088" s="77"/>
      <c r="AQ3088" s="77"/>
      <c r="AR3088" s="77"/>
      <c r="AS3088" s="77"/>
      <c r="AT3088" s="77"/>
      <c r="AU3088" s="77"/>
      <c r="AV3088" s="83" t="str">
        <f>HYPERLINK("https://pbs.twimg.com/profile_images/1635131764719992832/Yb-VPfkt_normal.jpg")</f>
        <v>https://pbs.twimg.com/profile_images/1635131764719992832/Yb-VPfkt_normal.jpg</v>
      </c>
      <c r="AW3088" s="80" t="s">
        <v>18836</v>
      </c>
      <c r="AX3088" s="80" t="s">
        <v>20090</v>
      </c>
      <c r="AY3088" s="80" t="s">
        <v>20335</v>
      </c>
      <c r="AZ3088" s="80" t="s">
        <v>20438</v>
      </c>
      <c r="BA3088" s="80" t="s">
        <v>20380</v>
      </c>
      <c r="BB3088" s="80" t="s">
        <v>20380</v>
      </c>
      <c r="BC3088" s="80" t="s">
        <v>20438</v>
      </c>
      <c r="BD3088" s="77">
        <v>159864382</v>
      </c>
      <c r="BE3088" s="77"/>
      <c r="BF3088" s="77"/>
      <c r="BG3088" s="77"/>
      <c r="BH3088" s="77"/>
      <c r="BI3088" s="77"/>
    </row>
    <row r="3089" spans="1:61" x14ac:dyDescent="0.25">
      <c r="A3089" s="62" t="s">
        <v>1225</v>
      </c>
      <c r="B3089" s="62" t="s">
        <v>1715</v>
      </c>
      <c r="C3089" s="63"/>
      <c r="D3089" s="64"/>
      <c r="E3089" s="65"/>
      <c r="F3089" s="66"/>
      <c r="G3089" s="63"/>
      <c r="H3089" s="67"/>
      <c r="I3089" s="68"/>
      <c r="J3089" s="68"/>
      <c r="K3089" s="32"/>
      <c r="L3089" s="75">
        <v>3089</v>
      </c>
      <c r="M3089" s="75"/>
      <c r="N3089" s="70"/>
      <c r="O3089" s="77" t="s">
        <v>2079</v>
      </c>
      <c r="P3089" s="79">
        <v>45166.75236111111</v>
      </c>
      <c r="Q3089" s="77" t="s">
        <v>4813</v>
      </c>
      <c r="R3089" s="77">
        <v>1</v>
      </c>
      <c r="S3089" s="77">
        <v>2</v>
      </c>
      <c r="T3089" s="77">
        <v>0</v>
      </c>
      <c r="U3089" s="77">
        <v>0</v>
      </c>
      <c r="V3089" s="77">
        <v>155</v>
      </c>
      <c r="W3089" s="80" t="s">
        <v>5884</v>
      </c>
      <c r="X3089" s="77"/>
      <c r="Y3089" s="77"/>
      <c r="Z3089" s="77" t="s">
        <v>9005</v>
      </c>
      <c r="AA3089" s="77"/>
      <c r="AB3089" s="77"/>
      <c r="AC3089" s="80" t="s">
        <v>10542</v>
      </c>
      <c r="AD3089" s="77" t="s">
        <v>10620</v>
      </c>
      <c r="AE3089" s="83" t="str">
        <f>HYPERLINK("https://twitter.com/carobiedermann/status/1696221962886848894")</f>
        <v>https://twitter.com/carobiedermann/status/1696221962886848894</v>
      </c>
      <c r="AF3089" s="79">
        <v>45166.75236111111</v>
      </c>
      <c r="AG3089" s="85">
        <v>45166</v>
      </c>
      <c r="AH3089" s="80" t="s">
        <v>13320</v>
      </c>
      <c r="AI3089" s="77"/>
      <c r="AJ3089" s="77"/>
      <c r="AK3089" s="77"/>
      <c r="AL3089" s="77"/>
      <c r="AM3089" s="77"/>
      <c r="AN3089" s="77"/>
      <c r="AO3089" s="77"/>
      <c r="AP3089" s="77"/>
      <c r="AQ3089" s="77"/>
      <c r="AR3089" s="77"/>
      <c r="AS3089" s="77"/>
      <c r="AT3089" s="77"/>
      <c r="AU3089" s="77"/>
      <c r="AV3089" s="83" t="str">
        <f>HYPERLINK("https://pbs.twimg.com/profile_images/1635131764719992832/Yb-VPfkt_normal.jpg")</f>
        <v>https://pbs.twimg.com/profile_images/1635131764719992832/Yb-VPfkt_normal.jpg</v>
      </c>
      <c r="AW3089" s="80" t="s">
        <v>18836</v>
      </c>
      <c r="AX3089" s="80" t="s">
        <v>20090</v>
      </c>
      <c r="AY3089" s="80" t="s">
        <v>20335</v>
      </c>
      <c r="AZ3089" s="80" t="s">
        <v>20438</v>
      </c>
      <c r="BA3089" s="80" t="s">
        <v>20380</v>
      </c>
      <c r="BB3089" s="80" t="s">
        <v>20380</v>
      </c>
      <c r="BC3089" s="80" t="s">
        <v>20438</v>
      </c>
      <c r="BD3089" s="77">
        <v>159864382</v>
      </c>
      <c r="BE3089" s="77"/>
      <c r="BF3089" s="77"/>
      <c r="BG3089" s="77"/>
      <c r="BH3089" s="77"/>
      <c r="BI3089" s="77"/>
    </row>
    <row r="3090" spans="1:61" x14ac:dyDescent="0.25">
      <c r="A3090" s="62" t="s">
        <v>1225</v>
      </c>
      <c r="B3090" s="62" t="s">
        <v>1999</v>
      </c>
      <c r="C3090" s="63"/>
      <c r="D3090" s="64"/>
      <c r="E3090" s="65"/>
      <c r="F3090" s="66"/>
      <c r="G3090" s="63"/>
      <c r="H3090" s="67"/>
      <c r="I3090" s="68"/>
      <c r="J3090" s="68"/>
      <c r="K3090" s="32"/>
      <c r="L3090" s="75">
        <v>3090</v>
      </c>
      <c r="M3090" s="75"/>
      <c r="N3090" s="70"/>
      <c r="O3090" s="77" t="s">
        <v>2079</v>
      </c>
      <c r="P3090" s="79">
        <v>45166.75236111111</v>
      </c>
      <c r="Q3090" s="77" t="s">
        <v>4813</v>
      </c>
      <c r="R3090" s="77">
        <v>1</v>
      </c>
      <c r="S3090" s="77">
        <v>2</v>
      </c>
      <c r="T3090" s="77">
        <v>0</v>
      </c>
      <c r="U3090" s="77">
        <v>0</v>
      </c>
      <c r="V3090" s="77">
        <v>155</v>
      </c>
      <c r="W3090" s="80" t="s">
        <v>5884</v>
      </c>
      <c r="X3090" s="77"/>
      <c r="Y3090" s="77"/>
      <c r="Z3090" s="77" t="s">
        <v>9005</v>
      </c>
      <c r="AA3090" s="77"/>
      <c r="AB3090" s="77"/>
      <c r="AC3090" s="80" t="s">
        <v>10542</v>
      </c>
      <c r="AD3090" s="77" t="s">
        <v>10620</v>
      </c>
      <c r="AE3090" s="83" t="str">
        <f>HYPERLINK("https://twitter.com/carobiedermann/status/1696221962886848894")</f>
        <v>https://twitter.com/carobiedermann/status/1696221962886848894</v>
      </c>
      <c r="AF3090" s="79">
        <v>45166.75236111111</v>
      </c>
      <c r="AG3090" s="85">
        <v>45166</v>
      </c>
      <c r="AH3090" s="80" t="s">
        <v>13320</v>
      </c>
      <c r="AI3090" s="77"/>
      <c r="AJ3090" s="77"/>
      <c r="AK3090" s="77"/>
      <c r="AL3090" s="77"/>
      <c r="AM3090" s="77"/>
      <c r="AN3090" s="77"/>
      <c r="AO3090" s="77"/>
      <c r="AP3090" s="77"/>
      <c r="AQ3090" s="77"/>
      <c r="AR3090" s="77"/>
      <c r="AS3090" s="77"/>
      <c r="AT3090" s="77"/>
      <c r="AU3090" s="77"/>
      <c r="AV3090" s="83" t="str">
        <f>HYPERLINK("https://pbs.twimg.com/profile_images/1635131764719992832/Yb-VPfkt_normal.jpg")</f>
        <v>https://pbs.twimg.com/profile_images/1635131764719992832/Yb-VPfkt_normal.jpg</v>
      </c>
      <c r="AW3090" s="80" t="s">
        <v>18836</v>
      </c>
      <c r="AX3090" s="80" t="s">
        <v>20090</v>
      </c>
      <c r="AY3090" s="80" t="s">
        <v>20335</v>
      </c>
      <c r="AZ3090" s="80" t="s">
        <v>20438</v>
      </c>
      <c r="BA3090" s="80" t="s">
        <v>20380</v>
      </c>
      <c r="BB3090" s="80" t="s">
        <v>20380</v>
      </c>
      <c r="BC3090" s="80" t="s">
        <v>20438</v>
      </c>
      <c r="BD3090" s="77">
        <v>159864382</v>
      </c>
      <c r="BE3090" s="77"/>
      <c r="BF3090" s="77"/>
      <c r="BG3090" s="77"/>
      <c r="BH3090" s="77"/>
      <c r="BI3090" s="77"/>
    </row>
    <row r="3091" spans="1:61" x14ac:dyDescent="0.25">
      <c r="A3091" s="62" t="s">
        <v>1225</v>
      </c>
      <c r="B3091" s="62" t="s">
        <v>1810</v>
      </c>
      <c r="C3091" s="63"/>
      <c r="D3091" s="64"/>
      <c r="E3091" s="65"/>
      <c r="F3091" s="66"/>
      <c r="G3091" s="63"/>
      <c r="H3091" s="67"/>
      <c r="I3091" s="68"/>
      <c r="J3091" s="68"/>
      <c r="K3091" s="32"/>
      <c r="L3091" s="75">
        <v>3091</v>
      </c>
      <c r="M3091" s="75"/>
      <c r="N3091" s="70"/>
      <c r="O3091" s="77" t="s">
        <v>2079</v>
      </c>
      <c r="P3091" s="79">
        <v>45166.75236111111</v>
      </c>
      <c r="Q3091" s="77" t="s">
        <v>4813</v>
      </c>
      <c r="R3091" s="77">
        <v>1</v>
      </c>
      <c r="S3091" s="77">
        <v>2</v>
      </c>
      <c r="T3091" s="77">
        <v>0</v>
      </c>
      <c r="U3091" s="77">
        <v>0</v>
      </c>
      <c r="V3091" s="77">
        <v>155</v>
      </c>
      <c r="W3091" s="80" t="s">
        <v>5884</v>
      </c>
      <c r="X3091" s="77"/>
      <c r="Y3091" s="77"/>
      <c r="Z3091" s="77" t="s">
        <v>9005</v>
      </c>
      <c r="AA3091" s="77"/>
      <c r="AB3091" s="77"/>
      <c r="AC3091" s="80" t="s">
        <v>10542</v>
      </c>
      <c r="AD3091" s="77" t="s">
        <v>10620</v>
      </c>
      <c r="AE3091" s="83" t="str">
        <f>HYPERLINK("https://twitter.com/carobiedermann/status/1696221962886848894")</f>
        <v>https://twitter.com/carobiedermann/status/1696221962886848894</v>
      </c>
      <c r="AF3091" s="79">
        <v>45166.75236111111</v>
      </c>
      <c r="AG3091" s="85">
        <v>45166</v>
      </c>
      <c r="AH3091" s="80" t="s">
        <v>13320</v>
      </c>
      <c r="AI3091" s="77"/>
      <c r="AJ3091" s="77"/>
      <c r="AK3091" s="77"/>
      <c r="AL3091" s="77"/>
      <c r="AM3091" s="77"/>
      <c r="AN3091" s="77"/>
      <c r="AO3091" s="77"/>
      <c r="AP3091" s="77"/>
      <c r="AQ3091" s="77"/>
      <c r="AR3091" s="77"/>
      <c r="AS3091" s="77"/>
      <c r="AT3091" s="77"/>
      <c r="AU3091" s="77"/>
      <c r="AV3091" s="83" t="str">
        <f>HYPERLINK("https://pbs.twimg.com/profile_images/1635131764719992832/Yb-VPfkt_normal.jpg")</f>
        <v>https://pbs.twimg.com/profile_images/1635131764719992832/Yb-VPfkt_normal.jpg</v>
      </c>
      <c r="AW3091" s="80" t="s">
        <v>18836</v>
      </c>
      <c r="AX3091" s="80" t="s">
        <v>20090</v>
      </c>
      <c r="AY3091" s="80" t="s">
        <v>20335</v>
      </c>
      <c r="AZ3091" s="80" t="s">
        <v>20438</v>
      </c>
      <c r="BA3091" s="80" t="s">
        <v>20380</v>
      </c>
      <c r="BB3091" s="80" t="s">
        <v>20380</v>
      </c>
      <c r="BC3091" s="80" t="s">
        <v>20438</v>
      </c>
      <c r="BD3091" s="77">
        <v>159864382</v>
      </c>
      <c r="BE3091" s="77"/>
      <c r="BF3091" s="77"/>
      <c r="BG3091" s="77"/>
      <c r="BH3091" s="77"/>
      <c r="BI3091" s="77"/>
    </row>
    <row r="3092" spans="1:61" x14ac:dyDescent="0.25">
      <c r="A3092" s="62" t="s">
        <v>1225</v>
      </c>
      <c r="B3092" s="62" t="s">
        <v>1999</v>
      </c>
      <c r="C3092" s="63"/>
      <c r="D3092" s="64"/>
      <c r="E3092" s="65"/>
      <c r="F3092" s="66"/>
      <c r="G3092" s="63"/>
      <c r="H3092" s="67"/>
      <c r="I3092" s="68"/>
      <c r="J3092" s="68"/>
      <c r="K3092" s="32"/>
      <c r="L3092" s="75">
        <v>3092</v>
      </c>
      <c r="M3092" s="75"/>
      <c r="N3092" s="70"/>
      <c r="O3092" s="77" t="s">
        <v>2079</v>
      </c>
      <c r="P3092" s="79">
        <v>45166.75236111111</v>
      </c>
      <c r="Q3092" s="77" t="s">
        <v>4813</v>
      </c>
      <c r="R3092" s="77">
        <v>1</v>
      </c>
      <c r="S3092" s="77">
        <v>2</v>
      </c>
      <c r="T3092" s="77">
        <v>0</v>
      </c>
      <c r="U3092" s="77">
        <v>0</v>
      </c>
      <c r="V3092" s="77">
        <v>155</v>
      </c>
      <c r="W3092" s="80" t="s">
        <v>5884</v>
      </c>
      <c r="X3092" s="77"/>
      <c r="Y3092" s="77"/>
      <c r="Z3092" s="77" t="s">
        <v>9005</v>
      </c>
      <c r="AA3092" s="77"/>
      <c r="AB3092" s="77"/>
      <c r="AC3092" s="80" t="s">
        <v>10542</v>
      </c>
      <c r="AD3092" s="77" t="s">
        <v>10620</v>
      </c>
      <c r="AE3092" s="83" t="str">
        <f>HYPERLINK("https://twitter.com/carobiedermann/status/1696221962886848894")</f>
        <v>https://twitter.com/carobiedermann/status/1696221962886848894</v>
      </c>
      <c r="AF3092" s="79">
        <v>45166.75236111111</v>
      </c>
      <c r="AG3092" s="85">
        <v>45166</v>
      </c>
      <c r="AH3092" s="80" t="s">
        <v>13320</v>
      </c>
      <c r="AI3092" s="77"/>
      <c r="AJ3092" s="77"/>
      <c r="AK3092" s="77"/>
      <c r="AL3092" s="77"/>
      <c r="AM3092" s="77"/>
      <c r="AN3092" s="77"/>
      <c r="AO3092" s="77"/>
      <c r="AP3092" s="77"/>
      <c r="AQ3092" s="77"/>
      <c r="AR3092" s="77"/>
      <c r="AS3092" s="77"/>
      <c r="AT3092" s="77"/>
      <c r="AU3092" s="77"/>
      <c r="AV3092" s="83" t="str">
        <f>HYPERLINK("https://pbs.twimg.com/profile_images/1635131764719992832/Yb-VPfkt_normal.jpg")</f>
        <v>https://pbs.twimg.com/profile_images/1635131764719992832/Yb-VPfkt_normal.jpg</v>
      </c>
      <c r="AW3092" s="80" t="s">
        <v>18836</v>
      </c>
      <c r="AX3092" s="80" t="s">
        <v>20090</v>
      </c>
      <c r="AY3092" s="80" t="s">
        <v>20335</v>
      </c>
      <c r="AZ3092" s="80" t="s">
        <v>20438</v>
      </c>
      <c r="BA3092" s="80" t="s">
        <v>20380</v>
      </c>
      <c r="BB3092" s="80" t="s">
        <v>20380</v>
      </c>
      <c r="BC3092" s="80" t="s">
        <v>20438</v>
      </c>
      <c r="BD3092" s="77">
        <v>159864382</v>
      </c>
      <c r="BE3092" s="77"/>
      <c r="BF3092" s="77"/>
      <c r="BG3092" s="77"/>
      <c r="BH3092" s="77"/>
      <c r="BI3092" s="77"/>
    </row>
    <row r="3093" spans="1:61" x14ac:dyDescent="0.25">
      <c r="A3093" s="62" t="s">
        <v>1225</v>
      </c>
      <c r="B3093" s="62" t="s">
        <v>1225</v>
      </c>
      <c r="C3093" s="63"/>
      <c r="D3093" s="64"/>
      <c r="E3093" s="65"/>
      <c r="F3093" s="66"/>
      <c r="G3093" s="63"/>
      <c r="H3093" s="67"/>
      <c r="I3093" s="68"/>
      <c r="J3093" s="68"/>
      <c r="K3093" s="32"/>
      <c r="L3093" s="75">
        <v>3093</v>
      </c>
      <c r="M3093" s="75"/>
      <c r="N3093" s="70"/>
      <c r="O3093" s="77" t="s">
        <v>2078</v>
      </c>
      <c r="P3093" s="79">
        <v>45166.75236111111</v>
      </c>
      <c r="Q3093" s="77" t="s">
        <v>4813</v>
      </c>
      <c r="R3093" s="77">
        <v>1</v>
      </c>
      <c r="S3093" s="77">
        <v>2</v>
      </c>
      <c r="T3093" s="77">
        <v>0</v>
      </c>
      <c r="U3093" s="77">
        <v>0</v>
      </c>
      <c r="V3093" s="77">
        <v>155</v>
      </c>
      <c r="W3093" s="80" t="s">
        <v>5884</v>
      </c>
      <c r="X3093" s="77"/>
      <c r="Y3093" s="77"/>
      <c r="Z3093" s="77" t="s">
        <v>9005</v>
      </c>
      <c r="AA3093" s="77"/>
      <c r="AB3093" s="77"/>
      <c r="AC3093" s="80" t="s">
        <v>10542</v>
      </c>
      <c r="AD3093" s="77" t="s">
        <v>10620</v>
      </c>
      <c r="AE3093" s="83" t="str">
        <f>HYPERLINK("https://twitter.com/carobiedermann/status/1696221962886848894")</f>
        <v>https://twitter.com/carobiedermann/status/1696221962886848894</v>
      </c>
      <c r="AF3093" s="79">
        <v>45166.75236111111</v>
      </c>
      <c r="AG3093" s="85">
        <v>45166</v>
      </c>
      <c r="AH3093" s="80" t="s">
        <v>13320</v>
      </c>
      <c r="AI3093" s="77"/>
      <c r="AJ3093" s="77"/>
      <c r="AK3093" s="77"/>
      <c r="AL3093" s="77"/>
      <c r="AM3093" s="77"/>
      <c r="AN3093" s="77"/>
      <c r="AO3093" s="77"/>
      <c r="AP3093" s="77"/>
      <c r="AQ3093" s="77"/>
      <c r="AR3093" s="77"/>
      <c r="AS3093" s="77"/>
      <c r="AT3093" s="77"/>
      <c r="AU3093" s="77"/>
      <c r="AV3093" s="83" t="str">
        <f>HYPERLINK("https://pbs.twimg.com/profile_images/1635131764719992832/Yb-VPfkt_normal.jpg")</f>
        <v>https://pbs.twimg.com/profile_images/1635131764719992832/Yb-VPfkt_normal.jpg</v>
      </c>
      <c r="AW3093" s="80" t="s">
        <v>18836</v>
      </c>
      <c r="AX3093" s="80" t="s">
        <v>20090</v>
      </c>
      <c r="AY3093" s="80" t="s">
        <v>20335</v>
      </c>
      <c r="AZ3093" s="80" t="s">
        <v>20438</v>
      </c>
      <c r="BA3093" s="80" t="s">
        <v>20380</v>
      </c>
      <c r="BB3093" s="80" t="s">
        <v>20380</v>
      </c>
      <c r="BC3093" s="80" t="s">
        <v>20438</v>
      </c>
      <c r="BD3093" s="77">
        <v>159864382</v>
      </c>
      <c r="BE3093" s="77"/>
      <c r="BF3093" s="77"/>
      <c r="BG3093" s="77"/>
      <c r="BH3093" s="77"/>
      <c r="BI3093" s="77"/>
    </row>
    <row r="3094" spans="1:61" x14ac:dyDescent="0.25">
      <c r="A3094" s="62" t="s">
        <v>1226</v>
      </c>
      <c r="B3094" s="62" t="s">
        <v>1655</v>
      </c>
      <c r="C3094" s="63"/>
      <c r="D3094" s="64"/>
      <c r="E3094" s="65"/>
      <c r="F3094" s="66"/>
      <c r="G3094" s="63"/>
      <c r="H3094" s="67"/>
      <c r="I3094" s="68"/>
      <c r="J3094" s="68"/>
      <c r="K3094" s="32"/>
      <c r="L3094" s="75">
        <v>3094</v>
      </c>
      <c r="M3094" s="75"/>
      <c r="N3094" s="70"/>
      <c r="O3094" s="77" t="s">
        <v>2083</v>
      </c>
      <c r="P3094" s="79">
        <v>45191.086516203701</v>
      </c>
      <c r="Q3094" s="77" t="s">
        <v>2120</v>
      </c>
      <c r="R3094" s="77">
        <v>25</v>
      </c>
      <c r="S3094" s="77">
        <v>0</v>
      </c>
      <c r="T3094" s="77">
        <v>0</v>
      </c>
      <c r="U3094" s="77">
        <v>0</v>
      </c>
      <c r="V3094" s="77"/>
      <c r="W3094" s="80" t="s">
        <v>5917</v>
      </c>
      <c r="X3094" s="77"/>
      <c r="Y3094" s="77"/>
      <c r="Z3094" s="77" t="s">
        <v>1655</v>
      </c>
      <c r="AA3094" s="77"/>
      <c r="AB3094" s="77"/>
      <c r="AC3094" s="80" t="s">
        <v>10540</v>
      </c>
      <c r="AD3094" s="77" t="s">
        <v>10617</v>
      </c>
      <c r="AE3094" s="83" t="str">
        <f>HYPERLINK("https://twitter.com/mauroalveszl/status/1705040364724158907")</f>
        <v>https://twitter.com/mauroalveszl/status/1705040364724158907</v>
      </c>
      <c r="AF3094" s="79">
        <v>45191.086516203701</v>
      </c>
      <c r="AG3094" s="85">
        <v>45191</v>
      </c>
      <c r="AH3094" s="80" t="s">
        <v>13321</v>
      </c>
      <c r="AI3094" s="77"/>
      <c r="AJ3094" s="77"/>
      <c r="AK3094" s="77"/>
      <c r="AL3094" s="77"/>
      <c r="AM3094" s="77"/>
      <c r="AN3094" s="77"/>
      <c r="AO3094" s="77"/>
      <c r="AP3094" s="77"/>
      <c r="AQ3094" s="77"/>
      <c r="AR3094" s="77"/>
      <c r="AS3094" s="77"/>
      <c r="AT3094" s="77"/>
      <c r="AU3094" s="77"/>
      <c r="AV3094" s="83" t="str">
        <f>HYPERLINK("https://pbs.twimg.com/profile_images/1340606718787641344/maoJz74k_normal.jpg")</f>
        <v>https://pbs.twimg.com/profile_images/1340606718787641344/maoJz74k_normal.jpg</v>
      </c>
      <c r="AW3094" s="80" t="s">
        <v>18837</v>
      </c>
      <c r="AX3094" s="80" t="s">
        <v>18837</v>
      </c>
      <c r="AY3094" s="77"/>
      <c r="AZ3094" s="80" t="s">
        <v>20380</v>
      </c>
      <c r="BA3094" s="80" t="s">
        <v>20380</v>
      </c>
      <c r="BB3094" s="80" t="s">
        <v>19844</v>
      </c>
      <c r="BC3094" s="80" t="s">
        <v>19844</v>
      </c>
      <c r="BD3094" s="80" t="s">
        <v>20988</v>
      </c>
      <c r="BE3094" s="77"/>
      <c r="BF3094" s="77"/>
      <c r="BG3094" s="77"/>
      <c r="BH3094" s="77"/>
      <c r="BI3094" s="77"/>
    </row>
    <row r="3095" spans="1:61" x14ac:dyDescent="0.25">
      <c r="A3095" s="62" t="s">
        <v>1227</v>
      </c>
      <c r="B3095" s="62" t="s">
        <v>1227</v>
      </c>
      <c r="C3095" s="63"/>
      <c r="D3095" s="64"/>
      <c r="E3095" s="65"/>
      <c r="F3095" s="66"/>
      <c r="G3095" s="63"/>
      <c r="H3095" s="67"/>
      <c r="I3095" s="68"/>
      <c r="J3095" s="68"/>
      <c r="K3095" s="32"/>
      <c r="L3095" s="75">
        <v>3095</v>
      </c>
      <c r="M3095" s="75"/>
      <c r="N3095" s="70"/>
      <c r="O3095" s="77" t="s">
        <v>179</v>
      </c>
      <c r="P3095" s="79">
        <v>45146.715775462966</v>
      </c>
      <c r="Q3095" s="77" t="s">
        <v>4814</v>
      </c>
      <c r="R3095" s="77">
        <v>0</v>
      </c>
      <c r="S3095" s="77">
        <v>1</v>
      </c>
      <c r="T3095" s="77">
        <v>0</v>
      </c>
      <c r="U3095" s="77">
        <v>0</v>
      </c>
      <c r="V3095" s="77">
        <v>61</v>
      </c>
      <c r="W3095" s="80" t="s">
        <v>6887</v>
      </c>
      <c r="X3095" s="83" t="str">
        <f>HYPERLINK("https://www.linkedin.com/feed/update/urn:li:ugcPost:7094724340843225088/")</f>
        <v>https://www.linkedin.com/feed/update/urn:li:ugcPost:7094724340843225088/</v>
      </c>
      <c r="Y3095" s="77" t="s">
        <v>8669</v>
      </c>
      <c r="Z3095" s="77"/>
      <c r="AA3095" s="77"/>
      <c r="AB3095" s="77"/>
      <c r="AC3095" s="80" t="s">
        <v>10541</v>
      </c>
      <c r="AD3095" s="77" t="s">
        <v>10617</v>
      </c>
      <c r="AE3095" s="83" t="str">
        <f>HYPERLINK("https://twitter.com/gft_br/status/1688960947400978456")</f>
        <v>https://twitter.com/gft_br/status/1688960947400978456</v>
      </c>
      <c r="AF3095" s="79">
        <v>45146.715775462966</v>
      </c>
      <c r="AG3095" s="85">
        <v>45146</v>
      </c>
      <c r="AH3095" s="80" t="s">
        <v>13322</v>
      </c>
      <c r="AI3095" s="77" t="b">
        <v>0</v>
      </c>
      <c r="AJ3095" s="77"/>
      <c r="AK3095" s="77"/>
      <c r="AL3095" s="77"/>
      <c r="AM3095" s="77"/>
      <c r="AN3095" s="77"/>
      <c r="AO3095" s="77"/>
      <c r="AP3095" s="77"/>
      <c r="AQ3095" s="77"/>
      <c r="AR3095" s="77"/>
      <c r="AS3095" s="77"/>
      <c r="AT3095" s="77"/>
      <c r="AU3095" s="77"/>
      <c r="AV3095" s="83" t="str">
        <f>HYPERLINK("https://pbs.twimg.com/profile_images/1318888186727354368/rrZDSJfu_normal.jpg")</f>
        <v>https://pbs.twimg.com/profile_images/1318888186727354368/rrZDSJfu_normal.jpg</v>
      </c>
      <c r="AW3095" s="80" t="s">
        <v>18838</v>
      </c>
      <c r="AX3095" s="80" t="s">
        <v>18838</v>
      </c>
      <c r="AY3095" s="77"/>
      <c r="AZ3095" s="80" t="s">
        <v>20380</v>
      </c>
      <c r="BA3095" s="80" t="s">
        <v>20380</v>
      </c>
      <c r="BB3095" s="80" t="s">
        <v>20380</v>
      </c>
      <c r="BC3095" s="80" t="s">
        <v>18838</v>
      </c>
      <c r="BD3095" s="77">
        <v>179889736</v>
      </c>
      <c r="BE3095" s="77"/>
      <c r="BF3095" s="77"/>
      <c r="BG3095" s="77"/>
      <c r="BH3095" s="77"/>
      <c r="BI3095" s="77"/>
    </row>
    <row r="3096" spans="1:61" x14ac:dyDescent="0.25">
      <c r="A3096" s="62" t="s">
        <v>1228</v>
      </c>
      <c r="B3096" s="62" t="s">
        <v>2000</v>
      </c>
      <c r="C3096" s="63"/>
      <c r="D3096" s="64"/>
      <c r="E3096" s="65"/>
      <c r="F3096" s="66"/>
      <c r="G3096" s="63"/>
      <c r="H3096" s="67"/>
      <c r="I3096" s="68"/>
      <c r="J3096" s="68"/>
      <c r="K3096" s="32"/>
      <c r="L3096" s="75">
        <v>3096</v>
      </c>
      <c r="M3096" s="75"/>
      <c r="N3096" s="70"/>
      <c r="O3096" s="77" t="s">
        <v>2081</v>
      </c>
      <c r="P3096" s="79">
        <v>45101.582905092589</v>
      </c>
      <c r="Q3096" s="77" t="s">
        <v>4815</v>
      </c>
      <c r="R3096" s="77">
        <v>5</v>
      </c>
      <c r="S3096" s="77">
        <v>10</v>
      </c>
      <c r="T3096" s="77">
        <v>1</v>
      </c>
      <c r="U3096" s="77">
        <v>1</v>
      </c>
      <c r="V3096" s="77">
        <v>1200</v>
      </c>
      <c r="W3096" s="80" t="s">
        <v>7814</v>
      </c>
      <c r="X3096" s="77"/>
      <c r="Y3096" s="77"/>
      <c r="Z3096" s="77" t="s">
        <v>2000</v>
      </c>
      <c r="AA3096" s="77" t="s">
        <v>10054</v>
      </c>
      <c r="AB3096" s="77" t="s">
        <v>10534</v>
      </c>
      <c r="AC3096" s="80" t="s">
        <v>10540</v>
      </c>
      <c r="AD3096" s="77" t="s">
        <v>10617</v>
      </c>
      <c r="AE3096" s="83" t="str">
        <f>HYPERLINK("https://twitter.com/ocafezinho/status/1672605343182987264")</f>
        <v>https://twitter.com/ocafezinho/status/1672605343182987264</v>
      </c>
      <c r="AF3096" s="79">
        <v>45101.582905092589</v>
      </c>
      <c r="AG3096" s="85">
        <v>45101</v>
      </c>
      <c r="AH3096" s="80" t="s">
        <v>13323</v>
      </c>
      <c r="AI3096" s="77" t="b">
        <v>0</v>
      </c>
      <c r="AJ3096" s="77"/>
      <c r="AK3096" s="77"/>
      <c r="AL3096" s="77"/>
      <c r="AM3096" s="77"/>
      <c r="AN3096" s="77"/>
      <c r="AO3096" s="77"/>
      <c r="AP3096" s="77"/>
      <c r="AQ3096" s="77" t="s">
        <v>15535</v>
      </c>
      <c r="AR3096" s="77">
        <v>17863</v>
      </c>
      <c r="AS3096" s="77"/>
      <c r="AT3096" s="77"/>
      <c r="AU3096" s="77"/>
      <c r="AV3096" s="83" t="str">
        <f>HYPERLINK("https://pbs.twimg.com/ext_tw_video_thumb/1672605287352508416/pu/img/fiVn81Uu2Bd9nVy4.jpg")</f>
        <v>https://pbs.twimg.com/ext_tw_video_thumb/1672605287352508416/pu/img/fiVn81Uu2Bd9nVy4.jpg</v>
      </c>
      <c r="AW3096" s="80" t="s">
        <v>18839</v>
      </c>
      <c r="AX3096" s="80" t="s">
        <v>18839</v>
      </c>
      <c r="AY3096" s="77"/>
      <c r="AZ3096" s="80" t="s">
        <v>20380</v>
      </c>
      <c r="BA3096" s="80" t="s">
        <v>20380</v>
      </c>
      <c r="BB3096" s="80" t="s">
        <v>20380</v>
      </c>
      <c r="BC3096" s="80" t="s">
        <v>18839</v>
      </c>
      <c r="BD3096" s="77">
        <v>17477363</v>
      </c>
      <c r="BE3096" s="77"/>
      <c r="BF3096" s="77"/>
      <c r="BG3096" s="77"/>
      <c r="BH3096" s="77"/>
      <c r="BI3096" s="77"/>
    </row>
    <row r="3097" spans="1:61" x14ac:dyDescent="0.25">
      <c r="A3097" s="62" t="s">
        <v>1228</v>
      </c>
      <c r="B3097" s="62" t="s">
        <v>1624</v>
      </c>
      <c r="C3097" s="63"/>
      <c r="D3097" s="64"/>
      <c r="E3097" s="65"/>
      <c r="F3097" s="66"/>
      <c r="G3097" s="63"/>
      <c r="H3097" s="67"/>
      <c r="I3097" s="68"/>
      <c r="J3097" s="68"/>
      <c r="K3097" s="32"/>
      <c r="L3097" s="75">
        <v>3097</v>
      </c>
      <c r="M3097" s="75"/>
      <c r="N3097" s="70"/>
      <c r="O3097" s="77" t="s">
        <v>2081</v>
      </c>
      <c r="P3097" s="79">
        <v>45100.949305555558</v>
      </c>
      <c r="Q3097" s="77" t="s">
        <v>4816</v>
      </c>
      <c r="R3097" s="77">
        <v>6</v>
      </c>
      <c r="S3097" s="77">
        <v>9</v>
      </c>
      <c r="T3097" s="77">
        <v>0</v>
      </c>
      <c r="U3097" s="77">
        <v>2</v>
      </c>
      <c r="V3097" s="77">
        <v>1073</v>
      </c>
      <c r="W3097" s="80" t="s">
        <v>7815</v>
      </c>
      <c r="X3097" s="77"/>
      <c r="Y3097" s="77"/>
      <c r="Z3097" s="77" t="s">
        <v>1624</v>
      </c>
      <c r="AA3097" s="77" t="s">
        <v>10055</v>
      </c>
      <c r="AB3097" s="77" t="s">
        <v>10534</v>
      </c>
      <c r="AC3097" s="80" t="s">
        <v>10540</v>
      </c>
      <c r="AD3097" s="77" t="s">
        <v>10617</v>
      </c>
      <c r="AE3097" s="83" t="str">
        <f>HYPERLINK("https://twitter.com/ocafezinho/status/1672375730787741696")</f>
        <v>https://twitter.com/ocafezinho/status/1672375730787741696</v>
      </c>
      <c r="AF3097" s="79">
        <v>45100.949305555558</v>
      </c>
      <c r="AG3097" s="85">
        <v>45100</v>
      </c>
      <c r="AH3097" s="80" t="s">
        <v>13324</v>
      </c>
      <c r="AI3097" s="77" t="b">
        <v>0</v>
      </c>
      <c r="AJ3097" s="77"/>
      <c r="AK3097" s="77"/>
      <c r="AL3097" s="77"/>
      <c r="AM3097" s="77"/>
      <c r="AN3097" s="77"/>
      <c r="AO3097" s="77"/>
      <c r="AP3097" s="77"/>
      <c r="AQ3097" s="77" t="s">
        <v>15536</v>
      </c>
      <c r="AR3097" s="77">
        <v>56160</v>
      </c>
      <c r="AS3097" s="77"/>
      <c r="AT3097" s="77"/>
      <c r="AU3097" s="77"/>
      <c r="AV3097" s="83" t="str">
        <f>HYPERLINK("https://pbs.twimg.com/ext_tw_video_thumb/1672375650575962113/pu/img/LCBFAbjsQcYcMNvb.jpg")</f>
        <v>https://pbs.twimg.com/ext_tw_video_thumb/1672375650575962113/pu/img/LCBFAbjsQcYcMNvb.jpg</v>
      </c>
      <c r="AW3097" s="80" t="s">
        <v>18840</v>
      </c>
      <c r="AX3097" s="80" t="s">
        <v>18840</v>
      </c>
      <c r="AY3097" s="77"/>
      <c r="AZ3097" s="80" t="s">
        <v>20380</v>
      </c>
      <c r="BA3097" s="80" t="s">
        <v>20380</v>
      </c>
      <c r="BB3097" s="80" t="s">
        <v>20380</v>
      </c>
      <c r="BC3097" s="80" t="s">
        <v>18840</v>
      </c>
      <c r="BD3097" s="77">
        <v>17477363</v>
      </c>
      <c r="BE3097" s="77"/>
      <c r="BF3097" s="77"/>
      <c r="BG3097" s="77"/>
      <c r="BH3097" s="77"/>
      <c r="BI3097" s="77"/>
    </row>
    <row r="3098" spans="1:61" x14ac:dyDescent="0.25">
      <c r="A3098" s="62" t="s">
        <v>1229</v>
      </c>
      <c r="B3098" s="62" t="s">
        <v>2001</v>
      </c>
      <c r="C3098" s="63"/>
      <c r="D3098" s="64"/>
      <c r="E3098" s="65"/>
      <c r="F3098" s="66"/>
      <c r="G3098" s="63"/>
      <c r="H3098" s="67"/>
      <c r="I3098" s="68"/>
      <c r="J3098" s="68"/>
      <c r="K3098" s="32"/>
      <c r="L3098" s="75">
        <v>3098</v>
      </c>
      <c r="M3098" s="75"/>
      <c r="N3098" s="70"/>
      <c r="O3098" s="77" t="s">
        <v>2081</v>
      </c>
      <c r="P3098" s="79">
        <v>45074.890138888892</v>
      </c>
      <c r="Q3098" s="77" t="s">
        <v>4817</v>
      </c>
      <c r="R3098" s="77">
        <v>0</v>
      </c>
      <c r="S3098" s="77">
        <v>0</v>
      </c>
      <c r="T3098" s="77">
        <v>0</v>
      </c>
      <c r="U3098" s="77">
        <v>0</v>
      </c>
      <c r="V3098" s="77">
        <v>21</v>
      </c>
      <c r="W3098" s="80" t="s">
        <v>7816</v>
      </c>
      <c r="X3098" s="83" t="str">
        <f>HYPERLINK("https://youtu.be/PmTywDpI5bg")</f>
        <v>https://youtu.be/PmTywDpI5bg</v>
      </c>
      <c r="Y3098" s="77" t="s">
        <v>8635</v>
      </c>
      <c r="Z3098" s="77" t="s">
        <v>9006</v>
      </c>
      <c r="AA3098" s="77"/>
      <c r="AB3098" s="77"/>
      <c r="AC3098" s="80" t="s">
        <v>10540</v>
      </c>
      <c r="AD3098" s="77" t="s">
        <v>10620</v>
      </c>
      <c r="AE3098" s="83" t="str">
        <f>HYPERLINK("https://twitter.com/flauzinoan70835/status/1662932205293772800")</f>
        <v>https://twitter.com/flauzinoan70835/status/1662932205293772800</v>
      </c>
      <c r="AF3098" s="79">
        <v>45074.890138888892</v>
      </c>
      <c r="AG3098" s="85">
        <v>45074</v>
      </c>
      <c r="AH3098" s="80" t="s">
        <v>13325</v>
      </c>
      <c r="AI3098" s="77" t="b">
        <v>0</v>
      </c>
      <c r="AJ3098" s="77"/>
      <c r="AK3098" s="77"/>
      <c r="AL3098" s="77"/>
      <c r="AM3098" s="77"/>
      <c r="AN3098" s="77"/>
      <c r="AO3098" s="77"/>
      <c r="AP3098" s="77"/>
      <c r="AQ3098" s="77"/>
      <c r="AR3098" s="77"/>
      <c r="AS3098" s="77"/>
      <c r="AT3098" s="77"/>
      <c r="AU3098" s="77"/>
      <c r="AV3098" s="83" t="str">
        <f>HYPERLINK("https://pbs.twimg.com/profile_images/1645750462883168259/77agndTG_normal.jpg")</f>
        <v>https://pbs.twimg.com/profile_images/1645750462883168259/77agndTG_normal.jpg</v>
      </c>
      <c r="AW3098" s="80" t="s">
        <v>18841</v>
      </c>
      <c r="AX3098" s="80" t="s">
        <v>18841</v>
      </c>
      <c r="AY3098" s="77"/>
      <c r="AZ3098" s="80" t="s">
        <v>20380</v>
      </c>
      <c r="BA3098" s="80" t="s">
        <v>20380</v>
      </c>
      <c r="BB3098" s="80" t="s">
        <v>20380</v>
      </c>
      <c r="BC3098" s="80" t="s">
        <v>18841</v>
      </c>
      <c r="BD3098" s="80" t="s">
        <v>20989</v>
      </c>
      <c r="BE3098" s="77"/>
      <c r="BF3098" s="77"/>
      <c r="BG3098" s="77"/>
      <c r="BH3098" s="77"/>
      <c r="BI3098" s="77"/>
    </row>
    <row r="3099" spans="1:61" x14ac:dyDescent="0.25">
      <c r="A3099" s="62" t="s">
        <v>1229</v>
      </c>
      <c r="B3099" s="62" t="s">
        <v>1681</v>
      </c>
      <c r="C3099" s="63"/>
      <c r="D3099" s="64"/>
      <c r="E3099" s="65"/>
      <c r="F3099" s="66"/>
      <c r="G3099" s="63"/>
      <c r="H3099" s="67"/>
      <c r="I3099" s="68"/>
      <c r="J3099" s="68"/>
      <c r="K3099" s="32"/>
      <c r="L3099" s="75">
        <v>3099</v>
      </c>
      <c r="M3099" s="75"/>
      <c r="N3099" s="70"/>
      <c r="O3099" s="77" t="s">
        <v>2081</v>
      </c>
      <c r="P3099" s="79">
        <v>45074.890138888892</v>
      </c>
      <c r="Q3099" s="77" t="s">
        <v>4817</v>
      </c>
      <c r="R3099" s="77">
        <v>0</v>
      </c>
      <c r="S3099" s="77">
        <v>0</v>
      </c>
      <c r="T3099" s="77">
        <v>0</v>
      </c>
      <c r="U3099" s="77">
        <v>0</v>
      </c>
      <c r="V3099" s="77">
        <v>21</v>
      </c>
      <c r="W3099" s="80" t="s">
        <v>7816</v>
      </c>
      <c r="X3099" s="83" t="str">
        <f>HYPERLINK("https://youtu.be/PmTywDpI5bg")</f>
        <v>https://youtu.be/PmTywDpI5bg</v>
      </c>
      <c r="Y3099" s="77" t="s">
        <v>8635</v>
      </c>
      <c r="Z3099" s="77" t="s">
        <v>9006</v>
      </c>
      <c r="AA3099" s="77"/>
      <c r="AB3099" s="77"/>
      <c r="AC3099" s="80" t="s">
        <v>10540</v>
      </c>
      <c r="AD3099" s="77" t="s">
        <v>10620</v>
      </c>
      <c r="AE3099" s="83" t="str">
        <f>HYPERLINK("https://twitter.com/flauzinoan70835/status/1662932205293772800")</f>
        <v>https://twitter.com/flauzinoan70835/status/1662932205293772800</v>
      </c>
      <c r="AF3099" s="79">
        <v>45074.890138888892</v>
      </c>
      <c r="AG3099" s="85">
        <v>45074</v>
      </c>
      <c r="AH3099" s="80" t="s">
        <v>13325</v>
      </c>
      <c r="AI3099" s="77" t="b">
        <v>0</v>
      </c>
      <c r="AJ3099" s="77"/>
      <c r="AK3099" s="77"/>
      <c r="AL3099" s="77"/>
      <c r="AM3099" s="77"/>
      <c r="AN3099" s="77"/>
      <c r="AO3099" s="77"/>
      <c r="AP3099" s="77"/>
      <c r="AQ3099" s="77"/>
      <c r="AR3099" s="77"/>
      <c r="AS3099" s="77"/>
      <c r="AT3099" s="77"/>
      <c r="AU3099" s="77"/>
      <c r="AV3099" s="83" t="str">
        <f>HYPERLINK("https://pbs.twimg.com/profile_images/1645750462883168259/77agndTG_normal.jpg")</f>
        <v>https://pbs.twimg.com/profile_images/1645750462883168259/77agndTG_normal.jpg</v>
      </c>
      <c r="AW3099" s="80" t="s">
        <v>18841</v>
      </c>
      <c r="AX3099" s="80" t="s">
        <v>18841</v>
      </c>
      <c r="AY3099" s="77"/>
      <c r="AZ3099" s="80" t="s">
        <v>20380</v>
      </c>
      <c r="BA3099" s="80" t="s">
        <v>20380</v>
      </c>
      <c r="BB3099" s="80" t="s">
        <v>20380</v>
      </c>
      <c r="BC3099" s="80" t="s">
        <v>18841</v>
      </c>
      <c r="BD3099" s="80" t="s">
        <v>20989</v>
      </c>
      <c r="BE3099" s="77"/>
      <c r="BF3099" s="77"/>
      <c r="BG3099" s="77"/>
      <c r="BH3099" s="77"/>
      <c r="BI3099" s="77"/>
    </row>
    <row r="3100" spans="1:61" x14ac:dyDescent="0.25">
      <c r="A3100" s="62" t="s">
        <v>1229</v>
      </c>
      <c r="B3100" s="62" t="s">
        <v>2002</v>
      </c>
      <c r="C3100" s="63"/>
      <c r="D3100" s="64"/>
      <c r="E3100" s="65"/>
      <c r="F3100" s="66"/>
      <c r="G3100" s="63"/>
      <c r="H3100" s="67"/>
      <c r="I3100" s="68"/>
      <c r="J3100" s="68"/>
      <c r="K3100" s="32"/>
      <c r="L3100" s="75">
        <v>3100</v>
      </c>
      <c r="M3100" s="75"/>
      <c r="N3100" s="70"/>
      <c r="O3100" s="77" t="s">
        <v>2081</v>
      </c>
      <c r="P3100" s="79">
        <v>45074.890138888892</v>
      </c>
      <c r="Q3100" s="77" t="s">
        <v>4817</v>
      </c>
      <c r="R3100" s="77">
        <v>0</v>
      </c>
      <c r="S3100" s="77">
        <v>0</v>
      </c>
      <c r="T3100" s="77">
        <v>0</v>
      </c>
      <c r="U3100" s="77">
        <v>0</v>
      </c>
      <c r="V3100" s="77">
        <v>21</v>
      </c>
      <c r="W3100" s="80" t="s">
        <v>7816</v>
      </c>
      <c r="X3100" s="83" t="str">
        <f>HYPERLINK("https://youtu.be/PmTywDpI5bg")</f>
        <v>https://youtu.be/PmTywDpI5bg</v>
      </c>
      <c r="Y3100" s="77" t="s">
        <v>8635</v>
      </c>
      <c r="Z3100" s="77" t="s">
        <v>9006</v>
      </c>
      <c r="AA3100" s="77"/>
      <c r="AB3100" s="77"/>
      <c r="AC3100" s="80" t="s">
        <v>10540</v>
      </c>
      <c r="AD3100" s="77" t="s">
        <v>10620</v>
      </c>
      <c r="AE3100" s="83" t="str">
        <f>HYPERLINK("https://twitter.com/flauzinoan70835/status/1662932205293772800")</f>
        <v>https://twitter.com/flauzinoan70835/status/1662932205293772800</v>
      </c>
      <c r="AF3100" s="79">
        <v>45074.890138888892</v>
      </c>
      <c r="AG3100" s="85">
        <v>45074</v>
      </c>
      <c r="AH3100" s="80" t="s">
        <v>13325</v>
      </c>
      <c r="AI3100" s="77" t="b">
        <v>0</v>
      </c>
      <c r="AJ3100" s="77"/>
      <c r="AK3100" s="77"/>
      <c r="AL3100" s="77"/>
      <c r="AM3100" s="77"/>
      <c r="AN3100" s="77"/>
      <c r="AO3100" s="77"/>
      <c r="AP3100" s="77"/>
      <c r="AQ3100" s="77"/>
      <c r="AR3100" s="77"/>
      <c r="AS3100" s="77"/>
      <c r="AT3100" s="77"/>
      <c r="AU3100" s="77"/>
      <c r="AV3100" s="83" t="str">
        <f>HYPERLINK("https://pbs.twimg.com/profile_images/1645750462883168259/77agndTG_normal.jpg")</f>
        <v>https://pbs.twimg.com/profile_images/1645750462883168259/77agndTG_normal.jpg</v>
      </c>
      <c r="AW3100" s="80" t="s">
        <v>18841</v>
      </c>
      <c r="AX3100" s="80" t="s">
        <v>18841</v>
      </c>
      <c r="AY3100" s="77"/>
      <c r="AZ3100" s="80" t="s">
        <v>20380</v>
      </c>
      <c r="BA3100" s="80" t="s">
        <v>20380</v>
      </c>
      <c r="BB3100" s="80" t="s">
        <v>20380</v>
      </c>
      <c r="BC3100" s="80" t="s">
        <v>18841</v>
      </c>
      <c r="BD3100" s="80" t="s">
        <v>20989</v>
      </c>
      <c r="BE3100" s="77"/>
      <c r="BF3100" s="77"/>
      <c r="BG3100" s="77"/>
      <c r="BH3100" s="77"/>
      <c r="BI3100" s="77"/>
    </row>
    <row r="3101" spans="1:61" x14ac:dyDescent="0.25">
      <c r="A3101" s="62" t="s">
        <v>1229</v>
      </c>
      <c r="B3101" s="62" t="s">
        <v>2003</v>
      </c>
      <c r="C3101" s="63"/>
      <c r="D3101" s="64"/>
      <c r="E3101" s="65"/>
      <c r="F3101" s="66"/>
      <c r="G3101" s="63"/>
      <c r="H3101" s="67"/>
      <c r="I3101" s="68"/>
      <c r="J3101" s="68"/>
      <c r="K3101" s="32"/>
      <c r="L3101" s="75">
        <v>3101</v>
      </c>
      <c r="M3101" s="75"/>
      <c r="N3101" s="70"/>
      <c r="O3101" s="77" t="s">
        <v>2081</v>
      </c>
      <c r="P3101" s="79">
        <v>45074.890138888892</v>
      </c>
      <c r="Q3101" s="77" t="s">
        <v>4817</v>
      </c>
      <c r="R3101" s="77">
        <v>0</v>
      </c>
      <c r="S3101" s="77">
        <v>0</v>
      </c>
      <c r="T3101" s="77">
        <v>0</v>
      </c>
      <c r="U3101" s="77">
        <v>0</v>
      </c>
      <c r="V3101" s="77">
        <v>21</v>
      </c>
      <c r="W3101" s="80" t="s">
        <v>7816</v>
      </c>
      <c r="X3101" s="83" t="str">
        <f>HYPERLINK("https://youtu.be/PmTywDpI5bg")</f>
        <v>https://youtu.be/PmTywDpI5bg</v>
      </c>
      <c r="Y3101" s="77" t="s">
        <v>8635</v>
      </c>
      <c r="Z3101" s="77" t="s">
        <v>9006</v>
      </c>
      <c r="AA3101" s="77"/>
      <c r="AB3101" s="77"/>
      <c r="AC3101" s="80" t="s">
        <v>10540</v>
      </c>
      <c r="AD3101" s="77" t="s">
        <v>10620</v>
      </c>
      <c r="AE3101" s="83" t="str">
        <f>HYPERLINK("https://twitter.com/flauzinoan70835/status/1662932205293772800")</f>
        <v>https://twitter.com/flauzinoan70835/status/1662932205293772800</v>
      </c>
      <c r="AF3101" s="79">
        <v>45074.890138888892</v>
      </c>
      <c r="AG3101" s="85">
        <v>45074</v>
      </c>
      <c r="AH3101" s="80" t="s">
        <v>13325</v>
      </c>
      <c r="AI3101" s="77" t="b">
        <v>0</v>
      </c>
      <c r="AJ3101" s="77"/>
      <c r="AK3101" s="77"/>
      <c r="AL3101" s="77"/>
      <c r="AM3101" s="77"/>
      <c r="AN3101" s="77"/>
      <c r="AO3101" s="77"/>
      <c r="AP3101" s="77"/>
      <c r="AQ3101" s="77"/>
      <c r="AR3101" s="77"/>
      <c r="AS3101" s="77"/>
      <c r="AT3101" s="77"/>
      <c r="AU3101" s="77"/>
      <c r="AV3101" s="83" t="str">
        <f>HYPERLINK("https://pbs.twimg.com/profile_images/1645750462883168259/77agndTG_normal.jpg")</f>
        <v>https://pbs.twimg.com/profile_images/1645750462883168259/77agndTG_normal.jpg</v>
      </c>
      <c r="AW3101" s="80" t="s">
        <v>18841</v>
      </c>
      <c r="AX3101" s="80" t="s">
        <v>18841</v>
      </c>
      <c r="AY3101" s="77"/>
      <c r="AZ3101" s="80" t="s">
        <v>20380</v>
      </c>
      <c r="BA3101" s="80" t="s">
        <v>20380</v>
      </c>
      <c r="BB3101" s="80" t="s">
        <v>20380</v>
      </c>
      <c r="BC3101" s="80" t="s">
        <v>18841</v>
      </c>
      <c r="BD3101" s="80" t="s">
        <v>20989</v>
      </c>
      <c r="BE3101" s="77"/>
      <c r="BF3101" s="77"/>
      <c r="BG3101" s="77"/>
      <c r="BH3101" s="77"/>
      <c r="BI3101" s="77"/>
    </row>
    <row r="3102" spans="1:61" x14ac:dyDescent="0.25">
      <c r="A3102" s="62" t="s">
        <v>1229</v>
      </c>
      <c r="B3102" s="62" t="s">
        <v>2004</v>
      </c>
      <c r="C3102" s="63"/>
      <c r="D3102" s="64"/>
      <c r="E3102" s="65"/>
      <c r="F3102" s="66"/>
      <c r="G3102" s="63"/>
      <c r="H3102" s="67"/>
      <c r="I3102" s="68"/>
      <c r="J3102" s="68"/>
      <c r="K3102" s="32"/>
      <c r="L3102" s="75">
        <v>3102</v>
      </c>
      <c r="M3102" s="75"/>
      <c r="N3102" s="70"/>
      <c r="O3102" s="77" t="s">
        <v>2081</v>
      </c>
      <c r="P3102" s="79">
        <v>45074.890138888892</v>
      </c>
      <c r="Q3102" s="77" t="s">
        <v>4817</v>
      </c>
      <c r="R3102" s="77">
        <v>0</v>
      </c>
      <c r="S3102" s="77">
        <v>0</v>
      </c>
      <c r="T3102" s="77">
        <v>0</v>
      </c>
      <c r="U3102" s="77">
        <v>0</v>
      </c>
      <c r="V3102" s="77">
        <v>21</v>
      </c>
      <c r="W3102" s="80" t="s">
        <v>7816</v>
      </c>
      <c r="X3102" s="83" t="str">
        <f>HYPERLINK("https://youtu.be/PmTywDpI5bg")</f>
        <v>https://youtu.be/PmTywDpI5bg</v>
      </c>
      <c r="Y3102" s="77" t="s">
        <v>8635</v>
      </c>
      <c r="Z3102" s="77" t="s">
        <v>9006</v>
      </c>
      <c r="AA3102" s="77"/>
      <c r="AB3102" s="77"/>
      <c r="AC3102" s="80" t="s">
        <v>10540</v>
      </c>
      <c r="AD3102" s="77" t="s">
        <v>10620</v>
      </c>
      <c r="AE3102" s="83" t="str">
        <f>HYPERLINK("https://twitter.com/flauzinoan70835/status/1662932205293772800")</f>
        <v>https://twitter.com/flauzinoan70835/status/1662932205293772800</v>
      </c>
      <c r="AF3102" s="79">
        <v>45074.890138888892</v>
      </c>
      <c r="AG3102" s="85">
        <v>45074</v>
      </c>
      <c r="AH3102" s="80" t="s">
        <v>13325</v>
      </c>
      <c r="AI3102" s="77" t="b">
        <v>0</v>
      </c>
      <c r="AJ3102" s="77"/>
      <c r="AK3102" s="77"/>
      <c r="AL3102" s="77"/>
      <c r="AM3102" s="77"/>
      <c r="AN3102" s="77"/>
      <c r="AO3102" s="77"/>
      <c r="AP3102" s="77"/>
      <c r="AQ3102" s="77"/>
      <c r="AR3102" s="77"/>
      <c r="AS3102" s="77"/>
      <c r="AT3102" s="77"/>
      <c r="AU3102" s="77"/>
      <c r="AV3102" s="83" t="str">
        <f>HYPERLINK("https://pbs.twimg.com/profile_images/1645750462883168259/77agndTG_normal.jpg")</f>
        <v>https://pbs.twimg.com/profile_images/1645750462883168259/77agndTG_normal.jpg</v>
      </c>
      <c r="AW3102" s="80" t="s">
        <v>18841</v>
      </c>
      <c r="AX3102" s="80" t="s">
        <v>18841</v>
      </c>
      <c r="AY3102" s="77"/>
      <c r="AZ3102" s="80" t="s">
        <v>20380</v>
      </c>
      <c r="BA3102" s="80" t="s">
        <v>20380</v>
      </c>
      <c r="BB3102" s="80" t="s">
        <v>20380</v>
      </c>
      <c r="BC3102" s="80" t="s">
        <v>18841</v>
      </c>
      <c r="BD3102" s="80" t="s">
        <v>20989</v>
      </c>
      <c r="BE3102" s="77"/>
      <c r="BF3102" s="77"/>
      <c r="BG3102" s="77"/>
      <c r="BH3102" s="77"/>
      <c r="BI3102" s="77"/>
    </row>
    <row r="3103" spans="1:61" x14ac:dyDescent="0.25">
      <c r="A3103" s="62" t="s">
        <v>1230</v>
      </c>
      <c r="B3103" s="62" t="s">
        <v>1230</v>
      </c>
      <c r="C3103" s="63"/>
      <c r="D3103" s="64"/>
      <c r="E3103" s="65"/>
      <c r="F3103" s="66"/>
      <c r="G3103" s="63"/>
      <c r="H3103" s="67"/>
      <c r="I3103" s="68"/>
      <c r="J3103" s="68"/>
      <c r="K3103" s="32"/>
      <c r="L3103" s="75">
        <v>3103</v>
      </c>
      <c r="M3103" s="75"/>
      <c r="N3103" s="70"/>
      <c r="O3103" s="77" t="s">
        <v>179</v>
      </c>
      <c r="P3103" s="79">
        <v>45089.811018518521</v>
      </c>
      <c r="Q3103" s="77" t="s">
        <v>4818</v>
      </c>
      <c r="R3103" s="77">
        <v>0</v>
      </c>
      <c r="S3103" s="77">
        <v>0</v>
      </c>
      <c r="T3103" s="77">
        <v>0</v>
      </c>
      <c r="U3103" s="77">
        <v>0</v>
      </c>
      <c r="V3103" s="77">
        <v>20</v>
      </c>
      <c r="W3103" s="80" t="s">
        <v>7817</v>
      </c>
      <c r="X3103" s="83" t="str">
        <f>HYPERLINK("https://reporterbrasilia.com.br/mercado-reduz-previsao-da-inflacao-de-569-para-542-este-ano/")</f>
        <v>https://reporterbrasilia.com.br/mercado-reduz-previsao-da-inflacao-de-569-para-542-este-ano/</v>
      </c>
      <c r="Y3103" s="77" t="s">
        <v>8611</v>
      </c>
      <c r="Z3103" s="77"/>
      <c r="AA3103" s="77"/>
      <c r="AB3103" s="77"/>
      <c r="AC3103" s="80" t="s">
        <v>10541</v>
      </c>
      <c r="AD3103" s="77" t="s">
        <v>10617</v>
      </c>
      <c r="AE3103" s="83" t="str">
        <f>HYPERLINK("https://twitter.com/reportbrasilia/status/1668339351485583360")</f>
        <v>https://twitter.com/reportbrasilia/status/1668339351485583360</v>
      </c>
      <c r="AF3103" s="79">
        <v>45089.811018518521</v>
      </c>
      <c r="AG3103" s="85">
        <v>45089</v>
      </c>
      <c r="AH3103" s="80" t="s">
        <v>13326</v>
      </c>
      <c r="AI3103" s="77" t="b">
        <v>0</v>
      </c>
      <c r="AJ3103" s="77"/>
      <c r="AK3103" s="77"/>
      <c r="AL3103" s="77"/>
      <c r="AM3103" s="77"/>
      <c r="AN3103" s="77"/>
      <c r="AO3103" s="77"/>
      <c r="AP3103" s="77"/>
      <c r="AQ3103" s="77"/>
      <c r="AR3103" s="77"/>
      <c r="AS3103" s="77"/>
      <c r="AT3103" s="77"/>
      <c r="AU3103" s="77"/>
      <c r="AV3103" s="83" t="str">
        <f>HYPERLINK("https://pbs.twimg.com/profile_images/1301167081451409408/QaIXpSVo_normal.jpg")</f>
        <v>https://pbs.twimg.com/profile_images/1301167081451409408/QaIXpSVo_normal.jpg</v>
      </c>
      <c r="AW3103" s="80" t="s">
        <v>18842</v>
      </c>
      <c r="AX3103" s="80" t="s">
        <v>18842</v>
      </c>
      <c r="AY3103" s="77"/>
      <c r="AZ3103" s="80" t="s">
        <v>20380</v>
      </c>
      <c r="BA3103" s="80" t="s">
        <v>20380</v>
      </c>
      <c r="BB3103" s="80" t="s">
        <v>20380</v>
      </c>
      <c r="BC3103" s="80" t="s">
        <v>18842</v>
      </c>
      <c r="BD3103" s="80" t="s">
        <v>20990</v>
      </c>
      <c r="BE3103" s="77"/>
      <c r="BF3103" s="77"/>
      <c r="BG3103" s="77"/>
      <c r="BH3103" s="77"/>
      <c r="BI3103" s="77"/>
    </row>
    <row r="3104" spans="1:61" x14ac:dyDescent="0.25">
      <c r="A3104" s="62" t="s">
        <v>1230</v>
      </c>
      <c r="B3104" s="62" t="s">
        <v>1230</v>
      </c>
      <c r="C3104" s="63"/>
      <c r="D3104" s="64"/>
      <c r="E3104" s="65"/>
      <c r="F3104" s="66"/>
      <c r="G3104" s="63"/>
      <c r="H3104" s="67"/>
      <c r="I3104" s="68"/>
      <c r="J3104" s="68"/>
      <c r="K3104" s="32"/>
      <c r="L3104" s="75">
        <v>3104</v>
      </c>
      <c r="M3104" s="75"/>
      <c r="N3104" s="70"/>
      <c r="O3104" s="77" t="s">
        <v>179</v>
      </c>
      <c r="P3104" s="79">
        <v>45099.754525462966</v>
      </c>
      <c r="Q3104" s="77" t="s">
        <v>4819</v>
      </c>
      <c r="R3104" s="77">
        <v>0</v>
      </c>
      <c r="S3104" s="77">
        <v>0</v>
      </c>
      <c r="T3104" s="77">
        <v>0</v>
      </c>
      <c r="U3104" s="77">
        <v>0</v>
      </c>
      <c r="V3104" s="77">
        <v>6</v>
      </c>
      <c r="W3104" s="80" t="s">
        <v>6547</v>
      </c>
      <c r="X3104" s="83" t="str">
        <f>HYPERLINK("https://reporterbrasilia.com.br/copom-mantem-juros-basicos-da-economia-em-1375-ao-ano-5/")</f>
        <v>https://reporterbrasilia.com.br/copom-mantem-juros-basicos-da-economia-em-1375-ao-ano-5/</v>
      </c>
      <c r="Y3104" s="77" t="s">
        <v>8611</v>
      </c>
      <c r="Z3104" s="77"/>
      <c r="AA3104" s="77"/>
      <c r="AB3104" s="77"/>
      <c r="AC3104" s="80" t="s">
        <v>10541</v>
      </c>
      <c r="AD3104" s="77" t="s">
        <v>10617</v>
      </c>
      <c r="AE3104" s="83" t="str">
        <f>HYPERLINK("https://twitter.com/reportbrasilia/status/1671942757781209089")</f>
        <v>https://twitter.com/reportbrasilia/status/1671942757781209089</v>
      </c>
      <c r="AF3104" s="79">
        <v>45099.754525462966</v>
      </c>
      <c r="AG3104" s="85">
        <v>45099</v>
      </c>
      <c r="AH3104" s="80" t="s">
        <v>11174</v>
      </c>
      <c r="AI3104" s="77" t="b">
        <v>0</v>
      </c>
      <c r="AJ3104" s="77"/>
      <c r="AK3104" s="77"/>
      <c r="AL3104" s="77"/>
      <c r="AM3104" s="77"/>
      <c r="AN3104" s="77"/>
      <c r="AO3104" s="77"/>
      <c r="AP3104" s="77"/>
      <c r="AQ3104" s="77"/>
      <c r="AR3104" s="77"/>
      <c r="AS3104" s="77"/>
      <c r="AT3104" s="77"/>
      <c r="AU3104" s="77"/>
      <c r="AV3104" s="83" t="str">
        <f>HYPERLINK("https://pbs.twimg.com/profile_images/1301167081451409408/QaIXpSVo_normal.jpg")</f>
        <v>https://pbs.twimg.com/profile_images/1301167081451409408/QaIXpSVo_normal.jpg</v>
      </c>
      <c r="AW3104" s="80" t="s">
        <v>18843</v>
      </c>
      <c r="AX3104" s="80" t="s">
        <v>18843</v>
      </c>
      <c r="AY3104" s="77"/>
      <c r="AZ3104" s="80" t="s">
        <v>20380</v>
      </c>
      <c r="BA3104" s="80" t="s">
        <v>20380</v>
      </c>
      <c r="BB3104" s="80" t="s">
        <v>20380</v>
      </c>
      <c r="BC3104" s="80" t="s">
        <v>18843</v>
      </c>
      <c r="BD3104" s="80" t="s">
        <v>20990</v>
      </c>
      <c r="BE3104" s="77"/>
      <c r="BF3104" s="77"/>
      <c r="BG3104" s="77"/>
      <c r="BH3104" s="77"/>
      <c r="BI3104" s="77"/>
    </row>
    <row r="3105" spans="1:61" x14ac:dyDescent="0.25">
      <c r="A3105" s="62" t="s">
        <v>1230</v>
      </c>
      <c r="B3105" s="62" t="s">
        <v>1230</v>
      </c>
      <c r="C3105" s="63"/>
      <c r="D3105" s="64"/>
      <c r="E3105" s="65"/>
      <c r="F3105" s="66"/>
      <c r="G3105" s="63"/>
      <c r="H3105" s="67"/>
      <c r="I3105" s="68"/>
      <c r="J3105" s="68"/>
      <c r="K3105" s="32"/>
      <c r="L3105" s="75">
        <v>3105</v>
      </c>
      <c r="M3105" s="75"/>
      <c r="N3105" s="70"/>
      <c r="O3105" s="77" t="s">
        <v>179</v>
      </c>
      <c r="P3105" s="79">
        <v>45082.728078703702</v>
      </c>
      <c r="Q3105" s="77" t="s">
        <v>4820</v>
      </c>
      <c r="R3105" s="77">
        <v>0</v>
      </c>
      <c r="S3105" s="77">
        <v>0</v>
      </c>
      <c r="T3105" s="77">
        <v>0</v>
      </c>
      <c r="U3105" s="77">
        <v>0</v>
      </c>
      <c r="V3105" s="77">
        <v>44</v>
      </c>
      <c r="W3105" s="80" t="s">
        <v>7818</v>
      </c>
      <c r="X3105" s="83" t="str">
        <f>HYPERLINK("https://reporterbrasilia.com.br/mercado-eleva-para-168-projecao-do-crescimento-da-economia-em-2023/")</f>
        <v>https://reporterbrasilia.com.br/mercado-eleva-para-168-projecao-do-crescimento-da-economia-em-2023/</v>
      </c>
      <c r="Y3105" s="77" t="s">
        <v>8611</v>
      </c>
      <c r="Z3105" s="77"/>
      <c r="AA3105" s="77"/>
      <c r="AB3105" s="77"/>
      <c r="AC3105" s="80" t="s">
        <v>10541</v>
      </c>
      <c r="AD3105" s="77" t="s">
        <v>10617</v>
      </c>
      <c r="AE3105" s="83" t="str">
        <f>HYPERLINK("https://twitter.com/reportbrasilia/status/1665772582979661827")</f>
        <v>https://twitter.com/reportbrasilia/status/1665772582979661827</v>
      </c>
      <c r="AF3105" s="79">
        <v>45082.728078703702</v>
      </c>
      <c r="AG3105" s="85">
        <v>45082</v>
      </c>
      <c r="AH3105" s="80" t="s">
        <v>13327</v>
      </c>
      <c r="AI3105" s="77" t="b">
        <v>0</v>
      </c>
      <c r="AJ3105" s="77"/>
      <c r="AK3105" s="77"/>
      <c r="AL3105" s="77"/>
      <c r="AM3105" s="77"/>
      <c r="AN3105" s="77"/>
      <c r="AO3105" s="77"/>
      <c r="AP3105" s="77"/>
      <c r="AQ3105" s="77"/>
      <c r="AR3105" s="77"/>
      <c r="AS3105" s="77"/>
      <c r="AT3105" s="77"/>
      <c r="AU3105" s="77"/>
      <c r="AV3105" s="83" t="str">
        <f>HYPERLINK("https://pbs.twimg.com/profile_images/1301167081451409408/QaIXpSVo_normal.jpg")</f>
        <v>https://pbs.twimg.com/profile_images/1301167081451409408/QaIXpSVo_normal.jpg</v>
      </c>
      <c r="AW3105" s="80" t="s">
        <v>18844</v>
      </c>
      <c r="AX3105" s="80" t="s">
        <v>18844</v>
      </c>
      <c r="AY3105" s="77"/>
      <c r="AZ3105" s="80" t="s">
        <v>20380</v>
      </c>
      <c r="BA3105" s="80" t="s">
        <v>20380</v>
      </c>
      <c r="BB3105" s="80" t="s">
        <v>20380</v>
      </c>
      <c r="BC3105" s="80" t="s">
        <v>18844</v>
      </c>
      <c r="BD3105" s="80" t="s">
        <v>20990</v>
      </c>
      <c r="BE3105" s="77"/>
      <c r="BF3105" s="77"/>
      <c r="BG3105" s="77"/>
      <c r="BH3105" s="77"/>
      <c r="BI3105" s="77"/>
    </row>
    <row r="3106" spans="1:61" x14ac:dyDescent="0.25">
      <c r="A3106" s="62" t="s">
        <v>1230</v>
      </c>
      <c r="B3106" s="62" t="s">
        <v>1230</v>
      </c>
      <c r="C3106" s="63"/>
      <c r="D3106" s="64"/>
      <c r="E3106" s="65"/>
      <c r="F3106" s="66"/>
      <c r="G3106" s="63"/>
      <c r="H3106" s="67"/>
      <c r="I3106" s="68"/>
      <c r="J3106" s="68"/>
      <c r="K3106" s="32"/>
      <c r="L3106" s="75">
        <v>3106</v>
      </c>
      <c r="M3106" s="75"/>
      <c r="N3106" s="70"/>
      <c r="O3106" s="77" t="s">
        <v>179</v>
      </c>
      <c r="P3106" s="79">
        <v>45104.756967592592</v>
      </c>
      <c r="Q3106" s="77" t="s">
        <v>4821</v>
      </c>
      <c r="R3106" s="77">
        <v>0</v>
      </c>
      <c r="S3106" s="77">
        <v>0</v>
      </c>
      <c r="T3106" s="77">
        <v>0</v>
      </c>
      <c r="U3106" s="77">
        <v>0</v>
      </c>
      <c r="V3106" s="77">
        <v>20</v>
      </c>
      <c r="W3106" s="80" t="s">
        <v>7819</v>
      </c>
      <c r="X3106" s="83" t="str">
        <f>HYPERLINK("https://reporterbrasilia.com.br/lula-diz-que-juros-do-emprestimo-consignado-causam-indignacao/")</f>
        <v>https://reporterbrasilia.com.br/lula-diz-que-juros-do-emprestimo-consignado-causam-indignacao/</v>
      </c>
      <c r="Y3106" s="77" t="s">
        <v>8611</v>
      </c>
      <c r="Z3106" s="77"/>
      <c r="AA3106" s="77"/>
      <c r="AB3106" s="77"/>
      <c r="AC3106" s="80" t="s">
        <v>10541</v>
      </c>
      <c r="AD3106" s="77" t="s">
        <v>10617</v>
      </c>
      <c r="AE3106" s="83" t="str">
        <f>HYPERLINK("https://twitter.com/reportbrasilia/status/1673755583189491729")</f>
        <v>https://twitter.com/reportbrasilia/status/1673755583189491729</v>
      </c>
      <c r="AF3106" s="79">
        <v>45104.756967592592</v>
      </c>
      <c r="AG3106" s="85">
        <v>45104</v>
      </c>
      <c r="AH3106" s="80" t="s">
        <v>12341</v>
      </c>
      <c r="AI3106" s="77" t="b">
        <v>0</v>
      </c>
      <c r="AJ3106" s="77"/>
      <c r="AK3106" s="77"/>
      <c r="AL3106" s="77"/>
      <c r="AM3106" s="77"/>
      <c r="AN3106" s="77"/>
      <c r="AO3106" s="77"/>
      <c r="AP3106" s="77"/>
      <c r="AQ3106" s="77"/>
      <c r="AR3106" s="77"/>
      <c r="AS3106" s="77"/>
      <c r="AT3106" s="77"/>
      <c r="AU3106" s="77"/>
      <c r="AV3106" s="83" t="str">
        <f>HYPERLINK("https://pbs.twimg.com/profile_images/1301167081451409408/QaIXpSVo_normal.jpg")</f>
        <v>https://pbs.twimg.com/profile_images/1301167081451409408/QaIXpSVo_normal.jpg</v>
      </c>
      <c r="AW3106" s="80" t="s">
        <v>18845</v>
      </c>
      <c r="AX3106" s="80" t="s">
        <v>18845</v>
      </c>
      <c r="AY3106" s="77"/>
      <c r="AZ3106" s="80" t="s">
        <v>20380</v>
      </c>
      <c r="BA3106" s="80" t="s">
        <v>20380</v>
      </c>
      <c r="BB3106" s="80" t="s">
        <v>20380</v>
      </c>
      <c r="BC3106" s="80" t="s">
        <v>18845</v>
      </c>
      <c r="BD3106" s="80" t="s">
        <v>20990</v>
      </c>
      <c r="BE3106" s="77"/>
      <c r="BF3106" s="77"/>
      <c r="BG3106" s="77"/>
      <c r="BH3106" s="77"/>
      <c r="BI3106" s="77"/>
    </row>
    <row r="3107" spans="1:61" x14ac:dyDescent="0.25">
      <c r="A3107" s="62" t="s">
        <v>1230</v>
      </c>
      <c r="B3107" s="62" t="s">
        <v>1230</v>
      </c>
      <c r="C3107" s="63"/>
      <c r="D3107" s="64"/>
      <c r="E3107" s="65"/>
      <c r="F3107" s="66"/>
      <c r="G3107" s="63"/>
      <c r="H3107" s="67"/>
      <c r="I3107" s="68"/>
      <c r="J3107" s="68"/>
      <c r="K3107" s="32"/>
      <c r="L3107" s="75">
        <v>3107</v>
      </c>
      <c r="M3107" s="75"/>
      <c r="N3107" s="70"/>
      <c r="O3107" s="77" t="s">
        <v>179</v>
      </c>
      <c r="P3107" s="79">
        <v>45117.605428240742</v>
      </c>
      <c r="Q3107" s="77" t="s">
        <v>4822</v>
      </c>
      <c r="R3107" s="77">
        <v>0</v>
      </c>
      <c r="S3107" s="77">
        <v>0</v>
      </c>
      <c r="T3107" s="77">
        <v>0</v>
      </c>
      <c r="U3107" s="77">
        <v>0</v>
      </c>
      <c r="V3107" s="77">
        <v>16</v>
      </c>
      <c r="W3107" s="80" t="s">
        <v>7820</v>
      </c>
      <c r="X3107" s="83" t="str">
        <f>HYPERLINK("https://reporterbrasilia.com.br/mercado-preve-inflacao-este-ano-de-495/")</f>
        <v>https://reporterbrasilia.com.br/mercado-preve-inflacao-este-ano-de-495/</v>
      </c>
      <c r="Y3107" s="77" t="s">
        <v>8611</v>
      </c>
      <c r="Z3107" s="77"/>
      <c r="AA3107" s="77"/>
      <c r="AB3107" s="77"/>
      <c r="AC3107" s="80" t="s">
        <v>10541</v>
      </c>
      <c r="AD3107" s="77" t="s">
        <v>10617</v>
      </c>
      <c r="AE3107" s="83" t="str">
        <f>HYPERLINK("https://twitter.com/reportbrasilia/status/1678411707092221958")</f>
        <v>https://twitter.com/reportbrasilia/status/1678411707092221958</v>
      </c>
      <c r="AF3107" s="79">
        <v>45117.605428240742</v>
      </c>
      <c r="AG3107" s="85">
        <v>45117</v>
      </c>
      <c r="AH3107" s="80" t="s">
        <v>13328</v>
      </c>
      <c r="AI3107" s="77" t="b">
        <v>0</v>
      </c>
      <c r="AJ3107" s="77"/>
      <c r="AK3107" s="77"/>
      <c r="AL3107" s="77"/>
      <c r="AM3107" s="77"/>
      <c r="AN3107" s="77"/>
      <c r="AO3107" s="77"/>
      <c r="AP3107" s="77"/>
      <c r="AQ3107" s="77"/>
      <c r="AR3107" s="77"/>
      <c r="AS3107" s="77"/>
      <c r="AT3107" s="77"/>
      <c r="AU3107" s="77"/>
      <c r="AV3107" s="83" t="str">
        <f>HYPERLINK("https://pbs.twimg.com/profile_images/1301167081451409408/QaIXpSVo_normal.jpg")</f>
        <v>https://pbs.twimg.com/profile_images/1301167081451409408/QaIXpSVo_normal.jpg</v>
      </c>
      <c r="AW3107" s="80" t="s">
        <v>18846</v>
      </c>
      <c r="AX3107" s="80" t="s">
        <v>18846</v>
      </c>
      <c r="AY3107" s="77"/>
      <c r="AZ3107" s="80" t="s">
        <v>20380</v>
      </c>
      <c r="BA3107" s="80" t="s">
        <v>20380</v>
      </c>
      <c r="BB3107" s="80" t="s">
        <v>20380</v>
      </c>
      <c r="BC3107" s="80" t="s">
        <v>18846</v>
      </c>
      <c r="BD3107" s="80" t="s">
        <v>20990</v>
      </c>
      <c r="BE3107" s="77"/>
      <c r="BF3107" s="77"/>
      <c r="BG3107" s="77"/>
      <c r="BH3107" s="77"/>
      <c r="BI3107" s="77"/>
    </row>
    <row r="3108" spans="1:61" x14ac:dyDescent="0.25">
      <c r="A3108" s="62" t="s">
        <v>1230</v>
      </c>
      <c r="B3108" s="62" t="s">
        <v>1230</v>
      </c>
      <c r="C3108" s="63"/>
      <c r="D3108" s="64"/>
      <c r="E3108" s="65"/>
      <c r="F3108" s="66"/>
      <c r="G3108" s="63"/>
      <c r="H3108" s="67"/>
      <c r="I3108" s="68"/>
      <c r="J3108" s="68"/>
      <c r="K3108" s="32"/>
      <c r="L3108" s="75">
        <v>3108</v>
      </c>
      <c r="M3108" s="75"/>
      <c r="N3108" s="70"/>
      <c r="O3108" s="77" t="s">
        <v>179</v>
      </c>
      <c r="P3108" s="79">
        <v>45134.514652777776</v>
      </c>
      <c r="Q3108" s="77" t="s">
        <v>4823</v>
      </c>
      <c r="R3108" s="77">
        <v>0</v>
      </c>
      <c r="S3108" s="77">
        <v>0</v>
      </c>
      <c r="T3108" s="77">
        <v>0</v>
      </c>
      <c r="U3108" s="77">
        <v>0</v>
      </c>
      <c r="V3108" s="77">
        <v>50</v>
      </c>
      <c r="W3108" s="80" t="s">
        <v>7821</v>
      </c>
      <c r="X3108" s="83" t="str">
        <f>HYPERLINK("https://reporterbrasilia.com.br/presidenta-da-caixa-bolsa-familia-podera-ser-pago-com-real-digital/")</f>
        <v>https://reporterbrasilia.com.br/presidenta-da-caixa-bolsa-familia-podera-ser-pago-com-real-digital/</v>
      </c>
      <c r="Y3108" s="77" t="s">
        <v>8611</v>
      </c>
      <c r="Z3108" s="77"/>
      <c r="AA3108" s="77"/>
      <c r="AB3108" s="77"/>
      <c r="AC3108" s="80" t="s">
        <v>10540</v>
      </c>
      <c r="AD3108" s="77" t="s">
        <v>10617</v>
      </c>
      <c r="AE3108" s="83" t="str">
        <f>HYPERLINK("https://twitter.com/reportbrasilia/status/1684539407481683968")</f>
        <v>https://twitter.com/reportbrasilia/status/1684539407481683968</v>
      </c>
      <c r="AF3108" s="79">
        <v>45134.514652777776</v>
      </c>
      <c r="AG3108" s="85">
        <v>45134</v>
      </c>
      <c r="AH3108" s="80" t="s">
        <v>13329</v>
      </c>
      <c r="AI3108" s="77" t="b">
        <v>0</v>
      </c>
      <c r="AJ3108" s="77"/>
      <c r="AK3108" s="77"/>
      <c r="AL3108" s="77"/>
      <c r="AM3108" s="77"/>
      <c r="AN3108" s="77"/>
      <c r="AO3108" s="77"/>
      <c r="AP3108" s="77"/>
      <c r="AQ3108" s="77"/>
      <c r="AR3108" s="77"/>
      <c r="AS3108" s="77"/>
      <c r="AT3108" s="77"/>
      <c r="AU3108" s="77"/>
      <c r="AV3108" s="83" t="str">
        <f>HYPERLINK("https://pbs.twimg.com/profile_images/1301167081451409408/QaIXpSVo_normal.jpg")</f>
        <v>https://pbs.twimg.com/profile_images/1301167081451409408/QaIXpSVo_normal.jpg</v>
      </c>
      <c r="AW3108" s="80" t="s">
        <v>18847</v>
      </c>
      <c r="AX3108" s="80" t="s">
        <v>18847</v>
      </c>
      <c r="AY3108" s="77"/>
      <c r="AZ3108" s="80" t="s">
        <v>20380</v>
      </c>
      <c r="BA3108" s="80" t="s">
        <v>20380</v>
      </c>
      <c r="BB3108" s="80" t="s">
        <v>20380</v>
      </c>
      <c r="BC3108" s="80" t="s">
        <v>18847</v>
      </c>
      <c r="BD3108" s="80" t="s">
        <v>20990</v>
      </c>
      <c r="BE3108" s="77"/>
      <c r="BF3108" s="77"/>
      <c r="BG3108" s="77"/>
      <c r="BH3108" s="77"/>
      <c r="BI3108" s="77"/>
    </row>
    <row r="3109" spans="1:61" x14ac:dyDescent="0.25">
      <c r="A3109" s="62" t="s">
        <v>1230</v>
      </c>
      <c r="B3109" s="62" t="s">
        <v>1230</v>
      </c>
      <c r="C3109" s="63"/>
      <c r="D3109" s="64"/>
      <c r="E3109" s="65"/>
      <c r="F3109" s="66"/>
      <c r="G3109" s="63"/>
      <c r="H3109" s="67"/>
      <c r="I3109" s="68"/>
      <c r="J3109" s="68"/>
      <c r="K3109" s="32"/>
      <c r="L3109" s="75">
        <v>3109</v>
      </c>
      <c r="M3109" s="75"/>
      <c r="N3109" s="70"/>
      <c r="O3109" s="77" t="s">
        <v>179</v>
      </c>
      <c r="P3109" s="79">
        <v>45068.810428240744</v>
      </c>
      <c r="Q3109" s="77" t="s">
        <v>4824</v>
      </c>
      <c r="R3109" s="77">
        <v>1</v>
      </c>
      <c r="S3109" s="77">
        <v>0</v>
      </c>
      <c r="T3109" s="77">
        <v>0</v>
      </c>
      <c r="U3109" s="77">
        <v>0</v>
      </c>
      <c r="V3109" s="77">
        <v>26</v>
      </c>
      <c r="W3109" s="80" t="s">
        <v>7822</v>
      </c>
      <c r="X3109" s="83" t="str">
        <f>HYPERLINK("https://reporterbrasilia.com.br/mercado-reduz-previsao-da-inflacao-de-603-para-58-este-ano/")</f>
        <v>https://reporterbrasilia.com.br/mercado-reduz-previsao-da-inflacao-de-603-para-58-este-ano/</v>
      </c>
      <c r="Y3109" s="77" t="s">
        <v>8611</v>
      </c>
      <c r="Z3109" s="77"/>
      <c r="AA3109" s="77"/>
      <c r="AB3109" s="77"/>
      <c r="AC3109" s="80" t="s">
        <v>10541</v>
      </c>
      <c r="AD3109" s="77" t="s">
        <v>10617</v>
      </c>
      <c r="AE3109" s="83" t="str">
        <f>HYPERLINK("https://twitter.com/reportbrasilia/status/1660728991508987904")</f>
        <v>https://twitter.com/reportbrasilia/status/1660728991508987904</v>
      </c>
      <c r="AF3109" s="79">
        <v>45068.810428240744</v>
      </c>
      <c r="AG3109" s="85">
        <v>45068</v>
      </c>
      <c r="AH3109" s="80" t="s">
        <v>13330</v>
      </c>
      <c r="AI3109" s="77" t="b">
        <v>0</v>
      </c>
      <c r="AJ3109" s="77"/>
      <c r="AK3109" s="77"/>
      <c r="AL3109" s="77"/>
      <c r="AM3109" s="77"/>
      <c r="AN3109" s="77"/>
      <c r="AO3109" s="77"/>
      <c r="AP3109" s="77"/>
      <c r="AQ3109" s="77"/>
      <c r="AR3109" s="77"/>
      <c r="AS3109" s="77"/>
      <c r="AT3109" s="77"/>
      <c r="AU3109" s="77"/>
      <c r="AV3109" s="83" t="str">
        <f>HYPERLINK("https://pbs.twimg.com/profile_images/1301167081451409408/QaIXpSVo_normal.jpg")</f>
        <v>https://pbs.twimg.com/profile_images/1301167081451409408/QaIXpSVo_normal.jpg</v>
      </c>
      <c r="AW3109" s="80" t="s">
        <v>18848</v>
      </c>
      <c r="AX3109" s="80" t="s">
        <v>18848</v>
      </c>
      <c r="AY3109" s="77"/>
      <c r="AZ3109" s="80" t="s">
        <v>20380</v>
      </c>
      <c r="BA3109" s="80" t="s">
        <v>20380</v>
      </c>
      <c r="BB3109" s="80" t="s">
        <v>20380</v>
      </c>
      <c r="BC3109" s="80" t="s">
        <v>18848</v>
      </c>
      <c r="BD3109" s="80" t="s">
        <v>20990</v>
      </c>
      <c r="BE3109" s="77"/>
      <c r="BF3109" s="77"/>
      <c r="BG3109" s="77"/>
      <c r="BH3109" s="77"/>
      <c r="BI3109" s="77"/>
    </row>
    <row r="3110" spans="1:61" x14ac:dyDescent="0.25">
      <c r="A3110" s="62" t="s">
        <v>1230</v>
      </c>
      <c r="B3110" s="62" t="s">
        <v>1230</v>
      </c>
      <c r="C3110" s="63"/>
      <c r="D3110" s="64"/>
      <c r="E3110" s="65"/>
      <c r="F3110" s="66"/>
      <c r="G3110" s="63"/>
      <c r="H3110" s="67"/>
      <c r="I3110" s="68"/>
      <c r="J3110" s="68"/>
      <c r="K3110" s="32"/>
      <c r="L3110" s="75">
        <v>3110</v>
      </c>
      <c r="M3110" s="75"/>
      <c r="N3110" s="70"/>
      <c r="O3110" s="77" t="s">
        <v>179</v>
      </c>
      <c r="P3110" s="79">
        <v>45191.562835648147</v>
      </c>
      <c r="Q3110" s="77" t="s">
        <v>4825</v>
      </c>
      <c r="R3110" s="77">
        <v>0</v>
      </c>
      <c r="S3110" s="77">
        <v>0</v>
      </c>
      <c r="T3110" s="77">
        <v>0</v>
      </c>
      <c r="U3110" s="77">
        <v>0</v>
      </c>
      <c r="V3110" s="77">
        <v>17</v>
      </c>
      <c r="W3110" s="80" t="s">
        <v>7823</v>
      </c>
      <c r="X3110" s="83" t="str">
        <f>HYPERLINK("https://reporterbrasilia.com.br/meta-fiscal-demonstra-seriedade-com-contas-publicas-diz-haddad/")</f>
        <v>https://reporterbrasilia.com.br/meta-fiscal-demonstra-seriedade-com-contas-publicas-diz-haddad/</v>
      </c>
      <c r="Y3110" s="77" t="s">
        <v>8611</v>
      </c>
      <c r="Z3110" s="77"/>
      <c r="AA3110" s="77"/>
      <c r="AB3110" s="77"/>
      <c r="AC3110" s="80" t="s">
        <v>10541</v>
      </c>
      <c r="AD3110" s="77" t="s">
        <v>10617</v>
      </c>
      <c r="AE3110" s="83" t="str">
        <f>HYPERLINK("https://twitter.com/reportbrasilia/status/1705212974435115039")</f>
        <v>https://twitter.com/reportbrasilia/status/1705212974435115039</v>
      </c>
      <c r="AF3110" s="79">
        <v>45191.562835648147</v>
      </c>
      <c r="AG3110" s="85">
        <v>45191</v>
      </c>
      <c r="AH3110" s="80" t="s">
        <v>13331</v>
      </c>
      <c r="AI3110" s="77" t="b">
        <v>0</v>
      </c>
      <c r="AJ3110" s="77"/>
      <c r="AK3110" s="77"/>
      <c r="AL3110" s="77"/>
      <c r="AM3110" s="77"/>
      <c r="AN3110" s="77"/>
      <c r="AO3110" s="77"/>
      <c r="AP3110" s="77"/>
      <c r="AQ3110" s="77"/>
      <c r="AR3110" s="77"/>
      <c r="AS3110" s="77"/>
      <c r="AT3110" s="77"/>
      <c r="AU3110" s="77"/>
      <c r="AV3110" s="83" t="str">
        <f>HYPERLINK("https://pbs.twimg.com/profile_images/1301167081451409408/QaIXpSVo_normal.jpg")</f>
        <v>https://pbs.twimg.com/profile_images/1301167081451409408/QaIXpSVo_normal.jpg</v>
      </c>
      <c r="AW3110" s="80" t="s">
        <v>18849</v>
      </c>
      <c r="AX3110" s="80" t="s">
        <v>18849</v>
      </c>
      <c r="AY3110" s="77"/>
      <c r="AZ3110" s="80" t="s">
        <v>20380</v>
      </c>
      <c r="BA3110" s="80" t="s">
        <v>20380</v>
      </c>
      <c r="BB3110" s="80" t="s">
        <v>20380</v>
      </c>
      <c r="BC3110" s="80" t="s">
        <v>18849</v>
      </c>
      <c r="BD3110" s="80" t="s">
        <v>20990</v>
      </c>
      <c r="BE3110" s="77"/>
      <c r="BF3110" s="77"/>
      <c r="BG3110" s="77"/>
      <c r="BH3110" s="77"/>
      <c r="BI3110" s="77"/>
    </row>
    <row r="3111" spans="1:61" x14ac:dyDescent="0.25">
      <c r="A3111" s="62" t="s">
        <v>1230</v>
      </c>
      <c r="B3111" s="62" t="s">
        <v>1230</v>
      </c>
      <c r="C3111" s="63"/>
      <c r="D3111" s="64"/>
      <c r="E3111" s="65"/>
      <c r="F3111" s="66"/>
      <c r="G3111" s="63"/>
      <c r="H3111" s="67"/>
      <c r="I3111" s="68"/>
      <c r="J3111" s="68"/>
      <c r="K3111" s="32"/>
      <c r="L3111" s="75">
        <v>3111</v>
      </c>
      <c r="M3111" s="75"/>
      <c r="N3111" s="70"/>
      <c r="O3111" s="77" t="s">
        <v>179</v>
      </c>
      <c r="P3111" s="79">
        <v>45197.691458333335</v>
      </c>
      <c r="Q3111" s="77" t="s">
        <v>4826</v>
      </c>
      <c r="R3111" s="77">
        <v>0</v>
      </c>
      <c r="S3111" s="77">
        <v>0</v>
      </c>
      <c r="T3111" s="77">
        <v>0</v>
      </c>
      <c r="U3111" s="77">
        <v>0</v>
      </c>
      <c r="V3111" s="77">
        <v>3</v>
      </c>
      <c r="W3111" s="80" t="s">
        <v>7824</v>
      </c>
      <c r="X3111" s="83" t="str">
        <f>HYPERLINK("https://reporterbrasilia.com.br/bc-aumenta-projecao-de-crescimento-do-pib-de-2-para-29/")</f>
        <v>https://reporterbrasilia.com.br/bc-aumenta-projecao-de-crescimento-do-pib-de-2-para-29/</v>
      </c>
      <c r="Y3111" s="77" t="s">
        <v>8611</v>
      </c>
      <c r="Z3111" s="77"/>
      <c r="AA3111" s="77"/>
      <c r="AB3111" s="77"/>
      <c r="AC3111" s="80" t="s">
        <v>10541</v>
      </c>
      <c r="AD3111" s="77" t="s">
        <v>10617</v>
      </c>
      <c r="AE3111" s="83" t="str">
        <f>HYPERLINK("https://twitter.com/reportbrasilia/status/1707433916208947581")</f>
        <v>https://twitter.com/reportbrasilia/status/1707433916208947581</v>
      </c>
      <c r="AF3111" s="79">
        <v>45197.691458333335</v>
      </c>
      <c r="AG3111" s="85">
        <v>45197</v>
      </c>
      <c r="AH3111" s="80" t="s">
        <v>13332</v>
      </c>
      <c r="AI3111" s="77" t="b">
        <v>0</v>
      </c>
      <c r="AJ3111" s="77"/>
      <c r="AK3111" s="77"/>
      <c r="AL3111" s="77"/>
      <c r="AM3111" s="77"/>
      <c r="AN3111" s="77"/>
      <c r="AO3111" s="77"/>
      <c r="AP3111" s="77"/>
      <c r="AQ3111" s="77"/>
      <c r="AR3111" s="77"/>
      <c r="AS3111" s="77"/>
      <c r="AT3111" s="77"/>
      <c r="AU3111" s="77"/>
      <c r="AV3111" s="83" t="str">
        <f>HYPERLINK("https://pbs.twimg.com/profile_images/1301167081451409408/QaIXpSVo_normal.jpg")</f>
        <v>https://pbs.twimg.com/profile_images/1301167081451409408/QaIXpSVo_normal.jpg</v>
      </c>
      <c r="AW3111" s="80" t="s">
        <v>18850</v>
      </c>
      <c r="AX3111" s="80" t="s">
        <v>18850</v>
      </c>
      <c r="AY3111" s="77"/>
      <c r="AZ3111" s="80" t="s">
        <v>20380</v>
      </c>
      <c r="BA3111" s="80" t="s">
        <v>20380</v>
      </c>
      <c r="BB3111" s="80" t="s">
        <v>20380</v>
      </c>
      <c r="BC3111" s="80" t="s">
        <v>18850</v>
      </c>
      <c r="BD3111" s="80" t="s">
        <v>20990</v>
      </c>
      <c r="BE3111" s="77"/>
      <c r="BF3111" s="77"/>
      <c r="BG3111" s="77"/>
      <c r="BH3111" s="77"/>
      <c r="BI3111" s="77"/>
    </row>
    <row r="3112" spans="1:61" x14ac:dyDescent="0.25">
      <c r="A3112" s="62" t="s">
        <v>1231</v>
      </c>
      <c r="B3112" s="62" t="s">
        <v>1231</v>
      </c>
      <c r="C3112" s="63"/>
      <c r="D3112" s="64"/>
      <c r="E3112" s="65"/>
      <c r="F3112" s="66"/>
      <c r="G3112" s="63"/>
      <c r="H3112" s="67"/>
      <c r="I3112" s="68"/>
      <c r="J3112" s="68"/>
      <c r="K3112" s="32"/>
      <c r="L3112" s="75">
        <v>3112</v>
      </c>
      <c r="M3112" s="75"/>
      <c r="N3112" s="70"/>
      <c r="O3112" s="77" t="s">
        <v>179</v>
      </c>
      <c r="P3112" s="79">
        <v>45069.924108796295</v>
      </c>
      <c r="Q3112" s="77" t="s">
        <v>4827</v>
      </c>
      <c r="R3112" s="77">
        <v>6</v>
      </c>
      <c r="S3112" s="77">
        <v>15</v>
      </c>
      <c r="T3112" s="77">
        <v>0</v>
      </c>
      <c r="U3112" s="77">
        <v>2</v>
      </c>
      <c r="V3112" s="77">
        <v>13146</v>
      </c>
      <c r="W3112" s="77"/>
      <c r="X3112" s="83" t="str">
        <f>HYPERLINK("https://www.elmercurio.com/Inversiones/Noticias/Analisis/2023/05/23/1024729/bancos-nuevos-requisitos-banco-central.aspx")</f>
        <v>https://www.elmercurio.com/Inversiones/Noticias/Analisis/2023/05/23/1024729/bancos-nuevos-requisitos-banco-central.aspx</v>
      </c>
      <c r="Y3112" s="77" t="s">
        <v>8797</v>
      </c>
      <c r="Z3112" s="77"/>
      <c r="AA3112" s="77" t="s">
        <v>10056</v>
      </c>
      <c r="AB3112" s="77" t="s">
        <v>10535</v>
      </c>
      <c r="AC3112" s="80" t="s">
        <v>10551</v>
      </c>
      <c r="AD3112" s="77" t="s">
        <v>10620</v>
      </c>
      <c r="AE3112" s="83" t="str">
        <f>HYPERLINK("https://twitter.com/em_inversiones/status/1661132575614615553")</f>
        <v>https://twitter.com/em_inversiones/status/1661132575614615553</v>
      </c>
      <c r="AF3112" s="79">
        <v>45069.924108796295</v>
      </c>
      <c r="AG3112" s="85">
        <v>45069</v>
      </c>
      <c r="AH3112" s="80" t="s">
        <v>13333</v>
      </c>
      <c r="AI3112" s="77" t="b">
        <v>0</v>
      </c>
      <c r="AJ3112" s="77"/>
      <c r="AK3112" s="77"/>
      <c r="AL3112" s="77"/>
      <c r="AM3112" s="77"/>
      <c r="AN3112" s="77"/>
      <c r="AO3112" s="77"/>
      <c r="AP3112" s="77"/>
      <c r="AQ3112" s="77" t="s">
        <v>15537</v>
      </c>
      <c r="AR3112" s="77"/>
      <c r="AS3112" s="77"/>
      <c r="AT3112" s="77"/>
      <c r="AU3112" s="77"/>
      <c r="AV3112" s="83" t="str">
        <f>HYPERLINK("https://pbs.twimg.com/media/Fw2HPpuWIAIoHv6.jpg")</f>
        <v>https://pbs.twimg.com/media/Fw2HPpuWIAIoHv6.jpg</v>
      </c>
      <c r="AW3112" s="80" t="s">
        <v>18851</v>
      </c>
      <c r="AX3112" s="80" t="s">
        <v>18851</v>
      </c>
      <c r="AY3112" s="77"/>
      <c r="AZ3112" s="80" t="s">
        <v>20380</v>
      </c>
      <c r="BA3112" s="80" t="s">
        <v>20380</v>
      </c>
      <c r="BB3112" s="80" t="s">
        <v>20380</v>
      </c>
      <c r="BC3112" s="80" t="s">
        <v>18851</v>
      </c>
      <c r="BD3112" s="77">
        <v>1154706350</v>
      </c>
      <c r="BE3112" s="77"/>
      <c r="BF3112" s="77"/>
      <c r="BG3112" s="77"/>
      <c r="BH3112" s="77"/>
      <c r="BI3112" s="77"/>
    </row>
    <row r="3113" spans="1:61" x14ac:dyDescent="0.25">
      <c r="A3113" s="62" t="s">
        <v>1232</v>
      </c>
      <c r="B3113" s="62" t="s">
        <v>1232</v>
      </c>
      <c r="C3113" s="63"/>
      <c r="D3113" s="64"/>
      <c r="E3113" s="65"/>
      <c r="F3113" s="66"/>
      <c r="G3113" s="63"/>
      <c r="H3113" s="67"/>
      <c r="I3113" s="68"/>
      <c r="J3113" s="68"/>
      <c r="K3113" s="32"/>
      <c r="L3113" s="75">
        <v>3113</v>
      </c>
      <c r="M3113" s="75"/>
      <c r="N3113" s="70"/>
      <c r="O3113" s="77" t="s">
        <v>179</v>
      </c>
      <c r="P3113" s="79">
        <v>45165.996365740742</v>
      </c>
      <c r="Q3113" s="77" t="s">
        <v>4828</v>
      </c>
      <c r="R3113" s="77">
        <v>762</v>
      </c>
      <c r="S3113" s="77">
        <v>794</v>
      </c>
      <c r="T3113" s="77">
        <v>55</v>
      </c>
      <c r="U3113" s="77">
        <v>31</v>
      </c>
      <c r="V3113" s="77">
        <v>26336</v>
      </c>
      <c r="W3113" s="77"/>
      <c r="X3113" s="77"/>
      <c r="Y3113" s="77"/>
      <c r="Z3113" s="77"/>
      <c r="AA3113" s="77" t="s">
        <v>10057</v>
      </c>
      <c r="AB3113" s="77" t="s">
        <v>10534</v>
      </c>
      <c r="AC3113" s="80" t="s">
        <v>10542</v>
      </c>
      <c r="AD3113" s="77" t="s">
        <v>10620</v>
      </c>
      <c r="AE3113" s="83" t="str">
        <f>HYPERLINK("https://twitter.com/hernanplaza/status/1695947998914544110")</f>
        <v>https://twitter.com/hernanplaza/status/1695947998914544110</v>
      </c>
      <c r="AF3113" s="79">
        <v>45165.996365740742</v>
      </c>
      <c r="AG3113" s="85">
        <v>45165</v>
      </c>
      <c r="AH3113" s="80" t="s">
        <v>13334</v>
      </c>
      <c r="AI3113" s="77" t="b">
        <v>0</v>
      </c>
      <c r="AJ3113" s="77"/>
      <c r="AK3113" s="77"/>
      <c r="AL3113" s="77"/>
      <c r="AM3113" s="77"/>
      <c r="AN3113" s="77"/>
      <c r="AO3113" s="77"/>
      <c r="AP3113" s="77"/>
      <c r="AQ3113" s="77" t="s">
        <v>15538</v>
      </c>
      <c r="AR3113" s="77">
        <v>121461</v>
      </c>
      <c r="AS3113" s="77"/>
      <c r="AT3113" s="77"/>
      <c r="AU3113" s="77"/>
      <c r="AV3113" s="83" t="str">
        <f>HYPERLINK("https://pbs.twimg.com/ext_tw_video_thumb/1695824324052008962/pu/img/qPtxPpF0xDr12WS-.jpg")</f>
        <v>https://pbs.twimg.com/ext_tw_video_thumb/1695824324052008962/pu/img/qPtxPpF0xDr12WS-.jpg</v>
      </c>
      <c r="AW3113" s="80" t="s">
        <v>18852</v>
      </c>
      <c r="AX3113" s="80" t="s">
        <v>18852</v>
      </c>
      <c r="AY3113" s="77"/>
      <c r="AZ3113" s="80" t="s">
        <v>20380</v>
      </c>
      <c r="BA3113" s="80" t="s">
        <v>20380</v>
      </c>
      <c r="BB3113" s="80" t="s">
        <v>20380</v>
      </c>
      <c r="BC3113" s="80" t="s">
        <v>18852</v>
      </c>
      <c r="BD3113" s="77">
        <v>236599447</v>
      </c>
      <c r="BE3113" s="77"/>
      <c r="BF3113" s="77"/>
      <c r="BG3113" s="77"/>
      <c r="BH3113" s="77"/>
      <c r="BI3113" s="77"/>
    </row>
    <row r="3114" spans="1:61" x14ac:dyDescent="0.25">
      <c r="A3114" s="62" t="s">
        <v>1233</v>
      </c>
      <c r="B3114" s="62" t="s">
        <v>1233</v>
      </c>
      <c r="C3114" s="63"/>
      <c r="D3114" s="64"/>
      <c r="E3114" s="65"/>
      <c r="F3114" s="66"/>
      <c r="G3114" s="63"/>
      <c r="H3114" s="67"/>
      <c r="I3114" s="68"/>
      <c r="J3114" s="68"/>
      <c r="K3114" s="32"/>
      <c r="L3114" s="75">
        <v>3114</v>
      </c>
      <c r="M3114" s="75"/>
      <c r="N3114" s="70"/>
      <c r="O3114" s="77" t="s">
        <v>179</v>
      </c>
      <c r="P3114" s="79">
        <v>45118.030046296299</v>
      </c>
      <c r="Q3114" s="77" t="s">
        <v>4829</v>
      </c>
      <c r="R3114" s="77">
        <v>1</v>
      </c>
      <c r="S3114" s="77">
        <v>1</v>
      </c>
      <c r="T3114" s="77">
        <v>2</v>
      </c>
      <c r="U3114" s="77">
        <v>1</v>
      </c>
      <c r="V3114" s="77">
        <v>751</v>
      </c>
      <c r="W3114" s="80" t="s">
        <v>7825</v>
      </c>
      <c r="X3114" s="83" t="str">
        <f>HYPERLINK("https://www.eluniversal.com.mx/cartera/ya-viene-la-moneda-en-version-digital-que-emitira-el-banco-de-mexico/")</f>
        <v>https://www.eluniversal.com.mx/cartera/ya-viene-la-moneda-en-version-digital-que-emitira-el-banco-de-mexico/</v>
      </c>
      <c r="Y3114" s="77" t="s">
        <v>8783</v>
      </c>
      <c r="Z3114" s="77"/>
      <c r="AA3114" s="77"/>
      <c r="AB3114" s="77"/>
      <c r="AC3114" s="80" t="s">
        <v>10540</v>
      </c>
      <c r="AD3114" s="77" t="s">
        <v>10620</v>
      </c>
      <c r="AE3114" s="83" t="str">
        <f>HYPERLINK("https://twitter.com/eibarra_s/status/1678565585708363777")</f>
        <v>https://twitter.com/eibarra_s/status/1678565585708363777</v>
      </c>
      <c r="AF3114" s="79">
        <v>45118.030046296299</v>
      </c>
      <c r="AG3114" s="85">
        <v>45118</v>
      </c>
      <c r="AH3114" s="80" t="s">
        <v>13335</v>
      </c>
      <c r="AI3114" s="77" t="b">
        <v>0</v>
      </c>
      <c r="AJ3114" s="77"/>
      <c r="AK3114" s="77"/>
      <c r="AL3114" s="77"/>
      <c r="AM3114" s="77"/>
      <c r="AN3114" s="77"/>
      <c r="AO3114" s="77"/>
      <c r="AP3114" s="77"/>
      <c r="AQ3114" s="77"/>
      <c r="AR3114" s="77"/>
      <c r="AS3114" s="77"/>
      <c r="AT3114" s="77"/>
      <c r="AU3114" s="77"/>
      <c r="AV3114" s="83" t="str">
        <f>HYPERLINK("https://pbs.twimg.com/profile_images/1656435406903078913/w6ns4WZe_normal.jpg")</f>
        <v>https://pbs.twimg.com/profile_images/1656435406903078913/w6ns4WZe_normal.jpg</v>
      </c>
      <c r="AW3114" s="80" t="s">
        <v>18853</v>
      </c>
      <c r="AX3114" s="80" t="s">
        <v>18853</v>
      </c>
      <c r="AY3114" s="77"/>
      <c r="AZ3114" s="80" t="s">
        <v>20380</v>
      </c>
      <c r="BA3114" s="80" t="s">
        <v>20380</v>
      </c>
      <c r="BB3114" s="80" t="s">
        <v>20380</v>
      </c>
      <c r="BC3114" s="80" t="s">
        <v>18853</v>
      </c>
      <c r="BD3114" s="77">
        <v>183666702</v>
      </c>
      <c r="BE3114" s="77"/>
      <c r="BF3114" s="77"/>
      <c r="BG3114" s="77"/>
      <c r="BH3114" s="77"/>
      <c r="BI3114" s="77"/>
    </row>
    <row r="3115" spans="1:61" x14ac:dyDescent="0.25">
      <c r="A3115" s="62" t="s">
        <v>1234</v>
      </c>
      <c r="B3115" s="62" t="s">
        <v>1234</v>
      </c>
      <c r="C3115" s="63"/>
      <c r="D3115" s="64"/>
      <c r="E3115" s="65"/>
      <c r="F3115" s="66"/>
      <c r="G3115" s="63"/>
      <c r="H3115" s="67"/>
      <c r="I3115" s="68"/>
      <c r="J3115" s="68"/>
      <c r="K3115" s="32"/>
      <c r="L3115" s="75">
        <v>3115</v>
      </c>
      <c r="M3115" s="75"/>
      <c r="N3115" s="70"/>
      <c r="O3115" s="77" t="s">
        <v>179</v>
      </c>
      <c r="P3115" s="79">
        <v>45051.645775462966</v>
      </c>
      <c r="Q3115" s="77" t="s">
        <v>4830</v>
      </c>
      <c r="R3115" s="77">
        <v>338</v>
      </c>
      <c r="S3115" s="77">
        <v>889</v>
      </c>
      <c r="T3115" s="77">
        <v>38</v>
      </c>
      <c r="U3115" s="77">
        <v>24</v>
      </c>
      <c r="V3115" s="77">
        <v>7235</v>
      </c>
      <c r="W3115" s="77"/>
      <c r="X3115" s="77"/>
      <c r="Y3115" s="77"/>
      <c r="Z3115" s="77"/>
      <c r="AA3115" s="77" t="s">
        <v>10058</v>
      </c>
      <c r="AB3115" s="77" t="s">
        <v>10535</v>
      </c>
      <c r="AC3115" s="80" t="s">
        <v>10542</v>
      </c>
      <c r="AD3115" s="77" t="s">
        <v>10617</v>
      </c>
      <c r="AE3115" s="83" t="str">
        <f>HYPERLINK("https://twitter.com/terezandrade/status/1654508731965603840")</f>
        <v>https://twitter.com/terezandrade/status/1654508731965603840</v>
      </c>
      <c r="AF3115" s="79">
        <v>45051.645775462966</v>
      </c>
      <c r="AG3115" s="85">
        <v>45051</v>
      </c>
      <c r="AH3115" s="80" t="s">
        <v>13336</v>
      </c>
      <c r="AI3115" s="77" t="b">
        <v>0</v>
      </c>
      <c r="AJ3115" s="77"/>
      <c r="AK3115" s="77"/>
      <c r="AL3115" s="77"/>
      <c r="AM3115" s="77"/>
      <c r="AN3115" s="77"/>
      <c r="AO3115" s="77"/>
      <c r="AP3115" s="77"/>
      <c r="AQ3115" s="77" t="s">
        <v>15539</v>
      </c>
      <c r="AR3115" s="77"/>
      <c r="AS3115" s="77"/>
      <c r="AT3115" s="77"/>
      <c r="AU3115" s="77"/>
      <c r="AV3115" s="83" t="str">
        <f>HYPERLINK("https://pbs.twimg.com/media/FvX-66EWcAIk_Fl.jpg")</f>
        <v>https://pbs.twimg.com/media/FvX-66EWcAIk_Fl.jpg</v>
      </c>
      <c r="AW3115" s="80" t="s">
        <v>18854</v>
      </c>
      <c r="AX3115" s="80" t="s">
        <v>18854</v>
      </c>
      <c r="AY3115" s="77"/>
      <c r="AZ3115" s="80" t="s">
        <v>20380</v>
      </c>
      <c r="BA3115" s="80" t="s">
        <v>20380</v>
      </c>
      <c r="BB3115" s="80" t="s">
        <v>20380</v>
      </c>
      <c r="BC3115" s="80" t="s">
        <v>18854</v>
      </c>
      <c r="BD3115" s="80" t="s">
        <v>20991</v>
      </c>
      <c r="BE3115" s="77"/>
      <c r="BF3115" s="77"/>
      <c r="BG3115" s="77"/>
      <c r="BH3115" s="77"/>
      <c r="BI3115" s="77"/>
    </row>
    <row r="3116" spans="1:61" x14ac:dyDescent="0.25">
      <c r="A3116" s="62" t="s">
        <v>1235</v>
      </c>
      <c r="B3116" s="62" t="s">
        <v>1234</v>
      </c>
      <c r="C3116" s="63"/>
      <c r="D3116" s="64"/>
      <c r="E3116" s="65"/>
      <c r="F3116" s="66"/>
      <c r="G3116" s="63"/>
      <c r="H3116" s="67"/>
      <c r="I3116" s="68"/>
      <c r="J3116" s="68"/>
      <c r="K3116" s="32"/>
      <c r="L3116" s="75">
        <v>3116</v>
      </c>
      <c r="M3116" s="75"/>
      <c r="N3116" s="70"/>
      <c r="O3116" s="77" t="s">
        <v>2082</v>
      </c>
      <c r="P3116" s="79">
        <v>45051.962766203702</v>
      </c>
      <c r="Q3116" s="77" t="s">
        <v>4831</v>
      </c>
      <c r="R3116" s="77">
        <v>0</v>
      </c>
      <c r="S3116" s="77">
        <v>0</v>
      </c>
      <c r="T3116" s="77">
        <v>0</v>
      </c>
      <c r="U3116" s="77">
        <v>0</v>
      </c>
      <c r="V3116" s="77">
        <v>2</v>
      </c>
      <c r="W3116" s="80" t="s">
        <v>5884</v>
      </c>
      <c r="X3116" s="77"/>
      <c r="Y3116" s="77"/>
      <c r="Z3116" s="77" t="s">
        <v>9007</v>
      </c>
      <c r="AA3116" s="77"/>
      <c r="AB3116" s="77"/>
      <c r="AC3116" s="80" t="s">
        <v>10540</v>
      </c>
      <c r="AD3116" s="77" t="s">
        <v>10617</v>
      </c>
      <c r="AE3116" s="83" t="str">
        <f>HYPERLINK("https://twitter.com/claudiolof/status/1654623604263247875")</f>
        <v>https://twitter.com/claudiolof/status/1654623604263247875</v>
      </c>
      <c r="AF3116" s="79">
        <v>45051.962766203702</v>
      </c>
      <c r="AG3116" s="85">
        <v>45051</v>
      </c>
      <c r="AH3116" s="80" t="s">
        <v>13337</v>
      </c>
      <c r="AI3116" s="77"/>
      <c r="AJ3116" s="77"/>
      <c r="AK3116" s="77"/>
      <c r="AL3116" s="77"/>
      <c r="AM3116" s="77"/>
      <c r="AN3116" s="77"/>
      <c r="AO3116" s="77"/>
      <c r="AP3116" s="77"/>
      <c r="AQ3116" s="77"/>
      <c r="AR3116" s="77"/>
      <c r="AS3116" s="77"/>
      <c r="AT3116" s="77"/>
      <c r="AU3116" s="77"/>
      <c r="AV3116" s="83" t="str">
        <f>HYPERLINK("https://pbs.twimg.com/profile_images/1699923061431005184/xjV9icXW_normal.jpg")</f>
        <v>https://pbs.twimg.com/profile_images/1699923061431005184/xjV9icXW_normal.jpg</v>
      </c>
      <c r="AW3116" s="80" t="s">
        <v>18855</v>
      </c>
      <c r="AX3116" s="80" t="s">
        <v>18855</v>
      </c>
      <c r="AY3116" s="77"/>
      <c r="AZ3116" s="80" t="s">
        <v>20380</v>
      </c>
      <c r="BA3116" s="80" t="s">
        <v>18854</v>
      </c>
      <c r="BB3116" s="80" t="s">
        <v>20380</v>
      </c>
      <c r="BC3116" s="80" t="s">
        <v>18854</v>
      </c>
      <c r="BD3116" s="80" t="s">
        <v>20992</v>
      </c>
      <c r="BE3116" s="77"/>
      <c r="BF3116" s="77"/>
      <c r="BG3116" s="77"/>
      <c r="BH3116" s="77"/>
      <c r="BI3116" s="77"/>
    </row>
    <row r="3117" spans="1:61" x14ac:dyDescent="0.25">
      <c r="A3117" s="62" t="s">
        <v>1235</v>
      </c>
      <c r="B3117" s="62" t="s">
        <v>1677</v>
      </c>
      <c r="C3117" s="63"/>
      <c r="D3117" s="64"/>
      <c r="E3117" s="65"/>
      <c r="F3117" s="66"/>
      <c r="G3117" s="63"/>
      <c r="H3117" s="67"/>
      <c r="I3117" s="68"/>
      <c r="J3117" s="68"/>
      <c r="K3117" s="32"/>
      <c r="L3117" s="75">
        <v>3117</v>
      </c>
      <c r="M3117" s="75"/>
      <c r="N3117" s="70"/>
      <c r="O3117" s="77" t="s">
        <v>2084</v>
      </c>
      <c r="P3117" s="79">
        <v>45051.962766203702</v>
      </c>
      <c r="Q3117" s="77" t="s">
        <v>4831</v>
      </c>
      <c r="R3117" s="77">
        <v>0</v>
      </c>
      <c r="S3117" s="77">
        <v>0</v>
      </c>
      <c r="T3117" s="77">
        <v>0</v>
      </c>
      <c r="U3117" s="77">
        <v>0</v>
      </c>
      <c r="V3117" s="77">
        <v>2</v>
      </c>
      <c r="W3117" s="80" t="s">
        <v>5884</v>
      </c>
      <c r="X3117" s="77"/>
      <c r="Y3117" s="77"/>
      <c r="Z3117" s="77" t="s">
        <v>9007</v>
      </c>
      <c r="AA3117" s="77"/>
      <c r="AB3117" s="77"/>
      <c r="AC3117" s="80" t="s">
        <v>10540</v>
      </c>
      <c r="AD3117" s="77" t="s">
        <v>10617</v>
      </c>
      <c r="AE3117" s="83" t="str">
        <f>HYPERLINK("https://twitter.com/claudiolof/status/1654623604263247875")</f>
        <v>https://twitter.com/claudiolof/status/1654623604263247875</v>
      </c>
      <c r="AF3117" s="79">
        <v>45051.962766203702</v>
      </c>
      <c r="AG3117" s="85">
        <v>45051</v>
      </c>
      <c r="AH3117" s="80" t="s">
        <v>13337</v>
      </c>
      <c r="AI3117" s="77"/>
      <c r="AJ3117" s="77"/>
      <c r="AK3117" s="77"/>
      <c r="AL3117" s="77"/>
      <c r="AM3117" s="77"/>
      <c r="AN3117" s="77"/>
      <c r="AO3117" s="77"/>
      <c r="AP3117" s="77"/>
      <c r="AQ3117" s="77"/>
      <c r="AR3117" s="77"/>
      <c r="AS3117" s="77"/>
      <c r="AT3117" s="77"/>
      <c r="AU3117" s="77"/>
      <c r="AV3117" s="83" t="str">
        <f>HYPERLINK("https://pbs.twimg.com/profile_images/1699923061431005184/xjV9icXW_normal.jpg")</f>
        <v>https://pbs.twimg.com/profile_images/1699923061431005184/xjV9icXW_normal.jpg</v>
      </c>
      <c r="AW3117" s="80" t="s">
        <v>18855</v>
      </c>
      <c r="AX3117" s="80" t="s">
        <v>18855</v>
      </c>
      <c r="AY3117" s="77"/>
      <c r="AZ3117" s="80" t="s">
        <v>20380</v>
      </c>
      <c r="BA3117" s="80" t="s">
        <v>18854</v>
      </c>
      <c r="BB3117" s="80" t="s">
        <v>20380</v>
      </c>
      <c r="BC3117" s="80" t="s">
        <v>18854</v>
      </c>
      <c r="BD3117" s="80" t="s">
        <v>20992</v>
      </c>
      <c r="BE3117" s="77"/>
      <c r="BF3117" s="77"/>
      <c r="BG3117" s="77"/>
      <c r="BH3117" s="77"/>
      <c r="BI3117" s="77"/>
    </row>
    <row r="3118" spans="1:61" x14ac:dyDescent="0.25">
      <c r="A3118" s="62" t="s">
        <v>1235</v>
      </c>
      <c r="B3118" s="62" t="s">
        <v>1624</v>
      </c>
      <c r="C3118" s="63"/>
      <c r="D3118" s="64"/>
      <c r="E3118" s="65"/>
      <c r="F3118" s="66"/>
      <c r="G3118" s="63"/>
      <c r="H3118" s="67"/>
      <c r="I3118" s="68"/>
      <c r="J3118" s="68"/>
      <c r="K3118" s="32"/>
      <c r="L3118" s="75">
        <v>3118</v>
      </c>
      <c r="M3118" s="75"/>
      <c r="N3118" s="70"/>
      <c r="O3118" s="77" t="s">
        <v>2084</v>
      </c>
      <c r="P3118" s="79">
        <v>45051.962766203702</v>
      </c>
      <c r="Q3118" s="77" t="s">
        <v>4831</v>
      </c>
      <c r="R3118" s="77">
        <v>0</v>
      </c>
      <c r="S3118" s="77">
        <v>0</v>
      </c>
      <c r="T3118" s="77">
        <v>0</v>
      </c>
      <c r="U3118" s="77">
        <v>0</v>
      </c>
      <c r="V3118" s="77">
        <v>2</v>
      </c>
      <c r="W3118" s="80" t="s">
        <v>5884</v>
      </c>
      <c r="X3118" s="77"/>
      <c r="Y3118" s="77"/>
      <c r="Z3118" s="77" t="s">
        <v>9007</v>
      </c>
      <c r="AA3118" s="77"/>
      <c r="AB3118" s="77"/>
      <c r="AC3118" s="80" t="s">
        <v>10540</v>
      </c>
      <c r="AD3118" s="77" t="s">
        <v>10617</v>
      </c>
      <c r="AE3118" s="83" t="str">
        <f>HYPERLINK("https://twitter.com/claudiolof/status/1654623604263247875")</f>
        <v>https://twitter.com/claudiolof/status/1654623604263247875</v>
      </c>
      <c r="AF3118" s="79">
        <v>45051.962766203702</v>
      </c>
      <c r="AG3118" s="85">
        <v>45051</v>
      </c>
      <c r="AH3118" s="80" t="s">
        <v>13337</v>
      </c>
      <c r="AI3118" s="77"/>
      <c r="AJ3118" s="77"/>
      <c r="AK3118" s="77"/>
      <c r="AL3118" s="77"/>
      <c r="AM3118" s="77"/>
      <c r="AN3118" s="77"/>
      <c r="AO3118" s="77"/>
      <c r="AP3118" s="77"/>
      <c r="AQ3118" s="77"/>
      <c r="AR3118" s="77"/>
      <c r="AS3118" s="77"/>
      <c r="AT3118" s="77"/>
      <c r="AU3118" s="77"/>
      <c r="AV3118" s="83" t="str">
        <f>HYPERLINK("https://pbs.twimg.com/profile_images/1699923061431005184/xjV9icXW_normal.jpg")</f>
        <v>https://pbs.twimg.com/profile_images/1699923061431005184/xjV9icXW_normal.jpg</v>
      </c>
      <c r="AW3118" s="80" t="s">
        <v>18855</v>
      </c>
      <c r="AX3118" s="80" t="s">
        <v>18855</v>
      </c>
      <c r="AY3118" s="77"/>
      <c r="AZ3118" s="80" t="s">
        <v>20380</v>
      </c>
      <c r="BA3118" s="80" t="s">
        <v>18854</v>
      </c>
      <c r="BB3118" s="80" t="s">
        <v>20380</v>
      </c>
      <c r="BC3118" s="80" t="s">
        <v>18854</v>
      </c>
      <c r="BD3118" s="80" t="s">
        <v>20992</v>
      </c>
      <c r="BE3118" s="77"/>
      <c r="BF3118" s="77"/>
      <c r="BG3118" s="77"/>
      <c r="BH3118" s="77"/>
      <c r="BI3118" s="77"/>
    </row>
    <row r="3119" spans="1:61" x14ac:dyDescent="0.25">
      <c r="A3119" s="62" t="s">
        <v>1236</v>
      </c>
      <c r="B3119" s="62" t="s">
        <v>1596</v>
      </c>
      <c r="C3119" s="63"/>
      <c r="D3119" s="64"/>
      <c r="E3119" s="65"/>
      <c r="F3119" s="66"/>
      <c r="G3119" s="63"/>
      <c r="H3119" s="67"/>
      <c r="I3119" s="68"/>
      <c r="J3119" s="68"/>
      <c r="K3119" s="32"/>
      <c r="L3119" s="75">
        <v>3119</v>
      </c>
      <c r="M3119" s="75"/>
      <c r="N3119" s="70"/>
      <c r="O3119" s="77" t="s">
        <v>2081</v>
      </c>
      <c r="P3119" s="79">
        <v>45189.912499999999</v>
      </c>
      <c r="Q3119" s="77" t="s">
        <v>4832</v>
      </c>
      <c r="R3119" s="77">
        <v>2</v>
      </c>
      <c r="S3119" s="77">
        <v>60</v>
      </c>
      <c r="T3119" s="77">
        <v>3</v>
      </c>
      <c r="U3119" s="77">
        <v>0</v>
      </c>
      <c r="V3119" s="77">
        <v>8852</v>
      </c>
      <c r="W3119" s="80" t="s">
        <v>6008</v>
      </c>
      <c r="X3119" s="83" t="str">
        <f>HYPERLINK("https://www.bcb.gov.br/detalhenoticia/17981/nota")</f>
        <v>https://www.bcb.gov.br/detalhenoticia/17981/nota</v>
      </c>
      <c r="Y3119" s="77" t="s">
        <v>8633</v>
      </c>
      <c r="Z3119" s="77" t="s">
        <v>1596</v>
      </c>
      <c r="AA3119" s="77"/>
      <c r="AB3119" s="77"/>
      <c r="AC3119" s="80" t="s">
        <v>10541</v>
      </c>
      <c r="AD3119" s="77" t="s">
        <v>10617</v>
      </c>
      <c r="AE3119" s="83" t="str">
        <f>HYPERLINK("https://twitter.com/sf2invest/status/1704614914801676644")</f>
        <v>https://twitter.com/sf2invest/status/1704614914801676644</v>
      </c>
      <c r="AF3119" s="79">
        <v>45189.912499999999</v>
      </c>
      <c r="AG3119" s="85">
        <v>45189</v>
      </c>
      <c r="AH3119" s="80" t="s">
        <v>13338</v>
      </c>
      <c r="AI3119" s="77" t="b">
        <v>0</v>
      </c>
      <c r="AJ3119" s="77"/>
      <c r="AK3119" s="77"/>
      <c r="AL3119" s="77"/>
      <c r="AM3119" s="77"/>
      <c r="AN3119" s="77"/>
      <c r="AO3119" s="77"/>
      <c r="AP3119" s="77"/>
      <c r="AQ3119" s="77"/>
      <c r="AR3119" s="77"/>
      <c r="AS3119" s="77"/>
      <c r="AT3119" s="77"/>
      <c r="AU3119" s="77"/>
      <c r="AV3119" s="83" t="str">
        <f>HYPERLINK("https://pbs.twimg.com/profile_images/1366132789742026753/TbgQRU-a_normal.jpg")</f>
        <v>https://pbs.twimg.com/profile_images/1366132789742026753/TbgQRU-a_normal.jpg</v>
      </c>
      <c r="AW3119" s="80" t="s">
        <v>18856</v>
      </c>
      <c r="AX3119" s="80" t="s">
        <v>18856</v>
      </c>
      <c r="AY3119" s="77"/>
      <c r="AZ3119" s="80" t="s">
        <v>20380</v>
      </c>
      <c r="BA3119" s="80" t="s">
        <v>20380</v>
      </c>
      <c r="BB3119" s="80" t="s">
        <v>20380</v>
      </c>
      <c r="BC3119" s="80" t="s">
        <v>18856</v>
      </c>
      <c r="BD3119" s="80" t="s">
        <v>20993</v>
      </c>
      <c r="BE3119" s="77"/>
      <c r="BF3119" s="77"/>
      <c r="BG3119" s="77"/>
      <c r="BH3119" s="77"/>
      <c r="BI3119" s="77"/>
    </row>
    <row r="3120" spans="1:61" x14ac:dyDescent="0.25">
      <c r="A3120" s="62" t="s">
        <v>1237</v>
      </c>
      <c r="B3120" s="62" t="s">
        <v>1236</v>
      </c>
      <c r="C3120" s="63"/>
      <c r="D3120" s="64"/>
      <c r="E3120" s="65"/>
      <c r="F3120" s="66"/>
      <c r="G3120" s="63"/>
      <c r="H3120" s="67"/>
      <c r="I3120" s="68"/>
      <c r="J3120" s="68"/>
      <c r="K3120" s="32"/>
      <c r="L3120" s="75">
        <v>3120</v>
      </c>
      <c r="M3120" s="75"/>
      <c r="N3120" s="70"/>
      <c r="O3120" s="77" t="s">
        <v>2083</v>
      </c>
      <c r="P3120" s="79">
        <v>45189.915763888886</v>
      </c>
      <c r="Q3120" s="77" t="s">
        <v>4426</v>
      </c>
      <c r="R3120" s="77">
        <v>2</v>
      </c>
      <c r="S3120" s="77">
        <v>0</v>
      </c>
      <c r="T3120" s="77">
        <v>0</v>
      </c>
      <c r="U3120" s="77">
        <v>0</v>
      </c>
      <c r="V3120" s="77"/>
      <c r="W3120" s="80" t="s">
        <v>6008</v>
      </c>
      <c r="X3120" s="83" t="str">
        <f>HYPERLINK("https://www.bcb.gov.br/detalhenoticia/17981/nota")</f>
        <v>https://www.bcb.gov.br/detalhenoticia/17981/nota</v>
      </c>
      <c r="Y3120" s="77" t="s">
        <v>8633</v>
      </c>
      <c r="Z3120" s="77" t="s">
        <v>8994</v>
      </c>
      <c r="AA3120" s="77"/>
      <c r="AB3120" s="77"/>
      <c r="AC3120" s="80" t="s">
        <v>10542</v>
      </c>
      <c r="AD3120" s="77" t="s">
        <v>10617</v>
      </c>
      <c r="AE3120" s="83" t="str">
        <f>HYPERLINK("https://twitter.com/traderbolsa/status/1704616098954358806")</f>
        <v>https://twitter.com/traderbolsa/status/1704616098954358806</v>
      </c>
      <c r="AF3120" s="79">
        <v>45189.915763888886</v>
      </c>
      <c r="AG3120" s="85">
        <v>45189</v>
      </c>
      <c r="AH3120" s="80" t="s">
        <v>13339</v>
      </c>
      <c r="AI3120" s="77" t="b">
        <v>0</v>
      </c>
      <c r="AJ3120" s="77"/>
      <c r="AK3120" s="77"/>
      <c r="AL3120" s="77"/>
      <c r="AM3120" s="77"/>
      <c r="AN3120" s="77"/>
      <c r="AO3120" s="77"/>
      <c r="AP3120" s="77"/>
      <c r="AQ3120" s="77"/>
      <c r="AR3120" s="77"/>
      <c r="AS3120" s="77"/>
      <c r="AT3120" s="77"/>
      <c r="AU3120" s="77"/>
      <c r="AV3120" s="83" t="str">
        <f>HYPERLINK("https://pbs.twimg.com/profile_images/991561569388630016/rZZp9ESv_normal.jpg")</f>
        <v>https://pbs.twimg.com/profile_images/991561569388630016/rZZp9ESv_normal.jpg</v>
      </c>
      <c r="AW3120" s="80" t="s">
        <v>18857</v>
      </c>
      <c r="AX3120" s="80" t="s">
        <v>18857</v>
      </c>
      <c r="AY3120" s="77"/>
      <c r="AZ3120" s="80" t="s">
        <v>20380</v>
      </c>
      <c r="BA3120" s="80" t="s">
        <v>20380</v>
      </c>
      <c r="BB3120" s="80" t="s">
        <v>18856</v>
      </c>
      <c r="BC3120" s="80" t="s">
        <v>18856</v>
      </c>
      <c r="BD3120" s="77">
        <v>109640710</v>
      </c>
      <c r="BE3120" s="77"/>
      <c r="BF3120" s="77"/>
      <c r="BG3120" s="77"/>
      <c r="BH3120" s="77"/>
      <c r="BI3120" s="77"/>
    </row>
    <row r="3121" spans="1:61" x14ac:dyDescent="0.25">
      <c r="A3121" s="62" t="s">
        <v>1237</v>
      </c>
      <c r="B3121" s="62" t="s">
        <v>1596</v>
      </c>
      <c r="C3121" s="63"/>
      <c r="D3121" s="64"/>
      <c r="E3121" s="65"/>
      <c r="F3121" s="66"/>
      <c r="G3121" s="63"/>
      <c r="H3121" s="67"/>
      <c r="I3121" s="68"/>
      <c r="J3121" s="68"/>
      <c r="K3121" s="32"/>
      <c r="L3121" s="75">
        <v>3121</v>
      </c>
      <c r="M3121" s="75"/>
      <c r="N3121" s="70"/>
      <c r="O3121" s="77" t="s">
        <v>2085</v>
      </c>
      <c r="P3121" s="79">
        <v>45189.915763888886</v>
      </c>
      <c r="Q3121" s="77" t="s">
        <v>4426</v>
      </c>
      <c r="R3121" s="77">
        <v>2</v>
      </c>
      <c r="S3121" s="77">
        <v>0</v>
      </c>
      <c r="T3121" s="77">
        <v>0</v>
      </c>
      <c r="U3121" s="77">
        <v>0</v>
      </c>
      <c r="V3121" s="77"/>
      <c r="W3121" s="80" t="s">
        <v>6008</v>
      </c>
      <c r="X3121" s="83" t="str">
        <f>HYPERLINK("https://www.bcb.gov.br/detalhenoticia/17981/nota")</f>
        <v>https://www.bcb.gov.br/detalhenoticia/17981/nota</v>
      </c>
      <c r="Y3121" s="77" t="s">
        <v>8633</v>
      </c>
      <c r="Z3121" s="77" t="s">
        <v>8994</v>
      </c>
      <c r="AA3121" s="77"/>
      <c r="AB3121" s="77"/>
      <c r="AC3121" s="80" t="s">
        <v>10542</v>
      </c>
      <c r="AD3121" s="77" t="s">
        <v>10617</v>
      </c>
      <c r="AE3121" s="83" t="str">
        <f>HYPERLINK("https://twitter.com/traderbolsa/status/1704616098954358806")</f>
        <v>https://twitter.com/traderbolsa/status/1704616098954358806</v>
      </c>
      <c r="AF3121" s="79">
        <v>45189.915763888886</v>
      </c>
      <c r="AG3121" s="85">
        <v>45189</v>
      </c>
      <c r="AH3121" s="80" t="s">
        <v>13339</v>
      </c>
      <c r="AI3121" s="77" t="b">
        <v>0</v>
      </c>
      <c r="AJ3121" s="77"/>
      <c r="AK3121" s="77"/>
      <c r="AL3121" s="77"/>
      <c r="AM3121" s="77"/>
      <c r="AN3121" s="77"/>
      <c r="AO3121" s="77"/>
      <c r="AP3121" s="77"/>
      <c r="AQ3121" s="77"/>
      <c r="AR3121" s="77"/>
      <c r="AS3121" s="77"/>
      <c r="AT3121" s="77"/>
      <c r="AU3121" s="77"/>
      <c r="AV3121" s="83" t="str">
        <f>HYPERLINK("https://pbs.twimg.com/profile_images/991561569388630016/rZZp9ESv_normal.jpg")</f>
        <v>https://pbs.twimg.com/profile_images/991561569388630016/rZZp9ESv_normal.jpg</v>
      </c>
      <c r="AW3121" s="80" t="s">
        <v>18857</v>
      </c>
      <c r="AX3121" s="80" t="s">
        <v>18857</v>
      </c>
      <c r="AY3121" s="77"/>
      <c r="AZ3121" s="80" t="s">
        <v>20380</v>
      </c>
      <c r="BA3121" s="80" t="s">
        <v>20380</v>
      </c>
      <c r="BB3121" s="80" t="s">
        <v>18856</v>
      </c>
      <c r="BC3121" s="80" t="s">
        <v>18856</v>
      </c>
      <c r="BD3121" s="77">
        <v>109640710</v>
      </c>
      <c r="BE3121" s="77"/>
      <c r="BF3121" s="77"/>
      <c r="BG3121" s="77"/>
      <c r="BH3121" s="77"/>
      <c r="BI3121" s="77"/>
    </row>
    <row r="3122" spans="1:61" x14ac:dyDescent="0.25">
      <c r="A3122" s="62" t="s">
        <v>1238</v>
      </c>
      <c r="B3122" s="62" t="s">
        <v>1238</v>
      </c>
      <c r="C3122" s="63"/>
      <c r="D3122" s="64"/>
      <c r="E3122" s="65"/>
      <c r="F3122" s="66"/>
      <c r="G3122" s="63"/>
      <c r="H3122" s="67"/>
      <c r="I3122" s="68"/>
      <c r="J3122" s="68"/>
      <c r="K3122" s="32"/>
      <c r="L3122" s="75">
        <v>3122</v>
      </c>
      <c r="M3122" s="75"/>
      <c r="N3122" s="70"/>
      <c r="O3122" s="77" t="s">
        <v>179</v>
      </c>
      <c r="P3122" s="79">
        <v>45175.631585648145</v>
      </c>
      <c r="Q3122" s="77" t="s">
        <v>4833</v>
      </c>
      <c r="R3122" s="77">
        <v>1</v>
      </c>
      <c r="S3122" s="77">
        <v>0</v>
      </c>
      <c r="T3122" s="77">
        <v>0</v>
      </c>
      <c r="U3122" s="77">
        <v>0</v>
      </c>
      <c r="V3122" s="77">
        <v>60</v>
      </c>
      <c r="W3122" s="80" t="s">
        <v>7826</v>
      </c>
      <c r="X3122" s="83" t="str">
        <f>HYPERLINK("https://fintualist.com/chile/economia/mercados/banco-central-de-chile-redujo-su-tasa-de-interes-en-75-puntos-base/")</f>
        <v>https://fintualist.com/chile/economia/mercados/banco-central-de-chile-redujo-su-tasa-de-interes-en-75-puntos-base/</v>
      </c>
      <c r="Y3122" s="77" t="s">
        <v>8719</v>
      </c>
      <c r="Z3122" s="77"/>
      <c r="AA3122" s="77"/>
      <c r="AB3122" s="77"/>
      <c r="AC3122" s="80" t="s">
        <v>10541</v>
      </c>
      <c r="AD3122" s="77" t="s">
        <v>10620</v>
      </c>
      <c r="AE3122" s="83" t="str">
        <f>HYPERLINK("https://twitter.com/jmbismark/status/1699439685976588720")</f>
        <v>https://twitter.com/jmbismark/status/1699439685976588720</v>
      </c>
      <c r="AF3122" s="79">
        <v>45175.631585648145</v>
      </c>
      <c r="AG3122" s="85">
        <v>45175</v>
      </c>
      <c r="AH3122" s="80" t="s">
        <v>13340</v>
      </c>
      <c r="AI3122" s="77" t="b">
        <v>0</v>
      </c>
      <c r="AJ3122" s="77"/>
      <c r="AK3122" s="77"/>
      <c r="AL3122" s="77"/>
      <c r="AM3122" s="77"/>
      <c r="AN3122" s="77"/>
      <c r="AO3122" s="77"/>
      <c r="AP3122" s="77"/>
      <c r="AQ3122" s="77"/>
      <c r="AR3122" s="77"/>
      <c r="AS3122" s="77"/>
      <c r="AT3122" s="77"/>
      <c r="AU3122" s="77"/>
      <c r="AV3122" s="83" t="str">
        <f>HYPERLINK("https://pbs.twimg.com/profile_images/1429325693222068227/RxJawUo__normal.jpg")</f>
        <v>https://pbs.twimg.com/profile_images/1429325693222068227/RxJawUo__normal.jpg</v>
      </c>
      <c r="AW3122" s="80" t="s">
        <v>18858</v>
      </c>
      <c r="AX3122" s="80" t="s">
        <v>18858</v>
      </c>
      <c r="AY3122" s="77"/>
      <c r="AZ3122" s="80" t="s">
        <v>20380</v>
      </c>
      <c r="BA3122" s="80" t="s">
        <v>20380</v>
      </c>
      <c r="BB3122" s="80" t="s">
        <v>20380</v>
      </c>
      <c r="BC3122" s="80" t="s">
        <v>18858</v>
      </c>
      <c r="BD3122" s="77">
        <v>619420076</v>
      </c>
      <c r="BE3122" s="77"/>
      <c r="BF3122" s="77"/>
      <c r="BG3122" s="77"/>
      <c r="BH3122" s="77"/>
      <c r="BI3122" s="77"/>
    </row>
    <row r="3123" spans="1:61" x14ac:dyDescent="0.25">
      <c r="A3123" s="62" t="s">
        <v>1239</v>
      </c>
      <c r="B3123" s="62" t="s">
        <v>1615</v>
      </c>
      <c r="C3123" s="63"/>
      <c r="D3123" s="64"/>
      <c r="E3123" s="65"/>
      <c r="F3123" s="66"/>
      <c r="G3123" s="63"/>
      <c r="H3123" s="67"/>
      <c r="I3123" s="68"/>
      <c r="J3123" s="68"/>
      <c r="K3123" s="32"/>
      <c r="L3123" s="75">
        <v>3123</v>
      </c>
      <c r="M3123" s="75"/>
      <c r="N3123" s="70"/>
      <c r="O3123" s="77" t="s">
        <v>2083</v>
      </c>
      <c r="P3123" s="79">
        <v>45189.495833333334</v>
      </c>
      <c r="Q3123" s="77" t="s">
        <v>2102</v>
      </c>
      <c r="R3123" s="77">
        <v>10</v>
      </c>
      <c r="S3123" s="77">
        <v>0</v>
      </c>
      <c r="T3123" s="77">
        <v>0</v>
      </c>
      <c r="U3123" s="77">
        <v>0</v>
      </c>
      <c r="V3123" s="77"/>
      <c r="W3123" s="80" t="s">
        <v>5899</v>
      </c>
      <c r="X3123" s="77"/>
      <c r="Y3123" s="77"/>
      <c r="Z3123" s="77" t="s">
        <v>1615</v>
      </c>
      <c r="AA3123" s="77" t="s">
        <v>9047</v>
      </c>
      <c r="AB3123" s="77" t="s">
        <v>10535</v>
      </c>
      <c r="AC3123" s="80" t="s">
        <v>10542</v>
      </c>
      <c r="AD3123" s="77" t="s">
        <v>10619</v>
      </c>
      <c r="AE3123" s="83" t="str">
        <f>HYPERLINK("https://twitter.com/elsonsimbine/status/1704463920960868433")</f>
        <v>https://twitter.com/elsonsimbine/status/1704463920960868433</v>
      </c>
      <c r="AF3123" s="79">
        <v>45189.495833333334</v>
      </c>
      <c r="AG3123" s="85">
        <v>45189</v>
      </c>
      <c r="AH3123" s="80" t="s">
        <v>13341</v>
      </c>
      <c r="AI3123" s="77" t="b">
        <v>0</v>
      </c>
      <c r="AJ3123" s="77"/>
      <c r="AK3123" s="77"/>
      <c r="AL3123" s="77"/>
      <c r="AM3123" s="77"/>
      <c r="AN3123" s="77"/>
      <c r="AO3123" s="77"/>
      <c r="AP3123" s="77"/>
      <c r="AQ3123" s="77" t="s">
        <v>14529</v>
      </c>
      <c r="AR3123" s="77"/>
      <c r="AS3123" s="77"/>
      <c r="AT3123" s="77"/>
      <c r="AU3123" s="77"/>
      <c r="AV3123" s="83" t="str">
        <f>HYPERLINK("https://pbs.twimg.com/media/F6c2kgoWAAAEEnO.jpg")</f>
        <v>https://pbs.twimg.com/media/F6c2kgoWAAAEEnO.jpg</v>
      </c>
      <c r="AW3123" s="80" t="s">
        <v>18859</v>
      </c>
      <c r="AX3123" s="80" t="s">
        <v>18859</v>
      </c>
      <c r="AY3123" s="77"/>
      <c r="AZ3123" s="80" t="s">
        <v>20380</v>
      </c>
      <c r="BA3123" s="80" t="s">
        <v>20380</v>
      </c>
      <c r="BB3123" s="80" t="s">
        <v>19728</v>
      </c>
      <c r="BC3123" s="80" t="s">
        <v>19728</v>
      </c>
      <c r="BD3123" s="77">
        <v>592534825</v>
      </c>
      <c r="BE3123" s="77"/>
      <c r="BF3123" s="77"/>
      <c r="BG3123" s="77"/>
      <c r="BH3123" s="77"/>
      <c r="BI3123" s="77"/>
    </row>
    <row r="3124" spans="1:61" x14ac:dyDescent="0.25">
      <c r="A3124" s="62" t="s">
        <v>1240</v>
      </c>
      <c r="B3124" s="62" t="s">
        <v>1240</v>
      </c>
      <c r="C3124" s="63"/>
      <c r="D3124" s="64"/>
      <c r="E3124" s="65"/>
      <c r="F3124" s="66"/>
      <c r="G3124" s="63"/>
      <c r="H3124" s="67"/>
      <c r="I3124" s="68"/>
      <c r="J3124" s="68"/>
      <c r="K3124" s="32"/>
      <c r="L3124" s="75">
        <v>3124</v>
      </c>
      <c r="M3124" s="75"/>
      <c r="N3124" s="70"/>
      <c r="O3124" s="77" t="s">
        <v>179</v>
      </c>
      <c r="P3124" s="79">
        <v>45056.130937499998</v>
      </c>
      <c r="Q3124" s="77" t="s">
        <v>4834</v>
      </c>
      <c r="R3124" s="77">
        <v>0</v>
      </c>
      <c r="S3124" s="77">
        <v>0</v>
      </c>
      <c r="T3124" s="77">
        <v>0</v>
      </c>
      <c r="U3124" s="77">
        <v>0</v>
      </c>
      <c r="V3124" s="77">
        <v>7</v>
      </c>
      <c r="W3124" s="80" t="s">
        <v>7827</v>
      </c>
      <c r="X3124" s="83" t="str">
        <f>HYPERLINK("http://dlvr.it/Snp2lr")</f>
        <v>http://dlvr.it/Snp2lr</v>
      </c>
      <c r="Y3124" s="77" t="s">
        <v>8629</v>
      </c>
      <c r="Z3124" s="77"/>
      <c r="AA3124" s="77" t="s">
        <v>10059</v>
      </c>
      <c r="AB3124" s="77" t="s">
        <v>10535</v>
      </c>
      <c r="AC3124" s="80" t="s">
        <v>8629</v>
      </c>
      <c r="AD3124" s="77" t="s">
        <v>10620</v>
      </c>
      <c r="AE3124" s="83" t="str">
        <f>HYPERLINK("https://twitter.com/diariomzasur/status/1656134098199658502")</f>
        <v>https://twitter.com/diariomzasur/status/1656134098199658502</v>
      </c>
      <c r="AF3124" s="79">
        <v>45056.130937499998</v>
      </c>
      <c r="AG3124" s="85">
        <v>45056</v>
      </c>
      <c r="AH3124" s="80" t="s">
        <v>13342</v>
      </c>
      <c r="AI3124" s="77" t="b">
        <v>0</v>
      </c>
      <c r="AJ3124" s="77"/>
      <c r="AK3124" s="77"/>
      <c r="AL3124" s="77"/>
      <c r="AM3124" s="77"/>
      <c r="AN3124" s="77"/>
      <c r="AO3124" s="77"/>
      <c r="AP3124" s="77"/>
      <c r="AQ3124" s="77" t="s">
        <v>15540</v>
      </c>
      <c r="AR3124" s="77"/>
      <c r="AS3124" s="77"/>
      <c r="AT3124" s="77"/>
      <c r="AU3124" s="77"/>
      <c r="AV3124" s="83" t="str">
        <f>HYPERLINK("https://pbs.twimg.com/media/FvvFL6MaQAEq26u.jpg")</f>
        <v>https://pbs.twimg.com/media/FvvFL6MaQAEq26u.jpg</v>
      </c>
      <c r="AW3124" s="80" t="s">
        <v>18860</v>
      </c>
      <c r="AX3124" s="80" t="s">
        <v>18860</v>
      </c>
      <c r="AY3124" s="77"/>
      <c r="AZ3124" s="80" t="s">
        <v>20380</v>
      </c>
      <c r="BA3124" s="80" t="s">
        <v>20380</v>
      </c>
      <c r="BB3124" s="80" t="s">
        <v>20380</v>
      </c>
      <c r="BC3124" s="80" t="s">
        <v>18860</v>
      </c>
      <c r="BD3124" s="80" t="s">
        <v>20994</v>
      </c>
      <c r="BE3124" s="77"/>
      <c r="BF3124" s="77"/>
      <c r="BG3124" s="77"/>
      <c r="BH3124" s="77"/>
      <c r="BI3124" s="77"/>
    </row>
    <row r="3125" spans="1:61" x14ac:dyDescent="0.25">
      <c r="A3125" s="62" t="s">
        <v>1241</v>
      </c>
      <c r="B3125" s="62" t="s">
        <v>1241</v>
      </c>
      <c r="C3125" s="63"/>
      <c r="D3125" s="64"/>
      <c r="E3125" s="65"/>
      <c r="F3125" s="66"/>
      <c r="G3125" s="63"/>
      <c r="H3125" s="67"/>
      <c r="I3125" s="68"/>
      <c r="J3125" s="68"/>
      <c r="K3125" s="32"/>
      <c r="L3125" s="75">
        <v>3125</v>
      </c>
      <c r="M3125" s="75"/>
      <c r="N3125" s="70"/>
      <c r="O3125" s="77" t="s">
        <v>179</v>
      </c>
      <c r="P3125" s="79">
        <v>45107.927754629629</v>
      </c>
      <c r="Q3125" s="77" t="s">
        <v>4835</v>
      </c>
      <c r="R3125" s="77">
        <v>0</v>
      </c>
      <c r="S3125" s="77">
        <v>0</v>
      </c>
      <c r="T3125" s="77">
        <v>1</v>
      </c>
      <c r="U3125" s="77">
        <v>0</v>
      </c>
      <c r="V3125" s="77">
        <v>56</v>
      </c>
      <c r="W3125" s="80" t="s">
        <v>7828</v>
      </c>
      <c r="X3125" s="77"/>
      <c r="Y3125" s="77"/>
      <c r="Z3125" s="77"/>
      <c r="AA3125" s="77" t="s">
        <v>10060</v>
      </c>
      <c r="AB3125" s="77" t="s">
        <v>10535</v>
      </c>
      <c r="AC3125" s="80" t="s">
        <v>10541</v>
      </c>
      <c r="AD3125" s="77" t="s">
        <v>10620</v>
      </c>
      <c r="AE3125" s="83" t="str">
        <f>HYPERLINK("https://twitter.com/mercopresses/status/1674904639542644737")</f>
        <v>https://twitter.com/mercopresses/status/1674904639542644737</v>
      </c>
      <c r="AF3125" s="79">
        <v>45107.927754629629</v>
      </c>
      <c r="AG3125" s="85">
        <v>45107</v>
      </c>
      <c r="AH3125" s="80" t="s">
        <v>11597</v>
      </c>
      <c r="AI3125" s="77" t="b">
        <v>0</v>
      </c>
      <c r="AJ3125" s="77"/>
      <c r="AK3125" s="77"/>
      <c r="AL3125" s="77"/>
      <c r="AM3125" s="77"/>
      <c r="AN3125" s="77"/>
      <c r="AO3125" s="77"/>
      <c r="AP3125" s="77"/>
      <c r="AQ3125" s="77" t="s">
        <v>15541</v>
      </c>
      <c r="AR3125" s="77"/>
      <c r="AS3125" s="77"/>
      <c r="AT3125" s="77"/>
      <c r="AU3125" s="77"/>
      <c r="AV3125" s="83" t="str">
        <f>HYPERLINK("https://pbs.twimg.com/media/Fz50r2lXwAAE_Ek.jpg")</f>
        <v>https://pbs.twimg.com/media/Fz50r2lXwAAE_Ek.jpg</v>
      </c>
      <c r="AW3125" s="80" t="s">
        <v>18861</v>
      </c>
      <c r="AX3125" s="80" t="s">
        <v>18861</v>
      </c>
      <c r="AY3125" s="77"/>
      <c r="AZ3125" s="80" t="s">
        <v>20380</v>
      </c>
      <c r="BA3125" s="80" t="s">
        <v>20380</v>
      </c>
      <c r="BB3125" s="80" t="s">
        <v>20380</v>
      </c>
      <c r="BC3125" s="80" t="s">
        <v>18861</v>
      </c>
      <c r="BD3125" s="77">
        <v>114256672</v>
      </c>
      <c r="BE3125" s="77"/>
      <c r="BF3125" s="77"/>
      <c r="BG3125" s="77"/>
      <c r="BH3125" s="77"/>
      <c r="BI3125" s="77"/>
    </row>
    <row r="3126" spans="1:61" x14ac:dyDescent="0.25">
      <c r="A3126" s="62" t="s">
        <v>1241</v>
      </c>
      <c r="B3126" s="62" t="s">
        <v>1241</v>
      </c>
      <c r="C3126" s="63"/>
      <c r="D3126" s="64"/>
      <c r="E3126" s="65"/>
      <c r="F3126" s="66"/>
      <c r="G3126" s="63"/>
      <c r="H3126" s="67"/>
      <c r="I3126" s="68"/>
      <c r="J3126" s="68"/>
      <c r="K3126" s="32"/>
      <c r="L3126" s="75">
        <v>3126</v>
      </c>
      <c r="M3126" s="75"/>
      <c r="N3126" s="70"/>
      <c r="O3126" s="77" t="s">
        <v>179</v>
      </c>
      <c r="P3126" s="79">
        <v>45120.814050925925</v>
      </c>
      <c r="Q3126" s="77" t="s">
        <v>4836</v>
      </c>
      <c r="R3126" s="77">
        <v>0</v>
      </c>
      <c r="S3126" s="77">
        <v>0</v>
      </c>
      <c r="T3126" s="77">
        <v>1</v>
      </c>
      <c r="U3126" s="77">
        <v>0</v>
      </c>
      <c r="V3126" s="77">
        <v>55</v>
      </c>
      <c r="W3126" s="80" t="s">
        <v>7829</v>
      </c>
      <c r="X3126" s="77"/>
      <c r="Y3126" s="77"/>
      <c r="Z3126" s="77"/>
      <c r="AA3126" s="77" t="s">
        <v>10061</v>
      </c>
      <c r="AB3126" s="77" t="s">
        <v>10535</v>
      </c>
      <c r="AC3126" s="80" t="s">
        <v>10541</v>
      </c>
      <c r="AD3126" s="77" t="s">
        <v>10620</v>
      </c>
      <c r="AE3126" s="83" t="str">
        <f>HYPERLINK("https://twitter.com/mercopresses/status/1679574473706545153")</f>
        <v>https://twitter.com/mercopresses/status/1679574473706545153</v>
      </c>
      <c r="AF3126" s="79">
        <v>45120.814050925925</v>
      </c>
      <c r="AG3126" s="85">
        <v>45120</v>
      </c>
      <c r="AH3126" s="80" t="s">
        <v>12862</v>
      </c>
      <c r="AI3126" s="77" t="b">
        <v>0</v>
      </c>
      <c r="AJ3126" s="77"/>
      <c r="AK3126" s="77"/>
      <c r="AL3126" s="77"/>
      <c r="AM3126" s="77"/>
      <c r="AN3126" s="77"/>
      <c r="AO3126" s="77"/>
      <c r="AP3126" s="77"/>
      <c r="AQ3126" s="77" t="s">
        <v>15542</v>
      </c>
      <c r="AR3126" s="77"/>
      <c r="AS3126" s="77"/>
      <c r="AT3126" s="77"/>
      <c r="AU3126" s="77"/>
      <c r="AV3126" s="83" t="str">
        <f>HYPERLINK("https://pbs.twimg.com/media/F08LyD-WYAAsBAM.jpg")</f>
        <v>https://pbs.twimg.com/media/F08LyD-WYAAsBAM.jpg</v>
      </c>
      <c r="AW3126" s="80" t="s">
        <v>18862</v>
      </c>
      <c r="AX3126" s="80" t="s">
        <v>18862</v>
      </c>
      <c r="AY3126" s="77"/>
      <c r="AZ3126" s="80" t="s">
        <v>20380</v>
      </c>
      <c r="BA3126" s="80" t="s">
        <v>20380</v>
      </c>
      <c r="BB3126" s="80" t="s">
        <v>20380</v>
      </c>
      <c r="BC3126" s="80" t="s">
        <v>18862</v>
      </c>
      <c r="BD3126" s="77">
        <v>114256672</v>
      </c>
      <c r="BE3126" s="77"/>
      <c r="BF3126" s="77"/>
      <c r="BG3126" s="77"/>
      <c r="BH3126" s="77"/>
      <c r="BI3126" s="77"/>
    </row>
    <row r="3127" spans="1:61" x14ac:dyDescent="0.25">
      <c r="A3127" s="62" t="s">
        <v>1241</v>
      </c>
      <c r="B3127" s="62" t="s">
        <v>1241</v>
      </c>
      <c r="C3127" s="63"/>
      <c r="D3127" s="64"/>
      <c r="E3127" s="65"/>
      <c r="F3127" s="66"/>
      <c r="G3127" s="63"/>
      <c r="H3127" s="67"/>
      <c r="I3127" s="68"/>
      <c r="J3127" s="68"/>
      <c r="K3127" s="32"/>
      <c r="L3127" s="75">
        <v>3127</v>
      </c>
      <c r="M3127" s="75"/>
      <c r="N3127" s="70"/>
      <c r="O3127" s="77" t="s">
        <v>2078</v>
      </c>
      <c r="P3127" s="79">
        <v>45131.556909722225</v>
      </c>
      <c r="Q3127" s="77" t="s">
        <v>4837</v>
      </c>
      <c r="R3127" s="77">
        <v>0</v>
      </c>
      <c r="S3127" s="77">
        <v>0</v>
      </c>
      <c r="T3127" s="77">
        <v>0</v>
      </c>
      <c r="U3127" s="77">
        <v>0</v>
      </c>
      <c r="V3127" s="77">
        <v>16</v>
      </c>
      <c r="W3127" s="80" t="s">
        <v>7830</v>
      </c>
      <c r="X3127" s="83" t="str">
        <f>HYPERLINK("https://bit.ly/3KcmGdd")</f>
        <v>https://bit.ly/3KcmGdd</v>
      </c>
      <c r="Y3127" s="77" t="s">
        <v>8618</v>
      </c>
      <c r="Z3127" s="77"/>
      <c r="AA3127" s="77"/>
      <c r="AB3127" s="77"/>
      <c r="AC3127" s="80" t="s">
        <v>10541</v>
      </c>
      <c r="AD3127" s="77" t="s">
        <v>10620</v>
      </c>
      <c r="AE3127" s="83" t="str">
        <f>HYPERLINK("https://twitter.com/mercopresses/status/1683467558240780288")</f>
        <v>https://twitter.com/mercopresses/status/1683467558240780288</v>
      </c>
      <c r="AF3127" s="79">
        <v>45131.556909722225</v>
      </c>
      <c r="AG3127" s="85">
        <v>45131</v>
      </c>
      <c r="AH3127" s="80" t="s">
        <v>13343</v>
      </c>
      <c r="AI3127" s="77" t="b">
        <v>0</v>
      </c>
      <c r="AJ3127" s="77"/>
      <c r="AK3127" s="77"/>
      <c r="AL3127" s="77"/>
      <c r="AM3127" s="77"/>
      <c r="AN3127" s="77"/>
      <c r="AO3127" s="77"/>
      <c r="AP3127" s="77"/>
      <c r="AQ3127" s="77"/>
      <c r="AR3127" s="77"/>
      <c r="AS3127" s="77"/>
      <c r="AT3127" s="77"/>
      <c r="AU3127" s="77"/>
      <c r="AV3127" s="83" t="str">
        <f>HYPERLINK("https://pbs.twimg.com/profile_images/378800000703814702/2406f493d6ac7ae636dba05602e2eb73_normal.png")</f>
        <v>https://pbs.twimg.com/profile_images/378800000703814702/2406f493d6ac7ae636dba05602e2eb73_normal.png</v>
      </c>
      <c r="AW3127" s="80" t="s">
        <v>18863</v>
      </c>
      <c r="AX3127" s="80" t="s">
        <v>20091</v>
      </c>
      <c r="AY3127" s="80" t="s">
        <v>20336</v>
      </c>
      <c r="AZ3127" s="80" t="s">
        <v>20091</v>
      </c>
      <c r="BA3127" s="80" t="s">
        <v>20380</v>
      </c>
      <c r="BB3127" s="80" t="s">
        <v>20380</v>
      </c>
      <c r="BC3127" s="80" t="s">
        <v>20091</v>
      </c>
      <c r="BD3127" s="77">
        <v>114256672</v>
      </c>
      <c r="BE3127" s="77"/>
      <c r="BF3127" s="77"/>
      <c r="BG3127" s="77"/>
      <c r="BH3127" s="77"/>
      <c r="BI3127" s="77"/>
    </row>
    <row r="3128" spans="1:61" x14ac:dyDescent="0.25">
      <c r="A3128" s="62" t="s">
        <v>1241</v>
      </c>
      <c r="B3128" s="62" t="s">
        <v>1241</v>
      </c>
      <c r="C3128" s="63"/>
      <c r="D3128" s="64"/>
      <c r="E3128" s="65"/>
      <c r="F3128" s="66"/>
      <c r="G3128" s="63"/>
      <c r="H3128" s="67"/>
      <c r="I3128" s="68"/>
      <c r="J3128" s="68"/>
      <c r="K3128" s="32"/>
      <c r="L3128" s="75">
        <v>3128</v>
      </c>
      <c r="M3128" s="75"/>
      <c r="N3128" s="70"/>
      <c r="O3128" s="77" t="s">
        <v>179</v>
      </c>
      <c r="P3128" s="79">
        <v>45127.658553240741</v>
      </c>
      <c r="Q3128" s="77" t="s">
        <v>4838</v>
      </c>
      <c r="R3128" s="77">
        <v>0</v>
      </c>
      <c r="S3128" s="77">
        <v>0</v>
      </c>
      <c r="T3128" s="77">
        <v>1</v>
      </c>
      <c r="U3128" s="77">
        <v>0</v>
      </c>
      <c r="V3128" s="77">
        <v>36</v>
      </c>
      <c r="W3128" s="80" t="s">
        <v>7831</v>
      </c>
      <c r="X3128" s="77"/>
      <c r="Y3128" s="77"/>
      <c r="Z3128" s="77"/>
      <c r="AA3128" s="77" t="s">
        <v>10062</v>
      </c>
      <c r="AB3128" s="77" t="s">
        <v>10535</v>
      </c>
      <c r="AC3128" s="80" t="s">
        <v>10541</v>
      </c>
      <c r="AD3128" s="77" t="s">
        <v>10620</v>
      </c>
      <c r="AE3128" s="83" t="str">
        <f>HYPERLINK("https://twitter.com/mercopresses/status/1682054840631934976")</f>
        <v>https://twitter.com/mercopresses/status/1682054840631934976</v>
      </c>
      <c r="AF3128" s="79">
        <v>45127.658553240741</v>
      </c>
      <c r="AG3128" s="85">
        <v>45127</v>
      </c>
      <c r="AH3128" s="80" t="s">
        <v>13344</v>
      </c>
      <c r="AI3128" s="77" t="b">
        <v>0</v>
      </c>
      <c r="AJ3128" s="77"/>
      <c r="AK3128" s="77"/>
      <c r="AL3128" s="77"/>
      <c r="AM3128" s="77"/>
      <c r="AN3128" s="77"/>
      <c r="AO3128" s="77"/>
      <c r="AP3128" s="77"/>
      <c r="AQ3128" s="77" t="s">
        <v>15543</v>
      </c>
      <c r="AR3128" s="77"/>
      <c r="AS3128" s="77"/>
      <c r="AT3128" s="77"/>
      <c r="AU3128" s="77"/>
      <c r="AV3128" s="83" t="str">
        <f>HYPERLINK("https://pbs.twimg.com/media/F1fbpx3WcAMCKp2.jpg")</f>
        <v>https://pbs.twimg.com/media/F1fbpx3WcAMCKp2.jpg</v>
      </c>
      <c r="AW3128" s="80" t="s">
        <v>18864</v>
      </c>
      <c r="AX3128" s="80" t="s">
        <v>18864</v>
      </c>
      <c r="AY3128" s="77"/>
      <c r="AZ3128" s="80" t="s">
        <v>20380</v>
      </c>
      <c r="BA3128" s="80" t="s">
        <v>20380</v>
      </c>
      <c r="BB3128" s="80" t="s">
        <v>20380</v>
      </c>
      <c r="BC3128" s="80" t="s">
        <v>18864</v>
      </c>
      <c r="BD3128" s="77">
        <v>114256672</v>
      </c>
      <c r="BE3128" s="77"/>
      <c r="BF3128" s="77"/>
      <c r="BG3128" s="77"/>
      <c r="BH3128" s="77"/>
      <c r="BI3128" s="77"/>
    </row>
    <row r="3129" spans="1:61" x14ac:dyDescent="0.25">
      <c r="A3129" s="62" t="s">
        <v>1242</v>
      </c>
      <c r="B3129" s="62" t="s">
        <v>1242</v>
      </c>
      <c r="C3129" s="63"/>
      <c r="D3129" s="64"/>
      <c r="E3129" s="65"/>
      <c r="F3129" s="66"/>
      <c r="G3129" s="63"/>
      <c r="H3129" s="67"/>
      <c r="I3129" s="68"/>
      <c r="J3129" s="68"/>
      <c r="K3129" s="32"/>
      <c r="L3129" s="75">
        <v>3129</v>
      </c>
      <c r="M3129" s="75"/>
      <c r="N3129" s="70"/>
      <c r="O3129" s="77" t="s">
        <v>179</v>
      </c>
      <c r="P3129" s="79">
        <v>45153.872546296298</v>
      </c>
      <c r="Q3129" s="77" t="s">
        <v>4839</v>
      </c>
      <c r="R3129" s="77">
        <v>0</v>
      </c>
      <c r="S3129" s="77">
        <v>1</v>
      </c>
      <c r="T3129" s="77">
        <v>0</v>
      </c>
      <c r="U3129" s="77">
        <v>0</v>
      </c>
      <c r="V3129" s="77">
        <v>93</v>
      </c>
      <c r="W3129" s="80" t="s">
        <v>7832</v>
      </c>
      <c r="X3129" s="83" t="str">
        <f>HYPERLINK("https://bit.ly/3s8PX2p")</f>
        <v>https://bit.ly/3s8PX2p</v>
      </c>
      <c r="Y3129" s="77" t="s">
        <v>8618</v>
      </c>
      <c r="Z3129" s="77"/>
      <c r="AA3129" s="77" t="s">
        <v>10063</v>
      </c>
      <c r="AB3129" s="77" t="s">
        <v>10535</v>
      </c>
      <c r="AC3129" s="80" t="s">
        <v>10541</v>
      </c>
      <c r="AD3129" s="77" t="s">
        <v>10617</v>
      </c>
      <c r="AE3129" s="83" t="str">
        <f>HYPERLINK("https://twitter.com/cofeconeconomia/status/1691554474374951312")</f>
        <v>https://twitter.com/cofeconeconomia/status/1691554474374951312</v>
      </c>
      <c r="AF3129" s="79">
        <v>45153.872546296298</v>
      </c>
      <c r="AG3129" s="85">
        <v>45153</v>
      </c>
      <c r="AH3129" s="80" t="s">
        <v>13345</v>
      </c>
      <c r="AI3129" s="77" t="b">
        <v>0</v>
      </c>
      <c r="AJ3129" s="77"/>
      <c r="AK3129" s="77"/>
      <c r="AL3129" s="77"/>
      <c r="AM3129" s="77"/>
      <c r="AN3129" s="77"/>
      <c r="AO3129" s="77"/>
      <c r="AP3129" s="77"/>
      <c r="AQ3129" s="77" t="s">
        <v>15544</v>
      </c>
      <c r="AR3129" s="77"/>
      <c r="AS3129" s="77"/>
      <c r="AT3129" s="77"/>
      <c r="AU3129" s="77"/>
      <c r="AV3129" s="83" t="str">
        <f>HYPERLINK("https://pbs.twimg.com/media/F3mbsI_XYAAU-Aw.jpg")</f>
        <v>https://pbs.twimg.com/media/F3mbsI_XYAAU-Aw.jpg</v>
      </c>
      <c r="AW3129" s="80" t="s">
        <v>18865</v>
      </c>
      <c r="AX3129" s="80" t="s">
        <v>18865</v>
      </c>
      <c r="AY3129" s="77"/>
      <c r="AZ3129" s="80" t="s">
        <v>20380</v>
      </c>
      <c r="BA3129" s="80" t="s">
        <v>20380</v>
      </c>
      <c r="BB3129" s="80" t="s">
        <v>20380</v>
      </c>
      <c r="BC3129" s="80" t="s">
        <v>18865</v>
      </c>
      <c r="BD3129" s="77">
        <v>251600476</v>
      </c>
      <c r="BE3129" s="77"/>
      <c r="BF3129" s="77"/>
      <c r="BG3129" s="77"/>
      <c r="BH3129" s="77"/>
      <c r="BI3129" s="77"/>
    </row>
    <row r="3130" spans="1:61" x14ac:dyDescent="0.25">
      <c r="A3130" s="62" t="s">
        <v>1243</v>
      </c>
      <c r="B3130" s="62" t="s">
        <v>1243</v>
      </c>
      <c r="C3130" s="63"/>
      <c r="D3130" s="64"/>
      <c r="E3130" s="65"/>
      <c r="F3130" s="66"/>
      <c r="G3130" s="63"/>
      <c r="H3130" s="67"/>
      <c r="I3130" s="68"/>
      <c r="J3130" s="68"/>
      <c r="K3130" s="32"/>
      <c r="L3130" s="75">
        <v>3130</v>
      </c>
      <c r="M3130" s="75"/>
      <c r="N3130" s="70"/>
      <c r="O3130" s="77" t="s">
        <v>179</v>
      </c>
      <c r="P3130" s="79">
        <v>45109.66847222222</v>
      </c>
      <c r="Q3130" s="77" t="s">
        <v>4840</v>
      </c>
      <c r="R3130" s="77">
        <v>0</v>
      </c>
      <c r="S3130" s="77">
        <v>0</v>
      </c>
      <c r="T3130" s="77">
        <v>0</v>
      </c>
      <c r="U3130" s="77">
        <v>0</v>
      </c>
      <c r="V3130" s="77">
        <v>81</v>
      </c>
      <c r="W3130" s="80" t="s">
        <v>7833</v>
      </c>
      <c r="X3130" s="83" t="str">
        <f>HYPERLINK("https://youtube.com/shorts/ck6l6wxmh2M")</f>
        <v>https://youtube.com/shorts/ck6l6wxmh2M</v>
      </c>
      <c r="Y3130" s="77" t="s">
        <v>8612</v>
      </c>
      <c r="Z3130" s="77"/>
      <c r="AA3130" s="77"/>
      <c r="AB3130" s="77"/>
      <c r="AC3130" s="80" t="s">
        <v>10541</v>
      </c>
      <c r="AD3130" s="77" t="s">
        <v>10620</v>
      </c>
      <c r="AE3130" s="83" t="str">
        <f>HYPERLINK("https://twitter.com/factopia_/status/1675535451384365057")</f>
        <v>https://twitter.com/factopia_/status/1675535451384365057</v>
      </c>
      <c r="AF3130" s="79">
        <v>45109.66847222222</v>
      </c>
      <c r="AG3130" s="85">
        <v>45109</v>
      </c>
      <c r="AH3130" s="80" t="s">
        <v>13346</v>
      </c>
      <c r="AI3130" s="77" t="b">
        <v>0</v>
      </c>
      <c r="AJ3130" s="77"/>
      <c r="AK3130" s="77"/>
      <c r="AL3130" s="77"/>
      <c r="AM3130" s="77"/>
      <c r="AN3130" s="77"/>
      <c r="AO3130" s="77"/>
      <c r="AP3130" s="77"/>
      <c r="AQ3130" s="77"/>
      <c r="AR3130" s="77"/>
      <c r="AS3130" s="77"/>
      <c r="AT3130" s="77"/>
      <c r="AU3130" s="77"/>
      <c r="AV3130" s="83" t="str">
        <f>HYPERLINK("https://pbs.twimg.com/profile_images/1666746472468029441/sw3KSPT1_normal.jpg")</f>
        <v>https://pbs.twimg.com/profile_images/1666746472468029441/sw3KSPT1_normal.jpg</v>
      </c>
      <c r="AW3130" s="80" t="s">
        <v>18866</v>
      </c>
      <c r="AX3130" s="80" t="s">
        <v>18866</v>
      </c>
      <c r="AY3130" s="77"/>
      <c r="AZ3130" s="80" t="s">
        <v>20380</v>
      </c>
      <c r="BA3130" s="80" t="s">
        <v>20380</v>
      </c>
      <c r="BB3130" s="80" t="s">
        <v>20380</v>
      </c>
      <c r="BC3130" s="80" t="s">
        <v>18866</v>
      </c>
      <c r="BD3130" s="80" t="s">
        <v>20995</v>
      </c>
      <c r="BE3130" s="77"/>
      <c r="BF3130" s="77"/>
      <c r="BG3130" s="77"/>
      <c r="BH3130" s="77"/>
      <c r="BI3130" s="77"/>
    </row>
    <row r="3131" spans="1:61" x14ac:dyDescent="0.25">
      <c r="A3131" s="62" t="s">
        <v>1244</v>
      </c>
      <c r="B3131" s="62" t="s">
        <v>547</v>
      </c>
      <c r="C3131" s="63"/>
      <c r="D3131" s="64"/>
      <c r="E3131" s="65"/>
      <c r="F3131" s="66"/>
      <c r="G3131" s="63"/>
      <c r="H3131" s="67"/>
      <c r="I3131" s="68"/>
      <c r="J3131" s="68"/>
      <c r="K3131" s="32"/>
      <c r="L3131" s="75">
        <v>3131</v>
      </c>
      <c r="M3131" s="75"/>
      <c r="N3131" s="70"/>
      <c r="O3131" s="77" t="s">
        <v>2082</v>
      </c>
      <c r="P3131" s="79">
        <v>45090.050046296295</v>
      </c>
      <c r="Q3131" s="77" t="s">
        <v>4841</v>
      </c>
      <c r="R3131" s="77">
        <v>0</v>
      </c>
      <c r="S3131" s="77">
        <v>1</v>
      </c>
      <c r="T3131" s="77">
        <v>0</v>
      </c>
      <c r="U3131" s="77">
        <v>0</v>
      </c>
      <c r="V3131" s="77">
        <v>12</v>
      </c>
      <c r="W3131" s="80" t="s">
        <v>7834</v>
      </c>
      <c r="X3131" s="77"/>
      <c r="Y3131" s="77"/>
      <c r="Z3131" s="77"/>
      <c r="AA3131" s="77"/>
      <c r="AB3131" s="77"/>
      <c r="AC3131" s="80" t="s">
        <v>10540</v>
      </c>
      <c r="AD3131" s="77" t="s">
        <v>10617</v>
      </c>
      <c r="AE3131" s="83" t="str">
        <f>HYPERLINK("https://twitter.com/clau_pasqualini/status/1668425972243210243")</f>
        <v>https://twitter.com/clau_pasqualini/status/1668425972243210243</v>
      </c>
      <c r="AF3131" s="79">
        <v>45090.050046296295</v>
      </c>
      <c r="AG3131" s="85">
        <v>45090</v>
      </c>
      <c r="AH3131" s="80" t="s">
        <v>13347</v>
      </c>
      <c r="AI3131" s="77"/>
      <c r="AJ3131" s="77"/>
      <c r="AK3131" s="77"/>
      <c r="AL3131" s="77"/>
      <c r="AM3131" s="77"/>
      <c r="AN3131" s="77"/>
      <c r="AO3131" s="77"/>
      <c r="AP3131" s="77"/>
      <c r="AQ3131" s="77"/>
      <c r="AR3131" s="77"/>
      <c r="AS3131" s="77"/>
      <c r="AT3131" s="77"/>
      <c r="AU3131" s="77"/>
      <c r="AV3131" s="83" t="str">
        <f>HYPERLINK("https://pbs.twimg.com/profile_images/1616896904893288451/S7B5Ieob_normal.jpg")</f>
        <v>https://pbs.twimg.com/profile_images/1616896904893288451/S7B5Ieob_normal.jpg</v>
      </c>
      <c r="AW3131" s="80" t="s">
        <v>18867</v>
      </c>
      <c r="AX3131" s="80" t="s">
        <v>18867</v>
      </c>
      <c r="AY3131" s="77"/>
      <c r="AZ3131" s="80" t="s">
        <v>20380</v>
      </c>
      <c r="BA3131" s="80" t="s">
        <v>16803</v>
      </c>
      <c r="BB3131" s="80" t="s">
        <v>20380</v>
      </c>
      <c r="BC3131" s="80" t="s">
        <v>16803</v>
      </c>
      <c r="BD3131" s="77">
        <v>38859850</v>
      </c>
      <c r="BE3131" s="77"/>
      <c r="BF3131" s="77"/>
      <c r="BG3131" s="77"/>
      <c r="BH3131" s="77"/>
      <c r="BI3131" s="77"/>
    </row>
    <row r="3132" spans="1:61" x14ac:dyDescent="0.25">
      <c r="A3132" s="62" t="s">
        <v>1245</v>
      </c>
      <c r="B3132" s="62" t="s">
        <v>1245</v>
      </c>
      <c r="C3132" s="63"/>
      <c r="D3132" s="64"/>
      <c r="E3132" s="65"/>
      <c r="F3132" s="66"/>
      <c r="G3132" s="63"/>
      <c r="H3132" s="67"/>
      <c r="I3132" s="68"/>
      <c r="J3132" s="68"/>
      <c r="K3132" s="32"/>
      <c r="L3132" s="75">
        <v>3132</v>
      </c>
      <c r="M3132" s="75"/>
      <c r="N3132" s="70"/>
      <c r="O3132" s="77" t="s">
        <v>179</v>
      </c>
      <c r="P3132" s="79">
        <v>45099.750474537039</v>
      </c>
      <c r="Q3132" s="77" t="s">
        <v>4842</v>
      </c>
      <c r="R3132" s="77">
        <v>0</v>
      </c>
      <c r="S3132" s="77">
        <v>0</v>
      </c>
      <c r="T3132" s="77">
        <v>0</v>
      </c>
      <c r="U3132" s="77">
        <v>0</v>
      </c>
      <c r="V3132" s="77">
        <v>15</v>
      </c>
      <c r="W3132" s="80" t="s">
        <v>7835</v>
      </c>
      <c r="X3132" s="83" t="str">
        <f>HYPERLINK("https://x.gd/RfUa6")</f>
        <v>https://x.gd/RfUa6</v>
      </c>
      <c r="Y3132" s="77" t="s">
        <v>8777</v>
      </c>
      <c r="Z3132" s="77"/>
      <c r="AA3132" s="77" t="s">
        <v>10064</v>
      </c>
      <c r="AB3132" s="77" t="s">
        <v>10535</v>
      </c>
      <c r="AC3132" s="80" t="s">
        <v>10550</v>
      </c>
      <c r="AD3132" s="77" t="s">
        <v>10617</v>
      </c>
      <c r="AE3132" s="83" t="str">
        <f>HYPERLINK("https://twitter.com/juristecadv/status/1671941291436044289")</f>
        <v>https://twitter.com/juristecadv/status/1671941291436044289</v>
      </c>
      <c r="AF3132" s="79">
        <v>45099.750474537039</v>
      </c>
      <c r="AG3132" s="85">
        <v>45099</v>
      </c>
      <c r="AH3132" s="80" t="s">
        <v>13348</v>
      </c>
      <c r="AI3132" s="77" t="b">
        <v>0</v>
      </c>
      <c r="AJ3132" s="77"/>
      <c r="AK3132" s="77"/>
      <c r="AL3132" s="77"/>
      <c r="AM3132" s="77"/>
      <c r="AN3132" s="77"/>
      <c r="AO3132" s="77"/>
      <c r="AP3132" s="77"/>
      <c r="AQ3132" s="77" t="s">
        <v>15545</v>
      </c>
      <c r="AR3132" s="77"/>
      <c r="AS3132" s="77"/>
      <c r="AT3132" s="77"/>
      <c r="AU3132" s="77"/>
      <c r="AV3132" s="83" t="str">
        <f>HYPERLINK("https://pbs.twimg.com/media/FzPtvjXXgAEDx-A.jpg")</f>
        <v>https://pbs.twimg.com/media/FzPtvjXXgAEDx-A.jpg</v>
      </c>
      <c r="AW3132" s="80" t="s">
        <v>18868</v>
      </c>
      <c r="AX3132" s="80" t="s">
        <v>18868</v>
      </c>
      <c r="AY3132" s="77"/>
      <c r="AZ3132" s="80" t="s">
        <v>20380</v>
      </c>
      <c r="BA3132" s="80" t="s">
        <v>20380</v>
      </c>
      <c r="BB3132" s="80" t="s">
        <v>20380</v>
      </c>
      <c r="BC3132" s="80" t="s">
        <v>18868</v>
      </c>
      <c r="BD3132" s="80" t="s">
        <v>20996</v>
      </c>
      <c r="BE3132" s="77"/>
      <c r="BF3132" s="77"/>
      <c r="BG3132" s="77"/>
      <c r="BH3132" s="77"/>
      <c r="BI3132" s="77"/>
    </row>
    <row r="3133" spans="1:61" x14ac:dyDescent="0.25">
      <c r="A3133" s="62" t="s">
        <v>1245</v>
      </c>
      <c r="B3133" s="62" t="s">
        <v>1245</v>
      </c>
      <c r="C3133" s="63"/>
      <c r="D3133" s="64"/>
      <c r="E3133" s="65"/>
      <c r="F3133" s="66"/>
      <c r="G3133" s="63"/>
      <c r="H3133" s="67"/>
      <c r="I3133" s="68"/>
      <c r="J3133" s="68"/>
      <c r="K3133" s="32"/>
      <c r="L3133" s="75">
        <v>3133</v>
      </c>
      <c r="M3133" s="75"/>
      <c r="N3133" s="70"/>
      <c r="O3133" s="77" t="s">
        <v>179</v>
      </c>
      <c r="P3133" s="79">
        <v>45106.819618055553</v>
      </c>
      <c r="Q3133" s="77" t="s">
        <v>4843</v>
      </c>
      <c r="R3133" s="77">
        <v>0</v>
      </c>
      <c r="S3133" s="77">
        <v>0</v>
      </c>
      <c r="T3133" s="77">
        <v>0</v>
      </c>
      <c r="U3133" s="77">
        <v>0</v>
      </c>
      <c r="V3133" s="77">
        <v>15</v>
      </c>
      <c r="W3133" s="80" t="s">
        <v>7836</v>
      </c>
      <c r="X3133" s="83" t="str">
        <f>HYPERLINK("https://x.gd/15f9z")</f>
        <v>https://x.gd/15f9z</v>
      </c>
      <c r="Y3133" s="77" t="s">
        <v>8777</v>
      </c>
      <c r="Z3133" s="77"/>
      <c r="AA3133" s="77" t="s">
        <v>10065</v>
      </c>
      <c r="AB3133" s="77" t="s">
        <v>10535</v>
      </c>
      <c r="AC3133" s="80" t="s">
        <v>10550</v>
      </c>
      <c r="AD3133" s="77" t="s">
        <v>10617</v>
      </c>
      <c r="AE3133" s="83" t="str">
        <f>HYPERLINK("https://twitter.com/juristecadv/status/1674503063195754496")</f>
        <v>https://twitter.com/juristecadv/status/1674503063195754496</v>
      </c>
      <c r="AF3133" s="79">
        <v>45106.819618055553</v>
      </c>
      <c r="AG3133" s="85">
        <v>45106</v>
      </c>
      <c r="AH3133" s="80" t="s">
        <v>13349</v>
      </c>
      <c r="AI3133" s="77" t="b">
        <v>0</v>
      </c>
      <c r="AJ3133" s="77"/>
      <c r="AK3133" s="77"/>
      <c r="AL3133" s="77"/>
      <c r="AM3133" s="77"/>
      <c r="AN3133" s="77"/>
      <c r="AO3133" s="77"/>
      <c r="AP3133" s="77"/>
      <c r="AQ3133" s="77" t="s">
        <v>15546</v>
      </c>
      <c r="AR3133" s="77"/>
      <c r="AS3133" s="77"/>
      <c r="AT3133" s="77"/>
      <c r="AU3133" s="77"/>
      <c r="AV3133" s="83" t="str">
        <f>HYPERLINK("https://pbs.twimg.com/media/Fz0HqYKWcAY56sY.jpg")</f>
        <v>https://pbs.twimg.com/media/Fz0HqYKWcAY56sY.jpg</v>
      </c>
      <c r="AW3133" s="80" t="s">
        <v>18869</v>
      </c>
      <c r="AX3133" s="80" t="s">
        <v>18869</v>
      </c>
      <c r="AY3133" s="77"/>
      <c r="AZ3133" s="80" t="s">
        <v>20380</v>
      </c>
      <c r="BA3133" s="80" t="s">
        <v>20380</v>
      </c>
      <c r="BB3133" s="80" t="s">
        <v>20380</v>
      </c>
      <c r="BC3133" s="80" t="s">
        <v>18869</v>
      </c>
      <c r="BD3133" s="80" t="s">
        <v>20996</v>
      </c>
      <c r="BE3133" s="77"/>
      <c r="BF3133" s="77"/>
      <c r="BG3133" s="77"/>
      <c r="BH3133" s="77"/>
      <c r="BI3133" s="77"/>
    </row>
    <row r="3134" spans="1:61" x14ac:dyDescent="0.25">
      <c r="A3134" s="62" t="s">
        <v>1245</v>
      </c>
      <c r="B3134" s="62" t="s">
        <v>1245</v>
      </c>
      <c r="C3134" s="63"/>
      <c r="D3134" s="64"/>
      <c r="E3134" s="65"/>
      <c r="F3134" s="66"/>
      <c r="G3134" s="63"/>
      <c r="H3134" s="67"/>
      <c r="I3134" s="68"/>
      <c r="J3134" s="68"/>
      <c r="K3134" s="32"/>
      <c r="L3134" s="75">
        <v>3134</v>
      </c>
      <c r="M3134" s="75"/>
      <c r="N3134" s="70"/>
      <c r="O3134" s="77" t="s">
        <v>179</v>
      </c>
      <c r="P3134" s="79">
        <v>45139.727094907408</v>
      </c>
      <c r="Q3134" s="77" t="s">
        <v>4844</v>
      </c>
      <c r="R3134" s="77">
        <v>0</v>
      </c>
      <c r="S3134" s="77">
        <v>0</v>
      </c>
      <c r="T3134" s="77">
        <v>0</v>
      </c>
      <c r="U3134" s="77">
        <v>0</v>
      </c>
      <c r="V3134" s="77">
        <v>7</v>
      </c>
      <c r="W3134" s="80" t="s">
        <v>7837</v>
      </c>
      <c r="X3134" s="83" t="str">
        <f>HYPERLINK("https://x.gd/cEqsN")</f>
        <v>https://x.gd/cEqsN</v>
      </c>
      <c r="Y3134" s="77" t="s">
        <v>8777</v>
      </c>
      <c r="Z3134" s="77"/>
      <c r="AA3134" s="77" t="s">
        <v>10066</v>
      </c>
      <c r="AB3134" s="77" t="s">
        <v>10535</v>
      </c>
      <c r="AC3134" s="80" t="s">
        <v>10541</v>
      </c>
      <c r="AD3134" s="77" t="s">
        <v>10617</v>
      </c>
      <c r="AE3134" s="83" t="str">
        <f>HYPERLINK("https://twitter.com/juristecadv/status/1686428333603422208")</f>
        <v>https://twitter.com/juristecadv/status/1686428333603422208</v>
      </c>
      <c r="AF3134" s="79">
        <v>45139.727094907408</v>
      </c>
      <c r="AG3134" s="85">
        <v>45139</v>
      </c>
      <c r="AH3134" s="80" t="s">
        <v>13350</v>
      </c>
      <c r="AI3134" s="77" t="b">
        <v>0</v>
      </c>
      <c r="AJ3134" s="77"/>
      <c r="AK3134" s="77"/>
      <c r="AL3134" s="77"/>
      <c r="AM3134" s="77"/>
      <c r="AN3134" s="77"/>
      <c r="AO3134" s="77"/>
      <c r="AP3134" s="77"/>
      <c r="AQ3134" s="77" t="s">
        <v>15547</v>
      </c>
      <c r="AR3134" s="77"/>
      <c r="AS3134" s="77"/>
      <c r="AT3134" s="77"/>
      <c r="AU3134" s="77"/>
      <c r="AV3134" s="83" t="str">
        <f>HYPERLINK("https://pbs.twimg.com/media/F2dloAXXUAI42ax.jpg")</f>
        <v>https://pbs.twimg.com/media/F2dloAXXUAI42ax.jpg</v>
      </c>
      <c r="AW3134" s="80" t="s">
        <v>18870</v>
      </c>
      <c r="AX3134" s="80" t="s">
        <v>18870</v>
      </c>
      <c r="AY3134" s="77"/>
      <c r="AZ3134" s="80" t="s">
        <v>20380</v>
      </c>
      <c r="BA3134" s="80" t="s">
        <v>20380</v>
      </c>
      <c r="BB3134" s="80" t="s">
        <v>20380</v>
      </c>
      <c r="BC3134" s="80" t="s">
        <v>18870</v>
      </c>
      <c r="BD3134" s="80" t="s">
        <v>20996</v>
      </c>
      <c r="BE3134" s="77"/>
      <c r="BF3134" s="77"/>
      <c r="BG3134" s="77"/>
      <c r="BH3134" s="77"/>
      <c r="BI3134" s="77"/>
    </row>
    <row r="3135" spans="1:61" x14ac:dyDescent="0.25">
      <c r="A3135" s="62" t="s">
        <v>1245</v>
      </c>
      <c r="B3135" s="62" t="s">
        <v>1245</v>
      </c>
      <c r="C3135" s="63"/>
      <c r="D3135" s="64"/>
      <c r="E3135" s="65"/>
      <c r="F3135" s="66"/>
      <c r="G3135" s="63"/>
      <c r="H3135" s="67"/>
      <c r="I3135" s="68"/>
      <c r="J3135" s="68"/>
      <c r="K3135" s="32"/>
      <c r="L3135" s="75">
        <v>3135</v>
      </c>
      <c r="M3135" s="75"/>
      <c r="N3135" s="70"/>
      <c r="O3135" s="77" t="s">
        <v>179</v>
      </c>
      <c r="P3135" s="79">
        <v>45161.533148148148</v>
      </c>
      <c r="Q3135" s="77" t="s">
        <v>4845</v>
      </c>
      <c r="R3135" s="77">
        <v>0</v>
      </c>
      <c r="S3135" s="77">
        <v>0</v>
      </c>
      <c r="T3135" s="77">
        <v>0</v>
      </c>
      <c r="U3135" s="77">
        <v>0</v>
      </c>
      <c r="V3135" s="77">
        <v>25</v>
      </c>
      <c r="W3135" s="80" t="s">
        <v>7838</v>
      </c>
      <c r="X3135" s="83" t="str">
        <f>HYPERLINK("https://x.gd/GANYJ")</f>
        <v>https://x.gd/GANYJ</v>
      </c>
      <c r="Y3135" s="77" t="s">
        <v>8777</v>
      </c>
      <c r="Z3135" s="77"/>
      <c r="AA3135" s="77" t="s">
        <v>10067</v>
      </c>
      <c r="AB3135" s="77" t="s">
        <v>10535</v>
      </c>
      <c r="AC3135" s="80" t="s">
        <v>10541</v>
      </c>
      <c r="AD3135" s="77" t="s">
        <v>10617</v>
      </c>
      <c r="AE3135" s="83" t="str">
        <f>HYPERLINK("https://twitter.com/juristecadv/status/1694330580568064199")</f>
        <v>https://twitter.com/juristecadv/status/1694330580568064199</v>
      </c>
      <c r="AF3135" s="79">
        <v>45161.533148148148</v>
      </c>
      <c r="AG3135" s="85">
        <v>45161</v>
      </c>
      <c r="AH3135" s="80" t="s">
        <v>13351</v>
      </c>
      <c r="AI3135" s="77" t="b">
        <v>0</v>
      </c>
      <c r="AJ3135" s="77"/>
      <c r="AK3135" s="77"/>
      <c r="AL3135" s="77"/>
      <c r="AM3135" s="77"/>
      <c r="AN3135" s="77"/>
      <c r="AO3135" s="77"/>
      <c r="AP3135" s="77"/>
      <c r="AQ3135" s="77" t="s">
        <v>15548</v>
      </c>
      <c r="AR3135" s="77"/>
      <c r="AS3135" s="77"/>
      <c r="AT3135" s="77"/>
      <c r="AU3135" s="77"/>
      <c r="AV3135" s="83" t="str">
        <f>HYPERLINK("https://pbs.twimg.com/media/F4N4j9WXgAA6hhD.jpg")</f>
        <v>https://pbs.twimg.com/media/F4N4j9WXgAA6hhD.jpg</v>
      </c>
      <c r="AW3135" s="80" t="s">
        <v>18871</v>
      </c>
      <c r="AX3135" s="80" t="s">
        <v>18871</v>
      </c>
      <c r="AY3135" s="77"/>
      <c r="AZ3135" s="80" t="s">
        <v>20380</v>
      </c>
      <c r="BA3135" s="80" t="s">
        <v>20380</v>
      </c>
      <c r="BB3135" s="80" t="s">
        <v>20380</v>
      </c>
      <c r="BC3135" s="80" t="s">
        <v>18871</v>
      </c>
      <c r="BD3135" s="80" t="s">
        <v>20996</v>
      </c>
      <c r="BE3135" s="77"/>
      <c r="BF3135" s="77"/>
      <c r="BG3135" s="77"/>
      <c r="BH3135" s="77"/>
      <c r="BI3135" s="77"/>
    </row>
    <row r="3136" spans="1:61" x14ac:dyDescent="0.25">
      <c r="A3136" s="62" t="s">
        <v>1245</v>
      </c>
      <c r="B3136" s="62" t="s">
        <v>1245</v>
      </c>
      <c r="C3136" s="63"/>
      <c r="D3136" s="64"/>
      <c r="E3136" s="65"/>
      <c r="F3136" s="66"/>
      <c r="G3136" s="63"/>
      <c r="H3136" s="67"/>
      <c r="I3136" s="68"/>
      <c r="J3136" s="68"/>
      <c r="K3136" s="32"/>
      <c r="L3136" s="75">
        <v>3136</v>
      </c>
      <c r="M3136" s="75"/>
      <c r="N3136" s="70"/>
      <c r="O3136" s="77" t="s">
        <v>179</v>
      </c>
      <c r="P3136" s="79">
        <v>45173.721203703702</v>
      </c>
      <c r="Q3136" s="77" t="s">
        <v>4846</v>
      </c>
      <c r="R3136" s="77">
        <v>0</v>
      </c>
      <c r="S3136" s="77">
        <v>0</v>
      </c>
      <c r="T3136" s="77">
        <v>0</v>
      </c>
      <c r="U3136" s="77">
        <v>0</v>
      </c>
      <c r="V3136" s="77">
        <v>10</v>
      </c>
      <c r="W3136" s="80" t="s">
        <v>7839</v>
      </c>
      <c r="X3136" s="83" t="str">
        <f>HYPERLINK("https://x.gd/PMteX")</f>
        <v>https://x.gd/PMteX</v>
      </c>
      <c r="Y3136" s="77" t="s">
        <v>8777</v>
      </c>
      <c r="Z3136" s="77"/>
      <c r="AA3136" s="77" t="s">
        <v>10068</v>
      </c>
      <c r="AB3136" s="77" t="s">
        <v>10535</v>
      </c>
      <c r="AC3136" s="80" t="s">
        <v>10541</v>
      </c>
      <c r="AD3136" s="77" t="s">
        <v>10617</v>
      </c>
      <c r="AE3136" s="83" t="str">
        <f>HYPERLINK("https://twitter.com/juristecadv/status/1698747383285272603")</f>
        <v>https://twitter.com/juristecadv/status/1698747383285272603</v>
      </c>
      <c r="AF3136" s="79">
        <v>45173.721203703702</v>
      </c>
      <c r="AG3136" s="85">
        <v>45173</v>
      </c>
      <c r="AH3136" s="80" t="s">
        <v>13352</v>
      </c>
      <c r="AI3136" s="77" t="b">
        <v>0</v>
      </c>
      <c r="AJ3136" s="77"/>
      <c r="AK3136" s="77"/>
      <c r="AL3136" s="77"/>
      <c r="AM3136" s="77"/>
      <c r="AN3136" s="77"/>
      <c r="AO3136" s="77"/>
      <c r="AP3136" s="77"/>
      <c r="AQ3136" s="77" t="s">
        <v>15549</v>
      </c>
      <c r="AR3136" s="77"/>
      <c r="AS3136" s="77"/>
      <c r="AT3136" s="77"/>
      <c r="AU3136" s="77"/>
      <c r="AV3136" s="83" t="str">
        <f>HYPERLINK("https://pbs.twimg.com/media/F5MphLgXoAA7a5X.jpg")</f>
        <v>https://pbs.twimg.com/media/F5MphLgXoAA7a5X.jpg</v>
      </c>
      <c r="AW3136" s="80" t="s">
        <v>18872</v>
      </c>
      <c r="AX3136" s="80" t="s">
        <v>18872</v>
      </c>
      <c r="AY3136" s="77"/>
      <c r="AZ3136" s="80" t="s">
        <v>20380</v>
      </c>
      <c r="BA3136" s="80" t="s">
        <v>20380</v>
      </c>
      <c r="BB3136" s="80" t="s">
        <v>20380</v>
      </c>
      <c r="BC3136" s="80" t="s">
        <v>18872</v>
      </c>
      <c r="BD3136" s="80" t="s">
        <v>20996</v>
      </c>
      <c r="BE3136" s="77"/>
      <c r="BF3136" s="77"/>
      <c r="BG3136" s="77"/>
      <c r="BH3136" s="77"/>
      <c r="BI3136" s="77"/>
    </row>
    <row r="3137" spans="1:61" x14ac:dyDescent="0.25">
      <c r="A3137" s="62" t="s">
        <v>1245</v>
      </c>
      <c r="B3137" s="62" t="s">
        <v>1245</v>
      </c>
      <c r="C3137" s="63"/>
      <c r="D3137" s="64"/>
      <c r="E3137" s="65"/>
      <c r="F3137" s="66"/>
      <c r="G3137" s="63"/>
      <c r="H3137" s="67"/>
      <c r="I3137" s="68"/>
      <c r="J3137" s="68"/>
      <c r="K3137" s="32"/>
      <c r="L3137" s="75">
        <v>3137</v>
      </c>
      <c r="M3137" s="75"/>
      <c r="N3137" s="70"/>
      <c r="O3137" s="77" t="s">
        <v>179</v>
      </c>
      <c r="P3137" s="79">
        <v>45103.639085648145</v>
      </c>
      <c r="Q3137" s="77" t="s">
        <v>4847</v>
      </c>
      <c r="R3137" s="77">
        <v>0</v>
      </c>
      <c r="S3137" s="77">
        <v>0</v>
      </c>
      <c r="T3137" s="77">
        <v>0</v>
      </c>
      <c r="U3137" s="77">
        <v>0</v>
      </c>
      <c r="V3137" s="77">
        <v>14</v>
      </c>
      <c r="W3137" s="80" t="s">
        <v>7840</v>
      </c>
      <c r="X3137" s="83" t="str">
        <f>HYPERLINK("https://x.gd/PPYon")</f>
        <v>https://x.gd/PPYon</v>
      </c>
      <c r="Y3137" s="77" t="s">
        <v>8777</v>
      </c>
      <c r="Z3137" s="77"/>
      <c r="AA3137" s="77" t="s">
        <v>10069</v>
      </c>
      <c r="AB3137" s="77" t="s">
        <v>10535</v>
      </c>
      <c r="AC3137" s="80" t="s">
        <v>10550</v>
      </c>
      <c r="AD3137" s="77" t="s">
        <v>10617</v>
      </c>
      <c r="AE3137" s="83" t="str">
        <f>HYPERLINK("https://twitter.com/juristecadv/status/1673350476492881921")</f>
        <v>https://twitter.com/juristecadv/status/1673350476492881921</v>
      </c>
      <c r="AF3137" s="79">
        <v>45103.639085648145</v>
      </c>
      <c r="AG3137" s="85">
        <v>45103</v>
      </c>
      <c r="AH3137" s="80" t="s">
        <v>13353</v>
      </c>
      <c r="AI3137" s="77" t="b">
        <v>0</v>
      </c>
      <c r="AJ3137" s="77"/>
      <c r="AK3137" s="77"/>
      <c r="AL3137" s="77"/>
      <c r="AM3137" s="77"/>
      <c r="AN3137" s="77"/>
      <c r="AO3137" s="77"/>
      <c r="AP3137" s="77"/>
      <c r="AQ3137" s="77" t="s">
        <v>15550</v>
      </c>
      <c r="AR3137" s="77"/>
      <c r="AS3137" s="77"/>
      <c r="AT3137" s="77"/>
      <c r="AU3137" s="77"/>
      <c r="AV3137" s="83" t="str">
        <f>HYPERLINK("https://pbs.twimg.com/media/FzjvY9ZXoAAfkIU.jpg")</f>
        <v>https://pbs.twimg.com/media/FzjvY9ZXoAAfkIU.jpg</v>
      </c>
      <c r="AW3137" s="80" t="s">
        <v>18873</v>
      </c>
      <c r="AX3137" s="80" t="s">
        <v>18873</v>
      </c>
      <c r="AY3137" s="77"/>
      <c r="AZ3137" s="80" t="s">
        <v>20380</v>
      </c>
      <c r="BA3137" s="80" t="s">
        <v>20380</v>
      </c>
      <c r="BB3137" s="80" t="s">
        <v>20380</v>
      </c>
      <c r="BC3137" s="80" t="s">
        <v>18873</v>
      </c>
      <c r="BD3137" s="80" t="s">
        <v>20996</v>
      </c>
      <c r="BE3137" s="77"/>
      <c r="BF3137" s="77"/>
      <c r="BG3137" s="77"/>
      <c r="BH3137" s="77"/>
      <c r="BI3137" s="77"/>
    </row>
    <row r="3138" spans="1:61" x14ac:dyDescent="0.25">
      <c r="A3138" s="62" t="s">
        <v>1245</v>
      </c>
      <c r="B3138" s="62" t="s">
        <v>1245</v>
      </c>
      <c r="C3138" s="63"/>
      <c r="D3138" s="64"/>
      <c r="E3138" s="65"/>
      <c r="F3138" s="66"/>
      <c r="G3138" s="63"/>
      <c r="H3138" s="67"/>
      <c r="I3138" s="68"/>
      <c r="J3138" s="68"/>
      <c r="K3138" s="32"/>
      <c r="L3138" s="75">
        <v>3138</v>
      </c>
      <c r="M3138" s="75"/>
      <c r="N3138" s="70"/>
      <c r="O3138" s="77" t="s">
        <v>179</v>
      </c>
      <c r="P3138" s="79">
        <v>45174.606261574074</v>
      </c>
      <c r="Q3138" s="77" t="s">
        <v>4848</v>
      </c>
      <c r="R3138" s="77">
        <v>0</v>
      </c>
      <c r="S3138" s="77">
        <v>0</v>
      </c>
      <c r="T3138" s="77">
        <v>0</v>
      </c>
      <c r="U3138" s="77">
        <v>0</v>
      </c>
      <c r="V3138" s="77">
        <v>11</v>
      </c>
      <c r="W3138" s="80" t="s">
        <v>7841</v>
      </c>
      <c r="X3138" s="83" t="str">
        <f>HYPERLINK("https://x.gd/ET2b4")</f>
        <v>https://x.gd/ET2b4</v>
      </c>
      <c r="Y3138" s="77" t="s">
        <v>8777</v>
      </c>
      <c r="Z3138" s="77"/>
      <c r="AA3138" s="77" t="s">
        <v>10070</v>
      </c>
      <c r="AB3138" s="77" t="s">
        <v>10535</v>
      </c>
      <c r="AC3138" s="80" t="s">
        <v>10541</v>
      </c>
      <c r="AD3138" s="77" t="s">
        <v>10617</v>
      </c>
      <c r="AE3138" s="83" t="str">
        <f>HYPERLINK("https://twitter.com/juristecadv/status/1699068120093352079")</f>
        <v>https://twitter.com/juristecadv/status/1699068120093352079</v>
      </c>
      <c r="AF3138" s="79">
        <v>45174.606261574074</v>
      </c>
      <c r="AG3138" s="85">
        <v>45174</v>
      </c>
      <c r="AH3138" s="80" t="s">
        <v>13354</v>
      </c>
      <c r="AI3138" s="77" t="b">
        <v>0</v>
      </c>
      <c r="AJ3138" s="77"/>
      <c r="AK3138" s="77"/>
      <c r="AL3138" s="77"/>
      <c r="AM3138" s="77"/>
      <c r="AN3138" s="77"/>
      <c r="AO3138" s="77"/>
      <c r="AP3138" s="77"/>
      <c r="AQ3138" s="77" t="s">
        <v>15551</v>
      </c>
      <c r="AR3138" s="77"/>
      <c r="AS3138" s="77"/>
      <c r="AT3138" s="77"/>
      <c r="AU3138" s="77"/>
      <c r="AV3138" s="83" t="str">
        <f>HYPERLINK("https://pbs.twimg.com/media/F5RNaXPa4AAI9bS.jpg")</f>
        <v>https://pbs.twimg.com/media/F5RNaXPa4AAI9bS.jpg</v>
      </c>
      <c r="AW3138" s="80" t="s">
        <v>18874</v>
      </c>
      <c r="AX3138" s="80" t="s">
        <v>18874</v>
      </c>
      <c r="AY3138" s="77"/>
      <c r="AZ3138" s="80" t="s">
        <v>20380</v>
      </c>
      <c r="BA3138" s="80" t="s">
        <v>20380</v>
      </c>
      <c r="BB3138" s="80" t="s">
        <v>20380</v>
      </c>
      <c r="BC3138" s="80" t="s">
        <v>18874</v>
      </c>
      <c r="BD3138" s="80" t="s">
        <v>20996</v>
      </c>
      <c r="BE3138" s="77"/>
      <c r="BF3138" s="77"/>
      <c r="BG3138" s="77"/>
      <c r="BH3138" s="77"/>
      <c r="BI3138" s="77"/>
    </row>
    <row r="3139" spans="1:61" x14ac:dyDescent="0.25">
      <c r="A3139" s="62" t="s">
        <v>1245</v>
      </c>
      <c r="B3139" s="62" t="s">
        <v>1245</v>
      </c>
      <c r="C3139" s="63"/>
      <c r="D3139" s="64"/>
      <c r="E3139" s="65"/>
      <c r="F3139" s="66"/>
      <c r="G3139" s="63"/>
      <c r="H3139" s="67"/>
      <c r="I3139" s="68"/>
      <c r="J3139" s="68"/>
      <c r="K3139" s="32"/>
      <c r="L3139" s="75">
        <v>3139</v>
      </c>
      <c r="M3139" s="75"/>
      <c r="N3139" s="70"/>
      <c r="O3139" s="77" t="s">
        <v>179</v>
      </c>
      <c r="P3139" s="79">
        <v>45197.554537037038</v>
      </c>
      <c r="Q3139" s="77" t="s">
        <v>4849</v>
      </c>
      <c r="R3139" s="77">
        <v>0</v>
      </c>
      <c r="S3139" s="77">
        <v>0</v>
      </c>
      <c r="T3139" s="77">
        <v>0</v>
      </c>
      <c r="U3139" s="77">
        <v>0</v>
      </c>
      <c r="V3139" s="77">
        <v>2</v>
      </c>
      <c r="W3139" s="80" t="s">
        <v>7842</v>
      </c>
      <c r="X3139" s="83" t="str">
        <f>HYPERLINK("https://x.gd/AT15x")</f>
        <v>https://x.gd/AT15x</v>
      </c>
      <c r="Y3139" s="77" t="s">
        <v>8777</v>
      </c>
      <c r="Z3139" s="77"/>
      <c r="AA3139" s="77" t="s">
        <v>10071</v>
      </c>
      <c r="AB3139" s="77" t="s">
        <v>10535</v>
      </c>
      <c r="AC3139" s="80" t="s">
        <v>10541</v>
      </c>
      <c r="AD3139" s="77" t="s">
        <v>10617</v>
      </c>
      <c r="AE3139" s="83" t="str">
        <f>HYPERLINK("https://twitter.com/juristecadv/status/1707384295378043230")</f>
        <v>https://twitter.com/juristecadv/status/1707384295378043230</v>
      </c>
      <c r="AF3139" s="79">
        <v>45197.554537037038</v>
      </c>
      <c r="AG3139" s="85">
        <v>45197</v>
      </c>
      <c r="AH3139" s="80" t="s">
        <v>13355</v>
      </c>
      <c r="AI3139" s="77" t="b">
        <v>0</v>
      </c>
      <c r="AJ3139" s="77"/>
      <c r="AK3139" s="77"/>
      <c r="AL3139" s="77"/>
      <c r="AM3139" s="77"/>
      <c r="AN3139" s="77"/>
      <c r="AO3139" s="77"/>
      <c r="AP3139" s="77"/>
      <c r="AQ3139" s="77" t="s">
        <v>15552</v>
      </c>
      <c r="AR3139" s="77"/>
      <c r="AS3139" s="77"/>
      <c r="AT3139" s="77"/>
      <c r="AU3139" s="77"/>
      <c r="AV3139" s="83" t="str">
        <f>HYPERLINK("https://pbs.twimg.com/media/F7HY9ptWIAABCjo.jpg")</f>
        <v>https://pbs.twimg.com/media/F7HY9ptWIAABCjo.jpg</v>
      </c>
      <c r="AW3139" s="80" t="s">
        <v>18875</v>
      </c>
      <c r="AX3139" s="80" t="s">
        <v>18875</v>
      </c>
      <c r="AY3139" s="77"/>
      <c r="AZ3139" s="80" t="s">
        <v>20380</v>
      </c>
      <c r="BA3139" s="80" t="s">
        <v>20380</v>
      </c>
      <c r="BB3139" s="80" t="s">
        <v>20380</v>
      </c>
      <c r="BC3139" s="80" t="s">
        <v>18875</v>
      </c>
      <c r="BD3139" s="80" t="s">
        <v>20996</v>
      </c>
      <c r="BE3139" s="77"/>
      <c r="BF3139" s="77"/>
      <c r="BG3139" s="77"/>
      <c r="BH3139" s="77"/>
      <c r="BI3139" s="77"/>
    </row>
    <row r="3140" spans="1:61" x14ac:dyDescent="0.25">
      <c r="A3140" s="62" t="s">
        <v>1246</v>
      </c>
      <c r="B3140" s="62" t="s">
        <v>1246</v>
      </c>
      <c r="C3140" s="63"/>
      <c r="D3140" s="64"/>
      <c r="E3140" s="65"/>
      <c r="F3140" s="66"/>
      <c r="G3140" s="63"/>
      <c r="H3140" s="67"/>
      <c r="I3140" s="68"/>
      <c r="J3140" s="68"/>
      <c r="K3140" s="32"/>
      <c r="L3140" s="75">
        <v>3140</v>
      </c>
      <c r="M3140" s="75"/>
      <c r="N3140" s="70"/>
      <c r="O3140" s="77" t="s">
        <v>179</v>
      </c>
      <c r="P3140" s="79">
        <v>45175.974143518521</v>
      </c>
      <c r="Q3140" s="77" t="s">
        <v>4850</v>
      </c>
      <c r="R3140" s="77">
        <v>2</v>
      </c>
      <c r="S3140" s="77">
        <v>1</v>
      </c>
      <c r="T3140" s="77">
        <v>0</v>
      </c>
      <c r="U3140" s="77">
        <v>0</v>
      </c>
      <c r="V3140" s="77">
        <v>35</v>
      </c>
      <c r="W3140" s="80" t="s">
        <v>7843</v>
      </c>
      <c r="X3140" s="83" t="str">
        <f>HYPERLINK("https://enlafontana.cl/presidenta-de-comision-de-trabajo-del-senado-loreto-carvajal-por-informe-de-politica-monetaria-de-banco-central-se-requiere-enfrentar-la-alta-informalidad-laboral-con-un-plan-transversal/")</f>
        <v>https://enlafontana.cl/presidenta-de-comision-de-trabajo-del-senado-loreto-carvajal-por-informe-de-politica-monetaria-de-banco-central-se-requiere-enfrentar-la-alta-informalidad-laboral-con-un-plan-transversal/</v>
      </c>
      <c r="Y3140" s="77" t="s">
        <v>8815</v>
      </c>
      <c r="Z3140" s="77"/>
      <c r="AA3140" s="77" t="s">
        <v>10072</v>
      </c>
      <c r="AB3140" s="77" t="s">
        <v>10535</v>
      </c>
      <c r="AC3140" s="80" t="s">
        <v>10540</v>
      </c>
      <c r="AD3140" s="77" t="s">
        <v>10620</v>
      </c>
      <c r="AE3140" s="83" t="str">
        <f>HYPERLINK("https://twitter.com/enlafontana_cl/status/1699563821981970921")</f>
        <v>https://twitter.com/enlafontana_cl/status/1699563821981970921</v>
      </c>
      <c r="AF3140" s="79">
        <v>45175.974143518521</v>
      </c>
      <c r="AG3140" s="85">
        <v>45175</v>
      </c>
      <c r="AH3140" s="80" t="s">
        <v>13356</v>
      </c>
      <c r="AI3140" s="77" t="b">
        <v>0</v>
      </c>
      <c r="AJ3140" s="77"/>
      <c r="AK3140" s="77"/>
      <c r="AL3140" s="77"/>
      <c r="AM3140" s="77"/>
      <c r="AN3140" s="77"/>
      <c r="AO3140" s="77"/>
      <c r="AP3140" s="77"/>
      <c r="AQ3140" s="77" t="s">
        <v>15553</v>
      </c>
      <c r="AR3140" s="77"/>
      <c r="AS3140" s="77"/>
      <c r="AT3140" s="77"/>
      <c r="AU3140" s="77"/>
      <c r="AV3140" s="83" t="str">
        <f>HYPERLINK("https://pbs.twimg.com/media/F5YQSewXEAAtXlR.jpg")</f>
        <v>https://pbs.twimg.com/media/F5YQSewXEAAtXlR.jpg</v>
      </c>
      <c r="AW3140" s="80" t="s">
        <v>18876</v>
      </c>
      <c r="AX3140" s="80" t="s">
        <v>18876</v>
      </c>
      <c r="AY3140" s="77"/>
      <c r="AZ3140" s="80" t="s">
        <v>20380</v>
      </c>
      <c r="BA3140" s="80" t="s">
        <v>20380</v>
      </c>
      <c r="BB3140" s="80" t="s">
        <v>20380</v>
      </c>
      <c r="BC3140" s="80" t="s">
        <v>18876</v>
      </c>
      <c r="BD3140" s="80" t="s">
        <v>20997</v>
      </c>
      <c r="BE3140" s="77"/>
      <c r="BF3140" s="77"/>
      <c r="BG3140" s="77"/>
      <c r="BH3140" s="77"/>
      <c r="BI3140" s="77"/>
    </row>
    <row r="3141" spans="1:61" x14ac:dyDescent="0.25">
      <c r="A3141" s="62" t="s">
        <v>1246</v>
      </c>
      <c r="B3141" s="62" t="s">
        <v>1246</v>
      </c>
      <c r="C3141" s="63"/>
      <c r="D3141" s="64"/>
      <c r="E3141" s="65"/>
      <c r="F3141" s="66"/>
      <c r="G3141" s="63"/>
      <c r="H3141" s="67"/>
      <c r="I3141" s="68"/>
      <c r="J3141" s="68"/>
      <c r="K3141" s="32"/>
      <c r="L3141" s="75">
        <v>3141</v>
      </c>
      <c r="M3141" s="75"/>
      <c r="N3141" s="70"/>
      <c r="O3141" s="77" t="s">
        <v>179</v>
      </c>
      <c r="P3141" s="79">
        <v>45139.541932870372</v>
      </c>
      <c r="Q3141" s="77" t="s">
        <v>4851</v>
      </c>
      <c r="R3141" s="77">
        <v>1</v>
      </c>
      <c r="S3141" s="77">
        <v>2</v>
      </c>
      <c r="T3141" s="77">
        <v>0</v>
      </c>
      <c r="U3141" s="77">
        <v>0</v>
      </c>
      <c r="V3141" s="77">
        <v>54</v>
      </c>
      <c r="W3141" s="80" t="s">
        <v>7844</v>
      </c>
      <c r="X3141" s="83" t="str">
        <f>HYPERLINK("https://enlafontana.cl/imacec-economia-chilena-cayo-1-en-junio/")</f>
        <v>https://enlafontana.cl/imacec-economia-chilena-cayo-1-en-junio/</v>
      </c>
      <c r="Y3141" s="77" t="s">
        <v>8815</v>
      </c>
      <c r="Z3141" s="77"/>
      <c r="AA3141" s="77" t="s">
        <v>10073</v>
      </c>
      <c r="AB3141" s="77" t="s">
        <v>10535</v>
      </c>
      <c r="AC3141" s="80" t="s">
        <v>10540</v>
      </c>
      <c r="AD3141" s="77" t="s">
        <v>10620</v>
      </c>
      <c r="AE3141" s="83" t="str">
        <f>HYPERLINK("https://twitter.com/enlafontana_cl/status/1686361231135780864")</f>
        <v>https://twitter.com/enlafontana_cl/status/1686361231135780864</v>
      </c>
      <c r="AF3141" s="79">
        <v>45139.541932870372</v>
      </c>
      <c r="AG3141" s="85">
        <v>45139</v>
      </c>
      <c r="AH3141" s="80" t="s">
        <v>13357</v>
      </c>
      <c r="AI3141" s="77" t="b">
        <v>0</v>
      </c>
      <c r="AJ3141" s="77"/>
      <c r="AK3141" s="77"/>
      <c r="AL3141" s="77"/>
      <c r="AM3141" s="77"/>
      <c r="AN3141" s="77"/>
      <c r="AO3141" s="77"/>
      <c r="AP3141" s="77"/>
      <c r="AQ3141" s="77" t="s">
        <v>15554</v>
      </c>
      <c r="AR3141" s="77"/>
      <c r="AS3141" s="77"/>
      <c r="AT3141" s="77"/>
      <c r="AU3141" s="77"/>
      <c r="AV3141" s="83" t="str">
        <f>HYPERLINK("https://pbs.twimg.com/media/F2commUWwAAnc9z.jpg")</f>
        <v>https://pbs.twimg.com/media/F2commUWwAAnc9z.jpg</v>
      </c>
      <c r="AW3141" s="80" t="s">
        <v>18877</v>
      </c>
      <c r="AX3141" s="80" t="s">
        <v>18877</v>
      </c>
      <c r="AY3141" s="77"/>
      <c r="AZ3141" s="80" t="s">
        <v>20380</v>
      </c>
      <c r="BA3141" s="80" t="s">
        <v>20380</v>
      </c>
      <c r="BB3141" s="80" t="s">
        <v>20380</v>
      </c>
      <c r="BC3141" s="80" t="s">
        <v>18877</v>
      </c>
      <c r="BD3141" s="80" t="s">
        <v>20997</v>
      </c>
      <c r="BE3141" s="77"/>
      <c r="BF3141" s="77"/>
      <c r="BG3141" s="77"/>
      <c r="BH3141" s="77"/>
      <c r="BI3141" s="77"/>
    </row>
    <row r="3142" spans="1:61" x14ac:dyDescent="0.25">
      <c r="A3142" s="62" t="s">
        <v>1247</v>
      </c>
      <c r="B3142" s="62" t="s">
        <v>1247</v>
      </c>
      <c r="C3142" s="63"/>
      <c r="D3142" s="64"/>
      <c r="E3142" s="65"/>
      <c r="F3142" s="66"/>
      <c r="G3142" s="63"/>
      <c r="H3142" s="67"/>
      <c r="I3142" s="68"/>
      <c r="J3142" s="68"/>
      <c r="K3142" s="32"/>
      <c r="L3142" s="75">
        <v>3142</v>
      </c>
      <c r="M3142" s="75"/>
      <c r="N3142" s="70"/>
      <c r="O3142" s="77" t="s">
        <v>179</v>
      </c>
      <c r="P3142" s="79">
        <v>45181.616608796299</v>
      </c>
      <c r="Q3142" s="77" t="s">
        <v>4852</v>
      </c>
      <c r="R3142" s="77">
        <v>0</v>
      </c>
      <c r="S3142" s="77">
        <v>0</v>
      </c>
      <c r="T3142" s="77">
        <v>0</v>
      </c>
      <c r="U3142" s="77">
        <v>0</v>
      </c>
      <c r="V3142" s="77">
        <v>107</v>
      </c>
      <c r="W3142" s="80" t="s">
        <v>7845</v>
      </c>
      <c r="X3142" s="77"/>
      <c r="Y3142" s="77"/>
      <c r="Z3142" s="77"/>
      <c r="AA3142" s="77"/>
      <c r="AB3142" s="77"/>
      <c r="AC3142" s="80" t="s">
        <v>10540</v>
      </c>
      <c r="AD3142" s="77" t="s">
        <v>10617</v>
      </c>
      <c r="AE3142" s="83" t="str">
        <f>HYPERLINK("https://twitter.com/sselaik/status/1701608585879552219")</f>
        <v>https://twitter.com/sselaik/status/1701608585879552219</v>
      </c>
      <c r="AF3142" s="79">
        <v>45181.616608796299</v>
      </c>
      <c r="AG3142" s="85">
        <v>45181</v>
      </c>
      <c r="AH3142" s="80" t="s">
        <v>13358</v>
      </c>
      <c r="AI3142" s="77"/>
      <c r="AJ3142" s="77"/>
      <c r="AK3142" s="77"/>
      <c r="AL3142" s="77"/>
      <c r="AM3142" s="77"/>
      <c r="AN3142" s="77"/>
      <c r="AO3142" s="77"/>
      <c r="AP3142" s="77"/>
      <c r="AQ3142" s="77"/>
      <c r="AR3142" s="77"/>
      <c r="AS3142" s="77"/>
      <c r="AT3142" s="77"/>
      <c r="AU3142" s="77"/>
      <c r="AV3142" s="83" t="str">
        <f>HYPERLINK("https://pbs.twimg.com/profile_images/1640128982564716545/wny3_46r_normal.jpg")</f>
        <v>https://pbs.twimg.com/profile_images/1640128982564716545/wny3_46r_normal.jpg</v>
      </c>
      <c r="AW3142" s="80" t="s">
        <v>18878</v>
      </c>
      <c r="AX3142" s="80" t="s">
        <v>18878</v>
      </c>
      <c r="AY3142" s="77"/>
      <c r="AZ3142" s="80" t="s">
        <v>20380</v>
      </c>
      <c r="BA3142" s="80" t="s">
        <v>20380</v>
      </c>
      <c r="BB3142" s="80" t="s">
        <v>20380</v>
      </c>
      <c r="BC3142" s="80" t="s">
        <v>18878</v>
      </c>
      <c r="BD3142" s="80" t="s">
        <v>20998</v>
      </c>
      <c r="BE3142" s="77"/>
      <c r="BF3142" s="77"/>
      <c r="BG3142" s="77"/>
      <c r="BH3142" s="77"/>
      <c r="BI3142" s="77"/>
    </row>
    <row r="3143" spans="1:61" x14ac:dyDescent="0.25">
      <c r="A3143" s="62" t="s">
        <v>1248</v>
      </c>
      <c r="B3143" s="62" t="s">
        <v>1248</v>
      </c>
      <c r="C3143" s="63"/>
      <c r="D3143" s="64"/>
      <c r="E3143" s="65"/>
      <c r="F3143" s="66"/>
      <c r="G3143" s="63"/>
      <c r="H3143" s="67"/>
      <c r="I3143" s="68"/>
      <c r="J3143" s="68"/>
      <c r="K3143" s="32"/>
      <c r="L3143" s="75">
        <v>3143</v>
      </c>
      <c r="M3143" s="75"/>
      <c r="N3143" s="70"/>
      <c r="O3143" s="77" t="s">
        <v>179</v>
      </c>
      <c r="P3143" s="79">
        <v>45189.531967592593</v>
      </c>
      <c r="Q3143" s="77" t="s">
        <v>4853</v>
      </c>
      <c r="R3143" s="77">
        <v>2</v>
      </c>
      <c r="S3143" s="77">
        <v>6</v>
      </c>
      <c r="T3143" s="77">
        <v>0</v>
      </c>
      <c r="U3143" s="77">
        <v>0</v>
      </c>
      <c r="V3143" s="77">
        <v>75</v>
      </c>
      <c r="W3143" s="80" t="s">
        <v>7117</v>
      </c>
      <c r="X3143" s="77"/>
      <c r="Y3143" s="77"/>
      <c r="Z3143" s="77"/>
      <c r="AA3143" s="77" t="s">
        <v>10074</v>
      </c>
      <c r="AB3143" s="77" t="s">
        <v>10535</v>
      </c>
      <c r="AC3143" s="80" t="s">
        <v>10541</v>
      </c>
      <c r="AD3143" s="77" t="s">
        <v>10617</v>
      </c>
      <c r="AE3143" s="83" t="str">
        <f>HYPERLINK("https://twitter.com/rodrigomoraisof/status/1704477016202858841")</f>
        <v>https://twitter.com/rodrigomoraisof/status/1704477016202858841</v>
      </c>
      <c r="AF3143" s="79">
        <v>45189.531967592593</v>
      </c>
      <c r="AG3143" s="85">
        <v>45189</v>
      </c>
      <c r="AH3143" s="80" t="s">
        <v>13359</v>
      </c>
      <c r="AI3143" s="77" t="b">
        <v>0</v>
      </c>
      <c r="AJ3143" s="77"/>
      <c r="AK3143" s="77"/>
      <c r="AL3143" s="77"/>
      <c r="AM3143" s="77"/>
      <c r="AN3143" s="77"/>
      <c r="AO3143" s="77"/>
      <c r="AP3143" s="77"/>
      <c r="AQ3143" s="77" t="s">
        <v>15555</v>
      </c>
      <c r="AR3143" s="77"/>
      <c r="AS3143" s="77"/>
      <c r="AT3143" s="77"/>
      <c r="AU3143" s="77"/>
      <c r="AV3143" s="83" t="str">
        <f>HYPERLINK("https://pbs.twimg.com/media/F6eEzKcXEAA6PHt.jpg")</f>
        <v>https://pbs.twimg.com/media/F6eEzKcXEAA6PHt.jpg</v>
      </c>
      <c r="AW3143" s="80" t="s">
        <v>18879</v>
      </c>
      <c r="AX3143" s="80" t="s">
        <v>18879</v>
      </c>
      <c r="AY3143" s="77"/>
      <c r="AZ3143" s="80" t="s">
        <v>20380</v>
      </c>
      <c r="BA3143" s="80" t="s">
        <v>20380</v>
      </c>
      <c r="BB3143" s="80" t="s">
        <v>20380</v>
      </c>
      <c r="BC3143" s="80" t="s">
        <v>18879</v>
      </c>
      <c r="BD3143" s="80" t="s">
        <v>20999</v>
      </c>
      <c r="BE3143" s="77"/>
      <c r="BF3143" s="77"/>
      <c r="BG3143" s="77"/>
      <c r="BH3143" s="77"/>
      <c r="BI3143" s="77"/>
    </row>
    <row r="3144" spans="1:61" x14ac:dyDescent="0.25">
      <c r="A3144" s="62" t="s">
        <v>1249</v>
      </c>
      <c r="B3144" s="62" t="s">
        <v>1248</v>
      </c>
      <c r="C3144" s="63"/>
      <c r="D3144" s="64"/>
      <c r="E3144" s="65"/>
      <c r="F3144" s="66"/>
      <c r="G3144" s="63"/>
      <c r="H3144" s="67"/>
      <c r="I3144" s="68"/>
      <c r="J3144" s="68"/>
      <c r="K3144" s="32"/>
      <c r="L3144" s="75">
        <v>3144</v>
      </c>
      <c r="M3144" s="75"/>
      <c r="N3144" s="70"/>
      <c r="O3144" s="77" t="s">
        <v>2083</v>
      </c>
      <c r="P3144" s="79">
        <v>45189.589050925926</v>
      </c>
      <c r="Q3144" s="77" t="s">
        <v>4728</v>
      </c>
      <c r="R3144" s="77">
        <v>2</v>
      </c>
      <c r="S3144" s="77">
        <v>0</v>
      </c>
      <c r="T3144" s="77">
        <v>0</v>
      </c>
      <c r="U3144" s="77">
        <v>0</v>
      </c>
      <c r="V3144" s="77"/>
      <c r="W3144" s="77"/>
      <c r="X3144" s="77"/>
      <c r="Y3144" s="77"/>
      <c r="Z3144" s="77" t="s">
        <v>1248</v>
      </c>
      <c r="AA3144" s="77"/>
      <c r="AB3144" s="77"/>
      <c r="AC3144" s="80" t="s">
        <v>10540</v>
      </c>
      <c r="AD3144" s="77" t="s">
        <v>10617</v>
      </c>
      <c r="AE3144" s="83" t="str">
        <f>HYPERLINK("https://twitter.com/daniela95961088/status/1704497699121225749")</f>
        <v>https://twitter.com/daniela95961088/status/1704497699121225749</v>
      </c>
      <c r="AF3144" s="79">
        <v>45189.589050925926</v>
      </c>
      <c r="AG3144" s="85">
        <v>45189</v>
      </c>
      <c r="AH3144" s="80" t="s">
        <v>13360</v>
      </c>
      <c r="AI3144" s="77"/>
      <c r="AJ3144" s="77"/>
      <c r="AK3144" s="77"/>
      <c r="AL3144" s="77"/>
      <c r="AM3144" s="77"/>
      <c r="AN3144" s="77"/>
      <c r="AO3144" s="77"/>
      <c r="AP3144" s="77"/>
      <c r="AQ3144" s="77"/>
      <c r="AR3144" s="77"/>
      <c r="AS3144" s="77"/>
      <c r="AT3144" s="77"/>
      <c r="AU3144" s="77"/>
      <c r="AV3144" s="83" t="str">
        <f>HYPERLINK("https://pbs.twimg.com/profile_images/1492061597656825857/76AxNtRU_normal.jpg")</f>
        <v>https://pbs.twimg.com/profile_images/1492061597656825857/76AxNtRU_normal.jpg</v>
      </c>
      <c r="AW3144" s="80" t="s">
        <v>18880</v>
      </c>
      <c r="AX3144" s="80" t="s">
        <v>18880</v>
      </c>
      <c r="AY3144" s="77"/>
      <c r="AZ3144" s="80" t="s">
        <v>20380</v>
      </c>
      <c r="BA3144" s="80" t="s">
        <v>20380</v>
      </c>
      <c r="BB3144" s="80" t="s">
        <v>18879</v>
      </c>
      <c r="BC3144" s="80" t="s">
        <v>18879</v>
      </c>
      <c r="BD3144" s="80" t="s">
        <v>21000</v>
      </c>
      <c r="BE3144" s="77"/>
      <c r="BF3144" s="77"/>
      <c r="BG3144" s="77"/>
      <c r="BH3144" s="77"/>
      <c r="BI3144" s="77"/>
    </row>
    <row r="3145" spans="1:61" x14ac:dyDescent="0.25">
      <c r="A3145" s="62" t="s">
        <v>1250</v>
      </c>
      <c r="B3145" s="62" t="s">
        <v>1250</v>
      </c>
      <c r="C3145" s="63"/>
      <c r="D3145" s="64"/>
      <c r="E3145" s="65"/>
      <c r="F3145" s="66"/>
      <c r="G3145" s="63"/>
      <c r="H3145" s="67"/>
      <c r="I3145" s="68"/>
      <c r="J3145" s="68"/>
      <c r="K3145" s="32"/>
      <c r="L3145" s="75">
        <v>3145</v>
      </c>
      <c r="M3145" s="75"/>
      <c r="N3145" s="70"/>
      <c r="O3145" s="77" t="s">
        <v>179</v>
      </c>
      <c r="P3145" s="79">
        <v>45140.444050925929</v>
      </c>
      <c r="Q3145" s="77" t="s">
        <v>4854</v>
      </c>
      <c r="R3145" s="77">
        <v>21</v>
      </c>
      <c r="S3145" s="77">
        <v>54</v>
      </c>
      <c r="T3145" s="77">
        <v>4</v>
      </c>
      <c r="U3145" s="77">
        <v>0</v>
      </c>
      <c r="V3145" s="77">
        <v>644</v>
      </c>
      <c r="W3145" s="80" t="s">
        <v>5884</v>
      </c>
      <c r="X3145" s="77"/>
      <c r="Y3145" s="77"/>
      <c r="Z3145" s="77"/>
      <c r="AA3145" s="77" t="s">
        <v>10075</v>
      </c>
      <c r="AB3145" s="77" t="s">
        <v>10535</v>
      </c>
      <c r="AC3145" s="80" t="s">
        <v>10542</v>
      </c>
      <c r="AD3145" s="77" t="s">
        <v>10617</v>
      </c>
      <c r="AE3145" s="83" t="str">
        <f>HYPERLINK("https://twitter.com/rubensotoni/status/1686688148082872320")</f>
        <v>https://twitter.com/rubensotoni/status/1686688148082872320</v>
      </c>
      <c r="AF3145" s="79">
        <v>45140.444050925929</v>
      </c>
      <c r="AG3145" s="85">
        <v>45140</v>
      </c>
      <c r="AH3145" s="80" t="s">
        <v>13361</v>
      </c>
      <c r="AI3145" s="77" t="b">
        <v>0</v>
      </c>
      <c r="AJ3145" s="77"/>
      <c r="AK3145" s="77"/>
      <c r="AL3145" s="77"/>
      <c r="AM3145" s="77"/>
      <c r="AN3145" s="77"/>
      <c r="AO3145" s="77"/>
      <c r="AP3145" s="77"/>
      <c r="AQ3145" s="77" t="s">
        <v>15556</v>
      </c>
      <c r="AR3145" s="77"/>
      <c r="AS3145" s="77"/>
      <c r="AT3145" s="77"/>
      <c r="AU3145" s="77"/>
      <c r="AV3145" s="83" t="str">
        <f>HYPERLINK("https://pbs.twimg.com/media/F2hR7fnWQAEtJ3J.jpg")</f>
        <v>https://pbs.twimg.com/media/F2hR7fnWQAEtJ3J.jpg</v>
      </c>
      <c r="AW3145" s="80" t="s">
        <v>18881</v>
      </c>
      <c r="AX3145" s="80" t="s">
        <v>18881</v>
      </c>
      <c r="AY3145" s="77"/>
      <c r="AZ3145" s="80" t="s">
        <v>20380</v>
      </c>
      <c r="BA3145" s="80" t="s">
        <v>20380</v>
      </c>
      <c r="BB3145" s="80" t="s">
        <v>20380</v>
      </c>
      <c r="BC3145" s="80" t="s">
        <v>18881</v>
      </c>
      <c r="BD3145" s="77">
        <v>54539654</v>
      </c>
      <c r="BE3145" s="77"/>
      <c r="BF3145" s="77"/>
      <c r="BG3145" s="77"/>
      <c r="BH3145" s="77"/>
      <c r="BI3145" s="77"/>
    </row>
    <row r="3146" spans="1:61" x14ac:dyDescent="0.25">
      <c r="A3146" s="62" t="s">
        <v>1249</v>
      </c>
      <c r="B3146" s="62" t="s">
        <v>1250</v>
      </c>
      <c r="C3146" s="63"/>
      <c r="D3146" s="64"/>
      <c r="E3146" s="65"/>
      <c r="F3146" s="66"/>
      <c r="G3146" s="63"/>
      <c r="H3146" s="67"/>
      <c r="I3146" s="68"/>
      <c r="J3146" s="68"/>
      <c r="K3146" s="32"/>
      <c r="L3146" s="75">
        <v>3146</v>
      </c>
      <c r="M3146" s="75"/>
      <c r="N3146" s="70"/>
      <c r="O3146" s="77" t="s">
        <v>2083</v>
      </c>
      <c r="P3146" s="79">
        <v>45189.588923611111</v>
      </c>
      <c r="Q3146" s="77" t="s">
        <v>4855</v>
      </c>
      <c r="R3146" s="77">
        <v>21</v>
      </c>
      <c r="S3146" s="77">
        <v>0</v>
      </c>
      <c r="T3146" s="77">
        <v>0</v>
      </c>
      <c r="U3146" s="77">
        <v>0</v>
      </c>
      <c r="V3146" s="77"/>
      <c r="W3146" s="80" t="s">
        <v>5884</v>
      </c>
      <c r="X3146" s="77"/>
      <c r="Y3146" s="77"/>
      <c r="Z3146" s="77" t="s">
        <v>1250</v>
      </c>
      <c r="AA3146" s="77" t="s">
        <v>10075</v>
      </c>
      <c r="AB3146" s="77" t="s">
        <v>10535</v>
      </c>
      <c r="AC3146" s="80" t="s">
        <v>10540</v>
      </c>
      <c r="AD3146" s="77" t="s">
        <v>10617</v>
      </c>
      <c r="AE3146" s="83" t="str">
        <f>HYPERLINK("https://twitter.com/daniela95961088/status/1704497656154755577")</f>
        <v>https://twitter.com/daniela95961088/status/1704497656154755577</v>
      </c>
      <c r="AF3146" s="79">
        <v>45189.588923611111</v>
      </c>
      <c r="AG3146" s="85">
        <v>45189</v>
      </c>
      <c r="AH3146" s="80" t="s">
        <v>13362</v>
      </c>
      <c r="AI3146" s="77" t="b">
        <v>0</v>
      </c>
      <c r="AJ3146" s="77"/>
      <c r="AK3146" s="77"/>
      <c r="AL3146" s="77"/>
      <c r="AM3146" s="77"/>
      <c r="AN3146" s="77"/>
      <c r="AO3146" s="77"/>
      <c r="AP3146" s="77"/>
      <c r="AQ3146" s="77" t="s">
        <v>15556</v>
      </c>
      <c r="AR3146" s="77"/>
      <c r="AS3146" s="77"/>
      <c r="AT3146" s="77"/>
      <c r="AU3146" s="77"/>
      <c r="AV3146" s="83" t="str">
        <f>HYPERLINK("https://pbs.twimg.com/media/F2hR7fnWQAEtJ3J.jpg")</f>
        <v>https://pbs.twimg.com/media/F2hR7fnWQAEtJ3J.jpg</v>
      </c>
      <c r="AW3146" s="80" t="s">
        <v>18882</v>
      </c>
      <c r="AX3146" s="80" t="s">
        <v>18882</v>
      </c>
      <c r="AY3146" s="77"/>
      <c r="AZ3146" s="80" t="s">
        <v>20380</v>
      </c>
      <c r="BA3146" s="80" t="s">
        <v>20380</v>
      </c>
      <c r="BB3146" s="80" t="s">
        <v>18881</v>
      </c>
      <c r="BC3146" s="80" t="s">
        <v>18881</v>
      </c>
      <c r="BD3146" s="80" t="s">
        <v>21000</v>
      </c>
      <c r="BE3146" s="77"/>
      <c r="BF3146" s="77"/>
      <c r="BG3146" s="77"/>
      <c r="BH3146" s="77"/>
      <c r="BI3146" s="77"/>
    </row>
    <row r="3147" spans="1:61" x14ac:dyDescent="0.25">
      <c r="A3147" s="62" t="s">
        <v>1251</v>
      </c>
      <c r="B3147" s="62" t="s">
        <v>1624</v>
      </c>
      <c r="C3147" s="63"/>
      <c r="D3147" s="64"/>
      <c r="E3147" s="65"/>
      <c r="F3147" s="66"/>
      <c r="G3147" s="63"/>
      <c r="H3147" s="67"/>
      <c r="I3147" s="68"/>
      <c r="J3147" s="68"/>
      <c r="K3147" s="32"/>
      <c r="L3147" s="75">
        <v>3147</v>
      </c>
      <c r="M3147" s="75"/>
      <c r="N3147" s="70"/>
      <c r="O3147" s="77" t="s">
        <v>2081</v>
      </c>
      <c r="P3147" s="79">
        <v>45097.502534722225</v>
      </c>
      <c r="Q3147" s="77" t="s">
        <v>4856</v>
      </c>
      <c r="R3147" s="77">
        <v>10</v>
      </c>
      <c r="S3147" s="77">
        <v>11</v>
      </c>
      <c r="T3147" s="77">
        <v>1</v>
      </c>
      <c r="U3147" s="77">
        <v>0</v>
      </c>
      <c r="V3147" s="77">
        <v>486</v>
      </c>
      <c r="W3147" s="80" t="s">
        <v>7846</v>
      </c>
      <c r="X3147" s="77"/>
      <c r="Y3147" s="77"/>
      <c r="Z3147" s="77" t="s">
        <v>1624</v>
      </c>
      <c r="AA3147" s="77" t="s">
        <v>10076</v>
      </c>
      <c r="AB3147" s="77" t="s">
        <v>10535</v>
      </c>
      <c r="AC3147" s="80" t="s">
        <v>10541</v>
      </c>
      <c r="AD3147" s="77" t="s">
        <v>10617</v>
      </c>
      <c r="AE3147" s="83" t="str">
        <f>HYPERLINK("https://twitter.com/jtabw/status/1671126664829444097")</f>
        <v>https://twitter.com/jtabw/status/1671126664829444097</v>
      </c>
      <c r="AF3147" s="79">
        <v>45097.502534722225</v>
      </c>
      <c r="AG3147" s="85">
        <v>45097</v>
      </c>
      <c r="AH3147" s="80" t="s">
        <v>13363</v>
      </c>
      <c r="AI3147" s="77" t="b">
        <v>0</v>
      </c>
      <c r="AJ3147" s="77"/>
      <c r="AK3147" s="77"/>
      <c r="AL3147" s="77"/>
      <c r="AM3147" s="77"/>
      <c r="AN3147" s="77"/>
      <c r="AO3147" s="77"/>
      <c r="AP3147" s="77"/>
      <c r="AQ3147" s="77" t="s">
        <v>15557</v>
      </c>
      <c r="AR3147" s="77"/>
      <c r="AS3147" s="77"/>
      <c r="AT3147" s="77"/>
      <c r="AU3147" s="77"/>
      <c r="AV3147" s="83" t="str">
        <f>HYPERLINK("https://pbs.twimg.com/media/FzEIKQfWAAE_GEN.png")</f>
        <v>https://pbs.twimg.com/media/FzEIKQfWAAE_GEN.png</v>
      </c>
      <c r="AW3147" s="80" t="s">
        <v>18883</v>
      </c>
      <c r="AX3147" s="80" t="s">
        <v>18883</v>
      </c>
      <c r="AY3147" s="77"/>
      <c r="AZ3147" s="80" t="s">
        <v>20380</v>
      </c>
      <c r="BA3147" s="80" t="s">
        <v>20380</v>
      </c>
      <c r="BB3147" s="80" t="s">
        <v>20380</v>
      </c>
      <c r="BC3147" s="80" t="s">
        <v>18883</v>
      </c>
      <c r="BD3147" s="77">
        <v>185840220</v>
      </c>
      <c r="BE3147" s="77"/>
      <c r="BF3147" s="77"/>
      <c r="BG3147" s="77"/>
      <c r="BH3147" s="77"/>
      <c r="BI3147" s="77"/>
    </row>
    <row r="3148" spans="1:61" x14ac:dyDescent="0.25">
      <c r="A3148" s="62" t="s">
        <v>1252</v>
      </c>
      <c r="B3148" s="62" t="s">
        <v>1252</v>
      </c>
      <c r="C3148" s="63"/>
      <c r="D3148" s="64"/>
      <c r="E3148" s="65"/>
      <c r="F3148" s="66"/>
      <c r="G3148" s="63"/>
      <c r="H3148" s="67"/>
      <c r="I3148" s="68"/>
      <c r="J3148" s="68"/>
      <c r="K3148" s="32"/>
      <c r="L3148" s="75">
        <v>3148</v>
      </c>
      <c r="M3148" s="75"/>
      <c r="N3148" s="70"/>
      <c r="O3148" s="77" t="s">
        <v>2078</v>
      </c>
      <c r="P3148" s="79">
        <v>45155.949004629627</v>
      </c>
      <c r="Q3148" s="77" t="s">
        <v>4857</v>
      </c>
      <c r="R3148" s="77">
        <v>0</v>
      </c>
      <c r="S3148" s="77">
        <v>0</v>
      </c>
      <c r="T3148" s="77">
        <v>1</v>
      </c>
      <c r="U3148" s="77">
        <v>0</v>
      </c>
      <c r="V3148" s="77">
        <v>13</v>
      </c>
      <c r="W3148" s="80" t="s">
        <v>5884</v>
      </c>
      <c r="X3148" s="77"/>
      <c r="Y3148" s="77"/>
      <c r="Z3148" s="77"/>
      <c r="AA3148" s="77" t="s">
        <v>10077</v>
      </c>
      <c r="AB3148" s="77" t="s">
        <v>10536</v>
      </c>
      <c r="AC3148" s="80" t="s">
        <v>10540</v>
      </c>
      <c r="AD3148" s="77" t="s">
        <v>10622</v>
      </c>
      <c r="AE3148" s="83" t="str">
        <f>HYPERLINK("https://twitter.com/ludarep/status/1692306954545180928")</f>
        <v>https://twitter.com/ludarep/status/1692306954545180928</v>
      </c>
      <c r="AF3148" s="79">
        <v>45155.949004629627</v>
      </c>
      <c r="AG3148" s="85">
        <v>45155</v>
      </c>
      <c r="AH3148" s="80" t="s">
        <v>13364</v>
      </c>
      <c r="AI3148" s="77" t="b">
        <v>1</v>
      </c>
      <c r="AJ3148" s="77"/>
      <c r="AK3148" s="77"/>
      <c r="AL3148" s="77"/>
      <c r="AM3148" s="77"/>
      <c r="AN3148" s="77"/>
      <c r="AO3148" s="77"/>
      <c r="AP3148" s="77"/>
      <c r="AQ3148" s="77" t="s">
        <v>15558</v>
      </c>
      <c r="AR3148" s="77"/>
      <c r="AS3148" s="77"/>
      <c r="AT3148" s="77"/>
      <c r="AU3148" s="77"/>
      <c r="AV3148" s="83" t="str">
        <f>HYPERLINK("https://pbs.twimg.com/media/F3xINA1XgAAiIhT.jpg")</f>
        <v>https://pbs.twimg.com/media/F3xINA1XgAAiIhT.jpg</v>
      </c>
      <c r="AW3148" s="80" t="s">
        <v>18884</v>
      </c>
      <c r="AX3148" s="80" t="s">
        <v>20092</v>
      </c>
      <c r="AY3148" s="80" t="s">
        <v>20337</v>
      </c>
      <c r="AZ3148" s="80" t="s">
        <v>20439</v>
      </c>
      <c r="BA3148" s="80" t="s">
        <v>20380</v>
      </c>
      <c r="BB3148" s="80" t="s">
        <v>20380</v>
      </c>
      <c r="BC3148" s="80" t="s">
        <v>20439</v>
      </c>
      <c r="BD3148" s="77">
        <v>3397762647</v>
      </c>
      <c r="BE3148" s="77"/>
      <c r="BF3148" s="77"/>
      <c r="BG3148" s="77"/>
      <c r="BH3148" s="77"/>
      <c r="BI3148" s="77"/>
    </row>
    <row r="3149" spans="1:61" x14ac:dyDescent="0.25">
      <c r="A3149" s="62" t="s">
        <v>1253</v>
      </c>
      <c r="B3149" s="62" t="s">
        <v>1596</v>
      </c>
      <c r="C3149" s="63"/>
      <c r="D3149" s="64"/>
      <c r="E3149" s="65"/>
      <c r="F3149" s="66"/>
      <c r="G3149" s="63"/>
      <c r="H3149" s="67"/>
      <c r="I3149" s="68"/>
      <c r="J3149" s="68"/>
      <c r="K3149" s="32"/>
      <c r="L3149" s="75">
        <v>3149</v>
      </c>
      <c r="M3149" s="75"/>
      <c r="N3149" s="70"/>
      <c r="O3149" s="77" t="s">
        <v>2081</v>
      </c>
      <c r="P3149" s="79">
        <v>45071.821736111109</v>
      </c>
      <c r="Q3149" s="77" t="s">
        <v>4858</v>
      </c>
      <c r="R3149" s="77">
        <v>0</v>
      </c>
      <c r="S3149" s="77">
        <v>0</v>
      </c>
      <c r="T3149" s="77">
        <v>0</v>
      </c>
      <c r="U3149" s="77">
        <v>0</v>
      </c>
      <c r="V3149" s="77">
        <v>1</v>
      </c>
      <c r="W3149" s="80" t="s">
        <v>6008</v>
      </c>
      <c r="X3149" s="83" t="str">
        <f>HYPERLINK("https://www.bcb.gov.br/detalhenoticia/17897/nota")</f>
        <v>https://www.bcb.gov.br/detalhenoticia/17897/nota</v>
      </c>
      <c r="Y3149" s="77" t="s">
        <v>8633</v>
      </c>
      <c r="Z3149" s="77" t="s">
        <v>1596</v>
      </c>
      <c r="AA3149" s="77"/>
      <c r="AB3149" s="77"/>
      <c r="AC3149" s="80" t="s">
        <v>10541</v>
      </c>
      <c r="AD3149" s="77" t="s">
        <v>10617</v>
      </c>
      <c r="AE3149" s="83" t="str">
        <f>HYPERLINK("https://twitter.com/guidojr60/status/1661820254362673167")</f>
        <v>https://twitter.com/guidojr60/status/1661820254362673167</v>
      </c>
      <c r="AF3149" s="79">
        <v>45071.821736111109</v>
      </c>
      <c r="AG3149" s="85">
        <v>45071</v>
      </c>
      <c r="AH3149" s="80" t="s">
        <v>13365</v>
      </c>
      <c r="AI3149" s="77" t="b">
        <v>0</v>
      </c>
      <c r="AJ3149" s="77"/>
      <c r="AK3149" s="77"/>
      <c r="AL3149" s="77"/>
      <c r="AM3149" s="77"/>
      <c r="AN3149" s="77"/>
      <c r="AO3149" s="77"/>
      <c r="AP3149" s="77"/>
      <c r="AQ3149" s="77"/>
      <c r="AR3149" s="77"/>
      <c r="AS3149" s="77"/>
      <c r="AT3149" s="77"/>
      <c r="AU3149" s="77"/>
      <c r="AV3149" s="83" t="str">
        <f>HYPERLINK("https://pbs.twimg.com/profile_images/1622763506859708416/NwAEpuNy_normal.jpg")</f>
        <v>https://pbs.twimg.com/profile_images/1622763506859708416/NwAEpuNy_normal.jpg</v>
      </c>
      <c r="AW3149" s="80" t="s">
        <v>18885</v>
      </c>
      <c r="AX3149" s="80" t="s">
        <v>18885</v>
      </c>
      <c r="AY3149" s="77"/>
      <c r="AZ3149" s="80" t="s">
        <v>20380</v>
      </c>
      <c r="BA3149" s="80" t="s">
        <v>20380</v>
      </c>
      <c r="BB3149" s="80" t="s">
        <v>20380</v>
      </c>
      <c r="BC3149" s="80" t="s">
        <v>18885</v>
      </c>
      <c r="BD3149" s="77">
        <v>1375944788</v>
      </c>
      <c r="BE3149" s="77"/>
      <c r="BF3149" s="77"/>
      <c r="BG3149" s="77"/>
      <c r="BH3149" s="77"/>
      <c r="BI3149" s="77"/>
    </row>
    <row r="3150" spans="1:61" x14ac:dyDescent="0.25">
      <c r="A3150" s="62" t="s">
        <v>1254</v>
      </c>
      <c r="B3150" s="62" t="s">
        <v>1596</v>
      </c>
      <c r="C3150" s="63"/>
      <c r="D3150" s="64"/>
      <c r="E3150" s="65"/>
      <c r="F3150" s="66"/>
      <c r="G3150" s="63"/>
      <c r="H3150" s="67"/>
      <c r="I3150" s="68"/>
      <c r="J3150" s="68"/>
      <c r="K3150" s="32"/>
      <c r="L3150" s="75">
        <v>3150</v>
      </c>
      <c r="M3150" s="75"/>
      <c r="N3150" s="70"/>
      <c r="O3150" s="77" t="s">
        <v>2081</v>
      </c>
      <c r="P3150" s="79">
        <v>45190.594583333332</v>
      </c>
      <c r="Q3150" s="77" t="s">
        <v>4859</v>
      </c>
      <c r="R3150" s="77">
        <v>0</v>
      </c>
      <c r="S3150" s="77">
        <v>0</v>
      </c>
      <c r="T3150" s="77">
        <v>0</v>
      </c>
      <c r="U3150" s="77">
        <v>0</v>
      </c>
      <c r="V3150" s="77">
        <v>20</v>
      </c>
      <c r="W3150" s="80" t="s">
        <v>7847</v>
      </c>
      <c r="X3150" s="83" t="str">
        <f>HYPERLINK("https://thinkonomics.com/2023/09/2303/copom-reduz-juros-basicos-da-economia-para-1275-ao-ano/")</f>
        <v>https://thinkonomics.com/2023/09/2303/copom-reduz-juros-basicos-da-economia-para-1275-ao-ano/</v>
      </c>
      <c r="Y3150" s="77" t="s">
        <v>8816</v>
      </c>
      <c r="Z3150" s="77" t="s">
        <v>1596</v>
      </c>
      <c r="AA3150" s="77"/>
      <c r="AB3150" s="77"/>
      <c r="AC3150" s="80" t="s">
        <v>10541</v>
      </c>
      <c r="AD3150" s="77" t="s">
        <v>10617</v>
      </c>
      <c r="AE3150" s="83" t="str">
        <f>HYPERLINK("https://twitter.com/thinkonomics/status/1704862092157653121")</f>
        <v>https://twitter.com/thinkonomics/status/1704862092157653121</v>
      </c>
      <c r="AF3150" s="79">
        <v>45190.594583333332</v>
      </c>
      <c r="AG3150" s="85">
        <v>45190</v>
      </c>
      <c r="AH3150" s="80" t="s">
        <v>13366</v>
      </c>
      <c r="AI3150" s="77" t="b">
        <v>0</v>
      </c>
      <c r="AJ3150" s="77"/>
      <c r="AK3150" s="77"/>
      <c r="AL3150" s="77"/>
      <c r="AM3150" s="77"/>
      <c r="AN3150" s="77"/>
      <c r="AO3150" s="77"/>
      <c r="AP3150" s="77"/>
      <c r="AQ3150" s="77"/>
      <c r="AR3150" s="77"/>
      <c r="AS3150" s="77"/>
      <c r="AT3150" s="77"/>
      <c r="AU3150" s="77"/>
      <c r="AV3150" s="83" t="str">
        <f>HYPERLINK("https://pbs.twimg.com/profile_images/1108213685779075072/jtUVACRX_normal.jpg")</f>
        <v>https://pbs.twimg.com/profile_images/1108213685779075072/jtUVACRX_normal.jpg</v>
      </c>
      <c r="AW3150" s="80" t="s">
        <v>18886</v>
      </c>
      <c r="AX3150" s="80" t="s">
        <v>18886</v>
      </c>
      <c r="AY3150" s="77"/>
      <c r="AZ3150" s="80" t="s">
        <v>20380</v>
      </c>
      <c r="BA3150" s="80" t="s">
        <v>20380</v>
      </c>
      <c r="BB3150" s="80" t="s">
        <v>20380</v>
      </c>
      <c r="BC3150" s="80" t="s">
        <v>18886</v>
      </c>
      <c r="BD3150" s="80" t="s">
        <v>21001</v>
      </c>
      <c r="BE3150" s="77"/>
      <c r="BF3150" s="77"/>
      <c r="BG3150" s="77"/>
      <c r="BH3150" s="77"/>
      <c r="BI3150" s="77"/>
    </row>
    <row r="3151" spans="1:61" x14ac:dyDescent="0.25">
      <c r="A3151" s="62" t="s">
        <v>1255</v>
      </c>
      <c r="B3151" s="62" t="s">
        <v>1255</v>
      </c>
      <c r="C3151" s="63"/>
      <c r="D3151" s="64"/>
      <c r="E3151" s="65"/>
      <c r="F3151" s="66"/>
      <c r="G3151" s="63"/>
      <c r="H3151" s="67"/>
      <c r="I3151" s="68"/>
      <c r="J3151" s="68"/>
      <c r="K3151" s="32"/>
      <c r="L3151" s="75">
        <v>3151</v>
      </c>
      <c r="M3151" s="75"/>
      <c r="N3151" s="70"/>
      <c r="O3151" s="77" t="s">
        <v>179</v>
      </c>
      <c r="P3151" s="79">
        <v>45110.754548611112</v>
      </c>
      <c r="Q3151" s="77" t="s">
        <v>4860</v>
      </c>
      <c r="R3151" s="77">
        <v>0</v>
      </c>
      <c r="S3151" s="77">
        <v>0</v>
      </c>
      <c r="T3151" s="77">
        <v>0</v>
      </c>
      <c r="U3151" s="77">
        <v>0</v>
      </c>
      <c r="V3151" s="77">
        <v>24</v>
      </c>
      <c r="W3151" s="80" t="s">
        <v>7848</v>
      </c>
      <c r="X3151" s="83" t="str">
        <f>HYPERLINK("https://panoramadigital.do/el-dolar-roza-para-la-venta-los-55-58-pesos-dominicanos/")</f>
        <v>https://panoramadigital.do/el-dolar-roza-para-la-venta-los-55-58-pesos-dominicanos/</v>
      </c>
      <c r="Y3151" s="77" t="s">
        <v>8817</v>
      </c>
      <c r="Z3151" s="77"/>
      <c r="AA3151" s="77"/>
      <c r="AB3151" s="77"/>
      <c r="AC3151" s="80" t="s">
        <v>10541</v>
      </c>
      <c r="AD3151" s="77" t="s">
        <v>10620</v>
      </c>
      <c r="AE3151" s="83" t="str">
        <f>HYPERLINK("https://twitter.com/panorama_rd/status/1675929032758534159")</f>
        <v>https://twitter.com/panorama_rd/status/1675929032758534159</v>
      </c>
      <c r="AF3151" s="79">
        <v>45110.754548611112</v>
      </c>
      <c r="AG3151" s="85">
        <v>45110</v>
      </c>
      <c r="AH3151" s="80" t="s">
        <v>13367</v>
      </c>
      <c r="AI3151" s="77" t="b">
        <v>0</v>
      </c>
      <c r="AJ3151" s="77"/>
      <c r="AK3151" s="77"/>
      <c r="AL3151" s="77"/>
      <c r="AM3151" s="77"/>
      <c r="AN3151" s="77"/>
      <c r="AO3151" s="77"/>
      <c r="AP3151" s="77"/>
      <c r="AQ3151" s="77"/>
      <c r="AR3151" s="77"/>
      <c r="AS3151" s="77"/>
      <c r="AT3151" s="77"/>
      <c r="AU3151" s="77"/>
      <c r="AV3151" s="83" t="str">
        <f>HYPERLINK("https://pbs.twimg.com/profile_images/1692209085226135558/A1Y1hwT5_normal.jpg")</f>
        <v>https://pbs.twimg.com/profile_images/1692209085226135558/A1Y1hwT5_normal.jpg</v>
      </c>
      <c r="AW3151" s="80" t="s">
        <v>18887</v>
      </c>
      <c r="AX3151" s="80" t="s">
        <v>18887</v>
      </c>
      <c r="AY3151" s="77"/>
      <c r="AZ3151" s="80" t="s">
        <v>20380</v>
      </c>
      <c r="BA3151" s="80" t="s">
        <v>20380</v>
      </c>
      <c r="BB3151" s="80" t="s">
        <v>20380</v>
      </c>
      <c r="BC3151" s="80" t="s">
        <v>18887</v>
      </c>
      <c r="BD3151" s="80" t="s">
        <v>21002</v>
      </c>
      <c r="BE3151" s="77"/>
      <c r="BF3151" s="77"/>
      <c r="BG3151" s="77"/>
      <c r="BH3151" s="77"/>
      <c r="BI3151" s="77"/>
    </row>
    <row r="3152" spans="1:61" x14ac:dyDescent="0.25">
      <c r="A3152" s="62" t="s">
        <v>1255</v>
      </c>
      <c r="B3152" s="62" t="s">
        <v>1255</v>
      </c>
      <c r="C3152" s="63"/>
      <c r="D3152" s="64"/>
      <c r="E3152" s="65"/>
      <c r="F3152" s="66"/>
      <c r="G3152" s="63"/>
      <c r="H3152" s="67"/>
      <c r="I3152" s="68"/>
      <c r="J3152" s="68"/>
      <c r="K3152" s="32"/>
      <c r="L3152" s="75">
        <v>3152</v>
      </c>
      <c r="M3152" s="75"/>
      <c r="N3152" s="70"/>
      <c r="O3152" s="77" t="s">
        <v>179</v>
      </c>
      <c r="P3152" s="79">
        <v>45124.715277777781</v>
      </c>
      <c r="Q3152" s="77" t="s">
        <v>4861</v>
      </c>
      <c r="R3152" s="77">
        <v>0</v>
      </c>
      <c r="S3152" s="77">
        <v>1</v>
      </c>
      <c r="T3152" s="77">
        <v>0</v>
      </c>
      <c r="U3152" s="77">
        <v>0</v>
      </c>
      <c r="V3152" s="77">
        <v>15</v>
      </c>
      <c r="W3152" s="80" t="s">
        <v>7848</v>
      </c>
      <c r="X3152" s="83" t="str">
        <f>HYPERLINK("https://panoramadigital.do/el-dolar-se-cambia-para-la-venta-a-56-10-pesos-dominicanos/")</f>
        <v>https://panoramadigital.do/el-dolar-se-cambia-para-la-venta-a-56-10-pesos-dominicanos/</v>
      </c>
      <c r="Y3152" s="77" t="s">
        <v>8817</v>
      </c>
      <c r="Z3152" s="77"/>
      <c r="AA3152" s="77"/>
      <c r="AB3152" s="77"/>
      <c r="AC3152" s="80" t="s">
        <v>10541</v>
      </c>
      <c r="AD3152" s="77" t="s">
        <v>10620</v>
      </c>
      <c r="AE3152" s="83" t="str">
        <f>HYPERLINK("https://twitter.com/panorama_rd/status/1680988231092031489")</f>
        <v>https://twitter.com/panorama_rd/status/1680988231092031489</v>
      </c>
      <c r="AF3152" s="79">
        <v>45124.715277777781</v>
      </c>
      <c r="AG3152" s="85">
        <v>45124</v>
      </c>
      <c r="AH3152" s="80" t="s">
        <v>13368</v>
      </c>
      <c r="AI3152" s="77" t="b">
        <v>0</v>
      </c>
      <c r="AJ3152" s="77"/>
      <c r="AK3152" s="77"/>
      <c r="AL3152" s="77"/>
      <c r="AM3152" s="77"/>
      <c r="AN3152" s="77"/>
      <c r="AO3152" s="77"/>
      <c r="AP3152" s="77"/>
      <c r="AQ3152" s="77"/>
      <c r="AR3152" s="77"/>
      <c r="AS3152" s="77"/>
      <c r="AT3152" s="77"/>
      <c r="AU3152" s="77"/>
      <c r="AV3152" s="83" t="str">
        <f>HYPERLINK("https://pbs.twimg.com/profile_images/1692209085226135558/A1Y1hwT5_normal.jpg")</f>
        <v>https://pbs.twimg.com/profile_images/1692209085226135558/A1Y1hwT5_normal.jpg</v>
      </c>
      <c r="AW3152" s="80" t="s">
        <v>18888</v>
      </c>
      <c r="AX3152" s="80" t="s">
        <v>18888</v>
      </c>
      <c r="AY3152" s="77"/>
      <c r="AZ3152" s="80" t="s">
        <v>20380</v>
      </c>
      <c r="BA3152" s="80" t="s">
        <v>20380</v>
      </c>
      <c r="BB3152" s="80" t="s">
        <v>20380</v>
      </c>
      <c r="BC3152" s="80" t="s">
        <v>18888</v>
      </c>
      <c r="BD3152" s="80" t="s">
        <v>21002</v>
      </c>
      <c r="BE3152" s="77"/>
      <c r="BF3152" s="77"/>
      <c r="BG3152" s="77"/>
      <c r="BH3152" s="77"/>
      <c r="BI3152" s="77"/>
    </row>
    <row r="3153" spans="1:61" x14ac:dyDescent="0.25">
      <c r="A3153" s="62" t="s">
        <v>1255</v>
      </c>
      <c r="B3153" s="62" t="s">
        <v>1255</v>
      </c>
      <c r="C3153" s="63"/>
      <c r="D3153" s="64"/>
      <c r="E3153" s="65"/>
      <c r="F3153" s="66"/>
      <c r="G3153" s="63"/>
      <c r="H3153" s="67"/>
      <c r="I3153" s="68"/>
      <c r="J3153" s="68"/>
      <c r="K3153" s="32"/>
      <c r="L3153" s="75">
        <v>3153</v>
      </c>
      <c r="M3153" s="75"/>
      <c r="N3153" s="70"/>
      <c r="O3153" s="77" t="s">
        <v>179</v>
      </c>
      <c r="P3153" s="79">
        <v>45127.722222222219</v>
      </c>
      <c r="Q3153" s="77" t="s">
        <v>4862</v>
      </c>
      <c r="R3153" s="77">
        <v>0</v>
      </c>
      <c r="S3153" s="77">
        <v>0</v>
      </c>
      <c r="T3153" s="77">
        <v>0</v>
      </c>
      <c r="U3153" s="77">
        <v>0</v>
      </c>
      <c r="V3153" s="77">
        <v>6</v>
      </c>
      <c r="W3153" s="80" t="s">
        <v>7849</v>
      </c>
      <c r="X3153" s="83" t="str">
        <f>HYPERLINK("https://panoramadigital.do/el-banco-central-evade-explicar-al-pais-prestamo-de-rd25-mil-millones-al-gobierno-dice-fp/")</f>
        <v>https://panoramadigital.do/el-banco-central-evade-explicar-al-pais-prestamo-de-rd25-mil-millones-al-gobierno-dice-fp/</v>
      </c>
      <c r="Y3153" s="77" t="s">
        <v>8817</v>
      </c>
      <c r="Z3153" s="77"/>
      <c r="AA3153" s="77"/>
      <c r="AB3153" s="77"/>
      <c r="AC3153" s="80" t="s">
        <v>10541</v>
      </c>
      <c r="AD3153" s="77" t="s">
        <v>10620</v>
      </c>
      <c r="AE3153" s="83" t="str">
        <f>HYPERLINK("https://twitter.com/panorama_rd/status/1682077911325593600")</f>
        <v>https://twitter.com/panorama_rd/status/1682077911325593600</v>
      </c>
      <c r="AF3153" s="79">
        <v>45127.722222222219</v>
      </c>
      <c r="AG3153" s="85">
        <v>45127</v>
      </c>
      <c r="AH3153" s="80" t="s">
        <v>11520</v>
      </c>
      <c r="AI3153" s="77" t="b">
        <v>0</v>
      </c>
      <c r="AJ3153" s="77"/>
      <c r="AK3153" s="77"/>
      <c r="AL3153" s="77"/>
      <c r="AM3153" s="77"/>
      <c r="AN3153" s="77"/>
      <c r="AO3153" s="77"/>
      <c r="AP3153" s="77"/>
      <c r="AQ3153" s="77"/>
      <c r="AR3153" s="77"/>
      <c r="AS3153" s="77"/>
      <c r="AT3153" s="77"/>
      <c r="AU3153" s="77"/>
      <c r="AV3153" s="83" t="str">
        <f>HYPERLINK("https://pbs.twimg.com/profile_images/1692209085226135558/A1Y1hwT5_normal.jpg")</f>
        <v>https://pbs.twimg.com/profile_images/1692209085226135558/A1Y1hwT5_normal.jpg</v>
      </c>
      <c r="AW3153" s="80" t="s">
        <v>18889</v>
      </c>
      <c r="AX3153" s="80" t="s">
        <v>18889</v>
      </c>
      <c r="AY3153" s="77"/>
      <c r="AZ3153" s="80" t="s">
        <v>20380</v>
      </c>
      <c r="BA3153" s="80" t="s">
        <v>20380</v>
      </c>
      <c r="BB3153" s="80" t="s">
        <v>20380</v>
      </c>
      <c r="BC3153" s="80" t="s">
        <v>18889</v>
      </c>
      <c r="BD3153" s="80" t="s">
        <v>21002</v>
      </c>
      <c r="BE3153" s="77"/>
      <c r="BF3153" s="77"/>
      <c r="BG3153" s="77"/>
      <c r="BH3153" s="77"/>
      <c r="BI3153" s="77"/>
    </row>
    <row r="3154" spans="1:61" x14ac:dyDescent="0.25">
      <c r="A3154" s="62" t="s">
        <v>1255</v>
      </c>
      <c r="B3154" s="62" t="s">
        <v>1255</v>
      </c>
      <c r="C3154" s="63"/>
      <c r="D3154" s="64"/>
      <c r="E3154" s="65"/>
      <c r="F3154" s="66"/>
      <c r="G3154" s="63"/>
      <c r="H3154" s="67"/>
      <c r="I3154" s="68"/>
      <c r="J3154" s="68"/>
      <c r="K3154" s="32"/>
      <c r="L3154" s="75">
        <v>3154</v>
      </c>
      <c r="M3154" s="75"/>
      <c r="N3154" s="70"/>
      <c r="O3154" s="77" t="s">
        <v>179</v>
      </c>
      <c r="P3154" s="79">
        <v>45121.666689814818</v>
      </c>
      <c r="Q3154" s="77" t="s">
        <v>4863</v>
      </c>
      <c r="R3154" s="77">
        <v>0</v>
      </c>
      <c r="S3154" s="77">
        <v>0</v>
      </c>
      <c r="T3154" s="77">
        <v>0</v>
      </c>
      <c r="U3154" s="77">
        <v>0</v>
      </c>
      <c r="V3154" s="77">
        <v>15</v>
      </c>
      <c r="W3154" s="80" t="s">
        <v>7848</v>
      </c>
      <c r="X3154" s="83" t="str">
        <f>HYPERLINK("https://panoramadigital.do/el-dolar-se-cambia-para-la-venta-a-56-14-pesos-dominicanos/")</f>
        <v>https://panoramadigital.do/el-dolar-se-cambia-para-la-venta-a-56-14-pesos-dominicanos/</v>
      </c>
      <c r="Y3154" s="77" t="s">
        <v>8817</v>
      </c>
      <c r="Z3154" s="77"/>
      <c r="AA3154" s="77"/>
      <c r="AB3154" s="77"/>
      <c r="AC3154" s="80" t="s">
        <v>10541</v>
      </c>
      <c r="AD3154" s="77" t="s">
        <v>10620</v>
      </c>
      <c r="AE3154" s="83" t="str">
        <f>HYPERLINK("https://twitter.com/panorama_rd/status/1679883462595997699")</f>
        <v>https://twitter.com/panorama_rd/status/1679883462595997699</v>
      </c>
      <c r="AF3154" s="79">
        <v>45121.666689814818</v>
      </c>
      <c r="AG3154" s="85">
        <v>45121</v>
      </c>
      <c r="AH3154" s="80" t="s">
        <v>10872</v>
      </c>
      <c r="AI3154" s="77" t="b">
        <v>0</v>
      </c>
      <c r="AJ3154" s="77"/>
      <c r="AK3154" s="77"/>
      <c r="AL3154" s="77"/>
      <c r="AM3154" s="77"/>
      <c r="AN3154" s="77"/>
      <c r="AO3154" s="77"/>
      <c r="AP3154" s="77"/>
      <c r="AQ3154" s="77"/>
      <c r="AR3154" s="77"/>
      <c r="AS3154" s="77"/>
      <c r="AT3154" s="77"/>
      <c r="AU3154" s="77"/>
      <c r="AV3154" s="83" t="str">
        <f>HYPERLINK("https://pbs.twimg.com/profile_images/1692209085226135558/A1Y1hwT5_normal.jpg")</f>
        <v>https://pbs.twimg.com/profile_images/1692209085226135558/A1Y1hwT5_normal.jpg</v>
      </c>
      <c r="AW3154" s="80" t="s">
        <v>18890</v>
      </c>
      <c r="AX3154" s="80" t="s">
        <v>18890</v>
      </c>
      <c r="AY3154" s="77"/>
      <c r="AZ3154" s="80" t="s">
        <v>20380</v>
      </c>
      <c r="BA3154" s="80" t="s">
        <v>20380</v>
      </c>
      <c r="BB3154" s="80" t="s">
        <v>20380</v>
      </c>
      <c r="BC3154" s="80" t="s">
        <v>18890</v>
      </c>
      <c r="BD3154" s="80" t="s">
        <v>21002</v>
      </c>
      <c r="BE3154" s="77"/>
      <c r="BF3154" s="77"/>
      <c r="BG3154" s="77"/>
      <c r="BH3154" s="77"/>
      <c r="BI3154" s="77"/>
    </row>
    <row r="3155" spans="1:61" x14ac:dyDescent="0.25">
      <c r="A3155" s="62" t="s">
        <v>1255</v>
      </c>
      <c r="B3155" s="62" t="s">
        <v>1255</v>
      </c>
      <c r="C3155" s="63"/>
      <c r="D3155" s="64"/>
      <c r="E3155" s="65"/>
      <c r="F3155" s="66"/>
      <c r="G3155" s="63"/>
      <c r="H3155" s="67"/>
      <c r="I3155" s="68"/>
      <c r="J3155" s="68"/>
      <c r="K3155" s="32"/>
      <c r="L3155" s="75">
        <v>3155</v>
      </c>
      <c r="M3155" s="75"/>
      <c r="N3155" s="70"/>
      <c r="O3155" s="77" t="s">
        <v>179</v>
      </c>
      <c r="P3155" s="79">
        <v>45152.76059027778</v>
      </c>
      <c r="Q3155" s="77" t="s">
        <v>4864</v>
      </c>
      <c r="R3155" s="77">
        <v>0</v>
      </c>
      <c r="S3155" s="77">
        <v>0</v>
      </c>
      <c r="T3155" s="77">
        <v>0</v>
      </c>
      <c r="U3155" s="77">
        <v>0</v>
      </c>
      <c r="V3155" s="77">
        <v>7</v>
      </c>
      <c r="W3155" s="80" t="s">
        <v>7850</v>
      </c>
      <c r="X3155" s="83" t="str">
        <f>HYPERLINK("https://panoramadigital.do/rd-recibio-cerca-de-6mil-millones-de-dolares-en-remesas-durante-primer-semestre-del-2023/")</f>
        <v>https://panoramadigital.do/rd-recibio-cerca-de-6mil-millones-de-dolares-en-remesas-durante-primer-semestre-del-2023/</v>
      </c>
      <c r="Y3155" s="77" t="s">
        <v>8817</v>
      </c>
      <c r="Z3155" s="77"/>
      <c r="AA3155" s="77"/>
      <c r="AB3155" s="77"/>
      <c r="AC3155" s="80" t="s">
        <v>10541</v>
      </c>
      <c r="AD3155" s="77" t="s">
        <v>10620</v>
      </c>
      <c r="AE3155" s="83" t="str">
        <f>HYPERLINK("https://twitter.com/panorama_rd/status/1691151513635192858")</f>
        <v>https://twitter.com/panorama_rd/status/1691151513635192858</v>
      </c>
      <c r="AF3155" s="79">
        <v>45152.76059027778</v>
      </c>
      <c r="AG3155" s="85">
        <v>45152</v>
      </c>
      <c r="AH3155" s="80" t="s">
        <v>11918</v>
      </c>
      <c r="AI3155" s="77" t="b">
        <v>0</v>
      </c>
      <c r="AJ3155" s="77"/>
      <c r="AK3155" s="77"/>
      <c r="AL3155" s="77"/>
      <c r="AM3155" s="77"/>
      <c r="AN3155" s="77"/>
      <c r="AO3155" s="77"/>
      <c r="AP3155" s="77"/>
      <c r="AQ3155" s="77"/>
      <c r="AR3155" s="77"/>
      <c r="AS3155" s="77"/>
      <c r="AT3155" s="77"/>
      <c r="AU3155" s="77"/>
      <c r="AV3155" s="83" t="str">
        <f>HYPERLINK("https://pbs.twimg.com/profile_images/1692209085226135558/A1Y1hwT5_normal.jpg")</f>
        <v>https://pbs.twimg.com/profile_images/1692209085226135558/A1Y1hwT5_normal.jpg</v>
      </c>
      <c r="AW3155" s="80" t="s">
        <v>18891</v>
      </c>
      <c r="AX3155" s="80" t="s">
        <v>18891</v>
      </c>
      <c r="AY3155" s="77"/>
      <c r="AZ3155" s="80" t="s">
        <v>20380</v>
      </c>
      <c r="BA3155" s="80" t="s">
        <v>20380</v>
      </c>
      <c r="BB3155" s="80" t="s">
        <v>20380</v>
      </c>
      <c r="BC3155" s="80" t="s">
        <v>18891</v>
      </c>
      <c r="BD3155" s="80" t="s">
        <v>21002</v>
      </c>
      <c r="BE3155" s="77"/>
      <c r="BF3155" s="77"/>
      <c r="BG3155" s="77"/>
      <c r="BH3155" s="77"/>
      <c r="BI3155" s="77"/>
    </row>
    <row r="3156" spans="1:61" x14ac:dyDescent="0.25">
      <c r="A3156" s="62" t="s">
        <v>1256</v>
      </c>
      <c r="B3156" s="62" t="s">
        <v>1256</v>
      </c>
      <c r="C3156" s="63"/>
      <c r="D3156" s="64"/>
      <c r="E3156" s="65"/>
      <c r="F3156" s="66"/>
      <c r="G3156" s="63"/>
      <c r="H3156" s="67"/>
      <c r="I3156" s="68"/>
      <c r="J3156" s="68"/>
      <c r="K3156" s="32"/>
      <c r="L3156" s="75">
        <v>3156</v>
      </c>
      <c r="M3156" s="75"/>
      <c r="N3156" s="70"/>
      <c r="O3156" s="77" t="s">
        <v>179</v>
      </c>
      <c r="P3156" s="79">
        <v>45097.5858912037</v>
      </c>
      <c r="Q3156" s="77" t="s">
        <v>4865</v>
      </c>
      <c r="R3156" s="77">
        <v>0</v>
      </c>
      <c r="S3156" s="77">
        <v>6</v>
      </c>
      <c r="T3156" s="77">
        <v>1</v>
      </c>
      <c r="U3156" s="77">
        <v>0</v>
      </c>
      <c r="V3156" s="77">
        <v>310</v>
      </c>
      <c r="W3156" s="80" t="s">
        <v>7851</v>
      </c>
      <c r="X3156" s="83" t="str">
        <f>HYPERLINK("https://pleno.news/brasil/politica-nacional/fazenda-exonera-no-2-de-haddad-para-assumir-cargo-no-bc.html")</f>
        <v>https://pleno.news/brasil/politica-nacional/fazenda-exonera-no-2-de-haddad-para-assumir-cargo-no-bc.html</v>
      </c>
      <c r="Y3156" s="77" t="s">
        <v>8818</v>
      </c>
      <c r="Z3156" s="77"/>
      <c r="AA3156" s="77"/>
      <c r="AB3156" s="77"/>
      <c r="AC3156" s="80" t="s">
        <v>10541</v>
      </c>
      <c r="AD3156" s="77" t="s">
        <v>10617</v>
      </c>
      <c r="AE3156" s="83" t="str">
        <f>HYPERLINK("https://twitter.com/plenonews/status/1671156869795291138")</f>
        <v>https://twitter.com/plenonews/status/1671156869795291138</v>
      </c>
      <c r="AF3156" s="79">
        <v>45097.5858912037</v>
      </c>
      <c r="AG3156" s="85">
        <v>45097</v>
      </c>
      <c r="AH3156" s="80" t="s">
        <v>13369</v>
      </c>
      <c r="AI3156" s="77" t="b">
        <v>0</v>
      </c>
      <c r="AJ3156" s="77"/>
      <c r="AK3156" s="77"/>
      <c r="AL3156" s="77"/>
      <c r="AM3156" s="77"/>
      <c r="AN3156" s="77"/>
      <c r="AO3156" s="77"/>
      <c r="AP3156" s="77"/>
      <c r="AQ3156" s="77"/>
      <c r="AR3156" s="77"/>
      <c r="AS3156" s="77"/>
      <c r="AT3156" s="77"/>
      <c r="AU3156" s="77"/>
      <c r="AV3156" s="83" t="str">
        <f>HYPERLINK("https://pbs.twimg.com/profile_images/1320764946678976514/CDdWGlIn_normal.jpg")</f>
        <v>https://pbs.twimg.com/profile_images/1320764946678976514/CDdWGlIn_normal.jpg</v>
      </c>
      <c r="AW3156" s="80" t="s">
        <v>18892</v>
      </c>
      <c r="AX3156" s="80" t="s">
        <v>18892</v>
      </c>
      <c r="AY3156" s="77"/>
      <c r="AZ3156" s="80" t="s">
        <v>20380</v>
      </c>
      <c r="BA3156" s="80" t="s">
        <v>20380</v>
      </c>
      <c r="BB3156" s="80" t="s">
        <v>20380</v>
      </c>
      <c r="BC3156" s="80" t="s">
        <v>18892</v>
      </c>
      <c r="BD3156" s="80" t="s">
        <v>21003</v>
      </c>
      <c r="BE3156" s="77"/>
      <c r="BF3156" s="77"/>
      <c r="BG3156" s="77"/>
      <c r="BH3156" s="77"/>
      <c r="BI3156" s="77"/>
    </row>
    <row r="3157" spans="1:61" x14ac:dyDescent="0.25">
      <c r="A3157" s="62" t="s">
        <v>1256</v>
      </c>
      <c r="B3157" s="62" t="s">
        <v>1256</v>
      </c>
      <c r="C3157" s="63"/>
      <c r="D3157" s="64"/>
      <c r="E3157" s="65"/>
      <c r="F3157" s="66"/>
      <c r="G3157" s="63"/>
      <c r="H3157" s="67"/>
      <c r="I3157" s="68"/>
      <c r="J3157" s="68"/>
      <c r="K3157" s="32"/>
      <c r="L3157" s="75">
        <v>3157</v>
      </c>
      <c r="M3157" s="75"/>
      <c r="N3157" s="70"/>
      <c r="O3157" s="77" t="s">
        <v>179</v>
      </c>
      <c r="P3157" s="79">
        <v>45161.610995370371</v>
      </c>
      <c r="Q3157" s="77" t="s">
        <v>4866</v>
      </c>
      <c r="R3157" s="77">
        <v>11</v>
      </c>
      <c r="S3157" s="77">
        <v>26</v>
      </c>
      <c r="T3157" s="77">
        <v>2</v>
      </c>
      <c r="U3157" s="77">
        <v>4</v>
      </c>
      <c r="V3157" s="77">
        <v>750</v>
      </c>
      <c r="W3157" s="80" t="s">
        <v>7852</v>
      </c>
      <c r="X3157" s="83" t="str">
        <f>HYPERLINK("https://pleno.news/economia/falha-provoca-vazamento-de-dados-de-chaves-pix-informa-bc.html")</f>
        <v>https://pleno.news/economia/falha-provoca-vazamento-de-dados-de-chaves-pix-informa-bc.html</v>
      </c>
      <c r="Y3157" s="77" t="s">
        <v>8818</v>
      </c>
      <c r="Z3157" s="77"/>
      <c r="AA3157" s="77"/>
      <c r="AB3157" s="77"/>
      <c r="AC3157" s="80" t="s">
        <v>10541</v>
      </c>
      <c r="AD3157" s="77" t="s">
        <v>10617</v>
      </c>
      <c r="AE3157" s="83" t="str">
        <f>HYPERLINK("https://twitter.com/plenonews/status/1694358792035516738")</f>
        <v>https://twitter.com/plenonews/status/1694358792035516738</v>
      </c>
      <c r="AF3157" s="79">
        <v>45161.610995370371</v>
      </c>
      <c r="AG3157" s="85">
        <v>45161</v>
      </c>
      <c r="AH3157" s="80" t="s">
        <v>13370</v>
      </c>
      <c r="AI3157" s="77" t="b">
        <v>0</v>
      </c>
      <c r="AJ3157" s="77"/>
      <c r="AK3157" s="77"/>
      <c r="AL3157" s="77"/>
      <c r="AM3157" s="77"/>
      <c r="AN3157" s="77"/>
      <c r="AO3157" s="77"/>
      <c r="AP3157" s="77"/>
      <c r="AQ3157" s="77"/>
      <c r="AR3157" s="77"/>
      <c r="AS3157" s="77"/>
      <c r="AT3157" s="77"/>
      <c r="AU3157" s="77"/>
      <c r="AV3157" s="83" t="str">
        <f>HYPERLINK("https://pbs.twimg.com/profile_images/1320764946678976514/CDdWGlIn_normal.jpg")</f>
        <v>https://pbs.twimg.com/profile_images/1320764946678976514/CDdWGlIn_normal.jpg</v>
      </c>
      <c r="AW3157" s="80" t="s">
        <v>18893</v>
      </c>
      <c r="AX3157" s="80" t="s">
        <v>18893</v>
      </c>
      <c r="AY3157" s="77"/>
      <c r="AZ3157" s="80" t="s">
        <v>20380</v>
      </c>
      <c r="BA3157" s="80" t="s">
        <v>20380</v>
      </c>
      <c r="BB3157" s="80" t="s">
        <v>20380</v>
      </c>
      <c r="BC3157" s="80" t="s">
        <v>18893</v>
      </c>
      <c r="BD3157" s="80" t="s">
        <v>21003</v>
      </c>
      <c r="BE3157" s="77"/>
      <c r="BF3157" s="77"/>
      <c r="BG3157" s="77"/>
      <c r="BH3157" s="77"/>
      <c r="BI3157" s="77"/>
    </row>
    <row r="3158" spans="1:61" x14ac:dyDescent="0.25">
      <c r="A3158" s="62" t="s">
        <v>1256</v>
      </c>
      <c r="B3158" s="62" t="s">
        <v>1256</v>
      </c>
      <c r="C3158" s="63"/>
      <c r="D3158" s="64"/>
      <c r="E3158" s="65"/>
      <c r="F3158" s="66"/>
      <c r="G3158" s="63"/>
      <c r="H3158" s="67"/>
      <c r="I3158" s="68"/>
      <c r="J3158" s="68"/>
      <c r="K3158" s="32"/>
      <c r="L3158" s="75">
        <v>3158</v>
      </c>
      <c r="M3158" s="75"/>
      <c r="N3158" s="70"/>
      <c r="O3158" s="77" t="s">
        <v>179</v>
      </c>
      <c r="P3158" s="79">
        <v>45145.663807870369</v>
      </c>
      <c r="Q3158" s="77" t="s">
        <v>4867</v>
      </c>
      <c r="R3158" s="77">
        <v>2</v>
      </c>
      <c r="S3158" s="77">
        <v>3</v>
      </c>
      <c r="T3158" s="77">
        <v>0</v>
      </c>
      <c r="U3158" s="77">
        <v>0</v>
      </c>
      <c r="V3158" s="77">
        <v>328</v>
      </c>
      <c r="W3158" s="80" t="s">
        <v>7853</v>
      </c>
      <c r="X3158" s="83" t="str">
        <f>HYPERLINK("https://pleno.news/economia/brasileiros-ainda-podem-sacar-r-7-bilhoes-esquecidos-diz-bc.html")</f>
        <v>https://pleno.news/economia/brasileiros-ainda-podem-sacar-r-7-bilhoes-esquecidos-diz-bc.html</v>
      </c>
      <c r="Y3158" s="77" t="s">
        <v>8818</v>
      </c>
      <c r="Z3158" s="77"/>
      <c r="AA3158" s="77"/>
      <c r="AB3158" s="77"/>
      <c r="AC3158" s="80" t="s">
        <v>10541</v>
      </c>
      <c r="AD3158" s="77" t="s">
        <v>10617</v>
      </c>
      <c r="AE3158" s="83" t="str">
        <f>HYPERLINK("https://twitter.com/plenonews/status/1688579723910123520")</f>
        <v>https://twitter.com/plenonews/status/1688579723910123520</v>
      </c>
      <c r="AF3158" s="79">
        <v>45145.663807870369</v>
      </c>
      <c r="AG3158" s="85">
        <v>45145</v>
      </c>
      <c r="AH3158" s="80" t="s">
        <v>13371</v>
      </c>
      <c r="AI3158" s="77" t="b">
        <v>0</v>
      </c>
      <c r="AJ3158" s="77"/>
      <c r="AK3158" s="77"/>
      <c r="AL3158" s="77"/>
      <c r="AM3158" s="77"/>
      <c r="AN3158" s="77"/>
      <c r="AO3158" s="77"/>
      <c r="AP3158" s="77"/>
      <c r="AQ3158" s="77"/>
      <c r="AR3158" s="77"/>
      <c r="AS3158" s="77"/>
      <c r="AT3158" s="77"/>
      <c r="AU3158" s="77"/>
      <c r="AV3158" s="83" t="str">
        <f>HYPERLINK("https://pbs.twimg.com/profile_images/1320764946678976514/CDdWGlIn_normal.jpg")</f>
        <v>https://pbs.twimg.com/profile_images/1320764946678976514/CDdWGlIn_normal.jpg</v>
      </c>
      <c r="AW3158" s="80" t="s">
        <v>18894</v>
      </c>
      <c r="AX3158" s="80" t="s">
        <v>18894</v>
      </c>
      <c r="AY3158" s="77"/>
      <c r="AZ3158" s="80" t="s">
        <v>20380</v>
      </c>
      <c r="BA3158" s="80" t="s">
        <v>20380</v>
      </c>
      <c r="BB3158" s="80" t="s">
        <v>20380</v>
      </c>
      <c r="BC3158" s="80" t="s">
        <v>18894</v>
      </c>
      <c r="BD3158" s="80" t="s">
        <v>21003</v>
      </c>
      <c r="BE3158" s="77"/>
      <c r="BF3158" s="77"/>
      <c r="BG3158" s="77"/>
      <c r="BH3158" s="77"/>
      <c r="BI3158" s="77"/>
    </row>
    <row r="3159" spans="1:61" x14ac:dyDescent="0.25">
      <c r="A3159" s="62" t="s">
        <v>1256</v>
      </c>
      <c r="B3159" s="62" t="s">
        <v>1256</v>
      </c>
      <c r="C3159" s="63"/>
      <c r="D3159" s="64"/>
      <c r="E3159" s="65"/>
      <c r="F3159" s="66"/>
      <c r="G3159" s="63"/>
      <c r="H3159" s="67"/>
      <c r="I3159" s="68"/>
      <c r="J3159" s="68"/>
      <c r="K3159" s="32"/>
      <c r="L3159" s="75">
        <v>3159</v>
      </c>
      <c r="M3159" s="75"/>
      <c r="N3159" s="70"/>
      <c r="O3159" s="77" t="s">
        <v>179</v>
      </c>
      <c r="P3159" s="79">
        <v>45173.797256944446</v>
      </c>
      <c r="Q3159" s="77" t="s">
        <v>4868</v>
      </c>
      <c r="R3159" s="77">
        <v>1</v>
      </c>
      <c r="S3159" s="77">
        <v>4</v>
      </c>
      <c r="T3159" s="77">
        <v>0</v>
      </c>
      <c r="U3159" s="77">
        <v>0</v>
      </c>
      <c r="V3159" s="77">
        <v>246</v>
      </c>
      <c r="W3159" s="80" t="s">
        <v>7852</v>
      </c>
      <c r="X3159" s="83" t="str">
        <f>HYPERLINK("https://pleno.news/economia/pix-de-r-12-bilhao-foi-o-maior-desde-o-lancamento-informa-bc.html")</f>
        <v>https://pleno.news/economia/pix-de-r-12-bilhao-foi-o-maior-desde-o-lancamento-informa-bc.html</v>
      </c>
      <c r="Y3159" s="77" t="s">
        <v>8818</v>
      </c>
      <c r="Z3159" s="77"/>
      <c r="AA3159" s="77"/>
      <c r="AB3159" s="77"/>
      <c r="AC3159" s="80" t="s">
        <v>10541</v>
      </c>
      <c r="AD3159" s="77" t="s">
        <v>10617</v>
      </c>
      <c r="AE3159" s="83" t="str">
        <f>HYPERLINK("https://twitter.com/plenonews/status/1698774946674053408")</f>
        <v>https://twitter.com/plenonews/status/1698774946674053408</v>
      </c>
      <c r="AF3159" s="79">
        <v>45173.797256944446</v>
      </c>
      <c r="AG3159" s="85">
        <v>45173</v>
      </c>
      <c r="AH3159" s="80" t="s">
        <v>13372</v>
      </c>
      <c r="AI3159" s="77" t="b">
        <v>0</v>
      </c>
      <c r="AJ3159" s="77"/>
      <c r="AK3159" s="77"/>
      <c r="AL3159" s="77"/>
      <c r="AM3159" s="77"/>
      <c r="AN3159" s="77"/>
      <c r="AO3159" s="77"/>
      <c r="AP3159" s="77"/>
      <c r="AQ3159" s="77"/>
      <c r="AR3159" s="77"/>
      <c r="AS3159" s="77"/>
      <c r="AT3159" s="77"/>
      <c r="AU3159" s="77"/>
      <c r="AV3159" s="83" t="str">
        <f>HYPERLINK("https://pbs.twimg.com/profile_images/1320764946678976514/CDdWGlIn_normal.jpg")</f>
        <v>https://pbs.twimg.com/profile_images/1320764946678976514/CDdWGlIn_normal.jpg</v>
      </c>
      <c r="AW3159" s="80" t="s">
        <v>18895</v>
      </c>
      <c r="AX3159" s="80" t="s">
        <v>18895</v>
      </c>
      <c r="AY3159" s="77"/>
      <c r="AZ3159" s="80" t="s">
        <v>20380</v>
      </c>
      <c r="BA3159" s="80" t="s">
        <v>20380</v>
      </c>
      <c r="BB3159" s="80" t="s">
        <v>20380</v>
      </c>
      <c r="BC3159" s="80" t="s">
        <v>18895</v>
      </c>
      <c r="BD3159" s="80" t="s">
        <v>21003</v>
      </c>
      <c r="BE3159" s="77"/>
      <c r="BF3159" s="77"/>
      <c r="BG3159" s="77"/>
      <c r="BH3159" s="77"/>
      <c r="BI3159" s="77"/>
    </row>
    <row r="3160" spans="1:61" x14ac:dyDescent="0.25">
      <c r="A3160" s="62" t="s">
        <v>1256</v>
      </c>
      <c r="B3160" s="62" t="s">
        <v>1256</v>
      </c>
      <c r="C3160" s="63"/>
      <c r="D3160" s="64"/>
      <c r="E3160" s="65"/>
      <c r="F3160" s="66"/>
      <c r="G3160" s="63"/>
      <c r="H3160" s="67"/>
      <c r="I3160" s="68"/>
      <c r="J3160" s="68"/>
      <c r="K3160" s="32"/>
      <c r="L3160" s="75">
        <v>3160</v>
      </c>
      <c r="M3160" s="75"/>
      <c r="N3160" s="70"/>
      <c r="O3160" s="77" t="s">
        <v>179</v>
      </c>
      <c r="P3160" s="79">
        <v>45163.705833333333</v>
      </c>
      <c r="Q3160" s="77" t="s">
        <v>4869</v>
      </c>
      <c r="R3160" s="77">
        <v>7</v>
      </c>
      <c r="S3160" s="77">
        <v>44</v>
      </c>
      <c r="T3160" s="77">
        <v>2</v>
      </c>
      <c r="U3160" s="77">
        <v>0</v>
      </c>
      <c r="V3160" s="77">
        <v>519</v>
      </c>
      <c r="W3160" s="80" t="s">
        <v>7854</v>
      </c>
      <c r="X3160" s="83" t="str">
        <f>HYPERLINK("https://pleno.news/brasil/politica-nacional/nao-entendo-nada-de-politica-diz-roberto-campos-neto.html")</f>
        <v>https://pleno.news/brasil/politica-nacional/nao-entendo-nada-de-politica-diz-roberto-campos-neto.html</v>
      </c>
      <c r="Y3160" s="77" t="s">
        <v>8818</v>
      </c>
      <c r="Z3160" s="77"/>
      <c r="AA3160" s="77"/>
      <c r="AB3160" s="77"/>
      <c r="AC3160" s="80" t="s">
        <v>10541</v>
      </c>
      <c r="AD3160" s="77" t="s">
        <v>10617</v>
      </c>
      <c r="AE3160" s="83" t="str">
        <f>HYPERLINK("https://twitter.com/plenonews/status/1695117937361764549")</f>
        <v>https://twitter.com/plenonews/status/1695117937361764549</v>
      </c>
      <c r="AF3160" s="79">
        <v>45163.705833333333</v>
      </c>
      <c r="AG3160" s="85">
        <v>45163</v>
      </c>
      <c r="AH3160" s="80" t="s">
        <v>13373</v>
      </c>
      <c r="AI3160" s="77" t="b">
        <v>0</v>
      </c>
      <c r="AJ3160" s="77"/>
      <c r="AK3160" s="77"/>
      <c r="AL3160" s="77"/>
      <c r="AM3160" s="77"/>
      <c r="AN3160" s="77"/>
      <c r="AO3160" s="77"/>
      <c r="AP3160" s="77"/>
      <c r="AQ3160" s="77"/>
      <c r="AR3160" s="77"/>
      <c r="AS3160" s="77"/>
      <c r="AT3160" s="77"/>
      <c r="AU3160" s="77"/>
      <c r="AV3160" s="83" t="str">
        <f>HYPERLINK("https://pbs.twimg.com/profile_images/1320764946678976514/CDdWGlIn_normal.jpg")</f>
        <v>https://pbs.twimg.com/profile_images/1320764946678976514/CDdWGlIn_normal.jpg</v>
      </c>
      <c r="AW3160" s="80" t="s">
        <v>18896</v>
      </c>
      <c r="AX3160" s="80" t="s">
        <v>18896</v>
      </c>
      <c r="AY3160" s="77"/>
      <c r="AZ3160" s="80" t="s">
        <v>20380</v>
      </c>
      <c r="BA3160" s="80" t="s">
        <v>20380</v>
      </c>
      <c r="BB3160" s="80" t="s">
        <v>20380</v>
      </c>
      <c r="BC3160" s="80" t="s">
        <v>18896</v>
      </c>
      <c r="BD3160" s="80" t="s">
        <v>21003</v>
      </c>
      <c r="BE3160" s="77"/>
      <c r="BF3160" s="77"/>
      <c r="BG3160" s="77"/>
      <c r="BH3160" s="77"/>
      <c r="BI3160" s="77"/>
    </row>
    <row r="3161" spans="1:61" x14ac:dyDescent="0.25">
      <c r="A3161" s="62" t="s">
        <v>1256</v>
      </c>
      <c r="B3161" s="62" t="s">
        <v>1256</v>
      </c>
      <c r="C3161" s="63"/>
      <c r="D3161" s="64"/>
      <c r="E3161" s="65"/>
      <c r="F3161" s="66"/>
      <c r="G3161" s="63"/>
      <c r="H3161" s="67"/>
      <c r="I3161" s="68"/>
      <c r="J3161" s="68"/>
      <c r="K3161" s="32"/>
      <c r="L3161" s="75">
        <v>3161</v>
      </c>
      <c r="M3161" s="75"/>
      <c r="N3161" s="70"/>
      <c r="O3161" s="77" t="s">
        <v>179</v>
      </c>
      <c r="P3161" s="79">
        <v>45196.699432870373</v>
      </c>
      <c r="Q3161" s="77" t="s">
        <v>4870</v>
      </c>
      <c r="R3161" s="77">
        <v>2</v>
      </c>
      <c r="S3161" s="77">
        <v>14</v>
      </c>
      <c r="T3161" s="77">
        <v>1</v>
      </c>
      <c r="U3161" s="77">
        <v>0</v>
      </c>
      <c r="V3161" s="77">
        <v>354</v>
      </c>
      <c r="W3161" s="80" t="s">
        <v>7490</v>
      </c>
      <c r="X3161" s="83" t="str">
        <f>HYPERLINK("https://pleno.news/economia/campos-neto-diz-que-bc-nao-e-oposicao-ao-governo-lula.html")</f>
        <v>https://pleno.news/economia/campos-neto-diz-que-bc-nao-e-oposicao-ao-governo-lula.html</v>
      </c>
      <c r="Y3161" s="77" t="s">
        <v>8818</v>
      </c>
      <c r="Z3161" s="77"/>
      <c r="AA3161" s="77"/>
      <c r="AB3161" s="77"/>
      <c r="AC3161" s="80" t="s">
        <v>10541</v>
      </c>
      <c r="AD3161" s="77" t="s">
        <v>10617</v>
      </c>
      <c r="AE3161" s="83" t="str">
        <f>HYPERLINK("https://twitter.com/plenonews/status/1707074415941366009")</f>
        <v>https://twitter.com/plenonews/status/1707074415941366009</v>
      </c>
      <c r="AF3161" s="79">
        <v>45196.699432870373</v>
      </c>
      <c r="AG3161" s="85">
        <v>45196</v>
      </c>
      <c r="AH3161" s="80" t="s">
        <v>13374</v>
      </c>
      <c r="AI3161" s="77" t="b">
        <v>0</v>
      </c>
      <c r="AJ3161" s="77"/>
      <c r="AK3161" s="77"/>
      <c r="AL3161" s="77"/>
      <c r="AM3161" s="77"/>
      <c r="AN3161" s="77"/>
      <c r="AO3161" s="77"/>
      <c r="AP3161" s="77"/>
      <c r="AQ3161" s="77"/>
      <c r="AR3161" s="77"/>
      <c r="AS3161" s="77"/>
      <c r="AT3161" s="77"/>
      <c r="AU3161" s="77"/>
      <c r="AV3161" s="83" t="str">
        <f>HYPERLINK("https://pbs.twimg.com/profile_images/1320764946678976514/CDdWGlIn_normal.jpg")</f>
        <v>https://pbs.twimg.com/profile_images/1320764946678976514/CDdWGlIn_normal.jpg</v>
      </c>
      <c r="AW3161" s="80" t="s">
        <v>18897</v>
      </c>
      <c r="AX3161" s="80" t="s">
        <v>18897</v>
      </c>
      <c r="AY3161" s="77"/>
      <c r="AZ3161" s="80" t="s">
        <v>20380</v>
      </c>
      <c r="BA3161" s="80" t="s">
        <v>20380</v>
      </c>
      <c r="BB3161" s="80" t="s">
        <v>20380</v>
      </c>
      <c r="BC3161" s="80" t="s">
        <v>18897</v>
      </c>
      <c r="BD3161" s="80" t="s">
        <v>21003</v>
      </c>
      <c r="BE3161" s="77"/>
      <c r="BF3161" s="77"/>
      <c r="BG3161" s="77"/>
      <c r="BH3161" s="77"/>
      <c r="BI3161" s="77"/>
    </row>
    <row r="3162" spans="1:61" x14ac:dyDescent="0.25">
      <c r="A3162" s="62" t="s">
        <v>1257</v>
      </c>
      <c r="B3162" s="62" t="s">
        <v>1256</v>
      </c>
      <c r="C3162" s="63"/>
      <c r="D3162" s="64"/>
      <c r="E3162" s="65"/>
      <c r="F3162" s="66"/>
      <c r="G3162" s="63"/>
      <c r="H3162" s="67"/>
      <c r="I3162" s="68"/>
      <c r="J3162" s="68"/>
      <c r="K3162" s="32"/>
      <c r="L3162" s="75">
        <v>3162</v>
      </c>
      <c r="M3162" s="75"/>
      <c r="N3162" s="70"/>
      <c r="O3162" s="77" t="s">
        <v>2083</v>
      </c>
      <c r="P3162" s="79">
        <v>45196.820532407408</v>
      </c>
      <c r="Q3162" s="77" t="s">
        <v>4316</v>
      </c>
      <c r="R3162" s="77">
        <v>2</v>
      </c>
      <c r="S3162" s="77">
        <v>0</v>
      </c>
      <c r="T3162" s="77">
        <v>0</v>
      </c>
      <c r="U3162" s="77">
        <v>0</v>
      </c>
      <c r="V3162" s="77"/>
      <c r="W3162" s="80" t="s">
        <v>7490</v>
      </c>
      <c r="X3162" s="77"/>
      <c r="Y3162" s="77"/>
      <c r="Z3162" s="77" t="s">
        <v>1256</v>
      </c>
      <c r="AA3162" s="77"/>
      <c r="AB3162" s="77"/>
      <c r="AC3162" s="80" t="s">
        <v>10540</v>
      </c>
      <c r="AD3162" s="77" t="s">
        <v>10617</v>
      </c>
      <c r="AE3162" s="83" t="str">
        <f>HYPERLINK("https://twitter.com/aleconstrucao/status/1707118303049654391")</f>
        <v>https://twitter.com/aleconstrucao/status/1707118303049654391</v>
      </c>
      <c r="AF3162" s="79">
        <v>45196.820532407408</v>
      </c>
      <c r="AG3162" s="85">
        <v>45196</v>
      </c>
      <c r="AH3162" s="80" t="s">
        <v>13375</v>
      </c>
      <c r="AI3162" s="77" t="b">
        <v>0</v>
      </c>
      <c r="AJ3162" s="77"/>
      <c r="AK3162" s="77"/>
      <c r="AL3162" s="77"/>
      <c r="AM3162" s="77"/>
      <c r="AN3162" s="77"/>
      <c r="AO3162" s="77"/>
      <c r="AP3162" s="77"/>
      <c r="AQ3162" s="77"/>
      <c r="AR3162" s="77"/>
      <c r="AS3162" s="77"/>
      <c r="AT3162" s="77"/>
      <c r="AU3162" s="77"/>
      <c r="AV3162" s="83" t="str">
        <f>HYPERLINK("https://pbs.twimg.com/profile_images/1707418101967450112/qxeEXdik_normal.jpg")</f>
        <v>https://pbs.twimg.com/profile_images/1707418101967450112/qxeEXdik_normal.jpg</v>
      </c>
      <c r="AW3162" s="80" t="s">
        <v>18898</v>
      </c>
      <c r="AX3162" s="80" t="s">
        <v>18898</v>
      </c>
      <c r="AY3162" s="77"/>
      <c r="AZ3162" s="80" t="s">
        <v>20380</v>
      </c>
      <c r="BA3162" s="80" t="s">
        <v>20380</v>
      </c>
      <c r="BB3162" s="80" t="s">
        <v>18897</v>
      </c>
      <c r="BC3162" s="80" t="s">
        <v>18897</v>
      </c>
      <c r="BD3162" s="80" t="s">
        <v>21004</v>
      </c>
      <c r="BE3162" s="77"/>
      <c r="BF3162" s="77"/>
      <c r="BG3162" s="77"/>
      <c r="BH3162" s="77"/>
      <c r="BI3162" s="77"/>
    </row>
    <row r="3163" spans="1:61" x14ac:dyDescent="0.25">
      <c r="A3163" s="62" t="s">
        <v>1258</v>
      </c>
      <c r="B3163" s="62" t="s">
        <v>1443</v>
      </c>
      <c r="C3163" s="63"/>
      <c r="D3163" s="64"/>
      <c r="E3163" s="65"/>
      <c r="F3163" s="66"/>
      <c r="G3163" s="63"/>
      <c r="H3163" s="67"/>
      <c r="I3163" s="68"/>
      <c r="J3163" s="68"/>
      <c r="K3163" s="32"/>
      <c r="L3163" s="75">
        <v>3163</v>
      </c>
      <c r="M3163" s="75"/>
      <c r="N3163" s="70"/>
      <c r="O3163" s="77" t="s">
        <v>2082</v>
      </c>
      <c r="P3163" s="79">
        <v>45050.922476851854</v>
      </c>
      <c r="Q3163" s="77" t="s">
        <v>4871</v>
      </c>
      <c r="R3163" s="77">
        <v>0</v>
      </c>
      <c r="S3163" s="77">
        <v>0</v>
      </c>
      <c r="T3163" s="77">
        <v>0</v>
      </c>
      <c r="U3163" s="77">
        <v>0</v>
      </c>
      <c r="V3163" s="77">
        <v>19</v>
      </c>
      <c r="W3163" s="80" t="s">
        <v>7117</v>
      </c>
      <c r="X3163" s="77"/>
      <c r="Y3163" s="77"/>
      <c r="Z3163" s="77"/>
      <c r="AA3163" s="77"/>
      <c r="AB3163" s="77"/>
      <c r="AC3163" s="80" t="s">
        <v>10542</v>
      </c>
      <c r="AD3163" s="77" t="s">
        <v>10617</v>
      </c>
      <c r="AE3163" s="83" t="str">
        <f>HYPERLINK("https://twitter.com/gorfo_verdades/status/1654246617862553603")</f>
        <v>https://twitter.com/gorfo_verdades/status/1654246617862553603</v>
      </c>
      <c r="AF3163" s="79">
        <v>45050.922476851854</v>
      </c>
      <c r="AG3163" s="85">
        <v>45050</v>
      </c>
      <c r="AH3163" s="80" t="s">
        <v>13376</v>
      </c>
      <c r="AI3163" s="77"/>
      <c r="AJ3163" s="77"/>
      <c r="AK3163" s="77"/>
      <c r="AL3163" s="77"/>
      <c r="AM3163" s="77"/>
      <c r="AN3163" s="77"/>
      <c r="AO3163" s="77"/>
      <c r="AP3163" s="77"/>
      <c r="AQ3163" s="77"/>
      <c r="AR3163" s="77"/>
      <c r="AS3163" s="77"/>
      <c r="AT3163" s="77"/>
      <c r="AU3163" s="77"/>
      <c r="AV3163" s="83" t="str">
        <f>HYPERLINK("https://pbs.twimg.com/profile_images/456442103363403779/4CSBuYaM_normal.jpeg")</f>
        <v>https://pbs.twimg.com/profile_images/456442103363403779/4CSBuYaM_normal.jpeg</v>
      </c>
      <c r="AW3163" s="80" t="s">
        <v>18899</v>
      </c>
      <c r="AX3163" s="80" t="s">
        <v>18899</v>
      </c>
      <c r="AY3163" s="77"/>
      <c r="AZ3163" s="80" t="s">
        <v>20380</v>
      </c>
      <c r="BA3163" s="80" t="s">
        <v>19321</v>
      </c>
      <c r="BB3163" s="80" t="s">
        <v>20380</v>
      </c>
      <c r="BC3163" s="80" t="s">
        <v>19321</v>
      </c>
      <c r="BD3163" s="77">
        <v>2447347574</v>
      </c>
      <c r="BE3163" s="77"/>
      <c r="BF3163" s="77"/>
      <c r="BG3163" s="77"/>
      <c r="BH3163" s="77"/>
      <c r="BI3163" s="77"/>
    </row>
    <row r="3164" spans="1:61" x14ac:dyDescent="0.25">
      <c r="A3164" s="62" t="s">
        <v>1259</v>
      </c>
      <c r="B3164" s="62" t="s">
        <v>1259</v>
      </c>
      <c r="C3164" s="63"/>
      <c r="D3164" s="64"/>
      <c r="E3164" s="65"/>
      <c r="F3164" s="66"/>
      <c r="G3164" s="63"/>
      <c r="H3164" s="67"/>
      <c r="I3164" s="68"/>
      <c r="J3164" s="68"/>
      <c r="K3164" s="32"/>
      <c r="L3164" s="75">
        <v>3164</v>
      </c>
      <c r="M3164" s="75"/>
      <c r="N3164" s="70"/>
      <c r="O3164" s="77" t="s">
        <v>179</v>
      </c>
      <c r="P3164" s="79">
        <v>45079.622372685182</v>
      </c>
      <c r="Q3164" s="77" t="s">
        <v>4872</v>
      </c>
      <c r="R3164" s="77">
        <v>0</v>
      </c>
      <c r="S3164" s="77">
        <v>0</v>
      </c>
      <c r="T3164" s="77">
        <v>0</v>
      </c>
      <c r="U3164" s="77">
        <v>0</v>
      </c>
      <c r="V3164" s="77">
        <v>9</v>
      </c>
      <c r="W3164" s="80" t="s">
        <v>7855</v>
      </c>
      <c r="X3164" s="77"/>
      <c r="Y3164" s="77"/>
      <c r="Z3164" s="77"/>
      <c r="AA3164" s="77"/>
      <c r="AB3164" s="77"/>
      <c r="AC3164" s="80" t="s">
        <v>10541</v>
      </c>
      <c r="AD3164" s="77" t="s">
        <v>10620</v>
      </c>
      <c r="AE3164" s="83" t="str">
        <f>HYPERLINK("https://twitter.com/intradecapital1/status/1664647109172133894")</f>
        <v>https://twitter.com/intradecapital1/status/1664647109172133894</v>
      </c>
      <c r="AF3164" s="79">
        <v>45079.622372685182</v>
      </c>
      <c r="AG3164" s="85">
        <v>45079</v>
      </c>
      <c r="AH3164" s="80" t="s">
        <v>13377</v>
      </c>
      <c r="AI3164" s="77"/>
      <c r="AJ3164" s="77"/>
      <c r="AK3164" s="77"/>
      <c r="AL3164" s="77"/>
      <c r="AM3164" s="77"/>
      <c r="AN3164" s="77"/>
      <c r="AO3164" s="77"/>
      <c r="AP3164" s="77"/>
      <c r="AQ3164" s="77"/>
      <c r="AR3164" s="77"/>
      <c r="AS3164" s="77"/>
      <c r="AT3164" s="77"/>
      <c r="AU3164" s="77"/>
      <c r="AV3164" s="83" t="str">
        <f>HYPERLINK("https://pbs.twimg.com/profile_images/1663945205458796546/dqJkTiVC_normal.jpg")</f>
        <v>https://pbs.twimg.com/profile_images/1663945205458796546/dqJkTiVC_normal.jpg</v>
      </c>
      <c r="AW3164" s="80" t="s">
        <v>18900</v>
      </c>
      <c r="AX3164" s="80" t="s">
        <v>18900</v>
      </c>
      <c r="AY3164" s="77"/>
      <c r="AZ3164" s="80" t="s">
        <v>20380</v>
      </c>
      <c r="BA3164" s="80" t="s">
        <v>20380</v>
      </c>
      <c r="BB3164" s="80" t="s">
        <v>20380</v>
      </c>
      <c r="BC3164" s="80" t="s">
        <v>18900</v>
      </c>
      <c r="BD3164" s="80" t="s">
        <v>21005</v>
      </c>
      <c r="BE3164" s="77"/>
      <c r="BF3164" s="77"/>
      <c r="BG3164" s="77"/>
      <c r="BH3164" s="77"/>
      <c r="BI3164" s="77"/>
    </row>
    <row r="3165" spans="1:61" x14ac:dyDescent="0.25">
      <c r="A3165" s="62" t="s">
        <v>1260</v>
      </c>
      <c r="B3165" s="62" t="s">
        <v>1313</v>
      </c>
      <c r="C3165" s="63"/>
      <c r="D3165" s="64"/>
      <c r="E3165" s="65"/>
      <c r="F3165" s="66"/>
      <c r="G3165" s="63"/>
      <c r="H3165" s="67"/>
      <c r="I3165" s="68"/>
      <c r="J3165" s="68"/>
      <c r="K3165" s="32"/>
      <c r="L3165" s="75">
        <v>3165</v>
      </c>
      <c r="M3165" s="75"/>
      <c r="N3165" s="70"/>
      <c r="O3165" s="77" t="s">
        <v>2083</v>
      </c>
      <c r="P3165" s="79">
        <v>45195.539976851855</v>
      </c>
      <c r="Q3165" s="77" t="s">
        <v>2338</v>
      </c>
      <c r="R3165" s="77">
        <v>3</v>
      </c>
      <c r="S3165" s="77">
        <v>0</v>
      </c>
      <c r="T3165" s="77">
        <v>0</v>
      </c>
      <c r="U3165" s="77">
        <v>0</v>
      </c>
      <c r="V3165" s="77"/>
      <c r="W3165" s="80" t="s">
        <v>1869</v>
      </c>
      <c r="X3165" s="77"/>
      <c r="Y3165" s="77"/>
      <c r="Z3165" s="77" t="s">
        <v>1313</v>
      </c>
      <c r="AA3165" s="77"/>
      <c r="AB3165" s="77"/>
      <c r="AC3165" s="80" t="s">
        <v>10541</v>
      </c>
      <c r="AD3165" s="77" t="s">
        <v>10620</v>
      </c>
      <c r="AE3165" s="83" t="str">
        <f>HYPERLINK("https://twitter.com/joses221965/status/1706654243799638457")</f>
        <v>https://twitter.com/joses221965/status/1706654243799638457</v>
      </c>
      <c r="AF3165" s="79">
        <v>45195.539976851855</v>
      </c>
      <c r="AG3165" s="85">
        <v>45195</v>
      </c>
      <c r="AH3165" s="80" t="s">
        <v>12489</v>
      </c>
      <c r="AI3165" s="77" t="b">
        <v>1</v>
      </c>
      <c r="AJ3165" s="77"/>
      <c r="AK3165" s="77"/>
      <c r="AL3165" s="77"/>
      <c r="AM3165" s="77"/>
      <c r="AN3165" s="77"/>
      <c r="AO3165" s="77"/>
      <c r="AP3165" s="77"/>
      <c r="AQ3165" s="77"/>
      <c r="AR3165" s="77"/>
      <c r="AS3165" s="77"/>
      <c r="AT3165" s="77"/>
      <c r="AU3165" s="77"/>
      <c r="AV3165" s="83" t="str">
        <f>HYPERLINK("https://abs.twimg.com/sticky/default_profile_images/default_profile_normal.png")</f>
        <v>https://abs.twimg.com/sticky/default_profile_images/default_profile_normal.png</v>
      </c>
      <c r="AW3165" s="80" t="s">
        <v>18901</v>
      </c>
      <c r="AX3165" s="80" t="s">
        <v>18901</v>
      </c>
      <c r="AY3165" s="77"/>
      <c r="AZ3165" s="80" t="s">
        <v>20380</v>
      </c>
      <c r="BA3165" s="80" t="s">
        <v>20380</v>
      </c>
      <c r="BB3165" s="80" t="s">
        <v>19037</v>
      </c>
      <c r="BC3165" s="80" t="s">
        <v>19037</v>
      </c>
      <c r="BD3165" s="77">
        <v>2193248824</v>
      </c>
      <c r="BE3165" s="77"/>
      <c r="BF3165" s="77"/>
      <c r="BG3165" s="77"/>
      <c r="BH3165" s="77"/>
      <c r="BI3165" s="77"/>
    </row>
    <row r="3166" spans="1:61" x14ac:dyDescent="0.25">
      <c r="A3166" s="62" t="s">
        <v>1261</v>
      </c>
      <c r="B3166" s="62" t="s">
        <v>1261</v>
      </c>
      <c r="C3166" s="63"/>
      <c r="D3166" s="64"/>
      <c r="E3166" s="65"/>
      <c r="F3166" s="66"/>
      <c r="G3166" s="63"/>
      <c r="H3166" s="67"/>
      <c r="I3166" s="68"/>
      <c r="J3166" s="68"/>
      <c r="K3166" s="32"/>
      <c r="L3166" s="75">
        <v>3166</v>
      </c>
      <c r="M3166" s="75"/>
      <c r="N3166" s="70"/>
      <c r="O3166" s="77" t="s">
        <v>179</v>
      </c>
      <c r="P3166" s="79">
        <v>45188.506493055553</v>
      </c>
      <c r="Q3166" s="77" t="s">
        <v>4873</v>
      </c>
      <c r="R3166" s="77">
        <v>0</v>
      </c>
      <c r="S3166" s="77">
        <v>0</v>
      </c>
      <c r="T3166" s="77">
        <v>0</v>
      </c>
      <c r="U3166" s="77">
        <v>0</v>
      </c>
      <c r="V3166" s="77">
        <v>68</v>
      </c>
      <c r="W3166" s="80" t="s">
        <v>7856</v>
      </c>
      <c r="X3166" s="77"/>
      <c r="Y3166" s="77"/>
      <c r="Z3166" s="77"/>
      <c r="AA3166" s="77"/>
      <c r="AB3166" s="77"/>
      <c r="AC3166" s="80" t="s">
        <v>10540</v>
      </c>
      <c r="AD3166" s="77" t="s">
        <v>10617</v>
      </c>
      <c r="AE3166" s="83" t="str">
        <f>HYPERLINK("https://twitter.com/matheuscdesales/status/1704105396355354909")</f>
        <v>https://twitter.com/matheuscdesales/status/1704105396355354909</v>
      </c>
      <c r="AF3166" s="79">
        <v>45188.506493055553</v>
      </c>
      <c r="AG3166" s="85">
        <v>45188</v>
      </c>
      <c r="AH3166" s="80" t="s">
        <v>13378</v>
      </c>
      <c r="AI3166" s="77"/>
      <c r="AJ3166" s="77"/>
      <c r="AK3166" s="77"/>
      <c r="AL3166" s="77"/>
      <c r="AM3166" s="77"/>
      <c r="AN3166" s="77"/>
      <c r="AO3166" s="77"/>
      <c r="AP3166" s="77"/>
      <c r="AQ3166" s="77"/>
      <c r="AR3166" s="77"/>
      <c r="AS3166" s="77"/>
      <c r="AT3166" s="77"/>
      <c r="AU3166" s="77"/>
      <c r="AV3166" s="83" t="str">
        <f>HYPERLINK("https://pbs.twimg.com/profile_images/1677275777631416326/KA-PslZw_normal.jpg")</f>
        <v>https://pbs.twimg.com/profile_images/1677275777631416326/KA-PslZw_normal.jpg</v>
      </c>
      <c r="AW3166" s="80" t="s">
        <v>18902</v>
      </c>
      <c r="AX3166" s="80" t="s">
        <v>18902</v>
      </c>
      <c r="AY3166" s="77"/>
      <c r="AZ3166" s="80" t="s">
        <v>20380</v>
      </c>
      <c r="BA3166" s="80" t="s">
        <v>20380</v>
      </c>
      <c r="BB3166" s="80" t="s">
        <v>20380</v>
      </c>
      <c r="BC3166" s="80" t="s">
        <v>18902</v>
      </c>
      <c r="BD3166" s="77">
        <v>1595648917</v>
      </c>
      <c r="BE3166" s="77"/>
      <c r="BF3166" s="77"/>
      <c r="BG3166" s="77"/>
      <c r="BH3166" s="77"/>
      <c r="BI3166" s="77"/>
    </row>
    <row r="3167" spans="1:61" x14ac:dyDescent="0.25">
      <c r="A3167" s="62" t="s">
        <v>1262</v>
      </c>
      <c r="B3167" s="62" t="s">
        <v>1262</v>
      </c>
      <c r="C3167" s="63"/>
      <c r="D3167" s="64"/>
      <c r="E3167" s="65"/>
      <c r="F3167" s="66"/>
      <c r="G3167" s="63"/>
      <c r="H3167" s="67"/>
      <c r="I3167" s="68"/>
      <c r="J3167" s="68"/>
      <c r="K3167" s="32"/>
      <c r="L3167" s="75">
        <v>3167</v>
      </c>
      <c r="M3167" s="75"/>
      <c r="N3167" s="70"/>
      <c r="O3167" s="77" t="s">
        <v>179</v>
      </c>
      <c r="P3167" s="79">
        <v>45152.616944444446</v>
      </c>
      <c r="Q3167" s="77" t="s">
        <v>4874</v>
      </c>
      <c r="R3167" s="77">
        <v>0</v>
      </c>
      <c r="S3167" s="77">
        <v>0</v>
      </c>
      <c r="T3167" s="77">
        <v>0</v>
      </c>
      <c r="U3167" s="77">
        <v>0</v>
      </c>
      <c r="V3167" s="77">
        <v>129</v>
      </c>
      <c r="W3167" s="80" t="s">
        <v>7857</v>
      </c>
      <c r="X3167" s="83" t="str">
        <f>HYPERLINK("http://minutoya.com/nota/164581-el-banco-central-llevo-el-dolar-oficial-a-350/")</f>
        <v>http://minutoya.com/nota/164581-el-banco-central-llevo-el-dolar-oficial-a-350/</v>
      </c>
      <c r="Y3167" s="77" t="s">
        <v>8819</v>
      </c>
      <c r="Z3167" s="77"/>
      <c r="AA3167" s="77" t="s">
        <v>10078</v>
      </c>
      <c r="AB3167" s="77" t="s">
        <v>10535</v>
      </c>
      <c r="AC3167" s="80" t="s">
        <v>10541</v>
      </c>
      <c r="AD3167" s="77" t="s">
        <v>10620</v>
      </c>
      <c r="AE3167" s="83" t="str">
        <f>HYPERLINK("https://twitter.com/minutoya/status/1691099456157229056")</f>
        <v>https://twitter.com/minutoya/status/1691099456157229056</v>
      </c>
      <c r="AF3167" s="79">
        <v>45152.616944444446</v>
      </c>
      <c r="AG3167" s="85">
        <v>45152</v>
      </c>
      <c r="AH3167" s="80" t="s">
        <v>13379</v>
      </c>
      <c r="AI3167" s="77" t="b">
        <v>0</v>
      </c>
      <c r="AJ3167" s="77"/>
      <c r="AK3167" s="77"/>
      <c r="AL3167" s="77"/>
      <c r="AM3167" s="77"/>
      <c r="AN3167" s="77"/>
      <c r="AO3167" s="77"/>
      <c r="AP3167" s="77"/>
      <c r="AQ3167" s="77" t="s">
        <v>15559</v>
      </c>
      <c r="AR3167" s="77"/>
      <c r="AS3167" s="77"/>
      <c r="AT3167" s="77"/>
      <c r="AU3167" s="77"/>
      <c r="AV3167" s="83" t="str">
        <f>HYPERLINK("https://pbs.twimg.com/media/F3f99q7WYAAZG0X.jpg")</f>
        <v>https://pbs.twimg.com/media/F3f99q7WYAAZG0X.jpg</v>
      </c>
      <c r="AW3167" s="80" t="s">
        <v>18903</v>
      </c>
      <c r="AX3167" s="80" t="s">
        <v>18903</v>
      </c>
      <c r="AY3167" s="77"/>
      <c r="AZ3167" s="80" t="s">
        <v>20380</v>
      </c>
      <c r="BA3167" s="80" t="s">
        <v>20380</v>
      </c>
      <c r="BB3167" s="80" t="s">
        <v>20380</v>
      </c>
      <c r="BC3167" s="80" t="s">
        <v>18903</v>
      </c>
      <c r="BD3167" s="77">
        <v>94013928</v>
      </c>
      <c r="BE3167" s="77"/>
      <c r="BF3167" s="77"/>
      <c r="BG3167" s="77"/>
      <c r="BH3167" s="77"/>
      <c r="BI3167" s="77"/>
    </row>
    <row r="3168" spans="1:61" x14ac:dyDescent="0.25">
      <c r="A3168" s="62" t="s">
        <v>1263</v>
      </c>
      <c r="B3168" s="62" t="s">
        <v>2005</v>
      </c>
      <c r="C3168" s="63"/>
      <c r="D3168" s="64"/>
      <c r="E3168" s="65"/>
      <c r="F3168" s="66"/>
      <c r="G3168" s="63"/>
      <c r="H3168" s="67"/>
      <c r="I3168" s="68"/>
      <c r="J3168" s="68"/>
      <c r="K3168" s="32"/>
      <c r="L3168" s="75">
        <v>3168</v>
      </c>
      <c r="M3168" s="75"/>
      <c r="N3168" s="70"/>
      <c r="O3168" s="77" t="s">
        <v>2078</v>
      </c>
      <c r="P3168" s="79">
        <v>45156.558344907404</v>
      </c>
      <c r="Q3168" s="77" t="s">
        <v>4875</v>
      </c>
      <c r="R3168" s="77">
        <v>0</v>
      </c>
      <c r="S3168" s="77">
        <v>2</v>
      </c>
      <c r="T3168" s="77">
        <v>1</v>
      </c>
      <c r="U3168" s="77">
        <v>0</v>
      </c>
      <c r="V3168" s="77">
        <v>28</v>
      </c>
      <c r="W3168" s="80" t="s">
        <v>7858</v>
      </c>
      <c r="X3168" s="77"/>
      <c r="Y3168" s="77"/>
      <c r="Z3168" s="77" t="s">
        <v>2005</v>
      </c>
      <c r="AA3168" s="77"/>
      <c r="AB3168" s="77"/>
      <c r="AC3168" s="80" t="s">
        <v>10540</v>
      </c>
      <c r="AD3168" s="77" t="s">
        <v>10620</v>
      </c>
      <c r="AE3168" s="83" t="str">
        <f>HYPERLINK("https://twitter.com/haceoirtuvoz/status/1692527772676002078")</f>
        <v>https://twitter.com/haceoirtuvoz/status/1692527772676002078</v>
      </c>
      <c r="AF3168" s="79">
        <v>45156.558344907404</v>
      </c>
      <c r="AG3168" s="85">
        <v>45156</v>
      </c>
      <c r="AH3168" s="80" t="s">
        <v>13380</v>
      </c>
      <c r="AI3168" s="77"/>
      <c r="AJ3168" s="77"/>
      <c r="AK3168" s="77"/>
      <c r="AL3168" s="77"/>
      <c r="AM3168" s="77"/>
      <c r="AN3168" s="77"/>
      <c r="AO3168" s="77"/>
      <c r="AP3168" s="77"/>
      <c r="AQ3168" s="77"/>
      <c r="AR3168" s="77"/>
      <c r="AS3168" s="77"/>
      <c r="AT3168" s="77"/>
      <c r="AU3168" s="77"/>
      <c r="AV3168" s="83" t="str">
        <f>HYPERLINK("https://pbs.twimg.com/profile_images/1564733660200304641/nd1SJfju_normal.jpg")</f>
        <v>https://pbs.twimg.com/profile_images/1564733660200304641/nd1SJfju_normal.jpg</v>
      </c>
      <c r="AW3168" s="80" t="s">
        <v>18904</v>
      </c>
      <c r="AX3168" s="80" t="s">
        <v>20093</v>
      </c>
      <c r="AY3168" s="80" t="s">
        <v>20338</v>
      </c>
      <c r="AZ3168" s="80" t="s">
        <v>20093</v>
      </c>
      <c r="BA3168" s="80" t="s">
        <v>20380</v>
      </c>
      <c r="BB3168" s="80" t="s">
        <v>20380</v>
      </c>
      <c r="BC3168" s="80" t="s">
        <v>20093</v>
      </c>
      <c r="BD3168" s="80" t="s">
        <v>21006</v>
      </c>
      <c r="BE3168" s="77"/>
      <c r="BF3168" s="77"/>
      <c r="BG3168" s="77"/>
      <c r="BH3168" s="77"/>
      <c r="BI3168" s="77"/>
    </row>
    <row r="3169" spans="1:61" x14ac:dyDescent="0.25">
      <c r="A3169" s="62" t="s">
        <v>1264</v>
      </c>
      <c r="B3169" s="62" t="s">
        <v>1264</v>
      </c>
      <c r="C3169" s="63"/>
      <c r="D3169" s="64"/>
      <c r="E3169" s="65"/>
      <c r="F3169" s="66"/>
      <c r="G3169" s="63"/>
      <c r="H3169" s="67"/>
      <c r="I3169" s="68"/>
      <c r="J3169" s="68"/>
      <c r="K3169" s="32"/>
      <c r="L3169" s="75">
        <v>3169</v>
      </c>
      <c r="M3169" s="75"/>
      <c r="N3169" s="70"/>
      <c r="O3169" s="77" t="s">
        <v>179</v>
      </c>
      <c r="P3169" s="79">
        <v>45174.599212962959</v>
      </c>
      <c r="Q3169" s="77" t="s">
        <v>4876</v>
      </c>
      <c r="R3169" s="77">
        <v>0</v>
      </c>
      <c r="S3169" s="77">
        <v>1</v>
      </c>
      <c r="T3169" s="77">
        <v>0</v>
      </c>
      <c r="U3169" s="77">
        <v>0</v>
      </c>
      <c r="V3169" s="77">
        <v>338</v>
      </c>
      <c r="W3169" s="80" t="s">
        <v>6371</v>
      </c>
      <c r="X3169" s="83" t="str">
        <f>HYPERLINK("https://jc.ne10.uol.com.br/economia/2023/09/15586147-banco-central-revela-maior-valor-ja-transferido-pelo-pix.html?utm_source=JM&amp;utm_medium=social&amp;utm_campaign=distribuicao")</f>
        <v>https://jc.ne10.uol.com.br/economia/2023/09/15586147-banco-central-revela-maior-valor-ja-transferido-pelo-pix.html?utm_source=JM&amp;utm_medium=social&amp;utm_campaign=distribuicao</v>
      </c>
      <c r="Y3169" s="77" t="s">
        <v>8611</v>
      </c>
      <c r="Z3169" s="77"/>
      <c r="AA3169" s="77"/>
      <c r="AB3169" s="77"/>
      <c r="AC3169" s="80" t="s">
        <v>10541</v>
      </c>
      <c r="AD3169" s="77" t="s">
        <v>10617</v>
      </c>
      <c r="AE3169" s="83" t="str">
        <f>HYPERLINK("https://twitter.com/portalne10/status/1699065566814986492")</f>
        <v>https://twitter.com/portalne10/status/1699065566814986492</v>
      </c>
      <c r="AF3169" s="79">
        <v>45174.599212962959</v>
      </c>
      <c r="AG3169" s="85">
        <v>45174</v>
      </c>
      <c r="AH3169" s="80" t="s">
        <v>13381</v>
      </c>
      <c r="AI3169" s="77" t="b">
        <v>0</v>
      </c>
      <c r="AJ3169" s="77"/>
      <c r="AK3169" s="77"/>
      <c r="AL3169" s="77"/>
      <c r="AM3169" s="77"/>
      <c r="AN3169" s="77"/>
      <c r="AO3169" s="77"/>
      <c r="AP3169" s="77"/>
      <c r="AQ3169" s="77"/>
      <c r="AR3169" s="77"/>
      <c r="AS3169" s="77"/>
      <c r="AT3169" s="77"/>
      <c r="AU3169" s="77"/>
      <c r="AV3169" s="83" t="str">
        <f>HYPERLINK("https://pbs.twimg.com/profile_images/1598793885735690253/_g-0aTFt_normal.jpg")</f>
        <v>https://pbs.twimg.com/profile_images/1598793885735690253/_g-0aTFt_normal.jpg</v>
      </c>
      <c r="AW3169" s="80" t="s">
        <v>18905</v>
      </c>
      <c r="AX3169" s="80" t="s">
        <v>18905</v>
      </c>
      <c r="AY3169" s="77"/>
      <c r="AZ3169" s="80" t="s">
        <v>20380</v>
      </c>
      <c r="BA3169" s="80" t="s">
        <v>20380</v>
      </c>
      <c r="BB3169" s="80" t="s">
        <v>20380</v>
      </c>
      <c r="BC3169" s="80" t="s">
        <v>18905</v>
      </c>
      <c r="BD3169" s="77">
        <v>142835897</v>
      </c>
      <c r="BE3169" s="77"/>
      <c r="BF3169" s="77"/>
      <c r="BG3169" s="77"/>
      <c r="BH3169" s="77"/>
      <c r="BI3169" s="77"/>
    </row>
    <row r="3170" spans="1:61" x14ac:dyDescent="0.25">
      <c r="A3170" s="62" t="s">
        <v>1265</v>
      </c>
      <c r="B3170" s="62" t="s">
        <v>1265</v>
      </c>
      <c r="C3170" s="63"/>
      <c r="D3170" s="64"/>
      <c r="E3170" s="65"/>
      <c r="F3170" s="66"/>
      <c r="G3170" s="63"/>
      <c r="H3170" s="67"/>
      <c r="I3170" s="68"/>
      <c r="J3170" s="68"/>
      <c r="K3170" s="32"/>
      <c r="L3170" s="75">
        <v>3170</v>
      </c>
      <c r="M3170" s="75"/>
      <c r="N3170" s="70"/>
      <c r="O3170" s="77" t="s">
        <v>179</v>
      </c>
      <c r="P3170" s="79">
        <v>44965.20417824074</v>
      </c>
      <c r="Q3170" s="77" t="s">
        <v>4877</v>
      </c>
      <c r="R3170" s="77">
        <v>1</v>
      </c>
      <c r="S3170" s="77">
        <v>0</v>
      </c>
      <c r="T3170" s="77">
        <v>0</v>
      </c>
      <c r="U3170" s="77">
        <v>0</v>
      </c>
      <c r="V3170" s="77">
        <v>108</v>
      </c>
      <c r="W3170" s="80" t="s">
        <v>5884</v>
      </c>
      <c r="X3170" s="77"/>
      <c r="Y3170" s="77"/>
      <c r="Z3170" s="77"/>
      <c r="AA3170" s="77" t="s">
        <v>10079</v>
      </c>
      <c r="AB3170" s="77" t="s">
        <v>10535</v>
      </c>
      <c r="AC3170" s="80" t="s">
        <v>10542</v>
      </c>
      <c r="AD3170" s="77" t="s">
        <v>10619</v>
      </c>
      <c r="AE3170" s="83" t="str">
        <f>HYPERLINK("https://twitter.com/joaopaguiar/status/1623183343981592576")</f>
        <v>https://twitter.com/joaopaguiar/status/1623183343981592576</v>
      </c>
      <c r="AF3170" s="79">
        <v>44965.20417824074</v>
      </c>
      <c r="AG3170" s="85">
        <v>44965</v>
      </c>
      <c r="AH3170" s="80" t="s">
        <v>13382</v>
      </c>
      <c r="AI3170" s="77" t="b">
        <v>0</v>
      </c>
      <c r="AJ3170" s="77"/>
      <c r="AK3170" s="77"/>
      <c r="AL3170" s="77"/>
      <c r="AM3170" s="77"/>
      <c r="AN3170" s="77"/>
      <c r="AO3170" s="77"/>
      <c r="AP3170" s="77"/>
      <c r="AQ3170" s="77" t="s">
        <v>15560</v>
      </c>
      <c r="AR3170" s="77"/>
      <c r="AS3170" s="77"/>
      <c r="AT3170" s="77"/>
      <c r="AU3170" s="77"/>
      <c r="AV3170" s="83" t="str">
        <f>HYPERLINK("https://pbs.twimg.com/media/Foa0pWlacAA_0O5.jpg")</f>
        <v>https://pbs.twimg.com/media/Foa0pWlacAA_0O5.jpg</v>
      </c>
      <c r="AW3170" s="80" t="s">
        <v>18906</v>
      </c>
      <c r="AX3170" s="80" t="s">
        <v>18906</v>
      </c>
      <c r="AY3170" s="77"/>
      <c r="AZ3170" s="80" t="s">
        <v>20380</v>
      </c>
      <c r="BA3170" s="80" t="s">
        <v>20380</v>
      </c>
      <c r="BB3170" s="80" t="s">
        <v>20380</v>
      </c>
      <c r="BC3170" s="80" t="s">
        <v>18906</v>
      </c>
      <c r="BD3170" s="77">
        <v>2277032210</v>
      </c>
      <c r="BE3170" s="77"/>
      <c r="BF3170" s="77"/>
      <c r="BG3170" s="77"/>
      <c r="BH3170" s="77"/>
      <c r="BI3170" s="77"/>
    </row>
    <row r="3171" spans="1:61" x14ac:dyDescent="0.25">
      <c r="A3171" s="62" t="s">
        <v>1266</v>
      </c>
      <c r="B3171" s="62" t="s">
        <v>1265</v>
      </c>
      <c r="C3171" s="63"/>
      <c r="D3171" s="64"/>
      <c r="E3171" s="65"/>
      <c r="F3171" s="66"/>
      <c r="G3171" s="63"/>
      <c r="H3171" s="67"/>
      <c r="I3171" s="68"/>
      <c r="J3171" s="68"/>
      <c r="K3171" s="32"/>
      <c r="L3171" s="75">
        <v>3171</v>
      </c>
      <c r="M3171" s="75"/>
      <c r="N3171" s="70"/>
      <c r="O3171" s="77" t="s">
        <v>2083</v>
      </c>
      <c r="P3171" s="79">
        <v>45193.646655092591</v>
      </c>
      <c r="Q3171" s="77" t="s">
        <v>4878</v>
      </c>
      <c r="R3171" s="77">
        <v>1</v>
      </c>
      <c r="S3171" s="77">
        <v>0</v>
      </c>
      <c r="T3171" s="77">
        <v>0</v>
      </c>
      <c r="U3171" s="77">
        <v>0</v>
      </c>
      <c r="V3171" s="77"/>
      <c r="W3171" s="80" t="s">
        <v>5884</v>
      </c>
      <c r="X3171" s="77"/>
      <c r="Y3171" s="77"/>
      <c r="Z3171" s="77" t="s">
        <v>1265</v>
      </c>
      <c r="AA3171" s="77" t="s">
        <v>10079</v>
      </c>
      <c r="AB3171" s="77" t="s">
        <v>10535</v>
      </c>
      <c r="AC3171" s="80" t="s">
        <v>10540</v>
      </c>
      <c r="AD3171" s="77" t="s">
        <v>10619</v>
      </c>
      <c r="AE3171" s="83" t="str">
        <f>HYPERLINK("https://twitter.com/estellekeri__21/status/1705968125420740664")</f>
        <v>https://twitter.com/estellekeri__21/status/1705968125420740664</v>
      </c>
      <c r="AF3171" s="79">
        <v>45193.646655092591</v>
      </c>
      <c r="AG3171" s="85">
        <v>45193</v>
      </c>
      <c r="AH3171" s="80" t="s">
        <v>13383</v>
      </c>
      <c r="AI3171" s="77" t="b">
        <v>0</v>
      </c>
      <c r="AJ3171" s="77"/>
      <c r="AK3171" s="77"/>
      <c r="AL3171" s="77"/>
      <c r="AM3171" s="77"/>
      <c r="AN3171" s="77"/>
      <c r="AO3171" s="77"/>
      <c r="AP3171" s="77"/>
      <c r="AQ3171" s="77" t="s">
        <v>15560</v>
      </c>
      <c r="AR3171" s="77"/>
      <c r="AS3171" s="77"/>
      <c r="AT3171" s="77"/>
      <c r="AU3171" s="77"/>
      <c r="AV3171" s="83" t="str">
        <f>HYPERLINK("https://pbs.twimg.com/media/Foa0pWlacAA_0O5.jpg")</f>
        <v>https://pbs.twimg.com/media/Foa0pWlacAA_0O5.jpg</v>
      </c>
      <c r="AW3171" s="80" t="s">
        <v>18907</v>
      </c>
      <c r="AX3171" s="80" t="s">
        <v>18907</v>
      </c>
      <c r="AY3171" s="77"/>
      <c r="AZ3171" s="80" t="s">
        <v>20380</v>
      </c>
      <c r="BA3171" s="80" t="s">
        <v>20380</v>
      </c>
      <c r="BB3171" s="80" t="s">
        <v>18906</v>
      </c>
      <c r="BC3171" s="80" t="s">
        <v>18906</v>
      </c>
      <c r="BD3171" s="80" t="s">
        <v>21007</v>
      </c>
      <c r="BE3171" s="77"/>
      <c r="BF3171" s="77"/>
      <c r="BG3171" s="77"/>
      <c r="BH3171" s="77"/>
      <c r="BI3171" s="77"/>
    </row>
    <row r="3172" spans="1:61" x14ac:dyDescent="0.25">
      <c r="A3172" s="62" t="s">
        <v>1267</v>
      </c>
      <c r="B3172" s="62" t="s">
        <v>1267</v>
      </c>
      <c r="C3172" s="63"/>
      <c r="D3172" s="64"/>
      <c r="E3172" s="65"/>
      <c r="F3172" s="66"/>
      <c r="G3172" s="63"/>
      <c r="H3172" s="67"/>
      <c r="I3172" s="68"/>
      <c r="J3172" s="68"/>
      <c r="K3172" s="32"/>
      <c r="L3172" s="75">
        <v>3172</v>
      </c>
      <c r="M3172" s="75"/>
      <c r="N3172" s="70"/>
      <c r="O3172" s="77" t="s">
        <v>179</v>
      </c>
      <c r="P3172" s="79">
        <v>45114.62740740741</v>
      </c>
      <c r="Q3172" s="77" t="s">
        <v>4879</v>
      </c>
      <c r="R3172" s="77">
        <v>0</v>
      </c>
      <c r="S3172" s="77">
        <v>0</v>
      </c>
      <c r="T3172" s="77">
        <v>0</v>
      </c>
      <c r="U3172" s="77">
        <v>0</v>
      </c>
      <c r="V3172" s="77">
        <v>17</v>
      </c>
      <c r="W3172" s="80" t="s">
        <v>7859</v>
      </c>
      <c r="X3172" s="77"/>
      <c r="Y3172" s="77"/>
      <c r="Z3172" s="77"/>
      <c r="AA3172" s="77"/>
      <c r="AB3172" s="77"/>
      <c r="AC3172" s="80" t="s">
        <v>10542</v>
      </c>
      <c r="AD3172" s="77" t="s">
        <v>10620</v>
      </c>
      <c r="AE3172" s="83" t="str">
        <f>HYPERLINK("https://twitter.com/elsonandresdr/status/1677332511779614720")</f>
        <v>https://twitter.com/elsonandresdr/status/1677332511779614720</v>
      </c>
      <c r="AF3172" s="79">
        <v>45114.62740740741</v>
      </c>
      <c r="AG3172" s="85">
        <v>45114</v>
      </c>
      <c r="AH3172" s="80" t="s">
        <v>13384</v>
      </c>
      <c r="AI3172" s="77"/>
      <c r="AJ3172" s="77"/>
      <c r="AK3172" s="77"/>
      <c r="AL3172" s="77"/>
      <c r="AM3172" s="77"/>
      <c r="AN3172" s="77"/>
      <c r="AO3172" s="77"/>
      <c r="AP3172" s="77"/>
      <c r="AQ3172" s="77"/>
      <c r="AR3172" s="77"/>
      <c r="AS3172" s="77"/>
      <c r="AT3172" s="77"/>
      <c r="AU3172" s="77"/>
      <c r="AV3172" s="83" t="str">
        <f>HYPERLINK("https://pbs.twimg.com/profile_images/1633884664703205376/32RQ6yHM_normal.jpg")</f>
        <v>https://pbs.twimg.com/profile_images/1633884664703205376/32RQ6yHM_normal.jpg</v>
      </c>
      <c r="AW3172" s="80" t="s">
        <v>18908</v>
      </c>
      <c r="AX3172" s="80" t="s">
        <v>18908</v>
      </c>
      <c r="AY3172" s="77"/>
      <c r="AZ3172" s="80" t="s">
        <v>20380</v>
      </c>
      <c r="BA3172" s="80" t="s">
        <v>20380</v>
      </c>
      <c r="BB3172" s="80" t="s">
        <v>20380</v>
      </c>
      <c r="BC3172" s="80" t="s">
        <v>18908</v>
      </c>
      <c r="BD3172" s="77">
        <v>34950483</v>
      </c>
      <c r="BE3172" s="77"/>
      <c r="BF3172" s="77"/>
      <c r="BG3172" s="77"/>
      <c r="BH3172" s="77"/>
      <c r="BI3172" s="77"/>
    </row>
    <row r="3173" spans="1:61" x14ac:dyDescent="0.25">
      <c r="A3173" s="62" t="s">
        <v>1268</v>
      </c>
      <c r="B3173" s="62" t="s">
        <v>1268</v>
      </c>
      <c r="C3173" s="63"/>
      <c r="D3173" s="64"/>
      <c r="E3173" s="65"/>
      <c r="F3173" s="66"/>
      <c r="G3173" s="63"/>
      <c r="H3173" s="67"/>
      <c r="I3173" s="68"/>
      <c r="J3173" s="68"/>
      <c r="K3173" s="32"/>
      <c r="L3173" s="75">
        <v>3173</v>
      </c>
      <c r="M3173" s="75"/>
      <c r="N3173" s="70"/>
      <c r="O3173" s="77" t="s">
        <v>179</v>
      </c>
      <c r="P3173" s="79">
        <v>45101.035555555558</v>
      </c>
      <c r="Q3173" s="77" t="s">
        <v>4880</v>
      </c>
      <c r="R3173" s="77">
        <v>0</v>
      </c>
      <c r="S3173" s="77">
        <v>0</v>
      </c>
      <c r="T3173" s="77">
        <v>0</v>
      </c>
      <c r="U3173" s="77">
        <v>0</v>
      </c>
      <c r="V3173" s="77">
        <v>11</v>
      </c>
      <c r="W3173" s="80" t="s">
        <v>7860</v>
      </c>
      <c r="X3173" s="83" t="str">
        <f>HYPERLINK("https://www.instagram.com/p/Ct2OE8lJjYq/?igshid=MzRlODBiNWFlZA==")</f>
        <v>https://www.instagram.com/p/Ct2OE8lJjYq/?igshid=MzRlODBiNWFlZA==</v>
      </c>
      <c r="Y3173" s="77" t="s">
        <v>8630</v>
      </c>
      <c r="Z3173" s="77"/>
      <c r="AA3173" s="77" t="s">
        <v>10080</v>
      </c>
      <c r="AB3173" s="77" t="s">
        <v>10535</v>
      </c>
      <c r="AC3173" s="80" t="s">
        <v>10540</v>
      </c>
      <c r="AD3173" s="77" t="s">
        <v>10620</v>
      </c>
      <c r="AE3173" s="83" t="str">
        <f>HYPERLINK("https://twitter.com/laprensaturca/status/1672406988158910464")</f>
        <v>https://twitter.com/laprensaturca/status/1672406988158910464</v>
      </c>
      <c r="AF3173" s="79">
        <v>45101.035555555558</v>
      </c>
      <c r="AG3173" s="85">
        <v>45101</v>
      </c>
      <c r="AH3173" s="80" t="s">
        <v>13385</v>
      </c>
      <c r="AI3173" s="77" t="b">
        <v>0</v>
      </c>
      <c r="AJ3173" s="77"/>
      <c r="AK3173" s="77"/>
      <c r="AL3173" s="77"/>
      <c r="AM3173" s="77"/>
      <c r="AN3173" s="77"/>
      <c r="AO3173" s="77"/>
      <c r="AP3173" s="77"/>
      <c r="AQ3173" s="77" t="s">
        <v>15561</v>
      </c>
      <c r="AR3173" s="77"/>
      <c r="AS3173" s="77"/>
      <c r="AT3173" s="77"/>
      <c r="AU3173" s="77"/>
      <c r="AV3173" s="83" t="str">
        <f>HYPERLINK("https://pbs.twimg.com/media/FzWVSr-XoAEpx_r.jpg")</f>
        <v>https://pbs.twimg.com/media/FzWVSr-XoAEpx_r.jpg</v>
      </c>
      <c r="AW3173" s="80" t="s">
        <v>18909</v>
      </c>
      <c r="AX3173" s="80" t="s">
        <v>18909</v>
      </c>
      <c r="AY3173" s="77"/>
      <c r="AZ3173" s="80" t="s">
        <v>20380</v>
      </c>
      <c r="BA3173" s="80" t="s">
        <v>20380</v>
      </c>
      <c r="BB3173" s="80" t="s">
        <v>20380</v>
      </c>
      <c r="BC3173" s="80" t="s">
        <v>18909</v>
      </c>
      <c r="BD3173" s="80" t="s">
        <v>21008</v>
      </c>
      <c r="BE3173" s="77"/>
      <c r="BF3173" s="77"/>
      <c r="BG3173" s="77"/>
      <c r="BH3173" s="77"/>
      <c r="BI3173" s="77"/>
    </row>
    <row r="3174" spans="1:61" x14ac:dyDescent="0.25">
      <c r="A3174" s="62" t="s">
        <v>1269</v>
      </c>
      <c r="B3174" s="62" t="s">
        <v>1269</v>
      </c>
      <c r="C3174" s="63"/>
      <c r="D3174" s="64"/>
      <c r="E3174" s="65"/>
      <c r="F3174" s="66"/>
      <c r="G3174" s="63"/>
      <c r="H3174" s="67"/>
      <c r="I3174" s="68"/>
      <c r="J3174" s="68"/>
      <c r="K3174" s="32"/>
      <c r="L3174" s="75">
        <v>3174</v>
      </c>
      <c r="M3174" s="75"/>
      <c r="N3174" s="70"/>
      <c r="O3174" s="77" t="s">
        <v>179</v>
      </c>
      <c r="P3174" s="79">
        <v>45171.8125</v>
      </c>
      <c r="Q3174" s="77" t="s">
        <v>4881</v>
      </c>
      <c r="R3174" s="77">
        <v>0</v>
      </c>
      <c r="S3174" s="77">
        <v>0</v>
      </c>
      <c r="T3174" s="77">
        <v>0</v>
      </c>
      <c r="U3174" s="77">
        <v>0</v>
      </c>
      <c r="V3174" s="77">
        <v>35</v>
      </c>
      <c r="W3174" s="80" t="s">
        <v>7861</v>
      </c>
      <c r="X3174" s="83" t="str">
        <f>HYPERLINK("https://newsweekespanol.com/2023/09/argentina-crisis-inflacionaria-dolar/")</f>
        <v>https://newsweekespanol.com/2023/09/argentina-crisis-inflacionaria-dolar/</v>
      </c>
      <c r="Y3174" s="77" t="s">
        <v>8820</v>
      </c>
      <c r="Z3174" s="77"/>
      <c r="AA3174" s="77" t="s">
        <v>10081</v>
      </c>
      <c r="AB3174" s="77" t="s">
        <v>10535</v>
      </c>
      <c r="AC3174" s="80" t="s">
        <v>10541</v>
      </c>
      <c r="AD3174" s="77" t="s">
        <v>10620</v>
      </c>
      <c r="AE3174" s="83" t="str">
        <f>HYPERLINK("https://twitter.com/bcnewsweek/status/1698055693214122070")</f>
        <v>https://twitter.com/bcnewsweek/status/1698055693214122070</v>
      </c>
      <c r="AF3174" s="79">
        <v>45171.8125</v>
      </c>
      <c r="AG3174" s="85">
        <v>45171</v>
      </c>
      <c r="AH3174" s="80" t="s">
        <v>10854</v>
      </c>
      <c r="AI3174" s="77" t="b">
        <v>0</v>
      </c>
      <c r="AJ3174" s="77"/>
      <c r="AK3174" s="77"/>
      <c r="AL3174" s="77"/>
      <c r="AM3174" s="77"/>
      <c r="AN3174" s="77"/>
      <c r="AO3174" s="77"/>
      <c r="AP3174" s="77"/>
      <c r="AQ3174" s="77" t="s">
        <v>15562</v>
      </c>
      <c r="AR3174" s="77"/>
      <c r="AS3174" s="77"/>
      <c r="AT3174" s="77"/>
      <c r="AU3174" s="77"/>
      <c r="AV3174" s="83" t="str">
        <f>HYPERLINK("https://pbs.twimg.com/media/F5CchSfaUAAIuu3.jpg")</f>
        <v>https://pbs.twimg.com/media/F5CchSfaUAAIuu3.jpg</v>
      </c>
      <c r="AW3174" s="80" t="s">
        <v>18910</v>
      </c>
      <c r="AX3174" s="80" t="s">
        <v>18910</v>
      </c>
      <c r="AY3174" s="77"/>
      <c r="AZ3174" s="80" t="s">
        <v>20380</v>
      </c>
      <c r="BA3174" s="80" t="s">
        <v>20380</v>
      </c>
      <c r="BB3174" s="80" t="s">
        <v>20380</v>
      </c>
      <c r="BC3174" s="80" t="s">
        <v>18910</v>
      </c>
      <c r="BD3174" s="80" t="s">
        <v>21009</v>
      </c>
      <c r="BE3174" s="77"/>
      <c r="BF3174" s="77"/>
      <c r="BG3174" s="77"/>
      <c r="BH3174" s="77"/>
      <c r="BI3174" s="77"/>
    </row>
    <row r="3175" spans="1:61" x14ac:dyDescent="0.25">
      <c r="A3175" s="62" t="s">
        <v>1270</v>
      </c>
      <c r="B3175" s="62" t="s">
        <v>1270</v>
      </c>
      <c r="C3175" s="63"/>
      <c r="D3175" s="64"/>
      <c r="E3175" s="65"/>
      <c r="F3175" s="66"/>
      <c r="G3175" s="63"/>
      <c r="H3175" s="67"/>
      <c r="I3175" s="68"/>
      <c r="J3175" s="68"/>
      <c r="K3175" s="32"/>
      <c r="L3175" s="75">
        <v>3175</v>
      </c>
      <c r="M3175" s="75"/>
      <c r="N3175" s="70"/>
      <c r="O3175" s="77" t="s">
        <v>179</v>
      </c>
      <c r="P3175" s="79">
        <v>45142.916678240741</v>
      </c>
      <c r="Q3175" s="77" t="s">
        <v>4882</v>
      </c>
      <c r="R3175" s="77">
        <v>0</v>
      </c>
      <c r="S3175" s="77">
        <v>0</v>
      </c>
      <c r="T3175" s="77">
        <v>0</v>
      </c>
      <c r="U3175" s="77">
        <v>0</v>
      </c>
      <c r="V3175" s="77">
        <v>115</v>
      </c>
      <c r="W3175" s="80" t="s">
        <v>7862</v>
      </c>
      <c r="X3175" s="83" t="str">
        <f>HYPERLINK("https://acortar.link/96VOBE")</f>
        <v>https://acortar.link/96VOBE</v>
      </c>
      <c r="Y3175" s="77" t="s">
        <v>8649</v>
      </c>
      <c r="Z3175" s="77"/>
      <c r="AA3175" s="77" t="s">
        <v>10082</v>
      </c>
      <c r="AB3175" s="77" t="s">
        <v>10535</v>
      </c>
      <c r="AC3175" s="80" t="s">
        <v>10555</v>
      </c>
      <c r="AD3175" s="77" t="s">
        <v>10620</v>
      </c>
      <c r="AE3175" s="83" t="str">
        <f>HYPERLINK("https://twitter.com/mediosye/status/1687584197873979392")</f>
        <v>https://twitter.com/mediosye/status/1687584197873979392</v>
      </c>
      <c r="AF3175" s="79">
        <v>45142.916678240741</v>
      </c>
      <c r="AG3175" s="85">
        <v>45142</v>
      </c>
      <c r="AH3175" s="80" t="s">
        <v>13386</v>
      </c>
      <c r="AI3175" s="77" t="b">
        <v>0</v>
      </c>
      <c r="AJ3175" s="77"/>
      <c r="AK3175" s="77"/>
      <c r="AL3175" s="77"/>
      <c r="AM3175" s="77"/>
      <c r="AN3175" s="77"/>
      <c r="AO3175" s="77"/>
      <c r="AP3175" s="77"/>
      <c r="AQ3175" s="77" t="s">
        <v>15563</v>
      </c>
      <c r="AR3175" s="77"/>
      <c r="AS3175" s="77"/>
      <c r="AT3175" s="77"/>
      <c r="AU3175" s="77"/>
      <c r="AV3175" s="83" t="str">
        <f>HYPERLINK("https://pbs.twimg.com/media/F2ts0MSWcAA5XB1.jpg")</f>
        <v>https://pbs.twimg.com/media/F2ts0MSWcAA5XB1.jpg</v>
      </c>
      <c r="AW3175" s="80" t="s">
        <v>18911</v>
      </c>
      <c r="AX3175" s="80" t="s">
        <v>18911</v>
      </c>
      <c r="AY3175" s="77"/>
      <c r="AZ3175" s="80" t="s">
        <v>20380</v>
      </c>
      <c r="BA3175" s="80" t="s">
        <v>20380</v>
      </c>
      <c r="BB3175" s="80" t="s">
        <v>20380</v>
      </c>
      <c r="BC3175" s="80" t="s">
        <v>18911</v>
      </c>
      <c r="BD3175" s="80" t="s">
        <v>21010</v>
      </c>
      <c r="BE3175" s="77"/>
      <c r="BF3175" s="77"/>
      <c r="BG3175" s="77"/>
      <c r="BH3175" s="77"/>
      <c r="BI3175" s="77"/>
    </row>
    <row r="3176" spans="1:61" x14ac:dyDescent="0.25">
      <c r="A3176" s="62" t="s">
        <v>1270</v>
      </c>
      <c r="B3176" s="62" t="s">
        <v>1270</v>
      </c>
      <c r="C3176" s="63"/>
      <c r="D3176" s="64"/>
      <c r="E3176" s="65"/>
      <c r="F3176" s="66"/>
      <c r="G3176" s="63"/>
      <c r="H3176" s="67"/>
      <c r="I3176" s="68"/>
      <c r="J3176" s="68"/>
      <c r="K3176" s="32"/>
      <c r="L3176" s="75">
        <v>3176</v>
      </c>
      <c r="M3176" s="75"/>
      <c r="N3176" s="70"/>
      <c r="O3176" s="77" t="s">
        <v>179</v>
      </c>
      <c r="P3176" s="79">
        <v>45153.541678240741</v>
      </c>
      <c r="Q3176" s="77" t="s">
        <v>4883</v>
      </c>
      <c r="R3176" s="77">
        <v>0</v>
      </c>
      <c r="S3176" s="77">
        <v>0</v>
      </c>
      <c r="T3176" s="77">
        <v>0</v>
      </c>
      <c r="U3176" s="77">
        <v>0</v>
      </c>
      <c r="V3176" s="77">
        <v>91</v>
      </c>
      <c r="W3176" s="80" t="s">
        <v>7863</v>
      </c>
      <c r="X3176" s="83" t="str">
        <f>HYPERLINK("https://acortar.link/4YKGHB")</f>
        <v>https://acortar.link/4YKGHB</v>
      </c>
      <c r="Y3176" s="77" t="s">
        <v>8649</v>
      </c>
      <c r="Z3176" s="77"/>
      <c r="AA3176" s="77" t="s">
        <v>10083</v>
      </c>
      <c r="AB3176" s="77" t="s">
        <v>10535</v>
      </c>
      <c r="AC3176" s="80" t="s">
        <v>10555</v>
      </c>
      <c r="AD3176" s="77" t="s">
        <v>10620</v>
      </c>
      <c r="AE3176" s="83" t="str">
        <f>HYPERLINK("https://twitter.com/mediosye/status/1691434570762133504")</f>
        <v>https://twitter.com/mediosye/status/1691434570762133504</v>
      </c>
      <c r="AF3176" s="79">
        <v>45153.541678240741</v>
      </c>
      <c r="AG3176" s="85">
        <v>45153</v>
      </c>
      <c r="AH3176" s="80" t="s">
        <v>10853</v>
      </c>
      <c r="AI3176" s="77" t="b">
        <v>0</v>
      </c>
      <c r="AJ3176" s="77"/>
      <c r="AK3176" s="77"/>
      <c r="AL3176" s="77"/>
      <c r="AM3176" s="77"/>
      <c r="AN3176" s="77"/>
      <c r="AO3176" s="77"/>
      <c r="AP3176" s="77"/>
      <c r="AQ3176" s="77" t="s">
        <v>15564</v>
      </c>
      <c r="AR3176" s="77"/>
      <c r="AS3176" s="77"/>
      <c r="AT3176" s="77"/>
      <c r="AU3176" s="77"/>
      <c r="AV3176" s="83" t="str">
        <f>HYPERLINK("https://pbs.twimg.com/media/F3khpKJWAAAan-O.jpg")</f>
        <v>https://pbs.twimg.com/media/F3khpKJWAAAan-O.jpg</v>
      </c>
      <c r="AW3176" s="80" t="s">
        <v>18912</v>
      </c>
      <c r="AX3176" s="80" t="s">
        <v>18912</v>
      </c>
      <c r="AY3176" s="77"/>
      <c r="AZ3176" s="80" t="s">
        <v>20380</v>
      </c>
      <c r="BA3176" s="80" t="s">
        <v>20380</v>
      </c>
      <c r="BB3176" s="80" t="s">
        <v>20380</v>
      </c>
      <c r="BC3176" s="80" t="s">
        <v>18912</v>
      </c>
      <c r="BD3176" s="80" t="s">
        <v>21010</v>
      </c>
      <c r="BE3176" s="77"/>
      <c r="BF3176" s="77"/>
      <c r="BG3176" s="77"/>
      <c r="BH3176" s="77"/>
      <c r="BI3176" s="77"/>
    </row>
    <row r="3177" spans="1:61" x14ac:dyDescent="0.25">
      <c r="A3177" s="62" t="s">
        <v>1270</v>
      </c>
      <c r="B3177" s="62" t="s">
        <v>1270</v>
      </c>
      <c r="C3177" s="63"/>
      <c r="D3177" s="64"/>
      <c r="E3177" s="65"/>
      <c r="F3177" s="66"/>
      <c r="G3177" s="63"/>
      <c r="H3177" s="67"/>
      <c r="I3177" s="68"/>
      <c r="J3177" s="68"/>
      <c r="K3177" s="32"/>
      <c r="L3177" s="75">
        <v>3177</v>
      </c>
      <c r="M3177" s="75"/>
      <c r="N3177" s="70"/>
      <c r="O3177" s="77" t="s">
        <v>179</v>
      </c>
      <c r="P3177" s="79">
        <v>45063.500011574077</v>
      </c>
      <c r="Q3177" s="77" t="s">
        <v>4884</v>
      </c>
      <c r="R3177" s="77">
        <v>0</v>
      </c>
      <c r="S3177" s="77">
        <v>0</v>
      </c>
      <c r="T3177" s="77">
        <v>0</v>
      </c>
      <c r="U3177" s="77">
        <v>0</v>
      </c>
      <c r="V3177" s="77">
        <v>75</v>
      </c>
      <c r="W3177" s="80" t="s">
        <v>7864</v>
      </c>
      <c r="X3177" s="83" t="str">
        <f>HYPERLINK("https://acortar.link/91wfM2")</f>
        <v>https://acortar.link/91wfM2</v>
      </c>
      <c r="Y3177" s="77" t="s">
        <v>8649</v>
      </c>
      <c r="Z3177" s="77"/>
      <c r="AA3177" s="77" t="s">
        <v>10084</v>
      </c>
      <c r="AB3177" s="77" t="s">
        <v>10535</v>
      </c>
      <c r="AC3177" s="80" t="s">
        <v>10555</v>
      </c>
      <c r="AD3177" s="77" t="s">
        <v>10620</v>
      </c>
      <c r="AE3177" s="83" t="str">
        <f>HYPERLINK("https://twitter.com/mediosye/status/1658804564148248576")</f>
        <v>https://twitter.com/mediosye/status/1658804564148248576</v>
      </c>
      <c r="AF3177" s="79">
        <v>45063.500011574077</v>
      </c>
      <c r="AG3177" s="85">
        <v>45063</v>
      </c>
      <c r="AH3177" s="80" t="s">
        <v>11209</v>
      </c>
      <c r="AI3177" s="77" t="b">
        <v>0</v>
      </c>
      <c r="AJ3177" s="77"/>
      <c r="AK3177" s="77"/>
      <c r="AL3177" s="77"/>
      <c r="AM3177" s="77"/>
      <c r="AN3177" s="77"/>
      <c r="AO3177" s="77"/>
      <c r="AP3177" s="77"/>
      <c r="AQ3177" s="77" t="s">
        <v>15565</v>
      </c>
      <c r="AR3177" s="77"/>
      <c r="AS3177" s="77"/>
      <c r="AT3177" s="77"/>
      <c r="AU3177" s="77"/>
      <c r="AV3177" s="83" t="str">
        <f>HYPERLINK("https://pbs.twimg.com/media/FwR8NsgWwAEbmXV.jpg")</f>
        <v>https://pbs.twimg.com/media/FwR8NsgWwAEbmXV.jpg</v>
      </c>
      <c r="AW3177" s="80" t="s">
        <v>18913</v>
      </c>
      <c r="AX3177" s="80" t="s">
        <v>18913</v>
      </c>
      <c r="AY3177" s="77"/>
      <c r="AZ3177" s="80" t="s">
        <v>20380</v>
      </c>
      <c r="BA3177" s="80" t="s">
        <v>20380</v>
      </c>
      <c r="BB3177" s="80" t="s">
        <v>20380</v>
      </c>
      <c r="BC3177" s="80" t="s">
        <v>18913</v>
      </c>
      <c r="BD3177" s="80" t="s">
        <v>21010</v>
      </c>
      <c r="BE3177" s="77"/>
      <c r="BF3177" s="77"/>
      <c r="BG3177" s="77"/>
      <c r="BH3177" s="77"/>
      <c r="BI3177" s="77"/>
    </row>
    <row r="3178" spans="1:61" x14ac:dyDescent="0.25">
      <c r="A3178" s="62" t="s">
        <v>1270</v>
      </c>
      <c r="B3178" s="62" t="s">
        <v>1270</v>
      </c>
      <c r="C3178" s="63"/>
      <c r="D3178" s="64"/>
      <c r="E3178" s="65"/>
      <c r="F3178" s="66"/>
      <c r="G3178" s="63"/>
      <c r="H3178" s="67"/>
      <c r="I3178" s="68"/>
      <c r="J3178" s="68"/>
      <c r="K3178" s="32"/>
      <c r="L3178" s="75">
        <v>3178</v>
      </c>
      <c r="M3178" s="75"/>
      <c r="N3178" s="70"/>
      <c r="O3178" s="77" t="s">
        <v>179</v>
      </c>
      <c r="P3178" s="79">
        <v>45152.849409722221</v>
      </c>
      <c r="Q3178" s="77" t="s">
        <v>4885</v>
      </c>
      <c r="R3178" s="77">
        <v>0</v>
      </c>
      <c r="S3178" s="77">
        <v>0</v>
      </c>
      <c r="T3178" s="77">
        <v>0</v>
      </c>
      <c r="U3178" s="77">
        <v>0</v>
      </c>
      <c r="V3178" s="77">
        <v>56</v>
      </c>
      <c r="W3178" s="80" t="s">
        <v>7865</v>
      </c>
      <c r="X3178" s="83" t="str">
        <f>HYPERLINK("https://acortar.link/7UWnY5")</f>
        <v>https://acortar.link/7UWnY5</v>
      </c>
      <c r="Y3178" s="77" t="s">
        <v>8649</v>
      </c>
      <c r="Z3178" s="77"/>
      <c r="AA3178" s="77" t="s">
        <v>10085</v>
      </c>
      <c r="AB3178" s="77" t="s">
        <v>10535</v>
      </c>
      <c r="AC3178" s="80" t="s">
        <v>10555</v>
      </c>
      <c r="AD3178" s="77" t="s">
        <v>10620</v>
      </c>
      <c r="AE3178" s="83" t="str">
        <f>HYPERLINK("https://twitter.com/mediosye/status/1691183702401769473")</f>
        <v>https://twitter.com/mediosye/status/1691183702401769473</v>
      </c>
      <c r="AF3178" s="79">
        <v>45152.849409722221</v>
      </c>
      <c r="AG3178" s="85">
        <v>45152</v>
      </c>
      <c r="AH3178" s="80" t="s">
        <v>13387</v>
      </c>
      <c r="AI3178" s="77" t="b">
        <v>0</v>
      </c>
      <c r="AJ3178" s="77"/>
      <c r="AK3178" s="77"/>
      <c r="AL3178" s="77"/>
      <c r="AM3178" s="77"/>
      <c r="AN3178" s="77"/>
      <c r="AO3178" s="77"/>
      <c r="AP3178" s="77"/>
      <c r="AQ3178" s="77" t="s">
        <v>15566</v>
      </c>
      <c r="AR3178" s="77"/>
      <c r="AS3178" s="77"/>
      <c r="AT3178" s="77"/>
      <c r="AU3178" s="77"/>
      <c r="AV3178" s="83" t="str">
        <f>HYPERLINK("https://pbs.twimg.com/media/F3hKld3XgAALqmX.jpg")</f>
        <v>https://pbs.twimg.com/media/F3hKld3XgAALqmX.jpg</v>
      </c>
      <c r="AW3178" s="80" t="s">
        <v>18914</v>
      </c>
      <c r="AX3178" s="80" t="s">
        <v>18914</v>
      </c>
      <c r="AY3178" s="77"/>
      <c r="AZ3178" s="80" t="s">
        <v>20380</v>
      </c>
      <c r="BA3178" s="80" t="s">
        <v>20380</v>
      </c>
      <c r="BB3178" s="80" t="s">
        <v>20380</v>
      </c>
      <c r="BC3178" s="80" t="s">
        <v>18914</v>
      </c>
      <c r="BD3178" s="80" t="s">
        <v>21010</v>
      </c>
      <c r="BE3178" s="77"/>
      <c r="BF3178" s="77"/>
      <c r="BG3178" s="77"/>
      <c r="BH3178" s="77"/>
      <c r="BI3178" s="77"/>
    </row>
    <row r="3179" spans="1:61" x14ac:dyDescent="0.25">
      <c r="A3179" s="62" t="s">
        <v>1271</v>
      </c>
      <c r="B3179" s="62" t="s">
        <v>1271</v>
      </c>
      <c r="C3179" s="63"/>
      <c r="D3179" s="64"/>
      <c r="E3179" s="65"/>
      <c r="F3179" s="66"/>
      <c r="G3179" s="63"/>
      <c r="H3179" s="67"/>
      <c r="I3179" s="68"/>
      <c r="J3179" s="68"/>
      <c r="K3179" s="32"/>
      <c r="L3179" s="75">
        <v>3179</v>
      </c>
      <c r="M3179" s="75"/>
      <c r="N3179" s="70"/>
      <c r="O3179" s="77" t="s">
        <v>179</v>
      </c>
      <c r="P3179" s="79">
        <v>45082.554976851854</v>
      </c>
      <c r="Q3179" s="77" t="s">
        <v>4886</v>
      </c>
      <c r="R3179" s="77">
        <v>0</v>
      </c>
      <c r="S3179" s="77">
        <v>0</v>
      </c>
      <c r="T3179" s="77">
        <v>0</v>
      </c>
      <c r="U3179" s="77">
        <v>0</v>
      </c>
      <c r="V3179" s="77">
        <v>91</v>
      </c>
      <c r="W3179" s="80" t="s">
        <v>7866</v>
      </c>
      <c r="X3179" s="83" t="str">
        <f>HYPERLINK("https://www.elentrerios.com/actualidad/dal-moln-dice-que-entre-ros-deber-poner-63-mil-millones-ms-por-nueva-resolucin-del-banco-central.htm")</f>
        <v>https://www.elentrerios.com/actualidad/dal-moln-dice-que-entre-ros-deber-poner-63-mil-millones-ms-por-nueva-resolucin-del-banco-central.htm</v>
      </c>
      <c r="Y3179" s="77" t="s">
        <v>8821</v>
      </c>
      <c r="Z3179" s="77"/>
      <c r="AA3179" s="77"/>
      <c r="AB3179" s="77"/>
      <c r="AC3179" s="80" t="s">
        <v>10541</v>
      </c>
      <c r="AD3179" s="77" t="s">
        <v>10620</v>
      </c>
      <c r="AE3179" s="83" t="str">
        <f>HYPERLINK("https://twitter.com/elentrerios/status/1665709852205764610")</f>
        <v>https://twitter.com/elentrerios/status/1665709852205764610</v>
      </c>
      <c r="AF3179" s="79">
        <v>45082.554976851854</v>
      </c>
      <c r="AG3179" s="85">
        <v>45082</v>
      </c>
      <c r="AH3179" s="80" t="s">
        <v>13388</v>
      </c>
      <c r="AI3179" s="77" t="b">
        <v>0</v>
      </c>
      <c r="AJ3179" s="77"/>
      <c r="AK3179" s="77"/>
      <c r="AL3179" s="77"/>
      <c r="AM3179" s="77"/>
      <c r="AN3179" s="77"/>
      <c r="AO3179" s="77"/>
      <c r="AP3179" s="77"/>
      <c r="AQ3179" s="77"/>
      <c r="AR3179" s="77"/>
      <c r="AS3179" s="77"/>
      <c r="AT3179" s="77"/>
      <c r="AU3179" s="77"/>
      <c r="AV3179" s="83" t="str">
        <f>HYPERLINK("https://pbs.twimg.com/profile_images/963857606442913799/RNelmRbP_normal.jpg")</f>
        <v>https://pbs.twimg.com/profile_images/963857606442913799/RNelmRbP_normal.jpg</v>
      </c>
      <c r="AW3179" s="80" t="s">
        <v>18915</v>
      </c>
      <c r="AX3179" s="80" t="s">
        <v>18915</v>
      </c>
      <c r="AY3179" s="77"/>
      <c r="AZ3179" s="80" t="s">
        <v>20380</v>
      </c>
      <c r="BA3179" s="80" t="s">
        <v>20380</v>
      </c>
      <c r="BB3179" s="80" t="s">
        <v>20380</v>
      </c>
      <c r="BC3179" s="80" t="s">
        <v>18915</v>
      </c>
      <c r="BD3179" s="77">
        <v>153155182</v>
      </c>
      <c r="BE3179" s="77"/>
      <c r="BF3179" s="77"/>
      <c r="BG3179" s="77"/>
      <c r="BH3179" s="77"/>
      <c r="BI3179" s="77"/>
    </row>
    <row r="3180" spans="1:61" x14ac:dyDescent="0.25">
      <c r="A3180" s="62" t="s">
        <v>1272</v>
      </c>
      <c r="B3180" s="62" t="s">
        <v>1272</v>
      </c>
      <c r="C3180" s="63"/>
      <c r="D3180" s="64"/>
      <c r="E3180" s="65"/>
      <c r="F3180" s="66"/>
      <c r="G3180" s="63"/>
      <c r="H3180" s="67"/>
      <c r="I3180" s="68"/>
      <c r="J3180" s="68"/>
      <c r="K3180" s="32"/>
      <c r="L3180" s="75">
        <v>3180</v>
      </c>
      <c r="M3180" s="75"/>
      <c r="N3180" s="70"/>
      <c r="O3180" s="77" t="s">
        <v>179</v>
      </c>
      <c r="P3180" s="79">
        <v>45113.833344907405</v>
      </c>
      <c r="Q3180" s="77" t="s">
        <v>4887</v>
      </c>
      <c r="R3180" s="77">
        <v>0</v>
      </c>
      <c r="S3180" s="77">
        <v>1</v>
      </c>
      <c r="T3180" s="77">
        <v>0</v>
      </c>
      <c r="U3180" s="77">
        <v>0</v>
      </c>
      <c r="V3180" s="77">
        <v>55</v>
      </c>
      <c r="W3180" s="80" t="s">
        <v>7867</v>
      </c>
      <c r="X3180" s="83" t="str">
        <f>HYPERLINK("https://mensajero.com.ar/2023/07/06/pesce-aseguro-que-en-2024-se-podria-empezar-a-terminar-con-el-cepo")</f>
        <v>https://mensajero.com.ar/2023/07/06/pesce-aseguro-que-en-2024-se-podria-empezar-a-terminar-con-el-cepo</v>
      </c>
      <c r="Y3180" s="77" t="s">
        <v>8624</v>
      </c>
      <c r="Z3180" s="77"/>
      <c r="AA3180" s="77" t="s">
        <v>10086</v>
      </c>
      <c r="AB3180" s="77" t="s">
        <v>10535</v>
      </c>
      <c r="AC3180" s="80" t="s">
        <v>10541</v>
      </c>
      <c r="AD3180" s="77" t="s">
        <v>10620</v>
      </c>
      <c r="AE3180" s="83" t="str">
        <f>HYPERLINK("https://twitter.com/mensajeronline/status/1677044750451625984")</f>
        <v>https://twitter.com/mensajeronline/status/1677044750451625984</v>
      </c>
      <c r="AF3180" s="79">
        <v>45113.833344907405</v>
      </c>
      <c r="AG3180" s="85">
        <v>45113</v>
      </c>
      <c r="AH3180" s="80" t="s">
        <v>11789</v>
      </c>
      <c r="AI3180" s="77" t="b">
        <v>0</v>
      </c>
      <c r="AJ3180" s="77"/>
      <c r="AK3180" s="77"/>
      <c r="AL3180" s="77"/>
      <c r="AM3180" s="77"/>
      <c r="AN3180" s="77"/>
      <c r="AO3180" s="77"/>
      <c r="AP3180" s="77"/>
      <c r="AQ3180" s="77" t="s">
        <v>15567</v>
      </c>
      <c r="AR3180" s="77"/>
      <c r="AS3180" s="77"/>
      <c r="AT3180" s="77"/>
      <c r="AU3180" s="77"/>
      <c r="AV3180" s="83" t="str">
        <f>HYPERLINK("https://pbs.twimg.com/media/F0X-fXqX0AA5N_2.jpg")</f>
        <v>https://pbs.twimg.com/media/F0X-fXqX0AA5N_2.jpg</v>
      </c>
      <c r="AW3180" s="80" t="s">
        <v>18916</v>
      </c>
      <c r="AX3180" s="80" t="s">
        <v>18916</v>
      </c>
      <c r="AY3180" s="77"/>
      <c r="AZ3180" s="80" t="s">
        <v>20380</v>
      </c>
      <c r="BA3180" s="80" t="s">
        <v>20380</v>
      </c>
      <c r="BB3180" s="80" t="s">
        <v>20380</v>
      </c>
      <c r="BC3180" s="80" t="s">
        <v>18916</v>
      </c>
      <c r="BD3180" s="77">
        <v>168801342</v>
      </c>
      <c r="BE3180" s="77"/>
      <c r="BF3180" s="77"/>
      <c r="BG3180" s="77"/>
      <c r="BH3180" s="77"/>
      <c r="BI3180" s="77"/>
    </row>
    <row r="3181" spans="1:61" x14ac:dyDescent="0.25">
      <c r="A3181" s="62" t="s">
        <v>1273</v>
      </c>
      <c r="B3181" s="62" t="s">
        <v>1273</v>
      </c>
      <c r="C3181" s="63"/>
      <c r="D3181" s="64"/>
      <c r="E3181" s="65"/>
      <c r="F3181" s="66"/>
      <c r="G3181" s="63"/>
      <c r="H3181" s="67"/>
      <c r="I3181" s="68"/>
      <c r="J3181" s="68"/>
      <c r="K3181" s="32"/>
      <c r="L3181" s="75">
        <v>3181</v>
      </c>
      <c r="M3181" s="75"/>
      <c r="N3181" s="70"/>
      <c r="O3181" s="77" t="s">
        <v>2078</v>
      </c>
      <c r="P3181" s="79">
        <v>45156.716284722221</v>
      </c>
      <c r="Q3181" s="77" t="s">
        <v>4888</v>
      </c>
      <c r="R3181" s="77">
        <v>2</v>
      </c>
      <c r="S3181" s="77">
        <v>1</v>
      </c>
      <c r="T3181" s="77">
        <v>1</v>
      </c>
      <c r="U3181" s="77">
        <v>0</v>
      </c>
      <c r="V3181" s="77">
        <v>52</v>
      </c>
      <c r="W3181" s="80" t="s">
        <v>7868</v>
      </c>
      <c r="X3181" s="77"/>
      <c r="Y3181" s="77"/>
      <c r="Z3181" s="77"/>
      <c r="AA3181" s="77"/>
      <c r="AB3181" s="77"/>
      <c r="AC3181" s="80" t="s">
        <v>10541</v>
      </c>
      <c r="AD3181" s="77" t="s">
        <v>10620</v>
      </c>
      <c r="AE3181" s="83" t="str">
        <f>HYPERLINK("https://twitter.com/soyturcoman/status/1692585010182639927")</f>
        <v>https://twitter.com/soyturcoman/status/1692585010182639927</v>
      </c>
      <c r="AF3181" s="79">
        <v>45156.716284722221</v>
      </c>
      <c r="AG3181" s="85">
        <v>45156</v>
      </c>
      <c r="AH3181" s="80" t="s">
        <v>13389</v>
      </c>
      <c r="AI3181" s="77"/>
      <c r="AJ3181" s="77"/>
      <c r="AK3181" s="77"/>
      <c r="AL3181" s="77"/>
      <c r="AM3181" s="77"/>
      <c r="AN3181" s="77"/>
      <c r="AO3181" s="77"/>
      <c r="AP3181" s="77"/>
      <c r="AQ3181" s="77"/>
      <c r="AR3181" s="77"/>
      <c r="AS3181" s="77"/>
      <c r="AT3181" s="77"/>
      <c r="AU3181" s="77"/>
      <c r="AV3181" s="83" t="str">
        <f>HYPERLINK("https://pbs.twimg.com/profile_images/1690837631850967040/ZBd2hM9o_normal.jpg")</f>
        <v>https://pbs.twimg.com/profile_images/1690837631850967040/ZBd2hM9o_normal.jpg</v>
      </c>
      <c r="AW3181" s="80" t="s">
        <v>18917</v>
      </c>
      <c r="AX3181" s="80" t="s">
        <v>20094</v>
      </c>
      <c r="AY3181" s="80" t="s">
        <v>20339</v>
      </c>
      <c r="AZ3181" s="80" t="s">
        <v>20440</v>
      </c>
      <c r="BA3181" s="80" t="s">
        <v>20380</v>
      </c>
      <c r="BB3181" s="80" t="s">
        <v>20380</v>
      </c>
      <c r="BC3181" s="80" t="s">
        <v>20440</v>
      </c>
      <c r="BD3181" s="80" t="s">
        <v>20339</v>
      </c>
      <c r="BE3181" s="77"/>
      <c r="BF3181" s="77"/>
      <c r="BG3181" s="77"/>
      <c r="BH3181" s="77"/>
      <c r="BI3181" s="77"/>
    </row>
    <row r="3182" spans="1:61" x14ac:dyDescent="0.25">
      <c r="A3182" s="62" t="s">
        <v>1274</v>
      </c>
      <c r="B3182" s="62" t="s">
        <v>1615</v>
      </c>
      <c r="C3182" s="63"/>
      <c r="D3182" s="64"/>
      <c r="E3182" s="65"/>
      <c r="F3182" s="66"/>
      <c r="G3182" s="63"/>
      <c r="H3182" s="67"/>
      <c r="I3182" s="68"/>
      <c r="J3182" s="68"/>
      <c r="K3182" s="32"/>
      <c r="L3182" s="75">
        <v>3182</v>
      </c>
      <c r="M3182" s="75"/>
      <c r="N3182" s="70"/>
      <c r="O3182" s="77" t="s">
        <v>2083</v>
      </c>
      <c r="P3182" s="79">
        <v>45191.651273148149</v>
      </c>
      <c r="Q3182" s="77" t="s">
        <v>2809</v>
      </c>
      <c r="R3182" s="77">
        <v>4</v>
      </c>
      <c r="S3182" s="77">
        <v>0</v>
      </c>
      <c r="T3182" s="77">
        <v>0</v>
      </c>
      <c r="U3182" s="77">
        <v>0</v>
      </c>
      <c r="V3182" s="77"/>
      <c r="W3182" s="77"/>
      <c r="X3182" s="77"/>
      <c r="Y3182" s="77"/>
      <c r="Z3182" s="77" t="s">
        <v>1615</v>
      </c>
      <c r="AA3182" s="77"/>
      <c r="AB3182" s="77"/>
      <c r="AC3182" s="80" t="s">
        <v>10542</v>
      </c>
      <c r="AD3182" s="77" t="s">
        <v>10617</v>
      </c>
      <c r="AE3182" s="83" t="str">
        <f>HYPERLINK("https://twitter.com/sualehedaudo/status/1705245025959870632")</f>
        <v>https://twitter.com/sualehedaudo/status/1705245025959870632</v>
      </c>
      <c r="AF3182" s="79">
        <v>45191.651273148149</v>
      </c>
      <c r="AG3182" s="85">
        <v>45191</v>
      </c>
      <c r="AH3182" s="80" t="s">
        <v>13390</v>
      </c>
      <c r="AI3182" s="77" t="b">
        <v>0</v>
      </c>
      <c r="AJ3182" s="77"/>
      <c r="AK3182" s="77"/>
      <c r="AL3182" s="77"/>
      <c r="AM3182" s="77"/>
      <c r="AN3182" s="77"/>
      <c r="AO3182" s="77"/>
      <c r="AP3182" s="77"/>
      <c r="AQ3182" s="77"/>
      <c r="AR3182" s="77"/>
      <c r="AS3182" s="77"/>
      <c r="AT3182" s="77"/>
      <c r="AU3182" s="77"/>
      <c r="AV3182" s="83" t="str">
        <f>HYPERLINK("https://pbs.twimg.com/profile_images/1680735499856777217/7sTU-gG8_normal.jpg")</f>
        <v>https://pbs.twimg.com/profile_images/1680735499856777217/7sTU-gG8_normal.jpg</v>
      </c>
      <c r="AW3182" s="80" t="s">
        <v>18918</v>
      </c>
      <c r="AX3182" s="80" t="s">
        <v>18918</v>
      </c>
      <c r="AY3182" s="77"/>
      <c r="AZ3182" s="80" t="s">
        <v>20380</v>
      </c>
      <c r="BA3182" s="80" t="s">
        <v>20380</v>
      </c>
      <c r="BB3182" s="80" t="s">
        <v>19732</v>
      </c>
      <c r="BC3182" s="80" t="s">
        <v>19732</v>
      </c>
      <c r="BD3182" s="77">
        <v>313982367</v>
      </c>
      <c r="BE3182" s="77"/>
      <c r="BF3182" s="77"/>
      <c r="BG3182" s="77"/>
      <c r="BH3182" s="77"/>
      <c r="BI3182" s="77"/>
    </row>
    <row r="3183" spans="1:61" x14ac:dyDescent="0.25">
      <c r="A3183" s="62" t="s">
        <v>1275</v>
      </c>
      <c r="B3183" s="62" t="s">
        <v>1275</v>
      </c>
      <c r="C3183" s="63"/>
      <c r="D3183" s="64"/>
      <c r="E3183" s="65"/>
      <c r="F3183" s="66"/>
      <c r="G3183" s="63"/>
      <c r="H3183" s="67"/>
      <c r="I3183" s="68"/>
      <c r="J3183" s="68"/>
      <c r="K3183" s="32"/>
      <c r="L3183" s="75">
        <v>3183</v>
      </c>
      <c r="M3183" s="75"/>
      <c r="N3183" s="70"/>
      <c r="O3183" s="77" t="s">
        <v>179</v>
      </c>
      <c r="P3183" s="79">
        <v>45122.535034722219</v>
      </c>
      <c r="Q3183" s="77" t="s">
        <v>4889</v>
      </c>
      <c r="R3183" s="77">
        <v>0</v>
      </c>
      <c r="S3183" s="77">
        <v>0</v>
      </c>
      <c r="T3183" s="77">
        <v>0</v>
      </c>
      <c r="U3183" s="77">
        <v>0</v>
      </c>
      <c r="V3183" s="77">
        <v>8</v>
      </c>
      <c r="W3183" s="80" t="s">
        <v>7869</v>
      </c>
      <c r="X3183" s="83" t="str">
        <f>HYPERLINK("https://enfoquesalta.com/contenido/3356/entro-en-circulacion-el-nuevo-billete-de-1000-con-la-imagen-de-san-martin")</f>
        <v>https://enfoquesalta.com/contenido/3356/entro-en-circulacion-el-nuevo-billete-de-1000-con-la-imagen-de-san-martin</v>
      </c>
      <c r="Y3183" s="77" t="s">
        <v>8822</v>
      </c>
      <c r="Z3183" s="77"/>
      <c r="AA3183" s="77"/>
      <c r="AB3183" s="77"/>
      <c r="AC3183" s="80" t="s">
        <v>10540</v>
      </c>
      <c r="AD3183" s="77" t="s">
        <v>10619</v>
      </c>
      <c r="AE3183" s="83" t="str">
        <f>HYPERLINK("https://twitter.com/enfoque_salta/status/1680198140203356162")</f>
        <v>https://twitter.com/enfoque_salta/status/1680198140203356162</v>
      </c>
      <c r="AF3183" s="79">
        <v>45122.535034722219</v>
      </c>
      <c r="AG3183" s="85">
        <v>45122</v>
      </c>
      <c r="AH3183" s="80" t="s">
        <v>13391</v>
      </c>
      <c r="AI3183" s="77" t="b">
        <v>0</v>
      </c>
      <c r="AJ3183" s="77"/>
      <c r="AK3183" s="77"/>
      <c r="AL3183" s="77"/>
      <c r="AM3183" s="77"/>
      <c r="AN3183" s="77"/>
      <c r="AO3183" s="77"/>
      <c r="AP3183" s="77"/>
      <c r="AQ3183" s="77"/>
      <c r="AR3183" s="77"/>
      <c r="AS3183" s="77"/>
      <c r="AT3183" s="77"/>
      <c r="AU3183" s="77"/>
      <c r="AV3183" s="83" t="str">
        <f>HYPERLINK("https://pbs.twimg.com/profile_images/1538890348486967296/RebW1RMw_normal.jpg")</f>
        <v>https://pbs.twimg.com/profile_images/1538890348486967296/RebW1RMw_normal.jpg</v>
      </c>
      <c r="AW3183" s="80" t="s">
        <v>18919</v>
      </c>
      <c r="AX3183" s="80" t="s">
        <v>18919</v>
      </c>
      <c r="AY3183" s="77"/>
      <c r="AZ3183" s="80" t="s">
        <v>20380</v>
      </c>
      <c r="BA3183" s="80" t="s">
        <v>20380</v>
      </c>
      <c r="BB3183" s="80" t="s">
        <v>20380</v>
      </c>
      <c r="BC3183" s="80" t="s">
        <v>18919</v>
      </c>
      <c r="BD3183" s="80" t="s">
        <v>21011</v>
      </c>
      <c r="BE3183" s="77"/>
      <c r="BF3183" s="77"/>
      <c r="BG3183" s="77"/>
      <c r="BH3183" s="77"/>
      <c r="BI3183" s="77"/>
    </row>
    <row r="3184" spans="1:61" x14ac:dyDescent="0.25">
      <c r="A3184" s="62" t="s">
        <v>1275</v>
      </c>
      <c r="B3184" s="62" t="s">
        <v>1275</v>
      </c>
      <c r="C3184" s="63"/>
      <c r="D3184" s="64"/>
      <c r="E3184" s="65"/>
      <c r="F3184" s="66"/>
      <c r="G3184" s="63"/>
      <c r="H3184" s="67"/>
      <c r="I3184" s="68"/>
      <c r="J3184" s="68"/>
      <c r="K3184" s="32"/>
      <c r="L3184" s="75">
        <v>3184</v>
      </c>
      <c r="M3184" s="75"/>
      <c r="N3184" s="70"/>
      <c r="O3184" s="77" t="s">
        <v>179</v>
      </c>
      <c r="P3184" s="79">
        <v>45050.944004629629</v>
      </c>
      <c r="Q3184" s="77" t="s">
        <v>4890</v>
      </c>
      <c r="R3184" s="77">
        <v>0</v>
      </c>
      <c r="S3184" s="77">
        <v>0</v>
      </c>
      <c r="T3184" s="77">
        <v>0</v>
      </c>
      <c r="U3184" s="77">
        <v>0</v>
      </c>
      <c r="V3184" s="77">
        <v>10</v>
      </c>
      <c r="W3184" s="80" t="s">
        <v>7870</v>
      </c>
      <c r="X3184" s="83" t="str">
        <f>HYPERLINK("https://acortar.link/UaKA2P")</f>
        <v>https://acortar.link/UaKA2P</v>
      </c>
      <c r="Y3184" s="77" t="s">
        <v>8649</v>
      </c>
      <c r="Z3184" s="77"/>
      <c r="AA3184" s="77"/>
      <c r="AB3184" s="77"/>
      <c r="AC3184" s="80" t="s">
        <v>10541</v>
      </c>
      <c r="AD3184" s="77" t="s">
        <v>10620</v>
      </c>
      <c r="AE3184" s="83" t="str">
        <f>HYPERLINK("https://twitter.com/enfoque_salta/status/1654254416969580547")</f>
        <v>https://twitter.com/enfoque_salta/status/1654254416969580547</v>
      </c>
      <c r="AF3184" s="79">
        <v>45050.944004629629</v>
      </c>
      <c r="AG3184" s="85">
        <v>45050</v>
      </c>
      <c r="AH3184" s="80" t="s">
        <v>13392</v>
      </c>
      <c r="AI3184" s="77" t="b">
        <v>0</v>
      </c>
      <c r="AJ3184" s="77"/>
      <c r="AK3184" s="77"/>
      <c r="AL3184" s="77"/>
      <c r="AM3184" s="77"/>
      <c r="AN3184" s="77"/>
      <c r="AO3184" s="77"/>
      <c r="AP3184" s="77"/>
      <c r="AQ3184" s="77"/>
      <c r="AR3184" s="77"/>
      <c r="AS3184" s="77"/>
      <c r="AT3184" s="77"/>
      <c r="AU3184" s="77"/>
      <c r="AV3184" s="83" t="str">
        <f>HYPERLINK("https://pbs.twimg.com/profile_images/1538890348486967296/RebW1RMw_normal.jpg")</f>
        <v>https://pbs.twimg.com/profile_images/1538890348486967296/RebW1RMw_normal.jpg</v>
      </c>
      <c r="AW3184" s="80" t="s">
        <v>18920</v>
      </c>
      <c r="AX3184" s="80" t="s">
        <v>18920</v>
      </c>
      <c r="AY3184" s="77"/>
      <c r="AZ3184" s="80" t="s">
        <v>20380</v>
      </c>
      <c r="BA3184" s="80" t="s">
        <v>20380</v>
      </c>
      <c r="BB3184" s="80" t="s">
        <v>20380</v>
      </c>
      <c r="BC3184" s="80" t="s">
        <v>18920</v>
      </c>
      <c r="BD3184" s="80" t="s">
        <v>21011</v>
      </c>
      <c r="BE3184" s="77"/>
      <c r="BF3184" s="77"/>
      <c r="BG3184" s="77"/>
      <c r="BH3184" s="77"/>
      <c r="BI3184" s="77"/>
    </row>
    <row r="3185" spans="1:61" x14ac:dyDescent="0.25">
      <c r="A3185" s="62" t="s">
        <v>1276</v>
      </c>
      <c r="B3185" s="62" t="s">
        <v>1276</v>
      </c>
      <c r="C3185" s="63"/>
      <c r="D3185" s="64"/>
      <c r="E3185" s="65"/>
      <c r="F3185" s="66"/>
      <c r="G3185" s="63"/>
      <c r="H3185" s="67"/>
      <c r="I3185" s="68"/>
      <c r="J3185" s="68"/>
      <c r="K3185" s="32"/>
      <c r="L3185" s="75">
        <v>3185</v>
      </c>
      <c r="M3185" s="75"/>
      <c r="N3185" s="70"/>
      <c r="O3185" s="77" t="s">
        <v>179</v>
      </c>
      <c r="P3185" s="79">
        <v>45089.583402777775</v>
      </c>
      <c r="Q3185" s="77" t="s">
        <v>4891</v>
      </c>
      <c r="R3185" s="77">
        <v>0</v>
      </c>
      <c r="S3185" s="77">
        <v>0</v>
      </c>
      <c r="T3185" s="77">
        <v>0</v>
      </c>
      <c r="U3185" s="77">
        <v>0</v>
      </c>
      <c r="V3185" s="77">
        <v>15</v>
      </c>
      <c r="W3185" s="80" t="s">
        <v>7871</v>
      </c>
      <c r="X3185" s="83" t="str">
        <f>HYPERLINK("https://www.portalaz.com.br/noticia/economia/62088/mercado-reduz-previsao-da-inflacao-de-569-para-542-este-ano/")</f>
        <v>https://www.portalaz.com.br/noticia/economia/62088/mercado-reduz-previsao-da-inflacao-de-569-para-542-este-ano/</v>
      </c>
      <c r="Y3185" s="77" t="s">
        <v>8611</v>
      </c>
      <c r="Z3185" s="77"/>
      <c r="AA3185" s="77"/>
      <c r="AB3185" s="77"/>
      <c r="AC3185" s="80" t="s">
        <v>10606</v>
      </c>
      <c r="AD3185" s="77" t="s">
        <v>10617</v>
      </c>
      <c r="AE3185" s="83" t="str">
        <f>HYPERLINK("https://twitter.com/portalaz_/status/1668256866487484418")</f>
        <v>https://twitter.com/portalaz_/status/1668256866487484418</v>
      </c>
      <c r="AF3185" s="79">
        <v>45089.583402777775</v>
      </c>
      <c r="AG3185" s="85">
        <v>45089</v>
      </c>
      <c r="AH3185" s="80" t="s">
        <v>13393</v>
      </c>
      <c r="AI3185" s="77" t="b">
        <v>0</v>
      </c>
      <c r="AJ3185" s="77"/>
      <c r="AK3185" s="77"/>
      <c r="AL3185" s="77"/>
      <c r="AM3185" s="77"/>
      <c r="AN3185" s="77"/>
      <c r="AO3185" s="77"/>
      <c r="AP3185" s="77"/>
      <c r="AQ3185" s="77"/>
      <c r="AR3185" s="77"/>
      <c r="AS3185" s="77"/>
      <c r="AT3185" s="77"/>
      <c r="AU3185" s="77"/>
      <c r="AV3185" s="83" t="str">
        <f>HYPERLINK("https://pbs.twimg.com/profile_images/940295430201417728/704xlC3K_normal.jpg")</f>
        <v>https://pbs.twimg.com/profile_images/940295430201417728/704xlC3K_normal.jpg</v>
      </c>
      <c r="AW3185" s="80" t="s">
        <v>18921</v>
      </c>
      <c r="AX3185" s="80" t="s">
        <v>18921</v>
      </c>
      <c r="AY3185" s="77"/>
      <c r="AZ3185" s="80" t="s">
        <v>20380</v>
      </c>
      <c r="BA3185" s="80" t="s">
        <v>20380</v>
      </c>
      <c r="BB3185" s="80" t="s">
        <v>20380</v>
      </c>
      <c r="BC3185" s="80" t="s">
        <v>18921</v>
      </c>
      <c r="BD3185" s="77">
        <v>546333689</v>
      </c>
      <c r="BE3185" s="77"/>
      <c r="BF3185" s="77"/>
      <c r="BG3185" s="77"/>
      <c r="BH3185" s="77"/>
      <c r="BI3185" s="77"/>
    </row>
    <row r="3186" spans="1:61" x14ac:dyDescent="0.25">
      <c r="A3186" s="62" t="s">
        <v>1277</v>
      </c>
      <c r="B3186" s="62" t="s">
        <v>2006</v>
      </c>
      <c r="C3186" s="63"/>
      <c r="D3186" s="64"/>
      <c r="E3186" s="65"/>
      <c r="F3186" s="66"/>
      <c r="G3186" s="63"/>
      <c r="H3186" s="67"/>
      <c r="I3186" s="68"/>
      <c r="J3186" s="68"/>
      <c r="K3186" s="32"/>
      <c r="L3186" s="75">
        <v>3186</v>
      </c>
      <c r="M3186" s="75"/>
      <c r="N3186" s="70"/>
      <c r="O3186" s="77" t="s">
        <v>2081</v>
      </c>
      <c r="P3186" s="79">
        <v>45147.056168981479</v>
      </c>
      <c r="Q3186" s="77" t="s">
        <v>4892</v>
      </c>
      <c r="R3186" s="77">
        <v>0</v>
      </c>
      <c r="S3186" s="77">
        <v>3</v>
      </c>
      <c r="T3186" s="77">
        <v>0</v>
      </c>
      <c r="U3186" s="77">
        <v>0</v>
      </c>
      <c r="V3186" s="77">
        <v>98</v>
      </c>
      <c r="W3186" s="80" t="s">
        <v>7872</v>
      </c>
      <c r="X3186" s="77"/>
      <c r="Y3186" s="77"/>
      <c r="Z3186" s="77" t="s">
        <v>2006</v>
      </c>
      <c r="AA3186" s="77" t="s">
        <v>10087</v>
      </c>
      <c r="AB3186" s="77" t="s">
        <v>10535</v>
      </c>
      <c r="AC3186" s="80" t="s">
        <v>10541</v>
      </c>
      <c r="AD3186" s="77" t="s">
        <v>10617</v>
      </c>
      <c r="AE3186" s="83" t="str">
        <f>HYPERLINK("https://twitter.com/leandro3088/status/1689084299566288896")</f>
        <v>https://twitter.com/leandro3088/status/1689084299566288896</v>
      </c>
      <c r="AF3186" s="79">
        <v>45147.056168981479</v>
      </c>
      <c r="AG3186" s="85">
        <v>45147</v>
      </c>
      <c r="AH3186" s="80" t="s">
        <v>13394</v>
      </c>
      <c r="AI3186" s="77" t="b">
        <v>0</v>
      </c>
      <c r="AJ3186" s="77"/>
      <c r="AK3186" s="77"/>
      <c r="AL3186" s="77"/>
      <c r="AM3186" s="77"/>
      <c r="AN3186" s="77"/>
      <c r="AO3186" s="77"/>
      <c r="AP3186" s="77"/>
      <c r="AQ3186" s="77" t="s">
        <v>15568</v>
      </c>
      <c r="AR3186" s="77"/>
      <c r="AS3186" s="77"/>
      <c r="AT3186" s="77"/>
      <c r="AU3186" s="77"/>
      <c r="AV3186" s="83" t="str">
        <f>HYPERLINK("https://pbs.twimg.com/media/F3DA8R7XwAAu_ml.jpg")</f>
        <v>https://pbs.twimg.com/media/F3DA8R7XwAAu_ml.jpg</v>
      </c>
      <c r="AW3186" s="80" t="s">
        <v>18922</v>
      </c>
      <c r="AX3186" s="80" t="s">
        <v>18922</v>
      </c>
      <c r="AY3186" s="77"/>
      <c r="AZ3186" s="80" t="s">
        <v>20380</v>
      </c>
      <c r="BA3186" s="80" t="s">
        <v>20380</v>
      </c>
      <c r="BB3186" s="80" t="s">
        <v>20380</v>
      </c>
      <c r="BC3186" s="80" t="s">
        <v>18922</v>
      </c>
      <c r="BD3186" s="77">
        <v>1580818440</v>
      </c>
      <c r="BE3186" s="77"/>
      <c r="BF3186" s="77"/>
      <c r="BG3186" s="77"/>
      <c r="BH3186" s="77"/>
      <c r="BI3186" s="77"/>
    </row>
    <row r="3187" spans="1:61" x14ac:dyDescent="0.25">
      <c r="A3187" s="62" t="s">
        <v>1277</v>
      </c>
      <c r="B3187" s="62" t="s">
        <v>1277</v>
      </c>
      <c r="C3187" s="63"/>
      <c r="D3187" s="64"/>
      <c r="E3187" s="65"/>
      <c r="F3187" s="66"/>
      <c r="G3187" s="63"/>
      <c r="H3187" s="67"/>
      <c r="I3187" s="68"/>
      <c r="J3187" s="68"/>
      <c r="K3187" s="32"/>
      <c r="L3187" s="75">
        <v>3187</v>
      </c>
      <c r="M3187" s="75"/>
      <c r="N3187" s="70"/>
      <c r="O3187" s="77" t="s">
        <v>179</v>
      </c>
      <c r="P3187" s="79">
        <v>45134.043287037035</v>
      </c>
      <c r="Q3187" s="77" t="s">
        <v>4893</v>
      </c>
      <c r="R3187" s="77">
        <v>0</v>
      </c>
      <c r="S3187" s="77">
        <v>1</v>
      </c>
      <c r="T3187" s="77">
        <v>0</v>
      </c>
      <c r="U3187" s="77">
        <v>0</v>
      </c>
      <c r="V3187" s="77">
        <v>140</v>
      </c>
      <c r="W3187" s="80" t="s">
        <v>7873</v>
      </c>
      <c r="X3187" s="77"/>
      <c r="Y3187" s="77"/>
      <c r="Z3187" s="77"/>
      <c r="AA3187" s="77" t="s">
        <v>10088</v>
      </c>
      <c r="AB3187" s="77" t="s">
        <v>10535</v>
      </c>
      <c r="AC3187" s="80" t="s">
        <v>10541</v>
      </c>
      <c r="AD3187" s="77" t="s">
        <v>10617</v>
      </c>
      <c r="AE3187" s="83" t="str">
        <f>HYPERLINK("https://twitter.com/leandro3088/status/1684368588444950528")</f>
        <v>https://twitter.com/leandro3088/status/1684368588444950528</v>
      </c>
      <c r="AF3187" s="79">
        <v>45134.043287037035</v>
      </c>
      <c r="AG3187" s="85">
        <v>45134</v>
      </c>
      <c r="AH3187" s="80" t="s">
        <v>13395</v>
      </c>
      <c r="AI3187" s="77" t="b">
        <v>0</v>
      </c>
      <c r="AJ3187" s="77"/>
      <c r="AK3187" s="77"/>
      <c r="AL3187" s="77"/>
      <c r="AM3187" s="77"/>
      <c r="AN3187" s="77"/>
      <c r="AO3187" s="77"/>
      <c r="AP3187" s="77"/>
      <c r="AQ3187" s="77" t="s">
        <v>15569</v>
      </c>
      <c r="AR3187" s="77"/>
      <c r="AS3187" s="77"/>
      <c r="AT3187" s="77"/>
      <c r="AU3187" s="77"/>
      <c r="AV3187" s="83" t="str">
        <f>HYPERLINK("https://pbs.twimg.com/media/F2AUC1OWcAA0x5w.jpg")</f>
        <v>https://pbs.twimg.com/media/F2AUC1OWcAA0x5w.jpg</v>
      </c>
      <c r="AW3187" s="80" t="s">
        <v>18923</v>
      </c>
      <c r="AX3187" s="80" t="s">
        <v>18923</v>
      </c>
      <c r="AY3187" s="77"/>
      <c r="AZ3187" s="80" t="s">
        <v>20380</v>
      </c>
      <c r="BA3187" s="80" t="s">
        <v>20380</v>
      </c>
      <c r="BB3187" s="80" t="s">
        <v>20380</v>
      </c>
      <c r="BC3187" s="80" t="s">
        <v>18923</v>
      </c>
      <c r="BD3187" s="77">
        <v>1580818440</v>
      </c>
      <c r="BE3187" s="77"/>
      <c r="BF3187" s="77"/>
      <c r="BG3187" s="77"/>
      <c r="BH3187" s="77"/>
      <c r="BI3187" s="77"/>
    </row>
    <row r="3188" spans="1:61" x14ac:dyDescent="0.25">
      <c r="A3188" s="62" t="s">
        <v>1278</v>
      </c>
      <c r="B3188" s="62" t="s">
        <v>1278</v>
      </c>
      <c r="C3188" s="63"/>
      <c r="D3188" s="64"/>
      <c r="E3188" s="65"/>
      <c r="F3188" s="66"/>
      <c r="G3188" s="63"/>
      <c r="H3188" s="67"/>
      <c r="I3188" s="68"/>
      <c r="J3188" s="68"/>
      <c r="K3188" s="32"/>
      <c r="L3188" s="75">
        <v>3188</v>
      </c>
      <c r="M3188" s="75"/>
      <c r="N3188" s="70"/>
      <c r="O3188" s="77" t="s">
        <v>179</v>
      </c>
      <c r="P3188" s="79">
        <v>45057.75886574074</v>
      </c>
      <c r="Q3188" s="77" t="s">
        <v>4894</v>
      </c>
      <c r="R3188" s="77">
        <v>0</v>
      </c>
      <c r="S3188" s="77">
        <v>1</v>
      </c>
      <c r="T3188" s="77">
        <v>0</v>
      </c>
      <c r="U3188" s="77">
        <v>0</v>
      </c>
      <c r="V3188" s="77">
        <v>67</v>
      </c>
      <c r="W3188" s="80" t="s">
        <v>7874</v>
      </c>
      <c r="X3188" s="83" t="str">
        <f>HYPERLINK("https://youtu.be/JkZVwTcc0gA")</f>
        <v>https://youtu.be/JkZVwTcc0gA</v>
      </c>
      <c r="Y3188" s="77" t="s">
        <v>8635</v>
      </c>
      <c r="Z3188" s="77"/>
      <c r="AA3188" s="77" t="s">
        <v>10089</v>
      </c>
      <c r="AB3188" s="77" t="s">
        <v>10534</v>
      </c>
      <c r="AC3188" s="80" t="s">
        <v>10540</v>
      </c>
      <c r="AD3188" s="77" t="s">
        <v>10620</v>
      </c>
      <c r="AE3188" s="83" t="str">
        <f>HYPERLINK("https://twitter.com/flibertarias/status/1656724041430859787")</f>
        <v>https://twitter.com/flibertarias/status/1656724041430859787</v>
      </c>
      <c r="AF3188" s="79">
        <v>45057.75886574074</v>
      </c>
      <c r="AG3188" s="85">
        <v>45057</v>
      </c>
      <c r="AH3188" s="80" t="s">
        <v>13396</v>
      </c>
      <c r="AI3188" s="77" t="b">
        <v>0</v>
      </c>
      <c r="AJ3188" s="77"/>
      <c r="AK3188" s="77"/>
      <c r="AL3188" s="77"/>
      <c r="AM3188" s="77"/>
      <c r="AN3188" s="77"/>
      <c r="AO3188" s="77"/>
      <c r="AP3188" s="77"/>
      <c r="AQ3188" s="77" t="s">
        <v>15570</v>
      </c>
      <c r="AR3188" s="77">
        <v>35316</v>
      </c>
      <c r="AS3188" s="77"/>
      <c r="AT3188" s="77"/>
      <c r="AU3188" s="77"/>
      <c r="AV3188" s="83" t="str">
        <f>HYPERLINK("https://pbs.twimg.com/ext_tw_video_thumb/1656723940658622464/pu/img/G7a57o_8RcRGgRE_.jpg")</f>
        <v>https://pbs.twimg.com/ext_tw_video_thumb/1656723940658622464/pu/img/G7a57o_8RcRGgRE_.jpg</v>
      </c>
      <c r="AW3188" s="80" t="s">
        <v>18924</v>
      </c>
      <c r="AX3188" s="80" t="s">
        <v>18924</v>
      </c>
      <c r="AY3188" s="77"/>
      <c r="AZ3188" s="80" t="s">
        <v>20380</v>
      </c>
      <c r="BA3188" s="80" t="s">
        <v>20380</v>
      </c>
      <c r="BB3188" s="80" t="s">
        <v>20380</v>
      </c>
      <c r="BC3188" s="80" t="s">
        <v>18924</v>
      </c>
      <c r="BD3188" s="80" t="s">
        <v>21012</v>
      </c>
      <c r="BE3188" s="77"/>
      <c r="BF3188" s="77"/>
      <c r="BG3188" s="77"/>
      <c r="BH3188" s="77"/>
      <c r="BI3188" s="77"/>
    </row>
    <row r="3189" spans="1:61" x14ac:dyDescent="0.25">
      <c r="A3189" s="62" t="s">
        <v>1279</v>
      </c>
      <c r="B3189" s="62" t="s">
        <v>1655</v>
      </c>
      <c r="C3189" s="63"/>
      <c r="D3189" s="64"/>
      <c r="E3189" s="65"/>
      <c r="F3189" s="66"/>
      <c r="G3189" s="63"/>
      <c r="H3189" s="67"/>
      <c r="I3189" s="68"/>
      <c r="J3189" s="68"/>
      <c r="K3189" s="32"/>
      <c r="L3189" s="75">
        <v>3189</v>
      </c>
      <c r="M3189" s="75"/>
      <c r="N3189" s="70"/>
      <c r="O3189" s="77" t="s">
        <v>2083</v>
      </c>
      <c r="P3189" s="79">
        <v>45191.012337962966</v>
      </c>
      <c r="Q3189" s="77" t="s">
        <v>2120</v>
      </c>
      <c r="R3189" s="77">
        <v>25</v>
      </c>
      <c r="S3189" s="77">
        <v>0</v>
      </c>
      <c r="T3189" s="77">
        <v>0</v>
      </c>
      <c r="U3189" s="77">
        <v>0</v>
      </c>
      <c r="V3189" s="77"/>
      <c r="W3189" s="80" t="s">
        <v>5917</v>
      </c>
      <c r="X3189" s="77"/>
      <c r="Y3189" s="77"/>
      <c r="Z3189" s="77" t="s">
        <v>1655</v>
      </c>
      <c r="AA3189" s="77"/>
      <c r="AB3189" s="77"/>
      <c r="AC3189" s="80" t="s">
        <v>10540</v>
      </c>
      <c r="AD3189" s="77" t="s">
        <v>10617</v>
      </c>
      <c r="AE3189" s="83" t="str">
        <f>HYPERLINK("https://twitter.com/terezafelipego/status/1705013482784002514")</f>
        <v>https://twitter.com/terezafelipego/status/1705013482784002514</v>
      </c>
      <c r="AF3189" s="79">
        <v>45191.012337962966</v>
      </c>
      <c r="AG3189" s="85">
        <v>45191</v>
      </c>
      <c r="AH3189" s="80" t="s">
        <v>13397</v>
      </c>
      <c r="AI3189" s="77"/>
      <c r="AJ3189" s="77"/>
      <c r="AK3189" s="77"/>
      <c r="AL3189" s="77"/>
      <c r="AM3189" s="77"/>
      <c r="AN3189" s="77"/>
      <c r="AO3189" s="77"/>
      <c r="AP3189" s="77"/>
      <c r="AQ3189" s="77"/>
      <c r="AR3189" s="77"/>
      <c r="AS3189" s="77"/>
      <c r="AT3189" s="77"/>
      <c r="AU3189" s="77"/>
      <c r="AV3189" s="83" t="str">
        <f>HYPERLINK("https://pbs.twimg.com/profile_images/1663258296495554583/OBMMCxHu_normal.jpg")</f>
        <v>https://pbs.twimg.com/profile_images/1663258296495554583/OBMMCxHu_normal.jpg</v>
      </c>
      <c r="AW3189" s="80" t="s">
        <v>18925</v>
      </c>
      <c r="AX3189" s="80" t="s">
        <v>18925</v>
      </c>
      <c r="AY3189" s="77"/>
      <c r="AZ3189" s="80" t="s">
        <v>20380</v>
      </c>
      <c r="BA3189" s="80" t="s">
        <v>20380</v>
      </c>
      <c r="BB3189" s="80" t="s">
        <v>19844</v>
      </c>
      <c r="BC3189" s="80" t="s">
        <v>19844</v>
      </c>
      <c r="BD3189" s="80" t="s">
        <v>21013</v>
      </c>
      <c r="BE3189" s="77"/>
      <c r="BF3189" s="77"/>
      <c r="BG3189" s="77"/>
      <c r="BH3189" s="77"/>
      <c r="BI3189" s="77"/>
    </row>
    <row r="3190" spans="1:61" x14ac:dyDescent="0.25">
      <c r="A3190" s="62" t="s">
        <v>1279</v>
      </c>
      <c r="B3190" s="62" t="s">
        <v>1655</v>
      </c>
      <c r="C3190" s="63"/>
      <c r="D3190" s="64"/>
      <c r="E3190" s="65"/>
      <c r="F3190" s="66"/>
      <c r="G3190" s="63"/>
      <c r="H3190" s="67"/>
      <c r="I3190" s="68"/>
      <c r="J3190" s="68"/>
      <c r="K3190" s="32"/>
      <c r="L3190" s="75">
        <v>3190</v>
      </c>
      <c r="M3190" s="75"/>
      <c r="N3190" s="70"/>
      <c r="O3190" s="77" t="s">
        <v>2083</v>
      </c>
      <c r="P3190" s="79">
        <v>45191.030034722222</v>
      </c>
      <c r="Q3190" s="77" t="s">
        <v>2120</v>
      </c>
      <c r="R3190" s="77">
        <v>57</v>
      </c>
      <c r="S3190" s="77">
        <v>0</v>
      </c>
      <c r="T3190" s="77">
        <v>0</v>
      </c>
      <c r="U3190" s="77">
        <v>0</v>
      </c>
      <c r="V3190" s="77"/>
      <c r="W3190" s="80" t="s">
        <v>5917</v>
      </c>
      <c r="X3190" s="77"/>
      <c r="Y3190" s="77"/>
      <c r="Z3190" s="77" t="s">
        <v>1655</v>
      </c>
      <c r="AA3190" s="77"/>
      <c r="AB3190" s="77"/>
      <c r="AC3190" s="80" t="s">
        <v>10540</v>
      </c>
      <c r="AD3190" s="77" t="s">
        <v>10617</v>
      </c>
      <c r="AE3190" s="83" t="str">
        <f>HYPERLINK("https://twitter.com/terezafelipego/status/1705019896503951602")</f>
        <v>https://twitter.com/terezafelipego/status/1705019896503951602</v>
      </c>
      <c r="AF3190" s="79">
        <v>45191.030034722222</v>
      </c>
      <c r="AG3190" s="85">
        <v>45191</v>
      </c>
      <c r="AH3190" s="80" t="s">
        <v>13398</v>
      </c>
      <c r="AI3190" s="77"/>
      <c r="AJ3190" s="77"/>
      <c r="AK3190" s="77"/>
      <c r="AL3190" s="77"/>
      <c r="AM3190" s="77"/>
      <c r="AN3190" s="77"/>
      <c r="AO3190" s="77"/>
      <c r="AP3190" s="77"/>
      <c r="AQ3190" s="77"/>
      <c r="AR3190" s="77"/>
      <c r="AS3190" s="77"/>
      <c r="AT3190" s="77"/>
      <c r="AU3190" s="77"/>
      <c r="AV3190" s="83" t="str">
        <f>HYPERLINK("https://pbs.twimg.com/profile_images/1663258296495554583/OBMMCxHu_normal.jpg")</f>
        <v>https://pbs.twimg.com/profile_images/1663258296495554583/OBMMCxHu_normal.jpg</v>
      </c>
      <c r="AW3190" s="80" t="s">
        <v>18926</v>
      </c>
      <c r="AX3190" s="80" t="s">
        <v>18926</v>
      </c>
      <c r="AY3190" s="77"/>
      <c r="AZ3190" s="80" t="s">
        <v>20380</v>
      </c>
      <c r="BA3190" s="80" t="s">
        <v>20380</v>
      </c>
      <c r="BB3190" s="80" t="s">
        <v>19843</v>
      </c>
      <c r="BC3190" s="80" t="s">
        <v>19843</v>
      </c>
      <c r="BD3190" s="80" t="s">
        <v>21013</v>
      </c>
      <c r="BE3190" s="77"/>
      <c r="BF3190" s="77"/>
      <c r="BG3190" s="77"/>
      <c r="BH3190" s="77"/>
      <c r="BI3190" s="77"/>
    </row>
    <row r="3191" spans="1:61" x14ac:dyDescent="0.25">
      <c r="A3191" s="62" t="s">
        <v>1280</v>
      </c>
      <c r="B3191" s="62" t="s">
        <v>1280</v>
      </c>
      <c r="C3191" s="63"/>
      <c r="D3191" s="64"/>
      <c r="E3191" s="65"/>
      <c r="F3191" s="66"/>
      <c r="G3191" s="63"/>
      <c r="H3191" s="67"/>
      <c r="I3191" s="68"/>
      <c r="J3191" s="68"/>
      <c r="K3191" s="32"/>
      <c r="L3191" s="75">
        <v>3191</v>
      </c>
      <c r="M3191" s="75"/>
      <c r="N3191" s="70"/>
      <c r="O3191" s="77" t="s">
        <v>179</v>
      </c>
      <c r="P3191" s="79">
        <v>45092.773125</v>
      </c>
      <c r="Q3191" s="77" t="s">
        <v>4895</v>
      </c>
      <c r="R3191" s="77">
        <v>0</v>
      </c>
      <c r="S3191" s="77">
        <v>0</v>
      </c>
      <c r="T3191" s="77">
        <v>0</v>
      </c>
      <c r="U3191" s="77">
        <v>0</v>
      </c>
      <c r="V3191" s="77">
        <v>209</v>
      </c>
      <c r="W3191" s="80" t="s">
        <v>5884</v>
      </c>
      <c r="X3191" s="83" t="str">
        <f>HYPERLINK("https://www.diariojornada.com.ar/348949/economia/el_banco_central_mantuvo_la_tasa_de_politica_monetaria_?preview=1")</f>
        <v>https://www.diariojornada.com.ar/348949/economia/el_banco_central_mantuvo_la_tasa_de_politica_monetaria_?preview=1</v>
      </c>
      <c r="Y3191" s="77" t="s">
        <v>8624</v>
      </c>
      <c r="Z3191" s="77"/>
      <c r="AA3191" s="77"/>
      <c r="AB3191" s="77"/>
      <c r="AC3191" s="80" t="s">
        <v>10541</v>
      </c>
      <c r="AD3191" s="77" t="s">
        <v>10620</v>
      </c>
      <c r="AE3191" s="83" t="str">
        <f>HYPERLINK("https://twitter.com/jornadaweb/status/1669412783929081876")</f>
        <v>https://twitter.com/jornadaweb/status/1669412783929081876</v>
      </c>
      <c r="AF3191" s="79">
        <v>45092.773125</v>
      </c>
      <c r="AG3191" s="85">
        <v>45092</v>
      </c>
      <c r="AH3191" s="80" t="s">
        <v>13399</v>
      </c>
      <c r="AI3191" s="77" t="b">
        <v>0</v>
      </c>
      <c r="AJ3191" s="77"/>
      <c r="AK3191" s="77"/>
      <c r="AL3191" s="77"/>
      <c r="AM3191" s="77"/>
      <c r="AN3191" s="77"/>
      <c r="AO3191" s="77"/>
      <c r="AP3191" s="77"/>
      <c r="AQ3191" s="77"/>
      <c r="AR3191" s="77"/>
      <c r="AS3191" s="77"/>
      <c r="AT3191" s="77"/>
      <c r="AU3191" s="77"/>
      <c r="AV3191" s="83" t="str">
        <f>HYPERLINK("https://pbs.twimg.com/profile_images/1384132534225629199/jV7gk5T9_normal.jpg")</f>
        <v>https://pbs.twimg.com/profile_images/1384132534225629199/jV7gk5T9_normal.jpg</v>
      </c>
      <c r="AW3191" s="80" t="s">
        <v>18927</v>
      </c>
      <c r="AX3191" s="80" t="s">
        <v>18927</v>
      </c>
      <c r="AY3191" s="77"/>
      <c r="AZ3191" s="80" t="s">
        <v>20380</v>
      </c>
      <c r="BA3191" s="80" t="s">
        <v>20380</v>
      </c>
      <c r="BB3191" s="80" t="s">
        <v>20380</v>
      </c>
      <c r="BC3191" s="80" t="s">
        <v>18927</v>
      </c>
      <c r="BD3191" s="77">
        <v>250662294</v>
      </c>
      <c r="BE3191" s="77"/>
      <c r="BF3191" s="77"/>
      <c r="BG3191" s="77"/>
      <c r="BH3191" s="77"/>
      <c r="BI3191" s="77"/>
    </row>
    <row r="3192" spans="1:61" x14ac:dyDescent="0.25">
      <c r="A3192" s="62" t="s">
        <v>1280</v>
      </c>
      <c r="B3192" s="62" t="s">
        <v>1280</v>
      </c>
      <c r="C3192" s="63"/>
      <c r="D3192" s="64"/>
      <c r="E3192" s="65"/>
      <c r="F3192" s="66"/>
      <c r="G3192" s="63"/>
      <c r="H3192" s="67"/>
      <c r="I3192" s="68"/>
      <c r="J3192" s="68"/>
      <c r="K3192" s="32"/>
      <c r="L3192" s="75">
        <v>3192</v>
      </c>
      <c r="M3192" s="75"/>
      <c r="N3192" s="70"/>
      <c r="O3192" s="77" t="s">
        <v>179</v>
      </c>
      <c r="P3192" s="79">
        <v>45128.817766203705</v>
      </c>
      <c r="Q3192" s="77" t="s">
        <v>4896</v>
      </c>
      <c r="R3192" s="77">
        <v>0</v>
      </c>
      <c r="S3192" s="77">
        <v>0</v>
      </c>
      <c r="T3192" s="77">
        <v>0</v>
      </c>
      <c r="U3192" s="77">
        <v>0</v>
      </c>
      <c r="V3192" s="77">
        <v>192</v>
      </c>
      <c r="W3192" s="80" t="s">
        <v>7335</v>
      </c>
      <c r="X3192" s="83" t="str">
        <f>HYPERLINK("https://www.diariojornada.com.ar/351172/economia/el_central_vendio_us_87_millones_en_el_cierre_semanal?preview=1")</f>
        <v>https://www.diariojornada.com.ar/351172/economia/el_central_vendio_us_87_millones_en_el_cierre_semanal?preview=1</v>
      </c>
      <c r="Y3192" s="77" t="s">
        <v>8624</v>
      </c>
      <c r="Z3192" s="77"/>
      <c r="AA3192" s="77"/>
      <c r="AB3192" s="77"/>
      <c r="AC3192" s="80" t="s">
        <v>10541</v>
      </c>
      <c r="AD3192" s="77" t="s">
        <v>10620</v>
      </c>
      <c r="AE3192" s="83" t="str">
        <f>HYPERLINK("https://twitter.com/jornadaweb/status/1682474923292258305")</f>
        <v>https://twitter.com/jornadaweb/status/1682474923292258305</v>
      </c>
      <c r="AF3192" s="79">
        <v>45128.817766203705</v>
      </c>
      <c r="AG3192" s="85">
        <v>45128</v>
      </c>
      <c r="AH3192" s="80" t="s">
        <v>13400</v>
      </c>
      <c r="AI3192" s="77" t="b">
        <v>0</v>
      </c>
      <c r="AJ3192" s="77"/>
      <c r="AK3192" s="77"/>
      <c r="AL3192" s="77"/>
      <c r="AM3192" s="77"/>
      <c r="AN3192" s="77"/>
      <c r="AO3192" s="77"/>
      <c r="AP3192" s="77"/>
      <c r="AQ3192" s="77"/>
      <c r="AR3192" s="77"/>
      <c r="AS3192" s="77"/>
      <c r="AT3192" s="77"/>
      <c r="AU3192" s="77"/>
      <c r="AV3192" s="83" t="str">
        <f>HYPERLINK("https://pbs.twimg.com/profile_images/1384132534225629199/jV7gk5T9_normal.jpg")</f>
        <v>https://pbs.twimg.com/profile_images/1384132534225629199/jV7gk5T9_normal.jpg</v>
      </c>
      <c r="AW3192" s="80" t="s">
        <v>18928</v>
      </c>
      <c r="AX3192" s="80" t="s">
        <v>18928</v>
      </c>
      <c r="AY3192" s="77"/>
      <c r="AZ3192" s="80" t="s">
        <v>20380</v>
      </c>
      <c r="BA3192" s="80" t="s">
        <v>20380</v>
      </c>
      <c r="BB3192" s="80" t="s">
        <v>20380</v>
      </c>
      <c r="BC3192" s="80" t="s">
        <v>18928</v>
      </c>
      <c r="BD3192" s="77">
        <v>250662294</v>
      </c>
      <c r="BE3192" s="77"/>
      <c r="BF3192" s="77"/>
      <c r="BG3192" s="77"/>
      <c r="BH3192" s="77"/>
      <c r="BI3192" s="77"/>
    </row>
    <row r="3193" spans="1:61" x14ac:dyDescent="0.25">
      <c r="A3193" s="62" t="s">
        <v>1280</v>
      </c>
      <c r="B3193" s="62" t="s">
        <v>1280</v>
      </c>
      <c r="C3193" s="63"/>
      <c r="D3193" s="64"/>
      <c r="E3193" s="65"/>
      <c r="F3193" s="66"/>
      <c r="G3193" s="63"/>
      <c r="H3193" s="67"/>
      <c r="I3193" s="68"/>
      <c r="J3193" s="68"/>
      <c r="K3193" s="32"/>
      <c r="L3193" s="75">
        <v>3193</v>
      </c>
      <c r="M3193" s="75"/>
      <c r="N3193" s="70"/>
      <c r="O3193" s="77" t="s">
        <v>179</v>
      </c>
      <c r="P3193" s="79">
        <v>45155.799155092594</v>
      </c>
      <c r="Q3193" s="77" t="s">
        <v>4897</v>
      </c>
      <c r="R3193" s="77">
        <v>0</v>
      </c>
      <c r="S3193" s="77">
        <v>1</v>
      </c>
      <c r="T3193" s="77">
        <v>0</v>
      </c>
      <c r="U3193" s="77">
        <v>0</v>
      </c>
      <c r="V3193" s="77">
        <v>208</v>
      </c>
      <c r="W3193" s="80" t="s">
        <v>7335</v>
      </c>
      <c r="X3193" s="83" t="str">
        <f>HYPERLINK("https://www.diariojornada.com.ar/352877/economia/este_jueves_el_bcra_compro_us_184_millones?preview=1")</f>
        <v>https://www.diariojornada.com.ar/352877/economia/este_jueves_el_bcra_compro_us_184_millones?preview=1</v>
      </c>
      <c r="Y3193" s="77" t="s">
        <v>8624</v>
      </c>
      <c r="Z3193" s="77"/>
      <c r="AA3193" s="77"/>
      <c r="AB3193" s="77"/>
      <c r="AC3193" s="80" t="s">
        <v>10541</v>
      </c>
      <c r="AD3193" s="77" t="s">
        <v>10620</v>
      </c>
      <c r="AE3193" s="83" t="str">
        <f>HYPERLINK("https://twitter.com/jornadaweb/status/1692252653709922760")</f>
        <v>https://twitter.com/jornadaweb/status/1692252653709922760</v>
      </c>
      <c r="AF3193" s="79">
        <v>45155.799155092594</v>
      </c>
      <c r="AG3193" s="85">
        <v>45155</v>
      </c>
      <c r="AH3193" s="80" t="s">
        <v>13401</v>
      </c>
      <c r="AI3193" s="77" t="b">
        <v>0</v>
      </c>
      <c r="AJ3193" s="77"/>
      <c r="AK3193" s="77"/>
      <c r="AL3193" s="77"/>
      <c r="AM3193" s="77"/>
      <c r="AN3193" s="77"/>
      <c r="AO3193" s="77"/>
      <c r="AP3193" s="77"/>
      <c r="AQ3193" s="77"/>
      <c r="AR3193" s="77"/>
      <c r="AS3193" s="77"/>
      <c r="AT3193" s="77"/>
      <c r="AU3193" s="77"/>
      <c r="AV3193" s="83" t="str">
        <f>HYPERLINK("https://pbs.twimg.com/profile_images/1384132534225629199/jV7gk5T9_normal.jpg")</f>
        <v>https://pbs.twimg.com/profile_images/1384132534225629199/jV7gk5T9_normal.jpg</v>
      </c>
      <c r="AW3193" s="80" t="s">
        <v>18929</v>
      </c>
      <c r="AX3193" s="80" t="s">
        <v>18929</v>
      </c>
      <c r="AY3193" s="77"/>
      <c r="AZ3193" s="80" t="s">
        <v>20380</v>
      </c>
      <c r="BA3193" s="80" t="s">
        <v>20380</v>
      </c>
      <c r="BB3193" s="80" t="s">
        <v>20380</v>
      </c>
      <c r="BC3193" s="80" t="s">
        <v>18929</v>
      </c>
      <c r="BD3193" s="77">
        <v>250662294</v>
      </c>
      <c r="BE3193" s="77"/>
      <c r="BF3193" s="77"/>
      <c r="BG3193" s="77"/>
      <c r="BH3193" s="77"/>
      <c r="BI3193" s="77"/>
    </row>
    <row r="3194" spans="1:61" x14ac:dyDescent="0.25">
      <c r="A3194" s="62" t="s">
        <v>1280</v>
      </c>
      <c r="B3194" s="62" t="s">
        <v>1280</v>
      </c>
      <c r="C3194" s="63"/>
      <c r="D3194" s="64"/>
      <c r="E3194" s="65"/>
      <c r="F3194" s="66"/>
      <c r="G3194" s="63"/>
      <c r="H3194" s="67"/>
      <c r="I3194" s="68"/>
      <c r="J3194" s="68"/>
      <c r="K3194" s="32"/>
      <c r="L3194" s="75">
        <v>3194</v>
      </c>
      <c r="M3194" s="75"/>
      <c r="N3194" s="70"/>
      <c r="O3194" s="77" t="s">
        <v>179</v>
      </c>
      <c r="P3194" s="79">
        <v>45153.853784722225</v>
      </c>
      <c r="Q3194" s="77" t="s">
        <v>4898</v>
      </c>
      <c r="R3194" s="77">
        <v>0</v>
      </c>
      <c r="S3194" s="77">
        <v>0</v>
      </c>
      <c r="T3194" s="77">
        <v>0</v>
      </c>
      <c r="U3194" s="77">
        <v>0</v>
      </c>
      <c r="V3194" s="77">
        <v>241</v>
      </c>
      <c r="W3194" s="80" t="s">
        <v>7335</v>
      </c>
      <c r="X3194" s="83" t="str">
        <f>HYPERLINK("https://www.diariojornada.com.ar/352743/economia/el_banco_central_compro_us_125_millones?preview=1")</f>
        <v>https://www.diariojornada.com.ar/352743/economia/el_banco_central_compro_us_125_millones?preview=1</v>
      </c>
      <c r="Y3194" s="77" t="s">
        <v>8624</v>
      </c>
      <c r="Z3194" s="77"/>
      <c r="AA3194" s="77"/>
      <c r="AB3194" s="77"/>
      <c r="AC3194" s="80" t="s">
        <v>10541</v>
      </c>
      <c r="AD3194" s="77" t="s">
        <v>10620</v>
      </c>
      <c r="AE3194" s="83" t="str">
        <f>HYPERLINK("https://twitter.com/jornadaweb/status/1691547673449353216")</f>
        <v>https://twitter.com/jornadaweb/status/1691547673449353216</v>
      </c>
      <c r="AF3194" s="79">
        <v>45153.853784722225</v>
      </c>
      <c r="AG3194" s="85">
        <v>45153</v>
      </c>
      <c r="AH3194" s="80" t="s">
        <v>13402</v>
      </c>
      <c r="AI3194" s="77" t="b">
        <v>0</v>
      </c>
      <c r="AJ3194" s="77"/>
      <c r="AK3194" s="77"/>
      <c r="AL3194" s="77"/>
      <c r="AM3194" s="77"/>
      <c r="AN3194" s="77"/>
      <c r="AO3194" s="77"/>
      <c r="AP3194" s="77"/>
      <c r="AQ3194" s="77"/>
      <c r="AR3194" s="77"/>
      <c r="AS3194" s="77"/>
      <c r="AT3194" s="77"/>
      <c r="AU3194" s="77"/>
      <c r="AV3194" s="83" t="str">
        <f>HYPERLINK("https://pbs.twimg.com/profile_images/1384132534225629199/jV7gk5T9_normal.jpg")</f>
        <v>https://pbs.twimg.com/profile_images/1384132534225629199/jV7gk5T9_normal.jpg</v>
      </c>
      <c r="AW3194" s="80" t="s">
        <v>18930</v>
      </c>
      <c r="AX3194" s="80" t="s">
        <v>18930</v>
      </c>
      <c r="AY3194" s="77"/>
      <c r="AZ3194" s="80" t="s">
        <v>20380</v>
      </c>
      <c r="BA3194" s="80" t="s">
        <v>20380</v>
      </c>
      <c r="BB3194" s="80" t="s">
        <v>20380</v>
      </c>
      <c r="BC3194" s="80" t="s">
        <v>18930</v>
      </c>
      <c r="BD3194" s="77">
        <v>250662294</v>
      </c>
      <c r="BE3194" s="77"/>
      <c r="BF3194" s="77"/>
      <c r="BG3194" s="77"/>
      <c r="BH3194" s="77"/>
      <c r="BI3194" s="77"/>
    </row>
    <row r="3195" spans="1:61" x14ac:dyDescent="0.25">
      <c r="A3195" s="62" t="s">
        <v>1280</v>
      </c>
      <c r="B3195" s="62" t="s">
        <v>1280</v>
      </c>
      <c r="C3195" s="63"/>
      <c r="D3195" s="64"/>
      <c r="E3195" s="65"/>
      <c r="F3195" s="66"/>
      <c r="G3195" s="63"/>
      <c r="H3195" s="67"/>
      <c r="I3195" s="68"/>
      <c r="J3195" s="68"/>
      <c r="K3195" s="32"/>
      <c r="L3195" s="75">
        <v>3195</v>
      </c>
      <c r="M3195" s="75"/>
      <c r="N3195" s="70"/>
      <c r="O3195" s="77" t="s">
        <v>179</v>
      </c>
      <c r="P3195" s="79">
        <v>45064.764409722222</v>
      </c>
      <c r="Q3195" s="77" t="s">
        <v>4899</v>
      </c>
      <c r="R3195" s="77">
        <v>0</v>
      </c>
      <c r="S3195" s="77">
        <v>0</v>
      </c>
      <c r="T3195" s="77">
        <v>0</v>
      </c>
      <c r="U3195" s="77">
        <v>0</v>
      </c>
      <c r="V3195" s="77">
        <v>225</v>
      </c>
      <c r="W3195" s="80" t="s">
        <v>7875</v>
      </c>
      <c r="X3195" s="83" t="str">
        <f>HYPERLINK("https://www.diariojornada.com.ar/347213/economia/comercios_con_codigo_qr_deberan_aceptar_pagos_con_cualquier_billetera_digital?preview=1")</f>
        <v>https://www.diariojornada.com.ar/347213/economia/comercios_con_codigo_qr_deberan_aceptar_pagos_con_cualquier_billetera_digital?preview=1</v>
      </c>
      <c r="Y3195" s="77" t="s">
        <v>8624</v>
      </c>
      <c r="Z3195" s="77"/>
      <c r="AA3195" s="77"/>
      <c r="AB3195" s="77"/>
      <c r="AC3195" s="80" t="s">
        <v>10541</v>
      </c>
      <c r="AD3195" s="77" t="s">
        <v>10620</v>
      </c>
      <c r="AE3195" s="83" t="str">
        <f>HYPERLINK("https://twitter.com/jornadaweb/status/1659262764408348699")</f>
        <v>https://twitter.com/jornadaweb/status/1659262764408348699</v>
      </c>
      <c r="AF3195" s="79">
        <v>45064.764409722222</v>
      </c>
      <c r="AG3195" s="85">
        <v>45064</v>
      </c>
      <c r="AH3195" s="80" t="s">
        <v>13403</v>
      </c>
      <c r="AI3195" s="77" t="b">
        <v>0</v>
      </c>
      <c r="AJ3195" s="77"/>
      <c r="AK3195" s="77"/>
      <c r="AL3195" s="77"/>
      <c r="AM3195" s="77"/>
      <c r="AN3195" s="77"/>
      <c r="AO3195" s="77"/>
      <c r="AP3195" s="77"/>
      <c r="AQ3195" s="77"/>
      <c r="AR3195" s="77"/>
      <c r="AS3195" s="77"/>
      <c r="AT3195" s="77"/>
      <c r="AU3195" s="77"/>
      <c r="AV3195" s="83" t="str">
        <f>HYPERLINK("https://pbs.twimg.com/profile_images/1384132534225629199/jV7gk5T9_normal.jpg")</f>
        <v>https://pbs.twimg.com/profile_images/1384132534225629199/jV7gk5T9_normal.jpg</v>
      </c>
      <c r="AW3195" s="80" t="s">
        <v>18931</v>
      </c>
      <c r="AX3195" s="80" t="s">
        <v>18931</v>
      </c>
      <c r="AY3195" s="77"/>
      <c r="AZ3195" s="80" t="s">
        <v>20380</v>
      </c>
      <c r="BA3195" s="80" t="s">
        <v>20380</v>
      </c>
      <c r="BB3195" s="80" t="s">
        <v>20380</v>
      </c>
      <c r="BC3195" s="80" t="s">
        <v>18931</v>
      </c>
      <c r="BD3195" s="77">
        <v>250662294</v>
      </c>
      <c r="BE3195" s="77"/>
      <c r="BF3195" s="77"/>
      <c r="BG3195" s="77"/>
      <c r="BH3195" s="77"/>
      <c r="BI3195" s="77"/>
    </row>
    <row r="3196" spans="1:61" x14ac:dyDescent="0.25">
      <c r="A3196" s="62" t="s">
        <v>1280</v>
      </c>
      <c r="B3196" s="62" t="s">
        <v>1280</v>
      </c>
      <c r="C3196" s="63"/>
      <c r="D3196" s="64"/>
      <c r="E3196" s="65"/>
      <c r="F3196" s="66"/>
      <c r="G3196" s="63"/>
      <c r="H3196" s="67"/>
      <c r="I3196" s="68"/>
      <c r="J3196" s="68"/>
      <c r="K3196" s="32"/>
      <c r="L3196" s="75">
        <v>3196</v>
      </c>
      <c r="M3196" s="75"/>
      <c r="N3196" s="70"/>
      <c r="O3196" s="77" t="s">
        <v>179</v>
      </c>
      <c r="P3196" s="79">
        <v>45160.803796296299</v>
      </c>
      <c r="Q3196" s="77" t="s">
        <v>4900</v>
      </c>
      <c r="R3196" s="77">
        <v>0</v>
      </c>
      <c r="S3196" s="77">
        <v>0</v>
      </c>
      <c r="T3196" s="77">
        <v>0</v>
      </c>
      <c r="U3196" s="77">
        <v>0</v>
      </c>
      <c r="V3196" s="77">
        <v>276</v>
      </c>
      <c r="W3196" s="80" t="s">
        <v>7335</v>
      </c>
      <c r="X3196" s="83" t="str">
        <f>HYPERLINK("https://www.diariojornada.com.ar/353124/economia/el_central_volvio_a_comprar_dolares_y_suma_seis_jornadas_en_positivo?preview=1")</f>
        <v>https://www.diariojornada.com.ar/353124/economia/el_central_volvio_a_comprar_dolares_y_suma_seis_jornadas_en_positivo?preview=1</v>
      </c>
      <c r="Y3196" s="77" t="s">
        <v>8624</v>
      </c>
      <c r="Z3196" s="77"/>
      <c r="AA3196" s="77"/>
      <c r="AB3196" s="77"/>
      <c r="AC3196" s="80" t="s">
        <v>10541</v>
      </c>
      <c r="AD3196" s="77" t="s">
        <v>10620</v>
      </c>
      <c r="AE3196" s="83" t="str">
        <f>HYPERLINK("https://twitter.com/jornadaweb/status/1694066272764379283")</f>
        <v>https://twitter.com/jornadaweb/status/1694066272764379283</v>
      </c>
      <c r="AF3196" s="79">
        <v>45160.803796296299</v>
      </c>
      <c r="AG3196" s="85">
        <v>45160</v>
      </c>
      <c r="AH3196" s="80" t="s">
        <v>13404</v>
      </c>
      <c r="AI3196" s="77" t="b">
        <v>0</v>
      </c>
      <c r="AJ3196" s="77"/>
      <c r="AK3196" s="77"/>
      <c r="AL3196" s="77"/>
      <c r="AM3196" s="77"/>
      <c r="AN3196" s="77"/>
      <c r="AO3196" s="77"/>
      <c r="AP3196" s="77"/>
      <c r="AQ3196" s="77"/>
      <c r="AR3196" s="77"/>
      <c r="AS3196" s="77"/>
      <c r="AT3196" s="77"/>
      <c r="AU3196" s="77"/>
      <c r="AV3196" s="83" t="str">
        <f>HYPERLINK("https://pbs.twimg.com/profile_images/1384132534225629199/jV7gk5T9_normal.jpg")</f>
        <v>https://pbs.twimg.com/profile_images/1384132534225629199/jV7gk5T9_normal.jpg</v>
      </c>
      <c r="AW3196" s="80" t="s">
        <v>18932</v>
      </c>
      <c r="AX3196" s="80" t="s">
        <v>18932</v>
      </c>
      <c r="AY3196" s="77"/>
      <c r="AZ3196" s="80" t="s">
        <v>20380</v>
      </c>
      <c r="BA3196" s="80" t="s">
        <v>20380</v>
      </c>
      <c r="BB3196" s="80" t="s">
        <v>20380</v>
      </c>
      <c r="BC3196" s="80" t="s">
        <v>18932</v>
      </c>
      <c r="BD3196" s="77">
        <v>250662294</v>
      </c>
      <c r="BE3196" s="77"/>
      <c r="BF3196" s="77"/>
      <c r="BG3196" s="77"/>
      <c r="BH3196" s="77"/>
      <c r="BI3196" s="77"/>
    </row>
    <row r="3197" spans="1:61" x14ac:dyDescent="0.25">
      <c r="A3197" s="62" t="s">
        <v>1280</v>
      </c>
      <c r="B3197" s="62" t="s">
        <v>1280</v>
      </c>
      <c r="C3197" s="63"/>
      <c r="D3197" s="64"/>
      <c r="E3197" s="65"/>
      <c r="F3197" s="66"/>
      <c r="G3197" s="63"/>
      <c r="H3197" s="67"/>
      <c r="I3197" s="68"/>
      <c r="J3197" s="68"/>
      <c r="K3197" s="32"/>
      <c r="L3197" s="75">
        <v>3197</v>
      </c>
      <c r="M3197" s="75"/>
      <c r="N3197" s="70"/>
      <c r="O3197" s="77" t="s">
        <v>179</v>
      </c>
      <c r="P3197" s="79">
        <v>45078.911585648151</v>
      </c>
      <c r="Q3197" s="77" t="s">
        <v>4901</v>
      </c>
      <c r="R3197" s="77">
        <v>0</v>
      </c>
      <c r="S3197" s="77">
        <v>0</v>
      </c>
      <c r="T3197" s="77">
        <v>0</v>
      </c>
      <c r="U3197" s="77">
        <v>0</v>
      </c>
      <c r="V3197" s="77">
        <v>324</v>
      </c>
      <c r="W3197" s="80" t="s">
        <v>7876</v>
      </c>
      <c r="X3197" s="83" t="str">
        <f>HYPERLINK("https://www.diariojornada.com.ar/348066/economia/el_banco_central_obligara_a_las_provincias_a_usar_dolares_propios_para_pagar_deudas")</f>
        <v>https://www.diariojornada.com.ar/348066/economia/el_banco_central_obligara_a_las_provincias_a_usar_dolares_propios_para_pagar_deudas</v>
      </c>
      <c r="Y3197" s="77" t="s">
        <v>8624</v>
      </c>
      <c r="Z3197" s="77"/>
      <c r="AA3197" s="77" t="s">
        <v>10090</v>
      </c>
      <c r="AB3197" s="77" t="s">
        <v>10535</v>
      </c>
      <c r="AC3197" s="80" t="s">
        <v>10541</v>
      </c>
      <c r="AD3197" s="77" t="s">
        <v>10620</v>
      </c>
      <c r="AE3197" s="83" t="str">
        <f>HYPERLINK("https://twitter.com/jornadaweb/status/1664389530860888064")</f>
        <v>https://twitter.com/jornadaweb/status/1664389530860888064</v>
      </c>
      <c r="AF3197" s="79">
        <v>45078.911585648151</v>
      </c>
      <c r="AG3197" s="85">
        <v>45078</v>
      </c>
      <c r="AH3197" s="80" t="s">
        <v>13405</v>
      </c>
      <c r="AI3197" s="77" t="b">
        <v>0</v>
      </c>
      <c r="AJ3197" s="77"/>
      <c r="AK3197" s="77"/>
      <c r="AL3197" s="77"/>
      <c r="AM3197" s="77"/>
      <c r="AN3197" s="77"/>
      <c r="AO3197" s="77"/>
      <c r="AP3197" s="77"/>
      <c r="AQ3197" s="77" t="s">
        <v>15571</v>
      </c>
      <c r="AR3197" s="77"/>
      <c r="AS3197" s="77"/>
      <c r="AT3197" s="77"/>
      <c r="AU3197" s="77"/>
      <c r="AV3197" s="83" t="str">
        <f>HYPERLINK("https://pbs.twimg.com/media/FxkZcvaXsAIZk0O.jpg")</f>
        <v>https://pbs.twimg.com/media/FxkZcvaXsAIZk0O.jpg</v>
      </c>
      <c r="AW3197" s="80" t="s">
        <v>18933</v>
      </c>
      <c r="AX3197" s="80" t="s">
        <v>18933</v>
      </c>
      <c r="AY3197" s="77"/>
      <c r="AZ3197" s="80" t="s">
        <v>20380</v>
      </c>
      <c r="BA3197" s="80" t="s">
        <v>20380</v>
      </c>
      <c r="BB3197" s="80" t="s">
        <v>20380</v>
      </c>
      <c r="BC3197" s="80" t="s">
        <v>18933</v>
      </c>
      <c r="BD3197" s="77">
        <v>250662294</v>
      </c>
      <c r="BE3197" s="77"/>
      <c r="BF3197" s="77"/>
      <c r="BG3197" s="77"/>
      <c r="BH3197" s="77"/>
      <c r="BI3197" s="77"/>
    </row>
    <row r="3198" spans="1:61" x14ac:dyDescent="0.25">
      <c r="A3198" s="62" t="s">
        <v>1280</v>
      </c>
      <c r="B3198" s="62" t="s">
        <v>1280</v>
      </c>
      <c r="C3198" s="63"/>
      <c r="D3198" s="64"/>
      <c r="E3198" s="65"/>
      <c r="F3198" s="66"/>
      <c r="G3198" s="63"/>
      <c r="H3198" s="67"/>
      <c r="I3198" s="68"/>
      <c r="J3198" s="68"/>
      <c r="K3198" s="32"/>
      <c r="L3198" s="75">
        <v>3198</v>
      </c>
      <c r="M3198" s="75"/>
      <c r="N3198" s="70"/>
      <c r="O3198" s="77" t="s">
        <v>179</v>
      </c>
      <c r="P3198" s="79">
        <v>45061.644652777781</v>
      </c>
      <c r="Q3198" s="77" t="s">
        <v>4902</v>
      </c>
      <c r="R3198" s="77">
        <v>0</v>
      </c>
      <c r="S3198" s="77">
        <v>0</v>
      </c>
      <c r="T3198" s="77">
        <v>0</v>
      </c>
      <c r="U3198" s="77">
        <v>0</v>
      </c>
      <c r="V3198" s="77">
        <v>227</v>
      </c>
      <c r="W3198" s="80" t="s">
        <v>7877</v>
      </c>
      <c r="X3198" s="83" t="str">
        <f>HYPERLINK("https://www.diariojornada.com.ar/347015/economia/el_central_elevo_la_tasa_de_interes_para_plazos_fijos_al_97_anual?preview=1")</f>
        <v>https://www.diariojornada.com.ar/347015/economia/el_central_elevo_la_tasa_de_interes_para_plazos_fijos_al_97_anual?preview=1</v>
      </c>
      <c r="Y3198" s="77" t="s">
        <v>8624</v>
      </c>
      <c r="Z3198" s="77"/>
      <c r="AA3198" s="77"/>
      <c r="AB3198" s="77"/>
      <c r="AC3198" s="80" t="s">
        <v>10541</v>
      </c>
      <c r="AD3198" s="77" t="s">
        <v>10620</v>
      </c>
      <c r="AE3198" s="83" t="str">
        <f>HYPERLINK("https://twitter.com/jornadaweb/status/1658132202553593858")</f>
        <v>https://twitter.com/jornadaweb/status/1658132202553593858</v>
      </c>
      <c r="AF3198" s="79">
        <v>45061.644652777781</v>
      </c>
      <c r="AG3198" s="85">
        <v>45061</v>
      </c>
      <c r="AH3198" s="80" t="s">
        <v>13406</v>
      </c>
      <c r="AI3198" s="77" t="b">
        <v>0</v>
      </c>
      <c r="AJ3198" s="77"/>
      <c r="AK3198" s="77"/>
      <c r="AL3198" s="77"/>
      <c r="AM3198" s="77"/>
      <c r="AN3198" s="77"/>
      <c r="AO3198" s="77"/>
      <c r="AP3198" s="77"/>
      <c r="AQ3198" s="77"/>
      <c r="AR3198" s="77"/>
      <c r="AS3198" s="77"/>
      <c r="AT3198" s="77"/>
      <c r="AU3198" s="77"/>
      <c r="AV3198" s="83" t="str">
        <f>HYPERLINK("https://pbs.twimg.com/profile_images/1384132534225629199/jV7gk5T9_normal.jpg")</f>
        <v>https://pbs.twimg.com/profile_images/1384132534225629199/jV7gk5T9_normal.jpg</v>
      </c>
      <c r="AW3198" s="80" t="s">
        <v>18934</v>
      </c>
      <c r="AX3198" s="80" t="s">
        <v>18934</v>
      </c>
      <c r="AY3198" s="77"/>
      <c r="AZ3198" s="80" t="s">
        <v>20380</v>
      </c>
      <c r="BA3198" s="80" t="s">
        <v>20380</v>
      </c>
      <c r="BB3198" s="80" t="s">
        <v>20380</v>
      </c>
      <c r="BC3198" s="80" t="s">
        <v>18934</v>
      </c>
      <c r="BD3198" s="77">
        <v>250662294</v>
      </c>
      <c r="BE3198" s="77"/>
      <c r="BF3198" s="77"/>
      <c r="BG3198" s="77"/>
      <c r="BH3198" s="77"/>
      <c r="BI3198" s="77"/>
    </row>
    <row r="3199" spans="1:61" x14ac:dyDescent="0.25">
      <c r="A3199" s="62" t="s">
        <v>1280</v>
      </c>
      <c r="B3199" s="62" t="s">
        <v>1280</v>
      </c>
      <c r="C3199" s="63"/>
      <c r="D3199" s="64"/>
      <c r="E3199" s="65"/>
      <c r="F3199" s="66"/>
      <c r="G3199" s="63"/>
      <c r="H3199" s="67"/>
      <c r="I3199" s="68"/>
      <c r="J3199" s="68"/>
      <c r="K3199" s="32"/>
      <c r="L3199" s="75">
        <v>3199</v>
      </c>
      <c r="M3199" s="75"/>
      <c r="N3199" s="70"/>
      <c r="O3199" s="77" t="s">
        <v>179</v>
      </c>
      <c r="P3199" s="79">
        <v>45166.803344907406</v>
      </c>
      <c r="Q3199" s="77" t="s">
        <v>4903</v>
      </c>
      <c r="R3199" s="77">
        <v>0</v>
      </c>
      <c r="S3199" s="77">
        <v>0</v>
      </c>
      <c r="T3199" s="77">
        <v>0</v>
      </c>
      <c r="U3199" s="77">
        <v>0</v>
      </c>
      <c r="V3199" s="77">
        <v>234</v>
      </c>
      <c r="W3199" s="80" t="s">
        <v>7335</v>
      </c>
      <c r="X3199" s="83" t="str">
        <f>HYPERLINK("https://www.diariojornada.com.ar/353457/economia/el_banco_central_suma_diez_jornadas_consecutivas_con_saldo_positivo?preview=1")</f>
        <v>https://www.diariojornada.com.ar/353457/economia/el_banco_central_suma_diez_jornadas_consecutivas_con_saldo_positivo?preview=1</v>
      </c>
      <c r="Y3199" s="77" t="s">
        <v>8624</v>
      </c>
      <c r="Z3199" s="77"/>
      <c r="AA3199" s="77"/>
      <c r="AB3199" s="77"/>
      <c r="AC3199" s="80" t="s">
        <v>10541</v>
      </c>
      <c r="AD3199" s="77" t="s">
        <v>10620</v>
      </c>
      <c r="AE3199" s="83" t="str">
        <f>HYPERLINK("https://twitter.com/jornadaweb/status/1696240438489829681")</f>
        <v>https://twitter.com/jornadaweb/status/1696240438489829681</v>
      </c>
      <c r="AF3199" s="79">
        <v>45166.803344907406</v>
      </c>
      <c r="AG3199" s="85">
        <v>45166</v>
      </c>
      <c r="AH3199" s="80" t="s">
        <v>13407</v>
      </c>
      <c r="AI3199" s="77" t="b">
        <v>0</v>
      </c>
      <c r="AJ3199" s="77"/>
      <c r="AK3199" s="77"/>
      <c r="AL3199" s="77"/>
      <c r="AM3199" s="77"/>
      <c r="AN3199" s="77"/>
      <c r="AO3199" s="77"/>
      <c r="AP3199" s="77"/>
      <c r="AQ3199" s="77"/>
      <c r="AR3199" s="77"/>
      <c r="AS3199" s="77"/>
      <c r="AT3199" s="77"/>
      <c r="AU3199" s="77"/>
      <c r="AV3199" s="83" t="str">
        <f>HYPERLINK("https://pbs.twimg.com/profile_images/1384132534225629199/jV7gk5T9_normal.jpg")</f>
        <v>https://pbs.twimg.com/profile_images/1384132534225629199/jV7gk5T9_normal.jpg</v>
      </c>
      <c r="AW3199" s="80" t="s">
        <v>18935</v>
      </c>
      <c r="AX3199" s="80" t="s">
        <v>18935</v>
      </c>
      <c r="AY3199" s="77"/>
      <c r="AZ3199" s="80" t="s">
        <v>20380</v>
      </c>
      <c r="BA3199" s="80" t="s">
        <v>20380</v>
      </c>
      <c r="BB3199" s="80" t="s">
        <v>20380</v>
      </c>
      <c r="BC3199" s="80" t="s">
        <v>18935</v>
      </c>
      <c r="BD3199" s="77">
        <v>250662294</v>
      </c>
      <c r="BE3199" s="77"/>
      <c r="BF3199" s="77"/>
      <c r="BG3199" s="77"/>
      <c r="BH3199" s="77"/>
      <c r="BI3199" s="77"/>
    </row>
    <row r="3200" spans="1:61" x14ac:dyDescent="0.25">
      <c r="A3200" s="62" t="s">
        <v>1280</v>
      </c>
      <c r="B3200" s="62" t="s">
        <v>1280</v>
      </c>
      <c r="C3200" s="63"/>
      <c r="D3200" s="64"/>
      <c r="E3200" s="65"/>
      <c r="F3200" s="66"/>
      <c r="G3200" s="63"/>
      <c r="H3200" s="67"/>
      <c r="I3200" s="68"/>
      <c r="J3200" s="68"/>
      <c r="K3200" s="32"/>
      <c r="L3200" s="75">
        <v>3200</v>
      </c>
      <c r="M3200" s="75"/>
      <c r="N3200" s="70"/>
      <c r="O3200" s="77" t="s">
        <v>179</v>
      </c>
      <c r="P3200" s="79">
        <v>45072.685960648145</v>
      </c>
      <c r="Q3200" s="77" t="s">
        <v>4904</v>
      </c>
      <c r="R3200" s="77">
        <v>0</v>
      </c>
      <c r="S3200" s="77">
        <v>0</v>
      </c>
      <c r="T3200" s="77">
        <v>0</v>
      </c>
      <c r="U3200" s="77">
        <v>0</v>
      </c>
      <c r="V3200" s="77">
        <v>256</v>
      </c>
      <c r="W3200" s="80" t="s">
        <v>7335</v>
      </c>
      <c r="X3200" s="83" t="str">
        <f>HYPERLINK("https://www.diariojornada.com.ar/347688/economia/el_banco_central_lleva_tres_semanas_consecutivas_de_compras?preview=1")</f>
        <v>https://www.diariojornada.com.ar/347688/economia/el_banco_central_lleva_tres_semanas_consecutivas_de_compras?preview=1</v>
      </c>
      <c r="Y3200" s="77" t="s">
        <v>8624</v>
      </c>
      <c r="Z3200" s="77"/>
      <c r="AA3200" s="77"/>
      <c r="AB3200" s="77"/>
      <c r="AC3200" s="80" t="s">
        <v>10541</v>
      </c>
      <c r="AD3200" s="77" t="s">
        <v>10620</v>
      </c>
      <c r="AE3200" s="83" t="str">
        <f>HYPERLINK("https://twitter.com/jornadaweb/status/1662133439699599367")</f>
        <v>https://twitter.com/jornadaweb/status/1662133439699599367</v>
      </c>
      <c r="AF3200" s="79">
        <v>45072.685960648145</v>
      </c>
      <c r="AG3200" s="85">
        <v>45072</v>
      </c>
      <c r="AH3200" s="80" t="s">
        <v>13408</v>
      </c>
      <c r="AI3200" s="77" t="b">
        <v>0</v>
      </c>
      <c r="AJ3200" s="77"/>
      <c r="AK3200" s="77"/>
      <c r="AL3200" s="77"/>
      <c r="AM3200" s="77"/>
      <c r="AN3200" s="77"/>
      <c r="AO3200" s="77"/>
      <c r="AP3200" s="77"/>
      <c r="AQ3200" s="77"/>
      <c r="AR3200" s="77"/>
      <c r="AS3200" s="77"/>
      <c r="AT3200" s="77"/>
      <c r="AU3200" s="77"/>
      <c r="AV3200" s="83" t="str">
        <f>HYPERLINK("https://pbs.twimg.com/profile_images/1384132534225629199/jV7gk5T9_normal.jpg")</f>
        <v>https://pbs.twimg.com/profile_images/1384132534225629199/jV7gk5T9_normal.jpg</v>
      </c>
      <c r="AW3200" s="80" t="s">
        <v>18936</v>
      </c>
      <c r="AX3200" s="80" t="s">
        <v>18936</v>
      </c>
      <c r="AY3200" s="77"/>
      <c r="AZ3200" s="80" t="s">
        <v>20380</v>
      </c>
      <c r="BA3200" s="80" t="s">
        <v>20380</v>
      </c>
      <c r="BB3200" s="80" t="s">
        <v>20380</v>
      </c>
      <c r="BC3200" s="80" t="s">
        <v>18936</v>
      </c>
      <c r="BD3200" s="77">
        <v>250662294</v>
      </c>
      <c r="BE3200" s="77"/>
      <c r="BF3200" s="77"/>
      <c r="BG3200" s="77"/>
      <c r="BH3200" s="77"/>
      <c r="BI3200" s="77"/>
    </row>
    <row r="3201" spans="1:61" x14ac:dyDescent="0.25">
      <c r="A3201" s="62" t="s">
        <v>1280</v>
      </c>
      <c r="B3201" s="62" t="s">
        <v>1280</v>
      </c>
      <c r="C3201" s="63"/>
      <c r="D3201" s="64"/>
      <c r="E3201" s="65"/>
      <c r="F3201" s="66"/>
      <c r="G3201" s="63"/>
      <c r="H3201" s="67"/>
      <c r="I3201" s="68"/>
      <c r="J3201" s="68"/>
      <c r="K3201" s="32"/>
      <c r="L3201" s="75">
        <v>3201</v>
      </c>
      <c r="M3201" s="75"/>
      <c r="N3201" s="70"/>
      <c r="O3201" s="77" t="s">
        <v>179</v>
      </c>
      <c r="P3201" s="79">
        <v>45191.953425925924</v>
      </c>
      <c r="Q3201" s="77" t="s">
        <v>4905</v>
      </c>
      <c r="R3201" s="77">
        <v>0</v>
      </c>
      <c r="S3201" s="77">
        <v>0</v>
      </c>
      <c r="T3201" s="77">
        <v>0</v>
      </c>
      <c r="U3201" s="77">
        <v>0</v>
      </c>
      <c r="V3201" s="77">
        <v>156</v>
      </c>
      <c r="W3201" s="80" t="s">
        <v>7878</v>
      </c>
      <c r="X3201" s="83" t="str">
        <f>HYPERLINK("https://www.diariojornada.com.ar/355009/politica/milei_eligio_a_emilio_ocampo_para_cerrar_el_banco_central")</f>
        <v>https://www.diariojornada.com.ar/355009/politica/milei_eligio_a_emilio_ocampo_para_cerrar_el_banco_central</v>
      </c>
      <c r="Y3201" s="77" t="s">
        <v>8624</v>
      </c>
      <c r="Z3201" s="77"/>
      <c r="AA3201" s="77" t="s">
        <v>10091</v>
      </c>
      <c r="AB3201" s="77" t="s">
        <v>10535</v>
      </c>
      <c r="AC3201" s="80" t="s">
        <v>10541</v>
      </c>
      <c r="AD3201" s="77" t="s">
        <v>10620</v>
      </c>
      <c r="AE3201" s="83" t="str">
        <f>HYPERLINK("https://twitter.com/jornadaweb/status/1705354520866205699")</f>
        <v>https://twitter.com/jornadaweb/status/1705354520866205699</v>
      </c>
      <c r="AF3201" s="79">
        <v>45191.953425925924</v>
      </c>
      <c r="AG3201" s="85">
        <v>45191</v>
      </c>
      <c r="AH3201" s="80" t="s">
        <v>13312</v>
      </c>
      <c r="AI3201" s="77" t="b">
        <v>0</v>
      </c>
      <c r="AJ3201" s="77"/>
      <c r="AK3201" s="77"/>
      <c r="AL3201" s="77"/>
      <c r="AM3201" s="77"/>
      <c r="AN3201" s="77"/>
      <c r="AO3201" s="77"/>
      <c r="AP3201" s="77"/>
      <c r="AQ3201" s="77" t="s">
        <v>15572</v>
      </c>
      <c r="AR3201" s="77"/>
      <c r="AS3201" s="77"/>
      <c r="AT3201" s="77"/>
      <c r="AU3201" s="77"/>
      <c r="AV3201" s="83" t="str">
        <f>HYPERLINK("https://pbs.twimg.com/media/F6qi5CnXEAApSLI.jpg")</f>
        <v>https://pbs.twimg.com/media/F6qi5CnXEAApSLI.jpg</v>
      </c>
      <c r="AW3201" s="80" t="s">
        <v>18937</v>
      </c>
      <c r="AX3201" s="80" t="s">
        <v>18937</v>
      </c>
      <c r="AY3201" s="77"/>
      <c r="AZ3201" s="80" t="s">
        <v>20380</v>
      </c>
      <c r="BA3201" s="80" t="s">
        <v>20380</v>
      </c>
      <c r="BB3201" s="80" t="s">
        <v>20380</v>
      </c>
      <c r="BC3201" s="80" t="s">
        <v>18937</v>
      </c>
      <c r="BD3201" s="77">
        <v>250662294</v>
      </c>
      <c r="BE3201" s="77"/>
      <c r="BF3201" s="77"/>
      <c r="BG3201" s="77"/>
      <c r="BH3201" s="77"/>
      <c r="BI3201" s="77"/>
    </row>
    <row r="3202" spans="1:61" x14ac:dyDescent="0.25">
      <c r="A3202" s="62" t="s">
        <v>1280</v>
      </c>
      <c r="B3202" s="62" t="s">
        <v>1280</v>
      </c>
      <c r="C3202" s="63"/>
      <c r="D3202" s="64"/>
      <c r="E3202" s="65"/>
      <c r="F3202" s="66"/>
      <c r="G3202" s="63"/>
      <c r="H3202" s="67"/>
      <c r="I3202" s="68"/>
      <c r="J3202" s="68"/>
      <c r="K3202" s="32"/>
      <c r="L3202" s="75">
        <v>3202</v>
      </c>
      <c r="M3202" s="75"/>
      <c r="N3202" s="70"/>
      <c r="O3202" s="77" t="s">
        <v>179</v>
      </c>
      <c r="P3202" s="79">
        <v>45154.800891203704</v>
      </c>
      <c r="Q3202" s="77" t="s">
        <v>4906</v>
      </c>
      <c r="R3202" s="77">
        <v>0</v>
      </c>
      <c r="S3202" s="77">
        <v>0</v>
      </c>
      <c r="T3202" s="77">
        <v>0</v>
      </c>
      <c r="U3202" s="77">
        <v>0</v>
      </c>
      <c r="V3202" s="77">
        <v>197</v>
      </c>
      <c r="W3202" s="80" t="s">
        <v>7335</v>
      </c>
      <c r="X3202" s="83" t="str">
        <f>HYPERLINK("https://www.diariojornada.com.ar/352808/economia/otra_vez_el_banco_central_compro_mas_de_cien_millones_de_dolares?preview=1")</f>
        <v>https://www.diariojornada.com.ar/352808/economia/otra_vez_el_banco_central_compro_mas_de_cien_millones_de_dolares?preview=1</v>
      </c>
      <c r="Y3202" s="77" t="s">
        <v>8624</v>
      </c>
      <c r="Z3202" s="77"/>
      <c r="AA3202" s="77"/>
      <c r="AB3202" s="77"/>
      <c r="AC3202" s="80" t="s">
        <v>10541</v>
      </c>
      <c r="AD3202" s="77" t="s">
        <v>10620</v>
      </c>
      <c r="AE3202" s="83" t="str">
        <f>HYPERLINK("https://twitter.com/jornadaweb/status/1691890893966504083")</f>
        <v>https://twitter.com/jornadaweb/status/1691890893966504083</v>
      </c>
      <c r="AF3202" s="79">
        <v>45154.800891203704</v>
      </c>
      <c r="AG3202" s="85">
        <v>45154</v>
      </c>
      <c r="AH3202" s="80" t="s">
        <v>13409</v>
      </c>
      <c r="AI3202" s="77" t="b">
        <v>0</v>
      </c>
      <c r="AJ3202" s="77"/>
      <c r="AK3202" s="77"/>
      <c r="AL3202" s="77"/>
      <c r="AM3202" s="77"/>
      <c r="AN3202" s="77"/>
      <c r="AO3202" s="77"/>
      <c r="AP3202" s="77"/>
      <c r="AQ3202" s="77"/>
      <c r="AR3202" s="77"/>
      <c r="AS3202" s="77"/>
      <c r="AT3202" s="77"/>
      <c r="AU3202" s="77"/>
      <c r="AV3202" s="83" t="str">
        <f>HYPERLINK("https://pbs.twimg.com/profile_images/1384132534225629199/jV7gk5T9_normal.jpg")</f>
        <v>https://pbs.twimg.com/profile_images/1384132534225629199/jV7gk5T9_normal.jpg</v>
      </c>
      <c r="AW3202" s="80" t="s">
        <v>18938</v>
      </c>
      <c r="AX3202" s="80" t="s">
        <v>18938</v>
      </c>
      <c r="AY3202" s="77"/>
      <c r="AZ3202" s="80" t="s">
        <v>20380</v>
      </c>
      <c r="BA3202" s="80" t="s">
        <v>20380</v>
      </c>
      <c r="BB3202" s="80" t="s">
        <v>20380</v>
      </c>
      <c r="BC3202" s="80" t="s">
        <v>18938</v>
      </c>
      <c r="BD3202" s="77">
        <v>250662294</v>
      </c>
      <c r="BE3202" s="77"/>
      <c r="BF3202" s="77"/>
      <c r="BG3202" s="77"/>
      <c r="BH3202" s="77"/>
      <c r="BI3202" s="77"/>
    </row>
    <row r="3203" spans="1:61" x14ac:dyDescent="0.25">
      <c r="A3203" s="62" t="s">
        <v>1280</v>
      </c>
      <c r="B3203" s="62" t="s">
        <v>1280</v>
      </c>
      <c r="C3203" s="63"/>
      <c r="D3203" s="64"/>
      <c r="E3203" s="65"/>
      <c r="F3203" s="66"/>
      <c r="G3203" s="63"/>
      <c r="H3203" s="67"/>
      <c r="I3203" s="68"/>
      <c r="J3203" s="68"/>
      <c r="K3203" s="32"/>
      <c r="L3203" s="75">
        <v>3203</v>
      </c>
      <c r="M3203" s="75"/>
      <c r="N3203" s="70"/>
      <c r="O3203" s="77" t="s">
        <v>179</v>
      </c>
      <c r="P3203" s="79">
        <v>45121.813715277778</v>
      </c>
      <c r="Q3203" s="77" t="s">
        <v>4907</v>
      </c>
      <c r="R3203" s="77">
        <v>0</v>
      </c>
      <c r="S3203" s="77">
        <v>0</v>
      </c>
      <c r="T3203" s="77">
        <v>0</v>
      </c>
      <c r="U3203" s="77">
        <v>0</v>
      </c>
      <c r="V3203" s="77">
        <v>167</v>
      </c>
      <c r="W3203" s="80" t="s">
        <v>7335</v>
      </c>
      <c r="X3203" s="83" t="str">
        <f>HYPERLINK("https://www.diariojornada.com.ar/350757/economia/el_bcra_compro_us_49_millones_y_cerro_la_semana_en_positivo?preview=1")</f>
        <v>https://www.diariojornada.com.ar/350757/economia/el_bcra_compro_us_49_millones_y_cerro_la_semana_en_positivo?preview=1</v>
      </c>
      <c r="Y3203" s="77" t="s">
        <v>8624</v>
      </c>
      <c r="Z3203" s="77"/>
      <c r="AA3203" s="77"/>
      <c r="AB3203" s="77"/>
      <c r="AC3203" s="80" t="s">
        <v>10541</v>
      </c>
      <c r="AD3203" s="77" t="s">
        <v>10620</v>
      </c>
      <c r="AE3203" s="83" t="str">
        <f>HYPERLINK("https://twitter.com/jornadaweb/status/1679936741644353558")</f>
        <v>https://twitter.com/jornadaweb/status/1679936741644353558</v>
      </c>
      <c r="AF3203" s="79">
        <v>45121.813715277778</v>
      </c>
      <c r="AG3203" s="85">
        <v>45121</v>
      </c>
      <c r="AH3203" s="80" t="s">
        <v>13410</v>
      </c>
      <c r="AI3203" s="77" t="b">
        <v>0</v>
      </c>
      <c r="AJ3203" s="77"/>
      <c r="AK3203" s="77"/>
      <c r="AL3203" s="77"/>
      <c r="AM3203" s="77"/>
      <c r="AN3203" s="77"/>
      <c r="AO3203" s="77"/>
      <c r="AP3203" s="77"/>
      <c r="AQ3203" s="77"/>
      <c r="AR3203" s="77"/>
      <c r="AS3203" s="77"/>
      <c r="AT3203" s="77"/>
      <c r="AU3203" s="77"/>
      <c r="AV3203" s="83" t="str">
        <f>HYPERLINK("https://pbs.twimg.com/profile_images/1384132534225629199/jV7gk5T9_normal.jpg")</f>
        <v>https://pbs.twimg.com/profile_images/1384132534225629199/jV7gk5T9_normal.jpg</v>
      </c>
      <c r="AW3203" s="80" t="s">
        <v>18939</v>
      </c>
      <c r="AX3203" s="80" t="s">
        <v>18939</v>
      </c>
      <c r="AY3203" s="77"/>
      <c r="AZ3203" s="80" t="s">
        <v>20380</v>
      </c>
      <c r="BA3203" s="80" t="s">
        <v>20380</v>
      </c>
      <c r="BB3203" s="80" t="s">
        <v>20380</v>
      </c>
      <c r="BC3203" s="80" t="s">
        <v>18939</v>
      </c>
      <c r="BD3203" s="77">
        <v>250662294</v>
      </c>
      <c r="BE3203" s="77"/>
      <c r="BF3203" s="77"/>
      <c r="BG3203" s="77"/>
      <c r="BH3203" s="77"/>
      <c r="BI3203" s="77"/>
    </row>
    <row r="3204" spans="1:61" x14ac:dyDescent="0.25">
      <c r="A3204" s="62" t="s">
        <v>1281</v>
      </c>
      <c r="B3204" s="62" t="s">
        <v>1281</v>
      </c>
      <c r="C3204" s="63"/>
      <c r="D3204" s="64"/>
      <c r="E3204" s="65"/>
      <c r="F3204" s="66"/>
      <c r="G3204" s="63"/>
      <c r="H3204" s="67"/>
      <c r="I3204" s="68"/>
      <c r="J3204" s="68"/>
      <c r="K3204" s="32"/>
      <c r="L3204" s="75">
        <v>3204</v>
      </c>
      <c r="M3204" s="75"/>
      <c r="N3204" s="70"/>
      <c r="O3204" s="77" t="s">
        <v>179</v>
      </c>
      <c r="P3204" s="79">
        <v>45118.4766087963</v>
      </c>
      <c r="Q3204" s="77" t="s">
        <v>4908</v>
      </c>
      <c r="R3204" s="77">
        <v>0</v>
      </c>
      <c r="S3204" s="77">
        <v>0</v>
      </c>
      <c r="T3204" s="77">
        <v>0</v>
      </c>
      <c r="U3204" s="77">
        <v>0</v>
      </c>
      <c r="V3204" s="77">
        <v>9</v>
      </c>
      <c r="W3204" s="80" t="s">
        <v>7879</v>
      </c>
      <c r="X3204" s="77"/>
      <c r="Y3204" s="77"/>
      <c r="Z3204" s="77"/>
      <c r="AA3204" s="77"/>
      <c r="AB3204" s="77"/>
      <c r="AC3204" s="80" t="s">
        <v>10540</v>
      </c>
      <c r="AD3204" s="77" t="s">
        <v>10617</v>
      </c>
      <c r="AE3204" s="83" t="str">
        <f>HYPERLINK("https://twitter.com/instdesenvolvi_/status/1678727416217321472")</f>
        <v>https://twitter.com/instdesenvolvi_/status/1678727416217321472</v>
      </c>
      <c r="AF3204" s="79">
        <v>45118.4766087963</v>
      </c>
      <c r="AG3204" s="85">
        <v>45118</v>
      </c>
      <c r="AH3204" s="80" t="s">
        <v>13411</v>
      </c>
      <c r="AI3204" s="77"/>
      <c r="AJ3204" s="77"/>
      <c r="AK3204" s="77"/>
      <c r="AL3204" s="77"/>
      <c r="AM3204" s="77"/>
      <c r="AN3204" s="77"/>
      <c r="AO3204" s="77"/>
      <c r="AP3204" s="77"/>
      <c r="AQ3204" s="77"/>
      <c r="AR3204" s="77"/>
      <c r="AS3204" s="77"/>
      <c r="AT3204" s="77"/>
      <c r="AU3204" s="77"/>
      <c r="AV3204" s="83" t="str">
        <f>HYPERLINK("https://pbs.twimg.com/profile_images/1641605987223085056/NgQ1kah-_normal.jpg")</f>
        <v>https://pbs.twimg.com/profile_images/1641605987223085056/NgQ1kah-_normal.jpg</v>
      </c>
      <c r="AW3204" s="80" t="s">
        <v>18940</v>
      </c>
      <c r="AX3204" s="80" t="s">
        <v>18940</v>
      </c>
      <c r="AY3204" s="77"/>
      <c r="AZ3204" s="80" t="s">
        <v>20380</v>
      </c>
      <c r="BA3204" s="80" t="s">
        <v>20380</v>
      </c>
      <c r="BB3204" s="80" t="s">
        <v>20380</v>
      </c>
      <c r="BC3204" s="80" t="s">
        <v>18940</v>
      </c>
      <c r="BD3204" s="80" t="s">
        <v>21014</v>
      </c>
      <c r="BE3204" s="77"/>
      <c r="BF3204" s="77"/>
      <c r="BG3204" s="77"/>
      <c r="BH3204" s="77"/>
      <c r="BI3204" s="77"/>
    </row>
    <row r="3205" spans="1:61" x14ac:dyDescent="0.25">
      <c r="A3205" s="62" t="s">
        <v>1281</v>
      </c>
      <c r="B3205" s="62" t="s">
        <v>1281</v>
      </c>
      <c r="C3205" s="63"/>
      <c r="D3205" s="64"/>
      <c r="E3205" s="65"/>
      <c r="F3205" s="66"/>
      <c r="G3205" s="63"/>
      <c r="H3205" s="67"/>
      <c r="I3205" s="68"/>
      <c r="J3205" s="68"/>
      <c r="K3205" s="32"/>
      <c r="L3205" s="75">
        <v>3205</v>
      </c>
      <c r="M3205" s="75"/>
      <c r="N3205" s="70"/>
      <c r="O3205" s="77" t="s">
        <v>179</v>
      </c>
      <c r="P3205" s="79">
        <v>45115.763611111113</v>
      </c>
      <c r="Q3205" s="77" t="s">
        <v>4909</v>
      </c>
      <c r="R3205" s="77">
        <v>0</v>
      </c>
      <c r="S3205" s="77">
        <v>1</v>
      </c>
      <c r="T3205" s="77">
        <v>0</v>
      </c>
      <c r="U3205" s="77">
        <v>0</v>
      </c>
      <c r="V3205" s="77">
        <v>276</v>
      </c>
      <c r="W3205" s="80" t="s">
        <v>7880</v>
      </c>
      <c r="X3205" s="77"/>
      <c r="Y3205" s="77"/>
      <c r="Z3205" s="77"/>
      <c r="AA3205" s="77" t="s">
        <v>10092</v>
      </c>
      <c r="AB3205" s="77" t="s">
        <v>10534</v>
      </c>
      <c r="AC3205" s="80" t="s">
        <v>10540</v>
      </c>
      <c r="AD3205" s="77" t="s">
        <v>10617</v>
      </c>
      <c r="AE3205" s="83" t="str">
        <f>HYPERLINK("https://twitter.com/instdesenvolvi_/status/1677744255446417409")</f>
        <v>https://twitter.com/instdesenvolvi_/status/1677744255446417409</v>
      </c>
      <c r="AF3205" s="79">
        <v>45115.763611111113</v>
      </c>
      <c r="AG3205" s="85">
        <v>45115</v>
      </c>
      <c r="AH3205" s="80" t="s">
        <v>13412</v>
      </c>
      <c r="AI3205" s="77" t="b">
        <v>0</v>
      </c>
      <c r="AJ3205" s="77"/>
      <c r="AK3205" s="77"/>
      <c r="AL3205" s="77"/>
      <c r="AM3205" s="77"/>
      <c r="AN3205" s="77"/>
      <c r="AO3205" s="77"/>
      <c r="AP3205" s="77"/>
      <c r="AQ3205" s="77" t="s">
        <v>15573</v>
      </c>
      <c r="AR3205" s="77">
        <v>83884</v>
      </c>
      <c r="AS3205" s="77"/>
      <c r="AT3205" s="77"/>
      <c r="AU3205" s="77"/>
      <c r="AV3205" s="83" t="str">
        <f>HYPERLINK("https://pbs.twimg.com/ext_tw_video_thumb/1677744209246265344/pu/img/Gv75Y4c595538AYV.jpg")</f>
        <v>https://pbs.twimg.com/ext_tw_video_thumb/1677744209246265344/pu/img/Gv75Y4c595538AYV.jpg</v>
      </c>
      <c r="AW3205" s="80" t="s">
        <v>18941</v>
      </c>
      <c r="AX3205" s="80" t="s">
        <v>18941</v>
      </c>
      <c r="AY3205" s="77"/>
      <c r="AZ3205" s="80" t="s">
        <v>20380</v>
      </c>
      <c r="BA3205" s="80" t="s">
        <v>20380</v>
      </c>
      <c r="BB3205" s="80" t="s">
        <v>20380</v>
      </c>
      <c r="BC3205" s="80" t="s">
        <v>18941</v>
      </c>
      <c r="BD3205" s="80" t="s">
        <v>21014</v>
      </c>
      <c r="BE3205" s="77"/>
      <c r="BF3205" s="77"/>
      <c r="BG3205" s="77"/>
      <c r="BH3205" s="77"/>
      <c r="BI3205" s="77"/>
    </row>
    <row r="3206" spans="1:61" x14ac:dyDescent="0.25">
      <c r="A3206" s="62" t="s">
        <v>1282</v>
      </c>
      <c r="B3206" s="62" t="s">
        <v>1282</v>
      </c>
      <c r="C3206" s="63"/>
      <c r="D3206" s="64"/>
      <c r="E3206" s="65"/>
      <c r="F3206" s="66"/>
      <c r="G3206" s="63"/>
      <c r="H3206" s="67"/>
      <c r="I3206" s="68"/>
      <c r="J3206" s="68"/>
      <c r="K3206" s="32"/>
      <c r="L3206" s="75">
        <v>3206</v>
      </c>
      <c r="M3206" s="75"/>
      <c r="N3206" s="70"/>
      <c r="O3206" s="77" t="s">
        <v>179</v>
      </c>
      <c r="P3206" s="79">
        <v>45050.971226851849</v>
      </c>
      <c r="Q3206" s="77" t="s">
        <v>4910</v>
      </c>
      <c r="R3206" s="77">
        <v>0</v>
      </c>
      <c r="S3206" s="77">
        <v>0</v>
      </c>
      <c r="T3206" s="77">
        <v>0</v>
      </c>
      <c r="U3206" s="77">
        <v>0</v>
      </c>
      <c r="V3206" s="77">
        <v>2</v>
      </c>
      <c r="W3206" s="80" t="s">
        <v>7881</v>
      </c>
      <c r="X3206" s="83" t="str">
        <f>HYPERLINK("http://dlvr.it/SnY5Nn")</f>
        <v>http://dlvr.it/SnY5Nn</v>
      </c>
      <c r="Y3206" s="77" t="s">
        <v>8629</v>
      </c>
      <c r="Z3206" s="77"/>
      <c r="AA3206" s="77"/>
      <c r="AB3206" s="77"/>
      <c r="AC3206" s="80" t="s">
        <v>8629</v>
      </c>
      <c r="AD3206" s="77" t="s">
        <v>10617</v>
      </c>
      <c r="AE3206" s="83" t="str">
        <f>HYPERLINK("https://twitter.com/joaofinanceira/status/1654264281523970048")</f>
        <v>https://twitter.com/joaofinanceira/status/1654264281523970048</v>
      </c>
      <c r="AF3206" s="79">
        <v>45050.971226851849</v>
      </c>
      <c r="AG3206" s="85">
        <v>45050</v>
      </c>
      <c r="AH3206" s="80" t="s">
        <v>13413</v>
      </c>
      <c r="AI3206" s="77" t="b">
        <v>0</v>
      </c>
      <c r="AJ3206" s="77"/>
      <c r="AK3206" s="77"/>
      <c r="AL3206" s="77"/>
      <c r="AM3206" s="77"/>
      <c r="AN3206" s="77"/>
      <c r="AO3206" s="77"/>
      <c r="AP3206" s="77"/>
      <c r="AQ3206" s="77"/>
      <c r="AR3206" s="77"/>
      <c r="AS3206" s="77"/>
      <c r="AT3206" s="77"/>
      <c r="AU3206" s="77"/>
      <c r="AV3206" s="83" t="str">
        <f>HYPERLINK("https://pbs.twimg.com/profile_images/1264883405638045702/04KkdII7_normal.jpg")</f>
        <v>https://pbs.twimg.com/profile_images/1264883405638045702/04KkdII7_normal.jpg</v>
      </c>
      <c r="AW3206" s="80" t="s">
        <v>18942</v>
      </c>
      <c r="AX3206" s="80" t="s">
        <v>18942</v>
      </c>
      <c r="AY3206" s="77"/>
      <c r="AZ3206" s="80" t="s">
        <v>20380</v>
      </c>
      <c r="BA3206" s="80" t="s">
        <v>20380</v>
      </c>
      <c r="BB3206" s="80" t="s">
        <v>20380</v>
      </c>
      <c r="BC3206" s="80" t="s">
        <v>18942</v>
      </c>
      <c r="BD3206" s="80" t="s">
        <v>21015</v>
      </c>
      <c r="BE3206" s="77"/>
      <c r="BF3206" s="77"/>
      <c r="BG3206" s="77"/>
      <c r="BH3206" s="77"/>
      <c r="BI3206" s="77"/>
    </row>
    <row r="3207" spans="1:61" x14ac:dyDescent="0.25">
      <c r="A3207" s="62" t="s">
        <v>1282</v>
      </c>
      <c r="B3207" s="62" t="s">
        <v>1282</v>
      </c>
      <c r="C3207" s="63"/>
      <c r="D3207" s="64"/>
      <c r="E3207" s="65"/>
      <c r="F3207" s="66"/>
      <c r="G3207" s="63"/>
      <c r="H3207" s="67"/>
      <c r="I3207" s="68"/>
      <c r="J3207" s="68"/>
      <c r="K3207" s="32"/>
      <c r="L3207" s="75">
        <v>3207</v>
      </c>
      <c r="M3207" s="75"/>
      <c r="N3207" s="70"/>
      <c r="O3207" s="77" t="s">
        <v>179</v>
      </c>
      <c r="P3207" s="79">
        <v>45111.728506944448</v>
      </c>
      <c r="Q3207" s="77" t="s">
        <v>4911</v>
      </c>
      <c r="R3207" s="77">
        <v>0</v>
      </c>
      <c r="S3207" s="77">
        <v>0</v>
      </c>
      <c r="T3207" s="77">
        <v>0</v>
      </c>
      <c r="U3207" s="77">
        <v>0</v>
      </c>
      <c r="V3207" s="77">
        <v>18</v>
      </c>
      <c r="W3207" s="80" t="s">
        <v>7882</v>
      </c>
      <c r="X3207" s="83" t="str">
        <f>HYPERLINK("http://dlvr.it/SrgWDR")</f>
        <v>http://dlvr.it/SrgWDR</v>
      </c>
      <c r="Y3207" s="77" t="s">
        <v>8629</v>
      </c>
      <c r="Z3207" s="77"/>
      <c r="AA3207" s="77"/>
      <c r="AB3207" s="77"/>
      <c r="AC3207" s="80" t="s">
        <v>8629</v>
      </c>
      <c r="AD3207" s="77" t="s">
        <v>10617</v>
      </c>
      <c r="AE3207" s="83" t="str">
        <f>HYPERLINK("https://twitter.com/joaofinanceira/status/1676281983197147136")</f>
        <v>https://twitter.com/joaofinanceira/status/1676281983197147136</v>
      </c>
      <c r="AF3207" s="79">
        <v>45111.728506944448</v>
      </c>
      <c r="AG3207" s="85">
        <v>45111</v>
      </c>
      <c r="AH3207" s="80" t="s">
        <v>13414</v>
      </c>
      <c r="AI3207" s="77" t="b">
        <v>0</v>
      </c>
      <c r="AJ3207" s="77"/>
      <c r="AK3207" s="77"/>
      <c r="AL3207" s="77"/>
      <c r="AM3207" s="77"/>
      <c r="AN3207" s="77"/>
      <c r="AO3207" s="77"/>
      <c r="AP3207" s="77"/>
      <c r="AQ3207" s="77"/>
      <c r="AR3207" s="77"/>
      <c r="AS3207" s="77"/>
      <c r="AT3207" s="77"/>
      <c r="AU3207" s="77"/>
      <c r="AV3207" s="83" t="str">
        <f>HYPERLINK("https://pbs.twimg.com/profile_images/1264883405638045702/04KkdII7_normal.jpg")</f>
        <v>https://pbs.twimg.com/profile_images/1264883405638045702/04KkdII7_normal.jpg</v>
      </c>
      <c r="AW3207" s="80" t="s">
        <v>18943</v>
      </c>
      <c r="AX3207" s="80" t="s">
        <v>18943</v>
      </c>
      <c r="AY3207" s="77"/>
      <c r="AZ3207" s="80" t="s">
        <v>20380</v>
      </c>
      <c r="BA3207" s="80" t="s">
        <v>20380</v>
      </c>
      <c r="BB3207" s="80" t="s">
        <v>20380</v>
      </c>
      <c r="BC3207" s="80" t="s">
        <v>18943</v>
      </c>
      <c r="BD3207" s="80" t="s">
        <v>21015</v>
      </c>
      <c r="BE3207" s="77"/>
      <c r="BF3207" s="77"/>
      <c r="BG3207" s="77"/>
      <c r="BH3207" s="77"/>
      <c r="BI3207" s="77"/>
    </row>
    <row r="3208" spans="1:61" x14ac:dyDescent="0.25">
      <c r="A3208" s="62" t="s">
        <v>1283</v>
      </c>
      <c r="B3208" s="62" t="s">
        <v>1283</v>
      </c>
      <c r="C3208" s="63"/>
      <c r="D3208" s="64"/>
      <c r="E3208" s="65"/>
      <c r="F3208" s="66"/>
      <c r="G3208" s="63"/>
      <c r="H3208" s="67"/>
      <c r="I3208" s="68"/>
      <c r="J3208" s="68"/>
      <c r="K3208" s="32"/>
      <c r="L3208" s="75">
        <v>3208</v>
      </c>
      <c r="M3208" s="75"/>
      <c r="N3208" s="70"/>
      <c r="O3208" s="77" t="s">
        <v>179</v>
      </c>
      <c r="P3208" s="79">
        <v>45125.89644675926</v>
      </c>
      <c r="Q3208" s="77" t="s">
        <v>4912</v>
      </c>
      <c r="R3208" s="77">
        <v>0</v>
      </c>
      <c r="S3208" s="77">
        <v>0</v>
      </c>
      <c r="T3208" s="77">
        <v>0</v>
      </c>
      <c r="U3208" s="77">
        <v>0</v>
      </c>
      <c r="V3208" s="77">
        <v>12</v>
      </c>
      <c r="W3208" s="80" t="s">
        <v>7883</v>
      </c>
      <c r="X3208" s="83" t="str">
        <f>HYPERLINK("https://imagendocumental.com/información/2023-07-18-02-55-16-premiaron-al-nuevo-billete-de-san-martin")</f>
        <v>https://imagendocumental.com/información/2023-07-18-02-55-16-premiaron-al-nuevo-billete-de-san-martin</v>
      </c>
      <c r="Y3208" s="77" t="s">
        <v>8823</v>
      </c>
      <c r="Z3208" s="77"/>
      <c r="AA3208" s="77"/>
      <c r="AB3208" s="77"/>
      <c r="AC3208" s="80" t="s">
        <v>10541</v>
      </c>
      <c r="AD3208" s="77" t="s">
        <v>10620</v>
      </c>
      <c r="AE3208" s="83" t="str">
        <f>HYPERLINK("https://twitter.com/idcorrientes/status/1681416275103211520")</f>
        <v>https://twitter.com/idcorrientes/status/1681416275103211520</v>
      </c>
      <c r="AF3208" s="79">
        <v>45125.89644675926</v>
      </c>
      <c r="AG3208" s="85">
        <v>45125</v>
      </c>
      <c r="AH3208" s="80" t="s">
        <v>13415</v>
      </c>
      <c r="AI3208" s="77" t="b">
        <v>0</v>
      </c>
      <c r="AJ3208" s="77"/>
      <c r="AK3208" s="77"/>
      <c r="AL3208" s="77"/>
      <c r="AM3208" s="77"/>
      <c r="AN3208" s="77"/>
      <c r="AO3208" s="77"/>
      <c r="AP3208" s="77"/>
      <c r="AQ3208" s="77"/>
      <c r="AR3208" s="77"/>
      <c r="AS3208" s="77"/>
      <c r="AT3208" s="77"/>
      <c r="AU3208" s="77"/>
      <c r="AV3208" s="83" t="str">
        <f>HYPERLINK("https://pbs.twimg.com/profile_images/1614746110748233733/CFTKb9Jg_normal.jpg")</f>
        <v>https://pbs.twimg.com/profile_images/1614746110748233733/CFTKb9Jg_normal.jpg</v>
      </c>
      <c r="AW3208" s="80" t="s">
        <v>18944</v>
      </c>
      <c r="AX3208" s="80" t="s">
        <v>18944</v>
      </c>
      <c r="AY3208" s="77"/>
      <c r="AZ3208" s="80" t="s">
        <v>20380</v>
      </c>
      <c r="BA3208" s="80" t="s">
        <v>20380</v>
      </c>
      <c r="BB3208" s="80" t="s">
        <v>20380</v>
      </c>
      <c r="BC3208" s="80" t="s">
        <v>18944</v>
      </c>
      <c r="BD3208" s="80" t="s">
        <v>21016</v>
      </c>
      <c r="BE3208" s="77"/>
      <c r="BF3208" s="77"/>
      <c r="BG3208" s="77"/>
      <c r="BH3208" s="77"/>
      <c r="BI3208" s="77"/>
    </row>
    <row r="3209" spans="1:61" x14ac:dyDescent="0.25">
      <c r="A3209" s="62" t="s">
        <v>1284</v>
      </c>
      <c r="B3209" s="62" t="s">
        <v>1284</v>
      </c>
      <c r="C3209" s="63"/>
      <c r="D3209" s="64"/>
      <c r="E3209" s="65"/>
      <c r="F3209" s="66"/>
      <c r="G3209" s="63"/>
      <c r="H3209" s="67"/>
      <c r="I3209" s="68"/>
      <c r="J3209" s="68"/>
      <c r="K3209" s="32"/>
      <c r="L3209" s="75">
        <v>3209</v>
      </c>
      <c r="M3209" s="75"/>
      <c r="N3209" s="70"/>
      <c r="O3209" s="77" t="s">
        <v>179</v>
      </c>
      <c r="P3209" s="79">
        <v>45050.735752314817</v>
      </c>
      <c r="Q3209" s="77" t="s">
        <v>4913</v>
      </c>
      <c r="R3209" s="77">
        <v>0</v>
      </c>
      <c r="S3209" s="77">
        <v>0</v>
      </c>
      <c r="T3209" s="77">
        <v>0</v>
      </c>
      <c r="U3209" s="77">
        <v>0</v>
      </c>
      <c r="V3209" s="77">
        <v>41</v>
      </c>
      <c r="W3209" s="80" t="s">
        <v>7884</v>
      </c>
      <c r="X3209" s="83" t="str">
        <f>HYPERLINK("https://www.moneytimes.com.br/bc-aprova-entrada-de-itau-bba-como-acionista-do-marketplace-orbia/")</f>
        <v>https://www.moneytimes.com.br/bc-aprova-entrada-de-itau-bba-como-acionista-do-marketplace-orbia/</v>
      </c>
      <c r="Y3209" s="77" t="s">
        <v>8611</v>
      </c>
      <c r="Z3209" s="77"/>
      <c r="AA3209" s="77"/>
      <c r="AB3209" s="77"/>
      <c r="AC3209" s="80" t="s">
        <v>10558</v>
      </c>
      <c r="AD3209" s="77" t="s">
        <v>10617</v>
      </c>
      <c r="AE3209" s="83" t="str">
        <f>HYPERLINK("https://twitter.com/leiaagrotimes/status/1654178948543070227")</f>
        <v>https://twitter.com/leiaagrotimes/status/1654178948543070227</v>
      </c>
      <c r="AF3209" s="79">
        <v>45050.735752314817</v>
      </c>
      <c r="AG3209" s="85">
        <v>45050</v>
      </c>
      <c r="AH3209" s="80" t="s">
        <v>13416</v>
      </c>
      <c r="AI3209" s="77" t="b">
        <v>0</v>
      </c>
      <c r="AJ3209" s="77"/>
      <c r="AK3209" s="77"/>
      <c r="AL3209" s="77"/>
      <c r="AM3209" s="77"/>
      <c r="AN3209" s="77"/>
      <c r="AO3209" s="77"/>
      <c r="AP3209" s="77"/>
      <c r="AQ3209" s="77"/>
      <c r="AR3209" s="77"/>
      <c r="AS3209" s="77"/>
      <c r="AT3209" s="77"/>
      <c r="AU3209" s="77"/>
      <c r="AV3209" s="83" t="str">
        <f>HYPERLINK("https://pbs.twimg.com/profile_images/1365395023072817162/ZI8fAPrO_normal.jpg")</f>
        <v>https://pbs.twimg.com/profile_images/1365395023072817162/ZI8fAPrO_normal.jpg</v>
      </c>
      <c r="AW3209" s="80" t="s">
        <v>18945</v>
      </c>
      <c r="AX3209" s="80" t="s">
        <v>18945</v>
      </c>
      <c r="AY3209" s="77"/>
      <c r="AZ3209" s="80" t="s">
        <v>20380</v>
      </c>
      <c r="BA3209" s="80" t="s">
        <v>20380</v>
      </c>
      <c r="BB3209" s="80" t="s">
        <v>20380</v>
      </c>
      <c r="BC3209" s="80" t="s">
        <v>18945</v>
      </c>
      <c r="BD3209" s="80" t="s">
        <v>21017</v>
      </c>
      <c r="BE3209" s="77"/>
      <c r="BF3209" s="77"/>
      <c r="BG3209" s="77"/>
      <c r="BH3209" s="77"/>
      <c r="BI3209" s="77"/>
    </row>
    <row r="3210" spans="1:61" x14ac:dyDescent="0.25">
      <c r="A3210" s="62" t="s">
        <v>1285</v>
      </c>
      <c r="B3210" s="62" t="s">
        <v>1285</v>
      </c>
      <c r="C3210" s="63"/>
      <c r="D3210" s="64"/>
      <c r="E3210" s="65"/>
      <c r="F3210" s="66"/>
      <c r="G3210" s="63"/>
      <c r="H3210" s="67"/>
      <c r="I3210" s="68"/>
      <c r="J3210" s="68"/>
      <c r="K3210" s="32"/>
      <c r="L3210" s="75">
        <v>3210</v>
      </c>
      <c r="M3210" s="75"/>
      <c r="N3210" s="70"/>
      <c r="O3210" s="77" t="s">
        <v>179</v>
      </c>
      <c r="P3210" s="79">
        <v>45146.701655092591</v>
      </c>
      <c r="Q3210" s="77" t="s">
        <v>4914</v>
      </c>
      <c r="R3210" s="77">
        <v>0</v>
      </c>
      <c r="S3210" s="77">
        <v>0</v>
      </c>
      <c r="T3210" s="77">
        <v>0</v>
      </c>
      <c r="U3210" s="77">
        <v>0</v>
      </c>
      <c r="V3210" s="77">
        <v>4</v>
      </c>
      <c r="W3210" s="80" t="s">
        <v>5884</v>
      </c>
      <c r="X3210" s="83" t="str">
        <f>HYPERLINK("https://www.bcb.gov.br/publicacoes/atascopom")</f>
        <v>https://www.bcb.gov.br/publicacoes/atascopom</v>
      </c>
      <c r="Y3210" s="77" t="s">
        <v>8633</v>
      </c>
      <c r="Z3210" s="77"/>
      <c r="AA3210" s="77"/>
      <c r="AB3210" s="77"/>
      <c r="AC3210" s="80" t="s">
        <v>10540</v>
      </c>
      <c r="AD3210" s="77" t="s">
        <v>10617</v>
      </c>
      <c r="AE3210" s="83" t="str">
        <f>HYPERLINK("https://twitter.com/jalbertodacost1/status/1688955829913890819")</f>
        <v>https://twitter.com/jalbertodacost1/status/1688955829913890819</v>
      </c>
      <c r="AF3210" s="79">
        <v>45146.701655092591</v>
      </c>
      <c r="AG3210" s="85">
        <v>45146</v>
      </c>
      <c r="AH3210" s="80" t="s">
        <v>13417</v>
      </c>
      <c r="AI3210" s="77" t="b">
        <v>0</v>
      </c>
      <c r="AJ3210" s="77"/>
      <c r="AK3210" s="77"/>
      <c r="AL3210" s="77"/>
      <c r="AM3210" s="77"/>
      <c r="AN3210" s="77"/>
      <c r="AO3210" s="77"/>
      <c r="AP3210" s="77"/>
      <c r="AQ3210" s="77"/>
      <c r="AR3210" s="77"/>
      <c r="AS3210" s="77"/>
      <c r="AT3210" s="77"/>
      <c r="AU3210" s="77"/>
      <c r="AV3210" s="83" t="str">
        <f>HYPERLINK("https://pbs.twimg.com/profile_images/1585774818087010305/PbePUGY7_normal.jpg")</f>
        <v>https://pbs.twimg.com/profile_images/1585774818087010305/PbePUGY7_normal.jpg</v>
      </c>
      <c r="AW3210" s="80" t="s">
        <v>18946</v>
      </c>
      <c r="AX3210" s="80" t="s">
        <v>18946</v>
      </c>
      <c r="AY3210" s="77"/>
      <c r="AZ3210" s="80" t="s">
        <v>20380</v>
      </c>
      <c r="BA3210" s="80" t="s">
        <v>20380</v>
      </c>
      <c r="BB3210" s="80" t="s">
        <v>20380</v>
      </c>
      <c r="BC3210" s="80" t="s">
        <v>18946</v>
      </c>
      <c r="BD3210" s="80" t="s">
        <v>21018</v>
      </c>
      <c r="BE3210" s="77"/>
      <c r="BF3210" s="77"/>
      <c r="BG3210" s="77"/>
      <c r="BH3210" s="77"/>
      <c r="BI3210" s="77"/>
    </row>
    <row r="3211" spans="1:61" x14ac:dyDescent="0.25">
      <c r="A3211" s="62" t="s">
        <v>1286</v>
      </c>
      <c r="B3211" s="62" t="s">
        <v>1286</v>
      </c>
      <c r="C3211" s="63"/>
      <c r="D3211" s="64"/>
      <c r="E3211" s="65"/>
      <c r="F3211" s="66"/>
      <c r="G3211" s="63"/>
      <c r="H3211" s="67"/>
      <c r="I3211" s="68"/>
      <c r="J3211" s="68"/>
      <c r="K3211" s="32"/>
      <c r="L3211" s="75">
        <v>3211</v>
      </c>
      <c r="M3211" s="75"/>
      <c r="N3211" s="70"/>
      <c r="O3211" s="77" t="s">
        <v>179</v>
      </c>
      <c r="P3211" s="79">
        <v>45092.541273148148</v>
      </c>
      <c r="Q3211" s="77" t="s">
        <v>4915</v>
      </c>
      <c r="R3211" s="77">
        <v>0</v>
      </c>
      <c r="S3211" s="77">
        <v>0</v>
      </c>
      <c r="T3211" s="77">
        <v>0</v>
      </c>
      <c r="U3211" s="77">
        <v>0</v>
      </c>
      <c r="V3211" s="77">
        <v>15</v>
      </c>
      <c r="W3211" s="80" t="s">
        <v>7885</v>
      </c>
      <c r="X3211" s="83" t="str">
        <f>HYPERLINK("https://tinyurl.com/y6dwudpc")</f>
        <v>https://tinyurl.com/y6dwudpc</v>
      </c>
      <c r="Y3211" s="77" t="s">
        <v>8670</v>
      </c>
      <c r="Z3211" s="77"/>
      <c r="AA3211" s="77" t="s">
        <v>10093</v>
      </c>
      <c r="AB3211" s="77" t="s">
        <v>10535</v>
      </c>
      <c r="AC3211" s="80" t="s">
        <v>10550</v>
      </c>
      <c r="AD3211" s="77" t="s">
        <v>10617</v>
      </c>
      <c r="AE3211" s="83" t="str">
        <f>HYPERLINK("https://twitter.com/onjornal1/status/1669328763044212737")</f>
        <v>https://twitter.com/onjornal1/status/1669328763044212737</v>
      </c>
      <c r="AF3211" s="79">
        <v>45092.541273148148</v>
      </c>
      <c r="AG3211" s="85">
        <v>45092</v>
      </c>
      <c r="AH3211" s="80" t="s">
        <v>13418</v>
      </c>
      <c r="AI3211" s="77" t="b">
        <v>0</v>
      </c>
      <c r="AJ3211" s="77"/>
      <c r="AK3211" s="77"/>
      <c r="AL3211" s="77"/>
      <c r="AM3211" s="77"/>
      <c r="AN3211" s="77"/>
      <c r="AO3211" s="77"/>
      <c r="AP3211" s="77"/>
      <c r="AQ3211" s="77" t="s">
        <v>15574</v>
      </c>
      <c r="AR3211" s="77"/>
      <c r="AS3211" s="77"/>
      <c r="AT3211" s="77"/>
      <c r="AU3211" s="77"/>
      <c r="AV3211" s="83" t="str">
        <f>HYPERLINK("https://pbs.twimg.com/media/FyqlqgFWIAE-5dE.jpg")</f>
        <v>https://pbs.twimg.com/media/FyqlqgFWIAE-5dE.jpg</v>
      </c>
      <c r="AW3211" s="80" t="s">
        <v>18947</v>
      </c>
      <c r="AX3211" s="80" t="s">
        <v>18947</v>
      </c>
      <c r="AY3211" s="77"/>
      <c r="AZ3211" s="80" t="s">
        <v>20380</v>
      </c>
      <c r="BA3211" s="80" t="s">
        <v>20380</v>
      </c>
      <c r="BB3211" s="80" t="s">
        <v>20380</v>
      </c>
      <c r="BC3211" s="80" t="s">
        <v>18947</v>
      </c>
      <c r="BD3211" s="80" t="s">
        <v>21019</v>
      </c>
      <c r="BE3211" s="77"/>
      <c r="BF3211" s="77"/>
      <c r="BG3211" s="77"/>
      <c r="BH3211" s="77"/>
      <c r="BI3211" s="77"/>
    </row>
    <row r="3212" spans="1:61" x14ac:dyDescent="0.25">
      <c r="A3212" s="62" t="s">
        <v>1286</v>
      </c>
      <c r="B3212" s="62" t="s">
        <v>1286</v>
      </c>
      <c r="C3212" s="63"/>
      <c r="D3212" s="64"/>
      <c r="E3212" s="65"/>
      <c r="F3212" s="66"/>
      <c r="G3212" s="63"/>
      <c r="H3212" s="67"/>
      <c r="I3212" s="68"/>
      <c r="J3212" s="68"/>
      <c r="K3212" s="32"/>
      <c r="L3212" s="75">
        <v>3212</v>
      </c>
      <c r="M3212" s="75"/>
      <c r="N3212" s="70"/>
      <c r="O3212" s="77" t="s">
        <v>179</v>
      </c>
      <c r="P3212" s="79">
        <v>45099.848298611112</v>
      </c>
      <c r="Q3212" s="77" t="s">
        <v>4916</v>
      </c>
      <c r="R3212" s="77">
        <v>0</v>
      </c>
      <c r="S3212" s="77">
        <v>0</v>
      </c>
      <c r="T3212" s="77">
        <v>0</v>
      </c>
      <c r="U3212" s="77">
        <v>0</v>
      </c>
      <c r="V3212" s="77">
        <v>15</v>
      </c>
      <c r="W3212" s="80" t="s">
        <v>5940</v>
      </c>
      <c r="X3212" s="83" t="str">
        <f>HYPERLINK("https://tinyurl.com/2n798uew")</f>
        <v>https://tinyurl.com/2n798uew</v>
      </c>
      <c r="Y3212" s="77" t="s">
        <v>8670</v>
      </c>
      <c r="Z3212" s="77"/>
      <c r="AA3212" s="77" t="s">
        <v>10094</v>
      </c>
      <c r="AB3212" s="77" t="s">
        <v>10535</v>
      </c>
      <c r="AC3212" s="80" t="s">
        <v>10541</v>
      </c>
      <c r="AD3212" s="77" t="s">
        <v>10617</v>
      </c>
      <c r="AE3212" s="83" t="str">
        <f>HYPERLINK("https://twitter.com/onjornal1/status/1671976740321632266")</f>
        <v>https://twitter.com/onjornal1/status/1671976740321632266</v>
      </c>
      <c r="AF3212" s="79">
        <v>45099.848298611112</v>
      </c>
      <c r="AG3212" s="85">
        <v>45099</v>
      </c>
      <c r="AH3212" s="80" t="s">
        <v>13419</v>
      </c>
      <c r="AI3212" s="77" t="b">
        <v>0</v>
      </c>
      <c r="AJ3212" s="77"/>
      <c r="AK3212" s="77"/>
      <c r="AL3212" s="77"/>
      <c r="AM3212" s="77"/>
      <c r="AN3212" s="77"/>
      <c r="AO3212" s="77"/>
      <c r="AP3212" s="77"/>
      <c r="AQ3212" s="77" t="s">
        <v>15575</v>
      </c>
      <c r="AR3212" s="77"/>
      <c r="AS3212" s="77"/>
      <c r="AT3212" s="77"/>
      <c r="AU3212" s="77"/>
      <c r="AV3212" s="83" t="str">
        <f>HYPERLINK("https://pbs.twimg.com/media/FzQN4E1WIAI3tUe.jpg")</f>
        <v>https://pbs.twimg.com/media/FzQN4E1WIAI3tUe.jpg</v>
      </c>
      <c r="AW3212" s="80" t="s">
        <v>18948</v>
      </c>
      <c r="AX3212" s="80" t="s">
        <v>18948</v>
      </c>
      <c r="AY3212" s="77"/>
      <c r="AZ3212" s="80" t="s">
        <v>20380</v>
      </c>
      <c r="BA3212" s="80" t="s">
        <v>20380</v>
      </c>
      <c r="BB3212" s="80" t="s">
        <v>20380</v>
      </c>
      <c r="BC3212" s="80" t="s">
        <v>18948</v>
      </c>
      <c r="BD3212" s="80" t="s">
        <v>21019</v>
      </c>
      <c r="BE3212" s="77"/>
      <c r="BF3212" s="77"/>
      <c r="BG3212" s="77"/>
      <c r="BH3212" s="77"/>
      <c r="BI3212" s="77"/>
    </row>
    <row r="3213" spans="1:61" x14ac:dyDescent="0.25">
      <c r="A3213" s="62" t="s">
        <v>1286</v>
      </c>
      <c r="B3213" s="62" t="s">
        <v>1286</v>
      </c>
      <c r="C3213" s="63"/>
      <c r="D3213" s="64"/>
      <c r="E3213" s="65"/>
      <c r="F3213" s="66"/>
      <c r="G3213" s="63"/>
      <c r="H3213" s="67"/>
      <c r="I3213" s="68"/>
      <c r="J3213" s="68"/>
      <c r="K3213" s="32"/>
      <c r="L3213" s="75">
        <v>3213</v>
      </c>
      <c r="M3213" s="75"/>
      <c r="N3213" s="70"/>
      <c r="O3213" s="77" t="s">
        <v>179</v>
      </c>
      <c r="P3213" s="79">
        <v>45141.853368055556</v>
      </c>
      <c r="Q3213" s="77" t="s">
        <v>4917</v>
      </c>
      <c r="R3213" s="77">
        <v>0</v>
      </c>
      <c r="S3213" s="77">
        <v>0</v>
      </c>
      <c r="T3213" s="77">
        <v>0</v>
      </c>
      <c r="U3213" s="77">
        <v>0</v>
      </c>
      <c r="V3213" s="77">
        <v>6</v>
      </c>
      <c r="W3213" s="80" t="s">
        <v>7886</v>
      </c>
      <c r="X3213" s="83" t="str">
        <f>HYPERLINK("https://tinyurl.com/38hmnbb9")</f>
        <v>https://tinyurl.com/38hmnbb9</v>
      </c>
      <c r="Y3213" s="77" t="s">
        <v>8670</v>
      </c>
      <c r="Z3213" s="77"/>
      <c r="AA3213" s="77" t="s">
        <v>10095</v>
      </c>
      <c r="AB3213" s="77" t="s">
        <v>10535</v>
      </c>
      <c r="AC3213" s="80" t="s">
        <v>10541</v>
      </c>
      <c r="AD3213" s="77" t="s">
        <v>10617</v>
      </c>
      <c r="AE3213" s="83" t="str">
        <f>HYPERLINK("https://twitter.com/onjornal1/status/1687198867740315648")</f>
        <v>https://twitter.com/onjornal1/status/1687198867740315648</v>
      </c>
      <c r="AF3213" s="79">
        <v>45141.853368055556</v>
      </c>
      <c r="AG3213" s="85">
        <v>45141</v>
      </c>
      <c r="AH3213" s="80" t="s">
        <v>13420</v>
      </c>
      <c r="AI3213" s="77" t="b">
        <v>0</v>
      </c>
      <c r="AJ3213" s="77"/>
      <c r="AK3213" s="77"/>
      <c r="AL3213" s="77"/>
      <c r="AM3213" s="77"/>
      <c r="AN3213" s="77"/>
      <c r="AO3213" s="77"/>
      <c r="AP3213" s="77"/>
      <c r="AQ3213" s="77" t="s">
        <v>15576</v>
      </c>
      <c r="AR3213" s="77"/>
      <c r="AS3213" s="77"/>
      <c r="AT3213" s="77"/>
      <c r="AU3213" s="77"/>
      <c r="AV3213" s="83" t="str">
        <f>HYPERLINK("https://pbs.twimg.com/media/F2oibCqWMAIotUH.jpg")</f>
        <v>https://pbs.twimg.com/media/F2oibCqWMAIotUH.jpg</v>
      </c>
      <c r="AW3213" s="80" t="s">
        <v>18949</v>
      </c>
      <c r="AX3213" s="80" t="s">
        <v>18949</v>
      </c>
      <c r="AY3213" s="77"/>
      <c r="AZ3213" s="80" t="s">
        <v>20380</v>
      </c>
      <c r="BA3213" s="80" t="s">
        <v>20380</v>
      </c>
      <c r="BB3213" s="80" t="s">
        <v>20380</v>
      </c>
      <c r="BC3213" s="80" t="s">
        <v>18949</v>
      </c>
      <c r="BD3213" s="80" t="s">
        <v>21019</v>
      </c>
      <c r="BE3213" s="77"/>
      <c r="BF3213" s="77"/>
      <c r="BG3213" s="77"/>
      <c r="BH3213" s="77"/>
      <c r="BI3213" s="77"/>
    </row>
    <row r="3214" spans="1:61" x14ac:dyDescent="0.25">
      <c r="A3214" s="62" t="s">
        <v>1286</v>
      </c>
      <c r="B3214" s="62" t="s">
        <v>1286</v>
      </c>
      <c r="C3214" s="63"/>
      <c r="D3214" s="64"/>
      <c r="E3214" s="65"/>
      <c r="F3214" s="66"/>
      <c r="G3214" s="63"/>
      <c r="H3214" s="67"/>
      <c r="I3214" s="68"/>
      <c r="J3214" s="68"/>
      <c r="K3214" s="32"/>
      <c r="L3214" s="75">
        <v>3214</v>
      </c>
      <c r="M3214" s="75"/>
      <c r="N3214" s="70"/>
      <c r="O3214" s="77" t="s">
        <v>179</v>
      </c>
      <c r="P3214" s="79">
        <v>45152.563020833331</v>
      </c>
      <c r="Q3214" s="77" t="s">
        <v>4918</v>
      </c>
      <c r="R3214" s="77">
        <v>0</v>
      </c>
      <c r="S3214" s="77">
        <v>0</v>
      </c>
      <c r="T3214" s="77">
        <v>0</v>
      </c>
      <c r="U3214" s="77">
        <v>0</v>
      </c>
      <c r="V3214" s="77">
        <v>26</v>
      </c>
      <c r="W3214" s="80" t="s">
        <v>7887</v>
      </c>
      <c r="X3214" s="83" t="str">
        <f>HYPERLINK("https://tinyurl.com/s67rb5us")</f>
        <v>https://tinyurl.com/s67rb5us</v>
      </c>
      <c r="Y3214" s="77" t="s">
        <v>8670</v>
      </c>
      <c r="Z3214" s="77"/>
      <c r="AA3214" s="77" t="s">
        <v>10096</v>
      </c>
      <c r="AB3214" s="77" t="s">
        <v>10535</v>
      </c>
      <c r="AC3214" s="80" t="s">
        <v>10541</v>
      </c>
      <c r="AD3214" s="77" t="s">
        <v>10617</v>
      </c>
      <c r="AE3214" s="83" t="str">
        <f>HYPERLINK("https://twitter.com/onjornal1/status/1691079915565699072")</f>
        <v>https://twitter.com/onjornal1/status/1691079915565699072</v>
      </c>
      <c r="AF3214" s="79">
        <v>45152.563020833331</v>
      </c>
      <c r="AG3214" s="85">
        <v>45152</v>
      </c>
      <c r="AH3214" s="80" t="s">
        <v>13421</v>
      </c>
      <c r="AI3214" s="77" t="b">
        <v>0</v>
      </c>
      <c r="AJ3214" s="77"/>
      <c r="AK3214" s="77"/>
      <c r="AL3214" s="77"/>
      <c r="AM3214" s="77"/>
      <c r="AN3214" s="77"/>
      <c r="AO3214" s="77"/>
      <c r="AP3214" s="77"/>
      <c r="AQ3214" s="77" t="s">
        <v>15577</v>
      </c>
      <c r="AR3214" s="77"/>
      <c r="AS3214" s="77"/>
      <c r="AT3214" s="77"/>
      <c r="AU3214" s="77"/>
      <c r="AV3214" s="83" t="str">
        <f>HYPERLINK("https://pbs.twimg.com/media/F3fsNMwWIAA_0VU.jpg")</f>
        <v>https://pbs.twimg.com/media/F3fsNMwWIAA_0VU.jpg</v>
      </c>
      <c r="AW3214" s="80" t="s">
        <v>18950</v>
      </c>
      <c r="AX3214" s="80" t="s">
        <v>18950</v>
      </c>
      <c r="AY3214" s="77"/>
      <c r="AZ3214" s="80" t="s">
        <v>20380</v>
      </c>
      <c r="BA3214" s="80" t="s">
        <v>20380</v>
      </c>
      <c r="BB3214" s="80" t="s">
        <v>20380</v>
      </c>
      <c r="BC3214" s="80" t="s">
        <v>18950</v>
      </c>
      <c r="BD3214" s="80" t="s">
        <v>21019</v>
      </c>
      <c r="BE3214" s="77"/>
      <c r="BF3214" s="77"/>
      <c r="BG3214" s="77"/>
      <c r="BH3214" s="77"/>
      <c r="BI3214" s="77"/>
    </row>
    <row r="3215" spans="1:61" x14ac:dyDescent="0.25">
      <c r="A3215" s="62" t="s">
        <v>1286</v>
      </c>
      <c r="B3215" s="62" t="s">
        <v>1286</v>
      </c>
      <c r="C3215" s="63"/>
      <c r="D3215" s="64"/>
      <c r="E3215" s="65"/>
      <c r="F3215" s="66"/>
      <c r="G3215" s="63"/>
      <c r="H3215" s="67"/>
      <c r="I3215" s="68"/>
      <c r="J3215" s="68"/>
      <c r="K3215" s="32"/>
      <c r="L3215" s="75">
        <v>3215</v>
      </c>
      <c r="M3215" s="75"/>
      <c r="N3215" s="70"/>
      <c r="O3215" s="77" t="s">
        <v>179</v>
      </c>
      <c r="P3215" s="79">
        <v>45152.62296296296</v>
      </c>
      <c r="Q3215" s="77" t="s">
        <v>4919</v>
      </c>
      <c r="R3215" s="77">
        <v>0</v>
      </c>
      <c r="S3215" s="77">
        <v>0</v>
      </c>
      <c r="T3215" s="77">
        <v>0</v>
      </c>
      <c r="U3215" s="77">
        <v>0</v>
      </c>
      <c r="V3215" s="77">
        <v>10</v>
      </c>
      <c r="W3215" s="80" t="s">
        <v>7888</v>
      </c>
      <c r="X3215" s="83" t="str">
        <f>HYPERLINK("https://tinyurl.com/3fdzw7y2")</f>
        <v>https://tinyurl.com/3fdzw7y2</v>
      </c>
      <c r="Y3215" s="77" t="s">
        <v>8670</v>
      </c>
      <c r="Z3215" s="77"/>
      <c r="AA3215" s="77" t="s">
        <v>10097</v>
      </c>
      <c r="AB3215" s="77" t="s">
        <v>10535</v>
      </c>
      <c r="AC3215" s="80" t="s">
        <v>10541</v>
      </c>
      <c r="AD3215" s="77" t="s">
        <v>10617</v>
      </c>
      <c r="AE3215" s="83" t="str">
        <f>HYPERLINK("https://twitter.com/onjornal1/status/1691101637408849920")</f>
        <v>https://twitter.com/onjornal1/status/1691101637408849920</v>
      </c>
      <c r="AF3215" s="79">
        <v>45152.62296296296</v>
      </c>
      <c r="AG3215" s="85">
        <v>45152</v>
      </c>
      <c r="AH3215" s="80" t="s">
        <v>13422</v>
      </c>
      <c r="AI3215" s="77" t="b">
        <v>0</v>
      </c>
      <c r="AJ3215" s="77"/>
      <c r="AK3215" s="77"/>
      <c r="AL3215" s="77"/>
      <c r="AM3215" s="77"/>
      <c r="AN3215" s="77"/>
      <c r="AO3215" s="77"/>
      <c r="AP3215" s="77"/>
      <c r="AQ3215" s="77" t="s">
        <v>15578</v>
      </c>
      <c r="AR3215" s="77"/>
      <c r="AS3215" s="77"/>
      <c r="AT3215" s="77"/>
      <c r="AU3215" s="77"/>
      <c r="AV3215" s="83" t="str">
        <f>HYPERLINK("https://pbs.twimg.com/media/F3f_us_XEAA40Pt.jpg")</f>
        <v>https://pbs.twimg.com/media/F3f_us_XEAA40Pt.jpg</v>
      </c>
      <c r="AW3215" s="80" t="s">
        <v>18951</v>
      </c>
      <c r="AX3215" s="80" t="s">
        <v>18951</v>
      </c>
      <c r="AY3215" s="77"/>
      <c r="AZ3215" s="80" t="s">
        <v>20380</v>
      </c>
      <c r="BA3215" s="80" t="s">
        <v>20380</v>
      </c>
      <c r="BB3215" s="80" t="s">
        <v>20380</v>
      </c>
      <c r="BC3215" s="80" t="s">
        <v>18951</v>
      </c>
      <c r="BD3215" s="80" t="s">
        <v>21019</v>
      </c>
      <c r="BE3215" s="77"/>
      <c r="BF3215" s="77"/>
      <c r="BG3215" s="77"/>
      <c r="BH3215" s="77"/>
      <c r="BI3215" s="77"/>
    </row>
    <row r="3216" spans="1:61" x14ac:dyDescent="0.25">
      <c r="A3216" s="62" t="s">
        <v>1286</v>
      </c>
      <c r="B3216" s="62" t="s">
        <v>1286</v>
      </c>
      <c r="C3216" s="63"/>
      <c r="D3216" s="64"/>
      <c r="E3216" s="65"/>
      <c r="F3216" s="66"/>
      <c r="G3216" s="63"/>
      <c r="H3216" s="67"/>
      <c r="I3216" s="68"/>
      <c r="J3216" s="68"/>
      <c r="K3216" s="32"/>
      <c r="L3216" s="75">
        <v>3216</v>
      </c>
      <c r="M3216" s="75"/>
      <c r="N3216" s="70"/>
      <c r="O3216" s="77" t="s">
        <v>179</v>
      </c>
      <c r="P3216" s="79">
        <v>45190.779641203706</v>
      </c>
      <c r="Q3216" s="77" t="s">
        <v>4920</v>
      </c>
      <c r="R3216" s="77">
        <v>0</v>
      </c>
      <c r="S3216" s="77">
        <v>0</v>
      </c>
      <c r="T3216" s="77">
        <v>0</v>
      </c>
      <c r="U3216" s="77">
        <v>0</v>
      </c>
      <c r="V3216" s="77">
        <v>4</v>
      </c>
      <c r="W3216" s="80" t="s">
        <v>7889</v>
      </c>
      <c r="X3216" s="83" t="str">
        <f>HYPERLINK("https://tinyurl.com/3k3jb8sr")</f>
        <v>https://tinyurl.com/3k3jb8sr</v>
      </c>
      <c r="Y3216" s="77" t="s">
        <v>8670</v>
      </c>
      <c r="Z3216" s="77"/>
      <c r="AA3216" s="77" t="s">
        <v>10098</v>
      </c>
      <c r="AB3216" s="77" t="s">
        <v>10535</v>
      </c>
      <c r="AC3216" s="80" t="s">
        <v>10541</v>
      </c>
      <c r="AD3216" s="77" t="s">
        <v>10617</v>
      </c>
      <c r="AE3216" s="83" t="str">
        <f>HYPERLINK("https://twitter.com/onjornal1/status/1704929156528541816")</f>
        <v>https://twitter.com/onjornal1/status/1704929156528541816</v>
      </c>
      <c r="AF3216" s="79">
        <v>45190.779641203706</v>
      </c>
      <c r="AG3216" s="85">
        <v>45190</v>
      </c>
      <c r="AH3216" s="80" t="s">
        <v>13423</v>
      </c>
      <c r="AI3216" s="77" t="b">
        <v>0</v>
      </c>
      <c r="AJ3216" s="77"/>
      <c r="AK3216" s="77"/>
      <c r="AL3216" s="77"/>
      <c r="AM3216" s="77"/>
      <c r="AN3216" s="77"/>
      <c r="AO3216" s="77"/>
      <c r="AP3216" s="77"/>
      <c r="AQ3216" s="77" t="s">
        <v>15579</v>
      </c>
      <c r="AR3216" s="77"/>
      <c r="AS3216" s="77"/>
      <c r="AT3216" s="77"/>
      <c r="AU3216" s="77"/>
      <c r="AV3216" s="83" t="str">
        <f>HYPERLINK("https://pbs.twimg.com/media/F6kfwDnXgAESASq.jpg")</f>
        <v>https://pbs.twimg.com/media/F6kfwDnXgAESASq.jpg</v>
      </c>
      <c r="AW3216" s="80" t="s">
        <v>18952</v>
      </c>
      <c r="AX3216" s="80" t="s">
        <v>18952</v>
      </c>
      <c r="AY3216" s="77"/>
      <c r="AZ3216" s="80" t="s">
        <v>20380</v>
      </c>
      <c r="BA3216" s="80" t="s">
        <v>20380</v>
      </c>
      <c r="BB3216" s="80" t="s">
        <v>20380</v>
      </c>
      <c r="BC3216" s="80" t="s">
        <v>18952</v>
      </c>
      <c r="BD3216" s="80" t="s">
        <v>21019</v>
      </c>
      <c r="BE3216" s="77"/>
      <c r="BF3216" s="77"/>
      <c r="BG3216" s="77"/>
      <c r="BH3216" s="77"/>
      <c r="BI3216" s="77"/>
    </row>
    <row r="3217" spans="1:61" x14ac:dyDescent="0.25">
      <c r="A3217" s="62" t="s">
        <v>1287</v>
      </c>
      <c r="B3217" s="62" t="s">
        <v>1287</v>
      </c>
      <c r="C3217" s="63"/>
      <c r="D3217" s="64"/>
      <c r="E3217" s="65"/>
      <c r="F3217" s="66"/>
      <c r="G3217" s="63"/>
      <c r="H3217" s="67"/>
      <c r="I3217" s="68"/>
      <c r="J3217" s="68"/>
      <c r="K3217" s="32"/>
      <c r="L3217" s="75">
        <v>3217</v>
      </c>
      <c r="M3217" s="75"/>
      <c r="N3217" s="70"/>
      <c r="O3217" s="77" t="s">
        <v>179</v>
      </c>
      <c r="P3217" s="79">
        <v>45191.796377314815</v>
      </c>
      <c r="Q3217" s="77" t="s">
        <v>4921</v>
      </c>
      <c r="R3217" s="77">
        <v>0</v>
      </c>
      <c r="S3217" s="77">
        <v>0</v>
      </c>
      <c r="T3217" s="77">
        <v>0</v>
      </c>
      <c r="U3217" s="77">
        <v>0</v>
      </c>
      <c r="V3217" s="77">
        <v>26</v>
      </c>
      <c r="W3217" s="80" t="s">
        <v>7890</v>
      </c>
      <c r="X3217" s="83" t="str">
        <f>HYPERLINK("https://shorturl.at/oGHVW")</f>
        <v>https://shorturl.at/oGHVW</v>
      </c>
      <c r="Y3217" s="77" t="s">
        <v>8727</v>
      </c>
      <c r="Z3217" s="77"/>
      <c r="AA3217" s="77" t="s">
        <v>10099</v>
      </c>
      <c r="AB3217" s="77" t="s">
        <v>10535</v>
      </c>
      <c r="AC3217" s="80" t="s">
        <v>10541</v>
      </c>
      <c r="AD3217" s="77" t="s">
        <v>10622</v>
      </c>
      <c r="AE3217" s="83" t="str">
        <f>HYPERLINK("https://twitter.com/sinthiya7905/status/1705297609278226907")</f>
        <v>https://twitter.com/sinthiya7905/status/1705297609278226907</v>
      </c>
      <c r="AF3217" s="79">
        <v>45191.796377314815</v>
      </c>
      <c r="AG3217" s="85">
        <v>45191</v>
      </c>
      <c r="AH3217" s="80" t="s">
        <v>13424</v>
      </c>
      <c r="AI3217" s="77" t="b">
        <v>0</v>
      </c>
      <c r="AJ3217" s="77"/>
      <c r="AK3217" s="77"/>
      <c r="AL3217" s="77"/>
      <c r="AM3217" s="77"/>
      <c r="AN3217" s="77"/>
      <c r="AO3217" s="77"/>
      <c r="AP3217" s="77"/>
      <c r="AQ3217" s="77" t="s">
        <v>15580</v>
      </c>
      <c r="AR3217" s="77"/>
      <c r="AS3217" s="77"/>
      <c r="AT3217" s="77"/>
      <c r="AU3217" s="77"/>
      <c r="AV3217" s="83" t="str">
        <f>HYPERLINK("https://pbs.twimg.com/media/F6pTcMDaAAE0209.jpg")</f>
        <v>https://pbs.twimg.com/media/F6pTcMDaAAE0209.jpg</v>
      </c>
      <c r="AW3217" s="80" t="s">
        <v>18953</v>
      </c>
      <c r="AX3217" s="80" t="s">
        <v>18953</v>
      </c>
      <c r="AY3217" s="77"/>
      <c r="AZ3217" s="80" t="s">
        <v>20380</v>
      </c>
      <c r="BA3217" s="80" t="s">
        <v>20380</v>
      </c>
      <c r="BB3217" s="80" t="s">
        <v>20380</v>
      </c>
      <c r="BC3217" s="80" t="s">
        <v>18953</v>
      </c>
      <c r="BD3217" s="80" t="s">
        <v>21020</v>
      </c>
      <c r="BE3217" s="77"/>
      <c r="BF3217" s="77"/>
      <c r="BG3217" s="77"/>
      <c r="BH3217" s="77"/>
      <c r="BI3217" s="77"/>
    </row>
    <row r="3218" spans="1:61" x14ac:dyDescent="0.25">
      <c r="A3218" s="62" t="s">
        <v>1288</v>
      </c>
      <c r="B3218" s="62" t="s">
        <v>1288</v>
      </c>
      <c r="C3218" s="63"/>
      <c r="D3218" s="64"/>
      <c r="E3218" s="65"/>
      <c r="F3218" s="66"/>
      <c r="G3218" s="63"/>
      <c r="H3218" s="67"/>
      <c r="I3218" s="68"/>
      <c r="J3218" s="68"/>
      <c r="K3218" s="32"/>
      <c r="L3218" s="75">
        <v>3218</v>
      </c>
      <c r="M3218" s="75"/>
      <c r="N3218" s="70"/>
      <c r="O3218" s="77" t="s">
        <v>179</v>
      </c>
      <c r="P3218" s="79">
        <v>45068.94972222222</v>
      </c>
      <c r="Q3218" s="77" t="s">
        <v>4922</v>
      </c>
      <c r="R3218" s="77">
        <v>0</v>
      </c>
      <c r="S3218" s="77">
        <v>10</v>
      </c>
      <c r="T3218" s="77">
        <v>0</v>
      </c>
      <c r="U3218" s="77">
        <v>0</v>
      </c>
      <c r="V3218" s="77">
        <v>75</v>
      </c>
      <c r="W3218" s="80" t="s">
        <v>7891</v>
      </c>
      <c r="X3218" s="83" t="str">
        <f>HYPERLINK("https://chptnoticias.com/el-banco-central-ya-puso-en-circulacion-el-nuevo-billete-de-2000/")</f>
        <v>https://chptnoticias.com/el-banco-central-ya-puso-en-circulacion-el-nuevo-billete-de-2000/</v>
      </c>
      <c r="Y3218" s="77" t="s">
        <v>8824</v>
      </c>
      <c r="Z3218" s="77"/>
      <c r="AA3218" s="77" t="s">
        <v>10100</v>
      </c>
      <c r="AB3218" s="77" t="s">
        <v>10535</v>
      </c>
      <c r="AC3218" s="80" t="s">
        <v>10607</v>
      </c>
      <c r="AD3218" s="77" t="s">
        <v>10620</v>
      </c>
      <c r="AE3218" s="83" t="str">
        <f>HYPERLINK("https://twitter.com/chubutparatodos/status/1660779471228510208")</f>
        <v>https://twitter.com/chubutparatodos/status/1660779471228510208</v>
      </c>
      <c r="AF3218" s="79">
        <v>45068.94972222222</v>
      </c>
      <c r="AG3218" s="85">
        <v>45068</v>
      </c>
      <c r="AH3218" s="80" t="s">
        <v>13425</v>
      </c>
      <c r="AI3218" s="77" t="b">
        <v>0</v>
      </c>
      <c r="AJ3218" s="77"/>
      <c r="AK3218" s="77"/>
      <c r="AL3218" s="77"/>
      <c r="AM3218" s="77"/>
      <c r="AN3218" s="77"/>
      <c r="AO3218" s="77"/>
      <c r="AP3218" s="77"/>
      <c r="AQ3218" s="77" t="s">
        <v>15581</v>
      </c>
      <c r="AR3218" s="77"/>
      <c r="AS3218" s="77"/>
      <c r="AT3218" s="77"/>
      <c r="AU3218" s="77"/>
      <c r="AV3218" s="83" t="str">
        <f>HYPERLINK("https://pbs.twimg.com/media/FwxGH8hXoAEu2NI.jpg")</f>
        <v>https://pbs.twimg.com/media/FwxGH8hXoAEu2NI.jpg</v>
      </c>
      <c r="AW3218" s="80" t="s">
        <v>18954</v>
      </c>
      <c r="AX3218" s="80" t="s">
        <v>18954</v>
      </c>
      <c r="AY3218" s="77"/>
      <c r="AZ3218" s="80" t="s">
        <v>20380</v>
      </c>
      <c r="BA3218" s="80" t="s">
        <v>20380</v>
      </c>
      <c r="BB3218" s="80" t="s">
        <v>20380</v>
      </c>
      <c r="BC3218" s="80" t="s">
        <v>18954</v>
      </c>
      <c r="BD3218" s="77">
        <v>4318258155</v>
      </c>
      <c r="BE3218" s="77"/>
      <c r="BF3218" s="77"/>
      <c r="BG3218" s="77"/>
      <c r="BH3218" s="77"/>
      <c r="BI3218" s="77"/>
    </row>
    <row r="3219" spans="1:61" x14ac:dyDescent="0.25">
      <c r="A3219" s="62" t="s">
        <v>1288</v>
      </c>
      <c r="B3219" s="62" t="s">
        <v>1288</v>
      </c>
      <c r="C3219" s="63"/>
      <c r="D3219" s="64"/>
      <c r="E3219" s="65"/>
      <c r="F3219" s="66"/>
      <c r="G3219" s="63"/>
      <c r="H3219" s="67"/>
      <c r="I3219" s="68"/>
      <c r="J3219" s="68"/>
      <c r="K3219" s="32"/>
      <c r="L3219" s="75">
        <v>3219</v>
      </c>
      <c r="M3219" s="75"/>
      <c r="N3219" s="70"/>
      <c r="O3219" s="77" t="s">
        <v>179</v>
      </c>
      <c r="P3219" s="79">
        <v>45155.940162037034</v>
      </c>
      <c r="Q3219" s="77" t="s">
        <v>4923</v>
      </c>
      <c r="R3219" s="77">
        <v>0</v>
      </c>
      <c r="S3219" s="77">
        <v>10</v>
      </c>
      <c r="T3219" s="77">
        <v>1</v>
      </c>
      <c r="U3219" s="77">
        <v>0</v>
      </c>
      <c r="V3219" s="77">
        <v>89</v>
      </c>
      <c r="W3219" s="80" t="s">
        <v>7892</v>
      </c>
      <c r="X3219" s="83" t="str">
        <f>HYPERLINK("https://chptnoticias.com/el-dolar-blue-retrocedio-despues-de-tres-dias-de-escalada/")</f>
        <v>https://chptnoticias.com/el-dolar-blue-retrocedio-despues-de-tres-dias-de-escalada/</v>
      </c>
      <c r="Y3219" s="77" t="s">
        <v>8824</v>
      </c>
      <c r="Z3219" s="77"/>
      <c r="AA3219" s="77" t="s">
        <v>10101</v>
      </c>
      <c r="AB3219" s="77" t="s">
        <v>10535</v>
      </c>
      <c r="AC3219" s="80" t="s">
        <v>10607</v>
      </c>
      <c r="AD3219" s="77" t="s">
        <v>10620</v>
      </c>
      <c r="AE3219" s="83" t="str">
        <f>HYPERLINK("https://twitter.com/chubutparatodos/status/1692303750457626958")</f>
        <v>https://twitter.com/chubutparatodos/status/1692303750457626958</v>
      </c>
      <c r="AF3219" s="79">
        <v>45155.940162037034</v>
      </c>
      <c r="AG3219" s="85">
        <v>45155</v>
      </c>
      <c r="AH3219" s="80" t="s">
        <v>13426</v>
      </c>
      <c r="AI3219" s="77" t="b">
        <v>0</v>
      </c>
      <c r="AJ3219" s="77"/>
      <c r="AK3219" s="77"/>
      <c r="AL3219" s="77"/>
      <c r="AM3219" s="77"/>
      <c r="AN3219" s="77"/>
      <c r="AO3219" s="77"/>
      <c r="AP3219" s="77"/>
      <c r="AQ3219" s="77" t="s">
        <v>15582</v>
      </c>
      <c r="AR3219" s="77"/>
      <c r="AS3219" s="77"/>
      <c r="AT3219" s="77"/>
      <c r="AU3219" s="77"/>
      <c r="AV3219" s="83" t="str">
        <f>HYPERLINK("https://pbs.twimg.com/media/F3xFSfBWoAEO2Hk.jpg")</f>
        <v>https://pbs.twimg.com/media/F3xFSfBWoAEO2Hk.jpg</v>
      </c>
      <c r="AW3219" s="80" t="s">
        <v>18955</v>
      </c>
      <c r="AX3219" s="80" t="s">
        <v>18955</v>
      </c>
      <c r="AY3219" s="77"/>
      <c r="AZ3219" s="80" t="s">
        <v>20380</v>
      </c>
      <c r="BA3219" s="80" t="s">
        <v>20380</v>
      </c>
      <c r="BB3219" s="80" t="s">
        <v>20380</v>
      </c>
      <c r="BC3219" s="80" t="s">
        <v>18955</v>
      </c>
      <c r="BD3219" s="77">
        <v>4318258155</v>
      </c>
      <c r="BE3219" s="77"/>
      <c r="BF3219" s="77"/>
      <c r="BG3219" s="77"/>
      <c r="BH3219" s="77"/>
      <c r="BI3219" s="77"/>
    </row>
    <row r="3220" spans="1:61" x14ac:dyDescent="0.25">
      <c r="A3220" s="62" t="s">
        <v>1288</v>
      </c>
      <c r="B3220" s="62" t="s">
        <v>1288</v>
      </c>
      <c r="C3220" s="63"/>
      <c r="D3220" s="64"/>
      <c r="E3220" s="65"/>
      <c r="F3220" s="66"/>
      <c r="G3220" s="63"/>
      <c r="H3220" s="67"/>
      <c r="I3220" s="68"/>
      <c r="J3220" s="68"/>
      <c r="K3220" s="32"/>
      <c r="L3220" s="75">
        <v>3220</v>
      </c>
      <c r="M3220" s="75"/>
      <c r="N3220" s="70"/>
      <c r="O3220" s="77" t="s">
        <v>179</v>
      </c>
      <c r="P3220" s="79">
        <v>45170.447743055556</v>
      </c>
      <c r="Q3220" s="77" t="s">
        <v>4924</v>
      </c>
      <c r="R3220" s="77">
        <v>0</v>
      </c>
      <c r="S3220" s="77">
        <v>10</v>
      </c>
      <c r="T3220" s="77">
        <v>0</v>
      </c>
      <c r="U3220" s="77">
        <v>0</v>
      </c>
      <c r="V3220" s="77">
        <v>33</v>
      </c>
      <c r="W3220" s="80" t="s">
        <v>7893</v>
      </c>
      <c r="X3220" s="83" t="str">
        <f>HYPERLINK("https://chptnoticias.com/milei-defendio-la-dolarizacion-ustedes-no-necesitan-un-banco-central/")</f>
        <v>https://chptnoticias.com/milei-defendio-la-dolarizacion-ustedes-no-necesitan-un-banco-central/</v>
      </c>
      <c r="Y3220" s="77" t="s">
        <v>8824</v>
      </c>
      <c r="Z3220" s="77"/>
      <c r="AA3220" s="77" t="s">
        <v>10102</v>
      </c>
      <c r="AB3220" s="77" t="s">
        <v>10535</v>
      </c>
      <c r="AC3220" s="80" t="s">
        <v>10541</v>
      </c>
      <c r="AD3220" s="77" t="s">
        <v>10620</v>
      </c>
      <c r="AE3220" s="83" t="str">
        <f>HYPERLINK("https://twitter.com/chubutparatodos/status/1697561123262755167")</f>
        <v>https://twitter.com/chubutparatodos/status/1697561123262755167</v>
      </c>
      <c r="AF3220" s="79">
        <v>45170.447743055556</v>
      </c>
      <c r="AG3220" s="85">
        <v>45170</v>
      </c>
      <c r="AH3220" s="80" t="s">
        <v>13427</v>
      </c>
      <c r="AI3220" s="77" t="b">
        <v>0</v>
      </c>
      <c r="AJ3220" s="77"/>
      <c r="AK3220" s="77"/>
      <c r="AL3220" s="77"/>
      <c r="AM3220" s="77"/>
      <c r="AN3220" s="77"/>
      <c r="AO3220" s="77"/>
      <c r="AP3220" s="77"/>
      <c r="AQ3220" s="77" t="s">
        <v>15583</v>
      </c>
      <c r="AR3220" s="77"/>
      <c r="AS3220" s="77"/>
      <c r="AT3220" s="77"/>
      <c r="AU3220" s="77"/>
      <c r="AV3220" s="83" t="str">
        <f>HYPERLINK("https://pbs.twimg.com/media/F47y19zXwAAZhBf.jpg")</f>
        <v>https://pbs.twimg.com/media/F47y19zXwAAZhBf.jpg</v>
      </c>
      <c r="AW3220" s="80" t="s">
        <v>18956</v>
      </c>
      <c r="AX3220" s="80" t="s">
        <v>18956</v>
      </c>
      <c r="AY3220" s="77"/>
      <c r="AZ3220" s="80" t="s">
        <v>20380</v>
      </c>
      <c r="BA3220" s="80" t="s">
        <v>20380</v>
      </c>
      <c r="BB3220" s="80" t="s">
        <v>20380</v>
      </c>
      <c r="BC3220" s="80" t="s">
        <v>18956</v>
      </c>
      <c r="BD3220" s="77">
        <v>4318258155</v>
      </c>
      <c r="BE3220" s="77"/>
      <c r="BF3220" s="77"/>
      <c r="BG3220" s="77"/>
      <c r="BH3220" s="77"/>
      <c r="BI3220" s="77"/>
    </row>
    <row r="3221" spans="1:61" x14ac:dyDescent="0.25">
      <c r="A3221" s="62" t="s">
        <v>1288</v>
      </c>
      <c r="B3221" s="62" t="s">
        <v>1288</v>
      </c>
      <c r="C3221" s="63"/>
      <c r="D3221" s="64"/>
      <c r="E3221" s="65"/>
      <c r="F3221" s="66"/>
      <c r="G3221" s="63"/>
      <c r="H3221" s="67"/>
      <c r="I3221" s="68"/>
      <c r="J3221" s="68"/>
      <c r="K3221" s="32"/>
      <c r="L3221" s="75">
        <v>3221</v>
      </c>
      <c r="M3221" s="75"/>
      <c r="N3221" s="70"/>
      <c r="O3221" s="77" t="s">
        <v>179</v>
      </c>
      <c r="P3221" s="79">
        <v>45140.444467592592</v>
      </c>
      <c r="Q3221" s="77" t="s">
        <v>4925</v>
      </c>
      <c r="R3221" s="77">
        <v>0</v>
      </c>
      <c r="S3221" s="77">
        <v>10</v>
      </c>
      <c r="T3221" s="77">
        <v>0</v>
      </c>
      <c r="U3221" s="77">
        <v>0</v>
      </c>
      <c r="V3221" s="77">
        <v>39</v>
      </c>
      <c r="W3221" s="80" t="s">
        <v>7894</v>
      </c>
      <c r="X3221" s="83" t="str">
        <f>HYPERLINK("https://chptnoticias.com/califican-de-bestialidad-la-propuesta-de-patricia-bullrich-de-entrar-con-una-camara-al-banco-central/")</f>
        <v>https://chptnoticias.com/califican-de-bestialidad-la-propuesta-de-patricia-bullrich-de-entrar-con-una-camara-al-banco-central/</v>
      </c>
      <c r="Y3221" s="77" t="s">
        <v>8824</v>
      </c>
      <c r="Z3221" s="77"/>
      <c r="AA3221" s="77" t="s">
        <v>10103</v>
      </c>
      <c r="AB3221" s="77" t="s">
        <v>10535</v>
      </c>
      <c r="AC3221" s="80" t="s">
        <v>10607</v>
      </c>
      <c r="AD3221" s="77" t="s">
        <v>10620</v>
      </c>
      <c r="AE3221" s="83" t="str">
        <f>HYPERLINK("https://twitter.com/chubutparatodos/status/1686688298121523200")</f>
        <v>https://twitter.com/chubutparatodos/status/1686688298121523200</v>
      </c>
      <c r="AF3221" s="79">
        <v>45140.444467592592</v>
      </c>
      <c r="AG3221" s="85">
        <v>45140</v>
      </c>
      <c r="AH3221" s="80" t="s">
        <v>13428</v>
      </c>
      <c r="AI3221" s="77" t="b">
        <v>0</v>
      </c>
      <c r="AJ3221" s="77"/>
      <c r="AK3221" s="77"/>
      <c r="AL3221" s="77"/>
      <c r="AM3221" s="77"/>
      <c r="AN3221" s="77"/>
      <c r="AO3221" s="77"/>
      <c r="AP3221" s="77"/>
      <c r="AQ3221" s="77" t="s">
        <v>15584</v>
      </c>
      <c r="AR3221" s="77"/>
      <c r="AS3221" s="77"/>
      <c r="AT3221" s="77"/>
      <c r="AU3221" s="77"/>
      <c r="AV3221" s="83" t="str">
        <f>HYPERLINK("https://pbs.twimg.com/media/F2hSEHyXUAANKQv.jpg")</f>
        <v>https://pbs.twimg.com/media/F2hSEHyXUAANKQv.jpg</v>
      </c>
      <c r="AW3221" s="80" t="s">
        <v>18957</v>
      </c>
      <c r="AX3221" s="80" t="s">
        <v>18957</v>
      </c>
      <c r="AY3221" s="77"/>
      <c r="AZ3221" s="80" t="s">
        <v>20380</v>
      </c>
      <c r="BA3221" s="80" t="s">
        <v>20380</v>
      </c>
      <c r="BB3221" s="80" t="s">
        <v>20380</v>
      </c>
      <c r="BC3221" s="80" t="s">
        <v>18957</v>
      </c>
      <c r="BD3221" s="77">
        <v>4318258155</v>
      </c>
      <c r="BE3221" s="77"/>
      <c r="BF3221" s="77"/>
      <c r="BG3221" s="77"/>
      <c r="BH3221" s="77"/>
      <c r="BI3221" s="77"/>
    </row>
    <row r="3222" spans="1:61" x14ac:dyDescent="0.25">
      <c r="A3222" s="62" t="s">
        <v>1288</v>
      </c>
      <c r="B3222" s="62" t="s">
        <v>1288</v>
      </c>
      <c r="C3222" s="63"/>
      <c r="D3222" s="64"/>
      <c r="E3222" s="65"/>
      <c r="F3222" s="66"/>
      <c r="G3222" s="63"/>
      <c r="H3222" s="67"/>
      <c r="I3222" s="68"/>
      <c r="J3222" s="68"/>
      <c r="K3222" s="32"/>
      <c r="L3222" s="75">
        <v>3222</v>
      </c>
      <c r="M3222" s="75"/>
      <c r="N3222" s="70"/>
      <c r="O3222" s="77" t="s">
        <v>179</v>
      </c>
      <c r="P3222" s="79">
        <v>45139.983020833337</v>
      </c>
      <c r="Q3222" s="77" t="s">
        <v>4926</v>
      </c>
      <c r="R3222" s="77">
        <v>0</v>
      </c>
      <c r="S3222" s="77">
        <v>10</v>
      </c>
      <c r="T3222" s="77">
        <v>0</v>
      </c>
      <c r="U3222" s="77">
        <v>0</v>
      </c>
      <c r="V3222" s="77">
        <v>43</v>
      </c>
      <c r="W3222" s="80" t="s">
        <v>7894</v>
      </c>
      <c r="X3222" s="83" t="str">
        <f>HYPERLINK("https://chptnoticias.com/califican-de-bestialidad-la-propuesta-de-patricia-bullrich-de-entrar-con-una-camara-al-banco-central/")</f>
        <v>https://chptnoticias.com/califican-de-bestialidad-la-propuesta-de-patricia-bullrich-de-entrar-con-una-camara-al-banco-central/</v>
      </c>
      <c r="Y3222" s="77" t="s">
        <v>8824</v>
      </c>
      <c r="Z3222" s="77"/>
      <c r="AA3222" s="77" t="s">
        <v>10104</v>
      </c>
      <c r="AB3222" s="77" t="s">
        <v>10535</v>
      </c>
      <c r="AC3222" s="80" t="s">
        <v>10607</v>
      </c>
      <c r="AD3222" s="77" t="s">
        <v>10620</v>
      </c>
      <c r="AE3222" s="83" t="str">
        <f>HYPERLINK("https://twitter.com/chubutparatodos/status/1686521077730516994")</f>
        <v>https://twitter.com/chubutparatodos/status/1686521077730516994</v>
      </c>
      <c r="AF3222" s="79">
        <v>45139.983020833337</v>
      </c>
      <c r="AG3222" s="85">
        <v>45139</v>
      </c>
      <c r="AH3222" s="80" t="s">
        <v>13429</v>
      </c>
      <c r="AI3222" s="77" t="b">
        <v>0</v>
      </c>
      <c r="AJ3222" s="77"/>
      <c r="AK3222" s="77"/>
      <c r="AL3222" s="77"/>
      <c r="AM3222" s="77"/>
      <c r="AN3222" s="77"/>
      <c r="AO3222" s="77"/>
      <c r="AP3222" s="77"/>
      <c r="AQ3222" s="77" t="s">
        <v>15585</v>
      </c>
      <c r="AR3222" s="77"/>
      <c r="AS3222" s="77"/>
      <c r="AT3222" s="77"/>
      <c r="AU3222" s="77"/>
      <c r="AV3222" s="83" t="str">
        <f>HYPERLINK("https://pbs.twimg.com/media/F2e5-mCXEAAgtrJ.jpg")</f>
        <v>https://pbs.twimg.com/media/F2e5-mCXEAAgtrJ.jpg</v>
      </c>
      <c r="AW3222" s="80" t="s">
        <v>18958</v>
      </c>
      <c r="AX3222" s="80" t="s">
        <v>18958</v>
      </c>
      <c r="AY3222" s="77"/>
      <c r="AZ3222" s="80" t="s">
        <v>20380</v>
      </c>
      <c r="BA3222" s="80" t="s">
        <v>20380</v>
      </c>
      <c r="BB3222" s="80" t="s">
        <v>20380</v>
      </c>
      <c r="BC3222" s="80" t="s">
        <v>18958</v>
      </c>
      <c r="BD3222" s="77">
        <v>4318258155</v>
      </c>
      <c r="BE3222" s="77"/>
      <c r="BF3222" s="77"/>
      <c r="BG3222" s="77"/>
      <c r="BH3222" s="77"/>
      <c r="BI3222" s="77"/>
    </row>
    <row r="3223" spans="1:61" x14ac:dyDescent="0.25">
      <c r="A3223" s="62" t="s">
        <v>1288</v>
      </c>
      <c r="B3223" s="62" t="s">
        <v>1288</v>
      </c>
      <c r="C3223" s="63"/>
      <c r="D3223" s="64"/>
      <c r="E3223" s="65"/>
      <c r="F3223" s="66"/>
      <c r="G3223" s="63"/>
      <c r="H3223" s="67"/>
      <c r="I3223" s="68"/>
      <c r="J3223" s="68"/>
      <c r="K3223" s="32"/>
      <c r="L3223" s="75">
        <v>3223</v>
      </c>
      <c r="M3223" s="75"/>
      <c r="N3223" s="70"/>
      <c r="O3223" s="77" t="s">
        <v>179</v>
      </c>
      <c r="P3223" s="79">
        <v>45184.934965277775</v>
      </c>
      <c r="Q3223" s="77" t="s">
        <v>4927</v>
      </c>
      <c r="R3223" s="77">
        <v>0</v>
      </c>
      <c r="S3223" s="77">
        <v>10</v>
      </c>
      <c r="T3223" s="77">
        <v>0</v>
      </c>
      <c r="U3223" s="77">
        <v>0</v>
      </c>
      <c r="V3223" s="77">
        <v>35</v>
      </c>
      <c r="W3223" s="80" t="s">
        <v>7895</v>
      </c>
      <c r="X3223" s="83" t="str">
        <f>HYPERLINK("https://chptnoticias.com/adios-a-los-billetes-de-2000-por-que-los-rechazan-los-cajeros-y-que-hacer-si-tengo-uno/")</f>
        <v>https://chptnoticias.com/adios-a-los-billetes-de-2000-por-que-los-rechazan-los-cajeros-y-que-hacer-si-tengo-uno/</v>
      </c>
      <c r="Y3223" s="77" t="s">
        <v>8824</v>
      </c>
      <c r="Z3223" s="77"/>
      <c r="AA3223" s="77" t="s">
        <v>10105</v>
      </c>
      <c r="AB3223" s="77" t="s">
        <v>10535</v>
      </c>
      <c r="AC3223" s="80" t="s">
        <v>10607</v>
      </c>
      <c r="AD3223" s="77" t="s">
        <v>10620</v>
      </c>
      <c r="AE3223" s="83" t="str">
        <f>HYPERLINK("https://twitter.com/chubutparatodos/status/1702811118266118540")</f>
        <v>https://twitter.com/chubutparatodos/status/1702811118266118540</v>
      </c>
      <c r="AF3223" s="79">
        <v>45184.934965277775</v>
      </c>
      <c r="AG3223" s="85">
        <v>45184</v>
      </c>
      <c r="AH3223" s="80" t="s">
        <v>13430</v>
      </c>
      <c r="AI3223" s="77" t="b">
        <v>0</v>
      </c>
      <c r="AJ3223" s="77"/>
      <c r="AK3223" s="77"/>
      <c r="AL3223" s="77"/>
      <c r="AM3223" s="77"/>
      <c r="AN3223" s="77"/>
      <c r="AO3223" s="77"/>
      <c r="AP3223" s="77"/>
      <c r="AQ3223" s="77" t="s">
        <v>15586</v>
      </c>
      <c r="AR3223" s="77"/>
      <c r="AS3223" s="77"/>
      <c r="AT3223" s="77"/>
      <c r="AU3223" s="77"/>
      <c r="AV3223" s="83" t="str">
        <f>HYPERLINK("https://pbs.twimg.com/media/F6GZrxUWIAAzB_P.jpg")</f>
        <v>https://pbs.twimg.com/media/F6GZrxUWIAAzB_P.jpg</v>
      </c>
      <c r="AW3223" s="80" t="s">
        <v>18959</v>
      </c>
      <c r="AX3223" s="80" t="s">
        <v>18959</v>
      </c>
      <c r="AY3223" s="77"/>
      <c r="AZ3223" s="80" t="s">
        <v>20380</v>
      </c>
      <c r="BA3223" s="80" t="s">
        <v>20380</v>
      </c>
      <c r="BB3223" s="80" t="s">
        <v>20380</v>
      </c>
      <c r="BC3223" s="80" t="s">
        <v>18959</v>
      </c>
      <c r="BD3223" s="77">
        <v>4318258155</v>
      </c>
      <c r="BE3223" s="77"/>
      <c r="BF3223" s="77"/>
      <c r="BG3223" s="77"/>
      <c r="BH3223" s="77"/>
      <c r="BI3223" s="77"/>
    </row>
    <row r="3224" spans="1:61" x14ac:dyDescent="0.25">
      <c r="A3224" s="62" t="s">
        <v>1288</v>
      </c>
      <c r="B3224" s="62" t="s">
        <v>1288</v>
      </c>
      <c r="C3224" s="63"/>
      <c r="D3224" s="64"/>
      <c r="E3224" s="65"/>
      <c r="F3224" s="66"/>
      <c r="G3224" s="63"/>
      <c r="H3224" s="67"/>
      <c r="I3224" s="68"/>
      <c r="J3224" s="68"/>
      <c r="K3224" s="32"/>
      <c r="L3224" s="75">
        <v>3224</v>
      </c>
      <c r="M3224" s="75"/>
      <c r="N3224" s="70"/>
      <c r="O3224" s="77" t="s">
        <v>179</v>
      </c>
      <c r="P3224" s="79">
        <v>45192.458541666667</v>
      </c>
      <c r="Q3224" s="77" t="s">
        <v>4928</v>
      </c>
      <c r="R3224" s="77">
        <v>0</v>
      </c>
      <c r="S3224" s="77">
        <v>10</v>
      </c>
      <c r="T3224" s="77">
        <v>0</v>
      </c>
      <c r="U3224" s="77">
        <v>0</v>
      </c>
      <c r="V3224" s="77">
        <v>53</v>
      </c>
      <c r="W3224" s="80" t="s">
        <v>7896</v>
      </c>
      <c r="X3224" s="83" t="str">
        <f>HYPERLINK("https://chptnoticias.com/quien-es-emilio-ocampo-el-economista-que-javier-milei-piensa-poner-al-frente-del-banco-central-para-cerrarlo/")</f>
        <v>https://chptnoticias.com/quien-es-emilio-ocampo-el-economista-que-javier-milei-piensa-poner-al-frente-del-banco-central-para-cerrarlo/</v>
      </c>
      <c r="Y3224" s="77" t="s">
        <v>8824</v>
      </c>
      <c r="Z3224" s="77"/>
      <c r="AA3224" s="77" t="s">
        <v>10106</v>
      </c>
      <c r="AB3224" s="77" t="s">
        <v>10535</v>
      </c>
      <c r="AC3224" s="80" t="s">
        <v>10607</v>
      </c>
      <c r="AD3224" s="77" t="s">
        <v>10620</v>
      </c>
      <c r="AE3224" s="83" t="str">
        <f>HYPERLINK("https://twitter.com/chubutparatodos/status/1705537569579008464")</f>
        <v>https://twitter.com/chubutparatodos/status/1705537569579008464</v>
      </c>
      <c r="AF3224" s="79">
        <v>45192.458541666667</v>
      </c>
      <c r="AG3224" s="85">
        <v>45192</v>
      </c>
      <c r="AH3224" s="80" t="s">
        <v>13431</v>
      </c>
      <c r="AI3224" s="77" t="b">
        <v>0</v>
      </c>
      <c r="AJ3224" s="77"/>
      <c r="AK3224" s="77"/>
      <c r="AL3224" s="77"/>
      <c r="AM3224" s="77"/>
      <c r="AN3224" s="77"/>
      <c r="AO3224" s="77"/>
      <c r="AP3224" s="77"/>
      <c r="AQ3224" s="77" t="s">
        <v>15587</v>
      </c>
      <c r="AR3224" s="77"/>
      <c r="AS3224" s="77"/>
      <c r="AT3224" s="77"/>
      <c r="AU3224" s="77"/>
      <c r="AV3224" s="83" t="str">
        <f>HYPERLINK("https://pbs.twimg.com/media/F6tJYFrXUAApGNH.jpg")</f>
        <v>https://pbs.twimg.com/media/F6tJYFrXUAApGNH.jpg</v>
      </c>
      <c r="AW3224" s="80" t="s">
        <v>18960</v>
      </c>
      <c r="AX3224" s="80" t="s">
        <v>18960</v>
      </c>
      <c r="AY3224" s="77"/>
      <c r="AZ3224" s="80" t="s">
        <v>20380</v>
      </c>
      <c r="BA3224" s="80" t="s">
        <v>20380</v>
      </c>
      <c r="BB3224" s="80" t="s">
        <v>20380</v>
      </c>
      <c r="BC3224" s="80" t="s">
        <v>18960</v>
      </c>
      <c r="BD3224" s="77">
        <v>4318258155</v>
      </c>
      <c r="BE3224" s="77"/>
      <c r="BF3224" s="77"/>
      <c r="BG3224" s="77"/>
      <c r="BH3224" s="77"/>
      <c r="BI3224" s="77"/>
    </row>
    <row r="3225" spans="1:61" x14ac:dyDescent="0.25">
      <c r="A3225" s="62" t="s">
        <v>1289</v>
      </c>
      <c r="B3225" s="62" t="s">
        <v>1289</v>
      </c>
      <c r="C3225" s="63"/>
      <c r="D3225" s="64"/>
      <c r="E3225" s="65"/>
      <c r="F3225" s="66"/>
      <c r="G3225" s="63"/>
      <c r="H3225" s="67"/>
      <c r="I3225" s="68"/>
      <c r="J3225" s="68"/>
      <c r="K3225" s="32"/>
      <c r="L3225" s="75">
        <v>3225</v>
      </c>
      <c r="M3225" s="75"/>
      <c r="N3225" s="70"/>
      <c r="O3225" s="77" t="s">
        <v>179</v>
      </c>
      <c r="P3225" s="79">
        <v>45103.647685185184</v>
      </c>
      <c r="Q3225" s="77" t="s">
        <v>4929</v>
      </c>
      <c r="R3225" s="77">
        <v>0</v>
      </c>
      <c r="S3225" s="77">
        <v>0</v>
      </c>
      <c r="T3225" s="77">
        <v>0</v>
      </c>
      <c r="U3225" s="77">
        <v>0</v>
      </c>
      <c r="V3225" s="77">
        <v>100</v>
      </c>
      <c r="W3225" s="80" t="s">
        <v>7897</v>
      </c>
      <c r="X3225" s="83" t="str">
        <f>HYPERLINK("https://bit.ly/3pl4dnC")</f>
        <v>https://bit.ly/3pl4dnC</v>
      </c>
      <c r="Y3225" s="77" t="s">
        <v>8618</v>
      </c>
      <c r="Z3225" s="77"/>
      <c r="AA3225" s="77" t="s">
        <v>10107</v>
      </c>
      <c r="AB3225" s="77" t="s">
        <v>10535</v>
      </c>
      <c r="AC3225" s="80" t="s">
        <v>10541</v>
      </c>
      <c r="AD3225" s="77" t="s">
        <v>10617</v>
      </c>
      <c r="AE3225" s="83" t="str">
        <f>HYPERLINK("https://twitter.com/uchoinfo/status/1673353590641926146")</f>
        <v>https://twitter.com/uchoinfo/status/1673353590641926146</v>
      </c>
      <c r="AF3225" s="79">
        <v>45103.647685185184</v>
      </c>
      <c r="AG3225" s="85">
        <v>45103</v>
      </c>
      <c r="AH3225" s="80" t="s">
        <v>13432</v>
      </c>
      <c r="AI3225" s="77" t="b">
        <v>0</v>
      </c>
      <c r="AJ3225" s="77"/>
      <c r="AK3225" s="77"/>
      <c r="AL3225" s="77"/>
      <c r="AM3225" s="77"/>
      <c r="AN3225" s="77"/>
      <c r="AO3225" s="77"/>
      <c r="AP3225" s="77"/>
      <c r="AQ3225" s="77" t="s">
        <v>15588</v>
      </c>
      <c r="AR3225" s="77"/>
      <c r="AS3225" s="77"/>
      <c r="AT3225" s="77"/>
      <c r="AU3225" s="77"/>
      <c r="AV3225" s="83" t="str">
        <f>HYPERLINK("https://pbs.twimg.com/media/FzjyN4FWIAMUH69.jpg")</f>
        <v>https://pbs.twimg.com/media/FzjyN4FWIAMUH69.jpg</v>
      </c>
      <c r="AW3225" s="80" t="s">
        <v>18961</v>
      </c>
      <c r="AX3225" s="80" t="s">
        <v>18961</v>
      </c>
      <c r="AY3225" s="77"/>
      <c r="AZ3225" s="80" t="s">
        <v>20380</v>
      </c>
      <c r="BA3225" s="80" t="s">
        <v>20380</v>
      </c>
      <c r="BB3225" s="80" t="s">
        <v>20380</v>
      </c>
      <c r="BC3225" s="80" t="s">
        <v>18961</v>
      </c>
      <c r="BD3225" s="77">
        <v>39525281</v>
      </c>
      <c r="BE3225" s="77"/>
      <c r="BF3225" s="77"/>
      <c r="BG3225" s="77"/>
      <c r="BH3225" s="77"/>
      <c r="BI3225" s="77"/>
    </row>
    <row r="3226" spans="1:61" x14ac:dyDescent="0.25">
      <c r="A3226" s="62" t="s">
        <v>1289</v>
      </c>
      <c r="B3226" s="62" t="s">
        <v>1289</v>
      </c>
      <c r="C3226" s="63"/>
      <c r="D3226" s="64"/>
      <c r="E3226" s="65"/>
      <c r="F3226" s="66"/>
      <c r="G3226" s="63"/>
      <c r="H3226" s="67"/>
      <c r="I3226" s="68"/>
      <c r="J3226" s="68"/>
      <c r="K3226" s="32"/>
      <c r="L3226" s="75">
        <v>3226</v>
      </c>
      <c r="M3226" s="75"/>
      <c r="N3226" s="70"/>
      <c r="O3226" s="77" t="s">
        <v>179</v>
      </c>
      <c r="P3226" s="79">
        <v>45089.689710648148</v>
      </c>
      <c r="Q3226" s="77" t="s">
        <v>4930</v>
      </c>
      <c r="R3226" s="77">
        <v>0</v>
      </c>
      <c r="S3226" s="77">
        <v>0</v>
      </c>
      <c r="T3226" s="77">
        <v>1</v>
      </c>
      <c r="U3226" s="77">
        <v>0</v>
      </c>
      <c r="V3226" s="77">
        <v>103</v>
      </c>
      <c r="W3226" s="80" t="s">
        <v>7898</v>
      </c>
      <c r="X3226" s="83" t="str">
        <f>HYPERLINK("https://bit.ly/3Nq3kDG")</f>
        <v>https://bit.ly/3Nq3kDG</v>
      </c>
      <c r="Y3226" s="77" t="s">
        <v>8618</v>
      </c>
      <c r="Z3226" s="77"/>
      <c r="AA3226" s="77" t="s">
        <v>10108</v>
      </c>
      <c r="AB3226" s="77" t="s">
        <v>10535</v>
      </c>
      <c r="AC3226" s="80" t="s">
        <v>10541</v>
      </c>
      <c r="AD3226" s="77" t="s">
        <v>10617</v>
      </c>
      <c r="AE3226" s="83" t="str">
        <f>HYPERLINK("https://twitter.com/uchoinfo/status/1668295393795362817")</f>
        <v>https://twitter.com/uchoinfo/status/1668295393795362817</v>
      </c>
      <c r="AF3226" s="79">
        <v>45089.689710648148</v>
      </c>
      <c r="AG3226" s="85">
        <v>45089</v>
      </c>
      <c r="AH3226" s="80" t="s">
        <v>13433</v>
      </c>
      <c r="AI3226" s="77" t="b">
        <v>0</v>
      </c>
      <c r="AJ3226" s="77"/>
      <c r="AK3226" s="77"/>
      <c r="AL3226" s="77"/>
      <c r="AM3226" s="77"/>
      <c r="AN3226" s="77"/>
      <c r="AO3226" s="77"/>
      <c r="AP3226" s="77"/>
      <c r="AQ3226" s="77" t="s">
        <v>15589</v>
      </c>
      <c r="AR3226" s="77"/>
      <c r="AS3226" s="77"/>
      <c r="AT3226" s="77"/>
      <c r="AU3226" s="77"/>
      <c r="AV3226" s="83" t="str">
        <f>HYPERLINK("https://pbs.twimg.com/media/Fyb5ziaXsBAlHtV.jpg")</f>
        <v>https://pbs.twimg.com/media/Fyb5ziaXsBAlHtV.jpg</v>
      </c>
      <c r="AW3226" s="80" t="s">
        <v>18962</v>
      </c>
      <c r="AX3226" s="80" t="s">
        <v>18962</v>
      </c>
      <c r="AY3226" s="77"/>
      <c r="AZ3226" s="80" t="s">
        <v>20380</v>
      </c>
      <c r="BA3226" s="80" t="s">
        <v>20380</v>
      </c>
      <c r="BB3226" s="80" t="s">
        <v>20380</v>
      </c>
      <c r="BC3226" s="80" t="s">
        <v>18962</v>
      </c>
      <c r="BD3226" s="77">
        <v>39525281</v>
      </c>
      <c r="BE3226" s="77"/>
      <c r="BF3226" s="77"/>
      <c r="BG3226" s="77"/>
      <c r="BH3226" s="77"/>
      <c r="BI3226" s="77"/>
    </row>
    <row r="3227" spans="1:61" x14ac:dyDescent="0.25">
      <c r="A3227" s="62" t="s">
        <v>1289</v>
      </c>
      <c r="B3227" s="62" t="s">
        <v>1289</v>
      </c>
      <c r="C3227" s="63"/>
      <c r="D3227" s="64"/>
      <c r="E3227" s="65"/>
      <c r="F3227" s="66"/>
      <c r="G3227" s="63"/>
      <c r="H3227" s="67"/>
      <c r="I3227" s="68"/>
      <c r="J3227" s="68"/>
      <c r="K3227" s="32"/>
      <c r="L3227" s="75">
        <v>3227</v>
      </c>
      <c r="M3227" s="75"/>
      <c r="N3227" s="70"/>
      <c r="O3227" s="77" t="s">
        <v>179</v>
      </c>
      <c r="P3227" s="79">
        <v>45110.743310185186</v>
      </c>
      <c r="Q3227" s="77" t="s">
        <v>4931</v>
      </c>
      <c r="R3227" s="77">
        <v>0</v>
      </c>
      <c r="S3227" s="77">
        <v>0</v>
      </c>
      <c r="T3227" s="77">
        <v>0</v>
      </c>
      <c r="U3227" s="77">
        <v>0</v>
      </c>
      <c r="V3227" s="77">
        <v>61</v>
      </c>
      <c r="W3227" s="80" t="s">
        <v>7899</v>
      </c>
      <c r="X3227" s="83" t="str">
        <f>HYPERLINK("https://bit.ly/44y6UkV")</f>
        <v>https://bit.ly/44y6UkV</v>
      </c>
      <c r="Y3227" s="77" t="s">
        <v>8618</v>
      </c>
      <c r="Z3227" s="77"/>
      <c r="AA3227" s="77" t="s">
        <v>10109</v>
      </c>
      <c r="AB3227" s="77" t="s">
        <v>10535</v>
      </c>
      <c r="AC3227" s="80" t="s">
        <v>10541</v>
      </c>
      <c r="AD3227" s="77" t="s">
        <v>10617</v>
      </c>
      <c r="AE3227" s="83" t="str">
        <f>HYPERLINK("https://twitter.com/uchoinfo/status/1675924959988686862")</f>
        <v>https://twitter.com/uchoinfo/status/1675924959988686862</v>
      </c>
      <c r="AF3227" s="79">
        <v>45110.743310185186</v>
      </c>
      <c r="AG3227" s="85">
        <v>45110</v>
      </c>
      <c r="AH3227" s="80" t="s">
        <v>13434</v>
      </c>
      <c r="AI3227" s="77" t="b">
        <v>0</v>
      </c>
      <c r="AJ3227" s="77"/>
      <c r="AK3227" s="77"/>
      <c r="AL3227" s="77"/>
      <c r="AM3227" s="77"/>
      <c r="AN3227" s="77"/>
      <c r="AO3227" s="77"/>
      <c r="AP3227" s="77"/>
      <c r="AQ3227" s="77" t="s">
        <v>15590</v>
      </c>
      <c r="AR3227" s="77"/>
      <c r="AS3227" s="77"/>
      <c r="AT3227" s="77"/>
      <c r="AU3227" s="77"/>
      <c r="AV3227" s="83" t="str">
        <f>HYPERLINK("https://pbs.twimg.com/media/F0IU3bPWIAcsww6.jpg")</f>
        <v>https://pbs.twimg.com/media/F0IU3bPWIAcsww6.jpg</v>
      </c>
      <c r="AW3227" s="80" t="s">
        <v>18963</v>
      </c>
      <c r="AX3227" s="80" t="s">
        <v>18963</v>
      </c>
      <c r="AY3227" s="77"/>
      <c r="AZ3227" s="80" t="s">
        <v>20380</v>
      </c>
      <c r="BA3227" s="80" t="s">
        <v>20380</v>
      </c>
      <c r="BB3227" s="80" t="s">
        <v>20380</v>
      </c>
      <c r="BC3227" s="80" t="s">
        <v>18963</v>
      </c>
      <c r="BD3227" s="77">
        <v>39525281</v>
      </c>
      <c r="BE3227" s="77"/>
      <c r="BF3227" s="77"/>
      <c r="BG3227" s="77"/>
      <c r="BH3227" s="77"/>
      <c r="BI3227" s="77"/>
    </row>
    <row r="3228" spans="1:61" x14ac:dyDescent="0.25">
      <c r="A3228" s="62" t="s">
        <v>1289</v>
      </c>
      <c r="B3228" s="62" t="s">
        <v>1289</v>
      </c>
      <c r="C3228" s="63"/>
      <c r="D3228" s="64"/>
      <c r="E3228" s="65"/>
      <c r="F3228" s="66"/>
      <c r="G3228" s="63"/>
      <c r="H3228" s="67"/>
      <c r="I3228" s="68"/>
      <c r="J3228" s="68"/>
      <c r="K3228" s="32"/>
      <c r="L3228" s="75">
        <v>3228</v>
      </c>
      <c r="M3228" s="75"/>
      <c r="N3228" s="70"/>
      <c r="O3228" s="77" t="s">
        <v>179</v>
      </c>
      <c r="P3228" s="79">
        <v>45096.770636574074</v>
      </c>
      <c r="Q3228" s="77" t="s">
        <v>4932</v>
      </c>
      <c r="R3228" s="77">
        <v>0</v>
      </c>
      <c r="S3228" s="77">
        <v>0</v>
      </c>
      <c r="T3228" s="77">
        <v>1</v>
      </c>
      <c r="U3228" s="77">
        <v>0</v>
      </c>
      <c r="V3228" s="77">
        <v>39</v>
      </c>
      <c r="W3228" s="80" t="s">
        <v>7900</v>
      </c>
      <c r="X3228" s="83" t="str">
        <f>HYPERLINK("https://bit.ly/3Jlm4BO")</f>
        <v>https://bit.ly/3Jlm4BO</v>
      </c>
      <c r="Y3228" s="77" t="s">
        <v>8618</v>
      </c>
      <c r="Z3228" s="77"/>
      <c r="AA3228" s="77" t="s">
        <v>10110</v>
      </c>
      <c r="AB3228" s="77" t="s">
        <v>10535</v>
      </c>
      <c r="AC3228" s="80" t="s">
        <v>10541</v>
      </c>
      <c r="AD3228" s="77" t="s">
        <v>10617</v>
      </c>
      <c r="AE3228" s="83" t="str">
        <f>HYPERLINK("https://twitter.com/uchoinfo/status/1670861433939034122")</f>
        <v>https://twitter.com/uchoinfo/status/1670861433939034122</v>
      </c>
      <c r="AF3228" s="79">
        <v>45096.770636574074</v>
      </c>
      <c r="AG3228" s="85">
        <v>45096</v>
      </c>
      <c r="AH3228" s="80" t="s">
        <v>13435</v>
      </c>
      <c r="AI3228" s="77" t="b">
        <v>0</v>
      </c>
      <c r="AJ3228" s="77"/>
      <c r="AK3228" s="77"/>
      <c r="AL3228" s="77"/>
      <c r="AM3228" s="77"/>
      <c r="AN3228" s="77"/>
      <c r="AO3228" s="77"/>
      <c r="AP3228" s="77"/>
      <c r="AQ3228" s="77" t="s">
        <v>15591</v>
      </c>
      <c r="AR3228" s="77"/>
      <c r="AS3228" s="77"/>
      <c r="AT3228" s="77"/>
      <c r="AU3228" s="77"/>
      <c r="AV3228" s="83" t="str">
        <f>HYPERLINK("https://pbs.twimg.com/media/FzAXnRRX0AA0ERe.jpg")</f>
        <v>https://pbs.twimg.com/media/FzAXnRRX0AA0ERe.jpg</v>
      </c>
      <c r="AW3228" s="80" t="s">
        <v>18964</v>
      </c>
      <c r="AX3228" s="80" t="s">
        <v>18964</v>
      </c>
      <c r="AY3228" s="77"/>
      <c r="AZ3228" s="80" t="s">
        <v>20380</v>
      </c>
      <c r="BA3228" s="80" t="s">
        <v>20380</v>
      </c>
      <c r="BB3228" s="80" t="s">
        <v>20380</v>
      </c>
      <c r="BC3228" s="80" t="s">
        <v>18964</v>
      </c>
      <c r="BD3228" s="77">
        <v>39525281</v>
      </c>
      <c r="BE3228" s="77"/>
      <c r="BF3228" s="77"/>
      <c r="BG3228" s="77"/>
      <c r="BH3228" s="77"/>
      <c r="BI3228" s="77"/>
    </row>
    <row r="3229" spans="1:61" x14ac:dyDescent="0.25">
      <c r="A3229" s="62" t="s">
        <v>1289</v>
      </c>
      <c r="B3229" s="62" t="s">
        <v>1289</v>
      </c>
      <c r="C3229" s="63"/>
      <c r="D3229" s="64"/>
      <c r="E3229" s="65"/>
      <c r="F3229" s="66"/>
      <c r="G3229" s="63"/>
      <c r="H3229" s="67"/>
      <c r="I3229" s="68"/>
      <c r="J3229" s="68"/>
      <c r="K3229" s="32"/>
      <c r="L3229" s="75">
        <v>3229</v>
      </c>
      <c r="M3229" s="75"/>
      <c r="N3229" s="70"/>
      <c r="O3229" s="77" t="s">
        <v>179</v>
      </c>
      <c r="P3229" s="79">
        <v>45125.088576388887</v>
      </c>
      <c r="Q3229" s="77" t="s">
        <v>4933</v>
      </c>
      <c r="R3229" s="77">
        <v>0</v>
      </c>
      <c r="S3229" s="77">
        <v>0</v>
      </c>
      <c r="T3229" s="77">
        <v>0</v>
      </c>
      <c r="U3229" s="77">
        <v>0</v>
      </c>
      <c r="V3229" s="77">
        <v>44</v>
      </c>
      <c r="W3229" s="80" t="s">
        <v>7901</v>
      </c>
      <c r="X3229" s="83" t="str">
        <f>HYPERLINK("http://cuts2.com/dIeim")</f>
        <v>http://cuts2.com/dIeim</v>
      </c>
      <c r="Y3229" s="77" t="s">
        <v>8825</v>
      </c>
      <c r="Z3229" s="77"/>
      <c r="AA3229" s="77" t="s">
        <v>10111</v>
      </c>
      <c r="AB3229" s="77" t="s">
        <v>10535</v>
      </c>
      <c r="AC3229" s="80" t="s">
        <v>10541</v>
      </c>
      <c r="AD3229" s="77" t="s">
        <v>10617</v>
      </c>
      <c r="AE3229" s="83" t="str">
        <f>HYPERLINK("https://twitter.com/uchoinfo/status/1681123512260476929")</f>
        <v>https://twitter.com/uchoinfo/status/1681123512260476929</v>
      </c>
      <c r="AF3229" s="79">
        <v>45125.088576388887</v>
      </c>
      <c r="AG3229" s="85">
        <v>45125</v>
      </c>
      <c r="AH3229" s="80" t="s">
        <v>13436</v>
      </c>
      <c r="AI3229" s="77" t="b">
        <v>0</v>
      </c>
      <c r="AJ3229" s="77"/>
      <c r="AK3229" s="77"/>
      <c r="AL3229" s="77"/>
      <c r="AM3229" s="77"/>
      <c r="AN3229" s="77"/>
      <c r="AO3229" s="77"/>
      <c r="AP3229" s="77"/>
      <c r="AQ3229" s="77" t="s">
        <v>15592</v>
      </c>
      <c r="AR3229" s="77"/>
      <c r="AS3229" s="77"/>
      <c r="AT3229" s="77"/>
      <c r="AU3229" s="77"/>
      <c r="AV3229" s="83" t="str">
        <f>HYPERLINK("https://pbs.twimg.com/media/F1SM6zpWIAERhRX.jpg")</f>
        <v>https://pbs.twimg.com/media/F1SM6zpWIAERhRX.jpg</v>
      </c>
      <c r="AW3229" s="80" t="s">
        <v>18965</v>
      </c>
      <c r="AX3229" s="80" t="s">
        <v>18965</v>
      </c>
      <c r="AY3229" s="77"/>
      <c r="AZ3229" s="80" t="s">
        <v>20380</v>
      </c>
      <c r="BA3229" s="80" t="s">
        <v>20380</v>
      </c>
      <c r="BB3229" s="80" t="s">
        <v>20380</v>
      </c>
      <c r="BC3229" s="80" t="s">
        <v>18965</v>
      </c>
      <c r="BD3229" s="77">
        <v>39525281</v>
      </c>
      <c r="BE3229" s="77"/>
      <c r="BF3229" s="77"/>
      <c r="BG3229" s="77"/>
      <c r="BH3229" s="77"/>
      <c r="BI3229" s="77"/>
    </row>
    <row r="3230" spans="1:61" x14ac:dyDescent="0.25">
      <c r="A3230" s="62" t="s">
        <v>1289</v>
      </c>
      <c r="B3230" s="62" t="s">
        <v>1289</v>
      </c>
      <c r="C3230" s="63"/>
      <c r="D3230" s="64"/>
      <c r="E3230" s="65"/>
      <c r="F3230" s="66"/>
      <c r="G3230" s="63"/>
      <c r="H3230" s="67"/>
      <c r="I3230" s="68"/>
      <c r="J3230" s="68"/>
      <c r="K3230" s="32"/>
      <c r="L3230" s="75">
        <v>3230</v>
      </c>
      <c r="M3230" s="75"/>
      <c r="N3230" s="70"/>
      <c r="O3230" s="77" t="s">
        <v>179</v>
      </c>
      <c r="P3230" s="79">
        <v>45124.661585648151</v>
      </c>
      <c r="Q3230" s="77" t="s">
        <v>4934</v>
      </c>
      <c r="R3230" s="77">
        <v>1</v>
      </c>
      <c r="S3230" s="77">
        <v>0</v>
      </c>
      <c r="T3230" s="77">
        <v>0</v>
      </c>
      <c r="U3230" s="77">
        <v>0</v>
      </c>
      <c r="V3230" s="77">
        <v>172</v>
      </c>
      <c r="W3230" s="80" t="s">
        <v>7902</v>
      </c>
      <c r="X3230" s="83" t="str">
        <f>HYPERLINK("http://cuts2.com/TymqY")</f>
        <v>http://cuts2.com/TymqY</v>
      </c>
      <c r="Y3230" s="77" t="s">
        <v>8825</v>
      </c>
      <c r="Z3230" s="77"/>
      <c r="AA3230" s="77" t="s">
        <v>10112</v>
      </c>
      <c r="AB3230" s="77" t="s">
        <v>10535</v>
      </c>
      <c r="AC3230" s="80" t="s">
        <v>10541</v>
      </c>
      <c r="AD3230" s="77" t="s">
        <v>10617</v>
      </c>
      <c r="AE3230" s="83" t="str">
        <f>HYPERLINK("https://twitter.com/uchoinfo/status/1680968775078739970")</f>
        <v>https://twitter.com/uchoinfo/status/1680968775078739970</v>
      </c>
      <c r="AF3230" s="79">
        <v>45124.661585648151</v>
      </c>
      <c r="AG3230" s="85">
        <v>45124</v>
      </c>
      <c r="AH3230" s="80" t="s">
        <v>13437</v>
      </c>
      <c r="AI3230" s="77" t="b">
        <v>0</v>
      </c>
      <c r="AJ3230" s="77"/>
      <c r="AK3230" s="77"/>
      <c r="AL3230" s="77"/>
      <c r="AM3230" s="77"/>
      <c r="AN3230" s="77"/>
      <c r="AO3230" s="77"/>
      <c r="AP3230" s="77"/>
      <c r="AQ3230" s="77" t="s">
        <v>15593</v>
      </c>
      <c r="AR3230" s="77"/>
      <c r="AS3230" s="77"/>
      <c r="AT3230" s="77"/>
      <c r="AU3230" s="77"/>
      <c r="AV3230" s="83" t="str">
        <f>HYPERLINK("https://pbs.twimg.com/media/F1QAMIbXsAEAJlr.jpg")</f>
        <v>https://pbs.twimg.com/media/F1QAMIbXsAEAJlr.jpg</v>
      </c>
      <c r="AW3230" s="80" t="s">
        <v>18966</v>
      </c>
      <c r="AX3230" s="80" t="s">
        <v>18966</v>
      </c>
      <c r="AY3230" s="77"/>
      <c r="AZ3230" s="80" t="s">
        <v>20380</v>
      </c>
      <c r="BA3230" s="80" t="s">
        <v>20380</v>
      </c>
      <c r="BB3230" s="80" t="s">
        <v>20380</v>
      </c>
      <c r="BC3230" s="80" t="s">
        <v>18966</v>
      </c>
      <c r="BD3230" s="77">
        <v>39525281</v>
      </c>
      <c r="BE3230" s="77"/>
      <c r="BF3230" s="77"/>
      <c r="BG3230" s="77"/>
      <c r="BH3230" s="77"/>
      <c r="BI3230" s="77"/>
    </row>
    <row r="3231" spans="1:61" x14ac:dyDescent="0.25">
      <c r="A3231" s="62" t="s">
        <v>1289</v>
      </c>
      <c r="B3231" s="62" t="s">
        <v>1289</v>
      </c>
      <c r="C3231" s="63"/>
      <c r="D3231" s="64"/>
      <c r="E3231" s="65"/>
      <c r="F3231" s="66"/>
      <c r="G3231" s="63"/>
      <c r="H3231" s="67"/>
      <c r="I3231" s="68"/>
      <c r="J3231" s="68"/>
      <c r="K3231" s="32"/>
      <c r="L3231" s="75">
        <v>3231</v>
      </c>
      <c r="M3231" s="75"/>
      <c r="N3231" s="70"/>
      <c r="O3231" s="77" t="s">
        <v>179</v>
      </c>
      <c r="P3231" s="79">
        <v>45140.920856481483</v>
      </c>
      <c r="Q3231" s="77" t="s">
        <v>4935</v>
      </c>
      <c r="R3231" s="77">
        <v>0</v>
      </c>
      <c r="S3231" s="77">
        <v>0</v>
      </c>
      <c r="T3231" s="77">
        <v>0</v>
      </c>
      <c r="U3231" s="77">
        <v>0</v>
      </c>
      <c r="V3231" s="77">
        <v>95</v>
      </c>
      <c r="W3231" s="80" t="s">
        <v>7903</v>
      </c>
      <c r="X3231" s="83" t="str">
        <f>HYPERLINK("http://cuts2.com/iBHJd")</f>
        <v>http://cuts2.com/iBHJd</v>
      </c>
      <c r="Y3231" s="77" t="s">
        <v>8825</v>
      </c>
      <c r="Z3231" s="77"/>
      <c r="AA3231" s="77" t="s">
        <v>10113</v>
      </c>
      <c r="AB3231" s="77" t="s">
        <v>10535</v>
      </c>
      <c r="AC3231" s="80" t="s">
        <v>10541</v>
      </c>
      <c r="AD3231" s="77" t="s">
        <v>10617</v>
      </c>
      <c r="AE3231" s="83" t="str">
        <f>HYPERLINK("https://twitter.com/uchoinfo/status/1686860936160612352")</f>
        <v>https://twitter.com/uchoinfo/status/1686860936160612352</v>
      </c>
      <c r="AF3231" s="79">
        <v>45140.920856481483</v>
      </c>
      <c r="AG3231" s="85">
        <v>45140</v>
      </c>
      <c r="AH3231" s="80" t="s">
        <v>13438</v>
      </c>
      <c r="AI3231" s="77" t="b">
        <v>0</v>
      </c>
      <c r="AJ3231" s="77"/>
      <c r="AK3231" s="77"/>
      <c r="AL3231" s="77"/>
      <c r="AM3231" s="77"/>
      <c r="AN3231" s="77"/>
      <c r="AO3231" s="77"/>
      <c r="AP3231" s="77"/>
      <c r="AQ3231" s="77" t="s">
        <v>15594</v>
      </c>
      <c r="AR3231" s="77"/>
      <c r="AS3231" s="77"/>
      <c r="AT3231" s="77"/>
      <c r="AU3231" s="77"/>
      <c r="AV3231" s="83" t="str">
        <f>HYPERLINK("https://pbs.twimg.com/media/F2jvE0BW0AA08oE.jpg")</f>
        <v>https://pbs.twimg.com/media/F2jvE0BW0AA08oE.jpg</v>
      </c>
      <c r="AW3231" s="80" t="s">
        <v>18967</v>
      </c>
      <c r="AX3231" s="80" t="s">
        <v>18967</v>
      </c>
      <c r="AY3231" s="77"/>
      <c r="AZ3231" s="80" t="s">
        <v>20380</v>
      </c>
      <c r="BA3231" s="80" t="s">
        <v>20380</v>
      </c>
      <c r="BB3231" s="80" t="s">
        <v>20380</v>
      </c>
      <c r="BC3231" s="80" t="s">
        <v>18967</v>
      </c>
      <c r="BD3231" s="77">
        <v>39525281</v>
      </c>
      <c r="BE3231" s="77"/>
      <c r="BF3231" s="77"/>
      <c r="BG3231" s="77"/>
      <c r="BH3231" s="77"/>
      <c r="BI3231" s="77"/>
    </row>
    <row r="3232" spans="1:61" x14ac:dyDescent="0.25">
      <c r="A3232" s="62" t="s">
        <v>1289</v>
      </c>
      <c r="B3232" s="62" t="s">
        <v>1289</v>
      </c>
      <c r="C3232" s="63"/>
      <c r="D3232" s="64"/>
      <c r="E3232" s="65"/>
      <c r="F3232" s="66"/>
      <c r="G3232" s="63"/>
      <c r="H3232" s="67"/>
      <c r="I3232" s="68"/>
      <c r="J3232" s="68"/>
      <c r="K3232" s="32"/>
      <c r="L3232" s="75">
        <v>3232</v>
      </c>
      <c r="M3232" s="75"/>
      <c r="N3232" s="70"/>
      <c r="O3232" s="77" t="s">
        <v>179</v>
      </c>
      <c r="P3232" s="79">
        <v>45159.854537037034</v>
      </c>
      <c r="Q3232" s="77" t="s">
        <v>4936</v>
      </c>
      <c r="R3232" s="77">
        <v>0</v>
      </c>
      <c r="S3232" s="77">
        <v>0</v>
      </c>
      <c r="T3232" s="77">
        <v>0</v>
      </c>
      <c r="U3232" s="77">
        <v>0</v>
      </c>
      <c r="V3232" s="77">
        <v>43</v>
      </c>
      <c r="W3232" s="80" t="s">
        <v>7904</v>
      </c>
      <c r="X3232" s="83" t="str">
        <f>HYPERLINK("http://cuts2.com/BdzQH")</f>
        <v>http://cuts2.com/BdzQH</v>
      </c>
      <c r="Y3232" s="77" t="s">
        <v>8825</v>
      </c>
      <c r="Z3232" s="77"/>
      <c r="AA3232" s="77" t="s">
        <v>10114</v>
      </c>
      <c r="AB3232" s="77" t="s">
        <v>10535</v>
      </c>
      <c r="AC3232" s="80" t="s">
        <v>10541</v>
      </c>
      <c r="AD3232" s="77" t="s">
        <v>10617</v>
      </c>
      <c r="AE3232" s="83" t="str">
        <f>HYPERLINK("https://twitter.com/uchoinfo/status/1693722272777781729")</f>
        <v>https://twitter.com/uchoinfo/status/1693722272777781729</v>
      </c>
      <c r="AF3232" s="79">
        <v>45159.854537037034</v>
      </c>
      <c r="AG3232" s="85">
        <v>45159</v>
      </c>
      <c r="AH3232" s="80" t="s">
        <v>13439</v>
      </c>
      <c r="AI3232" s="77" t="b">
        <v>0</v>
      </c>
      <c r="AJ3232" s="77"/>
      <c r="AK3232" s="77"/>
      <c r="AL3232" s="77"/>
      <c r="AM3232" s="77"/>
      <c r="AN3232" s="77"/>
      <c r="AO3232" s="77"/>
      <c r="AP3232" s="77"/>
      <c r="AQ3232" s="77" t="s">
        <v>15595</v>
      </c>
      <c r="AR3232" s="77"/>
      <c r="AS3232" s="77"/>
      <c r="AT3232" s="77"/>
      <c r="AU3232" s="77"/>
      <c r="AV3232" s="83" t="str">
        <f>HYPERLINK("https://pbs.twimg.com/media/F4FPbQmW0AARbPc.jpg")</f>
        <v>https://pbs.twimg.com/media/F4FPbQmW0AARbPc.jpg</v>
      </c>
      <c r="AW3232" s="80" t="s">
        <v>18968</v>
      </c>
      <c r="AX3232" s="80" t="s">
        <v>18968</v>
      </c>
      <c r="AY3232" s="77"/>
      <c r="AZ3232" s="80" t="s">
        <v>20380</v>
      </c>
      <c r="BA3232" s="80" t="s">
        <v>20380</v>
      </c>
      <c r="BB3232" s="80" t="s">
        <v>20380</v>
      </c>
      <c r="BC3232" s="80" t="s">
        <v>18968</v>
      </c>
      <c r="BD3232" s="77">
        <v>39525281</v>
      </c>
      <c r="BE3232" s="77"/>
      <c r="BF3232" s="77"/>
      <c r="BG3232" s="77"/>
      <c r="BH3232" s="77"/>
      <c r="BI3232" s="77"/>
    </row>
    <row r="3233" spans="1:61" x14ac:dyDescent="0.25">
      <c r="A3233" s="62" t="s">
        <v>1289</v>
      </c>
      <c r="B3233" s="62" t="s">
        <v>1289</v>
      </c>
      <c r="C3233" s="63"/>
      <c r="D3233" s="64"/>
      <c r="E3233" s="65"/>
      <c r="F3233" s="66"/>
      <c r="G3233" s="63"/>
      <c r="H3233" s="67"/>
      <c r="I3233" s="68"/>
      <c r="J3233" s="68"/>
      <c r="K3233" s="32"/>
      <c r="L3233" s="75">
        <v>3233</v>
      </c>
      <c r="M3233" s="75"/>
      <c r="N3233" s="70"/>
      <c r="O3233" s="77" t="s">
        <v>179</v>
      </c>
      <c r="P3233" s="79">
        <v>45152.711284722223</v>
      </c>
      <c r="Q3233" s="77" t="s">
        <v>4937</v>
      </c>
      <c r="R3233" s="77">
        <v>0</v>
      </c>
      <c r="S3233" s="77">
        <v>0</v>
      </c>
      <c r="T3233" s="77">
        <v>0</v>
      </c>
      <c r="U3233" s="77">
        <v>0</v>
      </c>
      <c r="V3233" s="77">
        <v>48</v>
      </c>
      <c r="W3233" s="80" t="s">
        <v>7905</v>
      </c>
      <c r="X3233" s="83" t="str">
        <f>HYPERLINK("http://cuts2.com/YkgUO")</f>
        <v>http://cuts2.com/YkgUO</v>
      </c>
      <c r="Y3233" s="77" t="s">
        <v>8825</v>
      </c>
      <c r="Z3233" s="77"/>
      <c r="AA3233" s="77" t="s">
        <v>10115</v>
      </c>
      <c r="AB3233" s="77" t="s">
        <v>10535</v>
      </c>
      <c r="AC3233" s="80" t="s">
        <v>10541</v>
      </c>
      <c r="AD3233" s="77" t="s">
        <v>10617</v>
      </c>
      <c r="AE3233" s="83" t="str">
        <f>HYPERLINK("https://twitter.com/uchoinfo/status/1691133643966599168")</f>
        <v>https://twitter.com/uchoinfo/status/1691133643966599168</v>
      </c>
      <c r="AF3233" s="79">
        <v>45152.711284722223</v>
      </c>
      <c r="AG3233" s="85">
        <v>45152</v>
      </c>
      <c r="AH3233" s="80" t="s">
        <v>13440</v>
      </c>
      <c r="AI3233" s="77" t="b">
        <v>0</v>
      </c>
      <c r="AJ3233" s="77"/>
      <c r="AK3233" s="77"/>
      <c r="AL3233" s="77"/>
      <c r="AM3233" s="77"/>
      <c r="AN3233" s="77"/>
      <c r="AO3233" s="77"/>
      <c r="AP3233" s="77"/>
      <c r="AQ3233" s="77" t="s">
        <v>15596</v>
      </c>
      <c r="AR3233" s="77"/>
      <c r="AS3233" s="77"/>
      <c r="AT3233" s="77"/>
      <c r="AU3233" s="77"/>
      <c r="AV3233" s="83" t="str">
        <f>HYPERLINK("https://pbs.twimg.com/media/F3gdFeDWMAAFp4n.jpg")</f>
        <v>https://pbs.twimg.com/media/F3gdFeDWMAAFp4n.jpg</v>
      </c>
      <c r="AW3233" s="80" t="s">
        <v>18969</v>
      </c>
      <c r="AX3233" s="80" t="s">
        <v>18969</v>
      </c>
      <c r="AY3233" s="77"/>
      <c r="AZ3233" s="80" t="s">
        <v>20380</v>
      </c>
      <c r="BA3233" s="80" t="s">
        <v>20380</v>
      </c>
      <c r="BB3233" s="80" t="s">
        <v>20380</v>
      </c>
      <c r="BC3233" s="80" t="s">
        <v>18969</v>
      </c>
      <c r="BD3233" s="77">
        <v>39525281</v>
      </c>
      <c r="BE3233" s="77"/>
      <c r="BF3233" s="77"/>
      <c r="BG3233" s="77"/>
      <c r="BH3233" s="77"/>
      <c r="BI3233" s="77"/>
    </row>
    <row r="3234" spans="1:61" x14ac:dyDescent="0.25">
      <c r="A3234" s="62" t="s">
        <v>1289</v>
      </c>
      <c r="B3234" s="62" t="s">
        <v>1289</v>
      </c>
      <c r="C3234" s="63"/>
      <c r="D3234" s="64"/>
      <c r="E3234" s="65"/>
      <c r="F3234" s="66"/>
      <c r="G3234" s="63"/>
      <c r="H3234" s="67"/>
      <c r="I3234" s="68"/>
      <c r="J3234" s="68"/>
      <c r="K3234" s="32"/>
      <c r="L3234" s="75">
        <v>3234</v>
      </c>
      <c r="M3234" s="75"/>
      <c r="N3234" s="70"/>
      <c r="O3234" s="77" t="s">
        <v>179</v>
      </c>
      <c r="P3234" s="79">
        <v>45152.700092592589</v>
      </c>
      <c r="Q3234" s="77" t="s">
        <v>4938</v>
      </c>
      <c r="R3234" s="77">
        <v>0</v>
      </c>
      <c r="S3234" s="77">
        <v>0</v>
      </c>
      <c r="T3234" s="77">
        <v>0</v>
      </c>
      <c r="U3234" s="77">
        <v>0</v>
      </c>
      <c r="V3234" s="77">
        <v>236</v>
      </c>
      <c r="W3234" s="80" t="s">
        <v>7902</v>
      </c>
      <c r="X3234" s="83" t="str">
        <f>HYPERLINK("http://cuts2.com/MWKgr")</f>
        <v>http://cuts2.com/MWKgr</v>
      </c>
      <c r="Y3234" s="77" t="s">
        <v>8825</v>
      </c>
      <c r="Z3234" s="77"/>
      <c r="AA3234" s="77" t="s">
        <v>10116</v>
      </c>
      <c r="AB3234" s="77" t="s">
        <v>10535</v>
      </c>
      <c r="AC3234" s="80" t="s">
        <v>10541</v>
      </c>
      <c r="AD3234" s="77" t="s">
        <v>10617</v>
      </c>
      <c r="AE3234" s="83" t="str">
        <f>HYPERLINK("https://twitter.com/uchoinfo/status/1691129589538676737")</f>
        <v>https://twitter.com/uchoinfo/status/1691129589538676737</v>
      </c>
      <c r="AF3234" s="79">
        <v>45152.700092592589</v>
      </c>
      <c r="AG3234" s="85">
        <v>45152</v>
      </c>
      <c r="AH3234" s="80" t="s">
        <v>13441</v>
      </c>
      <c r="AI3234" s="77" t="b">
        <v>0</v>
      </c>
      <c r="AJ3234" s="77"/>
      <c r="AK3234" s="77"/>
      <c r="AL3234" s="77"/>
      <c r="AM3234" s="77"/>
      <c r="AN3234" s="77"/>
      <c r="AO3234" s="77"/>
      <c r="AP3234" s="77"/>
      <c r="AQ3234" s="77" t="s">
        <v>15597</v>
      </c>
      <c r="AR3234" s="77"/>
      <c r="AS3234" s="77"/>
      <c r="AT3234" s="77"/>
      <c r="AU3234" s="77"/>
      <c r="AV3234" s="83" t="str">
        <f>HYPERLINK("https://pbs.twimg.com/media/F3gZZYBX0AkEOwR.jpg")</f>
        <v>https://pbs.twimg.com/media/F3gZZYBX0AkEOwR.jpg</v>
      </c>
      <c r="AW3234" s="80" t="s">
        <v>18970</v>
      </c>
      <c r="AX3234" s="80" t="s">
        <v>18970</v>
      </c>
      <c r="AY3234" s="77"/>
      <c r="AZ3234" s="80" t="s">
        <v>20380</v>
      </c>
      <c r="BA3234" s="80" t="s">
        <v>20380</v>
      </c>
      <c r="BB3234" s="80" t="s">
        <v>20380</v>
      </c>
      <c r="BC3234" s="80" t="s">
        <v>18970</v>
      </c>
      <c r="BD3234" s="77">
        <v>39525281</v>
      </c>
      <c r="BE3234" s="77"/>
      <c r="BF3234" s="77"/>
      <c r="BG3234" s="77"/>
      <c r="BH3234" s="77"/>
      <c r="BI3234" s="77"/>
    </row>
    <row r="3235" spans="1:61" x14ac:dyDescent="0.25">
      <c r="A3235" s="62" t="s">
        <v>1289</v>
      </c>
      <c r="B3235" s="62" t="s">
        <v>1289</v>
      </c>
      <c r="C3235" s="63"/>
      <c r="D3235" s="64"/>
      <c r="E3235" s="65"/>
      <c r="F3235" s="66"/>
      <c r="G3235" s="63"/>
      <c r="H3235" s="67"/>
      <c r="I3235" s="68"/>
      <c r="J3235" s="68"/>
      <c r="K3235" s="32"/>
      <c r="L3235" s="75">
        <v>3235</v>
      </c>
      <c r="M3235" s="75"/>
      <c r="N3235" s="70"/>
      <c r="O3235" s="77" t="s">
        <v>179</v>
      </c>
      <c r="P3235" s="79">
        <v>45132.729699074072</v>
      </c>
      <c r="Q3235" s="77" t="s">
        <v>4939</v>
      </c>
      <c r="R3235" s="77">
        <v>0</v>
      </c>
      <c r="S3235" s="77">
        <v>0</v>
      </c>
      <c r="T3235" s="77">
        <v>0</v>
      </c>
      <c r="U3235" s="77">
        <v>0</v>
      </c>
      <c r="V3235" s="77">
        <v>56</v>
      </c>
      <c r="W3235" s="80" t="s">
        <v>7906</v>
      </c>
      <c r="X3235" s="83" t="str">
        <f>HYPERLINK("http://cuts2.com/erFNk")</f>
        <v>http://cuts2.com/erFNk</v>
      </c>
      <c r="Y3235" s="77" t="s">
        <v>8825</v>
      </c>
      <c r="Z3235" s="77"/>
      <c r="AA3235" s="77" t="s">
        <v>10117</v>
      </c>
      <c r="AB3235" s="77" t="s">
        <v>10535</v>
      </c>
      <c r="AC3235" s="80" t="s">
        <v>10541</v>
      </c>
      <c r="AD3235" s="77" t="s">
        <v>10617</v>
      </c>
      <c r="AE3235" s="83" t="str">
        <f>HYPERLINK("https://twitter.com/uchoinfo/status/1683892560270446592")</f>
        <v>https://twitter.com/uchoinfo/status/1683892560270446592</v>
      </c>
      <c r="AF3235" s="79">
        <v>45132.729699074072</v>
      </c>
      <c r="AG3235" s="85">
        <v>45132</v>
      </c>
      <c r="AH3235" s="80" t="s">
        <v>13442</v>
      </c>
      <c r="AI3235" s="77" t="b">
        <v>0</v>
      </c>
      <c r="AJ3235" s="77"/>
      <c r="AK3235" s="77"/>
      <c r="AL3235" s="77"/>
      <c r="AM3235" s="77"/>
      <c r="AN3235" s="77"/>
      <c r="AO3235" s="77"/>
      <c r="AP3235" s="77"/>
      <c r="AQ3235" s="77" t="s">
        <v>15598</v>
      </c>
      <c r="AR3235" s="77"/>
      <c r="AS3235" s="77"/>
      <c r="AT3235" s="77"/>
      <c r="AU3235" s="77"/>
      <c r="AV3235" s="83" t="str">
        <f>HYPERLINK("https://pbs.twimg.com/media/F15jWreWAAo71j8.jpg")</f>
        <v>https://pbs.twimg.com/media/F15jWreWAAo71j8.jpg</v>
      </c>
      <c r="AW3235" s="80" t="s">
        <v>18971</v>
      </c>
      <c r="AX3235" s="80" t="s">
        <v>18971</v>
      </c>
      <c r="AY3235" s="77"/>
      <c r="AZ3235" s="80" t="s">
        <v>20380</v>
      </c>
      <c r="BA3235" s="80" t="s">
        <v>20380</v>
      </c>
      <c r="BB3235" s="80" t="s">
        <v>20380</v>
      </c>
      <c r="BC3235" s="80" t="s">
        <v>18971</v>
      </c>
      <c r="BD3235" s="77">
        <v>39525281</v>
      </c>
      <c r="BE3235" s="77"/>
      <c r="BF3235" s="77"/>
      <c r="BG3235" s="77"/>
      <c r="BH3235" s="77"/>
      <c r="BI3235" s="77"/>
    </row>
    <row r="3236" spans="1:61" x14ac:dyDescent="0.25">
      <c r="A3236" s="62" t="s">
        <v>1289</v>
      </c>
      <c r="B3236" s="62" t="s">
        <v>1289</v>
      </c>
      <c r="C3236" s="63"/>
      <c r="D3236" s="64"/>
      <c r="E3236" s="65"/>
      <c r="F3236" s="66"/>
      <c r="G3236" s="63"/>
      <c r="H3236" s="67"/>
      <c r="I3236" s="68"/>
      <c r="J3236" s="68"/>
      <c r="K3236" s="32"/>
      <c r="L3236" s="75">
        <v>3236</v>
      </c>
      <c r="M3236" s="75"/>
      <c r="N3236" s="70"/>
      <c r="O3236" s="77" t="s">
        <v>179</v>
      </c>
      <c r="P3236" s="79">
        <v>45187.787442129629</v>
      </c>
      <c r="Q3236" s="77" t="s">
        <v>4940</v>
      </c>
      <c r="R3236" s="77">
        <v>0</v>
      </c>
      <c r="S3236" s="77">
        <v>0</v>
      </c>
      <c r="T3236" s="77">
        <v>0</v>
      </c>
      <c r="U3236" s="77">
        <v>0</v>
      </c>
      <c r="V3236" s="77">
        <v>107</v>
      </c>
      <c r="W3236" s="80" t="s">
        <v>7902</v>
      </c>
      <c r="X3236" s="83" t="str">
        <f>HYPERLINK("https://bit.ly/3sWiMj8")</f>
        <v>https://bit.ly/3sWiMj8</v>
      </c>
      <c r="Y3236" s="77" t="s">
        <v>8618</v>
      </c>
      <c r="Z3236" s="77"/>
      <c r="AA3236" s="77" t="s">
        <v>10118</v>
      </c>
      <c r="AB3236" s="77" t="s">
        <v>10535</v>
      </c>
      <c r="AC3236" s="80" t="s">
        <v>10541</v>
      </c>
      <c r="AD3236" s="77" t="s">
        <v>10617</v>
      </c>
      <c r="AE3236" s="83" t="str">
        <f>HYPERLINK("https://twitter.com/uchoinfo/status/1703844820869902581")</f>
        <v>https://twitter.com/uchoinfo/status/1703844820869902581</v>
      </c>
      <c r="AF3236" s="79">
        <v>45187.787442129629</v>
      </c>
      <c r="AG3236" s="85">
        <v>45187</v>
      </c>
      <c r="AH3236" s="80" t="s">
        <v>13443</v>
      </c>
      <c r="AI3236" s="77" t="b">
        <v>0</v>
      </c>
      <c r="AJ3236" s="77"/>
      <c r="AK3236" s="77"/>
      <c r="AL3236" s="77"/>
      <c r="AM3236" s="77"/>
      <c r="AN3236" s="77"/>
      <c r="AO3236" s="77"/>
      <c r="AP3236" s="77"/>
      <c r="AQ3236" s="77" t="s">
        <v>15599</v>
      </c>
      <c r="AR3236" s="77"/>
      <c r="AS3236" s="77"/>
      <c r="AT3236" s="77"/>
      <c r="AU3236" s="77"/>
      <c r="AV3236" s="83" t="str">
        <f>HYPERLINK("https://pbs.twimg.com/media/F6VF1MRWsAAQdyB.jpg")</f>
        <v>https://pbs.twimg.com/media/F6VF1MRWsAAQdyB.jpg</v>
      </c>
      <c r="AW3236" s="80" t="s">
        <v>18972</v>
      </c>
      <c r="AX3236" s="80" t="s">
        <v>18972</v>
      </c>
      <c r="AY3236" s="77"/>
      <c r="AZ3236" s="80" t="s">
        <v>20380</v>
      </c>
      <c r="BA3236" s="80" t="s">
        <v>20380</v>
      </c>
      <c r="BB3236" s="80" t="s">
        <v>20380</v>
      </c>
      <c r="BC3236" s="80" t="s">
        <v>18972</v>
      </c>
      <c r="BD3236" s="77">
        <v>39525281</v>
      </c>
      <c r="BE3236" s="77"/>
      <c r="BF3236" s="77"/>
      <c r="BG3236" s="77"/>
      <c r="BH3236" s="77"/>
      <c r="BI3236" s="77"/>
    </row>
    <row r="3237" spans="1:61" x14ac:dyDescent="0.25">
      <c r="A3237" s="62" t="s">
        <v>1289</v>
      </c>
      <c r="B3237" s="62" t="s">
        <v>1289</v>
      </c>
      <c r="C3237" s="63"/>
      <c r="D3237" s="64"/>
      <c r="E3237" s="65"/>
      <c r="F3237" s="66"/>
      <c r="G3237" s="63"/>
      <c r="H3237" s="67"/>
      <c r="I3237" s="68"/>
      <c r="J3237" s="68"/>
      <c r="K3237" s="32"/>
      <c r="L3237" s="75">
        <v>3237</v>
      </c>
      <c r="M3237" s="75"/>
      <c r="N3237" s="70"/>
      <c r="O3237" s="77" t="s">
        <v>179</v>
      </c>
      <c r="P3237" s="79">
        <v>45112.150300925925</v>
      </c>
      <c r="Q3237" s="77" t="s">
        <v>4941</v>
      </c>
      <c r="R3237" s="77">
        <v>0</v>
      </c>
      <c r="S3237" s="77">
        <v>0</v>
      </c>
      <c r="T3237" s="77">
        <v>0</v>
      </c>
      <c r="U3237" s="77">
        <v>0</v>
      </c>
      <c r="V3237" s="77">
        <v>48</v>
      </c>
      <c r="W3237" s="80" t="s">
        <v>7907</v>
      </c>
      <c r="X3237" s="83" t="str">
        <f>HYPERLINK("https://bit.ly/3PDpWC5")</f>
        <v>https://bit.ly/3PDpWC5</v>
      </c>
      <c r="Y3237" s="77" t="s">
        <v>8618</v>
      </c>
      <c r="Z3237" s="77"/>
      <c r="AA3237" s="77" t="s">
        <v>10119</v>
      </c>
      <c r="AB3237" s="77" t="s">
        <v>10535</v>
      </c>
      <c r="AC3237" s="80" t="s">
        <v>10541</v>
      </c>
      <c r="AD3237" s="77" t="s">
        <v>10617</v>
      </c>
      <c r="AE3237" s="83" t="str">
        <f>HYPERLINK("https://twitter.com/uchoinfo/status/1676434838859948032")</f>
        <v>https://twitter.com/uchoinfo/status/1676434838859948032</v>
      </c>
      <c r="AF3237" s="79">
        <v>45112.150300925925</v>
      </c>
      <c r="AG3237" s="85">
        <v>45112</v>
      </c>
      <c r="AH3237" s="80" t="s">
        <v>13444</v>
      </c>
      <c r="AI3237" s="77" t="b">
        <v>0</v>
      </c>
      <c r="AJ3237" s="77"/>
      <c r="AK3237" s="77"/>
      <c r="AL3237" s="77"/>
      <c r="AM3237" s="77"/>
      <c r="AN3237" s="77"/>
      <c r="AO3237" s="77"/>
      <c r="AP3237" s="77"/>
      <c r="AQ3237" s="77" t="s">
        <v>15600</v>
      </c>
      <c r="AR3237" s="77"/>
      <c r="AS3237" s="77"/>
      <c r="AT3237" s="77"/>
      <c r="AU3237" s="77"/>
      <c r="AV3237" s="83" t="str">
        <f>HYPERLINK("https://pbs.twimg.com/media/F0PkmSnX0AEzrF4.jpg")</f>
        <v>https://pbs.twimg.com/media/F0PkmSnX0AEzrF4.jpg</v>
      </c>
      <c r="AW3237" s="80" t="s">
        <v>18973</v>
      </c>
      <c r="AX3237" s="80" t="s">
        <v>18973</v>
      </c>
      <c r="AY3237" s="77"/>
      <c r="AZ3237" s="80" t="s">
        <v>20380</v>
      </c>
      <c r="BA3237" s="80" t="s">
        <v>20380</v>
      </c>
      <c r="BB3237" s="80" t="s">
        <v>20380</v>
      </c>
      <c r="BC3237" s="80" t="s">
        <v>18973</v>
      </c>
      <c r="BD3237" s="77">
        <v>39525281</v>
      </c>
      <c r="BE3237" s="77"/>
      <c r="BF3237" s="77"/>
      <c r="BG3237" s="77"/>
      <c r="BH3237" s="77"/>
      <c r="BI3237" s="77"/>
    </row>
    <row r="3238" spans="1:61" x14ac:dyDescent="0.25">
      <c r="A3238" s="62" t="s">
        <v>1290</v>
      </c>
      <c r="B3238" s="62" t="s">
        <v>1290</v>
      </c>
      <c r="C3238" s="63"/>
      <c r="D3238" s="64"/>
      <c r="E3238" s="65"/>
      <c r="F3238" s="66"/>
      <c r="G3238" s="63"/>
      <c r="H3238" s="67"/>
      <c r="I3238" s="68"/>
      <c r="J3238" s="68"/>
      <c r="K3238" s="32"/>
      <c r="L3238" s="75">
        <v>3238</v>
      </c>
      <c r="M3238" s="75"/>
      <c r="N3238" s="70"/>
      <c r="O3238" s="77" t="s">
        <v>179</v>
      </c>
      <c r="P3238" s="79">
        <v>45139.684965277775</v>
      </c>
      <c r="Q3238" s="77" t="s">
        <v>4942</v>
      </c>
      <c r="R3238" s="77">
        <v>0</v>
      </c>
      <c r="S3238" s="77">
        <v>0</v>
      </c>
      <c r="T3238" s="77">
        <v>0</v>
      </c>
      <c r="U3238" s="77">
        <v>0</v>
      </c>
      <c r="V3238" s="77">
        <v>299</v>
      </c>
      <c r="W3238" s="80" t="s">
        <v>7908</v>
      </c>
      <c r="X3238" s="83" t="str">
        <f>HYPERLINK("https://shorturl.at/tyAFN")</f>
        <v>https://shorturl.at/tyAFN</v>
      </c>
      <c r="Y3238" s="77" t="s">
        <v>8727</v>
      </c>
      <c r="Z3238" s="77"/>
      <c r="AA3238" s="77" t="s">
        <v>10120</v>
      </c>
      <c r="AB3238" s="77" t="s">
        <v>10535</v>
      </c>
      <c r="AC3238" s="80" t="s">
        <v>10541</v>
      </c>
      <c r="AD3238" s="77" t="s">
        <v>10622</v>
      </c>
      <c r="AE3238" s="83" t="str">
        <f>HYPERLINK("https://twitter.com/hossaindel29106/status/1686413065338937344")</f>
        <v>https://twitter.com/hossaindel29106/status/1686413065338937344</v>
      </c>
      <c r="AF3238" s="79">
        <v>45139.684965277775</v>
      </c>
      <c r="AG3238" s="85">
        <v>45139</v>
      </c>
      <c r="AH3238" s="80" t="s">
        <v>13445</v>
      </c>
      <c r="AI3238" s="77" t="b">
        <v>0</v>
      </c>
      <c r="AJ3238" s="77"/>
      <c r="AK3238" s="77"/>
      <c r="AL3238" s="77"/>
      <c r="AM3238" s="77"/>
      <c r="AN3238" s="77"/>
      <c r="AO3238" s="77"/>
      <c r="AP3238" s="77"/>
      <c r="AQ3238" s="77" t="s">
        <v>15601</v>
      </c>
      <c r="AR3238" s="77"/>
      <c r="AS3238" s="77"/>
      <c r="AT3238" s="77"/>
      <c r="AU3238" s="77"/>
      <c r="AV3238" s="83" t="str">
        <f>HYPERLINK("https://pbs.twimg.com/media/F2dVyHdbIAAn8nV.jpg")</f>
        <v>https://pbs.twimg.com/media/F2dVyHdbIAAn8nV.jpg</v>
      </c>
      <c r="AW3238" s="80" t="s">
        <v>18974</v>
      </c>
      <c r="AX3238" s="80" t="s">
        <v>18974</v>
      </c>
      <c r="AY3238" s="77"/>
      <c r="AZ3238" s="80" t="s">
        <v>20380</v>
      </c>
      <c r="BA3238" s="80" t="s">
        <v>20380</v>
      </c>
      <c r="BB3238" s="80" t="s">
        <v>20380</v>
      </c>
      <c r="BC3238" s="80" t="s">
        <v>18974</v>
      </c>
      <c r="BD3238" s="80" t="s">
        <v>21021</v>
      </c>
      <c r="BE3238" s="77"/>
      <c r="BF3238" s="77"/>
      <c r="BG3238" s="77"/>
      <c r="BH3238" s="77"/>
      <c r="BI3238" s="77"/>
    </row>
    <row r="3239" spans="1:61" x14ac:dyDescent="0.25">
      <c r="A3239" s="62" t="s">
        <v>1291</v>
      </c>
      <c r="B3239" s="62" t="s">
        <v>1291</v>
      </c>
      <c r="C3239" s="63"/>
      <c r="D3239" s="64"/>
      <c r="E3239" s="65"/>
      <c r="F3239" s="66"/>
      <c r="G3239" s="63"/>
      <c r="H3239" s="67"/>
      <c r="I3239" s="68"/>
      <c r="J3239" s="68"/>
      <c r="K3239" s="32"/>
      <c r="L3239" s="75">
        <v>3239</v>
      </c>
      <c r="M3239" s="75"/>
      <c r="N3239" s="70"/>
      <c r="O3239" s="77" t="s">
        <v>179</v>
      </c>
      <c r="P3239" s="79">
        <v>45183.953761574077</v>
      </c>
      <c r="Q3239" s="77" t="s">
        <v>4943</v>
      </c>
      <c r="R3239" s="77">
        <v>0</v>
      </c>
      <c r="S3239" s="77">
        <v>0</v>
      </c>
      <c r="T3239" s="77">
        <v>0</v>
      </c>
      <c r="U3239" s="77">
        <v>0</v>
      </c>
      <c r="V3239" s="77">
        <v>117</v>
      </c>
      <c r="W3239" s="80" t="s">
        <v>5884</v>
      </c>
      <c r="X3239" s="83" t="str">
        <f>HYPERLINK("https://el-periodico.com.ar/el-pais/el-banco-central-dispuso-cambios-en-transferencias-recurrentes-de-cuentas-de-bancos-y-billeteras-virtuales_a65038e1b2849334bfe95d684")</f>
        <v>https://el-periodico.com.ar/el-pais/el-banco-central-dispuso-cambios-en-transferencias-recurrentes-de-cuentas-de-bancos-y-billeteras-virtuales_a65038e1b2849334bfe95d684</v>
      </c>
      <c r="Y3239" s="77" t="s">
        <v>8624</v>
      </c>
      <c r="Z3239" s="77"/>
      <c r="AA3239" s="77"/>
      <c r="AB3239" s="77"/>
      <c r="AC3239" s="80" t="s">
        <v>10541</v>
      </c>
      <c r="AD3239" s="77" t="s">
        <v>10620</v>
      </c>
      <c r="AE3239" s="83" t="str">
        <f>HYPERLINK("https://twitter.com/elperiodicosf/status/1702455542088659058")</f>
        <v>https://twitter.com/elperiodicosf/status/1702455542088659058</v>
      </c>
      <c r="AF3239" s="79">
        <v>45183.953761574077</v>
      </c>
      <c r="AG3239" s="85">
        <v>45183</v>
      </c>
      <c r="AH3239" s="80" t="s">
        <v>13446</v>
      </c>
      <c r="AI3239" s="77" t="b">
        <v>0</v>
      </c>
      <c r="AJ3239" s="77"/>
      <c r="AK3239" s="77"/>
      <c r="AL3239" s="77"/>
      <c r="AM3239" s="77"/>
      <c r="AN3239" s="77"/>
      <c r="AO3239" s="77"/>
      <c r="AP3239" s="77"/>
      <c r="AQ3239" s="77"/>
      <c r="AR3239" s="77"/>
      <c r="AS3239" s="77"/>
      <c r="AT3239" s="77"/>
      <c r="AU3239" s="77"/>
      <c r="AV3239" s="83" t="str">
        <f>HYPERLINK("https://pbs.twimg.com/profile_images/1591073023624364034/XDink9Tu_normal.jpg")</f>
        <v>https://pbs.twimg.com/profile_images/1591073023624364034/XDink9Tu_normal.jpg</v>
      </c>
      <c r="AW3239" s="80" t="s">
        <v>18975</v>
      </c>
      <c r="AX3239" s="80" t="s">
        <v>18975</v>
      </c>
      <c r="AY3239" s="77"/>
      <c r="AZ3239" s="80" t="s">
        <v>20380</v>
      </c>
      <c r="BA3239" s="80" t="s">
        <v>20380</v>
      </c>
      <c r="BB3239" s="80" t="s">
        <v>20380</v>
      </c>
      <c r="BC3239" s="80" t="s">
        <v>18975</v>
      </c>
      <c r="BD3239" s="77">
        <v>139843417</v>
      </c>
      <c r="BE3239" s="77"/>
      <c r="BF3239" s="77"/>
      <c r="BG3239" s="77"/>
      <c r="BH3239" s="77"/>
      <c r="BI3239" s="77"/>
    </row>
    <row r="3240" spans="1:61" x14ac:dyDescent="0.25">
      <c r="A3240" s="62" t="s">
        <v>1292</v>
      </c>
      <c r="B3240" s="62" t="s">
        <v>1292</v>
      </c>
      <c r="C3240" s="63"/>
      <c r="D3240" s="64"/>
      <c r="E3240" s="65"/>
      <c r="F3240" s="66"/>
      <c r="G3240" s="63"/>
      <c r="H3240" s="67"/>
      <c r="I3240" s="68"/>
      <c r="J3240" s="68"/>
      <c r="K3240" s="32"/>
      <c r="L3240" s="75">
        <v>3240</v>
      </c>
      <c r="M3240" s="75"/>
      <c r="N3240" s="70"/>
      <c r="O3240" s="77" t="s">
        <v>179</v>
      </c>
      <c r="P3240" s="79">
        <v>45126.572615740741</v>
      </c>
      <c r="Q3240" s="77" t="s">
        <v>4944</v>
      </c>
      <c r="R3240" s="77">
        <v>5</v>
      </c>
      <c r="S3240" s="77">
        <v>8</v>
      </c>
      <c r="T3240" s="77">
        <v>2</v>
      </c>
      <c r="U3240" s="77">
        <v>0</v>
      </c>
      <c r="V3240" s="77">
        <v>95</v>
      </c>
      <c r="W3240" s="80" t="s">
        <v>7909</v>
      </c>
      <c r="X3240" s="77"/>
      <c r="Y3240" s="77"/>
      <c r="Z3240" s="77"/>
      <c r="AA3240" s="77" t="s">
        <v>10121</v>
      </c>
      <c r="AB3240" s="77" t="s">
        <v>10535</v>
      </c>
      <c r="AC3240" s="80" t="s">
        <v>10542</v>
      </c>
      <c r="AD3240" s="77" t="s">
        <v>10617</v>
      </c>
      <c r="AE3240" s="83" t="str">
        <f>HYPERLINK("https://twitter.com/analiseagora/status/1681661307815092227")</f>
        <v>https://twitter.com/analiseagora/status/1681661307815092227</v>
      </c>
      <c r="AF3240" s="79">
        <v>45126.572615740741</v>
      </c>
      <c r="AG3240" s="85">
        <v>45126</v>
      </c>
      <c r="AH3240" s="80" t="s">
        <v>13447</v>
      </c>
      <c r="AI3240" s="77" t="b">
        <v>0</v>
      </c>
      <c r="AJ3240" s="77"/>
      <c r="AK3240" s="77"/>
      <c r="AL3240" s="77"/>
      <c r="AM3240" s="77"/>
      <c r="AN3240" s="77"/>
      <c r="AO3240" s="77"/>
      <c r="AP3240" s="77"/>
      <c r="AQ3240" s="77" t="s">
        <v>15602</v>
      </c>
      <c r="AR3240" s="77"/>
      <c r="AS3240" s="77"/>
      <c r="AT3240" s="77"/>
      <c r="AU3240" s="77"/>
      <c r="AV3240" s="83" t="str">
        <f>HYPERLINK("https://pbs.twimg.com/media/F1Z2C7VWAAIs3h4.jpg")</f>
        <v>https://pbs.twimg.com/media/F1Z2C7VWAAIs3h4.jpg</v>
      </c>
      <c r="AW3240" s="80" t="s">
        <v>18976</v>
      </c>
      <c r="AX3240" s="80" t="s">
        <v>18976</v>
      </c>
      <c r="AY3240" s="77"/>
      <c r="AZ3240" s="80" t="s">
        <v>20380</v>
      </c>
      <c r="BA3240" s="80" t="s">
        <v>20380</v>
      </c>
      <c r="BB3240" s="80" t="s">
        <v>20380</v>
      </c>
      <c r="BC3240" s="80" t="s">
        <v>18976</v>
      </c>
      <c r="BD3240" s="80" t="s">
        <v>21022</v>
      </c>
      <c r="BE3240" s="77"/>
      <c r="BF3240" s="77"/>
      <c r="BG3240" s="77"/>
      <c r="BH3240" s="77"/>
      <c r="BI3240" s="77"/>
    </row>
    <row r="3241" spans="1:61" x14ac:dyDescent="0.25">
      <c r="A3241" s="62" t="s">
        <v>1292</v>
      </c>
      <c r="B3241" s="62" t="s">
        <v>1292</v>
      </c>
      <c r="C3241" s="63"/>
      <c r="D3241" s="64"/>
      <c r="E3241" s="65"/>
      <c r="F3241" s="66"/>
      <c r="G3241" s="63"/>
      <c r="H3241" s="67"/>
      <c r="I3241" s="68"/>
      <c r="J3241" s="68"/>
      <c r="K3241" s="32"/>
      <c r="L3241" s="75">
        <v>3241</v>
      </c>
      <c r="M3241" s="75"/>
      <c r="N3241" s="70"/>
      <c r="O3241" s="77" t="s">
        <v>179</v>
      </c>
      <c r="P3241" s="79">
        <v>45129.504814814813</v>
      </c>
      <c r="Q3241" s="77" t="s">
        <v>4945</v>
      </c>
      <c r="R3241" s="77">
        <v>2</v>
      </c>
      <c r="S3241" s="77">
        <v>6</v>
      </c>
      <c r="T3241" s="77">
        <v>1</v>
      </c>
      <c r="U3241" s="77">
        <v>0</v>
      </c>
      <c r="V3241" s="77">
        <v>69</v>
      </c>
      <c r="W3241" s="80" t="s">
        <v>6201</v>
      </c>
      <c r="X3241" s="77"/>
      <c r="Y3241" s="77"/>
      <c r="Z3241" s="77"/>
      <c r="AA3241" s="77" t="s">
        <v>10122</v>
      </c>
      <c r="AB3241" s="77" t="s">
        <v>10535</v>
      </c>
      <c r="AC3241" s="80" t="s">
        <v>10542</v>
      </c>
      <c r="AD3241" s="77" t="s">
        <v>10617</v>
      </c>
      <c r="AE3241" s="83" t="str">
        <f>HYPERLINK("https://twitter.com/analiseagora/status/1682723902412271616")</f>
        <v>https://twitter.com/analiseagora/status/1682723902412271616</v>
      </c>
      <c r="AF3241" s="79">
        <v>45129.504814814813</v>
      </c>
      <c r="AG3241" s="85">
        <v>45129</v>
      </c>
      <c r="AH3241" s="80" t="s">
        <v>13448</v>
      </c>
      <c r="AI3241" s="77" t="b">
        <v>0</v>
      </c>
      <c r="AJ3241" s="77"/>
      <c r="AK3241" s="77"/>
      <c r="AL3241" s="77"/>
      <c r="AM3241" s="77"/>
      <c r="AN3241" s="77"/>
      <c r="AO3241" s="77"/>
      <c r="AP3241" s="77"/>
      <c r="AQ3241" s="77" t="s">
        <v>15603</v>
      </c>
      <c r="AR3241" s="77"/>
      <c r="AS3241" s="77"/>
      <c r="AT3241" s="77"/>
      <c r="AU3241" s="77"/>
      <c r="AV3241" s="83" t="str">
        <f>HYPERLINK("https://pbs.twimg.com/media/F1o8eEUXwAETafV.jpg")</f>
        <v>https://pbs.twimg.com/media/F1o8eEUXwAETafV.jpg</v>
      </c>
      <c r="AW3241" s="80" t="s">
        <v>18977</v>
      </c>
      <c r="AX3241" s="80" t="s">
        <v>18977</v>
      </c>
      <c r="AY3241" s="77"/>
      <c r="AZ3241" s="80" t="s">
        <v>20380</v>
      </c>
      <c r="BA3241" s="80" t="s">
        <v>20380</v>
      </c>
      <c r="BB3241" s="80" t="s">
        <v>20380</v>
      </c>
      <c r="BC3241" s="80" t="s">
        <v>18977</v>
      </c>
      <c r="BD3241" s="80" t="s">
        <v>21022</v>
      </c>
      <c r="BE3241" s="77"/>
      <c r="BF3241" s="77"/>
      <c r="BG3241" s="77"/>
      <c r="BH3241" s="77"/>
      <c r="BI3241" s="77"/>
    </row>
    <row r="3242" spans="1:61" x14ac:dyDescent="0.25">
      <c r="A3242" s="62" t="s">
        <v>1292</v>
      </c>
      <c r="B3242" s="62" t="s">
        <v>1292</v>
      </c>
      <c r="C3242" s="63"/>
      <c r="D3242" s="64"/>
      <c r="E3242" s="65"/>
      <c r="F3242" s="66"/>
      <c r="G3242" s="63"/>
      <c r="H3242" s="67"/>
      <c r="I3242" s="68"/>
      <c r="J3242" s="68"/>
      <c r="K3242" s="32"/>
      <c r="L3242" s="75">
        <v>3242</v>
      </c>
      <c r="M3242" s="75"/>
      <c r="N3242" s="70"/>
      <c r="O3242" s="77" t="s">
        <v>179</v>
      </c>
      <c r="P3242" s="79">
        <v>45141.665405092594</v>
      </c>
      <c r="Q3242" s="77" t="s">
        <v>4946</v>
      </c>
      <c r="R3242" s="77">
        <v>2</v>
      </c>
      <c r="S3242" s="77">
        <v>3</v>
      </c>
      <c r="T3242" s="77">
        <v>1</v>
      </c>
      <c r="U3242" s="77">
        <v>0</v>
      </c>
      <c r="V3242" s="77">
        <v>37</v>
      </c>
      <c r="W3242" s="80" t="s">
        <v>7910</v>
      </c>
      <c r="X3242" s="77"/>
      <c r="Y3242" s="77"/>
      <c r="Z3242" s="77"/>
      <c r="AA3242" s="77" t="s">
        <v>10123</v>
      </c>
      <c r="AB3242" s="77" t="s">
        <v>10535</v>
      </c>
      <c r="AC3242" s="80" t="s">
        <v>10542</v>
      </c>
      <c r="AD3242" s="77" t="s">
        <v>10617</v>
      </c>
      <c r="AE3242" s="83" t="str">
        <f>HYPERLINK("https://twitter.com/analiseagora/status/1687130753467850752")</f>
        <v>https://twitter.com/analiseagora/status/1687130753467850752</v>
      </c>
      <c r="AF3242" s="79">
        <v>45141.665405092594</v>
      </c>
      <c r="AG3242" s="85">
        <v>45141</v>
      </c>
      <c r="AH3242" s="80" t="s">
        <v>13449</v>
      </c>
      <c r="AI3242" s="77" t="b">
        <v>0</v>
      </c>
      <c r="AJ3242" s="77"/>
      <c r="AK3242" s="77"/>
      <c r="AL3242" s="77"/>
      <c r="AM3242" s="77"/>
      <c r="AN3242" s="77"/>
      <c r="AO3242" s="77"/>
      <c r="AP3242" s="77"/>
      <c r="AQ3242" s="77" t="s">
        <v>15604</v>
      </c>
      <c r="AR3242" s="77"/>
      <c r="AS3242" s="77"/>
      <c r="AT3242" s="77"/>
      <c r="AU3242" s="77"/>
      <c r="AV3242" s="83" t="str">
        <f>HYPERLINK("https://pbs.twimg.com/media/F2nkekgWwAIIBIN.jpg")</f>
        <v>https://pbs.twimg.com/media/F2nkekgWwAIIBIN.jpg</v>
      </c>
      <c r="AW3242" s="80" t="s">
        <v>18978</v>
      </c>
      <c r="AX3242" s="80" t="s">
        <v>18978</v>
      </c>
      <c r="AY3242" s="77"/>
      <c r="AZ3242" s="80" t="s">
        <v>20380</v>
      </c>
      <c r="BA3242" s="80" t="s">
        <v>20380</v>
      </c>
      <c r="BB3242" s="80" t="s">
        <v>20380</v>
      </c>
      <c r="BC3242" s="80" t="s">
        <v>18978</v>
      </c>
      <c r="BD3242" s="80" t="s">
        <v>21022</v>
      </c>
      <c r="BE3242" s="77"/>
      <c r="BF3242" s="77"/>
      <c r="BG3242" s="77"/>
      <c r="BH3242" s="77"/>
      <c r="BI3242" s="77"/>
    </row>
    <row r="3243" spans="1:61" x14ac:dyDescent="0.25">
      <c r="A3243" s="62" t="s">
        <v>1293</v>
      </c>
      <c r="B3243" s="62" t="s">
        <v>1293</v>
      </c>
      <c r="C3243" s="63"/>
      <c r="D3243" s="64"/>
      <c r="E3243" s="65"/>
      <c r="F3243" s="66"/>
      <c r="G3243" s="63"/>
      <c r="H3243" s="67"/>
      <c r="I3243" s="68"/>
      <c r="J3243" s="68"/>
      <c r="K3243" s="32"/>
      <c r="L3243" s="75">
        <v>3243</v>
      </c>
      <c r="M3243" s="75"/>
      <c r="N3243" s="70"/>
      <c r="O3243" s="77" t="s">
        <v>179</v>
      </c>
      <c r="P3243" s="79">
        <v>45106.809884259259</v>
      </c>
      <c r="Q3243" s="77" t="s">
        <v>4947</v>
      </c>
      <c r="R3243" s="77">
        <v>0</v>
      </c>
      <c r="S3243" s="77">
        <v>0</v>
      </c>
      <c r="T3243" s="77">
        <v>0</v>
      </c>
      <c r="U3243" s="77">
        <v>0</v>
      </c>
      <c r="V3243" s="77">
        <v>26</v>
      </c>
      <c r="W3243" s="80" t="s">
        <v>7911</v>
      </c>
      <c r="X3243" s="77"/>
      <c r="Y3243" s="77"/>
      <c r="Z3243" s="77"/>
      <c r="AA3243" s="77" t="s">
        <v>10124</v>
      </c>
      <c r="AB3243" s="77" t="s">
        <v>10535</v>
      </c>
      <c r="AC3243" s="80" t="s">
        <v>10540</v>
      </c>
      <c r="AD3243" s="77" t="s">
        <v>10617</v>
      </c>
      <c r="AE3243" s="83" t="str">
        <f>HYPERLINK("https://twitter.com/brunnobarcelos/status/1674499536260087808")</f>
        <v>https://twitter.com/brunnobarcelos/status/1674499536260087808</v>
      </c>
      <c r="AF3243" s="79">
        <v>45106.809884259259</v>
      </c>
      <c r="AG3243" s="85">
        <v>45106</v>
      </c>
      <c r="AH3243" s="80" t="s">
        <v>13450</v>
      </c>
      <c r="AI3243" s="77" t="b">
        <v>0</v>
      </c>
      <c r="AJ3243" s="77"/>
      <c r="AK3243" s="77"/>
      <c r="AL3243" s="77"/>
      <c r="AM3243" s="77"/>
      <c r="AN3243" s="77"/>
      <c r="AO3243" s="77"/>
      <c r="AP3243" s="77"/>
      <c r="AQ3243" s="77" t="s">
        <v>15605</v>
      </c>
      <c r="AR3243" s="77"/>
      <c r="AS3243" s="77"/>
      <c r="AT3243" s="77"/>
      <c r="AU3243" s="77"/>
      <c r="AV3243" s="83" t="str">
        <f>HYPERLINK("https://pbs.twimg.com/media/Fz0EdEmWIAAjdGn.jpg")</f>
        <v>https://pbs.twimg.com/media/Fz0EdEmWIAAjdGn.jpg</v>
      </c>
      <c r="AW3243" s="80" t="s">
        <v>18979</v>
      </c>
      <c r="AX3243" s="80" t="s">
        <v>18979</v>
      </c>
      <c r="AY3243" s="77"/>
      <c r="AZ3243" s="80" t="s">
        <v>20380</v>
      </c>
      <c r="BA3243" s="80" t="s">
        <v>20380</v>
      </c>
      <c r="BB3243" s="80" t="s">
        <v>20380</v>
      </c>
      <c r="BC3243" s="80" t="s">
        <v>18979</v>
      </c>
      <c r="BD3243" s="77">
        <v>52779980</v>
      </c>
      <c r="BE3243" s="77"/>
      <c r="BF3243" s="77"/>
      <c r="BG3243" s="77"/>
      <c r="BH3243" s="77"/>
      <c r="BI3243" s="77"/>
    </row>
    <row r="3244" spans="1:61" x14ac:dyDescent="0.25">
      <c r="A3244" s="62" t="s">
        <v>1294</v>
      </c>
      <c r="B3244" s="62" t="s">
        <v>1294</v>
      </c>
      <c r="C3244" s="63"/>
      <c r="D3244" s="64"/>
      <c r="E3244" s="65"/>
      <c r="F3244" s="66"/>
      <c r="G3244" s="63"/>
      <c r="H3244" s="67"/>
      <c r="I3244" s="68"/>
      <c r="J3244" s="68"/>
      <c r="K3244" s="32"/>
      <c r="L3244" s="75">
        <v>3244</v>
      </c>
      <c r="M3244" s="75"/>
      <c r="N3244" s="70"/>
      <c r="O3244" s="77" t="s">
        <v>179</v>
      </c>
      <c r="P3244" s="79">
        <v>45101.649675925924</v>
      </c>
      <c r="Q3244" s="77" t="s">
        <v>4948</v>
      </c>
      <c r="R3244" s="77">
        <v>95</v>
      </c>
      <c r="S3244" s="77">
        <v>465</v>
      </c>
      <c r="T3244" s="77">
        <v>81</v>
      </c>
      <c r="U3244" s="77">
        <v>5</v>
      </c>
      <c r="V3244" s="77">
        <v>10164</v>
      </c>
      <c r="W3244" s="77"/>
      <c r="X3244" s="77"/>
      <c r="Y3244" s="77"/>
      <c r="Z3244" s="77"/>
      <c r="AA3244" s="77" t="s">
        <v>10125</v>
      </c>
      <c r="AB3244" s="77" t="s">
        <v>10534</v>
      </c>
      <c r="AC3244" s="80" t="s">
        <v>10550</v>
      </c>
      <c r="AD3244" s="77" t="s">
        <v>10617</v>
      </c>
      <c r="AE3244" s="83" t="str">
        <f>HYPERLINK("https://twitter.com/fdavilaoficial/status/1672629538734350336")</f>
        <v>https://twitter.com/fdavilaoficial/status/1672629538734350336</v>
      </c>
      <c r="AF3244" s="79">
        <v>45101.649675925924</v>
      </c>
      <c r="AG3244" s="85">
        <v>45101</v>
      </c>
      <c r="AH3244" s="80" t="s">
        <v>13451</v>
      </c>
      <c r="AI3244" s="77" t="b">
        <v>0</v>
      </c>
      <c r="AJ3244" s="77"/>
      <c r="AK3244" s="77"/>
      <c r="AL3244" s="77"/>
      <c r="AM3244" s="77"/>
      <c r="AN3244" s="77"/>
      <c r="AO3244" s="77"/>
      <c r="AP3244" s="77"/>
      <c r="AQ3244" s="77" t="s">
        <v>15606</v>
      </c>
      <c r="AR3244" s="77">
        <v>62400</v>
      </c>
      <c r="AS3244" s="77"/>
      <c r="AT3244" s="77"/>
      <c r="AU3244" s="77"/>
      <c r="AV3244" s="83" t="str">
        <f>HYPERLINK("https://pbs.twimg.com/ext_tw_video_thumb/1672629451031474176/pu/img/D3yvZRTEDxvc0Q3g.jpg")</f>
        <v>https://pbs.twimg.com/ext_tw_video_thumb/1672629451031474176/pu/img/D3yvZRTEDxvc0Q3g.jpg</v>
      </c>
      <c r="AW3244" s="80" t="s">
        <v>18980</v>
      </c>
      <c r="AX3244" s="80" t="s">
        <v>18980</v>
      </c>
      <c r="AY3244" s="77"/>
      <c r="AZ3244" s="80" t="s">
        <v>20380</v>
      </c>
      <c r="BA3244" s="80" t="s">
        <v>20380</v>
      </c>
      <c r="BB3244" s="80" t="s">
        <v>20380</v>
      </c>
      <c r="BC3244" s="80" t="s">
        <v>18980</v>
      </c>
      <c r="BD3244" s="80" t="s">
        <v>20255</v>
      </c>
      <c r="BE3244" s="77"/>
      <c r="BF3244" s="77"/>
      <c r="BG3244" s="77"/>
      <c r="BH3244" s="77"/>
      <c r="BI3244" s="77"/>
    </row>
    <row r="3245" spans="1:61" x14ac:dyDescent="0.25">
      <c r="A3245" s="62" t="s">
        <v>1295</v>
      </c>
      <c r="B3245" s="62" t="s">
        <v>1295</v>
      </c>
      <c r="C3245" s="63"/>
      <c r="D3245" s="64"/>
      <c r="E3245" s="65"/>
      <c r="F3245" s="66"/>
      <c r="G3245" s="63"/>
      <c r="H3245" s="67"/>
      <c r="I3245" s="68"/>
      <c r="J3245" s="68"/>
      <c r="K3245" s="32"/>
      <c r="L3245" s="75">
        <v>3245</v>
      </c>
      <c r="M3245" s="75"/>
      <c r="N3245" s="70"/>
      <c r="O3245" s="77" t="s">
        <v>179</v>
      </c>
      <c r="P3245" s="79">
        <v>45054.589699074073</v>
      </c>
      <c r="Q3245" s="77" t="s">
        <v>4949</v>
      </c>
      <c r="R3245" s="77">
        <v>0</v>
      </c>
      <c r="S3245" s="77">
        <v>0</v>
      </c>
      <c r="T3245" s="77">
        <v>0</v>
      </c>
      <c r="U3245" s="77">
        <v>0</v>
      </c>
      <c r="V3245" s="77">
        <v>8</v>
      </c>
      <c r="W3245" s="80" t="s">
        <v>7912</v>
      </c>
      <c r="X3245" s="83" t="str">
        <f>HYPERLINK("https://bahiapravoce.com.br/bc-anuncia-mudancas-no-cheque-para-maior-seguranca/")</f>
        <v>https://bahiapravoce.com.br/bc-anuncia-mudancas-no-cheque-para-maior-seguranca/</v>
      </c>
      <c r="Y3245" s="77" t="s">
        <v>8611</v>
      </c>
      <c r="Z3245" s="77"/>
      <c r="AA3245" s="77"/>
      <c r="AB3245" s="77"/>
      <c r="AC3245" s="80" t="s">
        <v>10541</v>
      </c>
      <c r="AD3245" s="77" t="s">
        <v>10617</v>
      </c>
      <c r="AE3245" s="83" t="str">
        <f>HYPERLINK("https://twitter.com/bahiapravoce/status/1655575573941436428")</f>
        <v>https://twitter.com/bahiapravoce/status/1655575573941436428</v>
      </c>
      <c r="AF3245" s="79">
        <v>45054.589699074073</v>
      </c>
      <c r="AG3245" s="85">
        <v>45054</v>
      </c>
      <c r="AH3245" s="80" t="s">
        <v>13452</v>
      </c>
      <c r="AI3245" s="77" t="b">
        <v>0</v>
      </c>
      <c r="AJ3245" s="77"/>
      <c r="AK3245" s="77"/>
      <c r="AL3245" s="77"/>
      <c r="AM3245" s="77"/>
      <c r="AN3245" s="77"/>
      <c r="AO3245" s="77"/>
      <c r="AP3245" s="77"/>
      <c r="AQ3245" s="77"/>
      <c r="AR3245" s="77"/>
      <c r="AS3245" s="77"/>
      <c r="AT3245" s="77"/>
      <c r="AU3245" s="77"/>
      <c r="AV3245" s="83" t="str">
        <f>HYPERLINK("https://pbs.twimg.com/profile_images/1643291254766051328/Xmw5NreC_normal.png")</f>
        <v>https://pbs.twimg.com/profile_images/1643291254766051328/Xmw5NreC_normal.png</v>
      </c>
      <c r="AW3245" s="80" t="s">
        <v>18981</v>
      </c>
      <c r="AX3245" s="80" t="s">
        <v>18981</v>
      </c>
      <c r="AY3245" s="77"/>
      <c r="AZ3245" s="80" t="s">
        <v>20380</v>
      </c>
      <c r="BA3245" s="80" t="s">
        <v>20380</v>
      </c>
      <c r="BB3245" s="80" t="s">
        <v>20380</v>
      </c>
      <c r="BC3245" s="80" t="s">
        <v>18981</v>
      </c>
      <c r="BD3245" s="80" t="s">
        <v>21023</v>
      </c>
      <c r="BE3245" s="77"/>
      <c r="BF3245" s="77"/>
      <c r="BG3245" s="77"/>
      <c r="BH3245" s="77"/>
      <c r="BI3245" s="77"/>
    </row>
    <row r="3246" spans="1:61" x14ac:dyDescent="0.25">
      <c r="A3246" s="62" t="s">
        <v>1296</v>
      </c>
      <c r="B3246" s="62" t="s">
        <v>1296</v>
      </c>
      <c r="C3246" s="63"/>
      <c r="D3246" s="64"/>
      <c r="E3246" s="65"/>
      <c r="F3246" s="66"/>
      <c r="G3246" s="63"/>
      <c r="H3246" s="67"/>
      <c r="I3246" s="68"/>
      <c r="J3246" s="68"/>
      <c r="K3246" s="32"/>
      <c r="L3246" s="75">
        <v>3246</v>
      </c>
      <c r="M3246" s="75"/>
      <c r="N3246" s="70"/>
      <c r="O3246" s="77" t="s">
        <v>179</v>
      </c>
      <c r="P3246" s="79">
        <v>45149.99591435185</v>
      </c>
      <c r="Q3246" s="77" t="s">
        <v>4950</v>
      </c>
      <c r="R3246" s="77">
        <v>0</v>
      </c>
      <c r="S3246" s="77">
        <v>0</v>
      </c>
      <c r="T3246" s="77">
        <v>0</v>
      </c>
      <c r="U3246" s="77">
        <v>0</v>
      </c>
      <c r="V3246" s="77">
        <v>6</v>
      </c>
      <c r="W3246" s="80" t="s">
        <v>7913</v>
      </c>
      <c r="X3246" s="77"/>
      <c r="Y3246" s="77"/>
      <c r="Z3246" s="77"/>
      <c r="AA3246" s="77"/>
      <c r="AB3246" s="77"/>
      <c r="AC3246" s="80" t="s">
        <v>10540</v>
      </c>
      <c r="AD3246" s="77" t="s">
        <v>10617</v>
      </c>
      <c r="AE3246" s="83" t="str">
        <f>HYPERLINK("https://twitter.com/lwabeserra/status/1690149627125956608")</f>
        <v>https://twitter.com/lwabeserra/status/1690149627125956608</v>
      </c>
      <c r="AF3246" s="79">
        <v>45149.99591435185</v>
      </c>
      <c r="AG3246" s="85">
        <v>45149</v>
      </c>
      <c r="AH3246" s="80" t="s">
        <v>13453</v>
      </c>
      <c r="AI3246" s="77"/>
      <c r="AJ3246" s="77"/>
      <c r="AK3246" s="77"/>
      <c r="AL3246" s="77"/>
      <c r="AM3246" s="77"/>
      <c r="AN3246" s="77"/>
      <c r="AO3246" s="77"/>
      <c r="AP3246" s="77"/>
      <c r="AQ3246" s="77"/>
      <c r="AR3246" s="77"/>
      <c r="AS3246" s="77"/>
      <c r="AT3246" s="77"/>
      <c r="AU3246" s="77"/>
      <c r="AV3246" s="83" t="str">
        <f>HYPERLINK("https://pbs.twimg.com/profile_images/1328523220530704384/eI7pc3K3_normal.jpg")</f>
        <v>https://pbs.twimg.com/profile_images/1328523220530704384/eI7pc3K3_normal.jpg</v>
      </c>
      <c r="AW3246" s="80" t="s">
        <v>18982</v>
      </c>
      <c r="AX3246" s="80" t="s">
        <v>18982</v>
      </c>
      <c r="AY3246" s="77"/>
      <c r="AZ3246" s="80" t="s">
        <v>20380</v>
      </c>
      <c r="BA3246" s="80" t="s">
        <v>20380</v>
      </c>
      <c r="BB3246" s="80" t="s">
        <v>20380</v>
      </c>
      <c r="BC3246" s="80" t="s">
        <v>18982</v>
      </c>
      <c r="BD3246" s="77">
        <v>44714905</v>
      </c>
      <c r="BE3246" s="77"/>
      <c r="BF3246" s="77"/>
      <c r="BG3246" s="77"/>
      <c r="BH3246" s="77"/>
      <c r="BI3246" s="77"/>
    </row>
    <row r="3247" spans="1:61" x14ac:dyDescent="0.25">
      <c r="A3247" s="62" t="s">
        <v>1297</v>
      </c>
      <c r="B3247" s="62" t="s">
        <v>1675</v>
      </c>
      <c r="C3247" s="63"/>
      <c r="D3247" s="64"/>
      <c r="E3247" s="65"/>
      <c r="F3247" s="66"/>
      <c r="G3247" s="63"/>
      <c r="H3247" s="67"/>
      <c r="I3247" s="68"/>
      <c r="J3247" s="68"/>
      <c r="K3247" s="32"/>
      <c r="L3247" s="75">
        <v>3247</v>
      </c>
      <c r="M3247" s="75"/>
      <c r="N3247" s="70"/>
      <c r="O3247" s="77" t="s">
        <v>2083</v>
      </c>
      <c r="P3247" s="79">
        <v>45189.403171296297</v>
      </c>
      <c r="Q3247" s="77" t="s">
        <v>4951</v>
      </c>
      <c r="R3247" s="77">
        <v>4</v>
      </c>
      <c r="S3247" s="77">
        <v>0</v>
      </c>
      <c r="T3247" s="77">
        <v>0</v>
      </c>
      <c r="U3247" s="77">
        <v>0</v>
      </c>
      <c r="V3247" s="77"/>
      <c r="W3247" s="80" t="s">
        <v>7914</v>
      </c>
      <c r="X3247" s="77"/>
      <c r="Y3247" s="77"/>
      <c r="Z3247" s="77" t="s">
        <v>1675</v>
      </c>
      <c r="AA3247" s="77"/>
      <c r="AB3247" s="77"/>
      <c r="AC3247" s="80" t="s">
        <v>10542</v>
      </c>
      <c r="AD3247" s="77" t="s">
        <v>10620</v>
      </c>
      <c r="AE3247" s="83" t="str">
        <f>HYPERLINK("https://twitter.com/beastymau/status/1704430337919459565")</f>
        <v>https://twitter.com/beastymau/status/1704430337919459565</v>
      </c>
      <c r="AF3247" s="79">
        <v>45189.403171296297</v>
      </c>
      <c r="AG3247" s="85">
        <v>45189</v>
      </c>
      <c r="AH3247" s="80" t="s">
        <v>13454</v>
      </c>
      <c r="AI3247" s="77"/>
      <c r="AJ3247" s="77"/>
      <c r="AK3247" s="77"/>
      <c r="AL3247" s="77"/>
      <c r="AM3247" s="77"/>
      <c r="AN3247" s="77"/>
      <c r="AO3247" s="77"/>
      <c r="AP3247" s="77"/>
      <c r="AQ3247" s="77"/>
      <c r="AR3247" s="77"/>
      <c r="AS3247" s="77"/>
      <c r="AT3247" s="77"/>
      <c r="AU3247" s="77"/>
      <c r="AV3247" s="83" t="str">
        <f>HYPERLINK("https://pbs.twimg.com/profile_images/1296610763159871489/_rcVIv5w_normal.jpg")</f>
        <v>https://pbs.twimg.com/profile_images/1296610763159871489/_rcVIv5w_normal.jpg</v>
      </c>
      <c r="AW3247" s="80" t="s">
        <v>18983</v>
      </c>
      <c r="AX3247" s="80" t="s">
        <v>18983</v>
      </c>
      <c r="AY3247" s="77"/>
      <c r="AZ3247" s="80" t="s">
        <v>20380</v>
      </c>
      <c r="BA3247" s="80" t="s">
        <v>20380</v>
      </c>
      <c r="BB3247" s="80" t="s">
        <v>19926</v>
      </c>
      <c r="BC3247" s="80" t="s">
        <v>19926</v>
      </c>
      <c r="BD3247" s="80" t="s">
        <v>21024</v>
      </c>
      <c r="BE3247" s="77"/>
      <c r="BF3247" s="77"/>
      <c r="BG3247" s="77"/>
      <c r="BH3247" s="77"/>
      <c r="BI3247" s="77"/>
    </row>
    <row r="3248" spans="1:61" x14ac:dyDescent="0.25">
      <c r="A3248" s="62" t="s">
        <v>1298</v>
      </c>
      <c r="B3248" s="62" t="s">
        <v>1655</v>
      </c>
      <c r="C3248" s="63"/>
      <c r="D3248" s="64"/>
      <c r="E3248" s="65"/>
      <c r="F3248" s="66"/>
      <c r="G3248" s="63"/>
      <c r="H3248" s="67"/>
      <c r="I3248" s="68"/>
      <c r="J3248" s="68"/>
      <c r="K3248" s="32"/>
      <c r="L3248" s="75">
        <v>3248</v>
      </c>
      <c r="M3248" s="75"/>
      <c r="N3248" s="70"/>
      <c r="O3248" s="77" t="s">
        <v>2083</v>
      </c>
      <c r="P3248" s="79">
        <v>45191.05740740741</v>
      </c>
      <c r="Q3248" s="77" t="s">
        <v>2120</v>
      </c>
      <c r="R3248" s="77">
        <v>57</v>
      </c>
      <c r="S3248" s="77">
        <v>0</v>
      </c>
      <c r="T3248" s="77">
        <v>0</v>
      </c>
      <c r="U3248" s="77">
        <v>0</v>
      </c>
      <c r="V3248" s="77"/>
      <c r="W3248" s="80" t="s">
        <v>5917</v>
      </c>
      <c r="X3248" s="77"/>
      <c r="Y3248" s="77"/>
      <c r="Z3248" s="77" t="s">
        <v>1655</v>
      </c>
      <c r="AA3248" s="77"/>
      <c r="AB3248" s="77"/>
      <c r="AC3248" s="80" t="s">
        <v>10540</v>
      </c>
      <c r="AD3248" s="77" t="s">
        <v>10617</v>
      </c>
      <c r="AE3248" s="83" t="str">
        <f>HYPERLINK("https://twitter.com/cristinafacch9/status/1705029814841729104")</f>
        <v>https://twitter.com/cristinafacch9/status/1705029814841729104</v>
      </c>
      <c r="AF3248" s="79">
        <v>45191.05740740741</v>
      </c>
      <c r="AG3248" s="85">
        <v>45191</v>
      </c>
      <c r="AH3248" s="80" t="s">
        <v>13455</v>
      </c>
      <c r="AI3248" s="77"/>
      <c r="AJ3248" s="77"/>
      <c r="AK3248" s="77"/>
      <c r="AL3248" s="77"/>
      <c r="AM3248" s="77"/>
      <c r="AN3248" s="77"/>
      <c r="AO3248" s="77"/>
      <c r="AP3248" s="77"/>
      <c r="AQ3248" s="77"/>
      <c r="AR3248" s="77"/>
      <c r="AS3248" s="77"/>
      <c r="AT3248" s="77"/>
      <c r="AU3248" s="77"/>
      <c r="AV3248" s="83" t="str">
        <f>HYPERLINK("https://pbs.twimg.com/profile_images/1586858981267591170/tXnig5Z1_normal.png")</f>
        <v>https://pbs.twimg.com/profile_images/1586858981267591170/tXnig5Z1_normal.png</v>
      </c>
      <c r="AW3248" s="80" t="s">
        <v>18984</v>
      </c>
      <c r="AX3248" s="80" t="s">
        <v>18984</v>
      </c>
      <c r="AY3248" s="77"/>
      <c r="AZ3248" s="80" t="s">
        <v>20380</v>
      </c>
      <c r="BA3248" s="80" t="s">
        <v>20380</v>
      </c>
      <c r="BB3248" s="80" t="s">
        <v>19843</v>
      </c>
      <c r="BC3248" s="80" t="s">
        <v>19843</v>
      </c>
      <c r="BD3248" s="80" t="s">
        <v>21025</v>
      </c>
      <c r="BE3248" s="77"/>
      <c r="BF3248" s="77"/>
      <c r="BG3248" s="77"/>
      <c r="BH3248" s="77"/>
      <c r="BI3248" s="77"/>
    </row>
    <row r="3249" spans="1:61" x14ac:dyDescent="0.25">
      <c r="A3249" s="62" t="s">
        <v>1299</v>
      </c>
      <c r="B3249" s="62" t="s">
        <v>1299</v>
      </c>
      <c r="C3249" s="63"/>
      <c r="D3249" s="64"/>
      <c r="E3249" s="65"/>
      <c r="F3249" s="66"/>
      <c r="G3249" s="63"/>
      <c r="H3249" s="67"/>
      <c r="I3249" s="68"/>
      <c r="J3249" s="68"/>
      <c r="K3249" s="32"/>
      <c r="L3249" s="75">
        <v>3249</v>
      </c>
      <c r="M3249" s="75"/>
      <c r="N3249" s="70"/>
      <c r="O3249" s="77" t="s">
        <v>179</v>
      </c>
      <c r="P3249" s="79">
        <v>45054.639733796299</v>
      </c>
      <c r="Q3249" s="77" t="s">
        <v>4952</v>
      </c>
      <c r="R3249" s="77">
        <v>5</v>
      </c>
      <c r="S3249" s="77">
        <v>10</v>
      </c>
      <c r="T3249" s="77">
        <v>0</v>
      </c>
      <c r="U3249" s="77">
        <v>0</v>
      </c>
      <c r="V3249" s="77">
        <v>532</v>
      </c>
      <c r="W3249" s="80" t="s">
        <v>7915</v>
      </c>
      <c r="X3249" s="83" t="str">
        <f>HYPERLINK("https://www.iprofesional.com/economia/381274-afip-controla-tu-plata-en-plazo-fijo-desde-que-monto-en-mayo")</f>
        <v>https://www.iprofesional.com/economia/381274-afip-controla-tu-plata-en-plazo-fijo-desde-que-monto-en-mayo</v>
      </c>
      <c r="Y3249" s="77" t="s">
        <v>8826</v>
      </c>
      <c r="Z3249" s="77"/>
      <c r="AA3249" s="77" t="s">
        <v>10126</v>
      </c>
      <c r="AB3249" s="77" t="s">
        <v>10536</v>
      </c>
      <c r="AC3249" s="80" t="s">
        <v>10542</v>
      </c>
      <c r="AD3249" s="77" t="s">
        <v>10620</v>
      </c>
      <c r="AE3249" s="83" t="str">
        <f>HYPERLINK("https://twitter.com/jusdigitalcaba/status/1655593704957284352")</f>
        <v>https://twitter.com/jusdigitalcaba/status/1655593704957284352</v>
      </c>
      <c r="AF3249" s="79">
        <v>45054.639733796299</v>
      </c>
      <c r="AG3249" s="85">
        <v>45054</v>
      </c>
      <c r="AH3249" s="80" t="s">
        <v>13456</v>
      </c>
      <c r="AI3249" s="77" t="b">
        <v>0</v>
      </c>
      <c r="AJ3249" s="77"/>
      <c r="AK3249" s="77"/>
      <c r="AL3249" s="77"/>
      <c r="AM3249" s="77"/>
      <c r="AN3249" s="77"/>
      <c r="AO3249" s="77"/>
      <c r="AP3249" s="77"/>
      <c r="AQ3249" s="77" t="s">
        <v>15607</v>
      </c>
      <c r="AR3249" s="77"/>
      <c r="AS3249" s="77"/>
      <c r="AT3249" s="77"/>
      <c r="AU3249" s="77"/>
      <c r="AV3249" s="83" t="str">
        <f>HYPERLINK("https://pbs.twimg.com/media/FvnZskFXsAYcL2V.jpg")</f>
        <v>https://pbs.twimg.com/media/FvnZskFXsAYcL2V.jpg</v>
      </c>
      <c r="AW3249" s="80" t="s">
        <v>18985</v>
      </c>
      <c r="AX3249" s="80" t="s">
        <v>18985</v>
      </c>
      <c r="AY3249" s="77"/>
      <c r="AZ3249" s="80" t="s">
        <v>20380</v>
      </c>
      <c r="BA3249" s="80" t="s">
        <v>20380</v>
      </c>
      <c r="BB3249" s="80" t="s">
        <v>20380</v>
      </c>
      <c r="BC3249" s="80" t="s">
        <v>18985</v>
      </c>
      <c r="BD3249" s="80" t="s">
        <v>21026</v>
      </c>
      <c r="BE3249" s="77"/>
      <c r="BF3249" s="77"/>
      <c r="BG3249" s="77"/>
      <c r="BH3249" s="77"/>
      <c r="BI3249" s="77"/>
    </row>
    <row r="3250" spans="1:61" x14ac:dyDescent="0.25">
      <c r="A3250" s="62" t="s">
        <v>1300</v>
      </c>
      <c r="B3250" s="62" t="s">
        <v>1300</v>
      </c>
      <c r="C3250" s="63"/>
      <c r="D3250" s="64"/>
      <c r="E3250" s="65"/>
      <c r="F3250" s="66"/>
      <c r="G3250" s="63"/>
      <c r="H3250" s="67"/>
      <c r="I3250" s="68"/>
      <c r="J3250" s="68"/>
      <c r="K3250" s="32"/>
      <c r="L3250" s="75">
        <v>3250</v>
      </c>
      <c r="M3250" s="75"/>
      <c r="N3250" s="70"/>
      <c r="O3250" s="77" t="s">
        <v>179</v>
      </c>
      <c r="P3250" s="79">
        <v>45065.532557870371</v>
      </c>
      <c r="Q3250" s="77" t="s">
        <v>4953</v>
      </c>
      <c r="R3250" s="77">
        <v>0</v>
      </c>
      <c r="S3250" s="77">
        <v>0</v>
      </c>
      <c r="T3250" s="77">
        <v>0</v>
      </c>
      <c r="U3250" s="77">
        <v>0</v>
      </c>
      <c r="V3250" s="77">
        <v>37</v>
      </c>
      <c r="W3250" s="80" t="s">
        <v>6319</v>
      </c>
      <c r="X3250" s="83" t="str">
        <f>HYPERLINK("https://www.cba24n.com.ar/argentina/comercios-con-codigo-qr-deberan-aceptar-pagos-con-cualquier-billetera-digital-interoperable_a646765c270119197b06c89cc")</f>
        <v>https://www.cba24n.com.ar/argentina/comercios-con-codigo-qr-deberan-aceptar-pagos-con-cualquier-billetera-digital-interoperable_a646765c270119197b06c89cc</v>
      </c>
      <c r="Y3250" s="77" t="s">
        <v>8624</v>
      </c>
      <c r="Z3250" s="77"/>
      <c r="AA3250" s="77"/>
      <c r="AB3250" s="77"/>
      <c r="AC3250" s="80" t="s">
        <v>10541</v>
      </c>
      <c r="AD3250" s="77" t="s">
        <v>10620</v>
      </c>
      <c r="AE3250" s="83" t="str">
        <f>HYPERLINK("https://twitter.com/mvalegamboa/status/1659541133012131841")</f>
        <v>https://twitter.com/mvalegamboa/status/1659541133012131841</v>
      </c>
      <c r="AF3250" s="79">
        <v>45065.532557870371</v>
      </c>
      <c r="AG3250" s="85">
        <v>45065</v>
      </c>
      <c r="AH3250" s="80" t="s">
        <v>13457</v>
      </c>
      <c r="AI3250" s="77" t="b">
        <v>0</v>
      </c>
      <c r="AJ3250" s="77"/>
      <c r="AK3250" s="77"/>
      <c r="AL3250" s="77"/>
      <c r="AM3250" s="77"/>
      <c r="AN3250" s="77"/>
      <c r="AO3250" s="77"/>
      <c r="AP3250" s="77"/>
      <c r="AQ3250" s="77"/>
      <c r="AR3250" s="77"/>
      <c r="AS3250" s="77"/>
      <c r="AT3250" s="77"/>
      <c r="AU3250" s="77"/>
      <c r="AV3250" s="83" t="str">
        <f>HYPERLINK("https://pbs.twimg.com/profile_images/1659615772665077761/aMouuhal_normal.jpg")</f>
        <v>https://pbs.twimg.com/profile_images/1659615772665077761/aMouuhal_normal.jpg</v>
      </c>
      <c r="AW3250" s="80" t="s">
        <v>18986</v>
      </c>
      <c r="AX3250" s="80" t="s">
        <v>18986</v>
      </c>
      <c r="AY3250" s="77"/>
      <c r="AZ3250" s="80" t="s">
        <v>20380</v>
      </c>
      <c r="BA3250" s="80" t="s">
        <v>20380</v>
      </c>
      <c r="BB3250" s="80" t="s">
        <v>20380</v>
      </c>
      <c r="BC3250" s="80" t="s">
        <v>18986</v>
      </c>
      <c r="BD3250" s="77">
        <v>417443041</v>
      </c>
      <c r="BE3250" s="77"/>
      <c r="BF3250" s="77"/>
      <c r="BG3250" s="77"/>
      <c r="BH3250" s="77"/>
      <c r="BI3250" s="77"/>
    </row>
    <row r="3251" spans="1:61" x14ac:dyDescent="0.25">
      <c r="A3251" s="62" t="s">
        <v>1300</v>
      </c>
      <c r="B3251" s="62" t="s">
        <v>1300</v>
      </c>
      <c r="C3251" s="63"/>
      <c r="D3251" s="64"/>
      <c r="E3251" s="65"/>
      <c r="F3251" s="66"/>
      <c r="G3251" s="63"/>
      <c r="H3251" s="67"/>
      <c r="I3251" s="68"/>
      <c r="J3251" s="68"/>
      <c r="K3251" s="32"/>
      <c r="L3251" s="75">
        <v>3251</v>
      </c>
      <c r="M3251" s="75"/>
      <c r="N3251" s="70"/>
      <c r="O3251" s="77" t="s">
        <v>179</v>
      </c>
      <c r="P3251" s="79">
        <v>45141.737430555557</v>
      </c>
      <c r="Q3251" s="77" t="s">
        <v>4954</v>
      </c>
      <c r="R3251" s="77">
        <v>0</v>
      </c>
      <c r="S3251" s="77">
        <v>0</v>
      </c>
      <c r="T3251" s="77">
        <v>0</v>
      </c>
      <c r="U3251" s="77">
        <v>0</v>
      </c>
      <c r="V3251" s="77">
        <v>76</v>
      </c>
      <c r="W3251" s="80" t="s">
        <v>5884</v>
      </c>
      <c r="X3251" s="83" t="str">
        <f>HYPERLINK("https://www.cba24n.com.ar/argentina/el-dolar--blue--imparable-tras-las-nuevas-medidas-del-gobierno--a-cuanto-cotiza-este-jueves-_a64cbd69a404c0ca2f7871a95")</f>
        <v>https://www.cba24n.com.ar/argentina/el-dolar--blue--imparable-tras-las-nuevas-medidas-del-gobierno--a-cuanto-cotiza-este-jueves-_a64cbd69a404c0ca2f7871a95</v>
      </c>
      <c r="Y3251" s="77" t="s">
        <v>8624</v>
      </c>
      <c r="Z3251" s="77"/>
      <c r="AA3251" s="77"/>
      <c r="AB3251" s="77"/>
      <c r="AC3251" s="80" t="s">
        <v>10541</v>
      </c>
      <c r="AD3251" s="77" t="s">
        <v>10620</v>
      </c>
      <c r="AE3251" s="83" t="str">
        <f>HYPERLINK("https://twitter.com/mvalegamboa/status/1687156854701375511")</f>
        <v>https://twitter.com/mvalegamboa/status/1687156854701375511</v>
      </c>
      <c r="AF3251" s="79">
        <v>45141.737430555557</v>
      </c>
      <c r="AG3251" s="85">
        <v>45141</v>
      </c>
      <c r="AH3251" s="80" t="s">
        <v>13458</v>
      </c>
      <c r="AI3251" s="77" t="b">
        <v>0</v>
      </c>
      <c r="AJ3251" s="77"/>
      <c r="AK3251" s="77"/>
      <c r="AL3251" s="77"/>
      <c r="AM3251" s="77"/>
      <c r="AN3251" s="77"/>
      <c r="AO3251" s="77"/>
      <c r="AP3251" s="77"/>
      <c r="AQ3251" s="77"/>
      <c r="AR3251" s="77"/>
      <c r="AS3251" s="77"/>
      <c r="AT3251" s="77"/>
      <c r="AU3251" s="77"/>
      <c r="AV3251" s="83" t="str">
        <f>HYPERLINK("https://pbs.twimg.com/profile_images/1659615772665077761/aMouuhal_normal.jpg")</f>
        <v>https://pbs.twimg.com/profile_images/1659615772665077761/aMouuhal_normal.jpg</v>
      </c>
      <c r="AW3251" s="80" t="s">
        <v>18987</v>
      </c>
      <c r="AX3251" s="80" t="s">
        <v>18987</v>
      </c>
      <c r="AY3251" s="77"/>
      <c r="AZ3251" s="80" t="s">
        <v>20380</v>
      </c>
      <c r="BA3251" s="80" t="s">
        <v>20380</v>
      </c>
      <c r="BB3251" s="80" t="s">
        <v>20380</v>
      </c>
      <c r="BC3251" s="80" t="s">
        <v>18987</v>
      </c>
      <c r="BD3251" s="77">
        <v>417443041</v>
      </c>
      <c r="BE3251" s="77"/>
      <c r="BF3251" s="77"/>
      <c r="BG3251" s="77"/>
      <c r="BH3251" s="77"/>
      <c r="BI3251" s="77"/>
    </row>
    <row r="3252" spans="1:61" x14ac:dyDescent="0.25">
      <c r="A3252" s="62" t="s">
        <v>1301</v>
      </c>
      <c r="B3252" s="62" t="s">
        <v>1301</v>
      </c>
      <c r="C3252" s="63"/>
      <c r="D3252" s="64"/>
      <c r="E3252" s="65"/>
      <c r="F3252" s="66"/>
      <c r="G3252" s="63"/>
      <c r="H3252" s="67"/>
      <c r="I3252" s="68"/>
      <c r="J3252" s="68"/>
      <c r="K3252" s="32"/>
      <c r="L3252" s="75">
        <v>3252</v>
      </c>
      <c r="M3252" s="75"/>
      <c r="N3252" s="70"/>
      <c r="O3252" s="77" t="s">
        <v>179</v>
      </c>
      <c r="P3252" s="79">
        <v>45065.650451388887</v>
      </c>
      <c r="Q3252" s="77" t="s">
        <v>4955</v>
      </c>
      <c r="R3252" s="77">
        <v>0</v>
      </c>
      <c r="S3252" s="77">
        <v>0</v>
      </c>
      <c r="T3252" s="77">
        <v>0</v>
      </c>
      <c r="U3252" s="77">
        <v>0</v>
      </c>
      <c r="V3252" s="77">
        <v>13</v>
      </c>
      <c r="W3252" s="80" t="s">
        <v>7916</v>
      </c>
      <c r="X3252" s="83" t="str">
        <f>HYPERLINK("https://masterwnews.com/39290/")</f>
        <v>https://masterwnews.com/39290/</v>
      </c>
      <c r="Y3252" s="77" t="s">
        <v>8827</v>
      </c>
      <c r="Z3252" s="77"/>
      <c r="AA3252" s="77" t="s">
        <v>10127</v>
      </c>
      <c r="AB3252" s="77" t="s">
        <v>10535</v>
      </c>
      <c r="AC3252" s="80" t="s">
        <v>10541</v>
      </c>
      <c r="AD3252" s="77" t="s">
        <v>10617</v>
      </c>
      <c r="AE3252" s="83" t="str">
        <f>HYPERLINK("https://twitter.com/masterwnews/status/1659583856612089858")</f>
        <v>https://twitter.com/masterwnews/status/1659583856612089858</v>
      </c>
      <c r="AF3252" s="79">
        <v>45065.650451388887</v>
      </c>
      <c r="AG3252" s="85">
        <v>45065</v>
      </c>
      <c r="AH3252" s="80" t="s">
        <v>13459</v>
      </c>
      <c r="AI3252" s="77" t="b">
        <v>0</v>
      </c>
      <c r="AJ3252" s="77"/>
      <c r="AK3252" s="77"/>
      <c r="AL3252" s="77"/>
      <c r="AM3252" s="77"/>
      <c r="AN3252" s="77"/>
      <c r="AO3252" s="77"/>
      <c r="AP3252" s="77"/>
      <c r="AQ3252" s="77" t="s">
        <v>15608</v>
      </c>
      <c r="AR3252" s="77"/>
      <c r="AS3252" s="77"/>
      <c r="AT3252" s="77"/>
      <c r="AU3252" s="77"/>
      <c r="AV3252" s="83" t="str">
        <f>HYPERLINK("https://pbs.twimg.com/media/FwgGrAaXoAIh4pb.jpg")</f>
        <v>https://pbs.twimg.com/media/FwgGrAaXoAIh4pb.jpg</v>
      </c>
      <c r="AW3252" s="80" t="s">
        <v>18988</v>
      </c>
      <c r="AX3252" s="80" t="s">
        <v>18988</v>
      </c>
      <c r="AY3252" s="77"/>
      <c r="AZ3252" s="80" t="s">
        <v>20380</v>
      </c>
      <c r="BA3252" s="80" t="s">
        <v>20380</v>
      </c>
      <c r="BB3252" s="80" t="s">
        <v>20380</v>
      </c>
      <c r="BC3252" s="80" t="s">
        <v>18988</v>
      </c>
      <c r="BD3252" s="80" t="s">
        <v>21027</v>
      </c>
      <c r="BE3252" s="77"/>
      <c r="BF3252" s="77"/>
      <c r="BG3252" s="77"/>
      <c r="BH3252" s="77"/>
      <c r="BI3252" s="77"/>
    </row>
    <row r="3253" spans="1:61" x14ac:dyDescent="0.25">
      <c r="A3253" s="62" t="s">
        <v>1301</v>
      </c>
      <c r="B3253" s="62" t="s">
        <v>1301</v>
      </c>
      <c r="C3253" s="63"/>
      <c r="D3253" s="64"/>
      <c r="E3253" s="65"/>
      <c r="F3253" s="66"/>
      <c r="G3253" s="63"/>
      <c r="H3253" s="67"/>
      <c r="I3253" s="68"/>
      <c r="J3253" s="68"/>
      <c r="K3253" s="32"/>
      <c r="L3253" s="75">
        <v>3253</v>
      </c>
      <c r="M3253" s="75"/>
      <c r="N3253" s="70"/>
      <c r="O3253" s="77" t="s">
        <v>179</v>
      </c>
      <c r="P3253" s="79">
        <v>45083.679976851854</v>
      </c>
      <c r="Q3253" s="77" t="s">
        <v>4956</v>
      </c>
      <c r="R3253" s="77">
        <v>0</v>
      </c>
      <c r="S3253" s="77">
        <v>1</v>
      </c>
      <c r="T3253" s="77">
        <v>0</v>
      </c>
      <c r="U3253" s="77">
        <v>0</v>
      </c>
      <c r="V3253" s="77">
        <v>43</v>
      </c>
      <c r="W3253" s="80" t="s">
        <v>7917</v>
      </c>
      <c r="X3253" s="83" t="str">
        <f>HYPERLINK("https://masterwnews.com/39837/")</f>
        <v>https://masterwnews.com/39837/</v>
      </c>
      <c r="Y3253" s="77" t="s">
        <v>8827</v>
      </c>
      <c r="Z3253" s="77"/>
      <c r="AA3253" s="77" t="s">
        <v>10128</v>
      </c>
      <c r="AB3253" s="77" t="s">
        <v>10535</v>
      </c>
      <c r="AC3253" s="80" t="s">
        <v>10541</v>
      </c>
      <c r="AD3253" s="77" t="s">
        <v>10617</v>
      </c>
      <c r="AE3253" s="83" t="str">
        <f>HYPERLINK("https://twitter.com/masterwnews/status/1666117538298601473")</f>
        <v>https://twitter.com/masterwnews/status/1666117538298601473</v>
      </c>
      <c r="AF3253" s="79">
        <v>45083.679976851854</v>
      </c>
      <c r="AG3253" s="85">
        <v>45083</v>
      </c>
      <c r="AH3253" s="80" t="s">
        <v>13460</v>
      </c>
      <c r="AI3253" s="77" t="b">
        <v>0</v>
      </c>
      <c r="AJ3253" s="77"/>
      <c r="AK3253" s="77"/>
      <c r="AL3253" s="77"/>
      <c r="AM3253" s="77"/>
      <c r="AN3253" s="77"/>
      <c r="AO3253" s="77"/>
      <c r="AP3253" s="77"/>
      <c r="AQ3253" s="77" t="s">
        <v>15609</v>
      </c>
      <c r="AR3253" s="77"/>
      <c r="AS3253" s="77"/>
      <c r="AT3253" s="77"/>
      <c r="AU3253" s="77"/>
      <c r="AV3253" s="83" t="str">
        <f>HYPERLINK("https://pbs.twimg.com/media/Fx887LXXsAgf-ZV.jpg")</f>
        <v>https://pbs.twimg.com/media/Fx887LXXsAgf-ZV.jpg</v>
      </c>
      <c r="AW3253" s="80" t="s">
        <v>18989</v>
      </c>
      <c r="AX3253" s="80" t="s">
        <v>18989</v>
      </c>
      <c r="AY3253" s="77"/>
      <c r="AZ3253" s="80" t="s">
        <v>20380</v>
      </c>
      <c r="BA3253" s="80" t="s">
        <v>20380</v>
      </c>
      <c r="BB3253" s="80" t="s">
        <v>20380</v>
      </c>
      <c r="BC3253" s="80" t="s">
        <v>18989</v>
      </c>
      <c r="BD3253" s="80" t="s">
        <v>21027</v>
      </c>
      <c r="BE3253" s="77"/>
      <c r="BF3253" s="77"/>
      <c r="BG3253" s="77"/>
      <c r="BH3253" s="77"/>
      <c r="BI3253" s="77"/>
    </row>
    <row r="3254" spans="1:61" x14ac:dyDescent="0.25">
      <c r="A3254" s="62" t="s">
        <v>1301</v>
      </c>
      <c r="B3254" s="62" t="s">
        <v>1301</v>
      </c>
      <c r="C3254" s="63"/>
      <c r="D3254" s="64"/>
      <c r="E3254" s="65"/>
      <c r="F3254" s="66"/>
      <c r="G3254" s="63"/>
      <c r="H3254" s="67"/>
      <c r="I3254" s="68"/>
      <c r="J3254" s="68"/>
      <c r="K3254" s="32"/>
      <c r="L3254" s="75">
        <v>3254</v>
      </c>
      <c r="M3254" s="75"/>
      <c r="N3254" s="70"/>
      <c r="O3254" s="77" t="s">
        <v>179</v>
      </c>
      <c r="P3254" s="79">
        <v>45110.741909722223</v>
      </c>
      <c r="Q3254" s="77" t="s">
        <v>4957</v>
      </c>
      <c r="R3254" s="77">
        <v>0</v>
      </c>
      <c r="S3254" s="77">
        <v>0</v>
      </c>
      <c r="T3254" s="77">
        <v>0</v>
      </c>
      <c r="U3254" s="77">
        <v>0</v>
      </c>
      <c r="V3254" s="77">
        <v>17</v>
      </c>
      <c r="W3254" s="80" t="s">
        <v>7918</v>
      </c>
      <c r="X3254" s="83" t="str">
        <f>HYPERLINK("https://masterwnews.com/40446/mercado-financeiro-eleva-projecao-de-crescimento-para-219-em-2023/")</f>
        <v>https://masterwnews.com/40446/mercado-financeiro-eleva-projecao-de-crescimento-para-219-em-2023/</v>
      </c>
      <c r="Y3254" s="77" t="s">
        <v>8827</v>
      </c>
      <c r="Z3254" s="77"/>
      <c r="AA3254" s="77"/>
      <c r="AB3254" s="77"/>
      <c r="AC3254" s="80" t="s">
        <v>10541</v>
      </c>
      <c r="AD3254" s="77" t="s">
        <v>10617</v>
      </c>
      <c r="AE3254" s="83" t="str">
        <f>HYPERLINK("https://twitter.com/masterwnews/status/1675924454772187144")</f>
        <v>https://twitter.com/masterwnews/status/1675924454772187144</v>
      </c>
      <c r="AF3254" s="79">
        <v>45110.741909722223</v>
      </c>
      <c r="AG3254" s="85">
        <v>45110</v>
      </c>
      <c r="AH3254" s="80" t="s">
        <v>13461</v>
      </c>
      <c r="AI3254" s="77" t="b">
        <v>0</v>
      </c>
      <c r="AJ3254" s="77"/>
      <c r="AK3254" s="77"/>
      <c r="AL3254" s="77"/>
      <c r="AM3254" s="77"/>
      <c r="AN3254" s="77"/>
      <c r="AO3254" s="77"/>
      <c r="AP3254" s="77"/>
      <c r="AQ3254" s="77"/>
      <c r="AR3254" s="77"/>
      <c r="AS3254" s="77"/>
      <c r="AT3254" s="77"/>
      <c r="AU3254" s="77"/>
      <c r="AV3254" s="83" t="str">
        <f>HYPERLINK("https://pbs.twimg.com/profile_images/1652487430128168960/CTUOemrl_normal.jpg")</f>
        <v>https://pbs.twimg.com/profile_images/1652487430128168960/CTUOemrl_normal.jpg</v>
      </c>
      <c r="AW3254" s="80" t="s">
        <v>18990</v>
      </c>
      <c r="AX3254" s="80" t="s">
        <v>18990</v>
      </c>
      <c r="AY3254" s="77"/>
      <c r="AZ3254" s="80" t="s">
        <v>20380</v>
      </c>
      <c r="BA3254" s="80" t="s">
        <v>20380</v>
      </c>
      <c r="BB3254" s="80" t="s">
        <v>20380</v>
      </c>
      <c r="BC3254" s="80" t="s">
        <v>18990</v>
      </c>
      <c r="BD3254" s="80" t="s">
        <v>21027</v>
      </c>
      <c r="BE3254" s="77"/>
      <c r="BF3254" s="77"/>
      <c r="BG3254" s="77"/>
      <c r="BH3254" s="77"/>
      <c r="BI3254" s="77"/>
    </row>
    <row r="3255" spans="1:61" x14ac:dyDescent="0.25">
      <c r="A3255" s="62" t="s">
        <v>1302</v>
      </c>
      <c r="B3255" s="62" t="s">
        <v>1302</v>
      </c>
      <c r="C3255" s="63"/>
      <c r="D3255" s="64"/>
      <c r="E3255" s="65"/>
      <c r="F3255" s="66"/>
      <c r="G3255" s="63"/>
      <c r="H3255" s="67"/>
      <c r="I3255" s="68"/>
      <c r="J3255" s="68"/>
      <c r="K3255" s="32"/>
      <c r="L3255" s="75">
        <v>3255</v>
      </c>
      <c r="M3255" s="75"/>
      <c r="N3255" s="70"/>
      <c r="O3255" s="77" t="s">
        <v>179</v>
      </c>
      <c r="P3255" s="79">
        <v>45152.043020833335</v>
      </c>
      <c r="Q3255" s="77" t="s">
        <v>4958</v>
      </c>
      <c r="R3255" s="77">
        <v>1</v>
      </c>
      <c r="S3255" s="77">
        <v>3</v>
      </c>
      <c r="T3255" s="77">
        <v>0</v>
      </c>
      <c r="U3255" s="77">
        <v>1</v>
      </c>
      <c r="V3255" s="77">
        <v>2002</v>
      </c>
      <c r="W3255" s="80" t="s">
        <v>7919</v>
      </c>
      <c r="X3255" s="77"/>
      <c r="Y3255" s="77"/>
      <c r="Z3255" s="77"/>
      <c r="AA3255" s="77" t="s">
        <v>10129</v>
      </c>
      <c r="AB3255" s="77" t="s">
        <v>10539</v>
      </c>
      <c r="AC3255" s="80" t="s">
        <v>10540</v>
      </c>
      <c r="AD3255" s="77" t="s">
        <v>10620</v>
      </c>
      <c r="AE3255" s="83" t="str">
        <f>HYPERLINK("https://twitter.com/julietalazzini/status/1690891474185887744")</f>
        <v>https://twitter.com/julietalazzini/status/1690891474185887744</v>
      </c>
      <c r="AF3255" s="79">
        <v>45152.043020833335</v>
      </c>
      <c r="AG3255" s="85">
        <v>45152</v>
      </c>
      <c r="AH3255" s="80" t="s">
        <v>13462</v>
      </c>
      <c r="AI3255" s="77" t="b">
        <v>0</v>
      </c>
      <c r="AJ3255" s="77" t="s">
        <v>14363</v>
      </c>
      <c r="AK3255" s="77" t="s">
        <v>14385</v>
      </c>
      <c r="AL3255" s="77" t="s">
        <v>14394</v>
      </c>
      <c r="AM3255" s="77" t="s">
        <v>14420</v>
      </c>
      <c r="AN3255" s="77" t="s">
        <v>14460</v>
      </c>
      <c r="AO3255" s="77" t="s">
        <v>14499</v>
      </c>
      <c r="AP3255" s="77" t="s">
        <v>14516</v>
      </c>
      <c r="AQ3255" s="77" t="s">
        <v>15610</v>
      </c>
      <c r="AR3255" s="77"/>
      <c r="AS3255" s="77"/>
      <c r="AT3255" s="77"/>
      <c r="AU3255" s="77"/>
      <c r="AV3255" s="83" t="str">
        <f>HYPERLINK("https://pbs.twimg.com/tweet_video_thumb/F3dA0jhXsAApwJq.jpg")</f>
        <v>https://pbs.twimg.com/tweet_video_thumb/F3dA0jhXsAApwJq.jpg</v>
      </c>
      <c r="AW3255" s="80" t="s">
        <v>18991</v>
      </c>
      <c r="AX3255" s="80" t="s">
        <v>18991</v>
      </c>
      <c r="AY3255" s="77"/>
      <c r="AZ3255" s="80" t="s">
        <v>20380</v>
      </c>
      <c r="BA3255" s="80" t="s">
        <v>20380</v>
      </c>
      <c r="BB3255" s="80" t="s">
        <v>20380</v>
      </c>
      <c r="BC3255" s="80" t="s">
        <v>18991</v>
      </c>
      <c r="BD3255" s="77">
        <v>1376145452</v>
      </c>
      <c r="BE3255" s="77"/>
      <c r="BF3255" s="77"/>
      <c r="BG3255" s="77"/>
      <c r="BH3255" s="77"/>
      <c r="BI3255" s="77"/>
    </row>
    <row r="3256" spans="1:61" x14ac:dyDescent="0.25">
      <c r="A3256" s="62" t="s">
        <v>1302</v>
      </c>
      <c r="B3256" s="62" t="s">
        <v>1302</v>
      </c>
      <c r="C3256" s="63"/>
      <c r="D3256" s="64"/>
      <c r="E3256" s="65"/>
      <c r="F3256" s="66"/>
      <c r="G3256" s="63"/>
      <c r="H3256" s="67"/>
      <c r="I3256" s="68"/>
      <c r="J3256" s="68"/>
      <c r="K3256" s="32"/>
      <c r="L3256" s="75">
        <v>3256</v>
      </c>
      <c r="M3256" s="75"/>
      <c r="N3256" s="70"/>
      <c r="O3256" s="77" t="s">
        <v>2082</v>
      </c>
      <c r="P3256" s="79">
        <v>45152.601377314815</v>
      </c>
      <c r="Q3256" s="77" t="s">
        <v>4959</v>
      </c>
      <c r="R3256" s="77">
        <v>0</v>
      </c>
      <c r="S3256" s="77">
        <v>1</v>
      </c>
      <c r="T3256" s="77">
        <v>0</v>
      </c>
      <c r="U3256" s="77">
        <v>0</v>
      </c>
      <c r="V3256" s="77">
        <v>543</v>
      </c>
      <c r="W3256" s="80" t="s">
        <v>7920</v>
      </c>
      <c r="X3256" s="77"/>
      <c r="Y3256" s="77"/>
      <c r="Z3256" s="77"/>
      <c r="AA3256" s="77"/>
      <c r="AB3256" s="77"/>
      <c r="AC3256" s="80" t="s">
        <v>10540</v>
      </c>
      <c r="AD3256" s="77" t="s">
        <v>10620</v>
      </c>
      <c r="AE3256" s="83" t="str">
        <f>HYPERLINK("https://twitter.com/julietalazzini/status/1691093815569088512")</f>
        <v>https://twitter.com/julietalazzini/status/1691093815569088512</v>
      </c>
      <c r="AF3256" s="79">
        <v>45152.601377314815</v>
      </c>
      <c r="AG3256" s="85">
        <v>45152</v>
      </c>
      <c r="AH3256" s="80" t="s">
        <v>13463</v>
      </c>
      <c r="AI3256" s="77"/>
      <c r="AJ3256" s="77"/>
      <c r="AK3256" s="77"/>
      <c r="AL3256" s="77"/>
      <c r="AM3256" s="77"/>
      <c r="AN3256" s="77"/>
      <c r="AO3256" s="77"/>
      <c r="AP3256" s="77"/>
      <c r="AQ3256" s="77"/>
      <c r="AR3256" s="77"/>
      <c r="AS3256" s="77"/>
      <c r="AT3256" s="77"/>
      <c r="AU3256" s="77"/>
      <c r="AV3256" s="83" t="str">
        <f>HYPERLINK("https://pbs.twimg.com/profile_images/1676724572027072512/6vzyD5kx_normal.jpg")</f>
        <v>https://pbs.twimg.com/profile_images/1676724572027072512/6vzyD5kx_normal.jpg</v>
      </c>
      <c r="AW3256" s="80" t="s">
        <v>18992</v>
      </c>
      <c r="AX3256" s="80" t="s">
        <v>18992</v>
      </c>
      <c r="AY3256" s="77"/>
      <c r="AZ3256" s="80" t="s">
        <v>20380</v>
      </c>
      <c r="BA3256" s="80" t="s">
        <v>18991</v>
      </c>
      <c r="BB3256" s="80" t="s">
        <v>20380</v>
      </c>
      <c r="BC3256" s="80" t="s">
        <v>18991</v>
      </c>
      <c r="BD3256" s="77">
        <v>1376145452</v>
      </c>
      <c r="BE3256" s="77"/>
      <c r="BF3256" s="77"/>
      <c r="BG3256" s="77"/>
      <c r="BH3256" s="77"/>
      <c r="BI3256" s="77"/>
    </row>
    <row r="3257" spans="1:61" x14ac:dyDescent="0.25">
      <c r="A3257" s="62" t="s">
        <v>1302</v>
      </c>
      <c r="B3257" s="62" t="s">
        <v>1302</v>
      </c>
      <c r="C3257" s="63"/>
      <c r="D3257" s="64"/>
      <c r="E3257" s="65"/>
      <c r="F3257" s="66"/>
      <c r="G3257" s="63"/>
      <c r="H3257" s="67"/>
      <c r="I3257" s="68"/>
      <c r="J3257" s="68"/>
      <c r="K3257" s="32"/>
      <c r="L3257" s="75">
        <v>3257</v>
      </c>
      <c r="M3257" s="75"/>
      <c r="N3257" s="70"/>
      <c r="O3257" s="77" t="s">
        <v>179</v>
      </c>
      <c r="P3257" s="79">
        <v>45155.026446759257</v>
      </c>
      <c r="Q3257" s="77" t="s">
        <v>4960</v>
      </c>
      <c r="R3257" s="77">
        <v>0</v>
      </c>
      <c r="S3257" s="77">
        <v>0</v>
      </c>
      <c r="T3257" s="77">
        <v>0</v>
      </c>
      <c r="U3257" s="77">
        <v>0</v>
      </c>
      <c r="V3257" s="77">
        <v>556</v>
      </c>
      <c r="W3257" s="80" t="s">
        <v>7921</v>
      </c>
      <c r="X3257" s="83" t="str">
        <f>HYPERLINK("https://youtu.be/xRhlMdhm0jw")</f>
        <v>https://youtu.be/xRhlMdhm0jw</v>
      </c>
      <c r="Y3257" s="77" t="s">
        <v>8635</v>
      </c>
      <c r="Z3257" s="77"/>
      <c r="AA3257" s="77"/>
      <c r="AB3257" s="77"/>
      <c r="AC3257" s="80" t="s">
        <v>10540</v>
      </c>
      <c r="AD3257" s="77" t="s">
        <v>10620</v>
      </c>
      <c r="AE3257" s="83" t="str">
        <f>HYPERLINK("https://twitter.com/julietalazzini/status/1691972630725710227")</f>
        <v>https://twitter.com/julietalazzini/status/1691972630725710227</v>
      </c>
      <c r="AF3257" s="79">
        <v>45155.026446759257</v>
      </c>
      <c r="AG3257" s="85">
        <v>45155</v>
      </c>
      <c r="AH3257" s="80" t="s">
        <v>13464</v>
      </c>
      <c r="AI3257" s="77" t="b">
        <v>0</v>
      </c>
      <c r="AJ3257" s="77" t="s">
        <v>14363</v>
      </c>
      <c r="AK3257" s="77" t="s">
        <v>14385</v>
      </c>
      <c r="AL3257" s="77" t="s">
        <v>14394</v>
      </c>
      <c r="AM3257" s="77" t="s">
        <v>14420</v>
      </c>
      <c r="AN3257" s="77" t="s">
        <v>14460</v>
      </c>
      <c r="AO3257" s="77" t="s">
        <v>14499</v>
      </c>
      <c r="AP3257" s="77" t="s">
        <v>14516</v>
      </c>
      <c r="AQ3257" s="77"/>
      <c r="AR3257" s="77"/>
      <c r="AS3257" s="77"/>
      <c r="AT3257" s="77"/>
      <c r="AU3257" s="77"/>
      <c r="AV3257" s="83" t="str">
        <f>HYPERLINK("https://pbs.twimg.com/profile_images/1676724572027072512/6vzyD5kx_normal.jpg")</f>
        <v>https://pbs.twimg.com/profile_images/1676724572027072512/6vzyD5kx_normal.jpg</v>
      </c>
      <c r="AW3257" s="80" t="s">
        <v>18993</v>
      </c>
      <c r="AX3257" s="80" t="s">
        <v>18993</v>
      </c>
      <c r="AY3257" s="77"/>
      <c r="AZ3257" s="80" t="s">
        <v>20380</v>
      </c>
      <c r="BA3257" s="80" t="s">
        <v>20380</v>
      </c>
      <c r="BB3257" s="80" t="s">
        <v>20380</v>
      </c>
      <c r="BC3257" s="80" t="s">
        <v>18993</v>
      </c>
      <c r="BD3257" s="77">
        <v>1376145452</v>
      </c>
      <c r="BE3257" s="77"/>
      <c r="BF3257" s="77"/>
      <c r="BG3257" s="77"/>
      <c r="BH3257" s="77"/>
      <c r="BI3257" s="77"/>
    </row>
    <row r="3258" spans="1:61" x14ac:dyDescent="0.25">
      <c r="A3258" s="62" t="s">
        <v>1303</v>
      </c>
      <c r="B3258" s="62" t="s">
        <v>2007</v>
      </c>
      <c r="C3258" s="63"/>
      <c r="D3258" s="64"/>
      <c r="E3258" s="65"/>
      <c r="F3258" s="66"/>
      <c r="G3258" s="63"/>
      <c r="H3258" s="67"/>
      <c r="I3258" s="68"/>
      <c r="J3258" s="68"/>
      <c r="K3258" s="32"/>
      <c r="L3258" s="75">
        <v>3258</v>
      </c>
      <c r="M3258" s="75"/>
      <c r="N3258" s="70"/>
      <c r="O3258" s="77" t="s">
        <v>2081</v>
      </c>
      <c r="P3258" s="79">
        <v>45159.876388888886</v>
      </c>
      <c r="Q3258" s="77" t="s">
        <v>4961</v>
      </c>
      <c r="R3258" s="77">
        <v>13</v>
      </c>
      <c r="S3258" s="77">
        <v>29</v>
      </c>
      <c r="T3258" s="77">
        <v>0</v>
      </c>
      <c r="U3258" s="77">
        <v>0</v>
      </c>
      <c r="V3258" s="77">
        <v>5262</v>
      </c>
      <c r="W3258" s="80" t="s">
        <v>7922</v>
      </c>
      <c r="X3258" s="83" t="str">
        <f>HYPERLINK("https://bit.ly/3qJnRu7")</f>
        <v>https://bit.ly/3qJnRu7</v>
      </c>
      <c r="Y3258" s="77" t="s">
        <v>8618</v>
      </c>
      <c r="Z3258" s="77" t="s">
        <v>2007</v>
      </c>
      <c r="AA3258" s="77"/>
      <c r="AB3258" s="77"/>
      <c r="AC3258" s="80" t="s">
        <v>10555</v>
      </c>
      <c r="AD3258" s="77" t="s">
        <v>10620</v>
      </c>
      <c r="AE3258" s="83" t="str">
        <f>HYPERLINK("https://twitter.com/vertigopolitico/status/1693730191472808349")</f>
        <v>https://twitter.com/vertigopolitico/status/1693730191472808349</v>
      </c>
      <c r="AF3258" s="79">
        <v>45159.876388888886</v>
      </c>
      <c r="AG3258" s="85">
        <v>45159</v>
      </c>
      <c r="AH3258" s="80" t="s">
        <v>13465</v>
      </c>
      <c r="AI3258" s="77" t="b">
        <v>0</v>
      </c>
      <c r="AJ3258" s="77"/>
      <c r="AK3258" s="77"/>
      <c r="AL3258" s="77"/>
      <c r="AM3258" s="77"/>
      <c r="AN3258" s="77"/>
      <c r="AO3258" s="77"/>
      <c r="AP3258" s="77"/>
      <c r="AQ3258" s="77"/>
      <c r="AR3258" s="77"/>
      <c r="AS3258" s="77"/>
      <c r="AT3258" s="77"/>
      <c r="AU3258" s="77"/>
      <c r="AV3258" s="83" t="str">
        <f>HYPERLINK("https://pbs.twimg.com/profile_images/903769051188535296/s3ibsSVq_normal.jpg")</f>
        <v>https://pbs.twimg.com/profile_images/903769051188535296/s3ibsSVq_normal.jpg</v>
      </c>
      <c r="AW3258" s="80" t="s">
        <v>18994</v>
      </c>
      <c r="AX3258" s="80" t="s">
        <v>18994</v>
      </c>
      <c r="AY3258" s="77"/>
      <c r="AZ3258" s="80" t="s">
        <v>20380</v>
      </c>
      <c r="BA3258" s="80" t="s">
        <v>20380</v>
      </c>
      <c r="BB3258" s="80" t="s">
        <v>20380</v>
      </c>
      <c r="BC3258" s="80" t="s">
        <v>18994</v>
      </c>
      <c r="BD3258" s="77">
        <v>135228435</v>
      </c>
      <c r="BE3258" s="77"/>
      <c r="BF3258" s="77"/>
      <c r="BG3258" s="77"/>
      <c r="BH3258" s="77"/>
      <c r="BI3258" s="77"/>
    </row>
    <row r="3259" spans="1:61" x14ac:dyDescent="0.25">
      <c r="A3259" s="62" t="s">
        <v>1304</v>
      </c>
      <c r="B3259" s="62" t="s">
        <v>1304</v>
      </c>
      <c r="C3259" s="63"/>
      <c r="D3259" s="64"/>
      <c r="E3259" s="65"/>
      <c r="F3259" s="66"/>
      <c r="G3259" s="63"/>
      <c r="H3259" s="67"/>
      <c r="I3259" s="68"/>
      <c r="J3259" s="68"/>
      <c r="K3259" s="32"/>
      <c r="L3259" s="75">
        <v>3259</v>
      </c>
      <c r="M3259" s="75"/>
      <c r="N3259" s="70"/>
      <c r="O3259" s="77" t="s">
        <v>179</v>
      </c>
      <c r="P3259" s="79">
        <v>45146.46466435185</v>
      </c>
      <c r="Q3259" s="77" t="s">
        <v>4962</v>
      </c>
      <c r="R3259" s="77">
        <v>2</v>
      </c>
      <c r="S3259" s="77">
        <v>20</v>
      </c>
      <c r="T3259" s="77">
        <v>4</v>
      </c>
      <c r="U3259" s="77">
        <v>1</v>
      </c>
      <c r="V3259" s="77">
        <v>343</v>
      </c>
      <c r="W3259" s="80" t="s">
        <v>6887</v>
      </c>
      <c r="X3259" s="77"/>
      <c r="Y3259" s="77"/>
      <c r="Z3259" s="77"/>
      <c r="AA3259" s="77" t="s">
        <v>10130</v>
      </c>
      <c r="AB3259" s="77" t="s">
        <v>10539</v>
      </c>
      <c r="AC3259" s="80" t="s">
        <v>10542</v>
      </c>
      <c r="AD3259" s="77" t="s">
        <v>10617</v>
      </c>
      <c r="AE3259" s="83" t="str">
        <f>HYPERLINK("https://twitter.com/giuliajules88/status/1688869946384662528")</f>
        <v>https://twitter.com/giuliajules88/status/1688869946384662528</v>
      </c>
      <c r="AF3259" s="79">
        <v>45146.46466435185</v>
      </c>
      <c r="AG3259" s="85">
        <v>45146</v>
      </c>
      <c r="AH3259" s="80" t="s">
        <v>13466</v>
      </c>
      <c r="AI3259" s="77" t="b">
        <v>0</v>
      </c>
      <c r="AJ3259" s="77"/>
      <c r="AK3259" s="77"/>
      <c r="AL3259" s="77"/>
      <c r="AM3259" s="77"/>
      <c r="AN3259" s="77"/>
      <c r="AO3259" s="77"/>
      <c r="AP3259" s="77"/>
      <c r="AQ3259" s="77" t="s">
        <v>15611</v>
      </c>
      <c r="AR3259" s="77"/>
      <c r="AS3259" s="77"/>
      <c r="AT3259" s="77"/>
      <c r="AU3259" s="77"/>
      <c r="AV3259" s="83" t="str">
        <f>HYPERLINK("https://pbs.twimg.com/tweet_video_thumb/F3ASQcUW4AAv1ZV.jpg")</f>
        <v>https://pbs.twimg.com/tweet_video_thumb/F3ASQcUW4AAv1ZV.jpg</v>
      </c>
      <c r="AW3259" s="80" t="s">
        <v>18995</v>
      </c>
      <c r="AX3259" s="80" t="s">
        <v>18995</v>
      </c>
      <c r="AY3259" s="77"/>
      <c r="AZ3259" s="80" t="s">
        <v>20380</v>
      </c>
      <c r="BA3259" s="80" t="s">
        <v>20380</v>
      </c>
      <c r="BB3259" s="80" t="s">
        <v>20380</v>
      </c>
      <c r="BC3259" s="80" t="s">
        <v>18995</v>
      </c>
      <c r="BD3259" s="80" t="s">
        <v>21028</v>
      </c>
      <c r="BE3259" s="77"/>
      <c r="BF3259" s="77"/>
      <c r="BG3259" s="77"/>
      <c r="BH3259" s="77"/>
      <c r="BI3259" s="77"/>
    </row>
    <row r="3260" spans="1:61" x14ac:dyDescent="0.25">
      <c r="A3260" s="62" t="s">
        <v>1305</v>
      </c>
      <c r="B3260" s="62" t="s">
        <v>1305</v>
      </c>
      <c r="C3260" s="63"/>
      <c r="D3260" s="64"/>
      <c r="E3260" s="65"/>
      <c r="F3260" s="66"/>
      <c r="G3260" s="63"/>
      <c r="H3260" s="67"/>
      <c r="I3260" s="68"/>
      <c r="J3260" s="68"/>
      <c r="K3260" s="32"/>
      <c r="L3260" s="75">
        <v>3260</v>
      </c>
      <c r="M3260" s="75"/>
      <c r="N3260" s="70"/>
      <c r="O3260" s="77" t="s">
        <v>179</v>
      </c>
      <c r="P3260" s="79">
        <v>45168.550937499997</v>
      </c>
      <c r="Q3260" s="77" t="s">
        <v>4963</v>
      </c>
      <c r="R3260" s="77">
        <v>1</v>
      </c>
      <c r="S3260" s="77">
        <v>2</v>
      </c>
      <c r="T3260" s="77">
        <v>0</v>
      </c>
      <c r="U3260" s="77">
        <v>0</v>
      </c>
      <c r="V3260" s="77">
        <v>125</v>
      </c>
      <c r="W3260" s="80" t="s">
        <v>7923</v>
      </c>
      <c r="X3260" s="77"/>
      <c r="Y3260" s="77"/>
      <c r="Z3260" s="77"/>
      <c r="AA3260" s="77" t="s">
        <v>10131</v>
      </c>
      <c r="AB3260" s="77" t="s">
        <v>10534</v>
      </c>
      <c r="AC3260" s="80" t="s">
        <v>10541</v>
      </c>
      <c r="AD3260" s="77" t="s">
        <v>10617</v>
      </c>
      <c r="AE3260" s="83" t="str">
        <f>HYPERLINK("https://twitter.com/falkcapital/status/1696873742591275486")</f>
        <v>https://twitter.com/falkcapital/status/1696873742591275486</v>
      </c>
      <c r="AF3260" s="79">
        <v>45168.550937499997</v>
      </c>
      <c r="AG3260" s="85">
        <v>45168</v>
      </c>
      <c r="AH3260" s="80" t="s">
        <v>13467</v>
      </c>
      <c r="AI3260" s="77" t="b">
        <v>0</v>
      </c>
      <c r="AJ3260" s="77"/>
      <c r="AK3260" s="77"/>
      <c r="AL3260" s="77"/>
      <c r="AM3260" s="77"/>
      <c r="AN3260" s="77"/>
      <c r="AO3260" s="77"/>
      <c r="AP3260" s="77"/>
      <c r="AQ3260" s="77" t="s">
        <v>15612</v>
      </c>
      <c r="AR3260" s="77">
        <v>18000</v>
      </c>
      <c r="AS3260" s="77"/>
      <c r="AT3260" s="77"/>
      <c r="AU3260" s="77"/>
      <c r="AV3260" s="83" t="str">
        <f>HYPERLINK("https://pbs.twimg.com/ext_tw_video_thumb/1696873216730419200/pu/img/BetP8nZ58qy9Hnim.jpg")</f>
        <v>https://pbs.twimg.com/ext_tw_video_thumb/1696873216730419200/pu/img/BetP8nZ58qy9Hnim.jpg</v>
      </c>
      <c r="AW3260" s="80" t="s">
        <v>18996</v>
      </c>
      <c r="AX3260" s="80" t="s">
        <v>18996</v>
      </c>
      <c r="AY3260" s="77"/>
      <c r="AZ3260" s="80" t="s">
        <v>20380</v>
      </c>
      <c r="BA3260" s="80" t="s">
        <v>20380</v>
      </c>
      <c r="BB3260" s="80" t="s">
        <v>20380</v>
      </c>
      <c r="BC3260" s="80" t="s">
        <v>18996</v>
      </c>
      <c r="BD3260" s="80" t="s">
        <v>21029</v>
      </c>
      <c r="BE3260" s="77"/>
      <c r="BF3260" s="77"/>
      <c r="BG3260" s="77"/>
      <c r="BH3260" s="77"/>
      <c r="BI3260" s="77"/>
    </row>
    <row r="3261" spans="1:61" x14ac:dyDescent="0.25">
      <c r="A3261" s="62" t="s">
        <v>1306</v>
      </c>
      <c r="B3261" s="62" t="s">
        <v>1615</v>
      </c>
      <c r="C3261" s="63"/>
      <c r="D3261" s="64"/>
      <c r="E3261" s="65"/>
      <c r="F3261" s="66"/>
      <c r="G3261" s="63"/>
      <c r="H3261" s="67"/>
      <c r="I3261" s="68"/>
      <c r="J3261" s="68"/>
      <c r="K3261" s="32"/>
      <c r="L3261" s="75">
        <v>3261</v>
      </c>
      <c r="M3261" s="75"/>
      <c r="N3261" s="70"/>
      <c r="O3261" s="77" t="s">
        <v>2083</v>
      </c>
      <c r="P3261" s="79">
        <v>45196.374803240738</v>
      </c>
      <c r="Q3261" s="77" t="s">
        <v>2216</v>
      </c>
      <c r="R3261" s="77">
        <v>7</v>
      </c>
      <c r="S3261" s="77">
        <v>0</v>
      </c>
      <c r="T3261" s="77">
        <v>0</v>
      </c>
      <c r="U3261" s="77">
        <v>0</v>
      </c>
      <c r="V3261" s="77"/>
      <c r="W3261" s="80" t="s">
        <v>5997</v>
      </c>
      <c r="X3261" s="77"/>
      <c r="Y3261" s="77"/>
      <c r="Z3261" s="77" t="s">
        <v>1615</v>
      </c>
      <c r="AA3261" s="77" t="s">
        <v>9078</v>
      </c>
      <c r="AB3261" s="77" t="s">
        <v>10535</v>
      </c>
      <c r="AC3261" s="80" t="s">
        <v>10542</v>
      </c>
      <c r="AD3261" s="77" t="s">
        <v>10617</v>
      </c>
      <c r="AE3261" s="83" t="str">
        <f>HYPERLINK("https://twitter.com/trashandsure/status/1706956774769668149")</f>
        <v>https://twitter.com/trashandsure/status/1706956774769668149</v>
      </c>
      <c r="AF3261" s="79">
        <v>45196.374803240738</v>
      </c>
      <c r="AG3261" s="85">
        <v>45196</v>
      </c>
      <c r="AH3261" s="80" t="s">
        <v>13468</v>
      </c>
      <c r="AI3261" s="77" t="b">
        <v>0</v>
      </c>
      <c r="AJ3261" s="77"/>
      <c r="AK3261" s="77"/>
      <c r="AL3261" s="77"/>
      <c r="AM3261" s="77"/>
      <c r="AN3261" s="77"/>
      <c r="AO3261" s="77"/>
      <c r="AP3261" s="77"/>
      <c r="AQ3261" s="77" t="s">
        <v>14560</v>
      </c>
      <c r="AR3261" s="77"/>
      <c r="AS3261" s="77"/>
      <c r="AT3261" s="77"/>
      <c r="AU3261" s="77"/>
      <c r="AV3261" s="83" t="str">
        <f>HYPERLINK("https://pbs.twimg.com/media/F7BR3b-WUAEVt-O.jpg")</f>
        <v>https://pbs.twimg.com/media/F7BR3b-WUAEVt-O.jpg</v>
      </c>
      <c r="AW3261" s="80" t="s">
        <v>18997</v>
      </c>
      <c r="AX3261" s="80" t="s">
        <v>18997</v>
      </c>
      <c r="AY3261" s="77"/>
      <c r="AZ3261" s="80" t="s">
        <v>20380</v>
      </c>
      <c r="BA3261" s="80" t="s">
        <v>20380</v>
      </c>
      <c r="BB3261" s="80" t="s">
        <v>19742</v>
      </c>
      <c r="BC3261" s="80" t="s">
        <v>19742</v>
      </c>
      <c r="BD3261" s="77">
        <v>253134427</v>
      </c>
      <c r="BE3261" s="77"/>
      <c r="BF3261" s="77"/>
      <c r="BG3261" s="77"/>
      <c r="BH3261" s="77"/>
      <c r="BI3261" s="77"/>
    </row>
    <row r="3262" spans="1:61" x14ac:dyDescent="0.25">
      <c r="A3262" s="62" t="s">
        <v>1307</v>
      </c>
      <c r="B3262" s="62" t="s">
        <v>2008</v>
      </c>
      <c r="C3262" s="63"/>
      <c r="D3262" s="64"/>
      <c r="E3262" s="65"/>
      <c r="F3262" s="66"/>
      <c r="G3262" s="63"/>
      <c r="H3262" s="67"/>
      <c r="I3262" s="68"/>
      <c r="J3262" s="68"/>
      <c r="K3262" s="32"/>
      <c r="L3262" s="75">
        <v>3262</v>
      </c>
      <c r="M3262" s="75"/>
      <c r="N3262" s="70"/>
      <c r="O3262" s="77" t="s">
        <v>2078</v>
      </c>
      <c r="P3262" s="79">
        <v>45082.29283564815</v>
      </c>
      <c r="Q3262" s="77" t="s">
        <v>4964</v>
      </c>
      <c r="R3262" s="77">
        <v>1</v>
      </c>
      <c r="S3262" s="77">
        <v>1</v>
      </c>
      <c r="T3262" s="77">
        <v>0</v>
      </c>
      <c r="U3262" s="77">
        <v>0</v>
      </c>
      <c r="V3262" s="77">
        <v>16</v>
      </c>
      <c r="W3262" s="80" t="s">
        <v>5884</v>
      </c>
      <c r="X3262" s="77"/>
      <c r="Y3262" s="77"/>
      <c r="Z3262" s="77" t="s">
        <v>2008</v>
      </c>
      <c r="AA3262" s="77"/>
      <c r="AB3262" s="77"/>
      <c r="AC3262" s="80" t="s">
        <v>10541</v>
      </c>
      <c r="AD3262" s="77" t="s">
        <v>10620</v>
      </c>
      <c r="AE3262" s="83" t="str">
        <f>HYPERLINK("https://twitter.com/enriqueelgenio/status/1665614853841514496")</f>
        <v>https://twitter.com/enriqueelgenio/status/1665614853841514496</v>
      </c>
      <c r="AF3262" s="79">
        <v>45082.29283564815</v>
      </c>
      <c r="AG3262" s="85">
        <v>45082</v>
      </c>
      <c r="AH3262" s="80" t="s">
        <v>13469</v>
      </c>
      <c r="AI3262" s="77"/>
      <c r="AJ3262" s="77"/>
      <c r="AK3262" s="77"/>
      <c r="AL3262" s="77"/>
      <c r="AM3262" s="77"/>
      <c r="AN3262" s="77"/>
      <c r="AO3262" s="77"/>
      <c r="AP3262" s="77"/>
      <c r="AQ3262" s="77"/>
      <c r="AR3262" s="77"/>
      <c r="AS3262" s="77"/>
      <c r="AT3262" s="77"/>
      <c r="AU3262" s="77"/>
      <c r="AV3262" s="83" t="str">
        <f>HYPERLINK("https://pbs.twimg.com/profile_images/1553552603090386946/OhAweanE_normal.jpg")</f>
        <v>https://pbs.twimg.com/profile_images/1553552603090386946/OhAweanE_normal.jpg</v>
      </c>
      <c r="AW3262" s="80" t="s">
        <v>18998</v>
      </c>
      <c r="AX3262" s="80" t="s">
        <v>20095</v>
      </c>
      <c r="AY3262" s="80" t="s">
        <v>20340</v>
      </c>
      <c r="AZ3262" s="80" t="s">
        <v>20095</v>
      </c>
      <c r="BA3262" s="80" t="s">
        <v>20380</v>
      </c>
      <c r="BB3262" s="80" t="s">
        <v>20380</v>
      </c>
      <c r="BC3262" s="80" t="s">
        <v>20095</v>
      </c>
      <c r="BD3262" s="77">
        <v>1500476029</v>
      </c>
      <c r="BE3262" s="77"/>
      <c r="BF3262" s="77"/>
      <c r="BG3262" s="77"/>
      <c r="BH3262" s="77"/>
      <c r="BI3262" s="77"/>
    </row>
    <row r="3263" spans="1:61" x14ac:dyDescent="0.25">
      <c r="A3263" s="62" t="s">
        <v>1308</v>
      </c>
      <c r="B3263" s="62" t="s">
        <v>1308</v>
      </c>
      <c r="C3263" s="63"/>
      <c r="D3263" s="64"/>
      <c r="E3263" s="65"/>
      <c r="F3263" s="66"/>
      <c r="G3263" s="63"/>
      <c r="H3263" s="67"/>
      <c r="I3263" s="68"/>
      <c r="J3263" s="68"/>
      <c r="K3263" s="32"/>
      <c r="L3263" s="75">
        <v>3263</v>
      </c>
      <c r="M3263" s="75"/>
      <c r="N3263" s="70"/>
      <c r="O3263" s="77" t="s">
        <v>179</v>
      </c>
      <c r="P3263" s="79">
        <v>45175.027581018519</v>
      </c>
      <c r="Q3263" s="77" t="s">
        <v>4965</v>
      </c>
      <c r="R3263" s="77">
        <v>0</v>
      </c>
      <c r="S3263" s="77">
        <v>0</v>
      </c>
      <c r="T3263" s="77">
        <v>0</v>
      </c>
      <c r="U3263" s="77">
        <v>0</v>
      </c>
      <c r="V3263" s="77">
        <v>7</v>
      </c>
      <c r="W3263" s="80" t="s">
        <v>7924</v>
      </c>
      <c r="X3263" s="83" t="str">
        <f>HYPERLINK("https://bit.ly/3ELO27b")</f>
        <v>https://bit.ly/3ELO27b</v>
      </c>
      <c r="Y3263" s="77" t="s">
        <v>8618</v>
      </c>
      <c r="Z3263" s="77"/>
      <c r="AA3263" s="77" t="s">
        <v>10132</v>
      </c>
      <c r="AB3263" s="77" t="s">
        <v>10535</v>
      </c>
      <c r="AC3263" s="80" t="s">
        <v>10608</v>
      </c>
      <c r="AD3263" s="77" t="s">
        <v>10620</v>
      </c>
      <c r="AE3263" s="83" t="str">
        <f>HYPERLINK("https://twitter.com/vocerooriental/status/1699220799050105074")</f>
        <v>https://twitter.com/vocerooriental/status/1699220799050105074</v>
      </c>
      <c r="AF3263" s="79">
        <v>45175.027581018519</v>
      </c>
      <c r="AG3263" s="85">
        <v>45175</v>
      </c>
      <c r="AH3263" s="80" t="s">
        <v>13470</v>
      </c>
      <c r="AI3263" s="77" t="b">
        <v>0</v>
      </c>
      <c r="AJ3263" s="77"/>
      <c r="AK3263" s="77"/>
      <c r="AL3263" s="77"/>
      <c r="AM3263" s="77"/>
      <c r="AN3263" s="77"/>
      <c r="AO3263" s="77"/>
      <c r="AP3263" s="77"/>
      <c r="AQ3263" s="77" t="s">
        <v>15613</v>
      </c>
      <c r="AR3263" s="77"/>
      <c r="AS3263" s="77"/>
      <c r="AT3263" s="77"/>
      <c r="AU3263" s="77"/>
      <c r="AV3263" s="83" t="str">
        <f>HYPERLINK("https://pbs.twimg.com/media/F5TYT9yXAAA2kek.jpg")</f>
        <v>https://pbs.twimg.com/media/F5TYT9yXAAA2kek.jpg</v>
      </c>
      <c r="AW3263" s="80" t="s">
        <v>18999</v>
      </c>
      <c r="AX3263" s="80" t="s">
        <v>18999</v>
      </c>
      <c r="AY3263" s="77"/>
      <c r="AZ3263" s="80" t="s">
        <v>20380</v>
      </c>
      <c r="BA3263" s="80" t="s">
        <v>20380</v>
      </c>
      <c r="BB3263" s="80" t="s">
        <v>20380</v>
      </c>
      <c r="BC3263" s="80" t="s">
        <v>18999</v>
      </c>
      <c r="BD3263" s="80" t="s">
        <v>21030</v>
      </c>
      <c r="BE3263" s="77"/>
      <c r="BF3263" s="77"/>
      <c r="BG3263" s="77"/>
      <c r="BH3263" s="77"/>
      <c r="BI3263" s="77"/>
    </row>
    <row r="3264" spans="1:61" x14ac:dyDescent="0.25">
      <c r="A3264" s="62" t="s">
        <v>1309</v>
      </c>
      <c r="B3264" s="62" t="s">
        <v>1309</v>
      </c>
      <c r="C3264" s="63"/>
      <c r="D3264" s="64"/>
      <c r="E3264" s="65"/>
      <c r="F3264" s="66"/>
      <c r="G3264" s="63"/>
      <c r="H3264" s="67"/>
      <c r="I3264" s="68"/>
      <c r="J3264" s="68"/>
      <c r="K3264" s="32"/>
      <c r="L3264" s="75">
        <v>3264</v>
      </c>
      <c r="M3264" s="75"/>
      <c r="N3264" s="70"/>
      <c r="O3264" s="77" t="s">
        <v>179</v>
      </c>
      <c r="P3264" s="79">
        <v>45049.530034722222</v>
      </c>
      <c r="Q3264" s="77" t="s">
        <v>4966</v>
      </c>
      <c r="R3264" s="77">
        <v>0</v>
      </c>
      <c r="S3264" s="77">
        <v>2</v>
      </c>
      <c r="T3264" s="77">
        <v>0</v>
      </c>
      <c r="U3264" s="77">
        <v>0</v>
      </c>
      <c r="V3264" s="77">
        <v>415</v>
      </c>
      <c r="W3264" s="80" t="s">
        <v>6229</v>
      </c>
      <c r="X3264" s="83" t="str">
        <f>HYPERLINK("https://www.cronica.com.ar/sociedad/Plazo-fijo-contra-la-inflacion-Cuanto-se-gana-con-50.000-y-por-que-conviene-invertir-por-30-dias-20230503-0017.html")</f>
        <v>https://www.cronica.com.ar/sociedad/Plazo-fijo-contra-la-inflacion-Cuanto-se-gana-con-50.000-y-por-que-conviene-invertir-por-30-dias-20230503-0017.html</v>
      </c>
      <c r="Y3264" s="77" t="s">
        <v>8624</v>
      </c>
      <c r="Z3264" s="77"/>
      <c r="AA3264" s="77"/>
      <c r="AB3264" s="77"/>
      <c r="AC3264" s="80" t="s">
        <v>10552</v>
      </c>
      <c r="AD3264" s="77" t="s">
        <v>10620</v>
      </c>
      <c r="AE3264" s="83" t="str">
        <f>HYPERLINK("https://twitter.com/baenegocios/status/1653742012024123394")</f>
        <v>https://twitter.com/baenegocios/status/1653742012024123394</v>
      </c>
      <c r="AF3264" s="79">
        <v>45049.530034722222</v>
      </c>
      <c r="AG3264" s="85">
        <v>45049</v>
      </c>
      <c r="AH3264" s="80" t="s">
        <v>13471</v>
      </c>
      <c r="AI3264" s="77" t="b">
        <v>0</v>
      </c>
      <c r="AJ3264" s="77"/>
      <c r="AK3264" s="77"/>
      <c r="AL3264" s="77"/>
      <c r="AM3264" s="77"/>
      <c r="AN3264" s="77"/>
      <c r="AO3264" s="77"/>
      <c r="AP3264" s="77"/>
      <c r="AQ3264" s="77"/>
      <c r="AR3264" s="77"/>
      <c r="AS3264" s="77"/>
      <c r="AT3264" s="77"/>
      <c r="AU3264" s="77"/>
      <c r="AV3264" s="83" t="str">
        <f>HYPERLINK("https://pbs.twimg.com/profile_images/895019223017304064/EygTyQEc_normal.jpg")</f>
        <v>https://pbs.twimg.com/profile_images/895019223017304064/EygTyQEc_normal.jpg</v>
      </c>
      <c r="AW3264" s="80" t="s">
        <v>19000</v>
      </c>
      <c r="AX3264" s="80" t="s">
        <v>19000</v>
      </c>
      <c r="AY3264" s="77"/>
      <c r="AZ3264" s="80" t="s">
        <v>20380</v>
      </c>
      <c r="BA3264" s="80" t="s">
        <v>20380</v>
      </c>
      <c r="BB3264" s="80" t="s">
        <v>20380</v>
      </c>
      <c r="BC3264" s="80" t="s">
        <v>19000</v>
      </c>
      <c r="BD3264" s="77">
        <v>295860511</v>
      </c>
      <c r="BE3264" s="77"/>
      <c r="BF3264" s="77"/>
      <c r="BG3264" s="77"/>
      <c r="BH3264" s="77"/>
      <c r="BI3264" s="77"/>
    </row>
    <row r="3265" spans="1:61" x14ac:dyDescent="0.25">
      <c r="A3265" s="62" t="s">
        <v>1310</v>
      </c>
      <c r="B3265" s="62" t="s">
        <v>1310</v>
      </c>
      <c r="C3265" s="63"/>
      <c r="D3265" s="64"/>
      <c r="E3265" s="65"/>
      <c r="F3265" s="66"/>
      <c r="G3265" s="63"/>
      <c r="H3265" s="67"/>
      <c r="I3265" s="68"/>
      <c r="J3265" s="68"/>
      <c r="K3265" s="32"/>
      <c r="L3265" s="75">
        <v>3265</v>
      </c>
      <c r="M3265" s="75"/>
      <c r="N3265" s="70"/>
      <c r="O3265" s="77" t="s">
        <v>179</v>
      </c>
      <c r="P3265" s="79">
        <v>45106.531041666669</v>
      </c>
      <c r="Q3265" s="77" t="s">
        <v>4967</v>
      </c>
      <c r="R3265" s="77">
        <v>0</v>
      </c>
      <c r="S3265" s="77">
        <v>0</v>
      </c>
      <c r="T3265" s="77">
        <v>0</v>
      </c>
      <c r="U3265" s="77">
        <v>0</v>
      </c>
      <c r="V3265" s="77">
        <v>36</v>
      </c>
      <c r="W3265" s="80" t="s">
        <v>7925</v>
      </c>
      <c r="X3265" s="77"/>
      <c r="Y3265" s="77"/>
      <c r="Z3265" s="77"/>
      <c r="AA3265" s="77"/>
      <c r="AB3265" s="77"/>
      <c r="AC3265" s="80" t="s">
        <v>10541</v>
      </c>
      <c r="AD3265" s="77" t="s">
        <v>10617</v>
      </c>
      <c r="AE3265" s="83" t="str">
        <f>HYPERLINK("https://twitter.com/ricmarvellouso/status/1674398487830568965")</f>
        <v>https://twitter.com/ricmarvellouso/status/1674398487830568965</v>
      </c>
      <c r="AF3265" s="79">
        <v>45106.531041666669</v>
      </c>
      <c r="AG3265" s="85">
        <v>45106</v>
      </c>
      <c r="AH3265" s="80" t="s">
        <v>13472</v>
      </c>
      <c r="AI3265" s="77"/>
      <c r="AJ3265" s="77"/>
      <c r="AK3265" s="77"/>
      <c r="AL3265" s="77"/>
      <c r="AM3265" s="77"/>
      <c r="AN3265" s="77"/>
      <c r="AO3265" s="77"/>
      <c r="AP3265" s="77"/>
      <c r="AQ3265" s="77"/>
      <c r="AR3265" s="77"/>
      <c r="AS3265" s="77"/>
      <c r="AT3265" s="77"/>
      <c r="AU3265" s="77"/>
      <c r="AV3265" s="83" t="str">
        <f>HYPERLINK("https://pbs.twimg.com/profile_images/1581139306319646720/Jx-79mr2_normal.jpg")</f>
        <v>https://pbs.twimg.com/profile_images/1581139306319646720/Jx-79mr2_normal.jpg</v>
      </c>
      <c r="AW3265" s="80" t="s">
        <v>19001</v>
      </c>
      <c r="AX3265" s="80" t="s">
        <v>19001</v>
      </c>
      <c r="AY3265" s="77"/>
      <c r="AZ3265" s="80" t="s">
        <v>20380</v>
      </c>
      <c r="BA3265" s="80" t="s">
        <v>20380</v>
      </c>
      <c r="BB3265" s="80" t="s">
        <v>20380</v>
      </c>
      <c r="BC3265" s="80" t="s">
        <v>19001</v>
      </c>
      <c r="BD3265" s="77">
        <v>89280411</v>
      </c>
      <c r="BE3265" s="77"/>
      <c r="BF3265" s="77"/>
      <c r="BG3265" s="77"/>
      <c r="BH3265" s="77"/>
      <c r="BI3265" s="77"/>
    </row>
    <row r="3266" spans="1:61" x14ac:dyDescent="0.25">
      <c r="A3266" s="62" t="s">
        <v>1311</v>
      </c>
      <c r="B3266" s="62" t="s">
        <v>1596</v>
      </c>
      <c r="C3266" s="63"/>
      <c r="D3266" s="64"/>
      <c r="E3266" s="65"/>
      <c r="F3266" s="66"/>
      <c r="G3266" s="63"/>
      <c r="H3266" s="67"/>
      <c r="I3266" s="68"/>
      <c r="J3266" s="68"/>
      <c r="K3266" s="32"/>
      <c r="L3266" s="75">
        <v>3266</v>
      </c>
      <c r="M3266" s="75"/>
      <c r="N3266" s="70"/>
      <c r="O3266" s="77" t="s">
        <v>2082</v>
      </c>
      <c r="P3266" s="79">
        <v>45089.532222222224</v>
      </c>
      <c r="Q3266" s="77" t="s">
        <v>4968</v>
      </c>
      <c r="R3266" s="77">
        <v>0</v>
      </c>
      <c r="S3266" s="77">
        <v>0</v>
      </c>
      <c r="T3266" s="77">
        <v>0</v>
      </c>
      <c r="U3266" s="77">
        <v>0</v>
      </c>
      <c r="V3266" s="77">
        <v>70</v>
      </c>
      <c r="W3266" s="80" t="s">
        <v>7926</v>
      </c>
      <c r="X3266" s="77"/>
      <c r="Y3266" s="77"/>
      <c r="Z3266" s="77"/>
      <c r="AA3266" s="77"/>
      <c r="AB3266" s="77"/>
      <c r="AC3266" s="80" t="s">
        <v>10540</v>
      </c>
      <c r="AD3266" s="77" t="s">
        <v>10617</v>
      </c>
      <c r="AE3266" s="83" t="str">
        <f>HYPERLINK("https://twitter.com/thiagobudni/status/1668238318109171712")</f>
        <v>https://twitter.com/thiagobudni/status/1668238318109171712</v>
      </c>
      <c r="AF3266" s="79">
        <v>45089.532222222224</v>
      </c>
      <c r="AG3266" s="85">
        <v>45089</v>
      </c>
      <c r="AH3266" s="80" t="s">
        <v>13473</v>
      </c>
      <c r="AI3266" s="77"/>
      <c r="AJ3266" s="77"/>
      <c r="AK3266" s="77"/>
      <c r="AL3266" s="77"/>
      <c r="AM3266" s="77"/>
      <c r="AN3266" s="77"/>
      <c r="AO3266" s="77"/>
      <c r="AP3266" s="77"/>
      <c r="AQ3266" s="77"/>
      <c r="AR3266" s="77"/>
      <c r="AS3266" s="77"/>
      <c r="AT3266" s="77"/>
      <c r="AU3266" s="77"/>
      <c r="AV3266" s="83" t="str">
        <f>HYPERLINK("https://pbs.twimg.com/profile_images/1564389807702376458/1UGzDIk7_normal.jpg")</f>
        <v>https://pbs.twimg.com/profile_images/1564389807702376458/1UGzDIk7_normal.jpg</v>
      </c>
      <c r="AW3266" s="80" t="s">
        <v>19002</v>
      </c>
      <c r="AX3266" s="80" t="s">
        <v>19002</v>
      </c>
      <c r="AY3266" s="77"/>
      <c r="AZ3266" s="80" t="s">
        <v>20380</v>
      </c>
      <c r="BA3266" s="80" t="s">
        <v>19637</v>
      </c>
      <c r="BB3266" s="80" t="s">
        <v>20380</v>
      </c>
      <c r="BC3266" s="80" t="s">
        <v>19637</v>
      </c>
      <c r="BD3266" s="77">
        <v>57981116</v>
      </c>
      <c r="BE3266" s="77"/>
      <c r="BF3266" s="77"/>
      <c r="BG3266" s="77"/>
      <c r="BH3266" s="77"/>
      <c r="BI3266" s="77"/>
    </row>
    <row r="3267" spans="1:61" x14ac:dyDescent="0.25">
      <c r="A3267" s="62" t="s">
        <v>1311</v>
      </c>
      <c r="B3267" s="62" t="s">
        <v>1596</v>
      </c>
      <c r="C3267" s="63"/>
      <c r="D3267" s="64"/>
      <c r="E3267" s="65"/>
      <c r="F3267" s="66"/>
      <c r="G3267" s="63"/>
      <c r="H3267" s="67"/>
      <c r="I3267" s="68"/>
      <c r="J3267" s="68"/>
      <c r="K3267" s="32"/>
      <c r="L3267" s="75">
        <v>3267</v>
      </c>
      <c r="M3267" s="75"/>
      <c r="N3267" s="70"/>
      <c r="O3267" s="77" t="s">
        <v>2082</v>
      </c>
      <c r="P3267" s="79">
        <v>45103.628391203703</v>
      </c>
      <c r="Q3267" s="77" t="s">
        <v>4969</v>
      </c>
      <c r="R3267" s="77">
        <v>0</v>
      </c>
      <c r="S3267" s="77">
        <v>0</v>
      </c>
      <c r="T3267" s="77">
        <v>0</v>
      </c>
      <c r="U3267" s="77">
        <v>0</v>
      </c>
      <c r="V3267" s="77">
        <v>30</v>
      </c>
      <c r="W3267" s="80" t="s">
        <v>7927</v>
      </c>
      <c r="X3267" s="77"/>
      <c r="Y3267" s="77"/>
      <c r="Z3267" s="77"/>
      <c r="AA3267" s="77"/>
      <c r="AB3267" s="77"/>
      <c r="AC3267" s="80" t="s">
        <v>10540</v>
      </c>
      <c r="AD3267" s="77" t="s">
        <v>10617</v>
      </c>
      <c r="AE3267" s="83" t="str">
        <f>HYPERLINK("https://twitter.com/thiagobudni/status/1673346599408357376")</f>
        <v>https://twitter.com/thiagobudni/status/1673346599408357376</v>
      </c>
      <c r="AF3267" s="79">
        <v>45103.628391203703</v>
      </c>
      <c r="AG3267" s="85">
        <v>45103</v>
      </c>
      <c r="AH3267" s="80" t="s">
        <v>13474</v>
      </c>
      <c r="AI3267" s="77"/>
      <c r="AJ3267" s="77"/>
      <c r="AK3267" s="77"/>
      <c r="AL3267" s="77"/>
      <c r="AM3267" s="77"/>
      <c r="AN3267" s="77"/>
      <c r="AO3267" s="77"/>
      <c r="AP3267" s="77"/>
      <c r="AQ3267" s="77"/>
      <c r="AR3267" s="77"/>
      <c r="AS3267" s="77"/>
      <c r="AT3267" s="77"/>
      <c r="AU3267" s="77"/>
      <c r="AV3267" s="83" t="str">
        <f>HYPERLINK("https://pbs.twimg.com/profile_images/1564389807702376458/1UGzDIk7_normal.jpg")</f>
        <v>https://pbs.twimg.com/profile_images/1564389807702376458/1UGzDIk7_normal.jpg</v>
      </c>
      <c r="AW3267" s="80" t="s">
        <v>19003</v>
      </c>
      <c r="AX3267" s="80" t="s">
        <v>19003</v>
      </c>
      <c r="AY3267" s="77"/>
      <c r="AZ3267" s="80" t="s">
        <v>20380</v>
      </c>
      <c r="BA3267" s="80" t="s">
        <v>19652</v>
      </c>
      <c r="BB3267" s="80" t="s">
        <v>20380</v>
      </c>
      <c r="BC3267" s="80" t="s">
        <v>19652</v>
      </c>
      <c r="BD3267" s="77">
        <v>57981116</v>
      </c>
      <c r="BE3267" s="77"/>
      <c r="BF3267" s="77"/>
      <c r="BG3267" s="77"/>
      <c r="BH3267" s="77"/>
      <c r="BI3267" s="77"/>
    </row>
    <row r="3268" spans="1:61" x14ac:dyDescent="0.25">
      <c r="A3268" s="62" t="s">
        <v>1311</v>
      </c>
      <c r="B3268" s="62" t="s">
        <v>1596</v>
      </c>
      <c r="C3268" s="63"/>
      <c r="D3268" s="64"/>
      <c r="E3268" s="65"/>
      <c r="F3268" s="66"/>
      <c r="G3268" s="63"/>
      <c r="H3268" s="67"/>
      <c r="I3268" s="68"/>
      <c r="J3268" s="68"/>
      <c r="K3268" s="32"/>
      <c r="L3268" s="75">
        <v>3268</v>
      </c>
      <c r="M3268" s="75"/>
      <c r="N3268" s="70"/>
      <c r="O3268" s="77" t="s">
        <v>2082</v>
      </c>
      <c r="P3268" s="79">
        <v>45054.497858796298</v>
      </c>
      <c r="Q3268" s="77" t="s">
        <v>4970</v>
      </c>
      <c r="R3268" s="77">
        <v>0</v>
      </c>
      <c r="S3268" s="77">
        <v>0</v>
      </c>
      <c r="T3268" s="77">
        <v>0</v>
      </c>
      <c r="U3268" s="77">
        <v>0</v>
      </c>
      <c r="V3268" s="77">
        <v>30</v>
      </c>
      <c r="W3268" s="80" t="s">
        <v>7928</v>
      </c>
      <c r="X3268" s="77"/>
      <c r="Y3268" s="77"/>
      <c r="Z3268" s="77"/>
      <c r="AA3268" s="77"/>
      <c r="AB3268" s="77"/>
      <c r="AC3268" s="80" t="s">
        <v>10540</v>
      </c>
      <c r="AD3268" s="77" t="s">
        <v>10617</v>
      </c>
      <c r="AE3268" s="83" t="str">
        <f>HYPERLINK("https://twitter.com/thiagobudni/status/1655542290205536259")</f>
        <v>https://twitter.com/thiagobudni/status/1655542290205536259</v>
      </c>
      <c r="AF3268" s="79">
        <v>45054.497858796298</v>
      </c>
      <c r="AG3268" s="85">
        <v>45054</v>
      </c>
      <c r="AH3268" s="80" t="s">
        <v>13475</v>
      </c>
      <c r="AI3268" s="77"/>
      <c r="AJ3268" s="77"/>
      <c r="AK3268" s="77"/>
      <c r="AL3268" s="77"/>
      <c r="AM3268" s="77"/>
      <c r="AN3268" s="77"/>
      <c r="AO3268" s="77"/>
      <c r="AP3268" s="77"/>
      <c r="AQ3268" s="77"/>
      <c r="AR3268" s="77"/>
      <c r="AS3268" s="77"/>
      <c r="AT3268" s="77"/>
      <c r="AU3268" s="77"/>
      <c r="AV3268" s="83" t="str">
        <f>HYPERLINK("https://pbs.twimg.com/profile_images/1564389807702376458/1UGzDIk7_normal.jpg")</f>
        <v>https://pbs.twimg.com/profile_images/1564389807702376458/1UGzDIk7_normal.jpg</v>
      </c>
      <c r="AW3268" s="80" t="s">
        <v>19004</v>
      </c>
      <c r="AX3268" s="80" t="s">
        <v>19004</v>
      </c>
      <c r="AY3268" s="77"/>
      <c r="AZ3268" s="80" t="s">
        <v>20380</v>
      </c>
      <c r="BA3268" s="80" t="s">
        <v>19654</v>
      </c>
      <c r="BB3268" s="80" t="s">
        <v>20380</v>
      </c>
      <c r="BC3268" s="80" t="s">
        <v>19654</v>
      </c>
      <c r="BD3268" s="77">
        <v>57981116</v>
      </c>
      <c r="BE3268" s="77"/>
      <c r="BF3268" s="77"/>
      <c r="BG3268" s="77"/>
      <c r="BH3268" s="77"/>
      <c r="BI3268" s="77"/>
    </row>
    <row r="3269" spans="1:61" x14ac:dyDescent="0.25">
      <c r="A3269" s="62" t="s">
        <v>1311</v>
      </c>
      <c r="B3269" s="62" t="s">
        <v>1596</v>
      </c>
      <c r="C3269" s="63"/>
      <c r="D3269" s="64"/>
      <c r="E3269" s="65"/>
      <c r="F3269" s="66"/>
      <c r="G3269" s="63"/>
      <c r="H3269" s="67"/>
      <c r="I3269" s="68"/>
      <c r="J3269" s="68"/>
      <c r="K3269" s="32"/>
      <c r="L3269" s="75">
        <v>3269</v>
      </c>
      <c r="M3269" s="75"/>
      <c r="N3269" s="70"/>
      <c r="O3269" s="77" t="s">
        <v>2082</v>
      </c>
      <c r="P3269" s="79">
        <v>45110.547511574077</v>
      </c>
      <c r="Q3269" s="77" t="s">
        <v>4971</v>
      </c>
      <c r="R3269" s="77">
        <v>0</v>
      </c>
      <c r="S3269" s="77">
        <v>0</v>
      </c>
      <c r="T3269" s="77">
        <v>0</v>
      </c>
      <c r="U3269" s="77">
        <v>0</v>
      </c>
      <c r="V3269" s="77">
        <v>80</v>
      </c>
      <c r="W3269" s="80" t="s">
        <v>7927</v>
      </c>
      <c r="X3269" s="77"/>
      <c r="Y3269" s="77"/>
      <c r="Z3269" s="77"/>
      <c r="AA3269" s="77"/>
      <c r="AB3269" s="77"/>
      <c r="AC3269" s="80" t="s">
        <v>10540</v>
      </c>
      <c r="AD3269" s="77" t="s">
        <v>10617</v>
      </c>
      <c r="AE3269" s="83" t="str">
        <f>HYPERLINK("https://twitter.com/thiagobudni/status/1675854005614911488")</f>
        <v>https://twitter.com/thiagobudni/status/1675854005614911488</v>
      </c>
      <c r="AF3269" s="79">
        <v>45110.547511574077</v>
      </c>
      <c r="AG3269" s="85">
        <v>45110</v>
      </c>
      <c r="AH3269" s="80" t="s">
        <v>12956</v>
      </c>
      <c r="AI3269" s="77"/>
      <c r="AJ3269" s="77"/>
      <c r="AK3269" s="77"/>
      <c r="AL3269" s="77"/>
      <c r="AM3269" s="77"/>
      <c r="AN3269" s="77"/>
      <c r="AO3269" s="77"/>
      <c r="AP3269" s="77"/>
      <c r="AQ3269" s="77"/>
      <c r="AR3269" s="77"/>
      <c r="AS3269" s="77"/>
      <c r="AT3269" s="77"/>
      <c r="AU3269" s="77"/>
      <c r="AV3269" s="83" t="str">
        <f>HYPERLINK("https://pbs.twimg.com/profile_images/1564389807702376458/1UGzDIk7_normal.jpg")</f>
        <v>https://pbs.twimg.com/profile_images/1564389807702376458/1UGzDIk7_normal.jpg</v>
      </c>
      <c r="AW3269" s="80" t="s">
        <v>19005</v>
      </c>
      <c r="AX3269" s="80" t="s">
        <v>19005</v>
      </c>
      <c r="AY3269" s="77"/>
      <c r="AZ3269" s="80" t="s">
        <v>20380</v>
      </c>
      <c r="BA3269" s="80" t="s">
        <v>19657</v>
      </c>
      <c r="BB3269" s="80" t="s">
        <v>20380</v>
      </c>
      <c r="BC3269" s="80" t="s">
        <v>19657</v>
      </c>
      <c r="BD3269" s="77">
        <v>57981116</v>
      </c>
      <c r="BE3269" s="77"/>
      <c r="BF3269" s="77"/>
      <c r="BG3269" s="77"/>
      <c r="BH3269" s="77"/>
      <c r="BI3269" s="77"/>
    </row>
    <row r="3270" spans="1:61" x14ac:dyDescent="0.25">
      <c r="A3270" s="62" t="s">
        <v>1311</v>
      </c>
      <c r="B3270" s="62" t="s">
        <v>1596</v>
      </c>
      <c r="C3270" s="63"/>
      <c r="D3270" s="64"/>
      <c r="E3270" s="65"/>
      <c r="F3270" s="66"/>
      <c r="G3270" s="63"/>
      <c r="H3270" s="67"/>
      <c r="I3270" s="68"/>
      <c r="J3270" s="68"/>
      <c r="K3270" s="32"/>
      <c r="L3270" s="75">
        <v>3270</v>
      </c>
      <c r="M3270" s="75"/>
      <c r="N3270" s="70"/>
      <c r="O3270" s="77" t="s">
        <v>2082</v>
      </c>
      <c r="P3270" s="79">
        <v>45096.568113425928</v>
      </c>
      <c r="Q3270" s="77" t="s">
        <v>4968</v>
      </c>
      <c r="R3270" s="77">
        <v>0</v>
      </c>
      <c r="S3270" s="77">
        <v>0</v>
      </c>
      <c r="T3270" s="77">
        <v>0</v>
      </c>
      <c r="U3270" s="77">
        <v>0</v>
      </c>
      <c r="V3270" s="77">
        <v>73</v>
      </c>
      <c r="W3270" s="80" t="s">
        <v>7926</v>
      </c>
      <c r="X3270" s="77"/>
      <c r="Y3270" s="77"/>
      <c r="Z3270" s="77"/>
      <c r="AA3270" s="77"/>
      <c r="AB3270" s="77"/>
      <c r="AC3270" s="80" t="s">
        <v>10540</v>
      </c>
      <c r="AD3270" s="77" t="s">
        <v>10617</v>
      </c>
      <c r="AE3270" s="83" t="str">
        <f>HYPERLINK("https://twitter.com/thiagobudni/status/1670788039780573186")</f>
        <v>https://twitter.com/thiagobudni/status/1670788039780573186</v>
      </c>
      <c r="AF3270" s="79">
        <v>45096.568113425928</v>
      </c>
      <c r="AG3270" s="85">
        <v>45096</v>
      </c>
      <c r="AH3270" s="80" t="s">
        <v>13476</v>
      </c>
      <c r="AI3270" s="77"/>
      <c r="AJ3270" s="77"/>
      <c r="AK3270" s="77"/>
      <c r="AL3270" s="77"/>
      <c r="AM3270" s="77"/>
      <c r="AN3270" s="77"/>
      <c r="AO3270" s="77"/>
      <c r="AP3270" s="77"/>
      <c r="AQ3270" s="77"/>
      <c r="AR3270" s="77"/>
      <c r="AS3270" s="77"/>
      <c r="AT3270" s="77"/>
      <c r="AU3270" s="77"/>
      <c r="AV3270" s="83" t="str">
        <f>HYPERLINK("https://pbs.twimg.com/profile_images/1564389807702376458/1UGzDIk7_normal.jpg")</f>
        <v>https://pbs.twimg.com/profile_images/1564389807702376458/1UGzDIk7_normal.jpg</v>
      </c>
      <c r="AW3270" s="80" t="s">
        <v>19006</v>
      </c>
      <c r="AX3270" s="80" t="s">
        <v>19006</v>
      </c>
      <c r="AY3270" s="77"/>
      <c r="AZ3270" s="80" t="s">
        <v>20380</v>
      </c>
      <c r="BA3270" s="80" t="s">
        <v>19658</v>
      </c>
      <c r="BB3270" s="80" t="s">
        <v>20380</v>
      </c>
      <c r="BC3270" s="80" t="s">
        <v>19658</v>
      </c>
      <c r="BD3270" s="77">
        <v>57981116</v>
      </c>
      <c r="BE3270" s="77"/>
      <c r="BF3270" s="77"/>
      <c r="BG3270" s="77"/>
      <c r="BH3270" s="77"/>
      <c r="BI3270" s="77"/>
    </row>
    <row r="3271" spans="1:61" x14ac:dyDescent="0.25">
      <c r="A3271" s="62" t="s">
        <v>1311</v>
      </c>
      <c r="B3271" s="62" t="s">
        <v>1596</v>
      </c>
      <c r="C3271" s="63"/>
      <c r="D3271" s="64"/>
      <c r="E3271" s="65"/>
      <c r="F3271" s="66"/>
      <c r="G3271" s="63"/>
      <c r="H3271" s="67"/>
      <c r="I3271" s="68"/>
      <c r="J3271" s="68"/>
      <c r="K3271" s="32"/>
      <c r="L3271" s="75">
        <v>3271</v>
      </c>
      <c r="M3271" s="75"/>
      <c r="N3271" s="70"/>
      <c r="O3271" s="77" t="s">
        <v>2082</v>
      </c>
      <c r="P3271" s="79">
        <v>45159.634074074071</v>
      </c>
      <c r="Q3271" s="77" t="s">
        <v>4972</v>
      </c>
      <c r="R3271" s="77">
        <v>0</v>
      </c>
      <c r="S3271" s="77">
        <v>0</v>
      </c>
      <c r="T3271" s="77">
        <v>0</v>
      </c>
      <c r="U3271" s="77">
        <v>0</v>
      </c>
      <c r="V3271" s="77">
        <v>39</v>
      </c>
      <c r="W3271" s="80" t="s">
        <v>7929</v>
      </c>
      <c r="X3271" s="77"/>
      <c r="Y3271" s="77"/>
      <c r="Z3271" s="77"/>
      <c r="AA3271" s="77"/>
      <c r="AB3271" s="77"/>
      <c r="AC3271" s="80" t="s">
        <v>10540</v>
      </c>
      <c r="AD3271" s="77" t="s">
        <v>10617</v>
      </c>
      <c r="AE3271" s="83" t="str">
        <f>HYPERLINK("https://twitter.com/thiagobudni/status/1693642380136591743")</f>
        <v>https://twitter.com/thiagobudni/status/1693642380136591743</v>
      </c>
      <c r="AF3271" s="79">
        <v>45159.634074074071</v>
      </c>
      <c r="AG3271" s="85">
        <v>45159</v>
      </c>
      <c r="AH3271" s="80" t="s">
        <v>13477</v>
      </c>
      <c r="AI3271" s="77"/>
      <c r="AJ3271" s="77"/>
      <c r="AK3271" s="77"/>
      <c r="AL3271" s="77"/>
      <c r="AM3271" s="77"/>
      <c r="AN3271" s="77"/>
      <c r="AO3271" s="77"/>
      <c r="AP3271" s="77"/>
      <c r="AQ3271" s="77"/>
      <c r="AR3271" s="77"/>
      <c r="AS3271" s="77"/>
      <c r="AT3271" s="77"/>
      <c r="AU3271" s="77"/>
      <c r="AV3271" s="83" t="str">
        <f>HYPERLINK("https://pbs.twimg.com/profile_images/1564389807702376458/1UGzDIk7_normal.jpg")</f>
        <v>https://pbs.twimg.com/profile_images/1564389807702376458/1UGzDIk7_normal.jpg</v>
      </c>
      <c r="AW3271" s="80" t="s">
        <v>19007</v>
      </c>
      <c r="AX3271" s="80" t="s">
        <v>19007</v>
      </c>
      <c r="AY3271" s="77"/>
      <c r="AZ3271" s="80" t="s">
        <v>20380</v>
      </c>
      <c r="BA3271" s="80" t="s">
        <v>19638</v>
      </c>
      <c r="BB3271" s="80" t="s">
        <v>20380</v>
      </c>
      <c r="BC3271" s="80" t="s">
        <v>19638</v>
      </c>
      <c r="BD3271" s="77">
        <v>57981116</v>
      </c>
      <c r="BE3271" s="77"/>
      <c r="BF3271" s="77"/>
      <c r="BG3271" s="77"/>
      <c r="BH3271" s="77"/>
      <c r="BI3271" s="77"/>
    </row>
    <row r="3272" spans="1:61" x14ac:dyDescent="0.25">
      <c r="A3272" s="62" t="s">
        <v>1311</v>
      </c>
      <c r="B3272" s="62" t="s">
        <v>1596</v>
      </c>
      <c r="C3272" s="63"/>
      <c r="D3272" s="64"/>
      <c r="E3272" s="65"/>
      <c r="F3272" s="66"/>
      <c r="G3272" s="63"/>
      <c r="H3272" s="67"/>
      <c r="I3272" s="68"/>
      <c r="J3272" s="68"/>
      <c r="K3272" s="32"/>
      <c r="L3272" s="75">
        <v>3272</v>
      </c>
      <c r="M3272" s="75"/>
      <c r="N3272" s="70"/>
      <c r="O3272" s="77" t="s">
        <v>2082</v>
      </c>
      <c r="P3272" s="79">
        <v>45166.766898148147</v>
      </c>
      <c r="Q3272" s="77" t="s">
        <v>4973</v>
      </c>
      <c r="R3272" s="77">
        <v>0</v>
      </c>
      <c r="S3272" s="77">
        <v>0</v>
      </c>
      <c r="T3272" s="77">
        <v>0</v>
      </c>
      <c r="U3272" s="77">
        <v>0</v>
      </c>
      <c r="V3272" s="77">
        <v>44</v>
      </c>
      <c r="W3272" s="80" t="s">
        <v>7929</v>
      </c>
      <c r="X3272" s="77"/>
      <c r="Y3272" s="77"/>
      <c r="Z3272" s="77"/>
      <c r="AA3272" s="77"/>
      <c r="AB3272" s="77"/>
      <c r="AC3272" s="80" t="s">
        <v>10540</v>
      </c>
      <c r="AD3272" s="77" t="s">
        <v>10617</v>
      </c>
      <c r="AE3272" s="83" t="str">
        <f>HYPERLINK("https://twitter.com/thiagobudni/status/1696227229133406216")</f>
        <v>https://twitter.com/thiagobudni/status/1696227229133406216</v>
      </c>
      <c r="AF3272" s="79">
        <v>45166.766898148147</v>
      </c>
      <c r="AG3272" s="85">
        <v>45166</v>
      </c>
      <c r="AH3272" s="80" t="s">
        <v>13478</v>
      </c>
      <c r="AI3272" s="77"/>
      <c r="AJ3272" s="77"/>
      <c r="AK3272" s="77"/>
      <c r="AL3272" s="77"/>
      <c r="AM3272" s="77"/>
      <c r="AN3272" s="77"/>
      <c r="AO3272" s="77"/>
      <c r="AP3272" s="77"/>
      <c r="AQ3272" s="77"/>
      <c r="AR3272" s="77"/>
      <c r="AS3272" s="77"/>
      <c r="AT3272" s="77"/>
      <c r="AU3272" s="77"/>
      <c r="AV3272" s="83" t="str">
        <f>HYPERLINK("https://pbs.twimg.com/profile_images/1564389807702376458/1UGzDIk7_normal.jpg")</f>
        <v>https://pbs.twimg.com/profile_images/1564389807702376458/1UGzDIk7_normal.jpg</v>
      </c>
      <c r="AW3272" s="80" t="s">
        <v>19008</v>
      </c>
      <c r="AX3272" s="80" t="s">
        <v>19008</v>
      </c>
      <c r="AY3272" s="77"/>
      <c r="AZ3272" s="80" t="s">
        <v>20380</v>
      </c>
      <c r="BA3272" s="80" t="s">
        <v>19640</v>
      </c>
      <c r="BB3272" s="80" t="s">
        <v>20380</v>
      </c>
      <c r="BC3272" s="80" t="s">
        <v>19640</v>
      </c>
      <c r="BD3272" s="77">
        <v>57981116</v>
      </c>
      <c r="BE3272" s="77"/>
      <c r="BF3272" s="77"/>
      <c r="BG3272" s="77"/>
      <c r="BH3272" s="77"/>
      <c r="BI3272" s="77"/>
    </row>
    <row r="3273" spans="1:61" x14ac:dyDescent="0.25">
      <c r="A3273" s="62" t="s">
        <v>1312</v>
      </c>
      <c r="B3273" s="62" t="s">
        <v>2009</v>
      </c>
      <c r="C3273" s="63"/>
      <c r="D3273" s="64"/>
      <c r="E3273" s="65"/>
      <c r="F3273" s="66"/>
      <c r="G3273" s="63"/>
      <c r="H3273" s="67"/>
      <c r="I3273" s="68"/>
      <c r="J3273" s="68"/>
      <c r="K3273" s="32"/>
      <c r="L3273" s="75">
        <v>3273</v>
      </c>
      <c r="M3273" s="75"/>
      <c r="N3273" s="70"/>
      <c r="O3273" s="77" t="s">
        <v>2081</v>
      </c>
      <c r="P3273" s="79">
        <v>45090.922881944447</v>
      </c>
      <c r="Q3273" s="77" t="s">
        <v>4974</v>
      </c>
      <c r="R3273" s="77">
        <v>0</v>
      </c>
      <c r="S3273" s="77">
        <v>25</v>
      </c>
      <c r="T3273" s="77">
        <v>32</v>
      </c>
      <c r="U3273" s="77">
        <v>0</v>
      </c>
      <c r="V3273" s="77">
        <v>159</v>
      </c>
      <c r="W3273" s="80" t="s">
        <v>7157</v>
      </c>
      <c r="X3273" s="83" t="str">
        <f>HYPERLINK("https://acortar.link/ljAPb7")</f>
        <v>https://acortar.link/ljAPb7</v>
      </c>
      <c r="Y3273" s="77" t="s">
        <v>8649</v>
      </c>
      <c r="Z3273" s="77" t="s">
        <v>2009</v>
      </c>
      <c r="AA3273" s="77"/>
      <c r="AB3273" s="77"/>
      <c r="AC3273" s="80" t="s">
        <v>10541</v>
      </c>
      <c r="AD3273" s="77" t="s">
        <v>10620</v>
      </c>
      <c r="AE3273" s="83" t="str">
        <f>HYPERLINK("https://twitter.com/resenastv/status/1668742276388929539")</f>
        <v>https://twitter.com/resenastv/status/1668742276388929539</v>
      </c>
      <c r="AF3273" s="79">
        <v>45090.922881944447</v>
      </c>
      <c r="AG3273" s="85">
        <v>45090</v>
      </c>
      <c r="AH3273" s="80" t="s">
        <v>13479</v>
      </c>
      <c r="AI3273" s="77" t="b">
        <v>0</v>
      </c>
      <c r="AJ3273" s="77"/>
      <c r="AK3273" s="77"/>
      <c r="AL3273" s="77"/>
      <c r="AM3273" s="77"/>
      <c r="AN3273" s="77"/>
      <c r="AO3273" s="77"/>
      <c r="AP3273" s="77"/>
      <c r="AQ3273" s="77"/>
      <c r="AR3273" s="77"/>
      <c r="AS3273" s="77"/>
      <c r="AT3273" s="77"/>
      <c r="AU3273" s="77"/>
      <c r="AV3273" s="83" t="str">
        <f>HYPERLINK("https://pbs.twimg.com/profile_images/1663948674051760129/Om8pp6RF_normal.jpg")</f>
        <v>https://pbs.twimg.com/profile_images/1663948674051760129/Om8pp6RF_normal.jpg</v>
      </c>
      <c r="AW3273" s="80" t="s">
        <v>19009</v>
      </c>
      <c r="AX3273" s="80" t="s">
        <v>19009</v>
      </c>
      <c r="AY3273" s="77"/>
      <c r="AZ3273" s="80" t="s">
        <v>20380</v>
      </c>
      <c r="BA3273" s="80" t="s">
        <v>20380</v>
      </c>
      <c r="BB3273" s="80" t="s">
        <v>20380</v>
      </c>
      <c r="BC3273" s="80" t="s">
        <v>19009</v>
      </c>
      <c r="BD3273" s="80" t="s">
        <v>21031</v>
      </c>
      <c r="BE3273" s="77"/>
      <c r="BF3273" s="77"/>
      <c r="BG3273" s="77"/>
      <c r="BH3273" s="77"/>
      <c r="BI3273" s="77"/>
    </row>
    <row r="3274" spans="1:61" x14ac:dyDescent="0.25">
      <c r="A3274" s="62" t="s">
        <v>1313</v>
      </c>
      <c r="B3274" s="62" t="s">
        <v>1313</v>
      </c>
      <c r="C3274" s="63"/>
      <c r="D3274" s="64"/>
      <c r="E3274" s="65"/>
      <c r="F3274" s="66"/>
      <c r="G3274" s="63"/>
      <c r="H3274" s="67"/>
      <c r="I3274" s="68"/>
      <c r="J3274" s="68"/>
      <c r="K3274" s="32"/>
      <c r="L3274" s="75">
        <v>3274</v>
      </c>
      <c r="M3274" s="75"/>
      <c r="N3274" s="70"/>
      <c r="O3274" s="77" t="s">
        <v>179</v>
      </c>
      <c r="P3274" s="79">
        <v>45120.930555555555</v>
      </c>
      <c r="Q3274" s="77" t="s">
        <v>4975</v>
      </c>
      <c r="R3274" s="77">
        <v>1</v>
      </c>
      <c r="S3274" s="77">
        <v>1</v>
      </c>
      <c r="T3274" s="77">
        <v>0</v>
      </c>
      <c r="U3274" s="77">
        <v>0</v>
      </c>
      <c r="V3274" s="77">
        <v>210</v>
      </c>
      <c r="W3274" s="80" t="s">
        <v>5884</v>
      </c>
      <c r="X3274" s="83" t="str">
        <f>HYPERLINK("https://noticiasargentinas.com/economia/el-banco-central-decidio-mantener-la-tasa-de-interes-elevada-a-pesar-de-la-baja-en-la-inflacion")</f>
        <v>https://noticiasargentinas.com/economia/el-banco-central-decidio-mantener-la-tasa-de-interes-elevada-a-pesar-de-la-baja-en-la-inflacion</v>
      </c>
      <c r="Y3274" s="77" t="s">
        <v>8828</v>
      </c>
      <c r="Z3274" s="77"/>
      <c r="AA3274" s="77"/>
      <c r="AB3274" s="77"/>
      <c r="AC3274" s="80" t="s">
        <v>10541</v>
      </c>
      <c r="AD3274" s="77" t="s">
        <v>10620</v>
      </c>
      <c r="AE3274" s="83" t="str">
        <f>HYPERLINK("https://twitter.com/naagencia/status/1679616693700816896")</f>
        <v>https://twitter.com/naagencia/status/1679616693700816896</v>
      </c>
      <c r="AF3274" s="79">
        <v>45120.930555555555</v>
      </c>
      <c r="AG3274" s="85">
        <v>45120</v>
      </c>
      <c r="AH3274" s="80" t="s">
        <v>13480</v>
      </c>
      <c r="AI3274" s="77" t="b">
        <v>0</v>
      </c>
      <c r="AJ3274" s="77"/>
      <c r="AK3274" s="77"/>
      <c r="AL3274" s="77"/>
      <c r="AM3274" s="77"/>
      <c r="AN3274" s="77"/>
      <c r="AO3274" s="77"/>
      <c r="AP3274" s="77"/>
      <c r="AQ3274" s="77"/>
      <c r="AR3274" s="77"/>
      <c r="AS3274" s="77"/>
      <c r="AT3274" s="77"/>
      <c r="AU3274" s="77"/>
      <c r="AV3274" s="83" t="str">
        <f>HYPERLINK("https://pbs.twimg.com/profile_images/1625157086563733505/oHecU7XH_normal.jpg")</f>
        <v>https://pbs.twimg.com/profile_images/1625157086563733505/oHecU7XH_normal.jpg</v>
      </c>
      <c r="AW3274" s="80" t="s">
        <v>19010</v>
      </c>
      <c r="AX3274" s="80" t="s">
        <v>19010</v>
      </c>
      <c r="AY3274" s="77"/>
      <c r="AZ3274" s="80" t="s">
        <v>20380</v>
      </c>
      <c r="BA3274" s="80" t="s">
        <v>20380</v>
      </c>
      <c r="BB3274" s="80" t="s">
        <v>20380</v>
      </c>
      <c r="BC3274" s="80" t="s">
        <v>19010</v>
      </c>
      <c r="BD3274" s="77">
        <v>160609570</v>
      </c>
      <c r="BE3274" s="77"/>
      <c r="BF3274" s="77"/>
      <c r="BG3274" s="77"/>
      <c r="BH3274" s="77"/>
      <c r="BI3274" s="77"/>
    </row>
    <row r="3275" spans="1:61" x14ac:dyDescent="0.25">
      <c r="A3275" s="62" t="s">
        <v>1313</v>
      </c>
      <c r="B3275" s="62" t="s">
        <v>1313</v>
      </c>
      <c r="C3275" s="63"/>
      <c r="D3275" s="64"/>
      <c r="E3275" s="65"/>
      <c r="F3275" s="66"/>
      <c r="G3275" s="63"/>
      <c r="H3275" s="67"/>
      <c r="I3275" s="68"/>
      <c r="J3275" s="68"/>
      <c r="K3275" s="32"/>
      <c r="L3275" s="75">
        <v>3275</v>
      </c>
      <c r="M3275" s="75"/>
      <c r="N3275" s="70"/>
      <c r="O3275" s="77" t="s">
        <v>179</v>
      </c>
      <c r="P3275" s="79">
        <v>45106.890972222223</v>
      </c>
      <c r="Q3275" s="77" t="s">
        <v>4976</v>
      </c>
      <c r="R3275" s="77">
        <v>1</v>
      </c>
      <c r="S3275" s="77">
        <v>0</v>
      </c>
      <c r="T3275" s="77">
        <v>0</v>
      </c>
      <c r="U3275" s="77">
        <v>1</v>
      </c>
      <c r="V3275" s="77">
        <v>218</v>
      </c>
      <c r="W3275" s="80" t="s">
        <v>5884</v>
      </c>
      <c r="X3275" s="83" t="str">
        <f>HYPERLINK("https://noticiasargentinas.com/economia/el-banco-central-habilito-las-cuentas-bancarias-en-yuanes")</f>
        <v>https://noticiasargentinas.com/economia/el-banco-central-habilito-las-cuentas-bancarias-en-yuanes</v>
      </c>
      <c r="Y3275" s="77" t="s">
        <v>8828</v>
      </c>
      <c r="Z3275" s="77"/>
      <c r="AA3275" s="77"/>
      <c r="AB3275" s="77"/>
      <c r="AC3275" s="80" t="s">
        <v>10541</v>
      </c>
      <c r="AD3275" s="77" t="s">
        <v>10620</v>
      </c>
      <c r="AE3275" s="83" t="str">
        <f>HYPERLINK("https://twitter.com/naagencia/status/1674528919297335296")</f>
        <v>https://twitter.com/naagencia/status/1674528919297335296</v>
      </c>
      <c r="AF3275" s="79">
        <v>45106.890972222223</v>
      </c>
      <c r="AG3275" s="85">
        <v>45106</v>
      </c>
      <c r="AH3275" s="80" t="s">
        <v>13481</v>
      </c>
      <c r="AI3275" s="77" t="b">
        <v>0</v>
      </c>
      <c r="AJ3275" s="77"/>
      <c r="AK3275" s="77"/>
      <c r="AL3275" s="77"/>
      <c r="AM3275" s="77"/>
      <c r="AN3275" s="77"/>
      <c r="AO3275" s="77"/>
      <c r="AP3275" s="77"/>
      <c r="AQ3275" s="77"/>
      <c r="AR3275" s="77"/>
      <c r="AS3275" s="77"/>
      <c r="AT3275" s="77"/>
      <c r="AU3275" s="77"/>
      <c r="AV3275" s="83" t="str">
        <f>HYPERLINK("https://pbs.twimg.com/profile_images/1625157086563733505/oHecU7XH_normal.jpg")</f>
        <v>https://pbs.twimg.com/profile_images/1625157086563733505/oHecU7XH_normal.jpg</v>
      </c>
      <c r="AW3275" s="80" t="s">
        <v>19011</v>
      </c>
      <c r="AX3275" s="80" t="s">
        <v>19011</v>
      </c>
      <c r="AY3275" s="77"/>
      <c r="AZ3275" s="80" t="s">
        <v>20380</v>
      </c>
      <c r="BA3275" s="80" t="s">
        <v>20380</v>
      </c>
      <c r="BB3275" s="80" t="s">
        <v>20380</v>
      </c>
      <c r="BC3275" s="80" t="s">
        <v>19011</v>
      </c>
      <c r="BD3275" s="77">
        <v>160609570</v>
      </c>
      <c r="BE3275" s="77"/>
      <c r="BF3275" s="77"/>
      <c r="BG3275" s="77"/>
      <c r="BH3275" s="77"/>
      <c r="BI3275" s="77"/>
    </row>
    <row r="3276" spans="1:61" x14ac:dyDescent="0.25">
      <c r="A3276" s="62" t="s">
        <v>1313</v>
      </c>
      <c r="B3276" s="62" t="s">
        <v>1313</v>
      </c>
      <c r="C3276" s="63"/>
      <c r="D3276" s="64"/>
      <c r="E3276" s="65"/>
      <c r="F3276" s="66"/>
      <c r="G3276" s="63"/>
      <c r="H3276" s="67"/>
      <c r="I3276" s="68"/>
      <c r="J3276" s="68"/>
      <c r="K3276" s="32"/>
      <c r="L3276" s="75">
        <v>3276</v>
      </c>
      <c r="M3276" s="75"/>
      <c r="N3276" s="70"/>
      <c r="O3276" s="77" t="s">
        <v>179</v>
      </c>
      <c r="P3276" s="79">
        <v>45106.556631944448</v>
      </c>
      <c r="Q3276" s="77" t="s">
        <v>4977</v>
      </c>
      <c r="R3276" s="77">
        <v>1</v>
      </c>
      <c r="S3276" s="77">
        <v>1</v>
      </c>
      <c r="T3276" s="77">
        <v>0</v>
      </c>
      <c r="U3276" s="77">
        <v>0</v>
      </c>
      <c r="V3276" s="77">
        <v>192</v>
      </c>
      <c r="W3276" s="80" t="s">
        <v>5884</v>
      </c>
      <c r="X3276" s="83" t="str">
        <f>HYPERLINK("https://noticiasargentinas.com/economia/laspina-advirtio-que-el-banco-central-gasto-8-000-millones-de-dolares-de-los-10-000-que-respaldan-los-depositos-bancarios?1")</f>
        <v>https://noticiasargentinas.com/economia/laspina-advirtio-que-el-banco-central-gasto-8-000-millones-de-dolares-de-los-10-000-que-respaldan-los-depositos-bancarios?1</v>
      </c>
      <c r="Y3276" s="77" t="s">
        <v>8828</v>
      </c>
      <c r="Z3276" s="77"/>
      <c r="AA3276" s="77"/>
      <c r="AB3276" s="77"/>
      <c r="AC3276" s="80" t="s">
        <v>10541</v>
      </c>
      <c r="AD3276" s="77" t="s">
        <v>10620</v>
      </c>
      <c r="AE3276" s="83" t="str">
        <f>HYPERLINK("https://twitter.com/naagencia/status/1674407761101070337")</f>
        <v>https://twitter.com/naagencia/status/1674407761101070337</v>
      </c>
      <c r="AF3276" s="79">
        <v>45106.556631944448</v>
      </c>
      <c r="AG3276" s="85">
        <v>45106</v>
      </c>
      <c r="AH3276" s="80" t="s">
        <v>12897</v>
      </c>
      <c r="AI3276" s="77" t="b">
        <v>0</v>
      </c>
      <c r="AJ3276" s="77"/>
      <c r="AK3276" s="77"/>
      <c r="AL3276" s="77"/>
      <c r="AM3276" s="77"/>
      <c r="AN3276" s="77"/>
      <c r="AO3276" s="77"/>
      <c r="AP3276" s="77"/>
      <c r="AQ3276" s="77"/>
      <c r="AR3276" s="77"/>
      <c r="AS3276" s="77"/>
      <c r="AT3276" s="77"/>
      <c r="AU3276" s="77"/>
      <c r="AV3276" s="83" t="str">
        <f>HYPERLINK("https://pbs.twimg.com/profile_images/1625157086563733505/oHecU7XH_normal.jpg")</f>
        <v>https://pbs.twimg.com/profile_images/1625157086563733505/oHecU7XH_normal.jpg</v>
      </c>
      <c r="AW3276" s="80" t="s">
        <v>19012</v>
      </c>
      <c r="AX3276" s="80" t="s">
        <v>19012</v>
      </c>
      <c r="AY3276" s="77"/>
      <c r="AZ3276" s="80" t="s">
        <v>20380</v>
      </c>
      <c r="BA3276" s="80" t="s">
        <v>20380</v>
      </c>
      <c r="BB3276" s="80" t="s">
        <v>20380</v>
      </c>
      <c r="BC3276" s="80" t="s">
        <v>19012</v>
      </c>
      <c r="BD3276" s="77">
        <v>160609570</v>
      </c>
      <c r="BE3276" s="77"/>
      <c r="BF3276" s="77"/>
      <c r="BG3276" s="77"/>
      <c r="BH3276" s="77"/>
      <c r="BI3276" s="77"/>
    </row>
    <row r="3277" spans="1:61" x14ac:dyDescent="0.25">
      <c r="A3277" s="62" t="s">
        <v>1313</v>
      </c>
      <c r="B3277" s="62" t="s">
        <v>1313</v>
      </c>
      <c r="C3277" s="63"/>
      <c r="D3277" s="64"/>
      <c r="E3277" s="65"/>
      <c r="F3277" s="66"/>
      <c r="G3277" s="63"/>
      <c r="H3277" s="67"/>
      <c r="I3277" s="68"/>
      <c r="J3277" s="68"/>
      <c r="K3277" s="32"/>
      <c r="L3277" s="75">
        <v>3277</v>
      </c>
      <c r="M3277" s="75"/>
      <c r="N3277" s="70"/>
      <c r="O3277" s="77" t="s">
        <v>179</v>
      </c>
      <c r="P3277" s="79">
        <v>45094.079861111109</v>
      </c>
      <c r="Q3277" s="77" t="s">
        <v>4978</v>
      </c>
      <c r="R3277" s="77">
        <v>0</v>
      </c>
      <c r="S3277" s="77">
        <v>0</v>
      </c>
      <c r="T3277" s="77">
        <v>0</v>
      </c>
      <c r="U3277" s="77">
        <v>0</v>
      </c>
      <c r="V3277" s="77">
        <v>328</v>
      </c>
      <c r="W3277" s="80" t="s">
        <v>5884</v>
      </c>
      <c r="X3277" s="83" t="str">
        <f>HYPERLINK("https://noticiasargentinas.com/economia/dolar-hoy-a-cuanto-cotiza-el-dolar-hoy-viernes-16-de-junio")</f>
        <v>https://noticiasargentinas.com/economia/dolar-hoy-a-cuanto-cotiza-el-dolar-hoy-viernes-16-de-junio</v>
      </c>
      <c r="Y3277" s="77" t="s">
        <v>8828</v>
      </c>
      <c r="Z3277" s="77"/>
      <c r="AA3277" s="77"/>
      <c r="AB3277" s="77"/>
      <c r="AC3277" s="80" t="s">
        <v>10541</v>
      </c>
      <c r="AD3277" s="77" t="s">
        <v>10620</v>
      </c>
      <c r="AE3277" s="83" t="str">
        <f>HYPERLINK("https://twitter.com/naagencia/status/1669886327901286400")</f>
        <v>https://twitter.com/naagencia/status/1669886327901286400</v>
      </c>
      <c r="AF3277" s="79">
        <v>45094.079861111109</v>
      </c>
      <c r="AG3277" s="85">
        <v>45094</v>
      </c>
      <c r="AH3277" s="80" t="s">
        <v>13482</v>
      </c>
      <c r="AI3277" s="77" t="b">
        <v>0</v>
      </c>
      <c r="AJ3277" s="77"/>
      <c r="AK3277" s="77"/>
      <c r="AL3277" s="77"/>
      <c r="AM3277" s="77"/>
      <c r="AN3277" s="77"/>
      <c r="AO3277" s="77"/>
      <c r="AP3277" s="77"/>
      <c r="AQ3277" s="77"/>
      <c r="AR3277" s="77"/>
      <c r="AS3277" s="77"/>
      <c r="AT3277" s="77"/>
      <c r="AU3277" s="77"/>
      <c r="AV3277" s="83" t="str">
        <f>HYPERLINK("https://pbs.twimg.com/profile_images/1625157086563733505/oHecU7XH_normal.jpg")</f>
        <v>https://pbs.twimg.com/profile_images/1625157086563733505/oHecU7XH_normal.jpg</v>
      </c>
      <c r="AW3277" s="80" t="s">
        <v>19013</v>
      </c>
      <c r="AX3277" s="80" t="s">
        <v>19013</v>
      </c>
      <c r="AY3277" s="77"/>
      <c r="AZ3277" s="80" t="s">
        <v>20380</v>
      </c>
      <c r="BA3277" s="80" t="s">
        <v>20380</v>
      </c>
      <c r="BB3277" s="80" t="s">
        <v>20380</v>
      </c>
      <c r="BC3277" s="80" t="s">
        <v>19013</v>
      </c>
      <c r="BD3277" s="77">
        <v>160609570</v>
      </c>
      <c r="BE3277" s="77"/>
      <c r="BF3277" s="77"/>
      <c r="BG3277" s="77"/>
      <c r="BH3277" s="77"/>
      <c r="BI3277" s="77"/>
    </row>
    <row r="3278" spans="1:61" x14ac:dyDescent="0.25">
      <c r="A3278" s="62" t="s">
        <v>1313</v>
      </c>
      <c r="B3278" s="62" t="s">
        <v>1313</v>
      </c>
      <c r="C3278" s="63"/>
      <c r="D3278" s="64"/>
      <c r="E3278" s="65"/>
      <c r="F3278" s="66"/>
      <c r="G3278" s="63"/>
      <c r="H3278" s="67"/>
      <c r="I3278" s="68"/>
      <c r="J3278" s="68"/>
      <c r="K3278" s="32"/>
      <c r="L3278" s="75">
        <v>3278</v>
      </c>
      <c r="M3278" s="75"/>
      <c r="N3278" s="70"/>
      <c r="O3278" s="77" t="s">
        <v>179</v>
      </c>
      <c r="P3278" s="79">
        <v>45092.758518518516</v>
      </c>
      <c r="Q3278" s="77" t="s">
        <v>4979</v>
      </c>
      <c r="R3278" s="77">
        <v>0</v>
      </c>
      <c r="S3278" s="77">
        <v>0</v>
      </c>
      <c r="T3278" s="77">
        <v>0</v>
      </c>
      <c r="U3278" s="77">
        <v>0</v>
      </c>
      <c r="V3278" s="77">
        <v>162</v>
      </c>
      <c r="W3278" s="80" t="s">
        <v>5884</v>
      </c>
      <c r="X3278" s="83" t="str">
        <f>HYPERLINK("https://noticiasargentinas.com/economia/el-banco-central-mantuvo-en-el-97-la-tasa-de-los-plazos-fijos")</f>
        <v>https://noticiasargentinas.com/economia/el-banco-central-mantuvo-en-el-97-la-tasa-de-los-plazos-fijos</v>
      </c>
      <c r="Y3278" s="77" t="s">
        <v>8828</v>
      </c>
      <c r="Z3278" s="77"/>
      <c r="AA3278" s="77"/>
      <c r="AB3278" s="77"/>
      <c r="AC3278" s="80" t="s">
        <v>10541</v>
      </c>
      <c r="AD3278" s="77" t="s">
        <v>10620</v>
      </c>
      <c r="AE3278" s="83" t="str">
        <f>HYPERLINK("https://twitter.com/naagencia/status/1669407492495880192")</f>
        <v>https://twitter.com/naagencia/status/1669407492495880192</v>
      </c>
      <c r="AF3278" s="79">
        <v>45092.758518518516</v>
      </c>
      <c r="AG3278" s="85">
        <v>45092</v>
      </c>
      <c r="AH3278" s="80" t="s">
        <v>13483</v>
      </c>
      <c r="AI3278" s="77" t="b">
        <v>0</v>
      </c>
      <c r="AJ3278" s="77"/>
      <c r="AK3278" s="77"/>
      <c r="AL3278" s="77"/>
      <c r="AM3278" s="77"/>
      <c r="AN3278" s="77"/>
      <c r="AO3278" s="77"/>
      <c r="AP3278" s="77"/>
      <c r="AQ3278" s="77"/>
      <c r="AR3278" s="77"/>
      <c r="AS3278" s="77"/>
      <c r="AT3278" s="77"/>
      <c r="AU3278" s="77"/>
      <c r="AV3278" s="83" t="str">
        <f>HYPERLINK("https://pbs.twimg.com/profile_images/1625157086563733505/oHecU7XH_normal.jpg")</f>
        <v>https://pbs.twimg.com/profile_images/1625157086563733505/oHecU7XH_normal.jpg</v>
      </c>
      <c r="AW3278" s="80" t="s">
        <v>19014</v>
      </c>
      <c r="AX3278" s="80" t="s">
        <v>19014</v>
      </c>
      <c r="AY3278" s="77"/>
      <c r="AZ3278" s="80" t="s">
        <v>20380</v>
      </c>
      <c r="BA3278" s="80" t="s">
        <v>20380</v>
      </c>
      <c r="BB3278" s="80" t="s">
        <v>20380</v>
      </c>
      <c r="BC3278" s="80" t="s">
        <v>19014</v>
      </c>
      <c r="BD3278" s="77">
        <v>160609570</v>
      </c>
      <c r="BE3278" s="77"/>
      <c r="BF3278" s="77"/>
      <c r="BG3278" s="77"/>
      <c r="BH3278" s="77"/>
      <c r="BI3278" s="77"/>
    </row>
    <row r="3279" spans="1:61" x14ac:dyDescent="0.25">
      <c r="A3279" s="62" t="s">
        <v>1313</v>
      </c>
      <c r="B3279" s="62" t="s">
        <v>1313</v>
      </c>
      <c r="C3279" s="63"/>
      <c r="D3279" s="64"/>
      <c r="E3279" s="65"/>
      <c r="F3279" s="66"/>
      <c r="G3279" s="63"/>
      <c r="H3279" s="67"/>
      <c r="I3279" s="68"/>
      <c r="J3279" s="68"/>
      <c r="K3279" s="32"/>
      <c r="L3279" s="75">
        <v>3279</v>
      </c>
      <c r="M3279" s="75"/>
      <c r="N3279" s="70"/>
      <c r="O3279" s="77" t="s">
        <v>179</v>
      </c>
      <c r="P3279" s="79">
        <v>45092.569224537037</v>
      </c>
      <c r="Q3279" s="77" t="s">
        <v>4980</v>
      </c>
      <c r="R3279" s="77">
        <v>0</v>
      </c>
      <c r="S3279" s="77">
        <v>0</v>
      </c>
      <c r="T3279" s="77">
        <v>0</v>
      </c>
      <c r="U3279" s="77">
        <v>0</v>
      </c>
      <c r="V3279" s="77">
        <v>161</v>
      </c>
      <c r="W3279" s="80" t="s">
        <v>5884</v>
      </c>
      <c r="X3279" s="83" t="str">
        <f>HYPERLINK("https://noticiasargentinas.com/economia/estiman-que-el-banco-central-no-subira-la-tasa-de-interes")</f>
        <v>https://noticiasargentinas.com/economia/estiman-que-el-banco-central-no-subira-la-tasa-de-interes</v>
      </c>
      <c r="Y3279" s="77" t="s">
        <v>8828</v>
      </c>
      <c r="Z3279" s="77"/>
      <c r="AA3279" s="77"/>
      <c r="AB3279" s="77"/>
      <c r="AC3279" s="80" t="s">
        <v>10541</v>
      </c>
      <c r="AD3279" s="77" t="s">
        <v>10620</v>
      </c>
      <c r="AE3279" s="83" t="str">
        <f>HYPERLINK("https://twitter.com/naagencia/status/1669338893001576449")</f>
        <v>https://twitter.com/naagencia/status/1669338893001576449</v>
      </c>
      <c r="AF3279" s="79">
        <v>45092.569224537037</v>
      </c>
      <c r="AG3279" s="85">
        <v>45092</v>
      </c>
      <c r="AH3279" s="80" t="s">
        <v>13484</v>
      </c>
      <c r="AI3279" s="77" t="b">
        <v>0</v>
      </c>
      <c r="AJ3279" s="77"/>
      <c r="AK3279" s="77"/>
      <c r="AL3279" s="77"/>
      <c r="AM3279" s="77"/>
      <c r="AN3279" s="77"/>
      <c r="AO3279" s="77"/>
      <c r="AP3279" s="77"/>
      <c r="AQ3279" s="77"/>
      <c r="AR3279" s="77"/>
      <c r="AS3279" s="77"/>
      <c r="AT3279" s="77"/>
      <c r="AU3279" s="77"/>
      <c r="AV3279" s="83" t="str">
        <f>HYPERLINK("https://pbs.twimg.com/profile_images/1625157086563733505/oHecU7XH_normal.jpg")</f>
        <v>https://pbs.twimg.com/profile_images/1625157086563733505/oHecU7XH_normal.jpg</v>
      </c>
      <c r="AW3279" s="80" t="s">
        <v>19015</v>
      </c>
      <c r="AX3279" s="80" t="s">
        <v>19015</v>
      </c>
      <c r="AY3279" s="77"/>
      <c r="AZ3279" s="80" t="s">
        <v>20380</v>
      </c>
      <c r="BA3279" s="80" t="s">
        <v>20380</v>
      </c>
      <c r="BB3279" s="80" t="s">
        <v>20380</v>
      </c>
      <c r="BC3279" s="80" t="s">
        <v>19015</v>
      </c>
      <c r="BD3279" s="77">
        <v>160609570</v>
      </c>
      <c r="BE3279" s="77"/>
      <c r="BF3279" s="77"/>
      <c r="BG3279" s="77"/>
      <c r="BH3279" s="77"/>
      <c r="BI3279" s="77"/>
    </row>
    <row r="3280" spans="1:61" x14ac:dyDescent="0.25">
      <c r="A3280" s="62" t="s">
        <v>1313</v>
      </c>
      <c r="B3280" s="62" t="s">
        <v>1313</v>
      </c>
      <c r="C3280" s="63"/>
      <c r="D3280" s="64"/>
      <c r="E3280" s="65"/>
      <c r="F3280" s="66"/>
      <c r="G3280" s="63"/>
      <c r="H3280" s="67"/>
      <c r="I3280" s="68"/>
      <c r="J3280" s="68"/>
      <c r="K3280" s="32"/>
      <c r="L3280" s="75">
        <v>3280</v>
      </c>
      <c r="M3280" s="75"/>
      <c r="N3280" s="70"/>
      <c r="O3280" s="77" t="s">
        <v>179</v>
      </c>
      <c r="P3280" s="79">
        <v>45065.798935185187</v>
      </c>
      <c r="Q3280" s="77" t="s">
        <v>4981</v>
      </c>
      <c r="R3280" s="77">
        <v>0</v>
      </c>
      <c r="S3280" s="77">
        <v>0</v>
      </c>
      <c r="T3280" s="77">
        <v>0</v>
      </c>
      <c r="U3280" s="77">
        <v>0</v>
      </c>
      <c r="V3280" s="77">
        <v>207</v>
      </c>
      <c r="W3280" s="80" t="s">
        <v>5884</v>
      </c>
      <c r="X3280" s="83" t="str">
        <f>HYPERLINK("https://noticiasargentinas.com/economia/dolar-hoy-a-cuanto-cotiza-el-dolar-blue-hoy-19-de-mayo")</f>
        <v>https://noticiasargentinas.com/economia/dolar-hoy-a-cuanto-cotiza-el-dolar-blue-hoy-19-de-mayo</v>
      </c>
      <c r="Y3280" s="77" t="s">
        <v>8828</v>
      </c>
      <c r="Z3280" s="77"/>
      <c r="AA3280" s="77"/>
      <c r="AB3280" s="77"/>
      <c r="AC3280" s="80" t="s">
        <v>10541</v>
      </c>
      <c r="AD3280" s="77" t="s">
        <v>10620</v>
      </c>
      <c r="AE3280" s="83" t="str">
        <f>HYPERLINK("https://twitter.com/naagencia/status/1659637662779580435")</f>
        <v>https://twitter.com/naagencia/status/1659637662779580435</v>
      </c>
      <c r="AF3280" s="79">
        <v>45065.798935185187</v>
      </c>
      <c r="AG3280" s="85">
        <v>45065</v>
      </c>
      <c r="AH3280" s="80" t="s">
        <v>13485</v>
      </c>
      <c r="AI3280" s="77" t="b">
        <v>0</v>
      </c>
      <c r="AJ3280" s="77"/>
      <c r="AK3280" s="77"/>
      <c r="AL3280" s="77"/>
      <c r="AM3280" s="77"/>
      <c r="AN3280" s="77"/>
      <c r="AO3280" s="77"/>
      <c r="AP3280" s="77"/>
      <c r="AQ3280" s="77"/>
      <c r="AR3280" s="77"/>
      <c r="AS3280" s="77"/>
      <c r="AT3280" s="77"/>
      <c r="AU3280" s="77"/>
      <c r="AV3280" s="83" t="str">
        <f>HYPERLINK("https://pbs.twimg.com/profile_images/1625157086563733505/oHecU7XH_normal.jpg")</f>
        <v>https://pbs.twimg.com/profile_images/1625157086563733505/oHecU7XH_normal.jpg</v>
      </c>
      <c r="AW3280" s="80" t="s">
        <v>19016</v>
      </c>
      <c r="AX3280" s="80" t="s">
        <v>19016</v>
      </c>
      <c r="AY3280" s="77"/>
      <c r="AZ3280" s="80" t="s">
        <v>20380</v>
      </c>
      <c r="BA3280" s="80" t="s">
        <v>20380</v>
      </c>
      <c r="BB3280" s="80" t="s">
        <v>20380</v>
      </c>
      <c r="BC3280" s="80" t="s">
        <v>19016</v>
      </c>
      <c r="BD3280" s="77">
        <v>160609570</v>
      </c>
      <c r="BE3280" s="77"/>
      <c r="BF3280" s="77"/>
      <c r="BG3280" s="77"/>
      <c r="BH3280" s="77"/>
      <c r="BI3280" s="77"/>
    </row>
    <row r="3281" spans="1:61" x14ac:dyDescent="0.25">
      <c r="A3281" s="62" t="s">
        <v>1313</v>
      </c>
      <c r="B3281" s="62" t="s">
        <v>1313</v>
      </c>
      <c r="C3281" s="63"/>
      <c r="D3281" s="64"/>
      <c r="E3281" s="65"/>
      <c r="F3281" s="66"/>
      <c r="G3281" s="63"/>
      <c r="H3281" s="67"/>
      <c r="I3281" s="68"/>
      <c r="J3281" s="68"/>
      <c r="K3281" s="32"/>
      <c r="L3281" s="75">
        <v>3281</v>
      </c>
      <c r="M3281" s="75"/>
      <c r="N3281" s="70"/>
      <c r="O3281" s="77" t="s">
        <v>179</v>
      </c>
      <c r="P3281" s="79">
        <v>45163.802314814813</v>
      </c>
      <c r="Q3281" s="77" t="s">
        <v>4982</v>
      </c>
      <c r="R3281" s="77">
        <v>0</v>
      </c>
      <c r="S3281" s="77">
        <v>0</v>
      </c>
      <c r="T3281" s="77">
        <v>0</v>
      </c>
      <c r="U3281" s="77">
        <v>0</v>
      </c>
      <c r="V3281" s="77">
        <v>200</v>
      </c>
      <c r="W3281" s="80" t="s">
        <v>7930</v>
      </c>
      <c r="X3281" s="83" t="str">
        <f>HYPERLINK("https://noticiasargentinas.com/economia/que-es-el-siopel-la-plataforma-con-la-que-el-banco-central-busca-controlar-el-dolar-pure")</f>
        <v>https://noticiasargentinas.com/economia/que-es-el-siopel-la-plataforma-con-la-que-el-banco-central-busca-controlar-el-dolar-pure</v>
      </c>
      <c r="Y3281" s="77" t="s">
        <v>8828</v>
      </c>
      <c r="Z3281" s="77"/>
      <c r="AA3281" s="77"/>
      <c r="AB3281" s="77"/>
      <c r="AC3281" s="80" t="s">
        <v>10541</v>
      </c>
      <c r="AD3281" s="77" t="s">
        <v>10620</v>
      </c>
      <c r="AE3281" s="83" t="str">
        <f>HYPERLINK("https://twitter.com/naagencia/status/1695152900467462276")</f>
        <v>https://twitter.com/naagencia/status/1695152900467462276</v>
      </c>
      <c r="AF3281" s="79">
        <v>45163.802314814813</v>
      </c>
      <c r="AG3281" s="85">
        <v>45163</v>
      </c>
      <c r="AH3281" s="80" t="s">
        <v>11639</v>
      </c>
      <c r="AI3281" s="77" t="b">
        <v>0</v>
      </c>
      <c r="AJ3281" s="77"/>
      <c r="AK3281" s="77"/>
      <c r="AL3281" s="77"/>
      <c r="AM3281" s="77"/>
      <c r="AN3281" s="77"/>
      <c r="AO3281" s="77"/>
      <c r="AP3281" s="77"/>
      <c r="AQ3281" s="77"/>
      <c r="AR3281" s="77"/>
      <c r="AS3281" s="77"/>
      <c r="AT3281" s="77"/>
      <c r="AU3281" s="77"/>
      <c r="AV3281" s="83" t="str">
        <f>HYPERLINK("https://pbs.twimg.com/profile_images/1625157086563733505/oHecU7XH_normal.jpg")</f>
        <v>https://pbs.twimg.com/profile_images/1625157086563733505/oHecU7XH_normal.jpg</v>
      </c>
      <c r="AW3281" s="80" t="s">
        <v>19017</v>
      </c>
      <c r="AX3281" s="80" t="s">
        <v>19017</v>
      </c>
      <c r="AY3281" s="77"/>
      <c r="AZ3281" s="80" t="s">
        <v>20380</v>
      </c>
      <c r="BA3281" s="80" t="s">
        <v>20380</v>
      </c>
      <c r="BB3281" s="80" t="s">
        <v>20380</v>
      </c>
      <c r="BC3281" s="80" t="s">
        <v>19017</v>
      </c>
      <c r="BD3281" s="77">
        <v>160609570</v>
      </c>
      <c r="BE3281" s="77"/>
      <c r="BF3281" s="77"/>
      <c r="BG3281" s="77"/>
      <c r="BH3281" s="77"/>
      <c r="BI3281" s="77"/>
    </row>
    <row r="3282" spans="1:61" x14ac:dyDescent="0.25">
      <c r="A3282" s="62" t="s">
        <v>1313</v>
      </c>
      <c r="B3282" s="62" t="s">
        <v>1313</v>
      </c>
      <c r="C3282" s="63"/>
      <c r="D3282" s="64"/>
      <c r="E3282" s="65"/>
      <c r="F3282" s="66"/>
      <c r="G3282" s="63"/>
      <c r="H3282" s="67"/>
      <c r="I3282" s="68"/>
      <c r="J3282" s="68"/>
      <c r="K3282" s="32"/>
      <c r="L3282" s="75">
        <v>3282</v>
      </c>
      <c r="M3282" s="75"/>
      <c r="N3282" s="70"/>
      <c r="O3282" s="77" t="s">
        <v>179</v>
      </c>
      <c r="P3282" s="79">
        <v>45149.847222222219</v>
      </c>
      <c r="Q3282" s="77" t="s">
        <v>4983</v>
      </c>
      <c r="R3282" s="77">
        <v>0</v>
      </c>
      <c r="S3282" s="77">
        <v>0</v>
      </c>
      <c r="T3282" s="77">
        <v>0</v>
      </c>
      <c r="U3282" s="77">
        <v>0</v>
      </c>
      <c r="V3282" s="77">
        <v>200</v>
      </c>
      <c r="W3282" s="80" t="s">
        <v>5884</v>
      </c>
      <c r="X3282" s="83" t="str">
        <f>HYPERLINK("https://noticiasargentinas.com/economia/las-reservas-del-banco-central-se-redujeron-casi-500-millones-en-tres-dias")</f>
        <v>https://noticiasargentinas.com/economia/las-reservas-del-banco-central-se-redujeron-casi-500-millones-en-tres-dias</v>
      </c>
      <c r="Y3282" s="77" t="s">
        <v>8828</v>
      </c>
      <c r="Z3282" s="77"/>
      <c r="AA3282" s="77"/>
      <c r="AB3282" s="77"/>
      <c r="AC3282" s="80" t="s">
        <v>10541</v>
      </c>
      <c r="AD3282" s="77" t="s">
        <v>10620</v>
      </c>
      <c r="AE3282" s="83" t="str">
        <f>HYPERLINK("https://twitter.com/naagencia/status/1690095743129075712")</f>
        <v>https://twitter.com/naagencia/status/1690095743129075712</v>
      </c>
      <c r="AF3282" s="79">
        <v>45149.847222222219</v>
      </c>
      <c r="AG3282" s="85">
        <v>45149</v>
      </c>
      <c r="AH3282" s="80" t="s">
        <v>13486</v>
      </c>
      <c r="AI3282" s="77" t="b">
        <v>0</v>
      </c>
      <c r="AJ3282" s="77"/>
      <c r="AK3282" s="77"/>
      <c r="AL3282" s="77"/>
      <c r="AM3282" s="77"/>
      <c r="AN3282" s="77"/>
      <c r="AO3282" s="77"/>
      <c r="AP3282" s="77"/>
      <c r="AQ3282" s="77"/>
      <c r="AR3282" s="77"/>
      <c r="AS3282" s="77"/>
      <c r="AT3282" s="77"/>
      <c r="AU3282" s="77"/>
      <c r="AV3282" s="83" t="str">
        <f>HYPERLINK("https://pbs.twimg.com/profile_images/1625157086563733505/oHecU7XH_normal.jpg")</f>
        <v>https://pbs.twimg.com/profile_images/1625157086563733505/oHecU7XH_normal.jpg</v>
      </c>
      <c r="AW3282" s="80" t="s">
        <v>19018</v>
      </c>
      <c r="AX3282" s="80" t="s">
        <v>19018</v>
      </c>
      <c r="AY3282" s="77"/>
      <c r="AZ3282" s="80" t="s">
        <v>20380</v>
      </c>
      <c r="BA3282" s="80" t="s">
        <v>20380</v>
      </c>
      <c r="BB3282" s="80" t="s">
        <v>20380</v>
      </c>
      <c r="BC3282" s="80" t="s">
        <v>19018</v>
      </c>
      <c r="BD3282" s="77">
        <v>160609570</v>
      </c>
      <c r="BE3282" s="77"/>
      <c r="BF3282" s="77"/>
      <c r="BG3282" s="77"/>
      <c r="BH3282" s="77"/>
      <c r="BI3282" s="77"/>
    </row>
    <row r="3283" spans="1:61" x14ac:dyDescent="0.25">
      <c r="A3283" s="62" t="s">
        <v>1313</v>
      </c>
      <c r="B3283" s="62" t="s">
        <v>1313</v>
      </c>
      <c r="C3283" s="63"/>
      <c r="D3283" s="64"/>
      <c r="E3283" s="65"/>
      <c r="F3283" s="66"/>
      <c r="G3283" s="63"/>
      <c r="H3283" s="67"/>
      <c r="I3283" s="68"/>
      <c r="J3283" s="68"/>
      <c r="K3283" s="32"/>
      <c r="L3283" s="75">
        <v>3283</v>
      </c>
      <c r="M3283" s="75"/>
      <c r="N3283" s="70"/>
      <c r="O3283" s="77" t="s">
        <v>179</v>
      </c>
      <c r="P3283" s="79">
        <v>45141.947916666664</v>
      </c>
      <c r="Q3283" s="77" t="s">
        <v>4984</v>
      </c>
      <c r="R3283" s="77">
        <v>0</v>
      </c>
      <c r="S3283" s="77">
        <v>0</v>
      </c>
      <c r="T3283" s="77">
        <v>0</v>
      </c>
      <c r="U3283" s="77">
        <v>0</v>
      </c>
      <c r="V3283" s="77">
        <v>188</v>
      </c>
      <c r="W3283" s="80" t="s">
        <v>5884</v>
      </c>
      <c r="X3283" s="83" t="str">
        <f>HYPERLINK("https://noticiasargentinas.com/economia/el-banco-central-nego-de-plano-estar-vendiendo-el-oro-de-las-reservas")</f>
        <v>https://noticiasargentinas.com/economia/el-banco-central-nego-de-plano-estar-vendiendo-el-oro-de-las-reservas</v>
      </c>
      <c r="Y3283" s="77" t="s">
        <v>8828</v>
      </c>
      <c r="Z3283" s="77"/>
      <c r="AA3283" s="77"/>
      <c r="AB3283" s="77"/>
      <c r="AC3283" s="80" t="s">
        <v>10541</v>
      </c>
      <c r="AD3283" s="77" t="s">
        <v>10620</v>
      </c>
      <c r="AE3283" s="83" t="str">
        <f>HYPERLINK("https://twitter.com/naagencia/status/1687233130376429575")</f>
        <v>https://twitter.com/naagencia/status/1687233130376429575</v>
      </c>
      <c r="AF3283" s="79">
        <v>45141.947916666664</v>
      </c>
      <c r="AG3283" s="85">
        <v>45141</v>
      </c>
      <c r="AH3283" s="80" t="s">
        <v>13487</v>
      </c>
      <c r="AI3283" s="77" t="b">
        <v>0</v>
      </c>
      <c r="AJ3283" s="77"/>
      <c r="AK3283" s="77"/>
      <c r="AL3283" s="77"/>
      <c r="AM3283" s="77"/>
      <c r="AN3283" s="77"/>
      <c r="AO3283" s="77"/>
      <c r="AP3283" s="77"/>
      <c r="AQ3283" s="77"/>
      <c r="AR3283" s="77"/>
      <c r="AS3283" s="77"/>
      <c r="AT3283" s="77"/>
      <c r="AU3283" s="77"/>
      <c r="AV3283" s="83" t="str">
        <f>HYPERLINK("https://pbs.twimg.com/profile_images/1625157086563733505/oHecU7XH_normal.jpg")</f>
        <v>https://pbs.twimg.com/profile_images/1625157086563733505/oHecU7XH_normal.jpg</v>
      </c>
      <c r="AW3283" s="80" t="s">
        <v>19019</v>
      </c>
      <c r="AX3283" s="80" t="s">
        <v>19019</v>
      </c>
      <c r="AY3283" s="77"/>
      <c r="AZ3283" s="80" t="s">
        <v>20380</v>
      </c>
      <c r="BA3283" s="80" t="s">
        <v>20380</v>
      </c>
      <c r="BB3283" s="80" t="s">
        <v>20380</v>
      </c>
      <c r="BC3283" s="80" t="s">
        <v>19019</v>
      </c>
      <c r="BD3283" s="77">
        <v>160609570</v>
      </c>
      <c r="BE3283" s="77"/>
      <c r="BF3283" s="77"/>
      <c r="BG3283" s="77"/>
      <c r="BH3283" s="77"/>
      <c r="BI3283" s="77"/>
    </row>
    <row r="3284" spans="1:61" x14ac:dyDescent="0.25">
      <c r="A3284" s="62" t="s">
        <v>1313</v>
      </c>
      <c r="B3284" s="62" t="s">
        <v>1313</v>
      </c>
      <c r="C3284" s="63"/>
      <c r="D3284" s="64"/>
      <c r="E3284" s="65"/>
      <c r="F3284" s="66"/>
      <c r="G3284" s="63"/>
      <c r="H3284" s="67"/>
      <c r="I3284" s="68"/>
      <c r="J3284" s="68"/>
      <c r="K3284" s="32"/>
      <c r="L3284" s="75">
        <v>3284</v>
      </c>
      <c r="M3284" s="75"/>
      <c r="N3284" s="70"/>
      <c r="O3284" s="77" t="s">
        <v>179</v>
      </c>
      <c r="P3284" s="79">
        <v>45183.788229166668</v>
      </c>
      <c r="Q3284" s="77" t="s">
        <v>4985</v>
      </c>
      <c r="R3284" s="77">
        <v>0</v>
      </c>
      <c r="S3284" s="77">
        <v>0</v>
      </c>
      <c r="T3284" s="77">
        <v>0</v>
      </c>
      <c r="U3284" s="77">
        <v>0</v>
      </c>
      <c r="V3284" s="77">
        <v>166</v>
      </c>
      <c r="W3284" s="80" t="s">
        <v>5884</v>
      </c>
      <c r="X3284" s="83" t="str">
        <f>HYPERLINK("https://noticiasargentinas.com/economia/a-pesar-de-la-disparada-de-la-inflacion-el-banco-central-no-sube-la-tasa-de-plazos-fijos")</f>
        <v>https://noticiasargentinas.com/economia/a-pesar-de-la-disparada-de-la-inflacion-el-banco-central-no-sube-la-tasa-de-plazos-fijos</v>
      </c>
      <c r="Y3284" s="77" t="s">
        <v>8828</v>
      </c>
      <c r="Z3284" s="77"/>
      <c r="AA3284" s="77"/>
      <c r="AB3284" s="77"/>
      <c r="AC3284" s="80" t="s">
        <v>10541</v>
      </c>
      <c r="AD3284" s="77" t="s">
        <v>10620</v>
      </c>
      <c r="AE3284" s="83" t="str">
        <f>HYPERLINK("https://twitter.com/naagencia/status/1702395552556593298")</f>
        <v>https://twitter.com/naagencia/status/1702395552556593298</v>
      </c>
      <c r="AF3284" s="79">
        <v>45183.788229166668</v>
      </c>
      <c r="AG3284" s="85">
        <v>45183</v>
      </c>
      <c r="AH3284" s="80" t="s">
        <v>13488</v>
      </c>
      <c r="AI3284" s="77" t="b">
        <v>0</v>
      </c>
      <c r="AJ3284" s="77"/>
      <c r="AK3284" s="77"/>
      <c r="AL3284" s="77"/>
      <c r="AM3284" s="77"/>
      <c r="AN3284" s="77"/>
      <c r="AO3284" s="77"/>
      <c r="AP3284" s="77"/>
      <c r="AQ3284" s="77"/>
      <c r="AR3284" s="77"/>
      <c r="AS3284" s="77"/>
      <c r="AT3284" s="77"/>
      <c r="AU3284" s="77"/>
      <c r="AV3284" s="83" t="str">
        <f>HYPERLINK("https://pbs.twimg.com/profile_images/1625157086563733505/oHecU7XH_normal.jpg")</f>
        <v>https://pbs.twimg.com/profile_images/1625157086563733505/oHecU7XH_normal.jpg</v>
      </c>
      <c r="AW3284" s="80" t="s">
        <v>19020</v>
      </c>
      <c r="AX3284" s="80" t="s">
        <v>19020</v>
      </c>
      <c r="AY3284" s="77"/>
      <c r="AZ3284" s="80" t="s">
        <v>20380</v>
      </c>
      <c r="BA3284" s="80" t="s">
        <v>20380</v>
      </c>
      <c r="BB3284" s="80" t="s">
        <v>20380</v>
      </c>
      <c r="BC3284" s="80" t="s">
        <v>19020</v>
      </c>
      <c r="BD3284" s="77">
        <v>160609570</v>
      </c>
      <c r="BE3284" s="77"/>
      <c r="BF3284" s="77"/>
      <c r="BG3284" s="77"/>
      <c r="BH3284" s="77"/>
      <c r="BI3284" s="77"/>
    </row>
    <row r="3285" spans="1:61" x14ac:dyDescent="0.25">
      <c r="A3285" s="62" t="s">
        <v>1313</v>
      </c>
      <c r="B3285" s="62" t="s">
        <v>1313</v>
      </c>
      <c r="C3285" s="63"/>
      <c r="D3285" s="64"/>
      <c r="E3285" s="65"/>
      <c r="F3285" s="66"/>
      <c r="G3285" s="63"/>
      <c r="H3285" s="67"/>
      <c r="I3285" s="68"/>
      <c r="J3285" s="68"/>
      <c r="K3285" s="32"/>
      <c r="L3285" s="75">
        <v>3285</v>
      </c>
      <c r="M3285" s="75"/>
      <c r="N3285" s="70"/>
      <c r="O3285" s="77" t="s">
        <v>179</v>
      </c>
      <c r="P3285" s="79">
        <v>45154.805555555555</v>
      </c>
      <c r="Q3285" s="77" t="s">
        <v>4986</v>
      </c>
      <c r="R3285" s="77">
        <v>0</v>
      </c>
      <c r="S3285" s="77">
        <v>1</v>
      </c>
      <c r="T3285" s="77">
        <v>1</v>
      </c>
      <c r="U3285" s="77">
        <v>0</v>
      </c>
      <c r="V3285" s="77">
        <v>208</v>
      </c>
      <c r="W3285" s="80" t="s">
        <v>5884</v>
      </c>
      <c r="X3285" s="83" t="str">
        <f>HYPERLINK("https://noticiasargentinas.com/economia/el-banco-central-salio-a-destacar-la-holgada-liquidez-de-las-entidades-financieras")</f>
        <v>https://noticiasargentinas.com/economia/el-banco-central-salio-a-destacar-la-holgada-liquidez-de-las-entidades-financieras</v>
      </c>
      <c r="Y3285" s="77" t="s">
        <v>8828</v>
      </c>
      <c r="Z3285" s="77"/>
      <c r="AA3285" s="77"/>
      <c r="AB3285" s="77"/>
      <c r="AC3285" s="80" t="s">
        <v>10541</v>
      </c>
      <c r="AD3285" s="77" t="s">
        <v>10620</v>
      </c>
      <c r="AE3285" s="83" t="str">
        <f>HYPERLINK("https://twitter.com/naagencia/status/1691892582647832776")</f>
        <v>https://twitter.com/naagencia/status/1691892582647832776</v>
      </c>
      <c r="AF3285" s="79">
        <v>45154.805555555555</v>
      </c>
      <c r="AG3285" s="85">
        <v>45154</v>
      </c>
      <c r="AH3285" s="80" t="s">
        <v>11518</v>
      </c>
      <c r="AI3285" s="77" t="b">
        <v>0</v>
      </c>
      <c r="AJ3285" s="77"/>
      <c r="AK3285" s="77"/>
      <c r="AL3285" s="77"/>
      <c r="AM3285" s="77"/>
      <c r="AN3285" s="77"/>
      <c r="AO3285" s="77"/>
      <c r="AP3285" s="77"/>
      <c r="AQ3285" s="77"/>
      <c r="AR3285" s="77"/>
      <c r="AS3285" s="77"/>
      <c r="AT3285" s="77"/>
      <c r="AU3285" s="77"/>
      <c r="AV3285" s="83" t="str">
        <f>HYPERLINK("https://pbs.twimg.com/profile_images/1625157086563733505/oHecU7XH_normal.jpg")</f>
        <v>https://pbs.twimg.com/profile_images/1625157086563733505/oHecU7XH_normal.jpg</v>
      </c>
      <c r="AW3285" s="80" t="s">
        <v>19021</v>
      </c>
      <c r="AX3285" s="80" t="s">
        <v>19021</v>
      </c>
      <c r="AY3285" s="77"/>
      <c r="AZ3285" s="80" t="s">
        <v>20380</v>
      </c>
      <c r="BA3285" s="80" t="s">
        <v>20380</v>
      </c>
      <c r="BB3285" s="80" t="s">
        <v>20380</v>
      </c>
      <c r="BC3285" s="80" t="s">
        <v>19021</v>
      </c>
      <c r="BD3285" s="77">
        <v>160609570</v>
      </c>
      <c r="BE3285" s="77"/>
      <c r="BF3285" s="77"/>
      <c r="BG3285" s="77"/>
      <c r="BH3285" s="77"/>
      <c r="BI3285" s="77"/>
    </row>
    <row r="3286" spans="1:61" x14ac:dyDescent="0.25">
      <c r="A3286" s="62" t="s">
        <v>1313</v>
      </c>
      <c r="B3286" s="62" t="s">
        <v>1313</v>
      </c>
      <c r="C3286" s="63"/>
      <c r="D3286" s="64"/>
      <c r="E3286" s="65"/>
      <c r="F3286" s="66"/>
      <c r="G3286" s="63"/>
      <c r="H3286" s="67"/>
      <c r="I3286" s="68"/>
      <c r="J3286" s="68"/>
      <c r="K3286" s="32"/>
      <c r="L3286" s="75">
        <v>3286</v>
      </c>
      <c r="M3286" s="75"/>
      <c r="N3286" s="70"/>
      <c r="O3286" s="77" t="s">
        <v>179</v>
      </c>
      <c r="P3286" s="79">
        <v>45148.572916666664</v>
      </c>
      <c r="Q3286" s="77" t="s">
        <v>4987</v>
      </c>
      <c r="R3286" s="77">
        <v>0</v>
      </c>
      <c r="S3286" s="77">
        <v>0</v>
      </c>
      <c r="T3286" s="77">
        <v>0</v>
      </c>
      <c r="U3286" s="77">
        <v>0</v>
      </c>
      <c r="V3286" s="77">
        <v>155</v>
      </c>
      <c r="W3286" s="80" t="s">
        <v>5884</v>
      </c>
      <c r="X3286" s="83" t="str">
        <f>HYPERLINK("https://noticiasargentinas.com/economia/nueva-asistencia-del-banco-central-al-tesoro-nacional-por-250-mil-millones")</f>
        <v>https://noticiasargentinas.com/economia/nueva-asistencia-del-banco-central-al-tesoro-nacional-por-250-mil-millones</v>
      </c>
      <c r="Y3286" s="77" t="s">
        <v>8828</v>
      </c>
      <c r="Z3286" s="77"/>
      <c r="AA3286" s="77"/>
      <c r="AB3286" s="77"/>
      <c r="AC3286" s="80" t="s">
        <v>10541</v>
      </c>
      <c r="AD3286" s="77" t="s">
        <v>10620</v>
      </c>
      <c r="AE3286" s="83" t="str">
        <f>HYPERLINK("https://twitter.com/naagencia/status/1689633950262558720")</f>
        <v>https://twitter.com/naagencia/status/1689633950262558720</v>
      </c>
      <c r="AF3286" s="79">
        <v>45148.572916666664</v>
      </c>
      <c r="AG3286" s="85">
        <v>45148</v>
      </c>
      <c r="AH3286" s="80" t="s">
        <v>13489</v>
      </c>
      <c r="AI3286" s="77" t="b">
        <v>0</v>
      </c>
      <c r="AJ3286" s="77"/>
      <c r="AK3286" s="77"/>
      <c r="AL3286" s="77"/>
      <c r="AM3286" s="77"/>
      <c r="AN3286" s="77"/>
      <c r="AO3286" s="77"/>
      <c r="AP3286" s="77"/>
      <c r="AQ3286" s="77"/>
      <c r="AR3286" s="77"/>
      <c r="AS3286" s="77"/>
      <c r="AT3286" s="77"/>
      <c r="AU3286" s="77"/>
      <c r="AV3286" s="83" t="str">
        <f>HYPERLINK("https://pbs.twimg.com/profile_images/1625157086563733505/oHecU7XH_normal.jpg")</f>
        <v>https://pbs.twimg.com/profile_images/1625157086563733505/oHecU7XH_normal.jpg</v>
      </c>
      <c r="AW3286" s="80" t="s">
        <v>19022</v>
      </c>
      <c r="AX3286" s="80" t="s">
        <v>19022</v>
      </c>
      <c r="AY3286" s="77"/>
      <c r="AZ3286" s="80" t="s">
        <v>20380</v>
      </c>
      <c r="BA3286" s="80" t="s">
        <v>20380</v>
      </c>
      <c r="BB3286" s="80" t="s">
        <v>20380</v>
      </c>
      <c r="BC3286" s="80" t="s">
        <v>19022</v>
      </c>
      <c r="BD3286" s="77">
        <v>160609570</v>
      </c>
      <c r="BE3286" s="77"/>
      <c r="BF3286" s="77"/>
      <c r="BG3286" s="77"/>
      <c r="BH3286" s="77"/>
      <c r="BI3286" s="77"/>
    </row>
    <row r="3287" spans="1:61" x14ac:dyDescent="0.25">
      <c r="A3287" s="62" t="s">
        <v>1313</v>
      </c>
      <c r="B3287" s="62" t="s">
        <v>1313</v>
      </c>
      <c r="C3287" s="63"/>
      <c r="D3287" s="64"/>
      <c r="E3287" s="65"/>
      <c r="F3287" s="66"/>
      <c r="G3287" s="63"/>
      <c r="H3287" s="67"/>
      <c r="I3287" s="68"/>
      <c r="J3287" s="68"/>
      <c r="K3287" s="32"/>
      <c r="L3287" s="75">
        <v>3287</v>
      </c>
      <c r="M3287" s="75"/>
      <c r="N3287" s="70"/>
      <c r="O3287" s="77" t="s">
        <v>179</v>
      </c>
      <c r="P3287" s="79">
        <v>45086.854166666664</v>
      </c>
      <c r="Q3287" s="77" t="s">
        <v>4988</v>
      </c>
      <c r="R3287" s="77">
        <v>1</v>
      </c>
      <c r="S3287" s="77">
        <v>0</v>
      </c>
      <c r="T3287" s="77">
        <v>0</v>
      </c>
      <c r="U3287" s="77">
        <v>0</v>
      </c>
      <c r="V3287" s="77">
        <v>231</v>
      </c>
      <c r="W3287" s="80" t="s">
        <v>5884</v>
      </c>
      <c r="X3287" s="83" t="str">
        <f>HYPERLINK("https://noticiasargentinas.com/economia/dolar-hoy-a-cuanto-cotiza-el-dolar-hoy-viernes-9-de-junio")</f>
        <v>https://noticiasargentinas.com/economia/dolar-hoy-a-cuanto-cotiza-el-dolar-hoy-viernes-9-de-junio</v>
      </c>
      <c r="Y3287" s="77" t="s">
        <v>8828</v>
      </c>
      <c r="Z3287" s="77"/>
      <c r="AA3287" s="77"/>
      <c r="AB3287" s="77"/>
      <c r="AC3287" s="80" t="s">
        <v>10541</v>
      </c>
      <c r="AD3287" s="77" t="s">
        <v>10620</v>
      </c>
      <c r="AE3287" s="83" t="str">
        <f>HYPERLINK("https://twitter.com/naagencia/status/1667267825587703812")</f>
        <v>https://twitter.com/naagencia/status/1667267825587703812</v>
      </c>
      <c r="AF3287" s="79">
        <v>45086.854166666664</v>
      </c>
      <c r="AG3287" s="85">
        <v>45086</v>
      </c>
      <c r="AH3287" s="80" t="s">
        <v>11160</v>
      </c>
      <c r="AI3287" s="77" t="b">
        <v>0</v>
      </c>
      <c r="AJ3287" s="77"/>
      <c r="AK3287" s="77"/>
      <c r="AL3287" s="77"/>
      <c r="AM3287" s="77"/>
      <c r="AN3287" s="77"/>
      <c r="AO3287" s="77"/>
      <c r="AP3287" s="77"/>
      <c r="AQ3287" s="77"/>
      <c r="AR3287" s="77"/>
      <c r="AS3287" s="77"/>
      <c r="AT3287" s="77"/>
      <c r="AU3287" s="77"/>
      <c r="AV3287" s="83" t="str">
        <f>HYPERLINK("https://pbs.twimg.com/profile_images/1625157086563733505/oHecU7XH_normal.jpg")</f>
        <v>https://pbs.twimg.com/profile_images/1625157086563733505/oHecU7XH_normal.jpg</v>
      </c>
      <c r="AW3287" s="80" t="s">
        <v>19023</v>
      </c>
      <c r="AX3287" s="80" t="s">
        <v>19023</v>
      </c>
      <c r="AY3287" s="77"/>
      <c r="AZ3287" s="80" t="s">
        <v>20380</v>
      </c>
      <c r="BA3287" s="80" t="s">
        <v>20380</v>
      </c>
      <c r="BB3287" s="80" t="s">
        <v>20380</v>
      </c>
      <c r="BC3287" s="80" t="s">
        <v>19023</v>
      </c>
      <c r="BD3287" s="77">
        <v>160609570</v>
      </c>
      <c r="BE3287" s="77"/>
      <c r="BF3287" s="77"/>
      <c r="BG3287" s="77"/>
      <c r="BH3287" s="77"/>
      <c r="BI3287" s="77"/>
    </row>
    <row r="3288" spans="1:61" x14ac:dyDescent="0.25">
      <c r="A3288" s="62" t="s">
        <v>1313</v>
      </c>
      <c r="B3288" s="62" t="s">
        <v>1313</v>
      </c>
      <c r="C3288" s="63"/>
      <c r="D3288" s="64"/>
      <c r="E3288" s="65"/>
      <c r="F3288" s="66"/>
      <c r="G3288" s="63"/>
      <c r="H3288" s="67"/>
      <c r="I3288" s="68"/>
      <c r="J3288" s="68"/>
      <c r="K3288" s="32"/>
      <c r="L3288" s="75">
        <v>3288</v>
      </c>
      <c r="M3288" s="75"/>
      <c r="N3288" s="70"/>
      <c r="O3288" s="77" t="s">
        <v>179</v>
      </c>
      <c r="P3288" s="79">
        <v>45050.948611111111</v>
      </c>
      <c r="Q3288" s="77" t="s">
        <v>4989</v>
      </c>
      <c r="R3288" s="77">
        <v>0</v>
      </c>
      <c r="S3288" s="77">
        <v>0</v>
      </c>
      <c r="T3288" s="77">
        <v>0</v>
      </c>
      <c r="U3288" s="77">
        <v>0</v>
      </c>
      <c r="V3288" s="77">
        <v>253</v>
      </c>
      <c r="W3288" s="80" t="s">
        <v>7155</v>
      </c>
      <c r="X3288" s="83" t="str">
        <f>HYPERLINK("https://noticiasargentinas.com/economia/las-reservas-del-banco-central-cayeron-en-us-760-millones-en-un-solo-dia-por-un-pago-al-fmi")</f>
        <v>https://noticiasargentinas.com/economia/las-reservas-del-banco-central-cayeron-en-us-760-millones-en-un-solo-dia-por-un-pago-al-fmi</v>
      </c>
      <c r="Y3288" s="77" t="s">
        <v>8828</v>
      </c>
      <c r="Z3288" s="77"/>
      <c r="AA3288" s="77"/>
      <c r="AB3288" s="77"/>
      <c r="AC3288" s="80" t="s">
        <v>10541</v>
      </c>
      <c r="AD3288" s="77" t="s">
        <v>10620</v>
      </c>
      <c r="AE3288" s="83" t="str">
        <f>HYPERLINK("https://twitter.com/naagencia/status/1654256086449266689")</f>
        <v>https://twitter.com/naagencia/status/1654256086449266689</v>
      </c>
      <c r="AF3288" s="79">
        <v>45050.948611111111</v>
      </c>
      <c r="AG3288" s="85">
        <v>45050</v>
      </c>
      <c r="AH3288" s="80" t="s">
        <v>13490</v>
      </c>
      <c r="AI3288" s="77" t="b">
        <v>0</v>
      </c>
      <c r="AJ3288" s="77"/>
      <c r="AK3288" s="77"/>
      <c r="AL3288" s="77"/>
      <c r="AM3288" s="77"/>
      <c r="AN3288" s="77"/>
      <c r="AO3288" s="77"/>
      <c r="AP3288" s="77"/>
      <c r="AQ3288" s="77"/>
      <c r="AR3288" s="77"/>
      <c r="AS3288" s="77"/>
      <c r="AT3288" s="77"/>
      <c r="AU3288" s="77"/>
      <c r="AV3288" s="83" t="str">
        <f>HYPERLINK("https://pbs.twimg.com/profile_images/1625157086563733505/oHecU7XH_normal.jpg")</f>
        <v>https://pbs.twimg.com/profile_images/1625157086563733505/oHecU7XH_normal.jpg</v>
      </c>
      <c r="AW3288" s="80" t="s">
        <v>19024</v>
      </c>
      <c r="AX3288" s="80" t="s">
        <v>19024</v>
      </c>
      <c r="AY3288" s="77"/>
      <c r="AZ3288" s="80" t="s">
        <v>20380</v>
      </c>
      <c r="BA3288" s="80" t="s">
        <v>20380</v>
      </c>
      <c r="BB3288" s="80" t="s">
        <v>20380</v>
      </c>
      <c r="BC3288" s="80" t="s">
        <v>19024</v>
      </c>
      <c r="BD3288" s="77">
        <v>160609570</v>
      </c>
      <c r="BE3288" s="77"/>
      <c r="BF3288" s="77"/>
      <c r="BG3288" s="77"/>
      <c r="BH3288" s="77"/>
      <c r="BI3288" s="77"/>
    </row>
    <row r="3289" spans="1:61" x14ac:dyDescent="0.25">
      <c r="A3289" s="62" t="s">
        <v>1313</v>
      </c>
      <c r="B3289" s="62" t="s">
        <v>1313</v>
      </c>
      <c r="C3289" s="63"/>
      <c r="D3289" s="64"/>
      <c r="E3289" s="65"/>
      <c r="F3289" s="66"/>
      <c r="G3289" s="63"/>
      <c r="H3289" s="67"/>
      <c r="I3289" s="68"/>
      <c r="J3289" s="68"/>
      <c r="K3289" s="32"/>
      <c r="L3289" s="75">
        <v>3289</v>
      </c>
      <c r="M3289" s="75"/>
      <c r="N3289" s="70"/>
      <c r="O3289" s="77" t="s">
        <v>179</v>
      </c>
      <c r="P3289" s="79">
        <v>45182.972222222219</v>
      </c>
      <c r="Q3289" s="77" t="s">
        <v>4990</v>
      </c>
      <c r="R3289" s="77">
        <v>0</v>
      </c>
      <c r="S3289" s="77">
        <v>0</v>
      </c>
      <c r="T3289" s="77">
        <v>0</v>
      </c>
      <c r="U3289" s="77">
        <v>0</v>
      </c>
      <c r="V3289" s="77">
        <v>165</v>
      </c>
      <c r="W3289" s="80" t="s">
        <v>5884</v>
      </c>
      <c r="X3289" s="83" t="str">
        <f>HYPERLINK("https://noticiasargentinas.com/economia/el-banco-central-decide-si-sube-la-tasa-de-interes-de-plazos-fijos-tras-el-dato-alto-de-inflacion")</f>
        <v>https://noticiasargentinas.com/economia/el-banco-central-decide-si-sube-la-tasa-de-interes-de-plazos-fijos-tras-el-dato-alto-de-inflacion</v>
      </c>
      <c r="Y3289" s="77" t="s">
        <v>8828</v>
      </c>
      <c r="Z3289" s="77"/>
      <c r="AA3289" s="77"/>
      <c r="AB3289" s="77"/>
      <c r="AC3289" s="80" t="s">
        <v>10541</v>
      </c>
      <c r="AD3289" s="77" t="s">
        <v>10620</v>
      </c>
      <c r="AE3289" s="83" t="str">
        <f>HYPERLINK("https://twitter.com/naagencia/status/1702099841026028014")</f>
        <v>https://twitter.com/naagencia/status/1702099841026028014</v>
      </c>
      <c r="AF3289" s="79">
        <v>45182.972222222219</v>
      </c>
      <c r="AG3289" s="85">
        <v>45182</v>
      </c>
      <c r="AH3289" s="80" t="s">
        <v>13491</v>
      </c>
      <c r="AI3289" s="77" t="b">
        <v>0</v>
      </c>
      <c r="AJ3289" s="77"/>
      <c r="AK3289" s="77"/>
      <c r="AL3289" s="77"/>
      <c r="AM3289" s="77"/>
      <c r="AN3289" s="77"/>
      <c r="AO3289" s="77"/>
      <c r="AP3289" s="77"/>
      <c r="AQ3289" s="77"/>
      <c r="AR3289" s="77"/>
      <c r="AS3289" s="77"/>
      <c r="AT3289" s="77"/>
      <c r="AU3289" s="77"/>
      <c r="AV3289" s="83" t="str">
        <f>HYPERLINK("https://pbs.twimg.com/profile_images/1625157086563733505/oHecU7XH_normal.jpg")</f>
        <v>https://pbs.twimg.com/profile_images/1625157086563733505/oHecU7XH_normal.jpg</v>
      </c>
      <c r="AW3289" s="80" t="s">
        <v>19025</v>
      </c>
      <c r="AX3289" s="80" t="s">
        <v>19025</v>
      </c>
      <c r="AY3289" s="77"/>
      <c r="AZ3289" s="80" t="s">
        <v>20380</v>
      </c>
      <c r="BA3289" s="80" t="s">
        <v>20380</v>
      </c>
      <c r="BB3289" s="80" t="s">
        <v>20380</v>
      </c>
      <c r="BC3289" s="80" t="s">
        <v>19025</v>
      </c>
      <c r="BD3289" s="77">
        <v>160609570</v>
      </c>
      <c r="BE3289" s="77"/>
      <c r="BF3289" s="77"/>
      <c r="BG3289" s="77"/>
      <c r="BH3289" s="77"/>
      <c r="BI3289" s="77"/>
    </row>
    <row r="3290" spans="1:61" x14ac:dyDescent="0.25">
      <c r="A3290" s="62" t="s">
        <v>1313</v>
      </c>
      <c r="B3290" s="62" t="s">
        <v>1313</v>
      </c>
      <c r="C3290" s="63"/>
      <c r="D3290" s="64"/>
      <c r="E3290" s="65"/>
      <c r="F3290" s="66"/>
      <c r="G3290" s="63"/>
      <c r="H3290" s="67"/>
      <c r="I3290" s="68"/>
      <c r="J3290" s="68"/>
      <c r="K3290" s="32"/>
      <c r="L3290" s="75">
        <v>3290</v>
      </c>
      <c r="M3290" s="75"/>
      <c r="N3290" s="70"/>
      <c r="O3290" s="77" t="s">
        <v>179</v>
      </c>
      <c r="P3290" s="79">
        <v>45182.775671296295</v>
      </c>
      <c r="Q3290" s="77" t="s">
        <v>4991</v>
      </c>
      <c r="R3290" s="77">
        <v>3</v>
      </c>
      <c r="S3290" s="77">
        <v>0</v>
      </c>
      <c r="T3290" s="77">
        <v>0</v>
      </c>
      <c r="U3290" s="77">
        <v>0</v>
      </c>
      <c r="V3290" s="77">
        <v>206</v>
      </c>
      <c r="W3290" s="80" t="s">
        <v>5884</v>
      </c>
      <c r="X3290" s="83" t="str">
        <f>HYPERLINK("https://noticiasargentinas.com/economia/se-dispara-sin-freno-la-deuda-del-banco-central-y-bate-todos-los-records")</f>
        <v>https://noticiasargentinas.com/economia/se-dispara-sin-freno-la-deuda-del-banco-central-y-bate-todos-los-records</v>
      </c>
      <c r="Y3290" s="77" t="s">
        <v>8828</v>
      </c>
      <c r="Z3290" s="77"/>
      <c r="AA3290" s="77"/>
      <c r="AB3290" s="77"/>
      <c r="AC3290" s="80" t="s">
        <v>10541</v>
      </c>
      <c r="AD3290" s="77" t="s">
        <v>10620</v>
      </c>
      <c r="AE3290" s="83" t="str">
        <f>HYPERLINK("https://twitter.com/naagencia/status/1702028614152212602")</f>
        <v>https://twitter.com/naagencia/status/1702028614152212602</v>
      </c>
      <c r="AF3290" s="79">
        <v>45182.775671296295</v>
      </c>
      <c r="AG3290" s="85">
        <v>45182</v>
      </c>
      <c r="AH3290" s="80" t="s">
        <v>13492</v>
      </c>
      <c r="AI3290" s="77" t="b">
        <v>0</v>
      </c>
      <c r="AJ3290" s="77"/>
      <c r="AK3290" s="77"/>
      <c r="AL3290" s="77"/>
      <c r="AM3290" s="77"/>
      <c r="AN3290" s="77"/>
      <c r="AO3290" s="77"/>
      <c r="AP3290" s="77"/>
      <c r="AQ3290" s="77"/>
      <c r="AR3290" s="77"/>
      <c r="AS3290" s="77"/>
      <c r="AT3290" s="77"/>
      <c r="AU3290" s="77"/>
      <c r="AV3290" s="83" t="str">
        <f>HYPERLINK("https://pbs.twimg.com/profile_images/1625157086563733505/oHecU7XH_normal.jpg")</f>
        <v>https://pbs.twimg.com/profile_images/1625157086563733505/oHecU7XH_normal.jpg</v>
      </c>
      <c r="AW3290" s="80" t="s">
        <v>19026</v>
      </c>
      <c r="AX3290" s="80" t="s">
        <v>19026</v>
      </c>
      <c r="AY3290" s="77"/>
      <c r="AZ3290" s="80" t="s">
        <v>20380</v>
      </c>
      <c r="BA3290" s="80" t="s">
        <v>20380</v>
      </c>
      <c r="BB3290" s="80" t="s">
        <v>20380</v>
      </c>
      <c r="BC3290" s="80" t="s">
        <v>19026</v>
      </c>
      <c r="BD3290" s="77">
        <v>160609570</v>
      </c>
      <c r="BE3290" s="77"/>
      <c r="BF3290" s="77"/>
      <c r="BG3290" s="77"/>
      <c r="BH3290" s="77"/>
      <c r="BI3290" s="77"/>
    </row>
    <row r="3291" spans="1:61" x14ac:dyDescent="0.25">
      <c r="A3291" s="62" t="s">
        <v>1313</v>
      </c>
      <c r="B3291" s="62" t="s">
        <v>1313</v>
      </c>
      <c r="C3291" s="63"/>
      <c r="D3291" s="64"/>
      <c r="E3291" s="65"/>
      <c r="F3291" s="66"/>
      <c r="G3291" s="63"/>
      <c r="H3291" s="67"/>
      <c r="I3291" s="68"/>
      <c r="J3291" s="68"/>
      <c r="K3291" s="32"/>
      <c r="L3291" s="75">
        <v>3291</v>
      </c>
      <c r="M3291" s="75"/>
      <c r="N3291" s="70"/>
      <c r="O3291" s="77" t="s">
        <v>179</v>
      </c>
      <c r="P3291" s="79">
        <v>45128.940972222219</v>
      </c>
      <c r="Q3291" s="77" t="s">
        <v>4992</v>
      </c>
      <c r="R3291" s="77">
        <v>0</v>
      </c>
      <c r="S3291" s="77">
        <v>0</v>
      </c>
      <c r="T3291" s="77">
        <v>0</v>
      </c>
      <c r="U3291" s="77">
        <v>0</v>
      </c>
      <c r="V3291" s="77">
        <v>241</v>
      </c>
      <c r="W3291" s="80" t="s">
        <v>5884</v>
      </c>
      <c r="X3291" s="83" t="str">
        <f>HYPERLINK("https://noticiasargentinas.com/economia/se-acelera-la-perdida-de-reservas-del-banco-central")</f>
        <v>https://noticiasargentinas.com/economia/se-acelera-la-perdida-de-reservas-del-banco-central</v>
      </c>
      <c r="Y3291" s="77" t="s">
        <v>8828</v>
      </c>
      <c r="Z3291" s="77"/>
      <c r="AA3291" s="77"/>
      <c r="AB3291" s="77"/>
      <c r="AC3291" s="80" t="s">
        <v>10541</v>
      </c>
      <c r="AD3291" s="77" t="s">
        <v>10620</v>
      </c>
      <c r="AE3291" s="83" t="str">
        <f>HYPERLINK("https://twitter.com/naagencia/status/1682519571629211648")</f>
        <v>https://twitter.com/naagencia/status/1682519571629211648</v>
      </c>
      <c r="AF3291" s="79">
        <v>45128.940972222219</v>
      </c>
      <c r="AG3291" s="85">
        <v>45128</v>
      </c>
      <c r="AH3291" s="80" t="s">
        <v>13493</v>
      </c>
      <c r="AI3291" s="77" t="b">
        <v>0</v>
      </c>
      <c r="AJ3291" s="77"/>
      <c r="AK3291" s="77"/>
      <c r="AL3291" s="77"/>
      <c r="AM3291" s="77"/>
      <c r="AN3291" s="77"/>
      <c r="AO3291" s="77"/>
      <c r="AP3291" s="77"/>
      <c r="AQ3291" s="77"/>
      <c r="AR3291" s="77"/>
      <c r="AS3291" s="77"/>
      <c r="AT3291" s="77"/>
      <c r="AU3291" s="77"/>
      <c r="AV3291" s="83" t="str">
        <f>HYPERLINK("https://pbs.twimg.com/profile_images/1625157086563733505/oHecU7XH_normal.jpg")</f>
        <v>https://pbs.twimg.com/profile_images/1625157086563733505/oHecU7XH_normal.jpg</v>
      </c>
      <c r="AW3291" s="80" t="s">
        <v>19027</v>
      </c>
      <c r="AX3291" s="80" t="s">
        <v>19027</v>
      </c>
      <c r="AY3291" s="77"/>
      <c r="AZ3291" s="80" t="s">
        <v>20380</v>
      </c>
      <c r="BA3291" s="80" t="s">
        <v>20380</v>
      </c>
      <c r="BB3291" s="80" t="s">
        <v>20380</v>
      </c>
      <c r="BC3291" s="80" t="s">
        <v>19027</v>
      </c>
      <c r="BD3291" s="77">
        <v>160609570</v>
      </c>
      <c r="BE3291" s="77"/>
      <c r="BF3291" s="77"/>
      <c r="BG3291" s="77"/>
      <c r="BH3291" s="77"/>
      <c r="BI3291" s="77"/>
    </row>
    <row r="3292" spans="1:61" x14ac:dyDescent="0.25">
      <c r="A3292" s="62" t="s">
        <v>1313</v>
      </c>
      <c r="B3292" s="62" t="s">
        <v>1313</v>
      </c>
      <c r="C3292" s="63"/>
      <c r="D3292" s="64"/>
      <c r="E3292" s="65"/>
      <c r="F3292" s="66"/>
      <c r="G3292" s="63"/>
      <c r="H3292" s="67"/>
      <c r="I3292" s="68"/>
      <c r="J3292" s="68"/>
      <c r="K3292" s="32"/>
      <c r="L3292" s="75">
        <v>3292</v>
      </c>
      <c r="M3292" s="75"/>
      <c r="N3292" s="70"/>
      <c r="O3292" s="77" t="s">
        <v>179</v>
      </c>
      <c r="P3292" s="79">
        <v>45058.945138888892</v>
      </c>
      <c r="Q3292" s="77" t="s">
        <v>4993</v>
      </c>
      <c r="R3292" s="77">
        <v>0</v>
      </c>
      <c r="S3292" s="77">
        <v>0</v>
      </c>
      <c r="T3292" s="77">
        <v>0</v>
      </c>
      <c r="U3292" s="77">
        <v>0</v>
      </c>
      <c r="V3292" s="77">
        <v>240</v>
      </c>
      <c r="W3292" s="80" t="s">
        <v>5884</v>
      </c>
      <c r="X3292" s="83" t="str">
        <f>HYPERLINK("https://noticiasargentinas.com/economia/cepo-a-las-gift-cards-por-que-el-banco-central-decidio-limitar-su-uso")</f>
        <v>https://noticiasargentinas.com/economia/cepo-a-las-gift-cards-por-que-el-banco-central-decidio-limitar-su-uso</v>
      </c>
      <c r="Y3292" s="77" t="s">
        <v>8828</v>
      </c>
      <c r="Z3292" s="77"/>
      <c r="AA3292" s="77"/>
      <c r="AB3292" s="77"/>
      <c r="AC3292" s="80" t="s">
        <v>10541</v>
      </c>
      <c r="AD3292" s="77" t="s">
        <v>10620</v>
      </c>
      <c r="AE3292" s="83" t="str">
        <f>HYPERLINK("https://twitter.com/naagencia/status/1657153930915373056")</f>
        <v>https://twitter.com/naagencia/status/1657153930915373056</v>
      </c>
      <c r="AF3292" s="79">
        <v>45058.945138888892</v>
      </c>
      <c r="AG3292" s="85">
        <v>45058</v>
      </c>
      <c r="AH3292" s="80" t="s">
        <v>13494</v>
      </c>
      <c r="AI3292" s="77" t="b">
        <v>0</v>
      </c>
      <c r="AJ3292" s="77"/>
      <c r="AK3292" s="77"/>
      <c r="AL3292" s="77"/>
      <c r="AM3292" s="77"/>
      <c r="AN3292" s="77"/>
      <c r="AO3292" s="77"/>
      <c r="AP3292" s="77"/>
      <c r="AQ3292" s="77"/>
      <c r="AR3292" s="77"/>
      <c r="AS3292" s="77"/>
      <c r="AT3292" s="77"/>
      <c r="AU3292" s="77"/>
      <c r="AV3292" s="83" t="str">
        <f>HYPERLINK("https://pbs.twimg.com/profile_images/1625157086563733505/oHecU7XH_normal.jpg")</f>
        <v>https://pbs.twimg.com/profile_images/1625157086563733505/oHecU7XH_normal.jpg</v>
      </c>
      <c r="AW3292" s="80" t="s">
        <v>19028</v>
      </c>
      <c r="AX3292" s="80" t="s">
        <v>19028</v>
      </c>
      <c r="AY3292" s="77"/>
      <c r="AZ3292" s="80" t="s">
        <v>20380</v>
      </c>
      <c r="BA3292" s="80" t="s">
        <v>20380</v>
      </c>
      <c r="BB3292" s="80" t="s">
        <v>20380</v>
      </c>
      <c r="BC3292" s="80" t="s">
        <v>19028</v>
      </c>
      <c r="BD3292" s="77">
        <v>160609570</v>
      </c>
      <c r="BE3292" s="77"/>
      <c r="BF3292" s="77"/>
      <c r="BG3292" s="77"/>
      <c r="BH3292" s="77"/>
      <c r="BI3292" s="77"/>
    </row>
    <row r="3293" spans="1:61" x14ac:dyDescent="0.25">
      <c r="A3293" s="62" t="s">
        <v>1313</v>
      </c>
      <c r="B3293" s="62" t="s">
        <v>1810</v>
      </c>
      <c r="C3293" s="63"/>
      <c r="D3293" s="64"/>
      <c r="E3293" s="65"/>
      <c r="F3293" s="66"/>
      <c r="G3293" s="63"/>
      <c r="H3293" s="67"/>
      <c r="I3293" s="68"/>
      <c r="J3293" s="68"/>
      <c r="K3293" s="32"/>
      <c r="L3293" s="75">
        <v>3293</v>
      </c>
      <c r="M3293" s="75"/>
      <c r="N3293" s="70"/>
      <c r="O3293" s="77" t="s">
        <v>2081</v>
      </c>
      <c r="P3293" s="79">
        <v>45191.814375000002</v>
      </c>
      <c r="Q3293" s="77" t="s">
        <v>4994</v>
      </c>
      <c r="R3293" s="77">
        <v>0</v>
      </c>
      <c r="S3293" s="77">
        <v>0</v>
      </c>
      <c r="T3293" s="77">
        <v>1</v>
      </c>
      <c r="U3293" s="77">
        <v>0</v>
      </c>
      <c r="V3293" s="77">
        <v>208</v>
      </c>
      <c r="W3293" s="80" t="s">
        <v>5884</v>
      </c>
      <c r="X3293" s="83" t="str">
        <f>HYPERLINK("https://noticiasargentinas.com/politica/milei-anuncio-quien-sera-el-presidente-del-banco-central-si-gana-las-elecciones")</f>
        <v>https://noticiasargentinas.com/politica/milei-anuncio-quien-sera-el-presidente-del-banco-central-si-gana-las-elecciones</v>
      </c>
      <c r="Y3293" s="77" t="s">
        <v>8828</v>
      </c>
      <c r="Z3293" s="77" t="s">
        <v>1810</v>
      </c>
      <c r="AA3293" s="77"/>
      <c r="AB3293" s="77"/>
      <c r="AC3293" s="80" t="s">
        <v>10541</v>
      </c>
      <c r="AD3293" s="77" t="s">
        <v>10620</v>
      </c>
      <c r="AE3293" s="83" t="str">
        <f>HYPERLINK("https://twitter.com/naagencia/status/1705304129495568431")</f>
        <v>https://twitter.com/naagencia/status/1705304129495568431</v>
      </c>
      <c r="AF3293" s="79">
        <v>45191.814375000002</v>
      </c>
      <c r="AG3293" s="85">
        <v>45191</v>
      </c>
      <c r="AH3293" s="80" t="s">
        <v>13495</v>
      </c>
      <c r="AI3293" s="77" t="b">
        <v>0</v>
      </c>
      <c r="AJ3293" s="77"/>
      <c r="AK3293" s="77"/>
      <c r="AL3293" s="77"/>
      <c r="AM3293" s="77"/>
      <c r="AN3293" s="77"/>
      <c r="AO3293" s="77"/>
      <c r="AP3293" s="77"/>
      <c r="AQ3293" s="77"/>
      <c r="AR3293" s="77"/>
      <c r="AS3293" s="77"/>
      <c r="AT3293" s="77"/>
      <c r="AU3293" s="77"/>
      <c r="AV3293" s="83" t="str">
        <f>HYPERLINK("https://pbs.twimg.com/profile_images/1625157086563733505/oHecU7XH_normal.jpg")</f>
        <v>https://pbs.twimg.com/profile_images/1625157086563733505/oHecU7XH_normal.jpg</v>
      </c>
      <c r="AW3293" s="80" t="s">
        <v>19029</v>
      </c>
      <c r="AX3293" s="80" t="s">
        <v>19029</v>
      </c>
      <c r="AY3293" s="77"/>
      <c r="AZ3293" s="80" t="s">
        <v>20380</v>
      </c>
      <c r="BA3293" s="80" t="s">
        <v>20380</v>
      </c>
      <c r="BB3293" s="80" t="s">
        <v>20380</v>
      </c>
      <c r="BC3293" s="80" t="s">
        <v>19029</v>
      </c>
      <c r="BD3293" s="77">
        <v>160609570</v>
      </c>
      <c r="BE3293" s="77"/>
      <c r="BF3293" s="77"/>
      <c r="BG3293" s="77"/>
      <c r="BH3293" s="77"/>
      <c r="BI3293" s="77"/>
    </row>
    <row r="3294" spans="1:61" x14ac:dyDescent="0.25">
      <c r="A3294" s="62" t="s">
        <v>1313</v>
      </c>
      <c r="B3294" s="62" t="s">
        <v>1313</v>
      </c>
      <c r="C3294" s="63"/>
      <c r="D3294" s="64"/>
      <c r="E3294" s="65"/>
      <c r="F3294" s="66"/>
      <c r="G3294" s="63"/>
      <c r="H3294" s="67"/>
      <c r="I3294" s="68"/>
      <c r="J3294" s="68"/>
      <c r="K3294" s="32"/>
      <c r="L3294" s="75">
        <v>3294</v>
      </c>
      <c r="M3294" s="75"/>
      <c r="N3294" s="70"/>
      <c r="O3294" s="77" t="s">
        <v>179</v>
      </c>
      <c r="P3294" s="79">
        <v>45177.055555555555</v>
      </c>
      <c r="Q3294" s="77" t="s">
        <v>4995</v>
      </c>
      <c r="R3294" s="77">
        <v>1</v>
      </c>
      <c r="S3294" s="77">
        <v>0</v>
      </c>
      <c r="T3294" s="77">
        <v>0</v>
      </c>
      <c r="U3294" s="77">
        <v>0</v>
      </c>
      <c r="V3294" s="77">
        <v>196</v>
      </c>
      <c r="W3294" s="80" t="s">
        <v>5884</v>
      </c>
      <c r="X3294" s="83" t="str">
        <f>HYPERLINK("https://noticiasargentinas.com/economia/el-banco-central-sale-a-frenar-una-maniobra-con-el-contado-con-liqui")</f>
        <v>https://noticiasargentinas.com/economia/el-banco-central-sale-a-frenar-una-maniobra-con-el-contado-con-liqui</v>
      </c>
      <c r="Y3294" s="77" t="s">
        <v>8828</v>
      </c>
      <c r="Z3294" s="77"/>
      <c r="AA3294" s="77"/>
      <c r="AB3294" s="77"/>
      <c r="AC3294" s="80" t="s">
        <v>10541</v>
      </c>
      <c r="AD3294" s="77" t="s">
        <v>10620</v>
      </c>
      <c r="AE3294" s="83" t="str">
        <f>HYPERLINK("https://twitter.com/naagencia/status/1699955712728723729")</f>
        <v>https://twitter.com/naagencia/status/1699955712728723729</v>
      </c>
      <c r="AF3294" s="79">
        <v>45177.055555555555</v>
      </c>
      <c r="AG3294" s="85">
        <v>45177</v>
      </c>
      <c r="AH3294" s="80" t="s">
        <v>13496</v>
      </c>
      <c r="AI3294" s="77" t="b">
        <v>0</v>
      </c>
      <c r="AJ3294" s="77"/>
      <c r="AK3294" s="77"/>
      <c r="AL3294" s="77"/>
      <c r="AM3294" s="77"/>
      <c r="AN3294" s="77"/>
      <c r="AO3294" s="77"/>
      <c r="AP3294" s="77"/>
      <c r="AQ3294" s="77"/>
      <c r="AR3294" s="77"/>
      <c r="AS3294" s="77"/>
      <c r="AT3294" s="77"/>
      <c r="AU3294" s="77"/>
      <c r="AV3294" s="83" t="str">
        <f>HYPERLINK("https://pbs.twimg.com/profile_images/1625157086563733505/oHecU7XH_normal.jpg")</f>
        <v>https://pbs.twimg.com/profile_images/1625157086563733505/oHecU7XH_normal.jpg</v>
      </c>
      <c r="AW3294" s="80" t="s">
        <v>19030</v>
      </c>
      <c r="AX3294" s="80" t="s">
        <v>19030</v>
      </c>
      <c r="AY3294" s="77"/>
      <c r="AZ3294" s="80" t="s">
        <v>20380</v>
      </c>
      <c r="BA3294" s="80" t="s">
        <v>20380</v>
      </c>
      <c r="BB3294" s="80" t="s">
        <v>20380</v>
      </c>
      <c r="BC3294" s="80" t="s">
        <v>19030</v>
      </c>
      <c r="BD3294" s="77">
        <v>160609570</v>
      </c>
      <c r="BE3294" s="77"/>
      <c r="BF3294" s="77"/>
      <c r="BG3294" s="77"/>
      <c r="BH3294" s="77"/>
      <c r="BI3294" s="77"/>
    </row>
    <row r="3295" spans="1:61" x14ac:dyDescent="0.25">
      <c r="A3295" s="62" t="s">
        <v>1313</v>
      </c>
      <c r="B3295" s="62" t="s">
        <v>1313</v>
      </c>
      <c r="C3295" s="63"/>
      <c r="D3295" s="64"/>
      <c r="E3295" s="65"/>
      <c r="F3295" s="66"/>
      <c r="G3295" s="63"/>
      <c r="H3295" s="67"/>
      <c r="I3295" s="68"/>
      <c r="J3295" s="68"/>
      <c r="K3295" s="32"/>
      <c r="L3295" s="75">
        <v>3295</v>
      </c>
      <c r="M3295" s="75"/>
      <c r="N3295" s="70"/>
      <c r="O3295" s="77" t="s">
        <v>179</v>
      </c>
      <c r="P3295" s="79">
        <v>45167.951388888891</v>
      </c>
      <c r="Q3295" s="77" t="s">
        <v>4996</v>
      </c>
      <c r="R3295" s="77">
        <v>0</v>
      </c>
      <c r="S3295" s="77">
        <v>1</v>
      </c>
      <c r="T3295" s="77">
        <v>0</v>
      </c>
      <c r="U3295" s="77">
        <v>0</v>
      </c>
      <c r="V3295" s="77">
        <v>175</v>
      </c>
      <c r="W3295" s="80" t="s">
        <v>7931</v>
      </c>
      <c r="X3295" s="83" t="str">
        <f>HYPERLINK("https://noticiasargentinas.com/economia/empieza-a-discutirse-en-latinoamerica-el-lanzamiento-de-monedas-digitales-por-parte-de-los-bancos-centrales-y-argentina")</f>
        <v>https://noticiasargentinas.com/economia/empieza-a-discutirse-en-latinoamerica-el-lanzamiento-de-monedas-digitales-por-parte-de-los-bancos-centrales-y-argentina</v>
      </c>
      <c r="Y3295" s="77" t="s">
        <v>8828</v>
      </c>
      <c r="Z3295" s="77"/>
      <c r="AA3295" s="77"/>
      <c r="AB3295" s="77"/>
      <c r="AC3295" s="80" t="s">
        <v>10541</v>
      </c>
      <c r="AD3295" s="77" t="s">
        <v>10620</v>
      </c>
      <c r="AE3295" s="83" t="str">
        <f>HYPERLINK("https://twitter.com/naagencia/status/1696656473156116891")</f>
        <v>https://twitter.com/naagencia/status/1696656473156116891</v>
      </c>
      <c r="AF3295" s="79">
        <v>45167.951388888891</v>
      </c>
      <c r="AG3295" s="85">
        <v>45167</v>
      </c>
      <c r="AH3295" s="80" t="s">
        <v>13497</v>
      </c>
      <c r="AI3295" s="77" t="b">
        <v>0</v>
      </c>
      <c r="AJ3295" s="77"/>
      <c r="AK3295" s="77"/>
      <c r="AL3295" s="77"/>
      <c r="AM3295" s="77"/>
      <c r="AN3295" s="77"/>
      <c r="AO3295" s="77"/>
      <c r="AP3295" s="77"/>
      <c r="AQ3295" s="77"/>
      <c r="AR3295" s="77"/>
      <c r="AS3295" s="77"/>
      <c r="AT3295" s="77"/>
      <c r="AU3295" s="77"/>
      <c r="AV3295" s="83" t="str">
        <f>HYPERLINK("https://pbs.twimg.com/profile_images/1625157086563733505/oHecU7XH_normal.jpg")</f>
        <v>https://pbs.twimg.com/profile_images/1625157086563733505/oHecU7XH_normal.jpg</v>
      </c>
      <c r="AW3295" s="80" t="s">
        <v>19031</v>
      </c>
      <c r="AX3295" s="80" t="s">
        <v>19031</v>
      </c>
      <c r="AY3295" s="77"/>
      <c r="AZ3295" s="80" t="s">
        <v>20380</v>
      </c>
      <c r="BA3295" s="80" t="s">
        <v>20380</v>
      </c>
      <c r="BB3295" s="80" t="s">
        <v>20380</v>
      </c>
      <c r="BC3295" s="80" t="s">
        <v>19031</v>
      </c>
      <c r="BD3295" s="77">
        <v>160609570</v>
      </c>
      <c r="BE3295" s="77"/>
      <c r="BF3295" s="77"/>
      <c r="BG3295" s="77"/>
      <c r="BH3295" s="77"/>
      <c r="BI3295" s="77"/>
    </row>
    <row r="3296" spans="1:61" x14ac:dyDescent="0.25">
      <c r="A3296" s="62" t="s">
        <v>1313</v>
      </c>
      <c r="B3296" s="62" t="s">
        <v>1313</v>
      </c>
      <c r="C3296" s="63"/>
      <c r="D3296" s="64"/>
      <c r="E3296" s="65"/>
      <c r="F3296" s="66"/>
      <c r="G3296" s="63"/>
      <c r="H3296" s="67"/>
      <c r="I3296" s="68"/>
      <c r="J3296" s="68"/>
      <c r="K3296" s="32"/>
      <c r="L3296" s="75">
        <v>3296</v>
      </c>
      <c r="M3296" s="75"/>
      <c r="N3296" s="70"/>
      <c r="O3296" s="77" t="s">
        <v>179</v>
      </c>
      <c r="P3296" s="79">
        <v>45153.57371527778</v>
      </c>
      <c r="Q3296" s="77" t="s">
        <v>4997</v>
      </c>
      <c r="R3296" s="77">
        <v>0</v>
      </c>
      <c r="S3296" s="77">
        <v>1</v>
      </c>
      <c r="T3296" s="77">
        <v>0</v>
      </c>
      <c r="U3296" s="77">
        <v>0</v>
      </c>
      <c r="V3296" s="77">
        <v>192</v>
      </c>
      <c r="W3296" s="80" t="s">
        <v>5884</v>
      </c>
      <c r="X3296" s="83" t="str">
        <f>HYPERLINK("https://noticiasargentinas.com/economia/artana-advirtio-que-al-banco-central-ya-no-le-queda-mucho-poder-de-fuego-para-contener-al-dolar")</f>
        <v>https://noticiasargentinas.com/economia/artana-advirtio-que-al-banco-central-ya-no-le-queda-mucho-poder-de-fuego-para-contener-al-dolar</v>
      </c>
      <c r="Y3296" s="77" t="s">
        <v>8828</v>
      </c>
      <c r="Z3296" s="77"/>
      <c r="AA3296" s="77"/>
      <c r="AB3296" s="77"/>
      <c r="AC3296" s="80" t="s">
        <v>10541</v>
      </c>
      <c r="AD3296" s="77" t="s">
        <v>10620</v>
      </c>
      <c r="AE3296" s="83" t="str">
        <f>HYPERLINK("https://twitter.com/naagencia/status/1691446180948156417")</f>
        <v>https://twitter.com/naagencia/status/1691446180948156417</v>
      </c>
      <c r="AF3296" s="79">
        <v>45153.57371527778</v>
      </c>
      <c r="AG3296" s="85">
        <v>45153</v>
      </c>
      <c r="AH3296" s="80" t="s">
        <v>13498</v>
      </c>
      <c r="AI3296" s="77" t="b">
        <v>0</v>
      </c>
      <c r="AJ3296" s="77"/>
      <c r="AK3296" s="77"/>
      <c r="AL3296" s="77"/>
      <c r="AM3296" s="77"/>
      <c r="AN3296" s="77"/>
      <c r="AO3296" s="77"/>
      <c r="AP3296" s="77"/>
      <c r="AQ3296" s="77"/>
      <c r="AR3296" s="77"/>
      <c r="AS3296" s="77"/>
      <c r="AT3296" s="77"/>
      <c r="AU3296" s="77"/>
      <c r="AV3296" s="83" t="str">
        <f>HYPERLINK("https://pbs.twimg.com/profile_images/1625157086563733505/oHecU7XH_normal.jpg")</f>
        <v>https://pbs.twimg.com/profile_images/1625157086563733505/oHecU7XH_normal.jpg</v>
      </c>
      <c r="AW3296" s="80" t="s">
        <v>19032</v>
      </c>
      <c r="AX3296" s="80" t="s">
        <v>19032</v>
      </c>
      <c r="AY3296" s="77"/>
      <c r="AZ3296" s="80" t="s">
        <v>20380</v>
      </c>
      <c r="BA3296" s="80" t="s">
        <v>20380</v>
      </c>
      <c r="BB3296" s="80" t="s">
        <v>20380</v>
      </c>
      <c r="BC3296" s="80" t="s">
        <v>19032</v>
      </c>
      <c r="BD3296" s="77">
        <v>160609570</v>
      </c>
      <c r="BE3296" s="77"/>
      <c r="BF3296" s="77"/>
      <c r="BG3296" s="77"/>
      <c r="BH3296" s="77"/>
      <c r="BI3296" s="77"/>
    </row>
    <row r="3297" spans="1:61" x14ac:dyDescent="0.25">
      <c r="A3297" s="62" t="s">
        <v>1313</v>
      </c>
      <c r="B3297" s="62" t="s">
        <v>1313</v>
      </c>
      <c r="C3297" s="63"/>
      <c r="D3297" s="64"/>
      <c r="E3297" s="65"/>
      <c r="F3297" s="66"/>
      <c r="G3297" s="63"/>
      <c r="H3297" s="67"/>
      <c r="I3297" s="68"/>
      <c r="J3297" s="68"/>
      <c r="K3297" s="32"/>
      <c r="L3297" s="75">
        <v>3297</v>
      </c>
      <c r="M3297" s="75"/>
      <c r="N3297" s="70"/>
      <c r="O3297" s="77" t="s">
        <v>179</v>
      </c>
      <c r="P3297" s="79">
        <v>45135.875011574077</v>
      </c>
      <c r="Q3297" s="77" t="s">
        <v>4998</v>
      </c>
      <c r="R3297" s="77">
        <v>0</v>
      </c>
      <c r="S3297" s="77">
        <v>0</v>
      </c>
      <c r="T3297" s="77">
        <v>1</v>
      </c>
      <c r="U3297" s="77">
        <v>0</v>
      </c>
      <c r="V3297" s="77">
        <v>219</v>
      </c>
      <c r="W3297" s="80" t="s">
        <v>7932</v>
      </c>
      <c r="X3297" s="83" t="str">
        <f>HYPERLINK("https://noticiasargentinas.com/economia/bajo-el-dolar-blue-y-el-banco-central-siguio-comprando-divisas-tras-el-anuncio-de-acuerdo-con-el-fondo")</f>
        <v>https://noticiasargentinas.com/economia/bajo-el-dolar-blue-y-el-banco-central-siguio-comprando-divisas-tras-el-anuncio-de-acuerdo-con-el-fondo</v>
      </c>
      <c r="Y3297" s="77" t="s">
        <v>8828</v>
      </c>
      <c r="Z3297" s="77"/>
      <c r="AA3297" s="77"/>
      <c r="AB3297" s="77"/>
      <c r="AC3297" s="80" t="s">
        <v>10541</v>
      </c>
      <c r="AD3297" s="77" t="s">
        <v>10620</v>
      </c>
      <c r="AE3297" s="83" t="str">
        <f>HYPERLINK("https://twitter.com/naagencia/status/1685032382519468033")</f>
        <v>https://twitter.com/naagencia/status/1685032382519468033</v>
      </c>
      <c r="AF3297" s="79">
        <v>45135.875011574077</v>
      </c>
      <c r="AG3297" s="85">
        <v>45135</v>
      </c>
      <c r="AH3297" s="80" t="s">
        <v>13499</v>
      </c>
      <c r="AI3297" s="77" t="b">
        <v>0</v>
      </c>
      <c r="AJ3297" s="77"/>
      <c r="AK3297" s="77"/>
      <c r="AL3297" s="77"/>
      <c r="AM3297" s="77"/>
      <c r="AN3297" s="77"/>
      <c r="AO3297" s="77"/>
      <c r="AP3297" s="77"/>
      <c r="AQ3297" s="77"/>
      <c r="AR3297" s="77"/>
      <c r="AS3297" s="77"/>
      <c r="AT3297" s="77"/>
      <c r="AU3297" s="77"/>
      <c r="AV3297" s="83" t="str">
        <f>HYPERLINK("https://pbs.twimg.com/profile_images/1625157086563733505/oHecU7XH_normal.jpg")</f>
        <v>https://pbs.twimg.com/profile_images/1625157086563733505/oHecU7XH_normal.jpg</v>
      </c>
      <c r="AW3297" s="80" t="s">
        <v>19033</v>
      </c>
      <c r="AX3297" s="80" t="s">
        <v>19033</v>
      </c>
      <c r="AY3297" s="77"/>
      <c r="AZ3297" s="80" t="s">
        <v>20380</v>
      </c>
      <c r="BA3297" s="80" t="s">
        <v>20380</v>
      </c>
      <c r="BB3297" s="80" t="s">
        <v>20380</v>
      </c>
      <c r="BC3297" s="80" t="s">
        <v>19033</v>
      </c>
      <c r="BD3297" s="77">
        <v>160609570</v>
      </c>
      <c r="BE3297" s="77"/>
      <c r="BF3297" s="77"/>
      <c r="BG3297" s="77"/>
      <c r="BH3297" s="77"/>
      <c r="BI3297" s="77"/>
    </row>
    <row r="3298" spans="1:61" x14ac:dyDescent="0.25">
      <c r="A3298" s="62" t="s">
        <v>1313</v>
      </c>
      <c r="B3298" s="62" t="s">
        <v>1313</v>
      </c>
      <c r="C3298" s="63"/>
      <c r="D3298" s="64"/>
      <c r="E3298" s="65"/>
      <c r="F3298" s="66"/>
      <c r="G3298" s="63"/>
      <c r="H3298" s="67"/>
      <c r="I3298" s="68"/>
      <c r="J3298" s="68"/>
      <c r="K3298" s="32"/>
      <c r="L3298" s="75">
        <v>3298</v>
      </c>
      <c r="M3298" s="75"/>
      <c r="N3298" s="70"/>
      <c r="O3298" s="77" t="s">
        <v>179</v>
      </c>
      <c r="P3298" s="79">
        <v>45107.936805555553</v>
      </c>
      <c r="Q3298" s="77" t="s">
        <v>4999</v>
      </c>
      <c r="R3298" s="77">
        <v>1</v>
      </c>
      <c r="S3298" s="77">
        <v>1</v>
      </c>
      <c r="T3298" s="77">
        <v>0</v>
      </c>
      <c r="U3298" s="77">
        <v>0</v>
      </c>
      <c r="V3298" s="77">
        <v>226</v>
      </c>
      <c r="W3298" s="80" t="s">
        <v>7155</v>
      </c>
      <c r="X3298" s="83" t="str">
        <f>HYPERLINK("https://noticiasargentinas.com/economia/las-reservas-del-banco-central-cayeron-en-us-2-851-millones-tras-el-pago-al-fmi")</f>
        <v>https://noticiasargentinas.com/economia/las-reservas-del-banco-central-cayeron-en-us-2-851-millones-tras-el-pago-al-fmi</v>
      </c>
      <c r="Y3298" s="77" t="s">
        <v>8828</v>
      </c>
      <c r="Z3298" s="77"/>
      <c r="AA3298" s="77"/>
      <c r="AB3298" s="77"/>
      <c r="AC3298" s="80" t="s">
        <v>10541</v>
      </c>
      <c r="AD3298" s="77" t="s">
        <v>10620</v>
      </c>
      <c r="AE3298" s="83" t="str">
        <f>HYPERLINK("https://twitter.com/naagencia/status/1674907916434915329")</f>
        <v>https://twitter.com/naagencia/status/1674907916434915329</v>
      </c>
      <c r="AF3298" s="79">
        <v>45107.936805555553</v>
      </c>
      <c r="AG3298" s="85">
        <v>45107</v>
      </c>
      <c r="AH3298" s="80" t="s">
        <v>13500</v>
      </c>
      <c r="AI3298" s="77" t="b">
        <v>0</v>
      </c>
      <c r="AJ3298" s="77"/>
      <c r="AK3298" s="77"/>
      <c r="AL3298" s="77"/>
      <c r="AM3298" s="77"/>
      <c r="AN3298" s="77"/>
      <c r="AO3298" s="77"/>
      <c r="AP3298" s="77"/>
      <c r="AQ3298" s="77"/>
      <c r="AR3298" s="77"/>
      <c r="AS3298" s="77"/>
      <c r="AT3298" s="77"/>
      <c r="AU3298" s="77"/>
      <c r="AV3298" s="83" t="str">
        <f>HYPERLINK("https://pbs.twimg.com/profile_images/1625157086563733505/oHecU7XH_normal.jpg")</f>
        <v>https://pbs.twimg.com/profile_images/1625157086563733505/oHecU7XH_normal.jpg</v>
      </c>
      <c r="AW3298" s="80" t="s">
        <v>19034</v>
      </c>
      <c r="AX3298" s="80" t="s">
        <v>19034</v>
      </c>
      <c r="AY3298" s="77"/>
      <c r="AZ3298" s="80" t="s">
        <v>20380</v>
      </c>
      <c r="BA3298" s="80" t="s">
        <v>20380</v>
      </c>
      <c r="BB3298" s="80" t="s">
        <v>20380</v>
      </c>
      <c r="BC3298" s="80" t="s">
        <v>19034</v>
      </c>
      <c r="BD3298" s="77">
        <v>160609570</v>
      </c>
      <c r="BE3298" s="77"/>
      <c r="BF3298" s="77"/>
      <c r="BG3298" s="77"/>
      <c r="BH3298" s="77"/>
      <c r="BI3298" s="77"/>
    </row>
    <row r="3299" spans="1:61" x14ac:dyDescent="0.25">
      <c r="A3299" s="62" t="s">
        <v>1313</v>
      </c>
      <c r="B3299" s="62" t="s">
        <v>1313</v>
      </c>
      <c r="C3299" s="63"/>
      <c r="D3299" s="64"/>
      <c r="E3299" s="65"/>
      <c r="F3299" s="66"/>
      <c r="G3299" s="63"/>
      <c r="H3299" s="67"/>
      <c r="I3299" s="68"/>
      <c r="J3299" s="68"/>
      <c r="K3299" s="32"/>
      <c r="L3299" s="75">
        <v>3299</v>
      </c>
      <c r="M3299" s="75"/>
      <c r="N3299" s="70"/>
      <c r="O3299" s="77" t="s">
        <v>179</v>
      </c>
      <c r="P3299" s="79">
        <v>45061.880659722221</v>
      </c>
      <c r="Q3299" s="77" t="s">
        <v>5000</v>
      </c>
      <c r="R3299" s="77">
        <v>0</v>
      </c>
      <c r="S3299" s="77">
        <v>0</v>
      </c>
      <c r="T3299" s="77">
        <v>0</v>
      </c>
      <c r="U3299" s="77">
        <v>0</v>
      </c>
      <c r="V3299" s="77">
        <v>226</v>
      </c>
      <c r="W3299" s="80" t="s">
        <v>5884</v>
      </c>
      <c r="X3299" s="83" t="str">
        <f>HYPERLINK("https://noticiasargentinas.com/economia/en-la-primera-jornada-tras-las-nuevas-medidas-economicas-el-banco-central-compro-us-60-millones")</f>
        <v>https://noticiasargentinas.com/economia/en-la-primera-jornada-tras-las-nuevas-medidas-economicas-el-banco-central-compro-us-60-millones</v>
      </c>
      <c r="Y3299" s="77" t="s">
        <v>8828</v>
      </c>
      <c r="Z3299" s="77"/>
      <c r="AA3299" s="77"/>
      <c r="AB3299" s="77"/>
      <c r="AC3299" s="80" t="s">
        <v>10541</v>
      </c>
      <c r="AD3299" s="77" t="s">
        <v>10620</v>
      </c>
      <c r="AE3299" s="83" t="str">
        <f>HYPERLINK("https://twitter.com/naagencia/status/1658217727750709251")</f>
        <v>https://twitter.com/naagencia/status/1658217727750709251</v>
      </c>
      <c r="AF3299" s="79">
        <v>45061.880659722221</v>
      </c>
      <c r="AG3299" s="85">
        <v>45061</v>
      </c>
      <c r="AH3299" s="80" t="s">
        <v>13501</v>
      </c>
      <c r="AI3299" s="77" t="b">
        <v>0</v>
      </c>
      <c r="AJ3299" s="77"/>
      <c r="AK3299" s="77"/>
      <c r="AL3299" s="77"/>
      <c r="AM3299" s="77"/>
      <c r="AN3299" s="77"/>
      <c r="AO3299" s="77"/>
      <c r="AP3299" s="77"/>
      <c r="AQ3299" s="77"/>
      <c r="AR3299" s="77"/>
      <c r="AS3299" s="77"/>
      <c r="AT3299" s="77"/>
      <c r="AU3299" s="77"/>
      <c r="AV3299" s="83" t="str">
        <f>HYPERLINK("https://pbs.twimg.com/profile_images/1625157086563733505/oHecU7XH_normal.jpg")</f>
        <v>https://pbs.twimg.com/profile_images/1625157086563733505/oHecU7XH_normal.jpg</v>
      </c>
      <c r="AW3299" s="80" t="s">
        <v>19035</v>
      </c>
      <c r="AX3299" s="80" t="s">
        <v>19035</v>
      </c>
      <c r="AY3299" s="77"/>
      <c r="AZ3299" s="80" t="s">
        <v>20380</v>
      </c>
      <c r="BA3299" s="80" t="s">
        <v>20380</v>
      </c>
      <c r="BB3299" s="80" t="s">
        <v>20380</v>
      </c>
      <c r="BC3299" s="80" t="s">
        <v>19035</v>
      </c>
      <c r="BD3299" s="77">
        <v>160609570</v>
      </c>
      <c r="BE3299" s="77"/>
      <c r="BF3299" s="77"/>
      <c r="BG3299" s="77"/>
      <c r="BH3299" s="77"/>
      <c r="BI3299" s="77"/>
    </row>
    <row r="3300" spans="1:61" x14ac:dyDescent="0.25">
      <c r="A3300" s="62" t="s">
        <v>1313</v>
      </c>
      <c r="B3300" s="62" t="s">
        <v>1313</v>
      </c>
      <c r="C3300" s="63"/>
      <c r="D3300" s="64"/>
      <c r="E3300" s="65"/>
      <c r="F3300" s="66"/>
      <c r="G3300" s="63"/>
      <c r="H3300" s="67"/>
      <c r="I3300" s="68"/>
      <c r="J3300" s="68"/>
      <c r="K3300" s="32"/>
      <c r="L3300" s="75">
        <v>3300</v>
      </c>
      <c r="M3300" s="75"/>
      <c r="N3300" s="70"/>
      <c r="O3300" s="77" t="s">
        <v>179</v>
      </c>
      <c r="P3300" s="79">
        <v>45051.910370370373</v>
      </c>
      <c r="Q3300" s="77" t="s">
        <v>5001</v>
      </c>
      <c r="R3300" s="77">
        <v>2</v>
      </c>
      <c r="S3300" s="77">
        <v>0</v>
      </c>
      <c r="T3300" s="77">
        <v>0</v>
      </c>
      <c r="U3300" s="77">
        <v>2</v>
      </c>
      <c r="V3300" s="77">
        <v>276</v>
      </c>
      <c r="W3300" s="80" t="s">
        <v>5884</v>
      </c>
      <c r="X3300" s="83" t="str">
        <f>HYPERLINK("https://noticiasargentinas.com/economia/relevamiento-del-bcra-proyecta-inflacion-del-7-5-en-abril-y-la-sube-a-126-4-para-el-ano-202305052129")</f>
        <v>https://noticiasargentinas.com/economia/relevamiento-del-bcra-proyecta-inflacion-del-7-5-en-abril-y-la-sube-a-126-4-para-el-ano-202305052129</v>
      </c>
      <c r="Y3300" s="77" t="s">
        <v>8828</v>
      </c>
      <c r="Z3300" s="77"/>
      <c r="AA3300" s="77"/>
      <c r="AB3300" s="77"/>
      <c r="AC3300" s="80" t="s">
        <v>10541</v>
      </c>
      <c r="AD3300" s="77" t="s">
        <v>10620</v>
      </c>
      <c r="AE3300" s="83" t="str">
        <f>HYPERLINK("https://twitter.com/naagencia/status/1654604618175860738")</f>
        <v>https://twitter.com/naagencia/status/1654604618175860738</v>
      </c>
      <c r="AF3300" s="79">
        <v>45051.910370370373</v>
      </c>
      <c r="AG3300" s="85">
        <v>45051</v>
      </c>
      <c r="AH3300" s="80" t="s">
        <v>13502</v>
      </c>
      <c r="AI3300" s="77" t="b">
        <v>0</v>
      </c>
      <c r="AJ3300" s="77"/>
      <c r="AK3300" s="77"/>
      <c r="AL3300" s="77"/>
      <c r="AM3300" s="77"/>
      <c r="AN3300" s="77"/>
      <c r="AO3300" s="77"/>
      <c r="AP3300" s="77"/>
      <c r="AQ3300" s="77"/>
      <c r="AR3300" s="77"/>
      <c r="AS3300" s="77"/>
      <c r="AT3300" s="77"/>
      <c r="AU3300" s="77"/>
      <c r="AV3300" s="83" t="str">
        <f>HYPERLINK("https://pbs.twimg.com/profile_images/1625157086563733505/oHecU7XH_normal.jpg")</f>
        <v>https://pbs.twimg.com/profile_images/1625157086563733505/oHecU7XH_normal.jpg</v>
      </c>
      <c r="AW3300" s="80" t="s">
        <v>19036</v>
      </c>
      <c r="AX3300" s="80" t="s">
        <v>19036</v>
      </c>
      <c r="AY3300" s="77"/>
      <c r="AZ3300" s="80" t="s">
        <v>20380</v>
      </c>
      <c r="BA3300" s="80" t="s">
        <v>20380</v>
      </c>
      <c r="BB3300" s="80" t="s">
        <v>20380</v>
      </c>
      <c r="BC3300" s="80" t="s">
        <v>19036</v>
      </c>
      <c r="BD3300" s="77">
        <v>160609570</v>
      </c>
      <c r="BE3300" s="77"/>
      <c r="BF3300" s="77"/>
      <c r="BG3300" s="77"/>
      <c r="BH3300" s="77"/>
      <c r="BI3300" s="77"/>
    </row>
    <row r="3301" spans="1:61" x14ac:dyDescent="0.25">
      <c r="A3301" s="62" t="s">
        <v>1313</v>
      </c>
      <c r="B3301" s="62" t="s">
        <v>1313</v>
      </c>
      <c r="C3301" s="63"/>
      <c r="D3301" s="64"/>
      <c r="E3301" s="65"/>
      <c r="F3301" s="66"/>
      <c r="G3301" s="63"/>
      <c r="H3301" s="67"/>
      <c r="I3301" s="68"/>
      <c r="J3301" s="68"/>
      <c r="K3301" s="32"/>
      <c r="L3301" s="75">
        <v>3301</v>
      </c>
      <c r="M3301" s="75"/>
      <c r="N3301" s="70"/>
      <c r="O3301" s="77" t="s">
        <v>179</v>
      </c>
      <c r="P3301" s="79">
        <v>45195.527743055558</v>
      </c>
      <c r="Q3301" s="77" t="s">
        <v>5002</v>
      </c>
      <c r="R3301" s="77">
        <v>3</v>
      </c>
      <c r="S3301" s="77">
        <v>3</v>
      </c>
      <c r="T3301" s="77">
        <v>0</v>
      </c>
      <c r="U3301" s="77">
        <v>0</v>
      </c>
      <c r="V3301" s="77">
        <v>234</v>
      </c>
      <c r="W3301" s="80" t="s">
        <v>6164</v>
      </c>
      <c r="X3301" s="83" t="str">
        <f>HYPERLINK("https://noticiasargentinas.com/economia/galperin-en-defensa-de-mercado-pago-no-lo-van-a-romper")</f>
        <v>https://noticiasargentinas.com/economia/galperin-en-defensa-de-mercado-pago-no-lo-van-a-romper</v>
      </c>
      <c r="Y3301" s="77" t="s">
        <v>8828</v>
      </c>
      <c r="Z3301" s="77"/>
      <c r="AA3301" s="77"/>
      <c r="AB3301" s="77"/>
      <c r="AC3301" s="80" t="s">
        <v>10541</v>
      </c>
      <c r="AD3301" s="77" t="s">
        <v>10620</v>
      </c>
      <c r="AE3301" s="83" t="str">
        <f>HYPERLINK("https://twitter.com/naagencia/status/1706649810558685397")</f>
        <v>https://twitter.com/naagencia/status/1706649810558685397</v>
      </c>
      <c r="AF3301" s="79">
        <v>45195.527743055558</v>
      </c>
      <c r="AG3301" s="85">
        <v>45195</v>
      </c>
      <c r="AH3301" s="80" t="s">
        <v>13503</v>
      </c>
      <c r="AI3301" s="77" t="b">
        <v>0</v>
      </c>
      <c r="AJ3301" s="77"/>
      <c r="AK3301" s="77"/>
      <c r="AL3301" s="77"/>
      <c r="AM3301" s="77"/>
      <c r="AN3301" s="77"/>
      <c r="AO3301" s="77"/>
      <c r="AP3301" s="77"/>
      <c r="AQ3301" s="77"/>
      <c r="AR3301" s="77"/>
      <c r="AS3301" s="77"/>
      <c r="AT3301" s="77"/>
      <c r="AU3301" s="77"/>
      <c r="AV3301" s="83" t="str">
        <f>HYPERLINK("https://pbs.twimg.com/profile_images/1625157086563733505/oHecU7XH_normal.jpg")</f>
        <v>https://pbs.twimg.com/profile_images/1625157086563733505/oHecU7XH_normal.jpg</v>
      </c>
      <c r="AW3301" s="80" t="s">
        <v>19037</v>
      </c>
      <c r="AX3301" s="80" t="s">
        <v>19037</v>
      </c>
      <c r="AY3301" s="77"/>
      <c r="AZ3301" s="80" t="s">
        <v>20380</v>
      </c>
      <c r="BA3301" s="80" t="s">
        <v>20380</v>
      </c>
      <c r="BB3301" s="80" t="s">
        <v>20380</v>
      </c>
      <c r="BC3301" s="80" t="s">
        <v>19037</v>
      </c>
      <c r="BD3301" s="77">
        <v>160609570</v>
      </c>
      <c r="BE3301" s="77"/>
      <c r="BF3301" s="77"/>
      <c r="BG3301" s="77"/>
      <c r="BH3301" s="77"/>
      <c r="BI3301" s="77"/>
    </row>
    <row r="3302" spans="1:61" x14ac:dyDescent="0.25">
      <c r="A3302" s="62" t="s">
        <v>1313</v>
      </c>
      <c r="B3302" s="62" t="s">
        <v>1313</v>
      </c>
      <c r="C3302" s="63"/>
      <c r="D3302" s="64"/>
      <c r="E3302" s="65"/>
      <c r="F3302" s="66"/>
      <c r="G3302" s="63"/>
      <c r="H3302" s="67"/>
      <c r="I3302" s="68"/>
      <c r="J3302" s="68"/>
      <c r="K3302" s="32"/>
      <c r="L3302" s="75">
        <v>3302</v>
      </c>
      <c r="M3302" s="75"/>
      <c r="N3302" s="70"/>
      <c r="O3302" s="77" t="s">
        <v>179</v>
      </c>
      <c r="P3302" s="79">
        <v>45176.000011574077</v>
      </c>
      <c r="Q3302" s="77" t="s">
        <v>5003</v>
      </c>
      <c r="R3302" s="77">
        <v>0</v>
      </c>
      <c r="S3302" s="77">
        <v>0</v>
      </c>
      <c r="T3302" s="77">
        <v>0</v>
      </c>
      <c r="U3302" s="77">
        <v>0</v>
      </c>
      <c r="V3302" s="77">
        <v>155</v>
      </c>
      <c r="W3302" s="80" t="s">
        <v>7933</v>
      </c>
      <c r="X3302" s="83" t="str">
        <f>HYPERLINK("https://noticiasargentinas.com/economia/mendoza-logro-que-el-banco-central-le-venda-los-dolares-para-pagar-un-vencimiento-de-deuda")</f>
        <v>https://noticiasargentinas.com/economia/mendoza-logro-que-el-banco-central-le-venda-los-dolares-para-pagar-un-vencimiento-de-deuda</v>
      </c>
      <c r="Y3302" s="77" t="s">
        <v>8828</v>
      </c>
      <c r="Z3302" s="77"/>
      <c r="AA3302" s="77"/>
      <c r="AB3302" s="77"/>
      <c r="AC3302" s="80" t="s">
        <v>10541</v>
      </c>
      <c r="AD3302" s="77" t="s">
        <v>10620</v>
      </c>
      <c r="AE3302" s="83" t="str">
        <f>HYPERLINK("https://twitter.com/naagencia/status/1699573196825956605")</f>
        <v>https://twitter.com/naagencia/status/1699573196825956605</v>
      </c>
      <c r="AF3302" s="79">
        <v>45176.000011574077</v>
      </c>
      <c r="AG3302" s="85">
        <v>45176</v>
      </c>
      <c r="AH3302" s="80" t="s">
        <v>11210</v>
      </c>
      <c r="AI3302" s="77" t="b">
        <v>0</v>
      </c>
      <c r="AJ3302" s="77"/>
      <c r="AK3302" s="77"/>
      <c r="AL3302" s="77"/>
      <c r="AM3302" s="77"/>
      <c r="AN3302" s="77"/>
      <c r="AO3302" s="77"/>
      <c r="AP3302" s="77"/>
      <c r="AQ3302" s="77"/>
      <c r="AR3302" s="77"/>
      <c r="AS3302" s="77"/>
      <c r="AT3302" s="77"/>
      <c r="AU3302" s="77"/>
      <c r="AV3302" s="83" t="str">
        <f>HYPERLINK("https://pbs.twimg.com/profile_images/1625157086563733505/oHecU7XH_normal.jpg")</f>
        <v>https://pbs.twimg.com/profile_images/1625157086563733505/oHecU7XH_normal.jpg</v>
      </c>
      <c r="AW3302" s="80" t="s">
        <v>19038</v>
      </c>
      <c r="AX3302" s="80" t="s">
        <v>19038</v>
      </c>
      <c r="AY3302" s="77"/>
      <c r="AZ3302" s="80" t="s">
        <v>20380</v>
      </c>
      <c r="BA3302" s="80" t="s">
        <v>20380</v>
      </c>
      <c r="BB3302" s="80" t="s">
        <v>20380</v>
      </c>
      <c r="BC3302" s="80" t="s">
        <v>19038</v>
      </c>
      <c r="BD3302" s="77">
        <v>160609570</v>
      </c>
      <c r="BE3302" s="77"/>
      <c r="BF3302" s="77"/>
      <c r="BG3302" s="77"/>
      <c r="BH3302" s="77"/>
      <c r="BI3302" s="77"/>
    </row>
    <row r="3303" spans="1:61" x14ac:dyDescent="0.25">
      <c r="A3303" s="62" t="s">
        <v>1313</v>
      </c>
      <c r="B3303" s="62" t="s">
        <v>1313</v>
      </c>
      <c r="C3303" s="63"/>
      <c r="D3303" s="64"/>
      <c r="E3303" s="65"/>
      <c r="F3303" s="66"/>
      <c r="G3303" s="63"/>
      <c r="H3303" s="67"/>
      <c r="I3303" s="68"/>
      <c r="J3303" s="68"/>
      <c r="K3303" s="32"/>
      <c r="L3303" s="75">
        <v>3303</v>
      </c>
      <c r="M3303" s="75"/>
      <c r="N3303" s="70"/>
      <c r="O3303" s="77" t="s">
        <v>179</v>
      </c>
      <c r="P3303" s="79">
        <v>45070.000694444447</v>
      </c>
      <c r="Q3303" s="77" t="s">
        <v>5004</v>
      </c>
      <c r="R3303" s="77">
        <v>0</v>
      </c>
      <c r="S3303" s="77">
        <v>0</v>
      </c>
      <c r="T3303" s="77">
        <v>0</v>
      </c>
      <c r="U3303" s="77">
        <v>0</v>
      </c>
      <c r="V3303" s="77">
        <v>168</v>
      </c>
      <c r="W3303" s="80" t="s">
        <v>5884</v>
      </c>
      <c r="X3303" s="83" t="str">
        <f>HYPERLINK("https://noticiasargentinas.com/economia/las-reservas-del-banco-central-volvieron-a-caer-y-quedaron-por-debajo-de-los-us-33-000-millones")</f>
        <v>https://noticiasargentinas.com/economia/las-reservas-del-banco-central-volvieron-a-caer-y-quedaron-por-debajo-de-los-us-33-000-millones</v>
      </c>
      <c r="Y3303" s="77" t="s">
        <v>8828</v>
      </c>
      <c r="Z3303" s="77"/>
      <c r="AA3303" s="77"/>
      <c r="AB3303" s="77"/>
      <c r="AC3303" s="80" t="s">
        <v>10541</v>
      </c>
      <c r="AD3303" s="77" t="s">
        <v>10620</v>
      </c>
      <c r="AE3303" s="83" t="str">
        <f>HYPERLINK("https://twitter.com/naagencia/status/1661160330259574787")</f>
        <v>https://twitter.com/naagencia/status/1661160330259574787</v>
      </c>
      <c r="AF3303" s="79">
        <v>45070.000694444447</v>
      </c>
      <c r="AG3303" s="85">
        <v>45070</v>
      </c>
      <c r="AH3303" s="80" t="s">
        <v>10715</v>
      </c>
      <c r="AI3303" s="77" t="b">
        <v>0</v>
      </c>
      <c r="AJ3303" s="77"/>
      <c r="AK3303" s="77"/>
      <c r="AL3303" s="77"/>
      <c r="AM3303" s="77"/>
      <c r="AN3303" s="77"/>
      <c r="AO3303" s="77"/>
      <c r="AP3303" s="77"/>
      <c r="AQ3303" s="77"/>
      <c r="AR3303" s="77"/>
      <c r="AS3303" s="77"/>
      <c r="AT3303" s="77"/>
      <c r="AU3303" s="77"/>
      <c r="AV3303" s="83" t="str">
        <f>HYPERLINK("https://pbs.twimg.com/profile_images/1625157086563733505/oHecU7XH_normal.jpg")</f>
        <v>https://pbs.twimg.com/profile_images/1625157086563733505/oHecU7XH_normal.jpg</v>
      </c>
      <c r="AW3303" s="80" t="s">
        <v>19039</v>
      </c>
      <c r="AX3303" s="80" t="s">
        <v>19039</v>
      </c>
      <c r="AY3303" s="77"/>
      <c r="AZ3303" s="80" t="s">
        <v>20380</v>
      </c>
      <c r="BA3303" s="80" t="s">
        <v>20380</v>
      </c>
      <c r="BB3303" s="80" t="s">
        <v>20380</v>
      </c>
      <c r="BC3303" s="80" t="s">
        <v>19039</v>
      </c>
      <c r="BD3303" s="77">
        <v>160609570</v>
      </c>
      <c r="BE3303" s="77"/>
      <c r="BF3303" s="77"/>
      <c r="BG3303" s="77"/>
      <c r="BH3303" s="77"/>
      <c r="BI3303" s="77"/>
    </row>
    <row r="3304" spans="1:61" x14ac:dyDescent="0.25">
      <c r="A3304" s="62" t="s">
        <v>1313</v>
      </c>
      <c r="B3304" s="62" t="s">
        <v>1313</v>
      </c>
      <c r="C3304" s="63"/>
      <c r="D3304" s="64"/>
      <c r="E3304" s="65"/>
      <c r="F3304" s="66"/>
      <c r="G3304" s="63"/>
      <c r="H3304" s="67"/>
      <c r="I3304" s="68"/>
      <c r="J3304" s="68"/>
      <c r="K3304" s="32"/>
      <c r="L3304" s="75">
        <v>3304</v>
      </c>
      <c r="M3304" s="75"/>
      <c r="N3304" s="70"/>
      <c r="O3304" s="77" t="s">
        <v>179</v>
      </c>
      <c r="P3304" s="79">
        <v>45196.333356481482</v>
      </c>
      <c r="Q3304" s="77" t="s">
        <v>5005</v>
      </c>
      <c r="R3304" s="77">
        <v>0</v>
      </c>
      <c r="S3304" s="77">
        <v>0</v>
      </c>
      <c r="T3304" s="77">
        <v>0</v>
      </c>
      <c r="U3304" s="77">
        <v>0</v>
      </c>
      <c r="V3304" s="77">
        <v>103</v>
      </c>
      <c r="W3304" s="80" t="s">
        <v>5884</v>
      </c>
      <c r="X3304" s="83" t="str">
        <f>HYPERLINK("https://noticiasargentinas.com/economia/el-gobierno-anularia-la-resolucion-con-el-banco-central-pero-le-exigiria-a-mercado-pago-una-baja-de-comisiones")</f>
        <v>https://noticiasargentinas.com/economia/el-gobierno-anularia-la-resolucion-con-el-banco-central-pero-le-exigiria-a-mercado-pago-una-baja-de-comisiones</v>
      </c>
      <c r="Y3304" s="77" t="s">
        <v>8828</v>
      </c>
      <c r="Z3304" s="77"/>
      <c r="AA3304" s="77"/>
      <c r="AB3304" s="77"/>
      <c r="AC3304" s="80" t="s">
        <v>10541</v>
      </c>
      <c r="AD3304" s="77" t="s">
        <v>10620</v>
      </c>
      <c r="AE3304" s="83" t="str">
        <f>HYPERLINK("https://twitter.com/naagencia/status/1706941754895941953")</f>
        <v>https://twitter.com/naagencia/status/1706941754895941953</v>
      </c>
      <c r="AF3304" s="79">
        <v>45196.333356481482</v>
      </c>
      <c r="AG3304" s="85">
        <v>45196</v>
      </c>
      <c r="AH3304" s="80" t="s">
        <v>11681</v>
      </c>
      <c r="AI3304" s="77" t="b">
        <v>0</v>
      </c>
      <c r="AJ3304" s="77"/>
      <c r="AK3304" s="77"/>
      <c r="AL3304" s="77"/>
      <c r="AM3304" s="77"/>
      <c r="AN3304" s="77"/>
      <c r="AO3304" s="77"/>
      <c r="AP3304" s="77"/>
      <c r="AQ3304" s="77"/>
      <c r="AR3304" s="77"/>
      <c r="AS3304" s="77"/>
      <c r="AT3304" s="77"/>
      <c r="AU3304" s="77"/>
      <c r="AV3304" s="83" t="str">
        <f>HYPERLINK("https://pbs.twimg.com/profile_images/1625157086563733505/oHecU7XH_normal.jpg")</f>
        <v>https://pbs.twimg.com/profile_images/1625157086563733505/oHecU7XH_normal.jpg</v>
      </c>
      <c r="AW3304" s="80" t="s">
        <v>19040</v>
      </c>
      <c r="AX3304" s="80" t="s">
        <v>19040</v>
      </c>
      <c r="AY3304" s="77"/>
      <c r="AZ3304" s="80" t="s">
        <v>20380</v>
      </c>
      <c r="BA3304" s="80" t="s">
        <v>20380</v>
      </c>
      <c r="BB3304" s="80" t="s">
        <v>20380</v>
      </c>
      <c r="BC3304" s="80" t="s">
        <v>19040</v>
      </c>
      <c r="BD3304" s="77">
        <v>160609570</v>
      </c>
      <c r="BE3304" s="77"/>
      <c r="BF3304" s="77"/>
      <c r="BG3304" s="77"/>
      <c r="BH3304" s="77"/>
      <c r="BI3304" s="77"/>
    </row>
    <row r="3305" spans="1:61" x14ac:dyDescent="0.25">
      <c r="A3305" s="62" t="s">
        <v>1313</v>
      </c>
      <c r="B3305" s="62" t="s">
        <v>1313</v>
      </c>
      <c r="C3305" s="63"/>
      <c r="D3305" s="64"/>
      <c r="E3305" s="65"/>
      <c r="F3305" s="66"/>
      <c r="G3305" s="63"/>
      <c r="H3305" s="67"/>
      <c r="I3305" s="68"/>
      <c r="J3305" s="68"/>
      <c r="K3305" s="32"/>
      <c r="L3305" s="75">
        <v>3305</v>
      </c>
      <c r="M3305" s="75"/>
      <c r="N3305" s="70"/>
      <c r="O3305" s="77" t="s">
        <v>179</v>
      </c>
      <c r="P3305" s="79">
        <v>45115.052083333336</v>
      </c>
      <c r="Q3305" s="77" t="s">
        <v>5006</v>
      </c>
      <c r="R3305" s="77">
        <v>0</v>
      </c>
      <c r="S3305" s="77">
        <v>0</v>
      </c>
      <c r="T3305" s="77">
        <v>0</v>
      </c>
      <c r="U3305" s="77">
        <v>0</v>
      </c>
      <c r="V3305" s="77">
        <v>269</v>
      </c>
      <c r="W3305" s="80" t="s">
        <v>7934</v>
      </c>
      <c r="X3305" s="83" t="str">
        <f>HYPERLINK("https://noticiasargentinas.com/internacionales/la-inflacion-de-venezuela-se-acelero-en-junio-a-6-2-informo-al-banco-central")</f>
        <v>https://noticiasargentinas.com/internacionales/la-inflacion-de-venezuela-se-acelero-en-junio-a-6-2-informo-al-banco-central</v>
      </c>
      <c r="Y3305" s="77" t="s">
        <v>8828</v>
      </c>
      <c r="Z3305" s="77"/>
      <c r="AA3305" s="77"/>
      <c r="AB3305" s="77"/>
      <c r="AC3305" s="80" t="s">
        <v>10541</v>
      </c>
      <c r="AD3305" s="77" t="s">
        <v>10620</v>
      </c>
      <c r="AE3305" s="83" t="str">
        <f>HYPERLINK("https://twitter.com/naagencia/status/1677486406594093058")</f>
        <v>https://twitter.com/naagencia/status/1677486406594093058</v>
      </c>
      <c r="AF3305" s="79">
        <v>45115.052083333336</v>
      </c>
      <c r="AG3305" s="85">
        <v>45115</v>
      </c>
      <c r="AH3305" s="80" t="s">
        <v>13504</v>
      </c>
      <c r="AI3305" s="77" t="b">
        <v>0</v>
      </c>
      <c r="AJ3305" s="77"/>
      <c r="AK3305" s="77"/>
      <c r="AL3305" s="77"/>
      <c r="AM3305" s="77"/>
      <c r="AN3305" s="77"/>
      <c r="AO3305" s="77"/>
      <c r="AP3305" s="77"/>
      <c r="AQ3305" s="77"/>
      <c r="AR3305" s="77"/>
      <c r="AS3305" s="77"/>
      <c r="AT3305" s="77"/>
      <c r="AU3305" s="77"/>
      <c r="AV3305" s="83" t="str">
        <f>HYPERLINK("https://pbs.twimg.com/profile_images/1625157086563733505/oHecU7XH_normal.jpg")</f>
        <v>https://pbs.twimg.com/profile_images/1625157086563733505/oHecU7XH_normal.jpg</v>
      </c>
      <c r="AW3305" s="80" t="s">
        <v>19041</v>
      </c>
      <c r="AX3305" s="80" t="s">
        <v>19041</v>
      </c>
      <c r="AY3305" s="77"/>
      <c r="AZ3305" s="80" t="s">
        <v>20380</v>
      </c>
      <c r="BA3305" s="80" t="s">
        <v>20380</v>
      </c>
      <c r="BB3305" s="80" t="s">
        <v>20380</v>
      </c>
      <c r="BC3305" s="80" t="s">
        <v>19041</v>
      </c>
      <c r="BD3305" s="77">
        <v>160609570</v>
      </c>
      <c r="BE3305" s="77"/>
      <c r="BF3305" s="77"/>
      <c r="BG3305" s="77"/>
      <c r="BH3305" s="77"/>
      <c r="BI3305" s="77"/>
    </row>
    <row r="3306" spans="1:61" x14ac:dyDescent="0.25">
      <c r="A3306" s="62" t="s">
        <v>1313</v>
      </c>
      <c r="B3306" s="62" t="s">
        <v>1313</v>
      </c>
      <c r="C3306" s="63"/>
      <c r="D3306" s="64"/>
      <c r="E3306" s="65"/>
      <c r="F3306" s="66"/>
      <c r="G3306" s="63"/>
      <c r="H3306" s="67"/>
      <c r="I3306" s="68"/>
      <c r="J3306" s="68"/>
      <c r="K3306" s="32"/>
      <c r="L3306" s="75">
        <v>3306</v>
      </c>
      <c r="M3306" s="75"/>
      <c r="N3306" s="70"/>
      <c r="O3306" s="77" t="s">
        <v>179</v>
      </c>
      <c r="P3306" s="79">
        <v>45113.578333333331</v>
      </c>
      <c r="Q3306" s="77" t="s">
        <v>5007</v>
      </c>
      <c r="R3306" s="77">
        <v>0</v>
      </c>
      <c r="S3306" s="77">
        <v>0</v>
      </c>
      <c r="T3306" s="77">
        <v>0</v>
      </c>
      <c r="U3306" s="77">
        <v>0</v>
      </c>
      <c r="V3306" s="77">
        <v>152</v>
      </c>
      <c r="W3306" s="80" t="s">
        <v>7155</v>
      </c>
      <c r="X3306" s="83" t="str">
        <f>HYPERLINK("https://noticiasargentinas.com/economia/el-banco-central-auxilio-en-688-000-millones-al-tesoro-para-pagarle-al-fmi?1")</f>
        <v>https://noticiasargentinas.com/economia/el-banco-central-auxilio-en-688-000-millones-al-tesoro-para-pagarle-al-fmi?1</v>
      </c>
      <c r="Y3306" s="77" t="s">
        <v>8828</v>
      </c>
      <c r="Z3306" s="77"/>
      <c r="AA3306" s="77"/>
      <c r="AB3306" s="77"/>
      <c r="AC3306" s="80" t="s">
        <v>10541</v>
      </c>
      <c r="AD3306" s="77" t="s">
        <v>10620</v>
      </c>
      <c r="AE3306" s="83" t="str">
        <f>HYPERLINK("https://twitter.com/naagencia/status/1676952340476346370")</f>
        <v>https://twitter.com/naagencia/status/1676952340476346370</v>
      </c>
      <c r="AF3306" s="79">
        <v>45113.578333333331</v>
      </c>
      <c r="AG3306" s="85">
        <v>45113</v>
      </c>
      <c r="AH3306" s="80" t="s">
        <v>13505</v>
      </c>
      <c r="AI3306" s="77" t="b">
        <v>0</v>
      </c>
      <c r="AJ3306" s="77"/>
      <c r="AK3306" s="77"/>
      <c r="AL3306" s="77"/>
      <c r="AM3306" s="77"/>
      <c r="AN3306" s="77"/>
      <c r="AO3306" s="77"/>
      <c r="AP3306" s="77"/>
      <c r="AQ3306" s="77"/>
      <c r="AR3306" s="77"/>
      <c r="AS3306" s="77"/>
      <c r="AT3306" s="77"/>
      <c r="AU3306" s="77"/>
      <c r="AV3306" s="83" t="str">
        <f>HYPERLINK("https://pbs.twimg.com/profile_images/1625157086563733505/oHecU7XH_normal.jpg")</f>
        <v>https://pbs.twimg.com/profile_images/1625157086563733505/oHecU7XH_normal.jpg</v>
      </c>
      <c r="AW3306" s="80" t="s">
        <v>19042</v>
      </c>
      <c r="AX3306" s="80" t="s">
        <v>19042</v>
      </c>
      <c r="AY3306" s="77"/>
      <c r="AZ3306" s="80" t="s">
        <v>20380</v>
      </c>
      <c r="BA3306" s="80" t="s">
        <v>20380</v>
      </c>
      <c r="BB3306" s="80" t="s">
        <v>20380</v>
      </c>
      <c r="BC3306" s="80" t="s">
        <v>19042</v>
      </c>
      <c r="BD3306" s="77">
        <v>160609570</v>
      </c>
      <c r="BE3306" s="77"/>
      <c r="BF3306" s="77"/>
      <c r="BG3306" s="77"/>
      <c r="BH3306" s="77"/>
      <c r="BI3306" s="77"/>
    </row>
    <row r="3307" spans="1:61" x14ac:dyDescent="0.25">
      <c r="A3307" s="62" t="s">
        <v>1313</v>
      </c>
      <c r="B3307" s="62" t="s">
        <v>1313</v>
      </c>
      <c r="C3307" s="63"/>
      <c r="D3307" s="64"/>
      <c r="E3307" s="65"/>
      <c r="F3307" s="66"/>
      <c r="G3307" s="63"/>
      <c r="H3307" s="67"/>
      <c r="I3307" s="68"/>
      <c r="J3307" s="68"/>
      <c r="K3307" s="32"/>
      <c r="L3307" s="75">
        <v>3307</v>
      </c>
      <c r="M3307" s="75"/>
      <c r="N3307" s="70"/>
      <c r="O3307" s="77" t="s">
        <v>179</v>
      </c>
      <c r="P3307" s="79">
        <v>45083.881944444445</v>
      </c>
      <c r="Q3307" s="77" t="s">
        <v>5008</v>
      </c>
      <c r="R3307" s="77">
        <v>1</v>
      </c>
      <c r="S3307" s="77">
        <v>0</v>
      </c>
      <c r="T3307" s="77">
        <v>0</v>
      </c>
      <c r="U3307" s="77">
        <v>0</v>
      </c>
      <c r="V3307" s="77">
        <v>177</v>
      </c>
      <c r="W3307" s="80" t="s">
        <v>5884</v>
      </c>
      <c r="X3307" s="83" t="str">
        <f>HYPERLINK("https://noticiasargentinas.com/economia/la-justicia-federal-avalo-a-cordoba-y-el-bcra-debera-darle-el-100-de-los-dolares-para-hacer-frente-a-sus-deudas")</f>
        <v>https://noticiasargentinas.com/economia/la-justicia-federal-avalo-a-cordoba-y-el-bcra-debera-darle-el-100-de-los-dolares-para-hacer-frente-a-sus-deudas</v>
      </c>
      <c r="Y3307" s="77" t="s">
        <v>8828</v>
      </c>
      <c r="Z3307" s="77"/>
      <c r="AA3307" s="77"/>
      <c r="AB3307" s="77"/>
      <c r="AC3307" s="80" t="s">
        <v>10541</v>
      </c>
      <c r="AD3307" s="77" t="s">
        <v>10620</v>
      </c>
      <c r="AE3307" s="83" t="str">
        <f>HYPERLINK("https://twitter.com/naagencia/status/1666190726944677889")</f>
        <v>https://twitter.com/naagencia/status/1666190726944677889</v>
      </c>
      <c r="AF3307" s="79">
        <v>45083.881944444445</v>
      </c>
      <c r="AG3307" s="85">
        <v>45083</v>
      </c>
      <c r="AH3307" s="80" t="s">
        <v>13506</v>
      </c>
      <c r="AI3307" s="77" t="b">
        <v>0</v>
      </c>
      <c r="AJ3307" s="77"/>
      <c r="AK3307" s="77"/>
      <c r="AL3307" s="77"/>
      <c r="AM3307" s="77"/>
      <c r="AN3307" s="77"/>
      <c r="AO3307" s="77"/>
      <c r="AP3307" s="77"/>
      <c r="AQ3307" s="77"/>
      <c r="AR3307" s="77"/>
      <c r="AS3307" s="77"/>
      <c r="AT3307" s="77"/>
      <c r="AU3307" s="77"/>
      <c r="AV3307" s="83" t="str">
        <f>HYPERLINK("https://pbs.twimg.com/profile_images/1625157086563733505/oHecU7XH_normal.jpg")</f>
        <v>https://pbs.twimg.com/profile_images/1625157086563733505/oHecU7XH_normal.jpg</v>
      </c>
      <c r="AW3307" s="80" t="s">
        <v>19043</v>
      </c>
      <c r="AX3307" s="80" t="s">
        <v>19043</v>
      </c>
      <c r="AY3307" s="77"/>
      <c r="AZ3307" s="80" t="s">
        <v>20380</v>
      </c>
      <c r="BA3307" s="80" t="s">
        <v>20380</v>
      </c>
      <c r="BB3307" s="80" t="s">
        <v>20380</v>
      </c>
      <c r="BC3307" s="80" t="s">
        <v>19043</v>
      </c>
      <c r="BD3307" s="77">
        <v>160609570</v>
      </c>
      <c r="BE3307" s="77"/>
      <c r="BF3307" s="77"/>
      <c r="BG3307" s="77"/>
      <c r="BH3307" s="77"/>
      <c r="BI3307" s="77"/>
    </row>
    <row r="3308" spans="1:61" x14ac:dyDescent="0.25">
      <c r="A3308" s="62" t="s">
        <v>1313</v>
      </c>
      <c r="B3308" s="62" t="s">
        <v>1313</v>
      </c>
      <c r="C3308" s="63"/>
      <c r="D3308" s="64"/>
      <c r="E3308" s="65"/>
      <c r="F3308" s="66"/>
      <c r="G3308" s="63"/>
      <c r="H3308" s="67"/>
      <c r="I3308" s="68"/>
      <c r="J3308" s="68"/>
      <c r="K3308" s="32"/>
      <c r="L3308" s="75">
        <v>3308</v>
      </c>
      <c r="M3308" s="75"/>
      <c r="N3308" s="70"/>
      <c r="O3308" s="77" t="s">
        <v>179</v>
      </c>
      <c r="P3308" s="79">
        <v>45079.868333333332</v>
      </c>
      <c r="Q3308" s="77" t="s">
        <v>5009</v>
      </c>
      <c r="R3308" s="77">
        <v>0</v>
      </c>
      <c r="S3308" s="77">
        <v>0</v>
      </c>
      <c r="T3308" s="77">
        <v>0</v>
      </c>
      <c r="U3308" s="77">
        <v>0</v>
      </c>
      <c r="V3308" s="77">
        <v>165</v>
      </c>
      <c r="W3308" s="80" t="s">
        <v>5884</v>
      </c>
      <c r="X3308" s="83" t="str">
        <f>HYPERLINK("https://noticiasargentinas.com/economia/los-transportistas-exigen-la-suspension-de-una-normativa-del-banco-central")</f>
        <v>https://noticiasargentinas.com/economia/los-transportistas-exigen-la-suspension-de-una-normativa-del-banco-central</v>
      </c>
      <c r="Y3308" s="77" t="s">
        <v>8828</v>
      </c>
      <c r="Z3308" s="77"/>
      <c r="AA3308" s="77"/>
      <c r="AB3308" s="77"/>
      <c r="AC3308" s="80" t="s">
        <v>10541</v>
      </c>
      <c r="AD3308" s="77" t="s">
        <v>10620</v>
      </c>
      <c r="AE3308" s="83" t="str">
        <f>HYPERLINK("https://twitter.com/naagencia/status/1664736243844894720")</f>
        <v>https://twitter.com/naagencia/status/1664736243844894720</v>
      </c>
      <c r="AF3308" s="79">
        <v>45079.868333333332</v>
      </c>
      <c r="AG3308" s="85">
        <v>45079</v>
      </c>
      <c r="AH3308" s="80" t="s">
        <v>13507</v>
      </c>
      <c r="AI3308" s="77" t="b">
        <v>0</v>
      </c>
      <c r="AJ3308" s="77"/>
      <c r="AK3308" s="77"/>
      <c r="AL3308" s="77"/>
      <c r="AM3308" s="77"/>
      <c r="AN3308" s="77"/>
      <c r="AO3308" s="77"/>
      <c r="AP3308" s="77"/>
      <c r="AQ3308" s="77"/>
      <c r="AR3308" s="77"/>
      <c r="AS3308" s="77"/>
      <c r="AT3308" s="77"/>
      <c r="AU3308" s="77"/>
      <c r="AV3308" s="83" t="str">
        <f>HYPERLINK("https://pbs.twimg.com/profile_images/1625157086563733505/oHecU7XH_normal.jpg")</f>
        <v>https://pbs.twimg.com/profile_images/1625157086563733505/oHecU7XH_normal.jpg</v>
      </c>
      <c r="AW3308" s="80" t="s">
        <v>19044</v>
      </c>
      <c r="AX3308" s="80" t="s">
        <v>19044</v>
      </c>
      <c r="AY3308" s="77"/>
      <c r="AZ3308" s="80" t="s">
        <v>20380</v>
      </c>
      <c r="BA3308" s="80" t="s">
        <v>20380</v>
      </c>
      <c r="BB3308" s="80" t="s">
        <v>20380</v>
      </c>
      <c r="BC3308" s="80" t="s">
        <v>19044</v>
      </c>
      <c r="BD3308" s="77">
        <v>160609570</v>
      </c>
      <c r="BE3308" s="77"/>
      <c r="BF3308" s="77"/>
      <c r="BG3308" s="77"/>
      <c r="BH3308" s="77"/>
      <c r="BI3308" s="77"/>
    </row>
    <row r="3309" spans="1:61" x14ac:dyDescent="0.25">
      <c r="A3309" s="62" t="s">
        <v>1313</v>
      </c>
      <c r="B3309" s="62" t="s">
        <v>1313</v>
      </c>
      <c r="C3309" s="63"/>
      <c r="D3309" s="64"/>
      <c r="E3309" s="65"/>
      <c r="F3309" s="66"/>
      <c r="G3309" s="63"/>
      <c r="H3309" s="67"/>
      <c r="I3309" s="68"/>
      <c r="J3309" s="68"/>
      <c r="K3309" s="32"/>
      <c r="L3309" s="75">
        <v>3309</v>
      </c>
      <c r="M3309" s="75"/>
      <c r="N3309" s="70"/>
      <c r="O3309" s="77" t="s">
        <v>179</v>
      </c>
      <c r="P3309" s="79">
        <v>45048.974305555559</v>
      </c>
      <c r="Q3309" s="77" t="s">
        <v>5010</v>
      </c>
      <c r="R3309" s="77">
        <v>1</v>
      </c>
      <c r="S3309" s="77">
        <v>1</v>
      </c>
      <c r="T3309" s="77">
        <v>0</v>
      </c>
      <c r="U3309" s="77">
        <v>0</v>
      </c>
      <c r="V3309" s="77">
        <v>219</v>
      </c>
      <c r="W3309" s="80" t="s">
        <v>5884</v>
      </c>
      <c r="X3309" s="83" t="str">
        <f>HYPERLINK("https://noticiasargentinas.com/economia/las-reservas-siguen-cayendo-y-estan-a-punto-de-perforar-los-us-35-000-millones")</f>
        <v>https://noticiasargentinas.com/economia/las-reservas-siguen-cayendo-y-estan-a-punto-de-perforar-los-us-35-000-millones</v>
      </c>
      <c r="Y3309" s="77" t="s">
        <v>8828</v>
      </c>
      <c r="Z3309" s="77"/>
      <c r="AA3309" s="77"/>
      <c r="AB3309" s="77"/>
      <c r="AC3309" s="80" t="s">
        <v>10541</v>
      </c>
      <c r="AD3309" s="77" t="s">
        <v>10620</v>
      </c>
      <c r="AE3309" s="83" t="str">
        <f>HYPERLINK("https://twitter.com/naagencia/status/1653540621850918912")</f>
        <v>https://twitter.com/naagencia/status/1653540621850918912</v>
      </c>
      <c r="AF3309" s="79">
        <v>45048.974305555559</v>
      </c>
      <c r="AG3309" s="85">
        <v>45048</v>
      </c>
      <c r="AH3309" s="80" t="s">
        <v>13508</v>
      </c>
      <c r="AI3309" s="77" t="b">
        <v>0</v>
      </c>
      <c r="AJ3309" s="77"/>
      <c r="AK3309" s="77"/>
      <c r="AL3309" s="77"/>
      <c r="AM3309" s="77"/>
      <c r="AN3309" s="77"/>
      <c r="AO3309" s="77"/>
      <c r="AP3309" s="77"/>
      <c r="AQ3309" s="77"/>
      <c r="AR3309" s="77"/>
      <c r="AS3309" s="77"/>
      <c r="AT3309" s="77"/>
      <c r="AU3309" s="77"/>
      <c r="AV3309" s="83" t="str">
        <f>HYPERLINK("https://pbs.twimg.com/profile_images/1625157086563733505/oHecU7XH_normal.jpg")</f>
        <v>https://pbs.twimg.com/profile_images/1625157086563733505/oHecU7XH_normal.jpg</v>
      </c>
      <c r="AW3309" s="80" t="s">
        <v>19045</v>
      </c>
      <c r="AX3309" s="80" t="s">
        <v>19045</v>
      </c>
      <c r="AY3309" s="77"/>
      <c r="AZ3309" s="80" t="s">
        <v>20380</v>
      </c>
      <c r="BA3309" s="80" t="s">
        <v>20380</v>
      </c>
      <c r="BB3309" s="80" t="s">
        <v>20380</v>
      </c>
      <c r="BC3309" s="80" t="s">
        <v>19045</v>
      </c>
      <c r="BD3309" s="77">
        <v>160609570</v>
      </c>
      <c r="BE3309" s="77"/>
      <c r="BF3309" s="77"/>
      <c r="BG3309" s="77"/>
      <c r="BH3309" s="77"/>
      <c r="BI3309" s="77"/>
    </row>
    <row r="3310" spans="1:61" x14ac:dyDescent="0.25">
      <c r="A3310" s="62" t="s">
        <v>1314</v>
      </c>
      <c r="B3310" s="62" t="s">
        <v>1313</v>
      </c>
      <c r="C3310" s="63"/>
      <c r="D3310" s="64"/>
      <c r="E3310" s="65"/>
      <c r="F3310" s="66"/>
      <c r="G3310" s="63"/>
      <c r="H3310" s="67"/>
      <c r="I3310" s="68"/>
      <c r="J3310" s="68"/>
      <c r="K3310" s="32"/>
      <c r="L3310" s="75">
        <v>3310</v>
      </c>
      <c r="M3310" s="75"/>
      <c r="N3310" s="70"/>
      <c r="O3310" s="77" t="s">
        <v>2083</v>
      </c>
      <c r="P3310" s="79">
        <v>45195.567303240743</v>
      </c>
      <c r="Q3310" s="77" t="s">
        <v>2338</v>
      </c>
      <c r="R3310" s="77">
        <v>3</v>
      </c>
      <c r="S3310" s="77">
        <v>0</v>
      </c>
      <c r="T3310" s="77">
        <v>0</v>
      </c>
      <c r="U3310" s="77">
        <v>0</v>
      </c>
      <c r="V3310" s="77"/>
      <c r="W3310" s="80" t="s">
        <v>1869</v>
      </c>
      <c r="X3310" s="77"/>
      <c r="Y3310" s="77"/>
      <c r="Z3310" s="77" t="s">
        <v>1313</v>
      </c>
      <c r="AA3310" s="77"/>
      <c r="AB3310" s="77"/>
      <c r="AC3310" s="80" t="s">
        <v>10541</v>
      </c>
      <c r="AD3310" s="77" t="s">
        <v>10620</v>
      </c>
      <c r="AE3310" s="83" t="str">
        <f>HYPERLINK("https://twitter.com/elojodealberto/status/1706664144601252130")</f>
        <v>https://twitter.com/elojodealberto/status/1706664144601252130</v>
      </c>
      <c r="AF3310" s="79">
        <v>45195.567303240743</v>
      </c>
      <c r="AG3310" s="85">
        <v>45195</v>
      </c>
      <c r="AH3310" s="80" t="s">
        <v>13509</v>
      </c>
      <c r="AI3310" s="77" t="b">
        <v>0</v>
      </c>
      <c r="AJ3310" s="77"/>
      <c r="AK3310" s="77"/>
      <c r="AL3310" s="77"/>
      <c r="AM3310" s="77"/>
      <c r="AN3310" s="77"/>
      <c r="AO3310" s="77"/>
      <c r="AP3310" s="77"/>
      <c r="AQ3310" s="77"/>
      <c r="AR3310" s="77"/>
      <c r="AS3310" s="77"/>
      <c r="AT3310" s="77"/>
      <c r="AU3310" s="77"/>
      <c r="AV3310" s="83" t="str">
        <f>HYPERLINK("https://pbs.twimg.com/profile_images/1304966507961737216/-lDgqp9R_normal.jpg")</f>
        <v>https://pbs.twimg.com/profile_images/1304966507961737216/-lDgqp9R_normal.jpg</v>
      </c>
      <c r="AW3310" s="80" t="s">
        <v>19046</v>
      </c>
      <c r="AX3310" s="80" t="s">
        <v>19046</v>
      </c>
      <c r="AY3310" s="77"/>
      <c r="AZ3310" s="80" t="s">
        <v>20380</v>
      </c>
      <c r="BA3310" s="80" t="s">
        <v>20380</v>
      </c>
      <c r="BB3310" s="80" t="s">
        <v>19037</v>
      </c>
      <c r="BC3310" s="80" t="s">
        <v>19037</v>
      </c>
      <c r="BD3310" s="77">
        <v>60616086</v>
      </c>
      <c r="BE3310" s="77"/>
      <c r="BF3310" s="77"/>
      <c r="BG3310" s="77"/>
      <c r="BH3310" s="77"/>
      <c r="BI3310" s="77"/>
    </row>
    <row r="3311" spans="1:61" x14ac:dyDescent="0.25">
      <c r="A3311" s="62" t="s">
        <v>1315</v>
      </c>
      <c r="B3311" s="62" t="s">
        <v>1315</v>
      </c>
      <c r="C3311" s="63"/>
      <c r="D3311" s="64"/>
      <c r="E3311" s="65"/>
      <c r="F3311" s="66"/>
      <c r="G3311" s="63"/>
      <c r="H3311" s="67"/>
      <c r="I3311" s="68"/>
      <c r="J3311" s="68"/>
      <c r="K3311" s="32"/>
      <c r="L3311" s="75">
        <v>3311</v>
      </c>
      <c r="M3311" s="75"/>
      <c r="N3311" s="70"/>
      <c r="O3311" s="77" t="s">
        <v>179</v>
      </c>
      <c r="P3311" s="79">
        <v>45072.622928240744</v>
      </c>
      <c r="Q3311" s="77" t="s">
        <v>5011</v>
      </c>
      <c r="R3311" s="77">
        <v>9</v>
      </c>
      <c r="S3311" s="77">
        <v>15</v>
      </c>
      <c r="T3311" s="77">
        <v>0</v>
      </c>
      <c r="U3311" s="77">
        <v>0</v>
      </c>
      <c r="V3311" s="77">
        <v>387</v>
      </c>
      <c r="W3311" s="80" t="s">
        <v>7935</v>
      </c>
      <c r="X3311" s="77"/>
      <c r="Y3311" s="77"/>
      <c r="Z3311" s="77"/>
      <c r="AA3311" s="77" t="s">
        <v>10133</v>
      </c>
      <c r="AB3311" s="77" t="s">
        <v>10534</v>
      </c>
      <c r="AC3311" s="80" t="s">
        <v>10541</v>
      </c>
      <c r="AD3311" s="77" t="s">
        <v>10617</v>
      </c>
      <c r="AE3311" s="83" t="str">
        <f>HYPERLINK("https://twitter.com/dep_padrejoao/status/1662110595997376513")</f>
        <v>https://twitter.com/dep_padrejoao/status/1662110595997376513</v>
      </c>
      <c r="AF3311" s="79">
        <v>45072.622928240744</v>
      </c>
      <c r="AG3311" s="85">
        <v>45072</v>
      </c>
      <c r="AH3311" s="80" t="s">
        <v>13510</v>
      </c>
      <c r="AI3311" s="77" t="b">
        <v>0</v>
      </c>
      <c r="AJ3311" s="77"/>
      <c r="AK3311" s="77"/>
      <c r="AL3311" s="77"/>
      <c r="AM3311" s="77"/>
      <c r="AN3311" s="77"/>
      <c r="AO3311" s="77"/>
      <c r="AP3311" s="77"/>
      <c r="AQ3311" s="77" t="s">
        <v>15614</v>
      </c>
      <c r="AR3311" s="77">
        <v>15975</v>
      </c>
      <c r="AS3311" s="77"/>
      <c r="AT3311" s="77"/>
      <c r="AU3311" s="77"/>
      <c r="AV3311" s="83" t="str">
        <f>HYPERLINK("https://pbs.twimg.com/ext_tw_video_thumb/1662110488916893696/pu/img/mYiNFlSaB8nhL50U.jpg")</f>
        <v>https://pbs.twimg.com/ext_tw_video_thumb/1662110488916893696/pu/img/mYiNFlSaB8nhL50U.jpg</v>
      </c>
      <c r="AW3311" s="80" t="s">
        <v>19047</v>
      </c>
      <c r="AX3311" s="80" t="s">
        <v>19047</v>
      </c>
      <c r="AY3311" s="77"/>
      <c r="AZ3311" s="80" t="s">
        <v>20380</v>
      </c>
      <c r="BA3311" s="80" t="s">
        <v>20380</v>
      </c>
      <c r="BB3311" s="80" t="s">
        <v>20380</v>
      </c>
      <c r="BC3311" s="80" t="s">
        <v>19047</v>
      </c>
      <c r="BD3311" s="77">
        <v>113885149</v>
      </c>
      <c r="BE3311" s="77"/>
      <c r="BF3311" s="77"/>
      <c r="BG3311" s="77"/>
      <c r="BH3311" s="77"/>
      <c r="BI3311" s="77"/>
    </row>
    <row r="3312" spans="1:61" x14ac:dyDescent="0.25">
      <c r="A3312" s="62" t="s">
        <v>1316</v>
      </c>
      <c r="B3312" s="62" t="s">
        <v>1615</v>
      </c>
      <c r="C3312" s="63"/>
      <c r="D3312" s="64"/>
      <c r="E3312" s="65"/>
      <c r="F3312" s="66"/>
      <c r="G3312" s="63"/>
      <c r="H3312" s="67"/>
      <c r="I3312" s="68"/>
      <c r="J3312" s="68"/>
      <c r="K3312" s="32"/>
      <c r="L3312" s="75">
        <v>3312</v>
      </c>
      <c r="M3312" s="75"/>
      <c r="N3312" s="70"/>
      <c r="O3312" s="77" t="s">
        <v>2083</v>
      </c>
      <c r="P3312" s="79">
        <v>45189.31287037037</v>
      </c>
      <c r="Q3312" s="77" t="s">
        <v>2102</v>
      </c>
      <c r="R3312" s="77">
        <v>10</v>
      </c>
      <c r="S3312" s="77">
        <v>0</v>
      </c>
      <c r="T3312" s="77">
        <v>0</v>
      </c>
      <c r="U3312" s="77">
        <v>0</v>
      </c>
      <c r="V3312" s="77"/>
      <c r="W3312" s="80" t="s">
        <v>5899</v>
      </c>
      <c r="X3312" s="77"/>
      <c r="Y3312" s="77"/>
      <c r="Z3312" s="77" t="s">
        <v>1615</v>
      </c>
      <c r="AA3312" s="77" t="s">
        <v>9047</v>
      </c>
      <c r="AB3312" s="77" t="s">
        <v>10535</v>
      </c>
      <c r="AC3312" s="80" t="s">
        <v>10542</v>
      </c>
      <c r="AD3312" s="77" t="s">
        <v>10619</v>
      </c>
      <c r="AE3312" s="83" t="str">
        <f>HYPERLINK("https://twitter.com/dungonuvunga/status/1704397615427633169")</f>
        <v>https://twitter.com/dungonuvunga/status/1704397615427633169</v>
      </c>
      <c r="AF3312" s="79">
        <v>45189.31287037037</v>
      </c>
      <c r="AG3312" s="85">
        <v>45189</v>
      </c>
      <c r="AH3312" s="80" t="s">
        <v>13511</v>
      </c>
      <c r="AI3312" s="77" t="b">
        <v>0</v>
      </c>
      <c r="AJ3312" s="77"/>
      <c r="AK3312" s="77"/>
      <c r="AL3312" s="77"/>
      <c r="AM3312" s="77"/>
      <c r="AN3312" s="77"/>
      <c r="AO3312" s="77"/>
      <c r="AP3312" s="77"/>
      <c r="AQ3312" s="77" t="s">
        <v>14529</v>
      </c>
      <c r="AR3312" s="77"/>
      <c r="AS3312" s="77"/>
      <c r="AT3312" s="77"/>
      <c r="AU3312" s="77"/>
      <c r="AV3312" s="83" t="str">
        <f>HYPERLINK("https://pbs.twimg.com/media/F6c2kgoWAAAEEnO.jpg")</f>
        <v>https://pbs.twimg.com/media/F6c2kgoWAAAEEnO.jpg</v>
      </c>
      <c r="AW3312" s="80" t="s">
        <v>19048</v>
      </c>
      <c r="AX3312" s="80" t="s">
        <v>19048</v>
      </c>
      <c r="AY3312" s="77"/>
      <c r="AZ3312" s="80" t="s">
        <v>20380</v>
      </c>
      <c r="BA3312" s="80" t="s">
        <v>20380</v>
      </c>
      <c r="BB3312" s="80" t="s">
        <v>19728</v>
      </c>
      <c r="BC3312" s="80" t="s">
        <v>19728</v>
      </c>
      <c r="BD3312" s="77">
        <v>302615856</v>
      </c>
      <c r="BE3312" s="77"/>
      <c r="BF3312" s="77"/>
      <c r="BG3312" s="77"/>
      <c r="BH3312" s="77"/>
      <c r="BI3312" s="77"/>
    </row>
    <row r="3313" spans="1:61" x14ac:dyDescent="0.25">
      <c r="A3313" s="62" t="s">
        <v>1317</v>
      </c>
      <c r="B3313" s="62" t="s">
        <v>1317</v>
      </c>
      <c r="C3313" s="63"/>
      <c r="D3313" s="64"/>
      <c r="E3313" s="65"/>
      <c r="F3313" s="66"/>
      <c r="G3313" s="63"/>
      <c r="H3313" s="67"/>
      <c r="I3313" s="68"/>
      <c r="J3313" s="68"/>
      <c r="K3313" s="32"/>
      <c r="L3313" s="75">
        <v>3313</v>
      </c>
      <c r="M3313" s="75"/>
      <c r="N3313" s="70"/>
      <c r="O3313" s="77" t="s">
        <v>179</v>
      </c>
      <c r="P3313" s="79">
        <v>45050.013391203705</v>
      </c>
      <c r="Q3313" s="77" t="s">
        <v>5012</v>
      </c>
      <c r="R3313" s="77">
        <v>1</v>
      </c>
      <c r="S3313" s="77">
        <v>1</v>
      </c>
      <c r="T3313" s="77">
        <v>0</v>
      </c>
      <c r="U3313" s="77">
        <v>0</v>
      </c>
      <c r="V3313" s="77">
        <v>32</v>
      </c>
      <c r="W3313" s="80" t="s">
        <v>7936</v>
      </c>
      <c r="X3313" s="77" t="s">
        <v>8607</v>
      </c>
      <c r="Y3313" s="77" t="s">
        <v>8829</v>
      </c>
      <c r="Z3313" s="77"/>
      <c r="AA3313" s="77" t="s">
        <v>10134</v>
      </c>
      <c r="AB3313" s="77" t="s">
        <v>10535</v>
      </c>
      <c r="AC3313" s="80" t="s">
        <v>10541</v>
      </c>
      <c r="AD3313" s="77" t="s">
        <v>10620</v>
      </c>
      <c r="AE3313" s="83" t="str">
        <f>HYPERLINK("https://twitter.com/rd_teve/status/1653917175701295104")</f>
        <v>https://twitter.com/rd_teve/status/1653917175701295104</v>
      </c>
      <c r="AF3313" s="79">
        <v>45050.013391203705</v>
      </c>
      <c r="AG3313" s="85">
        <v>45050</v>
      </c>
      <c r="AH3313" s="80" t="s">
        <v>13512</v>
      </c>
      <c r="AI3313" s="77" t="b">
        <v>0</v>
      </c>
      <c r="AJ3313" s="77"/>
      <c r="AK3313" s="77"/>
      <c r="AL3313" s="77"/>
      <c r="AM3313" s="77"/>
      <c r="AN3313" s="77"/>
      <c r="AO3313" s="77"/>
      <c r="AP3313" s="77"/>
      <c r="AQ3313" s="77" t="s">
        <v>15615</v>
      </c>
      <c r="AR3313" s="77"/>
      <c r="AS3313" s="77"/>
      <c r="AT3313" s="77"/>
      <c r="AU3313" s="77"/>
      <c r="AV3313" s="83" t="str">
        <f>HYPERLINK("https://pbs.twimg.com/media/FvPkt8gXgAAF5zy.png")</f>
        <v>https://pbs.twimg.com/media/FvPkt8gXgAAF5zy.png</v>
      </c>
      <c r="AW3313" s="80" t="s">
        <v>19049</v>
      </c>
      <c r="AX3313" s="80" t="s">
        <v>19049</v>
      </c>
      <c r="AY3313" s="77"/>
      <c r="AZ3313" s="80" t="s">
        <v>20380</v>
      </c>
      <c r="BA3313" s="80" t="s">
        <v>20380</v>
      </c>
      <c r="BB3313" s="80" t="s">
        <v>20380</v>
      </c>
      <c r="BC3313" s="80" t="s">
        <v>19049</v>
      </c>
      <c r="BD3313" s="77">
        <v>300421231</v>
      </c>
      <c r="BE3313" s="77"/>
      <c r="BF3313" s="77"/>
      <c r="BG3313" s="77"/>
      <c r="BH3313" s="77"/>
      <c r="BI3313" s="77"/>
    </row>
    <row r="3314" spans="1:61" x14ac:dyDescent="0.25">
      <c r="A3314" s="62" t="s">
        <v>1318</v>
      </c>
      <c r="B3314" s="62" t="s">
        <v>1318</v>
      </c>
      <c r="C3314" s="63"/>
      <c r="D3314" s="64"/>
      <c r="E3314" s="65"/>
      <c r="F3314" s="66"/>
      <c r="G3314" s="63"/>
      <c r="H3314" s="67"/>
      <c r="I3314" s="68"/>
      <c r="J3314" s="68"/>
      <c r="K3314" s="32"/>
      <c r="L3314" s="75">
        <v>3314</v>
      </c>
      <c r="M3314" s="75"/>
      <c r="N3314" s="70"/>
      <c r="O3314" s="77" t="s">
        <v>179</v>
      </c>
      <c r="P3314" s="79">
        <v>45175.911180555559</v>
      </c>
      <c r="Q3314" s="77" t="s">
        <v>5013</v>
      </c>
      <c r="R3314" s="77">
        <v>0</v>
      </c>
      <c r="S3314" s="77">
        <v>0</v>
      </c>
      <c r="T3314" s="77">
        <v>0</v>
      </c>
      <c r="U3314" s="77">
        <v>0</v>
      </c>
      <c r="V3314" s="77">
        <v>32</v>
      </c>
      <c r="W3314" s="80" t="s">
        <v>7758</v>
      </c>
      <c r="X3314" s="83" t="str">
        <f>HYPERLINK("https://www.latercera.com/pulso/noticia/ipom-banco-central-fija-techo-de-pib-2023-en-0-y-sube-levemente-proyecciones-de-inflacion/YALUAHAA6NHQBBWOPKBV5LDVCU/")</f>
        <v>https://www.latercera.com/pulso/noticia/ipom-banco-central-fija-techo-de-pib-2023-en-0-y-sube-levemente-proyecciones-de-inflacion/YALUAHAA6NHQBBWOPKBV5LDVCU/</v>
      </c>
      <c r="Y3314" s="77" t="s">
        <v>8811</v>
      </c>
      <c r="Z3314" s="77"/>
      <c r="AA3314" s="77"/>
      <c r="AB3314" s="77"/>
      <c r="AC3314" s="80" t="s">
        <v>10556</v>
      </c>
      <c r="AD3314" s="77" t="s">
        <v>10620</v>
      </c>
      <c r="AE3314" s="83" t="str">
        <f>HYPERLINK("https://twitter.com/pyme/status/1699541007585460690")</f>
        <v>https://twitter.com/pyme/status/1699541007585460690</v>
      </c>
      <c r="AF3314" s="79">
        <v>45175.911180555559</v>
      </c>
      <c r="AG3314" s="85">
        <v>45175</v>
      </c>
      <c r="AH3314" s="80" t="s">
        <v>13513</v>
      </c>
      <c r="AI3314" s="77" t="b">
        <v>0</v>
      </c>
      <c r="AJ3314" s="77"/>
      <c r="AK3314" s="77"/>
      <c r="AL3314" s="77"/>
      <c r="AM3314" s="77"/>
      <c r="AN3314" s="77"/>
      <c r="AO3314" s="77"/>
      <c r="AP3314" s="77"/>
      <c r="AQ3314" s="77"/>
      <c r="AR3314" s="77"/>
      <c r="AS3314" s="77"/>
      <c r="AT3314" s="77"/>
      <c r="AU3314" s="77"/>
      <c r="AV3314" s="83" t="str">
        <f>HYPERLINK("https://pbs.twimg.com/profile_images/1035836741897412608/zX91cWvV_normal.jpg")</f>
        <v>https://pbs.twimg.com/profile_images/1035836741897412608/zX91cWvV_normal.jpg</v>
      </c>
      <c r="AW3314" s="80" t="s">
        <v>19050</v>
      </c>
      <c r="AX3314" s="80" t="s">
        <v>19050</v>
      </c>
      <c r="AY3314" s="77"/>
      <c r="AZ3314" s="80" t="s">
        <v>20380</v>
      </c>
      <c r="BA3314" s="80" t="s">
        <v>20380</v>
      </c>
      <c r="BB3314" s="80" t="s">
        <v>20380</v>
      </c>
      <c r="BC3314" s="80" t="s">
        <v>19050</v>
      </c>
      <c r="BD3314" s="77">
        <v>14847049</v>
      </c>
      <c r="BE3314" s="77"/>
      <c r="BF3314" s="77"/>
      <c r="BG3314" s="77"/>
      <c r="BH3314" s="77"/>
      <c r="BI3314" s="77"/>
    </row>
    <row r="3315" spans="1:61" x14ac:dyDescent="0.25">
      <c r="A3315" s="62" t="s">
        <v>1319</v>
      </c>
      <c r="B3315" s="62" t="s">
        <v>1716</v>
      </c>
      <c r="C3315" s="63"/>
      <c r="D3315" s="64"/>
      <c r="E3315" s="65"/>
      <c r="F3315" s="66"/>
      <c r="G3315" s="63"/>
      <c r="H3315" s="67"/>
      <c r="I3315" s="68"/>
      <c r="J3315" s="68"/>
      <c r="K3315" s="32"/>
      <c r="L3315" s="75">
        <v>3315</v>
      </c>
      <c r="M3315" s="75"/>
      <c r="N3315" s="70"/>
      <c r="O3315" s="77" t="s">
        <v>2081</v>
      </c>
      <c r="P3315" s="79">
        <v>45082.952986111108</v>
      </c>
      <c r="Q3315" s="77" t="s">
        <v>5014</v>
      </c>
      <c r="R3315" s="77">
        <v>0</v>
      </c>
      <c r="S3315" s="77">
        <v>0</v>
      </c>
      <c r="T3315" s="77">
        <v>0</v>
      </c>
      <c r="U3315" s="77">
        <v>0</v>
      </c>
      <c r="V3315" s="77">
        <v>10</v>
      </c>
      <c r="W3315" s="80" t="s">
        <v>7937</v>
      </c>
      <c r="X3315" s="83" t="str">
        <f>HYPERLINK("https://acortar.link/jL70eo")</f>
        <v>https://acortar.link/jL70eo</v>
      </c>
      <c r="Y3315" s="77" t="s">
        <v>8649</v>
      </c>
      <c r="Z3315" s="77" t="s">
        <v>1716</v>
      </c>
      <c r="AA3315" s="77" t="s">
        <v>10135</v>
      </c>
      <c r="AB3315" s="77" t="s">
        <v>10535</v>
      </c>
      <c r="AC3315" s="80" t="s">
        <v>10541</v>
      </c>
      <c r="AD3315" s="77" t="s">
        <v>10620</v>
      </c>
      <c r="AE3315" s="83" t="str">
        <f>HYPERLINK("https://twitter.com/liafmradio/status/1665854084765696002")</f>
        <v>https://twitter.com/liafmradio/status/1665854084765696002</v>
      </c>
      <c r="AF3315" s="79">
        <v>45082.952986111108</v>
      </c>
      <c r="AG3315" s="85">
        <v>45082</v>
      </c>
      <c r="AH3315" s="80" t="s">
        <v>13514</v>
      </c>
      <c r="AI3315" s="77" t="b">
        <v>0</v>
      </c>
      <c r="AJ3315" s="77"/>
      <c r="AK3315" s="77"/>
      <c r="AL3315" s="77"/>
      <c r="AM3315" s="77"/>
      <c r="AN3315" s="77"/>
      <c r="AO3315" s="77"/>
      <c r="AP3315" s="77"/>
      <c r="AQ3315" s="77" t="s">
        <v>15616</v>
      </c>
      <c r="AR3315" s="77"/>
      <c r="AS3315" s="77"/>
      <c r="AT3315" s="77"/>
      <c r="AU3315" s="77"/>
      <c r="AV3315" s="83" t="str">
        <f>HYPERLINK("https://pbs.twimg.com/media/Fx5NVXHWcAA50hx.jpg")</f>
        <v>https://pbs.twimg.com/media/Fx5NVXHWcAA50hx.jpg</v>
      </c>
      <c r="AW3315" s="80" t="s">
        <v>19051</v>
      </c>
      <c r="AX3315" s="80" t="s">
        <v>19051</v>
      </c>
      <c r="AY3315" s="77"/>
      <c r="AZ3315" s="80" t="s">
        <v>20380</v>
      </c>
      <c r="BA3315" s="80" t="s">
        <v>20380</v>
      </c>
      <c r="BB3315" s="80" t="s">
        <v>20380</v>
      </c>
      <c r="BC3315" s="80" t="s">
        <v>19051</v>
      </c>
      <c r="BD3315" s="80" t="s">
        <v>21032</v>
      </c>
      <c r="BE3315" s="77"/>
      <c r="BF3315" s="77"/>
      <c r="BG3315" s="77"/>
      <c r="BH3315" s="77"/>
      <c r="BI3315" s="77"/>
    </row>
    <row r="3316" spans="1:61" x14ac:dyDescent="0.25">
      <c r="A3316" s="62" t="s">
        <v>1320</v>
      </c>
      <c r="B3316" s="62" t="s">
        <v>1865</v>
      </c>
      <c r="C3316" s="63"/>
      <c r="D3316" s="64"/>
      <c r="E3316" s="65"/>
      <c r="F3316" s="66"/>
      <c r="G3316" s="63"/>
      <c r="H3316" s="67"/>
      <c r="I3316" s="68"/>
      <c r="J3316" s="68"/>
      <c r="K3316" s="32"/>
      <c r="L3316" s="75">
        <v>3316</v>
      </c>
      <c r="M3316" s="75"/>
      <c r="N3316" s="70"/>
      <c r="O3316" s="77" t="s">
        <v>2081</v>
      </c>
      <c r="P3316" s="79">
        <v>45138.530949074076</v>
      </c>
      <c r="Q3316" s="77" t="s">
        <v>5015</v>
      </c>
      <c r="R3316" s="77">
        <v>0</v>
      </c>
      <c r="S3316" s="77">
        <v>0</v>
      </c>
      <c r="T3316" s="77">
        <v>1</v>
      </c>
      <c r="U3316" s="77">
        <v>0</v>
      </c>
      <c r="V3316" s="77">
        <v>32</v>
      </c>
      <c r="W3316" s="80" t="s">
        <v>7938</v>
      </c>
      <c r="X3316" s="77"/>
      <c r="Y3316" s="77"/>
      <c r="Z3316" s="77" t="s">
        <v>9008</v>
      </c>
      <c r="AA3316" s="77" t="s">
        <v>10136</v>
      </c>
      <c r="AB3316" s="77" t="s">
        <v>10535</v>
      </c>
      <c r="AC3316" s="80" t="s">
        <v>10540</v>
      </c>
      <c r="AD3316" s="77" t="s">
        <v>10619</v>
      </c>
      <c r="AE3316" s="83" t="str">
        <f>HYPERLINK("https://twitter.com/squillantte/status/1685994862355566592")</f>
        <v>https://twitter.com/squillantte/status/1685994862355566592</v>
      </c>
      <c r="AF3316" s="79">
        <v>45138.530949074076</v>
      </c>
      <c r="AG3316" s="85">
        <v>45138</v>
      </c>
      <c r="AH3316" s="80" t="s">
        <v>13515</v>
      </c>
      <c r="AI3316" s="77" t="b">
        <v>0</v>
      </c>
      <c r="AJ3316" s="77"/>
      <c r="AK3316" s="77"/>
      <c r="AL3316" s="77"/>
      <c r="AM3316" s="77"/>
      <c r="AN3316" s="77"/>
      <c r="AO3316" s="77"/>
      <c r="AP3316" s="77"/>
      <c r="AQ3316" s="77" t="s">
        <v>15617</v>
      </c>
      <c r="AR3316" s="77"/>
      <c r="AS3316" s="77"/>
      <c r="AT3316" s="77"/>
      <c r="AU3316" s="77"/>
      <c r="AV3316" s="83" t="str">
        <f>HYPERLINK("https://pbs.twimg.com/media/F2XbYbUXYAEKdjM.jpg")</f>
        <v>https://pbs.twimg.com/media/F2XbYbUXYAEKdjM.jpg</v>
      </c>
      <c r="AW3316" s="80" t="s">
        <v>19052</v>
      </c>
      <c r="AX3316" s="80" t="s">
        <v>19052</v>
      </c>
      <c r="AY3316" s="77"/>
      <c r="AZ3316" s="80" t="s">
        <v>20380</v>
      </c>
      <c r="BA3316" s="80" t="s">
        <v>20380</v>
      </c>
      <c r="BB3316" s="80" t="s">
        <v>20380</v>
      </c>
      <c r="BC3316" s="80" t="s">
        <v>19052</v>
      </c>
      <c r="BD3316" s="80" t="s">
        <v>21033</v>
      </c>
      <c r="BE3316" s="77"/>
      <c r="BF3316" s="77"/>
      <c r="BG3316" s="77"/>
      <c r="BH3316" s="77"/>
      <c r="BI3316" s="77"/>
    </row>
    <row r="3317" spans="1:61" x14ac:dyDescent="0.25">
      <c r="A3317" s="62" t="s">
        <v>1320</v>
      </c>
      <c r="B3317" s="62" t="s">
        <v>2010</v>
      </c>
      <c r="C3317" s="63"/>
      <c r="D3317" s="64"/>
      <c r="E3317" s="65"/>
      <c r="F3317" s="66"/>
      <c r="G3317" s="63"/>
      <c r="H3317" s="67"/>
      <c r="I3317" s="68"/>
      <c r="J3317" s="68"/>
      <c r="K3317" s="32"/>
      <c r="L3317" s="75">
        <v>3317</v>
      </c>
      <c r="M3317" s="75"/>
      <c r="N3317" s="70"/>
      <c r="O3317" s="77" t="s">
        <v>2081</v>
      </c>
      <c r="P3317" s="79">
        <v>45138.530949074076</v>
      </c>
      <c r="Q3317" s="77" t="s">
        <v>5015</v>
      </c>
      <c r="R3317" s="77">
        <v>0</v>
      </c>
      <c r="S3317" s="77">
        <v>0</v>
      </c>
      <c r="T3317" s="77">
        <v>1</v>
      </c>
      <c r="U3317" s="77">
        <v>0</v>
      </c>
      <c r="V3317" s="77">
        <v>32</v>
      </c>
      <c r="W3317" s="80" t="s">
        <v>7938</v>
      </c>
      <c r="X3317" s="77"/>
      <c r="Y3317" s="77"/>
      <c r="Z3317" s="77" t="s">
        <v>9008</v>
      </c>
      <c r="AA3317" s="77" t="s">
        <v>10136</v>
      </c>
      <c r="AB3317" s="77" t="s">
        <v>10535</v>
      </c>
      <c r="AC3317" s="80" t="s">
        <v>10540</v>
      </c>
      <c r="AD3317" s="77" t="s">
        <v>10619</v>
      </c>
      <c r="AE3317" s="83" t="str">
        <f>HYPERLINK("https://twitter.com/squillantte/status/1685994862355566592")</f>
        <v>https://twitter.com/squillantte/status/1685994862355566592</v>
      </c>
      <c r="AF3317" s="79">
        <v>45138.530949074076</v>
      </c>
      <c r="AG3317" s="85">
        <v>45138</v>
      </c>
      <c r="AH3317" s="80" t="s">
        <v>13515</v>
      </c>
      <c r="AI3317" s="77" t="b">
        <v>0</v>
      </c>
      <c r="AJ3317" s="77"/>
      <c r="AK3317" s="77"/>
      <c r="AL3317" s="77"/>
      <c r="AM3317" s="77"/>
      <c r="AN3317" s="77"/>
      <c r="AO3317" s="77"/>
      <c r="AP3317" s="77"/>
      <c r="AQ3317" s="77" t="s">
        <v>15617</v>
      </c>
      <c r="AR3317" s="77"/>
      <c r="AS3317" s="77"/>
      <c r="AT3317" s="77"/>
      <c r="AU3317" s="77"/>
      <c r="AV3317" s="83" t="str">
        <f>HYPERLINK("https://pbs.twimg.com/media/F2XbYbUXYAEKdjM.jpg")</f>
        <v>https://pbs.twimg.com/media/F2XbYbUXYAEKdjM.jpg</v>
      </c>
      <c r="AW3317" s="80" t="s">
        <v>19052</v>
      </c>
      <c r="AX3317" s="80" t="s">
        <v>19052</v>
      </c>
      <c r="AY3317" s="77"/>
      <c r="AZ3317" s="80" t="s">
        <v>20380</v>
      </c>
      <c r="BA3317" s="80" t="s">
        <v>20380</v>
      </c>
      <c r="BB3317" s="80" t="s">
        <v>20380</v>
      </c>
      <c r="BC3317" s="80" t="s">
        <v>19052</v>
      </c>
      <c r="BD3317" s="80" t="s">
        <v>21033</v>
      </c>
      <c r="BE3317" s="77"/>
      <c r="BF3317" s="77"/>
      <c r="BG3317" s="77"/>
      <c r="BH3317" s="77"/>
      <c r="BI3317" s="77"/>
    </row>
    <row r="3318" spans="1:61" x14ac:dyDescent="0.25">
      <c r="A3318" s="62" t="s">
        <v>1320</v>
      </c>
      <c r="B3318" s="62" t="s">
        <v>1596</v>
      </c>
      <c r="C3318" s="63"/>
      <c r="D3318" s="64"/>
      <c r="E3318" s="65"/>
      <c r="F3318" s="66"/>
      <c r="G3318" s="63"/>
      <c r="H3318" s="67"/>
      <c r="I3318" s="68"/>
      <c r="J3318" s="68"/>
      <c r="K3318" s="32"/>
      <c r="L3318" s="75">
        <v>3318</v>
      </c>
      <c r="M3318" s="75"/>
      <c r="N3318" s="70"/>
      <c r="O3318" s="77" t="s">
        <v>2081</v>
      </c>
      <c r="P3318" s="79">
        <v>45138.530949074076</v>
      </c>
      <c r="Q3318" s="77" t="s">
        <v>5015</v>
      </c>
      <c r="R3318" s="77">
        <v>0</v>
      </c>
      <c r="S3318" s="77">
        <v>0</v>
      </c>
      <c r="T3318" s="77">
        <v>1</v>
      </c>
      <c r="U3318" s="77">
        <v>0</v>
      </c>
      <c r="V3318" s="77">
        <v>32</v>
      </c>
      <c r="W3318" s="80" t="s">
        <v>7938</v>
      </c>
      <c r="X3318" s="77"/>
      <c r="Y3318" s="77"/>
      <c r="Z3318" s="77" t="s">
        <v>9008</v>
      </c>
      <c r="AA3318" s="77" t="s">
        <v>10136</v>
      </c>
      <c r="AB3318" s="77" t="s">
        <v>10535</v>
      </c>
      <c r="AC3318" s="80" t="s">
        <v>10540</v>
      </c>
      <c r="AD3318" s="77" t="s">
        <v>10619</v>
      </c>
      <c r="AE3318" s="83" t="str">
        <f>HYPERLINK("https://twitter.com/squillantte/status/1685994862355566592")</f>
        <v>https://twitter.com/squillantte/status/1685994862355566592</v>
      </c>
      <c r="AF3318" s="79">
        <v>45138.530949074076</v>
      </c>
      <c r="AG3318" s="85">
        <v>45138</v>
      </c>
      <c r="AH3318" s="80" t="s">
        <v>13515</v>
      </c>
      <c r="AI3318" s="77" t="b">
        <v>0</v>
      </c>
      <c r="AJ3318" s="77"/>
      <c r="AK3318" s="77"/>
      <c r="AL3318" s="77"/>
      <c r="AM3318" s="77"/>
      <c r="AN3318" s="77"/>
      <c r="AO3318" s="77"/>
      <c r="AP3318" s="77"/>
      <c r="AQ3318" s="77" t="s">
        <v>15617</v>
      </c>
      <c r="AR3318" s="77"/>
      <c r="AS3318" s="77"/>
      <c r="AT3318" s="77"/>
      <c r="AU3318" s="77"/>
      <c r="AV3318" s="83" t="str">
        <f>HYPERLINK("https://pbs.twimg.com/media/F2XbYbUXYAEKdjM.jpg")</f>
        <v>https://pbs.twimg.com/media/F2XbYbUXYAEKdjM.jpg</v>
      </c>
      <c r="AW3318" s="80" t="s">
        <v>19052</v>
      </c>
      <c r="AX3318" s="80" t="s">
        <v>19052</v>
      </c>
      <c r="AY3318" s="77"/>
      <c r="AZ3318" s="80" t="s">
        <v>20380</v>
      </c>
      <c r="BA3318" s="80" t="s">
        <v>20380</v>
      </c>
      <c r="BB3318" s="80" t="s">
        <v>20380</v>
      </c>
      <c r="BC3318" s="80" t="s">
        <v>19052</v>
      </c>
      <c r="BD3318" s="80" t="s">
        <v>21033</v>
      </c>
      <c r="BE3318" s="77"/>
      <c r="BF3318" s="77"/>
      <c r="BG3318" s="77"/>
      <c r="BH3318" s="77"/>
      <c r="BI3318" s="77"/>
    </row>
    <row r="3319" spans="1:61" x14ac:dyDescent="0.25">
      <c r="A3319" s="62" t="s">
        <v>1321</v>
      </c>
      <c r="B3319" s="62" t="s">
        <v>1321</v>
      </c>
      <c r="C3319" s="63"/>
      <c r="D3319" s="64"/>
      <c r="E3319" s="65"/>
      <c r="F3319" s="66"/>
      <c r="G3319" s="63"/>
      <c r="H3319" s="67"/>
      <c r="I3319" s="68"/>
      <c r="J3319" s="68"/>
      <c r="K3319" s="32"/>
      <c r="L3319" s="75">
        <v>3319</v>
      </c>
      <c r="M3319" s="75"/>
      <c r="N3319" s="70"/>
      <c r="O3319" s="77" t="s">
        <v>179</v>
      </c>
      <c r="P3319" s="79">
        <v>45087.607037037036</v>
      </c>
      <c r="Q3319" s="77" t="s">
        <v>5016</v>
      </c>
      <c r="R3319" s="77">
        <v>0</v>
      </c>
      <c r="S3319" s="77">
        <v>0</v>
      </c>
      <c r="T3319" s="77">
        <v>0</v>
      </c>
      <c r="U3319" s="77">
        <v>0</v>
      </c>
      <c r="V3319" s="77">
        <v>29</v>
      </c>
      <c r="W3319" s="80" t="s">
        <v>6325</v>
      </c>
      <c r="X3319" s="83" t="str">
        <f>HYPERLINK("https://noticiasdemogi.com.br/sistema-de-valores-a-receber-do-banco-central-ainda-tem-r-7-bilhoes-em-dinheiro-esquecido/")</f>
        <v>https://noticiasdemogi.com.br/sistema-de-valores-a-receber-do-banco-central-ainda-tem-r-7-bilhoes-em-dinheiro-esquecido/</v>
      </c>
      <c r="Y3319" s="77" t="s">
        <v>8611</v>
      </c>
      <c r="Z3319" s="77"/>
      <c r="AA3319" s="77"/>
      <c r="AB3319" s="77"/>
      <c r="AC3319" s="80" t="s">
        <v>10541</v>
      </c>
      <c r="AD3319" s="77" t="s">
        <v>10617</v>
      </c>
      <c r="AE3319" s="83" t="str">
        <f>HYPERLINK("https://twitter.com/noticiasdemogi/status/1667540654400962560")</f>
        <v>https://twitter.com/noticiasdemogi/status/1667540654400962560</v>
      </c>
      <c r="AF3319" s="79">
        <v>45087.607037037036</v>
      </c>
      <c r="AG3319" s="85">
        <v>45087</v>
      </c>
      <c r="AH3319" s="80" t="s">
        <v>13516</v>
      </c>
      <c r="AI3319" s="77" t="b">
        <v>0</v>
      </c>
      <c r="AJ3319" s="77"/>
      <c r="AK3319" s="77"/>
      <c r="AL3319" s="77"/>
      <c r="AM3319" s="77"/>
      <c r="AN3319" s="77"/>
      <c r="AO3319" s="77"/>
      <c r="AP3319" s="77"/>
      <c r="AQ3319" s="77"/>
      <c r="AR3319" s="77"/>
      <c r="AS3319" s="77"/>
      <c r="AT3319" s="77"/>
      <c r="AU3319" s="77"/>
      <c r="AV3319" s="83" t="str">
        <f>HYPERLINK("https://pbs.twimg.com/profile_images/1309515950312521728/KjUL6n2__normal.jpg")</f>
        <v>https://pbs.twimg.com/profile_images/1309515950312521728/KjUL6n2__normal.jpg</v>
      </c>
      <c r="AW3319" s="80" t="s">
        <v>19053</v>
      </c>
      <c r="AX3319" s="80" t="s">
        <v>19053</v>
      </c>
      <c r="AY3319" s="77"/>
      <c r="AZ3319" s="80" t="s">
        <v>20380</v>
      </c>
      <c r="BA3319" s="80" t="s">
        <v>20380</v>
      </c>
      <c r="BB3319" s="80" t="s">
        <v>20380</v>
      </c>
      <c r="BC3319" s="80" t="s">
        <v>19053</v>
      </c>
      <c r="BD3319" s="80" t="s">
        <v>21034</v>
      </c>
      <c r="BE3319" s="77"/>
      <c r="BF3319" s="77"/>
      <c r="BG3319" s="77"/>
      <c r="BH3319" s="77"/>
      <c r="BI3319" s="77"/>
    </row>
    <row r="3320" spans="1:61" x14ac:dyDescent="0.25">
      <c r="A3320" s="62" t="s">
        <v>1321</v>
      </c>
      <c r="B3320" s="62" t="s">
        <v>1321</v>
      </c>
      <c r="C3320" s="63"/>
      <c r="D3320" s="64"/>
      <c r="E3320" s="65"/>
      <c r="F3320" s="66"/>
      <c r="G3320" s="63"/>
      <c r="H3320" s="67"/>
      <c r="I3320" s="68"/>
      <c r="J3320" s="68"/>
      <c r="K3320" s="32"/>
      <c r="L3320" s="75">
        <v>3320</v>
      </c>
      <c r="M3320" s="75"/>
      <c r="N3320" s="70"/>
      <c r="O3320" s="77" t="s">
        <v>179</v>
      </c>
      <c r="P3320" s="79">
        <v>45114.890104166669</v>
      </c>
      <c r="Q3320" s="77" t="s">
        <v>5017</v>
      </c>
      <c r="R3320" s="77">
        <v>0</v>
      </c>
      <c r="S3320" s="77">
        <v>0</v>
      </c>
      <c r="T3320" s="77">
        <v>0</v>
      </c>
      <c r="U3320" s="77">
        <v>0</v>
      </c>
      <c r="V3320" s="77">
        <v>39</v>
      </c>
      <c r="W3320" s="80" t="s">
        <v>6324</v>
      </c>
      <c r="X3320" s="83" t="str">
        <f>HYPERLINK("https://noticiasdemogi.com.br/valores-a-receber-banco-central-diz-que-ainda-ha-r-7-bilhoes-em-dinheiro-esquecido/")</f>
        <v>https://noticiasdemogi.com.br/valores-a-receber-banco-central-diz-que-ainda-ha-r-7-bilhoes-em-dinheiro-esquecido/</v>
      </c>
      <c r="Y3320" s="77" t="s">
        <v>8611</v>
      </c>
      <c r="Z3320" s="77"/>
      <c r="AA3320" s="77"/>
      <c r="AB3320" s="77"/>
      <c r="AC3320" s="80" t="s">
        <v>10541</v>
      </c>
      <c r="AD3320" s="77" t="s">
        <v>10617</v>
      </c>
      <c r="AE3320" s="83" t="str">
        <f>HYPERLINK("https://twitter.com/noticiasdemogi/status/1677427708765122562")</f>
        <v>https://twitter.com/noticiasdemogi/status/1677427708765122562</v>
      </c>
      <c r="AF3320" s="79">
        <v>45114.890104166669</v>
      </c>
      <c r="AG3320" s="85">
        <v>45114</v>
      </c>
      <c r="AH3320" s="80" t="s">
        <v>13517</v>
      </c>
      <c r="AI3320" s="77" t="b">
        <v>0</v>
      </c>
      <c r="AJ3320" s="77"/>
      <c r="AK3320" s="77"/>
      <c r="AL3320" s="77"/>
      <c r="AM3320" s="77"/>
      <c r="AN3320" s="77"/>
      <c r="AO3320" s="77"/>
      <c r="AP3320" s="77"/>
      <c r="AQ3320" s="77"/>
      <c r="AR3320" s="77"/>
      <c r="AS3320" s="77"/>
      <c r="AT3320" s="77"/>
      <c r="AU3320" s="77"/>
      <c r="AV3320" s="83" t="str">
        <f>HYPERLINK("https://pbs.twimg.com/profile_images/1309515950312521728/KjUL6n2__normal.jpg")</f>
        <v>https://pbs.twimg.com/profile_images/1309515950312521728/KjUL6n2__normal.jpg</v>
      </c>
      <c r="AW3320" s="80" t="s">
        <v>19054</v>
      </c>
      <c r="AX3320" s="80" t="s">
        <v>19054</v>
      </c>
      <c r="AY3320" s="77"/>
      <c r="AZ3320" s="80" t="s">
        <v>20380</v>
      </c>
      <c r="BA3320" s="80" t="s">
        <v>20380</v>
      </c>
      <c r="BB3320" s="80" t="s">
        <v>20380</v>
      </c>
      <c r="BC3320" s="80" t="s">
        <v>19054</v>
      </c>
      <c r="BD3320" s="80" t="s">
        <v>21034</v>
      </c>
      <c r="BE3320" s="77"/>
      <c r="BF3320" s="77"/>
      <c r="BG3320" s="77"/>
      <c r="BH3320" s="77"/>
      <c r="BI3320" s="77"/>
    </row>
    <row r="3321" spans="1:61" x14ac:dyDescent="0.25">
      <c r="A3321" s="62" t="s">
        <v>1321</v>
      </c>
      <c r="B3321" s="62" t="s">
        <v>1321</v>
      </c>
      <c r="C3321" s="63"/>
      <c r="D3321" s="64"/>
      <c r="E3321" s="65"/>
      <c r="F3321" s="66"/>
      <c r="G3321" s="63"/>
      <c r="H3321" s="67"/>
      <c r="I3321" s="68"/>
      <c r="J3321" s="68"/>
      <c r="K3321" s="32"/>
      <c r="L3321" s="75">
        <v>3321</v>
      </c>
      <c r="M3321" s="75"/>
      <c r="N3321" s="70"/>
      <c r="O3321" s="77" t="s">
        <v>179</v>
      </c>
      <c r="P3321" s="79">
        <v>45193.968229166669</v>
      </c>
      <c r="Q3321" s="77" t="s">
        <v>5018</v>
      </c>
      <c r="R3321" s="77">
        <v>0</v>
      </c>
      <c r="S3321" s="77">
        <v>0</v>
      </c>
      <c r="T3321" s="77">
        <v>0</v>
      </c>
      <c r="U3321" s="77">
        <v>0</v>
      </c>
      <c r="V3321" s="77">
        <v>24</v>
      </c>
      <c r="W3321" s="80" t="s">
        <v>7939</v>
      </c>
      <c r="X3321" s="83" t="str">
        <f>HYPERLINK("https://noticiasdemogi.com.br/valores-a-receber-veja-como-sacar-dinheiro-esquecido-de-pessoas-falecidas/")</f>
        <v>https://noticiasdemogi.com.br/valores-a-receber-veja-como-sacar-dinheiro-esquecido-de-pessoas-falecidas/</v>
      </c>
      <c r="Y3321" s="77" t="s">
        <v>8611</v>
      </c>
      <c r="Z3321" s="77"/>
      <c r="AA3321" s="77"/>
      <c r="AB3321" s="77"/>
      <c r="AC3321" s="80" t="s">
        <v>10541</v>
      </c>
      <c r="AD3321" s="77" t="s">
        <v>10617</v>
      </c>
      <c r="AE3321" s="83" t="str">
        <f>HYPERLINK("https://twitter.com/noticiasdemogi/status/1706084660785057817")</f>
        <v>https://twitter.com/noticiasdemogi/status/1706084660785057817</v>
      </c>
      <c r="AF3321" s="79">
        <v>45193.968229166669</v>
      </c>
      <c r="AG3321" s="85">
        <v>45193</v>
      </c>
      <c r="AH3321" s="80" t="s">
        <v>13518</v>
      </c>
      <c r="AI3321" s="77" t="b">
        <v>0</v>
      </c>
      <c r="AJ3321" s="77"/>
      <c r="AK3321" s="77"/>
      <c r="AL3321" s="77"/>
      <c r="AM3321" s="77"/>
      <c r="AN3321" s="77"/>
      <c r="AO3321" s="77"/>
      <c r="AP3321" s="77"/>
      <c r="AQ3321" s="77"/>
      <c r="AR3321" s="77"/>
      <c r="AS3321" s="77"/>
      <c r="AT3321" s="77"/>
      <c r="AU3321" s="77"/>
      <c r="AV3321" s="83" t="str">
        <f>HYPERLINK("https://pbs.twimg.com/profile_images/1309515950312521728/KjUL6n2__normal.jpg")</f>
        <v>https://pbs.twimg.com/profile_images/1309515950312521728/KjUL6n2__normal.jpg</v>
      </c>
      <c r="AW3321" s="80" t="s">
        <v>19055</v>
      </c>
      <c r="AX3321" s="80" t="s">
        <v>19055</v>
      </c>
      <c r="AY3321" s="77"/>
      <c r="AZ3321" s="80" t="s">
        <v>20380</v>
      </c>
      <c r="BA3321" s="80" t="s">
        <v>20380</v>
      </c>
      <c r="BB3321" s="80" t="s">
        <v>20380</v>
      </c>
      <c r="BC3321" s="80" t="s">
        <v>19055</v>
      </c>
      <c r="BD3321" s="80" t="s">
        <v>21034</v>
      </c>
      <c r="BE3321" s="77"/>
      <c r="BF3321" s="77"/>
      <c r="BG3321" s="77"/>
      <c r="BH3321" s="77"/>
      <c r="BI3321" s="77"/>
    </row>
    <row r="3322" spans="1:61" x14ac:dyDescent="0.25">
      <c r="A3322" s="62" t="s">
        <v>1322</v>
      </c>
      <c r="B3322" s="62" t="s">
        <v>1322</v>
      </c>
      <c r="C3322" s="63"/>
      <c r="D3322" s="64"/>
      <c r="E3322" s="65"/>
      <c r="F3322" s="66"/>
      <c r="G3322" s="63"/>
      <c r="H3322" s="67"/>
      <c r="I3322" s="68"/>
      <c r="J3322" s="68"/>
      <c r="K3322" s="32"/>
      <c r="L3322" s="75">
        <v>3322</v>
      </c>
      <c r="M3322" s="75"/>
      <c r="N3322" s="70"/>
      <c r="O3322" s="77" t="s">
        <v>179</v>
      </c>
      <c r="P3322" s="79">
        <v>45108.98228009259</v>
      </c>
      <c r="Q3322" s="77" t="s">
        <v>5019</v>
      </c>
      <c r="R3322" s="77">
        <v>0</v>
      </c>
      <c r="S3322" s="77">
        <v>0</v>
      </c>
      <c r="T3322" s="77">
        <v>0</v>
      </c>
      <c r="U3322" s="77">
        <v>0</v>
      </c>
      <c r="V3322" s="77">
        <v>146</v>
      </c>
      <c r="W3322" s="80" t="s">
        <v>7940</v>
      </c>
      <c r="X3322" s="77"/>
      <c r="Y3322" s="77"/>
      <c r="Z3322" s="77"/>
      <c r="AA3322" s="77" t="s">
        <v>10137</v>
      </c>
      <c r="AB3322" s="77" t="s">
        <v>10534</v>
      </c>
      <c r="AC3322" s="80" t="s">
        <v>10540</v>
      </c>
      <c r="AD3322" s="77" t="s">
        <v>10620</v>
      </c>
      <c r="AE3322" s="83" t="str">
        <f>HYPERLINK("https://twitter.com/jscapolo/status/1675286783230193664")</f>
        <v>https://twitter.com/jscapolo/status/1675286783230193664</v>
      </c>
      <c r="AF3322" s="79">
        <v>45108.98228009259</v>
      </c>
      <c r="AG3322" s="85">
        <v>45108</v>
      </c>
      <c r="AH3322" s="80" t="s">
        <v>13519</v>
      </c>
      <c r="AI3322" s="77" t="b">
        <v>0</v>
      </c>
      <c r="AJ3322" s="77"/>
      <c r="AK3322" s="77"/>
      <c r="AL3322" s="77"/>
      <c r="AM3322" s="77"/>
      <c r="AN3322" s="77"/>
      <c r="AO3322" s="77"/>
      <c r="AP3322" s="77"/>
      <c r="AQ3322" s="77" t="s">
        <v>15618</v>
      </c>
      <c r="AR3322" s="77">
        <v>26967</v>
      </c>
      <c r="AS3322" s="77"/>
      <c r="AT3322" s="77"/>
      <c r="AU3322" s="77"/>
      <c r="AV3322" s="83" t="str">
        <f>HYPERLINK("https://pbs.twimg.com/ext_tw_video_thumb/1675286723771658241/pu/img/mwsknL3DwQDc8D6J.jpg")</f>
        <v>https://pbs.twimg.com/ext_tw_video_thumb/1675286723771658241/pu/img/mwsknL3DwQDc8D6J.jpg</v>
      </c>
      <c r="AW3322" s="80" t="s">
        <v>19056</v>
      </c>
      <c r="AX3322" s="80" t="s">
        <v>19056</v>
      </c>
      <c r="AY3322" s="77"/>
      <c r="AZ3322" s="80" t="s">
        <v>20380</v>
      </c>
      <c r="BA3322" s="80" t="s">
        <v>20380</v>
      </c>
      <c r="BB3322" s="80" t="s">
        <v>20380</v>
      </c>
      <c r="BC3322" s="80" t="s">
        <v>19056</v>
      </c>
      <c r="BD3322" s="77">
        <v>227042671</v>
      </c>
      <c r="BE3322" s="77"/>
      <c r="BF3322" s="77"/>
      <c r="BG3322" s="77"/>
      <c r="BH3322" s="77"/>
      <c r="BI3322" s="77"/>
    </row>
    <row r="3323" spans="1:61" x14ac:dyDescent="0.25">
      <c r="A3323" s="62" t="s">
        <v>1323</v>
      </c>
      <c r="B3323" s="62" t="s">
        <v>1655</v>
      </c>
      <c r="C3323" s="63"/>
      <c r="D3323" s="64"/>
      <c r="E3323" s="65"/>
      <c r="F3323" s="66"/>
      <c r="G3323" s="63"/>
      <c r="H3323" s="67"/>
      <c r="I3323" s="68"/>
      <c r="J3323" s="68"/>
      <c r="K3323" s="32"/>
      <c r="L3323" s="75">
        <v>3323</v>
      </c>
      <c r="M3323" s="75"/>
      <c r="N3323" s="70"/>
      <c r="O3323" s="77" t="s">
        <v>2083</v>
      </c>
      <c r="P3323" s="79">
        <v>45191.442511574074</v>
      </c>
      <c r="Q3323" s="77" t="s">
        <v>2120</v>
      </c>
      <c r="R3323" s="77">
        <v>57</v>
      </c>
      <c r="S3323" s="77">
        <v>0</v>
      </c>
      <c r="T3323" s="77">
        <v>0</v>
      </c>
      <c r="U3323" s="77">
        <v>0</v>
      </c>
      <c r="V3323" s="77"/>
      <c r="W3323" s="80" t="s">
        <v>5917</v>
      </c>
      <c r="X3323" s="77"/>
      <c r="Y3323" s="77"/>
      <c r="Z3323" s="77" t="s">
        <v>1655</v>
      </c>
      <c r="AA3323" s="77"/>
      <c r="AB3323" s="77"/>
      <c r="AC3323" s="80" t="s">
        <v>10540</v>
      </c>
      <c r="AD3323" s="77" t="s">
        <v>10617</v>
      </c>
      <c r="AE3323" s="83" t="str">
        <f>HYPERLINK("https://twitter.com/everald24581144/status/1705169374036774992")</f>
        <v>https://twitter.com/everald24581144/status/1705169374036774992</v>
      </c>
      <c r="AF3323" s="79">
        <v>45191.442511574074</v>
      </c>
      <c r="AG3323" s="85">
        <v>45191</v>
      </c>
      <c r="AH3323" s="80" t="s">
        <v>13520</v>
      </c>
      <c r="AI3323" s="77"/>
      <c r="AJ3323" s="77"/>
      <c r="AK3323" s="77"/>
      <c r="AL3323" s="77"/>
      <c r="AM3323" s="77"/>
      <c r="AN3323" s="77"/>
      <c r="AO3323" s="77"/>
      <c r="AP3323" s="77"/>
      <c r="AQ3323" s="77"/>
      <c r="AR3323" s="77"/>
      <c r="AS3323" s="77"/>
      <c r="AT3323" s="77"/>
      <c r="AU3323" s="77"/>
      <c r="AV3323" s="83" t="str">
        <f>HYPERLINK("https://pbs.twimg.com/profile_images/1606077033326444545/Ih-UiPOU_normal.png")</f>
        <v>https://pbs.twimg.com/profile_images/1606077033326444545/Ih-UiPOU_normal.png</v>
      </c>
      <c r="AW3323" s="80" t="s">
        <v>19057</v>
      </c>
      <c r="AX3323" s="80" t="s">
        <v>19057</v>
      </c>
      <c r="AY3323" s="77"/>
      <c r="AZ3323" s="80" t="s">
        <v>20380</v>
      </c>
      <c r="BA3323" s="80" t="s">
        <v>20380</v>
      </c>
      <c r="BB3323" s="80" t="s">
        <v>19843</v>
      </c>
      <c r="BC3323" s="80" t="s">
        <v>19843</v>
      </c>
      <c r="BD3323" s="80" t="s">
        <v>21035</v>
      </c>
      <c r="BE3323" s="77"/>
      <c r="BF3323" s="77"/>
      <c r="BG3323" s="77"/>
      <c r="BH3323" s="77"/>
      <c r="BI3323" s="77"/>
    </row>
    <row r="3324" spans="1:61" x14ac:dyDescent="0.25">
      <c r="A3324" s="62" t="s">
        <v>1324</v>
      </c>
      <c r="B3324" s="62" t="s">
        <v>1324</v>
      </c>
      <c r="C3324" s="63"/>
      <c r="D3324" s="64"/>
      <c r="E3324" s="65"/>
      <c r="F3324" s="66"/>
      <c r="G3324" s="63"/>
      <c r="H3324" s="67"/>
      <c r="I3324" s="68"/>
      <c r="J3324" s="68"/>
      <c r="K3324" s="32"/>
      <c r="L3324" s="75">
        <v>3324</v>
      </c>
      <c r="M3324" s="75"/>
      <c r="N3324" s="70"/>
      <c r="O3324" s="77" t="s">
        <v>179</v>
      </c>
      <c r="P3324" s="79">
        <v>45050.64167824074</v>
      </c>
      <c r="Q3324" s="77" t="s">
        <v>5020</v>
      </c>
      <c r="R3324" s="77">
        <v>244</v>
      </c>
      <c r="S3324" s="77">
        <v>802</v>
      </c>
      <c r="T3324" s="77">
        <v>60</v>
      </c>
      <c r="U3324" s="77">
        <v>27</v>
      </c>
      <c r="V3324" s="77">
        <v>9016</v>
      </c>
      <c r="W3324" s="77"/>
      <c r="X3324" s="83" t="str">
        <f>HYPERLINK("https://www.brasil247.com/economia/cupula-do-pt-cobra-demissao-urgente-de-campos-neto-da-presidencia-do-banco-central")</f>
        <v>https://www.brasil247.com/economia/cupula-do-pt-cobra-demissao-urgente-de-campos-neto-da-presidencia-do-banco-central</v>
      </c>
      <c r="Y3324" s="77" t="s">
        <v>8648</v>
      </c>
      <c r="Z3324" s="77"/>
      <c r="AA3324" s="77"/>
      <c r="AB3324" s="77"/>
      <c r="AC3324" s="80" t="s">
        <v>10541</v>
      </c>
      <c r="AD3324" s="77" t="s">
        <v>10617</v>
      </c>
      <c r="AE3324" s="83" t="str">
        <f>HYPERLINK("https://twitter.com/marcianobrito13/status/1654144860188704770")</f>
        <v>https://twitter.com/marcianobrito13/status/1654144860188704770</v>
      </c>
      <c r="AF3324" s="79">
        <v>45050.64167824074</v>
      </c>
      <c r="AG3324" s="85">
        <v>45050</v>
      </c>
      <c r="AH3324" s="80" t="s">
        <v>13521</v>
      </c>
      <c r="AI3324" s="77" t="b">
        <v>0</v>
      </c>
      <c r="AJ3324" s="77"/>
      <c r="AK3324" s="77"/>
      <c r="AL3324" s="77"/>
      <c r="AM3324" s="77"/>
      <c r="AN3324" s="77"/>
      <c r="AO3324" s="77"/>
      <c r="AP3324" s="77"/>
      <c r="AQ3324" s="77"/>
      <c r="AR3324" s="77"/>
      <c r="AS3324" s="77"/>
      <c r="AT3324" s="77"/>
      <c r="AU3324" s="77"/>
      <c r="AV3324" s="83" t="str">
        <f>HYPERLINK("https://pbs.twimg.com/profile_images/1649568132392951809/KkK292VO_normal.jpg")</f>
        <v>https://pbs.twimg.com/profile_images/1649568132392951809/KkK292VO_normal.jpg</v>
      </c>
      <c r="AW3324" s="80" t="s">
        <v>19058</v>
      </c>
      <c r="AX3324" s="80" t="s">
        <v>19058</v>
      </c>
      <c r="AY3324" s="77"/>
      <c r="AZ3324" s="80" t="s">
        <v>20380</v>
      </c>
      <c r="BA3324" s="80" t="s">
        <v>20380</v>
      </c>
      <c r="BB3324" s="80" t="s">
        <v>20380</v>
      </c>
      <c r="BC3324" s="80" t="s">
        <v>19058</v>
      </c>
      <c r="BD3324" s="77">
        <v>296044994</v>
      </c>
      <c r="BE3324" s="77"/>
      <c r="BF3324" s="77"/>
      <c r="BG3324" s="77"/>
      <c r="BH3324" s="77"/>
      <c r="BI3324" s="77"/>
    </row>
    <row r="3325" spans="1:61" x14ac:dyDescent="0.25">
      <c r="A3325" s="62" t="s">
        <v>1325</v>
      </c>
      <c r="B3325" s="62" t="s">
        <v>1325</v>
      </c>
      <c r="C3325" s="63"/>
      <c r="D3325" s="64"/>
      <c r="E3325" s="65"/>
      <c r="F3325" s="66"/>
      <c r="G3325" s="63"/>
      <c r="H3325" s="67"/>
      <c r="I3325" s="68"/>
      <c r="J3325" s="68"/>
      <c r="K3325" s="32"/>
      <c r="L3325" s="75">
        <v>3325</v>
      </c>
      <c r="M3325" s="75"/>
      <c r="N3325" s="70"/>
      <c r="O3325" s="77" t="s">
        <v>179</v>
      </c>
      <c r="P3325" s="79">
        <v>45115.145671296297</v>
      </c>
      <c r="Q3325" s="77" t="s">
        <v>5021</v>
      </c>
      <c r="R3325" s="77">
        <v>0</v>
      </c>
      <c r="S3325" s="77">
        <v>0</v>
      </c>
      <c r="T3325" s="77">
        <v>0</v>
      </c>
      <c r="U3325" s="77">
        <v>0</v>
      </c>
      <c r="V3325" s="77">
        <v>59</v>
      </c>
      <c r="W3325" s="80" t="s">
        <v>7941</v>
      </c>
      <c r="X3325" s="77"/>
      <c r="Y3325" s="77"/>
      <c r="Z3325" s="77"/>
      <c r="AA3325" s="77" t="s">
        <v>10138</v>
      </c>
      <c r="AB3325" s="77" t="s">
        <v>10534</v>
      </c>
      <c r="AC3325" s="80" t="s">
        <v>10541</v>
      </c>
      <c r="AD3325" s="77" t="s">
        <v>10620</v>
      </c>
      <c r="AE3325" s="83" t="str">
        <f>HYPERLINK("https://twitter.com/aleanalistaarg/status/1677520322222862338")</f>
        <v>https://twitter.com/aleanalistaarg/status/1677520322222862338</v>
      </c>
      <c r="AF3325" s="79">
        <v>45115.145671296297</v>
      </c>
      <c r="AG3325" s="85">
        <v>45115</v>
      </c>
      <c r="AH3325" s="80" t="s">
        <v>13522</v>
      </c>
      <c r="AI3325" s="77" t="b">
        <v>0</v>
      </c>
      <c r="AJ3325" s="77"/>
      <c r="AK3325" s="77"/>
      <c r="AL3325" s="77"/>
      <c r="AM3325" s="77"/>
      <c r="AN3325" s="77"/>
      <c r="AO3325" s="77"/>
      <c r="AP3325" s="77"/>
      <c r="AQ3325" s="77" t="s">
        <v>15619</v>
      </c>
      <c r="AR3325" s="77">
        <v>58934</v>
      </c>
      <c r="AS3325" s="77"/>
      <c r="AT3325" s="77"/>
      <c r="AU3325" s="77"/>
      <c r="AV3325" s="83" t="str">
        <f>HYPERLINK("https://pbs.twimg.com/ext_tw_video_thumb/1677518268288974848/pu/img/57R25QknVk8tNemM.jpg")</f>
        <v>https://pbs.twimg.com/ext_tw_video_thumb/1677518268288974848/pu/img/57R25QknVk8tNemM.jpg</v>
      </c>
      <c r="AW3325" s="80" t="s">
        <v>19059</v>
      </c>
      <c r="AX3325" s="80" t="s">
        <v>19059</v>
      </c>
      <c r="AY3325" s="77"/>
      <c r="AZ3325" s="80" t="s">
        <v>20380</v>
      </c>
      <c r="BA3325" s="80" t="s">
        <v>20380</v>
      </c>
      <c r="BB3325" s="80" t="s">
        <v>20380</v>
      </c>
      <c r="BC3325" s="80" t="s">
        <v>19059</v>
      </c>
      <c r="BD3325" s="80" t="s">
        <v>21036</v>
      </c>
      <c r="BE3325" s="77"/>
      <c r="BF3325" s="77"/>
      <c r="BG3325" s="77"/>
      <c r="BH3325" s="77"/>
      <c r="BI3325" s="77"/>
    </row>
    <row r="3326" spans="1:61" x14ac:dyDescent="0.25">
      <c r="A3326" s="62" t="s">
        <v>1326</v>
      </c>
      <c r="B3326" s="62" t="s">
        <v>2011</v>
      </c>
      <c r="C3326" s="63"/>
      <c r="D3326" s="64"/>
      <c r="E3326" s="65"/>
      <c r="F3326" s="66"/>
      <c r="G3326" s="63"/>
      <c r="H3326" s="67"/>
      <c r="I3326" s="68"/>
      <c r="J3326" s="68"/>
      <c r="K3326" s="32"/>
      <c r="L3326" s="75">
        <v>3326</v>
      </c>
      <c r="M3326" s="75"/>
      <c r="N3326" s="70"/>
      <c r="O3326" s="77" t="s">
        <v>2081</v>
      </c>
      <c r="P3326" s="79">
        <v>45079.544976851852</v>
      </c>
      <c r="Q3326" s="77" t="s">
        <v>5022</v>
      </c>
      <c r="R3326" s="77">
        <v>0</v>
      </c>
      <c r="S3326" s="77">
        <v>1</v>
      </c>
      <c r="T3326" s="77">
        <v>0</v>
      </c>
      <c r="U3326" s="77">
        <v>0</v>
      </c>
      <c r="V3326" s="77">
        <v>9</v>
      </c>
      <c r="W3326" s="80" t="s">
        <v>7942</v>
      </c>
      <c r="X3326" s="77"/>
      <c r="Y3326" s="77"/>
      <c r="Z3326" s="77" t="s">
        <v>2011</v>
      </c>
      <c r="AA3326" s="77" t="s">
        <v>10139</v>
      </c>
      <c r="AB3326" s="77" t="s">
        <v>10535</v>
      </c>
      <c r="AC3326" s="80" t="s">
        <v>10540</v>
      </c>
      <c r="AD3326" s="77" t="s">
        <v>10620</v>
      </c>
      <c r="AE3326" s="83" t="str">
        <f>HYPERLINK("https://twitter.com/goyanessah43100/status/1664619062159081473")</f>
        <v>https://twitter.com/goyanessah43100/status/1664619062159081473</v>
      </c>
      <c r="AF3326" s="79">
        <v>45079.544976851852</v>
      </c>
      <c r="AG3326" s="85">
        <v>45079</v>
      </c>
      <c r="AH3326" s="80" t="s">
        <v>13523</v>
      </c>
      <c r="AI3326" s="77" t="b">
        <v>0</v>
      </c>
      <c r="AJ3326" s="77"/>
      <c r="AK3326" s="77"/>
      <c r="AL3326" s="77"/>
      <c r="AM3326" s="77"/>
      <c r="AN3326" s="77"/>
      <c r="AO3326" s="77"/>
      <c r="AP3326" s="77"/>
      <c r="AQ3326" s="77" t="s">
        <v>15620</v>
      </c>
      <c r="AR3326" s="77"/>
      <c r="AS3326" s="77"/>
      <c r="AT3326" s="77"/>
      <c r="AU3326" s="77"/>
      <c r="AV3326" s="83" t="str">
        <f>HYPERLINK("https://pbs.twimg.com/media/FxnqNtzWIAIu4vl.jpg")</f>
        <v>https://pbs.twimg.com/media/FxnqNtzWIAIu4vl.jpg</v>
      </c>
      <c r="AW3326" s="80" t="s">
        <v>19060</v>
      </c>
      <c r="AX3326" s="80" t="s">
        <v>19060</v>
      </c>
      <c r="AY3326" s="77"/>
      <c r="AZ3326" s="80" t="s">
        <v>20380</v>
      </c>
      <c r="BA3326" s="80" t="s">
        <v>20380</v>
      </c>
      <c r="BB3326" s="80" t="s">
        <v>20380</v>
      </c>
      <c r="BC3326" s="80" t="s">
        <v>19060</v>
      </c>
      <c r="BD3326" s="80" t="s">
        <v>21037</v>
      </c>
      <c r="BE3326" s="77"/>
      <c r="BF3326" s="77"/>
      <c r="BG3326" s="77"/>
      <c r="BH3326" s="77"/>
      <c r="BI3326" s="77"/>
    </row>
    <row r="3327" spans="1:61" x14ac:dyDescent="0.25">
      <c r="A3327" s="62" t="s">
        <v>1327</v>
      </c>
      <c r="B3327" s="62" t="s">
        <v>1327</v>
      </c>
      <c r="C3327" s="63"/>
      <c r="D3327" s="64"/>
      <c r="E3327" s="65"/>
      <c r="F3327" s="66"/>
      <c r="G3327" s="63"/>
      <c r="H3327" s="67"/>
      <c r="I3327" s="68"/>
      <c r="J3327" s="68"/>
      <c r="K3327" s="32"/>
      <c r="L3327" s="75">
        <v>3327</v>
      </c>
      <c r="M3327" s="75"/>
      <c r="N3327" s="70"/>
      <c r="O3327" s="77" t="s">
        <v>179</v>
      </c>
      <c r="P3327" s="79">
        <v>45189.620196759257</v>
      </c>
      <c r="Q3327" s="77" t="s">
        <v>5023</v>
      </c>
      <c r="R3327" s="77">
        <v>1</v>
      </c>
      <c r="S3327" s="77">
        <v>1</v>
      </c>
      <c r="T3327" s="77">
        <v>0</v>
      </c>
      <c r="U3327" s="77">
        <v>0</v>
      </c>
      <c r="V3327" s="77">
        <v>51</v>
      </c>
      <c r="W3327" s="80" t="s">
        <v>7943</v>
      </c>
      <c r="X3327" s="77"/>
      <c r="Y3327" s="77"/>
      <c r="Z3327" s="77"/>
      <c r="AA3327" s="77" t="s">
        <v>10140</v>
      </c>
      <c r="AB3327" s="77" t="s">
        <v>10534</v>
      </c>
      <c r="AC3327" s="80" t="s">
        <v>10541</v>
      </c>
      <c r="AD3327" s="77" t="s">
        <v>10620</v>
      </c>
      <c r="AE3327" s="83" t="str">
        <f>HYPERLINK("https://twitter.com/rnncanal27/status/1704508985473126822")</f>
        <v>https://twitter.com/rnncanal27/status/1704508985473126822</v>
      </c>
      <c r="AF3327" s="79">
        <v>45189.620196759257</v>
      </c>
      <c r="AG3327" s="85">
        <v>45189</v>
      </c>
      <c r="AH3327" s="80" t="s">
        <v>13524</v>
      </c>
      <c r="AI3327" s="77" t="b">
        <v>0</v>
      </c>
      <c r="AJ3327" s="77"/>
      <c r="AK3327" s="77"/>
      <c r="AL3327" s="77"/>
      <c r="AM3327" s="77"/>
      <c r="AN3327" s="77"/>
      <c r="AO3327" s="77"/>
      <c r="AP3327" s="77"/>
      <c r="AQ3327" s="77" t="s">
        <v>15621</v>
      </c>
      <c r="AR3327" s="77">
        <v>84202</v>
      </c>
      <c r="AS3327" s="77"/>
      <c r="AT3327" s="77"/>
      <c r="AU3327" s="77"/>
      <c r="AV3327" s="83" t="str">
        <f>HYPERLINK("https://pbs.twimg.com/ext_tw_video_thumb/1704508629229924352/pu/img/LVoyzJPUhdKfXP31.jpg")</f>
        <v>https://pbs.twimg.com/ext_tw_video_thumb/1704508629229924352/pu/img/LVoyzJPUhdKfXP31.jpg</v>
      </c>
      <c r="AW3327" s="80" t="s">
        <v>19061</v>
      </c>
      <c r="AX3327" s="80" t="s">
        <v>19061</v>
      </c>
      <c r="AY3327" s="77"/>
      <c r="AZ3327" s="80" t="s">
        <v>20380</v>
      </c>
      <c r="BA3327" s="80" t="s">
        <v>20380</v>
      </c>
      <c r="BB3327" s="80" t="s">
        <v>20380</v>
      </c>
      <c r="BC3327" s="80" t="s">
        <v>19061</v>
      </c>
      <c r="BD3327" s="80" t="s">
        <v>21038</v>
      </c>
      <c r="BE3327" s="77"/>
      <c r="BF3327" s="77"/>
      <c r="BG3327" s="77"/>
      <c r="BH3327" s="77"/>
      <c r="BI3327" s="77"/>
    </row>
    <row r="3328" spans="1:61" x14ac:dyDescent="0.25">
      <c r="A3328" s="62" t="s">
        <v>1328</v>
      </c>
      <c r="B3328" s="62" t="s">
        <v>1327</v>
      </c>
      <c r="C3328" s="63"/>
      <c r="D3328" s="64"/>
      <c r="E3328" s="65"/>
      <c r="F3328" s="66"/>
      <c r="G3328" s="63"/>
      <c r="H3328" s="67"/>
      <c r="I3328" s="68"/>
      <c r="J3328" s="68"/>
      <c r="K3328" s="32"/>
      <c r="L3328" s="75">
        <v>3328</v>
      </c>
      <c r="M3328" s="75"/>
      <c r="N3328" s="70"/>
      <c r="O3328" s="77" t="s">
        <v>2083</v>
      </c>
      <c r="P3328" s="79">
        <v>45190.535810185182</v>
      </c>
      <c r="Q3328" s="77" t="s">
        <v>5024</v>
      </c>
      <c r="R3328" s="77">
        <v>1</v>
      </c>
      <c r="S3328" s="77">
        <v>0</v>
      </c>
      <c r="T3328" s="77">
        <v>0</v>
      </c>
      <c r="U3328" s="77">
        <v>0</v>
      </c>
      <c r="V3328" s="77"/>
      <c r="W3328" s="80" t="s">
        <v>7944</v>
      </c>
      <c r="X3328" s="77"/>
      <c r="Y3328" s="77"/>
      <c r="Z3328" s="77" t="s">
        <v>1327</v>
      </c>
      <c r="AA3328" s="77"/>
      <c r="AB3328" s="77"/>
      <c r="AC3328" s="80" t="s">
        <v>10541</v>
      </c>
      <c r="AD3328" s="77" t="s">
        <v>10620</v>
      </c>
      <c r="AE3328" s="83" t="str">
        <f>HYPERLINK("https://twitter.com/compartiendoid5/status/1704840794203435037")</f>
        <v>https://twitter.com/compartiendoid5/status/1704840794203435037</v>
      </c>
      <c r="AF3328" s="79">
        <v>45190.535810185182</v>
      </c>
      <c r="AG3328" s="85">
        <v>45190</v>
      </c>
      <c r="AH3328" s="80" t="s">
        <v>13525</v>
      </c>
      <c r="AI3328" s="77"/>
      <c r="AJ3328" s="77"/>
      <c r="AK3328" s="77"/>
      <c r="AL3328" s="77"/>
      <c r="AM3328" s="77"/>
      <c r="AN3328" s="77"/>
      <c r="AO3328" s="77"/>
      <c r="AP3328" s="77"/>
      <c r="AQ3328" s="77"/>
      <c r="AR3328" s="77"/>
      <c r="AS3328" s="77"/>
      <c r="AT3328" s="77"/>
      <c r="AU3328" s="77"/>
      <c r="AV3328" s="83" t="str">
        <f>HYPERLINK("https://pbs.twimg.com/profile_images/1533057388118523906/7-VT91ZO_normal.jpg")</f>
        <v>https://pbs.twimg.com/profile_images/1533057388118523906/7-VT91ZO_normal.jpg</v>
      </c>
      <c r="AW3328" s="80" t="s">
        <v>19062</v>
      </c>
      <c r="AX3328" s="80" t="s">
        <v>19062</v>
      </c>
      <c r="AY3328" s="77"/>
      <c r="AZ3328" s="80" t="s">
        <v>20380</v>
      </c>
      <c r="BA3328" s="80" t="s">
        <v>20380</v>
      </c>
      <c r="BB3328" s="80" t="s">
        <v>19061</v>
      </c>
      <c r="BC3328" s="80" t="s">
        <v>19061</v>
      </c>
      <c r="BD3328" s="80" t="s">
        <v>21039</v>
      </c>
      <c r="BE3328" s="77"/>
      <c r="BF3328" s="77"/>
      <c r="BG3328" s="77"/>
      <c r="BH3328" s="77"/>
      <c r="BI3328" s="77"/>
    </row>
    <row r="3329" spans="1:61" x14ac:dyDescent="0.25">
      <c r="A3329" s="62" t="s">
        <v>1329</v>
      </c>
      <c r="B3329" s="62" t="s">
        <v>1329</v>
      </c>
      <c r="C3329" s="63"/>
      <c r="D3329" s="64"/>
      <c r="E3329" s="65"/>
      <c r="F3329" s="66"/>
      <c r="G3329" s="63"/>
      <c r="H3329" s="67"/>
      <c r="I3329" s="68"/>
      <c r="J3329" s="68"/>
      <c r="K3329" s="32"/>
      <c r="L3329" s="75">
        <v>3329</v>
      </c>
      <c r="M3329" s="75"/>
      <c r="N3329" s="70"/>
      <c r="O3329" s="77" t="s">
        <v>179</v>
      </c>
      <c r="P3329" s="79">
        <v>45124.540590277778</v>
      </c>
      <c r="Q3329" s="77" t="s">
        <v>5025</v>
      </c>
      <c r="R3329" s="77">
        <v>0</v>
      </c>
      <c r="S3329" s="77">
        <v>0</v>
      </c>
      <c r="T3329" s="77">
        <v>0</v>
      </c>
      <c r="U3329" s="77">
        <v>0</v>
      </c>
      <c r="V3329" s="77">
        <v>64</v>
      </c>
      <c r="W3329" s="80" t="s">
        <v>7945</v>
      </c>
      <c r="X3329" s="77"/>
      <c r="Y3329" s="77"/>
      <c r="Z3329" s="77"/>
      <c r="AA3329" s="77" t="s">
        <v>10141</v>
      </c>
      <c r="AB3329" s="77" t="s">
        <v>10535</v>
      </c>
      <c r="AC3329" s="80" t="s">
        <v>10540</v>
      </c>
      <c r="AD3329" s="77" t="s">
        <v>10617</v>
      </c>
      <c r="AE3329" s="83" t="str">
        <f>HYPERLINK("https://twitter.com/angtoledo/status/1680924929628184577")</f>
        <v>https://twitter.com/angtoledo/status/1680924929628184577</v>
      </c>
      <c r="AF3329" s="79">
        <v>45124.540590277778</v>
      </c>
      <c r="AG3329" s="85">
        <v>45124</v>
      </c>
      <c r="AH3329" s="80" t="s">
        <v>13526</v>
      </c>
      <c r="AI3329" s="77" t="b">
        <v>0</v>
      </c>
      <c r="AJ3329" s="77"/>
      <c r="AK3329" s="77"/>
      <c r="AL3329" s="77"/>
      <c r="AM3329" s="77"/>
      <c r="AN3329" s="77"/>
      <c r="AO3329" s="77"/>
      <c r="AP3329" s="77"/>
      <c r="AQ3329" s="77" t="s">
        <v>15622</v>
      </c>
      <c r="AR3329" s="77"/>
      <c r="AS3329" s="77"/>
      <c r="AT3329" s="77"/>
      <c r="AU3329" s="77"/>
      <c r="AV3329" s="83" t="str">
        <f>HYPERLINK("https://pbs.twimg.com/media/F1PYUMeXoAAmRMj.jpg")</f>
        <v>https://pbs.twimg.com/media/F1PYUMeXoAAmRMj.jpg</v>
      </c>
      <c r="AW3329" s="80" t="s">
        <v>19063</v>
      </c>
      <c r="AX3329" s="80" t="s">
        <v>19063</v>
      </c>
      <c r="AY3329" s="77"/>
      <c r="AZ3329" s="80" t="s">
        <v>20380</v>
      </c>
      <c r="BA3329" s="80" t="s">
        <v>20380</v>
      </c>
      <c r="BB3329" s="80" t="s">
        <v>20380</v>
      </c>
      <c r="BC3329" s="80" t="s">
        <v>19063</v>
      </c>
      <c r="BD3329" s="77">
        <v>65457986</v>
      </c>
      <c r="BE3329" s="77"/>
      <c r="BF3329" s="77"/>
      <c r="BG3329" s="77"/>
      <c r="BH3329" s="77"/>
      <c r="BI3329" s="77"/>
    </row>
    <row r="3330" spans="1:61" x14ac:dyDescent="0.25">
      <c r="A3330" s="62" t="s">
        <v>1330</v>
      </c>
      <c r="B3330" s="62" t="s">
        <v>1330</v>
      </c>
      <c r="C3330" s="63"/>
      <c r="D3330" s="64"/>
      <c r="E3330" s="65"/>
      <c r="F3330" s="66"/>
      <c r="G3330" s="63"/>
      <c r="H3330" s="67"/>
      <c r="I3330" s="68"/>
      <c r="J3330" s="68"/>
      <c r="K3330" s="32"/>
      <c r="L3330" s="75">
        <v>3330</v>
      </c>
      <c r="M3330" s="75"/>
      <c r="N3330" s="70"/>
      <c r="O3330" s="77" t="s">
        <v>179</v>
      </c>
      <c r="P3330" s="79">
        <v>45060.772928240738</v>
      </c>
      <c r="Q3330" s="77" t="s">
        <v>5026</v>
      </c>
      <c r="R3330" s="77">
        <v>0</v>
      </c>
      <c r="S3330" s="77">
        <v>0</v>
      </c>
      <c r="T3330" s="77">
        <v>0</v>
      </c>
      <c r="U3330" s="77">
        <v>0</v>
      </c>
      <c r="V3330" s="77">
        <v>46</v>
      </c>
      <c r="W3330" s="80" t="s">
        <v>7946</v>
      </c>
      <c r="X3330" s="83" t="str">
        <f>HYPERLINK("https://www.newsdigitales.com/politica/inflacion-nuevas-medidas")</f>
        <v>https://www.newsdigitales.com/politica/inflacion-nuevas-medidas</v>
      </c>
      <c r="Y3330" s="77" t="s">
        <v>8830</v>
      </c>
      <c r="Z3330" s="77"/>
      <c r="AA3330" s="77" t="s">
        <v>10142</v>
      </c>
      <c r="AB3330" s="77" t="s">
        <v>10535</v>
      </c>
      <c r="AC3330" s="80" t="s">
        <v>10545</v>
      </c>
      <c r="AD3330" s="77" t="s">
        <v>10620</v>
      </c>
      <c r="AE3330" s="83" t="str">
        <f>HYPERLINK("https://twitter.com/news_digitales/status/1657816300897415168")</f>
        <v>https://twitter.com/news_digitales/status/1657816300897415168</v>
      </c>
      <c r="AF3330" s="79">
        <v>45060.772928240738</v>
      </c>
      <c r="AG3330" s="85">
        <v>45060</v>
      </c>
      <c r="AH3330" s="80" t="s">
        <v>13527</v>
      </c>
      <c r="AI3330" s="77" t="b">
        <v>0</v>
      </c>
      <c r="AJ3330" s="77"/>
      <c r="AK3330" s="77"/>
      <c r="AL3330" s="77"/>
      <c r="AM3330" s="77"/>
      <c r="AN3330" s="77"/>
      <c r="AO3330" s="77"/>
      <c r="AP3330" s="77"/>
      <c r="AQ3330" s="77" t="s">
        <v>15623</v>
      </c>
      <c r="AR3330" s="77"/>
      <c r="AS3330" s="77"/>
      <c r="AT3330" s="77"/>
      <c r="AU3330" s="77"/>
      <c r="AV3330" s="83" t="str">
        <f>HYPERLINK("https://pbs.twimg.com/media/FwG_I5uXoAMV1L4.jpg")</f>
        <v>https://pbs.twimg.com/media/FwG_I5uXoAMV1L4.jpg</v>
      </c>
      <c r="AW3330" s="80" t="s">
        <v>19064</v>
      </c>
      <c r="AX3330" s="80" t="s">
        <v>19064</v>
      </c>
      <c r="AY3330" s="77"/>
      <c r="AZ3330" s="80" t="s">
        <v>20380</v>
      </c>
      <c r="BA3330" s="80" t="s">
        <v>20380</v>
      </c>
      <c r="BB3330" s="80" t="s">
        <v>20380</v>
      </c>
      <c r="BC3330" s="80" t="s">
        <v>19064</v>
      </c>
      <c r="BD3330" s="80" t="s">
        <v>21040</v>
      </c>
      <c r="BE3330" s="77"/>
      <c r="BF3330" s="77"/>
      <c r="BG3330" s="77"/>
      <c r="BH3330" s="77"/>
      <c r="BI3330" s="77"/>
    </row>
    <row r="3331" spans="1:61" x14ac:dyDescent="0.25">
      <c r="A3331" s="62" t="s">
        <v>1330</v>
      </c>
      <c r="B3331" s="62" t="s">
        <v>1330</v>
      </c>
      <c r="C3331" s="63"/>
      <c r="D3331" s="64"/>
      <c r="E3331" s="65"/>
      <c r="F3331" s="66"/>
      <c r="G3331" s="63"/>
      <c r="H3331" s="67"/>
      <c r="I3331" s="68"/>
      <c r="J3331" s="68"/>
      <c r="K3331" s="32"/>
      <c r="L3331" s="75">
        <v>3331</v>
      </c>
      <c r="M3331" s="75"/>
      <c r="N3331" s="70"/>
      <c r="O3331" s="77" t="s">
        <v>179</v>
      </c>
      <c r="P3331" s="79">
        <v>45061.815775462965</v>
      </c>
      <c r="Q3331" s="77" t="s">
        <v>5027</v>
      </c>
      <c r="R3331" s="77">
        <v>0</v>
      </c>
      <c r="S3331" s="77">
        <v>0</v>
      </c>
      <c r="T3331" s="77">
        <v>0</v>
      </c>
      <c r="U3331" s="77">
        <v>0</v>
      </c>
      <c r="V3331" s="77">
        <v>94</v>
      </c>
      <c r="W3331" s="80" t="s">
        <v>7947</v>
      </c>
      <c r="X3331" s="83" t="str">
        <f>HYPERLINK("https://www.newsdigitales.com/economia/plazo-fijo-nueva-tasa-97")</f>
        <v>https://www.newsdigitales.com/economia/plazo-fijo-nueva-tasa-97</v>
      </c>
      <c r="Y3331" s="77" t="s">
        <v>8830</v>
      </c>
      <c r="Z3331" s="77"/>
      <c r="AA3331" s="77" t="s">
        <v>10143</v>
      </c>
      <c r="AB3331" s="77" t="s">
        <v>10535</v>
      </c>
      <c r="AC3331" s="80" t="s">
        <v>10545</v>
      </c>
      <c r="AD3331" s="77" t="s">
        <v>10620</v>
      </c>
      <c r="AE3331" s="83" t="str">
        <f>HYPERLINK("https://twitter.com/news_digitales/status/1658194218039345152")</f>
        <v>https://twitter.com/news_digitales/status/1658194218039345152</v>
      </c>
      <c r="AF3331" s="79">
        <v>45061.815775462965</v>
      </c>
      <c r="AG3331" s="85">
        <v>45061</v>
      </c>
      <c r="AH3331" s="80" t="s">
        <v>13528</v>
      </c>
      <c r="AI3331" s="77" t="b">
        <v>0</v>
      </c>
      <c r="AJ3331" s="77"/>
      <c r="AK3331" s="77"/>
      <c r="AL3331" s="77"/>
      <c r="AM3331" s="77"/>
      <c r="AN3331" s="77"/>
      <c r="AO3331" s="77"/>
      <c r="AP3331" s="77"/>
      <c r="AQ3331" s="77" t="s">
        <v>15624</v>
      </c>
      <c r="AR3331" s="77"/>
      <c r="AS3331" s="77"/>
      <c r="AT3331" s="77"/>
      <c r="AU3331" s="77"/>
      <c r="AV3331" s="83" t="str">
        <f>HYPERLINK("https://pbs.twimg.com/media/FwMW2pKWIAIR0lQ.jpg")</f>
        <v>https://pbs.twimg.com/media/FwMW2pKWIAIR0lQ.jpg</v>
      </c>
      <c r="AW3331" s="80" t="s">
        <v>19065</v>
      </c>
      <c r="AX3331" s="80" t="s">
        <v>19065</v>
      </c>
      <c r="AY3331" s="77"/>
      <c r="AZ3331" s="80" t="s">
        <v>20380</v>
      </c>
      <c r="BA3331" s="80" t="s">
        <v>20380</v>
      </c>
      <c r="BB3331" s="80" t="s">
        <v>20380</v>
      </c>
      <c r="BC3331" s="80" t="s">
        <v>19065</v>
      </c>
      <c r="BD3331" s="80" t="s">
        <v>21040</v>
      </c>
      <c r="BE3331" s="77"/>
      <c r="BF3331" s="77"/>
      <c r="BG3331" s="77"/>
      <c r="BH3331" s="77"/>
      <c r="BI3331" s="77"/>
    </row>
    <row r="3332" spans="1:61" x14ac:dyDescent="0.25">
      <c r="A3332" s="62" t="s">
        <v>1330</v>
      </c>
      <c r="B3332" s="62" t="s">
        <v>1330</v>
      </c>
      <c r="C3332" s="63"/>
      <c r="D3332" s="64"/>
      <c r="E3332" s="65"/>
      <c r="F3332" s="66"/>
      <c r="G3332" s="63"/>
      <c r="H3332" s="67"/>
      <c r="I3332" s="68"/>
      <c r="J3332" s="68"/>
      <c r="K3332" s="32"/>
      <c r="L3332" s="75">
        <v>3332</v>
      </c>
      <c r="M3332" s="75"/>
      <c r="N3332" s="70"/>
      <c r="O3332" s="77" t="s">
        <v>179</v>
      </c>
      <c r="P3332" s="79">
        <v>45152.704317129632</v>
      </c>
      <c r="Q3332" s="77" t="s">
        <v>5028</v>
      </c>
      <c r="R3332" s="77">
        <v>0</v>
      </c>
      <c r="S3332" s="77">
        <v>0</v>
      </c>
      <c r="T3332" s="77">
        <v>0</v>
      </c>
      <c r="U3332" s="77">
        <v>0</v>
      </c>
      <c r="V3332" s="77">
        <v>249</v>
      </c>
      <c r="W3332" s="80" t="s">
        <v>7948</v>
      </c>
      <c r="X3332" s="83" t="str">
        <f>HYPERLINK("https://www.newsdigitales.com/politica/dolar-devaluo-paso")</f>
        <v>https://www.newsdigitales.com/politica/dolar-devaluo-paso</v>
      </c>
      <c r="Y3332" s="77" t="s">
        <v>8830</v>
      </c>
      <c r="Z3332" s="77"/>
      <c r="AA3332" s="77" t="s">
        <v>10144</v>
      </c>
      <c r="AB3332" s="77" t="s">
        <v>10535</v>
      </c>
      <c r="AC3332" s="80" t="s">
        <v>10545</v>
      </c>
      <c r="AD3332" s="77" t="s">
        <v>10620</v>
      </c>
      <c r="AE3332" s="83" t="str">
        <f>HYPERLINK("https://twitter.com/news_digitales/status/1691131120182583297")</f>
        <v>https://twitter.com/news_digitales/status/1691131120182583297</v>
      </c>
      <c r="AF3332" s="79">
        <v>45152.704317129632</v>
      </c>
      <c r="AG3332" s="85">
        <v>45152</v>
      </c>
      <c r="AH3332" s="80" t="s">
        <v>13529</v>
      </c>
      <c r="AI3332" s="77" t="b">
        <v>0</v>
      </c>
      <c r="AJ3332" s="77"/>
      <c r="AK3332" s="77"/>
      <c r="AL3332" s="77"/>
      <c r="AM3332" s="77"/>
      <c r="AN3332" s="77"/>
      <c r="AO3332" s="77"/>
      <c r="AP3332" s="77"/>
      <c r="AQ3332" s="77" t="s">
        <v>15625</v>
      </c>
      <c r="AR3332" s="77"/>
      <c r="AS3332" s="77"/>
      <c r="AT3332" s="77"/>
      <c r="AU3332" s="77"/>
      <c r="AV3332" s="83" t="str">
        <f>HYPERLINK("https://pbs.twimg.com/media/F3gayqOW4AAxUvQ.jpg")</f>
        <v>https://pbs.twimg.com/media/F3gayqOW4AAxUvQ.jpg</v>
      </c>
      <c r="AW3332" s="80" t="s">
        <v>19066</v>
      </c>
      <c r="AX3332" s="80" t="s">
        <v>19066</v>
      </c>
      <c r="AY3332" s="77"/>
      <c r="AZ3332" s="80" t="s">
        <v>20380</v>
      </c>
      <c r="BA3332" s="80" t="s">
        <v>20380</v>
      </c>
      <c r="BB3332" s="80" t="s">
        <v>20380</v>
      </c>
      <c r="BC3332" s="80" t="s">
        <v>19066</v>
      </c>
      <c r="BD3332" s="80" t="s">
        <v>21040</v>
      </c>
      <c r="BE3332" s="77"/>
      <c r="BF3332" s="77"/>
      <c r="BG3332" s="77"/>
      <c r="BH3332" s="77"/>
      <c r="BI3332" s="77"/>
    </row>
    <row r="3333" spans="1:61" x14ac:dyDescent="0.25">
      <c r="A3333" s="62" t="s">
        <v>1330</v>
      </c>
      <c r="B3333" s="62" t="s">
        <v>1330</v>
      </c>
      <c r="C3333" s="63"/>
      <c r="D3333" s="64"/>
      <c r="E3333" s="65"/>
      <c r="F3333" s="66"/>
      <c r="G3333" s="63"/>
      <c r="H3333" s="67"/>
      <c r="I3333" s="68"/>
      <c r="J3333" s="68"/>
      <c r="K3333" s="32"/>
      <c r="L3333" s="75">
        <v>3333</v>
      </c>
      <c r="M3333" s="75"/>
      <c r="N3333" s="70"/>
      <c r="O3333" s="77" t="s">
        <v>179</v>
      </c>
      <c r="P3333" s="79">
        <v>45152.691689814812</v>
      </c>
      <c r="Q3333" s="77" t="s">
        <v>5029</v>
      </c>
      <c r="R3333" s="77">
        <v>0</v>
      </c>
      <c r="S3333" s="77">
        <v>0</v>
      </c>
      <c r="T3333" s="77">
        <v>0</v>
      </c>
      <c r="U3333" s="77">
        <v>0</v>
      </c>
      <c r="V3333" s="77">
        <v>85</v>
      </c>
      <c r="W3333" s="80" t="s">
        <v>7949</v>
      </c>
      <c r="X3333" s="83" t="str">
        <f>HYPERLINK("https://www.newsdigitales.com/politica/el-banco-central-sube-la-tasa-nominal-anual-de-plazos-fijos-al-118")</f>
        <v>https://www.newsdigitales.com/politica/el-banco-central-sube-la-tasa-nominal-anual-de-plazos-fijos-al-118</v>
      </c>
      <c r="Y3333" s="77" t="s">
        <v>8830</v>
      </c>
      <c r="Z3333" s="77"/>
      <c r="AA3333" s="77" t="s">
        <v>10145</v>
      </c>
      <c r="AB3333" s="77" t="s">
        <v>10535</v>
      </c>
      <c r="AC3333" s="80" t="s">
        <v>10545</v>
      </c>
      <c r="AD3333" s="77" t="s">
        <v>10620</v>
      </c>
      <c r="AE3333" s="83" t="str">
        <f>HYPERLINK("https://twitter.com/news_digitales/status/1691126543748157456")</f>
        <v>https://twitter.com/news_digitales/status/1691126543748157456</v>
      </c>
      <c r="AF3333" s="79">
        <v>45152.691689814812</v>
      </c>
      <c r="AG3333" s="85">
        <v>45152</v>
      </c>
      <c r="AH3333" s="80" t="s">
        <v>13530</v>
      </c>
      <c r="AI3333" s="77" t="b">
        <v>0</v>
      </c>
      <c r="AJ3333" s="77"/>
      <c r="AK3333" s="77"/>
      <c r="AL3333" s="77"/>
      <c r="AM3333" s="77"/>
      <c r="AN3333" s="77"/>
      <c r="AO3333" s="77"/>
      <c r="AP3333" s="77"/>
      <c r="AQ3333" s="77" t="s">
        <v>15626</v>
      </c>
      <c r="AR3333" s="77"/>
      <c r="AS3333" s="77"/>
      <c r="AT3333" s="77"/>
      <c r="AU3333" s="77"/>
      <c r="AV3333" s="83" t="str">
        <f>HYPERLINK("https://pbs.twimg.com/media/F3gWoRkX0AQNVQn.jpg")</f>
        <v>https://pbs.twimg.com/media/F3gWoRkX0AQNVQn.jpg</v>
      </c>
      <c r="AW3333" s="80" t="s">
        <v>19067</v>
      </c>
      <c r="AX3333" s="80" t="s">
        <v>19067</v>
      </c>
      <c r="AY3333" s="77"/>
      <c r="AZ3333" s="80" t="s">
        <v>20380</v>
      </c>
      <c r="BA3333" s="80" t="s">
        <v>20380</v>
      </c>
      <c r="BB3333" s="80" t="s">
        <v>20380</v>
      </c>
      <c r="BC3333" s="80" t="s">
        <v>19067</v>
      </c>
      <c r="BD3333" s="80" t="s">
        <v>21040</v>
      </c>
      <c r="BE3333" s="77"/>
      <c r="BF3333" s="77"/>
      <c r="BG3333" s="77"/>
      <c r="BH3333" s="77"/>
      <c r="BI3333" s="77"/>
    </row>
    <row r="3334" spans="1:61" x14ac:dyDescent="0.25">
      <c r="A3334" s="62" t="s">
        <v>1330</v>
      </c>
      <c r="B3334" s="62" t="s">
        <v>1330</v>
      </c>
      <c r="C3334" s="63"/>
      <c r="D3334" s="64"/>
      <c r="E3334" s="65"/>
      <c r="F3334" s="66"/>
      <c r="G3334" s="63"/>
      <c r="H3334" s="67"/>
      <c r="I3334" s="68"/>
      <c r="J3334" s="68"/>
      <c r="K3334" s="32"/>
      <c r="L3334" s="75">
        <v>3334</v>
      </c>
      <c r="M3334" s="75"/>
      <c r="N3334" s="70"/>
      <c r="O3334" s="77" t="s">
        <v>179</v>
      </c>
      <c r="P3334" s="79">
        <v>45092.897951388892</v>
      </c>
      <c r="Q3334" s="77" t="s">
        <v>5030</v>
      </c>
      <c r="R3334" s="77">
        <v>0</v>
      </c>
      <c r="S3334" s="77">
        <v>0</v>
      </c>
      <c r="T3334" s="77">
        <v>0</v>
      </c>
      <c r="U3334" s="77">
        <v>0</v>
      </c>
      <c r="V3334" s="77">
        <v>31</v>
      </c>
      <c r="W3334" s="80" t="s">
        <v>6153</v>
      </c>
      <c r="X3334" s="83" t="str">
        <f>HYPERLINK("https://www.newsdigitales.com/sociedad/banco-central-plazos-fijos")</f>
        <v>https://www.newsdigitales.com/sociedad/banco-central-plazos-fijos</v>
      </c>
      <c r="Y3334" s="77" t="s">
        <v>8830</v>
      </c>
      <c r="Z3334" s="77"/>
      <c r="AA3334" s="77" t="s">
        <v>10146</v>
      </c>
      <c r="AB3334" s="77" t="s">
        <v>10535</v>
      </c>
      <c r="AC3334" s="80" t="s">
        <v>10545</v>
      </c>
      <c r="AD3334" s="77" t="s">
        <v>10620</v>
      </c>
      <c r="AE3334" s="83" t="str">
        <f>HYPERLINK("https://twitter.com/news_digitales/status/1669458018574974977")</f>
        <v>https://twitter.com/news_digitales/status/1669458018574974977</v>
      </c>
      <c r="AF3334" s="79">
        <v>45092.897951388892</v>
      </c>
      <c r="AG3334" s="85">
        <v>45092</v>
      </c>
      <c r="AH3334" s="80" t="s">
        <v>13531</v>
      </c>
      <c r="AI3334" s="77" t="b">
        <v>0</v>
      </c>
      <c r="AJ3334" s="77"/>
      <c r="AK3334" s="77"/>
      <c r="AL3334" s="77"/>
      <c r="AM3334" s="77"/>
      <c r="AN3334" s="77"/>
      <c r="AO3334" s="77"/>
      <c r="AP3334" s="77"/>
      <c r="AQ3334" s="77" t="s">
        <v>15627</v>
      </c>
      <c r="AR3334" s="77"/>
      <c r="AS3334" s="77"/>
      <c r="AT3334" s="77"/>
      <c r="AU3334" s="77"/>
      <c r="AV3334" s="83" t="str">
        <f>HYPERLINK("https://pbs.twimg.com/media/FysbOFYWAAQ6t-0.jpg")</f>
        <v>https://pbs.twimg.com/media/FysbOFYWAAQ6t-0.jpg</v>
      </c>
      <c r="AW3334" s="80" t="s">
        <v>19068</v>
      </c>
      <c r="AX3334" s="80" t="s">
        <v>19068</v>
      </c>
      <c r="AY3334" s="77"/>
      <c r="AZ3334" s="80" t="s">
        <v>20380</v>
      </c>
      <c r="BA3334" s="80" t="s">
        <v>20380</v>
      </c>
      <c r="BB3334" s="80" t="s">
        <v>20380</v>
      </c>
      <c r="BC3334" s="80" t="s">
        <v>19068</v>
      </c>
      <c r="BD3334" s="80" t="s">
        <v>21040</v>
      </c>
      <c r="BE3334" s="77"/>
      <c r="BF3334" s="77"/>
      <c r="BG3334" s="77"/>
      <c r="BH3334" s="77"/>
      <c r="BI3334" s="77"/>
    </row>
    <row r="3335" spans="1:61" x14ac:dyDescent="0.25">
      <c r="A3335" s="62" t="s">
        <v>1330</v>
      </c>
      <c r="B3335" s="62" t="s">
        <v>1330</v>
      </c>
      <c r="C3335" s="63"/>
      <c r="D3335" s="64"/>
      <c r="E3335" s="65"/>
      <c r="F3335" s="66"/>
      <c r="G3335" s="63"/>
      <c r="H3335" s="67"/>
      <c r="I3335" s="68"/>
      <c r="J3335" s="68"/>
      <c r="K3335" s="32"/>
      <c r="L3335" s="75">
        <v>3335</v>
      </c>
      <c r="M3335" s="75"/>
      <c r="N3335" s="70"/>
      <c r="O3335" s="77" t="s">
        <v>179</v>
      </c>
      <c r="P3335" s="79">
        <v>45068.845856481479</v>
      </c>
      <c r="Q3335" s="77" t="s">
        <v>5031</v>
      </c>
      <c r="R3335" s="77">
        <v>0</v>
      </c>
      <c r="S3335" s="77">
        <v>0</v>
      </c>
      <c r="T3335" s="77">
        <v>0</v>
      </c>
      <c r="U3335" s="77">
        <v>1</v>
      </c>
      <c r="V3335" s="77">
        <v>198</v>
      </c>
      <c r="W3335" s="80" t="s">
        <v>7950</v>
      </c>
      <c r="X3335" s="83" t="str">
        <f>HYPERLINK("https://www.newsdigitales.com/politica/se-presento-billete-de-2000")</f>
        <v>https://www.newsdigitales.com/politica/se-presento-billete-de-2000</v>
      </c>
      <c r="Y3335" s="77" t="s">
        <v>8830</v>
      </c>
      <c r="Z3335" s="77"/>
      <c r="AA3335" s="77" t="s">
        <v>10147</v>
      </c>
      <c r="AB3335" s="77" t="s">
        <v>10535</v>
      </c>
      <c r="AC3335" s="80" t="s">
        <v>10545</v>
      </c>
      <c r="AD3335" s="77" t="s">
        <v>10620</v>
      </c>
      <c r="AE3335" s="83" t="str">
        <f>HYPERLINK("https://twitter.com/news_digitales/status/1660741831561302031")</f>
        <v>https://twitter.com/news_digitales/status/1660741831561302031</v>
      </c>
      <c r="AF3335" s="79">
        <v>45068.845856481479</v>
      </c>
      <c r="AG3335" s="85">
        <v>45068</v>
      </c>
      <c r="AH3335" s="80" t="s">
        <v>13532</v>
      </c>
      <c r="AI3335" s="77" t="b">
        <v>0</v>
      </c>
      <c r="AJ3335" s="77"/>
      <c r="AK3335" s="77"/>
      <c r="AL3335" s="77"/>
      <c r="AM3335" s="77"/>
      <c r="AN3335" s="77"/>
      <c r="AO3335" s="77"/>
      <c r="AP3335" s="77"/>
      <c r="AQ3335" s="77" t="s">
        <v>15628</v>
      </c>
      <c r="AR3335" s="77"/>
      <c r="AS3335" s="77"/>
      <c r="AT3335" s="77"/>
      <c r="AU3335" s="77"/>
      <c r="AV3335" s="83" t="str">
        <f>HYPERLINK("https://pbs.twimg.com/media/Fwwj5MXX0Ag-Hhf.jpg")</f>
        <v>https://pbs.twimg.com/media/Fwwj5MXX0Ag-Hhf.jpg</v>
      </c>
      <c r="AW3335" s="80" t="s">
        <v>19069</v>
      </c>
      <c r="AX3335" s="80" t="s">
        <v>19069</v>
      </c>
      <c r="AY3335" s="77"/>
      <c r="AZ3335" s="80" t="s">
        <v>20380</v>
      </c>
      <c r="BA3335" s="80" t="s">
        <v>20380</v>
      </c>
      <c r="BB3335" s="80" t="s">
        <v>20380</v>
      </c>
      <c r="BC3335" s="80" t="s">
        <v>19069</v>
      </c>
      <c r="BD3335" s="80" t="s">
        <v>21040</v>
      </c>
      <c r="BE3335" s="77"/>
      <c r="BF3335" s="77"/>
      <c r="BG3335" s="77"/>
      <c r="BH3335" s="77"/>
      <c r="BI3335" s="77"/>
    </row>
    <row r="3336" spans="1:61" x14ac:dyDescent="0.25">
      <c r="A3336" s="62" t="s">
        <v>1331</v>
      </c>
      <c r="B3336" s="62" t="s">
        <v>2012</v>
      </c>
      <c r="C3336" s="63"/>
      <c r="D3336" s="64"/>
      <c r="E3336" s="65"/>
      <c r="F3336" s="66"/>
      <c r="G3336" s="63"/>
      <c r="H3336" s="67"/>
      <c r="I3336" s="68"/>
      <c r="J3336" s="68"/>
      <c r="K3336" s="32"/>
      <c r="L3336" s="75">
        <v>3336</v>
      </c>
      <c r="M3336" s="75"/>
      <c r="N3336" s="70"/>
      <c r="O3336" s="77" t="s">
        <v>2079</v>
      </c>
      <c r="P3336" s="79">
        <v>45191.082094907404</v>
      </c>
      <c r="Q3336" s="77" t="s">
        <v>5032</v>
      </c>
      <c r="R3336" s="77">
        <v>0</v>
      </c>
      <c r="S3336" s="77">
        <v>1</v>
      </c>
      <c r="T3336" s="77">
        <v>0</v>
      </c>
      <c r="U3336" s="77">
        <v>0</v>
      </c>
      <c r="V3336" s="77">
        <v>71</v>
      </c>
      <c r="W3336" s="80" t="s">
        <v>7951</v>
      </c>
      <c r="X3336" s="77"/>
      <c r="Y3336" s="77"/>
      <c r="Z3336" s="77" t="s">
        <v>9009</v>
      </c>
      <c r="AA3336" s="77"/>
      <c r="AB3336" s="77"/>
      <c r="AC3336" s="80" t="s">
        <v>10540</v>
      </c>
      <c r="AD3336" s="77" t="s">
        <v>10619</v>
      </c>
      <c r="AE3336" s="83" t="str">
        <f>HYPERLINK("https://twitter.com/iasminrqc/status/1705038760872759472")</f>
        <v>https://twitter.com/iasminrqc/status/1705038760872759472</v>
      </c>
      <c r="AF3336" s="79">
        <v>45191.082094907404</v>
      </c>
      <c r="AG3336" s="85">
        <v>45191</v>
      </c>
      <c r="AH3336" s="80" t="s">
        <v>13533</v>
      </c>
      <c r="AI3336" s="77"/>
      <c r="AJ3336" s="77"/>
      <c r="AK3336" s="77"/>
      <c r="AL3336" s="77"/>
      <c r="AM3336" s="77"/>
      <c r="AN3336" s="77"/>
      <c r="AO3336" s="77"/>
      <c r="AP3336" s="77"/>
      <c r="AQ3336" s="77"/>
      <c r="AR3336" s="77"/>
      <c r="AS3336" s="77"/>
      <c r="AT3336" s="77"/>
      <c r="AU3336" s="77"/>
      <c r="AV3336" s="83" t="str">
        <f>HYPERLINK("https://pbs.twimg.com/profile_images/1530264734561452033/-M2eGOu3_normal.jpg")</f>
        <v>https://pbs.twimg.com/profile_images/1530264734561452033/-M2eGOu3_normal.jpg</v>
      </c>
      <c r="AW3336" s="80" t="s">
        <v>19070</v>
      </c>
      <c r="AX3336" s="80" t="s">
        <v>20096</v>
      </c>
      <c r="AY3336" s="80" t="s">
        <v>20341</v>
      </c>
      <c r="AZ3336" s="80" t="s">
        <v>20441</v>
      </c>
      <c r="BA3336" s="80" t="s">
        <v>20380</v>
      </c>
      <c r="BB3336" s="80" t="s">
        <v>20380</v>
      </c>
      <c r="BC3336" s="80" t="s">
        <v>20441</v>
      </c>
      <c r="BD3336" s="80" t="s">
        <v>21041</v>
      </c>
      <c r="BE3336" s="77"/>
      <c r="BF3336" s="77"/>
      <c r="BG3336" s="77"/>
      <c r="BH3336" s="77"/>
      <c r="BI3336" s="77"/>
    </row>
    <row r="3337" spans="1:61" x14ac:dyDescent="0.25">
      <c r="A3337" s="62" t="s">
        <v>1331</v>
      </c>
      <c r="B3337" s="62" t="s">
        <v>2013</v>
      </c>
      <c r="C3337" s="63"/>
      <c r="D3337" s="64"/>
      <c r="E3337" s="65"/>
      <c r="F3337" s="66"/>
      <c r="G3337" s="63"/>
      <c r="H3337" s="67"/>
      <c r="I3337" s="68"/>
      <c r="J3337" s="68"/>
      <c r="K3337" s="32"/>
      <c r="L3337" s="75">
        <v>3337</v>
      </c>
      <c r="M3337" s="75"/>
      <c r="N3337" s="70"/>
      <c r="O3337" s="77" t="s">
        <v>2079</v>
      </c>
      <c r="P3337" s="79">
        <v>45191.082094907404</v>
      </c>
      <c r="Q3337" s="77" t="s">
        <v>5032</v>
      </c>
      <c r="R3337" s="77">
        <v>0</v>
      </c>
      <c r="S3337" s="77">
        <v>1</v>
      </c>
      <c r="T3337" s="77">
        <v>0</v>
      </c>
      <c r="U3337" s="77">
        <v>0</v>
      </c>
      <c r="V3337" s="77">
        <v>71</v>
      </c>
      <c r="W3337" s="80" t="s">
        <v>7951</v>
      </c>
      <c r="X3337" s="77"/>
      <c r="Y3337" s="77"/>
      <c r="Z3337" s="77" t="s">
        <v>9009</v>
      </c>
      <c r="AA3337" s="77"/>
      <c r="AB3337" s="77"/>
      <c r="AC3337" s="80" t="s">
        <v>10540</v>
      </c>
      <c r="AD3337" s="77" t="s">
        <v>10619</v>
      </c>
      <c r="AE3337" s="83" t="str">
        <f>HYPERLINK("https://twitter.com/iasminrqc/status/1705038760872759472")</f>
        <v>https://twitter.com/iasminrqc/status/1705038760872759472</v>
      </c>
      <c r="AF3337" s="79">
        <v>45191.082094907404</v>
      </c>
      <c r="AG3337" s="85">
        <v>45191</v>
      </c>
      <c r="AH3337" s="80" t="s">
        <v>13533</v>
      </c>
      <c r="AI3337" s="77"/>
      <c r="AJ3337" s="77"/>
      <c r="AK3337" s="77"/>
      <c r="AL3337" s="77"/>
      <c r="AM3337" s="77"/>
      <c r="AN3337" s="77"/>
      <c r="AO3337" s="77"/>
      <c r="AP3337" s="77"/>
      <c r="AQ3337" s="77"/>
      <c r="AR3337" s="77"/>
      <c r="AS3337" s="77"/>
      <c r="AT3337" s="77"/>
      <c r="AU3337" s="77"/>
      <c r="AV3337" s="83" t="str">
        <f>HYPERLINK("https://pbs.twimg.com/profile_images/1530264734561452033/-M2eGOu3_normal.jpg")</f>
        <v>https://pbs.twimg.com/profile_images/1530264734561452033/-M2eGOu3_normal.jpg</v>
      </c>
      <c r="AW3337" s="80" t="s">
        <v>19070</v>
      </c>
      <c r="AX3337" s="80" t="s">
        <v>20096</v>
      </c>
      <c r="AY3337" s="80" t="s">
        <v>20341</v>
      </c>
      <c r="AZ3337" s="80" t="s">
        <v>20441</v>
      </c>
      <c r="BA3337" s="80" t="s">
        <v>20380</v>
      </c>
      <c r="BB3337" s="80" t="s">
        <v>20380</v>
      </c>
      <c r="BC3337" s="80" t="s">
        <v>20441</v>
      </c>
      <c r="BD3337" s="80" t="s">
        <v>21041</v>
      </c>
      <c r="BE3337" s="77"/>
      <c r="BF3337" s="77"/>
      <c r="BG3337" s="77"/>
      <c r="BH3337" s="77"/>
      <c r="BI3337" s="77"/>
    </row>
    <row r="3338" spans="1:61" x14ac:dyDescent="0.25">
      <c r="A3338" s="62" t="s">
        <v>1331</v>
      </c>
      <c r="B3338" s="62" t="s">
        <v>2014</v>
      </c>
      <c r="C3338" s="63"/>
      <c r="D3338" s="64"/>
      <c r="E3338" s="65"/>
      <c r="F3338" s="66"/>
      <c r="G3338" s="63"/>
      <c r="H3338" s="67"/>
      <c r="I3338" s="68"/>
      <c r="J3338" s="68"/>
      <c r="K3338" s="32"/>
      <c r="L3338" s="75">
        <v>3338</v>
      </c>
      <c r="M3338" s="75"/>
      <c r="N3338" s="70"/>
      <c r="O3338" s="77" t="s">
        <v>2078</v>
      </c>
      <c r="P3338" s="79">
        <v>45191.082094907404</v>
      </c>
      <c r="Q3338" s="77" t="s">
        <v>5032</v>
      </c>
      <c r="R3338" s="77">
        <v>0</v>
      </c>
      <c r="S3338" s="77">
        <v>1</v>
      </c>
      <c r="T3338" s="77">
        <v>0</v>
      </c>
      <c r="U3338" s="77">
        <v>0</v>
      </c>
      <c r="V3338" s="77">
        <v>71</v>
      </c>
      <c r="W3338" s="80" t="s">
        <v>7951</v>
      </c>
      <c r="X3338" s="77"/>
      <c r="Y3338" s="77"/>
      <c r="Z3338" s="77" t="s">
        <v>9009</v>
      </c>
      <c r="AA3338" s="77"/>
      <c r="AB3338" s="77"/>
      <c r="AC3338" s="80" t="s">
        <v>10540</v>
      </c>
      <c r="AD3338" s="77" t="s">
        <v>10619</v>
      </c>
      <c r="AE3338" s="83" t="str">
        <f>HYPERLINK("https://twitter.com/iasminrqc/status/1705038760872759472")</f>
        <v>https://twitter.com/iasminrqc/status/1705038760872759472</v>
      </c>
      <c r="AF3338" s="79">
        <v>45191.082094907404</v>
      </c>
      <c r="AG3338" s="85">
        <v>45191</v>
      </c>
      <c r="AH3338" s="80" t="s">
        <v>13533</v>
      </c>
      <c r="AI3338" s="77"/>
      <c r="AJ3338" s="77"/>
      <c r="AK3338" s="77"/>
      <c r="AL3338" s="77"/>
      <c r="AM3338" s="77"/>
      <c r="AN3338" s="77"/>
      <c r="AO3338" s="77"/>
      <c r="AP3338" s="77"/>
      <c r="AQ3338" s="77"/>
      <c r="AR3338" s="77"/>
      <c r="AS3338" s="77"/>
      <c r="AT3338" s="77"/>
      <c r="AU3338" s="77"/>
      <c r="AV3338" s="83" t="str">
        <f>HYPERLINK("https://pbs.twimg.com/profile_images/1530264734561452033/-M2eGOu3_normal.jpg")</f>
        <v>https://pbs.twimg.com/profile_images/1530264734561452033/-M2eGOu3_normal.jpg</v>
      </c>
      <c r="AW3338" s="80" t="s">
        <v>19070</v>
      </c>
      <c r="AX3338" s="80" t="s">
        <v>20096</v>
      </c>
      <c r="AY3338" s="80" t="s">
        <v>20341</v>
      </c>
      <c r="AZ3338" s="80" t="s">
        <v>20441</v>
      </c>
      <c r="BA3338" s="80" t="s">
        <v>20380</v>
      </c>
      <c r="BB3338" s="80" t="s">
        <v>20380</v>
      </c>
      <c r="BC3338" s="80" t="s">
        <v>20441</v>
      </c>
      <c r="BD3338" s="80" t="s">
        <v>21041</v>
      </c>
      <c r="BE3338" s="77"/>
      <c r="BF3338" s="77"/>
      <c r="BG3338" s="77"/>
      <c r="BH3338" s="77"/>
      <c r="BI3338" s="77"/>
    </row>
    <row r="3339" spans="1:61" x14ac:dyDescent="0.25">
      <c r="A3339" s="62" t="s">
        <v>1332</v>
      </c>
      <c r="B3339" s="62" t="s">
        <v>1332</v>
      </c>
      <c r="C3339" s="63"/>
      <c r="D3339" s="64"/>
      <c r="E3339" s="65"/>
      <c r="F3339" s="66"/>
      <c r="G3339" s="63"/>
      <c r="H3339" s="67"/>
      <c r="I3339" s="68"/>
      <c r="J3339" s="68"/>
      <c r="K3339" s="32"/>
      <c r="L3339" s="75">
        <v>3339</v>
      </c>
      <c r="M3339" s="75"/>
      <c r="N3339" s="70"/>
      <c r="O3339" s="77" t="s">
        <v>179</v>
      </c>
      <c r="P3339" s="79">
        <v>45159.585127314815</v>
      </c>
      <c r="Q3339" s="77" t="s">
        <v>5033</v>
      </c>
      <c r="R3339" s="77">
        <v>0</v>
      </c>
      <c r="S3339" s="77">
        <v>0</v>
      </c>
      <c r="T3339" s="77">
        <v>0</v>
      </c>
      <c r="U3339" s="77">
        <v>0</v>
      </c>
      <c r="V3339" s="77">
        <v>1</v>
      </c>
      <c r="W3339" s="80" t="s">
        <v>7952</v>
      </c>
      <c r="X3339" s="83" t="str">
        <f>HYPERLINK("http://dlvr.it/StyTFC")</f>
        <v>http://dlvr.it/StyTFC</v>
      </c>
      <c r="Y3339" s="77" t="s">
        <v>8629</v>
      </c>
      <c r="Z3339" s="77"/>
      <c r="AA3339" s="77" t="s">
        <v>10148</v>
      </c>
      <c r="AB3339" s="77" t="s">
        <v>10535</v>
      </c>
      <c r="AC3339" s="80" t="s">
        <v>8629</v>
      </c>
      <c r="AD3339" s="77" t="s">
        <v>10617</v>
      </c>
      <c r="AE3339" s="83" t="str">
        <f>HYPERLINK("https://twitter.com/tiagomarques_/status/1693624641267421542")</f>
        <v>https://twitter.com/tiagomarques_/status/1693624641267421542</v>
      </c>
      <c r="AF3339" s="79">
        <v>45159.585127314815</v>
      </c>
      <c r="AG3339" s="85">
        <v>45159</v>
      </c>
      <c r="AH3339" s="80" t="s">
        <v>13534</v>
      </c>
      <c r="AI3339" s="77" t="b">
        <v>0</v>
      </c>
      <c r="AJ3339" s="77"/>
      <c r="AK3339" s="77"/>
      <c r="AL3339" s="77"/>
      <c r="AM3339" s="77"/>
      <c r="AN3339" s="77"/>
      <c r="AO3339" s="77"/>
      <c r="AP3339" s="77"/>
      <c r="AQ3339" s="77" t="s">
        <v>15629</v>
      </c>
      <c r="AR3339" s="77"/>
      <c r="AS3339" s="77"/>
      <c r="AT3339" s="77"/>
      <c r="AU3339" s="77"/>
      <c r="AV3339" s="83" t="str">
        <f>HYPERLINK("https://pbs.twimg.com/media/F4D2orEWoAA4hpj.jpg")</f>
        <v>https://pbs.twimg.com/media/F4D2orEWoAA4hpj.jpg</v>
      </c>
      <c r="AW3339" s="80" t="s">
        <v>19071</v>
      </c>
      <c r="AX3339" s="80" t="s">
        <v>19071</v>
      </c>
      <c r="AY3339" s="77"/>
      <c r="AZ3339" s="80" t="s">
        <v>20380</v>
      </c>
      <c r="BA3339" s="80" t="s">
        <v>20380</v>
      </c>
      <c r="BB3339" s="80" t="s">
        <v>20380</v>
      </c>
      <c r="BC3339" s="80" t="s">
        <v>19071</v>
      </c>
      <c r="BD3339" s="77">
        <v>30921422</v>
      </c>
      <c r="BE3339" s="77"/>
      <c r="BF3339" s="77"/>
      <c r="BG3339" s="77"/>
      <c r="BH3339" s="77"/>
      <c r="BI3339" s="77"/>
    </row>
    <row r="3340" spans="1:61" x14ac:dyDescent="0.25">
      <c r="A3340" s="62" t="s">
        <v>1332</v>
      </c>
      <c r="B3340" s="62" t="s">
        <v>1332</v>
      </c>
      <c r="C3340" s="63"/>
      <c r="D3340" s="64"/>
      <c r="E3340" s="65"/>
      <c r="F3340" s="66"/>
      <c r="G3340" s="63"/>
      <c r="H3340" s="67"/>
      <c r="I3340" s="68"/>
      <c r="J3340" s="68"/>
      <c r="K3340" s="32"/>
      <c r="L3340" s="75">
        <v>3340</v>
      </c>
      <c r="M3340" s="75"/>
      <c r="N3340" s="70"/>
      <c r="O3340" s="77" t="s">
        <v>179</v>
      </c>
      <c r="P3340" s="79">
        <v>45153.530231481483</v>
      </c>
      <c r="Q3340" s="77" t="s">
        <v>5034</v>
      </c>
      <c r="R3340" s="77">
        <v>0</v>
      </c>
      <c r="S3340" s="77">
        <v>0</v>
      </c>
      <c r="T3340" s="77">
        <v>0</v>
      </c>
      <c r="U3340" s="77">
        <v>0</v>
      </c>
      <c r="V3340" s="77">
        <v>9</v>
      </c>
      <c r="W3340" s="80" t="s">
        <v>7952</v>
      </c>
      <c r="X3340" s="83" t="str">
        <f>HYPERLINK("http://dlvr.it/Stggjb")</f>
        <v>http://dlvr.it/Stggjb</v>
      </c>
      <c r="Y3340" s="77" t="s">
        <v>8629</v>
      </c>
      <c r="Z3340" s="77"/>
      <c r="AA3340" s="77" t="s">
        <v>10149</v>
      </c>
      <c r="AB3340" s="77" t="s">
        <v>10535</v>
      </c>
      <c r="AC3340" s="80" t="s">
        <v>8629</v>
      </c>
      <c r="AD3340" s="77" t="s">
        <v>10617</v>
      </c>
      <c r="AE3340" s="83" t="str">
        <f>HYPERLINK("https://twitter.com/tiagomarques_/status/1691430423547760641")</f>
        <v>https://twitter.com/tiagomarques_/status/1691430423547760641</v>
      </c>
      <c r="AF3340" s="79">
        <v>45153.530231481483</v>
      </c>
      <c r="AG3340" s="85">
        <v>45153</v>
      </c>
      <c r="AH3340" s="80" t="s">
        <v>11514</v>
      </c>
      <c r="AI3340" s="77" t="b">
        <v>0</v>
      </c>
      <c r="AJ3340" s="77"/>
      <c r="AK3340" s="77"/>
      <c r="AL3340" s="77"/>
      <c r="AM3340" s="77"/>
      <c r="AN3340" s="77"/>
      <c r="AO3340" s="77"/>
      <c r="AP3340" s="77"/>
      <c r="AQ3340" s="77" t="s">
        <v>15630</v>
      </c>
      <c r="AR3340" s="77"/>
      <c r="AS3340" s="77"/>
      <c r="AT3340" s="77"/>
      <c r="AU3340" s="77"/>
      <c r="AV3340" s="83" t="str">
        <f>HYPERLINK("https://pbs.twimg.com/media/F3krAaOaIAAptzC.jpg")</f>
        <v>https://pbs.twimg.com/media/F3krAaOaIAAptzC.jpg</v>
      </c>
      <c r="AW3340" s="80" t="s">
        <v>19072</v>
      </c>
      <c r="AX3340" s="80" t="s">
        <v>19072</v>
      </c>
      <c r="AY3340" s="77"/>
      <c r="AZ3340" s="80" t="s">
        <v>20380</v>
      </c>
      <c r="BA3340" s="80" t="s">
        <v>20380</v>
      </c>
      <c r="BB3340" s="80" t="s">
        <v>20380</v>
      </c>
      <c r="BC3340" s="80" t="s">
        <v>19072</v>
      </c>
      <c r="BD3340" s="77">
        <v>30921422</v>
      </c>
      <c r="BE3340" s="77"/>
      <c r="BF3340" s="77"/>
      <c r="BG3340" s="77"/>
      <c r="BH3340" s="77"/>
      <c r="BI3340" s="77"/>
    </row>
    <row r="3341" spans="1:61" x14ac:dyDescent="0.25">
      <c r="A3341" s="62" t="s">
        <v>1333</v>
      </c>
      <c r="B3341" s="62" t="s">
        <v>1333</v>
      </c>
      <c r="C3341" s="63"/>
      <c r="D3341" s="64"/>
      <c r="E3341" s="65"/>
      <c r="F3341" s="66"/>
      <c r="G3341" s="63"/>
      <c r="H3341" s="67"/>
      <c r="I3341" s="68"/>
      <c r="J3341" s="68"/>
      <c r="K3341" s="32"/>
      <c r="L3341" s="75">
        <v>3341</v>
      </c>
      <c r="M3341" s="75"/>
      <c r="N3341" s="70"/>
      <c r="O3341" s="77" t="s">
        <v>179</v>
      </c>
      <c r="P3341" s="79">
        <v>45133.02547453704</v>
      </c>
      <c r="Q3341" s="77" t="s">
        <v>5035</v>
      </c>
      <c r="R3341" s="77">
        <v>0</v>
      </c>
      <c r="S3341" s="77">
        <v>1</v>
      </c>
      <c r="T3341" s="77">
        <v>0</v>
      </c>
      <c r="U3341" s="77">
        <v>0</v>
      </c>
      <c r="V3341" s="77">
        <v>91</v>
      </c>
      <c r="W3341" s="80" t="s">
        <v>7953</v>
      </c>
      <c r="X3341" s="83" t="str">
        <f>HYPERLINK("https://diariopampero.com/2023/07/25/bajo-el-dolar-blue-y-el-banco-central-compro-dolares/")</f>
        <v>https://diariopampero.com/2023/07/25/bajo-el-dolar-blue-y-el-banco-central-compro-dolares/</v>
      </c>
      <c r="Y3341" s="77" t="s">
        <v>8831</v>
      </c>
      <c r="Z3341" s="77"/>
      <c r="AA3341" s="77"/>
      <c r="AB3341" s="77"/>
      <c r="AC3341" s="80" t="s">
        <v>10541</v>
      </c>
      <c r="AD3341" s="77" t="s">
        <v>10620</v>
      </c>
      <c r="AE3341" s="83" t="str">
        <f>HYPERLINK("https://twitter.com/elpampero/status/1683999745855946753")</f>
        <v>https://twitter.com/elpampero/status/1683999745855946753</v>
      </c>
      <c r="AF3341" s="79">
        <v>45133.02547453704</v>
      </c>
      <c r="AG3341" s="85">
        <v>45133</v>
      </c>
      <c r="AH3341" s="80" t="s">
        <v>13535</v>
      </c>
      <c r="AI3341" s="77" t="b">
        <v>0</v>
      </c>
      <c r="AJ3341" s="77"/>
      <c r="AK3341" s="77"/>
      <c r="AL3341" s="77"/>
      <c r="AM3341" s="77"/>
      <c r="AN3341" s="77"/>
      <c r="AO3341" s="77"/>
      <c r="AP3341" s="77"/>
      <c r="AQ3341" s="77"/>
      <c r="AR3341" s="77"/>
      <c r="AS3341" s="77"/>
      <c r="AT3341" s="77"/>
      <c r="AU3341" s="77"/>
      <c r="AV3341" s="83" t="str">
        <f>HYPERLINK("https://pbs.twimg.com/profile_images/815652388765892609/vKI13qnE_normal.jpg")</f>
        <v>https://pbs.twimg.com/profile_images/815652388765892609/vKI13qnE_normal.jpg</v>
      </c>
      <c r="AW3341" s="80" t="s">
        <v>19073</v>
      </c>
      <c r="AX3341" s="80" t="s">
        <v>19073</v>
      </c>
      <c r="AY3341" s="77"/>
      <c r="AZ3341" s="80" t="s">
        <v>20380</v>
      </c>
      <c r="BA3341" s="80" t="s">
        <v>20380</v>
      </c>
      <c r="BB3341" s="80" t="s">
        <v>20380</v>
      </c>
      <c r="BC3341" s="80" t="s">
        <v>19073</v>
      </c>
      <c r="BD3341" s="77">
        <v>3384597142</v>
      </c>
      <c r="BE3341" s="77"/>
      <c r="BF3341" s="77"/>
      <c r="BG3341" s="77"/>
      <c r="BH3341" s="77"/>
      <c r="BI3341" s="77"/>
    </row>
    <row r="3342" spans="1:61" x14ac:dyDescent="0.25">
      <c r="A3342" s="62" t="s">
        <v>1334</v>
      </c>
      <c r="B3342" s="62" t="s">
        <v>1334</v>
      </c>
      <c r="C3342" s="63"/>
      <c r="D3342" s="64"/>
      <c r="E3342" s="65"/>
      <c r="F3342" s="66"/>
      <c r="G3342" s="63"/>
      <c r="H3342" s="67"/>
      <c r="I3342" s="68"/>
      <c r="J3342" s="68"/>
      <c r="K3342" s="32"/>
      <c r="L3342" s="75">
        <v>3342</v>
      </c>
      <c r="M3342" s="75"/>
      <c r="N3342" s="70"/>
      <c r="O3342" s="77" t="s">
        <v>179</v>
      </c>
      <c r="P3342" s="79">
        <v>45152.711111111108</v>
      </c>
      <c r="Q3342" s="77" t="s">
        <v>5036</v>
      </c>
      <c r="R3342" s="77">
        <v>0</v>
      </c>
      <c r="S3342" s="77">
        <v>1</v>
      </c>
      <c r="T3342" s="77">
        <v>0</v>
      </c>
      <c r="U3342" s="77">
        <v>1</v>
      </c>
      <c r="V3342" s="77">
        <v>96</v>
      </c>
      <c r="W3342" s="80" t="s">
        <v>7954</v>
      </c>
      <c r="X3342" s="77"/>
      <c r="Y3342" s="77"/>
      <c r="Z3342" s="77"/>
      <c r="AA3342" s="77"/>
      <c r="AB3342" s="77"/>
      <c r="AC3342" s="80" t="s">
        <v>10542</v>
      </c>
      <c r="AD3342" s="77" t="s">
        <v>10617</v>
      </c>
      <c r="AE3342" s="83" t="str">
        <f>HYPERLINK("https://twitter.com/u_ricardom/status/1691133584575287304")</f>
        <v>https://twitter.com/u_ricardom/status/1691133584575287304</v>
      </c>
      <c r="AF3342" s="79">
        <v>45152.711111111108</v>
      </c>
      <c r="AG3342" s="85">
        <v>45152</v>
      </c>
      <c r="AH3342" s="80" t="s">
        <v>11680</v>
      </c>
      <c r="AI3342" s="77"/>
      <c r="AJ3342" s="77"/>
      <c r="AK3342" s="77"/>
      <c r="AL3342" s="77"/>
      <c r="AM3342" s="77"/>
      <c r="AN3342" s="77"/>
      <c r="AO3342" s="77"/>
      <c r="AP3342" s="77"/>
      <c r="AQ3342" s="77"/>
      <c r="AR3342" s="77"/>
      <c r="AS3342" s="77"/>
      <c r="AT3342" s="77"/>
      <c r="AU3342" s="77"/>
      <c r="AV3342" s="83" t="str">
        <f>HYPERLINK("https://pbs.twimg.com/profile_images/1674819434085588992/vuLO4_BO_normal.jpg")</f>
        <v>https://pbs.twimg.com/profile_images/1674819434085588992/vuLO4_BO_normal.jpg</v>
      </c>
      <c r="AW3342" s="80" t="s">
        <v>19074</v>
      </c>
      <c r="AX3342" s="80" t="s">
        <v>19074</v>
      </c>
      <c r="AY3342" s="77"/>
      <c r="AZ3342" s="80" t="s">
        <v>20380</v>
      </c>
      <c r="BA3342" s="80" t="s">
        <v>20380</v>
      </c>
      <c r="BB3342" s="80" t="s">
        <v>20380</v>
      </c>
      <c r="BC3342" s="80" t="s">
        <v>19074</v>
      </c>
      <c r="BD3342" s="80" t="s">
        <v>21042</v>
      </c>
      <c r="BE3342" s="77"/>
      <c r="BF3342" s="77"/>
      <c r="BG3342" s="77"/>
      <c r="BH3342" s="77"/>
      <c r="BI3342" s="77"/>
    </row>
    <row r="3343" spans="1:61" x14ac:dyDescent="0.25">
      <c r="A3343" s="62" t="s">
        <v>1335</v>
      </c>
      <c r="B3343" s="62" t="s">
        <v>2015</v>
      </c>
      <c r="C3343" s="63"/>
      <c r="D3343" s="64"/>
      <c r="E3343" s="65"/>
      <c r="F3343" s="66"/>
      <c r="G3343" s="63"/>
      <c r="H3343" s="67"/>
      <c r="I3343" s="68"/>
      <c r="J3343" s="68"/>
      <c r="K3343" s="32"/>
      <c r="L3343" s="75">
        <v>3343</v>
      </c>
      <c r="M3343" s="75"/>
      <c r="N3343" s="70"/>
      <c r="O3343" s="77" t="s">
        <v>2081</v>
      </c>
      <c r="P3343" s="79">
        <v>45088.378240740742</v>
      </c>
      <c r="Q3343" s="77" t="s">
        <v>5037</v>
      </c>
      <c r="R3343" s="77">
        <v>0</v>
      </c>
      <c r="S3343" s="77">
        <v>1</v>
      </c>
      <c r="T3343" s="77">
        <v>0</v>
      </c>
      <c r="U3343" s="77">
        <v>0</v>
      </c>
      <c r="V3343" s="77">
        <v>104</v>
      </c>
      <c r="W3343" s="80" t="s">
        <v>7955</v>
      </c>
      <c r="X3343" s="83" t="str">
        <f>HYPERLINK("https://www.atalayar.com/articulo/economia-y-empresas/banco-central-marruecos-realiza-revision-produccion-pais/20230609142648186368.html?utm_medium=social&amp;utm_source=twitter&amp;utm_campaign=share_button")</f>
        <v>https://www.atalayar.com/articulo/economia-y-empresas/banco-central-marruecos-realiza-revision-produccion-pais/20230609142648186368.html?utm_medium=social&amp;utm_source=twitter&amp;utm_campaign=share_button</v>
      </c>
      <c r="Y3343" s="77" t="s">
        <v>8832</v>
      </c>
      <c r="Z3343" s="77" t="s">
        <v>2015</v>
      </c>
      <c r="AA3343" s="77"/>
      <c r="AB3343" s="77"/>
      <c r="AC3343" s="80" t="s">
        <v>10542</v>
      </c>
      <c r="AD3343" s="77" t="s">
        <v>10620</v>
      </c>
      <c r="AE3343" s="83" t="str">
        <f>HYPERLINK("https://twitter.com/javifarri/status/1667820132159176706")</f>
        <v>https://twitter.com/javifarri/status/1667820132159176706</v>
      </c>
      <c r="AF3343" s="79">
        <v>45088.378240740742</v>
      </c>
      <c r="AG3343" s="85">
        <v>45088</v>
      </c>
      <c r="AH3343" s="80" t="s">
        <v>13536</v>
      </c>
      <c r="AI3343" s="77" t="b">
        <v>0</v>
      </c>
      <c r="AJ3343" s="77"/>
      <c r="AK3343" s="77"/>
      <c r="AL3343" s="77"/>
      <c r="AM3343" s="77"/>
      <c r="AN3343" s="77"/>
      <c r="AO3343" s="77"/>
      <c r="AP3343" s="77"/>
      <c r="AQ3343" s="77"/>
      <c r="AR3343" s="77"/>
      <c r="AS3343" s="77"/>
      <c r="AT3343" s="77"/>
      <c r="AU3343" s="77"/>
      <c r="AV3343" s="83" t="str">
        <f>HYPERLINK("https://pbs.twimg.com/profile_images/1262872707/Buena_foto_reducida_1_normal.JPG")</f>
        <v>https://pbs.twimg.com/profile_images/1262872707/Buena_foto_reducida_1_normal.JPG</v>
      </c>
      <c r="AW3343" s="80" t="s">
        <v>19075</v>
      </c>
      <c r="AX3343" s="80" t="s">
        <v>19075</v>
      </c>
      <c r="AY3343" s="77"/>
      <c r="AZ3343" s="80" t="s">
        <v>20380</v>
      </c>
      <c r="BA3343" s="80" t="s">
        <v>20380</v>
      </c>
      <c r="BB3343" s="80" t="s">
        <v>20380</v>
      </c>
      <c r="BC3343" s="80" t="s">
        <v>19075</v>
      </c>
      <c r="BD3343" s="77">
        <v>259015395</v>
      </c>
      <c r="BE3343" s="77"/>
      <c r="BF3343" s="77"/>
      <c r="BG3343" s="77"/>
      <c r="BH3343" s="77"/>
      <c r="BI3343" s="77"/>
    </row>
    <row r="3344" spans="1:61" x14ac:dyDescent="0.25">
      <c r="A3344" s="62" t="s">
        <v>1336</v>
      </c>
      <c r="B3344" s="62" t="s">
        <v>2016</v>
      </c>
      <c r="C3344" s="63"/>
      <c r="D3344" s="64"/>
      <c r="E3344" s="65"/>
      <c r="F3344" s="66"/>
      <c r="G3344" s="63"/>
      <c r="H3344" s="67"/>
      <c r="I3344" s="68"/>
      <c r="J3344" s="68"/>
      <c r="K3344" s="32"/>
      <c r="L3344" s="75">
        <v>3344</v>
      </c>
      <c r="M3344" s="75"/>
      <c r="N3344" s="70"/>
      <c r="O3344" s="77" t="s">
        <v>2081</v>
      </c>
      <c r="P3344" s="79">
        <v>45152.632511574076</v>
      </c>
      <c r="Q3344" s="77" t="s">
        <v>5038</v>
      </c>
      <c r="R3344" s="77">
        <v>0</v>
      </c>
      <c r="S3344" s="77">
        <v>2</v>
      </c>
      <c r="T3344" s="77">
        <v>0</v>
      </c>
      <c r="U3344" s="77">
        <v>0</v>
      </c>
      <c r="V3344" s="77">
        <v>6</v>
      </c>
      <c r="W3344" s="80" t="s">
        <v>7956</v>
      </c>
      <c r="X3344" s="77"/>
      <c r="Y3344" s="77"/>
      <c r="Z3344" s="77" t="s">
        <v>9010</v>
      </c>
      <c r="AA3344" s="77" t="s">
        <v>10150</v>
      </c>
      <c r="AB3344" s="77" t="s">
        <v>10534</v>
      </c>
      <c r="AC3344" s="80" t="s">
        <v>10540</v>
      </c>
      <c r="AD3344" s="77" t="s">
        <v>10619</v>
      </c>
      <c r="AE3344" s="83" t="str">
        <f>HYPERLINK("https://twitter.com/ceciliavll/status/1691105099006009344")</f>
        <v>https://twitter.com/ceciliavll/status/1691105099006009344</v>
      </c>
      <c r="AF3344" s="79">
        <v>45152.632511574076</v>
      </c>
      <c r="AG3344" s="85">
        <v>45152</v>
      </c>
      <c r="AH3344" s="80" t="s">
        <v>13537</v>
      </c>
      <c r="AI3344" s="77" t="b">
        <v>0</v>
      </c>
      <c r="AJ3344" s="77"/>
      <c r="AK3344" s="77"/>
      <c r="AL3344" s="77"/>
      <c r="AM3344" s="77"/>
      <c r="AN3344" s="77"/>
      <c r="AO3344" s="77"/>
      <c r="AP3344" s="77"/>
      <c r="AQ3344" s="77" t="s">
        <v>15631</v>
      </c>
      <c r="AR3344" s="77">
        <v>44987</v>
      </c>
      <c r="AS3344" s="77"/>
      <c r="AT3344" s="77"/>
      <c r="AU3344" s="77"/>
      <c r="AV3344" s="83" t="str">
        <f>HYPERLINK("https://pbs.twimg.com/ext_tw_video_thumb/1691105049257136128/pu/img/r0tmqIRB65A5QIUZ.jpg")</f>
        <v>https://pbs.twimg.com/ext_tw_video_thumb/1691105049257136128/pu/img/r0tmqIRB65A5QIUZ.jpg</v>
      </c>
      <c r="AW3344" s="80" t="s">
        <v>19076</v>
      </c>
      <c r="AX3344" s="80" t="s">
        <v>19076</v>
      </c>
      <c r="AY3344" s="77"/>
      <c r="AZ3344" s="80" t="s">
        <v>20380</v>
      </c>
      <c r="BA3344" s="80" t="s">
        <v>20380</v>
      </c>
      <c r="BB3344" s="80" t="s">
        <v>20380</v>
      </c>
      <c r="BC3344" s="80" t="s">
        <v>19076</v>
      </c>
      <c r="BD3344" s="80" t="s">
        <v>21043</v>
      </c>
      <c r="BE3344" s="77"/>
      <c r="BF3344" s="77"/>
      <c r="BG3344" s="77"/>
      <c r="BH3344" s="77"/>
      <c r="BI3344" s="77"/>
    </row>
    <row r="3345" spans="1:61" x14ac:dyDescent="0.25">
      <c r="A3345" s="62" t="s">
        <v>1336</v>
      </c>
      <c r="B3345" s="62" t="s">
        <v>1767</v>
      </c>
      <c r="C3345" s="63"/>
      <c r="D3345" s="64"/>
      <c r="E3345" s="65"/>
      <c r="F3345" s="66"/>
      <c r="G3345" s="63"/>
      <c r="H3345" s="67"/>
      <c r="I3345" s="68"/>
      <c r="J3345" s="68"/>
      <c r="K3345" s="32"/>
      <c r="L3345" s="75">
        <v>3345</v>
      </c>
      <c r="M3345" s="75"/>
      <c r="N3345" s="70"/>
      <c r="O3345" s="77" t="s">
        <v>2081</v>
      </c>
      <c r="P3345" s="79">
        <v>45152.632511574076</v>
      </c>
      <c r="Q3345" s="77" t="s">
        <v>5038</v>
      </c>
      <c r="R3345" s="77">
        <v>0</v>
      </c>
      <c r="S3345" s="77">
        <v>2</v>
      </c>
      <c r="T3345" s="77">
        <v>0</v>
      </c>
      <c r="U3345" s="77">
        <v>0</v>
      </c>
      <c r="V3345" s="77">
        <v>6</v>
      </c>
      <c r="W3345" s="80" t="s">
        <v>7956</v>
      </c>
      <c r="X3345" s="77"/>
      <c r="Y3345" s="77"/>
      <c r="Z3345" s="77" t="s">
        <v>9010</v>
      </c>
      <c r="AA3345" s="77" t="s">
        <v>10150</v>
      </c>
      <c r="AB3345" s="77" t="s">
        <v>10534</v>
      </c>
      <c r="AC3345" s="80" t="s">
        <v>10540</v>
      </c>
      <c r="AD3345" s="77" t="s">
        <v>10619</v>
      </c>
      <c r="AE3345" s="83" t="str">
        <f>HYPERLINK("https://twitter.com/ceciliavll/status/1691105099006009344")</f>
        <v>https://twitter.com/ceciliavll/status/1691105099006009344</v>
      </c>
      <c r="AF3345" s="79">
        <v>45152.632511574076</v>
      </c>
      <c r="AG3345" s="85">
        <v>45152</v>
      </c>
      <c r="AH3345" s="80" t="s">
        <v>13537</v>
      </c>
      <c r="AI3345" s="77" t="b">
        <v>0</v>
      </c>
      <c r="AJ3345" s="77"/>
      <c r="AK3345" s="77"/>
      <c r="AL3345" s="77"/>
      <c r="AM3345" s="77"/>
      <c r="AN3345" s="77"/>
      <c r="AO3345" s="77"/>
      <c r="AP3345" s="77"/>
      <c r="AQ3345" s="77" t="s">
        <v>15631</v>
      </c>
      <c r="AR3345" s="77">
        <v>44987</v>
      </c>
      <c r="AS3345" s="77"/>
      <c r="AT3345" s="77"/>
      <c r="AU3345" s="77"/>
      <c r="AV3345" s="83" t="str">
        <f>HYPERLINK("https://pbs.twimg.com/ext_tw_video_thumb/1691105049257136128/pu/img/r0tmqIRB65A5QIUZ.jpg")</f>
        <v>https://pbs.twimg.com/ext_tw_video_thumb/1691105049257136128/pu/img/r0tmqIRB65A5QIUZ.jpg</v>
      </c>
      <c r="AW3345" s="80" t="s">
        <v>19076</v>
      </c>
      <c r="AX3345" s="80" t="s">
        <v>19076</v>
      </c>
      <c r="AY3345" s="77"/>
      <c r="AZ3345" s="80" t="s">
        <v>20380</v>
      </c>
      <c r="BA3345" s="80" t="s">
        <v>20380</v>
      </c>
      <c r="BB3345" s="80" t="s">
        <v>20380</v>
      </c>
      <c r="BC3345" s="80" t="s">
        <v>19076</v>
      </c>
      <c r="BD3345" s="80" t="s">
        <v>21043</v>
      </c>
      <c r="BE3345" s="77"/>
      <c r="BF3345" s="77"/>
      <c r="BG3345" s="77"/>
      <c r="BH3345" s="77"/>
      <c r="BI3345" s="77"/>
    </row>
    <row r="3346" spans="1:61" x14ac:dyDescent="0.25">
      <c r="A3346" s="62" t="s">
        <v>1336</v>
      </c>
      <c r="B3346" s="62" t="s">
        <v>2017</v>
      </c>
      <c r="C3346" s="63"/>
      <c r="D3346" s="64"/>
      <c r="E3346" s="65"/>
      <c r="F3346" s="66"/>
      <c r="G3346" s="63"/>
      <c r="H3346" s="67"/>
      <c r="I3346" s="68"/>
      <c r="J3346" s="68"/>
      <c r="K3346" s="32"/>
      <c r="L3346" s="75">
        <v>3346</v>
      </c>
      <c r="M3346" s="75"/>
      <c r="N3346" s="70"/>
      <c r="O3346" s="77" t="s">
        <v>2081</v>
      </c>
      <c r="P3346" s="79">
        <v>45152.632511574076</v>
      </c>
      <c r="Q3346" s="77" t="s">
        <v>5038</v>
      </c>
      <c r="R3346" s="77">
        <v>0</v>
      </c>
      <c r="S3346" s="77">
        <v>2</v>
      </c>
      <c r="T3346" s="77">
        <v>0</v>
      </c>
      <c r="U3346" s="77">
        <v>0</v>
      </c>
      <c r="V3346" s="77">
        <v>6</v>
      </c>
      <c r="W3346" s="80" t="s">
        <v>7956</v>
      </c>
      <c r="X3346" s="77"/>
      <c r="Y3346" s="77"/>
      <c r="Z3346" s="77" t="s">
        <v>9010</v>
      </c>
      <c r="AA3346" s="77" t="s">
        <v>10150</v>
      </c>
      <c r="AB3346" s="77" t="s">
        <v>10534</v>
      </c>
      <c r="AC3346" s="80" t="s">
        <v>10540</v>
      </c>
      <c r="AD3346" s="77" t="s">
        <v>10619</v>
      </c>
      <c r="AE3346" s="83" t="str">
        <f>HYPERLINK("https://twitter.com/ceciliavll/status/1691105099006009344")</f>
        <v>https://twitter.com/ceciliavll/status/1691105099006009344</v>
      </c>
      <c r="AF3346" s="79">
        <v>45152.632511574076</v>
      </c>
      <c r="AG3346" s="85">
        <v>45152</v>
      </c>
      <c r="AH3346" s="80" t="s">
        <v>13537</v>
      </c>
      <c r="AI3346" s="77" t="b">
        <v>0</v>
      </c>
      <c r="AJ3346" s="77"/>
      <c r="AK3346" s="77"/>
      <c r="AL3346" s="77"/>
      <c r="AM3346" s="77"/>
      <c r="AN3346" s="77"/>
      <c r="AO3346" s="77"/>
      <c r="AP3346" s="77"/>
      <c r="AQ3346" s="77" t="s">
        <v>15631</v>
      </c>
      <c r="AR3346" s="77">
        <v>44987</v>
      </c>
      <c r="AS3346" s="77"/>
      <c r="AT3346" s="77"/>
      <c r="AU3346" s="77"/>
      <c r="AV3346" s="83" t="str">
        <f>HYPERLINK("https://pbs.twimg.com/ext_tw_video_thumb/1691105049257136128/pu/img/r0tmqIRB65A5QIUZ.jpg")</f>
        <v>https://pbs.twimg.com/ext_tw_video_thumb/1691105049257136128/pu/img/r0tmqIRB65A5QIUZ.jpg</v>
      </c>
      <c r="AW3346" s="80" t="s">
        <v>19076</v>
      </c>
      <c r="AX3346" s="80" t="s">
        <v>19076</v>
      </c>
      <c r="AY3346" s="77"/>
      <c r="AZ3346" s="80" t="s">
        <v>20380</v>
      </c>
      <c r="BA3346" s="80" t="s">
        <v>20380</v>
      </c>
      <c r="BB3346" s="80" t="s">
        <v>20380</v>
      </c>
      <c r="BC3346" s="80" t="s">
        <v>19076</v>
      </c>
      <c r="BD3346" s="80" t="s">
        <v>21043</v>
      </c>
      <c r="BE3346" s="77"/>
      <c r="BF3346" s="77"/>
      <c r="BG3346" s="77"/>
      <c r="BH3346" s="77"/>
      <c r="BI3346" s="77"/>
    </row>
    <row r="3347" spans="1:61" x14ac:dyDescent="0.25">
      <c r="A3347" s="62" t="s">
        <v>1336</v>
      </c>
      <c r="B3347" s="62" t="s">
        <v>1919</v>
      </c>
      <c r="C3347" s="63"/>
      <c r="D3347" s="64"/>
      <c r="E3347" s="65"/>
      <c r="F3347" s="66"/>
      <c r="G3347" s="63"/>
      <c r="H3347" s="67"/>
      <c r="I3347" s="68"/>
      <c r="J3347" s="68"/>
      <c r="K3347" s="32"/>
      <c r="L3347" s="75">
        <v>3347</v>
      </c>
      <c r="M3347" s="75"/>
      <c r="N3347" s="70"/>
      <c r="O3347" s="77" t="s">
        <v>2081</v>
      </c>
      <c r="P3347" s="79">
        <v>45152.632511574076</v>
      </c>
      <c r="Q3347" s="77" t="s">
        <v>5038</v>
      </c>
      <c r="R3347" s="77">
        <v>0</v>
      </c>
      <c r="S3347" s="77">
        <v>2</v>
      </c>
      <c r="T3347" s="77">
        <v>0</v>
      </c>
      <c r="U3347" s="77">
        <v>0</v>
      </c>
      <c r="V3347" s="77">
        <v>6</v>
      </c>
      <c r="W3347" s="80" t="s">
        <v>7956</v>
      </c>
      <c r="X3347" s="77"/>
      <c r="Y3347" s="77"/>
      <c r="Z3347" s="77" t="s">
        <v>9010</v>
      </c>
      <c r="AA3347" s="77" t="s">
        <v>10150</v>
      </c>
      <c r="AB3347" s="77" t="s">
        <v>10534</v>
      </c>
      <c r="AC3347" s="80" t="s">
        <v>10540</v>
      </c>
      <c r="AD3347" s="77" t="s">
        <v>10619</v>
      </c>
      <c r="AE3347" s="83" t="str">
        <f>HYPERLINK("https://twitter.com/ceciliavll/status/1691105099006009344")</f>
        <v>https://twitter.com/ceciliavll/status/1691105099006009344</v>
      </c>
      <c r="AF3347" s="79">
        <v>45152.632511574076</v>
      </c>
      <c r="AG3347" s="85">
        <v>45152</v>
      </c>
      <c r="AH3347" s="80" t="s">
        <v>13537</v>
      </c>
      <c r="AI3347" s="77" t="b">
        <v>0</v>
      </c>
      <c r="AJ3347" s="77"/>
      <c r="AK3347" s="77"/>
      <c r="AL3347" s="77"/>
      <c r="AM3347" s="77"/>
      <c r="AN3347" s="77"/>
      <c r="AO3347" s="77"/>
      <c r="AP3347" s="77"/>
      <c r="AQ3347" s="77" t="s">
        <v>15631</v>
      </c>
      <c r="AR3347" s="77">
        <v>44987</v>
      </c>
      <c r="AS3347" s="77"/>
      <c r="AT3347" s="77"/>
      <c r="AU3347" s="77"/>
      <c r="AV3347" s="83" t="str">
        <f>HYPERLINK("https://pbs.twimg.com/ext_tw_video_thumb/1691105049257136128/pu/img/r0tmqIRB65A5QIUZ.jpg")</f>
        <v>https://pbs.twimg.com/ext_tw_video_thumb/1691105049257136128/pu/img/r0tmqIRB65A5QIUZ.jpg</v>
      </c>
      <c r="AW3347" s="80" t="s">
        <v>19076</v>
      </c>
      <c r="AX3347" s="80" t="s">
        <v>19076</v>
      </c>
      <c r="AY3347" s="77"/>
      <c r="AZ3347" s="80" t="s">
        <v>20380</v>
      </c>
      <c r="BA3347" s="80" t="s">
        <v>20380</v>
      </c>
      <c r="BB3347" s="80" t="s">
        <v>20380</v>
      </c>
      <c r="BC3347" s="80" t="s">
        <v>19076</v>
      </c>
      <c r="BD3347" s="80" t="s">
        <v>21043</v>
      </c>
      <c r="BE3347" s="77"/>
      <c r="BF3347" s="77"/>
      <c r="BG3347" s="77"/>
      <c r="BH3347" s="77"/>
      <c r="BI3347" s="77"/>
    </row>
    <row r="3348" spans="1:61" x14ac:dyDescent="0.25">
      <c r="A3348" s="62" t="s">
        <v>1336</v>
      </c>
      <c r="B3348" s="62" t="s">
        <v>1810</v>
      </c>
      <c r="C3348" s="63"/>
      <c r="D3348" s="64"/>
      <c r="E3348" s="65"/>
      <c r="F3348" s="66"/>
      <c r="G3348" s="63"/>
      <c r="H3348" s="67"/>
      <c r="I3348" s="68"/>
      <c r="J3348" s="68"/>
      <c r="K3348" s="32"/>
      <c r="L3348" s="75">
        <v>3348</v>
      </c>
      <c r="M3348" s="75"/>
      <c r="N3348" s="70"/>
      <c r="O3348" s="77" t="s">
        <v>2081</v>
      </c>
      <c r="P3348" s="79">
        <v>45152.632511574076</v>
      </c>
      <c r="Q3348" s="77" t="s">
        <v>5038</v>
      </c>
      <c r="R3348" s="77">
        <v>0</v>
      </c>
      <c r="S3348" s="77">
        <v>2</v>
      </c>
      <c r="T3348" s="77">
        <v>0</v>
      </c>
      <c r="U3348" s="77">
        <v>0</v>
      </c>
      <c r="V3348" s="77">
        <v>6</v>
      </c>
      <c r="W3348" s="80" t="s">
        <v>7956</v>
      </c>
      <c r="X3348" s="77"/>
      <c r="Y3348" s="77"/>
      <c r="Z3348" s="77" t="s">
        <v>9010</v>
      </c>
      <c r="AA3348" s="77" t="s">
        <v>10150</v>
      </c>
      <c r="AB3348" s="77" t="s">
        <v>10534</v>
      </c>
      <c r="AC3348" s="80" t="s">
        <v>10540</v>
      </c>
      <c r="AD3348" s="77" t="s">
        <v>10619</v>
      </c>
      <c r="AE3348" s="83" t="str">
        <f>HYPERLINK("https://twitter.com/ceciliavll/status/1691105099006009344")</f>
        <v>https://twitter.com/ceciliavll/status/1691105099006009344</v>
      </c>
      <c r="AF3348" s="79">
        <v>45152.632511574076</v>
      </c>
      <c r="AG3348" s="85">
        <v>45152</v>
      </c>
      <c r="AH3348" s="80" t="s">
        <v>13537</v>
      </c>
      <c r="AI3348" s="77" t="b">
        <v>0</v>
      </c>
      <c r="AJ3348" s="77"/>
      <c r="AK3348" s="77"/>
      <c r="AL3348" s="77"/>
      <c r="AM3348" s="77"/>
      <c r="AN3348" s="77"/>
      <c r="AO3348" s="77"/>
      <c r="AP3348" s="77"/>
      <c r="AQ3348" s="77" t="s">
        <v>15631</v>
      </c>
      <c r="AR3348" s="77">
        <v>44987</v>
      </c>
      <c r="AS3348" s="77"/>
      <c r="AT3348" s="77"/>
      <c r="AU3348" s="77"/>
      <c r="AV3348" s="83" t="str">
        <f>HYPERLINK("https://pbs.twimg.com/ext_tw_video_thumb/1691105049257136128/pu/img/r0tmqIRB65A5QIUZ.jpg")</f>
        <v>https://pbs.twimg.com/ext_tw_video_thumb/1691105049257136128/pu/img/r0tmqIRB65A5QIUZ.jpg</v>
      </c>
      <c r="AW3348" s="80" t="s">
        <v>19076</v>
      </c>
      <c r="AX3348" s="80" t="s">
        <v>19076</v>
      </c>
      <c r="AY3348" s="77"/>
      <c r="AZ3348" s="80" t="s">
        <v>20380</v>
      </c>
      <c r="BA3348" s="80" t="s">
        <v>20380</v>
      </c>
      <c r="BB3348" s="80" t="s">
        <v>20380</v>
      </c>
      <c r="BC3348" s="80" t="s">
        <v>19076</v>
      </c>
      <c r="BD3348" s="80" t="s">
        <v>21043</v>
      </c>
      <c r="BE3348" s="77"/>
      <c r="BF3348" s="77"/>
      <c r="BG3348" s="77"/>
      <c r="BH3348" s="77"/>
      <c r="BI3348" s="77"/>
    </row>
    <row r="3349" spans="1:61" x14ac:dyDescent="0.25">
      <c r="A3349" s="62" t="s">
        <v>1337</v>
      </c>
      <c r="B3349" s="62" t="s">
        <v>1337</v>
      </c>
      <c r="C3349" s="63"/>
      <c r="D3349" s="64"/>
      <c r="E3349" s="65"/>
      <c r="F3349" s="66"/>
      <c r="G3349" s="63"/>
      <c r="H3349" s="67"/>
      <c r="I3349" s="68"/>
      <c r="J3349" s="68"/>
      <c r="K3349" s="32"/>
      <c r="L3349" s="75">
        <v>3349</v>
      </c>
      <c r="M3349" s="75"/>
      <c r="N3349" s="70"/>
      <c r="O3349" s="77" t="s">
        <v>2078</v>
      </c>
      <c r="P3349" s="79">
        <v>45097.531689814816</v>
      </c>
      <c r="Q3349" s="77" t="s">
        <v>5039</v>
      </c>
      <c r="R3349" s="77">
        <v>0</v>
      </c>
      <c r="S3349" s="77">
        <v>1</v>
      </c>
      <c r="T3349" s="77">
        <v>0</v>
      </c>
      <c r="U3349" s="77">
        <v>0</v>
      </c>
      <c r="V3349" s="77">
        <v>102</v>
      </c>
      <c r="W3349" s="80" t="s">
        <v>7957</v>
      </c>
      <c r="X3349" s="77"/>
      <c r="Y3349" s="77"/>
      <c r="Z3349" s="77"/>
      <c r="AA3349" s="77"/>
      <c r="AB3349" s="77"/>
      <c r="AC3349" s="80" t="s">
        <v>10541</v>
      </c>
      <c r="AD3349" s="77" t="s">
        <v>10618</v>
      </c>
      <c r="AE3349" s="83" t="str">
        <f>HYPERLINK("https://twitter.com/bpmoney_/status/1671137230176280579")</f>
        <v>https://twitter.com/bpmoney_/status/1671137230176280579</v>
      </c>
      <c r="AF3349" s="79">
        <v>45097.531689814816</v>
      </c>
      <c r="AG3349" s="85">
        <v>45097</v>
      </c>
      <c r="AH3349" s="80" t="s">
        <v>13538</v>
      </c>
      <c r="AI3349" s="77"/>
      <c r="AJ3349" s="77"/>
      <c r="AK3349" s="77"/>
      <c r="AL3349" s="77"/>
      <c r="AM3349" s="77"/>
      <c r="AN3349" s="77"/>
      <c r="AO3349" s="77"/>
      <c r="AP3349" s="77"/>
      <c r="AQ3349" s="77"/>
      <c r="AR3349" s="77"/>
      <c r="AS3349" s="77"/>
      <c r="AT3349" s="77"/>
      <c r="AU3349" s="77"/>
      <c r="AV3349" s="83" t="str">
        <f>HYPERLINK("https://pbs.twimg.com/profile_images/1518936529674117121/MCMYTicP_normal.jpg")</f>
        <v>https://pbs.twimg.com/profile_images/1518936529674117121/MCMYTicP_normal.jpg</v>
      </c>
      <c r="AW3349" s="80" t="s">
        <v>19077</v>
      </c>
      <c r="AX3349" s="80" t="s">
        <v>20097</v>
      </c>
      <c r="AY3349" s="80" t="s">
        <v>20342</v>
      </c>
      <c r="AZ3349" s="80" t="s">
        <v>20097</v>
      </c>
      <c r="BA3349" s="80" t="s">
        <v>20380</v>
      </c>
      <c r="BB3349" s="80" t="s">
        <v>20380</v>
      </c>
      <c r="BC3349" s="80" t="s">
        <v>20097</v>
      </c>
      <c r="BD3349" s="80" t="s">
        <v>20342</v>
      </c>
      <c r="BE3349" s="77"/>
      <c r="BF3349" s="77"/>
      <c r="BG3349" s="77"/>
      <c r="BH3349" s="77"/>
      <c r="BI3349" s="77"/>
    </row>
    <row r="3350" spans="1:61" x14ac:dyDescent="0.25">
      <c r="A3350" s="62" t="s">
        <v>1337</v>
      </c>
      <c r="B3350" s="62" t="s">
        <v>1337</v>
      </c>
      <c r="C3350" s="63"/>
      <c r="D3350" s="64"/>
      <c r="E3350" s="65"/>
      <c r="F3350" s="66"/>
      <c r="G3350" s="63"/>
      <c r="H3350" s="67"/>
      <c r="I3350" s="68"/>
      <c r="J3350" s="68"/>
      <c r="K3350" s="32"/>
      <c r="L3350" s="75">
        <v>3350</v>
      </c>
      <c r="M3350" s="75"/>
      <c r="N3350" s="70"/>
      <c r="O3350" s="77" t="s">
        <v>2078</v>
      </c>
      <c r="P3350" s="79">
        <v>45097.522986111115</v>
      </c>
      <c r="Q3350" s="77" t="s">
        <v>5040</v>
      </c>
      <c r="R3350" s="77">
        <v>0</v>
      </c>
      <c r="S3350" s="77">
        <v>1</v>
      </c>
      <c r="T3350" s="77">
        <v>0</v>
      </c>
      <c r="U3350" s="77">
        <v>0</v>
      </c>
      <c r="V3350" s="77">
        <v>77</v>
      </c>
      <c r="W3350" s="80" t="s">
        <v>7958</v>
      </c>
      <c r="X3350" s="77"/>
      <c r="Y3350" s="77"/>
      <c r="Z3350" s="77"/>
      <c r="AA3350" s="77"/>
      <c r="AB3350" s="77"/>
      <c r="AC3350" s="80" t="s">
        <v>10541</v>
      </c>
      <c r="AD3350" s="77" t="s">
        <v>10618</v>
      </c>
      <c r="AE3350" s="83" t="str">
        <f>HYPERLINK("https://twitter.com/bpmoney_/status/1671134073757089796")</f>
        <v>https://twitter.com/bpmoney_/status/1671134073757089796</v>
      </c>
      <c r="AF3350" s="79">
        <v>45097.522986111115</v>
      </c>
      <c r="AG3350" s="85">
        <v>45097</v>
      </c>
      <c r="AH3350" s="80" t="s">
        <v>13539</v>
      </c>
      <c r="AI3350" s="77"/>
      <c r="AJ3350" s="77"/>
      <c r="AK3350" s="77"/>
      <c r="AL3350" s="77"/>
      <c r="AM3350" s="77"/>
      <c r="AN3350" s="77"/>
      <c r="AO3350" s="77"/>
      <c r="AP3350" s="77"/>
      <c r="AQ3350" s="77"/>
      <c r="AR3350" s="77"/>
      <c r="AS3350" s="77"/>
      <c r="AT3350" s="77"/>
      <c r="AU3350" s="77"/>
      <c r="AV3350" s="83" t="str">
        <f>HYPERLINK("https://pbs.twimg.com/profile_images/1518936529674117121/MCMYTicP_normal.jpg")</f>
        <v>https://pbs.twimg.com/profile_images/1518936529674117121/MCMYTicP_normal.jpg</v>
      </c>
      <c r="AW3350" s="80" t="s">
        <v>19078</v>
      </c>
      <c r="AX3350" s="80" t="s">
        <v>20098</v>
      </c>
      <c r="AY3350" s="80" t="s">
        <v>20342</v>
      </c>
      <c r="AZ3350" s="80" t="s">
        <v>20098</v>
      </c>
      <c r="BA3350" s="80" t="s">
        <v>20380</v>
      </c>
      <c r="BB3350" s="80" t="s">
        <v>20380</v>
      </c>
      <c r="BC3350" s="80" t="s">
        <v>20098</v>
      </c>
      <c r="BD3350" s="80" t="s">
        <v>20342</v>
      </c>
      <c r="BE3350" s="77"/>
      <c r="BF3350" s="77"/>
      <c r="BG3350" s="77"/>
      <c r="BH3350" s="77"/>
      <c r="BI3350" s="77"/>
    </row>
    <row r="3351" spans="1:61" x14ac:dyDescent="0.25">
      <c r="A3351" s="62" t="s">
        <v>1337</v>
      </c>
      <c r="B3351" s="62" t="s">
        <v>1337</v>
      </c>
      <c r="C3351" s="63"/>
      <c r="D3351" s="64"/>
      <c r="E3351" s="65"/>
      <c r="F3351" s="66"/>
      <c r="G3351" s="63"/>
      <c r="H3351" s="67"/>
      <c r="I3351" s="68"/>
      <c r="J3351" s="68"/>
      <c r="K3351" s="32"/>
      <c r="L3351" s="75">
        <v>3351</v>
      </c>
      <c r="M3351" s="75"/>
      <c r="N3351" s="70"/>
      <c r="O3351" s="77" t="s">
        <v>2078</v>
      </c>
      <c r="P3351" s="79">
        <v>45072.712835648148</v>
      </c>
      <c r="Q3351" s="77" t="s">
        <v>5041</v>
      </c>
      <c r="R3351" s="77">
        <v>0</v>
      </c>
      <c r="S3351" s="77">
        <v>1</v>
      </c>
      <c r="T3351" s="77">
        <v>0</v>
      </c>
      <c r="U3351" s="77">
        <v>0</v>
      </c>
      <c r="V3351" s="77">
        <v>107</v>
      </c>
      <c r="W3351" s="80" t="s">
        <v>7959</v>
      </c>
      <c r="X3351" s="77"/>
      <c r="Y3351" s="77"/>
      <c r="Z3351" s="77"/>
      <c r="AA3351" s="77"/>
      <c r="AB3351" s="77"/>
      <c r="AC3351" s="80" t="s">
        <v>10541</v>
      </c>
      <c r="AD3351" s="77" t="s">
        <v>10618</v>
      </c>
      <c r="AE3351" s="83" t="str">
        <f>HYPERLINK("https://twitter.com/bpmoney_/status/1662143176663089152")</f>
        <v>https://twitter.com/bpmoney_/status/1662143176663089152</v>
      </c>
      <c r="AF3351" s="79">
        <v>45072.712835648148</v>
      </c>
      <c r="AG3351" s="85">
        <v>45072</v>
      </c>
      <c r="AH3351" s="80" t="s">
        <v>12632</v>
      </c>
      <c r="AI3351" s="77"/>
      <c r="AJ3351" s="77"/>
      <c r="AK3351" s="77"/>
      <c r="AL3351" s="77"/>
      <c r="AM3351" s="77"/>
      <c r="AN3351" s="77"/>
      <c r="AO3351" s="77"/>
      <c r="AP3351" s="77"/>
      <c r="AQ3351" s="77"/>
      <c r="AR3351" s="77"/>
      <c r="AS3351" s="77"/>
      <c r="AT3351" s="77"/>
      <c r="AU3351" s="77"/>
      <c r="AV3351" s="83" t="str">
        <f>HYPERLINK("https://pbs.twimg.com/profile_images/1518936529674117121/MCMYTicP_normal.jpg")</f>
        <v>https://pbs.twimg.com/profile_images/1518936529674117121/MCMYTicP_normal.jpg</v>
      </c>
      <c r="AW3351" s="80" t="s">
        <v>19079</v>
      </c>
      <c r="AX3351" s="80" t="s">
        <v>20099</v>
      </c>
      <c r="AY3351" s="80" t="s">
        <v>20342</v>
      </c>
      <c r="AZ3351" s="80" t="s">
        <v>20099</v>
      </c>
      <c r="BA3351" s="80" t="s">
        <v>20380</v>
      </c>
      <c r="BB3351" s="80" t="s">
        <v>20380</v>
      </c>
      <c r="BC3351" s="80" t="s">
        <v>20099</v>
      </c>
      <c r="BD3351" s="80" t="s">
        <v>20342</v>
      </c>
      <c r="BE3351" s="77"/>
      <c r="BF3351" s="77"/>
      <c r="BG3351" s="77"/>
      <c r="BH3351" s="77"/>
      <c r="BI3351" s="77"/>
    </row>
    <row r="3352" spans="1:61" x14ac:dyDescent="0.25">
      <c r="A3352" s="62" t="s">
        <v>1337</v>
      </c>
      <c r="B3352" s="62" t="s">
        <v>1337</v>
      </c>
      <c r="C3352" s="63"/>
      <c r="D3352" s="64"/>
      <c r="E3352" s="65"/>
      <c r="F3352" s="66"/>
      <c r="G3352" s="63"/>
      <c r="H3352" s="67"/>
      <c r="I3352" s="68"/>
      <c r="J3352" s="68"/>
      <c r="K3352" s="32"/>
      <c r="L3352" s="75">
        <v>3352</v>
      </c>
      <c r="M3352" s="75"/>
      <c r="N3352" s="70"/>
      <c r="O3352" s="77" t="s">
        <v>2078</v>
      </c>
      <c r="P3352" s="79">
        <v>45070.884270833332</v>
      </c>
      <c r="Q3352" s="77" t="s">
        <v>5042</v>
      </c>
      <c r="R3352" s="77">
        <v>0</v>
      </c>
      <c r="S3352" s="77">
        <v>0</v>
      </c>
      <c r="T3352" s="77">
        <v>0</v>
      </c>
      <c r="U3352" s="77">
        <v>0</v>
      </c>
      <c r="V3352" s="77">
        <v>114</v>
      </c>
      <c r="W3352" s="80" t="s">
        <v>7960</v>
      </c>
      <c r="X3352" s="77"/>
      <c r="Y3352" s="77"/>
      <c r="Z3352" s="77"/>
      <c r="AA3352" s="77"/>
      <c r="AB3352" s="77"/>
      <c r="AC3352" s="80" t="s">
        <v>10541</v>
      </c>
      <c r="AD3352" s="77" t="s">
        <v>10618</v>
      </c>
      <c r="AE3352" s="83" t="str">
        <f>HYPERLINK("https://twitter.com/bpmoney_/status/1661480527126487040")</f>
        <v>https://twitter.com/bpmoney_/status/1661480527126487040</v>
      </c>
      <c r="AF3352" s="79">
        <v>45070.884270833332</v>
      </c>
      <c r="AG3352" s="85">
        <v>45070</v>
      </c>
      <c r="AH3352" s="80" t="s">
        <v>13540</v>
      </c>
      <c r="AI3352" s="77"/>
      <c r="AJ3352" s="77"/>
      <c r="AK3352" s="77"/>
      <c r="AL3352" s="77"/>
      <c r="AM3352" s="77"/>
      <c r="AN3352" s="77"/>
      <c r="AO3352" s="77"/>
      <c r="AP3352" s="77"/>
      <c r="AQ3352" s="77"/>
      <c r="AR3352" s="77"/>
      <c r="AS3352" s="77"/>
      <c r="AT3352" s="77"/>
      <c r="AU3352" s="77"/>
      <c r="AV3352" s="83" t="str">
        <f>HYPERLINK("https://pbs.twimg.com/profile_images/1518936529674117121/MCMYTicP_normal.jpg")</f>
        <v>https://pbs.twimg.com/profile_images/1518936529674117121/MCMYTicP_normal.jpg</v>
      </c>
      <c r="AW3352" s="80" t="s">
        <v>19080</v>
      </c>
      <c r="AX3352" s="80" t="s">
        <v>20100</v>
      </c>
      <c r="AY3352" s="80" t="s">
        <v>20342</v>
      </c>
      <c r="AZ3352" s="80" t="s">
        <v>20100</v>
      </c>
      <c r="BA3352" s="80" t="s">
        <v>20380</v>
      </c>
      <c r="BB3352" s="80" t="s">
        <v>20380</v>
      </c>
      <c r="BC3352" s="80" t="s">
        <v>20100</v>
      </c>
      <c r="BD3352" s="80" t="s">
        <v>20342</v>
      </c>
      <c r="BE3352" s="77"/>
      <c r="BF3352" s="77"/>
      <c r="BG3352" s="77"/>
      <c r="BH3352" s="77"/>
      <c r="BI3352" s="77"/>
    </row>
    <row r="3353" spans="1:61" x14ac:dyDescent="0.25">
      <c r="A3353" s="62" t="s">
        <v>1337</v>
      </c>
      <c r="B3353" s="62" t="s">
        <v>1337</v>
      </c>
      <c r="C3353" s="63"/>
      <c r="D3353" s="64"/>
      <c r="E3353" s="65"/>
      <c r="F3353" s="66"/>
      <c r="G3353" s="63"/>
      <c r="H3353" s="67"/>
      <c r="I3353" s="68"/>
      <c r="J3353" s="68"/>
      <c r="K3353" s="32"/>
      <c r="L3353" s="75">
        <v>3353</v>
      </c>
      <c r="M3353" s="75"/>
      <c r="N3353" s="70"/>
      <c r="O3353" s="77" t="s">
        <v>2078</v>
      </c>
      <c r="P3353" s="79">
        <v>45069.72252314815</v>
      </c>
      <c r="Q3353" s="77" t="s">
        <v>5043</v>
      </c>
      <c r="R3353" s="77">
        <v>0</v>
      </c>
      <c r="S3353" s="77">
        <v>0</v>
      </c>
      <c r="T3353" s="77">
        <v>0</v>
      </c>
      <c r="U3353" s="77">
        <v>0</v>
      </c>
      <c r="V3353" s="77">
        <v>102</v>
      </c>
      <c r="W3353" s="80" t="s">
        <v>7961</v>
      </c>
      <c r="X3353" s="77"/>
      <c r="Y3353" s="77"/>
      <c r="Z3353" s="77"/>
      <c r="AA3353" s="77"/>
      <c r="AB3353" s="77"/>
      <c r="AC3353" s="80" t="s">
        <v>10541</v>
      </c>
      <c r="AD3353" s="77" t="s">
        <v>10618</v>
      </c>
      <c r="AE3353" s="83" t="str">
        <f>HYPERLINK("https://twitter.com/bpmoney_/status/1661059524554375197")</f>
        <v>https://twitter.com/bpmoney_/status/1661059524554375197</v>
      </c>
      <c r="AF3353" s="79">
        <v>45069.72252314815</v>
      </c>
      <c r="AG3353" s="85">
        <v>45069</v>
      </c>
      <c r="AH3353" s="80" t="s">
        <v>13541</v>
      </c>
      <c r="AI3353" s="77"/>
      <c r="AJ3353" s="77"/>
      <c r="AK3353" s="77"/>
      <c r="AL3353" s="77"/>
      <c r="AM3353" s="77"/>
      <c r="AN3353" s="77"/>
      <c r="AO3353" s="77"/>
      <c r="AP3353" s="77"/>
      <c r="AQ3353" s="77"/>
      <c r="AR3353" s="77"/>
      <c r="AS3353" s="77"/>
      <c r="AT3353" s="77"/>
      <c r="AU3353" s="77"/>
      <c r="AV3353" s="83" t="str">
        <f>HYPERLINK("https://pbs.twimg.com/profile_images/1518936529674117121/MCMYTicP_normal.jpg")</f>
        <v>https://pbs.twimg.com/profile_images/1518936529674117121/MCMYTicP_normal.jpg</v>
      </c>
      <c r="AW3353" s="80" t="s">
        <v>19081</v>
      </c>
      <c r="AX3353" s="80" t="s">
        <v>20101</v>
      </c>
      <c r="AY3353" s="80" t="s">
        <v>20342</v>
      </c>
      <c r="AZ3353" s="80" t="s">
        <v>20101</v>
      </c>
      <c r="BA3353" s="80" t="s">
        <v>20380</v>
      </c>
      <c r="BB3353" s="80" t="s">
        <v>20380</v>
      </c>
      <c r="BC3353" s="80" t="s">
        <v>20101</v>
      </c>
      <c r="BD3353" s="80" t="s">
        <v>20342</v>
      </c>
      <c r="BE3353" s="77"/>
      <c r="BF3353" s="77"/>
      <c r="BG3353" s="77"/>
      <c r="BH3353" s="77"/>
      <c r="BI3353" s="77"/>
    </row>
    <row r="3354" spans="1:61" x14ac:dyDescent="0.25">
      <c r="A3354" s="62" t="s">
        <v>1337</v>
      </c>
      <c r="B3354" s="62" t="s">
        <v>1337</v>
      </c>
      <c r="C3354" s="63"/>
      <c r="D3354" s="64"/>
      <c r="E3354" s="65"/>
      <c r="F3354" s="66"/>
      <c r="G3354" s="63"/>
      <c r="H3354" s="67"/>
      <c r="I3354" s="68"/>
      <c r="J3354" s="68"/>
      <c r="K3354" s="32"/>
      <c r="L3354" s="75">
        <v>3354</v>
      </c>
      <c r="M3354" s="75"/>
      <c r="N3354" s="70"/>
      <c r="O3354" s="77" t="s">
        <v>2078</v>
      </c>
      <c r="P3354" s="79">
        <v>45069.721296296295</v>
      </c>
      <c r="Q3354" s="77" t="s">
        <v>5044</v>
      </c>
      <c r="R3354" s="77">
        <v>0</v>
      </c>
      <c r="S3354" s="77">
        <v>0</v>
      </c>
      <c r="T3354" s="77">
        <v>0</v>
      </c>
      <c r="U3354" s="77">
        <v>0</v>
      </c>
      <c r="V3354" s="77">
        <v>48</v>
      </c>
      <c r="W3354" s="80" t="s">
        <v>7962</v>
      </c>
      <c r="X3354" s="77"/>
      <c r="Y3354" s="77"/>
      <c r="Z3354" s="77"/>
      <c r="AA3354" s="77"/>
      <c r="AB3354" s="77"/>
      <c r="AC3354" s="80" t="s">
        <v>10541</v>
      </c>
      <c r="AD3354" s="77" t="s">
        <v>10618</v>
      </c>
      <c r="AE3354" s="83" t="str">
        <f>HYPERLINK("https://twitter.com/bpmoney_/status/1661059081296134159")</f>
        <v>https://twitter.com/bpmoney_/status/1661059081296134159</v>
      </c>
      <c r="AF3354" s="79">
        <v>45069.721296296295</v>
      </c>
      <c r="AG3354" s="85">
        <v>45069</v>
      </c>
      <c r="AH3354" s="80" t="s">
        <v>13542</v>
      </c>
      <c r="AI3354" s="77"/>
      <c r="AJ3354" s="77"/>
      <c r="AK3354" s="77"/>
      <c r="AL3354" s="77"/>
      <c r="AM3354" s="77"/>
      <c r="AN3354" s="77"/>
      <c r="AO3354" s="77"/>
      <c r="AP3354" s="77"/>
      <c r="AQ3354" s="77"/>
      <c r="AR3354" s="77"/>
      <c r="AS3354" s="77"/>
      <c r="AT3354" s="77"/>
      <c r="AU3354" s="77"/>
      <c r="AV3354" s="83" t="str">
        <f>HYPERLINK("https://pbs.twimg.com/profile_images/1518936529674117121/MCMYTicP_normal.jpg")</f>
        <v>https://pbs.twimg.com/profile_images/1518936529674117121/MCMYTicP_normal.jpg</v>
      </c>
      <c r="AW3354" s="80" t="s">
        <v>19082</v>
      </c>
      <c r="AX3354" s="80" t="s">
        <v>20101</v>
      </c>
      <c r="AY3354" s="80" t="s">
        <v>20342</v>
      </c>
      <c r="AZ3354" s="80" t="s">
        <v>20101</v>
      </c>
      <c r="BA3354" s="80" t="s">
        <v>20380</v>
      </c>
      <c r="BB3354" s="80" t="s">
        <v>20380</v>
      </c>
      <c r="BC3354" s="80" t="s">
        <v>20101</v>
      </c>
      <c r="BD3354" s="80" t="s">
        <v>20342</v>
      </c>
      <c r="BE3354" s="77"/>
      <c r="BF3354" s="77"/>
      <c r="BG3354" s="77"/>
      <c r="BH3354" s="77"/>
      <c r="BI3354" s="77"/>
    </row>
    <row r="3355" spans="1:61" x14ac:dyDescent="0.25">
      <c r="A3355" s="62" t="s">
        <v>1337</v>
      </c>
      <c r="B3355" s="62" t="s">
        <v>1337</v>
      </c>
      <c r="C3355" s="63"/>
      <c r="D3355" s="64"/>
      <c r="E3355" s="65"/>
      <c r="F3355" s="66"/>
      <c r="G3355" s="63"/>
      <c r="H3355" s="67"/>
      <c r="I3355" s="68"/>
      <c r="J3355" s="68"/>
      <c r="K3355" s="32"/>
      <c r="L3355" s="75">
        <v>3355</v>
      </c>
      <c r="M3355" s="75"/>
      <c r="N3355" s="70"/>
      <c r="O3355" s="77" t="s">
        <v>2078</v>
      </c>
      <c r="P3355" s="79">
        <v>45069.64167824074</v>
      </c>
      <c r="Q3355" s="77" t="s">
        <v>5045</v>
      </c>
      <c r="R3355" s="77">
        <v>0</v>
      </c>
      <c r="S3355" s="77">
        <v>0</v>
      </c>
      <c r="T3355" s="77">
        <v>0</v>
      </c>
      <c r="U3355" s="77">
        <v>0</v>
      </c>
      <c r="V3355" s="77">
        <v>105</v>
      </c>
      <c r="W3355" s="80" t="s">
        <v>7963</v>
      </c>
      <c r="X3355" s="77"/>
      <c r="Y3355" s="77"/>
      <c r="Z3355" s="77"/>
      <c r="AA3355" s="77"/>
      <c r="AB3355" s="77"/>
      <c r="AC3355" s="80" t="s">
        <v>10541</v>
      </c>
      <c r="AD3355" s="77" t="s">
        <v>10618</v>
      </c>
      <c r="AE3355" s="83" t="str">
        <f>HYPERLINK("https://twitter.com/bpmoney_/status/1661030228431454208")</f>
        <v>https://twitter.com/bpmoney_/status/1661030228431454208</v>
      </c>
      <c r="AF3355" s="79">
        <v>45069.64167824074</v>
      </c>
      <c r="AG3355" s="85">
        <v>45069</v>
      </c>
      <c r="AH3355" s="80" t="s">
        <v>13521</v>
      </c>
      <c r="AI3355" s="77"/>
      <c r="AJ3355" s="77"/>
      <c r="AK3355" s="77"/>
      <c r="AL3355" s="77"/>
      <c r="AM3355" s="77"/>
      <c r="AN3355" s="77"/>
      <c r="AO3355" s="77"/>
      <c r="AP3355" s="77"/>
      <c r="AQ3355" s="77"/>
      <c r="AR3355" s="77"/>
      <c r="AS3355" s="77"/>
      <c r="AT3355" s="77"/>
      <c r="AU3355" s="77"/>
      <c r="AV3355" s="83" t="str">
        <f>HYPERLINK("https://pbs.twimg.com/profile_images/1518936529674117121/MCMYTicP_normal.jpg")</f>
        <v>https://pbs.twimg.com/profile_images/1518936529674117121/MCMYTicP_normal.jpg</v>
      </c>
      <c r="AW3355" s="80" t="s">
        <v>19083</v>
      </c>
      <c r="AX3355" s="80" t="s">
        <v>20102</v>
      </c>
      <c r="AY3355" s="80" t="s">
        <v>20342</v>
      </c>
      <c r="AZ3355" s="80" t="s">
        <v>20102</v>
      </c>
      <c r="BA3355" s="80" t="s">
        <v>20380</v>
      </c>
      <c r="BB3355" s="80" t="s">
        <v>20380</v>
      </c>
      <c r="BC3355" s="80" t="s">
        <v>20102</v>
      </c>
      <c r="BD3355" s="80" t="s">
        <v>20342</v>
      </c>
      <c r="BE3355" s="77"/>
      <c r="BF3355" s="77"/>
      <c r="BG3355" s="77"/>
      <c r="BH3355" s="77"/>
      <c r="BI3355" s="77"/>
    </row>
    <row r="3356" spans="1:61" x14ac:dyDescent="0.25">
      <c r="A3356" s="62" t="s">
        <v>1337</v>
      </c>
      <c r="B3356" s="62" t="s">
        <v>1337</v>
      </c>
      <c r="C3356" s="63"/>
      <c r="D3356" s="64"/>
      <c r="E3356" s="65"/>
      <c r="F3356" s="66"/>
      <c r="G3356" s="63"/>
      <c r="H3356" s="67"/>
      <c r="I3356" s="68"/>
      <c r="J3356" s="68"/>
      <c r="K3356" s="32"/>
      <c r="L3356" s="75">
        <v>3356</v>
      </c>
      <c r="M3356" s="75"/>
      <c r="N3356" s="70"/>
      <c r="O3356" s="77" t="s">
        <v>2078</v>
      </c>
      <c r="P3356" s="79">
        <v>45069.551249999997</v>
      </c>
      <c r="Q3356" s="77" t="s">
        <v>5046</v>
      </c>
      <c r="R3356" s="77">
        <v>0</v>
      </c>
      <c r="S3356" s="77">
        <v>0</v>
      </c>
      <c r="T3356" s="77">
        <v>0</v>
      </c>
      <c r="U3356" s="77">
        <v>0</v>
      </c>
      <c r="V3356" s="77">
        <v>82</v>
      </c>
      <c r="W3356" s="80" t="s">
        <v>7964</v>
      </c>
      <c r="X3356" s="77"/>
      <c r="Y3356" s="77"/>
      <c r="Z3356" s="77"/>
      <c r="AA3356" s="77"/>
      <c r="AB3356" s="77"/>
      <c r="AC3356" s="80" t="s">
        <v>10541</v>
      </c>
      <c r="AD3356" s="77" t="s">
        <v>10618</v>
      </c>
      <c r="AE3356" s="83" t="str">
        <f>HYPERLINK("https://twitter.com/bpmoney_/status/1660997457654738946")</f>
        <v>https://twitter.com/bpmoney_/status/1660997457654738946</v>
      </c>
      <c r="AF3356" s="79">
        <v>45069.551249999997</v>
      </c>
      <c r="AG3356" s="85">
        <v>45069</v>
      </c>
      <c r="AH3356" s="80" t="s">
        <v>13543</v>
      </c>
      <c r="AI3356" s="77"/>
      <c r="AJ3356" s="77"/>
      <c r="AK3356" s="77"/>
      <c r="AL3356" s="77"/>
      <c r="AM3356" s="77"/>
      <c r="AN3356" s="77"/>
      <c r="AO3356" s="77"/>
      <c r="AP3356" s="77"/>
      <c r="AQ3356" s="77"/>
      <c r="AR3356" s="77"/>
      <c r="AS3356" s="77"/>
      <c r="AT3356" s="77"/>
      <c r="AU3356" s="77"/>
      <c r="AV3356" s="83" t="str">
        <f>HYPERLINK("https://pbs.twimg.com/profile_images/1518936529674117121/MCMYTicP_normal.jpg")</f>
        <v>https://pbs.twimg.com/profile_images/1518936529674117121/MCMYTicP_normal.jpg</v>
      </c>
      <c r="AW3356" s="80" t="s">
        <v>19084</v>
      </c>
      <c r="AX3356" s="80" t="s">
        <v>20103</v>
      </c>
      <c r="AY3356" s="80" t="s">
        <v>20342</v>
      </c>
      <c r="AZ3356" s="80" t="s">
        <v>20103</v>
      </c>
      <c r="BA3356" s="80" t="s">
        <v>20380</v>
      </c>
      <c r="BB3356" s="80" t="s">
        <v>20380</v>
      </c>
      <c r="BC3356" s="80" t="s">
        <v>20103</v>
      </c>
      <c r="BD3356" s="80" t="s">
        <v>20342</v>
      </c>
      <c r="BE3356" s="77"/>
      <c r="BF3356" s="77"/>
      <c r="BG3356" s="77"/>
      <c r="BH3356" s="77"/>
      <c r="BI3356" s="77"/>
    </row>
    <row r="3357" spans="1:61" x14ac:dyDescent="0.25">
      <c r="A3357" s="62" t="s">
        <v>1337</v>
      </c>
      <c r="B3357" s="62" t="s">
        <v>1337</v>
      </c>
      <c r="C3357" s="63"/>
      <c r="D3357" s="64"/>
      <c r="E3357" s="65"/>
      <c r="F3357" s="66"/>
      <c r="G3357" s="63"/>
      <c r="H3357" s="67"/>
      <c r="I3357" s="68"/>
      <c r="J3357" s="68"/>
      <c r="K3357" s="32"/>
      <c r="L3357" s="75">
        <v>3357</v>
      </c>
      <c r="M3357" s="75"/>
      <c r="N3357" s="70"/>
      <c r="O3357" s="77" t="s">
        <v>2078</v>
      </c>
      <c r="P3357" s="79">
        <v>45104.705613425926</v>
      </c>
      <c r="Q3357" s="77" t="s">
        <v>5047</v>
      </c>
      <c r="R3357" s="77">
        <v>0</v>
      </c>
      <c r="S3357" s="77">
        <v>0</v>
      </c>
      <c r="T3357" s="77">
        <v>0</v>
      </c>
      <c r="U3357" s="77">
        <v>0</v>
      </c>
      <c r="V3357" s="77">
        <v>77</v>
      </c>
      <c r="W3357" s="80" t="s">
        <v>7965</v>
      </c>
      <c r="X3357" s="77"/>
      <c r="Y3357" s="77"/>
      <c r="Z3357" s="77"/>
      <c r="AA3357" s="77"/>
      <c r="AB3357" s="77"/>
      <c r="AC3357" s="80" t="s">
        <v>10541</v>
      </c>
      <c r="AD3357" s="77" t="s">
        <v>10618</v>
      </c>
      <c r="AE3357" s="83" t="str">
        <f>HYPERLINK("https://twitter.com/bpmoney_/status/1673736972924338196")</f>
        <v>https://twitter.com/bpmoney_/status/1673736972924338196</v>
      </c>
      <c r="AF3357" s="79">
        <v>45104.705613425926</v>
      </c>
      <c r="AG3357" s="85">
        <v>45104</v>
      </c>
      <c r="AH3357" s="80" t="s">
        <v>13544</v>
      </c>
      <c r="AI3357" s="77"/>
      <c r="AJ3357" s="77"/>
      <c r="AK3357" s="77"/>
      <c r="AL3357" s="77"/>
      <c r="AM3357" s="77"/>
      <c r="AN3357" s="77"/>
      <c r="AO3357" s="77"/>
      <c r="AP3357" s="77"/>
      <c r="AQ3357" s="77"/>
      <c r="AR3357" s="77"/>
      <c r="AS3357" s="77"/>
      <c r="AT3357" s="77"/>
      <c r="AU3357" s="77"/>
      <c r="AV3357" s="83" t="str">
        <f>HYPERLINK("https://pbs.twimg.com/profile_images/1518936529674117121/MCMYTicP_normal.jpg")</f>
        <v>https://pbs.twimg.com/profile_images/1518936529674117121/MCMYTicP_normal.jpg</v>
      </c>
      <c r="AW3357" s="80" t="s">
        <v>19085</v>
      </c>
      <c r="AX3357" s="80" t="s">
        <v>20104</v>
      </c>
      <c r="AY3357" s="80" t="s">
        <v>20342</v>
      </c>
      <c r="AZ3357" s="80" t="s">
        <v>20104</v>
      </c>
      <c r="BA3357" s="80" t="s">
        <v>20380</v>
      </c>
      <c r="BB3357" s="80" t="s">
        <v>20380</v>
      </c>
      <c r="BC3357" s="80" t="s">
        <v>20104</v>
      </c>
      <c r="BD3357" s="80" t="s">
        <v>20342</v>
      </c>
      <c r="BE3357" s="77"/>
      <c r="BF3357" s="77"/>
      <c r="BG3357" s="77"/>
      <c r="BH3357" s="77"/>
      <c r="BI3357" s="77"/>
    </row>
    <row r="3358" spans="1:61" x14ac:dyDescent="0.25">
      <c r="A3358" s="62" t="s">
        <v>1337</v>
      </c>
      <c r="B3358" s="62" t="s">
        <v>1337</v>
      </c>
      <c r="C3358" s="63"/>
      <c r="D3358" s="64"/>
      <c r="E3358" s="65"/>
      <c r="F3358" s="66"/>
      <c r="G3358" s="63"/>
      <c r="H3358" s="67"/>
      <c r="I3358" s="68"/>
      <c r="J3358" s="68"/>
      <c r="K3358" s="32"/>
      <c r="L3358" s="75">
        <v>3358</v>
      </c>
      <c r="M3358" s="75"/>
      <c r="N3358" s="70"/>
      <c r="O3358" s="77" t="s">
        <v>2078</v>
      </c>
      <c r="P3358" s="79">
        <v>45091.833599537036</v>
      </c>
      <c r="Q3358" s="77" t="s">
        <v>5048</v>
      </c>
      <c r="R3358" s="77">
        <v>0</v>
      </c>
      <c r="S3358" s="77">
        <v>0</v>
      </c>
      <c r="T3358" s="77">
        <v>0</v>
      </c>
      <c r="U3358" s="77">
        <v>0</v>
      </c>
      <c r="V3358" s="77">
        <v>68</v>
      </c>
      <c r="W3358" s="80" t="s">
        <v>7966</v>
      </c>
      <c r="X3358" s="77"/>
      <c r="Y3358" s="77"/>
      <c r="Z3358" s="77"/>
      <c r="AA3358" s="77"/>
      <c r="AB3358" s="77"/>
      <c r="AC3358" s="80" t="s">
        <v>10541</v>
      </c>
      <c r="AD3358" s="77" t="s">
        <v>10618</v>
      </c>
      <c r="AE3358" s="83" t="str">
        <f>HYPERLINK("https://twitter.com/bpmoney_/status/1669072312581120002")</f>
        <v>https://twitter.com/bpmoney_/status/1669072312581120002</v>
      </c>
      <c r="AF3358" s="79">
        <v>45091.833599537036</v>
      </c>
      <c r="AG3358" s="85">
        <v>45091</v>
      </c>
      <c r="AH3358" s="80" t="s">
        <v>13545</v>
      </c>
      <c r="AI3358" s="77"/>
      <c r="AJ3358" s="77"/>
      <c r="AK3358" s="77"/>
      <c r="AL3358" s="77"/>
      <c r="AM3358" s="77"/>
      <c r="AN3358" s="77"/>
      <c r="AO3358" s="77"/>
      <c r="AP3358" s="77"/>
      <c r="AQ3358" s="77"/>
      <c r="AR3358" s="77"/>
      <c r="AS3358" s="77"/>
      <c r="AT3358" s="77"/>
      <c r="AU3358" s="77"/>
      <c r="AV3358" s="83" t="str">
        <f>HYPERLINK("https://pbs.twimg.com/profile_images/1518936529674117121/MCMYTicP_normal.jpg")</f>
        <v>https://pbs.twimg.com/profile_images/1518936529674117121/MCMYTicP_normal.jpg</v>
      </c>
      <c r="AW3358" s="80" t="s">
        <v>19086</v>
      </c>
      <c r="AX3358" s="80" t="s">
        <v>20105</v>
      </c>
      <c r="AY3358" s="80" t="s">
        <v>20342</v>
      </c>
      <c r="AZ3358" s="80" t="s">
        <v>20105</v>
      </c>
      <c r="BA3358" s="80" t="s">
        <v>20380</v>
      </c>
      <c r="BB3358" s="80" t="s">
        <v>20380</v>
      </c>
      <c r="BC3358" s="80" t="s">
        <v>20105</v>
      </c>
      <c r="BD3358" s="80" t="s">
        <v>20342</v>
      </c>
      <c r="BE3358" s="77"/>
      <c r="BF3358" s="77"/>
      <c r="BG3358" s="77"/>
      <c r="BH3358" s="77"/>
      <c r="BI3358" s="77"/>
    </row>
    <row r="3359" spans="1:61" x14ac:dyDescent="0.25">
      <c r="A3359" s="62" t="s">
        <v>1337</v>
      </c>
      <c r="B3359" s="62" t="s">
        <v>1337</v>
      </c>
      <c r="C3359" s="63"/>
      <c r="D3359" s="64"/>
      <c r="E3359" s="65"/>
      <c r="F3359" s="66"/>
      <c r="G3359" s="63"/>
      <c r="H3359" s="67"/>
      <c r="I3359" s="68"/>
      <c r="J3359" s="68"/>
      <c r="K3359" s="32"/>
      <c r="L3359" s="75">
        <v>3359</v>
      </c>
      <c r="M3359" s="75"/>
      <c r="N3359" s="70"/>
      <c r="O3359" s="77" t="s">
        <v>2078</v>
      </c>
      <c r="P3359" s="79">
        <v>45091.576041666667</v>
      </c>
      <c r="Q3359" s="77" t="s">
        <v>5049</v>
      </c>
      <c r="R3359" s="77">
        <v>0</v>
      </c>
      <c r="S3359" s="77">
        <v>0</v>
      </c>
      <c r="T3359" s="77">
        <v>0</v>
      </c>
      <c r="U3359" s="77">
        <v>0</v>
      </c>
      <c r="V3359" s="77">
        <v>77</v>
      </c>
      <c r="W3359" s="80" t="s">
        <v>7967</v>
      </c>
      <c r="X3359" s="77"/>
      <c r="Y3359" s="77"/>
      <c r="Z3359" s="77"/>
      <c r="AA3359" s="77"/>
      <c r="AB3359" s="77"/>
      <c r="AC3359" s="80" t="s">
        <v>10541</v>
      </c>
      <c r="AD3359" s="77" t="s">
        <v>10618</v>
      </c>
      <c r="AE3359" s="83" t="str">
        <f>HYPERLINK("https://twitter.com/bpmoney_/status/1668978975173902336")</f>
        <v>https://twitter.com/bpmoney_/status/1668978975173902336</v>
      </c>
      <c r="AF3359" s="79">
        <v>45091.576041666667</v>
      </c>
      <c r="AG3359" s="85">
        <v>45091</v>
      </c>
      <c r="AH3359" s="80" t="s">
        <v>13546</v>
      </c>
      <c r="AI3359" s="77"/>
      <c r="AJ3359" s="77"/>
      <c r="AK3359" s="77"/>
      <c r="AL3359" s="77"/>
      <c r="AM3359" s="77"/>
      <c r="AN3359" s="77"/>
      <c r="AO3359" s="77"/>
      <c r="AP3359" s="77"/>
      <c r="AQ3359" s="77"/>
      <c r="AR3359" s="77"/>
      <c r="AS3359" s="77"/>
      <c r="AT3359" s="77"/>
      <c r="AU3359" s="77"/>
      <c r="AV3359" s="83" t="str">
        <f>HYPERLINK("https://pbs.twimg.com/profile_images/1518936529674117121/MCMYTicP_normal.jpg")</f>
        <v>https://pbs.twimg.com/profile_images/1518936529674117121/MCMYTicP_normal.jpg</v>
      </c>
      <c r="AW3359" s="80" t="s">
        <v>19087</v>
      </c>
      <c r="AX3359" s="80" t="s">
        <v>20106</v>
      </c>
      <c r="AY3359" s="80" t="s">
        <v>20342</v>
      </c>
      <c r="AZ3359" s="80" t="s">
        <v>20106</v>
      </c>
      <c r="BA3359" s="80" t="s">
        <v>20380</v>
      </c>
      <c r="BB3359" s="80" t="s">
        <v>20380</v>
      </c>
      <c r="BC3359" s="80" t="s">
        <v>20106</v>
      </c>
      <c r="BD3359" s="80" t="s">
        <v>20342</v>
      </c>
      <c r="BE3359" s="77"/>
      <c r="BF3359" s="77"/>
      <c r="BG3359" s="77"/>
      <c r="BH3359" s="77"/>
      <c r="BI3359" s="77"/>
    </row>
    <row r="3360" spans="1:61" x14ac:dyDescent="0.25">
      <c r="A3360" s="62" t="s">
        <v>1337</v>
      </c>
      <c r="B3360" s="62" t="s">
        <v>1337</v>
      </c>
      <c r="C3360" s="63"/>
      <c r="D3360" s="64"/>
      <c r="E3360" s="65"/>
      <c r="F3360" s="66"/>
      <c r="G3360" s="63"/>
      <c r="H3360" s="67"/>
      <c r="I3360" s="68"/>
      <c r="J3360" s="68"/>
      <c r="K3360" s="32"/>
      <c r="L3360" s="75">
        <v>3360</v>
      </c>
      <c r="M3360" s="75"/>
      <c r="N3360" s="70"/>
      <c r="O3360" s="77" t="s">
        <v>2078</v>
      </c>
      <c r="P3360" s="79">
        <v>45103.649513888886</v>
      </c>
      <c r="Q3360" s="77" t="s">
        <v>5050</v>
      </c>
      <c r="R3360" s="77">
        <v>0</v>
      </c>
      <c r="S3360" s="77">
        <v>0</v>
      </c>
      <c r="T3360" s="77">
        <v>0</v>
      </c>
      <c r="U3360" s="77">
        <v>0</v>
      </c>
      <c r="V3360" s="77">
        <v>105</v>
      </c>
      <c r="W3360" s="80" t="s">
        <v>7968</v>
      </c>
      <c r="X3360" s="77"/>
      <c r="Y3360" s="77"/>
      <c r="Z3360" s="77"/>
      <c r="AA3360" s="77"/>
      <c r="AB3360" s="77"/>
      <c r="AC3360" s="80" t="s">
        <v>10541</v>
      </c>
      <c r="AD3360" s="77" t="s">
        <v>10618</v>
      </c>
      <c r="AE3360" s="83" t="str">
        <f>HYPERLINK("https://twitter.com/bpmoney_/status/1673354256596844544")</f>
        <v>https://twitter.com/bpmoney_/status/1673354256596844544</v>
      </c>
      <c r="AF3360" s="79">
        <v>45103.649513888886</v>
      </c>
      <c r="AG3360" s="85">
        <v>45103</v>
      </c>
      <c r="AH3360" s="80" t="s">
        <v>13547</v>
      </c>
      <c r="AI3360" s="77"/>
      <c r="AJ3360" s="77"/>
      <c r="AK3360" s="77"/>
      <c r="AL3360" s="77"/>
      <c r="AM3360" s="77"/>
      <c r="AN3360" s="77"/>
      <c r="AO3360" s="77"/>
      <c r="AP3360" s="77"/>
      <c r="AQ3360" s="77"/>
      <c r="AR3360" s="77"/>
      <c r="AS3360" s="77"/>
      <c r="AT3360" s="77"/>
      <c r="AU3360" s="77"/>
      <c r="AV3360" s="83" t="str">
        <f>HYPERLINK("https://pbs.twimg.com/profile_images/1518936529674117121/MCMYTicP_normal.jpg")</f>
        <v>https://pbs.twimg.com/profile_images/1518936529674117121/MCMYTicP_normal.jpg</v>
      </c>
      <c r="AW3360" s="80" t="s">
        <v>19088</v>
      </c>
      <c r="AX3360" s="80" t="s">
        <v>20107</v>
      </c>
      <c r="AY3360" s="80" t="s">
        <v>20342</v>
      </c>
      <c r="AZ3360" s="80" t="s">
        <v>20107</v>
      </c>
      <c r="BA3360" s="80" t="s">
        <v>20380</v>
      </c>
      <c r="BB3360" s="80" t="s">
        <v>20380</v>
      </c>
      <c r="BC3360" s="80" t="s">
        <v>20107</v>
      </c>
      <c r="BD3360" s="80" t="s">
        <v>20342</v>
      </c>
      <c r="BE3360" s="77"/>
      <c r="BF3360" s="77"/>
      <c r="BG3360" s="77"/>
      <c r="BH3360" s="77"/>
      <c r="BI3360" s="77"/>
    </row>
    <row r="3361" spans="1:61" x14ac:dyDescent="0.25">
      <c r="A3361" s="62" t="s">
        <v>1337</v>
      </c>
      <c r="B3361" s="62" t="s">
        <v>1337</v>
      </c>
      <c r="C3361" s="63"/>
      <c r="D3361" s="64"/>
      <c r="E3361" s="65"/>
      <c r="F3361" s="66"/>
      <c r="G3361" s="63"/>
      <c r="H3361" s="67"/>
      <c r="I3361" s="68"/>
      <c r="J3361" s="68"/>
      <c r="K3361" s="32"/>
      <c r="L3361" s="75">
        <v>3361</v>
      </c>
      <c r="M3361" s="75"/>
      <c r="N3361" s="70"/>
      <c r="O3361" s="77" t="s">
        <v>2078</v>
      </c>
      <c r="P3361" s="79">
        <v>45103.617164351854</v>
      </c>
      <c r="Q3361" s="77" t="s">
        <v>5051</v>
      </c>
      <c r="R3361" s="77">
        <v>0</v>
      </c>
      <c r="S3361" s="77">
        <v>1</v>
      </c>
      <c r="T3361" s="77">
        <v>0</v>
      </c>
      <c r="U3361" s="77">
        <v>0</v>
      </c>
      <c r="V3361" s="77">
        <v>86</v>
      </c>
      <c r="W3361" s="80" t="s">
        <v>7969</v>
      </c>
      <c r="X3361" s="77"/>
      <c r="Y3361" s="77"/>
      <c r="Z3361" s="77"/>
      <c r="AA3361" s="77"/>
      <c r="AB3361" s="77"/>
      <c r="AC3361" s="80" t="s">
        <v>10541</v>
      </c>
      <c r="AD3361" s="77" t="s">
        <v>10618</v>
      </c>
      <c r="AE3361" s="83" t="str">
        <f>HYPERLINK("https://twitter.com/bpmoney_/status/1673342531378073603")</f>
        <v>https://twitter.com/bpmoney_/status/1673342531378073603</v>
      </c>
      <c r="AF3361" s="79">
        <v>45103.617164351854</v>
      </c>
      <c r="AG3361" s="85">
        <v>45103</v>
      </c>
      <c r="AH3361" s="80" t="s">
        <v>13548</v>
      </c>
      <c r="AI3361" s="77"/>
      <c r="AJ3361" s="77"/>
      <c r="AK3361" s="77"/>
      <c r="AL3361" s="77"/>
      <c r="AM3361" s="77"/>
      <c r="AN3361" s="77"/>
      <c r="AO3361" s="77"/>
      <c r="AP3361" s="77"/>
      <c r="AQ3361" s="77"/>
      <c r="AR3361" s="77"/>
      <c r="AS3361" s="77"/>
      <c r="AT3361" s="77"/>
      <c r="AU3361" s="77"/>
      <c r="AV3361" s="83" t="str">
        <f>HYPERLINK("https://pbs.twimg.com/profile_images/1518936529674117121/MCMYTicP_normal.jpg")</f>
        <v>https://pbs.twimg.com/profile_images/1518936529674117121/MCMYTicP_normal.jpg</v>
      </c>
      <c r="AW3361" s="80" t="s">
        <v>19089</v>
      </c>
      <c r="AX3361" s="80" t="s">
        <v>20108</v>
      </c>
      <c r="AY3361" s="80" t="s">
        <v>20342</v>
      </c>
      <c r="AZ3361" s="80" t="s">
        <v>20108</v>
      </c>
      <c r="BA3361" s="80" t="s">
        <v>20380</v>
      </c>
      <c r="BB3361" s="80" t="s">
        <v>20380</v>
      </c>
      <c r="BC3361" s="80" t="s">
        <v>20108</v>
      </c>
      <c r="BD3361" s="80" t="s">
        <v>20342</v>
      </c>
      <c r="BE3361" s="77"/>
      <c r="BF3361" s="77"/>
      <c r="BG3361" s="77"/>
      <c r="BH3361" s="77"/>
      <c r="BI3361" s="77"/>
    </row>
    <row r="3362" spans="1:61" x14ac:dyDescent="0.25">
      <c r="A3362" s="62" t="s">
        <v>1337</v>
      </c>
      <c r="B3362" s="62" t="s">
        <v>1337</v>
      </c>
      <c r="C3362" s="63"/>
      <c r="D3362" s="64"/>
      <c r="E3362" s="65"/>
      <c r="F3362" s="66"/>
      <c r="G3362" s="63"/>
      <c r="H3362" s="67"/>
      <c r="I3362" s="68"/>
      <c r="J3362" s="68"/>
      <c r="K3362" s="32"/>
      <c r="L3362" s="75">
        <v>3362</v>
      </c>
      <c r="M3362" s="75"/>
      <c r="N3362" s="70"/>
      <c r="O3362" s="77" t="s">
        <v>2078</v>
      </c>
      <c r="P3362" s="79">
        <v>45054.657534722224</v>
      </c>
      <c r="Q3362" s="77" t="s">
        <v>5052</v>
      </c>
      <c r="R3362" s="77">
        <v>0</v>
      </c>
      <c r="S3362" s="77">
        <v>0</v>
      </c>
      <c r="T3362" s="77">
        <v>0</v>
      </c>
      <c r="U3362" s="77">
        <v>0</v>
      </c>
      <c r="V3362" s="77">
        <v>141</v>
      </c>
      <c r="W3362" s="80" t="s">
        <v>7970</v>
      </c>
      <c r="X3362" s="77"/>
      <c r="Y3362" s="77"/>
      <c r="Z3362" s="77"/>
      <c r="AA3362" s="77"/>
      <c r="AB3362" s="77"/>
      <c r="AC3362" s="80" t="s">
        <v>10541</v>
      </c>
      <c r="AD3362" s="77" t="s">
        <v>10618</v>
      </c>
      <c r="AE3362" s="83" t="str">
        <f>HYPERLINK("https://twitter.com/bpmoney_/status/1655600157478604802")</f>
        <v>https://twitter.com/bpmoney_/status/1655600157478604802</v>
      </c>
      <c r="AF3362" s="79">
        <v>45054.657534722224</v>
      </c>
      <c r="AG3362" s="85">
        <v>45054</v>
      </c>
      <c r="AH3362" s="80" t="s">
        <v>13549</v>
      </c>
      <c r="AI3362" s="77"/>
      <c r="AJ3362" s="77"/>
      <c r="AK3362" s="77"/>
      <c r="AL3362" s="77"/>
      <c r="AM3362" s="77"/>
      <c r="AN3362" s="77"/>
      <c r="AO3362" s="77"/>
      <c r="AP3362" s="77"/>
      <c r="AQ3362" s="77"/>
      <c r="AR3362" s="77"/>
      <c r="AS3362" s="77"/>
      <c r="AT3362" s="77"/>
      <c r="AU3362" s="77"/>
      <c r="AV3362" s="83" t="str">
        <f>HYPERLINK("https://pbs.twimg.com/profile_images/1518936529674117121/MCMYTicP_normal.jpg")</f>
        <v>https://pbs.twimg.com/profile_images/1518936529674117121/MCMYTicP_normal.jpg</v>
      </c>
      <c r="AW3362" s="80" t="s">
        <v>19090</v>
      </c>
      <c r="AX3362" s="80" t="s">
        <v>20109</v>
      </c>
      <c r="AY3362" s="80" t="s">
        <v>20342</v>
      </c>
      <c r="AZ3362" s="80" t="s">
        <v>20109</v>
      </c>
      <c r="BA3362" s="80" t="s">
        <v>20380</v>
      </c>
      <c r="BB3362" s="80" t="s">
        <v>20380</v>
      </c>
      <c r="BC3362" s="80" t="s">
        <v>20109</v>
      </c>
      <c r="BD3362" s="80" t="s">
        <v>20342</v>
      </c>
      <c r="BE3362" s="77"/>
      <c r="BF3362" s="77"/>
      <c r="BG3362" s="77"/>
      <c r="BH3362" s="77"/>
      <c r="BI3362" s="77"/>
    </row>
    <row r="3363" spans="1:61" x14ac:dyDescent="0.25">
      <c r="A3363" s="62" t="s">
        <v>1337</v>
      </c>
      <c r="B3363" s="62" t="s">
        <v>1337</v>
      </c>
      <c r="C3363" s="63"/>
      <c r="D3363" s="64"/>
      <c r="E3363" s="65"/>
      <c r="F3363" s="66"/>
      <c r="G3363" s="63"/>
      <c r="H3363" s="67"/>
      <c r="I3363" s="68"/>
      <c r="J3363" s="68"/>
      <c r="K3363" s="32"/>
      <c r="L3363" s="75">
        <v>3363</v>
      </c>
      <c r="M3363" s="75"/>
      <c r="N3363" s="70"/>
      <c r="O3363" s="77" t="s">
        <v>2078</v>
      </c>
      <c r="P3363" s="79">
        <v>45118.628055555557</v>
      </c>
      <c r="Q3363" s="77" t="s">
        <v>5053</v>
      </c>
      <c r="R3363" s="77">
        <v>0</v>
      </c>
      <c r="S3363" s="77">
        <v>0</v>
      </c>
      <c r="T3363" s="77">
        <v>0</v>
      </c>
      <c r="U3363" s="77">
        <v>0</v>
      </c>
      <c r="V3363" s="77">
        <v>56</v>
      </c>
      <c r="W3363" s="80" t="s">
        <v>7971</v>
      </c>
      <c r="X3363" s="77"/>
      <c r="Y3363" s="77"/>
      <c r="Z3363" s="77"/>
      <c r="AA3363" s="77"/>
      <c r="AB3363" s="77"/>
      <c r="AC3363" s="80" t="s">
        <v>10541</v>
      </c>
      <c r="AD3363" s="77" t="s">
        <v>10618</v>
      </c>
      <c r="AE3363" s="83" t="str">
        <f>HYPERLINK("https://twitter.com/bpmoney_/status/1678782295199866881")</f>
        <v>https://twitter.com/bpmoney_/status/1678782295199866881</v>
      </c>
      <c r="AF3363" s="79">
        <v>45118.628055555557</v>
      </c>
      <c r="AG3363" s="85">
        <v>45118</v>
      </c>
      <c r="AH3363" s="80" t="s">
        <v>13550</v>
      </c>
      <c r="AI3363" s="77"/>
      <c r="AJ3363" s="77"/>
      <c r="AK3363" s="77"/>
      <c r="AL3363" s="77"/>
      <c r="AM3363" s="77"/>
      <c r="AN3363" s="77"/>
      <c r="AO3363" s="77"/>
      <c r="AP3363" s="77"/>
      <c r="AQ3363" s="77"/>
      <c r="AR3363" s="77"/>
      <c r="AS3363" s="77"/>
      <c r="AT3363" s="77"/>
      <c r="AU3363" s="77"/>
      <c r="AV3363" s="83" t="str">
        <f>HYPERLINK("https://pbs.twimg.com/profile_images/1518936529674117121/MCMYTicP_normal.jpg")</f>
        <v>https://pbs.twimg.com/profile_images/1518936529674117121/MCMYTicP_normal.jpg</v>
      </c>
      <c r="AW3363" s="80" t="s">
        <v>19091</v>
      </c>
      <c r="AX3363" s="80" t="s">
        <v>20110</v>
      </c>
      <c r="AY3363" s="80" t="s">
        <v>20342</v>
      </c>
      <c r="AZ3363" s="80" t="s">
        <v>20110</v>
      </c>
      <c r="BA3363" s="80" t="s">
        <v>20380</v>
      </c>
      <c r="BB3363" s="80" t="s">
        <v>20380</v>
      </c>
      <c r="BC3363" s="80" t="s">
        <v>20110</v>
      </c>
      <c r="BD3363" s="80" t="s">
        <v>20342</v>
      </c>
      <c r="BE3363" s="77"/>
      <c r="BF3363" s="77"/>
      <c r="BG3363" s="77"/>
      <c r="BH3363" s="77"/>
      <c r="BI3363" s="77"/>
    </row>
    <row r="3364" spans="1:61" x14ac:dyDescent="0.25">
      <c r="A3364" s="62" t="s">
        <v>1337</v>
      </c>
      <c r="B3364" s="62" t="s">
        <v>1337</v>
      </c>
      <c r="C3364" s="63"/>
      <c r="D3364" s="64"/>
      <c r="E3364" s="65"/>
      <c r="F3364" s="66"/>
      <c r="G3364" s="63"/>
      <c r="H3364" s="67"/>
      <c r="I3364" s="68"/>
      <c r="J3364" s="68"/>
      <c r="K3364" s="32"/>
      <c r="L3364" s="75">
        <v>3364</v>
      </c>
      <c r="M3364" s="75"/>
      <c r="N3364" s="70"/>
      <c r="O3364" s="77" t="s">
        <v>2078</v>
      </c>
      <c r="P3364" s="79">
        <v>45076.808680555558</v>
      </c>
      <c r="Q3364" s="77" t="s">
        <v>5054</v>
      </c>
      <c r="R3364" s="77">
        <v>0</v>
      </c>
      <c r="S3364" s="77">
        <v>0</v>
      </c>
      <c r="T3364" s="77">
        <v>0</v>
      </c>
      <c r="U3364" s="77">
        <v>0</v>
      </c>
      <c r="V3364" s="77">
        <v>94</v>
      </c>
      <c r="W3364" s="80" t="s">
        <v>7972</v>
      </c>
      <c r="X3364" s="77"/>
      <c r="Y3364" s="77"/>
      <c r="Z3364" s="77"/>
      <c r="AA3364" s="77"/>
      <c r="AB3364" s="77"/>
      <c r="AC3364" s="80" t="s">
        <v>10541</v>
      </c>
      <c r="AD3364" s="77" t="s">
        <v>10618</v>
      </c>
      <c r="AE3364" s="83" t="str">
        <f>HYPERLINK("https://twitter.com/bpmoney_/status/1663627464302641152")</f>
        <v>https://twitter.com/bpmoney_/status/1663627464302641152</v>
      </c>
      <c r="AF3364" s="79">
        <v>45076.808680555558</v>
      </c>
      <c r="AG3364" s="85">
        <v>45076</v>
      </c>
      <c r="AH3364" s="80" t="s">
        <v>13551</v>
      </c>
      <c r="AI3364" s="77"/>
      <c r="AJ3364" s="77"/>
      <c r="AK3364" s="77"/>
      <c r="AL3364" s="77"/>
      <c r="AM3364" s="77"/>
      <c r="AN3364" s="77"/>
      <c r="AO3364" s="77"/>
      <c r="AP3364" s="77"/>
      <c r="AQ3364" s="77"/>
      <c r="AR3364" s="77"/>
      <c r="AS3364" s="77"/>
      <c r="AT3364" s="77"/>
      <c r="AU3364" s="77"/>
      <c r="AV3364" s="83" t="str">
        <f>HYPERLINK("https://pbs.twimg.com/profile_images/1518936529674117121/MCMYTicP_normal.jpg")</f>
        <v>https://pbs.twimg.com/profile_images/1518936529674117121/MCMYTicP_normal.jpg</v>
      </c>
      <c r="AW3364" s="80" t="s">
        <v>19092</v>
      </c>
      <c r="AX3364" s="80" t="s">
        <v>20111</v>
      </c>
      <c r="AY3364" s="80" t="s">
        <v>20342</v>
      </c>
      <c r="AZ3364" s="80" t="s">
        <v>20111</v>
      </c>
      <c r="BA3364" s="80" t="s">
        <v>20380</v>
      </c>
      <c r="BB3364" s="80" t="s">
        <v>20380</v>
      </c>
      <c r="BC3364" s="80" t="s">
        <v>20111</v>
      </c>
      <c r="BD3364" s="80" t="s">
        <v>20342</v>
      </c>
      <c r="BE3364" s="77"/>
      <c r="BF3364" s="77"/>
      <c r="BG3364" s="77"/>
      <c r="BH3364" s="77"/>
      <c r="BI3364" s="77"/>
    </row>
    <row r="3365" spans="1:61" x14ac:dyDescent="0.25">
      <c r="A3365" s="62" t="s">
        <v>1337</v>
      </c>
      <c r="B3365" s="62" t="s">
        <v>1337</v>
      </c>
      <c r="C3365" s="63"/>
      <c r="D3365" s="64"/>
      <c r="E3365" s="65"/>
      <c r="F3365" s="66"/>
      <c r="G3365" s="63"/>
      <c r="H3365" s="67"/>
      <c r="I3365" s="68"/>
      <c r="J3365" s="68"/>
      <c r="K3365" s="32"/>
      <c r="L3365" s="75">
        <v>3365</v>
      </c>
      <c r="M3365" s="75"/>
      <c r="N3365" s="70"/>
      <c r="O3365" s="77" t="s">
        <v>2078</v>
      </c>
      <c r="P3365" s="79">
        <v>45076.543611111112</v>
      </c>
      <c r="Q3365" s="77" t="s">
        <v>5055</v>
      </c>
      <c r="R3365" s="77">
        <v>0</v>
      </c>
      <c r="S3365" s="77">
        <v>0</v>
      </c>
      <c r="T3365" s="77">
        <v>0</v>
      </c>
      <c r="U3365" s="77">
        <v>0</v>
      </c>
      <c r="V3365" s="77">
        <v>84</v>
      </c>
      <c r="W3365" s="80" t="s">
        <v>7973</v>
      </c>
      <c r="X3365" s="77"/>
      <c r="Y3365" s="77"/>
      <c r="Z3365" s="77"/>
      <c r="AA3365" s="77"/>
      <c r="AB3365" s="77"/>
      <c r="AC3365" s="80" t="s">
        <v>10541</v>
      </c>
      <c r="AD3365" s="77" t="s">
        <v>10618</v>
      </c>
      <c r="AE3365" s="83" t="str">
        <f>HYPERLINK("https://twitter.com/bpmoney_/status/1663531405941387265")</f>
        <v>https://twitter.com/bpmoney_/status/1663531405941387265</v>
      </c>
      <c r="AF3365" s="79">
        <v>45076.543611111112</v>
      </c>
      <c r="AG3365" s="85">
        <v>45076</v>
      </c>
      <c r="AH3365" s="80" t="s">
        <v>12597</v>
      </c>
      <c r="AI3365" s="77"/>
      <c r="AJ3365" s="77"/>
      <c r="AK3365" s="77"/>
      <c r="AL3365" s="77"/>
      <c r="AM3365" s="77"/>
      <c r="AN3365" s="77"/>
      <c r="AO3365" s="77"/>
      <c r="AP3365" s="77"/>
      <c r="AQ3365" s="77"/>
      <c r="AR3365" s="77"/>
      <c r="AS3365" s="77"/>
      <c r="AT3365" s="77"/>
      <c r="AU3365" s="77"/>
      <c r="AV3365" s="83" t="str">
        <f>HYPERLINK("https://pbs.twimg.com/profile_images/1518936529674117121/MCMYTicP_normal.jpg")</f>
        <v>https://pbs.twimg.com/profile_images/1518936529674117121/MCMYTicP_normal.jpg</v>
      </c>
      <c r="AW3365" s="80" t="s">
        <v>19093</v>
      </c>
      <c r="AX3365" s="80" t="s">
        <v>20112</v>
      </c>
      <c r="AY3365" s="80" t="s">
        <v>20342</v>
      </c>
      <c r="AZ3365" s="80" t="s">
        <v>20112</v>
      </c>
      <c r="BA3365" s="80" t="s">
        <v>20380</v>
      </c>
      <c r="BB3365" s="80" t="s">
        <v>20380</v>
      </c>
      <c r="BC3365" s="80" t="s">
        <v>20112</v>
      </c>
      <c r="BD3365" s="80" t="s">
        <v>20342</v>
      </c>
      <c r="BE3365" s="77"/>
      <c r="BF3365" s="77"/>
      <c r="BG3365" s="77"/>
      <c r="BH3365" s="77"/>
      <c r="BI3365" s="77"/>
    </row>
    <row r="3366" spans="1:61" x14ac:dyDescent="0.25">
      <c r="A3366" s="62" t="s">
        <v>1337</v>
      </c>
      <c r="B3366" s="62" t="s">
        <v>1337</v>
      </c>
      <c r="C3366" s="63"/>
      <c r="D3366" s="64"/>
      <c r="E3366" s="65"/>
      <c r="F3366" s="66"/>
      <c r="G3366" s="63"/>
      <c r="H3366" s="67"/>
      <c r="I3366" s="68"/>
      <c r="J3366" s="68"/>
      <c r="K3366" s="32"/>
      <c r="L3366" s="75">
        <v>3366</v>
      </c>
      <c r="M3366" s="75"/>
      <c r="N3366" s="70"/>
      <c r="O3366" s="77" t="s">
        <v>2078</v>
      </c>
      <c r="P3366" s="79">
        <v>45119.662094907406</v>
      </c>
      <c r="Q3366" s="77" t="s">
        <v>5056</v>
      </c>
      <c r="R3366" s="77">
        <v>0</v>
      </c>
      <c r="S3366" s="77">
        <v>0</v>
      </c>
      <c r="T3366" s="77">
        <v>0</v>
      </c>
      <c r="U3366" s="77">
        <v>0</v>
      </c>
      <c r="V3366" s="77">
        <v>140</v>
      </c>
      <c r="W3366" s="80" t="s">
        <v>7974</v>
      </c>
      <c r="X3366" s="77"/>
      <c r="Y3366" s="77"/>
      <c r="Z3366" s="77"/>
      <c r="AA3366" s="77"/>
      <c r="AB3366" s="77"/>
      <c r="AC3366" s="80" t="s">
        <v>10541</v>
      </c>
      <c r="AD3366" s="77" t="s">
        <v>10618</v>
      </c>
      <c r="AE3366" s="83" t="str">
        <f>HYPERLINK("https://twitter.com/bpmoney_/status/1679157021688360960")</f>
        <v>https://twitter.com/bpmoney_/status/1679157021688360960</v>
      </c>
      <c r="AF3366" s="79">
        <v>45119.662094907406</v>
      </c>
      <c r="AG3366" s="85">
        <v>45119</v>
      </c>
      <c r="AH3366" s="80" t="s">
        <v>13552</v>
      </c>
      <c r="AI3366" s="77"/>
      <c r="AJ3366" s="77"/>
      <c r="AK3366" s="77"/>
      <c r="AL3366" s="77"/>
      <c r="AM3366" s="77"/>
      <c r="AN3366" s="77"/>
      <c r="AO3366" s="77"/>
      <c r="AP3366" s="77"/>
      <c r="AQ3366" s="77"/>
      <c r="AR3366" s="77"/>
      <c r="AS3366" s="77"/>
      <c r="AT3366" s="77"/>
      <c r="AU3366" s="77"/>
      <c r="AV3366" s="83" t="str">
        <f>HYPERLINK("https://pbs.twimg.com/profile_images/1518936529674117121/MCMYTicP_normal.jpg")</f>
        <v>https://pbs.twimg.com/profile_images/1518936529674117121/MCMYTicP_normal.jpg</v>
      </c>
      <c r="AW3366" s="80" t="s">
        <v>19094</v>
      </c>
      <c r="AX3366" s="80" t="s">
        <v>20113</v>
      </c>
      <c r="AY3366" s="80" t="s">
        <v>20342</v>
      </c>
      <c r="AZ3366" s="80" t="s">
        <v>20113</v>
      </c>
      <c r="BA3366" s="80" t="s">
        <v>20380</v>
      </c>
      <c r="BB3366" s="80" t="s">
        <v>20380</v>
      </c>
      <c r="BC3366" s="80" t="s">
        <v>20113</v>
      </c>
      <c r="BD3366" s="80" t="s">
        <v>20342</v>
      </c>
      <c r="BE3366" s="77"/>
      <c r="BF3366" s="77"/>
      <c r="BG3366" s="77"/>
      <c r="BH3366" s="77"/>
      <c r="BI3366" s="77"/>
    </row>
    <row r="3367" spans="1:61" x14ac:dyDescent="0.25">
      <c r="A3367" s="62" t="s">
        <v>1337</v>
      </c>
      <c r="B3367" s="62" t="s">
        <v>1337</v>
      </c>
      <c r="C3367" s="63"/>
      <c r="D3367" s="64"/>
      <c r="E3367" s="65"/>
      <c r="F3367" s="66"/>
      <c r="G3367" s="63"/>
      <c r="H3367" s="67"/>
      <c r="I3367" s="68"/>
      <c r="J3367" s="68"/>
      <c r="K3367" s="32"/>
      <c r="L3367" s="75">
        <v>3367</v>
      </c>
      <c r="M3367" s="75"/>
      <c r="N3367" s="70"/>
      <c r="O3367" s="77" t="s">
        <v>2078</v>
      </c>
      <c r="P3367" s="79">
        <v>45106.818402777775</v>
      </c>
      <c r="Q3367" s="77" t="s">
        <v>5057</v>
      </c>
      <c r="R3367" s="77">
        <v>0</v>
      </c>
      <c r="S3367" s="77">
        <v>0</v>
      </c>
      <c r="T3367" s="77">
        <v>0</v>
      </c>
      <c r="U3367" s="77">
        <v>0</v>
      </c>
      <c r="V3367" s="77">
        <v>87</v>
      </c>
      <c r="W3367" s="80" t="s">
        <v>7975</v>
      </c>
      <c r="X3367" s="77"/>
      <c r="Y3367" s="77"/>
      <c r="Z3367" s="77"/>
      <c r="AA3367" s="77"/>
      <c r="AB3367" s="77"/>
      <c r="AC3367" s="80" t="s">
        <v>10541</v>
      </c>
      <c r="AD3367" s="77" t="s">
        <v>10618</v>
      </c>
      <c r="AE3367" s="83" t="str">
        <f>HYPERLINK("https://twitter.com/bpmoney_/status/1674502621564923904")</f>
        <v>https://twitter.com/bpmoney_/status/1674502621564923904</v>
      </c>
      <c r="AF3367" s="79">
        <v>45106.818402777775</v>
      </c>
      <c r="AG3367" s="85">
        <v>45106</v>
      </c>
      <c r="AH3367" s="80" t="s">
        <v>13553</v>
      </c>
      <c r="AI3367" s="77"/>
      <c r="AJ3367" s="77"/>
      <c r="AK3367" s="77"/>
      <c r="AL3367" s="77"/>
      <c r="AM3367" s="77"/>
      <c r="AN3367" s="77"/>
      <c r="AO3367" s="77"/>
      <c r="AP3367" s="77"/>
      <c r="AQ3367" s="77"/>
      <c r="AR3367" s="77"/>
      <c r="AS3367" s="77"/>
      <c r="AT3367" s="77"/>
      <c r="AU3367" s="77"/>
      <c r="AV3367" s="83" t="str">
        <f>HYPERLINK("https://pbs.twimg.com/profile_images/1518936529674117121/MCMYTicP_normal.jpg")</f>
        <v>https://pbs.twimg.com/profile_images/1518936529674117121/MCMYTicP_normal.jpg</v>
      </c>
      <c r="AW3367" s="80" t="s">
        <v>19095</v>
      </c>
      <c r="AX3367" s="80" t="s">
        <v>20114</v>
      </c>
      <c r="AY3367" s="80" t="s">
        <v>20342</v>
      </c>
      <c r="AZ3367" s="80" t="s">
        <v>20114</v>
      </c>
      <c r="BA3367" s="80" t="s">
        <v>20380</v>
      </c>
      <c r="BB3367" s="80" t="s">
        <v>20380</v>
      </c>
      <c r="BC3367" s="80" t="s">
        <v>20114</v>
      </c>
      <c r="BD3367" s="80" t="s">
        <v>20342</v>
      </c>
      <c r="BE3367" s="77"/>
      <c r="BF3367" s="77"/>
      <c r="BG3367" s="77"/>
      <c r="BH3367" s="77"/>
      <c r="BI3367" s="77"/>
    </row>
    <row r="3368" spans="1:61" x14ac:dyDescent="0.25">
      <c r="A3368" s="62" t="s">
        <v>1337</v>
      </c>
      <c r="B3368" s="62" t="s">
        <v>1337</v>
      </c>
      <c r="C3368" s="63"/>
      <c r="D3368" s="64"/>
      <c r="E3368" s="65"/>
      <c r="F3368" s="66"/>
      <c r="G3368" s="63"/>
      <c r="H3368" s="67"/>
      <c r="I3368" s="68"/>
      <c r="J3368" s="68"/>
      <c r="K3368" s="32"/>
      <c r="L3368" s="75">
        <v>3368</v>
      </c>
      <c r="M3368" s="75"/>
      <c r="N3368" s="70"/>
      <c r="O3368" s="77" t="s">
        <v>2078</v>
      </c>
      <c r="P3368" s="79">
        <v>45106.742268518516</v>
      </c>
      <c r="Q3368" s="77" t="s">
        <v>5058</v>
      </c>
      <c r="R3368" s="77">
        <v>0</v>
      </c>
      <c r="S3368" s="77">
        <v>0</v>
      </c>
      <c r="T3368" s="77">
        <v>0</v>
      </c>
      <c r="U3368" s="77">
        <v>0</v>
      </c>
      <c r="V3368" s="77">
        <v>86</v>
      </c>
      <c r="W3368" s="80" t="s">
        <v>7976</v>
      </c>
      <c r="X3368" s="77"/>
      <c r="Y3368" s="77"/>
      <c r="Z3368" s="77"/>
      <c r="AA3368" s="77"/>
      <c r="AB3368" s="77"/>
      <c r="AC3368" s="80" t="s">
        <v>10541</v>
      </c>
      <c r="AD3368" s="77" t="s">
        <v>10618</v>
      </c>
      <c r="AE3368" s="83" t="str">
        <f>HYPERLINK("https://twitter.com/bpmoney_/status/1674475031772930058")</f>
        <v>https://twitter.com/bpmoney_/status/1674475031772930058</v>
      </c>
      <c r="AF3368" s="79">
        <v>45106.742268518516</v>
      </c>
      <c r="AG3368" s="85">
        <v>45106</v>
      </c>
      <c r="AH3368" s="80" t="s">
        <v>12195</v>
      </c>
      <c r="AI3368" s="77"/>
      <c r="AJ3368" s="77"/>
      <c r="AK3368" s="77"/>
      <c r="AL3368" s="77"/>
      <c r="AM3368" s="77"/>
      <c r="AN3368" s="77"/>
      <c r="AO3368" s="77"/>
      <c r="AP3368" s="77"/>
      <c r="AQ3368" s="77"/>
      <c r="AR3368" s="77"/>
      <c r="AS3368" s="77"/>
      <c r="AT3368" s="77"/>
      <c r="AU3368" s="77"/>
      <c r="AV3368" s="83" t="str">
        <f>HYPERLINK("https://pbs.twimg.com/profile_images/1518936529674117121/MCMYTicP_normal.jpg")</f>
        <v>https://pbs.twimg.com/profile_images/1518936529674117121/MCMYTicP_normal.jpg</v>
      </c>
      <c r="AW3368" s="80" t="s">
        <v>19096</v>
      </c>
      <c r="AX3368" s="80" t="s">
        <v>20115</v>
      </c>
      <c r="AY3368" s="80" t="s">
        <v>20342</v>
      </c>
      <c r="AZ3368" s="80" t="s">
        <v>20115</v>
      </c>
      <c r="BA3368" s="80" t="s">
        <v>20380</v>
      </c>
      <c r="BB3368" s="80" t="s">
        <v>20380</v>
      </c>
      <c r="BC3368" s="80" t="s">
        <v>20115</v>
      </c>
      <c r="BD3368" s="80" t="s">
        <v>20342</v>
      </c>
      <c r="BE3368" s="77"/>
      <c r="BF3368" s="77"/>
      <c r="BG3368" s="77"/>
      <c r="BH3368" s="77"/>
      <c r="BI3368" s="77"/>
    </row>
    <row r="3369" spans="1:61" x14ac:dyDescent="0.25">
      <c r="A3369" s="62" t="s">
        <v>1337</v>
      </c>
      <c r="B3369" s="62" t="s">
        <v>1337</v>
      </c>
      <c r="C3369" s="63"/>
      <c r="D3369" s="64"/>
      <c r="E3369" s="65"/>
      <c r="F3369" s="66"/>
      <c r="G3369" s="63"/>
      <c r="H3369" s="67"/>
      <c r="I3369" s="68"/>
      <c r="J3369" s="68"/>
      <c r="K3369" s="32"/>
      <c r="L3369" s="75">
        <v>3369</v>
      </c>
      <c r="M3369" s="75"/>
      <c r="N3369" s="70"/>
      <c r="O3369" s="77" t="s">
        <v>2078</v>
      </c>
      <c r="P3369" s="79">
        <v>45106.577499999999</v>
      </c>
      <c r="Q3369" s="77" t="s">
        <v>5059</v>
      </c>
      <c r="R3369" s="77">
        <v>0</v>
      </c>
      <c r="S3369" s="77">
        <v>0</v>
      </c>
      <c r="T3369" s="77">
        <v>0</v>
      </c>
      <c r="U3369" s="77">
        <v>0</v>
      </c>
      <c r="V3369" s="77">
        <v>70</v>
      </c>
      <c r="W3369" s="80" t="s">
        <v>7977</v>
      </c>
      <c r="X3369" s="77"/>
      <c r="Y3369" s="77"/>
      <c r="Z3369" s="77"/>
      <c r="AA3369" s="77"/>
      <c r="AB3369" s="77"/>
      <c r="AC3369" s="80" t="s">
        <v>10541</v>
      </c>
      <c r="AD3369" s="77" t="s">
        <v>10618</v>
      </c>
      <c r="AE3369" s="83" t="str">
        <f>HYPERLINK("https://twitter.com/bpmoney_/status/1674415321015283712")</f>
        <v>https://twitter.com/bpmoney_/status/1674415321015283712</v>
      </c>
      <c r="AF3369" s="79">
        <v>45106.577499999999</v>
      </c>
      <c r="AG3369" s="85">
        <v>45106</v>
      </c>
      <c r="AH3369" s="80" t="s">
        <v>13554</v>
      </c>
      <c r="AI3369" s="77"/>
      <c r="AJ3369" s="77"/>
      <c r="AK3369" s="77"/>
      <c r="AL3369" s="77"/>
      <c r="AM3369" s="77"/>
      <c r="AN3369" s="77"/>
      <c r="AO3369" s="77"/>
      <c r="AP3369" s="77"/>
      <c r="AQ3369" s="77"/>
      <c r="AR3369" s="77"/>
      <c r="AS3369" s="77"/>
      <c r="AT3369" s="77"/>
      <c r="AU3369" s="77"/>
      <c r="AV3369" s="83" t="str">
        <f>HYPERLINK("https://pbs.twimg.com/profile_images/1518936529674117121/MCMYTicP_normal.jpg")</f>
        <v>https://pbs.twimg.com/profile_images/1518936529674117121/MCMYTicP_normal.jpg</v>
      </c>
      <c r="AW3369" s="80" t="s">
        <v>19097</v>
      </c>
      <c r="AX3369" s="80" t="s">
        <v>20116</v>
      </c>
      <c r="AY3369" s="80" t="s">
        <v>20342</v>
      </c>
      <c r="AZ3369" s="80" t="s">
        <v>20116</v>
      </c>
      <c r="BA3369" s="80" t="s">
        <v>20380</v>
      </c>
      <c r="BB3369" s="80" t="s">
        <v>20380</v>
      </c>
      <c r="BC3369" s="80" t="s">
        <v>20116</v>
      </c>
      <c r="BD3369" s="80" t="s">
        <v>20342</v>
      </c>
      <c r="BE3369" s="77"/>
      <c r="BF3369" s="77"/>
      <c r="BG3369" s="77"/>
      <c r="BH3369" s="77"/>
      <c r="BI3369" s="77"/>
    </row>
    <row r="3370" spans="1:61" x14ac:dyDescent="0.25">
      <c r="A3370" s="62" t="s">
        <v>1337</v>
      </c>
      <c r="B3370" s="62" t="s">
        <v>1337</v>
      </c>
      <c r="C3370" s="63"/>
      <c r="D3370" s="64"/>
      <c r="E3370" s="65"/>
      <c r="F3370" s="66"/>
      <c r="G3370" s="63"/>
      <c r="H3370" s="67"/>
      <c r="I3370" s="68"/>
      <c r="J3370" s="68"/>
      <c r="K3370" s="32"/>
      <c r="L3370" s="75">
        <v>3370</v>
      </c>
      <c r="M3370" s="75"/>
      <c r="N3370" s="70"/>
      <c r="O3370" s="77" t="s">
        <v>2078</v>
      </c>
      <c r="P3370" s="79">
        <v>45093.573472222219</v>
      </c>
      <c r="Q3370" s="77" t="s">
        <v>5060</v>
      </c>
      <c r="R3370" s="77">
        <v>0</v>
      </c>
      <c r="S3370" s="77">
        <v>0</v>
      </c>
      <c r="T3370" s="77">
        <v>0</v>
      </c>
      <c r="U3370" s="77">
        <v>0</v>
      </c>
      <c r="V3370" s="77">
        <v>83</v>
      </c>
      <c r="W3370" s="80" t="s">
        <v>7978</v>
      </c>
      <c r="X3370" s="77"/>
      <c r="Y3370" s="77"/>
      <c r="Z3370" s="77"/>
      <c r="AA3370" s="77"/>
      <c r="AB3370" s="77"/>
      <c r="AC3370" s="80" t="s">
        <v>10541</v>
      </c>
      <c r="AD3370" s="77" t="s">
        <v>10618</v>
      </c>
      <c r="AE3370" s="83" t="str">
        <f>HYPERLINK("https://twitter.com/bpmoney_/status/1669702821501890564")</f>
        <v>https://twitter.com/bpmoney_/status/1669702821501890564</v>
      </c>
      <c r="AF3370" s="79">
        <v>45093.573472222219</v>
      </c>
      <c r="AG3370" s="85">
        <v>45093</v>
      </c>
      <c r="AH3370" s="80" t="s">
        <v>13555</v>
      </c>
      <c r="AI3370" s="77"/>
      <c r="AJ3370" s="77"/>
      <c r="AK3370" s="77"/>
      <c r="AL3370" s="77"/>
      <c r="AM3370" s="77"/>
      <c r="AN3370" s="77"/>
      <c r="AO3370" s="77"/>
      <c r="AP3370" s="77"/>
      <c r="AQ3370" s="77"/>
      <c r="AR3370" s="77"/>
      <c r="AS3370" s="77"/>
      <c r="AT3370" s="77"/>
      <c r="AU3370" s="77"/>
      <c r="AV3370" s="83" t="str">
        <f>HYPERLINK("https://pbs.twimg.com/profile_images/1518936529674117121/MCMYTicP_normal.jpg")</f>
        <v>https://pbs.twimg.com/profile_images/1518936529674117121/MCMYTicP_normal.jpg</v>
      </c>
      <c r="AW3370" s="80" t="s">
        <v>19098</v>
      </c>
      <c r="AX3370" s="80" t="s">
        <v>20117</v>
      </c>
      <c r="AY3370" s="80" t="s">
        <v>20342</v>
      </c>
      <c r="AZ3370" s="80" t="s">
        <v>20117</v>
      </c>
      <c r="BA3370" s="80" t="s">
        <v>20380</v>
      </c>
      <c r="BB3370" s="80" t="s">
        <v>20380</v>
      </c>
      <c r="BC3370" s="80" t="s">
        <v>20117</v>
      </c>
      <c r="BD3370" s="80" t="s">
        <v>20342</v>
      </c>
      <c r="BE3370" s="77"/>
      <c r="BF3370" s="77"/>
      <c r="BG3370" s="77"/>
      <c r="BH3370" s="77"/>
      <c r="BI3370" s="77"/>
    </row>
    <row r="3371" spans="1:61" x14ac:dyDescent="0.25">
      <c r="A3371" s="62" t="s">
        <v>1337</v>
      </c>
      <c r="B3371" s="62" t="s">
        <v>1337</v>
      </c>
      <c r="C3371" s="63"/>
      <c r="D3371" s="64"/>
      <c r="E3371" s="65"/>
      <c r="F3371" s="66"/>
      <c r="G3371" s="63"/>
      <c r="H3371" s="67"/>
      <c r="I3371" s="68"/>
      <c r="J3371" s="68"/>
      <c r="K3371" s="32"/>
      <c r="L3371" s="75">
        <v>3371</v>
      </c>
      <c r="M3371" s="75"/>
      <c r="N3371" s="70"/>
      <c r="O3371" s="77" t="s">
        <v>2078</v>
      </c>
      <c r="P3371" s="79">
        <v>45093.572638888887</v>
      </c>
      <c r="Q3371" s="77" t="s">
        <v>5061</v>
      </c>
      <c r="R3371" s="77">
        <v>0</v>
      </c>
      <c r="S3371" s="77">
        <v>0</v>
      </c>
      <c r="T3371" s="77">
        <v>0</v>
      </c>
      <c r="U3371" s="77">
        <v>0</v>
      </c>
      <c r="V3371" s="77">
        <v>95</v>
      </c>
      <c r="W3371" s="80" t="s">
        <v>7979</v>
      </c>
      <c r="X3371" s="77"/>
      <c r="Y3371" s="77"/>
      <c r="Z3371" s="77"/>
      <c r="AA3371" s="77"/>
      <c r="AB3371" s="77"/>
      <c r="AC3371" s="80" t="s">
        <v>10541</v>
      </c>
      <c r="AD3371" s="77" t="s">
        <v>10618</v>
      </c>
      <c r="AE3371" s="83" t="str">
        <f>HYPERLINK("https://twitter.com/bpmoney_/status/1669702518786383873")</f>
        <v>https://twitter.com/bpmoney_/status/1669702518786383873</v>
      </c>
      <c r="AF3371" s="79">
        <v>45093.572638888887</v>
      </c>
      <c r="AG3371" s="85">
        <v>45093</v>
      </c>
      <c r="AH3371" s="80" t="s">
        <v>13556</v>
      </c>
      <c r="AI3371" s="77"/>
      <c r="AJ3371" s="77"/>
      <c r="AK3371" s="77"/>
      <c r="AL3371" s="77"/>
      <c r="AM3371" s="77"/>
      <c r="AN3371" s="77"/>
      <c r="AO3371" s="77"/>
      <c r="AP3371" s="77"/>
      <c r="AQ3371" s="77"/>
      <c r="AR3371" s="77"/>
      <c r="AS3371" s="77"/>
      <c r="AT3371" s="77"/>
      <c r="AU3371" s="77"/>
      <c r="AV3371" s="83" t="str">
        <f>HYPERLINK("https://pbs.twimg.com/profile_images/1518936529674117121/MCMYTicP_normal.jpg")</f>
        <v>https://pbs.twimg.com/profile_images/1518936529674117121/MCMYTicP_normal.jpg</v>
      </c>
      <c r="AW3371" s="80" t="s">
        <v>19099</v>
      </c>
      <c r="AX3371" s="80" t="s">
        <v>20118</v>
      </c>
      <c r="AY3371" s="80" t="s">
        <v>20342</v>
      </c>
      <c r="AZ3371" s="80" t="s">
        <v>20118</v>
      </c>
      <c r="BA3371" s="80" t="s">
        <v>20380</v>
      </c>
      <c r="BB3371" s="80" t="s">
        <v>20380</v>
      </c>
      <c r="BC3371" s="80" t="s">
        <v>20118</v>
      </c>
      <c r="BD3371" s="80" t="s">
        <v>20342</v>
      </c>
      <c r="BE3371" s="77"/>
      <c r="BF3371" s="77"/>
      <c r="BG3371" s="77"/>
      <c r="BH3371" s="77"/>
      <c r="BI3371" s="77"/>
    </row>
    <row r="3372" spans="1:61" x14ac:dyDescent="0.25">
      <c r="A3372" s="62" t="s">
        <v>1337</v>
      </c>
      <c r="B3372" s="62" t="s">
        <v>1337</v>
      </c>
      <c r="C3372" s="63"/>
      <c r="D3372" s="64"/>
      <c r="E3372" s="65"/>
      <c r="F3372" s="66"/>
      <c r="G3372" s="63"/>
      <c r="H3372" s="67"/>
      <c r="I3372" s="68"/>
      <c r="J3372" s="68"/>
      <c r="K3372" s="32"/>
      <c r="L3372" s="75">
        <v>3372</v>
      </c>
      <c r="M3372" s="75"/>
      <c r="N3372" s="70"/>
      <c r="O3372" s="77" t="s">
        <v>2078</v>
      </c>
      <c r="P3372" s="79">
        <v>45068.533182870371</v>
      </c>
      <c r="Q3372" s="77" t="s">
        <v>5062</v>
      </c>
      <c r="R3372" s="77">
        <v>0</v>
      </c>
      <c r="S3372" s="77">
        <v>0</v>
      </c>
      <c r="T3372" s="77">
        <v>0</v>
      </c>
      <c r="U3372" s="77">
        <v>0</v>
      </c>
      <c r="V3372" s="77">
        <v>98</v>
      </c>
      <c r="W3372" s="80" t="s">
        <v>7980</v>
      </c>
      <c r="X3372" s="77"/>
      <c r="Y3372" s="77"/>
      <c r="Z3372" s="77"/>
      <c r="AA3372" s="77"/>
      <c r="AB3372" s="77"/>
      <c r="AC3372" s="80" t="s">
        <v>10541</v>
      </c>
      <c r="AD3372" s="77" t="s">
        <v>10618</v>
      </c>
      <c r="AE3372" s="83" t="str">
        <f>HYPERLINK("https://twitter.com/bpmoney_/status/1660628524049260544")</f>
        <v>https://twitter.com/bpmoney_/status/1660628524049260544</v>
      </c>
      <c r="AF3372" s="79">
        <v>45068.533182870371</v>
      </c>
      <c r="AG3372" s="85">
        <v>45068</v>
      </c>
      <c r="AH3372" s="80" t="s">
        <v>13557</v>
      </c>
      <c r="AI3372" s="77"/>
      <c r="AJ3372" s="77"/>
      <c r="AK3372" s="77"/>
      <c r="AL3372" s="77"/>
      <c r="AM3372" s="77"/>
      <c r="AN3372" s="77"/>
      <c r="AO3372" s="77"/>
      <c r="AP3372" s="77"/>
      <c r="AQ3372" s="77"/>
      <c r="AR3372" s="77"/>
      <c r="AS3372" s="77"/>
      <c r="AT3372" s="77"/>
      <c r="AU3372" s="77"/>
      <c r="AV3372" s="83" t="str">
        <f>HYPERLINK("https://pbs.twimg.com/profile_images/1518936529674117121/MCMYTicP_normal.jpg")</f>
        <v>https://pbs.twimg.com/profile_images/1518936529674117121/MCMYTicP_normal.jpg</v>
      </c>
      <c r="AW3372" s="80" t="s">
        <v>19100</v>
      </c>
      <c r="AX3372" s="80" t="s">
        <v>20119</v>
      </c>
      <c r="AY3372" s="80" t="s">
        <v>20342</v>
      </c>
      <c r="AZ3372" s="80" t="s">
        <v>20119</v>
      </c>
      <c r="BA3372" s="80" t="s">
        <v>20380</v>
      </c>
      <c r="BB3372" s="80" t="s">
        <v>20380</v>
      </c>
      <c r="BC3372" s="80" t="s">
        <v>20119</v>
      </c>
      <c r="BD3372" s="80" t="s">
        <v>20342</v>
      </c>
      <c r="BE3372" s="77"/>
      <c r="BF3372" s="77"/>
      <c r="BG3372" s="77"/>
      <c r="BH3372" s="77"/>
      <c r="BI3372" s="77"/>
    </row>
    <row r="3373" spans="1:61" x14ac:dyDescent="0.25">
      <c r="A3373" s="62" t="s">
        <v>1337</v>
      </c>
      <c r="B3373" s="62" t="s">
        <v>1337</v>
      </c>
      <c r="C3373" s="63"/>
      <c r="D3373" s="64"/>
      <c r="E3373" s="65"/>
      <c r="F3373" s="66"/>
      <c r="G3373" s="63"/>
      <c r="H3373" s="67"/>
      <c r="I3373" s="68"/>
      <c r="J3373" s="68"/>
      <c r="K3373" s="32"/>
      <c r="L3373" s="75">
        <v>3373</v>
      </c>
      <c r="M3373" s="75"/>
      <c r="N3373" s="70"/>
      <c r="O3373" s="77" t="s">
        <v>2078</v>
      </c>
      <c r="P3373" s="79">
        <v>45065.616805555554</v>
      </c>
      <c r="Q3373" s="77" t="s">
        <v>5061</v>
      </c>
      <c r="R3373" s="77">
        <v>0</v>
      </c>
      <c r="S3373" s="77">
        <v>0</v>
      </c>
      <c r="T3373" s="77">
        <v>0</v>
      </c>
      <c r="U3373" s="77">
        <v>0</v>
      </c>
      <c r="V3373" s="77">
        <v>123</v>
      </c>
      <c r="W3373" s="80" t="s">
        <v>7979</v>
      </c>
      <c r="X3373" s="77"/>
      <c r="Y3373" s="77"/>
      <c r="Z3373" s="77"/>
      <c r="AA3373" s="77"/>
      <c r="AB3373" s="77"/>
      <c r="AC3373" s="80" t="s">
        <v>10541</v>
      </c>
      <c r="AD3373" s="77" t="s">
        <v>10618</v>
      </c>
      <c r="AE3373" s="83" t="str">
        <f>HYPERLINK("https://twitter.com/bpmoney_/status/1659571664424783873")</f>
        <v>https://twitter.com/bpmoney_/status/1659571664424783873</v>
      </c>
      <c r="AF3373" s="79">
        <v>45065.616805555554</v>
      </c>
      <c r="AG3373" s="85">
        <v>45065</v>
      </c>
      <c r="AH3373" s="80" t="s">
        <v>13558</v>
      </c>
      <c r="AI3373" s="77"/>
      <c r="AJ3373" s="77"/>
      <c r="AK3373" s="77"/>
      <c r="AL3373" s="77"/>
      <c r="AM3373" s="77"/>
      <c r="AN3373" s="77"/>
      <c r="AO3373" s="77"/>
      <c r="AP3373" s="77"/>
      <c r="AQ3373" s="77"/>
      <c r="AR3373" s="77"/>
      <c r="AS3373" s="77"/>
      <c r="AT3373" s="77"/>
      <c r="AU3373" s="77"/>
      <c r="AV3373" s="83" t="str">
        <f>HYPERLINK("https://pbs.twimg.com/profile_images/1518936529674117121/MCMYTicP_normal.jpg")</f>
        <v>https://pbs.twimg.com/profile_images/1518936529674117121/MCMYTicP_normal.jpg</v>
      </c>
      <c r="AW3373" s="80" t="s">
        <v>19101</v>
      </c>
      <c r="AX3373" s="80" t="s">
        <v>20120</v>
      </c>
      <c r="AY3373" s="80" t="s">
        <v>20342</v>
      </c>
      <c r="AZ3373" s="80" t="s">
        <v>20120</v>
      </c>
      <c r="BA3373" s="80" t="s">
        <v>20380</v>
      </c>
      <c r="BB3373" s="80" t="s">
        <v>20380</v>
      </c>
      <c r="BC3373" s="80" t="s">
        <v>20120</v>
      </c>
      <c r="BD3373" s="80" t="s">
        <v>20342</v>
      </c>
      <c r="BE3373" s="77"/>
      <c r="BF3373" s="77"/>
      <c r="BG3373" s="77"/>
      <c r="BH3373" s="77"/>
      <c r="BI3373" s="77"/>
    </row>
    <row r="3374" spans="1:61" x14ac:dyDescent="0.25">
      <c r="A3374" s="62" t="s">
        <v>1337</v>
      </c>
      <c r="B3374" s="62" t="s">
        <v>1337</v>
      </c>
      <c r="C3374" s="63"/>
      <c r="D3374" s="64"/>
      <c r="E3374" s="65"/>
      <c r="F3374" s="66"/>
      <c r="G3374" s="63"/>
      <c r="H3374" s="67"/>
      <c r="I3374" s="68"/>
      <c r="J3374" s="68"/>
      <c r="K3374" s="32"/>
      <c r="L3374" s="75">
        <v>3374</v>
      </c>
      <c r="M3374" s="75"/>
      <c r="N3374" s="70"/>
      <c r="O3374" s="77" t="s">
        <v>2078</v>
      </c>
      <c r="P3374" s="79">
        <v>45048.745127314818</v>
      </c>
      <c r="Q3374" s="77" t="s">
        <v>5063</v>
      </c>
      <c r="R3374" s="77">
        <v>0</v>
      </c>
      <c r="S3374" s="77">
        <v>0</v>
      </c>
      <c r="T3374" s="77">
        <v>0</v>
      </c>
      <c r="U3374" s="77">
        <v>0</v>
      </c>
      <c r="V3374" s="77">
        <v>104</v>
      </c>
      <c r="W3374" s="80" t="s">
        <v>7981</v>
      </c>
      <c r="X3374" s="77"/>
      <c r="Y3374" s="77"/>
      <c r="Z3374" s="77"/>
      <c r="AA3374" s="77"/>
      <c r="AB3374" s="77"/>
      <c r="AC3374" s="80" t="s">
        <v>10541</v>
      </c>
      <c r="AD3374" s="77" t="s">
        <v>10618</v>
      </c>
      <c r="AE3374" s="83" t="str">
        <f>HYPERLINK("https://twitter.com/bpmoney_/status/1653457573721325573")</f>
        <v>https://twitter.com/bpmoney_/status/1653457573721325573</v>
      </c>
      <c r="AF3374" s="79">
        <v>45048.745127314818</v>
      </c>
      <c r="AG3374" s="85">
        <v>45048</v>
      </c>
      <c r="AH3374" s="80" t="s">
        <v>13559</v>
      </c>
      <c r="AI3374" s="77"/>
      <c r="AJ3374" s="77"/>
      <c r="AK3374" s="77"/>
      <c r="AL3374" s="77"/>
      <c r="AM3374" s="77"/>
      <c r="AN3374" s="77"/>
      <c r="AO3374" s="77"/>
      <c r="AP3374" s="77"/>
      <c r="AQ3374" s="77"/>
      <c r="AR3374" s="77"/>
      <c r="AS3374" s="77"/>
      <c r="AT3374" s="77"/>
      <c r="AU3374" s="77"/>
      <c r="AV3374" s="83" t="str">
        <f>HYPERLINK("https://pbs.twimg.com/profile_images/1518936529674117121/MCMYTicP_normal.jpg")</f>
        <v>https://pbs.twimg.com/profile_images/1518936529674117121/MCMYTicP_normal.jpg</v>
      </c>
      <c r="AW3374" s="80" t="s">
        <v>19102</v>
      </c>
      <c r="AX3374" s="80" t="s">
        <v>20121</v>
      </c>
      <c r="AY3374" s="80" t="s">
        <v>20342</v>
      </c>
      <c r="AZ3374" s="80" t="s">
        <v>20121</v>
      </c>
      <c r="BA3374" s="80" t="s">
        <v>20380</v>
      </c>
      <c r="BB3374" s="80" t="s">
        <v>20380</v>
      </c>
      <c r="BC3374" s="80" t="s">
        <v>20121</v>
      </c>
      <c r="BD3374" s="80" t="s">
        <v>20342</v>
      </c>
      <c r="BE3374" s="77"/>
      <c r="BF3374" s="77"/>
      <c r="BG3374" s="77"/>
      <c r="BH3374" s="77"/>
      <c r="BI3374" s="77"/>
    </row>
    <row r="3375" spans="1:61" x14ac:dyDescent="0.25">
      <c r="A3375" s="62" t="s">
        <v>1337</v>
      </c>
      <c r="B3375" s="62" t="s">
        <v>1337</v>
      </c>
      <c r="C3375" s="63"/>
      <c r="D3375" s="64"/>
      <c r="E3375" s="65"/>
      <c r="F3375" s="66"/>
      <c r="G3375" s="63"/>
      <c r="H3375" s="67"/>
      <c r="I3375" s="68"/>
      <c r="J3375" s="68"/>
      <c r="K3375" s="32"/>
      <c r="L3375" s="75">
        <v>3375</v>
      </c>
      <c r="M3375" s="75"/>
      <c r="N3375" s="70"/>
      <c r="O3375" s="77" t="s">
        <v>2078</v>
      </c>
      <c r="P3375" s="79">
        <v>45140.773773148147</v>
      </c>
      <c r="Q3375" s="77" t="s">
        <v>5064</v>
      </c>
      <c r="R3375" s="77">
        <v>0</v>
      </c>
      <c r="S3375" s="77">
        <v>0</v>
      </c>
      <c r="T3375" s="77">
        <v>0</v>
      </c>
      <c r="U3375" s="77">
        <v>0</v>
      </c>
      <c r="V3375" s="77">
        <v>104</v>
      </c>
      <c r="W3375" s="80" t="s">
        <v>7982</v>
      </c>
      <c r="X3375" s="77"/>
      <c r="Y3375" s="77"/>
      <c r="Z3375" s="77"/>
      <c r="AA3375" s="77"/>
      <c r="AB3375" s="77"/>
      <c r="AC3375" s="80" t="s">
        <v>10541</v>
      </c>
      <c r="AD3375" s="77" t="s">
        <v>10618</v>
      </c>
      <c r="AE3375" s="83" t="str">
        <f>HYPERLINK("https://twitter.com/bpmoney_/status/1686807635486457868")</f>
        <v>https://twitter.com/bpmoney_/status/1686807635486457868</v>
      </c>
      <c r="AF3375" s="79">
        <v>45140.773773148147</v>
      </c>
      <c r="AG3375" s="85">
        <v>45140</v>
      </c>
      <c r="AH3375" s="80" t="s">
        <v>13560</v>
      </c>
      <c r="AI3375" s="77"/>
      <c r="AJ3375" s="77"/>
      <c r="AK3375" s="77"/>
      <c r="AL3375" s="77"/>
      <c r="AM3375" s="77"/>
      <c r="AN3375" s="77"/>
      <c r="AO3375" s="77"/>
      <c r="AP3375" s="77"/>
      <c r="AQ3375" s="77"/>
      <c r="AR3375" s="77"/>
      <c r="AS3375" s="77"/>
      <c r="AT3375" s="77"/>
      <c r="AU3375" s="77"/>
      <c r="AV3375" s="83" t="str">
        <f>HYPERLINK("https://pbs.twimg.com/profile_images/1518936529674117121/MCMYTicP_normal.jpg")</f>
        <v>https://pbs.twimg.com/profile_images/1518936529674117121/MCMYTicP_normal.jpg</v>
      </c>
      <c r="AW3375" s="80" t="s">
        <v>19103</v>
      </c>
      <c r="AX3375" s="80" t="s">
        <v>20122</v>
      </c>
      <c r="AY3375" s="80" t="s">
        <v>20342</v>
      </c>
      <c r="AZ3375" s="80" t="s">
        <v>20122</v>
      </c>
      <c r="BA3375" s="80" t="s">
        <v>20380</v>
      </c>
      <c r="BB3375" s="80" t="s">
        <v>20380</v>
      </c>
      <c r="BC3375" s="80" t="s">
        <v>20122</v>
      </c>
      <c r="BD3375" s="80" t="s">
        <v>20342</v>
      </c>
      <c r="BE3375" s="77"/>
      <c r="BF3375" s="77"/>
      <c r="BG3375" s="77"/>
      <c r="BH3375" s="77"/>
      <c r="BI3375" s="77"/>
    </row>
    <row r="3376" spans="1:61" x14ac:dyDescent="0.25">
      <c r="A3376" s="62" t="s">
        <v>1337</v>
      </c>
      <c r="B3376" s="62" t="s">
        <v>1337</v>
      </c>
      <c r="C3376" s="63"/>
      <c r="D3376" s="64"/>
      <c r="E3376" s="65"/>
      <c r="F3376" s="66"/>
      <c r="G3376" s="63"/>
      <c r="H3376" s="67"/>
      <c r="I3376" s="68"/>
      <c r="J3376" s="68"/>
      <c r="K3376" s="32"/>
      <c r="L3376" s="75">
        <v>3376</v>
      </c>
      <c r="M3376" s="75"/>
      <c r="N3376" s="70"/>
      <c r="O3376" s="77" t="s">
        <v>2078</v>
      </c>
      <c r="P3376" s="79">
        <v>45113.664131944446</v>
      </c>
      <c r="Q3376" s="77" t="s">
        <v>5065</v>
      </c>
      <c r="R3376" s="77">
        <v>0</v>
      </c>
      <c r="S3376" s="77">
        <v>0</v>
      </c>
      <c r="T3376" s="77">
        <v>0</v>
      </c>
      <c r="U3376" s="77">
        <v>0</v>
      </c>
      <c r="V3376" s="77">
        <v>98</v>
      </c>
      <c r="W3376" s="80" t="s">
        <v>7983</v>
      </c>
      <c r="X3376" s="77"/>
      <c r="Y3376" s="77"/>
      <c r="Z3376" s="77"/>
      <c r="AA3376" s="77"/>
      <c r="AB3376" s="77"/>
      <c r="AC3376" s="80" t="s">
        <v>10541</v>
      </c>
      <c r="AD3376" s="77" t="s">
        <v>10618</v>
      </c>
      <c r="AE3376" s="83" t="str">
        <f>HYPERLINK("https://twitter.com/bpmoney_/status/1676983432637816832")</f>
        <v>https://twitter.com/bpmoney_/status/1676983432637816832</v>
      </c>
      <c r="AF3376" s="79">
        <v>45113.664131944446</v>
      </c>
      <c r="AG3376" s="85">
        <v>45113</v>
      </c>
      <c r="AH3376" s="80" t="s">
        <v>13561</v>
      </c>
      <c r="AI3376" s="77"/>
      <c r="AJ3376" s="77"/>
      <c r="AK3376" s="77"/>
      <c r="AL3376" s="77"/>
      <c r="AM3376" s="77"/>
      <c r="AN3376" s="77"/>
      <c r="AO3376" s="77"/>
      <c r="AP3376" s="77"/>
      <c r="AQ3376" s="77"/>
      <c r="AR3376" s="77"/>
      <c r="AS3376" s="77"/>
      <c r="AT3376" s="77"/>
      <c r="AU3376" s="77"/>
      <c r="AV3376" s="83" t="str">
        <f>HYPERLINK("https://pbs.twimg.com/profile_images/1518936529674117121/MCMYTicP_normal.jpg")</f>
        <v>https://pbs.twimg.com/profile_images/1518936529674117121/MCMYTicP_normal.jpg</v>
      </c>
      <c r="AW3376" s="80" t="s">
        <v>19104</v>
      </c>
      <c r="AX3376" s="80" t="s">
        <v>20123</v>
      </c>
      <c r="AY3376" s="80" t="s">
        <v>20342</v>
      </c>
      <c r="AZ3376" s="80" t="s">
        <v>20123</v>
      </c>
      <c r="BA3376" s="80" t="s">
        <v>20380</v>
      </c>
      <c r="BB3376" s="80" t="s">
        <v>20380</v>
      </c>
      <c r="BC3376" s="80" t="s">
        <v>20123</v>
      </c>
      <c r="BD3376" s="80" t="s">
        <v>20342</v>
      </c>
      <c r="BE3376" s="77"/>
      <c r="BF3376" s="77"/>
      <c r="BG3376" s="77"/>
      <c r="BH3376" s="77"/>
      <c r="BI3376" s="77"/>
    </row>
    <row r="3377" spans="1:61" x14ac:dyDescent="0.25">
      <c r="A3377" s="62" t="s">
        <v>1337</v>
      </c>
      <c r="B3377" s="62" t="s">
        <v>1337</v>
      </c>
      <c r="C3377" s="63"/>
      <c r="D3377" s="64"/>
      <c r="E3377" s="65"/>
      <c r="F3377" s="66"/>
      <c r="G3377" s="63"/>
      <c r="H3377" s="67"/>
      <c r="I3377" s="68"/>
      <c r="J3377" s="68"/>
      <c r="K3377" s="32"/>
      <c r="L3377" s="75">
        <v>3377</v>
      </c>
      <c r="M3377" s="75"/>
      <c r="N3377" s="70"/>
      <c r="O3377" s="77" t="s">
        <v>2078</v>
      </c>
      <c r="P3377" s="79">
        <v>45082.591620370367</v>
      </c>
      <c r="Q3377" s="77" t="s">
        <v>5066</v>
      </c>
      <c r="R3377" s="77">
        <v>0</v>
      </c>
      <c r="S3377" s="77">
        <v>0</v>
      </c>
      <c r="T3377" s="77">
        <v>0</v>
      </c>
      <c r="U3377" s="77">
        <v>0</v>
      </c>
      <c r="V3377" s="77">
        <v>92</v>
      </c>
      <c r="W3377" s="80" t="s">
        <v>7984</v>
      </c>
      <c r="X3377" s="77"/>
      <c r="Y3377" s="77"/>
      <c r="Z3377" s="77"/>
      <c r="AA3377" s="77"/>
      <c r="AB3377" s="77"/>
      <c r="AC3377" s="80" t="s">
        <v>10541</v>
      </c>
      <c r="AD3377" s="77" t="s">
        <v>10618</v>
      </c>
      <c r="AE3377" s="83" t="str">
        <f>HYPERLINK("https://twitter.com/bpmoney_/status/1665723128264179714")</f>
        <v>https://twitter.com/bpmoney_/status/1665723128264179714</v>
      </c>
      <c r="AF3377" s="79">
        <v>45082.591620370367</v>
      </c>
      <c r="AG3377" s="85">
        <v>45082</v>
      </c>
      <c r="AH3377" s="80" t="s">
        <v>13562</v>
      </c>
      <c r="AI3377" s="77"/>
      <c r="AJ3377" s="77"/>
      <c r="AK3377" s="77"/>
      <c r="AL3377" s="77"/>
      <c r="AM3377" s="77"/>
      <c r="AN3377" s="77"/>
      <c r="AO3377" s="77"/>
      <c r="AP3377" s="77"/>
      <c r="AQ3377" s="77"/>
      <c r="AR3377" s="77"/>
      <c r="AS3377" s="77"/>
      <c r="AT3377" s="77"/>
      <c r="AU3377" s="77"/>
      <c r="AV3377" s="83" t="str">
        <f>HYPERLINK("https://pbs.twimg.com/profile_images/1518936529674117121/MCMYTicP_normal.jpg")</f>
        <v>https://pbs.twimg.com/profile_images/1518936529674117121/MCMYTicP_normal.jpg</v>
      </c>
      <c r="AW3377" s="80" t="s">
        <v>19105</v>
      </c>
      <c r="AX3377" s="80" t="s">
        <v>20124</v>
      </c>
      <c r="AY3377" s="80" t="s">
        <v>20342</v>
      </c>
      <c r="AZ3377" s="80" t="s">
        <v>20124</v>
      </c>
      <c r="BA3377" s="80" t="s">
        <v>20380</v>
      </c>
      <c r="BB3377" s="80" t="s">
        <v>20380</v>
      </c>
      <c r="BC3377" s="80" t="s">
        <v>20124</v>
      </c>
      <c r="BD3377" s="80" t="s">
        <v>20342</v>
      </c>
      <c r="BE3377" s="77"/>
      <c r="BF3377" s="77"/>
      <c r="BG3377" s="77"/>
      <c r="BH3377" s="77"/>
      <c r="BI3377" s="77"/>
    </row>
    <row r="3378" spans="1:61" x14ac:dyDescent="0.25">
      <c r="A3378" s="62" t="s">
        <v>1337</v>
      </c>
      <c r="B3378" s="62" t="s">
        <v>1337</v>
      </c>
      <c r="C3378" s="63"/>
      <c r="D3378" s="64"/>
      <c r="E3378" s="65"/>
      <c r="F3378" s="66"/>
      <c r="G3378" s="63"/>
      <c r="H3378" s="67"/>
      <c r="I3378" s="68"/>
      <c r="J3378" s="68"/>
      <c r="K3378" s="32"/>
      <c r="L3378" s="75">
        <v>3378</v>
      </c>
      <c r="M3378" s="75"/>
      <c r="N3378" s="70"/>
      <c r="O3378" s="77" t="s">
        <v>2078</v>
      </c>
      <c r="P3378" s="79">
        <v>45125.817812499998</v>
      </c>
      <c r="Q3378" s="77" t="s">
        <v>5067</v>
      </c>
      <c r="R3378" s="77">
        <v>0</v>
      </c>
      <c r="S3378" s="77">
        <v>0</v>
      </c>
      <c r="T3378" s="77">
        <v>0</v>
      </c>
      <c r="U3378" s="77">
        <v>0</v>
      </c>
      <c r="V3378" s="77">
        <v>74</v>
      </c>
      <c r="W3378" s="80" t="s">
        <v>7985</v>
      </c>
      <c r="X3378" s="77"/>
      <c r="Y3378" s="77"/>
      <c r="Z3378" s="77"/>
      <c r="AA3378" s="77"/>
      <c r="AB3378" s="77"/>
      <c r="AC3378" s="80" t="s">
        <v>10541</v>
      </c>
      <c r="AD3378" s="77" t="s">
        <v>10618</v>
      </c>
      <c r="AE3378" s="83" t="str">
        <f>HYPERLINK("https://twitter.com/bpmoney_/status/1681387775780585482")</f>
        <v>https://twitter.com/bpmoney_/status/1681387775780585482</v>
      </c>
      <c r="AF3378" s="79">
        <v>45125.817812499998</v>
      </c>
      <c r="AG3378" s="85">
        <v>45125</v>
      </c>
      <c r="AH3378" s="80" t="s">
        <v>13563</v>
      </c>
      <c r="AI3378" s="77"/>
      <c r="AJ3378" s="77"/>
      <c r="AK3378" s="77"/>
      <c r="AL3378" s="77"/>
      <c r="AM3378" s="77"/>
      <c r="AN3378" s="77"/>
      <c r="AO3378" s="77"/>
      <c r="AP3378" s="77"/>
      <c r="AQ3378" s="77"/>
      <c r="AR3378" s="77"/>
      <c r="AS3378" s="77"/>
      <c r="AT3378" s="77"/>
      <c r="AU3378" s="77"/>
      <c r="AV3378" s="83" t="str">
        <f>HYPERLINK("https://pbs.twimg.com/profile_images/1518936529674117121/MCMYTicP_normal.jpg")</f>
        <v>https://pbs.twimg.com/profile_images/1518936529674117121/MCMYTicP_normal.jpg</v>
      </c>
      <c r="AW3378" s="80" t="s">
        <v>19106</v>
      </c>
      <c r="AX3378" s="80" t="s">
        <v>20125</v>
      </c>
      <c r="AY3378" s="80" t="s">
        <v>20342</v>
      </c>
      <c r="AZ3378" s="80" t="s">
        <v>20125</v>
      </c>
      <c r="BA3378" s="80" t="s">
        <v>20380</v>
      </c>
      <c r="BB3378" s="80" t="s">
        <v>20380</v>
      </c>
      <c r="BC3378" s="80" t="s">
        <v>20125</v>
      </c>
      <c r="BD3378" s="80" t="s">
        <v>20342</v>
      </c>
      <c r="BE3378" s="77"/>
      <c r="BF3378" s="77"/>
      <c r="BG3378" s="77"/>
      <c r="BH3378" s="77"/>
      <c r="BI3378" s="77"/>
    </row>
    <row r="3379" spans="1:61" x14ac:dyDescent="0.25">
      <c r="A3379" s="62" t="s">
        <v>1337</v>
      </c>
      <c r="B3379" s="62" t="s">
        <v>1337</v>
      </c>
      <c r="C3379" s="63"/>
      <c r="D3379" s="64"/>
      <c r="E3379" s="65"/>
      <c r="F3379" s="66"/>
      <c r="G3379" s="63"/>
      <c r="H3379" s="67"/>
      <c r="I3379" s="68"/>
      <c r="J3379" s="68"/>
      <c r="K3379" s="32"/>
      <c r="L3379" s="75">
        <v>3379</v>
      </c>
      <c r="M3379" s="75"/>
      <c r="N3379" s="70"/>
      <c r="O3379" s="77" t="s">
        <v>2078</v>
      </c>
      <c r="P3379" s="79">
        <v>45124.905555555553</v>
      </c>
      <c r="Q3379" s="77" t="s">
        <v>5068</v>
      </c>
      <c r="R3379" s="77">
        <v>0</v>
      </c>
      <c r="S3379" s="77">
        <v>0</v>
      </c>
      <c r="T3379" s="77">
        <v>0</v>
      </c>
      <c r="U3379" s="77">
        <v>0</v>
      </c>
      <c r="V3379" s="77">
        <v>103</v>
      </c>
      <c r="W3379" s="80" t="s">
        <v>7986</v>
      </c>
      <c r="X3379" s="77"/>
      <c r="Y3379" s="77"/>
      <c r="Z3379" s="77"/>
      <c r="AA3379" s="77"/>
      <c r="AB3379" s="77"/>
      <c r="AC3379" s="80" t="s">
        <v>10541</v>
      </c>
      <c r="AD3379" s="77" t="s">
        <v>10618</v>
      </c>
      <c r="AE3379" s="83" t="str">
        <f>HYPERLINK("https://twitter.com/bpmoney_/status/1681057186879766528")</f>
        <v>https://twitter.com/bpmoney_/status/1681057186879766528</v>
      </c>
      <c r="AF3379" s="79">
        <v>45124.905555555553</v>
      </c>
      <c r="AG3379" s="85">
        <v>45124</v>
      </c>
      <c r="AH3379" s="80" t="s">
        <v>13564</v>
      </c>
      <c r="AI3379" s="77"/>
      <c r="AJ3379" s="77"/>
      <c r="AK3379" s="77"/>
      <c r="AL3379" s="77"/>
      <c r="AM3379" s="77"/>
      <c r="AN3379" s="77"/>
      <c r="AO3379" s="77"/>
      <c r="AP3379" s="77"/>
      <c r="AQ3379" s="77"/>
      <c r="AR3379" s="77"/>
      <c r="AS3379" s="77"/>
      <c r="AT3379" s="77"/>
      <c r="AU3379" s="77"/>
      <c r="AV3379" s="83" t="str">
        <f>HYPERLINK("https://pbs.twimg.com/profile_images/1518936529674117121/MCMYTicP_normal.jpg")</f>
        <v>https://pbs.twimg.com/profile_images/1518936529674117121/MCMYTicP_normal.jpg</v>
      </c>
      <c r="AW3379" s="80" t="s">
        <v>19107</v>
      </c>
      <c r="AX3379" s="80" t="s">
        <v>20126</v>
      </c>
      <c r="AY3379" s="80" t="s">
        <v>20342</v>
      </c>
      <c r="AZ3379" s="80" t="s">
        <v>20126</v>
      </c>
      <c r="BA3379" s="80" t="s">
        <v>20380</v>
      </c>
      <c r="BB3379" s="80" t="s">
        <v>20380</v>
      </c>
      <c r="BC3379" s="80" t="s">
        <v>20126</v>
      </c>
      <c r="BD3379" s="80" t="s">
        <v>20342</v>
      </c>
      <c r="BE3379" s="77"/>
      <c r="BF3379" s="77"/>
      <c r="BG3379" s="77"/>
      <c r="BH3379" s="77"/>
      <c r="BI3379" s="77"/>
    </row>
    <row r="3380" spans="1:61" x14ac:dyDescent="0.25">
      <c r="A3380" s="62" t="s">
        <v>1337</v>
      </c>
      <c r="B3380" s="62" t="s">
        <v>1337</v>
      </c>
      <c r="C3380" s="63"/>
      <c r="D3380" s="64"/>
      <c r="E3380" s="65"/>
      <c r="F3380" s="66"/>
      <c r="G3380" s="63"/>
      <c r="H3380" s="67"/>
      <c r="I3380" s="68"/>
      <c r="J3380" s="68"/>
      <c r="K3380" s="32"/>
      <c r="L3380" s="75">
        <v>3380</v>
      </c>
      <c r="M3380" s="75"/>
      <c r="N3380" s="70"/>
      <c r="O3380" s="77" t="s">
        <v>2078</v>
      </c>
      <c r="P3380" s="79">
        <v>45124.572280092594</v>
      </c>
      <c r="Q3380" s="77" t="s">
        <v>5069</v>
      </c>
      <c r="R3380" s="77">
        <v>0</v>
      </c>
      <c r="S3380" s="77">
        <v>0</v>
      </c>
      <c r="T3380" s="77">
        <v>0</v>
      </c>
      <c r="U3380" s="77">
        <v>0</v>
      </c>
      <c r="V3380" s="77">
        <v>88</v>
      </c>
      <c r="W3380" s="80" t="s">
        <v>7979</v>
      </c>
      <c r="X3380" s="77"/>
      <c r="Y3380" s="77"/>
      <c r="Z3380" s="77"/>
      <c r="AA3380" s="77"/>
      <c r="AB3380" s="77"/>
      <c r="AC3380" s="80" t="s">
        <v>10541</v>
      </c>
      <c r="AD3380" s="77" t="s">
        <v>10618</v>
      </c>
      <c r="AE3380" s="83" t="str">
        <f>HYPERLINK("https://twitter.com/bpmoney_/status/1680936410155560961")</f>
        <v>https://twitter.com/bpmoney_/status/1680936410155560961</v>
      </c>
      <c r="AF3380" s="79">
        <v>45124.572280092594</v>
      </c>
      <c r="AG3380" s="85">
        <v>45124</v>
      </c>
      <c r="AH3380" s="80" t="s">
        <v>11321</v>
      </c>
      <c r="AI3380" s="77"/>
      <c r="AJ3380" s="77"/>
      <c r="AK3380" s="77"/>
      <c r="AL3380" s="77"/>
      <c r="AM3380" s="77"/>
      <c r="AN3380" s="77"/>
      <c r="AO3380" s="77"/>
      <c r="AP3380" s="77"/>
      <c r="AQ3380" s="77"/>
      <c r="AR3380" s="77"/>
      <c r="AS3380" s="77"/>
      <c r="AT3380" s="77"/>
      <c r="AU3380" s="77"/>
      <c r="AV3380" s="83" t="str">
        <f>HYPERLINK("https://pbs.twimg.com/profile_images/1518936529674117121/MCMYTicP_normal.jpg")</f>
        <v>https://pbs.twimg.com/profile_images/1518936529674117121/MCMYTicP_normal.jpg</v>
      </c>
      <c r="AW3380" s="80" t="s">
        <v>19108</v>
      </c>
      <c r="AX3380" s="80" t="s">
        <v>20127</v>
      </c>
      <c r="AY3380" s="80" t="s">
        <v>20342</v>
      </c>
      <c r="AZ3380" s="80" t="s">
        <v>20127</v>
      </c>
      <c r="BA3380" s="80" t="s">
        <v>20380</v>
      </c>
      <c r="BB3380" s="80" t="s">
        <v>20380</v>
      </c>
      <c r="BC3380" s="80" t="s">
        <v>20127</v>
      </c>
      <c r="BD3380" s="80" t="s">
        <v>20342</v>
      </c>
      <c r="BE3380" s="77"/>
      <c r="BF3380" s="77"/>
      <c r="BG3380" s="77"/>
      <c r="BH3380" s="77"/>
      <c r="BI3380" s="77"/>
    </row>
    <row r="3381" spans="1:61" x14ac:dyDescent="0.25">
      <c r="A3381" s="62" t="s">
        <v>1337</v>
      </c>
      <c r="B3381" s="62" t="s">
        <v>1337</v>
      </c>
      <c r="C3381" s="63"/>
      <c r="D3381" s="64"/>
      <c r="E3381" s="65"/>
      <c r="F3381" s="66"/>
      <c r="G3381" s="63"/>
      <c r="H3381" s="67"/>
      <c r="I3381" s="68"/>
      <c r="J3381" s="68"/>
      <c r="K3381" s="32"/>
      <c r="L3381" s="75">
        <v>3381</v>
      </c>
      <c r="M3381" s="75"/>
      <c r="N3381" s="70"/>
      <c r="O3381" s="77" t="s">
        <v>2078</v>
      </c>
      <c r="P3381" s="79">
        <v>45124.548333333332</v>
      </c>
      <c r="Q3381" s="77" t="s">
        <v>5070</v>
      </c>
      <c r="R3381" s="77">
        <v>0</v>
      </c>
      <c r="S3381" s="77">
        <v>0</v>
      </c>
      <c r="T3381" s="77">
        <v>0</v>
      </c>
      <c r="U3381" s="77">
        <v>0</v>
      </c>
      <c r="V3381" s="77">
        <v>70</v>
      </c>
      <c r="W3381" s="80" t="s">
        <v>7987</v>
      </c>
      <c r="X3381" s="77"/>
      <c r="Y3381" s="77"/>
      <c r="Z3381" s="77"/>
      <c r="AA3381" s="77"/>
      <c r="AB3381" s="77"/>
      <c r="AC3381" s="80" t="s">
        <v>10541</v>
      </c>
      <c r="AD3381" s="77" t="s">
        <v>10618</v>
      </c>
      <c r="AE3381" s="83" t="str">
        <f>HYPERLINK("https://twitter.com/bpmoney_/status/1680927734384545792")</f>
        <v>https://twitter.com/bpmoney_/status/1680927734384545792</v>
      </c>
      <c r="AF3381" s="79">
        <v>45124.548333333332</v>
      </c>
      <c r="AG3381" s="85">
        <v>45124</v>
      </c>
      <c r="AH3381" s="80" t="s">
        <v>13565</v>
      </c>
      <c r="AI3381" s="77"/>
      <c r="AJ3381" s="77"/>
      <c r="AK3381" s="77"/>
      <c r="AL3381" s="77"/>
      <c r="AM3381" s="77"/>
      <c r="AN3381" s="77"/>
      <c r="AO3381" s="77"/>
      <c r="AP3381" s="77"/>
      <c r="AQ3381" s="77"/>
      <c r="AR3381" s="77"/>
      <c r="AS3381" s="77"/>
      <c r="AT3381" s="77"/>
      <c r="AU3381" s="77"/>
      <c r="AV3381" s="83" t="str">
        <f>HYPERLINK("https://pbs.twimg.com/profile_images/1518936529674117121/MCMYTicP_normal.jpg")</f>
        <v>https://pbs.twimg.com/profile_images/1518936529674117121/MCMYTicP_normal.jpg</v>
      </c>
      <c r="AW3381" s="80" t="s">
        <v>19109</v>
      </c>
      <c r="AX3381" s="80" t="s">
        <v>20128</v>
      </c>
      <c r="AY3381" s="80" t="s">
        <v>20342</v>
      </c>
      <c r="AZ3381" s="80" t="s">
        <v>20128</v>
      </c>
      <c r="BA3381" s="80" t="s">
        <v>20380</v>
      </c>
      <c r="BB3381" s="80" t="s">
        <v>20380</v>
      </c>
      <c r="BC3381" s="80" t="s">
        <v>20128</v>
      </c>
      <c r="BD3381" s="80" t="s">
        <v>20342</v>
      </c>
      <c r="BE3381" s="77"/>
      <c r="BF3381" s="77"/>
      <c r="BG3381" s="77"/>
      <c r="BH3381" s="77"/>
      <c r="BI3381" s="77"/>
    </row>
    <row r="3382" spans="1:61" x14ac:dyDescent="0.25">
      <c r="A3382" s="62" t="s">
        <v>1337</v>
      </c>
      <c r="B3382" s="62" t="s">
        <v>1337</v>
      </c>
      <c r="C3382" s="63"/>
      <c r="D3382" s="64"/>
      <c r="E3382" s="65"/>
      <c r="F3382" s="66"/>
      <c r="G3382" s="63"/>
      <c r="H3382" s="67"/>
      <c r="I3382" s="68"/>
      <c r="J3382" s="68"/>
      <c r="K3382" s="32"/>
      <c r="L3382" s="75">
        <v>3382</v>
      </c>
      <c r="M3382" s="75"/>
      <c r="N3382" s="70"/>
      <c r="O3382" s="77" t="s">
        <v>2078</v>
      </c>
      <c r="P3382" s="79">
        <v>45124.547800925924</v>
      </c>
      <c r="Q3382" s="77" t="s">
        <v>5070</v>
      </c>
      <c r="R3382" s="77">
        <v>0</v>
      </c>
      <c r="S3382" s="77">
        <v>0</v>
      </c>
      <c r="T3382" s="77">
        <v>0</v>
      </c>
      <c r="U3382" s="77">
        <v>0</v>
      </c>
      <c r="V3382" s="77">
        <v>65</v>
      </c>
      <c r="W3382" s="80" t="s">
        <v>7987</v>
      </c>
      <c r="X3382" s="77"/>
      <c r="Y3382" s="77"/>
      <c r="Z3382" s="77"/>
      <c r="AA3382" s="77"/>
      <c r="AB3382" s="77"/>
      <c r="AC3382" s="80" t="s">
        <v>10541</v>
      </c>
      <c r="AD3382" s="77" t="s">
        <v>10618</v>
      </c>
      <c r="AE3382" s="83" t="str">
        <f>HYPERLINK("https://twitter.com/bpmoney_/status/1680927541513551872")</f>
        <v>https://twitter.com/bpmoney_/status/1680927541513551872</v>
      </c>
      <c r="AF3382" s="79">
        <v>45124.547800925924</v>
      </c>
      <c r="AG3382" s="85">
        <v>45124</v>
      </c>
      <c r="AH3382" s="80" t="s">
        <v>10789</v>
      </c>
      <c r="AI3382" s="77"/>
      <c r="AJ3382" s="77"/>
      <c r="AK3382" s="77"/>
      <c r="AL3382" s="77"/>
      <c r="AM3382" s="77"/>
      <c r="AN3382" s="77"/>
      <c r="AO3382" s="77"/>
      <c r="AP3382" s="77"/>
      <c r="AQ3382" s="77"/>
      <c r="AR3382" s="77"/>
      <c r="AS3382" s="77"/>
      <c r="AT3382" s="77"/>
      <c r="AU3382" s="77"/>
      <c r="AV3382" s="83" t="str">
        <f>HYPERLINK("https://pbs.twimg.com/profile_images/1518936529674117121/MCMYTicP_normal.jpg")</f>
        <v>https://pbs.twimg.com/profile_images/1518936529674117121/MCMYTicP_normal.jpg</v>
      </c>
      <c r="AW3382" s="80" t="s">
        <v>19110</v>
      </c>
      <c r="AX3382" s="80" t="s">
        <v>20129</v>
      </c>
      <c r="AY3382" s="80" t="s">
        <v>20342</v>
      </c>
      <c r="AZ3382" s="80" t="s">
        <v>20129</v>
      </c>
      <c r="BA3382" s="80" t="s">
        <v>20380</v>
      </c>
      <c r="BB3382" s="80" t="s">
        <v>20380</v>
      </c>
      <c r="BC3382" s="80" t="s">
        <v>20129</v>
      </c>
      <c r="BD3382" s="80" t="s">
        <v>20342</v>
      </c>
      <c r="BE3382" s="77"/>
      <c r="BF3382" s="77"/>
      <c r="BG3382" s="77"/>
      <c r="BH3382" s="77"/>
      <c r="BI3382" s="77"/>
    </row>
    <row r="3383" spans="1:61" x14ac:dyDescent="0.25">
      <c r="A3383" s="62" t="s">
        <v>1337</v>
      </c>
      <c r="B3383" s="62" t="s">
        <v>1337</v>
      </c>
      <c r="C3383" s="63"/>
      <c r="D3383" s="64"/>
      <c r="E3383" s="65"/>
      <c r="F3383" s="66"/>
      <c r="G3383" s="63"/>
      <c r="H3383" s="67"/>
      <c r="I3383" s="68"/>
      <c r="J3383" s="68"/>
      <c r="K3383" s="32"/>
      <c r="L3383" s="75">
        <v>3383</v>
      </c>
      <c r="M3383" s="75"/>
      <c r="N3383" s="70"/>
      <c r="O3383" s="77" t="s">
        <v>2078</v>
      </c>
      <c r="P3383" s="79">
        <v>45100.637916666667</v>
      </c>
      <c r="Q3383" s="77" t="s">
        <v>5071</v>
      </c>
      <c r="R3383" s="77">
        <v>0</v>
      </c>
      <c r="S3383" s="77">
        <v>0</v>
      </c>
      <c r="T3383" s="77">
        <v>0</v>
      </c>
      <c r="U3383" s="77">
        <v>0</v>
      </c>
      <c r="V3383" s="77">
        <v>70</v>
      </c>
      <c r="W3383" s="80" t="s">
        <v>7988</v>
      </c>
      <c r="X3383" s="77"/>
      <c r="Y3383" s="77"/>
      <c r="Z3383" s="77"/>
      <c r="AA3383" s="77"/>
      <c r="AB3383" s="77"/>
      <c r="AC3383" s="80" t="s">
        <v>10541</v>
      </c>
      <c r="AD3383" s="77" t="s">
        <v>10618</v>
      </c>
      <c r="AE3383" s="83" t="str">
        <f>HYPERLINK("https://twitter.com/bpmoney_/status/1672262888302469120")</f>
        <v>https://twitter.com/bpmoney_/status/1672262888302469120</v>
      </c>
      <c r="AF3383" s="79">
        <v>45100.637916666667</v>
      </c>
      <c r="AG3383" s="85">
        <v>45100</v>
      </c>
      <c r="AH3383" s="80" t="s">
        <v>13566</v>
      </c>
      <c r="AI3383" s="77"/>
      <c r="AJ3383" s="77"/>
      <c r="AK3383" s="77"/>
      <c r="AL3383" s="77"/>
      <c r="AM3383" s="77"/>
      <c r="AN3383" s="77"/>
      <c r="AO3383" s="77"/>
      <c r="AP3383" s="77"/>
      <c r="AQ3383" s="77"/>
      <c r="AR3383" s="77"/>
      <c r="AS3383" s="77"/>
      <c r="AT3383" s="77"/>
      <c r="AU3383" s="77"/>
      <c r="AV3383" s="83" t="str">
        <f>HYPERLINK("https://pbs.twimg.com/profile_images/1518936529674117121/MCMYTicP_normal.jpg")</f>
        <v>https://pbs.twimg.com/profile_images/1518936529674117121/MCMYTicP_normal.jpg</v>
      </c>
      <c r="AW3383" s="80" t="s">
        <v>19111</v>
      </c>
      <c r="AX3383" s="80" t="s">
        <v>20130</v>
      </c>
      <c r="AY3383" s="80" t="s">
        <v>20342</v>
      </c>
      <c r="AZ3383" s="80" t="s">
        <v>20130</v>
      </c>
      <c r="BA3383" s="80" t="s">
        <v>20380</v>
      </c>
      <c r="BB3383" s="80" t="s">
        <v>20380</v>
      </c>
      <c r="BC3383" s="80" t="s">
        <v>20130</v>
      </c>
      <c r="BD3383" s="80" t="s">
        <v>20342</v>
      </c>
      <c r="BE3383" s="77"/>
      <c r="BF3383" s="77"/>
      <c r="BG3383" s="77"/>
      <c r="BH3383" s="77"/>
      <c r="BI3383" s="77"/>
    </row>
    <row r="3384" spans="1:61" x14ac:dyDescent="0.25">
      <c r="A3384" s="62" t="s">
        <v>1337</v>
      </c>
      <c r="B3384" s="62" t="s">
        <v>1337</v>
      </c>
      <c r="C3384" s="63"/>
      <c r="D3384" s="64"/>
      <c r="E3384" s="65"/>
      <c r="F3384" s="66"/>
      <c r="G3384" s="63"/>
      <c r="H3384" s="67"/>
      <c r="I3384" s="68"/>
      <c r="J3384" s="68"/>
      <c r="K3384" s="32"/>
      <c r="L3384" s="75">
        <v>3384</v>
      </c>
      <c r="M3384" s="75"/>
      <c r="N3384" s="70"/>
      <c r="O3384" s="77" t="s">
        <v>2078</v>
      </c>
      <c r="P3384" s="79">
        <v>45100.618425925924</v>
      </c>
      <c r="Q3384" s="77" t="s">
        <v>5072</v>
      </c>
      <c r="R3384" s="77">
        <v>0</v>
      </c>
      <c r="S3384" s="77">
        <v>0</v>
      </c>
      <c r="T3384" s="77">
        <v>0</v>
      </c>
      <c r="U3384" s="77">
        <v>0</v>
      </c>
      <c r="V3384" s="77">
        <v>81</v>
      </c>
      <c r="W3384" s="80" t="s">
        <v>7989</v>
      </c>
      <c r="X3384" s="77"/>
      <c r="Y3384" s="77"/>
      <c r="Z3384" s="77"/>
      <c r="AA3384" s="77"/>
      <c r="AB3384" s="77"/>
      <c r="AC3384" s="80" t="s">
        <v>10541</v>
      </c>
      <c r="AD3384" s="77" t="s">
        <v>10618</v>
      </c>
      <c r="AE3384" s="83" t="str">
        <f>HYPERLINK("https://twitter.com/bpmoney_/status/1672255824280932354")</f>
        <v>https://twitter.com/bpmoney_/status/1672255824280932354</v>
      </c>
      <c r="AF3384" s="79">
        <v>45100.618425925924</v>
      </c>
      <c r="AG3384" s="85">
        <v>45100</v>
      </c>
      <c r="AH3384" s="80" t="s">
        <v>13567</v>
      </c>
      <c r="AI3384" s="77"/>
      <c r="AJ3384" s="77"/>
      <c r="AK3384" s="77"/>
      <c r="AL3384" s="77"/>
      <c r="AM3384" s="77"/>
      <c r="AN3384" s="77"/>
      <c r="AO3384" s="77"/>
      <c r="AP3384" s="77"/>
      <c r="AQ3384" s="77"/>
      <c r="AR3384" s="77"/>
      <c r="AS3384" s="77"/>
      <c r="AT3384" s="77"/>
      <c r="AU3384" s="77"/>
      <c r="AV3384" s="83" t="str">
        <f>HYPERLINK("https://pbs.twimg.com/profile_images/1518936529674117121/MCMYTicP_normal.jpg")</f>
        <v>https://pbs.twimg.com/profile_images/1518936529674117121/MCMYTicP_normal.jpg</v>
      </c>
      <c r="AW3384" s="80" t="s">
        <v>19112</v>
      </c>
      <c r="AX3384" s="80" t="s">
        <v>20131</v>
      </c>
      <c r="AY3384" s="80" t="s">
        <v>20342</v>
      </c>
      <c r="AZ3384" s="80" t="s">
        <v>20131</v>
      </c>
      <c r="BA3384" s="80" t="s">
        <v>20380</v>
      </c>
      <c r="BB3384" s="80" t="s">
        <v>20380</v>
      </c>
      <c r="BC3384" s="80" t="s">
        <v>20131</v>
      </c>
      <c r="BD3384" s="80" t="s">
        <v>20342</v>
      </c>
      <c r="BE3384" s="77"/>
      <c r="BF3384" s="77"/>
      <c r="BG3384" s="77"/>
      <c r="BH3384" s="77"/>
      <c r="BI3384" s="77"/>
    </row>
    <row r="3385" spans="1:61" x14ac:dyDescent="0.25">
      <c r="A3385" s="62" t="s">
        <v>1337</v>
      </c>
      <c r="B3385" s="62" t="s">
        <v>1337</v>
      </c>
      <c r="C3385" s="63"/>
      <c r="D3385" s="64"/>
      <c r="E3385" s="65"/>
      <c r="F3385" s="66"/>
      <c r="G3385" s="63"/>
      <c r="H3385" s="67"/>
      <c r="I3385" s="68"/>
      <c r="J3385" s="68"/>
      <c r="K3385" s="32"/>
      <c r="L3385" s="75">
        <v>3385</v>
      </c>
      <c r="M3385" s="75"/>
      <c r="N3385" s="70"/>
      <c r="O3385" s="77" t="s">
        <v>2078</v>
      </c>
      <c r="P3385" s="79">
        <v>45089.524930555555</v>
      </c>
      <c r="Q3385" s="77" t="s">
        <v>5070</v>
      </c>
      <c r="R3385" s="77">
        <v>0</v>
      </c>
      <c r="S3385" s="77">
        <v>0</v>
      </c>
      <c r="T3385" s="77">
        <v>0</v>
      </c>
      <c r="U3385" s="77">
        <v>0</v>
      </c>
      <c r="V3385" s="77">
        <v>87</v>
      </c>
      <c r="W3385" s="80" t="s">
        <v>7987</v>
      </c>
      <c r="X3385" s="77"/>
      <c r="Y3385" s="77"/>
      <c r="Z3385" s="77"/>
      <c r="AA3385" s="77"/>
      <c r="AB3385" s="77"/>
      <c r="AC3385" s="80" t="s">
        <v>10541</v>
      </c>
      <c r="AD3385" s="77" t="s">
        <v>10618</v>
      </c>
      <c r="AE3385" s="83" t="str">
        <f>HYPERLINK("https://twitter.com/bpmoney_/status/1668235678679703553")</f>
        <v>https://twitter.com/bpmoney_/status/1668235678679703553</v>
      </c>
      <c r="AF3385" s="79">
        <v>45089.524930555555</v>
      </c>
      <c r="AG3385" s="85">
        <v>45089</v>
      </c>
      <c r="AH3385" s="80" t="s">
        <v>13568</v>
      </c>
      <c r="AI3385" s="77"/>
      <c r="AJ3385" s="77"/>
      <c r="AK3385" s="77"/>
      <c r="AL3385" s="77"/>
      <c r="AM3385" s="77"/>
      <c r="AN3385" s="77"/>
      <c r="AO3385" s="77"/>
      <c r="AP3385" s="77"/>
      <c r="AQ3385" s="77"/>
      <c r="AR3385" s="77"/>
      <c r="AS3385" s="77"/>
      <c r="AT3385" s="77"/>
      <c r="AU3385" s="77"/>
      <c r="AV3385" s="83" t="str">
        <f>HYPERLINK("https://pbs.twimg.com/profile_images/1518936529674117121/MCMYTicP_normal.jpg")</f>
        <v>https://pbs.twimg.com/profile_images/1518936529674117121/MCMYTicP_normal.jpg</v>
      </c>
      <c r="AW3385" s="80" t="s">
        <v>19113</v>
      </c>
      <c r="AX3385" s="80" t="s">
        <v>20132</v>
      </c>
      <c r="AY3385" s="80" t="s">
        <v>20342</v>
      </c>
      <c r="AZ3385" s="80" t="s">
        <v>20132</v>
      </c>
      <c r="BA3385" s="80" t="s">
        <v>20380</v>
      </c>
      <c r="BB3385" s="80" t="s">
        <v>20380</v>
      </c>
      <c r="BC3385" s="80" t="s">
        <v>20132</v>
      </c>
      <c r="BD3385" s="80" t="s">
        <v>20342</v>
      </c>
      <c r="BE3385" s="77"/>
      <c r="BF3385" s="77"/>
      <c r="BG3385" s="77"/>
      <c r="BH3385" s="77"/>
      <c r="BI3385" s="77"/>
    </row>
    <row r="3386" spans="1:61" x14ac:dyDescent="0.25">
      <c r="A3386" s="62" t="s">
        <v>1337</v>
      </c>
      <c r="B3386" s="62" t="s">
        <v>1337</v>
      </c>
      <c r="C3386" s="63"/>
      <c r="D3386" s="64"/>
      <c r="E3386" s="65"/>
      <c r="F3386" s="66"/>
      <c r="G3386" s="63"/>
      <c r="H3386" s="67"/>
      <c r="I3386" s="68"/>
      <c r="J3386" s="68"/>
      <c r="K3386" s="32"/>
      <c r="L3386" s="75">
        <v>3386</v>
      </c>
      <c r="M3386" s="75"/>
      <c r="N3386" s="70"/>
      <c r="O3386" s="77" t="s">
        <v>2078</v>
      </c>
      <c r="P3386" s="79">
        <v>45086.646238425928</v>
      </c>
      <c r="Q3386" s="77" t="s">
        <v>5073</v>
      </c>
      <c r="R3386" s="77">
        <v>0</v>
      </c>
      <c r="S3386" s="77">
        <v>0</v>
      </c>
      <c r="T3386" s="77">
        <v>0</v>
      </c>
      <c r="U3386" s="77">
        <v>0</v>
      </c>
      <c r="V3386" s="77">
        <v>82</v>
      </c>
      <c r="W3386" s="80" t="s">
        <v>7990</v>
      </c>
      <c r="X3386" s="77"/>
      <c r="Y3386" s="77"/>
      <c r="Z3386" s="77"/>
      <c r="AA3386" s="77"/>
      <c r="AB3386" s="77"/>
      <c r="AC3386" s="80" t="s">
        <v>10541</v>
      </c>
      <c r="AD3386" s="77" t="s">
        <v>10618</v>
      </c>
      <c r="AE3386" s="83" t="str">
        <f>HYPERLINK("https://twitter.com/bpmoney_/status/1667192474069082112")</f>
        <v>https://twitter.com/bpmoney_/status/1667192474069082112</v>
      </c>
      <c r="AF3386" s="79">
        <v>45086.646238425928</v>
      </c>
      <c r="AG3386" s="85">
        <v>45086</v>
      </c>
      <c r="AH3386" s="80" t="s">
        <v>13569</v>
      </c>
      <c r="AI3386" s="77"/>
      <c r="AJ3386" s="77"/>
      <c r="AK3386" s="77"/>
      <c r="AL3386" s="77"/>
      <c r="AM3386" s="77"/>
      <c r="AN3386" s="77"/>
      <c r="AO3386" s="77"/>
      <c r="AP3386" s="77"/>
      <c r="AQ3386" s="77"/>
      <c r="AR3386" s="77"/>
      <c r="AS3386" s="77"/>
      <c r="AT3386" s="77"/>
      <c r="AU3386" s="77"/>
      <c r="AV3386" s="83" t="str">
        <f>HYPERLINK("https://pbs.twimg.com/profile_images/1518936529674117121/MCMYTicP_normal.jpg")</f>
        <v>https://pbs.twimg.com/profile_images/1518936529674117121/MCMYTicP_normal.jpg</v>
      </c>
      <c r="AW3386" s="80" t="s">
        <v>19114</v>
      </c>
      <c r="AX3386" s="80" t="s">
        <v>20133</v>
      </c>
      <c r="AY3386" s="80" t="s">
        <v>20342</v>
      </c>
      <c r="AZ3386" s="80" t="s">
        <v>20133</v>
      </c>
      <c r="BA3386" s="80" t="s">
        <v>20380</v>
      </c>
      <c r="BB3386" s="80" t="s">
        <v>20380</v>
      </c>
      <c r="BC3386" s="80" t="s">
        <v>20133</v>
      </c>
      <c r="BD3386" s="80" t="s">
        <v>20342</v>
      </c>
      <c r="BE3386" s="77"/>
      <c r="BF3386" s="77"/>
      <c r="BG3386" s="77"/>
      <c r="BH3386" s="77"/>
      <c r="BI3386" s="77"/>
    </row>
    <row r="3387" spans="1:61" x14ac:dyDescent="0.25">
      <c r="A3387" s="62" t="s">
        <v>1337</v>
      </c>
      <c r="B3387" s="62" t="s">
        <v>1337</v>
      </c>
      <c r="C3387" s="63"/>
      <c r="D3387" s="64"/>
      <c r="E3387" s="65"/>
      <c r="F3387" s="66"/>
      <c r="G3387" s="63"/>
      <c r="H3387" s="67"/>
      <c r="I3387" s="68"/>
      <c r="J3387" s="68"/>
      <c r="K3387" s="32"/>
      <c r="L3387" s="75">
        <v>3387</v>
      </c>
      <c r="M3387" s="75"/>
      <c r="N3387" s="70"/>
      <c r="O3387" s="77" t="s">
        <v>2078</v>
      </c>
      <c r="P3387" s="79">
        <v>45086.480891203704</v>
      </c>
      <c r="Q3387" s="77" t="s">
        <v>5074</v>
      </c>
      <c r="R3387" s="77">
        <v>0</v>
      </c>
      <c r="S3387" s="77">
        <v>0</v>
      </c>
      <c r="T3387" s="77">
        <v>0</v>
      </c>
      <c r="U3387" s="77">
        <v>0</v>
      </c>
      <c r="V3387" s="77">
        <v>182</v>
      </c>
      <c r="W3387" s="80" t="s">
        <v>7991</v>
      </c>
      <c r="X3387" s="77"/>
      <c r="Y3387" s="77"/>
      <c r="Z3387" s="77"/>
      <c r="AA3387" s="77"/>
      <c r="AB3387" s="77"/>
      <c r="AC3387" s="80" t="s">
        <v>10541</v>
      </c>
      <c r="AD3387" s="77" t="s">
        <v>10618</v>
      </c>
      <c r="AE3387" s="83" t="str">
        <f>HYPERLINK("https://twitter.com/bpmoney_/status/1667132556607627265")</f>
        <v>https://twitter.com/bpmoney_/status/1667132556607627265</v>
      </c>
      <c r="AF3387" s="79">
        <v>45086.480891203704</v>
      </c>
      <c r="AG3387" s="85">
        <v>45086</v>
      </c>
      <c r="AH3387" s="80" t="s">
        <v>12281</v>
      </c>
      <c r="AI3387" s="77"/>
      <c r="AJ3387" s="77"/>
      <c r="AK3387" s="77"/>
      <c r="AL3387" s="77"/>
      <c r="AM3387" s="77"/>
      <c r="AN3387" s="77"/>
      <c r="AO3387" s="77"/>
      <c r="AP3387" s="77"/>
      <c r="AQ3387" s="77"/>
      <c r="AR3387" s="77"/>
      <c r="AS3387" s="77"/>
      <c r="AT3387" s="77"/>
      <c r="AU3387" s="77"/>
      <c r="AV3387" s="83" t="str">
        <f>HYPERLINK("https://pbs.twimg.com/profile_images/1518936529674117121/MCMYTicP_normal.jpg")</f>
        <v>https://pbs.twimg.com/profile_images/1518936529674117121/MCMYTicP_normal.jpg</v>
      </c>
      <c r="AW3387" s="80" t="s">
        <v>19115</v>
      </c>
      <c r="AX3387" s="80" t="s">
        <v>20134</v>
      </c>
      <c r="AY3387" s="80" t="s">
        <v>20342</v>
      </c>
      <c r="AZ3387" s="80" t="s">
        <v>20134</v>
      </c>
      <c r="BA3387" s="80" t="s">
        <v>20380</v>
      </c>
      <c r="BB3387" s="80" t="s">
        <v>20380</v>
      </c>
      <c r="BC3387" s="80" t="s">
        <v>20134</v>
      </c>
      <c r="BD3387" s="80" t="s">
        <v>20342</v>
      </c>
      <c r="BE3387" s="77"/>
      <c r="BF3387" s="77"/>
      <c r="BG3387" s="77"/>
      <c r="BH3387" s="77"/>
      <c r="BI3387" s="77"/>
    </row>
    <row r="3388" spans="1:61" x14ac:dyDescent="0.25">
      <c r="A3388" s="62" t="s">
        <v>1337</v>
      </c>
      <c r="B3388" s="62" t="s">
        <v>1337</v>
      </c>
      <c r="C3388" s="63"/>
      <c r="D3388" s="64"/>
      <c r="E3388" s="65"/>
      <c r="F3388" s="66"/>
      <c r="G3388" s="63"/>
      <c r="H3388" s="67"/>
      <c r="I3388" s="68"/>
      <c r="J3388" s="68"/>
      <c r="K3388" s="32"/>
      <c r="L3388" s="75">
        <v>3388</v>
      </c>
      <c r="M3388" s="75"/>
      <c r="N3388" s="70"/>
      <c r="O3388" s="77" t="s">
        <v>2078</v>
      </c>
      <c r="P3388" s="79">
        <v>45138.508518518516</v>
      </c>
      <c r="Q3388" s="77" t="s">
        <v>5070</v>
      </c>
      <c r="R3388" s="77">
        <v>0</v>
      </c>
      <c r="S3388" s="77">
        <v>0</v>
      </c>
      <c r="T3388" s="77">
        <v>0</v>
      </c>
      <c r="U3388" s="77">
        <v>0</v>
      </c>
      <c r="V3388" s="77">
        <v>86</v>
      </c>
      <c r="W3388" s="80" t="s">
        <v>7987</v>
      </c>
      <c r="X3388" s="77"/>
      <c r="Y3388" s="77"/>
      <c r="Z3388" s="77"/>
      <c r="AA3388" s="77"/>
      <c r="AB3388" s="77"/>
      <c r="AC3388" s="80" t="s">
        <v>10541</v>
      </c>
      <c r="AD3388" s="77" t="s">
        <v>10618</v>
      </c>
      <c r="AE3388" s="83" t="str">
        <f>HYPERLINK("https://twitter.com/bpmoney_/status/1685986735476350976")</f>
        <v>https://twitter.com/bpmoney_/status/1685986735476350976</v>
      </c>
      <c r="AF3388" s="79">
        <v>45138.508518518516</v>
      </c>
      <c r="AG3388" s="85">
        <v>45138</v>
      </c>
      <c r="AH3388" s="80" t="s">
        <v>13570</v>
      </c>
      <c r="AI3388" s="77"/>
      <c r="AJ3388" s="77"/>
      <c r="AK3388" s="77"/>
      <c r="AL3388" s="77"/>
      <c r="AM3388" s="77"/>
      <c r="AN3388" s="77"/>
      <c r="AO3388" s="77"/>
      <c r="AP3388" s="77"/>
      <c r="AQ3388" s="77"/>
      <c r="AR3388" s="77"/>
      <c r="AS3388" s="77"/>
      <c r="AT3388" s="77"/>
      <c r="AU3388" s="77"/>
      <c r="AV3388" s="83" t="str">
        <f>HYPERLINK("https://pbs.twimg.com/profile_images/1518936529674117121/MCMYTicP_normal.jpg")</f>
        <v>https://pbs.twimg.com/profile_images/1518936529674117121/MCMYTicP_normal.jpg</v>
      </c>
      <c r="AW3388" s="80" t="s">
        <v>19116</v>
      </c>
      <c r="AX3388" s="80" t="s">
        <v>20135</v>
      </c>
      <c r="AY3388" s="80" t="s">
        <v>20342</v>
      </c>
      <c r="AZ3388" s="80" t="s">
        <v>20135</v>
      </c>
      <c r="BA3388" s="80" t="s">
        <v>20380</v>
      </c>
      <c r="BB3388" s="80" t="s">
        <v>20380</v>
      </c>
      <c r="BC3388" s="80" t="s">
        <v>20135</v>
      </c>
      <c r="BD3388" s="80" t="s">
        <v>20342</v>
      </c>
      <c r="BE3388" s="77"/>
      <c r="BF3388" s="77"/>
      <c r="BG3388" s="77"/>
      <c r="BH3388" s="77"/>
      <c r="BI3388" s="77"/>
    </row>
    <row r="3389" spans="1:61" x14ac:dyDescent="0.25">
      <c r="A3389" s="62" t="s">
        <v>1337</v>
      </c>
      <c r="B3389" s="62" t="s">
        <v>1337</v>
      </c>
      <c r="C3389" s="63"/>
      <c r="D3389" s="64"/>
      <c r="E3389" s="65"/>
      <c r="F3389" s="66"/>
      <c r="G3389" s="63"/>
      <c r="H3389" s="67"/>
      <c r="I3389" s="68"/>
      <c r="J3389" s="68"/>
      <c r="K3389" s="32"/>
      <c r="L3389" s="75">
        <v>3389</v>
      </c>
      <c r="M3389" s="75"/>
      <c r="N3389" s="70"/>
      <c r="O3389" s="77" t="s">
        <v>2078</v>
      </c>
      <c r="P3389" s="79">
        <v>45110.660613425927</v>
      </c>
      <c r="Q3389" s="77" t="s">
        <v>5075</v>
      </c>
      <c r="R3389" s="77">
        <v>0</v>
      </c>
      <c r="S3389" s="77">
        <v>0</v>
      </c>
      <c r="T3389" s="77">
        <v>0</v>
      </c>
      <c r="U3389" s="77">
        <v>0</v>
      </c>
      <c r="V3389" s="77">
        <v>107</v>
      </c>
      <c r="W3389" s="80" t="s">
        <v>7992</v>
      </c>
      <c r="X3389" s="77"/>
      <c r="Y3389" s="77"/>
      <c r="Z3389" s="77"/>
      <c r="AA3389" s="77"/>
      <c r="AB3389" s="77"/>
      <c r="AC3389" s="80" t="s">
        <v>10541</v>
      </c>
      <c r="AD3389" s="77" t="s">
        <v>10618</v>
      </c>
      <c r="AE3389" s="83" t="str">
        <f>HYPERLINK("https://twitter.com/bpmoney_/status/1675894992584294400")</f>
        <v>https://twitter.com/bpmoney_/status/1675894992584294400</v>
      </c>
      <c r="AF3389" s="79">
        <v>45110.660613425927</v>
      </c>
      <c r="AG3389" s="85">
        <v>45110</v>
      </c>
      <c r="AH3389" s="80" t="s">
        <v>13571</v>
      </c>
      <c r="AI3389" s="77"/>
      <c r="AJ3389" s="77"/>
      <c r="AK3389" s="77"/>
      <c r="AL3389" s="77"/>
      <c r="AM3389" s="77"/>
      <c r="AN3389" s="77"/>
      <c r="AO3389" s="77"/>
      <c r="AP3389" s="77"/>
      <c r="AQ3389" s="77"/>
      <c r="AR3389" s="77"/>
      <c r="AS3389" s="77"/>
      <c r="AT3389" s="77"/>
      <c r="AU3389" s="77"/>
      <c r="AV3389" s="83" t="str">
        <f>HYPERLINK("https://pbs.twimg.com/profile_images/1518936529674117121/MCMYTicP_normal.jpg")</f>
        <v>https://pbs.twimg.com/profile_images/1518936529674117121/MCMYTicP_normal.jpg</v>
      </c>
      <c r="AW3389" s="80" t="s">
        <v>19117</v>
      </c>
      <c r="AX3389" s="80" t="s">
        <v>20136</v>
      </c>
      <c r="AY3389" s="80" t="s">
        <v>20342</v>
      </c>
      <c r="AZ3389" s="80" t="s">
        <v>20136</v>
      </c>
      <c r="BA3389" s="80" t="s">
        <v>20380</v>
      </c>
      <c r="BB3389" s="80" t="s">
        <v>20380</v>
      </c>
      <c r="BC3389" s="80" t="s">
        <v>20136</v>
      </c>
      <c r="BD3389" s="80" t="s">
        <v>20342</v>
      </c>
      <c r="BE3389" s="77"/>
      <c r="BF3389" s="77"/>
      <c r="BG3389" s="77"/>
      <c r="BH3389" s="77"/>
      <c r="BI3389" s="77"/>
    </row>
    <row r="3390" spans="1:61" x14ac:dyDescent="0.25">
      <c r="A3390" s="62" t="s">
        <v>1337</v>
      </c>
      <c r="B3390" s="62" t="s">
        <v>1337</v>
      </c>
      <c r="C3390" s="63"/>
      <c r="D3390" s="64"/>
      <c r="E3390" s="65"/>
      <c r="F3390" s="66"/>
      <c r="G3390" s="63"/>
      <c r="H3390" s="67"/>
      <c r="I3390" s="68"/>
      <c r="J3390" s="68"/>
      <c r="K3390" s="32"/>
      <c r="L3390" s="75">
        <v>3390</v>
      </c>
      <c r="M3390" s="75"/>
      <c r="N3390" s="70"/>
      <c r="O3390" s="77" t="s">
        <v>2078</v>
      </c>
      <c r="P3390" s="79">
        <v>45110.548518518517</v>
      </c>
      <c r="Q3390" s="77" t="s">
        <v>5070</v>
      </c>
      <c r="R3390" s="77">
        <v>0</v>
      </c>
      <c r="S3390" s="77">
        <v>0</v>
      </c>
      <c r="T3390" s="77">
        <v>0</v>
      </c>
      <c r="U3390" s="77">
        <v>0</v>
      </c>
      <c r="V3390" s="77">
        <v>79</v>
      </c>
      <c r="W3390" s="80" t="s">
        <v>7987</v>
      </c>
      <c r="X3390" s="77"/>
      <c r="Y3390" s="77"/>
      <c r="Z3390" s="77"/>
      <c r="AA3390" s="77"/>
      <c r="AB3390" s="77"/>
      <c r="AC3390" s="80" t="s">
        <v>10541</v>
      </c>
      <c r="AD3390" s="77" t="s">
        <v>10618</v>
      </c>
      <c r="AE3390" s="83" t="str">
        <f>HYPERLINK("https://twitter.com/bpmoney_/status/1675854369319690241")</f>
        <v>https://twitter.com/bpmoney_/status/1675854369319690241</v>
      </c>
      <c r="AF3390" s="79">
        <v>45110.548518518517</v>
      </c>
      <c r="AG3390" s="85">
        <v>45110</v>
      </c>
      <c r="AH3390" s="80" t="s">
        <v>13572</v>
      </c>
      <c r="AI3390" s="77"/>
      <c r="AJ3390" s="77"/>
      <c r="AK3390" s="77"/>
      <c r="AL3390" s="77"/>
      <c r="AM3390" s="77"/>
      <c r="AN3390" s="77"/>
      <c r="AO3390" s="77"/>
      <c r="AP3390" s="77"/>
      <c r="AQ3390" s="77"/>
      <c r="AR3390" s="77"/>
      <c r="AS3390" s="77"/>
      <c r="AT3390" s="77"/>
      <c r="AU3390" s="77"/>
      <c r="AV3390" s="83" t="str">
        <f>HYPERLINK("https://pbs.twimg.com/profile_images/1518936529674117121/MCMYTicP_normal.jpg")</f>
        <v>https://pbs.twimg.com/profile_images/1518936529674117121/MCMYTicP_normal.jpg</v>
      </c>
      <c r="AW3390" s="80" t="s">
        <v>19118</v>
      </c>
      <c r="AX3390" s="80" t="s">
        <v>20137</v>
      </c>
      <c r="AY3390" s="80" t="s">
        <v>20342</v>
      </c>
      <c r="AZ3390" s="80" t="s">
        <v>20137</v>
      </c>
      <c r="BA3390" s="80" t="s">
        <v>20380</v>
      </c>
      <c r="BB3390" s="80" t="s">
        <v>20380</v>
      </c>
      <c r="BC3390" s="80" t="s">
        <v>20137</v>
      </c>
      <c r="BD3390" s="80" t="s">
        <v>20342</v>
      </c>
      <c r="BE3390" s="77"/>
      <c r="BF3390" s="77"/>
      <c r="BG3390" s="77"/>
      <c r="BH3390" s="77"/>
      <c r="BI3390" s="77"/>
    </row>
    <row r="3391" spans="1:61" x14ac:dyDescent="0.25">
      <c r="A3391" s="62" t="s">
        <v>1337</v>
      </c>
      <c r="B3391" s="62" t="s">
        <v>1337</v>
      </c>
      <c r="C3391" s="63"/>
      <c r="D3391" s="64"/>
      <c r="E3391" s="65"/>
      <c r="F3391" s="66"/>
      <c r="G3391" s="63"/>
      <c r="H3391" s="67"/>
      <c r="I3391" s="68"/>
      <c r="J3391" s="68"/>
      <c r="K3391" s="32"/>
      <c r="L3391" s="75">
        <v>3391</v>
      </c>
      <c r="M3391" s="75"/>
      <c r="N3391" s="70"/>
      <c r="O3391" s="77" t="s">
        <v>2078</v>
      </c>
      <c r="P3391" s="79">
        <v>45096.800034722219</v>
      </c>
      <c r="Q3391" s="77" t="s">
        <v>5076</v>
      </c>
      <c r="R3391" s="77">
        <v>0</v>
      </c>
      <c r="S3391" s="77">
        <v>0</v>
      </c>
      <c r="T3391" s="77">
        <v>0</v>
      </c>
      <c r="U3391" s="77">
        <v>0</v>
      </c>
      <c r="V3391" s="77">
        <v>97</v>
      </c>
      <c r="W3391" s="80" t="s">
        <v>7993</v>
      </c>
      <c r="X3391" s="77"/>
      <c r="Y3391" s="77"/>
      <c r="Z3391" s="77"/>
      <c r="AA3391" s="77"/>
      <c r="AB3391" s="77"/>
      <c r="AC3391" s="80" t="s">
        <v>10541</v>
      </c>
      <c r="AD3391" s="77" t="s">
        <v>10618</v>
      </c>
      <c r="AE3391" s="83" t="str">
        <f>HYPERLINK("https://twitter.com/bpmoney_/status/1670872087467008000")</f>
        <v>https://twitter.com/bpmoney_/status/1670872087467008000</v>
      </c>
      <c r="AF3391" s="79">
        <v>45096.800034722219</v>
      </c>
      <c r="AG3391" s="85">
        <v>45096</v>
      </c>
      <c r="AH3391" s="80" t="s">
        <v>13573</v>
      </c>
      <c r="AI3391" s="77"/>
      <c r="AJ3391" s="77"/>
      <c r="AK3391" s="77"/>
      <c r="AL3391" s="77"/>
      <c r="AM3391" s="77"/>
      <c r="AN3391" s="77"/>
      <c r="AO3391" s="77"/>
      <c r="AP3391" s="77"/>
      <c r="AQ3391" s="77"/>
      <c r="AR3391" s="77"/>
      <c r="AS3391" s="77"/>
      <c r="AT3391" s="77"/>
      <c r="AU3391" s="77"/>
      <c r="AV3391" s="83" t="str">
        <f>HYPERLINK("https://pbs.twimg.com/profile_images/1518936529674117121/MCMYTicP_normal.jpg")</f>
        <v>https://pbs.twimg.com/profile_images/1518936529674117121/MCMYTicP_normal.jpg</v>
      </c>
      <c r="AW3391" s="80" t="s">
        <v>19119</v>
      </c>
      <c r="AX3391" s="80" t="s">
        <v>20138</v>
      </c>
      <c r="AY3391" s="80" t="s">
        <v>20342</v>
      </c>
      <c r="AZ3391" s="80" t="s">
        <v>20138</v>
      </c>
      <c r="BA3391" s="80" t="s">
        <v>20380</v>
      </c>
      <c r="BB3391" s="80" t="s">
        <v>20380</v>
      </c>
      <c r="BC3391" s="80" t="s">
        <v>20138</v>
      </c>
      <c r="BD3391" s="80" t="s">
        <v>20342</v>
      </c>
      <c r="BE3391" s="77"/>
      <c r="BF3391" s="77"/>
      <c r="BG3391" s="77"/>
      <c r="BH3391" s="77"/>
      <c r="BI3391" s="77"/>
    </row>
    <row r="3392" spans="1:61" x14ac:dyDescent="0.25">
      <c r="A3392" s="62" t="s">
        <v>1337</v>
      </c>
      <c r="B3392" s="62" t="s">
        <v>1337</v>
      </c>
      <c r="C3392" s="63"/>
      <c r="D3392" s="64"/>
      <c r="E3392" s="65"/>
      <c r="F3392" s="66"/>
      <c r="G3392" s="63"/>
      <c r="H3392" s="67"/>
      <c r="I3392" s="68"/>
      <c r="J3392" s="68"/>
      <c r="K3392" s="32"/>
      <c r="L3392" s="75">
        <v>3392</v>
      </c>
      <c r="M3392" s="75"/>
      <c r="N3392" s="70"/>
      <c r="O3392" s="77" t="s">
        <v>2078</v>
      </c>
      <c r="P3392" s="79">
        <v>45096.576597222222</v>
      </c>
      <c r="Q3392" s="77" t="s">
        <v>5070</v>
      </c>
      <c r="R3392" s="77">
        <v>0</v>
      </c>
      <c r="S3392" s="77">
        <v>0</v>
      </c>
      <c r="T3392" s="77">
        <v>0</v>
      </c>
      <c r="U3392" s="77">
        <v>0</v>
      </c>
      <c r="V3392" s="77">
        <v>91</v>
      </c>
      <c r="W3392" s="80" t="s">
        <v>7987</v>
      </c>
      <c r="X3392" s="77"/>
      <c r="Y3392" s="77"/>
      <c r="Z3392" s="77"/>
      <c r="AA3392" s="77"/>
      <c r="AB3392" s="77"/>
      <c r="AC3392" s="80" t="s">
        <v>10541</v>
      </c>
      <c r="AD3392" s="77" t="s">
        <v>10618</v>
      </c>
      <c r="AE3392" s="83" t="str">
        <f>HYPERLINK("https://twitter.com/bpmoney_/status/1670791114943520773")</f>
        <v>https://twitter.com/bpmoney_/status/1670791114943520773</v>
      </c>
      <c r="AF3392" s="79">
        <v>45096.576597222222</v>
      </c>
      <c r="AG3392" s="85">
        <v>45096</v>
      </c>
      <c r="AH3392" s="80" t="s">
        <v>13574</v>
      </c>
      <c r="AI3392" s="77"/>
      <c r="AJ3392" s="77"/>
      <c r="AK3392" s="77"/>
      <c r="AL3392" s="77"/>
      <c r="AM3392" s="77"/>
      <c r="AN3392" s="77"/>
      <c r="AO3392" s="77"/>
      <c r="AP3392" s="77"/>
      <c r="AQ3392" s="77"/>
      <c r="AR3392" s="77"/>
      <c r="AS3392" s="77"/>
      <c r="AT3392" s="77"/>
      <c r="AU3392" s="77"/>
      <c r="AV3392" s="83" t="str">
        <f>HYPERLINK("https://pbs.twimg.com/profile_images/1518936529674117121/MCMYTicP_normal.jpg")</f>
        <v>https://pbs.twimg.com/profile_images/1518936529674117121/MCMYTicP_normal.jpg</v>
      </c>
      <c r="AW3392" s="80" t="s">
        <v>19120</v>
      </c>
      <c r="AX3392" s="80" t="s">
        <v>20139</v>
      </c>
      <c r="AY3392" s="80" t="s">
        <v>20342</v>
      </c>
      <c r="AZ3392" s="80" t="s">
        <v>20139</v>
      </c>
      <c r="BA3392" s="80" t="s">
        <v>20380</v>
      </c>
      <c r="BB3392" s="80" t="s">
        <v>20380</v>
      </c>
      <c r="BC3392" s="80" t="s">
        <v>20139</v>
      </c>
      <c r="BD3392" s="80" t="s">
        <v>20342</v>
      </c>
      <c r="BE3392" s="77"/>
      <c r="BF3392" s="77"/>
      <c r="BG3392" s="77"/>
      <c r="BH3392" s="77"/>
      <c r="BI3392" s="77"/>
    </row>
    <row r="3393" spans="1:61" x14ac:dyDescent="0.25">
      <c r="A3393" s="62" t="s">
        <v>1337</v>
      </c>
      <c r="B3393" s="62" t="s">
        <v>1337</v>
      </c>
      <c r="C3393" s="63"/>
      <c r="D3393" s="64"/>
      <c r="E3393" s="65"/>
      <c r="F3393" s="66"/>
      <c r="G3393" s="63"/>
      <c r="H3393" s="67"/>
      <c r="I3393" s="68"/>
      <c r="J3393" s="68"/>
      <c r="K3393" s="32"/>
      <c r="L3393" s="75">
        <v>3393</v>
      </c>
      <c r="M3393" s="75"/>
      <c r="N3393" s="70"/>
      <c r="O3393" s="77" t="s">
        <v>2078</v>
      </c>
      <c r="P3393" s="79">
        <v>45063.90415509259</v>
      </c>
      <c r="Q3393" s="77" t="s">
        <v>5077</v>
      </c>
      <c r="R3393" s="77">
        <v>0</v>
      </c>
      <c r="S3393" s="77">
        <v>0</v>
      </c>
      <c r="T3393" s="77">
        <v>0</v>
      </c>
      <c r="U3393" s="77">
        <v>0</v>
      </c>
      <c r="V3393" s="77">
        <v>155</v>
      </c>
      <c r="W3393" s="80" t="s">
        <v>7994</v>
      </c>
      <c r="X3393" s="77"/>
      <c r="Y3393" s="77"/>
      <c r="Z3393" s="77"/>
      <c r="AA3393" s="77"/>
      <c r="AB3393" s="77"/>
      <c r="AC3393" s="80" t="s">
        <v>10541</v>
      </c>
      <c r="AD3393" s="77" t="s">
        <v>10618</v>
      </c>
      <c r="AE3393" s="83" t="str">
        <f>HYPERLINK("https://twitter.com/bpmoney_/status/1658951019483615236")</f>
        <v>https://twitter.com/bpmoney_/status/1658951019483615236</v>
      </c>
      <c r="AF3393" s="79">
        <v>45063.90415509259</v>
      </c>
      <c r="AG3393" s="85">
        <v>45063</v>
      </c>
      <c r="AH3393" s="80" t="s">
        <v>13575</v>
      </c>
      <c r="AI3393" s="77"/>
      <c r="AJ3393" s="77"/>
      <c r="AK3393" s="77"/>
      <c r="AL3393" s="77"/>
      <c r="AM3393" s="77"/>
      <c r="AN3393" s="77"/>
      <c r="AO3393" s="77"/>
      <c r="AP3393" s="77"/>
      <c r="AQ3393" s="77"/>
      <c r="AR3393" s="77"/>
      <c r="AS3393" s="77"/>
      <c r="AT3393" s="77"/>
      <c r="AU3393" s="77"/>
      <c r="AV3393" s="83" t="str">
        <f>HYPERLINK("https://pbs.twimg.com/profile_images/1518936529674117121/MCMYTicP_normal.jpg")</f>
        <v>https://pbs.twimg.com/profile_images/1518936529674117121/MCMYTicP_normal.jpg</v>
      </c>
      <c r="AW3393" s="80" t="s">
        <v>19121</v>
      </c>
      <c r="AX3393" s="80" t="s">
        <v>20140</v>
      </c>
      <c r="AY3393" s="80" t="s">
        <v>20342</v>
      </c>
      <c r="AZ3393" s="80" t="s">
        <v>20140</v>
      </c>
      <c r="BA3393" s="80" t="s">
        <v>20380</v>
      </c>
      <c r="BB3393" s="80" t="s">
        <v>20380</v>
      </c>
      <c r="BC3393" s="80" t="s">
        <v>20140</v>
      </c>
      <c r="BD3393" s="80" t="s">
        <v>20342</v>
      </c>
      <c r="BE3393" s="77"/>
      <c r="BF3393" s="77"/>
      <c r="BG3393" s="77"/>
      <c r="BH3393" s="77"/>
      <c r="BI3393" s="77"/>
    </row>
    <row r="3394" spans="1:61" x14ac:dyDescent="0.25">
      <c r="A3394" s="62" t="s">
        <v>1337</v>
      </c>
      <c r="B3394" s="62" t="s">
        <v>1337</v>
      </c>
      <c r="C3394" s="63"/>
      <c r="D3394" s="64"/>
      <c r="E3394" s="65"/>
      <c r="F3394" s="66"/>
      <c r="G3394" s="63"/>
      <c r="H3394" s="67"/>
      <c r="I3394" s="68"/>
      <c r="J3394" s="68"/>
      <c r="K3394" s="32"/>
      <c r="L3394" s="75">
        <v>3394</v>
      </c>
      <c r="M3394" s="75"/>
      <c r="N3394" s="70"/>
      <c r="O3394" s="77" t="s">
        <v>2078</v>
      </c>
      <c r="P3394" s="79">
        <v>45063.7109837963</v>
      </c>
      <c r="Q3394" s="77" t="s">
        <v>5078</v>
      </c>
      <c r="R3394" s="77">
        <v>0</v>
      </c>
      <c r="S3394" s="77">
        <v>0</v>
      </c>
      <c r="T3394" s="77">
        <v>0</v>
      </c>
      <c r="U3394" s="77">
        <v>0</v>
      </c>
      <c r="V3394" s="77">
        <v>90</v>
      </c>
      <c r="W3394" s="80" t="s">
        <v>7995</v>
      </c>
      <c r="X3394" s="77"/>
      <c r="Y3394" s="77"/>
      <c r="Z3394" s="77"/>
      <c r="AA3394" s="77"/>
      <c r="AB3394" s="77"/>
      <c r="AC3394" s="80" t="s">
        <v>10541</v>
      </c>
      <c r="AD3394" s="77" t="s">
        <v>10618</v>
      </c>
      <c r="AE3394" s="83" t="str">
        <f>HYPERLINK("https://twitter.com/bpmoney_/status/1658881016964972552")</f>
        <v>https://twitter.com/bpmoney_/status/1658881016964972552</v>
      </c>
      <c r="AF3394" s="79">
        <v>45063.7109837963</v>
      </c>
      <c r="AG3394" s="85">
        <v>45063</v>
      </c>
      <c r="AH3394" s="80" t="s">
        <v>13576</v>
      </c>
      <c r="AI3394" s="77"/>
      <c r="AJ3394" s="77"/>
      <c r="AK3394" s="77"/>
      <c r="AL3394" s="77"/>
      <c r="AM3394" s="77"/>
      <c r="AN3394" s="77"/>
      <c r="AO3394" s="77"/>
      <c r="AP3394" s="77"/>
      <c r="AQ3394" s="77"/>
      <c r="AR3394" s="77"/>
      <c r="AS3394" s="77"/>
      <c r="AT3394" s="77"/>
      <c r="AU3394" s="77"/>
      <c r="AV3394" s="83" t="str">
        <f>HYPERLINK("https://pbs.twimg.com/profile_images/1518936529674117121/MCMYTicP_normal.jpg")</f>
        <v>https://pbs.twimg.com/profile_images/1518936529674117121/MCMYTicP_normal.jpg</v>
      </c>
      <c r="AW3394" s="80" t="s">
        <v>19122</v>
      </c>
      <c r="AX3394" s="80" t="s">
        <v>20141</v>
      </c>
      <c r="AY3394" s="80" t="s">
        <v>20342</v>
      </c>
      <c r="AZ3394" s="80" t="s">
        <v>20141</v>
      </c>
      <c r="BA3394" s="80" t="s">
        <v>20380</v>
      </c>
      <c r="BB3394" s="80" t="s">
        <v>20380</v>
      </c>
      <c r="BC3394" s="80" t="s">
        <v>20141</v>
      </c>
      <c r="BD3394" s="80" t="s">
        <v>20342</v>
      </c>
      <c r="BE3394" s="77"/>
      <c r="BF3394" s="77"/>
      <c r="BG3394" s="77"/>
      <c r="BH3394" s="77"/>
      <c r="BI3394" s="77"/>
    </row>
    <row r="3395" spans="1:61" x14ac:dyDescent="0.25">
      <c r="A3395" s="62" t="s">
        <v>1337</v>
      </c>
      <c r="B3395" s="62" t="s">
        <v>1337</v>
      </c>
      <c r="C3395" s="63"/>
      <c r="D3395" s="64"/>
      <c r="E3395" s="65"/>
      <c r="F3395" s="66"/>
      <c r="G3395" s="63"/>
      <c r="H3395" s="67"/>
      <c r="I3395" s="68"/>
      <c r="J3395" s="68"/>
      <c r="K3395" s="32"/>
      <c r="L3395" s="75">
        <v>3395</v>
      </c>
      <c r="M3395" s="75"/>
      <c r="N3395" s="70"/>
      <c r="O3395" s="77" t="s">
        <v>2078</v>
      </c>
      <c r="P3395" s="79">
        <v>45062.598252314812</v>
      </c>
      <c r="Q3395" s="77" t="s">
        <v>5079</v>
      </c>
      <c r="R3395" s="77">
        <v>0</v>
      </c>
      <c r="S3395" s="77">
        <v>0</v>
      </c>
      <c r="T3395" s="77">
        <v>0</v>
      </c>
      <c r="U3395" s="77">
        <v>0</v>
      </c>
      <c r="V3395" s="77">
        <v>129</v>
      </c>
      <c r="W3395" s="80" t="s">
        <v>7996</v>
      </c>
      <c r="X3395" s="77"/>
      <c r="Y3395" s="77"/>
      <c r="Z3395" s="77"/>
      <c r="AA3395" s="77"/>
      <c r="AB3395" s="77"/>
      <c r="AC3395" s="80" t="s">
        <v>10541</v>
      </c>
      <c r="AD3395" s="77" t="s">
        <v>10618</v>
      </c>
      <c r="AE3395" s="83" t="str">
        <f>HYPERLINK("https://twitter.com/bpmoney_/status/1658477777878941697")</f>
        <v>https://twitter.com/bpmoney_/status/1658477777878941697</v>
      </c>
      <c r="AF3395" s="79">
        <v>45062.598252314812</v>
      </c>
      <c r="AG3395" s="85">
        <v>45062</v>
      </c>
      <c r="AH3395" s="80" t="s">
        <v>13577</v>
      </c>
      <c r="AI3395" s="77"/>
      <c r="AJ3395" s="77"/>
      <c r="AK3395" s="77"/>
      <c r="AL3395" s="77"/>
      <c r="AM3395" s="77"/>
      <c r="AN3395" s="77"/>
      <c r="AO3395" s="77"/>
      <c r="AP3395" s="77"/>
      <c r="AQ3395" s="77"/>
      <c r="AR3395" s="77"/>
      <c r="AS3395" s="77"/>
      <c r="AT3395" s="77"/>
      <c r="AU3395" s="77"/>
      <c r="AV3395" s="83" t="str">
        <f>HYPERLINK("https://pbs.twimg.com/profile_images/1518936529674117121/MCMYTicP_normal.jpg")</f>
        <v>https://pbs.twimg.com/profile_images/1518936529674117121/MCMYTicP_normal.jpg</v>
      </c>
      <c r="AW3395" s="80" t="s">
        <v>19123</v>
      </c>
      <c r="AX3395" s="80" t="s">
        <v>20142</v>
      </c>
      <c r="AY3395" s="80" t="s">
        <v>20342</v>
      </c>
      <c r="AZ3395" s="80" t="s">
        <v>20142</v>
      </c>
      <c r="BA3395" s="80" t="s">
        <v>20380</v>
      </c>
      <c r="BB3395" s="80" t="s">
        <v>20380</v>
      </c>
      <c r="BC3395" s="80" t="s">
        <v>20142</v>
      </c>
      <c r="BD3395" s="80" t="s">
        <v>20342</v>
      </c>
      <c r="BE3395" s="77"/>
      <c r="BF3395" s="77"/>
      <c r="BG3395" s="77"/>
      <c r="BH3395" s="77"/>
      <c r="BI3395" s="77"/>
    </row>
    <row r="3396" spans="1:61" x14ac:dyDescent="0.25">
      <c r="A3396" s="62" t="s">
        <v>1338</v>
      </c>
      <c r="B3396" s="62" t="s">
        <v>1596</v>
      </c>
      <c r="C3396" s="63"/>
      <c r="D3396" s="64"/>
      <c r="E3396" s="65"/>
      <c r="F3396" s="66"/>
      <c r="G3396" s="63"/>
      <c r="H3396" s="67"/>
      <c r="I3396" s="68"/>
      <c r="J3396" s="68"/>
      <c r="K3396" s="32"/>
      <c r="L3396" s="75">
        <v>3396</v>
      </c>
      <c r="M3396" s="75"/>
      <c r="N3396" s="70"/>
      <c r="O3396" s="77" t="s">
        <v>2081</v>
      </c>
      <c r="P3396" s="79">
        <v>45049.930219907408</v>
      </c>
      <c r="Q3396" s="77" t="s">
        <v>5080</v>
      </c>
      <c r="R3396" s="77">
        <v>0</v>
      </c>
      <c r="S3396" s="77">
        <v>0</v>
      </c>
      <c r="T3396" s="77">
        <v>0</v>
      </c>
      <c r="U3396" s="77">
        <v>0</v>
      </c>
      <c r="V3396" s="77">
        <v>31</v>
      </c>
      <c r="W3396" s="80" t="s">
        <v>6008</v>
      </c>
      <c r="X3396" s="83" t="str">
        <f>HYPERLINK("https://www.bcb.gov.br/detalhenoticia/17886/nota")</f>
        <v>https://www.bcb.gov.br/detalhenoticia/17886/nota</v>
      </c>
      <c r="Y3396" s="77" t="s">
        <v>8633</v>
      </c>
      <c r="Z3396" s="77" t="s">
        <v>1596</v>
      </c>
      <c r="AA3396" s="77"/>
      <c r="AB3396" s="77"/>
      <c r="AC3396" s="80" t="s">
        <v>10540</v>
      </c>
      <c r="AD3396" s="77" t="s">
        <v>10617</v>
      </c>
      <c r="AE3396" s="83" t="str">
        <f>HYPERLINK("https://twitter.com/marc0___aurelio/status/1653887035227222023")</f>
        <v>https://twitter.com/marc0___aurelio/status/1653887035227222023</v>
      </c>
      <c r="AF3396" s="79">
        <v>45049.930219907408</v>
      </c>
      <c r="AG3396" s="85">
        <v>45049</v>
      </c>
      <c r="AH3396" s="80" t="s">
        <v>13578</v>
      </c>
      <c r="AI3396" s="77" t="b">
        <v>0</v>
      </c>
      <c r="AJ3396" s="77"/>
      <c r="AK3396" s="77"/>
      <c r="AL3396" s="77"/>
      <c r="AM3396" s="77"/>
      <c r="AN3396" s="77"/>
      <c r="AO3396" s="77"/>
      <c r="AP3396" s="77"/>
      <c r="AQ3396" s="77"/>
      <c r="AR3396" s="77"/>
      <c r="AS3396" s="77"/>
      <c r="AT3396" s="77"/>
      <c r="AU3396" s="77"/>
      <c r="AV3396" s="83" t="str">
        <f>HYPERLINK("https://pbs.twimg.com/profile_images/1561014075156566016/SpG_q87x_normal.jpg")</f>
        <v>https://pbs.twimg.com/profile_images/1561014075156566016/SpG_q87x_normal.jpg</v>
      </c>
      <c r="AW3396" s="80" t="s">
        <v>19124</v>
      </c>
      <c r="AX3396" s="80" t="s">
        <v>19124</v>
      </c>
      <c r="AY3396" s="77"/>
      <c r="AZ3396" s="80" t="s">
        <v>20380</v>
      </c>
      <c r="BA3396" s="80" t="s">
        <v>20380</v>
      </c>
      <c r="BB3396" s="80" t="s">
        <v>20380</v>
      </c>
      <c r="BC3396" s="80" t="s">
        <v>19124</v>
      </c>
      <c r="BD3396" s="80" t="s">
        <v>21044</v>
      </c>
      <c r="BE3396" s="77"/>
      <c r="BF3396" s="77"/>
      <c r="BG3396" s="77"/>
      <c r="BH3396" s="77"/>
      <c r="BI3396" s="77"/>
    </row>
    <row r="3397" spans="1:61" x14ac:dyDescent="0.25">
      <c r="A3397" s="62" t="s">
        <v>1339</v>
      </c>
      <c r="B3397" s="62" t="s">
        <v>1339</v>
      </c>
      <c r="C3397" s="63"/>
      <c r="D3397" s="64"/>
      <c r="E3397" s="65"/>
      <c r="F3397" s="66"/>
      <c r="G3397" s="63"/>
      <c r="H3397" s="67"/>
      <c r="I3397" s="68"/>
      <c r="J3397" s="68"/>
      <c r="K3397" s="32"/>
      <c r="L3397" s="75">
        <v>3397</v>
      </c>
      <c r="M3397" s="75"/>
      <c r="N3397" s="70"/>
      <c r="O3397" s="77" t="s">
        <v>179</v>
      </c>
      <c r="P3397" s="79">
        <v>45155.885034722225</v>
      </c>
      <c r="Q3397" s="77" t="s">
        <v>5081</v>
      </c>
      <c r="R3397" s="77">
        <v>0</v>
      </c>
      <c r="S3397" s="77">
        <v>0</v>
      </c>
      <c r="T3397" s="77">
        <v>0</v>
      </c>
      <c r="U3397" s="77">
        <v>0</v>
      </c>
      <c r="V3397" s="77">
        <v>20</v>
      </c>
      <c r="W3397" s="80" t="s">
        <v>7997</v>
      </c>
      <c r="X3397" s="83" t="str">
        <f>HYPERLINK("https://radioitatiaiajf.com.br/r-1-paralimpico-busca-de-colecionador-por-moeda-rara-desperta-curiosidade-de-ouvintes-da-itatiaia-jf/")</f>
        <v>https://radioitatiaiajf.com.br/r-1-paralimpico-busca-de-colecionador-por-moeda-rara-desperta-curiosidade-de-ouvintes-da-itatiaia-jf/</v>
      </c>
      <c r="Y3397" s="77" t="s">
        <v>8611</v>
      </c>
      <c r="Z3397" s="77"/>
      <c r="AA3397" s="77"/>
      <c r="AB3397" s="77"/>
      <c r="AC3397" s="80" t="s">
        <v>10541</v>
      </c>
      <c r="AD3397" s="77" t="s">
        <v>10619</v>
      </c>
      <c r="AE3397" s="83" t="str">
        <f>HYPERLINK("https://twitter.com/itatiaiajf/status/1692283775030382921")</f>
        <v>https://twitter.com/itatiaiajf/status/1692283775030382921</v>
      </c>
      <c r="AF3397" s="79">
        <v>45155.885034722225</v>
      </c>
      <c r="AG3397" s="85">
        <v>45155</v>
      </c>
      <c r="AH3397" s="80" t="s">
        <v>13579</v>
      </c>
      <c r="AI3397" s="77" t="b">
        <v>0</v>
      </c>
      <c r="AJ3397" s="77"/>
      <c r="AK3397" s="77"/>
      <c r="AL3397" s="77"/>
      <c r="AM3397" s="77"/>
      <c r="AN3397" s="77"/>
      <c r="AO3397" s="77"/>
      <c r="AP3397" s="77"/>
      <c r="AQ3397" s="77"/>
      <c r="AR3397" s="77"/>
      <c r="AS3397" s="77"/>
      <c r="AT3397" s="77"/>
      <c r="AU3397" s="77"/>
      <c r="AV3397" s="83" t="str">
        <f>HYPERLINK("https://pbs.twimg.com/profile_images/1672199922588819457/x4r4nNLR_normal.jpg")</f>
        <v>https://pbs.twimg.com/profile_images/1672199922588819457/x4r4nNLR_normal.jpg</v>
      </c>
      <c r="AW3397" s="80" t="s">
        <v>19125</v>
      </c>
      <c r="AX3397" s="80" t="s">
        <v>19125</v>
      </c>
      <c r="AY3397" s="77"/>
      <c r="AZ3397" s="80" t="s">
        <v>20380</v>
      </c>
      <c r="BA3397" s="80" t="s">
        <v>20380</v>
      </c>
      <c r="BB3397" s="80" t="s">
        <v>20380</v>
      </c>
      <c r="BC3397" s="80" t="s">
        <v>19125</v>
      </c>
      <c r="BD3397" s="77">
        <v>349719588</v>
      </c>
      <c r="BE3397" s="77"/>
      <c r="BF3397" s="77"/>
      <c r="BG3397" s="77"/>
      <c r="BH3397" s="77"/>
      <c r="BI3397" s="77"/>
    </row>
    <row r="3398" spans="1:61" x14ac:dyDescent="0.25">
      <c r="A3398" s="62" t="s">
        <v>1340</v>
      </c>
      <c r="B3398" s="62" t="s">
        <v>1340</v>
      </c>
      <c r="C3398" s="63"/>
      <c r="D3398" s="64"/>
      <c r="E3398" s="65"/>
      <c r="F3398" s="66"/>
      <c r="G3398" s="63"/>
      <c r="H3398" s="67"/>
      <c r="I3398" s="68"/>
      <c r="J3398" s="68"/>
      <c r="K3398" s="32"/>
      <c r="L3398" s="75">
        <v>3398</v>
      </c>
      <c r="M3398" s="75"/>
      <c r="N3398" s="70"/>
      <c r="O3398" s="77" t="s">
        <v>179</v>
      </c>
      <c r="P3398" s="79">
        <v>45098.911481481482</v>
      </c>
      <c r="Q3398" s="77" t="s">
        <v>5082</v>
      </c>
      <c r="R3398" s="77">
        <v>0</v>
      </c>
      <c r="S3398" s="77">
        <v>0</v>
      </c>
      <c r="T3398" s="77">
        <v>0</v>
      </c>
      <c r="U3398" s="77">
        <v>0</v>
      </c>
      <c r="V3398" s="77">
        <v>182</v>
      </c>
      <c r="W3398" s="80" t="s">
        <v>7998</v>
      </c>
      <c r="X3398" s="77"/>
      <c r="Y3398" s="77"/>
      <c r="Z3398" s="77"/>
      <c r="AA3398" s="77"/>
      <c r="AB3398" s="77"/>
      <c r="AC3398" s="80" t="s">
        <v>10542</v>
      </c>
      <c r="AD3398" s="77" t="s">
        <v>10617</v>
      </c>
      <c r="AE3398" s="83" t="str">
        <f>HYPERLINK("https://twitter.com/ipauloed/status/1671637250621177862")</f>
        <v>https://twitter.com/ipauloed/status/1671637250621177862</v>
      </c>
      <c r="AF3398" s="79">
        <v>45098.911481481482</v>
      </c>
      <c r="AG3398" s="85">
        <v>45098</v>
      </c>
      <c r="AH3398" s="80" t="s">
        <v>13580</v>
      </c>
      <c r="AI3398" s="77"/>
      <c r="AJ3398" s="77"/>
      <c r="AK3398" s="77"/>
      <c r="AL3398" s="77"/>
      <c r="AM3398" s="77"/>
      <c r="AN3398" s="77"/>
      <c r="AO3398" s="77"/>
      <c r="AP3398" s="77"/>
      <c r="AQ3398" s="77"/>
      <c r="AR3398" s="77"/>
      <c r="AS3398" s="77"/>
      <c r="AT3398" s="77"/>
      <c r="AU3398" s="77"/>
      <c r="AV3398" s="83" t="str">
        <f>HYPERLINK("https://pbs.twimg.com/profile_images/1694145232491708416/2XhgmiVc_normal.jpg")</f>
        <v>https://pbs.twimg.com/profile_images/1694145232491708416/2XhgmiVc_normal.jpg</v>
      </c>
      <c r="AW3398" s="80" t="s">
        <v>19126</v>
      </c>
      <c r="AX3398" s="80" t="s">
        <v>19126</v>
      </c>
      <c r="AY3398" s="77"/>
      <c r="AZ3398" s="80" t="s">
        <v>20380</v>
      </c>
      <c r="BA3398" s="80" t="s">
        <v>20380</v>
      </c>
      <c r="BB3398" s="80" t="s">
        <v>20380</v>
      </c>
      <c r="BC3398" s="80" t="s">
        <v>19126</v>
      </c>
      <c r="BD3398" s="77">
        <v>150446200</v>
      </c>
      <c r="BE3398" s="77"/>
      <c r="BF3398" s="77"/>
      <c r="BG3398" s="77"/>
      <c r="BH3398" s="77"/>
      <c r="BI3398" s="77"/>
    </row>
    <row r="3399" spans="1:61" x14ac:dyDescent="0.25">
      <c r="A3399" s="62" t="s">
        <v>1341</v>
      </c>
      <c r="B3399" s="62" t="s">
        <v>2018</v>
      </c>
      <c r="C3399" s="63"/>
      <c r="D3399" s="64"/>
      <c r="E3399" s="65"/>
      <c r="F3399" s="66"/>
      <c r="G3399" s="63"/>
      <c r="H3399" s="67"/>
      <c r="I3399" s="68"/>
      <c r="J3399" s="68"/>
      <c r="K3399" s="32"/>
      <c r="L3399" s="75">
        <v>3399</v>
      </c>
      <c r="M3399" s="75"/>
      <c r="N3399" s="70"/>
      <c r="O3399" s="77" t="s">
        <v>2081</v>
      </c>
      <c r="P3399" s="79">
        <v>45072.992511574077</v>
      </c>
      <c r="Q3399" s="77" t="s">
        <v>5083</v>
      </c>
      <c r="R3399" s="77">
        <v>0</v>
      </c>
      <c r="S3399" s="77">
        <v>0</v>
      </c>
      <c r="T3399" s="77">
        <v>0</v>
      </c>
      <c r="U3399" s="77">
        <v>0</v>
      </c>
      <c r="V3399" s="77">
        <v>22</v>
      </c>
      <c r="W3399" s="80" t="s">
        <v>7999</v>
      </c>
      <c r="X3399" s="83" t="str">
        <f>HYPERLINK("https://flauzinoantunes.com.br/teto-de-gastos-para-pagamento-de-juros-necessidade-urgente/")</f>
        <v>https://flauzinoantunes.com.br/teto-de-gastos-para-pagamento-de-juros-necessidade-urgente/</v>
      </c>
      <c r="Y3399" s="77" t="s">
        <v>8611</v>
      </c>
      <c r="Z3399" s="77" t="s">
        <v>9011</v>
      </c>
      <c r="AA3399" s="77"/>
      <c r="AB3399" s="77"/>
      <c r="AC3399" s="80" t="s">
        <v>10540</v>
      </c>
      <c r="AD3399" s="77" t="s">
        <v>10619</v>
      </c>
      <c r="AE3399" s="83" t="str">
        <f>HYPERLINK("https://twitter.com/flauzinoantunes/status/1662244530144329732")</f>
        <v>https://twitter.com/flauzinoantunes/status/1662244530144329732</v>
      </c>
      <c r="AF3399" s="79">
        <v>45072.992511574077</v>
      </c>
      <c r="AG3399" s="85">
        <v>45072</v>
      </c>
      <c r="AH3399" s="80" t="s">
        <v>13581</v>
      </c>
      <c r="AI3399" s="77" t="b">
        <v>0</v>
      </c>
      <c r="AJ3399" s="77"/>
      <c r="AK3399" s="77"/>
      <c r="AL3399" s="77"/>
      <c r="AM3399" s="77"/>
      <c r="AN3399" s="77"/>
      <c r="AO3399" s="77"/>
      <c r="AP3399" s="77"/>
      <c r="AQ3399" s="77"/>
      <c r="AR3399" s="77"/>
      <c r="AS3399" s="77"/>
      <c r="AT3399" s="77"/>
      <c r="AU3399" s="77"/>
      <c r="AV3399" s="83" t="str">
        <f>HYPERLINK("https://pbs.twimg.com/profile_images/1688185678213894145/E6VN5h3q_normal.jpg")</f>
        <v>https://pbs.twimg.com/profile_images/1688185678213894145/E6VN5h3q_normal.jpg</v>
      </c>
      <c r="AW3399" s="80" t="s">
        <v>19127</v>
      </c>
      <c r="AX3399" s="80" t="s">
        <v>19127</v>
      </c>
      <c r="AY3399" s="77"/>
      <c r="AZ3399" s="80" t="s">
        <v>20380</v>
      </c>
      <c r="BA3399" s="80" t="s">
        <v>20380</v>
      </c>
      <c r="BB3399" s="80" t="s">
        <v>20380</v>
      </c>
      <c r="BC3399" s="80" t="s">
        <v>19127</v>
      </c>
      <c r="BD3399" s="77">
        <v>17463509</v>
      </c>
      <c r="BE3399" s="77"/>
      <c r="BF3399" s="77"/>
      <c r="BG3399" s="77"/>
      <c r="BH3399" s="77"/>
      <c r="BI3399" s="77"/>
    </row>
    <row r="3400" spans="1:61" x14ac:dyDescent="0.25">
      <c r="A3400" s="62" t="s">
        <v>1341</v>
      </c>
      <c r="B3400" s="62" t="s">
        <v>2019</v>
      </c>
      <c r="C3400" s="63"/>
      <c r="D3400" s="64"/>
      <c r="E3400" s="65"/>
      <c r="F3400" s="66"/>
      <c r="G3400" s="63"/>
      <c r="H3400" s="67"/>
      <c r="I3400" s="68"/>
      <c r="J3400" s="68"/>
      <c r="K3400" s="32"/>
      <c r="L3400" s="75">
        <v>3400</v>
      </c>
      <c r="M3400" s="75"/>
      <c r="N3400" s="70"/>
      <c r="O3400" s="77" t="s">
        <v>2081</v>
      </c>
      <c r="P3400" s="79">
        <v>45072.992511574077</v>
      </c>
      <c r="Q3400" s="77" t="s">
        <v>5083</v>
      </c>
      <c r="R3400" s="77">
        <v>0</v>
      </c>
      <c r="S3400" s="77">
        <v>0</v>
      </c>
      <c r="T3400" s="77">
        <v>0</v>
      </c>
      <c r="U3400" s="77">
        <v>0</v>
      </c>
      <c r="V3400" s="77">
        <v>22</v>
      </c>
      <c r="W3400" s="80" t="s">
        <v>7999</v>
      </c>
      <c r="X3400" s="83" t="str">
        <f>HYPERLINK("https://flauzinoantunes.com.br/teto-de-gastos-para-pagamento-de-juros-necessidade-urgente/")</f>
        <v>https://flauzinoantunes.com.br/teto-de-gastos-para-pagamento-de-juros-necessidade-urgente/</v>
      </c>
      <c r="Y3400" s="77" t="s">
        <v>8611</v>
      </c>
      <c r="Z3400" s="77" t="s">
        <v>9011</v>
      </c>
      <c r="AA3400" s="77"/>
      <c r="AB3400" s="77"/>
      <c r="AC3400" s="80" t="s">
        <v>10540</v>
      </c>
      <c r="AD3400" s="77" t="s">
        <v>10619</v>
      </c>
      <c r="AE3400" s="83" t="str">
        <f>HYPERLINK("https://twitter.com/flauzinoantunes/status/1662244530144329732")</f>
        <v>https://twitter.com/flauzinoantunes/status/1662244530144329732</v>
      </c>
      <c r="AF3400" s="79">
        <v>45072.992511574077</v>
      </c>
      <c r="AG3400" s="85">
        <v>45072</v>
      </c>
      <c r="AH3400" s="80" t="s">
        <v>13581</v>
      </c>
      <c r="AI3400" s="77" t="b">
        <v>0</v>
      </c>
      <c r="AJ3400" s="77"/>
      <c r="AK3400" s="77"/>
      <c r="AL3400" s="77"/>
      <c r="AM3400" s="77"/>
      <c r="AN3400" s="77"/>
      <c r="AO3400" s="77"/>
      <c r="AP3400" s="77"/>
      <c r="AQ3400" s="77"/>
      <c r="AR3400" s="77"/>
      <c r="AS3400" s="77"/>
      <c r="AT3400" s="77"/>
      <c r="AU3400" s="77"/>
      <c r="AV3400" s="83" t="str">
        <f>HYPERLINK("https://pbs.twimg.com/profile_images/1688185678213894145/E6VN5h3q_normal.jpg")</f>
        <v>https://pbs.twimg.com/profile_images/1688185678213894145/E6VN5h3q_normal.jpg</v>
      </c>
      <c r="AW3400" s="80" t="s">
        <v>19127</v>
      </c>
      <c r="AX3400" s="80" t="s">
        <v>19127</v>
      </c>
      <c r="AY3400" s="77"/>
      <c r="AZ3400" s="80" t="s">
        <v>20380</v>
      </c>
      <c r="BA3400" s="80" t="s">
        <v>20380</v>
      </c>
      <c r="BB3400" s="80" t="s">
        <v>20380</v>
      </c>
      <c r="BC3400" s="80" t="s">
        <v>19127</v>
      </c>
      <c r="BD3400" s="77">
        <v>17463509</v>
      </c>
      <c r="BE3400" s="77"/>
      <c r="BF3400" s="77"/>
      <c r="BG3400" s="77"/>
      <c r="BH3400" s="77"/>
      <c r="BI3400" s="77"/>
    </row>
    <row r="3401" spans="1:61" x14ac:dyDescent="0.25">
      <c r="A3401" s="62" t="s">
        <v>1341</v>
      </c>
      <c r="B3401" s="62" t="s">
        <v>2001</v>
      </c>
      <c r="C3401" s="63"/>
      <c r="D3401" s="64"/>
      <c r="E3401" s="65"/>
      <c r="F3401" s="66"/>
      <c r="G3401" s="63"/>
      <c r="H3401" s="67"/>
      <c r="I3401" s="68"/>
      <c r="J3401" s="68"/>
      <c r="K3401" s="32"/>
      <c r="L3401" s="75">
        <v>3401</v>
      </c>
      <c r="M3401" s="75"/>
      <c r="N3401" s="70"/>
      <c r="O3401" s="77" t="s">
        <v>2081</v>
      </c>
      <c r="P3401" s="79">
        <v>45074.893622685187</v>
      </c>
      <c r="Q3401" s="77" t="s">
        <v>5084</v>
      </c>
      <c r="R3401" s="77">
        <v>0</v>
      </c>
      <c r="S3401" s="77">
        <v>0</v>
      </c>
      <c r="T3401" s="77">
        <v>0</v>
      </c>
      <c r="U3401" s="77">
        <v>0</v>
      </c>
      <c r="V3401" s="77">
        <v>27</v>
      </c>
      <c r="W3401" s="80" t="s">
        <v>7816</v>
      </c>
      <c r="X3401" s="83" t="str">
        <f>HYPERLINK("https://youtu.be/PmTywDpI5bg")</f>
        <v>https://youtu.be/PmTywDpI5bg</v>
      </c>
      <c r="Y3401" s="77" t="s">
        <v>8635</v>
      </c>
      <c r="Z3401" s="77" t="s">
        <v>9006</v>
      </c>
      <c r="AA3401" s="77"/>
      <c r="AB3401" s="77"/>
      <c r="AC3401" s="80" t="s">
        <v>10540</v>
      </c>
      <c r="AD3401" s="77" t="s">
        <v>10617</v>
      </c>
      <c r="AE3401" s="83" t="str">
        <f>HYPERLINK("https://twitter.com/flauzinoantunes/status/1662933470597750784")</f>
        <v>https://twitter.com/flauzinoantunes/status/1662933470597750784</v>
      </c>
      <c r="AF3401" s="79">
        <v>45074.893622685187</v>
      </c>
      <c r="AG3401" s="85">
        <v>45074</v>
      </c>
      <c r="AH3401" s="80" t="s">
        <v>13582</v>
      </c>
      <c r="AI3401" s="77" t="b">
        <v>0</v>
      </c>
      <c r="AJ3401" s="77"/>
      <c r="AK3401" s="77"/>
      <c r="AL3401" s="77"/>
      <c r="AM3401" s="77"/>
      <c r="AN3401" s="77"/>
      <c r="AO3401" s="77"/>
      <c r="AP3401" s="77"/>
      <c r="AQ3401" s="77"/>
      <c r="AR3401" s="77"/>
      <c r="AS3401" s="77"/>
      <c r="AT3401" s="77"/>
      <c r="AU3401" s="77"/>
      <c r="AV3401" s="83" t="str">
        <f>HYPERLINK("https://pbs.twimg.com/profile_images/1688185678213894145/E6VN5h3q_normal.jpg")</f>
        <v>https://pbs.twimg.com/profile_images/1688185678213894145/E6VN5h3q_normal.jpg</v>
      </c>
      <c r="AW3401" s="80" t="s">
        <v>19128</v>
      </c>
      <c r="AX3401" s="80" t="s">
        <v>19128</v>
      </c>
      <c r="AY3401" s="77"/>
      <c r="AZ3401" s="80" t="s">
        <v>20380</v>
      </c>
      <c r="BA3401" s="80" t="s">
        <v>20380</v>
      </c>
      <c r="BB3401" s="80" t="s">
        <v>20380</v>
      </c>
      <c r="BC3401" s="80" t="s">
        <v>19128</v>
      </c>
      <c r="BD3401" s="77">
        <v>17463509</v>
      </c>
      <c r="BE3401" s="77"/>
      <c r="BF3401" s="77"/>
      <c r="BG3401" s="77"/>
      <c r="BH3401" s="77"/>
      <c r="BI3401" s="77"/>
    </row>
    <row r="3402" spans="1:61" x14ac:dyDescent="0.25">
      <c r="A3402" s="62" t="s">
        <v>1341</v>
      </c>
      <c r="B3402" s="62" t="s">
        <v>2002</v>
      </c>
      <c r="C3402" s="63"/>
      <c r="D3402" s="64"/>
      <c r="E3402" s="65"/>
      <c r="F3402" s="66"/>
      <c r="G3402" s="63"/>
      <c r="H3402" s="67"/>
      <c r="I3402" s="68"/>
      <c r="J3402" s="68"/>
      <c r="K3402" s="32"/>
      <c r="L3402" s="75">
        <v>3402</v>
      </c>
      <c r="M3402" s="75"/>
      <c r="N3402" s="70"/>
      <c r="O3402" s="77" t="s">
        <v>2081</v>
      </c>
      <c r="P3402" s="79">
        <v>45074.893622685187</v>
      </c>
      <c r="Q3402" s="77" t="s">
        <v>5084</v>
      </c>
      <c r="R3402" s="77">
        <v>0</v>
      </c>
      <c r="S3402" s="77">
        <v>0</v>
      </c>
      <c r="T3402" s="77">
        <v>0</v>
      </c>
      <c r="U3402" s="77">
        <v>0</v>
      </c>
      <c r="V3402" s="77">
        <v>27</v>
      </c>
      <c r="W3402" s="80" t="s">
        <v>7816</v>
      </c>
      <c r="X3402" s="83" t="str">
        <f>HYPERLINK("https://youtu.be/PmTywDpI5bg")</f>
        <v>https://youtu.be/PmTywDpI5bg</v>
      </c>
      <c r="Y3402" s="77" t="s">
        <v>8635</v>
      </c>
      <c r="Z3402" s="77" t="s">
        <v>9006</v>
      </c>
      <c r="AA3402" s="77"/>
      <c r="AB3402" s="77"/>
      <c r="AC3402" s="80" t="s">
        <v>10540</v>
      </c>
      <c r="AD3402" s="77" t="s">
        <v>10617</v>
      </c>
      <c r="AE3402" s="83" t="str">
        <f>HYPERLINK("https://twitter.com/flauzinoantunes/status/1662933470597750784")</f>
        <v>https://twitter.com/flauzinoantunes/status/1662933470597750784</v>
      </c>
      <c r="AF3402" s="79">
        <v>45074.893622685187</v>
      </c>
      <c r="AG3402" s="85">
        <v>45074</v>
      </c>
      <c r="AH3402" s="80" t="s">
        <v>13582</v>
      </c>
      <c r="AI3402" s="77" t="b">
        <v>0</v>
      </c>
      <c r="AJ3402" s="77"/>
      <c r="AK3402" s="77"/>
      <c r="AL3402" s="77"/>
      <c r="AM3402" s="77"/>
      <c r="AN3402" s="77"/>
      <c r="AO3402" s="77"/>
      <c r="AP3402" s="77"/>
      <c r="AQ3402" s="77"/>
      <c r="AR3402" s="77"/>
      <c r="AS3402" s="77"/>
      <c r="AT3402" s="77"/>
      <c r="AU3402" s="77"/>
      <c r="AV3402" s="83" t="str">
        <f>HYPERLINK("https://pbs.twimg.com/profile_images/1688185678213894145/E6VN5h3q_normal.jpg")</f>
        <v>https://pbs.twimg.com/profile_images/1688185678213894145/E6VN5h3q_normal.jpg</v>
      </c>
      <c r="AW3402" s="80" t="s">
        <v>19128</v>
      </c>
      <c r="AX3402" s="80" t="s">
        <v>19128</v>
      </c>
      <c r="AY3402" s="77"/>
      <c r="AZ3402" s="80" t="s">
        <v>20380</v>
      </c>
      <c r="BA3402" s="80" t="s">
        <v>20380</v>
      </c>
      <c r="BB3402" s="80" t="s">
        <v>20380</v>
      </c>
      <c r="BC3402" s="80" t="s">
        <v>19128</v>
      </c>
      <c r="BD3402" s="77">
        <v>17463509</v>
      </c>
      <c r="BE3402" s="77"/>
      <c r="BF3402" s="77"/>
      <c r="BG3402" s="77"/>
      <c r="BH3402" s="77"/>
      <c r="BI3402" s="77"/>
    </row>
    <row r="3403" spans="1:61" x14ac:dyDescent="0.25">
      <c r="A3403" s="62" t="s">
        <v>1341</v>
      </c>
      <c r="B3403" s="62" t="s">
        <v>2003</v>
      </c>
      <c r="C3403" s="63"/>
      <c r="D3403" s="64"/>
      <c r="E3403" s="65"/>
      <c r="F3403" s="66"/>
      <c r="G3403" s="63"/>
      <c r="H3403" s="67"/>
      <c r="I3403" s="68"/>
      <c r="J3403" s="68"/>
      <c r="K3403" s="32"/>
      <c r="L3403" s="75">
        <v>3403</v>
      </c>
      <c r="M3403" s="75"/>
      <c r="N3403" s="70"/>
      <c r="O3403" s="77" t="s">
        <v>2081</v>
      </c>
      <c r="P3403" s="79">
        <v>45074.893622685187</v>
      </c>
      <c r="Q3403" s="77" t="s">
        <v>5084</v>
      </c>
      <c r="R3403" s="77">
        <v>0</v>
      </c>
      <c r="S3403" s="77">
        <v>0</v>
      </c>
      <c r="T3403" s="77">
        <v>0</v>
      </c>
      <c r="U3403" s="77">
        <v>0</v>
      </c>
      <c r="V3403" s="77">
        <v>27</v>
      </c>
      <c r="W3403" s="80" t="s">
        <v>7816</v>
      </c>
      <c r="X3403" s="83" t="str">
        <f>HYPERLINK("https://youtu.be/PmTywDpI5bg")</f>
        <v>https://youtu.be/PmTywDpI5bg</v>
      </c>
      <c r="Y3403" s="77" t="s">
        <v>8635</v>
      </c>
      <c r="Z3403" s="77" t="s">
        <v>9006</v>
      </c>
      <c r="AA3403" s="77"/>
      <c r="AB3403" s="77"/>
      <c r="AC3403" s="80" t="s">
        <v>10540</v>
      </c>
      <c r="AD3403" s="77" t="s">
        <v>10617</v>
      </c>
      <c r="AE3403" s="83" t="str">
        <f>HYPERLINK("https://twitter.com/flauzinoantunes/status/1662933470597750784")</f>
        <v>https://twitter.com/flauzinoantunes/status/1662933470597750784</v>
      </c>
      <c r="AF3403" s="79">
        <v>45074.893622685187</v>
      </c>
      <c r="AG3403" s="85">
        <v>45074</v>
      </c>
      <c r="AH3403" s="80" t="s">
        <v>13582</v>
      </c>
      <c r="AI3403" s="77" t="b">
        <v>0</v>
      </c>
      <c r="AJ3403" s="77"/>
      <c r="AK3403" s="77"/>
      <c r="AL3403" s="77"/>
      <c r="AM3403" s="77"/>
      <c r="AN3403" s="77"/>
      <c r="AO3403" s="77"/>
      <c r="AP3403" s="77"/>
      <c r="AQ3403" s="77"/>
      <c r="AR3403" s="77"/>
      <c r="AS3403" s="77"/>
      <c r="AT3403" s="77"/>
      <c r="AU3403" s="77"/>
      <c r="AV3403" s="83" t="str">
        <f>HYPERLINK("https://pbs.twimg.com/profile_images/1688185678213894145/E6VN5h3q_normal.jpg")</f>
        <v>https://pbs.twimg.com/profile_images/1688185678213894145/E6VN5h3q_normal.jpg</v>
      </c>
      <c r="AW3403" s="80" t="s">
        <v>19128</v>
      </c>
      <c r="AX3403" s="80" t="s">
        <v>19128</v>
      </c>
      <c r="AY3403" s="77"/>
      <c r="AZ3403" s="80" t="s">
        <v>20380</v>
      </c>
      <c r="BA3403" s="80" t="s">
        <v>20380</v>
      </c>
      <c r="BB3403" s="80" t="s">
        <v>20380</v>
      </c>
      <c r="BC3403" s="80" t="s">
        <v>19128</v>
      </c>
      <c r="BD3403" s="77">
        <v>17463509</v>
      </c>
      <c r="BE3403" s="77"/>
      <c r="BF3403" s="77"/>
      <c r="BG3403" s="77"/>
      <c r="BH3403" s="77"/>
      <c r="BI3403" s="77"/>
    </row>
    <row r="3404" spans="1:61" x14ac:dyDescent="0.25">
      <c r="A3404" s="62" t="s">
        <v>1341</v>
      </c>
      <c r="B3404" s="62" t="s">
        <v>2004</v>
      </c>
      <c r="C3404" s="63"/>
      <c r="D3404" s="64"/>
      <c r="E3404" s="65"/>
      <c r="F3404" s="66"/>
      <c r="G3404" s="63"/>
      <c r="H3404" s="67"/>
      <c r="I3404" s="68"/>
      <c r="J3404" s="68"/>
      <c r="K3404" s="32"/>
      <c r="L3404" s="75">
        <v>3404</v>
      </c>
      <c r="M3404" s="75"/>
      <c r="N3404" s="70"/>
      <c r="O3404" s="77" t="s">
        <v>2081</v>
      </c>
      <c r="P3404" s="79">
        <v>45072.992511574077</v>
      </c>
      <c r="Q3404" s="77" t="s">
        <v>5083</v>
      </c>
      <c r="R3404" s="77">
        <v>0</v>
      </c>
      <c r="S3404" s="77">
        <v>0</v>
      </c>
      <c r="T3404" s="77">
        <v>0</v>
      </c>
      <c r="U3404" s="77">
        <v>0</v>
      </c>
      <c r="V3404" s="77">
        <v>22</v>
      </c>
      <c r="W3404" s="80" t="s">
        <v>7999</v>
      </c>
      <c r="X3404" s="83" t="str">
        <f>HYPERLINK("https://flauzinoantunes.com.br/teto-de-gastos-para-pagamento-de-juros-necessidade-urgente/")</f>
        <v>https://flauzinoantunes.com.br/teto-de-gastos-para-pagamento-de-juros-necessidade-urgente/</v>
      </c>
      <c r="Y3404" s="77" t="s">
        <v>8611</v>
      </c>
      <c r="Z3404" s="77" t="s">
        <v>9011</v>
      </c>
      <c r="AA3404" s="77"/>
      <c r="AB3404" s="77"/>
      <c r="AC3404" s="80" t="s">
        <v>10540</v>
      </c>
      <c r="AD3404" s="77" t="s">
        <v>10619</v>
      </c>
      <c r="AE3404" s="83" t="str">
        <f>HYPERLINK("https://twitter.com/flauzinoantunes/status/1662244530144329732")</f>
        <v>https://twitter.com/flauzinoantunes/status/1662244530144329732</v>
      </c>
      <c r="AF3404" s="79">
        <v>45072.992511574077</v>
      </c>
      <c r="AG3404" s="85">
        <v>45072</v>
      </c>
      <c r="AH3404" s="80" t="s">
        <v>13581</v>
      </c>
      <c r="AI3404" s="77" t="b">
        <v>0</v>
      </c>
      <c r="AJ3404" s="77"/>
      <c r="AK3404" s="77"/>
      <c r="AL3404" s="77"/>
      <c r="AM3404" s="77"/>
      <c r="AN3404" s="77"/>
      <c r="AO3404" s="77"/>
      <c r="AP3404" s="77"/>
      <c r="AQ3404" s="77"/>
      <c r="AR3404" s="77"/>
      <c r="AS3404" s="77"/>
      <c r="AT3404" s="77"/>
      <c r="AU3404" s="77"/>
      <c r="AV3404" s="83" t="str">
        <f>HYPERLINK("https://pbs.twimg.com/profile_images/1688185678213894145/E6VN5h3q_normal.jpg")</f>
        <v>https://pbs.twimg.com/profile_images/1688185678213894145/E6VN5h3q_normal.jpg</v>
      </c>
      <c r="AW3404" s="80" t="s">
        <v>19127</v>
      </c>
      <c r="AX3404" s="80" t="s">
        <v>19127</v>
      </c>
      <c r="AY3404" s="77"/>
      <c r="AZ3404" s="80" t="s">
        <v>20380</v>
      </c>
      <c r="BA3404" s="80" t="s">
        <v>20380</v>
      </c>
      <c r="BB3404" s="80" t="s">
        <v>20380</v>
      </c>
      <c r="BC3404" s="80" t="s">
        <v>19127</v>
      </c>
      <c r="BD3404" s="77">
        <v>17463509</v>
      </c>
      <c r="BE3404" s="77"/>
      <c r="BF3404" s="77"/>
      <c r="BG3404" s="77"/>
      <c r="BH3404" s="77"/>
      <c r="BI3404" s="77"/>
    </row>
    <row r="3405" spans="1:61" x14ac:dyDescent="0.25">
      <c r="A3405" s="62" t="s">
        <v>1341</v>
      </c>
      <c r="B3405" s="62" t="s">
        <v>2004</v>
      </c>
      <c r="C3405" s="63"/>
      <c r="D3405" s="64"/>
      <c r="E3405" s="65"/>
      <c r="F3405" s="66"/>
      <c r="G3405" s="63"/>
      <c r="H3405" s="67"/>
      <c r="I3405" s="68"/>
      <c r="J3405" s="68"/>
      <c r="K3405" s="32"/>
      <c r="L3405" s="75">
        <v>3405</v>
      </c>
      <c r="M3405" s="75"/>
      <c r="N3405" s="70"/>
      <c r="O3405" s="77" t="s">
        <v>2081</v>
      </c>
      <c r="P3405" s="79">
        <v>45074.893622685187</v>
      </c>
      <c r="Q3405" s="77" t="s">
        <v>5084</v>
      </c>
      <c r="R3405" s="77">
        <v>0</v>
      </c>
      <c r="S3405" s="77">
        <v>0</v>
      </c>
      <c r="T3405" s="77">
        <v>0</v>
      </c>
      <c r="U3405" s="77">
        <v>0</v>
      </c>
      <c r="V3405" s="77">
        <v>27</v>
      </c>
      <c r="W3405" s="80" t="s">
        <v>7816</v>
      </c>
      <c r="X3405" s="83" t="str">
        <f>HYPERLINK("https://youtu.be/PmTywDpI5bg")</f>
        <v>https://youtu.be/PmTywDpI5bg</v>
      </c>
      <c r="Y3405" s="77" t="s">
        <v>8635</v>
      </c>
      <c r="Z3405" s="77" t="s">
        <v>9006</v>
      </c>
      <c r="AA3405" s="77"/>
      <c r="AB3405" s="77"/>
      <c r="AC3405" s="80" t="s">
        <v>10540</v>
      </c>
      <c r="AD3405" s="77" t="s">
        <v>10617</v>
      </c>
      <c r="AE3405" s="83" t="str">
        <f>HYPERLINK("https://twitter.com/flauzinoantunes/status/1662933470597750784")</f>
        <v>https://twitter.com/flauzinoantunes/status/1662933470597750784</v>
      </c>
      <c r="AF3405" s="79">
        <v>45074.893622685187</v>
      </c>
      <c r="AG3405" s="85">
        <v>45074</v>
      </c>
      <c r="AH3405" s="80" t="s">
        <v>13582</v>
      </c>
      <c r="AI3405" s="77" t="b">
        <v>0</v>
      </c>
      <c r="AJ3405" s="77"/>
      <c r="AK3405" s="77"/>
      <c r="AL3405" s="77"/>
      <c r="AM3405" s="77"/>
      <c r="AN3405" s="77"/>
      <c r="AO3405" s="77"/>
      <c r="AP3405" s="77"/>
      <c r="AQ3405" s="77"/>
      <c r="AR3405" s="77"/>
      <c r="AS3405" s="77"/>
      <c r="AT3405" s="77"/>
      <c r="AU3405" s="77"/>
      <c r="AV3405" s="83" t="str">
        <f>HYPERLINK("https://pbs.twimg.com/profile_images/1688185678213894145/E6VN5h3q_normal.jpg")</f>
        <v>https://pbs.twimg.com/profile_images/1688185678213894145/E6VN5h3q_normal.jpg</v>
      </c>
      <c r="AW3405" s="80" t="s">
        <v>19128</v>
      </c>
      <c r="AX3405" s="80" t="s">
        <v>19128</v>
      </c>
      <c r="AY3405" s="77"/>
      <c r="AZ3405" s="80" t="s">
        <v>20380</v>
      </c>
      <c r="BA3405" s="80" t="s">
        <v>20380</v>
      </c>
      <c r="BB3405" s="80" t="s">
        <v>20380</v>
      </c>
      <c r="BC3405" s="80" t="s">
        <v>19128</v>
      </c>
      <c r="BD3405" s="77">
        <v>17463509</v>
      </c>
      <c r="BE3405" s="77"/>
      <c r="BF3405" s="77"/>
      <c r="BG3405" s="77"/>
      <c r="BH3405" s="77"/>
      <c r="BI3405" s="77"/>
    </row>
    <row r="3406" spans="1:61" x14ac:dyDescent="0.25">
      <c r="A3406" s="62" t="s">
        <v>1341</v>
      </c>
      <c r="B3406" s="62" t="s">
        <v>1778</v>
      </c>
      <c r="C3406" s="63"/>
      <c r="D3406" s="64"/>
      <c r="E3406" s="65"/>
      <c r="F3406" s="66"/>
      <c r="G3406" s="63"/>
      <c r="H3406" s="67"/>
      <c r="I3406" s="68"/>
      <c r="J3406" s="68"/>
      <c r="K3406" s="32"/>
      <c r="L3406" s="75">
        <v>3406</v>
      </c>
      <c r="M3406" s="75"/>
      <c r="N3406" s="70"/>
      <c r="O3406" s="77" t="s">
        <v>2081</v>
      </c>
      <c r="P3406" s="79">
        <v>45072.992511574077</v>
      </c>
      <c r="Q3406" s="77" t="s">
        <v>5083</v>
      </c>
      <c r="R3406" s="77">
        <v>0</v>
      </c>
      <c r="S3406" s="77">
        <v>0</v>
      </c>
      <c r="T3406" s="77">
        <v>0</v>
      </c>
      <c r="U3406" s="77">
        <v>0</v>
      </c>
      <c r="V3406" s="77">
        <v>22</v>
      </c>
      <c r="W3406" s="80" t="s">
        <v>7999</v>
      </c>
      <c r="X3406" s="83" t="str">
        <f>HYPERLINK("https://flauzinoantunes.com.br/teto-de-gastos-para-pagamento-de-juros-necessidade-urgente/")</f>
        <v>https://flauzinoantunes.com.br/teto-de-gastos-para-pagamento-de-juros-necessidade-urgente/</v>
      </c>
      <c r="Y3406" s="77" t="s">
        <v>8611</v>
      </c>
      <c r="Z3406" s="77" t="s">
        <v>9011</v>
      </c>
      <c r="AA3406" s="77"/>
      <c r="AB3406" s="77"/>
      <c r="AC3406" s="80" t="s">
        <v>10540</v>
      </c>
      <c r="AD3406" s="77" t="s">
        <v>10619</v>
      </c>
      <c r="AE3406" s="83" t="str">
        <f>HYPERLINK("https://twitter.com/flauzinoantunes/status/1662244530144329732")</f>
        <v>https://twitter.com/flauzinoantunes/status/1662244530144329732</v>
      </c>
      <c r="AF3406" s="79">
        <v>45072.992511574077</v>
      </c>
      <c r="AG3406" s="85">
        <v>45072</v>
      </c>
      <c r="AH3406" s="80" t="s">
        <v>13581</v>
      </c>
      <c r="AI3406" s="77" t="b">
        <v>0</v>
      </c>
      <c r="AJ3406" s="77"/>
      <c r="AK3406" s="77"/>
      <c r="AL3406" s="77"/>
      <c r="AM3406" s="77"/>
      <c r="AN3406" s="77"/>
      <c r="AO3406" s="77"/>
      <c r="AP3406" s="77"/>
      <c r="AQ3406" s="77"/>
      <c r="AR3406" s="77"/>
      <c r="AS3406" s="77"/>
      <c r="AT3406" s="77"/>
      <c r="AU3406" s="77"/>
      <c r="AV3406" s="83" t="str">
        <f>HYPERLINK("https://pbs.twimg.com/profile_images/1688185678213894145/E6VN5h3q_normal.jpg")</f>
        <v>https://pbs.twimg.com/profile_images/1688185678213894145/E6VN5h3q_normal.jpg</v>
      </c>
      <c r="AW3406" s="80" t="s">
        <v>19127</v>
      </c>
      <c r="AX3406" s="80" t="s">
        <v>19127</v>
      </c>
      <c r="AY3406" s="77"/>
      <c r="AZ3406" s="80" t="s">
        <v>20380</v>
      </c>
      <c r="BA3406" s="80" t="s">
        <v>20380</v>
      </c>
      <c r="BB3406" s="80" t="s">
        <v>20380</v>
      </c>
      <c r="BC3406" s="80" t="s">
        <v>19127</v>
      </c>
      <c r="BD3406" s="77">
        <v>17463509</v>
      </c>
      <c r="BE3406" s="77"/>
      <c r="BF3406" s="77"/>
      <c r="BG3406" s="77"/>
      <c r="BH3406" s="77"/>
      <c r="BI3406" s="77"/>
    </row>
    <row r="3407" spans="1:61" x14ac:dyDescent="0.25">
      <c r="A3407" s="62" t="s">
        <v>1341</v>
      </c>
      <c r="B3407" s="62" t="s">
        <v>1681</v>
      </c>
      <c r="C3407" s="63"/>
      <c r="D3407" s="64"/>
      <c r="E3407" s="65"/>
      <c r="F3407" s="66"/>
      <c r="G3407" s="63"/>
      <c r="H3407" s="67"/>
      <c r="I3407" s="68"/>
      <c r="J3407" s="68"/>
      <c r="K3407" s="32"/>
      <c r="L3407" s="75">
        <v>3407</v>
      </c>
      <c r="M3407" s="75"/>
      <c r="N3407" s="70"/>
      <c r="O3407" s="77" t="s">
        <v>2081</v>
      </c>
      <c r="P3407" s="79">
        <v>45074.893622685187</v>
      </c>
      <c r="Q3407" s="77" t="s">
        <v>5084</v>
      </c>
      <c r="R3407" s="77">
        <v>0</v>
      </c>
      <c r="S3407" s="77">
        <v>0</v>
      </c>
      <c r="T3407" s="77">
        <v>0</v>
      </c>
      <c r="U3407" s="77">
        <v>0</v>
      </c>
      <c r="V3407" s="77">
        <v>27</v>
      </c>
      <c r="W3407" s="80" t="s">
        <v>7816</v>
      </c>
      <c r="X3407" s="83" t="str">
        <f>HYPERLINK("https://youtu.be/PmTywDpI5bg")</f>
        <v>https://youtu.be/PmTywDpI5bg</v>
      </c>
      <c r="Y3407" s="77" t="s">
        <v>8635</v>
      </c>
      <c r="Z3407" s="77" t="s">
        <v>9006</v>
      </c>
      <c r="AA3407" s="77"/>
      <c r="AB3407" s="77"/>
      <c r="AC3407" s="80" t="s">
        <v>10540</v>
      </c>
      <c r="AD3407" s="77" t="s">
        <v>10617</v>
      </c>
      <c r="AE3407" s="83" t="str">
        <f>HYPERLINK("https://twitter.com/flauzinoantunes/status/1662933470597750784")</f>
        <v>https://twitter.com/flauzinoantunes/status/1662933470597750784</v>
      </c>
      <c r="AF3407" s="79">
        <v>45074.893622685187</v>
      </c>
      <c r="AG3407" s="85">
        <v>45074</v>
      </c>
      <c r="AH3407" s="80" t="s">
        <v>13582</v>
      </c>
      <c r="AI3407" s="77" t="b">
        <v>0</v>
      </c>
      <c r="AJ3407" s="77"/>
      <c r="AK3407" s="77"/>
      <c r="AL3407" s="77"/>
      <c r="AM3407" s="77"/>
      <c r="AN3407" s="77"/>
      <c r="AO3407" s="77"/>
      <c r="AP3407" s="77"/>
      <c r="AQ3407" s="77"/>
      <c r="AR3407" s="77"/>
      <c r="AS3407" s="77"/>
      <c r="AT3407" s="77"/>
      <c r="AU3407" s="77"/>
      <c r="AV3407" s="83" t="str">
        <f>HYPERLINK("https://pbs.twimg.com/profile_images/1688185678213894145/E6VN5h3q_normal.jpg")</f>
        <v>https://pbs.twimg.com/profile_images/1688185678213894145/E6VN5h3q_normal.jpg</v>
      </c>
      <c r="AW3407" s="80" t="s">
        <v>19128</v>
      </c>
      <c r="AX3407" s="80" t="s">
        <v>19128</v>
      </c>
      <c r="AY3407" s="77"/>
      <c r="AZ3407" s="80" t="s">
        <v>20380</v>
      </c>
      <c r="BA3407" s="80" t="s">
        <v>20380</v>
      </c>
      <c r="BB3407" s="80" t="s">
        <v>20380</v>
      </c>
      <c r="BC3407" s="80" t="s">
        <v>19128</v>
      </c>
      <c r="BD3407" s="77">
        <v>17463509</v>
      </c>
      <c r="BE3407" s="77"/>
      <c r="BF3407" s="77"/>
      <c r="BG3407" s="77"/>
      <c r="BH3407" s="77"/>
      <c r="BI3407" s="77"/>
    </row>
    <row r="3408" spans="1:61" x14ac:dyDescent="0.25">
      <c r="A3408" s="62" t="s">
        <v>1342</v>
      </c>
      <c r="B3408" s="62" t="s">
        <v>1342</v>
      </c>
      <c r="C3408" s="63"/>
      <c r="D3408" s="64"/>
      <c r="E3408" s="65"/>
      <c r="F3408" s="66"/>
      <c r="G3408" s="63"/>
      <c r="H3408" s="67"/>
      <c r="I3408" s="68"/>
      <c r="J3408" s="68"/>
      <c r="K3408" s="32"/>
      <c r="L3408" s="75">
        <v>3408</v>
      </c>
      <c r="M3408" s="75"/>
      <c r="N3408" s="70"/>
      <c r="O3408" s="77" t="s">
        <v>2078</v>
      </c>
      <c r="P3408" s="79">
        <v>45181.798275462963</v>
      </c>
      <c r="Q3408" s="77" t="s">
        <v>5085</v>
      </c>
      <c r="R3408" s="77">
        <v>1</v>
      </c>
      <c r="S3408" s="77">
        <v>1</v>
      </c>
      <c r="T3408" s="77">
        <v>1</v>
      </c>
      <c r="U3408" s="77">
        <v>0</v>
      </c>
      <c r="V3408" s="77">
        <v>194</v>
      </c>
      <c r="W3408" s="80" t="s">
        <v>8000</v>
      </c>
      <c r="X3408" s="77"/>
      <c r="Y3408" s="77"/>
      <c r="Z3408" s="77"/>
      <c r="AA3408" s="77" t="s">
        <v>10151</v>
      </c>
      <c r="AB3408" s="77" t="s">
        <v>10538</v>
      </c>
      <c r="AC3408" s="80" t="s">
        <v>10541</v>
      </c>
      <c r="AD3408" s="77" t="s">
        <v>10617</v>
      </c>
      <c r="AE3408" s="83" t="str">
        <f>HYPERLINK("https://twitter.com/assembleiasp/status/1701674416067797192")</f>
        <v>https://twitter.com/assembleiasp/status/1701674416067797192</v>
      </c>
      <c r="AF3408" s="79">
        <v>45181.798275462963</v>
      </c>
      <c r="AG3408" s="85">
        <v>45181</v>
      </c>
      <c r="AH3408" s="80" t="s">
        <v>13583</v>
      </c>
      <c r="AI3408" s="77" t="b">
        <v>0</v>
      </c>
      <c r="AJ3408" s="77"/>
      <c r="AK3408" s="77"/>
      <c r="AL3408" s="77"/>
      <c r="AM3408" s="77"/>
      <c r="AN3408" s="77"/>
      <c r="AO3408" s="77"/>
      <c r="AP3408" s="77"/>
      <c r="AQ3408" s="77" t="s">
        <v>15632</v>
      </c>
      <c r="AR3408" s="77"/>
      <c r="AS3408" s="77"/>
      <c r="AT3408" s="77"/>
      <c r="AU3408" s="77"/>
      <c r="AV3408" s="83" t="str">
        <f>HYPERLINK("https://pbs.twimg.com/media/F52PwjqW4AEeWQl.jpg")</f>
        <v>https://pbs.twimg.com/media/F52PwjqW4AEeWQl.jpg</v>
      </c>
      <c r="AW3408" s="80" t="s">
        <v>19129</v>
      </c>
      <c r="AX3408" s="80" t="s">
        <v>20143</v>
      </c>
      <c r="AY3408" s="80" t="s">
        <v>20343</v>
      </c>
      <c r="AZ3408" s="80" t="s">
        <v>20143</v>
      </c>
      <c r="BA3408" s="80" t="s">
        <v>20380</v>
      </c>
      <c r="BB3408" s="80" t="s">
        <v>20380</v>
      </c>
      <c r="BC3408" s="80" t="s">
        <v>20143</v>
      </c>
      <c r="BD3408" s="77">
        <v>78725785</v>
      </c>
      <c r="BE3408" s="77"/>
      <c r="BF3408" s="77"/>
      <c r="BG3408" s="77"/>
      <c r="BH3408" s="77"/>
      <c r="BI3408" s="77"/>
    </row>
    <row r="3409" spans="1:61" x14ac:dyDescent="0.25">
      <c r="A3409" s="62" t="s">
        <v>1343</v>
      </c>
      <c r="B3409" s="62" t="s">
        <v>1919</v>
      </c>
      <c r="C3409" s="63"/>
      <c r="D3409" s="64"/>
      <c r="E3409" s="65"/>
      <c r="F3409" s="66"/>
      <c r="G3409" s="63"/>
      <c r="H3409" s="67"/>
      <c r="I3409" s="68"/>
      <c r="J3409" s="68"/>
      <c r="K3409" s="32"/>
      <c r="L3409" s="75">
        <v>3409</v>
      </c>
      <c r="M3409" s="75"/>
      <c r="N3409" s="70"/>
      <c r="O3409" s="77" t="s">
        <v>2078</v>
      </c>
      <c r="P3409" s="79">
        <v>45196.239340277774</v>
      </c>
      <c r="Q3409" s="77" t="s">
        <v>5086</v>
      </c>
      <c r="R3409" s="77">
        <v>0</v>
      </c>
      <c r="S3409" s="77">
        <v>1</v>
      </c>
      <c r="T3409" s="77">
        <v>0</v>
      </c>
      <c r="U3409" s="77">
        <v>0</v>
      </c>
      <c r="V3409" s="77">
        <v>17</v>
      </c>
      <c r="W3409" s="80" t="s">
        <v>5884</v>
      </c>
      <c r="X3409" s="77"/>
      <c r="Y3409" s="77"/>
      <c r="Z3409" s="77" t="s">
        <v>1919</v>
      </c>
      <c r="AA3409" s="77"/>
      <c r="AB3409" s="77"/>
      <c r="AC3409" s="80" t="s">
        <v>10540</v>
      </c>
      <c r="AD3409" s="77" t="s">
        <v>10620</v>
      </c>
      <c r="AE3409" s="83" t="str">
        <f>HYPERLINK("https://twitter.com/rorinstongcs/status/1706907684434235801")</f>
        <v>https://twitter.com/rorinstongcs/status/1706907684434235801</v>
      </c>
      <c r="AF3409" s="79">
        <v>45196.239340277774</v>
      </c>
      <c r="AG3409" s="85">
        <v>45196</v>
      </c>
      <c r="AH3409" s="80" t="s">
        <v>13584</v>
      </c>
      <c r="AI3409" s="77"/>
      <c r="AJ3409" s="77"/>
      <c r="AK3409" s="77"/>
      <c r="AL3409" s="77"/>
      <c r="AM3409" s="77"/>
      <c r="AN3409" s="77"/>
      <c r="AO3409" s="77"/>
      <c r="AP3409" s="77"/>
      <c r="AQ3409" s="77"/>
      <c r="AR3409" s="77"/>
      <c r="AS3409" s="77"/>
      <c r="AT3409" s="77"/>
      <c r="AU3409" s="77"/>
      <c r="AV3409" s="83" t="str">
        <f>HYPERLINK("https://pbs.twimg.com/profile_images/1576367177149648896/PlzD9Fmg_normal.jpg")</f>
        <v>https://pbs.twimg.com/profile_images/1576367177149648896/PlzD9Fmg_normal.jpg</v>
      </c>
      <c r="AW3409" s="80" t="s">
        <v>19130</v>
      </c>
      <c r="AX3409" s="80" t="s">
        <v>20144</v>
      </c>
      <c r="AY3409" s="80" t="s">
        <v>20344</v>
      </c>
      <c r="AZ3409" s="80" t="s">
        <v>20144</v>
      </c>
      <c r="BA3409" s="80" t="s">
        <v>20380</v>
      </c>
      <c r="BB3409" s="80" t="s">
        <v>20380</v>
      </c>
      <c r="BC3409" s="80" t="s">
        <v>20144</v>
      </c>
      <c r="BD3409" s="80" t="s">
        <v>21045</v>
      </c>
      <c r="BE3409" s="77"/>
      <c r="BF3409" s="77"/>
      <c r="BG3409" s="77"/>
      <c r="BH3409" s="77"/>
      <c r="BI3409" s="77"/>
    </row>
    <row r="3410" spans="1:61" x14ac:dyDescent="0.25">
      <c r="A3410" s="62" t="s">
        <v>1344</v>
      </c>
      <c r="B3410" s="62" t="s">
        <v>1935</v>
      </c>
      <c r="C3410" s="63"/>
      <c r="D3410" s="64"/>
      <c r="E3410" s="65"/>
      <c r="F3410" s="66"/>
      <c r="G3410" s="63"/>
      <c r="H3410" s="67"/>
      <c r="I3410" s="68"/>
      <c r="J3410" s="68"/>
      <c r="K3410" s="32"/>
      <c r="L3410" s="75">
        <v>3410</v>
      </c>
      <c r="M3410" s="75"/>
      <c r="N3410" s="70"/>
      <c r="O3410" s="77" t="s">
        <v>2081</v>
      </c>
      <c r="P3410" s="79">
        <v>45168.094398148147</v>
      </c>
      <c r="Q3410" s="77" t="s">
        <v>5087</v>
      </c>
      <c r="R3410" s="77">
        <v>0</v>
      </c>
      <c r="S3410" s="77">
        <v>1</v>
      </c>
      <c r="T3410" s="77">
        <v>0</v>
      </c>
      <c r="U3410" s="77">
        <v>0</v>
      </c>
      <c r="V3410" s="77">
        <v>16</v>
      </c>
      <c r="W3410" s="80" t="s">
        <v>8001</v>
      </c>
      <c r="X3410" s="77"/>
      <c r="Y3410" s="77"/>
      <c r="Z3410" s="77" t="s">
        <v>9012</v>
      </c>
      <c r="AA3410" s="77" t="s">
        <v>10152</v>
      </c>
      <c r="AB3410" s="77" t="s">
        <v>10535</v>
      </c>
      <c r="AC3410" s="80" t="s">
        <v>10540</v>
      </c>
      <c r="AD3410" s="77" t="s">
        <v>10617</v>
      </c>
      <c r="AE3410" s="83" t="str">
        <f>HYPERLINK("https://twitter.com/tadeumouzinhogo/status/1696708297926045777")</f>
        <v>https://twitter.com/tadeumouzinhogo/status/1696708297926045777</v>
      </c>
      <c r="AF3410" s="79">
        <v>45168.094398148147</v>
      </c>
      <c r="AG3410" s="85">
        <v>45168</v>
      </c>
      <c r="AH3410" s="80" t="s">
        <v>13585</v>
      </c>
      <c r="AI3410" s="77" t="b">
        <v>0</v>
      </c>
      <c r="AJ3410" s="77"/>
      <c r="AK3410" s="77"/>
      <c r="AL3410" s="77"/>
      <c r="AM3410" s="77"/>
      <c r="AN3410" s="77"/>
      <c r="AO3410" s="77"/>
      <c r="AP3410" s="77"/>
      <c r="AQ3410" s="77" t="s">
        <v>15633</v>
      </c>
      <c r="AR3410" s="77"/>
      <c r="AS3410" s="77"/>
      <c r="AT3410" s="77"/>
      <c r="AU3410" s="77"/>
      <c r="AV3410" s="83" t="str">
        <f>HYPERLINK("https://pbs.twimg.com/media/F4vrNJoXsAAbWLu.jpg")</f>
        <v>https://pbs.twimg.com/media/F4vrNJoXsAAbWLu.jpg</v>
      </c>
      <c r="AW3410" s="80" t="s">
        <v>19131</v>
      </c>
      <c r="AX3410" s="80" t="s">
        <v>19131</v>
      </c>
      <c r="AY3410" s="77"/>
      <c r="AZ3410" s="80" t="s">
        <v>20380</v>
      </c>
      <c r="BA3410" s="80" t="s">
        <v>20380</v>
      </c>
      <c r="BB3410" s="80" t="s">
        <v>20380</v>
      </c>
      <c r="BC3410" s="80" t="s">
        <v>19131</v>
      </c>
      <c r="BD3410" s="77">
        <v>55213613</v>
      </c>
      <c r="BE3410" s="77"/>
      <c r="BF3410" s="77"/>
      <c r="BG3410" s="77"/>
      <c r="BH3410" s="77"/>
      <c r="BI3410" s="77"/>
    </row>
    <row r="3411" spans="1:61" x14ac:dyDescent="0.25">
      <c r="A3411" s="62" t="s">
        <v>1344</v>
      </c>
      <c r="B3411" s="62" t="s">
        <v>1922</v>
      </c>
      <c r="C3411" s="63"/>
      <c r="D3411" s="64"/>
      <c r="E3411" s="65"/>
      <c r="F3411" s="66"/>
      <c r="G3411" s="63"/>
      <c r="H3411" s="67"/>
      <c r="I3411" s="68"/>
      <c r="J3411" s="68"/>
      <c r="K3411" s="32"/>
      <c r="L3411" s="75">
        <v>3411</v>
      </c>
      <c r="M3411" s="75"/>
      <c r="N3411" s="70"/>
      <c r="O3411" s="77" t="s">
        <v>2081</v>
      </c>
      <c r="P3411" s="79">
        <v>45168.094398148147</v>
      </c>
      <c r="Q3411" s="77" t="s">
        <v>5087</v>
      </c>
      <c r="R3411" s="77">
        <v>0</v>
      </c>
      <c r="S3411" s="77">
        <v>1</v>
      </c>
      <c r="T3411" s="77">
        <v>0</v>
      </c>
      <c r="U3411" s="77">
        <v>0</v>
      </c>
      <c r="V3411" s="77">
        <v>16</v>
      </c>
      <c r="W3411" s="80" t="s">
        <v>8001</v>
      </c>
      <c r="X3411" s="77"/>
      <c r="Y3411" s="77"/>
      <c r="Z3411" s="77" t="s">
        <v>9012</v>
      </c>
      <c r="AA3411" s="77" t="s">
        <v>10152</v>
      </c>
      <c r="AB3411" s="77" t="s">
        <v>10535</v>
      </c>
      <c r="AC3411" s="80" t="s">
        <v>10540</v>
      </c>
      <c r="AD3411" s="77" t="s">
        <v>10617</v>
      </c>
      <c r="AE3411" s="83" t="str">
        <f>HYPERLINK("https://twitter.com/tadeumouzinhogo/status/1696708297926045777")</f>
        <v>https://twitter.com/tadeumouzinhogo/status/1696708297926045777</v>
      </c>
      <c r="AF3411" s="79">
        <v>45168.094398148147</v>
      </c>
      <c r="AG3411" s="85">
        <v>45168</v>
      </c>
      <c r="AH3411" s="80" t="s">
        <v>13585</v>
      </c>
      <c r="AI3411" s="77" t="b">
        <v>0</v>
      </c>
      <c r="AJ3411" s="77"/>
      <c r="AK3411" s="77"/>
      <c r="AL3411" s="77"/>
      <c r="AM3411" s="77"/>
      <c r="AN3411" s="77"/>
      <c r="AO3411" s="77"/>
      <c r="AP3411" s="77"/>
      <c r="AQ3411" s="77" t="s">
        <v>15633</v>
      </c>
      <c r="AR3411" s="77"/>
      <c r="AS3411" s="77"/>
      <c r="AT3411" s="77"/>
      <c r="AU3411" s="77"/>
      <c r="AV3411" s="83" t="str">
        <f>HYPERLINK("https://pbs.twimg.com/media/F4vrNJoXsAAbWLu.jpg")</f>
        <v>https://pbs.twimg.com/media/F4vrNJoXsAAbWLu.jpg</v>
      </c>
      <c r="AW3411" s="80" t="s">
        <v>19131</v>
      </c>
      <c r="AX3411" s="80" t="s">
        <v>19131</v>
      </c>
      <c r="AY3411" s="77"/>
      <c r="AZ3411" s="80" t="s">
        <v>20380</v>
      </c>
      <c r="BA3411" s="80" t="s">
        <v>20380</v>
      </c>
      <c r="BB3411" s="80" t="s">
        <v>20380</v>
      </c>
      <c r="BC3411" s="80" t="s">
        <v>19131</v>
      </c>
      <c r="BD3411" s="77">
        <v>55213613</v>
      </c>
      <c r="BE3411" s="77"/>
      <c r="BF3411" s="77"/>
      <c r="BG3411" s="77"/>
      <c r="BH3411" s="77"/>
      <c r="BI3411" s="77"/>
    </row>
    <row r="3412" spans="1:61" x14ac:dyDescent="0.25">
      <c r="A3412" s="62" t="s">
        <v>1345</v>
      </c>
      <c r="B3412" s="62" t="s">
        <v>1345</v>
      </c>
      <c r="C3412" s="63"/>
      <c r="D3412" s="64"/>
      <c r="E3412" s="65"/>
      <c r="F3412" s="66"/>
      <c r="G3412" s="63"/>
      <c r="H3412" s="67"/>
      <c r="I3412" s="68"/>
      <c r="J3412" s="68"/>
      <c r="K3412" s="32"/>
      <c r="L3412" s="75">
        <v>3412</v>
      </c>
      <c r="M3412" s="75"/>
      <c r="N3412" s="70"/>
      <c r="O3412" s="77" t="s">
        <v>179</v>
      </c>
      <c r="P3412" s="79">
        <v>45167.898645833331</v>
      </c>
      <c r="Q3412" s="77" t="s">
        <v>5088</v>
      </c>
      <c r="R3412" s="77">
        <v>1837</v>
      </c>
      <c r="S3412" s="77">
        <v>8058</v>
      </c>
      <c r="T3412" s="77">
        <v>988</v>
      </c>
      <c r="U3412" s="77">
        <v>108</v>
      </c>
      <c r="V3412" s="77">
        <v>102002</v>
      </c>
      <c r="W3412" s="77"/>
      <c r="X3412" s="77"/>
      <c r="Y3412" s="77"/>
      <c r="Z3412" s="77"/>
      <c r="AA3412" s="77"/>
      <c r="AB3412" s="77"/>
      <c r="AC3412" s="80" t="s">
        <v>10541</v>
      </c>
      <c r="AD3412" s="77" t="s">
        <v>10617</v>
      </c>
      <c r="AE3412" s="83" t="str">
        <f>HYPERLINK("https://twitter.com/thiagoresiste/status/1696637361503842479")</f>
        <v>https://twitter.com/thiagoresiste/status/1696637361503842479</v>
      </c>
      <c r="AF3412" s="79">
        <v>45167.898645833331</v>
      </c>
      <c r="AG3412" s="85">
        <v>45167</v>
      </c>
      <c r="AH3412" s="80" t="s">
        <v>13586</v>
      </c>
      <c r="AI3412" s="77"/>
      <c r="AJ3412" s="77"/>
      <c r="AK3412" s="77"/>
      <c r="AL3412" s="77"/>
      <c r="AM3412" s="77"/>
      <c r="AN3412" s="77"/>
      <c r="AO3412" s="77"/>
      <c r="AP3412" s="77"/>
      <c r="AQ3412" s="77"/>
      <c r="AR3412" s="77"/>
      <c r="AS3412" s="77"/>
      <c r="AT3412" s="77"/>
      <c r="AU3412" s="77"/>
      <c r="AV3412" s="83" t="str">
        <f>HYPERLINK("https://pbs.twimg.com/profile_images/1370778212259741697/ncZZYK_F_normal.jpg")</f>
        <v>https://pbs.twimg.com/profile_images/1370778212259741697/ncZZYK_F_normal.jpg</v>
      </c>
      <c r="AW3412" s="80" t="s">
        <v>19132</v>
      </c>
      <c r="AX3412" s="80" t="s">
        <v>19132</v>
      </c>
      <c r="AY3412" s="77"/>
      <c r="AZ3412" s="80" t="s">
        <v>20380</v>
      </c>
      <c r="BA3412" s="80" t="s">
        <v>20380</v>
      </c>
      <c r="BB3412" s="80" t="s">
        <v>20380</v>
      </c>
      <c r="BC3412" s="80" t="s">
        <v>19132</v>
      </c>
      <c r="BD3412" s="80" t="s">
        <v>21046</v>
      </c>
      <c r="BE3412" s="77"/>
      <c r="BF3412" s="77"/>
      <c r="BG3412" s="77"/>
      <c r="BH3412" s="77"/>
      <c r="BI3412" s="77"/>
    </row>
    <row r="3413" spans="1:61" x14ac:dyDescent="0.25">
      <c r="A3413" s="62" t="s">
        <v>1344</v>
      </c>
      <c r="B3413" s="62" t="s">
        <v>1345</v>
      </c>
      <c r="C3413" s="63"/>
      <c r="D3413" s="64"/>
      <c r="E3413" s="65"/>
      <c r="F3413" s="66"/>
      <c r="G3413" s="63"/>
      <c r="H3413" s="67"/>
      <c r="I3413" s="68"/>
      <c r="J3413" s="68"/>
      <c r="K3413" s="32"/>
      <c r="L3413" s="75">
        <v>3413</v>
      </c>
      <c r="M3413" s="75"/>
      <c r="N3413" s="70"/>
      <c r="O3413" s="77" t="s">
        <v>2081</v>
      </c>
      <c r="P3413" s="79">
        <v>45168.094398148147</v>
      </c>
      <c r="Q3413" s="77" t="s">
        <v>5087</v>
      </c>
      <c r="R3413" s="77">
        <v>0</v>
      </c>
      <c r="S3413" s="77">
        <v>1</v>
      </c>
      <c r="T3413" s="77">
        <v>0</v>
      </c>
      <c r="U3413" s="77">
        <v>0</v>
      </c>
      <c r="V3413" s="77">
        <v>16</v>
      </c>
      <c r="W3413" s="80" t="s">
        <v>8001</v>
      </c>
      <c r="X3413" s="77"/>
      <c r="Y3413" s="77"/>
      <c r="Z3413" s="77" t="s">
        <v>9012</v>
      </c>
      <c r="AA3413" s="77" t="s">
        <v>10152</v>
      </c>
      <c r="AB3413" s="77" t="s">
        <v>10535</v>
      </c>
      <c r="AC3413" s="80" t="s">
        <v>10540</v>
      </c>
      <c r="AD3413" s="77" t="s">
        <v>10617</v>
      </c>
      <c r="AE3413" s="83" t="str">
        <f>HYPERLINK("https://twitter.com/tadeumouzinhogo/status/1696708297926045777")</f>
        <v>https://twitter.com/tadeumouzinhogo/status/1696708297926045777</v>
      </c>
      <c r="AF3413" s="79">
        <v>45168.094398148147</v>
      </c>
      <c r="AG3413" s="85">
        <v>45168</v>
      </c>
      <c r="AH3413" s="80" t="s">
        <v>13585</v>
      </c>
      <c r="AI3413" s="77" t="b">
        <v>0</v>
      </c>
      <c r="AJ3413" s="77"/>
      <c r="AK3413" s="77"/>
      <c r="AL3413" s="77"/>
      <c r="AM3413" s="77"/>
      <c r="AN3413" s="77"/>
      <c r="AO3413" s="77"/>
      <c r="AP3413" s="77"/>
      <c r="AQ3413" s="77" t="s">
        <v>15633</v>
      </c>
      <c r="AR3413" s="77"/>
      <c r="AS3413" s="77"/>
      <c r="AT3413" s="77"/>
      <c r="AU3413" s="77"/>
      <c r="AV3413" s="83" t="str">
        <f>HYPERLINK("https://pbs.twimg.com/media/F4vrNJoXsAAbWLu.jpg")</f>
        <v>https://pbs.twimg.com/media/F4vrNJoXsAAbWLu.jpg</v>
      </c>
      <c r="AW3413" s="80" t="s">
        <v>19131</v>
      </c>
      <c r="AX3413" s="80" t="s">
        <v>19131</v>
      </c>
      <c r="AY3413" s="77"/>
      <c r="AZ3413" s="80" t="s">
        <v>20380</v>
      </c>
      <c r="BA3413" s="80" t="s">
        <v>20380</v>
      </c>
      <c r="BB3413" s="80" t="s">
        <v>20380</v>
      </c>
      <c r="BC3413" s="80" t="s">
        <v>19131</v>
      </c>
      <c r="BD3413" s="77">
        <v>55213613</v>
      </c>
      <c r="BE3413" s="77"/>
      <c r="BF3413" s="77"/>
      <c r="BG3413" s="77"/>
      <c r="BH3413" s="77"/>
      <c r="BI3413" s="77"/>
    </row>
    <row r="3414" spans="1:61" x14ac:dyDescent="0.25">
      <c r="A3414" s="62" t="s">
        <v>1344</v>
      </c>
      <c r="B3414" s="62" t="s">
        <v>2020</v>
      </c>
      <c r="C3414" s="63"/>
      <c r="D3414" s="64"/>
      <c r="E3414" s="65"/>
      <c r="F3414" s="66"/>
      <c r="G3414" s="63"/>
      <c r="H3414" s="67"/>
      <c r="I3414" s="68"/>
      <c r="J3414" s="68"/>
      <c r="K3414" s="32"/>
      <c r="L3414" s="75">
        <v>3414</v>
      </c>
      <c r="M3414" s="75"/>
      <c r="N3414" s="70"/>
      <c r="O3414" s="77" t="s">
        <v>2081</v>
      </c>
      <c r="P3414" s="79">
        <v>45168.094398148147</v>
      </c>
      <c r="Q3414" s="77" t="s">
        <v>5087</v>
      </c>
      <c r="R3414" s="77">
        <v>0</v>
      </c>
      <c r="S3414" s="77">
        <v>1</v>
      </c>
      <c r="T3414" s="77">
        <v>0</v>
      </c>
      <c r="U3414" s="77">
        <v>0</v>
      </c>
      <c r="V3414" s="77">
        <v>16</v>
      </c>
      <c r="W3414" s="80" t="s">
        <v>8001</v>
      </c>
      <c r="X3414" s="77"/>
      <c r="Y3414" s="77"/>
      <c r="Z3414" s="77" t="s">
        <v>9012</v>
      </c>
      <c r="AA3414" s="77" t="s">
        <v>10152</v>
      </c>
      <c r="AB3414" s="77" t="s">
        <v>10535</v>
      </c>
      <c r="AC3414" s="80" t="s">
        <v>10540</v>
      </c>
      <c r="AD3414" s="77" t="s">
        <v>10617</v>
      </c>
      <c r="AE3414" s="83" t="str">
        <f>HYPERLINK("https://twitter.com/tadeumouzinhogo/status/1696708297926045777")</f>
        <v>https://twitter.com/tadeumouzinhogo/status/1696708297926045777</v>
      </c>
      <c r="AF3414" s="79">
        <v>45168.094398148147</v>
      </c>
      <c r="AG3414" s="85">
        <v>45168</v>
      </c>
      <c r="AH3414" s="80" t="s">
        <v>13585</v>
      </c>
      <c r="AI3414" s="77" t="b">
        <v>0</v>
      </c>
      <c r="AJ3414" s="77"/>
      <c r="AK3414" s="77"/>
      <c r="AL3414" s="77"/>
      <c r="AM3414" s="77"/>
      <c r="AN3414" s="77"/>
      <c r="AO3414" s="77"/>
      <c r="AP3414" s="77"/>
      <c r="AQ3414" s="77" t="s">
        <v>15633</v>
      </c>
      <c r="AR3414" s="77"/>
      <c r="AS3414" s="77"/>
      <c r="AT3414" s="77"/>
      <c r="AU3414" s="77"/>
      <c r="AV3414" s="83" t="str">
        <f>HYPERLINK("https://pbs.twimg.com/media/F4vrNJoXsAAbWLu.jpg")</f>
        <v>https://pbs.twimg.com/media/F4vrNJoXsAAbWLu.jpg</v>
      </c>
      <c r="AW3414" s="80" t="s">
        <v>19131</v>
      </c>
      <c r="AX3414" s="80" t="s">
        <v>19131</v>
      </c>
      <c r="AY3414" s="77"/>
      <c r="AZ3414" s="80" t="s">
        <v>20380</v>
      </c>
      <c r="BA3414" s="80" t="s">
        <v>20380</v>
      </c>
      <c r="BB3414" s="80" t="s">
        <v>20380</v>
      </c>
      <c r="BC3414" s="80" t="s">
        <v>19131</v>
      </c>
      <c r="BD3414" s="77">
        <v>55213613</v>
      </c>
      <c r="BE3414" s="77"/>
      <c r="BF3414" s="77"/>
      <c r="BG3414" s="77"/>
      <c r="BH3414" s="77"/>
      <c r="BI3414" s="77"/>
    </row>
    <row r="3415" spans="1:61" x14ac:dyDescent="0.25">
      <c r="A3415" s="62" t="s">
        <v>1344</v>
      </c>
      <c r="B3415" s="62" t="s">
        <v>1626</v>
      </c>
      <c r="C3415" s="63"/>
      <c r="D3415" s="64"/>
      <c r="E3415" s="65"/>
      <c r="F3415" s="66"/>
      <c r="G3415" s="63"/>
      <c r="H3415" s="67"/>
      <c r="I3415" s="68"/>
      <c r="J3415" s="68"/>
      <c r="K3415" s="32"/>
      <c r="L3415" s="75">
        <v>3415</v>
      </c>
      <c r="M3415" s="75"/>
      <c r="N3415" s="70"/>
      <c r="O3415" s="77" t="s">
        <v>2081</v>
      </c>
      <c r="P3415" s="79">
        <v>45168.094398148147</v>
      </c>
      <c r="Q3415" s="77" t="s">
        <v>5087</v>
      </c>
      <c r="R3415" s="77">
        <v>0</v>
      </c>
      <c r="S3415" s="77">
        <v>1</v>
      </c>
      <c r="T3415" s="77">
        <v>0</v>
      </c>
      <c r="U3415" s="77">
        <v>0</v>
      </c>
      <c r="V3415" s="77">
        <v>16</v>
      </c>
      <c r="W3415" s="80" t="s">
        <v>8001</v>
      </c>
      <c r="X3415" s="77"/>
      <c r="Y3415" s="77"/>
      <c r="Z3415" s="77" t="s">
        <v>9012</v>
      </c>
      <c r="AA3415" s="77" t="s">
        <v>10152</v>
      </c>
      <c r="AB3415" s="77" t="s">
        <v>10535</v>
      </c>
      <c r="AC3415" s="80" t="s">
        <v>10540</v>
      </c>
      <c r="AD3415" s="77" t="s">
        <v>10617</v>
      </c>
      <c r="AE3415" s="83" t="str">
        <f>HYPERLINK("https://twitter.com/tadeumouzinhogo/status/1696708297926045777")</f>
        <v>https://twitter.com/tadeumouzinhogo/status/1696708297926045777</v>
      </c>
      <c r="AF3415" s="79">
        <v>45168.094398148147</v>
      </c>
      <c r="AG3415" s="85">
        <v>45168</v>
      </c>
      <c r="AH3415" s="80" t="s">
        <v>13585</v>
      </c>
      <c r="AI3415" s="77" t="b">
        <v>0</v>
      </c>
      <c r="AJ3415" s="77"/>
      <c r="AK3415" s="77"/>
      <c r="AL3415" s="77"/>
      <c r="AM3415" s="77"/>
      <c r="AN3415" s="77"/>
      <c r="AO3415" s="77"/>
      <c r="AP3415" s="77"/>
      <c r="AQ3415" s="77" t="s">
        <v>15633</v>
      </c>
      <c r="AR3415" s="77"/>
      <c r="AS3415" s="77"/>
      <c r="AT3415" s="77"/>
      <c r="AU3415" s="77"/>
      <c r="AV3415" s="83" t="str">
        <f>HYPERLINK("https://pbs.twimg.com/media/F4vrNJoXsAAbWLu.jpg")</f>
        <v>https://pbs.twimg.com/media/F4vrNJoXsAAbWLu.jpg</v>
      </c>
      <c r="AW3415" s="80" t="s">
        <v>19131</v>
      </c>
      <c r="AX3415" s="80" t="s">
        <v>19131</v>
      </c>
      <c r="AY3415" s="77"/>
      <c r="AZ3415" s="80" t="s">
        <v>20380</v>
      </c>
      <c r="BA3415" s="80" t="s">
        <v>20380</v>
      </c>
      <c r="BB3415" s="80" t="s">
        <v>20380</v>
      </c>
      <c r="BC3415" s="80" t="s">
        <v>19131</v>
      </c>
      <c r="BD3415" s="77">
        <v>55213613</v>
      </c>
      <c r="BE3415" s="77"/>
      <c r="BF3415" s="77"/>
      <c r="BG3415" s="77"/>
      <c r="BH3415" s="77"/>
      <c r="BI3415" s="77"/>
    </row>
    <row r="3416" spans="1:61" x14ac:dyDescent="0.25">
      <c r="A3416" s="62" t="s">
        <v>1346</v>
      </c>
      <c r="B3416" s="62" t="s">
        <v>2021</v>
      </c>
      <c r="C3416" s="63"/>
      <c r="D3416" s="64"/>
      <c r="E3416" s="65"/>
      <c r="F3416" s="66"/>
      <c r="G3416" s="63"/>
      <c r="H3416" s="67"/>
      <c r="I3416" s="68"/>
      <c r="J3416" s="68"/>
      <c r="K3416" s="32"/>
      <c r="L3416" s="75">
        <v>3416</v>
      </c>
      <c r="M3416" s="75"/>
      <c r="N3416" s="70"/>
      <c r="O3416" s="77" t="s">
        <v>2081</v>
      </c>
      <c r="P3416" s="79">
        <v>45175.781261574077</v>
      </c>
      <c r="Q3416" s="77" t="s">
        <v>5089</v>
      </c>
      <c r="R3416" s="77">
        <v>1</v>
      </c>
      <c r="S3416" s="77">
        <v>3</v>
      </c>
      <c r="T3416" s="77">
        <v>1</v>
      </c>
      <c r="U3416" s="77">
        <v>1</v>
      </c>
      <c r="V3416" s="77">
        <v>3087</v>
      </c>
      <c r="W3416" s="77"/>
      <c r="X3416" s="83" t="str">
        <f>HYPERLINK("http://lt.cl/qml5t1")</f>
        <v>http://lt.cl/qml5t1</v>
      </c>
      <c r="Y3416" s="77" t="s">
        <v>8833</v>
      </c>
      <c r="Z3416" s="77" t="s">
        <v>2021</v>
      </c>
      <c r="AA3416" s="77" t="s">
        <v>10153</v>
      </c>
      <c r="AB3416" s="77" t="s">
        <v>10535</v>
      </c>
      <c r="AC3416" s="80" t="s">
        <v>10609</v>
      </c>
      <c r="AD3416" s="77" t="s">
        <v>10620</v>
      </c>
      <c r="AE3416" s="83" t="str">
        <f>HYPERLINK("https://twitter.com/latercera/status/1699493925025718510")</f>
        <v>https://twitter.com/latercera/status/1699493925025718510</v>
      </c>
      <c r="AF3416" s="79">
        <v>45175.781261574077</v>
      </c>
      <c r="AG3416" s="85">
        <v>45175</v>
      </c>
      <c r="AH3416" s="80" t="s">
        <v>13587</v>
      </c>
      <c r="AI3416" s="77" t="b">
        <v>0</v>
      </c>
      <c r="AJ3416" s="77"/>
      <c r="AK3416" s="77"/>
      <c r="AL3416" s="77"/>
      <c r="AM3416" s="77"/>
      <c r="AN3416" s="77"/>
      <c r="AO3416" s="77"/>
      <c r="AP3416" s="77"/>
      <c r="AQ3416" s="77" t="s">
        <v>15634</v>
      </c>
      <c r="AR3416" s="77"/>
      <c r="AS3416" s="77"/>
      <c r="AT3416" s="77"/>
      <c r="AU3416" s="77"/>
      <c r="AV3416" s="83" t="str">
        <f>HYPERLINK("https://pbs.twimg.com/media/F5XP0r4WEAAK-ym.jpg")</f>
        <v>https://pbs.twimg.com/media/F5XP0r4WEAAK-ym.jpg</v>
      </c>
      <c r="AW3416" s="80" t="s">
        <v>19133</v>
      </c>
      <c r="AX3416" s="80" t="s">
        <v>19133</v>
      </c>
      <c r="AY3416" s="77"/>
      <c r="AZ3416" s="80" t="s">
        <v>20380</v>
      </c>
      <c r="BA3416" s="80" t="s">
        <v>20380</v>
      </c>
      <c r="BB3416" s="80" t="s">
        <v>20380</v>
      </c>
      <c r="BC3416" s="80" t="s">
        <v>19133</v>
      </c>
      <c r="BD3416" s="77">
        <v>3222731</v>
      </c>
      <c r="BE3416" s="77"/>
      <c r="BF3416" s="77"/>
      <c r="BG3416" s="77"/>
      <c r="BH3416" s="77"/>
      <c r="BI3416" s="77"/>
    </row>
    <row r="3417" spans="1:61" x14ac:dyDescent="0.25">
      <c r="A3417" s="62" t="s">
        <v>1347</v>
      </c>
      <c r="B3417" s="62" t="s">
        <v>2010</v>
      </c>
      <c r="C3417" s="63"/>
      <c r="D3417" s="64"/>
      <c r="E3417" s="65"/>
      <c r="F3417" s="66"/>
      <c r="G3417" s="63"/>
      <c r="H3417" s="67"/>
      <c r="I3417" s="68"/>
      <c r="J3417" s="68"/>
      <c r="K3417" s="32"/>
      <c r="L3417" s="75">
        <v>3417</v>
      </c>
      <c r="M3417" s="75"/>
      <c r="N3417" s="70"/>
      <c r="O3417" s="77" t="s">
        <v>2081</v>
      </c>
      <c r="P3417" s="79">
        <v>45095.087824074071</v>
      </c>
      <c r="Q3417" s="77" t="s">
        <v>5090</v>
      </c>
      <c r="R3417" s="77">
        <v>0</v>
      </c>
      <c r="S3417" s="77">
        <v>1</v>
      </c>
      <c r="T3417" s="77">
        <v>0</v>
      </c>
      <c r="U3417" s="77">
        <v>0</v>
      </c>
      <c r="V3417" s="77">
        <v>81</v>
      </c>
      <c r="W3417" s="80" t="s">
        <v>8002</v>
      </c>
      <c r="X3417" s="77"/>
      <c r="Y3417" s="77"/>
      <c r="Z3417" s="77" t="s">
        <v>9013</v>
      </c>
      <c r="AA3417" s="77" t="s">
        <v>10154</v>
      </c>
      <c r="AB3417" s="77" t="s">
        <v>10535</v>
      </c>
      <c r="AC3417" s="80" t="s">
        <v>10542</v>
      </c>
      <c r="AD3417" s="77" t="s">
        <v>10617</v>
      </c>
      <c r="AE3417" s="83" t="str">
        <f>HYPERLINK("https://twitter.com/wagneralmeida/status/1670251601640976387")</f>
        <v>https://twitter.com/wagneralmeida/status/1670251601640976387</v>
      </c>
      <c r="AF3417" s="79">
        <v>45095.087824074071</v>
      </c>
      <c r="AG3417" s="85">
        <v>45095</v>
      </c>
      <c r="AH3417" s="80" t="s">
        <v>13588</v>
      </c>
      <c r="AI3417" s="77" t="b">
        <v>0</v>
      </c>
      <c r="AJ3417" s="77"/>
      <c r="AK3417" s="77"/>
      <c r="AL3417" s="77"/>
      <c r="AM3417" s="77"/>
      <c r="AN3417" s="77"/>
      <c r="AO3417" s="77"/>
      <c r="AP3417" s="77"/>
      <c r="AQ3417" s="77" t="s">
        <v>15635</v>
      </c>
      <c r="AR3417" s="77"/>
      <c r="AS3417" s="77"/>
      <c r="AT3417" s="77"/>
      <c r="AU3417" s="77"/>
      <c r="AV3417" s="83" t="str">
        <f>HYPERLINK("https://pbs.twimg.com/media/Fy3s-lFWYAA4k-n.jpg")</f>
        <v>https://pbs.twimg.com/media/Fy3s-lFWYAA4k-n.jpg</v>
      </c>
      <c r="AW3417" s="80" t="s">
        <v>19134</v>
      </c>
      <c r="AX3417" s="80" t="s">
        <v>19134</v>
      </c>
      <c r="AY3417" s="80" t="s">
        <v>20345</v>
      </c>
      <c r="AZ3417" s="80" t="s">
        <v>20380</v>
      </c>
      <c r="BA3417" s="80" t="s">
        <v>20380</v>
      </c>
      <c r="BB3417" s="80" t="s">
        <v>20380</v>
      </c>
      <c r="BC3417" s="80" t="s">
        <v>19134</v>
      </c>
      <c r="BD3417" s="77">
        <v>15537575</v>
      </c>
      <c r="BE3417" s="77"/>
      <c r="BF3417" s="77"/>
      <c r="BG3417" s="77"/>
      <c r="BH3417" s="77"/>
      <c r="BI3417" s="77"/>
    </row>
    <row r="3418" spans="1:61" x14ac:dyDescent="0.25">
      <c r="A3418" s="62" t="s">
        <v>1347</v>
      </c>
      <c r="B3418" s="62" t="s">
        <v>2022</v>
      </c>
      <c r="C3418" s="63"/>
      <c r="D3418" s="64"/>
      <c r="E3418" s="65"/>
      <c r="F3418" s="66"/>
      <c r="G3418" s="63"/>
      <c r="H3418" s="67"/>
      <c r="I3418" s="68"/>
      <c r="J3418" s="68"/>
      <c r="K3418" s="32"/>
      <c r="L3418" s="75">
        <v>3418</v>
      </c>
      <c r="M3418" s="75"/>
      <c r="N3418" s="70"/>
      <c r="O3418" s="77" t="s">
        <v>2081</v>
      </c>
      <c r="P3418" s="79">
        <v>45095.087824074071</v>
      </c>
      <c r="Q3418" s="77" t="s">
        <v>5090</v>
      </c>
      <c r="R3418" s="77">
        <v>0</v>
      </c>
      <c r="S3418" s="77">
        <v>1</v>
      </c>
      <c r="T3418" s="77">
        <v>0</v>
      </c>
      <c r="U3418" s="77">
        <v>0</v>
      </c>
      <c r="V3418" s="77">
        <v>81</v>
      </c>
      <c r="W3418" s="80" t="s">
        <v>8002</v>
      </c>
      <c r="X3418" s="77"/>
      <c r="Y3418" s="77"/>
      <c r="Z3418" s="77" t="s">
        <v>9013</v>
      </c>
      <c r="AA3418" s="77" t="s">
        <v>10154</v>
      </c>
      <c r="AB3418" s="77" t="s">
        <v>10535</v>
      </c>
      <c r="AC3418" s="80" t="s">
        <v>10542</v>
      </c>
      <c r="AD3418" s="77" t="s">
        <v>10617</v>
      </c>
      <c r="AE3418" s="83" t="str">
        <f>HYPERLINK("https://twitter.com/wagneralmeida/status/1670251601640976387")</f>
        <v>https://twitter.com/wagneralmeida/status/1670251601640976387</v>
      </c>
      <c r="AF3418" s="79">
        <v>45095.087824074071</v>
      </c>
      <c r="AG3418" s="85">
        <v>45095</v>
      </c>
      <c r="AH3418" s="80" t="s">
        <v>13588</v>
      </c>
      <c r="AI3418" s="77" t="b">
        <v>0</v>
      </c>
      <c r="AJ3418" s="77"/>
      <c r="AK3418" s="77"/>
      <c r="AL3418" s="77"/>
      <c r="AM3418" s="77"/>
      <c r="AN3418" s="77"/>
      <c r="AO3418" s="77"/>
      <c r="AP3418" s="77"/>
      <c r="AQ3418" s="77" t="s">
        <v>15635</v>
      </c>
      <c r="AR3418" s="77"/>
      <c r="AS3418" s="77"/>
      <c r="AT3418" s="77"/>
      <c r="AU3418" s="77"/>
      <c r="AV3418" s="83" t="str">
        <f>HYPERLINK("https://pbs.twimg.com/media/Fy3s-lFWYAA4k-n.jpg")</f>
        <v>https://pbs.twimg.com/media/Fy3s-lFWYAA4k-n.jpg</v>
      </c>
      <c r="AW3418" s="80" t="s">
        <v>19134</v>
      </c>
      <c r="AX3418" s="80" t="s">
        <v>19134</v>
      </c>
      <c r="AY3418" s="80" t="s">
        <v>20345</v>
      </c>
      <c r="AZ3418" s="80" t="s">
        <v>20380</v>
      </c>
      <c r="BA3418" s="80" t="s">
        <v>20380</v>
      </c>
      <c r="BB3418" s="80" t="s">
        <v>20380</v>
      </c>
      <c r="BC3418" s="80" t="s">
        <v>19134</v>
      </c>
      <c r="BD3418" s="77">
        <v>15537575</v>
      </c>
      <c r="BE3418" s="77"/>
      <c r="BF3418" s="77"/>
      <c r="BG3418" s="77"/>
      <c r="BH3418" s="77"/>
      <c r="BI3418" s="77"/>
    </row>
    <row r="3419" spans="1:61" x14ac:dyDescent="0.25">
      <c r="A3419" s="62" t="s">
        <v>1348</v>
      </c>
      <c r="B3419" s="62" t="s">
        <v>1348</v>
      </c>
      <c r="C3419" s="63"/>
      <c r="D3419" s="64"/>
      <c r="E3419" s="65"/>
      <c r="F3419" s="66"/>
      <c r="G3419" s="63"/>
      <c r="H3419" s="67"/>
      <c r="I3419" s="68"/>
      <c r="J3419" s="68"/>
      <c r="K3419" s="32"/>
      <c r="L3419" s="75">
        <v>3419</v>
      </c>
      <c r="M3419" s="75"/>
      <c r="N3419" s="70"/>
      <c r="O3419" s="77" t="s">
        <v>179</v>
      </c>
      <c r="P3419" s="79">
        <v>45111.696215277778</v>
      </c>
      <c r="Q3419" s="77" t="s">
        <v>5091</v>
      </c>
      <c r="R3419" s="77">
        <v>0</v>
      </c>
      <c r="S3419" s="77">
        <v>0</v>
      </c>
      <c r="T3419" s="77">
        <v>0</v>
      </c>
      <c r="U3419" s="77">
        <v>0</v>
      </c>
      <c r="V3419" s="77">
        <v>160</v>
      </c>
      <c r="W3419" s="80" t="s">
        <v>7096</v>
      </c>
      <c r="X3419" s="83" t="str">
        <f>HYPERLINK("https://www.concierto.cl/2023/07/jose-de-gregorio-expresidente-del-banco-central-el-gran-problema-de-crecimiento-en-chile-es-la-politica/")</f>
        <v>https://www.concierto.cl/2023/07/jose-de-gregorio-expresidente-del-banco-central-el-gran-problema-de-crecimiento-en-chile-es-la-politica/</v>
      </c>
      <c r="Y3419" s="77" t="s">
        <v>8834</v>
      </c>
      <c r="Z3419" s="77"/>
      <c r="AA3419" s="77"/>
      <c r="AB3419" s="77"/>
      <c r="AC3419" s="80" t="s">
        <v>10555</v>
      </c>
      <c r="AD3419" s="77" t="s">
        <v>10620</v>
      </c>
      <c r="AE3419" s="83" t="str">
        <f>HYPERLINK("https://twitter.com/conciertoradio/status/1676270280602275840")</f>
        <v>https://twitter.com/conciertoradio/status/1676270280602275840</v>
      </c>
      <c r="AF3419" s="79">
        <v>45111.696215277778</v>
      </c>
      <c r="AG3419" s="85">
        <v>45111</v>
      </c>
      <c r="AH3419" s="80" t="s">
        <v>13589</v>
      </c>
      <c r="AI3419" s="77" t="b">
        <v>0</v>
      </c>
      <c r="AJ3419" s="77"/>
      <c r="AK3419" s="77"/>
      <c r="AL3419" s="77"/>
      <c r="AM3419" s="77"/>
      <c r="AN3419" s="77"/>
      <c r="AO3419" s="77"/>
      <c r="AP3419" s="77"/>
      <c r="AQ3419" s="77"/>
      <c r="AR3419" s="77"/>
      <c r="AS3419" s="77"/>
      <c r="AT3419" s="77"/>
      <c r="AU3419" s="77"/>
      <c r="AV3419" s="83" t="str">
        <f>HYPERLINK("https://pbs.twimg.com/profile_images/1688545758637678592/OqtlaYAQ_normal.jpg")</f>
        <v>https://pbs.twimg.com/profile_images/1688545758637678592/OqtlaYAQ_normal.jpg</v>
      </c>
      <c r="AW3419" s="80" t="s">
        <v>19135</v>
      </c>
      <c r="AX3419" s="80" t="s">
        <v>19135</v>
      </c>
      <c r="AY3419" s="77"/>
      <c r="AZ3419" s="80" t="s">
        <v>20380</v>
      </c>
      <c r="BA3419" s="80" t="s">
        <v>20380</v>
      </c>
      <c r="BB3419" s="80" t="s">
        <v>20380</v>
      </c>
      <c r="BC3419" s="80" t="s">
        <v>19135</v>
      </c>
      <c r="BD3419" s="77">
        <v>267933419</v>
      </c>
      <c r="BE3419" s="77"/>
      <c r="BF3419" s="77"/>
      <c r="BG3419" s="77"/>
      <c r="BH3419" s="77"/>
      <c r="BI3419" s="77"/>
    </row>
    <row r="3420" spans="1:61" x14ac:dyDescent="0.25">
      <c r="A3420" s="62" t="s">
        <v>1349</v>
      </c>
      <c r="B3420" s="62" t="s">
        <v>1349</v>
      </c>
      <c r="C3420" s="63"/>
      <c r="D3420" s="64"/>
      <c r="E3420" s="65"/>
      <c r="F3420" s="66"/>
      <c r="G3420" s="63"/>
      <c r="H3420" s="67"/>
      <c r="I3420" s="68"/>
      <c r="J3420" s="68"/>
      <c r="K3420" s="32"/>
      <c r="L3420" s="75">
        <v>3420</v>
      </c>
      <c r="M3420" s="75"/>
      <c r="N3420" s="70"/>
      <c r="O3420" s="77" t="s">
        <v>179</v>
      </c>
      <c r="P3420" s="79">
        <v>45125.681064814817</v>
      </c>
      <c r="Q3420" s="77" t="s">
        <v>5092</v>
      </c>
      <c r="R3420" s="77">
        <v>709</v>
      </c>
      <c r="S3420" s="77">
        <v>1381</v>
      </c>
      <c r="T3420" s="77">
        <v>50</v>
      </c>
      <c r="U3420" s="77">
        <v>26</v>
      </c>
      <c r="V3420" s="77">
        <v>94529</v>
      </c>
      <c r="W3420" s="77"/>
      <c r="X3420" s="77"/>
      <c r="Y3420" s="77"/>
      <c r="Z3420" s="77"/>
      <c r="AA3420" s="77" t="s">
        <v>10155</v>
      </c>
      <c r="AB3420" s="77" t="s">
        <v>10535</v>
      </c>
      <c r="AC3420" s="80" t="s">
        <v>10541</v>
      </c>
      <c r="AD3420" s="77" t="s">
        <v>10620</v>
      </c>
      <c r="AE3420" s="83" t="str">
        <f>HYPERLINK("https://twitter.com/fernandomarull/status/1681338221794410504")</f>
        <v>https://twitter.com/fernandomarull/status/1681338221794410504</v>
      </c>
      <c r="AF3420" s="79">
        <v>45125.681064814817</v>
      </c>
      <c r="AG3420" s="85">
        <v>45125</v>
      </c>
      <c r="AH3420" s="80" t="s">
        <v>13590</v>
      </c>
      <c r="AI3420" s="77" t="b">
        <v>0</v>
      </c>
      <c r="AJ3420" s="77"/>
      <c r="AK3420" s="77"/>
      <c r="AL3420" s="77"/>
      <c r="AM3420" s="77"/>
      <c r="AN3420" s="77"/>
      <c r="AO3420" s="77"/>
      <c r="AP3420" s="77"/>
      <c r="AQ3420" s="77" t="s">
        <v>15636</v>
      </c>
      <c r="AR3420" s="77"/>
      <c r="AS3420" s="77"/>
      <c r="AT3420" s="77"/>
      <c r="AU3420" s="77"/>
      <c r="AV3420" s="83" t="str">
        <f>HYPERLINK("https://pbs.twimg.com/media/F1VO802XwAArCzu.png")</f>
        <v>https://pbs.twimg.com/media/F1VO802XwAArCzu.png</v>
      </c>
      <c r="AW3420" s="80" t="s">
        <v>19136</v>
      </c>
      <c r="AX3420" s="80" t="s">
        <v>19136</v>
      </c>
      <c r="AY3420" s="77"/>
      <c r="AZ3420" s="80" t="s">
        <v>20380</v>
      </c>
      <c r="BA3420" s="80" t="s">
        <v>20380</v>
      </c>
      <c r="BB3420" s="80" t="s">
        <v>20380</v>
      </c>
      <c r="BC3420" s="80" t="s">
        <v>19136</v>
      </c>
      <c r="BD3420" s="77">
        <v>520788894</v>
      </c>
      <c r="BE3420" s="77"/>
      <c r="BF3420" s="77"/>
      <c r="BG3420" s="77"/>
      <c r="BH3420" s="77"/>
      <c r="BI3420" s="77"/>
    </row>
    <row r="3421" spans="1:61" x14ac:dyDescent="0.25">
      <c r="A3421" s="62" t="s">
        <v>1350</v>
      </c>
      <c r="B3421" s="62" t="s">
        <v>1350</v>
      </c>
      <c r="C3421" s="63"/>
      <c r="D3421" s="64"/>
      <c r="E3421" s="65"/>
      <c r="F3421" s="66"/>
      <c r="G3421" s="63"/>
      <c r="H3421" s="67"/>
      <c r="I3421" s="68"/>
      <c r="J3421" s="68"/>
      <c r="K3421" s="32"/>
      <c r="L3421" s="75">
        <v>3421</v>
      </c>
      <c r="M3421" s="75"/>
      <c r="N3421" s="70"/>
      <c r="O3421" s="77" t="s">
        <v>179</v>
      </c>
      <c r="P3421" s="79">
        <v>45054.731203703705</v>
      </c>
      <c r="Q3421" s="77" t="s">
        <v>5093</v>
      </c>
      <c r="R3421" s="77">
        <v>0</v>
      </c>
      <c r="S3421" s="77">
        <v>0</v>
      </c>
      <c r="T3421" s="77">
        <v>0</v>
      </c>
      <c r="U3421" s="77">
        <v>0</v>
      </c>
      <c r="V3421" s="77">
        <v>9</v>
      </c>
      <c r="W3421" s="80" t="s">
        <v>8003</v>
      </c>
      <c r="X3421" s="83" t="str">
        <f>HYPERLINK("http://www.riomaframix.com.br")</f>
        <v>http://www.riomaframix.com.br</v>
      </c>
      <c r="Y3421" s="77" t="s">
        <v>8611</v>
      </c>
      <c r="Z3421" s="77"/>
      <c r="AA3421" s="77" t="s">
        <v>10156</v>
      </c>
      <c r="AB3421" s="77" t="s">
        <v>10535</v>
      </c>
      <c r="AC3421" s="80" t="s">
        <v>10550</v>
      </c>
      <c r="AD3421" s="77" t="s">
        <v>10617</v>
      </c>
      <c r="AE3421" s="83" t="str">
        <f>HYPERLINK("https://twitter.com/riomaframix/status/1655626854454243344")</f>
        <v>https://twitter.com/riomaframix/status/1655626854454243344</v>
      </c>
      <c r="AF3421" s="79">
        <v>45054.731203703705</v>
      </c>
      <c r="AG3421" s="85">
        <v>45054</v>
      </c>
      <c r="AH3421" s="80" t="s">
        <v>12997</v>
      </c>
      <c r="AI3421" s="77" t="b">
        <v>0</v>
      </c>
      <c r="AJ3421" s="77"/>
      <c r="AK3421" s="77"/>
      <c r="AL3421" s="77"/>
      <c r="AM3421" s="77"/>
      <c r="AN3421" s="77"/>
      <c r="AO3421" s="77"/>
      <c r="AP3421" s="77"/>
      <c r="AQ3421" s="77" t="s">
        <v>15637</v>
      </c>
      <c r="AR3421" s="77"/>
      <c r="AS3421" s="77"/>
      <c r="AT3421" s="77"/>
      <c r="AU3421" s="77"/>
      <c r="AV3421" s="83" t="str">
        <f>HYPERLINK("https://pbs.twimg.com/media/Fvn32bMXsBUNdZx.jpg")</f>
        <v>https://pbs.twimg.com/media/Fvn32bMXsBUNdZx.jpg</v>
      </c>
      <c r="AW3421" s="80" t="s">
        <v>19137</v>
      </c>
      <c r="AX3421" s="80" t="s">
        <v>19137</v>
      </c>
      <c r="AY3421" s="77"/>
      <c r="AZ3421" s="80" t="s">
        <v>20380</v>
      </c>
      <c r="BA3421" s="80" t="s">
        <v>20380</v>
      </c>
      <c r="BB3421" s="80" t="s">
        <v>20380</v>
      </c>
      <c r="BC3421" s="80" t="s">
        <v>19137</v>
      </c>
      <c r="BD3421" s="80" t="s">
        <v>21047</v>
      </c>
      <c r="BE3421" s="77"/>
      <c r="BF3421" s="77"/>
      <c r="BG3421" s="77"/>
      <c r="BH3421" s="77"/>
      <c r="BI3421" s="77"/>
    </row>
    <row r="3422" spans="1:61" x14ac:dyDescent="0.25">
      <c r="A3422" s="62" t="s">
        <v>1350</v>
      </c>
      <c r="B3422" s="62" t="s">
        <v>1350</v>
      </c>
      <c r="C3422" s="63"/>
      <c r="D3422" s="64"/>
      <c r="E3422" s="65"/>
      <c r="F3422" s="66"/>
      <c r="G3422" s="63"/>
      <c r="H3422" s="67"/>
      <c r="I3422" s="68"/>
      <c r="J3422" s="68"/>
      <c r="K3422" s="32"/>
      <c r="L3422" s="75">
        <v>3422</v>
      </c>
      <c r="M3422" s="75"/>
      <c r="N3422" s="70"/>
      <c r="O3422" s="77" t="s">
        <v>179</v>
      </c>
      <c r="P3422" s="79">
        <v>45086.820625</v>
      </c>
      <c r="Q3422" s="77" t="s">
        <v>5094</v>
      </c>
      <c r="R3422" s="77">
        <v>0</v>
      </c>
      <c r="S3422" s="77">
        <v>0</v>
      </c>
      <c r="T3422" s="77">
        <v>0</v>
      </c>
      <c r="U3422" s="77">
        <v>0</v>
      </c>
      <c r="V3422" s="77">
        <v>18</v>
      </c>
      <c r="W3422" s="80" t="s">
        <v>8004</v>
      </c>
      <c r="X3422" s="83" t="str">
        <f>HYPERLINK("http://www.riomaframix.com.br")</f>
        <v>http://www.riomaframix.com.br</v>
      </c>
      <c r="Y3422" s="77" t="s">
        <v>8611</v>
      </c>
      <c r="Z3422" s="77"/>
      <c r="AA3422" s="77" t="s">
        <v>10157</v>
      </c>
      <c r="AB3422" s="77" t="s">
        <v>10535</v>
      </c>
      <c r="AC3422" s="80" t="s">
        <v>10550</v>
      </c>
      <c r="AD3422" s="77" t="s">
        <v>10617</v>
      </c>
      <c r="AE3422" s="83" t="str">
        <f>HYPERLINK("https://twitter.com/riomaframix/status/1667255671010611202")</f>
        <v>https://twitter.com/riomaframix/status/1667255671010611202</v>
      </c>
      <c r="AF3422" s="79">
        <v>45086.820625</v>
      </c>
      <c r="AG3422" s="85">
        <v>45086</v>
      </c>
      <c r="AH3422" s="80" t="s">
        <v>13591</v>
      </c>
      <c r="AI3422" s="77" t="b">
        <v>0</v>
      </c>
      <c r="AJ3422" s="77"/>
      <c r="AK3422" s="77"/>
      <c r="AL3422" s="77"/>
      <c r="AM3422" s="77"/>
      <c r="AN3422" s="77"/>
      <c r="AO3422" s="77"/>
      <c r="AP3422" s="77"/>
      <c r="AQ3422" s="77" t="s">
        <v>15638</v>
      </c>
      <c r="AR3422" s="77"/>
      <c r="AS3422" s="77"/>
      <c r="AT3422" s="77"/>
      <c r="AU3422" s="77"/>
      <c r="AV3422" s="83" t="str">
        <f>HYPERLINK("https://pbs.twimg.com/media/FyNIMq6XoAAh9UZ.jpg")</f>
        <v>https://pbs.twimg.com/media/FyNIMq6XoAAh9UZ.jpg</v>
      </c>
      <c r="AW3422" s="80" t="s">
        <v>19138</v>
      </c>
      <c r="AX3422" s="80" t="s">
        <v>19138</v>
      </c>
      <c r="AY3422" s="77"/>
      <c r="AZ3422" s="80" t="s">
        <v>20380</v>
      </c>
      <c r="BA3422" s="80" t="s">
        <v>20380</v>
      </c>
      <c r="BB3422" s="80" t="s">
        <v>20380</v>
      </c>
      <c r="BC3422" s="80" t="s">
        <v>19138</v>
      </c>
      <c r="BD3422" s="80" t="s">
        <v>21047</v>
      </c>
      <c r="BE3422" s="77"/>
      <c r="BF3422" s="77"/>
      <c r="BG3422" s="77"/>
      <c r="BH3422" s="77"/>
      <c r="BI3422" s="77"/>
    </row>
    <row r="3423" spans="1:61" x14ac:dyDescent="0.25">
      <c r="A3423" s="62" t="s">
        <v>1350</v>
      </c>
      <c r="B3423" s="62" t="s">
        <v>1350</v>
      </c>
      <c r="C3423" s="63"/>
      <c r="D3423" s="64"/>
      <c r="E3423" s="65"/>
      <c r="F3423" s="66"/>
      <c r="G3423" s="63"/>
      <c r="H3423" s="67"/>
      <c r="I3423" s="68"/>
      <c r="J3423" s="68"/>
      <c r="K3423" s="32"/>
      <c r="L3423" s="75">
        <v>3423</v>
      </c>
      <c r="M3423" s="75"/>
      <c r="N3423" s="70"/>
      <c r="O3423" s="77" t="s">
        <v>179</v>
      </c>
      <c r="P3423" s="79">
        <v>45099.818113425928</v>
      </c>
      <c r="Q3423" s="77" t="s">
        <v>5095</v>
      </c>
      <c r="R3423" s="77">
        <v>0</v>
      </c>
      <c r="S3423" s="77">
        <v>0</v>
      </c>
      <c r="T3423" s="77">
        <v>0</v>
      </c>
      <c r="U3423" s="77">
        <v>0</v>
      </c>
      <c r="V3423" s="77">
        <v>8</v>
      </c>
      <c r="W3423" s="80" t="s">
        <v>8005</v>
      </c>
      <c r="X3423" s="83" t="str">
        <f>HYPERLINK("http://www.riomaframix.com.br")</f>
        <v>http://www.riomaframix.com.br</v>
      </c>
      <c r="Y3423" s="77" t="s">
        <v>8611</v>
      </c>
      <c r="Z3423" s="77"/>
      <c r="AA3423" s="77" t="s">
        <v>10158</v>
      </c>
      <c r="AB3423" s="77" t="s">
        <v>10535</v>
      </c>
      <c r="AC3423" s="80" t="s">
        <v>10550</v>
      </c>
      <c r="AD3423" s="77" t="s">
        <v>10617</v>
      </c>
      <c r="AE3423" s="83" t="str">
        <f>HYPERLINK("https://twitter.com/riomaframix/status/1671965802604404740")</f>
        <v>https://twitter.com/riomaframix/status/1671965802604404740</v>
      </c>
      <c r="AF3423" s="79">
        <v>45099.818113425928</v>
      </c>
      <c r="AG3423" s="85">
        <v>45099</v>
      </c>
      <c r="AH3423" s="80" t="s">
        <v>13592</v>
      </c>
      <c r="AI3423" s="77" t="b">
        <v>0</v>
      </c>
      <c r="AJ3423" s="77"/>
      <c r="AK3423" s="77"/>
      <c r="AL3423" s="77"/>
      <c r="AM3423" s="77"/>
      <c r="AN3423" s="77"/>
      <c r="AO3423" s="77"/>
      <c r="AP3423" s="77"/>
      <c r="AQ3423" s="77" t="s">
        <v>15639</v>
      </c>
      <c r="AR3423" s="77"/>
      <c r="AS3423" s="77"/>
      <c r="AT3423" s="77"/>
      <c r="AU3423" s="77"/>
      <c r="AV3423" s="83" t="str">
        <f>HYPERLINK("https://pbs.twimg.com/media/FzQECatWIAQ3MkR.jpg")</f>
        <v>https://pbs.twimg.com/media/FzQECatWIAQ3MkR.jpg</v>
      </c>
      <c r="AW3423" s="80" t="s">
        <v>19139</v>
      </c>
      <c r="AX3423" s="80" t="s">
        <v>19139</v>
      </c>
      <c r="AY3423" s="77"/>
      <c r="AZ3423" s="80" t="s">
        <v>20380</v>
      </c>
      <c r="BA3423" s="80" t="s">
        <v>20380</v>
      </c>
      <c r="BB3423" s="80" t="s">
        <v>20380</v>
      </c>
      <c r="BC3423" s="80" t="s">
        <v>19139</v>
      </c>
      <c r="BD3423" s="80" t="s">
        <v>21047</v>
      </c>
      <c r="BE3423" s="77"/>
      <c r="BF3423" s="77"/>
      <c r="BG3423" s="77"/>
      <c r="BH3423" s="77"/>
      <c r="BI3423" s="77"/>
    </row>
    <row r="3424" spans="1:61" x14ac:dyDescent="0.25">
      <c r="A3424" s="62" t="s">
        <v>1351</v>
      </c>
      <c r="B3424" s="62" t="s">
        <v>1351</v>
      </c>
      <c r="C3424" s="63"/>
      <c r="D3424" s="64"/>
      <c r="E3424" s="65"/>
      <c r="F3424" s="66"/>
      <c r="G3424" s="63"/>
      <c r="H3424" s="67"/>
      <c r="I3424" s="68"/>
      <c r="J3424" s="68"/>
      <c r="K3424" s="32"/>
      <c r="L3424" s="75">
        <v>3424</v>
      </c>
      <c r="M3424" s="75"/>
      <c r="N3424" s="70"/>
      <c r="O3424" s="77" t="s">
        <v>179</v>
      </c>
      <c r="P3424" s="79">
        <v>45174.678032407406</v>
      </c>
      <c r="Q3424" s="77" t="s">
        <v>5096</v>
      </c>
      <c r="R3424" s="77">
        <v>0</v>
      </c>
      <c r="S3424" s="77">
        <v>1</v>
      </c>
      <c r="T3424" s="77">
        <v>0</v>
      </c>
      <c r="U3424" s="77">
        <v>0</v>
      </c>
      <c r="V3424" s="77">
        <v>23</v>
      </c>
      <c r="W3424" s="80" t="s">
        <v>8006</v>
      </c>
      <c r="X3424" s="83" t="str">
        <f>HYPERLINK("https://riskmathics.com/programas")</f>
        <v>https://riskmathics.com/programas</v>
      </c>
      <c r="Y3424" s="77" t="s">
        <v>8835</v>
      </c>
      <c r="Z3424" s="77"/>
      <c r="AA3424" s="77" t="s">
        <v>10159</v>
      </c>
      <c r="AB3424" s="77" t="s">
        <v>10535</v>
      </c>
      <c r="AC3424" s="80" t="s">
        <v>10543</v>
      </c>
      <c r="AD3424" s="77" t="s">
        <v>10620</v>
      </c>
      <c r="AE3424" s="83" t="str">
        <f>HYPERLINK("https://twitter.com/riskmathicsfi/status/1699094128884166923")</f>
        <v>https://twitter.com/riskmathicsfi/status/1699094128884166923</v>
      </c>
      <c r="AF3424" s="79">
        <v>45174.678032407406</v>
      </c>
      <c r="AG3424" s="85">
        <v>45174</v>
      </c>
      <c r="AH3424" s="80" t="s">
        <v>13593</v>
      </c>
      <c r="AI3424" s="77" t="b">
        <v>0</v>
      </c>
      <c r="AJ3424" s="77"/>
      <c r="AK3424" s="77"/>
      <c r="AL3424" s="77"/>
      <c r="AM3424" s="77"/>
      <c r="AN3424" s="77"/>
      <c r="AO3424" s="77"/>
      <c r="AP3424" s="77"/>
      <c r="AQ3424" s="77" t="s">
        <v>15640</v>
      </c>
      <c r="AR3424" s="77"/>
      <c r="AS3424" s="77"/>
      <c r="AT3424" s="77"/>
      <c r="AU3424" s="77"/>
      <c r="AV3424" s="83" t="str">
        <f>HYPERLINK("https://pbs.twimg.com/media/F5RlGlZW8AAUtfb.jpg")</f>
        <v>https://pbs.twimg.com/media/F5RlGlZW8AAUtfb.jpg</v>
      </c>
      <c r="AW3424" s="80" t="s">
        <v>19140</v>
      </c>
      <c r="AX3424" s="80" t="s">
        <v>19140</v>
      </c>
      <c r="AY3424" s="77"/>
      <c r="AZ3424" s="80" t="s">
        <v>20380</v>
      </c>
      <c r="BA3424" s="80" t="s">
        <v>20380</v>
      </c>
      <c r="BB3424" s="80" t="s">
        <v>20380</v>
      </c>
      <c r="BC3424" s="80" t="s">
        <v>19140</v>
      </c>
      <c r="BD3424" s="77">
        <v>185758302</v>
      </c>
      <c r="BE3424" s="77"/>
      <c r="BF3424" s="77"/>
      <c r="BG3424" s="77"/>
      <c r="BH3424" s="77"/>
      <c r="BI3424" s="77"/>
    </row>
    <row r="3425" spans="1:61" x14ac:dyDescent="0.25">
      <c r="A3425" s="62" t="s">
        <v>1351</v>
      </c>
      <c r="B3425" s="62" t="s">
        <v>1351</v>
      </c>
      <c r="C3425" s="63"/>
      <c r="D3425" s="64"/>
      <c r="E3425" s="65"/>
      <c r="F3425" s="66"/>
      <c r="G3425" s="63"/>
      <c r="H3425" s="67"/>
      <c r="I3425" s="68"/>
      <c r="J3425" s="68"/>
      <c r="K3425" s="32"/>
      <c r="L3425" s="75">
        <v>3425</v>
      </c>
      <c r="M3425" s="75"/>
      <c r="N3425" s="70"/>
      <c r="O3425" s="77" t="s">
        <v>179</v>
      </c>
      <c r="P3425" s="79">
        <v>45188.668402777781</v>
      </c>
      <c r="Q3425" s="77" t="s">
        <v>5097</v>
      </c>
      <c r="R3425" s="77">
        <v>0</v>
      </c>
      <c r="S3425" s="77">
        <v>3</v>
      </c>
      <c r="T3425" s="77">
        <v>0</v>
      </c>
      <c r="U3425" s="77">
        <v>0</v>
      </c>
      <c r="V3425" s="77">
        <v>71</v>
      </c>
      <c r="W3425" s="80" t="s">
        <v>8007</v>
      </c>
      <c r="X3425" s="83" t="str">
        <f>HYPERLINK("https://riskmathics.com/programas")</f>
        <v>https://riskmathics.com/programas</v>
      </c>
      <c r="Y3425" s="77" t="s">
        <v>8835</v>
      </c>
      <c r="Z3425" s="77"/>
      <c r="AA3425" s="77" t="s">
        <v>10160</v>
      </c>
      <c r="AB3425" s="77" t="s">
        <v>10535</v>
      </c>
      <c r="AC3425" s="80" t="s">
        <v>10543</v>
      </c>
      <c r="AD3425" s="77" t="s">
        <v>10620</v>
      </c>
      <c r="AE3425" s="83" t="str">
        <f>HYPERLINK("https://twitter.com/riskmathicsfi/status/1704164070054600929")</f>
        <v>https://twitter.com/riskmathicsfi/status/1704164070054600929</v>
      </c>
      <c r="AF3425" s="79">
        <v>45188.668402777781</v>
      </c>
      <c r="AG3425" s="85">
        <v>45188</v>
      </c>
      <c r="AH3425" s="80" t="s">
        <v>13594</v>
      </c>
      <c r="AI3425" s="77" t="b">
        <v>0</v>
      </c>
      <c r="AJ3425" s="77"/>
      <c r="AK3425" s="77"/>
      <c r="AL3425" s="77"/>
      <c r="AM3425" s="77"/>
      <c r="AN3425" s="77"/>
      <c r="AO3425" s="77"/>
      <c r="AP3425" s="77"/>
      <c r="AQ3425" s="77" t="s">
        <v>15641</v>
      </c>
      <c r="AR3425" s="77"/>
      <c r="AS3425" s="77"/>
      <c r="AT3425" s="77"/>
      <c r="AU3425" s="77"/>
      <c r="AV3425" s="83" t="str">
        <f>HYPERLINK("https://pbs.twimg.com/media/F6ZoMAgXYAAsLM-.jpg")</f>
        <v>https://pbs.twimg.com/media/F6ZoMAgXYAAsLM-.jpg</v>
      </c>
      <c r="AW3425" s="80" t="s">
        <v>19141</v>
      </c>
      <c r="AX3425" s="80" t="s">
        <v>19141</v>
      </c>
      <c r="AY3425" s="77"/>
      <c r="AZ3425" s="80" t="s">
        <v>20380</v>
      </c>
      <c r="BA3425" s="80" t="s">
        <v>20380</v>
      </c>
      <c r="BB3425" s="80" t="s">
        <v>20380</v>
      </c>
      <c r="BC3425" s="80" t="s">
        <v>19141</v>
      </c>
      <c r="BD3425" s="77">
        <v>185758302</v>
      </c>
      <c r="BE3425" s="77"/>
      <c r="BF3425" s="77"/>
      <c r="BG3425" s="77"/>
      <c r="BH3425" s="77"/>
      <c r="BI3425" s="77"/>
    </row>
    <row r="3426" spans="1:61" x14ac:dyDescent="0.25">
      <c r="A3426" s="62" t="s">
        <v>1351</v>
      </c>
      <c r="B3426" s="62" t="s">
        <v>1351</v>
      </c>
      <c r="C3426" s="63"/>
      <c r="D3426" s="64"/>
      <c r="E3426" s="65"/>
      <c r="F3426" s="66"/>
      <c r="G3426" s="63"/>
      <c r="H3426" s="67"/>
      <c r="I3426" s="68"/>
      <c r="J3426" s="68"/>
      <c r="K3426" s="32"/>
      <c r="L3426" s="75">
        <v>3426</v>
      </c>
      <c r="M3426" s="75"/>
      <c r="N3426" s="70"/>
      <c r="O3426" s="77" t="s">
        <v>179</v>
      </c>
      <c r="P3426" s="79">
        <v>45196.74554398148</v>
      </c>
      <c r="Q3426" s="77" t="s">
        <v>5098</v>
      </c>
      <c r="R3426" s="77">
        <v>0</v>
      </c>
      <c r="S3426" s="77">
        <v>1</v>
      </c>
      <c r="T3426" s="77">
        <v>0</v>
      </c>
      <c r="U3426" s="77">
        <v>0</v>
      </c>
      <c r="V3426" s="77">
        <v>24</v>
      </c>
      <c r="W3426" s="80" t="s">
        <v>8008</v>
      </c>
      <c r="X3426" s="83" t="str">
        <f>HYPERLINK("https://riskmathics.com/programas")</f>
        <v>https://riskmathics.com/programas</v>
      </c>
      <c r="Y3426" s="77" t="s">
        <v>8835</v>
      </c>
      <c r="Z3426" s="77"/>
      <c r="AA3426" s="77" t="s">
        <v>10161</v>
      </c>
      <c r="AB3426" s="77" t="s">
        <v>10535</v>
      </c>
      <c r="AC3426" s="80" t="s">
        <v>10543</v>
      </c>
      <c r="AD3426" s="77" t="s">
        <v>10620</v>
      </c>
      <c r="AE3426" s="83" t="str">
        <f>HYPERLINK("https://twitter.com/riskmathicsfi/status/1707091124727292003")</f>
        <v>https://twitter.com/riskmathicsfi/status/1707091124727292003</v>
      </c>
      <c r="AF3426" s="79">
        <v>45196.74554398148</v>
      </c>
      <c r="AG3426" s="85">
        <v>45196</v>
      </c>
      <c r="AH3426" s="80" t="s">
        <v>13595</v>
      </c>
      <c r="AI3426" s="77" t="b">
        <v>0</v>
      </c>
      <c r="AJ3426" s="77"/>
      <c r="AK3426" s="77"/>
      <c r="AL3426" s="77"/>
      <c r="AM3426" s="77"/>
      <c r="AN3426" s="77"/>
      <c r="AO3426" s="77"/>
      <c r="AP3426" s="77"/>
      <c r="AQ3426" s="77" t="s">
        <v>15642</v>
      </c>
      <c r="AR3426" s="77"/>
      <c r="AS3426" s="77"/>
      <c r="AT3426" s="77"/>
      <c r="AU3426" s="77"/>
      <c r="AV3426" s="83" t="str">
        <f>HYPERLINK("https://pbs.twimg.com/media/F7DOVDiWMAAf5rP.jpg")</f>
        <v>https://pbs.twimg.com/media/F7DOVDiWMAAf5rP.jpg</v>
      </c>
      <c r="AW3426" s="80" t="s">
        <v>19142</v>
      </c>
      <c r="AX3426" s="80" t="s">
        <v>19142</v>
      </c>
      <c r="AY3426" s="77"/>
      <c r="AZ3426" s="80" t="s">
        <v>20380</v>
      </c>
      <c r="BA3426" s="80" t="s">
        <v>20380</v>
      </c>
      <c r="BB3426" s="80" t="s">
        <v>20380</v>
      </c>
      <c r="BC3426" s="80" t="s">
        <v>19142</v>
      </c>
      <c r="BD3426" s="77">
        <v>185758302</v>
      </c>
      <c r="BE3426" s="77"/>
      <c r="BF3426" s="77"/>
      <c r="BG3426" s="77"/>
      <c r="BH3426" s="77"/>
      <c r="BI3426" s="77"/>
    </row>
    <row r="3427" spans="1:61" x14ac:dyDescent="0.25">
      <c r="A3427" s="62" t="s">
        <v>1351</v>
      </c>
      <c r="B3427" s="62" t="s">
        <v>1351</v>
      </c>
      <c r="C3427" s="63"/>
      <c r="D3427" s="64"/>
      <c r="E3427" s="65"/>
      <c r="F3427" s="66"/>
      <c r="G3427" s="63"/>
      <c r="H3427" s="67"/>
      <c r="I3427" s="68"/>
      <c r="J3427" s="68"/>
      <c r="K3427" s="32"/>
      <c r="L3427" s="75">
        <v>3427</v>
      </c>
      <c r="M3427" s="75"/>
      <c r="N3427" s="70"/>
      <c r="O3427" s="77" t="s">
        <v>179</v>
      </c>
      <c r="P3427" s="79">
        <v>45135.701562499999</v>
      </c>
      <c r="Q3427" s="77" t="s">
        <v>5099</v>
      </c>
      <c r="R3427" s="77">
        <v>1</v>
      </c>
      <c r="S3427" s="77">
        <v>2</v>
      </c>
      <c r="T3427" s="77">
        <v>0</v>
      </c>
      <c r="U3427" s="77">
        <v>0</v>
      </c>
      <c r="V3427" s="77">
        <v>138</v>
      </c>
      <c r="W3427" s="80" t="s">
        <v>8009</v>
      </c>
      <c r="X3427" s="83" t="str">
        <f>HYPERLINK("https://riskmathics.com/programas")</f>
        <v>https://riskmathics.com/programas</v>
      </c>
      <c r="Y3427" s="77" t="s">
        <v>8835</v>
      </c>
      <c r="Z3427" s="77"/>
      <c r="AA3427" s="77" t="s">
        <v>10162</v>
      </c>
      <c r="AB3427" s="77" t="s">
        <v>10535</v>
      </c>
      <c r="AC3427" s="80" t="s">
        <v>10543</v>
      </c>
      <c r="AD3427" s="77" t="s">
        <v>10620</v>
      </c>
      <c r="AE3427" s="83" t="str">
        <f>HYPERLINK("https://twitter.com/riskmathicsfi/status/1684969528692772864")</f>
        <v>https://twitter.com/riskmathicsfi/status/1684969528692772864</v>
      </c>
      <c r="AF3427" s="79">
        <v>45135.701562499999</v>
      </c>
      <c r="AG3427" s="85">
        <v>45135</v>
      </c>
      <c r="AH3427" s="80" t="s">
        <v>13596</v>
      </c>
      <c r="AI3427" s="77" t="b">
        <v>0</v>
      </c>
      <c r="AJ3427" s="77"/>
      <c r="AK3427" s="77"/>
      <c r="AL3427" s="77"/>
      <c r="AM3427" s="77"/>
      <c r="AN3427" s="77"/>
      <c r="AO3427" s="77"/>
      <c r="AP3427" s="77"/>
      <c r="AQ3427" s="77" t="s">
        <v>15643</v>
      </c>
      <c r="AR3427" s="77"/>
      <c r="AS3427" s="77"/>
      <c r="AT3427" s="77"/>
      <c r="AU3427" s="77"/>
      <c r="AV3427" s="83" t="str">
        <f>HYPERLINK("https://pbs.twimg.com/media/F2I22qzWkAAupwL.jpg")</f>
        <v>https://pbs.twimg.com/media/F2I22qzWkAAupwL.jpg</v>
      </c>
      <c r="AW3427" s="80" t="s">
        <v>19143</v>
      </c>
      <c r="AX3427" s="80" t="s">
        <v>19143</v>
      </c>
      <c r="AY3427" s="77"/>
      <c r="AZ3427" s="80" t="s">
        <v>20380</v>
      </c>
      <c r="BA3427" s="80" t="s">
        <v>20380</v>
      </c>
      <c r="BB3427" s="80" t="s">
        <v>20380</v>
      </c>
      <c r="BC3427" s="80" t="s">
        <v>19143</v>
      </c>
      <c r="BD3427" s="77">
        <v>185758302</v>
      </c>
      <c r="BE3427" s="77"/>
      <c r="BF3427" s="77"/>
      <c r="BG3427" s="77"/>
      <c r="BH3427" s="77"/>
      <c r="BI3427" s="77"/>
    </row>
    <row r="3428" spans="1:61" x14ac:dyDescent="0.25">
      <c r="A3428" s="62" t="s">
        <v>1352</v>
      </c>
      <c r="B3428" s="62" t="s">
        <v>1716</v>
      </c>
      <c r="C3428" s="63"/>
      <c r="D3428" s="64"/>
      <c r="E3428" s="65"/>
      <c r="F3428" s="66"/>
      <c r="G3428" s="63"/>
      <c r="H3428" s="67"/>
      <c r="I3428" s="68"/>
      <c r="J3428" s="68"/>
      <c r="K3428" s="32"/>
      <c r="L3428" s="75">
        <v>3428</v>
      </c>
      <c r="M3428" s="75"/>
      <c r="N3428" s="70"/>
      <c r="O3428" s="77" t="s">
        <v>2081</v>
      </c>
      <c r="P3428" s="79">
        <v>45142.703518518516</v>
      </c>
      <c r="Q3428" s="77" t="s">
        <v>5100</v>
      </c>
      <c r="R3428" s="77">
        <v>0</v>
      </c>
      <c r="S3428" s="77">
        <v>0</v>
      </c>
      <c r="T3428" s="77">
        <v>0</v>
      </c>
      <c r="U3428" s="77">
        <v>0</v>
      </c>
      <c r="V3428" s="77">
        <v>14</v>
      </c>
      <c r="W3428" s="80" t="s">
        <v>8010</v>
      </c>
      <c r="X3428" s="83" t="str">
        <f>HYPERLINK("https://tinyurl.com/mwhj3ua8")</f>
        <v>https://tinyurl.com/mwhj3ua8</v>
      </c>
      <c r="Y3428" s="77" t="s">
        <v>8670</v>
      </c>
      <c r="Z3428" s="77" t="s">
        <v>1716</v>
      </c>
      <c r="AA3428" s="77" t="s">
        <v>10163</v>
      </c>
      <c r="AB3428" s="77" t="s">
        <v>10535</v>
      </c>
      <c r="AC3428" s="80" t="s">
        <v>10541</v>
      </c>
      <c r="AD3428" s="77" t="s">
        <v>10620</v>
      </c>
      <c r="AE3428" s="83" t="str">
        <f>HYPERLINK("https://twitter.com/elsuceso_/status/1687506950907469836")</f>
        <v>https://twitter.com/elsuceso_/status/1687506950907469836</v>
      </c>
      <c r="AF3428" s="79">
        <v>45142.703518518516</v>
      </c>
      <c r="AG3428" s="85">
        <v>45142</v>
      </c>
      <c r="AH3428" s="80" t="s">
        <v>13597</v>
      </c>
      <c r="AI3428" s="77" t="b">
        <v>0</v>
      </c>
      <c r="AJ3428" s="77"/>
      <c r="AK3428" s="77"/>
      <c r="AL3428" s="77"/>
      <c r="AM3428" s="77"/>
      <c r="AN3428" s="77"/>
      <c r="AO3428" s="77"/>
      <c r="AP3428" s="77"/>
      <c r="AQ3428" s="77" t="s">
        <v>15644</v>
      </c>
      <c r="AR3428" s="77"/>
      <c r="AS3428" s="77"/>
      <c r="AT3428" s="77"/>
      <c r="AU3428" s="77"/>
      <c r="AV3428" s="83" t="str">
        <f>HYPERLINK("https://pbs.twimg.com/media/F2s6Ws-XoAA17Xc.jpg")</f>
        <v>https://pbs.twimg.com/media/F2s6Ws-XoAA17Xc.jpg</v>
      </c>
      <c r="AW3428" s="80" t="s">
        <v>19144</v>
      </c>
      <c r="AX3428" s="80" t="s">
        <v>19144</v>
      </c>
      <c r="AY3428" s="77"/>
      <c r="AZ3428" s="80" t="s">
        <v>20380</v>
      </c>
      <c r="BA3428" s="80" t="s">
        <v>20380</v>
      </c>
      <c r="BB3428" s="80" t="s">
        <v>20380</v>
      </c>
      <c r="BC3428" s="80" t="s">
        <v>19144</v>
      </c>
      <c r="BD3428" s="80" t="s">
        <v>21048</v>
      </c>
      <c r="BE3428" s="77"/>
      <c r="BF3428" s="77"/>
      <c r="BG3428" s="77"/>
      <c r="BH3428" s="77"/>
      <c r="BI3428" s="77"/>
    </row>
    <row r="3429" spans="1:61" x14ac:dyDescent="0.25">
      <c r="A3429" s="62" t="s">
        <v>1353</v>
      </c>
      <c r="B3429" s="62" t="s">
        <v>1353</v>
      </c>
      <c r="C3429" s="63"/>
      <c r="D3429" s="64"/>
      <c r="E3429" s="65"/>
      <c r="F3429" s="66"/>
      <c r="G3429" s="63"/>
      <c r="H3429" s="67"/>
      <c r="I3429" s="68"/>
      <c r="J3429" s="68"/>
      <c r="K3429" s="32"/>
      <c r="L3429" s="75">
        <v>3429</v>
      </c>
      <c r="M3429" s="75"/>
      <c r="N3429" s="70"/>
      <c r="O3429" s="77" t="s">
        <v>179</v>
      </c>
      <c r="P3429" s="79">
        <v>45152.653912037036</v>
      </c>
      <c r="Q3429" s="77" t="s">
        <v>5101</v>
      </c>
      <c r="R3429" s="77">
        <v>0</v>
      </c>
      <c r="S3429" s="77">
        <v>0</v>
      </c>
      <c r="T3429" s="77">
        <v>0</v>
      </c>
      <c r="U3429" s="77">
        <v>0</v>
      </c>
      <c r="V3429" s="77">
        <v>51</v>
      </c>
      <c r="W3429" s="80" t="s">
        <v>8011</v>
      </c>
      <c r="X3429" s="83" t="str">
        <f>HYPERLINK("https://www.vocescriticas.com/noticias/2023/08/14/139773-tras-la-devaluacion-del-banco-central-las-acciones-de-ypf-se-desplomaron-en-el-mercado-internacional")</f>
        <v>https://www.vocescriticas.com/noticias/2023/08/14/139773-tras-la-devaluacion-del-banco-central-las-acciones-de-ypf-se-desplomaron-en-el-mercado-internacional</v>
      </c>
      <c r="Y3429" s="77" t="s">
        <v>8836</v>
      </c>
      <c r="Z3429" s="77"/>
      <c r="AA3429" s="77"/>
      <c r="AB3429" s="77"/>
      <c r="AC3429" s="80" t="s">
        <v>10541</v>
      </c>
      <c r="AD3429" s="77" t="s">
        <v>10620</v>
      </c>
      <c r="AE3429" s="83" t="str">
        <f>HYPERLINK("https://twitter.com/voces_criticas/status/1691112855809191936")</f>
        <v>https://twitter.com/voces_criticas/status/1691112855809191936</v>
      </c>
      <c r="AF3429" s="79">
        <v>45152.653912037036</v>
      </c>
      <c r="AG3429" s="85">
        <v>45152</v>
      </c>
      <c r="AH3429" s="80" t="s">
        <v>13598</v>
      </c>
      <c r="AI3429" s="77" t="b">
        <v>0</v>
      </c>
      <c r="AJ3429" s="77"/>
      <c r="AK3429" s="77"/>
      <c r="AL3429" s="77"/>
      <c r="AM3429" s="77"/>
      <c r="AN3429" s="77"/>
      <c r="AO3429" s="77"/>
      <c r="AP3429" s="77"/>
      <c r="AQ3429" s="77"/>
      <c r="AR3429" s="77"/>
      <c r="AS3429" s="77"/>
      <c r="AT3429" s="77"/>
      <c r="AU3429" s="77"/>
      <c r="AV3429" s="83" t="str">
        <f>HYPERLINK("https://pbs.twimg.com/profile_images/1672441441417584641/ocoTMIDU_normal.jpg")</f>
        <v>https://pbs.twimg.com/profile_images/1672441441417584641/ocoTMIDU_normal.jpg</v>
      </c>
      <c r="AW3429" s="80" t="s">
        <v>19145</v>
      </c>
      <c r="AX3429" s="80" t="s">
        <v>19145</v>
      </c>
      <c r="AY3429" s="77"/>
      <c r="AZ3429" s="80" t="s">
        <v>20380</v>
      </c>
      <c r="BA3429" s="80" t="s">
        <v>20380</v>
      </c>
      <c r="BB3429" s="80" t="s">
        <v>20380</v>
      </c>
      <c r="BC3429" s="80" t="s">
        <v>19145</v>
      </c>
      <c r="BD3429" s="80" t="s">
        <v>21049</v>
      </c>
      <c r="BE3429" s="77"/>
      <c r="BF3429" s="77"/>
      <c r="BG3429" s="77"/>
      <c r="BH3429" s="77"/>
      <c r="BI3429" s="77"/>
    </row>
    <row r="3430" spans="1:61" x14ac:dyDescent="0.25">
      <c r="A3430" s="62" t="s">
        <v>1353</v>
      </c>
      <c r="B3430" s="62" t="s">
        <v>1353</v>
      </c>
      <c r="C3430" s="63"/>
      <c r="D3430" s="64"/>
      <c r="E3430" s="65"/>
      <c r="F3430" s="66"/>
      <c r="G3430" s="63"/>
      <c r="H3430" s="67"/>
      <c r="I3430" s="68"/>
      <c r="J3430" s="68"/>
      <c r="K3430" s="32"/>
      <c r="L3430" s="75">
        <v>3430</v>
      </c>
      <c r="M3430" s="75"/>
      <c r="N3430" s="70"/>
      <c r="O3430" s="77" t="s">
        <v>179</v>
      </c>
      <c r="P3430" s="79">
        <v>45188.703159722223</v>
      </c>
      <c r="Q3430" s="77" t="s">
        <v>5102</v>
      </c>
      <c r="R3430" s="77">
        <v>0</v>
      </c>
      <c r="S3430" s="77">
        <v>0</v>
      </c>
      <c r="T3430" s="77">
        <v>0</v>
      </c>
      <c r="U3430" s="77">
        <v>0</v>
      </c>
      <c r="V3430" s="77">
        <v>14</v>
      </c>
      <c r="W3430" s="80" t="s">
        <v>8012</v>
      </c>
      <c r="X3430" s="83" t="str">
        <f>HYPERLINK("https://www.vocescriticas.com/noticias/2023/09/19/143148-una-empresa-saltena-podria-quebrar-debido-a-las-restricciones-del-banco-central/")</f>
        <v>https://www.vocescriticas.com/noticias/2023/09/19/143148-una-empresa-saltena-podria-quebrar-debido-a-las-restricciones-del-banco-central/</v>
      </c>
      <c r="Y3430" s="77" t="s">
        <v>8836</v>
      </c>
      <c r="Z3430" s="77"/>
      <c r="AA3430" s="77"/>
      <c r="AB3430" s="77"/>
      <c r="AC3430" s="80" t="s">
        <v>10540</v>
      </c>
      <c r="AD3430" s="77" t="s">
        <v>10620</v>
      </c>
      <c r="AE3430" s="83" t="str">
        <f>HYPERLINK("https://twitter.com/voces_criticas/status/1704176664391950487")</f>
        <v>https://twitter.com/voces_criticas/status/1704176664391950487</v>
      </c>
      <c r="AF3430" s="79">
        <v>45188.703159722223</v>
      </c>
      <c r="AG3430" s="85">
        <v>45188</v>
      </c>
      <c r="AH3430" s="80" t="s">
        <v>13599</v>
      </c>
      <c r="AI3430" s="77" t="b">
        <v>0</v>
      </c>
      <c r="AJ3430" s="77"/>
      <c r="AK3430" s="77"/>
      <c r="AL3430" s="77"/>
      <c r="AM3430" s="77"/>
      <c r="AN3430" s="77"/>
      <c r="AO3430" s="77"/>
      <c r="AP3430" s="77"/>
      <c r="AQ3430" s="77"/>
      <c r="AR3430" s="77"/>
      <c r="AS3430" s="77"/>
      <c r="AT3430" s="77"/>
      <c r="AU3430" s="77"/>
      <c r="AV3430" s="83" t="str">
        <f>HYPERLINK("https://pbs.twimg.com/profile_images/1672441441417584641/ocoTMIDU_normal.jpg")</f>
        <v>https://pbs.twimg.com/profile_images/1672441441417584641/ocoTMIDU_normal.jpg</v>
      </c>
      <c r="AW3430" s="80" t="s">
        <v>19146</v>
      </c>
      <c r="AX3430" s="80" t="s">
        <v>19146</v>
      </c>
      <c r="AY3430" s="77"/>
      <c r="AZ3430" s="80" t="s">
        <v>20380</v>
      </c>
      <c r="BA3430" s="80" t="s">
        <v>20380</v>
      </c>
      <c r="BB3430" s="80" t="s">
        <v>20380</v>
      </c>
      <c r="BC3430" s="80" t="s">
        <v>19146</v>
      </c>
      <c r="BD3430" s="80" t="s">
        <v>21049</v>
      </c>
      <c r="BE3430" s="77"/>
      <c r="BF3430" s="77"/>
      <c r="BG3430" s="77"/>
      <c r="BH3430" s="77"/>
      <c r="BI3430" s="77"/>
    </row>
    <row r="3431" spans="1:61" x14ac:dyDescent="0.25">
      <c r="A3431" s="62" t="s">
        <v>1353</v>
      </c>
      <c r="B3431" s="62" t="s">
        <v>1353</v>
      </c>
      <c r="C3431" s="63"/>
      <c r="D3431" s="64"/>
      <c r="E3431" s="65"/>
      <c r="F3431" s="66"/>
      <c r="G3431" s="63"/>
      <c r="H3431" s="67"/>
      <c r="I3431" s="68"/>
      <c r="J3431" s="68"/>
      <c r="K3431" s="32"/>
      <c r="L3431" s="75">
        <v>3431</v>
      </c>
      <c r="M3431" s="75"/>
      <c r="N3431" s="70"/>
      <c r="O3431" s="77" t="s">
        <v>179</v>
      </c>
      <c r="P3431" s="79">
        <v>45191.971134259256</v>
      </c>
      <c r="Q3431" s="77" t="s">
        <v>5103</v>
      </c>
      <c r="R3431" s="77">
        <v>0</v>
      </c>
      <c r="S3431" s="77">
        <v>0</v>
      </c>
      <c r="T3431" s="77">
        <v>0</v>
      </c>
      <c r="U3431" s="77">
        <v>0</v>
      </c>
      <c r="V3431" s="77">
        <v>34</v>
      </c>
      <c r="W3431" s="80" t="s">
        <v>8013</v>
      </c>
      <c r="X3431" s="83" t="str">
        <f>HYPERLINK("https://www.vocescriticas.com/noticias/2023/09/22/143435-javier-milei-definioquiensera-el-titular-del-banco-central-si-gana-la-presidencia")</f>
        <v>https://www.vocescriticas.com/noticias/2023/09/22/143435-javier-milei-definioquiensera-el-titular-del-banco-central-si-gana-la-presidencia</v>
      </c>
      <c r="Y3431" s="77" t="s">
        <v>8836</v>
      </c>
      <c r="Z3431" s="77"/>
      <c r="AA3431" s="77"/>
      <c r="AB3431" s="77"/>
      <c r="AC3431" s="80" t="s">
        <v>10541</v>
      </c>
      <c r="AD3431" s="77" t="s">
        <v>10620</v>
      </c>
      <c r="AE3431" s="83" t="str">
        <f>HYPERLINK("https://twitter.com/voces_criticas/status/1705360936880541820")</f>
        <v>https://twitter.com/voces_criticas/status/1705360936880541820</v>
      </c>
      <c r="AF3431" s="79">
        <v>45191.971134259256</v>
      </c>
      <c r="AG3431" s="85">
        <v>45191</v>
      </c>
      <c r="AH3431" s="80" t="s">
        <v>13600</v>
      </c>
      <c r="AI3431" s="77" t="b">
        <v>0</v>
      </c>
      <c r="AJ3431" s="77"/>
      <c r="AK3431" s="77"/>
      <c r="AL3431" s="77"/>
      <c r="AM3431" s="77"/>
      <c r="AN3431" s="77"/>
      <c r="AO3431" s="77"/>
      <c r="AP3431" s="77"/>
      <c r="AQ3431" s="77"/>
      <c r="AR3431" s="77"/>
      <c r="AS3431" s="77"/>
      <c r="AT3431" s="77"/>
      <c r="AU3431" s="77"/>
      <c r="AV3431" s="83" t="str">
        <f>HYPERLINK("https://pbs.twimg.com/profile_images/1672441441417584641/ocoTMIDU_normal.jpg")</f>
        <v>https://pbs.twimg.com/profile_images/1672441441417584641/ocoTMIDU_normal.jpg</v>
      </c>
      <c r="AW3431" s="80" t="s">
        <v>19147</v>
      </c>
      <c r="AX3431" s="80" t="s">
        <v>19147</v>
      </c>
      <c r="AY3431" s="77"/>
      <c r="AZ3431" s="80" t="s">
        <v>20380</v>
      </c>
      <c r="BA3431" s="80" t="s">
        <v>20380</v>
      </c>
      <c r="BB3431" s="80" t="s">
        <v>20380</v>
      </c>
      <c r="BC3431" s="80" t="s">
        <v>19147</v>
      </c>
      <c r="BD3431" s="80" t="s">
        <v>21049</v>
      </c>
      <c r="BE3431" s="77"/>
      <c r="BF3431" s="77"/>
      <c r="BG3431" s="77"/>
      <c r="BH3431" s="77"/>
      <c r="BI3431" s="77"/>
    </row>
    <row r="3432" spans="1:61" x14ac:dyDescent="0.25">
      <c r="A3432" s="62" t="s">
        <v>1354</v>
      </c>
      <c r="B3432" s="62" t="s">
        <v>1354</v>
      </c>
      <c r="C3432" s="63"/>
      <c r="D3432" s="64"/>
      <c r="E3432" s="65"/>
      <c r="F3432" s="66"/>
      <c r="G3432" s="63"/>
      <c r="H3432" s="67"/>
      <c r="I3432" s="68"/>
      <c r="J3432" s="68"/>
      <c r="K3432" s="32"/>
      <c r="L3432" s="75">
        <v>3432</v>
      </c>
      <c r="M3432" s="75"/>
      <c r="N3432" s="70"/>
      <c r="O3432" s="77" t="s">
        <v>179</v>
      </c>
      <c r="P3432" s="79">
        <v>45112.05296296296</v>
      </c>
      <c r="Q3432" s="77" t="s">
        <v>5104</v>
      </c>
      <c r="R3432" s="77">
        <v>58</v>
      </c>
      <c r="S3432" s="77">
        <v>146</v>
      </c>
      <c r="T3432" s="77">
        <v>3</v>
      </c>
      <c r="U3432" s="77">
        <v>2</v>
      </c>
      <c r="V3432" s="77">
        <v>4943</v>
      </c>
      <c r="W3432" s="80" t="s">
        <v>8014</v>
      </c>
      <c r="X3432" s="83" t="str">
        <f>HYPERLINK("https://youtu.be/E8MobwBwbjU")</f>
        <v>https://youtu.be/E8MobwBwbjU</v>
      </c>
      <c r="Y3432" s="77" t="s">
        <v>8635</v>
      </c>
      <c r="Z3432" s="77"/>
      <c r="AA3432" s="77" t="s">
        <v>10164</v>
      </c>
      <c r="AB3432" s="77" t="s">
        <v>10535</v>
      </c>
      <c r="AC3432" s="80" t="s">
        <v>10540</v>
      </c>
      <c r="AD3432" s="77" t="s">
        <v>10620</v>
      </c>
      <c r="AE3432" s="83" t="str">
        <f>HYPERLINK("https://twitter.com/mucainde/status/1676399563823775745")</f>
        <v>https://twitter.com/mucainde/status/1676399563823775745</v>
      </c>
      <c r="AF3432" s="79">
        <v>45112.05296296296</v>
      </c>
      <c r="AG3432" s="85">
        <v>45112</v>
      </c>
      <c r="AH3432" s="80" t="s">
        <v>13601</v>
      </c>
      <c r="AI3432" s="77" t="b">
        <v>0</v>
      </c>
      <c r="AJ3432" s="77"/>
      <c r="AK3432" s="77"/>
      <c r="AL3432" s="77"/>
      <c r="AM3432" s="77"/>
      <c r="AN3432" s="77"/>
      <c r="AO3432" s="77"/>
      <c r="AP3432" s="77"/>
      <c r="AQ3432" s="77" t="s">
        <v>15645</v>
      </c>
      <c r="AR3432" s="77"/>
      <c r="AS3432" s="77"/>
      <c r="AT3432" s="77"/>
      <c r="AU3432" s="77"/>
      <c r="AV3432" s="83" t="str">
        <f>HYPERLINK("https://pbs.twimg.com/media/F0PEhOAWIAIYu9e.jpg")</f>
        <v>https://pbs.twimg.com/media/F0PEhOAWIAIYu9e.jpg</v>
      </c>
      <c r="AW3432" s="80" t="s">
        <v>19148</v>
      </c>
      <c r="AX3432" s="80" t="s">
        <v>19148</v>
      </c>
      <c r="AY3432" s="77"/>
      <c r="AZ3432" s="80" t="s">
        <v>20380</v>
      </c>
      <c r="BA3432" s="80" t="s">
        <v>20380</v>
      </c>
      <c r="BB3432" s="80" t="s">
        <v>20380</v>
      </c>
      <c r="BC3432" s="80" t="s">
        <v>19148</v>
      </c>
      <c r="BD3432" s="80" t="s">
        <v>21050</v>
      </c>
      <c r="BE3432" s="77"/>
      <c r="BF3432" s="77"/>
      <c r="BG3432" s="77"/>
      <c r="BH3432" s="77"/>
      <c r="BI3432" s="77"/>
    </row>
    <row r="3433" spans="1:61" x14ac:dyDescent="0.25">
      <c r="A3433" s="62" t="s">
        <v>1355</v>
      </c>
      <c r="B3433" s="62" t="s">
        <v>2023</v>
      </c>
      <c r="C3433" s="63"/>
      <c r="D3433" s="64"/>
      <c r="E3433" s="65"/>
      <c r="F3433" s="66"/>
      <c r="G3433" s="63"/>
      <c r="H3433" s="67"/>
      <c r="I3433" s="68"/>
      <c r="J3433" s="68"/>
      <c r="K3433" s="32"/>
      <c r="L3433" s="75">
        <v>3433</v>
      </c>
      <c r="M3433" s="75"/>
      <c r="N3433" s="70"/>
      <c r="O3433" s="77" t="s">
        <v>2081</v>
      </c>
      <c r="P3433" s="79">
        <v>45104.788622685184</v>
      </c>
      <c r="Q3433" s="77" t="s">
        <v>5105</v>
      </c>
      <c r="R3433" s="77">
        <v>0</v>
      </c>
      <c r="S3433" s="77">
        <v>0</v>
      </c>
      <c r="T3433" s="77">
        <v>0</v>
      </c>
      <c r="U3433" s="77">
        <v>0</v>
      </c>
      <c r="V3433" s="77">
        <v>32</v>
      </c>
      <c r="W3433" s="80" t="s">
        <v>8015</v>
      </c>
      <c r="X3433" s="77"/>
      <c r="Y3433" s="77"/>
      <c r="Z3433" s="77" t="s">
        <v>2023</v>
      </c>
      <c r="AA3433" s="77"/>
      <c r="AB3433" s="77"/>
      <c r="AC3433" s="80" t="s">
        <v>10541</v>
      </c>
      <c r="AD3433" s="77" t="s">
        <v>10617</v>
      </c>
      <c r="AE3433" s="83" t="str">
        <f>HYPERLINK("https://twitter.com/claykleber/status/1673767053956620309")</f>
        <v>https://twitter.com/claykleber/status/1673767053956620309</v>
      </c>
      <c r="AF3433" s="79">
        <v>45104.788622685184</v>
      </c>
      <c r="AG3433" s="85">
        <v>45104</v>
      </c>
      <c r="AH3433" s="80" t="s">
        <v>13602</v>
      </c>
      <c r="AI3433" s="77"/>
      <c r="AJ3433" s="77"/>
      <c r="AK3433" s="77"/>
      <c r="AL3433" s="77"/>
      <c r="AM3433" s="77"/>
      <c r="AN3433" s="77"/>
      <c r="AO3433" s="77"/>
      <c r="AP3433" s="77"/>
      <c r="AQ3433" s="77"/>
      <c r="AR3433" s="77"/>
      <c r="AS3433" s="77"/>
      <c r="AT3433" s="77"/>
      <c r="AU3433" s="77"/>
      <c r="AV3433" s="83" t="str">
        <f>HYPERLINK("https://pbs.twimg.com/profile_images/1480284267968143361/iRCsM36W_normal.jpg")</f>
        <v>https://pbs.twimg.com/profile_images/1480284267968143361/iRCsM36W_normal.jpg</v>
      </c>
      <c r="AW3433" s="80" t="s">
        <v>19149</v>
      </c>
      <c r="AX3433" s="80" t="s">
        <v>19149</v>
      </c>
      <c r="AY3433" s="77"/>
      <c r="AZ3433" s="80" t="s">
        <v>20380</v>
      </c>
      <c r="BA3433" s="80" t="s">
        <v>20380</v>
      </c>
      <c r="BB3433" s="80" t="s">
        <v>20380</v>
      </c>
      <c r="BC3433" s="80" t="s">
        <v>19149</v>
      </c>
      <c r="BD3433" s="77">
        <v>39482280</v>
      </c>
      <c r="BE3433" s="77"/>
      <c r="BF3433" s="77"/>
      <c r="BG3433" s="77"/>
      <c r="BH3433" s="77"/>
      <c r="BI3433" s="77"/>
    </row>
    <row r="3434" spans="1:61" x14ac:dyDescent="0.25">
      <c r="A3434" s="62" t="s">
        <v>1356</v>
      </c>
      <c r="B3434" s="62" t="s">
        <v>1655</v>
      </c>
      <c r="C3434" s="63"/>
      <c r="D3434" s="64"/>
      <c r="E3434" s="65"/>
      <c r="F3434" s="66"/>
      <c r="G3434" s="63"/>
      <c r="H3434" s="67"/>
      <c r="I3434" s="68"/>
      <c r="J3434" s="68"/>
      <c r="K3434" s="32"/>
      <c r="L3434" s="75">
        <v>3434</v>
      </c>
      <c r="M3434" s="75"/>
      <c r="N3434" s="70"/>
      <c r="O3434" s="77" t="s">
        <v>2083</v>
      </c>
      <c r="P3434" s="79">
        <v>45191.43172453704</v>
      </c>
      <c r="Q3434" s="77" t="s">
        <v>2120</v>
      </c>
      <c r="R3434" s="77">
        <v>57</v>
      </c>
      <c r="S3434" s="77">
        <v>0</v>
      </c>
      <c r="T3434" s="77">
        <v>0</v>
      </c>
      <c r="U3434" s="77">
        <v>0</v>
      </c>
      <c r="V3434" s="77"/>
      <c r="W3434" s="80" t="s">
        <v>5917</v>
      </c>
      <c r="X3434" s="77"/>
      <c r="Y3434" s="77"/>
      <c r="Z3434" s="77" t="s">
        <v>1655</v>
      </c>
      <c r="AA3434" s="77"/>
      <c r="AB3434" s="77"/>
      <c r="AC3434" s="80" t="s">
        <v>10540</v>
      </c>
      <c r="AD3434" s="77" t="s">
        <v>10617</v>
      </c>
      <c r="AE3434" s="83" t="str">
        <f>HYPERLINK("https://twitter.com/julio03475128/status/1705165463531971022")</f>
        <v>https://twitter.com/julio03475128/status/1705165463531971022</v>
      </c>
      <c r="AF3434" s="79">
        <v>45191.43172453704</v>
      </c>
      <c r="AG3434" s="85">
        <v>45191</v>
      </c>
      <c r="AH3434" s="80" t="s">
        <v>13603</v>
      </c>
      <c r="AI3434" s="77"/>
      <c r="AJ3434" s="77"/>
      <c r="AK3434" s="77"/>
      <c r="AL3434" s="77"/>
      <c r="AM3434" s="77"/>
      <c r="AN3434" s="77"/>
      <c r="AO3434" s="77"/>
      <c r="AP3434" s="77"/>
      <c r="AQ3434" s="77"/>
      <c r="AR3434" s="77"/>
      <c r="AS3434" s="77"/>
      <c r="AT3434" s="77"/>
      <c r="AU3434" s="77"/>
      <c r="AV3434" s="83" t="str">
        <f>HYPERLINK("https://pbs.twimg.com/profile_images/1363338027926454274/Du4ycSfz_normal.jpg")</f>
        <v>https://pbs.twimg.com/profile_images/1363338027926454274/Du4ycSfz_normal.jpg</v>
      </c>
      <c r="AW3434" s="80" t="s">
        <v>19150</v>
      </c>
      <c r="AX3434" s="80" t="s">
        <v>19150</v>
      </c>
      <c r="AY3434" s="77"/>
      <c r="AZ3434" s="80" t="s">
        <v>20380</v>
      </c>
      <c r="BA3434" s="80" t="s">
        <v>20380</v>
      </c>
      <c r="BB3434" s="80" t="s">
        <v>19843</v>
      </c>
      <c r="BC3434" s="80" t="s">
        <v>19843</v>
      </c>
      <c r="BD3434" s="80" t="s">
        <v>21051</v>
      </c>
      <c r="BE3434" s="77"/>
      <c r="BF3434" s="77"/>
      <c r="BG3434" s="77"/>
      <c r="BH3434" s="77"/>
      <c r="BI3434" s="77"/>
    </row>
    <row r="3435" spans="1:61" x14ac:dyDescent="0.25">
      <c r="A3435" s="62" t="s">
        <v>1357</v>
      </c>
      <c r="B3435" s="62" t="s">
        <v>1357</v>
      </c>
      <c r="C3435" s="63"/>
      <c r="D3435" s="64"/>
      <c r="E3435" s="65"/>
      <c r="F3435" s="66"/>
      <c r="G3435" s="63"/>
      <c r="H3435" s="67"/>
      <c r="I3435" s="68"/>
      <c r="J3435" s="68"/>
      <c r="K3435" s="32"/>
      <c r="L3435" s="75">
        <v>3435</v>
      </c>
      <c r="M3435" s="75"/>
      <c r="N3435" s="70"/>
      <c r="O3435" s="77" t="s">
        <v>179</v>
      </c>
      <c r="P3435" s="79">
        <v>45100.851388888892</v>
      </c>
      <c r="Q3435" s="77" t="s">
        <v>5106</v>
      </c>
      <c r="R3435" s="77">
        <v>0</v>
      </c>
      <c r="S3435" s="77">
        <v>0</v>
      </c>
      <c r="T3435" s="77">
        <v>0</v>
      </c>
      <c r="U3435" s="77">
        <v>0</v>
      </c>
      <c r="V3435" s="77">
        <v>11</v>
      </c>
      <c r="W3435" s="80" t="s">
        <v>8016</v>
      </c>
      <c r="X3435" s="83" t="str">
        <f>HYPERLINK("https://radardigitalbrasilia.com.br/economia/real-digital-bc-seleciona-16-propostas-de-participacao-em-piloto/")</f>
        <v>https://radardigitalbrasilia.com.br/economia/real-digital-bc-seleciona-16-propostas-de-participacao-em-piloto/</v>
      </c>
      <c r="Y3435" s="77" t="s">
        <v>8611</v>
      </c>
      <c r="Z3435" s="77"/>
      <c r="AA3435" s="77"/>
      <c r="AB3435" s="77"/>
      <c r="AC3435" s="80" t="s">
        <v>10541</v>
      </c>
      <c r="AD3435" s="77" t="s">
        <v>10617</v>
      </c>
      <c r="AE3435" s="83" t="str">
        <f>HYPERLINK("https://twitter.com/brasilia_radar/status/1672340249370927110")</f>
        <v>https://twitter.com/brasilia_radar/status/1672340249370927110</v>
      </c>
      <c r="AF3435" s="79">
        <v>45100.851388888892</v>
      </c>
      <c r="AG3435" s="85">
        <v>45100</v>
      </c>
      <c r="AH3435" s="80" t="s">
        <v>13604</v>
      </c>
      <c r="AI3435" s="77" t="b">
        <v>0</v>
      </c>
      <c r="AJ3435" s="77"/>
      <c r="AK3435" s="77"/>
      <c r="AL3435" s="77"/>
      <c r="AM3435" s="77"/>
      <c r="AN3435" s="77"/>
      <c r="AO3435" s="77"/>
      <c r="AP3435" s="77"/>
      <c r="AQ3435" s="77"/>
      <c r="AR3435" s="77"/>
      <c r="AS3435" s="77"/>
      <c r="AT3435" s="77"/>
      <c r="AU3435" s="77"/>
      <c r="AV3435" s="83" t="str">
        <f>HYPERLINK("https://pbs.twimg.com/profile_images/1557452525816651776/yJqFQjZQ_normal.jpg")</f>
        <v>https://pbs.twimg.com/profile_images/1557452525816651776/yJqFQjZQ_normal.jpg</v>
      </c>
      <c r="AW3435" s="80" t="s">
        <v>19151</v>
      </c>
      <c r="AX3435" s="80" t="s">
        <v>19151</v>
      </c>
      <c r="AY3435" s="77"/>
      <c r="AZ3435" s="80" t="s">
        <v>20380</v>
      </c>
      <c r="BA3435" s="80" t="s">
        <v>20380</v>
      </c>
      <c r="BB3435" s="80" t="s">
        <v>20380</v>
      </c>
      <c r="BC3435" s="80" t="s">
        <v>19151</v>
      </c>
      <c r="BD3435" s="80" t="s">
        <v>21052</v>
      </c>
      <c r="BE3435" s="77"/>
      <c r="BF3435" s="77"/>
      <c r="BG3435" s="77"/>
      <c r="BH3435" s="77"/>
      <c r="BI3435" s="77"/>
    </row>
    <row r="3436" spans="1:61" x14ac:dyDescent="0.25">
      <c r="A3436" s="62" t="s">
        <v>1358</v>
      </c>
      <c r="B3436" s="62" t="s">
        <v>1358</v>
      </c>
      <c r="C3436" s="63"/>
      <c r="D3436" s="64"/>
      <c r="E3436" s="65"/>
      <c r="F3436" s="66"/>
      <c r="G3436" s="63"/>
      <c r="H3436" s="67"/>
      <c r="I3436" s="68"/>
      <c r="J3436" s="68"/>
      <c r="K3436" s="32"/>
      <c r="L3436" s="75">
        <v>3436</v>
      </c>
      <c r="M3436" s="75"/>
      <c r="N3436" s="70"/>
      <c r="O3436" s="77" t="s">
        <v>2078</v>
      </c>
      <c r="P3436" s="79">
        <v>45104.616620370369</v>
      </c>
      <c r="Q3436" s="77" t="s">
        <v>5107</v>
      </c>
      <c r="R3436" s="77">
        <v>0</v>
      </c>
      <c r="S3436" s="77">
        <v>1</v>
      </c>
      <c r="T3436" s="77">
        <v>0</v>
      </c>
      <c r="U3436" s="77">
        <v>0</v>
      </c>
      <c r="V3436" s="77">
        <v>13</v>
      </c>
      <c r="W3436" s="80" t="s">
        <v>5884</v>
      </c>
      <c r="X3436" s="77"/>
      <c r="Y3436" s="77"/>
      <c r="Z3436" s="77"/>
      <c r="AA3436" s="77"/>
      <c r="AB3436" s="77"/>
      <c r="AC3436" s="80" t="s">
        <v>10541</v>
      </c>
      <c r="AD3436" s="77" t="s">
        <v>10617</v>
      </c>
      <c r="AE3436" s="83" t="str">
        <f>HYPERLINK("https://twitter.com/bmjconsultoria/status/1673704724296527872")</f>
        <v>https://twitter.com/bmjconsultoria/status/1673704724296527872</v>
      </c>
      <c r="AF3436" s="79">
        <v>45104.616620370369</v>
      </c>
      <c r="AG3436" s="85">
        <v>45104</v>
      </c>
      <c r="AH3436" s="80" t="s">
        <v>13605</v>
      </c>
      <c r="AI3436" s="77"/>
      <c r="AJ3436" s="77"/>
      <c r="AK3436" s="77"/>
      <c r="AL3436" s="77"/>
      <c r="AM3436" s="77"/>
      <c r="AN3436" s="77"/>
      <c r="AO3436" s="77"/>
      <c r="AP3436" s="77"/>
      <c r="AQ3436" s="77"/>
      <c r="AR3436" s="77"/>
      <c r="AS3436" s="77"/>
      <c r="AT3436" s="77"/>
      <c r="AU3436" s="77"/>
      <c r="AV3436" s="83" t="str">
        <f>HYPERLINK("https://pbs.twimg.com/profile_images/1072166712135561217/EwQMi766_normal.jpg")</f>
        <v>https://pbs.twimg.com/profile_images/1072166712135561217/EwQMi766_normal.jpg</v>
      </c>
      <c r="AW3436" s="80" t="s">
        <v>19152</v>
      </c>
      <c r="AX3436" s="80" t="s">
        <v>20145</v>
      </c>
      <c r="AY3436" s="80" t="s">
        <v>20346</v>
      </c>
      <c r="AZ3436" s="80" t="s">
        <v>20145</v>
      </c>
      <c r="BA3436" s="80" t="s">
        <v>20380</v>
      </c>
      <c r="BB3436" s="80" t="s">
        <v>20380</v>
      </c>
      <c r="BC3436" s="80" t="s">
        <v>20145</v>
      </c>
      <c r="BD3436" s="80" t="s">
        <v>20346</v>
      </c>
      <c r="BE3436" s="77"/>
      <c r="BF3436" s="77"/>
      <c r="BG3436" s="77"/>
      <c r="BH3436" s="77"/>
      <c r="BI3436" s="77"/>
    </row>
    <row r="3437" spans="1:61" x14ac:dyDescent="0.25">
      <c r="A3437" s="62" t="s">
        <v>1359</v>
      </c>
      <c r="B3437" s="62" t="s">
        <v>1359</v>
      </c>
      <c r="C3437" s="63"/>
      <c r="D3437" s="64"/>
      <c r="E3437" s="65"/>
      <c r="F3437" s="66"/>
      <c r="G3437" s="63"/>
      <c r="H3437" s="67"/>
      <c r="I3437" s="68"/>
      <c r="J3437" s="68"/>
      <c r="K3437" s="32"/>
      <c r="L3437" s="75">
        <v>3437</v>
      </c>
      <c r="M3437" s="75"/>
      <c r="N3437" s="70"/>
      <c r="O3437" s="77" t="s">
        <v>2078</v>
      </c>
      <c r="P3437" s="79">
        <v>45170.674942129626</v>
      </c>
      <c r="Q3437" s="77" t="s">
        <v>5108</v>
      </c>
      <c r="R3437" s="77">
        <v>0</v>
      </c>
      <c r="S3437" s="77">
        <v>0</v>
      </c>
      <c r="T3437" s="77">
        <v>0</v>
      </c>
      <c r="U3437" s="77">
        <v>0</v>
      </c>
      <c r="V3437" s="77">
        <v>10</v>
      </c>
      <c r="W3437" s="80" t="s">
        <v>8017</v>
      </c>
      <c r="X3437" s="83" t="str">
        <f>HYPERLINK("http://www.elempresariado.com")</f>
        <v>http://www.elempresariado.com</v>
      </c>
      <c r="Y3437" s="77" t="s">
        <v>8837</v>
      </c>
      <c r="Z3437" s="77"/>
      <c r="AA3437" s="77"/>
      <c r="AB3437" s="77"/>
      <c r="AC3437" s="80" t="s">
        <v>10541</v>
      </c>
      <c r="AD3437" s="77" t="s">
        <v>10620</v>
      </c>
      <c r="AE3437" s="83" t="str">
        <f>HYPERLINK("https://twitter.com/el_ibg/status/1697643455588061377")</f>
        <v>https://twitter.com/el_ibg/status/1697643455588061377</v>
      </c>
      <c r="AF3437" s="79">
        <v>45170.674942129626</v>
      </c>
      <c r="AG3437" s="85">
        <v>45170</v>
      </c>
      <c r="AH3437" s="80" t="s">
        <v>13606</v>
      </c>
      <c r="AI3437" s="77" t="b">
        <v>0</v>
      </c>
      <c r="AJ3437" s="77"/>
      <c r="AK3437" s="77"/>
      <c r="AL3437" s="77"/>
      <c r="AM3437" s="77"/>
      <c r="AN3437" s="77"/>
      <c r="AO3437" s="77"/>
      <c r="AP3437" s="77"/>
      <c r="AQ3437" s="77"/>
      <c r="AR3437" s="77"/>
      <c r="AS3437" s="77"/>
      <c r="AT3437" s="77"/>
      <c r="AU3437" s="77"/>
      <c r="AV3437" s="83" t="str">
        <f>HYPERLINK("https://pbs.twimg.com/profile_images/1518710623542161413/uahBw9oZ_normal.jpg")</f>
        <v>https://pbs.twimg.com/profile_images/1518710623542161413/uahBw9oZ_normal.jpg</v>
      </c>
      <c r="AW3437" s="80" t="s">
        <v>19153</v>
      </c>
      <c r="AX3437" s="80" t="s">
        <v>20146</v>
      </c>
      <c r="AY3437" s="80" t="s">
        <v>20347</v>
      </c>
      <c r="AZ3437" s="80" t="s">
        <v>20442</v>
      </c>
      <c r="BA3437" s="80" t="s">
        <v>20380</v>
      </c>
      <c r="BB3437" s="80" t="s">
        <v>20380</v>
      </c>
      <c r="BC3437" s="80" t="s">
        <v>20442</v>
      </c>
      <c r="BD3437" s="80" t="s">
        <v>20347</v>
      </c>
      <c r="BE3437" s="77"/>
      <c r="BF3437" s="77"/>
      <c r="BG3437" s="77"/>
      <c r="BH3437" s="77"/>
      <c r="BI3437" s="77"/>
    </row>
    <row r="3438" spans="1:61" x14ac:dyDescent="0.25">
      <c r="A3438" s="62" t="s">
        <v>1359</v>
      </c>
      <c r="B3438" s="62" t="s">
        <v>1359</v>
      </c>
      <c r="C3438" s="63"/>
      <c r="D3438" s="64"/>
      <c r="E3438" s="65"/>
      <c r="F3438" s="66"/>
      <c r="G3438" s="63"/>
      <c r="H3438" s="67"/>
      <c r="I3438" s="68"/>
      <c r="J3438" s="68"/>
      <c r="K3438" s="32"/>
      <c r="L3438" s="75">
        <v>3438</v>
      </c>
      <c r="M3438" s="75"/>
      <c r="N3438" s="70"/>
      <c r="O3438" s="77" t="s">
        <v>2078</v>
      </c>
      <c r="P3438" s="79">
        <v>45155.874074074076</v>
      </c>
      <c r="Q3438" s="77" t="s">
        <v>5109</v>
      </c>
      <c r="R3438" s="77">
        <v>0</v>
      </c>
      <c r="S3438" s="77">
        <v>0</v>
      </c>
      <c r="T3438" s="77">
        <v>0</v>
      </c>
      <c r="U3438" s="77">
        <v>0</v>
      </c>
      <c r="V3438" s="77">
        <v>3</v>
      </c>
      <c r="W3438" s="80" t="s">
        <v>8018</v>
      </c>
      <c r="X3438" s="83" t="str">
        <f>HYPERLINK("http://www.elempresariado.com")</f>
        <v>http://www.elempresariado.com</v>
      </c>
      <c r="Y3438" s="77" t="s">
        <v>8837</v>
      </c>
      <c r="Z3438" s="77"/>
      <c r="AA3438" s="77"/>
      <c r="AB3438" s="77"/>
      <c r="AC3438" s="80" t="s">
        <v>10541</v>
      </c>
      <c r="AD3438" s="77" t="s">
        <v>10620</v>
      </c>
      <c r="AE3438" s="83" t="str">
        <f>HYPERLINK("https://twitter.com/el_ibg/status/1692279803410284620")</f>
        <v>https://twitter.com/el_ibg/status/1692279803410284620</v>
      </c>
      <c r="AF3438" s="79">
        <v>45155.874074074076</v>
      </c>
      <c r="AG3438" s="85">
        <v>45155</v>
      </c>
      <c r="AH3438" s="80" t="s">
        <v>13607</v>
      </c>
      <c r="AI3438" s="77" t="b">
        <v>0</v>
      </c>
      <c r="AJ3438" s="77"/>
      <c r="AK3438" s="77"/>
      <c r="AL3438" s="77"/>
      <c r="AM3438" s="77"/>
      <c r="AN3438" s="77"/>
      <c r="AO3438" s="77"/>
      <c r="AP3438" s="77"/>
      <c r="AQ3438" s="77"/>
      <c r="AR3438" s="77"/>
      <c r="AS3438" s="77"/>
      <c r="AT3438" s="77"/>
      <c r="AU3438" s="77"/>
      <c r="AV3438" s="83" t="str">
        <f>HYPERLINK("https://pbs.twimg.com/profile_images/1518710623542161413/uahBw9oZ_normal.jpg")</f>
        <v>https://pbs.twimg.com/profile_images/1518710623542161413/uahBw9oZ_normal.jpg</v>
      </c>
      <c r="AW3438" s="80" t="s">
        <v>19154</v>
      </c>
      <c r="AX3438" s="80" t="s">
        <v>20147</v>
      </c>
      <c r="AY3438" s="80" t="s">
        <v>20347</v>
      </c>
      <c r="AZ3438" s="80" t="s">
        <v>20443</v>
      </c>
      <c r="BA3438" s="80" t="s">
        <v>20380</v>
      </c>
      <c r="BB3438" s="80" t="s">
        <v>20380</v>
      </c>
      <c r="BC3438" s="80" t="s">
        <v>20443</v>
      </c>
      <c r="BD3438" s="80" t="s">
        <v>20347</v>
      </c>
      <c r="BE3438" s="77"/>
      <c r="BF3438" s="77"/>
      <c r="BG3438" s="77"/>
      <c r="BH3438" s="77"/>
      <c r="BI3438" s="77"/>
    </row>
    <row r="3439" spans="1:61" x14ac:dyDescent="0.25">
      <c r="A3439" s="62" t="s">
        <v>1359</v>
      </c>
      <c r="B3439" s="62" t="s">
        <v>1359</v>
      </c>
      <c r="C3439" s="63"/>
      <c r="D3439" s="64"/>
      <c r="E3439" s="65"/>
      <c r="F3439" s="66"/>
      <c r="G3439" s="63"/>
      <c r="H3439" s="67"/>
      <c r="I3439" s="68"/>
      <c r="J3439" s="68"/>
      <c r="K3439" s="32"/>
      <c r="L3439" s="75">
        <v>3439</v>
      </c>
      <c r="M3439" s="75"/>
      <c r="N3439" s="70"/>
      <c r="O3439" s="77" t="s">
        <v>2078</v>
      </c>
      <c r="P3439" s="79">
        <v>45163.676249999997</v>
      </c>
      <c r="Q3439" s="77" t="s">
        <v>5110</v>
      </c>
      <c r="R3439" s="77">
        <v>0</v>
      </c>
      <c r="S3439" s="77">
        <v>0</v>
      </c>
      <c r="T3439" s="77">
        <v>0</v>
      </c>
      <c r="U3439" s="77">
        <v>0</v>
      </c>
      <c r="V3439" s="77">
        <v>5</v>
      </c>
      <c r="W3439" s="80" t="s">
        <v>8019</v>
      </c>
      <c r="X3439" s="77"/>
      <c r="Y3439" s="77"/>
      <c r="Z3439" s="77"/>
      <c r="AA3439" s="77"/>
      <c r="AB3439" s="77"/>
      <c r="AC3439" s="80" t="s">
        <v>10541</v>
      </c>
      <c r="AD3439" s="77" t="s">
        <v>10620</v>
      </c>
      <c r="AE3439" s="83" t="str">
        <f>HYPERLINK("https://twitter.com/el_ibg/status/1695107215290507761")</f>
        <v>https://twitter.com/el_ibg/status/1695107215290507761</v>
      </c>
      <c r="AF3439" s="79">
        <v>45163.676249999997</v>
      </c>
      <c r="AG3439" s="85">
        <v>45163</v>
      </c>
      <c r="AH3439" s="80" t="s">
        <v>13608</v>
      </c>
      <c r="AI3439" s="77"/>
      <c r="AJ3439" s="77"/>
      <c r="AK3439" s="77"/>
      <c r="AL3439" s="77"/>
      <c r="AM3439" s="77"/>
      <c r="AN3439" s="77"/>
      <c r="AO3439" s="77"/>
      <c r="AP3439" s="77"/>
      <c r="AQ3439" s="77"/>
      <c r="AR3439" s="77"/>
      <c r="AS3439" s="77"/>
      <c r="AT3439" s="77"/>
      <c r="AU3439" s="77"/>
      <c r="AV3439" s="83" t="str">
        <f>HYPERLINK("https://pbs.twimg.com/profile_images/1518710623542161413/uahBw9oZ_normal.jpg")</f>
        <v>https://pbs.twimg.com/profile_images/1518710623542161413/uahBw9oZ_normal.jpg</v>
      </c>
      <c r="AW3439" s="80" t="s">
        <v>19155</v>
      </c>
      <c r="AX3439" s="80" t="s">
        <v>20148</v>
      </c>
      <c r="AY3439" s="80" t="s">
        <v>20347</v>
      </c>
      <c r="AZ3439" s="80" t="s">
        <v>20444</v>
      </c>
      <c r="BA3439" s="80" t="s">
        <v>20380</v>
      </c>
      <c r="BB3439" s="80" t="s">
        <v>20380</v>
      </c>
      <c r="BC3439" s="80" t="s">
        <v>20444</v>
      </c>
      <c r="BD3439" s="80" t="s">
        <v>20347</v>
      </c>
      <c r="BE3439" s="77"/>
      <c r="BF3439" s="77"/>
      <c r="BG3439" s="77"/>
      <c r="BH3439" s="77"/>
      <c r="BI3439" s="77"/>
    </row>
    <row r="3440" spans="1:61" x14ac:dyDescent="0.25">
      <c r="A3440" s="62" t="s">
        <v>1359</v>
      </c>
      <c r="B3440" s="62" t="s">
        <v>1359</v>
      </c>
      <c r="C3440" s="63"/>
      <c r="D3440" s="64"/>
      <c r="E3440" s="65"/>
      <c r="F3440" s="66"/>
      <c r="G3440" s="63"/>
      <c r="H3440" s="67"/>
      <c r="I3440" s="68"/>
      <c r="J3440" s="68"/>
      <c r="K3440" s="32"/>
      <c r="L3440" s="75">
        <v>3440</v>
      </c>
      <c r="M3440" s="75"/>
      <c r="N3440" s="70"/>
      <c r="O3440" s="77" t="s">
        <v>2078</v>
      </c>
      <c r="P3440" s="79">
        <v>45156.782395833332</v>
      </c>
      <c r="Q3440" s="77" t="s">
        <v>5111</v>
      </c>
      <c r="R3440" s="77">
        <v>0</v>
      </c>
      <c r="S3440" s="77">
        <v>0</v>
      </c>
      <c r="T3440" s="77">
        <v>0</v>
      </c>
      <c r="U3440" s="77">
        <v>0</v>
      </c>
      <c r="V3440" s="77">
        <v>8</v>
      </c>
      <c r="W3440" s="80" t="s">
        <v>8018</v>
      </c>
      <c r="X3440" s="77"/>
      <c r="Y3440" s="77"/>
      <c r="Z3440" s="77"/>
      <c r="AA3440" s="77"/>
      <c r="AB3440" s="77"/>
      <c r="AC3440" s="80" t="s">
        <v>10541</v>
      </c>
      <c r="AD3440" s="77" t="s">
        <v>10618</v>
      </c>
      <c r="AE3440" s="83" t="str">
        <f>HYPERLINK("https://twitter.com/el_ibg/status/1692608964964335707")</f>
        <v>https://twitter.com/el_ibg/status/1692608964964335707</v>
      </c>
      <c r="AF3440" s="79">
        <v>45156.782395833332</v>
      </c>
      <c r="AG3440" s="85">
        <v>45156</v>
      </c>
      <c r="AH3440" s="80" t="s">
        <v>13609</v>
      </c>
      <c r="AI3440" s="77"/>
      <c r="AJ3440" s="77"/>
      <c r="AK3440" s="77"/>
      <c r="AL3440" s="77"/>
      <c r="AM3440" s="77"/>
      <c r="AN3440" s="77"/>
      <c r="AO3440" s="77"/>
      <c r="AP3440" s="77"/>
      <c r="AQ3440" s="77"/>
      <c r="AR3440" s="77"/>
      <c r="AS3440" s="77"/>
      <c r="AT3440" s="77"/>
      <c r="AU3440" s="77"/>
      <c r="AV3440" s="83" t="str">
        <f>HYPERLINK("https://pbs.twimg.com/profile_images/1518710623542161413/uahBw9oZ_normal.jpg")</f>
        <v>https://pbs.twimg.com/profile_images/1518710623542161413/uahBw9oZ_normal.jpg</v>
      </c>
      <c r="AW3440" s="80" t="s">
        <v>19156</v>
      </c>
      <c r="AX3440" s="80" t="s">
        <v>20149</v>
      </c>
      <c r="AY3440" s="80" t="s">
        <v>20347</v>
      </c>
      <c r="AZ3440" s="80" t="s">
        <v>20445</v>
      </c>
      <c r="BA3440" s="80" t="s">
        <v>20380</v>
      </c>
      <c r="BB3440" s="80" t="s">
        <v>20380</v>
      </c>
      <c r="BC3440" s="80" t="s">
        <v>20445</v>
      </c>
      <c r="BD3440" s="80" t="s">
        <v>20347</v>
      </c>
      <c r="BE3440" s="77"/>
      <c r="BF3440" s="77"/>
      <c r="BG3440" s="77"/>
      <c r="BH3440" s="77"/>
      <c r="BI3440" s="77"/>
    </row>
    <row r="3441" spans="1:61" x14ac:dyDescent="0.25">
      <c r="A3441" s="62" t="s">
        <v>1359</v>
      </c>
      <c r="B3441" s="62" t="s">
        <v>1359</v>
      </c>
      <c r="C3441" s="63"/>
      <c r="D3441" s="64"/>
      <c r="E3441" s="65"/>
      <c r="F3441" s="66"/>
      <c r="G3441" s="63"/>
      <c r="H3441" s="67"/>
      <c r="I3441" s="68"/>
      <c r="J3441" s="68"/>
      <c r="K3441" s="32"/>
      <c r="L3441" s="75">
        <v>3441</v>
      </c>
      <c r="M3441" s="75"/>
      <c r="N3441" s="70"/>
      <c r="O3441" s="77" t="s">
        <v>2078</v>
      </c>
      <c r="P3441" s="79">
        <v>45173.852743055555</v>
      </c>
      <c r="Q3441" s="77" t="s">
        <v>5112</v>
      </c>
      <c r="R3441" s="77">
        <v>0</v>
      </c>
      <c r="S3441" s="77">
        <v>0</v>
      </c>
      <c r="T3441" s="77">
        <v>0</v>
      </c>
      <c r="U3441" s="77">
        <v>0</v>
      </c>
      <c r="V3441" s="77">
        <v>8</v>
      </c>
      <c r="W3441" s="80" t="s">
        <v>8020</v>
      </c>
      <c r="X3441" s="83" t="str">
        <f>HYPERLINK("http://www.elempresariado.com")</f>
        <v>http://www.elempresariado.com</v>
      </c>
      <c r="Y3441" s="77" t="s">
        <v>8837</v>
      </c>
      <c r="Z3441" s="77"/>
      <c r="AA3441" s="77"/>
      <c r="AB3441" s="77"/>
      <c r="AC3441" s="80" t="s">
        <v>10541</v>
      </c>
      <c r="AD3441" s="77" t="s">
        <v>10620</v>
      </c>
      <c r="AE3441" s="83" t="str">
        <f>HYPERLINK("https://twitter.com/el_ibg/status/1698795054830076293")</f>
        <v>https://twitter.com/el_ibg/status/1698795054830076293</v>
      </c>
      <c r="AF3441" s="79">
        <v>45173.852743055555</v>
      </c>
      <c r="AG3441" s="85">
        <v>45173</v>
      </c>
      <c r="AH3441" s="80" t="s">
        <v>13610</v>
      </c>
      <c r="AI3441" s="77" t="b">
        <v>0</v>
      </c>
      <c r="AJ3441" s="77"/>
      <c r="AK3441" s="77"/>
      <c r="AL3441" s="77"/>
      <c r="AM3441" s="77"/>
      <c r="AN3441" s="77"/>
      <c r="AO3441" s="77"/>
      <c r="AP3441" s="77"/>
      <c r="AQ3441" s="77"/>
      <c r="AR3441" s="77"/>
      <c r="AS3441" s="77"/>
      <c r="AT3441" s="77"/>
      <c r="AU3441" s="77"/>
      <c r="AV3441" s="83" t="str">
        <f>HYPERLINK("https://pbs.twimg.com/profile_images/1518710623542161413/uahBw9oZ_normal.jpg")</f>
        <v>https://pbs.twimg.com/profile_images/1518710623542161413/uahBw9oZ_normal.jpg</v>
      </c>
      <c r="AW3441" s="80" t="s">
        <v>19157</v>
      </c>
      <c r="AX3441" s="80" t="s">
        <v>20150</v>
      </c>
      <c r="AY3441" s="80" t="s">
        <v>20347</v>
      </c>
      <c r="AZ3441" s="80" t="s">
        <v>20446</v>
      </c>
      <c r="BA3441" s="80" t="s">
        <v>20380</v>
      </c>
      <c r="BB3441" s="80" t="s">
        <v>20380</v>
      </c>
      <c r="BC3441" s="80" t="s">
        <v>20446</v>
      </c>
      <c r="BD3441" s="80" t="s">
        <v>20347</v>
      </c>
      <c r="BE3441" s="77"/>
      <c r="BF3441" s="77"/>
      <c r="BG3441" s="77"/>
      <c r="BH3441" s="77"/>
      <c r="BI3441" s="77"/>
    </row>
    <row r="3442" spans="1:61" x14ac:dyDescent="0.25">
      <c r="A3442" s="62" t="s">
        <v>1359</v>
      </c>
      <c r="B3442" s="62" t="s">
        <v>1359</v>
      </c>
      <c r="C3442" s="63"/>
      <c r="D3442" s="64"/>
      <c r="E3442" s="65"/>
      <c r="F3442" s="66"/>
      <c r="G3442" s="63"/>
      <c r="H3442" s="67"/>
      <c r="I3442" s="68"/>
      <c r="J3442" s="68"/>
      <c r="K3442" s="32"/>
      <c r="L3442" s="75">
        <v>3442</v>
      </c>
      <c r="M3442" s="75"/>
      <c r="N3442" s="70"/>
      <c r="O3442" s="77" t="s">
        <v>2078</v>
      </c>
      <c r="P3442" s="79">
        <v>45160.818101851852</v>
      </c>
      <c r="Q3442" s="77" t="s">
        <v>5113</v>
      </c>
      <c r="R3442" s="77">
        <v>0</v>
      </c>
      <c r="S3442" s="77">
        <v>0</v>
      </c>
      <c r="T3442" s="77">
        <v>0</v>
      </c>
      <c r="U3442" s="77">
        <v>0</v>
      </c>
      <c r="V3442" s="77">
        <v>15</v>
      </c>
      <c r="W3442" s="80" t="s">
        <v>8018</v>
      </c>
      <c r="X3442" s="83" t="str">
        <f>HYPERLINK("http://www.elempresariado.com")</f>
        <v>http://www.elempresariado.com</v>
      </c>
      <c r="Y3442" s="77" t="s">
        <v>8837</v>
      </c>
      <c r="Z3442" s="77"/>
      <c r="AA3442" s="77"/>
      <c r="AB3442" s="77"/>
      <c r="AC3442" s="80" t="s">
        <v>10541</v>
      </c>
      <c r="AD3442" s="77" t="s">
        <v>10620</v>
      </c>
      <c r="AE3442" s="83" t="str">
        <f>HYPERLINK("https://twitter.com/el_ibg/status/1694071459704864920")</f>
        <v>https://twitter.com/el_ibg/status/1694071459704864920</v>
      </c>
      <c r="AF3442" s="79">
        <v>45160.818101851852</v>
      </c>
      <c r="AG3442" s="85">
        <v>45160</v>
      </c>
      <c r="AH3442" s="80" t="s">
        <v>11153</v>
      </c>
      <c r="AI3442" s="77" t="b">
        <v>0</v>
      </c>
      <c r="AJ3442" s="77"/>
      <c r="AK3442" s="77"/>
      <c r="AL3442" s="77"/>
      <c r="AM3442" s="77"/>
      <c r="AN3442" s="77"/>
      <c r="AO3442" s="77"/>
      <c r="AP3442" s="77"/>
      <c r="AQ3442" s="77"/>
      <c r="AR3442" s="77"/>
      <c r="AS3442" s="77"/>
      <c r="AT3442" s="77"/>
      <c r="AU3442" s="77"/>
      <c r="AV3442" s="83" t="str">
        <f>HYPERLINK("https://pbs.twimg.com/profile_images/1518710623542161413/uahBw9oZ_normal.jpg")</f>
        <v>https://pbs.twimg.com/profile_images/1518710623542161413/uahBw9oZ_normal.jpg</v>
      </c>
      <c r="AW3442" s="80" t="s">
        <v>19158</v>
      </c>
      <c r="AX3442" s="80" t="s">
        <v>20151</v>
      </c>
      <c r="AY3442" s="80" t="s">
        <v>20347</v>
      </c>
      <c r="AZ3442" s="80" t="s">
        <v>20447</v>
      </c>
      <c r="BA3442" s="80" t="s">
        <v>20380</v>
      </c>
      <c r="BB3442" s="80" t="s">
        <v>20380</v>
      </c>
      <c r="BC3442" s="80" t="s">
        <v>20447</v>
      </c>
      <c r="BD3442" s="80" t="s">
        <v>20347</v>
      </c>
      <c r="BE3442" s="77"/>
      <c r="BF3442" s="77"/>
      <c r="BG3442" s="77"/>
      <c r="BH3442" s="77"/>
      <c r="BI3442" s="77"/>
    </row>
    <row r="3443" spans="1:61" x14ac:dyDescent="0.25">
      <c r="A3443" s="62" t="s">
        <v>1359</v>
      </c>
      <c r="B3443" s="62" t="s">
        <v>1359</v>
      </c>
      <c r="C3443" s="63"/>
      <c r="D3443" s="64"/>
      <c r="E3443" s="65"/>
      <c r="F3443" s="66"/>
      <c r="G3443" s="63"/>
      <c r="H3443" s="67"/>
      <c r="I3443" s="68"/>
      <c r="J3443" s="68"/>
      <c r="K3443" s="32"/>
      <c r="L3443" s="75">
        <v>3443</v>
      </c>
      <c r="M3443" s="75"/>
      <c r="N3443" s="70"/>
      <c r="O3443" s="77" t="s">
        <v>2078</v>
      </c>
      <c r="P3443" s="79">
        <v>45159.873611111114</v>
      </c>
      <c r="Q3443" s="77" t="s">
        <v>5114</v>
      </c>
      <c r="R3443" s="77">
        <v>0</v>
      </c>
      <c r="S3443" s="77">
        <v>0</v>
      </c>
      <c r="T3443" s="77">
        <v>0</v>
      </c>
      <c r="U3443" s="77">
        <v>0</v>
      </c>
      <c r="V3443" s="77">
        <v>9</v>
      </c>
      <c r="W3443" s="80" t="s">
        <v>8018</v>
      </c>
      <c r="X3443" s="83" t="str">
        <f>HYPERLINK("http://www.elempresariado.com")</f>
        <v>http://www.elempresariado.com</v>
      </c>
      <c r="Y3443" s="77" t="s">
        <v>8837</v>
      </c>
      <c r="Z3443" s="77"/>
      <c r="AA3443" s="77"/>
      <c r="AB3443" s="77"/>
      <c r="AC3443" s="80" t="s">
        <v>10541</v>
      </c>
      <c r="AD3443" s="77" t="s">
        <v>10620</v>
      </c>
      <c r="AE3443" s="83" t="str">
        <f>HYPERLINK("https://twitter.com/el_ibg/status/1693729187171877141")</f>
        <v>https://twitter.com/el_ibg/status/1693729187171877141</v>
      </c>
      <c r="AF3443" s="79">
        <v>45159.873611111114</v>
      </c>
      <c r="AG3443" s="85">
        <v>45159</v>
      </c>
      <c r="AH3443" s="80" t="s">
        <v>12541</v>
      </c>
      <c r="AI3443" s="77" t="b">
        <v>0</v>
      </c>
      <c r="AJ3443" s="77"/>
      <c r="AK3443" s="77"/>
      <c r="AL3443" s="77"/>
      <c r="AM3443" s="77"/>
      <c r="AN3443" s="77"/>
      <c r="AO3443" s="77"/>
      <c r="AP3443" s="77"/>
      <c r="AQ3443" s="77"/>
      <c r="AR3443" s="77"/>
      <c r="AS3443" s="77"/>
      <c r="AT3443" s="77"/>
      <c r="AU3443" s="77"/>
      <c r="AV3443" s="83" t="str">
        <f>HYPERLINK("https://pbs.twimg.com/profile_images/1518710623542161413/uahBw9oZ_normal.jpg")</f>
        <v>https://pbs.twimg.com/profile_images/1518710623542161413/uahBw9oZ_normal.jpg</v>
      </c>
      <c r="AW3443" s="80" t="s">
        <v>19159</v>
      </c>
      <c r="AX3443" s="80" t="s">
        <v>20152</v>
      </c>
      <c r="AY3443" s="80" t="s">
        <v>20347</v>
      </c>
      <c r="AZ3443" s="80" t="s">
        <v>20448</v>
      </c>
      <c r="BA3443" s="80" t="s">
        <v>20380</v>
      </c>
      <c r="BB3443" s="80" t="s">
        <v>20380</v>
      </c>
      <c r="BC3443" s="80" t="s">
        <v>20448</v>
      </c>
      <c r="BD3443" s="80" t="s">
        <v>20347</v>
      </c>
      <c r="BE3443" s="77"/>
      <c r="BF3443" s="77"/>
      <c r="BG3443" s="77"/>
      <c r="BH3443" s="77"/>
      <c r="BI3443" s="77"/>
    </row>
    <row r="3444" spans="1:61" x14ac:dyDescent="0.25">
      <c r="A3444" s="62" t="s">
        <v>1359</v>
      </c>
      <c r="B3444" s="62" t="s">
        <v>1359</v>
      </c>
      <c r="C3444" s="63"/>
      <c r="D3444" s="64"/>
      <c r="E3444" s="65"/>
      <c r="F3444" s="66"/>
      <c r="G3444" s="63"/>
      <c r="H3444" s="67"/>
      <c r="I3444" s="68"/>
      <c r="J3444" s="68"/>
      <c r="K3444" s="32"/>
      <c r="L3444" s="75">
        <v>3444</v>
      </c>
      <c r="M3444" s="75"/>
      <c r="N3444" s="70"/>
      <c r="O3444" s="77" t="s">
        <v>2078</v>
      </c>
      <c r="P3444" s="79">
        <v>45166.85659722222</v>
      </c>
      <c r="Q3444" s="77" t="s">
        <v>5115</v>
      </c>
      <c r="R3444" s="77">
        <v>0</v>
      </c>
      <c r="S3444" s="77">
        <v>0</v>
      </c>
      <c r="T3444" s="77">
        <v>0</v>
      </c>
      <c r="U3444" s="77">
        <v>0</v>
      </c>
      <c r="V3444" s="77">
        <v>2</v>
      </c>
      <c r="W3444" s="80" t="s">
        <v>8021</v>
      </c>
      <c r="X3444" s="83" t="str">
        <f>HYPERLINK("http://www.elempresariado.com")</f>
        <v>http://www.elempresariado.com</v>
      </c>
      <c r="Y3444" s="77" t="s">
        <v>8837</v>
      </c>
      <c r="Z3444" s="77"/>
      <c r="AA3444" s="77"/>
      <c r="AB3444" s="77"/>
      <c r="AC3444" s="80" t="s">
        <v>10541</v>
      </c>
      <c r="AD3444" s="77" t="s">
        <v>10620</v>
      </c>
      <c r="AE3444" s="83" t="str">
        <f>HYPERLINK("https://twitter.com/el_ibg/status/1696259736339898501")</f>
        <v>https://twitter.com/el_ibg/status/1696259736339898501</v>
      </c>
      <c r="AF3444" s="79">
        <v>45166.85659722222</v>
      </c>
      <c r="AG3444" s="85">
        <v>45166</v>
      </c>
      <c r="AH3444" s="80" t="s">
        <v>13611</v>
      </c>
      <c r="AI3444" s="77" t="b">
        <v>0</v>
      </c>
      <c r="AJ3444" s="77"/>
      <c r="AK3444" s="77"/>
      <c r="AL3444" s="77"/>
      <c r="AM3444" s="77"/>
      <c r="AN3444" s="77"/>
      <c r="AO3444" s="77"/>
      <c r="AP3444" s="77"/>
      <c r="AQ3444" s="77"/>
      <c r="AR3444" s="77"/>
      <c r="AS3444" s="77"/>
      <c r="AT3444" s="77"/>
      <c r="AU3444" s="77"/>
      <c r="AV3444" s="83" t="str">
        <f>HYPERLINK("https://pbs.twimg.com/profile_images/1518710623542161413/uahBw9oZ_normal.jpg")</f>
        <v>https://pbs.twimg.com/profile_images/1518710623542161413/uahBw9oZ_normal.jpg</v>
      </c>
      <c r="AW3444" s="80" t="s">
        <v>19160</v>
      </c>
      <c r="AX3444" s="80" t="s">
        <v>20153</v>
      </c>
      <c r="AY3444" s="80" t="s">
        <v>20347</v>
      </c>
      <c r="AZ3444" s="80" t="s">
        <v>20449</v>
      </c>
      <c r="BA3444" s="80" t="s">
        <v>20380</v>
      </c>
      <c r="BB3444" s="80" t="s">
        <v>20380</v>
      </c>
      <c r="BC3444" s="80" t="s">
        <v>20449</v>
      </c>
      <c r="BD3444" s="80" t="s">
        <v>20347</v>
      </c>
      <c r="BE3444" s="77"/>
      <c r="BF3444" s="77"/>
      <c r="BG3444" s="77"/>
      <c r="BH3444" s="77"/>
      <c r="BI3444" s="77"/>
    </row>
    <row r="3445" spans="1:61" x14ac:dyDescent="0.25">
      <c r="A3445" s="62" t="s">
        <v>1359</v>
      </c>
      <c r="B3445" s="62" t="s">
        <v>1359</v>
      </c>
      <c r="C3445" s="63"/>
      <c r="D3445" s="64"/>
      <c r="E3445" s="65"/>
      <c r="F3445" s="66"/>
      <c r="G3445" s="63"/>
      <c r="H3445" s="67"/>
      <c r="I3445" s="68"/>
      <c r="J3445" s="68"/>
      <c r="K3445" s="32"/>
      <c r="L3445" s="75">
        <v>3445</v>
      </c>
      <c r="M3445" s="75"/>
      <c r="N3445" s="70"/>
      <c r="O3445" s="77" t="s">
        <v>2078</v>
      </c>
      <c r="P3445" s="79">
        <v>45175.010613425926</v>
      </c>
      <c r="Q3445" s="77" t="s">
        <v>5116</v>
      </c>
      <c r="R3445" s="77">
        <v>0</v>
      </c>
      <c r="S3445" s="77">
        <v>0</v>
      </c>
      <c r="T3445" s="77">
        <v>0</v>
      </c>
      <c r="U3445" s="77">
        <v>0</v>
      </c>
      <c r="V3445" s="77">
        <v>5</v>
      </c>
      <c r="W3445" s="80" t="s">
        <v>8020</v>
      </c>
      <c r="X3445" s="83" t="str">
        <f>HYPERLINK("http://www.elempresariado.com")</f>
        <v>http://www.elempresariado.com</v>
      </c>
      <c r="Y3445" s="77" t="s">
        <v>8837</v>
      </c>
      <c r="Z3445" s="77"/>
      <c r="AA3445" s="77"/>
      <c r="AB3445" s="77"/>
      <c r="AC3445" s="80" t="s">
        <v>10541</v>
      </c>
      <c r="AD3445" s="77" t="s">
        <v>10620</v>
      </c>
      <c r="AE3445" s="83" t="str">
        <f>HYPERLINK("https://twitter.com/el_ibg/status/1699214652889080305")</f>
        <v>https://twitter.com/el_ibg/status/1699214652889080305</v>
      </c>
      <c r="AF3445" s="79">
        <v>45175.010613425926</v>
      </c>
      <c r="AG3445" s="85">
        <v>45175</v>
      </c>
      <c r="AH3445" s="80" t="s">
        <v>13612</v>
      </c>
      <c r="AI3445" s="77" t="b">
        <v>0</v>
      </c>
      <c r="AJ3445" s="77"/>
      <c r="AK3445" s="77"/>
      <c r="AL3445" s="77"/>
      <c r="AM3445" s="77"/>
      <c r="AN3445" s="77"/>
      <c r="AO3445" s="77"/>
      <c r="AP3445" s="77"/>
      <c r="AQ3445" s="77"/>
      <c r="AR3445" s="77"/>
      <c r="AS3445" s="77"/>
      <c r="AT3445" s="77"/>
      <c r="AU3445" s="77"/>
      <c r="AV3445" s="83" t="str">
        <f>HYPERLINK("https://pbs.twimg.com/profile_images/1518710623542161413/uahBw9oZ_normal.jpg")</f>
        <v>https://pbs.twimg.com/profile_images/1518710623542161413/uahBw9oZ_normal.jpg</v>
      </c>
      <c r="AW3445" s="80" t="s">
        <v>19161</v>
      </c>
      <c r="AX3445" s="80" t="s">
        <v>20154</v>
      </c>
      <c r="AY3445" s="80" t="s">
        <v>20347</v>
      </c>
      <c r="AZ3445" s="80" t="s">
        <v>20450</v>
      </c>
      <c r="BA3445" s="80" t="s">
        <v>20380</v>
      </c>
      <c r="BB3445" s="80" t="s">
        <v>20380</v>
      </c>
      <c r="BC3445" s="80" t="s">
        <v>20450</v>
      </c>
      <c r="BD3445" s="80" t="s">
        <v>20347</v>
      </c>
      <c r="BE3445" s="77"/>
      <c r="BF3445" s="77"/>
      <c r="BG3445" s="77"/>
      <c r="BH3445" s="77"/>
      <c r="BI3445" s="77"/>
    </row>
    <row r="3446" spans="1:61" x14ac:dyDescent="0.25">
      <c r="A3446" s="62" t="s">
        <v>1359</v>
      </c>
      <c r="B3446" s="62" t="s">
        <v>1359</v>
      </c>
      <c r="C3446" s="63"/>
      <c r="D3446" s="64"/>
      <c r="E3446" s="65"/>
      <c r="F3446" s="66"/>
      <c r="G3446" s="63"/>
      <c r="H3446" s="67"/>
      <c r="I3446" s="68"/>
      <c r="J3446" s="68"/>
      <c r="K3446" s="32"/>
      <c r="L3446" s="75">
        <v>3446</v>
      </c>
      <c r="M3446" s="75"/>
      <c r="N3446" s="70"/>
      <c r="O3446" s="77" t="s">
        <v>2078</v>
      </c>
      <c r="P3446" s="79">
        <v>45169.696493055555</v>
      </c>
      <c r="Q3446" s="77" t="s">
        <v>5117</v>
      </c>
      <c r="R3446" s="77">
        <v>0</v>
      </c>
      <c r="S3446" s="77">
        <v>0</v>
      </c>
      <c r="T3446" s="77">
        <v>0</v>
      </c>
      <c r="U3446" s="77">
        <v>0</v>
      </c>
      <c r="V3446" s="77">
        <v>5</v>
      </c>
      <c r="W3446" s="80" t="s">
        <v>8022</v>
      </c>
      <c r="X3446" s="83" t="str">
        <f>HYPERLINK("http://www.elempresariado.com")</f>
        <v>http://www.elempresariado.com</v>
      </c>
      <c r="Y3446" s="77" t="s">
        <v>8837</v>
      </c>
      <c r="Z3446" s="77"/>
      <c r="AA3446" s="77"/>
      <c r="AB3446" s="77"/>
      <c r="AC3446" s="80" t="s">
        <v>10541</v>
      </c>
      <c r="AD3446" s="77" t="s">
        <v>10620</v>
      </c>
      <c r="AE3446" s="83" t="str">
        <f>HYPERLINK("https://twitter.com/el_ibg/status/1697288878028124355")</f>
        <v>https://twitter.com/el_ibg/status/1697288878028124355</v>
      </c>
      <c r="AF3446" s="79">
        <v>45169.696493055555</v>
      </c>
      <c r="AG3446" s="85">
        <v>45169</v>
      </c>
      <c r="AH3446" s="80" t="s">
        <v>13613</v>
      </c>
      <c r="AI3446" s="77" t="b">
        <v>0</v>
      </c>
      <c r="AJ3446" s="77"/>
      <c r="AK3446" s="77"/>
      <c r="AL3446" s="77"/>
      <c r="AM3446" s="77"/>
      <c r="AN3446" s="77"/>
      <c r="AO3446" s="77"/>
      <c r="AP3446" s="77"/>
      <c r="AQ3446" s="77"/>
      <c r="AR3446" s="77"/>
      <c r="AS3446" s="77"/>
      <c r="AT3446" s="77"/>
      <c r="AU3446" s="77"/>
      <c r="AV3446" s="83" t="str">
        <f>HYPERLINK("https://pbs.twimg.com/profile_images/1518710623542161413/uahBw9oZ_normal.jpg")</f>
        <v>https://pbs.twimg.com/profile_images/1518710623542161413/uahBw9oZ_normal.jpg</v>
      </c>
      <c r="AW3446" s="80" t="s">
        <v>19162</v>
      </c>
      <c r="AX3446" s="80" t="s">
        <v>20155</v>
      </c>
      <c r="AY3446" s="80" t="s">
        <v>20347</v>
      </c>
      <c r="AZ3446" s="80" t="s">
        <v>20451</v>
      </c>
      <c r="BA3446" s="80" t="s">
        <v>20380</v>
      </c>
      <c r="BB3446" s="80" t="s">
        <v>20380</v>
      </c>
      <c r="BC3446" s="80" t="s">
        <v>20451</v>
      </c>
      <c r="BD3446" s="80" t="s">
        <v>20347</v>
      </c>
      <c r="BE3446" s="77"/>
      <c r="BF3446" s="77"/>
      <c r="BG3446" s="77"/>
      <c r="BH3446" s="77"/>
      <c r="BI3446" s="77"/>
    </row>
    <row r="3447" spans="1:61" x14ac:dyDescent="0.25">
      <c r="A3447" s="62" t="s">
        <v>1359</v>
      </c>
      <c r="B3447" s="62" t="s">
        <v>1359</v>
      </c>
      <c r="C3447" s="63"/>
      <c r="D3447" s="64"/>
      <c r="E3447" s="65"/>
      <c r="F3447" s="66"/>
      <c r="G3447" s="63"/>
      <c r="H3447" s="67"/>
      <c r="I3447" s="68"/>
      <c r="J3447" s="68"/>
      <c r="K3447" s="32"/>
      <c r="L3447" s="75">
        <v>3447</v>
      </c>
      <c r="M3447" s="75"/>
      <c r="N3447" s="70"/>
      <c r="O3447" s="77" t="s">
        <v>2078</v>
      </c>
      <c r="P3447" s="79">
        <v>45168.732997685183</v>
      </c>
      <c r="Q3447" s="77" t="s">
        <v>5118</v>
      </c>
      <c r="R3447" s="77">
        <v>0</v>
      </c>
      <c r="S3447" s="77">
        <v>0</v>
      </c>
      <c r="T3447" s="77">
        <v>0</v>
      </c>
      <c r="U3447" s="77">
        <v>0</v>
      </c>
      <c r="V3447" s="77">
        <v>10</v>
      </c>
      <c r="W3447" s="80" t="s">
        <v>8017</v>
      </c>
      <c r="X3447" s="83" t="str">
        <f>HYPERLINK("http://www.elempresariado.com")</f>
        <v>http://www.elempresariado.com</v>
      </c>
      <c r="Y3447" s="77" t="s">
        <v>8837</v>
      </c>
      <c r="Z3447" s="77"/>
      <c r="AA3447" s="77"/>
      <c r="AB3447" s="77"/>
      <c r="AC3447" s="80" t="s">
        <v>10541</v>
      </c>
      <c r="AD3447" s="77" t="s">
        <v>10620</v>
      </c>
      <c r="AE3447" s="83" t="str">
        <f>HYPERLINK("https://twitter.com/el_ibg/status/1696939719223849267")</f>
        <v>https://twitter.com/el_ibg/status/1696939719223849267</v>
      </c>
      <c r="AF3447" s="79">
        <v>45168.732997685183</v>
      </c>
      <c r="AG3447" s="85">
        <v>45168</v>
      </c>
      <c r="AH3447" s="80" t="s">
        <v>13614</v>
      </c>
      <c r="AI3447" s="77" t="b">
        <v>0</v>
      </c>
      <c r="AJ3447" s="77"/>
      <c r="AK3447" s="77"/>
      <c r="AL3447" s="77"/>
      <c r="AM3447" s="77"/>
      <c r="AN3447" s="77"/>
      <c r="AO3447" s="77"/>
      <c r="AP3447" s="77"/>
      <c r="AQ3447" s="77"/>
      <c r="AR3447" s="77"/>
      <c r="AS3447" s="77"/>
      <c r="AT3447" s="77"/>
      <c r="AU3447" s="77"/>
      <c r="AV3447" s="83" t="str">
        <f>HYPERLINK("https://pbs.twimg.com/profile_images/1518710623542161413/uahBw9oZ_normal.jpg")</f>
        <v>https://pbs.twimg.com/profile_images/1518710623542161413/uahBw9oZ_normal.jpg</v>
      </c>
      <c r="AW3447" s="80" t="s">
        <v>19163</v>
      </c>
      <c r="AX3447" s="80" t="s">
        <v>20156</v>
      </c>
      <c r="AY3447" s="80" t="s">
        <v>20347</v>
      </c>
      <c r="AZ3447" s="80" t="s">
        <v>20452</v>
      </c>
      <c r="BA3447" s="80" t="s">
        <v>20380</v>
      </c>
      <c r="BB3447" s="80" t="s">
        <v>20380</v>
      </c>
      <c r="BC3447" s="80" t="s">
        <v>20452</v>
      </c>
      <c r="BD3447" s="80" t="s">
        <v>20347</v>
      </c>
      <c r="BE3447" s="77"/>
      <c r="BF3447" s="77"/>
      <c r="BG3447" s="77"/>
      <c r="BH3447" s="77"/>
      <c r="BI3447" s="77"/>
    </row>
    <row r="3448" spans="1:61" x14ac:dyDescent="0.25">
      <c r="A3448" s="62" t="s">
        <v>1359</v>
      </c>
      <c r="B3448" s="62" t="s">
        <v>1359</v>
      </c>
      <c r="C3448" s="63"/>
      <c r="D3448" s="64"/>
      <c r="E3448" s="65"/>
      <c r="F3448" s="66"/>
      <c r="G3448" s="63"/>
      <c r="H3448" s="67"/>
      <c r="I3448" s="68"/>
      <c r="J3448" s="68"/>
      <c r="K3448" s="32"/>
      <c r="L3448" s="75">
        <v>3448</v>
      </c>
      <c r="M3448" s="75"/>
      <c r="N3448" s="70"/>
      <c r="O3448" s="77" t="s">
        <v>2078</v>
      </c>
      <c r="P3448" s="79">
        <v>45167.857395833336</v>
      </c>
      <c r="Q3448" s="77" t="s">
        <v>5119</v>
      </c>
      <c r="R3448" s="77">
        <v>0</v>
      </c>
      <c r="S3448" s="77">
        <v>0</v>
      </c>
      <c r="T3448" s="77">
        <v>0</v>
      </c>
      <c r="U3448" s="77">
        <v>0</v>
      </c>
      <c r="V3448" s="77">
        <v>8</v>
      </c>
      <c r="W3448" s="80" t="s">
        <v>8023</v>
      </c>
      <c r="X3448" s="83" t="str">
        <f>HYPERLINK("http://www.elempresariado.com")</f>
        <v>http://www.elempresariado.com</v>
      </c>
      <c r="Y3448" s="77" t="s">
        <v>8837</v>
      </c>
      <c r="Z3448" s="77"/>
      <c r="AA3448" s="77"/>
      <c r="AB3448" s="77"/>
      <c r="AC3448" s="80" t="s">
        <v>10541</v>
      </c>
      <c r="AD3448" s="77" t="s">
        <v>10620</v>
      </c>
      <c r="AE3448" s="83" t="str">
        <f>HYPERLINK("https://twitter.com/el_ibg/status/1696622411330756791")</f>
        <v>https://twitter.com/el_ibg/status/1696622411330756791</v>
      </c>
      <c r="AF3448" s="79">
        <v>45167.857395833336</v>
      </c>
      <c r="AG3448" s="85">
        <v>45167</v>
      </c>
      <c r="AH3448" s="80" t="s">
        <v>13615</v>
      </c>
      <c r="AI3448" s="77" t="b">
        <v>0</v>
      </c>
      <c r="AJ3448" s="77"/>
      <c r="AK3448" s="77"/>
      <c r="AL3448" s="77"/>
      <c r="AM3448" s="77"/>
      <c r="AN3448" s="77"/>
      <c r="AO3448" s="77"/>
      <c r="AP3448" s="77"/>
      <c r="AQ3448" s="77"/>
      <c r="AR3448" s="77"/>
      <c r="AS3448" s="77"/>
      <c r="AT3448" s="77"/>
      <c r="AU3448" s="77"/>
      <c r="AV3448" s="83" t="str">
        <f>HYPERLINK("https://pbs.twimg.com/profile_images/1518710623542161413/uahBw9oZ_normal.jpg")</f>
        <v>https://pbs.twimg.com/profile_images/1518710623542161413/uahBw9oZ_normal.jpg</v>
      </c>
      <c r="AW3448" s="80" t="s">
        <v>19164</v>
      </c>
      <c r="AX3448" s="80" t="s">
        <v>20157</v>
      </c>
      <c r="AY3448" s="80" t="s">
        <v>20347</v>
      </c>
      <c r="AZ3448" s="80" t="s">
        <v>20453</v>
      </c>
      <c r="BA3448" s="80" t="s">
        <v>20380</v>
      </c>
      <c r="BB3448" s="80" t="s">
        <v>20380</v>
      </c>
      <c r="BC3448" s="80" t="s">
        <v>20453</v>
      </c>
      <c r="BD3448" s="80" t="s">
        <v>20347</v>
      </c>
      <c r="BE3448" s="77"/>
      <c r="BF3448" s="77"/>
      <c r="BG3448" s="77"/>
      <c r="BH3448" s="77"/>
      <c r="BI3448" s="77"/>
    </row>
    <row r="3449" spans="1:61" x14ac:dyDescent="0.25">
      <c r="A3449" s="62" t="s">
        <v>1359</v>
      </c>
      <c r="B3449" s="62" t="s">
        <v>1359</v>
      </c>
      <c r="C3449" s="63"/>
      <c r="D3449" s="64"/>
      <c r="E3449" s="65"/>
      <c r="F3449" s="66"/>
      <c r="G3449" s="63"/>
      <c r="H3449" s="67"/>
      <c r="I3449" s="68"/>
      <c r="J3449" s="68"/>
      <c r="K3449" s="32"/>
      <c r="L3449" s="75">
        <v>3449</v>
      </c>
      <c r="M3449" s="75"/>
      <c r="N3449" s="70"/>
      <c r="O3449" s="77" t="s">
        <v>2078</v>
      </c>
      <c r="P3449" s="79">
        <v>45175.612638888888</v>
      </c>
      <c r="Q3449" s="77" t="s">
        <v>5120</v>
      </c>
      <c r="R3449" s="77">
        <v>0</v>
      </c>
      <c r="S3449" s="77">
        <v>0</v>
      </c>
      <c r="T3449" s="77">
        <v>0</v>
      </c>
      <c r="U3449" s="77">
        <v>0</v>
      </c>
      <c r="V3449" s="77">
        <v>1</v>
      </c>
      <c r="W3449" s="80" t="s">
        <v>8020</v>
      </c>
      <c r="X3449" s="83" t="str">
        <f>HYPERLINK("http://www.elempresariado.com")</f>
        <v>http://www.elempresariado.com</v>
      </c>
      <c r="Y3449" s="77" t="s">
        <v>8837</v>
      </c>
      <c r="Z3449" s="77"/>
      <c r="AA3449" s="77"/>
      <c r="AB3449" s="77"/>
      <c r="AC3449" s="80" t="s">
        <v>10541</v>
      </c>
      <c r="AD3449" s="77" t="s">
        <v>10620</v>
      </c>
      <c r="AE3449" s="83" t="str">
        <f>HYPERLINK("https://twitter.com/el_ibg/status/1699432817933877402")</f>
        <v>https://twitter.com/el_ibg/status/1699432817933877402</v>
      </c>
      <c r="AF3449" s="79">
        <v>45175.612638888888</v>
      </c>
      <c r="AG3449" s="85">
        <v>45175</v>
      </c>
      <c r="AH3449" s="80" t="s">
        <v>13616</v>
      </c>
      <c r="AI3449" s="77" t="b">
        <v>0</v>
      </c>
      <c r="AJ3449" s="77"/>
      <c r="AK3449" s="77"/>
      <c r="AL3449" s="77"/>
      <c r="AM3449" s="77"/>
      <c r="AN3449" s="77"/>
      <c r="AO3449" s="77"/>
      <c r="AP3449" s="77"/>
      <c r="AQ3449" s="77"/>
      <c r="AR3449" s="77"/>
      <c r="AS3449" s="77"/>
      <c r="AT3449" s="77"/>
      <c r="AU3449" s="77"/>
      <c r="AV3449" s="83" t="str">
        <f>HYPERLINK("https://pbs.twimg.com/profile_images/1518710623542161413/uahBw9oZ_normal.jpg")</f>
        <v>https://pbs.twimg.com/profile_images/1518710623542161413/uahBw9oZ_normal.jpg</v>
      </c>
      <c r="AW3449" s="80" t="s">
        <v>19165</v>
      </c>
      <c r="AX3449" s="80" t="s">
        <v>20158</v>
      </c>
      <c r="AY3449" s="80" t="s">
        <v>20347</v>
      </c>
      <c r="AZ3449" s="80" t="s">
        <v>20454</v>
      </c>
      <c r="BA3449" s="80" t="s">
        <v>20380</v>
      </c>
      <c r="BB3449" s="80" t="s">
        <v>20380</v>
      </c>
      <c r="BC3449" s="80" t="s">
        <v>20454</v>
      </c>
      <c r="BD3449" s="80" t="s">
        <v>20347</v>
      </c>
      <c r="BE3449" s="77"/>
      <c r="BF3449" s="77"/>
      <c r="BG3449" s="77"/>
      <c r="BH3449" s="77"/>
      <c r="BI3449" s="77"/>
    </row>
    <row r="3450" spans="1:61" x14ac:dyDescent="0.25">
      <c r="A3450" s="62" t="s">
        <v>1359</v>
      </c>
      <c r="B3450" s="62" t="s">
        <v>1359</v>
      </c>
      <c r="C3450" s="63"/>
      <c r="D3450" s="64"/>
      <c r="E3450" s="65"/>
      <c r="F3450" s="66"/>
      <c r="G3450" s="63"/>
      <c r="H3450" s="67"/>
      <c r="I3450" s="68"/>
      <c r="J3450" s="68"/>
      <c r="K3450" s="32"/>
      <c r="L3450" s="75">
        <v>3450</v>
      </c>
      <c r="M3450" s="75"/>
      <c r="N3450" s="70"/>
      <c r="O3450" s="77" t="s">
        <v>2078</v>
      </c>
      <c r="P3450" s="79">
        <v>45162.589120370372</v>
      </c>
      <c r="Q3450" s="77" t="s">
        <v>5121</v>
      </c>
      <c r="R3450" s="77">
        <v>0</v>
      </c>
      <c r="S3450" s="77">
        <v>0</v>
      </c>
      <c r="T3450" s="77">
        <v>0</v>
      </c>
      <c r="U3450" s="77">
        <v>0</v>
      </c>
      <c r="V3450" s="77">
        <v>7</v>
      </c>
      <c r="W3450" s="80" t="s">
        <v>8024</v>
      </c>
      <c r="X3450" s="83" t="str">
        <f>HYPERLINK("http://www.elempresariado.com")</f>
        <v>http://www.elempresariado.com</v>
      </c>
      <c r="Y3450" s="77" t="s">
        <v>8837</v>
      </c>
      <c r="Z3450" s="77"/>
      <c r="AA3450" s="77"/>
      <c r="AB3450" s="77"/>
      <c r="AC3450" s="80" t="s">
        <v>10541</v>
      </c>
      <c r="AD3450" s="77" t="s">
        <v>10620</v>
      </c>
      <c r="AE3450" s="83" t="str">
        <f>HYPERLINK("https://twitter.com/el_ibg/status/1694713253258264925")</f>
        <v>https://twitter.com/el_ibg/status/1694713253258264925</v>
      </c>
      <c r="AF3450" s="79">
        <v>45162.589120370372</v>
      </c>
      <c r="AG3450" s="85">
        <v>45162</v>
      </c>
      <c r="AH3450" s="80" t="s">
        <v>13617</v>
      </c>
      <c r="AI3450" s="77" t="b">
        <v>0</v>
      </c>
      <c r="AJ3450" s="77"/>
      <c r="AK3450" s="77"/>
      <c r="AL3450" s="77"/>
      <c r="AM3450" s="77"/>
      <c r="AN3450" s="77"/>
      <c r="AO3450" s="77"/>
      <c r="AP3450" s="77"/>
      <c r="AQ3450" s="77"/>
      <c r="AR3450" s="77"/>
      <c r="AS3450" s="77"/>
      <c r="AT3450" s="77"/>
      <c r="AU3450" s="77"/>
      <c r="AV3450" s="83" t="str">
        <f>HYPERLINK("https://pbs.twimg.com/profile_images/1518710623542161413/uahBw9oZ_normal.jpg")</f>
        <v>https://pbs.twimg.com/profile_images/1518710623542161413/uahBw9oZ_normal.jpg</v>
      </c>
      <c r="AW3450" s="80" t="s">
        <v>19166</v>
      </c>
      <c r="AX3450" s="80" t="s">
        <v>20159</v>
      </c>
      <c r="AY3450" s="80" t="s">
        <v>20347</v>
      </c>
      <c r="AZ3450" s="80" t="s">
        <v>20455</v>
      </c>
      <c r="BA3450" s="80" t="s">
        <v>20380</v>
      </c>
      <c r="BB3450" s="80" t="s">
        <v>20380</v>
      </c>
      <c r="BC3450" s="80" t="s">
        <v>20455</v>
      </c>
      <c r="BD3450" s="80" t="s">
        <v>20347</v>
      </c>
      <c r="BE3450" s="77"/>
      <c r="BF3450" s="77"/>
      <c r="BG3450" s="77"/>
      <c r="BH3450" s="77"/>
      <c r="BI3450" s="77"/>
    </row>
    <row r="3451" spans="1:61" x14ac:dyDescent="0.25">
      <c r="A3451" s="62" t="s">
        <v>1360</v>
      </c>
      <c r="B3451" s="62" t="s">
        <v>1360</v>
      </c>
      <c r="C3451" s="63"/>
      <c r="D3451" s="64"/>
      <c r="E3451" s="65"/>
      <c r="F3451" s="66"/>
      <c r="G3451" s="63"/>
      <c r="H3451" s="67"/>
      <c r="I3451" s="68"/>
      <c r="J3451" s="68"/>
      <c r="K3451" s="32"/>
      <c r="L3451" s="75">
        <v>3451</v>
      </c>
      <c r="M3451" s="75"/>
      <c r="N3451" s="70"/>
      <c r="O3451" s="77" t="s">
        <v>2078</v>
      </c>
      <c r="P3451" s="79">
        <v>45096.632106481484</v>
      </c>
      <c r="Q3451" s="77" t="s">
        <v>5122</v>
      </c>
      <c r="R3451" s="77">
        <v>0</v>
      </c>
      <c r="S3451" s="77">
        <v>0</v>
      </c>
      <c r="T3451" s="77">
        <v>0</v>
      </c>
      <c r="U3451" s="77">
        <v>0</v>
      </c>
      <c r="V3451" s="77">
        <v>47</v>
      </c>
      <c r="W3451" s="80" t="s">
        <v>8025</v>
      </c>
      <c r="X3451" s="77"/>
      <c r="Y3451" s="77"/>
      <c r="Z3451" s="77" t="s">
        <v>1596</v>
      </c>
      <c r="AA3451" s="77" t="s">
        <v>10165</v>
      </c>
      <c r="AB3451" s="77" t="s">
        <v>10535</v>
      </c>
      <c r="AC3451" s="80" t="s">
        <v>10541</v>
      </c>
      <c r="AD3451" s="77" t="s">
        <v>10617</v>
      </c>
      <c r="AE3451" s="83" t="str">
        <f>HYPERLINK("https://twitter.com/israelsegundof/status/1670811230351572994")</f>
        <v>https://twitter.com/israelsegundof/status/1670811230351572994</v>
      </c>
      <c r="AF3451" s="79">
        <v>45096.632106481484</v>
      </c>
      <c r="AG3451" s="85">
        <v>45096</v>
      </c>
      <c r="AH3451" s="80" t="s">
        <v>13618</v>
      </c>
      <c r="AI3451" s="77" t="b">
        <v>0</v>
      </c>
      <c r="AJ3451" s="77"/>
      <c r="AK3451" s="77"/>
      <c r="AL3451" s="77"/>
      <c r="AM3451" s="77"/>
      <c r="AN3451" s="77"/>
      <c r="AO3451" s="77"/>
      <c r="AP3451" s="77"/>
      <c r="AQ3451" s="77" t="s">
        <v>15646</v>
      </c>
      <c r="AR3451" s="77"/>
      <c r="AS3451" s="77"/>
      <c r="AT3451" s="77"/>
      <c r="AU3451" s="77"/>
      <c r="AV3451" s="83" t="str">
        <f>HYPERLINK("https://pbs.twimg.com/media/Fy_puimXgAM8DB6.png")</f>
        <v>https://pbs.twimg.com/media/Fy_puimXgAM8DB6.png</v>
      </c>
      <c r="AW3451" s="80" t="s">
        <v>19167</v>
      </c>
      <c r="AX3451" s="80" t="s">
        <v>20160</v>
      </c>
      <c r="AY3451" s="80" t="s">
        <v>20348</v>
      </c>
      <c r="AZ3451" s="80" t="s">
        <v>20160</v>
      </c>
      <c r="BA3451" s="80" t="s">
        <v>20380</v>
      </c>
      <c r="BB3451" s="80" t="s">
        <v>20380</v>
      </c>
      <c r="BC3451" s="80" t="s">
        <v>20160</v>
      </c>
      <c r="BD3451" s="77">
        <v>34832216</v>
      </c>
      <c r="BE3451" s="77"/>
      <c r="BF3451" s="77"/>
      <c r="BG3451" s="77"/>
      <c r="BH3451" s="77"/>
      <c r="BI3451" s="77"/>
    </row>
    <row r="3452" spans="1:61" x14ac:dyDescent="0.25">
      <c r="A3452" s="62" t="s">
        <v>1361</v>
      </c>
      <c r="B3452" s="62" t="s">
        <v>1361</v>
      </c>
      <c r="C3452" s="63"/>
      <c r="D3452" s="64"/>
      <c r="E3452" s="65"/>
      <c r="F3452" s="66"/>
      <c r="G3452" s="63"/>
      <c r="H3452" s="67"/>
      <c r="I3452" s="68"/>
      <c r="J3452" s="68"/>
      <c r="K3452" s="32"/>
      <c r="L3452" s="75">
        <v>3452</v>
      </c>
      <c r="M3452" s="75"/>
      <c r="N3452" s="70"/>
      <c r="O3452" s="77" t="s">
        <v>179</v>
      </c>
      <c r="P3452" s="79">
        <v>45141.673784722225</v>
      </c>
      <c r="Q3452" s="77" t="s">
        <v>5123</v>
      </c>
      <c r="R3452" s="77">
        <v>0</v>
      </c>
      <c r="S3452" s="77">
        <v>0</v>
      </c>
      <c r="T3452" s="77">
        <v>0</v>
      </c>
      <c r="U3452" s="77">
        <v>0</v>
      </c>
      <c r="V3452" s="77">
        <v>19</v>
      </c>
      <c r="W3452" s="80" t="s">
        <v>8026</v>
      </c>
      <c r="X3452" s="83" t="str">
        <f>HYPERLINK("https://diadianews.com/?p=36220")</f>
        <v>https://diadianews.com/?p=36220</v>
      </c>
      <c r="Y3452" s="77" t="s">
        <v>8838</v>
      </c>
      <c r="Z3452" s="77"/>
      <c r="AA3452" s="77" t="s">
        <v>10166</v>
      </c>
      <c r="AB3452" s="77" t="s">
        <v>10535</v>
      </c>
      <c r="AC3452" s="80" t="s">
        <v>10541</v>
      </c>
      <c r="AD3452" s="77" t="s">
        <v>10617</v>
      </c>
      <c r="AE3452" s="83" t="str">
        <f>HYPERLINK("https://twitter.com/redewb/status/1687133789934219266")</f>
        <v>https://twitter.com/redewb/status/1687133789934219266</v>
      </c>
      <c r="AF3452" s="79">
        <v>45141.673784722225</v>
      </c>
      <c r="AG3452" s="85">
        <v>45141</v>
      </c>
      <c r="AH3452" s="80" t="s">
        <v>13619</v>
      </c>
      <c r="AI3452" s="77" t="b">
        <v>0</v>
      </c>
      <c r="AJ3452" s="77"/>
      <c r="AK3452" s="77"/>
      <c r="AL3452" s="77"/>
      <c r="AM3452" s="77"/>
      <c r="AN3452" s="77"/>
      <c r="AO3452" s="77"/>
      <c r="AP3452" s="77"/>
      <c r="AQ3452" s="77" t="s">
        <v>15647</v>
      </c>
      <c r="AR3452" s="77"/>
      <c r="AS3452" s="77"/>
      <c r="AT3452" s="77"/>
      <c r="AU3452" s="77"/>
      <c r="AV3452" s="83" t="str">
        <f>HYPERLINK("https://pbs.twimg.com/media/F2nnH-oWIAEdT_G.jpg")</f>
        <v>https://pbs.twimg.com/media/F2nnH-oWIAEdT_G.jpg</v>
      </c>
      <c r="AW3452" s="80" t="s">
        <v>19168</v>
      </c>
      <c r="AX3452" s="80" t="s">
        <v>19168</v>
      </c>
      <c r="AY3452" s="77"/>
      <c r="AZ3452" s="80" t="s">
        <v>20380</v>
      </c>
      <c r="BA3452" s="80" t="s">
        <v>20380</v>
      </c>
      <c r="BB3452" s="80" t="s">
        <v>20380</v>
      </c>
      <c r="BC3452" s="80" t="s">
        <v>19168</v>
      </c>
      <c r="BD3452" s="77">
        <v>2571536112</v>
      </c>
      <c r="BE3452" s="77"/>
      <c r="BF3452" s="77"/>
      <c r="BG3452" s="77"/>
      <c r="BH3452" s="77"/>
      <c r="BI3452" s="77"/>
    </row>
    <row r="3453" spans="1:61" x14ac:dyDescent="0.25">
      <c r="A3453" s="62" t="s">
        <v>1361</v>
      </c>
      <c r="B3453" s="62" t="s">
        <v>1361</v>
      </c>
      <c r="C3453" s="63"/>
      <c r="D3453" s="64"/>
      <c r="E3453" s="65"/>
      <c r="F3453" s="66"/>
      <c r="G3453" s="63"/>
      <c r="H3453" s="67"/>
      <c r="I3453" s="68"/>
      <c r="J3453" s="68"/>
      <c r="K3453" s="32"/>
      <c r="L3453" s="75">
        <v>3453</v>
      </c>
      <c r="M3453" s="75"/>
      <c r="N3453" s="70"/>
      <c r="O3453" s="77" t="s">
        <v>179</v>
      </c>
      <c r="P3453" s="79">
        <v>45141.040856481479</v>
      </c>
      <c r="Q3453" s="77" t="s">
        <v>5124</v>
      </c>
      <c r="R3453" s="77">
        <v>0</v>
      </c>
      <c r="S3453" s="77">
        <v>0</v>
      </c>
      <c r="T3453" s="77">
        <v>0</v>
      </c>
      <c r="U3453" s="77">
        <v>0</v>
      </c>
      <c r="V3453" s="77">
        <v>21</v>
      </c>
      <c r="W3453" s="80" t="s">
        <v>7613</v>
      </c>
      <c r="X3453" s="83" t="str">
        <f>HYPERLINK("https://correiodetreslagoas.com.br/noticia.php?id=10479/")</f>
        <v>https://correiodetreslagoas.com.br/noticia.php?id=10479/</v>
      </c>
      <c r="Y3453" s="77" t="s">
        <v>8611</v>
      </c>
      <c r="Z3453" s="77"/>
      <c r="AA3453" s="77" t="s">
        <v>10167</v>
      </c>
      <c r="AB3453" s="77" t="s">
        <v>10535</v>
      </c>
      <c r="AC3453" s="80" t="s">
        <v>10541</v>
      </c>
      <c r="AD3453" s="77" t="s">
        <v>10617</v>
      </c>
      <c r="AE3453" s="83" t="str">
        <f>HYPERLINK("https://twitter.com/redewb/status/1686904424650739712")</f>
        <v>https://twitter.com/redewb/status/1686904424650739712</v>
      </c>
      <c r="AF3453" s="79">
        <v>45141.040856481479</v>
      </c>
      <c r="AG3453" s="85">
        <v>45141</v>
      </c>
      <c r="AH3453" s="80" t="s">
        <v>13620</v>
      </c>
      <c r="AI3453" s="77" t="b">
        <v>0</v>
      </c>
      <c r="AJ3453" s="77"/>
      <c r="AK3453" s="77"/>
      <c r="AL3453" s="77"/>
      <c r="AM3453" s="77"/>
      <c r="AN3453" s="77"/>
      <c r="AO3453" s="77"/>
      <c r="AP3453" s="77"/>
      <c r="AQ3453" s="77" t="s">
        <v>15648</v>
      </c>
      <c r="AR3453" s="77"/>
      <c r="AS3453" s="77"/>
      <c r="AT3453" s="77"/>
      <c r="AU3453" s="77"/>
      <c r="AV3453" s="83" t="str">
        <f>HYPERLINK("https://pbs.twimg.com/media/F2kWnd4WYAA3Q8H.jpg")</f>
        <v>https://pbs.twimg.com/media/F2kWnd4WYAA3Q8H.jpg</v>
      </c>
      <c r="AW3453" s="80" t="s">
        <v>19169</v>
      </c>
      <c r="AX3453" s="80" t="s">
        <v>19169</v>
      </c>
      <c r="AY3453" s="77"/>
      <c r="AZ3453" s="80" t="s">
        <v>20380</v>
      </c>
      <c r="BA3453" s="80" t="s">
        <v>20380</v>
      </c>
      <c r="BB3453" s="80" t="s">
        <v>20380</v>
      </c>
      <c r="BC3453" s="80" t="s">
        <v>19169</v>
      </c>
      <c r="BD3453" s="77">
        <v>2571536112</v>
      </c>
      <c r="BE3453" s="77"/>
      <c r="BF3453" s="77"/>
      <c r="BG3453" s="77"/>
      <c r="BH3453" s="77"/>
      <c r="BI3453" s="77"/>
    </row>
    <row r="3454" spans="1:61" x14ac:dyDescent="0.25">
      <c r="A3454" s="62" t="s">
        <v>1361</v>
      </c>
      <c r="B3454" s="62" t="s">
        <v>1361</v>
      </c>
      <c r="C3454" s="63"/>
      <c r="D3454" s="64"/>
      <c r="E3454" s="65"/>
      <c r="F3454" s="66"/>
      <c r="G3454" s="63"/>
      <c r="H3454" s="67"/>
      <c r="I3454" s="68"/>
      <c r="J3454" s="68"/>
      <c r="K3454" s="32"/>
      <c r="L3454" s="75">
        <v>3454</v>
      </c>
      <c r="M3454" s="75"/>
      <c r="N3454" s="70"/>
      <c r="O3454" s="77" t="s">
        <v>179</v>
      </c>
      <c r="P3454" s="79">
        <v>45161.074803240743</v>
      </c>
      <c r="Q3454" s="77" t="s">
        <v>5125</v>
      </c>
      <c r="R3454" s="77">
        <v>0</v>
      </c>
      <c r="S3454" s="77">
        <v>0</v>
      </c>
      <c r="T3454" s="77">
        <v>0</v>
      </c>
      <c r="U3454" s="77">
        <v>0</v>
      </c>
      <c r="V3454" s="77">
        <v>20</v>
      </c>
      <c r="W3454" s="80" t="s">
        <v>6250</v>
      </c>
      <c r="X3454" s="83" t="str">
        <f>HYPERLINK("http://bolsao.16mb.com/banco-central-comunica-vazamento-de-dados-de-238-chaves-pix")</f>
        <v>http://bolsao.16mb.com/banco-central-comunica-vazamento-de-dados-de-238-chaves-pix</v>
      </c>
      <c r="Y3454" s="77" t="s">
        <v>8839</v>
      </c>
      <c r="Z3454" s="77"/>
      <c r="AA3454" s="77" t="s">
        <v>10168</v>
      </c>
      <c r="AB3454" s="77" t="s">
        <v>10535</v>
      </c>
      <c r="AC3454" s="80" t="s">
        <v>10541</v>
      </c>
      <c r="AD3454" s="77" t="s">
        <v>10620</v>
      </c>
      <c r="AE3454" s="83" t="str">
        <f>HYPERLINK("https://twitter.com/redewb/status/1694164484103823400")</f>
        <v>https://twitter.com/redewb/status/1694164484103823400</v>
      </c>
      <c r="AF3454" s="79">
        <v>45161.074803240743</v>
      </c>
      <c r="AG3454" s="85">
        <v>45161</v>
      </c>
      <c r="AH3454" s="80" t="s">
        <v>13621</v>
      </c>
      <c r="AI3454" s="77" t="b">
        <v>0</v>
      </c>
      <c r="AJ3454" s="77"/>
      <c r="AK3454" s="77"/>
      <c r="AL3454" s="77"/>
      <c r="AM3454" s="77"/>
      <c r="AN3454" s="77"/>
      <c r="AO3454" s="77"/>
      <c r="AP3454" s="77"/>
      <c r="AQ3454" s="77" t="s">
        <v>15649</v>
      </c>
      <c r="AR3454" s="77"/>
      <c r="AS3454" s="77"/>
      <c r="AT3454" s="77"/>
      <c r="AU3454" s="77"/>
      <c r="AV3454" s="83" t="str">
        <f>HYPERLINK("https://pbs.twimg.com/media/F4LhmWNW8AAlgOl.jpg")</f>
        <v>https://pbs.twimg.com/media/F4LhmWNW8AAlgOl.jpg</v>
      </c>
      <c r="AW3454" s="80" t="s">
        <v>19170</v>
      </c>
      <c r="AX3454" s="80" t="s">
        <v>19170</v>
      </c>
      <c r="AY3454" s="77"/>
      <c r="AZ3454" s="80" t="s">
        <v>20380</v>
      </c>
      <c r="BA3454" s="80" t="s">
        <v>20380</v>
      </c>
      <c r="BB3454" s="80" t="s">
        <v>20380</v>
      </c>
      <c r="BC3454" s="80" t="s">
        <v>19170</v>
      </c>
      <c r="BD3454" s="77">
        <v>2571536112</v>
      </c>
      <c r="BE3454" s="77"/>
      <c r="BF3454" s="77"/>
      <c r="BG3454" s="77"/>
      <c r="BH3454" s="77"/>
      <c r="BI3454" s="77"/>
    </row>
    <row r="3455" spans="1:61" x14ac:dyDescent="0.25">
      <c r="A3455" s="62" t="s">
        <v>1361</v>
      </c>
      <c r="B3455" s="62" t="s">
        <v>1361</v>
      </c>
      <c r="C3455" s="63"/>
      <c r="D3455" s="64"/>
      <c r="E3455" s="65"/>
      <c r="F3455" s="66"/>
      <c r="G3455" s="63"/>
      <c r="H3455" s="67"/>
      <c r="I3455" s="68"/>
      <c r="J3455" s="68"/>
      <c r="K3455" s="32"/>
      <c r="L3455" s="75">
        <v>3455</v>
      </c>
      <c r="M3455" s="75"/>
      <c r="N3455" s="70"/>
      <c r="O3455" s="77" t="s">
        <v>179</v>
      </c>
      <c r="P3455" s="79">
        <v>45197.023252314815</v>
      </c>
      <c r="Q3455" s="77" t="s">
        <v>5126</v>
      </c>
      <c r="R3455" s="77">
        <v>0</v>
      </c>
      <c r="S3455" s="77">
        <v>0</v>
      </c>
      <c r="T3455" s="77">
        <v>0</v>
      </c>
      <c r="U3455" s="77">
        <v>0</v>
      </c>
      <c r="V3455" s="77">
        <v>1</v>
      </c>
      <c r="W3455" s="80" t="s">
        <v>7117</v>
      </c>
      <c r="X3455" s="83" t="str">
        <f>HYPERLINK("https://correiodetreslagoas.com.br/noticia.php?id=10688")</f>
        <v>https://correiodetreslagoas.com.br/noticia.php?id=10688</v>
      </c>
      <c r="Y3455" s="77" t="s">
        <v>8611</v>
      </c>
      <c r="Z3455" s="77"/>
      <c r="AA3455" s="77"/>
      <c r="AB3455" s="77"/>
      <c r="AC3455" s="80" t="s">
        <v>10541</v>
      </c>
      <c r="AD3455" s="77" t="s">
        <v>10617</v>
      </c>
      <c r="AE3455" s="83" t="str">
        <f>HYPERLINK("https://twitter.com/redewb/status/1707191763192909951")</f>
        <v>https://twitter.com/redewb/status/1707191763192909951</v>
      </c>
      <c r="AF3455" s="79">
        <v>45197.023252314815</v>
      </c>
      <c r="AG3455" s="85">
        <v>45197</v>
      </c>
      <c r="AH3455" s="80" t="s">
        <v>13622</v>
      </c>
      <c r="AI3455" s="77" t="b">
        <v>0</v>
      </c>
      <c r="AJ3455" s="77"/>
      <c r="AK3455" s="77"/>
      <c r="AL3455" s="77"/>
      <c r="AM3455" s="77"/>
      <c r="AN3455" s="77"/>
      <c r="AO3455" s="77"/>
      <c r="AP3455" s="77"/>
      <c r="AQ3455" s="77"/>
      <c r="AR3455" s="77"/>
      <c r="AS3455" s="77"/>
      <c r="AT3455" s="77"/>
      <c r="AU3455" s="77"/>
      <c r="AV3455" s="83" t="str">
        <f>HYPERLINK("https://pbs.twimg.com/profile_images/1241108844366966787/gAHOOnCH_normal.jpg")</f>
        <v>https://pbs.twimg.com/profile_images/1241108844366966787/gAHOOnCH_normal.jpg</v>
      </c>
      <c r="AW3455" s="80" t="s">
        <v>19171</v>
      </c>
      <c r="AX3455" s="80" t="s">
        <v>19171</v>
      </c>
      <c r="AY3455" s="77"/>
      <c r="AZ3455" s="80" t="s">
        <v>20380</v>
      </c>
      <c r="BA3455" s="80" t="s">
        <v>20380</v>
      </c>
      <c r="BB3455" s="80" t="s">
        <v>20380</v>
      </c>
      <c r="BC3455" s="80" t="s">
        <v>19171</v>
      </c>
      <c r="BD3455" s="77">
        <v>2571536112</v>
      </c>
      <c r="BE3455" s="77"/>
      <c r="BF3455" s="77"/>
      <c r="BG3455" s="77"/>
      <c r="BH3455" s="77"/>
      <c r="BI3455" s="77"/>
    </row>
    <row r="3456" spans="1:61" x14ac:dyDescent="0.25">
      <c r="A3456" s="62" t="s">
        <v>1362</v>
      </c>
      <c r="B3456" s="62" t="s">
        <v>1362</v>
      </c>
      <c r="C3456" s="63"/>
      <c r="D3456" s="64"/>
      <c r="E3456" s="65"/>
      <c r="F3456" s="66"/>
      <c r="G3456" s="63"/>
      <c r="H3456" s="67"/>
      <c r="I3456" s="68"/>
      <c r="J3456" s="68"/>
      <c r="K3456" s="32"/>
      <c r="L3456" s="75">
        <v>3456</v>
      </c>
      <c r="M3456" s="75"/>
      <c r="N3456" s="70"/>
      <c r="O3456" s="77" t="s">
        <v>2078</v>
      </c>
      <c r="P3456" s="79">
        <v>45174.541400462964</v>
      </c>
      <c r="Q3456" s="77" t="s">
        <v>5127</v>
      </c>
      <c r="R3456" s="77">
        <v>0</v>
      </c>
      <c r="S3456" s="77">
        <v>0</v>
      </c>
      <c r="T3456" s="77">
        <v>0</v>
      </c>
      <c r="U3456" s="77">
        <v>0</v>
      </c>
      <c r="V3456" s="77">
        <v>5</v>
      </c>
      <c r="W3456" s="80" t="s">
        <v>8027</v>
      </c>
      <c r="X3456" s="83" t="str">
        <f>HYPERLINK("https://conoce.pmird.org.do/congreso-proyectos")</f>
        <v>https://conoce.pmird.org.do/congreso-proyectos</v>
      </c>
      <c r="Y3456" s="77" t="s">
        <v>8840</v>
      </c>
      <c r="Z3456" s="77"/>
      <c r="AA3456" s="77"/>
      <c r="AB3456" s="77"/>
      <c r="AC3456" s="80" t="s">
        <v>10542</v>
      </c>
      <c r="AD3456" s="77" t="s">
        <v>10620</v>
      </c>
      <c r="AE3456" s="83" t="str">
        <f>HYPERLINK("https://twitter.com/pmird/status/1699044616434057630")</f>
        <v>https://twitter.com/pmird/status/1699044616434057630</v>
      </c>
      <c r="AF3456" s="79">
        <v>45174.541400462964</v>
      </c>
      <c r="AG3456" s="85">
        <v>45174</v>
      </c>
      <c r="AH3456" s="80" t="s">
        <v>13623</v>
      </c>
      <c r="AI3456" s="77" t="b">
        <v>0</v>
      </c>
      <c r="AJ3456" s="77"/>
      <c r="AK3456" s="77"/>
      <c r="AL3456" s="77"/>
      <c r="AM3456" s="77"/>
      <c r="AN3456" s="77"/>
      <c r="AO3456" s="77"/>
      <c r="AP3456" s="77"/>
      <c r="AQ3456" s="77"/>
      <c r="AR3456" s="77"/>
      <c r="AS3456" s="77"/>
      <c r="AT3456" s="77"/>
      <c r="AU3456" s="77"/>
      <c r="AV3456" s="83" t="str">
        <f>HYPERLINK("https://pbs.twimg.com/profile_images/1529673907824992257/XUXTGlsd_normal.jpg")</f>
        <v>https://pbs.twimg.com/profile_images/1529673907824992257/XUXTGlsd_normal.jpg</v>
      </c>
      <c r="AW3456" s="80" t="s">
        <v>19172</v>
      </c>
      <c r="AX3456" s="80" t="s">
        <v>20161</v>
      </c>
      <c r="AY3456" s="80" t="s">
        <v>20349</v>
      </c>
      <c r="AZ3456" s="80" t="s">
        <v>20456</v>
      </c>
      <c r="BA3456" s="80" t="s">
        <v>20380</v>
      </c>
      <c r="BB3456" s="80" t="s">
        <v>20380</v>
      </c>
      <c r="BC3456" s="80" t="s">
        <v>20456</v>
      </c>
      <c r="BD3456" s="77">
        <v>216810168</v>
      </c>
      <c r="BE3456" s="77"/>
      <c r="BF3456" s="77"/>
      <c r="BG3456" s="77"/>
      <c r="BH3456" s="77"/>
      <c r="BI3456" s="77"/>
    </row>
    <row r="3457" spans="1:61" x14ac:dyDescent="0.25">
      <c r="A3457" s="62" t="s">
        <v>1363</v>
      </c>
      <c r="B3457" s="62" t="s">
        <v>1363</v>
      </c>
      <c r="C3457" s="63"/>
      <c r="D3457" s="64"/>
      <c r="E3457" s="65"/>
      <c r="F3457" s="66"/>
      <c r="G3457" s="63"/>
      <c r="H3457" s="67"/>
      <c r="I3457" s="68"/>
      <c r="J3457" s="68"/>
      <c r="K3457" s="32"/>
      <c r="L3457" s="75">
        <v>3457</v>
      </c>
      <c r="M3457" s="75"/>
      <c r="N3457" s="70"/>
      <c r="O3457" s="77" t="s">
        <v>179</v>
      </c>
      <c r="P3457" s="79">
        <v>45191.964837962965</v>
      </c>
      <c r="Q3457" s="77" t="s">
        <v>5128</v>
      </c>
      <c r="R3457" s="77">
        <v>0</v>
      </c>
      <c r="S3457" s="77">
        <v>0</v>
      </c>
      <c r="T3457" s="77">
        <v>0</v>
      </c>
      <c r="U3457" s="77">
        <v>0</v>
      </c>
      <c r="V3457" s="77">
        <v>36</v>
      </c>
      <c r="W3457" s="80" t="s">
        <v>5884</v>
      </c>
      <c r="X3457" s="77"/>
      <c r="Y3457" s="77"/>
      <c r="Z3457" s="77"/>
      <c r="AA3457" s="77"/>
      <c r="AB3457" s="77"/>
      <c r="AC3457" s="80" t="s">
        <v>10540</v>
      </c>
      <c r="AD3457" s="77" t="s">
        <v>10620</v>
      </c>
      <c r="AE3457" s="83" t="str">
        <f>HYPERLINK("https://twitter.com/maropesa/status/1705358656349335889")</f>
        <v>https://twitter.com/maropesa/status/1705358656349335889</v>
      </c>
      <c r="AF3457" s="79">
        <v>45191.964837962965</v>
      </c>
      <c r="AG3457" s="85">
        <v>45191</v>
      </c>
      <c r="AH3457" s="80" t="s">
        <v>13624</v>
      </c>
      <c r="AI3457" s="77"/>
      <c r="AJ3457" s="77"/>
      <c r="AK3457" s="77"/>
      <c r="AL3457" s="77"/>
      <c r="AM3457" s="77"/>
      <c r="AN3457" s="77"/>
      <c r="AO3457" s="77"/>
      <c r="AP3457" s="77"/>
      <c r="AQ3457" s="77"/>
      <c r="AR3457" s="77"/>
      <c r="AS3457" s="77"/>
      <c r="AT3457" s="77"/>
      <c r="AU3457" s="77"/>
      <c r="AV3457" s="83" t="str">
        <f>HYPERLINK("https://pbs.twimg.com/profile_images/1392134366692786180/wCKg7cP5_normal.jpg")</f>
        <v>https://pbs.twimg.com/profile_images/1392134366692786180/wCKg7cP5_normal.jpg</v>
      </c>
      <c r="AW3457" s="80" t="s">
        <v>19173</v>
      </c>
      <c r="AX3457" s="80" t="s">
        <v>19173</v>
      </c>
      <c r="AY3457" s="77"/>
      <c r="AZ3457" s="80" t="s">
        <v>20380</v>
      </c>
      <c r="BA3457" s="80" t="s">
        <v>20380</v>
      </c>
      <c r="BB3457" s="80" t="s">
        <v>20380</v>
      </c>
      <c r="BC3457" s="80" t="s">
        <v>19173</v>
      </c>
      <c r="BD3457" s="77">
        <v>35800498</v>
      </c>
      <c r="BE3457" s="77"/>
      <c r="BF3457" s="77"/>
      <c r="BG3457" s="77"/>
      <c r="BH3457" s="77"/>
      <c r="BI3457" s="77"/>
    </row>
    <row r="3458" spans="1:61" x14ac:dyDescent="0.25">
      <c r="A3458" s="62" t="s">
        <v>1364</v>
      </c>
      <c r="B3458" s="62" t="s">
        <v>1364</v>
      </c>
      <c r="C3458" s="63"/>
      <c r="D3458" s="64"/>
      <c r="E3458" s="65"/>
      <c r="F3458" s="66"/>
      <c r="G3458" s="63"/>
      <c r="H3458" s="67"/>
      <c r="I3458" s="68"/>
      <c r="J3458" s="68"/>
      <c r="K3458" s="32"/>
      <c r="L3458" s="75">
        <v>3458</v>
      </c>
      <c r="M3458" s="75"/>
      <c r="N3458" s="70"/>
      <c r="O3458" s="77" t="s">
        <v>179</v>
      </c>
      <c r="P3458" s="79">
        <v>45148.579641203702</v>
      </c>
      <c r="Q3458" s="77" t="s">
        <v>5129</v>
      </c>
      <c r="R3458" s="77">
        <v>0</v>
      </c>
      <c r="S3458" s="77">
        <v>2</v>
      </c>
      <c r="T3458" s="77">
        <v>0</v>
      </c>
      <c r="U3458" s="77">
        <v>0</v>
      </c>
      <c r="V3458" s="77">
        <v>50</v>
      </c>
      <c r="W3458" s="80" t="s">
        <v>8028</v>
      </c>
      <c r="X3458" s="83" t="str">
        <f>HYPERLINK("https://www.bcb.gov.br/conteudo/home-ptbr/TextosApresentacoes/Senado_10.8.23.pdf")</f>
        <v>https://www.bcb.gov.br/conteudo/home-ptbr/TextosApresentacoes/Senado_10.8.23.pdf</v>
      </c>
      <c r="Y3458" s="77" t="s">
        <v>8633</v>
      </c>
      <c r="Z3458" s="77"/>
      <c r="AA3458" s="77"/>
      <c r="AB3458" s="77"/>
      <c r="AC3458" s="80" t="s">
        <v>10541</v>
      </c>
      <c r="AD3458" s="77" t="s">
        <v>10617</v>
      </c>
      <c r="AE3458" s="83" t="str">
        <f>HYPERLINK("https://twitter.com/gabrielmuniz93/status/1689636389959426048")</f>
        <v>https://twitter.com/gabrielmuniz93/status/1689636389959426048</v>
      </c>
      <c r="AF3458" s="79">
        <v>45148.579641203702</v>
      </c>
      <c r="AG3458" s="85">
        <v>45148</v>
      </c>
      <c r="AH3458" s="80" t="s">
        <v>13625</v>
      </c>
      <c r="AI3458" s="77" t="b">
        <v>0</v>
      </c>
      <c r="AJ3458" s="77"/>
      <c r="AK3458" s="77"/>
      <c r="AL3458" s="77"/>
      <c r="AM3458" s="77"/>
      <c r="AN3458" s="77"/>
      <c r="AO3458" s="77"/>
      <c r="AP3458" s="77"/>
      <c r="AQ3458" s="77"/>
      <c r="AR3458" s="77"/>
      <c r="AS3458" s="77"/>
      <c r="AT3458" s="77"/>
      <c r="AU3458" s="77"/>
      <c r="AV3458" s="83" t="str">
        <f>HYPERLINK("https://pbs.twimg.com/profile_images/1405221599792439300/7lSZ0_QK_normal.jpg")</f>
        <v>https://pbs.twimg.com/profile_images/1405221599792439300/7lSZ0_QK_normal.jpg</v>
      </c>
      <c r="AW3458" s="80" t="s">
        <v>19174</v>
      </c>
      <c r="AX3458" s="80" t="s">
        <v>19174</v>
      </c>
      <c r="AY3458" s="77"/>
      <c r="AZ3458" s="80" t="s">
        <v>20380</v>
      </c>
      <c r="BA3458" s="80" t="s">
        <v>20380</v>
      </c>
      <c r="BB3458" s="80" t="s">
        <v>20380</v>
      </c>
      <c r="BC3458" s="80" t="s">
        <v>19174</v>
      </c>
      <c r="BD3458" s="80" t="s">
        <v>21053</v>
      </c>
      <c r="BE3458" s="77"/>
      <c r="BF3458" s="77"/>
      <c r="BG3458" s="77"/>
      <c r="BH3458" s="77"/>
      <c r="BI3458" s="77"/>
    </row>
    <row r="3459" spans="1:61" x14ac:dyDescent="0.25">
      <c r="A3459" s="62" t="s">
        <v>1365</v>
      </c>
      <c r="B3459" s="62" t="s">
        <v>1655</v>
      </c>
      <c r="C3459" s="63"/>
      <c r="D3459" s="64"/>
      <c r="E3459" s="65"/>
      <c r="F3459" s="66"/>
      <c r="G3459" s="63"/>
      <c r="H3459" s="67"/>
      <c r="I3459" s="68"/>
      <c r="J3459" s="68"/>
      <c r="K3459" s="32"/>
      <c r="L3459" s="75">
        <v>3459</v>
      </c>
      <c r="M3459" s="75"/>
      <c r="N3459" s="70"/>
      <c r="O3459" s="77" t="s">
        <v>2083</v>
      </c>
      <c r="P3459" s="79">
        <v>45191.457662037035</v>
      </c>
      <c r="Q3459" s="77" t="s">
        <v>2120</v>
      </c>
      <c r="R3459" s="77">
        <v>25</v>
      </c>
      <c r="S3459" s="77">
        <v>0</v>
      </c>
      <c r="T3459" s="77">
        <v>0</v>
      </c>
      <c r="U3459" s="77">
        <v>0</v>
      </c>
      <c r="V3459" s="77"/>
      <c r="W3459" s="80" t="s">
        <v>5917</v>
      </c>
      <c r="X3459" s="77"/>
      <c r="Y3459" s="77"/>
      <c r="Z3459" s="77" t="s">
        <v>1655</v>
      </c>
      <c r="AA3459" s="77"/>
      <c r="AB3459" s="77"/>
      <c r="AC3459" s="80" t="s">
        <v>10540</v>
      </c>
      <c r="AD3459" s="77" t="s">
        <v>10617</v>
      </c>
      <c r="AE3459" s="83" t="str">
        <f>HYPERLINK("https://twitter.com/paulobecker1962/status/1705174862908563940")</f>
        <v>https://twitter.com/paulobecker1962/status/1705174862908563940</v>
      </c>
      <c r="AF3459" s="79">
        <v>45191.457662037035</v>
      </c>
      <c r="AG3459" s="85">
        <v>45191</v>
      </c>
      <c r="AH3459" s="80" t="s">
        <v>13626</v>
      </c>
      <c r="AI3459" s="77"/>
      <c r="AJ3459" s="77"/>
      <c r="AK3459" s="77"/>
      <c r="AL3459" s="77"/>
      <c r="AM3459" s="77"/>
      <c r="AN3459" s="77"/>
      <c r="AO3459" s="77"/>
      <c r="AP3459" s="77"/>
      <c r="AQ3459" s="77"/>
      <c r="AR3459" s="77"/>
      <c r="AS3459" s="77"/>
      <c r="AT3459" s="77"/>
      <c r="AU3459" s="77"/>
      <c r="AV3459" s="83" t="str">
        <f>HYPERLINK("https://pbs.twimg.com/profile_images/1661780370033979404/fwkffSzg_normal.png")</f>
        <v>https://pbs.twimg.com/profile_images/1661780370033979404/fwkffSzg_normal.png</v>
      </c>
      <c r="AW3459" s="80" t="s">
        <v>19175</v>
      </c>
      <c r="AX3459" s="80" t="s">
        <v>19175</v>
      </c>
      <c r="AY3459" s="77"/>
      <c r="AZ3459" s="80" t="s">
        <v>20380</v>
      </c>
      <c r="BA3459" s="80" t="s">
        <v>20380</v>
      </c>
      <c r="BB3459" s="80" t="s">
        <v>19844</v>
      </c>
      <c r="BC3459" s="80" t="s">
        <v>19844</v>
      </c>
      <c r="BD3459" s="80" t="s">
        <v>21054</v>
      </c>
      <c r="BE3459" s="77"/>
      <c r="BF3459" s="77"/>
      <c r="BG3459" s="77"/>
      <c r="BH3459" s="77"/>
      <c r="BI3459" s="77"/>
    </row>
    <row r="3460" spans="1:61" x14ac:dyDescent="0.25">
      <c r="A3460" s="62" t="s">
        <v>1365</v>
      </c>
      <c r="B3460" s="62" t="s">
        <v>1655</v>
      </c>
      <c r="C3460" s="63"/>
      <c r="D3460" s="64"/>
      <c r="E3460" s="65"/>
      <c r="F3460" s="66"/>
      <c r="G3460" s="63"/>
      <c r="H3460" s="67"/>
      <c r="I3460" s="68"/>
      <c r="J3460" s="68"/>
      <c r="K3460" s="32"/>
      <c r="L3460" s="75">
        <v>3460</v>
      </c>
      <c r="M3460" s="75"/>
      <c r="N3460" s="70"/>
      <c r="O3460" s="77" t="s">
        <v>2083</v>
      </c>
      <c r="P3460" s="79">
        <v>45191.414027777777</v>
      </c>
      <c r="Q3460" s="77" t="s">
        <v>2120</v>
      </c>
      <c r="R3460" s="77">
        <v>57</v>
      </c>
      <c r="S3460" s="77">
        <v>0</v>
      </c>
      <c r="T3460" s="77">
        <v>0</v>
      </c>
      <c r="U3460" s="77">
        <v>0</v>
      </c>
      <c r="V3460" s="77"/>
      <c r="W3460" s="80" t="s">
        <v>5917</v>
      </c>
      <c r="X3460" s="77"/>
      <c r="Y3460" s="77"/>
      <c r="Z3460" s="77" t="s">
        <v>1655</v>
      </c>
      <c r="AA3460" s="77"/>
      <c r="AB3460" s="77"/>
      <c r="AC3460" s="80" t="s">
        <v>10540</v>
      </c>
      <c r="AD3460" s="77" t="s">
        <v>10617</v>
      </c>
      <c r="AE3460" s="83" t="str">
        <f>HYPERLINK("https://twitter.com/paulobecker1962/status/1705159049589764318")</f>
        <v>https://twitter.com/paulobecker1962/status/1705159049589764318</v>
      </c>
      <c r="AF3460" s="79">
        <v>45191.414027777777</v>
      </c>
      <c r="AG3460" s="85">
        <v>45191</v>
      </c>
      <c r="AH3460" s="80" t="s">
        <v>13627</v>
      </c>
      <c r="AI3460" s="77"/>
      <c r="AJ3460" s="77"/>
      <c r="AK3460" s="77"/>
      <c r="AL3460" s="77"/>
      <c r="AM3460" s="77"/>
      <c r="AN3460" s="77"/>
      <c r="AO3460" s="77"/>
      <c r="AP3460" s="77"/>
      <c r="AQ3460" s="77"/>
      <c r="AR3460" s="77"/>
      <c r="AS3460" s="77"/>
      <c r="AT3460" s="77"/>
      <c r="AU3460" s="77"/>
      <c r="AV3460" s="83" t="str">
        <f>HYPERLINK("https://pbs.twimg.com/profile_images/1661780370033979404/fwkffSzg_normal.png")</f>
        <v>https://pbs.twimg.com/profile_images/1661780370033979404/fwkffSzg_normal.png</v>
      </c>
      <c r="AW3460" s="80" t="s">
        <v>19176</v>
      </c>
      <c r="AX3460" s="80" t="s">
        <v>19176</v>
      </c>
      <c r="AY3460" s="77"/>
      <c r="AZ3460" s="80" t="s">
        <v>20380</v>
      </c>
      <c r="BA3460" s="80" t="s">
        <v>20380</v>
      </c>
      <c r="BB3460" s="80" t="s">
        <v>19843</v>
      </c>
      <c r="BC3460" s="80" t="s">
        <v>19843</v>
      </c>
      <c r="BD3460" s="80" t="s">
        <v>21054</v>
      </c>
      <c r="BE3460" s="77"/>
      <c r="BF3460" s="77"/>
      <c r="BG3460" s="77"/>
      <c r="BH3460" s="77"/>
      <c r="BI3460" s="77"/>
    </row>
    <row r="3461" spans="1:61" x14ac:dyDescent="0.25">
      <c r="A3461" s="62" t="s">
        <v>1366</v>
      </c>
      <c r="B3461" s="62" t="s">
        <v>1366</v>
      </c>
      <c r="C3461" s="63"/>
      <c r="D3461" s="64"/>
      <c r="E3461" s="65"/>
      <c r="F3461" s="66"/>
      <c r="G3461" s="63"/>
      <c r="H3461" s="67"/>
      <c r="I3461" s="68"/>
      <c r="J3461" s="68"/>
      <c r="K3461" s="32"/>
      <c r="L3461" s="75">
        <v>3461</v>
      </c>
      <c r="M3461" s="75"/>
      <c r="N3461" s="70"/>
      <c r="O3461" s="77" t="s">
        <v>2078</v>
      </c>
      <c r="P3461" s="79">
        <v>45064.637604166666</v>
      </c>
      <c r="Q3461" s="77" t="s">
        <v>5130</v>
      </c>
      <c r="R3461" s="77">
        <v>1</v>
      </c>
      <c r="S3461" s="77">
        <v>2</v>
      </c>
      <c r="T3461" s="77">
        <v>0</v>
      </c>
      <c r="U3461" s="77">
        <v>0</v>
      </c>
      <c r="V3461" s="77">
        <v>53</v>
      </c>
      <c r="W3461" s="80" t="s">
        <v>8029</v>
      </c>
      <c r="X3461" s="83" t="str">
        <f>HYPERLINK("https://www.bcb.gov.br/cedulasemoedas/cedulasinadequadas")</f>
        <v>https://www.bcb.gov.br/cedulasemoedas/cedulasinadequadas</v>
      </c>
      <c r="Y3461" s="77" t="s">
        <v>8633</v>
      </c>
      <c r="Z3461" s="77"/>
      <c r="AA3461" s="77"/>
      <c r="AB3461" s="77"/>
      <c r="AC3461" s="80" t="s">
        <v>10541</v>
      </c>
      <c r="AD3461" s="77" t="s">
        <v>10617</v>
      </c>
      <c r="AE3461" s="83" t="str">
        <f>HYPERLINK("https://twitter.com/prosegurbr_pt/status/1659216810905042944")</f>
        <v>https://twitter.com/prosegurbr_pt/status/1659216810905042944</v>
      </c>
      <c r="AF3461" s="79">
        <v>45064.637604166666</v>
      </c>
      <c r="AG3461" s="85">
        <v>45064</v>
      </c>
      <c r="AH3461" s="80" t="s">
        <v>13268</v>
      </c>
      <c r="AI3461" s="77" t="b">
        <v>0</v>
      </c>
      <c r="AJ3461" s="77"/>
      <c r="AK3461" s="77"/>
      <c r="AL3461" s="77"/>
      <c r="AM3461" s="77"/>
      <c r="AN3461" s="77"/>
      <c r="AO3461" s="77"/>
      <c r="AP3461" s="77"/>
      <c r="AQ3461" s="77"/>
      <c r="AR3461" s="77"/>
      <c r="AS3461" s="77"/>
      <c r="AT3461" s="77"/>
      <c r="AU3461" s="77"/>
      <c r="AV3461" s="83" t="str">
        <f>HYPERLINK("https://pbs.twimg.com/profile_images/1496831572909166592/zvzGyEv-_normal.jpg")</f>
        <v>https://pbs.twimg.com/profile_images/1496831572909166592/zvzGyEv-_normal.jpg</v>
      </c>
      <c r="AW3461" s="80" t="s">
        <v>19177</v>
      </c>
      <c r="AX3461" s="80" t="s">
        <v>20162</v>
      </c>
      <c r="AY3461" s="80" t="s">
        <v>20350</v>
      </c>
      <c r="AZ3461" s="80" t="s">
        <v>20457</v>
      </c>
      <c r="BA3461" s="80" t="s">
        <v>20380</v>
      </c>
      <c r="BB3461" s="80" t="s">
        <v>20380</v>
      </c>
      <c r="BC3461" s="80" t="s">
        <v>20457</v>
      </c>
      <c r="BD3461" s="77">
        <v>342047116</v>
      </c>
      <c r="BE3461" s="77"/>
      <c r="BF3461" s="77"/>
      <c r="BG3461" s="77"/>
      <c r="BH3461" s="77"/>
      <c r="BI3461" s="77"/>
    </row>
    <row r="3462" spans="1:61" x14ac:dyDescent="0.25">
      <c r="A3462" s="62" t="s">
        <v>1367</v>
      </c>
      <c r="B3462" s="62" t="s">
        <v>1367</v>
      </c>
      <c r="C3462" s="63"/>
      <c r="D3462" s="64"/>
      <c r="E3462" s="65"/>
      <c r="F3462" s="66"/>
      <c r="G3462" s="63"/>
      <c r="H3462" s="67"/>
      <c r="I3462" s="68"/>
      <c r="J3462" s="68"/>
      <c r="K3462" s="32"/>
      <c r="L3462" s="75">
        <v>3462</v>
      </c>
      <c r="M3462" s="75"/>
      <c r="N3462" s="70"/>
      <c r="O3462" s="77" t="s">
        <v>179</v>
      </c>
      <c r="P3462" s="79">
        <v>45152.650034722225</v>
      </c>
      <c r="Q3462" s="77" t="s">
        <v>5131</v>
      </c>
      <c r="R3462" s="77">
        <v>0</v>
      </c>
      <c r="S3462" s="77">
        <v>2</v>
      </c>
      <c r="T3462" s="77">
        <v>0</v>
      </c>
      <c r="U3462" s="77">
        <v>0</v>
      </c>
      <c r="V3462" s="77">
        <v>329</v>
      </c>
      <c r="W3462" s="80" t="s">
        <v>5884</v>
      </c>
      <c r="X3462" s="77"/>
      <c r="Y3462" s="77"/>
      <c r="Z3462" s="77"/>
      <c r="AA3462" s="77"/>
      <c r="AB3462" s="77"/>
      <c r="AC3462" s="80" t="s">
        <v>10541</v>
      </c>
      <c r="AD3462" s="77" t="s">
        <v>10620</v>
      </c>
      <c r="AE3462" s="83" t="str">
        <f>HYPERLINK("https://twitter.com/rodrigo4lbornoz/status/1691111448041463808")</f>
        <v>https://twitter.com/rodrigo4lbornoz/status/1691111448041463808</v>
      </c>
      <c r="AF3462" s="79">
        <v>45152.650034722225</v>
      </c>
      <c r="AG3462" s="85">
        <v>45152</v>
      </c>
      <c r="AH3462" s="80" t="s">
        <v>13628</v>
      </c>
      <c r="AI3462" s="77"/>
      <c r="AJ3462" s="77"/>
      <c r="AK3462" s="77"/>
      <c r="AL3462" s="77"/>
      <c r="AM3462" s="77"/>
      <c r="AN3462" s="77"/>
      <c r="AO3462" s="77"/>
      <c r="AP3462" s="77"/>
      <c r="AQ3462" s="77"/>
      <c r="AR3462" s="77"/>
      <c r="AS3462" s="77"/>
      <c r="AT3462" s="77"/>
      <c r="AU3462" s="77"/>
      <c r="AV3462" s="83" t="str">
        <f>HYPERLINK("https://pbs.twimg.com/profile_images/1661836442186797056/rp6lN_Y9_normal.jpg")</f>
        <v>https://pbs.twimg.com/profile_images/1661836442186797056/rp6lN_Y9_normal.jpg</v>
      </c>
      <c r="AW3462" s="80" t="s">
        <v>19178</v>
      </c>
      <c r="AX3462" s="80" t="s">
        <v>19178</v>
      </c>
      <c r="AY3462" s="77"/>
      <c r="AZ3462" s="80" t="s">
        <v>20380</v>
      </c>
      <c r="BA3462" s="80" t="s">
        <v>20380</v>
      </c>
      <c r="BB3462" s="80" t="s">
        <v>20380</v>
      </c>
      <c r="BC3462" s="80" t="s">
        <v>19178</v>
      </c>
      <c r="BD3462" s="80" t="s">
        <v>21055</v>
      </c>
      <c r="BE3462" s="77"/>
      <c r="BF3462" s="77"/>
      <c r="BG3462" s="77"/>
      <c r="BH3462" s="77"/>
      <c r="BI3462" s="77"/>
    </row>
    <row r="3463" spans="1:61" x14ac:dyDescent="0.25">
      <c r="A3463" s="62" t="s">
        <v>1368</v>
      </c>
      <c r="B3463" s="62" t="s">
        <v>1596</v>
      </c>
      <c r="C3463" s="63"/>
      <c r="D3463" s="64"/>
      <c r="E3463" s="65"/>
      <c r="F3463" s="66"/>
      <c r="G3463" s="63"/>
      <c r="H3463" s="67"/>
      <c r="I3463" s="68"/>
      <c r="J3463" s="68"/>
      <c r="K3463" s="32"/>
      <c r="L3463" s="75">
        <v>3463</v>
      </c>
      <c r="M3463" s="75"/>
      <c r="N3463" s="70"/>
      <c r="O3463" s="77" t="s">
        <v>2081</v>
      </c>
      <c r="P3463" s="79">
        <v>45056.708425925928</v>
      </c>
      <c r="Q3463" s="77" t="s">
        <v>5132</v>
      </c>
      <c r="R3463" s="77">
        <v>0</v>
      </c>
      <c r="S3463" s="77">
        <v>0</v>
      </c>
      <c r="T3463" s="77">
        <v>0</v>
      </c>
      <c r="U3463" s="77">
        <v>0</v>
      </c>
      <c r="V3463" s="77">
        <v>8</v>
      </c>
      <c r="W3463" s="80" t="s">
        <v>6008</v>
      </c>
      <c r="X3463" s="83" t="str">
        <f>HYPERLINK("https://www.bcb.gov.br/detalhenoticia/681/noticia")</f>
        <v>https://www.bcb.gov.br/detalhenoticia/681/noticia</v>
      </c>
      <c r="Y3463" s="77" t="s">
        <v>8633</v>
      </c>
      <c r="Z3463" s="77" t="s">
        <v>1596</v>
      </c>
      <c r="AA3463" s="77"/>
      <c r="AB3463" s="77"/>
      <c r="AC3463" s="80" t="s">
        <v>10541</v>
      </c>
      <c r="AD3463" s="77" t="s">
        <v>10617</v>
      </c>
      <c r="AE3463" s="83" t="str">
        <f>HYPERLINK("https://twitter.com/senhor_gestao/status/1656343373987364864")</f>
        <v>https://twitter.com/senhor_gestao/status/1656343373987364864</v>
      </c>
      <c r="AF3463" s="79">
        <v>45056.708425925928</v>
      </c>
      <c r="AG3463" s="85">
        <v>45056</v>
      </c>
      <c r="AH3463" s="80" t="s">
        <v>13629</v>
      </c>
      <c r="AI3463" s="77" t="b">
        <v>0</v>
      </c>
      <c r="AJ3463" s="77"/>
      <c r="AK3463" s="77"/>
      <c r="AL3463" s="77"/>
      <c r="AM3463" s="77"/>
      <c r="AN3463" s="77"/>
      <c r="AO3463" s="77"/>
      <c r="AP3463" s="77"/>
      <c r="AQ3463" s="77"/>
      <c r="AR3463" s="77"/>
      <c r="AS3463" s="77"/>
      <c r="AT3463" s="77"/>
      <c r="AU3463" s="77"/>
      <c r="AV3463" s="83" t="str">
        <f>HYPERLINK("https://pbs.twimg.com/profile_images/1360045222688919555/uDqFtne9_normal.jpg")</f>
        <v>https://pbs.twimg.com/profile_images/1360045222688919555/uDqFtne9_normal.jpg</v>
      </c>
      <c r="AW3463" s="80" t="s">
        <v>19179</v>
      </c>
      <c r="AX3463" s="80" t="s">
        <v>19179</v>
      </c>
      <c r="AY3463" s="77"/>
      <c r="AZ3463" s="80" t="s">
        <v>20380</v>
      </c>
      <c r="BA3463" s="80" t="s">
        <v>20380</v>
      </c>
      <c r="BB3463" s="80" t="s">
        <v>20380</v>
      </c>
      <c r="BC3463" s="80" t="s">
        <v>19179</v>
      </c>
      <c r="BD3463" s="80" t="s">
        <v>21056</v>
      </c>
      <c r="BE3463" s="77"/>
      <c r="BF3463" s="77"/>
      <c r="BG3463" s="77"/>
      <c r="BH3463" s="77"/>
      <c r="BI3463" s="77"/>
    </row>
    <row r="3464" spans="1:61" x14ac:dyDescent="0.25">
      <c r="A3464" s="62" t="s">
        <v>1369</v>
      </c>
      <c r="B3464" s="62" t="s">
        <v>2024</v>
      </c>
      <c r="C3464" s="63"/>
      <c r="D3464" s="64"/>
      <c r="E3464" s="65"/>
      <c r="F3464" s="66"/>
      <c r="G3464" s="63"/>
      <c r="H3464" s="67"/>
      <c r="I3464" s="68"/>
      <c r="J3464" s="68"/>
      <c r="K3464" s="32"/>
      <c r="L3464" s="75">
        <v>3464</v>
      </c>
      <c r="M3464" s="75"/>
      <c r="N3464" s="70"/>
      <c r="O3464" s="77" t="s">
        <v>2081</v>
      </c>
      <c r="P3464" s="79">
        <v>45117.079467592594</v>
      </c>
      <c r="Q3464" s="77" t="s">
        <v>5133</v>
      </c>
      <c r="R3464" s="77">
        <v>0</v>
      </c>
      <c r="S3464" s="77">
        <v>1</v>
      </c>
      <c r="T3464" s="77">
        <v>0</v>
      </c>
      <c r="U3464" s="77">
        <v>0</v>
      </c>
      <c r="V3464" s="77">
        <v>23</v>
      </c>
      <c r="W3464" s="80" t="s">
        <v>8030</v>
      </c>
      <c r="X3464" s="83" t="str">
        <f>HYPERLINK("https://blogpontodevista.com/eduardo-da-fonte-defende-reducao-da-taxa-de-juros/")</f>
        <v>https://blogpontodevista.com/eduardo-da-fonte-defende-reducao-da-taxa-de-juros/</v>
      </c>
      <c r="Y3464" s="77" t="s">
        <v>8841</v>
      </c>
      <c r="Z3464" s="77" t="s">
        <v>2024</v>
      </c>
      <c r="AA3464" s="77"/>
      <c r="AB3464" s="77"/>
      <c r="AC3464" s="80" t="s">
        <v>10542</v>
      </c>
      <c r="AD3464" s="77" t="s">
        <v>10617</v>
      </c>
      <c r="AE3464" s="83" t="str">
        <f>HYPERLINK("https://twitter.com/blogpontovista/status/1678221108200321025")</f>
        <v>https://twitter.com/blogpontovista/status/1678221108200321025</v>
      </c>
      <c r="AF3464" s="79">
        <v>45117.079467592594</v>
      </c>
      <c r="AG3464" s="85">
        <v>45117</v>
      </c>
      <c r="AH3464" s="80" t="s">
        <v>13630</v>
      </c>
      <c r="AI3464" s="77" t="b">
        <v>0</v>
      </c>
      <c r="AJ3464" s="77"/>
      <c r="AK3464" s="77"/>
      <c r="AL3464" s="77"/>
      <c r="AM3464" s="77"/>
      <c r="AN3464" s="77"/>
      <c r="AO3464" s="77"/>
      <c r="AP3464" s="77"/>
      <c r="AQ3464" s="77"/>
      <c r="AR3464" s="77"/>
      <c r="AS3464" s="77"/>
      <c r="AT3464" s="77"/>
      <c r="AU3464" s="77"/>
      <c r="AV3464" s="83" t="str">
        <f>HYPERLINK("https://pbs.twimg.com/profile_images/1253452296803037184/3M1BDloE_normal.jpg")</f>
        <v>https://pbs.twimg.com/profile_images/1253452296803037184/3M1BDloE_normal.jpg</v>
      </c>
      <c r="AW3464" s="80" t="s">
        <v>19180</v>
      </c>
      <c r="AX3464" s="80" t="s">
        <v>19180</v>
      </c>
      <c r="AY3464" s="77"/>
      <c r="AZ3464" s="80" t="s">
        <v>20380</v>
      </c>
      <c r="BA3464" s="80" t="s">
        <v>20380</v>
      </c>
      <c r="BB3464" s="80" t="s">
        <v>20380</v>
      </c>
      <c r="BC3464" s="80" t="s">
        <v>19180</v>
      </c>
      <c r="BD3464" s="80" t="s">
        <v>21057</v>
      </c>
      <c r="BE3464" s="77"/>
      <c r="BF3464" s="77"/>
      <c r="BG3464" s="77"/>
      <c r="BH3464" s="77"/>
      <c r="BI3464" s="77"/>
    </row>
    <row r="3465" spans="1:61" x14ac:dyDescent="0.25">
      <c r="A3465" s="62" t="s">
        <v>1370</v>
      </c>
      <c r="B3465" s="62" t="s">
        <v>1675</v>
      </c>
      <c r="C3465" s="63"/>
      <c r="D3465" s="64"/>
      <c r="E3465" s="65"/>
      <c r="F3465" s="66"/>
      <c r="G3465" s="63"/>
      <c r="H3465" s="67"/>
      <c r="I3465" s="68"/>
      <c r="J3465" s="68"/>
      <c r="K3465" s="32"/>
      <c r="L3465" s="75">
        <v>3465</v>
      </c>
      <c r="M3465" s="75"/>
      <c r="N3465" s="70"/>
      <c r="O3465" s="77" t="s">
        <v>2083</v>
      </c>
      <c r="P3465" s="79">
        <v>45188.939918981479</v>
      </c>
      <c r="Q3465" s="77" t="s">
        <v>4951</v>
      </c>
      <c r="R3465" s="77">
        <v>4</v>
      </c>
      <c r="S3465" s="77">
        <v>0</v>
      </c>
      <c r="T3465" s="77">
        <v>0</v>
      </c>
      <c r="U3465" s="77">
        <v>0</v>
      </c>
      <c r="V3465" s="77"/>
      <c r="W3465" s="80" t="s">
        <v>7914</v>
      </c>
      <c r="X3465" s="77"/>
      <c r="Y3465" s="77"/>
      <c r="Z3465" s="77" t="s">
        <v>1675</v>
      </c>
      <c r="AA3465" s="77"/>
      <c r="AB3465" s="77"/>
      <c r="AC3465" s="80" t="s">
        <v>10541</v>
      </c>
      <c r="AD3465" s="77" t="s">
        <v>10620</v>
      </c>
      <c r="AE3465" s="83" t="str">
        <f>HYPERLINK("https://twitter.com/chipoteclan/status/1704262464018243733")</f>
        <v>https://twitter.com/chipoteclan/status/1704262464018243733</v>
      </c>
      <c r="AF3465" s="79">
        <v>45188.939918981479</v>
      </c>
      <c r="AG3465" s="85">
        <v>45188</v>
      </c>
      <c r="AH3465" s="80" t="s">
        <v>13631</v>
      </c>
      <c r="AI3465" s="77"/>
      <c r="AJ3465" s="77"/>
      <c r="AK3465" s="77"/>
      <c r="AL3465" s="77"/>
      <c r="AM3465" s="77"/>
      <c r="AN3465" s="77"/>
      <c r="AO3465" s="77"/>
      <c r="AP3465" s="77"/>
      <c r="AQ3465" s="77"/>
      <c r="AR3465" s="77"/>
      <c r="AS3465" s="77"/>
      <c r="AT3465" s="77"/>
      <c r="AU3465" s="77"/>
      <c r="AV3465" s="83" t="str">
        <f>HYPERLINK("https://pbs.twimg.com/profile_images/1693930022963228672/ZDCTPVrS_normal.jpg")</f>
        <v>https://pbs.twimg.com/profile_images/1693930022963228672/ZDCTPVrS_normal.jpg</v>
      </c>
      <c r="AW3465" s="80" t="s">
        <v>19181</v>
      </c>
      <c r="AX3465" s="80" t="s">
        <v>19181</v>
      </c>
      <c r="AY3465" s="77"/>
      <c r="AZ3465" s="80" t="s">
        <v>20380</v>
      </c>
      <c r="BA3465" s="80" t="s">
        <v>20380</v>
      </c>
      <c r="BB3465" s="80" t="s">
        <v>19926</v>
      </c>
      <c r="BC3465" s="80" t="s">
        <v>19926</v>
      </c>
      <c r="BD3465" s="80" t="s">
        <v>21058</v>
      </c>
      <c r="BE3465" s="77"/>
      <c r="BF3465" s="77"/>
      <c r="BG3465" s="77"/>
      <c r="BH3465" s="77"/>
      <c r="BI3465" s="77"/>
    </row>
    <row r="3466" spans="1:61" x14ac:dyDescent="0.25">
      <c r="A3466" s="62" t="s">
        <v>1371</v>
      </c>
      <c r="B3466" s="62" t="s">
        <v>1371</v>
      </c>
      <c r="C3466" s="63"/>
      <c r="D3466" s="64"/>
      <c r="E3466" s="65"/>
      <c r="F3466" s="66"/>
      <c r="G3466" s="63"/>
      <c r="H3466" s="67"/>
      <c r="I3466" s="68"/>
      <c r="J3466" s="68"/>
      <c r="K3466" s="32"/>
      <c r="L3466" s="75">
        <v>3466</v>
      </c>
      <c r="M3466" s="75"/>
      <c r="N3466" s="70"/>
      <c r="O3466" s="77" t="s">
        <v>179</v>
      </c>
      <c r="P3466" s="79">
        <v>45050.474999999999</v>
      </c>
      <c r="Q3466" s="77" t="s">
        <v>5134</v>
      </c>
      <c r="R3466" s="77">
        <v>0</v>
      </c>
      <c r="S3466" s="77">
        <v>0</v>
      </c>
      <c r="T3466" s="77">
        <v>0</v>
      </c>
      <c r="U3466" s="77">
        <v>0</v>
      </c>
      <c r="V3466" s="77">
        <v>2</v>
      </c>
      <c r="W3466" s="80" t="s">
        <v>8031</v>
      </c>
      <c r="X3466" s="83" t="str">
        <f>HYPERLINK("https://buff.ly/3VwI3uk")</f>
        <v>https://buff.ly/3VwI3uk</v>
      </c>
      <c r="Y3466" s="77" t="s">
        <v>8617</v>
      </c>
      <c r="Z3466" s="77"/>
      <c r="AA3466" s="77"/>
      <c r="AB3466" s="77"/>
      <c r="AC3466" s="80" t="s">
        <v>10545</v>
      </c>
      <c r="AD3466" s="77" t="s">
        <v>10617</v>
      </c>
      <c r="AE3466" s="83" t="str">
        <f>HYPERLINK("https://twitter.com/dregionalo1/status/1654084456624402437")</f>
        <v>https://twitter.com/dregionalo1/status/1654084456624402437</v>
      </c>
      <c r="AF3466" s="79">
        <v>45050.474999999999</v>
      </c>
      <c r="AG3466" s="85">
        <v>45050</v>
      </c>
      <c r="AH3466" s="80" t="s">
        <v>13632</v>
      </c>
      <c r="AI3466" s="77" t="b">
        <v>0</v>
      </c>
      <c r="AJ3466" s="77"/>
      <c r="AK3466" s="77"/>
      <c r="AL3466" s="77"/>
      <c r="AM3466" s="77"/>
      <c r="AN3466" s="77"/>
      <c r="AO3466" s="77"/>
      <c r="AP3466" s="77"/>
      <c r="AQ3466" s="77"/>
      <c r="AR3466" s="77"/>
      <c r="AS3466" s="77"/>
      <c r="AT3466" s="77"/>
      <c r="AU3466" s="77"/>
      <c r="AV3466" s="83" t="str">
        <f>HYPERLINK("https://pbs.twimg.com/profile_images/1488090575966461957/QZbvYQJu_normal.jpg")</f>
        <v>https://pbs.twimg.com/profile_images/1488090575966461957/QZbvYQJu_normal.jpg</v>
      </c>
      <c r="AW3466" s="80" t="s">
        <v>19182</v>
      </c>
      <c r="AX3466" s="80" t="s">
        <v>19182</v>
      </c>
      <c r="AY3466" s="77"/>
      <c r="AZ3466" s="80" t="s">
        <v>20380</v>
      </c>
      <c r="BA3466" s="80" t="s">
        <v>20380</v>
      </c>
      <c r="BB3466" s="80" t="s">
        <v>20380</v>
      </c>
      <c r="BC3466" s="80" t="s">
        <v>19182</v>
      </c>
      <c r="BD3466" s="80" t="s">
        <v>21059</v>
      </c>
      <c r="BE3466" s="77"/>
      <c r="BF3466" s="77"/>
      <c r="BG3466" s="77"/>
      <c r="BH3466" s="77"/>
      <c r="BI3466" s="77"/>
    </row>
    <row r="3467" spans="1:61" x14ac:dyDescent="0.25">
      <c r="A3467" s="62" t="s">
        <v>1371</v>
      </c>
      <c r="B3467" s="62" t="s">
        <v>1371</v>
      </c>
      <c r="C3467" s="63"/>
      <c r="D3467" s="64"/>
      <c r="E3467" s="65"/>
      <c r="F3467" s="66"/>
      <c r="G3467" s="63"/>
      <c r="H3467" s="67"/>
      <c r="I3467" s="68"/>
      <c r="J3467" s="68"/>
      <c r="K3467" s="32"/>
      <c r="L3467" s="75">
        <v>3467</v>
      </c>
      <c r="M3467" s="75"/>
      <c r="N3467" s="70"/>
      <c r="O3467" s="77" t="s">
        <v>179</v>
      </c>
      <c r="P3467" s="79">
        <v>45098.936412037037</v>
      </c>
      <c r="Q3467" s="77" t="s">
        <v>5135</v>
      </c>
      <c r="R3467" s="77">
        <v>0</v>
      </c>
      <c r="S3467" s="77">
        <v>1</v>
      </c>
      <c r="T3467" s="77">
        <v>0</v>
      </c>
      <c r="U3467" s="77">
        <v>0</v>
      </c>
      <c r="V3467" s="77">
        <v>74</v>
      </c>
      <c r="W3467" s="80" t="s">
        <v>8032</v>
      </c>
      <c r="X3467" s="83" t="str">
        <f>HYPERLINK("https://buff.ly/3Jv3QOb")</f>
        <v>https://buff.ly/3Jv3QOb</v>
      </c>
      <c r="Y3467" s="77" t="s">
        <v>8617</v>
      </c>
      <c r="Z3467" s="77"/>
      <c r="AA3467" s="77" t="s">
        <v>10169</v>
      </c>
      <c r="AB3467" s="77" t="s">
        <v>10535</v>
      </c>
      <c r="AC3467" s="80" t="s">
        <v>10545</v>
      </c>
      <c r="AD3467" s="77" t="s">
        <v>10617</v>
      </c>
      <c r="AE3467" s="83" t="str">
        <f>HYPERLINK("https://twitter.com/dregionalo1/status/1671646282958487553")</f>
        <v>https://twitter.com/dregionalo1/status/1671646282958487553</v>
      </c>
      <c r="AF3467" s="79">
        <v>45098.936412037037</v>
      </c>
      <c r="AG3467" s="85">
        <v>45098</v>
      </c>
      <c r="AH3467" s="80" t="s">
        <v>13633</v>
      </c>
      <c r="AI3467" s="77" t="b">
        <v>0</v>
      </c>
      <c r="AJ3467" s="77"/>
      <c r="AK3467" s="77"/>
      <c r="AL3467" s="77"/>
      <c r="AM3467" s="77"/>
      <c r="AN3467" s="77"/>
      <c r="AO3467" s="77"/>
      <c r="AP3467" s="77"/>
      <c r="AQ3467" s="77" t="s">
        <v>15650</v>
      </c>
      <c r="AR3467" s="77"/>
      <c r="AS3467" s="77"/>
      <c r="AT3467" s="77"/>
      <c r="AU3467" s="77"/>
      <c r="AV3467" s="83" t="str">
        <f>HYPERLINK("https://pbs.twimg.com/media/FzLhb27XoAA5vEB.jpg")</f>
        <v>https://pbs.twimg.com/media/FzLhb27XoAA5vEB.jpg</v>
      </c>
      <c r="AW3467" s="80" t="s">
        <v>19183</v>
      </c>
      <c r="AX3467" s="80" t="s">
        <v>19183</v>
      </c>
      <c r="AY3467" s="77"/>
      <c r="AZ3467" s="80" t="s">
        <v>20380</v>
      </c>
      <c r="BA3467" s="80" t="s">
        <v>20380</v>
      </c>
      <c r="BB3467" s="80" t="s">
        <v>20380</v>
      </c>
      <c r="BC3467" s="80" t="s">
        <v>19183</v>
      </c>
      <c r="BD3467" s="80" t="s">
        <v>21059</v>
      </c>
      <c r="BE3467" s="77"/>
      <c r="BF3467" s="77"/>
      <c r="BG3467" s="77"/>
      <c r="BH3467" s="77"/>
      <c r="BI3467" s="77"/>
    </row>
    <row r="3468" spans="1:61" x14ac:dyDescent="0.25">
      <c r="A3468" s="62" t="s">
        <v>1372</v>
      </c>
      <c r="B3468" s="62" t="s">
        <v>1372</v>
      </c>
      <c r="C3468" s="63"/>
      <c r="D3468" s="64"/>
      <c r="E3468" s="65"/>
      <c r="F3468" s="66"/>
      <c r="G3468" s="63"/>
      <c r="H3468" s="67"/>
      <c r="I3468" s="68"/>
      <c r="J3468" s="68"/>
      <c r="K3468" s="32"/>
      <c r="L3468" s="75">
        <v>3468</v>
      </c>
      <c r="M3468" s="75"/>
      <c r="N3468" s="70"/>
      <c r="O3468" s="77" t="s">
        <v>179</v>
      </c>
      <c r="P3468" s="79">
        <v>45049.058125000003</v>
      </c>
      <c r="Q3468" s="77" t="s">
        <v>5136</v>
      </c>
      <c r="R3468" s="77">
        <v>390</v>
      </c>
      <c r="S3468" s="77">
        <v>395</v>
      </c>
      <c r="T3468" s="77">
        <v>60</v>
      </c>
      <c r="U3468" s="77">
        <v>18</v>
      </c>
      <c r="V3468" s="77">
        <v>8481</v>
      </c>
      <c r="W3468" s="77"/>
      <c r="X3468" s="77"/>
      <c r="Y3468" s="77"/>
      <c r="Z3468" s="77"/>
      <c r="AA3468" s="77" t="s">
        <v>10170</v>
      </c>
      <c r="AB3468" s="77" t="s">
        <v>10535</v>
      </c>
      <c r="AC3468" s="80" t="s">
        <v>10541</v>
      </c>
      <c r="AD3468" s="77" t="s">
        <v>10620</v>
      </c>
      <c r="AE3468" s="83" t="str">
        <f>HYPERLINK("https://twitter.com/sergiou01329861/status/1653570997247700996")</f>
        <v>https://twitter.com/sergiou01329861/status/1653570997247700996</v>
      </c>
      <c r="AF3468" s="79">
        <v>45049.058125000003</v>
      </c>
      <c r="AG3468" s="85">
        <v>45049</v>
      </c>
      <c r="AH3468" s="80" t="s">
        <v>13634</v>
      </c>
      <c r="AI3468" s="77" t="b">
        <v>0</v>
      </c>
      <c r="AJ3468" s="77"/>
      <c r="AK3468" s="77"/>
      <c r="AL3468" s="77"/>
      <c r="AM3468" s="77"/>
      <c r="AN3468" s="77"/>
      <c r="AO3468" s="77"/>
      <c r="AP3468" s="77"/>
      <c r="AQ3468" s="77" t="s">
        <v>15651</v>
      </c>
      <c r="AR3468" s="77"/>
      <c r="AS3468" s="77"/>
      <c r="AT3468" s="77"/>
      <c r="AU3468" s="77"/>
      <c r="AV3468" s="83" t="str">
        <f>HYPERLINK("https://pbs.twimg.com/media/FvKmMUaWAAEvNGy.png")</f>
        <v>https://pbs.twimg.com/media/FvKmMUaWAAEvNGy.png</v>
      </c>
      <c r="AW3468" s="80" t="s">
        <v>19184</v>
      </c>
      <c r="AX3468" s="80" t="s">
        <v>19184</v>
      </c>
      <c r="AY3468" s="77"/>
      <c r="AZ3468" s="80" t="s">
        <v>20380</v>
      </c>
      <c r="BA3468" s="80" t="s">
        <v>20380</v>
      </c>
      <c r="BB3468" s="80" t="s">
        <v>20380</v>
      </c>
      <c r="BC3468" s="80" t="s">
        <v>19184</v>
      </c>
      <c r="BD3468" s="80" t="s">
        <v>21060</v>
      </c>
      <c r="BE3468" s="77"/>
      <c r="BF3468" s="77"/>
      <c r="BG3468" s="77"/>
      <c r="BH3468" s="77"/>
      <c r="BI3468" s="77"/>
    </row>
    <row r="3469" spans="1:61" x14ac:dyDescent="0.25">
      <c r="A3469" s="62" t="s">
        <v>1372</v>
      </c>
      <c r="B3469" s="62" t="s">
        <v>1372</v>
      </c>
      <c r="C3469" s="63"/>
      <c r="D3469" s="64"/>
      <c r="E3469" s="65"/>
      <c r="F3469" s="66"/>
      <c r="G3469" s="63"/>
      <c r="H3469" s="67"/>
      <c r="I3469" s="68"/>
      <c r="J3469" s="68"/>
      <c r="K3469" s="32"/>
      <c r="L3469" s="75">
        <v>3469</v>
      </c>
      <c r="M3469" s="75"/>
      <c r="N3469" s="70"/>
      <c r="O3469" s="77" t="s">
        <v>179</v>
      </c>
      <c r="P3469" s="79">
        <v>45154.069039351853</v>
      </c>
      <c r="Q3469" s="77" t="s">
        <v>5137</v>
      </c>
      <c r="R3469" s="77">
        <v>545</v>
      </c>
      <c r="S3469" s="77">
        <v>619</v>
      </c>
      <c r="T3469" s="77">
        <v>21</v>
      </c>
      <c r="U3469" s="77">
        <v>10</v>
      </c>
      <c r="V3469" s="77">
        <v>22976</v>
      </c>
      <c r="W3469" s="77"/>
      <c r="X3469" s="77"/>
      <c r="Y3469" s="77"/>
      <c r="Z3469" s="77"/>
      <c r="AA3469" s="77" t="s">
        <v>10171</v>
      </c>
      <c r="AB3469" s="77" t="s">
        <v>10534</v>
      </c>
      <c r="AC3469" s="80" t="s">
        <v>10541</v>
      </c>
      <c r="AD3469" s="77" t="s">
        <v>10620</v>
      </c>
      <c r="AE3469" s="83" t="str">
        <f>HYPERLINK("https://twitter.com/sergiou01329861/status/1691625679526183082")</f>
        <v>https://twitter.com/sergiou01329861/status/1691625679526183082</v>
      </c>
      <c r="AF3469" s="79">
        <v>45154.069039351853</v>
      </c>
      <c r="AG3469" s="85">
        <v>45154</v>
      </c>
      <c r="AH3469" s="80" t="s">
        <v>13635</v>
      </c>
      <c r="AI3469" s="77" t="b">
        <v>0</v>
      </c>
      <c r="AJ3469" s="77"/>
      <c r="AK3469" s="77"/>
      <c r="AL3469" s="77"/>
      <c r="AM3469" s="77"/>
      <c r="AN3469" s="77"/>
      <c r="AO3469" s="77"/>
      <c r="AP3469" s="77"/>
      <c r="AQ3469" s="77" t="s">
        <v>15652</v>
      </c>
      <c r="AR3469" s="77">
        <v>114933</v>
      </c>
      <c r="AS3469" s="77"/>
      <c r="AT3469" s="77"/>
      <c r="AU3469" s="77"/>
      <c r="AV3469" s="83" t="str">
        <f>HYPERLINK("https://pbs.twimg.com/ext_tw_video_thumb/1691621974739410944/pu/img/r6smYj318_4N28pD.jpg")</f>
        <v>https://pbs.twimg.com/ext_tw_video_thumb/1691621974739410944/pu/img/r6smYj318_4N28pD.jpg</v>
      </c>
      <c r="AW3469" s="80" t="s">
        <v>19185</v>
      </c>
      <c r="AX3469" s="80" t="s">
        <v>19185</v>
      </c>
      <c r="AY3469" s="77"/>
      <c r="AZ3469" s="80" t="s">
        <v>20380</v>
      </c>
      <c r="BA3469" s="80" t="s">
        <v>20380</v>
      </c>
      <c r="BB3469" s="80" t="s">
        <v>20380</v>
      </c>
      <c r="BC3469" s="80" t="s">
        <v>19185</v>
      </c>
      <c r="BD3469" s="80" t="s">
        <v>21060</v>
      </c>
      <c r="BE3469" s="77"/>
      <c r="BF3469" s="77"/>
      <c r="BG3469" s="77"/>
      <c r="BH3469" s="77"/>
      <c r="BI3469" s="77"/>
    </row>
    <row r="3470" spans="1:61" x14ac:dyDescent="0.25">
      <c r="A3470" s="62" t="s">
        <v>1373</v>
      </c>
      <c r="B3470" s="62" t="s">
        <v>1372</v>
      </c>
      <c r="C3470" s="63"/>
      <c r="D3470" s="64"/>
      <c r="E3470" s="65"/>
      <c r="F3470" s="66"/>
      <c r="G3470" s="63"/>
      <c r="H3470" s="67"/>
      <c r="I3470" s="68"/>
      <c r="J3470" s="68"/>
      <c r="K3470" s="32"/>
      <c r="L3470" s="75">
        <v>3470</v>
      </c>
      <c r="M3470" s="75"/>
      <c r="N3470" s="70"/>
      <c r="O3470" s="77" t="s">
        <v>2082</v>
      </c>
      <c r="P3470" s="79">
        <v>45154.611759259256</v>
      </c>
      <c r="Q3470" s="77" t="s">
        <v>5138</v>
      </c>
      <c r="R3470" s="77">
        <v>0</v>
      </c>
      <c r="S3470" s="77">
        <v>0</v>
      </c>
      <c r="T3470" s="77">
        <v>0</v>
      </c>
      <c r="U3470" s="77">
        <v>0</v>
      </c>
      <c r="V3470" s="77">
        <v>28</v>
      </c>
      <c r="W3470" s="80" t="s">
        <v>8033</v>
      </c>
      <c r="X3470" s="77"/>
      <c r="Y3470" s="77"/>
      <c r="Z3470" s="77"/>
      <c r="AA3470" s="77"/>
      <c r="AB3470" s="77"/>
      <c r="AC3470" s="80" t="s">
        <v>10542</v>
      </c>
      <c r="AD3470" s="77" t="s">
        <v>10618</v>
      </c>
      <c r="AE3470" s="83" t="str">
        <f>HYPERLINK("https://twitter.com/berettasudaca/status/1691822354765066430")</f>
        <v>https://twitter.com/berettasudaca/status/1691822354765066430</v>
      </c>
      <c r="AF3470" s="79">
        <v>45154.611759259256</v>
      </c>
      <c r="AG3470" s="85">
        <v>45154</v>
      </c>
      <c r="AH3470" s="80" t="s">
        <v>13636</v>
      </c>
      <c r="AI3470" s="77"/>
      <c r="AJ3470" s="77"/>
      <c r="AK3470" s="77"/>
      <c r="AL3470" s="77"/>
      <c r="AM3470" s="77"/>
      <c r="AN3470" s="77"/>
      <c r="AO3470" s="77"/>
      <c r="AP3470" s="77"/>
      <c r="AQ3470" s="77"/>
      <c r="AR3470" s="77"/>
      <c r="AS3470" s="77"/>
      <c r="AT3470" s="77"/>
      <c r="AU3470" s="77"/>
      <c r="AV3470" s="83" t="str">
        <f>HYPERLINK("https://pbs.twimg.com/profile_images/1587214677053829120/CrxdH2Kg_normal.jpg")</f>
        <v>https://pbs.twimg.com/profile_images/1587214677053829120/CrxdH2Kg_normal.jpg</v>
      </c>
      <c r="AW3470" s="80" t="s">
        <v>19186</v>
      </c>
      <c r="AX3470" s="80" t="s">
        <v>19186</v>
      </c>
      <c r="AY3470" s="77"/>
      <c r="AZ3470" s="80" t="s">
        <v>20380</v>
      </c>
      <c r="BA3470" s="80" t="s">
        <v>19185</v>
      </c>
      <c r="BB3470" s="80" t="s">
        <v>20380</v>
      </c>
      <c r="BC3470" s="80" t="s">
        <v>19185</v>
      </c>
      <c r="BD3470" s="77">
        <v>473238229</v>
      </c>
      <c r="BE3470" s="77"/>
      <c r="BF3470" s="77"/>
      <c r="BG3470" s="77"/>
      <c r="BH3470" s="77"/>
      <c r="BI3470" s="77"/>
    </row>
    <row r="3471" spans="1:61" x14ac:dyDescent="0.25">
      <c r="A3471" s="62" t="s">
        <v>1374</v>
      </c>
      <c r="B3471" s="62" t="s">
        <v>1596</v>
      </c>
      <c r="C3471" s="63"/>
      <c r="D3471" s="64"/>
      <c r="E3471" s="65"/>
      <c r="F3471" s="66"/>
      <c r="G3471" s="63"/>
      <c r="H3471" s="67"/>
      <c r="I3471" s="68"/>
      <c r="J3471" s="68"/>
      <c r="K3471" s="32"/>
      <c r="L3471" s="75">
        <v>3471</v>
      </c>
      <c r="M3471" s="75"/>
      <c r="N3471" s="70"/>
      <c r="O3471" s="77" t="s">
        <v>2081</v>
      </c>
      <c r="P3471" s="79">
        <v>45140.91128472222</v>
      </c>
      <c r="Q3471" s="77" t="s">
        <v>5139</v>
      </c>
      <c r="R3471" s="77">
        <v>0</v>
      </c>
      <c r="S3471" s="77">
        <v>0</v>
      </c>
      <c r="T3471" s="77">
        <v>0</v>
      </c>
      <c r="U3471" s="77">
        <v>0</v>
      </c>
      <c r="V3471" s="77">
        <v>57</v>
      </c>
      <c r="W3471" s="80" t="s">
        <v>6008</v>
      </c>
      <c r="X3471" s="83" t="str">
        <f>HYPERLINK("https://www.bcb.gov.br/detalhenoticia/17942/nota")</f>
        <v>https://www.bcb.gov.br/detalhenoticia/17942/nota</v>
      </c>
      <c r="Y3471" s="77" t="s">
        <v>8633</v>
      </c>
      <c r="Z3471" s="77" t="s">
        <v>1596</v>
      </c>
      <c r="AA3471" s="77"/>
      <c r="AB3471" s="77"/>
      <c r="AC3471" s="80" t="s">
        <v>10540</v>
      </c>
      <c r="AD3471" s="77" t="s">
        <v>10617</v>
      </c>
      <c r="AE3471" s="83" t="str">
        <f>HYPERLINK("https://twitter.com/osmarangelin/status/1686857469274755073")</f>
        <v>https://twitter.com/osmarangelin/status/1686857469274755073</v>
      </c>
      <c r="AF3471" s="79">
        <v>45140.91128472222</v>
      </c>
      <c r="AG3471" s="85">
        <v>45140</v>
      </c>
      <c r="AH3471" s="80" t="s">
        <v>13637</v>
      </c>
      <c r="AI3471" s="77" t="b">
        <v>0</v>
      </c>
      <c r="AJ3471" s="77"/>
      <c r="AK3471" s="77"/>
      <c r="AL3471" s="77"/>
      <c r="AM3471" s="77"/>
      <c r="AN3471" s="77"/>
      <c r="AO3471" s="77"/>
      <c r="AP3471" s="77"/>
      <c r="AQ3471" s="77"/>
      <c r="AR3471" s="77"/>
      <c r="AS3471" s="77"/>
      <c r="AT3471" s="77"/>
      <c r="AU3471" s="77"/>
      <c r="AV3471" s="83" t="str">
        <f>HYPERLINK("https://pbs.twimg.com/profile_images/1373401737772552198/KL8Tufj1_normal.jpg")</f>
        <v>https://pbs.twimg.com/profile_images/1373401737772552198/KL8Tufj1_normal.jpg</v>
      </c>
      <c r="AW3471" s="80" t="s">
        <v>19187</v>
      </c>
      <c r="AX3471" s="80" t="s">
        <v>19187</v>
      </c>
      <c r="AY3471" s="77"/>
      <c r="AZ3471" s="80" t="s">
        <v>20380</v>
      </c>
      <c r="BA3471" s="80" t="s">
        <v>20380</v>
      </c>
      <c r="BB3471" s="80" t="s">
        <v>20380</v>
      </c>
      <c r="BC3471" s="80" t="s">
        <v>19187</v>
      </c>
      <c r="BD3471" s="77">
        <v>2874080791</v>
      </c>
      <c r="BE3471" s="77"/>
      <c r="BF3471" s="77"/>
      <c r="BG3471" s="77"/>
      <c r="BH3471" s="77"/>
      <c r="BI3471" s="77"/>
    </row>
    <row r="3472" spans="1:61" x14ac:dyDescent="0.25">
      <c r="A3472" s="62" t="s">
        <v>1375</v>
      </c>
      <c r="B3472" s="62" t="s">
        <v>1375</v>
      </c>
      <c r="C3472" s="63"/>
      <c r="D3472" s="64"/>
      <c r="E3472" s="65"/>
      <c r="F3472" s="66"/>
      <c r="G3472" s="63"/>
      <c r="H3472" s="67"/>
      <c r="I3472" s="68"/>
      <c r="J3472" s="68"/>
      <c r="K3472" s="32"/>
      <c r="L3472" s="75">
        <v>3472</v>
      </c>
      <c r="M3472" s="75"/>
      <c r="N3472" s="70"/>
      <c r="O3472" s="77" t="s">
        <v>179</v>
      </c>
      <c r="P3472" s="79">
        <v>45055.729467592595</v>
      </c>
      <c r="Q3472" s="77" t="s">
        <v>5140</v>
      </c>
      <c r="R3472" s="77">
        <v>1</v>
      </c>
      <c r="S3472" s="77">
        <v>0</v>
      </c>
      <c r="T3472" s="77">
        <v>0</v>
      </c>
      <c r="U3472" s="77">
        <v>0</v>
      </c>
      <c r="V3472" s="77">
        <v>730</v>
      </c>
      <c r="W3472" s="80" t="s">
        <v>8034</v>
      </c>
      <c r="X3472" s="83" t="str">
        <f>HYPERLINK("http://ow.ly/pBVH50Ojxtf")</f>
        <v>http://ow.ly/pBVH50Ojxtf</v>
      </c>
      <c r="Y3472" s="77" t="s">
        <v>8709</v>
      </c>
      <c r="Z3472" s="77"/>
      <c r="AA3472" s="77"/>
      <c r="AB3472" s="77"/>
      <c r="AC3472" s="80" t="s">
        <v>10552</v>
      </c>
      <c r="AD3472" s="77" t="s">
        <v>10620</v>
      </c>
      <c r="AE3472" s="83" t="str">
        <f>HYPERLINK("https://twitter.com/elnacionalrd/status/1655988610527526923")</f>
        <v>https://twitter.com/elnacionalrd/status/1655988610527526923</v>
      </c>
      <c r="AF3472" s="79">
        <v>45055.729467592595</v>
      </c>
      <c r="AG3472" s="85">
        <v>45055</v>
      </c>
      <c r="AH3472" s="80" t="s">
        <v>13638</v>
      </c>
      <c r="AI3472" s="77" t="b">
        <v>0</v>
      </c>
      <c r="AJ3472" s="77"/>
      <c r="AK3472" s="77"/>
      <c r="AL3472" s="77"/>
      <c r="AM3472" s="77"/>
      <c r="AN3472" s="77"/>
      <c r="AO3472" s="77"/>
      <c r="AP3472" s="77"/>
      <c r="AQ3472" s="77"/>
      <c r="AR3472" s="77"/>
      <c r="AS3472" s="77"/>
      <c r="AT3472" s="77"/>
      <c r="AU3472" s="77"/>
      <c r="AV3472" s="83" t="str">
        <f>HYPERLINK("https://pbs.twimg.com/profile_images/1610625002004439041/cj2VRXMJ_normal.jpg")</f>
        <v>https://pbs.twimg.com/profile_images/1610625002004439041/cj2VRXMJ_normal.jpg</v>
      </c>
      <c r="AW3472" s="80" t="s">
        <v>19188</v>
      </c>
      <c r="AX3472" s="80" t="s">
        <v>19188</v>
      </c>
      <c r="AY3472" s="77"/>
      <c r="AZ3472" s="80" t="s">
        <v>20380</v>
      </c>
      <c r="BA3472" s="80" t="s">
        <v>20380</v>
      </c>
      <c r="BB3472" s="80" t="s">
        <v>20380</v>
      </c>
      <c r="BC3472" s="80" t="s">
        <v>19188</v>
      </c>
      <c r="BD3472" s="77">
        <v>377534109</v>
      </c>
      <c r="BE3472" s="77"/>
      <c r="BF3472" s="77"/>
      <c r="BG3472" s="77"/>
      <c r="BH3472" s="77"/>
      <c r="BI3472" s="77"/>
    </row>
    <row r="3473" spans="1:61" x14ac:dyDescent="0.25">
      <c r="A3473" s="62" t="s">
        <v>1375</v>
      </c>
      <c r="B3473" s="62" t="s">
        <v>1375</v>
      </c>
      <c r="C3473" s="63"/>
      <c r="D3473" s="64"/>
      <c r="E3473" s="65"/>
      <c r="F3473" s="66"/>
      <c r="G3473" s="63"/>
      <c r="H3473" s="67"/>
      <c r="I3473" s="68"/>
      <c r="J3473" s="68"/>
      <c r="K3473" s="32"/>
      <c r="L3473" s="75">
        <v>3473</v>
      </c>
      <c r="M3473" s="75"/>
      <c r="N3473" s="70"/>
      <c r="O3473" s="77" t="s">
        <v>179</v>
      </c>
      <c r="P3473" s="79">
        <v>45107.729467592595</v>
      </c>
      <c r="Q3473" s="77" t="s">
        <v>5141</v>
      </c>
      <c r="R3473" s="77">
        <v>2</v>
      </c>
      <c r="S3473" s="77">
        <v>1</v>
      </c>
      <c r="T3473" s="77">
        <v>0</v>
      </c>
      <c r="U3473" s="77">
        <v>0</v>
      </c>
      <c r="V3473" s="77">
        <v>871</v>
      </c>
      <c r="W3473" s="80" t="s">
        <v>8035</v>
      </c>
      <c r="X3473" s="83" t="str">
        <f>HYPERLINK("https://ow.ly/OpfV50P1BJS")</f>
        <v>https://ow.ly/OpfV50P1BJS</v>
      </c>
      <c r="Y3473" s="77" t="s">
        <v>8709</v>
      </c>
      <c r="Z3473" s="77"/>
      <c r="AA3473" s="77"/>
      <c r="AB3473" s="77"/>
      <c r="AC3473" s="80" t="s">
        <v>10552</v>
      </c>
      <c r="AD3473" s="77" t="s">
        <v>10620</v>
      </c>
      <c r="AE3473" s="83" t="str">
        <f>HYPERLINK("https://twitter.com/elnacionalrd/status/1674832782189641750")</f>
        <v>https://twitter.com/elnacionalrd/status/1674832782189641750</v>
      </c>
      <c r="AF3473" s="79">
        <v>45107.729467592595</v>
      </c>
      <c r="AG3473" s="85">
        <v>45107</v>
      </c>
      <c r="AH3473" s="80" t="s">
        <v>13638</v>
      </c>
      <c r="AI3473" s="77" t="b">
        <v>0</v>
      </c>
      <c r="AJ3473" s="77"/>
      <c r="AK3473" s="77"/>
      <c r="AL3473" s="77"/>
      <c r="AM3473" s="77"/>
      <c r="AN3473" s="77"/>
      <c r="AO3473" s="77"/>
      <c r="AP3473" s="77"/>
      <c r="AQ3473" s="77"/>
      <c r="AR3473" s="77"/>
      <c r="AS3473" s="77"/>
      <c r="AT3473" s="77"/>
      <c r="AU3473" s="77"/>
      <c r="AV3473" s="83" t="str">
        <f>HYPERLINK("https://pbs.twimg.com/profile_images/1610625002004439041/cj2VRXMJ_normal.jpg")</f>
        <v>https://pbs.twimg.com/profile_images/1610625002004439041/cj2VRXMJ_normal.jpg</v>
      </c>
      <c r="AW3473" s="80" t="s">
        <v>19189</v>
      </c>
      <c r="AX3473" s="80" t="s">
        <v>19189</v>
      </c>
      <c r="AY3473" s="77"/>
      <c r="AZ3473" s="80" t="s">
        <v>20380</v>
      </c>
      <c r="BA3473" s="80" t="s">
        <v>20380</v>
      </c>
      <c r="BB3473" s="80" t="s">
        <v>20380</v>
      </c>
      <c r="BC3473" s="80" t="s">
        <v>19189</v>
      </c>
      <c r="BD3473" s="77">
        <v>377534109</v>
      </c>
      <c r="BE3473" s="77"/>
      <c r="BF3473" s="77"/>
      <c r="BG3473" s="77"/>
      <c r="BH3473" s="77"/>
      <c r="BI3473" s="77"/>
    </row>
    <row r="3474" spans="1:61" x14ac:dyDescent="0.25">
      <c r="A3474" s="62" t="s">
        <v>1375</v>
      </c>
      <c r="B3474" s="62" t="s">
        <v>1375</v>
      </c>
      <c r="C3474" s="63"/>
      <c r="D3474" s="64"/>
      <c r="E3474" s="65"/>
      <c r="F3474" s="66"/>
      <c r="G3474" s="63"/>
      <c r="H3474" s="67"/>
      <c r="I3474" s="68"/>
      <c r="J3474" s="68"/>
      <c r="K3474" s="32"/>
      <c r="L3474" s="75">
        <v>3474</v>
      </c>
      <c r="M3474" s="75"/>
      <c r="N3474" s="70"/>
      <c r="O3474" s="77" t="s">
        <v>179</v>
      </c>
      <c r="P3474" s="79">
        <v>45118.722349537034</v>
      </c>
      <c r="Q3474" s="77" t="s">
        <v>5142</v>
      </c>
      <c r="R3474" s="77">
        <v>0</v>
      </c>
      <c r="S3474" s="77">
        <v>2</v>
      </c>
      <c r="T3474" s="77">
        <v>1</v>
      </c>
      <c r="U3474" s="77">
        <v>0</v>
      </c>
      <c r="V3474" s="77">
        <v>990</v>
      </c>
      <c r="W3474" s="80" t="s">
        <v>8036</v>
      </c>
      <c r="X3474" s="83" t="str">
        <f>HYPERLINK("https://ow.ly/pO7j50P8NkU")</f>
        <v>https://ow.ly/pO7j50P8NkU</v>
      </c>
      <c r="Y3474" s="77" t="s">
        <v>8709</v>
      </c>
      <c r="Z3474" s="77"/>
      <c r="AA3474" s="77"/>
      <c r="AB3474" s="77"/>
      <c r="AC3474" s="80" t="s">
        <v>10552</v>
      </c>
      <c r="AD3474" s="77" t="s">
        <v>10620</v>
      </c>
      <c r="AE3474" s="83" t="str">
        <f>HYPERLINK("https://twitter.com/elnacionalrd/status/1678816469667250176")</f>
        <v>https://twitter.com/elnacionalrd/status/1678816469667250176</v>
      </c>
      <c r="AF3474" s="79">
        <v>45118.722349537034</v>
      </c>
      <c r="AG3474" s="85">
        <v>45118</v>
      </c>
      <c r="AH3474" s="80" t="s">
        <v>13639</v>
      </c>
      <c r="AI3474" s="77" t="b">
        <v>0</v>
      </c>
      <c r="AJ3474" s="77"/>
      <c r="AK3474" s="77"/>
      <c r="AL3474" s="77"/>
      <c r="AM3474" s="77"/>
      <c r="AN3474" s="77"/>
      <c r="AO3474" s="77"/>
      <c r="AP3474" s="77"/>
      <c r="AQ3474" s="77"/>
      <c r="AR3474" s="77"/>
      <c r="AS3474" s="77"/>
      <c r="AT3474" s="77"/>
      <c r="AU3474" s="77"/>
      <c r="AV3474" s="83" t="str">
        <f>HYPERLINK("https://pbs.twimg.com/profile_images/1610625002004439041/cj2VRXMJ_normal.jpg")</f>
        <v>https://pbs.twimg.com/profile_images/1610625002004439041/cj2VRXMJ_normal.jpg</v>
      </c>
      <c r="AW3474" s="80" t="s">
        <v>19190</v>
      </c>
      <c r="AX3474" s="80" t="s">
        <v>19190</v>
      </c>
      <c r="AY3474" s="77"/>
      <c r="AZ3474" s="80" t="s">
        <v>20380</v>
      </c>
      <c r="BA3474" s="80" t="s">
        <v>20380</v>
      </c>
      <c r="BB3474" s="80" t="s">
        <v>20380</v>
      </c>
      <c r="BC3474" s="80" t="s">
        <v>19190</v>
      </c>
      <c r="BD3474" s="77">
        <v>377534109</v>
      </c>
      <c r="BE3474" s="77"/>
      <c r="BF3474" s="77"/>
      <c r="BG3474" s="77"/>
      <c r="BH3474" s="77"/>
      <c r="BI3474" s="77"/>
    </row>
    <row r="3475" spans="1:61" x14ac:dyDescent="0.25">
      <c r="A3475" s="62" t="s">
        <v>1375</v>
      </c>
      <c r="B3475" s="62" t="s">
        <v>1375</v>
      </c>
      <c r="C3475" s="63"/>
      <c r="D3475" s="64"/>
      <c r="E3475" s="65"/>
      <c r="F3475" s="66"/>
      <c r="G3475" s="63"/>
      <c r="H3475" s="67"/>
      <c r="I3475" s="68"/>
      <c r="J3475" s="68"/>
      <c r="K3475" s="32"/>
      <c r="L3475" s="75">
        <v>3475</v>
      </c>
      <c r="M3475" s="75"/>
      <c r="N3475" s="70"/>
      <c r="O3475" s="77" t="s">
        <v>179</v>
      </c>
      <c r="P3475" s="79">
        <v>45098.816921296297</v>
      </c>
      <c r="Q3475" s="77" t="s">
        <v>5143</v>
      </c>
      <c r="R3475" s="77">
        <v>0</v>
      </c>
      <c r="S3475" s="77">
        <v>1</v>
      </c>
      <c r="T3475" s="77">
        <v>1</v>
      </c>
      <c r="U3475" s="77">
        <v>0</v>
      </c>
      <c r="V3475" s="77">
        <v>1268</v>
      </c>
      <c r="W3475" s="80" t="s">
        <v>8037</v>
      </c>
      <c r="X3475" s="83" t="str">
        <f>HYPERLINK("https://ow.ly/BQ4R50OUfGI")</f>
        <v>https://ow.ly/BQ4R50OUfGI</v>
      </c>
      <c r="Y3475" s="77" t="s">
        <v>8709</v>
      </c>
      <c r="Z3475" s="77"/>
      <c r="AA3475" s="77"/>
      <c r="AB3475" s="77"/>
      <c r="AC3475" s="80" t="s">
        <v>10552</v>
      </c>
      <c r="AD3475" s="77" t="s">
        <v>10620</v>
      </c>
      <c r="AE3475" s="83" t="str">
        <f>HYPERLINK("https://twitter.com/elnacionalrd/status/1671602983287529472")</f>
        <v>https://twitter.com/elnacionalrd/status/1671602983287529472</v>
      </c>
      <c r="AF3475" s="79">
        <v>45098.816921296297</v>
      </c>
      <c r="AG3475" s="85">
        <v>45098</v>
      </c>
      <c r="AH3475" s="80" t="s">
        <v>13640</v>
      </c>
      <c r="AI3475" s="77" t="b">
        <v>0</v>
      </c>
      <c r="AJ3475" s="77"/>
      <c r="AK3475" s="77"/>
      <c r="AL3475" s="77"/>
      <c r="AM3475" s="77"/>
      <c r="AN3475" s="77"/>
      <c r="AO3475" s="77"/>
      <c r="AP3475" s="77"/>
      <c r="AQ3475" s="77"/>
      <c r="AR3475" s="77"/>
      <c r="AS3475" s="77"/>
      <c r="AT3475" s="77"/>
      <c r="AU3475" s="77"/>
      <c r="AV3475" s="83" t="str">
        <f>HYPERLINK("https://pbs.twimg.com/profile_images/1610625002004439041/cj2VRXMJ_normal.jpg")</f>
        <v>https://pbs.twimg.com/profile_images/1610625002004439041/cj2VRXMJ_normal.jpg</v>
      </c>
      <c r="AW3475" s="80" t="s">
        <v>19191</v>
      </c>
      <c r="AX3475" s="80" t="s">
        <v>19191</v>
      </c>
      <c r="AY3475" s="77"/>
      <c r="AZ3475" s="80" t="s">
        <v>20380</v>
      </c>
      <c r="BA3475" s="80" t="s">
        <v>20380</v>
      </c>
      <c r="BB3475" s="80" t="s">
        <v>20380</v>
      </c>
      <c r="BC3475" s="80" t="s">
        <v>19191</v>
      </c>
      <c r="BD3475" s="77">
        <v>377534109</v>
      </c>
      <c r="BE3475" s="77"/>
      <c r="BF3475" s="77"/>
      <c r="BG3475" s="77"/>
      <c r="BH3475" s="77"/>
      <c r="BI3475" s="77"/>
    </row>
    <row r="3476" spans="1:61" x14ac:dyDescent="0.25">
      <c r="A3476" s="62" t="s">
        <v>1375</v>
      </c>
      <c r="B3476" s="62" t="s">
        <v>1375</v>
      </c>
      <c r="C3476" s="63"/>
      <c r="D3476" s="64"/>
      <c r="E3476" s="65"/>
      <c r="F3476" s="66"/>
      <c r="G3476" s="63"/>
      <c r="H3476" s="67"/>
      <c r="I3476" s="68"/>
      <c r="J3476" s="68"/>
      <c r="K3476" s="32"/>
      <c r="L3476" s="75">
        <v>3476</v>
      </c>
      <c r="M3476" s="75"/>
      <c r="N3476" s="70"/>
      <c r="O3476" s="77" t="s">
        <v>179</v>
      </c>
      <c r="P3476" s="79">
        <v>45139.649421296293</v>
      </c>
      <c r="Q3476" s="77" t="s">
        <v>5144</v>
      </c>
      <c r="R3476" s="77">
        <v>1</v>
      </c>
      <c r="S3476" s="77">
        <v>0</v>
      </c>
      <c r="T3476" s="77">
        <v>0</v>
      </c>
      <c r="U3476" s="77">
        <v>0</v>
      </c>
      <c r="V3476" s="77">
        <v>625</v>
      </c>
      <c r="W3476" s="80" t="s">
        <v>8038</v>
      </c>
      <c r="X3476" s="83" t="str">
        <f>HYPERLINK("https://ow.ly/gp0s50Pq5tt")</f>
        <v>https://ow.ly/gp0s50Pq5tt</v>
      </c>
      <c r="Y3476" s="77" t="s">
        <v>8709</v>
      </c>
      <c r="Z3476" s="77"/>
      <c r="AA3476" s="77"/>
      <c r="AB3476" s="77"/>
      <c r="AC3476" s="80" t="s">
        <v>10552</v>
      </c>
      <c r="AD3476" s="77" t="s">
        <v>10620</v>
      </c>
      <c r="AE3476" s="83" t="str">
        <f>HYPERLINK("https://twitter.com/elnacionalrd/status/1686400186052935680")</f>
        <v>https://twitter.com/elnacionalrd/status/1686400186052935680</v>
      </c>
      <c r="AF3476" s="79">
        <v>45139.649421296293</v>
      </c>
      <c r="AG3476" s="85">
        <v>45139</v>
      </c>
      <c r="AH3476" s="80" t="s">
        <v>13641</v>
      </c>
      <c r="AI3476" s="77" t="b">
        <v>0</v>
      </c>
      <c r="AJ3476" s="77"/>
      <c r="AK3476" s="77"/>
      <c r="AL3476" s="77"/>
      <c r="AM3476" s="77"/>
      <c r="AN3476" s="77"/>
      <c r="AO3476" s="77"/>
      <c r="AP3476" s="77"/>
      <c r="AQ3476" s="77"/>
      <c r="AR3476" s="77"/>
      <c r="AS3476" s="77"/>
      <c r="AT3476" s="77"/>
      <c r="AU3476" s="77"/>
      <c r="AV3476" s="83" t="str">
        <f>HYPERLINK("https://pbs.twimg.com/profile_images/1610625002004439041/cj2VRXMJ_normal.jpg")</f>
        <v>https://pbs.twimg.com/profile_images/1610625002004439041/cj2VRXMJ_normal.jpg</v>
      </c>
      <c r="AW3476" s="80" t="s">
        <v>19192</v>
      </c>
      <c r="AX3476" s="80" t="s">
        <v>19192</v>
      </c>
      <c r="AY3476" s="77"/>
      <c r="AZ3476" s="80" t="s">
        <v>20380</v>
      </c>
      <c r="BA3476" s="80" t="s">
        <v>20380</v>
      </c>
      <c r="BB3476" s="80" t="s">
        <v>20380</v>
      </c>
      <c r="BC3476" s="80" t="s">
        <v>19192</v>
      </c>
      <c r="BD3476" s="77">
        <v>377534109</v>
      </c>
      <c r="BE3476" s="77"/>
      <c r="BF3476" s="77"/>
      <c r="BG3476" s="77"/>
      <c r="BH3476" s="77"/>
      <c r="BI3476" s="77"/>
    </row>
    <row r="3477" spans="1:61" x14ac:dyDescent="0.25">
      <c r="A3477" s="62" t="s">
        <v>1375</v>
      </c>
      <c r="B3477" s="62" t="s">
        <v>1375</v>
      </c>
      <c r="C3477" s="63"/>
      <c r="D3477" s="64"/>
      <c r="E3477" s="65"/>
      <c r="F3477" s="66"/>
      <c r="G3477" s="63"/>
      <c r="H3477" s="67"/>
      <c r="I3477" s="68"/>
      <c r="J3477" s="68"/>
      <c r="K3477" s="32"/>
      <c r="L3477" s="75">
        <v>3477</v>
      </c>
      <c r="M3477" s="75"/>
      <c r="N3477" s="70"/>
      <c r="O3477" s="77" t="s">
        <v>179</v>
      </c>
      <c r="P3477" s="79">
        <v>45169.875196759262</v>
      </c>
      <c r="Q3477" s="77" t="s">
        <v>5145</v>
      </c>
      <c r="R3477" s="77">
        <v>6</v>
      </c>
      <c r="S3477" s="77">
        <v>4</v>
      </c>
      <c r="T3477" s="77">
        <v>2</v>
      </c>
      <c r="U3477" s="77">
        <v>0</v>
      </c>
      <c r="V3477" s="77">
        <v>1696</v>
      </c>
      <c r="W3477" s="80" t="s">
        <v>8039</v>
      </c>
      <c r="X3477" s="83" t="str">
        <f>HYPERLINK("https://ow.ly/YSjF50PGz5F")</f>
        <v>https://ow.ly/YSjF50PGz5F</v>
      </c>
      <c r="Y3477" s="77" t="s">
        <v>8709</v>
      </c>
      <c r="Z3477" s="77"/>
      <c r="AA3477" s="77"/>
      <c r="AB3477" s="77"/>
      <c r="AC3477" s="80" t="s">
        <v>10552</v>
      </c>
      <c r="AD3477" s="77" t="s">
        <v>10620</v>
      </c>
      <c r="AE3477" s="83" t="str">
        <f>HYPERLINK("https://twitter.com/elnacionalrd/status/1697353640279670846")</f>
        <v>https://twitter.com/elnacionalrd/status/1697353640279670846</v>
      </c>
      <c r="AF3477" s="79">
        <v>45169.875196759262</v>
      </c>
      <c r="AG3477" s="85">
        <v>45169</v>
      </c>
      <c r="AH3477" s="80" t="s">
        <v>13642</v>
      </c>
      <c r="AI3477" s="77" t="b">
        <v>0</v>
      </c>
      <c r="AJ3477" s="77"/>
      <c r="AK3477" s="77"/>
      <c r="AL3477" s="77"/>
      <c r="AM3477" s="77"/>
      <c r="AN3477" s="77"/>
      <c r="AO3477" s="77"/>
      <c r="AP3477" s="77"/>
      <c r="AQ3477" s="77"/>
      <c r="AR3477" s="77"/>
      <c r="AS3477" s="77"/>
      <c r="AT3477" s="77"/>
      <c r="AU3477" s="77"/>
      <c r="AV3477" s="83" t="str">
        <f>HYPERLINK("https://pbs.twimg.com/profile_images/1610625002004439041/cj2VRXMJ_normal.jpg")</f>
        <v>https://pbs.twimg.com/profile_images/1610625002004439041/cj2VRXMJ_normal.jpg</v>
      </c>
      <c r="AW3477" s="80" t="s">
        <v>19193</v>
      </c>
      <c r="AX3477" s="80" t="s">
        <v>19193</v>
      </c>
      <c r="AY3477" s="77"/>
      <c r="AZ3477" s="80" t="s">
        <v>20380</v>
      </c>
      <c r="BA3477" s="80" t="s">
        <v>20380</v>
      </c>
      <c r="BB3477" s="80" t="s">
        <v>20380</v>
      </c>
      <c r="BC3477" s="80" t="s">
        <v>19193</v>
      </c>
      <c r="BD3477" s="77">
        <v>377534109</v>
      </c>
      <c r="BE3477" s="77"/>
      <c r="BF3477" s="77"/>
      <c r="BG3477" s="77"/>
      <c r="BH3477" s="77"/>
      <c r="BI3477" s="77"/>
    </row>
    <row r="3478" spans="1:61" x14ac:dyDescent="0.25">
      <c r="A3478" s="62" t="s">
        <v>1375</v>
      </c>
      <c r="B3478" s="62" t="s">
        <v>1375</v>
      </c>
      <c r="C3478" s="63"/>
      <c r="D3478" s="64"/>
      <c r="E3478" s="65"/>
      <c r="F3478" s="66"/>
      <c r="G3478" s="63"/>
      <c r="H3478" s="67"/>
      <c r="I3478" s="68"/>
      <c r="J3478" s="68"/>
      <c r="K3478" s="32"/>
      <c r="L3478" s="75">
        <v>3478</v>
      </c>
      <c r="M3478" s="75"/>
      <c r="N3478" s="70"/>
      <c r="O3478" s="77" t="s">
        <v>179</v>
      </c>
      <c r="P3478" s="79">
        <v>45180.628263888888</v>
      </c>
      <c r="Q3478" s="77" t="s">
        <v>5146</v>
      </c>
      <c r="R3478" s="77">
        <v>0</v>
      </c>
      <c r="S3478" s="77">
        <v>0</v>
      </c>
      <c r="T3478" s="77">
        <v>2</v>
      </c>
      <c r="U3478" s="77">
        <v>0</v>
      </c>
      <c r="V3478" s="77">
        <v>505</v>
      </c>
      <c r="W3478" s="80" t="s">
        <v>8040</v>
      </c>
      <c r="X3478" s="83" t="str">
        <f>HYPERLINK("https://ow.ly/cXnQ50PK9lj")</f>
        <v>https://ow.ly/cXnQ50PK9lj</v>
      </c>
      <c r="Y3478" s="77" t="s">
        <v>8709</v>
      </c>
      <c r="Z3478" s="77"/>
      <c r="AA3478" s="77"/>
      <c r="AB3478" s="77"/>
      <c r="AC3478" s="80" t="s">
        <v>10552</v>
      </c>
      <c r="AD3478" s="77" t="s">
        <v>10620</v>
      </c>
      <c r="AE3478" s="83" t="str">
        <f>HYPERLINK("https://twitter.com/elnacionalrd/status/1701250421417820359")</f>
        <v>https://twitter.com/elnacionalrd/status/1701250421417820359</v>
      </c>
      <c r="AF3478" s="79">
        <v>45180.628263888888</v>
      </c>
      <c r="AG3478" s="85">
        <v>45180</v>
      </c>
      <c r="AH3478" s="80" t="s">
        <v>13643</v>
      </c>
      <c r="AI3478" s="77" t="b">
        <v>0</v>
      </c>
      <c r="AJ3478" s="77"/>
      <c r="AK3478" s="77"/>
      <c r="AL3478" s="77"/>
      <c r="AM3478" s="77"/>
      <c r="AN3478" s="77"/>
      <c r="AO3478" s="77"/>
      <c r="AP3478" s="77"/>
      <c r="AQ3478" s="77"/>
      <c r="AR3478" s="77"/>
      <c r="AS3478" s="77"/>
      <c r="AT3478" s="77"/>
      <c r="AU3478" s="77"/>
      <c r="AV3478" s="83" t="str">
        <f>HYPERLINK("https://pbs.twimg.com/profile_images/1610625002004439041/cj2VRXMJ_normal.jpg")</f>
        <v>https://pbs.twimg.com/profile_images/1610625002004439041/cj2VRXMJ_normal.jpg</v>
      </c>
      <c r="AW3478" s="80" t="s">
        <v>19194</v>
      </c>
      <c r="AX3478" s="80" t="s">
        <v>19194</v>
      </c>
      <c r="AY3478" s="77"/>
      <c r="AZ3478" s="80" t="s">
        <v>20380</v>
      </c>
      <c r="BA3478" s="80" t="s">
        <v>20380</v>
      </c>
      <c r="BB3478" s="80" t="s">
        <v>20380</v>
      </c>
      <c r="BC3478" s="80" t="s">
        <v>19194</v>
      </c>
      <c r="BD3478" s="77">
        <v>377534109</v>
      </c>
      <c r="BE3478" s="77"/>
      <c r="BF3478" s="77"/>
      <c r="BG3478" s="77"/>
      <c r="BH3478" s="77"/>
      <c r="BI3478" s="77"/>
    </row>
    <row r="3479" spans="1:61" x14ac:dyDescent="0.25">
      <c r="A3479" s="62" t="s">
        <v>1375</v>
      </c>
      <c r="B3479" s="62" t="s">
        <v>1375</v>
      </c>
      <c r="C3479" s="63"/>
      <c r="D3479" s="64"/>
      <c r="E3479" s="65"/>
      <c r="F3479" s="66"/>
      <c r="G3479" s="63"/>
      <c r="H3479" s="67"/>
      <c r="I3479" s="68"/>
      <c r="J3479" s="68"/>
      <c r="K3479" s="32"/>
      <c r="L3479" s="75">
        <v>3479</v>
      </c>
      <c r="M3479" s="75"/>
      <c r="N3479" s="70"/>
      <c r="O3479" s="77" t="s">
        <v>179</v>
      </c>
      <c r="P3479" s="79">
        <v>45104.501608796294</v>
      </c>
      <c r="Q3479" s="77" t="s">
        <v>5147</v>
      </c>
      <c r="R3479" s="77">
        <v>0</v>
      </c>
      <c r="S3479" s="77">
        <v>2</v>
      </c>
      <c r="T3479" s="77">
        <v>0</v>
      </c>
      <c r="U3479" s="77">
        <v>0</v>
      </c>
      <c r="V3479" s="77">
        <v>830</v>
      </c>
      <c r="W3479" s="80" t="s">
        <v>8041</v>
      </c>
      <c r="X3479" s="83" t="str">
        <f>HYPERLINK("https://ow.ly/2BV750OY2Tu")</f>
        <v>https://ow.ly/2BV750OY2Tu</v>
      </c>
      <c r="Y3479" s="77" t="s">
        <v>8709</v>
      </c>
      <c r="Z3479" s="77"/>
      <c r="AA3479" s="77"/>
      <c r="AB3479" s="77"/>
      <c r="AC3479" s="80" t="s">
        <v>10552</v>
      </c>
      <c r="AD3479" s="77" t="s">
        <v>10620</v>
      </c>
      <c r="AE3479" s="83" t="str">
        <f>HYPERLINK("https://twitter.com/elnacionalrd/status/1673663045497659395")</f>
        <v>https://twitter.com/elnacionalrd/status/1673663045497659395</v>
      </c>
      <c r="AF3479" s="79">
        <v>45104.501608796294</v>
      </c>
      <c r="AG3479" s="85">
        <v>45104</v>
      </c>
      <c r="AH3479" s="80" t="s">
        <v>13644</v>
      </c>
      <c r="AI3479" s="77" t="b">
        <v>0</v>
      </c>
      <c r="AJ3479" s="77"/>
      <c r="AK3479" s="77"/>
      <c r="AL3479" s="77"/>
      <c r="AM3479" s="77"/>
      <c r="AN3479" s="77"/>
      <c r="AO3479" s="77"/>
      <c r="AP3479" s="77"/>
      <c r="AQ3479" s="77"/>
      <c r="AR3479" s="77"/>
      <c r="AS3479" s="77"/>
      <c r="AT3479" s="77"/>
      <c r="AU3479" s="77"/>
      <c r="AV3479" s="83" t="str">
        <f>HYPERLINK("https://pbs.twimg.com/profile_images/1610625002004439041/cj2VRXMJ_normal.jpg")</f>
        <v>https://pbs.twimg.com/profile_images/1610625002004439041/cj2VRXMJ_normal.jpg</v>
      </c>
      <c r="AW3479" s="80" t="s">
        <v>19195</v>
      </c>
      <c r="AX3479" s="80" t="s">
        <v>19195</v>
      </c>
      <c r="AY3479" s="77"/>
      <c r="AZ3479" s="80" t="s">
        <v>20380</v>
      </c>
      <c r="BA3479" s="80" t="s">
        <v>20380</v>
      </c>
      <c r="BB3479" s="80" t="s">
        <v>20380</v>
      </c>
      <c r="BC3479" s="80" t="s">
        <v>19195</v>
      </c>
      <c r="BD3479" s="77">
        <v>377534109</v>
      </c>
      <c r="BE3479" s="77"/>
      <c r="BF3479" s="77"/>
      <c r="BG3479" s="77"/>
      <c r="BH3479" s="77"/>
      <c r="BI3479" s="77"/>
    </row>
    <row r="3480" spans="1:61" x14ac:dyDescent="0.25">
      <c r="A3480" s="62" t="s">
        <v>1376</v>
      </c>
      <c r="B3480" s="62" t="s">
        <v>1716</v>
      </c>
      <c r="C3480" s="63"/>
      <c r="D3480" s="64"/>
      <c r="E3480" s="65"/>
      <c r="F3480" s="66"/>
      <c r="G3480" s="63"/>
      <c r="H3480" s="67"/>
      <c r="I3480" s="68"/>
      <c r="J3480" s="68"/>
      <c r="K3480" s="32"/>
      <c r="L3480" s="75">
        <v>3480</v>
      </c>
      <c r="M3480" s="75"/>
      <c r="N3480" s="70"/>
      <c r="O3480" s="77" t="s">
        <v>2081</v>
      </c>
      <c r="P3480" s="79">
        <v>45182.590949074074</v>
      </c>
      <c r="Q3480" s="77" t="s">
        <v>5148</v>
      </c>
      <c r="R3480" s="77">
        <v>2</v>
      </c>
      <c r="S3480" s="77">
        <v>2</v>
      </c>
      <c r="T3480" s="77">
        <v>0</v>
      </c>
      <c r="U3480" s="77">
        <v>0</v>
      </c>
      <c r="V3480" s="77">
        <v>155</v>
      </c>
      <c r="W3480" s="80" t="s">
        <v>8042</v>
      </c>
      <c r="X3480" s="77"/>
      <c r="Y3480" s="77"/>
      <c r="Z3480" s="77" t="s">
        <v>1716</v>
      </c>
      <c r="AA3480" s="77" t="s">
        <v>10172</v>
      </c>
      <c r="AB3480" s="77" t="s">
        <v>10535</v>
      </c>
      <c r="AC3480" s="80" t="s">
        <v>10541</v>
      </c>
      <c r="AD3480" s="77" t="s">
        <v>10620</v>
      </c>
      <c r="AE3480" s="83" t="str">
        <f>HYPERLINK("https://twitter.com/aba_rd/status/1701961672024314026")</f>
        <v>https://twitter.com/aba_rd/status/1701961672024314026</v>
      </c>
      <c r="AF3480" s="79">
        <v>45182.590949074074</v>
      </c>
      <c r="AG3480" s="85">
        <v>45182</v>
      </c>
      <c r="AH3480" s="80" t="s">
        <v>13645</v>
      </c>
      <c r="AI3480" s="77" t="b">
        <v>0</v>
      </c>
      <c r="AJ3480" s="77"/>
      <c r="AK3480" s="77"/>
      <c r="AL3480" s="77"/>
      <c r="AM3480" s="77"/>
      <c r="AN3480" s="77"/>
      <c r="AO3480" s="77"/>
      <c r="AP3480" s="77"/>
      <c r="AQ3480" s="77" t="s">
        <v>15653</v>
      </c>
      <c r="AR3480" s="77"/>
      <c r="AS3480" s="77"/>
      <c r="AT3480" s="77"/>
      <c r="AU3480" s="77"/>
      <c r="AV3480" s="83" t="str">
        <f>HYPERLINK("https://pbs.twimg.com/media/F56VEUqWYAEPJPf.jpg")</f>
        <v>https://pbs.twimg.com/media/F56VEUqWYAEPJPf.jpg</v>
      </c>
      <c r="AW3480" s="80" t="s">
        <v>19196</v>
      </c>
      <c r="AX3480" s="80" t="s">
        <v>19196</v>
      </c>
      <c r="AY3480" s="77"/>
      <c r="AZ3480" s="80" t="s">
        <v>20380</v>
      </c>
      <c r="BA3480" s="80" t="s">
        <v>20380</v>
      </c>
      <c r="BB3480" s="80" t="s">
        <v>20380</v>
      </c>
      <c r="BC3480" s="80" t="s">
        <v>19196</v>
      </c>
      <c r="BD3480" s="77">
        <v>295896896</v>
      </c>
      <c r="BE3480" s="77"/>
      <c r="BF3480" s="77"/>
      <c r="BG3480" s="77"/>
      <c r="BH3480" s="77"/>
      <c r="BI3480" s="77"/>
    </row>
    <row r="3481" spans="1:61" x14ac:dyDescent="0.25">
      <c r="A3481" s="62" t="s">
        <v>1377</v>
      </c>
      <c r="B3481" s="62" t="s">
        <v>1377</v>
      </c>
      <c r="C3481" s="63"/>
      <c r="D3481" s="64"/>
      <c r="E3481" s="65"/>
      <c r="F3481" s="66"/>
      <c r="G3481" s="63"/>
      <c r="H3481" s="67"/>
      <c r="I3481" s="68"/>
      <c r="J3481" s="68"/>
      <c r="K3481" s="32"/>
      <c r="L3481" s="75">
        <v>3481</v>
      </c>
      <c r="M3481" s="75"/>
      <c r="N3481" s="70"/>
      <c r="O3481" s="77" t="s">
        <v>2078</v>
      </c>
      <c r="P3481" s="79">
        <v>45082.856793981482</v>
      </c>
      <c r="Q3481" s="77" t="s">
        <v>5149</v>
      </c>
      <c r="R3481" s="77">
        <v>0</v>
      </c>
      <c r="S3481" s="77">
        <v>2</v>
      </c>
      <c r="T3481" s="77">
        <v>0</v>
      </c>
      <c r="U3481" s="77">
        <v>0</v>
      </c>
      <c r="V3481" s="77">
        <v>197</v>
      </c>
      <c r="W3481" s="80" t="s">
        <v>8043</v>
      </c>
      <c r="X3481" s="83" t="str">
        <f>HYPERLINK("https://bit.ly/CoopeuchConsejoMercados")</f>
        <v>https://bit.ly/CoopeuchConsejoMercados</v>
      </c>
      <c r="Y3481" s="77" t="s">
        <v>8618</v>
      </c>
      <c r="Z3481" s="77"/>
      <c r="AA3481" s="77"/>
      <c r="AB3481" s="77"/>
      <c r="AC3481" s="80" t="s">
        <v>10541</v>
      </c>
      <c r="AD3481" s="77" t="s">
        <v>10620</v>
      </c>
      <c r="AE3481" s="83" t="str">
        <f>HYPERLINK("https://twitter.com/coopeuch/status/1665819225913475081")</f>
        <v>https://twitter.com/coopeuch/status/1665819225913475081</v>
      </c>
      <c r="AF3481" s="79">
        <v>45082.856793981482</v>
      </c>
      <c r="AG3481" s="85">
        <v>45082</v>
      </c>
      <c r="AH3481" s="80" t="s">
        <v>13646</v>
      </c>
      <c r="AI3481" s="77" t="b">
        <v>0</v>
      </c>
      <c r="AJ3481" s="77"/>
      <c r="AK3481" s="77"/>
      <c r="AL3481" s="77"/>
      <c r="AM3481" s="77"/>
      <c r="AN3481" s="77"/>
      <c r="AO3481" s="77"/>
      <c r="AP3481" s="77"/>
      <c r="AQ3481" s="77"/>
      <c r="AR3481" s="77"/>
      <c r="AS3481" s="77"/>
      <c r="AT3481" s="77"/>
      <c r="AU3481" s="77"/>
      <c r="AV3481" s="83" t="str">
        <f>HYPERLINK("https://pbs.twimg.com/profile_images/1189603875176800257/21dK58r5_normal.jpg")</f>
        <v>https://pbs.twimg.com/profile_images/1189603875176800257/21dK58r5_normal.jpg</v>
      </c>
      <c r="AW3481" s="80" t="s">
        <v>19197</v>
      </c>
      <c r="AX3481" s="80" t="s">
        <v>20163</v>
      </c>
      <c r="AY3481" s="80" t="s">
        <v>20351</v>
      </c>
      <c r="AZ3481" s="80" t="s">
        <v>20458</v>
      </c>
      <c r="BA3481" s="80" t="s">
        <v>20380</v>
      </c>
      <c r="BB3481" s="80" t="s">
        <v>20380</v>
      </c>
      <c r="BC3481" s="80" t="s">
        <v>20458</v>
      </c>
      <c r="BD3481" s="77">
        <v>223953066</v>
      </c>
      <c r="BE3481" s="77"/>
      <c r="BF3481" s="77"/>
      <c r="BG3481" s="77"/>
      <c r="BH3481" s="77"/>
      <c r="BI3481" s="77"/>
    </row>
    <row r="3482" spans="1:61" x14ac:dyDescent="0.25">
      <c r="A3482" s="62" t="s">
        <v>1378</v>
      </c>
      <c r="B3482" s="62" t="s">
        <v>1920</v>
      </c>
      <c r="C3482" s="63"/>
      <c r="D3482" s="64"/>
      <c r="E3482" s="65"/>
      <c r="F3482" s="66"/>
      <c r="G3482" s="63"/>
      <c r="H3482" s="67"/>
      <c r="I3482" s="68"/>
      <c r="J3482" s="68"/>
      <c r="K3482" s="32"/>
      <c r="L3482" s="75">
        <v>3482</v>
      </c>
      <c r="M3482" s="75"/>
      <c r="N3482" s="70"/>
      <c r="O3482" s="77" t="s">
        <v>2081</v>
      </c>
      <c r="P3482" s="79">
        <v>45054.884386574071</v>
      </c>
      <c r="Q3482" s="77" t="s">
        <v>5150</v>
      </c>
      <c r="R3482" s="77">
        <v>26</v>
      </c>
      <c r="S3482" s="77">
        <v>51</v>
      </c>
      <c r="T3482" s="77">
        <v>4</v>
      </c>
      <c r="U3482" s="77">
        <v>2</v>
      </c>
      <c r="V3482" s="77">
        <v>5394</v>
      </c>
      <c r="W3482" s="80" t="s">
        <v>8044</v>
      </c>
      <c r="X3482" s="77"/>
      <c r="Y3482" s="77"/>
      <c r="Z3482" s="77" t="s">
        <v>1920</v>
      </c>
      <c r="AA3482" s="77" t="s">
        <v>10173</v>
      </c>
      <c r="AB3482" s="77" t="s">
        <v>10534</v>
      </c>
      <c r="AC3482" s="80" t="s">
        <v>10542</v>
      </c>
      <c r="AD3482" s="77" t="s">
        <v>10620</v>
      </c>
      <c r="AE3482" s="83" t="str">
        <f>HYPERLINK("https://twitter.com/grupoeldeber/status/1655682363123290113")</f>
        <v>https://twitter.com/grupoeldeber/status/1655682363123290113</v>
      </c>
      <c r="AF3482" s="79">
        <v>45054.884386574071</v>
      </c>
      <c r="AG3482" s="85">
        <v>45054</v>
      </c>
      <c r="AH3482" s="80" t="s">
        <v>13647</v>
      </c>
      <c r="AI3482" s="77" t="b">
        <v>0</v>
      </c>
      <c r="AJ3482" s="77"/>
      <c r="AK3482" s="77"/>
      <c r="AL3482" s="77"/>
      <c r="AM3482" s="77"/>
      <c r="AN3482" s="77"/>
      <c r="AO3482" s="77"/>
      <c r="AP3482" s="77"/>
      <c r="AQ3482" s="77" t="s">
        <v>15139</v>
      </c>
      <c r="AR3482" s="77">
        <v>98681</v>
      </c>
      <c r="AS3482" s="77"/>
      <c r="AT3482" s="77"/>
      <c r="AU3482" s="77"/>
      <c r="AV3482" s="83" t="str">
        <f>HYPERLINK("https://pbs.twimg.com/ext_tw_video_thumb/1655682200447201281/pu/img/j0wMlHbivDaSH0MR.jpg")</f>
        <v>https://pbs.twimg.com/ext_tw_video_thumb/1655682200447201281/pu/img/j0wMlHbivDaSH0MR.jpg</v>
      </c>
      <c r="AW3482" s="80" t="s">
        <v>19198</v>
      </c>
      <c r="AX3482" s="80" t="s">
        <v>19198</v>
      </c>
      <c r="AY3482" s="77"/>
      <c r="AZ3482" s="80" t="s">
        <v>20380</v>
      </c>
      <c r="BA3482" s="80" t="s">
        <v>20380</v>
      </c>
      <c r="BB3482" s="80" t="s">
        <v>20380</v>
      </c>
      <c r="BC3482" s="80" t="s">
        <v>19198</v>
      </c>
      <c r="BD3482" s="77">
        <v>65444625</v>
      </c>
      <c r="BE3482" s="77"/>
      <c r="BF3482" s="77"/>
      <c r="BG3482" s="77"/>
      <c r="BH3482" s="77"/>
      <c r="BI3482" s="77"/>
    </row>
    <row r="3483" spans="1:61" x14ac:dyDescent="0.25">
      <c r="A3483" s="62" t="s">
        <v>1379</v>
      </c>
      <c r="B3483" s="62" t="s">
        <v>1655</v>
      </c>
      <c r="C3483" s="63"/>
      <c r="D3483" s="64"/>
      <c r="E3483" s="65"/>
      <c r="F3483" s="66"/>
      <c r="G3483" s="63"/>
      <c r="H3483" s="67"/>
      <c r="I3483" s="68"/>
      <c r="J3483" s="68"/>
      <c r="K3483" s="32"/>
      <c r="L3483" s="75">
        <v>3483</v>
      </c>
      <c r="M3483" s="75"/>
      <c r="N3483" s="70"/>
      <c r="O3483" s="77" t="s">
        <v>2083</v>
      </c>
      <c r="P3483" s="79">
        <v>45191.0002662037</v>
      </c>
      <c r="Q3483" s="77" t="s">
        <v>2120</v>
      </c>
      <c r="R3483" s="77">
        <v>25</v>
      </c>
      <c r="S3483" s="77">
        <v>0</v>
      </c>
      <c r="T3483" s="77">
        <v>0</v>
      </c>
      <c r="U3483" s="77">
        <v>0</v>
      </c>
      <c r="V3483" s="77"/>
      <c r="W3483" s="80" t="s">
        <v>5917</v>
      </c>
      <c r="X3483" s="77"/>
      <c r="Y3483" s="77"/>
      <c r="Z3483" s="77" t="s">
        <v>1655</v>
      </c>
      <c r="AA3483" s="77"/>
      <c r="AB3483" s="77"/>
      <c r="AC3483" s="80" t="s">
        <v>10540</v>
      </c>
      <c r="AD3483" s="77" t="s">
        <v>10617</v>
      </c>
      <c r="AE3483" s="83" t="str">
        <f>HYPERLINK("https://twitter.com/lucimar35367277/status/1705009106233233845")</f>
        <v>https://twitter.com/lucimar35367277/status/1705009106233233845</v>
      </c>
      <c r="AF3483" s="79">
        <v>45191.0002662037</v>
      </c>
      <c r="AG3483" s="85">
        <v>45191</v>
      </c>
      <c r="AH3483" s="80" t="s">
        <v>13648</v>
      </c>
      <c r="AI3483" s="77"/>
      <c r="AJ3483" s="77"/>
      <c r="AK3483" s="77"/>
      <c r="AL3483" s="77"/>
      <c r="AM3483" s="77"/>
      <c r="AN3483" s="77"/>
      <c r="AO3483" s="77"/>
      <c r="AP3483" s="77"/>
      <c r="AQ3483" s="77"/>
      <c r="AR3483" s="77"/>
      <c r="AS3483" s="77"/>
      <c r="AT3483" s="77"/>
      <c r="AU3483" s="77"/>
      <c r="AV3483" s="83" t="str">
        <f>HYPERLINK("https://abs.twimg.com/sticky/default_profile_images/default_profile_normal.png")</f>
        <v>https://abs.twimg.com/sticky/default_profile_images/default_profile_normal.png</v>
      </c>
      <c r="AW3483" s="80" t="s">
        <v>19199</v>
      </c>
      <c r="AX3483" s="80" t="s">
        <v>19199</v>
      </c>
      <c r="AY3483" s="77"/>
      <c r="AZ3483" s="80" t="s">
        <v>20380</v>
      </c>
      <c r="BA3483" s="80" t="s">
        <v>20380</v>
      </c>
      <c r="BB3483" s="80" t="s">
        <v>19844</v>
      </c>
      <c r="BC3483" s="80" t="s">
        <v>19844</v>
      </c>
      <c r="BD3483" s="80" t="s">
        <v>21061</v>
      </c>
      <c r="BE3483" s="77"/>
      <c r="BF3483" s="77"/>
      <c r="BG3483" s="77"/>
      <c r="BH3483" s="77"/>
      <c r="BI3483" s="77"/>
    </row>
    <row r="3484" spans="1:61" x14ac:dyDescent="0.25">
      <c r="A3484" s="62" t="s">
        <v>1380</v>
      </c>
      <c r="B3484" s="62" t="s">
        <v>1380</v>
      </c>
      <c r="C3484" s="63"/>
      <c r="D3484" s="64"/>
      <c r="E3484" s="65"/>
      <c r="F3484" s="66"/>
      <c r="G3484" s="63"/>
      <c r="H3484" s="67"/>
      <c r="I3484" s="68"/>
      <c r="J3484" s="68"/>
      <c r="K3484" s="32"/>
      <c r="L3484" s="75">
        <v>3484</v>
      </c>
      <c r="M3484" s="75"/>
      <c r="N3484" s="70"/>
      <c r="O3484" s="77" t="s">
        <v>179</v>
      </c>
      <c r="P3484" s="79">
        <v>45187.557719907411</v>
      </c>
      <c r="Q3484" s="77" t="s">
        <v>5151</v>
      </c>
      <c r="R3484" s="77">
        <v>0</v>
      </c>
      <c r="S3484" s="77">
        <v>0</v>
      </c>
      <c r="T3484" s="77">
        <v>0</v>
      </c>
      <c r="U3484" s="77">
        <v>0</v>
      </c>
      <c r="V3484" s="77">
        <v>17</v>
      </c>
      <c r="W3484" s="80" t="s">
        <v>8045</v>
      </c>
      <c r="X3484" s="83" t="str">
        <f>HYPERLINK("https://lnkd.in/dp8_phRt")</f>
        <v>https://lnkd.in/dp8_phRt</v>
      </c>
      <c r="Y3484" s="77" t="s">
        <v>8619</v>
      </c>
      <c r="Z3484" s="77"/>
      <c r="AA3484" s="77" t="s">
        <v>10174</v>
      </c>
      <c r="AB3484" s="77" t="s">
        <v>10535</v>
      </c>
      <c r="AC3484" s="80" t="s">
        <v>10540</v>
      </c>
      <c r="AD3484" s="77" t="s">
        <v>10617</v>
      </c>
      <c r="AE3484" s="83" t="str">
        <f>HYPERLINK("https://twitter.com/rferreirasbc/status/1703761568977076583")</f>
        <v>https://twitter.com/rferreirasbc/status/1703761568977076583</v>
      </c>
      <c r="AF3484" s="79">
        <v>45187.557719907411</v>
      </c>
      <c r="AG3484" s="85">
        <v>45187</v>
      </c>
      <c r="AH3484" s="80" t="s">
        <v>11510</v>
      </c>
      <c r="AI3484" s="77" t="b">
        <v>0</v>
      </c>
      <c r="AJ3484" s="77" t="s">
        <v>14368</v>
      </c>
      <c r="AK3484" s="77" t="s">
        <v>14382</v>
      </c>
      <c r="AL3484" s="77" t="s">
        <v>14391</v>
      </c>
      <c r="AM3484" s="77" t="s">
        <v>14425</v>
      </c>
      <c r="AN3484" s="77" t="s">
        <v>14465</v>
      </c>
      <c r="AO3484" s="77" t="s">
        <v>14504</v>
      </c>
      <c r="AP3484" s="77" t="s">
        <v>14516</v>
      </c>
      <c r="AQ3484" s="77" t="s">
        <v>15654</v>
      </c>
      <c r="AR3484" s="77"/>
      <c r="AS3484" s="77"/>
      <c r="AT3484" s="77"/>
      <c r="AU3484" s="77"/>
      <c r="AV3484" s="83" t="str">
        <f>HYPERLINK("https://pbs.twimg.com/media/F6T6Hf_WAAA4-j1.jpg")</f>
        <v>https://pbs.twimg.com/media/F6T6Hf_WAAA4-j1.jpg</v>
      </c>
      <c r="AW3484" s="80" t="s">
        <v>19200</v>
      </c>
      <c r="AX3484" s="80" t="s">
        <v>19200</v>
      </c>
      <c r="AY3484" s="77"/>
      <c r="AZ3484" s="80" t="s">
        <v>20380</v>
      </c>
      <c r="BA3484" s="80" t="s">
        <v>20380</v>
      </c>
      <c r="BB3484" s="80" t="s">
        <v>20380</v>
      </c>
      <c r="BC3484" s="80" t="s">
        <v>19200</v>
      </c>
      <c r="BD3484" s="77">
        <v>17863805</v>
      </c>
      <c r="BE3484" s="77"/>
      <c r="BF3484" s="77"/>
      <c r="BG3484" s="77"/>
      <c r="BH3484" s="77"/>
      <c r="BI3484" s="77"/>
    </row>
    <row r="3485" spans="1:61" x14ac:dyDescent="0.25">
      <c r="A3485" s="62" t="s">
        <v>1381</v>
      </c>
      <c r="B3485" s="62" t="s">
        <v>1596</v>
      </c>
      <c r="C3485" s="63"/>
      <c r="D3485" s="64"/>
      <c r="E3485" s="65"/>
      <c r="F3485" s="66"/>
      <c r="G3485" s="63"/>
      <c r="H3485" s="67"/>
      <c r="I3485" s="68"/>
      <c r="J3485" s="68"/>
      <c r="K3485" s="32"/>
      <c r="L3485" s="75">
        <v>3485</v>
      </c>
      <c r="M3485" s="75"/>
      <c r="N3485" s="70"/>
      <c r="O3485" s="77" t="s">
        <v>2081</v>
      </c>
      <c r="P3485" s="79">
        <v>45123.824293981481</v>
      </c>
      <c r="Q3485" s="77" t="s">
        <v>5152</v>
      </c>
      <c r="R3485" s="77">
        <v>0</v>
      </c>
      <c r="S3485" s="77">
        <v>0</v>
      </c>
      <c r="T3485" s="77">
        <v>1</v>
      </c>
      <c r="U3485" s="77">
        <v>0</v>
      </c>
      <c r="V3485" s="77">
        <v>9</v>
      </c>
      <c r="W3485" s="80" t="s">
        <v>6008</v>
      </c>
      <c r="X3485" s="83" t="str">
        <f>HYPERLINK("https://www.bcb.gov.br/en/publications/copomminutes/03052023")</f>
        <v>https://www.bcb.gov.br/en/publications/copomminutes/03052023</v>
      </c>
      <c r="Y3485" s="77" t="s">
        <v>8633</v>
      </c>
      <c r="Z3485" s="77" t="s">
        <v>1596</v>
      </c>
      <c r="AA3485" s="77"/>
      <c r="AB3485" s="77"/>
      <c r="AC3485" s="80" t="s">
        <v>10540</v>
      </c>
      <c r="AD3485" s="77" t="s">
        <v>10622</v>
      </c>
      <c r="AE3485" s="83" t="str">
        <f>HYPERLINK("https://twitter.com/bombardier32651/status/1680665352550637574")</f>
        <v>https://twitter.com/bombardier32651/status/1680665352550637574</v>
      </c>
      <c r="AF3485" s="79">
        <v>45123.824293981481</v>
      </c>
      <c r="AG3485" s="85">
        <v>45123</v>
      </c>
      <c r="AH3485" s="80" t="s">
        <v>13649</v>
      </c>
      <c r="AI3485" s="77" t="b">
        <v>0</v>
      </c>
      <c r="AJ3485" s="77"/>
      <c r="AK3485" s="77"/>
      <c r="AL3485" s="77"/>
      <c r="AM3485" s="77"/>
      <c r="AN3485" s="77"/>
      <c r="AO3485" s="77"/>
      <c r="AP3485" s="77"/>
      <c r="AQ3485" s="77"/>
      <c r="AR3485" s="77"/>
      <c r="AS3485" s="77"/>
      <c r="AT3485" s="77"/>
      <c r="AU3485" s="77"/>
      <c r="AV3485" s="83" t="str">
        <f>HYPERLINK("https://pbs.twimg.com/profile_images/1641847236131684373/vtFXoMdb_normal.png")</f>
        <v>https://pbs.twimg.com/profile_images/1641847236131684373/vtFXoMdb_normal.png</v>
      </c>
      <c r="AW3485" s="80" t="s">
        <v>19201</v>
      </c>
      <c r="AX3485" s="80" t="s">
        <v>19201</v>
      </c>
      <c r="AY3485" s="77"/>
      <c r="AZ3485" s="80" t="s">
        <v>20380</v>
      </c>
      <c r="BA3485" s="80" t="s">
        <v>20380</v>
      </c>
      <c r="BB3485" s="80" t="s">
        <v>20380</v>
      </c>
      <c r="BC3485" s="80" t="s">
        <v>19201</v>
      </c>
      <c r="BD3485" s="80" t="s">
        <v>21062</v>
      </c>
      <c r="BE3485" s="77"/>
      <c r="BF3485" s="77"/>
      <c r="BG3485" s="77"/>
      <c r="BH3485" s="77"/>
      <c r="BI3485" s="77"/>
    </row>
    <row r="3486" spans="1:61" x14ac:dyDescent="0.25">
      <c r="A3486" s="62" t="s">
        <v>1382</v>
      </c>
      <c r="B3486" s="62" t="s">
        <v>1382</v>
      </c>
      <c r="C3486" s="63"/>
      <c r="D3486" s="64"/>
      <c r="E3486" s="65"/>
      <c r="F3486" s="66"/>
      <c r="G3486" s="63"/>
      <c r="H3486" s="67"/>
      <c r="I3486" s="68"/>
      <c r="J3486" s="68"/>
      <c r="K3486" s="32"/>
      <c r="L3486" s="75">
        <v>3486</v>
      </c>
      <c r="M3486" s="75"/>
      <c r="N3486" s="70"/>
      <c r="O3486" s="77" t="s">
        <v>179</v>
      </c>
      <c r="P3486" s="79">
        <v>45061.826944444445</v>
      </c>
      <c r="Q3486" s="77" t="s">
        <v>5153</v>
      </c>
      <c r="R3486" s="77">
        <v>0</v>
      </c>
      <c r="S3486" s="77">
        <v>0</v>
      </c>
      <c r="T3486" s="77">
        <v>0</v>
      </c>
      <c r="U3486" s="77">
        <v>0</v>
      </c>
      <c r="V3486" s="77">
        <v>19</v>
      </c>
      <c r="W3486" s="80" t="s">
        <v>8046</v>
      </c>
      <c r="X3486" s="77"/>
      <c r="Y3486" s="77"/>
      <c r="Z3486" s="77"/>
      <c r="AA3486" s="77" t="s">
        <v>10175</v>
      </c>
      <c r="AB3486" s="77" t="s">
        <v>10534</v>
      </c>
      <c r="AC3486" s="80" t="s">
        <v>10540</v>
      </c>
      <c r="AD3486" s="77" t="s">
        <v>10617</v>
      </c>
      <c r="AE3486" s="83" t="str">
        <f>HYPERLINK("https://twitter.com/naocalonao/status/1658198264737308683")</f>
        <v>https://twitter.com/naocalonao/status/1658198264737308683</v>
      </c>
      <c r="AF3486" s="79">
        <v>45061.826944444445</v>
      </c>
      <c r="AG3486" s="85">
        <v>45061</v>
      </c>
      <c r="AH3486" s="80" t="s">
        <v>13650</v>
      </c>
      <c r="AI3486" s="77" t="b">
        <v>0</v>
      </c>
      <c r="AJ3486" s="77"/>
      <c r="AK3486" s="77"/>
      <c r="AL3486" s="77"/>
      <c r="AM3486" s="77"/>
      <c r="AN3486" s="77"/>
      <c r="AO3486" s="77"/>
      <c r="AP3486" s="77"/>
      <c r="AQ3486" s="77" t="s">
        <v>15655</v>
      </c>
      <c r="AR3486" s="77">
        <v>48966</v>
      </c>
      <c r="AS3486" s="77"/>
      <c r="AT3486" s="77"/>
      <c r="AU3486" s="77"/>
      <c r="AV3486" s="83" t="str">
        <f>HYPERLINK("https://pbs.twimg.com/ext_tw_video_thumb/1658198221817036801/pu/img/GlUQ9-JBbjv0cgby.jpg")</f>
        <v>https://pbs.twimg.com/ext_tw_video_thumb/1658198221817036801/pu/img/GlUQ9-JBbjv0cgby.jpg</v>
      </c>
      <c r="AW3486" s="80" t="s">
        <v>19202</v>
      </c>
      <c r="AX3486" s="80" t="s">
        <v>19202</v>
      </c>
      <c r="AY3486" s="77"/>
      <c r="AZ3486" s="80" t="s">
        <v>20380</v>
      </c>
      <c r="BA3486" s="80" t="s">
        <v>20380</v>
      </c>
      <c r="BB3486" s="80" t="s">
        <v>20380</v>
      </c>
      <c r="BC3486" s="80" t="s">
        <v>19202</v>
      </c>
      <c r="BD3486" s="80" t="s">
        <v>21063</v>
      </c>
      <c r="BE3486" s="77"/>
      <c r="BF3486" s="77"/>
      <c r="BG3486" s="77"/>
      <c r="BH3486" s="77"/>
      <c r="BI3486" s="77"/>
    </row>
    <row r="3487" spans="1:61" x14ac:dyDescent="0.25">
      <c r="A3487" s="62" t="s">
        <v>1383</v>
      </c>
      <c r="B3487" s="62" t="s">
        <v>1901</v>
      </c>
      <c r="C3487" s="63"/>
      <c r="D3487" s="64"/>
      <c r="E3487" s="65"/>
      <c r="F3487" s="66"/>
      <c r="G3487" s="63"/>
      <c r="H3487" s="67"/>
      <c r="I3487" s="68"/>
      <c r="J3487" s="68"/>
      <c r="K3487" s="32"/>
      <c r="L3487" s="75">
        <v>3487</v>
      </c>
      <c r="M3487" s="75"/>
      <c r="N3487" s="70"/>
      <c r="O3487" s="77" t="s">
        <v>2081</v>
      </c>
      <c r="P3487" s="79">
        <v>45110.758310185185</v>
      </c>
      <c r="Q3487" s="77" t="s">
        <v>5154</v>
      </c>
      <c r="R3487" s="77">
        <v>0</v>
      </c>
      <c r="S3487" s="77">
        <v>0</v>
      </c>
      <c r="T3487" s="77">
        <v>0</v>
      </c>
      <c r="U3487" s="77">
        <v>0</v>
      </c>
      <c r="V3487" s="77">
        <v>20</v>
      </c>
      <c r="W3487" s="80" t="s">
        <v>8047</v>
      </c>
      <c r="X3487" s="83" t="str">
        <f>HYPERLINK("https://encr.pw/XTIgu")</f>
        <v>https://encr.pw/XTIgu</v>
      </c>
      <c r="Y3487" s="77" t="s">
        <v>8842</v>
      </c>
      <c r="Z3487" s="77" t="s">
        <v>9014</v>
      </c>
      <c r="AA3487" s="77" t="s">
        <v>10176</v>
      </c>
      <c r="AB3487" s="77" t="s">
        <v>10535</v>
      </c>
      <c r="AC3487" s="80" t="s">
        <v>10541</v>
      </c>
      <c r="AD3487" s="77" t="s">
        <v>10620</v>
      </c>
      <c r="AE3487" s="83" t="str">
        <f>HYPERLINK("https://twitter.com/novenadigital/status/1675930398675574786")</f>
        <v>https://twitter.com/novenadigital/status/1675930398675574786</v>
      </c>
      <c r="AF3487" s="79">
        <v>45110.758310185185</v>
      </c>
      <c r="AG3487" s="85">
        <v>45110</v>
      </c>
      <c r="AH3487" s="80" t="s">
        <v>13651</v>
      </c>
      <c r="AI3487" s="77" t="b">
        <v>0</v>
      </c>
      <c r="AJ3487" s="77"/>
      <c r="AK3487" s="77"/>
      <c r="AL3487" s="77"/>
      <c r="AM3487" s="77"/>
      <c r="AN3487" s="77"/>
      <c r="AO3487" s="77"/>
      <c r="AP3487" s="77"/>
      <c r="AQ3487" s="77" t="s">
        <v>15656</v>
      </c>
      <c r="AR3487" s="77"/>
      <c r="AS3487" s="77"/>
      <c r="AT3487" s="77"/>
      <c r="AU3487" s="77"/>
      <c r="AV3487" s="83" t="str">
        <f>HYPERLINK("https://pbs.twimg.com/media/F0IZcRVWIA8nqXL.jpg")</f>
        <v>https://pbs.twimg.com/media/F0IZcRVWIA8nqXL.jpg</v>
      </c>
      <c r="AW3487" s="80" t="s">
        <v>19203</v>
      </c>
      <c r="AX3487" s="80" t="s">
        <v>19203</v>
      </c>
      <c r="AY3487" s="77"/>
      <c r="AZ3487" s="80" t="s">
        <v>20380</v>
      </c>
      <c r="BA3487" s="80" t="s">
        <v>20380</v>
      </c>
      <c r="BB3487" s="80" t="s">
        <v>20380</v>
      </c>
      <c r="BC3487" s="80" t="s">
        <v>19203</v>
      </c>
      <c r="BD3487" s="80" t="s">
        <v>21064</v>
      </c>
      <c r="BE3487" s="77"/>
      <c r="BF3487" s="77"/>
      <c r="BG3487" s="77"/>
      <c r="BH3487" s="77"/>
      <c r="BI3487" s="77"/>
    </row>
    <row r="3488" spans="1:61" x14ac:dyDescent="0.25">
      <c r="A3488" s="62" t="s">
        <v>1383</v>
      </c>
      <c r="B3488" s="62" t="s">
        <v>1900</v>
      </c>
      <c r="C3488" s="63"/>
      <c r="D3488" s="64"/>
      <c r="E3488" s="65"/>
      <c r="F3488" s="66"/>
      <c r="G3488" s="63"/>
      <c r="H3488" s="67"/>
      <c r="I3488" s="68"/>
      <c r="J3488" s="68"/>
      <c r="K3488" s="32"/>
      <c r="L3488" s="75">
        <v>3488</v>
      </c>
      <c r="M3488" s="75"/>
      <c r="N3488" s="70"/>
      <c r="O3488" s="77" t="s">
        <v>2081</v>
      </c>
      <c r="P3488" s="79">
        <v>45110.758310185185</v>
      </c>
      <c r="Q3488" s="77" t="s">
        <v>5154</v>
      </c>
      <c r="R3488" s="77">
        <v>0</v>
      </c>
      <c r="S3488" s="77">
        <v>0</v>
      </c>
      <c r="T3488" s="77">
        <v>0</v>
      </c>
      <c r="U3488" s="77">
        <v>0</v>
      </c>
      <c r="V3488" s="77">
        <v>20</v>
      </c>
      <c r="W3488" s="80" t="s">
        <v>8047</v>
      </c>
      <c r="X3488" s="83" t="str">
        <f>HYPERLINK("https://encr.pw/XTIgu")</f>
        <v>https://encr.pw/XTIgu</v>
      </c>
      <c r="Y3488" s="77" t="s">
        <v>8842</v>
      </c>
      <c r="Z3488" s="77" t="s">
        <v>9014</v>
      </c>
      <c r="AA3488" s="77" t="s">
        <v>10176</v>
      </c>
      <c r="AB3488" s="77" t="s">
        <v>10535</v>
      </c>
      <c r="AC3488" s="80" t="s">
        <v>10541</v>
      </c>
      <c r="AD3488" s="77" t="s">
        <v>10620</v>
      </c>
      <c r="AE3488" s="83" t="str">
        <f>HYPERLINK("https://twitter.com/novenadigital/status/1675930398675574786")</f>
        <v>https://twitter.com/novenadigital/status/1675930398675574786</v>
      </c>
      <c r="AF3488" s="79">
        <v>45110.758310185185</v>
      </c>
      <c r="AG3488" s="85">
        <v>45110</v>
      </c>
      <c r="AH3488" s="80" t="s">
        <v>13651</v>
      </c>
      <c r="AI3488" s="77" t="b">
        <v>0</v>
      </c>
      <c r="AJ3488" s="77"/>
      <c r="AK3488" s="77"/>
      <c r="AL3488" s="77"/>
      <c r="AM3488" s="77"/>
      <c r="AN3488" s="77"/>
      <c r="AO3488" s="77"/>
      <c r="AP3488" s="77"/>
      <c r="AQ3488" s="77" t="s">
        <v>15656</v>
      </c>
      <c r="AR3488" s="77"/>
      <c r="AS3488" s="77"/>
      <c r="AT3488" s="77"/>
      <c r="AU3488" s="77"/>
      <c r="AV3488" s="83" t="str">
        <f>HYPERLINK("https://pbs.twimg.com/media/F0IZcRVWIA8nqXL.jpg")</f>
        <v>https://pbs.twimg.com/media/F0IZcRVWIA8nqXL.jpg</v>
      </c>
      <c r="AW3488" s="80" t="s">
        <v>19203</v>
      </c>
      <c r="AX3488" s="80" t="s">
        <v>19203</v>
      </c>
      <c r="AY3488" s="77"/>
      <c r="AZ3488" s="80" t="s">
        <v>20380</v>
      </c>
      <c r="BA3488" s="80" t="s">
        <v>20380</v>
      </c>
      <c r="BB3488" s="80" t="s">
        <v>20380</v>
      </c>
      <c r="BC3488" s="80" t="s">
        <v>19203</v>
      </c>
      <c r="BD3488" s="80" t="s">
        <v>21064</v>
      </c>
      <c r="BE3488" s="77"/>
      <c r="BF3488" s="77"/>
      <c r="BG3488" s="77"/>
      <c r="BH3488" s="77"/>
      <c r="BI3488" s="77"/>
    </row>
    <row r="3489" spans="1:61" x14ac:dyDescent="0.25">
      <c r="A3489" s="62" t="s">
        <v>1384</v>
      </c>
      <c r="B3489" s="62" t="s">
        <v>1384</v>
      </c>
      <c r="C3489" s="63"/>
      <c r="D3489" s="64"/>
      <c r="E3489" s="65"/>
      <c r="F3489" s="66"/>
      <c r="G3489" s="63"/>
      <c r="H3489" s="67"/>
      <c r="I3489" s="68"/>
      <c r="J3489" s="68"/>
      <c r="K3489" s="32"/>
      <c r="L3489" s="75">
        <v>3489</v>
      </c>
      <c r="M3489" s="75"/>
      <c r="N3489" s="70"/>
      <c r="O3489" s="77" t="s">
        <v>2078</v>
      </c>
      <c r="P3489" s="79">
        <v>45135.614907407406</v>
      </c>
      <c r="Q3489" s="77" t="s">
        <v>5155</v>
      </c>
      <c r="R3489" s="77">
        <v>0</v>
      </c>
      <c r="S3489" s="77">
        <v>4</v>
      </c>
      <c r="T3489" s="77">
        <v>0</v>
      </c>
      <c r="U3489" s="77">
        <v>0</v>
      </c>
      <c r="V3489" s="77">
        <v>749</v>
      </c>
      <c r="W3489" s="80" t="s">
        <v>8048</v>
      </c>
      <c r="X3489" s="77" t="s">
        <v>8608</v>
      </c>
      <c r="Y3489" s="77" t="s">
        <v>8843</v>
      </c>
      <c r="Z3489" s="77"/>
      <c r="AA3489" s="77"/>
      <c r="AB3489" s="77"/>
      <c r="AC3489" s="80" t="s">
        <v>10541</v>
      </c>
      <c r="AD3489" s="77" t="s">
        <v>10620</v>
      </c>
      <c r="AE3489" s="83" t="str">
        <f>HYPERLINK("https://twitter.com/bcentralchile/status/1684938127750660096")</f>
        <v>https://twitter.com/bcentralchile/status/1684938127750660096</v>
      </c>
      <c r="AF3489" s="79">
        <v>45135.614907407406</v>
      </c>
      <c r="AG3489" s="85">
        <v>45135</v>
      </c>
      <c r="AH3489" s="80" t="s">
        <v>13652</v>
      </c>
      <c r="AI3489" s="77" t="b">
        <v>0</v>
      </c>
      <c r="AJ3489" s="77"/>
      <c r="AK3489" s="77"/>
      <c r="AL3489" s="77"/>
      <c r="AM3489" s="77"/>
      <c r="AN3489" s="77"/>
      <c r="AO3489" s="77"/>
      <c r="AP3489" s="77"/>
      <c r="AQ3489" s="77"/>
      <c r="AR3489" s="77"/>
      <c r="AS3489" s="77"/>
      <c r="AT3489" s="77"/>
      <c r="AU3489" s="77"/>
      <c r="AV3489" s="83" t="str">
        <f>HYPERLINK("https://pbs.twimg.com/profile_images/1377217062020513793/WOtAGjIq_normal.jpg")</f>
        <v>https://pbs.twimg.com/profile_images/1377217062020513793/WOtAGjIq_normal.jpg</v>
      </c>
      <c r="AW3489" s="80" t="s">
        <v>19204</v>
      </c>
      <c r="AX3489" s="80" t="s">
        <v>20164</v>
      </c>
      <c r="AY3489" s="80" t="s">
        <v>20352</v>
      </c>
      <c r="AZ3489" s="80" t="s">
        <v>20459</v>
      </c>
      <c r="BA3489" s="80" t="s">
        <v>20380</v>
      </c>
      <c r="BB3489" s="80" t="s">
        <v>20380</v>
      </c>
      <c r="BC3489" s="80" t="s">
        <v>20459</v>
      </c>
      <c r="BD3489" s="77">
        <v>512523162</v>
      </c>
      <c r="BE3489" s="77"/>
      <c r="BF3489" s="77"/>
      <c r="BG3489" s="77"/>
      <c r="BH3489" s="77"/>
      <c r="BI3489" s="77"/>
    </row>
    <row r="3490" spans="1:61" x14ac:dyDescent="0.25">
      <c r="A3490" s="62" t="s">
        <v>1384</v>
      </c>
      <c r="B3490" s="62" t="s">
        <v>1384</v>
      </c>
      <c r="C3490" s="63"/>
      <c r="D3490" s="64"/>
      <c r="E3490" s="65"/>
      <c r="F3490" s="66"/>
      <c r="G3490" s="63"/>
      <c r="H3490" s="67"/>
      <c r="I3490" s="68"/>
      <c r="J3490" s="68"/>
      <c r="K3490" s="32"/>
      <c r="L3490" s="75">
        <v>3490</v>
      </c>
      <c r="M3490" s="75"/>
      <c r="N3490" s="70"/>
      <c r="O3490" s="77" t="s">
        <v>179</v>
      </c>
      <c r="P3490" s="79">
        <v>45154.526736111111</v>
      </c>
      <c r="Q3490" s="77" t="s">
        <v>5156</v>
      </c>
      <c r="R3490" s="77">
        <v>0</v>
      </c>
      <c r="S3490" s="77">
        <v>0</v>
      </c>
      <c r="T3490" s="77">
        <v>0</v>
      </c>
      <c r="U3490" s="77">
        <v>0</v>
      </c>
      <c r="V3490" s="77">
        <v>1066</v>
      </c>
      <c r="W3490" s="80" t="s">
        <v>8049</v>
      </c>
      <c r="X3490" s="83" t="str">
        <f>HYPERLINK("https://bit.ly/3DSOr7S")</f>
        <v>https://bit.ly/3DSOr7S</v>
      </c>
      <c r="Y3490" s="77" t="s">
        <v>8618</v>
      </c>
      <c r="Z3490" s="77"/>
      <c r="AA3490" s="77" t="s">
        <v>10177</v>
      </c>
      <c r="AB3490" s="77" t="s">
        <v>10535</v>
      </c>
      <c r="AC3490" s="80" t="s">
        <v>10541</v>
      </c>
      <c r="AD3490" s="77" t="s">
        <v>10620</v>
      </c>
      <c r="AE3490" s="83" t="str">
        <f>HYPERLINK("https://twitter.com/bcentralchile/status/1691791545106600352")</f>
        <v>https://twitter.com/bcentralchile/status/1691791545106600352</v>
      </c>
      <c r="AF3490" s="79">
        <v>45154.526736111111</v>
      </c>
      <c r="AG3490" s="85">
        <v>45154</v>
      </c>
      <c r="AH3490" s="80" t="s">
        <v>13653</v>
      </c>
      <c r="AI3490" s="77" t="b">
        <v>0</v>
      </c>
      <c r="AJ3490" s="77"/>
      <c r="AK3490" s="77"/>
      <c r="AL3490" s="77"/>
      <c r="AM3490" s="77"/>
      <c r="AN3490" s="77"/>
      <c r="AO3490" s="77"/>
      <c r="AP3490" s="77"/>
      <c r="AQ3490" s="77" t="s">
        <v>15657</v>
      </c>
      <c r="AR3490" s="77"/>
      <c r="AS3490" s="77"/>
      <c r="AT3490" s="77"/>
      <c r="AU3490" s="77"/>
      <c r="AV3490" s="83" t="str">
        <f>HYPERLINK("https://pbs.twimg.com/media/F3pzZklWIAAkh-_.jpg")</f>
        <v>https://pbs.twimg.com/media/F3pzZklWIAAkh-_.jpg</v>
      </c>
      <c r="AW3490" s="80" t="s">
        <v>19205</v>
      </c>
      <c r="AX3490" s="80" t="s">
        <v>19205</v>
      </c>
      <c r="AY3490" s="77"/>
      <c r="AZ3490" s="80" t="s">
        <v>20380</v>
      </c>
      <c r="BA3490" s="80" t="s">
        <v>20380</v>
      </c>
      <c r="BB3490" s="80" t="s">
        <v>20380</v>
      </c>
      <c r="BC3490" s="80" t="s">
        <v>19205</v>
      </c>
      <c r="BD3490" s="77">
        <v>512523162</v>
      </c>
      <c r="BE3490" s="77"/>
      <c r="BF3490" s="77"/>
      <c r="BG3490" s="77"/>
      <c r="BH3490" s="77"/>
      <c r="BI3490" s="77"/>
    </row>
    <row r="3491" spans="1:61" x14ac:dyDescent="0.25">
      <c r="A3491" s="62" t="s">
        <v>1383</v>
      </c>
      <c r="B3491" s="62" t="s">
        <v>1384</v>
      </c>
      <c r="C3491" s="63"/>
      <c r="D3491" s="64"/>
      <c r="E3491" s="65"/>
      <c r="F3491" s="66"/>
      <c r="G3491" s="63"/>
      <c r="H3491" s="67"/>
      <c r="I3491" s="68"/>
      <c r="J3491" s="68"/>
      <c r="K3491" s="32"/>
      <c r="L3491" s="75">
        <v>3491</v>
      </c>
      <c r="M3491" s="75"/>
      <c r="N3491" s="70"/>
      <c r="O3491" s="77" t="s">
        <v>2081</v>
      </c>
      <c r="P3491" s="79">
        <v>45110.758310185185</v>
      </c>
      <c r="Q3491" s="77" t="s">
        <v>5154</v>
      </c>
      <c r="R3491" s="77">
        <v>0</v>
      </c>
      <c r="S3491" s="77">
        <v>0</v>
      </c>
      <c r="T3491" s="77">
        <v>0</v>
      </c>
      <c r="U3491" s="77">
        <v>0</v>
      </c>
      <c r="V3491" s="77">
        <v>20</v>
      </c>
      <c r="W3491" s="80" t="s">
        <v>8047</v>
      </c>
      <c r="X3491" s="83" t="str">
        <f>HYPERLINK("https://encr.pw/XTIgu")</f>
        <v>https://encr.pw/XTIgu</v>
      </c>
      <c r="Y3491" s="77" t="s">
        <v>8842</v>
      </c>
      <c r="Z3491" s="77" t="s">
        <v>9014</v>
      </c>
      <c r="AA3491" s="77" t="s">
        <v>10176</v>
      </c>
      <c r="AB3491" s="77" t="s">
        <v>10535</v>
      </c>
      <c r="AC3491" s="80" t="s">
        <v>10541</v>
      </c>
      <c r="AD3491" s="77" t="s">
        <v>10620</v>
      </c>
      <c r="AE3491" s="83" t="str">
        <f>HYPERLINK("https://twitter.com/novenadigital/status/1675930398675574786")</f>
        <v>https://twitter.com/novenadigital/status/1675930398675574786</v>
      </c>
      <c r="AF3491" s="79">
        <v>45110.758310185185</v>
      </c>
      <c r="AG3491" s="85">
        <v>45110</v>
      </c>
      <c r="AH3491" s="80" t="s">
        <v>13651</v>
      </c>
      <c r="AI3491" s="77" t="b">
        <v>0</v>
      </c>
      <c r="AJ3491" s="77"/>
      <c r="AK3491" s="77"/>
      <c r="AL3491" s="77"/>
      <c r="AM3491" s="77"/>
      <c r="AN3491" s="77"/>
      <c r="AO3491" s="77"/>
      <c r="AP3491" s="77"/>
      <c r="AQ3491" s="77" t="s">
        <v>15656</v>
      </c>
      <c r="AR3491" s="77"/>
      <c r="AS3491" s="77"/>
      <c r="AT3491" s="77"/>
      <c r="AU3491" s="77"/>
      <c r="AV3491" s="83" t="str">
        <f>HYPERLINK("https://pbs.twimg.com/media/F0IZcRVWIA8nqXL.jpg")</f>
        <v>https://pbs.twimg.com/media/F0IZcRVWIA8nqXL.jpg</v>
      </c>
      <c r="AW3491" s="80" t="s">
        <v>19203</v>
      </c>
      <c r="AX3491" s="80" t="s">
        <v>19203</v>
      </c>
      <c r="AY3491" s="77"/>
      <c r="AZ3491" s="80" t="s">
        <v>20380</v>
      </c>
      <c r="BA3491" s="80" t="s">
        <v>20380</v>
      </c>
      <c r="BB3491" s="80" t="s">
        <v>20380</v>
      </c>
      <c r="BC3491" s="80" t="s">
        <v>19203</v>
      </c>
      <c r="BD3491" s="80" t="s">
        <v>21064</v>
      </c>
      <c r="BE3491" s="77"/>
      <c r="BF3491" s="77"/>
      <c r="BG3491" s="77"/>
      <c r="BH3491" s="77"/>
      <c r="BI3491" s="77"/>
    </row>
    <row r="3492" spans="1:61" x14ac:dyDescent="0.25">
      <c r="A3492" s="62" t="s">
        <v>1385</v>
      </c>
      <c r="B3492" s="62" t="s">
        <v>1536</v>
      </c>
      <c r="C3492" s="63"/>
      <c r="D3492" s="64"/>
      <c r="E3492" s="65"/>
      <c r="F3492" s="66"/>
      <c r="G3492" s="63"/>
      <c r="H3492" s="67"/>
      <c r="I3492" s="68"/>
      <c r="J3492" s="68"/>
      <c r="K3492" s="32"/>
      <c r="L3492" s="75">
        <v>3492</v>
      </c>
      <c r="M3492" s="75"/>
      <c r="N3492" s="70"/>
      <c r="O3492" s="77" t="s">
        <v>2082</v>
      </c>
      <c r="P3492" s="79">
        <v>45139.15730324074</v>
      </c>
      <c r="Q3492" s="77" t="s">
        <v>5157</v>
      </c>
      <c r="R3492" s="77">
        <v>0</v>
      </c>
      <c r="S3492" s="77">
        <v>0</v>
      </c>
      <c r="T3492" s="77">
        <v>0</v>
      </c>
      <c r="U3492" s="77">
        <v>0</v>
      </c>
      <c r="V3492" s="77">
        <v>175</v>
      </c>
      <c r="W3492" s="80" t="s">
        <v>8050</v>
      </c>
      <c r="X3492" s="77"/>
      <c r="Y3492" s="77"/>
      <c r="Z3492" s="77"/>
      <c r="AA3492" s="77" t="s">
        <v>10178</v>
      </c>
      <c r="AB3492" s="77" t="s">
        <v>10535</v>
      </c>
      <c r="AC3492" s="80" t="s">
        <v>10542</v>
      </c>
      <c r="AD3492" s="77" t="s">
        <v>10620</v>
      </c>
      <c r="AE3492" s="83" t="str">
        <f>HYPERLINK("https://twitter.com/marcoscunto/status/1686221846411190272")</f>
        <v>https://twitter.com/marcoscunto/status/1686221846411190272</v>
      </c>
      <c r="AF3492" s="79">
        <v>45139.15730324074</v>
      </c>
      <c r="AG3492" s="85">
        <v>45139</v>
      </c>
      <c r="AH3492" s="80" t="s">
        <v>13654</v>
      </c>
      <c r="AI3492" s="77" t="b">
        <v>0</v>
      </c>
      <c r="AJ3492" s="77"/>
      <c r="AK3492" s="77"/>
      <c r="AL3492" s="77"/>
      <c r="AM3492" s="77"/>
      <c r="AN3492" s="77"/>
      <c r="AO3492" s="77"/>
      <c r="AP3492" s="77"/>
      <c r="AQ3492" s="77" t="s">
        <v>15658</v>
      </c>
      <c r="AR3492" s="77"/>
      <c r="AS3492" s="77"/>
      <c r="AT3492" s="77"/>
      <c r="AU3492" s="77"/>
      <c r="AV3492" s="83" t="str">
        <f>HYPERLINK("https://pbs.twimg.com/media/F2ap1OrWEAA2ZxJ.jpg")</f>
        <v>https://pbs.twimg.com/media/F2ap1OrWEAA2ZxJ.jpg</v>
      </c>
      <c r="AW3492" s="80" t="s">
        <v>19206</v>
      </c>
      <c r="AX3492" s="80" t="s">
        <v>19206</v>
      </c>
      <c r="AY3492" s="77"/>
      <c r="AZ3492" s="80" t="s">
        <v>20380</v>
      </c>
      <c r="BA3492" s="80" t="s">
        <v>19505</v>
      </c>
      <c r="BB3492" s="80" t="s">
        <v>20380</v>
      </c>
      <c r="BC3492" s="80" t="s">
        <v>19505</v>
      </c>
      <c r="BD3492" s="77">
        <v>468993976</v>
      </c>
      <c r="BE3492" s="77"/>
      <c r="BF3492" s="77"/>
      <c r="BG3492" s="77"/>
      <c r="BH3492" s="77"/>
      <c r="BI3492" s="77"/>
    </row>
    <row r="3493" spans="1:61" x14ac:dyDescent="0.25">
      <c r="A3493" s="62" t="s">
        <v>1386</v>
      </c>
      <c r="B3493" s="62" t="s">
        <v>1386</v>
      </c>
      <c r="C3493" s="63"/>
      <c r="D3493" s="64"/>
      <c r="E3493" s="65"/>
      <c r="F3493" s="66"/>
      <c r="G3493" s="63"/>
      <c r="H3493" s="67"/>
      <c r="I3493" s="68"/>
      <c r="J3493" s="68"/>
      <c r="K3493" s="32"/>
      <c r="L3493" s="75">
        <v>3493</v>
      </c>
      <c r="M3493" s="75"/>
      <c r="N3493" s="70"/>
      <c r="O3493" s="77" t="s">
        <v>179</v>
      </c>
      <c r="P3493" s="79">
        <v>45176.590879629628</v>
      </c>
      <c r="Q3493" s="77" t="s">
        <v>5158</v>
      </c>
      <c r="R3493" s="77">
        <v>0</v>
      </c>
      <c r="S3493" s="77">
        <v>0</v>
      </c>
      <c r="T3493" s="77">
        <v>0</v>
      </c>
      <c r="U3493" s="77">
        <v>0</v>
      </c>
      <c r="V3493" s="77">
        <v>63</v>
      </c>
      <c r="W3493" s="80" t="s">
        <v>8051</v>
      </c>
      <c r="X3493" s="77"/>
      <c r="Y3493" s="77"/>
      <c r="Z3493" s="77"/>
      <c r="AA3493" s="77" t="s">
        <v>10179</v>
      </c>
      <c r="AB3493" s="77" t="s">
        <v>10535</v>
      </c>
      <c r="AC3493" s="80" t="s">
        <v>10542</v>
      </c>
      <c r="AD3493" s="77" t="s">
        <v>10620</v>
      </c>
      <c r="AE3493" s="83" t="str">
        <f>HYPERLINK("https://twitter.com/rossanoimpacto/status/1699787321967845681")</f>
        <v>https://twitter.com/rossanoimpacto/status/1699787321967845681</v>
      </c>
      <c r="AF3493" s="79">
        <v>45176.590879629628</v>
      </c>
      <c r="AG3493" s="85">
        <v>45176</v>
      </c>
      <c r="AH3493" s="80" t="s">
        <v>13655</v>
      </c>
      <c r="AI3493" s="77" t="b">
        <v>0</v>
      </c>
      <c r="AJ3493" s="77"/>
      <c r="AK3493" s="77"/>
      <c r="AL3493" s="77"/>
      <c r="AM3493" s="77"/>
      <c r="AN3493" s="77"/>
      <c r="AO3493" s="77"/>
      <c r="AP3493" s="77"/>
      <c r="AQ3493" s="77" t="s">
        <v>15659</v>
      </c>
      <c r="AR3493" s="77"/>
      <c r="AS3493" s="77"/>
      <c r="AT3493" s="77"/>
      <c r="AU3493" s="77"/>
      <c r="AV3493" s="83" t="str">
        <f>HYPERLINK("https://pbs.twimg.com/media/F5bbiS_bIAAiRDm.jpg")</f>
        <v>https://pbs.twimg.com/media/F5bbiS_bIAAiRDm.jpg</v>
      </c>
      <c r="AW3493" s="80" t="s">
        <v>19207</v>
      </c>
      <c r="AX3493" s="80" t="s">
        <v>19207</v>
      </c>
      <c r="AY3493" s="77"/>
      <c r="AZ3493" s="80" t="s">
        <v>20380</v>
      </c>
      <c r="BA3493" s="80" t="s">
        <v>20380</v>
      </c>
      <c r="BB3493" s="80" t="s">
        <v>20380</v>
      </c>
      <c r="BC3493" s="80" t="s">
        <v>19207</v>
      </c>
      <c r="BD3493" s="77">
        <v>54198760</v>
      </c>
      <c r="BE3493" s="77"/>
      <c r="BF3493" s="77"/>
      <c r="BG3493" s="77"/>
      <c r="BH3493" s="77"/>
      <c r="BI3493" s="77"/>
    </row>
    <row r="3494" spans="1:61" x14ac:dyDescent="0.25">
      <c r="A3494" s="62" t="s">
        <v>1386</v>
      </c>
      <c r="B3494" s="62" t="s">
        <v>1386</v>
      </c>
      <c r="C3494" s="63"/>
      <c r="D3494" s="64"/>
      <c r="E3494" s="65"/>
      <c r="F3494" s="66"/>
      <c r="G3494" s="63"/>
      <c r="H3494" s="67"/>
      <c r="I3494" s="68"/>
      <c r="J3494" s="68"/>
      <c r="K3494" s="32"/>
      <c r="L3494" s="75">
        <v>3494</v>
      </c>
      <c r="M3494" s="75"/>
      <c r="N3494" s="70"/>
      <c r="O3494" s="77" t="s">
        <v>179</v>
      </c>
      <c r="P3494" s="79">
        <v>45176.009131944447</v>
      </c>
      <c r="Q3494" s="77" t="s">
        <v>5159</v>
      </c>
      <c r="R3494" s="77">
        <v>4</v>
      </c>
      <c r="S3494" s="77">
        <v>2</v>
      </c>
      <c r="T3494" s="77">
        <v>0</v>
      </c>
      <c r="U3494" s="77">
        <v>0</v>
      </c>
      <c r="V3494" s="77">
        <v>331</v>
      </c>
      <c r="W3494" s="80" t="s">
        <v>8052</v>
      </c>
      <c r="X3494" s="77"/>
      <c r="Y3494" s="77"/>
      <c r="Z3494" s="77"/>
      <c r="AA3494" s="77" t="s">
        <v>10180</v>
      </c>
      <c r="AB3494" s="77" t="s">
        <v>10535</v>
      </c>
      <c r="AC3494" s="80" t="s">
        <v>10541</v>
      </c>
      <c r="AD3494" s="77" t="s">
        <v>10620</v>
      </c>
      <c r="AE3494" s="83" t="str">
        <f>HYPERLINK("https://twitter.com/rossanoimpacto/status/1699576502352785700")</f>
        <v>https://twitter.com/rossanoimpacto/status/1699576502352785700</v>
      </c>
      <c r="AF3494" s="79">
        <v>45176.009131944447</v>
      </c>
      <c r="AG3494" s="85">
        <v>45176</v>
      </c>
      <c r="AH3494" s="80" t="s">
        <v>13656</v>
      </c>
      <c r="AI3494" s="77" t="b">
        <v>0</v>
      </c>
      <c r="AJ3494" s="77"/>
      <c r="AK3494" s="77"/>
      <c r="AL3494" s="77"/>
      <c r="AM3494" s="77"/>
      <c r="AN3494" s="77"/>
      <c r="AO3494" s="77"/>
      <c r="AP3494" s="77"/>
      <c r="AQ3494" s="77" t="s">
        <v>15660</v>
      </c>
      <c r="AR3494" s="77"/>
      <c r="AS3494" s="77"/>
      <c r="AT3494" s="77"/>
      <c r="AU3494" s="77"/>
      <c r="AV3494" s="83" t="str">
        <f>HYPERLINK("https://pbs.twimg.com/media/F5Yan2cWIAEubTi.jpg")</f>
        <v>https://pbs.twimg.com/media/F5Yan2cWIAEubTi.jpg</v>
      </c>
      <c r="AW3494" s="80" t="s">
        <v>19208</v>
      </c>
      <c r="AX3494" s="80" t="s">
        <v>19208</v>
      </c>
      <c r="AY3494" s="77"/>
      <c r="AZ3494" s="80" t="s">
        <v>20380</v>
      </c>
      <c r="BA3494" s="80" t="s">
        <v>20380</v>
      </c>
      <c r="BB3494" s="80" t="s">
        <v>20380</v>
      </c>
      <c r="BC3494" s="80" t="s">
        <v>19208</v>
      </c>
      <c r="BD3494" s="77">
        <v>54198760</v>
      </c>
      <c r="BE3494" s="77"/>
      <c r="BF3494" s="77"/>
      <c r="BG3494" s="77"/>
      <c r="BH3494" s="77"/>
      <c r="BI3494" s="77"/>
    </row>
    <row r="3495" spans="1:61" x14ac:dyDescent="0.25">
      <c r="A3495" s="62" t="s">
        <v>1387</v>
      </c>
      <c r="B3495" s="62" t="s">
        <v>1387</v>
      </c>
      <c r="C3495" s="63"/>
      <c r="D3495" s="64"/>
      <c r="E3495" s="65"/>
      <c r="F3495" s="66"/>
      <c r="G3495" s="63"/>
      <c r="H3495" s="67"/>
      <c r="I3495" s="68"/>
      <c r="J3495" s="68"/>
      <c r="K3495" s="32"/>
      <c r="L3495" s="75">
        <v>3495</v>
      </c>
      <c r="M3495" s="75"/>
      <c r="N3495" s="70"/>
      <c r="O3495" s="77" t="s">
        <v>179</v>
      </c>
      <c r="P3495" s="79">
        <v>45099.518449074072</v>
      </c>
      <c r="Q3495" s="77" t="s">
        <v>5160</v>
      </c>
      <c r="R3495" s="77">
        <v>0</v>
      </c>
      <c r="S3495" s="77">
        <v>0</v>
      </c>
      <c r="T3495" s="77">
        <v>0</v>
      </c>
      <c r="U3495" s="77">
        <v>0</v>
      </c>
      <c r="V3495" s="77">
        <v>7</v>
      </c>
      <c r="W3495" s="80" t="s">
        <v>5884</v>
      </c>
      <c r="X3495" s="83" t="str">
        <f>HYPERLINK("https://www.youtube.com/watch?v=PuVa3dCYcew")</f>
        <v>https://www.youtube.com/watch?v=PuVa3dCYcew</v>
      </c>
      <c r="Y3495" s="77" t="s">
        <v>8612</v>
      </c>
      <c r="Z3495" s="77"/>
      <c r="AA3495" s="77"/>
      <c r="AB3495" s="77"/>
      <c r="AC3495" s="80" t="s">
        <v>10541</v>
      </c>
      <c r="AD3495" s="77" t="s">
        <v>10617</v>
      </c>
      <c r="AE3495" s="83" t="str">
        <f>HYPERLINK("https://twitter.com/elciddocerrado/status/1671857207078518789")</f>
        <v>https://twitter.com/elciddocerrado/status/1671857207078518789</v>
      </c>
      <c r="AF3495" s="79">
        <v>45099.518449074072</v>
      </c>
      <c r="AG3495" s="85">
        <v>45099</v>
      </c>
      <c r="AH3495" s="80" t="s">
        <v>13657</v>
      </c>
      <c r="AI3495" s="77" t="b">
        <v>0</v>
      </c>
      <c r="AJ3495" s="77"/>
      <c r="AK3495" s="77"/>
      <c r="AL3495" s="77"/>
      <c r="AM3495" s="77"/>
      <c r="AN3495" s="77"/>
      <c r="AO3495" s="77"/>
      <c r="AP3495" s="77"/>
      <c r="AQ3495" s="77"/>
      <c r="AR3495" s="77"/>
      <c r="AS3495" s="77"/>
      <c r="AT3495" s="77"/>
      <c r="AU3495" s="77"/>
      <c r="AV3495" s="83" t="str">
        <f>HYPERLINK("https://pbs.twimg.com/profile_images/933763166542139392/CEMKbElt_normal.jpg")</f>
        <v>https://pbs.twimg.com/profile_images/933763166542139392/CEMKbElt_normal.jpg</v>
      </c>
      <c r="AW3495" s="80" t="s">
        <v>19209</v>
      </c>
      <c r="AX3495" s="80" t="s">
        <v>19209</v>
      </c>
      <c r="AY3495" s="77"/>
      <c r="AZ3495" s="80" t="s">
        <v>20380</v>
      </c>
      <c r="BA3495" s="80" t="s">
        <v>20380</v>
      </c>
      <c r="BB3495" s="80" t="s">
        <v>20380</v>
      </c>
      <c r="BC3495" s="80" t="s">
        <v>19209</v>
      </c>
      <c r="BD3495" s="77">
        <v>50734399</v>
      </c>
      <c r="BE3495" s="77"/>
      <c r="BF3495" s="77"/>
      <c r="BG3495" s="77"/>
      <c r="BH3495" s="77"/>
      <c r="BI3495" s="77"/>
    </row>
    <row r="3496" spans="1:61" x14ac:dyDescent="0.25">
      <c r="A3496" s="62" t="s">
        <v>1388</v>
      </c>
      <c r="B3496" s="62" t="s">
        <v>1388</v>
      </c>
      <c r="C3496" s="63"/>
      <c r="D3496" s="64"/>
      <c r="E3496" s="65"/>
      <c r="F3496" s="66"/>
      <c r="G3496" s="63"/>
      <c r="H3496" s="67"/>
      <c r="I3496" s="68"/>
      <c r="J3496" s="68"/>
      <c r="K3496" s="32"/>
      <c r="L3496" s="75">
        <v>3496</v>
      </c>
      <c r="M3496" s="75"/>
      <c r="N3496" s="70"/>
      <c r="O3496" s="77" t="s">
        <v>179</v>
      </c>
      <c r="P3496" s="79">
        <v>45138.998645833337</v>
      </c>
      <c r="Q3496" s="77" t="s">
        <v>5161</v>
      </c>
      <c r="R3496" s="77">
        <v>0</v>
      </c>
      <c r="S3496" s="77">
        <v>1</v>
      </c>
      <c r="T3496" s="77">
        <v>0</v>
      </c>
      <c r="U3496" s="77">
        <v>0</v>
      </c>
      <c r="V3496" s="77">
        <v>26</v>
      </c>
      <c r="W3496" s="80" t="s">
        <v>6345</v>
      </c>
      <c r="X3496" s="77"/>
      <c r="Y3496" s="77"/>
      <c r="Z3496" s="77"/>
      <c r="AA3496" s="77" t="s">
        <v>10181</v>
      </c>
      <c r="AB3496" s="77" t="s">
        <v>10535</v>
      </c>
      <c r="AC3496" s="80" t="s">
        <v>10541</v>
      </c>
      <c r="AD3496" s="77" t="s">
        <v>10620</v>
      </c>
      <c r="AE3496" s="83" t="str">
        <f>HYPERLINK("https://twitter.com/revistaenterat2/status/1686164352573882368")</f>
        <v>https://twitter.com/revistaenterat2/status/1686164352573882368</v>
      </c>
      <c r="AF3496" s="79">
        <v>45138.998645833337</v>
      </c>
      <c r="AG3496" s="85">
        <v>45138</v>
      </c>
      <c r="AH3496" s="80" t="s">
        <v>13658</v>
      </c>
      <c r="AI3496" s="77" t="b">
        <v>0</v>
      </c>
      <c r="AJ3496" s="77"/>
      <c r="AK3496" s="77"/>
      <c r="AL3496" s="77"/>
      <c r="AM3496" s="77"/>
      <c r="AN3496" s="77"/>
      <c r="AO3496" s="77"/>
      <c r="AP3496" s="77"/>
      <c r="AQ3496" s="77" t="s">
        <v>15661</v>
      </c>
      <c r="AR3496" s="77"/>
      <c r="AS3496" s="77"/>
      <c r="AT3496" s="77"/>
      <c r="AU3496" s="77"/>
      <c r="AV3496" s="83" t="str">
        <f>HYPERLINK("https://pbs.twimg.com/media/F2Z1UUoXEAAqglb.jpg")</f>
        <v>https://pbs.twimg.com/media/F2Z1UUoXEAAqglb.jpg</v>
      </c>
      <c r="AW3496" s="80" t="s">
        <v>19210</v>
      </c>
      <c r="AX3496" s="80" t="s">
        <v>19210</v>
      </c>
      <c r="AY3496" s="77"/>
      <c r="AZ3496" s="80" t="s">
        <v>20380</v>
      </c>
      <c r="BA3496" s="80" t="s">
        <v>20380</v>
      </c>
      <c r="BB3496" s="80" t="s">
        <v>20380</v>
      </c>
      <c r="BC3496" s="80" t="s">
        <v>19210</v>
      </c>
      <c r="BD3496" s="80" t="s">
        <v>21065</v>
      </c>
      <c r="BE3496" s="77"/>
      <c r="BF3496" s="77"/>
      <c r="BG3496" s="77"/>
      <c r="BH3496" s="77"/>
      <c r="BI3496" s="77"/>
    </row>
    <row r="3497" spans="1:61" x14ac:dyDescent="0.25">
      <c r="A3497" s="62" t="s">
        <v>1389</v>
      </c>
      <c r="B3497" s="62" t="s">
        <v>1389</v>
      </c>
      <c r="C3497" s="63"/>
      <c r="D3497" s="64"/>
      <c r="E3497" s="65"/>
      <c r="F3497" s="66"/>
      <c r="G3497" s="63"/>
      <c r="H3497" s="67"/>
      <c r="I3497" s="68"/>
      <c r="J3497" s="68"/>
      <c r="K3497" s="32"/>
      <c r="L3497" s="75">
        <v>3497</v>
      </c>
      <c r="M3497" s="75"/>
      <c r="N3497" s="70"/>
      <c r="O3497" s="77" t="s">
        <v>179</v>
      </c>
      <c r="P3497" s="79">
        <v>45167.031793981485</v>
      </c>
      <c r="Q3497" s="77" t="s">
        <v>5162</v>
      </c>
      <c r="R3497" s="77">
        <v>0</v>
      </c>
      <c r="S3497" s="77">
        <v>1</v>
      </c>
      <c r="T3497" s="77">
        <v>0</v>
      </c>
      <c r="U3497" s="77">
        <v>0</v>
      </c>
      <c r="V3497" s="77">
        <v>14</v>
      </c>
      <c r="W3497" s="80" t="s">
        <v>6271</v>
      </c>
      <c r="X3497" s="77"/>
      <c r="Y3497" s="77"/>
      <c r="Z3497" s="77"/>
      <c r="AA3497" s="77" t="s">
        <v>10182</v>
      </c>
      <c r="AB3497" s="77" t="s">
        <v>10535</v>
      </c>
      <c r="AC3497" s="80" t="s">
        <v>10541</v>
      </c>
      <c r="AD3497" s="77" t="s">
        <v>10617</v>
      </c>
      <c r="AE3497" s="83" t="str">
        <f>HYPERLINK("https://twitter.com/_carloswaldir/status/1696323224332558747")</f>
        <v>https://twitter.com/_carloswaldir/status/1696323224332558747</v>
      </c>
      <c r="AF3497" s="79">
        <v>45167.031793981485</v>
      </c>
      <c r="AG3497" s="85">
        <v>45167</v>
      </c>
      <c r="AH3497" s="80" t="s">
        <v>13659</v>
      </c>
      <c r="AI3497" s="77" t="b">
        <v>0</v>
      </c>
      <c r="AJ3497" s="77"/>
      <c r="AK3497" s="77"/>
      <c r="AL3497" s="77"/>
      <c r="AM3497" s="77"/>
      <c r="AN3497" s="77"/>
      <c r="AO3497" s="77"/>
      <c r="AP3497" s="77"/>
      <c r="AQ3497" s="77" t="s">
        <v>15662</v>
      </c>
      <c r="AR3497" s="77"/>
      <c r="AS3497" s="77"/>
      <c r="AT3497" s="77"/>
      <c r="AU3497" s="77"/>
      <c r="AV3497" s="83" t="str">
        <f>HYPERLINK("https://pbs.twimg.com/media/F4qM02CWIAATbqw.jpg")</f>
        <v>https://pbs.twimg.com/media/F4qM02CWIAATbqw.jpg</v>
      </c>
      <c r="AW3497" s="80" t="s">
        <v>19211</v>
      </c>
      <c r="AX3497" s="80" t="s">
        <v>19211</v>
      </c>
      <c r="AY3497" s="77"/>
      <c r="AZ3497" s="80" t="s">
        <v>20380</v>
      </c>
      <c r="BA3497" s="80" t="s">
        <v>20380</v>
      </c>
      <c r="BB3497" s="80" t="s">
        <v>20380</v>
      </c>
      <c r="BC3497" s="80" t="s">
        <v>19211</v>
      </c>
      <c r="BD3497" s="80" t="s">
        <v>21066</v>
      </c>
      <c r="BE3497" s="77"/>
      <c r="BF3497" s="77"/>
      <c r="BG3497" s="77"/>
      <c r="BH3497" s="77"/>
      <c r="BI3497" s="77"/>
    </row>
    <row r="3498" spans="1:61" x14ac:dyDescent="0.25">
      <c r="A3498" s="62" t="s">
        <v>1390</v>
      </c>
      <c r="B3498" s="62" t="s">
        <v>1390</v>
      </c>
      <c r="C3498" s="63"/>
      <c r="D3498" s="64"/>
      <c r="E3498" s="65"/>
      <c r="F3498" s="66"/>
      <c r="G3498" s="63"/>
      <c r="H3498" s="67"/>
      <c r="I3498" s="68"/>
      <c r="J3498" s="68"/>
      <c r="K3498" s="32"/>
      <c r="L3498" s="75">
        <v>3498</v>
      </c>
      <c r="M3498" s="75"/>
      <c r="N3498" s="70"/>
      <c r="O3498" s="77" t="s">
        <v>179</v>
      </c>
      <c r="P3498" s="79">
        <v>45067.88480324074</v>
      </c>
      <c r="Q3498" s="77" t="s">
        <v>5163</v>
      </c>
      <c r="R3498" s="77">
        <v>1</v>
      </c>
      <c r="S3498" s="77">
        <v>1</v>
      </c>
      <c r="T3498" s="77">
        <v>2</v>
      </c>
      <c r="U3498" s="77">
        <v>0</v>
      </c>
      <c r="V3498" s="77">
        <v>28</v>
      </c>
      <c r="W3498" s="80" t="s">
        <v>8053</v>
      </c>
      <c r="X3498" s="83" t="str">
        <f>HYPERLINK("https://www.youtube.com/watch?v=sMtwUNmsXEQ")</f>
        <v>https://www.youtube.com/watch?v=sMtwUNmsXEQ</v>
      </c>
      <c r="Y3498" s="77" t="s">
        <v>8612</v>
      </c>
      <c r="Z3498" s="77"/>
      <c r="AA3498" s="77"/>
      <c r="AB3498" s="77"/>
      <c r="AC3498" s="80" t="s">
        <v>10542</v>
      </c>
      <c r="AD3498" s="77" t="s">
        <v>10617</v>
      </c>
      <c r="AE3498" s="83" t="str">
        <f>HYPERLINK("https://twitter.com/ricardovaxx/status/1660393558522617858")</f>
        <v>https://twitter.com/ricardovaxx/status/1660393558522617858</v>
      </c>
      <c r="AF3498" s="79">
        <v>45067.88480324074</v>
      </c>
      <c r="AG3498" s="85">
        <v>45067</v>
      </c>
      <c r="AH3498" s="80" t="s">
        <v>13660</v>
      </c>
      <c r="AI3498" s="77" t="b">
        <v>0</v>
      </c>
      <c r="AJ3498" s="77"/>
      <c r="AK3498" s="77"/>
      <c r="AL3498" s="77"/>
      <c r="AM3498" s="77"/>
      <c r="AN3498" s="77"/>
      <c r="AO3498" s="77"/>
      <c r="AP3498" s="77"/>
      <c r="AQ3498" s="77"/>
      <c r="AR3498" s="77"/>
      <c r="AS3498" s="77"/>
      <c r="AT3498" s="77"/>
      <c r="AU3498" s="77"/>
      <c r="AV3498" s="83" t="str">
        <f>HYPERLINK("https://pbs.twimg.com/profile_images/1474092905228869634/j0iqxw6f_normal.jpg")</f>
        <v>https://pbs.twimg.com/profile_images/1474092905228869634/j0iqxw6f_normal.jpg</v>
      </c>
      <c r="AW3498" s="80" t="s">
        <v>19212</v>
      </c>
      <c r="AX3498" s="80" t="s">
        <v>19212</v>
      </c>
      <c r="AY3498" s="77"/>
      <c r="AZ3498" s="80" t="s">
        <v>20380</v>
      </c>
      <c r="BA3498" s="80" t="s">
        <v>20380</v>
      </c>
      <c r="BB3498" s="80" t="s">
        <v>20380</v>
      </c>
      <c r="BC3498" s="80" t="s">
        <v>19212</v>
      </c>
      <c r="BD3498" s="80" t="s">
        <v>21067</v>
      </c>
      <c r="BE3498" s="77"/>
      <c r="BF3498" s="77"/>
      <c r="BG3498" s="77"/>
      <c r="BH3498" s="77"/>
      <c r="BI3498" s="77"/>
    </row>
    <row r="3499" spans="1:61" x14ac:dyDescent="0.25">
      <c r="A3499" s="62" t="s">
        <v>1391</v>
      </c>
      <c r="B3499" s="62" t="s">
        <v>1615</v>
      </c>
      <c r="C3499" s="63"/>
      <c r="D3499" s="64"/>
      <c r="E3499" s="65"/>
      <c r="F3499" s="66"/>
      <c r="G3499" s="63"/>
      <c r="H3499" s="67"/>
      <c r="I3499" s="68"/>
      <c r="J3499" s="68"/>
      <c r="K3499" s="32"/>
      <c r="L3499" s="75">
        <v>3499</v>
      </c>
      <c r="M3499" s="75"/>
      <c r="N3499" s="70"/>
      <c r="O3499" s="77" t="s">
        <v>2083</v>
      </c>
      <c r="P3499" s="79">
        <v>45189.296354166669</v>
      </c>
      <c r="Q3499" s="77" t="s">
        <v>2102</v>
      </c>
      <c r="R3499" s="77">
        <v>10</v>
      </c>
      <c r="S3499" s="77">
        <v>0</v>
      </c>
      <c r="T3499" s="77">
        <v>0</v>
      </c>
      <c r="U3499" s="77">
        <v>0</v>
      </c>
      <c r="V3499" s="77"/>
      <c r="W3499" s="80" t="s">
        <v>5899</v>
      </c>
      <c r="X3499" s="77"/>
      <c r="Y3499" s="77"/>
      <c r="Z3499" s="77" t="s">
        <v>1615</v>
      </c>
      <c r="AA3499" s="77" t="s">
        <v>9047</v>
      </c>
      <c r="AB3499" s="77" t="s">
        <v>10535</v>
      </c>
      <c r="AC3499" s="80" t="s">
        <v>10542</v>
      </c>
      <c r="AD3499" s="77" t="s">
        <v>10619</v>
      </c>
      <c r="AE3499" s="83" t="str">
        <f>HYPERLINK("https://twitter.com/dalviomachava/status/1704391628767563789")</f>
        <v>https://twitter.com/dalviomachava/status/1704391628767563789</v>
      </c>
      <c r="AF3499" s="79">
        <v>45189.296354166669</v>
      </c>
      <c r="AG3499" s="85">
        <v>45189</v>
      </c>
      <c r="AH3499" s="80" t="s">
        <v>13661</v>
      </c>
      <c r="AI3499" s="77" t="b">
        <v>0</v>
      </c>
      <c r="AJ3499" s="77"/>
      <c r="AK3499" s="77"/>
      <c r="AL3499" s="77"/>
      <c r="AM3499" s="77"/>
      <c r="AN3499" s="77"/>
      <c r="AO3499" s="77"/>
      <c r="AP3499" s="77"/>
      <c r="AQ3499" s="77" t="s">
        <v>14529</v>
      </c>
      <c r="AR3499" s="77"/>
      <c r="AS3499" s="77"/>
      <c r="AT3499" s="77"/>
      <c r="AU3499" s="77"/>
      <c r="AV3499" s="83" t="str">
        <f>HYPERLINK("https://pbs.twimg.com/media/F6c2kgoWAAAEEnO.jpg")</f>
        <v>https://pbs.twimg.com/media/F6c2kgoWAAAEEnO.jpg</v>
      </c>
      <c r="AW3499" s="80" t="s">
        <v>19213</v>
      </c>
      <c r="AX3499" s="80" t="s">
        <v>19213</v>
      </c>
      <c r="AY3499" s="77"/>
      <c r="AZ3499" s="80" t="s">
        <v>20380</v>
      </c>
      <c r="BA3499" s="80" t="s">
        <v>20380</v>
      </c>
      <c r="BB3499" s="80" t="s">
        <v>19728</v>
      </c>
      <c r="BC3499" s="80" t="s">
        <v>19728</v>
      </c>
      <c r="BD3499" s="77">
        <v>279170177</v>
      </c>
      <c r="BE3499" s="77"/>
      <c r="BF3499" s="77"/>
      <c r="BG3499" s="77"/>
      <c r="BH3499" s="77"/>
      <c r="BI3499" s="77"/>
    </row>
    <row r="3500" spans="1:61" x14ac:dyDescent="0.25">
      <c r="A3500" s="62" t="s">
        <v>1392</v>
      </c>
      <c r="B3500" s="62" t="s">
        <v>1498</v>
      </c>
      <c r="C3500" s="63"/>
      <c r="D3500" s="64"/>
      <c r="E3500" s="65"/>
      <c r="F3500" s="66"/>
      <c r="G3500" s="63"/>
      <c r="H3500" s="67"/>
      <c r="I3500" s="68"/>
      <c r="J3500" s="68"/>
      <c r="K3500" s="32"/>
      <c r="L3500" s="75">
        <v>3500</v>
      </c>
      <c r="M3500" s="75"/>
      <c r="N3500" s="70"/>
      <c r="O3500" s="77" t="s">
        <v>2083</v>
      </c>
      <c r="P3500" s="79">
        <v>45196.931932870371</v>
      </c>
      <c r="Q3500" s="77" t="s">
        <v>5164</v>
      </c>
      <c r="R3500" s="77">
        <v>1</v>
      </c>
      <c r="S3500" s="77">
        <v>0</v>
      </c>
      <c r="T3500" s="77">
        <v>0</v>
      </c>
      <c r="U3500" s="77">
        <v>0</v>
      </c>
      <c r="V3500" s="77"/>
      <c r="W3500" s="80" t="s">
        <v>8054</v>
      </c>
      <c r="X3500" s="77"/>
      <c r="Y3500" s="77"/>
      <c r="Z3500" s="77" t="s">
        <v>1498</v>
      </c>
      <c r="AA3500" s="77"/>
      <c r="AB3500" s="77"/>
      <c r="AC3500" s="80" t="s">
        <v>10542</v>
      </c>
      <c r="AD3500" s="77" t="s">
        <v>10617</v>
      </c>
      <c r="AE3500" s="83" t="str">
        <f>HYPERLINK("https://twitter.com/rodaseca/status/1707158672722289139")</f>
        <v>https://twitter.com/rodaseca/status/1707158672722289139</v>
      </c>
      <c r="AF3500" s="79">
        <v>45196.931932870371</v>
      </c>
      <c r="AG3500" s="85">
        <v>45196</v>
      </c>
      <c r="AH3500" s="80" t="s">
        <v>13662</v>
      </c>
      <c r="AI3500" s="77"/>
      <c r="AJ3500" s="77"/>
      <c r="AK3500" s="77"/>
      <c r="AL3500" s="77"/>
      <c r="AM3500" s="77"/>
      <c r="AN3500" s="77"/>
      <c r="AO3500" s="77"/>
      <c r="AP3500" s="77"/>
      <c r="AQ3500" s="77"/>
      <c r="AR3500" s="77"/>
      <c r="AS3500" s="77"/>
      <c r="AT3500" s="77"/>
      <c r="AU3500" s="77"/>
      <c r="AV3500" s="83" t="str">
        <f>HYPERLINK("https://pbs.twimg.com/profile_images/1669023262209187841/MIDEJbx7_normal.jpg")</f>
        <v>https://pbs.twimg.com/profile_images/1669023262209187841/MIDEJbx7_normal.jpg</v>
      </c>
      <c r="AW3500" s="80" t="s">
        <v>19214</v>
      </c>
      <c r="AX3500" s="80" t="s">
        <v>19214</v>
      </c>
      <c r="AY3500" s="77"/>
      <c r="AZ3500" s="80" t="s">
        <v>20380</v>
      </c>
      <c r="BA3500" s="80" t="s">
        <v>20380</v>
      </c>
      <c r="BB3500" s="80" t="s">
        <v>19437</v>
      </c>
      <c r="BC3500" s="80" t="s">
        <v>19437</v>
      </c>
      <c r="BD3500" s="80" t="s">
        <v>21068</v>
      </c>
      <c r="BE3500" s="77"/>
      <c r="BF3500" s="77"/>
      <c r="BG3500" s="77"/>
      <c r="BH3500" s="77"/>
      <c r="BI3500" s="77"/>
    </row>
    <row r="3501" spans="1:61" x14ac:dyDescent="0.25">
      <c r="A3501" s="62" t="s">
        <v>1393</v>
      </c>
      <c r="B3501" s="62" t="s">
        <v>2025</v>
      </c>
      <c r="C3501" s="63"/>
      <c r="D3501" s="64"/>
      <c r="E3501" s="65"/>
      <c r="F3501" s="66"/>
      <c r="G3501" s="63"/>
      <c r="H3501" s="67"/>
      <c r="I3501" s="68"/>
      <c r="J3501" s="68"/>
      <c r="K3501" s="32"/>
      <c r="L3501" s="75">
        <v>3501</v>
      </c>
      <c r="M3501" s="75"/>
      <c r="N3501" s="70"/>
      <c r="O3501" s="77" t="s">
        <v>2081</v>
      </c>
      <c r="P3501" s="79">
        <v>45189.531828703701</v>
      </c>
      <c r="Q3501" s="77" t="s">
        <v>5165</v>
      </c>
      <c r="R3501" s="77">
        <v>0</v>
      </c>
      <c r="S3501" s="77">
        <v>0</v>
      </c>
      <c r="T3501" s="77">
        <v>1</v>
      </c>
      <c r="U3501" s="77">
        <v>0</v>
      </c>
      <c r="V3501" s="77">
        <v>34</v>
      </c>
      <c r="W3501" s="80" t="s">
        <v>8055</v>
      </c>
      <c r="X3501" s="83" t="str">
        <f>HYPERLINK("https://vm.tiktok.com/ZMjAMs2uL/")</f>
        <v>https://vm.tiktok.com/ZMjAMs2uL/</v>
      </c>
      <c r="Y3501" s="77" t="s">
        <v>8641</v>
      </c>
      <c r="Z3501" s="77" t="s">
        <v>2025</v>
      </c>
      <c r="AA3501" s="77" t="s">
        <v>10183</v>
      </c>
      <c r="AB3501" s="77" t="s">
        <v>10534</v>
      </c>
      <c r="AC3501" s="80" t="s">
        <v>10540</v>
      </c>
      <c r="AD3501" s="77" t="s">
        <v>10620</v>
      </c>
      <c r="AE3501" s="83" t="str">
        <f>HYPERLINK("https://twitter.com/freityt/status/1704476962838778362")</f>
        <v>https://twitter.com/freityt/status/1704476962838778362</v>
      </c>
      <c r="AF3501" s="79">
        <v>45189.531828703701</v>
      </c>
      <c r="AG3501" s="85">
        <v>45189</v>
      </c>
      <c r="AH3501" s="80" t="s">
        <v>13663</v>
      </c>
      <c r="AI3501" s="77" t="b">
        <v>0</v>
      </c>
      <c r="AJ3501" s="77"/>
      <c r="AK3501" s="77"/>
      <c r="AL3501" s="77"/>
      <c r="AM3501" s="77"/>
      <c r="AN3501" s="77"/>
      <c r="AO3501" s="77"/>
      <c r="AP3501" s="77"/>
      <c r="AQ3501" s="77" t="s">
        <v>15663</v>
      </c>
      <c r="AR3501" s="77">
        <v>44990</v>
      </c>
      <c r="AS3501" s="77"/>
      <c r="AT3501" s="77"/>
      <c r="AU3501" s="77"/>
      <c r="AV3501" s="83" t="str">
        <f>HYPERLINK("https://pbs.twimg.com/ext_tw_video_thumb/1704476896354791424/pu/img/wWmn0ue3O90aVr6S.jpg")</f>
        <v>https://pbs.twimg.com/ext_tw_video_thumb/1704476896354791424/pu/img/wWmn0ue3O90aVr6S.jpg</v>
      </c>
      <c r="AW3501" s="80" t="s">
        <v>19215</v>
      </c>
      <c r="AX3501" s="80" t="s">
        <v>19215</v>
      </c>
      <c r="AY3501" s="77"/>
      <c r="AZ3501" s="80" t="s">
        <v>20380</v>
      </c>
      <c r="BA3501" s="80" t="s">
        <v>20380</v>
      </c>
      <c r="BB3501" s="80" t="s">
        <v>20380</v>
      </c>
      <c r="BC3501" s="80" t="s">
        <v>19215</v>
      </c>
      <c r="BD3501" s="80" t="s">
        <v>20353</v>
      </c>
      <c r="BE3501" s="77"/>
      <c r="BF3501" s="77"/>
      <c r="BG3501" s="77"/>
      <c r="BH3501" s="77"/>
      <c r="BI3501" s="77"/>
    </row>
    <row r="3502" spans="1:61" x14ac:dyDescent="0.25">
      <c r="A3502" s="62" t="s">
        <v>1393</v>
      </c>
      <c r="B3502" s="62" t="s">
        <v>2026</v>
      </c>
      <c r="C3502" s="63"/>
      <c r="D3502" s="64"/>
      <c r="E3502" s="65"/>
      <c r="F3502" s="66"/>
      <c r="G3502" s="63"/>
      <c r="H3502" s="67"/>
      <c r="I3502" s="68"/>
      <c r="J3502" s="68"/>
      <c r="K3502" s="32"/>
      <c r="L3502" s="75">
        <v>3502</v>
      </c>
      <c r="M3502" s="75"/>
      <c r="N3502" s="70"/>
      <c r="O3502" s="77" t="s">
        <v>2081</v>
      </c>
      <c r="P3502" s="79">
        <v>45184.341585648152</v>
      </c>
      <c r="Q3502" s="77" t="s">
        <v>5166</v>
      </c>
      <c r="R3502" s="77">
        <v>0</v>
      </c>
      <c r="S3502" s="77">
        <v>0</v>
      </c>
      <c r="T3502" s="77">
        <v>1</v>
      </c>
      <c r="U3502" s="77">
        <v>0</v>
      </c>
      <c r="V3502" s="77">
        <v>20</v>
      </c>
      <c r="W3502" s="80" t="s">
        <v>8056</v>
      </c>
      <c r="X3502" s="83" t="str">
        <f>HYPERLINK("https://vm.tiktok.com/ZMjkBTa66/")</f>
        <v>https://vm.tiktok.com/ZMjkBTa66/</v>
      </c>
      <c r="Y3502" s="77" t="s">
        <v>8641</v>
      </c>
      <c r="Z3502" s="77" t="s">
        <v>2026</v>
      </c>
      <c r="AA3502" s="77" t="s">
        <v>10184</v>
      </c>
      <c r="AB3502" s="77" t="s">
        <v>10534</v>
      </c>
      <c r="AC3502" s="80" t="s">
        <v>10540</v>
      </c>
      <c r="AD3502" s="77" t="s">
        <v>10620</v>
      </c>
      <c r="AE3502" s="83" t="str">
        <f>HYPERLINK("https://twitter.com/freityt/status/1702596084462174577")</f>
        <v>https://twitter.com/freityt/status/1702596084462174577</v>
      </c>
      <c r="AF3502" s="79">
        <v>45184.341585648152</v>
      </c>
      <c r="AG3502" s="85">
        <v>45184</v>
      </c>
      <c r="AH3502" s="80" t="s">
        <v>13664</v>
      </c>
      <c r="AI3502" s="77" t="b">
        <v>0</v>
      </c>
      <c r="AJ3502" s="77"/>
      <c r="AK3502" s="77"/>
      <c r="AL3502" s="77"/>
      <c r="AM3502" s="77"/>
      <c r="AN3502" s="77"/>
      <c r="AO3502" s="77"/>
      <c r="AP3502" s="77"/>
      <c r="AQ3502" s="77" t="s">
        <v>15664</v>
      </c>
      <c r="AR3502" s="77">
        <v>44998</v>
      </c>
      <c r="AS3502" s="77"/>
      <c r="AT3502" s="77"/>
      <c r="AU3502" s="77"/>
      <c r="AV3502" s="83" t="str">
        <f>HYPERLINK("https://pbs.twimg.com/ext_tw_video_thumb/1702595950726799364/pu/img/366WBH_XPdQovxXV.jpg")</f>
        <v>https://pbs.twimg.com/ext_tw_video_thumb/1702595950726799364/pu/img/366WBH_XPdQovxXV.jpg</v>
      </c>
      <c r="AW3502" s="80" t="s">
        <v>19216</v>
      </c>
      <c r="AX3502" s="80" t="s">
        <v>19216</v>
      </c>
      <c r="AY3502" s="77"/>
      <c r="AZ3502" s="80" t="s">
        <v>20380</v>
      </c>
      <c r="BA3502" s="80" t="s">
        <v>20380</v>
      </c>
      <c r="BB3502" s="80" t="s">
        <v>20380</v>
      </c>
      <c r="BC3502" s="80" t="s">
        <v>19216</v>
      </c>
      <c r="BD3502" s="80" t="s">
        <v>20353</v>
      </c>
      <c r="BE3502" s="77"/>
      <c r="BF3502" s="77"/>
      <c r="BG3502" s="77"/>
      <c r="BH3502" s="77"/>
      <c r="BI3502" s="77"/>
    </row>
    <row r="3503" spans="1:61" x14ac:dyDescent="0.25">
      <c r="A3503" s="62" t="s">
        <v>1393</v>
      </c>
      <c r="B3503" s="62" t="s">
        <v>2027</v>
      </c>
      <c r="C3503" s="63"/>
      <c r="D3503" s="64"/>
      <c r="E3503" s="65"/>
      <c r="F3503" s="66"/>
      <c r="G3503" s="63"/>
      <c r="H3503" s="67"/>
      <c r="I3503" s="68"/>
      <c r="J3503" s="68"/>
      <c r="K3503" s="32"/>
      <c r="L3503" s="75">
        <v>3503</v>
      </c>
      <c r="M3503" s="75"/>
      <c r="N3503" s="70"/>
      <c r="O3503" s="77" t="s">
        <v>2081</v>
      </c>
      <c r="P3503" s="79">
        <v>45191.744444444441</v>
      </c>
      <c r="Q3503" s="77" t="s">
        <v>5167</v>
      </c>
      <c r="R3503" s="77">
        <v>0</v>
      </c>
      <c r="S3503" s="77">
        <v>1</v>
      </c>
      <c r="T3503" s="77">
        <v>1</v>
      </c>
      <c r="U3503" s="77">
        <v>0</v>
      </c>
      <c r="V3503" s="77">
        <v>25</v>
      </c>
      <c r="W3503" s="80" t="s">
        <v>8057</v>
      </c>
      <c r="X3503" s="83" t="str">
        <f>HYPERLINK("https://vm.tiktok.com/ZMjDqBGnf/")</f>
        <v>https://vm.tiktok.com/ZMjDqBGnf/</v>
      </c>
      <c r="Y3503" s="77" t="s">
        <v>8641</v>
      </c>
      <c r="Z3503" s="77" t="s">
        <v>2027</v>
      </c>
      <c r="AA3503" s="77" t="s">
        <v>10185</v>
      </c>
      <c r="AB3503" s="77" t="s">
        <v>10534</v>
      </c>
      <c r="AC3503" s="80" t="s">
        <v>10540</v>
      </c>
      <c r="AD3503" s="77" t="s">
        <v>10620</v>
      </c>
      <c r="AE3503" s="83" t="str">
        <f>HYPERLINK("https://twitter.com/freityt/status/1705278789222109273")</f>
        <v>https://twitter.com/freityt/status/1705278789222109273</v>
      </c>
      <c r="AF3503" s="79">
        <v>45191.744444444441</v>
      </c>
      <c r="AG3503" s="85">
        <v>45191</v>
      </c>
      <c r="AH3503" s="80" t="s">
        <v>13665</v>
      </c>
      <c r="AI3503" s="77" t="b">
        <v>0</v>
      </c>
      <c r="AJ3503" s="77"/>
      <c r="AK3503" s="77"/>
      <c r="AL3503" s="77"/>
      <c r="AM3503" s="77"/>
      <c r="AN3503" s="77"/>
      <c r="AO3503" s="77"/>
      <c r="AP3503" s="77"/>
      <c r="AQ3503" s="77" t="s">
        <v>15665</v>
      </c>
      <c r="AR3503" s="77">
        <v>44995</v>
      </c>
      <c r="AS3503" s="77"/>
      <c r="AT3503" s="77"/>
      <c r="AU3503" s="77"/>
      <c r="AV3503" s="83" t="str">
        <f>HYPERLINK("https://pbs.twimg.com/ext_tw_video_thumb/1705278663883677696/pu/img/8wlt4uyVfTezj5c9.jpg")</f>
        <v>https://pbs.twimg.com/ext_tw_video_thumb/1705278663883677696/pu/img/8wlt4uyVfTezj5c9.jpg</v>
      </c>
      <c r="AW3503" s="80" t="s">
        <v>19217</v>
      </c>
      <c r="AX3503" s="80" t="s">
        <v>19217</v>
      </c>
      <c r="AY3503" s="77"/>
      <c r="AZ3503" s="80" t="s">
        <v>20380</v>
      </c>
      <c r="BA3503" s="80" t="s">
        <v>20380</v>
      </c>
      <c r="BB3503" s="80" t="s">
        <v>20380</v>
      </c>
      <c r="BC3503" s="80" t="s">
        <v>19217</v>
      </c>
      <c r="BD3503" s="80" t="s">
        <v>20353</v>
      </c>
      <c r="BE3503" s="77"/>
      <c r="BF3503" s="77"/>
      <c r="BG3503" s="77"/>
      <c r="BH3503" s="77"/>
      <c r="BI3503" s="77"/>
    </row>
    <row r="3504" spans="1:61" x14ac:dyDescent="0.25">
      <c r="A3504" s="62" t="s">
        <v>1393</v>
      </c>
      <c r="B3504" s="62" t="s">
        <v>1393</v>
      </c>
      <c r="C3504" s="63"/>
      <c r="D3504" s="64"/>
      <c r="E3504" s="65"/>
      <c r="F3504" s="66"/>
      <c r="G3504" s="63"/>
      <c r="H3504" s="67"/>
      <c r="I3504" s="68"/>
      <c r="J3504" s="68"/>
      <c r="K3504" s="32"/>
      <c r="L3504" s="75">
        <v>3504</v>
      </c>
      <c r="M3504" s="75"/>
      <c r="N3504" s="70"/>
      <c r="O3504" s="77" t="s">
        <v>2078</v>
      </c>
      <c r="P3504" s="79">
        <v>45112.655578703707</v>
      </c>
      <c r="Q3504" s="77" t="s">
        <v>5168</v>
      </c>
      <c r="R3504" s="77">
        <v>0</v>
      </c>
      <c r="S3504" s="77">
        <v>0</v>
      </c>
      <c r="T3504" s="77">
        <v>0</v>
      </c>
      <c r="U3504" s="77">
        <v>0</v>
      </c>
      <c r="V3504" s="77">
        <v>32</v>
      </c>
      <c r="W3504" s="80" t="s">
        <v>8058</v>
      </c>
      <c r="X3504" s="83" t="str">
        <f>HYPERLINK("https://vm.tiktok.com/ZM2u94YcR/")</f>
        <v>https://vm.tiktok.com/ZM2u94YcR/</v>
      </c>
      <c r="Y3504" s="77" t="s">
        <v>8641</v>
      </c>
      <c r="Z3504" s="77"/>
      <c r="AA3504" s="77"/>
      <c r="AB3504" s="77"/>
      <c r="AC3504" s="80" t="s">
        <v>10540</v>
      </c>
      <c r="AD3504" s="77" t="s">
        <v>10620</v>
      </c>
      <c r="AE3504" s="83" t="str">
        <f>HYPERLINK("https://twitter.com/freityt/status/1676617944690835456")</f>
        <v>https://twitter.com/freityt/status/1676617944690835456</v>
      </c>
      <c r="AF3504" s="79">
        <v>45112.655578703707</v>
      </c>
      <c r="AG3504" s="85">
        <v>45112</v>
      </c>
      <c r="AH3504" s="80" t="s">
        <v>13666</v>
      </c>
      <c r="AI3504" s="77" t="b">
        <v>0</v>
      </c>
      <c r="AJ3504" s="77"/>
      <c r="AK3504" s="77"/>
      <c r="AL3504" s="77"/>
      <c r="AM3504" s="77"/>
      <c r="AN3504" s="77"/>
      <c r="AO3504" s="77"/>
      <c r="AP3504" s="77"/>
      <c r="AQ3504" s="77"/>
      <c r="AR3504" s="77"/>
      <c r="AS3504" s="77"/>
      <c r="AT3504" s="77"/>
      <c r="AU3504" s="77"/>
      <c r="AV3504" s="83" t="str">
        <f>HYPERLINK("https://pbs.twimg.com/profile_images/1625185710692089857/X-rwZtE2_normal.jpg")</f>
        <v>https://pbs.twimg.com/profile_images/1625185710692089857/X-rwZtE2_normal.jpg</v>
      </c>
      <c r="AW3504" s="80" t="s">
        <v>19218</v>
      </c>
      <c r="AX3504" s="80" t="s">
        <v>20165</v>
      </c>
      <c r="AY3504" s="80" t="s">
        <v>20353</v>
      </c>
      <c r="AZ3504" s="80" t="s">
        <v>20460</v>
      </c>
      <c r="BA3504" s="80" t="s">
        <v>20380</v>
      </c>
      <c r="BB3504" s="80" t="s">
        <v>20380</v>
      </c>
      <c r="BC3504" s="80" t="s">
        <v>20460</v>
      </c>
      <c r="BD3504" s="80" t="s">
        <v>20353</v>
      </c>
      <c r="BE3504" s="77"/>
      <c r="BF3504" s="77"/>
      <c r="BG3504" s="77"/>
      <c r="BH3504" s="77"/>
      <c r="BI3504" s="77"/>
    </row>
    <row r="3505" spans="1:61" x14ac:dyDescent="0.25">
      <c r="A3505" s="62" t="s">
        <v>1393</v>
      </c>
      <c r="B3505" s="62" t="s">
        <v>1393</v>
      </c>
      <c r="C3505" s="63"/>
      <c r="D3505" s="64"/>
      <c r="E3505" s="65"/>
      <c r="F3505" s="66"/>
      <c r="G3505" s="63"/>
      <c r="H3505" s="67"/>
      <c r="I3505" s="68"/>
      <c r="J3505" s="68"/>
      <c r="K3505" s="32"/>
      <c r="L3505" s="75">
        <v>3505</v>
      </c>
      <c r="M3505" s="75"/>
      <c r="N3505" s="70"/>
      <c r="O3505" s="77" t="s">
        <v>2078</v>
      </c>
      <c r="P3505" s="79">
        <v>45155.410208333335</v>
      </c>
      <c r="Q3505" s="77" t="s">
        <v>5169</v>
      </c>
      <c r="R3505" s="77">
        <v>0</v>
      </c>
      <c r="S3505" s="77">
        <v>0</v>
      </c>
      <c r="T3505" s="77">
        <v>0</v>
      </c>
      <c r="U3505" s="77">
        <v>0</v>
      </c>
      <c r="V3505" s="77">
        <v>47</v>
      </c>
      <c r="W3505" s="80" t="s">
        <v>8059</v>
      </c>
      <c r="X3505" s="83" t="str">
        <f>HYPERLINK("https://vm.tiktok.com/ZM2E5rvKX/")</f>
        <v>https://vm.tiktok.com/ZM2E5rvKX/</v>
      </c>
      <c r="Y3505" s="77" t="s">
        <v>8641</v>
      </c>
      <c r="Z3505" s="77"/>
      <c r="AA3505" s="77"/>
      <c r="AB3505" s="77"/>
      <c r="AC3505" s="80" t="s">
        <v>10540</v>
      </c>
      <c r="AD3505" s="77" t="s">
        <v>10619</v>
      </c>
      <c r="AE3505" s="83" t="str">
        <f>HYPERLINK("https://twitter.com/freityt/status/1692111702874104061")</f>
        <v>https://twitter.com/freityt/status/1692111702874104061</v>
      </c>
      <c r="AF3505" s="79">
        <v>45155.410208333335</v>
      </c>
      <c r="AG3505" s="85">
        <v>45155</v>
      </c>
      <c r="AH3505" s="80" t="s">
        <v>13667</v>
      </c>
      <c r="AI3505" s="77" t="b">
        <v>0</v>
      </c>
      <c r="AJ3505" s="77"/>
      <c r="AK3505" s="77"/>
      <c r="AL3505" s="77"/>
      <c r="AM3505" s="77"/>
      <c r="AN3505" s="77"/>
      <c r="AO3505" s="77"/>
      <c r="AP3505" s="77"/>
      <c r="AQ3505" s="77"/>
      <c r="AR3505" s="77"/>
      <c r="AS3505" s="77"/>
      <c r="AT3505" s="77"/>
      <c r="AU3505" s="77"/>
      <c r="AV3505" s="83" t="str">
        <f>HYPERLINK("https://pbs.twimg.com/profile_images/1625185710692089857/X-rwZtE2_normal.jpg")</f>
        <v>https://pbs.twimg.com/profile_images/1625185710692089857/X-rwZtE2_normal.jpg</v>
      </c>
      <c r="AW3505" s="80" t="s">
        <v>19219</v>
      </c>
      <c r="AX3505" s="80" t="s">
        <v>20166</v>
      </c>
      <c r="AY3505" s="80" t="s">
        <v>20353</v>
      </c>
      <c r="AZ3505" s="80" t="s">
        <v>20166</v>
      </c>
      <c r="BA3505" s="80" t="s">
        <v>20380</v>
      </c>
      <c r="BB3505" s="80" t="s">
        <v>20380</v>
      </c>
      <c r="BC3505" s="80" t="s">
        <v>20166</v>
      </c>
      <c r="BD3505" s="80" t="s">
        <v>20353</v>
      </c>
      <c r="BE3505" s="77"/>
      <c r="BF3505" s="77"/>
      <c r="BG3505" s="77"/>
      <c r="BH3505" s="77"/>
      <c r="BI3505" s="77"/>
    </row>
    <row r="3506" spans="1:61" x14ac:dyDescent="0.25">
      <c r="A3506" s="62" t="s">
        <v>1393</v>
      </c>
      <c r="B3506" s="62" t="s">
        <v>1393</v>
      </c>
      <c r="C3506" s="63"/>
      <c r="D3506" s="64"/>
      <c r="E3506" s="65"/>
      <c r="F3506" s="66"/>
      <c r="G3506" s="63"/>
      <c r="H3506" s="67"/>
      <c r="I3506" s="68"/>
      <c r="J3506" s="68"/>
      <c r="K3506" s="32"/>
      <c r="L3506" s="75">
        <v>3506</v>
      </c>
      <c r="M3506" s="75"/>
      <c r="N3506" s="70"/>
      <c r="O3506" s="77" t="s">
        <v>2078</v>
      </c>
      <c r="P3506" s="79">
        <v>45189.532199074078</v>
      </c>
      <c r="Q3506" s="77" t="s">
        <v>5170</v>
      </c>
      <c r="R3506" s="77">
        <v>0</v>
      </c>
      <c r="S3506" s="77">
        <v>0</v>
      </c>
      <c r="T3506" s="77">
        <v>0</v>
      </c>
      <c r="U3506" s="77">
        <v>0</v>
      </c>
      <c r="V3506" s="77">
        <v>12</v>
      </c>
      <c r="W3506" s="80" t="s">
        <v>8055</v>
      </c>
      <c r="X3506" s="83" t="str">
        <f>HYPERLINK("https://vm.tiktok.com/ZMjAMs2uL/")</f>
        <v>https://vm.tiktok.com/ZMjAMs2uL/</v>
      </c>
      <c r="Y3506" s="77" t="s">
        <v>8641</v>
      </c>
      <c r="Z3506" s="77" t="s">
        <v>2025</v>
      </c>
      <c r="AA3506" s="77"/>
      <c r="AB3506" s="77"/>
      <c r="AC3506" s="80" t="s">
        <v>10540</v>
      </c>
      <c r="AD3506" s="77" t="s">
        <v>10620</v>
      </c>
      <c r="AE3506" s="83" t="str">
        <f>HYPERLINK("https://twitter.com/freityt/status/1704477096532140117")</f>
        <v>https://twitter.com/freityt/status/1704477096532140117</v>
      </c>
      <c r="AF3506" s="79">
        <v>45189.532199074078</v>
      </c>
      <c r="AG3506" s="85">
        <v>45189</v>
      </c>
      <c r="AH3506" s="80" t="s">
        <v>13668</v>
      </c>
      <c r="AI3506" s="77" t="b">
        <v>0</v>
      </c>
      <c r="AJ3506" s="77"/>
      <c r="AK3506" s="77"/>
      <c r="AL3506" s="77"/>
      <c r="AM3506" s="77"/>
      <c r="AN3506" s="77"/>
      <c r="AO3506" s="77"/>
      <c r="AP3506" s="77"/>
      <c r="AQ3506" s="77"/>
      <c r="AR3506" s="77"/>
      <c r="AS3506" s="77"/>
      <c r="AT3506" s="77"/>
      <c r="AU3506" s="77"/>
      <c r="AV3506" s="83" t="str">
        <f>HYPERLINK("https://pbs.twimg.com/profile_images/1625185710692089857/X-rwZtE2_normal.jpg")</f>
        <v>https://pbs.twimg.com/profile_images/1625185710692089857/X-rwZtE2_normal.jpg</v>
      </c>
      <c r="AW3506" s="80" t="s">
        <v>19220</v>
      </c>
      <c r="AX3506" s="80" t="s">
        <v>19215</v>
      </c>
      <c r="AY3506" s="80" t="s">
        <v>20353</v>
      </c>
      <c r="AZ3506" s="80" t="s">
        <v>19215</v>
      </c>
      <c r="BA3506" s="80" t="s">
        <v>20380</v>
      </c>
      <c r="BB3506" s="80" t="s">
        <v>20380</v>
      </c>
      <c r="BC3506" s="80" t="s">
        <v>19215</v>
      </c>
      <c r="BD3506" s="80" t="s">
        <v>20353</v>
      </c>
      <c r="BE3506" s="77"/>
      <c r="BF3506" s="77"/>
      <c r="BG3506" s="77"/>
      <c r="BH3506" s="77"/>
      <c r="BI3506" s="77"/>
    </row>
    <row r="3507" spans="1:61" x14ac:dyDescent="0.25">
      <c r="A3507" s="62" t="s">
        <v>1393</v>
      </c>
      <c r="B3507" s="62" t="s">
        <v>1393</v>
      </c>
      <c r="C3507" s="63"/>
      <c r="D3507" s="64"/>
      <c r="E3507" s="65"/>
      <c r="F3507" s="66"/>
      <c r="G3507" s="63"/>
      <c r="H3507" s="67"/>
      <c r="I3507" s="68"/>
      <c r="J3507" s="68"/>
      <c r="K3507" s="32"/>
      <c r="L3507" s="75">
        <v>3507</v>
      </c>
      <c r="M3507" s="75"/>
      <c r="N3507" s="70"/>
      <c r="O3507" s="77" t="s">
        <v>2078</v>
      </c>
      <c r="P3507" s="79">
        <v>45190.405891203707</v>
      </c>
      <c r="Q3507" s="77" t="s">
        <v>5171</v>
      </c>
      <c r="R3507" s="77">
        <v>0</v>
      </c>
      <c r="S3507" s="77">
        <v>0</v>
      </c>
      <c r="T3507" s="77">
        <v>0</v>
      </c>
      <c r="U3507" s="77">
        <v>0</v>
      </c>
      <c r="V3507" s="77">
        <v>14</v>
      </c>
      <c r="W3507" s="80" t="s">
        <v>8060</v>
      </c>
      <c r="X3507" s="83" t="str">
        <f>HYPERLINK("https://vm.tiktok.com/ZMjAtysRP/")</f>
        <v>https://vm.tiktok.com/ZMjAtysRP/</v>
      </c>
      <c r="Y3507" s="77" t="s">
        <v>8641</v>
      </c>
      <c r="Z3507" s="77"/>
      <c r="AA3507" s="77"/>
      <c r="AB3507" s="77"/>
      <c r="AC3507" s="80" t="s">
        <v>10540</v>
      </c>
      <c r="AD3507" s="77" t="s">
        <v>10620</v>
      </c>
      <c r="AE3507" s="83" t="str">
        <f>HYPERLINK("https://twitter.com/freityt/status/1704793714969743639")</f>
        <v>https://twitter.com/freityt/status/1704793714969743639</v>
      </c>
      <c r="AF3507" s="79">
        <v>45190.405891203707</v>
      </c>
      <c r="AG3507" s="85">
        <v>45190</v>
      </c>
      <c r="AH3507" s="80" t="s">
        <v>13669</v>
      </c>
      <c r="AI3507" s="77" t="b">
        <v>0</v>
      </c>
      <c r="AJ3507" s="77"/>
      <c r="AK3507" s="77"/>
      <c r="AL3507" s="77"/>
      <c r="AM3507" s="77"/>
      <c r="AN3507" s="77"/>
      <c r="AO3507" s="77"/>
      <c r="AP3507" s="77"/>
      <c r="AQ3507" s="77"/>
      <c r="AR3507" s="77"/>
      <c r="AS3507" s="77"/>
      <c r="AT3507" s="77"/>
      <c r="AU3507" s="77"/>
      <c r="AV3507" s="83" t="str">
        <f>HYPERLINK("https://pbs.twimg.com/profile_images/1625185710692089857/X-rwZtE2_normal.jpg")</f>
        <v>https://pbs.twimg.com/profile_images/1625185710692089857/X-rwZtE2_normal.jpg</v>
      </c>
      <c r="AW3507" s="80" t="s">
        <v>19221</v>
      </c>
      <c r="AX3507" s="80" t="s">
        <v>19222</v>
      </c>
      <c r="AY3507" s="80" t="s">
        <v>20353</v>
      </c>
      <c r="AZ3507" s="80" t="s">
        <v>19222</v>
      </c>
      <c r="BA3507" s="80" t="s">
        <v>20380</v>
      </c>
      <c r="BB3507" s="80" t="s">
        <v>20380</v>
      </c>
      <c r="BC3507" s="80" t="s">
        <v>19222</v>
      </c>
      <c r="BD3507" s="80" t="s">
        <v>20353</v>
      </c>
      <c r="BE3507" s="77"/>
      <c r="BF3507" s="77"/>
      <c r="BG3507" s="77"/>
      <c r="BH3507" s="77"/>
      <c r="BI3507" s="77"/>
    </row>
    <row r="3508" spans="1:61" x14ac:dyDescent="0.25">
      <c r="A3508" s="62" t="s">
        <v>1393</v>
      </c>
      <c r="B3508" s="62" t="s">
        <v>1393</v>
      </c>
      <c r="C3508" s="63"/>
      <c r="D3508" s="64"/>
      <c r="E3508" s="65"/>
      <c r="F3508" s="66"/>
      <c r="G3508" s="63"/>
      <c r="H3508" s="67"/>
      <c r="I3508" s="68"/>
      <c r="J3508" s="68"/>
      <c r="K3508" s="32"/>
      <c r="L3508" s="75">
        <v>3508</v>
      </c>
      <c r="M3508" s="75"/>
      <c r="N3508" s="70"/>
      <c r="O3508" s="77" t="s">
        <v>179</v>
      </c>
      <c r="P3508" s="79">
        <v>45190.405659722222</v>
      </c>
      <c r="Q3508" s="77" t="s">
        <v>5172</v>
      </c>
      <c r="R3508" s="77">
        <v>0</v>
      </c>
      <c r="S3508" s="77">
        <v>0</v>
      </c>
      <c r="T3508" s="77">
        <v>1</v>
      </c>
      <c r="U3508" s="77">
        <v>0</v>
      </c>
      <c r="V3508" s="77">
        <v>41</v>
      </c>
      <c r="W3508" s="80" t="s">
        <v>8060</v>
      </c>
      <c r="X3508" s="83" t="str">
        <f>HYPERLINK("https://vm.tiktok.com/ZMjAtysRP/")</f>
        <v>https://vm.tiktok.com/ZMjAtysRP/</v>
      </c>
      <c r="Y3508" s="77" t="s">
        <v>8641</v>
      </c>
      <c r="Z3508" s="77"/>
      <c r="AA3508" s="77" t="s">
        <v>10186</v>
      </c>
      <c r="AB3508" s="77" t="s">
        <v>10534</v>
      </c>
      <c r="AC3508" s="80" t="s">
        <v>10540</v>
      </c>
      <c r="AD3508" s="77" t="s">
        <v>10620</v>
      </c>
      <c r="AE3508" s="83" t="str">
        <f>HYPERLINK("https://twitter.com/freityt/status/1704793627900162200")</f>
        <v>https://twitter.com/freityt/status/1704793627900162200</v>
      </c>
      <c r="AF3508" s="79">
        <v>45190.405659722222</v>
      </c>
      <c r="AG3508" s="85">
        <v>45190</v>
      </c>
      <c r="AH3508" s="80" t="s">
        <v>13670</v>
      </c>
      <c r="AI3508" s="77" t="b">
        <v>0</v>
      </c>
      <c r="AJ3508" s="77"/>
      <c r="AK3508" s="77"/>
      <c r="AL3508" s="77"/>
      <c r="AM3508" s="77"/>
      <c r="AN3508" s="77"/>
      <c r="AO3508" s="77"/>
      <c r="AP3508" s="77"/>
      <c r="AQ3508" s="77" t="s">
        <v>15666</v>
      </c>
      <c r="AR3508" s="77">
        <v>44983</v>
      </c>
      <c r="AS3508" s="77"/>
      <c r="AT3508" s="77"/>
      <c r="AU3508" s="77"/>
      <c r="AV3508" s="83" t="str">
        <f>HYPERLINK("https://pbs.twimg.com/ext_tw_video_thumb/1704793559159738368/pu/img/K_FkbVn7wJcA9Hc3.jpg")</f>
        <v>https://pbs.twimg.com/ext_tw_video_thumb/1704793559159738368/pu/img/K_FkbVn7wJcA9Hc3.jpg</v>
      </c>
      <c r="AW3508" s="80" t="s">
        <v>19222</v>
      </c>
      <c r="AX3508" s="80" t="s">
        <v>19222</v>
      </c>
      <c r="AY3508" s="77"/>
      <c r="AZ3508" s="80" t="s">
        <v>20380</v>
      </c>
      <c r="BA3508" s="80" t="s">
        <v>20380</v>
      </c>
      <c r="BB3508" s="80" t="s">
        <v>20380</v>
      </c>
      <c r="BC3508" s="80" t="s">
        <v>19222</v>
      </c>
      <c r="BD3508" s="80" t="s">
        <v>20353</v>
      </c>
      <c r="BE3508" s="77"/>
      <c r="BF3508" s="77"/>
      <c r="BG3508" s="77"/>
      <c r="BH3508" s="77"/>
      <c r="BI3508" s="77"/>
    </row>
    <row r="3509" spans="1:61" x14ac:dyDescent="0.25">
      <c r="A3509" s="62" t="s">
        <v>1393</v>
      </c>
      <c r="B3509" s="62" t="s">
        <v>1393</v>
      </c>
      <c r="C3509" s="63"/>
      <c r="D3509" s="64"/>
      <c r="E3509" s="65"/>
      <c r="F3509" s="66"/>
      <c r="G3509" s="63"/>
      <c r="H3509" s="67"/>
      <c r="I3509" s="68"/>
      <c r="J3509" s="68"/>
      <c r="K3509" s="32"/>
      <c r="L3509" s="75">
        <v>3509</v>
      </c>
      <c r="M3509" s="75"/>
      <c r="N3509" s="70"/>
      <c r="O3509" s="77" t="s">
        <v>2078</v>
      </c>
      <c r="P3509" s="79">
        <v>45107.75503472222</v>
      </c>
      <c r="Q3509" s="77" t="s">
        <v>5173</v>
      </c>
      <c r="R3509" s="77">
        <v>0</v>
      </c>
      <c r="S3509" s="77">
        <v>0</v>
      </c>
      <c r="T3509" s="77">
        <v>0</v>
      </c>
      <c r="U3509" s="77">
        <v>0</v>
      </c>
      <c r="V3509" s="77">
        <v>35</v>
      </c>
      <c r="W3509" s="80" t="s">
        <v>8058</v>
      </c>
      <c r="X3509" s="77"/>
      <c r="Y3509" s="77"/>
      <c r="Z3509" s="77"/>
      <c r="AA3509" s="77"/>
      <c r="AB3509" s="77"/>
      <c r="AC3509" s="80" t="s">
        <v>10540</v>
      </c>
      <c r="AD3509" s="77" t="s">
        <v>10620</v>
      </c>
      <c r="AE3509" s="83" t="str">
        <f>HYPERLINK("https://twitter.com/freityt/status/1674842046111133699")</f>
        <v>https://twitter.com/freityt/status/1674842046111133699</v>
      </c>
      <c r="AF3509" s="79">
        <v>45107.75503472222</v>
      </c>
      <c r="AG3509" s="85">
        <v>45107</v>
      </c>
      <c r="AH3509" s="80" t="s">
        <v>13671</v>
      </c>
      <c r="AI3509" s="77"/>
      <c r="AJ3509" s="77"/>
      <c r="AK3509" s="77"/>
      <c r="AL3509" s="77"/>
      <c r="AM3509" s="77"/>
      <c r="AN3509" s="77"/>
      <c r="AO3509" s="77"/>
      <c r="AP3509" s="77"/>
      <c r="AQ3509" s="77"/>
      <c r="AR3509" s="77"/>
      <c r="AS3509" s="77"/>
      <c r="AT3509" s="77"/>
      <c r="AU3509" s="77"/>
      <c r="AV3509" s="83" t="str">
        <f>HYPERLINK("https://pbs.twimg.com/profile_images/1625185710692089857/X-rwZtE2_normal.jpg")</f>
        <v>https://pbs.twimg.com/profile_images/1625185710692089857/X-rwZtE2_normal.jpg</v>
      </c>
      <c r="AW3509" s="80" t="s">
        <v>19223</v>
      </c>
      <c r="AX3509" s="80" t="s">
        <v>20167</v>
      </c>
      <c r="AY3509" s="80" t="s">
        <v>20353</v>
      </c>
      <c r="AZ3509" s="80" t="s">
        <v>20461</v>
      </c>
      <c r="BA3509" s="80" t="s">
        <v>20380</v>
      </c>
      <c r="BB3509" s="80" t="s">
        <v>20380</v>
      </c>
      <c r="BC3509" s="80" t="s">
        <v>20461</v>
      </c>
      <c r="BD3509" s="80" t="s">
        <v>20353</v>
      </c>
      <c r="BE3509" s="77"/>
      <c r="BF3509" s="77"/>
      <c r="BG3509" s="77"/>
      <c r="BH3509" s="77"/>
      <c r="BI3509" s="77"/>
    </row>
    <row r="3510" spans="1:61" x14ac:dyDescent="0.25">
      <c r="A3510" s="62" t="s">
        <v>1393</v>
      </c>
      <c r="B3510" s="62" t="s">
        <v>1393</v>
      </c>
      <c r="C3510" s="63"/>
      <c r="D3510" s="64"/>
      <c r="E3510" s="65"/>
      <c r="F3510" s="66"/>
      <c r="G3510" s="63"/>
      <c r="H3510" s="67"/>
      <c r="I3510" s="68"/>
      <c r="J3510" s="68"/>
      <c r="K3510" s="32"/>
      <c r="L3510" s="75">
        <v>3510</v>
      </c>
      <c r="M3510" s="75"/>
      <c r="N3510" s="70"/>
      <c r="O3510" s="77" t="s">
        <v>2078</v>
      </c>
      <c r="P3510" s="79">
        <v>45191.745057870372</v>
      </c>
      <c r="Q3510" s="77" t="s">
        <v>5174</v>
      </c>
      <c r="R3510" s="77">
        <v>0</v>
      </c>
      <c r="S3510" s="77">
        <v>0</v>
      </c>
      <c r="T3510" s="77">
        <v>0</v>
      </c>
      <c r="U3510" s="77">
        <v>0</v>
      </c>
      <c r="V3510" s="77">
        <v>11</v>
      </c>
      <c r="W3510" s="80" t="s">
        <v>8057</v>
      </c>
      <c r="X3510" s="83" t="str">
        <f>HYPERLINK("https://vm.tiktok.com/ZMjDqBGnf/")</f>
        <v>https://vm.tiktok.com/ZMjDqBGnf/</v>
      </c>
      <c r="Y3510" s="77" t="s">
        <v>8641</v>
      </c>
      <c r="Z3510" s="77" t="s">
        <v>2027</v>
      </c>
      <c r="AA3510" s="77"/>
      <c r="AB3510" s="77"/>
      <c r="AC3510" s="80" t="s">
        <v>10540</v>
      </c>
      <c r="AD3510" s="77" t="s">
        <v>10620</v>
      </c>
      <c r="AE3510" s="83" t="str">
        <f>HYPERLINK("https://twitter.com/freityt/status/1705279011532746990")</f>
        <v>https://twitter.com/freityt/status/1705279011532746990</v>
      </c>
      <c r="AF3510" s="79">
        <v>45191.745057870372</v>
      </c>
      <c r="AG3510" s="85">
        <v>45191</v>
      </c>
      <c r="AH3510" s="80" t="s">
        <v>13672</v>
      </c>
      <c r="AI3510" s="77" t="b">
        <v>0</v>
      </c>
      <c r="AJ3510" s="77"/>
      <c r="AK3510" s="77"/>
      <c r="AL3510" s="77"/>
      <c r="AM3510" s="77"/>
      <c r="AN3510" s="77"/>
      <c r="AO3510" s="77"/>
      <c r="AP3510" s="77"/>
      <c r="AQ3510" s="77"/>
      <c r="AR3510" s="77"/>
      <c r="AS3510" s="77"/>
      <c r="AT3510" s="77"/>
      <c r="AU3510" s="77"/>
      <c r="AV3510" s="83" t="str">
        <f>HYPERLINK("https://pbs.twimg.com/profile_images/1625185710692089857/X-rwZtE2_normal.jpg")</f>
        <v>https://pbs.twimg.com/profile_images/1625185710692089857/X-rwZtE2_normal.jpg</v>
      </c>
      <c r="AW3510" s="80" t="s">
        <v>19224</v>
      </c>
      <c r="AX3510" s="80" t="s">
        <v>19217</v>
      </c>
      <c r="AY3510" s="80" t="s">
        <v>20353</v>
      </c>
      <c r="AZ3510" s="80" t="s">
        <v>19217</v>
      </c>
      <c r="BA3510" s="80" t="s">
        <v>20380</v>
      </c>
      <c r="BB3510" s="80" t="s">
        <v>20380</v>
      </c>
      <c r="BC3510" s="80" t="s">
        <v>19217</v>
      </c>
      <c r="BD3510" s="80" t="s">
        <v>20353</v>
      </c>
      <c r="BE3510" s="77"/>
      <c r="BF3510" s="77"/>
      <c r="BG3510" s="77"/>
      <c r="BH3510" s="77"/>
      <c r="BI3510" s="77"/>
    </row>
    <row r="3511" spans="1:61" x14ac:dyDescent="0.25">
      <c r="A3511" s="62" t="s">
        <v>1393</v>
      </c>
      <c r="B3511" s="62" t="s">
        <v>1393</v>
      </c>
      <c r="C3511" s="63"/>
      <c r="D3511" s="64"/>
      <c r="E3511" s="65"/>
      <c r="F3511" s="66"/>
      <c r="G3511" s="63"/>
      <c r="H3511" s="67"/>
      <c r="I3511" s="68"/>
      <c r="J3511" s="68"/>
      <c r="K3511" s="32"/>
      <c r="L3511" s="75">
        <v>3511</v>
      </c>
      <c r="M3511" s="75"/>
      <c r="N3511" s="70"/>
      <c r="O3511" s="77" t="s">
        <v>2078</v>
      </c>
      <c r="P3511" s="79">
        <v>45192.691168981481</v>
      </c>
      <c r="Q3511" s="77" t="s">
        <v>5175</v>
      </c>
      <c r="R3511" s="77">
        <v>0</v>
      </c>
      <c r="S3511" s="77">
        <v>0</v>
      </c>
      <c r="T3511" s="77">
        <v>0</v>
      </c>
      <c r="U3511" s="77">
        <v>0</v>
      </c>
      <c r="V3511" s="77">
        <v>18</v>
      </c>
      <c r="W3511" s="80" t="s">
        <v>8061</v>
      </c>
      <c r="X3511" s="83" t="str">
        <f>HYPERLINK("https://vm.tiktok.com/ZMjU6cXkT/")</f>
        <v>https://vm.tiktok.com/ZMjU6cXkT/</v>
      </c>
      <c r="Y3511" s="77" t="s">
        <v>8641</v>
      </c>
      <c r="Z3511" s="77"/>
      <c r="AA3511" s="77"/>
      <c r="AB3511" s="77"/>
      <c r="AC3511" s="80" t="s">
        <v>10540</v>
      </c>
      <c r="AD3511" s="77" t="s">
        <v>10620</v>
      </c>
      <c r="AE3511" s="83" t="str">
        <f>HYPERLINK("https://twitter.com/freityt/status/1705621870161137839")</f>
        <v>https://twitter.com/freityt/status/1705621870161137839</v>
      </c>
      <c r="AF3511" s="79">
        <v>45192.691168981481</v>
      </c>
      <c r="AG3511" s="85">
        <v>45192</v>
      </c>
      <c r="AH3511" s="80" t="s">
        <v>13673</v>
      </c>
      <c r="AI3511" s="77" t="b">
        <v>0</v>
      </c>
      <c r="AJ3511" s="77"/>
      <c r="AK3511" s="77"/>
      <c r="AL3511" s="77"/>
      <c r="AM3511" s="77"/>
      <c r="AN3511" s="77"/>
      <c r="AO3511" s="77"/>
      <c r="AP3511" s="77"/>
      <c r="AQ3511" s="77"/>
      <c r="AR3511" s="77"/>
      <c r="AS3511" s="77"/>
      <c r="AT3511" s="77"/>
      <c r="AU3511" s="77"/>
      <c r="AV3511" s="83" t="str">
        <f>HYPERLINK("https://pbs.twimg.com/profile_images/1625185710692089857/X-rwZtE2_normal.jpg")</f>
        <v>https://pbs.twimg.com/profile_images/1625185710692089857/X-rwZtE2_normal.jpg</v>
      </c>
      <c r="AW3511" s="80" t="s">
        <v>19225</v>
      </c>
      <c r="AX3511" s="80" t="s">
        <v>19226</v>
      </c>
      <c r="AY3511" s="80" t="s">
        <v>20353</v>
      </c>
      <c r="AZ3511" s="80" t="s">
        <v>19226</v>
      </c>
      <c r="BA3511" s="80" t="s">
        <v>20380</v>
      </c>
      <c r="BB3511" s="80" t="s">
        <v>20380</v>
      </c>
      <c r="BC3511" s="80" t="s">
        <v>19226</v>
      </c>
      <c r="BD3511" s="80" t="s">
        <v>20353</v>
      </c>
      <c r="BE3511" s="77"/>
      <c r="BF3511" s="77"/>
      <c r="BG3511" s="77"/>
      <c r="BH3511" s="77"/>
      <c r="BI3511" s="77"/>
    </row>
    <row r="3512" spans="1:61" x14ac:dyDescent="0.25">
      <c r="A3512" s="62" t="s">
        <v>1393</v>
      </c>
      <c r="B3512" s="62" t="s">
        <v>1393</v>
      </c>
      <c r="C3512" s="63"/>
      <c r="D3512" s="64"/>
      <c r="E3512" s="65"/>
      <c r="F3512" s="66"/>
      <c r="G3512" s="63"/>
      <c r="H3512" s="67"/>
      <c r="I3512" s="68"/>
      <c r="J3512" s="68"/>
      <c r="K3512" s="32"/>
      <c r="L3512" s="75">
        <v>3512</v>
      </c>
      <c r="M3512" s="75"/>
      <c r="N3512" s="70"/>
      <c r="O3512" s="77" t="s">
        <v>179</v>
      </c>
      <c r="P3512" s="79">
        <v>45192.690810185188</v>
      </c>
      <c r="Q3512" s="77" t="s">
        <v>5176</v>
      </c>
      <c r="R3512" s="77">
        <v>0</v>
      </c>
      <c r="S3512" s="77">
        <v>1</v>
      </c>
      <c r="T3512" s="77">
        <v>1</v>
      </c>
      <c r="U3512" s="77">
        <v>0</v>
      </c>
      <c r="V3512" s="77">
        <v>42</v>
      </c>
      <c r="W3512" s="80" t="s">
        <v>8061</v>
      </c>
      <c r="X3512" s="83" t="str">
        <f>HYPERLINK("https://vm.tiktok.com/ZMjU6cXkT/")</f>
        <v>https://vm.tiktok.com/ZMjU6cXkT/</v>
      </c>
      <c r="Y3512" s="77" t="s">
        <v>8641</v>
      </c>
      <c r="Z3512" s="77"/>
      <c r="AA3512" s="77" t="s">
        <v>10187</v>
      </c>
      <c r="AB3512" s="77" t="s">
        <v>10534</v>
      </c>
      <c r="AC3512" s="80" t="s">
        <v>10540</v>
      </c>
      <c r="AD3512" s="77" t="s">
        <v>10620</v>
      </c>
      <c r="AE3512" s="83" t="str">
        <f>HYPERLINK("https://twitter.com/freityt/status/1705621739466527002")</f>
        <v>https://twitter.com/freityt/status/1705621739466527002</v>
      </c>
      <c r="AF3512" s="79">
        <v>45192.690810185188</v>
      </c>
      <c r="AG3512" s="85">
        <v>45192</v>
      </c>
      <c r="AH3512" s="80" t="s">
        <v>13674</v>
      </c>
      <c r="AI3512" s="77" t="b">
        <v>0</v>
      </c>
      <c r="AJ3512" s="77"/>
      <c r="AK3512" s="77"/>
      <c r="AL3512" s="77"/>
      <c r="AM3512" s="77"/>
      <c r="AN3512" s="77"/>
      <c r="AO3512" s="77"/>
      <c r="AP3512" s="77"/>
      <c r="AQ3512" s="77" t="s">
        <v>15667</v>
      </c>
      <c r="AR3512" s="77">
        <v>44983</v>
      </c>
      <c r="AS3512" s="77"/>
      <c r="AT3512" s="77"/>
      <c r="AU3512" s="77"/>
      <c r="AV3512" s="83" t="str">
        <f>HYPERLINK("https://pbs.twimg.com/ext_tw_video_thumb/1705621669748899840/pu/img/QG9z5oXxE-QffhVR.jpg")</f>
        <v>https://pbs.twimg.com/ext_tw_video_thumb/1705621669748899840/pu/img/QG9z5oXxE-QffhVR.jpg</v>
      </c>
      <c r="AW3512" s="80" t="s">
        <v>19226</v>
      </c>
      <c r="AX3512" s="80" t="s">
        <v>19226</v>
      </c>
      <c r="AY3512" s="77"/>
      <c r="AZ3512" s="80" t="s">
        <v>20380</v>
      </c>
      <c r="BA3512" s="80" t="s">
        <v>20380</v>
      </c>
      <c r="BB3512" s="80" t="s">
        <v>20380</v>
      </c>
      <c r="BC3512" s="80" t="s">
        <v>19226</v>
      </c>
      <c r="BD3512" s="80" t="s">
        <v>20353</v>
      </c>
      <c r="BE3512" s="77"/>
      <c r="BF3512" s="77"/>
      <c r="BG3512" s="77"/>
      <c r="BH3512" s="77"/>
      <c r="BI3512" s="77"/>
    </row>
    <row r="3513" spans="1:61" x14ac:dyDescent="0.25">
      <c r="A3513" s="62" t="s">
        <v>1394</v>
      </c>
      <c r="B3513" s="62" t="s">
        <v>1394</v>
      </c>
      <c r="C3513" s="63"/>
      <c r="D3513" s="64"/>
      <c r="E3513" s="65"/>
      <c r="F3513" s="66"/>
      <c r="G3513" s="63"/>
      <c r="H3513" s="67"/>
      <c r="I3513" s="68"/>
      <c r="J3513" s="68"/>
      <c r="K3513" s="32"/>
      <c r="L3513" s="75">
        <v>3513</v>
      </c>
      <c r="M3513" s="75"/>
      <c r="N3513" s="70"/>
      <c r="O3513" s="77" t="s">
        <v>179</v>
      </c>
      <c r="P3513" s="79">
        <v>45187.954282407409</v>
      </c>
      <c r="Q3513" s="77" t="s">
        <v>5177</v>
      </c>
      <c r="R3513" s="77">
        <v>3</v>
      </c>
      <c r="S3513" s="77">
        <v>0</v>
      </c>
      <c r="T3513" s="77">
        <v>0</v>
      </c>
      <c r="U3513" s="77">
        <v>0</v>
      </c>
      <c r="V3513" s="77">
        <v>235</v>
      </c>
      <c r="W3513" s="80" t="s">
        <v>8062</v>
      </c>
      <c r="X3513" s="77"/>
      <c r="Y3513" s="77"/>
      <c r="Z3513" s="77"/>
      <c r="AA3513" s="77" t="s">
        <v>10188</v>
      </c>
      <c r="AB3513" s="77" t="s">
        <v>10535</v>
      </c>
      <c r="AC3513" s="80" t="s">
        <v>10540</v>
      </c>
      <c r="AD3513" s="77" t="s">
        <v>10620</v>
      </c>
      <c r="AE3513" s="83" t="str">
        <f>HYPERLINK("https://twitter.com/circuloecongye/status/1703905279115399316")</f>
        <v>https://twitter.com/circuloecongye/status/1703905279115399316</v>
      </c>
      <c r="AF3513" s="79">
        <v>45187.954282407409</v>
      </c>
      <c r="AG3513" s="85">
        <v>45187</v>
      </c>
      <c r="AH3513" s="80" t="s">
        <v>13675</v>
      </c>
      <c r="AI3513" s="77" t="b">
        <v>0</v>
      </c>
      <c r="AJ3513" s="77"/>
      <c r="AK3513" s="77"/>
      <c r="AL3513" s="77"/>
      <c r="AM3513" s="77"/>
      <c r="AN3513" s="77"/>
      <c r="AO3513" s="77"/>
      <c r="AP3513" s="77"/>
      <c r="AQ3513" s="77" t="s">
        <v>15668</v>
      </c>
      <c r="AR3513" s="77"/>
      <c r="AS3513" s="77"/>
      <c r="AT3513" s="77"/>
      <c r="AU3513" s="77"/>
      <c r="AV3513" s="83" t="str">
        <f>HYPERLINK("https://pbs.twimg.com/media/F6V80lVW8AAHtf-.jpg")</f>
        <v>https://pbs.twimg.com/media/F6V80lVW8AAHtf-.jpg</v>
      </c>
      <c r="AW3513" s="80" t="s">
        <v>19227</v>
      </c>
      <c r="AX3513" s="80" t="s">
        <v>19227</v>
      </c>
      <c r="AY3513" s="77"/>
      <c r="AZ3513" s="80" t="s">
        <v>20380</v>
      </c>
      <c r="BA3513" s="80" t="s">
        <v>20380</v>
      </c>
      <c r="BB3513" s="80" t="s">
        <v>20380</v>
      </c>
      <c r="BC3513" s="80" t="s">
        <v>19227</v>
      </c>
      <c r="BD3513" s="77">
        <v>2371250946</v>
      </c>
      <c r="BE3513" s="77"/>
      <c r="BF3513" s="77"/>
      <c r="BG3513" s="77"/>
      <c r="BH3513" s="77"/>
      <c r="BI3513" s="77"/>
    </row>
    <row r="3514" spans="1:61" x14ac:dyDescent="0.25">
      <c r="A3514" s="62" t="s">
        <v>1395</v>
      </c>
      <c r="B3514" s="62" t="s">
        <v>1395</v>
      </c>
      <c r="C3514" s="63"/>
      <c r="D3514" s="64"/>
      <c r="E3514" s="65"/>
      <c r="F3514" s="66"/>
      <c r="G3514" s="63"/>
      <c r="H3514" s="67"/>
      <c r="I3514" s="68"/>
      <c r="J3514" s="68"/>
      <c r="K3514" s="32"/>
      <c r="L3514" s="75">
        <v>3514</v>
      </c>
      <c r="M3514" s="75"/>
      <c r="N3514" s="70"/>
      <c r="O3514" s="77" t="s">
        <v>179</v>
      </c>
      <c r="P3514" s="79">
        <v>45195.47828703704</v>
      </c>
      <c r="Q3514" s="77" t="s">
        <v>5178</v>
      </c>
      <c r="R3514" s="77">
        <v>0</v>
      </c>
      <c r="S3514" s="77">
        <v>1</v>
      </c>
      <c r="T3514" s="77">
        <v>0</v>
      </c>
      <c r="U3514" s="77">
        <v>0</v>
      </c>
      <c r="V3514" s="77">
        <v>45</v>
      </c>
      <c r="W3514" s="80" t="s">
        <v>8063</v>
      </c>
      <c r="X3514" s="77"/>
      <c r="Y3514" s="77"/>
      <c r="Z3514" s="77"/>
      <c r="AA3514" s="77"/>
      <c r="AB3514" s="77"/>
      <c r="AC3514" s="80" t="s">
        <v>10540</v>
      </c>
      <c r="AD3514" s="77" t="s">
        <v>10620</v>
      </c>
      <c r="AE3514" s="83" t="str">
        <f>HYPERLINK("https://twitter.com/diorivass/status/1706631888029274328")</f>
        <v>https://twitter.com/diorivass/status/1706631888029274328</v>
      </c>
      <c r="AF3514" s="79">
        <v>45195.47828703704</v>
      </c>
      <c r="AG3514" s="85">
        <v>45195</v>
      </c>
      <c r="AH3514" s="80" t="s">
        <v>13676</v>
      </c>
      <c r="AI3514" s="77"/>
      <c r="AJ3514" s="77" t="s">
        <v>14369</v>
      </c>
      <c r="AK3514" s="77" t="s">
        <v>14385</v>
      </c>
      <c r="AL3514" s="77" t="s">
        <v>14394</v>
      </c>
      <c r="AM3514" s="77" t="s">
        <v>14426</v>
      </c>
      <c r="AN3514" s="77" t="s">
        <v>14466</v>
      </c>
      <c r="AO3514" s="77" t="s">
        <v>14505</v>
      </c>
      <c r="AP3514" s="77" t="s">
        <v>14516</v>
      </c>
      <c r="AQ3514" s="77"/>
      <c r="AR3514" s="77"/>
      <c r="AS3514" s="77"/>
      <c r="AT3514" s="77"/>
      <c r="AU3514" s="77"/>
      <c r="AV3514" s="83" t="str">
        <f>HYPERLINK("https://pbs.twimg.com/profile_images/1705214481565913088/TLWizQDx_normal.jpg")</f>
        <v>https://pbs.twimg.com/profile_images/1705214481565913088/TLWizQDx_normal.jpg</v>
      </c>
      <c r="AW3514" s="80" t="s">
        <v>19228</v>
      </c>
      <c r="AX3514" s="80" t="s">
        <v>19228</v>
      </c>
      <c r="AY3514" s="77"/>
      <c r="AZ3514" s="80" t="s">
        <v>20380</v>
      </c>
      <c r="BA3514" s="80" t="s">
        <v>20380</v>
      </c>
      <c r="BB3514" s="80" t="s">
        <v>20380</v>
      </c>
      <c r="BC3514" s="80" t="s">
        <v>19228</v>
      </c>
      <c r="BD3514" s="80" t="s">
        <v>21069</v>
      </c>
      <c r="BE3514" s="77"/>
      <c r="BF3514" s="77"/>
      <c r="BG3514" s="77"/>
      <c r="BH3514" s="77"/>
      <c r="BI3514" s="77"/>
    </row>
    <row r="3515" spans="1:61" x14ac:dyDescent="0.25">
      <c r="A3515" s="62" t="s">
        <v>1396</v>
      </c>
      <c r="B3515" s="62" t="s">
        <v>1396</v>
      </c>
      <c r="C3515" s="63"/>
      <c r="D3515" s="64"/>
      <c r="E3515" s="65"/>
      <c r="F3515" s="66"/>
      <c r="G3515" s="63"/>
      <c r="H3515" s="67"/>
      <c r="I3515" s="68"/>
      <c r="J3515" s="68"/>
      <c r="K3515" s="32"/>
      <c r="L3515" s="75">
        <v>3515</v>
      </c>
      <c r="M3515" s="75"/>
      <c r="N3515" s="70"/>
      <c r="O3515" s="77" t="s">
        <v>179</v>
      </c>
      <c r="P3515" s="79">
        <v>45054.339409722219</v>
      </c>
      <c r="Q3515" s="77" t="s">
        <v>5179</v>
      </c>
      <c r="R3515" s="77">
        <v>0</v>
      </c>
      <c r="S3515" s="77">
        <v>1</v>
      </c>
      <c r="T3515" s="77">
        <v>0</v>
      </c>
      <c r="U3515" s="77">
        <v>0</v>
      </c>
      <c r="V3515" s="77">
        <v>62</v>
      </c>
      <c r="W3515" s="80" t="s">
        <v>8064</v>
      </c>
      <c r="X3515" s="77"/>
      <c r="Y3515" s="77"/>
      <c r="Z3515" s="77"/>
      <c r="AA3515" s="77"/>
      <c r="AB3515" s="77"/>
      <c r="AC3515" s="80" t="s">
        <v>10540</v>
      </c>
      <c r="AD3515" s="77" t="s">
        <v>10617</v>
      </c>
      <c r="AE3515" s="83" t="str">
        <f>HYPERLINK("https://twitter.com/caramurupaiva/status/1655484871114981378")</f>
        <v>https://twitter.com/caramurupaiva/status/1655484871114981378</v>
      </c>
      <c r="AF3515" s="79">
        <v>45054.339409722219</v>
      </c>
      <c r="AG3515" s="85">
        <v>45054</v>
      </c>
      <c r="AH3515" s="80" t="s">
        <v>13677</v>
      </c>
      <c r="AI3515" s="77"/>
      <c r="AJ3515" s="77"/>
      <c r="AK3515" s="77"/>
      <c r="AL3515" s="77"/>
      <c r="AM3515" s="77"/>
      <c r="AN3515" s="77"/>
      <c r="AO3515" s="77"/>
      <c r="AP3515" s="77"/>
      <c r="AQ3515" s="77"/>
      <c r="AR3515" s="77"/>
      <c r="AS3515" s="77"/>
      <c r="AT3515" s="77"/>
      <c r="AU3515" s="77"/>
      <c r="AV3515" s="83" t="str">
        <f>HYPERLINK("https://pbs.twimg.com/profile_images/1671093327721013248/mWG7r6CG_normal.jpg")</f>
        <v>https://pbs.twimg.com/profile_images/1671093327721013248/mWG7r6CG_normal.jpg</v>
      </c>
      <c r="AW3515" s="80" t="s">
        <v>19229</v>
      </c>
      <c r="AX3515" s="80" t="s">
        <v>19229</v>
      </c>
      <c r="AY3515" s="77"/>
      <c r="AZ3515" s="80" t="s">
        <v>20380</v>
      </c>
      <c r="BA3515" s="80" t="s">
        <v>20380</v>
      </c>
      <c r="BB3515" s="80" t="s">
        <v>20380</v>
      </c>
      <c r="BC3515" s="80" t="s">
        <v>19229</v>
      </c>
      <c r="BD3515" s="77">
        <v>153493748</v>
      </c>
      <c r="BE3515" s="77"/>
      <c r="BF3515" s="77"/>
      <c r="BG3515" s="77"/>
      <c r="BH3515" s="77"/>
      <c r="BI3515" s="77"/>
    </row>
    <row r="3516" spans="1:61" x14ac:dyDescent="0.25">
      <c r="A3516" s="62" t="s">
        <v>1397</v>
      </c>
      <c r="B3516" s="62" t="s">
        <v>1397</v>
      </c>
      <c r="C3516" s="63"/>
      <c r="D3516" s="64"/>
      <c r="E3516" s="65"/>
      <c r="F3516" s="66"/>
      <c r="G3516" s="63"/>
      <c r="H3516" s="67"/>
      <c r="I3516" s="68"/>
      <c r="J3516" s="68"/>
      <c r="K3516" s="32"/>
      <c r="L3516" s="75">
        <v>3516</v>
      </c>
      <c r="M3516" s="75"/>
      <c r="N3516" s="70"/>
      <c r="O3516" s="77" t="s">
        <v>179</v>
      </c>
      <c r="P3516" s="79">
        <v>45099.667847222219</v>
      </c>
      <c r="Q3516" s="80" t="s">
        <v>5180</v>
      </c>
      <c r="R3516" s="77">
        <v>186</v>
      </c>
      <c r="S3516" s="77">
        <v>1967</v>
      </c>
      <c r="T3516" s="77">
        <v>192</v>
      </c>
      <c r="U3516" s="77">
        <v>42</v>
      </c>
      <c r="V3516" s="77">
        <v>118980</v>
      </c>
      <c r="W3516" s="77"/>
      <c r="X3516" s="83" t="str">
        <f>HYPERLINK("https://valor.globo.com/financas/noticia/2023/06/22/bc-decidiu-corretamente-nao-cortar-os-juros-diz-meirelles.ghtml")</f>
        <v>https://valor.globo.com/financas/noticia/2023/06/22/bc-decidiu-corretamente-nao-cortar-os-juros-diz-meirelles.ghtml</v>
      </c>
      <c r="Y3516" s="77" t="s">
        <v>8686</v>
      </c>
      <c r="Z3516" s="77"/>
      <c r="AA3516" s="77"/>
      <c r="AB3516" s="77"/>
      <c r="AC3516" s="80" t="s">
        <v>10610</v>
      </c>
      <c r="AD3516" s="77" t="s">
        <v>10617</v>
      </c>
      <c r="AE3516" s="83" t="str">
        <f>HYPERLINK("https://twitter.com/valoreconomico/status/1671911345581617154")</f>
        <v>https://twitter.com/valoreconomico/status/1671911345581617154</v>
      </c>
      <c r="AF3516" s="79">
        <v>45099.667847222219</v>
      </c>
      <c r="AG3516" s="85">
        <v>45099</v>
      </c>
      <c r="AH3516" s="80" t="s">
        <v>13678</v>
      </c>
      <c r="AI3516" s="77" t="b">
        <v>0</v>
      </c>
      <c r="AJ3516" s="77"/>
      <c r="AK3516" s="77"/>
      <c r="AL3516" s="77"/>
      <c r="AM3516" s="77"/>
      <c r="AN3516" s="77"/>
      <c r="AO3516" s="77"/>
      <c r="AP3516" s="77"/>
      <c r="AQ3516" s="77"/>
      <c r="AR3516" s="77"/>
      <c r="AS3516" s="77"/>
      <c r="AT3516" s="77"/>
      <c r="AU3516" s="77"/>
      <c r="AV3516" s="83" t="str">
        <f>HYPERLINK("https://pbs.twimg.com/profile_images/808404276158545920/_IIpS4I2_normal.jpg")</f>
        <v>https://pbs.twimg.com/profile_images/808404276158545920/_IIpS4I2_normal.jpg</v>
      </c>
      <c r="AW3516" s="80" t="s">
        <v>19230</v>
      </c>
      <c r="AX3516" s="80" t="s">
        <v>19230</v>
      </c>
      <c r="AY3516" s="77"/>
      <c r="AZ3516" s="80" t="s">
        <v>20380</v>
      </c>
      <c r="BA3516" s="80" t="s">
        <v>20380</v>
      </c>
      <c r="BB3516" s="80" t="s">
        <v>20380</v>
      </c>
      <c r="BC3516" s="80" t="s">
        <v>19230</v>
      </c>
      <c r="BD3516" s="77">
        <v>32529120</v>
      </c>
      <c r="BE3516" s="77"/>
      <c r="BF3516" s="77"/>
      <c r="BG3516" s="77"/>
      <c r="BH3516" s="77"/>
      <c r="BI3516" s="77"/>
    </row>
    <row r="3517" spans="1:61" x14ac:dyDescent="0.25">
      <c r="A3517" s="62" t="s">
        <v>1398</v>
      </c>
      <c r="B3517" s="62" t="s">
        <v>1397</v>
      </c>
      <c r="C3517" s="63"/>
      <c r="D3517" s="64"/>
      <c r="E3517" s="65"/>
      <c r="F3517" s="66"/>
      <c r="G3517" s="63"/>
      <c r="H3517" s="67"/>
      <c r="I3517" s="68"/>
      <c r="J3517" s="68"/>
      <c r="K3517" s="32"/>
      <c r="L3517" s="75">
        <v>3517</v>
      </c>
      <c r="M3517" s="75"/>
      <c r="N3517" s="70"/>
      <c r="O3517" s="77" t="s">
        <v>2082</v>
      </c>
      <c r="P3517" s="79">
        <v>45100.866944444446</v>
      </c>
      <c r="Q3517" s="77" t="s">
        <v>5181</v>
      </c>
      <c r="R3517" s="77">
        <v>0</v>
      </c>
      <c r="S3517" s="77">
        <v>0</v>
      </c>
      <c r="T3517" s="77">
        <v>0</v>
      </c>
      <c r="U3517" s="77">
        <v>0</v>
      </c>
      <c r="V3517" s="77">
        <v>10</v>
      </c>
      <c r="W3517" s="80" t="s">
        <v>5884</v>
      </c>
      <c r="X3517" s="77"/>
      <c r="Y3517" s="77"/>
      <c r="Z3517" s="77"/>
      <c r="AA3517" s="77"/>
      <c r="AB3517" s="77"/>
      <c r="AC3517" s="80" t="s">
        <v>10542</v>
      </c>
      <c r="AD3517" s="77" t="s">
        <v>10617</v>
      </c>
      <c r="AE3517" s="83" t="str">
        <f>HYPERLINK("https://twitter.com/magiozal/status/1672345885781504002")</f>
        <v>https://twitter.com/magiozal/status/1672345885781504002</v>
      </c>
      <c r="AF3517" s="79">
        <v>45100.866944444446</v>
      </c>
      <c r="AG3517" s="85">
        <v>45100</v>
      </c>
      <c r="AH3517" s="80" t="s">
        <v>13679</v>
      </c>
      <c r="AI3517" s="77"/>
      <c r="AJ3517" s="77" t="s">
        <v>14341</v>
      </c>
      <c r="AK3517" s="77" t="s">
        <v>14382</v>
      </c>
      <c r="AL3517" s="77" t="s">
        <v>14391</v>
      </c>
      <c r="AM3517" s="77" t="s">
        <v>14400</v>
      </c>
      <c r="AN3517" s="77" t="s">
        <v>14438</v>
      </c>
      <c r="AO3517" s="77" t="s">
        <v>14479</v>
      </c>
      <c r="AP3517" s="77" t="s">
        <v>14516</v>
      </c>
      <c r="AQ3517" s="77"/>
      <c r="AR3517" s="77"/>
      <c r="AS3517" s="77"/>
      <c r="AT3517" s="77"/>
      <c r="AU3517" s="77"/>
      <c r="AV3517" s="83" t="str">
        <f>HYPERLINK("https://pbs.twimg.com/profile_images/1602460266133962752/6X71QgvR_normal.jpg")</f>
        <v>https://pbs.twimg.com/profile_images/1602460266133962752/6X71QgvR_normal.jpg</v>
      </c>
      <c r="AW3517" s="80" t="s">
        <v>19231</v>
      </c>
      <c r="AX3517" s="80" t="s">
        <v>19231</v>
      </c>
      <c r="AY3517" s="77"/>
      <c r="AZ3517" s="80" t="s">
        <v>20380</v>
      </c>
      <c r="BA3517" s="80" t="s">
        <v>19230</v>
      </c>
      <c r="BB3517" s="80" t="s">
        <v>20380</v>
      </c>
      <c r="BC3517" s="80" t="s">
        <v>19230</v>
      </c>
      <c r="BD3517" s="77">
        <v>27008217</v>
      </c>
      <c r="BE3517" s="77"/>
      <c r="BF3517" s="77"/>
      <c r="BG3517" s="77"/>
      <c r="BH3517" s="77"/>
      <c r="BI3517" s="77"/>
    </row>
    <row r="3518" spans="1:61" x14ac:dyDescent="0.25">
      <c r="A3518" s="62" t="s">
        <v>1399</v>
      </c>
      <c r="B3518" s="62" t="s">
        <v>1399</v>
      </c>
      <c r="C3518" s="63"/>
      <c r="D3518" s="64"/>
      <c r="E3518" s="65"/>
      <c r="F3518" s="66"/>
      <c r="G3518" s="63"/>
      <c r="H3518" s="67"/>
      <c r="I3518" s="68"/>
      <c r="J3518" s="68"/>
      <c r="K3518" s="32"/>
      <c r="L3518" s="75">
        <v>3518</v>
      </c>
      <c r="M3518" s="75"/>
      <c r="N3518" s="70"/>
      <c r="O3518" s="77" t="s">
        <v>179</v>
      </c>
      <c r="P3518" s="79">
        <v>45054.950115740743</v>
      </c>
      <c r="Q3518" s="77" t="s">
        <v>5182</v>
      </c>
      <c r="R3518" s="77">
        <v>0</v>
      </c>
      <c r="S3518" s="77">
        <v>0</v>
      </c>
      <c r="T3518" s="77">
        <v>0</v>
      </c>
      <c r="U3518" s="77">
        <v>0</v>
      </c>
      <c r="V3518" s="77">
        <v>530</v>
      </c>
      <c r="W3518" s="80" t="s">
        <v>8065</v>
      </c>
      <c r="X3518" s="83" t="str">
        <f>HYPERLINK("https://www.istoedinheiro.com.br/dolar-a-vista-tem-forte-alta-ante-real-em-reacao-a-galipolo-no-bc/")</f>
        <v>https://www.istoedinheiro.com.br/dolar-a-vista-tem-forte-alta-ante-real-em-reacao-a-galipolo-no-bc/</v>
      </c>
      <c r="Y3518" s="77" t="s">
        <v>8611</v>
      </c>
      <c r="Z3518" s="77"/>
      <c r="AA3518" s="77"/>
      <c r="AB3518" s="77"/>
      <c r="AC3518" s="80" t="s">
        <v>10541</v>
      </c>
      <c r="AD3518" s="77" t="s">
        <v>10617</v>
      </c>
      <c r="AE3518" s="83" t="str">
        <f>HYPERLINK("https://twitter.com/istoe_dinheiro/status/1655706186258214912")</f>
        <v>https://twitter.com/istoe_dinheiro/status/1655706186258214912</v>
      </c>
      <c r="AF3518" s="79">
        <v>45054.950115740743</v>
      </c>
      <c r="AG3518" s="85">
        <v>45054</v>
      </c>
      <c r="AH3518" s="80" t="s">
        <v>13680</v>
      </c>
      <c r="AI3518" s="77" t="b">
        <v>0</v>
      </c>
      <c r="AJ3518" s="77"/>
      <c r="AK3518" s="77"/>
      <c r="AL3518" s="77"/>
      <c r="AM3518" s="77"/>
      <c r="AN3518" s="77"/>
      <c r="AO3518" s="77"/>
      <c r="AP3518" s="77"/>
      <c r="AQ3518" s="77"/>
      <c r="AR3518" s="77"/>
      <c r="AS3518" s="77"/>
      <c r="AT3518" s="77"/>
      <c r="AU3518" s="77"/>
      <c r="AV3518" s="83" t="str">
        <f>HYPERLINK("https://pbs.twimg.com/profile_images/1452670514074427395/DnGxS0l7_normal.jpg")</f>
        <v>https://pbs.twimg.com/profile_images/1452670514074427395/DnGxS0l7_normal.jpg</v>
      </c>
      <c r="AW3518" s="80" t="s">
        <v>19232</v>
      </c>
      <c r="AX3518" s="80" t="s">
        <v>19232</v>
      </c>
      <c r="AY3518" s="77"/>
      <c r="AZ3518" s="80" t="s">
        <v>20380</v>
      </c>
      <c r="BA3518" s="80" t="s">
        <v>20380</v>
      </c>
      <c r="BB3518" s="80" t="s">
        <v>20380</v>
      </c>
      <c r="BC3518" s="80" t="s">
        <v>19232</v>
      </c>
      <c r="BD3518" s="77">
        <v>42962996</v>
      </c>
      <c r="BE3518" s="77"/>
      <c r="BF3518" s="77"/>
      <c r="BG3518" s="77"/>
      <c r="BH3518" s="77"/>
      <c r="BI3518" s="77"/>
    </row>
    <row r="3519" spans="1:61" x14ac:dyDescent="0.25">
      <c r="A3519" s="62" t="s">
        <v>1399</v>
      </c>
      <c r="B3519" s="62" t="s">
        <v>1399</v>
      </c>
      <c r="C3519" s="63"/>
      <c r="D3519" s="64"/>
      <c r="E3519" s="65"/>
      <c r="F3519" s="66"/>
      <c r="G3519" s="63"/>
      <c r="H3519" s="67"/>
      <c r="I3519" s="68"/>
      <c r="J3519" s="68"/>
      <c r="K3519" s="32"/>
      <c r="L3519" s="75">
        <v>3519</v>
      </c>
      <c r="M3519" s="75"/>
      <c r="N3519" s="70"/>
      <c r="O3519" s="77" t="s">
        <v>179</v>
      </c>
      <c r="P3519" s="79">
        <v>45165.863796296297</v>
      </c>
      <c r="Q3519" s="77" t="s">
        <v>5183</v>
      </c>
      <c r="R3519" s="77">
        <v>0</v>
      </c>
      <c r="S3519" s="77">
        <v>3</v>
      </c>
      <c r="T3519" s="77">
        <v>1</v>
      </c>
      <c r="U3519" s="77">
        <v>0</v>
      </c>
      <c r="V3519" s="77">
        <v>877</v>
      </c>
      <c r="W3519" s="80" t="s">
        <v>8066</v>
      </c>
      <c r="X3519" s="83" t="str">
        <f>HYPERLINK("https://istoedinheiro.com.br/campos-neto-diz-que-governo-esta-na-direcao-certa-mas-que-barra-subiu-para-politica-fiscal/")</f>
        <v>https://istoedinheiro.com.br/campos-neto-diz-que-governo-esta-na-direcao-certa-mas-que-barra-subiu-para-politica-fiscal/</v>
      </c>
      <c r="Y3519" s="77" t="s">
        <v>8611</v>
      </c>
      <c r="Z3519" s="77"/>
      <c r="AA3519" s="77"/>
      <c r="AB3519" s="77"/>
      <c r="AC3519" s="80" t="s">
        <v>10552</v>
      </c>
      <c r="AD3519" s="77" t="s">
        <v>10617</v>
      </c>
      <c r="AE3519" s="83" t="str">
        <f>HYPERLINK("https://twitter.com/istoe_dinheiro/status/1695899954961605061")</f>
        <v>https://twitter.com/istoe_dinheiro/status/1695899954961605061</v>
      </c>
      <c r="AF3519" s="79">
        <v>45165.863796296297</v>
      </c>
      <c r="AG3519" s="85">
        <v>45165</v>
      </c>
      <c r="AH3519" s="80" t="s">
        <v>13681</v>
      </c>
      <c r="AI3519" s="77" t="b">
        <v>0</v>
      </c>
      <c r="AJ3519" s="77"/>
      <c r="AK3519" s="77"/>
      <c r="AL3519" s="77"/>
      <c r="AM3519" s="77"/>
      <c r="AN3519" s="77"/>
      <c r="AO3519" s="77"/>
      <c r="AP3519" s="77"/>
      <c r="AQ3519" s="77"/>
      <c r="AR3519" s="77"/>
      <c r="AS3519" s="77"/>
      <c r="AT3519" s="77"/>
      <c r="AU3519" s="77"/>
      <c r="AV3519" s="83" t="str">
        <f>HYPERLINK("https://pbs.twimg.com/profile_images/1452670514074427395/DnGxS0l7_normal.jpg")</f>
        <v>https://pbs.twimg.com/profile_images/1452670514074427395/DnGxS0l7_normal.jpg</v>
      </c>
      <c r="AW3519" s="80" t="s">
        <v>19233</v>
      </c>
      <c r="AX3519" s="80" t="s">
        <v>19233</v>
      </c>
      <c r="AY3519" s="77"/>
      <c r="AZ3519" s="80" t="s">
        <v>20380</v>
      </c>
      <c r="BA3519" s="80" t="s">
        <v>20380</v>
      </c>
      <c r="BB3519" s="80" t="s">
        <v>20380</v>
      </c>
      <c r="BC3519" s="80" t="s">
        <v>19233</v>
      </c>
      <c r="BD3519" s="77">
        <v>42962996</v>
      </c>
      <c r="BE3519" s="77"/>
      <c r="BF3519" s="77"/>
      <c r="BG3519" s="77"/>
      <c r="BH3519" s="77"/>
      <c r="BI3519" s="77"/>
    </row>
    <row r="3520" spans="1:61" x14ac:dyDescent="0.25">
      <c r="A3520" s="62" t="s">
        <v>1399</v>
      </c>
      <c r="B3520" s="62" t="s">
        <v>1399</v>
      </c>
      <c r="C3520" s="63"/>
      <c r="D3520" s="64"/>
      <c r="E3520" s="65"/>
      <c r="F3520" s="66"/>
      <c r="G3520" s="63"/>
      <c r="H3520" s="67"/>
      <c r="I3520" s="68"/>
      <c r="J3520" s="68"/>
      <c r="K3520" s="32"/>
      <c r="L3520" s="75">
        <v>3520</v>
      </c>
      <c r="M3520" s="75"/>
      <c r="N3520" s="70"/>
      <c r="O3520" s="77" t="s">
        <v>179</v>
      </c>
      <c r="P3520" s="79">
        <v>45164.817974537036</v>
      </c>
      <c r="Q3520" s="77" t="s">
        <v>5184</v>
      </c>
      <c r="R3520" s="77">
        <v>0</v>
      </c>
      <c r="S3520" s="77">
        <v>3</v>
      </c>
      <c r="T3520" s="77">
        <v>0</v>
      </c>
      <c r="U3520" s="77">
        <v>0</v>
      </c>
      <c r="V3520" s="77">
        <v>655</v>
      </c>
      <c r="W3520" s="80" t="s">
        <v>8067</v>
      </c>
      <c r="X3520" s="83" t="str">
        <f>HYPERLINK("https://istoedinheiro.com.br/objetivo-e-pouso-suave-trazer-inflacao-para-baixo-com-menor-custo-a-sociedade-diz-campos-neto/")</f>
        <v>https://istoedinheiro.com.br/objetivo-e-pouso-suave-trazer-inflacao-para-baixo-com-menor-custo-a-sociedade-diz-campos-neto/</v>
      </c>
      <c r="Y3520" s="77" t="s">
        <v>8611</v>
      </c>
      <c r="Z3520" s="77"/>
      <c r="AA3520" s="77"/>
      <c r="AB3520" s="77"/>
      <c r="AC3520" s="80" t="s">
        <v>10552</v>
      </c>
      <c r="AD3520" s="77" t="s">
        <v>10617</v>
      </c>
      <c r="AE3520" s="83" t="str">
        <f>HYPERLINK("https://twitter.com/istoe_dinheiro/status/1695520963075702800")</f>
        <v>https://twitter.com/istoe_dinheiro/status/1695520963075702800</v>
      </c>
      <c r="AF3520" s="79">
        <v>45164.817974537036</v>
      </c>
      <c r="AG3520" s="85">
        <v>45164</v>
      </c>
      <c r="AH3520" s="80" t="s">
        <v>12231</v>
      </c>
      <c r="AI3520" s="77" t="b">
        <v>0</v>
      </c>
      <c r="AJ3520" s="77"/>
      <c r="AK3520" s="77"/>
      <c r="AL3520" s="77"/>
      <c r="AM3520" s="77"/>
      <c r="AN3520" s="77"/>
      <c r="AO3520" s="77"/>
      <c r="AP3520" s="77"/>
      <c r="AQ3520" s="77"/>
      <c r="AR3520" s="77"/>
      <c r="AS3520" s="77"/>
      <c r="AT3520" s="77"/>
      <c r="AU3520" s="77"/>
      <c r="AV3520" s="83" t="str">
        <f>HYPERLINK("https://pbs.twimg.com/profile_images/1452670514074427395/DnGxS0l7_normal.jpg")</f>
        <v>https://pbs.twimg.com/profile_images/1452670514074427395/DnGxS0l7_normal.jpg</v>
      </c>
      <c r="AW3520" s="80" t="s">
        <v>19234</v>
      </c>
      <c r="AX3520" s="80" t="s">
        <v>19234</v>
      </c>
      <c r="AY3520" s="77"/>
      <c r="AZ3520" s="80" t="s">
        <v>20380</v>
      </c>
      <c r="BA3520" s="80" t="s">
        <v>20380</v>
      </c>
      <c r="BB3520" s="80" t="s">
        <v>20380</v>
      </c>
      <c r="BC3520" s="80" t="s">
        <v>19234</v>
      </c>
      <c r="BD3520" s="77">
        <v>42962996</v>
      </c>
      <c r="BE3520" s="77"/>
      <c r="BF3520" s="77"/>
      <c r="BG3520" s="77"/>
      <c r="BH3520" s="77"/>
      <c r="BI3520" s="77"/>
    </row>
    <row r="3521" spans="1:61" x14ac:dyDescent="0.25">
      <c r="A3521" s="62" t="s">
        <v>1398</v>
      </c>
      <c r="B3521" s="62" t="s">
        <v>1399</v>
      </c>
      <c r="C3521" s="63"/>
      <c r="D3521" s="64"/>
      <c r="E3521" s="65"/>
      <c r="F3521" s="66"/>
      <c r="G3521" s="63"/>
      <c r="H3521" s="67"/>
      <c r="I3521" s="68"/>
      <c r="J3521" s="68"/>
      <c r="K3521" s="32"/>
      <c r="L3521" s="75">
        <v>3521</v>
      </c>
      <c r="M3521" s="75"/>
      <c r="N3521" s="70"/>
      <c r="O3521" s="77" t="s">
        <v>2081</v>
      </c>
      <c r="P3521" s="79">
        <v>45100.865034722221</v>
      </c>
      <c r="Q3521" s="77" t="s">
        <v>5185</v>
      </c>
      <c r="R3521" s="77">
        <v>0</v>
      </c>
      <c r="S3521" s="77">
        <v>0</v>
      </c>
      <c r="T3521" s="77">
        <v>0</v>
      </c>
      <c r="U3521" s="77">
        <v>0</v>
      </c>
      <c r="V3521" s="77">
        <v>10</v>
      </c>
      <c r="W3521" s="80" t="s">
        <v>5884</v>
      </c>
      <c r="X3521" s="83" t="str">
        <f>HYPERLINK("https://www.istoedinheiro.com.br/affonso-celso-pastore-governo-esta-desmontando-bc-com-ataque-a-autarquia-e-campos-neto/")</f>
        <v>https://www.istoedinheiro.com.br/affonso-celso-pastore-governo-esta-desmontando-bc-com-ataque-a-autarquia-e-campos-neto/</v>
      </c>
      <c r="Y3521" s="77" t="s">
        <v>8611</v>
      </c>
      <c r="Z3521" s="77" t="s">
        <v>1399</v>
      </c>
      <c r="AA3521" s="77"/>
      <c r="AB3521" s="77"/>
      <c r="AC3521" s="80" t="s">
        <v>10541</v>
      </c>
      <c r="AD3521" s="77" t="s">
        <v>10617</v>
      </c>
      <c r="AE3521" s="83" t="str">
        <f>HYPERLINK("https://twitter.com/magiozal/status/1672345192391647237")</f>
        <v>https://twitter.com/magiozal/status/1672345192391647237</v>
      </c>
      <c r="AF3521" s="79">
        <v>45100.865034722221</v>
      </c>
      <c r="AG3521" s="85">
        <v>45100</v>
      </c>
      <c r="AH3521" s="80" t="s">
        <v>13682</v>
      </c>
      <c r="AI3521" s="77" t="b">
        <v>0</v>
      </c>
      <c r="AJ3521" s="77"/>
      <c r="AK3521" s="77"/>
      <c r="AL3521" s="77"/>
      <c r="AM3521" s="77"/>
      <c r="AN3521" s="77"/>
      <c r="AO3521" s="77"/>
      <c r="AP3521" s="77"/>
      <c r="AQ3521" s="77"/>
      <c r="AR3521" s="77"/>
      <c r="AS3521" s="77"/>
      <c r="AT3521" s="77"/>
      <c r="AU3521" s="77"/>
      <c r="AV3521" s="83" t="str">
        <f>HYPERLINK("https://pbs.twimg.com/profile_images/1602460266133962752/6X71QgvR_normal.jpg")</f>
        <v>https://pbs.twimg.com/profile_images/1602460266133962752/6X71QgvR_normal.jpg</v>
      </c>
      <c r="AW3521" s="80" t="s">
        <v>19235</v>
      </c>
      <c r="AX3521" s="80" t="s">
        <v>19235</v>
      </c>
      <c r="AY3521" s="77"/>
      <c r="AZ3521" s="80" t="s">
        <v>20380</v>
      </c>
      <c r="BA3521" s="80" t="s">
        <v>20380</v>
      </c>
      <c r="BB3521" s="80" t="s">
        <v>20380</v>
      </c>
      <c r="BC3521" s="80" t="s">
        <v>19235</v>
      </c>
      <c r="BD3521" s="77">
        <v>27008217</v>
      </c>
      <c r="BE3521" s="77"/>
      <c r="BF3521" s="77"/>
      <c r="BG3521" s="77"/>
      <c r="BH3521" s="77"/>
      <c r="BI3521" s="77"/>
    </row>
    <row r="3522" spans="1:61" x14ac:dyDescent="0.25">
      <c r="A3522" s="62" t="s">
        <v>1398</v>
      </c>
      <c r="B3522" s="62" t="s">
        <v>1443</v>
      </c>
      <c r="C3522" s="63"/>
      <c r="D3522" s="64"/>
      <c r="E3522" s="65"/>
      <c r="F3522" s="66"/>
      <c r="G3522" s="63"/>
      <c r="H3522" s="67"/>
      <c r="I3522" s="68"/>
      <c r="J3522" s="68"/>
      <c r="K3522" s="32"/>
      <c r="L3522" s="75">
        <v>3522</v>
      </c>
      <c r="M3522" s="75"/>
      <c r="N3522" s="70"/>
      <c r="O3522" s="77" t="s">
        <v>2082</v>
      </c>
      <c r="P3522" s="79">
        <v>45097.995983796296</v>
      </c>
      <c r="Q3522" s="77" t="s">
        <v>5186</v>
      </c>
      <c r="R3522" s="77">
        <v>0</v>
      </c>
      <c r="S3522" s="77">
        <v>0</v>
      </c>
      <c r="T3522" s="77">
        <v>1</v>
      </c>
      <c r="U3522" s="77">
        <v>0</v>
      </c>
      <c r="V3522" s="77">
        <v>42</v>
      </c>
      <c r="W3522" s="80" t="s">
        <v>8068</v>
      </c>
      <c r="X3522" s="77"/>
      <c r="Y3522" s="77"/>
      <c r="Z3522" s="77"/>
      <c r="AA3522" s="77"/>
      <c r="AB3522" s="77"/>
      <c r="AC3522" s="80" t="s">
        <v>10542</v>
      </c>
      <c r="AD3522" s="77" t="s">
        <v>10617</v>
      </c>
      <c r="AE3522" s="83" t="str">
        <f>HYPERLINK("https://twitter.com/magiozal/status/1671305483037147137")</f>
        <v>https://twitter.com/magiozal/status/1671305483037147137</v>
      </c>
      <c r="AF3522" s="79">
        <v>45097.995983796296</v>
      </c>
      <c r="AG3522" s="85">
        <v>45097</v>
      </c>
      <c r="AH3522" s="80" t="s">
        <v>13683</v>
      </c>
      <c r="AI3522" s="77"/>
      <c r="AJ3522" s="77" t="s">
        <v>14341</v>
      </c>
      <c r="AK3522" s="77" t="s">
        <v>14382</v>
      </c>
      <c r="AL3522" s="77" t="s">
        <v>14391</v>
      </c>
      <c r="AM3522" s="77" t="s">
        <v>14400</v>
      </c>
      <c r="AN3522" s="77" t="s">
        <v>14438</v>
      </c>
      <c r="AO3522" s="77" t="s">
        <v>14479</v>
      </c>
      <c r="AP3522" s="77" t="s">
        <v>14516</v>
      </c>
      <c r="AQ3522" s="77"/>
      <c r="AR3522" s="77"/>
      <c r="AS3522" s="77"/>
      <c r="AT3522" s="77"/>
      <c r="AU3522" s="77"/>
      <c r="AV3522" s="83" t="str">
        <f>HYPERLINK("https://pbs.twimg.com/profile_images/1602460266133962752/6X71QgvR_normal.jpg")</f>
        <v>https://pbs.twimg.com/profile_images/1602460266133962752/6X71QgvR_normal.jpg</v>
      </c>
      <c r="AW3522" s="80" t="s">
        <v>19236</v>
      </c>
      <c r="AX3522" s="80" t="s">
        <v>19236</v>
      </c>
      <c r="AY3522" s="77"/>
      <c r="AZ3522" s="80" t="s">
        <v>20380</v>
      </c>
      <c r="BA3522" s="80" t="s">
        <v>19322</v>
      </c>
      <c r="BB3522" s="80" t="s">
        <v>20380</v>
      </c>
      <c r="BC3522" s="80" t="s">
        <v>19322</v>
      </c>
      <c r="BD3522" s="77">
        <v>27008217</v>
      </c>
      <c r="BE3522" s="77"/>
      <c r="BF3522" s="77"/>
      <c r="BG3522" s="77"/>
      <c r="BH3522" s="77"/>
      <c r="BI3522" s="77"/>
    </row>
    <row r="3523" spans="1:61" x14ac:dyDescent="0.25">
      <c r="A3523" s="62" t="s">
        <v>1398</v>
      </c>
      <c r="B3523" s="62" t="s">
        <v>1398</v>
      </c>
      <c r="C3523" s="63"/>
      <c r="D3523" s="64"/>
      <c r="E3523" s="65"/>
      <c r="F3523" s="66"/>
      <c r="G3523" s="63"/>
      <c r="H3523" s="67"/>
      <c r="I3523" s="68"/>
      <c r="J3523" s="68"/>
      <c r="K3523" s="32"/>
      <c r="L3523" s="75">
        <v>3523</v>
      </c>
      <c r="M3523" s="75"/>
      <c r="N3523" s="70"/>
      <c r="O3523" s="77" t="s">
        <v>179</v>
      </c>
      <c r="P3523" s="79">
        <v>45099.931238425925</v>
      </c>
      <c r="Q3523" s="77" t="s">
        <v>5187</v>
      </c>
      <c r="R3523" s="77">
        <v>0</v>
      </c>
      <c r="S3523" s="77">
        <v>0</v>
      </c>
      <c r="T3523" s="77">
        <v>0</v>
      </c>
      <c r="U3523" s="77">
        <v>0</v>
      </c>
      <c r="V3523" s="77">
        <v>21</v>
      </c>
      <c r="W3523" s="80" t="s">
        <v>8069</v>
      </c>
      <c r="X3523" s="77"/>
      <c r="Y3523" s="77"/>
      <c r="Z3523" s="77"/>
      <c r="AA3523" s="77"/>
      <c r="AB3523" s="77"/>
      <c r="AC3523" s="80" t="s">
        <v>10542</v>
      </c>
      <c r="AD3523" s="77" t="s">
        <v>10617</v>
      </c>
      <c r="AE3523" s="83" t="str">
        <f>HYPERLINK("https://twitter.com/magiozal/status/1672006795588509707")</f>
        <v>https://twitter.com/magiozal/status/1672006795588509707</v>
      </c>
      <c r="AF3523" s="79">
        <v>45099.931238425925</v>
      </c>
      <c r="AG3523" s="85">
        <v>45099</v>
      </c>
      <c r="AH3523" s="80" t="s">
        <v>13684</v>
      </c>
      <c r="AI3523" s="77"/>
      <c r="AJ3523" s="77" t="s">
        <v>14341</v>
      </c>
      <c r="AK3523" s="77" t="s">
        <v>14382</v>
      </c>
      <c r="AL3523" s="77" t="s">
        <v>14391</v>
      </c>
      <c r="AM3523" s="77" t="s">
        <v>14400</v>
      </c>
      <c r="AN3523" s="77" t="s">
        <v>14438</v>
      </c>
      <c r="AO3523" s="77" t="s">
        <v>14479</v>
      </c>
      <c r="AP3523" s="77" t="s">
        <v>14516</v>
      </c>
      <c r="AQ3523" s="77"/>
      <c r="AR3523" s="77"/>
      <c r="AS3523" s="77"/>
      <c r="AT3523" s="77"/>
      <c r="AU3523" s="77"/>
      <c r="AV3523" s="83" t="str">
        <f>HYPERLINK("https://pbs.twimg.com/profile_images/1602460266133962752/6X71QgvR_normal.jpg")</f>
        <v>https://pbs.twimg.com/profile_images/1602460266133962752/6X71QgvR_normal.jpg</v>
      </c>
      <c r="AW3523" s="80" t="s">
        <v>19237</v>
      </c>
      <c r="AX3523" s="80" t="s">
        <v>19237</v>
      </c>
      <c r="AY3523" s="77"/>
      <c r="AZ3523" s="80" t="s">
        <v>20380</v>
      </c>
      <c r="BA3523" s="80" t="s">
        <v>20380</v>
      </c>
      <c r="BB3523" s="80" t="s">
        <v>20380</v>
      </c>
      <c r="BC3523" s="80" t="s">
        <v>19237</v>
      </c>
      <c r="BD3523" s="77">
        <v>27008217</v>
      </c>
      <c r="BE3523" s="77"/>
      <c r="BF3523" s="77"/>
      <c r="BG3523" s="77"/>
      <c r="BH3523" s="77"/>
      <c r="BI3523" s="77"/>
    </row>
    <row r="3524" spans="1:61" x14ac:dyDescent="0.25">
      <c r="A3524" s="62" t="s">
        <v>1400</v>
      </c>
      <c r="B3524" s="62" t="s">
        <v>1848</v>
      </c>
      <c r="C3524" s="63"/>
      <c r="D3524" s="64"/>
      <c r="E3524" s="65"/>
      <c r="F3524" s="66"/>
      <c r="G3524" s="63"/>
      <c r="H3524" s="67"/>
      <c r="I3524" s="68"/>
      <c r="J3524" s="68"/>
      <c r="K3524" s="32"/>
      <c r="L3524" s="75">
        <v>3524</v>
      </c>
      <c r="M3524" s="75"/>
      <c r="N3524" s="70"/>
      <c r="O3524" s="77" t="s">
        <v>2078</v>
      </c>
      <c r="P3524" s="79">
        <v>45096.977210648147</v>
      </c>
      <c r="Q3524" s="77" t="s">
        <v>5188</v>
      </c>
      <c r="R3524" s="77">
        <v>0</v>
      </c>
      <c r="S3524" s="77">
        <v>0</v>
      </c>
      <c r="T3524" s="77">
        <v>0</v>
      </c>
      <c r="U3524" s="77">
        <v>0</v>
      </c>
      <c r="V3524" s="77">
        <v>3</v>
      </c>
      <c r="W3524" s="80" t="s">
        <v>8070</v>
      </c>
      <c r="X3524" s="77"/>
      <c r="Y3524" s="77"/>
      <c r="Z3524" s="77" t="s">
        <v>1848</v>
      </c>
      <c r="AA3524" s="77"/>
      <c r="AB3524" s="77"/>
      <c r="AC3524" s="80" t="s">
        <v>10540</v>
      </c>
      <c r="AD3524" s="77" t="s">
        <v>10617</v>
      </c>
      <c r="AE3524" s="83" t="str">
        <f>HYPERLINK("https://twitter.com/sampaiojunior14/status/1670936295449804800")</f>
        <v>https://twitter.com/sampaiojunior14/status/1670936295449804800</v>
      </c>
      <c r="AF3524" s="79">
        <v>45096.977210648147</v>
      </c>
      <c r="AG3524" s="85">
        <v>45096</v>
      </c>
      <c r="AH3524" s="80" t="s">
        <v>13685</v>
      </c>
      <c r="AI3524" s="77"/>
      <c r="AJ3524" s="77"/>
      <c r="AK3524" s="77"/>
      <c r="AL3524" s="77"/>
      <c r="AM3524" s="77"/>
      <c r="AN3524" s="77"/>
      <c r="AO3524" s="77"/>
      <c r="AP3524" s="77"/>
      <c r="AQ3524" s="77"/>
      <c r="AR3524" s="77"/>
      <c r="AS3524" s="77"/>
      <c r="AT3524" s="77"/>
      <c r="AU3524" s="77"/>
      <c r="AV3524" s="83" t="str">
        <f>HYPERLINK("https://pbs.twimg.com/profile_images/1610073696655245313/zloIVTbx_normal.jpg")</f>
        <v>https://pbs.twimg.com/profile_images/1610073696655245313/zloIVTbx_normal.jpg</v>
      </c>
      <c r="AW3524" s="80" t="s">
        <v>19238</v>
      </c>
      <c r="AX3524" s="80" t="s">
        <v>20168</v>
      </c>
      <c r="AY3524" s="80" t="s">
        <v>20263</v>
      </c>
      <c r="AZ3524" s="80" t="s">
        <v>20168</v>
      </c>
      <c r="BA3524" s="80" t="s">
        <v>20380</v>
      </c>
      <c r="BB3524" s="80" t="s">
        <v>20380</v>
      </c>
      <c r="BC3524" s="80" t="s">
        <v>20168</v>
      </c>
      <c r="BD3524" s="80" t="s">
        <v>21070</v>
      </c>
      <c r="BE3524" s="77"/>
      <c r="BF3524" s="77"/>
      <c r="BG3524" s="77"/>
      <c r="BH3524" s="77"/>
      <c r="BI3524" s="77"/>
    </row>
    <row r="3525" spans="1:61" x14ac:dyDescent="0.25">
      <c r="A3525" s="62" t="s">
        <v>1401</v>
      </c>
      <c r="B3525" s="62" t="s">
        <v>1401</v>
      </c>
      <c r="C3525" s="63"/>
      <c r="D3525" s="64"/>
      <c r="E3525" s="65"/>
      <c r="F3525" s="66"/>
      <c r="G3525" s="63"/>
      <c r="H3525" s="67"/>
      <c r="I3525" s="68"/>
      <c r="J3525" s="68"/>
      <c r="K3525" s="32"/>
      <c r="L3525" s="75">
        <v>3525</v>
      </c>
      <c r="M3525" s="75"/>
      <c r="N3525" s="70"/>
      <c r="O3525" s="77" t="s">
        <v>179</v>
      </c>
      <c r="P3525" s="79">
        <v>45096.607638888891</v>
      </c>
      <c r="Q3525" s="77" t="s">
        <v>5189</v>
      </c>
      <c r="R3525" s="77">
        <v>0</v>
      </c>
      <c r="S3525" s="77">
        <v>0</v>
      </c>
      <c r="T3525" s="77">
        <v>0</v>
      </c>
      <c r="U3525" s="77">
        <v>0</v>
      </c>
      <c r="V3525" s="77">
        <v>78</v>
      </c>
      <c r="W3525" s="80" t="s">
        <v>8071</v>
      </c>
      <c r="X3525" s="77"/>
      <c r="Y3525" s="77"/>
      <c r="Z3525" s="77"/>
      <c r="AA3525" s="77" t="s">
        <v>10189</v>
      </c>
      <c r="AB3525" s="77" t="s">
        <v>10535</v>
      </c>
      <c r="AC3525" s="80" t="s">
        <v>10540</v>
      </c>
      <c r="AD3525" s="77" t="s">
        <v>10619</v>
      </c>
      <c r="AE3525" s="83" t="str">
        <f>HYPERLINK("https://twitter.com/rpgyoconpodemos/status/1670802366222802944")</f>
        <v>https://twitter.com/rpgyoconpodemos/status/1670802366222802944</v>
      </c>
      <c r="AF3525" s="79">
        <v>45096.607638888891</v>
      </c>
      <c r="AG3525" s="85">
        <v>45096</v>
      </c>
      <c r="AH3525" s="80" t="s">
        <v>11015</v>
      </c>
      <c r="AI3525" s="77" t="b">
        <v>0</v>
      </c>
      <c r="AJ3525" s="77"/>
      <c r="AK3525" s="77"/>
      <c r="AL3525" s="77"/>
      <c r="AM3525" s="77"/>
      <c r="AN3525" s="77"/>
      <c r="AO3525" s="77"/>
      <c r="AP3525" s="77"/>
      <c r="AQ3525" s="77" t="s">
        <v>15669</v>
      </c>
      <c r="AR3525" s="77"/>
      <c r="AS3525" s="77"/>
      <c r="AT3525" s="77"/>
      <c r="AU3525" s="77"/>
      <c r="AV3525" s="83" t="str">
        <f>HYPERLINK("https://pbs.twimg.com/media/Fy_h5MuXsAIrYLO.jpg")</f>
        <v>https://pbs.twimg.com/media/Fy_h5MuXsAIrYLO.jpg</v>
      </c>
      <c r="AW3525" s="80" t="s">
        <v>19239</v>
      </c>
      <c r="AX3525" s="80" t="s">
        <v>19239</v>
      </c>
      <c r="AY3525" s="77"/>
      <c r="AZ3525" s="80" t="s">
        <v>20380</v>
      </c>
      <c r="BA3525" s="80" t="s">
        <v>20380</v>
      </c>
      <c r="BB3525" s="80" t="s">
        <v>20380</v>
      </c>
      <c r="BC3525" s="80" t="s">
        <v>19239</v>
      </c>
      <c r="BD3525" s="77">
        <v>82772287</v>
      </c>
      <c r="BE3525" s="77"/>
      <c r="BF3525" s="77"/>
      <c r="BG3525" s="77"/>
      <c r="BH3525" s="77"/>
      <c r="BI3525" s="77"/>
    </row>
    <row r="3526" spans="1:61" x14ac:dyDescent="0.25">
      <c r="A3526" s="62" t="s">
        <v>1402</v>
      </c>
      <c r="B3526" s="62" t="s">
        <v>2028</v>
      </c>
      <c r="C3526" s="63"/>
      <c r="D3526" s="64"/>
      <c r="E3526" s="65"/>
      <c r="F3526" s="66"/>
      <c r="G3526" s="63"/>
      <c r="H3526" s="67"/>
      <c r="I3526" s="68"/>
      <c r="J3526" s="68"/>
      <c r="K3526" s="32"/>
      <c r="L3526" s="75">
        <v>3526</v>
      </c>
      <c r="M3526" s="75"/>
      <c r="N3526" s="70"/>
      <c r="O3526" s="77" t="s">
        <v>2081</v>
      </c>
      <c r="P3526" s="79">
        <v>45076.931620370371</v>
      </c>
      <c r="Q3526" s="77" t="s">
        <v>5190</v>
      </c>
      <c r="R3526" s="77">
        <v>9</v>
      </c>
      <c r="S3526" s="77">
        <v>16</v>
      </c>
      <c r="T3526" s="77">
        <v>0</v>
      </c>
      <c r="U3526" s="77">
        <v>0</v>
      </c>
      <c r="V3526" s="77">
        <v>167</v>
      </c>
      <c r="W3526" s="80" t="s">
        <v>8072</v>
      </c>
      <c r="X3526" s="77"/>
      <c r="Y3526" s="77"/>
      <c r="Z3526" s="77" t="s">
        <v>9015</v>
      </c>
      <c r="AA3526" s="77" t="s">
        <v>10190</v>
      </c>
      <c r="AB3526" s="77" t="s">
        <v>10535</v>
      </c>
      <c r="AC3526" s="80" t="s">
        <v>10541</v>
      </c>
      <c r="AD3526" s="77" t="s">
        <v>10620</v>
      </c>
      <c r="AE3526" s="83" t="str">
        <f>HYPERLINK("https://twitter.com/larepublica68/status/1663672014475755522")</f>
        <v>https://twitter.com/larepublica68/status/1663672014475755522</v>
      </c>
      <c r="AF3526" s="79">
        <v>45076.931620370371</v>
      </c>
      <c r="AG3526" s="85">
        <v>45076</v>
      </c>
      <c r="AH3526" s="80" t="s">
        <v>13686</v>
      </c>
      <c r="AI3526" s="77" t="b">
        <v>0</v>
      </c>
      <c r="AJ3526" s="77"/>
      <c r="AK3526" s="77"/>
      <c r="AL3526" s="77"/>
      <c r="AM3526" s="77"/>
      <c r="AN3526" s="77"/>
      <c r="AO3526" s="77"/>
      <c r="AP3526" s="77"/>
      <c r="AQ3526" s="77" t="s">
        <v>15670</v>
      </c>
      <c r="AR3526" s="77"/>
      <c r="AS3526" s="77"/>
      <c r="AT3526" s="77"/>
      <c r="AU3526" s="77"/>
      <c r="AV3526" s="83" t="str">
        <f>HYPERLINK("https://pbs.twimg.com/media/FxaM3hZXgAgRUB_.jpg")</f>
        <v>https://pbs.twimg.com/media/FxaM3hZXgAgRUB_.jpg</v>
      </c>
      <c r="AW3526" s="80" t="s">
        <v>19240</v>
      </c>
      <c r="AX3526" s="80" t="s">
        <v>19240</v>
      </c>
      <c r="AY3526" s="77"/>
      <c r="AZ3526" s="80" t="s">
        <v>20380</v>
      </c>
      <c r="BA3526" s="80" t="s">
        <v>20380</v>
      </c>
      <c r="BB3526" s="80" t="s">
        <v>20380</v>
      </c>
      <c r="BC3526" s="80" t="s">
        <v>19240</v>
      </c>
      <c r="BD3526" s="80" t="s">
        <v>21071</v>
      </c>
      <c r="BE3526" s="77"/>
      <c r="BF3526" s="77"/>
      <c r="BG3526" s="77"/>
      <c r="BH3526" s="77"/>
      <c r="BI3526" s="77"/>
    </row>
    <row r="3527" spans="1:61" x14ac:dyDescent="0.25">
      <c r="A3527" s="62" t="s">
        <v>1402</v>
      </c>
      <c r="B3527" s="62" t="s">
        <v>1826</v>
      </c>
      <c r="C3527" s="63"/>
      <c r="D3527" s="64"/>
      <c r="E3527" s="65"/>
      <c r="F3527" s="66"/>
      <c r="G3527" s="63"/>
      <c r="H3527" s="67"/>
      <c r="I3527" s="68"/>
      <c r="J3527" s="68"/>
      <c r="K3527" s="32"/>
      <c r="L3527" s="75">
        <v>3527</v>
      </c>
      <c r="M3527" s="75"/>
      <c r="N3527" s="70"/>
      <c r="O3527" s="77" t="s">
        <v>2081</v>
      </c>
      <c r="P3527" s="79">
        <v>45073.970034722224</v>
      </c>
      <c r="Q3527" s="77" t="s">
        <v>5191</v>
      </c>
      <c r="R3527" s="77">
        <v>10</v>
      </c>
      <c r="S3527" s="77">
        <v>19</v>
      </c>
      <c r="T3527" s="77">
        <v>0</v>
      </c>
      <c r="U3527" s="77">
        <v>0</v>
      </c>
      <c r="V3527" s="77">
        <v>203</v>
      </c>
      <c r="W3527" s="80" t="s">
        <v>8073</v>
      </c>
      <c r="X3527" s="77"/>
      <c r="Y3527" s="77"/>
      <c r="Z3527" s="77" t="s">
        <v>9016</v>
      </c>
      <c r="AA3527" s="77" t="s">
        <v>10191</v>
      </c>
      <c r="AB3527" s="77" t="s">
        <v>10535</v>
      </c>
      <c r="AC3527" s="80" t="s">
        <v>10541</v>
      </c>
      <c r="AD3527" s="77" t="s">
        <v>10620</v>
      </c>
      <c r="AE3527" s="83" t="str">
        <f>HYPERLINK("https://twitter.com/larepublica68/status/1662598772096991234")</f>
        <v>https://twitter.com/larepublica68/status/1662598772096991234</v>
      </c>
      <c r="AF3527" s="79">
        <v>45073.970034722224</v>
      </c>
      <c r="AG3527" s="85">
        <v>45073</v>
      </c>
      <c r="AH3527" s="80" t="s">
        <v>13687</v>
      </c>
      <c r="AI3527" s="77" t="b">
        <v>0</v>
      </c>
      <c r="AJ3527" s="77"/>
      <c r="AK3527" s="77"/>
      <c r="AL3527" s="77"/>
      <c r="AM3527" s="77"/>
      <c r="AN3527" s="77"/>
      <c r="AO3527" s="77"/>
      <c r="AP3527" s="77"/>
      <c r="AQ3527" s="77" t="s">
        <v>15671</v>
      </c>
      <c r="AR3527" s="77"/>
      <c r="AS3527" s="77"/>
      <c r="AT3527" s="77"/>
      <c r="AU3527" s="77"/>
      <c r="AV3527" s="83" t="str">
        <f>HYPERLINK("https://pbs.twimg.com/media/FxK8KiaXoAQDUz5.jpg")</f>
        <v>https://pbs.twimg.com/media/FxK8KiaXoAQDUz5.jpg</v>
      </c>
      <c r="AW3527" s="80" t="s">
        <v>19241</v>
      </c>
      <c r="AX3527" s="80" t="s">
        <v>19241</v>
      </c>
      <c r="AY3527" s="77"/>
      <c r="AZ3527" s="80" t="s">
        <v>20380</v>
      </c>
      <c r="BA3527" s="80" t="s">
        <v>20380</v>
      </c>
      <c r="BB3527" s="80" t="s">
        <v>20380</v>
      </c>
      <c r="BC3527" s="80" t="s">
        <v>19241</v>
      </c>
      <c r="BD3527" s="80" t="s">
        <v>21071</v>
      </c>
      <c r="BE3527" s="77"/>
      <c r="BF3527" s="77"/>
      <c r="BG3527" s="77"/>
      <c r="BH3527" s="77"/>
      <c r="BI3527" s="77"/>
    </row>
    <row r="3528" spans="1:61" x14ac:dyDescent="0.25">
      <c r="A3528" s="62" t="s">
        <v>1402</v>
      </c>
      <c r="B3528" s="62" t="s">
        <v>2029</v>
      </c>
      <c r="C3528" s="63"/>
      <c r="D3528" s="64"/>
      <c r="E3528" s="65"/>
      <c r="F3528" s="66"/>
      <c r="G3528" s="63"/>
      <c r="H3528" s="67"/>
      <c r="I3528" s="68"/>
      <c r="J3528" s="68"/>
      <c r="K3528" s="32"/>
      <c r="L3528" s="75">
        <v>3528</v>
      </c>
      <c r="M3528" s="75"/>
      <c r="N3528" s="70"/>
      <c r="O3528" s="77" t="s">
        <v>2081</v>
      </c>
      <c r="P3528" s="79">
        <v>45076.931620370371</v>
      </c>
      <c r="Q3528" s="77" t="s">
        <v>5190</v>
      </c>
      <c r="R3528" s="77">
        <v>9</v>
      </c>
      <c r="S3528" s="77">
        <v>16</v>
      </c>
      <c r="T3528" s="77">
        <v>0</v>
      </c>
      <c r="U3528" s="77">
        <v>0</v>
      </c>
      <c r="V3528" s="77">
        <v>167</v>
      </c>
      <c r="W3528" s="80" t="s">
        <v>8072</v>
      </c>
      <c r="X3528" s="77"/>
      <c r="Y3528" s="77"/>
      <c r="Z3528" s="77" t="s">
        <v>9015</v>
      </c>
      <c r="AA3528" s="77" t="s">
        <v>10190</v>
      </c>
      <c r="AB3528" s="77" t="s">
        <v>10535</v>
      </c>
      <c r="AC3528" s="80" t="s">
        <v>10541</v>
      </c>
      <c r="AD3528" s="77" t="s">
        <v>10620</v>
      </c>
      <c r="AE3528" s="83" t="str">
        <f>HYPERLINK("https://twitter.com/larepublica68/status/1663672014475755522")</f>
        <v>https://twitter.com/larepublica68/status/1663672014475755522</v>
      </c>
      <c r="AF3528" s="79">
        <v>45076.931620370371</v>
      </c>
      <c r="AG3528" s="85">
        <v>45076</v>
      </c>
      <c r="AH3528" s="80" t="s">
        <v>13686</v>
      </c>
      <c r="AI3528" s="77" t="b">
        <v>0</v>
      </c>
      <c r="AJ3528" s="77"/>
      <c r="AK3528" s="77"/>
      <c r="AL3528" s="77"/>
      <c r="AM3528" s="77"/>
      <c r="AN3528" s="77"/>
      <c r="AO3528" s="77"/>
      <c r="AP3528" s="77"/>
      <c r="AQ3528" s="77" t="s">
        <v>15670</v>
      </c>
      <c r="AR3528" s="77"/>
      <c r="AS3528" s="77"/>
      <c r="AT3528" s="77"/>
      <c r="AU3528" s="77"/>
      <c r="AV3528" s="83" t="str">
        <f>HYPERLINK("https://pbs.twimg.com/media/FxaM3hZXgAgRUB_.jpg")</f>
        <v>https://pbs.twimg.com/media/FxaM3hZXgAgRUB_.jpg</v>
      </c>
      <c r="AW3528" s="80" t="s">
        <v>19240</v>
      </c>
      <c r="AX3528" s="80" t="s">
        <v>19240</v>
      </c>
      <c r="AY3528" s="77"/>
      <c r="AZ3528" s="80" t="s">
        <v>20380</v>
      </c>
      <c r="BA3528" s="80" t="s">
        <v>20380</v>
      </c>
      <c r="BB3528" s="80" t="s">
        <v>20380</v>
      </c>
      <c r="BC3528" s="80" t="s">
        <v>19240</v>
      </c>
      <c r="BD3528" s="80" t="s">
        <v>21071</v>
      </c>
      <c r="BE3528" s="77"/>
      <c r="BF3528" s="77"/>
      <c r="BG3528" s="77"/>
      <c r="BH3528" s="77"/>
      <c r="BI3528" s="77"/>
    </row>
    <row r="3529" spans="1:61" x14ac:dyDescent="0.25">
      <c r="A3529" s="62" t="s">
        <v>1402</v>
      </c>
      <c r="B3529" s="62" t="s">
        <v>2029</v>
      </c>
      <c r="C3529" s="63"/>
      <c r="D3529" s="64"/>
      <c r="E3529" s="65"/>
      <c r="F3529" s="66"/>
      <c r="G3529" s="63"/>
      <c r="H3529" s="67"/>
      <c r="I3529" s="68"/>
      <c r="J3529" s="68"/>
      <c r="K3529" s="32"/>
      <c r="L3529" s="75">
        <v>3529</v>
      </c>
      <c r="M3529" s="75"/>
      <c r="N3529" s="70"/>
      <c r="O3529" s="77" t="s">
        <v>2081</v>
      </c>
      <c r="P3529" s="79">
        <v>45073.970034722224</v>
      </c>
      <c r="Q3529" s="77" t="s">
        <v>5191</v>
      </c>
      <c r="R3529" s="77">
        <v>10</v>
      </c>
      <c r="S3529" s="77">
        <v>19</v>
      </c>
      <c r="T3529" s="77">
        <v>0</v>
      </c>
      <c r="U3529" s="77">
        <v>0</v>
      </c>
      <c r="V3529" s="77">
        <v>203</v>
      </c>
      <c r="W3529" s="80" t="s">
        <v>8073</v>
      </c>
      <c r="X3529" s="77"/>
      <c r="Y3529" s="77"/>
      <c r="Z3529" s="77" t="s">
        <v>9016</v>
      </c>
      <c r="AA3529" s="77" t="s">
        <v>10191</v>
      </c>
      <c r="AB3529" s="77" t="s">
        <v>10535</v>
      </c>
      <c r="AC3529" s="80" t="s">
        <v>10541</v>
      </c>
      <c r="AD3529" s="77" t="s">
        <v>10620</v>
      </c>
      <c r="AE3529" s="83" t="str">
        <f>HYPERLINK("https://twitter.com/larepublica68/status/1662598772096991234")</f>
        <v>https://twitter.com/larepublica68/status/1662598772096991234</v>
      </c>
      <c r="AF3529" s="79">
        <v>45073.970034722224</v>
      </c>
      <c r="AG3529" s="85">
        <v>45073</v>
      </c>
      <c r="AH3529" s="80" t="s">
        <v>13687</v>
      </c>
      <c r="AI3529" s="77" t="b">
        <v>0</v>
      </c>
      <c r="AJ3529" s="77"/>
      <c r="AK3529" s="77"/>
      <c r="AL3529" s="77"/>
      <c r="AM3529" s="77"/>
      <c r="AN3529" s="77"/>
      <c r="AO3529" s="77"/>
      <c r="AP3529" s="77"/>
      <c r="AQ3529" s="77" t="s">
        <v>15671</v>
      </c>
      <c r="AR3529" s="77"/>
      <c r="AS3529" s="77"/>
      <c r="AT3529" s="77"/>
      <c r="AU3529" s="77"/>
      <c r="AV3529" s="83" t="str">
        <f>HYPERLINK("https://pbs.twimg.com/media/FxK8KiaXoAQDUz5.jpg")</f>
        <v>https://pbs.twimg.com/media/FxK8KiaXoAQDUz5.jpg</v>
      </c>
      <c r="AW3529" s="80" t="s">
        <v>19241</v>
      </c>
      <c r="AX3529" s="80" t="s">
        <v>19241</v>
      </c>
      <c r="AY3529" s="77"/>
      <c r="AZ3529" s="80" t="s">
        <v>20380</v>
      </c>
      <c r="BA3529" s="80" t="s">
        <v>20380</v>
      </c>
      <c r="BB3529" s="80" t="s">
        <v>20380</v>
      </c>
      <c r="BC3529" s="80" t="s">
        <v>19241</v>
      </c>
      <c r="BD3529" s="80" t="s">
        <v>21071</v>
      </c>
      <c r="BE3529" s="77"/>
      <c r="BF3529" s="77"/>
      <c r="BG3529" s="77"/>
      <c r="BH3529" s="77"/>
      <c r="BI3529" s="77"/>
    </row>
    <row r="3530" spans="1:61" x14ac:dyDescent="0.25">
      <c r="A3530" s="62" t="s">
        <v>1403</v>
      </c>
      <c r="B3530" s="62" t="s">
        <v>1403</v>
      </c>
      <c r="C3530" s="63"/>
      <c r="D3530" s="64"/>
      <c r="E3530" s="65"/>
      <c r="F3530" s="66"/>
      <c r="G3530" s="63"/>
      <c r="H3530" s="67"/>
      <c r="I3530" s="68"/>
      <c r="J3530" s="68"/>
      <c r="K3530" s="32"/>
      <c r="L3530" s="75">
        <v>3530</v>
      </c>
      <c r="M3530" s="75"/>
      <c r="N3530" s="70"/>
      <c r="O3530" s="77" t="s">
        <v>179</v>
      </c>
      <c r="P3530" s="79">
        <v>45084.010416666664</v>
      </c>
      <c r="Q3530" s="77" t="s">
        <v>5192</v>
      </c>
      <c r="R3530" s="77">
        <v>1</v>
      </c>
      <c r="S3530" s="77">
        <v>8</v>
      </c>
      <c r="T3530" s="77">
        <v>0</v>
      </c>
      <c r="U3530" s="77">
        <v>0</v>
      </c>
      <c r="V3530" s="77">
        <v>866</v>
      </c>
      <c r="W3530" s="80" t="s">
        <v>8074</v>
      </c>
      <c r="X3530" s="83" t="str">
        <f>HYPERLINK("https://www.tudocelular.com/mercado/noticias/n207147/banco-central-planeja-pix-internacional.html")</f>
        <v>https://www.tudocelular.com/mercado/noticias/n207147/banco-central-planeja-pix-internacional.html</v>
      </c>
      <c r="Y3530" s="77" t="s">
        <v>8844</v>
      </c>
      <c r="Z3530" s="77"/>
      <c r="AA3530" s="77"/>
      <c r="AB3530" s="77"/>
      <c r="AC3530" s="80" t="s">
        <v>10541</v>
      </c>
      <c r="AD3530" s="77" t="s">
        <v>10617</v>
      </c>
      <c r="AE3530" s="83" t="str">
        <f>HYPERLINK("https://twitter.com/tudocelular/status/1666237283434139648")</f>
        <v>https://twitter.com/tudocelular/status/1666237283434139648</v>
      </c>
      <c r="AF3530" s="79">
        <v>45084.010416666664</v>
      </c>
      <c r="AG3530" s="85">
        <v>45084</v>
      </c>
      <c r="AH3530" s="80" t="s">
        <v>12411</v>
      </c>
      <c r="AI3530" s="77" t="b">
        <v>0</v>
      </c>
      <c r="AJ3530" s="77"/>
      <c r="AK3530" s="77"/>
      <c r="AL3530" s="77"/>
      <c r="AM3530" s="77"/>
      <c r="AN3530" s="77"/>
      <c r="AO3530" s="77"/>
      <c r="AP3530" s="77"/>
      <c r="AQ3530" s="77"/>
      <c r="AR3530" s="77"/>
      <c r="AS3530" s="77"/>
      <c r="AT3530" s="77"/>
      <c r="AU3530" s="77"/>
      <c r="AV3530" s="83" t="str">
        <f>HYPERLINK("https://pbs.twimg.com/profile_images/712632227385966592/cQK7drJp_normal.jpg")</f>
        <v>https://pbs.twimg.com/profile_images/712632227385966592/cQK7drJp_normal.jpg</v>
      </c>
      <c r="AW3530" s="80" t="s">
        <v>19242</v>
      </c>
      <c r="AX3530" s="80" t="s">
        <v>19242</v>
      </c>
      <c r="AY3530" s="77"/>
      <c r="AZ3530" s="80" t="s">
        <v>20380</v>
      </c>
      <c r="BA3530" s="80" t="s">
        <v>20380</v>
      </c>
      <c r="BB3530" s="80" t="s">
        <v>20380</v>
      </c>
      <c r="BC3530" s="80" t="s">
        <v>19242</v>
      </c>
      <c r="BD3530" s="77">
        <v>122042593</v>
      </c>
      <c r="BE3530" s="77"/>
      <c r="BF3530" s="77"/>
      <c r="BG3530" s="77"/>
      <c r="BH3530" s="77"/>
      <c r="BI3530" s="77"/>
    </row>
    <row r="3531" spans="1:61" x14ac:dyDescent="0.25">
      <c r="A3531" s="62" t="s">
        <v>1404</v>
      </c>
      <c r="B3531" s="62" t="s">
        <v>1404</v>
      </c>
      <c r="C3531" s="63"/>
      <c r="D3531" s="64"/>
      <c r="E3531" s="65"/>
      <c r="F3531" s="66"/>
      <c r="G3531" s="63"/>
      <c r="H3531" s="67"/>
      <c r="I3531" s="68"/>
      <c r="J3531" s="68"/>
      <c r="K3531" s="32"/>
      <c r="L3531" s="75">
        <v>3531</v>
      </c>
      <c r="M3531" s="75"/>
      <c r="N3531" s="70"/>
      <c r="O3531" s="77" t="s">
        <v>2078</v>
      </c>
      <c r="P3531" s="79">
        <v>45166.551400462966</v>
      </c>
      <c r="Q3531" s="77" t="s">
        <v>5193</v>
      </c>
      <c r="R3531" s="77">
        <v>0</v>
      </c>
      <c r="S3531" s="77">
        <v>0</v>
      </c>
      <c r="T3531" s="77">
        <v>0</v>
      </c>
      <c r="U3531" s="77">
        <v>0</v>
      </c>
      <c r="V3531" s="77">
        <v>31</v>
      </c>
      <c r="W3531" s="80" t="s">
        <v>8075</v>
      </c>
      <c r="X3531" s="83" t="str">
        <f>HYPERLINK("https://bit.ly/2W9h89Y")</f>
        <v>https://bit.ly/2W9h89Y</v>
      </c>
      <c r="Y3531" s="77" t="s">
        <v>8618</v>
      </c>
      <c r="Z3531" s="77"/>
      <c r="AA3531" s="77"/>
      <c r="AB3531" s="77"/>
      <c r="AC3531" s="80" t="s">
        <v>10541</v>
      </c>
      <c r="AD3531" s="77" t="s">
        <v>10617</v>
      </c>
      <c r="AE3531" s="83" t="str">
        <f>HYPERLINK("https://twitter.com/observ_ind_es/status/1696149134170792342")</f>
        <v>https://twitter.com/observ_ind_es/status/1696149134170792342</v>
      </c>
      <c r="AF3531" s="79">
        <v>45166.551400462966</v>
      </c>
      <c r="AG3531" s="85">
        <v>45166</v>
      </c>
      <c r="AH3531" s="80" t="s">
        <v>13688</v>
      </c>
      <c r="AI3531" s="77" t="b">
        <v>0</v>
      </c>
      <c r="AJ3531" s="77"/>
      <c r="AK3531" s="77"/>
      <c r="AL3531" s="77"/>
      <c r="AM3531" s="77"/>
      <c r="AN3531" s="77"/>
      <c r="AO3531" s="77"/>
      <c r="AP3531" s="77"/>
      <c r="AQ3531" s="77"/>
      <c r="AR3531" s="77"/>
      <c r="AS3531" s="77"/>
      <c r="AT3531" s="77"/>
      <c r="AU3531" s="77"/>
      <c r="AV3531" s="83" t="str">
        <f>HYPERLINK("https://pbs.twimg.com/profile_images/1530175896539254789/VWUrMqn3_normal.jpg")</f>
        <v>https://pbs.twimg.com/profile_images/1530175896539254789/VWUrMqn3_normal.jpg</v>
      </c>
      <c r="AW3531" s="80" t="s">
        <v>19243</v>
      </c>
      <c r="AX3531" s="80" t="s">
        <v>20169</v>
      </c>
      <c r="AY3531" s="80" t="s">
        <v>20354</v>
      </c>
      <c r="AZ3531" s="80" t="s">
        <v>20462</v>
      </c>
      <c r="BA3531" s="80" t="s">
        <v>20380</v>
      </c>
      <c r="BB3531" s="80" t="s">
        <v>20380</v>
      </c>
      <c r="BC3531" s="80" t="s">
        <v>20462</v>
      </c>
      <c r="BD3531" s="77">
        <v>360674228</v>
      </c>
      <c r="BE3531" s="77"/>
      <c r="BF3531" s="77"/>
      <c r="BG3531" s="77"/>
      <c r="BH3531" s="77"/>
      <c r="BI3531" s="77"/>
    </row>
    <row r="3532" spans="1:61" x14ac:dyDescent="0.25">
      <c r="A3532" s="62" t="s">
        <v>1404</v>
      </c>
      <c r="B3532" s="62" t="s">
        <v>1404</v>
      </c>
      <c r="C3532" s="63"/>
      <c r="D3532" s="64"/>
      <c r="E3532" s="65"/>
      <c r="F3532" s="66"/>
      <c r="G3532" s="63"/>
      <c r="H3532" s="67"/>
      <c r="I3532" s="68"/>
      <c r="J3532" s="68"/>
      <c r="K3532" s="32"/>
      <c r="L3532" s="75">
        <v>3532</v>
      </c>
      <c r="M3532" s="75"/>
      <c r="N3532" s="70"/>
      <c r="O3532" s="77" t="s">
        <v>2078</v>
      </c>
      <c r="P3532" s="79">
        <v>45180.589837962965</v>
      </c>
      <c r="Q3532" s="77" t="s">
        <v>5194</v>
      </c>
      <c r="R3532" s="77">
        <v>0</v>
      </c>
      <c r="S3532" s="77">
        <v>0</v>
      </c>
      <c r="T3532" s="77">
        <v>0</v>
      </c>
      <c r="U3532" s="77">
        <v>0</v>
      </c>
      <c r="V3532" s="77">
        <v>23</v>
      </c>
      <c r="W3532" s="80" t="s">
        <v>8076</v>
      </c>
      <c r="X3532" s="83" t="str">
        <f>HYPERLINK("https://bit.ly/2W9h89Y")</f>
        <v>https://bit.ly/2W9h89Y</v>
      </c>
      <c r="Y3532" s="77" t="s">
        <v>8618</v>
      </c>
      <c r="Z3532" s="77"/>
      <c r="AA3532" s="77"/>
      <c r="AB3532" s="77"/>
      <c r="AC3532" s="80" t="s">
        <v>10541</v>
      </c>
      <c r="AD3532" s="77" t="s">
        <v>10617</v>
      </c>
      <c r="AE3532" s="83" t="str">
        <f>HYPERLINK("https://twitter.com/observ_ind_es/status/1701236496009724122")</f>
        <v>https://twitter.com/observ_ind_es/status/1701236496009724122</v>
      </c>
      <c r="AF3532" s="79">
        <v>45180.589837962965</v>
      </c>
      <c r="AG3532" s="85">
        <v>45180</v>
      </c>
      <c r="AH3532" s="80" t="s">
        <v>13689</v>
      </c>
      <c r="AI3532" s="77" t="b">
        <v>0</v>
      </c>
      <c r="AJ3532" s="77"/>
      <c r="AK3532" s="77"/>
      <c r="AL3532" s="77"/>
      <c r="AM3532" s="77"/>
      <c r="AN3532" s="77"/>
      <c r="AO3532" s="77"/>
      <c r="AP3532" s="77"/>
      <c r="AQ3532" s="77"/>
      <c r="AR3532" s="77"/>
      <c r="AS3532" s="77"/>
      <c r="AT3532" s="77"/>
      <c r="AU3532" s="77"/>
      <c r="AV3532" s="83" t="str">
        <f>HYPERLINK("https://pbs.twimg.com/profile_images/1530175896539254789/VWUrMqn3_normal.jpg")</f>
        <v>https://pbs.twimg.com/profile_images/1530175896539254789/VWUrMqn3_normal.jpg</v>
      </c>
      <c r="AW3532" s="80" t="s">
        <v>19244</v>
      </c>
      <c r="AX3532" s="80" t="s">
        <v>20170</v>
      </c>
      <c r="AY3532" s="80" t="s">
        <v>20354</v>
      </c>
      <c r="AZ3532" s="80" t="s">
        <v>20463</v>
      </c>
      <c r="BA3532" s="80" t="s">
        <v>20380</v>
      </c>
      <c r="BB3532" s="80" t="s">
        <v>20380</v>
      </c>
      <c r="BC3532" s="80" t="s">
        <v>20463</v>
      </c>
      <c r="BD3532" s="77">
        <v>360674228</v>
      </c>
      <c r="BE3532" s="77"/>
      <c r="BF3532" s="77"/>
      <c r="BG3532" s="77"/>
      <c r="BH3532" s="77"/>
      <c r="BI3532" s="77"/>
    </row>
    <row r="3533" spans="1:61" x14ac:dyDescent="0.25">
      <c r="A3533" s="62" t="s">
        <v>1404</v>
      </c>
      <c r="B3533" s="62" t="s">
        <v>1404</v>
      </c>
      <c r="C3533" s="63"/>
      <c r="D3533" s="64"/>
      <c r="E3533" s="65"/>
      <c r="F3533" s="66"/>
      <c r="G3533" s="63"/>
      <c r="H3533" s="67"/>
      <c r="I3533" s="68"/>
      <c r="J3533" s="68"/>
      <c r="K3533" s="32"/>
      <c r="L3533" s="75">
        <v>3533</v>
      </c>
      <c r="M3533" s="75"/>
      <c r="N3533" s="70"/>
      <c r="O3533" s="77" t="s">
        <v>2078</v>
      </c>
      <c r="P3533" s="79">
        <v>45159.555208333331</v>
      </c>
      <c r="Q3533" s="77" t="s">
        <v>5195</v>
      </c>
      <c r="R3533" s="77">
        <v>0</v>
      </c>
      <c r="S3533" s="77">
        <v>0</v>
      </c>
      <c r="T3533" s="77">
        <v>0</v>
      </c>
      <c r="U3533" s="77">
        <v>0</v>
      </c>
      <c r="V3533" s="77">
        <v>31</v>
      </c>
      <c r="W3533" s="80" t="s">
        <v>8077</v>
      </c>
      <c r="X3533" s="83" t="str">
        <f>HYPERLINK("https://bit.ly/2W9h89Y")</f>
        <v>https://bit.ly/2W9h89Y</v>
      </c>
      <c r="Y3533" s="77" t="s">
        <v>8618</v>
      </c>
      <c r="Z3533" s="77"/>
      <c r="AA3533" s="77"/>
      <c r="AB3533" s="77"/>
      <c r="AC3533" s="80" t="s">
        <v>10541</v>
      </c>
      <c r="AD3533" s="77" t="s">
        <v>10617</v>
      </c>
      <c r="AE3533" s="83" t="str">
        <f>HYPERLINK("https://twitter.com/observ_ind_es/status/1693613801650712692")</f>
        <v>https://twitter.com/observ_ind_es/status/1693613801650712692</v>
      </c>
      <c r="AF3533" s="79">
        <v>45159.555208333331</v>
      </c>
      <c r="AG3533" s="85">
        <v>45159</v>
      </c>
      <c r="AH3533" s="80" t="s">
        <v>13690</v>
      </c>
      <c r="AI3533" s="77" t="b">
        <v>0</v>
      </c>
      <c r="AJ3533" s="77"/>
      <c r="AK3533" s="77"/>
      <c r="AL3533" s="77"/>
      <c r="AM3533" s="77"/>
      <c r="AN3533" s="77"/>
      <c r="AO3533" s="77"/>
      <c r="AP3533" s="77"/>
      <c r="AQ3533" s="77"/>
      <c r="AR3533" s="77"/>
      <c r="AS3533" s="77"/>
      <c r="AT3533" s="77"/>
      <c r="AU3533" s="77"/>
      <c r="AV3533" s="83" t="str">
        <f>HYPERLINK("https://pbs.twimg.com/profile_images/1530175896539254789/VWUrMqn3_normal.jpg")</f>
        <v>https://pbs.twimg.com/profile_images/1530175896539254789/VWUrMqn3_normal.jpg</v>
      </c>
      <c r="AW3533" s="80" t="s">
        <v>19245</v>
      </c>
      <c r="AX3533" s="80" t="s">
        <v>20171</v>
      </c>
      <c r="AY3533" s="80" t="s">
        <v>20354</v>
      </c>
      <c r="AZ3533" s="80" t="s">
        <v>20464</v>
      </c>
      <c r="BA3533" s="80" t="s">
        <v>20380</v>
      </c>
      <c r="BB3533" s="80" t="s">
        <v>20380</v>
      </c>
      <c r="BC3533" s="80" t="s">
        <v>20464</v>
      </c>
      <c r="BD3533" s="77">
        <v>360674228</v>
      </c>
      <c r="BE3533" s="77"/>
      <c r="BF3533" s="77"/>
      <c r="BG3533" s="77"/>
      <c r="BH3533" s="77"/>
      <c r="BI3533" s="77"/>
    </row>
    <row r="3534" spans="1:61" x14ac:dyDescent="0.25">
      <c r="A3534" s="62" t="s">
        <v>1404</v>
      </c>
      <c r="B3534" s="62" t="s">
        <v>1404</v>
      </c>
      <c r="C3534" s="63"/>
      <c r="D3534" s="64"/>
      <c r="E3534" s="65"/>
      <c r="F3534" s="66"/>
      <c r="G3534" s="63"/>
      <c r="H3534" s="67"/>
      <c r="I3534" s="68"/>
      <c r="J3534" s="68"/>
      <c r="K3534" s="32"/>
      <c r="L3534" s="75">
        <v>3534</v>
      </c>
      <c r="M3534" s="75"/>
      <c r="N3534" s="70"/>
      <c r="O3534" s="77" t="s">
        <v>2078</v>
      </c>
      <c r="P3534" s="79">
        <v>45187.568032407406</v>
      </c>
      <c r="Q3534" s="77" t="s">
        <v>5196</v>
      </c>
      <c r="R3534" s="77">
        <v>0</v>
      </c>
      <c r="S3534" s="77">
        <v>0</v>
      </c>
      <c r="T3534" s="77">
        <v>0</v>
      </c>
      <c r="U3534" s="77">
        <v>0</v>
      </c>
      <c r="V3534" s="77">
        <v>22</v>
      </c>
      <c r="W3534" s="80" t="s">
        <v>8078</v>
      </c>
      <c r="X3534" s="83" t="str">
        <f>HYPERLINK("https://bit.ly/2W9h89Y")</f>
        <v>https://bit.ly/2W9h89Y</v>
      </c>
      <c r="Y3534" s="77" t="s">
        <v>8618</v>
      </c>
      <c r="Z3534" s="77"/>
      <c r="AA3534" s="77"/>
      <c r="AB3534" s="77"/>
      <c r="AC3534" s="80" t="s">
        <v>10541</v>
      </c>
      <c r="AD3534" s="77" t="s">
        <v>10617</v>
      </c>
      <c r="AE3534" s="83" t="str">
        <f>HYPERLINK("https://twitter.com/observ_ind_es/status/1703765309855818215")</f>
        <v>https://twitter.com/observ_ind_es/status/1703765309855818215</v>
      </c>
      <c r="AF3534" s="79">
        <v>45187.568032407406</v>
      </c>
      <c r="AG3534" s="85">
        <v>45187</v>
      </c>
      <c r="AH3534" s="80" t="s">
        <v>13691</v>
      </c>
      <c r="AI3534" s="77" t="b">
        <v>0</v>
      </c>
      <c r="AJ3534" s="77"/>
      <c r="AK3534" s="77"/>
      <c r="AL3534" s="77"/>
      <c r="AM3534" s="77"/>
      <c r="AN3534" s="77"/>
      <c r="AO3534" s="77"/>
      <c r="AP3534" s="77"/>
      <c r="AQ3534" s="77"/>
      <c r="AR3534" s="77"/>
      <c r="AS3534" s="77"/>
      <c r="AT3534" s="77"/>
      <c r="AU3534" s="77"/>
      <c r="AV3534" s="83" t="str">
        <f>HYPERLINK("https://pbs.twimg.com/profile_images/1530175896539254789/VWUrMqn3_normal.jpg")</f>
        <v>https://pbs.twimg.com/profile_images/1530175896539254789/VWUrMqn3_normal.jpg</v>
      </c>
      <c r="AW3534" s="80" t="s">
        <v>19246</v>
      </c>
      <c r="AX3534" s="80" t="s">
        <v>20172</v>
      </c>
      <c r="AY3534" s="80" t="s">
        <v>20354</v>
      </c>
      <c r="AZ3534" s="80" t="s">
        <v>20465</v>
      </c>
      <c r="BA3534" s="80" t="s">
        <v>20380</v>
      </c>
      <c r="BB3534" s="80" t="s">
        <v>20380</v>
      </c>
      <c r="BC3534" s="80" t="s">
        <v>20465</v>
      </c>
      <c r="BD3534" s="77">
        <v>360674228</v>
      </c>
      <c r="BE3534" s="77"/>
      <c r="BF3534" s="77"/>
      <c r="BG3534" s="77"/>
      <c r="BH3534" s="77"/>
      <c r="BI3534" s="77"/>
    </row>
    <row r="3535" spans="1:61" x14ac:dyDescent="0.25">
      <c r="A3535" s="62" t="s">
        <v>1404</v>
      </c>
      <c r="B3535" s="62" t="s">
        <v>1404</v>
      </c>
      <c r="C3535" s="63"/>
      <c r="D3535" s="64"/>
      <c r="E3535" s="65"/>
      <c r="F3535" s="66"/>
      <c r="G3535" s="63"/>
      <c r="H3535" s="67"/>
      <c r="I3535" s="68"/>
      <c r="J3535" s="68"/>
      <c r="K3535" s="32"/>
      <c r="L3535" s="75">
        <v>3535</v>
      </c>
      <c r="M3535" s="75"/>
      <c r="N3535" s="70"/>
      <c r="O3535" s="77" t="s">
        <v>2078</v>
      </c>
      <c r="P3535" s="79">
        <v>45194.555671296293</v>
      </c>
      <c r="Q3535" s="77" t="s">
        <v>5197</v>
      </c>
      <c r="R3535" s="77">
        <v>0</v>
      </c>
      <c r="S3535" s="77">
        <v>0</v>
      </c>
      <c r="T3535" s="77">
        <v>0</v>
      </c>
      <c r="U3535" s="77">
        <v>0</v>
      </c>
      <c r="V3535" s="77">
        <v>13</v>
      </c>
      <c r="W3535" s="80" t="s">
        <v>8079</v>
      </c>
      <c r="X3535" s="83" t="str">
        <f>HYPERLINK("https://bit.ly/2W9h89Y")</f>
        <v>https://bit.ly/2W9h89Y</v>
      </c>
      <c r="Y3535" s="77" t="s">
        <v>8618</v>
      </c>
      <c r="Z3535" s="77"/>
      <c r="AA3535" s="77"/>
      <c r="AB3535" s="77"/>
      <c r="AC3535" s="80" t="s">
        <v>10541</v>
      </c>
      <c r="AD3535" s="77" t="s">
        <v>10617</v>
      </c>
      <c r="AE3535" s="83" t="str">
        <f>HYPERLINK("https://twitter.com/observ_ind_es/status/1706297541929680996")</f>
        <v>https://twitter.com/observ_ind_es/status/1706297541929680996</v>
      </c>
      <c r="AF3535" s="79">
        <v>45194.555671296293</v>
      </c>
      <c r="AG3535" s="85">
        <v>45194</v>
      </c>
      <c r="AH3535" s="80" t="s">
        <v>13692</v>
      </c>
      <c r="AI3535" s="77" t="b">
        <v>0</v>
      </c>
      <c r="AJ3535" s="77"/>
      <c r="AK3535" s="77"/>
      <c r="AL3535" s="77"/>
      <c r="AM3535" s="77"/>
      <c r="AN3535" s="77"/>
      <c r="AO3535" s="77"/>
      <c r="AP3535" s="77"/>
      <c r="AQ3535" s="77"/>
      <c r="AR3535" s="77"/>
      <c r="AS3535" s="77"/>
      <c r="AT3535" s="77"/>
      <c r="AU3535" s="77"/>
      <c r="AV3535" s="83" t="str">
        <f>HYPERLINK("https://pbs.twimg.com/profile_images/1530175896539254789/VWUrMqn3_normal.jpg")</f>
        <v>https://pbs.twimg.com/profile_images/1530175896539254789/VWUrMqn3_normal.jpg</v>
      </c>
      <c r="AW3535" s="80" t="s">
        <v>19247</v>
      </c>
      <c r="AX3535" s="80" t="s">
        <v>20173</v>
      </c>
      <c r="AY3535" s="80" t="s">
        <v>20354</v>
      </c>
      <c r="AZ3535" s="80" t="s">
        <v>20466</v>
      </c>
      <c r="BA3535" s="80" t="s">
        <v>20380</v>
      </c>
      <c r="BB3535" s="80" t="s">
        <v>20380</v>
      </c>
      <c r="BC3535" s="80" t="s">
        <v>20466</v>
      </c>
      <c r="BD3535" s="77">
        <v>360674228</v>
      </c>
      <c r="BE3535" s="77"/>
      <c r="BF3535" s="77"/>
      <c r="BG3535" s="77"/>
      <c r="BH3535" s="77"/>
      <c r="BI3535" s="77"/>
    </row>
    <row r="3536" spans="1:61" x14ac:dyDescent="0.25">
      <c r="A3536" s="62" t="s">
        <v>1405</v>
      </c>
      <c r="B3536" s="62" t="s">
        <v>1405</v>
      </c>
      <c r="C3536" s="63"/>
      <c r="D3536" s="64"/>
      <c r="E3536" s="65"/>
      <c r="F3536" s="66"/>
      <c r="G3536" s="63"/>
      <c r="H3536" s="67"/>
      <c r="I3536" s="68"/>
      <c r="J3536" s="68"/>
      <c r="K3536" s="32"/>
      <c r="L3536" s="75">
        <v>3536</v>
      </c>
      <c r="M3536" s="75"/>
      <c r="N3536" s="70"/>
      <c r="O3536" s="77" t="s">
        <v>179</v>
      </c>
      <c r="P3536" s="79">
        <v>45138.522118055553</v>
      </c>
      <c r="Q3536" s="77" t="s">
        <v>5198</v>
      </c>
      <c r="R3536" s="77">
        <v>0</v>
      </c>
      <c r="S3536" s="77">
        <v>0</v>
      </c>
      <c r="T3536" s="77">
        <v>0</v>
      </c>
      <c r="U3536" s="77">
        <v>0</v>
      </c>
      <c r="V3536" s="77">
        <v>6</v>
      </c>
      <c r="W3536" s="80" t="s">
        <v>8080</v>
      </c>
      <c r="X3536" s="77"/>
      <c r="Y3536" s="77"/>
      <c r="Z3536" s="77"/>
      <c r="AA3536" s="77"/>
      <c r="AB3536" s="77"/>
      <c r="AC3536" s="80" t="s">
        <v>10542</v>
      </c>
      <c r="AD3536" s="77" t="s">
        <v>10617</v>
      </c>
      <c r="AE3536" s="83" t="str">
        <f>HYPERLINK("https://twitter.com/marlo_melo/status/1685991661770358784")</f>
        <v>https://twitter.com/marlo_melo/status/1685991661770358784</v>
      </c>
      <c r="AF3536" s="79">
        <v>45138.522118055553</v>
      </c>
      <c r="AG3536" s="85">
        <v>45138</v>
      </c>
      <c r="AH3536" s="80" t="s">
        <v>13693</v>
      </c>
      <c r="AI3536" s="77"/>
      <c r="AJ3536" s="77"/>
      <c r="AK3536" s="77"/>
      <c r="AL3536" s="77"/>
      <c r="AM3536" s="77"/>
      <c r="AN3536" s="77"/>
      <c r="AO3536" s="77"/>
      <c r="AP3536" s="77"/>
      <c r="AQ3536" s="77"/>
      <c r="AR3536" s="77"/>
      <c r="AS3536" s="77"/>
      <c r="AT3536" s="77"/>
      <c r="AU3536" s="77"/>
      <c r="AV3536" s="83" t="str">
        <f>HYPERLINK("https://pbs.twimg.com/profile_images/1692332223570055168/jXxJ8_0k_normal.jpg")</f>
        <v>https://pbs.twimg.com/profile_images/1692332223570055168/jXxJ8_0k_normal.jpg</v>
      </c>
      <c r="AW3536" s="80" t="s">
        <v>19248</v>
      </c>
      <c r="AX3536" s="80" t="s">
        <v>19248</v>
      </c>
      <c r="AY3536" s="77"/>
      <c r="AZ3536" s="80" t="s">
        <v>20380</v>
      </c>
      <c r="BA3536" s="80" t="s">
        <v>20380</v>
      </c>
      <c r="BB3536" s="80" t="s">
        <v>20380</v>
      </c>
      <c r="BC3536" s="80" t="s">
        <v>19248</v>
      </c>
      <c r="BD3536" s="80" t="s">
        <v>21072</v>
      </c>
      <c r="BE3536" s="77"/>
      <c r="BF3536" s="77"/>
      <c r="BG3536" s="77"/>
      <c r="BH3536" s="77"/>
      <c r="BI3536" s="77"/>
    </row>
    <row r="3537" spans="1:61" x14ac:dyDescent="0.25">
      <c r="A3537" s="62" t="s">
        <v>1405</v>
      </c>
      <c r="B3537" s="62" t="s">
        <v>1405</v>
      </c>
      <c r="C3537" s="63"/>
      <c r="D3537" s="64"/>
      <c r="E3537" s="65"/>
      <c r="F3537" s="66"/>
      <c r="G3537" s="63"/>
      <c r="H3537" s="67"/>
      <c r="I3537" s="68"/>
      <c r="J3537" s="68"/>
      <c r="K3537" s="32"/>
      <c r="L3537" s="75">
        <v>3537</v>
      </c>
      <c r="M3537" s="75"/>
      <c r="N3537" s="70"/>
      <c r="O3537" s="77" t="s">
        <v>179</v>
      </c>
      <c r="P3537" s="79">
        <v>45167.444421296299</v>
      </c>
      <c r="Q3537" s="77" t="s">
        <v>5199</v>
      </c>
      <c r="R3537" s="77">
        <v>0</v>
      </c>
      <c r="S3537" s="77">
        <v>0</v>
      </c>
      <c r="T3537" s="77">
        <v>1</v>
      </c>
      <c r="U3537" s="77">
        <v>0</v>
      </c>
      <c r="V3537" s="77">
        <v>11</v>
      </c>
      <c r="W3537" s="80" t="s">
        <v>8081</v>
      </c>
      <c r="X3537" s="77"/>
      <c r="Y3537" s="77"/>
      <c r="Z3537" s="77"/>
      <c r="AA3537" s="77"/>
      <c r="AB3537" s="77"/>
      <c r="AC3537" s="80" t="s">
        <v>10542</v>
      </c>
      <c r="AD3537" s="77" t="s">
        <v>10617</v>
      </c>
      <c r="AE3537" s="83" t="str">
        <f>HYPERLINK("https://twitter.com/marlo_melo/status/1696472753505747325")</f>
        <v>https://twitter.com/marlo_melo/status/1696472753505747325</v>
      </c>
      <c r="AF3537" s="79">
        <v>45167.444421296299</v>
      </c>
      <c r="AG3537" s="85">
        <v>45167</v>
      </c>
      <c r="AH3537" s="80" t="s">
        <v>13694</v>
      </c>
      <c r="AI3537" s="77"/>
      <c r="AJ3537" s="77"/>
      <c r="AK3537" s="77"/>
      <c r="AL3537" s="77"/>
      <c r="AM3537" s="77"/>
      <c r="AN3537" s="77"/>
      <c r="AO3537" s="77"/>
      <c r="AP3537" s="77"/>
      <c r="AQ3537" s="77"/>
      <c r="AR3537" s="77"/>
      <c r="AS3537" s="77"/>
      <c r="AT3537" s="77"/>
      <c r="AU3537" s="77"/>
      <c r="AV3537" s="83" t="str">
        <f>HYPERLINK("https://pbs.twimg.com/profile_images/1692332223570055168/jXxJ8_0k_normal.jpg")</f>
        <v>https://pbs.twimg.com/profile_images/1692332223570055168/jXxJ8_0k_normal.jpg</v>
      </c>
      <c r="AW3537" s="80" t="s">
        <v>19249</v>
      </c>
      <c r="AX3537" s="80" t="s">
        <v>19249</v>
      </c>
      <c r="AY3537" s="77"/>
      <c r="AZ3537" s="80" t="s">
        <v>20380</v>
      </c>
      <c r="BA3537" s="80" t="s">
        <v>20380</v>
      </c>
      <c r="BB3537" s="80" t="s">
        <v>20380</v>
      </c>
      <c r="BC3537" s="80" t="s">
        <v>19249</v>
      </c>
      <c r="BD3537" s="80" t="s">
        <v>21072</v>
      </c>
      <c r="BE3537" s="77"/>
      <c r="BF3537" s="77"/>
      <c r="BG3537" s="77"/>
      <c r="BH3537" s="77"/>
      <c r="BI3537" s="77"/>
    </row>
    <row r="3538" spans="1:61" x14ac:dyDescent="0.25">
      <c r="A3538" s="62" t="s">
        <v>1406</v>
      </c>
      <c r="B3538" s="62" t="s">
        <v>1406</v>
      </c>
      <c r="C3538" s="63"/>
      <c r="D3538" s="64"/>
      <c r="E3538" s="65"/>
      <c r="F3538" s="66"/>
      <c r="G3538" s="63"/>
      <c r="H3538" s="67"/>
      <c r="I3538" s="68"/>
      <c r="J3538" s="68"/>
      <c r="K3538" s="32"/>
      <c r="L3538" s="75">
        <v>3538</v>
      </c>
      <c r="M3538" s="75"/>
      <c r="N3538" s="70"/>
      <c r="O3538" s="77" t="s">
        <v>179</v>
      </c>
      <c r="P3538" s="79">
        <v>45090.557916666665</v>
      </c>
      <c r="Q3538" s="77" t="s">
        <v>5200</v>
      </c>
      <c r="R3538" s="77">
        <v>0</v>
      </c>
      <c r="S3538" s="77">
        <v>0</v>
      </c>
      <c r="T3538" s="77">
        <v>0</v>
      </c>
      <c r="U3538" s="77">
        <v>0</v>
      </c>
      <c r="V3538" s="77">
        <v>9</v>
      </c>
      <c r="W3538" s="80" t="s">
        <v>8082</v>
      </c>
      <c r="X3538" s="83" t="str">
        <f>HYPERLINK("https://pensarpiaui.com/noticia/finalmente-os-juros-podem-cair.html")</f>
        <v>https://pensarpiaui.com/noticia/finalmente-os-juros-podem-cair.html</v>
      </c>
      <c r="Y3538" s="77" t="s">
        <v>8845</v>
      </c>
      <c r="Z3538" s="77"/>
      <c r="AA3538" s="77"/>
      <c r="AB3538" s="77"/>
      <c r="AC3538" s="80" t="s">
        <v>10541</v>
      </c>
      <c r="AD3538" s="77" t="s">
        <v>10619</v>
      </c>
      <c r="AE3538" s="83" t="str">
        <f>HYPERLINK("https://twitter.com/pensarpiaui/status/1668610018722152450")</f>
        <v>https://twitter.com/pensarpiaui/status/1668610018722152450</v>
      </c>
      <c r="AF3538" s="79">
        <v>45090.557916666665</v>
      </c>
      <c r="AG3538" s="85">
        <v>45090</v>
      </c>
      <c r="AH3538" s="80" t="s">
        <v>13695</v>
      </c>
      <c r="AI3538" s="77" t="b">
        <v>0</v>
      </c>
      <c r="AJ3538" s="77"/>
      <c r="AK3538" s="77"/>
      <c r="AL3538" s="77"/>
      <c r="AM3538" s="77"/>
      <c r="AN3538" s="77"/>
      <c r="AO3538" s="77"/>
      <c r="AP3538" s="77"/>
      <c r="AQ3538" s="77"/>
      <c r="AR3538" s="77"/>
      <c r="AS3538" s="77"/>
      <c r="AT3538" s="77"/>
      <c r="AU3538" s="77"/>
      <c r="AV3538" s="83" t="str">
        <f>HYPERLINK("https://pbs.twimg.com/profile_images/1680908361997471746/mbPeB0fP_normal.jpg")</f>
        <v>https://pbs.twimg.com/profile_images/1680908361997471746/mbPeB0fP_normal.jpg</v>
      </c>
      <c r="AW3538" s="80" t="s">
        <v>19250</v>
      </c>
      <c r="AX3538" s="80" t="s">
        <v>19250</v>
      </c>
      <c r="AY3538" s="77"/>
      <c r="AZ3538" s="80" t="s">
        <v>20380</v>
      </c>
      <c r="BA3538" s="80" t="s">
        <v>20380</v>
      </c>
      <c r="BB3538" s="80" t="s">
        <v>20380</v>
      </c>
      <c r="BC3538" s="80" t="s">
        <v>19250</v>
      </c>
      <c r="BD3538" s="80" t="s">
        <v>21073</v>
      </c>
      <c r="BE3538" s="77"/>
      <c r="BF3538" s="77"/>
      <c r="BG3538" s="77"/>
      <c r="BH3538" s="77"/>
      <c r="BI3538" s="77"/>
    </row>
    <row r="3539" spans="1:61" x14ac:dyDescent="0.25">
      <c r="A3539" s="62" t="s">
        <v>1407</v>
      </c>
      <c r="B3539" s="62" t="s">
        <v>1407</v>
      </c>
      <c r="C3539" s="63"/>
      <c r="D3539" s="64"/>
      <c r="E3539" s="65"/>
      <c r="F3539" s="66"/>
      <c r="G3539" s="63"/>
      <c r="H3539" s="67"/>
      <c r="I3539" s="68"/>
      <c r="J3539" s="68"/>
      <c r="K3539" s="32"/>
      <c r="L3539" s="75">
        <v>3539</v>
      </c>
      <c r="M3539" s="75"/>
      <c r="N3539" s="70"/>
      <c r="O3539" s="77" t="s">
        <v>179</v>
      </c>
      <c r="P3539" s="79">
        <v>45054.909421296295</v>
      </c>
      <c r="Q3539" s="77" t="s">
        <v>5201</v>
      </c>
      <c r="R3539" s="77">
        <v>2</v>
      </c>
      <c r="S3539" s="77">
        <v>6</v>
      </c>
      <c r="T3539" s="77">
        <v>0</v>
      </c>
      <c r="U3539" s="77">
        <v>0</v>
      </c>
      <c r="V3539" s="77">
        <v>94</v>
      </c>
      <c r="W3539" s="80" t="s">
        <v>8083</v>
      </c>
      <c r="X3539" s="77"/>
      <c r="Y3539" s="77"/>
      <c r="Z3539" s="77"/>
      <c r="AA3539" s="77" t="s">
        <v>10192</v>
      </c>
      <c r="AB3539" s="77" t="s">
        <v>10535</v>
      </c>
      <c r="AC3539" s="80" t="s">
        <v>10540</v>
      </c>
      <c r="AD3539" s="77" t="s">
        <v>10620</v>
      </c>
      <c r="AE3539" s="83" t="str">
        <f>HYPERLINK("https://twitter.com/economianic/status/1655691438598811649")</f>
        <v>https://twitter.com/economianic/status/1655691438598811649</v>
      </c>
      <c r="AF3539" s="79">
        <v>45054.909421296295</v>
      </c>
      <c r="AG3539" s="85">
        <v>45054</v>
      </c>
      <c r="AH3539" s="80" t="s">
        <v>13696</v>
      </c>
      <c r="AI3539" s="77" t="b">
        <v>0</v>
      </c>
      <c r="AJ3539" s="77"/>
      <c r="AK3539" s="77"/>
      <c r="AL3539" s="77"/>
      <c r="AM3539" s="77"/>
      <c r="AN3539" s="77"/>
      <c r="AO3539" s="77"/>
      <c r="AP3539" s="77"/>
      <c r="AQ3539" s="77" t="s">
        <v>15672</v>
      </c>
      <c r="AR3539" s="77"/>
      <c r="AS3539" s="77"/>
      <c r="AT3539" s="77"/>
      <c r="AU3539" s="77"/>
      <c r="AV3539" s="83" t="str">
        <f>HYPERLINK("https://pbs.twimg.com/media/FvoylgzWcAAa1XS.jpg")</f>
        <v>https://pbs.twimg.com/media/FvoylgzWcAAa1XS.jpg</v>
      </c>
      <c r="AW3539" s="80" t="s">
        <v>19251</v>
      </c>
      <c r="AX3539" s="80" t="s">
        <v>19251</v>
      </c>
      <c r="AY3539" s="77"/>
      <c r="AZ3539" s="80" t="s">
        <v>20380</v>
      </c>
      <c r="BA3539" s="80" t="s">
        <v>20380</v>
      </c>
      <c r="BB3539" s="80" t="s">
        <v>20380</v>
      </c>
      <c r="BC3539" s="80" t="s">
        <v>19251</v>
      </c>
      <c r="BD3539" s="80" t="s">
        <v>21074</v>
      </c>
      <c r="BE3539" s="77"/>
      <c r="BF3539" s="77"/>
      <c r="BG3539" s="77"/>
      <c r="BH3539" s="77"/>
      <c r="BI3539" s="77"/>
    </row>
    <row r="3540" spans="1:61" x14ac:dyDescent="0.25">
      <c r="A3540" s="62" t="s">
        <v>1408</v>
      </c>
      <c r="B3540" s="62" t="s">
        <v>1409</v>
      </c>
      <c r="C3540" s="63"/>
      <c r="D3540" s="64"/>
      <c r="E3540" s="65"/>
      <c r="F3540" s="66"/>
      <c r="G3540" s="63"/>
      <c r="H3540" s="67"/>
      <c r="I3540" s="68"/>
      <c r="J3540" s="68"/>
      <c r="K3540" s="32"/>
      <c r="L3540" s="75">
        <v>3540</v>
      </c>
      <c r="M3540" s="75"/>
      <c r="N3540" s="70"/>
      <c r="O3540" s="77" t="s">
        <v>2081</v>
      </c>
      <c r="P3540" s="79">
        <v>45092.916805555556</v>
      </c>
      <c r="Q3540" s="77" t="s">
        <v>5202</v>
      </c>
      <c r="R3540" s="77">
        <v>0</v>
      </c>
      <c r="S3540" s="77">
        <v>0</v>
      </c>
      <c r="T3540" s="77">
        <v>0</v>
      </c>
      <c r="U3540" s="77">
        <v>0</v>
      </c>
      <c r="V3540" s="77">
        <v>16</v>
      </c>
      <c r="W3540" s="80" t="s">
        <v>8084</v>
      </c>
      <c r="X3540" s="83" t="str">
        <f>HYPERLINK("https://www.elpaisdiario.com.ar/economia/el-banco-central-mantuvo-en-el-97-la-tasa-de-plazos-fijos-94759/")</f>
        <v>https://www.elpaisdiario.com.ar/economia/el-banco-central-mantuvo-en-el-97-la-tasa-de-plazos-fijos-94759/</v>
      </c>
      <c r="Y3540" s="77" t="s">
        <v>8624</v>
      </c>
      <c r="Z3540" s="77" t="s">
        <v>1409</v>
      </c>
      <c r="AA3540" s="77"/>
      <c r="AB3540" s="77"/>
      <c r="AC3540" s="80" t="s">
        <v>10541</v>
      </c>
      <c r="AD3540" s="77" t="s">
        <v>10620</v>
      </c>
      <c r="AE3540" s="83" t="str">
        <f>HYPERLINK("https://twitter.com/elpaisdiariook/status/1669464851335331846")</f>
        <v>https://twitter.com/elpaisdiariook/status/1669464851335331846</v>
      </c>
      <c r="AF3540" s="79">
        <v>45092.916805555556</v>
      </c>
      <c r="AG3540" s="85">
        <v>45092</v>
      </c>
      <c r="AH3540" s="80" t="s">
        <v>13697</v>
      </c>
      <c r="AI3540" s="77" t="b">
        <v>0</v>
      </c>
      <c r="AJ3540" s="77"/>
      <c r="AK3540" s="77"/>
      <c r="AL3540" s="77"/>
      <c r="AM3540" s="77"/>
      <c r="AN3540" s="77"/>
      <c r="AO3540" s="77"/>
      <c r="AP3540" s="77"/>
      <c r="AQ3540" s="77"/>
      <c r="AR3540" s="77"/>
      <c r="AS3540" s="77"/>
      <c r="AT3540" s="77"/>
      <c r="AU3540" s="77"/>
      <c r="AV3540" s="83" t="str">
        <f>HYPERLINK("https://pbs.twimg.com/profile_images/1381970007026851845/WG6BPJmQ_normal.jpg")</f>
        <v>https://pbs.twimg.com/profile_images/1381970007026851845/WG6BPJmQ_normal.jpg</v>
      </c>
      <c r="AW3540" s="80" t="s">
        <v>19252</v>
      </c>
      <c r="AX3540" s="80" t="s">
        <v>19252</v>
      </c>
      <c r="AY3540" s="77"/>
      <c r="AZ3540" s="80" t="s">
        <v>20380</v>
      </c>
      <c r="BA3540" s="80" t="s">
        <v>20380</v>
      </c>
      <c r="BB3540" s="80" t="s">
        <v>20380</v>
      </c>
      <c r="BC3540" s="80" t="s">
        <v>19252</v>
      </c>
      <c r="BD3540" s="80" t="s">
        <v>21075</v>
      </c>
      <c r="BE3540" s="77"/>
      <c r="BF3540" s="77"/>
      <c r="BG3540" s="77"/>
      <c r="BH3540" s="77"/>
      <c r="BI3540" s="77"/>
    </row>
    <row r="3541" spans="1:61" x14ac:dyDescent="0.25">
      <c r="A3541" s="62" t="s">
        <v>1408</v>
      </c>
      <c r="B3541" s="62" t="s">
        <v>1409</v>
      </c>
      <c r="C3541" s="63"/>
      <c r="D3541" s="64"/>
      <c r="E3541" s="65"/>
      <c r="F3541" s="66"/>
      <c r="G3541" s="63"/>
      <c r="H3541" s="67"/>
      <c r="I3541" s="68"/>
      <c r="J3541" s="68"/>
      <c r="K3541" s="32"/>
      <c r="L3541" s="75">
        <v>3541</v>
      </c>
      <c r="M3541" s="75"/>
      <c r="N3541" s="70"/>
      <c r="O3541" s="77" t="s">
        <v>2081</v>
      </c>
      <c r="P3541" s="79">
        <v>45131.533437500002</v>
      </c>
      <c r="Q3541" s="77" t="s">
        <v>5203</v>
      </c>
      <c r="R3541" s="77">
        <v>2</v>
      </c>
      <c r="S3541" s="77">
        <v>1</v>
      </c>
      <c r="T3541" s="77">
        <v>0</v>
      </c>
      <c r="U3541" s="77">
        <v>0</v>
      </c>
      <c r="V3541" s="77">
        <v>54</v>
      </c>
      <c r="W3541" s="80" t="s">
        <v>8085</v>
      </c>
      <c r="X3541" s="83" t="str">
        <f>HYPERLINK("https://www.elpaisdiario.com.ar/economia/entro-en-vigencia-la-nueva-edicion-del-dolar-agro-97243/")</f>
        <v>https://www.elpaisdiario.com.ar/economia/entro-en-vigencia-la-nueva-edicion-del-dolar-agro-97243/</v>
      </c>
      <c r="Y3541" s="77" t="s">
        <v>8624</v>
      </c>
      <c r="Z3541" s="77" t="s">
        <v>1409</v>
      </c>
      <c r="AA3541" s="77"/>
      <c r="AB3541" s="77"/>
      <c r="AC3541" s="80" t="s">
        <v>10541</v>
      </c>
      <c r="AD3541" s="77" t="s">
        <v>10620</v>
      </c>
      <c r="AE3541" s="83" t="str">
        <f>HYPERLINK("https://twitter.com/elpaisdiariook/status/1683459049159815169")</f>
        <v>https://twitter.com/elpaisdiariook/status/1683459049159815169</v>
      </c>
      <c r="AF3541" s="79">
        <v>45131.533437500002</v>
      </c>
      <c r="AG3541" s="85">
        <v>45131</v>
      </c>
      <c r="AH3541" s="80" t="s">
        <v>13698</v>
      </c>
      <c r="AI3541" s="77" t="b">
        <v>0</v>
      </c>
      <c r="AJ3541" s="77"/>
      <c r="AK3541" s="77"/>
      <c r="AL3541" s="77"/>
      <c r="AM3541" s="77"/>
      <c r="AN3541" s="77"/>
      <c r="AO3541" s="77"/>
      <c r="AP3541" s="77"/>
      <c r="AQ3541" s="77"/>
      <c r="AR3541" s="77"/>
      <c r="AS3541" s="77"/>
      <c r="AT3541" s="77"/>
      <c r="AU3541" s="77"/>
      <c r="AV3541" s="83" t="str">
        <f>HYPERLINK("https://pbs.twimg.com/profile_images/1381970007026851845/WG6BPJmQ_normal.jpg")</f>
        <v>https://pbs.twimg.com/profile_images/1381970007026851845/WG6BPJmQ_normal.jpg</v>
      </c>
      <c r="AW3541" s="80" t="s">
        <v>19253</v>
      </c>
      <c r="AX3541" s="80" t="s">
        <v>19253</v>
      </c>
      <c r="AY3541" s="77"/>
      <c r="AZ3541" s="80" t="s">
        <v>20380</v>
      </c>
      <c r="BA3541" s="80" t="s">
        <v>20380</v>
      </c>
      <c r="BB3541" s="80" t="s">
        <v>20380</v>
      </c>
      <c r="BC3541" s="80" t="s">
        <v>19253</v>
      </c>
      <c r="BD3541" s="80" t="s">
        <v>21075</v>
      </c>
      <c r="BE3541" s="77"/>
      <c r="BF3541" s="77"/>
      <c r="BG3541" s="77"/>
      <c r="BH3541" s="77"/>
      <c r="BI3541" s="77"/>
    </row>
    <row r="3542" spans="1:61" x14ac:dyDescent="0.25">
      <c r="A3542" s="62" t="s">
        <v>1408</v>
      </c>
      <c r="B3542" s="62" t="s">
        <v>1409</v>
      </c>
      <c r="C3542" s="63"/>
      <c r="D3542" s="64"/>
      <c r="E3542" s="65"/>
      <c r="F3542" s="66"/>
      <c r="G3542" s="63"/>
      <c r="H3542" s="67"/>
      <c r="I3542" s="68"/>
      <c r="J3542" s="68"/>
      <c r="K3542" s="32"/>
      <c r="L3542" s="75">
        <v>3542</v>
      </c>
      <c r="M3542" s="75"/>
      <c r="N3542" s="70"/>
      <c r="O3542" s="77" t="s">
        <v>2081</v>
      </c>
      <c r="P3542" s="79">
        <v>45105.621030092596</v>
      </c>
      <c r="Q3542" s="77" t="s">
        <v>5204</v>
      </c>
      <c r="R3542" s="77">
        <v>0</v>
      </c>
      <c r="S3542" s="77">
        <v>0</v>
      </c>
      <c r="T3542" s="77">
        <v>0</v>
      </c>
      <c r="U3542" s="77">
        <v>0</v>
      </c>
      <c r="V3542" s="77">
        <v>8</v>
      </c>
      <c r="W3542" s="80" t="s">
        <v>8086</v>
      </c>
      <c r="X3542" s="83" t="str">
        <f>HYPERLINK("https://www.elpaisdiario.com.ar/economia/dolar-banco-central-da-senales-al-mercado-y-devalua-en-linea-con-la-inflacion-95625/")</f>
        <v>https://www.elpaisdiario.com.ar/economia/dolar-banco-central-da-senales-al-mercado-y-devalua-en-linea-con-la-inflacion-95625/</v>
      </c>
      <c r="Y3542" s="77" t="s">
        <v>8624</v>
      </c>
      <c r="Z3542" s="77" t="s">
        <v>1409</v>
      </c>
      <c r="AA3542" s="77"/>
      <c r="AB3542" s="77"/>
      <c r="AC3542" s="80" t="s">
        <v>10541</v>
      </c>
      <c r="AD3542" s="77" t="s">
        <v>10620</v>
      </c>
      <c r="AE3542" s="83" t="str">
        <f>HYPERLINK("https://twitter.com/elpaisdiariook/status/1674068708984061955")</f>
        <v>https://twitter.com/elpaisdiariook/status/1674068708984061955</v>
      </c>
      <c r="AF3542" s="79">
        <v>45105.621030092596</v>
      </c>
      <c r="AG3542" s="85">
        <v>45105</v>
      </c>
      <c r="AH3542" s="80" t="s">
        <v>13699</v>
      </c>
      <c r="AI3542" s="77" t="b">
        <v>0</v>
      </c>
      <c r="AJ3542" s="77"/>
      <c r="AK3542" s="77"/>
      <c r="AL3542" s="77"/>
      <c r="AM3542" s="77"/>
      <c r="AN3542" s="77"/>
      <c r="AO3542" s="77"/>
      <c r="AP3542" s="77"/>
      <c r="AQ3542" s="77"/>
      <c r="AR3542" s="77"/>
      <c r="AS3542" s="77"/>
      <c r="AT3542" s="77"/>
      <c r="AU3542" s="77"/>
      <c r="AV3542" s="83" t="str">
        <f>HYPERLINK("https://pbs.twimg.com/profile_images/1381970007026851845/WG6BPJmQ_normal.jpg")</f>
        <v>https://pbs.twimg.com/profile_images/1381970007026851845/WG6BPJmQ_normal.jpg</v>
      </c>
      <c r="AW3542" s="80" t="s">
        <v>19254</v>
      </c>
      <c r="AX3542" s="80" t="s">
        <v>19254</v>
      </c>
      <c r="AY3542" s="77"/>
      <c r="AZ3542" s="80" t="s">
        <v>20380</v>
      </c>
      <c r="BA3542" s="80" t="s">
        <v>20380</v>
      </c>
      <c r="BB3542" s="80" t="s">
        <v>20380</v>
      </c>
      <c r="BC3542" s="80" t="s">
        <v>19254</v>
      </c>
      <c r="BD3542" s="80" t="s">
        <v>21075</v>
      </c>
      <c r="BE3542" s="77"/>
      <c r="BF3542" s="77"/>
      <c r="BG3542" s="77"/>
      <c r="BH3542" s="77"/>
      <c r="BI3542" s="77"/>
    </row>
    <row r="3543" spans="1:61" x14ac:dyDescent="0.25">
      <c r="A3543" s="62" t="s">
        <v>1408</v>
      </c>
      <c r="B3543" s="62" t="s">
        <v>1409</v>
      </c>
      <c r="C3543" s="63"/>
      <c r="D3543" s="64"/>
      <c r="E3543" s="65"/>
      <c r="F3543" s="66"/>
      <c r="G3543" s="63"/>
      <c r="H3543" s="67"/>
      <c r="I3543" s="68"/>
      <c r="J3543" s="68"/>
      <c r="K3543" s="32"/>
      <c r="L3543" s="75">
        <v>3543</v>
      </c>
      <c r="M3543" s="75"/>
      <c r="N3543" s="70"/>
      <c r="O3543" s="77" t="s">
        <v>2081</v>
      </c>
      <c r="P3543" s="79">
        <v>45058.65724537037</v>
      </c>
      <c r="Q3543" s="77" t="s">
        <v>5205</v>
      </c>
      <c r="R3543" s="77">
        <v>1</v>
      </c>
      <c r="S3543" s="77">
        <v>0</v>
      </c>
      <c r="T3543" s="77">
        <v>0</v>
      </c>
      <c r="U3543" s="77">
        <v>0</v>
      </c>
      <c r="V3543" s="77">
        <v>80</v>
      </c>
      <c r="W3543" s="80" t="s">
        <v>8087</v>
      </c>
      <c r="X3543" s="83" t="str">
        <f>HYPERLINK("https://www.elpaisdiario.com.ar/economia/cepo-importador-banco-central-implemento-nuevos-controles-para-acceder-al-dolar-92648/")</f>
        <v>https://www.elpaisdiario.com.ar/economia/cepo-importador-banco-central-implemento-nuevos-controles-para-acceder-al-dolar-92648/</v>
      </c>
      <c r="Y3543" s="77" t="s">
        <v>8624</v>
      </c>
      <c r="Z3543" s="77" t="s">
        <v>1409</v>
      </c>
      <c r="AA3543" s="77"/>
      <c r="AB3543" s="77"/>
      <c r="AC3543" s="80" t="s">
        <v>10541</v>
      </c>
      <c r="AD3543" s="77" t="s">
        <v>10620</v>
      </c>
      <c r="AE3543" s="83" t="str">
        <f>HYPERLINK("https://twitter.com/elpaisdiariook/status/1657049602690875394")</f>
        <v>https://twitter.com/elpaisdiariook/status/1657049602690875394</v>
      </c>
      <c r="AF3543" s="79">
        <v>45058.65724537037</v>
      </c>
      <c r="AG3543" s="85">
        <v>45058</v>
      </c>
      <c r="AH3543" s="80" t="s">
        <v>13700</v>
      </c>
      <c r="AI3543" s="77" t="b">
        <v>0</v>
      </c>
      <c r="AJ3543" s="77"/>
      <c r="AK3543" s="77"/>
      <c r="AL3543" s="77"/>
      <c r="AM3543" s="77"/>
      <c r="AN3543" s="77"/>
      <c r="AO3543" s="77"/>
      <c r="AP3543" s="77"/>
      <c r="AQ3543" s="77"/>
      <c r="AR3543" s="77"/>
      <c r="AS3543" s="77"/>
      <c r="AT3543" s="77"/>
      <c r="AU3543" s="77"/>
      <c r="AV3543" s="83" t="str">
        <f>HYPERLINK("https://pbs.twimg.com/profile_images/1381970007026851845/WG6BPJmQ_normal.jpg")</f>
        <v>https://pbs.twimg.com/profile_images/1381970007026851845/WG6BPJmQ_normal.jpg</v>
      </c>
      <c r="AW3543" s="80" t="s">
        <v>19255</v>
      </c>
      <c r="AX3543" s="80" t="s">
        <v>19255</v>
      </c>
      <c r="AY3543" s="77"/>
      <c r="AZ3543" s="80" t="s">
        <v>20380</v>
      </c>
      <c r="BA3543" s="80" t="s">
        <v>20380</v>
      </c>
      <c r="BB3543" s="80" t="s">
        <v>20380</v>
      </c>
      <c r="BC3543" s="80" t="s">
        <v>19255</v>
      </c>
      <c r="BD3543" s="80" t="s">
        <v>21075</v>
      </c>
      <c r="BE3543" s="77"/>
      <c r="BF3543" s="77"/>
      <c r="BG3543" s="77"/>
      <c r="BH3543" s="77"/>
      <c r="BI3543" s="77"/>
    </row>
    <row r="3544" spans="1:61" x14ac:dyDescent="0.25">
      <c r="A3544" s="62" t="s">
        <v>1408</v>
      </c>
      <c r="B3544" s="62" t="s">
        <v>1409</v>
      </c>
      <c r="C3544" s="63"/>
      <c r="D3544" s="64"/>
      <c r="E3544" s="65"/>
      <c r="F3544" s="66"/>
      <c r="G3544" s="63"/>
      <c r="H3544" s="67"/>
      <c r="I3544" s="68"/>
      <c r="J3544" s="68"/>
      <c r="K3544" s="32"/>
      <c r="L3544" s="75">
        <v>3544</v>
      </c>
      <c r="M3544" s="75"/>
      <c r="N3544" s="70"/>
      <c r="O3544" s="77" t="s">
        <v>2081</v>
      </c>
      <c r="P3544" s="79">
        <v>45139.668009259258</v>
      </c>
      <c r="Q3544" s="77" t="s">
        <v>5206</v>
      </c>
      <c r="R3544" s="77">
        <v>0</v>
      </c>
      <c r="S3544" s="77">
        <v>1</v>
      </c>
      <c r="T3544" s="77">
        <v>0</v>
      </c>
      <c r="U3544" s="77">
        <v>0</v>
      </c>
      <c r="V3544" s="77">
        <v>22</v>
      </c>
      <c r="W3544" s="80" t="s">
        <v>8088</v>
      </c>
      <c r="X3544" s="83" t="str">
        <f>HYPERLINK("https://www.elpaisdiario.com.ar/politica/bullrich-propuso-entrar-con-una-camara-de-television-al-banco-central-para-mostrar-las-reservas-97826/")</f>
        <v>https://www.elpaisdiario.com.ar/politica/bullrich-propuso-entrar-con-una-camara-de-television-al-banco-central-para-mostrar-las-reservas-97826/</v>
      </c>
      <c r="Y3544" s="77" t="s">
        <v>8624</v>
      </c>
      <c r="Z3544" s="77" t="s">
        <v>1409</v>
      </c>
      <c r="AA3544" s="77"/>
      <c r="AB3544" s="77"/>
      <c r="AC3544" s="80" t="s">
        <v>10541</v>
      </c>
      <c r="AD3544" s="77" t="s">
        <v>10620</v>
      </c>
      <c r="AE3544" s="83" t="str">
        <f>HYPERLINK("https://twitter.com/elpaisdiariook/status/1686406919106203649")</f>
        <v>https://twitter.com/elpaisdiariook/status/1686406919106203649</v>
      </c>
      <c r="AF3544" s="79">
        <v>45139.668009259258</v>
      </c>
      <c r="AG3544" s="85">
        <v>45139</v>
      </c>
      <c r="AH3544" s="80" t="s">
        <v>13701</v>
      </c>
      <c r="AI3544" s="77" t="b">
        <v>0</v>
      </c>
      <c r="AJ3544" s="77"/>
      <c r="AK3544" s="77"/>
      <c r="AL3544" s="77"/>
      <c r="AM3544" s="77"/>
      <c r="AN3544" s="77"/>
      <c r="AO3544" s="77"/>
      <c r="AP3544" s="77"/>
      <c r="AQ3544" s="77"/>
      <c r="AR3544" s="77"/>
      <c r="AS3544" s="77"/>
      <c r="AT3544" s="77"/>
      <c r="AU3544" s="77"/>
      <c r="AV3544" s="83" t="str">
        <f>HYPERLINK("https://pbs.twimg.com/profile_images/1381970007026851845/WG6BPJmQ_normal.jpg")</f>
        <v>https://pbs.twimg.com/profile_images/1381970007026851845/WG6BPJmQ_normal.jpg</v>
      </c>
      <c r="AW3544" s="80" t="s">
        <v>19256</v>
      </c>
      <c r="AX3544" s="80" t="s">
        <v>19256</v>
      </c>
      <c r="AY3544" s="77"/>
      <c r="AZ3544" s="80" t="s">
        <v>20380</v>
      </c>
      <c r="BA3544" s="80" t="s">
        <v>20380</v>
      </c>
      <c r="BB3544" s="80" t="s">
        <v>20380</v>
      </c>
      <c r="BC3544" s="80" t="s">
        <v>19256</v>
      </c>
      <c r="BD3544" s="80" t="s">
        <v>21075</v>
      </c>
      <c r="BE3544" s="77"/>
      <c r="BF3544" s="77"/>
      <c r="BG3544" s="77"/>
      <c r="BH3544" s="77"/>
      <c r="BI3544" s="77"/>
    </row>
    <row r="3545" spans="1:61" x14ac:dyDescent="0.25">
      <c r="A3545" s="62" t="s">
        <v>1408</v>
      </c>
      <c r="B3545" s="62" t="s">
        <v>1409</v>
      </c>
      <c r="C3545" s="63"/>
      <c r="D3545" s="64"/>
      <c r="E3545" s="65"/>
      <c r="F3545" s="66"/>
      <c r="G3545" s="63"/>
      <c r="H3545" s="67"/>
      <c r="I3545" s="68"/>
      <c r="J3545" s="68"/>
      <c r="K3545" s="32"/>
      <c r="L3545" s="75">
        <v>3545</v>
      </c>
      <c r="M3545" s="75"/>
      <c r="N3545" s="70"/>
      <c r="O3545" s="77" t="s">
        <v>2081</v>
      </c>
      <c r="P3545" s="79">
        <v>45139.484074074076</v>
      </c>
      <c r="Q3545" s="77" t="s">
        <v>5207</v>
      </c>
      <c r="R3545" s="77">
        <v>1</v>
      </c>
      <c r="S3545" s="77">
        <v>0</v>
      </c>
      <c r="T3545" s="77">
        <v>0</v>
      </c>
      <c r="U3545" s="77">
        <v>0</v>
      </c>
      <c r="V3545" s="77">
        <v>31</v>
      </c>
      <c r="W3545" s="80" t="s">
        <v>8089</v>
      </c>
      <c r="X3545" s="83" t="str">
        <f>HYPERLINK("https://www.elpaisdiario.com.ar/economia/por-el-pago-al-fmi-las-reservas-cayeron-a-su-menor-nivel-en-17-anos-97807/")</f>
        <v>https://www.elpaisdiario.com.ar/economia/por-el-pago-al-fmi-las-reservas-cayeron-a-su-menor-nivel-en-17-anos-97807/</v>
      </c>
      <c r="Y3545" s="77" t="s">
        <v>8624</v>
      </c>
      <c r="Z3545" s="77" t="s">
        <v>1409</v>
      </c>
      <c r="AA3545" s="77"/>
      <c r="AB3545" s="77"/>
      <c r="AC3545" s="80" t="s">
        <v>10541</v>
      </c>
      <c r="AD3545" s="77" t="s">
        <v>10620</v>
      </c>
      <c r="AE3545" s="83" t="str">
        <f>HYPERLINK("https://twitter.com/elpaisdiariook/status/1686340264200200192")</f>
        <v>https://twitter.com/elpaisdiariook/status/1686340264200200192</v>
      </c>
      <c r="AF3545" s="79">
        <v>45139.484074074076</v>
      </c>
      <c r="AG3545" s="85">
        <v>45139</v>
      </c>
      <c r="AH3545" s="80" t="s">
        <v>13702</v>
      </c>
      <c r="AI3545" s="77" t="b">
        <v>0</v>
      </c>
      <c r="AJ3545" s="77"/>
      <c r="AK3545" s="77"/>
      <c r="AL3545" s="77"/>
      <c r="AM3545" s="77"/>
      <c r="AN3545" s="77"/>
      <c r="AO3545" s="77"/>
      <c r="AP3545" s="77"/>
      <c r="AQ3545" s="77"/>
      <c r="AR3545" s="77"/>
      <c r="AS3545" s="77"/>
      <c r="AT3545" s="77"/>
      <c r="AU3545" s="77"/>
      <c r="AV3545" s="83" t="str">
        <f>HYPERLINK("https://pbs.twimg.com/profile_images/1381970007026851845/WG6BPJmQ_normal.jpg")</f>
        <v>https://pbs.twimg.com/profile_images/1381970007026851845/WG6BPJmQ_normal.jpg</v>
      </c>
      <c r="AW3545" s="80" t="s">
        <v>19257</v>
      </c>
      <c r="AX3545" s="80" t="s">
        <v>19257</v>
      </c>
      <c r="AY3545" s="77"/>
      <c r="AZ3545" s="80" t="s">
        <v>20380</v>
      </c>
      <c r="BA3545" s="80" t="s">
        <v>20380</v>
      </c>
      <c r="BB3545" s="80" t="s">
        <v>20380</v>
      </c>
      <c r="BC3545" s="80" t="s">
        <v>19257</v>
      </c>
      <c r="BD3545" s="80" t="s">
        <v>21075</v>
      </c>
      <c r="BE3545" s="77"/>
      <c r="BF3545" s="77"/>
      <c r="BG3545" s="77"/>
      <c r="BH3545" s="77"/>
      <c r="BI3545" s="77"/>
    </row>
    <row r="3546" spans="1:61" x14ac:dyDescent="0.25">
      <c r="A3546" s="62" t="s">
        <v>1408</v>
      </c>
      <c r="B3546" s="62" t="s">
        <v>1409</v>
      </c>
      <c r="C3546" s="63"/>
      <c r="D3546" s="64"/>
      <c r="E3546" s="65"/>
      <c r="F3546" s="66"/>
      <c r="G3546" s="63"/>
      <c r="H3546" s="67"/>
      <c r="I3546" s="68"/>
      <c r="J3546" s="68"/>
      <c r="K3546" s="32"/>
      <c r="L3546" s="75">
        <v>3546</v>
      </c>
      <c r="M3546" s="75"/>
      <c r="N3546" s="70"/>
      <c r="O3546" s="77" t="s">
        <v>2081</v>
      </c>
      <c r="P3546" s="79">
        <v>45148.661458333336</v>
      </c>
      <c r="Q3546" s="77" t="s">
        <v>5208</v>
      </c>
      <c r="R3546" s="77">
        <v>0</v>
      </c>
      <c r="S3546" s="77">
        <v>0</v>
      </c>
      <c r="T3546" s="77">
        <v>0</v>
      </c>
      <c r="U3546" s="77">
        <v>0</v>
      </c>
      <c r="V3546" s="77">
        <v>8</v>
      </c>
      <c r="W3546" s="80" t="s">
        <v>8090</v>
      </c>
      <c r="X3546" s="83" t="str">
        <f>HYPERLINK("https://www.elpaisdiario.com.ar/economia/el-banco-central-asistio-nuevamente-al-tesoro-nacional-por-250-000-000-000-98388/")</f>
        <v>https://www.elpaisdiario.com.ar/economia/el-banco-central-asistio-nuevamente-al-tesoro-nacional-por-250-000-000-000-98388/</v>
      </c>
      <c r="Y3546" s="77" t="s">
        <v>8624</v>
      </c>
      <c r="Z3546" s="77" t="s">
        <v>1409</v>
      </c>
      <c r="AA3546" s="77"/>
      <c r="AB3546" s="77"/>
      <c r="AC3546" s="80" t="s">
        <v>10541</v>
      </c>
      <c r="AD3546" s="77" t="s">
        <v>10620</v>
      </c>
      <c r="AE3546" s="83" t="str">
        <f>HYPERLINK("https://twitter.com/elpaisdiariook/status/1689666039041163264")</f>
        <v>https://twitter.com/elpaisdiariook/status/1689666039041163264</v>
      </c>
      <c r="AF3546" s="79">
        <v>45148.661458333336</v>
      </c>
      <c r="AG3546" s="85">
        <v>45148</v>
      </c>
      <c r="AH3546" s="80" t="s">
        <v>13703</v>
      </c>
      <c r="AI3546" s="77" t="b">
        <v>0</v>
      </c>
      <c r="AJ3546" s="77"/>
      <c r="AK3546" s="77"/>
      <c r="AL3546" s="77"/>
      <c r="AM3546" s="77"/>
      <c r="AN3546" s="77"/>
      <c r="AO3546" s="77"/>
      <c r="AP3546" s="77"/>
      <c r="AQ3546" s="77"/>
      <c r="AR3546" s="77"/>
      <c r="AS3546" s="77"/>
      <c r="AT3546" s="77"/>
      <c r="AU3546" s="77"/>
      <c r="AV3546" s="83" t="str">
        <f>HYPERLINK("https://pbs.twimg.com/profile_images/1381970007026851845/WG6BPJmQ_normal.jpg")</f>
        <v>https://pbs.twimg.com/profile_images/1381970007026851845/WG6BPJmQ_normal.jpg</v>
      </c>
      <c r="AW3546" s="80" t="s">
        <v>19258</v>
      </c>
      <c r="AX3546" s="80" t="s">
        <v>19258</v>
      </c>
      <c r="AY3546" s="77"/>
      <c r="AZ3546" s="80" t="s">
        <v>20380</v>
      </c>
      <c r="BA3546" s="80" t="s">
        <v>20380</v>
      </c>
      <c r="BB3546" s="80" t="s">
        <v>20380</v>
      </c>
      <c r="BC3546" s="80" t="s">
        <v>19258</v>
      </c>
      <c r="BD3546" s="80" t="s">
        <v>21075</v>
      </c>
      <c r="BE3546" s="77"/>
      <c r="BF3546" s="77"/>
      <c r="BG3546" s="77"/>
      <c r="BH3546" s="77"/>
      <c r="BI3546" s="77"/>
    </row>
    <row r="3547" spans="1:61" x14ac:dyDescent="0.25">
      <c r="A3547" s="62" t="s">
        <v>1408</v>
      </c>
      <c r="B3547" s="62" t="s">
        <v>1409</v>
      </c>
      <c r="C3547" s="63"/>
      <c r="D3547" s="64"/>
      <c r="E3547" s="65"/>
      <c r="F3547" s="66"/>
      <c r="G3547" s="63"/>
      <c r="H3547" s="67"/>
      <c r="I3547" s="68"/>
      <c r="J3547" s="68"/>
      <c r="K3547" s="32"/>
      <c r="L3547" s="75">
        <v>3547</v>
      </c>
      <c r="M3547" s="75"/>
      <c r="N3547" s="70"/>
      <c r="O3547" s="77" t="s">
        <v>2081</v>
      </c>
      <c r="P3547" s="79">
        <v>45160.527199074073</v>
      </c>
      <c r="Q3547" s="77" t="s">
        <v>5209</v>
      </c>
      <c r="R3547" s="77">
        <v>5</v>
      </c>
      <c r="S3547" s="77">
        <v>1</v>
      </c>
      <c r="T3547" s="77">
        <v>0</v>
      </c>
      <c r="U3547" s="77">
        <v>0</v>
      </c>
      <c r="V3547" s="77">
        <v>54</v>
      </c>
      <c r="W3547" s="80" t="s">
        <v>8091</v>
      </c>
      <c r="X3547" s="83" t="str">
        <f>HYPERLINK("https://www.elpaisdiario.com.ar/economia/el-banco-central-emitio-casi-medio-billon-de-pesos-despues-de-las-paso-99118/")</f>
        <v>https://www.elpaisdiario.com.ar/economia/el-banco-central-emitio-casi-medio-billon-de-pesos-despues-de-las-paso-99118/</v>
      </c>
      <c r="Y3547" s="77" t="s">
        <v>8624</v>
      </c>
      <c r="Z3547" s="77" t="s">
        <v>1409</v>
      </c>
      <c r="AA3547" s="77"/>
      <c r="AB3547" s="77"/>
      <c r="AC3547" s="80" t="s">
        <v>10541</v>
      </c>
      <c r="AD3547" s="77" t="s">
        <v>10620</v>
      </c>
      <c r="AE3547" s="83" t="str">
        <f>HYPERLINK("https://twitter.com/elpaisdiariook/status/1693966038474318071")</f>
        <v>https://twitter.com/elpaisdiariook/status/1693966038474318071</v>
      </c>
      <c r="AF3547" s="79">
        <v>45160.527199074073</v>
      </c>
      <c r="AG3547" s="85">
        <v>45160</v>
      </c>
      <c r="AH3547" s="80" t="s">
        <v>13704</v>
      </c>
      <c r="AI3547" s="77" t="b">
        <v>0</v>
      </c>
      <c r="AJ3547" s="77"/>
      <c r="AK3547" s="77"/>
      <c r="AL3547" s="77"/>
      <c r="AM3547" s="77"/>
      <c r="AN3547" s="77"/>
      <c r="AO3547" s="77"/>
      <c r="AP3547" s="77"/>
      <c r="AQ3547" s="77"/>
      <c r="AR3547" s="77"/>
      <c r="AS3547" s="77"/>
      <c r="AT3547" s="77"/>
      <c r="AU3547" s="77"/>
      <c r="AV3547" s="83" t="str">
        <f>HYPERLINK("https://pbs.twimg.com/profile_images/1381970007026851845/WG6BPJmQ_normal.jpg")</f>
        <v>https://pbs.twimg.com/profile_images/1381970007026851845/WG6BPJmQ_normal.jpg</v>
      </c>
      <c r="AW3547" s="80" t="s">
        <v>19259</v>
      </c>
      <c r="AX3547" s="80" t="s">
        <v>19259</v>
      </c>
      <c r="AY3547" s="77"/>
      <c r="AZ3547" s="80" t="s">
        <v>20380</v>
      </c>
      <c r="BA3547" s="80" t="s">
        <v>20380</v>
      </c>
      <c r="BB3547" s="80" t="s">
        <v>20380</v>
      </c>
      <c r="BC3547" s="80" t="s">
        <v>19259</v>
      </c>
      <c r="BD3547" s="80" t="s">
        <v>21075</v>
      </c>
      <c r="BE3547" s="77"/>
      <c r="BF3547" s="77"/>
      <c r="BG3547" s="77"/>
      <c r="BH3547" s="77"/>
      <c r="BI3547" s="77"/>
    </row>
    <row r="3548" spans="1:61" x14ac:dyDescent="0.25">
      <c r="A3548" s="62" t="s">
        <v>1408</v>
      </c>
      <c r="B3548" s="62" t="s">
        <v>1409</v>
      </c>
      <c r="C3548" s="63"/>
      <c r="D3548" s="64"/>
      <c r="E3548" s="65"/>
      <c r="F3548" s="66"/>
      <c r="G3548" s="63"/>
      <c r="H3548" s="67"/>
      <c r="I3548" s="68"/>
      <c r="J3548" s="68"/>
      <c r="K3548" s="32"/>
      <c r="L3548" s="75">
        <v>3548</v>
      </c>
      <c r="M3548" s="75"/>
      <c r="N3548" s="70"/>
      <c r="O3548" s="77" t="s">
        <v>2081</v>
      </c>
      <c r="P3548" s="79">
        <v>45163.905590277776</v>
      </c>
      <c r="Q3548" s="77" t="s">
        <v>5210</v>
      </c>
      <c r="R3548" s="77">
        <v>2</v>
      </c>
      <c r="S3548" s="77">
        <v>0</v>
      </c>
      <c r="T3548" s="77">
        <v>0</v>
      </c>
      <c r="U3548" s="77">
        <v>0</v>
      </c>
      <c r="V3548" s="77">
        <v>91</v>
      </c>
      <c r="W3548" s="80" t="s">
        <v>8092</v>
      </c>
      <c r="X3548" s="83" t="str">
        <f>HYPERLINK("https://www.elpaisdiario.com.ar/economia/el-dolar-blue-cerro-la-semana-en-alza-y-el-banco-central-volvio-a-comprar-divisas-99405/")</f>
        <v>https://www.elpaisdiario.com.ar/economia/el-dolar-blue-cerro-la-semana-en-alza-y-el-banco-central-volvio-a-comprar-divisas-99405/</v>
      </c>
      <c r="Y3548" s="77" t="s">
        <v>8624</v>
      </c>
      <c r="Z3548" s="77" t="s">
        <v>1409</v>
      </c>
      <c r="AA3548" s="77"/>
      <c r="AB3548" s="77"/>
      <c r="AC3548" s="80" t="s">
        <v>10541</v>
      </c>
      <c r="AD3548" s="77" t="s">
        <v>10620</v>
      </c>
      <c r="AE3548" s="83" t="str">
        <f>HYPERLINK("https://twitter.com/elpaisdiariook/status/1695190325164159026")</f>
        <v>https://twitter.com/elpaisdiariook/status/1695190325164159026</v>
      </c>
      <c r="AF3548" s="79">
        <v>45163.905590277776</v>
      </c>
      <c r="AG3548" s="85">
        <v>45163</v>
      </c>
      <c r="AH3548" s="80" t="s">
        <v>13705</v>
      </c>
      <c r="AI3548" s="77" t="b">
        <v>0</v>
      </c>
      <c r="AJ3548" s="77"/>
      <c r="AK3548" s="77"/>
      <c r="AL3548" s="77"/>
      <c r="AM3548" s="77"/>
      <c r="AN3548" s="77"/>
      <c r="AO3548" s="77"/>
      <c r="AP3548" s="77"/>
      <c r="AQ3548" s="77"/>
      <c r="AR3548" s="77"/>
      <c r="AS3548" s="77"/>
      <c r="AT3548" s="77"/>
      <c r="AU3548" s="77"/>
      <c r="AV3548" s="83" t="str">
        <f>HYPERLINK("https://pbs.twimg.com/profile_images/1381970007026851845/WG6BPJmQ_normal.jpg")</f>
        <v>https://pbs.twimg.com/profile_images/1381970007026851845/WG6BPJmQ_normal.jpg</v>
      </c>
      <c r="AW3548" s="80" t="s">
        <v>19260</v>
      </c>
      <c r="AX3548" s="80" t="s">
        <v>19260</v>
      </c>
      <c r="AY3548" s="77"/>
      <c r="AZ3548" s="80" t="s">
        <v>20380</v>
      </c>
      <c r="BA3548" s="80" t="s">
        <v>20380</v>
      </c>
      <c r="BB3548" s="80" t="s">
        <v>20380</v>
      </c>
      <c r="BC3548" s="80" t="s">
        <v>19260</v>
      </c>
      <c r="BD3548" s="80" t="s">
        <v>21075</v>
      </c>
      <c r="BE3548" s="77"/>
      <c r="BF3548" s="77"/>
      <c r="BG3548" s="77"/>
      <c r="BH3548" s="77"/>
      <c r="BI3548" s="77"/>
    </row>
    <row r="3549" spans="1:61" x14ac:dyDescent="0.25">
      <c r="A3549" s="62" t="s">
        <v>1408</v>
      </c>
      <c r="B3549" s="62" t="s">
        <v>1409</v>
      </c>
      <c r="C3549" s="63"/>
      <c r="D3549" s="64"/>
      <c r="E3549" s="65"/>
      <c r="F3549" s="66"/>
      <c r="G3549" s="63"/>
      <c r="H3549" s="67"/>
      <c r="I3549" s="68"/>
      <c r="J3549" s="68"/>
      <c r="K3549" s="32"/>
      <c r="L3549" s="75">
        <v>3549</v>
      </c>
      <c r="M3549" s="75"/>
      <c r="N3549" s="70"/>
      <c r="O3549" s="77" t="s">
        <v>2081</v>
      </c>
      <c r="P3549" s="79">
        <v>45163.605729166666</v>
      </c>
      <c r="Q3549" s="77" t="s">
        <v>5211</v>
      </c>
      <c r="R3549" s="77">
        <v>1</v>
      </c>
      <c r="S3549" s="77">
        <v>0</v>
      </c>
      <c r="T3549" s="77">
        <v>0</v>
      </c>
      <c r="U3549" s="77">
        <v>0</v>
      </c>
      <c r="V3549" s="77">
        <v>36</v>
      </c>
      <c r="W3549" s="80" t="s">
        <v>8093</v>
      </c>
      <c r="X3549" s="83" t="str">
        <f>HYPERLINK("https://www.elpaisdiario.com.ar/economia/vanoli-apoyo-el-ingreso-de-argentina-a-los-brics-99382/")</f>
        <v>https://www.elpaisdiario.com.ar/economia/vanoli-apoyo-el-ingreso-de-argentina-a-los-brics-99382/</v>
      </c>
      <c r="Y3549" s="77" t="s">
        <v>8624</v>
      </c>
      <c r="Z3549" s="77" t="s">
        <v>1409</v>
      </c>
      <c r="AA3549" s="77"/>
      <c r="AB3549" s="77"/>
      <c r="AC3549" s="80" t="s">
        <v>10541</v>
      </c>
      <c r="AD3549" s="77" t="s">
        <v>10620</v>
      </c>
      <c r="AE3549" s="83" t="str">
        <f>HYPERLINK("https://twitter.com/elpaisdiariook/status/1695081661879247235")</f>
        <v>https://twitter.com/elpaisdiariook/status/1695081661879247235</v>
      </c>
      <c r="AF3549" s="79">
        <v>45163.605729166666</v>
      </c>
      <c r="AG3549" s="85">
        <v>45163</v>
      </c>
      <c r="AH3549" s="80" t="s">
        <v>11949</v>
      </c>
      <c r="AI3549" s="77" t="b">
        <v>0</v>
      </c>
      <c r="AJ3549" s="77"/>
      <c r="AK3549" s="77"/>
      <c r="AL3549" s="77"/>
      <c r="AM3549" s="77"/>
      <c r="AN3549" s="77"/>
      <c r="AO3549" s="77"/>
      <c r="AP3549" s="77"/>
      <c r="AQ3549" s="77"/>
      <c r="AR3549" s="77"/>
      <c r="AS3549" s="77"/>
      <c r="AT3549" s="77"/>
      <c r="AU3549" s="77"/>
      <c r="AV3549" s="83" t="str">
        <f>HYPERLINK("https://pbs.twimg.com/profile_images/1381970007026851845/WG6BPJmQ_normal.jpg")</f>
        <v>https://pbs.twimg.com/profile_images/1381970007026851845/WG6BPJmQ_normal.jpg</v>
      </c>
      <c r="AW3549" s="80" t="s">
        <v>19261</v>
      </c>
      <c r="AX3549" s="80" t="s">
        <v>19261</v>
      </c>
      <c r="AY3549" s="77"/>
      <c r="AZ3549" s="80" t="s">
        <v>20380</v>
      </c>
      <c r="BA3549" s="80" t="s">
        <v>20380</v>
      </c>
      <c r="BB3549" s="80" t="s">
        <v>20380</v>
      </c>
      <c r="BC3549" s="80" t="s">
        <v>19261</v>
      </c>
      <c r="BD3549" s="80" t="s">
        <v>21075</v>
      </c>
      <c r="BE3549" s="77"/>
      <c r="BF3549" s="77"/>
      <c r="BG3549" s="77"/>
      <c r="BH3549" s="77"/>
      <c r="BI3549" s="77"/>
    </row>
    <row r="3550" spans="1:61" x14ac:dyDescent="0.25">
      <c r="A3550" s="62" t="s">
        <v>1408</v>
      </c>
      <c r="B3550" s="62" t="s">
        <v>1409</v>
      </c>
      <c r="C3550" s="63"/>
      <c r="D3550" s="64"/>
      <c r="E3550" s="65"/>
      <c r="F3550" s="66"/>
      <c r="G3550" s="63"/>
      <c r="H3550" s="67"/>
      <c r="I3550" s="68"/>
      <c r="J3550" s="68"/>
      <c r="K3550" s="32"/>
      <c r="L3550" s="75">
        <v>3550</v>
      </c>
      <c r="M3550" s="75"/>
      <c r="N3550" s="70"/>
      <c r="O3550" s="77" t="s">
        <v>2081</v>
      </c>
      <c r="P3550" s="79">
        <v>45196.508680555555</v>
      </c>
      <c r="Q3550" s="77" t="s">
        <v>5212</v>
      </c>
      <c r="R3550" s="77">
        <v>1</v>
      </c>
      <c r="S3550" s="77">
        <v>0</v>
      </c>
      <c r="T3550" s="77">
        <v>0</v>
      </c>
      <c r="U3550" s="77">
        <v>0</v>
      </c>
      <c r="V3550" s="77">
        <v>45</v>
      </c>
      <c r="W3550" s="80" t="s">
        <v>8094</v>
      </c>
      <c r="X3550" s="83" t="str">
        <f>HYPERLINK("https://www.elpaisdiario.com.ar/economia/la-resolucion-del-bcra-quedaria-sin-efecto-pero-le-exigiria-a-mercado-pago-una-baja-de-comisiones-101429/")</f>
        <v>https://www.elpaisdiario.com.ar/economia/la-resolucion-del-bcra-quedaria-sin-efecto-pero-le-exigiria-a-mercado-pago-una-baja-de-comisiones-101429/</v>
      </c>
      <c r="Y3550" s="77" t="s">
        <v>8624</v>
      </c>
      <c r="Z3550" s="77" t="s">
        <v>1409</v>
      </c>
      <c r="AA3550" s="77"/>
      <c r="AB3550" s="77"/>
      <c r="AC3550" s="80" t="s">
        <v>10541</v>
      </c>
      <c r="AD3550" s="77" t="s">
        <v>10620</v>
      </c>
      <c r="AE3550" s="83" t="str">
        <f>HYPERLINK("https://twitter.com/elpaisdiariook/status/1707005290648846456")</f>
        <v>https://twitter.com/elpaisdiariook/status/1707005290648846456</v>
      </c>
      <c r="AF3550" s="79">
        <v>45196.508680555555</v>
      </c>
      <c r="AG3550" s="85">
        <v>45196</v>
      </c>
      <c r="AH3550" s="80" t="s">
        <v>13706</v>
      </c>
      <c r="AI3550" s="77" t="b">
        <v>0</v>
      </c>
      <c r="AJ3550" s="77"/>
      <c r="AK3550" s="77"/>
      <c r="AL3550" s="77"/>
      <c r="AM3550" s="77"/>
      <c r="AN3550" s="77"/>
      <c r="AO3550" s="77"/>
      <c r="AP3550" s="77"/>
      <c r="AQ3550" s="77"/>
      <c r="AR3550" s="77"/>
      <c r="AS3550" s="77"/>
      <c r="AT3550" s="77"/>
      <c r="AU3550" s="77"/>
      <c r="AV3550" s="83" t="str">
        <f>HYPERLINK("https://pbs.twimg.com/profile_images/1381970007026851845/WG6BPJmQ_normal.jpg")</f>
        <v>https://pbs.twimg.com/profile_images/1381970007026851845/WG6BPJmQ_normal.jpg</v>
      </c>
      <c r="AW3550" s="80" t="s">
        <v>19262</v>
      </c>
      <c r="AX3550" s="80" t="s">
        <v>19262</v>
      </c>
      <c r="AY3550" s="77"/>
      <c r="AZ3550" s="80" t="s">
        <v>20380</v>
      </c>
      <c r="BA3550" s="80" t="s">
        <v>20380</v>
      </c>
      <c r="BB3550" s="80" t="s">
        <v>20380</v>
      </c>
      <c r="BC3550" s="80" t="s">
        <v>19262</v>
      </c>
      <c r="BD3550" s="80" t="s">
        <v>21075</v>
      </c>
      <c r="BE3550" s="77"/>
      <c r="BF3550" s="77"/>
      <c r="BG3550" s="77"/>
      <c r="BH3550" s="77"/>
      <c r="BI3550" s="77"/>
    </row>
    <row r="3551" spans="1:61" x14ac:dyDescent="0.25">
      <c r="A3551" s="62" t="s">
        <v>1409</v>
      </c>
      <c r="B3551" s="62" t="s">
        <v>1408</v>
      </c>
      <c r="C3551" s="63"/>
      <c r="D3551" s="64"/>
      <c r="E3551" s="65"/>
      <c r="F3551" s="66"/>
      <c r="G3551" s="63"/>
      <c r="H3551" s="67"/>
      <c r="I3551" s="68"/>
      <c r="J3551" s="68"/>
      <c r="K3551" s="32"/>
      <c r="L3551" s="75">
        <v>3551</v>
      </c>
      <c r="M3551" s="75"/>
      <c r="N3551" s="70"/>
      <c r="O3551" s="77" t="s">
        <v>2083</v>
      </c>
      <c r="P3551" s="79">
        <v>45196.58053240741</v>
      </c>
      <c r="Q3551" s="77" t="s">
        <v>5213</v>
      </c>
      <c r="R3551" s="77">
        <v>1</v>
      </c>
      <c r="S3551" s="77">
        <v>0</v>
      </c>
      <c r="T3551" s="77">
        <v>0</v>
      </c>
      <c r="U3551" s="77">
        <v>0</v>
      </c>
      <c r="V3551" s="77"/>
      <c r="W3551" s="80" t="s">
        <v>8095</v>
      </c>
      <c r="X3551" s="77"/>
      <c r="Y3551" s="77"/>
      <c r="Z3551" s="77" t="s">
        <v>1408</v>
      </c>
      <c r="AA3551" s="77"/>
      <c r="AB3551" s="77"/>
      <c r="AC3551" s="80" t="s">
        <v>10541</v>
      </c>
      <c r="AD3551" s="77" t="s">
        <v>10620</v>
      </c>
      <c r="AE3551" s="83" t="str">
        <f>HYPERLINK("https://twitter.com/elpaisdiario/status/1707031330398126571")</f>
        <v>https://twitter.com/elpaisdiario/status/1707031330398126571</v>
      </c>
      <c r="AF3551" s="79">
        <v>45196.58053240741</v>
      </c>
      <c r="AG3551" s="85">
        <v>45196</v>
      </c>
      <c r="AH3551" s="80" t="s">
        <v>13707</v>
      </c>
      <c r="AI3551" s="77" t="b">
        <v>0</v>
      </c>
      <c r="AJ3551" s="77"/>
      <c r="AK3551" s="77"/>
      <c r="AL3551" s="77"/>
      <c r="AM3551" s="77"/>
      <c r="AN3551" s="77"/>
      <c r="AO3551" s="77"/>
      <c r="AP3551" s="77"/>
      <c r="AQ3551" s="77"/>
      <c r="AR3551" s="77"/>
      <c r="AS3551" s="77"/>
      <c r="AT3551" s="77"/>
      <c r="AU3551" s="77"/>
      <c r="AV3551" s="83" t="str">
        <f>HYPERLINK("https://pbs.twimg.com/profile_images/1507362814700232707/llgIQGPe_normal.jpg")</f>
        <v>https://pbs.twimg.com/profile_images/1507362814700232707/llgIQGPe_normal.jpg</v>
      </c>
      <c r="AW3551" s="80" t="s">
        <v>19263</v>
      </c>
      <c r="AX3551" s="80" t="s">
        <v>19263</v>
      </c>
      <c r="AY3551" s="77"/>
      <c r="AZ3551" s="80" t="s">
        <v>20380</v>
      </c>
      <c r="BA3551" s="80" t="s">
        <v>20380</v>
      </c>
      <c r="BB3551" s="80" t="s">
        <v>19262</v>
      </c>
      <c r="BC3551" s="80" t="s">
        <v>19262</v>
      </c>
      <c r="BD3551" s="77">
        <v>2979439354</v>
      </c>
      <c r="BE3551" s="77"/>
      <c r="BF3551" s="77"/>
      <c r="BG3551" s="77"/>
      <c r="BH3551" s="77"/>
      <c r="BI3551" s="77"/>
    </row>
    <row r="3552" spans="1:61" x14ac:dyDescent="0.25">
      <c r="A3552" s="62" t="s">
        <v>1409</v>
      </c>
      <c r="B3552" s="62" t="s">
        <v>1409</v>
      </c>
      <c r="C3552" s="63"/>
      <c r="D3552" s="64"/>
      <c r="E3552" s="65"/>
      <c r="F3552" s="66"/>
      <c r="G3552" s="63"/>
      <c r="H3552" s="67"/>
      <c r="I3552" s="68"/>
      <c r="J3552" s="68"/>
      <c r="K3552" s="32"/>
      <c r="L3552" s="75">
        <v>3552</v>
      </c>
      <c r="M3552" s="75"/>
      <c r="N3552" s="70"/>
      <c r="O3552" s="77" t="s">
        <v>2081</v>
      </c>
      <c r="P3552" s="79">
        <v>45054.612847222219</v>
      </c>
      <c r="Q3552" s="77" t="s">
        <v>5214</v>
      </c>
      <c r="R3552" s="77">
        <v>1</v>
      </c>
      <c r="S3552" s="77">
        <v>1</v>
      </c>
      <c r="T3552" s="77">
        <v>0</v>
      </c>
      <c r="U3552" s="77">
        <v>0</v>
      </c>
      <c r="V3552" s="77">
        <v>63</v>
      </c>
      <c r="W3552" s="80" t="s">
        <v>8096</v>
      </c>
      <c r="X3552" s="83" t="str">
        <f>HYPERLINK("https://www.elpaisdiario.com.ar/politica/las-empresas-de-tinelli-tienen-mas-de-200-cheques-rechazados-segun-el-banco-central-92208/")</f>
        <v>https://www.elpaisdiario.com.ar/politica/las-empresas-de-tinelli-tienen-mas-de-200-cheques-rechazados-segun-el-banco-central-92208/</v>
      </c>
      <c r="Y3552" s="77" t="s">
        <v>8624</v>
      </c>
      <c r="Z3552" s="77" t="s">
        <v>1409</v>
      </c>
      <c r="AA3552" s="77"/>
      <c r="AB3552" s="77"/>
      <c r="AC3552" s="80" t="s">
        <v>10541</v>
      </c>
      <c r="AD3552" s="77" t="s">
        <v>10620</v>
      </c>
      <c r="AE3552" s="83" t="str">
        <f>HYPERLINK("https://twitter.com/elpaisdiario/status/1655583960766849028")</f>
        <v>https://twitter.com/elpaisdiario/status/1655583960766849028</v>
      </c>
      <c r="AF3552" s="79">
        <v>45054.612847222219</v>
      </c>
      <c r="AG3552" s="85">
        <v>45054</v>
      </c>
      <c r="AH3552" s="80" t="s">
        <v>13708</v>
      </c>
      <c r="AI3552" s="77" t="b">
        <v>0</v>
      </c>
      <c r="AJ3552" s="77"/>
      <c r="AK3552" s="77"/>
      <c r="AL3552" s="77"/>
      <c r="AM3552" s="77"/>
      <c r="AN3552" s="77"/>
      <c r="AO3552" s="77"/>
      <c r="AP3552" s="77"/>
      <c r="AQ3552" s="77"/>
      <c r="AR3552" s="77"/>
      <c r="AS3552" s="77"/>
      <c r="AT3552" s="77"/>
      <c r="AU3552" s="77"/>
      <c r="AV3552" s="83" t="str">
        <f>HYPERLINK("https://pbs.twimg.com/profile_images/1507362814700232707/llgIQGPe_normal.jpg")</f>
        <v>https://pbs.twimg.com/profile_images/1507362814700232707/llgIQGPe_normal.jpg</v>
      </c>
      <c r="AW3552" s="80" t="s">
        <v>19264</v>
      </c>
      <c r="AX3552" s="80" t="s">
        <v>19264</v>
      </c>
      <c r="AY3552" s="77"/>
      <c r="AZ3552" s="80" t="s">
        <v>20380</v>
      </c>
      <c r="BA3552" s="80" t="s">
        <v>20380</v>
      </c>
      <c r="BB3552" s="80" t="s">
        <v>20380</v>
      </c>
      <c r="BC3552" s="80" t="s">
        <v>19264</v>
      </c>
      <c r="BD3552" s="77">
        <v>2979439354</v>
      </c>
      <c r="BE3552" s="77"/>
      <c r="BF3552" s="77"/>
      <c r="BG3552" s="77"/>
      <c r="BH3552" s="77"/>
      <c r="BI3552" s="77"/>
    </row>
    <row r="3553" spans="1:61" x14ac:dyDescent="0.25">
      <c r="A3553" s="62" t="s">
        <v>1409</v>
      </c>
      <c r="B3553" s="62" t="s">
        <v>1409</v>
      </c>
      <c r="C3553" s="63"/>
      <c r="D3553" s="64"/>
      <c r="E3553" s="65"/>
      <c r="F3553" s="66"/>
      <c r="G3553" s="63"/>
      <c r="H3553" s="67"/>
      <c r="I3553" s="68"/>
      <c r="J3553" s="68"/>
      <c r="K3553" s="32"/>
      <c r="L3553" s="75">
        <v>3553</v>
      </c>
      <c r="M3553" s="75"/>
      <c r="N3553" s="70"/>
      <c r="O3553" s="77" t="s">
        <v>2081</v>
      </c>
      <c r="P3553" s="79">
        <v>45129.682060185187</v>
      </c>
      <c r="Q3553" s="77" t="s">
        <v>5215</v>
      </c>
      <c r="R3553" s="77">
        <v>1</v>
      </c>
      <c r="S3553" s="77">
        <v>0</v>
      </c>
      <c r="T3553" s="77">
        <v>0</v>
      </c>
      <c r="U3553" s="77">
        <v>0</v>
      </c>
      <c r="V3553" s="77">
        <v>29</v>
      </c>
      <c r="W3553" s="80" t="s">
        <v>8097</v>
      </c>
      <c r="X3553" s="83" t="str">
        <f>HYPERLINK("https://www.elpaisdiario.com.ar/economia/se-acelero-la-perdida-de-reservas-del-bcra-en-medio-de-la-negociacion-con-el-fondo-97122/")</f>
        <v>https://www.elpaisdiario.com.ar/economia/se-acelero-la-perdida-de-reservas-del-bcra-en-medio-de-la-negociacion-con-el-fondo-97122/</v>
      </c>
      <c r="Y3553" s="77" t="s">
        <v>8624</v>
      </c>
      <c r="Z3553" s="77" t="s">
        <v>1409</v>
      </c>
      <c r="AA3553" s="77"/>
      <c r="AB3553" s="77"/>
      <c r="AC3553" s="80" t="s">
        <v>10541</v>
      </c>
      <c r="AD3553" s="77" t="s">
        <v>10620</v>
      </c>
      <c r="AE3553" s="83" t="str">
        <f>HYPERLINK("https://twitter.com/elpaisdiario/status/1682788135283875841")</f>
        <v>https://twitter.com/elpaisdiario/status/1682788135283875841</v>
      </c>
      <c r="AF3553" s="79">
        <v>45129.682060185187</v>
      </c>
      <c r="AG3553" s="85">
        <v>45129</v>
      </c>
      <c r="AH3553" s="80" t="s">
        <v>13709</v>
      </c>
      <c r="AI3553" s="77" t="b">
        <v>0</v>
      </c>
      <c r="AJ3553" s="77"/>
      <c r="AK3553" s="77"/>
      <c r="AL3553" s="77"/>
      <c r="AM3553" s="77"/>
      <c r="AN3553" s="77"/>
      <c r="AO3553" s="77"/>
      <c r="AP3553" s="77"/>
      <c r="AQ3553" s="77"/>
      <c r="AR3553" s="77"/>
      <c r="AS3553" s="77"/>
      <c r="AT3553" s="77"/>
      <c r="AU3553" s="77"/>
      <c r="AV3553" s="83" t="str">
        <f>HYPERLINK("https://pbs.twimg.com/profile_images/1507362814700232707/llgIQGPe_normal.jpg")</f>
        <v>https://pbs.twimg.com/profile_images/1507362814700232707/llgIQGPe_normal.jpg</v>
      </c>
      <c r="AW3553" s="80" t="s">
        <v>19265</v>
      </c>
      <c r="AX3553" s="80" t="s">
        <v>19265</v>
      </c>
      <c r="AY3553" s="77"/>
      <c r="AZ3553" s="80" t="s">
        <v>20380</v>
      </c>
      <c r="BA3553" s="80" t="s">
        <v>20380</v>
      </c>
      <c r="BB3553" s="80" t="s">
        <v>20380</v>
      </c>
      <c r="BC3553" s="80" t="s">
        <v>19265</v>
      </c>
      <c r="BD3553" s="77">
        <v>2979439354</v>
      </c>
      <c r="BE3553" s="77"/>
      <c r="BF3553" s="77"/>
      <c r="BG3553" s="77"/>
      <c r="BH3553" s="77"/>
      <c r="BI3553" s="77"/>
    </row>
    <row r="3554" spans="1:61" x14ac:dyDescent="0.25">
      <c r="A3554" s="62" t="s">
        <v>1409</v>
      </c>
      <c r="B3554" s="62" t="s">
        <v>1409</v>
      </c>
      <c r="C3554" s="63"/>
      <c r="D3554" s="64"/>
      <c r="E3554" s="65"/>
      <c r="F3554" s="66"/>
      <c r="G3554" s="63"/>
      <c r="H3554" s="67"/>
      <c r="I3554" s="68"/>
      <c r="J3554" s="68"/>
      <c r="K3554" s="32"/>
      <c r="L3554" s="75">
        <v>3554</v>
      </c>
      <c r="M3554" s="75"/>
      <c r="N3554" s="70"/>
      <c r="O3554" s="77" t="s">
        <v>2081</v>
      </c>
      <c r="P3554" s="79">
        <v>45160.555601851855</v>
      </c>
      <c r="Q3554" s="77" t="s">
        <v>5216</v>
      </c>
      <c r="R3554" s="77">
        <v>1</v>
      </c>
      <c r="S3554" s="77">
        <v>0</v>
      </c>
      <c r="T3554" s="77">
        <v>0</v>
      </c>
      <c r="U3554" s="77">
        <v>0</v>
      </c>
      <c r="V3554" s="77">
        <v>42</v>
      </c>
      <c r="W3554" s="80" t="s">
        <v>8098</v>
      </c>
      <c r="X3554" s="83" t="str">
        <f>HYPERLINK("https://www.elpaisdiario.com.ar/economia/el-banco-central-emitio-casi-medio-billon-de-pesos-despues-de-las-paso-99118/")</f>
        <v>https://www.elpaisdiario.com.ar/economia/el-banco-central-emitio-casi-medio-billon-de-pesos-despues-de-las-paso-99118/</v>
      </c>
      <c r="Y3554" s="77" t="s">
        <v>8624</v>
      </c>
      <c r="Z3554" s="77" t="s">
        <v>1409</v>
      </c>
      <c r="AA3554" s="77"/>
      <c r="AB3554" s="77"/>
      <c r="AC3554" s="80" t="s">
        <v>10541</v>
      </c>
      <c r="AD3554" s="77" t="s">
        <v>10620</v>
      </c>
      <c r="AE3554" s="83" t="str">
        <f>HYPERLINK("https://twitter.com/elpaisdiario/status/1693976331027939716")</f>
        <v>https://twitter.com/elpaisdiario/status/1693976331027939716</v>
      </c>
      <c r="AF3554" s="79">
        <v>45160.555601851855</v>
      </c>
      <c r="AG3554" s="85">
        <v>45160</v>
      </c>
      <c r="AH3554" s="80" t="s">
        <v>13710</v>
      </c>
      <c r="AI3554" s="77" t="b">
        <v>0</v>
      </c>
      <c r="AJ3554" s="77"/>
      <c r="AK3554" s="77"/>
      <c r="AL3554" s="77"/>
      <c r="AM3554" s="77"/>
      <c r="AN3554" s="77"/>
      <c r="AO3554" s="77"/>
      <c r="AP3554" s="77"/>
      <c r="AQ3554" s="77"/>
      <c r="AR3554" s="77"/>
      <c r="AS3554" s="77"/>
      <c r="AT3554" s="77"/>
      <c r="AU3554" s="77"/>
      <c r="AV3554" s="83" t="str">
        <f>HYPERLINK("https://pbs.twimg.com/profile_images/1507362814700232707/llgIQGPe_normal.jpg")</f>
        <v>https://pbs.twimg.com/profile_images/1507362814700232707/llgIQGPe_normal.jpg</v>
      </c>
      <c r="AW3554" s="80" t="s">
        <v>19266</v>
      </c>
      <c r="AX3554" s="80" t="s">
        <v>19266</v>
      </c>
      <c r="AY3554" s="77"/>
      <c r="AZ3554" s="80" t="s">
        <v>20380</v>
      </c>
      <c r="BA3554" s="80" t="s">
        <v>20380</v>
      </c>
      <c r="BB3554" s="80" t="s">
        <v>20380</v>
      </c>
      <c r="BC3554" s="80" t="s">
        <v>19266</v>
      </c>
      <c r="BD3554" s="77">
        <v>2979439354</v>
      </c>
      <c r="BE3554" s="77"/>
      <c r="BF3554" s="77"/>
      <c r="BG3554" s="77"/>
      <c r="BH3554" s="77"/>
      <c r="BI3554" s="77"/>
    </row>
    <row r="3555" spans="1:61" x14ac:dyDescent="0.25">
      <c r="A3555" s="62" t="s">
        <v>1410</v>
      </c>
      <c r="B3555" s="62" t="s">
        <v>2030</v>
      </c>
      <c r="C3555" s="63"/>
      <c r="D3555" s="64"/>
      <c r="E3555" s="65"/>
      <c r="F3555" s="66"/>
      <c r="G3555" s="63"/>
      <c r="H3555" s="67"/>
      <c r="I3555" s="68"/>
      <c r="J3555" s="68"/>
      <c r="K3555" s="32"/>
      <c r="L3555" s="75">
        <v>3555</v>
      </c>
      <c r="M3555" s="75"/>
      <c r="N3555" s="70"/>
      <c r="O3555" s="77" t="s">
        <v>2081</v>
      </c>
      <c r="P3555" s="79">
        <v>45153.251631944448</v>
      </c>
      <c r="Q3555" s="77" t="s">
        <v>5217</v>
      </c>
      <c r="R3555" s="77">
        <v>1</v>
      </c>
      <c r="S3555" s="77">
        <v>7</v>
      </c>
      <c r="T3555" s="77">
        <v>1</v>
      </c>
      <c r="U3555" s="77">
        <v>0</v>
      </c>
      <c r="V3555" s="77">
        <v>108</v>
      </c>
      <c r="W3555" s="80" t="s">
        <v>8099</v>
      </c>
      <c r="X3555" s="83" t="str">
        <f>HYPERLINK("https://youtu.be/26MlY_34nfE")</f>
        <v>https://youtu.be/26MlY_34nfE</v>
      </c>
      <c r="Y3555" s="77" t="s">
        <v>8635</v>
      </c>
      <c r="Z3555" s="77" t="s">
        <v>9017</v>
      </c>
      <c r="AA3555" s="77"/>
      <c r="AB3555" s="77"/>
      <c r="AC3555" s="80" t="s">
        <v>10542</v>
      </c>
      <c r="AD3555" s="77" t="s">
        <v>10620</v>
      </c>
      <c r="AE3555" s="83" t="str">
        <f>HYPERLINK("https://twitter.com/somoslacruz/status/1691329461700919296")</f>
        <v>https://twitter.com/somoslacruz/status/1691329461700919296</v>
      </c>
      <c r="AF3555" s="79">
        <v>45153.251631944448</v>
      </c>
      <c r="AG3555" s="85">
        <v>45153</v>
      </c>
      <c r="AH3555" s="80" t="s">
        <v>13711</v>
      </c>
      <c r="AI3555" s="77" t="b">
        <v>0</v>
      </c>
      <c r="AJ3555" s="77"/>
      <c r="AK3555" s="77"/>
      <c r="AL3555" s="77"/>
      <c r="AM3555" s="77"/>
      <c r="AN3555" s="77"/>
      <c r="AO3555" s="77"/>
      <c r="AP3555" s="77"/>
      <c r="AQ3555" s="77"/>
      <c r="AR3555" s="77"/>
      <c r="AS3555" s="77"/>
      <c r="AT3555" s="77"/>
      <c r="AU3555" s="77"/>
      <c r="AV3555" s="83" t="str">
        <f>HYPERLINK("https://pbs.twimg.com/profile_images/1658284989404815363/qVTRQJxD_normal.jpg")</f>
        <v>https://pbs.twimg.com/profile_images/1658284989404815363/qVTRQJxD_normal.jpg</v>
      </c>
      <c r="AW3555" s="80" t="s">
        <v>19267</v>
      </c>
      <c r="AX3555" s="80" t="s">
        <v>19267</v>
      </c>
      <c r="AY3555" s="77"/>
      <c r="AZ3555" s="80" t="s">
        <v>20380</v>
      </c>
      <c r="BA3555" s="80" t="s">
        <v>20380</v>
      </c>
      <c r="BB3555" s="80" t="s">
        <v>20380</v>
      </c>
      <c r="BC3555" s="80" t="s">
        <v>19267</v>
      </c>
      <c r="BD3555" s="77">
        <v>82188004</v>
      </c>
      <c r="BE3555" s="77"/>
      <c r="BF3555" s="77"/>
      <c r="BG3555" s="77"/>
      <c r="BH3555" s="77"/>
      <c r="BI3555" s="77"/>
    </row>
    <row r="3556" spans="1:61" x14ac:dyDescent="0.25">
      <c r="A3556" s="62" t="s">
        <v>1410</v>
      </c>
      <c r="B3556" s="62" t="s">
        <v>2031</v>
      </c>
      <c r="C3556" s="63"/>
      <c r="D3556" s="64"/>
      <c r="E3556" s="65"/>
      <c r="F3556" s="66"/>
      <c r="G3556" s="63"/>
      <c r="H3556" s="67"/>
      <c r="I3556" s="68"/>
      <c r="J3556" s="68"/>
      <c r="K3556" s="32"/>
      <c r="L3556" s="75">
        <v>3556</v>
      </c>
      <c r="M3556" s="75"/>
      <c r="N3556" s="70"/>
      <c r="O3556" s="77" t="s">
        <v>2081</v>
      </c>
      <c r="P3556" s="79">
        <v>45153.251631944448</v>
      </c>
      <c r="Q3556" s="77" t="s">
        <v>5217</v>
      </c>
      <c r="R3556" s="77">
        <v>1</v>
      </c>
      <c r="S3556" s="77">
        <v>7</v>
      </c>
      <c r="T3556" s="77">
        <v>1</v>
      </c>
      <c r="U3556" s="77">
        <v>0</v>
      </c>
      <c r="V3556" s="77">
        <v>108</v>
      </c>
      <c r="W3556" s="80" t="s">
        <v>8099</v>
      </c>
      <c r="X3556" s="83" t="str">
        <f>HYPERLINK("https://youtu.be/26MlY_34nfE")</f>
        <v>https://youtu.be/26MlY_34nfE</v>
      </c>
      <c r="Y3556" s="77" t="s">
        <v>8635</v>
      </c>
      <c r="Z3556" s="77" t="s">
        <v>9017</v>
      </c>
      <c r="AA3556" s="77"/>
      <c r="AB3556" s="77"/>
      <c r="AC3556" s="80" t="s">
        <v>10542</v>
      </c>
      <c r="AD3556" s="77" t="s">
        <v>10620</v>
      </c>
      <c r="AE3556" s="83" t="str">
        <f>HYPERLINK("https://twitter.com/somoslacruz/status/1691329461700919296")</f>
        <v>https://twitter.com/somoslacruz/status/1691329461700919296</v>
      </c>
      <c r="AF3556" s="79">
        <v>45153.251631944448</v>
      </c>
      <c r="AG3556" s="85">
        <v>45153</v>
      </c>
      <c r="AH3556" s="80" t="s">
        <v>13711</v>
      </c>
      <c r="AI3556" s="77" t="b">
        <v>0</v>
      </c>
      <c r="AJ3556" s="77"/>
      <c r="AK3556" s="77"/>
      <c r="AL3556" s="77"/>
      <c r="AM3556" s="77"/>
      <c r="AN3556" s="77"/>
      <c r="AO3556" s="77"/>
      <c r="AP3556" s="77"/>
      <c r="AQ3556" s="77"/>
      <c r="AR3556" s="77"/>
      <c r="AS3556" s="77"/>
      <c r="AT3556" s="77"/>
      <c r="AU3556" s="77"/>
      <c r="AV3556" s="83" t="str">
        <f>HYPERLINK("https://pbs.twimg.com/profile_images/1658284989404815363/qVTRQJxD_normal.jpg")</f>
        <v>https://pbs.twimg.com/profile_images/1658284989404815363/qVTRQJxD_normal.jpg</v>
      </c>
      <c r="AW3556" s="80" t="s">
        <v>19267</v>
      </c>
      <c r="AX3556" s="80" t="s">
        <v>19267</v>
      </c>
      <c r="AY3556" s="77"/>
      <c r="AZ3556" s="80" t="s">
        <v>20380</v>
      </c>
      <c r="BA3556" s="80" t="s">
        <v>20380</v>
      </c>
      <c r="BB3556" s="80" t="s">
        <v>20380</v>
      </c>
      <c r="BC3556" s="80" t="s">
        <v>19267</v>
      </c>
      <c r="BD3556" s="77">
        <v>82188004</v>
      </c>
      <c r="BE3556" s="77"/>
      <c r="BF3556" s="77"/>
      <c r="BG3556" s="77"/>
      <c r="BH3556" s="77"/>
      <c r="BI3556" s="77"/>
    </row>
    <row r="3557" spans="1:61" x14ac:dyDescent="0.25">
      <c r="A3557" s="62" t="s">
        <v>1410</v>
      </c>
      <c r="B3557" s="62" t="s">
        <v>2032</v>
      </c>
      <c r="C3557" s="63"/>
      <c r="D3557" s="64"/>
      <c r="E3557" s="65"/>
      <c r="F3557" s="66"/>
      <c r="G3557" s="63"/>
      <c r="H3557" s="67"/>
      <c r="I3557" s="68"/>
      <c r="J3557" s="68"/>
      <c r="K3557" s="32"/>
      <c r="L3557" s="75">
        <v>3557</v>
      </c>
      <c r="M3557" s="75"/>
      <c r="N3557" s="70"/>
      <c r="O3557" s="77" t="s">
        <v>2081</v>
      </c>
      <c r="P3557" s="79">
        <v>45153.251631944448</v>
      </c>
      <c r="Q3557" s="77" t="s">
        <v>5217</v>
      </c>
      <c r="R3557" s="77">
        <v>1</v>
      </c>
      <c r="S3557" s="77">
        <v>7</v>
      </c>
      <c r="T3557" s="77">
        <v>1</v>
      </c>
      <c r="U3557" s="77">
        <v>0</v>
      </c>
      <c r="V3557" s="77">
        <v>108</v>
      </c>
      <c r="W3557" s="80" t="s">
        <v>8099</v>
      </c>
      <c r="X3557" s="83" t="str">
        <f>HYPERLINK("https://youtu.be/26MlY_34nfE")</f>
        <v>https://youtu.be/26MlY_34nfE</v>
      </c>
      <c r="Y3557" s="77" t="s">
        <v>8635</v>
      </c>
      <c r="Z3557" s="77" t="s">
        <v>9017</v>
      </c>
      <c r="AA3557" s="77"/>
      <c r="AB3557" s="77"/>
      <c r="AC3557" s="80" t="s">
        <v>10542</v>
      </c>
      <c r="AD3557" s="77" t="s">
        <v>10620</v>
      </c>
      <c r="AE3557" s="83" t="str">
        <f>HYPERLINK("https://twitter.com/somoslacruz/status/1691329461700919296")</f>
        <v>https://twitter.com/somoslacruz/status/1691329461700919296</v>
      </c>
      <c r="AF3557" s="79">
        <v>45153.251631944448</v>
      </c>
      <c r="AG3557" s="85">
        <v>45153</v>
      </c>
      <c r="AH3557" s="80" t="s">
        <v>13711</v>
      </c>
      <c r="AI3557" s="77" t="b">
        <v>0</v>
      </c>
      <c r="AJ3557" s="77"/>
      <c r="AK3557" s="77"/>
      <c r="AL3557" s="77"/>
      <c r="AM3557" s="77"/>
      <c r="AN3557" s="77"/>
      <c r="AO3557" s="77"/>
      <c r="AP3557" s="77"/>
      <c r="AQ3557" s="77"/>
      <c r="AR3557" s="77"/>
      <c r="AS3557" s="77"/>
      <c r="AT3557" s="77"/>
      <c r="AU3557" s="77"/>
      <c r="AV3557" s="83" t="str">
        <f>HYPERLINK("https://pbs.twimg.com/profile_images/1658284989404815363/qVTRQJxD_normal.jpg")</f>
        <v>https://pbs.twimg.com/profile_images/1658284989404815363/qVTRQJxD_normal.jpg</v>
      </c>
      <c r="AW3557" s="80" t="s">
        <v>19267</v>
      </c>
      <c r="AX3557" s="80" t="s">
        <v>19267</v>
      </c>
      <c r="AY3557" s="77"/>
      <c r="AZ3557" s="80" t="s">
        <v>20380</v>
      </c>
      <c r="BA3557" s="80" t="s">
        <v>20380</v>
      </c>
      <c r="BB3557" s="80" t="s">
        <v>20380</v>
      </c>
      <c r="BC3557" s="80" t="s">
        <v>19267</v>
      </c>
      <c r="BD3557" s="77">
        <v>82188004</v>
      </c>
      <c r="BE3557" s="77"/>
      <c r="BF3557" s="77"/>
      <c r="BG3557" s="77"/>
      <c r="BH3557" s="77"/>
      <c r="BI3557" s="77"/>
    </row>
    <row r="3558" spans="1:61" x14ac:dyDescent="0.25">
      <c r="A3558" s="62" t="s">
        <v>1410</v>
      </c>
      <c r="B3558" s="62" t="s">
        <v>2033</v>
      </c>
      <c r="C3558" s="63"/>
      <c r="D3558" s="64"/>
      <c r="E3558" s="65"/>
      <c r="F3558" s="66"/>
      <c r="G3558" s="63"/>
      <c r="H3558" s="67"/>
      <c r="I3558" s="68"/>
      <c r="J3558" s="68"/>
      <c r="K3558" s="32"/>
      <c r="L3558" s="75">
        <v>3558</v>
      </c>
      <c r="M3558" s="75"/>
      <c r="N3558" s="70"/>
      <c r="O3558" s="77" t="s">
        <v>2081</v>
      </c>
      <c r="P3558" s="79">
        <v>45153.251631944448</v>
      </c>
      <c r="Q3558" s="77" t="s">
        <v>5217</v>
      </c>
      <c r="R3558" s="77">
        <v>1</v>
      </c>
      <c r="S3558" s="77">
        <v>7</v>
      </c>
      <c r="T3558" s="77">
        <v>1</v>
      </c>
      <c r="U3558" s="77">
        <v>0</v>
      </c>
      <c r="V3558" s="77">
        <v>108</v>
      </c>
      <c r="W3558" s="80" t="s">
        <v>8099</v>
      </c>
      <c r="X3558" s="83" t="str">
        <f>HYPERLINK("https://youtu.be/26MlY_34nfE")</f>
        <v>https://youtu.be/26MlY_34nfE</v>
      </c>
      <c r="Y3558" s="77" t="s">
        <v>8635</v>
      </c>
      <c r="Z3558" s="77" t="s">
        <v>9017</v>
      </c>
      <c r="AA3558" s="77"/>
      <c r="AB3558" s="77"/>
      <c r="AC3558" s="80" t="s">
        <v>10542</v>
      </c>
      <c r="AD3558" s="77" t="s">
        <v>10620</v>
      </c>
      <c r="AE3558" s="83" t="str">
        <f>HYPERLINK("https://twitter.com/somoslacruz/status/1691329461700919296")</f>
        <v>https://twitter.com/somoslacruz/status/1691329461700919296</v>
      </c>
      <c r="AF3558" s="79">
        <v>45153.251631944448</v>
      </c>
      <c r="AG3558" s="85">
        <v>45153</v>
      </c>
      <c r="AH3558" s="80" t="s">
        <v>13711</v>
      </c>
      <c r="AI3558" s="77" t="b">
        <v>0</v>
      </c>
      <c r="AJ3558" s="77"/>
      <c r="AK3558" s="77"/>
      <c r="AL3558" s="77"/>
      <c r="AM3558" s="77"/>
      <c r="AN3558" s="77"/>
      <c r="AO3558" s="77"/>
      <c r="AP3558" s="77"/>
      <c r="AQ3558" s="77"/>
      <c r="AR3558" s="77"/>
      <c r="AS3558" s="77"/>
      <c r="AT3558" s="77"/>
      <c r="AU3558" s="77"/>
      <c r="AV3558" s="83" t="str">
        <f>HYPERLINK("https://pbs.twimg.com/profile_images/1658284989404815363/qVTRQJxD_normal.jpg")</f>
        <v>https://pbs.twimg.com/profile_images/1658284989404815363/qVTRQJxD_normal.jpg</v>
      </c>
      <c r="AW3558" s="80" t="s">
        <v>19267</v>
      </c>
      <c r="AX3558" s="80" t="s">
        <v>19267</v>
      </c>
      <c r="AY3558" s="77"/>
      <c r="AZ3558" s="80" t="s">
        <v>20380</v>
      </c>
      <c r="BA3558" s="80" t="s">
        <v>20380</v>
      </c>
      <c r="BB3558" s="80" t="s">
        <v>20380</v>
      </c>
      <c r="BC3558" s="80" t="s">
        <v>19267</v>
      </c>
      <c r="BD3558" s="77">
        <v>82188004</v>
      </c>
      <c r="BE3558" s="77"/>
      <c r="BF3558" s="77"/>
      <c r="BG3558" s="77"/>
      <c r="BH3558" s="77"/>
      <c r="BI3558" s="77"/>
    </row>
    <row r="3559" spans="1:61" x14ac:dyDescent="0.25">
      <c r="A3559" s="62" t="s">
        <v>1411</v>
      </c>
      <c r="B3559" s="62" t="s">
        <v>1681</v>
      </c>
      <c r="C3559" s="63"/>
      <c r="D3559" s="64"/>
      <c r="E3559" s="65"/>
      <c r="F3559" s="66"/>
      <c r="G3559" s="63"/>
      <c r="H3559" s="67"/>
      <c r="I3559" s="68"/>
      <c r="J3559" s="68"/>
      <c r="K3559" s="32"/>
      <c r="L3559" s="75">
        <v>3559</v>
      </c>
      <c r="M3559" s="75"/>
      <c r="N3559" s="70"/>
      <c r="O3559" s="77" t="s">
        <v>2083</v>
      </c>
      <c r="P3559" s="79">
        <v>45189.749652777777</v>
      </c>
      <c r="Q3559" s="77" t="s">
        <v>2237</v>
      </c>
      <c r="R3559" s="77">
        <v>18</v>
      </c>
      <c r="S3559" s="77">
        <v>0</v>
      </c>
      <c r="T3559" s="77">
        <v>0</v>
      </c>
      <c r="U3559" s="77">
        <v>0</v>
      </c>
      <c r="V3559" s="77"/>
      <c r="W3559" s="80" t="s">
        <v>6018</v>
      </c>
      <c r="X3559" s="77"/>
      <c r="Y3559" s="77"/>
      <c r="Z3559" s="77" t="s">
        <v>1681</v>
      </c>
      <c r="AA3559" s="77"/>
      <c r="AB3559" s="77"/>
      <c r="AC3559" s="80" t="s">
        <v>10540</v>
      </c>
      <c r="AD3559" s="77" t="s">
        <v>10617</v>
      </c>
      <c r="AE3559" s="83" t="str">
        <f>HYPERLINK("https://twitter.com/justinianoneto/status/1704555901049328014")</f>
        <v>https://twitter.com/justinianoneto/status/1704555901049328014</v>
      </c>
      <c r="AF3559" s="79">
        <v>45189.749652777777</v>
      </c>
      <c r="AG3559" s="85">
        <v>45189</v>
      </c>
      <c r="AH3559" s="80" t="s">
        <v>13712</v>
      </c>
      <c r="AI3559" s="77"/>
      <c r="AJ3559" s="77"/>
      <c r="AK3559" s="77"/>
      <c r="AL3559" s="77"/>
      <c r="AM3559" s="77"/>
      <c r="AN3559" s="77"/>
      <c r="AO3559" s="77"/>
      <c r="AP3559" s="77"/>
      <c r="AQ3559" s="77"/>
      <c r="AR3559" s="77"/>
      <c r="AS3559" s="77"/>
      <c r="AT3559" s="77"/>
      <c r="AU3559" s="77"/>
      <c r="AV3559" s="83" t="str">
        <f>HYPERLINK("https://pbs.twimg.com/profile_images/1288852830225391618/9BBgMfHh_normal.jpg")</f>
        <v>https://pbs.twimg.com/profile_images/1288852830225391618/9BBgMfHh_normal.jpg</v>
      </c>
      <c r="AW3559" s="80" t="s">
        <v>19268</v>
      </c>
      <c r="AX3559" s="80" t="s">
        <v>19268</v>
      </c>
      <c r="AY3559" s="77"/>
      <c r="AZ3559" s="80" t="s">
        <v>20380</v>
      </c>
      <c r="BA3559" s="80" t="s">
        <v>20380</v>
      </c>
      <c r="BB3559" s="80" t="s">
        <v>19932</v>
      </c>
      <c r="BC3559" s="80" t="s">
        <v>19932</v>
      </c>
      <c r="BD3559" s="77">
        <v>160525513</v>
      </c>
      <c r="BE3559" s="77"/>
      <c r="BF3559" s="77"/>
      <c r="BG3559" s="77"/>
      <c r="BH3559" s="77"/>
      <c r="BI3559" s="77"/>
    </row>
    <row r="3560" spans="1:61" x14ac:dyDescent="0.25">
      <c r="A3560" s="62" t="s">
        <v>1412</v>
      </c>
      <c r="B3560" s="62" t="s">
        <v>1412</v>
      </c>
      <c r="C3560" s="63"/>
      <c r="D3560" s="64"/>
      <c r="E3560" s="65"/>
      <c r="F3560" s="66"/>
      <c r="G3560" s="63"/>
      <c r="H3560" s="67"/>
      <c r="I3560" s="68"/>
      <c r="J3560" s="68"/>
      <c r="K3560" s="32"/>
      <c r="L3560" s="75">
        <v>3560</v>
      </c>
      <c r="M3560" s="75"/>
      <c r="N3560" s="70"/>
      <c r="O3560" s="77" t="s">
        <v>179</v>
      </c>
      <c r="P3560" s="79">
        <v>45119.604629629626</v>
      </c>
      <c r="Q3560" s="77" t="s">
        <v>5218</v>
      </c>
      <c r="R3560" s="77">
        <v>0</v>
      </c>
      <c r="S3560" s="77">
        <v>0</v>
      </c>
      <c r="T3560" s="77">
        <v>0</v>
      </c>
      <c r="U3560" s="77">
        <v>0</v>
      </c>
      <c r="V3560" s="77">
        <v>181</v>
      </c>
      <c r="W3560" s="80" t="s">
        <v>8100</v>
      </c>
      <c r="X3560" s="83" t="str">
        <f>HYPERLINK("https://bit.ly/3NNlKgv")</f>
        <v>https://bit.ly/3NNlKgv</v>
      </c>
      <c r="Y3560" s="77" t="s">
        <v>8618</v>
      </c>
      <c r="Z3560" s="77"/>
      <c r="AA3560" s="77" t="s">
        <v>10193</v>
      </c>
      <c r="AB3560" s="77" t="s">
        <v>10535</v>
      </c>
      <c r="AC3560" s="80" t="s">
        <v>10541</v>
      </c>
      <c r="AD3560" s="77" t="s">
        <v>10617</v>
      </c>
      <c r="AE3560" s="83" t="str">
        <f>HYPERLINK("https://twitter.com/abranet_brasil/status/1679136195878481920")</f>
        <v>https://twitter.com/abranet_brasil/status/1679136195878481920</v>
      </c>
      <c r="AF3560" s="79">
        <v>45119.604629629626</v>
      </c>
      <c r="AG3560" s="85">
        <v>45119</v>
      </c>
      <c r="AH3560" s="80" t="s">
        <v>13713</v>
      </c>
      <c r="AI3560" s="77" t="b">
        <v>0</v>
      </c>
      <c r="AJ3560" s="77"/>
      <c r="AK3560" s="77"/>
      <c r="AL3560" s="77"/>
      <c r="AM3560" s="77"/>
      <c r="AN3560" s="77"/>
      <c r="AO3560" s="77"/>
      <c r="AP3560" s="77"/>
      <c r="AQ3560" s="77" t="s">
        <v>15673</v>
      </c>
      <c r="AR3560" s="77"/>
      <c r="AS3560" s="77"/>
      <c r="AT3560" s="77"/>
      <c r="AU3560" s="77"/>
      <c r="AV3560" s="83" t="str">
        <f>HYPERLINK("https://pbs.twimg.com/media/F019bljWcAEirrQ.jpg")</f>
        <v>https://pbs.twimg.com/media/F019bljWcAEirrQ.jpg</v>
      </c>
      <c r="AW3560" s="80" t="s">
        <v>19269</v>
      </c>
      <c r="AX3560" s="80" t="s">
        <v>19269</v>
      </c>
      <c r="AY3560" s="77"/>
      <c r="AZ3560" s="80" t="s">
        <v>20380</v>
      </c>
      <c r="BA3560" s="80" t="s">
        <v>20380</v>
      </c>
      <c r="BB3560" s="80" t="s">
        <v>20380</v>
      </c>
      <c r="BC3560" s="80" t="s">
        <v>19269</v>
      </c>
      <c r="BD3560" s="77">
        <v>54925927</v>
      </c>
      <c r="BE3560" s="77"/>
      <c r="BF3560" s="77"/>
      <c r="BG3560" s="77"/>
      <c r="BH3560" s="77"/>
      <c r="BI3560" s="77"/>
    </row>
    <row r="3561" spans="1:61" x14ac:dyDescent="0.25">
      <c r="A3561" s="62" t="s">
        <v>1413</v>
      </c>
      <c r="B3561" s="62" t="s">
        <v>1413</v>
      </c>
      <c r="C3561" s="63"/>
      <c r="D3561" s="64"/>
      <c r="E3561" s="65"/>
      <c r="F3561" s="66"/>
      <c r="G3561" s="63"/>
      <c r="H3561" s="67"/>
      <c r="I3561" s="68"/>
      <c r="J3561" s="68"/>
      <c r="K3561" s="32"/>
      <c r="L3561" s="75">
        <v>3561</v>
      </c>
      <c r="M3561" s="75"/>
      <c r="N3561" s="70"/>
      <c r="O3561" s="77" t="s">
        <v>179</v>
      </c>
      <c r="P3561" s="79">
        <v>45069.677766203706</v>
      </c>
      <c r="Q3561" s="77" t="s">
        <v>5219</v>
      </c>
      <c r="R3561" s="77">
        <v>0</v>
      </c>
      <c r="S3561" s="77">
        <v>2</v>
      </c>
      <c r="T3561" s="77">
        <v>0</v>
      </c>
      <c r="U3561" s="77">
        <v>0</v>
      </c>
      <c r="V3561" s="77">
        <v>201</v>
      </c>
      <c r="W3561" s="80" t="s">
        <v>5884</v>
      </c>
      <c r="X3561" s="77"/>
      <c r="Y3561" s="77"/>
      <c r="Z3561" s="77"/>
      <c r="AA3561" s="77" t="s">
        <v>10194</v>
      </c>
      <c r="AB3561" s="77" t="s">
        <v>10536</v>
      </c>
      <c r="AC3561" s="80" t="s">
        <v>10541</v>
      </c>
      <c r="AD3561" s="77" t="s">
        <v>10620</v>
      </c>
      <c r="AE3561" s="83" t="str">
        <f>HYPERLINK("https://twitter.com/centralentuvida/status/1661043305050783746")</f>
        <v>https://twitter.com/centralentuvida/status/1661043305050783746</v>
      </c>
      <c r="AF3561" s="79">
        <v>45069.677766203706</v>
      </c>
      <c r="AG3561" s="85">
        <v>45069</v>
      </c>
      <c r="AH3561" s="80" t="s">
        <v>13714</v>
      </c>
      <c r="AI3561" s="77" t="b">
        <v>0</v>
      </c>
      <c r="AJ3561" s="77"/>
      <c r="AK3561" s="77"/>
      <c r="AL3561" s="77"/>
      <c r="AM3561" s="77"/>
      <c r="AN3561" s="77"/>
      <c r="AO3561" s="77"/>
      <c r="AP3561" s="77"/>
      <c r="AQ3561" s="77" t="s">
        <v>15674</v>
      </c>
      <c r="AR3561" s="77"/>
      <c r="AS3561" s="77"/>
      <c r="AT3561" s="77"/>
      <c r="AU3561" s="77"/>
      <c r="AV3561" s="83" t="str">
        <f>HYPERLINK("https://pbs.twimg.com/media/Fw01--VWwAcH76Q.jpg")</f>
        <v>https://pbs.twimg.com/media/Fw01--VWwAcH76Q.jpg</v>
      </c>
      <c r="AW3561" s="80" t="s">
        <v>19270</v>
      </c>
      <c r="AX3561" s="80" t="s">
        <v>19270</v>
      </c>
      <c r="AY3561" s="77"/>
      <c r="AZ3561" s="80" t="s">
        <v>20380</v>
      </c>
      <c r="BA3561" s="80" t="s">
        <v>20380</v>
      </c>
      <c r="BB3561" s="80" t="s">
        <v>20380</v>
      </c>
      <c r="BC3561" s="80" t="s">
        <v>19270</v>
      </c>
      <c r="BD3561" s="77">
        <v>547972417</v>
      </c>
      <c r="BE3561" s="77"/>
      <c r="BF3561" s="77"/>
      <c r="BG3561" s="77"/>
      <c r="BH3561" s="77"/>
      <c r="BI3561" s="77"/>
    </row>
    <row r="3562" spans="1:61" x14ac:dyDescent="0.25">
      <c r="A3562" s="62" t="s">
        <v>1413</v>
      </c>
      <c r="B3562" s="62" t="s">
        <v>1413</v>
      </c>
      <c r="C3562" s="63"/>
      <c r="D3562" s="64"/>
      <c r="E3562" s="65"/>
      <c r="F3562" s="66"/>
      <c r="G3562" s="63"/>
      <c r="H3562" s="67"/>
      <c r="I3562" s="68"/>
      <c r="J3562" s="68"/>
      <c r="K3562" s="32"/>
      <c r="L3562" s="75">
        <v>3562</v>
      </c>
      <c r="M3562" s="75"/>
      <c r="N3562" s="70"/>
      <c r="O3562" s="77" t="s">
        <v>2078</v>
      </c>
      <c r="P3562" s="79">
        <v>45145.797291666669</v>
      </c>
      <c r="Q3562" s="77" t="s">
        <v>5220</v>
      </c>
      <c r="R3562" s="77">
        <v>0</v>
      </c>
      <c r="S3562" s="77">
        <v>0</v>
      </c>
      <c r="T3562" s="77">
        <v>0</v>
      </c>
      <c r="U3562" s="77">
        <v>0</v>
      </c>
      <c r="V3562" s="77">
        <v>108</v>
      </c>
      <c r="W3562" s="80" t="s">
        <v>8101</v>
      </c>
      <c r="X3562" s="77"/>
      <c r="Y3562" s="77"/>
      <c r="Z3562" s="77"/>
      <c r="AA3562" s="77" t="s">
        <v>10195</v>
      </c>
      <c r="AB3562" s="77" t="s">
        <v>10535</v>
      </c>
      <c r="AC3562" s="80" t="s">
        <v>10541</v>
      </c>
      <c r="AD3562" s="77" t="s">
        <v>10620</v>
      </c>
      <c r="AE3562" s="83" t="str">
        <f>HYPERLINK("https://twitter.com/centralentuvida/status/1688628098974044160")</f>
        <v>https://twitter.com/centralentuvida/status/1688628098974044160</v>
      </c>
      <c r="AF3562" s="79">
        <v>45145.797291666669</v>
      </c>
      <c r="AG3562" s="85">
        <v>45145</v>
      </c>
      <c r="AH3562" s="80" t="s">
        <v>13715</v>
      </c>
      <c r="AI3562" s="77" t="b">
        <v>0</v>
      </c>
      <c r="AJ3562" s="77"/>
      <c r="AK3562" s="77"/>
      <c r="AL3562" s="77"/>
      <c r="AM3562" s="77"/>
      <c r="AN3562" s="77"/>
      <c r="AO3562" s="77"/>
      <c r="AP3562" s="77"/>
      <c r="AQ3562" s="77" t="s">
        <v>15675</v>
      </c>
      <c r="AR3562" s="77"/>
      <c r="AS3562" s="77"/>
      <c r="AT3562" s="77"/>
      <c r="AU3562" s="77"/>
      <c r="AV3562" s="83" t="str">
        <f>HYPERLINK("https://pbs.twimg.com/media/F282ShrWkAAwM4v.png")</f>
        <v>https://pbs.twimg.com/media/F282ShrWkAAwM4v.png</v>
      </c>
      <c r="AW3562" s="80" t="s">
        <v>19271</v>
      </c>
      <c r="AX3562" s="80" t="s">
        <v>20174</v>
      </c>
      <c r="AY3562" s="80" t="s">
        <v>20355</v>
      </c>
      <c r="AZ3562" s="80" t="s">
        <v>20174</v>
      </c>
      <c r="BA3562" s="80" t="s">
        <v>20380</v>
      </c>
      <c r="BB3562" s="80" t="s">
        <v>20380</v>
      </c>
      <c r="BC3562" s="80" t="s">
        <v>20174</v>
      </c>
      <c r="BD3562" s="77">
        <v>547972417</v>
      </c>
      <c r="BE3562" s="77"/>
      <c r="BF3562" s="77"/>
      <c r="BG3562" s="77"/>
      <c r="BH3562" s="77"/>
      <c r="BI3562" s="77"/>
    </row>
    <row r="3563" spans="1:61" x14ac:dyDescent="0.25">
      <c r="A3563" s="62" t="s">
        <v>1414</v>
      </c>
      <c r="B3563" s="62" t="s">
        <v>2034</v>
      </c>
      <c r="C3563" s="63"/>
      <c r="D3563" s="64"/>
      <c r="E3563" s="65"/>
      <c r="F3563" s="66"/>
      <c r="G3563" s="63"/>
      <c r="H3563" s="67"/>
      <c r="I3563" s="68"/>
      <c r="J3563" s="68"/>
      <c r="K3563" s="32"/>
      <c r="L3563" s="75">
        <v>3563</v>
      </c>
      <c r="M3563" s="75"/>
      <c r="N3563" s="70"/>
      <c r="O3563" s="77" t="s">
        <v>2078</v>
      </c>
      <c r="P3563" s="79">
        <v>45196.913310185184</v>
      </c>
      <c r="Q3563" s="77" t="s">
        <v>5221</v>
      </c>
      <c r="R3563" s="77">
        <v>0</v>
      </c>
      <c r="S3563" s="77">
        <v>4</v>
      </c>
      <c r="T3563" s="77">
        <v>0</v>
      </c>
      <c r="U3563" s="77">
        <v>0</v>
      </c>
      <c r="V3563" s="77">
        <v>273</v>
      </c>
      <c r="W3563" s="80" t="s">
        <v>5884</v>
      </c>
      <c r="X3563" s="77"/>
      <c r="Y3563" s="77"/>
      <c r="Z3563" s="77" t="s">
        <v>9018</v>
      </c>
      <c r="AA3563" s="77"/>
      <c r="AB3563" s="77"/>
      <c r="AC3563" s="80" t="s">
        <v>10540</v>
      </c>
      <c r="AD3563" s="77" t="s">
        <v>10620</v>
      </c>
      <c r="AE3563" s="83" t="str">
        <f>HYPERLINK("https://twitter.com/danybuccolo/status/1707151923072073809")</f>
        <v>https://twitter.com/danybuccolo/status/1707151923072073809</v>
      </c>
      <c r="AF3563" s="79">
        <v>45196.913310185184</v>
      </c>
      <c r="AG3563" s="85">
        <v>45196</v>
      </c>
      <c r="AH3563" s="80" t="s">
        <v>13716</v>
      </c>
      <c r="AI3563" s="77"/>
      <c r="AJ3563" s="77"/>
      <c r="AK3563" s="77"/>
      <c r="AL3563" s="77"/>
      <c r="AM3563" s="77"/>
      <c r="AN3563" s="77"/>
      <c r="AO3563" s="77"/>
      <c r="AP3563" s="77"/>
      <c r="AQ3563" s="77"/>
      <c r="AR3563" s="77"/>
      <c r="AS3563" s="77"/>
      <c r="AT3563" s="77"/>
      <c r="AU3563" s="77"/>
      <c r="AV3563" s="83" t="str">
        <f>HYPERLINK("https://pbs.twimg.com/profile_images/1608579362130886657/UT2_IVYr_normal.jpg")</f>
        <v>https://pbs.twimg.com/profile_images/1608579362130886657/UT2_IVYr_normal.jpg</v>
      </c>
      <c r="AW3563" s="80" t="s">
        <v>19272</v>
      </c>
      <c r="AX3563" s="80" t="s">
        <v>20175</v>
      </c>
      <c r="AY3563" s="80" t="s">
        <v>20356</v>
      </c>
      <c r="AZ3563" s="80" t="s">
        <v>20175</v>
      </c>
      <c r="BA3563" s="80" t="s">
        <v>20380</v>
      </c>
      <c r="BB3563" s="80" t="s">
        <v>20380</v>
      </c>
      <c r="BC3563" s="80" t="s">
        <v>20175</v>
      </c>
      <c r="BD3563" s="80" t="s">
        <v>21076</v>
      </c>
      <c r="BE3563" s="77"/>
      <c r="BF3563" s="77"/>
      <c r="BG3563" s="77"/>
      <c r="BH3563" s="77"/>
      <c r="BI3563" s="77"/>
    </row>
    <row r="3564" spans="1:61" x14ac:dyDescent="0.25">
      <c r="A3564" s="62" t="s">
        <v>1414</v>
      </c>
      <c r="B3564" s="62" t="s">
        <v>2029</v>
      </c>
      <c r="C3564" s="63"/>
      <c r="D3564" s="64"/>
      <c r="E3564" s="65"/>
      <c r="F3564" s="66"/>
      <c r="G3564" s="63"/>
      <c r="H3564" s="67"/>
      <c r="I3564" s="68"/>
      <c r="J3564" s="68"/>
      <c r="K3564" s="32"/>
      <c r="L3564" s="75">
        <v>3564</v>
      </c>
      <c r="M3564" s="75"/>
      <c r="N3564" s="70"/>
      <c r="O3564" s="77" t="s">
        <v>2079</v>
      </c>
      <c r="P3564" s="79">
        <v>45196.913310185184</v>
      </c>
      <c r="Q3564" s="77" t="s">
        <v>5221</v>
      </c>
      <c r="R3564" s="77">
        <v>0</v>
      </c>
      <c r="S3564" s="77">
        <v>4</v>
      </c>
      <c r="T3564" s="77">
        <v>0</v>
      </c>
      <c r="U3564" s="77">
        <v>0</v>
      </c>
      <c r="V3564" s="77">
        <v>273</v>
      </c>
      <c r="W3564" s="80" t="s">
        <v>5884</v>
      </c>
      <c r="X3564" s="77"/>
      <c r="Y3564" s="77"/>
      <c r="Z3564" s="77" t="s">
        <v>9018</v>
      </c>
      <c r="AA3564" s="77"/>
      <c r="AB3564" s="77"/>
      <c r="AC3564" s="80" t="s">
        <v>10540</v>
      </c>
      <c r="AD3564" s="77" t="s">
        <v>10620</v>
      </c>
      <c r="AE3564" s="83" t="str">
        <f>HYPERLINK("https://twitter.com/danybuccolo/status/1707151923072073809")</f>
        <v>https://twitter.com/danybuccolo/status/1707151923072073809</v>
      </c>
      <c r="AF3564" s="79">
        <v>45196.913310185184</v>
      </c>
      <c r="AG3564" s="85">
        <v>45196</v>
      </c>
      <c r="AH3564" s="80" t="s">
        <v>13716</v>
      </c>
      <c r="AI3564" s="77"/>
      <c r="AJ3564" s="77"/>
      <c r="AK3564" s="77"/>
      <c r="AL3564" s="77"/>
      <c r="AM3564" s="77"/>
      <c r="AN3564" s="77"/>
      <c r="AO3564" s="77"/>
      <c r="AP3564" s="77"/>
      <c r="AQ3564" s="77"/>
      <c r="AR3564" s="77"/>
      <c r="AS3564" s="77"/>
      <c r="AT3564" s="77"/>
      <c r="AU3564" s="77"/>
      <c r="AV3564" s="83" t="str">
        <f>HYPERLINK("https://pbs.twimg.com/profile_images/1608579362130886657/UT2_IVYr_normal.jpg")</f>
        <v>https://pbs.twimg.com/profile_images/1608579362130886657/UT2_IVYr_normal.jpg</v>
      </c>
      <c r="AW3564" s="80" t="s">
        <v>19272</v>
      </c>
      <c r="AX3564" s="80" t="s">
        <v>20175</v>
      </c>
      <c r="AY3564" s="80" t="s">
        <v>20356</v>
      </c>
      <c r="AZ3564" s="80" t="s">
        <v>20175</v>
      </c>
      <c r="BA3564" s="80" t="s">
        <v>20380</v>
      </c>
      <c r="BB3564" s="80" t="s">
        <v>20380</v>
      </c>
      <c r="BC3564" s="80" t="s">
        <v>20175</v>
      </c>
      <c r="BD3564" s="80" t="s">
        <v>21076</v>
      </c>
      <c r="BE3564" s="77"/>
      <c r="BF3564" s="77"/>
      <c r="BG3564" s="77"/>
      <c r="BH3564" s="77"/>
      <c r="BI3564" s="77"/>
    </row>
    <row r="3565" spans="1:61" x14ac:dyDescent="0.25">
      <c r="A3565" s="62" t="s">
        <v>1415</v>
      </c>
      <c r="B3565" s="62" t="s">
        <v>1415</v>
      </c>
      <c r="C3565" s="63"/>
      <c r="D3565" s="64"/>
      <c r="E3565" s="65"/>
      <c r="F3565" s="66"/>
      <c r="G3565" s="63"/>
      <c r="H3565" s="67"/>
      <c r="I3565" s="68"/>
      <c r="J3565" s="68"/>
      <c r="K3565" s="32"/>
      <c r="L3565" s="75">
        <v>3565</v>
      </c>
      <c r="M3565" s="75"/>
      <c r="N3565" s="70"/>
      <c r="O3565" s="77" t="s">
        <v>179</v>
      </c>
      <c r="P3565" s="79">
        <v>45072.688159722224</v>
      </c>
      <c r="Q3565" s="77" t="s">
        <v>5222</v>
      </c>
      <c r="R3565" s="77">
        <v>1</v>
      </c>
      <c r="S3565" s="77">
        <v>1</v>
      </c>
      <c r="T3565" s="77">
        <v>0</v>
      </c>
      <c r="U3565" s="77">
        <v>0</v>
      </c>
      <c r="V3565" s="77">
        <v>298</v>
      </c>
      <c r="W3565" s="80" t="s">
        <v>5884</v>
      </c>
      <c r="X3565" s="83" t="str">
        <f>HYPERLINK("https://radio3cadenapatagonia.com.ar/el-banco-central-lleva-tres-semanas-consecutivas-de-compras-en-el-mercado-cambiario/")</f>
        <v>https://radio3cadenapatagonia.com.ar/el-banco-central-lleva-tres-semanas-consecutivas-de-compras-en-el-mercado-cambiario/</v>
      </c>
      <c r="Y3565" s="77" t="s">
        <v>8624</v>
      </c>
      <c r="Z3565" s="77"/>
      <c r="AA3565" s="77"/>
      <c r="AB3565" s="77"/>
      <c r="AC3565" s="80" t="s">
        <v>10541</v>
      </c>
      <c r="AD3565" s="77" t="s">
        <v>10620</v>
      </c>
      <c r="AE3565" s="83" t="str">
        <f>HYPERLINK("https://twitter.com/radio3trelew/status/1662134235501608961")</f>
        <v>https://twitter.com/radio3trelew/status/1662134235501608961</v>
      </c>
      <c r="AF3565" s="79">
        <v>45072.688159722224</v>
      </c>
      <c r="AG3565" s="85">
        <v>45072</v>
      </c>
      <c r="AH3565" s="80" t="s">
        <v>13717</v>
      </c>
      <c r="AI3565" s="77" t="b">
        <v>0</v>
      </c>
      <c r="AJ3565" s="77"/>
      <c r="AK3565" s="77"/>
      <c r="AL3565" s="77"/>
      <c r="AM3565" s="77"/>
      <c r="AN3565" s="77"/>
      <c r="AO3565" s="77"/>
      <c r="AP3565" s="77"/>
      <c r="AQ3565" s="77"/>
      <c r="AR3565" s="77"/>
      <c r="AS3565" s="77"/>
      <c r="AT3565" s="77"/>
      <c r="AU3565" s="77"/>
      <c r="AV3565" s="83" t="str">
        <f>HYPERLINK("https://pbs.twimg.com/profile_images/1349494197506727942/FOcIJhSB_normal.jpg")</f>
        <v>https://pbs.twimg.com/profile_images/1349494197506727942/FOcIJhSB_normal.jpg</v>
      </c>
      <c r="AW3565" s="80" t="s">
        <v>19273</v>
      </c>
      <c r="AX3565" s="80" t="s">
        <v>19273</v>
      </c>
      <c r="AY3565" s="77"/>
      <c r="AZ3565" s="80" t="s">
        <v>20380</v>
      </c>
      <c r="BA3565" s="80" t="s">
        <v>20380</v>
      </c>
      <c r="BB3565" s="80" t="s">
        <v>20380</v>
      </c>
      <c r="BC3565" s="80" t="s">
        <v>19273</v>
      </c>
      <c r="BD3565" s="77">
        <v>2333499318</v>
      </c>
      <c r="BE3565" s="77"/>
      <c r="BF3565" s="77"/>
      <c r="BG3565" s="77"/>
      <c r="BH3565" s="77"/>
      <c r="BI3565" s="77"/>
    </row>
    <row r="3566" spans="1:61" x14ac:dyDescent="0.25">
      <c r="A3566" s="62" t="s">
        <v>1415</v>
      </c>
      <c r="B3566" s="62" t="s">
        <v>1415</v>
      </c>
      <c r="C3566" s="63"/>
      <c r="D3566" s="64"/>
      <c r="E3566" s="65"/>
      <c r="F3566" s="66"/>
      <c r="G3566" s="63"/>
      <c r="H3566" s="67"/>
      <c r="I3566" s="68"/>
      <c r="J3566" s="68"/>
      <c r="K3566" s="32"/>
      <c r="L3566" s="75">
        <v>3566</v>
      </c>
      <c r="M3566" s="75"/>
      <c r="N3566" s="70"/>
      <c r="O3566" s="77" t="s">
        <v>179</v>
      </c>
      <c r="P3566" s="79">
        <v>45071.46435185185</v>
      </c>
      <c r="Q3566" s="77" t="s">
        <v>5223</v>
      </c>
      <c r="R3566" s="77">
        <v>0</v>
      </c>
      <c r="S3566" s="77">
        <v>0</v>
      </c>
      <c r="T3566" s="77">
        <v>0</v>
      </c>
      <c r="U3566" s="77">
        <v>0</v>
      </c>
      <c r="V3566" s="77">
        <v>164</v>
      </c>
      <c r="W3566" s="80" t="s">
        <v>8102</v>
      </c>
      <c r="X3566" s="83" t="str">
        <f>HYPERLINK("https://radio3cadenapatagonia.com.ar/pidieron-al-banco-central-derogar-norma-que-impide-a-productores-tomar-creditos/")</f>
        <v>https://radio3cadenapatagonia.com.ar/pidieron-al-banco-central-derogar-norma-que-impide-a-productores-tomar-creditos/</v>
      </c>
      <c r="Y3566" s="77" t="s">
        <v>8624</v>
      </c>
      <c r="Z3566" s="77"/>
      <c r="AA3566" s="77"/>
      <c r="AB3566" s="77"/>
      <c r="AC3566" s="80" t="s">
        <v>10541</v>
      </c>
      <c r="AD3566" s="77" t="s">
        <v>10620</v>
      </c>
      <c r="AE3566" s="83" t="str">
        <f>HYPERLINK("https://twitter.com/radio3trelew/status/1661690741939224576")</f>
        <v>https://twitter.com/radio3trelew/status/1661690741939224576</v>
      </c>
      <c r="AF3566" s="79">
        <v>45071.46435185185</v>
      </c>
      <c r="AG3566" s="85">
        <v>45071</v>
      </c>
      <c r="AH3566" s="80" t="s">
        <v>13718</v>
      </c>
      <c r="AI3566" s="77" t="b">
        <v>0</v>
      </c>
      <c r="AJ3566" s="77"/>
      <c r="AK3566" s="77"/>
      <c r="AL3566" s="77"/>
      <c r="AM3566" s="77"/>
      <c r="AN3566" s="77"/>
      <c r="AO3566" s="77"/>
      <c r="AP3566" s="77"/>
      <c r="AQ3566" s="77"/>
      <c r="AR3566" s="77"/>
      <c r="AS3566" s="77"/>
      <c r="AT3566" s="77"/>
      <c r="AU3566" s="77"/>
      <c r="AV3566" s="83" t="str">
        <f>HYPERLINK("https://pbs.twimg.com/profile_images/1349494197506727942/FOcIJhSB_normal.jpg")</f>
        <v>https://pbs.twimg.com/profile_images/1349494197506727942/FOcIJhSB_normal.jpg</v>
      </c>
      <c r="AW3566" s="80" t="s">
        <v>19274</v>
      </c>
      <c r="AX3566" s="80" t="s">
        <v>19274</v>
      </c>
      <c r="AY3566" s="77"/>
      <c r="AZ3566" s="80" t="s">
        <v>20380</v>
      </c>
      <c r="BA3566" s="80" t="s">
        <v>20380</v>
      </c>
      <c r="BB3566" s="80" t="s">
        <v>20380</v>
      </c>
      <c r="BC3566" s="80" t="s">
        <v>19274</v>
      </c>
      <c r="BD3566" s="77">
        <v>2333499318</v>
      </c>
      <c r="BE3566" s="77"/>
      <c r="BF3566" s="77"/>
      <c r="BG3566" s="77"/>
      <c r="BH3566" s="77"/>
      <c r="BI3566" s="77"/>
    </row>
    <row r="3567" spans="1:61" x14ac:dyDescent="0.25">
      <c r="A3567" s="62" t="s">
        <v>1416</v>
      </c>
      <c r="B3567" s="62" t="s">
        <v>1655</v>
      </c>
      <c r="C3567" s="63"/>
      <c r="D3567" s="64"/>
      <c r="E3567" s="65"/>
      <c r="F3567" s="66"/>
      <c r="G3567" s="63"/>
      <c r="H3567" s="67"/>
      <c r="I3567" s="68"/>
      <c r="J3567" s="68"/>
      <c r="K3567" s="32"/>
      <c r="L3567" s="75">
        <v>3567</v>
      </c>
      <c r="M3567" s="75"/>
      <c r="N3567" s="70"/>
      <c r="O3567" s="77" t="s">
        <v>2083</v>
      </c>
      <c r="P3567" s="79">
        <v>45191.172025462962</v>
      </c>
      <c r="Q3567" s="77" t="s">
        <v>2120</v>
      </c>
      <c r="R3567" s="77">
        <v>57</v>
      </c>
      <c r="S3567" s="77">
        <v>0</v>
      </c>
      <c r="T3567" s="77">
        <v>0</v>
      </c>
      <c r="U3567" s="77">
        <v>0</v>
      </c>
      <c r="V3567" s="77"/>
      <c r="W3567" s="80" t="s">
        <v>5917</v>
      </c>
      <c r="X3567" s="77"/>
      <c r="Y3567" s="77"/>
      <c r="Z3567" s="77" t="s">
        <v>1655</v>
      </c>
      <c r="AA3567" s="77"/>
      <c r="AB3567" s="77"/>
      <c r="AC3567" s="80" t="s">
        <v>10540</v>
      </c>
      <c r="AD3567" s="77" t="s">
        <v>10617</v>
      </c>
      <c r="AE3567" s="83" t="str">
        <f>HYPERLINK("https://twitter.com/girafales15/status/1705071351340380551")</f>
        <v>https://twitter.com/girafales15/status/1705071351340380551</v>
      </c>
      <c r="AF3567" s="79">
        <v>45191.172025462962</v>
      </c>
      <c r="AG3567" s="85">
        <v>45191</v>
      </c>
      <c r="AH3567" s="80" t="s">
        <v>13719</v>
      </c>
      <c r="AI3567" s="77"/>
      <c r="AJ3567" s="77"/>
      <c r="AK3567" s="77"/>
      <c r="AL3567" s="77"/>
      <c r="AM3567" s="77"/>
      <c r="AN3567" s="77"/>
      <c r="AO3567" s="77"/>
      <c r="AP3567" s="77"/>
      <c r="AQ3567" s="77"/>
      <c r="AR3567" s="77"/>
      <c r="AS3567" s="77"/>
      <c r="AT3567" s="77"/>
      <c r="AU3567" s="77"/>
      <c r="AV3567" s="83" t="str">
        <f>HYPERLINK("https://pbs.twimg.com/profile_images/1543713897873657860/G7Vci2Ic_normal.jpg")</f>
        <v>https://pbs.twimg.com/profile_images/1543713897873657860/G7Vci2Ic_normal.jpg</v>
      </c>
      <c r="AW3567" s="80" t="s">
        <v>19275</v>
      </c>
      <c r="AX3567" s="80" t="s">
        <v>19275</v>
      </c>
      <c r="AY3567" s="77"/>
      <c r="AZ3567" s="80" t="s">
        <v>20380</v>
      </c>
      <c r="BA3567" s="80" t="s">
        <v>20380</v>
      </c>
      <c r="BB3567" s="80" t="s">
        <v>19843</v>
      </c>
      <c r="BC3567" s="80" t="s">
        <v>19843</v>
      </c>
      <c r="BD3567" s="80" t="s">
        <v>21077</v>
      </c>
      <c r="BE3567" s="77"/>
      <c r="BF3567" s="77"/>
      <c r="BG3567" s="77"/>
      <c r="BH3567" s="77"/>
      <c r="BI3567" s="77"/>
    </row>
    <row r="3568" spans="1:61" x14ac:dyDescent="0.25">
      <c r="A3568" s="62" t="s">
        <v>1417</v>
      </c>
      <c r="B3568" s="62" t="s">
        <v>1417</v>
      </c>
      <c r="C3568" s="63"/>
      <c r="D3568" s="64"/>
      <c r="E3568" s="65"/>
      <c r="F3568" s="66"/>
      <c r="G3568" s="63"/>
      <c r="H3568" s="67"/>
      <c r="I3568" s="68"/>
      <c r="J3568" s="68"/>
      <c r="K3568" s="32"/>
      <c r="L3568" s="75">
        <v>3568</v>
      </c>
      <c r="M3568" s="75"/>
      <c r="N3568" s="70"/>
      <c r="O3568" s="77" t="s">
        <v>2078</v>
      </c>
      <c r="P3568" s="79">
        <v>45098.524421296293</v>
      </c>
      <c r="Q3568" s="77" t="s">
        <v>5224</v>
      </c>
      <c r="R3568" s="77">
        <v>0</v>
      </c>
      <c r="S3568" s="77">
        <v>0</v>
      </c>
      <c r="T3568" s="77">
        <v>1</v>
      </c>
      <c r="U3568" s="77">
        <v>0</v>
      </c>
      <c r="V3568" s="77">
        <v>33</v>
      </c>
      <c r="W3568" s="80" t="s">
        <v>8103</v>
      </c>
      <c r="X3568" s="77"/>
      <c r="Y3568" s="77"/>
      <c r="Z3568" s="77"/>
      <c r="AA3568" s="77"/>
      <c r="AB3568" s="77"/>
      <c r="AC3568" s="80" t="s">
        <v>10540</v>
      </c>
      <c r="AD3568" s="77" t="s">
        <v>10617</v>
      </c>
      <c r="AE3568" s="83" t="str">
        <f>HYPERLINK("https://twitter.com/potato_182/status/1671496985688395777")</f>
        <v>https://twitter.com/potato_182/status/1671496985688395777</v>
      </c>
      <c r="AF3568" s="79">
        <v>45098.524421296293</v>
      </c>
      <c r="AG3568" s="85">
        <v>45098</v>
      </c>
      <c r="AH3568" s="80" t="s">
        <v>13720</v>
      </c>
      <c r="AI3568" s="77"/>
      <c r="AJ3568" s="77"/>
      <c r="AK3568" s="77"/>
      <c r="AL3568" s="77"/>
      <c r="AM3568" s="77"/>
      <c r="AN3568" s="77"/>
      <c r="AO3568" s="77"/>
      <c r="AP3568" s="77"/>
      <c r="AQ3568" s="77"/>
      <c r="AR3568" s="77"/>
      <c r="AS3568" s="77"/>
      <c r="AT3568" s="77"/>
      <c r="AU3568" s="77"/>
      <c r="AV3568" s="83" t="str">
        <f>HYPERLINK("https://pbs.twimg.com/profile_images/1630357830791225348/RQpBn63d_normal.png")</f>
        <v>https://pbs.twimg.com/profile_images/1630357830791225348/RQpBn63d_normal.png</v>
      </c>
      <c r="AW3568" s="80" t="s">
        <v>19276</v>
      </c>
      <c r="AX3568" s="80" t="s">
        <v>20176</v>
      </c>
      <c r="AY3568" s="80" t="s">
        <v>20357</v>
      </c>
      <c r="AZ3568" s="80" t="s">
        <v>20467</v>
      </c>
      <c r="BA3568" s="80" t="s">
        <v>20380</v>
      </c>
      <c r="BB3568" s="80" t="s">
        <v>20380</v>
      </c>
      <c r="BC3568" s="80" t="s">
        <v>20467</v>
      </c>
      <c r="BD3568" s="80" t="s">
        <v>20357</v>
      </c>
      <c r="BE3568" s="77"/>
      <c r="BF3568" s="77"/>
      <c r="BG3568" s="77"/>
      <c r="BH3568" s="77"/>
      <c r="BI3568" s="77"/>
    </row>
    <row r="3569" spans="1:61" x14ac:dyDescent="0.25">
      <c r="A3569" s="62" t="s">
        <v>1418</v>
      </c>
      <c r="B3569" s="62" t="s">
        <v>1418</v>
      </c>
      <c r="C3569" s="63"/>
      <c r="D3569" s="64"/>
      <c r="E3569" s="65"/>
      <c r="F3569" s="66"/>
      <c r="G3569" s="63"/>
      <c r="H3569" s="67"/>
      <c r="I3569" s="68"/>
      <c r="J3569" s="68"/>
      <c r="K3569" s="32"/>
      <c r="L3569" s="75">
        <v>3569</v>
      </c>
      <c r="M3569" s="75"/>
      <c r="N3569" s="70"/>
      <c r="O3569" s="77" t="s">
        <v>179</v>
      </c>
      <c r="P3569" s="79">
        <v>45062.828067129631</v>
      </c>
      <c r="Q3569" s="77" t="s">
        <v>5225</v>
      </c>
      <c r="R3569" s="77">
        <v>1</v>
      </c>
      <c r="S3569" s="77">
        <v>8</v>
      </c>
      <c r="T3569" s="77">
        <v>0</v>
      </c>
      <c r="U3569" s="77">
        <v>0</v>
      </c>
      <c r="V3569" s="77">
        <v>1225</v>
      </c>
      <c r="W3569" s="80" t="s">
        <v>8104</v>
      </c>
      <c r="X3569" s="83" t="str">
        <f>HYPERLINK("http://bandnewstv.com.br/")</f>
        <v>http://bandnewstv.com.br/</v>
      </c>
      <c r="Y3569" s="77" t="s">
        <v>8611</v>
      </c>
      <c r="Z3569" s="77"/>
      <c r="AA3569" s="77" t="s">
        <v>10196</v>
      </c>
      <c r="AB3569" s="77" t="s">
        <v>10534</v>
      </c>
      <c r="AC3569" s="80" t="s">
        <v>10600</v>
      </c>
      <c r="AD3569" s="77" t="s">
        <v>10617</v>
      </c>
      <c r="AE3569" s="83" t="str">
        <f>HYPERLINK("https://twitter.com/bandnewstv/status/1658561057051365376")</f>
        <v>https://twitter.com/bandnewstv/status/1658561057051365376</v>
      </c>
      <c r="AF3569" s="79">
        <v>45062.828067129631</v>
      </c>
      <c r="AG3569" s="85">
        <v>45062</v>
      </c>
      <c r="AH3569" s="80" t="s">
        <v>13721</v>
      </c>
      <c r="AI3569" s="77" t="b">
        <v>0</v>
      </c>
      <c r="AJ3569" s="77"/>
      <c r="AK3569" s="77"/>
      <c r="AL3569" s="77"/>
      <c r="AM3569" s="77"/>
      <c r="AN3569" s="77"/>
      <c r="AO3569" s="77"/>
      <c r="AP3569" s="77"/>
      <c r="AQ3569" s="77" t="s">
        <v>15676</v>
      </c>
      <c r="AR3569" s="77">
        <v>44582</v>
      </c>
      <c r="AS3569" s="77"/>
      <c r="AT3569" s="77"/>
      <c r="AU3569" s="77"/>
      <c r="AV3569" s="83" t="str">
        <f>HYPERLINK("https://pbs.twimg.com/amplify_video_thumb/1658561008766443520/img/Hhy_5tCvN4vQ31zI.jpg")</f>
        <v>https://pbs.twimg.com/amplify_video_thumb/1658561008766443520/img/Hhy_5tCvN4vQ31zI.jpg</v>
      </c>
      <c r="AW3569" s="80" t="s">
        <v>19277</v>
      </c>
      <c r="AX3569" s="80" t="s">
        <v>19277</v>
      </c>
      <c r="AY3569" s="77"/>
      <c r="AZ3569" s="80" t="s">
        <v>20380</v>
      </c>
      <c r="BA3569" s="80" t="s">
        <v>20380</v>
      </c>
      <c r="BB3569" s="80" t="s">
        <v>20380</v>
      </c>
      <c r="BC3569" s="80" t="s">
        <v>19277</v>
      </c>
      <c r="BD3569" s="77">
        <v>64851983</v>
      </c>
      <c r="BE3569" s="77"/>
      <c r="BF3569" s="77"/>
      <c r="BG3569" s="77"/>
      <c r="BH3569" s="77"/>
      <c r="BI3569" s="77"/>
    </row>
    <row r="3570" spans="1:61" x14ac:dyDescent="0.25">
      <c r="A3570" s="62" t="s">
        <v>1419</v>
      </c>
      <c r="B3570" s="62" t="s">
        <v>1419</v>
      </c>
      <c r="C3570" s="63"/>
      <c r="D3570" s="64"/>
      <c r="E3570" s="65"/>
      <c r="F3570" s="66"/>
      <c r="G3570" s="63"/>
      <c r="H3570" s="67"/>
      <c r="I3570" s="68"/>
      <c r="J3570" s="68"/>
      <c r="K3570" s="32"/>
      <c r="L3570" s="75">
        <v>3570</v>
      </c>
      <c r="M3570" s="75"/>
      <c r="N3570" s="70"/>
      <c r="O3570" s="77" t="s">
        <v>179</v>
      </c>
      <c r="P3570" s="79">
        <v>45050.081087962964</v>
      </c>
      <c r="Q3570" s="77" t="s">
        <v>5226</v>
      </c>
      <c r="R3570" s="77">
        <v>0</v>
      </c>
      <c r="S3570" s="77">
        <v>0</v>
      </c>
      <c r="T3570" s="77">
        <v>0</v>
      </c>
      <c r="U3570" s="77">
        <v>0</v>
      </c>
      <c r="V3570" s="77">
        <v>45</v>
      </c>
      <c r="W3570" s="80" t="s">
        <v>8105</v>
      </c>
      <c r="X3570" s="83" t="str">
        <f>HYPERLINK("https://ift.tt/pwgHVau")</f>
        <v>https://ift.tt/pwgHVau</v>
      </c>
      <c r="Y3570" s="77" t="s">
        <v>8696</v>
      </c>
      <c r="Z3570" s="77"/>
      <c r="AA3570" s="77"/>
      <c r="AB3570" s="77"/>
      <c r="AC3570" s="80" t="s">
        <v>10573</v>
      </c>
      <c r="AD3570" s="77" t="s">
        <v>10617</v>
      </c>
      <c r="AE3570" s="83" t="str">
        <f>HYPERLINK("https://twitter.com/evertondantas/status/1653941707472248837")</f>
        <v>https://twitter.com/evertondantas/status/1653941707472248837</v>
      </c>
      <c r="AF3570" s="79">
        <v>45050.081087962964</v>
      </c>
      <c r="AG3570" s="85">
        <v>45050</v>
      </c>
      <c r="AH3570" s="80" t="s">
        <v>13722</v>
      </c>
      <c r="AI3570" s="77" t="b">
        <v>0</v>
      </c>
      <c r="AJ3570" s="77"/>
      <c r="AK3570" s="77"/>
      <c r="AL3570" s="77"/>
      <c r="AM3570" s="77"/>
      <c r="AN3570" s="77"/>
      <c r="AO3570" s="77"/>
      <c r="AP3570" s="77"/>
      <c r="AQ3570" s="77"/>
      <c r="AR3570" s="77"/>
      <c r="AS3570" s="77"/>
      <c r="AT3570" s="77"/>
      <c r="AU3570" s="77"/>
      <c r="AV3570" s="83" t="str">
        <f>HYPERLINK("https://pbs.twimg.com/profile_images/1688729005489291264/O1iWz91z_normal.jpg")</f>
        <v>https://pbs.twimg.com/profile_images/1688729005489291264/O1iWz91z_normal.jpg</v>
      </c>
      <c r="AW3570" s="80" t="s">
        <v>19278</v>
      </c>
      <c r="AX3570" s="80" t="s">
        <v>19278</v>
      </c>
      <c r="AY3570" s="77"/>
      <c r="AZ3570" s="80" t="s">
        <v>20380</v>
      </c>
      <c r="BA3570" s="80" t="s">
        <v>20380</v>
      </c>
      <c r="BB3570" s="80" t="s">
        <v>20380</v>
      </c>
      <c r="BC3570" s="80" t="s">
        <v>19278</v>
      </c>
      <c r="BD3570" s="77">
        <v>16832442</v>
      </c>
      <c r="BE3570" s="77"/>
      <c r="BF3570" s="77"/>
      <c r="BG3570" s="77"/>
      <c r="BH3570" s="77"/>
      <c r="BI3570" s="77"/>
    </row>
    <row r="3571" spans="1:61" x14ac:dyDescent="0.25">
      <c r="A3571" s="62" t="s">
        <v>1419</v>
      </c>
      <c r="B3571" s="62" t="s">
        <v>1419</v>
      </c>
      <c r="C3571" s="63"/>
      <c r="D3571" s="64"/>
      <c r="E3571" s="65"/>
      <c r="F3571" s="66"/>
      <c r="G3571" s="63"/>
      <c r="H3571" s="67"/>
      <c r="I3571" s="68"/>
      <c r="J3571" s="68"/>
      <c r="K3571" s="32"/>
      <c r="L3571" s="75">
        <v>3571</v>
      </c>
      <c r="M3571" s="75"/>
      <c r="N3571" s="70"/>
      <c r="O3571" s="77" t="s">
        <v>179</v>
      </c>
      <c r="P3571" s="79">
        <v>45048.789375</v>
      </c>
      <c r="Q3571" s="77" t="s">
        <v>5227</v>
      </c>
      <c r="R3571" s="77">
        <v>0</v>
      </c>
      <c r="S3571" s="77">
        <v>0</v>
      </c>
      <c r="T3571" s="77">
        <v>0</v>
      </c>
      <c r="U3571" s="77">
        <v>0</v>
      </c>
      <c r="V3571" s="77">
        <v>24</v>
      </c>
      <c r="W3571" s="80" t="s">
        <v>8106</v>
      </c>
      <c r="X3571" s="83" t="str">
        <f>HYPERLINK("https://ift.tt/Umoh7qG")</f>
        <v>https://ift.tt/Umoh7qG</v>
      </c>
      <c r="Y3571" s="77" t="s">
        <v>8696</v>
      </c>
      <c r="Z3571" s="77"/>
      <c r="AA3571" s="77"/>
      <c r="AB3571" s="77"/>
      <c r="AC3571" s="80" t="s">
        <v>10573</v>
      </c>
      <c r="AD3571" s="77" t="s">
        <v>10617</v>
      </c>
      <c r="AE3571" s="83" t="str">
        <f>HYPERLINK("https://twitter.com/evertondantas/status/1653473605932466196")</f>
        <v>https://twitter.com/evertondantas/status/1653473605932466196</v>
      </c>
      <c r="AF3571" s="79">
        <v>45048.789375</v>
      </c>
      <c r="AG3571" s="85">
        <v>45048</v>
      </c>
      <c r="AH3571" s="80" t="s">
        <v>13723</v>
      </c>
      <c r="AI3571" s="77" t="b">
        <v>0</v>
      </c>
      <c r="AJ3571" s="77"/>
      <c r="AK3571" s="77"/>
      <c r="AL3571" s="77"/>
      <c r="AM3571" s="77"/>
      <c r="AN3571" s="77"/>
      <c r="AO3571" s="77"/>
      <c r="AP3571" s="77"/>
      <c r="AQ3571" s="77"/>
      <c r="AR3571" s="77"/>
      <c r="AS3571" s="77"/>
      <c r="AT3571" s="77"/>
      <c r="AU3571" s="77"/>
      <c r="AV3571" s="83" t="str">
        <f>HYPERLINK("https://pbs.twimg.com/profile_images/1688729005489291264/O1iWz91z_normal.jpg")</f>
        <v>https://pbs.twimg.com/profile_images/1688729005489291264/O1iWz91z_normal.jpg</v>
      </c>
      <c r="AW3571" s="80" t="s">
        <v>19279</v>
      </c>
      <c r="AX3571" s="80" t="s">
        <v>19279</v>
      </c>
      <c r="AY3571" s="77"/>
      <c r="AZ3571" s="80" t="s">
        <v>20380</v>
      </c>
      <c r="BA3571" s="80" t="s">
        <v>20380</v>
      </c>
      <c r="BB3571" s="80" t="s">
        <v>20380</v>
      </c>
      <c r="BC3571" s="80" t="s">
        <v>19279</v>
      </c>
      <c r="BD3571" s="77">
        <v>16832442</v>
      </c>
      <c r="BE3571" s="77"/>
      <c r="BF3571" s="77"/>
      <c r="BG3571" s="77"/>
      <c r="BH3571" s="77"/>
      <c r="BI3571" s="77"/>
    </row>
    <row r="3572" spans="1:61" x14ac:dyDescent="0.25">
      <c r="A3572" s="62" t="s">
        <v>1420</v>
      </c>
      <c r="B3572" s="62" t="s">
        <v>1420</v>
      </c>
      <c r="C3572" s="63"/>
      <c r="D3572" s="64"/>
      <c r="E3572" s="65"/>
      <c r="F3572" s="66"/>
      <c r="G3572" s="63"/>
      <c r="H3572" s="67"/>
      <c r="I3572" s="68"/>
      <c r="J3572" s="68"/>
      <c r="K3572" s="32"/>
      <c r="L3572" s="75">
        <v>3572</v>
      </c>
      <c r="M3572" s="75"/>
      <c r="N3572" s="70"/>
      <c r="O3572" s="77" t="s">
        <v>179</v>
      </c>
      <c r="P3572" s="79">
        <v>45100.747442129628</v>
      </c>
      <c r="Q3572" s="77" t="s">
        <v>5228</v>
      </c>
      <c r="R3572" s="77">
        <v>0</v>
      </c>
      <c r="S3572" s="77">
        <v>0</v>
      </c>
      <c r="T3572" s="77">
        <v>0</v>
      </c>
      <c r="U3572" s="77">
        <v>0</v>
      </c>
      <c r="V3572" s="77">
        <v>71</v>
      </c>
      <c r="W3572" s="80" t="s">
        <v>8107</v>
      </c>
      <c r="X3572" s="77" t="s">
        <v>8609</v>
      </c>
      <c r="Y3572" s="77" t="s">
        <v>8846</v>
      </c>
      <c r="Z3572" s="77"/>
      <c r="AA3572" s="77"/>
      <c r="AB3572" s="77"/>
      <c r="AC3572" s="80" t="s">
        <v>10555</v>
      </c>
      <c r="AD3572" s="77" t="s">
        <v>10620</v>
      </c>
      <c r="AE3572" s="83" t="str">
        <f>HYPERLINK("https://twitter.com/bolsacr/status/1672302578716098560")</f>
        <v>https://twitter.com/bolsacr/status/1672302578716098560</v>
      </c>
      <c r="AF3572" s="79">
        <v>45100.747442129628</v>
      </c>
      <c r="AG3572" s="85">
        <v>45100</v>
      </c>
      <c r="AH3572" s="80" t="s">
        <v>13724</v>
      </c>
      <c r="AI3572" s="77" t="b">
        <v>0</v>
      </c>
      <c r="AJ3572" s="77"/>
      <c r="AK3572" s="77"/>
      <c r="AL3572" s="77"/>
      <c r="AM3572" s="77"/>
      <c r="AN3572" s="77"/>
      <c r="AO3572" s="77"/>
      <c r="AP3572" s="77"/>
      <c r="AQ3572" s="77"/>
      <c r="AR3572" s="77"/>
      <c r="AS3572" s="77"/>
      <c r="AT3572" s="77"/>
      <c r="AU3572" s="77"/>
      <c r="AV3572" s="83" t="str">
        <f>HYPERLINK("https://pbs.twimg.com/profile_images/1542916316188786688/nzDF5lbr_normal.jpg")</f>
        <v>https://pbs.twimg.com/profile_images/1542916316188786688/nzDF5lbr_normal.jpg</v>
      </c>
      <c r="AW3572" s="80" t="s">
        <v>19280</v>
      </c>
      <c r="AX3572" s="80" t="s">
        <v>19280</v>
      </c>
      <c r="AY3572" s="77"/>
      <c r="AZ3572" s="80" t="s">
        <v>20380</v>
      </c>
      <c r="BA3572" s="80" t="s">
        <v>20380</v>
      </c>
      <c r="BB3572" s="80" t="s">
        <v>20380</v>
      </c>
      <c r="BC3572" s="80" t="s">
        <v>19280</v>
      </c>
      <c r="BD3572" s="77">
        <v>252806845</v>
      </c>
      <c r="BE3572" s="77"/>
      <c r="BF3572" s="77"/>
      <c r="BG3572" s="77"/>
      <c r="BH3572" s="77"/>
      <c r="BI3572" s="77"/>
    </row>
    <row r="3573" spans="1:61" x14ac:dyDescent="0.25">
      <c r="A3573" s="62" t="s">
        <v>1421</v>
      </c>
      <c r="B3573" s="62" t="s">
        <v>1421</v>
      </c>
      <c r="C3573" s="63"/>
      <c r="D3573" s="64"/>
      <c r="E3573" s="65"/>
      <c r="F3573" s="66"/>
      <c r="G3573" s="63"/>
      <c r="H3573" s="67"/>
      <c r="I3573" s="68"/>
      <c r="J3573" s="68"/>
      <c r="K3573" s="32"/>
      <c r="L3573" s="75">
        <v>3573</v>
      </c>
      <c r="M3573" s="75"/>
      <c r="N3573" s="70"/>
      <c r="O3573" s="77" t="s">
        <v>2081</v>
      </c>
      <c r="P3573" s="79">
        <v>45075.627442129633</v>
      </c>
      <c r="Q3573" s="77" t="s">
        <v>5229</v>
      </c>
      <c r="R3573" s="77">
        <v>0</v>
      </c>
      <c r="S3573" s="77">
        <v>0</v>
      </c>
      <c r="T3573" s="77">
        <v>0</v>
      </c>
      <c r="U3573" s="77">
        <v>0</v>
      </c>
      <c r="V3573" s="77">
        <v>7</v>
      </c>
      <c r="W3573" s="80" t="s">
        <v>8108</v>
      </c>
      <c r="X3573" s="83" t="str">
        <f>HYPERLINK("https://lnkd.in/d6xjHTmP")</f>
        <v>https://lnkd.in/d6xjHTmP</v>
      </c>
      <c r="Y3573" s="77" t="s">
        <v>8619</v>
      </c>
      <c r="Z3573" s="77" t="s">
        <v>1421</v>
      </c>
      <c r="AA3573" s="77"/>
      <c r="AB3573" s="77"/>
      <c r="AC3573" s="80" t="s">
        <v>10549</v>
      </c>
      <c r="AD3573" s="77" t="s">
        <v>10617</v>
      </c>
      <c r="AE3573" s="83" t="str">
        <f>HYPERLINK("https://twitter.com/sergiodalsasso/status/1663199396471754752")</f>
        <v>https://twitter.com/sergiodalsasso/status/1663199396471754752</v>
      </c>
      <c r="AF3573" s="79">
        <v>45075.627442129633</v>
      </c>
      <c r="AG3573" s="85">
        <v>45075</v>
      </c>
      <c r="AH3573" s="80" t="s">
        <v>13725</v>
      </c>
      <c r="AI3573" s="77" t="b">
        <v>0</v>
      </c>
      <c r="AJ3573" s="77"/>
      <c r="AK3573" s="77"/>
      <c r="AL3573" s="77"/>
      <c r="AM3573" s="77"/>
      <c r="AN3573" s="77"/>
      <c r="AO3573" s="77"/>
      <c r="AP3573" s="77"/>
      <c r="AQ3573" s="77"/>
      <c r="AR3573" s="77"/>
      <c r="AS3573" s="77"/>
      <c r="AT3573" s="77"/>
      <c r="AU3573" s="77"/>
      <c r="AV3573" s="83" t="str">
        <f>HYPERLINK("https://pbs.twimg.com/profile_images/3728455282/e0285339b082a5a9dc56a2c01818e4ac_normal.jpeg")</f>
        <v>https://pbs.twimg.com/profile_images/3728455282/e0285339b082a5a9dc56a2c01818e4ac_normal.jpeg</v>
      </c>
      <c r="AW3573" s="80" t="s">
        <v>19281</v>
      </c>
      <c r="AX3573" s="80" t="s">
        <v>19281</v>
      </c>
      <c r="AY3573" s="77"/>
      <c r="AZ3573" s="80" t="s">
        <v>20380</v>
      </c>
      <c r="BA3573" s="80" t="s">
        <v>20380</v>
      </c>
      <c r="BB3573" s="80" t="s">
        <v>20380</v>
      </c>
      <c r="BC3573" s="80" t="s">
        <v>19281</v>
      </c>
      <c r="BD3573" s="77">
        <v>49041530</v>
      </c>
      <c r="BE3573" s="77"/>
      <c r="BF3573" s="77"/>
      <c r="BG3573" s="77"/>
      <c r="BH3573" s="77"/>
      <c r="BI3573" s="77"/>
    </row>
    <row r="3574" spans="1:61" x14ac:dyDescent="0.25">
      <c r="A3574" s="62" t="s">
        <v>1421</v>
      </c>
      <c r="B3574" s="62" t="s">
        <v>1421</v>
      </c>
      <c r="C3574" s="63"/>
      <c r="D3574" s="64"/>
      <c r="E3574" s="65"/>
      <c r="F3574" s="66"/>
      <c r="G3574" s="63"/>
      <c r="H3574" s="67"/>
      <c r="I3574" s="68"/>
      <c r="J3574" s="68"/>
      <c r="K3574" s="32"/>
      <c r="L3574" s="75">
        <v>3574</v>
      </c>
      <c r="M3574" s="75"/>
      <c r="N3574" s="70"/>
      <c r="O3574" s="77" t="s">
        <v>2081</v>
      </c>
      <c r="P3574" s="79">
        <v>45075.622881944444</v>
      </c>
      <c r="Q3574" s="77" t="s">
        <v>5230</v>
      </c>
      <c r="R3574" s="77">
        <v>0</v>
      </c>
      <c r="S3574" s="77">
        <v>0</v>
      </c>
      <c r="T3574" s="77">
        <v>0</v>
      </c>
      <c r="U3574" s="77">
        <v>0</v>
      </c>
      <c r="V3574" s="77">
        <v>7</v>
      </c>
      <c r="W3574" s="80" t="s">
        <v>8109</v>
      </c>
      <c r="X3574" s="83" t="str">
        <f>HYPERLINK("https://lnkd.in/d3Hd3FNr")</f>
        <v>https://lnkd.in/d3Hd3FNr</v>
      </c>
      <c r="Y3574" s="77" t="s">
        <v>8619</v>
      </c>
      <c r="Z3574" s="77" t="s">
        <v>1421</v>
      </c>
      <c r="AA3574" s="77"/>
      <c r="AB3574" s="77"/>
      <c r="AC3574" s="80" t="s">
        <v>10549</v>
      </c>
      <c r="AD3574" s="77" t="s">
        <v>10617</v>
      </c>
      <c r="AE3574" s="83" t="str">
        <f>HYPERLINK("https://twitter.com/sergiodalsasso/status/1663197745262350338")</f>
        <v>https://twitter.com/sergiodalsasso/status/1663197745262350338</v>
      </c>
      <c r="AF3574" s="79">
        <v>45075.622881944444</v>
      </c>
      <c r="AG3574" s="85">
        <v>45075</v>
      </c>
      <c r="AH3574" s="80" t="s">
        <v>13726</v>
      </c>
      <c r="AI3574" s="77" t="b">
        <v>0</v>
      </c>
      <c r="AJ3574" s="77"/>
      <c r="AK3574" s="77"/>
      <c r="AL3574" s="77"/>
      <c r="AM3574" s="77"/>
      <c r="AN3574" s="77"/>
      <c r="AO3574" s="77"/>
      <c r="AP3574" s="77"/>
      <c r="AQ3574" s="77"/>
      <c r="AR3574" s="77"/>
      <c r="AS3574" s="77"/>
      <c r="AT3574" s="77"/>
      <c r="AU3574" s="77"/>
      <c r="AV3574" s="83" t="str">
        <f>HYPERLINK("https://pbs.twimg.com/profile_images/3728455282/e0285339b082a5a9dc56a2c01818e4ac_normal.jpeg")</f>
        <v>https://pbs.twimg.com/profile_images/3728455282/e0285339b082a5a9dc56a2c01818e4ac_normal.jpeg</v>
      </c>
      <c r="AW3574" s="80" t="s">
        <v>19282</v>
      </c>
      <c r="AX3574" s="80" t="s">
        <v>19282</v>
      </c>
      <c r="AY3574" s="77"/>
      <c r="AZ3574" s="80" t="s">
        <v>20380</v>
      </c>
      <c r="BA3574" s="80" t="s">
        <v>20380</v>
      </c>
      <c r="BB3574" s="80" t="s">
        <v>20380</v>
      </c>
      <c r="BC3574" s="80" t="s">
        <v>19282</v>
      </c>
      <c r="BD3574" s="77">
        <v>49041530</v>
      </c>
      <c r="BE3574" s="77"/>
      <c r="BF3574" s="77"/>
      <c r="BG3574" s="77"/>
      <c r="BH3574" s="77"/>
      <c r="BI3574" s="77"/>
    </row>
    <row r="3575" spans="1:61" x14ac:dyDescent="0.25">
      <c r="A3575" s="62" t="s">
        <v>1422</v>
      </c>
      <c r="B3575" s="62" t="s">
        <v>1422</v>
      </c>
      <c r="C3575" s="63"/>
      <c r="D3575" s="64"/>
      <c r="E3575" s="65"/>
      <c r="F3575" s="66"/>
      <c r="G3575" s="63"/>
      <c r="H3575" s="67"/>
      <c r="I3575" s="68"/>
      <c r="J3575" s="68"/>
      <c r="K3575" s="32"/>
      <c r="L3575" s="75">
        <v>3575</v>
      </c>
      <c r="M3575" s="75"/>
      <c r="N3575" s="70"/>
      <c r="O3575" s="77" t="s">
        <v>179</v>
      </c>
      <c r="P3575" s="79">
        <v>45126.745798611111</v>
      </c>
      <c r="Q3575" s="77" t="s">
        <v>5231</v>
      </c>
      <c r="R3575" s="77">
        <v>1</v>
      </c>
      <c r="S3575" s="77">
        <v>3</v>
      </c>
      <c r="T3575" s="77">
        <v>0</v>
      </c>
      <c r="U3575" s="77">
        <v>0</v>
      </c>
      <c r="V3575" s="77">
        <v>76</v>
      </c>
      <c r="W3575" s="80" t="s">
        <v>5884</v>
      </c>
      <c r="X3575" s="83" t="str">
        <f>HYPERLINK("http://dlvr.it/SsJXL1")</f>
        <v>http://dlvr.it/SsJXL1</v>
      </c>
      <c r="Y3575" s="77" t="s">
        <v>8629</v>
      </c>
      <c r="Z3575" s="77"/>
      <c r="AA3575" s="77" t="s">
        <v>10197</v>
      </c>
      <c r="AB3575" s="77" t="s">
        <v>10535</v>
      </c>
      <c r="AC3575" s="80" t="s">
        <v>10541</v>
      </c>
      <c r="AD3575" s="77" t="s">
        <v>10620</v>
      </c>
      <c r="AE3575" s="83" t="str">
        <f>HYPERLINK("https://twitter.com/webeconoblog/status/1681724068658130944")</f>
        <v>https://twitter.com/webeconoblog/status/1681724068658130944</v>
      </c>
      <c r="AF3575" s="79">
        <v>45126.745798611111</v>
      </c>
      <c r="AG3575" s="85">
        <v>45126</v>
      </c>
      <c r="AH3575" s="80" t="s">
        <v>13727</v>
      </c>
      <c r="AI3575" s="77" t="b">
        <v>0</v>
      </c>
      <c r="AJ3575" s="77"/>
      <c r="AK3575" s="77"/>
      <c r="AL3575" s="77"/>
      <c r="AM3575" s="77"/>
      <c r="AN3575" s="77"/>
      <c r="AO3575" s="77"/>
      <c r="AP3575" s="77"/>
      <c r="AQ3575" s="77" t="s">
        <v>15677</v>
      </c>
      <c r="AR3575" s="77"/>
      <c r="AS3575" s="77"/>
      <c r="AT3575" s="77"/>
      <c r="AU3575" s="77"/>
      <c r="AV3575" s="83" t="str">
        <f>HYPERLINK("https://pbs.twimg.com/media/F1avHiaWwAoYPlD.jpg")</f>
        <v>https://pbs.twimg.com/media/F1avHiaWwAoYPlD.jpg</v>
      </c>
      <c r="AW3575" s="80" t="s">
        <v>19283</v>
      </c>
      <c r="AX3575" s="80" t="s">
        <v>19283</v>
      </c>
      <c r="AY3575" s="77"/>
      <c r="AZ3575" s="80" t="s">
        <v>20380</v>
      </c>
      <c r="BA3575" s="80" t="s">
        <v>20380</v>
      </c>
      <c r="BB3575" s="80" t="s">
        <v>20380</v>
      </c>
      <c r="BC3575" s="80" t="s">
        <v>19283</v>
      </c>
      <c r="BD3575" s="77">
        <v>341925231</v>
      </c>
      <c r="BE3575" s="77"/>
      <c r="BF3575" s="77"/>
      <c r="BG3575" s="77"/>
      <c r="BH3575" s="77"/>
      <c r="BI3575" s="77"/>
    </row>
    <row r="3576" spans="1:61" x14ac:dyDescent="0.25">
      <c r="A3576" s="62" t="s">
        <v>1422</v>
      </c>
      <c r="B3576" s="62" t="s">
        <v>1422</v>
      </c>
      <c r="C3576" s="63"/>
      <c r="D3576" s="64"/>
      <c r="E3576" s="65"/>
      <c r="F3576" s="66"/>
      <c r="G3576" s="63"/>
      <c r="H3576" s="67"/>
      <c r="I3576" s="68"/>
      <c r="J3576" s="68"/>
      <c r="K3576" s="32"/>
      <c r="L3576" s="75">
        <v>3576</v>
      </c>
      <c r="M3576" s="75"/>
      <c r="N3576" s="70"/>
      <c r="O3576" s="77" t="s">
        <v>179</v>
      </c>
      <c r="P3576" s="79">
        <v>45131.722002314818</v>
      </c>
      <c r="Q3576" s="77" t="s">
        <v>5232</v>
      </c>
      <c r="R3576" s="77">
        <v>0</v>
      </c>
      <c r="S3576" s="77">
        <v>0</v>
      </c>
      <c r="T3576" s="77">
        <v>0</v>
      </c>
      <c r="U3576" s="77">
        <v>0</v>
      </c>
      <c r="V3576" s="77">
        <v>26</v>
      </c>
      <c r="W3576" s="80" t="s">
        <v>8110</v>
      </c>
      <c r="X3576" s="83" t="str">
        <f>HYPERLINK("https://shorturl.at/bcLYZ")</f>
        <v>https://shorturl.at/bcLYZ</v>
      </c>
      <c r="Y3576" s="77" t="s">
        <v>8727</v>
      </c>
      <c r="Z3576" s="77"/>
      <c r="AA3576" s="77" t="s">
        <v>10198</v>
      </c>
      <c r="AB3576" s="77" t="s">
        <v>10538</v>
      </c>
      <c r="AC3576" s="80" t="s">
        <v>10541</v>
      </c>
      <c r="AD3576" s="77" t="s">
        <v>10620</v>
      </c>
      <c r="AE3576" s="83" t="str">
        <f>HYPERLINK("https://twitter.com/webeconoblog/status/1683527384123727872")</f>
        <v>https://twitter.com/webeconoblog/status/1683527384123727872</v>
      </c>
      <c r="AF3576" s="79">
        <v>45131.722002314818</v>
      </c>
      <c r="AG3576" s="85">
        <v>45131</v>
      </c>
      <c r="AH3576" s="80" t="s">
        <v>13728</v>
      </c>
      <c r="AI3576" s="77" t="b">
        <v>0</v>
      </c>
      <c r="AJ3576" s="77"/>
      <c r="AK3576" s="77"/>
      <c r="AL3576" s="77"/>
      <c r="AM3576" s="77"/>
      <c r="AN3576" s="77"/>
      <c r="AO3576" s="77"/>
      <c r="AP3576" s="77"/>
      <c r="AQ3576" s="77" t="s">
        <v>15678</v>
      </c>
      <c r="AR3576" s="77"/>
      <c r="AS3576" s="77"/>
      <c r="AT3576" s="77"/>
      <c r="AU3576" s="77"/>
      <c r="AV3576" s="83" t="str">
        <f>HYPERLINK("https://pbs.twimg.com/media/F10XMAdWwAIsIAf.jpg")</f>
        <v>https://pbs.twimg.com/media/F10XMAdWwAIsIAf.jpg</v>
      </c>
      <c r="AW3576" s="80" t="s">
        <v>19284</v>
      </c>
      <c r="AX3576" s="80" t="s">
        <v>19284</v>
      </c>
      <c r="AY3576" s="77"/>
      <c r="AZ3576" s="80" t="s">
        <v>20380</v>
      </c>
      <c r="BA3576" s="80" t="s">
        <v>20380</v>
      </c>
      <c r="BB3576" s="80" t="s">
        <v>20380</v>
      </c>
      <c r="BC3576" s="80" t="s">
        <v>19284</v>
      </c>
      <c r="BD3576" s="77">
        <v>341925231</v>
      </c>
      <c r="BE3576" s="77"/>
      <c r="BF3576" s="77"/>
      <c r="BG3576" s="77"/>
      <c r="BH3576" s="77"/>
      <c r="BI3576" s="77"/>
    </row>
    <row r="3577" spans="1:61" x14ac:dyDescent="0.25">
      <c r="A3577" s="62" t="s">
        <v>1423</v>
      </c>
      <c r="B3577" s="62" t="s">
        <v>1423</v>
      </c>
      <c r="C3577" s="63"/>
      <c r="D3577" s="64"/>
      <c r="E3577" s="65"/>
      <c r="F3577" s="66"/>
      <c r="G3577" s="63"/>
      <c r="H3577" s="67"/>
      <c r="I3577" s="68"/>
      <c r="J3577" s="68"/>
      <c r="K3577" s="32"/>
      <c r="L3577" s="75">
        <v>3577</v>
      </c>
      <c r="M3577" s="75"/>
      <c r="N3577" s="70"/>
      <c r="O3577" s="77" t="s">
        <v>179</v>
      </c>
      <c r="P3577" s="79">
        <v>45090.869131944448</v>
      </c>
      <c r="Q3577" s="77" t="s">
        <v>5233</v>
      </c>
      <c r="R3577" s="77">
        <v>0</v>
      </c>
      <c r="S3577" s="77">
        <v>0</v>
      </c>
      <c r="T3577" s="77">
        <v>0</v>
      </c>
      <c r="U3577" s="77">
        <v>0</v>
      </c>
      <c r="V3577" s="77">
        <v>1</v>
      </c>
      <c r="W3577" s="80" t="s">
        <v>8111</v>
      </c>
      <c r="X3577" s="83" t="str">
        <f>HYPERLINK("https://expressdiario.com/economia/remesas-hacia-la-republica-dominicana-alcanzan-los-us4173-5-millones-en-los-primeros-cinco-meses-de-2023-con-un-crecimiento-del-2-9-respecto-al-ano-anterior/")</f>
        <v>https://expressdiario.com/economia/remesas-hacia-la-republica-dominicana-alcanzan-los-us4173-5-millones-en-los-primeros-cinco-meses-de-2023-con-un-crecimiento-del-2-9-respecto-al-ano-anterior/</v>
      </c>
      <c r="Y3577" s="77" t="s">
        <v>8847</v>
      </c>
      <c r="Z3577" s="77"/>
      <c r="AA3577" s="77" t="s">
        <v>10199</v>
      </c>
      <c r="AB3577" s="77" t="s">
        <v>10535</v>
      </c>
      <c r="AC3577" s="80" t="s">
        <v>10546</v>
      </c>
      <c r="AD3577" s="77" t="s">
        <v>10620</v>
      </c>
      <c r="AE3577" s="83" t="str">
        <f>HYPERLINK("https://twitter.com/expressdiariord/status/1668722801216192514")</f>
        <v>https://twitter.com/expressdiariord/status/1668722801216192514</v>
      </c>
      <c r="AF3577" s="79">
        <v>45090.869131944448</v>
      </c>
      <c r="AG3577" s="85">
        <v>45090</v>
      </c>
      <c r="AH3577" s="80" t="s">
        <v>13729</v>
      </c>
      <c r="AI3577" s="77" t="b">
        <v>0</v>
      </c>
      <c r="AJ3577" s="77"/>
      <c r="AK3577" s="77"/>
      <c r="AL3577" s="77"/>
      <c r="AM3577" s="77"/>
      <c r="AN3577" s="77"/>
      <c r="AO3577" s="77"/>
      <c r="AP3577" s="77"/>
      <c r="AQ3577" s="77" t="s">
        <v>15679</v>
      </c>
      <c r="AR3577" s="77"/>
      <c r="AS3577" s="77"/>
      <c r="AT3577" s="77"/>
      <c r="AU3577" s="77"/>
      <c r="AV3577" s="83" t="str">
        <f>HYPERLINK("https://pbs.twimg.com/media/Fyh-i2pWcAAa6dA.jpg")</f>
        <v>https://pbs.twimg.com/media/Fyh-i2pWcAAa6dA.jpg</v>
      </c>
      <c r="AW3577" s="80" t="s">
        <v>19285</v>
      </c>
      <c r="AX3577" s="80" t="s">
        <v>19285</v>
      </c>
      <c r="AY3577" s="77"/>
      <c r="AZ3577" s="80" t="s">
        <v>20380</v>
      </c>
      <c r="BA3577" s="80" t="s">
        <v>20380</v>
      </c>
      <c r="BB3577" s="80" t="s">
        <v>20380</v>
      </c>
      <c r="BC3577" s="80" t="s">
        <v>19285</v>
      </c>
      <c r="BD3577" s="80" t="s">
        <v>21078</v>
      </c>
      <c r="BE3577" s="77"/>
      <c r="BF3577" s="77"/>
      <c r="BG3577" s="77"/>
      <c r="BH3577" s="77"/>
      <c r="BI3577" s="77"/>
    </row>
    <row r="3578" spans="1:61" x14ac:dyDescent="0.25">
      <c r="A3578" s="62" t="s">
        <v>1423</v>
      </c>
      <c r="B3578" s="62" t="s">
        <v>1423</v>
      </c>
      <c r="C3578" s="63"/>
      <c r="D3578" s="64"/>
      <c r="E3578" s="65"/>
      <c r="F3578" s="66"/>
      <c r="G3578" s="63"/>
      <c r="H3578" s="67"/>
      <c r="I3578" s="68"/>
      <c r="J3578" s="68"/>
      <c r="K3578" s="32"/>
      <c r="L3578" s="75">
        <v>3578</v>
      </c>
      <c r="M3578" s="75"/>
      <c r="N3578" s="70"/>
      <c r="O3578" s="77" t="s">
        <v>179</v>
      </c>
      <c r="P3578" s="79">
        <v>45078.912986111114</v>
      </c>
      <c r="Q3578" s="77" t="s">
        <v>5234</v>
      </c>
      <c r="R3578" s="77">
        <v>0</v>
      </c>
      <c r="S3578" s="77">
        <v>0</v>
      </c>
      <c r="T3578" s="77">
        <v>0</v>
      </c>
      <c r="U3578" s="77">
        <v>0</v>
      </c>
      <c r="V3578" s="77">
        <v>10</v>
      </c>
      <c r="W3578" s="80" t="s">
        <v>8112</v>
      </c>
      <c r="X3578" s="83" t="str">
        <f>HYPERLINK("https://expressdiario.com/economia/el-banco-central-de-la-republica-dominicana-toma-medidas-para-promover-el-financiamiento-y-estimular-la-economia/")</f>
        <v>https://expressdiario.com/economia/el-banco-central-de-la-republica-dominicana-toma-medidas-para-promover-el-financiamiento-y-estimular-la-economia/</v>
      </c>
      <c r="Y3578" s="77" t="s">
        <v>8847</v>
      </c>
      <c r="Z3578" s="77"/>
      <c r="AA3578" s="77" t="s">
        <v>10200</v>
      </c>
      <c r="AB3578" s="77" t="s">
        <v>10535</v>
      </c>
      <c r="AC3578" s="80" t="s">
        <v>10546</v>
      </c>
      <c r="AD3578" s="77" t="s">
        <v>10620</v>
      </c>
      <c r="AE3578" s="83" t="str">
        <f>HYPERLINK("https://twitter.com/expressdiariord/status/1664390039046955008")</f>
        <v>https://twitter.com/expressdiariord/status/1664390039046955008</v>
      </c>
      <c r="AF3578" s="79">
        <v>45078.912986111114</v>
      </c>
      <c r="AG3578" s="85">
        <v>45078</v>
      </c>
      <c r="AH3578" s="80" t="s">
        <v>13730</v>
      </c>
      <c r="AI3578" s="77" t="b">
        <v>0</v>
      </c>
      <c r="AJ3578" s="77"/>
      <c r="AK3578" s="77"/>
      <c r="AL3578" s="77"/>
      <c r="AM3578" s="77"/>
      <c r="AN3578" s="77"/>
      <c r="AO3578" s="77"/>
      <c r="AP3578" s="77"/>
      <c r="AQ3578" s="77" t="s">
        <v>15680</v>
      </c>
      <c r="AR3578" s="77"/>
      <c r="AS3578" s="77"/>
      <c r="AT3578" s="77"/>
      <c r="AU3578" s="77"/>
      <c r="AV3578" s="83" t="str">
        <f>HYPERLINK("https://pbs.twimg.com/media/FxkZ65EXsAk-J18.jpg")</f>
        <v>https://pbs.twimg.com/media/FxkZ65EXsAk-J18.jpg</v>
      </c>
      <c r="AW3578" s="80" t="s">
        <v>19286</v>
      </c>
      <c r="AX3578" s="80" t="s">
        <v>19286</v>
      </c>
      <c r="AY3578" s="77"/>
      <c r="AZ3578" s="80" t="s">
        <v>20380</v>
      </c>
      <c r="BA3578" s="80" t="s">
        <v>20380</v>
      </c>
      <c r="BB3578" s="80" t="s">
        <v>20380</v>
      </c>
      <c r="BC3578" s="80" t="s">
        <v>19286</v>
      </c>
      <c r="BD3578" s="80" t="s">
        <v>21078</v>
      </c>
      <c r="BE3578" s="77"/>
      <c r="BF3578" s="77"/>
      <c r="BG3578" s="77"/>
      <c r="BH3578" s="77"/>
      <c r="BI3578" s="77"/>
    </row>
    <row r="3579" spans="1:61" x14ac:dyDescent="0.25">
      <c r="A3579" s="62" t="s">
        <v>1423</v>
      </c>
      <c r="B3579" s="62" t="s">
        <v>1423</v>
      </c>
      <c r="C3579" s="63"/>
      <c r="D3579" s="64"/>
      <c r="E3579" s="65"/>
      <c r="F3579" s="66"/>
      <c r="G3579" s="63"/>
      <c r="H3579" s="67"/>
      <c r="I3579" s="68"/>
      <c r="J3579" s="68"/>
      <c r="K3579" s="32"/>
      <c r="L3579" s="75">
        <v>3579</v>
      </c>
      <c r="M3579" s="75"/>
      <c r="N3579" s="70"/>
      <c r="O3579" s="77" t="s">
        <v>179</v>
      </c>
      <c r="P3579" s="79">
        <v>45090.62263888889</v>
      </c>
      <c r="Q3579" s="77" t="s">
        <v>5235</v>
      </c>
      <c r="R3579" s="77">
        <v>0</v>
      </c>
      <c r="S3579" s="77">
        <v>0</v>
      </c>
      <c r="T3579" s="77">
        <v>0</v>
      </c>
      <c r="U3579" s="77">
        <v>0</v>
      </c>
      <c r="V3579" s="77">
        <v>8</v>
      </c>
      <c r="W3579" s="80" t="s">
        <v>8113</v>
      </c>
      <c r="X3579" s="83" t="str">
        <f>HYPERLINK("https://expressdiario.com/economia/nuevos-billetes-de-500-pesos-dominicanos-con-innovador-diseno-y-mayor-seguridad-entran-en-circulacion/")</f>
        <v>https://expressdiario.com/economia/nuevos-billetes-de-500-pesos-dominicanos-con-innovador-diseno-y-mayor-seguridad-entran-en-circulacion/</v>
      </c>
      <c r="Y3579" s="77" t="s">
        <v>8847</v>
      </c>
      <c r="Z3579" s="77"/>
      <c r="AA3579" s="77" t="s">
        <v>10201</v>
      </c>
      <c r="AB3579" s="77" t="s">
        <v>10535</v>
      </c>
      <c r="AC3579" s="80" t="s">
        <v>10546</v>
      </c>
      <c r="AD3579" s="77" t="s">
        <v>10620</v>
      </c>
      <c r="AE3579" s="83" t="str">
        <f>HYPERLINK("https://twitter.com/expressdiariord/status/1668633474671185930")</f>
        <v>https://twitter.com/expressdiariord/status/1668633474671185930</v>
      </c>
      <c r="AF3579" s="79">
        <v>45090.62263888889</v>
      </c>
      <c r="AG3579" s="85">
        <v>45090</v>
      </c>
      <c r="AH3579" s="80" t="s">
        <v>13731</v>
      </c>
      <c r="AI3579" s="77" t="b">
        <v>0</v>
      </c>
      <c r="AJ3579" s="77"/>
      <c r="AK3579" s="77"/>
      <c r="AL3579" s="77"/>
      <c r="AM3579" s="77"/>
      <c r="AN3579" s="77"/>
      <c r="AO3579" s="77"/>
      <c r="AP3579" s="77"/>
      <c r="AQ3579" s="77" t="s">
        <v>15681</v>
      </c>
      <c r="AR3579" s="77"/>
      <c r="AS3579" s="77"/>
      <c r="AT3579" s="77"/>
      <c r="AU3579" s="77"/>
      <c r="AV3579" s="83" t="str">
        <f>HYPERLINK("https://pbs.twimg.com/media/FygtTWjaYAU9Ez1.jpg")</f>
        <v>https://pbs.twimg.com/media/FygtTWjaYAU9Ez1.jpg</v>
      </c>
      <c r="AW3579" s="80" t="s">
        <v>19287</v>
      </c>
      <c r="AX3579" s="80" t="s">
        <v>19287</v>
      </c>
      <c r="AY3579" s="77"/>
      <c r="AZ3579" s="80" t="s">
        <v>20380</v>
      </c>
      <c r="BA3579" s="80" t="s">
        <v>20380</v>
      </c>
      <c r="BB3579" s="80" t="s">
        <v>20380</v>
      </c>
      <c r="BC3579" s="80" t="s">
        <v>19287</v>
      </c>
      <c r="BD3579" s="80" t="s">
        <v>21078</v>
      </c>
      <c r="BE3579" s="77"/>
      <c r="BF3579" s="77"/>
      <c r="BG3579" s="77"/>
      <c r="BH3579" s="77"/>
      <c r="BI3579" s="77"/>
    </row>
    <row r="3580" spans="1:61" x14ac:dyDescent="0.25">
      <c r="A3580" s="62" t="s">
        <v>1424</v>
      </c>
      <c r="B3580" s="62" t="s">
        <v>1424</v>
      </c>
      <c r="C3580" s="63"/>
      <c r="D3580" s="64"/>
      <c r="E3580" s="65"/>
      <c r="F3580" s="66"/>
      <c r="G3580" s="63"/>
      <c r="H3580" s="67"/>
      <c r="I3580" s="68"/>
      <c r="J3580" s="68"/>
      <c r="K3580" s="32"/>
      <c r="L3580" s="75">
        <v>3580</v>
      </c>
      <c r="M3580" s="75"/>
      <c r="N3580" s="70"/>
      <c r="O3580" s="77" t="s">
        <v>179</v>
      </c>
      <c r="P3580" s="79">
        <v>45084.874062499999</v>
      </c>
      <c r="Q3580" s="77" t="s">
        <v>5236</v>
      </c>
      <c r="R3580" s="77">
        <v>116</v>
      </c>
      <c r="S3580" s="77">
        <v>662</v>
      </c>
      <c r="T3580" s="77">
        <v>195</v>
      </c>
      <c r="U3580" s="77">
        <v>2</v>
      </c>
      <c r="V3580" s="77">
        <v>12541</v>
      </c>
      <c r="W3580" s="77"/>
      <c r="X3580" s="77"/>
      <c r="Y3580" s="77"/>
      <c r="Z3580" s="77"/>
      <c r="AA3580" s="77" t="s">
        <v>10202</v>
      </c>
      <c r="AB3580" s="77" t="s">
        <v>10534</v>
      </c>
      <c r="AC3580" s="80" t="s">
        <v>10542</v>
      </c>
      <c r="AD3580" s="77" t="s">
        <v>10617</v>
      </c>
      <c r="AE3580" s="83" t="str">
        <f>HYPERLINK("https://twitter.com/rosangelamorosp/status/1666550260414529536")</f>
        <v>https://twitter.com/rosangelamorosp/status/1666550260414529536</v>
      </c>
      <c r="AF3580" s="79">
        <v>45084.874062499999</v>
      </c>
      <c r="AG3580" s="85">
        <v>45084</v>
      </c>
      <c r="AH3580" s="80" t="s">
        <v>13732</v>
      </c>
      <c r="AI3580" s="77" t="b">
        <v>0</v>
      </c>
      <c r="AJ3580" s="77"/>
      <c r="AK3580" s="77"/>
      <c r="AL3580" s="77"/>
      <c r="AM3580" s="77"/>
      <c r="AN3580" s="77"/>
      <c r="AO3580" s="77"/>
      <c r="AP3580" s="77"/>
      <c r="AQ3580" s="77" t="s">
        <v>15682</v>
      </c>
      <c r="AR3580" s="77">
        <v>81790</v>
      </c>
      <c r="AS3580" s="77"/>
      <c r="AT3580" s="77"/>
      <c r="AU3580" s="77"/>
      <c r="AV3580" s="83" t="str">
        <f>HYPERLINK("https://pbs.twimg.com/amplify_video_thumb/1666550094743719941/img/MMOmABSxJhtIoSab.jpg")</f>
        <v>https://pbs.twimg.com/amplify_video_thumb/1666550094743719941/img/MMOmABSxJhtIoSab.jpg</v>
      </c>
      <c r="AW3580" s="80" t="s">
        <v>19288</v>
      </c>
      <c r="AX3580" s="80" t="s">
        <v>19288</v>
      </c>
      <c r="AY3580" s="77"/>
      <c r="AZ3580" s="80" t="s">
        <v>20380</v>
      </c>
      <c r="BA3580" s="80" t="s">
        <v>20380</v>
      </c>
      <c r="BB3580" s="80" t="s">
        <v>20380</v>
      </c>
      <c r="BC3580" s="80" t="s">
        <v>19288</v>
      </c>
      <c r="BD3580" s="77">
        <v>3096479489</v>
      </c>
      <c r="BE3580" s="77"/>
      <c r="BF3580" s="77"/>
      <c r="BG3580" s="77"/>
      <c r="BH3580" s="77"/>
      <c r="BI3580" s="77"/>
    </row>
    <row r="3581" spans="1:61" x14ac:dyDescent="0.25">
      <c r="A3581" s="62" t="s">
        <v>1425</v>
      </c>
      <c r="B3581" s="62" t="s">
        <v>1425</v>
      </c>
      <c r="C3581" s="63"/>
      <c r="D3581" s="64"/>
      <c r="E3581" s="65"/>
      <c r="F3581" s="66"/>
      <c r="G3581" s="63"/>
      <c r="H3581" s="67"/>
      <c r="I3581" s="68"/>
      <c r="J3581" s="68"/>
      <c r="K3581" s="32"/>
      <c r="L3581" s="75">
        <v>3581</v>
      </c>
      <c r="M3581" s="75"/>
      <c r="N3581" s="70"/>
      <c r="O3581" s="77" t="s">
        <v>179</v>
      </c>
      <c r="P3581" s="79">
        <v>45193.9375</v>
      </c>
      <c r="Q3581" s="77" t="s">
        <v>5237</v>
      </c>
      <c r="R3581" s="77">
        <v>6</v>
      </c>
      <c r="S3581" s="77">
        <v>10</v>
      </c>
      <c r="T3581" s="77">
        <v>2</v>
      </c>
      <c r="U3581" s="77">
        <v>0</v>
      </c>
      <c r="V3581" s="77">
        <v>114</v>
      </c>
      <c r="W3581" s="80" t="s">
        <v>6346</v>
      </c>
      <c r="X3581" s="83" t="str">
        <f>HYPERLINK("https://acortar.link/PeFUJB")</f>
        <v>https://acortar.link/PeFUJB</v>
      </c>
      <c r="Y3581" s="77" t="s">
        <v>8649</v>
      </c>
      <c r="Z3581" s="77"/>
      <c r="AA3581" s="77" t="s">
        <v>10203</v>
      </c>
      <c r="AB3581" s="77" t="s">
        <v>10535</v>
      </c>
      <c r="AC3581" s="80" t="s">
        <v>10541</v>
      </c>
      <c r="AD3581" s="77" t="s">
        <v>10620</v>
      </c>
      <c r="AE3581" s="83" t="str">
        <f>HYPERLINK("https://twitter.com/perumachete/status/1706073525621276939")</f>
        <v>https://twitter.com/perumachete/status/1706073525621276939</v>
      </c>
      <c r="AF3581" s="79">
        <v>45193.9375</v>
      </c>
      <c r="AG3581" s="85">
        <v>45193</v>
      </c>
      <c r="AH3581" s="80" t="s">
        <v>13733</v>
      </c>
      <c r="AI3581" s="77" t="b">
        <v>0</v>
      </c>
      <c r="AJ3581" s="77"/>
      <c r="AK3581" s="77"/>
      <c r="AL3581" s="77"/>
      <c r="AM3581" s="77"/>
      <c r="AN3581" s="77"/>
      <c r="AO3581" s="77"/>
      <c r="AP3581" s="77"/>
      <c r="AQ3581" s="77" t="s">
        <v>15683</v>
      </c>
      <c r="AR3581" s="77"/>
      <c r="AS3581" s="77"/>
      <c r="AT3581" s="77"/>
      <c r="AU3581" s="77"/>
      <c r="AV3581" s="83" t="str">
        <f>HYPERLINK("https://pbs.twimg.com/media/F60im3tWYAAY5wF.jpg")</f>
        <v>https://pbs.twimg.com/media/F60im3tWYAAY5wF.jpg</v>
      </c>
      <c r="AW3581" s="80" t="s">
        <v>19289</v>
      </c>
      <c r="AX3581" s="80" t="s">
        <v>19289</v>
      </c>
      <c r="AY3581" s="77"/>
      <c r="AZ3581" s="80" t="s">
        <v>20380</v>
      </c>
      <c r="BA3581" s="80" t="s">
        <v>20380</v>
      </c>
      <c r="BB3581" s="80" t="s">
        <v>20380</v>
      </c>
      <c r="BC3581" s="80" t="s">
        <v>19289</v>
      </c>
      <c r="BD3581" s="80" t="s">
        <v>21079</v>
      </c>
      <c r="BE3581" s="77"/>
      <c r="BF3581" s="77"/>
      <c r="BG3581" s="77"/>
      <c r="BH3581" s="77"/>
      <c r="BI3581" s="77"/>
    </row>
    <row r="3582" spans="1:61" x14ac:dyDescent="0.25">
      <c r="A3582" s="62" t="s">
        <v>1426</v>
      </c>
      <c r="B3582" s="62" t="s">
        <v>1425</v>
      </c>
      <c r="C3582" s="63"/>
      <c r="D3582" s="64"/>
      <c r="E3582" s="65"/>
      <c r="F3582" s="66"/>
      <c r="G3582" s="63"/>
      <c r="H3582" s="67"/>
      <c r="I3582" s="68"/>
      <c r="J3582" s="68"/>
      <c r="K3582" s="32"/>
      <c r="L3582" s="75">
        <v>3582</v>
      </c>
      <c r="M3582" s="75"/>
      <c r="N3582" s="70"/>
      <c r="O3582" s="77" t="s">
        <v>2083</v>
      </c>
      <c r="P3582" s="79">
        <v>45194.904305555552</v>
      </c>
      <c r="Q3582" s="77" t="s">
        <v>2640</v>
      </c>
      <c r="R3582" s="77">
        <v>6</v>
      </c>
      <c r="S3582" s="77">
        <v>0</v>
      </c>
      <c r="T3582" s="77">
        <v>0</v>
      </c>
      <c r="U3582" s="77">
        <v>0</v>
      </c>
      <c r="V3582" s="77"/>
      <c r="W3582" s="80" t="s">
        <v>6346</v>
      </c>
      <c r="X3582" s="77"/>
      <c r="Y3582" s="77"/>
      <c r="Z3582" s="77" t="s">
        <v>1425</v>
      </c>
      <c r="AA3582" s="77"/>
      <c r="AB3582" s="77"/>
      <c r="AC3582" s="80" t="s">
        <v>10541</v>
      </c>
      <c r="AD3582" s="77" t="s">
        <v>10620</v>
      </c>
      <c r="AE3582" s="83" t="str">
        <f>HYPERLINK("https://twitter.com/albarrn_alfonso/status/1706423884642476129")</f>
        <v>https://twitter.com/albarrn_alfonso/status/1706423884642476129</v>
      </c>
      <c r="AF3582" s="79">
        <v>45194.904305555552</v>
      </c>
      <c r="AG3582" s="85">
        <v>45194</v>
      </c>
      <c r="AH3582" s="80" t="s">
        <v>13734</v>
      </c>
      <c r="AI3582" s="77"/>
      <c r="AJ3582" s="77"/>
      <c r="AK3582" s="77"/>
      <c r="AL3582" s="77"/>
      <c r="AM3582" s="77"/>
      <c r="AN3582" s="77"/>
      <c r="AO3582" s="77"/>
      <c r="AP3582" s="77"/>
      <c r="AQ3582" s="77"/>
      <c r="AR3582" s="77"/>
      <c r="AS3582" s="77"/>
      <c r="AT3582" s="77"/>
      <c r="AU3582" s="77"/>
      <c r="AV3582" s="83" t="str">
        <f>HYPERLINK("https://pbs.twimg.com/profile_images/1654342852288081925/cA8fM4Xh_normal.jpg")</f>
        <v>https://pbs.twimg.com/profile_images/1654342852288081925/cA8fM4Xh_normal.jpg</v>
      </c>
      <c r="AW3582" s="80" t="s">
        <v>19290</v>
      </c>
      <c r="AX3582" s="80" t="s">
        <v>19290</v>
      </c>
      <c r="AY3582" s="77"/>
      <c r="AZ3582" s="80" t="s">
        <v>20380</v>
      </c>
      <c r="BA3582" s="80" t="s">
        <v>20380</v>
      </c>
      <c r="BB3582" s="80" t="s">
        <v>19289</v>
      </c>
      <c r="BC3582" s="80" t="s">
        <v>19289</v>
      </c>
      <c r="BD3582" s="80" t="s">
        <v>21080</v>
      </c>
      <c r="BE3582" s="77"/>
      <c r="BF3582" s="77"/>
      <c r="BG3582" s="77"/>
      <c r="BH3582" s="77"/>
      <c r="BI3582" s="77"/>
    </row>
    <row r="3583" spans="1:61" x14ac:dyDescent="0.25">
      <c r="A3583" s="62" t="s">
        <v>1427</v>
      </c>
      <c r="B3583" s="62" t="s">
        <v>2035</v>
      </c>
      <c r="C3583" s="63"/>
      <c r="D3583" s="64"/>
      <c r="E3583" s="65"/>
      <c r="F3583" s="66"/>
      <c r="G3583" s="63"/>
      <c r="H3583" s="67"/>
      <c r="I3583" s="68"/>
      <c r="J3583" s="68"/>
      <c r="K3583" s="32"/>
      <c r="L3583" s="75">
        <v>3583</v>
      </c>
      <c r="M3583" s="75"/>
      <c r="N3583" s="70"/>
      <c r="O3583" s="77" t="s">
        <v>2081</v>
      </c>
      <c r="P3583" s="79">
        <v>45075.931967592594</v>
      </c>
      <c r="Q3583" s="77" t="s">
        <v>5238</v>
      </c>
      <c r="R3583" s="77">
        <v>0</v>
      </c>
      <c r="S3583" s="77">
        <v>1</v>
      </c>
      <c r="T3583" s="77">
        <v>2</v>
      </c>
      <c r="U3583" s="77">
        <v>0</v>
      </c>
      <c r="V3583" s="77">
        <v>371</v>
      </c>
      <c r="W3583" s="80" t="s">
        <v>8114</v>
      </c>
      <c r="X3583" s="83" t="str">
        <f>HYPERLINK("https://es.beincrypto.com/japon-comparte-avances-proof-concept-cbdc/?utm_source=twitter&amp;utm_medium=text&amp;utm_campaign=news")</f>
        <v>https://es.beincrypto.com/japon-comparte-avances-proof-concept-cbdc/?utm_source=twitter&amp;utm_medium=text&amp;utm_campaign=news</v>
      </c>
      <c r="Y3583" s="77" t="s">
        <v>8785</v>
      </c>
      <c r="Z3583" s="77" t="s">
        <v>2035</v>
      </c>
      <c r="AA3583" s="77"/>
      <c r="AB3583" s="77"/>
      <c r="AC3583" s="80" t="s">
        <v>10540</v>
      </c>
      <c r="AD3583" s="77" t="s">
        <v>10620</v>
      </c>
      <c r="AE3583" s="83" t="str">
        <f>HYPERLINK("https://twitter.com/beincrypto_es/status/1663309750929424386")</f>
        <v>https://twitter.com/beincrypto_es/status/1663309750929424386</v>
      </c>
      <c r="AF3583" s="79">
        <v>45075.931967592594</v>
      </c>
      <c r="AG3583" s="85">
        <v>45075</v>
      </c>
      <c r="AH3583" s="80" t="s">
        <v>13735</v>
      </c>
      <c r="AI3583" s="77" t="b">
        <v>0</v>
      </c>
      <c r="AJ3583" s="77"/>
      <c r="AK3583" s="77"/>
      <c r="AL3583" s="77"/>
      <c r="AM3583" s="77"/>
      <c r="AN3583" s="77"/>
      <c r="AO3583" s="77"/>
      <c r="AP3583" s="77"/>
      <c r="AQ3583" s="77"/>
      <c r="AR3583" s="77"/>
      <c r="AS3583" s="77"/>
      <c r="AT3583" s="77"/>
      <c r="AU3583" s="77"/>
      <c r="AV3583" s="83" t="str">
        <f>HYPERLINK("https://pbs.twimg.com/profile_images/1601183565286367232/JUjH51B6_normal.jpg")</f>
        <v>https://pbs.twimg.com/profile_images/1601183565286367232/JUjH51B6_normal.jpg</v>
      </c>
      <c r="AW3583" s="80" t="s">
        <v>19291</v>
      </c>
      <c r="AX3583" s="80" t="s">
        <v>19291</v>
      </c>
      <c r="AY3583" s="77"/>
      <c r="AZ3583" s="80" t="s">
        <v>20380</v>
      </c>
      <c r="BA3583" s="80" t="s">
        <v>20380</v>
      </c>
      <c r="BB3583" s="80" t="s">
        <v>20380</v>
      </c>
      <c r="BC3583" s="80" t="s">
        <v>19291</v>
      </c>
      <c r="BD3583" s="80" t="s">
        <v>21081</v>
      </c>
      <c r="BE3583" s="77"/>
      <c r="BF3583" s="77"/>
      <c r="BG3583" s="77"/>
      <c r="BH3583" s="77"/>
      <c r="BI3583" s="77"/>
    </row>
    <row r="3584" spans="1:61" x14ac:dyDescent="0.25">
      <c r="A3584" s="62" t="s">
        <v>1427</v>
      </c>
      <c r="B3584" s="62" t="s">
        <v>2036</v>
      </c>
      <c r="C3584" s="63"/>
      <c r="D3584" s="64"/>
      <c r="E3584" s="65"/>
      <c r="F3584" s="66"/>
      <c r="G3584" s="63"/>
      <c r="H3584" s="67"/>
      <c r="I3584" s="68"/>
      <c r="J3584" s="68"/>
      <c r="K3584" s="32"/>
      <c r="L3584" s="75">
        <v>3584</v>
      </c>
      <c r="M3584" s="75"/>
      <c r="N3584" s="70"/>
      <c r="O3584" s="77" t="s">
        <v>2081</v>
      </c>
      <c r="P3584" s="79">
        <v>45184.410254629627</v>
      </c>
      <c r="Q3584" s="77" t="s">
        <v>5239</v>
      </c>
      <c r="R3584" s="77">
        <v>1</v>
      </c>
      <c r="S3584" s="77">
        <v>2</v>
      </c>
      <c r="T3584" s="77">
        <v>1</v>
      </c>
      <c r="U3584" s="77">
        <v>0</v>
      </c>
      <c r="V3584" s="77">
        <v>423</v>
      </c>
      <c r="W3584" s="80" t="s">
        <v>8115</v>
      </c>
      <c r="X3584" s="83" t="str">
        <f>HYPERLINK("https://es.beincrypto.com/asociacion-banqueros-americanos-opone-lanzamiento-cbdc-eeuu/?utm_source=twitter&amp;utm_medium=text&amp;utm_campaign=news")</f>
        <v>https://es.beincrypto.com/asociacion-banqueros-americanos-opone-lanzamiento-cbdc-eeuu/?utm_source=twitter&amp;utm_medium=text&amp;utm_campaign=news</v>
      </c>
      <c r="Y3584" s="77" t="s">
        <v>8785</v>
      </c>
      <c r="Z3584" s="77" t="s">
        <v>9019</v>
      </c>
      <c r="AA3584" s="77"/>
      <c r="AB3584" s="77"/>
      <c r="AC3584" s="80" t="s">
        <v>10542</v>
      </c>
      <c r="AD3584" s="77" t="s">
        <v>10620</v>
      </c>
      <c r="AE3584" s="83" t="str">
        <f>HYPERLINK("https://twitter.com/beincrypto_es/status/1702620968236073064")</f>
        <v>https://twitter.com/beincrypto_es/status/1702620968236073064</v>
      </c>
      <c r="AF3584" s="79">
        <v>45184.410254629627</v>
      </c>
      <c r="AG3584" s="85">
        <v>45184</v>
      </c>
      <c r="AH3584" s="80" t="s">
        <v>13736</v>
      </c>
      <c r="AI3584" s="77" t="b">
        <v>0</v>
      </c>
      <c r="AJ3584" s="77"/>
      <c r="AK3584" s="77"/>
      <c r="AL3584" s="77"/>
      <c r="AM3584" s="77"/>
      <c r="AN3584" s="77"/>
      <c r="AO3584" s="77"/>
      <c r="AP3584" s="77"/>
      <c r="AQ3584" s="77"/>
      <c r="AR3584" s="77"/>
      <c r="AS3584" s="77"/>
      <c r="AT3584" s="77"/>
      <c r="AU3584" s="77"/>
      <c r="AV3584" s="83" t="str">
        <f>HYPERLINK("https://pbs.twimg.com/profile_images/1601183565286367232/JUjH51B6_normal.jpg")</f>
        <v>https://pbs.twimg.com/profile_images/1601183565286367232/JUjH51B6_normal.jpg</v>
      </c>
      <c r="AW3584" s="80" t="s">
        <v>19292</v>
      </c>
      <c r="AX3584" s="80" t="s">
        <v>19292</v>
      </c>
      <c r="AY3584" s="77"/>
      <c r="AZ3584" s="80" t="s">
        <v>20380</v>
      </c>
      <c r="BA3584" s="80" t="s">
        <v>20380</v>
      </c>
      <c r="BB3584" s="80" t="s">
        <v>20380</v>
      </c>
      <c r="BC3584" s="80" t="s">
        <v>19292</v>
      </c>
      <c r="BD3584" s="80" t="s">
        <v>21081</v>
      </c>
      <c r="BE3584" s="77"/>
      <c r="BF3584" s="77"/>
      <c r="BG3584" s="77"/>
      <c r="BH3584" s="77"/>
      <c r="BI3584" s="77"/>
    </row>
    <row r="3585" spans="1:61" x14ac:dyDescent="0.25">
      <c r="A3585" s="62" t="s">
        <v>1427</v>
      </c>
      <c r="B3585" s="62" t="s">
        <v>2037</v>
      </c>
      <c r="C3585" s="63"/>
      <c r="D3585" s="64"/>
      <c r="E3585" s="65"/>
      <c r="F3585" s="66"/>
      <c r="G3585" s="63"/>
      <c r="H3585" s="67"/>
      <c r="I3585" s="68"/>
      <c r="J3585" s="68"/>
      <c r="K3585" s="32"/>
      <c r="L3585" s="75">
        <v>3585</v>
      </c>
      <c r="M3585" s="75"/>
      <c r="N3585" s="70"/>
      <c r="O3585" s="77" t="s">
        <v>2081</v>
      </c>
      <c r="P3585" s="79">
        <v>45184.410254629627</v>
      </c>
      <c r="Q3585" s="77" t="s">
        <v>5239</v>
      </c>
      <c r="R3585" s="77">
        <v>1</v>
      </c>
      <c r="S3585" s="77">
        <v>2</v>
      </c>
      <c r="T3585" s="77">
        <v>1</v>
      </c>
      <c r="U3585" s="77">
        <v>0</v>
      </c>
      <c r="V3585" s="77">
        <v>423</v>
      </c>
      <c r="W3585" s="80" t="s">
        <v>8115</v>
      </c>
      <c r="X3585" s="83" t="str">
        <f>HYPERLINK("https://es.beincrypto.com/asociacion-banqueros-americanos-opone-lanzamiento-cbdc-eeuu/?utm_source=twitter&amp;utm_medium=text&amp;utm_campaign=news")</f>
        <v>https://es.beincrypto.com/asociacion-banqueros-americanos-opone-lanzamiento-cbdc-eeuu/?utm_source=twitter&amp;utm_medium=text&amp;utm_campaign=news</v>
      </c>
      <c r="Y3585" s="77" t="s">
        <v>8785</v>
      </c>
      <c r="Z3585" s="77" t="s">
        <v>9019</v>
      </c>
      <c r="AA3585" s="77"/>
      <c r="AB3585" s="77"/>
      <c r="AC3585" s="80" t="s">
        <v>10542</v>
      </c>
      <c r="AD3585" s="77" t="s">
        <v>10620</v>
      </c>
      <c r="AE3585" s="83" t="str">
        <f>HYPERLINK("https://twitter.com/beincrypto_es/status/1702620968236073064")</f>
        <v>https://twitter.com/beincrypto_es/status/1702620968236073064</v>
      </c>
      <c r="AF3585" s="79">
        <v>45184.410254629627</v>
      </c>
      <c r="AG3585" s="85">
        <v>45184</v>
      </c>
      <c r="AH3585" s="80" t="s">
        <v>13736</v>
      </c>
      <c r="AI3585" s="77" t="b">
        <v>0</v>
      </c>
      <c r="AJ3585" s="77"/>
      <c r="AK3585" s="77"/>
      <c r="AL3585" s="77"/>
      <c r="AM3585" s="77"/>
      <c r="AN3585" s="77"/>
      <c r="AO3585" s="77"/>
      <c r="AP3585" s="77"/>
      <c r="AQ3585" s="77"/>
      <c r="AR3585" s="77"/>
      <c r="AS3585" s="77"/>
      <c r="AT3585" s="77"/>
      <c r="AU3585" s="77"/>
      <c r="AV3585" s="83" t="str">
        <f>HYPERLINK("https://pbs.twimg.com/profile_images/1601183565286367232/JUjH51B6_normal.jpg")</f>
        <v>https://pbs.twimg.com/profile_images/1601183565286367232/JUjH51B6_normal.jpg</v>
      </c>
      <c r="AW3585" s="80" t="s">
        <v>19292</v>
      </c>
      <c r="AX3585" s="80" t="s">
        <v>19292</v>
      </c>
      <c r="AY3585" s="77"/>
      <c r="AZ3585" s="80" t="s">
        <v>20380</v>
      </c>
      <c r="BA3585" s="80" t="s">
        <v>20380</v>
      </c>
      <c r="BB3585" s="80" t="s">
        <v>20380</v>
      </c>
      <c r="BC3585" s="80" t="s">
        <v>19292</v>
      </c>
      <c r="BD3585" s="80" t="s">
        <v>21081</v>
      </c>
      <c r="BE3585" s="77"/>
      <c r="BF3585" s="77"/>
      <c r="BG3585" s="77"/>
      <c r="BH3585" s="77"/>
      <c r="BI3585" s="77"/>
    </row>
    <row r="3586" spans="1:61" x14ac:dyDescent="0.25">
      <c r="A3586" s="62" t="s">
        <v>1427</v>
      </c>
      <c r="B3586" s="62" t="s">
        <v>2038</v>
      </c>
      <c r="C3586" s="63"/>
      <c r="D3586" s="64"/>
      <c r="E3586" s="65"/>
      <c r="F3586" s="66"/>
      <c r="G3586" s="63"/>
      <c r="H3586" s="67"/>
      <c r="I3586" s="68"/>
      <c r="J3586" s="68"/>
      <c r="K3586" s="32"/>
      <c r="L3586" s="75">
        <v>3586</v>
      </c>
      <c r="M3586" s="75"/>
      <c r="N3586" s="70"/>
      <c r="O3586" s="77" t="s">
        <v>2081</v>
      </c>
      <c r="P3586" s="79">
        <v>45115.89570601852</v>
      </c>
      <c r="Q3586" s="77" t="s">
        <v>5240</v>
      </c>
      <c r="R3586" s="77">
        <v>0</v>
      </c>
      <c r="S3586" s="77">
        <v>1</v>
      </c>
      <c r="T3586" s="77">
        <v>1</v>
      </c>
      <c r="U3586" s="77">
        <v>0</v>
      </c>
      <c r="V3586" s="77">
        <v>388</v>
      </c>
      <c r="W3586" s="80" t="s">
        <v>8116</v>
      </c>
      <c r="X3586" s="83" t="str">
        <f>HYPERLINK("https://es.beincrypto.com/bpi-presenta-proyecto-polaris-prevenir-ciberataques-cbdc/?utm_source=twitter&amp;utm_medium=text&amp;utm_campaign=news")</f>
        <v>https://es.beincrypto.com/bpi-presenta-proyecto-polaris-prevenir-ciberataques-cbdc/?utm_source=twitter&amp;utm_medium=text&amp;utm_campaign=news</v>
      </c>
      <c r="Y3586" s="77" t="s">
        <v>8785</v>
      </c>
      <c r="Z3586" s="77" t="s">
        <v>2038</v>
      </c>
      <c r="AA3586" s="77"/>
      <c r="AB3586" s="77"/>
      <c r="AC3586" s="80" t="s">
        <v>10540</v>
      </c>
      <c r="AD3586" s="77" t="s">
        <v>10620</v>
      </c>
      <c r="AE3586" s="83" t="str">
        <f>HYPERLINK("https://twitter.com/beincrypto_es/status/1677792127336472576")</f>
        <v>https://twitter.com/beincrypto_es/status/1677792127336472576</v>
      </c>
      <c r="AF3586" s="79">
        <v>45115.89570601852</v>
      </c>
      <c r="AG3586" s="85">
        <v>45115</v>
      </c>
      <c r="AH3586" s="80" t="s">
        <v>13737</v>
      </c>
      <c r="AI3586" s="77" t="b">
        <v>0</v>
      </c>
      <c r="AJ3586" s="77"/>
      <c r="AK3586" s="77"/>
      <c r="AL3586" s="77"/>
      <c r="AM3586" s="77"/>
      <c r="AN3586" s="77"/>
      <c r="AO3586" s="77"/>
      <c r="AP3586" s="77"/>
      <c r="AQ3586" s="77"/>
      <c r="AR3586" s="77"/>
      <c r="AS3586" s="77"/>
      <c r="AT3586" s="77"/>
      <c r="AU3586" s="77"/>
      <c r="AV3586" s="83" t="str">
        <f>HYPERLINK("https://pbs.twimg.com/profile_images/1601183565286367232/JUjH51B6_normal.jpg")</f>
        <v>https://pbs.twimg.com/profile_images/1601183565286367232/JUjH51B6_normal.jpg</v>
      </c>
      <c r="AW3586" s="80" t="s">
        <v>19293</v>
      </c>
      <c r="AX3586" s="80" t="s">
        <v>19293</v>
      </c>
      <c r="AY3586" s="77"/>
      <c r="AZ3586" s="80" t="s">
        <v>20380</v>
      </c>
      <c r="BA3586" s="80" t="s">
        <v>20380</v>
      </c>
      <c r="BB3586" s="80" t="s">
        <v>20380</v>
      </c>
      <c r="BC3586" s="80" t="s">
        <v>19293</v>
      </c>
      <c r="BD3586" s="80" t="s">
        <v>21081</v>
      </c>
      <c r="BE3586" s="77"/>
      <c r="BF3586" s="77"/>
      <c r="BG3586" s="77"/>
      <c r="BH3586" s="77"/>
      <c r="BI3586" s="77"/>
    </row>
    <row r="3587" spans="1:61" x14ac:dyDescent="0.25">
      <c r="A3587" s="62" t="s">
        <v>1427</v>
      </c>
      <c r="B3587" s="62" t="s">
        <v>2038</v>
      </c>
      <c r="C3587" s="63"/>
      <c r="D3587" s="64"/>
      <c r="E3587" s="65"/>
      <c r="F3587" s="66"/>
      <c r="G3587" s="63"/>
      <c r="H3587" s="67"/>
      <c r="I3587" s="68"/>
      <c r="J3587" s="68"/>
      <c r="K3587" s="32"/>
      <c r="L3587" s="75">
        <v>3587</v>
      </c>
      <c r="M3587" s="75"/>
      <c r="N3587" s="70"/>
      <c r="O3587" s="77" t="s">
        <v>2081</v>
      </c>
      <c r="P3587" s="79">
        <v>45057.923587962963</v>
      </c>
      <c r="Q3587" s="77" t="s">
        <v>5241</v>
      </c>
      <c r="R3587" s="77">
        <v>0</v>
      </c>
      <c r="S3587" s="77">
        <v>1</v>
      </c>
      <c r="T3587" s="77">
        <v>0</v>
      </c>
      <c r="U3587" s="77">
        <v>0</v>
      </c>
      <c r="V3587" s="77">
        <v>323</v>
      </c>
      <c r="W3587" s="80" t="s">
        <v>8117</v>
      </c>
      <c r="X3587" s="83" t="str">
        <f>HYPERLINK("https://es.beincrypto.com/banco-pagos-internacionales-publica-guia-pagos-offline-cbdc/?utm_source=twitter&amp;utm_medium=text&amp;utm_campaign=news")</f>
        <v>https://es.beincrypto.com/banco-pagos-internacionales-publica-guia-pagos-offline-cbdc/?utm_source=twitter&amp;utm_medium=text&amp;utm_campaign=news</v>
      </c>
      <c r="Y3587" s="77" t="s">
        <v>8785</v>
      </c>
      <c r="Z3587" s="77" t="s">
        <v>2038</v>
      </c>
      <c r="AA3587" s="77"/>
      <c r="AB3587" s="77"/>
      <c r="AC3587" s="80" t="s">
        <v>10541</v>
      </c>
      <c r="AD3587" s="77" t="s">
        <v>10620</v>
      </c>
      <c r="AE3587" s="83" t="str">
        <f>HYPERLINK("https://twitter.com/beincrypto_es/status/1656783734941659139")</f>
        <v>https://twitter.com/beincrypto_es/status/1656783734941659139</v>
      </c>
      <c r="AF3587" s="79">
        <v>45057.923587962963</v>
      </c>
      <c r="AG3587" s="85">
        <v>45057</v>
      </c>
      <c r="AH3587" s="80" t="s">
        <v>13738</v>
      </c>
      <c r="AI3587" s="77" t="b">
        <v>0</v>
      </c>
      <c r="AJ3587" s="77"/>
      <c r="AK3587" s="77"/>
      <c r="AL3587" s="77"/>
      <c r="AM3587" s="77"/>
      <c r="AN3587" s="77"/>
      <c r="AO3587" s="77"/>
      <c r="AP3587" s="77"/>
      <c r="AQ3587" s="77"/>
      <c r="AR3587" s="77"/>
      <c r="AS3587" s="77"/>
      <c r="AT3587" s="77"/>
      <c r="AU3587" s="77"/>
      <c r="AV3587" s="83" t="str">
        <f>HYPERLINK("https://pbs.twimg.com/profile_images/1601183565286367232/JUjH51B6_normal.jpg")</f>
        <v>https://pbs.twimg.com/profile_images/1601183565286367232/JUjH51B6_normal.jpg</v>
      </c>
      <c r="AW3587" s="80" t="s">
        <v>19294</v>
      </c>
      <c r="AX3587" s="80" t="s">
        <v>19294</v>
      </c>
      <c r="AY3587" s="77"/>
      <c r="AZ3587" s="80" t="s">
        <v>20380</v>
      </c>
      <c r="BA3587" s="80" t="s">
        <v>20380</v>
      </c>
      <c r="BB3587" s="80" t="s">
        <v>20380</v>
      </c>
      <c r="BC3587" s="80" t="s">
        <v>19294</v>
      </c>
      <c r="BD3587" s="80" t="s">
        <v>21081</v>
      </c>
      <c r="BE3587" s="77"/>
      <c r="BF3587" s="77"/>
      <c r="BG3587" s="77"/>
      <c r="BH3587" s="77"/>
      <c r="BI3587" s="77"/>
    </row>
    <row r="3588" spans="1:61" x14ac:dyDescent="0.25">
      <c r="A3588" s="62" t="s">
        <v>1428</v>
      </c>
      <c r="B3588" s="62" t="s">
        <v>1428</v>
      </c>
      <c r="C3588" s="63"/>
      <c r="D3588" s="64"/>
      <c r="E3588" s="65"/>
      <c r="F3588" s="66"/>
      <c r="G3588" s="63"/>
      <c r="H3588" s="67"/>
      <c r="I3588" s="68"/>
      <c r="J3588" s="68"/>
      <c r="K3588" s="32"/>
      <c r="L3588" s="75">
        <v>3588</v>
      </c>
      <c r="M3588" s="75"/>
      <c r="N3588" s="70"/>
      <c r="O3588" s="77" t="s">
        <v>179</v>
      </c>
      <c r="P3588" s="79">
        <v>45105.470601851855</v>
      </c>
      <c r="Q3588" s="77" t="s">
        <v>5242</v>
      </c>
      <c r="R3588" s="77">
        <v>0</v>
      </c>
      <c r="S3588" s="77">
        <v>0</v>
      </c>
      <c r="T3588" s="77">
        <v>0</v>
      </c>
      <c r="U3588" s="77">
        <v>0</v>
      </c>
      <c r="V3588" s="77">
        <v>7</v>
      </c>
      <c r="W3588" s="80" t="s">
        <v>8118</v>
      </c>
      <c r="X3588" s="77"/>
      <c r="Y3588" s="77"/>
      <c r="Z3588" s="77"/>
      <c r="AA3588" s="77"/>
      <c r="AB3588" s="77"/>
      <c r="AC3588" s="80" t="s">
        <v>10540</v>
      </c>
      <c r="AD3588" s="77" t="s">
        <v>10617</v>
      </c>
      <c r="AE3588" s="83" t="str">
        <f>HYPERLINK("https://twitter.com/andremene2022/status/1674014195283533826")</f>
        <v>https://twitter.com/andremene2022/status/1674014195283533826</v>
      </c>
      <c r="AF3588" s="79">
        <v>45105.470601851855</v>
      </c>
      <c r="AG3588" s="85">
        <v>45105</v>
      </c>
      <c r="AH3588" s="80" t="s">
        <v>13739</v>
      </c>
      <c r="AI3588" s="77"/>
      <c r="AJ3588" s="77"/>
      <c r="AK3588" s="77"/>
      <c r="AL3588" s="77"/>
      <c r="AM3588" s="77"/>
      <c r="AN3588" s="77"/>
      <c r="AO3588" s="77"/>
      <c r="AP3588" s="77"/>
      <c r="AQ3588" s="77"/>
      <c r="AR3588" s="77"/>
      <c r="AS3588" s="77"/>
      <c r="AT3588" s="77"/>
      <c r="AU3588" s="77"/>
      <c r="AV3588" s="83" t="str">
        <f>HYPERLINK("https://pbs.twimg.com/profile_images/1506528681346453521/V4Szh9I__normal.jpg")</f>
        <v>https://pbs.twimg.com/profile_images/1506528681346453521/V4Szh9I__normal.jpg</v>
      </c>
      <c r="AW3588" s="80" t="s">
        <v>19295</v>
      </c>
      <c r="AX3588" s="80" t="s">
        <v>19295</v>
      </c>
      <c r="AY3588" s="77"/>
      <c r="AZ3588" s="80" t="s">
        <v>20380</v>
      </c>
      <c r="BA3588" s="80" t="s">
        <v>20380</v>
      </c>
      <c r="BB3588" s="80" t="s">
        <v>20380</v>
      </c>
      <c r="BC3588" s="80" t="s">
        <v>19295</v>
      </c>
      <c r="BD3588" s="80" t="s">
        <v>21082</v>
      </c>
      <c r="BE3588" s="77"/>
      <c r="BF3588" s="77"/>
      <c r="BG3588" s="77"/>
      <c r="BH3588" s="77"/>
      <c r="BI3588" s="77"/>
    </row>
    <row r="3589" spans="1:61" x14ac:dyDescent="0.25">
      <c r="A3589" s="62" t="s">
        <v>1429</v>
      </c>
      <c r="B3589" s="62" t="s">
        <v>1429</v>
      </c>
      <c r="C3589" s="63"/>
      <c r="D3589" s="64"/>
      <c r="E3589" s="65"/>
      <c r="F3589" s="66"/>
      <c r="G3589" s="63"/>
      <c r="H3589" s="67"/>
      <c r="I3589" s="68"/>
      <c r="J3589" s="68"/>
      <c r="K3589" s="32"/>
      <c r="L3589" s="75">
        <v>3589</v>
      </c>
      <c r="M3589" s="75"/>
      <c r="N3589" s="70"/>
      <c r="O3589" s="77" t="s">
        <v>179</v>
      </c>
      <c r="P3589" s="79">
        <v>45121.492777777778</v>
      </c>
      <c r="Q3589" s="77" t="s">
        <v>5243</v>
      </c>
      <c r="R3589" s="77">
        <v>0</v>
      </c>
      <c r="S3589" s="77">
        <v>1</v>
      </c>
      <c r="T3589" s="77">
        <v>0</v>
      </c>
      <c r="U3589" s="77">
        <v>0</v>
      </c>
      <c r="V3589" s="77">
        <v>32</v>
      </c>
      <c r="W3589" s="80" t="s">
        <v>5884</v>
      </c>
      <c r="X3589" s="77"/>
      <c r="Y3589" s="77"/>
      <c r="Z3589" s="77"/>
      <c r="AA3589" s="77" t="s">
        <v>10204</v>
      </c>
      <c r="AB3589" s="77" t="s">
        <v>10535</v>
      </c>
      <c r="AC3589" s="80" t="s">
        <v>10540</v>
      </c>
      <c r="AD3589" s="77" t="s">
        <v>10619</v>
      </c>
      <c r="AE3589" s="83" t="str">
        <f>HYPERLINK("https://twitter.com/eltonnogueira17/status/1679820436824023040")</f>
        <v>https://twitter.com/eltonnogueira17/status/1679820436824023040</v>
      </c>
      <c r="AF3589" s="79">
        <v>45121.492777777778</v>
      </c>
      <c r="AG3589" s="85">
        <v>45121</v>
      </c>
      <c r="AH3589" s="80" t="s">
        <v>13740</v>
      </c>
      <c r="AI3589" s="77" t="b">
        <v>0</v>
      </c>
      <c r="AJ3589" s="77" t="s">
        <v>14370</v>
      </c>
      <c r="AK3589" s="77" t="s">
        <v>14382</v>
      </c>
      <c r="AL3589" s="77" t="s">
        <v>14391</v>
      </c>
      <c r="AM3589" s="77" t="s">
        <v>14427</v>
      </c>
      <c r="AN3589" s="77" t="s">
        <v>14467</v>
      </c>
      <c r="AO3589" s="77" t="s">
        <v>14506</v>
      </c>
      <c r="AP3589" s="77" t="s">
        <v>14517</v>
      </c>
      <c r="AQ3589" s="77" t="s">
        <v>15684</v>
      </c>
      <c r="AR3589" s="77"/>
      <c r="AS3589" s="77"/>
      <c r="AT3589" s="77"/>
      <c r="AU3589" s="77"/>
      <c r="AV3589" s="83" t="str">
        <f>HYPERLINK("https://pbs.twimg.com/media/F0_ryNkWYAElZtq.jpg")</f>
        <v>https://pbs.twimg.com/media/F0_ryNkWYAElZtq.jpg</v>
      </c>
      <c r="AW3589" s="80" t="s">
        <v>19296</v>
      </c>
      <c r="AX3589" s="80" t="s">
        <v>19296</v>
      </c>
      <c r="AY3589" s="77"/>
      <c r="AZ3589" s="80" t="s">
        <v>20380</v>
      </c>
      <c r="BA3589" s="80" t="s">
        <v>20380</v>
      </c>
      <c r="BB3589" s="80" t="s">
        <v>20380</v>
      </c>
      <c r="BC3589" s="80" t="s">
        <v>19296</v>
      </c>
      <c r="BD3589" s="80" t="s">
        <v>21083</v>
      </c>
      <c r="BE3589" s="77"/>
      <c r="BF3589" s="77"/>
      <c r="BG3589" s="77"/>
      <c r="BH3589" s="77"/>
      <c r="BI3589" s="77"/>
    </row>
    <row r="3590" spans="1:61" x14ac:dyDescent="0.25">
      <c r="A3590" s="62" t="s">
        <v>1430</v>
      </c>
      <c r="B3590" s="62" t="s">
        <v>2039</v>
      </c>
      <c r="C3590" s="63"/>
      <c r="D3590" s="64"/>
      <c r="E3590" s="65"/>
      <c r="F3590" s="66"/>
      <c r="G3590" s="63"/>
      <c r="H3590" s="67"/>
      <c r="I3590" s="68"/>
      <c r="J3590" s="68"/>
      <c r="K3590" s="32"/>
      <c r="L3590" s="75">
        <v>3590</v>
      </c>
      <c r="M3590" s="75"/>
      <c r="N3590" s="70"/>
      <c r="O3590" s="77" t="s">
        <v>2081</v>
      </c>
      <c r="P3590" s="79">
        <v>45057.748530092591</v>
      </c>
      <c r="Q3590" s="77" t="s">
        <v>5244</v>
      </c>
      <c r="R3590" s="77">
        <v>0</v>
      </c>
      <c r="S3590" s="77">
        <v>2</v>
      </c>
      <c r="T3590" s="77">
        <v>2</v>
      </c>
      <c r="U3590" s="77">
        <v>0</v>
      </c>
      <c r="V3590" s="77">
        <v>82</v>
      </c>
      <c r="W3590" s="80" t="s">
        <v>8119</v>
      </c>
      <c r="X3590" s="77"/>
      <c r="Y3590" s="77"/>
      <c r="Z3590" s="77" t="s">
        <v>2039</v>
      </c>
      <c r="AA3590" s="77"/>
      <c r="AB3590" s="77"/>
      <c r="AC3590" s="80" t="s">
        <v>10540</v>
      </c>
      <c r="AD3590" s="77" t="s">
        <v>10617</v>
      </c>
      <c r="AE3590" s="83" t="str">
        <f>HYPERLINK("https://twitter.com/leo_scampos/status/1656720294478860291")</f>
        <v>https://twitter.com/leo_scampos/status/1656720294478860291</v>
      </c>
      <c r="AF3590" s="79">
        <v>45057.748530092591</v>
      </c>
      <c r="AG3590" s="85">
        <v>45057</v>
      </c>
      <c r="AH3590" s="80" t="s">
        <v>13741</v>
      </c>
      <c r="AI3590" s="77"/>
      <c r="AJ3590" s="77" t="s">
        <v>14371</v>
      </c>
      <c r="AK3590" s="77" t="s">
        <v>14382</v>
      </c>
      <c r="AL3590" s="77" t="s">
        <v>14391</v>
      </c>
      <c r="AM3590" s="77" t="s">
        <v>14428</v>
      </c>
      <c r="AN3590" s="77" t="s">
        <v>14468</v>
      </c>
      <c r="AO3590" s="77" t="s">
        <v>14507</v>
      </c>
      <c r="AP3590" s="77" t="s">
        <v>14516</v>
      </c>
      <c r="AQ3590" s="77"/>
      <c r="AR3590" s="77"/>
      <c r="AS3590" s="77"/>
      <c r="AT3590" s="77"/>
      <c r="AU3590" s="77"/>
      <c r="AV3590" s="83" t="str">
        <f>HYPERLINK("https://pbs.twimg.com/profile_images/1405898986586882049/di3j2whB_normal.jpg")</f>
        <v>https://pbs.twimg.com/profile_images/1405898986586882049/di3j2whB_normal.jpg</v>
      </c>
      <c r="AW3590" s="80" t="s">
        <v>19297</v>
      </c>
      <c r="AX3590" s="80" t="s">
        <v>19297</v>
      </c>
      <c r="AY3590" s="77"/>
      <c r="AZ3590" s="80" t="s">
        <v>20380</v>
      </c>
      <c r="BA3590" s="80" t="s">
        <v>20380</v>
      </c>
      <c r="BB3590" s="80" t="s">
        <v>20380</v>
      </c>
      <c r="BC3590" s="80" t="s">
        <v>19297</v>
      </c>
      <c r="BD3590" s="77">
        <v>224034469</v>
      </c>
      <c r="BE3590" s="77"/>
      <c r="BF3590" s="77"/>
      <c r="BG3590" s="77"/>
      <c r="BH3590" s="77"/>
      <c r="BI3590" s="77"/>
    </row>
    <row r="3591" spans="1:61" x14ac:dyDescent="0.25">
      <c r="A3591" s="62" t="s">
        <v>1431</v>
      </c>
      <c r="B3591" s="62" t="s">
        <v>2040</v>
      </c>
      <c r="C3591" s="63"/>
      <c r="D3591" s="64"/>
      <c r="E3591" s="65"/>
      <c r="F3591" s="66"/>
      <c r="G3591" s="63"/>
      <c r="H3591" s="67"/>
      <c r="I3591" s="68"/>
      <c r="J3591" s="68"/>
      <c r="K3591" s="32"/>
      <c r="L3591" s="75">
        <v>3591</v>
      </c>
      <c r="M3591" s="75"/>
      <c r="N3591" s="70"/>
      <c r="O3591" s="77" t="s">
        <v>2078</v>
      </c>
      <c r="P3591" s="79">
        <v>45181.001898148148</v>
      </c>
      <c r="Q3591" s="77" t="s">
        <v>5245</v>
      </c>
      <c r="R3591" s="77">
        <v>0</v>
      </c>
      <c r="S3591" s="77">
        <v>1</v>
      </c>
      <c r="T3591" s="77">
        <v>0</v>
      </c>
      <c r="U3591" s="77">
        <v>0</v>
      </c>
      <c r="V3591" s="77">
        <v>9</v>
      </c>
      <c r="W3591" s="80" t="s">
        <v>5884</v>
      </c>
      <c r="X3591" s="77"/>
      <c r="Y3591" s="77"/>
      <c r="Z3591" s="77" t="s">
        <v>2040</v>
      </c>
      <c r="AA3591" s="77"/>
      <c r="AB3591" s="77"/>
      <c r="AC3591" s="80" t="s">
        <v>10540</v>
      </c>
      <c r="AD3591" s="77" t="s">
        <v>10620</v>
      </c>
      <c r="AE3591" s="83" t="str">
        <f>HYPERLINK("https://twitter.com/petersyuri18936/status/1701385821692060097")</f>
        <v>https://twitter.com/petersyuri18936/status/1701385821692060097</v>
      </c>
      <c r="AF3591" s="79">
        <v>45181.001898148148</v>
      </c>
      <c r="AG3591" s="85">
        <v>45181</v>
      </c>
      <c r="AH3591" s="80" t="s">
        <v>13742</v>
      </c>
      <c r="AI3591" s="77"/>
      <c r="AJ3591" s="77"/>
      <c r="AK3591" s="77"/>
      <c r="AL3591" s="77"/>
      <c r="AM3591" s="77"/>
      <c r="AN3591" s="77"/>
      <c r="AO3591" s="77"/>
      <c r="AP3591" s="77"/>
      <c r="AQ3591" s="77"/>
      <c r="AR3591" s="77"/>
      <c r="AS3591" s="77"/>
      <c r="AT3591" s="77"/>
      <c r="AU3591" s="77"/>
      <c r="AV3591" s="83" t="str">
        <f>HYPERLINK("https://pbs.twimg.com/profile_images/1690773017868046336/7JcDF-Mn_normal.jpg")</f>
        <v>https://pbs.twimg.com/profile_images/1690773017868046336/7JcDF-Mn_normal.jpg</v>
      </c>
      <c r="AW3591" s="80" t="s">
        <v>19298</v>
      </c>
      <c r="AX3591" s="80" t="s">
        <v>20177</v>
      </c>
      <c r="AY3591" s="80" t="s">
        <v>20358</v>
      </c>
      <c r="AZ3591" s="80" t="s">
        <v>20177</v>
      </c>
      <c r="BA3591" s="80" t="s">
        <v>20380</v>
      </c>
      <c r="BB3591" s="80" t="s">
        <v>20380</v>
      </c>
      <c r="BC3591" s="80" t="s">
        <v>20177</v>
      </c>
      <c r="BD3591" s="80" t="s">
        <v>21084</v>
      </c>
      <c r="BE3591" s="77"/>
      <c r="BF3591" s="77"/>
      <c r="BG3591" s="77"/>
      <c r="BH3591" s="77"/>
      <c r="BI3591" s="77"/>
    </row>
    <row r="3592" spans="1:61" x14ac:dyDescent="0.25">
      <c r="A3592" s="62" t="s">
        <v>1432</v>
      </c>
      <c r="B3592" s="62" t="s">
        <v>1432</v>
      </c>
      <c r="C3592" s="63"/>
      <c r="D3592" s="64"/>
      <c r="E3592" s="65"/>
      <c r="F3592" s="66"/>
      <c r="G3592" s="63"/>
      <c r="H3592" s="67"/>
      <c r="I3592" s="68"/>
      <c r="J3592" s="68"/>
      <c r="K3592" s="32"/>
      <c r="L3592" s="75">
        <v>3592</v>
      </c>
      <c r="M3592" s="75"/>
      <c r="N3592" s="70"/>
      <c r="O3592" s="77" t="s">
        <v>2078</v>
      </c>
      <c r="P3592" s="79">
        <v>45092.585636574076</v>
      </c>
      <c r="Q3592" s="77" t="s">
        <v>5246</v>
      </c>
      <c r="R3592" s="77">
        <v>0</v>
      </c>
      <c r="S3592" s="77">
        <v>0</v>
      </c>
      <c r="T3592" s="77">
        <v>0</v>
      </c>
      <c r="U3592" s="77">
        <v>0</v>
      </c>
      <c r="V3592" s="77">
        <v>132</v>
      </c>
      <c r="W3592" s="80" t="s">
        <v>8120</v>
      </c>
      <c r="X3592" s="77"/>
      <c r="Y3592" s="77"/>
      <c r="Z3592" s="77"/>
      <c r="AA3592" s="77"/>
      <c r="AB3592" s="77"/>
      <c r="AC3592" s="80" t="s">
        <v>10543</v>
      </c>
      <c r="AD3592" s="77" t="s">
        <v>10620</v>
      </c>
      <c r="AE3592" s="83" t="str">
        <f>HYPERLINK("https://twitter.com/rintereconomia/status/1669344842164604928")</f>
        <v>https://twitter.com/rintereconomia/status/1669344842164604928</v>
      </c>
      <c r="AF3592" s="79">
        <v>45092.585636574076</v>
      </c>
      <c r="AG3592" s="85">
        <v>45092</v>
      </c>
      <c r="AH3592" s="80" t="s">
        <v>13743</v>
      </c>
      <c r="AI3592" s="77"/>
      <c r="AJ3592" s="77"/>
      <c r="AK3592" s="77"/>
      <c r="AL3592" s="77"/>
      <c r="AM3592" s="77"/>
      <c r="AN3592" s="77"/>
      <c r="AO3592" s="77"/>
      <c r="AP3592" s="77"/>
      <c r="AQ3592" s="77"/>
      <c r="AR3592" s="77"/>
      <c r="AS3592" s="77"/>
      <c r="AT3592" s="77"/>
      <c r="AU3592" s="77"/>
      <c r="AV3592" s="83" t="str">
        <f>HYPERLINK("https://pbs.twimg.com/profile_images/1612394971415322624/yh5vTeG0_normal.jpg")</f>
        <v>https://pbs.twimg.com/profile_images/1612394971415322624/yh5vTeG0_normal.jpg</v>
      </c>
      <c r="AW3592" s="80" t="s">
        <v>19299</v>
      </c>
      <c r="AX3592" s="80" t="s">
        <v>20178</v>
      </c>
      <c r="AY3592" s="80" t="s">
        <v>20359</v>
      </c>
      <c r="AZ3592" s="80" t="s">
        <v>20468</v>
      </c>
      <c r="BA3592" s="80" t="s">
        <v>20380</v>
      </c>
      <c r="BB3592" s="80" t="s">
        <v>20380</v>
      </c>
      <c r="BC3592" s="80" t="s">
        <v>20468</v>
      </c>
      <c r="BD3592" s="77">
        <v>16886866</v>
      </c>
      <c r="BE3592" s="77"/>
      <c r="BF3592" s="77"/>
      <c r="BG3592" s="77"/>
      <c r="BH3592" s="77"/>
      <c r="BI3592" s="77"/>
    </row>
    <row r="3593" spans="1:61" x14ac:dyDescent="0.25">
      <c r="A3593" s="62" t="s">
        <v>1433</v>
      </c>
      <c r="B3593" s="62" t="s">
        <v>1433</v>
      </c>
      <c r="C3593" s="63"/>
      <c r="D3593" s="64"/>
      <c r="E3593" s="65"/>
      <c r="F3593" s="66"/>
      <c r="G3593" s="63"/>
      <c r="H3593" s="67"/>
      <c r="I3593" s="68"/>
      <c r="J3593" s="68"/>
      <c r="K3593" s="32"/>
      <c r="L3593" s="75">
        <v>3593</v>
      </c>
      <c r="M3593" s="75"/>
      <c r="N3593" s="70"/>
      <c r="O3593" s="77" t="s">
        <v>179</v>
      </c>
      <c r="P3593" s="79">
        <v>45086.881562499999</v>
      </c>
      <c r="Q3593" s="77" t="s">
        <v>5247</v>
      </c>
      <c r="R3593" s="77">
        <v>0</v>
      </c>
      <c r="S3593" s="77">
        <v>3</v>
      </c>
      <c r="T3593" s="77">
        <v>0</v>
      </c>
      <c r="U3593" s="77">
        <v>0</v>
      </c>
      <c r="V3593" s="77">
        <v>68</v>
      </c>
      <c r="W3593" s="80" t="s">
        <v>8121</v>
      </c>
      <c r="X3593" s="83" t="str">
        <f>HYPERLINK("https://www.ambito.com/uruguay/la-inflacion-deberia-estar-la-mitad-las-cifras-actuales-segun-labat-n5741768")</f>
        <v>https://www.ambito.com/uruguay/la-inflacion-deberia-estar-la-mitad-las-cifras-actuales-segun-labat-n5741768</v>
      </c>
      <c r="Y3593" s="77" t="s">
        <v>8848</v>
      </c>
      <c r="Z3593" s="77"/>
      <c r="AA3593" s="77"/>
      <c r="AB3593" s="77"/>
      <c r="AC3593" s="80" t="s">
        <v>10540</v>
      </c>
      <c r="AD3593" s="77" t="s">
        <v>10620</v>
      </c>
      <c r="AE3593" s="83" t="str">
        <f>HYPERLINK("https://twitter.com/sarficos/status/1667277752574124037")</f>
        <v>https://twitter.com/sarficos/status/1667277752574124037</v>
      </c>
      <c r="AF3593" s="79">
        <v>45086.881562499999</v>
      </c>
      <c r="AG3593" s="85">
        <v>45086</v>
      </c>
      <c r="AH3593" s="80" t="s">
        <v>13744</v>
      </c>
      <c r="AI3593" s="77" t="b">
        <v>0</v>
      </c>
      <c r="AJ3593" s="77"/>
      <c r="AK3593" s="77"/>
      <c r="AL3593" s="77"/>
      <c r="AM3593" s="77"/>
      <c r="AN3593" s="77"/>
      <c r="AO3593" s="77"/>
      <c r="AP3593" s="77"/>
      <c r="AQ3593" s="77"/>
      <c r="AR3593" s="77"/>
      <c r="AS3593" s="77"/>
      <c r="AT3593" s="77"/>
      <c r="AU3593" s="77"/>
      <c r="AV3593" s="83" t="str">
        <f>HYPERLINK("https://pbs.twimg.com/profile_images/3604098875/07e83ed144af8970475112800ab03193_normal.jpeg")</f>
        <v>https://pbs.twimg.com/profile_images/3604098875/07e83ed144af8970475112800ab03193_normal.jpeg</v>
      </c>
      <c r="AW3593" s="80" t="s">
        <v>19300</v>
      </c>
      <c r="AX3593" s="80" t="s">
        <v>19300</v>
      </c>
      <c r="AY3593" s="77"/>
      <c r="AZ3593" s="80" t="s">
        <v>20380</v>
      </c>
      <c r="BA3593" s="80" t="s">
        <v>20380</v>
      </c>
      <c r="BB3593" s="80" t="s">
        <v>20380</v>
      </c>
      <c r="BC3593" s="80" t="s">
        <v>19300</v>
      </c>
      <c r="BD3593" s="77">
        <v>1394564412</v>
      </c>
      <c r="BE3593" s="77"/>
      <c r="BF3593" s="77"/>
      <c r="BG3593" s="77"/>
      <c r="BH3593" s="77"/>
      <c r="BI3593" s="77"/>
    </row>
    <row r="3594" spans="1:61" x14ac:dyDescent="0.25">
      <c r="A3594" s="62" t="s">
        <v>1434</v>
      </c>
      <c r="B3594" s="62" t="s">
        <v>1434</v>
      </c>
      <c r="C3594" s="63"/>
      <c r="D3594" s="64"/>
      <c r="E3594" s="65"/>
      <c r="F3594" s="66"/>
      <c r="G3594" s="63"/>
      <c r="H3594" s="67"/>
      <c r="I3594" s="68"/>
      <c r="J3594" s="68"/>
      <c r="K3594" s="32"/>
      <c r="L3594" s="75">
        <v>3594</v>
      </c>
      <c r="M3594" s="75"/>
      <c r="N3594" s="70"/>
      <c r="O3594" s="77" t="s">
        <v>179</v>
      </c>
      <c r="P3594" s="79">
        <v>45060.793981481482</v>
      </c>
      <c r="Q3594" s="77" t="s">
        <v>5248</v>
      </c>
      <c r="R3594" s="77">
        <v>0</v>
      </c>
      <c r="S3594" s="77">
        <v>0</v>
      </c>
      <c r="T3594" s="77">
        <v>0</v>
      </c>
      <c r="U3594" s="77">
        <v>0</v>
      </c>
      <c r="V3594" s="77">
        <v>48</v>
      </c>
      <c r="W3594" s="80" t="s">
        <v>8122</v>
      </c>
      <c r="X3594" s="83" t="str">
        <f>HYPERLINK("https://mtr.cool/afalazrjsl")</f>
        <v>https://mtr.cool/afalazrjsl</v>
      </c>
      <c r="Y3594" s="77" t="s">
        <v>8632</v>
      </c>
      <c r="Z3594" s="77"/>
      <c r="AA3594" s="77"/>
      <c r="AB3594" s="77"/>
      <c r="AC3594" s="80" t="s">
        <v>10543</v>
      </c>
      <c r="AD3594" s="77" t="s">
        <v>10620</v>
      </c>
      <c r="AE3594" s="83" t="str">
        <f>HYPERLINK("https://twitter.com/forbeschile/status/1657823932311908354")</f>
        <v>https://twitter.com/forbeschile/status/1657823932311908354</v>
      </c>
      <c r="AF3594" s="79">
        <v>45060.793981481482</v>
      </c>
      <c r="AG3594" s="85">
        <v>45060</v>
      </c>
      <c r="AH3594" s="80" t="s">
        <v>13745</v>
      </c>
      <c r="AI3594" s="77" t="b">
        <v>0</v>
      </c>
      <c r="AJ3594" s="77"/>
      <c r="AK3594" s="77"/>
      <c r="AL3594" s="77"/>
      <c r="AM3594" s="77"/>
      <c r="AN3594" s="77"/>
      <c r="AO3594" s="77"/>
      <c r="AP3594" s="77"/>
      <c r="AQ3594" s="77"/>
      <c r="AR3594" s="77"/>
      <c r="AS3594" s="77"/>
      <c r="AT3594" s="77"/>
      <c r="AU3594" s="77"/>
      <c r="AV3594" s="83" t="str">
        <f>HYPERLINK("https://pbs.twimg.com/profile_images/1698906126459322368/n2iw_V-w_normal.jpg")</f>
        <v>https://pbs.twimg.com/profile_images/1698906126459322368/n2iw_V-w_normal.jpg</v>
      </c>
      <c r="AW3594" s="80" t="s">
        <v>19301</v>
      </c>
      <c r="AX3594" s="80" t="s">
        <v>19301</v>
      </c>
      <c r="AY3594" s="77"/>
      <c r="AZ3594" s="80" t="s">
        <v>20380</v>
      </c>
      <c r="BA3594" s="80" t="s">
        <v>20380</v>
      </c>
      <c r="BB3594" s="80" t="s">
        <v>20380</v>
      </c>
      <c r="BC3594" s="80" t="s">
        <v>19301</v>
      </c>
      <c r="BD3594" s="80" t="s">
        <v>21085</v>
      </c>
      <c r="BE3594" s="77"/>
      <c r="BF3594" s="77"/>
      <c r="BG3594" s="77"/>
      <c r="BH3594" s="77"/>
      <c r="BI3594" s="77"/>
    </row>
    <row r="3595" spans="1:61" x14ac:dyDescent="0.25">
      <c r="A3595" s="62" t="s">
        <v>1434</v>
      </c>
      <c r="B3595" s="62" t="s">
        <v>1434</v>
      </c>
      <c r="C3595" s="63"/>
      <c r="D3595" s="64"/>
      <c r="E3595" s="65"/>
      <c r="F3595" s="66"/>
      <c r="G3595" s="63"/>
      <c r="H3595" s="67"/>
      <c r="I3595" s="68"/>
      <c r="J3595" s="68"/>
      <c r="K3595" s="32"/>
      <c r="L3595" s="75">
        <v>3595</v>
      </c>
      <c r="M3595" s="75"/>
      <c r="N3595" s="70"/>
      <c r="O3595" s="77" t="s">
        <v>179</v>
      </c>
      <c r="P3595" s="79">
        <v>45072.604583333334</v>
      </c>
      <c r="Q3595" s="77" t="s">
        <v>5249</v>
      </c>
      <c r="R3595" s="77">
        <v>0</v>
      </c>
      <c r="S3595" s="77">
        <v>0</v>
      </c>
      <c r="T3595" s="77">
        <v>0</v>
      </c>
      <c r="U3595" s="77">
        <v>0</v>
      </c>
      <c r="V3595" s="77">
        <v>51</v>
      </c>
      <c r="W3595" s="80" t="s">
        <v>8122</v>
      </c>
      <c r="X3595" s="83" t="str">
        <f>HYPERLINK("https://mtr.cool/rbwvcbsauf")</f>
        <v>https://mtr.cool/rbwvcbsauf</v>
      </c>
      <c r="Y3595" s="77" t="s">
        <v>8632</v>
      </c>
      <c r="Z3595" s="77"/>
      <c r="AA3595" s="77"/>
      <c r="AB3595" s="77"/>
      <c r="AC3595" s="80" t="s">
        <v>10543</v>
      </c>
      <c r="AD3595" s="77" t="s">
        <v>10620</v>
      </c>
      <c r="AE3595" s="83" t="str">
        <f>HYPERLINK("https://twitter.com/forbeschile/status/1662103949397164033")</f>
        <v>https://twitter.com/forbeschile/status/1662103949397164033</v>
      </c>
      <c r="AF3595" s="79">
        <v>45072.604583333334</v>
      </c>
      <c r="AG3595" s="85">
        <v>45072</v>
      </c>
      <c r="AH3595" s="80" t="s">
        <v>13746</v>
      </c>
      <c r="AI3595" s="77" t="b">
        <v>0</v>
      </c>
      <c r="AJ3595" s="77"/>
      <c r="AK3595" s="77"/>
      <c r="AL3595" s="77"/>
      <c r="AM3595" s="77"/>
      <c r="AN3595" s="77"/>
      <c r="AO3595" s="77"/>
      <c r="AP3595" s="77"/>
      <c r="AQ3595" s="77"/>
      <c r="AR3595" s="77"/>
      <c r="AS3595" s="77"/>
      <c r="AT3595" s="77"/>
      <c r="AU3595" s="77"/>
      <c r="AV3595" s="83" t="str">
        <f>HYPERLINK("https://pbs.twimg.com/profile_images/1698906126459322368/n2iw_V-w_normal.jpg")</f>
        <v>https://pbs.twimg.com/profile_images/1698906126459322368/n2iw_V-w_normal.jpg</v>
      </c>
      <c r="AW3595" s="80" t="s">
        <v>19302</v>
      </c>
      <c r="AX3595" s="80" t="s">
        <v>19302</v>
      </c>
      <c r="AY3595" s="77"/>
      <c r="AZ3595" s="80" t="s">
        <v>20380</v>
      </c>
      <c r="BA3595" s="80" t="s">
        <v>20380</v>
      </c>
      <c r="BB3595" s="80" t="s">
        <v>20380</v>
      </c>
      <c r="BC3595" s="80" t="s">
        <v>19302</v>
      </c>
      <c r="BD3595" s="80" t="s">
        <v>21085</v>
      </c>
      <c r="BE3595" s="77"/>
      <c r="BF3595" s="77"/>
      <c r="BG3595" s="77"/>
      <c r="BH3595" s="77"/>
      <c r="BI3595" s="77"/>
    </row>
    <row r="3596" spans="1:61" x14ac:dyDescent="0.25">
      <c r="A3596" s="62" t="s">
        <v>1434</v>
      </c>
      <c r="B3596" s="62" t="s">
        <v>1434</v>
      </c>
      <c r="C3596" s="63"/>
      <c r="D3596" s="64"/>
      <c r="E3596" s="65"/>
      <c r="F3596" s="66"/>
      <c r="G3596" s="63"/>
      <c r="H3596" s="67"/>
      <c r="I3596" s="68"/>
      <c r="J3596" s="68"/>
      <c r="K3596" s="32"/>
      <c r="L3596" s="75">
        <v>3596</v>
      </c>
      <c r="M3596" s="75"/>
      <c r="N3596" s="70"/>
      <c r="O3596" s="77" t="s">
        <v>179</v>
      </c>
      <c r="P3596" s="79">
        <v>45071.540648148148</v>
      </c>
      <c r="Q3596" s="77" t="s">
        <v>5250</v>
      </c>
      <c r="R3596" s="77">
        <v>0</v>
      </c>
      <c r="S3596" s="77">
        <v>0</v>
      </c>
      <c r="T3596" s="77">
        <v>0</v>
      </c>
      <c r="U3596" s="77">
        <v>0</v>
      </c>
      <c r="V3596" s="77">
        <v>46</v>
      </c>
      <c r="W3596" s="80" t="s">
        <v>8123</v>
      </c>
      <c r="X3596" s="83" t="str">
        <f>HYPERLINK("https://mtr.cool/bouibqfqzs")</f>
        <v>https://mtr.cool/bouibqfqzs</v>
      </c>
      <c r="Y3596" s="77" t="s">
        <v>8632</v>
      </c>
      <c r="Z3596" s="77"/>
      <c r="AA3596" s="77"/>
      <c r="AB3596" s="77"/>
      <c r="AC3596" s="80" t="s">
        <v>10543</v>
      </c>
      <c r="AD3596" s="77" t="s">
        <v>10620</v>
      </c>
      <c r="AE3596" s="83" t="str">
        <f>HYPERLINK("https://twitter.com/forbeschile/status/1661718391185391618")</f>
        <v>https://twitter.com/forbeschile/status/1661718391185391618</v>
      </c>
      <c r="AF3596" s="79">
        <v>45071.540648148148</v>
      </c>
      <c r="AG3596" s="85">
        <v>45071</v>
      </c>
      <c r="AH3596" s="80" t="s">
        <v>13747</v>
      </c>
      <c r="AI3596" s="77" t="b">
        <v>0</v>
      </c>
      <c r="AJ3596" s="77"/>
      <c r="AK3596" s="77"/>
      <c r="AL3596" s="77"/>
      <c r="AM3596" s="77"/>
      <c r="AN3596" s="77"/>
      <c r="AO3596" s="77"/>
      <c r="AP3596" s="77"/>
      <c r="AQ3596" s="77"/>
      <c r="AR3596" s="77"/>
      <c r="AS3596" s="77"/>
      <c r="AT3596" s="77"/>
      <c r="AU3596" s="77"/>
      <c r="AV3596" s="83" t="str">
        <f>HYPERLINK("https://pbs.twimg.com/profile_images/1698906126459322368/n2iw_V-w_normal.jpg")</f>
        <v>https://pbs.twimg.com/profile_images/1698906126459322368/n2iw_V-w_normal.jpg</v>
      </c>
      <c r="AW3596" s="80" t="s">
        <v>19303</v>
      </c>
      <c r="AX3596" s="80" t="s">
        <v>19303</v>
      </c>
      <c r="AY3596" s="77"/>
      <c r="AZ3596" s="80" t="s">
        <v>20380</v>
      </c>
      <c r="BA3596" s="80" t="s">
        <v>20380</v>
      </c>
      <c r="BB3596" s="80" t="s">
        <v>20380</v>
      </c>
      <c r="BC3596" s="80" t="s">
        <v>19303</v>
      </c>
      <c r="BD3596" s="80" t="s">
        <v>21085</v>
      </c>
      <c r="BE3596" s="77"/>
      <c r="BF3596" s="77"/>
      <c r="BG3596" s="77"/>
      <c r="BH3596" s="77"/>
      <c r="BI3596" s="77"/>
    </row>
    <row r="3597" spans="1:61" x14ac:dyDescent="0.25">
      <c r="A3597" s="62" t="s">
        <v>1435</v>
      </c>
      <c r="B3597" s="62" t="s">
        <v>1435</v>
      </c>
      <c r="C3597" s="63"/>
      <c r="D3597" s="64"/>
      <c r="E3597" s="65"/>
      <c r="F3597" s="66"/>
      <c r="G3597" s="63"/>
      <c r="H3597" s="67"/>
      <c r="I3597" s="68"/>
      <c r="J3597" s="68"/>
      <c r="K3597" s="32"/>
      <c r="L3597" s="75">
        <v>3597</v>
      </c>
      <c r="M3597" s="75"/>
      <c r="N3597" s="70"/>
      <c r="O3597" s="77" t="s">
        <v>179</v>
      </c>
      <c r="P3597" s="79">
        <v>45113.75236111111</v>
      </c>
      <c r="Q3597" s="77" t="s">
        <v>5251</v>
      </c>
      <c r="R3597" s="77">
        <v>0</v>
      </c>
      <c r="S3597" s="77">
        <v>0</v>
      </c>
      <c r="T3597" s="77">
        <v>0</v>
      </c>
      <c r="U3597" s="77">
        <v>0</v>
      </c>
      <c r="V3597" s="77">
        <v>44</v>
      </c>
      <c r="W3597" s="80" t="s">
        <v>8124</v>
      </c>
      <c r="X3597" s="77"/>
      <c r="Y3597" s="77"/>
      <c r="Z3597" s="77"/>
      <c r="AA3597" s="77"/>
      <c r="AB3597" s="77"/>
      <c r="AC3597" s="80" t="s">
        <v>10540</v>
      </c>
      <c r="AD3597" s="77" t="s">
        <v>10617</v>
      </c>
      <c r="AE3597" s="83" t="str">
        <f>HYPERLINK("https://twitter.com/moreiramenesesd/status/1677015402365296640")</f>
        <v>https://twitter.com/moreiramenesesd/status/1677015402365296640</v>
      </c>
      <c r="AF3597" s="79">
        <v>45113.75236111111</v>
      </c>
      <c r="AG3597" s="85">
        <v>45113</v>
      </c>
      <c r="AH3597" s="80" t="s">
        <v>13320</v>
      </c>
      <c r="AI3597" s="77"/>
      <c r="AJ3597" s="77"/>
      <c r="AK3597" s="77"/>
      <c r="AL3597" s="77"/>
      <c r="AM3597" s="77"/>
      <c r="AN3597" s="77"/>
      <c r="AO3597" s="77"/>
      <c r="AP3597" s="77"/>
      <c r="AQ3597" s="77"/>
      <c r="AR3597" s="77"/>
      <c r="AS3597" s="77"/>
      <c r="AT3597" s="77"/>
      <c r="AU3597" s="77"/>
      <c r="AV3597" s="83" t="str">
        <f>HYPERLINK("https://pbs.twimg.com/profile_images/1585675656800739331/IfeUc2nZ_normal.jpg")</f>
        <v>https://pbs.twimg.com/profile_images/1585675656800739331/IfeUc2nZ_normal.jpg</v>
      </c>
      <c r="AW3597" s="80" t="s">
        <v>19304</v>
      </c>
      <c r="AX3597" s="80" t="s">
        <v>19304</v>
      </c>
      <c r="AY3597" s="77"/>
      <c r="AZ3597" s="80" t="s">
        <v>20380</v>
      </c>
      <c r="BA3597" s="80" t="s">
        <v>20380</v>
      </c>
      <c r="BB3597" s="80" t="s">
        <v>20380</v>
      </c>
      <c r="BC3597" s="80" t="s">
        <v>19304</v>
      </c>
      <c r="BD3597" s="80" t="s">
        <v>21086</v>
      </c>
      <c r="BE3597" s="77"/>
      <c r="BF3597" s="77"/>
      <c r="BG3597" s="77"/>
      <c r="BH3597" s="77"/>
      <c r="BI3597" s="77"/>
    </row>
    <row r="3598" spans="1:61" x14ac:dyDescent="0.25">
      <c r="A3598" s="62" t="s">
        <v>1435</v>
      </c>
      <c r="B3598" s="62" t="s">
        <v>1435</v>
      </c>
      <c r="C3598" s="63"/>
      <c r="D3598" s="64"/>
      <c r="E3598" s="65"/>
      <c r="F3598" s="66"/>
      <c r="G3598" s="63"/>
      <c r="H3598" s="67"/>
      <c r="I3598" s="68"/>
      <c r="J3598" s="68"/>
      <c r="K3598" s="32"/>
      <c r="L3598" s="75">
        <v>3598</v>
      </c>
      <c r="M3598" s="75"/>
      <c r="N3598" s="70"/>
      <c r="O3598" s="77" t="s">
        <v>179</v>
      </c>
      <c r="P3598" s="79">
        <v>45103.40552083333</v>
      </c>
      <c r="Q3598" s="77" t="s">
        <v>5252</v>
      </c>
      <c r="R3598" s="77">
        <v>0</v>
      </c>
      <c r="S3598" s="77">
        <v>0</v>
      </c>
      <c r="T3598" s="77">
        <v>0</v>
      </c>
      <c r="U3598" s="77">
        <v>0</v>
      </c>
      <c r="V3598" s="77">
        <v>49</v>
      </c>
      <c r="W3598" s="80" t="s">
        <v>8125</v>
      </c>
      <c r="X3598" s="77"/>
      <c r="Y3598" s="77"/>
      <c r="Z3598" s="77"/>
      <c r="AA3598" s="77"/>
      <c r="AB3598" s="77"/>
      <c r="AC3598" s="80" t="s">
        <v>10540</v>
      </c>
      <c r="AD3598" s="77" t="s">
        <v>10617</v>
      </c>
      <c r="AE3598" s="83" t="str">
        <f>HYPERLINK("https://twitter.com/moreiramenesesd/status/1673265835073318912")</f>
        <v>https://twitter.com/moreiramenesesd/status/1673265835073318912</v>
      </c>
      <c r="AF3598" s="79">
        <v>45103.40552083333</v>
      </c>
      <c r="AG3598" s="85">
        <v>45103</v>
      </c>
      <c r="AH3598" s="80" t="s">
        <v>13748</v>
      </c>
      <c r="AI3598" s="77"/>
      <c r="AJ3598" s="77"/>
      <c r="AK3598" s="77"/>
      <c r="AL3598" s="77"/>
      <c r="AM3598" s="77"/>
      <c r="AN3598" s="77"/>
      <c r="AO3598" s="77"/>
      <c r="AP3598" s="77"/>
      <c r="AQ3598" s="77"/>
      <c r="AR3598" s="77"/>
      <c r="AS3598" s="77"/>
      <c r="AT3598" s="77"/>
      <c r="AU3598" s="77"/>
      <c r="AV3598" s="83" t="str">
        <f>HYPERLINK("https://pbs.twimg.com/profile_images/1585675656800739331/IfeUc2nZ_normal.jpg")</f>
        <v>https://pbs.twimg.com/profile_images/1585675656800739331/IfeUc2nZ_normal.jpg</v>
      </c>
      <c r="AW3598" s="80" t="s">
        <v>19305</v>
      </c>
      <c r="AX3598" s="80" t="s">
        <v>19305</v>
      </c>
      <c r="AY3598" s="77"/>
      <c r="AZ3598" s="80" t="s">
        <v>20380</v>
      </c>
      <c r="BA3598" s="80" t="s">
        <v>20380</v>
      </c>
      <c r="BB3598" s="80" t="s">
        <v>20380</v>
      </c>
      <c r="BC3598" s="80" t="s">
        <v>19305</v>
      </c>
      <c r="BD3598" s="80" t="s">
        <v>21086</v>
      </c>
      <c r="BE3598" s="77"/>
      <c r="BF3598" s="77"/>
      <c r="BG3598" s="77"/>
      <c r="BH3598" s="77"/>
      <c r="BI3598" s="77"/>
    </row>
    <row r="3599" spans="1:61" x14ac:dyDescent="0.25">
      <c r="A3599" s="62" t="s">
        <v>1436</v>
      </c>
      <c r="B3599" s="62" t="s">
        <v>1596</v>
      </c>
      <c r="C3599" s="63"/>
      <c r="D3599" s="64"/>
      <c r="E3599" s="65"/>
      <c r="F3599" s="66"/>
      <c r="G3599" s="63"/>
      <c r="H3599" s="67"/>
      <c r="I3599" s="68"/>
      <c r="J3599" s="68"/>
      <c r="K3599" s="32"/>
      <c r="L3599" s="75">
        <v>3599</v>
      </c>
      <c r="M3599" s="75"/>
      <c r="N3599" s="70"/>
      <c r="O3599" s="77" t="s">
        <v>2081</v>
      </c>
      <c r="P3599" s="79">
        <v>45107.750023148146</v>
      </c>
      <c r="Q3599" s="77" t="s">
        <v>5253</v>
      </c>
      <c r="R3599" s="77">
        <v>0</v>
      </c>
      <c r="S3599" s="77">
        <v>1</v>
      </c>
      <c r="T3599" s="77">
        <v>0</v>
      </c>
      <c r="U3599" s="77">
        <v>0</v>
      </c>
      <c r="V3599" s="77">
        <v>10</v>
      </c>
      <c r="W3599" s="80" t="s">
        <v>8126</v>
      </c>
      <c r="X3599" s="83" t="str">
        <f>HYPERLINK("https://diariodoacionista.com.br/bc-aumenta-projecao-de-crescimento-do-pib-de-12-para-2/")</f>
        <v>https://diariodoacionista.com.br/bc-aumenta-projecao-de-crescimento-do-pib-de-12-para-2/</v>
      </c>
      <c r="Y3599" s="77" t="s">
        <v>8611</v>
      </c>
      <c r="Z3599" s="77" t="s">
        <v>1596</v>
      </c>
      <c r="AA3599" s="77"/>
      <c r="AB3599" s="77"/>
      <c r="AC3599" s="80" t="s">
        <v>10541</v>
      </c>
      <c r="AD3599" s="77" t="s">
        <v>10617</v>
      </c>
      <c r="AE3599" s="83" t="str">
        <f>HYPERLINK("https://twitter.com/diarioacionista/status/1674840231416299522")</f>
        <v>https://twitter.com/diarioacionista/status/1674840231416299522</v>
      </c>
      <c r="AF3599" s="79">
        <v>45107.750023148146</v>
      </c>
      <c r="AG3599" s="85">
        <v>45107</v>
      </c>
      <c r="AH3599" s="80" t="s">
        <v>13749</v>
      </c>
      <c r="AI3599" s="77" t="b">
        <v>0</v>
      </c>
      <c r="AJ3599" s="77"/>
      <c r="AK3599" s="77"/>
      <c r="AL3599" s="77"/>
      <c r="AM3599" s="77"/>
      <c r="AN3599" s="77"/>
      <c r="AO3599" s="77"/>
      <c r="AP3599" s="77"/>
      <c r="AQ3599" s="77"/>
      <c r="AR3599" s="77"/>
      <c r="AS3599" s="77"/>
      <c r="AT3599" s="77"/>
      <c r="AU3599" s="77"/>
      <c r="AV3599" s="83" t="str">
        <f>HYPERLINK("https://pbs.twimg.com/profile_images/1162455953654071296/oT9I5C1b_normal.jpg")</f>
        <v>https://pbs.twimg.com/profile_images/1162455953654071296/oT9I5C1b_normal.jpg</v>
      </c>
      <c r="AW3599" s="80" t="s">
        <v>19306</v>
      </c>
      <c r="AX3599" s="80" t="s">
        <v>19306</v>
      </c>
      <c r="AY3599" s="77"/>
      <c r="AZ3599" s="80" t="s">
        <v>20380</v>
      </c>
      <c r="BA3599" s="80" t="s">
        <v>20380</v>
      </c>
      <c r="BB3599" s="80" t="s">
        <v>20380</v>
      </c>
      <c r="BC3599" s="80" t="s">
        <v>19306</v>
      </c>
      <c r="BD3599" s="80" t="s">
        <v>21087</v>
      </c>
      <c r="BE3599" s="77"/>
      <c r="BF3599" s="77"/>
      <c r="BG3599" s="77"/>
      <c r="BH3599" s="77"/>
      <c r="BI3599" s="77"/>
    </row>
    <row r="3600" spans="1:61" x14ac:dyDescent="0.25">
      <c r="A3600" s="62" t="s">
        <v>1436</v>
      </c>
      <c r="B3600" s="62" t="s">
        <v>1596</v>
      </c>
      <c r="C3600" s="63"/>
      <c r="D3600" s="64"/>
      <c r="E3600" s="65"/>
      <c r="F3600" s="66"/>
      <c r="G3600" s="63"/>
      <c r="H3600" s="67"/>
      <c r="I3600" s="68"/>
      <c r="J3600" s="68"/>
      <c r="K3600" s="32"/>
      <c r="L3600" s="75">
        <v>3600</v>
      </c>
      <c r="M3600" s="75"/>
      <c r="N3600" s="70"/>
      <c r="O3600" s="77" t="s">
        <v>2081</v>
      </c>
      <c r="P3600" s="79">
        <v>45112.541666666664</v>
      </c>
      <c r="Q3600" s="77" t="s">
        <v>5254</v>
      </c>
      <c r="R3600" s="77">
        <v>0</v>
      </c>
      <c r="S3600" s="77">
        <v>1</v>
      </c>
      <c r="T3600" s="77">
        <v>0</v>
      </c>
      <c r="U3600" s="77">
        <v>0</v>
      </c>
      <c r="V3600" s="77">
        <v>37</v>
      </c>
      <c r="W3600" s="80" t="s">
        <v>8127</v>
      </c>
      <c r="X3600" s="83" t="str">
        <f>HYPERLINK("https://diariodoacionista.com.br/plenario-do-senado-aprova-novos-diretores-do-banco-central/")</f>
        <v>https://diariodoacionista.com.br/plenario-do-senado-aprova-novos-diretores-do-banco-central/</v>
      </c>
      <c r="Y3600" s="77" t="s">
        <v>8611</v>
      </c>
      <c r="Z3600" s="77" t="s">
        <v>1596</v>
      </c>
      <c r="AA3600" s="77"/>
      <c r="AB3600" s="77"/>
      <c r="AC3600" s="80" t="s">
        <v>10541</v>
      </c>
      <c r="AD3600" s="77" t="s">
        <v>10617</v>
      </c>
      <c r="AE3600" s="83" t="str">
        <f>HYPERLINK("https://twitter.com/diarioacionista/status/1676576662131974144")</f>
        <v>https://twitter.com/diarioacionista/status/1676576662131974144</v>
      </c>
      <c r="AF3600" s="79">
        <v>45112.541666666664</v>
      </c>
      <c r="AG3600" s="85">
        <v>45112</v>
      </c>
      <c r="AH3600" s="80" t="s">
        <v>11297</v>
      </c>
      <c r="AI3600" s="77" t="b">
        <v>0</v>
      </c>
      <c r="AJ3600" s="77"/>
      <c r="AK3600" s="77"/>
      <c r="AL3600" s="77"/>
      <c r="AM3600" s="77"/>
      <c r="AN3600" s="77"/>
      <c r="AO3600" s="77"/>
      <c r="AP3600" s="77"/>
      <c r="AQ3600" s="77"/>
      <c r="AR3600" s="77"/>
      <c r="AS3600" s="77"/>
      <c r="AT3600" s="77"/>
      <c r="AU3600" s="77"/>
      <c r="AV3600" s="83" t="str">
        <f>HYPERLINK("https://pbs.twimg.com/profile_images/1162455953654071296/oT9I5C1b_normal.jpg")</f>
        <v>https://pbs.twimg.com/profile_images/1162455953654071296/oT9I5C1b_normal.jpg</v>
      </c>
      <c r="AW3600" s="80" t="s">
        <v>19307</v>
      </c>
      <c r="AX3600" s="80" t="s">
        <v>19307</v>
      </c>
      <c r="AY3600" s="77"/>
      <c r="AZ3600" s="80" t="s">
        <v>20380</v>
      </c>
      <c r="BA3600" s="80" t="s">
        <v>20380</v>
      </c>
      <c r="BB3600" s="80" t="s">
        <v>20380</v>
      </c>
      <c r="BC3600" s="80" t="s">
        <v>19307</v>
      </c>
      <c r="BD3600" s="80" t="s">
        <v>21087</v>
      </c>
      <c r="BE3600" s="77"/>
      <c r="BF3600" s="77"/>
      <c r="BG3600" s="77"/>
      <c r="BH3600" s="77"/>
      <c r="BI3600" s="77"/>
    </row>
    <row r="3601" spans="1:61" x14ac:dyDescent="0.25">
      <c r="A3601" s="62" t="s">
        <v>1437</v>
      </c>
      <c r="B3601" s="62" t="s">
        <v>1615</v>
      </c>
      <c r="C3601" s="63"/>
      <c r="D3601" s="64"/>
      <c r="E3601" s="65"/>
      <c r="F3601" s="66"/>
      <c r="G3601" s="63"/>
      <c r="H3601" s="67"/>
      <c r="I3601" s="68"/>
      <c r="J3601" s="68"/>
      <c r="K3601" s="32"/>
      <c r="L3601" s="75">
        <v>3601</v>
      </c>
      <c r="M3601" s="75"/>
      <c r="N3601" s="70"/>
      <c r="O3601" s="77" t="s">
        <v>2083</v>
      </c>
      <c r="P3601" s="79">
        <v>45189.62945601852</v>
      </c>
      <c r="Q3601" s="77" t="s">
        <v>2102</v>
      </c>
      <c r="R3601" s="77">
        <v>10</v>
      </c>
      <c r="S3601" s="77">
        <v>0</v>
      </c>
      <c r="T3601" s="77">
        <v>0</v>
      </c>
      <c r="U3601" s="77">
        <v>0</v>
      </c>
      <c r="V3601" s="77"/>
      <c r="W3601" s="80" t="s">
        <v>5899</v>
      </c>
      <c r="X3601" s="77"/>
      <c r="Y3601" s="77"/>
      <c r="Z3601" s="77" t="s">
        <v>1615</v>
      </c>
      <c r="AA3601" s="77" t="s">
        <v>9047</v>
      </c>
      <c r="AB3601" s="77" t="s">
        <v>10535</v>
      </c>
      <c r="AC3601" s="80" t="s">
        <v>10542</v>
      </c>
      <c r="AD3601" s="77" t="s">
        <v>10619</v>
      </c>
      <c r="AE3601" s="83" t="str">
        <f>HYPERLINK("https://twitter.com/jerthaplug/status/1704512342732505385")</f>
        <v>https://twitter.com/jerthaplug/status/1704512342732505385</v>
      </c>
      <c r="AF3601" s="79">
        <v>45189.62945601852</v>
      </c>
      <c r="AG3601" s="85">
        <v>45189</v>
      </c>
      <c r="AH3601" s="80" t="s">
        <v>13750</v>
      </c>
      <c r="AI3601" s="77" t="b">
        <v>1</v>
      </c>
      <c r="AJ3601" s="77"/>
      <c r="AK3601" s="77"/>
      <c r="AL3601" s="77"/>
      <c r="AM3601" s="77"/>
      <c r="AN3601" s="77"/>
      <c r="AO3601" s="77"/>
      <c r="AP3601" s="77"/>
      <c r="AQ3601" s="77" t="s">
        <v>14529</v>
      </c>
      <c r="AR3601" s="77"/>
      <c r="AS3601" s="77"/>
      <c r="AT3601" s="77"/>
      <c r="AU3601" s="77"/>
      <c r="AV3601" s="83" t="str">
        <f>HYPERLINK("https://pbs.twimg.com/media/F6c2kgoWAAAEEnO.jpg")</f>
        <v>https://pbs.twimg.com/media/F6c2kgoWAAAEEnO.jpg</v>
      </c>
      <c r="AW3601" s="80" t="s">
        <v>19308</v>
      </c>
      <c r="AX3601" s="80" t="s">
        <v>19308</v>
      </c>
      <c r="AY3601" s="77"/>
      <c r="AZ3601" s="80" t="s">
        <v>20380</v>
      </c>
      <c r="BA3601" s="80" t="s">
        <v>20380</v>
      </c>
      <c r="BB3601" s="80" t="s">
        <v>19728</v>
      </c>
      <c r="BC3601" s="80" t="s">
        <v>19728</v>
      </c>
      <c r="BD3601" s="77">
        <v>998270347</v>
      </c>
      <c r="BE3601" s="77"/>
      <c r="BF3601" s="77"/>
      <c r="BG3601" s="77"/>
      <c r="BH3601" s="77"/>
      <c r="BI3601" s="77"/>
    </row>
    <row r="3602" spans="1:61" x14ac:dyDescent="0.25">
      <c r="A3602" s="62" t="s">
        <v>1438</v>
      </c>
      <c r="B3602" s="62" t="s">
        <v>1438</v>
      </c>
      <c r="C3602" s="63"/>
      <c r="D3602" s="64"/>
      <c r="E3602" s="65"/>
      <c r="F3602" s="66"/>
      <c r="G3602" s="63"/>
      <c r="H3602" s="67"/>
      <c r="I3602" s="68"/>
      <c r="J3602" s="68"/>
      <c r="K3602" s="32"/>
      <c r="L3602" s="75">
        <v>3602</v>
      </c>
      <c r="M3602" s="75"/>
      <c r="N3602" s="70"/>
      <c r="O3602" s="77" t="s">
        <v>179</v>
      </c>
      <c r="P3602" s="79">
        <v>45154.591226851851</v>
      </c>
      <c r="Q3602" s="77" t="s">
        <v>5255</v>
      </c>
      <c r="R3602" s="77">
        <v>0</v>
      </c>
      <c r="S3602" s="77">
        <v>0</v>
      </c>
      <c r="T3602" s="77">
        <v>0</v>
      </c>
      <c r="U3602" s="77">
        <v>0</v>
      </c>
      <c r="V3602" s="77">
        <v>12</v>
      </c>
      <c r="W3602" s="80" t="s">
        <v>8128</v>
      </c>
      <c r="X3602" s="77"/>
      <c r="Y3602" s="77"/>
      <c r="Z3602" s="77"/>
      <c r="AA3602" s="77" t="s">
        <v>10205</v>
      </c>
      <c r="AB3602" s="77" t="s">
        <v>10535</v>
      </c>
      <c r="AC3602" s="80" t="s">
        <v>10540</v>
      </c>
      <c r="AD3602" s="77" t="s">
        <v>10617</v>
      </c>
      <c r="AE3602" s="83" t="str">
        <f>HYPERLINK("https://twitter.com/cipio3/status/1691814912824107312")</f>
        <v>https://twitter.com/cipio3/status/1691814912824107312</v>
      </c>
      <c r="AF3602" s="79">
        <v>45154.591226851851</v>
      </c>
      <c r="AG3602" s="85">
        <v>45154</v>
      </c>
      <c r="AH3602" s="80" t="s">
        <v>13751</v>
      </c>
      <c r="AI3602" s="77" t="b">
        <v>0</v>
      </c>
      <c r="AJ3602" s="77"/>
      <c r="AK3602" s="77"/>
      <c r="AL3602" s="77"/>
      <c r="AM3602" s="77"/>
      <c r="AN3602" s="77"/>
      <c r="AO3602" s="77"/>
      <c r="AP3602" s="77"/>
      <c r="AQ3602" s="77" t="s">
        <v>15685</v>
      </c>
      <c r="AR3602" s="77"/>
      <c r="AS3602" s="77"/>
      <c r="AT3602" s="77"/>
      <c r="AU3602" s="77"/>
      <c r="AV3602" s="83" t="str">
        <f>HYPERLINK("https://pbs.twimg.com/media/F3qIsIUX0AAgZTg.jpg")</f>
        <v>https://pbs.twimg.com/media/F3qIsIUX0AAgZTg.jpg</v>
      </c>
      <c r="AW3602" s="80" t="s">
        <v>19309</v>
      </c>
      <c r="AX3602" s="80" t="s">
        <v>19309</v>
      </c>
      <c r="AY3602" s="77"/>
      <c r="AZ3602" s="80" t="s">
        <v>20380</v>
      </c>
      <c r="BA3602" s="80" t="s">
        <v>20380</v>
      </c>
      <c r="BB3602" s="80" t="s">
        <v>20380</v>
      </c>
      <c r="BC3602" s="80" t="s">
        <v>19309</v>
      </c>
      <c r="BD3602" s="80" t="s">
        <v>21088</v>
      </c>
      <c r="BE3602" s="77"/>
      <c r="BF3602" s="77"/>
      <c r="BG3602" s="77"/>
      <c r="BH3602" s="77"/>
      <c r="BI3602" s="77"/>
    </row>
    <row r="3603" spans="1:61" x14ac:dyDescent="0.25">
      <c r="A3603" s="62" t="s">
        <v>1438</v>
      </c>
      <c r="B3603" s="62" t="s">
        <v>1681</v>
      </c>
      <c r="C3603" s="63"/>
      <c r="D3603" s="64"/>
      <c r="E3603" s="65"/>
      <c r="F3603" s="66"/>
      <c r="G3603" s="63"/>
      <c r="H3603" s="67"/>
      <c r="I3603" s="68"/>
      <c r="J3603" s="68"/>
      <c r="K3603" s="32"/>
      <c r="L3603" s="75">
        <v>3603</v>
      </c>
      <c r="M3603" s="75"/>
      <c r="N3603" s="70"/>
      <c r="O3603" s="77" t="s">
        <v>2083</v>
      </c>
      <c r="P3603" s="79">
        <v>45189.794606481482</v>
      </c>
      <c r="Q3603" s="77" t="s">
        <v>2237</v>
      </c>
      <c r="R3603" s="77">
        <v>18</v>
      </c>
      <c r="S3603" s="77">
        <v>0</v>
      </c>
      <c r="T3603" s="77">
        <v>0</v>
      </c>
      <c r="U3603" s="77">
        <v>0</v>
      </c>
      <c r="V3603" s="77"/>
      <c r="W3603" s="80" t="s">
        <v>6018</v>
      </c>
      <c r="X3603" s="77"/>
      <c r="Y3603" s="77"/>
      <c r="Z3603" s="77" t="s">
        <v>1681</v>
      </c>
      <c r="AA3603" s="77"/>
      <c r="AB3603" s="77"/>
      <c r="AC3603" s="80" t="s">
        <v>10540</v>
      </c>
      <c r="AD3603" s="77" t="s">
        <v>10617</v>
      </c>
      <c r="AE3603" s="83" t="str">
        <f>HYPERLINK("https://twitter.com/cipio3/status/1704572189901558098")</f>
        <v>https://twitter.com/cipio3/status/1704572189901558098</v>
      </c>
      <c r="AF3603" s="79">
        <v>45189.794606481482</v>
      </c>
      <c r="AG3603" s="85">
        <v>45189</v>
      </c>
      <c r="AH3603" s="80" t="s">
        <v>13752</v>
      </c>
      <c r="AI3603" s="77"/>
      <c r="AJ3603" s="77"/>
      <c r="AK3603" s="77"/>
      <c r="AL3603" s="77"/>
      <c r="AM3603" s="77"/>
      <c r="AN3603" s="77"/>
      <c r="AO3603" s="77"/>
      <c r="AP3603" s="77"/>
      <c r="AQ3603" s="77"/>
      <c r="AR3603" s="77"/>
      <c r="AS3603" s="77"/>
      <c r="AT3603" s="77"/>
      <c r="AU3603" s="77"/>
      <c r="AV3603" s="83" t="str">
        <f>HYPERLINK("https://pbs.twimg.com/profile_images/1707412998103367680/h5C3wVsK_normal.jpg")</f>
        <v>https://pbs.twimg.com/profile_images/1707412998103367680/h5C3wVsK_normal.jpg</v>
      </c>
      <c r="AW3603" s="80" t="s">
        <v>19310</v>
      </c>
      <c r="AX3603" s="80" t="s">
        <v>19310</v>
      </c>
      <c r="AY3603" s="77"/>
      <c r="AZ3603" s="80" t="s">
        <v>20380</v>
      </c>
      <c r="BA3603" s="80" t="s">
        <v>20380</v>
      </c>
      <c r="BB3603" s="80" t="s">
        <v>19932</v>
      </c>
      <c r="BC3603" s="80" t="s">
        <v>19932</v>
      </c>
      <c r="BD3603" s="80" t="s">
        <v>21088</v>
      </c>
      <c r="BE3603" s="77"/>
      <c r="BF3603" s="77"/>
      <c r="BG3603" s="77"/>
      <c r="BH3603" s="77"/>
      <c r="BI3603" s="77"/>
    </row>
    <row r="3604" spans="1:61" x14ac:dyDescent="0.25">
      <c r="A3604" s="62" t="s">
        <v>1439</v>
      </c>
      <c r="B3604" s="62" t="s">
        <v>1596</v>
      </c>
      <c r="C3604" s="63"/>
      <c r="D3604" s="64"/>
      <c r="E3604" s="65"/>
      <c r="F3604" s="66"/>
      <c r="G3604" s="63"/>
      <c r="H3604" s="67"/>
      <c r="I3604" s="68"/>
      <c r="J3604" s="68"/>
      <c r="K3604" s="32"/>
      <c r="L3604" s="75">
        <v>3604</v>
      </c>
      <c r="M3604" s="75"/>
      <c r="N3604" s="70"/>
      <c r="O3604" s="77" t="s">
        <v>2081</v>
      </c>
      <c r="P3604" s="79">
        <v>45049.98841435185</v>
      </c>
      <c r="Q3604" s="77" t="s">
        <v>5256</v>
      </c>
      <c r="R3604" s="77">
        <v>0</v>
      </c>
      <c r="S3604" s="77">
        <v>0</v>
      </c>
      <c r="T3604" s="77">
        <v>0</v>
      </c>
      <c r="U3604" s="77">
        <v>0</v>
      </c>
      <c r="V3604" s="77">
        <v>65</v>
      </c>
      <c r="W3604" s="80" t="s">
        <v>6008</v>
      </c>
      <c r="X3604" s="83" t="str">
        <f>HYPERLINK("https://www.bcb.gov.br/detalhenoticia/17886/nota")</f>
        <v>https://www.bcb.gov.br/detalhenoticia/17886/nota</v>
      </c>
      <c r="Y3604" s="77" t="s">
        <v>8633</v>
      </c>
      <c r="Z3604" s="77" t="s">
        <v>1596</v>
      </c>
      <c r="AA3604" s="77"/>
      <c r="AB3604" s="77"/>
      <c r="AC3604" s="80" t="s">
        <v>10541</v>
      </c>
      <c r="AD3604" s="77" t="s">
        <v>10617</v>
      </c>
      <c r="AE3604" s="83" t="str">
        <f>HYPERLINK("https://twitter.com/leeosd_/status/1653908124875489280")</f>
        <v>https://twitter.com/leeosd_/status/1653908124875489280</v>
      </c>
      <c r="AF3604" s="79">
        <v>45049.98841435185</v>
      </c>
      <c r="AG3604" s="85">
        <v>45049</v>
      </c>
      <c r="AH3604" s="80" t="s">
        <v>13753</v>
      </c>
      <c r="AI3604" s="77" t="b">
        <v>0</v>
      </c>
      <c r="AJ3604" s="77"/>
      <c r="AK3604" s="77"/>
      <c r="AL3604" s="77"/>
      <c r="AM3604" s="77"/>
      <c r="AN3604" s="77"/>
      <c r="AO3604" s="77"/>
      <c r="AP3604" s="77"/>
      <c r="AQ3604" s="77"/>
      <c r="AR3604" s="77"/>
      <c r="AS3604" s="77"/>
      <c r="AT3604" s="77"/>
      <c r="AU3604" s="77"/>
      <c r="AV3604" s="83" t="str">
        <f>HYPERLINK("https://pbs.twimg.com/profile_images/1640660186179223553/wkHhQm1W_normal.jpg")</f>
        <v>https://pbs.twimg.com/profile_images/1640660186179223553/wkHhQm1W_normal.jpg</v>
      </c>
      <c r="AW3604" s="80" t="s">
        <v>19311</v>
      </c>
      <c r="AX3604" s="80" t="s">
        <v>19311</v>
      </c>
      <c r="AY3604" s="77"/>
      <c r="AZ3604" s="80" t="s">
        <v>20380</v>
      </c>
      <c r="BA3604" s="80" t="s">
        <v>20380</v>
      </c>
      <c r="BB3604" s="80" t="s">
        <v>20380</v>
      </c>
      <c r="BC3604" s="80" t="s">
        <v>19311</v>
      </c>
      <c r="BD3604" s="77">
        <v>141953042</v>
      </c>
      <c r="BE3604" s="77"/>
      <c r="BF3604" s="77"/>
      <c r="BG3604" s="77"/>
      <c r="BH3604" s="77"/>
      <c r="BI3604" s="77"/>
    </row>
    <row r="3605" spans="1:61" x14ac:dyDescent="0.25">
      <c r="A3605" s="62" t="s">
        <v>1440</v>
      </c>
      <c r="B3605" s="62" t="s">
        <v>1440</v>
      </c>
      <c r="C3605" s="63"/>
      <c r="D3605" s="64"/>
      <c r="E3605" s="65"/>
      <c r="F3605" s="66"/>
      <c r="G3605" s="63"/>
      <c r="H3605" s="67"/>
      <c r="I3605" s="68"/>
      <c r="J3605" s="68"/>
      <c r="K3605" s="32"/>
      <c r="L3605" s="75">
        <v>3605</v>
      </c>
      <c r="M3605" s="75"/>
      <c r="N3605" s="70"/>
      <c r="O3605" s="77" t="s">
        <v>179</v>
      </c>
      <c r="P3605" s="79">
        <v>45152.57130787037</v>
      </c>
      <c r="Q3605" s="77" t="s">
        <v>5257</v>
      </c>
      <c r="R3605" s="77">
        <v>0</v>
      </c>
      <c r="S3605" s="77">
        <v>0</v>
      </c>
      <c r="T3605" s="77">
        <v>0</v>
      </c>
      <c r="U3605" s="77">
        <v>0</v>
      </c>
      <c r="V3605" s="77">
        <v>150</v>
      </c>
      <c r="W3605" s="80" t="s">
        <v>6655</v>
      </c>
      <c r="X3605" s="83" t="str">
        <f>HYPERLINK("https://tucuman24.com/nota/111879/dolar-banco-central-fija-el-tipo-de-cambio-oficial-a-350-hasta-las-elecciones-de-octubre.html")</f>
        <v>https://tucuman24.com/nota/111879/dolar-banco-central-fija-el-tipo-de-cambio-oficial-a-350-hasta-las-elecciones-de-octubre.html</v>
      </c>
      <c r="Y3605" s="77" t="s">
        <v>8849</v>
      </c>
      <c r="Z3605" s="77"/>
      <c r="AA3605" s="77"/>
      <c r="AB3605" s="77"/>
      <c r="AC3605" s="80" t="s">
        <v>10540</v>
      </c>
      <c r="AD3605" s="77" t="s">
        <v>10620</v>
      </c>
      <c r="AE3605" s="83" t="str">
        <f>HYPERLINK("https://twitter.com/tucuman24ok/status/1691082921346555904")</f>
        <v>https://twitter.com/tucuman24ok/status/1691082921346555904</v>
      </c>
      <c r="AF3605" s="79">
        <v>45152.57130787037</v>
      </c>
      <c r="AG3605" s="85">
        <v>45152</v>
      </c>
      <c r="AH3605" s="80" t="s">
        <v>13754</v>
      </c>
      <c r="AI3605" s="77" t="b">
        <v>0</v>
      </c>
      <c r="AJ3605" s="77"/>
      <c r="AK3605" s="77"/>
      <c r="AL3605" s="77"/>
      <c r="AM3605" s="77"/>
      <c r="AN3605" s="77"/>
      <c r="AO3605" s="77"/>
      <c r="AP3605" s="77"/>
      <c r="AQ3605" s="77"/>
      <c r="AR3605" s="77"/>
      <c r="AS3605" s="77"/>
      <c r="AT3605" s="77"/>
      <c r="AU3605" s="77"/>
      <c r="AV3605" s="83" t="str">
        <f>HYPERLINK("https://pbs.twimg.com/profile_images/1673524335116443649/Um-pXxR4_normal.jpg")</f>
        <v>https://pbs.twimg.com/profile_images/1673524335116443649/Um-pXxR4_normal.jpg</v>
      </c>
      <c r="AW3605" s="80" t="s">
        <v>19312</v>
      </c>
      <c r="AX3605" s="80" t="s">
        <v>19312</v>
      </c>
      <c r="AY3605" s="77"/>
      <c r="AZ3605" s="80" t="s">
        <v>20380</v>
      </c>
      <c r="BA3605" s="80" t="s">
        <v>20380</v>
      </c>
      <c r="BB3605" s="80" t="s">
        <v>20380</v>
      </c>
      <c r="BC3605" s="80" t="s">
        <v>19312</v>
      </c>
      <c r="BD3605" s="80" t="s">
        <v>21089</v>
      </c>
      <c r="BE3605" s="77"/>
      <c r="BF3605" s="77"/>
      <c r="BG3605" s="77"/>
      <c r="BH3605" s="77"/>
      <c r="BI3605" s="77"/>
    </row>
    <row r="3606" spans="1:61" x14ac:dyDescent="0.25">
      <c r="A3606" s="62" t="s">
        <v>1441</v>
      </c>
      <c r="B3606" s="62" t="s">
        <v>1441</v>
      </c>
      <c r="C3606" s="63"/>
      <c r="D3606" s="64"/>
      <c r="E3606" s="65"/>
      <c r="F3606" s="66"/>
      <c r="G3606" s="63"/>
      <c r="H3606" s="67"/>
      <c r="I3606" s="68"/>
      <c r="J3606" s="68"/>
      <c r="K3606" s="32"/>
      <c r="L3606" s="75">
        <v>3606</v>
      </c>
      <c r="M3606" s="75"/>
      <c r="N3606" s="70"/>
      <c r="O3606" s="77" t="s">
        <v>179</v>
      </c>
      <c r="P3606" s="79">
        <v>45110.958356481482</v>
      </c>
      <c r="Q3606" s="77" t="s">
        <v>5258</v>
      </c>
      <c r="R3606" s="77">
        <v>0</v>
      </c>
      <c r="S3606" s="77">
        <v>0</v>
      </c>
      <c r="T3606" s="77">
        <v>0</v>
      </c>
      <c r="U3606" s="77">
        <v>0</v>
      </c>
      <c r="V3606" s="77">
        <v>9</v>
      </c>
      <c r="W3606" s="80" t="s">
        <v>8129</v>
      </c>
      <c r="X3606" s="83" t="str">
        <f>HYPERLINK("https://goo.su/Nx9S")</f>
        <v>https://goo.su/Nx9S</v>
      </c>
      <c r="Y3606" s="77" t="s">
        <v>8774</v>
      </c>
      <c r="Z3606" s="77"/>
      <c r="AA3606" s="77" t="s">
        <v>10206</v>
      </c>
      <c r="AB3606" s="77" t="s">
        <v>10535</v>
      </c>
      <c r="AC3606" s="80" t="s">
        <v>10541</v>
      </c>
      <c r="AD3606" s="77" t="s">
        <v>10620</v>
      </c>
      <c r="AE3606" s="83" t="str">
        <f>HYPERLINK("https://twitter.com/zonales_web/status/1676002889024827392")</f>
        <v>https://twitter.com/zonales_web/status/1676002889024827392</v>
      </c>
      <c r="AF3606" s="79">
        <v>45110.958356481482</v>
      </c>
      <c r="AG3606" s="85">
        <v>45110</v>
      </c>
      <c r="AH3606" s="80" t="s">
        <v>13189</v>
      </c>
      <c r="AI3606" s="77" t="b">
        <v>0</v>
      </c>
      <c r="AJ3606" s="77"/>
      <c r="AK3606" s="77"/>
      <c r="AL3606" s="77"/>
      <c r="AM3606" s="77"/>
      <c r="AN3606" s="77"/>
      <c r="AO3606" s="77"/>
      <c r="AP3606" s="77"/>
      <c r="AQ3606" s="77" t="s">
        <v>15686</v>
      </c>
      <c r="AR3606" s="77"/>
      <c r="AS3606" s="77"/>
      <c r="AT3606" s="77"/>
      <c r="AU3606" s="77"/>
      <c r="AV3606" s="83" t="str">
        <f>HYPERLINK("https://pbs.twimg.com/media/F0I7_2CX0AANqLG.jpg")</f>
        <v>https://pbs.twimg.com/media/F0I7_2CX0AANqLG.jpg</v>
      </c>
      <c r="AW3606" s="80" t="s">
        <v>19313</v>
      </c>
      <c r="AX3606" s="80" t="s">
        <v>19313</v>
      </c>
      <c r="AY3606" s="77"/>
      <c r="AZ3606" s="80" t="s">
        <v>20380</v>
      </c>
      <c r="BA3606" s="80" t="s">
        <v>20380</v>
      </c>
      <c r="BB3606" s="80" t="s">
        <v>20380</v>
      </c>
      <c r="BC3606" s="80" t="s">
        <v>19313</v>
      </c>
      <c r="BD3606" s="80" t="s">
        <v>21090</v>
      </c>
      <c r="BE3606" s="77"/>
      <c r="BF3606" s="77"/>
      <c r="BG3606" s="77"/>
      <c r="BH3606" s="77"/>
      <c r="BI3606" s="77"/>
    </row>
    <row r="3607" spans="1:61" x14ac:dyDescent="0.25">
      <c r="A3607" s="62" t="s">
        <v>1441</v>
      </c>
      <c r="B3607" s="62" t="s">
        <v>1441</v>
      </c>
      <c r="C3607" s="63"/>
      <c r="D3607" s="64"/>
      <c r="E3607" s="65"/>
      <c r="F3607" s="66"/>
      <c r="G3607" s="63"/>
      <c r="H3607" s="67"/>
      <c r="I3607" s="68"/>
      <c r="J3607" s="68"/>
      <c r="K3607" s="32"/>
      <c r="L3607" s="75">
        <v>3607</v>
      </c>
      <c r="M3607" s="75"/>
      <c r="N3607" s="70"/>
      <c r="O3607" s="77" t="s">
        <v>179</v>
      </c>
      <c r="P3607" s="79">
        <v>45115.479166666664</v>
      </c>
      <c r="Q3607" s="77" t="s">
        <v>5259</v>
      </c>
      <c r="R3607" s="77">
        <v>0</v>
      </c>
      <c r="S3607" s="77">
        <v>0</v>
      </c>
      <c r="T3607" s="77">
        <v>0</v>
      </c>
      <c r="U3607" s="77">
        <v>0</v>
      </c>
      <c r="V3607" s="77">
        <v>10</v>
      </c>
      <c r="W3607" s="80" t="s">
        <v>8130</v>
      </c>
      <c r="X3607" s="83" t="str">
        <f>HYPERLINK("https://goo.su/K9bg5b")</f>
        <v>https://goo.su/K9bg5b</v>
      </c>
      <c r="Y3607" s="77" t="s">
        <v>8774</v>
      </c>
      <c r="Z3607" s="77"/>
      <c r="AA3607" s="77" t="s">
        <v>10207</v>
      </c>
      <c r="AB3607" s="77" t="s">
        <v>10535</v>
      </c>
      <c r="AC3607" s="80" t="s">
        <v>10541</v>
      </c>
      <c r="AD3607" s="77" t="s">
        <v>10620</v>
      </c>
      <c r="AE3607" s="83" t="str">
        <f>HYPERLINK("https://twitter.com/zonales_web/status/1677641178492334081")</f>
        <v>https://twitter.com/zonales_web/status/1677641178492334081</v>
      </c>
      <c r="AF3607" s="79">
        <v>45115.479166666664</v>
      </c>
      <c r="AG3607" s="85">
        <v>45115</v>
      </c>
      <c r="AH3607" s="80" t="s">
        <v>13755</v>
      </c>
      <c r="AI3607" s="77" t="b">
        <v>0</v>
      </c>
      <c r="AJ3607" s="77"/>
      <c r="AK3607" s="77"/>
      <c r="AL3607" s="77"/>
      <c r="AM3607" s="77"/>
      <c r="AN3607" s="77"/>
      <c r="AO3607" s="77"/>
      <c r="AP3607" s="77"/>
      <c r="AQ3607" s="77" t="s">
        <v>15687</v>
      </c>
      <c r="AR3607" s="77"/>
      <c r="AS3607" s="77"/>
      <c r="AT3607" s="77"/>
      <c r="AU3607" s="77"/>
      <c r="AV3607" s="83" t="str">
        <f>HYPERLINK("https://pbs.twimg.com/media/F0dPpezWIAcA9Cc.jpg")</f>
        <v>https://pbs.twimg.com/media/F0dPpezWIAcA9Cc.jpg</v>
      </c>
      <c r="AW3607" s="80" t="s">
        <v>19314</v>
      </c>
      <c r="AX3607" s="80" t="s">
        <v>19314</v>
      </c>
      <c r="AY3607" s="77"/>
      <c r="AZ3607" s="80" t="s">
        <v>20380</v>
      </c>
      <c r="BA3607" s="80" t="s">
        <v>20380</v>
      </c>
      <c r="BB3607" s="80" t="s">
        <v>20380</v>
      </c>
      <c r="BC3607" s="80" t="s">
        <v>19314</v>
      </c>
      <c r="BD3607" s="80" t="s">
        <v>21090</v>
      </c>
      <c r="BE3607" s="77"/>
      <c r="BF3607" s="77"/>
      <c r="BG3607" s="77"/>
      <c r="BH3607" s="77"/>
      <c r="BI3607" s="77"/>
    </row>
    <row r="3608" spans="1:61" x14ac:dyDescent="0.25">
      <c r="A3608" s="62" t="s">
        <v>1441</v>
      </c>
      <c r="B3608" s="62" t="s">
        <v>1441</v>
      </c>
      <c r="C3608" s="63"/>
      <c r="D3608" s="64"/>
      <c r="E3608" s="65"/>
      <c r="F3608" s="66"/>
      <c r="G3608" s="63"/>
      <c r="H3608" s="67"/>
      <c r="I3608" s="68"/>
      <c r="J3608" s="68"/>
      <c r="K3608" s="32"/>
      <c r="L3608" s="75">
        <v>3608</v>
      </c>
      <c r="M3608" s="75"/>
      <c r="N3608" s="70"/>
      <c r="O3608" s="77" t="s">
        <v>179</v>
      </c>
      <c r="P3608" s="79">
        <v>45114.833344907405</v>
      </c>
      <c r="Q3608" s="77" t="s">
        <v>5260</v>
      </c>
      <c r="R3608" s="77">
        <v>0</v>
      </c>
      <c r="S3608" s="77">
        <v>0</v>
      </c>
      <c r="T3608" s="77">
        <v>0</v>
      </c>
      <c r="U3608" s="77">
        <v>0</v>
      </c>
      <c r="V3608" s="77">
        <v>13</v>
      </c>
      <c r="W3608" s="80" t="s">
        <v>8130</v>
      </c>
      <c r="X3608" s="83" t="str">
        <f>HYPERLINK("https://zonales.com/nuevos-billetes-1-000-500-200-100-fecha-salir-calle-proceres-llevaran/")</f>
        <v>https://zonales.com/nuevos-billetes-1-000-500-200-100-fecha-salir-calle-proceres-llevaran/</v>
      </c>
      <c r="Y3608" s="77" t="s">
        <v>8850</v>
      </c>
      <c r="Z3608" s="77"/>
      <c r="AA3608" s="77"/>
      <c r="AB3608" s="77"/>
      <c r="AC3608" s="80" t="s">
        <v>10541</v>
      </c>
      <c r="AD3608" s="77" t="s">
        <v>10620</v>
      </c>
      <c r="AE3608" s="83" t="str">
        <f>HYPERLINK("https://twitter.com/zonales_web/status/1677407137738395654")</f>
        <v>https://twitter.com/zonales_web/status/1677407137738395654</v>
      </c>
      <c r="AF3608" s="79">
        <v>45114.833344907405</v>
      </c>
      <c r="AG3608" s="85">
        <v>45114</v>
      </c>
      <c r="AH3608" s="80" t="s">
        <v>11789</v>
      </c>
      <c r="AI3608" s="77" t="b">
        <v>0</v>
      </c>
      <c r="AJ3608" s="77"/>
      <c r="AK3608" s="77"/>
      <c r="AL3608" s="77"/>
      <c r="AM3608" s="77"/>
      <c r="AN3608" s="77"/>
      <c r="AO3608" s="77"/>
      <c r="AP3608" s="77"/>
      <c r="AQ3608" s="77"/>
      <c r="AR3608" s="77"/>
      <c r="AS3608" s="77"/>
      <c r="AT3608" s="77"/>
      <c r="AU3608" s="77"/>
      <c r="AV3608" s="83" t="str">
        <f>HYPERLINK("https://pbs.twimg.com/profile_images/1384146441791176705/gWnG0o_d_normal.jpg")</f>
        <v>https://pbs.twimg.com/profile_images/1384146441791176705/gWnG0o_d_normal.jpg</v>
      </c>
      <c r="AW3608" s="80" t="s">
        <v>19315</v>
      </c>
      <c r="AX3608" s="80" t="s">
        <v>19315</v>
      </c>
      <c r="AY3608" s="77"/>
      <c r="AZ3608" s="80" t="s">
        <v>20380</v>
      </c>
      <c r="BA3608" s="80" t="s">
        <v>20380</v>
      </c>
      <c r="BB3608" s="80" t="s">
        <v>20380</v>
      </c>
      <c r="BC3608" s="80" t="s">
        <v>19315</v>
      </c>
      <c r="BD3608" s="80" t="s">
        <v>21090</v>
      </c>
      <c r="BE3608" s="77"/>
      <c r="BF3608" s="77"/>
      <c r="BG3608" s="77"/>
      <c r="BH3608" s="77"/>
      <c r="BI3608" s="77"/>
    </row>
    <row r="3609" spans="1:61" x14ac:dyDescent="0.25">
      <c r="A3609" s="62" t="s">
        <v>1441</v>
      </c>
      <c r="B3609" s="62" t="s">
        <v>1441</v>
      </c>
      <c r="C3609" s="63"/>
      <c r="D3609" s="64"/>
      <c r="E3609" s="65"/>
      <c r="F3609" s="66"/>
      <c r="G3609" s="63"/>
      <c r="H3609" s="67"/>
      <c r="I3609" s="68"/>
      <c r="J3609" s="68"/>
      <c r="K3609" s="32"/>
      <c r="L3609" s="75">
        <v>3609</v>
      </c>
      <c r="M3609" s="75"/>
      <c r="N3609" s="70"/>
      <c r="O3609" s="77" t="s">
        <v>179</v>
      </c>
      <c r="P3609" s="79">
        <v>45114.500034722223</v>
      </c>
      <c r="Q3609" s="77" t="s">
        <v>5261</v>
      </c>
      <c r="R3609" s="77">
        <v>0</v>
      </c>
      <c r="S3609" s="77">
        <v>1</v>
      </c>
      <c r="T3609" s="77">
        <v>0</v>
      </c>
      <c r="U3609" s="77">
        <v>0</v>
      </c>
      <c r="V3609" s="77">
        <v>23</v>
      </c>
      <c r="W3609" s="80" t="s">
        <v>8131</v>
      </c>
      <c r="X3609" s="83" t="str">
        <f>HYPERLINK("https://goo.su/hjnO")</f>
        <v>https://goo.su/hjnO</v>
      </c>
      <c r="Y3609" s="77" t="s">
        <v>8774</v>
      </c>
      <c r="Z3609" s="77"/>
      <c r="AA3609" s="77" t="s">
        <v>10208</v>
      </c>
      <c r="AB3609" s="77" t="s">
        <v>10535</v>
      </c>
      <c r="AC3609" s="80" t="s">
        <v>10541</v>
      </c>
      <c r="AD3609" s="77" t="s">
        <v>10620</v>
      </c>
      <c r="AE3609" s="83" t="str">
        <f>HYPERLINK("https://twitter.com/zonales_web/status/1677286351547318273")</f>
        <v>https://twitter.com/zonales_web/status/1677286351547318273</v>
      </c>
      <c r="AF3609" s="79">
        <v>45114.500034722223</v>
      </c>
      <c r="AG3609" s="85">
        <v>45114</v>
      </c>
      <c r="AH3609" s="80" t="s">
        <v>11354</v>
      </c>
      <c r="AI3609" s="77" t="b">
        <v>0</v>
      </c>
      <c r="AJ3609" s="77"/>
      <c r="AK3609" s="77"/>
      <c r="AL3609" s="77"/>
      <c r="AM3609" s="77"/>
      <c r="AN3609" s="77"/>
      <c r="AO3609" s="77"/>
      <c r="AP3609" s="77"/>
      <c r="AQ3609" s="77" t="s">
        <v>15688</v>
      </c>
      <c r="AR3609" s="77"/>
      <c r="AS3609" s="77"/>
      <c r="AT3609" s="77"/>
      <c r="AU3609" s="77"/>
      <c r="AV3609" s="83" t="str">
        <f>HYPERLINK("https://pbs.twimg.com/media/F0YbwhYWYAc-sSr.jpg")</f>
        <v>https://pbs.twimg.com/media/F0YbwhYWYAc-sSr.jpg</v>
      </c>
      <c r="AW3609" s="80" t="s">
        <v>19316</v>
      </c>
      <c r="AX3609" s="80" t="s">
        <v>19316</v>
      </c>
      <c r="AY3609" s="77"/>
      <c r="AZ3609" s="80" t="s">
        <v>20380</v>
      </c>
      <c r="BA3609" s="80" t="s">
        <v>20380</v>
      </c>
      <c r="BB3609" s="80" t="s">
        <v>20380</v>
      </c>
      <c r="BC3609" s="80" t="s">
        <v>19316</v>
      </c>
      <c r="BD3609" s="80" t="s">
        <v>21090</v>
      </c>
      <c r="BE3609" s="77"/>
      <c r="BF3609" s="77"/>
      <c r="BG3609" s="77"/>
      <c r="BH3609" s="77"/>
      <c r="BI3609" s="77"/>
    </row>
    <row r="3610" spans="1:61" x14ac:dyDescent="0.25">
      <c r="A3610" s="62" t="s">
        <v>1441</v>
      </c>
      <c r="B3610" s="62" t="s">
        <v>1441</v>
      </c>
      <c r="C3610" s="63"/>
      <c r="D3610" s="64"/>
      <c r="E3610" s="65"/>
      <c r="F3610" s="66"/>
      <c r="G3610" s="63"/>
      <c r="H3610" s="67"/>
      <c r="I3610" s="68"/>
      <c r="J3610" s="68"/>
      <c r="K3610" s="32"/>
      <c r="L3610" s="75">
        <v>3610</v>
      </c>
      <c r="M3610" s="75"/>
      <c r="N3610" s="70"/>
      <c r="O3610" s="77" t="s">
        <v>179</v>
      </c>
      <c r="P3610" s="79">
        <v>45113.927083333336</v>
      </c>
      <c r="Q3610" s="77" t="s">
        <v>5262</v>
      </c>
      <c r="R3610" s="77">
        <v>0</v>
      </c>
      <c r="S3610" s="77">
        <v>1</v>
      </c>
      <c r="T3610" s="77">
        <v>0</v>
      </c>
      <c r="U3610" s="77">
        <v>0</v>
      </c>
      <c r="V3610" s="77">
        <v>16</v>
      </c>
      <c r="W3610" s="80" t="s">
        <v>8131</v>
      </c>
      <c r="X3610" s="83" t="str">
        <f>HYPERLINK("https://zonales.com/billetes-falsos-2-000-guia-10-puntos-seguridad-clave-evitar-estafas/")</f>
        <v>https://zonales.com/billetes-falsos-2-000-guia-10-puntos-seguridad-clave-evitar-estafas/</v>
      </c>
      <c r="Y3610" s="77" t="s">
        <v>8850</v>
      </c>
      <c r="Z3610" s="77"/>
      <c r="AA3610" s="77"/>
      <c r="AB3610" s="77"/>
      <c r="AC3610" s="80" t="s">
        <v>10541</v>
      </c>
      <c r="AD3610" s="77" t="s">
        <v>10620</v>
      </c>
      <c r="AE3610" s="83" t="str">
        <f>HYPERLINK("https://twitter.com/zonales_web/status/1677078720836931586")</f>
        <v>https://twitter.com/zonales_web/status/1677078720836931586</v>
      </c>
      <c r="AF3610" s="79">
        <v>45113.927083333336</v>
      </c>
      <c r="AG3610" s="85">
        <v>45113</v>
      </c>
      <c r="AH3610" s="80" t="s">
        <v>13756</v>
      </c>
      <c r="AI3610" s="77" t="b">
        <v>0</v>
      </c>
      <c r="AJ3610" s="77"/>
      <c r="AK3610" s="77"/>
      <c r="AL3610" s="77"/>
      <c r="AM3610" s="77"/>
      <c r="AN3610" s="77"/>
      <c r="AO3610" s="77"/>
      <c r="AP3610" s="77"/>
      <c r="AQ3610" s="77"/>
      <c r="AR3610" s="77"/>
      <c r="AS3610" s="77"/>
      <c r="AT3610" s="77"/>
      <c r="AU3610" s="77"/>
      <c r="AV3610" s="83" t="str">
        <f>HYPERLINK("https://pbs.twimg.com/profile_images/1384146441791176705/gWnG0o_d_normal.jpg")</f>
        <v>https://pbs.twimg.com/profile_images/1384146441791176705/gWnG0o_d_normal.jpg</v>
      </c>
      <c r="AW3610" s="80" t="s">
        <v>19317</v>
      </c>
      <c r="AX3610" s="80" t="s">
        <v>19317</v>
      </c>
      <c r="AY3610" s="77"/>
      <c r="AZ3610" s="80" t="s">
        <v>20380</v>
      </c>
      <c r="BA3610" s="80" t="s">
        <v>20380</v>
      </c>
      <c r="BB3610" s="80" t="s">
        <v>20380</v>
      </c>
      <c r="BC3610" s="80" t="s">
        <v>19317</v>
      </c>
      <c r="BD3610" s="80" t="s">
        <v>21090</v>
      </c>
      <c r="BE3610" s="77"/>
      <c r="BF3610" s="77"/>
      <c r="BG3610" s="77"/>
      <c r="BH3610" s="77"/>
      <c r="BI3610" s="77"/>
    </row>
    <row r="3611" spans="1:61" x14ac:dyDescent="0.25">
      <c r="A3611" s="62" t="s">
        <v>1441</v>
      </c>
      <c r="B3611" s="62" t="s">
        <v>1441</v>
      </c>
      <c r="C3611" s="63"/>
      <c r="D3611" s="64"/>
      <c r="E3611" s="65"/>
      <c r="F3611" s="66"/>
      <c r="G3611" s="63"/>
      <c r="H3611" s="67"/>
      <c r="I3611" s="68"/>
      <c r="J3611" s="68"/>
      <c r="K3611" s="32"/>
      <c r="L3611" s="75">
        <v>3611</v>
      </c>
      <c r="M3611" s="75"/>
      <c r="N3611" s="70"/>
      <c r="O3611" s="77" t="s">
        <v>179</v>
      </c>
      <c r="P3611" s="79">
        <v>45110.795312499999</v>
      </c>
      <c r="Q3611" s="77" t="s">
        <v>5263</v>
      </c>
      <c r="R3611" s="77">
        <v>0</v>
      </c>
      <c r="S3611" s="77">
        <v>0</v>
      </c>
      <c r="T3611" s="77">
        <v>0</v>
      </c>
      <c r="U3611" s="77">
        <v>0</v>
      </c>
      <c r="V3611" s="77">
        <v>10</v>
      </c>
      <c r="W3611" s="80" t="s">
        <v>8132</v>
      </c>
      <c r="X3611" s="83" t="str">
        <f>HYPERLINK("https://zonales.com/circulan-billetes-falsos-2-000-conurbano-cinco-pasos-detectarlos")</f>
        <v>https://zonales.com/circulan-billetes-falsos-2-000-conurbano-cinco-pasos-detectarlos</v>
      </c>
      <c r="Y3611" s="77" t="s">
        <v>8850</v>
      </c>
      <c r="Z3611" s="77"/>
      <c r="AA3611" s="77"/>
      <c r="AB3611" s="77"/>
      <c r="AC3611" s="80" t="s">
        <v>10541</v>
      </c>
      <c r="AD3611" s="77" t="s">
        <v>10620</v>
      </c>
      <c r="AE3611" s="83" t="str">
        <f>HYPERLINK("https://twitter.com/zonales_web/status/1675943803889283082")</f>
        <v>https://twitter.com/zonales_web/status/1675943803889283082</v>
      </c>
      <c r="AF3611" s="79">
        <v>45110.795312499999</v>
      </c>
      <c r="AG3611" s="85">
        <v>45110</v>
      </c>
      <c r="AH3611" s="80" t="s">
        <v>13757</v>
      </c>
      <c r="AI3611" s="77" t="b">
        <v>0</v>
      </c>
      <c r="AJ3611" s="77"/>
      <c r="AK3611" s="77"/>
      <c r="AL3611" s="77"/>
      <c r="AM3611" s="77"/>
      <c r="AN3611" s="77"/>
      <c r="AO3611" s="77"/>
      <c r="AP3611" s="77"/>
      <c r="AQ3611" s="77"/>
      <c r="AR3611" s="77"/>
      <c r="AS3611" s="77"/>
      <c r="AT3611" s="77"/>
      <c r="AU3611" s="77"/>
      <c r="AV3611" s="83" t="str">
        <f>HYPERLINK("https://pbs.twimg.com/profile_images/1384146441791176705/gWnG0o_d_normal.jpg")</f>
        <v>https://pbs.twimg.com/profile_images/1384146441791176705/gWnG0o_d_normal.jpg</v>
      </c>
      <c r="AW3611" s="80" t="s">
        <v>19318</v>
      </c>
      <c r="AX3611" s="80" t="s">
        <v>19318</v>
      </c>
      <c r="AY3611" s="77"/>
      <c r="AZ3611" s="80" t="s">
        <v>20380</v>
      </c>
      <c r="BA3611" s="80" t="s">
        <v>20380</v>
      </c>
      <c r="BB3611" s="80" t="s">
        <v>20380</v>
      </c>
      <c r="BC3611" s="80" t="s">
        <v>19318</v>
      </c>
      <c r="BD3611" s="80" t="s">
        <v>21090</v>
      </c>
      <c r="BE3611" s="77"/>
      <c r="BF3611" s="77"/>
      <c r="BG3611" s="77"/>
      <c r="BH3611" s="77"/>
      <c r="BI3611" s="77"/>
    </row>
    <row r="3612" spans="1:61" x14ac:dyDescent="0.25">
      <c r="A3612" s="62" t="s">
        <v>1442</v>
      </c>
      <c r="B3612" s="62" t="s">
        <v>1442</v>
      </c>
      <c r="C3612" s="63"/>
      <c r="D3612" s="64"/>
      <c r="E3612" s="65"/>
      <c r="F3612" s="66"/>
      <c r="G3612" s="63"/>
      <c r="H3612" s="67"/>
      <c r="I3612" s="68"/>
      <c r="J3612" s="68"/>
      <c r="K3612" s="32"/>
      <c r="L3612" s="75">
        <v>3612</v>
      </c>
      <c r="M3612" s="75"/>
      <c r="N3612" s="70"/>
      <c r="O3612" s="77" t="s">
        <v>179</v>
      </c>
      <c r="P3612" s="79">
        <v>45068.696643518517</v>
      </c>
      <c r="Q3612" s="77" t="s">
        <v>5264</v>
      </c>
      <c r="R3612" s="77">
        <v>0</v>
      </c>
      <c r="S3612" s="77">
        <v>0</v>
      </c>
      <c r="T3612" s="77">
        <v>0</v>
      </c>
      <c r="U3612" s="77">
        <v>0</v>
      </c>
      <c r="V3612" s="77">
        <v>40</v>
      </c>
      <c r="W3612" s="80" t="s">
        <v>8133</v>
      </c>
      <c r="X3612" s="83" t="str">
        <f>HYPERLINK("https://www.miseria.com.br/ultimas-noticias/imediatas/banco-central-projeta-inflacao-de-2023-em-58/")</f>
        <v>https://www.miseria.com.br/ultimas-noticias/imediatas/banco-central-projeta-inflacao-de-2023-em-58/</v>
      </c>
      <c r="Y3612" s="77" t="s">
        <v>8611</v>
      </c>
      <c r="Z3612" s="77"/>
      <c r="AA3612" s="77"/>
      <c r="AB3612" s="77"/>
      <c r="AC3612" s="80" t="s">
        <v>10542</v>
      </c>
      <c r="AD3612" s="77" t="s">
        <v>10617</v>
      </c>
      <c r="AE3612" s="83" t="str">
        <f>HYPERLINK("https://twitter.com/portal_miseria/status/1660687761068752899")</f>
        <v>https://twitter.com/portal_miseria/status/1660687761068752899</v>
      </c>
      <c r="AF3612" s="79">
        <v>45068.696643518517</v>
      </c>
      <c r="AG3612" s="85">
        <v>45068</v>
      </c>
      <c r="AH3612" s="80" t="s">
        <v>13758</v>
      </c>
      <c r="AI3612" s="77" t="b">
        <v>0</v>
      </c>
      <c r="AJ3612" s="77"/>
      <c r="AK3612" s="77"/>
      <c r="AL3612" s="77"/>
      <c r="AM3612" s="77"/>
      <c r="AN3612" s="77"/>
      <c r="AO3612" s="77"/>
      <c r="AP3612" s="77"/>
      <c r="AQ3612" s="77"/>
      <c r="AR3612" s="77"/>
      <c r="AS3612" s="77"/>
      <c r="AT3612" s="77"/>
      <c r="AU3612" s="77"/>
      <c r="AV3612" s="83" t="str">
        <f>HYPERLINK("https://pbs.twimg.com/profile_images/1702033206814343168/Sk6DWoHc_normal.jpg")</f>
        <v>https://pbs.twimg.com/profile_images/1702033206814343168/Sk6DWoHc_normal.jpg</v>
      </c>
      <c r="AW3612" s="80" t="s">
        <v>19319</v>
      </c>
      <c r="AX3612" s="80" t="s">
        <v>19319</v>
      </c>
      <c r="AY3612" s="77"/>
      <c r="AZ3612" s="80" t="s">
        <v>20380</v>
      </c>
      <c r="BA3612" s="80" t="s">
        <v>20380</v>
      </c>
      <c r="BB3612" s="80" t="s">
        <v>20380</v>
      </c>
      <c r="BC3612" s="80" t="s">
        <v>19319</v>
      </c>
      <c r="BD3612" s="77">
        <v>194579260</v>
      </c>
      <c r="BE3612" s="77"/>
      <c r="BF3612" s="77"/>
      <c r="BG3612" s="77"/>
      <c r="BH3612" s="77"/>
      <c r="BI3612" s="77"/>
    </row>
    <row r="3613" spans="1:61" x14ac:dyDescent="0.25">
      <c r="A3613" s="62" t="s">
        <v>1442</v>
      </c>
      <c r="B3613" s="62" t="s">
        <v>1442</v>
      </c>
      <c r="C3613" s="63"/>
      <c r="D3613" s="64"/>
      <c r="E3613" s="65"/>
      <c r="F3613" s="66"/>
      <c r="G3613" s="63"/>
      <c r="H3613" s="67"/>
      <c r="I3613" s="68"/>
      <c r="J3613" s="68"/>
      <c r="K3613" s="32"/>
      <c r="L3613" s="75">
        <v>3613</v>
      </c>
      <c r="M3613" s="75"/>
      <c r="N3613" s="70"/>
      <c r="O3613" s="77" t="s">
        <v>179</v>
      </c>
      <c r="P3613" s="79">
        <v>45065.856863425928</v>
      </c>
      <c r="Q3613" s="77" t="s">
        <v>5265</v>
      </c>
      <c r="R3613" s="77">
        <v>0</v>
      </c>
      <c r="S3613" s="77">
        <v>0</v>
      </c>
      <c r="T3613" s="77">
        <v>0</v>
      </c>
      <c r="U3613" s="77">
        <v>0</v>
      </c>
      <c r="V3613" s="77">
        <v>27</v>
      </c>
      <c r="W3613" s="80" t="s">
        <v>8134</v>
      </c>
      <c r="X3613" s="83" t="str">
        <f>HYPERLINK("https://www.miseria.com.br/ultimas-noticias/imediatas/segundo-banco-central-atividade-economica-cresce-em-241-no-primeiro-trimestre/")</f>
        <v>https://www.miseria.com.br/ultimas-noticias/imediatas/segundo-banco-central-atividade-economica-cresce-em-241-no-primeiro-trimestre/</v>
      </c>
      <c r="Y3613" s="77" t="s">
        <v>8611</v>
      </c>
      <c r="Z3613" s="77"/>
      <c r="AA3613" s="77"/>
      <c r="AB3613" s="77"/>
      <c r="AC3613" s="80" t="s">
        <v>10542</v>
      </c>
      <c r="AD3613" s="77" t="s">
        <v>10617</v>
      </c>
      <c r="AE3613" s="83" t="str">
        <f>HYPERLINK("https://twitter.com/portal_miseria/status/1659658657255006213")</f>
        <v>https://twitter.com/portal_miseria/status/1659658657255006213</v>
      </c>
      <c r="AF3613" s="79">
        <v>45065.856863425928</v>
      </c>
      <c r="AG3613" s="85">
        <v>45065</v>
      </c>
      <c r="AH3613" s="80" t="s">
        <v>13759</v>
      </c>
      <c r="AI3613" s="77" t="b">
        <v>0</v>
      </c>
      <c r="AJ3613" s="77"/>
      <c r="AK3613" s="77"/>
      <c r="AL3613" s="77"/>
      <c r="AM3613" s="77"/>
      <c r="AN3613" s="77"/>
      <c r="AO3613" s="77"/>
      <c r="AP3613" s="77"/>
      <c r="AQ3613" s="77"/>
      <c r="AR3613" s="77"/>
      <c r="AS3613" s="77"/>
      <c r="AT3613" s="77"/>
      <c r="AU3613" s="77"/>
      <c r="AV3613" s="83" t="str">
        <f>HYPERLINK("https://pbs.twimg.com/profile_images/1702033206814343168/Sk6DWoHc_normal.jpg")</f>
        <v>https://pbs.twimg.com/profile_images/1702033206814343168/Sk6DWoHc_normal.jpg</v>
      </c>
      <c r="AW3613" s="80" t="s">
        <v>19320</v>
      </c>
      <c r="AX3613" s="80" t="s">
        <v>19320</v>
      </c>
      <c r="AY3613" s="77"/>
      <c r="AZ3613" s="80" t="s">
        <v>20380</v>
      </c>
      <c r="BA3613" s="80" t="s">
        <v>20380</v>
      </c>
      <c r="BB3613" s="80" t="s">
        <v>20380</v>
      </c>
      <c r="BC3613" s="80" t="s">
        <v>19320</v>
      </c>
      <c r="BD3613" s="77">
        <v>194579260</v>
      </c>
      <c r="BE3613" s="77"/>
      <c r="BF3613" s="77"/>
      <c r="BG3613" s="77"/>
      <c r="BH3613" s="77"/>
      <c r="BI3613" s="77"/>
    </row>
    <row r="3614" spans="1:61" x14ac:dyDescent="0.25">
      <c r="A3614" s="62" t="s">
        <v>1443</v>
      </c>
      <c r="B3614" s="62" t="s">
        <v>2041</v>
      </c>
      <c r="C3614" s="63"/>
      <c r="D3614" s="64"/>
      <c r="E3614" s="65"/>
      <c r="F3614" s="66"/>
      <c r="G3614" s="63"/>
      <c r="H3614" s="67"/>
      <c r="I3614" s="68"/>
      <c r="J3614" s="68"/>
      <c r="K3614" s="32"/>
      <c r="L3614" s="75">
        <v>3614</v>
      </c>
      <c r="M3614" s="75"/>
      <c r="N3614" s="70"/>
      <c r="O3614" s="77" t="s">
        <v>2081</v>
      </c>
      <c r="P3614" s="79">
        <v>45050.107638888891</v>
      </c>
      <c r="Q3614" s="77" t="s">
        <v>5266</v>
      </c>
      <c r="R3614" s="77">
        <v>109</v>
      </c>
      <c r="S3614" s="77">
        <v>1367</v>
      </c>
      <c r="T3614" s="77">
        <v>364</v>
      </c>
      <c r="U3614" s="77">
        <v>38</v>
      </c>
      <c r="V3614" s="77">
        <v>80182</v>
      </c>
      <c r="W3614" s="77"/>
      <c r="X3614" s="83" t="str">
        <f>HYPERLINK("https://www.estadao.com.br/economia/petistas-defendem-saida-do-presidente-do-banco-central-apos-manutencao-de-juros-em-1375-ao-ano/?utm_source=twitter:newsfeed&amp;utm_medium=social-organic&amp;utm_campaign=redes-sociais:052023:e&amp;utm_content=:::&amp;utm_term=")</f>
        <v>https://www.estadao.com.br/economia/petistas-defendem-saida-do-presidente-do-banco-central-apos-manutencao-de-juros-em-1375-ao-ano/?utm_source=twitter:newsfeed&amp;utm_medium=social-organic&amp;utm_campaign=redes-sociais:052023:e&amp;utm_content=:::&amp;utm_term=</v>
      </c>
      <c r="Y3614" s="77" t="s">
        <v>8611</v>
      </c>
      <c r="Z3614" s="77" t="s">
        <v>2041</v>
      </c>
      <c r="AA3614" s="77"/>
      <c r="AB3614" s="77"/>
      <c r="AC3614" s="80" t="s">
        <v>10551</v>
      </c>
      <c r="AD3614" s="77" t="s">
        <v>10617</v>
      </c>
      <c r="AE3614" s="83" t="str">
        <f>HYPERLINK("https://twitter.com/estadao/status/1653951328169738241")</f>
        <v>https://twitter.com/estadao/status/1653951328169738241</v>
      </c>
      <c r="AF3614" s="79">
        <v>45050.107638888891</v>
      </c>
      <c r="AG3614" s="85">
        <v>45050</v>
      </c>
      <c r="AH3614" s="80" t="s">
        <v>13760</v>
      </c>
      <c r="AI3614" s="77" t="b">
        <v>0</v>
      </c>
      <c r="AJ3614" s="77"/>
      <c r="AK3614" s="77"/>
      <c r="AL3614" s="77"/>
      <c r="AM3614" s="77"/>
      <c r="AN3614" s="77"/>
      <c r="AO3614" s="77"/>
      <c r="AP3614" s="77"/>
      <c r="AQ3614" s="77"/>
      <c r="AR3614" s="77"/>
      <c r="AS3614" s="77"/>
      <c r="AT3614" s="77"/>
      <c r="AU3614" s="77"/>
      <c r="AV3614" s="83" t="str">
        <f>HYPERLINK("https://pbs.twimg.com/profile_images/1297827081791905795/H4qtFpQ-_normal.jpg")</f>
        <v>https://pbs.twimg.com/profile_images/1297827081791905795/H4qtFpQ-_normal.jpg</v>
      </c>
      <c r="AW3614" s="80" t="s">
        <v>19321</v>
      </c>
      <c r="AX3614" s="80" t="s">
        <v>19321</v>
      </c>
      <c r="AY3614" s="77"/>
      <c r="AZ3614" s="80" t="s">
        <v>20380</v>
      </c>
      <c r="BA3614" s="80" t="s">
        <v>20380</v>
      </c>
      <c r="BB3614" s="80" t="s">
        <v>20380</v>
      </c>
      <c r="BC3614" s="80" t="s">
        <v>19321</v>
      </c>
      <c r="BD3614" s="77">
        <v>9317502</v>
      </c>
      <c r="BE3614" s="77"/>
      <c r="BF3614" s="77"/>
      <c r="BG3614" s="77"/>
      <c r="BH3614" s="77"/>
      <c r="BI3614" s="77"/>
    </row>
    <row r="3615" spans="1:61" x14ac:dyDescent="0.25">
      <c r="A3615" s="62" t="s">
        <v>1443</v>
      </c>
      <c r="B3615" s="62" t="s">
        <v>2041</v>
      </c>
      <c r="C3615" s="63"/>
      <c r="D3615" s="64"/>
      <c r="E3615" s="65"/>
      <c r="F3615" s="66"/>
      <c r="G3615" s="63"/>
      <c r="H3615" s="67"/>
      <c r="I3615" s="68"/>
      <c r="J3615" s="68"/>
      <c r="K3615" s="32"/>
      <c r="L3615" s="75">
        <v>3615</v>
      </c>
      <c r="M3615" s="75"/>
      <c r="N3615" s="70"/>
      <c r="O3615" s="77" t="s">
        <v>2081</v>
      </c>
      <c r="P3615" s="79">
        <v>45097.993055555555</v>
      </c>
      <c r="Q3615" s="77" t="s">
        <v>5267</v>
      </c>
      <c r="R3615" s="77">
        <v>165</v>
      </c>
      <c r="S3615" s="77">
        <v>2146</v>
      </c>
      <c r="T3615" s="77">
        <v>344</v>
      </c>
      <c r="U3615" s="77">
        <v>68</v>
      </c>
      <c r="V3615" s="77">
        <v>130614</v>
      </c>
      <c r="W3615" s="77"/>
      <c r="X3615" s="83" t="str">
        <f>HYPERLINK("https://www.estadao.com.br/economia/rui-costa-mudanca-presidente-demissao-bc/?utm_source=twitter:newsfeed&amp;utm_medium=social-organic&amp;utm_campaign=redes-sociais:062023:e&amp;utm_content=:::&amp;utm_term=")</f>
        <v>https://www.estadao.com.br/economia/rui-costa-mudanca-presidente-demissao-bc/?utm_source=twitter:newsfeed&amp;utm_medium=social-organic&amp;utm_campaign=redes-sociais:062023:e&amp;utm_content=:::&amp;utm_term=</v>
      </c>
      <c r="Y3615" s="77" t="s">
        <v>8611</v>
      </c>
      <c r="Z3615" s="77" t="s">
        <v>2041</v>
      </c>
      <c r="AA3615" s="77"/>
      <c r="AB3615" s="77"/>
      <c r="AC3615" s="80" t="s">
        <v>10551</v>
      </c>
      <c r="AD3615" s="77" t="s">
        <v>10617</v>
      </c>
      <c r="AE3615" s="83" t="str">
        <f>HYPERLINK("https://twitter.com/estadao/status/1671304422230466561")</f>
        <v>https://twitter.com/estadao/status/1671304422230466561</v>
      </c>
      <c r="AF3615" s="79">
        <v>45097.993055555555</v>
      </c>
      <c r="AG3615" s="85">
        <v>45097</v>
      </c>
      <c r="AH3615" s="80" t="s">
        <v>13761</v>
      </c>
      <c r="AI3615" s="77" t="b">
        <v>0</v>
      </c>
      <c r="AJ3615" s="77"/>
      <c r="AK3615" s="77"/>
      <c r="AL3615" s="77"/>
      <c r="AM3615" s="77"/>
      <c r="AN3615" s="77"/>
      <c r="AO3615" s="77"/>
      <c r="AP3615" s="77"/>
      <c r="AQ3615" s="77"/>
      <c r="AR3615" s="77"/>
      <c r="AS3615" s="77"/>
      <c r="AT3615" s="77"/>
      <c r="AU3615" s="77"/>
      <c r="AV3615" s="83" t="str">
        <f>HYPERLINK("https://pbs.twimg.com/profile_images/1297827081791905795/H4qtFpQ-_normal.jpg")</f>
        <v>https://pbs.twimg.com/profile_images/1297827081791905795/H4qtFpQ-_normal.jpg</v>
      </c>
      <c r="AW3615" s="80" t="s">
        <v>19322</v>
      </c>
      <c r="AX3615" s="80" t="s">
        <v>19322</v>
      </c>
      <c r="AY3615" s="77"/>
      <c r="AZ3615" s="80" t="s">
        <v>20380</v>
      </c>
      <c r="BA3615" s="80" t="s">
        <v>20380</v>
      </c>
      <c r="BB3615" s="80" t="s">
        <v>20380</v>
      </c>
      <c r="BC3615" s="80" t="s">
        <v>19322</v>
      </c>
      <c r="BD3615" s="77">
        <v>9317502</v>
      </c>
      <c r="BE3615" s="77"/>
      <c r="BF3615" s="77"/>
      <c r="BG3615" s="77"/>
      <c r="BH3615" s="77"/>
      <c r="BI3615" s="77"/>
    </row>
    <row r="3616" spans="1:61" x14ac:dyDescent="0.25">
      <c r="A3616" s="62" t="s">
        <v>1444</v>
      </c>
      <c r="B3616" s="62" t="s">
        <v>1444</v>
      </c>
      <c r="C3616" s="63"/>
      <c r="D3616" s="64"/>
      <c r="E3616" s="65"/>
      <c r="F3616" s="66"/>
      <c r="G3616" s="63"/>
      <c r="H3616" s="67"/>
      <c r="I3616" s="68"/>
      <c r="J3616" s="68"/>
      <c r="K3616" s="32"/>
      <c r="L3616" s="75">
        <v>3616</v>
      </c>
      <c r="M3616" s="75"/>
      <c r="N3616" s="70"/>
      <c r="O3616" s="77" t="s">
        <v>179</v>
      </c>
      <c r="P3616" s="79">
        <v>45142.678993055553</v>
      </c>
      <c r="Q3616" s="77" t="s">
        <v>5268</v>
      </c>
      <c r="R3616" s="77">
        <v>4</v>
      </c>
      <c r="S3616" s="77">
        <v>5</v>
      </c>
      <c r="T3616" s="77">
        <v>1</v>
      </c>
      <c r="U3616" s="77">
        <v>0</v>
      </c>
      <c r="V3616" s="77">
        <v>57</v>
      </c>
      <c r="W3616" s="80" t="s">
        <v>8135</v>
      </c>
      <c r="X3616" s="77"/>
      <c r="Y3616" s="77"/>
      <c r="Z3616" s="77"/>
      <c r="AA3616" s="77" t="s">
        <v>10209</v>
      </c>
      <c r="AB3616" s="77" t="s">
        <v>10535</v>
      </c>
      <c r="AC3616" s="80" t="s">
        <v>10540</v>
      </c>
      <c r="AD3616" s="77" t="s">
        <v>10620</v>
      </c>
      <c r="AE3616" s="83" t="str">
        <f>HYPERLINK("https://twitter.com/xetidciego/status/1687498063705788416")</f>
        <v>https://twitter.com/xetidciego/status/1687498063705788416</v>
      </c>
      <c r="AF3616" s="79">
        <v>45142.678993055553</v>
      </c>
      <c r="AG3616" s="85">
        <v>45142</v>
      </c>
      <c r="AH3616" s="80" t="s">
        <v>13762</v>
      </c>
      <c r="AI3616" s="77" t="b">
        <v>0</v>
      </c>
      <c r="AJ3616" s="77"/>
      <c r="AK3616" s="77"/>
      <c r="AL3616" s="77"/>
      <c r="AM3616" s="77"/>
      <c r="AN3616" s="77"/>
      <c r="AO3616" s="77"/>
      <c r="AP3616" s="77"/>
      <c r="AQ3616" s="77" t="s">
        <v>15689</v>
      </c>
      <c r="AR3616" s="77"/>
      <c r="AS3616" s="77"/>
      <c r="AT3616" s="77"/>
      <c r="AU3616" s="77"/>
      <c r="AV3616" s="83" t="str">
        <f>HYPERLINK("https://pbs.twimg.com/media/F2syir6XoAM9EeF.jpg")</f>
        <v>https://pbs.twimg.com/media/F2syir6XoAM9EeF.jpg</v>
      </c>
      <c r="AW3616" s="80" t="s">
        <v>19323</v>
      </c>
      <c r="AX3616" s="80" t="s">
        <v>19323</v>
      </c>
      <c r="AY3616" s="77"/>
      <c r="AZ3616" s="80" t="s">
        <v>20380</v>
      </c>
      <c r="BA3616" s="80" t="s">
        <v>20380</v>
      </c>
      <c r="BB3616" s="80" t="s">
        <v>20380</v>
      </c>
      <c r="BC3616" s="80" t="s">
        <v>19323</v>
      </c>
      <c r="BD3616" s="80" t="s">
        <v>21091</v>
      </c>
      <c r="BE3616" s="77"/>
      <c r="BF3616" s="77"/>
      <c r="BG3616" s="77"/>
      <c r="BH3616" s="77"/>
      <c r="BI3616" s="77"/>
    </row>
    <row r="3617" spans="1:61" x14ac:dyDescent="0.25">
      <c r="A3617" s="62" t="s">
        <v>1445</v>
      </c>
      <c r="B3617" s="62" t="s">
        <v>1445</v>
      </c>
      <c r="C3617" s="63"/>
      <c r="D3617" s="64"/>
      <c r="E3617" s="65"/>
      <c r="F3617" s="66"/>
      <c r="G3617" s="63"/>
      <c r="H3617" s="67"/>
      <c r="I3617" s="68"/>
      <c r="J3617" s="68"/>
      <c r="K3617" s="32"/>
      <c r="L3617" s="75">
        <v>3617</v>
      </c>
      <c r="M3617" s="75"/>
      <c r="N3617" s="70"/>
      <c r="O3617" s="77" t="s">
        <v>179</v>
      </c>
      <c r="P3617" s="79">
        <v>45105.734351851854</v>
      </c>
      <c r="Q3617" s="77" t="s">
        <v>5269</v>
      </c>
      <c r="R3617" s="77">
        <v>0</v>
      </c>
      <c r="S3617" s="77">
        <v>0</v>
      </c>
      <c r="T3617" s="77">
        <v>0</v>
      </c>
      <c r="U3617" s="77">
        <v>0</v>
      </c>
      <c r="V3617" s="77">
        <v>62</v>
      </c>
      <c r="W3617" s="80" t="s">
        <v>8136</v>
      </c>
      <c r="X3617" s="83" t="str">
        <f>HYPERLINK("https://encr.pw/g46gX")</f>
        <v>https://encr.pw/g46gX</v>
      </c>
      <c r="Y3617" s="77" t="s">
        <v>8842</v>
      </c>
      <c r="Z3617" s="77"/>
      <c r="AA3617" s="77"/>
      <c r="AB3617" s="77"/>
      <c r="AC3617" s="80" t="s">
        <v>10541</v>
      </c>
      <c r="AD3617" s="77" t="s">
        <v>10617</v>
      </c>
      <c r="AE3617" s="83" t="str">
        <f>HYPERLINK("https://twitter.com/alvesjesse10/status/1674109774537818148")</f>
        <v>https://twitter.com/alvesjesse10/status/1674109774537818148</v>
      </c>
      <c r="AF3617" s="79">
        <v>45105.734351851854</v>
      </c>
      <c r="AG3617" s="85">
        <v>45105</v>
      </c>
      <c r="AH3617" s="80" t="s">
        <v>13763</v>
      </c>
      <c r="AI3617" s="77" t="b">
        <v>0</v>
      </c>
      <c r="AJ3617" s="77"/>
      <c r="AK3617" s="77"/>
      <c r="AL3617" s="77"/>
      <c r="AM3617" s="77"/>
      <c r="AN3617" s="77"/>
      <c r="AO3617" s="77"/>
      <c r="AP3617" s="77"/>
      <c r="AQ3617" s="77"/>
      <c r="AR3617" s="77"/>
      <c r="AS3617" s="77"/>
      <c r="AT3617" s="77"/>
      <c r="AU3617" s="77"/>
      <c r="AV3617" s="83" t="str">
        <f>HYPERLINK("https://pbs.twimg.com/profile_images/1616575519612452864/C4ykaAj5_normal.jpg")</f>
        <v>https://pbs.twimg.com/profile_images/1616575519612452864/C4ykaAj5_normal.jpg</v>
      </c>
      <c r="AW3617" s="80" t="s">
        <v>19324</v>
      </c>
      <c r="AX3617" s="80" t="s">
        <v>19324</v>
      </c>
      <c r="AY3617" s="77"/>
      <c r="AZ3617" s="80" t="s">
        <v>20380</v>
      </c>
      <c r="BA3617" s="80" t="s">
        <v>20380</v>
      </c>
      <c r="BB3617" s="80" t="s">
        <v>20380</v>
      </c>
      <c r="BC3617" s="80" t="s">
        <v>19324</v>
      </c>
      <c r="BD3617" s="80" t="s">
        <v>21092</v>
      </c>
      <c r="BE3617" s="77"/>
      <c r="BF3617" s="77"/>
      <c r="BG3617" s="77"/>
      <c r="BH3617" s="77"/>
      <c r="BI3617" s="77"/>
    </row>
    <row r="3618" spans="1:61" x14ac:dyDescent="0.25">
      <c r="A3618" s="62" t="s">
        <v>1446</v>
      </c>
      <c r="B3618" s="62" t="s">
        <v>1446</v>
      </c>
      <c r="C3618" s="63"/>
      <c r="D3618" s="64"/>
      <c r="E3618" s="65"/>
      <c r="F3618" s="66"/>
      <c r="G3618" s="63"/>
      <c r="H3618" s="67"/>
      <c r="I3618" s="68"/>
      <c r="J3618" s="68"/>
      <c r="K3618" s="32"/>
      <c r="L3618" s="75">
        <v>3618</v>
      </c>
      <c r="M3618" s="75"/>
      <c r="N3618" s="70"/>
      <c r="O3618" s="77" t="s">
        <v>179</v>
      </c>
      <c r="P3618" s="79">
        <v>45078.441122685188</v>
      </c>
      <c r="Q3618" s="77" t="s">
        <v>5270</v>
      </c>
      <c r="R3618" s="77">
        <v>0</v>
      </c>
      <c r="S3618" s="77">
        <v>0</v>
      </c>
      <c r="T3618" s="77">
        <v>0</v>
      </c>
      <c r="U3618" s="77">
        <v>0</v>
      </c>
      <c r="V3618" s="77">
        <v>37</v>
      </c>
      <c r="W3618" s="80" t="s">
        <v>8137</v>
      </c>
      <c r="X3618" s="77"/>
      <c r="Y3618" s="77"/>
      <c r="Z3618" s="77"/>
      <c r="AA3618" s="77" t="s">
        <v>10210</v>
      </c>
      <c r="AB3618" s="77" t="s">
        <v>10535</v>
      </c>
      <c r="AC3618" s="80" t="s">
        <v>10541</v>
      </c>
      <c r="AD3618" s="77" t="s">
        <v>10620</v>
      </c>
      <c r="AE3618" s="83" t="str">
        <f>HYPERLINK("https://twitter.com/weex_es/status/1664219040645013506")</f>
        <v>https://twitter.com/weex_es/status/1664219040645013506</v>
      </c>
      <c r="AF3618" s="79">
        <v>45078.441122685188</v>
      </c>
      <c r="AG3618" s="85">
        <v>45078</v>
      </c>
      <c r="AH3618" s="80" t="s">
        <v>13764</v>
      </c>
      <c r="AI3618" s="77" t="b">
        <v>0</v>
      </c>
      <c r="AJ3618" s="77"/>
      <c r="AK3618" s="77"/>
      <c r="AL3618" s="77"/>
      <c r="AM3618" s="77"/>
      <c r="AN3618" s="77"/>
      <c r="AO3618" s="77"/>
      <c r="AP3618" s="77"/>
      <c r="AQ3618" s="77" t="s">
        <v>15690</v>
      </c>
      <c r="AR3618" s="77"/>
      <c r="AS3618" s="77"/>
      <c r="AT3618" s="77"/>
      <c r="AU3618" s="77"/>
      <c r="AV3618" s="83" t="str">
        <f>HYPERLINK("https://pbs.twimg.com/media/Fxh-EAzXsAAamzQ.png")</f>
        <v>https://pbs.twimg.com/media/Fxh-EAzXsAAamzQ.png</v>
      </c>
      <c r="AW3618" s="80" t="s">
        <v>19325</v>
      </c>
      <c r="AX3618" s="80" t="s">
        <v>19325</v>
      </c>
      <c r="AY3618" s="77"/>
      <c r="AZ3618" s="80" t="s">
        <v>20380</v>
      </c>
      <c r="BA3618" s="80" t="s">
        <v>20380</v>
      </c>
      <c r="BB3618" s="80" t="s">
        <v>20380</v>
      </c>
      <c r="BC3618" s="80" t="s">
        <v>19325</v>
      </c>
      <c r="BD3618" s="80" t="s">
        <v>21093</v>
      </c>
      <c r="BE3618" s="77"/>
      <c r="BF3618" s="77"/>
      <c r="BG3618" s="77"/>
      <c r="BH3618" s="77"/>
      <c r="BI3618" s="77"/>
    </row>
    <row r="3619" spans="1:61" x14ac:dyDescent="0.25">
      <c r="A3619" s="62" t="s">
        <v>1447</v>
      </c>
      <c r="B3619" s="62" t="s">
        <v>1447</v>
      </c>
      <c r="C3619" s="63"/>
      <c r="D3619" s="64"/>
      <c r="E3619" s="65"/>
      <c r="F3619" s="66"/>
      <c r="G3619" s="63"/>
      <c r="H3619" s="67"/>
      <c r="I3619" s="68"/>
      <c r="J3619" s="68"/>
      <c r="K3619" s="32"/>
      <c r="L3619" s="75">
        <v>3619</v>
      </c>
      <c r="M3619" s="75"/>
      <c r="N3619" s="70"/>
      <c r="O3619" s="77" t="s">
        <v>179</v>
      </c>
      <c r="P3619" s="79">
        <v>45071.566018518519</v>
      </c>
      <c r="Q3619" s="77" t="s">
        <v>5271</v>
      </c>
      <c r="R3619" s="77">
        <v>1</v>
      </c>
      <c r="S3619" s="77">
        <v>1</v>
      </c>
      <c r="T3619" s="77">
        <v>0</v>
      </c>
      <c r="U3619" s="77">
        <v>2</v>
      </c>
      <c r="V3619" s="77">
        <v>1485</v>
      </c>
      <c r="W3619" s="77"/>
      <c r="X3619" s="83" t="str">
        <f>HYPERLINK("https://www.ex-ante.cl/natalia-aranguiz-no-ha-sido-claro-por-que-se-implemento-esta-politica-financiera-que-va-al-reves-de-la-politica-monetaria/")</f>
        <v>https://www.ex-ante.cl/natalia-aranguiz-no-ha-sido-claro-por-que-se-implemento-esta-politica-financiera-que-va-al-reves-de-la-politica-monetaria/</v>
      </c>
      <c r="Y3619" s="77" t="s">
        <v>8851</v>
      </c>
      <c r="Z3619" s="77"/>
      <c r="AA3619" s="77"/>
      <c r="AB3619" s="77"/>
      <c r="AC3619" s="80" t="s">
        <v>10541</v>
      </c>
      <c r="AD3619" s="77" t="s">
        <v>10620</v>
      </c>
      <c r="AE3619" s="83" t="str">
        <f>HYPERLINK("https://twitter.com/exantecl/status/1661727586291179521")</f>
        <v>https://twitter.com/exantecl/status/1661727586291179521</v>
      </c>
      <c r="AF3619" s="79">
        <v>45071.566018518519</v>
      </c>
      <c r="AG3619" s="85">
        <v>45071</v>
      </c>
      <c r="AH3619" s="80" t="s">
        <v>13765</v>
      </c>
      <c r="AI3619" s="77" t="b">
        <v>0</v>
      </c>
      <c r="AJ3619" s="77"/>
      <c r="AK3619" s="77"/>
      <c r="AL3619" s="77"/>
      <c r="AM3619" s="77"/>
      <c r="AN3619" s="77"/>
      <c r="AO3619" s="77"/>
      <c r="AP3619" s="77"/>
      <c r="AQ3619" s="77"/>
      <c r="AR3619" s="77"/>
      <c r="AS3619" s="77"/>
      <c r="AT3619" s="77"/>
      <c r="AU3619" s="77"/>
      <c r="AV3619" s="83" t="str">
        <f>HYPERLINK("https://pbs.twimg.com/profile_images/1516960084072534016/UXiiXBm7_normal.png")</f>
        <v>https://pbs.twimg.com/profile_images/1516960084072534016/UXiiXBm7_normal.png</v>
      </c>
      <c r="AW3619" s="80" t="s">
        <v>19326</v>
      </c>
      <c r="AX3619" s="80" t="s">
        <v>19326</v>
      </c>
      <c r="AY3619" s="77"/>
      <c r="AZ3619" s="80" t="s">
        <v>20380</v>
      </c>
      <c r="BA3619" s="80" t="s">
        <v>20380</v>
      </c>
      <c r="BB3619" s="80" t="s">
        <v>20380</v>
      </c>
      <c r="BC3619" s="80" t="s">
        <v>19326</v>
      </c>
      <c r="BD3619" s="80" t="s">
        <v>21094</v>
      </c>
      <c r="BE3619" s="77"/>
      <c r="BF3619" s="77"/>
      <c r="BG3619" s="77"/>
      <c r="BH3619" s="77"/>
      <c r="BI3619" s="77"/>
    </row>
    <row r="3620" spans="1:61" x14ac:dyDescent="0.25">
      <c r="A3620" s="62" t="s">
        <v>1448</v>
      </c>
      <c r="B3620" s="62" t="s">
        <v>1447</v>
      </c>
      <c r="C3620" s="63"/>
      <c r="D3620" s="64"/>
      <c r="E3620" s="65"/>
      <c r="F3620" s="66"/>
      <c r="G3620" s="63"/>
      <c r="H3620" s="67"/>
      <c r="I3620" s="68"/>
      <c r="J3620" s="68"/>
      <c r="K3620" s="32"/>
      <c r="L3620" s="75">
        <v>3620</v>
      </c>
      <c r="M3620" s="75"/>
      <c r="N3620" s="70"/>
      <c r="O3620" s="77" t="s">
        <v>2081</v>
      </c>
      <c r="P3620" s="79">
        <v>45097.431354166663</v>
      </c>
      <c r="Q3620" s="77" t="s">
        <v>5272</v>
      </c>
      <c r="R3620" s="77">
        <v>0</v>
      </c>
      <c r="S3620" s="77">
        <v>0</v>
      </c>
      <c r="T3620" s="77">
        <v>0</v>
      </c>
      <c r="U3620" s="77">
        <v>0</v>
      </c>
      <c r="V3620" s="77">
        <v>6</v>
      </c>
      <c r="W3620" s="80" t="s">
        <v>8138</v>
      </c>
      <c r="X3620" s="83" t="str">
        <f>HYPERLINK("http://newsflylatam.com")</f>
        <v>http://newsflylatam.com</v>
      </c>
      <c r="Y3620" s="77" t="s">
        <v>8852</v>
      </c>
      <c r="Z3620" s="77" t="s">
        <v>1447</v>
      </c>
      <c r="AA3620" s="77" t="s">
        <v>10211</v>
      </c>
      <c r="AB3620" s="77" t="s">
        <v>10535</v>
      </c>
      <c r="AC3620" s="80" t="s">
        <v>10541</v>
      </c>
      <c r="AD3620" s="77" t="s">
        <v>10620</v>
      </c>
      <c r="AE3620" s="83" t="str">
        <f>HYPERLINK("https://twitter.com/newsfly_latam/status/1671100868576329729")</f>
        <v>https://twitter.com/newsfly_latam/status/1671100868576329729</v>
      </c>
      <c r="AF3620" s="79">
        <v>45097.431354166663</v>
      </c>
      <c r="AG3620" s="85">
        <v>45097</v>
      </c>
      <c r="AH3620" s="80" t="s">
        <v>13766</v>
      </c>
      <c r="AI3620" s="77" t="b">
        <v>0</v>
      </c>
      <c r="AJ3620" s="77"/>
      <c r="AK3620" s="77"/>
      <c r="AL3620" s="77"/>
      <c r="AM3620" s="77"/>
      <c r="AN3620" s="77"/>
      <c r="AO3620" s="77"/>
      <c r="AP3620" s="77"/>
      <c r="AQ3620" s="77" t="s">
        <v>15691</v>
      </c>
      <c r="AR3620" s="77"/>
      <c r="AS3620" s="77"/>
      <c r="AT3620" s="77"/>
      <c r="AU3620" s="77"/>
      <c r="AV3620" s="83" t="str">
        <f>HYPERLINK("https://pbs.twimg.com/media/FzDxQxfWYAIDDYb.png")</f>
        <v>https://pbs.twimg.com/media/FzDxQxfWYAIDDYb.png</v>
      </c>
      <c r="AW3620" s="80" t="s">
        <v>19327</v>
      </c>
      <c r="AX3620" s="80" t="s">
        <v>19327</v>
      </c>
      <c r="AY3620" s="77"/>
      <c r="AZ3620" s="80" t="s">
        <v>20380</v>
      </c>
      <c r="BA3620" s="80" t="s">
        <v>20380</v>
      </c>
      <c r="BB3620" s="80" t="s">
        <v>20380</v>
      </c>
      <c r="BC3620" s="80" t="s">
        <v>19327</v>
      </c>
      <c r="BD3620" s="80" t="s">
        <v>21095</v>
      </c>
      <c r="BE3620" s="77"/>
      <c r="BF3620" s="77"/>
      <c r="BG3620" s="77"/>
      <c r="BH3620" s="77"/>
      <c r="BI3620" s="77"/>
    </row>
    <row r="3621" spans="1:61" x14ac:dyDescent="0.25">
      <c r="A3621" s="62" t="s">
        <v>1449</v>
      </c>
      <c r="B3621" s="62" t="s">
        <v>1596</v>
      </c>
      <c r="C3621" s="63"/>
      <c r="D3621" s="64"/>
      <c r="E3621" s="65"/>
      <c r="F3621" s="66"/>
      <c r="G3621" s="63"/>
      <c r="H3621" s="67"/>
      <c r="I3621" s="68"/>
      <c r="J3621" s="68"/>
      <c r="K3621" s="32"/>
      <c r="L3621" s="75">
        <v>3621</v>
      </c>
      <c r="M3621" s="75"/>
      <c r="N3621" s="70"/>
      <c r="O3621" s="77" t="s">
        <v>2081</v>
      </c>
      <c r="P3621" s="79">
        <v>45057.823831018519</v>
      </c>
      <c r="Q3621" s="77" t="s">
        <v>5273</v>
      </c>
      <c r="R3621" s="77">
        <v>0</v>
      </c>
      <c r="S3621" s="77">
        <v>0</v>
      </c>
      <c r="T3621" s="77">
        <v>0</v>
      </c>
      <c r="U3621" s="77">
        <v>0</v>
      </c>
      <c r="V3621" s="77">
        <v>12</v>
      </c>
      <c r="W3621" s="80" t="s">
        <v>8139</v>
      </c>
      <c r="X3621" s="83" t="str">
        <f>HYPERLINK("https://www.bcb.gov.br/detalhenoticia/681/noticia")</f>
        <v>https://www.bcb.gov.br/detalhenoticia/681/noticia</v>
      </c>
      <c r="Y3621" s="77" t="s">
        <v>8633</v>
      </c>
      <c r="Z3621" s="77" t="s">
        <v>1596</v>
      </c>
      <c r="AA3621" s="77"/>
      <c r="AB3621" s="77"/>
      <c r="AC3621" s="80" t="s">
        <v>10541</v>
      </c>
      <c r="AD3621" s="77" t="s">
        <v>10617</v>
      </c>
      <c r="AE3621" s="83" t="str">
        <f>HYPERLINK("https://twitter.com/mathz_aragao/status/1656747585502101505")</f>
        <v>https://twitter.com/mathz_aragao/status/1656747585502101505</v>
      </c>
      <c r="AF3621" s="79">
        <v>45057.823831018519</v>
      </c>
      <c r="AG3621" s="85">
        <v>45057</v>
      </c>
      <c r="AH3621" s="80" t="s">
        <v>13767</v>
      </c>
      <c r="AI3621" s="77" t="b">
        <v>0</v>
      </c>
      <c r="AJ3621" s="77"/>
      <c r="AK3621" s="77"/>
      <c r="AL3621" s="77"/>
      <c r="AM3621" s="77"/>
      <c r="AN3621" s="77"/>
      <c r="AO3621" s="77"/>
      <c r="AP3621" s="77"/>
      <c r="AQ3621" s="77"/>
      <c r="AR3621" s="77"/>
      <c r="AS3621" s="77"/>
      <c r="AT3621" s="77"/>
      <c r="AU3621" s="77"/>
      <c r="AV3621" s="83" t="str">
        <f>HYPERLINK("https://pbs.twimg.com/profile_images/3425614549/e33550c5911ecf735e54b37550ee6903_normal.jpeg")</f>
        <v>https://pbs.twimg.com/profile_images/3425614549/e33550c5911ecf735e54b37550ee6903_normal.jpeg</v>
      </c>
      <c r="AW3621" s="80" t="s">
        <v>19328</v>
      </c>
      <c r="AX3621" s="80" t="s">
        <v>19328</v>
      </c>
      <c r="AY3621" s="77"/>
      <c r="AZ3621" s="80" t="s">
        <v>20380</v>
      </c>
      <c r="BA3621" s="80" t="s">
        <v>20380</v>
      </c>
      <c r="BB3621" s="80" t="s">
        <v>20380</v>
      </c>
      <c r="BC3621" s="80" t="s">
        <v>19328</v>
      </c>
      <c r="BD3621" s="77">
        <v>214689166</v>
      </c>
      <c r="BE3621" s="77"/>
      <c r="BF3621" s="77"/>
      <c r="BG3621" s="77"/>
      <c r="BH3621" s="77"/>
      <c r="BI3621" s="77"/>
    </row>
    <row r="3622" spans="1:61" x14ac:dyDescent="0.25">
      <c r="A3622" s="62" t="s">
        <v>1450</v>
      </c>
      <c r="B3622" s="62" t="s">
        <v>2042</v>
      </c>
      <c r="C3622" s="63"/>
      <c r="D3622" s="64"/>
      <c r="E3622" s="65"/>
      <c r="F3622" s="66"/>
      <c r="G3622" s="63"/>
      <c r="H3622" s="67"/>
      <c r="I3622" s="68"/>
      <c r="J3622" s="68"/>
      <c r="K3622" s="32"/>
      <c r="L3622" s="75">
        <v>3622</v>
      </c>
      <c r="M3622" s="75"/>
      <c r="N3622" s="70"/>
      <c r="O3622" s="77" t="s">
        <v>2081</v>
      </c>
      <c r="P3622" s="79">
        <v>45159.655543981484</v>
      </c>
      <c r="Q3622" s="77" t="s">
        <v>5274</v>
      </c>
      <c r="R3622" s="77">
        <v>0</v>
      </c>
      <c r="S3622" s="77">
        <v>0</v>
      </c>
      <c r="T3622" s="77">
        <v>0</v>
      </c>
      <c r="U3622" s="77">
        <v>0</v>
      </c>
      <c r="V3622" s="77">
        <v>71</v>
      </c>
      <c r="W3622" s="80" t="s">
        <v>6361</v>
      </c>
      <c r="X3622" s="77"/>
      <c r="Y3622" s="77"/>
      <c r="Z3622" s="77" t="s">
        <v>9020</v>
      </c>
      <c r="AA3622" s="77"/>
      <c r="AB3622" s="77"/>
      <c r="AC3622" s="80" t="s">
        <v>10542</v>
      </c>
      <c r="AD3622" s="77" t="s">
        <v>10617</v>
      </c>
      <c r="AE3622" s="83" t="str">
        <f>HYPERLINK("https://twitter.com/dhyovaine/status/1693650162634096875")</f>
        <v>https://twitter.com/dhyovaine/status/1693650162634096875</v>
      </c>
      <c r="AF3622" s="79">
        <v>45159.655543981484</v>
      </c>
      <c r="AG3622" s="85">
        <v>45159</v>
      </c>
      <c r="AH3622" s="80" t="s">
        <v>13768</v>
      </c>
      <c r="AI3622" s="77"/>
      <c r="AJ3622" s="77"/>
      <c r="AK3622" s="77"/>
      <c r="AL3622" s="77"/>
      <c r="AM3622" s="77"/>
      <c r="AN3622" s="77"/>
      <c r="AO3622" s="77"/>
      <c r="AP3622" s="77"/>
      <c r="AQ3622" s="77"/>
      <c r="AR3622" s="77"/>
      <c r="AS3622" s="77"/>
      <c r="AT3622" s="77"/>
      <c r="AU3622" s="77"/>
      <c r="AV3622" s="83" t="str">
        <f>HYPERLINK("https://pbs.twimg.com/profile_images/1389970238821777409/UXHj7jzC_normal.jpg")</f>
        <v>https://pbs.twimg.com/profile_images/1389970238821777409/UXHj7jzC_normal.jpg</v>
      </c>
      <c r="AW3622" s="80" t="s">
        <v>19329</v>
      </c>
      <c r="AX3622" s="80" t="s">
        <v>19329</v>
      </c>
      <c r="AY3622" s="77"/>
      <c r="AZ3622" s="80" t="s">
        <v>20380</v>
      </c>
      <c r="BA3622" s="80" t="s">
        <v>20380</v>
      </c>
      <c r="BB3622" s="80" t="s">
        <v>20380</v>
      </c>
      <c r="BC3622" s="80" t="s">
        <v>19329</v>
      </c>
      <c r="BD3622" s="77">
        <v>95876491</v>
      </c>
      <c r="BE3622" s="77"/>
      <c r="BF3622" s="77"/>
      <c r="BG3622" s="77"/>
      <c r="BH3622" s="77"/>
      <c r="BI3622" s="77"/>
    </row>
    <row r="3623" spans="1:61" x14ac:dyDescent="0.25">
      <c r="A3623" s="62" t="s">
        <v>1450</v>
      </c>
      <c r="B3623" s="62" t="s">
        <v>1775</v>
      </c>
      <c r="C3623" s="63"/>
      <c r="D3623" s="64"/>
      <c r="E3623" s="65"/>
      <c r="F3623" s="66"/>
      <c r="G3623" s="63"/>
      <c r="H3623" s="67"/>
      <c r="I3623" s="68"/>
      <c r="J3623" s="68"/>
      <c r="K3623" s="32"/>
      <c r="L3623" s="75">
        <v>3623</v>
      </c>
      <c r="M3623" s="75"/>
      <c r="N3623" s="70"/>
      <c r="O3623" s="77" t="s">
        <v>2081</v>
      </c>
      <c r="P3623" s="79">
        <v>45159.655543981484</v>
      </c>
      <c r="Q3623" s="77" t="s">
        <v>5274</v>
      </c>
      <c r="R3623" s="77">
        <v>0</v>
      </c>
      <c r="S3623" s="77">
        <v>0</v>
      </c>
      <c r="T3623" s="77">
        <v>0</v>
      </c>
      <c r="U3623" s="77">
        <v>0</v>
      </c>
      <c r="V3623" s="77">
        <v>71</v>
      </c>
      <c r="W3623" s="80" t="s">
        <v>6361</v>
      </c>
      <c r="X3623" s="77"/>
      <c r="Y3623" s="77"/>
      <c r="Z3623" s="77" t="s">
        <v>9020</v>
      </c>
      <c r="AA3623" s="77"/>
      <c r="AB3623" s="77"/>
      <c r="AC3623" s="80" t="s">
        <v>10542</v>
      </c>
      <c r="AD3623" s="77" t="s">
        <v>10617</v>
      </c>
      <c r="AE3623" s="83" t="str">
        <f>HYPERLINK("https://twitter.com/dhyovaine/status/1693650162634096875")</f>
        <v>https://twitter.com/dhyovaine/status/1693650162634096875</v>
      </c>
      <c r="AF3623" s="79">
        <v>45159.655543981484</v>
      </c>
      <c r="AG3623" s="85">
        <v>45159</v>
      </c>
      <c r="AH3623" s="80" t="s">
        <v>13768</v>
      </c>
      <c r="AI3623" s="77"/>
      <c r="AJ3623" s="77"/>
      <c r="AK3623" s="77"/>
      <c r="AL3623" s="77"/>
      <c r="AM3623" s="77"/>
      <c r="AN3623" s="77"/>
      <c r="AO3623" s="77"/>
      <c r="AP3623" s="77"/>
      <c r="AQ3623" s="77"/>
      <c r="AR3623" s="77"/>
      <c r="AS3623" s="77"/>
      <c r="AT3623" s="77"/>
      <c r="AU3623" s="77"/>
      <c r="AV3623" s="83" t="str">
        <f>HYPERLINK("https://pbs.twimg.com/profile_images/1389970238821777409/UXHj7jzC_normal.jpg")</f>
        <v>https://pbs.twimg.com/profile_images/1389970238821777409/UXHj7jzC_normal.jpg</v>
      </c>
      <c r="AW3623" s="80" t="s">
        <v>19329</v>
      </c>
      <c r="AX3623" s="80" t="s">
        <v>19329</v>
      </c>
      <c r="AY3623" s="77"/>
      <c r="AZ3623" s="80" t="s">
        <v>20380</v>
      </c>
      <c r="BA3623" s="80" t="s">
        <v>20380</v>
      </c>
      <c r="BB3623" s="80" t="s">
        <v>20380</v>
      </c>
      <c r="BC3623" s="80" t="s">
        <v>19329</v>
      </c>
      <c r="BD3623" s="77">
        <v>95876491</v>
      </c>
      <c r="BE3623" s="77"/>
      <c r="BF3623" s="77"/>
      <c r="BG3623" s="77"/>
      <c r="BH3623" s="77"/>
      <c r="BI3623" s="77"/>
    </row>
    <row r="3624" spans="1:61" x14ac:dyDescent="0.25">
      <c r="A3624" s="62" t="s">
        <v>1451</v>
      </c>
      <c r="B3624" s="62" t="s">
        <v>1451</v>
      </c>
      <c r="C3624" s="63"/>
      <c r="D3624" s="64"/>
      <c r="E3624" s="65"/>
      <c r="F3624" s="66"/>
      <c r="G3624" s="63"/>
      <c r="H3624" s="67"/>
      <c r="I3624" s="68"/>
      <c r="J3624" s="68"/>
      <c r="K3624" s="32"/>
      <c r="L3624" s="75">
        <v>3624</v>
      </c>
      <c r="M3624" s="75"/>
      <c r="N3624" s="70"/>
      <c r="O3624" s="77" t="s">
        <v>179</v>
      </c>
      <c r="P3624" s="79">
        <v>45176.861655092594</v>
      </c>
      <c r="Q3624" s="77" t="s">
        <v>5275</v>
      </c>
      <c r="R3624" s="77">
        <v>0</v>
      </c>
      <c r="S3624" s="77">
        <v>0</v>
      </c>
      <c r="T3624" s="77">
        <v>0</v>
      </c>
      <c r="U3624" s="77">
        <v>0</v>
      </c>
      <c r="V3624" s="77">
        <v>40</v>
      </c>
      <c r="W3624" s="80" t="s">
        <v>5884</v>
      </c>
      <c r="X3624" s="83" t="str">
        <f>HYPERLINK("https://campodirecto.com.ar/el-dolar-soja-iv-visto-por-la-bccba/")</f>
        <v>https://campodirecto.com.ar/el-dolar-soja-iv-visto-por-la-bccba/</v>
      </c>
      <c r="Y3624" s="77" t="s">
        <v>8624</v>
      </c>
      <c r="Z3624" s="77"/>
      <c r="AA3624" s="77"/>
      <c r="AB3624" s="77"/>
      <c r="AC3624" s="80" t="s">
        <v>10541</v>
      </c>
      <c r="AD3624" s="77" t="s">
        <v>10620</v>
      </c>
      <c r="AE3624" s="83" t="str">
        <f>HYPERLINK("https://twitter.com/campodirecto/status/1699885448326492326")</f>
        <v>https://twitter.com/campodirecto/status/1699885448326492326</v>
      </c>
      <c r="AF3624" s="79">
        <v>45176.861655092594</v>
      </c>
      <c r="AG3624" s="85">
        <v>45176</v>
      </c>
      <c r="AH3624" s="80" t="s">
        <v>13769</v>
      </c>
      <c r="AI3624" s="77" t="b">
        <v>0</v>
      </c>
      <c r="AJ3624" s="77"/>
      <c r="AK3624" s="77"/>
      <c r="AL3624" s="77"/>
      <c r="AM3624" s="77"/>
      <c r="AN3624" s="77"/>
      <c r="AO3624" s="77"/>
      <c r="AP3624" s="77"/>
      <c r="AQ3624" s="77"/>
      <c r="AR3624" s="77"/>
      <c r="AS3624" s="77"/>
      <c r="AT3624" s="77"/>
      <c r="AU3624" s="77"/>
      <c r="AV3624" s="83" t="str">
        <f>HYPERLINK("https://pbs.twimg.com/profile_images/583671110572576768/0j4C_q8V_normal.jpg")</f>
        <v>https://pbs.twimg.com/profile_images/583671110572576768/0j4C_q8V_normal.jpg</v>
      </c>
      <c r="AW3624" s="80" t="s">
        <v>19330</v>
      </c>
      <c r="AX3624" s="80" t="s">
        <v>19330</v>
      </c>
      <c r="AY3624" s="77"/>
      <c r="AZ3624" s="80" t="s">
        <v>20380</v>
      </c>
      <c r="BA3624" s="80" t="s">
        <v>20380</v>
      </c>
      <c r="BB3624" s="80" t="s">
        <v>20380</v>
      </c>
      <c r="BC3624" s="80" t="s">
        <v>19330</v>
      </c>
      <c r="BD3624" s="77">
        <v>3092350953</v>
      </c>
      <c r="BE3624" s="77"/>
      <c r="BF3624" s="77"/>
      <c r="BG3624" s="77"/>
      <c r="BH3624" s="77"/>
      <c r="BI3624" s="77"/>
    </row>
    <row r="3625" spans="1:61" x14ac:dyDescent="0.25">
      <c r="A3625" s="62" t="s">
        <v>1452</v>
      </c>
      <c r="B3625" s="62" t="s">
        <v>1452</v>
      </c>
      <c r="C3625" s="63"/>
      <c r="D3625" s="64"/>
      <c r="E3625" s="65"/>
      <c r="F3625" s="66"/>
      <c r="G3625" s="63"/>
      <c r="H3625" s="67"/>
      <c r="I3625" s="68"/>
      <c r="J3625" s="68"/>
      <c r="K3625" s="32"/>
      <c r="L3625" s="75">
        <v>3625</v>
      </c>
      <c r="M3625" s="75"/>
      <c r="N3625" s="70"/>
      <c r="O3625" s="77" t="s">
        <v>179</v>
      </c>
      <c r="P3625" s="79">
        <v>45183.025324074071</v>
      </c>
      <c r="Q3625" s="77" t="s">
        <v>5276</v>
      </c>
      <c r="R3625" s="77">
        <v>0</v>
      </c>
      <c r="S3625" s="77">
        <v>1</v>
      </c>
      <c r="T3625" s="77">
        <v>0</v>
      </c>
      <c r="U3625" s="77">
        <v>0</v>
      </c>
      <c r="V3625" s="77">
        <v>28</v>
      </c>
      <c r="W3625" s="80" t="s">
        <v>5897</v>
      </c>
      <c r="X3625" s="77"/>
      <c r="Y3625" s="77"/>
      <c r="Z3625" s="77"/>
      <c r="AA3625" s="77"/>
      <c r="AB3625" s="77"/>
      <c r="AC3625" s="80" t="s">
        <v>10540</v>
      </c>
      <c r="AD3625" s="77" t="s">
        <v>10617</v>
      </c>
      <c r="AE3625" s="83" t="str">
        <f>HYPERLINK("https://twitter.com/karllusbarone/status/1702119084647690729")</f>
        <v>https://twitter.com/karllusbarone/status/1702119084647690729</v>
      </c>
      <c r="AF3625" s="79">
        <v>45183.025324074071</v>
      </c>
      <c r="AG3625" s="85">
        <v>45183</v>
      </c>
      <c r="AH3625" s="80" t="s">
        <v>13770</v>
      </c>
      <c r="AI3625" s="77"/>
      <c r="AJ3625" s="77"/>
      <c r="AK3625" s="77"/>
      <c r="AL3625" s="77"/>
      <c r="AM3625" s="77"/>
      <c r="AN3625" s="77"/>
      <c r="AO3625" s="77"/>
      <c r="AP3625" s="77"/>
      <c r="AQ3625" s="77"/>
      <c r="AR3625" s="77"/>
      <c r="AS3625" s="77"/>
      <c r="AT3625" s="77"/>
      <c r="AU3625" s="77"/>
      <c r="AV3625" s="83" t="str">
        <f>HYPERLINK("https://pbs.twimg.com/profile_images/1691074213107355648/PhRUFVJ5_normal.jpg")</f>
        <v>https://pbs.twimg.com/profile_images/1691074213107355648/PhRUFVJ5_normal.jpg</v>
      </c>
      <c r="AW3625" s="80" t="s">
        <v>19331</v>
      </c>
      <c r="AX3625" s="80" t="s">
        <v>19331</v>
      </c>
      <c r="AY3625" s="77"/>
      <c r="AZ3625" s="80" t="s">
        <v>20380</v>
      </c>
      <c r="BA3625" s="80" t="s">
        <v>20380</v>
      </c>
      <c r="BB3625" s="80" t="s">
        <v>20380</v>
      </c>
      <c r="BC3625" s="80" t="s">
        <v>19331</v>
      </c>
      <c r="BD3625" s="80" t="s">
        <v>21096</v>
      </c>
      <c r="BE3625" s="77"/>
      <c r="BF3625" s="77"/>
      <c r="BG3625" s="77"/>
      <c r="BH3625" s="77"/>
      <c r="BI3625" s="77"/>
    </row>
    <row r="3626" spans="1:61" x14ac:dyDescent="0.25">
      <c r="A3626" s="62" t="s">
        <v>1452</v>
      </c>
      <c r="B3626" s="62" t="s">
        <v>1452</v>
      </c>
      <c r="C3626" s="63"/>
      <c r="D3626" s="64"/>
      <c r="E3626" s="65"/>
      <c r="F3626" s="66"/>
      <c r="G3626" s="63"/>
      <c r="H3626" s="67"/>
      <c r="I3626" s="68"/>
      <c r="J3626" s="68"/>
      <c r="K3626" s="32"/>
      <c r="L3626" s="75">
        <v>3626</v>
      </c>
      <c r="M3626" s="75"/>
      <c r="N3626" s="70"/>
      <c r="O3626" s="77" t="s">
        <v>179</v>
      </c>
      <c r="P3626" s="79">
        <v>45145.928460648145</v>
      </c>
      <c r="Q3626" s="77" t="s">
        <v>5277</v>
      </c>
      <c r="R3626" s="77">
        <v>0</v>
      </c>
      <c r="S3626" s="77">
        <v>1</v>
      </c>
      <c r="T3626" s="77">
        <v>0</v>
      </c>
      <c r="U3626" s="77">
        <v>0</v>
      </c>
      <c r="V3626" s="77">
        <v>67</v>
      </c>
      <c r="W3626" s="80" t="s">
        <v>5884</v>
      </c>
      <c r="X3626" s="77"/>
      <c r="Y3626" s="77"/>
      <c r="Z3626" s="77"/>
      <c r="AA3626" s="77" t="s">
        <v>10212</v>
      </c>
      <c r="AB3626" s="77" t="s">
        <v>10535</v>
      </c>
      <c r="AC3626" s="80" t="s">
        <v>10540</v>
      </c>
      <c r="AD3626" s="77" t="s">
        <v>10617</v>
      </c>
      <c r="AE3626" s="83" t="str">
        <f>HYPERLINK("https://twitter.com/karllusbarone/status/1688675634157850625")</f>
        <v>https://twitter.com/karllusbarone/status/1688675634157850625</v>
      </c>
      <c r="AF3626" s="79">
        <v>45145.928460648145</v>
      </c>
      <c r="AG3626" s="85">
        <v>45145</v>
      </c>
      <c r="AH3626" s="80" t="s">
        <v>13771</v>
      </c>
      <c r="AI3626" s="77" t="b">
        <v>0</v>
      </c>
      <c r="AJ3626" s="77"/>
      <c r="AK3626" s="77"/>
      <c r="AL3626" s="77"/>
      <c r="AM3626" s="77"/>
      <c r="AN3626" s="77"/>
      <c r="AO3626" s="77"/>
      <c r="AP3626" s="77"/>
      <c r="AQ3626" s="77" t="s">
        <v>15692</v>
      </c>
      <c r="AR3626" s="77"/>
      <c r="AS3626" s="77"/>
      <c r="AT3626" s="77"/>
      <c r="AU3626" s="77"/>
      <c r="AV3626" s="83" t="str">
        <f>HYPERLINK("https://pbs.twimg.com/media/F29hihVXEAA5p1P.jpg")</f>
        <v>https://pbs.twimg.com/media/F29hihVXEAA5p1P.jpg</v>
      </c>
      <c r="AW3626" s="80" t="s">
        <v>19332</v>
      </c>
      <c r="AX3626" s="80" t="s">
        <v>19332</v>
      </c>
      <c r="AY3626" s="77"/>
      <c r="AZ3626" s="80" t="s">
        <v>20380</v>
      </c>
      <c r="BA3626" s="80" t="s">
        <v>20380</v>
      </c>
      <c r="BB3626" s="80" t="s">
        <v>20380</v>
      </c>
      <c r="BC3626" s="80" t="s">
        <v>19332</v>
      </c>
      <c r="BD3626" s="80" t="s">
        <v>21096</v>
      </c>
      <c r="BE3626" s="77"/>
      <c r="BF3626" s="77"/>
      <c r="BG3626" s="77"/>
      <c r="BH3626" s="77"/>
      <c r="BI3626" s="77"/>
    </row>
    <row r="3627" spans="1:61" x14ac:dyDescent="0.25">
      <c r="A3627" s="62" t="s">
        <v>1453</v>
      </c>
      <c r="B3627" s="62" t="s">
        <v>1453</v>
      </c>
      <c r="C3627" s="63"/>
      <c r="D3627" s="64"/>
      <c r="E3627" s="65"/>
      <c r="F3627" s="66"/>
      <c r="G3627" s="63"/>
      <c r="H3627" s="67"/>
      <c r="I3627" s="68"/>
      <c r="J3627" s="68"/>
      <c r="K3627" s="32"/>
      <c r="L3627" s="75">
        <v>3627</v>
      </c>
      <c r="M3627" s="75"/>
      <c r="N3627" s="70"/>
      <c r="O3627" s="77" t="s">
        <v>2078</v>
      </c>
      <c r="P3627" s="79">
        <v>45141.694143518522</v>
      </c>
      <c r="Q3627" s="77" t="s">
        <v>5278</v>
      </c>
      <c r="R3627" s="77">
        <v>0</v>
      </c>
      <c r="S3627" s="77">
        <v>0</v>
      </c>
      <c r="T3627" s="77">
        <v>0</v>
      </c>
      <c r="U3627" s="77">
        <v>0</v>
      </c>
      <c r="V3627" s="77">
        <v>25</v>
      </c>
      <c r="W3627" s="80" t="s">
        <v>7121</v>
      </c>
      <c r="X3627" s="77"/>
      <c r="Y3627" s="77"/>
      <c r="Z3627" s="77"/>
      <c r="AA3627" s="77"/>
      <c r="AB3627" s="77"/>
      <c r="AC3627" s="80" t="s">
        <v>10541</v>
      </c>
      <c r="AD3627" s="77" t="s">
        <v>10617</v>
      </c>
      <c r="AE3627" s="83" t="str">
        <f>HYPERLINK("https://twitter.com/jornaltvvitoria/status/1687141166230249486")</f>
        <v>https://twitter.com/jornaltvvitoria/status/1687141166230249486</v>
      </c>
      <c r="AF3627" s="79">
        <v>45141.694143518522</v>
      </c>
      <c r="AG3627" s="85">
        <v>45141</v>
      </c>
      <c r="AH3627" s="80" t="s">
        <v>13772</v>
      </c>
      <c r="AI3627" s="77"/>
      <c r="AJ3627" s="77"/>
      <c r="AK3627" s="77"/>
      <c r="AL3627" s="77"/>
      <c r="AM3627" s="77"/>
      <c r="AN3627" s="77"/>
      <c r="AO3627" s="77"/>
      <c r="AP3627" s="77"/>
      <c r="AQ3627" s="77"/>
      <c r="AR3627" s="77"/>
      <c r="AS3627" s="77"/>
      <c r="AT3627" s="77"/>
      <c r="AU3627" s="77"/>
      <c r="AV3627" s="83" t="str">
        <f>HYPERLINK("https://pbs.twimg.com/profile_images/1651686912589963264/ymfuxEUB_normal.jpg")</f>
        <v>https://pbs.twimg.com/profile_images/1651686912589963264/ymfuxEUB_normal.jpg</v>
      </c>
      <c r="AW3627" s="80" t="s">
        <v>19333</v>
      </c>
      <c r="AX3627" s="80" t="s">
        <v>20179</v>
      </c>
      <c r="AY3627" s="80" t="s">
        <v>20360</v>
      </c>
      <c r="AZ3627" s="80" t="s">
        <v>20179</v>
      </c>
      <c r="BA3627" s="80" t="s">
        <v>20380</v>
      </c>
      <c r="BB3627" s="80" t="s">
        <v>20380</v>
      </c>
      <c r="BC3627" s="80" t="s">
        <v>20179</v>
      </c>
      <c r="BD3627" s="80" t="s">
        <v>20360</v>
      </c>
      <c r="BE3627" s="77"/>
      <c r="BF3627" s="77"/>
      <c r="BG3627" s="77"/>
      <c r="BH3627" s="77"/>
      <c r="BI3627" s="77"/>
    </row>
    <row r="3628" spans="1:61" x14ac:dyDescent="0.25">
      <c r="A3628" s="62" t="s">
        <v>1454</v>
      </c>
      <c r="B3628" s="62" t="s">
        <v>1454</v>
      </c>
      <c r="C3628" s="63"/>
      <c r="D3628" s="64"/>
      <c r="E3628" s="65"/>
      <c r="F3628" s="66"/>
      <c r="G3628" s="63"/>
      <c r="H3628" s="67"/>
      <c r="I3628" s="68"/>
      <c r="J3628" s="68"/>
      <c r="K3628" s="32"/>
      <c r="L3628" s="75">
        <v>3628</v>
      </c>
      <c r="M3628" s="75"/>
      <c r="N3628" s="70"/>
      <c r="O3628" s="77" t="s">
        <v>179</v>
      </c>
      <c r="P3628" s="79">
        <v>45054.761030092595</v>
      </c>
      <c r="Q3628" s="77" t="s">
        <v>5279</v>
      </c>
      <c r="R3628" s="77">
        <v>0</v>
      </c>
      <c r="S3628" s="77">
        <v>0</v>
      </c>
      <c r="T3628" s="77">
        <v>0</v>
      </c>
      <c r="U3628" s="77">
        <v>0</v>
      </c>
      <c r="V3628" s="77">
        <v>14</v>
      </c>
      <c r="W3628" s="80" t="s">
        <v>8140</v>
      </c>
      <c r="X3628" s="83" t="str">
        <f>HYPERLINK("https://www.sigamais.com/noticias/geral/para-maior-seguranca-cheques-terao-mudancas-a-partir-de-2-de-outubro-anuncia-banco-central/")</f>
        <v>https://www.sigamais.com/noticias/geral/para-maior-seguranca-cheques-terao-mudancas-a-partir-de-2-de-outubro-anuncia-banco-central/</v>
      </c>
      <c r="Y3628" s="77" t="s">
        <v>8853</v>
      </c>
      <c r="Z3628" s="77"/>
      <c r="AA3628" s="77"/>
      <c r="AB3628" s="77"/>
      <c r="AC3628" s="80" t="s">
        <v>10541</v>
      </c>
      <c r="AD3628" s="77" t="s">
        <v>10617</v>
      </c>
      <c r="AE3628" s="83" t="str">
        <f>HYPERLINK("https://twitter.com/portalsigamais/status/1655637661506318336")</f>
        <v>https://twitter.com/portalsigamais/status/1655637661506318336</v>
      </c>
      <c r="AF3628" s="79">
        <v>45054.761030092595</v>
      </c>
      <c r="AG3628" s="85">
        <v>45054</v>
      </c>
      <c r="AH3628" s="80" t="s">
        <v>13773</v>
      </c>
      <c r="AI3628" s="77" t="b">
        <v>0</v>
      </c>
      <c r="AJ3628" s="77"/>
      <c r="AK3628" s="77"/>
      <c r="AL3628" s="77"/>
      <c r="AM3628" s="77"/>
      <c r="AN3628" s="77"/>
      <c r="AO3628" s="77"/>
      <c r="AP3628" s="77"/>
      <c r="AQ3628" s="77"/>
      <c r="AR3628" s="77"/>
      <c r="AS3628" s="77"/>
      <c r="AT3628" s="77"/>
      <c r="AU3628" s="77"/>
      <c r="AV3628" s="83" t="str">
        <f>HYPERLINK("https://pbs.twimg.com/profile_images/1064147746238709760/zwTuvIdq_normal.jpg")</f>
        <v>https://pbs.twimg.com/profile_images/1064147746238709760/zwTuvIdq_normal.jpg</v>
      </c>
      <c r="AW3628" s="80" t="s">
        <v>19334</v>
      </c>
      <c r="AX3628" s="80" t="s">
        <v>19334</v>
      </c>
      <c r="AY3628" s="77"/>
      <c r="AZ3628" s="80" t="s">
        <v>20380</v>
      </c>
      <c r="BA3628" s="80" t="s">
        <v>20380</v>
      </c>
      <c r="BB3628" s="80" t="s">
        <v>20380</v>
      </c>
      <c r="BC3628" s="80" t="s">
        <v>19334</v>
      </c>
      <c r="BD3628" s="77">
        <v>35604602</v>
      </c>
      <c r="BE3628" s="77"/>
      <c r="BF3628" s="77"/>
      <c r="BG3628" s="77"/>
      <c r="BH3628" s="77"/>
      <c r="BI3628" s="77"/>
    </row>
    <row r="3629" spans="1:61" x14ac:dyDescent="0.25">
      <c r="A3629" s="62" t="s">
        <v>1455</v>
      </c>
      <c r="B3629" s="62" t="s">
        <v>1455</v>
      </c>
      <c r="C3629" s="63"/>
      <c r="D3629" s="64"/>
      <c r="E3629" s="65"/>
      <c r="F3629" s="66"/>
      <c r="G3629" s="63"/>
      <c r="H3629" s="67"/>
      <c r="I3629" s="68"/>
      <c r="J3629" s="68"/>
      <c r="K3629" s="32"/>
      <c r="L3629" s="75">
        <v>3629</v>
      </c>
      <c r="M3629" s="75"/>
      <c r="N3629" s="70"/>
      <c r="O3629" s="77" t="s">
        <v>179</v>
      </c>
      <c r="P3629" s="79">
        <v>45051.708807870367</v>
      </c>
      <c r="Q3629" s="77" t="s">
        <v>5280</v>
      </c>
      <c r="R3629" s="77">
        <v>0</v>
      </c>
      <c r="S3629" s="77">
        <v>1</v>
      </c>
      <c r="T3629" s="77">
        <v>0</v>
      </c>
      <c r="U3629" s="77">
        <v>0</v>
      </c>
      <c r="V3629" s="77">
        <v>778</v>
      </c>
      <c r="W3629" s="80" t="s">
        <v>8141</v>
      </c>
      <c r="X3629" s="83" t="str">
        <f>HYPERLINK("https://www.airedesantafe.com.ar/economia/supertasa-competirle-al-dolar-cuanto-gano-si-hago-un-plazo-fijo-50000-100000-o-250000-n454527")</f>
        <v>https://www.airedesantafe.com.ar/economia/supertasa-competirle-al-dolar-cuanto-gano-si-hago-un-plazo-fijo-50000-100000-o-250000-n454527</v>
      </c>
      <c r="Y3629" s="77" t="s">
        <v>8624</v>
      </c>
      <c r="Z3629" s="77"/>
      <c r="AA3629" s="77"/>
      <c r="AB3629" s="77"/>
      <c r="AC3629" s="80" t="s">
        <v>10541</v>
      </c>
      <c r="AD3629" s="77" t="s">
        <v>10620</v>
      </c>
      <c r="AE3629" s="83" t="str">
        <f>HYPERLINK("https://twitter.com/airedesantafe/status/1654531572723318784")</f>
        <v>https://twitter.com/airedesantafe/status/1654531572723318784</v>
      </c>
      <c r="AF3629" s="79">
        <v>45051.708807870367</v>
      </c>
      <c r="AG3629" s="85">
        <v>45051</v>
      </c>
      <c r="AH3629" s="80" t="s">
        <v>13774</v>
      </c>
      <c r="AI3629" s="77" t="b">
        <v>0</v>
      </c>
      <c r="AJ3629" s="77"/>
      <c r="AK3629" s="77"/>
      <c r="AL3629" s="77"/>
      <c r="AM3629" s="77"/>
      <c r="AN3629" s="77"/>
      <c r="AO3629" s="77"/>
      <c r="AP3629" s="77"/>
      <c r="AQ3629" s="77"/>
      <c r="AR3629" s="77"/>
      <c r="AS3629" s="77"/>
      <c r="AT3629" s="77"/>
      <c r="AU3629" s="77"/>
      <c r="AV3629" s="83" t="str">
        <f>HYPERLINK("https://pbs.twimg.com/profile_images/1298793260475965446/RjQ9cQpW_normal.jpg")</f>
        <v>https://pbs.twimg.com/profile_images/1298793260475965446/RjQ9cQpW_normal.jpg</v>
      </c>
      <c r="AW3629" s="80" t="s">
        <v>19335</v>
      </c>
      <c r="AX3629" s="80" t="s">
        <v>19335</v>
      </c>
      <c r="AY3629" s="77"/>
      <c r="AZ3629" s="80" t="s">
        <v>20380</v>
      </c>
      <c r="BA3629" s="80" t="s">
        <v>20380</v>
      </c>
      <c r="BB3629" s="80" t="s">
        <v>20380</v>
      </c>
      <c r="BC3629" s="80" t="s">
        <v>19335</v>
      </c>
      <c r="BD3629" s="77">
        <v>34643836</v>
      </c>
      <c r="BE3629" s="77"/>
      <c r="BF3629" s="77"/>
      <c r="BG3629" s="77"/>
      <c r="BH3629" s="77"/>
      <c r="BI3629" s="77"/>
    </row>
    <row r="3630" spans="1:61" x14ac:dyDescent="0.25">
      <c r="A3630" s="62" t="s">
        <v>1456</v>
      </c>
      <c r="B3630" s="62" t="s">
        <v>1456</v>
      </c>
      <c r="C3630" s="63"/>
      <c r="D3630" s="64"/>
      <c r="E3630" s="65"/>
      <c r="F3630" s="66"/>
      <c r="G3630" s="63"/>
      <c r="H3630" s="67"/>
      <c r="I3630" s="68"/>
      <c r="J3630" s="68"/>
      <c r="K3630" s="32"/>
      <c r="L3630" s="75">
        <v>3630</v>
      </c>
      <c r="M3630" s="75"/>
      <c r="N3630" s="70"/>
      <c r="O3630" s="77" t="s">
        <v>179</v>
      </c>
      <c r="P3630" s="79">
        <v>45114.71</v>
      </c>
      <c r="Q3630" s="77" t="s">
        <v>5281</v>
      </c>
      <c r="R3630" s="77">
        <v>0</v>
      </c>
      <c r="S3630" s="77">
        <v>2</v>
      </c>
      <c r="T3630" s="77">
        <v>0</v>
      </c>
      <c r="U3630" s="77">
        <v>0</v>
      </c>
      <c r="V3630" s="77">
        <v>16</v>
      </c>
      <c r="W3630" s="80" t="s">
        <v>8142</v>
      </c>
      <c r="X3630" s="83" t="str">
        <f>HYPERLINK("https://www.lacazmartins.com.br/publicacoes/censo-anual-de-capitais-estrangeiros-no-pais-prazo-para-declaracao-encerra-se-em-15-de-agosto-2/")</f>
        <v>https://www.lacazmartins.com.br/publicacoes/censo-anual-de-capitais-estrangeiros-no-pais-prazo-para-declaracao-encerra-se-em-15-de-agosto-2/</v>
      </c>
      <c r="Y3630" s="77" t="s">
        <v>8611</v>
      </c>
      <c r="Z3630" s="77"/>
      <c r="AA3630" s="77" t="s">
        <v>10213</v>
      </c>
      <c r="AB3630" s="77" t="s">
        <v>10535</v>
      </c>
      <c r="AC3630" s="80" t="s">
        <v>10541</v>
      </c>
      <c r="AD3630" s="77" t="s">
        <v>10617</v>
      </c>
      <c r="AE3630" s="83" t="str">
        <f>HYPERLINK("https://twitter.com/lacaz_martins/status/1677362440890195989")</f>
        <v>https://twitter.com/lacaz_martins/status/1677362440890195989</v>
      </c>
      <c r="AF3630" s="79">
        <v>45114.71</v>
      </c>
      <c r="AG3630" s="85">
        <v>45114</v>
      </c>
      <c r="AH3630" s="80" t="s">
        <v>13775</v>
      </c>
      <c r="AI3630" s="77" t="b">
        <v>0</v>
      </c>
      <c r="AJ3630" s="77"/>
      <c r="AK3630" s="77"/>
      <c r="AL3630" s="77"/>
      <c r="AM3630" s="77"/>
      <c r="AN3630" s="77"/>
      <c r="AO3630" s="77"/>
      <c r="AP3630" s="77"/>
      <c r="AQ3630" s="77" t="s">
        <v>15693</v>
      </c>
      <c r="AR3630" s="77"/>
      <c r="AS3630" s="77"/>
      <c r="AT3630" s="77"/>
      <c r="AU3630" s="77"/>
      <c r="AV3630" s="83" t="str">
        <f>HYPERLINK("https://pbs.twimg.com/media/F0cwOgzXoAUniwz.jpg")</f>
        <v>https://pbs.twimg.com/media/F0cwOgzXoAUniwz.jpg</v>
      </c>
      <c r="AW3630" s="80" t="s">
        <v>19336</v>
      </c>
      <c r="AX3630" s="80" t="s">
        <v>19336</v>
      </c>
      <c r="AY3630" s="77"/>
      <c r="AZ3630" s="80" t="s">
        <v>20380</v>
      </c>
      <c r="BA3630" s="80" t="s">
        <v>20380</v>
      </c>
      <c r="BB3630" s="80" t="s">
        <v>20380</v>
      </c>
      <c r="BC3630" s="80" t="s">
        <v>19336</v>
      </c>
      <c r="BD3630" s="77">
        <v>492326694</v>
      </c>
      <c r="BE3630" s="77"/>
      <c r="BF3630" s="77"/>
      <c r="BG3630" s="77"/>
      <c r="BH3630" s="77"/>
      <c r="BI3630" s="77"/>
    </row>
    <row r="3631" spans="1:61" x14ac:dyDescent="0.25">
      <c r="A3631" s="62" t="s">
        <v>1457</v>
      </c>
      <c r="B3631" s="62" t="s">
        <v>1457</v>
      </c>
      <c r="C3631" s="63"/>
      <c r="D3631" s="64"/>
      <c r="E3631" s="65"/>
      <c r="F3631" s="66"/>
      <c r="G3631" s="63"/>
      <c r="H3631" s="67"/>
      <c r="I3631" s="68"/>
      <c r="J3631" s="68"/>
      <c r="K3631" s="32"/>
      <c r="L3631" s="75">
        <v>3631</v>
      </c>
      <c r="M3631" s="75"/>
      <c r="N3631" s="70"/>
      <c r="O3631" s="77" t="s">
        <v>179</v>
      </c>
      <c r="P3631" s="79">
        <v>45084.590428240743</v>
      </c>
      <c r="Q3631" s="77" t="s">
        <v>5282</v>
      </c>
      <c r="R3631" s="77">
        <v>0</v>
      </c>
      <c r="S3631" s="77">
        <v>0</v>
      </c>
      <c r="T3631" s="77">
        <v>0</v>
      </c>
      <c r="U3631" s="77">
        <v>0</v>
      </c>
      <c r="V3631" s="77">
        <v>7</v>
      </c>
      <c r="W3631" s="80" t="s">
        <v>5884</v>
      </c>
      <c r="X3631" s="83" t="str">
        <f>HYPERLINK("https://buff.ly/3oQGoUA")</f>
        <v>https://buff.ly/3oQGoUA</v>
      </c>
      <c r="Y3631" s="77" t="s">
        <v>8617</v>
      </c>
      <c r="Z3631" s="77"/>
      <c r="AA3631" s="77" t="s">
        <v>10214</v>
      </c>
      <c r="AB3631" s="77" t="s">
        <v>10535</v>
      </c>
      <c r="AC3631" s="80" t="s">
        <v>10545</v>
      </c>
      <c r="AD3631" s="77" t="s">
        <v>10617</v>
      </c>
      <c r="AE3631" s="83" t="str">
        <f>HYPERLINK("https://twitter.com/safewayconsult/status/1666447472888094724")</f>
        <v>https://twitter.com/safewayconsult/status/1666447472888094724</v>
      </c>
      <c r="AF3631" s="79">
        <v>45084.590428240743</v>
      </c>
      <c r="AG3631" s="85">
        <v>45084</v>
      </c>
      <c r="AH3631" s="80" t="s">
        <v>13776</v>
      </c>
      <c r="AI3631" s="77" t="b">
        <v>0</v>
      </c>
      <c r="AJ3631" s="77"/>
      <c r="AK3631" s="77"/>
      <c r="AL3631" s="77"/>
      <c r="AM3631" s="77"/>
      <c r="AN3631" s="77"/>
      <c r="AO3631" s="77"/>
      <c r="AP3631" s="77"/>
      <c r="AQ3631" s="77" t="s">
        <v>15694</v>
      </c>
      <c r="AR3631" s="77"/>
      <c r="AS3631" s="77"/>
      <c r="AT3631" s="77"/>
      <c r="AU3631" s="77"/>
      <c r="AV3631" s="83" t="str">
        <f>HYPERLINK("https://pbs.twimg.com/media/FyBpJMyXwAYI4l7.jpg")</f>
        <v>https://pbs.twimg.com/media/FyBpJMyXwAYI4l7.jpg</v>
      </c>
      <c r="AW3631" s="80" t="s">
        <v>19337</v>
      </c>
      <c r="AX3631" s="80" t="s">
        <v>19337</v>
      </c>
      <c r="AY3631" s="77"/>
      <c r="AZ3631" s="80" t="s">
        <v>20380</v>
      </c>
      <c r="BA3631" s="80" t="s">
        <v>20380</v>
      </c>
      <c r="BB3631" s="80" t="s">
        <v>20380</v>
      </c>
      <c r="BC3631" s="80" t="s">
        <v>19337</v>
      </c>
      <c r="BD3631" s="77">
        <v>93617673</v>
      </c>
      <c r="BE3631" s="77"/>
      <c r="BF3631" s="77"/>
      <c r="BG3631" s="77"/>
      <c r="BH3631" s="77"/>
      <c r="BI3631" s="77"/>
    </row>
    <row r="3632" spans="1:61" x14ac:dyDescent="0.25">
      <c r="A3632" s="62" t="s">
        <v>1458</v>
      </c>
      <c r="B3632" s="62" t="s">
        <v>1596</v>
      </c>
      <c r="C3632" s="63"/>
      <c r="D3632" s="64"/>
      <c r="E3632" s="65"/>
      <c r="F3632" s="66"/>
      <c r="G3632" s="63"/>
      <c r="H3632" s="67"/>
      <c r="I3632" s="68"/>
      <c r="J3632" s="68"/>
      <c r="K3632" s="32"/>
      <c r="L3632" s="75">
        <v>3632</v>
      </c>
      <c r="M3632" s="75"/>
      <c r="N3632" s="70"/>
      <c r="O3632" s="77" t="s">
        <v>2081</v>
      </c>
      <c r="P3632" s="79">
        <v>45104.616006944445</v>
      </c>
      <c r="Q3632" s="77" t="s">
        <v>5283</v>
      </c>
      <c r="R3632" s="77">
        <v>0</v>
      </c>
      <c r="S3632" s="77">
        <v>0</v>
      </c>
      <c r="T3632" s="77">
        <v>0</v>
      </c>
      <c r="U3632" s="77">
        <v>0</v>
      </c>
      <c r="V3632" s="77">
        <v>1</v>
      </c>
      <c r="W3632" s="80" t="s">
        <v>6008</v>
      </c>
      <c r="X3632" s="83" t="str">
        <f>HYPERLINK("https://www.bcb.gov.br/publicacoes/relatorioeconomiabancaria")</f>
        <v>https://www.bcb.gov.br/publicacoes/relatorioeconomiabancaria</v>
      </c>
      <c r="Y3632" s="77" t="s">
        <v>8633</v>
      </c>
      <c r="Z3632" s="77" t="s">
        <v>1596</v>
      </c>
      <c r="AA3632" s="77"/>
      <c r="AB3632" s="77"/>
      <c r="AC3632" s="80" t="s">
        <v>10541</v>
      </c>
      <c r="AD3632" s="77" t="s">
        <v>10617</v>
      </c>
      <c r="AE3632" s="83" t="str">
        <f>HYPERLINK("https://twitter.com/vortexbrito/status/1673704499628716033")</f>
        <v>https://twitter.com/vortexbrito/status/1673704499628716033</v>
      </c>
      <c r="AF3632" s="79">
        <v>45104.616006944445</v>
      </c>
      <c r="AG3632" s="85">
        <v>45104</v>
      </c>
      <c r="AH3632" s="80" t="s">
        <v>13777</v>
      </c>
      <c r="AI3632" s="77" t="b">
        <v>0</v>
      </c>
      <c r="AJ3632" s="77"/>
      <c r="AK3632" s="77"/>
      <c r="AL3632" s="77"/>
      <c r="AM3632" s="77"/>
      <c r="AN3632" s="77"/>
      <c r="AO3632" s="77"/>
      <c r="AP3632" s="77"/>
      <c r="AQ3632" s="77"/>
      <c r="AR3632" s="77"/>
      <c r="AS3632" s="77"/>
      <c r="AT3632" s="77"/>
      <c r="AU3632" s="77"/>
      <c r="AV3632" s="83" t="str">
        <f>HYPERLINK("https://pbs.twimg.com/profile_images/1672450360110088192/liv86NGo_normal.jpg")</f>
        <v>https://pbs.twimg.com/profile_images/1672450360110088192/liv86NGo_normal.jpg</v>
      </c>
      <c r="AW3632" s="80" t="s">
        <v>19338</v>
      </c>
      <c r="AX3632" s="80" t="s">
        <v>19338</v>
      </c>
      <c r="AY3632" s="77"/>
      <c r="AZ3632" s="80" t="s">
        <v>20380</v>
      </c>
      <c r="BA3632" s="80" t="s">
        <v>20380</v>
      </c>
      <c r="BB3632" s="80" t="s">
        <v>20380</v>
      </c>
      <c r="BC3632" s="80" t="s">
        <v>19338</v>
      </c>
      <c r="BD3632" s="80" t="s">
        <v>21097</v>
      </c>
      <c r="BE3632" s="77"/>
      <c r="BF3632" s="77"/>
      <c r="BG3632" s="77"/>
      <c r="BH3632" s="77"/>
      <c r="BI3632" s="77"/>
    </row>
    <row r="3633" spans="1:61" x14ac:dyDescent="0.25">
      <c r="A3633" s="62" t="s">
        <v>1459</v>
      </c>
      <c r="B3633" s="62" t="s">
        <v>1970</v>
      </c>
      <c r="C3633" s="63"/>
      <c r="D3633" s="64"/>
      <c r="E3633" s="65"/>
      <c r="F3633" s="66"/>
      <c r="G3633" s="63"/>
      <c r="H3633" s="67"/>
      <c r="I3633" s="68"/>
      <c r="J3633" s="68"/>
      <c r="K3633" s="32"/>
      <c r="L3633" s="75">
        <v>3633</v>
      </c>
      <c r="M3633" s="75"/>
      <c r="N3633" s="70"/>
      <c r="O3633" s="77" t="s">
        <v>2079</v>
      </c>
      <c r="P3633" s="79">
        <v>45114.653078703705</v>
      </c>
      <c r="Q3633" s="77" t="s">
        <v>5284</v>
      </c>
      <c r="R3633" s="77">
        <v>1</v>
      </c>
      <c r="S3633" s="77">
        <v>0</v>
      </c>
      <c r="T3633" s="77">
        <v>0</v>
      </c>
      <c r="U3633" s="77">
        <v>0</v>
      </c>
      <c r="V3633" s="77">
        <v>130</v>
      </c>
      <c r="W3633" s="80" t="s">
        <v>8143</v>
      </c>
      <c r="X3633" s="77"/>
      <c r="Y3633" s="77"/>
      <c r="Z3633" s="77" t="s">
        <v>9021</v>
      </c>
      <c r="AA3633" s="77" t="s">
        <v>10215</v>
      </c>
      <c r="AB3633" s="77" t="s">
        <v>10535</v>
      </c>
      <c r="AC3633" s="80" t="s">
        <v>10541</v>
      </c>
      <c r="AD3633" s="77" t="s">
        <v>10619</v>
      </c>
      <c r="AE3633" s="83" t="str">
        <f>HYPERLINK("https://twitter.com/paleopatricio/status/1677341812309065728")</f>
        <v>https://twitter.com/paleopatricio/status/1677341812309065728</v>
      </c>
      <c r="AF3633" s="79">
        <v>45114.653078703705</v>
      </c>
      <c r="AG3633" s="85">
        <v>45114</v>
      </c>
      <c r="AH3633" s="80" t="s">
        <v>13778</v>
      </c>
      <c r="AI3633" s="77" t="b">
        <v>1</v>
      </c>
      <c r="AJ3633" s="77"/>
      <c r="AK3633" s="77"/>
      <c r="AL3633" s="77"/>
      <c r="AM3633" s="77"/>
      <c r="AN3633" s="77"/>
      <c r="AO3633" s="77"/>
      <c r="AP3633" s="77"/>
      <c r="AQ3633" s="77" t="s">
        <v>15695</v>
      </c>
      <c r="AR3633" s="77"/>
      <c r="AS3633" s="77"/>
      <c r="AT3633" s="77"/>
      <c r="AU3633" s="77"/>
      <c r="AV3633" s="83" t="str">
        <f>HYPERLINK("https://pbs.twimg.com/media/F0cdRJsWYAYLPpY.jpg")</f>
        <v>https://pbs.twimg.com/media/F0cdRJsWYAYLPpY.jpg</v>
      </c>
      <c r="AW3633" s="80" t="s">
        <v>19339</v>
      </c>
      <c r="AX3633" s="80" t="s">
        <v>20180</v>
      </c>
      <c r="AY3633" s="80" t="s">
        <v>20361</v>
      </c>
      <c r="AZ3633" s="80" t="s">
        <v>20180</v>
      </c>
      <c r="BA3633" s="80" t="s">
        <v>20380</v>
      </c>
      <c r="BB3633" s="80" t="s">
        <v>20380</v>
      </c>
      <c r="BC3633" s="80" t="s">
        <v>20180</v>
      </c>
      <c r="BD3633" s="77">
        <v>321556975</v>
      </c>
      <c r="BE3633" s="77"/>
      <c r="BF3633" s="77"/>
      <c r="BG3633" s="77"/>
      <c r="BH3633" s="77"/>
      <c r="BI3633" s="77"/>
    </row>
    <row r="3634" spans="1:61" x14ac:dyDescent="0.25">
      <c r="A3634" s="62" t="s">
        <v>1459</v>
      </c>
      <c r="B3634" s="62" t="s">
        <v>2043</v>
      </c>
      <c r="C3634" s="63"/>
      <c r="D3634" s="64"/>
      <c r="E3634" s="65"/>
      <c r="F3634" s="66"/>
      <c r="G3634" s="63"/>
      <c r="H3634" s="67"/>
      <c r="I3634" s="68"/>
      <c r="J3634" s="68"/>
      <c r="K3634" s="32"/>
      <c r="L3634" s="75">
        <v>3634</v>
      </c>
      <c r="M3634" s="75"/>
      <c r="N3634" s="70"/>
      <c r="O3634" s="77" t="s">
        <v>2078</v>
      </c>
      <c r="P3634" s="79">
        <v>45114.653078703705</v>
      </c>
      <c r="Q3634" s="77" t="s">
        <v>5284</v>
      </c>
      <c r="R3634" s="77">
        <v>1</v>
      </c>
      <c r="S3634" s="77">
        <v>0</v>
      </c>
      <c r="T3634" s="77">
        <v>0</v>
      </c>
      <c r="U3634" s="77">
        <v>0</v>
      </c>
      <c r="V3634" s="77">
        <v>130</v>
      </c>
      <c r="W3634" s="80" t="s">
        <v>8143</v>
      </c>
      <c r="X3634" s="77"/>
      <c r="Y3634" s="77"/>
      <c r="Z3634" s="77" t="s">
        <v>9021</v>
      </c>
      <c r="AA3634" s="77" t="s">
        <v>10215</v>
      </c>
      <c r="AB3634" s="77" t="s">
        <v>10535</v>
      </c>
      <c r="AC3634" s="80" t="s">
        <v>10541</v>
      </c>
      <c r="AD3634" s="77" t="s">
        <v>10619</v>
      </c>
      <c r="AE3634" s="83" t="str">
        <f>HYPERLINK("https://twitter.com/paleopatricio/status/1677341812309065728")</f>
        <v>https://twitter.com/paleopatricio/status/1677341812309065728</v>
      </c>
      <c r="AF3634" s="79">
        <v>45114.653078703705</v>
      </c>
      <c r="AG3634" s="85">
        <v>45114</v>
      </c>
      <c r="AH3634" s="80" t="s">
        <v>13778</v>
      </c>
      <c r="AI3634" s="77" t="b">
        <v>1</v>
      </c>
      <c r="AJ3634" s="77"/>
      <c r="AK3634" s="77"/>
      <c r="AL3634" s="77"/>
      <c r="AM3634" s="77"/>
      <c r="AN3634" s="77"/>
      <c r="AO3634" s="77"/>
      <c r="AP3634" s="77"/>
      <c r="AQ3634" s="77" t="s">
        <v>15695</v>
      </c>
      <c r="AR3634" s="77"/>
      <c r="AS3634" s="77"/>
      <c r="AT3634" s="77"/>
      <c r="AU3634" s="77"/>
      <c r="AV3634" s="83" t="str">
        <f>HYPERLINK("https://pbs.twimg.com/media/F0cdRJsWYAYLPpY.jpg")</f>
        <v>https://pbs.twimg.com/media/F0cdRJsWYAYLPpY.jpg</v>
      </c>
      <c r="AW3634" s="80" t="s">
        <v>19339</v>
      </c>
      <c r="AX3634" s="80" t="s">
        <v>20180</v>
      </c>
      <c r="AY3634" s="80" t="s">
        <v>20361</v>
      </c>
      <c r="AZ3634" s="80" t="s">
        <v>20180</v>
      </c>
      <c r="BA3634" s="80" t="s">
        <v>20380</v>
      </c>
      <c r="BB3634" s="80" t="s">
        <v>20380</v>
      </c>
      <c r="BC3634" s="80" t="s">
        <v>20180</v>
      </c>
      <c r="BD3634" s="77">
        <v>321556975</v>
      </c>
      <c r="BE3634" s="77"/>
      <c r="BF3634" s="77"/>
      <c r="BG3634" s="77"/>
      <c r="BH3634" s="77"/>
      <c r="BI3634" s="77"/>
    </row>
    <row r="3635" spans="1:61" x14ac:dyDescent="0.25">
      <c r="A3635" s="62" t="s">
        <v>1460</v>
      </c>
      <c r="B3635" s="62" t="s">
        <v>1460</v>
      </c>
      <c r="C3635" s="63"/>
      <c r="D3635" s="64"/>
      <c r="E3635" s="65"/>
      <c r="F3635" s="66"/>
      <c r="G3635" s="63"/>
      <c r="H3635" s="67"/>
      <c r="I3635" s="68"/>
      <c r="J3635" s="68"/>
      <c r="K3635" s="32"/>
      <c r="L3635" s="75">
        <v>3635</v>
      </c>
      <c r="M3635" s="75"/>
      <c r="N3635" s="70"/>
      <c r="O3635" s="77" t="s">
        <v>179</v>
      </c>
      <c r="P3635" s="79">
        <v>45091.696585648147</v>
      </c>
      <c r="Q3635" s="77" t="s">
        <v>5285</v>
      </c>
      <c r="R3635" s="77">
        <v>0</v>
      </c>
      <c r="S3635" s="77">
        <v>0</v>
      </c>
      <c r="T3635" s="77">
        <v>0</v>
      </c>
      <c r="U3635" s="77">
        <v>0</v>
      </c>
      <c r="V3635" s="77">
        <v>26</v>
      </c>
      <c r="W3635" s="80" t="s">
        <v>8144</v>
      </c>
      <c r="X3635" s="83" t="str">
        <f>HYPERLINK("https://sinapticas.com/2023/06/13/bitcoin-como-un-bote-salvavidas/")</f>
        <v>https://sinapticas.com/2023/06/13/bitcoin-como-un-bote-salvavidas/</v>
      </c>
      <c r="Y3635" s="77" t="s">
        <v>8758</v>
      </c>
      <c r="Z3635" s="77"/>
      <c r="AA3635" s="77"/>
      <c r="AB3635" s="77"/>
      <c r="AC3635" s="80" t="s">
        <v>10541</v>
      </c>
      <c r="AD3635" s="77" t="s">
        <v>10620</v>
      </c>
      <c r="AE3635" s="83" t="str">
        <f>HYPERLINK("https://twitter.com/sinapticasblog/status/1669022660695834624")</f>
        <v>https://twitter.com/sinapticasblog/status/1669022660695834624</v>
      </c>
      <c r="AF3635" s="79">
        <v>45091.696585648147</v>
      </c>
      <c r="AG3635" s="85">
        <v>45091</v>
      </c>
      <c r="AH3635" s="80" t="s">
        <v>13779</v>
      </c>
      <c r="AI3635" s="77" t="b">
        <v>0</v>
      </c>
      <c r="AJ3635" s="77"/>
      <c r="AK3635" s="77"/>
      <c r="AL3635" s="77"/>
      <c r="AM3635" s="77"/>
      <c r="AN3635" s="77"/>
      <c r="AO3635" s="77"/>
      <c r="AP3635" s="77"/>
      <c r="AQ3635" s="77"/>
      <c r="AR3635" s="77"/>
      <c r="AS3635" s="77"/>
      <c r="AT3635" s="77"/>
      <c r="AU3635" s="77"/>
      <c r="AV3635" s="83" t="str">
        <f>HYPERLINK("https://pbs.twimg.com/profile_images/1147240319555162112/wQTnwuGp_normal.png")</f>
        <v>https://pbs.twimg.com/profile_images/1147240319555162112/wQTnwuGp_normal.png</v>
      </c>
      <c r="AW3635" s="80" t="s">
        <v>19340</v>
      </c>
      <c r="AX3635" s="80" t="s">
        <v>19340</v>
      </c>
      <c r="AY3635" s="77"/>
      <c r="AZ3635" s="80" t="s">
        <v>20380</v>
      </c>
      <c r="BA3635" s="80" t="s">
        <v>20380</v>
      </c>
      <c r="BB3635" s="80" t="s">
        <v>20380</v>
      </c>
      <c r="BC3635" s="80" t="s">
        <v>19340</v>
      </c>
      <c r="BD3635" s="80" t="s">
        <v>21098</v>
      </c>
      <c r="BE3635" s="77"/>
      <c r="BF3635" s="77"/>
      <c r="BG3635" s="77"/>
      <c r="BH3635" s="77"/>
      <c r="BI3635" s="77"/>
    </row>
    <row r="3636" spans="1:61" x14ac:dyDescent="0.25">
      <c r="A3636" s="62" t="s">
        <v>1460</v>
      </c>
      <c r="B3636" s="62" t="s">
        <v>1460</v>
      </c>
      <c r="C3636" s="63"/>
      <c r="D3636" s="64"/>
      <c r="E3636" s="65"/>
      <c r="F3636" s="66"/>
      <c r="G3636" s="63"/>
      <c r="H3636" s="67"/>
      <c r="I3636" s="68"/>
      <c r="J3636" s="68"/>
      <c r="K3636" s="32"/>
      <c r="L3636" s="75">
        <v>3636</v>
      </c>
      <c r="M3636" s="75"/>
      <c r="N3636" s="70"/>
      <c r="O3636" s="77" t="s">
        <v>179</v>
      </c>
      <c r="P3636" s="79">
        <v>45110.71607638889</v>
      </c>
      <c r="Q3636" s="77" t="s">
        <v>5286</v>
      </c>
      <c r="R3636" s="77">
        <v>0</v>
      </c>
      <c r="S3636" s="77">
        <v>1</v>
      </c>
      <c r="T3636" s="77">
        <v>0</v>
      </c>
      <c r="U3636" s="77">
        <v>0</v>
      </c>
      <c r="V3636" s="77">
        <v>13</v>
      </c>
      <c r="W3636" s="80" t="s">
        <v>8145</v>
      </c>
      <c r="X3636" s="83" t="str">
        <f>HYPERLINK("https://sinapticas.com/2023/07/03/el-caso-de-juan-y-la-soberania-individual/")</f>
        <v>https://sinapticas.com/2023/07/03/el-caso-de-juan-y-la-soberania-individual/</v>
      </c>
      <c r="Y3636" s="77" t="s">
        <v>8758</v>
      </c>
      <c r="Z3636" s="77"/>
      <c r="AA3636" s="77"/>
      <c r="AB3636" s="77"/>
      <c r="AC3636" s="80" t="s">
        <v>10541</v>
      </c>
      <c r="AD3636" s="77" t="s">
        <v>10620</v>
      </c>
      <c r="AE3636" s="83" t="str">
        <f>HYPERLINK("https://twitter.com/sinapticasblog/status/1675915090049085455")</f>
        <v>https://twitter.com/sinapticasblog/status/1675915090049085455</v>
      </c>
      <c r="AF3636" s="79">
        <v>45110.71607638889</v>
      </c>
      <c r="AG3636" s="85">
        <v>45110</v>
      </c>
      <c r="AH3636" s="80" t="s">
        <v>13780</v>
      </c>
      <c r="AI3636" s="77" t="b">
        <v>0</v>
      </c>
      <c r="AJ3636" s="77"/>
      <c r="AK3636" s="77"/>
      <c r="AL3636" s="77"/>
      <c r="AM3636" s="77"/>
      <c r="AN3636" s="77"/>
      <c r="AO3636" s="77"/>
      <c r="AP3636" s="77"/>
      <c r="AQ3636" s="77"/>
      <c r="AR3636" s="77"/>
      <c r="AS3636" s="77"/>
      <c r="AT3636" s="77"/>
      <c r="AU3636" s="77"/>
      <c r="AV3636" s="83" t="str">
        <f>HYPERLINK("https://pbs.twimg.com/profile_images/1147240319555162112/wQTnwuGp_normal.png")</f>
        <v>https://pbs.twimg.com/profile_images/1147240319555162112/wQTnwuGp_normal.png</v>
      </c>
      <c r="AW3636" s="80" t="s">
        <v>19341</v>
      </c>
      <c r="AX3636" s="80" t="s">
        <v>19341</v>
      </c>
      <c r="AY3636" s="77"/>
      <c r="AZ3636" s="80" t="s">
        <v>20380</v>
      </c>
      <c r="BA3636" s="80" t="s">
        <v>20380</v>
      </c>
      <c r="BB3636" s="80" t="s">
        <v>20380</v>
      </c>
      <c r="BC3636" s="80" t="s">
        <v>19341</v>
      </c>
      <c r="BD3636" s="80" t="s">
        <v>21098</v>
      </c>
      <c r="BE3636" s="77"/>
      <c r="BF3636" s="77"/>
      <c r="BG3636" s="77"/>
      <c r="BH3636" s="77"/>
      <c r="BI3636" s="77"/>
    </row>
    <row r="3637" spans="1:61" x14ac:dyDescent="0.25">
      <c r="A3637" s="62" t="s">
        <v>1461</v>
      </c>
      <c r="B3637" s="62" t="s">
        <v>1461</v>
      </c>
      <c r="C3637" s="63"/>
      <c r="D3637" s="64"/>
      <c r="E3637" s="65"/>
      <c r="F3637" s="66"/>
      <c r="G3637" s="63"/>
      <c r="H3637" s="67"/>
      <c r="I3637" s="68"/>
      <c r="J3637" s="68"/>
      <c r="K3637" s="32"/>
      <c r="L3637" s="75">
        <v>3637</v>
      </c>
      <c r="M3637" s="75"/>
      <c r="N3637" s="70"/>
      <c r="O3637" s="77" t="s">
        <v>179</v>
      </c>
      <c r="P3637" s="79">
        <v>45093.000069444446</v>
      </c>
      <c r="Q3637" s="77" t="s">
        <v>5287</v>
      </c>
      <c r="R3637" s="77">
        <v>0</v>
      </c>
      <c r="S3637" s="77">
        <v>0</v>
      </c>
      <c r="T3637" s="77">
        <v>0</v>
      </c>
      <c r="U3637" s="77">
        <v>0</v>
      </c>
      <c r="V3637" s="77">
        <v>15</v>
      </c>
      <c r="W3637" s="80" t="s">
        <v>8146</v>
      </c>
      <c r="X3637" s="83" t="str">
        <f>HYPERLINK("https://buff.ly/3Cov5Go")</f>
        <v>https://buff.ly/3Cov5Go</v>
      </c>
      <c r="Y3637" s="77" t="s">
        <v>8617</v>
      </c>
      <c r="Z3637" s="77"/>
      <c r="AA3637" s="77" t="s">
        <v>10216</v>
      </c>
      <c r="AB3637" s="77" t="s">
        <v>10535</v>
      </c>
      <c r="AC3637" s="80" t="s">
        <v>10545</v>
      </c>
      <c r="AD3637" s="77" t="s">
        <v>10620</v>
      </c>
      <c r="AE3637" s="83" t="str">
        <f>HYPERLINK("https://twitter.com/sispagochile/status/1669495024055140354")</f>
        <v>https://twitter.com/sispagochile/status/1669495024055140354</v>
      </c>
      <c r="AF3637" s="79">
        <v>45093.000069444446</v>
      </c>
      <c r="AG3637" s="85">
        <v>45093</v>
      </c>
      <c r="AH3637" s="80" t="s">
        <v>13781</v>
      </c>
      <c r="AI3637" s="77" t="b">
        <v>0</v>
      </c>
      <c r="AJ3637" s="77"/>
      <c r="AK3637" s="77"/>
      <c r="AL3637" s="77"/>
      <c r="AM3637" s="77"/>
      <c r="AN3637" s="77"/>
      <c r="AO3637" s="77"/>
      <c r="AP3637" s="77"/>
      <c r="AQ3637" s="77" t="s">
        <v>15696</v>
      </c>
      <c r="AR3637" s="77"/>
      <c r="AS3637" s="77"/>
      <c r="AT3637" s="77"/>
      <c r="AU3637" s="77"/>
      <c r="AV3637" s="83" t="str">
        <f>HYPERLINK("https://pbs.twimg.com/media/Fys83zQWYAEGRrr.jpg")</f>
        <v>https://pbs.twimg.com/media/Fys83zQWYAEGRrr.jpg</v>
      </c>
      <c r="AW3637" s="80" t="s">
        <v>19342</v>
      </c>
      <c r="AX3637" s="80" t="s">
        <v>19342</v>
      </c>
      <c r="AY3637" s="77"/>
      <c r="AZ3637" s="80" t="s">
        <v>20380</v>
      </c>
      <c r="BA3637" s="80" t="s">
        <v>20380</v>
      </c>
      <c r="BB3637" s="80" t="s">
        <v>20380</v>
      </c>
      <c r="BC3637" s="80" t="s">
        <v>19342</v>
      </c>
      <c r="BD3637" s="80" t="s">
        <v>21099</v>
      </c>
      <c r="BE3637" s="77"/>
      <c r="BF3637" s="77"/>
      <c r="BG3637" s="77"/>
      <c r="BH3637" s="77"/>
      <c r="BI3637" s="77"/>
    </row>
    <row r="3638" spans="1:61" x14ac:dyDescent="0.25">
      <c r="A3638" s="62" t="s">
        <v>1462</v>
      </c>
      <c r="B3638" s="62" t="s">
        <v>1462</v>
      </c>
      <c r="C3638" s="63"/>
      <c r="D3638" s="64"/>
      <c r="E3638" s="65"/>
      <c r="F3638" s="66"/>
      <c r="G3638" s="63"/>
      <c r="H3638" s="67"/>
      <c r="I3638" s="68"/>
      <c r="J3638" s="68"/>
      <c r="K3638" s="32"/>
      <c r="L3638" s="75">
        <v>3638</v>
      </c>
      <c r="M3638" s="75"/>
      <c r="N3638" s="70"/>
      <c r="O3638" s="77" t="s">
        <v>179</v>
      </c>
      <c r="P3638" s="79">
        <v>45091.964791666665</v>
      </c>
      <c r="Q3638" s="77" t="s">
        <v>5288</v>
      </c>
      <c r="R3638" s="77">
        <v>0</v>
      </c>
      <c r="S3638" s="77">
        <v>8</v>
      </c>
      <c r="T3638" s="77">
        <v>1</v>
      </c>
      <c r="U3638" s="77">
        <v>0</v>
      </c>
      <c r="V3638" s="77">
        <v>1060</v>
      </c>
      <c r="W3638" s="80" t="s">
        <v>5884</v>
      </c>
      <c r="X3638" s="83" t="str">
        <f>HYPERLINK("https://www.jb.com.br/brasil/informe-jb/2023/06/1044350-fitch-salvou-meirelles-em-2008-s-p-pode-salvar-campos-neto.html")</f>
        <v>https://www.jb.com.br/brasil/informe-jb/2023/06/1044350-fitch-salvou-meirelles-em-2008-s-p-pode-salvar-campos-neto.html</v>
      </c>
      <c r="Y3638" s="77" t="s">
        <v>8611</v>
      </c>
      <c r="Z3638" s="77"/>
      <c r="AA3638" s="77"/>
      <c r="AB3638" s="77"/>
      <c r="AC3638" s="80" t="s">
        <v>10541</v>
      </c>
      <c r="AD3638" s="77" t="s">
        <v>10617</v>
      </c>
      <c r="AE3638" s="83" t="str">
        <f>HYPERLINK("https://twitter.com/jornaldobrasil/status/1669119854480179201")</f>
        <v>https://twitter.com/jornaldobrasil/status/1669119854480179201</v>
      </c>
      <c r="AF3638" s="79">
        <v>45091.964791666665</v>
      </c>
      <c r="AG3638" s="85">
        <v>45091</v>
      </c>
      <c r="AH3638" s="80" t="s">
        <v>13782</v>
      </c>
      <c r="AI3638" s="77" t="b">
        <v>0</v>
      </c>
      <c r="AJ3638" s="77"/>
      <c r="AK3638" s="77"/>
      <c r="AL3638" s="77"/>
      <c r="AM3638" s="77"/>
      <c r="AN3638" s="77"/>
      <c r="AO3638" s="77"/>
      <c r="AP3638" s="77"/>
      <c r="AQ3638" s="77"/>
      <c r="AR3638" s="77"/>
      <c r="AS3638" s="77"/>
      <c r="AT3638" s="77"/>
      <c r="AU3638" s="77"/>
      <c r="AV3638" s="83" t="str">
        <f>HYPERLINK("https://pbs.twimg.com/profile_images/1128690508723818497/636DO4Gn_normal.png")</f>
        <v>https://pbs.twimg.com/profile_images/1128690508723818497/636DO4Gn_normal.png</v>
      </c>
      <c r="AW3638" s="80" t="s">
        <v>19343</v>
      </c>
      <c r="AX3638" s="80" t="s">
        <v>19343</v>
      </c>
      <c r="AY3638" s="77"/>
      <c r="AZ3638" s="80" t="s">
        <v>20380</v>
      </c>
      <c r="BA3638" s="80" t="s">
        <v>20380</v>
      </c>
      <c r="BB3638" s="80" t="s">
        <v>20380</v>
      </c>
      <c r="BC3638" s="80" t="s">
        <v>19343</v>
      </c>
      <c r="BD3638" s="77">
        <v>9317652</v>
      </c>
      <c r="BE3638" s="77"/>
      <c r="BF3638" s="77"/>
      <c r="BG3638" s="77"/>
      <c r="BH3638" s="77"/>
      <c r="BI3638" s="77"/>
    </row>
    <row r="3639" spans="1:61" x14ac:dyDescent="0.25">
      <c r="A3639" s="62" t="s">
        <v>1463</v>
      </c>
      <c r="B3639" s="62" t="s">
        <v>1463</v>
      </c>
      <c r="C3639" s="63"/>
      <c r="D3639" s="64"/>
      <c r="E3639" s="65"/>
      <c r="F3639" s="66"/>
      <c r="G3639" s="63"/>
      <c r="H3639" s="67"/>
      <c r="I3639" s="68"/>
      <c r="J3639" s="68"/>
      <c r="K3639" s="32"/>
      <c r="L3639" s="75">
        <v>3639</v>
      </c>
      <c r="M3639" s="75"/>
      <c r="N3639" s="70"/>
      <c r="O3639" s="77" t="s">
        <v>179</v>
      </c>
      <c r="P3639" s="79">
        <v>45051.585416666669</v>
      </c>
      <c r="Q3639" s="77" t="s">
        <v>5289</v>
      </c>
      <c r="R3639" s="77">
        <v>0</v>
      </c>
      <c r="S3639" s="77">
        <v>2</v>
      </c>
      <c r="T3639" s="77">
        <v>0</v>
      </c>
      <c r="U3639" s="77">
        <v>0</v>
      </c>
      <c r="V3639" s="77">
        <v>199</v>
      </c>
      <c r="W3639" s="80" t="s">
        <v>8147</v>
      </c>
      <c r="X3639" s="83" t="str">
        <f>HYPERLINK("https://bit.ly/escriturabancocentral")</f>
        <v>https://bit.ly/escriturabancocentral</v>
      </c>
      <c r="Y3639" s="77" t="s">
        <v>8618</v>
      </c>
      <c r="Z3639" s="77"/>
      <c r="AA3639" s="77" t="s">
        <v>10217</v>
      </c>
      <c r="AB3639" s="77" t="s">
        <v>10535</v>
      </c>
      <c r="AC3639" s="80" t="s">
        <v>10551</v>
      </c>
      <c r="AD3639" s="77" t="s">
        <v>10620</v>
      </c>
      <c r="AE3639" s="83" t="str">
        <f>HYPERLINK("https://twitter.com/fundeuargentina/status/1654486857101737984")</f>
        <v>https://twitter.com/fundeuargentina/status/1654486857101737984</v>
      </c>
      <c r="AF3639" s="79">
        <v>45051.585416666669</v>
      </c>
      <c r="AG3639" s="85">
        <v>45051</v>
      </c>
      <c r="AH3639" s="80" t="s">
        <v>13783</v>
      </c>
      <c r="AI3639" s="77" t="b">
        <v>0</v>
      </c>
      <c r="AJ3639" s="77"/>
      <c r="AK3639" s="77"/>
      <c r="AL3639" s="77"/>
      <c r="AM3639" s="77"/>
      <c r="AN3639" s="77"/>
      <c r="AO3639" s="77"/>
      <c r="AP3639" s="77"/>
      <c r="AQ3639" s="77" t="s">
        <v>15697</v>
      </c>
      <c r="AR3639" s="77"/>
      <c r="AS3639" s="77"/>
      <c r="AT3639" s="77"/>
      <c r="AU3639" s="77"/>
      <c r="AV3639" s="83" t="str">
        <f>HYPERLINK("https://pbs.twimg.com/media/FvVPb9UWYAAhKaa.jpg")</f>
        <v>https://pbs.twimg.com/media/FvVPb9UWYAAhKaa.jpg</v>
      </c>
      <c r="AW3639" s="80" t="s">
        <v>19344</v>
      </c>
      <c r="AX3639" s="80" t="s">
        <v>19344</v>
      </c>
      <c r="AY3639" s="77"/>
      <c r="AZ3639" s="80" t="s">
        <v>20380</v>
      </c>
      <c r="BA3639" s="80" t="s">
        <v>20380</v>
      </c>
      <c r="BB3639" s="80" t="s">
        <v>20380</v>
      </c>
      <c r="BC3639" s="80" t="s">
        <v>19344</v>
      </c>
      <c r="BD3639" s="80" t="s">
        <v>21100</v>
      </c>
      <c r="BE3639" s="77"/>
      <c r="BF3639" s="77"/>
      <c r="BG3639" s="77"/>
      <c r="BH3639" s="77"/>
      <c r="BI3639" s="77"/>
    </row>
    <row r="3640" spans="1:61" x14ac:dyDescent="0.25">
      <c r="A3640" s="62" t="s">
        <v>1464</v>
      </c>
      <c r="B3640" s="62" t="s">
        <v>1464</v>
      </c>
      <c r="C3640" s="63"/>
      <c r="D3640" s="64"/>
      <c r="E3640" s="65"/>
      <c r="F3640" s="66"/>
      <c r="G3640" s="63"/>
      <c r="H3640" s="67"/>
      <c r="I3640" s="68"/>
      <c r="J3640" s="68"/>
      <c r="K3640" s="32"/>
      <c r="L3640" s="75">
        <v>3640</v>
      </c>
      <c r="M3640" s="75"/>
      <c r="N3640" s="70"/>
      <c r="O3640" s="77" t="s">
        <v>179</v>
      </c>
      <c r="P3640" s="79">
        <v>45150.611307870371</v>
      </c>
      <c r="Q3640" s="77" t="s">
        <v>5290</v>
      </c>
      <c r="R3640" s="77">
        <v>0</v>
      </c>
      <c r="S3640" s="77">
        <v>0</v>
      </c>
      <c r="T3640" s="77">
        <v>0</v>
      </c>
      <c r="U3640" s="77">
        <v>0</v>
      </c>
      <c r="V3640" s="77">
        <v>35</v>
      </c>
      <c r="W3640" s="80" t="s">
        <v>6732</v>
      </c>
      <c r="X3640" s="77"/>
      <c r="Y3640" s="77"/>
      <c r="Z3640" s="77"/>
      <c r="AA3640" s="77" t="s">
        <v>10218</v>
      </c>
      <c r="AB3640" s="77" t="s">
        <v>10534</v>
      </c>
      <c r="AC3640" s="80" t="s">
        <v>10540</v>
      </c>
      <c r="AD3640" s="77" t="s">
        <v>10617</v>
      </c>
      <c r="AE3640" s="83" t="str">
        <f>HYPERLINK("https://twitter.com/antptoficial/status/1690372640471384064")</f>
        <v>https://twitter.com/antptoficial/status/1690372640471384064</v>
      </c>
      <c r="AF3640" s="79">
        <v>45150.611307870371</v>
      </c>
      <c r="AG3640" s="85">
        <v>45150</v>
      </c>
      <c r="AH3640" s="80" t="s">
        <v>13784</v>
      </c>
      <c r="AI3640" s="77" t="b">
        <v>0</v>
      </c>
      <c r="AJ3640" s="77" t="s">
        <v>14372</v>
      </c>
      <c r="AK3640" s="77" t="s">
        <v>14382</v>
      </c>
      <c r="AL3640" s="77" t="s">
        <v>14391</v>
      </c>
      <c r="AM3640" s="77" t="s">
        <v>14429</v>
      </c>
      <c r="AN3640" s="77" t="s">
        <v>14469</v>
      </c>
      <c r="AO3640" s="77" t="s">
        <v>14508</v>
      </c>
      <c r="AP3640" s="77" t="s">
        <v>14516</v>
      </c>
      <c r="AQ3640" s="77" t="s">
        <v>15698</v>
      </c>
      <c r="AR3640" s="77">
        <v>113865</v>
      </c>
      <c r="AS3640" s="77"/>
      <c r="AT3640" s="77"/>
      <c r="AU3640" s="77"/>
      <c r="AV3640" s="83" t="str">
        <f>HYPERLINK("https://pbs.twimg.com/ext_tw_video_thumb/1690372569554194433/pu/img/iW7cRvuCcbNHyvxG.jpg")</f>
        <v>https://pbs.twimg.com/ext_tw_video_thumb/1690372569554194433/pu/img/iW7cRvuCcbNHyvxG.jpg</v>
      </c>
      <c r="AW3640" s="80" t="s">
        <v>19345</v>
      </c>
      <c r="AX3640" s="80" t="s">
        <v>19345</v>
      </c>
      <c r="AY3640" s="77"/>
      <c r="AZ3640" s="80" t="s">
        <v>20380</v>
      </c>
      <c r="BA3640" s="80" t="s">
        <v>20380</v>
      </c>
      <c r="BB3640" s="80" t="s">
        <v>20380</v>
      </c>
      <c r="BC3640" s="80" t="s">
        <v>19345</v>
      </c>
      <c r="BD3640" s="80" t="s">
        <v>21101</v>
      </c>
      <c r="BE3640" s="77"/>
      <c r="BF3640" s="77"/>
      <c r="BG3640" s="77"/>
      <c r="BH3640" s="77"/>
      <c r="BI3640" s="77"/>
    </row>
    <row r="3641" spans="1:61" x14ac:dyDescent="0.25">
      <c r="A3641" s="62" t="s">
        <v>1465</v>
      </c>
      <c r="B3641" s="62" t="s">
        <v>1465</v>
      </c>
      <c r="C3641" s="63"/>
      <c r="D3641" s="64"/>
      <c r="E3641" s="65"/>
      <c r="F3641" s="66"/>
      <c r="G3641" s="63"/>
      <c r="H3641" s="67"/>
      <c r="I3641" s="68"/>
      <c r="J3641" s="68"/>
      <c r="K3641" s="32"/>
      <c r="L3641" s="75">
        <v>3641</v>
      </c>
      <c r="M3641" s="75"/>
      <c r="N3641" s="70"/>
      <c r="O3641" s="77" t="s">
        <v>179</v>
      </c>
      <c r="P3641" s="79">
        <v>45090.042754629627</v>
      </c>
      <c r="Q3641" s="77" t="s">
        <v>5291</v>
      </c>
      <c r="R3641" s="77">
        <v>0</v>
      </c>
      <c r="S3641" s="77">
        <v>0</v>
      </c>
      <c r="T3641" s="77">
        <v>0</v>
      </c>
      <c r="U3641" s="77">
        <v>0</v>
      </c>
      <c r="V3641" s="77">
        <v>29</v>
      </c>
      <c r="W3641" s="80" t="s">
        <v>8148</v>
      </c>
      <c r="X3641" s="83" t="str">
        <f>HYPERLINK("https://b2bfinances.com/hackers-roban-informacion-de-la-cnv-argentina/")</f>
        <v>https://b2bfinances.com/hackers-roban-informacion-de-la-cnv-argentina/</v>
      </c>
      <c r="Y3641" s="77" t="s">
        <v>8854</v>
      </c>
      <c r="Z3641" s="77"/>
      <c r="AA3641" s="77"/>
      <c r="AB3641" s="77"/>
      <c r="AC3641" s="80" t="s">
        <v>10543</v>
      </c>
      <c r="AD3641" s="77" t="s">
        <v>10620</v>
      </c>
      <c r="AE3641" s="83" t="str">
        <f>HYPERLINK("https://twitter.com/b2bfinances/status/1668423332260093952")</f>
        <v>https://twitter.com/b2bfinances/status/1668423332260093952</v>
      </c>
      <c r="AF3641" s="79">
        <v>45090.042754629627</v>
      </c>
      <c r="AG3641" s="85">
        <v>45090</v>
      </c>
      <c r="AH3641" s="80" t="s">
        <v>13785</v>
      </c>
      <c r="AI3641" s="77" t="b">
        <v>0</v>
      </c>
      <c r="AJ3641" s="77"/>
      <c r="AK3641" s="77"/>
      <c r="AL3641" s="77"/>
      <c r="AM3641" s="77"/>
      <c r="AN3641" s="77"/>
      <c r="AO3641" s="77"/>
      <c r="AP3641" s="77"/>
      <c r="AQ3641" s="77"/>
      <c r="AR3641" s="77"/>
      <c r="AS3641" s="77"/>
      <c r="AT3641" s="77"/>
      <c r="AU3641" s="77"/>
      <c r="AV3641" s="83" t="str">
        <f>HYPERLINK("https://pbs.twimg.com/profile_images/1382488569885888512/DzIv_v51_normal.jpg")</f>
        <v>https://pbs.twimg.com/profile_images/1382488569885888512/DzIv_v51_normal.jpg</v>
      </c>
      <c r="AW3641" s="80" t="s">
        <v>19346</v>
      </c>
      <c r="AX3641" s="80" t="s">
        <v>19346</v>
      </c>
      <c r="AY3641" s="77"/>
      <c r="AZ3641" s="80" t="s">
        <v>20380</v>
      </c>
      <c r="BA3641" s="80" t="s">
        <v>20380</v>
      </c>
      <c r="BB3641" s="80" t="s">
        <v>20380</v>
      </c>
      <c r="BC3641" s="80" t="s">
        <v>19346</v>
      </c>
      <c r="BD3641" s="80" t="s">
        <v>21102</v>
      </c>
      <c r="BE3641" s="77"/>
      <c r="BF3641" s="77"/>
      <c r="BG3641" s="77"/>
      <c r="BH3641" s="77"/>
      <c r="BI3641" s="77"/>
    </row>
    <row r="3642" spans="1:61" x14ac:dyDescent="0.25">
      <c r="A3642" s="62" t="s">
        <v>1465</v>
      </c>
      <c r="B3642" s="62" t="s">
        <v>1465</v>
      </c>
      <c r="C3642" s="63"/>
      <c r="D3642" s="64"/>
      <c r="E3642" s="65"/>
      <c r="F3642" s="66"/>
      <c r="G3642" s="63"/>
      <c r="H3642" s="67"/>
      <c r="I3642" s="68"/>
      <c r="J3642" s="68"/>
      <c r="K3642" s="32"/>
      <c r="L3642" s="75">
        <v>3642</v>
      </c>
      <c r="M3642" s="75"/>
      <c r="N3642" s="70"/>
      <c r="O3642" s="77" t="s">
        <v>179</v>
      </c>
      <c r="P3642" s="79">
        <v>45093.250949074078</v>
      </c>
      <c r="Q3642" s="77" t="s">
        <v>5292</v>
      </c>
      <c r="R3642" s="77">
        <v>0</v>
      </c>
      <c r="S3642" s="77">
        <v>0</v>
      </c>
      <c r="T3642" s="77">
        <v>0</v>
      </c>
      <c r="U3642" s="77">
        <v>0</v>
      </c>
      <c r="V3642" s="77">
        <v>15</v>
      </c>
      <c r="W3642" s="80" t="s">
        <v>8149</v>
      </c>
      <c r="X3642" s="83" t="str">
        <f>HYPERLINK("https://b2bfinances.com/bitcoin-cae-a-zona-de-usd-25mil-despues-del-anuncio-de-la-fed/")</f>
        <v>https://b2bfinances.com/bitcoin-cae-a-zona-de-usd-25mil-despues-del-anuncio-de-la-fed/</v>
      </c>
      <c r="Y3642" s="77" t="s">
        <v>8854</v>
      </c>
      <c r="Z3642" s="77"/>
      <c r="AA3642" s="77"/>
      <c r="AB3642" s="77"/>
      <c r="AC3642" s="80" t="s">
        <v>10543</v>
      </c>
      <c r="AD3642" s="77" t="s">
        <v>10620</v>
      </c>
      <c r="AE3642" s="83" t="str">
        <f>HYPERLINK("https://twitter.com/b2bfinances/status/1669585943173505024")</f>
        <v>https://twitter.com/b2bfinances/status/1669585943173505024</v>
      </c>
      <c r="AF3642" s="79">
        <v>45093.250949074078</v>
      </c>
      <c r="AG3642" s="85">
        <v>45093</v>
      </c>
      <c r="AH3642" s="80" t="s">
        <v>13786</v>
      </c>
      <c r="AI3642" s="77" t="b">
        <v>0</v>
      </c>
      <c r="AJ3642" s="77"/>
      <c r="AK3642" s="77"/>
      <c r="AL3642" s="77"/>
      <c r="AM3642" s="77"/>
      <c r="AN3642" s="77"/>
      <c r="AO3642" s="77"/>
      <c r="AP3642" s="77"/>
      <c r="AQ3642" s="77"/>
      <c r="AR3642" s="77"/>
      <c r="AS3642" s="77"/>
      <c r="AT3642" s="77"/>
      <c r="AU3642" s="77"/>
      <c r="AV3642" s="83" t="str">
        <f>HYPERLINK("https://pbs.twimg.com/profile_images/1382488569885888512/DzIv_v51_normal.jpg")</f>
        <v>https://pbs.twimg.com/profile_images/1382488569885888512/DzIv_v51_normal.jpg</v>
      </c>
      <c r="AW3642" s="80" t="s">
        <v>19347</v>
      </c>
      <c r="AX3642" s="80" t="s">
        <v>19347</v>
      </c>
      <c r="AY3642" s="77"/>
      <c r="AZ3642" s="80" t="s">
        <v>20380</v>
      </c>
      <c r="BA3642" s="80" t="s">
        <v>20380</v>
      </c>
      <c r="BB3642" s="80" t="s">
        <v>20380</v>
      </c>
      <c r="BC3642" s="80" t="s">
        <v>19347</v>
      </c>
      <c r="BD3642" s="80" t="s">
        <v>21102</v>
      </c>
      <c r="BE3642" s="77"/>
      <c r="BF3642" s="77"/>
      <c r="BG3642" s="77"/>
      <c r="BH3642" s="77"/>
      <c r="BI3642" s="77"/>
    </row>
    <row r="3643" spans="1:61" x14ac:dyDescent="0.25">
      <c r="A3643" s="62" t="s">
        <v>1466</v>
      </c>
      <c r="B3643" s="62" t="s">
        <v>1466</v>
      </c>
      <c r="C3643" s="63"/>
      <c r="D3643" s="64"/>
      <c r="E3643" s="65"/>
      <c r="F3643" s="66"/>
      <c r="G3643" s="63"/>
      <c r="H3643" s="67"/>
      <c r="I3643" s="68"/>
      <c r="J3643" s="68"/>
      <c r="K3643" s="32"/>
      <c r="L3643" s="75">
        <v>3643</v>
      </c>
      <c r="M3643" s="75"/>
      <c r="N3643" s="70"/>
      <c r="O3643" s="77" t="s">
        <v>179</v>
      </c>
      <c r="P3643" s="79">
        <v>45096.794872685183</v>
      </c>
      <c r="Q3643" s="77" t="s">
        <v>5293</v>
      </c>
      <c r="R3643" s="77">
        <v>0</v>
      </c>
      <c r="S3643" s="77">
        <v>5</v>
      </c>
      <c r="T3643" s="77">
        <v>1</v>
      </c>
      <c r="U3643" s="77">
        <v>0</v>
      </c>
      <c r="V3643" s="77">
        <v>44</v>
      </c>
      <c r="W3643" s="80" t="s">
        <v>8150</v>
      </c>
      <c r="X3643" s="83" t="str">
        <f>HYPERLINK("https://www.youtube.com/watch?v=EMGKK6sNK1M")</f>
        <v>https://www.youtube.com/watch?v=EMGKK6sNK1M</v>
      </c>
      <c r="Y3643" s="77" t="s">
        <v>8612</v>
      </c>
      <c r="Z3643" s="77"/>
      <c r="AA3643" s="77" t="s">
        <v>10219</v>
      </c>
      <c r="AB3643" s="77" t="s">
        <v>10535</v>
      </c>
      <c r="AC3643" s="80" t="s">
        <v>10541</v>
      </c>
      <c r="AD3643" s="77" t="s">
        <v>10617</v>
      </c>
      <c r="AE3643" s="83" t="str">
        <f>HYPERLINK("https://twitter.com/carlitoaraujo13/status/1670870215628865536")</f>
        <v>https://twitter.com/carlitoaraujo13/status/1670870215628865536</v>
      </c>
      <c r="AF3643" s="79">
        <v>45096.794872685183</v>
      </c>
      <c r="AG3643" s="85">
        <v>45096</v>
      </c>
      <c r="AH3643" s="80" t="s">
        <v>13787</v>
      </c>
      <c r="AI3643" s="77" t="b">
        <v>0</v>
      </c>
      <c r="AJ3643" s="77"/>
      <c r="AK3643" s="77"/>
      <c r="AL3643" s="77"/>
      <c r="AM3643" s="77"/>
      <c r="AN3643" s="77"/>
      <c r="AO3643" s="77"/>
      <c r="AP3643" s="77"/>
      <c r="AQ3643" s="77" t="s">
        <v>15699</v>
      </c>
      <c r="AR3643" s="77"/>
      <c r="AS3643" s="77"/>
      <c r="AT3643" s="77"/>
      <c r="AU3643" s="77"/>
      <c r="AV3643" s="83" t="str">
        <f>HYPERLINK("https://pbs.twimg.com/media/FzAfme_WAAIsOjl.jpg")</f>
        <v>https://pbs.twimg.com/media/FzAfme_WAAIsOjl.jpg</v>
      </c>
      <c r="AW3643" s="80" t="s">
        <v>19348</v>
      </c>
      <c r="AX3643" s="80" t="s">
        <v>19348</v>
      </c>
      <c r="AY3643" s="77"/>
      <c r="AZ3643" s="80" t="s">
        <v>20380</v>
      </c>
      <c r="BA3643" s="80" t="s">
        <v>20380</v>
      </c>
      <c r="BB3643" s="80" t="s">
        <v>20380</v>
      </c>
      <c r="BC3643" s="80" t="s">
        <v>19348</v>
      </c>
      <c r="BD3643" s="80" t="s">
        <v>21103</v>
      </c>
      <c r="BE3643" s="77"/>
      <c r="BF3643" s="77"/>
      <c r="BG3643" s="77"/>
      <c r="BH3643" s="77"/>
      <c r="BI3643" s="77"/>
    </row>
    <row r="3644" spans="1:61" x14ac:dyDescent="0.25">
      <c r="A3644" s="62" t="s">
        <v>1466</v>
      </c>
      <c r="B3644" s="62" t="s">
        <v>1466</v>
      </c>
      <c r="C3644" s="63"/>
      <c r="D3644" s="64"/>
      <c r="E3644" s="65"/>
      <c r="F3644" s="66"/>
      <c r="G3644" s="63"/>
      <c r="H3644" s="67"/>
      <c r="I3644" s="68"/>
      <c r="J3644" s="68"/>
      <c r="K3644" s="32"/>
      <c r="L3644" s="75">
        <v>3644</v>
      </c>
      <c r="M3644" s="75"/>
      <c r="N3644" s="70"/>
      <c r="O3644" s="77" t="s">
        <v>179</v>
      </c>
      <c r="P3644" s="79">
        <v>45100.062210648146</v>
      </c>
      <c r="Q3644" s="77" t="s">
        <v>5294</v>
      </c>
      <c r="R3644" s="77">
        <v>0</v>
      </c>
      <c r="S3644" s="77">
        <v>0</v>
      </c>
      <c r="T3644" s="77">
        <v>0</v>
      </c>
      <c r="U3644" s="77">
        <v>0</v>
      </c>
      <c r="V3644" s="77">
        <v>123</v>
      </c>
      <c r="W3644" s="80" t="s">
        <v>8151</v>
      </c>
      <c r="X3644" s="83" t="str">
        <f>HYPERLINK("https://www.youtube.com/watch?v=p2wcvVHi828")</f>
        <v>https://www.youtube.com/watch?v=p2wcvVHi828</v>
      </c>
      <c r="Y3644" s="77" t="s">
        <v>8612</v>
      </c>
      <c r="Z3644" s="77"/>
      <c r="AA3644" s="77" t="s">
        <v>10220</v>
      </c>
      <c r="AB3644" s="77" t="s">
        <v>10535</v>
      </c>
      <c r="AC3644" s="80" t="s">
        <v>10541</v>
      </c>
      <c r="AD3644" s="77" t="s">
        <v>10617</v>
      </c>
      <c r="AE3644" s="83" t="str">
        <f>HYPERLINK("https://twitter.com/carlitoaraujo13/status/1672054261117534208")</f>
        <v>https://twitter.com/carlitoaraujo13/status/1672054261117534208</v>
      </c>
      <c r="AF3644" s="79">
        <v>45100.062210648146</v>
      </c>
      <c r="AG3644" s="85">
        <v>45100</v>
      </c>
      <c r="AH3644" s="80" t="s">
        <v>13788</v>
      </c>
      <c r="AI3644" s="77" t="b">
        <v>0</v>
      </c>
      <c r="AJ3644" s="77"/>
      <c r="AK3644" s="77"/>
      <c r="AL3644" s="77"/>
      <c r="AM3644" s="77"/>
      <c r="AN3644" s="77"/>
      <c r="AO3644" s="77"/>
      <c r="AP3644" s="77"/>
      <c r="AQ3644" s="77" t="s">
        <v>15700</v>
      </c>
      <c r="AR3644" s="77"/>
      <c r="AS3644" s="77"/>
      <c r="AT3644" s="77"/>
      <c r="AU3644" s="77"/>
      <c r="AV3644" s="83" t="str">
        <f>HYPERLINK("https://pbs.twimg.com/media/FzRUeysXsAENG9o.jpg")</f>
        <v>https://pbs.twimg.com/media/FzRUeysXsAENG9o.jpg</v>
      </c>
      <c r="AW3644" s="80" t="s">
        <v>19349</v>
      </c>
      <c r="AX3644" s="80" t="s">
        <v>19349</v>
      </c>
      <c r="AY3644" s="77"/>
      <c r="AZ3644" s="80" t="s">
        <v>20380</v>
      </c>
      <c r="BA3644" s="80" t="s">
        <v>20380</v>
      </c>
      <c r="BB3644" s="80" t="s">
        <v>20380</v>
      </c>
      <c r="BC3644" s="80" t="s">
        <v>19349</v>
      </c>
      <c r="BD3644" s="80" t="s">
        <v>21103</v>
      </c>
      <c r="BE3644" s="77"/>
      <c r="BF3644" s="77"/>
      <c r="BG3644" s="77"/>
      <c r="BH3644" s="77"/>
      <c r="BI3644" s="77"/>
    </row>
    <row r="3645" spans="1:61" x14ac:dyDescent="0.25">
      <c r="A3645" s="62" t="s">
        <v>1466</v>
      </c>
      <c r="B3645" s="62" t="s">
        <v>1466</v>
      </c>
      <c r="C3645" s="63"/>
      <c r="D3645" s="64"/>
      <c r="E3645" s="65"/>
      <c r="F3645" s="66"/>
      <c r="G3645" s="63"/>
      <c r="H3645" s="67"/>
      <c r="I3645" s="68"/>
      <c r="J3645" s="68"/>
      <c r="K3645" s="32"/>
      <c r="L3645" s="75">
        <v>3645</v>
      </c>
      <c r="M3645" s="75"/>
      <c r="N3645" s="70"/>
      <c r="O3645" s="77" t="s">
        <v>179</v>
      </c>
      <c r="P3645" s="79">
        <v>45084.794675925928</v>
      </c>
      <c r="Q3645" s="77" t="s">
        <v>5295</v>
      </c>
      <c r="R3645" s="77">
        <v>0</v>
      </c>
      <c r="S3645" s="77">
        <v>1</v>
      </c>
      <c r="T3645" s="77">
        <v>0</v>
      </c>
      <c r="U3645" s="77">
        <v>0</v>
      </c>
      <c r="V3645" s="77">
        <v>21</v>
      </c>
      <c r="W3645" s="80" t="s">
        <v>8152</v>
      </c>
      <c r="X3645" s="83" t="str">
        <f>HYPERLINK("https://www.youtube.com/watch?v=Ijj-b1QdhLw")</f>
        <v>https://www.youtube.com/watch?v=Ijj-b1QdhLw</v>
      </c>
      <c r="Y3645" s="77" t="s">
        <v>8612</v>
      </c>
      <c r="Z3645" s="77"/>
      <c r="AA3645" s="77" t="s">
        <v>10221</v>
      </c>
      <c r="AB3645" s="77" t="s">
        <v>10535</v>
      </c>
      <c r="AC3645" s="80" t="s">
        <v>10541</v>
      </c>
      <c r="AD3645" s="77" t="s">
        <v>10617</v>
      </c>
      <c r="AE3645" s="83" t="str">
        <f>HYPERLINK("https://twitter.com/carlitoaraujo13/status/1666521490047508488")</f>
        <v>https://twitter.com/carlitoaraujo13/status/1666521490047508488</v>
      </c>
      <c r="AF3645" s="79">
        <v>45084.794675925928</v>
      </c>
      <c r="AG3645" s="85">
        <v>45084</v>
      </c>
      <c r="AH3645" s="80" t="s">
        <v>13789</v>
      </c>
      <c r="AI3645" s="77" t="b">
        <v>0</v>
      </c>
      <c r="AJ3645" s="77"/>
      <c r="AK3645" s="77"/>
      <c r="AL3645" s="77"/>
      <c r="AM3645" s="77"/>
      <c r="AN3645" s="77"/>
      <c r="AO3645" s="77"/>
      <c r="AP3645" s="77"/>
      <c r="AQ3645" s="77" t="s">
        <v>15701</v>
      </c>
      <c r="AR3645" s="77"/>
      <c r="AS3645" s="77"/>
      <c r="AT3645" s="77"/>
      <c r="AU3645" s="77"/>
      <c r="AV3645" s="83" t="str">
        <f>HYPERLINK("https://pbs.twimg.com/media/FyCsdY8XoAAFgS4.jpg")</f>
        <v>https://pbs.twimg.com/media/FyCsdY8XoAAFgS4.jpg</v>
      </c>
      <c r="AW3645" s="80" t="s">
        <v>19350</v>
      </c>
      <c r="AX3645" s="80" t="s">
        <v>19350</v>
      </c>
      <c r="AY3645" s="77"/>
      <c r="AZ3645" s="80" t="s">
        <v>20380</v>
      </c>
      <c r="BA3645" s="80" t="s">
        <v>20380</v>
      </c>
      <c r="BB3645" s="80" t="s">
        <v>20380</v>
      </c>
      <c r="BC3645" s="80" t="s">
        <v>19350</v>
      </c>
      <c r="BD3645" s="80" t="s">
        <v>21103</v>
      </c>
      <c r="BE3645" s="77"/>
      <c r="BF3645" s="77"/>
      <c r="BG3645" s="77"/>
      <c r="BH3645" s="77"/>
      <c r="BI3645" s="77"/>
    </row>
    <row r="3646" spans="1:61" x14ac:dyDescent="0.25">
      <c r="A3646" s="62" t="s">
        <v>1466</v>
      </c>
      <c r="B3646" s="62" t="s">
        <v>1466</v>
      </c>
      <c r="C3646" s="63"/>
      <c r="D3646" s="64"/>
      <c r="E3646" s="65"/>
      <c r="F3646" s="66"/>
      <c r="G3646" s="63"/>
      <c r="H3646" s="67"/>
      <c r="I3646" s="68"/>
      <c r="J3646" s="68"/>
      <c r="K3646" s="32"/>
      <c r="L3646" s="75">
        <v>3646</v>
      </c>
      <c r="M3646" s="75"/>
      <c r="N3646" s="70"/>
      <c r="O3646" s="77" t="s">
        <v>179</v>
      </c>
      <c r="P3646" s="79">
        <v>45103.78769675926</v>
      </c>
      <c r="Q3646" s="77" t="s">
        <v>5296</v>
      </c>
      <c r="R3646" s="77">
        <v>1</v>
      </c>
      <c r="S3646" s="77">
        <v>3</v>
      </c>
      <c r="T3646" s="77">
        <v>1</v>
      </c>
      <c r="U3646" s="77">
        <v>0</v>
      </c>
      <c r="V3646" s="77">
        <v>105</v>
      </c>
      <c r="W3646" s="80" t="s">
        <v>8153</v>
      </c>
      <c r="X3646" s="83" t="str">
        <f>HYPERLINK("https://www.youtube.com/watch?v=32LSUfRuUfA")</f>
        <v>https://www.youtube.com/watch?v=32LSUfRuUfA</v>
      </c>
      <c r="Y3646" s="77" t="s">
        <v>8612</v>
      </c>
      <c r="Z3646" s="77"/>
      <c r="AA3646" s="77" t="s">
        <v>10222</v>
      </c>
      <c r="AB3646" s="77" t="s">
        <v>10535</v>
      </c>
      <c r="AC3646" s="80" t="s">
        <v>10541</v>
      </c>
      <c r="AD3646" s="77" t="s">
        <v>10617</v>
      </c>
      <c r="AE3646" s="83" t="str">
        <f>HYPERLINK("https://twitter.com/carlitoaraujo13/status/1673404329959518218")</f>
        <v>https://twitter.com/carlitoaraujo13/status/1673404329959518218</v>
      </c>
      <c r="AF3646" s="79">
        <v>45103.78769675926</v>
      </c>
      <c r="AG3646" s="85">
        <v>45103</v>
      </c>
      <c r="AH3646" s="80" t="s">
        <v>13790</v>
      </c>
      <c r="AI3646" s="77" t="b">
        <v>0</v>
      </c>
      <c r="AJ3646" s="77"/>
      <c r="AK3646" s="77"/>
      <c r="AL3646" s="77"/>
      <c r="AM3646" s="77"/>
      <c r="AN3646" s="77"/>
      <c r="AO3646" s="77"/>
      <c r="AP3646" s="77"/>
      <c r="AQ3646" s="77" t="s">
        <v>15702</v>
      </c>
      <c r="AR3646" s="77"/>
      <c r="AS3646" s="77"/>
      <c r="AT3646" s="77"/>
      <c r="AU3646" s="77"/>
      <c r="AV3646" s="83" t="str">
        <f>HYPERLINK("https://pbs.twimg.com/media/FzkgXYeWcAYG1FC.jpg")</f>
        <v>https://pbs.twimg.com/media/FzkgXYeWcAYG1FC.jpg</v>
      </c>
      <c r="AW3646" s="80" t="s">
        <v>19351</v>
      </c>
      <c r="AX3646" s="80" t="s">
        <v>19351</v>
      </c>
      <c r="AY3646" s="77"/>
      <c r="AZ3646" s="80" t="s">
        <v>20380</v>
      </c>
      <c r="BA3646" s="80" t="s">
        <v>20380</v>
      </c>
      <c r="BB3646" s="80" t="s">
        <v>20380</v>
      </c>
      <c r="BC3646" s="80" t="s">
        <v>19351</v>
      </c>
      <c r="BD3646" s="80" t="s">
        <v>21103</v>
      </c>
      <c r="BE3646" s="77"/>
      <c r="BF3646" s="77"/>
      <c r="BG3646" s="77"/>
      <c r="BH3646" s="77"/>
      <c r="BI3646" s="77"/>
    </row>
    <row r="3647" spans="1:61" x14ac:dyDescent="0.25">
      <c r="A3647" s="62" t="s">
        <v>1466</v>
      </c>
      <c r="B3647" s="62" t="s">
        <v>1466</v>
      </c>
      <c r="C3647" s="63"/>
      <c r="D3647" s="64"/>
      <c r="E3647" s="65"/>
      <c r="F3647" s="66"/>
      <c r="G3647" s="63"/>
      <c r="H3647" s="67"/>
      <c r="I3647" s="68"/>
      <c r="J3647" s="68"/>
      <c r="K3647" s="32"/>
      <c r="L3647" s="75">
        <v>3647</v>
      </c>
      <c r="M3647" s="75"/>
      <c r="N3647" s="70"/>
      <c r="O3647" s="77" t="s">
        <v>179</v>
      </c>
      <c r="P3647" s="79">
        <v>45090.058576388888</v>
      </c>
      <c r="Q3647" s="77" t="s">
        <v>5297</v>
      </c>
      <c r="R3647" s="77">
        <v>0</v>
      </c>
      <c r="S3647" s="77">
        <v>3</v>
      </c>
      <c r="T3647" s="77">
        <v>0</v>
      </c>
      <c r="U3647" s="77">
        <v>0</v>
      </c>
      <c r="V3647" s="77">
        <v>79</v>
      </c>
      <c r="W3647" s="80" t="s">
        <v>8154</v>
      </c>
      <c r="X3647" s="83" t="str">
        <f>HYPERLINK("https://www.youtube.com/watch?v=OdeTbeNpHx8")</f>
        <v>https://www.youtube.com/watch?v=OdeTbeNpHx8</v>
      </c>
      <c r="Y3647" s="77" t="s">
        <v>8612</v>
      </c>
      <c r="Z3647" s="77"/>
      <c r="AA3647" s="77" t="s">
        <v>10223</v>
      </c>
      <c r="AB3647" s="77" t="s">
        <v>10535</v>
      </c>
      <c r="AC3647" s="80" t="s">
        <v>10541</v>
      </c>
      <c r="AD3647" s="77" t="s">
        <v>10617</v>
      </c>
      <c r="AE3647" s="83" t="str">
        <f>HYPERLINK("https://twitter.com/carlitoaraujo13/status/1668429064472870912")</f>
        <v>https://twitter.com/carlitoaraujo13/status/1668429064472870912</v>
      </c>
      <c r="AF3647" s="79">
        <v>45090.058576388888</v>
      </c>
      <c r="AG3647" s="85">
        <v>45090</v>
      </c>
      <c r="AH3647" s="80" t="s">
        <v>13791</v>
      </c>
      <c r="AI3647" s="77" t="b">
        <v>0</v>
      </c>
      <c r="AJ3647" s="77"/>
      <c r="AK3647" s="77"/>
      <c r="AL3647" s="77"/>
      <c r="AM3647" s="77"/>
      <c r="AN3647" s="77"/>
      <c r="AO3647" s="77"/>
      <c r="AP3647" s="77"/>
      <c r="AQ3647" s="77" t="s">
        <v>15703</v>
      </c>
      <c r="AR3647" s="77"/>
      <c r="AS3647" s="77"/>
      <c r="AT3647" s="77"/>
      <c r="AU3647" s="77"/>
      <c r="AV3647" s="83" t="str">
        <f>HYPERLINK("https://pbs.twimg.com/media/FydzY0qWAAA764h.jpg")</f>
        <v>https://pbs.twimg.com/media/FydzY0qWAAA764h.jpg</v>
      </c>
      <c r="AW3647" s="80" t="s">
        <v>19352</v>
      </c>
      <c r="AX3647" s="80" t="s">
        <v>19352</v>
      </c>
      <c r="AY3647" s="77"/>
      <c r="AZ3647" s="80" t="s">
        <v>20380</v>
      </c>
      <c r="BA3647" s="80" t="s">
        <v>20380</v>
      </c>
      <c r="BB3647" s="80" t="s">
        <v>20380</v>
      </c>
      <c r="BC3647" s="80" t="s">
        <v>19352</v>
      </c>
      <c r="BD3647" s="80" t="s">
        <v>21103</v>
      </c>
      <c r="BE3647" s="77"/>
      <c r="BF3647" s="77"/>
      <c r="BG3647" s="77"/>
      <c r="BH3647" s="77"/>
      <c r="BI3647" s="77"/>
    </row>
    <row r="3648" spans="1:61" x14ac:dyDescent="0.25">
      <c r="A3648" s="62" t="s">
        <v>1466</v>
      </c>
      <c r="B3648" s="62" t="s">
        <v>1466</v>
      </c>
      <c r="C3648" s="63"/>
      <c r="D3648" s="64"/>
      <c r="E3648" s="65"/>
      <c r="F3648" s="66"/>
      <c r="G3648" s="63"/>
      <c r="H3648" s="67"/>
      <c r="I3648" s="68"/>
      <c r="J3648" s="68"/>
      <c r="K3648" s="32"/>
      <c r="L3648" s="75">
        <v>3648</v>
      </c>
      <c r="M3648" s="75"/>
      <c r="N3648" s="70"/>
      <c r="O3648" s="77" t="s">
        <v>179</v>
      </c>
      <c r="P3648" s="79">
        <v>45101.064027777778</v>
      </c>
      <c r="Q3648" s="77" t="s">
        <v>5298</v>
      </c>
      <c r="R3648" s="77">
        <v>0</v>
      </c>
      <c r="S3648" s="77">
        <v>1</v>
      </c>
      <c r="T3648" s="77">
        <v>0</v>
      </c>
      <c r="U3648" s="77">
        <v>0</v>
      </c>
      <c r="V3648" s="77">
        <v>590</v>
      </c>
      <c r="W3648" s="80" t="s">
        <v>8155</v>
      </c>
      <c r="X3648" s="83" t="str">
        <f>HYPERLINK("https://www.youtube.com/watch?v=Lf4RuFXm6VA")</f>
        <v>https://www.youtube.com/watch?v=Lf4RuFXm6VA</v>
      </c>
      <c r="Y3648" s="77" t="s">
        <v>8612</v>
      </c>
      <c r="Z3648" s="77"/>
      <c r="AA3648" s="77" t="s">
        <v>10224</v>
      </c>
      <c r="AB3648" s="77" t="s">
        <v>10535</v>
      </c>
      <c r="AC3648" s="80" t="s">
        <v>10541</v>
      </c>
      <c r="AD3648" s="77" t="s">
        <v>10617</v>
      </c>
      <c r="AE3648" s="83" t="str">
        <f>HYPERLINK("https://twitter.com/carlitoaraujo13/status/1672417305496629248")</f>
        <v>https://twitter.com/carlitoaraujo13/status/1672417305496629248</v>
      </c>
      <c r="AF3648" s="79">
        <v>45101.064027777778</v>
      </c>
      <c r="AG3648" s="85">
        <v>45101</v>
      </c>
      <c r="AH3648" s="80" t="s">
        <v>13792</v>
      </c>
      <c r="AI3648" s="77" t="b">
        <v>0</v>
      </c>
      <c r="AJ3648" s="77"/>
      <c r="AK3648" s="77"/>
      <c r="AL3648" s="77"/>
      <c r="AM3648" s="77"/>
      <c r="AN3648" s="77"/>
      <c r="AO3648" s="77"/>
      <c r="AP3648" s="77"/>
      <c r="AQ3648" s="77" t="s">
        <v>15704</v>
      </c>
      <c r="AR3648" s="77"/>
      <c r="AS3648" s="77"/>
      <c r="AT3648" s="77"/>
      <c r="AU3648" s="77"/>
      <c r="AV3648" s="83" t="str">
        <f>HYPERLINK("https://pbs.twimg.com/media/FzWeq5sWIAA8mUf.jpg")</f>
        <v>https://pbs.twimg.com/media/FzWeq5sWIAA8mUf.jpg</v>
      </c>
      <c r="AW3648" s="80" t="s">
        <v>19353</v>
      </c>
      <c r="AX3648" s="80" t="s">
        <v>19353</v>
      </c>
      <c r="AY3648" s="77"/>
      <c r="AZ3648" s="80" t="s">
        <v>20380</v>
      </c>
      <c r="BA3648" s="80" t="s">
        <v>20380</v>
      </c>
      <c r="BB3648" s="80" t="s">
        <v>20380</v>
      </c>
      <c r="BC3648" s="80" t="s">
        <v>19353</v>
      </c>
      <c r="BD3648" s="80" t="s">
        <v>21103</v>
      </c>
      <c r="BE3648" s="77"/>
      <c r="BF3648" s="77"/>
      <c r="BG3648" s="77"/>
      <c r="BH3648" s="77"/>
      <c r="BI3648" s="77"/>
    </row>
    <row r="3649" spans="1:61" x14ac:dyDescent="0.25">
      <c r="A3649" s="62" t="s">
        <v>1466</v>
      </c>
      <c r="B3649" s="62" t="s">
        <v>1466</v>
      </c>
      <c r="C3649" s="63"/>
      <c r="D3649" s="64"/>
      <c r="E3649" s="65"/>
      <c r="F3649" s="66"/>
      <c r="G3649" s="63"/>
      <c r="H3649" s="67"/>
      <c r="I3649" s="68"/>
      <c r="J3649" s="68"/>
      <c r="K3649" s="32"/>
      <c r="L3649" s="75">
        <v>3649</v>
      </c>
      <c r="M3649" s="75"/>
      <c r="N3649" s="70"/>
      <c r="O3649" s="77" t="s">
        <v>179</v>
      </c>
      <c r="P3649" s="79">
        <v>45100.795844907407</v>
      </c>
      <c r="Q3649" s="77" t="s">
        <v>5299</v>
      </c>
      <c r="R3649" s="77">
        <v>0</v>
      </c>
      <c r="S3649" s="77">
        <v>1</v>
      </c>
      <c r="T3649" s="77">
        <v>0</v>
      </c>
      <c r="U3649" s="77">
        <v>0</v>
      </c>
      <c r="V3649" s="77">
        <v>66</v>
      </c>
      <c r="W3649" s="80" t="s">
        <v>8156</v>
      </c>
      <c r="X3649" s="83" t="str">
        <f>HYPERLINK("https://www.youtube.com/watch?v=4WBpWkUkM1g")</f>
        <v>https://www.youtube.com/watch?v=4WBpWkUkM1g</v>
      </c>
      <c r="Y3649" s="77" t="s">
        <v>8612</v>
      </c>
      <c r="Z3649" s="77"/>
      <c r="AA3649" s="77" t="s">
        <v>10225</v>
      </c>
      <c r="AB3649" s="77" t="s">
        <v>10535</v>
      </c>
      <c r="AC3649" s="80" t="s">
        <v>10541</v>
      </c>
      <c r="AD3649" s="77" t="s">
        <v>10617</v>
      </c>
      <c r="AE3649" s="83" t="str">
        <f>HYPERLINK("https://twitter.com/carlitoaraujo13/status/1672320119811219465")</f>
        <v>https://twitter.com/carlitoaraujo13/status/1672320119811219465</v>
      </c>
      <c r="AF3649" s="79">
        <v>45100.795844907407</v>
      </c>
      <c r="AG3649" s="85">
        <v>45100</v>
      </c>
      <c r="AH3649" s="80" t="s">
        <v>13793</v>
      </c>
      <c r="AI3649" s="77" t="b">
        <v>0</v>
      </c>
      <c r="AJ3649" s="77"/>
      <c r="AK3649" s="77"/>
      <c r="AL3649" s="77"/>
      <c r="AM3649" s="77"/>
      <c r="AN3649" s="77"/>
      <c r="AO3649" s="77"/>
      <c r="AP3649" s="77"/>
      <c r="AQ3649" s="77" t="s">
        <v>15705</v>
      </c>
      <c r="AR3649" s="77"/>
      <c r="AS3649" s="77"/>
      <c r="AT3649" s="77"/>
      <c r="AU3649" s="77"/>
      <c r="AV3649" s="83" t="str">
        <f>HYPERLINK("https://pbs.twimg.com/media/FzVGSEBWIAsbocr.jpg")</f>
        <v>https://pbs.twimg.com/media/FzVGSEBWIAsbocr.jpg</v>
      </c>
      <c r="AW3649" s="80" t="s">
        <v>19354</v>
      </c>
      <c r="AX3649" s="80" t="s">
        <v>19354</v>
      </c>
      <c r="AY3649" s="77"/>
      <c r="AZ3649" s="80" t="s">
        <v>20380</v>
      </c>
      <c r="BA3649" s="80" t="s">
        <v>20380</v>
      </c>
      <c r="BB3649" s="80" t="s">
        <v>20380</v>
      </c>
      <c r="BC3649" s="80" t="s">
        <v>19354</v>
      </c>
      <c r="BD3649" s="80" t="s">
        <v>21103</v>
      </c>
      <c r="BE3649" s="77"/>
      <c r="BF3649" s="77"/>
      <c r="BG3649" s="77"/>
      <c r="BH3649" s="77"/>
      <c r="BI3649" s="77"/>
    </row>
    <row r="3650" spans="1:61" x14ac:dyDescent="0.25">
      <c r="A3650" s="62" t="s">
        <v>1466</v>
      </c>
      <c r="B3650" s="62" t="s">
        <v>1466</v>
      </c>
      <c r="C3650" s="63"/>
      <c r="D3650" s="64"/>
      <c r="E3650" s="65"/>
      <c r="F3650" s="66"/>
      <c r="G3650" s="63"/>
      <c r="H3650" s="67"/>
      <c r="I3650" s="68"/>
      <c r="J3650" s="68"/>
      <c r="K3650" s="32"/>
      <c r="L3650" s="75">
        <v>3650</v>
      </c>
      <c r="M3650" s="75"/>
      <c r="N3650" s="70"/>
      <c r="O3650" s="77" t="s">
        <v>179</v>
      </c>
      <c r="P3650" s="79">
        <v>45128.789305555554</v>
      </c>
      <c r="Q3650" s="77" t="s">
        <v>5300</v>
      </c>
      <c r="R3650" s="77">
        <v>0</v>
      </c>
      <c r="S3650" s="77">
        <v>1</v>
      </c>
      <c r="T3650" s="77">
        <v>0</v>
      </c>
      <c r="U3650" s="77">
        <v>0</v>
      </c>
      <c r="V3650" s="77">
        <v>62</v>
      </c>
      <c r="W3650" s="80" t="s">
        <v>8157</v>
      </c>
      <c r="X3650" s="83" t="str">
        <f>HYPERLINK("https://www.youtube.com/watch?v=nPVweWp10GU")</f>
        <v>https://www.youtube.com/watch?v=nPVweWp10GU</v>
      </c>
      <c r="Y3650" s="77" t="s">
        <v>8612</v>
      </c>
      <c r="Z3650" s="77"/>
      <c r="AA3650" s="77" t="s">
        <v>10226</v>
      </c>
      <c r="AB3650" s="77" t="s">
        <v>10535</v>
      </c>
      <c r="AC3650" s="80" t="s">
        <v>10541</v>
      </c>
      <c r="AD3650" s="77" t="s">
        <v>10617</v>
      </c>
      <c r="AE3650" s="83" t="str">
        <f>HYPERLINK("https://twitter.com/carlitoaraujo13/status/1682464611256217601")</f>
        <v>https://twitter.com/carlitoaraujo13/status/1682464611256217601</v>
      </c>
      <c r="AF3650" s="79">
        <v>45128.789305555554</v>
      </c>
      <c r="AG3650" s="85">
        <v>45128</v>
      </c>
      <c r="AH3650" s="80" t="s">
        <v>12419</v>
      </c>
      <c r="AI3650" s="77" t="b">
        <v>0</v>
      </c>
      <c r="AJ3650" s="77"/>
      <c r="AK3650" s="77"/>
      <c r="AL3650" s="77"/>
      <c r="AM3650" s="77"/>
      <c r="AN3650" s="77"/>
      <c r="AO3650" s="77"/>
      <c r="AP3650" s="77"/>
      <c r="AQ3650" s="77" t="s">
        <v>15706</v>
      </c>
      <c r="AR3650" s="77"/>
      <c r="AS3650" s="77"/>
      <c r="AT3650" s="77"/>
      <c r="AU3650" s="77"/>
      <c r="AV3650" s="83" t="str">
        <f>HYPERLINK("https://pbs.twimg.com/media/F1lQpNpWwAIDGIw.jpg")</f>
        <v>https://pbs.twimg.com/media/F1lQpNpWwAIDGIw.jpg</v>
      </c>
      <c r="AW3650" s="80" t="s">
        <v>19355</v>
      </c>
      <c r="AX3650" s="80" t="s">
        <v>19355</v>
      </c>
      <c r="AY3650" s="77"/>
      <c r="AZ3650" s="80" t="s">
        <v>20380</v>
      </c>
      <c r="BA3650" s="80" t="s">
        <v>20380</v>
      </c>
      <c r="BB3650" s="80" t="s">
        <v>20380</v>
      </c>
      <c r="BC3650" s="80" t="s">
        <v>19355</v>
      </c>
      <c r="BD3650" s="80" t="s">
        <v>21103</v>
      </c>
      <c r="BE3650" s="77"/>
      <c r="BF3650" s="77"/>
      <c r="BG3650" s="77"/>
      <c r="BH3650" s="77"/>
      <c r="BI3650" s="77"/>
    </row>
    <row r="3651" spans="1:61" x14ac:dyDescent="0.25">
      <c r="A3651" s="62" t="s">
        <v>1466</v>
      </c>
      <c r="B3651" s="62" t="s">
        <v>1466</v>
      </c>
      <c r="C3651" s="63"/>
      <c r="D3651" s="64"/>
      <c r="E3651" s="65"/>
      <c r="F3651" s="66"/>
      <c r="G3651" s="63"/>
      <c r="H3651" s="67"/>
      <c r="I3651" s="68"/>
      <c r="J3651" s="68"/>
      <c r="K3651" s="32"/>
      <c r="L3651" s="75">
        <v>3651</v>
      </c>
      <c r="M3651" s="75"/>
      <c r="N3651" s="70"/>
      <c r="O3651" s="77" t="s">
        <v>179</v>
      </c>
      <c r="P3651" s="79">
        <v>45105.064421296294</v>
      </c>
      <c r="Q3651" s="77" t="s">
        <v>5301</v>
      </c>
      <c r="R3651" s="77">
        <v>0</v>
      </c>
      <c r="S3651" s="77">
        <v>2</v>
      </c>
      <c r="T3651" s="77">
        <v>1</v>
      </c>
      <c r="U3651" s="77">
        <v>0</v>
      </c>
      <c r="V3651" s="77">
        <v>172</v>
      </c>
      <c r="W3651" s="80" t="s">
        <v>8158</v>
      </c>
      <c r="X3651" s="83" t="str">
        <f>HYPERLINK("https://www.youtube.com/watch?v=SfWJ5FRjhrs")</f>
        <v>https://www.youtube.com/watch?v=SfWJ5FRjhrs</v>
      </c>
      <c r="Y3651" s="77" t="s">
        <v>8612</v>
      </c>
      <c r="Z3651" s="77"/>
      <c r="AA3651" s="77" t="s">
        <v>10227</v>
      </c>
      <c r="AB3651" s="77" t="s">
        <v>10535</v>
      </c>
      <c r="AC3651" s="80" t="s">
        <v>10541</v>
      </c>
      <c r="AD3651" s="77" t="s">
        <v>10617</v>
      </c>
      <c r="AE3651" s="83" t="str">
        <f>HYPERLINK("https://twitter.com/carlitoaraujo13/status/1673867000710307840")</f>
        <v>https://twitter.com/carlitoaraujo13/status/1673867000710307840</v>
      </c>
      <c r="AF3651" s="79">
        <v>45105.064421296294</v>
      </c>
      <c r="AG3651" s="85">
        <v>45105</v>
      </c>
      <c r="AH3651" s="80" t="s">
        <v>13794</v>
      </c>
      <c r="AI3651" s="77" t="b">
        <v>0</v>
      </c>
      <c r="AJ3651" s="77"/>
      <c r="AK3651" s="77"/>
      <c r="AL3651" s="77"/>
      <c r="AM3651" s="77"/>
      <c r="AN3651" s="77"/>
      <c r="AO3651" s="77"/>
      <c r="AP3651" s="77"/>
      <c r="AQ3651" s="77" t="s">
        <v>15707</v>
      </c>
      <c r="AR3651" s="77"/>
      <c r="AS3651" s="77"/>
      <c r="AT3651" s="77"/>
      <c r="AU3651" s="77"/>
      <c r="AV3651" s="83" t="str">
        <f>HYPERLINK("https://pbs.twimg.com/media/FzrFKV0XwAM80i9.jpg")</f>
        <v>https://pbs.twimg.com/media/FzrFKV0XwAM80i9.jpg</v>
      </c>
      <c r="AW3651" s="80" t="s">
        <v>19356</v>
      </c>
      <c r="AX3651" s="80" t="s">
        <v>19356</v>
      </c>
      <c r="AY3651" s="77"/>
      <c r="AZ3651" s="80" t="s">
        <v>20380</v>
      </c>
      <c r="BA3651" s="80" t="s">
        <v>20380</v>
      </c>
      <c r="BB3651" s="80" t="s">
        <v>20380</v>
      </c>
      <c r="BC3651" s="80" t="s">
        <v>19356</v>
      </c>
      <c r="BD3651" s="80" t="s">
        <v>21103</v>
      </c>
      <c r="BE3651" s="77"/>
      <c r="BF3651" s="77"/>
      <c r="BG3651" s="77"/>
      <c r="BH3651" s="77"/>
      <c r="BI3651" s="77"/>
    </row>
    <row r="3652" spans="1:61" x14ac:dyDescent="0.25">
      <c r="A3652" s="62" t="s">
        <v>1466</v>
      </c>
      <c r="B3652" s="62" t="s">
        <v>1466</v>
      </c>
      <c r="C3652" s="63"/>
      <c r="D3652" s="64"/>
      <c r="E3652" s="65"/>
      <c r="F3652" s="66"/>
      <c r="G3652" s="63"/>
      <c r="H3652" s="67"/>
      <c r="I3652" s="68"/>
      <c r="J3652" s="68"/>
      <c r="K3652" s="32"/>
      <c r="L3652" s="75">
        <v>3652</v>
      </c>
      <c r="M3652" s="75"/>
      <c r="N3652" s="70"/>
      <c r="O3652" s="77" t="s">
        <v>179</v>
      </c>
      <c r="P3652" s="79">
        <v>45104.791458333333</v>
      </c>
      <c r="Q3652" s="77" t="s">
        <v>5302</v>
      </c>
      <c r="R3652" s="77">
        <v>0</v>
      </c>
      <c r="S3652" s="77">
        <v>1</v>
      </c>
      <c r="T3652" s="77">
        <v>0</v>
      </c>
      <c r="U3652" s="77">
        <v>0</v>
      </c>
      <c r="V3652" s="77">
        <v>79</v>
      </c>
      <c r="W3652" s="80" t="s">
        <v>8159</v>
      </c>
      <c r="X3652" s="83" t="str">
        <f>HYPERLINK("https://www.youtube.com/watch?v=rfEZ_RX0pHI")</f>
        <v>https://www.youtube.com/watch?v=rfEZ_RX0pHI</v>
      </c>
      <c r="Y3652" s="77" t="s">
        <v>8612</v>
      </c>
      <c r="Z3652" s="77"/>
      <c r="AA3652" s="77" t="s">
        <v>10228</v>
      </c>
      <c r="AB3652" s="77" t="s">
        <v>10535</v>
      </c>
      <c r="AC3652" s="80" t="s">
        <v>10541</v>
      </c>
      <c r="AD3652" s="77" t="s">
        <v>10617</v>
      </c>
      <c r="AE3652" s="83" t="str">
        <f>HYPERLINK("https://twitter.com/carlitoaraujo13/status/1673768083750526996")</f>
        <v>https://twitter.com/carlitoaraujo13/status/1673768083750526996</v>
      </c>
      <c r="AF3652" s="79">
        <v>45104.791458333333</v>
      </c>
      <c r="AG3652" s="85">
        <v>45104</v>
      </c>
      <c r="AH3652" s="80" t="s">
        <v>13795</v>
      </c>
      <c r="AI3652" s="77" t="b">
        <v>0</v>
      </c>
      <c r="AJ3652" s="77"/>
      <c r="AK3652" s="77"/>
      <c r="AL3652" s="77"/>
      <c r="AM3652" s="77"/>
      <c r="AN3652" s="77"/>
      <c r="AO3652" s="77"/>
      <c r="AP3652" s="77"/>
      <c r="AQ3652" s="77" t="s">
        <v>15708</v>
      </c>
      <c r="AR3652" s="77"/>
      <c r="AS3652" s="77"/>
      <c r="AT3652" s="77"/>
      <c r="AU3652" s="77"/>
      <c r="AV3652" s="83" t="str">
        <f>HYPERLINK("https://pbs.twimg.com/media/FzprLuSWIBQZLdF.jpg")</f>
        <v>https://pbs.twimg.com/media/FzprLuSWIBQZLdF.jpg</v>
      </c>
      <c r="AW3652" s="80" t="s">
        <v>19357</v>
      </c>
      <c r="AX3652" s="80" t="s">
        <v>19357</v>
      </c>
      <c r="AY3652" s="77"/>
      <c r="AZ3652" s="80" t="s">
        <v>20380</v>
      </c>
      <c r="BA3652" s="80" t="s">
        <v>20380</v>
      </c>
      <c r="BB3652" s="80" t="s">
        <v>20380</v>
      </c>
      <c r="BC3652" s="80" t="s">
        <v>19357</v>
      </c>
      <c r="BD3652" s="80" t="s">
        <v>21103</v>
      </c>
      <c r="BE3652" s="77"/>
      <c r="BF3652" s="77"/>
      <c r="BG3652" s="77"/>
      <c r="BH3652" s="77"/>
      <c r="BI3652" s="77"/>
    </row>
    <row r="3653" spans="1:61" x14ac:dyDescent="0.25">
      <c r="A3653" s="62" t="s">
        <v>1466</v>
      </c>
      <c r="B3653" s="62" t="s">
        <v>1466</v>
      </c>
      <c r="C3653" s="63"/>
      <c r="D3653" s="64"/>
      <c r="E3653" s="65"/>
      <c r="F3653" s="66"/>
      <c r="G3653" s="63"/>
      <c r="H3653" s="67"/>
      <c r="I3653" s="68"/>
      <c r="J3653" s="68"/>
      <c r="K3653" s="32"/>
      <c r="L3653" s="75">
        <v>3653</v>
      </c>
      <c r="M3653" s="75"/>
      <c r="N3653" s="70"/>
      <c r="O3653" s="77" t="s">
        <v>179</v>
      </c>
      <c r="P3653" s="79">
        <v>45141.057199074072</v>
      </c>
      <c r="Q3653" s="77" t="s">
        <v>5303</v>
      </c>
      <c r="R3653" s="77">
        <v>0</v>
      </c>
      <c r="S3653" s="77">
        <v>0</v>
      </c>
      <c r="T3653" s="77">
        <v>0</v>
      </c>
      <c r="U3653" s="77">
        <v>0</v>
      </c>
      <c r="V3653" s="77">
        <v>158</v>
      </c>
      <c r="W3653" s="80" t="s">
        <v>8160</v>
      </c>
      <c r="X3653" s="83" t="str">
        <f>HYPERLINK("https://www.youtube.com/watch?v=z_pPuznck2c")</f>
        <v>https://www.youtube.com/watch?v=z_pPuznck2c</v>
      </c>
      <c r="Y3653" s="77" t="s">
        <v>8612</v>
      </c>
      <c r="Z3653" s="77"/>
      <c r="AA3653" s="77" t="s">
        <v>10229</v>
      </c>
      <c r="AB3653" s="77" t="s">
        <v>10535</v>
      </c>
      <c r="AC3653" s="80" t="s">
        <v>10541</v>
      </c>
      <c r="AD3653" s="77" t="s">
        <v>10617</v>
      </c>
      <c r="AE3653" s="83" t="str">
        <f>HYPERLINK("https://twitter.com/carlitoaraujo13/status/1686910347016384513")</f>
        <v>https://twitter.com/carlitoaraujo13/status/1686910347016384513</v>
      </c>
      <c r="AF3653" s="79">
        <v>45141.057199074072</v>
      </c>
      <c r="AG3653" s="85">
        <v>45141</v>
      </c>
      <c r="AH3653" s="80" t="s">
        <v>13796</v>
      </c>
      <c r="AI3653" s="77" t="b">
        <v>0</v>
      </c>
      <c r="AJ3653" s="77"/>
      <c r="AK3653" s="77"/>
      <c r="AL3653" s="77"/>
      <c r="AM3653" s="77"/>
      <c r="AN3653" s="77"/>
      <c r="AO3653" s="77"/>
      <c r="AP3653" s="77"/>
      <c r="AQ3653" s="77" t="s">
        <v>15709</v>
      </c>
      <c r="AR3653" s="77"/>
      <c r="AS3653" s="77"/>
      <c r="AT3653" s="77"/>
      <c r="AU3653" s="77"/>
      <c r="AV3653" s="83" t="str">
        <f>HYPERLINK("https://pbs.twimg.com/media/F2kb-7QXYAAU_rC.jpg")</f>
        <v>https://pbs.twimg.com/media/F2kb-7QXYAAU_rC.jpg</v>
      </c>
      <c r="AW3653" s="80" t="s">
        <v>19358</v>
      </c>
      <c r="AX3653" s="80" t="s">
        <v>19358</v>
      </c>
      <c r="AY3653" s="77"/>
      <c r="AZ3653" s="80" t="s">
        <v>20380</v>
      </c>
      <c r="BA3653" s="80" t="s">
        <v>20380</v>
      </c>
      <c r="BB3653" s="80" t="s">
        <v>20380</v>
      </c>
      <c r="BC3653" s="80" t="s">
        <v>19358</v>
      </c>
      <c r="BD3653" s="80" t="s">
        <v>21103</v>
      </c>
      <c r="BE3653" s="77"/>
      <c r="BF3653" s="77"/>
      <c r="BG3653" s="77"/>
      <c r="BH3653" s="77"/>
      <c r="BI3653" s="77"/>
    </row>
    <row r="3654" spans="1:61" x14ac:dyDescent="0.25">
      <c r="A3654" s="62" t="s">
        <v>1466</v>
      </c>
      <c r="B3654" s="62" t="s">
        <v>1466</v>
      </c>
      <c r="C3654" s="63"/>
      <c r="D3654" s="64"/>
      <c r="E3654" s="65"/>
      <c r="F3654" s="66"/>
      <c r="G3654" s="63"/>
      <c r="H3654" s="67"/>
      <c r="I3654" s="68"/>
      <c r="J3654" s="68"/>
      <c r="K3654" s="32"/>
      <c r="L3654" s="75">
        <v>3654</v>
      </c>
      <c r="M3654" s="75"/>
      <c r="N3654" s="70"/>
      <c r="O3654" s="77" t="s">
        <v>179</v>
      </c>
      <c r="P3654" s="79">
        <v>45118.796747685185</v>
      </c>
      <c r="Q3654" s="77" t="s">
        <v>5304</v>
      </c>
      <c r="R3654" s="77">
        <v>0</v>
      </c>
      <c r="S3654" s="77">
        <v>1</v>
      </c>
      <c r="T3654" s="77">
        <v>0</v>
      </c>
      <c r="U3654" s="77">
        <v>0</v>
      </c>
      <c r="V3654" s="77">
        <v>177</v>
      </c>
      <c r="W3654" s="80" t="s">
        <v>8161</v>
      </c>
      <c r="X3654" s="83" t="str">
        <f>HYPERLINK("https://www.youtube.com/watch?v=pKup8U0ocxc")</f>
        <v>https://www.youtube.com/watch?v=pKup8U0ocxc</v>
      </c>
      <c r="Y3654" s="77" t="s">
        <v>8612</v>
      </c>
      <c r="Z3654" s="77"/>
      <c r="AA3654" s="77" t="s">
        <v>10230</v>
      </c>
      <c r="AB3654" s="77" t="s">
        <v>10535</v>
      </c>
      <c r="AC3654" s="80" t="s">
        <v>10541</v>
      </c>
      <c r="AD3654" s="77" t="s">
        <v>10617</v>
      </c>
      <c r="AE3654" s="83" t="str">
        <f>HYPERLINK("https://twitter.com/carlitoaraujo13/status/1678843430590373891")</f>
        <v>https://twitter.com/carlitoaraujo13/status/1678843430590373891</v>
      </c>
      <c r="AF3654" s="79">
        <v>45118.796747685185</v>
      </c>
      <c r="AG3654" s="85">
        <v>45118</v>
      </c>
      <c r="AH3654" s="80" t="s">
        <v>13797</v>
      </c>
      <c r="AI3654" s="77" t="b">
        <v>0</v>
      </c>
      <c r="AJ3654" s="77"/>
      <c r="AK3654" s="77"/>
      <c r="AL3654" s="77"/>
      <c r="AM3654" s="77"/>
      <c r="AN3654" s="77"/>
      <c r="AO3654" s="77"/>
      <c r="AP3654" s="77"/>
      <c r="AQ3654" s="77" t="s">
        <v>15710</v>
      </c>
      <c r="AR3654" s="77"/>
      <c r="AS3654" s="77"/>
      <c r="AT3654" s="77"/>
      <c r="AU3654" s="77"/>
      <c r="AV3654" s="83" t="str">
        <f>HYPERLINK("https://pbs.twimg.com/media/F0xzFcvWIAABdV8.jpg")</f>
        <v>https://pbs.twimg.com/media/F0xzFcvWIAABdV8.jpg</v>
      </c>
      <c r="AW3654" s="80" t="s">
        <v>19359</v>
      </c>
      <c r="AX3654" s="80" t="s">
        <v>19359</v>
      </c>
      <c r="AY3654" s="77"/>
      <c r="AZ3654" s="80" t="s">
        <v>20380</v>
      </c>
      <c r="BA3654" s="80" t="s">
        <v>20380</v>
      </c>
      <c r="BB3654" s="80" t="s">
        <v>20380</v>
      </c>
      <c r="BC3654" s="80" t="s">
        <v>19359</v>
      </c>
      <c r="BD3654" s="80" t="s">
        <v>21103</v>
      </c>
      <c r="BE3654" s="77"/>
      <c r="BF3654" s="77"/>
      <c r="BG3654" s="77"/>
      <c r="BH3654" s="77"/>
      <c r="BI3654" s="77"/>
    </row>
    <row r="3655" spans="1:61" x14ac:dyDescent="0.25">
      <c r="A3655" s="62" t="s">
        <v>1466</v>
      </c>
      <c r="B3655" s="62" t="s">
        <v>1466</v>
      </c>
      <c r="C3655" s="63"/>
      <c r="D3655" s="64"/>
      <c r="E3655" s="65"/>
      <c r="F3655" s="66"/>
      <c r="G3655" s="63"/>
      <c r="H3655" s="67"/>
      <c r="I3655" s="68"/>
      <c r="J3655" s="68"/>
      <c r="K3655" s="32"/>
      <c r="L3655" s="75">
        <v>3655</v>
      </c>
      <c r="M3655" s="75"/>
      <c r="N3655" s="70"/>
      <c r="O3655" s="77" t="s">
        <v>179</v>
      </c>
      <c r="P3655" s="79">
        <v>45117.79378472222</v>
      </c>
      <c r="Q3655" s="77" t="s">
        <v>5305</v>
      </c>
      <c r="R3655" s="77">
        <v>0</v>
      </c>
      <c r="S3655" s="77">
        <v>2</v>
      </c>
      <c r="T3655" s="77">
        <v>0</v>
      </c>
      <c r="U3655" s="77">
        <v>0</v>
      </c>
      <c r="V3655" s="77">
        <v>94</v>
      </c>
      <c r="W3655" s="80" t="s">
        <v>8162</v>
      </c>
      <c r="X3655" s="83" t="str">
        <f>HYPERLINK("https://www.youtube.com/watch?v=BiDTPXOnVu8")</f>
        <v>https://www.youtube.com/watch?v=BiDTPXOnVu8</v>
      </c>
      <c r="Y3655" s="77" t="s">
        <v>8612</v>
      </c>
      <c r="Z3655" s="77"/>
      <c r="AA3655" s="77" t="s">
        <v>10231</v>
      </c>
      <c r="AB3655" s="77" t="s">
        <v>10535</v>
      </c>
      <c r="AC3655" s="80" t="s">
        <v>10541</v>
      </c>
      <c r="AD3655" s="77" t="s">
        <v>10617</v>
      </c>
      <c r="AE3655" s="83" t="str">
        <f>HYPERLINK("https://twitter.com/carlitoaraujo13/status/1678479967984709642")</f>
        <v>https://twitter.com/carlitoaraujo13/status/1678479967984709642</v>
      </c>
      <c r="AF3655" s="79">
        <v>45117.79378472222</v>
      </c>
      <c r="AG3655" s="85">
        <v>45117</v>
      </c>
      <c r="AH3655" s="80" t="s">
        <v>13798</v>
      </c>
      <c r="AI3655" s="77" t="b">
        <v>0</v>
      </c>
      <c r="AJ3655" s="77"/>
      <c r="AK3655" s="77"/>
      <c r="AL3655" s="77"/>
      <c r="AM3655" s="77"/>
      <c r="AN3655" s="77"/>
      <c r="AO3655" s="77"/>
      <c r="AP3655" s="77"/>
      <c r="AQ3655" s="77" t="s">
        <v>15711</v>
      </c>
      <c r="AR3655" s="77"/>
      <c r="AS3655" s="77"/>
      <c r="AT3655" s="77"/>
      <c r="AU3655" s="77"/>
      <c r="AV3655" s="83" t="str">
        <f>HYPERLINK("https://pbs.twimg.com/media/F0soodiX0AAf2Od.jpg")</f>
        <v>https://pbs.twimg.com/media/F0soodiX0AAf2Od.jpg</v>
      </c>
      <c r="AW3655" s="80" t="s">
        <v>19360</v>
      </c>
      <c r="AX3655" s="80" t="s">
        <v>19360</v>
      </c>
      <c r="AY3655" s="77"/>
      <c r="AZ3655" s="80" t="s">
        <v>20380</v>
      </c>
      <c r="BA3655" s="80" t="s">
        <v>20380</v>
      </c>
      <c r="BB3655" s="80" t="s">
        <v>20380</v>
      </c>
      <c r="BC3655" s="80" t="s">
        <v>19360</v>
      </c>
      <c r="BD3655" s="80" t="s">
        <v>21103</v>
      </c>
      <c r="BE3655" s="77"/>
      <c r="BF3655" s="77"/>
      <c r="BG3655" s="77"/>
      <c r="BH3655" s="77"/>
      <c r="BI3655" s="77"/>
    </row>
    <row r="3656" spans="1:61" x14ac:dyDescent="0.25">
      <c r="A3656" s="62" t="s">
        <v>1466</v>
      </c>
      <c r="B3656" s="62" t="s">
        <v>1466</v>
      </c>
      <c r="C3656" s="63"/>
      <c r="D3656" s="64"/>
      <c r="E3656" s="65"/>
      <c r="F3656" s="66"/>
      <c r="G3656" s="63"/>
      <c r="H3656" s="67"/>
      <c r="I3656" s="68"/>
      <c r="J3656" s="68"/>
      <c r="K3656" s="32"/>
      <c r="L3656" s="75">
        <v>3656</v>
      </c>
      <c r="M3656" s="75"/>
      <c r="N3656" s="70"/>
      <c r="O3656" s="77" t="s">
        <v>179</v>
      </c>
      <c r="P3656" s="79">
        <v>45132.792870370373</v>
      </c>
      <c r="Q3656" s="77" t="s">
        <v>5306</v>
      </c>
      <c r="R3656" s="77">
        <v>0</v>
      </c>
      <c r="S3656" s="77">
        <v>2</v>
      </c>
      <c r="T3656" s="77">
        <v>1</v>
      </c>
      <c r="U3656" s="77">
        <v>0</v>
      </c>
      <c r="V3656" s="77">
        <v>56</v>
      </c>
      <c r="W3656" s="80" t="s">
        <v>8163</v>
      </c>
      <c r="X3656" s="83" t="str">
        <f>HYPERLINK("https://www.youtube.com/watch?v=ciJXncwXKq4")</f>
        <v>https://www.youtube.com/watch?v=ciJXncwXKq4</v>
      </c>
      <c r="Y3656" s="77" t="s">
        <v>8612</v>
      </c>
      <c r="Z3656" s="77"/>
      <c r="AA3656" s="77" t="s">
        <v>10232</v>
      </c>
      <c r="AB3656" s="77" t="s">
        <v>10535</v>
      </c>
      <c r="AC3656" s="80" t="s">
        <v>10541</v>
      </c>
      <c r="AD3656" s="77" t="s">
        <v>10617</v>
      </c>
      <c r="AE3656" s="83" t="str">
        <f>HYPERLINK("https://twitter.com/carlitoaraujo13/status/1683915453331038209")</f>
        <v>https://twitter.com/carlitoaraujo13/status/1683915453331038209</v>
      </c>
      <c r="AF3656" s="79">
        <v>45132.792870370373</v>
      </c>
      <c r="AG3656" s="85">
        <v>45132</v>
      </c>
      <c r="AH3656" s="80" t="s">
        <v>13799</v>
      </c>
      <c r="AI3656" s="77" t="b">
        <v>0</v>
      </c>
      <c r="AJ3656" s="77"/>
      <c r="AK3656" s="77"/>
      <c r="AL3656" s="77"/>
      <c r="AM3656" s="77"/>
      <c r="AN3656" s="77"/>
      <c r="AO3656" s="77"/>
      <c r="AP3656" s="77"/>
      <c r="AQ3656" s="77" t="s">
        <v>15712</v>
      </c>
      <c r="AR3656" s="77"/>
      <c r="AS3656" s="77"/>
      <c r="AT3656" s="77"/>
      <c r="AU3656" s="77"/>
      <c r="AV3656" s="83" t="str">
        <f>HYPERLINK("https://pbs.twimg.com/media/F154H3BXoAAfpq-.jpg")</f>
        <v>https://pbs.twimg.com/media/F154H3BXoAAfpq-.jpg</v>
      </c>
      <c r="AW3656" s="80" t="s">
        <v>19361</v>
      </c>
      <c r="AX3656" s="80" t="s">
        <v>19361</v>
      </c>
      <c r="AY3656" s="77"/>
      <c r="AZ3656" s="80" t="s">
        <v>20380</v>
      </c>
      <c r="BA3656" s="80" t="s">
        <v>20380</v>
      </c>
      <c r="BB3656" s="80" t="s">
        <v>20380</v>
      </c>
      <c r="BC3656" s="80" t="s">
        <v>19361</v>
      </c>
      <c r="BD3656" s="80" t="s">
        <v>21103</v>
      </c>
      <c r="BE3656" s="77"/>
      <c r="BF3656" s="77"/>
      <c r="BG3656" s="77"/>
      <c r="BH3656" s="77"/>
      <c r="BI3656" s="77"/>
    </row>
    <row r="3657" spans="1:61" x14ac:dyDescent="0.25">
      <c r="A3657" s="62" t="s">
        <v>1466</v>
      </c>
      <c r="B3657" s="62" t="s">
        <v>1466</v>
      </c>
      <c r="C3657" s="63"/>
      <c r="D3657" s="64"/>
      <c r="E3657" s="65"/>
      <c r="F3657" s="66"/>
      <c r="G3657" s="63"/>
      <c r="H3657" s="67"/>
      <c r="I3657" s="68"/>
      <c r="J3657" s="68"/>
      <c r="K3657" s="32"/>
      <c r="L3657" s="75">
        <v>3657</v>
      </c>
      <c r="M3657" s="75"/>
      <c r="N3657" s="70"/>
      <c r="O3657" s="77" t="s">
        <v>179</v>
      </c>
      <c r="P3657" s="79">
        <v>45106.788182870368</v>
      </c>
      <c r="Q3657" s="77" t="s">
        <v>5307</v>
      </c>
      <c r="R3657" s="77">
        <v>0</v>
      </c>
      <c r="S3657" s="77">
        <v>1</v>
      </c>
      <c r="T3657" s="77">
        <v>0</v>
      </c>
      <c r="U3657" s="77">
        <v>0</v>
      </c>
      <c r="V3657" s="77">
        <v>91</v>
      </c>
      <c r="W3657" s="80" t="s">
        <v>8164</v>
      </c>
      <c r="X3657" s="83" t="str">
        <f>HYPERLINK("https://www.youtube.com/watch?v=0F5Kvq3aR6I")</f>
        <v>https://www.youtube.com/watch?v=0F5Kvq3aR6I</v>
      </c>
      <c r="Y3657" s="77" t="s">
        <v>8612</v>
      </c>
      <c r="Z3657" s="77"/>
      <c r="AA3657" s="77" t="s">
        <v>10233</v>
      </c>
      <c r="AB3657" s="77" t="s">
        <v>10535</v>
      </c>
      <c r="AC3657" s="80" t="s">
        <v>10541</v>
      </c>
      <c r="AD3657" s="77" t="s">
        <v>10617</v>
      </c>
      <c r="AE3657" s="83" t="str">
        <f>HYPERLINK("https://twitter.com/carlitoaraujo13/status/1674491671382224898")</f>
        <v>https://twitter.com/carlitoaraujo13/status/1674491671382224898</v>
      </c>
      <c r="AF3657" s="79">
        <v>45106.788182870368</v>
      </c>
      <c r="AG3657" s="85">
        <v>45106</v>
      </c>
      <c r="AH3657" s="80" t="s">
        <v>13800</v>
      </c>
      <c r="AI3657" s="77" t="b">
        <v>0</v>
      </c>
      <c r="AJ3657" s="77"/>
      <c r="AK3657" s="77"/>
      <c r="AL3657" s="77"/>
      <c r="AM3657" s="77"/>
      <c r="AN3657" s="77"/>
      <c r="AO3657" s="77"/>
      <c r="AP3657" s="77"/>
      <c r="AQ3657" s="77" t="s">
        <v>15713</v>
      </c>
      <c r="AR3657" s="77"/>
      <c r="AS3657" s="77"/>
      <c r="AT3657" s="77"/>
      <c r="AU3657" s="77"/>
      <c r="AV3657" s="83" t="str">
        <f>HYPERLINK("https://pbs.twimg.com/media/Fzz9S8gX0AIUQA-.jpg")</f>
        <v>https://pbs.twimg.com/media/Fzz9S8gX0AIUQA-.jpg</v>
      </c>
      <c r="AW3657" s="80" t="s">
        <v>19362</v>
      </c>
      <c r="AX3657" s="80" t="s">
        <v>19362</v>
      </c>
      <c r="AY3657" s="77"/>
      <c r="AZ3657" s="80" t="s">
        <v>20380</v>
      </c>
      <c r="BA3657" s="80" t="s">
        <v>20380</v>
      </c>
      <c r="BB3657" s="80" t="s">
        <v>20380</v>
      </c>
      <c r="BC3657" s="80" t="s">
        <v>19362</v>
      </c>
      <c r="BD3657" s="80" t="s">
        <v>21103</v>
      </c>
      <c r="BE3657" s="77"/>
      <c r="BF3657" s="77"/>
      <c r="BG3657" s="77"/>
      <c r="BH3657" s="77"/>
      <c r="BI3657" s="77"/>
    </row>
    <row r="3658" spans="1:61" x14ac:dyDescent="0.25">
      <c r="A3658" s="62" t="s">
        <v>1466</v>
      </c>
      <c r="B3658" s="62" t="s">
        <v>1466</v>
      </c>
      <c r="C3658" s="63"/>
      <c r="D3658" s="64"/>
      <c r="E3658" s="65"/>
      <c r="F3658" s="66"/>
      <c r="G3658" s="63"/>
      <c r="H3658" s="67"/>
      <c r="I3658" s="68"/>
      <c r="J3658" s="68"/>
      <c r="K3658" s="32"/>
      <c r="L3658" s="75">
        <v>3658</v>
      </c>
      <c r="M3658" s="75"/>
      <c r="N3658" s="70"/>
      <c r="O3658" s="77" t="s">
        <v>179</v>
      </c>
      <c r="P3658" s="79">
        <v>45094.792719907404</v>
      </c>
      <c r="Q3658" s="77" t="s">
        <v>5308</v>
      </c>
      <c r="R3658" s="77">
        <v>0</v>
      </c>
      <c r="S3658" s="77">
        <v>2</v>
      </c>
      <c r="T3658" s="77">
        <v>0</v>
      </c>
      <c r="U3658" s="77">
        <v>0</v>
      </c>
      <c r="V3658" s="77">
        <v>55</v>
      </c>
      <c r="W3658" s="80" t="s">
        <v>8165</v>
      </c>
      <c r="X3658" s="83" t="str">
        <f>HYPERLINK("https://www.youtube.com/watch?v=oTxuqvpMusg")</f>
        <v>https://www.youtube.com/watch?v=oTxuqvpMusg</v>
      </c>
      <c r="Y3658" s="77" t="s">
        <v>8612</v>
      </c>
      <c r="Z3658" s="77"/>
      <c r="AA3658" s="77" t="s">
        <v>10234</v>
      </c>
      <c r="AB3658" s="77" t="s">
        <v>10535</v>
      </c>
      <c r="AC3658" s="80" t="s">
        <v>10541</v>
      </c>
      <c r="AD3658" s="77" t="s">
        <v>10617</v>
      </c>
      <c r="AE3658" s="83" t="str">
        <f>HYPERLINK("https://twitter.com/carlitoaraujo13/status/1670144659778052099")</f>
        <v>https://twitter.com/carlitoaraujo13/status/1670144659778052099</v>
      </c>
      <c r="AF3658" s="79">
        <v>45094.792719907404</v>
      </c>
      <c r="AG3658" s="85">
        <v>45094</v>
      </c>
      <c r="AH3658" s="80" t="s">
        <v>13801</v>
      </c>
      <c r="AI3658" s="77" t="b">
        <v>0</v>
      </c>
      <c r="AJ3658" s="77"/>
      <c r="AK3658" s="77"/>
      <c r="AL3658" s="77"/>
      <c r="AM3658" s="77"/>
      <c r="AN3658" s="77"/>
      <c r="AO3658" s="77"/>
      <c r="AP3658" s="77"/>
      <c r="AQ3658" s="77" t="s">
        <v>15714</v>
      </c>
      <c r="AR3658" s="77"/>
      <c r="AS3658" s="77"/>
      <c r="AT3658" s="77"/>
      <c r="AU3658" s="77"/>
      <c r="AV3658" s="83" t="str">
        <f>HYPERLINK("https://pbs.twimg.com/media/Fy2Ltq6WYAMKOkX.jpg")</f>
        <v>https://pbs.twimg.com/media/Fy2Ltq6WYAMKOkX.jpg</v>
      </c>
      <c r="AW3658" s="80" t="s">
        <v>19363</v>
      </c>
      <c r="AX3658" s="80" t="s">
        <v>19363</v>
      </c>
      <c r="AY3658" s="77"/>
      <c r="AZ3658" s="80" t="s">
        <v>20380</v>
      </c>
      <c r="BA3658" s="80" t="s">
        <v>20380</v>
      </c>
      <c r="BB3658" s="80" t="s">
        <v>20380</v>
      </c>
      <c r="BC3658" s="80" t="s">
        <v>19363</v>
      </c>
      <c r="BD3658" s="80" t="s">
        <v>21103</v>
      </c>
      <c r="BE3658" s="77"/>
      <c r="BF3658" s="77"/>
      <c r="BG3658" s="77"/>
      <c r="BH3658" s="77"/>
      <c r="BI3658" s="77"/>
    </row>
    <row r="3659" spans="1:61" x14ac:dyDescent="0.25">
      <c r="A3659" s="62" t="s">
        <v>1466</v>
      </c>
      <c r="B3659" s="62" t="s">
        <v>1466</v>
      </c>
      <c r="C3659" s="63"/>
      <c r="D3659" s="64"/>
      <c r="E3659" s="65"/>
      <c r="F3659" s="66"/>
      <c r="G3659" s="63"/>
      <c r="H3659" s="67"/>
      <c r="I3659" s="68"/>
      <c r="J3659" s="68"/>
      <c r="K3659" s="32"/>
      <c r="L3659" s="75">
        <v>3659</v>
      </c>
      <c r="M3659" s="75"/>
      <c r="N3659" s="70"/>
      <c r="O3659" s="77" t="s">
        <v>179</v>
      </c>
      <c r="P3659" s="79">
        <v>45093.795543981483</v>
      </c>
      <c r="Q3659" s="77" t="s">
        <v>5309</v>
      </c>
      <c r="R3659" s="77">
        <v>0</v>
      </c>
      <c r="S3659" s="77">
        <v>1</v>
      </c>
      <c r="T3659" s="77">
        <v>0</v>
      </c>
      <c r="U3659" s="77">
        <v>0</v>
      </c>
      <c r="V3659" s="77">
        <v>136</v>
      </c>
      <c r="W3659" s="80" t="s">
        <v>8166</v>
      </c>
      <c r="X3659" s="83" t="str">
        <f>HYPERLINK("https://www.youtube.com/watch?v=fv5w1T12xOA")</f>
        <v>https://www.youtube.com/watch?v=fv5w1T12xOA</v>
      </c>
      <c r="Y3659" s="77" t="s">
        <v>8612</v>
      </c>
      <c r="Z3659" s="77"/>
      <c r="AA3659" s="77" t="s">
        <v>10235</v>
      </c>
      <c r="AB3659" s="77" t="s">
        <v>10535</v>
      </c>
      <c r="AC3659" s="80" t="s">
        <v>10541</v>
      </c>
      <c r="AD3659" s="77" t="s">
        <v>10617</v>
      </c>
      <c r="AE3659" s="83" t="str">
        <f>HYPERLINK("https://twitter.com/carlitoaraujo13/status/1669783297793073172")</f>
        <v>https://twitter.com/carlitoaraujo13/status/1669783297793073172</v>
      </c>
      <c r="AF3659" s="79">
        <v>45093.795543981483</v>
      </c>
      <c r="AG3659" s="85">
        <v>45093</v>
      </c>
      <c r="AH3659" s="80" t="s">
        <v>13802</v>
      </c>
      <c r="AI3659" s="77" t="b">
        <v>0</v>
      </c>
      <c r="AJ3659" s="77"/>
      <c r="AK3659" s="77"/>
      <c r="AL3659" s="77"/>
      <c r="AM3659" s="77"/>
      <c r="AN3659" s="77"/>
      <c r="AO3659" s="77"/>
      <c r="AP3659" s="77"/>
      <c r="AQ3659" s="77" t="s">
        <v>15715</v>
      </c>
      <c r="AR3659" s="77"/>
      <c r="AS3659" s="77"/>
      <c r="AT3659" s="77"/>
      <c r="AU3659" s="77"/>
      <c r="AV3659" s="83" t="str">
        <f>HYPERLINK("https://pbs.twimg.com/media/FyxDCyDX0AExLrZ.jpg")</f>
        <v>https://pbs.twimg.com/media/FyxDCyDX0AExLrZ.jpg</v>
      </c>
      <c r="AW3659" s="80" t="s">
        <v>19364</v>
      </c>
      <c r="AX3659" s="80" t="s">
        <v>19364</v>
      </c>
      <c r="AY3659" s="77"/>
      <c r="AZ3659" s="80" t="s">
        <v>20380</v>
      </c>
      <c r="BA3659" s="80" t="s">
        <v>20380</v>
      </c>
      <c r="BB3659" s="80" t="s">
        <v>20380</v>
      </c>
      <c r="BC3659" s="80" t="s">
        <v>19364</v>
      </c>
      <c r="BD3659" s="80" t="s">
        <v>21103</v>
      </c>
      <c r="BE3659" s="77"/>
      <c r="BF3659" s="77"/>
      <c r="BG3659" s="77"/>
      <c r="BH3659" s="77"/>
      <c r="BI3659" s="77"/>
    </row>
    <row r="3660" spans="1:61" x14ac:dyDescent="0.25">
      <c r="A3660" s="62" t="s">
        <v>1467</v>
      </c>
      <c r="B3660" s="62" t="s">
        <v>1467</v>
      </c>
      <c r="C3660" s="63"/>
      <c r="D3660" s="64"/>
      <c r="E3660" s="65"/>
      <c r="F3660" s="66"/>
      <c r="G3660" s="63"/>
      <c r="H3660" s="67"/>
      <c r="I3660" s="68"/>
      <c r="J3660" s="68"/>
      <c r="K3660" s="32"/>
      <c r="L3660" s="75">
        <v>3660</v>
      </c>
      <c r="M3660" s="75"/>
      <c r="N3660" s="70"/>
      <c r="O3660" s="77" t="s">
        <v>179</v>
      </c>
      <c r="P3660" s="79">
        <v>45145.93173611111</v>
      </c>
      <c r="Q3660" s="77" t="s">
        <v>5310</v>
      </c>
      <c r="R3660" s="77">
        <v>0</v>
      </c>
      <c r="S3660" s="77">
        <v>0</v>
      </c>
      <c r="T3660" s="77">
        <v>0</v>
      </c>
      <c r="U3660" s="77">
        <v>0</v>
      </c>
      <c r="V3660" s="77">
        <v>17</v>
      </c>
      <c r="W3660" s="80" t="s">
        <v>8167</v>
      </c>
      <c r="X3660" s="83" t="str">
        <f>HYPERLINK("http://www.noticiamais.net")</f>
        <v>http://www.noticiamais.net</v>
      </c>
      <c r="Y3660" s="77" t="s">
        <v>8855</v>
      </c>
      <c r="Z3660" s="77"/>
      <c r="AA3660" s="77"/>
      <c r="AB3660" s="77"/>
      <c r="AC3660" s="80" t="s">
        <v>10611</v>
      </c>
      <c r="AD3660" s="77" t="s">
        <v>10620</v>
      </c>
      <c r="AE3660" s="83" t="str">
        <f>HYPERLINK("https://twitter.com/noticiamaisnet/status/1688676820739334145")</f>
        <v>https://twitter.com/noticiamaisnet/status/1688676820739334145</v>
      </c>
      <c r="AF3660" s="79">
        <v>45145.93173611111</v>
      </c>
      <c r="AG3660" s="85">
        <v>45145</v>
      </c>
      <c r="AH3660" s="80" t="s">
        <v>13803</v>
      </c>
      <c r="AI3660" s="77" t="b">
        <v>0</v>
      </c>
      <c r="AJ3660" s="77"/>
      <c r="AK3660" s="77"/>
      <c r="AL3660" s="77"/>
      <c r="AM3660" s="77"/>
      <c r="AN3660" s="77"/>
      <c r="AO3660" s="77"/>
      <c r="AP3660" s="77"/>
      <c r="AQ3660" s="77"/>
      <c r="AR3660" s="77"/>
      <c r="AS3660" s="77"/>
      <c r="AT3660" s="77"/>
      <c r="AU3660" s="77"/>
      <c r="AV3660" s="83" t="str">
        <f>HYPERLINK("https://pbs.twimg.com/profile_images/1663681025577197569/aO3HNSeA_normal.jpg")</f>
        <v>https://pbs.twimg.com/profile_images/1663681025577197569/aO3HNSeA_normal.jpg</v>
      </c>
      <c r="AW3660" s="80" t="s">
        <v>19365</v>
      </c>
      <c r="AX3660" s="80" t="s">
        <v>19365</v>
      </c>
      <c r="AY3660" s="77"/>
      <c r="AZ3660" s="80" t="s">
        <v>20380</v>
      </c>
      <c r="BA3660" s="80" t="s">
        <v>20380</v>
      </c>
      <c r="BB3660" s="80" t="s">
        <v>20380</v>
      </c>
      <c r="BC3660" s="80" t="s">
        <v>19365</v>
      </c>
      <c r="BD3660" s="80" t="s">
        <v>21104</v>
      </c>
      <c r="BE3660" s="77"/>
      <c r="BF3660" s="77"/>
      <c r="BG3660" s="77"/>
      <c r="BH3660" s="77"/>
      <c r="BI3660" s="77"/>
    </row>
    <row r="3661" spans="1:61" x14ac:dyDescent="0.25">
      <c r="A3661" s="62" t="s">
        <v>1468</v>
      </c>
      <c r="B3661" s="62" t="s">
        <v>1468</v>
      </c>
      <c r="C3661" s="63"/>
      <c r="D3661" s="64"/>
      <c r="E3661" s="65"/>
      <c r="F3661" s="66"/>
      <c r="G3661" s="63"/>
      <c r="H3661" s="67"/>
      <c r="I3661" s="68"/>
      <c r="J3661" s="68"/>
      <c r="K3661" s="32"/>
      <c r="L3661" s="75">
        <v>3661</v>
      </c>
      <c r="M3661" s="75"/>
      <c r="N3661" s="70"/>
      <c r="O3661" s="77" t="s">
        <v>179</v>
      </c>
      <c r="P3661" s="79">
        <v>45049.91302083333</v>
      </c>
      <c r="Q3661" s="77" t="s">
        <v>5311</v>
      </c>
      <c r="R3661" s="77">
        <v>1135</v>
      </c>
      <c r="S3661" s="77">
        <v>4788</v>
      </c>
      <c r="T3661" s="77">
        <v>2314</v>
      </c>
      <c r="U3661" s="77">
        <v>233</v>
      </c>
      <c r="V3661" s="77">
        <v>257741</v>
      </c>
      <c r="W3661" s="77"/>
      <c r="X3661" s="77"/>
      <c r="Y3661" s="77"/>
      <c r="Z3661" s="77"/>
      <c r="AA3661" s="77"/>
      <c r="AB3661" s="77"/>
      <c r="AC3661" s="80" t="s">
        <v>10542</v>
      </c>
      <c r="AD3661" s="77" t="s">
        <v>10617</v>
      </c>
      <c r="AE3661" s="83" t="str">
        <f>HYPERLINK("https://twitter.com/gleisi/status/1653880802336276480")</f>
        <v>https://twitter.com/gleisi/status/1653880802336276480</v>
      </c>
      <c r="AF3661" s="79">
        <v>45049.91302083333</v>
      </c>
      <c r="AG3661" s="85">
        <v>45049</v>
      </c>
      <c r="AH3661" s="80" t="s">
        <v>13804</v>
      </c>
      <c r="AI3661" s="77"/>
      <c r="AJ3661" s="77" t="s">
        <v>14354</v>
      </c>
      <c r="AK3661" s="77" t="s">
        <v>14382</v>
      </c>
      <c r="AL3661" s="77" t="s">
        <v>14391</v>
      </c>
      <c r="AM3661" s="77" t="s">
        <v>14411</v>
      </c>
      <c r="AN3661" s="77" t="s">
        <v>14451</v>
      </c>
      <c r="AO3661" s="77" t="s">
        <v>14490</v>
      </c>
      <c r="AP3661" s="77" t="s">
        <v>14516</v>
      </c>
      <c r="AQ3661" s="77"/>
      <c r="AR3661" s="77"/>
      <c r="AS3661" s="77"/>
      <c r="AT3661" s="77"/>
      <c r="AU3661" s="77"/>
      <c r="AV3661" s="83" t="str">
        <f>HYPERLINK("https://pbs.twimg.com/profile_images/1630729958262800384/OLQagmRR_normal.jpg")</f>
        <v>https://pbs.twimg.com/profile_images/1630729958262800384/OLQagmRR_normal.jpg</v>
      </c>
      <c r="AW3661" s="80" t="s">
        <v>19366</v>
      </c>
      <c r="AX3661" s="80" t="s">
        <v>19366</v>
      </c>
      <c r="AY3661" s="77"/>
      <c r="AZ3661" s="80" t="s">
        <v>20380</v>
      </c>
      <c r="BA3661" s="80" t="s">
        <v>20380</v>
      </c>
      <c r="BB3661" s="80" t="s">
        <v>20380</v>
      </c>
      <c r="BC3661" s="80" t="s">
        <v>19366</v>
      </c>
      <c r="BD3661" s="77">
        <v>31139434</v>
      </c>
      <c r="BE3661" s="77"/>
      <c r="BF3661" s="77"/>
      <c r="BG3661" s="77"/>
      <c r="BH3661" s="77"/>
      <c r="BI3661" s="77"/>
    </row>
    <row r="3662" spans="1:61" x14ac:dyDescent="0.25">
      <c r="A3662" s="62" t="s">
        <v>1468</v>
      </c>
      <c r="B3662" s="62" t="s">
        <v>1468</v>
      </c>
      <c r="C3662" s="63"/>
      <c r="D3662" s="64"/>
      <c r="E3662" s="65"/>
      <c r="F3662" s="66"/>
      <c r="G3662" s="63"/>
      <c r="H3662" s="67"/>
      <c r="I3662" s="68"/>
      <c r="J3662" s="68"/>
      <c r="K3662" s="32"/>
      <c r="L3662" s="75">
        <v>3662</v>
      </c>
      <c r="M3662" s="75"/>
      <c r="N3662" s="70"/>
      <c r="O3662" s="77" t="s">
        <v>179</v>
      </c>
      <c r="P3662" s="79">
        <v>45128.032685185186</v>
      </c>
      <c r="Q3662" s="77" t="s">
        <v>5312</v>
      </c>
      <c r="R3662" s="77">
        <v>2043</v>
      </c>
      <c r="S3662" s="77">
        <v>8284</v>
      </c>
      <c r="T3662" s="77">
        <v>1662</v>
      </c>
      <c r="U3662" s="77">
        <v>226</v>
      </c>
      <c r="V3662" s="77">
        <v>219102</v>
      </c>
      <c r="W3662" s="77"/>
      <c r="X3662" s="77"/>
      <c r="Y3662" s="77"/>
      <c r="Z3662" s="77"/>
      <c r="AA3662" s="77"/>
      <c r="AB3662" s="77"/>
      <c r="AC3662" s="80" t="s">
        <v>10542</v>
      </c>
      <c r="AD3662" s="77" t="s">
        <v>10617</v>
      </c>
      <c r="AE3662" s="83" t="str">
        <f>HYPERLINK("https://twitter.com/gleisi/status/1682190420908843013")</f>
        <v>https://twitter.com/gleisi/status/1682190420908843013</v>
      </c>
      <c r="AF3662" s="79">
        <v>45128.032685185186</v>
      </c>
      <c r="AG3662" s="85">
        <v>45128</v>
      </c>
      <c r="AH3662" s="80" t="s">
        <v>13805</v>
      </c>
      <c r="AI3662" s="77"/>
      <c r="AJ3662" s="77"/>
      <c r="AK3662" s="77"/>
      <c r="AL3662" s="77"/>
      <c r="AM3662" s="77"/>
      <c r="AN3662" s="77"/>
      <c r="AO3662" s="77"/>
      <c r="AP3662" s="77"/>
      <c r="AQ3662" s="77"/>
      <c r="AR3662" s="77"/>
      <c r="AS3662" s="77"/>
      <c r="AT3662" s="77"/>
      <c r="AU3662" s="77"/>
      <c r="AV3662" s="83" t="str">
        <f>HYPERLINK("https://pbs.twimg.com/profile_images/1630729958262800384/OLQagmRR_normal.jpg")</f>
        <v>https://pbs.twimg.com/profile_images/1630729958262800384/OLQagmRR_normal.jpg</v>
      </c>
      <c r="AW3662" s="80" t="s">
        <v>19367</v>
      </c>
      <c r="AX3662" s="80" t="s">
        <v>19367</v>
      </c>
      <c r="AY3662" s="77"/>
      <c r="AZ3662" s="80" t="s">
        <v>20380</v>
      </c>
      <c r="BA3662" s="80" t="s">
        <v>20380</v>
      </c>
      <c r="BB3662" s="80" t="s">
        <v>20380</v>
      </c>
      <c r="BC3662" s="80" t="s">
        <v>19367</v>
      </c>
      <c r="BD3662" s="77">
        <v>31139434</v>
      </c>
      <c r="BE3662" s="77"/>
      <c r="BF3662" s="77"/>
      <c r="BG3662" s="77"/>
      <c r="BH3662" s="77"/>
      <c r="BI3662" s="77"/>
    </row>
    <row r="3663" spans="1:61" x14ac:dyDescent="0.25">
      <c r="A3663" s="62" t="s">
        <v>1469</v>
      </c>
      <c r="B3663" s="62" t="s">
        <v>1468</v>
      </c>
      <c r="C3663" s="63"/>
      <c r="D3663" s="64"/>
      <c r="E3663" s="65"/>
      <c r="F3663" s="66"/>
      <c r="G3663" s="63"/>
      <c r="H3663" s="67"/>
      <c r="I3663" s="68"/>
      <c r="J3663" s="68"/>
      <c r="K3663" s="32"/>
      <c r="L3663" s="75">
        <v>3663</v>
      </c>
      <c r="M3663" s="75"/>
      <c r="N3663" s="70"/>
      <c r="O3663" s="77" t="s">
        <v>2084</v>
      </c>
      <c r="P3663" s="79">
        <v>45050.498564814814</v>
      </c>
      <c r="Q3663" s="77" t="s">
        <v>5313</v>
      </c>
      <c r="R3663" s="77">
        <v>0</v>
      </c>
      <c r="S3663" s="77">
        <v>0</v>
      </c>
      <c r="T3663" s="77">
        <v>0</v>
      </c>
      <c r="U3663" s="77">
        <v>0</v>
      </c>
      <c r="V3663" s="77">
        <v>11</v>
      </c>
      <c r="W3663" s="80" t="s">
        <v>8168</v>
      </c>
      <c r="X3663" s="77"/>
      <c r="Y3663" s="77"/>
      <c r="Z3663" s="77" t="s">
        <v>1468</v>
      </c>
      <c r="AA3663" s="77"/>
      <c r="AB3663" s="77"/>
      <c r="AC3663" s="80" t="s">
        <v>10540</v>
      </c>
      <c r="AD3663" s="77" t="s">
        <v>10617</v>
      </c>
      <c r="AE3663" s="83" t="str">
        <f>HYPERLINK("https://twitter.com/nsjunior4/status/1654092994335719424")</f>
        <v>https://twitter.com/nsjunior4/status/1654092994335719424</v>
      </c>
      <c r="AF3663" s="79">
        <v>45050.498564814814</v>
      </c>
      <c r="AG3663" s="85">
        <v>45050</v>
      </c>
      <c r="AH3663" s="80" t="s">
        <v>13806</v>
      </c>
      <c r="AI3663" s="77"/>
      <c r="AJ3663" s="77"/>
      <c r="AK3663" s="77"/>
      <c r="AL3663" s="77"/>
      <c r="AM3663" s="77"/>
      <c r="AN3663" s="77"/>
      <c r="AO3663" s="77"/>
      <c r="AP3663" s="77"/>
      <c r="AQ3663" s="77"/>
      <c r="AR3663" s="77"/>
      <c r="AS3663" s="77"/>
      <c r="AT3663" s="77"/>
      <c r="AU3663" s="77"/>
      <c r="AV3663" s="83" t="str">
        <f>HYPERLINK("https://pbs.twimg.com/profile_images/1522558896702902280/3_ACNBR__normal.jpg")</f>
        <v>https://pbs.twimg.com/profile_images/1522558896702902280/3_ACNBR__normal.jpg</v>
      </c>
      <c r="AW3663" s="80" t="s">
        <v>19368</v>
      </c>
      <c r="AX3663" s="80" t="s">
        <v>19368</v>
      </c>
      <c r="AY3663" s="77"/>
      <c r="AZ3663" s="80" t="s">
        <v>20380</v>
      </c>
      <c r="BA3663" s="80" t="s">
        <v>19366</v>
      </c>
      <c r="BB3663" s="80" t="s">
        <v>20380</v>
      </c>
      <c r="BC3663" s="80" t="s">
        <v>19366</v>
      </c>
      <c r="BD3663" s="80" t="s">
        <v>21105</v>
      </c>
      <c r="BE3663" s="77"/>
      <c r="BF3663" s="77"/>
      <c r="BG3663" s="77"/>
      <c r="BH3663" s="77"/>
      <c r="BI3663" s="77"/>
    </row>
    <row r="3664" spans="1:61" x14ac:dyDescent="0.25">
      <c r="A3664" s="62" t="s">
        <v>1469</v>
      </c>
      <c r="B3664" s="62" t="s">
        <v>1468</v>
      </c>
      <c r="C3664" s="63"/>
      <c r="D3664" s="64"/>
      <c r="E3664" s="65"/>
      <c r="F3664" s="66"/>
      <c r="G3664" s="63"/>
      <c r="H3664" s="67"/>
      <c r="I3664" s="68"/>
      <c r="J3664" s="68"/>
      <c r="K3664" s="32"/>
      <c r="L3664" s="75">
        <v>3664</v>
      </c>
      <c r="M3664" s="75"/>
      <c r="N3664" s="70"/>
      <c r="O3664" s="77" t="s">
        <v>2082</v>
      </c>
      <c r="P3664" s="79">
        <v>45050.498564814814</v>
      </c>
      <c r="Q3664" s="77" t="s">
        <v>5313</v>
      </c>
      <c r="R3664" s="77">
        <v>0</v>
      </c>
      <c r="S3664" s="77">
        <v>0</v>
      </c>
      <c r="T3664" s="77">
        <v>0</v>
      </c>
      <c r="U3664" s="77">
        <v>0</v>
      </c>
      <c r="V3664" s="77">
        <v>11</v>
      </c>
      <c r="W3664" s="80" t="s">
        <v>8168</v>
      </c>
      <c r="X3664" s="77"/>
      <c r="Y3664" s="77"/>
      <c r="Z3664" s="77" t="s">
        <v>1468</v>
      </c>
      <c r="AA3664" s="77"/>
      <c r="AB3664" s="77"/>
      <c r="AC3664" s="80" t="s">
        <v>10540</v>
      </c>
      <c r="AD3664" s="77" t="s">
        <v>10617</v>
      </c>
      <c r="AE3664" s="83" t="str">
        <f>HYPERLINK("https://twitter.com/nsjunior4/status/1654092994335719424")</f>
        <v>https://twitter.com/nsjunior4/status/1654092994335719424</v>
      </c>
      <c r="AF3664" s="79">
        <v>45050.498564814814</v>
      </c>
      <c r="AG3664" s="85">
        <v>45050</v>
      </c>
      <c r="AH3664" s="80" t="s">
        <v>13806</v>
      </c>
      <c r="AI3664" s="77"/>
      <c r="AJ3664" s="77"/>
      <c r="AK3664" s="77"/>
      <c r="AL3664" s="77"/>
      <c r="AM3664" s="77"/>
      <c r="AN3664" s="77"/>
      <c r="AO3664" s="77"/>
      <c r="AP3664" s="77"/>
      <c r="AQ3664" s="77"/>
      <c r="AR3664" s="77"/>
      <c r="AS3664" s="77"/>
      <c r="AT3664" s="77"/>
      <c r="AU3664" s="77"/>
      <c r="AV3664" s="83" t="str">
        <f>HYPERLINK("https://pbs.twimg.com/profile_images/1522558896702902280/3_ACNBR__normal.jpg")</f>
        <v>https://pbs.twimg.com/profile_images/1522558896702902280/3_ACNBR__normal.jpg</v>
      </c>
      <c r="AW3664" s="80" t="s">
        <v>19368</v>
      </c>
      <c r="AX3664" s="80" t="s">
        <v>19368</v>
      </c>
      <c r="AY3664" s="77"/>
      <c r="AZ3664" s="80" t="s">
        <v>20380</v>
      </c>
      <c r="BA3664" s="80" t="s">
        <v>19366</v>
      </c>
      <c r="BB3664" s="80" t="s">
        <v>20380</v>
      </c>
      <c r="BC3664" s="80" t="s">
        <v>19366</v>
      </c>
      <c r="BD3664" s="80" t="s">
        <v>21105</v>
      </c>
      <c r="BE3664" s="77"/>
      <c r="BF3664" s="77"/>
      <c r="BG3664" s="77"/>
      <c r="BH3664" s="77"/>
      <c r="BI3664" s="77"/>
    </row>
    <row r="3665" spans="1:61" x14ac:dyDescent="0.25">
      <c r="A3665" s="62" t="s">
        <v>1470</v>
      </c>
      <c r="B3665" s="62" t="s">
        <v>1470</v>
      </c>
      <c r="C3665" s="63"/>
      <c r="D3665" s="64"/>
      <c r="E3665" s="65"/>
      <c r="F3665" s="66"/>
      <c r="G3665" s="63"/>
      <c r="H3665" s="67"/>
      <c r="I3665" s="68"/>
      <c r="J3665" s="68"/>
      <c r="K3665" s="32"/>
      <c r="L3665" s="75">
        <v>3665</v>
      </c>
      <c r="M3665" s="75"/>
      <c r="N3665" s="70"/>
      <c r="O3665" s="77" t="s">
        <v>179</v>
      </c>
      <c r="P3665" s="79">
        <v>45188.520601851851</v>
      </c>
      <c r="Q3665" s="77" t="s">
        <v>5314</v>
      </c>
      <c r="R3665" s="77">
        <v>0</v>
      </c>
      <c r="S3665" s="77">
        <v>0</v>
      </c>
      <c r="T3665" s="77">
        <v>0</v>
      </c>
      <c r="U3665" s="77">
        <v>0</v>
      </c>
      <c r="V3665" s="77">
        <v>1047</v>
      </c>
      <c r="W3665" s="80" t="s">
        <v>8169</v>
      </c>
      <c r="X3665" s="83" t="str">
        <f>HYPERLINK("https://www.youtube.com/watch?v=Cxzjd9BspeE&amp;t=12s")</f>
        <v>https://www.youtube.com/watch?v=Cxzjd9BspeE&amp;t=12s</v>
      </c>
      <c r="Y3665" s="77" t="s">
        <v>8612</v>
      </c>
      <c r="Z3665" s="77"/>
      <c r="AA3665" s="77"/>
      <c r="AB3665" s="77"/>
      <c r="AC3665" s="80" t="s">
        <v>10541</v>
      </c>
      <c r="AD3665" s="77" t="s">
        <v>10617</v>
      </c>
      <c r="AE3665" s="83" t="str">
        <f>HYPERLINK("https://twitter.com/investingbrasil/status/1704110505764253888")</f>
        <v>https://twitter.com/investingbrasil/status/1704110505764253888</v>
      </c>
      <c r="AF3665" s="79">
        <v>45188.520601851851</v>
      </c>
      <c r="AG3665" s="85">
        <v>45188</v>
      </c>
      <c r="AH3665" s="80" t="s">
        <v>13807</v>
      </c>
      <c r="AI3665" s="77" t="b">
        <v>0</v>
      </c>
      <c r="AJ3665" s="77"/>
      <c r="AK3665" s="77"/>
      <c r="AL3665" s="77"/>
      <c r="AM3665" s="77"/>
      <c r="AN3665" s="77"/>
      <c r="AO3665" s="77"/>
      <c r="AP3665" s="77"/>
      <c r="AQ3665" s="77"/>
      <c r="AR3665" s="77"/>
      <c r="AS3665" s="77"/>
      <c r="AT3665" s="77"/>
      <c r="AU3665" s="77"/>
      <c r="AV3665" s="83" t="str">
        <f>HYPERLINK("https://pbs.twimg.com/profile_images/1108337112351469570/vkooDg2x_normal.png")</f>
        <v>https://pbs.twimg.com/profile_images/1108337112351469570/vkooDg2x_normal.png</v>
      </c>
      <c r="AW3665" s="80" t="s">
        <v>19369</v>
      </c>
      <c r="AX3665" s="80" t="s">
        <v>19369</v>
      </c>
      <c r="AY3665" s="77"/>
      <c r="AZ3665" s="80" t="s">
        <v>20380</v>
      </c>
      <c r="BA3665" s="80" t="s">
        <v>20380</v>
      </c>
      <c r="BB3665" s="80" t="s">
        <v>20380</v>
      </c>
      <c r="BC3665" s="80" t="s">
        <v>19369</v>
      </c>
      <c r="BD3665" s="77">
        <v>49292227</v>
      </c>
      <c r="BE3665" s="77"/>
      <c r="BF3665" s="77"/>
      <c r="BG3665" s="77"/>
      <c r="BH3665" s="77"/>
      <c r="BI3665" s="77"/>
    </row>
    <row r="3666" spans="1:61" x14ac:dyDescent="0.25">
      <c r="A3666" s="62" t="s">
        <v>1470</v>
      </c>
      <c r="B3666" s="62" t="s">
        <v>1470</v>
      </c>
      <c r="C3666" s="63"/>
      <c r="D3666" s="64"/>
      <c r="E3666" s="65"/>
      <c r="F3666" s="66"/>
      <c r="G3666" s="63"/>
      <c r="H3666" s="67"/>
      <c r="I3666" s="68"/>
      <c r="J3666" s="68"/>
      <c r="K3666" s="32"/>
      <c r="L3666" s="75">
        <v>3666</v>
      </c>
      <c r="M3666" s="75"/>
      <c r="N3666" s="70"/>
      <c r="O3666" s="77" t="s">
        <v>179</v>
      </c>
      <c r="P3666" s="79">
        <v>45127.482187499998</v>
      </c>
      <c r="Q3666" s="77" t="s">
        <v>5315</v>
      </c>
      <c r="R3666" s="77">
        <v>1</v>
      </c>
      <c r="S3666" s="77">
        <v>2</v>
      </c>
      <c r="T3666" s="77">
        <v>0</v>
      </c>
      <c r="U3666" s="77">
        <v>1</v>
      </c>
      <c r="V3666" s="77">
        <v>1667</v>
      </c>
      <c r="W3666" s="80" t="s">
        <v>8170</v>
      </c>
      <c r="X3666" s="83" t="str">
        <f>HYPERLINK("https://br.investing.com/economic-calendar/")</f>
        <v>https://br.investing.com/economic-calendar/</v>
      </c>
      <c r="Y3666" s="77" t="s">
        <v>8720</v>
      </c>
      <c r="Z3666" s="77"/>
      <c r="AA3666" s="77" t="s">
        <v>10236</v>
      </c>
      <c r="AB3666" s="77" t="s">
        <v>10535</v>
      </c>
      <c r="AC3666" s="80" t="s">
        <v>10541</v>
      </c>
      <c r="AD3666" s="77" t="s">
        <v>10617</v>
      </c>
      <c r="AE3666" s="83" t="str">
        <f>HYPERLINK("https://twitter.com/investingbrasil/status/1681990926179131395")</f>
        <v>https://twitter.com/investingbrasil/status/1681990926179131395</v>
      </c>
      <c r="AF3666" s="79">
        <v>45127.482187499998</v>
      </c>
      <c r="AG3666" s="85">
        <v>45127</v>
      </c>
      <c r="AH3666" s="80" t="s">
        <v>13808</v>
      </c>
      <c r="AI3666" s="77" t="b">
        <v>0</v>
      </c>
      <c r="AJ3666" s="77"/>
      <c r="AK3666" s="77"/>
      <c r="AL3666" s="77"/>
      <c r="AM3666" s="77"/>
      <c r="AN3666" s="77"/>
      <c r="AO3666" s="77"/>
      <c r="AP3666" s="77"/>
      <c r="AQ3666" s="77" t="s">
        <v>15716</v>
      </c>
      <c r="AR3666" s="77"/>
      <c r="AS3666" s="77"/>
      <c r="AT3666" s="77"/>
      <c r="AU3666" s="77"/>
      <c r="AV3666" s="83" t="str">
        <f>HYPERLINK("https://pbs.twimg.com/media/F1efyYzWAAE8MpP.jpg")</f>
        <v>https://pbs.twimg.com/media/F1efyYzWAAE8MpP.jpg</v>
      </c>
      <c r="AW3666" s="80" t="s">
        <v>19370</v>
      </c>
      <c r="AX3666" s="80" t="s">
        <v>19370</v>
      </c>
      <c r="AY3666" s="77"/>
      <c r="AZ3666" s="80" t="s">
        <v>20380</v>
      </c>
      <c r="BA3666" s="80" t="s">
        <v>20380</v>
      </c>
      <c r="BB3666" s="80" t="s">
        <v>20380</v>
      </c>
      <c r="BC3666" s="80" t="s">
        <v>19370</v>
      </c>
      <c r="BD3666" s="77">
        <v>49292227</v>
      </c>
      <c r="BE3666" s="77"/>
      <c r="BF3666" s="77"/>
      <c r="BG3666" s="77"/>
      <c r="BH3666" s="77"/>
      <c r="BI3666" s="77"/>
    </row>
    <row r="3667" spans="1:61" x14ac:dyDescent="0.25">
      <c r="A3667" s="62" t="s">
        <v>1471</v>
      </c>
      <c r="B3667" s="62" t="s">
        <v>1471</v>
      </c>
      <c r="C3667" s="63"/>
      <c r="D3667" s="64"/>
      <c r="E3667" s="65"/>
      <c r="F3667" s="66"/>
      <c r="G3667" s="63"/>
      <c r="H3667" s="67"/>
      <c r="I3667" s="68"/>
      <c r="J3667" s="68"/>
      <c r="K3667" s="32"/>
      <c r="L3667" s="75">
        <v>3667</v>
      </c>
      <c r="M3667" s="75"/>
      <c r="N3667" s="70"/>
      <c r="O3667" s="77" t="s">
        <v>179</v>
      </c>
      <c r="P3667" s="79">
        <v>45098.551701388889</v>
      </c>
      <c r="Q3667" s="77" t="s">
        <v>5316</v>
      </c>
      <c r="R3667" s="77">
        <v>0</v>
      </c>
      <c r="S3667" s="77">
        <v>0</v>
      </c>
      <c r="T3667" s="77">
        <v>0</v>
      </c>
      <c r="U3667" s="77">
        <v>0</v>
      </c>
      <c r="V3667" s="77">
        <v>24</v>
      </c>
      <c r="W3667" s="80" t="s">
        <v>8171</v>
      </c>
      <c r="X3667" s="77"/>
      <c r="Y3667" s="77"/>
      <c r="Z3667" s="77"/>
      <c r="AA3667" s="77"/>
      <c r="AB3667" s="77"/>
      <c r="AC3667" s="80" t="s">
        <v>10541</v>
      </c>
      <c r="AD3667" s="77" t="s">
        <v>10620</v>
      </c>
      <c r="AE3667" s="83" t="str">
        <f>HYPERLINK("https://twitter.com/contadorup/status/1671506868252946432")</f>
        <v>https://twitter.com/contadorup/status/1671506868252946432</v>
      </c>
      <c r="AF3667" s="79">
        <v>45098.551701388889</v>
      </c>
      <c r="AG3667" s="85">
        <v>45098</v>
      </c>
      <c r="AH3667" s="80" t="s">
        <v>13809</v>
      </c>
      <c r="AI3667" s="77"/>
      <c r="AJ3667" s="77"/>
      <c r="AK3667" s="77"/>
      <c r="AL3667" s="77"/>
      <c r="AM3667" s="77"/>
      <c r="AN3667" s="77"/>
      <c r="AO3667" s="77"/>
      <c r="AP3667" s="77"/>
      <c r="AQ3667" s="77"/>
      <c r="AR3667" s="77"/>
      <c r="AS3667" s="77"/>
      <c r="AT3667" s="77"/>
      <c r="AU3667" s="77"/>
      <c r="AV3667" s="83" t="str">
        <f>HYPERLINK("https://pbs.twimg.com/profile_images/1061002629080403969/alJOu_k4_normal.jpg")</f>
        <v>https://pbs.twimg.com/profile_images/1061002629080403969/alJOu_k4_normal.jpg</v>
      </c>
      <c r="AW3667" s="80" t="s">
        <v>19371</v>
      </c>
      <c r="AX3667" s="80" t="s">
        <v>19371</v>
      </c>
      <c r="AY3667" s="77"/>
      <c r="AZ3667" s="80" t="s">
        <v>20380</v>
      </c>
      <c r="BA3667" s="80" t="s">
        <v>20380</v>
      </c>
      <c r="BB3667" s="80" t="s">
        <v>20380</v>
      </c>
      <c r="BC3667" s="80" t="s">
        <v>19371</v>
      </c>
      <c r="BD3667" s="77">
        <v>601296014</v>
      </c>
      <c r="BE3667" s="77"/>
      <c r="BF3667" s="77"/>
      <c r="BG3667" s="77"/>
      <c r="BH3667" s="77"/>
      <c r="BI3667" s="77"/>
    </row>
    <row r="3668" spans="1:61" x14ac:dyDescent="0.25">
      <c r="A3668" s="62" t="s">
        <v>1472</v>
      </c>
      <c r="B3668" s="62" t="s">
        <v>1472</v>
      </c>
      <c r="C3668" s="63"/>
      <c r="D3668" s="64"/>
      <c r="E3668" s="65"/>
      <c r="F3668" s="66"/>
      <c r="G3668" s="63"/>
      <c r="H3668" s="67"/>
      <c r="I3668" s="68"/>
      <c r="J3668" s="68"/>
      <c r="K3668" s="32"/>
      <c r="L3668" s="75">
        <v>3668</v>
      </c>
      <c r="M3668" s="75"/>
      <c r="N3668" s="70"/>
      <c r="O3668" s="77" t="s">
        <v>179</v>
      </c>
      <c r="P3668" s="79">
        <v>45099.572060185186</v>
      </c>
      <c r="Q3668" s="77" t="s">
        <v>5317</v>
      </c>
      <c r="R3668" s="77">
        <v>1</v>
      </c>
      <c r="S3668" s="77">
        <v>1</v>
      </c>
      <c r="T3668" s="77">
        <v>0</v>
      </c>
      <c r="U3668" s="77">
        <v>0</v>
      </c>
      <c r="V3668" s="77">
        <v>34</v>
      </c>
      <c r="W3668" s="80" t="s">
        <v>8172</v>
      </c>
      <c r="X3668" s="83" t="str">
        <f>HYPERLINK("https://x.gd/EIjYl")</f>
        <v>https://x.gd/EIjYl</v>
      </c>
      <c r="Y3668" s="77" t="s">
        <v>8777</v>
      </c>
      <c r="Z3668" s="77"/>
      <c r="AA3668" s="77" t="s">
        <v>10237</v>
      </c>
      <c r="AB3668" s="77" t="s">
        <v>10535</v>
      </c>
      <c r="AC3668" s="80" t="s">
        <v>10541</v>
      </c>
      <c r="AD3668" s="77" t="s">
        <v>10617</v>
      </c>
      <c r="AE3668" s="83" t="str">
        <f>HYPERLINK("https://twitter.com/seebumuarama/status/1671876634369216512")</f>
        <v>https://twitter.com/seebumuarama/status/1671876634369216512</v>
      </c>
      <c r="AF3668" s="79">
        <v>45099.572060185186</v>
      </c>
      <c r="AG3668" s="85">
        <v>45099</v>
      </c>
      <c r="AH3668" s="80" t="s">
        <v>13810</v>
      </c>
      <c r="AI3668" s="77" t="b">
        <v>0</v>
      </c>
      <c r="AJ3668" s="77"/>
      <c r="AK3668" s="77"/>
      <c r="AL3668" s="77"/>
      <c r="AM3668" s="77"/>
      <c r="AN3668" s="77"/>
      <c r="AO3668" s="77"/>
      <c r="AP3668" s="77"/>
      <c r="AQ3668" s="77" t="s">
        <v>15717</v>
      </c>
      <c r="AR3668" s="77"/>
      <c r="AS3668" s="77"/>
      <c r="AT3668" s="77"/>
      <c r="AU3668" s="77"/>
      <c r="AV3668" s="83" t="str">
        <f>HYPERLINK("https://pbs.twimg.com/media/FzOx1BCaQAgXadE.jpg")</f>
        <v>https://pbs.twimg.com/media/FzOx1BCaQAgXadE.jpg</v>
      </c>
      <c r="AW3668" s="80" t="s">
        <v>19372</v>
      </c>
      <c r="AX3668" s="80" t="s">
        <v>19372</v>
      </c>
      <c r="AY3668" s="77"/>
      <c r="AZ3668" s="80" t="s">
        <v>20380</v>
      </c>
      <c r="BA3668" s="80" t="s">
        <v>20380</v>
      </c>
      <c r="BB3668" s="80" t="s">
        <v>20380</v>
      </c>
      <c r="BC3668" s="80" t="s">
        <v>19372</v>
      </c>
      <c r="BD3668" s="80" t="s">
        <v>21106</v>
      </c>
      <c r="BE3668" s="77"/>
      <c r="BF3668" s="77"/>
      <c r="BG3668" s="77"/>
      <c r="BH3668" s="77"/>
      <c r="BI3668" s="77"/>
    </row>
    <row r="3669" spans="1:61" x14ac:dyDescent="0.25">
      <c r="A3669" s="62" t="s">
        <v>1472</v>
      </c>
      <c r="B3669" s="62" t="s">
        <v>1472</v>
      </c>
      <c r="C3669" s="63"/>
      <c r="D3669" s="64"/>
      <c r="E3669" s="65"/>
      <c r="F3669" s="66"/>
      <c r="G3669" s="63"/>
      <c r="H3669" s="67"/>
      <c r="I3669" s="68"/>
      <c r="J3669" s="68"/>
      <c r="K3669" s="32"/>
      <c r="L3669" s="75">
        <v>3669</v>
      </c>
      <c r="M3669" s="75"/>
      <c r="N3669" s="70"/>
      <c r="O3669" s="77" t="s">
        <v>179</v>
      </c>
      <c r="P3669" s="79">
        <v>45084.752025462964</v>
      </c>
      <c r="Q3669" s="77" t="s">
        <v>5318</v>
      </c>
      <c r="R3669" s="77">
        <v>0</v>
      </c>
      <c r="S3669" s="77">
        <v>0</v>
      </c>
      <c r="T3669" s="77">
        <v>0</v>
      </c>
      <c r="U3669" s="77">
        <v>0</v>
      </c>
      <c r="V3669" s="77">
        <v>32</v>
      </c>
      <c r="W3669" s="80" t="s">
        <v>8173</v>
      </c>
      <c r="X3669" s="83" t="str">
        <f>HYPERLINK("https://shre.ink/Hu63")</f>
        <v>https://shre.ink/Hu63</v>
      </c>
      <c r="Y3669" s="77" t="s">
        <v>8666</v>
      </c>
      <c r="Z3669" s="77"/>
      <c r="AA3669" s="77" t="s">
        <v>10238</v>
      </c>
      <c r="AB3669" s="77" t="s">
        <v>10535</v>
      </c>
      <c r="AC3669" s="80" t="s">
        <v>10541</v>
      </c>
      <c r="AD3669" s="77" t="s">
        <v>10617</v>
      </c>
      <c r="AE3669" s="83" t="str">
        <f>HYPERLINK("https://twitter.com/seebumuarama/status/1666506032900718594")</f>
        <v>https://twitter.com/seebumuarama/status/1666506032900718594</v>
      </c>
      <c r="AF3669" s="79">
        <v>45084.752025462964</v>
      </c>
      <c r="AG3669" s="85">
        <v>45084</v>
      </c>
      <c r="AH3669" s="80" t="s">
        <v>13811</v>
      </c>
      <c r="AI3669" s="77" t="b">
        <v>0</v>
      </c>
      <c r="AJ3669" s="77"/>
      <c r="AK3669" s="77"/>
      <c r="AL3669" s="77"/>
      <c r="AM3669" s="77"/>
      <c r="AN3669" s="77"/>
      <c r="AO3669" s="77"/>
      <c r="AP3669" s="77"/>
      <c r="AQ3669" s="77" t="s">
        <v>15718</v>
      </c>
      <c r="AR3669" s="77"/>
      <c r="AS3669" s="77"/>
      <c r="AT3669" s="77"/>
      <c r="AU3669" s="77"/>
      <c r="AV3669" s="83" t="str">
        <f>HYPERLINK("https://pbs.twimg.com/media/FyCeEX-XsAEtHKh.jpg")</f>
        <v>https://pbs.twimg.com/media/FyCeEX-XsAEtHKh.jpg</v>
      </c>
      <c r="AW3669" s="80" t="s">
        <v>19373</v>
      </c>
      <c r="AX3669" s="80" t="s">
        <v>19373</v>
      </c>
      <c r="AY3669" s="77"/>
      <c r="AZ3669" s="80" t="s">
        <v>20380</v>
      </c>
      <c r="BA3669" s="80" t="s">
        <v>20380</v>
      </c>
      <c r="BB3669" s="80" t="s">
        <v>20380</v>
      </c>
      <c r="BC3669" s="80" t="s">
        <v>19373</v>
      </c>
      <c r="BD3669" s="80" t="s">
        <v>21106</v>
      </c>
      <c r="BE3669" s="77"/>
      <c r="BF3669" s="77"/>
      <c r="BG3669" s="77"/>
      <c r="BH3669" s="77"/>
      <c r="BI3669" s="77"/>
    </row>
    <row r="3670" spans="1:61" x14ac:dyDescent="0.25">
      <c r="A3670" s="62" t="s">
        <v>1472</v>
      </c>
      <c r="B3670" s="62" t="s">
        <v>1472</v>
      </c>
      <c r="C3670" s="63"/>
      <c r="D3670" s="64"/>
      <c r="E3670" s="65"/>
      <c r="F3670" s="66"/>
      <c r="G3670" s="63"/>
      <c r="H3670" s="67"/>
      <c r="I3670" s="68"/>
      <c r="J3670" s="68"/>
      <c r="K3670" s="32"/>
      <c r="L3670" s="75">
        <v>3670</v>
      </c>
      <c r="M3670" s="75"/>
      <c r="N3670" s="70"/>
      <c r="O3670" s="77" t="s">
        <v>179</v>
      </c>
      <c r="P3670" s="79">
        <v>45110.777951388889</v>
      </c>
      <c r="Q3670" s="77" t="s">
        <v>5319</v>
      </c>
      <c r="R3670" s="77">
        <v>0</v>
      </c>
      <c r="S3670" s="77">
        <v>0</v>
      </c>
      <c r="T3670" s="77">
        <v>0</v>
      </c>
      <c r="U3670" s="77">
        <v>0</v>
      </c>
      <c r="V3670" s="77">
        <v>37</v>
      </c>
      <c r="W3670" s="80" t="s">
        <v>8174</v>
      </c>
      <c r="X3670" s="83" t="str">
        <f>HYPERLINK("https://x.gd/icuVA")</f>
        <v>https://x.gd/icuVA</v>
      </c>
      <c r="Y3670" s="77" t="s">
        <v>8777</v>
      </c>
      <c r="Z3670" s="77"/>
      <c r="AA3670" s="77" t="s">
        <v>10239</v>
      </c>
      <c r="AB3670" s="77" t="s">
        <v>10535</v>
      </c>
      <c r="AC3670" s="80" t="s">
        <v>10541</v>
      </c>
      <c r="AD3670" s="77" t="s">
        <v>10617</v>
      </c>
      <c r="AE3670" s="83" t="str">
        <f>HYPERLINK("https://twitter.com/seebumuarama/status/1675937514362662919")</f>
        <v>https://twitter.com/seebumuarama/status/1675937514362662919</v>
      </c>
      <c r="AF3670" s="79">
        <v>45110.777951388889</v>
      </c>
      <c r="AG3670" s="85">
        <v>45110</v>
      </c>
      <c r="AH3670" s="80" t="s">
        <v>13812</v>
      </c>
      <c r="AI3670" s="77" t="b">
        <v>0</v>
      </c>
      <c r="AJ3670" s="77"/>
      <c r="AK3670" s="77"/>
      <c r="AL3670" s="77"/>
      <c r="AM3670" s="77"/>
      <c r="AN3670" s="77"/>
      <c r="AO3670" s="77"/>
      <c r="AP3670" s="77"/>
      <c r="AQ3670" s="77" t="s">
        <v>15719</v>
      </c>
      <c r="AR3670" s="77"/>
      <c r="AS3670" s="77"/>
      <c r="AT3670" s="77"/>
      <c r="AU3670" s="77"/>
      <c r="AV3670" s="83" t="str">
        <f>HYPERLINK("https://pbs.twimg.com/media/F0If82NWcAY1ybx.png")</f>
        <v>https://pbs.twimg.com/media/F0If82NWcAY1ybx.png</v>
      </c>
      <c r="AW3670" s="80" t="s">
        <v>19374</v>
      </c>
      <c r="AX3670" s="80" t="s">
        <v>19374</v>
      </c>
      <c r="AY3670" s="77"/>
      <c r="AZ3670" s="80" t="s">
        <v>20380</v>
      </c>
      <c r="BA3670" s="80" t="s">
        <v>20380</v>
      </c>
      <c r="BB3670" s="80" t="s">
        <v>20380</v>
      </c>
      <c r="BC3670" s="80" t="s">
        <v>19374</v>
      </c>
      <c r="BD3670" s="80" t="s">
        <v>21106</v>
      </c>
      <c r="BE3670" s="77"/>
      <c r="BF3670" s="77"/>
      <c r="BG3670" s="77"/>
      <c r="BH3670" s="77"/>
      <c r="BI3670" s="77"/>
    </row>
    <row r="3671" spans="1:61" x14ac:dyDescent="0.25">
      <c r="A3671" s="62" t="s">
        <v>1472</v>
      </c>
      <c r="B3671" s="62" t="s">
        <v>1472</v>
      </c>
      <c r="C3671" s="63"/>
      <c r="D3671" s="64"/>
      <c r="E3671" s="65"/>
      <c r="F3671" s="66"/>
      <c r="G3671" s="63"/>
      <c r="H3671" s="67"/>
      <c r="I3671" s="68"/>
      <c r="J3671" s="68"/>
      <c r="K3671" s="32"/>
      <c r="L3671" s="75">
        <v>3671</v>
      </c>
      <c r="M3671" s="75"/>
      <c r="N3671" s="70"/>
      <c r="O3671" s="77" t="s">
        <v>179</v>
      </c>
      <c r="P3671" s="79">
        <v>45096.766562500001</v>
      </c>
      <c r="Q3671" s="77" t="s">
        <v>5320</v>
      </c>
      <c r="R3671" s="77">
        <v>0</v>
      </c>
      <c r="S3671" s="77">
        <v>0</v>
      </c>
      <c r="T3671" s="77">
        <v>0</v>
      </c>
      <c r="U3671" s="77">
        <v>0</v>
      </c>
      <c r="V3671" s="77">
        <v>64</v>
      </c>
      <c r="W3671" s="80" t="s">
        <v>8175</v>
      </c>
      <c r="X3671" s="83" t="str">
        <f>HYPERLINK("https://x.gd/KrW2x")</f>
        <v>https://x.gd/KrW2x</v>
      </c>
      <c r="Y3671" s="77" t="s">
        <v>8777</v>
      </c>
      <c r="Z3671" s="77"/>
      <c r="AA3671" s="77" t="s">
        <v>10240</v>
      </c>
      <c r="AB3671" s="77" t="s">
        <v>10535</v>
      </c>
      <c r="AC3671" s="80" t="s">
        <v>10541</v>
      </c>
      <c r="AD3671" s="77" t="s">
        <v>10617</v>
      </c>
      <c r="AE3671" s="83" t="str">
        <f>HYPERLINK("https://twitter.com/seebumuarama/status/1670859955748864006")</f>
        <v>https://twitter.com/seebumuarama/status/1670859955748864006</v>
      </c>
      <c r="AF3671" s="79">
        <v>45096.766562500001</v>
      </c>
      <c r="AG3671" s="85">
        <v>45096</v>
      </c>
      <c r="AH3671" s="80" t="s">
        <v>13813</v>
      </c>
      <c r="AI3671" s="77" t="b">
        <v>0</v>
      </c>
      <c r="AJ3671" s="77"/>
      <c r="AK3671" s="77"/>
      <c r="AL3671" s="77"/>
      <c r="AM3671" s="77"/>
      <c r="AN3671" s="77"/>
      <c r="AO3671" s="77"/>
      <c r="AP3671" s="77"/>
      <c r="AQ3671" s="77" t="s">
        <v>15720</v>
      </c>
      <c r="AR3671" s="77"/>
      <c r="AS3671" s="77"/>
      <c r="AT3671" s="77"/>
      <c r="AU3671" s="77"/>
      <c r="AV3671" s="83" t="str">
        <f>HYPERLINK("https://pbs.twimg.com/media/FzAV6fuWAAUbcJO.jpg")</f>
        <v>https://pbs.twimg.com/media/FzAV6fuWAAUbcJO.jpg</v>
      </c>
      <c r="AW3671" s="80" t="s">
        <v>19375</v>
      </c>
      <c r="AX3671" s="80" t="s">
        <v>19375</v>
      </c>
      <c r="AY3671" s="77"/>
      <c r="AZ3671" s="80" t="s">
        <v>20380</v>
      </c>
      <c r="BA3671" s="80" t="s">
        <v>20380</v>
      </c>
      <c r="BB3671" s="80" t="s">
        <v>20380</v>
      </c>
      <c r="BC3671" s="80" t="s">
        <v>19375</v>
      </c>
      <c r="BD3671" s="80" t="s">
        <v>21106</v>
      </c>
      <c r="BE3671" s="77"/>
      <c r="BF3671" s="77"/>
      <c r="BG3671" s="77"/>
      <c r="BH3671" s="77"/>
      <c r="BI3671" s="77"/>
    </row>
    <row r="3672" spans="1:61" x14ac:dyDescent="0.25">
      <c r="A3672" s="62" t="s">
        <v>1472</v>
      </c>
      <c r="B3672" s="62" t="s">
        <v>1472</v>
      </c>
      <c r="C3672" s="63"/>
      <c r="D3672" s="64"/>
      <c r="E3672" s="65"/>
      <c r="F3672" s="66"/>
      <c r="G3672" s="63"/>
      <c r="H3672" s="67"/>
      <c r="I3672" s="68"/>
      <c r="J3672" s="68"/>
      <c r="K3672" s="32"/>
      <c r="L3672" s="75">
        <v>3672</v>
      </c>
      <c r="M3672" s="75"/>
      <c r="N3672" s="70"/>
      <c r="O3672" s="77" t="s">
        <v>179</v>
      </c>
      <c r="P3672" s="79">
        <v>45096.751111111109</v>
      </c>
      <c r="Q3672" s="77" t="s">
        <v>5321</v>
      </c>
      <c r="R3672" s="77">
        <v>0</v>
      </c>
      <c r="S3672" s="77">
        <v>0</v>
      </c>
      <c r="T3672" s="77">
        <v>0</v>
      </c>
      <c r="U3672" s="77">
        <v>0</v>
      </c>
      <c r="V3672" s="77">
        <v>29</v>
      </c>
      <c r="W3672" s="80" t="s">
        <v>8176</v>
      </c>
      <c r="X3672" s="83" t="str">
        <f>HYPERLINK("https://x.gd/9rUNw")</f>
        <v>https://x.gd/9rUNw</v>
      </c>
      <c r="Y3672" s="77" t="s">
        <v>8777</v>
      </c>
      <c r="Z3672" s="77"/>
      <c r="AA3672" s="77" t="s">
        <v>10241</v>
      </c>
      <c r="AB3672" s="77" t="s">
        <v>10535</v>
      </c>
      <c r="AC3672" s="80" t="s">
        <v>10541</v>
      </c>
      <c r="AD3672" s="77" t="s">
        <v>10617</v>
      </c>
      <c r="AE3672" s="83" t="str">
        <f>HYPERLINK("https://twitter.com/seebumuarama/status/1670854357862973455")</f>
        <v>https://twitter.com/seebumuarama/status/1670854357862973455</v>
      </c>
      <c r="AF3672" s="79">
        <v>45096.751111111109</v>
      </c>
      <c r="AG3672" s="85">
        <v>45096</v>
      </c>
      <c r="AH3672" s="80" t="s">
        <v>13814</v>
      </c>
      <c r="AI3672" s="77" t="b">
        <v>0</v>
      </c>
      <c r="AJ3672" s="77"/>
      <c r="AK3672" s="77"/>
      <c r="AL3672" s="77"/>
      <c r="AM3672" s="77"/>
      <c r="AN3672" s="77"/>
      <c r="AO3672" s="77"/>
      <c r="AP3672" s="77"/>
      <c r="AQ3672" s="77" t="s">
        <v>15721</v>
      </c>
      <c r="AR3672" s="77"/>
      <c r="AS3672" s="77"/>
      <c r="AT3672" s="77"/>
      <c r="AU3672" s="77"/>
      <c r="AV3672" s="83" t="str">
        <f>HYPERLINK("https://pbs.twimg.com/media/FzAQf9gXsAIOBiO.jpg")</f>
        <v>https://pbs.twimg.com/media/FzAQf9gXsAIOBiO.jpg</v>
      </c>
      <c r="AW3672" s="80" t="s">
        <v>19376</v>
      </c>
      <c r="AX3672" s="80" t="s">
        <v>19376</v>
      </c>
      <c r="AY3672" s="77"/>
      <c r="AZ3672" s="80" t="s">
        <v>20380</v>
      </c>
      <c r="BA3672" s="80" t="s">
        <v>20380</v>
      </c>
      <c r="BB3672" s="80" t="s">
        <v>20380</v>
      </c>
      <c r="BC3672" s="80" t="s">
        <v>19376</v>
      </c>
      <c r="BD3672" s="80" t="s">
        <v>21106</v>
      </c>
      <c r="BE3672" s="77"/>
      <c r="BF3672" s="77"/>
      <c r="BG3672" s="77"/>
      <c r="BH3672" s="77"/>
      <c r="BI3672" s="77"/>
    </row>
    <row r="3673" spans="1:61" x14ac:dyDescent="0.25">
      <c r="A3673" s="62" t="s">
        <v>1472</v>
      </c>
      <c r="B3673" s="62" t="s">
        <v>1472</v>
      </c>
      <c r="C3673" s="63"/>
      <c r="D3673" s="64"/>
      <c r="E3673" s="65"/>
      <c r="F3673" s="66"/>
      <c r="G3673" s="63"/>
      <c r="H3673" s="67"/>
      <c r="I3673" s="68"/>
      <c r="J3673" s="68"/>
      <c r="K3673" s="32"/>
      <c r="L3673" s="75">
        <v>3673</v>
      </c>
      <c r="M3673" s="75"/>
      <c r="N3673" s="70"/>
      <c r="O3673" s="77" t="s">
        <v>179</v>
      </c>
      <c r="P3673" s="79">
        <v>45141.576782407406</v>
      </c>
      <c r="Q3673" s="77" t="s">
        <v>5322</v>
      </c>
      <c r="R3673" s="77">
        <v>0</v>
      </c>
      <c r="S3673" s="77">
        <v>1</v>
      </c>
      <c r="T3673" s="77">
        <v>0</v>
      </c>
      <c r="U3673" s="77">
        <v>0</v>
      </c>
      <c r="V3673" s="77">
        <v>41</v>
      </c>
      <c r="W3673" s="80" t="s">
        <v>8177</v>
      </c>
      <c r="X3673" s="83" t="str">
        <f>HYPERLINK("https://x.gd/20XQw")</f>
        <v>https://x.gd/20XQw</v>
      </c>
      <c r="Y3673" s="77" t="s">
        <v>8777</v>
      </c>
      <c r="Z3673" s="77"/>
      <c r="AA3673" s="77" t="s">
        <v>10242</v>
      </c>
      <c r="AB3673" s="77" t="s">
        <v>10535</v>
      </c>
      <c r="AC3673" s="80" t="s">
        <v>10541</v>
      </c>
      <c r="AD3673" s="77" t="s">
        <v>10617</v>
      </c>
      <c r="AE3673" s="83" t="str">
        <f>HYPERLINK("https://twitter.com/seebumuarama/status/1687098639045525504")</f>
        <v>https://twitter.com/seebumuarama/status/1687098639045525504</v>
      </c>
      <c r="AF3673" s="79">
        <v>45141.576782407406</v>
      </c>
      <c r="AG3673" s="85">
        <v>45141</v>
      </c>
      <c r="AH3673" s="80" t="s">
        <v>13815</v>
      </c>
      <c r="AI3673" s="77" t="b">
        <v>0</v>
      </c>
      <c r="AJ3673" s="77"/>
      <c r="AK3673" s="77"/>
      <c r="AL3673" s="77"/>
      <c r="AM3673" s="77"/>
      <c r="AN3673" s="77"/>
      <c r="AO3673" s="77"/>
      <c r="AP3673" s="77"/>
      <c r="AQ3673" s="77" t="s">
        <v>15722</v>
      </c>
      <c r="AR3673" s="77"/>
      <c r="AS3673" s="77"/>
      <c r="AT3673" s="77"/>
      <c r="AU3673" s="77"/>
      <c r="AV3673" s="83" t="str">
        <f>HYPERLINK("https://pbs.twimg.com/media/F2nG-WVboAEvBBr.jpg")</f>
        <v>https://pbs.twimg.com/media/F2nG-WVboAEvBBr.jpg</v>
      </c>
      <c r="AW3673" s="80" t="s">
        <v>19377</v>
      </c>
      <c r="AX3673" s="80" t="s">
        <v>19377</v>
      </c>
      <c r="AY3673" s="77"/>
      <c r="AZ3673" s="80" t="s">
        <v>20380</v>
      </c>
      <c r="BA3673" s="80" t="s">
        <v>20380</v>
      </c>
      <c r="BB3673" s="80" t="s">
        <v>20380</v>
      </c>
      <c r="BC3673" s="80" t="s">
        <v>19377</v>
      </c>
      <c r="BD3673" s="80" t="s">
        <v>21106</v>
      </c>
      <c r="BE3673" s="77"/>
      <c r="BF3673" s="77"/>
      <c r="BG3673" s="77"/>
      <c r="BH3673" s="77"/>
      <c r="BI3673" s="77"/>
    </row>
    <row r="3674" spans="1:61" x14ac:dyDescent="0.25">
      <c r="A3674" s="62" t="s">
        <v>1472</v>
      </c>
      <c r="B3674" s="62" t="s">
        <v>1472</v>
      </c>
      <c r="C3674" s="63"/>
      <c r="D3674" s="64"/>
      <c r="E3674" s="65"/>
      <c r="F3674" s="66"/>
      <c r="G3674" s="63"/>
      <c r="H3674" s="67"/>
      <c r="I3674" s="68"/>
      <c r="J3674" s="68"/>
      <c r="K3674" s="32"/>
      <c r="L3674" s="75">
        <v>3674</v>
      </c>
      <c r="M3674" s="75"/>
      <c r="N3674" s="70"/>
      <c r="O3674" s="77" t="s">
        <v>179</v>
      </c>
      <c r="P3674" s="79">
        <v>45119.570011574076</v>
      </c>
      <c r="Q3674" s="77" t="s">
        <v>5323</v>
      </c>
      <c r="R3674" s="77">
        <v>0</v>
      </c>
      <c r="S3674" s="77">
        <v>0</v>
      </c>
      <c r="T3674" s="77">
        <v>0</v>
      </c>
      <c r="U3674" s="77">
        <v>0</v>
      </c>
      <c r="V3674" s="77">
        <v>23</v>
      </c>
      <c r="W3674" s="80" t="s">
        <v>8178</v>
      </c>
      <c r="X3674" s="83" t="str">
        <f>HYPERLINK("https://x.gd/7f9rK")</f>
        <v>https://x.gd/7f9rK</v>
      </c>
      <c r="Y3674" s="77" t="s">
        <v>8777</v>
      </c>
      <c r="Z3674" s="77"/>
      <c r="AA3674" s="77" t="s">
        <v>10243</v>
      </c>
      <c r="AB3674" s="77" t="s">
        <v>10535</v>
      </c>
      <c r="AC3674" s="80" t="s">
        <v>10541</v>
      </c>
      <c r="AD3674" s="77" t="s">
        <v>10617</v>
      </c>
      <c r="AE3674" s="83" t="str">
        <f>HYPERLINK("https://twitter.com/seebumuarama/status/1679123648626425856")</f>
        <v>https://twitter.com/seebumuarama/status/1679123648626425856</v>
      </c>
      <c r="AF3674" s="79">
        <v>45119.570011574076</v>
      </c>
      <c r="AG3674" s="85">
        <v>45119</v>
      </c>
      <c r="AH3674" s="80" t="s">
        <v>13816</v>
      </c>
      <c r="AI3674" s="77" t="b">
        <v>0</v>
      </c>
      <c r="AJ3674" s="77"/>
      <c r="AK3674" s="77"/>
      <c r="AL3674" s="77"/>
      <c r="AM3674" s="77"/>
      <c r="AN3674" s="77"/>
      <c r="AO3674" s="77"/>
      <c r="AP3674" s="77"/>
      <c r="AQ3674" s="77" t="s">
        <v>15723</v>
      </c>
      <c r="AR3674" s="77"/>
      <c r="AS3674" s="77"/>
      <c r="AT3674" s="77"/>
      <c r="AU3674" s="77"/>
      <c r="AV3674" s="83" t="str">
        <f>HYPERLINK("https://pbs.twimg.com/media/F01wkXBWwAAkbsj.png")</f>
        <v>https://pbs.twimg.com/media/F01wkXBWwAAkbsj.png</v>
      </c>
      <c r="AW3674" s="80" t="s">
        <v>19378</v>
      </c>
      <c r="AX3674" s="80" t="s">
        <v>19378</v>
      </c>
      <c r="AY3674" s="77"/>
      <c r="AZ3674" s="80" t="s">
        <v>20380</v>
      </c>
      <c r="BA3674" s="80" t="s">
        <v>20380</v>
      </c>
      <c r="BB3674" s="80" t="s">
        <v>20380</v>
      </c>
      <c r="BC3674" s="80" t="s">
        <v>19378</v>
      </c>
      <c r="BD3674" s="80" t="s">
        <v>21106</v>
      </c>
      <c r="BE3674" s="77"/>
      <c r="BF3674" s="77"/>
      <c r="BG3674" s="77"/>
      <c r="BH3674" s="77"/>
      <c r="BI3674" s="77"/>
    </row>
    <row r="3675" spans="1:61" x14ac:dyDescent="0.25">
      <c r="A3675" s="62" t="s">
        <v>1472</v>
      </c>
      <c r="B3675" s="62" t="s">
        <v>1472</v>
      </c>
      <c r="C3675" s="63"/>
      <c r="D3675" s="64"/>
      <c r="E3675" s="65"/>
      <c r="F3675" s="66"/>
      <c r="G3675" s="63"/>
      <c r="H3675" s="67"/>
      <c r="I3675" s="68"/>
      <c r="J3675" s="68"/>
      <c r="K3675" s="32"/>
      <c r="L3675" s="75">
        <v>3675</v>
      </c>
      <c r="M3675" s="75"/>
      <c r="N3675" s="70"/>
      <c r="O3675" s="77" t="s">
        <v>179</v>
      </c>
      <c r="P3675" s="79">
        <v>45152.604479166665</v>
      </c>
      <c r="Q3675" s="77" t="s">
        <v>5324</v>
      </c>
      <c r="R3675" s="77">
        <v>0</v>
      </c>
      <c r="S3675" s="77">
        <v>0</v>
      </c>
      <c r="T3675" s="77">
        <v>0</v>
      </c>
      <c r="U3675" s="77">
        <v>0</v>
      </c>
      <c r="V3675" s="77">
        <v>39</v>
      </c>
      <c r="W3675" s="80" t="s">
        <v>8179</v>
      </c>
      <c r="X3675" s="83" t="str">
        <f>HYPERLINK("https://x.gd/iIRLO")</f>
        <v>https://x.gd/iIRLO</v>
      </c>
      <c r="Y3675" s="77" t="s">
        <v>8777</v>
      </c>
      <c r="Z3675" s="77"/>
      <c r="AA3675" s="77" t="s">
        <v>10244</v>
      </c>
      <c r="AB3675" s="77" t="s">
        <v>10535</v>
      </c>
      <c r="AC3675" s="80" t="s">
        <v>10541</v>
      </c>
      <c r="AD3675" s="77" t="s">
        <v>10617</v>
      </c>
      <c r="AE3675" s="83" t="str">
        <f>HYPERLINK("https://twitter.com/seebumuarama/status/1691094939915214848")</f>
        <v>https://twitter.com/seebumuarama/status/1691094939915214848</v>
      </c>
      <c r="AF3675" s="79">
        <v>45152.604479166665</v>
      </c>
      <c r="AG3675" s="85">
        <v>45152</v>
      </c>
      <c r="AH3675" s="80" t="s">
        <v>13817</v>
      </c>
      <c r="AI3675" s="77" t="b">
        <v>0</v>
      </c>
      <c r="AJ3675" s="77"/>
      <c r="AK3675" s="77"/>
      <c r="AL3675" s="77"/>
      <c r="AM3675" s="77"/>
      <c r="AN3675" s="77"/>
      <c r="AO3675" s="77"/>
      <c r="AP3675" s="77"/>
      <c r="AQ3675" s="77" t="s">
        <v>15724</v>
      </c>
      <c r="AR3675" s="77"/>
      <c r="AS3675" s="77"/>
      <c r="AT3675" s="77"/>
      <c r="AU3675" s="77"/>
      <c r="AV3675" s="83" t="str">
        <f>HYPERLINK("https://pbs.twimg.com/media/F3f5hMHXYAACz2B.jpg")</f>
        <v>https://pbs.twimg.com/media/F3f5hMHXYAACz2B.jpg</v>
      </c>
      <c r="AW3675" s="80" t="s">
        <v>19379</v>
      </c>
      <c r="AX3675" s="80" t="s">
        <v>19379</v>
      </c>
      <c r="AY3675" s="77"/>
      <c r="AZ3675" s="80" t="s">
        <v>20380</v>
      </c>
      <c r="BA3675" s="80" t="s">
        <v>20380</v>
      </c>
      <c r="BB3675" s="80" t="s">
        <v>20380</v>
      </c>
      <c r="BC3675" s="80" t="s">
        <v>19379</v>
      </c>
      <c r="BD3675" s="80" t="s">
        <v>21106</v>
      </c>
      <c r="BE3675" s="77"/>
      <c r="BF3675" s="77"/>
      <c r="BG3675" s="77"/>
      <c r="BH3675" s="77"/>
      <c r="BI3675" s="77"/>
    </row>
    <row r="3676" spans="1:61" x14ac:dyDescent="0.25">
      <c r="A3676" s="62" t="s">
        <v>1472</v>
      </c>
      <c r="B3676" s="62" t="s">
        <v>1472</v>
      </c>
      <c r="C3676" s="63"/>
      <c r="D3676" s="64"/>
      <c r="E3676" s="65"/>
      <c r="F3676" s="66"/>
      <c r="G3676" s="63"/>
      <c r="H3676" s="67"/>
      <c r="I3676" s="68"/>
      <c r="J3676" s="68"/>
      <c r="K3676" s="32"/>
      <c r="L3676" s="75">
        <v>3676</v>
      </c>
      <c r="M3676" s="75"/>
      <c r="N3676" s="70"/>
      <c r="O3676" s="77" t="s">
        <v>179</v>
      </c>
      <c r="P3676" s="79">
        <v>45131.791944444441</v>
      </c>
      <c r="Q3676" s="77" t="s">
        <v>5325</v>
      </c>
      <c r="R3676" s="77">
        <v>0</v>
      </c>
      <c r="S3676" s="77">
        <v>0</v>
      </c>
      <c r="T3676" s="77">
        <v>0</v>
      </c>
      <c r="U3676" s="77">
        <v>0</v>
      </c>
      <c r="V3676" s="77">
        <v>19</v>
      </c>
      <c r="W3676" s="80" t="s">
        <v>8180</v>
      </c>
      <c r="X3676" s="83" t="str">
        <f>HYPERLINK("https://x.gd/MZQkT")</f>
        <v>https://x.gd/MZQkT</v>
      </c>
      <c r="Y3676" s="77" t="s">
        <v>8777</v>
      </c>
      <c r="Z3676" s="77"/>
      <c r="AA3676" s="77" t="s">
        <v>10245</v>
      </c>
      <c r="AB3676" s="77" t="s">
        <v>10535</v>
      </c>
      <c r="AC3676" s="80" t="s">
        <v>10541</v>
      </c>
      <c r="AD3676" s="77" t="s">
        <v>10617</v>
      </c>
      <c r="AE3676" s="83" t="str">
        <f>HYPERLINK("https://twitter.com/seebumuarama/status/1683552730198016003")</f>
        <v>https://twitter.com/seebumuarama/status/1683552730198016003</v>
      </c>
      <c r="AF3676" s="79">
        <v>45131.791944444441</v>
      </c>
      <c r="AG3676" s="85">
        <v>45131</v>
      </c>
      <c r="AH3676" s="80" t="s">
        <v>13818</v>
      </c>
      <c r="AI3676" s="77" t="b">
        <v>0</v>
      </c>
      <c r="AJ3676" s="77"/>
      <c r="AK3676" s="77"/>
      <c r="AL3676" s="77"/>
      <c r="AM3676" s="77"/>
      <c r="AN3676" s="77"/>
      <c r="AO3676" s="77"/>
      <c r="AP3676" s="77"/>
      <c r="AQ3676" s="77" t="s">
        <v>15725</v>
      </c>
      <c r="AR3676" s="77"/>
      <c r="AS3676" s="77"/>
      <c r="AT3676" s="77"/>
      <c r="AU3676" s="77"/>
      <c r="AV3676" s="83" t="str">
        <f>HYPERLINK("https://pbs.twimg.com/media/F10tDScXsAQm6M_.png")</f>
        <v>https://pbs.twimg.com/media/F10tDScXsAQm6M_.png</v>
      </c>
      <c r="AW3676" s="80" t="s">
        <v>19380</v>
      </c>
      <c r="AX3676" s="80" t="s">
        <v>19380</v>
      </c>
      <c r="AY3676" s="77"/>
      <c r="AZ3676" s="80" t="s">
        <v>20380</v>
      </c>
      <c r="BA3676" s="80" t="s">
        <v>20380</v>
      </c>
      <c r="BB3676" s="80" t="s">
        <v>20380</v>
      </c>
      <c r="BC3676" s="80" t="s">
        <v>19380</v>
      </c>
      <c r="BD3676" s="80" t="s">
        <v>21106</v>
      </c>
      <c r="BE3676" s="77"/>
      <c r="BF3676" s="77"/>
      <c r="BG3676" s="77"/>
      <c r="BH3676" s="77"/>
      <c r="BI3676" s="77"/>
    </row>
    <row r="3677" spans="1:61" x14ac:dyDescent="0.25">
      <c r="A3677" s="62" t="s">
        <v>1472</v>
      </c>
      <c r="B3677" s="62" t="s">
        <v>1472</v>
      </c>
      <c r="C3677" s="63"/>
      <c r="D3677" s="64"/>
      <c r="E3677" s="65"/>
      <c r="F3677" s="66"/>
      <c r="G3677" s="63"/>
      <c r="H3677" s="67"/>
      <c r="I3677" s="68"/>
      <c r="J3677" s="68"/>
      <c r="K3677" s="32"/>
      <c r="L3677" s="75">
        <v>3677</v>
      </c>
      <c r="M3677" s="75"/>
      <c r="N3677" s="70"/>
      <c r="O3677" s="77" t="s">
        <v>179</v>
      </c>
      <c r="P3677" s="79">
        <v>45104.812465277777</v>
      </c>
      <c r="Q3677" s="77" t="s">
        <v>5326</v>
      </c>
      <c r="R3677" s="77">
        <v>0</v>
      </c>
      <c r="S3677" s="77">
        <v>0</v>
      </c>
      <c r="T3677" s="77">
        <v>0</v>
      </c>
      <c r="U3677" s="77">
        <v>0</v>
      </c>
      <c r="V3677" s="77">
        <v>28</v>
      </c>
      <c r="W3677" s="80" t="s">
        <v>8181</v>
      </c>
      <c r="X3677" s="83" t="str">
        <f>HYPERLINK("https://x.gd/V0wt6")</f>
        <v>https://x.gd/V0wt6</v>
      </c>
      <c r="Y3677" s="77" t="s">
        <v>8777</v>
      </c>
      <c r="Z3677" s="77"/>
      <c r="AA3677" s="77" t="s">
        <v>10246</v>
      </c>
      <c r="AB3677" s="77" t="s">
        <v>10535</v>
      </c>
      <c r="AC3677" s="80" t="s">
        <v>10541</v>
      </c>
      <c r="AD3677" s="77" t="s">
        <v>10617</v>
      </c>
      <c r="AE3677" s="83" t="str">
        <f>HYPERLINK("https://twitter.com/seebumuarama/status/1673775695649034242")</f>
        <v>https://twitter.com/seebumuarama/status/1673775695649034242</v>
      </c>
      <c r="AF3677" s="79">
        <v>45104.812465277777</v>
      </c>
      <c r="AG3677" s="85">
        <v>45104</v>
      </c>
      <c r="AH3677" s="80" t="s">
        <v>13819</v>
      </c>
      <c r="AI3677" s="77" t="b">
        <v>0</v>
      </c>
      <c r="AJ3677" s="77"/>
      <c r="AK3677" s="77"/>
      <c r="AL3677" s="77"/>
      <c r="AM3677" s="77"/>
      <c r="AN3677" s="77"/>
      <c r="AO3677" s="77"/>
      <c r="AP3677" s="77"/>
      <c r="AQ3677" s="77" t="s">
        <v>15726</v>
      </c>
      <c r="AR3677" s="77"/>
      <c r="AS3677" s="77"/>
      <c r="AT3677" s="77"/>
      <c r="AU3677" s="77"/>
      <c r="AV3677" s="83" t="str">
        <f>HYPERLINK("https://pbs.twimg.com/media/Fzpx008XsAAeP18.jpg")</f>
        <v>https://pbs.twimg.com/media/Fzpx008XsAAeP18.jpg</v>
      </c>
      <c r="AW3677" s="80" t="s">
        <v>19381</v>
      </c>
      <c r="AX3677" s="80" t="s">
        <v>19381</v>
      </c>
      <c r="AY3677" s="77"/>
      <c r="AZ3677" s="80" t="s">
        <v>20380</v>
      </c>
      <c r="BA3677" s="80" t="s">
        <v>20380</v>
      </c>
      <c r="BB3677" s="80" t="s">
        <v>20380</v>
      </c>
      <c r="BC3677" s="80" t="s">
        <v>19381</v>
      </c>
      <c r="BD3677" s="80" t="s">
        <v>21106</v>
      </c>
      <c r="BE3677" s="77"/>
      <c r="BF3677" s="77"/>
      <c r="BG3677" s="77"/>
      <c r="BH3677" s="77"/>
      <c r="BI3677" s="77"/>
    </row>
    <row r="3678" spans="1:61" x14ac:dyDescent="0.25">
      <c r="A3678" s="62" t="s">
        <v>1472</v>
      </c>
      <c r="B3678" s="62" t="s">
        <v>1472</v>
      </c>
      <c r="C3678" s="63"/>
      <c r="D3678" s="64"/>
      <c r="E3678" s="65"/>
      <c r="F3678" s="66"/>
      <c r="G3678" s="63"/>
      <c r="H3678" s="67"/>
      <c r="I3678" s="68"/>
      <c r="J3678" s="68"/>
      <c r="K3678" s="32"/>
      <c r="L3678" s="75">
        <v>3678</v>
      </c>
      <c r="M3678" s="75"/>
      <c r="N3678" s="70"/>
      <c r="O3678" s="77" t="s">
        <v>179</v>
      </c>
      <c r="P3678" s="79">
        <v>45104.80945601852</v>
      </c>
      <c r="Q3678" s="77" t="s">
        <v>5327</v>
      </c>
      <c r="R3678" s="77">
        <v>0</v>
      </c>
      <c r="S3678" s="77">
        <v>0</v>
      </c>
      <c r="T3678" s="77">
        <v>0</v>
      </c>
      <c r="U3678" s="77">
        <v>0</v>
      </c>
      <c r="V3678" s="77">
        <v>41</v>
      </c>
      <c r="W3678" s="80" t="s">
        <v>8182</v>
      </c>
      <c r="X3678" s="83" t="str">
        <f>HYPERLINK("https://x.gd/Ee9EJ")</f>
        <v>https://x.gd/Ee9EJ</v>
      </c>
      <c r="Y3678" s="77" t="s">
        <v>8777</v>
      </c>
      <c r="Z3678" s="77"/>
      <c r="AA3678" s="77" t="s">
        <v>10247</v>
      </c>
      <c r="AB3678" s="77" t="s">
        <v>10535</v>
      </c>
      <c r="AC3678" s="80" t="s">
        <v>10541</v>
      </c>
      <c r="AD3678" s="77" t="s">
        <v>10617</v>
      </c>
      <c r="AE3678" s="83" t="str">
        <f>HYPERLINK("https://twitter.com/seebumuarama/status/1673774603716513793")</f>
        <v>https://twitter.com/seebumuarama/status/1673774603716513793</v>
      </c>
      <c r="AF3678" s="79">
        <v>45104.80945601852</v>
      </c>
      <c r="AG3678" s="85">
        <v>45104</v>
      </c>
      <c r="AH3678" s="80" t="s">
        <v>13820</v>
      </c>
      <c r="AI3678" s="77" t="b">
        <v>0</v>
      </c>
      <c r="AJ3678" s="77"/>
      <c r="AK3678" s="77"/>
      <c r="AL3678" s="77"/>
      <c r="AM3678" s="77"/>
      <c r="AN3678" s="77"/>
      <c r="AO3678" s="77"/>
      <c r="AP3678" s="77"/>
      <c r="AQ3678" s="77" t="s">
        <v>15727</v>
      </c>
      <c r="AR3678" s="77"/>
      <c r="AS3678" s="77"/>
      <c r="AT3678" s="77"/>
      <c r="AU3678" s="77"/>
      <c r="AV3678" s="83" t="str">
        <f>HYPERLINK("https://pbs.twimg.com/media/FzpwvtvXgAIkbFA.jpg")</f>
        <v>https://pbs.twimg.com/media/FzpwvtvXgAIkbFA.jpg</v>
      </c>
      <c r="AW3678" s="80" t="s">
        <v>19382</v>
      </c>
      <c r="AX3678" s="80" t="s">
        <v>19382</v>
      </c>
      <c r="AY3678" s="77"/>
      <c r="AZ3678" s="80" t="s">
        <v>20380</v>
      </c>
      <c r="BA3678" s="80" t="s">
        <v>20380</v>
      </c>
      <c r="BB3678" s="80" t="s">
        <v>20380</v>
      </c>
      <c r="BC3678" s="80" t="s">
        <v>19382</v>
      </c>
      <c r="BD3678" s="80" t="s">
        <v>21106</v>
      </c>
      <c r="BE3678" s="77"/>
      <c r="BF3678" s="77"/>
      <c r="BG3678" s="77"/>
      <c r="BH3678" s="77"/>
      <c r="BI3678" s="77"/>
    </row>
    <row r="3679" spans="1:61" x14ac:dyDescent="0.25">
      <c r="A3679" s="62" t="s">
        <v>1472</v>
      </c>
      <c r="B3679" s="62" t="s">
        <v>1472</v>
      </c>
      <c r="C3679" s="63"/>
      <c r="D3679" s="64"/>
      <c r="E3679" s="65"/>
      <c r="F3679" s="66"/>
      <c r="G3679" s="63"/>
      <c r="H3679" s="67"/>
      <c r="I3679" s="68"/>
      <c r="J3679" s="68"/>
      <c r="K3679" s="32"/>
      <c r="L3679" s="75">
        <v>3679</v>
      </c>
      <c r="M3679" s="75"/>
      <c r="N3679" s="70"/>
      <c r="O3679" s="77" t="s">
        <v>179</v>
      </c>
      <c r="P3679" s="79">
        <v>45146.567650462966</v>
      </c>
      <c r="Q3679" s="77" t="s">
        <v>5328</v>
      </c>
      <c r="R3679" s="77">
        <v>0</v>
      </c>
      <c r="S3679" s="77">
        <v>0</v>
      </c>
      <c r="T3679" s="77">
        <v>0</v>
      </c>
      <c r="U3679" s="77">
        <v>0</v>
      </c>
      <c r="V3679" s="77">
        <v>38</v>
      </c>
      <c r="W3679" s="80" t="s">
        <v>8183</v>
      </c>
      <c r="X3679" s="83" t="str">
        <f>HYPERLINK("https://x.gd/tz0LL")</f>
        <v>https://x.gd/tz0LL</v>
      </c>
      <c r="Y3679" s="77" t="s">
        <v>8777</v>
      </c>
      <c r="Z3679" s="77"/>
      <c r="AA3679" s="77" t="s">
        <v>10248</v>
      </c>
      <c r="AB3679" s="77" t="s">
        <v>10535</v>
      </c>
      <c r="AC3679" s="80" t="s">
        <v>10541</v>
      </c>
      <c r="AD3679" s="77" t="s">
        <v>10617</v>
      </c>
      <c r="AE3679" s="83" t="str">
        <f>HYPERLINK("https://twitter.com/seebumuarama/status/1688907265108262912")</f>
        <v>https://twitter.com/seebumuarama/status/1688907265108262912</v>
      </c>
      <c r="AF3679" s="79">
        <v>45146.567650462966</v>
      </c>
      <c r="AG3679" s="85">
        <v>45146</v>
      </c>
      <c r="AH3679" s="80" t="s">
        <v>13821</v>
      </c>
      <c r="AI3679" s="77" t="b">
        <v>0</v>
      </c>
      <c r="AJ3679" s="77"/>
      <c r="AK3679" s="77"/>
      <c r="AL3679" s="77"/>
      <c r="AM3679" s="77"/>
      <c r="AN3679" s="77"/>
      <c r="AO3679" s="77"/>
      <c r="AP3679" s="77"/>
      <c r="AQ3679" s="77" t="s">
        <v>15728</v>
      </c>
      <c r="AR3679" s="77"/>
      <c r="AS3679" s="77"/>
      <c r="AT3679" s="77"/>
      <c r="AU3679" s="77"/>
      <c r="AV3679" s="83" t="str">
        <f>HYPERLINK("https://pbs.twimg.com/media/F3Az802akAA1b28.jpg")</f>
        <v>https://pbs.twimg.com/media/F3Az802akAA1b28.jpg</v>
      </c>
      <c r="AW3679" s="80" t="s">
        <v>19383</v>
      </c>
      <c r="AX3679" s="80" t="s">
        <v>19383</v>
      </c>
      <c r="AY3679" s="77"/>
      <c r="AZ3679" s="80" t="s">
        <v>20380</v>
      </c>
      <c r="BA3679" s="80" t="s">
        <v>20380</v>
      </c>
      <c r="BB3679" s="80" t="s">
        <v>20380</v>
      </c>
      <c r="BC3679" s="80" t="s">
        <v>19383</v>
      </c>
      <c r="BD3679" s="80" t="s">
        <v>21106</v>
      </c>
      <c r="BE3679" s="77"/>
      <c r="BF3679" s="77"/>
      <c r="BG3679" s="77"/>
      <c r="BH3679" s="77"/>
      <c r="BI3679" s="77"/>
    </row>
    <row r="3680" spans="1:61" x14ac:dyDescent="0.25">
      <c r="A3680" s="62" t="s">
        <v>1472</v>
      </c>
      <c r="B3680" s="62" t="s">
        <v>1472</v>
      </c>
      <c r="C3680" s="63"/>
      <c r="D3680" s="64"/>
      <c r="E3680" s="65"/>
      <c r="F3680" s="66"/>
      <c r="G3680" s="63"/>
      <c r="H3680" s="67"/>
      <c r="I3680" s="68"/>
      <c r="J3680" s="68"/>
      <c r="K3680" s="32"/>
      <c r="L3680" s="75">
        <v>3680</v>
      </c>
      <c r="M3680" s="75"/>
      <c r="N3680" s="70"/>
      <c r="O3680" s="77" t="s">
        <v>179</v>
      </c>
      <c r="P3680" s="79">
        <v>45139.581099537034</v>
      </c>
      <c r="Q3680" s="77" t="s">
        <v>5329</v>
      </c>
      <c r="R3680" s="77">
        <v>0</v>
      </c>
      <c r="S3680" s="77">
        <v>0</v>
      </c>
      <c r="T3680" s="77">
        <v>0</v>
      </c>
      <c r="U3680" s="77">
        <v>0</v>
      </c>
      <c r="V3680" s="77">
        <v>37</v>
      </c>
      <c r="W3680" s="80" t="s">
        <v>8184</v>
      </c>
      <c r="X3680" s="83" t="str">
        <f>HYPERLINK("https://x.gd/3BKZo")</f>
        <v>https://x.gd/3BKZo</v>
      </c>
      <c r="Y3680" s="77" t="s">
        <v>8777</v>
      </c>
      <c r="Z3680" s="77"/>
      <c r="AA3680" s="77" t="s">
        <v>10249</v>
      </c>
      <c r="AB3680" s="77" t="s">
        <v>10535</v>
      </c>
      <c r="AC3680" s="80" t="s">
        <v>10541</v>
      </c>
      <c r="AD3680" s="77" t="s">
        <v>10617</v>
      </c>
      <c r="AE3680" s="83" t="str">
        <f>HYPERLINK("https://twitter.com/seebumuarama/status/1686375426393047040")</f>
        <v>https://twitter.com/seebumuarama/status/1686375426393047040</v>
      </c>
      <c r="AF3680" s="79">
        <v>45139.581099537034</v>
      </c>
      <c r="AG3680" s="85">
        <v>45139</v>
      </c>
      <c r="AH3680" s="80" t="s">
        <v>13822</v>
      </c>
      <c r="AI3680" s="77" t="b">
        <v>0</v>
      </c>
      <c r="AJ3680" s="77"/>
      <c r="AK3680" s="77"/>
      <c r="AL3680" s="77"/>
      <c r="AM3680" s="77"/>
      <c r="AN3680" s="77"/>
      <c r="AO3680" s="77"/>
      <c r="AP3680" s="77"/>
      <c r="AQ3680" s="77" t="s">
        <v>15729</v>
      </c>
      <c r="AR3680" s="77"/>
      <c r="AS3680" s="77"/>
      <c r="AT3680" s="77"/>
      <c r="AU3680" s="77"/>
      <c r="AV3680" s="83" t="str">
        <f>HYPERLINK("https://pbs.twimg.com/media/F2c0ldgbQAAPXMa.jpg")</f>
        <v>https://pbs.twimg.com/media/F2c0ldgbQAAPXMa.jpg</v>
      </c>
      <c r="AW3680" s="80" t="s">
        <v>19384</v>
      </c>
      <c r="AX3680" s="80" t="s">
        <v>19384</v>
      </c>
      <c r="AY3680" s="77"/>
      <c r="AZ3680" s="80" t="s">
        <v>20380</v>
      </c>
      <c r="BA3680" s="80" t="s">
        <v>20380</v>
      </c>
      <c r="BB3680" s="80" t="s">
        <v>20380</v>
      </c>
      <c r="BC3680" s="80" t="s">
        <v>19384</v>
      </c>
      <c r="BD3680" s="80" t="s">
        <v>21106</v>
      </c>
      <c r="BE3680" s="77"/>
      <c r="BF3680" s="77"/>
      <c r="BG3680" s="77"/>
      <c r="BH3680" s="77"/>
      <c r="BI3680" s="77"/>
    </row>
    <row r="3681" spans="1:61" x14ac:dyDescent="0.25">
      <c r="A3681" s="62" t="s">
        <v>1472</v>
      </c>
      <c r="B3681" s="62" t="s">
        <v>1472</v>
      </c>
      <c r="C3681" s="63"/>
      <c r="D3681" s="64"/>
      <c r="E3681" s="65"/>
      <c r="F3681" s="66"/>
      <c r="G3681" s="63"/>
      <c r="H3681" s="67"/>
      <c r="I3681" s="68"/>
      <c r="J3681" s="68"/>
      <c r="K3681" s="32"/>
      <c r="L3681" s="75">
        <v>3681</v>
      </c>
      <c r="M3681" s="75"/>
      <c r="N3681" s="70"/>
      <c r="O3681" s="77" t="s">
        <v>179</v>
      </c>
      <c r="P3681" s="79">
        <v>45138.800208333334</v>
      </c>
      <c r="Q3681" s="77" t="s">
        <v>5330</v>
      </c>
      <c r="R3681" s="77">
        <v>0</v>
      </c>
      <c r="S3681" s="77">
        <v>1</v>
      </c>
      <c r="T3681" s="77">
        <v>0</v>
      </c>
      <c r="U3681" s="77">
        <v>0</v>
      </c>
      <c r="V3681" s="77">
        <v>42</v>
      </c>
      <c r="W3681" s="80" t="s">
        <v>8185</v>
      </c>
      <c r="X3681" s="83" t="str">
        <f>HYPERLINK("https://x.gd/W78bC")</f>
        <v>https://x.gd/W78bC</v>
      </c>
      <c r="Y3681" s="77" t="s">
        <v>8777</v>
      </c>
      <c r="Z3681" s="77"/>
      <c r="AA3681" s="77" t="s">
        <v>10250</v>
      </c>
      <c r="AB3681" s="77" t="s">
        <v>10535</v>
      </c>
      <c r="AC3681" s="80" t="s">
        <v>10541</v>
      </c>
      <c r="AD3681" s="77" t="s">
        <v>10617</v>
      </c>
      <c r="AE3681" s="83" t="str">
        <f>HYPERLINK("https://twitter.com/seebumuarama/status/1686092439474335746")</f>
        <v>https://twitter.com/seebumuarama/status/1686092439474335746</v>
      </c>
      <c r="AF3681" s="79">
        <v>45138.800208333334</v>
      </c>
      <c r="AG3681" s="85">
        <v>45138</v>
      </c>
      <c r="AH3681" s="80" t="s">
        <v>13823</v>
      </c>
      <c r="AI3681" s="77" t="b">
        <v>0</v>
      </c>
      <c r="AJ3681" s="77"/>
      <c r="AK3681" s="77"/>
      <c r="AL3681" s="77"/>
      <c r="AM3681" s="77"/>
      <c r="AN3681" s="77"/>
      <c r="AO3681" s="77"/>
      <c r="AP3681" s="77"/>
      <c r="AQ3681" s="77" t="s">
        <v>15730</v>
      </c>
      <c r="AR3681" s="77"/>
      <c r="AS3681" s="77"/>
      <c r="AT3681" s="77"/>
      <c r="AU3681" s="77"/>
      <c r="AV3681" s="83" t="str">
        <f>HYPERLINK("https://pbs.twimg.com/media/F2Y0HjnWsAIueGn.jpg")</f>
        <v>https://pbs.twimg.com/media/F2Y0HjnWsAIueGn.jpg</v>
      </c>
      <c r="AW3681" s="80" t="s">
        <v>19385</v>
      </c>
      <c r="AX3681" s="80" t="s">
        <v>19385</v>
      </c>
      <c r="AY3681" s="77"/>
      <c r="AZ3681" s="80" t="s">
        <v>20380</v>
      </c>
      <c r="BA3681" s="80" t="s">
        <v>20380</v>
      </c>
      <c r="BB3681" s="80" t="s">
        <v>20380</v>
      </c>
      <c r="BC3681" s="80" t="s">
        <v>19385</v>
      </c>
      <c r="BD3681" s="80" t="s">
        <v>21106</v>
      </c>
      <c r="BE3681" s="77"/>
      <c r="BF3681" s="77"/>
      <c r="BG3681" s="77"/>
      <c r="BH3681" s="77"/>
      <c r="BI3681" s="77"/>
    </row>
    <row r="3682" spans="1:61" x14ac:dyDescent="0.25">
      <c r="A3682" s="62" t="s">
        <v>1472</v>
      </c>
      <c r="B3682" s="62" t="s">
        <v>1472</v>
      </c>
      <c r="C3682" s="63"/>
      <c r="D3682" s="64"/>
      <c r="E3682" s="65"/>
      <c r="F3682" s="66"/>
      <c r="G3682" s="63"/>
      <c r="H3682" s="67"/>
      <c r="I3682" s="68"/>
      <c r="J3682" s="68"/>
      <c r="K3682" s="32"/>
      <c r="L3682" s="75">
        <v>3682</v>
      </c>
      <c r="M3682" s="75"/>
      <c r="N3682" s="70"/>
      <c r="O3682" s="77" t="s">
        <v>179</v>
      </c>
      <c r="P3682" s="79">
        <v>45097.749467592592</v>
      </c>
      <c r="Q3682" s="77" t="s">
        <v>5331</v>
      </c>
      <c r="R3682" s="77">
        <v>0</v>
      </c>
      <c r="S3682" s="77">
        <v>2</v>
      </c>
      <c r="T3682" s="77">
        <v>0</v>
      </c>
      <c r="U3682" s="77">
        <v>0</v>
      </c>
      <c r="V3682" s="77">
        <v>48</v>
      </c>
      <c r="W3682" s="80" t="s">
        <v>8186</v>
      </c>
      <c r="X3682" s="83" t="str">
        <f>HYPERLINK("https://x.gd/0ry0e")</f>
        <v>https://x.gd/0ry0e</v>
      </c>
      <c r="Y3682" s="77" t="s">
        <v>8777</v>
      </c>
      <c r="Z3682" s="77"/>
      <c r="AA3682" s="77" t="s">
        <v>10251</v>
      </c>
      <c r="AB3682" s="77" t="s">
        <v>10535</v>
      </c>
      <c r="AC3682" s="80" t="s">
        <v>10541</v>
      </c>
      <c r="AD3682" s="77" t="s">
        <v>10617</v>
      </c>
      <c r="AE3682" s="83" t="str">
        <f>HYPERLINK("https://twitter.com/seebumuarama/status/1671216151781687296")</f>
        <v>https://twitter.com/seebumuarama/status/1671216151781687296</v>
      </c>
      <c r="AF3682" s="79">
        <v>45097.749467592592</v>
      </c>
      <c r="AG3682" s="85">
        <v>45097</v>
      </c>
      <c r="AH3682" s="80" t="s">
        <v>13824</v>
      </c>
      <c r="AI3682" s="77" t="b">
        <v>0</v>
      </c>
      <c r="AJ3682" s="77"/>
      <c r="AK3682" s="77"/>
      <c r="AL3682" s="77"/>
      <c r="AM3682" s="77"/>
      <c r="AN3682" s="77"/>
      <c r="AO3682" s="77"/>
      <c r="AP3682" s="77"/>
      <c r="AQ3682" s="77" t="s">
        <v>15731</v>
      </c>
      <c r="AR3682" s="77"/>
      <c r="AS3682" s="77"/>
      <c r="AT3682" s="77"/>
      <c r="AU3682" s="77"/>
      <c r="AV3682" s="83" t="str">
        <f>HYPERLINK("https://pbs.twimg.com/media/FzFZ-3tWAA42tLb.jpg")</f>
        <v>https://pbs.twimg.com/media/FzFZ-3tWAA42tLb.jpg</v>
      </c>
      <c r="AW3682" s="80" t="s">
        <v>19386</v>
      </c>
      <c r="AX3682" s="80" t="s">
        <v>19386</v>
      </c>
      <c r="AY3682" s="77"/>
      <c r="AZ3682" s="80" t="s">
        <v>20380</v>
      </c>
      <c r="BA3682" s="80" t="s">
        <v>20380</v>
      </c>
      <c r="BB3682" s="80" t="s">
        <v>20380</v>
      </c>
      <c r="BC3682" s="80" t="s">
        <v>19386</v>
      </c>
      <c r="BD3682" s="80" t="s">
        <v>21106</v>
      </c>
      <c r="BE3682" s="77"/>
      <c r="BF3682" s="77"/>
      <c r="BG3682" s="77"/>
      <c r="BH3682" s="77"/>
      <c r="BI3682" s="77"/>
    </row>
    <row r="3683" spans="1:61" x14ac:dyDescent="0.25">
      <c r="A3683" s="62" t="s">
        <v>1472</v>
      </c>
      <c r="B3683" s="62" t="s">
        <v>1472</v>
      </c>
      <c r="C3683" s="63"/>
      <c r="D3683" s="64"/>
      <c r="E3683" s="65"/>
      <c r="F3683" s="66"/>
      <c r="G3683" s="63"/>
      <c r="H3683" s="67"/>
      <c r="I3683" s="68"/>
      <c r="J3683" s="68"/>
      <c r="K3683" s="32"/>
      <c r="L3683" s="75">
        <v>3683</v>
      </c>
      <c r="M3683" s="75"/>
      <c r="N3683" s="70"/>
      <c r="O3683" s="77" t="s">
        <v>179</v>
      </c>
      <c r="P3683" s="79">
        <v>45097.531736111108</v>
      </c>
      <c r="Q3683" s="77" t="s">
        <v>5332</v>
      </c>
      <c r="R3683" s="77">
        <v>2</v>
      </c>
      <c r="S3683" s="77">
        <v>3</v>
      </c>
      <c r="T3683" s="77">
        <v>1</v>
      </c>
      <c r="U3683" s="77">
        <v>0</v>
      </c>
      <c r="V3683" s="77">
        <v>64</v>
      </c>
      <c r="W3683" s="80" t="s">
        <v>8187</v>
      </c>
      <c r="X3683" s="83" t="str">
        <f>HYPERLINK("https://x.gd/HEuGY")</f>
        <v>https://x.gd/HEuGY</v>
      </c>
      <c r="Y3683" s="77" t="s">
        <v>8777</v>
      </c>
      <c r="Z3683" s="77"/>
      <c r="AA3683" s="77" t="s">
        <v>10252</v>
      </c>
      <c r="AB3683" s="77" t="s">
        <v>10535</v>
      </c>
      <c r="AC3683" s="80" t="s">
        <v>10541</v>
      </c>
      <c r="AD3683" s="77" t="s">
        <v>10617</v>
      </c>
      <c r="AE3683" s="83" t="str">
        <f>HYPERLINK("https://twitter.com/seebumuarama/status/1671137247410675712")</f>
        <v>https://twitter.com/seebumuarama/status/1671137247410675712</v>
      </c>
      <c r="AF3683" s="79">
        <v>45097.531736111108</v>
      </c>
      <c r="AG3683" s="85">
        <v>45097</v>
      </c>
      <c r="AH3683" s="80" t="s">
        <v>13825</v>
      </c>
      <c r="AI3683" s="77" t="b">
        <v>0</v>
      </c>
      <c r="AJ3683" s="77"/>
      <c r="AK3683" s="77"/>
      <c r="AL3683" s="77"/>
      <c r="AM3683" s="77"/>
      <c r="AN3683" s="77"/>
      <c r="AO3683" s="77"/>
      <c r="AP3683" s="77"/>
      <c r="AQ3683" s="77" t="s">
        <v>15732</v>
      </c>
      <c r="AR3683" s="77"/>
      <c r="AS3683" s="77"/>
      <c r="AT3683" s="77"/>
      <c r="AU3683" s="77"/>
      <c r="AV3683" s="83" t="str">
        <f>HYPERLINK("https://pbs.twimg.com/media/FzESGrCXoAAb7NB.jpg")</f>
        <v>https://pbs.twimg.com/media/FzESGrCXoAAb7NB.jpg</v>
      </c>
      <c r="AW3683" s="80" t="s">
        <v>19387</v>
      </c>
      <c r="AX3683" s="80" t="s">
        <v>19387</v>
      </c>
      <c r="AY3683" s="77"/>
      <c r="AZ3683" s="80" t="s">
        <v>20380</v>
      </c>
      <c r="BA3683" s="80" t="s">
        <v>20380</v>
      </c>
      <c r="BB3683" s="80" t="s">
        <v>20380</v>
      </c>
      <c r="BC3683" s="80" t="s">
        <v>19387</v>
      </c>
      <c r="BD3683" s="80" t="s">
        <v>21106</v>
      </c>
      <c r="BE3683" s="77"/>
      <c r="BF3683" s="77"/>
      <c r="BG3683" s="77"/>
      <c r="BH3683" s="77"/>
      <c r="BI3683" s="77"/>
    </row>
    <row r="3684" spans="1:61" x14ac:dyDescent="0.25">
      <c r="A3684" s="62" t="s">
        <v>1472</v>
      </c>
      <c r="B3684" s="62" t="s">
        <v>1472</v>
      </c>
      <c r="C3684" s="63"/>
      <c r="D3684" s="64"/>
      <c r="E3684" s="65"/>
      <c r="F3684" s="66"/>
      <c r="G3684" s="63"/>
      <c r="H3684" s="67"/>
      <c r="I3684" s="68"/>
      <c r="J3684" s="68"/>
      <c r="K3684" s="32"/>
      <c r="L3684" s="75">
        <v>3684</v>
      </c>
      <c r="M3684" s="75"/>
      <c r="N3684" s="70"/>
      <c r="O3684" s="77" t="s">
        <v>179</v>
      </c>
      <c r="P3684" s="79">
        <v>45097.507534722223</v>
      </c>
      <c r="Q3684" s="77" t="s">
        <v>5333</v>
      </c>
      <c r="R3684" s="77">
        <v>0</v>
      </c>
      <c r="S3684" s="77">
        <v>1</v>
      </c>
      <c r="T3684" s="77">
        <v>0</v>
      </c>
      <c r="U3684" s="77">
        <v>0</v>
      </c>
      <c r="V3684" s="77">
        <v>25</v>
      </c>
      <c r="W3684" s="80" t="s">
        <v>8188</v>
      </c>
      <c r="X3684" s="83" t="str">
        <f>HYPERLINK("https://x.gd/HsLvT")</f>
        <v>https://x.gd/HsLvT</v>
      </c>
      <c r="Y3684" s="77" t="s">
        <v>8777</v>
      </c>
      <c r="Z3684" s="77"/>
      <c r="AA3684" s="77" t="s">
        <v>10253</v>
      </c>
      <c r="AB3684" s="77" t="s">
        <v>10535</v>
      </c>
      <c r="AC3684" s="80" t="s">
        <v>10541</v>
      </c>
      <c r="AD3684" s="77" t="s">
        <v>10617</v>
      </c>
      <c r="AE3684" s="83" t="str">
        <f>HYPERLINK("https://twitter.com/seebumuarama/status/1671128474461827074")</f>
        <v>https://twitter.com/seebumuarama/status/1671128474461827074</v>
      </c>
      <c r="AF3684" s="79">
        <v>45097.507534722223</v>
      </c>
      <c r="AG3684" s="85">
        <v>45097</v>
      </c>
      <c r="AH3684" s="80" t="s">
        <v>13826</v>
      </c>
      <c r="AI3684" s="77" t="b">
        <v>0</v>
      </c>
      <c r="AJ3684" s="77"/>
      <c r="AK3684" s="77"/>
      <c r="AL3684" s="77"/>
      <c r="AM3684" s="77"/>
      <c r="AN3684" s="77"/>
      <c r="AO3684" s="77"/>
      <c r="AP3684" s="77"/>
      <c r="AQ3684" s="77" t="s">
        <v>15733</v>
      </c>
      <c r="AR3684" s="77"/>
      <c r="AS3684" s="77"/>
      <c r="AT3684" s="77"/>
      <c r="AU3684" s="77"/>
      <c r="AV3684" s="83" t="str">
        <f>HYPERLINK("https://pbs.twimg.com/media/FzEKHD9WYAQ0MaP.jpg")</f>
        <v>https://pbs.twimg.com/media/FzEKHD9WYAQ0MaP.jpg</v>
      </c>
      <c r="AW3684" s="80" t="s">
        <v>19388</v>
      </c>
      <c r="AX3684" s="80" t="s">
        <v>19388</v>
      </c>
      <c r="AY3684" s="77"/>
      <c r="AZ3684" s="80" t="s">
        <v>20380</v>
      </c>
      <c r="BA3684" s="80" t="s">
        <v>20380</v>
      </c>
      <c r="BB3684" s="80" t="s">
        <v>20380</v>
      </c>
      <c r="BC3684" s="80" t="s">
        <v>19388</v>
      </c>
      <c r="BD3684" s="80" t="s">
        <v>21106</v>
      </c>
      <c r="BE3684" s="77"/>
      <c r="BF3684" s="77"/>
      <c r="BG3684" s="77"/>
      <c r="BH3684" s="77"/>
      <c r="BI3684" s="77"/>
    </row>
    <row r="3685" spans="1:61" x14ac:dyDescent="0.25">
      <c r="A3685" s="62" t="s">
        <v>1472</v>
      </c>
      <c r="B3685" s="62" t="s">
        <v>1472</v>
      </c>
      <c r="C3685" s="63"/>
      <c r="D3685" s="64"/>
      <c r="E3685" s="65"/>
      <c r="F3685" s="66"/>
      <c r="G3685" s="63"/>
      <c r="H3685" s="67"/>
      <c r="I3685" s="68"/>
      <c r="J3685" s="68"/>
      <c r="K3685" s="32"/>
      <c r="L3685" s="75">
        <v>3685</v>
      </c>
      <c r="M3685" s="75"/>
      <c r="N3685" s="70"/>
      <c r="O3685" s="77" t="s">
        <v>179</v>
      </c>
      <c r="P3685" s="79">
        <v>45069.814988425926</v>
      </c>
      <c r="Q3685" s="77" t="s">
        <v>5334</v>
      </c>
      <c r="R3685" s="77">
        <v>0</v>
      </c>
      <c r="S3685" s="77">
        <v>0</v>
      </c>
      <c r="T3685" s="77">
        <v>0</v>
      </c>
      <c r="U3685" s="77">
        <v>0</v>
      </c>
      <c r="V3685" s="77">
        <v>22</v>
      </c>
      <c r="W3685" s="80" t="s">
        <v>8189</v>
      </c>
      <c r="X3685" s="83" t="str">
        <f>HYPERLINK("https://shre.ink/H0jF")</f>
        <v>https://shre.ink/H0jF</v>
      </c>
      <c r="Y3685" s="77" t="s">
        <v>8666</v>
      </c>
      <c r="Z3685" s="77"/>
      <c r="AA3685" s="77" t="s">
        <v>10254</v>
      </c>
      <c r="AB3685" s="77" t="s">
        <v>10535</v>
      </c>
      <c r="AC3685" s="80" t="s">
        <v>10541</v>
      </c>
      <c r="AD3685" s="77" t="s">
        <v>10617</v>
      </c>
      <c r="AE3685" s="83" t="str">
        <f>HYPERLINK("https://twitter.com/seebumuarama/status/1661093033381642245")</f>
        <v>https://twitter.com/seebumuarama/status/1661093033381642245</v>
      </c>
      <c r="AF3685" s="79">
        <v>45069.814988425926</v>
      </c>
      <c r="AG3685" s="85">
        <v>45069</v>
      </c>
      <c r="AH3685" s="80" t="s">
        <v>13827</v>
      </c>
      <c r="AI3685" s="77" t="b">
        <v>0</v>
      </c>
      <c r="AJ3685" s="77"/>
      <c r="AK3685" s="77"/>
      <c r="AL3685" s="77"/>
      <c r="AM3685" s="77"/>
      <c r="AN3685" s="77"/>
      <c r="AO3685" s="77"/>
      <c r="AP3685" s="77"/>
      <c r="AQ3685" s="77" t="s">
        <v>15734</v>
      </c>
      <c r="AR3685" s="77"/>
      <c r="AS3685" s="77"/>
      <c r="AT3685" s="77"/>
      <c r="AU3685" s="77"/>
      <c r="AV3685" s="83" t="str">
        <f>HYPERLINK("https://pbs.twimg.com/media/Fw1jI6dWwAUjGET.png")</f>
        <v>https://pbs.twimg.com/media/Fw1jI6dWwAUjGET.png</v>
      </c>
      <c r="AW3685" s="80" t="s">
        <v>19389</v>
      </c>
      <c r="AX3685" s="80" t="s">
        <v>19389</v>
      </c>
      <c r="AY3685" s="77"/>
      <c r="AZ3685" s="80" t="s">
        <v>20380</v>
      </c>
      <c r="BA3685" s="80" t="s">
        <v>20380</v>
      </c>
      <c r="BB3685" s="80" t="s">
        <v>20380</v>
      </c>
      <c r="BC3685" s="80" t="s">
        <v>19389</v>
      </c>
      <c r="BD3685" s="80" t="s">
        <v>21106</v>
      </c>
      <c r="BE3685" s="77"/>
      <c r="BF3685" s="77"/>
      <c r="BG3685" s="77"/>
      <c r="BH3685" s="77"/>
      <c r="BI3685" s="77"/>
    </row>
    <row r="3686" spans="1:61" x14ac:dyDescent="0.25">
      <c r="A3686" s="62" t="s">
        <v>1472</v>
      </c>
      <c r="B3686" s="62" t="s">
        <v>1472</v>
      </c>
      <c r="C3686" s="63"/>
      <c r="D3686" s="64"/>
      <c r="E3686" s="65"/>
      <c r="F3686" s="66"/>
      <c r="G3686" s="63"/>
      <c r="H3686" s="67"/>
      <c r="I3686" s="68"/>
      <c r="J3686" s="68"/>
      <c r="K3686" s="32"/>
      <c r="L3686" s="75">
        <v>3686</v>
      </c>
      <c r="M3686" s="75"/>
      <c r="N3686" s="70"/>
      <c r="O3686" s="77" t="s">
        <v>179</v>
      </c>
      <c r="P3686" s="79">
        <v>45162.794803240744</v>
      </c>
      <c r="Q3686" s="77" t="s">
        <v>5335</v>
      </c>
      <c r="R3686" s="77">
        <v>0</v>
      </c>
      <c r="S3686" s="77">
        <v>0</v>
      </c>
      <c r="T3686" s="77">
        <v>0</v>
      </c>
      <c r="U3686" s="77">
        <v>0</v>
      </c>
      <c r="V3686" s="77">
        <v>35</v>
      </c>
      <c r="W3686" s="80" t="s">
        <v>8190</v>
      </c>
      <c r="X3686" s="83" t="str">
        <f>HYPERLINK("https://x.gd/sDxMj")</f>
        <v>https://x.gd/sDxMj</v>
      </c>
      <c r="Y3686" s="77" t="s">
        <v>8777</v>
      </c>
      <c r="Z3686" s="77"/>
      <c r="AA3686" s="77" t="s">
        <v>10255</v>
      </c>
      <c r="AB3686" s="77" t="s">
        <v>10535</v>
      </c>
      <c r="AC3686" s="80" t="s">
        <v>10541</v>
      </c>
      <c r="AD3686" s="77" t="s">
        <v>10617</v>
      </c>
      <c r="AE3686" s="83" t="str">
        <f>HYPERLINK("https://twitter.com/seebumuarama/status/1694787789131276293")</f>
        <v>https://twitter.com/seebumuarama/status/1694787789131276293</v>
      </c>
      <c r="AF3686" s="79">
        <v>45162.794803240744</v>
      </c>
      <c r="AG3686" s="85">
        <v>45162</v>
      </c>
      <c r="AH3686" s="80" t="s">
        <v>13828</v>
      </c>
      <c r="AI3686" s="77" t="b">
        <v>0</v>
      </c>
      <c r="AJ3686" s="77"/>
      <c r="AK3686" s="77"/>
      <c r="AL3686" s="77"/>
      <c r="AM3686" s="77"/>
      <c r="AN3686" s="77"/>
      <c r="AO3686" s="77"/>
      <c r="AP3686" s="77"/>
      <c r="AQ3686" s="77" t="s">
        <v>15735</v>
      </c>
      <c r="AR3686" s="77"/>
      <c r="AS3686" s="77"/>
      <c r="AT3686" s="77"/>
      <c r="AU3686" s="77"/>
      <c r="AV3686" s="83" t="str">
        <f>HYPERLINK("https://pbs.twimg.com/media/F4UYP6dWUAACl58.jpg")</f>
        <v>https://pbs.twimg.com/media/F4UYP6dWUAACl58.jpg</v>
      </c>
      <c r="AW3686" s="80" t="s">
        <v>19390</v>
      </c>
      <c r="AX3686" s="80" t="s">
        <v>19390</v>
      </c>
      <c r="AY3686" s="77"/>
      <c r="AZ3686" s="80" t="s">
        <v>20380</v>
      </c>
      <c r="BA3686" s="80" t="s">
        <v>20380</v>
      </c>
      <c r="BB3686" s="80" t="s">
        <v>20380</v>
      </c>
      <c r="BC3686" s="80" t="s">
        <v>19390</v>
      </c>
      <c r="BD3686" s="80" t="s">
        <v>21106</v>
      </c>
      <c r="BE3686" s="77"/>
      <c r="BF3686" s="77"/>
      <c r="BG3686" s="77"/>
      <c r="BH3686" s="77"/>
      <c r="BI3686" s="77"/>
    </row>
    <row r="3687" spans="1:61" x14ac:dyDescent="0.25">
      <c r="A3687" s="62" t="s">
        <v>1472</v>
      </c>
      <c r="B3687" s="62" t="s">
        <v>1472</v>
      </c>
      <c r="C3687" s="63"/>
      <c r="D3687" s="64"/>
      <c r="E3687" s="65"/>
      <c r="F3687" s="66"/>
      <c r="G3687" s="63"/>
      <c r="H3687" s="67"/>
      <c r="I3687" s="68"/>
      <c r="J3687" s="68"/>
      <c r="K3687" s="32"/>
      <c r="L3687" s="75">
        <v>3687</v>
      </c>
      <c r="M3687" s="75"/>
      <c r="N3687" s="70"/>
      <c r="O3687" s="77" t="s">
        <v>179</v>
      </c>
      <c r="P3687" s="79">
        <v>45065.756249999999</v>
      </c>
      <c r="Q3687" s="77" t="s">
        <v>5336</v>
      </c>
      <c r="R3687" s="77">
        <v>0</v>
      </c>
      <c r="S3687" s="77">
        <v>0</v>
      </c>
      <c r="T3687" s="77">
        <v>0</v>
      </c>
      <c r="U3687" s="77">
        <v>0</v>
      </c>
      <c r="V3687" s="77">
        <v>29</v>
      </c>
      <c r="W3687" s="80" t="s">
        <v>8191</v>
      </c>
      <c r="X3687" s="83" t="str">
        <f>HYPERLINK("https://bit.ly/3BKaMmp")</f>
        <v>https://bit.ly/3BKaMmp</v>
      </c>
      <c r="Y3687" s="77" t="s">
        <v>8618</v>
      </c>
      <c r="Z3687" s="77"/>
      <c r="AA3687" s="77" t="s">
        <v>10256</v>
      </c>
      <c r="AB3687" s="77" t="s">
        <v>10535</v>
      </c>
      <c r="AC3687" s="80" t="s">
        <v>10541</v>
      </c>
      <c r="AD3687" s="77" t="s">
        <v>10617</v>
      </c>
      <c r="AE3687" s="83" t="str">
        <f>HYPERLINK("https://twitter.com/seebumuarama/status/1659622196283621381")</f>
        <v>https://twitter.com/seebumuarama/status/1659622196283621381</v>
      </c>
      <c r="AF3687" s="79">
        <v>45065.756249999999</v>
      </c>
      <c r="AG3687" s="85">
        <v>45065</v>
      </c>
      <c r="AH3687" s="80" t="s">
        <v>13829</v>
      </c>
      <c r="AI3687" s="77" t="b">
        <v>0</v>
      </c>
      <c r="AJ3687" s="77"/>
      <c r="AK3687" s="77"/>
      <c r="AL3687" s="77"/>
      <c r="AM3687" s="77"/>
      <c r="AN3687" s="77"/>
      <c r="AO3687" s="77"/>
      <c r="AP3687" s="77"/>
      <c r="AQ3687" s="77" t="s">
        <v>15736</v>
      </c>
      <c r="AR3687" s="77"/>
      <c r="AS3687" s="77"/>
      <c r="AT3687" s="77"/>
      <c r="AU3687" s="77"/>
      <c r="AV3687" s="83" t="str">
        <f>HYPERLINK("https://pbs.twimg.com/media/FwgpatKWIAAYUdq.jpg")</f>
        <v>https://pbs.twimg.com/media/FwgpatKWIAAYUdq.jpg</v>
      </c>
      <c r="AW3687" s="80" t="s">
        <v>19391</v>
      </c>
      <c r="AX3687" s="80" t="s">
        <v>19391</v>
      </c>
      <c r="AY3687" s="77"/>
      <c r="AZ3687" s="80" t="s">
        <v>20380</v>
      </c>
      <c r="BA3687" s="80" t="s">
        <v>20380</v>
      </c>
      <c r="BB3687" s="80" t="s">
        <v>20380</v>
      </c>
      <c r="BC3687" s="80" t="s">
        <v>19391</v>
      </c>
      <c r="BD3687" s="80" t="s">
        <v>21106</v>
      </c>
      <c r="BE3687" s="77"/>
      <c r="BF3687" s="77"/>
      <c r="BG3687" s="77"/>
      <c r="BH3687" s="77"/>
      <c r="BI3687" s="77"/>
    </row>
    <row r="3688" spans="1:61" x14ac:dyDescent="0.25">
      <c r="A3688" s="62" t="s">
        <v>1472</v>
      </c>
      <c r="B3688" s="62" t="s">
        <v>1472</v>
      </c>
      <c r="C3688" s="63"/>
      <c r="D3688" s="64"/>
      <c r="E3688" s="65"/>
      <c r="F3688" s="66"/>
      <c r="G3688" s="63"/>
      <c r="H3688" s="67"/>
      <c r="I3688" s="68"/>
      <c r="J3688" s="68"/>
      <c r="K3688" s="32"/>
      <c r="L3688" s="75">
        <v>3688</v>
      </c>
      <c r="M3688" s="75"/>
      <c r="N3688" s="70"/>
      <c r="O3688" s="77" t="s">
        <v>179</v>
      </c>
      <c r="P3688" s="79">
        <v>45177.592650462961</v>
      </c>
      <c r="Q3688" s="77" t="s">
        <v>5337</v>
      </c>
      <c r="R3688" s="77">
        <v>0</v>
      </c>
      <c r="S3688" s="77">
        <v>0</v>
      </c>
      <c r="T3688" s="77">
        <v>0</v>
      </c>
      <c r="U3688" s="77">
        <v>0</v>
      </c>
      <c r="V3688" s="77">
        <v>22</v>
      </c>
      <c r="W3688" s="80" t="s">
        <v>8192</v>
      </c>
      <c r="X3688" s="83" t="str">
        <f>HYPERLINK("https://n9.cl/behdm")</f>
        <v>https://n9.cl/behdm</v>
      </c>
      <c r="Y3688" s="77" t="s">
        <v>8681</v>
      </c>
      <c r="Z3688" s="77"/>
      <c r="AA3688" s="77" t="s">
        <v>10257</v>
      </c>
      <c r="AB3688" s="77" t="s">
        <v>10535</v>
      </c>
      <c r="AC3688" s="80" t="s">
        <v>10541</v>
      </c>
      <c r="AD3688" s="77" t="s">
        <v>10617</v>
      </c>
      <c r="AE3688" s="83" t="str">
        <f>HYPERLINK("https://twitter.com/seebumuarama/status/1700150349728755791")</f>
        <v>https://twitter.com/seebumuarama/status/1700150349728755791</v>
      </c>
      <c r="AF3688" s="79">
        <v>45177.592650462961</v>
      </c>
      <c r="AG3688" s="85">
        <v>45177</v>
      </c>
      <c r="AH3688" s="80" t="s">
        <v>13830</v>
      </c>
      <c r="AI3688" s="77" t="b">
        <v>0</v>
      </c>
      <c r="AJ3688" s="77"/>
      <c r="AK3688" s="77"/>
      <c r="AL3688" s="77"/>
      <c r="AM3688" s="77"/>
      <c r="AN3688" s="77"/>
      <c r="AO3688" s="77"/>
      <c r="AP3688" s="77"/>
      <c r="AQ3688" s="77" t="s">
        <v>15737</v>
      </c>
      <c r="AR3688" s="77"/>
      <c r="AS3688" s="77"/>
      <c r="AT3688" s="77"/>
      <c r="AU3688" s="77"/>
      <c r="AV3688" s="83" t="str">
        <f>HYPERLINK("https://pbs.twimg.com/media/F5glY7JXcAAwWSX.jpg")</f>
        <v>https://pbs.twimg.com/media/F5glY7JXcAAwWSX.jpg</v>
      </c>
      <c r="AW3688" s="80" t="s">
        <v>19392</v>
      </c>
      <c r="AX3688" s="80" t="s">
        <v>19392</v>
      </c>
      <c r="AY3688" s="77"/>
      <c r="AZ3688" s="80" t="s">
        <v>20380</v>
      </c>
      <c r="BA3688" s="80" t="s">
        <v>20380</v>
      </c>
      <c r="BB3688" s="80" t="s">
        <v>20380</v>
      </c>
      <c r="BC3688" s="80" t="s">
        <v>19392</v>
      </c>
      <c r="BD3688" s="80" t="s">
        <v>21106</v>
      </c>
      <c r="BE3688" s="77"/>
      <c r="BF3688" s="77"/>
      <c r="BG3688" s="77"/>
      <c r="BH3688" s="77"/>
      <c r="BI3688" s="77"/>
    </row>
    <row r="3689" spans="1:61" x14ac:dyDescent="0.25">
      <c r="A3689" s="62" t="s">
        <v>1472</v>
      </c>
      <c r="B3689" s="62" t="s">
        <v>1472</v>
      </c>
      <c r="C3689" s="63"/>
      <c r="D3689" s="64"/>
      <c r="E3689" s="65"/>
      <c r="F3689" s="66"/>
      <c r="G3689" s="63"/>
      <c r="H3689" s="67"/>
      <c r="I3689" s="68"/>
      <c r="J3689" s="68"/>
      <c r="K3689" s="32"/>
      <c r="L3689" s="75">
        <v>3689</v>
      </c>
      <c r="M3689" s="75"/>
      <c r="N3689" s="70"/>
      <c r="O3689" s="77" t="s">
        <v>179</v>
      </c>
      <c r="P3689" s="79">
        <v>45124.604259259257</v>
      </c>
      <c r="Q3689" s="77" t="s">
        <v>5338</v>
      </c>
      <c r="R3689" s="77">
        <v>0</v>
      </c>
      <c r="S3689" s="77">
        <v>1</v>
      </c>
      <c r="T3689" s="77">
        <v>0</v>
      </c>
      <c r="U3689" s="77">
        <v>0</v>
      </c>
      <c r="V3689" s="77">
        <v>26</v>
      </c>
      <c r="W3689" s="80" t="s">
        <v>8193</v>
      </c>
      <c r="X3689" s="83" t="str">
        <f>HYPERLINK("https://x.gd/IcyCG")</f>
        <v>https://x.gd/IcyCG</v>
      </c>
      <c r="Y3689" s="77" t="s">
        <v>8777</v>
      </c>
      <c r="Z3689" s="77"/>
      <c r="AA3689" s="77" t="s">
        <v>10258</v>
      </c>
      <c r="AB3689" s="77" t="s">
        <v>10535</v>
      </c>
      <c r="AC3689" s="80" t="s">
        <v>10541</v>
      </c>
      <c r="AD3689" s="77" t="s">
        <v>10617</v>
      </c>
      <c r="AE3689" s="83" t="str">
        <f>HYPERLINK("https://twitter.com/seebumuarama/status/1680947999902425089")</f>
        <v>https://twitter.com/seebumuarama/status/1680947999902425089</v>
      </c>
      <c r="AF3689" s="79">
        <v>45124.604259259257</v>
      </c>
      <c r="AG3689" s="85">
        <v>45124</v>
      </c>
      <c r="AH3689" s="80" t="s">
        <v>13831</v>
      </c>
      <c r="AI3689" s="77" t="b">
        <v>0</v>
      </c>
      <c r="AJ3689" s="77"/>
      <c r="AK3689" s="77"/>
      <c r="AL3689" s="77"/>
      <c r="AM3689" s="77"/>
      <c r="AN3689" s="77"/>
      <c r="AO3689" s="77"/>
      <c r="AP3689" s="77"/>
      <c r="AQ3689" s="77" t="s">
        <v>15738</v>
      </c>
      <c r="AR3689" s="77"/>
      <c r="AS3689" s="77"/>
      <c r="AT3689" s="77"/>
      <c r="AU3689" s="77"/>
      <c r="AV3689" s="83" t="str">
        <f>HYPERLINK("https://pbs.twimg.com/media/F1Ps3-4WcAEU_y5.jpg")</f>
        <v>https://pbs.twimg.com/media/F1Ps3-4WcAEU_y5.jpg</v>
      </c>
      <c r="AW3689" s="80" t="s">
        <v>19393</v>
      </c>
      <c r="AX3689" s="80" t="s">
        <v>19393</v>
      </c>
      <c r="AY3689" s="77"/>
      <c r="AZ3689" s="80" t="s">
        <v>20380</v>
      </c>
      <c r="BA3689" s="80" t="s">
        <v>20380</v>
      </c>
      <c r="BB3689" s="80" t="s">
        <v>20380</v>
      </c>
      <c r="BC3689" s="80" t="s">
        <v>19393</v>
      </c>
      <c r="BD3689" s="80" t="s">
        <v>21106</v>
      </c>
      <c r="BE3689" s="77"/>
      <c r="BF3689" s="77"/>
      <c r="BG3689" s="77"/>
      <c r="BH3689" s="77"/>
      <c r="BI3689" s="77"/>
    </row>
    <row r="3690" spans="1:61" x14ac:dyDescent="0.25">
      <c r="A3690" s="62" t="s">
        <v>1472</v>
      </c>
      <c r="B3690" s="62" t="s">
        <v>1472</v>
      </c>
      <c r="C3690" s="63"/>
      <c r="D3690" s="64"/>
      <c r="E3690" s="65"/>
      <c r="F3690" s="66"/>
      <c r="G3690" s="63"/>
      <c r="H3690" s="67"/>
      <c r="I3690" s="68"/>
      <c r="J3690" s="68"/>
      <c r="K3690" s="32"/>
      <c r="L3690" s="75">
        <v>3690</v>
      </c>
      <c r="M3690" s="75"/>
      <c r="N3690" s="70"/>
      <c r="O3690" s="77" t="s">
        <v>179</v>
      </c>
      <c r="P3690" s="79">
        <v>45086.789826388886</v>
      </c>
      <c r="Q3690" s="77" t="s">
        <v>5339</v>
      </c>
      <c r="R3690" s="77">
        <v>1</v>
      </c>
      <c r="S3690" s="77">
        <v>2</v>
      </c>
      <c r="T3690" s="77">
        <v>0</v>
      </c>
      <c r="U3690" s="77">
        <v>0</v>
      </c>
      <c r="V3690" s="77">
        <v>46</v>
      </c>
      <c r="W3690" s="80" t="s">
        <v>8194</v>
      </c>
      <c r="X3690" s="83" t="str">
        <f>HYPERLINK("https://shre.ink/HsWZ")</f>
        <v>https://shre.ink/HsWZ</v>
      </c>
      <c r="Y3690" s="77" t="s">
        <v>8666</v>
      </c>
      <c r="Z3690" s="77"/>
      <c r="AA3690" s="77" t="s">
        <v>10259</v>
      </c>
      <c r="AB3690" s="77" t="s">
        <v>10535</v>
      </c>
      <c r="AC3690" s="80" t="s">
        <v>10541</v>
      </c>
      <c r="AD3690" s="77" t="s">
        <v>10617</v>
      </c>
      <c r="AE3690" s="83" t="str">
        <f>HYPERLINK("https://twitter.com/seebumuarama/status/1667244507484639232")</f>
        <v>https://twitter.com/seebumuarama/status/1667244507484639232</v>
      </c>
      <c r="AF3690" s="79">
        <v>45086.789826388886</v>
      </c>
      <c r="AG3690" s="85">
        <v>45086</v>
      </c>
      <c r="AH3690" s="80" t="s">
        <v>13832</v>
      </c>
      <c r="AI3690" s="77" t="b">
        <v>0</v>
      </c>
      <c r="AJ3690" s="77"/>
      <c r="AK3690" s="77"/>
      <c r="AL3690" s="77"/>
      <c r="AM3690" s="77"/>
      <c r="AN3690" s="77"/>
      <c r="AO3690" s="77"/>
      <c r="AP3690" s="77"/>
      <c r="AQ3690" s="77" t="s">
        <v>15739</v>
      </c>
      <c r="AR3690" s="77"/>
      <c r="AS3690" s="77"/>
      <c r="AT3690" s="77"/>
      <c r="AU3690" s="77"/>
      <c r="AV3690" s="83" t="str">
        <f>HYPERLINK("https://pbs.twimg.com/media/FyM9xbHXgAANyZf.jpg")</f>
        <v>https://pbs.twimg.com/media/FyM9xbHXgAANyZf.jpg</v>
      </c>
      <c r="AW3690" s="80" t="s">
        <v>19394</v>
      </c>
      <c r="AX3690" s="80" t="s">
        <v>19394</v>
      </c>
      <c r="AY3690" s="77"/>
      <c r="AZ3690" s="80" t="s">
        <v>20380</v>
      </c>
      <c r="BA3690" s="80" t="s">
        <v>20380</v>
      </c>
      <c r="BB3690" s="80" t="s">
        <v>20380</v>
      </c>
      <c r="BC3690" s="80" t="s">
        <v>19394</v>
      </c>
      <c r="BD3690" s="80" t="s">
        <v>21106</v>
      </c>
      <c r="BE3690" s="77"/>
      <c r="BF3690" s="77"/>
      <c r="BG3690" s="77"/>
      <c r="BH3690" s="77"/>
      <c r="BI3690" s="77"/>
    </row>
    <row r="3691" spans="1:61" x14ac:dyDescent="0.25">
      <c r="A3691" s="62" t="s">
        <v>1472</v>
      </c>
      <c r="B3691" s="62" t="s">
        <v>1472</v>
      </c>
      <c r="C3691" s="63"/>
      <c r="D3691" s="64"/>
      <c r="E3691" s="65"/>
      <c r="F3691" s="66"/>
      <c r="G3691" s="63"/>
      <c r="H3691" s="67"/>
      <c r="I3691" s="68"/>
      <c r="J3691" s="68"/>
      <c r="K3691" s="32"/>
      <c r="L3691" s="75">
        <v>3691</v>
      </c>
      <c r="M3691" s="75"/>
      <c r="N3691" s="70"/>
      <c r="O3691" s="77" t="s">
        <v>179</v>
      </c>
      <c r="P3691" s="79">
        <v>45086.773217592592</v>
      </c>
      <c r="Q3691" s="77" t="s">
        <v>5340</v>
      </c>
      <c r="R3691" s="77">
        <v>0</v>
      </c>
      <c r="S3691" s="77">
        <v>0</v>
      </c>
      <c r="T3691" s="77">
        <v>0</v>
      </c>
      <c r="U3691" s="77">
        <v>0</v>
      </c>
      <c r="V3691" s="77">
        <v>23</v>
      </c>
      <c r="W3691" s="80" t="s">
        <v>8195</v>
      </c>
      <c r="X3691" s="83" t="str">
        <f>HYPERLINK("https://shre.ink/HsqW")</f>
        <v>https://shre.ink/HsqW</v>
      </c>
      <c r="Y3691" s="77" t="s">
        <v>8666</v>
      </c>
      <c r="Z3691" s="77"/>
      <c r="AA3691" s="77" t="s">
        <v>10260</v>
      </c>
      <c r="AB3691" s="77" t="s">
        <v>10535</v>
      </c>
      <c r="AC3691" s="80" t="s">
        <v>10541</v>
      </c>
      <c r="AD3691" s="77" t="s">
        <v>10617</v>
      </c>
      <c r="AE3691" s="83" t="str">
        <f>HYPERLINK("https://twitter.com/seebumuarama/status/1667238492038897671")</f>
        <v>https://twitter.com/seebumuarama/status/1667238492038897671</v>
      </c>
      <c r="AF3691" s="79">
        <v>45086.773217592592</v>
      </c>
      <c r="AG3691" s="85">
        <v>45086</v>
      </c>
      <c r="AH3691" s="80" t="s">
        <v>13833</v>
      </c>
      <c r="AI3691" s="77" t="b">
        <v>0</v>
      </c>
      <c r="AJ3691" s="77"/>
      <c r="AK3691" s="77"/>
      <c r="AL3691" s="77"/>
      <c r="AM3691" s="77"/>
      <c r="AN3691" s="77"/>
      <c r="AO3691" s="77"/>
      <c r="AP3691" s="77"/>
      <c r="AQ3691" s="77" t="s">
        <v>15740</v>
      </c>
      <c r="AR3691" s="77"/>
      <c r="AS3691" s="77"/>
      <c r="AT3691" s="77"/>
      <c r="AU3691" s="77"/>
      <c r="AV3691" s="83" t="str">
        <f>HYPERLINK("https://pbs.twimg.com/media/FyM4XecWwAAWqif.jpg")</f>
        <v>https://pbs.twimg.com/media/FyM4XecWwAAWqif.jpg</v>
      </c>
      <c r="AW3691" s="80" t="s">
        <v>19395</v>
      </c>
      <c r="AX3691" s="80" t="s">
        <v>19395</v>
      </c>
      <c r="AY3691" s="77"/>
      <c r="AZ3691" s="80" t="s">
        <v>20380</v>
      </c>
      <c r="BA3691" s="80" t="s">
        <v>20380</v>
      </c>
      <c r="BB3691" s="80" t="s">
        <v>20380</v>
      </c>
      <c r="BC3691" s="80" t="s">
        <v>19395</v>
      </c>
      <c r="BD3691" s="80" t="s">
        <v>21106</v>
      </c>
      <c r="BE3691" s="77"/>
      <c r="BF3691" s="77"/>
      <c r="BG3691" s="77"/>
      <c r="BH3691" s="77"/>
      <c r="BI3691" s="77"/>
    </row>
    <row r="3692" spans="1:61" x14ac:dyDescent="0.25">
      <c r="A3692" s="62" t="s">
        <v>1472</v>
      </c>
      <c r="B3692" s="62" t="s">
        <v>1472</v>
      </c>
      <c r="C3692" s="63"/>
      <c r="D3692" s="64"/>
      <c r="E3692" s="65"/>
      <c r="F3692" s="66"/>
      <c r="G3692" s="63"/>
      <c r="H3692" s="67"/>
      <c r="I3692" s="68"/>
      <c r="J3692" s="68"/>
      <c r="K3692" s="32"/>
      <c r="L3692" s="75">
        <v>3692</v>
      </c>
      <c r="M3692" s="75"/>
      <c r="N3692" s="70"/>
      <c r="O3692" s="77" t="s">
        <v>179</v>
      </c>
      <c r="P3692" s="79">
        <v>45050.497997685183</v>
      </c>
      <c r="Q3692" s="77" t="s">
        <v>5341</v>
      </c>
      <c r="R3692" s="77">
        <v>0</v>
      </c>
      <c r="S3692" s="77">
        <v>0</v>
      </c>
      <c r="T3692" s="77">
        <v>0</v>
      </c>
      <c r="U3692" s="77">
        <v>0</v>
      </c>
      <c r="V3692" s="77">
        <v>18</v>
      </c>
      <c r="W3692" s="80" t="s">
        <v>8196</v>
      </c>
      <c r="X3692" s="83" t="str">
        <f>HYPERLINK("https://bit.ly/3NF9wrQ")</f>
        <v>https://bit.ly/3NF9wrQ</v>
      </c>
      <c r="Y3692" s="77" t="s">
        <v>8618</v>
      </c>
      <c r="Z3692" s="77"/>
      <c r="AA3692" s="77" t="s">
        <v>10261</v>
      </c>
      <c r="AB3692" s="77" t="s">
        <v>10535</v>
      </c>
      <c r="AC3692" s="80" t="s">
        <v>10541</v>
      </c>
      <c r="AD3692" s="77" t="s">
        <v>10617</v>
      </c>
      <c r="AE3692" s="83" t="str">
        <f>HYPERLINK("https://twitter.com/seebumuarama/status/1654092790651822082")</f>
        <v>https://twitter.com/seebumuarama/status/1654092790651822082</v>
      </c>
      <c r="AF3692" s="79">
        <v>45050.497997685183</v>
      </c>
      <c r="AG3692" s="85">
        <v>45050</v>
      </c>
      <c r="AH3692" s="80" t="s">
        <v>13834</v>
      </c>
      <c r="AI3692" s="77" t="b">
        <v>0</v>
      </c>
      <c r="AJ3692" s="77"/>
      <c r="AK3692" s="77"/>
      <c r="AL3692" s="77"/>
      <c r="AM3692" s="77"/>
      <c r="AN3692" s="77"/>
      <c r="AO3692" s="77"/>
      <c r="AP3692" s="77"/>
      <c r="AQ3692" s="77" t="s">
        <v>15741</v>
      </c>
      <c r="AR3692" s="77"/>
      <c r="AS3692" s="77"/>
      <c r="AT3692" s="77"/>
      <c r="AU3692" s="77"/>
      <c r="AV3692" s="83" t="str">
        <f>HYPERLINK("https://pbs.twimg.com/media/FvSD7tUWIAAuPt3.png")</f>
        <v>https://pbs.twimg.com/media/FvSD7tUWIAAuPt3.png</v>
      </c>
      <c r="AW3692" s="80" t="s">
        <v>19396</v>
      </c>
      <c r="AX3692" s="80" t="s">
        <v>19396</v>
      </c>
      <c r="AY3692" s="77"/>
      <c r="AZ3692" s="80" t="s">
        <v>20380</v>
      </c>
      <c r="BA3692" s="80" t="s">
        <v>20380</v>
      </c>
      <c r="BB3692" s="80" t="s">
        <v>20380</v>
      </c>
      <c r="BC3692" s="80" t="s">
        <v>19396</v>
      </c>
      <c r="BD3692" s="80" t="s">
        <v>21106</v>
      </c>
      <c r="BE3692" s="77"/>
      <c r="BF3692" s="77"/>
      <c r="BG3692" s="77"/>
      <c r="BH3692" s="77"/>
      <c r="BI3692" s="77"/>
    </row>
    <row r="3693" spans="1:61" x14ac:dyDescent="0.25">
      <c r="A3693" s="62" t="s">
        <v>1472</v>
      </c>
      <c r="B3693" s="62" t="s">
        <v>1472</v>
      </c>
      <c r="C3693" s="63"/>
      <c r="D3693" s="64"/>
      <c r="E3693" s="65"/>
      <c r="F3693" s="66"/>
      <c r="G3693" s="63"/>
      <c r="H3693" s="67"/>
      <c r="I3693" s="68"/>
      <c r="J3693" s="68"/>
      <c r="K3693" s="32"/>
      <c r="L3693" s="75">
        <v>3693</v>
      </c>
      <c r="M3693" s="75"/>
      <c r="N3693" s="70"/>
      <c r="O3693" s="77" t="s">
        <v>179</v>
      </c>
      <c r="P3693" s="79">
        <v>45189.865613425929</v>
      </c>
      <c r="Q3693" s="77" t="s">
        <v>5342</v>
      </c>
      <c r="R3693" s="77">
        <v>0</v>
      </c>
      <c r="S3693" s="77">
        <v>1</v>
      </c>
      <c r="T3693" s="77">
        <v>0</v>
      </c>
      <c r="U3693" s="77">
        <v>0</v>
      </c>
      <c r="V3693" s="77">
        <v>152</v>
      </c>
      <c r="W3693" s="80" t="s">
        <v>8197</v>
      </c>
      <c r="X3693" s="83" t="str">
        <f>HYPERLINK("https://x.gd/qfBYM")</f>
        <v>https://x.gd/qfBYM</v>
      </c>
      <c r="Y3693" s="77" t="s">
        <v>8777</v>
      </c>
      <c r="Z3693" s="77"/>
      <c r="AA3693" s="77" t="s">
        <v>10262</v>
      </c>
      <c r="AB3693" s="77" t="s">
        <v>10535</v>
      </c>
      <c r="AC3693" s="80" t="s">
        <v>10541</v>
      </c>
      <c r="AD3693" s="77" t="s">
        <v>10617</v>
      </c>
      <c r="AE3693" s="83" t="str">
        <f>HYPERLINK("https://twitter.com/seebumuarama/status/1704597921822318663")</f>
        <v>https://twitter.com/seebumuarama/status/1704597921822318663</v>
      </c>
      <c r="AF3693" s="79">
        <v>45189.865613425929</v>
      </c>
      <c r="AG3693" s="85">
        <v>45189</v>
      </c>
      <c r="AH3693" s="80" t="s">
        <v>13835</v>
      </c>
      <c r="AI3693" s="77" t="b">
        <v>0</v>
      </c>
      <c r="AJ3693" s="77"/>
      <c r="AK3693" s="77"/>
      <c r="AL3693" s="77"/>
      <c r="AM3693" s="77"/>
      <c r="AN3693" s="77"/>
      <c r="AO3693" s="77"/>
      <c r="AP3693" s="77"/>
      <c r="AQ3693" s="77" t="s">
        <v>15742</v>
      </c>
      <c r="AR3693" s="77"/>
      <c r="AS3693" s="77"/>
      <c r="AT3693" s="77"/>
      <c r="AU3693" s="77"/>
      <c r="AV3693" s="83" t="str">
        <f>HYPERLINK("https://pbs.twimg.com/media/F6fyxRoXcAAWuyX.png")</f>
        <v>https://pbs.twimg.com/media/F6fyxRoXcAAWuyX.png</v>
      </c>
      <c r="AW3693" s="80" t="s">
        <v>19397</v>
      </c>
      <c r="AX3693" s="80" t="s">
        <v>19397</v>
      </c>
      <c r="AY3693" s="77"/>
      <c r="AZ3693" s="80" t="s">
        <v>20380</v>
      </c>
      <c r="BA3693" s="80" t="s">
        <v>20380</v>
      </c>
      <c r="BB3693" s="80" t="s">
        <v>20380</v>
      </c>
      <c r="BC3693" s="80" t="s">
        <v>19397</v>
      </c>
      <c r="BD3693" s="80" t="s">
        <v>21106</v>
      </c>
      <c r="BE3693" s="77"/>
      <c r="BF3693" s="77"/>
      <c r="BG3693" s="77"/>
      <c r="BH3693" s="77"/>
      <c r="BI3693" s="77"/>
    </row>
    <row r="3694" spans="1:61" x14ac:dyDescent="0.25">
      <c r="A3694" s="62" t="s">
        <v>1472</v>
      </c>
      <c r="B3694" s="62" t="s">
        <v>1472</v>
      </c>
      <c r="C3694" s="63"/>
      <c r="D3694" s="64"/>
      <c r="E3694" s="65"/>
      <c r="F3694" s="66"/>
      <c r="G3694" s="63"/>
      <c r="H3694" s="67"/>
      <c r="I3694" s="68"/>
      <c r="J3694" s="68"/>
      <c r="K3694" s="32"/>
      <c r="L3694" s="75">
        <v>3694</v>
      </c>
      <c r="M3694" s="75"/>
      <c r="N3694" s="70"/>
      <c r="O3694" s="77" t="s">
        <v>179</v>
      </c>
      <c r="P3694" s="79">
        <v>45090.759398148148</v>
      </c>
      <c r="Q3694" s="77" t="s">
        <v>5343</v>
      </c>
      <c r="R3694" s="77">
        <v>4</v>
      </c>
      <c r="S3694" s="77">
        <v>7</v>
      </c>
      <c r="T3694" s="77">
        <v>3</v>
      </c>
      <c r="U3694" s="77">
        <v>0</v>
      </c>
      <c r="V3694" s="77">
        <v>108</v>
      </c>
      <c r="W3694" s="80" t="s">
        <v>8198</v>
      </c>
      <c r="X3694" s="83" t="str">
        <f>HYPERLINK("https://shre.ink/ld2i")</f>
        <v>https://shre.ink/ld2i</v>
      </c>
      <c r="Y3694" s="77" t="s">
        <v>8666</v>
      </c>
      <c r="Z3694" s="77"/>
      <c r="AA3694" s="77" t="s">
        <v>10263</v>
      </c>
      <c r="AB3694" s="77" t="s">
        <v>10535</v>
      </c>
      <c r="AC3694" s="80" t="s">
        <v>10541</v>
      </c>
      <c r="AD3694" s="77" t="s">
        <v>10617</v>
      </c>
      <c r="AE3694" s="83" t="str">
        <f>HYPERLINK("https://twitter.com/seebumuarama/status/1668683033338060809")</f>
        <v>https://twitter.com/seebumuarama/status/1668683033338060809</v>
      </c>
      <c r="AF3694" s="79">
        <v>45090.759398148148</v>
      </c>
      <c r="AG3694" s="85">
        <v>45090</v>
      </c>
      <c r="AH3694" s="80" t="s">
        <v>13836</v>
      </c>
      <c r="AI3694" s="77" t="b">
        <v>0</v>
      </c>
      <c r="AJ3694" s="77"/>
      <c r="AK3694" s="77"/>
      <c r="AL3694" s="77"/>
      <c r="AM3694" s="77"/>
      <c r="AN3694" s="77"/>
      <c r="AO3694" s="77"/>
      <c r="AP3694" s="77"/>
      <c r="AQ3694" s="77" t="s">
        <v>15743</v>
      </c>
      <c r="AR3694" s="77"/>
      <c r="AS3694" s="77"/>
      <c r="AT3694" s="77"/>
      <c r="AU3694" s="77"/>
      <c r="AV3694" s="83" t="str">
        <f>HYPERLINK("https://pbs.twimg.com/media/FyhaIPqWIAcNUY4.jpg")</f>
        <v>https://pbs.twimg.com/media/FyhaIPqWIAcNUY4.jpg</v>
      </c>
      <c r="AW3694" s="80" t="s">
        <v>19398</v>
      </c>
      <c r="AX3694" s="80" t="s">
        <v>19398</v>
      </c>
      <c r="AY3694" s="77"/>
      <c r="AZ3694" s="80" t="s">
        <v>20380</v>
      </c>
      <c r="BA3694" s="80" t="s">
        <v>20380</v>
      </c>
      <c r="BB3694" s="80" t="s">
        <v>20380</v>
      </c>
      <c r="BC3694" s="80" t="s">
        <v>19398</v>
      </c>
      <c r="BD3694" s="80" t="s">
        <v>21106</v>
      </c>
      <c r="BE3694" s="77"/>
      <c r="BF3694" s="77"/>
      <c r="BG3694" s="77"/>
      <c r="BH3694" s="77"/>
      <c r="BI3694" s="77"/>
    </row>
    <row r="3695" spans="1:61" x14ac:dyDescent="0.25">
      <c r="A3695" s="62" t="s">
        <v>1472</v>
      </c>
      <c r="B3695" s="62" t="s">
        <v>1472</v>
      </c>
      <c r="C3695" s="63"/>
      <c r="D3695" s="64"/>
      <c r="E3695" s="65"/>
      <c r="F3695" s="66"/>
      <c r="G3695" s="63"/>
      <c r="H3695" s="67"/>
      <c r="I3695" s="68"/>
      <c r="J3695" s="68"/>
      <c r="K3695" s="32"/>
      <c r="L3695" s="75">
        <v>3695</v>
      </c>
      <c r="M3695" s="75"/>
      <c r="N3695" s="70"/>
      <c r="O3695" s="77" t="s">
        <v>179</v>
      </c>
      <c r="P3695" s="79">
        <v>45090.751157407409</v>
      </c>
      <c r="Q3695" s="77" t="s">
        <v>5344</v>
      </c>
      <c r="R3695" s="77">
        <v>0</v>
      </c>
      <c r="S3695" s="77">
        <v>0</v>
      </c>
      <c r="T3695" s="77">
        <v>0</v>
      </c>
      <c r="U3695" s="77">
        <v>0</v>
      </c>
      <c r="V3695" s="77">
        <v>20</v>
      </c>
      <c r="W3695" s="80" t="s">
        <v>8199</v>
      </c>
      <c r="X3695" s="83" t="str">
        <f>HYPERLINK("https://shre.ink/ldtt")</f>
        <v>https://shre.ink/ldtt</v>
      </c>
      <c r="Y3695" s="77" t="s">
        <v>8666</v>
      </c>
      <c r="Z3695" s="77"/>
      <c r="AA3695" s="77" t="s">
        <v>10264</v>
      </c>
      <c r="AB3695" s="77" t="s">
        <v>10535</v>
      </c>
      <c r="AC3695" s="80" t="s">
        <v>10541</v>
      </c>
      <c r="AD3695" s="77" t="s">
        <v>10617</v>
      </c>
      <c r="AE3695" s="83" t="str">
        <f>HYPERLINK("https://twitter.com/seebumuarama/status/1668680048151240726")</f>
        <v>https://twitter.com/seebumuarama/status/1668680048151240726</v>
      </c>
      <c r="AF3695" s="79">
        <v>45090.751157407409</v>
      </c>
      <c r="AG3695" s="85">
        <v>45090</v>
      </c>
      <c r="AH3695" s="80" t="s">
        <v>13837</v>
      </c>
      <c r="AI3695" s="77" t="b">
        <v>0</v>
      </c>
      <c r="AJ3695" s="77"/>
      <c r="AK3695" s="77"/>
      <c r="AL3695" s="77"/>
      <c r="AM3695" s="77"/>
      <c r="AN3695" s="77"/>
      <c r="AO3695" s="77"/>
      <c r="AP3695" s="77"/>
      <c r="AQ3695" s="77" t="s">
        <v>15744</v>
      </c>
      <c r="AR3695" s="77"/>
      <c r="AS3695" s="77"/>
      <c r="AT3695" s="77"/>
      <c r="AU3695" s="77"/>
      <c r="AV3695" s="83" t="str">
        <f>HYPERLINK("https://pbs.twimg.com/media/FyhXOToWIAIFLWS.png")</f>
        <v>https://pbs.twimg.com/media/FyhXOToWIAIFLWS.png</v>
      </c>
      <c r="AW3695" s="80" t="s">
        <v>19399</v>
      </c>
      <c r="AX3695" s="80" t="s">
        <v>19399</v>
      </c>
      <c r="AY3695" s="77"/>
      <c r="AZ3695" s="80" t="s">
        <v>20380</v>
      </c>
      <c r="BA3695" s="80" t="s">
        <v>20380</v>
      </c>
      <c r="BB3695" s="80" t="s">
        <v>20380</v>
      </c>
      <c r="BC3695" s="80" t="s">
        <v>19399</v>
      </c>
      <c r="BD3695" s="80" t="s">
        <v>21106</v>
      </c>
      <c r="BE3695" s="77"/>
      <c r="BF3695" s="77"/>
      <c r="BG3695" s="77"/>
      <c r="BH3695" s="77"/>
      <c r="BI3695" s="77"/>
    </row>
    <row r="3696" spans="1:61" x14ac:dyDescent="0.25">
      <c r="A3696" s="62" t="s">
        <v>1473</v>
      </c>
      <c r="B3696" s="62" t="s">
        <v>1473</v>
      </c>
      <c r="C3696" s="63"/>
      <c r="D3696" s="64"/>
      <c r="E3696" s="65"/>
      <c r="F3696" s="66"/>
      <c r="G3696" s="63"/>
      <c r="H3696" s="67"/>
      <c r="I3696" s="68"/>
      <c r="J3696" s="68"/>
      <c r="K3696" s="32"/>
      <c r="L3696" s="75">
        <v>3696</v>
      </c>
      <c r="M3696" s="75"/>
      <c r="N3696" s="70"/>
      <c r="O3696" s="77" t="s">
        <v>179</v>
      </c>
      <c r="P3696" s="79">
        <v>45061.802511574075</v>
      </c>
      <c r="Q3696" s="77" t="s">
        <v>5345</v>
      </c>
      <c r="R3696" s="77">
        <v>0</v>
      </c>
      <c r="S3696" s="77">
        <v>0</v>
      </c>
      <c r="T3696" s="77">
        <v>0</v>
      </c>
      <c r="U3696" s="77">
        <v>0</v>
      </c>
      <c r="V3696" s="77">
        <v>92</v>
      </c>
      <c r="W3696" s="80" t="s">
        <v>8200</v>
      </c>
      <c r="X3696" s="83" t="str">
        <f>HYPERLINK("https://www.soydeleste.com.ar/2023/05/el-banco-central-dispuso-subir-la-tasa.html?spref=tw")</f>
        <v>https://www.soydeleste.com.ar/2023/05/el-banco-central-dispuso-subir-la-tasa.html?spref=tw</v>
      </c>
      <c r="Y3696" s="77" t="s">
        <v>8624</v>
      </c>
      <c r="Z3696" s="77"/>
      <c r="AA3696" s="77" t="s">
        <v>10265</v>
      </c>
      <c r="AB3696" s="77" t="s">
        <v>10535</v>
      </c>
      <c r="AC3696" s="80" t="s">
        <v>10541</v>
      </c>
      <c r="AD3696" s="77" t="s">
        <v>10620</v>
      </c>
      <c r="AE3696" s="83" t="str">
        <f>HYPERLINK("https://twitter.com/soydelesteok/status/1658189409609474080")</f>
        <v>https://twitter.com/soydelesteok/status/1658189409609474080</v>
      </c>
      <c r="AF3696" s="79">
        <v>45061.802511574075</v>
      </c>
      <c r="AG3696" s="85">
        <v>45061</v>
      </c>
      <c r="AH3696" s="80" t="s">
        <v>13838</v>
      </c>
      <c r="AI3696" s="77" t="b">
        <v>0</v>
      </c>
      <c r="AJ3696" s="77"/>
      <c r="AK3696" s="77"/>
      <c r="AL3696" s="77"/>
      <c r="AM3696" s="77"/>
      <c r="AN3696" s="77"/>
      <c r="AO3696" s="77"/>
      <c r="AP3696" s="77"/>
      <c r="AQ3696" s="77" t="s">
        <v>15745</v>
      </c>
      <c r="AR3696" s="77"/>
      <c r="AS3696" s="77"/>
      <c r="AT3696" s="77"/>
      <c r="AU3696" s="77"/>
      <c r="AV3696" s="83" t="str">
        <f>HYPERLINK("https://pbs.twimg.com/media/FwMSPxIWYAc0ozS.jpg")</f>
        <v>https://pbs.twimg.com/media/FwMSPxIWYAc0ozS.jpg</v>
      </c>
      <c r="AW3696" s="80" t="s">
        <v>19400</v>
      </c>
      <c r="AX3696" s="80" t="s">
        <v>19400</v>
      </c>
      <c r="AY3696" s="77"/>
      <c r="AZ3696" s="80" t="s">
        <v>20380</v>
      </c>
      <c r="BA3696" s="80" t="s">
        <v>20380</v>
      </c>
      <c r="BB3696" s="80" t="s">
        <v>20380</v>
      </c>
      <c r="BC3696" s="80" t="s">
        <v>19400</v>
      </c>
      <c r="BD3696" s="77">
        <v>1596451670</v>
      </c>
      <c r="BE3696" s="77"/>
      <c r="BF3696" s="77"/>
      <c r="BG3696" s="77"/>
      <c r="BH3696" s="77"/>
      <c r="BI3696" s="77"/>
    </row>
    <row r="3697" spans="1:61" x14ac:dyDescent="0.25">
      <c r="A3697" s="62" t="s">
        <v>1473</v>
      </c>
      <c r="B3697" s="62" t="s">
        <v>1473</v>
      </c>
      <c r="C3697" s="63"/>
      <c r="D3697" s="64"/>
      <c r="E3697" s="65"/>
      <c r="F3697" s="66"/>
      <c r="G3697" s="63"/>
      <c r="H3697" s="67"/>
      <c r="I3697" s="68"/>
      <c r="J3697" s="68"/>
      <c r="K3697" s="32"/>
      <c r="L3697" s="75">
        <v>3697</v>
      </c>
      <c r="M3697" s="75"/>
      <c r="N3697" s="70"/>
      <c r="O3697" s="77" t="s">
        <v>179</v>
      </c>
      <c r="P3697" s="79">
        <v>45152.883773148147</v>
      </c>
      <c r="Q3697" s="77" t="s">
        <v>5346</v>
      </c>
      <c r="R3697" s="77">
        <v>0</v>
      </c>
      <c r="S3697" s="77">
        <v>1</v>
      </c>
      <c r="T3697" s="77">
        <v>0</v>
      </c>
      <c r="U3697" s="77">
        <v>0</v>
      </c>
      <c r="V3697" s="77">
        <v>99</v>
      </c>
      <c r="W3697" s="80" t="s">
        <v>8201</v>
      </c>
      <c r="X3697" s="83" t="str">
        <f>HYPERLINK("https://www.soydeleste.com.ar/2023/08/tras-las-paso-el-dolar-oficial-se.html?spref=tw")</f>
        <v>https://www.soydeleste.com.ar/2023/08/tras-las-paso-el-dolar-oficial-se.html?spref=tw</v>
      </c>
      <c r="Y3697" s="77" t="s">
        <v>8624</v>
      </c>
      <c r="Z3697" s="77"/>
      <c r="AA3697" s="77" t="s">
        <v>10266</v>
      </c>
      <c r="AB3697" s="77" t="s">
        <v>10535</v>
      </c>
      <c r="AC3697" s="80" t="s">
        <v>10541</v>
      </c>
      <c r="AD3697" s="77" t="s">
        <v>10620</v>
      </c>
      <c r="AE3697" s="83" t="str">
        <f>HYPERLINK("https://twitter.com/soydelesteok/status/1691196153503612928")</f>
        <v>https://twitter.com/soydelesteok/status/1691196153503612928</v>
      </c>
      <c r="AF3697" s="79">
        <v>45152.883773148147</v>
      </c>
      <c r="AG3697" s="85">
        <v>45152</v>
      </c>
      <c r="AH3697" s="80" t="s">
        <v>13839</v>
      </c>
      <c r="AI3697" s="77" t="b">
        <v>0</v>
      </c>
      <c r="AJ3697" s="77"/>
      <c r="AK3697" s="77"/>
      <c r="AL3697" s="77"/>
      <c r="AM3697" s="77"/>
      <c r="AN3697" s="77"/>
      <c r="AO3697" s="77"/>
      <c r="AP3697" s="77"/>
      <c r="AQ3697" s="77" t="s">
        <v>15746</v>
      </c>
      <c r="AR3697" s="77"/>
      <c r="AS3697" s="77"/>
      <c r="AT3697" s="77"/>
      <c r="AU3697" s="77"/>
      <c r="AV3697" s="83" t="str">
        <f>HYPERLINK("https://pbs.twimg.com/media/F3hVqitWYAA6S8Z.jpg")</f>
        <v>https://pbs.twimg.com/media/F3hVqitWYAA6S8Z.jpg</v>
      </c>
      <c r="AW3697" s="80" t="s">
        <v>19401</v>
      </c>
      <c r="AX3697" s="80" t="s">
        <v>19401</v>
      </c>
      <c r="AY3697" s="77"/>
      <c r="AZ3697" s="80" t="s">
        <v>20380</v>
      </c>
      <c r="BA3697" s="80" t="s">
        <v>20380</v>
      </c>
      <c r="BB3697" s="80" t="s">
        <v>20380</v>
      </c>
      <c r="BC3697" s="80" t="s">
        <v>19401</v>
      </c>
      <c r="BD3697" s="77">
        <v>1596451670</v>
      </c>
      <c r="BE3697" s="77"/>
      <c r="BF3697" s="77"/>
      <c r="BG3697" s="77"/>
      <c r="BH3697" s="77"/>
      <c r="BI3697" s="77"/>
    </row>
    <row r="3698" spans="1:61" x14ac:dyDescent="0.25">
      <c r="A3698" s="62" t="s">
        <v>1474</v>
      </c>
      <c r="B3698" s="62" t="s">
        <v>2044</v>
      </c>
      <c r="C3698" s="63"/>
      <c r="D3698" s="64"/>
      <c r="E3698" s="65"/>
      <c r="F3698" s="66"/>
      <c r="G3698" s="63"/>
      <c r="H3698" s="67"/>
      <c r="I3698" s="68"/>
      <c r="J3698" s="68"/>
      <c r="K3698" s="32"/>
      <c r="L3698" s="75">
        <v>3698</v>
      </c>
      <c r="M3698" s="75"/>
      <c r="N3698" s="70"/>
      <c r="O3698" s="77" t="s">
        <v>2081</v>
      </c>
      <c r="P3698" s="79">
        <v>45184.554988425924</v>
      </c>
      <c r="Q3698" s="77" t="s">
        <v>5347</v>
      </c>
      <c r="R3698" s="77">
        <v>0</v>
      </c>
      <c r="S3698" s="77">
        <v>0</v>
      </c>
      <c r="T3698" s="77">
        <v>0</v>
      </c>
      <c r="U3698" s="77">
        <v>0</v>
      </c>
      <c r="V3698" s="77">
        <v>36</v>
      </c>
      <c r="W3698" s="80" t="s">
        <v>8202</v>
      </c>
      <c r="X3698" s="83" t="str">
        <f>HYPERLINK("https://tinyurl.com/ycy65736")</f>
        <v>https://tinyurl.com/ycy65736</v>
      </c>
      <c r="Y3698" s="77" t="s">
        <v>8670</v>
      </c>
      <c r="Z3698" s="77" t="s">
        <v>2044</v>
      </c>
      <c r="AA3698" s="77" t="s">
        <v>10267</v>
      </c>
      <c r="AB3698" s="77" t="s">
        <v>10534</v>
      </c>
      <c r="AC3698" s="80" t="s">
        <v>10541</v>
      </c>
      <c r="AD3698" s="77" t="s">
        <v>10620</v>
      </c>
      <c r="AE3698" s="83" t="str">
        <f>HYPERLINK("https://twitter.com/postgradosua/status/1702673415742591092")</f>
        <v>https://twitter.com/postgradosua/status/1702673415742591092</v>
      </c>
      <c r="AF3698" s="79">
        <v>45184.554988425924</v>
      </c>
      <c r="AG3698" s="85">
        <v>45184</v>
      </c>
      <c r="AH3698" s="80" t="s">
        <v>13840</v>
      </c>
      <c r="AI3698" s="77" t="b">
        <v>0</v>
      </c>
      <c r="AJ3698" s="77"/>
      <c r="AK3698" s="77"/>
      <c r="AL3698" s="77"/>
      <c r="AM3698" s="77"/>
      <c r="AN3698" s="77"/>
      <c r="AO3698" s="77"/>
      <c r="AP3698" s="77"/>
      <c r="AQ3698" s="77" t="s">
        <v>15747</v>
      </c>
      <c r="AR3698" s="77">
        <v>43109</v>
      </c>
      <c r="AS3698" s="77"/>
      <c r="AT3698" s="77"/>
      <c r="AU3698" s="77"/>
      <c r="AV3698" s="83" t="str">
        <f>HYPERLINK("https://pbs.twimg.com/ext_tw_video_thumb/1702673118970437632/pu/img/4QMeEGPW7GL8EMOZ.jpg")</f>
        <v>https://pbs.twimg.com/ext_tw_video_thumb/1702673118970437632/pu/img/4QMeEGPW7GL8EMOZ.jpg</v>
      </c>
      <c r="AW3698" s="80" t="s">
        <v>19402</v>
      </c>
      <c r="AX3698" s="80" t="s">
        <v>19402</v>
      </c>
      <c r="AY3698" s="77"/>
      <c r="AZ3698" s="80" t="s">
        <v>20380</v>
      </c>
      <c r="BA3698" s="80" t="s">
        <v>20380</v>
      </c>
      <c r="BB3698" s="80" t="s">
        <v>20380</v>
      </c>
      <c r="BC3698" s="80" t="s">
        <v>19402</v>
      </c>
      <c r="BD3698" s="80" t="s">
        <v>21107</v>
      </c>
      <c r="BE3698" s="77"/>
      <c r="BF3698" s="77"/>
      <c r="BG3698" s="77"/>
      <c r="BH3698" s="77"/>
      <c r="BI3698" s="77"/>
    </row>
    <row r="3699" spans="1:61" x14ac:dyDescent="0.25">
      <c r="A3699" s="62" t="s">
        <v>1475</v>
      </c>
      <c r="B3699" s="62" t="s">
        <v>1475</v>
      </c>
      <c r="C3699" s="63"/>
      <c r="D3699" s="64"/>
      <c r="E3699" s="65"/>
      <c r="F3699" s="66"/>
      <c r="G3699" s="63"/>
      <c r="H3699" s="67"/>
      <c r="I3699" s="68"/>
      <c r="J3699" s="68"/>
      <c r="K3699" s="32"/>
      <c r="L3699" s="75">
        <v>3699</v>
      </c>
      <c r="M3699" s="75"/>
      <c r="N3699" s="70"/>
      <c r="O3699" s="77" t="s">
        <v>179</v>
      </c>
      <c r="P3699" s="79">
        <v>45098.882789351854</v>
      </c>
      <c r="Q3699" s="77" t="s">
        <v>5348</v>
      </c>
      <c r="R3699" s="77">
        <v>0</v>
      </c>
      <c r="S3699" s="77">
        <v>0</v>
      </c>
      <c r="T3699" s="77">
        <v>0</v>
      </c>
      <c r="U3699" s="77">
        <v>0</v>
      </c>
      <c r="V3699" s="77">
        <v>53</v>
      </c>
      <c r="W3699" s="80" t="s">
        <v>8203</v>
      </c>
      <c r="X3699" s="77"/>
      <c r="Y3699" s="77"/>
      <c r="Z3699" s="77"/>
      <c r="AA3699" s="77" t="s">
        <v>10268</v>
      </c>
      <c r="AB3699" s="77" t="s">
        <v>10535</v>
      </c>
      <c r="AC3699" s="80" t="s">
        <v>10540</v>
      </c>
      <c r="AD3699" s="77" t="s">
        <v>10617</v>
      </c>
      <c r="AE3699" s="83" t="str">
        <f>HYPERLINK("https://twitter.com/mecfin/status/1671626851373006849")</f>
        <v>https://twitter.com/mecfin/status/1671626851373006849</v>
      </c>
      <c r="AF3699" s="79">
        <v>45098.882789351854</v>
      </c>
      <c r="AG3699" s="85">
        <v>45098</v>
      </c>
      <c r="AH3699" s="80" t="s">
        <v>13841</v>
      </c>
      <c r="AI3699" s="77" t="b">
        <v>0</v>
      </c>
      <c r="AJ3699" s="77"/>
      <c r="AK3699" s="77"/>
      <c r="AL3699" s="77"/>
      <c r="AM3699" s="77"/>
      <c r="AN3699" s="77"/>
      <c r="AO3699" s="77"/>
      <c r="AP3699" s="77"/>
      <c r="AQ3699" s="77" t="s">
        <v>15748</v>
      </c>
      <c r="AR3699" s="77"/>
      <c r="AS3699" s="77"/>
      <c r="AT3699" s="77"/>
      <c r="AU3699" s="77"/>
      <c r="AV3699" s="83" t="str">
        <f>HYPERLINK("https://pbs.twimg.com/media/FzLPwnNWAAEtldG.jpg")</f>
        <v>https://pbs.twimg.com/media/FzLPwnNWAAEtldG.jpg</v>
      </c>
      <c r="AW3699" s="80" t="s">
        <v>19403</v>
      </c>
      <c r="AX3699" s="80" t="s">
        <v>19403</v>
      </c>
      <c r="AY3699" s="77"/>
      <c r="AZ3699" s="80" t="s">
        <v>20380</v>
      </c>
      <c r="BA3699" s="80" t="s">
        <v>20380</v>
      </c>
      <c r="BB3699" s="80" t="s">
        <v>20380</v>
      </c>
      <c r="BC3699" s="80" t="s">
        <v>19403</v>
      </c>
      <c r="BD3699" s="80" t="s">
        <v>21108</v>
      </c>
      <c r="BE3699" s="77"/>
      <c r="BF3699" s="77"/>
      <c r="BG3699" s="77"/>
      <c r="BH3699" s="77"/>
      <c r="BI3699" s="77"/>
    </row>
    <row r="3700" spans="1:61" x14ac:dyDescent="0.25">
      <c r="A3700" s="62" t="s">
        <v>1475</v>
      </c>
      <c r="B3700" s="62" t="s">
        <v>1475</v>
      </c>
      <c r="C3700" s="63"/>
      <c r="D3700" s="64"/>
      <c r="E3700" s="65"/>
      <c r="F3700" s="66"/>
      <c r="G3700" s="63"/>
      <c r="H3700" s="67"/>
      <c r="I3700" s="68"/>
      <c r="J3700" s="68"/>
      <c r="K3700" s="32"/>
      <c r="L3700" s="75">
        <v>3700</v>
      </c>
      <c r="M3700" s="75"/>
      <c r="N3700" s="70"/>
      <c r="O3700" s="77" t="s">
        <v>179</v>
      </c>
      <c r="P3700" s="79">
        <v>45113.414166666669</v>
      </c>
      <c r="Q3700" s="77" t="s">
        <v>5349</v>
      </c>
      <c r="R3700" s="77">
        <v>0</v>
      </c>
      <c r="S3700" s="77">
        <v>0</v>
      </c>
      <c r="T3700" s="77">
        <v>0</v>
      </c>
      <c r="U3700" s="77">
        <v>0</v>
      </c>
      <c r="V3700" s="77">
        <v>80</v>
      </c>
      <c r="W3700" s="80" t="s">
        <v>8204</v>
      </c>
      <c r="X3700" s="77"/>
      <c r="Y3700" s="77"/>
      <c r="Z3700" s="77"/>
      <c r="AA3700" s="77" t="s">
        <v>10269</v>
      </c>
      <c r="AB3700" s="77" t="s">
        <v>10535</v>
      </c>
      <c r="AC3700" s="80" t="s">
        <v>10540</v>
      </c>
      <c r="AD3700" s="77" t="s">
        <v>10617</v>
      </c>
      <c r="AE3700" s="83" t="str">
        <f>HYPERLINK("https://twitter.com/mecfin/status/1676892844777431040")</f>
        <v>https://twitter.com/mecfin/status/1676892844777431040</v>
      </c>
      <c r="AF3700" s="79">
        <v>45113.414166666669</v>
      </c>
      <c r="AG3700" s="85">
        <v>45113</v>
      </c>
      <c r="AH3700" s="80" t="s">
        <v>13842</v>
      </c>
      <c r="AI3700" s="77" t="b">
        <v>0</v>
      </c>
      <c r="AJ3700" s="77"/>
      <c r="AK3700" s="77"/>
      <c r="AL3700" s="77"/>
      <c r="AM3700" s="77"/>
      <c r="AN3700" s="77"/>
      <c r="AO3700" s="77"/>
      <c r="AP3700" s="77"/>
      <c r="AQ3700" s="77" t="s">
        <v>15749</v>
      </c>
      <c r="AR3700" s="77"/>
      <c r="AS3700" s="77"/>
      <c r="AT3700" s="77"/>
      <c r="AU3700" s="77"/>
      <c r="AV3700" s="83" t="str">
        <f>HYPERLINK("https://pbs.twimg.com/media/F0WFJ5PXwAEY-qV.jpg")</f>
        <v>https://pbs.twimg.com/media/F0WFJ5PXwAEY-qV.jpg</v>
      </c>
      <c r="AW3700" s="80" t="s">
        <v>19404</v>
      </c>
      <c r="AX3700" s="80" t="s">
        <v>19404</v>
      </c>
      <c r="AY3700" s="77"/>
      <c r="AZ3700" s="80" t="s">
        <v>20380</v>
      </c>
      <c r="BA3700" s="80" t="s">
        <v>20380</v>
      </c>
      <c r="BB3700" s="80" t="s">
        <v>20380</v>
      </c>
      <c r="BC3700" s="80" t="s">
        <v>19404</v>
      </c>
      <c r="BD3700" s="80" t="s">
        <v>21108</v>
      </c>
      <c r="BE3700" s="77"/>
      <c r="BF3700" s="77"/>
      <c r="BG3700" s="77"/>
      <c r="BH3700" s="77"/>
      <c r="BI3700" s="77"/>
    </row>
    <row r="3701" spans="1:61" x14ac:dyDescent="0.25">
      <c r="A3701" s="62" t="s">
        <v>1476</v>
      </c>
      <c r="B3701" s="62" t="s">
        <v>1655</v>
      </c>
      <c r="C3701" s="63"/>
      <c r="D3701" s="64"/>
      <c r="E3701" s="65"/>
      <c r="F3701" s="66"/>
      <c r="G3701" s="63"/>
      <c r="H3701" s="67"/>
      <c r="I3701" s="68"/>
      <c r="J3701" s="68"/>
      <c r="K3701" s="32"/>
      <c r="L3701" s="75">
        <v>3701</v>
      </c>
      <c r="M3701" s="75"/>
      <c r="N3701" s="70"/>
      <c r="O3701" s="77" t="s">
        <v>2083</v>
      </c>
      <c r="P3701" s="79">
        <v>45191.141828703701</v>
      </c>
      <c r="Q3701" s="77" t="s">
        <v>2120</v>
      </c>
      <c r="R3701" s="77">
        <v>57</v>
      </c>
      <c r="S3701" s="77">
        <v>0</v>
      </c>
      <c r="T3701" s="77">
        <v>0</v>
      </c>
      <c r="U3701" s="77">
        <v>0</v>
      </c>
      <c r="V3701" s="77"/>
      <c r="W3701" s="80" t="s">
        <v>5917</v>
      </c>
      <c r="X3701" s="77"/>
      <c r="Y3701" s="77"/>
      <c r="Z3701" s="77" t="s">
        <v>1655</v>
      </c>
      <c r="AA3701" s="77"/>
      <c r="AB3701" s="77"/>
      <c r="AC3701" s="80" t="s">
        <v>10540</v>
      </c>
      <c r="AD3701" s="77" t="s">
        <v>10617</v>
      </c>
      <c r="AE3701" s="83" t="str">
        <f>HYPERLINK("https://twitter.com/fmsazeytona/status/1705060408443158733")</f>
        <v>https://twitter.com/fmsazeytona/status/1705060408443158733</v>
      </c>
      <c r="AF3701" s="79">
        <v>45191.141828703701</v>
      </c>
      <c r="AG3701" s="85">
        <v>45191</v>
      </c>
      <c r="AH3701" s="80" t="s">
        <v>13843</v>
      </c>
      <c r="AI3701" s="77"/>
      <c r="AJ3701" s="77"/>
      <c r="AK3701" s="77"/>
      <c r="AL3701" s="77"/>
      <c r="AM3701" s="77"/>
      <c r="AN3701" s="77"/>
      <c r="AO3701" s="77"/>
      <c r="AP3701" s="77"/>
      <c r="AQ3701" s="77"/>
      <c r="AR3701" s="77"/>
      <c r="AS3701" s="77"/>
      <c r="AT3701" s="77"/>
      <c r="AU3701" s="77"/>
      <c r="AV3701" s="83" t="str">
        <f>HYPERLINK("https://pbs.twimg.com/profile_images/1567958358774145030/I7Ceq0KD_normal.jpg")</f>
        <v>https://pbs.twimg.com/profile_images/1567958358774145030/I7Ceq0KD_normal.jpg</v>
      </c>
      <c r="AW3701" s="80" t="s">
        <v>19405</v>
      </c>
      <c r="AX3701" s="80" t="s">
        <v>19405</v>
      </c>
      <c r="AY3701" s="77"/>
      <c r="AZ3701" s="80" t="s">
        <v>20380</v>
      </c>
      <c r="BA3701" s="80" t="s">
        <v>20380</v>
      </c>
      <c r="BB3701" s="80" t="s">
        <v>19843</v>
      </c>
      <c r="BC3701" s="80" t="s">
        <v>19843</v>
      </c>
      <c r="BD3701" s="80" t="s">
        <v>21109</v>
      </c>
      <c r="BE3701" s="77"/>
      <c r="BF3701" s="77"/>
      <c r="BG3701" s="77"/>
      <c r="BH3701" s="77"/>
      <c r="BI3701" s="77"/>
    </row>
    <row r="3702" spans="1:61" x14ac:dyDescent="0.25">
      <c r="A3702" s="62" t="s">
        <v>1477</v>
      </c>
      <c r="B3702" s="62" t="s">
        <v>1477</v>
      </c>
      <c r="C3702" s="63"/>
      <c r="D3702" s="64"/>
      <c r="E3702" s="65"/>
      <c r="F3702" s="66"/>
      <c r="G3702" s="63"/>
      <c r="H3702" s="67"/>
      <c r="I3702" s="68"/>
      <c r="J3702" s="68"/>
      <c r="K3702" s="32"/>
      <c r="L3702" s="75">
        <v>3702</v>
      </c>
      <c r="M3702" s="75"/>
      <c r="N3702" s="70"/>
      <c r="O3702" s="77" t="s">
        <v>179</v>
      </c>
      <c r="P3702" s="79">
        <v>45184.230787037035</v>
      </c>
      <c r="Q3702" s="77" t="s">
        <v>5350</v>
      </c>
      <c r="R3702" s="77">
        <v>0</v>
      </c>
      <c r="S3702" s="77">
        <v>0</v>
      </c>
      <c r="T3702" s="77">
        <v>0</v>
      </c>
      <c r="U3702" s="77">
        <v>0</v>
      </c>
      <c r="V3702" s="77">
        <v>19</v>
      </c>
      <c r="W3702" s="80" t="s">
        <v>8205</v>
      </c>
      <c r="X3702" s="83" t="str">
        <f>HYPERLINK("https://www.elfinancierocr.com/finanzas/despues-de-guardar-silencio-bac-credomatic/7677QIB32JDJFK6QUZS66SMNAI/story/")</f>
        <v>https://www.elfinancierocr.com/finanzas/despues-de-guardar-silencio-bac-credomatic/7677QIB32JDJFK6QUZS66SMNAI/story/</v>
      </c>
      <c r="Y3702" s="77" t="s">
        <v>8856</v>
      </c>
      <c r="Z3702" s="77"/>
      <c r="AA3702" s="77"/>
      <c r="AB3702" s="77"/>
      <c r="AC3702" s="80" t="s">
        <v>10540</v>
      </c>
      <c r="AD3702" s="77" t="s">
        <v>10620</v>
      </c>
      <c r="AE3702" s="83" t="str">
        <f>HYPERLINK("https://twitter.com/datogeek/status/1702555929072242742")</f>
        <v>https://twitter.com/datogeek/status/1702555929072242742</v>
      </c>
      <c r="AF3702" s="79">
        <v>45184.230787037035</v>
      </c>
      <c r="AG3702" s="85">
        <v>45184</v>
      </c>
      <c r="AH3702" s="80" t="s">
        <v>12767</v>
      </c>
      <c r="AI3702" s="77" t="b">
        <v>0</v>
      </c>
      <c r="AJ3702" s="77"/>
      <c r="AK3702" s="77"/>
      <c r="AL3702" s="77"/>
      <c r="AM3702" s="77"/>
      <c r="AN3702" s="77"/>
      <c r="AO3702" s="77"/>
      <c r="AP3702" s="77"/>
      <c r="AQ3702" s="77"/>
      <c r="AR3702" s="77"/>
      <c r="AS3702" s="77"/>
      <c r="AT3702" s="77"/>
      <c r="AU3702" s="77"/>
      <c r="AV3702" s="83" t="str">
        <f>HYPERLINK("https://pbs.twimg.com/profile_images/1493807351782068225/BkBR7BKW_normal.jpg")</f>
        <v>https://pbs.twimg.com/profile_images/1493807351782068225/BkBR7BKW_normal.jpg</v>
      </c>
      <c r="AW3702" s="80" t="s">
        <v>19406</v>
      </c>
      <c r="AX3702" s="80" t="s">
        <v>19406</v>
      </c>
      <c r="AY3702" s="77"/>
      <c r="AZ3702" s="80" t="s">
        <v>20380</v>
      </c>
      <c r="BA3702" s="80" t="s">
        <v>20380</v>
      </c>
      <c r="BB3702" s="80" t="s">
        <v>20380</v>
      </c>
      <c r="BC3702" s="80" t="s">
        <v>19406</v>
      </c>
      <c r="BD3702" s="77">
        <v>161321848</v>
      </c>
      <c r="BE3702" s="77"/>
      <c r="BF3702" s="77"/>
      <c r="BG3702" s="77"/>
      <c r="BH3702" s="77"/>
      <c r="BI3702" s="77"/>
    </row>
    <row r="3703" spans="1:61" x14ac:dyDescent="0.25">
      <c r="A3703" s="62" t="s">
        <v>1478</v>
      </c>
      <c r="B3703" s="62" t="s">
        <v>1478</v>
      </c>
      <c r="C3703" s="63"/>
      <c r="D3703" s="64"/>
      <c r="E3703" s="65"/>
      <c r="F3703" s="66"/>
      <c r="G3703" s="63"/>
      <c r="H3703" s="67"/>
      <c r="I3703" s="68"/>
      <c r="J3703" s="68"/>
      <c r="K3703" s="32"/>
      <c r="L3703" s="75">
        <v>3703</v>
      </c>
      <c r="M3703" s="75"/>
      <c r="N3703" s="70"/>
      <c r="O3703" s="77" t="s">
        <v>179</v>
      </c>
      <c r="P3703" s="79">
        <v>45152.596608796295</v>
      </c>
      <c r="Q3703" s="77" t="s">
        <v>5351</v>
      </c>
      <c r="R3703" s="77">
        <v>1</v>
      </c>
      <c r="S3703" s="77">
        <v>2</v>
      </c>
      <c r="T3703" s="77">
        <v>1</v>
      </c>
      <c r="U3703" s="77">
        <v>0</v>
      </c>
      <c r="V3703" s="77">
        <v>748</v>
      </c>
      <c r="W3703" s="80" t="s">
        <v>8206</v>
      </c>
      <c r="X3703" s="83" t="str">
        <f>HYPERLINK("https://t.me/MundoCriptok")</f>
        <v>https://t.me/MundoCriptok</v>
      </c>
      <c r="Y3703" s="77" t="s">
        <v>8857</v>
      </c>
      <c r="Z3703" s="77"/>
      <c r="AA3703" s="77"/>
      <c r="AB3703" s="77"/>
      <c r="AC3703" s="80" t="s">
        <v>10541</v>
      </c>
      <c r="AD3703" s="77" t="s">
        <v>10620</v>
      </c>
      <c r="AE3703" s="83" t="str">
        <f>HYPERLINK("https://twitter.com/mundocriptok/status/1691092089768140800")</f>
        <v>https://twitter.com/mundocriptok/status/1691092089768140800</v>
      </c>
      <c r="AF3703" s="79">
        <v>45152.596608796295</v>
      </c>
      <c r="AG3703" s="85">
        <v>45152</v>
      </c>
      <c r="AH3703" s="80" t="s">
        <v>13844</v>
      </c>
      <c r="AI3703" s="77" t="b">
        <v>0</v>
      </c>
      <c r="AJ3703" s="77"/>
      <c r="AK3703" s="77"/>
      <c r="AL3703" s="77"/>
      <c r="AM3703" s="77"/>
      <c r="AN3703" s="77"/>
      <c r="AO3703" s="77"/>
      <c r="AP3703" s="77"/>
      <c r="AQ3703" s="77"/>
      <c r="AR3703" s="77"/>
      <c r="AS3703" s="77"/>
      <c r="AT3703" s="77"/>
      <c r="AU3703" s="77"/>
      <c r="AV3703" s="83" t="str">
        <f>HYPERLINK("https://pbs.twimg.com/profile_images/1632860028381134848/ACf9itvg_normal.jpg")</f>
        <v>https://pbs.twimg.com/profile_images/1632860028381134848/ACf9itvg_normal.jpg</v>
      </c>
      <c r="AW3703" s="80" t="s">
        <v>19407</v>
      </c>
      <c r="AX3703" s="80" t="s">
        <v>19407</v>
      </c>
      <c r="AY3703" s="77"/>
      <c r="AZ3703" s="80" t="s">
        <v>20380</v>
      </c>
      <c r="BA3703" s="80" t="s">
        <v>20380</v>
      </c>
      <c r="BB3703" s="80" t="s">
        <v>20380</v>
      </c>
      <c r="BC3703" s="80" t="s">
        <v>19407</v>
      </c>
      <c r="BD3703" s="77">
        <v>2902358855</v>
      </c>
      <c r="BE3703" s="77"/>
      <c r="BF3703" s="77"/>
      <c r="BG3703" s="77"/>
      <c r="BH3703" s="77"/>
      <c r="BI3703" s="77"/>
    </row>
    <row r="3704" spans="1:61" x14ac:dyDescent="0.25">
      <c r="A3704" s="62" t="s">
        <v>1478</v>
      </c>
      <c r="B3704" s="62" t="s">
        <v>1478</v>
      </c>
      <c r="C3704" s="63"/>
      <c r="D3704" s="64"/>
      <c r="E3704" s="65"/>
      <c r="F3704" s="66"/>
      <c r="G3704" s="63"/>
      <c r="H3704" s="67"/>
      <c r="I3704" s="68"/>
      <c r="J3704" s="68"/>
      <c r="K3704" s="32"/>
      <c r="L3704" s="75">
        <v>3704</v>
      </c>
      <c r="M3704" s="75"/>
      <c r="N3704" s="70"/>
      <c r="O3704" s="77" t="s">
        <v>2083</v>
      </c>
      <c r="P3704" s="79">
        <v>45195.084444444445</v>
      </c>
      <c r="Q3704" s="77" t="s">
        <v>5352</v>
      </c>
      <c r="R3704" s="77">
        <v>1</v>
      </c>
      <c r="S3704" s="77">
        <v>0</v>
      </c>
      <c r="T3704" s="77">
        <v>0</v>
      </c>
      <c r="U3704" s="77">
        <v>0</v>
      </c>
      <c r="V3704" s="77"/>
      <c r="W3704" s="77"/>
      <c r="X3704" s="77"/>
      <c r="Y3704" s="77"/>
      <c r="Z3704" s="77" t="s">
        <v>1478</v>
      </c>
      <c r="AA3704" s="77"/>
      <c r="AB3704" s="77"/>
      <c r="AC3704" s="80" t="s">
        <v>10541</v>
      </c>
      <c r="AD3704" s="77" t="s">
        <v>10620</v>
      </c>
      <c r="AE3704" s="83" t="str">
        <f>HYPERLINK("https://twitter.com/mundocriptok/status/1706489164370190678")</f>
        <v>https://twitter.com/mundocriptok/status/1706489164370190678</v>
      </c>
      <c r="AF3704" s="79">
        <v>45195.084444444445</v>
      </c>
      <c r="AG3704" s="85">
        <v>45195</v>
      </c>
      <c r="AH3704" s="80" t="s">
        <v>13845</v>
      </c>
      <c r="AI3704" s="77" t="b">
        <v>0</v>
      </c>
      <c r="AJ3704" s="77"/>
      <c r="AK3704" s="77"/>
      <c r="AL3704" s="77"/>
      <c r="AM3704" s="77"/>
      <c r="AN3704" s="77"/>
      <c r="AO3704" s="77"/>
      <c r="AP3704" s="77"/>
      <c r="AQ3704" s="77"/>
      <c r="AR3704" s="77"/>
      <c r="AS3704" s="77"/>
      <c r="AT3704" s="77"/>
      <c r="AU3704" s="77"/>
      <c r="AV3704" s="83" t="str">
        <f>HYPERLINK("https://pbs.twimg.com/profile_images/1632860028381134848/ACf9itvg_normal.jpg")</f>
        <v>https://pbs.twimg.com/profile_images/1632860028381134848/ACf9itvg_normal.jpg</v>
      </c>
      <c r="AW3704" s="80" t="s">
        <v>19408</v>
      </c>
      <c r="AX3704" s="80" t="s">
        <v>19408</v>
      </c>
      <c r="AY3704" s="77"/>
      <c r="AZ3704" s="80" t="s">
        <v>20380</v>
      </c>
      <c r="BA3704" s="80" t="s">
        <v>20380</v>
      </c>
      <c r="BB3704" s="80" t="s">
        <v>19407</v>
      </c>
      <c r="BC3704" s="80" t="s">
        <v>19407</v>
      </c>
      <c r="BD3704" s="77">
        <v>2902358855</v>
      </c>
      <c r="BE3704" s="77"/>
      <c r="BF3704" s="77"/>
      <c r="BG3704" s="77"/>
      <c r="BH3704" s="77"/>
      <c r="BI3704" s="77"/>
    </row>
    <row r="3705" spans="1:61" x14ac:dyDescent="0.25">
      <c r="A3705" s="62" t="s">
        <v>1479</v>
      </c>
      <c r="B3705" s="62" t="s">
        <v>1479</v>
      </c>
      <c r="C3705" s="63"/>
      <c r="D3705" s="64"/>
      <c r="E3705" s="65"/>
      <c r="F3705" s="66"/>
      <c r="G3705" s="63"/>
      <c r="H3705" s="67"/>
      <c r="I3705" s="68"/>
      <c r="J3705" s="68"/>
      <c r="K3705" s="32"/>
      <c r="L3705" s="75">
        <v>3705</v>
      </c>
      <c r="M3705" s="75"/>
      <c r="N3705" s="70"/>
      <c r="O3705" s="77" t="s">
        <v>179</v>
      </c>
      <c r="P3705" s="79">
        <v>45064.93072916667</v>
      </c>
      <c r="Q3705" s="77" t="s">
        <v>5353</v>
      </c>
      <c r="R3705" s="77">
        <v>0</v>
      </c>
      <c r="S3705" s="77">
        <v>0</v>
      </c>
      <c r="T3705" s="77">
        <v>0</v>
      </c>
      <c r="U3705" s="77">
        <v>0</v>
      </c>
      <c r="V3705" s="77">
        <v>34</v>
      </c>
      <c r="W3705" s="80" t="s">
        <v>8207</v>
      </c>
      <c r="X3705" s="83" t="str">
        <f>HYPERLINK("https://www.diariolibre.com/economia/macroeconomia/2023/05/15/construccion-y-mineria-se-contraen-en-enero-marzo-de-2023/2313748")</f>
        <v>https://www.diariolibre.com/economia/macroeconomia/2023/05/15/construccion-y-mineria-se-contraen-en-enero-marzo-de-2023/2313748</v>
      </c>
      <c r="Y3705" s="77" t="s">
        <v>8858</v>
      </c>
      <c r="Z3705" s="77"/>
      <c r="AA3705" s="77"/>
      <c r="AB3705" s="77"/>
      <c r="AC3705" s="80" t="s">
        <v>10540</v>
      </c>
      <c r="AD3705" s="77" t="s">
        <v>10620</v>
      </c>
      <c r="AE3705" s="83" t="str">
        <f>HYPERLINK("https://twitter.com/mineromiguelp/status/1659323039035654146")</f>
        <v>https://twitter.com/mineromiguelp/status/1659323039035654146</v>
      </c>
      <c r="AF3705" s="79">
        <v>45064.93072916667</v>
      </c>
      <c r="AG3705" s="85">
        <v>45064</v>
      </c>
      <c r="AH3705" s="80" t="s">
        <v>13846</v>
      </c>
      <c r="AI3705" s="77" t="b">
        <v>0</v>
      </c>
      <c r="AJ3705" s="77"/>
      <c r="AK3705" s="77"/>
      <c r="AL3705" s="77"/>
      <c r="AM3705" s="77"/>
      <c r="AN3705" s="77"/>
      <c r="AO3705" s="77"/>
      <c r="AP3705" s="77"/>
      <c r="AQ3705" s="77"/>
      <c r="AR3705" s="77"/>
      <c r="AS3705" s="77"/>
      <c r="AT3705" s="77"/>
      <c r="AU3705" s="77"/>
      <c r="AV3705" s="83" t="str">
        <f>HYPERLINK("https://pbs.twimg.com/profile_images/1616102487848534017/qpU74LFH_normal.jpg")</f>
        <v>https://pbs.twimg.com/profile_images/1616102487848534017/qpU74LFH_normal.jpg</v>
      </c>
      <c r="AW3705" s="80" t="s">
        <v>19409</v>
      </c>
      <c r="AX3705" s="80" t="s">
        <v>19409</v>
      </c>
      <c r="AY3705" s="77"/>
      <c r="AZ3705" s="80" t="s">
        <v>20380</v>
      </c>
      <c r="BA3705" s="80" t="s">
        <v>20380</v>
      </c>
      <c r="BB3705" s="80" t="s">
        <v>20380</v>
      </c>
      <c r="BC3705" s="80" t="s">
        <v>19409</v>
      </c>
      <c r="BD3705" s="80" t="s">
        <v>21110</v>
      </c>
      <c r="BE3705" s="77"/>
      <c r="BF3705" s="77"/>
      <c r="BG3705" s="77"/>
      <c r="BH3705" s="77"/>
      <c r="BI3705" s="77"/>
    </row>
    <row r="3706" spans="1:61" x14ac:dyDescent="0.25">
      <c r="A3706" s="62" t="s">
        <v>1480</v>
      </c>
      <c r="B3706" s="62" t="s">
        <v>1480</v>
      </c>
      <c r="C3706" s="63"/>
      <c r="D3706" s="64"/>
      <c r="E3706" s="65"/>
      <c r="F3706" s="66"/>
      <c r="G3706" s="63"/>
      <c r="H3706" s="67"/>
      <c r="I3706" s="68"/>
      <c r="J3706" s="68"/>
      <c r="K3706" s="32"/>
      <c r="L3706" s="75">
        <v>3706</v>
      </c>
      <c r="M3706" s="75"/>
      <c r="N3706" s="70"/>
      <c r="O3706" s="77" t="s">
        <v>179</v>
      </c>
      <c r="P3706" s="79">
        <v>45058.971747685187</v>
      </c>
      <c r="Q3706" s="77" t="s">
        <v>5354</v>
      </c>
      <c r="R3706" s="77">
        <v>0</v>
      </c>
      <c r="S3706" s="77">
        <v>1</v>
      </c>
      <c r="T3706" s="77">
        <v>0</v>
      </c>
      <c r="U3706" s="77">
        <v>0</v>
      </c>
      <c r="V3706" s="77">
        <v>58</v>
      </c>
      <c r="W3706" s="80" t="s">
        <v>6143</v>
      </c>
      <c r="X3706" s="83" t="str">
        <f>HYPERLINK("https://www.pharmabiz.net/industria-farma-carta-por-normativa-cambiaria/")</f>
        <v>https://www.pharmabiz.net/industria-farma-carta-por-normativa-cambiaria/</v>
      </c>
      <c r="Y3706" s="77" t="s">
        <v>8654</v>
      </c>
      <c r="Z3706" s="77"/>
      <c r="AA3706" s="77" t="s">
        <v>10270</v>
      </c>
      <c r="AB3706" s="77" t="s">
        <v>10535</v>
      </c>
      <c r="AC3706" s="80" t="s">
        <v>10541</v>
      </c>
      <c r="AD3706" s="77" t="s">
        <v>10620</v>
      </c>
      <c r="AE3706" s="83" t="str">
        <f>HYPERLINK("https://twitter.com/cristinakroll/status/1657163576073768967")</f>
        <v>https://twitter.com/cristinakroll/status/1657163576073768967</v>
      </c>
      <c r="AF3706" s="79">
        <v>45058.971747685187</v>
      </c>
      <c r="AG3706" s="85">
        <v>45058</v>
      </c>
      <c r="AH3706" s="80" t="s">
        <v>13847</v>
      </c>
      <c r="AI3706" s="77" t="b">
        <v>0</v>
      </c>
      <c r="AJ3706" s="77"/>
      <c r="AK3706" s="77"/>
      <c r="AL3706" s="77"/>
      <c r="AM3706" s="77"/>
      <c r="AN3706" s="77"/>
      <c r="AO3706" s="77"/>
      <c r="AP3706" s="77"/>
      <c r="AQ3706" s="77" t="s">
        <v>15750</v>
      </c>
      <c r="AR3706" s="77"/>
      <c r="AS3706" s="77"/>
      <c r="AT3706" s="77"/>
      <c r="AU3706" s="77"/>
      <c r="AV3706" s="83" t="str">
        <f>HYPERLINK("https://pbs.twimg.com/media/Fv9te6DWcAADAG_.jpg")</f>
        <v>https://pbs.twimg.com/media/Fv9te6DWcAADAG_.jpg</v>
      </c>
      <c r="AW3706" s="80" t="s">
        <v>19410</v>
      </c>
      <c r="AX3706" s="80" t="s">
        <v>19410</v>
      </c>
      <c r="AY3706" s="77"/>
      <c r="AZ3706" s="80" t="s">
        <v>20380</v>
      </c>
      <c r="BA3706" s="80" t="s">
        <v>20380</v>
      </c>
      <c r="BB3706" s="80" t="s">
        <v>20380</v>
      </c>
      <c r="BC3706" s="80" t="s">
        <v>19410</v>
      </c>
      <c r="BD3706" s="77">
        <v>2362932709</v>
      </c>
      <c r="BE3706" s="77"/>
      <c r="BF3706" s="77"/>
      <c r="BG3706" s="77"/>
      <c r="BH3706" s="77"/>
      <c r="BI3706" s="77"/>
    </row>
    <row r="3707" spans="1:61" x14ac:dyDescent="0.25">
      <c r="A3707" s="62" t="s">
        <v>1481</v>
      </c>
      <c r="B3707" s="62" t="s">
        <v>1481</v>
      </c>
      <c r="C3707" s="63"/>
      <c r="D3707" s="64"/>
      <c r="E3707" s="65"/>
      <c r="F3707" s="66"/>
      <c r="G3707" s="63"/>
      <c r="H3707" s="67"/>
      <c r="I3707" s="68"/>
      <c r="J3707" s="68"/>
      <c r="K3707" s="32"/>
      <c r="L3707" s="75">
        <v>3707</v>
      </c>
      <c r="M3707" s="75"/>
      <c r="N3707" s="70"/>
      <c r="O3707" s="77" t="s">
        <v>179</v>
      </c>
      <c r="P3707" s="79">
        <v>45098.912523148145</v>
      </c>
      <c r="Q3707" s="77" t="s">
        <v>5355</v>
      </c>
      <c r="R3707" s="77">
        <v>0</v>
      </c>
      <c r="S3707" s="77">
        <v>0</v>
      </c>
      <c r="T3707" s="77">
        <v>0</v>
      </c>
      <c r="U3707" s="77">
        <v>0</v>
      </c>
      <c r="V3707" s="77">
        <v>29</v>
      </c>
      <c r="W3707" s="80" t="s">
        <v>5884</v>
      </c>
      <c r="X3707" s="77"/>
      <c r="Y3707" s="77"/>
      <c r="Z3707" s="77"/>
      <c r="AA3707" s="77"/>
      <c r="AB3707" s="77"/>
      <c r="AC3707" s="80" t="s">
        <v>10540</v>
      </c>
      <c r="AD3707" s="77" t="s">
        <v>10617</v>
      </c>
      <c r="AE3707" s="83" t="str">
        <f>HYPERLINK("https://twitter.com/valdecirbarret4/status/1671637626669891585")</f>
        <v>https://twitter.com/valdecirbarret4/status/1671637626669891585</v>
      </c>
      <c r="AF3707" s="79">
        <v>45098.912523148145</v>
      </c>
      <c r="AG3707" s="85">
        <v>45098</v>
      </c>
      <c r="AH3707" s="80" t="s">
        <v>13848</v>
      </c>
      <c r="AI3707" s="77"/>
      <c r="AJ3707" s="77"/>
      <c r="AK3707" s="77"/>
      <c r="AL3707" s="77"/>
      <c r="AM3707" s="77"/>
      <c r="AN3707" s="77"/>
      <c r="AO3707" s="77"/>
      <c r="AP3707" s="77"/>
      <c r="AQ3707" s="77"/>
      <c r="AR3707" s="77"/>
      <c r="AS3707" s="77"/>
      <c r="AT3707" s="77"/>
      <c r="AU3707" s="77"/>
      <c r="AV3707" s="83" t="str">
        <f>HYPERLINK("https://pbs.twimg.com/profile_images/1692278071481466880/ausSaKDF_normal.jpg")</f>
        <v>https://pbs.twimg.com/profile_images/1692278071481466880/ausSaKDF_normal.jpg</v>
      </c>
      <c r="AW3707" s="80" t="s">
        <v>19411</v>
      </c>
      <c r="AX3707" s="80" t="s">
        <v>19411</v>
      </c>
      <c r="AY3707" s="77"/>
      <c r="AZ3707" s="80" t="s">
        <v>20380</v>
      </c>
      <c r="BA3707" s="80" t="s">
        <v>20380</v>
      </c>
      <c r="BB3707" s="80" t="s">
        <v>20380</v>
      </c>
      <c r="BC3707" s="80" t="s">
        <v>19411</v>
      </c>
      <c r="BD3707" s="80" t="s">
        <v>21111</v>
      </c>
      <c r="BE3707" s="77"/>
      <c r="BF3707" s="77"/>
      <c r="BG3707" s="77"/>
      <c r="BH3707" s="77"/>
      <c r="BI3707" s="77"/>
    </row>
    <row r="3708" spans="1:61" x14ac:dyDescent="0.25">
      <c r="A3708" s="62" t="s">
        <v>1482</v>
      </c>
      <c r="B3708" s="62" t="s">
        <v>1482</v>
      </c>
      <c r="C3708" s="63"/>
      <c r="D3708" s="64"/>
      <c r="E3708" s="65"/>
      <c r="F3708" s="66"/>
      <c r="G3708" s="63"/>
      <c r="H3708" s="67"/>
      <c r="I3708" s="68"/>
      <c r="J3708" s="68"/>
      <c r="K3708" s="32"/>
      <c r="L3708" s="75">
        <v>3708</v>
      </c>
      <c r="M3708" s="75"/>
      <c r="N3708" s="70"/>
      <c r="O3708" s="77" t="s">
        <v>179</v>
      </c>
      <c r="P3708" s="79">
        <v>45053.931712962964</v>
      </c>
      <c r="Q3708" s="77" t="s">
        <v>5356</v>
      </c>
      <c r="R3708" s="77">
        <v>0</v>
      </c>
      <c r="S3708" s="77">
        <v>0</v>
      </c>
      <c r="T3708" s="77">
        <v>0</v>
      </c>
      <c r="U3708" s="77">
        <v>0</v>
      </c>
      <c r="V3708" s="77">
        <v>9</v>
      </c>
      <c r="W3708" s="80" t="s">
        <v>8208</v>
      </c>
      <c r="X3708" s="83" t="str">
        <f>HYPERLINK("https://nakatanis.wordpress.com/2023/05/07/a-selic-se-manteve-em-1375/")</f>
        <v>https://nakatanis.wordpress.com/2023/05/07/a-selic-se-manteve-em-1375/</v>
      </c>
      <c r="Y3708" s="77" t="s">
        <v>8678</v>
      </c>
      <c r="Z3708" s="77"/>
      <c r="AA3708" s="77"/>
      <c r="AB3708" s="77"/>
      <c r="AC3708" s="80" t="s">
        <v>10541</v>
      </c>
      <c r="AD3708" s="77" t="s">
        <v>10617</v>
      </c>
      <c r="AE3708" s="83" t="str">
        <f>HYPERLINK("https://twitter.com/shnakatani/status/1655337125959684096")</f>
        <v>https://twitter.com/shnakatani/status/1655337125959684096</v>
      </c>
      <c r="AF3708" s="79">
        <v>45053.931712962964</v>
      </c>
      <c r="AG3708" s="85">
        <v>45053</v>
      </c>
      <c r="AH3708" s="80" t="s">
        <v>13849</v>
      </c>
      <c r="AI3708" s="77" t="b">
        <v>0</v>
      </c>
      <c r="AJ3708" s="77"/>
      <c r="AK3708" s="77"/>
      <c r="AL3708" s="77"/>
      <c r="AM3708" s="77"/>
      <c r="AN3708" s="77"/>
      <c r="AO3708" s="77"/>
      <c r="AP3708" s="77"/>
      <c r="AQ3708" s="77"/>
      <c r="AR3708" s="77"/>
      <c r="AS3708" s="77"/>
      <c r="AT3708" s="77"/>
      <c r="AU3708" s="77"/>
      <c r="AV3708" s="8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3708" s="80" t="s">
        <v>19412</v>
      </c>
      <c r="AX3708" s="80" t="s">
        <v>19412</v>
      </c>
      <c r="AY3708" s="77"/>
      <c r="AZ3708" s="80" t="s">
        <v>20380</v>
      </c>
      <c r="BA3708" s="80" t="s">
        <v>20380</v>
      </c>
      <c r="BB3708" s="80" t="s">
        <v>20380</v>
      </c>
      <c r="BC3708" s="80" t="s">
        <v>19412</v>
      </c>
      <c r="BD3708" s="77">
        <v>114651521</v>
      </c>
      <c r="BE3708" s="77"/>
      <c r="BF3708" s="77"/>
      <c r="BG3708" s="77"/>
      <c r="BH3708" s="77"/>
      <c r="BI3708" s="77"/>
    </row>
    <row r="3709" spans="1:61" x14ac:dyDescent="0.25">
      <c r="A3709" s="62" t="s">
        <v>1482</v>
      </c>
      <c r="B3709" s="62" t="s">
        <v>1482</v>
      </c>
      <c r="C3709" s="63"/>
      <c r="D3709" s="64"/>
      <c r="E3709" s="65"/>
      <c r="F3709" s="66"/>
      <c r="G3709" s="63"/>
      <c r="H3709" s="67"/>
      <c r="I3709" s="68"/>
      <c r="J3709" s="68"/>
      <c r="K3709" s="32"/>
      <c r="L3709" s="75">
        <v>3709</v>
      </c>
      <c r="M3709" s="75"/>
      <c r="N3709" s="70"/>
      <c r="O3709" s="77" t="s">
        <v>179</v>
      </c>
      <c r="P3709" s="79">
        <v>45053.931539351855</v>
      </c>
      <c r="Q3709" s="77" t="s">
        <v>5357</v>
      </c>
      <c r="R3709" s="77">
        <v>0</v>
      </c>
      <c r="S3709" s="77">
        <v>0</v>
      </c>
      <c r="T3709" s="77">
        <v>0</v>
      </c>
      <c r="U3709" s="77">
        <v>0</v>
      </c>
      <c r="V3709" s="77">
        <v>9</v>
      </c>
      <c r="W3709" s="80" t="s">
        <v>8208</v>
      </c>
      <c r="X3709" s="83" t="str">
        <f>HYPERLINK("https://nakafin.netlify.app/posts/selic9")</f>
        <v>https://nakafin.netlify.app/posts/selic9</v>
      </c>
      <c r="Y3709" s="77" t="s">
        <v>8859</v>
      </c>
      <c r="Z3709" s="77"/>
      <c r="AA3709" s="77"/>
      <c r="AB3709" s="77"/>
      <c r="AC3709" s="80" t="s">
        <v>10541</v>
      </c>
      <c r="AD3709" s="77" t="s">
        <v>10617</v>
      </c>
      <c r="AE3709" s="83" t="str">
        <f>HYPERLINK("https://twitter.com/shnakatani/status/1655337064567652352")</f>
        <v>https://twitter.com/shnakatani/status/1655337064567652352</v>
      </c>
      <c r="AF3709" s="79">
        <v>45053.931539351855</v>
      </c>
      <c r="AG3709" s="85">
        <v>45053</v>
      </c>
      <c r="AH3709" s="80" t="s">
        <v>13850</v>
      </c>
      <c r="AI3709" s="77" t="b">
        <v>0</v>
      </c>
      <c r="AJ3709" s="77"/>
      <c r="AK3709" s="77"/>
      <c r="AL3709" s="77"/>
      <c r="AM3709" s="77"/>
      <c r="AN3709" s="77"/>
      <c r="AO3709" s="77"/>
      <c r="AP3709" s="77"/>
      <c r="AQ3709" s="77"/>
      <c r="AR3709" s="77"/>
      <c r="AS3709" s="77"/>
      <c r="AT3709" s="77"/>
      <c r="AU3709" s="77"/>
      <c r="AV3709" s="8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3709" s="80" t="s">
        <v>19413</v>
      </c>
      <c r="AX3709" s="80" t="s">
        <v>19413</v>
      </c>
      <c r="AY3709" s="77"/>
      <c r="AZ3709" s="80" t="s">
        <v>20380</v>
      </c>
      <c r="BA3709" s="80" t="s">
        <v>20380</v>
      </c>
      <c r="BB3709" s="80" t="s">
        <v>20380</v>
      </c>
      <c r="BC3709" s="80" t="s">
        <v>19413</v>
      </c>
      <c r="BD3709" s="77">
        <v>114651521</v>
      </c>
      <c r="BE3709" s="77"/>
      <c r="BF3709" s="77"/>
      <c r="BG3709" s="77"/>
      <c r="BH3709" s="77"/>
      <c r="BI3709" s="77"/>
    </row>
    <row r="3710" spans="1:61" x14ac:dyDescent="0.25">
      <c r="A3710" s="62" t="s">
        <v>1482</v>
      </c>
      <c r="B3710" s="62" t="s">
        <v>1482</v>
      </c>
      <c r="C3710" s="63"/>
      <c r="D3710" s="64"/>
      <c r="E3710" s="65"/>
      <c r="F3710" s="66"/>
      <c r="G3710" s="63"/>
      <c r="H3710" s="67"/>
      <c r="I3710" s="68"/>
      <c r="J3710" s="68"/>
      <c r="K3710" s="32"/>
      <c r="L3710" s="75">
        <v>3710</v>
      </c>
      <c r="M3710" s="75"/>
      <c r="N3710" s="70"/>
      <c r="O3710" s="77" t="s">
        <v>179</v>
      </c>
      <c r="P3710" s="79">
        <v>45151.950555555559</v>
      </c>
      <c r="Q3710" s="77" t="s">
        <v>5358</v>
      </c>
      <c r="R3710" s="77">
        <v>0</v>
      </c>
      <c r="S3710" s="77">
        <v>0</v>
      </c>
      <c r="T3710" s="77">
        <v>0</v>
      </c>
      <c r="U3710" s="77">
        <v>0</v>
      </c>
      <c r="V3710" s="77">
        <v>20</v>
      </c>
      <c r="W3710" s="80" t="s">
        <v>8209</v>
      </c>
      <c r="X3710" s="83" t="str">
        <f>HYPERLINK("https://nakatanis.wordpress.com/2023/08/13/drex/")</f>
        <v>https://nakatanis.wordpress.com/2023/08/13/drex/</v>
      </c>
      <c r="Y3710" s="77" t="s">
        <v>8678</v>
      </c>
      <c r="Z3710" s="77"/>
      <c r="AA3710" s="77"/>
      <c r="AB3710" s="77"/>
      <c r="AC3710" s="80" t="s">
        <v>10541</v>
      </c>
      <c r="AD3710" s="77" t="s">
        <v>10617</v>
      </c>
      <c r="AE3710" s="83" t="str">
        <f>HYPERLINK("https://twitter.com/shnakatani/status/1690857968105820160")</f>
        <v>https://twitter.com/shnakatani/status/1690857968105820160</v>
      </c>
      <c r="AF3710" s="79">
        <v>45151.950555555559</v>
      </c>
      <c r="AG3710" s="85">
        <v>45151</v>
      </c>
      <c r="AH3710" s="80" t="s">
        <v>13851</v>
      </c>
      <c r="AI3710" s="77" t="b">
        <v>0</v>
      </c>
      <c r="AJ3710" s="77"/>
      <c r="AK3710" s="77"/>
      <c r="AL3710" s="77"/>
      <c r="AM3710" s="77"/>
      <c r="AN3710" s="77"/>
      <c r="AO3710" s="77"/>
      <c r="AP3710" s="77"/>
      <c r="AQ3710" s="77"/>
      <c r="AR3710" s="77"/>
      <c r="AS3710" s="77"/>
      <c r="AT3710" s="77"/>
      <c r="AU3710" s="77"/>
      <c r="AV3710" s="8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3710" s="80" t="s">
        <v>19414</v>
      </c>
      <c r="AX3710" s="80" t="s">
        <v>19414</v>
      </c>
      <c r="AY3710" s="77"/>
      <c r="AZ3710" s="80" t="s">
        <v>20380</v>
      </c>
      <c r="BA3710" s="80" t="s">
        <v>20380</v>
      </c>
      <c r="BB3710" s="80" t="s">
        <v>20380</v>
      </c>
      <c r="BC3710" s="80" t="s">
        <v>19414</v>
      </c>
      <c r="BD3710" s="77">
        <v>114651521</v>
      </c>
      <c r="BE3710" s="77"/>
      <c r="BF3710" s="77"/>
      <c r="BG3710" s="77"/>
      <c r="BH3710" s="77"/>
      <c r="BI3710" s="77"/>
    </row>
    <row r="3711" spans="1:61" x14ac:dyDescent="0.25">
      <c r="A3711" s="62" t="s">
        <v>1482</v>
      </c>
      <c r="B3711" s="62" t="s">
        <v>1482</v>
      </c>
      <c r="C3711" s="63"/>
      <c r="D3711" s="64"/>
      <c r="E3711" s="65"/>
      <c r="F3711" s="66"/>
      <c r="G3711" s="63"/>
      <c r="H3711" s="67"/>
      <c r="I3711" s="68"/>
      <c r="J3711" s="68"/>
      <c r="K3711" s="32"/>
      <c r="L3711" s="75">
        <v>3711</v>
      </c>
      <c r="M3711" s="75"/>
      <c r="N3711" s="70"/>
      <c r="O3711" s="77" t="s">
        <v>179</v>
      </c>
      <c r="P3711" s="79">
        <v>45151.950416666667</v>
      </c>
      <c r="Q3711" s="77" t="s">
        <v>5359</v>
      </c>
      <c r="R3711" s="77">
        <v>0</v>
      </c>
      <c r="S3711" s="77">
        <v>0</v>
      </c>
      <c r="T3711" s="77">
        <v>0</v>
      </c>
      <c r="U3711" s="77">
        <v>0</v>
      </c>
      <c r="V3711" s="77">
        <v>17</v>
      </c>
      <c r="W3711" s="80" t="s">
        <v>8209</v>
      </c>
      <c r="X3711" s="83" t="str">
        <f>HYPERLINK("https://nakafin.netlify.app/posts/drex")</f>
        <v>https://nakafin.netlify.app/posts/drex</v>
      </c>
      <c r="Y3711" s="77" t="s">
        <v>8859</v>
      </c>
      <c r="Z3711" s="77"/>
      <c r="AA3711" s="77"/>
      <c r="AB3711" s="77"/>
      <c r="AC3711" s="80" t="s">
        <v>10541</v>
      </c>
      <c r="AD3711" s="77" t="s">
        <v>10617</v>
      </c>
      <c r="AE3711" s="83" t="str">
        <f>HYPERLINK("https://twitter.com/shnakatani/status/1690857918030049280")</f>
        <v>https://twitter.com/shnakatani/status/1690857918030049280</v>
      </c>
      <c r="AF3711" s="79">
        <v>45151.950416666667</v>
      </c>
      <c r="AG3711" s="85">
        <v>45151</v>
      </c>
      <c r="AH3711" s="80" t="s">
        <v>13852</v>
      </c>
      <c r="AI3711" s="77" t="b">
        <v>0</v>
      </c>
      <c r="AJ3711" s="77"/>
      <c r="AK3711" s="77"/>
      <c r="AL3711" s="77"/>
      <c r="AM3711" s="77"/>
      <c r="AN3711" s="77"/>
      <c r="AO3711" s="77"/>
      <c r="AP3711" s="77"/>
      <c r="AQ3711" s="77"/>
      <c r="AR3711" s="77"/>
      <c r="AS3711" s="77"/>
      <c r="AT3711" s="77"/>
      <c r="AU3711" s="77"/>
      <c r="AV3711" s="8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AW3711" s="80" t="s">
        <v>19415</v>
      </c>
      <c r="AX3711" s="80" t="s">
        <v>19415</v>
      </c>
      <c r="AY3711" s="77"/>
      <c r="AZ3711" s="80" t="s">
        <v>20380</v>
      </c>
      <c r="BA3711" s="80" t="s">
        <v>20380</v>
      </c>
      <c r="BB3711" s="80" t="s">
        <v>20380</v>
      </c>
      <c r="BC3711" s="80" t="s">
        <v>19415</v>
      </c>
      <c r="BD3711" s="77">
        <v>114651521</v>
      </c>
      <c r="BE3711" s="77"/>
      <c r="BF3711" s="77"/>
      <c r="BG3711" s="77"/>
      <c r="BH3711" s="77"/>
      <c r="BI3711" s="77"/>
    </row>
    <row r="3712" spans="1:61" x14ac:dyDescent="0.25">
      <c r="A3712" s="62" t="s">
        <v>1483</v>
      </c>
      <c r="B3712" s="62" t="s">
        <v>1483</v>
      </c>
      <c r="C3712" s="63"/>
      <c r="D3712" s="64"/>
      <c r="E3712" s="65"/>
      <c r="F3712" s="66"/>
      <c r="G3712" s="63"/>
      <c r="H3712" s="67"/>
      <c r="I3712" s="68"/>
      <c r="J3712" s="68"/>
      <c r="K3712" s="32"/>
      <c r="L3712" s="75">
        <v>3712</v>
      </c>
      <c r="M3712" s="75"/>
      <c r="N3712" s="70"/>
      <c r="O3712" s="77" t="s">
        <v>179</v>
      </c>
      <c r="P3712" s="79">
        <v>45162.92391203704</v>
      </c>
      <c r="Q3712" s="77" t="s">
        <v>5360</v>
      </c>
      <c r="R3712" s="77">
        <v>0</v>
      </c>
      <c r="S3712" s="77">
        <v>0</v>
      </c>
      <c r="T3712" s="77">
        <v>0</v>
      </c>
      <c r="U3712" s="77">
        <v>0</v>
      </c>
      <c r="V3712" s="77">
        <v>101</v>
      </c>
      <c r="W3712" s="80" t="s">
        <v>8210</v>
      </c>
      <c r="X3712" s="77"/>
      <c r="Y3712" s="77"/>
      <c r="Z3712" s="77"/>
      <c r="AA3712" s="77" t="s">
        <v>10271</v>
      </c>
      <c r="AB3712" s="77" t="s">
        <v>10535</v>
      </c>
      <c r="AC3712" s="80" t="s">
        <v>10541</v>
      </c>
      <c r="AD3712" s="77" t="s">
        <v>10619</v>
      </c>
      <c r="AE3712" s="83" t="str">
        <f>HYPERLINK("https://twitter.com/jurgenoven3800/status/1694834575711576143")</f>
        <v>https://twitter.com/jurgenoven3800/status/1694834575711576143</v>
      </c>
      <c r="AF3712" s="79">
        <v>45162.92391203704</v>
      </c>
      <c r="AG3712" s="85">
        <v>45162</v>
      </c>
      <c r="AH3712" s="80" t="s">
        <v>13853</v>
      </c>
      <c r="AI3712" s="77" t="b">
        <v>0</v>
      </c>
      <c r="AJ3712" s="77"/>
      <c r="AK3712" s="77"/>
      <c r="AL3712" s="77"/>
      <c r="AM3712" s="77"/>
      <c r="AN3712" s="77"/>
      <c r="AO3712" s="77"/>
      <c r="AP3712" s="77"/>
      <c r="AQ3712" s="77" t="s">
        <v>15751</v>
      </c>
      <c r="AR3712" s="77"/>
      <c r="AS3712" s="77"/>
      <c r="AT3712" s="77"/>
      <c r="AU3712" s="77"/>
      <c r="AV3712" s="83" t="str">
        <f>HYPERLINK("https://pbs.twimg.com/media/F4VCJ3oWYAEQf5e.jpg")</f>
        <v>https://pbs.twimg.com/media/F4VCJ3oWYAEQf5e.jpg</v>
      </c>
      <c r="AW3712" s="80" t="s">
        <v>19416</v>
      </c>
      <c r="AX3712" s="80" t="s">
        <v>19416</v>
      </c>
      <c r="AY3712" s="77"/>
      <c r="AZ3712" s="80" t="s">
        <v>20380</v>
      </c>
      <c r="BA3712" s="80" t="s">
        <v>20380</v>
      </c>
      <c r="BB3712" s="80" t="s">
        <v>20380</v>
      </c>
      <c r="BC3712" s="80" t="s">
        <v>19416</v>
      </c>
      <c r="BD3712" s="80" t="s">
        <v>21112</v>
      </c>
      <c r="BE3712" s="77"/>
      <c r="BF3712" s="77"/>
      <c r="BG3712" s="77"/>
      <c r="BH3712" s="77"/>
      <c r="BI3712" s="77"/>
    </row>
    <row r="3713" spans="1:61" x14ac:dyDescent="0.25">
      <c r="A3713" s="62" t="s">
        <v>1484</v>
      </c>
      <c r="B3713" s="62" t="s">
        <v>1681</v>
      </c>
      <c r="C3713" s="63"/>
      <c r="D3713" s="64"/>
      <c r="E3713" s="65"/>
      <c r="F3713" s="66"/>
      <c r="G3713" s="63"/>
      <c r="H3713" s="67"/>
      <c r="I3713" s="68"/>
      <c r="J3713" s="68"/>
      <c r="K3713" s="32"/>
      <c r="L3713" s="75">
        <v>3713</v>
      </c>
      <c r="M3713" s="75"/>
      <c r="N3713" s="70"/>
      <c r="O3713" s="77" t="s">
        <v>2083</v>
      </c>
      <c r="P3713" s="79">
        <v>45189.920868055553</v>
      </c>
      <c r="Q3713" s="77" t="s">
        <v>2237</v>
      </c>
      <c r="R3713" s="77">
        <v>18</v>
      </c>
      <c r="S3713" s="77">
        <v>0</v>
      </c>
      <c r="T3713" s="77">
        <v>0</v>
      </c>
      <c r="U3713" s="77">
        <v>0</v>
      </c>
      <c r="V3713" s="77"/>
      <c r="W3713" s="80" t="s">
        <v>6018</v>
      </c>
      <c r="X3713" s="77"/>
      <c r="Y3713" s="77"/>
      <c r="Z3713" s="77" t="s">
        <v>1681</v>
      </c>
      <c r="AA3713" s="77"/>
      <c r="AB3713" s="77"/>
      <c r="AC3713" s="80" t="s">
        <v>10542</v>
      </c>
      <c r="AD3713" s="77" t="s">
        <v>10617</v>
      </c>
      <c r="AE3713" s="83" t="str">
        <f>HYPERLINK("https://twitter.com/fshockwave/status/1704617945333141972")</f>
        <v>https://twitter.com/fshockwave/status/1704617945333141972</v>
      </c>
      <c r="AF3713" s="79">
        <v>45189.920868055553</v>
      </c>
      <c r="AG3713" s="85">
        <v>45189</v>
      </c>
      <c r="AH3713" s="80" t="s">
        <v>13854</v>
      </c>
      <c r="AI3713" s="77"/>
      <c r="AJ3713" s="77"/>
      <c r="AK3713" s="77"/>
      <c r="AL3713" s="77"/>
      <c r="AM3713" s="77"/>
      <c r="AN3713" s="77"/>
      <c r="AO3713" s="77"/>
      <c r="AP3713" s="77"/>
      <c r="AQ3713" s="77"/>
      <c r="AR3713" s="77"/>
      <c r="AS3713" s="77"/>
      <c r="AT3713" s="77"/>
      <c r="AU3713" s="77"/>
      <c r="AV3713" s="83" t="str">
        <f>HYPERLINK("https://pbs.twimg.com/profile_images/1274508474731368448/4goAl67v_normal.jpg")</f>
        <v>https://pbs.twimg.com/profile_images/1274508474731368448/4goAl67v_normal.jpg</v>
      </c>
      <c r="AW3713" s="80" t="s">
        <v>19417</v>
      </c>
      <c r="AX3713" s="80" t="s">
        <v>19417</v>
      </c>
      <c r="AY3713" s="77"/>
      <c r="AZ3713" s="80" t="s">
        <v>20380</v>
      </c>
      <c r="BA3713" s="80" t="s">
        <v>20380</v>
      </c>
      <c r="BB3713" s="80" t="s">
        <v>19932</v>
      </c>
      <c r="BC3713" s="80" t="s">
        <v>19932</v>
      </c>
      <c r="BD3713" s="80" t="s">
        <v>21113</v>
      </c>
      <c r="BE3713" s="77"/>
      <c r="BF3713" s="77"/>
      <c r="BG3713" s="77"/>
      <c r="BH3713" s="77"/>
      <c r="BI3713" s="77"/>
    </row>
    <row r="3714" spans="1:61" x14ac:dyDescent="0.25">
      <c r="A3714" s="62" t="s">
        <v>1485</v>
      </c>
      <c r="B3714" s="62" t="s">
        <v>2045</v>
      </c>
      <c r="C3714" s="63"/>
      <c r="D3714" s="64"/>
      <c r="E3714" s="65"/>
      <c r="F3714" s="66"/>
      <c r="G3714" s="63"/>
      <c r="H3714" s="67"/>
      <c r="I3714" s="68"/>
      <c r="J3714" s="68"/>
      <c r="K3714" s="32"/>
      <c r="L3714" s="75">
        <v>3714</v>
      </c>
      <c r="M3714" s="75"/>
      <c r="N3714" s="70"/>
      <c r="O3714" s="77" t="s">
        <v>2081</v>
      </c>
      <c r="P3714" s="79">
        <v>45149.731608796297</v>
      </c>
      <c r="Q3714" s="77" t="s">
        <v>5361</v>
      </c>
      <c r="R3714" s="77">
        <v>0</v>
      </c>
      <c r="S3714" s="77">
        <v>1</v>
      </c>
      <c r="T3714" s="77">
        <v>0</v>
      </c>
      <c r="U3714" s="77">
        <v>0</v>
      </c>
      <c r="V3714" s="77">
        <v>14</v>
      </c>
      <c r="W3714" s="80" t="s">
        <v>8211</v>
      </c>
      <c r="X3714" s="77"/>
      <c r="Y3714" s="77"/>
      <c r="Z3714" s="77" t="s">
        <v>2045</v>
      </c>
      <c r="AA3714" s="77" t="s">
        <v>10272</v>
      </c>
      <c r="AB3714" s="77" t="s">
        <v>10535</v>
      </c>
      <c r="AC3714" s="80" t="s">
        <v>10540</v>
      </c>
      <c r="AD3714" s="77" t="s">
        <v>10620</v>
      </c>
      <c r="AE3714" s="83" t="str">
        <f>HYPERLINK("https://twitter.com/vitorio_21/status/1690053848092549124")</f>
        <v>https://twitter.com/vitorio_21/status/1690053848092549124</v>
      </c>
      <c r="AF3714" s="79">
        <v>45149.731608796297</v>
      </c>
      <c r="AG3714" s="85">
        <v>45149</v>
      </c>
      <c r="AH3714" s="80" t="s">
        <v>11393</v>
      </c>
      <c r="AI3714" s="77" t="b">
        <v>0</v>
      </c>
      <c r="AJ3714" s="77" t="s">
        <v>14373</v>
      </c>
      <c r="AK3714" s="77" t="s">
        <v>14386</v>
      </c>
      <c r="AL3714" s="77" t="s">
        <v>14395</v>
      </c>
      <c r="AM3714" s="77" t="s">
        <v>14430</v>
      </c>
      <c r="AN3714" s="77" t="s">
        <v>14470</v>
      </c>
      <c r="AO3714" s="77" t="s">
        <v>14509</v>
      </c>
      <c r="AP3714" s="77" t="s">
        <v>14516</v>
      </c>
      <c r="AQ3714" s="77" t="s">
        <v>15752</v>
      </c>
      <c r="AR3714" s="77"/>
      <c r="AS3714" s="77"/>
      <c r="AT3714" s="77"/>
      <c r="AU3714" s="77"/>
      <c r="AV3714" s="83" t="str">
        <f>HYPERLINK("https://pbs.twimg.com/media/F3RHApsXQAA5G1b.jpg")</f>
        <v>https://pbs.twimg.com/media/F3RHApsXQAA5G1b.jpg</v>
      </c>
      <c r="AW3714" s="80" t="s">
        <v>19418</v>
      </c>
      <c r="AX3714" s="80" t="s">
        <v>19418</v>
      </c>
      <c r="AY3714" s="77"/>
      <c r="AZ3714" s="80" t="s">
        <v>20380</v>
      </c>
      <c r="BA3714" s="80" t="s">
        <v>20380</v>
      </c>
      <c r="BB3714" s="80" t="s">
        <v>20380</v>
      </c>
      <c r="BC3714" s="80" t="s">
        <v>19418</v>
      </c>
      <c r="BD3714" s="77">
        <v>34248299</v>
      </c>
      <c r="BE3714" s="77"/>
      <c r="BF3714" s="77"/>
      <c r="BG3714" s="77"/>
      <c r="BH3714" s="77"/>
      <c r="BI3714" s="77"/>
    </row>
    <row r="3715" spans="1:61" x14ac:dyDescent="0.25">
      <c r="A3715" s="62" t="s">
        <v>1486</v>
      </c>
      <c r="B3715" s="62" t="s">
        <v>1486</v>
      </c>
      <c r="C3715" s="63"/>
      <c r="D3715" s="64"/>
      <c r="E3715" s="65"/>
      <c r="F3715" s="66"/>
      <c r="G3715" s="63"/>
      <c r="H3715" s="67"/>
      <c r="I3715" s="68"/>
      <c r="J3715" s="68"/>
      <c r="K3715" s="32"/>
      <c r="L3715" s="75">
        <v>3715</v>
      </c>
      <c r="M3715" s="75"/>
      <c r="N3715" s="70"/>
      <c r="O3715" s="77" t="s">
        <v>179</v>
      </c>
      <c r="P3715" s="79">
        <v>45052.906226851854</v>
      </c>
      <c r="Q3715" s="77" t="s">
        <v>5362</v>
      </c>
      <c r="R3715" s="77">
        <v>0</v>
      </c>
      <c r="S3715" s="77">
        <v>0</v>
      </c>
      <c r="T3715" s="77">
        <v>0</v>
      </c>
      <c r="U3715" s="77">
        <v>0</v>
      </c>
      <c r="V3715" s="77">
        <v>56</v>
      </c>
      <c r="W3715" s="80" t="s">
        <v>8212</v>
      </c>
      <c r="X3715" s="83" t="str">
        <f>HYPERLINK("https://bit.ly/3HLMD2c")</f>
        <v>https://bit.ly/3HLMD2c</v>
      </c>
      <c r="Y3715" s="77" t="s">
        <v>8618</v>
      </c>
      <c r="Z3715" s="77"/>
      <c r="AA3715" s="77"/>
      <c r="AB3715" s="77"/>
      <c r="AC3715" s="80" t="s">
        <v>10570</v>
      </c>
      <c r="AD3715" s="77" t="s">
        <v>10620</v>
      </c>
      <c r="AE3715" s="83" t="str">
        <f>HYPERLINK("https://twitter.com/versionrosario/status/1654965503532621824")</f>
        <v>https://twitter.com/versionrosario/status/1654965503532621824</v>
      </c>
      <c r="AF3715" s="79">
        <v>45052.906226851854</v>
      </c>
      <c r="AG3715" s="85">
        <v>45052</v>
      </c>
      <c r="AH3715" s="80" t="s">
        <v>13855</v>
      </c>
      <c r="AI3715" s="77" t="b">
        <v>0</v>
      </c>
      <c r="AJ3715" s="77"/>
      <c r="AK3715" s="77"/>
      <c r="AL3715" s="77"/>
      <c r="AM3715" s="77"/>
      <c r="AN3715" s="77"/>
      <c r="AO3715" s="77"/>
      <c r="AP3715" s="77"/>
      <c r="AQ3715" s="77"/>
      <c r="AR3715" s="77"/>
      <c r="AS3715" s="77"/>
      <c r="AT3715" s="77"/>
      <c r="AU3715" s="77"/>
      <c r="AV3715" s="83" t="str">
        <f>HYPERLINK("https://pbs.twimg.com/profile_images/1478067634184900610/7X8-FTP8_normal.jpg")</f>
        <v>https://pbs.twimg.com/profile_images/1478067634184900610/7X8-FTP8_normal.jpg</v>
      </c>
      <c r="AW3715" s="80" t="s">
        <v>19419</v>
      </c>
      <c r="AX3715" s="80" t="s">
        <v>19419</v>
      </c>
      <c r="AY3715" s="77"/>
      <c r="AZ3715" s="80" t="s">
        <v>20380</v>
      </c>
      <c r="BA3715" s="80" t="s">
        <v>20380</v>
      </c>
      <c r="BB3715" s="80" t="s">
        <v>20380</v>
      </c>
      <c r="BC3715" s="80" t="s">
        <v>19419</v>
      </c>
      <c r="BD3715" s="80" t="s">
        <v>21114</v>
      </c>
      <c r="BE3715" s="77"/>
      <c r="BF3715" s="77"/>
      <c r="BG3715" s="77"/>
      <c r="BH3715" s="77"/>
      <c r="BI3715" s="77"/>
    </row>
    <row r="3716" spans="1:61" x14ac:dyDescent="0.25">
      <c r="A3716" s="62" t="s">
        <v>1487</v>
      </c>
      <c r="B3716" s="62" t="s">
        <v>1487</v>
      </c>
      <c r="C3716" s="63"/>
      <c r="D3716" s="64"/>
      <c r="E3716" s="65"/>
      <c r="F3716" s="66"/>
      <c r="G3716" s="63"/>
      <c r="H3716" s="67"/>
      <c r="I3716" s="68"/>
      <c r="J3716" s="68"/>
      <c r="K3716" s="32"/>
      <c r="L3716" s="75">
        <v>3716</v>
      </c>
      <c r="M3716" s="75"/>
      <c r="N3716" s="70"/>
      <c r="O3716" s="77" t="s">
        <v>179</v>
      </c>
      <c r="P3716" s="79">
        <v>45097.605324074073</v>
      </c>
      <c r="Q3716" s="77" t="s">
        <v>5363</v>
      </c>
      <c r="R3716" s="77">
        <v>0</v>
      </c>
      <c r="S3716" s="77">
        <v>0</v>
      </c>
      <c r="T3716" s="77">
        <v>0</v>
      </c>
      <c r="U3716" s="77">
        <v>0</v>
      </c>
      <c r="V3716" s="77">
        <v>340</v>
      </c>
      <c r="W3716" s="80" t="s">
        <v>8213</v>
      </c>
      <c r="X3716" s="83" t="str">
        <f>HYPERLINK("http://www.diarioestrategia.cl/texto-diario/mostrar/4340506/banco-central-recorta-proyeccion-crecimiento-ano-pero-eleva-proximo")</f>
        <v>http://www.diarioestrategia.cl/texto-diario/mostrar/4340506/banco-central-recorta-proyeccion-crecimiento-ano-pero-eleva-proximo</v>
      </c>
      <c r="Y3716" s="77" t="s">
        <v>8860</v>
      </c>
      <c r="Z3716" s="77"/>
      <c r="AA3716" s="77"/>
      <c r="AB3716" s="77"/>
      <c r="AC3716" s="80" t="s">
        <v>10540</v>
      </c>
      <c r="AD3716" s="77" t="s">
        <v>10620</v>
      </c>
      <c r="AE3716" s="83" t="str">
        <f>HYPERLINK("https://twitter.com/estrategiacl/status/1671163913440997377")</f>
        <v>https://twitter.com/estrategiacl/status/1671163913440997377</v>
      </c>
      <c r="AF3716" s="79">
        <v>45097.605324074073</v>
      </c>
      <c r="AG3716" s="85">
        <v>45097</v>
      </c>
      <c r="AH3716" s="80" t="s">
        <v>13856</v>
      </c>
      <c r="AI3716" s="77" t="b">
        <v>0</v>
      </c>
      <c r="AJ3716" s="77"/>
      <c r="AK3716" s="77"/>
      <c r="AL3716" s="77"/>
      <c r="AM3716" s="77"/>
      <c r="AN3716" s="77"/>
      <c r="AO3716" s="77"/>
      <c r="AP3716" s="77"/>
      <c r="AQ3716" s="77"/>
      <c r="AR3716" s="77"/>
      <c r="AS3716" s="77"/>
      <c r="AT3716" s="77"/>
      <c r="AU3716" s="77"/>
      <c r="AV3716" s="83" t="str">
        <f>HYPERLINK("https://pbs.twimg.com/profile_images/1303374213349363712/Cxg9uhPo_normal.png")</f>
        <v>https://pbs.twimg.com/profile_images/1303374213349363712/Cxg9uhPo_normal.png</v>
      </c>
      <c r="AW3716" s="80" t="s">
        <v>19420</v>
      </c>
      <c r="AX3716" s="80" t="s">
        <v>19420</v>
      </c>
      <c r="AY3716" s="77"/>
      <c r="AZ3716" s="80" t="s">
        <v>20380</v>
      </c>
      <c r="BA3716" s="80" t="s">
        <v>20380</v>
      </c>
      <c r="BB3716" s="80" t="s">
        <v>20380</v>
      </c>
      <c r="BC3716" s="80" t="s">
        <v>19420</v>
      </c>
      <c r="BD3716" s="77">
        <v>167132271</v>
      </c>
      <c r="BE3716" s="77"/>
      <c r="BF3716" s="77"/>
      <c r="BG3716" s="77"/>
      <c r="BH3716" s="77"/>
      <c r="BI3716" s="77"/>
    </row>
    <row r="3717" spans="1:61" x14ac:dyDescent="0.25">
      <c r="A3717" s="62" t="s">
        <v>1487</v>
      </c>
      <c r="B3717" s="62" t="s">
        <v>1487</v>
      </c>
      <c r="C3717" s="63"/>
      <c r="D3717" s="64"/>
      <c r="E3717" s="65"/>
      <c r="F3717" s="66"/>
      <c r="G3717" s="63"/>
      <c r="H3717" s="67"/>
      <c r="I3717" s="68"/>
      <c r="J3717" s="68"/>
      <c r="K3717" s="32"/>
      <c r="L3717" s="75">
        <v>3717</v>
      </c>
      <c r="M3717" s="75"/>
      <c r="N3717" s="70"/>
      <c r="O3717" s="77" t="s">
        <v>179</v>
      </c>
      <c r="P3717" s="79">
        <v>45096.927939814814</v>
      </c>
      <c r="Q3717" s="77" t="s">
        <v>5364</v>
      </c>
      <c r="R3717" s="77">
        <v>5</v>
      </c>
      <c r="S3717" s="77">
        <v>6</v>
      </c>
      <c r="T3717" s="77">
        <v>0</v>
      </c>
      <c r="U3717" s="77">
        <v>0</v>
      </c>
      <c r="V3717" s="77">
        <v>823</v>
      </c>
      <c r="W3717" s="80" t="s">
        <v>8214</v>
      </c>
      <c r="X3717" s="83" t="str">
        <f>HYPERLINK("http://www.diarioestrategia.cl/texto-diario/mostrar/4339555/consejo-banco-central-chile-acordo-mantener-tasa-interes-politica-monetaria-1125")</f>
        <v>http://www.diarioestrategia.cl/texto-diario/mostrar/4339555/consejo-banco-central-chile-acordo-mantener-tasa-interes-politica-monetaria-1125</v>
      </c>
      <c r="Y3717" s="77" t="s">
        <v>8860</v>
      </c>
      <c r="Z3717" s="77"/>
      <c r="AA3717" s="77"/>
      <c r="AB3717" s="77"/>
      <c r="AC3717" s="80" t="s">
        <v>10540</v>
      </c>
      <c r="AD3717" s="77" t="s">
        <v>10620</v>
      </c>
      <c r="AE3717" s="83" t="str">
        <f>HYPERLINK("https://twitter.com/estrategiacl/status/1670918439773323266")</f>
        <v>https://twitter.com/estrategiacl/status/1670918439773323266</v>
      </c>
      <c r="AF3717" s="79">
        <v>45096.927939814814</v>
      </c>
      <c r="AG3717" s="85">
        <v>45096</v>
      </c>
      <c r="AH3717" s="80" t="s">
        <v>13857</v>
      </c>
      <c r="AI3717" s="77" t="b">
        <v>0</v>
      </c>
      <c r="AJ3717" s="77"/>
      <c r="AK3717" s="77"/>
      <c r="AL3717" s="77"/>
      <c r="AM3717" s="77"/>
      <c r="AN3717" s="77"/>
      <c r="AO3717" s="77"/>
      <c r="AP3717" s="77"/>
      <c r="AQ3717" s="77"/>
      <c r="AR3717" s="77"/>
      <c r="AS3717" s="77"/>
      <c r="AT3717" s="77"/>
      <c r="AU3717" s="77"/>
      <c r="AV3717" s="83" t="str">
        <f>HYPERLINK("https://pbs.twimg.com/profile_images/1303374213349363712/Cxg9uhPo_normal.png")</f>
        <v>https://pbs.twimg.com/profile_images/1303374213349363712/Cxg9uhPo_normal.png</v>
      </c>
      <c r="AW3717" s="80" t="s">
        <v>19421</v>
      </c>
      <c r="AX3717" s="80" t="s">
        <v>19421</v>
      </c>
      <c r="AY3717" s="77"/>
      <c r="AZ3717" s="80" t="s">
        <v>20380</v>
      </c>
      <c r="BA3717" s="80" t="s">
        <v>20380</v>
      </c>
      <c r="BB3717" s="80" t="s">
        <v>20380</v>
      </c>
      <c r="BC3717" s="80" t="s">
        <v>19421</v>
      </c>
      <c r="BD3717" s="77">
        <v>167132271</v>
      </c>
      <c r="BE3717" s="77"/>
      <c r="BF3717" s="77"/>
      <c r="BG3717" s="77"/>
      <c r="BH3717" s="77"/>
      <c r="BI3717" s="77"/>
    </row>
    <row r="3718" spans="1:61" x14ac:dyDescent="0.25">
      <c r="A3718" s="62" t="s">
        <v>1488</v>
      </c>
      <c r="B3718" s="62" t="s">
        <v>1488</v>
      </c>
      <c r="C3718" s="63"/>
      <c r="D3718" s="64"/>
      <c r="E3718" s="65"/>
      <c r="F3718" s="66"/>
      <c r="G3718" s="63"/>
      <c r="H3718" s="67"/>
      <c r="I3718" s="68"/>
      <c r="J3718" s="68"/>
      <c r="K3718" s="32"/>
      <c r="L3718" s="75">
        <v>3718</v>
      </c>
      <c r="M3718" s="75"/>
      <c r="N3718" s="70"/>
      <c r="O3718" s="77" t="s">
        <v>179</v>
      </c>
      <c r="P3718" s="79">
        <v>45061.625740740739</v>
      </c>
      <c r="Q3718" s="77" t="s">
        <v>5365</v>
      </c>
      <c r="R3718" s="77">
        <v>0</v>
      </c>
      <c r="S3718" s="77">
        <v>1</v>
      </c>
      <c r="T3718" s="77">
        <v>0</v>
      </c>
      <c r="U3718" s="77">
        <v>0</v>
      </c>
      <c r="V3718" s="77">
        <v>19</v>
      </c>
      <c r="W3718" s="80" t="s">
        <v>8215</v>
      </c>
      <c r="X3718" s="83" t="str">
        <f>HYPERLINK("https://nox.com.ar/nuevas-medidas-economicas-sube-la-tasa-de-interes-y-el-banco-central-interviene-en-tipos-de-cambios/")</f>
        <v>https://nox.com.ar/nuevas-medidas-economicas-sube-la-tasa-de-interes-y-el-banco-central-interviene-en-tipos-de-cambios/</v>
      </c>
      <c r="Y3718" s="77" t="s">
        <v>8624</v>
      </c>
      <c r="Z3718" s="77"/>
      <c r="AA3718" s="77"/>
      <c r="AB3718" s="77"/>
      <c r="AC3718" s="80" t="s">
        <v>10559</v>
      </c>
      <c r="AD3718" s="77" t="s">
        <v>10620</v>
      </c>
      <c r="AE3718" s="83" t="str">
        <f>HYPERLINK("https://twitter.com/noxnewsok/status/1658125349002137601")</f>
        <v>https://twitter.com/noxnewsok/status/1658125349002137601</v>
      </c>
      <c r="AF3718" s="79">
        <v>45061.625740740739</v>
      </c>
      <c r="AG3718" s="85">
        <v>45061</v>
      </c>
      <c r="AH3718" s="80" t="s">
        <v>13858</v>
      </c>
      <c r="AI3718" s="77" t="b">
        <v>0</v>
      </c>
      <c r="AJ3718" s="77"/>
      <c r="AK3718" s="77"/>
      <c r="AL3718" s="77"/>
      <c r="AM3718" s="77"/>
      <c r="AN3718" s="77"/>
      <c r="AO3718" s="77"/>
      <c r="AP3718" s="77"/>
      <c r="AQ3718" s="77"/>
      <c r="AR3718" s="77"/>
      <c r="AS3718" s="77"/>
      <c r="AT3718" s="77"/>
      <c r="AU3718" s="77"/>
      <c r="AV3718" s="83" t="str">
        <f>HYPERLINK("https://pbs.twimg.com/profile_images/1675535564127318016/ANQrDgyG_normal.jpg")</f>
        <v>https://pbs.twimg.com/profile_images/1675535564127318016/ANQrDgyG_normal.jpg</v>
      </c>
      <c r="AW3718" s="80" t="s">
        <v>19422</v>
      </c>
      <c r="AX3718" s="80" t="s">
        <v>19422</v>
      </c>
      <c r="AY3718" s="77"/>
      <c r="AZ3718" s="80" t="s">
        <v>20380</v>
      </c>
      <c r="BA3718" s="80" t="s">
        <v>20380</v>
      </c>
      <c r="BB3718" s="80" t="s">
        <v>20380</v>
      </c>
      <c r="BC3718" s="80" t="s">
        <v>19422</v>
      </c>
      <c r="BD3718" s="80" t="s">
        <v>21115</v>
      </c>
      <c r="BE3718" s="77"/>
      <c r="BF3718" s="77"/>
      <c r="BG3718" s="77"/>
      <c r="BH3718" s="77"/>
      <c r="BI3718" s="77"/>
    </row>
    <row r="3719" spans="1:61" x14ac:dyDescent="0.25">
      <c r="A3719" s="62" t="s">
        <v>1489</v>
      </c>
      <c r="B3719" s="62" t="s">
        <v>1615</v>
      </c>
      <c r="C3719" s="63"/>
      <c r="D3719" s="64"/>
      <c r="E3719" s="65"/>
      <c r="F3719" s="66"/>
      <c r="G3719" s="63"/>
      <c r="H3719" s="67"/>
      <c r="I3719" s="68"/>
      <c r="J3719" s="68"/>
      <c r="K3719" s="32"/>
      <c r="L3719" s="75">
        <v>3719</v>
      </c>
      <c r="M3719" s="75"/>
      <c r="N3719" s="70"/>
      <c r="O3719" s="77" t="s">
        <v>2083</v>
      </c>
      <c r="P3719" s="79">
        <v>45189.819409722222</v>
      </c>
      <c r="Q3719" s="77" t="s">
        <v>2102</v>
      </c>
      <c r="R3719" s="77">
        <v>10</v>
      </c>
      <c r="S3719" s="77">
        <v>0</v>
      </c>
      <c r="T3719" s="77">
        <v>0</v>
      </c>
      <c r="U3719" s="77">
        <v>0</v>
      </c>
      <c r="V3719" s="77"/>
      <c r="W3719" s="80" t="s">
        <v>5899</v>
      </c>
      <c r="X3719" s="77"/>
      <c r="Y3719" s="77"/>
      <c r="Z3719" s="77" t="s">
        <v>1615</v>
      </c>
      <c r="AA3719" s="77" t="s">
        <v>9047</v>
      </c>
      <c r="AB3719" s="77" t="s">
        <v>10535</v>
      </c>
      <c r="AC3719" s="80" t="s">
        <v>10540</v>
      </c>
      <c r="AD3719" s="77" t="s">
        <v>10619</v>
      </c>
      <c r="AE3719" s="83" t="str">
        <f>HYPERLINK("https://twitter.com/arcides_/status/1704581178424999957")</f>
        <v>https://twitter.com/arcides_/status/1704581178424999957</v>
      </c>
      <c r="AF3719" s="79">
        <v>45189.819409722222</v>
      </c>
      <c r="AG3719" s="85">
        <v>45189</v>
      </c>
      <c r="AH3719" s="80" t="s">
        <v>13859</v>
      </c>
      <c r="AI3719" s="77" t="b">
        <v>0</v>
      </c>
      <c r="AJ3719" s="77"/>
      <c r="AK3719" s="77"/>
      <c r="AL3719" s="77"/>
      <c r="AM3719" s="77"/>
      <c r="AN3719" s="77"/>
      <c r="AO3719" s="77"/>
      <c r="AP3719" s="77"/>
      <c r="AQ3719" s="77" t="s">
        <v>14529</v>
      </c>
      <c r="AR3719" s="77"/>
      <c r="AS3719" s="77"/>
      <c r="AT3719" s="77"/>
      <c r="AU3719" s="77"/>
      <c r="AV3719" s="83" t="str">
        <f>HYPERLINK("https://pbs.twimg.com/media/F6c2kgoWAAAEEnO.jpg")</f>
        <v>https://pbs.twimg.com/media/F6c2kgoWAAAEEnO.jpg</v>
      </c>
      <c r="AW3719" s="80" t="s">
        <v>19423</v>
      </c>
      <c r="AX3719" s="80" t="s">
        <v>19423</v>
      </c>
      <c r="AY3719" s="77"/>
      <c r="AZ3719" s="80" t="s">
        <v>20380</v>
      </c>
      <c r="BA3719" s="80" t="s">
        <v>20380</v>
      </c>
      <c r="BB3719" s="80" t="s">
        <v>19728</v>
      </c>
      <c r="BC3719" s="80" t="s">
        <v>19728</v>
      </c>
      <c r="BD3719" s="77">
        <v>332480335</v>
      </c>
      <c r="BE3719" s="77"/>
      <c r="BF3719" s="77"/>
      <c r="BG3719" s="77"/>
      <c r="BH3719" s="77"/>
      <c r="BI3719" s="77"/>
    </row>
    <row r="3720" spans="1:61" x14ac:dyDescent="0.25">
      <c r="A3720" s="62" t="s">
        <v>1490</v>
      </c>
      <c r="B3720" s="62" t="s">
        <v>1490</v>
      </c>
      <c r="C3720" s="63"/>
      <c r="D3720" s="64"/>
      <c r="E3720" s="65"/>
      <c r="F3720" s="66"/>
      <c r="G3720" s="63"/>
      <c r="H3720" s="67"/>
      <c r="I3720" s="68"/>
      <c r="J3720" s="68"/>
      <c r="K3720" s="32"/>
      <c r="L3720" s="75">
        <v>3720</v>
      </c>
      <c r="M3720" s="75"/>
      <c r="N3720" s="70"/>
      <c r="O3720" s="77" t="s">
        <v>179</v>
      </c>
      <c r="P3720" s="79">
        <v>45061.83016203704</v>
      </c>
      <c r="Q3720" s="77" t="s">
        <v>5366</v>
      </c>
      <c r="R3720" s="77">
        <v>0</v>
      </c>
      <c r="S3720" s="77">
        <v>1</v>
      </c>
      <c r="T3720" s="77">
        <v>0</v>
      </c>
      <c r="U3720" s="77">
        <v>0</v>
      </c>
      <c r="V3720" s="77">
        <v>57</v>
      </c>
      <c r="W3720" s="80" t="s">
        <v>5884</v>
      </c>
      <c r="X3720" s="77"/>
      <c r="Y3720" s="77"/>
      <c r="Z3720" s="77"/>
      <c r="AA3720" s="77" t="s">
        <v>10273</v>
      </c>
      <c r="AB3720" s="77" t="s">
        <v>10535</v>
      </c>
      <c r="AC3720" s="80" t="s">
        <v>10541</v>
      </c>
      <c r="AD3720" s="77" t="s">
        <v>10620</v>
      </c>
      <c r="AE3720" s="83" t="str">
        <f>HYPERLINK("https://twitter.com/elvoceroar/status/1658199428342095882")</f>
        <v>https://twitter.com/elvoceroar/status/1658199428342095882</v>
      </c>
      <c r="AF3720" s="79">
        <v>45061.83016203704</v>
      </c>
      <c r="AG3720" s="85">
        <v>45061</v>
      </c>
      <c r="AH3720" s="80" t="s">
        <v>13860</v>
      </c>
      <c r="AI3720" s="77" t="b">
        <v>0</v>
      </c>
      <c r="AJ3720" s="77"/>
      <c r="AK3720" s="77"/>
      <c r="AL3720" s="77"/>
      <c r="AM3720" s="77"/>
      <c r="AN3720" s="77"/>
      <c r="AO3720" s="77"/>
      <c r="AP3720" s="77"/>
      <c r="AQ3720" s="77" t="s">
        <v>15753</v>
      </c>
      <c r="AR3720" s="77"/>
      <c r="AS3720" s="77"/>
      <c r="AT3720" s="77"/>
      <c r="AU3720" s="77"/>
      <c r="AV3720" s="83" t="str">
        <f>HYPERLINK("https://pbs.twimg.com/media/FwMblqCWYAAv8sx.jpg")</f>
        <v>https://pbs.twimg.com/media/FwMblqCWYAAv8sx.jpg</v>
      </c>
      <c r="AW3720" s="80" t="s">
        <v>19424</v>
      </c>
      <c r="AX3720" s="80" t="s">
        <v>19424</v>
      </c>
      <c r="AY3720" s="77"/>
      <c r="AZ3720" s="80" t="s">
        <v>20380</v>
      </c>
      <c r="BA3720" s="80" t="s">
        <v>20380</v>
      </c>
      <c r="BB3720" s="80" t="s">
        <v>20380</v>
      </c>
      <c r="BC3720" s="80" t="s">
        <v>19424</v>
      </c>
      <c r="BD3720" s="80" t="s">
        <v>21116</v>
      </c>
      <c r="BE3720" s="77"/>
      <c r="BF3720" s="77"/>
      <c r="BG3720" s="77"/>
      <c r="BH3720" s="77"/>
      <c r="BI3720" s="77"/>
    </row>
    <row r="3721" spans="1:61" x14ac:dyDescent="0.25">
      <c r="A3721" s="62" t="s">
        <v>1491</v>
      </c>
      <c r="B3721" s="62" t="s">
        <v>1491</v>
      </c>
      <c r="C3721" s="63"/>
      <c r="D3721" s="64"/>
      <c r="E3721" s="65"/>
      <c r="F3721" s="66"/>
      <c r="G3721" s="63"/>
      <c r="H3721" s="67"/>
      <c r="I3721" s="68"/>
      <c r="J3721" s="68"/>
      <c r="K3721" s="32"/>
      <c r="L3721" s="75">
        <v>3721</v>
      </c>
      <c r="M3721" s="75"/>
      <c r="N3721" s="70"/>
      <c r="O3721" s="77" t="s">
        <v>179</v>
      </c>
      <c r="P3721" s="79">
        <v>45049.947199074071</v>
      </c>
      <c r="Q3721" s="77" t="s">
        <v>5367</v>
      </c>
      <c r="R3721" s="77">
        <v>1</v>
      </c>
      <c r="S3721" s="77">
        <v>26</v>
      </c>
      <c r="T3721" s="77">
        <v>3</v>
      </c>
      <c r="U3721" s="77">
        <v>0</v>
      </c>
      <c r="V3721" s="77">
        <v>3896</v>
      </c>
      <c r="W3721" s="80" t="s">
        <v>7437</v>
      </c>
      <c r="X3721" s="77"/>
      <c r="Y3721" s="77"/>
      <c r="Z3721" s="77"/>
      <c r="AA3721" s="77" t="s">
        <v>10274</v>
      </c>
      <c r="AB3721" s="77" t="s">
        <v>10535</v>
      </c>
      <c r="AC3721" s="80" t="s">
        <v>10542</v>
      </c>
      <c r="AD3721" s="77" t="s">
        <v>10617</v>
      </c>
      <c r="AE3721" s="83" t="str">
        <f>HYPERLINK("https://twitter.com/buenocosta20/status/1653893189655318528")</f>
        <v>https://twitter.com/buenocosta20/status/1653893189655318528</v>
      </c>
      <c r="AF3721" s="79">
        <v>45049.947199074071</v>
      </c>
      <c r="AG3721" s="85">
        <v>45049</v>
      </c>
      <c r="AH3721" s="80" t="s">
        <v>13861</v>
      </c>
      <c r="AI3721" s="77" t="b">
        <v>0</v>
      </c>
      <c r="AJ3721" s="77"/>
      <c r="AK3721" s="77"/>
      <c r="AL3721" s="77"/>
      <c r="AM3721" s="77"/>
      <c r="AN3721" s="77"/>
      <c r="AO3721" s="77"/>
      <c r="AP3721" s="77"/>
      <c r="AQ3721" s="77" t="s">
        <v>15754</v>
      </c>
      <c r="AR3721" s="77"/>
      <c r="AS3721" s="77"/>
      <c r="AT3721" s="77"/>
      <c r="AU3721" s="77"/>
      <c r="AV3721" s="83" t="str">
        <f>HYPERLINK("https://pbs.twimg.com/media/FvPPFqTXwAQCrCr.jpg")</f>
        <v>https://pbs.twimg.com/media/FvPPFqTXwAQCrCr.jpg</v>
      </c>
      <c r="AW3721" s="80" t="s">
        <v>19425</v>
      </c>
      <c r="AX3721" s="80" t="s">
        <v>19425</v>
      </c>
      <c r="AY3721" s="77"/>
      <c r="AZ3721" s="80" t="s">
        <v>20380</v>
      </c>
      <c r="BA3721" s="80" t="s">
        <v>20380</v>
      </c>
      <c r="BB3721" s="80" t="s">
        <v>20380</v>
      </c>
      <c r="BC3721" s="80" t="s">
        <v>19425</v>
      </c>
      <c r="BD3721" s="77">
        <v>1073582198</v>
      </c>
      <c r="BE3721" s="77"/>
      <c r="BF3721" s="77"/>
      <c r="BG3721" s="77"/>
      <c r="BH3721" s="77"/>
      <c r="BI3721" s="77"/>
    </row>
    <row r="3722" spans="1:61" x14ac:dyDescent="0.25">
      <c r="A3722" s="62" t="s">
        <v>1492</v>
      </c>
      <c r="B3722" s="62" t="s">
        <v>2046</v>
      </c>
      <c r="C3722" s="63"/>
      <c r="D3722" s="64"/>
      <c r="E3722" s="65"/>
      <c r="F3722" s="66"/>
      <c r="G3722" s="63"/>
      <c r="H3722" s="67"/>
      <c r="I3722" s="68"/>
      <c r="J3722" s="68"/>
      <c r="K3722" s="32"/>
      <c r="L3722" s="75">
        <v>3722</v>
      </c>
      <c r="M3722" s="75"/>
      <c r="N3722" s="70"/>
      <c r="O3722" s="77" t="s">
        <v>2079</v>
      </c>
      <c r="P3722" s="79">
        <v>45183.645092592589</v>
      </c>
      <c r="Q3722" s="77" t="s">
        <v>5368</v>
      </c>
      <c r="R3722" s="77">
        <v>10</v>
      </c>
      <c r="S3722" s="77">
        <v>4</v>
      </c>
      <c r="T3722" s="77">
        <v>3</v>
      </c>
      <c r="U3722" s="77">
        <v>2</v>
      </c>
      <c r="V3722" s="77">
        <v>338</v>
      </c>
      <c r="W3722" s="80" t="s">
        <v>8216</v>
      </c>
      <c r="X3722" s="77"/>
      <c r="Y3722" s="77"/>
      <c r="Z3722" s="77" t="s">
        <v>9022</v>
      </c>
      <c r="AA3722" s="77" t="s">
        <v>10275</v>
      </c>
      <c r="AB3722" s="77" t="s">
        <v>10534</v>
      </c>
      <c r="AC3722" s="80" t="s">
        <v>10540</v>
      </c>
      <c r="AD3722" s="77" t="s">
        <v>10620</v>
      </c>
      <c r="AE3722" s="83" t="str">
        <f>HYPERLINK("https://twitter.com/ratasyratones/status/1702343682546909602")</f>
        <v>https://twitter.com/ratasyratones/status/1702343682546909602</v>
      </c>
      <c r="AF3722" s="79">
        <v>45183.645092592589</v>
      </c>
      <c r="AG3722" s="85">
        <v>45183</v>
      </c>
      <c r="AH3722" s="80" t="s">
        <v>13862</v>
      </c>
      <c r="AI3722" s="77" t="b">
        <v>1</v>
      </c>
      <c r="AJ3722" s="77"/>
      <c r="AK3722" s="77"/>
      <c r="AL3722" s="77"/>
      <c r="AM3722" s="77"/>
      <c r="AN3722" s="77"/>
      <c r="AO3722" s="77"/>
      <c r="AP3722" s="77"/>
      <c r="AQ3722" s="77" t="s">
        <v>15755</v>
      </c>
      <c r="AR3722" s="77">
        <v>51666</v>
      </c>
      <c r="AS3722" s="77"/>
      <c r="AT3722" s="77"/>
      <c r="AU3722" s="77"/>
      <c r="AV3722" s="83" t="str">
        <f>HYPERLINK("https://pbs.twimg.com/ext_tw_video_thumb/1702343649667756032/pu/img/I_ZRAbqzQYHHeZ0e.jpg")</f>
        <v>https://pbs.twimg.com/ext_tw_video_thumb/1702343649667756032/pu/img/I_ZRAbqzQYHHeZ0e.jpg</v>
      </c>
      <c r="AW3722" s="80" t="s">
        <v>19426</v>
      </c>
      <c r="AX3722" s="80" t="s">
        <v>20181</v>
      </c>
      <c r="AY3722" s="80" t="s">
        <v>20362</v>
      </c>
      <c r="AZ3722" s="80" t="s">
        <v>20469</v>
      </c>
      <c r="BA3722" s="80" t="s">
        <v>20380</v>
      </c>
      <c r="BB3722" s="80" t="s">
        <v>20380</v>
      </c>
      <c r="BC3722" s="80" t="s">
        <v>20469</v>
      </c>
      <c r="BD3722" s="80" t="s">
        <v>21117</v>
      </c>
      <c r="BE3722" s="77"/>
      <c r="BF3722" s="77"/>
      <c r="BG3722" s="77"/>
      <c r="BH3722" s="77"/>
      <c r="BI3722" s="77"/>
    </row>
    <row r="3723" spans="1:61" x14ac:dyDescent="0.25">
      <c r="A3723" s="62" t="s">
        <v>1492</v>
      </c>
      <c r="B3723" s="62" t="s">
        <v>2047</v>
      </c>
      <c r="C3723" s="63"/>
      <c r="D3723" s="64"/>
      <c r="E3723" s="65"/>
      <c r="F3723" s="66"/>
      <c r="G3723" s="63"/>
      <c r="H3723" s="67"/>
      <c r="I3723" s="68"/>
      <c r="J3723" s="68"/>
      <c r="K3723" s="32"/>
      <c r="L3723" s="75">
        <v>3723</v>
      </c>
      <c r="M3723" s="75"/>
      <c r="N3723" s="70"/>
      <c r="O3723" s="77" t="s">
        <v>2079</v>
      </c>
      <c r="P3723" s="79">
        <v>45183.645092592589</v>
      </c>
      <c r="Q3723" s="77" t="s">
        <v>5368</v>
      </c>
      <c r="R3723" s="77">
        <v>10</v>
      </c>
      <c r="S3723" s="77">
        <v>4</v>
      </c>
      <c r="T3723" s="77">
        <v>3</v>
      </c>
      <c r="U3723" s="77">
        <v>2</v>
      </c>
      <c r="V3723" s="77">
        <v>338</v>
      </c>
      <c r="W3723" s="80" t="s">
        <v>8216</v>
      </c>
      <c r="X3723" s="77"/>
      <c r="Y3723" s="77"/>
      <c r="Z3723" s="77" t="s">
        <v>9022</v>
      </c>
      <c r="AA3723" s="77" t="s">
        <v>10275</v>
      </c>
      <c r="AB3723" s="77" t="s">
        <v>10534</v>
      </c>
      <c r="AC3723" s="80" t="s">
        <v>10540</v>
      </c>
      <c r="AD3723" s="77" t="s">
        <v>10620</v>
      </c>
      <c r="AE3723" s="83" t="str">
        <f>HYPERLINK("https://twitter.com/ratasyratones/status/1702343682546909602")</f>
        <v>https://twitter.com/ratasyratones/status/1702343682546909602</v>
      </c>
      <c r="AF3723" s="79">
        <v>45183.645092592589</v>
      </c>
      <c r="AG3723" s="85">
        <v>45183</v>
      </c>
      <c r="AH3723" s="80" t="s">
        <v>13862</v>
      </c>
      <c r="AI3723" s="77" t="b">
        <v>1</v>
      </c>
      <c r="AJ3723" s="77"/>
      <c r="AK3723" s="77"/>
      <c r="AL3723" s="77"/>
      <c r="AM3723" s="77"/>
      <c r="AN3723" s="77"/>
      <c r="AO3723" s="77"/>
      <c r="AP3723" s="77"/>
      <c r="AQ3723" s="77" t="s">
        <v>15755</v>
      </c>
      <c r="AR3723" s="77">
        <v>51666</v>
      </c>
      <c r="AS3723" s="77"/>
      <c r="AT3723" s="77"/>
      <c r="AU3723" s="77"/>
      <c r="AV3723" s="83" t="str">
        <f>HYPERLINK("https://pbs.twimg.com/ext_tw_video_thumb/1702343649667756032/pu/img/I_ZRAbqzQYHHeZ0e.jpg")</f>
        <v>https://pbs.twimg.com/ext_tw_video_thumb/1702343649667756032/pu/img/I_ZRAbqzQYHHeZ0e.jpg</v>
      </c>
      <c r="AW3723" s="80" t="s">
        <v>19426</v>
      </c>
      <c r="AX3723" s="80" t="s">
        <v>20181</v>
      </c>
      <c r="AY3723" s="80" t="s">
        <v>20362</v>
      </c>
      <c r="AZ3723" s="80" t="s">
        <v>20469</v>
      </c>
      <c r="BA3723" s="80" t="s">
        <v>20380</v>
      </c>
      <c r="BB3723" s="80" t="s">
        <v>20380</v>
      </c>
      <c r="BC3723" s="80" t="s">
        <v>20469</v>
      </c>
      <c r="BD3723" s="80" t="s">
        <v>21117</v>
      </c>
      <c r="BE3723" s="77"/>
      <c r="BF3723" s="77"/>
      <c r="BG3723" s="77"/>
      <c r="BH3723" s="77"/>
      <c r="BI3723" s="77"/>
    </row>
    <row r="3724" spans="1:61" x14ac:dyDescent="0.25">
      <c r="A3724" s="62" t="s">
        <v>1492</v>
      </c>
      <c r="B3724" s="62" t="s">
        <v>2048</v>
      </c>
      <c r="C3724" s="63"/>
      <c r="D3724" s="64"/>
      <c r="E3724" s="65"/>
      <c r="F3724" s="66"/>
      <c r="G3724" s="63"/>
      <c r="H3724" s="67"/>
      <c r="I3724" s="68"/>
      <c r="J3724" s="68"/>
      <c r="K3724" s="32"/>
      <c r="L3724" s="75">
        <v>3724</v>
      </c>
      <c r="M3724" s="75"/>
      <c r="N3724" s="70"/>
      <c r="O3724" s="77" t="s">
        <v>2079</v>
      </c>
      <c r="P3724" s="79">
        <v>45183.645092592589</v>
      </c>
      <c r="Q3724" s="77" t="s">
        <v>5368</v>
      </c>
      <c r="R3724" s="77">
        <v>10</v>
      </c>
      <c r="S3724" s="77">
        <v>4</v>
      </c>
      <c r="T3724" s="77">
        <v>3</v>
      </c>
      <c r="U3724" s="77">
        <v>2</v>
      </c>
      <c r="V3724" s="77">
        <v>338</v>
      </c>
      <c r="W3724" s="80" t="s">
        <v>8216</v>
      </c>
      <c r="X3724" s="77"/>
      <c r="Y3724" s="77"/>
      <c r="Z3724" s="77" t="s">
        <v>9022</v>
      </c>
      <c r="AA3724" s="77" t="s">
        <v>10275</v>
      </c>
      <c r="AB3724" s="77" t="s">
        <v>10534</v>
      </c>
      <c r="AC3724" s="80" t="s">
        <v>10540</v>
      </c>
      <c r="AD3724" s="77" t="s">
        <v>10620</v>
      </c>
      <c r="AE3724" s="83" t="str">
        <f>HYPERLINK("https://twitter.com/ratasyratones/status/1702343682546909602")</f>
        <v>https://twitter.com/ratasyratones/status/1702343682546909602</v>
      </c>
      <c r="AF3724" s="79">
        <v>45183.645092592589</v>
      </c>
      <c r="AG3724" s="85">
        <v>45183</v>
      </c>
      <c r="AH3724" s="80" t="s">
        <v>13862</v>
      </c>
      <c r="AI3724" s="77" t="b">
        <v>1</v>
      </c>
      <c r="AJ3724" s="77"/>
      <c r="AK3724" s="77"/>
      <c r="AL3724" s="77"/>
      <c r="AM3724" s="77"/>
      <c r="AN3724" s="77"/>
      <c r="AO3724" s="77"/>
      <c r="AP3724" s="77"/>
      <c r="AQ3724" s="77" t="s">
        <v>15755</v>
      </c>
      <c r="AR3724" s="77">
        <v>51666</v>
      </c>
      <c r="AS3724" s="77"/>
      <c r="AT3724" s="77"/>
      <c r="AU3724" s="77"/>
      <c r="AV3724" s="83" t="str">
        <f>HYPERLINK("https://pbs.twimg.com/ext_tw_video_thumb/1702343649667756032/pu/img/I_ZRAbqzQYHHeZ0e.jpg")</f>
        <v>https://pbs.twimg.com/ext_tw_video_thumb/1702343649667756032/pu/img/I_ZRAbqzQYHHeZ0e.jpg</v>
      </c>
      <c r="AW3724" s="80" t="s">
        <v>19426</v>
      </c>
      <c r="AX3724" s="80" t="s">
        <v>20181</v>
      </c>
      <c r="AY3724" s="80" t="s">
        <v>20362</v>
      </c>
      <c r="AZ3724" s="80" t="s">
        <v>20469</v>
      </c>
      <c r="BA3724" s="80" t="s">
        <v>20380</v>
      </c>
      <c r="BB3724" s="80" t="s">
        <v>20380</v>
      </c>
      <c r="BC3724" s="80" t="s">
        <v>20469</v>
      </c>
      <c r="BD3724" s="80" t="s">
        <v>21117</v>
      </c>
      <c r="BE3724" s="77"/>
      <c r="BF3724" s="77"/>
      <c r="BG3724" s="77"/>
      <c r="BH3724" s="77"/>
      <c r="BI3724" s="77"/>
    </row>
    <row r="3725" spans="1:61" x14ac:dyDescent="0.25">
      <c r="A3725" s="62" t="s">
        <v>1492</v>
      </c>
      <c r="B3725" s="62" t="s">
        <v>1733</v>
      </c>
      <c r="C3725" s="63"/>
      <c r="D3725" s="64"/>
      <c r="E3725" s="65"/>
      <c r="F3725" s="66"/>
      <c r="G3725" s="63"/>
      <c r="H3725" s="67"/>
      <c r="I3725" s="68"/>
      <c r="J3725" s="68"/>
      <c r="K3725" s="32"/>
      <c r="L3725" s="75">
        <v>3725</v>
      </c>
      <c r="M3725" s="75"/>
      <c r="N3725" s="70"/>
      <c r="O3725" s="77" t="s">
        <v>2079</v>
      </c>
      <c r="P3725" s="79">
        <v>45183.645092592589</v>
      </c>
      <c r="Q3725" s="77" t="s">
        <v>5368</v>
      </c>
      <c r="R3725" s="77">
        <v>10</v>
      </c>
      <c r="S3725" s="77">
        <v>4</v>
      </c>
      <c r="T3725" s="77">
        <v>3</v>
      </c>
      <c r="U3725" s="77">
        <v>2</v>
      </c>
      <c r="V3725" s="77">
        <v>338</v>
      </c>
      <c r="W3725" s="80" t="s">
        <v>8216</v>
      </c>
      <c r="X3725" s="77"/>
      <c r="Y3725" s="77"/>
      <c r="Z3725" s="77" t="s">
        <v>9022</v>
      </c>
      <c r="AA3725" s="77" t="s">
        <v>10275</v>
      </c>
      <c r="AB3725" s="77" t="s">
        <v>10534</v>
      </c>
      <c r="AC3725" s="80" t="s">
        <v>10540</v>
      </c>
      <c r="AD3725" s="77" t="s">
        <v>10620</v>
      </c>
      <c r="AE3725" s="83" t="str">
        <f>HYPERLINK("https://twitter.com/ratasyratones/status/1702343682546909602")</f>
        <v>https://twitter.com/ratasyratones/status/1702343682546909602</v>
      </c>
      <c r="AF3725" s="79">
        <v>45183.645092592589</v>
      </c>
      <c r="AG3725" s="85">
        <v>45183</v>
      </c>
      <c r="AH3725" s="80" t="s">
        <v>13862</v>
      </c>
      <c r="AI3725" s="77" t="b">
        <v>1</v>
      </c>
      <c r="AJ3725" s="77"/>
      <c r="AK3725" s="77"/>
      <c r="AL3725" s="77"/>
      <c r="AM3725" s="77"/>
      <c r="AN3725" s="77"/>
      <c r="AO3725" s="77"/>
      <c r="AP3725" s="77"/>
      <c r="AQ3725" s="77" t="s">
        <v>15755</v>
      </c>
      <c r="AR3725" s="77">
        <v>51666</v>
      </c>
      <c r="AS3725" s="77"/>
      <c r="AT3725" s="77"/>
      <c r="AU3725" s="77"/>
      <c r="AV3725" s="83" t="str">
        <f>HYPERLINK("https://pbs.twimg.com/ext_tw_video_thumb/1702343649667756032/pu/img/I_ZRAbqzQYHHeZ0e.jpg")</f>
        <v>https://pbs.twimg.com/ext_tw_video_thumb/1702343649667756032/pu/img/I_ZRAbqzQYHHeZ0e.jpg</v>
      </c>
      <c r="AW3725" s="80" t="s">
        <v>19426</v>
      </c>
      <c r="AX3725" s="80" t="s">
        <v>20181</v>
      </c>
      <c r="AY3725" s="80" t="s">
        <v>20362</v>
      </c>
      <c r="AZ3725" s="80" t="s">
        <v>20469</v>
      </c>
      <c r="BA3725" s="80" t="s">
        <v>20380</v>
      </c>
      <c r="BB3725" s="80" t="s">
        <v>20380</v>
      </c>
      <c r="BC3725" s="80" t="s">
        <v>20469</v>
      </c>
      <c r="BD3725" s="80" t="s">
        <v>21117</v>
      </c>
      <c r="BE3725" s="77"/>
      <c r="BF3725" s="77"/>
      <c r="BG3725" s="77"/>
      <c r="BH3725" s="77"/>
      <c r="BI3725" s="77"/>
    </row>
    <row r="3726" spans="1:61" x14ac:dyDescent="0.25">
      <c r="A3726" s="62" t="s">
        <v>1492</v>
      </c>
      <c r="B3726" s="62" t="s">
        <v>1734</v>
      </c>
      <c r="C3726" s="63"/>
      <c r="D3726" s="64"/>
      <c r="E3726" s="65"/>
      <c r="F3726" s="66"/>
      <c r="G3726" s="63"/>
      <c r="H3726" s="67"/>
      <c r="I3726" s="68"/>
      <c r="J3726" s="68"/>
      <c r="K3726" s="32"/>
      <c r="L3726" s="75">
        <v>3726</v>
      </c>
      <c r="M3726" s="75"/>
      <c r="N3726" s="70"/>
      <c r="O3726" s="77" t="s">
        <v>2079</v>
      </c>
      <c r="P3726" s="79">
        <v>45183.645092592589</v>
      </c>
      <c r="Q3726" s="77" t="s">
        <v>5368</v>
      </c>
      <c r="R3726" s="77">
        <v>10</v>
      </c>
      <c r="S3726" s="77">
        <v>4</v>
      </c>
      <c r="T3726" s="77">
        <v>3</v>
      </c>
      <c r="U3726" s="77">
        <v>2</v>
      </c>
      <c r="V3726" s="77">
        <v>338</v>
      </c>
      <c r="W3726" s="80" t="s">
        <v>8216</v>
      </c>
      <c r="X3726" s="77"/>
      <c r="Y3726" s="77"/>
      <c r="Z3726" s="77" t="s">
        <v>9022</v>
      </c>
      <c r="AA3726" s="77" t="s">
        <v>10275</v>
      </c>
      <c r="AB3726" s="77" t="s">
        <v>10534</v>
      </c>
      <c r="AC3726" s="80" t="s">
        <v>10540</v>
      </c>
      <c r="AD3726" s="77" t="s">
        <v>10620</v>
      </c>
      <c r="AE3726" s="83" t="str">
        <f>HYPERLINK("https://twitter.com/ratasyratones/status/1702343682546909602")</f>
        <v>https://twitter.com/ratasyratones/status/1702343682546909602</v>
      </c>
      <c r="AF3726" s="79">
        <v>45183.645092592589</v>
      </c>
      <c r="AG3726" s="85">
        <v>45183</v>
      </c>
      <c r="AH3726" s="80" t="s">
        <v>13862</v>
      </c>
      <c r="AI3726" s="77" t="b">
        <v>1</v>
      </c>
      <c r="AJ3726" s="77"/>
      <c r="AK3726" s="77"/>
      <c r="AL3726" s="77"/>
      <c r="AM3726" s="77"/>
      <c r="AN3726" s="77"/>
      <c r="AO3726" s="77"/>
      <c r="AP3726" s="77"/>
      <c r="AQ3726" s="77" t="s">
        <v>15755</v>
      </c>
      <c r="AR3726" s="77">
        <v>51666</v>
      </c>
      <c r="AS3726" s="77"/>
      <c r="AT3726" s="77"/>
      <c r="AU3726" s="77"/>
      <c r="AV3726" s="83" t="str">
        <f>HYPERLINK("https://pbs.twimg.com/ext_tw_video_thumb/1702343649667756032/pu/img/I_ZRAbqzQYHHeZ0e.jpg")</f>
        <v>https://pbs.twimg.com/ext_tw_video_thumb/1702343649667756032/pu/img/I_ZRAbqzQYHHeZ0e.jpg</v>
      </c>
      <c r="AW3726" s="80" t="s">
        <v>19426</v>
      </c>
      <c r="AX3726" s="80" t="s">
        <v>20181</v>
      </c>
      <c r="AY3726" s="80" t="s">
        <v>20362</v>
      </c>
      <c r="AZ3726" s="80" t="s">
        <v>20469</v>
      </c>
      <c r="BA3726" s="80" t="s">
        <v>20380</v>
      </c>
      <c r="BB3726" s="80" t="s">
        <v>20380</v>
      </c>
      <c r="BC3726" s="80" t="s">
        <v>20469</v>
      </c>
      <c r="BD3726" s="80" t="s">
        <v>21117</v>
      </c>
      <c r="BE3726" s="77"/>
      <c r="BF3726" s="77"/>
      <c r="BG3726" s="77"/>
      <c r="BH3726" s="77"/>
      <c r="BI3726" s="77"/>
    </row>
    <row r="3727" spans="1:61" x14ac:dyDescent="0.25">
      <c r="A3727" s="62" t="s">
        <v>1492</v>
      </c>
      <c r="B3727" s="62" t="s">
        <v>1735</v>
      </c>
      <c r="C3727" s="63"/>
      <c r="D3727" s="64"/>
      <c r="E3727" s="65"/>
      <c r="F3727" s="66"/>
      <c r="G3727" s="63"/>
      <c r="H3727" s="67"/>
      <c r="I3727" s="68"/>
      <c r="J3727" s="68"/>
      <c r="K3727" s="32"/>
      <c r="L3727" s="75">
        <v>3727</v>
      </c>
      <c r="M3727" s="75"/>
      <c r="N3727" s="70"/>
      <c r="O3727" s="77" t="s">
        <v>2079</v>
      </c>
      <c r="P3727" s="79">
        <v>45183.645092592589</v>
      </c>
      <c r="Q3727" s="77" t="s">
        <v>5368</v>
      </c>
      <c r="R3727" s="77">
        <v>10</v>
      </c>
      <c r="S3727" s="77">
        <v>4</v>
      </c>
      <c r="T3727" s="77">
        <v>3</v>
      </c>
      <c r="U3727" s="77">
        <v>2</v>
      </c>
      <c r="V3727" s="77">
        <v>338</v>
      </c>
      <c r="W3727" s="80" t="s">
        <v>8216</v>
      </c>
      <c r="X3727" s="77"/>
      <c r="Y3727" s="77"/>
      <c r="Z3727" s="77" t="s">
        <v>9022</v>
      </c>
      <c r="AA3727" s="77" t="s">
        <v>10275</v>
      </c>
      <c r="AB3727" s="77" t="s">
        <v>10534</v>
      </c>
      <c r="AC3727" s="80" t="s">
        <v>10540</v>
      </c>
      <c r="AD3727" s="77" t="s">
        <v>10620</v>
      </c>
      <c r="AE3727" s="83" t="str">
        <f>HYPERLINK("https://twitter.com/ratasyratones/status/1702343682546909602")</f>
        <v>https://twitter.com/ratasyratones/status/1702343682546909602</v>
      </c>
      <c r="AF3727" s="79">
        <v>45183.645092592589</v>
      </c>
      <c r="AG3727" s="85">
        <v>45183</v>
      </c>
      <c r="AH3727" s="80" t="s">
        <v>13862</v>
      </c>
      <c r="AI3727" s="77" t="b">
        <v>1</v>
      </c>
      <c r="AJ3727" s="77"/>
      <c r="AK3727" s="77"/>
      <c r="AL3727" s="77"/>
      <c r="AM3727" s="77"/>
      <c r="AN3727" s="77"/>
      <c r="AO3727" s="77"/>
      <c r="AP3727" s="77"/>
      <c r="AQ3727" s="77" t="s">
        <v>15755</v>
      </c>
      <c r="AR3727" s="77">
        <v>51666</v>
      </c>
      <c r="AS3727" s="77"/>
      <c r="AT3727" s="77"/>
      <c r="AU3727" s="77"/>
      <c r="AV3727" s="83" t="str">
        <f>HYPERLINK("https://pbs.twimg.com/ext_tw_video_thumb/1702343649667756032/pu/img/I_ZRAbqzQYHHeZ0e.jpg")</f>
        <v>https://pbs.twimg.com/ext_tw_video_thumb/1702343649667756032/pu/img/I_ZRAbqzQYHHeZ0e.jpg</v>
      </c>
      <c r="AW3727" s="80" t="s">
        <v>19426</v>
      </c>
      <c r="AX3727" s="80" t="s">
        <v>20181</v>
      </c>
      <c r="AY3727" s="80" t="s">
        <v>20362</v>
      </c>
      <c r="AZ3727" s="80" t="s">
        <v>20469</v>
      </c>
      <c r="BA3727" s="80" t="s">
        <v>20380</v>
      </c>
      <c r="BB3727" s="80" t="s">
        <v>20380</v>
      </c>
      <c r="BC3727" s="80" t="s">
        <v>20469</v>
      </c>
      <c r="BD3727" s="80" t="s">
        <v>21117</v>
      </c>
      <c r="BE3727" s="77"/>
      <c r="BF3727" s="77"/>
      <c r="BG3727" s="77"/>
      <c r="BH3727" s="77"/>
      <c r="BI3727" s="77"/>
    </row>
    <row r="3728" spans="1:61" x14ac:dyDescent="0.25">
      <c r="A3728" s="62" t="s">
        <v>1492</v>
      </c>
      <c r="B3728" s="62" t="s">
        <v>1736</v>
      </c>
      <c r="C3728" s="63"/>
      <c r="D3728" s="64"/>
      <c r="E3728" s="65"/>
      <c r="F3728" s="66"/>
      <c r="G3728" s="63"/>
      <c r="H3728" s="67"/>
      <c r="I3728" s="68"/>
      <c r="J3728" s="68"/>
      <c r="K3728" s="32"/>
      <c r="L3728" s="75">
        <v>3728</v>
      </c>
      <c r="M3728" s="75"/>
      <c r="N3728" s="70"/>
      <c r="O3728" s="77" t="s">
        <v>2079</v>
      </c>
      <c r="P3728" s="79">
        <v>45183.645092592589</v>
      </c>
      <c r="Q3728" s="77" t="s">
        <v>5368</v>
      </c>
      <c r="R3728" s="77">
        <v>10</v>
      </c>
      <c r="S3728" s="77">
        <v>4</v>
      </c>
      <c r="T3728" s="77">
        <v>3</v>
      </c>
      <c r="U3728" s="77">
        <v>2</v>
      </c>
      <c r="V3728" s="77">
        <v>338</v>
      </c>
      <c r="W3728" s="80" t="s">
        <v>8216</v>
      </c>
      <c r="X3728" s="77"/>
      <c r="Y3728" s="77"/>
      <c r="Z3728" s="77" t="s">
        <v>9022</v>
      </c>
      <c r="AA3728" s="77" t="s">
        <v>10275</v>
      </c>
      <c r="AB3728" s="77" t="s">
        <v>10534</v>
      </c>
      <c r="AC3728" s="80" t="s">
        <v>10540</v>
      </c>
      <c r="AD3728" s="77" t="s">
        <v>10620</v>
      </c>
      <c r="AE3728" s="83" t="str">
        <f>HYPERLINK("https://twitter.com/ratasyratones/status/1702343682546909602")</f>
        <v>https://twitter.com/ratasyratones/status/1702343682546909602</v>
      </c>
      <c r="AF3728" s="79">
        <v>45183.645092592589</v>
      </c>
      <c r="AG3728" s="85">
        <v>45183</v>
      </c>
      <c r="AH3728" s="80" t="s">
        <v>13862</v>
      </c>
      <c r="AI3728" s="77" t="b">
        <v>1</v>
      </c>
      <c r="AJ3728" s="77"/>
      <c r="AK3728" s="77"/>
      <c r="AL3728" s="77"/>
      <c r="AM3728" s="77"/>
      <c r="AN3728" s="77"/>
      <c r="AO3728" s="77"/>
      <c r="AP3728" s="77"/>
      <c r="AQ3728" s="77" t="s">
        <v>15755</v>
      </c>
      <c r="AR3728" s="77">
        <v>51666</v>
      </c>
      <c r="AS3728" s="77"/>
      <c r="AT3728" s="77"/>
      <c r="AU3728" s="77"/>
      <c r="AV3728" s="83" t="str">
        <f>HYPERLINK("https://pbs.twimg.com/ext_tw_video_thumb/1702343649667756032/pu/img/I_ZRAbqzQYHHeZ0e.jpg")</f>
        <v>https://pbs.twimg.com/ext_tw_video_thumb/1702343649667756032/pu/img/I_ZRAbqzQYHHeZ0e.jpg</v>
      </c>
      <c r="AW3728" s="80" t="s">
        <v>19426</v>
      </c>
      <c r="AX3728" s="80" t="s">
        <v>20181</v>
      </c>
      <c r="AY3728" s="80" t="s">
        <v>20362</v>
      </c>
      <c r="AZ3728" s="80" t="s">
        <v>20469</v>
      </c>
      <c r="BA3728" s="80" t="s">
        <v>20380</v>
      </c>
      <c r="BB3728" s="80" t="s">
        <v>20380</v>
      </c>
      <c r="BC3728" s="80" t="s">
        <v>20469</v>
      </c>
      <c r="BD3728" s="80" t="s">
        <v>21117</v>
      </c>
      <c r="BE3728" s="77"/>
      <c r="BF3728" s="77"/>
      <c r="BG3728" s="77"/>
      <c r="BH3728" s="77"/>
      <c r="BI3728" s="77"/>
    </row>
    <row r="3729" spans="1:61" x14ac:dyDescent="0.25">
      <c r="A3729" s="62" t="s">
        <v>1492</v>
      </c>
      <c r="B3729" s="62" t="s">
        <v>1737</v>
      </c>
      <c r="C3729" s="63"/>
      <c r="D3729" s="64"/>
      <c r="E3729" s="65"/>
      <c r="F3729" s="66"/>
      <c r="G3729" s="63"/>
      <c r="H3729" s="67"/>
      <c r="I3729" s="68"/>
      <c r="J3729" s="68"/>
      <c r="K3729" s="32"/>
      <c r="L3729" s="75">
        <v>3729</v>
      </c>
      <c r="M3729" s="75"/>
      <c r="N3729" s="70"/>
      <c r="O3729" s="77" t="s">
        <v>2079</v>
      </c>
      <c r="P3729" s="79">
        <v>45183.645092592589</v>
      </c>
      <c r="Q3729" s="77" t="s">
        <v>5368</v>
      </c>
      <c r="R3729" s="77">
        <v>10</v>
      </c>
      <c r="S3729" s="77">
        <v>4</v>
      </c>
      <c r="T3729" s="77">
        <v>3</v>
      </c>
      <c r="U3729" s="77">
        <v>2</v>
      </c>
      <c r="V3729" s="77">
        <v>338</v>
      </c>
      <c r="W3729" s="80" t="s">
        <v>8216</v>
      </c>
      <c r="X3729" s="77"/>
      <c r="Y3729" s="77"/>
      <c r="Z3729" s="77" t="s">
        <v>9022</v>
      </c>
      <c r="AA3729" s="77" t="s">
        <v>10275</v>
      </c>
      <c r="AB3729" s="77" t="s">
        <v>10534</v>
      </c>
      <c r="AC3729" s="80" t="s">
        <v>10540</v>
      </c>
      <c r="AD3729" s="77" t="s">
        <v>10620</v>
      </c>
      <c r="AE3729" s="83" t="str">
        <f>HYPERLINK("https://twitter.com/ratasyratones/status/1702343682546909602")</f>
        <v>https://twitter.com/ratasyratones/status/1702343682546909602</v>
      </c>
      <c r="AF3729" s="79">
        <v>45183.645092592589</v>
      </c>
      <c r="AG3729" s="85">
        <v>45183</v>
      </c>
      <c r="AH3729" s="80" t="s">
        <v>13862</v>
      </c>
      <c r="AI3729" s="77" t="b">
        <v>1</v>
      </c>
      <c r="AJ3729" s="77"/>
      <c r="AK3729" s="77"/>
      <c r="AL3729" s="77"/>
      <c r="AM3729" s="77"/>
      <c r="AN3729" s="77"/>
      <c r="AO3729" s="77"/>
      <c r="AP3729" s="77"/>
      <c r="AQ3729" s="77" t="s">
        <v>15755</v>
      </c>
      <c r="AR3729" s="77">
        <v>51666</v>
      </c>
      <c r="AS3729" s="77"/>
      <c r="AT3729" s="77"/>
      <c r="AU3729" s="77"/>
      <c r="AV3729" s="83" t="str">
        <f>HYPERLINK("https://pbs.twimg.com/ext_tw_video_thumb/1702343649667756032/pu/img/I_ZRAbqzQYHHeZ0e.jpg")</f>
        <v>https://pbs.twimg.com/ext_tw_video_thumb/1702343649667756032/pu/img/I_ZRAbqzQYHHeZ0e.jpg</v>
      </c>
      <c r="AW3729" s="80" t="s">
        <v>19426</v>
      </c>
      <c r="AX3729" s="80" t="s">
        <v>20181</v>
      </c>
      <c r="AY3729" s="80" t="s">
        <v>20362</v>
      </c>
      <c r="AZ3729" s="80" t="s">
        <v>20469</v>
      </c>
      <c r="BA3729" s="80" t="s">
        <v>20380</v>
      </c>
      <c r="BB3729" s="80" t="s">
        <v>20380</v>
      </c>
      <c r="BC3729" s="80" t="s">
        <v>20469</v>
      </c>
      <c r="BD3729" s="80" t="s">
        <v>21117</v>
      </c>
      <c r="BE3729" s="77"/>
      <c r="BF3729" s="77"/>
      <c r="BG3729" s="77"/>
      <c r="BH3729" s="77"/>
      <c r="BI3729" s="77"/>
    </row>
    <row r="3730" spans="1:61" x14ac:dyDescent="0.25">
      <c r="A3730" s="62" t="s">
        <v>1492</v>
      </c>
      <c r="B3730" s="62" t="s">
        <v>1738</v>
      </c>
      <c r="C3730" s="63"/>
      <c r="D3730" s="64"/>
      <c r="E3730" s="65"/>
      <c r="F3730" s="66"/>
      <c r="G3730" s="63"/>
      <c r="H3730" s="67"/>
      <c r="I3730" s="68"/>
      <c r="J3730" s="68"/>
      <c r="K3730" s="32"/>
      <c r="L3730" s="75">
        <v>3730</v>
      </c>
      <c r="M3730" s="75"/>
      <c r="N3730" s="70"/>
      <c r="O3730" s="77" t="s">
        <v>2079</v>
      </c>
      <c r="P3730" s="79">
        <v>45183.645092592589</v>
      </c>
      <c r="Q3730" s="77" t="s">
        <v>5368</v>
      </c>
      <c r="R3730" s="77">
        <v>10</v>
      </c>
      <c r="S3730" s="77">
        <v>4</v>
      </c>
      <c r="T3730" s="77">
        <v>3</v>
      </c>
      <c r="U3730" s="77">
        <v>2</v>
      </c>
      <c r="V3730" s="77">
        <v>338</v>
      </c>
      <c r="W3730" s="80" t="s">
        <v>8216</v>
      </c>
      <c r="X3730" s="77"/>
      <c r="Y3730" s="77"/>
      <c r="Z3730" s="77" t="s">
        <v>9022</v>
      </c>
      <c r="AA3730" s="77" t="s">
        <v>10275</v>
      </c>
      <c r="AB3730" s="77" t="s">
        <v>10534</v>
      </c>
      <c r="AC3730" s="80" t="s">
        <v>10540</v>
      </c>
      <c r="AD3730" s="77" t="s">
        <v>10620</v>
      </c>
      <c r="AE3730" s="83" t="str">
        <f>HYPERLINK("https://twitter.com/ratasyratones/status/1702343682546909602")</f>
        <v>https://twitter.com/ratasyratones/status/1702343682546909602</v>
      </c>
      <c r="AF3730" s="79">
        <v>45183.645092592589</v>
      </c>
      <c r="AG3730" s="85">
        <v>45183</v>
      </c>
      <c r="AH3730" s="80" t="s">
        <v>13862</v>
      </c>
      <c r="AI3730" s="77" t="b">
        <v>1</v>
      </c>
      <c r="AJ3730" s="77"/>
      <c r="AK3730" s="77"/>
      <c r="AL3730" s="77"/>
      <c r="AM3730" s="77"/>
      <c r="AN3730" s="77"/>
      <c r="AO3730" s="77"/>
      <c r="AP3730" s="77"/>
      <c r="AQ3730" s="77" t="s">
        <v>15755</v>
      </c>
      <c r="AR3730" s="77">
        <v>51666</v>
      </c>
      <c r="AS3730" s="77"/>
      <c r="AT3730" s="77"/>
      <c r="AU3730" s="77"/>
      <c r="AV3730" s="83" t="str">
        <f>HYPERLINK("https://pbs.twimg.com/ext_tw_video_thumb/1702343649667756032/pu/img/I_ZRAbqzQYHHeZ0e.jpg")</f>
        <v>https://pbs.twimg.com/ext_tw_video_thumb/1702343649667756032/pu/img/I_ZRAbqzQYHHeZ0e.jpg</v>
      </c>
      <c r="AW3730" s="80" t="s">
        <v>19426</v>
      </c>
      <c r="AX3730" s="80" t="s">
        <v>20181</v>
      </c>
      <c r="AY3730" s="80" t="s">
        <v>20362</v>
      </c>
      <c r="AZ3730" s="80" t="s">
        <v>20469</v>
      </c>
      <c r="BA3730" s="80" t="s">
        <v>20380</v>
      </c>
      <c r="BB3730" s="80" t="s">
        <v>20380</v>
      </c>
      <c r="BC3730" s="80" t="s">
        <v>20469</v>
      </c>
      <c r="BD3730" s="80" t="s">
        <v>21117</v>
      </c>
      <c r="BE3730" s="77"/>
      <c r="BF3730" s="77"/>
      <c r="BG3730" s="77"/>
      <c r="BH3730" s="77"/>
      <c r="BI3730" s="77"/>
    </row>
    <row r="3731" spans="1:61" x14ac:dyDescent="0.25">
      <c r="A3731" s="62" t="s">
        <v>1492</v>
      </c>
      <c r="B3731" s="62" t="s">
        <v>1739</v>
      </c>
      <c r="C3731" s="63"/>
      <c r="D3731" s="64"/>
      <c r="E3731" s="65"/>
      <c r="F3731" s="66"/>
      <c r="G3731" s="63"/>
      <c r="H3731" s="67"/>
      <c r="I3731" s="68"/>
      <c r="J3731" s="68"/>
      <c r="K3731" s="32"/>
      <c r="L3731" s="75">
        <v>3731</v>
      </c>
      <c r="M3731" s="75"/>
      <c r="N3731" s="70"/>
      <c r="O3731" s="77" t="s">
        <v>2079</v>
      </c>
      <c r="P3731" s="79">
        <v>45183.645092592589</v>
      </c>
      <c r="Q3731" s="77" t="s">
        <v>5368</v>
      </c>
      <c r="R3731" s="77">
        <v>10</v>
      </c>
      <c r="S3731" s="77">
        <v>4</v>
      </c>
      <c r="T3731" s="77">
        <v>3</v>
      </c>
      <c r="U3731" s="77">
        <v>2</v>
      </c>
      <c r="V3731" s="77">
        <v>338</v>
      </c>
      <c r="W3731" s="80" t="s">
        <v>8216</v>
      </c>
      <c r="X3731" s="77"/>
      <c r="Y3731" s="77"/>
      <c r="Z3731" s="77" t="s">
        <v>9022</v>
      </c>
      <c r="AA3731" s="77" t="s">
        <v>10275</v>
      </c>
      <c r="AB3731" s="77" t="s">
        <v>10534</v>
      </c>
      <c r="AC3731" s="80" t="s">
        <v>10540</v>
      </c>
      <c r="AD3731" s="77" t="s">
        <v>10620</v>
      </c>
      <c r="AE3731" s="83" t="str">
        <f>HYPERLINK("https://twitter.com/ratasyratones/status/1702343682546909602")</f>
        <v>https://twitter.com/ratasyratones/status/1702343682546909602</v>
      </c>
      <c r="AF3731" s="79">
        <v>45183.645092592589</v>
      </c>
      <c r="AG3731" s="85">
        <v>45183</v>
      </c>
      <c r="AH3731" s="80" t="s">
        <v>13862</v>
      </c>
      <c r="AI3731" s="77" t="b">
        <v>1</v>
      </c>
      <c r="AJ3731" s="77"/>
      <c r="AK3731" s="77"/>
      <c r="AL3731" s="77"/>
      <c r="AM3731" s="77"/>
      <c r="AN3731" s="77"/>
      <c r="AO3731" s="77"/>
      <c r="AP3731" s="77"/>
      <c r="AQ3731" s="77" t="s">
        <v>15755</v>
      </c>
      <c r="AR3731" s="77">
        <v>51666</v>
      </c>
      <c r="AS3731" s="77"/>
      <c r="AT3731" s="77"/>
      <c r="AU3731" s="77"/>
      <c r="AV3731" s="83" t="str">
        <f>HYPERLINK("https://pbs.twimg.com/ext_tw_video_thumb/1702343649667756032/pu/img/I_ZRAbqzQYHHeZ0e.jpg")</f>
        <v>https://pbs.twimg.com/ext_tw_video_thumb/1702343649667756032/pu/img/I_ZRAbqzQYHHeZ0e.jpg</v>
      </c>
      <c r="AW3731" s="80" t="s">
        <v>19426</v>
      </c>
      <c r="AX3731" s="80" t="s">
        <v>20181</v>
      </c>
      <c r="AY3731" s="80" t="s">
        <v>20362</v>
      </c>
      <c r="AZ3731" s="80" t="s">
        <v>20469</v>
      </c>
      <c r="BA3731" s="80" t="s">
        <v>20380</v>
      </c>
      <c r="BB3731" s="80" t="s">
        <v>20380</v>
      </c>
      <c r="BC3731" s="80" t="s">
        <v>20469</v>
      </c>
      <c r="BD3731" s="80" t="s">
        <v>21117</v>
      </c>
      <c r="BE3731" s="77"/>
      <c r="BF3731" s="77"/>
      <c r="BG3731" s="77"/>
      <c r="BH3731" s="77"/>
      <c r="BI3731" s="77"/>
    </row>
    <row r="3732" spans="1:61" x14ac:dyDescent="0.25">
      <c r="A3732" s="62" t="s">
        <v>1492</v>
      </c>
      <c r="B3732" s="62" t="s">
        <v>1740</v>
      </c>
      <c r="C3732" s="63"/>
      <c r="D3732" s="64"/>
      <c r="E3732" s="65"/>
      <c r="F3732" s="66"/>
      <c r="G3732" s="63"/>
      <c r="H3732" s="67"/>
      <c r="I3732" s="68"/>
      <c r="J3732" s="68"/>
      <c r="K3732" s="32"/>
      <c r="L3732" s="75">
        <v>3732</v>
      </c>
      <c r="M3732" s="75"/>
      <c r="N3732" s="70"/>
      <c r="O3732" s="77" t="s">
        <v>2079</v>
      </c>
      <c r="P3732" s="79">
        <v>45183.645092592589</v>
      </c>
      <c r="Q3732" s="77" t="s">
        <v>5368</v>
      </c>
      <c r="R3732" s="77">
        <v>10</v>
      </c>
      <c r="S3732" s="77">
        <v>4</v>
      </c>
      <c r="T3732" s="77">
        <v>3</v>
      </c>
      <c r="U3732" s="77">
        <v>2</v>
      </c>
      <c r="V3732" s="77">
        <v>338</v>
      </c>
      <c r="W3732" s="80" t="s">
        <v>8216</v>
      </c>
      <c r="X3732" s="77"/>
      <c r="Y3732" s="77"/>
      <c r="Z3732" s="77" t="s">
        <v>9022</v>
      </c>
      <c r="AA3732" s="77" t="s">
        <v>10275</v>
      </c>
      <c r="AB3732" s="77" t="s">
        <v>10534</v>
      </c>
      <c r="AC3732" s="80" t="s">
        <v>10540</v>
      </c>
      <c r="AD3732" s="77" t="s">
        <v>10620</v>
      </c>
      <c r="AE3732" s="83" t="str">
        <f>HYPERLINK("https://twitter.com/ratasyratones/status/1702343682546909602")</f>
        <v>https://twitter.com/ratasyratones/status/1702343682546909602</v>
      </c>
      <c r="AF3732" s="79">
        <v>45183.645092592589</v>
      </c>
      <c r="AG3732" s="85">
        <v>45183</v>
      </c>
      <c r="AH3732" s="80" t="s">
        <v>13862</v>
      </c>
      <c r="AI3732" s="77" t="b">
        <v>1</v>
      </c>
      <c r="AJ3732" s="77"/>
      <c r="AK3732" s="77"/>
      <c r="AL3732" s="77"/>
      <c r="AM3732" s="77"/>
      <c r="AN3732" s="77"/>
      <c r="AO3732" s="77"/>
      <c r="AP3732" s="77"/>
      <c r="AQ3732" s="77" t="s">
        <v>15755</v>
      </c>
      <c r="AR3732" s="77">
        <v>51666</v>
      </c>
      <c r="AS3732" s="77"/>
      <c r="AT3732" s="77"/>
      <c r="AU3732" s="77"/>
      <c r="AV3732" s="83" t="str">
        <f>HYPERLINK("https://pbs.twimg.com/ext_tw_video_thumb/1702343649667756032/pu/img/I_ZRAbqzQYHHeZ0e.jpg")</f>
        <v>https://pbs.twimg.com/ext_tw_video_thumb/1702343649667756032/pu/img/I_ZRAbqzQYHHeZ0e.jpg</v>
      </c>
      <c r="AW3732" s="80" t="s">
        <v>19426</v>
      </c>
      <c r="AX3732" s="80" t="s">
        <v>20181</v>
      </c>
      <c r="AY3732" s="80" t="s">
        <v>20362</v>
      </c>
      <c r="AZ3732" s="80" t="s">
        <v>20469</v>
      </c>
      <c r="BA3732" s="80" t="s">
        <v>20380</v>
      </c>
      <c r="BB3732" s="80" t="s">
        <v>20380</v>
      </c>
      <c r="BC3732" s="80" t="s">
        <v>20469</v>
      </c>
      <c r="BD3732" s="80" t="s">
        <v>21117</v>
      </c>
      <c r="BE3732" s="77"/>
      <c r="BF3732" s="77"/>
      <c r="BG3732" s="77"/>
      <c r="BH3732" s="77"/>
      <c r="BI3732" s="77"/>
    </row>
    <row r="3733" spans="1:61" x14ac:dyDescent="0.25">
      <c r="A3733" s="62" t="s">
        <v>1492</v>
      </c>
      <c r="B3733" s="62" t="s">
        <v>1741</v>
      </c>
      <c r="C3733" s="63"/>
      <c r="D3733" s="64"/>
      <c r="E3733" s="65"/>
      <c r="F3733" s="66"/>
      <c r="G3733" s="63"/>
      <c r="H3733" s="67"/>
      <c r="I3733" s="68"/>
      <c r="J3733" s="68"/>
      <c r="K3733" s="32"/>
      <c r="L3733" s="75">
        <v>3733</v>
      </c>
      <c r="M3733" s="75"/>
      <c r="N3733" s="70"/>
      <c r="O3733" s="77" t="s">
        <v>2078</v>
      </c>
      <c r="P3733" s="79">
        <v>45183.645092592589</v>
      </c>
      <c r="Q3733" s="77" t="s">
        <v>5368</v>
      </c>
      <c r="R3733" s="77">
        <v>10</v>
      </c>
      <c r="S3733" s="77">
        <v>4</v>
      </c>
      <c r="T3733" s="77">
        <v>3</v>
      </c>
      <c r="U3733" s="77">
        <v>2</v>
      </c>
      <c r="V3733" s="77">
        <v>338</v>
      </c>
      <c r="W3733" s="80" t="s">
        <v>8216</v>
      </c>
      <c r="X3733" s="77"/>
      <c r="Y3733" s="77"/>
      <c r="Z3733" s="77" t="s">
        <v>9022</v>
      </c>
      <c r="AA3733" s="77" t="s">
        <v>10275</v>
      </c>
      <c r="AB3733" s="77" t="s">
        <v>10534</v>
      </c>
      <c r="AC3733" s="80" t="s">
        <v>10540</v>
      </c>
      <c r="AD3733" s="77" t="s">
        <v>10620</v>
      </c>
      <c r="AE3733" s="83" t="str">
        <f>HYPERLINK("https://twitter.com/ratasyratones/status/1702343682546909602")</f>
        <v>https://twitter.com/ratasyratones/status/1702343682546909602</v>
      </c>
      <c r="AF3733" s="79">
        <v>45183.645092592589</v>
      </c>
      <c r="AG3733" s="85">
        <v>45183</v>
      </c>
      <c r="AH3733" s="80" t="s">
        <v>13862</v>
      </c>
      <c r="AI3733" s="77" t="b">
        <v>1</v>
      </c>
      <c r="AJ3733" s="77"/>
      <c r="AK3733" s="77"/>
      <c r="AL3733" s="77"/>
      <c r="AM3733" s="77"/>
      <c r="AN3733" s="77"/>
      <c r="AO3733" s="77"/>
      <c r="AP3733" s="77"/>
      <c r="AQ3733" s="77" t="s">
        <v>15755</v>
      </c>
      <c r="AR3733" s="77">
        <v>51666</v>
      </c>
      <c r="AS3733" s="77"/>
      <c r="AT3733" s="77"/>
      <c r="AU3733" s="77"/>
      <c r="AV3733" s="83" t="str">
        <f>HYPERLINK("https://pbs.twimg.com/ext_tw_video_thumb/1702343649667756032/pu/img/I_ZRAbqzQYHHeZ0e.jpg")</f>
        <v>https://pbs.twimg.com/ext_tw_video_thumb/1702343649667756032/pu/img/I_ZRAbqzQYHHeZ0e.jpg</v>
      </c>
      <c r="AW3733" s="80" t="s">
        <v>19426</v>
      </c>
      <c r="AX3733" s="80" t="s">
        <v>20181</v>
      </c>
      <c r="AY3733" s="80" t="s">
        <v>20362</v>
      </c>
      <c r="AZ3733" s="80" t="s">
        <v>20469</v>
      </c>
      <c r="BA3733" s="80" t="s">
        <v>20380</v>
      </c>
      <c r="BB3733" s="80" t="s">
        <v>20380</v>
      </c>
      <c r="BC3733" s="80" t="s">
        <v>20469</v>
      </c>
      <c r="BD3733" s="80" t="s">
        <v>21117</v>
      </c>
      <c r="BE3733" s="77"/>
      <c r="BF3733" s="77"/>
      <c r="BG3733" s="77"/>
      <c r="BH3733" s="77"/>
      <c r="BI3733" s="77"/>
    </row>
    <row r="3734" spans="1:61" x14ac:dyDescent="0.25">
      <c r="A3734" s="62" t="s">
        <v>1493</v>
      </c>
      <c r="B3734" s="62" t="s">
        <v>1493</v>
      </c>
      <c r="C3734" s="63"/>
      <c r="D3734" s="64"/>
      <c r="E3734" s="65"/>
      <c r="F3734" s="66"/>
      <c r="G3734" s="63"/>
      <c r="H3734" s="67"/>
      <c r="I3734" s="68"/>
      <c r="J3734" s="68"/>
      <c r="K3734" s="32"/>
      <c r="L3734" s="75">
        <v>3734</v>
      </c>
      <c r="M3734" s="75"/>
      <c r="N3734" s="70"/>
      <c r="O3734" s="77" t="s">
        <v>179</v>
      </c>
      <c r="P3734" s="79">
        <v>45197.775405092594</v>
      </c>
      <c r="Q3734" s="77" t="s">
        <v>5369</v>
      </c>
      <c r="R3734" s="77">
        <v>0</v>
      </c>
      <c r="S3734" s="77">
        <v>0</v>
      </c>
      <c r="T3734" s="77">
        <v>0</v>
      </c>
      <c r="U3734" s="77">
        <v>0</v>
      </c>
      <c r="V3734" s="77">
        <v>11</v>
      </c>
      <c r="W3734" s="80" t="s">
        <v>8217</v>
      </c>
      <c r="X3734" s="83" t="str">
        <f>HYPERLINK("https://primerapagina.info/bancocentralvsmercadopago27923")</f>
        <v>https://primerapagina.info/bancocentralvsmercadopago27923</v>
      </c>
      <c r="Y3734" s="77" t="s">
        <v>8861</v>
      </c>
      <c r="Z3734" s="77"/>
      <c r="AA3734" s="77"/>
      <c r="AB3734" s="77"/>
      <c r="AC3734" s="80" t="s">
        <v>10542</v>
      </c>
      <c r="AD3734" s="77" t="s">
        <v>10620</v>
      </c>
      <c r="AE3734" s="83" t="str">
        <f>HYPERLINK("https://twitter.com/primerapaginaok/status/1707464333884608730")</f>
        <v>https://twitter.com/primerapaginaok/status/1707464333884608730</v>
      </c>
      <c r="AF3734" s="79">
        <v>45197.775405092594</v>
      </c>
      <c r="AG3734" s="85">
        <v>45197</v>
      </c>
      <c r="AH3734" s="80" t="s">
        <v>13863</v>
      </c>
      <c r="AI3734" s="77" t="b">
        <v>0</v>
      </c>
      <c r="AJ3734" s="77"/>
      <c r="AK3734" s="77"/>
      <c r="AL3734" s="77"/>
      <c r="AM3734" s="77"/>
      <c r="AN3734" s="77"/>
      <c r="AO3734" s="77"/>
      <c r="AP3734" s="77"/>
      <c r="AQ3734" s="77"/>
      <c r="AR3734" s="77"/>
      <c r="AS3734" s="77"/>
      <c r="AT3734" s="77"/>
      <c r="AU3734" s="77"/>
      <c r="AV3734" s="83" t="str">
        <f>HYPERLINK("https://pbs.twimg.com/profile_images/877594991434006528/W2O9uvlb_normal.jpg")</f>
        <v>https://pbs.twimg.com/profile_images/877594991434006528/W2O9uvlb_normal.jpg</v>
      </c>
      <c r="AW3734" s="80" t="s">
        <v>19427</v>
      </c>
      <c r="AX3734" s="80" t="s">
        <v>19427</v>
      </c>
      <c r="AY3734" s="77"/>
      <c r="AZ3734" s="80" t="s">
        <v>20380</v>
      </c>
      <c r="BA3734" s="80" t="s">
        <v>20380</v>
      </c>
      <c r="BB3734" s="80" t="s">
        <v>20380</v>
      </c>
      <c r="BC3734" s="80" t="s">
        <v>19427</v>
      </c>
      <c r="BD3734" s="77">
        <v>4107531579</v>
      </c>
      <c r="BE3734" s="77"/>
      <c r="BF3734" s="77"/>
      <c r="BG3734" s="77"/>
      <c r="BH3734" s="77"/>
      <c r="BI3734" s="77"/>
    </row>
    <row r="3735" spans="1:61" x14ac:dyDescent="0.25">
      <c r="A3735" s="62" t="s">
        <v>1494</v>
      </c>
      <c r="B3735" s="62" t="s">
        <v>1494</v>
      </c>
      <c r="C3735" s="63"/>
      <c r="D3735" s="64"/>
      <c r="E3735" s="65"/>
      <c r="F3735" s="66"/>
      <c r="G3735" s="63"/>
      <c r="H3735" s="67"/>
      <c r="I3735" s="68"/>
      <c r="J3735" s="68"/>
      <c r="K3735" s="32"/>
      <c r="L3735" s="75">
        <v>3735</v>
      </c>
      <c r="M3735" s="75"/>
      <c r="N3735" s="70"/>
      <c r="O3735" s="77" t="s">
        <v>179</v>
      </c>
      <c r="P3735" s="79">
        <v>45051.272233796299</v>
      </c>
      <c r="Q3735" s="77" t="s">
        <v>5370</v>
      </c>
      <c r="R3735" s="77">
        <v>21</v>
      </c>
      <c r="S3735" s="77">
        <v>228</v>
      </c>
      <c r="T3735" s="77">
        <v>7</v>
      </c>
      <c r="U3735" s="77">
        <v>1</v>
      </c>
      <c r="V3735" s="77">
        <v>9449</v>
      </c>
      <c r="W3735" s="80" t="s">
        <v>8218</v>
      </c>
      <c r="X3735" s="83" t="str">
        <f>HYPERLINK("https://instagr.am/reel/Cr2dmriJ-EZ/")</f>
        <v>https://instagr.am/reel/Cr2dmriJ-EZ/</v>
      </c>
      <c r="Y3735" s="77" t="s">
        <v>8787</v>
      </c>
      <c r="Z3735" s="77"/>
      <c r="AA3735" s="77" t="s">
        <v>10276</v>
      </c>
      <c r="AB3735" s="77" t="s">
        <v>10535</v>
      </c>
      <c r="AC3735" s="80" t="s">
        <v>10573</v>
      </c>
      <c r="AD3735" s="77" t="s">
        <v>10620</v>
      </c>
      <c r="AE3735" s="83" t="str">
        <f>HYPERLINK("https://twitter.com/tipitoenojado/status/1654373363186298881")</f>
        <v>https://twitter.com/tipitoenojado/status/1654373363186298881</v>
      </c>
      <c r="AF3735" s="79">
        <v>45051.272233796299</v>
      </c>
      <c r="AG3735" s="85">
        <v>45051</v>
      </c>
      <c r="AH3735" s="80" t="s">
        <v>13864</v>
      </c>
      <c r="AI3735" s="77" t="b">
        <v>0</v>
      </c>
      <c r="AJ3735" s="77"/>
      <c r="AK3735" s="77"/>
      <c r="AL3735" s="77"/>
      <c r="AM3735" s="77"/>
      <c r="AN3735" s="77"/>
      <c r="AO3735" s="77"/>
      <c r="AP3735" s="77"/>
      <c r="AQ3735" s="77" t="s">
        <v>15756</v>
      </c>
      <c r="AR3735" s="77"/>
      <c r="AS3735" s="77"/>
      <c r="AT3735" s="77"/>
      <c r="AU3735" s="77"/>
      <c r="AV3735" s="83" t="str">
        <f>HYPERLINK("https://pbs.twimg.com/media/FvWDzpLWYAEc5kI.jpg")</f>
        <v>https://pbs.twimg.com/media/FvWDzpLWYAEc5kI.jpg</v>
      </c>
      <c r="AW3735" s="80" t="s">
        <v>19428</v>
      </c>
      <c r="AX3735" s="80" t="s">
        <v>19428</v>
      </c>
      <c r="AY3735" s="77"/>
      <c r="AZ3735" s="80" t="s">
        <v>20380</v>
      </c>
      <c r="BA3735" s="80" t="s">
        <v>20380</v>
      </c>
      <c r="BB3735" s="80" t="s">
        <v>20380</v>
      </c>
      <c r="BC3735" s="80" t="s">
        <v>19428</v>
      </c>
      <c r="BD3735" s="80" t="s">
        <v>21118</v>
      </c>
      <c r="BE3735" s="77"/>
      <c r="BF3735" s="77"/>
      <c r="BG3735" s="77"/>
      <c r="BH3735" s="77"/>
      <c r="BI3735" s="77"/>
    </row>
    <row r="3736" spans="1:61" x14ac:dyDescent="0.25">
      <c r="A3736" s="62" t="s">
        <v>1495</v>
      </c>
      <c r="B3736" s="62" t="s">
        <v>1495</v>
      </c>
      <c r="C3736" s="63"/>
      <c r="D3736" s="64"/>
      <c r="E3736" s="65"/>
      <c r="F3736" s="66"/>
      <c r="G3736" s="63"/>
      <c r="H3736" s="67"/>
      <c r="I3736" s="68"/>
      <c r="J3736" s="68"/>
      <c r="K3736" s="32"/>
      <c r="L3736" s="75">
        <v>3736</v>
      </c>
      <c r="M3736" s="75"/>
      <c r="N3736" s="70"/>
      <c r="O3736" s="77" t="s">
        <v>179</v>
      </c>
      <c r="P3736" s="79">
        <v>45104.617581018516</v>
      </c>
      <c r="Q3736" s="77" t="s">
        <v>5371</v>
      </c>
      <c r="R3736" s="77">
        <v>0</v>
      </c>
      <c r="S3736" s="77">
        <v>0</v>
      </c>
      <c r="T3736" s="77">
        <v>0</v>
      </c>
      <c r="U3736" s="77">
        <v>0</v>
      </c>
      <c r="V3736" s="77">
        <v>18</v>
      </c>
      <c r="W3736" s="80" t="s">
        <v>8219</v>
      </c>
      <c r="X3736" s="83" t="str">
        <f>HYPERLINK("https://www.jornaldaki.com.br/copom-acena-com-possibilidade-de-queda-dos-juros-a-partir-de-agosto")</f>
        <v>https://www.jornaldaki.com.br/copom-acena-com-possibilidade-de-queda-dos-juros-a-partir-de-agosto</v>
      </c>
      <c r="Y3736" s="77" t="s">
        <v>8611</v>
      </c>
      <c r="Z3736" s="77"/>
      <c r="AA3736" s="77"/>
      <c r="AB3736" s="77"/>
      <c r="AC3736" s="80" t="s">
        <v>10541</v>
      </c>
      <c r="AD3736" s="77" t="s">
        <v>10617</v>
      </c>
      <c r="AE3736" s="83" t="str">
        <f>HYPERLINK("https://twitter.com/jornaldaki/status/1673705070855172096")</f>
        <v>https://twitter.com/jornaldaki/status/1673705070855172096</v>
      </c>
      <c r="AF3736" s="79">
        <v>45104.617581018516</v>
      </c>
      <c r="AG3736" s="85">
        <v>45104</v>
      </c>
      <c r="AH3736" s="80" t="s">
        <v>13865</v>
      </c>
      <c r="AI3736" s="77" t="b">
        <v>0</v>
      </c>
      <c r="AJ3736" s="77"/>
      <c r="AK3736" s="77"/>
      <c r="AL3736" s="77"/>
      <c r="AM3736" s="77"/>
      <c r="AN3736" s="77"/>
      <c r="AO3736" s="77"/>
      <c r="AP3736" s="77"/>
      <c r="AQ3736" s="77"/>
      <c r="AR3736" s="77"/>
      <c r="AS3736" s="77"/>
      <c r="AT3736" s="77"/>
      <c r="AU3736" s="77"/>
      <c r="AV3736" s="83" t="str">
        <f>HYPERLINK("https://pbs.twimg.com/profile_images/1396145253820903426/_VX1GTKG_normal.jpg")</f>
        <v>https://pbs.twimg.com/profile_images/1396145253820903426/_VX1GTKG_normal.jpg</v>
      </c>
      <c r="AW3736" s="80" t="s">
        <v>19429</v>
      </c>
      <c r="AX3736" s="80" t="s">
        <v>19429</v>
      </c>
      <c r="AY3736" s="77"/>
      <c r="AZ3736" s="80" t="s">
        <v>20380</v>
      </c>
      <c r="BA3736" s="80" t="s">
        <v>20380</v>
      </c>
      <c r="BB3736" s="80" t="s">
        <v>20380</v>
      </c>
      <c r="BC3736" s="80" t="s">
        <v>19429</v>
      </c>
      <c r="BD3736" s="77">
        <v>3581596336</v>
      </c>
      <c r="BE3736" s="77"/>
      <c r="BF3736" s="77"/>
      <c r="BG3736" s="77"/>
      <c r="BH3736" s="77"/>
      <c r="BI3736" s="77"/>
    </row>
    <row r="3737" spans="1:61" x14ac:dyDescent="0.25">
      <c r="A3737" s="62" t="s">
        <v>1495</v>
      </c>
      <c r="B3737" s="62" t="s">
        <v>1495</v>
      </c>
      <c r="C3737" s="63"/>
      <c r="D3737" s="64"/>
      <c r="E3737" s="65"/>
      <c r="F3737" s="66"/>
      <c r="G3737" s="63"/>
      <c r="H3737" s="67"/>
      <c r="I3737" s="68"/>
      <c r="J3737" s="68"/>
      <c r="K3737" s="32"/>
      <c r="L3737" s="75">
        <v>3737</v>
      </c>
      <c r="M3737" s="75"/>
      <c r="N3737" s="70"/>
      <c r="O3737" s="77" t="s">
        <v>179</v>
      </c>
      <c r="P3737" s="79">
        <v>45145.893240740741</v>
      </c>
      <c r="Q3737" s="77" t="s">
        <v>5372</v>
      </c>
      <c r="R3737" s="77">
        <v>0</v>
      </c>
      <c r="S3737" s="77">
        <v>1</v>
      </c>
      <c r="T3737" s="77">
        <v>0</v>
      </c>
      <c r="U3737" s="77">
        <v>0</v>
      </c>
      <c r="V3737" s="77">
        <v>11</v>
      </c>
      <c r="W3737" s="80" t="s">
        <v>8220</v>
      </c>
      <c r="X3737" s="83" t="str">
        <f>HYPERLINK("https://www.jornaldaki.com.br/pix-bate-recorde-e-supera-140-milh%C3%B5es-de-transa%C3%A7%C3%B5es-em-um-dia")</f>
        <v>https://www.jornaldaki.com.br/pix-bate-recorde-e-supera-140-milh%C3%B5es-de-transa%C3%A7%C3%B5es-em-um-dia</v>
      </c>
      <c r="Y3737" s="77" t="s">
        <v>8611</v>
      </c>
      <c r="Z3737" s="77"/>
      <c r="AA3737" s="77"/>
      <c r="AB3737" s="77"/>
      <c r="AC3737" s="80" t="s">
        <v>10541</v>
      </c>
      <c r="AD3737" s="77" t="s">
        <v>10617</v>
      </c>
      <c r="AE3737" s="83" t="str">
        <f>HYPERLINK("https://twitter.com/jornaldaki/status/1688662870144200704")</f>
        <v>https://twitter.com/jornaldaki/status/1688662870144200704</v>
      </c>
      <c r="AF3737" s="79">
        <v>45145.893240740741</v>
      </c>
      <c r="AG3737" s="85">
        <v>45145</v>
      </c>
      <c r="AH3737" s="80" t="s">
        <v>13866</v>
      </c>
      <c r="AI3737" s="77" t="b">
        <v>0</v>
      </c>
      <c r="AJ3737" s="77"/>
      <c r="AK3737" s="77"/>
      <c r="AL3737" s="77"/>
      <c r="AM3737" s="77"/>
      <c r="AN3737" s="77"/>
      <c r="AO3737" s="77"/>
      <c r="AP3737" s="77"/>
      <c r="AQ3737" s="77"/>
      <c r="AR3737" s="77"/>
      <c r="AS3737" s="77"/>
      <c r="AT3737" s="77"/>
      <c r="AU3737" s="77"/>
      <c r="AV3737" s="83" t="str">
        <f>HYPERLINK("https://pbs.twimg.com/profile_images/1396145253820903426/_VX1GTKG_normal.jpg")</f>
        <v>https://pbs.twimg.com/profile_images/1396145253820903426/_VX1GTKG_normal.jpg</v>
      </c>
      <c r="AW3737" s="80" t="s">
        <v>19430</v>
      </c>
      <c r="AX3737" s="80" t="s">
        <v>19430</v>
      </c>
      <c r="AY3737" s="77"/>
      <c r="AZ3737" s="80" t="s">
        <v>20380</v>
      </c>
      <c r="BA3737" s="80" t="s">
        <v>20380</v>
      </c>
      <c r="BB3737" s="80" t="s">
        <v>20380</v>
      </c>
      <c r="BC3737" s="80" t="s">
        <v>19430</v>
      </c>
      <c r="BD3737" s="77">
        <v>3581596336</v>
      </c>
      <c r="BE3737" s="77"/>
      <c r="BF3737" s="77"/>
      <c r="BG3737" s="77"/>
      <c r="BH3737" s="77"/>
      <c r="BI3737" s="77"/>
    </row>
    <row r="3738" spans="1:61" x14ac:dyDescent="0.25">
      <c r="A3738" s="62" t="s">
        <v>1495</v>
      </c>
      <c r="B3738" s="62" t="s">
        <v>1495</v>
      </c>
      <c r="C3738" s="63"/>
      <c r="D3738" s="64"/>
      <c r="E3738" s="65"/>
      <c r="F3738" s="66"/>
      <c r="G3738" s="63"/>
      <c r="H3738" s="67"/>
      <c r="I3738" s="68"/>
      <c r="J3738" s="68"/>
      <c r="K3738" s="32"/>
      <c r="L3738" s="75">
        <v>3738</v>
      </c>
      <c r="M3738" s="75"/>
      <c r="N3738" s="70"/>
      <c r="O3738" s="77" t="s">
        <v>179</v>
      </c>
      <c r="P3738" s="79">
        <v>45177.85261574074</v>
      </c>
      <c r="Q3738" s="77" t="s">
        <v>5373</v>
      </c>
      <c r="R3738" s="77">
        <v>0</v>
      </c>
      <c r="S3738" s="77">
        <v>0</v>
      </c>
      <c r="T3738" s="77">
        <v>0</v>
      </c>
      <c r="U3738" s="77">
        <v>0</v>
      </c>
      <c r="V3738" s="77">
        <v>20</v>
      </c>
      <c r="W3738" s="80" t="s">
        <v>8221</v>
      </c>
      <c r="X3738" s="83" t="str">
        <f>HYPERLINK("https://www.jornaldaki.com.br/saques-da-poupan%C3%A7a-em-agosto-superam-dep%C3%B3sitos-em-r-10-1-bilh%C3%B5es")</f>
        <v>https://www.jornaldaki.com.br/saques-da-poupan%C3%A7a-em-agosto-superam-dep%C3%B3sitos-em-r-10-1-bilh%C3%B5es</v>
      </c>
      <c r="Y3738" s="77" t="s">
        <v>8611</v>
      </c>
      <c r="Z3738" s="77"/>
      <c r="AA3738" s="77"/>
      <c r="AB3738" s="77"/>
      <c r="AC3738" s="80" t="s">
        <v>10541</v>
      </c>
      <c r="AD3738" s="77" t="s">
        <v>10617</v>
      </c>
      <c r="AE3738" s="83" t="str">
        <f>HYPERLINK("https://twitter.com/jornaldaki/status/1700244559228236161")</f>
        <v>https://twitter.com/jornaldaki/status/1700244559228236161</v>
      </c>
      <c r="AF3738" s="79">
        <v>45177.85261574074</v>
      </c>
      <c r="AG3738" s="85">
        <v>45177</v>
      </c>
      <c r="AH3738" s="80" t="s">
        <v>13867</v>
      </c>
      <c r="AI3738" s="77" t="b">
        <v>0</v>
      </c>
      <c r="AJ3738" s="77"/>
      <c r="AK3738" s="77"/>
      <c r="AL3738" s="77"/>
      <c r="AM3738" s="77"/>
      <c r="AN3738" s="77"/>
      <c r="AO3738" s="77"/>
      <c r="AP3738" s="77"/>
      <c r="AQ3738" s="77"/>
      <c r="AR3738" s="77"/>
      <c r="AS3738" s="77"/>
      <c r="AT3738" s="77"/>
      <c r="AU3738" s="77"/>
      <c r="AV3738" s="83" t="str">
        <f>HYPERLINK("https://pbs.twimg.com/profile_images/1396145253820903426/_VX1GTKG_normal.jpg")</f>
        <v>https://pbs.twimg.com/profile_images/1396145253820903426/_VX1GTKG_normal.jpg</v>
      </c>
      <c r="AW3738" s="80" t="s">
        <v>19431</v>
      </c>
      <c r="AX3738" s="80" t="s">
        <v>19431</v>
      </c>
      <c r="AY3738" s="77"/>
      <c r="AZ3738" s="80" t="s">
        <v>20380</v>
      </c>
      <c r="BA3738" s="80" t="s">
        <v>20380</v>
      </c>
      <c r="BB3738" s="80" t="s">
        <v>20380</v>
      </c>
      <c r="BC3738" s="80" t="s">
        <v>19431</v>
      </c>
      <c r="BD3738" s="77">
        <v>3581596336</v>
      </c>
      <c r="BE3738" s="77"/>
      <c r="BF3738" s="77"/>
      <c r="BG3738" s="77"/>
      <c r="BH3738" s="77"/>
      <c r="BI3738" s="77"/>
    </row>
    <row r="3739" spans="1:61" x14ac:dyDescent="0.25">
      <c r="A3739" s="62" t="s">
        <v>1495</v>
      </c>
      <c r="B3739" s="62" t="s">
        <v>1495</v>
      </c>
      <c r="C3739" s="63"/>
      <c r="D3739" s="64"/>
      <c r="E3739" s="65"/>
      <c r="F3739" s="66"/>
      <c r="G3739" s="63"/>
      <c r="H3739" s="67"/>
      <c r="I3739" s="68"/>
      <c r="J3739" s="68"/>
      <c r="K3739" s="32"/>
      <c r="L3739" s="75">
        <v>3739</v>
      </c>
      <c r="M3739" s="75"/>
      <c r="N3739" s="70"/>
      <c r="O3739" s="77" t="s">
        <v>179</v>
      </c>
      <c r="P3739" s="79">
        <v>45148.668171296296</v>
      </c>
      <c r="Q3739" s="77" t="s">
        <v>5374</v>
      </c>
      <c r="R3739" s="77">
        <v>0</v>
      </c>
      <c r="S3739" s="77">
        <v>0</v>
      </c>
      <c r="T3739" s="77">
        <v>0</v>
      </c>
      <c r="U3739" s="77">
        <v>0</v>
      </c>
      <c r="V3739" s="77">
        <v>22</v>
      </c>
      <c r="W3739" s="80" t="s">
        <v>8222</v>
      </c>
      <c r="X3739" s="83" t="str">
        <f>HYPERLINK("https://www.jornaldaki.com.br/fraudes-digitais-como-descobrir-se-o-seu-cpf-est%C3%A1-sendo-usado-por-outra-pessoa")</f>
        <v>https://www.jornaldaki.com.br/fraudes-digitais-como-descobrir-se-o-seu-cpf-est%C3%A1-sendo-usado-por-outra-pessoa</v>
      </c>
      <c r="Y3739" s="77" t="s">
        <v>8611</v>
      </c>
      <c r="Z3739" s="77"/>
      <c r="AA3739" s="77"/>
      <c r="AB3739" s="77"/>
      <c r="AC3739" s="80" t="s">
        <v>10541</v>
      </c>
      <c r="AD3739" s="77" t="s">
        <v>10617</v>
      </c>
      <c r="AE3739" s="83" t="str">
        <f>HYPERLINK("https://twitter.com/jornaldaki/status/1689668471292854272")</f>
        <v>https://twitter.com/jornaldaki/status/1689668471292854272</v>
      </c>
      <c r="AF3739" s="79">
        <v>45148.668171296296</v>
      </c>
      <c r="AG3739" s="85">
        <v>45148</v>
      </c>
      <c r="AH3739" s="80" t="s">
        <v>13868</v>
      </c>
      <c r="AI3739" s="77" t="b">
        <v>0</v>
      </c>
      <c r="AJ3739" s="77"/>
      <c r="AK3739" s="77"/>
      <c r="AL3739" s="77"/>
      <c r="AM3739" s="77"/>
      <c r="AN3739" s="77"/>
      <c r="AO3739" s="77"/>
      <c r="AP3739" s="77"/>
      <c r="AQ3739" s="77"/>
      <c r="AR3739" s="77"/>
      <c r="AS3739" s="77"/>
      <c r="AT3739" s="77"/>
      <c r="AU3739" s="77"/>
      <c r="AV3739" s="83" t="str">
        <f>HYPERLINK("https://pbs.twimg.com/profile_images/1396145253820903426/_VX1GTKG_normal.jpg")</f>
        <v>https://pbs.twimg.com/profile_images/1396145253820903426/_VX1GTKG_normal.jpg</v>
      </c>
      <c r="AW3739" s="80" t="s">
        <v>19432</v>
      </c>
      <c r="AX3739" s="80" t="s">
        <v>19432</v>
      </c>
      <c r="AY3739" s="77"/>
      <c r="AZ3739" s="80" t="s">
        <v>20380</v>
      </c>
      <c r="BA3739" s="80" t="s">
        <v>20380</v>
      </c>
      <c r="BB3739" s="80" t="s">
        <v>20380</v>
      </c>
      <c r="BC3739" s="80" t="s">
        <v>19432</v>
      </c>
      <c r="BD3739" s="77">
        <v>3581596336</v>
      </c>
      <c r="BE3739" s="77"/>
      <c r="BF3739" s="77"/>
      <c r="BG3739" s="77"/>
      <c r="BH3739" s="77"/>
      <c r="BI3739" s="77"/>
    </row>
    <row r="3740" spans="1:61" x14ac:dyDescent="0.25">
      <c r="A3740" s="62" t="s">
        <v>1495</v>
      </c>
      <c r="B3740" s="62" t="s">
        <v>1495</v>
      </c>
      <c r="C3740" s="63"/>
      <c r="D3740" s="64"/>
      <c r="E3740" s="65"/>
      <c r="F3740" s="66"/>
      <c r="G3740" s="63"/>
      <c r="H3740" s="67"/>
      <c r="I3740" s="68"/>
      <c r="J3740" s="68"/>
      <c r="K3740" s="32"/>
      <c r="L3740" s="75">
        <v>3740</v>
      </c>
      <c r="M3740" s="75"/>
      <c r="N3740" s="70"/>
      <c r="O3740" s="77" t="s">
        <v>179</v>
      </c>
      <c r="P3740" s="79">
        <v>45187.686979166669</v>
      </c>
      <c r="Q3740" s="77" t="s">
        <v>5375</v>
      </c>
      <c r="R3740" s="77">
        <v>0</v>
      </c>
      <c r="S3740" s="77">
        <v>0</v>
      </c>
      <c r="T3740" s="77">
        <v>0</v>
      </c>
      <c r="U3740" s="77">
        <v>0</v>
      </c>
      <c r="V3740" s="77">
        <v>19</v>
      </c>
      <c r="W3740" s="80" t="s">
        <v>8223</v>
      </c>
      <c r="X3740" s="83" t="str">
        <f>HYPERLINK("https://www.jornaldaki.com.br/mercado-eleva-para-2-89-proje%C3%A7%C3%A3o-de-crescimento-da-economia-em-2023")</f>
        <v>https://www.jornaldaki.com.br/mercado-eleva-para-2-89-proje%C3%A7%C3%A3o-de-crescimento-da-economia-em-2023</v>
      </c>
      <c r="Y3740" s="77" t="s">
        <v>8611</v>
      </c>
      <c r="Z3740" s="77"/>
      <c r="AA3740" s="77"/>
      <c r="AB3740" s="77"/>
      <c r="AC3740" s="80" t="s">
        <v>10541</v>
      </c>
      <c r="AD3740" s="77" t="s">
        <v>10617</v>
      </c>
      <c r="AE3740" s="83" t="str">
        <f>HYPERLINK("https://twitter.com/jornaldaki/status/1703808412281151674")</f>
        <v>https://twitter.com/jornaldaki/status/1703808412281151674</v>
      </c>
      <c r="AF3740" s="79">
        <v>45187.686979166669</v>
      </c>
      <c r="AG3740" s="85">
        <v>45187</v>
      </c>
      <c r="AH3740" s="80" t="s">
        <v>13869</v>
      </c>
      <c r="AI3740" s="77" t="b">
        <v>0</v>
      </c>
      <c r="AJ3740" s="77"/>
      <c r="AK3740" s="77"/>
      <c r="AL3740" s="77"/>
      <c r="AM3740" s="77"/>
      <c r="AN3740" s="77"/>
      <c r="AO3740" s="77"/>
      <c r="AP3740" s="77"/>
      <c r="AQ3740" s="77"/>
      <c r="AR3740" s="77"/>
      <c r="AS3740" s="77"/>
      <c r="AT3740" s="77"/>
      <c r="AU3740" s="77"/>
      <c r="AV3740" s="83" t="str">
        <f>HYPERLINK("https://pbs.twimg.com/profile_images/1396145253820903426/_VX1GTKG_normal.jpg")</f>
        <v>https://pbs.twimg.com/profile_images/1396145253820903426/_VX1GTKG_normal.jpg</v>
      </c>
      <c r="AW3740" s="80" t="s">
        <v>19433</v>
      </c>
      <c r="AX3740" s="80" t="s">
        <v>19433</v>
      </c>
      <c r="AY3740" s="77"/>
      <c r="AZ3740" s="80" t="s">
        <v>20380</v>
      </c>
      <c r="BA3740" s="80" t="s">
        <v>20380</v>
      </c>
      <c r="BB3740" s="80" t="s">
        <v>20380</v>
      </c>
      <c r="BC3740" s="80" t="s">
        <v>19433</v>
      </c>
      <c r="BD3740" s="77">
        <v>3581596336</v>
      </c>
      <c r="BE3740" s="77"/>
      <c r="BF3740" s="77"/>
      <c r="BG3740" s="77"/>
      <c r="BH3740" s="77"/>
      <c r="BI3740" s="77"/>
    </row>
    <row r="3741" spans="1:61" x14ac:dyDescent="0.25">
      <c r="A3741" s="62" t="s">
        <v>1496</v>
      </c>
      <c r="B3741" s="62" t="s">
        <v>1496</v>
      </c>
      <c r="C3741" s="63"/>
      <c r="D3741" s="64"/>
      <c r="E3741" s="65"/>
      <c r="F3741" s="66"/>
      <c r="G3741" s="63"/>
      <c r="H3741" s="67"/>
      <c r="I3741" s="68"/>
      <c r="J3741" s="68"/>
      <c r="K3741" s="32"/>
      <c r="L3741" s="75">
        <v>3741</v>
      </c>
      <c r="M3741" s="75"/>
      <c r="N3741" s="70"/>
      <c r="O3741" s="77" t="s">
        <v>179</v>
      </c>
      <c r="P3741" s="79">
        <v>45110.830949074072</v>
      </c>
      <c r="Q3741" s="77" t="s">
        <v>5376</v>
      </c>
      <c r="R3741" s="77">
        <v>2</v>
      </c>
      <c r="S3741" s="77">
        <v>1</v>
      </c>
      <c r="T3741" s="77">
        <v>0</v>
      </c>
      <c r="U3741" s="77">
        <v>0</v>
      </c>
      <c r="V3741" s="77">
        <v>66</v>
      </c>
      <c r="W3741" s="80" t="s">
        <v>5884</v>
      </c>
      <c r="X3741" s="83" t="str">
        <f>HYPERLINK("https://revistasuroeste.cl/2023/03/14/reforma-tributaria-y-desigualdad-inmerecida/")</f>
        <v>https://revistasuroeste.cl/2023/03/14/reforma-tributaria-y-desigualdad-inmerecida/</v>
      </c>
      <c r="Y3741" s="77" t="s">
        <v>8862</v>
      </c>
      <c r="Z3741" s="77"/>
      <c r="AA3741" s="77" t="s">
        <v>10277</v>
      </c>
      <c r="AB3741" s="77" t="s">
        <v>10535</v>
      </c>
      <c r="AC3741" s="80" t="s">
        <v>10541</v>
      </c>
      <c r="AD3741" s="77" t="s">
        <v>10620</v>
      </c>
      <c r="AE3741" s="83" t="str">
        <f>HYPERLINK("https://twitter.com/rev_suroeste/status/1675956718205804545")</f>
        <v>https://twitter.com/rev_suroeste/status/1675956718205804545</v>
      </c>
      <c r="AF3741" s="79">
        <v>45110.830949074072</v>
      </c>
      <c r="AG3741" s="85">
        <v>45110</v>
      </c>
      <c r="AH3741" s="80" t="s">
        <v>13870</v>
      </c>
      <c r="AI3741" s="77" t="b">
        <v>0</v>
      </c>
      <c r="AJ3741" s="77"/>
      <c r="AK3741" s="77"/>
      <c r="AL3741" s="77"/>
      <c r="AM3741" s="77"/>
      <c r="AN3741" s="77"/>
      <c r="AO3741" s="77"/>
      <c r="AP3741" s="77"/>
      <c r="AQ3741" s="77" t="s">
        <v>15757</v>
      </c>
      <c r="AR3741" s="77"/>
      <c r="AS3741" s="77"/>
      <c r="AT3741" s="77"/>
      <c r="AU3741" s="77"/>
      <c r="AV3741" s="83" t="str">
        <f>HYPERLINK("https://pbs.twimg.com/media/F0Ixu8lXsAE3KrX.jpg")</f>
        <v>https://pbs.twimg.com/media/F0Ixu8lXsAE3KrX.jpg</v>
      </c>
      <c r="AW3741" s="80" t="s">
        <v>19434</v>
      </c>
      <c r="AX3741" s="80" t="s">
        <v>19434</v>
      </c>
      <c r="AY3741" s="77"/>
      <c r="AZ3741" s="80" t="s">
        <v>20380</v>
      </c>
      <c r="BA3741" s="80" t="s">
        <v>20380</v>
      </c>
      <c r="BB3741" s="80" t="s">
        <v>20380</v>
      </c>
      <c r="BC3741" s="80" t="s">
        <v>19434</v>
      </c>
      <c r="BD3741" s="80" t="s">
        <v>21119</v>
      </c>
      <c r="BE3741" s="77"/>
      <c r="BF3741" s="77"/>
      <c r="BG3741" s="77"/>
      <c r="BH3741" s="77"/>
      <c r="BI3741" s="77"/>
    </row>
    <row r="3742" spans="1:61" x14ac:dyDescent="0.25">
      <c r="A3742" s="62" t="s">
        <v>1497</v>
      </c>
      <c r="B3742" s="62" t="s">
        <v>1497</v>
      </c>
      <c r="C3742" s="63"/>
      <c r="D3742" s="64"/>
      <c r="E3742" s="65"/>
      <c r="F3742" s="66"/>
      <c r="G3742" s="63"/>
      <c r="H3742" s="67"/>
      <c r="I3742" s="68"/>
      <c r="J3742" s="68"/>
      <c r="K3742" s="32"/>
      <c r="L3742" s="75">
        <v>3742</v>
      </c>
      <c r="M3742" s="75"/>
      <c r="N3742" s="70"/>
      <c r="O3742" s="77" t="s">
        <v>179</v>
      </c>
      <c r="P3742" s="79">
        <v>45107.650231481479</v>
      </c>
      <c r="Q3742" s="77" t="s">
        <v>5377</v>
      </c>
      <c r="R3742" s="77">
        <v>0</v>
      </c>
      <c r="S3742" s="77">
        <v>0</v>
      </c>
      <c r="T3742" s="77">
        <v>0</v>
      </c>
      <c r="U3742" s="77">
        <v>0</v>
      </c>
      <c r="V3742" s="77">
        <v>82</v>
      </c>
      <c r="W3742" s="80" t="s">
        <v>8224</v>
      </c>
      <c r="X3742" s="83" t="str">
        <f>HYPERLINK("https://mediosrioja.com.ar/el-gobierno-nacional-pagara-hoy-al-fmi-us-2-700-millones-sin-usar-reservas-del-banco-central/")</f>
        <v>https://mediosrioja.com.ar/el-gobierno-nacional-pagara-hoy-al-fmi-us-2-700-millones-sin-usar-reservas-del-banco-central/</v>
      </c>
      <c r="Y3742" s="77" t="s">
        <v>8624</v>
      </c>
      <c r="Z3742" s="77"/>
      <c r="AA3742" s="77"/>
      <c r="AB3742" s="77"/>
      <c r="AC3742" s="80" t="s">
        <v>10540</v>
      </c>
      <c r="AD3742" s="77" t="s">
        <v>10620</v>
      </c>
      <c r="AE3742" s="83" t="str">
        <f>HYPERLINK("https://twitter.com/medios_rioja/status/1674804067716022272")</f>
        <v>https://twitter.com/medios_rioja/status/1674804067716022272</v>
      </c>
      <c r="AF3742" s="79">
        <v>45107.650231481479</v>
      </c>
      <c r="AG3742" s="85">
        <v>45107</v>
      </c>
      <c r="AH3742" s="80" t="s">
        <v>13871</v>
      </c>
      <c r="AI3742" s="77" t="b">
        <v>0</v>
      </c>
      <c r="AJ3742" s="77"/>
      <c r="AK3742" s="77"/>
      <c r="AL3742" s="77"/>
      <c r="AM3742" s="77"/>
      <c r="AN3742" s="77"/>
      <c r="AO3742" s="77"/>
      <c r="AP3742" s="77"/>
      <c r="AQ3742" s="77"/>
      <c r="AR3742" s="77"/>
      <c r="AS3742" s="77"/>
      <c r="AT3742" s="77"/>
      <c r="AU3742" s="77"/>
      <c r="AV3742" s="83" t="str">
        <f>HYPERLINK("https://pbs.twimg.com/profile_images/1542875257173835776/Z_q6gFTJ_normal.jpg")</f>
        <v>https://pbs.twimg.com/profile_images/1542875257173835776/Z_q6gFTJ_normal.jpg</v>
      </c>
      <c r="AW3742" s="80" t="s">
        <v>19435</v>
      </c>
      <c r="AX3742" s="80" t="s">
        <v>19435</v>
      </c>
      <c r="AY3742" s="77"/>
      <c r="AZ3742" s="80" t="s">
        <v>20380</v>
      </c>
      <c r="BA3742" s="80" t="s">
        <v>20380</v>
      </c>
      <c r="BB3742" s="80" t="s">
        <v>20380</v>
      </c>
      <c r="BC3742" s="80" t="s">
        <v>19435</v>
      </c>
      <c r="BD3742" s="77">
        <v>1068940729</v>
      </c>
      <c r="BE3742" s="77"/>
      <c r="BF3742" s="77"/>
      <c r="BG3742" s="77"/>
      <c r="BH3742" s="77"/>
      <c r="BI3742" s="77"/>
    </row>
    <row r="3743" spans="1:61" x14ac:dyDescent="0.25">
      <c r="A3743" s="62" t="s">
        <v>1498</v>
      </c>
      <c r="B3743" s="62" t="s">
        <v>1498</v>
      </c>
      <c r="C3743" s="63"/>
      <c r="D3743" s="64"/>
      <c r="E3743" s="65"/>
      <c r="F3743" s="66"/>
      <c r="G3743" s="63"/>
      <c r="H3743" s="67"/>
      <c r="I3743" s="68"/>
      <c r="J3743" s="68"/>
      <c r="K3743" s="32"/>
      <c r="L3743" s="75">
        <v>3743</v>
      </c>
      <c r="M3743" s="75"/>
      <c r="N3743" s="70"/>
      <c r="O3743" s="77" t="s">
        <v>179</v>
      </c>
      <c r="P3743" s="79">
        <v>45189.927129629628</v>
      </c>
      <c r="Q3743" s="77" t="s">
        <v>5378</v>
      </c>
      <c r="R3743" s="77">
        <v>0</v>
      </c>
      <c r="S3743" s="77">
        <v>5</v>
      </c>
      <c r="T3743" s="77">
        <v>0</v>
      </c>
      <c r="U3743" s="77">
        <v>0</v>
      </c>
      <c r="V3743" s="77">
        <v>166</v>
      </c>
      <c r="W3743" s="80" t="s">
        <v>8225</v>
      </c>
      <c r="X3743" s="77"/>
      <c r="Y3743" s="77"/>
      <c r="Z3743" s="77"/>
      <c r="AA3743" s="77" t="s">
        <v>10278</v>
      </c>
      <c r="AB3743" s="77" t="s">
        <v>10534</v>
      </c>
      <c r="AC3743" s="80" t="s">
        <v>10542</v>
      </c>
      <c r="AD3743" s="77" t="s">
        <v>10617</v>
      </c>
      <c r="AE3743" s="83" t="str">
        <f>HYPERLINK("https://twitter.com/pedrorenatogc/status/1704620217672876487")</f>
        <v>https://twitter.com/pedrorenatogc/status/1704620217672876487</v>
      </c>
      <c r="AF3743" s="79">
        <v>45189.927129629628</v>
      </c>
      <c r="AG3743" s="85">
        <v>45189</v>
      </c>
      <c r="AH3743" s="80" t="s">
        <v>13872</v>
      </c>
      <c r="AI3743" s="77" t="b">
        <v>0</v>
      </c>
      <c r="AJ3743" s="77"/>
      <c r="AK3743" s="77"/>
      <c r="AL3743" s="77"/>
      <c r="AM3743" s="77"/>
      <c r="AN3743" s="77"/>
      <c r="AO3743" s="77"/>
      <c r="AP3743" s="77"/>
      <c r="AQ3743" s="77" t="s">
        <v>15758</v>
      </c>
      <c r="AR3743" s="77">
        <v>26270</v>
      </c>
      <c r="AS3743" s="77"/>
      <c r="AT3743" s="77"/>
      <c r="AU3743" s="77"/>
      <c r="AV3743" s="83" t="str">
        <f>HYPERLINK("https://pbs.twimg.com/ext_tw_video_thumb/1704620135175139328/pu/img/EPEqpd36QG17A0ve.jpg")</f>
        <v>https://pbs.twimg.com/ext_tw_video_thumb/1704620135175139328/pu/img/EPEqpd36QG17A0ve.jpg</v>
      </c>
      <c r="AW3743" s="80" t="s">
        <v>19436</v>
      </c>
      <c r="AX3743" s="80" t="s">
        <v>19436</v>
      </c>
      <c r="AY3743" s="77"/>
      <c r="AZ3743" s="80" t="s">
        <v>20380</v>
      </c>
      <c r="BA3743" s="80" t="s">
        <v>20380</v>
      </c>
      <c r="BB3743" s="80" t="s">
        <v>20380</v>
      </c>
      <c r="BC3743" s="80" t="s">
        <v>19436</v>
      </c>
      <c r="BD3743" s="80" t="s">
        <v>21120</v>
      </c>
      <c r="BE3743" s="77"/>
      <c r="BF3743" s="77"/>
      <c r="BG3743" s="77"/>
      <c r="BH3743" s="77"/>
      <c r="BI3743" s="77"/>
    </row>
    <row r="3744" spans="1:61" x14ac:dyDescent="0.25">
      <c r="A3744" s="62" t="s">
        <v>1498</v>
      </c>
      <c r="B3744" s="62" t="s">
        <v>1498</v>
      </c>
      <c r="C3744" s="63"/>
      <c r="D3744" s="64"/>
      <c r="E3744" s="65"/>
      <c r="F3744" s="66"/>
      <c r="G3744" s="63"/>
      <c r="H3744" s="67"/>
      <c r="I3744" s="68"/>
      <c r="J3744" s="68"/>
      <c r="K3744" s="32"/>
      <c r="L3744" s="75">
        <v>3744</v>
      </c>
      <c r="M3744" s="75"/>
      <c r="N3744" s="70"/>
      <c r="O3744" s="77" t="s">
        <v>179</v>
      </c>
      <c r="P3744" s="79">
        <v>45195.928217592591</v>
      </c>
      <c r="Q3744" s="77" t="s">
        <v>5379</v>
      </c>
      <c r="R3744" s="77">
        <v>1</v>
      </c>
      <c r="S3744" s="77">
        <v>1</v>
      </c>
      <c r="T3744" s="77">
        <v>0</v>
      </c>
      <c r="U3744" s="77">
        <v>0</v>
      </c>
      <c r="V3744" s="77">
        <v>125</v>
      </c>
      <c r="W3744" s="80" t="s">
        <v>8054</v>
      </c>
      <c r="X3744" s="77"/>
      <c r="Y3744" s="77"/>
      <c r="Z3744" s="77"/>
      <c r="AA3744" s="77" t="s">
        <v>10279</v>
      </c>
      <c r="AB3744" s="77" t="s">
        <v>10534</v>
      </c>
      <c r="AC3744" s="80" t="s">
        <v>10542</v>
      </c>
      <c r="AD3744" s="77" t="s">
        <v>10617</v>
      </c>
      <c r="AE3744" s="83" t="str">
        <f>HYPERLINK("https://twitter.com/pedrorenatogc/status/1706794937994363323")</f>
        <v>https://twitter.com/pedrorenatogc/status/1706794937994363323</v>
      </c>
      <c r="AF3744" s="79">
        <v>45195.928217592591</v>
      </c>
      <c r="AG3744" s="85">
        <v>45195</v>
      </c>
      <c r="AH3744" s="80" t="s">
        <v>13873</v>
      </c>
      <c r="AI3744" s="77" t="b">
        <v>0</v>
      </c>
      <c r="AJ3744" s="77"/>
      <c r="AK3744" s="77"/>
      <c r="AL3744" s="77"/>
      <c r="AM3744" s="77"/>
      <c r="AN3744" s="77"/>
      <c r="AO3744" s="77"/>
      <c r="AP3744" s="77"/>
      <c r="AQ3744" s="77" t="s">
        <v>15759</v>
      </c>
      <c r="AR3744" s="77">
        <v>36400</v>
      </c>
      <c r="AS3744" s="77"/>
      <c r="AT3744" s="77"/>
      <c r="AU3744" s="77"/>
      <c r="AV3744" s="83" t="str">
        <f>HYPERLINK("https://pbs.twimg.com/ext_tw_video_thumb/1706794874844983296/pu/img/MT_aaxEl_6xihzBt.jpg")</f>
        <v>https://pbs.twimg.com/ext_tw_video_thumb/1706794874844983296/pu/img/MT_aaxEl_6xihzBt.jpg</v>
      </c>
      <c r="AW3744" s="80" t="s">
        <v>19437</v>
      </c>
      <c r="AX3744" s="80" t="s">
        <v>19437</v>
      </c>
      <c r="AY3744" s="77"/>
      <c r="AZ3744" s="80" t="s">
        <v>20380</v>
      </c>
      <c r="BA3744" s="80" t="s">
        <v>20380</v>
      </c>
      <c r="BB3744" s="80" t="s">
        <v>20380</v>
      </c>
      <c r="BC3744" s="80" t="s">
        <v>19437</v>
      </c>
      <c r="BD3744" s="80" t="s">
        <v>21120</v>
      </c>
      <c r="BE3744" s="77"/>
      <c r="BF3744" s="77"/>
      <c r="BG3744" s="77"/>
      <c r="BH3744" s="77"/>
      <c r="BI3744" s="77"/>
    </row>
    <row r="3745" spans="1:61" x14ac:dyDescent="0.25">
      <c r="A3745" s="62" t="s">
        <v>1499</v>
      </c>
      <c r="B3745" s="62" t="s">
        <v>1499</v>
      </c>
      <c r="C3745" s="63"/>
      <c r="D3745" s="64"/>
      <c r="E3745" s="65"/>
      <c r="F3745" s="66"/>
      <c r="G3745" s="63"/>
      <c r="H3745" s="67"/>
      <c r="I3745" s="68"/>
      <c r="J3745" s="68"/>
      <c r="K3745" s="32"/>
      <c r="L3745" s="75">
        <v>3745</v>
      </c>
      <c r="M3745" s="75"/>
      <c r="N3745" s="70"/>
      <c r="O3745" s="77" t="s">
        <v>179</v>
      </c>
      <c r="P3745" s="79">
        <v>45050.191099537034</v>
      </c>
      <c r="Q3745" s="77" t="s">
        <v>5380</v>
      </c>
      <c r="R3745" s="77">
        <v>0</v>
      </c>
      <c r="S3745" s="77">
        <v>0</v>
      </c>
      <c r="T3745" s="77">
        <v>0</v>
      </c>
      <c r="U3745" s="77">
        <v>0</v>
      </c>
      <c r="V3745" s="77">
        <v>16</v>
      </c>
      <c r="W3745" s="80" t="s">
        <v>6704</v>
      </c>
      <c r="X3745" s="83" t="str">
        <f>HYPERLINK("https://bit.ly/42pLiFZ")</f>
        <v>https://bit.ly/42pLiFZ</v>
      </c>
      <c r="Y3745" s="77" t="s">
        <v>8618</v>
      </c>
      <c r="Z3745" s="77"/>
      <c r="AA3745" s="77" t="s">
        <v>10280</v>
      </c>
      <c r="AB3745" s="77" t="s">
        <v>10535</v>
      </c>
      <c r="AC3745" s="80" t="s">
        <v>10564</v>
      </c>
      <c r="AD3745" s="77" t="s">
        <v>10617</v>
      </c>
      <c r="AE3745" s="83" t="str">
        <f>HYPERLINK("https://twitter.com/spagoraoficial/status/1653981574021390338")</f>
        <v>https://twitter.com/spagoraoficial/status/1653981574021390338</v>
      </c>
      <c r="AF3745" s="79">
        <v>45050.191099537034</v>
      </c>
      <c r="AG3745" s="85">
        <v>45050</v>
      </c>
      <c r="AH3745" s="80" t="s">
        <v>13874</v>
      </c>
      <c r="AI3745" s="77" t="b">
        <v>0</v>
      </c>
      <c r="AJ3745" s="77"/>
      <c r="AK3745" s="77"/>
      <c r="AL3745" s="77"/>
      <c r="AM3745" s="77"/>
      <c r="AN3745" s="77"/>
      <c r="AO3745" s="77"/>
      <c r="AP3745" s="77"/>
      <c r="AQ3745" s="77" t="s">
        <v>15760</v>
      </c>
      <c r="AR3745" s="77"/>
      <c r="AS3745" s="77"/>
      <c r="AT3745" s="77"/>
      <c r="AU3745" s="77"/>
      <c r="AV3745" s="83" t="str">
        <f>HYPERLINK("https://pbs.twimg.com/media/FvQfec8WIAEyXFe.jpg")</f>
        <v>https://pbs.twimg.com/media/FvQfec8WIAEyXFe.jpg</v>
      </c>
      <c r="AW3745" s="80" t="s">
        <v>19438</v>
      </c>
      <c r="AX3745" s="80" t="s">
        <v>19438</v>
      </c>
      <c r="AY3745" s="77"/>
      <c r="AZ3745" s="80" t="s">
        <v>20380</v>
      </c>
      <c r="BA3745" s="80" t="s">
        <v>20380</v>
      </c>
      <c r="BB3745" s="80" t="s">
        <v>20380</v>
      </c>
      <c r="BC3745" s="80" t="s">
        <v>19438</v>
      </c>
      <c r="BD3745" s="77">
        <v>34352933</v>
      </c>
      <c r="BE3745" s="77"/>
      <c r="BF3745" s="77"/>
      <c r="BG3745" s="77"/>
      <c r="BH3745" s="77"/>
      <c r="BI3745" s="77"/>
    </row>
    <row r="3746" spans="1:61" x14ac:dyDescent="0.25">
      <c r="A3746" s="62" t="s">
        <v>1500</v>
      </c>
      <c r="B3746" s="62" t="s">
        <v>1500</v>
      </c>
      <c r="C3746" s="63"/>
      <c r="D3746" s="64"/>
      <c r="E3746" s="65"/>
      <c r="F3746" s="66"/>
      <c r="G3746" s="63"/>
      <c r="H3746" s="67"/>
      <c r="I3746" s="68"/>
      <c r="J3746" s="68"/>
      <c r="K3746" s="32"/>
      <c r="L3746" s="75">
        <v>3746</v>
      </c>
      <c r="M3746" s="75"/>
      <c r="N3746" s="70"/>
      <c r="O3746" s="77" t="s">
        <v>179</v>
      </c>
      <c r="P3746" s="79">
        <v>45055.043217592596</v>
      </c>
      <c r="Q3746" s="77" t="s">
        <v>5381</v>
      </c>
      <c r="R3746" s="77">
        <v>0</v>
      </c>
      <c r="S3746" s="77">
        <v>0</v>
      </c>
      <c r="T3746" s="77">
        <v>0</v>
      </c>
      <c r="U3746" s="77">
        <v>0</v>
      </c>
      <c r="V3746" s="77">
        <v>29</v>
      </c>
      <c r="W3746" s="80" t="s">
        <v>5884</v>
      </c>
      <c r="X3746" s="77"/>
      <c r="Y3746" s="77"/>
      <c r="Z3746" s="77"/>
      <c r="AA3746" s="77"/>
      <c r="AB3746" s="77"/>
      <c r="AC3746" s="80" t="s">
        <v>10540</v>
      </c>
      <c r="AD3746" s="77" t="s">
        <v>10617</v>
      </c>
      <c r="AE3746" s="83" t="str">
        <f>HYPERLINK("https://twitter.com/rembrandt_sa/status/1655739923763191809")</f>
        <v>https://twitter.com/rembrandt_sa/status/1655739923763191809</v>
      </c>
      <c r="AF3746" s="79">
        <v>45055.043217592596</v>
      </c>
      <c r="AG3746" s="85">
        <v>45055</v>
      </c>
      <c r="AH3746" s="80" t="s">
        <v>13875</v>
      </c>
      <c r="AI3746" s="77"/>
      <c r="AJ3746" s="77"/>
      <c r="AK3746" s="77"/>
      <c r="AL3746" s="77"/>
      <c r="AM3746" s="77"/>
      <c r="AN3746" s="77"/>
      <c r="AO3746" s="77"/>
      <c r="AP3746" s="77"/>
      <c r="AQ3746" s="77"/>
      <c r="AR3746" s="77"/>
      <c r="AS3746" s="77"/>
      <c r="AT3746" s="77"/>
      <c r="AU3746" s="77"/>
      <c r="AV3746" s="83" t="str">
        <f>HYPERLINK("https://pbs.twimg.com/profile_images/1509489752428453902/-4yG9NHY_normal.jpg")</f>
        <v>https://pbs.twimg.com/profile_images/1509489752428453902/-4yG9NHY_normal.jpg</v>
      </c>
      <c r="AW3746" s="80" t="s">
        <v>19439</v>
      </c>
      <c r="AX3746" s="80" t="s">
        <v>19439</v>
      </c>
      <c r="AY3746" s="77"/>
      <c r="AZ3746" s="80" t="s">
        <v>20380</v>
      </c>
      <c r="BA3746" s="80" t="s">
        <v>20380</v>
      </c>
      <c r="BB3746" s="80" t="s">
        <v>20380</v>
      </c>
      <c r="BC3746" s="80" t="s">
        <v>19439</v>
      </c>
      <c r="BD3746" s="80" t="s">
        <v>21121</v>
      </c>
      <c r="BE3746" s="77"/>
      <c r="BF3746" s="77"/>
      <c r="BG3746" s="77"/>
      <c r="BH3746" s="77"/>
      <c r="BI3746" s="77"/>
    </row>
    <row r="3747" spans="1:61" x14ac:dyDescent="0.25">
      <c r="A3747" s="62" t="s">
        <v>1501</v>
      </c>
      <c r="B3747" s="62" t="s">
        <v>1501</v>
      </c>
      <c r="C3747" s="63"/>
      <c r="D3747" s="64"/>
      <c r="E3747" s="65"/>
      <c r="F3747" s="66"/>
      <c r="G3747" s="63"/>
      <c r="H3747" s="67"/>
      <c r="I3747" s="68"/>
      <c r="J3747" s="68"/>
      <c r="K3747" s="32"/>
      <c r="L3747" s="75">
        <v>3747</v>
      </c>
      <c r="M3747" s="75"/>
      <c r="N3747" s="70"/>
      <c r="O3747" s="77" t="s">
        <v>2078</v>
      </c>
      <c r="P3747" s="79">
        <v>45151.823796296296</v>
      </c>
      <c r="Q3747" s="77" t="s">
        <v>5382</v>
      </c>
      <c r="R3747" s="77">
        <v>0</v>
      </c>
      <c r="S3747" s="77">
        <v>0</v>
      </c>
      <c r="T3747" s="77">
        <v>0</v>
      </c>
      <c r="U3747" s="77">
        <v>0</v>
      </c>
      <c r="V3747" s="77">
        <v>106</v>
      </c>
      <c r="W3747" s="80" t="s">
        <v>8226</v>
      </c>
      <c r="X3747" s="77"/>
      <c r="Y3747" s="77"/>
      <c r="Z3747" s="77"/>
      <c r="AA3747" s="77"/>
      <c r="AB3747" s="77"/>
      <c r="AC3747" s="80" t="s">
        <v>10540</v>
      </c>
      <c r="AD3747" s="77" t="s">
        <v>10618</v>
      </c>
      <c r="AE3747" s="83" t="str">
        <f>HYPERLINK("https://twitter.com/calogeroaugusto/status/1690812029014056963")</f>
        <v>https://twitter.com/calogeroaugusto/status/1690812029014056963</v>
      </c>
      <c r="AF3747" s="79">
        <v>45151.823796296296</v>
      </c>
      <c r="AG3747" s="85">
        <v>45151</v>
      </c>
      <c r="AH3747" s="80" t="s">
        <v>13876</v>
      </c>
      <c r="AI3747" s="77"/>
      <c r="AJ3747" s="77"/>
      <c r="AK3747" s="77"/>
      <c r="AL3747" s="77"/>
      <c r="AM3747" s="77"/>
      <c r="AN3747" s="77"/>
      <c r="AO3747" s="77"/>
      <c r="AP3747" s="77"/>
      <c r="AQ3747" s="77"/>
      <c r="AR3747" s="77"/>
      <c r="AS3747" s="77"/>
      <c r="AT3747" s="77"/>
      <c r="AU3747" s="77"/>
      <c r="AV3747" s="83" t="str">
        <f>HYPERLINK("https://pbs.twimg.com/profile_images/1647991223049650176/GDV56SeE_normal.jpg")</f>
        <v>https://pbs.twimg.com/profile_images/1647991223049650176/GDV56SeE_normal.jpg</v>
      </c>
      <c r="AW3747" s="80" t="s">
        <v>19440</v>
      </c>
      <c r="AX3747" s="80" t="s">
        <v>20182</v>
      </c>
      <c r="AY3747" s="80" t="s">
        <v>20363</v>
      </c>
      <c r="AZ3747" s="80" t="s">
        <v>20182</v>
      </c>
      <c r="BA3747" s="80" t="s">
        <v>20380</v>
      </c>
      <c r="BB3747" s="80" t="s">
        <v>20380</v>
      </c>
      <c r="BC3747" s="80" t="s">
        <v>20182</v>
      </c>
      <c r="BD3747" s="77">
        <v>1579213969</v>
      </c>
      <c r="BE3747" s="77"/>
      <c r="BF3747" s="77"/>
      <c r="BG3747" s="77"/>
      <c r="BH3747" s="77"/>
      <c r="BI3747" s="77"/>
    </row>
    <row r="3748" spans="1:61" x14ac:dyDescent="0.25">
      <c r="A3748" s="62" t="s">
        <v>1502</v>
      </c>
      <c r="B3748" s="62" t="s">
        <v>1502</v>
      </c>
      <c r="C3748" s="63"/>
      <c r="D3748" s="64"/>
      <c r="E3748" s="65"/>
      <c r="F3748" s="66"/>
      <c r="G3748" s="63"/>
      <c r="H3748" s="67"/>
      <c r="I3748" s="68"/>
      <c r="J3748" s="68"/>
      <c r="K3748" s="32"/>
      <c r="L3748" s="75">
        <v>3748</v>
      </c>
      <c r="M3748" s="75"/>
      <c r="N3748" s="70"/>
      <c r="O3748" s="77" t="s">
        <v>179</v>
      </c>
      <c r="P3748" s="79">
        <v>45148.514016203706</v>
      </c>
      <c r="Q3748" s="77" t="s">
        <v>5383</v>
      </c>
      <c r="R3748" s="77">
        <v>1</v>
      </c>
      <c r="S3748" s="77">
        <v>0</v>
      </c>
      <c r="T3748" s="77">
        <v>0</v>
      </c>
      <c r="U3748" s="77">
        <v>0</v>
      </c>
      <c r="V3748" s="77">
        <v>71</v>
      </c>
      <c r="W3748" s="80" t="s">
        <v>8227</v>
      </c>
      <c r="X3748" s="83" t="str">
        <f>HYPERLINK("https://www.mascontainer.com/chile-reduce-su-inflacion-mas-rapido-de-lo-previsto/")</f>
        <v>https://www.mascontainer.com/chile-reduce-su-inflacion-mas-rapido-de-lo-previsto/</v>
      </c>
      <c r="Y3748" s="77" t="s">
        <v>8863</v>
      </c>
      <c r="Z3748" s="77"/>
      <c r="AA3748" s="77"/>
      <c r="AB3748" s="77"/>
      <c r="AC3748" s="80" t="s">
        <v>10552</v>
      </c>
      <c r="AD3748" s="77" t="s">
        <v>10620</v>
      </c>
      <c r="AE3748" s="83" t="str">
        <f>HYPERLINK("https://twitter.com/mascontainer/status/1689612606560948224")</f>
        <v>https://twitter.com/mascontainer/status/1689612606560948224</v>
      </c>
      <c r="AF3748" s="79">
        <v>45148.514016203706</v>
      </c>
      <c r="AG3748" s="85">
        <v>45148</v>
      </c>
      <c r="AH3748" s="80" t="s">
        <v>13877</v>
      </c>
      <c r="AI3748" s="77" t="b">
        <v>0</v>
      </c>
      <c r="AJ3748" s="77"/>
      <c r="AK3748" s="77"/>
      <c r="AL3748" s="77"/>
      <c r="AM3748" s="77"/>
      <c r="AN3748" s="77"/>
      <c r="AO3748" s="77"/>
      <c r="AP3748" s="77"/>
      <c r="AQ3748" s="77"/>
      <c r="AR3748" s="77"/>
      <c r="AS3748" s="77"/>
      <c r="AT3748" s="77"/>
      <c r="AU3748" s="77"/>
      <c r="AV3748" s="83" t="str">
        <f>HYPERLINK("https://pbs.twimg.com/profile_images/971352848255635457/U0NXyMbI_normal.jpg")</f>
        <v>https://pbs.twimg.com/profile_images/971352848255635457/U0NXyMbI_normal.jpg</v>
      </c>
      <c r="AW3748" s="80" t="s">
        <v>19441</v>
      </c>
      <c r="AX3748" s="80" t="s">
        <v>19441</v>
      </c>
      <c r="AY3748" s="77"/>
      <c r="AZ3748" s="80" t="s">
        <v>20380</v>
      </c>
      <c r="BA3748" s="80" t="s">
        <v>20380</v>
      </c>
      <c r="BB3748" s="80" t="s">
        <v>20380</v>
      </c>
      <c r="BC3748" s="80" t="s">
        <v>19441</v>
      </c>
      <c r="BD3748" s="80" t="s">
        <v>21122</v>
      </c>
      <c r="BE3748" s="77"/>
      <c r="BF3748" s="77"/>
      <c r="BG3748" s="77"/>
      <c r="BH3748" s="77"/>
      <c r="BI3748" s="77"/>
    </row>
    <row r="3749" spans="1:61" x14ac:dyDescent="0.25">
      <c r="A3749" s="62" t="s">
        <v>1502</v>
      </c>
      <c r="B3749" s="62" t="s">
        <v>1502</v>
      </c>
      <c r="C3749" s="63"/>
      <c r="D3749" s="64"/>
      <c r="E3749" s="65"/>
      <c r="F3749" s="66"/>
      <c r="G3749" s="63"/>
      <c r="H3749" s="67"/>
      <c r="I3749" s="68"/>
      <c r="J3749" s="68"/>
      <c r="K3749" s="32"/>
      <c r="L3749" s="75">
        <v>3749</v>
      </c>
      <c r="M3749" s="75"/>
      <c r="N3749" s="70"/>
      <c r="O3749" s="77" t="s">
        <v>179</v>
      </c>
      <c r="P3749" s="79">
        <v>45102.51053240741</v>
      </c>
      <c r="Q3749" s="77" t="s">
        <v>5384</v>
      </c>
      <c r="R3749" s="77">
        <v>1</v>
      </c>
      <c r="S3749" s="77">
        <v>0</v>
      </c>
      <c r="T3749" s="77">
        <v>0</v>
      </c>
      <c r="U3749" s="77">
        <v>0</v>
      </c>
      <c r="V3749" s="77">
        <v>86</v>
      </c>
      <c r="W3749" s="80" t="s">
        <v>8228</v>
      </c>
      <c r="X3749" s="83" t="str">
        <f>HYPERLINK("https://www.mascontainer.com/riesgos-que-enfrenta-la-economia-chilena-son-significativos/")</f>
        <v>https://www.mascontainer.com/riesgos-que-enfrenta-la-economia-chilena-son-significativos/</v>
      </c>
      <c r="Y3749" s="77" t="s">
        <v>8863</v>
      </c>
      <c r="Z3749" s="77"/>
      <c r="AA3749" s="77"/>
      <c r="AB3749" s="77"/>
      <c r="AC3749" s="80" t="s">
        <v>10552</v>
      </c>
      <c r="AD3749" s="77" t="s">
        <v>10620</v>
      </c>
      <c r="AE3749" s="83" t="str">
        <f>HYPERLINK("https://twitter.com/mascontainer/status/1672941500022284294")</f>
        <v>https://twitter.com/mascontainer/status/1672941500022284294</v>
      </c>
      <c r="AF3749" s="79">
        <v>45102.51053240741</v>
      </c>
      <c r="AG3749" s="85">
        <v>45102</v>
      </c>
      <c r="AH3749" s="80" t="s">
        <v>13878</v>
      </c>
      <c r="AI3749" s="77" t="b">
        <v>0</v>
      </c>
      <c r="AJ3749" s="77"/>
      <c r="AK3749" s="77"/>
      <c r="AL3749" s="77"/>
      <c r="AM3749" s="77"/>
      <c r="AN3749" s="77"/>
      <c r="AO3749" s="77"/>
      <c r="AP3749" s="77"/>
      <c r="AQ3749" s="77"/>
      <c r="AR3749" s="77"/>
      <c r="AS3749" s="77"/>
      <c r="AT3749" s="77"/>
      <c r="AU3749" s="77"/>
      <c r="AV3749" s="83" t="str">
        <f>HYPERLINK("https://pbs.twimg.com/profile_images/971352848255635457/U0NXyMbI_normal.jpg")</f>
        <v>https://pbs.twimg.com/profile_images/971352848255635457/U0NXyMbI_normal.jpg</v>
      </c>
      <c r="AW3749" s="80" t="s">
        <v>19442</v>
      </c>
      <c r="AX3749" s="80" t="s">
        <v>19442</v>
      </c>
      <c r="AY3749" s="77"/>
      <c r="AZ3749" s="80" t="s">
        <v>20380</v>
      </c>
      <c r="BA3749" s="80" t="s">
        <v>20380</v>
      </c>
      <c r="BB3749" s="80" t="s">
        <v>20380</v>
      </c>
      <c r="BC3749" s="80" t="s">
        <v>19442</v>
      </c>
      <c r="BD3749" s="80" t="s">
        <v>21122</v>
      </c>
      <c r="BE3749" s="77"/>
      <c r="BF3749" s="77"/>
      <c r="BG3749" s="77"/>
      <c r="BH3749" s="77"/>
      <c r="BI3749" s="77"/>
    </row>
    <row r="3750" spans="1:61" x14ac:dyDescent="0.25">
      <c r="A3750" s="62" t="s">
        <v>1502</v>
      </c>
      <c r="B3750" s="62" t="s">
        <v>1502</v>
      </c>
      <c r="C3750" s="63"/>
      <c r="D3750" s="64"/>
      <c r="E3750" s="65"/>
      <c r="F3750" s="66"/>
      <c r="G3750" s="63"/>
      <c r="H3750" s="67"/>
      <c r="I3750" s="68"/>
      <c r="J3750" s="68"/>
      <c r="K3750" s="32"/>
      <c r="L3750" s="75">
        <v>3750</v>
      </c>
      <c r="M3750" s="75"/>
      <c r="N3750" s="70"/>
      <c r="O3750" s="77" t="s">
        <v>179</v>
      </c>
      <c r="P3750" s="79">
        <v>45191.673773148148</v>
      </c>
      <c r="Q3750" s="77" t="s">
        <v>5385</v>
      </c>
      <c r="R3750" s="77">
        <v>0</v>
      </c>
      <c r="S3750" s="77">
        <v>0</v>
      </c>
      <c r="T3750" s="77">
        <v>0</v>
      </c>
      <c r="U3750" s="77">
        <v>0</v>
      </c>
      <c r="V3750" s="77">
        <v>52</v>
      </c>
      <c r="W3750" s="80" t="s">
        <v>8229</v>
      </c>
      <c r="X3750" s="83" t="str">
        <f>HYPERLINK("https://www.mascontainer.com/chile-proyecta-caida-de-economia-en-2023/")</f>
        <v>https://www.mascontainer.com/chile-proyecta-caida-de-economia-en-2023/</v>
      </c>
      <c r="Y3750" s="77" t="s">
        <v>8863</v>
      </c>
      <c r="Z3750" s="77"/>
      <c r="AA3750" s="77"/>
      <c r="AB3750" s="77"/>
      <c r="AC3750" s="80" t="s">
        <v>10552</v>
      </c>
      <c r="AD3750" s="77" t="s">
        <v>10620</v>
      </c>
      <c r="AE3750" s="83" t="str">
        <f>HYPERLINK("https://twitter.com/mascontainer/status/1705253177279369305")</f>
        <v>https://twitter.com/mascontainer/status/1705253177279369305</v>
      </c>
      <c r="AF3750" s="79">
        <v>45191.673773148148</v>
      </c>
      <c r="AG3750" s="85">
        <v>45191</v>
      </c>
      <c r="AH3750" s="80" t="s">
        <v>13879</v>
      </c>
      <c r="AI3750" s="77" t="b">
        <v>0</v>
      </c>
      <c r="AJ3750" s="77"/>
      <c r="AK3750" s="77"/>
      <c r="AL3750" s="77"/>
      <c r="AM3750" s="77"/>
      <c r="AN3750" s="77"/>
      <c r="AO3750" s="77"/>
      <c r="AP3750" s="77"/>
      <c r="AQ3750" s="77"/>
      <c r="AR3750" s="77"/>
      <c r="AS3750" s="77"/>
      <c r="AT3750" s="77"/>
      <c r="AU3750" s="77"/>
      <c r="AV3750" s="83" t="str">
        <f>HYPERLINK("https://pbs.twimg.com/profile_images/971352848255635457/U0NXyMbI_normal.jpg")</f>
        <v>https://pbs.twimg.com/profile_images/971352848255635457/U0NXyMbI_normal.jpg</v>
      </c>
      <c r="AW3750" s="80" t="s">
        <v>19443</v>
      </c>
      <c r="AX3750" s="80" t="s">
        <v>19443</v>
      </c>
      <c r="AY3750" s="77"/>
      <c r="AZ3750" s="80" t="s">
        <v>20380</v>
      </c>
      <c r="BA3750" s="80" t="s">
        <v>20380</v>
      </c>
      <c r="BB3750" s="80" t="s">
        <v>20380</v>
      </c>
      <c r="BC3750" s="80" t="s">
        <v>19443</v>
      </c>
      <c r="BD3750" s="80" t="s">
        <v>21122</v>
      </c>
      <c r="BE3750" s="77"/>
      <c r="BF3750" s="77"/>
      <c r="BG3750" s="77"/>
      <c r="BH3750" s="77"/>
      <c r="BI3750" s="77"/>
    </row>
    <row r="3751" spans="1:61" x14ac:dyDescent="0.25">
      <c r="A3751" s="62" t="s">
        <v>1503</v>
      </c>
      <c r="B3751" s="62" t="s">
        <v>1503</v>
      </c>
      <c r="C3751" s="63"/>
      <c r="D3751" s="64"/>
      <c r="E3751" s="65"/>
      <c r="F3751" s="66"/>
      <c r="G3751" s="63"/>
      <c r="H3751" s="67"/>
      <c r="I3751" s="68"/>
      <c r="J3751" s="68"/>
      <c r="K3751" s="32"/>
      <c r="L3751" s="75">
        <v>3751</v>
      </c>
      <c r="M3751" s="75"/>
      <c r="N3751" s="70"/>
      <c r="O3751" s="77" t="s">
        <v>179</v>
      </c>
      <c r="P3751" s="79">
        <v>45189.905370370368</v>
      </c>
      <c r="Q3751" s="77" t="s">
        <v>5386</v>
      </c>
      <c r="R3751" s="77">
        <v>0</v>
      </c>
      <c r="S3751" s="77">
        <v>2</v>
      </c>
      <c r="T3751" s="77">
        <v>0</v>
      </c>
      <c r="U3751" s="77">
        <v>0</v>
      </c>
      <c r="V3751" s="77">
        <v>193</v>
      </c>
      <c r="W3751" s="80" t="s">
        <v>8230</v>
      </c>
      <c r="X3751" s="77"/>
      <c r="Y3751" s="77"/>
      <c r="Z3751" s="77"/>
      <c r="AA3751" s="77" t="s">
        <v>10281</v>
      </c>
      <c r="AB3751" s="77" t="s">
        <v>10535</v>
      </c>
      <c r="AC3751" s="80" t="s">
        <v>10541</v>
      </c>
      <c r="AD3751" s="77" t="s">
        <v>10617</v>
      </c>
      <c r="AE3751" s="83" t="str">
        <f>HYPERLINK("https://twitter.com/euqueroinvestir/status/1704612330909176116")</f>
        <v>https://twitter.com/euqueroinvestir/status/1704612330909176116</v>
      </c>
      <c r="AF3751" s="79">
        <v>45189.905370370368</v>
      </c>
      <c r="AG3751" s="85">
        <v>45189</v>
      </c>
      <c r="AH3751" s="80" t="s">
        <v>13880</v>
      </c>
      <c r="AI3751" s="77" t="b">
        <v>0</v>
      </c>
      <c r="AJ3751" s="77"/>
      <c r="AK3751" s="77"/>
      <c r="AL3751" s="77"/>
      <c r="AM3751" s="77"/>
      <c r="AN3751" s="77"/>
      <c r="AO3751" s="77"/>
      <c r="AP3751" s="77"/>
      <c r="AQ3751" s="77" t="s">
        <v>15761</v>
      </c>
      <c r="AR3751" s="77"/>
      <c r="AS3751" s="77"/>
      <c r="AT3751" s="77"/>
      <c r="AU3751" s="77"/>
      <c r="AV3751" s="83" t="str">
        <f>HYPERLINK("https://pbs.twimg.com/media/F6f-kbEX0AICHOK.jpg")</f>
        <v>https://pbs.twimg.com/media/F6f-kbEX0AICHOK.jpg</v>
      </c>
      <c r="AW3751" s="80" t="s">
        <v>19444</v>
      </c>
      <c r="AX3751" s="80" t="s">
        <v>19444</v>
      </c>
      <c r="AY3751" s="77"/>
      <c r="AZ3751" s="80" t="s">
        <v>20380</v>
      </c>
      <c r="BA3751" s="80" t="s">
        <v>20380</v>
      </c>
      <c r="BB3751" s="80" t="s">
        <v>20380</v>
      </c>
      <c r="BC3751" s="80" t="s">
        <v>19444</v>
      </c>
      <c r="BD3751" s="77">
        <v>2421006511</v>
      </c>
      <c r="BE3751" s="77"/>
      <c r="BF3751" s="77"/>
      <c r="BG3751" s="77"/>
      <c r="BH3751" s="77"/>
      <c r="BI3751" s="77"/>
    </row>
    <row r="3752" spans="1:61" x14ac:dyDescent="0.25">
      <c r="A3752" s="62" t="s">
        <v>1504</v>
      </c>
      <c r="B3752" s="62" t="s">
        <v>1504</v>
      </c>
      <c r="C3752" s="63"/>
      <c r="D3752" s="64"/>
      <c r="E3752" s="65"/>
      <c r="F3752" s="66"/>
      <c r="G3752" s="63"/>
      <c r="H3752" s="67"/>
      <c r="I3752" s="68"/>
      <c r="J3752" s="68"/>
      <c r="K3752" s="32"/>
      <c r="L3752" s="75">
        <v>3752</v>
      </c>
      <c r="M3752" s="75"/>
      <c r="N3752" s="70"/>
      <c r="O3752" s="77" t="s">
        <v>179</v>
      </c>
      <c r="P3752" s="79">
        <v>45156.969814814816</v>
      </c>
      <c r="Q3752" s="77" t="s">
        <v>5387</v>
      </c>
      <c r="R3752" s="77">
        <v>349</v>
      </c>
      <c r="S3752" s="77">
        <v>1568</v>
      </c>
      <c r="T3752" s="77">
        <v>1370</v>
      </c>
      <c r="U3752" s="77">
        <v>507</v>
      </c>
      <c r="V3752" s="77">
        <v>1842945</v>
      </c>
      <c r="W3752" s="77"/>
      <c r="X3752" s="77"/>
      <c r="Y3752" s="77"/>
      <c r="Z3752" s="77"/>
      <c r="AA3752" s="77" t="s">
        <v>10282</v>
      </c>
      <c r="AB3752" s="77" t="s">
        <v>10535</v>
      </c>
      <c r="AC3752" s="80" t="s">
        <v>10540</v>
      </c>
      <c r="AD3752" s="77" t="s">
        <v>10620</v>
      </c>
      <c r="AE3752" s="83" t="str">
        <f>HYPERLINK("https://twitter.com/juli_strada/status/1692676883257733527")</f>
        <v>https://twitter.com/juli_strada/status/1692676883257733527</v>
      </c>
      <c r="AF3752" s="79">
        <v>45156.969814814816</v>
      </c>
      <c r="AG3752" s="85">
        <v>45156</v>
      </c>
      <c r="AH3752" s="80" t="s">
        <v>13881</v>
      </c>
      <c r="AI3752" s="77" t="b">
        <v>0</v>
      </c>
      <c r="AJ3752" s="77"/>
      <c r="AK3752" s="77"/>
      <c r="AL3752" s="77"/>
      <c r="AM3752" s="77"/>
      <c r="AN3752" s="77"/>
      <c r="AO3752" s="77"/>
      <c r="AP3752" s="77"/>
      <c r="AQ3752" s="77" t="s">
        <v>15762</v>
      </c>
      <c r="AR3752" s="77"/>
      <c r="AS3752" s="77"/>
      <c r="AT3752" s="77"/>
      <c r="AU3752" s="77"/>
      <c r="AV3752" s="83" t="str">
        <f>HYPERLINK("https://pbs.twimg.com/media/F32YpgtWAAESEDm.jpg")</f>
        <v>https://pbs.twimg.com/media/F32YpgtWAAESEDm.jpg</v>
      </c>
      <c r="AW3752" s="80" t="s">
        <v>19445</v>
      </c>
      <c r="AX3752" s="80" t="s">
        <v>19445</v>
      </c>
      <c r="AY3752" s="77"/>
      <c r="AZ3752" s="80" t="s">
        <v>20380</v>
      </c>
      <c r="BA3752" s="80" t="s">
        <v>20380</v>
      </c>
      <c r="BB3752" s="80" t="s">
        <v>20380</v>
      </c>
      <c r="BC3752" s="80" t="s">
        <v>19445</v>
      </c>
      <c r="BD3752" s="77">
        <v>3187616987</v>
      </c>
      <c r="BE3752" s="77"/>
      <c r="BF3752" s="77"/>
      <c r="BG3752" s="77"/>
      <c r="BH3752" s="77"/>
      <c r="BI3752" s="77"/>
    </row>
    <row r="3753" spans="1:61" x14ac:dyDescent="0.25">
      <c r="A3753" s="62" t="s">
        <v>1505</v>
      </c>
      <c r="B3753" s="62" t="s">
        <v>1778</v>
      </c>
      <c r="C3753" s="63"/>
      <c r="D3753" s="64"/>
      <c r="E3753" s="65"/>
      <c r="F3753" s="66"/>
      <c r="G3753" s="63"/>
      <c r="H3753" s="67"/>
      <c r="I3753" s="68"/>
      <c r="J3753" s="68"/>
      <c r="K3753" s="32"/>
      <c r="L3753" s="75">
        <v>3753</v>
      </c>
      <c r="M3753" s="75"/>
      <c r="N3753" s="70"/>
      <c r="O3753" s="77" t="s">
        <v>2081</v>
      </c>
      <c r="P3753" s="79">
        <v>45054.754247685189</v>
      </c>
      <c r="Q3753" s="77" t="s">
        <v>5388</v>
      </c>
      <c r="R3753" s="77">
        <v>21</v>
      </c>
      <c r="S3753" s="77">
        <v>89</v>
      </c>
      <c r="T3753" s="77">
        <v>3</v>
      </c>
      <c r="U3753" s="77">
        <v>1</v>
      </c>
      <c r="V3753" s="77">
        <v>4315</v>
      </c>
      <c r="W3753" s="80" t="s">
        <v>5884</v>
      </c>
      <c r="X3753" s="77"/>
      <c r="Y3753" s="77"/>
      <c r="Z3753" s="77" t="s">
        <v>1778</v>
      </c>
      <c r="AA3753" s="77"/>
      <c r="AB3753" s="77"/>
      <c r="AC3753" s="80" t="s">
        <v>10541</v>
      </c>
      <c r="AD3753" s="77" t="s">
        <v>10617</v>
      </c>
      <c r="AE3753" s="83" t="str">
        <f>HYPERLINK("https://twitter.com/minfazenda/status/1655635202859835393")</f>
        <v>https://twitter.com/minfazenda/status/1655635202859835393</v>
      </c>
      <c r="AF3753" s="79">
        <v>45054.754247685189</v>
      </c>
      <c r="AG3753" s="85">
        <v>45054</v>
      </c>
      <c r="AH3753" s="80" t="s">
        <v>13882</v>
      </c>
      <c r="AI3753" s="77"/>
      <c r="AJ3753" s="77"/>
      <c r="AK3753" s="77"/>
      <c r="AL3753" s="77"/>
      <c r="AM3753" s="77"/>
      <c r="AN3753" s="77"/>
      <c r="AO3753" s="77"/>
      <c r="AP3753" s="77"/>
      <c r="AQ3753" s="77"/>
      <c r="AR3753" s="77"/>
      <c r="AS3753" s="77"/>
      <c r="AT3753" s="77"/>
      <c r="AU3753" s="77"/>
      <c r="AV3753" s="83" t="str">
        <f>HYPERLINK("https://pbs.twimg.com/profile_images/1690230579659157504/N-nrNI4e_normal.jpg")</f>
        <v>https://pbs.twimg.com/profile_images/1690230579659157504/N-nrNI4e_normal.jpg</v>
      </c>
      <c r="AW3753" s="80" t="s">
        <v>19446</v>
      </c>
      <c r="AX3753" s="80" t="s">
        <v>19446</v>
      </c>
      <c r="AY3753" s="77"/>
      <c r="AZ3753" s="80" t="s">
        <v>20380</v>
      </c>
      <c r="BA3753" s="80" t="s">
        <v>20380</v>
      </c>
      <c r="BB3753" s="80" t="s">
        <v>20380</v>
      </c>
      <c r="BC3753" s="80" t="s">
        <v>19446</v>
      </c>
      <c r="BD3753" s="77">
        <v>216777909</v>
      </c>
      <c r="BE3753" s="77"/>
      <c r="BF3753" s="77"/>
      <c r="BG3753" s="77"/>
      <c r="BH3753" s="77"/>
      <c r="BI3753" s="77"/>
    </row>
    <row r="3754" spans="1:61" x14ac:dyDescent="0.25">
      <c r="A3754" s="62" t="s">
        <v>1506</v>
      </c>
      <c r="B3754" s="62" t="s">
        <v>1596</v>
      </c>
      <c r="C3754" s="63"/>
      <c r="D3754" s="64"/>
      <c r="E3754" s="65"/>
      <c r="F3754" s="66"/>
      <c r="G3754" s="63"/>
      <c r="H3754" s="67"/>
      <c r="I3754" s="68"/>
      <c r="J3754" s="68"/>
      <c r="K3754" s="32"/>
      <c r="L3754" s="75">
        <v>3754</v>
      </c>
      <c r="M3754" s="75"/>
      <c r="N3754" s="70"/>
      <c r="O3754" s="77" t="s">
        <v>2081</v>
      </c>
      <c r="P3754" s="79">
        <v>45190.021215277775</v>
      </c>
      <c r="Q3754" s="77" t="s">
        <v>5389</v>
      </c>
      <c r="R3754" s="77">
        <v>0</v>
      </c>
      <c r="S3754" s="77">
        <v>1</v>
      </c>
      <c r="T3754" s="77">
        <v>0</v>
      </c>
      <c r="U3754" s="77">
        <v>0</v>
      </c>
      <c r="V3754" s="77">
        <v>30</v>
      </c>
      <c r="W3754" s="80" t="s">
        <v>6008</v>
      </c>
      <c r="X3754" s="83" t="str">
        <f>HYPERLINK("https://www.bcb.gov.br/detalhenoticia/17981/nota")</f>
        <v>https://www.bcb.gov.br/detalhenoticia/17981/nota</v>
      </c>
      <c r="Y3754" s="77" t="s">
        <v>8633</v>
      </c>
      <c r="Z3754" s="77" t="s">
        <v>1596</v>
      </c>
      <c r="AA3754" s="77"/>
      <c r="AB3754" s="77"/>
      <c r="AC3754" s="80" t="s">
        <v>10540</v>
      </c>
      <c r="AD3754" s="77" t="s">
        <v>10617</v>
      </c>
      <c r="AE3754" s="83" t="str">
        <f>HYPERLINK("https://twitter.com/fluirinvestime1/status/1704654310586343665")</f>
        <v>https://twitter.com/fluirinvestime1/status/1704654310586343665</v>
      </c>
      <c r="AF3754" s="79">
        <v>45190.021215277775</v>
      </c>
      <c r="AG3754" s="85">
        <v>45190</v>
      </c>
      <c r="AH3754" s="80" t="s">
        <v>13883</v>
      </c>
      <c r="AI3754" s="77" t="b">
        <v>0</v>
      </c>
      <c r="AJ3754" s="77"/>
      <c r="AK3754" s="77"/>
      <c r="AL3754" s="77"/>
      <c r="AM3754" s="77"/>
      <c r="AN3754" s="77"/>
      <c r="AO3754" s="77"/>
      <c r="AP3754" s="77"/>
      <c r="AQ3754" s="77"/>
      <c r="AR3754" s="77"/>
      <c r="AS3754" s="77"/>
      <c r="AT3754" s="77"/>
      <c r="AU3754" s="77"/>
      <c r="AV3754" s="83" t="str">
        <f>HYPERLINK("https://pbs.twimg.com/profile_images/1618930192071770112/VsUB-IMQ_normal.jpg")</f>
        <v>https://pbs.twimg.com/profile_images/1618930192071770112/VsUB-IMQ_normal.jpg</v>
      </c>
      <c r="AW3754" s="80" t="s">
        <v>19447</v>
      </c>
      <c r="AX3754" s="80" t="s">
        <v>19447</v>
      </c>
      <c r="AY3754" s="77"/>
      <c r="AZ3754" s="80" t="s">
        <v>20380</v>
      </c>
      <c r="BA3754" s="80" t="s">
        <v>20380</v>
      </c>
      <c r="BB3754" s="80" t="s">
        <v>20380</v>
      </c>
      <c r="BC3754" s="80" t="s">
        <v>19447</v>
      </c>
      <c r="BD3754" s="80" t="s">
        <v>21123</v>
      </c>
      <c r="BE3754" s="77"/>
      <c r="BF3754" s="77"/>
      <c r="BG3754" s="77"/>
      <c r="BH3754" s="77"/>
      <c r="BI3754" s="77"/>
    </row>
    <row r="3755" spans="1:61" x14ac:dyDescent="0.25">
      <c r="A3755" s="62" t="s">
        <v>1507</v>
      </c>
      <c r="B3755" s="62" t="s">
        <v>2049</v>
      </c>
      <c r="C3755" s="63"/>
      <c r="D3755" s="64"/>
      <c r="E3755" s="65"/>
      <c r="F3755" s="66"/>
      <c r="G3755" s="63"/>
      <c r="H3755" s="67"/>
      <c r="I3755" s="68"/>
      <c r="J3755" s="68"/>
      <c r="K3755" s="32"/>
      <c r="L3755" s="75">
        <v>3755</v>
      </c>
      <c r="M3755" s="75"/>
      <c r="N3755" s="70"/>
      <c r="O3755" s="77" t="s">
        <v>2081</v>
      </c>
      <c r="P3755" s="79">
        <v>45117.852337962962</v>
      </c>
      <c r="Q3755" s="77" t="s">
        <v>5390</v>
      </c>
      <c r="R3755" s="77">
        <v>0</v>
      </c>
      <c r="S3755" s="77">
        <v>0</v>
      </c>
      <c r="T3755" s="77">
        <v>0</v>
      </c>
      <c r="U3755" s="77">
        <v>0</v>
      </c>
      <c r="V3755" s="77">
        <v>5</v>
      </c>
      <c r="W3755" s="80" t="s">
        <v>8231</v>
      </c>
      <c r="X3755" s="83" t="str">
        <f>HYPERLINK("https://paginauno.do/archivos/19360")</f>
        <v>https://paginauno.do/archivos/19360</v>
      </c>
      <c r="Y3755" s="77" t="s">
        <v>8864</v>
      </c>
      <c r="Z3755" s="77" t="s">
        <v>9023</v>
      </c>
      <c r="AA3755" s="77"/>
      <c r="AB3755" s="77"/>
      <c r="AC3755" s="80" t="s">
        <v>10541</v>
      </c>
      <c r="AD3755" s="77" t="s">
        <v>10620</v>
      </c>
      <c r="AE3755" s="83" t="str">
        <f>HYPERLINK("https://twitter.com/paginaunodo/status/1678501186687627264")</f>
        <v>https://twitter.com/paginaunodo/status/1678501186687627264</v>
      </c>
      <c r="AF3755" s="79">
        <v>45117.852337962962</v>
      </c>
      <c r="AG3755" s="85">
        <v>45117</v>
      </c>
      <c r="AH3755" s="80" t="s">
        <v>13884</v>
      </c>
      <c r="AI3755" s="77" t="b">
        <v>0</v>
      </c>
      <c r="AJ3755" s="77"/>
      <c r="AK3755" s="77"/>
      <c r="AL3755" s="77"/>
      <c r="AM3755" s="77"/>
      <c r="AN3755" s="77"/>
      <c r="AO3755" s="77"/>
      <c r="AP3755" s="77"/>
      <c r="AQ3755" s="77"/>
      <c r="AR3755" s="77"/>
      <c r="AS3755" s="77"/>
      <c r="AT3755" s="77"/>
      <c r="AU3755" s="77"/>
      <c r="AV3755" s="83" t="str">
        <f>HYPERLINK("https://pbs.twimg.com/profile_images/1652339117626122240/UYOujN60_normal.jpg")</f>
        <v>https://pbs.twimg.com/profile_images/1652339117626122240/UYOujN60_normal.jpg</v>
      </c>
      <c r="AW3755" s="80" t="s">
        <v>19448</v>
      </c>
      <c r="AX3755" s="80" t="s">
        <v>19448</v>
      </c>
      <c r="AY3755" s="77"/>
      <c r="AZ3755" s="80" t="s">
        <v>20380</v>
      </c>
      <c r="BA3755" s="80" t="s">
        <v>20380</v>
      </c>
      <c r="BB3755" s="80" t="s">
        <v>20380</v>
      </c>
      <c r="BC3755" s="80" t="s">
        <v>19448</v>
      </c>
      <c r="BD3755" s="80" t="s">
        <v>21124</v>
      </c>
      <c r="BE3755" s="77"/>
      <c r="BF3755" s="77"/>
      <c r="BG3755" s="77"/>
      <c r="BH3755" s="77"/>
      <c r="BI3755" s="77"/>
    </row>
    <row r="3756" spans="1:61" x14ac:dyDescent="0.25">
      <c r="A3756" s="62" t="s">
        <v>1507</v>
      </c>
      <c r="B3756" s="62" t="s">
        <v>1716</v>
      </c>
      <c r="C3756" s="63"/>
      <c r="D3756" s="64"/>
      <c r="E3756" s="65"/>
      <c r="F3756" s="66"/>
      <c r="G3756" s="63"/>
      <c r="H3756" s="67"/>
      <c r="I3756" s="68"/>
      <c r="J3756" s="68"/>
      <c r="K3756" s="32"/>
      <c r="L3756" s="75">
        <v>3756</v>
      </c>
      <c r="M3756" s="75"/>
      <c r="N3756" s="70"/>
      <c r="O3756" s="77" t="s">
        <v>2081</v>
      </c>
      <c r="P3756" s="79">
        <v>45091.553483796299</v>
      </c>
      <c r="Q3756" s="77" t="s">
        <v>5391</v>
      </c>
      <c r="R3756" s="77">
        <v>0</v>
      </c>
      <c r="S3756" s="77">
        <v>0</v>
      </c>
      <c r="T3756" s="77">
        <v>0</v>
      </c>
      <c r="U3756" s="77">
        <v>0</v>
      </c>
      <c r="V3756" s="77">
        <v>9</v>
      </c>
      <c r="W3756" s="80" t="s">
        <v>8232</v>
      </c>
      <c r="X3756" s="83" t="str">
        <f>HYPERLINK("https://www.paginauno.do/archivos/17655")</f>
        <v>https://www.paginauno.do/archivos/17655</v>
      </c>
      <c r="Y3756" s="77" t="s">
        <v>8864</v>
      </c>
      <c r="Z3756" s="77" t="s">
        <v>9024</v>
      </c>
      <c r="AA3756" s="77" t="s">
        <v>10283</v>
      </c>
      <c r="AB3756" s="77" t="s">
        <v>10535</v>
      </c>
      <c r="AC3756" s="80" t="s">
        <v>10541</v>
      </c>
      <c r="AD3756" s="77" t="s">
        <v>10620</v>
      </c>
      <c r="AE3756" s="83" t="str">
        <f>HYPERLINK("https://twitter.com/paginaunodo/status/1668970802337726464")</f>
        <v>https://twitter.com/paginaunodo/status/1668970802337726464</v>
      </c>
      <c r="AF3756" s="79">
        <v>45091.553483796299</v>
      </c>
      <c r="AG3756" s="85">
        <v>45091</v>
      </c>
      <c r="AH3756" s="80" t="s">
        <v>13885</v>
      </c>
      <c r="AI3756" s="77" t="b">
        <v>0</v>
      </c>
      <c r="AJ3756" s="77"/>
      <c r="AK3756" s="77"/>
      <c r="AL3756" s="77"/>
      <c r="AM3756" s="77"/>
      <c r="AN3756" s="77"/>
      <c r="AO3756" s="77"/>
      <c r="AP3756" s="77"/>
      <c r="AQ3756" s="77" t="s">
        <v>15763</v>
      </c>
      <c r="AR3756" s="77"/>
      <c r="AS3756" s="77"/>
      <c r="AT3756" s="77"/>
      <c r="AU3756" s="77"/>
      <c r="AV3756" s="83" t="str">
        <f>HYPERLINK("https://pbs.twimg.com/media/FylgAOYX0AA2JhK.jpg")</f>
        <v>https://pbs.twimg.com/media/FylgAOYX0AA2JhK.jpg</v>
      </c>
      <c r="AW3756" s="80" t="s">
        <v>19449</v>
      </c>
      <c r="AX3756" s="80" t="s">
        <v>19449</v>
      </c>
      <c r="AY3756" s="77"/>
      <c r="AZ3756" s="80" t="s">
        <v>20380</v>
      </c>
      <c r="BA3756" s="80" t="s">
        <v>20380</v>
      </c>
      <c r="BB3756" s="80" t="s">
        <v>20380</v>
      </c>
      <c r="BC3756" s="80" t="s">
        <v>19449</v>
      </c>
      <c r="BD3756" s="80" t="s">
        <v>21124</v>
      </c>
      <c r="BE3756" s="77"/>
      <c r="BF3756" s="77"/>
      <c r="BG3756" s="77"/>
      <c r="BH3756" s="77"/>
      <c r="BI3756" s="77"/>
    </row>
    <row r="3757" spans="1:61" x14ac:dyDescent="0.25">
      <c r="A3757" s="62" t="s">
        <v>1507</v>
      </c>
      <c r="B3757" s="62" t="s">
        <v>1507</v>
      </c>
      <c r="C3757" s="63"/>
      <c r="D3757" s="64"/>
      <c r="E3757" s="65"/>
      <c r="F3757" s="66"/>
      <c r="G3757" s="63"/>
      <c r="H3757" s="67"/>
      <c r="I3757" s="68"/>
      <c r="J3757" s="68"/>
      <c r="K3757" s="32"/>
      <c r="L3757" s="75">
        <v>3757</v>
      </c>
      <c r="M3757" s="75"/>
      <c r="N3757" s="70"/>
      <c r="O3757" s="77" t="s">
        <v>2081</v>
      </c>
      <c r="P3757" s="79">
        <v>45091.553483796299</v>
      </c>
      <c r="Q3757" s="77" t="s">
        <v>5391</v>
      </c>
      <c r="R3757" s="77">
        <v>0</v>
      </c>
      <c r="S3757" s="77">
        <v>0</v>
      </c>
      <c r="T3757" s="77">
        <v>0</v>
      </c>
      <c r="U3757" s="77">
        <v>0</v>
      </c>
      <c r="V3757" s="77">
        <v>9</v>
      </c>
      <c r="W3757" s="80" t="s">
        <v>8232</v>
      </c>
      <c r="X3757" s="83" t="str">
        <f>HYPERLINK("https://www.paginauno.do/archivos/17655")</f>
        <v>https://www.paginauno.do/archivos/17655</v>
      </c>
      <c r="Y3757" s="77" t="s">
        <v>8864</v>
      </c>
      <c r="Z3757" s="77" t="s">
        <v>9024</v>
      </c>
      <c r="AA3757" s="77" t="s">
        <v>10283</v>
      </c>
      <c r="AB3757" s="77" t="s">
        <v>10535</v>
      </c>
      <c r="AC3757" s="80" t="s">
        <v>10541</v>
      </c>
      <c r="AD3757" s="77" t="s">
        <v>10620</v>
      </c>
      <c r="AE3757" s="83" t="str">
        <f>HYPERLINK("https://twitter.com/paginaunodo/status/1668970802337726464")</f>
        <v>https://twitter.com/paginaunodo/status/1668970802337726464</v>
      </c>
      <c r="AF3757" s="79">
        <v>45091.553483796299</v>
      </c>
      <c r="AG3757" s="85">
        <v>45091</v>
      </c>
      <c r="AH3757" s="80" t="s">
        <v>13885</v>
      </c>
      <c r="AI3757" s="77" t="b">
        <v>0</v>
      </c>
      <c r="AJ3757" s="77"/>
      <c r="AK3757" s="77"/>
      <c r="AL3757" s="77"/>
      <c r="AM3757" s="77"/>
      <c r="AN3757" s="77"/>
      <c r="AO3757" s="77"/>
      <c r="AP3757" s="77"/>
      <c r="AQ3757" s="77" t="s">
        <v>15763</v>
      </c>
      <c r="AR3757" s="77"/>
      <c r="AS3757" s="77"/>
      <c r="AT3757" s="77"/>
      <c r="AU3757" s="77"/>
      <c r="AV3757" s="83" t="str">
        <f>HYPERLINK("https://pbs.twimg.com/media/FylgAOYX0AA2JhK.jpg")</f>
        <v>https://pbs.twimg.com/media/FylgAOYX0AA2JhK.jpg</v>
      </c>
      <c r="AW3757" s="80" t="s">
        <v>19449</v>
      </c>
      <c r="AX3757" s="80" t="s">
        <v>19449</v>
      </c>
      <c r="AY3757" s="77"/>
      <c r="AZ3757" s="80" t="s">
        <v>20380</v>
      </c>
      <c r="BA3757" s="80" t="s">
        <v>20380</v>
      </c>
      <c r="BB3757" s="80" t="s">
        <v>20380</v>
      </c>
      <c r="BC3757" s="80" t="s">
        <v>19449</v>
      </c>
      <c r="BD3757" s="80" t="s">
        <v>21124</v>
      </c>
      <c r="BE3757" s="77"/>
      <c r="BF3757" s="77"/>
      <c r="BG3757" s="77"/>
      <c r="BH3757" s="77"/>
      <c r="BI3757" s="77"/>
    </row>
    <row r="3758" spans="1:61" x14ac:dyDescent="0.25">
      <c r="A3758" s="62" t="s">
        <v>1507</v>
      </c>
      <c r="B3758" s="62" t="s">
        <v>1716</v>
      </c>
      <c r="C3758" s="63"/>
      <c r="D3758" s="64"/>
      <c r="E3758" s="65"/>
      <c r="F3758" s="66"/>
      <c r="G3758" s="63"/>
      <c r="H3758" s="67"/>
      <c r="I3758" s="68"/>
      <c r="J3758" s="68"/>
      <c r="K3758" s="32"/>
      <c r="L3758" s="75">
        <v>3758</v>
      </c>
      <c r="M3758" s="75"/>
      <c r="N3758" s="70"/>
      <c r="O3758" s="77" t="s">
        <v>2081</v>
      </c>
      <c r="P3758" s="79">
        <v>45099.651400462964</v>
      </c>
      <c r="Q3758" s="77" t="s">
        <v>5392</v>
      </c>
      <c r="R3758" s="77">
        <v>0</v>
      </c>
      <c r="S3758" s="77">
        <v>0</v>
      </c>
      <c r="T3758" s="77">
        <v>0</v>
      </c>
      <c r="U3758" s="77">
        <v>0</v>
      </c>
      <c r="V3758" s="77">
        <v>29</v>
      </c>
      <c r="W3758" s="80" t="s">
        <v>8233</v>
      </c>
      <c r="X3758" s="83" t="str">
        <f>HYPERLINK("https://www.paginauno.do/archivos/18200")</f>
        <v>https://www.paginauno.do/archivos/18200</v>
      </c>
      <c r="Y3758" s="77" t="s">
        <v>8864</v>
      </c>
      <c r="Z3758" s="77" t="s">
        <v>9024</v>
      </c>
      <c r="AA3758" s="77" t="s">
        <v>10284</v>
      </c>
      <c r="AB3758" s="77" t="s">
        <v>10535</v>
      </c>
      <c r="AC3758" s="80" t="s">
        <v>10541</v>
      </c>
      <c r="AD3758" s="77" t="s">
        <v>10620</v>
      </c>
      <c r="AE3758" s="83" t="str">
        <f>HYPERLINK("https://twitter.com/paginaunodo/status/1671905389393084416")</f>
        <v>https://twitter.com/paginaunodo/status/1671905389393084416</v>
      </c>
      <c r="AF3758" s="79">
        <v>45099.651400462964</v>
      </c>
      <c r="AG3758" s="85">
        <v>45099</v>
      </c>
      <c r="AH3758" s="80" t="s">
        <v>13886</v>
      </c>
      <c r="AI3758" s="77" t="b">
        <v>0</v>
      </c>
      <c r="AJ3758" s="77"/>
      <c r="AK3758" s="77"/>
      <c r="AL3758" s="77"/>
      <c r="AM3758" s="77"/>
      <c r="AN3758" s="77"/>
      <c r="AO3758" s="77"/>
      <c r="AP3758" s="77"/>
      <c r="AQ3758" s="77" t="s">
        <v>15764</v>
      </c>
      <c r="AR3758" s="77"/>
      <c r="AS3758" s="77"/>
      <c r="AT3758" s="77"/>
      <c r="AU3758" s="77"/>
      <c r="AV3758" s="83" t="str">
        <f>HYPERLINK("https://pbs.twimg.com/media/FzPM-WlXsAIrFYf.jpg")</f>
        <v>https://pbs.twimg.com/media/FzPM-WlXsAIrFYf.jpg</v>
      </c>
      <c r="AW3758" s="80" t="s">
        <v>19450</v>
      </c>
      <c r="AX3758" s="80" t="s">
        <v>19450</v>
      </c>
      <c r="AY3758" s="77"/>
      <c r="AZ3758" s="80" t="s">
        <v>20380</v>
      </c>
      <c r="BA3758" s="80" t="s">
        <v>20380</v>
      </c>
      <c r="BB3758" s="80" t="s">
        <v>20380</v>
      </c>
      <c r="BC3758" s="80" t="s">
        <v>19450</v>
      </c>
      <c r="BD3758" s="80" t="s">
        <v>21124</v>
      </c>
      <c r="BE3758" s="77"/>
      <c r="BF3758" s="77"/>
      <c r="BG3758" s="77"/>
      <c r="BH3758" s="77"/>
      <c r="BI3758" s="77"/>
    </row>
    <row r="3759" spans="1:61" x14ac:dyDescent="0.25">
      <c r="A3759" s="62" t="s">
        <v>1507</v>
      </c>
      <c r="B3759" s="62" t="s">
        <v>1507</v>
      </c>
      <c r="C3759" s="63"/>
      <c r="D3759" s="64"/>
      <c r="E3759" s="65"/>
      <c r="F3759" s="66"/>
      <c r="G3759" s="63"/>
      <c r="H3759" s="67"/>
      <c r="I3759" s="68"/>
      <c r="J3759" s="68"/>
      <c r="K3759" s="32"/>
      <c r="L3759" s="75">
        <v>3759</v>
      </c>
      <c r="M3759" s="75"/>
      <c r="N3759" s="70"/>
      <c r="O3759" s="77" t="s">
        <v>2081</v>
      </c>
      <c r="P3759" s="79">
        <v>45099.651400462964</v>
      </c>
      <c r="Q3759" s="77" t="s">
        <v>5392</v>
      </c>
      <c r="R3759" s="77">
        <v>0</v>
      </c>
      <c r="S3759" s="77">
        <v>0</v>
      </c>
      <c r="T3759" s="77">
        <v>0</v>
      </c>
      <c r="U3759" s="77">
        <v>0</v>
      </c>
      <c r="V3759" s="77">
        <v>29</v>
      </c>
      <c r="W3759" s="80" t="s">
        <v>8233</v>
      </c>
      <c r="X3759" s="83" t="str">
        <f>HYPERLINK("https://www.paginauno.do/archivos/18200")</f>
        <v>https://www.paginauno.do/archivos/18200</v>
      </c>
      <c r="Y3759" s="77" t="s">
        <v>8864</v>
      </c>
      <c r="Z3759" s="77" t="s">
        <v>9024</v>
      </c>
      <c r="AA3759" s="77" t="s">
        <v>10284</v>
      </c>
      <c r="AB3759" s="77" t="s">
        <v>10535</v>
      </c>
      <c r="AC3759" s="80" t="s">
        <v>10541</v>
      </c>
      <c r="AD3759" s="77" t="s">
        <v>10620</v>
      </c>
      <c r="AE3759" s="83" t="str">
        <f>HYPERLINK("https://twitter.com/paginaunodo/status/1671905389393084416")</f>
        <v>https://twitter.com/paginaunodo/status/1671905389393084416</v>
      </c>
      <c r="AF3759" s="79">
        <v>45099.651400462964</v>
      </c>
      <c r="AG3759" s="85">
        <v>45099</v>
      </c>
      <c r="AH3759" s="80" t="s">
        <v>13886</v>
      </c>
      <c r="AI3759" s="77" t="b">
        <v>0</v>
      </c>
      <c r="AJ3759" s="77"/>
      <c r="AK3759" s="77"/>
      <c r="AL3759" s="77"/>
      <c r="AM3759" s="77"/>
      <c r="AN3759" s="77"/>
      <c r="AO3759" s="77"/>
      <c r="AP3759" s="77"/>
      <c r="AQ3759" s="77" t="s">
        <v>15764</v>
      </c>
      <c r="AR3759" s="77"/>
      <c r="AS3759" s="77"/>
      <c r="AT3759" s="77"/>
      <c r="AU3759" s="77"/>
      <c r="AV3759" s="83" t="str">
        <f>HYPERLINK("https://pbs.twimg.com/media/FzPM-WlXsAIrFYf.jpg")</f>
        <v>https://pbs.twimg.com/media/FzPM-WlXsAIrFYf.jpg</v>
      </c>
      <c r="AW3759" s="80" t="s">
        <v>19450</v>
      </c>
      <c r="AX3759" s="80" t="s">
        <v>19450</v>
      </c>
      <c r="AY3759" s="77"/>
      <c r="AZ3759" s="80" t="s">
        <v>20380</v>
      </c>
      <c r="BA3759" s="80" t="s">
        <v>20380</v>
      </c>
      <c r="BB3759" s="80" t="s">
        <v>20380</v>
      </c>
      <c r="BC3759" s="80" t="s">
        <v>19450</v>
      </c>
      <c r="BD3759" s="80" t="s">
        <v>21124</v>
      </c>
      <c r="BE3759" s="77"/>
      <c r="BF3759" s="77"/>
      <c r="BG3759" s="77"/>
      <c r="BH3759" s="77"/>
      <c r="BI3759" s="77"/>
    </row>
    <row r="3760" spans="1:61" x14ac:dyDescent="0.25">
      <c r="A3760" s="62" t="s">
        <v>1507</v>
      </c>
      <c r="B3760" s="62" t="s">
        <v>1716</v>
      </c>
      <c r="C3760" s="63"/>
      <c r="D3760" s="64"/>
      <c r="E3760" s="65"/>
      <c r="F3760" s="66"/>
      <c r="G3760" s="63"/>
      <c r="H3760" s="67"/>
      <c r="I3760" s="68"/>
      <c r="J3760" s="68"/>
      <c r="K3760" s="32"/>
      <c r="L3760" s="75">
        <v>3760</v>
      </c>
      <c r="M3760" s="75"/>
      <c r="N3760" s="70"/>
      <c r="O3760" s="77" t="s">
        <v>2081</v>
      </c>
      <c r="P3760" s="79">
        <v>45117.852337962962</v>
      </c>
      <c r="Q3760" s="77" t="s">
        <v>5390</v>
      </c>
      <c r="R3760" s="77">
        <v>0</v>
      </c>
      <c r="S3760" s="77">
        <v>0</v>
      </c>
      <c r="T3760" s="77">
        <v>0</v>
      </c>
      <c r="U3760" s="77">
        <v>0</v>
      </c>
      <c r="V3760" s="77">
        <v>5</v>
      </c>
      <c r="W3760" s="80" t="s">
        <v>8231</v>
      </c>
      <c r="X3760" s="83" t="str">
        <f>HYPERLINK("https://paginauno.do/archivos/19360")</f>
        <v>https://paginauno.do/archivos/19360</v>
      </c>
      <c r="Y3760" s="77" t="s">
        <v>8864</v>
      </c>
      <c r="Z3760" s="77" t="s">
        <v>9023</v>
      </c>
      <c r="AA3760" s="77"/>
      <c r="AB3760" s="77"/>
      <c r="AC3760" s="80" t="s">
        <v>10541</v>
      </c>
      <c r="AD3760" s="77" t="s">
        <v>10620</v>
      </c>
      <c r="AE3760" s="83" t="str">
        <f>HYPERLINK("https://twitter.com/paginaunodo/status/1678501186687627264")</f>
        <v>https://twitter.com/paginaunodo/status/1678501186687627264</v>
      </c>
      <c r="AF3760" s="79">
        <v>45117.852337962962</v>
      </c>
      <c r="AG3760" s="85">
        <v>45117</v>
      </c>
      <c r="AH3760" s="80" t="s">
        <v>13884</v>
      </c>
      <c r="AI3760" s="77" t="b">
        <v>0</v>
      </c>
      <c r="AJ3760" s="77"/>
      <c r="AK3760" s="77"/>
      <c r="AL3760" s="77"/>
      <c r="AM3760" s="77"/>
      <c r="AN3760" s="77"/>
      <c r="AO3760" s="77"/>
      <c r="AP3760" s="77"/>
      <c r="AQ3760" s="77"/>
      <c r="AR3760" s="77"/>
      <c r="AS3760" s="77"/>
      <c r="AT3760" s="77"/>
      <c r="AU3760" s="77"/>
      <c r="AV3760" s="83" t="str">
        <f>HYPERLINK("https://pbs.twimg.com/profile_images/1652339117626122240/UYOujN60_normal.jpg")</f>
        <v>https://pbs.twimg.com/profile_images/1652339117626122240/UYOujN60_normal.jpg</v>
      </c>
      <c r="AW3760" s="80" t="s">
        <v>19448</v>
      </c>
      <c r="AX3760" s="80" t="s">
        <v>19448</v>
      </c>
      <c r="AY3760" s="77"/>
      <c r="AZ3760" s="80" t="s">
        <v>20380</v>
      </c>
      <c r="BA3760" s="80" t="s">
        <v>20380</v>
      </c>
      <c r="BB3760" s="80" t="s">
        <v>20380</v>
      </c>
      <c r="BC3760" s="80" t="s">
        <v>19448</v>
      </c>
      <c r="BD3760" s="80" t="s">
        <v>21124</v>
      </c>
      <c r="BE3760" s="77"/>
      <c r="BF3760" s="77"/>
      <c r="BG3760" s="77"/>
      <c r="BH3760" s="77"/>
      <c r="BI3760" s="77"/>
    </row>
    <row r="3761" spans="1:61" x14ac:dyDescent="0.25">
      <c r="A3761" s="62" t="s">
        <v>1507</v>
      </c>
      <c r="B3761" s="62" t="s">
        <v>1507</v>
      </c>
      <c r="C3761" s="63"/>
      <c r="D3761" s="64"/>
      <c r="E3761" s="65"/>
      <c r="F3761" s="66"/>
      <c r="G3761" s="63"/>
      <c r="H3761" s="67"/>
      <c r="I3761" s="68"/>
      <c r="J3761" s="68"/>
      <c r="K3761" s="32"/>
      <c r="L3761" s="75">
        <v>3761</v>
      </c>
      <c r="M3761" s="75"/>
      <c r="N3761" s="70"/>
      <c r="O3761" s="77" t="s">
        <v>2081</v>
      </c>
      <c r="P3761" s="79">
        <v>45117.852337962962</v>
      </c>
      <c r="Q3761" s="77" t="s">
        <v>5390</v>
      </c>
      <c r="R3761" s="77">
        <v>0</v>
      </c>
      <c r="S3761" s="77">
        <v>0</v>
      </c>
      <c r="T3761" s="77">
        <v>0</v>
      </c>
      <c r="U3761" s="77">
        <v>0</v>
      </c>
      <c r="V3761" s="77">
        <v>5</v>
      </c>
      <c r="W3761" s="80" t="s">
        <v>8231</v>
      </c>
      <c r="X3761" s="83" t="str">
        <f>HYPERLINK("https://paginauno.do/archivos/19360")</f>
        <v>https://paginauno.do/archivos/19360</v>
      </c>
      <c r="Y3761" s="77" t="s">
        <v>8864</v>
      </c>
      <c r="Z3761" s="77" t="s">
        <v>9023</v>
      </c>
      <c r="AA3761" s="77"/>
      <c r="AB3761" s="77"/>
      <c r="AC3761" s="80" t="s">
        <v>10541</v>
      </c>
      <c r="AD3761" s="77" t="s">
        <v>10620</v>
      </c>
      <c r="AE3761" s="83" t="str">
        <f>HYPERLINK("https://twitter.com/paginaunodo/status/1678501186687627264")</f>
        <v>https://twitter.com/paginaunodo/status/1678501186687627264</v>
      </c>
      <c r="AF3761" s="79">
        <v>45117.852337962962</v>
      </c>
      <c r="AG3761" s="85">
        <v>45117</v>
      </c>
      <c r="AH3761" s="80" t="s">
        <v>13884</v>
      </c>
      <c r="AI3761" s="77" t="b">
        <v>0</v>
      </c>
      <c r="AJ3761" s="77"/>
      <c r="AK3761" s="77"/>
      <c r="AL3761" s="77"/>
      <c r="AM3761" s="77"/>
      <c r="AN3761" s="77"/>
      <c r="AO3761" s="77"/>
      <c r="AP3761" s="77"/>
      <c r="AQ3761" s="77"/>
      <c r="AR3761" s="77"/>
      <c r="AS3761" s="77"/>
      <c r="AT3761" s="77"/>
      <c r="AU3761" s="77"/>
      <c r="AV3761" s="83" t="str">
        <f>HYPERLINK("https://pbs.twimg.com/profile_images/1652339117626122240/UYOujN60_normal.jpg")</f>
        <v>https://pbs.twimg.com/profile_images/1652339117626122240/UYOujN60_normal.jpg</v>
      </c>
      <c r="AW3761" s="80" t="s">
        <v>19448</v>
      </c>
      <c r="AX3761" s="80" t="s">
        <v>19448</v>
      </c>
      <c r="AY3761" s="77"/>
      <c r="AZ3761" s="80" t="s">
        <v>20380</v>
      </c>
      <c r="BA3761" s="80" t="s">
        <v>20380</v>
      </c>
      <c r="BB3761" s="80" t="s">
        <v>20380</v>
      </c>
      <c r="BC3761" s="80" t="s">
        <v>19448</v>
      </c>
      <c r="BD3761" s="80" t="s">
        <v>21124</v>
      </c>
      <c r="BE3761" s="77"/>
      <c r="BF3761" s="77"/>
      <c r="BG3761" s="77"/>
      <c r="BH3761" s="77"/>
      <c r="BI3761" s="77"/>
    </row>
    <row r="3762" spans="1:61" x14ac:dyDescent="0.25">
      <c r="A3762" s="62" t="s">
        <v>1507</v>
      </c>
      <c r="B3762" s="62" t="s">
        <v>1716</v>
      </c>
      <c r="C3762" s="63"/>
      <c r="D3762" s="64"/>
      <c r="E3762" s="65"/>
      <c r="F3762" s="66"/>
      <c r="G3762" s="63"/>
      <c r="H3762" s="67"/>
      <c r="I3762" s="68"/>
      <c r="J3762" s="68"/>
      <c r="K3762" s="32"/>
      <c r="L3762" s="75">
        <v>3762</v>
      </c>
      <c r="M3762" s="75"/>
      <c r="N3762" s="70"/>
      <c r="O3762" s="77" t="s">
        <v>2081</v>
      </c>
      <c r="P3762" s="79">
        <v>45127.658148148148</v>
      </c>
      <c r="Q3762" s="77" t="s">
        <v>5393</v>
      </c>
      <c r="R3762" s="77">
        <v>0</v>
      </c>
      <c r="S3762" s="77">
        <v>0</v>
      </c>
      <c r="T3762" s="77">
        <v>0</v>
      </c>
      <c r="U3762" s="77">
        <v>0</v>
      </c>
      <c r="V3762" s="77">
        <v>58</v>
      </c>
      <c r="W3762" s="80" t="s">
        <v>8234</v>
      </c>
      <c r="X3762" s="83" t="str">
        <f>HYPERLINK("https://paginauno.do/archivos/19983")</f>
        <v>https://paginauno.do/archivos/19983</v>
      </c>
      <c r="Y3762" s="77" t="s">
        <v>8864</v>
      </c>
      <c r="Z3762" s="77" t="s">
        <v>9024</v>
      </c>
      <c r="AA3762" s="77" t="s">
        <v>10285</v>
      </c>
      <c r="AB3762" s="77" t="s">
        <v>10535</v>
      </c>
      <c r="AC3762" s="80" t="s">
        <v>10541</v>
      </c>
      <c r="AD3762" s="77" t="s">
        <v>10620</v>
      </c>
      <c r="AE3762" s="83" t="str">
        <f>HYPERLINK("https://twitter.com/paginaunodo/status/1682054691843129344")</f>
        <v>https://twitter.com/paginaunodo/status/1682054691843129344</v>
      </c>
      <c r="AF3762" s="79">
        <v>45127.658148148148</v>
      </c>
      <c r="AG3762" s="85">
        <v>45127</v>
      </c>
      <c r="AH3762" s="80" t="s">
        <v>13887</v>
      </c>
      <c r="AI3762" s="77" t="b">
        <v>0</v>
      </c>
      <c r="AJ3762" s="77"/>
      <c r="AK3762" s="77"/>
      <c r="AL3762" s="77"/>
      <c r="AM3762" s="77"/>
      <c r="AN3762" s="77"/>
      <c r="AO3762" s="77"/>
      <c r="AP3762" s="77"/>
      <c r="AQ3762" s="77" t="s">
        <v>15765</v>
      </c>
      <c r="AR3762" s="77"/>
      <c r="AS3762" s="77"/>
      <c r="AT3762" s="77"/>
      <c r="AU3762" s="77"/>
      <c r="AV3762" s="83" t="str">
        <f>HYPERLINK("https://pbs.twimg.com/media/F1fbth-WwAEPAUN.jpg")</f>
        <v>https://pbs.twimg.com/media/F1fbth-WwAEPAUN.jpg</v>
      </c>
      <c r="AW3762" s="80" t="s">
        <v>19451</v>
      </c>
      <c r="AX3762" s="80" t="s">
        <v>19451</v>
      </c>
      <c r="AY3762" s="77"/>
      <c r="AZ3762" s="80" t="s">
        <v>20380</v>
      </c>
      <c r="BA3762" s="80" t="s">
        <v>20380</v>
      </c>
      <c r="BB3762" s="80" t="s">
        <v>20380</v>
      </c>
      <c r="BC3762" s="80" t="s">
        <v>19451</v>
      </c>
      <c r="BD3762" s="80" t="s">
        <v>21124</v>
      </c>
      <c r="BE3762" s="77"/>
      <c r="BF3762" s="77"/>
      <c r="BG3762" s="77"/>
      <c r="BH3762" s="77"/>
      <c r="BI3762" s="77"/>
    </row>
    <row r="3763" spans="1:61" x14ac:dyDescent="0.25">
      <c r="A3763" s="62" t="s">
        <v>1507</v>
      </c>
      <c r="B3763" s="62" t="s">
        <v>1507</v>
      </c>
      <c r="C3763" s="63"/>
      <c r="D3763" s="64"/>
      <c r="E3763" s="65"/>
      <c r="F3763" s="66"/>
      <c r="G3763" s="63"/>
      <c r="H3763" s="67"/>
      <c r="I3763" s="68"/>
      <c r="J3763" s="68"/>
      <c r="K3763" s="32"/>
      <c r="L3763" s="75">
        <v>3763</v>
      </c>
      <c r="M3763" s="75"/>
      <c r="N3763" s="70"/>
      <c r="O3763" s="77" t="s">
        <v>2081</v>
      </c>
      <c r="P3763" s="79">
        <v>45127.658148148148</v>
      </c>
      <c r="Q3763" s="77" t="s">
        <v>5393</v>
      </c>
      <c r="R3763" s="77">
        <v>0</v>
      </c>
      <c r="S3763" s="77">
        <v>0</v>
      </c>
      <c r="T3763" s="77">
        <v>0</v>
      </c>
      <c r="U3763" s="77">
        <v>0</v>
      </c>
      <c r="V3763" s="77">
        <v>58</v>
      </c>
      <c r="W3763" s="80" t="s">
        <v>8234</v>
      </c>
      <c r="X3763" s="83" t="str">
        <f>HYPERLINK("https://paginauno.do/archivos/19983")</f>
        <v>https://paginauno.do/archivos/19983</v>
      </c>
      <c r="Y3763" s="77" t="s">
        <v>8864</v>
      </c>
      <c r="Z3763" s="77" t="s">
        <v>9024</v>
      </c>
      <c r="AA3763" s="77" t="s">
        <v>10285</v>
      </c>
      <c r="AB3763" s="77" t="s">
        <v>10535</v>
      </c>
      <c r="AC3763" s="80" t="s">
        <v>10541</v>
      </c>
      <c r="AD3763" s="77" t="s">
        <v>10620</v>
      </c>
      <c r="AE3763" s="83" t="str">
        <f>HYPERLINK("https://twitter.com/paginaunodo/status/1682054691843129344")</f>
        <v>https://twitter.com/paginaunodo/status/1682054691843129344</v>
      </c>
      <c r="AF3763" s="79">
        <v>45127.658148148148</v>
      </c>
      <c r="AG3763" s="85">
        <v>45127</v>
      </c>
      <c r="AH3763" s="80" t="s">
        <v>13887</v>
      </c>
      <c r="AI3763" s="77" t="b">
        <v>0</v>
      </c>
      <c r="AJ3763" s="77"/>
      <c r="AK3763" s="77"/>
      <c r="AL3763" s="77"/>
      <c r="AM3763" s="77"/>
      <c r="AN3763" s="77"/>
      <c r="AO3763" s="77"/>
      <c r="AP3763" s="77"/>
      <c r="AQ3763" s="77" t="s">
        <v>15765</v>
      </c>
      <c r="AR3763" s="77"/>
      <c r="AS3763" s="77"/>
      <c r="AT3763" s="77"/>
      <c r="AU3763" s="77"/>
      <c r="AV3763" s="83" t="str">
        <f>HYPERLINK("https://pbs.twimg.com/media/F1fbth-WwAEPAUN.jpg")</f>
        <v>https://pbs.twimg.com/media/F1fbth-WwAEPAUN.jpg</v>
      </c>
      <c r="AW3763" s="80" t="s">
        <v>19451</v>
      </c>
      <c r="AX3763" s="80" t="s">
        <v>19451</v>
      </c>
      <c r="AY3763" s="77"/>
      <c r="AZ3763" s="80" t="s">
        <v>20380</v>
      </c>
      <c r="BA3763" s="80" t="s">
        <v>20380</v>
      </c>
      <c r="BB3763" s="80" t="s">
        <v>20380</v>
      </c>
      <c r="BC3763" s="80" t="s">
        <v>19451</v>
      </c>
      <c r="BD3763" s="80" t="s">
        <v>21124</v>
      </c>
      <c r="BE3763" s="77"/>
      <c r="BF3763" s="77"/>
      <c r="BG3763" s="77"/>
      <c r="BH3763" s="77"/>
      <c r="BI3763" s="77"/>
    </row>
    <row r="3764" spans="1:61" x14ac:dyDescent="0.25">
      <c r="A3764" s="62" t="s">
        <v>1507</v>
      </c>
      <c r="B3764" s="62" t="s">
        <v>1507</v>
      </c>
      <c r="C3764" s="63"/>
      <c r="D3764" s="64"/>
      <c r="E3764" s="65"/>
      <c r="F3764" s="66"/>
      <c r="G3764" s="63"/>
      <c r="H3764" s="67"/>
      <c r="I3764" s="68"/>
      <c r="J3764" s="68"/>
      <c r="K3764" s="32"/>
      <c r="L3764" s="75">
        <v>3764</v>
      </c>
      <c r="M3764" s="75"/>
      <c r="N3764" s="70"/>
      <c r="O3764" s="77" t="s">
        <v>2081</v>
      </c>
      <c r="P3764" s="79">
        <v>45146.605706018519</v>
      </c>
      <c r="Q3764" s="77" t="s">
        <v>5394</v>
      </c>
      <c r="R3764" s="77">
        <v>0</v>
      </c>
      <c r="S3764" s="77">
        <v>0</v>
      </c>
      <c r="T3764" s="77">
        <v>0</v>
      </c>
      <c r="U3764" s="77">
        <v>0</v>
      </c>
      <c r="V3764" s="77">
        <v>13</v>
      </c>
      <c r="W3764" s="80" t="s">
        <v>8235</v>
      </c>
      <c r="X3764" s="83" t="str">
        <f>HYPERLINK("https://paginauno.do/archivos/21165")</f>
        <v>https://paginauno.do/archivos/21165</v>
      </c>
      <c r="Y3764" s="77" t="s">
        <v>8864</v>
      </c>
      <c r="Z3764" s="77" t="s">
        <v>1507</v>
      </c>
      <c r="AA3764" s="77"/>
      <c r="AB3764" s="77"/>
      <c r="AC3764" s="80" t="s">
        <v>10541</v>
      </c>
      <c r="AD3764" s="77" t="s">
        <v>10620</v>
      </c>
      <c r="AE3764" s="83" t="str">
        <f>HYPERLINK("https://twitter.com/paginaunodo/status/1688921059490476033")</f>
        <v>https://twitter.com/paginaunodo/status/1688921059490476033</v>
      </c>
      <c r="AF3764" s="79">
        <v>45146.605706018519</v>
      </c>
      <c r="AG3764" s="85">
        <v>45146</v>
      </c>
      <c r="AH3764" s="80" t="s">
        <v>13888</v>
      </c>
      <c r="AI3764" s="77" t="b">
        <v>0</v>
      </c>
      <c r="AJ3764" s="77"/>
      <c r="AK3764" s="77"/>
      <c r="AL3764" s="77"/>
      <c r="AM3764" s="77"/>
      <c r="AN3764" s="77"/>
      <c r="AO3764" s="77"/>
      <c r="AP3764" s="77"/>
      <c r="AQ3764" s="77"/>
      <c r="AR3764" s="77"/>
      <c r="AS3764" s="77"/>
      <c r="AT3764" s="77"/>
      <c r="AU3764" s="77"/>
      <c r="AV3764" s="83" t="str">
        <f>HYPERLINK("https://pbs.twimg.com/profile_images/1652339117626122240/UYOujN60_normal.jpg")</f>
        <v>https://pbs.twimg.com/profile_images/1652339117626122240/UYOujN60_normal.jpg</v>
      </c>
      <c r="AW3764" s="80" t="s">
        <v>19452</v>
      </c>
      <c r="AX3764" s="80" t="s">
        <v>19452</v>
      </c>
      <c r="AY3764" s="77"/>
      <c r="AZ3764" s="80" t="s">
        <v>20380</v>
      </c>
      <c r="BA3764" s="80" t="s">
        <v>20380</v>
      </c>
      <c r="BB3764" s="80" t="s">
        <v>20380</v>
      </c>
      <c r="BC3764" s="80" t="s">
        <v>19452</v>
      </c>
      <c r="BD3764" s="80" t="s">
        <v>21124</v>
      </c>
      <c r="BE3764" s="77"/>
      <c r="BF3764" s="77"/>
      <c r="BG3764" s="77"/>
      <c r="BH3764" s="77"/>
      <c r="BI3764" s="77"/>
    </row>
    <row r="3765" spans="1:61" x14ac:dyDescent="0.25">
      <c r="A3765" s="62" t="s">
        <v>1507</v>
      </c>
      <c r="B3765" s="62" t="s">
        <v>1716</v>
      </c>
      <c r="C3765" s="63"/>
      <c r="D3765" s="64"/>
      <c r="E3765" s="65"/>
      <c r="F3765" s="66"/>
      <c r="G3765" s="63"/>
      <c r="H3765" s="67"/>
      <c r="I3765" s="68"/>
      <c r="J3765" s="68"/>
      <c r="K3765" s="32"/>
      <c r="L3765" s="75">
        <v>3765</v>
      </c>
      <c r="M3765" s="75"/>
      <c r="N3765" s="70"/>
      <c r="O3765" s="77" t="s">
        <v>2081</v>
      </c>
      <c r="P3765" s="79">
        <v>45154.632164351853</v>
      </c>
      <c r="Q3765" s="77" t="s">
        <v>5395</v>
      </c>
      <c r="R3765" s="77">
        <v>0</v>
      </c>
      <c r="S3765" s="77">
        <v>0</v>
      </c>
      <c r="T3765" s="77">
        <v>0</v>
      </c>
      <c r="U3765" s="77">
        <v>0</v>
      </c>
      <c r="V3765" s="77">
        <v>17</v>
      </c>
      <c r="W3765" s="80" t="s">
        <v>8236</v>
      </c>
      <c r="X3765" s="83" t="str">
        <f>HYPERLINK("https://paginauno.do/archivos/21610")</f>
        <v>https://paginauno.do/archivos/21610</v>
      </c>
      <c r="Y3765" s="77" t="s">
        <v>8864</v>
      </c>
      <c r="Z3765" s="77" t="s">
        <v>9024</v>
      </c>
      <c r="AA3765" s="77" t="s">
        <v>10286</v>
      </c>
      <c r="AB3765" s="77" t="s">
        <v>10535</v>
      </c>
      <c r="AC3765" s="80" t="s">
        <v>10541</v>
      </c>
      <c r="AD3765" s="77" t="s">
        <v>10620</v>
      </c>
      <c r="AE3765" s="83" t="str">
        <f>HYPERLINK("https://twitter.com/paginaunodo/status/1691829750589731114")</f>
        <v>https://twitter.com/paginaunodo/status/1691829750589731114</v>
      </c>
      <c r="AF3765" s="79">
        <v>45154.632164351853</v>
      </c>
      <c r="AG3765" s="85">
        <v>45154</v>
      </c>
      <c r="AH3765" s="80" t="s">
        <v>13889</v>
      </c>
      <c r="AI3765" s="77" t="b">
        <v>0</v>
      </c>
      <c r="AJ3765" s="77"/>
      <c r="AK3765" s="77"/>
      <c r="AL3765" s="77"/>
      <c r="AM3765" s="77"/>
      <c r="AN3765" s="77"/>
      <c r="AO3765" s="77"/>
      <c r="AP3765" s="77"/>
      <c r="AQ3765" s="77" t="s">
        <v>15766</v>
      </c>
      <c r="AR3765" s="77"/>
      <c r="AS3765" s="77"/>
      <c r="AT3765" s="77"/>
      <c r="AU3765" s="77"/>
      <c r="AV3765" s="83" t="str">
        <f>HYPERLINK("https://pbs.twimg.com/media/F3qWHClWcAAJg6S.jpg")</f>
        <v>https://pbs.twimg.com/media/F3qWHClWcAAJg6S.jpg</v>
      </c>
      <c r="AW3765" s="80" t="s">
        <v>19453</v>
      </c>
      <c r="AX3765" s="80" t="s">
        <v>19453</v>
      </c>
      <c r="AY3765" s="77"/>
      <c r="AZ3765" s="80" t="s">
        <v>20380</v>
      </c>
      <c r="BA3765" s="80" t="s">
        <v>20380</v>
      </c>
      <c r="BB3765" s="80" t="s">
        <v>20380</v>
      </c>
      <c r="BC3765" s="80" t="s">
        <v>19453</v>
      </c>
      <c r="BD3765" s="80" t="s">
        <v>21124</v>
      </c>
      <c r="BE3765" s="77"/>
      <c r="BF3765" s="77"/>
      <c r="BG3765" s="77"/>
      <c r="BH3765" s="77"/>
      <c r="BI3765" s="77"/>
    </row>
    <row r="3766" spans="1:61" x14ac:dyDescent="0.25">
      <c r="A3766" s="62" t="s">
        <v>1507</v>
      </c>
      <c r="B3766" s="62" t="s">
        <v>1507</v>
      </c>
      <c r="C3766" s="63"/>
      <c r="D3766" s="64"/>
      <c r="E3766" s="65"/>
      <c r="F3766" s="66"/>
      <c r="G3766" s="63"/>
      <c r="H3766" s="67"/>
      <c r="I3766" s="68"/>
      <c r="J3766" s="68"/>
      <c r="K3766" s="32"/>
      <c r="L3766" s="75">
        <v>3766</v>
      </c>
      <c r="M3766" s="75"/>
      <c r="N3766" s="70"/>
      <c r="O3766" s="77" t="s">
        <v>2081</v>
      </c>
      <c r="P3766" s="79">
        <v>45154.632164351853</v>
      </c>
      <c r="Q3766" s="77" t="s">
        <v>5395</v>
      </c>
      <c r="R3766" s="77">
        <v>0</v>
      </c>
      <c r="S3766" s="77">
        <v>0</v>
      </c>
      <c r="T3766" s="77">
        <v>0</v>
      </c>
      <c r="U3766" s="77">
        <v>0</v>
      </c>
      <c r="V3766" s="77">
        <v>17</v>
      </c>
      <c r="W3766" s="80" t="s">
        <v>8236</v>
      </c>
      <c r="X3766" s="83" t="str">
        <f>HYPERLINK("https://paginauno.do/archivos/21610")</f>
        <v>https://paginauno.do/archivos/21610</v>
      </c>
      <c r="Y3766" s="77" t="s">
        <v>8864</v>
      </c>
      <c r="Z3766" s="77" t="s">
        <v>9024</v>
      </c>
      <c r="AA3766" s="77" t="s">
        <v>10286</v>
      </c>
      <c r="AB3766" s="77" t="s">
        <v>10535</v>
      </c>
      <c r="AC3766" s="80" t="s">
        <v>10541</v>
      </c>
      <c r="AD3766" s="77" t="s">
        <v>10620</v>
      </c>
      <c r="AE3766" s="83" t="str">
        <f>HYPERLINK("https://twitter.com/paginaunodo/status/1691829750589731114")</f>
        <v>https://twitter.com/paginaunodo/status/1691829750589731114</v>
      </c>
      <c r="AF3766" s="79">
        <v>45154.632164351853</v>
      </c>
      <c r="AG3766" s="85">
        <v>45154</v>
      </c>
      <c r="AH3766" s="80" t="s">
        <v>13889</v>
      </c>
      <c r="AI3766" s="77" t="b">
        <v>0</v>
      </c>
      <c r="AJ3766" s="77"/>
      <c r="AK3766" s="77"/>
      <c r="AL3766" s="77"/>
      <c r="AM3766" s="77"/>
      <c r="AN3766" s="77"/>
      <c r="AO3766" s="77"/>
      <c r="AP3766" s="77"/>
      <c r="AQ3766" s="77" t="s">
        <v>15766</v>
      </c>
      <c r="AR3766" s="77"/>
      <c r="AS3766" s="77"/>
      <c r="AT3766" s="77"/>
      <c r="AU3766" s="77"/>
      <c r="AV3766" s="83" t="str">
        <f>HYPERLINK("https://pbs.twimg.com/media/F3qWHClWcAAJg6S.jpg")</f>
        <v>https://pbs.twimg.com/media/F3qWHClWcAAJg6S.jpg</v>
      </c>
      <c r="AW3766" s="80" t="s">
        <v>19453</v>
      </c>
      <c r="AX3766" s="80" t="s">
        <v>19453</v>
      </c>
      <c r="AY3766" s="77"/>
      <c r="AZ3766" s="80" t="s">
        <v>20380</v>
      </c>
      <c r="BA3766" s="80" t="s">
        <v>20380</v>
      </c>
      <c r="BB3766" s="80" t="s">
        <v>20380</v>
      </c>
      <c r="BC3766" s="80" t="s">
        <v>19453</v>
      </c>
      <c r="BD3766" s="80" t="s">
        <v>21124</v>
      </c>
      <c r="BE3766" s="77"/>
      <c r="BF3766" s="77"/>
      <c r="BG3766" s="77"/>
      <c r="BH3766" s="77"/>
      <c r="BI3766" s="77"/>
    </row>
    <row r="3767" spans="1:61" x14ac:dyDescent="0.25">
      <c r="A3767" s="62" t="s">
        <v>1507</v>
      </c>
      <c r="B3767" s="62" t="s">
        <v>1507</v>
      </c>
      <c r="C3767" s="63"/>
      <c r="D3767" s="64"/>
      <c r="E3767" s="65"/>
      <c r="F3767" s="66"/>
      <c r="G3767" s="63"/>
      <c r="H3767" s="67"/>
      <c r="I3767" s="68"/>
      <c r="J3767" s="68"/>
      <c r="K3767" s="32"/>
      <c r="L3767" s="75">
        <v>3767</v>
      </c>
      <c r="M3767" s="75"/>
      <c r="N3767" s="70"/>
      <c r="O3767" s="77" t="s">
        <v>2081</v>
      </c>
      <c r="P3767" s="79">
        <v>45125.742650462962</v>
      </c>
      <c r="Q3767" s="77" t="s">
        <v>5396</v>
      </c>
      <c r="R3767" s="77">
        <v>0</v>
      </c>
      <c r="S3767" s="77">
        <v>0</v>
      </c>
      <c r="T3767" s="77">
        <v>0</v>
      </c>
      <c r="U3767" s="77">
        <v>0</v>
      </c>
      <c r="V3767" s="77">
        <v>9</v>
      </c>
      <c r="W3767" s="80" t="s">
        <v>8237</v>
      </c>
      <c r="X3767" s="83" t="str">
        <f>HYPERLINK("https://paginauno.do/archivos/19833")</f>
        <v>https://paginauno.do/archivos/19833</v>
      </c>
      <c r="Y3767" s="77" t="s">
        <v>8864</v>
      </c>
      <c r="Z3767" s="77" t="s">
        <v>1507</v>
      </c>
      <c r="AA3767" s="77"/>
      <c r="AB3767" s="77"/>
      <c r="AC3767" s="80" t="s">
        <v>10541</v>
      </c>
      <c r="AD3767" s="77" t="s">
        <v>10620</v>
      </c>
      <c r="AE3767" s="83" t="str">
        <f>HYPERLINK("https://twitter.com/paginaunodo/status/1681360539346141191")</f>
        <v>https://twitter.com/paginaunodo/status/1681360539346141191</v>
      </c>
      <c r="AF3767" s="79">
        <v>45125.742650462962</v>
      </c>
      <c r="AG3767" s="85">
        <v>45125</v>
      </c>
      <c r="AH3767" s="80" t="s">
        <v>13890</v>
      </c>
      <c r="AI3767" s="77" t="b">
        <v>0</v>
      </c>
      <c r="AJ3767" s="77"/>
      <c r="AK3767" s="77"/>
      <c r="AL3767" s="77"/>
      <c r="AM3767" s="77"/>
      <c r="AN3767" s="77"/>
      <c r="AO3767" s="77"/>
      <c r="AP3767" s="77"/>
      <c r="AQ3767" s="77"/>
      <c r="AR3767" s="77"/>
      <c r="AS3767" s="77"/>
      <c r="AT3767" s="77"/>
      <c r="AU3767" s="77"/>
      <c r="AV3767" s="83" t="str">
        <f>HYPERLINK("https://pbs.twimg.com/profile_images/1652339117626122240/UYOujN60_normal.jpg")</f>
        <v>https://pbs.twimg.com/profile_images/1652339117626122240/UYOujN60_normal.jpg</v>
      </c>
      <c r="AW3767" s="80" t="s">
        <v>19454</v>
      </c>
      <c r="AX3767" s="80" t="s">
        <v>19454</v>
      </c>
      <c r="AY3767" s="77"/>
      <c r="AZ3767" s="80" t="s">
        <v>20380</v>
      </c>
      <c r="BA3767" s="80" t="s">
        <v>20380</v>
      </c>
      <c r="BB3767" s="80" t="s">
        <v>20380</v>
      </c>
      <c r="BC3767" s="80" t="s">
        <v>19454</v>
      </c>
      <c r="BD3767" s="80" t="s">
        <v>21124</v>
      </c>
      <c r="BE3767" s="77"/>
      <c r="BF3767" s="77"/>
      <c r="BG3767" s="77"/>
      <c r="BH3767" s="77"/>
      <c r="BI3767" s="77"/>
    </row>
    <row r="3768" spans="1:61" x14ac:dyDescent="0.25">
      <c r="A3768" s="62" t="s">
        <v>1508</v>
      </c>
      <c r="B3768" s="62" t="s">
        <v>1827</v>
      </c>
      <c r="C3768" s="63"/>
      <c r="D3768" s="64"/>
      <c r="E3768" s="65"/>
      <c r="F3768" s="66"/>
      <c r="G3768" s="63"/>
      <c r="H3768" s="67"/>
      <c r="I3768" s="68"/>
      <c r="J3768" s="68"/>
      <c r="K3768" s="32"/>
      <c r="L3768" s="75">
        <v>3768</v>
      </c>
      <c r="M3768" s="75"/>
      <c r="N3768" s="70"/>
      <c r="O3768" s="77" t="s">
        <v>2081</v>
      </c>
      <c r="P3768" s="79">
        <v>45100.042569444442</v>
      </c>
      <c r="Q3768" s="77" t="s">
        <v>5397</v>
      </c>
      <c r="R3768" s="77">
        <v>0</v>
      </c>
      <c r="S3768" s="77">
        <v>1</v>
      </c>
      <c r="T3768" s="77">
        <v>0</v>
      </c>
      <c r="U3768" s="77">
        <v>0</v>
      </c>
      <c r="V3768" s="77">
        <v>19</v>
      </c>
      <c r="W3768" s="80" t="s">
        <v>8238</v>
      </c>
      <c r="X3768" s="83" t="str">
        <f>HYPERLINK("https://youtu.be/vqZHmdXsGHk")</f>
        <v>https://youtu.be/vqZHmdXsGHk</v>
      </c>
      <c r="Y3768" s="77" t="s">
        <v>8635</v>
      </c>
      <c r="Z3768" s="77" t="s">
        <v>1827</v>
      </c>
      <c r="AA3768" s="77"/>
      <c r="AB3768" s="77"/>
      <c r="AC3768" s="80" t="s">
        <v>10541</v>
      </c>
      <c r="AD3768" s="77" t="s">
        <v>10617</v>
      </c>
      <c r="AE3768" s="83" t="str">
        <f>HYPERLINK("https://twitter.com/lucaspereira_ef/status/1672047140498026496")</f>
        <v>https://twitter.com/lucaspereira_ef/status/1672047140498026496</v>
      </c>
      <c r="AF3768" s="79">
        <v>45100.042569444442</v>
      </c>
      <c r="AG3768" s="85">
        <v>45100</v>
      </c>
      <c r="AH3768" s="80" t="s">
        <v>13891</v>
      </c>
      <c r="AI3768" s="77" t="b">
        <v>0</v>
      </c>
      <c r="AJ3768" s="77"/>
      <c r="AK3768" s="77"/>
      <c r="AL3768" s="77"/>
      <c r="AM3768" s="77"/>
      <c r="AN3768" s="77"/>
      <c r="AO3768" s="77"/>
      <c r="AP3768" s="77"/>
      <c r="AQ3768" s="77"/>
      <c r="AR3768" s="77"/>
      <c r="AS3768" s="77"/>
      <c r="AT3768" s="77"/>
      <c r="AU3768" s="77"/>
      <c r="AV3768" s="83" t="str">
        <f>HYPERLINK("https://pbs.twimg.com/profile_images/1628185029837832193/Qb7BI_Jj_normal.jpg")</f>
        <v>https://pbs.twimg.com/profile_images/1628185029837832193/Qb7BI_Jj_normal.jpg</v>
      </c>
      <c r="AW3768" s="80" t="s">
        <v>19455</v>
      </c>
      <c r="AX3768" s="80" t="s">
        <v>19455</v>
      </c>
      <c r="AY3768" s="77"/>
      <c r="AZ3768" s="80" t="s">
        <v>20380</v>
      </c>
      <c r="BA3768" s="80" t="s">
        <v>20380</v>
      </c>
      <c r="BB3768" s="80" t="s">
        <v>20380</v>
      </c>
      <c r="BC3768" s="80" t="s">
        <v>19455</v>
      </c>
      <c r="BD3768" s="80" t="s">
        <v>21125</v>
      </c>
      <c r="BE3768" s="77"/>
      <c r="BF3768" s="77"/>
      <c r="BG3768" s="77"/>
      <c r="BH3768" s="77"/>
      <c r="BI3768" s="77"/>
    </row>
    <row r="3769" spans="1:61" x14ac:dyDescent="0.25">
      <c r="A3769" s="62" t="s">
        <v>1509</v>
      </c>
      <c r="B3769" s="62" t="s">
        <v>2050</v>
      </c>
      <c r="C3769" s="63"/>
      <c r="D3769" s="64"/>
      <c r="E3769" s="65"/>
      <c r="F3769" s="66"/>
      <c r="G3769" s="63"/>
      <c r="H3769" s="67"/>
      <c r="I3769" s="68"/>
      <c r="J3769" s="68"/>
      <c r="K3769" s="32"/>
      <c r="L3769" s="75">
        <v>3769</v>
      </c>
      <c r="M3769" s="75"/>
      <c r="N3769" s="70"/>
      <c r="O3769" s="77" t="s">
        <v>2081</v>
      </c>
      <c r="P3769" s="79">
        <v>45184.371157407404</v>
      </c>
      <c r="Q3769" s="77" t="s">
        <v>5398</v>
      </c>
      <c r="R3769" s="77">
        <v>5</v>
      </c>
      <c r="S3769" s="77">
        <v>22</v>
      </c>
      <c r="T3769" s="77">
        <v>2</v>
      </c>
      <c r="U3769" s="77">
        <v>0</v>
      </c>
      <c r="V3769" s="77">
        <v>4738</v>
      </c>
      <c r="W3769" s="80" t="s">
        <v>8239</v>
      </c>
      <c r="X3769" s="77"/>
      <c r="Y3769" s="77"/>
      <c r="Z3769" s="77" t="s">
        <v>2050</v>
      </c>
      <c r="AA3769" s="77" t="s">
        <v>10287</v>
      </c>
      <c r="AB3769" s="77" t="s">
        <v>10535</v>
      </c>
      <c r="AC3769" s="80" t="s">
        <v>10540</v>
      </c>
      <c r="AD3769" s="77" t="s">
        <v>10620</v>
      </c>
      <c r="AE3769" s="83" t="str">
        <f>HYPERLINK("https://twitter.com/nahem_360/status/1702606799680184683")</f>
        <v>https://twitter.com/nahem_360/status/1702606799680184683</v>
      </c>
      <c r="AF3769" s="79">
        <v>45184.371157407404</v>
      </c>
      <c r="AG3769" s="85">
        <v>45184</v>
      </c>
      <c r="AH3769" s="80" t="s">
        <v>13892</v>
      </c>
      <c r="AI3769" s="77" t="b">
        <v>0</v>
      </c>
      <c r="AJ3769" s="77"/>
      <c r="AK3769" s="77"/>
      <c r="AL3769" s="77"/>
      <c r="AM3769" s="77"/>
      <c r="AN3769" s="77"/>
      <c r="AO3769" s="77"/>
      <c r="AP3769" s="77"/>
      <c r="AQ3769" s="77" t="s">
        <v>15767</v>
      </c>
      <c r="AR3769" s="77"/>
      <c r="AS3769" s="77"/>
      <c r="AT3769" s="77"/>
      <c r="AU3769" s="77"/>
      <c r="AV3769" s="83" t="str">
        <f>HYPERLINK("https://pbs.twimg.com/media/F6Df3ETaIAAis8j.jpg")</f>
        <v>https://pbs.twimg.com/media/F6Df3ETaIAAis8j.jpg</v>
      </c>
      <c r="AW3769" s="80" t="s">
        <v>19456</v>
      </c>
      <c r="AX3769" s="80" t="s">
        <v>19456</v>
      </c>
      <c r="AY3769" s="77"/>
      <c r="AZ3769" s="80" t="s">
        <v>20380</v>
      </c>
      <c r="BA3769" s="80" t="s">
        <v>20380</v>
      </c>
      <c r="BB3769" s="80" t="s">
        <v>20380</v>
      </c>
      <c r="BC3769" s="80" t="s">
        <v>19456</v>
      </c>
      <c r="BD3769" s="77">
        <v>774983437</v>
      </c>
      <c r="BE3769" s="77"/>
      <c r="BF3769" s="77"/>
      <c r="BG3769" s="77"/>
      <c r="BH3769" s="77"/>
      <c r="BI3769" s="77"/>
    </row>
    <row r="3770" spans="1:61" x14ac:dyDescent="0.25">
      <c r="A3770" s="62" t="s">
        <v>1510</v>
      </c>
      <c r="B3770" s="62" t="s">
        <v>1510</v>
      </c>
      <c r="C3770" s="63"/>
      <c r="D3770" s="64"/>
      <c r="E3770" s="65"/>
      <c r="F3770" s="66"/>
      <c r="G3770" s="63"/>
      <c r="H3770" s="67"/>
      <c r="I3770" s="68"/>
      <c r="J3770" s="68"/>
      <c r="K3770" s="32"/>
      <c r="L3770" s="75">
        <v>3770</v>
      </c>
      <c r="M3770" s="75"/>
      <c r="N3770" s="70"/>
      <c r="O3770" s="77" t="s">
        <v>179</v>
      </c>
      <c r="P3770" s="79">
        <v>45162.521851851852</v>
      </c>
      <c r="Q3770" s="77" t="s">
        <v>5399</v>
      </c>
      <c r="R3770" s="77">
        <v>1</v>
      </c>
      <c r="S3770" s="77">
        <v>0</v>
      </c>
      <c r="T3770" s="77">
        <v>0</v>
      </c>
      <c r="U3770" s="77">
        <v>0</v>
      </c>
      <c r="V3770" s="77">
        <v>122</v>
      </c>
      <c r="W3770" s="80" t="s">
        <v>8240</v>
      </c>
      <c r="X3770" s="83" t="str">
        <f>HYPERLINK("https://www.hispanatolia.com/seccion/2/id_cat,2/id,27396/el-banco-central-de-turquia-eleva-los-tipos-de-interes-hasta-el-25")</f>
        <v>https://www.hispanatolia.com/seccion/2/id_cat,2/id,27396/el-banco-central-de-turquia-eleva-los-tipos-de-interes-hasta-el-25</v>
      </c>
      <c r="Y3770" s="77" t="s">
        <v>8865</v>
      </c>
      <c r="Z3770" s="77"/>
      <c r="AA3770" s="77" t="s">
        <v>10288</v>
      </c>
      <c r="AB3770" s="77" t="s">
        <v>10535</v>
      </c>
      <c r="AC3770" s="80" t="s">
        <v>10541</v>
      </c>
      <c r="AD3770" s="77" t="s">
        <v>10620</v>
      </c>
      <c r="AE3770" s="83" t="str">
        <f>HYPERLINK("https://twitter.com/hispanatolia/status/1694688874922930344")</f>
        <v>https://twitter.com/hispanatolia/status/1694688874922930344</v>
      </c>
      <c r="AF3770" s="79">
        <v>45162.521851851852</v>
      </c>
      <c r="AG3770" s="85">
        <v>45162</v>
      </c>
      <c r="AH3770" s="80" t="s">
        <v>13893</v>
      </c>
      <c r="AI3770" s="77" t="b">
        <v>0</v>
      </c>
      <c r="AJ3770" s="77"/>
      <c r="AK3770" s="77"/>
      <c r="AL3770" s="77"/>
      <c r="AM3770" s="77"/>
      <c r="AN3770" s="77"/>
      <c r="AO3770" s="77"/>
      <c r="AP3770" s="77"/>
      <c r="AQ3770" s="77" t="s">
        <v>15768</v>
      </c>
      <c r="AR3770" s="77"/>
      <c r="AS3770" s="77"/>
      <c r="AT3770" s="77"/>
      <c r="AU3770" s="77"/>
      <c r="AV3770" s="83" t="str">
        <f>HYPERLINK("https://pbs.twimg.com/media/F4S-inbXEAAzOy6.png")</f>
        <v>https://pbs.twimg.com/media/F4S-inbXEAAzOy6.png</v>
      </c>
      <c r="AW3770" s="80" t="s">
        <v>19457</v>
      </c>
      <c r="AX3770" s="80" t="s">
        <v>19457</v>
      </c>
      <c r="AY3770" s="77"/>
      <c r="AZ3770" s="80" t="s">
        <v>20380</v>
      </c>
      <c r="BA3770" s="80" t="s">
        <v>20380</v>
      </c>
      <c r="BB3770" s="80" t="s">
        <v>20380</v>
      </c>
      <c r="BC3770" s="80" t="s">
        <v>19457</v>
      </c>
      <c r="BD3770" s="77">
        <v>233927179</v>
      </c>
      <c r="BE3770" s="77"/>
      <c r="BF3770" s="77"/>
      <c r="BG3770" s="77"/>
      <c r="BH3770" s="77"/>
      <c r="BI3770" s="77"/>
    </row>
    <row r="3771" spans="1:61" x14ac:dyDescent="0.25">
      <c r="A3771" s="62" t="s">
        <v>1511</v>
      </c>
      <c r="B3771" s="62" t="s">
        <v>2051</v>
      </c>
      <c r="C3771" s="63"/>
      <c r="D3771" s="64"/>
      <c r="E3771" s="65"/>
      <c r="F3771" s="66"/>
      <c r="G3771" s="63"/>
      <c r="H3771" s="67"/>
      <c r="I3771" s="68"/>
      <c r="J3771" s="68"/>
      <c r="K3771" s="32"/>
      <c r="L3771" s="75">
        <v>3771</v>
      </c>
      <c r="M3771" s="75"/>
      <c r="N3771" s="70"/>
      <c r="O3771" s="77" t="s">
        <v>2081</v>
      </c>
      <c r="P3771" s="79">
        <v>45177.65525462963</v>
      </c>
      <c r="Q3771" s="77" t="s">
        <v>5400</v>
      </c>
      <c r="R3771" s="77">
        <v>13</v>
      </c>
      <c r="S3771" s="77">
        <v>18</v>
      </c>
      <c r="T3771" s="77">
        <v>1</v>
      </c>
      <c r="U3771" s="77">
        <v>1</v>
      </c>
      <c r="V3771" s="77">
        <v>708</v>
      </c>
      <c r="W3771" s="80" t="s">
        <v>8241</v>
      </c>
      <c r="X3771" s="77"/>
      <c r="Y3771" s="77"/>
      <c r="Z3771" s="77" t="s">
        <v>9025</v>
      </c>
      <c r="AA3771" s="77" t="s">
        <v>10289</v>
      </c>
      <c r="AB3771" s="77" t="s">
        <v>10534</v>
      </c>
      <c r="AC3771" s="80" t="s">
        <v>10542</v>
      </c>
      <c r="AD3771" s="77" t="s">
        <v>10620</v>
      </c>
      <c r="AE3771" s="83" t="str">
        <f>HYPERLINK("https://twitter.com/volverasertigre/status/1700173038191567207")</f>
        <v>https://twitter.com/volverasertigre/status/1700173038191567207</v>
      </c>
      <c r="AF3771" s="79">
        <v>45177.65525462963</v>
      </c>
      <c r="AG3771" s="85">
        <v>45177</v>
      </c>
      <c r="AH3771" s="80" t="s">
        <v>13894</v>
      </c>
      <c r="AI3771" s="77" t="b">
        <v>0</v>
      </c>
      <c r="AJ3771" s="77"/>
      <c r="AK3771" s="77"/>
      <c r="AL3771" s="77"/>
      <c r="AM3771" s="77"/>
      <c r="AN3771" s="77"/>
      <c r="AO3771" s="77"/>
      <c r="AP3771" s="77"/>
      <c r="AQ3771" s="77" t="s">
        <v>15769</v>
      </c>
      <c r="AR3771" s="77">
        <v>110610</v>
      </c>
      <c r="AS3771" s="77"/>
      <c r="AT3771" s="77"/>
      <c r="AU3771" s="77"/>
      <c r="AV3771" s="83" t="str">
        <f>HYPERLINK("https://pbs.twimg.com/ext_tw_video_thumb/1700172883375308800/pu/img/0R2OQTkjG3Tsajt8.jpg")</f>
        <v>https://pbs.twimg.com/ext_tw_video_thumb/1700172883375308800/pu/img/0R2OQTkjG3Tsajt8.jpg</v>
      </c>
      <c r="AW3771" s="80" t="s">
        <v>19458</v>
      </c>
      <c r="AX3771" s="80" t="s">
        <v>19458</v>
      </c>
      <c r="AY3771" s="77"/>
      <c r="AZ3771" s="80" t="s">
        <v>20380</v>
      </c>
      <c r="BA3771" s="80" t="s">
        <v>20380</v>
      </c>
      <c r="BB3771" s="80" t="s">
        <v>20380</v>
      </c>
      <c r="BC3771" s="80" t="s">
        <v>19458</v>
      </c>
      <c r="BD3771" s="80" t="s">
        <v>21126</v>
      </c>
      <c r="BE3771" s="77"/>
      <c r="BF3771" s="77"/>
      <c r="BG3771" s="77"/>
      <c r="BH3771" s="77"/>
      <c r="BI3771" s="77"/>
    </row>
    <row r="3772" spans="1:61" x14ac:dyDescent="0.25">
      <c r="A3772" s="62" t="s">
        <v>1511</v>
      </c>
      <c r="B3772" s="62" t="s">
        <v>2052</v>
      </c>
      <c r="C3772" s="63"/>
      <c r="D3772" s="64"/>
      <c r="E3772" s="65"/>
      <c r="F3772" s="66"/>
      <c r="G3772" s="63"/>
      <c r="H3772" s="67"/>
      <c r="I3772" s="68"/>
      <c r="J3772" s="68"/>
      <c r="K3772" s="32"/>
      <c r="L3772" s="75">
        <v>3772</v>
      </c>
      <c r="M3772" s="75"/>
      <c r="N3772" s="70"/>
      <c r="O3772" s="77" t="s">
        <v>2081</v>
      </c>
      <c r="P3772" s="79">
        <v>45177.65525462963</v>
      </c>
      <c r="Q3772" s="77" t="s">
        <v>5400</v>
      </c>
      <c r="R3772" s="77">
        <v>13</v>
      </c>
      <c r="S3772" s="77">
        <v>18</v>
      </c>
      <c r="T3772" s="77">
        <v>1</v>
      </c>
      <c r="U3772" s="77">
        <v>1</v>
      </c>
      <c r="V3772" s="77">
        <v>708</v>
      </c>
      <c r="W3772" s="80" t="s">
        <v>8241</v>
      </c>
      <c r="X3772" s="77"/>
      <c r="Y3772" s="77"/>
      <c r="Z3772" s="77" t="s">
        <v>9025</v>
      </c>
      <c r="AA3772" s="77" t="s">
        <v>10289</v>
      </c>
      <c r="AB3772" s="77" t="s">
        <v>10534</v>
      </c>
      <c r="AC3772" s="80" t="s">
        <v>10542</v>
      </c>
      <c r="AD3772" s="77" t="s">
        <v>10620</v>
      </c>
      <c r="AE3772" s="83" t="str">
        <f>HYPERLINK("https://twitter.com/volverasertigre/status/1700173038191567207")</f>
        <v>https://twitter.com/volverasertigre/status/1700173038191567207</v>
      </c>
      <c r="AF3772" s="79">
        <v>45177.65525462963</v>
      </c>
      <c r="AG3772" s="85">
        <v>45177</v>
      </c>
      <c r="AH3772" s="80" t="s">
        <v>13894</v>
      </c>
      <c r="AI3772" s="77" t="b">
        <v>0</v>
      </c>
      <c r="AJ3772" s="77"/>
      <c r="AK3772" s="77"/>
      <c r="AL3772" s="77"/>
      <c r="AM3772" s="77"/>
      <c r="AN3772" s="77"/>
      <c r="AO3772" s="77"/>
      <c r="AP3772" s="77"/>
      <c r="AQ3772" s="77" t="s">
        <v>15769</v>
      </c>
      <c r="AR3772" s="77">
        <v>110610</v>
      </c>
      <c r="AS3772" s="77"/>
      <c r="AT3772" s="77"/>
      <c r="AU3772" s="77"/>
      <c r="AV3772" s="83" t="str">
        <f>HYPERLINK("https://pbs.twimg.com/ext_tw_video_thumb/1700172883375308800/pu/img/0R2OQTkjG3Tsajt8.jpg")</f>
        <v>https://pbs.twimg.com/ext_tw_video_thumb/1700172883375308800/pu/img/0R2OQTkjG3Tsajt8.jpg</v>
      </c>
      <c r="AW3772" s="80" t="s">
        <v>19458</v>
      </c>
      <c r="AX3772" s="80" t="s">
        <v>19458</v>
      </c>
      <c r="AY3772" s="77"/>
      <c r="AZ3772" s="80" t="s">
        <v>20380</v>
      </c>
      <c r="BA3772" s="80" t="s">
        <v>20380</v>
      </c>
      <c r="BB3772" s="80" t="s">
        <v>20380</v>
      </c>
      <c r="BC3772" s="80" t="s">
        <v>19458</v>
      </c>
      <c r="BD3772" s="80" t="s">
        <v>21126</v>
      </c>
      <c r="BE3772" s="77"/>
      <c r="BF3772" s="77"/>
      <c r="BG3772" s="77"/>
      <c r="BH3772" s="77"/>
      <c r="BI3772" s="77"/>
    </row>
    <row r="3773" spans="1:61" x14ac:dyDescent="0.25">
      <c r="A3773" s="62" t="s">
        <v>1511</v>
      </c>
      <c r="B3773" s="62" t="s">
        <v>2053</v>
      </c>
      <c r="C3773" s="63"/>
      <c r="D3773" s="64"/>
      <c r="E3773" s="65"/>
      <c r="F3773" s="66"/>
      <c r="G3773" s="63"/>
      <c r="H3773" s="67"/>
      <c r="I3773" s="68"/>
      <c r="J3773" s="68"/>
      <c r="K3773" s="32"/>
      <c r="L3773" s="75">
        <v>3773</v>
      </c>
      <c r="M3773" s="75"/>
      <c r="N3773" s="70"/>
      <c r="O3773" s="77" t="s">
        <v>2081</v>
      </c>
      <c r="P3773" s="79">
        <v>45177.65525462963</v>
      </c>
      <c r="Q3773" s="77" t="s">
        <v>5400</v>
      </c>
      <c r="R3773" s="77">
        <v>13</v>
      </c>
      <c r="S3773" s="77">
        <v>18</v>
      </c>
      <c r="T3773" s="77">
        <v>1</v>
      </c>
      <c r="U3773" s="77">
        <v>1</v>
      </c>
      <c r="V3773" s="77">
        <v>708</v>
      </c>
      <c r="W3773" s="80" t="s">
        <v>8241</v>
      </c>
      <c r="X3773" s="77"/>
      <c r="Y3773" s="77"/>
      <c r="Z3773" s="77" t="s">
        <v>9025</v>
      </c>
      <c r="AA3773" s="77" t="s">
        <v>10289</v>
      </c>
      <c r="AB3773" s="77" t="s">
        <v>10534</v>
      </c>
      <c r="AC3773" s="80" t="s">
        <v>10542</v>
      </c>
      <c r="AD3773" s="77" t="s">
        <v>10620</v>
      </c>
      <c r="AE3773" s="83" t="str">
        <f>HYPERLINK("https://twitter.com/volverasertigre/status/1700173038191567207")</f>
        <v>https://twitter.com/volverasertigre/status/1700173038191567207</v>
      </c>
      <c r="AF3773" s="79">
        <v>45177.65525462963</v>
      </c>
      <c r="AG3773" s="85">
        <v>45177</v>
      </c>
      <c r="AH3773" s="80" t="s">
        <v>13894</v>
      </c>
      <c r="AI3773" s="77" t="b">
        <v>0</v>
      </c>
      <c r="AJ3773" s="77"/>
      <c r="AK3773" s="77"/>
      <c r="AL3773" s="77"/>
      <c r="AM3773" s="77"/>
      <c r="AN3773" s="77"/>
      <c r="AO3773" s="77"/>
      <c r="AP3773" s="77"/>
      <c r="AQ3773" s="77" t="s">
        <v>15769</v>
      </c>
      <c r="AR3773" s="77">
        <v>110610</v>
      </c>
      <c r="AS3773" s="77"/>
      <c r="AT3773" s="77"/>
      <c r="AU3773" s="77"/>
      <c r="AV3773" s="83" t="str">
        <f>HYPERLINK("https://pbs.twimg.com/ext_tw_video_thumb/1700172883375308800/pu/img/0R2OQTkjG3Tsajt8.jpg")</f>
        <v>https://pbs.twimg.com/ext_tw_video_thumb/1700172883375308800/pu/img/0R2OQTkjG3Tsajt8.jpg</v>
      </c>
      <c r="AW3773" s="80" t="s">
        <v>19458</v>
      </c>
      <c r="AX3773" s="80" t="s">
        <v>19458</v>
      </c>
      <c r="AY3773" s="77"/>
      <c r="AZ3773" s="80" t="s">
        <v>20380</v>
      </c>
      <c r="BA3773" s="80" t="s">
        <v>20380</v>
      </c>
      <c r="BB3773" s="80" t="s">
        <v>20380</v>
      </c>
      <c r="BC3773" s="80" t="s">
        <v>19458</v>
      </c>
      <c r="BD3773" s="80" t="s">
        <v>21126</v>
      </c>
      <c r="BE3773" s="77"/>
      <c r="BF3773" s="77"/>
      <c r="BG3773" s="77"/>
      <c r="BH3773" s="77"/>
      <c r="BI3773" s="77"/>
    </row>
    <row r="3774" spans="1:61" x14ac:dyDescent="0.25">
      <c r="A3774" s="62" t="s">
        <v>1512</v>
      </c>
      <c r="B3774" s="62" t="s">
        <v>1512</v>
      </c>
      <c r="C3774" s="63"/>
      <c r="D3774" s="64"/>
      <c r="E3774" s="65"/>
      <c r="F3774" s="66"/>
      <c r="G3774" s="63"/>
      <c r="H3774" s="67"/>
      <c r="I3774" s="68"/>
      <c r="J3774" s="68"/>
      <c r="K3774" s="32"/>
      <c r="L3774" s="75">
        <v>3774</v>
      </c>
      <c r="M3774" s="75"/>
      <c r="N3774" s="70"/>
      <c r="O3774" s="77" t="s">
        <v>179</v>
      </c>
      <c r="P3774" s="79">
        <v>45056.534189814818</v>
      </c>
      <c r="Q3774" s="77" t="s">
        <v>5401</v>
      </c>
      <c r="R3774" s="77">
        <v>15</v>
      </c>
      <c r="S3774" s="77">
        <v>21</v>
      </c>
      <c r="T3774" s="77">
        <v>2</v>
      </c>
      <c r="U3774" s="77">
        <v>1</v>
      </c>
      <c r="V3774" s="77">
        <v>1306</v>
      </c>
      <c r="W3774" s="80" t="s">
        <v>5884</v>
      </c>
      <c r="X3774" s="77"/>
      <c r="Y3774" s="77"/>
      <c r="Z3774" s="77"/>
      <c r="AA3774" s="77" t="s">
        <v>10290</v>
      </c>
      <c r="AB3774" s="77" t="s">
        <v>10536</v>
      </c>
      <c r="AC3774" s="80" t="s">
        <v>10541</v>
      </c>
      <c r="AD3774" s="77" t="s">
        <v>10620</v>
      </c>
      <c r="AE3774" s="83" t="str">
        <f>HYPERLINK("https://twitter.com/silviamarquez24/status/1656280231727054853")</f>
        <v>https://twitter.com/silviamarquez24/status/1656280231727054853</v>
      </c>
      <c r="AF3774" s="79">
        <v>45056.534189814818</v>
      </c>
      <c r="AG3774" s="85">
        <v>45056</v>
      </c>
      <c r="AH3774" s="80" t="s">
        <v>13895</v>
      </c>
      <c r="AI3774" s="77" t="b">
        <v>0</v>
      </c>
      <c r="AJ3774" s="77"/>
      <c r="AK3774" s="77"/>
      <c r="AL3774" s="77"/>
      <c r="AM3774" s="77"/>
      <c r="AN3774" s="77"/>
      <c r="AO3774" s="77"/>
      <c r="AP3774" s="77"/>
      <c r="AQ3774" s="77" t="s">
        <v>15770</v>
      </c>
      <c r="AR3774" s="77"/>
      <c r="AS3774" s="77"/>
      <c r="AT3774" s="77"/>
      <c r="AU3774" s="77"/>
      <c r="AV3774" s="83" t="str">
        <f>HYPERLINK("https://pbs.twimg.com/media/FvxJ8A2X0AAzl-g.jpg")</f>
        <v>https://pbs.twimg.com/media/FvxJ8A2X0AAzl-g.jpg</v>
      </c>
      <c r="AW3774" s="80" t="s">
        <v>19459</v>
      </c>
      <c r="AX3774" s="80" t="s">
        <v>19459</v>
      </c>
      <c r="AY3774" s="77"/>
      <c r="AZ3774" s="80" t="s">
        <v>20380</v>
      </c>
      <c r="BA3774" s="80" t="s">
        <v>20380</v>
      </c>
      <c r="BB3774" s="80" t="s">
        <v>20380</v>
      </c>
      <c r="BC3774" s="80" t="s">
        <v>19459</v>
      </c>
      <c r="BD3774" s="77">
        <v>396148446</v>
      </c>
      <c r="BE3774" s="77"/>
      <c r="BF3774" s="77"/>
      <c r="BG3774" s="77"/>
      <c r="BH3774" s="77"/>
      <c r="BI3774" s="77"/>
    </row>
    <row r="3775" spans="1:61" x14ac:dyDescent="0.25">
      <c r="A3775" s="62" t="s">
        <v>1513</v>
      </c>
      <c r="B3775" s="62" t="s">
        <v>1513</v>
      </c>
      <c r="C3775" s="63"/>
      <c r="D3775" s="64"/>
      <c r="E3775" s="65"/>
      <c r="F3775" s="66"/>
      <c r="G3775" s="63"/>
      <c r="H3775" s="67"/>
      <c r="I3775" s="68"/>
      <c r="J3775" s="68"/>
      <c r="K3775" s="32"/>
      <c r="L3775" s="75">
        <v>3775</v>
      </c>
      <c r="M3775" s="75"/>
      <c r="N3775" s="70"/>
      <c r="O3775" s="77" t="s">
        <v>179</v>
      </c>
      <c r="P3775" s="79">
        <v>45056.895358796297</v>
      </c>
      <c r="Q3775" s="77" t="s">
        <v>5402</v>
      </c>
      <c r="R3775" s="77">
        <v>0</v>
      </c>
      <c r="S3775" s="77">
        <v>0</v>
      </c>
      <c r="T3775" s="77">
        <v>0</v>
      </c>
      <c r="U3775" s="77">
        <v>0</v>
      </c>
      <c r="V3775" s="77">
        <v>3</v>
      </c>
      <c r="W3775" s="80" t="s">
        <v>8242</v>
      </c>
      <c r="X3775" s="83" t="str">
        <f>HYPERLINK("https://www.queagito.com/para-maior-seguranca-cheques-terao-mudancas-a-partir-de-2-de-outubro/")</f>
        <v>https://www.queagito.com/para-maior-seguranca-cheques-terao-mudancas-a-partir-de-2-de-outubro/</v>
      </c>
      <c r="Y3775" s="77" t="s">
        <v>8866</v>
      </c>
      <c r="Z3775" s="77"/>
      <c r="AA3775" s="77" t="s">
        <v>10291</v>
      </c>
      <c r="AB3775" s="77" t="s">
        <v>10535</v>
      </c>
      <c r="AC3775" s="80" t="s">
        <v>10541</v>
      </c>
      <c r="AD3775" s="77" t="s">
        <v>10617</v>
      </c>
      <c r="AE3775" s="83" t="str">
        <f>HYPERLINK("https://twitter.com/queagito/status/1656411115083948034")</f>
        <v>https://twitter.com/queagito/status/1656411115083948034</v>
      </c>
      <c r="AF3775" s="79">
        <v>45056.895358796297</v>
      </c>
      <c r="AG3775" s="85">
        <v>45056</v>
      </c>
      <c r="AH3775" s="80" t="s">
        <v>13896</v>
      </c>
      <c r="AI3775" s="77" t="b">
        <v>0</v>
      </c>
      <c r="AJ3775" s="77"/>
      <c r="AK3775" s="77"/>
      <c r="AL3775" s="77"/>
      <c r="AM3775" s="77"/>
      <c r="AN3775" s="77"/>
      <c r="AO3775" s="77"/>
      <c r="AP3775" s="77"/>
      <c r="AQ3775" s="77" t="s">
        <v>15771</v>
      </c>
      <c r="AR3775" s="77"/>
      <c r="AS3775" s="77"/>
      <c r="AT3775" s="77"/>
      <c r="AU3775" s="77"/>
      <c r="AV3775" s="83" t="str">
        <f>HYPERLINK("https://pbs.twimg.com/media/FvzBH3uXoAYL4xU.jpg")</f>
        <v>https://pbs.twimg.com/media/FvzBH3uXoAYL4xU.jpg</v>
      </c>
      <c r="AW3775" s="80" t="s">
        <v>19460</v>
      </c>
      <c r="AX3775" s="80" t="s">
        <v>19460</v>
      </c>
      <c r="AY3775" s="77"/>
      <c r="AZ3775" s="80" t="s">
        <v>20380</v>
      </c>
      <c r="BA3775" s="80" t="s">
        <v>20380</v>
      </c>
      <c r="BB3775" s="80" t="s">
        <v>20380</v>
      </c>
      <c r="BC3775" s="80" t="s">
        <v>19460</v>
      </c>
      <c r="BD3775" s="77">
        <v>187768360</v>
      </c>
      <c r="BE3775" s="77"/>
      <c r="BF3775" s="77"/>
      <c r="BG3775" s="77"/>
      <c r="BH3775" s="77"/>
      <c r="BI3775" s="77"/>
    </row>
    <row r="3776" spans="1:61" x14ac:dyDescent="0.25">
      <c r="A3776" s="62" t="s">
        <v>1513</v>
      </c>
      <c r="B3776" s="62" t="s">
        <v>1513</v>
      </c>
      <c r="C3776" s="63"/>
      <c r="D3776" s="64"/>
      <c r="E3776" s="65"/>
      <c r="F3776" s="66"/>
      <c r="G3776" s="63"/>
      <c r="H3776" s="67"/>
      <c r="I3776" s="68"/>
      <c r="J3776" s="68"/>
      <c r="K3776" s="32"/>
      <c r="L3776" s="75">
        <v>3776</v>
      </c>
      <c r="M3776" s="75"/>
      <c r="N3776" s="70"/>
      <c r="O3776" s="77" t="s">
        <v>179</v>
      </c>
      <c r="P3776" s="79">
        <v>45162.59165509259</v>
      </c>
      <c r="Q3776" s="77" t="s">
        <v>5403</v>
      </c>
      <c r="R3776" s="77">
        <v>0</v>
      </c>
      <c r="S3776" s="77">
        <v>0</v>
      </c>
      <c r="T3776" s="77">
        <v>0</v>
      </c>
      <c r="U3776" s="77">
        <v>0</v>
      </c>
      <c r="V3776" s="77">
        <v>95</v>
      </c>
      <c r="W3776" s="80" t="s">
        <v>8243</v>
      </c>
      <c r="X3776" s="83" t="str">
        <f>HYPERLINK("https://www.queagito.com/banco-central-comunica-quinto-vazamento-de-chaves-pix-veja-os-detalhes/")</f>
        <v>https://www.queagito.com/banco-central-comunica-quinto-vazamento-de-chaves-pix-veja-os-detalhes/</v>
      </c>
      <c r="Y3776" s="77" t="s">
        <v>8866</v>
      </c>
      <c r="Z3776" s="77"/>
      <c r="AA3776" s="77" t="s">
        <v>10292</v>
      </c>
      <c r="AB3776" s="77" t="s">
        <v>10535</v>
      </c>
      <c r="AC3776" s="80" t="s">
        <v>10541</v>
      </c>
      <c r="AD3776" s="77" t="s">
        <v>10617</v>
      </c>
      <c r="AE3776" s="83" t="str">
        <f>HYPERLINK("https://twitter.com/queagito/status/1694714172339257352")</f>
        <v>https://twitter.com/queagito/status/1694714172339257352</v>
      </c>
      <c r="AF3776" s="79">
        <v>45162.59165509259</v>
      </c>
      <c r="AG3776" s="85">
        <v>45162</v>
      </c>
      <c r="AH3776" s="80" t="s">
        <v>13897</v>
      </c>
      <c r="AI3776" s="77" t="b">
        <v>0</v>
      </c>
      <c r="AJ3776" s="77"/>
      <c r="AK3776" s="77"/>
      <c r="AL3776" s="77"/>
      <c r="AM3776" s="77"/>
      <c r="AN3776" s="77"/>
      <c r="AO3776" s="77"/>
      <c r="AP3776" s="77"/>
      <c r="AQ3776" s="77" t="s">
        <v>15772</v>
      </c>
      <c r="AR3776" s="77"/>
      <c r="AS3776" s="77"/>
      <c r="AT3776" s="77"/>
      <c r="AU3776" s="77"/>
      <c r="AV3776" s="83" t="str">
        <f>HYPERLINK("https://pbs.twimg.com/media/F4TVjVOasAIS5Zt.jpg")</f>
        <v>https://pbs.twimg.com/media/F4TVjVOasAIS5Zt.jpg</v>
      </c>
      <c r="AW3776" s="80" t="s">
        <v>19461</v>
      </c>
      <c r="AX3776" s="80" t="s">
        <v>19461</v>
      </c>
      <c r="AY3776" s="77"/>
      <c r="AZ3776" s="80" t="s">
        <v>20380</v>
      </c>
      <c r="BA3776" s="80" t="s">
        <v>20380</v>
      </c>
      <c r="BB3776" s="80" t="s">
        <v>20380</v>
      </c>
      <c r="BC3776" s="80" t="s">
        <v>19461</v>
      </c>
      <c r="BD3776" s="77">
        <v>187768360</v>
      </c>
      <c r="BE3776" s="77"/>
      <c r="BF3776" s="77"/>
      <c r="BG3776" s="77"/>
      <c r="BH3776" s="77"/>
      <c r="BI3776" s="77"/>
    </row>
    <row r="3777" spans="1:61" x14ac:dyDescent="0.25">
      <c r="A3777" s="62" t="s">
        <v>1514</v>
      </c>
      <c r="B3777" s="62" t="s">
        <v>1596</v>
      </c>
      <c r="C3777" s="63"/>
      <c r="D3777" s="64"/>
      <c r="E3777" s="65"/>
      <c r="F3777" s="66"/>
      <c r="G3777" s="63"/>
      <c r="H3777" s="67"/>
      <c r="I3777" s="68"/>
      <c r="J3777" s="68"/>
      <c r="K3777" s="32"/>
      <c r="L3777" s="75">
        <v>3777</v>
      </c>
      <c r="M3777" s="75"/>
      <c r="N3777" s="70"/>
      <c r="O3777" s="77" t="s">
        <v>2081</v>
      </c>
      <c r="P3777" s="79">
        <v>45108.031875000001</v>
      </c>
      <c r="Q3777" s="77" t="s">
        <v>5404</v>
      </c>
      <c r="R3777" s="77">
        <v>0</v>
      </c>
      <c r="S3777" s="77">
        <v>0</v>
      </c>
      <c r="T3777" s="77">
        <v>0</v>
      </c>
      <c r="U3777" s="77">
        <v>0</v>
      </c>
      <c r="V3777" s="77">
        <v>13</v>
      </c>
      <c r="W3777" s="80" t="s">
        <v>6008</v>
      </c>
      <c r="X3777" s="83" t="str">
        <f>HYPERLINK("https://www.bcb.gov.br/detalhenoticia/669/noticia")</f>
        <v>https://www.bcb.gov.br/detalhenoticia/669/noticia</v>
      </c>
      <c r="Y3777" s="77" t="s">
        <v>8633</v>
      </c>
      <c r="Z3777" s="77" t="s">
        <v>1596</v>
      </c>
      <c r="AA3777" s="77"/>
      <c r="AB3777" s="77"/>
      <c r="AC3777" s="80" t="s">
        <v>10541</v>
      </c>
      <c r="AD3777" s="77" t="s">
        <v>10617</v>
      </c>
      <c r="AE3777" s="83" t="str">
        <f>HYPERLINK("https://twitter.com/geraldhon51/status/1674942370918330369")</f>
        <v>https://twitter.com/geraldhon51/status/1674942370918330369</v>
      </c>
      <c r="AF3777" s="79">
        <v>45108.031875000001</v>
      </c>
      <c r="AG3777" s="85">
        <v>45108</v>
      </c>
      <c r="AH3777" s="80" t="s">
        <v>13898</v>
      </c>
      <c r="AI3777" s="77" t="b">
        <v>0</v>
      </c>
      <c r="AJ3777" s="77"/>
      <c r="AK3777" s="77"/>
      <c r="AL3777" s="77"/>
      <c r="AM3777" s="77"/>
      <c r="AN3777" s="77"/>
      <c r="AO3777" s="77"/>
      <c r="AP3777" s="77"/>
      <c r="AQ3777" s="77"/>
      <c r="AR3777" s="77"/>
      <c r="AS3777" s="77"/>
      <c r="AT3777" s="77"/>
      <c r="AU3777" s="77"/>
      <c r="AV3777" s="83" t="str">
        <f>HYPERLINK("https://pbs.twimg.com/profile_images/1620180036287340544/6mG4f4KZ_normal.png")</f>
        <v>https://pbs.twimg.com/profile_images/1620180036287340544/6mG4f4KZ_normal.png</v>
      </c>
      <c r="AW3777" s="80" t="s">
        <v>19462</v>
      </c>
      <c r="AX3777" s="80" t="s">
        <v>19462</v>
      </c>
      <c r="AY3777" s="77"/>
      <c r="AZ3777" s="80" t="s">
        <v>20380</v>
      </c>
      <c r="BA3777" s="80" t="s">
        <v>20380</v>
      </c>
      <c r="BB3777" s="80" t="s">
        <v>20380</v>
      </c>
      <c r="BC3777" s="80" t="s">
        <v>19462</v>
      </c>
      <c r="BD3777" s="80" t="s">
        <v>21127</v>
      </c>
      <c r="BE3777" s="77"/>
      <c r="BF3777" s="77"/>
      <c r="BG3777" s="77"/>
      <c r="BH3777" s="77"/>
      <c r="BI3777" s="77"/>
    </row>
    <row r="3778" spans="1:61" x14ac:dyDescent="0.25">
      <c r="A3778" s="62" t="s">
        <v>1515</v>
      </c>
      <c r="B3778" s="62" t="s">
        <v>1515</v>
      </c>
      <c r="C3778" s="63"/>
      <c r="D3778" s="64"/>
      <c r="E3778" s="65"/>
      <c r="F3778" s="66"/>
      <c r="G3778" s="63"/>
      <c r="H3778" s="67"/>
      <c r="I3778" s="68"/>
      <c r="J3778" s="68"/>
      <c r="K3778" s="32"/>
      <c r="L3778" s="75">
        <v>3778</v>
      </c>
      <c r="M3778" s="75"/>
      <c r="N3778" s="70"/>
      <c r="O3778" s="77" t="s">
        <v>179</v>
      </c>
      <c r="P3778" s="79">
        <v>45196.537685185183</v>
      </c>
      <c r="Q3778" s="77" t="s">
        <v>5405</v>
      </c>
      <c r="R3778" s="77">
        <v>0</v>
      </c>
      <c r="S3778" s="77">
        <v>0</v>
      </c>
      <c r="T3778" s="77">
        <v>0</v>
      </c>
      <c r="U3778" s="77">
        <v>0</v>
      </c>
      <c r="V3778" s="77">
        <v>228</v>
      </c>
      <c r="W3778" s="80" t="s">
        <v>8244</v>
      </c>
      <c r="X3778" s="77"/>
      <c r="Y3778" s="77"/>
      <c r="Z3778" s="77"/>
      <c r="AA3778" s="77" t="s">
        <v>10293</v>
      </c>
      <c r="AB3778" s="77" t="s">
        <v>10534</v>
      </c>
      <c r="AC3778" s="80" t="s">
        <v>10541</v>
      </c>
      <c r="AD3778" s="77" t="s">
        <v>10620</v>
      </c>
      <c r="AE3778" s="83" t="str">
        <f>HYPERLINK("https://twitter.com/canalciudadba/status/1707015799955706333")</f>
        <v>https://twitter.com/canalciudadba/status/1707015799955706333</v>
      </c>
      <c r="AF3778" s="79">
        <v>45196.537685185183</v>
      </c>
      <c r="AG3778" s="85">
        <v>45196</v>
      </c>
      <c r="AH3778" s="80" t="s">
        <v>13899</v>
      </c>
      <c r="AI3778" s="77" t="b">
        <v>0</v>
      </c>
      <c r="AJ3778" s="77"/>
      <c r="AK3778" s="77"/>
      <c r="AL3778" s="77"/>
      <c r="AM3778" s="77"/>
      <c r="AN3778" s="77"/>
      <c r="AO3778" s="77"/>
      <c r="AP3778" s="77"/>
      <c r="AQ3778" s="77" t="s">
        <v>15773</v>
      </c>
      <c r="AR3778" s="77">
        <v>135675</v>
      </c>
      <c r="AS3778" s="77"/>
      <c r="AT3778" s="77"/>
      <c r="AU3778" s="77"/>
      <c r="AV3778" s="83" t="str">
        <f>HYPERLINK("https://pbs.twimg.com/ext_tw_video_thumb/1707015473248808960/pu/img/OYyGXcMww9kAeiY5.jpg")</f>
        <v>https://pbs.twimg.com/ext_tw_video_thumb/1707015473248808960/pu/img/OYyGXcMww9kAeiY5.jpg</v>
      </c>
      <c r="AW3778" s="80" t="s">
        <v>19463</v>
      </c>
      <c r="AX3778" s="80" t="s">
        <v>19463</v>
      </c>
      <c r="AY3778" s="77"/>
      <c r="AZ3778" s="80" t="s">
        <v>20380</v>
      </c>
      <c r="BA3778" s="80" t="s">
        <v>20380</v>
      </c>
      <c r="BB3778" s="80" t="s">
        <v>20380</v>
      </c>
      <c r="BC3778" s="80" t="s">
        <v>19463</v>
      </c>
      <c r="BD3778" s="77">
        <v>728012034</v>
      </c>
      <c r="BE3778" s="77"/>
      <c r="BF3778" s="77"/>
      <c r="BG3778" s="77"/>
      <c r="BH3778" s="77"/>
      <c r="BI3778" s="77"/>
    </row>
    <row r="3779" spans="1:61" x14ac:dyDescent="0.25">
      <c r="A3779" s="62" t="s">
        <v>1516</v>
      </c>
      <c r="B3779" s="62" t="s">
        <v>2054</v>
      </c>
      <c r="C3779" s="63"/>
      <c r="D3779" s="64"/>
      <c r="E3779" s="65"/>
      <c r="F3779" s="66"/>
      <c r="G3779" s="63"/>
      <c r="H3779" s="67"/>
      <c r="I3779" s="68"/>
      <c r="J3779" s="68"/>
      <c r="K3779" s="32"/>
      <c r="L3779" s="75">
        <v>3779</v>
      </c>
      <c r="M3779" s="75"/>
      <c r="N3779" s="70"/>
      <c r="O3779" s="77" t="s">
        <v>2079</v>
      </c>
      <c r="P3779" s="79">
        <v>45169.828333333331</v>
      </c>
      <c r="Q3779" s="77" t="s">
        <v>5406</v>
      </c>
      <c r="R3779" s="77">
        <v>0</v>
      </c>
      <c r="S3779" s="77">
        <v>1</v>
      </c>
      <c r="T3779" s="77">
        <v>0</v>
      </c>
      <c r="U3779" s="77">
        <v>0</v>
      </c>
      <c r="V3779" s="77">
        <v>8</v>
      </c>
      <c r="W3779" s="80" t="s">
        <v>8245</v>
      </c>
      <c r="X3779" s="77"/>
      <c r="Y3779" s="77"/>
      <c r="Z3779" s="77" t="s">
        <v>9026</v>
      </c>
      <c r="AA3779" s="77"/>
      <c r="AB3779" s="77"/>
      <c r="AC3779" s="80" t="s">
        <v>10540</v>
      </c>
      <c r="AD3779" s="77" t="s">
        <v>10617</v>
      </c>
      <c r="AE3779" s="83" t="str">
        <f>HYPERLINK("https://twitter.com/djalma97146072/status/1697336655420457313")</f>
        <v>https://twitter.com/djalma97146072/status/1697336655420457313</v>
      </c>
      <c r="AF3779" s="79">
        <v>45169.828333333331</v>
      </c>
      <c r="AG3779" s="85">
        <v>45169</v>
      </c>
      <c r="AH3779" s="80" t="s">
        <v>13900</v>
      </c>
      <c r="AI3779" s="77"/>
      <c r="AJ3779" s="77"/>
      <c r="AK3779" s="77"/>
      <c r="AL3779" s="77"/>
      <c r="AM3779" s="77"/>
      <c r="AN3779" s="77"/>
      <c r="AO3779" s="77"/>
      <c r="AP3779" s="77"/>
      <c r="AQ3779" s="77"/>
      <c r="AR3779" s="77"/>
      <c r="AS3779" s="77"/>
      <c r="AT3779" s="77"/>
      <c r="AU3779" s="77"/>
      <c r="AV3779" s="83" t="str">
        <f>HYPERLINK("https://pbs.twimg.com/profile_images/1237693918898257920/kd_TwfgV_normal.jpg")</f>
        <v>https://pbs.twimg.com/profile_images/1237693918898257920/kd_TwfgV_normal.jpg</v>
      </c>
      <c r="AW3779" s="80" t="s">
        <v>19464</v>
      </c>
      <c r="AX3779" s="80" t="s">
        <v>20183</v>
      </c>
      <c r="AY3779" s="80" t="s">
        <v>20364</v>
      </c>
      <c r="AZ3779" s="80" t="s">
        <v>20183</v>
      </c>
      <c r="BA3779" s="80" t="s">
        <v>20380</v>
      </c>
      <c r="BB3779" s="80" t="s">
        <v>20380</v>
      </c>
      <c r="BC3779" s="80" t="s">
        <v>20183</v>
      </c>
      <c r="BD3779" s="80" t="s">
        <v>21128</v>
      </c>
      <c r="BE3779" s="77"/>
      <c r="BF3779" s="77"/>
      <c r="BG3779" s="77"/>
      <c r="BH3779" s="77"/>
      <c r="BI3779" s="77"/>
    </row>
    <row r="3780" spans="1:61" x14ac:dyDescent="0.25">
      <c r="A3780" s="62" t="s">
        <v>1516</v>
      </c>
      <c r="B3780" s="62" t="s">
        <v>2054</v>
      </c>
      <c r="C3780" s="63"/>
      <c r="D3780" s="64"/>
      <c r="E3780" s="65"/>
      <c r="F3780" s="66"/>
      <c r="G3780" s="63"/>
      <c r="H3780" s="67"/>
      <c r="I3780" s="68"/>
      <c r="J3780" s="68"/>
      <c r="K3780" s="32"/>
      <c r="L3780" s="75">
        <v>3780</v>
      </c>
      <c r="M3780" s="75"/>
      <c r="N3780" s="70"/>
      <c r="O3780" s="77" t="s">
        <v>2078</v>
      </c>
      <c r="P3780" s="79">
        <v>45169.828333333331</v>
      </c>
      <c r="Q3780" s="77" t="s">
        <v>5406</v>
      </c>
      <c r="R3780" s="77">
        <v>0</v>
      </c>
      <c r="S3780" s="77">
        <v>1</v>
      </c>
      <c r="T3780" s="77">
        <v>0</v>
      </c>
      <c r="U3780" s="77">
        <v>0</v>
      </c>
      <c r="V3780" s="77">
        <v>8</v>
      </c>
      <c r="W3780" s="80" t="s">
        <v>8245</v>
      </c>
      <c r="X3780" s="77"/>
      <c r="Y3780" s="77"/>
      <c r="Z3780" s="77" t="s">
        <v>9026</v>
      </c>
      <c r="AA3780" s="77"/>
      <c r="AB3780" s="77"/>
      <c r="AC3780" s="80" t="s">
        <v>10540</v>
      </c>
      <c r="AD3780" s="77" t="s">
        <v>10617</v>
      </c>
      <c r="AE3780" s="83" t="str">
        <f>HYPERLINK("https://twitter.com/djalma97146072/status/1697336655420457313")</f>
        <v>https://twitter.com/djalma97146072/status/1697336655420457313</v>
      </c>
      <c r="AF3780" s="79">
        <v>45169.828333333331</v>
      </c>
      <c r="AG3780" s="85">
        <v>45169</v>
      </c>
      <c r="AH3780" s="80" t="s">
        <v>13900</v>
      </c>
      <c r="AI3780" s="77"/>
      <c r="AJ3780" s="77"/>
      <c r="AK3780" s="77"/>
      <c r="AL3780" s="77"/>
      <c r="AM3780" s="77"/>
      <c r="AN3780" s="77"/>
      <c r="AO3780" s="77"/>
      <c r="AP3780" s="77"/>
      <c r="AQ3780" s="77"/>
      <c r="AR3780" s="77"/>
      <c r="AS3780" s="77"/>
      <c r="AT3780" s="77"/>
      <c r="AU3780" s="77"/>
      <c r="AV3780" s="83" t="str">
        <f>HYPERLINK("https://pbs.twimg.com/profile_images/1237693918898257920/kd_TwfgV_normal.jpg")</f>
        <v>https://pbs.twimg.com/profile_images/1237693918898257920/kd_TwfgV_normal.jpg</v>
      </c>
      <c r="AW3780" s="80" t="s">
        <v>19464</v>
      </c>
      <c r="AX3780" s="80" t="s">
        <v>20183</v>
      </c>
      <c r="AY3780" s="80" t="s">
        <v>20364</v>
      </c>
      <c r="AZ3780" s="80" t="s">
        <v>20183</v>
      </c>
      <c r="BA3780" s="80" t="s">
        <v>20380</v>
      </c>
      <c r="BB3780" s="80" t="s">
        <v>20380</v>
      </c>
      <c r="BC3780" s="80" t="s">
        <v>20183</v>
      </c>
      <c r="BD3780" s="80" t="s">
        <v>21128</v>
      </c>
      <c r="BE3780" s="77"/>
      <c r="BF3780" s="77"/>
      <c r="BG3780" s="77"/>
      <c r="BH3780" s="77"/>
      <c r="BI3780" s="77"/>
    </row>
    <row r="3781" spans="1:61" x14ac:dyDescent="0.25">
      <c r="A3781" s="62" t="s">
        <v>1517</v>
      </c>
      <c r="B3781" s="62" t="s">
        <v>2055</v>
      </c>
      <c r="C3781" s="63"/>
      <c r="D3781" s="64"/>
      <c r="E3781" s="65"/>
      <c r="F3781" s="66"/>
      <c r="G3781" s="63"/>
      <c r="H3781" s="67"/>
      <c r="I3781" s="68"/>
      <c r="J3781" s="68"/>
      <c r="K3781" s="32"/>
      <c r="L3781" s="75">
        <v>3781</v>
      </c>
      <c r="M3781" s="75"/>
      <c r="N3781" s="70"/>
      <c r="O3781" s="77" t="s">
        <v>2079</v>
      </c>
      <c r="P3781" s="79">
        <v>45105.458680555559</v>
      </c>
      <c r="Q3781" s="77" t="s">
        <v>5407</v>
      </c>
      <c r="R3781" s="77">
        <v>0</v>
      </c>
      <c r="S3781" s="77">
        <v>1</v>
      </c>
      <c r="T3781" s="77">
        <v>1</v>
      </c>
      <c r="U3781" s="77">
        <v>0</v>
      </c>
      <c r="V3781" s="77">
        <v>464</v>
      </c>
      <c r="W3781" s="80" t="s">
        <v>8246</v>
      </c>
      <c r="X3781" s="77"/>
      <c r="Y3781" s="77"/>
      <c r="Z3781" s="77" t="s">
        <v>9027</v>
      </c>
      <c r="AA3781" s="77" t="s">
        <v>10294</v>
      </c>
      <c r="AB3781" s="77" t="s">
        <v>10535</v>
      </c>
      <c r="AC3781" s="80" t="s">
        <v>10541</v>
      </c>
      <c r="AD3781" s="77" t="s">
        <v>10620</v>
      </c>
      <c r="AE3781" s="83" t="str">
        <f>HYPERLINK("https://twitter.com/uniruniversidad/status/1674009877134430208")</f>
        <v>https://twitter.com/uniruniversidad/status/1674009877134430208</v>
      </c>
      <c r="AF3781" s="79">
        <v>45105.458680555559</v>
      </c>
      <c r="AG3781" s="85">
        <v>45105</v>
      </c>
      <c r="AH3781" s="80" t="s">
        <v>13901</v>
      </c>
      <c r="AI3781" s="77" t="b">
        <v>0</v>
      </c>
      <c r="AJ3781" s="77"/>
      <c r="AK3781" s="77"/>
      <c r="AL3781" s="77"/>
      <c r="AM3781" s="77"/>
      <c r="AN3781" s="77"/>
      <c r="AO3781" s="77"/>
      <c r="AP3781" s="77"/>
      <c r="AQ3781" s="77" t="s">
        <v>15774</v>
      </c>
      <c r="AR3781" s="77"/>
      <c r="AS3781" s="77"/>
      <c r="AT3781" s="77"/>
      <c r="AU3781" s="77"/>
      <c r="AV3781" s="83" t="str">
        <f>HYPERLINK("https://pbs.twimg.com/media/FztF-cCWIAEVdPK.jpg")</f>
        <v>https://pbs.twimg.com/media/FztF-cCWIAEVdPK.jpg</v>
      </c>
      <c r="AW3781" s="80" t="s">
        <v>19465</v>
      </c>
      <c r="AX3781" s="80" t="s">
        <v>20184</v>
      </c>
      <c r="AY3781" s="80" t="s">
        <v>20365</v>
      </c>
      <c r="AZ3781" s="80" t="s">
        <v>20470</v>
      </c>
      <c r="BA3781" s="80" t="s">
        <v>20380</v>
      </c>
      <c r="BB3781" s="80" t="s">
        <v>20380</v>
      </c>
      <c r="BC3781" s="80" t="s">
        <v>20470</v>
      </c>
      <c r="BD3781" s="77">
        <v>115416310</v>
      </c>
      <c r="BE3781" s="77"/>
      <c r="BF3781" s="77"/>
      <c r="BG3781" s="77"/>
      <c r="BH3781" s="77"/>
      <c r="BI3781" s="77"/>
    </row>
    <row r="3782" spans="1:61" x14ac:dyDescent="0.25">
      <c r="A3782" s="62" t="s">
        <v>1517</v>
      </c>
      <c r="B3782" s="62" t="s">
        <v>2056</v>
      </c>
      <c r="C3782" s="63"/>
      <c r="D3782" s="64"/>
      <c r="E3782" s="65"/>
      <c r="F3782" s="66"/>
      <c r="G3782" s="63"/>
      <c r="H3782" s="67"/>
      <c r="I3782" s="68"/>
      <c r="J3782" s="68"/>
      <c r="K3782" s="32"/>
      <c r="L3782" s="75">
        <v>3782</v>
      </c>
      <c r="M3782" s="75"/>
      <c r="N3782" s="70"/>
      <c r="O3782" s="77" t="s">
        <v>2079</v>
      </c>
      <c r="P3782" s="79">
        <v>45105.458680555559</v>
      </c>
      <c r="Q3782" s="77" t="s">
        <v>5407</v>
      </c>
      <c r="R3782" s="77">
        <v>0</v>
      </c>
      <c r="S3782" s="77">
        <v>1</v>
      </c>
      <c r="T3782" s="77">
        <v>1</v>
      </c>
      <c r="U3782" s="77">
        <v>0</v>
      </c>
      <c r="V3782" s="77">
        <v>464</v>
      </c>
      <c r="W3782" s="80" t="s">
        <v>8246</v>
      </c>
      <c r="X3782" s="77"/>
      <c r="Y3782" s="77"/>
      <c r="Z3782" s="77" t="s">
        <v>9027</v>
      </c>
      <c r="AA3782" s="77" t="s">
        <v>10294</v>
      </c>
      <c r="AB3782" s="77" t="s">
        <v>10535</v>
      </c>
      <c r="AC3782" s="80" t="s">
        <v>10541</v>
      </c>
      <c r="AD3782" s="77" t="s">
        <v>10620</v>
      </c>
      <c r="AE3782" s="83" t="str">
        <f>HYPERLINK("https://twitter.com/uniruniversidad/status/1674009877134430208")</f>
        <v>https://twitter.com/uniruniversidad/status/1674009877134430208</v>
      </c>
      <c r="AF3782" s="79">
        <v>45105.458680555559</v>
      </c>
      <c r="AG3782" s="85">
        <v>45105</v>
      </c>
      <c r="AH3782" s="80" t="s">
        <v>13901</v>
      </c>
      <c r="AI3782" s="77" t="b">
        <v>0</v>
      </c>
      <c r="AJ3782" s="77"/>
      <c r="AK3782" s="77"/>
      <c r="AL3782" s="77"/>
      <c r="AM3782" s="77"/>
      <c r="AN3782" s="77"/>
      <c r="AO3782" s="77"/>
      <c r="AP3782" s="77"/>
      <c r="AQ3782" s="77" t="s">
        <v>15774</v>
      </c>
      <c r="AR3782" s="77"/>
      <c r="AS3782" s="77"/>
      <c r="AT3782" s="77"/>
      <c r="AU3782" s="77"/>
      <c r="AV3782" s="83" t="str">
        <f>HYPERLINK("https://pbs.twimg.com/media/FztF-cCWIAEVdPK.jpg")</f>
        <v>https://pbs.twimg.com/media/FztF-cCWIAEVdPK.jpg</v>
      </c>
      <c r="AW3782" s="80" t="s">
        <v>19465</v>
      </c>
      <c r="AX3782" s="80" t="s">
        <v>20184</v>
      </c>
      <c r="AY3782" s="80" t="s">
        <v>20365</v>
      </c>
      <c r="AZ3782" s="80" t="s">
        <v>20470</v>
      </c>
      <c r="BA3782" s="80" t="s">
        <v>20380</v>
      </c>
      <c r="BB3782" s="80" t="s">
        <v>20380</v>
      </c>
      <c r="BC3782" s="80" t="s">
        <v>20470</v>
      </c>
      <c r="BD3782" s="77">
        <v>115416310</v>
      </c>
      <c r="BE3782" s="77"/>
      <c r="BF3782" s="77"/>
      <c r="BG3782" s="77"/>
      <c r="BH3782" s="77"/>
      <c r="BI3782" s="77"/>
    </row>
    <row r="3783" spans="1:61" x14ac:dyDescent="0.25">
      <c r="A3783" s="62" t="s">
        <v>1517</v>
      </c>
      <c r="B3783" s="62" t="s">
        <v>2057</v>
      </c>
      <c r="C3783" s="63"/>
      <c r="D3783" s="64"/>
      <c r="E3783" s="65"/>
      <c r="F3783" s="66"/>
      <c r="G3783" s="63"/>
      <c r="H3783" s="67"/>
      <c r="I3783" s="68"/>
      <c r="J3783" s="68"/>
      <c r="K3783" s="32"/>
      <c r="L3783" s="75">
        <v>3783</v>
      </c>
      <c r="M3783" s="75"/>
      <c r="N3783" s="70"/>
      <c r="O3783" s="77" t="s">
        <v>2079</v>
      </c>
      <c r="P3783" s="79">
        <v>45105.458680555559</v>
      </c>
      <c r="Q3783" s="77" t="s">
        <v>5407</v>
      </c>
      <c r="R3783" s="77">
        <v>0</v>
      </c>
      <c r="S3783" s="77">
        <v>1</v>
      </c>
      <c r="T3783" s="77">
        <v>1</v>
      </c>
      <c r="U3783" s="77">
        <v>0</v>
      </c>
      <c r="V3783" s="77">
        <v>464</v>
      </c>
      <c r="W3783" s="80" t="s">
        <v>8246</v>
      </c>
      <c r="X3783" s="77"/>
      <c r="Y3783" s="77"/>
      <c r="Z3783" s="77" t="s">
        <v>9027</v>
      </c>
      <c r="AA3783" s="77" t="s">
        <v>10294</v>
      </c>
      <c r="AB3783" s="77" t="s">
        <v>10535</v>
      </c>
      <c r="AC3783" s="80" t="s">
        <v>10541</v>
      </c>
      <c r="AD3783" s="77" t="s">
        <v>10620</v>
      </c>
      <c r="AE3783" s="83" t="str">
        <f>HYPERLINK("https://twitter.com/uniruniversidad/status/1674009877134430208")</f>
        <v>https://twitter.com/uniruniversidad/status/1674009877134430208</v>
      </c>
      <c r="AF3783" s="79">
        <v>45105.458680555559</v>
      </c>
      <c r="AG3783" s="85">
        <v>45105</v>
      </c>
      <c r="AH3783" s="80" t="s">
        <v>13901</v>
      </c>
      <c r="AI3783" s="77" t="b">
        <v>0</v>
      </c>
      <c r="AJ3783" s="77"/>
      <c r="AK3783" s="77"/>
      <c r="AL3783" s="77"/>
      <c r="AM3783" s="77"/>
      <c r="AN3783" s="77"/>
      <c r="AO3783" s="77"/>
      <c r="AP3783" s="77"/>
      <c r="AQ3783" s="77" t="s">
        <v>15774</v>
      </c>
      <c r="AR3783" s="77"/>
      <c r="AS3783" s="77"/>
      <c r="AT3783" s="77"/>
      <c r="AU3783" s="77"/>
      <c r="AV3783" s="83" t="str">
        <f>HYPERLINK("https://pbs.twimg.com/media/FztF-cCWIAEVdPK.jpg")</f>
        <v>https://pbs.twimg.com/media/FztF-cCWIAEVdPK.jpg</v>
      </c>
      <c r="AW3783" s="80" t="s">
        <v>19465</v>
      </c>
      <c r="AX3783" s="80" t="s">
        <v>20184</v>
      </c>
      <c r="AY3783" s="80" t="s">
        <v>20365</v>
      </c>
      <c r="AZ3783" s="80" t="s">
        <v>20470</v>
      </c>
      <c r="BA3783" s="80" t="s">
        <v>20380</v>
      </c>
      <c r="BB3783" s="80" t="s">
        <v>20380</v>
      </c>
      <c r="BC3783" s="80" t="s">
        <v>20470</v>
      </c>
      <c r="BD3783" s="77">
        <v>115416310</v>
      </c>
      <c r="BE3783" s="77"/>
      <c r="BF3783" s="77"/>
      <c r="BG3783" s="77"/>
      <c r="BH3783" s="77"/>
      <c r="BI3783" s="77"/>
    </row>
    <row r="3784" spans="1:61" x14ac:dyDescent="0.25">
      <c r="A3784" s="62" t="s">
        <v>1517</v>
      </c>
      <c r="B3784" s="62" t="s">
        <v>1517</v>
      </c>
      <c r="C3784" s="63"/>
      <c r="D3784" s="64"/>
      <c r="E3784" s="65"/>
      <c r="F3784" s="66"/>
      <c r="G3784" s="63"/>
      <c r="H3784" s="67"/>
      <c r="I3784" s="68"/>
      <c r="J3784" s="68"/>
      <c r="K3784" s="32"/>
      <c r="L3784" s="75">
        <v>3784</v>
      </c>
      <c r="M3784" s="75"/>
      <c r="N3784" s="70"/>
      <c r="O3784" s="77" t="s">
        <v>2078</v>
      </c>
      <c r="P3784" s="79">
        <v>45105.458680555559</v>
      </c>
      <c r="Q3784" s="77" t="s">
        <v>5407</v>
      </c>
      <c r="R3784" s="77">
        <v>0</v>
      </c>
      <c r="S3784" s="77">
        <v>1</v>
      </c>
      <c r="T3784" s="77">
        <v>1</v>
      </c>
      <c r="U3784" s="77">
        <v>0</v>
      </c>
      <c r="V3784" s="77">
        <v>464</v>
      </c>
      <c r="W3784" s="80" t="s">
        <v>8246</v>
      </c>
      <c r="X3784" s="77"/>
      <c r="Y3784" s="77"/>
      <c r="Z3784" s="77" t="s">
        <v>9027</v>
      </c>
      <c r="AA3784" s="77" t="s">
        <v>10294</v>
      </c>
      <c r="AB3784" s="77" t="s">
        <v>10535</v>
      </c>
      <c r="AC3784" s="80" t="s">
        <v>10541</v>
      </c>
      <c r="AD3784" s="77" t="s">
        <v>10620</v>
      </c>
      <c r="AE3784" s="83" t="str">
        <f>HYPERLINK("https://twitter.com/uniruniversidad/status/1674009877134430208")</f>
        <v>https://twitter.com/uniruniversidad/status/1674009877134430208</v>
      </c>
      <c r="AF3784" s="79">
        <v>45105.458680555559</v>
      </c>
      <c r="AG3784" s="85">
        <v>45105</v>
      </c>
      <c r="AH3784" s="80" t="s">
        <v>13901</v>
      </c>
      <c r="AI3784" s="77" t="b">
        <v>0</v>
      </c>
      <c r="AJ3784" s="77"/>
      <c r="AK3784" s="77"/>
      <c r="AL3784" s="77"/>
      <c r="AM3784" s="77"/>
      <c r="AN3784" s="77"/>
      <c r="AO3784" s="77"/>
      <c r="AP3784" s="77"/>
      <c r="AQ3784" s="77" t="s">
        <v>15774</v>
      </c>
      <c r="AR3784" s="77"/>
      <c r="AS3784" s="77"/>
      <c r="AT3784" s="77"/>
      <c r="AU3784" s="77"/>
      <c r="AV3784" s="83" t="str">
        <f>HYPERLINK("https://pbs.twimg.com/media/FztF-cCWIAEVdPK.jpg")</f>
        <v>https://pbs.twimg.com/media/FztF-cCWIAEVdPK.jpg</v>
      </c>
      <c r="AW3784" s="80" t="s">
        <v>19465</v>
      </c>
      <c r="AX3784" s="80" t="s">
        <v>20184</v>
      </c>
      <c r="AY3784" s="80" t="s">
        <v>20365</v>
      </c>
      <c r="AZ3784" s="80" t="s">
        <v>20470</v>
      </c>
      <c r="BA3784" s="80" t="s">
        <v>20380</v>
      </c>
      <c r="BB3784" s="80" t="s">
        <v>20380</v>
      </c>
      <c r="BC3784" s="80" t="s">
        <v>20470</v>
      </c>
      <c r="BD3784" s="77">
        <v>115416310</v>
      </c>
      <c r="BE3784" s="77"/>
      <c r="BF3784" s="77"/>
      <c r="BG3784" s="77"/>
      <c r="BH3784" s="77"/>
      <c r="BI3784" s="77"/>
    </row>
    <row r="3785" spans="1:61" x14ac:dyDescent="0.25">
      <c r="A3785" s="62" t="s">
        <v>1518</v>
      </c>
      <c r="B3785" s="62" t="s">
        <v>1518</v>
      </c>
      <c r="C3785" s="63"/>
      <c r="D3785" s="64"/>
      <c r="E3785" s="65"/>
      <c r="F3785" s="66"/>
      <c r="G3785" s="63"/>
      <c r="H3785" s="67"/>
      <c r="I3785" s="68"/>
      <c r="J3785" s="68"/>
      <c r="K3785" s="32"/>
      <c r="L3785" s="75">
        <v>3785</v>
      </c>
      <c r="M3785" s="75"/>
      <c r="N3785" s="70"/>
      <c r="O3785" s="77" t="s">
        <v>179</v>
      </c>
      <c r="P3785" s="79">
        <v>45104.569722222222</v>
      </c>
      <c r="Q3785" s="77" t="s">
        <v>5408</v>
      </c>
      <c r="R3785" s="77">
        <v>1</v>
      </c>
      <c r="S3785" s="77">
        <v>4</v>
      </c>
      <c r="T3785" s="77">
        <v>0</v>
      </c>
      <c r="U3785" s="77">
        <v>0</v>
      </c>
      <c r="V3785" s="77">
        <v>47</v>
      </c>
      <c r="W3785" s="80" t="s">
        <v>8247</v>
      </c>
      <c r="X3785" s="83" t="str">
        <f>HYPERLINK("https://bit.ly/3NOlcIi")</f>
        <v>https://bit.ly/3NOlcIi</v>
      </c>
      <c r="Y3785" s="77" t="s">
        <v>8618</v>
      </c>
      <c r="Z3785" s="77"/>
      <c r="AA3785" s="77" t="s">
        <v>10295</v>
      </c>
      <c r="AB3785" s="77" t="s">
        <v>10535</v>
      </c>
      <c r="AC3785" s="80" t="s">
        <v>10541</v>
      </c>
      <c r="AD3785" s="77" t="s">
        <v>10617</v>
      </c>
      <c r="AE3785" s="83" t="str">
        <f>HYPERLINK("https://twitter.com/seesp_eng/status/1673687726221148161")</f>
        <v>https://twitter.com/seesp_eng/status/1673687726221148161</v>
      </c>
      <c r="AF3785" s="79">
        <v>45104.569722222222</v>
      </c>
      <c r="AG3785" s="85">
        <v>45104</v>
      </c>
      <c r="AH3785" s="80" t="s">
        <v>13902</v>
      </c>
      <c r="AI3785" s="77" t="b">
        <v>0</v>
      </c>
      <c r="AJ3785" s="77"/>
      <c r="AK3785" s="77"/>
      <c r="AL3785" s="77"/>
      <c r="AM3785" s="77"/>
      <c r="AN3785" s="77"/>
      <c r="AO3785" s="77"/>
      <c r="AP3785" s="77"/>
      <c r="AQ3785" s="77" t="s">
        <v>15775</v>
      </c>
      <c r="AR3785" s="77"/>
      <c r="AS3785" s="77"/>
      <c r="AT3785" s="77"/>
      <c r="AU3785" s="77"/>
      <c r="AV3785" s="83" t="str">
        <f>HYPERLINK("https://pbs.twimg.com/media/Fzoh8fuWAAgpIKi.jpg")</f>
        <v>https://pbs.twimg.com/media/Fzoh8fuWAAgpIKi.jpg</v>
      </c>
      <c r="AW3785" s="80" t="s">
        <v>19466</v>
      </c>
      <c r="AX3785" s="80" t="s">
        <v>19466</v>
      </c>
      <c r="AY3785" s="77"/>
      <c r="AZ3785" s="80" t="s">
        <v>20380</v>
      </c>
      <c r="BA3785" s="80" t="s">
        <v>20380</v>
      </c>
      <c r="BB3785" s="80" t="s">
        <v>20380</v>
      </c>
      <c r="BC3785" s="80" t="s">
        <v>19466</v>
      </c>
      <c r="BD3785" s="77">
        <v>525729482</v>
      </c>
      <c r="BE3785" s="77"/>
      <c r="BF3785" s="77"/>
      <c r="BG3785" s="77"/>
      <c r="BH3785" s="77"/>
      <c r="BI3785" s="77"/>
    </row>
    <row r="3786" spans="1:61" x14ac:dyDescent="0.25">
      <c r="A3786" s="62" t="s">
        <v>1519</v>
      </c>
      <c r="B3786" s="62" t="s">
        <v>1519</v>
      </c>
      <c r="C3786" s="63"/>
      <c r="D3786" s="64"/>
      <c r="E3786" s="65"/>
      <c r="F3786" s="66"/>
      <c r="G3786" s="63"/>
      <c r="H3786" s="67"/>
      <c r="I3786" s="68"/>
      <c r="J3786" s="68"/>
      <c r="K3786" s="32"/>
      <c r="L3786" s="75">
        <v>3786</v>
      </c>
      <c r="M3786" s="75"/>
      <c r="N3786" s="70"/>
      <c r="O3786" s="77" t="s">
        <v>179</v>
      </c>
      <c r="P3786" s="79">
        <v>45139.687974537039</v>
      </c>
      <c r="Q3786" s="77" t="s">
        <v>5409</v>
      </c>
      <c r="R3786" s="77">
        <v>0</v>
      </c>
      <c r="S3786" s="77">
        <v>0</v>
      </c>
      <c r="T3786" s="77">
        <v>0</v>
      </c>
      <c r="U3786" s="77">
        <v>0</v>
      </c>
      <c r="V3786" s="77">
        <v>59</v>
      </c>
      <c r="W3786" s="80" t="s">
        <v>8248</v>
      </c>
      <c r="X3786" s="77"/>
      <c r="Y3786" s="77"/>
      <c r="Z3786" s="77"/>
      <c r="AA3786" s="77"/>
      <c r="AB3786" s="77"/>
      <c r="AC3786" s="80" t="s">
        <v>10540</v>
      </c>
      <c r="AD3786" s="77" t="s">
        <v>10620</v>
      </c>
      <c r="AE3786" s="83" t="str">
        <f>HYPERLINK("https://twitter.com/ejquintana010/status/1686414154905669646")</f>
        <v>https://twitter.com/ejquintana010/status/1686414154905669646</v>
      </c>
      <c r="AF3786" s="79">
        <v>45139.687974537039</v>
      </c>
      <c r="AG3786" s="85">
        <v>45139</v>
      </c>
      <c r="AH3786" s="80" t="s">
        <v>13903</v>
      </c>
      <c r="AI3786" s="77"/>
      <c r="AJ3786" s="77"/>
      <c r="AK3786" s="77"/>
      <c r="AL3786" s="77"/>
      <c r="AM3786" s="77"/>
      <c r="AN3786" s="77"/>
      <c r="AO3786" s="77"/>
      <c r="AP3786" s="77"/>
      <c r="AQ3786" s="77"/>
      <c r="AR3786" s="77"/>
      <c r="AS3786" s="77"/>
      <c r="AT3786" s="77"/>
      <c r="AU3786" s="77"/>
      <c r="AV3786" s="83" t="str">
        <f>HYPERLINK("https://pbs.twimg.com/profile_images/930973395642126337/Fq-uhxA-_normal.jpg")</f>
        <v>https://pbs.twimg.com/profile_images/930973395642126337/Fq-uhxA-_normal.jpg</v>
      </c>
      <c r="AW3786" s="80" t="s">
        <v>19467</v>
      </c>
      <c r="AX3786" s="80" t="s">
        <v>19467</v>
      </c>
      <c r="AY3786" s="77"/>
      <c r="AZ3786" s="80" t="s">
        <v>20380</v>
      </c>
      <c r="BA3786" s="80" t="s">
        <v>20380</v>
      </c>
      <c r="BB3786" s="80" t="s">
        <v>20380</v>
      </c>
      <c r="BC3786" s="80" t="s">
        <v>19467</v>
      </c>
      <c r="BD3786" s="77">
        <v>164812770</v>
      </c>
      <c r="BE3786" s="77"/>
      <c r="BF3786" s="77"/>
      <c r="BG3786" s="77"/>
      <c r="BH3786" s="77"/>
      <c r="BI3786" s="77"/>
    </row>
    <row r="3787" spans="1:61" x14ac:dyDescent="0.25">
      <c r="A3787" s="62" t="s">
        <v>1520</v>
      </c>
      <c r="B3787" s="62" t="s">
        <v>1828</v>
      </c>
      <c r="C3787" s="63"/>
      <c r="D3787" s="64"/>
      <c r="E3787" s="65"/>
      <c r="F3787" s="66"/>
      <c r="G3787" s="63"/>
      <c r="H3787" s="67"/>
      <c r="I3787" s="68"/>
      <c r="J3787" s="68"/>
      <c r="K3787" s="32"/>
      <c r="L3787" s="75">
        <v>3787</v>
      </c>
      <c r="M3787" s="75"/>
      <c r="N3787" s="70"/>
      <c r="O3787" s="77" t="s">
        <v>2081</v>
      </c>
      <c r="P3787" s="79">
        <v>45094.907638888886</v>
      </c>
      <c r="Q3787" s="77" t="s">
        <v>5410</v>
      </c>
      <c r="R3787" s="77">
        <v>0</v>
      </c>
      <c r="S3787" s="77">
        <v>0</v>
      </c>
      <c r="T3787" s="77">
        <v>0</v>
      </c>
      <c r="U3787" s="77">
        <v>0</v>
      </c>
      <c r="V3787" s="77">
        <v>8</v>
      </c>
      <c r="W3787" s="80" t="s">
        <v>8249</v>
      </c>
      <c r="X3787" s="77"/>
      <c r="Y3787" s="77"/>
      <c r="Z3787" s="77" t="s">
        <v>1828</v>
      </c>
      <c r="AA3787" s="77"/>
      <c r="AB3787" s="77"/>
      <c r="AC3787" s="80" t="s">
        <v>10540</v>
      </c>
      <c r="AD3787" s="77" t="s">
        <v>10620</v>
      </c>
      <c r="AE3787" s="83" t="str">
        <f>HYPERLINK("https://twitter.com/bgaleazzi_o/status/1670186307337764864")</f>
        <v>https://twitter.com/bgaleazzi_o/status/1670186307337764864</v>
      </c>
      <c r="AF3787" s="79">
        <v>45094.907638888886</v>
      </c>
      <c r="AG3787" s="85">
        <v>45094</v>
      </c>
      <c r="AH3787" s="80" t="s">
        <v>13904</v>
      </c>
      <c r="AI3787" s="77"/>
      <c r="AJ3787" s="77"/>
      <c r="AK3787" s="77"/>
      <c r="AL3787" s="77"/>
      <c r="AM3787" s="77"/>
      <c r="AN3787" s="77"/>
      <c r="AO3787" s="77"/>
      <c r="AP3787" s="77"/>
      <c r="AQ3787" s="77"/>
      <c r="AR3787" s="77"/>
      <c r="AS3787" s="77"/>
      <c r="AT3787" s="77"/>
      <c r="AU3787" s="77"/>
      <c r="AV3787" s="83" t="str">
        <f>HYPERLINK("https://pbs.twimg.com/profile_images/1155334894001590272/vN3AXhsr_normal.jpg")</f>
        <v>https://pbs.twimg.com/profile_images/1155334894001590272/vN3AXhsr_normal.jpg</v>
      </c>
      <c r="AW3787" s="80" t="s">
        <v>19468</v>
      </c>
      <c r="AX3787" s="80" t="s">
        <v>19468</v>
      </c>
      <c r="AY3787" s="80" t="s">
        <v>20366</v>
      </c>
      <c r="AZ3787" s="80" t="s">
        <v>20380</v>
      </c>
      <c r="BA3787" s="80" t="s">
        <v>20380</v>
      </c>
      <c r="BB3787" s="80" t="s">
        <v>20380</v>
      </c>
      <c r="BC3787" s="80" t="s">
        <v>19468</v>
      </c>
      <c r="BD3787" s="77">
        <v>3195134401</v>
      </c>
      <c r="BE3787" s="77"/>
      <c r="BF3787" s="77"/>
      <c r="BG3787" s="77"/>
      <c r="BH3787" s="77"/>
      <c r="BI3787" s="77"/>
    </row>
    <row r="3788" spans="1:61" x14ac:dyDescent="0.25">
      <c r="A3788" s="62" t="s">
        <v>1521</v>
      </c>
      <c r="B3788" s="62" t="s">
        <v>1521</v>
      </c>
      <c r="C3788" s="63"/>
      <c r="D3788" s="64"/>
      <c r="E3788" s="65"/>
      <c r="F3788" s="66"/>
      <c r="G3788" s="63"/>
      <c r="H3788" s="67"/>
      <c r="I3788" s="68"/>
      <c r="J3788" s="68"/>
      <c r="K3788" s="32"/>
      <c r="L3788" s="75">
        <v>3788</v>
      </c>
      <c r="M3788" s="75"/>
      <c r="N3788" s="70"/>
      <c r="O3788" s="77" t="s">
        <v>179</v>
      </c>
      <c r="P3788" s="79">
        <v>45091.510358796295</v>
      </c>
      <c r="Q3788" s="77" t="s">
        <v>5411</v>
      </c>
      <c r="R3788" s="77">
        <v>0</v>
      </c>
      <c r="S3788" s="77">
        <v>0</v>
      </c>
      <c r="T3788" s="77">
        <v>0</v>
      </c>
      <c r="U3788" s="77">
        <v>0</v>
      </c>
      <c r="V3788" s="77">
        <v>18</v>
      </c>
      <c r="W3788" s="80" t="s">
        <v>8250</v>
      </c>
      <c r="X3788" s="77"/>
      <c r="Y3788" s="77"/>
      <c r="Z3788" s="77"/>
      <c r="AA3788" s="77" t="s">
        <v>10296</v>
      </c>
      <c r="AB3788" s="77" t="s">
        <v>10535</v>
      </c>
      <c r="AC3788" s="80" t="s">
        <v>10542</v>
      </c>
      <c r="AD3788" s="77" t="s">
        <v>10620</v>
      </c>
      <c r="AE3788" s="83" t="str">
        <f>HYPERLINK("https://twitter.com/cronicasdeldia/status/1668955174382051328")</f>
        <v>https://twitter.com/cronicasdeldia/status/1668955174382051328</v>
      </c>
      <c r="AF3788" s="79">
        <v>45091.510358796295</v>
      </c>
      <c r="AG3788" s="85">
        <v>45091</v>
      </c>
      <c r="AH3788" s="80" t="s">
        <v>13905</v>
      </c>
      <c r="AI3788" s="77" t="b">
        <v>0</v>
      </c>
      <c r="AJ3788" s="77"/>
      <c r="AK3788" s="77"/>
      <c r="AL3788" s="77"/>
      <c r="AM3788" s="77"/>
      <c r="AN3788" s="77"/>
      <c r="AO3788" s="77"/>
      <c r="AP3788" s="77"/>
      <c r="AQ3788" s="77" t="s">
        <v>15776</v>
      </c>
      <c r="AR3788" s="77"/>
      <c r="AS3788" s="77"/>
      <c r="AT3788" s="77"/>
      <c r="AU3788" s="77"/>
      <c r="AV3788" s="83" t="str">
        <f>HYPERLINK("https://pbs.twimg.com/media/FylR4k5WAAMeh7r.jpg")</f>
        <v>https://pbs.twimg.com/media/FylR4k5WAAMeh7r.jpg</v>
      </c>
      <c r="AW3788" s="80" t="s">
        <v>19469</v>
      </c>
      <c r="AX3788" s="80" t="s">
        <v>19469</v>
      </c>
      <c r="AY3788" s="77"/>
      <c r="AZ3788" s="80" t="s">
        <v>20380</v>
      </c>
      <c r="BA3788" s="80" t="s">
        <v>20380</v>
      </c>
      <c r="BB3788" s="80" t="s">
        <v>20380</v>
      </c>
      <c r="BC3788" s="80" t="s">
        <v>19469</v>
      </c>
      <c r="BD3788" s="80" t="s">
        <v>21129</v>
      </c>
      <c r="BE3788" s="77"/>
      <c r="BF3788" s="77"/>
      <c r="BG3788" s="77"/>
      <c r="BH3788" s="77"/>
      <c r="BI3788" s="77"/>
    </row>
    <row r="3789" spans="1:61" x14ac:dyDescent="0.25">
      <c r="A3789" s="62" t="s">
        <v>1522</v>
      </c>
      <c r="B3789" s="62" t="s">
        <v>2058</v>
      </c>
      <c r="C3789" s="63"/>
      <c r="D3789" s="64"/>
      <c r="E3789" s="65"/>
      <c r="F3789" s="66"/>
      <c r="G3789" s="63"/>
      <c r="H3789" s="67"/>
      <c r="I3789" s="68"/>
      <c r="J3789" s="68"/>
      <c r="K3789" s="32"/>
      <c r="L3789" s="75">
        <v>3789</v>
      </c>
      <c r="M3789" s="75"/>
      <c r="N3789" s="70"/>
      <c r="O3789" s="77" t="s">
        <v>2081</v>
      </c>
      <c r="P3789" s="79">
        <v>45051.920243055552</v>
      </c>
      <c r="Q3789" s="77" t="s">
        <v>5412</v>
      </c>
      <c r="R3789" s="77">
        <v>11</v>
      </c>
      <c r="S3789" s="77">
        <v>38</v>
      </c>
      <c r="T3789" s="77">
        <v>0</v>
      </c>
      <c r="U3789" s="77">
        <v>1</v>
      </c>
      <c r="V3789" s="77">
        <v>5745</v>
      </c>
      <c r="W3789" s="80" t="s">
        <v>8251</v>
      </c>
      <c r="X3789" s="83" t="str">
        <f>HYPERLINK("https://jornalistaslivres.org/ha-conciliacao-com-a-faria-lima/")</f>
        <v>https://jornalistaslivres.org/ha-conciliacao-com-a-faria-lima/</v>
      </c>
      <c r="Y3789" s="77" t="s">
        <v>8867</v>
      </c>
      <c r="Z3789" s="77" t="s">
        <v>2058</v>
      </c>
      <c r="AA3789" s="77" t="s">
        <v>10297</v>
      </c>
      <c r="AB3789" s="77" t="s">
        <v>10535</v>
      </c>
      <c r="AC3789" s="80" t="s">
        <v>10550</v>
      </c>
      <c r="AD3789" s="77" t="s">
        <v>10617</v>
      </c>
      <c r="AE3789" s="83" t="str">
        <f>HYPERLINK("https://twitter.com/j_livres/status/1654608195770372096")</f>
        <v>https://twitter.com/j_livres/status/1654608195770372096</v>
      </c>
      <c r="AF3789" s="79">
        <v>45051.920243055552</v>
      </c>
      <c r="AG3789" s="85">
        <v>45051</v>
      </c>
      <c r="AH3789" s="80" t="s">
        <v>13906</v>
      </c>
      <c r="AI3789" s="77" t="b">
        <v>1</v>
      </c>
      <c r="AJ3789" s="77"/>
      <c r="AK3789" s="77"/>
      <c r="AL3789" s="77"/>
      <c r="AM3789" s="77"/>
      <c r="AN3789" s="77"/>
      <c r="AO3789" s="77"/>
      <c r="AP3789" s="77"/>
      <c r="AQ3789" s="77" t="s">
        <v>15777</v>
      </c>
      <c r="AR3789" s="77"/>
      <c r="AS3789" s="77"/>
      <c r="AT3789" s="77"/>
      <c r="AU3789" s="77"/>
      <c r="AV3789" s="83" t="str">
        <f>HYPERLINK("https://pbs.twimg.com/media/FvZZYthWwAEbH_T.jpg")</f>
        <v>https://pbs.twimg.com/media/FvZZYthWwAEbH_T.jpg</v>
      </c>
      <c r="AW3789" s="80" t="s">
        <v>19470</v>
      </c>
      <c r="AX3789" s="80" t="s">
        <v>19470</v>
      </c>
      <c r="AY3789" s="77"/>
      <c r="AZ3789" s="80" t="s">
        <v>20380</v>
      </c>
      <c r="BA3789" s="80" t="s">
        <v>20380</v>
      </c>
      <c r="BB3789" s="80" t="s">
        <v>20380</v>
      </c>
      <c r="BC3789" s="80" t="s">
        <v>19470</v>
      </c>
      <c r="BD3789" s="77">
        <v>3090382647</v>
      </c>
      <c r="BE3789" s="77"/>
      <c r="BF3789" s="77"/>
      <c r="BG3789" s="77"/>
      <c r="BH3789" s="77"/>
      <c r="BI3789" s="77"/>
    </row>
    <row r="3790" spans="1:61" x14ac:dyDescent="0.25">
      <c r="A3790" s="62" t="s">
        <v>1522</v>
      </c>
      <c r="B3790" s="62" t="s">
        <v>2058</v>
      </c>
      <c r="C3790" s="63"/>
      <c r="D3790" s="64"/>
      <c r="E3790" s="65"/>
      <c r="F3790" s="66"/>
      <c r="G3790" s="63"/>
      <c r="H3790" s="67"/>
      <c r="I3790" s="68"/>
      <c r="J3790" s="68"/>
      <c r="K3790" s="32"/>
      <c r="L3790" s="75">
        <v>3790</v>
      </c>
      <c r="M3790" s="75"/>
      <c r="N3790" s="70"/>
      <c r="O3790" s="77" t="s">
        <v>2081</v>
      </c>
      <c r="P3790" s="79">
        <v>45107.625532407408</v>
      </c>
      <c r="Q3790" s="77" t="s">
        <v>5413</v>
      </c>
      <c r="R3790" s="77">
        <v>3</v>
      </c>
      <c r="S3790" s="77">
        <v>9</v>
      </c>
      <c r="T3790" s="77">
        <v>0</v>
      </c>
      <c r="U3790" s="77">
        <v>0</v>
      </c>
      <c r="V3790" s="77">
        <v>2526</v>
      </c>
      <c r="W3790" s="80" t="s">
        <v>8252</v>
      </c>
      <c r="X3790" s="83" t="str">
        <f>HYPERLINK("https://jornalistaslivres.org/dogmas-monetarios-renitentes/")</f>
        <v>https://jornalistaslivres.org/dogmas-monetarios-renitentes/</v>
      </c>
      <c r="Y3790" s="77" t="s">
        <v>8867</v>
      </c>
      <c r="Z3790" s="77" t="s">
        <v>2058</v>
      </c>
      <c r="AA3790" s="77" t="s">
        <v>10298</v>
      </c>
      <c r="AB3790" s="77" t="s">
        <v>10535</v>
      </c>
      <c r="AC3790" s="80" t="s">
        <v>10550</v>
      </c>
      <c r="AD3790" s="77" t="s">
        <v>10617</v>
      </c>
      <c r="AE3790" s="83" t="str">
        <f>HYPERLINK("https://twitter.com/j_livres/status/1674795117088235524")</f>
        <v>https://twitter.com/j_livres/status/1674795117088235524</v>
      </c>
      <c r="AF3790" s="79">
        <v>45107.625532407408</v>
      </c>
      <c r="AG3790" s="85">
        <v>45107</v>
      </c>
      <c r="AH3790" s="80" t="s">
        <v>13907</v>
      </c>
      <c r="AI3790" s="77" t="b">
        <v>1</v>
      </c>
      <c r="AJ3790" s="77"/>
      <c r="AK3790" s="77"/>
      <c r="AL3790" s="77"/>
      <c r="AM3790" s="77"/>
      <c r="AN3790" s="77"/>
      <c r="AO3790" s="77"/>
      <c r="AP3790" s="77"/>
      <c r="AQ3790" s="77" t="s">
        <v>15778</v>
      </c>
      <c r="AR3790" s="77"/>
      <c r="AS3790" s="77"/>
      <c r="AT3790" s="77"/>
      <c r="AU3790" s="77"/>
      <c r="AV3790" s="83" t="str">
        <f>HYPERLINK("https://pbs.twimg.com/media/Fz4RSIgaUAARCe6.jpg")</f>
        <v>https://pbs.twimg.com/media/Fz4RSIgaUAARCe6.jpg</v>
      </c>
      <c r="AW3790" s="80" t="s">
        <v>19471</v>
      </c>
      <c r="AX3790" s="80" t="s">
        <v>19471</v>
      </c>
      <c r="AY3790" s="77"/>
      <c r="AZ3790" s="80" t="s">
        <v>20380</v>
      </c>
      <c r="BA3790" s="80" t="s">
        <v>20380</v>
      </c>
      <c r="BB3790" s="80" t="s">
        <v>20380</v>
      </c>
      <c r="BC3790" s="80" t="s">
        <v>19471</v>
      </c>
      <c r="BD3790" s="77">
        <v>3090382647</v>
      </c>
      <c r="BE3790" s="77"/>
      <c r="BF3790" s="77"/>
      <c r="BG3790" s="77"/>
      <c r="BH3790" s="77"/>
      <c r="BI3790" s="77"/>
    </row>
    <row r="3791" spans="1:61" x14ac:dyDescent="0.25">
      <c r="A3791" s="62" t="s">
        <v>1523</v>
      </c>
      <c r="B3791" s="62" t="s">
        <v>1523</v>
      </c>
      <c r="C3791" s="63"/>
      <c r="D3791" s="64"/>
      <c r="E3791" s="65"/>
      <c r="F3791" s="66"/>
      <c r="G3791" s="63"/>
      <c r="H3791" s="67"/>
      <c r="I3791" s="68"/>
      <c r="J3791" s="68"/>
      <c r="K3791" s="32"/>
      <c r="L3791" s="75">
        <v>3791</v>
      </c>
      <c r="M3791" s="75"/>
      <c r="N3791" s="70"/>
      <c r="O3791" s="77" t="s">
        <v>179</v>
      </c>
      <c r="P3791" s="79">
        <v>45181.863113425927</v>
      </c>
      <c r="Q3791" s="77" t="s">
        <v>5414</v>
      </c>
      <c r="R3791" s="77">
        <v>0</v>
      </c>
      <c r="S3791" s="77">
        <v>0</v>
      </c>
      <c r="T3791" s="77">
        <v>0</v>
      </c>
      <c r="U3791" s="77">
        <v>0</v>
      </c>
      <c r="V3791" s="77">
        <v>7</v>
      </c>
      <c r="W3791" s="80" t="s">
        <v>5884</v>
      </c>
      <c r="X3791" s="83" t="str">
        <f>HYPERLINK("http://informateadiario.com/index.php/republica/11747-banco-central-informa-inflacion-se-situa-en-4-27-por-ciento")</f>
        <v>http://informateadiario.com/index.php/republica/11747-banco-central-informa-inflacion-se-situa-en-4-27-por-ciento</v>
      </c>
      <c r="Y3791" s="77" t="s">
        <v>8868</v>
      </c>
      <c r="Z3791" s="77"/>
      <c r="AA3791" s="77" t="s">
        <v>10299</v>
      </c>
      <c r="AB3791" s="77" t="s">
        <v>10535</v>
      </c>
      <c r="AC3791" s="80" t="s">
        <v>10541</v>
      </c>
      <c r="AD3791" s="77" t="s">
        <v>10620</v>
      </c>
      <c r="AE3791" s="83" t="str">
        <f>HYPERLINK("https://twitter.com/jrmarte135/status/1701697915046031411")</f>
        <v>https://twitter.com/jrmarte135/status/1701697915046031411</v>
      </c>
      <c r="AF3791" s="79">
        <v>45181.863113425927</v>
      </c>
      <c r="AG3791" s="85">
        <v>45181</v>
      </c>
      <c r="AH3791" s="80" t="s">
        <v>13908</v>
      </c>
      <c r="AI3791" s="77" t="b">
        <v>0</v>
      </c>
      <c r="AJ3791" s="77"/>
      <c r="AK3791" s="77"/>
      <c r="AL3791" s="77"/>
      <c r="AM3791" s="77"/>
      <c r="AN3791" s="77"/>
      <c r="AO3791" s="77"/>
      <c r="AP3791" s="77"/>
      <c r="AQ3791" s="77" t="s">
        <v>15779</v>
      </c>
      <c r="AR3791" s="77"/>
      <c r="AS3791" s="77"/>
      <c r="AT3791" s="77"/>
      <c r="AU3791" s="77"/>
      <c r="AV3791" s="83" t="str">
        <f>HYPERLINK("https://pbs.twimg.com/media/F52lOwNWYAEubI7.png")</f>
        <v>https://pbs.twimg.com/media/F52lOwNWYAEubI7.png</v>
      </c>
      <c r="AW3791" s="80" t="s">
        <v>19472</v>
      </c>
      <c r="AX3791" s="80" t="s">
        <v>19472</v>
      </c>
      <c r="AY3791" s="77"/>
      <c r="AZ3791" s="80" t="s">
        <v>20380</v>
      </c>
      <c r="BA3791" s="80" t="s">
        <v>20380</v>
      </c>
      <c r="BB3791" s="80" t="s">
        <v>20380</v>
      </c>
      <c r="BC3791" s="80" t="s">
        <v>19472</v>
      </c>
      <c r="BD3791" s="77">
        <v>1161341323</v>
      </c>
      <c r="BE3791" s="77"/>
      <c r="BF3791" s="77"/>
      <c r="BG3791" s="77"/>
      <c r="BH3791" s="77"/>
      <c r="BI3791" s="77"/>
    </row>
    <row r="3792" spans="1:61" x14ac:dyDescent="0.25">
      <c r="A3792" s="62" t="s">
        <v>1523</v>
      </c>
      <c r="B3792" s="62" t="s">
        <v>1523</v>
      </c>
      <c r="C3792" s="63"/>
      <c r="D3792" s="64"/>
      <c r="E3792" s="65"/>
      <c r="F3792" s="66"/>
      <c r="G3792" s="63"/>
      <c r="H3792" s="67"/>
      <c r="I3792" s="68"/>
      <c r="J3792" s="68"/>
      <c r="K3792" s="32"/>
      <c r="L3792" s="75">
        <v>3792</v>
      </c>
      <c r="M3792" s="75"/>
      <c r="N3792" s="70"/>
      <c r="O3792" s="77" t="s">
        <v>179</v>
      </c>
      <c r="P3792" s="79">
        <v>45077.893275462964</v>
      </c>
      <c r="Q3792" s="77" t="s">
        <v>5415</v>
      </c>
      <c r="R3792" s="77">
        <v>0</v>
      </c>
      <c r="S3792" s="77">
        <v>0</v>
      </c>
      <c r="T3792" s="77">
        <v>0</v>
      </c>
      <c r="U3792" s="77">
        <v>0</v>
      </c>
      <c r="V3792" s="77">
        <v>39</v>
      </c>
      <c r="W3792" s="80" t="s">
        <v>5884</v>
      </c>
      <c r="X3792" s="77"/>
      <c r="Y3792" s="77"/>
      <c r="Z3792" s="77"/>
      <c r="AA3792" s="77" t="s">
        <v>10300</v>
      </c>
      <c r="AB3792" s="77" t="s">
        <v>10535</v>
      </c>
      <c r="AC3792" s="80" t="s">
        <v>10541</v>
      </c>
      <c r="AD3792" s="77" t="s">
        <v>10620</v>
      </c>
      <c r="AE3792" s="83" t="str">
        <f>HYPERLINK("https://twitter.com/jrmarte135/status/1664020506339573761")</f>
        <v>https://twitter.com/jrmarte135/status/1664020506339573761</v>
      </c>
      <c r="AF3792" s="79">
        <v>45077.893275462964</v>
      </c>
      <c r="AG3792" s="85">
        <v>45077</v>
      </c>
      <c r="AH3792" s="80" t="s">
        <v>13909</v>
      </c>
      <c r="AI3792" s="77" t="b">
        <v>0</v>
      </c>
      <c r="AJ3792" s="77"/>
      <c r="AK3792" s="77"/>
      <c r="AL3792" s="77"/>
      <c r="AM3792" s="77"/>
      <c r="AN3792" s="77"/>
      <c r="AO3792" s="77"/>
      <c r="AP3792" s="77"/>
      <c r="AQ3792" s="77" t="s">
        <v>15780</v>
      </c>
      <c r="AR3792" s="77"/>
      <c r="AS3792" s="77"/>
      <c r="AT3792" s="77"/>
      <c r="AU3792" s="77"/>
      <c r="AV3792" s="83" t="str">
        <f>HYPERLINK("https://pbs.twimg.com/media/FxfJzq7XsAIIF6V.png")</f>
        <v>https://pbs.twimg.com/media/FxfJzq7XsAIIF6V.png</v>
      </c>
      <c r="AW3792" s="80" t="s">
        <v>19473</v>
      </c>
      <c r="AX3792" s="80" t="s">
        <v>19473</v>
      </c>
      <c r="AY3792" s="77"/>
      <c r="AZ3792" s="80" t="s">
        <v>20380</v>
      </c>
      <c r="BA3792" s="80" t="s">
        <v>20380</v>
      </c>
      <c r="BB3792" s="80" t="s">
        <v>20380</v>
      </c>
      <c r="BC3792" s="80" t="s">
        <v>19473</v>
      </c>
      <c r="BD3792" s="77">
        <v>1161341323</v>
      </c>
      <c r="BE3792" s="77"/>
      <c r="BF3792" s="77"/>
      <c r="BG3792" s="77"/>
      <c r="BH3792" s="77"/>
      <c r="BI3792" s="77"/>
    </row>
    <row r="3793" spans="1:61" x14ac:dyDescent="0.25">
      <c r="A3793" s="62" t="s">
        <v>1524</v>
      </c>
      <c r="B3793" s="62" t="s">
        <v>1524</v>
      </c>
      <c r="C3793" s="63"/>
      <c r="D3793" s="64"/>
      <c r="E3793" s="65"/>
      <c r="F3793" s="66"/>
      <c r="G3793" s="63"/>
      <c r="H3793" s="67"/>
      <c r="I3793" s="68"/>
      <c r="J3793" s="68"/>
      <c r="K3793" s="32"/>
      <c r="L3793" s="75">
        <v>3793</v>
      </c>
      <c r="M3793" s="75"/>
      <c r="N3793" s="70"/>
      <c r="O3793" s="77" t="s">
        <v>179</v>
      </c>
      <c r="P3793" s="79">
        <v>45174.927222222221</v>
      </c>
      <c r="Q3793" s="77" t="s">
        <v>5416</v>
      </c>
      <c r="R3793" s="77">
        <v>0</v>
      </c>
      <c r="S3793" s="77">
        <v>1</v>
      </c>
      <c r="T3793" s="77">
        <v>0</v>
      </c>
      <c r="U3793" s="77">
        <v>0</v>
      </c>
      <c r="V3793" s="77">
        <v>38</v>
      </c>
      <c r="W3793" s="80" t="s">
        <v>8253</v>
      </c>
      <c r="X3793" s="83" t="str">
        <f>HYPERLINK("https://acortar.link/u5Q93j")</f>
        <v>https://acortar.link/u5Q93j</v>
      </c>
      <c r="Y3793" s="77" t="s">
        <v>8649</v>
      </c>
      <c r="Z3793" s="77"/>
      <c r="AA3793" s="77" t="s">
        <v>10301</v>
      </c>
      <c r="AB3793" s="77" t="s">
        <v>10535</v>
      </c>
      <c r="AC3793" s="80" t="s">
        <v>10540</v>
      </c>
      <c r="AD3793" s="77" t="s">
        <v>10620</v>
      </c>
      <c r="AE3793" s="83" t="str">
        <f>HYPERLINK("https://twitter.com/datapatagoniaok/status/1699184430709973462")</f>
        <v>https://twitter.com/datapatagoniaok/status/1699184430709973462</v>
      </c>
      <c r="AF3793" s="79">
        <v>45174.927222222221</v>
      </c>
      <c r="AG3793" s="85">
        <v>45174</v>
      </c>
      <c r="AH3793" s="80" t="s">
        <v>13910</v>
      </c>
      <c r="AI3793" s="77" t="b">
        <v>0</v>
      </c>
      <c r="AJ3793" s="77"/>
      <c r="AK3793" s="77"/>
      <c r="AL3793" s="77"/>
      <c r="AM3793" s="77"/>
      <c r="AN3793" s="77"/>
      <c r="AO3793" s="77"/>
      <c r="AP3793" s="77"/>
      <c r="AQ3793" s="77" t="s">
        <v>15781</v>
      </c>
      <c r="AR3793" s="77"/>
      <c r="AS3793" s="77"/>
      <c r="AT3793" s="77"/>
      <c r="AU3793" s="77"/>
      <c r="AV3793" s="83" t="str">
        <f>HYPERLINK("https://pbs.twimg.com/media/F5S3PEDXQAEjxTA.jpg")</f>
        <v>https://pbs.twimg.com/media/F5S3PEDXQAEjxTA.jpg</v>
      </c>
      <c r="AW3793" s="80" t="s">
        <v>19474</v>
      </c>
      <c r="AX3793" s="80" t="s">
        <v>19474</v>
      </c>
      <c r="AY3793" s="77"/>
      <c r="AZ3793" s="80" t="s">
        <v>20380</v>
      </c>
      <c r="BA3793" s="80" t="s">
        <v>20380</v>
      </c>
      <c r="BB3793" s="80" t="s">
        <v>20380</v>
      </c>
      <c r="BC3793" s="80" t="s">
        <v>19474</v>
      </c>
      <c r="BD3793" s="80" t="s">
        <v>21130</v>
      </c>
      <c r="BE3793" s="77"/>
      <c r="BF3793" s="77"/>
      <c r="BG3793" s="77"/>
      <c r="BH3793" s="77"/>
      <c r="BI3793" s="77"/>
    </row>
    <row r="3794" spans="1:61" x14ac:dyDescent="0.25">
      <c r="A3794" s="62" t="s">
        <v>1525</v>
      </c>
      <c r="B3794" s="62" t="s">
        <v>1525</v>
      </c>
      <c r="C3794" s="63"/>
      <c r="D3794" s="64"/>
      <c r="E3794" s="65"/>
      <c r="F3794" s="66"/>
      <c r="G3794" s="63"/>
      <c r="H3794" s="67"/>
      <c r="I3794" s="68"/>
      <c r="J3794" s="68"/>
      <c r="K3794" s="32"/>
      <c r="L3794" s="75">
        <v>3794</v>
      </c>
      <c r="M3794" s="75"/>
      <c r="N3794" s="70"/>
      <c r="O3794" s="77" t="s">
        <v>179</v>
      </c>
      <c r="P3794" s="79">
        <v>45052.936006944445</v>
      </c>
      <c r="Q3794" s="77" t="s">
        <v>5417</v>
      </c>
      <c r="R3794" s="77">
        <v>0</v>
      </c>
      <c r="S3794" s="77">
        <v>0</v>
      </c>
      <c r="T3794" s="77">
        <v>0</v>
      </c>
      <c r="U3794" s="77">
        <v>0</v>
      </c>
      <c r="V3794" s="77">
        <v>7</v>
      </c>
      <c r="W3794" s="80" t="s">
        <v>8254</v>
      </c>
      <c r="X3794" s="83" t="str">
        <f>HYPERLINK("https://lnkd.in/dQCW8s-z")</f>
        <v>https://lnkd.in/dQCW8s-z</v>
      </c>
      <c r="Y3794" s="77" t="s">
        <v>8619</v>
      </c>
      <c r="Z3794" s="77"/>
      <c r="AA3794" s="77"/>
      <c r="AB3794" s="77"/>
      <c r="AC3794" s="80" t="s">
        <v>10549</v>
      </c>
      <c r="AD3794" s="77" t="s">
        <v>10617</v>
      </c>
      <c r="AE3794" s="83" t="str">
        <f>HYPERLINK("https://twitter.com/_joseamaral/status/1654976296521179137")</f>
        <v>https://twitter.com/_joseamaral/status/1654976296521179137</v>
      </c>
      <c r="AF3794" s="79">
        <v>45052.936006944445</v>
      </c>
      <c r="AG3794" s="85">
        <v>45052</v>
      </c>
      <c r="AH3794" s="80" t="s">
        <v>13911</v>
      </c>
      <c r="AI3794" s="77" t="b">
        <v>0</v>
      </c>
      <c r="AJ3794" s="77"/>
      <c r="AK3794" s="77"/>
      <c r="AL3794" s="77"/>
      <c r="AM3794" s="77"/>
      <c r="AN3794" s="77"/>
      <c r="AO3794" s="77"/>
      <c r="AP3794" s="77"/>
      <c r="AQ3794" s="77"/>
      <c r="AR3794" s="77"/>
      <c r="AS3794" s="77"/>
      <c r="AT3794" s="77"/>
      <c r="AU3794" s="77"/>
      <c r="AV3794" s="83" t="str">
        <f>HYPERLINK("https://pbs.twimg.com/profile_images/1698703805238390784/jJXHaGT1_normal.jpg")</f>
        <v>https://pbs.twimg.com/profile_images/1698703805238390784/jJXHaGT1_normal.jpg</v>
      </c>
      <c r="AW3794" s="80" t="s">
        <v>19475</v>
      </c>
      <c r="AX3794" s="80" t="s">
        <v>19475</v>
      </c>
      <c r="AY3794" s="77"/>
      <c r="AZ3794" s="80" t="s">
        <v>20380</v>
      </c>
      <c r="BA3794" s="80" t="s">
        <v>20380</v>
      </c>
      <c r="BB3794" s="80" t="s">
        <v>20380</v>
      </c>
      <c r="BC3794" s="80" t="s">
        <v>19475</v>
      </c>
      <c r="BD3794" s="77">
        <v>49599520</v>
      </c>
      <c r="BE3794" s="77"/>
      <c r="BF3794" s="77"/>
      <c r="BG3794" s="77"/>
      <c r="BH3794" s="77"/>
      <c r="BI3794" s="77"/>
    </row>
    <row r="3795" spans="1:61" x14ac:dyDescent="0.25">
      <c r="A3795" s="62" t="s">
        <v>1526</v>
      </c>
      <c r="B3795" s="62" t="s">
        <v>1526</v>
      </c>
      <c r="C3795" s="63"/>
      <c r="D3795" s="64"/>
      <c r="E3795" s="65"/>
      <c r="F3795" s="66"/>
      <c r="G3795" s="63"/>
      <c r="H3795" s="67"/>
      <c r="I3795" s="68"/>
      <c r="J3795" s="68"/>
      <c r="K3795" s="32"/>
      <c r="L3795" s="75">
        <v>3795</v>
      </c>
      <c r="M3795" s="75"/>
      <c r="N3795" s="70"/>
      <c r="O3795" s="77" t="s">
        <v>2081</v>
      </c>
      <c r="P3795" s="79">
        <v>45115.54515046296</v>
      </c>
      <c r="Q3795" s="77" t="s">
        <v>5418</v>
      </c>
      <c r="R3795" s="77">
        <v>0</v>
      </c>
      <c r="S3795" s="77">
        <v>3</v>
      </c>
      <c r="T3795" s="77">
        <v>0</v>
      </c>
      <c r="U3795" s="77">
        <v>0</v>
      </c>
      <c r="V3795" s="77">
        <v>101</v>
      </c>
      <c r="W3795" s="80" t="s">
        <v>8255</v>
      </c>
      <c r="X3795" s="83" t="str">
        <f>HYPERLINK("https://diariodegoias.com.br/brasileiros-ainda-tem-mais-de-r-7-bilhoes-de-dinheiro-esquecido-para-serem-sacados-nos-bancos/318562/")</f>
        <v>https://diariodegoias.com.br/brasileiros-ainda-tem-mais-de-r-7-bilhoes-de-dinheiro-esquecido-para-serem-sacados-nos-bancos/318562/</v>
      </c>
      <c r="Y3795" s="77" t="s">
        <v>8611</v>
      </c>
      <c r="Z3795" s="77" t="s">
        <v>1526</v>
      </c>
      <c r="AA3795" s="77"/>
      <c r="AB3795" s="77"/>
      <c r="AC3795" s="80" t="s">
        <v>10541</v>
      </c>
      <c r="AD3795" s="77" t="s">
        <v>10617</v>
      </c>
      <c r="AE3795" s="83" t="str">
        <f>HYPERLINK("https://twitter.com/diariodegoias/status/1677665090424668162")</f>
        <v>https://twitter.com/diariodegoias/status/1677665090424668162</v>
      </c>
      <c r="AF3795" s="79">
        <v>45115.54515046296</v>
      </c>
      <c r="AG3795" s="85">
        <v>45115</v>
      </c>
      <c r="AH3795" s="80" t="s">
        <v>13912</v>
      </c>
      <c r="AI3795" s="77" t="b">
        <v>0</v>
      </c>
      <c r="AJ3795" s="77"/>
      <c r="AK3795" s="77"/>
      <c r="AL3795" s="77"/>
      <c r="AM3795" s="77"/>
      <c r="AN3795" s="77"/>
      <c r="AO3795" s="77"/>
      <c r="AP3795" s="77"/>
      <c r="AQ3795" s="77"/>
      <c r="AR3795" s="77"/>
      <c r="AS3795" s="77"/>
      <c r="AT3795" s="77"/>
      <c r="AU3795" s="77"/>
      <c r="AV3795" s="83" t="str">
        <f>HYPERLINK("https://pbs.twimg.com/profile_images/1396982798989381640/IRSUTOjF_normal.jpg")</f>
        <v>https://pbs.twimg.com/profile_images/1396982798989381640/IRSUTOjF_normal.jpg</v>
      </c>
      <c r="AW3795" s="80" t="s">
        <v>19476</v>
      </c>
      <c r="AX3795" s="80" t="s">
        <v>19476</v>
      </c>
      <c r="AY3795" s="77"/>
      <c r="AZ3795" s="80" t="s">
        <v>20380</v>
      </c>
      <c r="BA3795" s="80" t="s">
        <v>20380</v>
      </c>
      <c r="BB3795" s="80" t="s">
        <v>20380</v>
      </c>
      <c r="BC3795" s="80" t="s">
        <v>19476</v>
      </c>
      <c r="BD3795" s="77">
        <v>161793323</v>
      </c>
      <c r="BE3795" s="77"/>
      <c r="BF3795" s="77"/>
      <c r="BG3795" s="77"/>
      <c r="BH3795" s="77"/>
      <c r="BI3795" s="77"/>
    </row>
    <row r="3796" spans="1:61" x14ac:dyDescent="0.25">
      <c r="A3796" s="62" t="s">
        <v>1526</v>
      </c>
      <c r="B3796" s="62" t="s">
        <v>1526</v>
      </c>
      <c r="C3796" s="63"/>
      <c r="D3796" s="64"/>
      <c r="E3796" s="65"/>
      <c r="F3796" s="66"/>
      <c r="G3796" s="63"/>
      <c r="H3796" s="67"/>
      <c r="I3796" s="68"/>
      <c r="J3796" s="68"/>
      <c r="K3796" s="32"/>
      <c r="L3796" s="75">
        <v>3796</v>
      </c>
      <c r="M3796" s="75"/>
      <c r="N3796" s="70"/>
      <c r="O3796" s="77" t="s">
        <v>2081</v>
      </c>
      <c r="P3796" s="79">
        <v>45115.536851851852</v>
      </c>
      <c r="Q3796" s="77" t="s">
        <v>5419</v>
      </c>
      <c r="R3796" s="77">
        <v>0</v>
      </c>
      <c r="S3796" s="77">
        <v>1</v>
      </c>
      <c r="T3796" s="77">
        <v>0</v>
      </c>
      <c r="U3796" s="77">
        <v>0</v>
      </c>
      <c r="V3796" s="77">
        <v>114</v>
      </c>
      <c r="W3796" s="80" t="s">
        <v>8256</v>
      </c>
      <c r="X3796" s="83" t="str">
        <f>HYPERLINK("https://diariodegoias.com.br/novos-diretores-do-banco-central-sao-nomeados-com-presenca-de-vanderlan-cardoso/318201/")</f>
        <v>https://diariodegoias.com.br/novos-diretores-do-banco-central-sao-nomeados-com-presenca-de-vanderlan-cardoso/318201/</v>
      </c>
      <c r="Y3796" s="77" t="s">
        <v>8611</v>
      </c>
      <c r="Z3796" s="77" t="s">
        <v>1526</v>
      </c>
      <c r="AA3796" s="77"/>
      <c r="AB3796" s="77"/>
      <c r="AC3796" s="80" t="s">
        <v>10541</v>
      </c>
      <c r="AD3796" s="77" t="s">
        <v>10617</v>
      </c>
      <c r="AE3796" s="83" t="str">
        <f>HYPERLINK("https://twitter.com/diariodegoias/status/1677662082076999681")</f>
        <v>https://twitter.com/diariodegoias/status/1677662082076999681</v>
      </c>
      <c r="AF3796" s="79">
        <v>45115.536851851852</v>
      </c>
      <c r="AG3796" s="85">
        <v>45115</v>
      </c>
      <c r="AH3796" s="80" t="s">
        <v>13913</v>
      </c>
      <c r="AI3796" s="77" t="b">
        <v>0</v>
      </c>
      <c r="AJ3796" s="77"/>
      <c r="AK3796" s="77"/>
      <c r="AL3796" s="77"/>
      <c r="AM3796" s="77"/>
      <c r="AN3796" s="77"/>
      <c r="AO3796" s="77"/>
      <c r="AP3796" s="77"/>
      <c r="AQ3796" s="77"/>
      <c r="AR3796" s="77"/>
      <c r="AS3796" s="77"/>
      <c r="AT3796" s="77"/>
      <c r="AU3796" s="77"/>
      <c r="AV3796" s="83" t="str">
        <f>HYPERLINK("https://pbs.twimg.com/profile_images/1396982798989381640/IRSUTOjF_normal.jpg")</f>
        <v>https://pbs.twimg.com/profile_images/1396982798989381640/IRSUTOjF_normal.jpg</v>
      </c>
      <c r="AW3796" s="80" t="s">
        <v>19477</v>
      </c>
      <c r="AX3796" s="80" t="s">
        <v>19477</v>
      </c>
      <c r="AY3796" s="77"/>
      <c r="AZ3796" s="80" t="s">
        <v>20380</v>
      </c>
      <c r="BA3796" s="80" t="s">
        <v>20380</v>
      </c>
      <c r="BB3796" s="80" t="s">
        <v>20380</v>
      </c>
      <c r="BC3796" s="80" t="s">
        <v>19477</v>
      </c>
      <c r="BD3796" s="77">
        <v>161793323</v>
      </c>
      <c r="BE3796" s="77"/>
      <c r="BF3796" s="77"/>
      <c r="BG3796" s="77"/>
      <c r="BH3796" s="77"/>
      <c r="BI3796" s="77"/>
    </row>
    <row r="3797" spans="1:61" x14ac:dyDescent="0.25">
      <c r="A3797" s="62" t="s">
        <v>1526</v>
      </c>
      <c r="B3797" s="62" t="s">
        <v>1526</v>
      </c>
      <c r="C3797" s="63"/>
      <c r="D3797" s="64"/>
      <c r="E3797" s="65"/>
      <c r="F3797" s="66"/>
      <c r="G3797" s="63"/>
      <c r="H3797" s="67"/>
      <c r="I3797" s="68"/>
      <c r="J3797" s="68"/>
      <c r="K3797" s="32"/>
      <c r="L3797" s="75">
        <v>3797</v>
      </c>
      <c r="M3797" s="75"/>
      <c r="N3797" s="70"/>
      <c r="O3797" s="77" t="s">
        <v>2081</v>
      </c>
      <c r="P3797" s="79">
        <v>45099.748668981483</v>
      </c>
      <c r="Q3797" s="77" t="s">
        <v>5420</v>
      </c>
      <c r="R3797" s="77">
        <v>0</v>
      </c>
      <c r="S3797" s="77">
        <v>0</v>
      </c>
      <c r="T3797" s="77">
        <v>0</v>
      </c>
      <c r="U3797" s="77">
        <v>0</v>
      </c>
      <c r="V3797" s="77">
        <v>82</v>
      </c>
      <c r="W3797" s="80" t="s">
        <v>8257</v>
      </c>
      <c r="X3797" s="83" t="str">
        <f>HYPERLINK("https://diariodegoias.com.br/selic-copom-decide-manter-juros-basicos-da-economia-em-1375-ao-ano/309590/")</f>
        <v>https://diariodegoias.com.br/selic-copom-decide-manter-juros-basicos-da-economia-em-1375-ao-ano/309590/</v>
      </c>
      <c r="Y3797" s="77" t="s">
        <v>8611</v>
      </c>
      <c r="Z3797" s="77" t="s">
        <v>1526</v>
      </c>
      <c r="AA3797" s="77"/>
      <c r="AB3797" s="77"/>
      <c r="AC3797" s="80" t="s">
        <v>10550</v>
      </c>
      <c r="AD3797" s="77" t="s">
        <v>10617</v>
      </c>
      <c r="AE3797" s="83" t="str">
        <f>HYPERLINK("https://twitter.com/diariodegoias/status/1671940637694803969")</f>
        <v>https://twitter.com/diariodegoias/status/1671940637694803969</v>
      </c>
      <c r="AF3797" s="79">
        <v>45099.748668981483</v>
      </c>
      <c r="AG3797" s="85">
        <v>45099</v>
      </c>
      <c r="AH3797" s="80" t="s">
        <v>13914</v>
      </c>
      <c r="AI3797" s="77" t="b">
        <v>0</v>
      </c>
      <c r="AJ3797" s="77"/>
      <c r="AK3797" s="77"/>
      <c r="AL3797" s="77"/>
      <c r="AM3797" s="77"/>
      <c r="AN3797" s="77"/>
      <c r="AO3797" s="77"/>
      <c r="AP3797" s="77"/>
      <c r="AQ3797" s="77"/>
      <c r="AR3797" s="77"/>
      <c r="AS3797" s="77"/>
      <c r="AT3797" s="77"/>
      <c r="AU3797" s="77"/>
      <c r="AV3797" s="83" t="str">
        <f>HYPERLINK("https://pbs.twimg.com/profile_images/1396982798989381640/IRSUTOjF_normal.jpg")</f>
        <v>https://pbs.twimg.com/profile_images/1396982798989381640/IRSUTOjF_normal.jpg</v>
      </c>
      <c r="AW3797" s="80" t="s">
        <v>19478</v>
      </c>
      <c r="AX3797" s="80" t="s">
        <v>19478</v>
      </c>
      <c r="AY3797" s="77"/>
      <c r="AZ3797" s="80" t="s">
        <v>20380</v>
      </c>
      <c r="BA3797" s="80" t="s">
        <v>20380</v>
      </c>
      <c r="BB3797" s="80" t="s">
        <v>20380</v>
      </c>
      <c r="BC3797" s="80" t="s">
        <v>19478</v>
      </c>
      <c r="BD3797" s="77">
        <v>161793323</v>
      </c>
      <c r="BE3797" s="77"/>
      <c r="BF3797" s="77"/>
      <c r="BG3797" s="77"/>
      <c r="BH3797" s="77"/>
      <c r="BI3797" s="77"/>
    </row>
    <row r="3798" spans="1:61" x14ac:dyDescent="0.25">
      <c r="A3798" s="62" t="s">
        <v>1526</v>
      </c>
      <c r="B3798" s="62" t="s">
        <v>1526</v>
      </c>
      <c r="C3798" s="63"/>
      <c r="D3798" s="64"/>
      <c r="E3798" s="65"/>
      <c r="F3798" s="66"/>
      <c r="G3798" s="63"/>
      <c r="H3798" s="67"/>
      <c r="I3798" s="68"/>
      <c r="J3798" s="68"/>
      <c r="K3798" s="32"/>
      <c r="L3798" s="75">
        <v>3798</v>
      </c>
      <c r="M3798" s="75"/>
      <c r="N3798" s="70"/>
      <c r="O3798" s="77" t="s">
        <v>179</v>
      </c>
      <c r="P3798" s="79">
        <v>45099.624780092592</v>
      </c>
      <c r="Q3798" s="77" t="s">
        <v>5421</v>
      </c>
      <c r="R3798" s="77">
        <v>1</v>
      </c>
      <c r="S3798" s="77">
        <v>1</v>
      </c>
      <c r="T3798" s="77">
        <v>2</v>
      </c>
      <c r="U3798" s="77">
        <v>0</v>
      </c>
      <c r="V3798" s="77">
        <v>132</v>
      </c>
      <c r="W3798" s="80" t="s">
        <v>8258</v>
      </c>
      <c r="X3798" s="83" t="str">
        <f>HYPERLINK("https://diariodegoias.com.br/lula-enquadra-presidente-do-banco-central-e-irracional-o-que-esta-acontecendo-no-brasil/309732/")</f>
        <v>https://diariodegoias.com.br/lula-enquadra-presidente-do-banco-central-e-irracional-o-que-esta-acontecendo-no-brasil/309732/</v>
      </c>
      <c r="Y3798" s="77" t="s">
        <v>8611</v>
      </c>
      <c r="Z3798" s="77"/>
      <c r="AA3798" s="77"/>
      <c r="AB3798" s="77"/>
      <c r="AC3798" s="80" t="s">
        <v>10550</v>
      </c>
      <c r="AD3798" s="77" t="s">
        <v>10617</v>
      </c>
      <c r="AE3798" s="83" t="str">
        <f>HYPERLINK("https://twitter.com/diariodegoias/status/1671895739012890624")</f>
        <v>https://twitter.com/diariodegoias/status/1671895739012890624</v>
      </c>
      <c r="AF3798" s="79">
        <v>45099.624780092592</v>
      </c>
      <c r="AG3798" s="85">
        <v>45099</v>
      </c>
      <c r="AH3798" s="80" t="s">
        <v>13915</v>
      </c>
      <c r="AI3798" s="77" t="b">
        <v>0</v>
      </c>
      <c r="AJ3798" s="77"/>
      <c r="AK3798" s="77"/>
      <c r="AL3798" s="77"/>
      <c r="AM3798" s="77"/>
      <c r="AN3798" s="77"/>
      <c r="AO3798" s="77"/>
      <c r="AP3798" s="77"/>
      <c r="AQ3798" s="77"/>
      <c r="AR3798" s="77"/>
      <c r="AS3798" s="77"/>
      <c r="AT3798" s="77"/>
      <c r="AU3798" s="77"/>
      <c r="AV3798" s="83" t="str">
        <f>HYPERLINK("https://pbs.twimg.com/profile_images/1396982798989381640/IRSUTOjF_normal.jpg")</f>
        <v>https://pbs.twimg.com/profile_images/1396982798989381640/IRSUTOjF_normal.jpg</v>
      </c>
      <c r="AW3798" s="80" t="s">
        <v>19479</v>
      </c>
      <c r="AX3798" s="80" t="s">
        <v>19479</v>
      </c>
      <c r="AY3798" s="77"/>
      <c r="AZ3798" s="80" t="s">
        <v>20380</v>
      </c>
      <c r="BA3798" s="80" t="s">
        <v>20380</v>
      </c>
      <c r="BB3798" s="80" t="s">
        <v>20380</v>
      </c>
      <c r="BC3798" s="80" t="s">
        <v>19479</v>
      </c>
      <c r="BD3798" s="77">
        <v>161793323</v>
      </c>
      <c r="BE3798" s="77"/>
      <c r="BF3798" s="77"/>
      <c r="BG3798" s="77"/>
      <c r="BH3798" s="77"/>
      <c r="BI3798" s="77"/>
    </row>
    <row r="3799" spans="1:61" x14ac:dyDescent="0.25">
      <c r="A3799" s="62" t="s">
        <v>1526</v>
      </c>
      <c r="B3799" s="62" t="s">
        <v>1526</v>
      </c>
      <c r="C3799" s="63"/>
      <c r="D3799" s="64"/>
      <c r="E3799" s="65"/>
      <c r="F3799" s="66"/>
      <c r="G3799" s="63"/>
      <c r="H3799" s="67"/>
      <c r="I3799" s="68"/>
      <c r="J3799" s="68"/>
      <c r="K3799" s="32"/>
      <c r="L3799" s="75">
        <v>3799</v>
      </c>
      <c r="M3799" s="75"/>
      <c r="N3799" s="70"/>
      <c r="O3799" s="77" t="s">
        <v>2081</v>
      </c>
      <c r="P3799" s="79">
        <v>45120.600648148145</v>
      </c>
      <c r="Q3799" s="77" t="s">
        <v>5422</v>
      </c>
      <c r="R3799" s="77">
        <v>0</v>
      </c>
      <c r="S3799" s="77">
        <v>0</v>
      </c>
      <c r="T3799" s="77">
        <v>0</v>
      </c>
      <c r="U3799" s="77">
        <v>0</v>
      </c>
      <c r="V3799" s="77">
        <v>60</v>
      </c>
      <c r="W3799" s="80" t="s">
        <v>8259</v>
      </c>
      <c r="X3799" s="83" t="str">
        <f>HYPERLINK("https://diariodegoias.com.br/fieg-estuda-abrir-processo-contra-diretoria-do-bc-por-dilapidacao-de-recursos-publicos/321687/")</f>
        <v>https://diariodegoias.com.br/fieg-estuda-abrir-processo-contra-diretoria-do-bc-por-dilapidacao-de-recursos-publicos/321687/</v>
      </c>
      <c r="Y3799" s="77" t="s">
        <v>8611</v>
      </c>
      <c r="Z3799" s="77" t="s">
        <v>1526</v>
      </c>
      <c r="AA3799" s="77"/>
      <c r="AB3799" s="77"/>
      <c r="AC3799" s="80" t="s">
        <v>10541</v>
      </c>
      <c r="AD3799" s="77" t="s">
        <v>10617</v>
      </c>
      <c r="AE3799" s="83" t="str">
        <f>HYPERLINK("https://twitter.com/diariodegoias/status/1679497139477438464")</f>
        <v>https://twitter.com/diariodegoias/status/1679497139477438464</v>
      </c>
      <c r="AF3799" s="79">
        <v>45120.600648148145</v>
      </c>
      <c r="AG3799" s="85">
        <v>45120</v>
      </c>
      <c r="AH3799" s="80" t="s">
        <v>13916</v>
      </c>
      <c r="AI3799" s="77" t="b">
        <v>0</v>
      </c>
      <c r="AJ3799" s="77"/>
      <c r="AK3799" s="77"/>
      <c r="AL3799" s="77"/>
      <c r="AM3799" s="77"/>
      <c r="AN3799" s="77"/>
      <c r="AO3799" s="77"/>
      <c r="AP3799" s="77"/>
      <c r="AQ3799" s="77"/>
      <c r="AR3799" s="77"/>
      <c r="AS3799" s="77"/>
      <c r="AT3799" s="77"/>
      <c r="AU3799" s="77"/>
      <c r="AV3799" s="83" t="str">
        <f>HYPERLINK("https://pbs.twimg.com/profile_images/1396982798989381640/IRSUTOjF_normal.jpg")</f>
        <v>https://pbs.twimg.com/profile_images/1396982798989381640/IRSUTOjF_normal.jpg</v>
      </c>
      <c r="AW3799" s="80" t="s">
        <v>19480</v>
      </c>
      <c r="AX3799" s="80" t="s">
        <v>19480</v>
      </c>
      <c r="AY3799" s="77"/>
      <c r="AZ3799" s="80" t="s">
        <v>20380</v>
      </c>
      <c r="BA3799" s="80" t="s">
        <v>20380</v>
      </c>
      <c r="BB3799" s="80" t="s">
        <v>20380</v>
      </c>
      <c r="BC3799" s="80" t="s">
        <v>19480</v>
      </c>
      <c r="BD3799" s="77">
        <v>161793323</v>
      </c>
      <c r="BE3799" s="77"/>
      <c r="BF3799" s="77"/>
      <c r="BG3799" s="77"/>
      <c r="BH3799" s="77"/>
      <c r="BI3799" s="77"/>
    </row>
    <row r="3800" spans="1:61" x14ac:dyDescent="0.25">
      <c r="A3800" s="62" t="s">
        <v>1526</v>
      </c>
      <c r="B3800" s="62" t="s">
        <v>1526</v>
      </c>
      <c r="C3800" s="63"/>
      <c r="D3800" s="64"/>
      <c r="E3800" s="65"/>
      <c r="F3800" s="66"/>
      <c r="G3800" s="63"/>
      <c r="H3800" s="67"/>
      <c r="I3800" s="68"/>
      <c r="J3800" s="68"/>
      <c r="K3800" s="32"/>
      <c r="L3800" s="75">
        <v>3800</v>
      </c>
      <c r="M3800" s="75"/>
      <c r="N3800" s="70"/>
      <c r="O3800" s="77" t="s">
        <v>179</v>
      </c>
      <c r="P3800" s="79">
        <v>45107.563715277778</v>
      </c>
      <c r="Q3800" s="77" t="s">
        <v>5423</v>
      </c>
      <c r="R3800" s="77">
        <v>0</v>
      </c>
      <c r="S3800" s="77">
        <v>1</v>
      </c>
      <c r="T3800" s="77">
        <v>0</v>
      </c>
      <c r="U3800" s="77">
        <v>0</v>
      </c>
      <c r="V3800" s="77">
        <v>66</v>
      </c>
      <c r="W3800" s="80" t="s">
        <v>8258</v>
      </c>
      <c r="X3800" s="83" t="str">
        <f>HYPERLINK("https://diariodegoias.com.br/lula-enquadra-presidente-do-banco-central-e-irracional-o-que-esta-acontecendo-no-brasil/309732/")</f>
        <v>https://diariodegoias.com.br/lula-enquadra-presidente-do-banco-central-e-irracional-o-que-esta-acontecendo-no-brasil/309732/</v>
      </c>
      <c r="Y3800" s="77" t="s">
        <v>8611</v>
      </c>
      <c r="Z3800" s="77"/>
      <c r="AA3800" s="77"/>
      <c r="AB3800" s="77"/>
      <c r="AC3800" s="80" t="s">
        <v>10550</v>
      </c>
      <c r="AD3800" s="77" t="s">
        <v>10617</v>
      </c>
      <c r="AE3800" s="83" t="str">
        <f>HYPERLINK("https://twitter.com/diariodegoias/status/1674772714593157120")</f>
        <v>https://twitter.com/diariodegoias/status/1674772714593157120</v>
      </c>
      <c r="AF3800" s="79">
        <v>45107.563715277778</v>
      </c>
      <c r="AG3800" s="85">
        <v>45107</v>
      </c>
      <c r="AH3800" s="80" t="s">
        <v>13917</v>
      </c>
      <c r="AI3800" s="77" t="b">
        <v>0</v>
      </c>
      <c r="AJ3800" s="77"/>
      <c r="AK3800" s="77"/>
      <c r="AL3800" s="77"/>
      <c r="AM3800" s="77"/>
      <c r="AN3800" s="77"/>
      <c r="AO3800" s="77"/>
      <c r="AP3800" s="77"/>
      <c r="AQ3800" s="77"/>
      <c r="AR3800" s="77"/>
      <c r="AS3800" s="77"/>
      <c r="AT3800" s="77"/>
      <c r="AU3800" s="77"/>
      <c r="AV3800" s="83" t="str">
        <f>HYPERLINK("https://pbs.twimg.com/profile_images/1396982798989381640/IRSUTOjF_normal.jpg")</f>
        <v>https://pbs.twimg.com/profile_images/1396982798989381640/IRSUTOjF_normal.jpg</v>
      </c>
      <c r="AW3800" s="80" t="s">
        <v>19481</v>
      </c>
      <c r="AX3800" s="80" t="s">
        <v>19481</v>
      </c>
      <c r="AY3800" s="77"/>
      <c r="AZ3800" s="80" t="s">
        <v>20380</v>
      </c>
      <c r="BA3800" s="80" t="s">
        <v>20380</v>
      </c>
      <c r="BB3800" s="80" t="s">
        <v>20380</v>
      </c>
      <c r="BC3800" s="80" t="s">
        <v>19481</v>
      </c>
      <c r="BD3800" s="77">
        <v>161793323</v>
      </c>
      <c r="BE3800" s="77"/>
      <c r="BF3800" s="77"/>
      <c r="BG3800" s="77"/>
      <c r="BH3800" s="77"/>
      <c r="BI3800" s="77"/>
    </row>
    <row r="3801" spans="1:61" x14ac:dyDescent="0.25">
      <c r="A3801" s="62" t="s">
        <v>1526</v>
      </c>
      <c r="B3801" s="62" t="s">
        <v>1526</v>
      </c>
      <c r="C3801" s="63"/>
      <c r="D3801" s="64"/>
      <c r="E3801" s="65"/>
      <c r="F3801" s="66"/>
      <c r="G3801" s="63"/>
      <c r="H3801" s="67"/>
      <c r="I3801" s="68"/>
      <c r="J3801" s="68"/>
      <c r="K3801" s="32"/>
      <c r="L3801" s="75">
        <v>3801</v>
      </c>
      <c r="M3801" s="75"/>
      <c r="N3801" s="70"/>
      <c r="O3801" s="77" t="s">
        <v>2081</v>
      </c>
      <c r="P3801" s="79">
        <v>45131.52815972222</v>
      </c>
      <c r="Q3801" s="77" t="s">
        <v>5424</v>
      </c>
      <c r="R3801" s="77">
        <v>0</v>
      </c>
      <c r="S3801" s="77">
        <v>0</v>
      </c>
      <c r="T3801" s="77">
        <v>0</v>
      </c>
      <c r="U3801" s="77">
        <v>0</v>
      </c>
      <c r="V3801" s="77">
        <v>66</v>
      </c>
      <c r="W3801" s="80" t="s">
        <v>8260</v>
      </c>
      <c r="X3801" s="83" t="str">
        <f>HYPERLINK("https://diariodegoias.com.br/economia-goiana-cresce-41-em-maio-aponta-banco-central/328200/")</f>
        <v>https://diariodegoias.com.br/economia-goiana-cresce-41-em-maio-aponta-banco-central/328200/</v>
      </c>
      <c r="Y3801" s="77" t="s">
        <v>8611</v>
      </c>
      <c r="Z3801" s="77" t="s">
        <v>1526</v>
      </c>
      <c r="AA3801" s="77"/>
      <c r="AB3801" s="77"/>
      <c r="AC3801" s="80" t="s">
        <v>10541</v>
      </c>
      <c r="AD3801" s="77" t="s">
        <v>10617</v>
      </c>
      <c r="AE3801" s="83" t="str">
        <f>HYPERLINK("https://twitter.com/diariodegoias/status/1683457136813039618")</f>
        <v>https://twitter.com/diariodegoias/status/1683457136813039618</v>
      </c>
      <c r="AF3801" s="79">
        <v>45131.52815972222</v>
      </c>
      <c r="AG3801" s="85">
        <v>45131</v>
      </c>
      <c r="AH3801" s="80" t="s">
        <v>13918</v>
      </c>
      <c r="AI3801" s="77" t="b">
        <v>0</v>
      </c>
      <c r="AJ3801" s="77"/>
      <c r="AK3801" s="77"/>
      <c r="AL3801" s="77"/>
      <c r="AM3801" s="77"/>
      <c r="AN3801" s="77"/>
      <c r="AO3801" s="77"/>
      <c r="AP3801" s="77"/>
      <c r="AQ3801" s="77"/>
      <c r="AR3801" s="77"/>
      <c r="AS3801" s="77"/>
      <c r="AT3801" s="77"/>
      <c r="AU3801" s="77"/>
      <c r="AV3801" s="83" t="str">
        <f>HYPERLINK("https://pbs.twimg.com/profile_images/1396982798989381640/IRSUTOjF_normal.jpg")</f>
        <v>https://pbs.twimg.com/profile_images/1396982798989381640/IRSUTOjF_normal.jpg</v>
      </c>
      <c r="AW3801" s="80" t="s">
        <v>19482</v>
      </c>
      <c r="AX3801" s="80" t="s">
        <v>19482</v>
      </c>
      <c r="AY3801" s="77"/>
      <c r="AZ3801" s="80" t="s">
        <v>20380</v>
      </c>
      <c r="BA3801" s="80" t="s">
        <v>20380</v>
      </c>
      <c r="BB3801" s="80" t="s">
        <v>20380</v>
      </c>
      <c r="BC3801" s="80" t="s">
        <v>19482</v>
      </c>
      <c r="BD3801" s="77">
        <v>161793323</v>
      </c>
      <c r="BE3801" s="77"/>
      <c r="BF3801" s="77"/>
      <c r="BG3801" s="77"/>
      <c r="BH3801" s="77"/>
      <c r="BI3801" s="77"/>
    </row>
    <row r="3802" spans="1:61" x14ac:dyDescent="0.25">
      <c r="A3802" s="62" t="s">
        <v>1526</v>
      </c>
      <c r="B3802" s="62" t="s">
        <v>1526</v>
      </c>
      <c r="C3802" s="63"/>
      <c r="D3802" s="64"/>
      <c r="E3802" s="65"/>
      <c r="F3802" s="66"/>
      <c r="G3802" s="63"/>
      <c r="H3802" s="67"/>
      <c r="I3802" s="68"/>
      <c r="J3802" s="68"/>
      <c r="K3802" s="32"/>
      <c r="L3802" s="75">
        <v>3802</v>
      </c>
      <c r="M3802" s="75"/>
      <c r="N3802" s="70"/>
      <c r="O3802" s="77" t="s">
        <v>179</v>
      </c>
      <c r="P3802" s="79">
        <v>45150.783553240741</v>
      </c>
      <c r="Q3802" s="77" t="s">
        <v>5425</v>
      </c>
      <c r="R3802" s="77">
        <v>0</v>
      </c>
      <c r="S3802" s="77">
        <v>0</v>
      </c>
      <c r="T3802" s="77">
        <v>0</v>
      </c>
      <c r="U3802" s="77">
        <v>0</v>
      </c>
      <c r="V3802" s="77">
        <v>70</v>
      </c>
      <c r="W3802" s="80" t="s">
        <v>8261</v>
      </c>
      <c r="X3802" s="83" t="str">
        <f>HYPERLINK("https://diariodegoias.com.br/pix-tera-funcao-credito-e-ferramenta-que-centraliza-contas-anuncia-presidente-do-bc/339872/")</f>
        <v>https://diariodegoias.com.br/pix-tera-funcao-credito-e-ferramenta-que-centraliza-contas-anuncia-presidente-do-bc/339872/</v>
      </c>
      <c r="Y3802" s="77" t="s">
        <v>8611</v>
      </c>
      <c r="Z3802" s="77"/>
      <c r="AA3802" s="77"/>
      <c r="AB3802" s="77"/>
      <c r="AC3802" s="80" t="s">
        <v>10541</v>
      </c>
      <c r="AD3802" s="77" t="s">
        <v>10617</v>
      </c>
      <c r="AE3802" s="83" t="str">
        <f>HYPERLINK("https://twitter.com/diariodegoias/status/1690435059076014080")</f>
        <v>https://twitter.com/diariodegoias/status/1690435059076014080</v>
      </c>
      <c r="AF3802" s="79">
        <v>45150.783553240741</v>
      </c>
      <c r="AG3802" s="85">
        <v>45150</v>
      </c>
      <c r="AH3802" s="80" t="s">
        <v>13919</v>
      </c>
      <c r="AI3802" s="77" t="b">
        <v>0</v>
      </c>
      <c r="AJ3802" s="77"/>
      <c r="AK3802" s="77"/>
      <c r="AL3802" s="77"/>
      <c r="AM3802" s="77"/>
      <c r="AN3802" s="77"/>
      <c r="AO3802" s="77"/>
      <c r="AP3802" s="77"/>
      <c r="AQ3802" s="77"/>
      <c r="AR3802" s="77"/>
      <c r="AS3802" s="77"/>
      <c r="AT3802" s="77"/>
      <c r="AU3802" s="77"/>
      <c r="AV3802" s="83" t="str">
        <f>HYPERLINK("https://pbs.twimg.com/profile_images/1396982798989381640/IRSUTOjF_normal.jpg")</f>
        <v>https://pbs.twimg.com/profile_images/1396982798989381640/IRSUTOjF_normal.jpg</v>
      </c>
      <c r="AW3802" s="80" t="s">
        <v>19483</v>
      </c>
      <c r="AX3802" s="80" t="s">
        <v>19483</v>
      </c>
      <c r="AY3802" s="77"/>
      <c r="AZ3802" s="80" t="s">
        <v>20380</v>
      </c>
      <c r="BA3802" s="80" t="s">
        <v>20380</v>
      </c>
      <c r="BB3802" s="80" t="s">
        <v>20380</v>
      </c>
      <c r="BC3802" s="80" t="s">
        <v>19483</v>
      </c>
      <c r="BD3802" s="77">
        <v>161793323</v>
      </c>
      <c r="BE3802" s="77"/>
      <c r="BF3802" s="77"/>
      <c r="BG3802" s="77"/>
      <c r="BH3802" s="77"/>
      <c r="BI3802" s="77"/>
    </row>
    <row r="3803" spans="1:61" x14ac:dyDescent="0.25">
      <c r="A3803" s="62" t="s">
        <v>1526</v>
      </c>
      <c r="B3803" s="62" t="s">
        <v>1526</v>
      </c>
      <c r="C3803" s="63"/>
      <c r="D3803" s="64"/>
      <c r="E3803" s="65"/>
      <c r="F3803" s="66"/>
      <c r="G3803" s="63"/>
      <c r="H3803" s="67"/>
      <c r="I3803" s="68"/>
      <c r="J3803" s="68"/>
      <c r="K3803" s="32"/>
      <c r="L3803" s="75">
        <v>3803</v>
      </c>
      <c r="M3803" s="75"/>
      <c r="N3803" s="70"/>
      <c r="O3803" s="77" t="s">
        <v>2081</v>
      </c>
      <c r="P3803" s="79">
        <v>45188.76158564815</v>
      </c>
      <c r="Q3803" s="77" t="s">
        <v>5426</v>
      </c>
      <c r="R3803" s="77">
        <v>0</v>
      </c>
      <c r="S3803" s="77">
        <v>0</v>
      </c>
      <c r="T3803" s="77">
        <v>0</v>
      </c>
      <c r="U3803" s="77">
        <v>0</v>
      </c>
      <c r="V3803" s="77">
        <v>55</v>
      </c>
      <c r="W3803" s="80" t="s">
        <v>8262</v>
      </c>
      <c r="X3803" s="83" t="str">
        <f>HYPERLINK("https://diariodegoias.com.br/economia-brasileira-cresce-em-julho-segundo-banco-central/359306/")</f>
        <v>https://diariodegoias.com.br/economia-brasileira-cresce-em-julho-segundo-banco-central/359306/</v>
      </c>
      <c r="Y3803" s="77" t="s">
        <v>8611</v>
      </c>
      <c r="Z3803" s="77" t="s">
        <v>1526</v>
      </c>
      <c r="AA3803" s="77"/>
      <c r="AB3803" s="77"/>
      <c r="AC3803" s="80" t="s">
        <v>10541</v>
      </c>
      <c r="AD3803" s="77" t="s">
        <v>10617</v>
      </c>
      <c r="AE3803" s="83" t="str">
        <f>HYPERLINK("https://twitter.com/diariodegoias/status/1704197836563169411")</f>
        <v>https://twitter.com/diariodegoias/status/1704197836563169411</v>
      </c>
      <c r="AF3803" s="79">
        <v>45188.76158564815</v>
      </c>
      <c r="AG3803" s="85">
        <v>45188</v>
      </c>
      <c r="AH3803" s="80" t="s">
        <v>13920</v>
      </c>
      <c r="AI3803" s="77" t="b">
        <v>0</v>
      </c>
      <c r="AJ3803" s="77"/>
      <c r="AK3803" s="77"/>
      <c r="AL3803" s="77"/>
      <c r="AM3803" s="77"/>
      <c r="AN3803" s="77"/>
      <c r="AO3803" s="77"/>
      <c r="AP3803" s="77"/>
      <c r="AQ3803" s="77"/>
      <c r="AR3803" s="77"/>
      <c r="AS3803" s="77"/>
      <c r="AT3803" s="77"/>
      <c r="AU3803" s="77"/>
      <c r="AV3803" s="83" t="str">
        <f>HYPERLINK("https://pbs.twimg.com/profile_images/1396982798989381640/IRSUTOjF_normal.jpg")</f>
        <v>https://pbs.twimg.com/profile_images/1396982798989381640/IRSUTOjF_normal.jpg</v>
      </c>
      <c r="AW3803" s="80" t="s">
        <v>19484</v>
      </c>
      <c r="AX3803" s="80" t="s">
        <v>19484</v>
      </c>
      <c r="AY3803" s="77"/>
      <c r="AZ3803" s="80" t="s">
        <v>20380</v>
      </c>
      <c r="BA3803" s="80" t="s">
        <v>20380</v>
      </c>
      <c r="BB3803" s="80" t="s">
        <v>20380</v>
      </c>
      <c r="BC3803" s="80" t="s">
        <v>19484</v>
      </c>
      <c r="BD3803" s="77">
        <v>161793323</v>
      </c>
      <c r="BE3803" s="77"/>
      <c r="BF3803" s="77"/>
      <c r="BG3803" s="77"/>
      <c r="BH3803" s="77"/>
      <c r="BI3803" s="77"/>
    </row>
    <row r="3804" spans="1:61" x14ac:dyDescent="0.25">
      <c r="A3804" s="62" t="s">
        <v>1526</v>
      </c>
      <c r="B3804" s="62" t="s">
        <v>1526</v>
      </c>
      <c r="C3804" s="63"/>
      <c r="D3804" s="64"/>
      <c r="E3804" s="65"/>
      <c r="F3804" s="66"/>
      <c r="G3804" s="63"/>
      <c r="H3804" s="67"/>
      <c r="I3804" s="68"/>
      <c r="J3804" s="68"/>
      <c r="K3804" s="32"/>
      <c r="L3804" s="75">
        <v>3804</v>
      </c>
      <c r="M3804" s="75"/>
      <c r="N3804" s="70"/>
      <c r="O3804" s="77" t="s">
        <v>2081</v>
      </c>
      <c r="P3804" s="79">
        <v>45086.491886574076</v>
      </c>
      <c r="Q3804" s="77" t="s">
        <v>5427</v>
      </c>
      <c r="R3804" s="77">
        <v>0</v>
      </c>
      <c r="S3804" s="77">
        <v>0</v>
      </c>
      <c r="T3804" s="77">
        <v>0</v>
      </c>
      <c r="U3804" s="77">
        <v>0</v>
      </c>
      <c r="V3804" s="77">
        <v>92</v>
      </c>
      <c r="W3804" s="80" t="s">
        <v>8263</v>
      </c>
      <c r="X3804" s="83" t="str">
        <f>HYPERLINK("https://diariodegoias.com.br/mais-de-r7-bilhoes-esquecidos-ainda-podem-ser-resgatados-das-contas-afirma-bc/304221/")</f>
        <v>https://diariodegoias.com.br/mais-de-r7-bilhoes-esquecidos-ainda-podem-ser-resgatados-das-contas-afirma-bc/304221/</v>
      </c>
      <c r="Y3804" s="77" t="s">
        <v>8611</v>
      </c>
      <c r="Z3804" s="77" t="s">
        <v>1526</v>
      </c>
      <c r="AA3804" s="77"/>
      <c r="AB3804" s="77"/>
      <c r="AC3804" s="80" t="s">
        <v>10550</v>
      </c>
      <c r="AD3804" s="77" t="s">
        <v>10617</v>
      </c>
      <c r="AE3804" s="83" t="str">
        <f>HYPERLINK("https://twitter.com/diariodegoias/status/1667136538176618497")</f>
        <v>https://twitter.com/diariodegoias/status/1667136538176618497</v>
      </c>
      <c r="AF3804" s="79">
        <v>45086.491886574076</v>
      </c>
      <c r="AG3804" s="85">
        <v>45086</v>
      </c>
      <c r="AH3804" s="80" t="s">
        <v>13921</v>
      </c>
      <c r="AI3804" s="77" t="b">
        <v>0</v>
      </c>
      <c r="AJ3804" s="77"/>
      <c r="AK3804" s="77"/>
      <c r="AL3804" s="77"/>
      <c r="AM3804" s="77"/>
      <c r="AN3804" s="77"/>
      <c r="AO3804" s="77"/>
      <c r="AP3804" s="77"/>
      <c r="AQ3804" s="77"/>
      <c r="AR3804" s="77"/>
      <c r="AS3804" s="77"/>
      <c r="AT3804" s="77"/>
      <c r="AU3804" s="77"/>
      <c r="AV3804" s="83" t="str">
        <f>HYPERLINK("https://pbs.twimg.com/profile_images/1396982798989381640/IRSUTOjF_normal.jpg")</f>
        <v>https://pbs.twimg.com/profile_images/1396982798989381640/IRSUTOjF_normal.jpg</v>
      </c>
      <c r="AW3804" s="80" t="s">
        <v>19485</v>
      </c>
      <c r="AX3804" s="80" t="s">
        <v>19485</v>
      </c>
      <c r="AY3804" s="77"/>
      <c r="AZ3804" s="80" t="s">
        <v>20380</v>
      </c>
      <c r="BA3804" s="80" t="s">
        <v>20380</v>
      </c>
      <c r="BB3804" s="80" t="s">
        <v>20380</v>
      </c>
      <c r="BC3804" s="80" t="s">
        <v>19485</v>
      </c>
      <c r="BD3804" s="77">
        <v>161793323</v>
      </c>
      <c r="BE3804" s="77"/>
      <c r="BF3804" s="77"/>
      <c r="BG3804" s="77"/>
      <c r="BH3804" s="77"/>
      <c r="BI3804" s="77"/>
    </row>
    <row r="3805" spans="1:61" x14ac:dyDescent="0.25">
      <c r="A3805" s="62" t="s">
        <v>1526</v>
      </c>
      <c r="B3805" s="62" t="s">
        <v>1526</v>
      </c>
      <c r="C3805" s="63"/>
      <c r="D3805" s="64"/>
      <c r="E3805" s="65"/>
      <c r="F3805" s="66"/>
      <c r="G3805" s="63"/>
      <c r="H3805" s="67"/>
      <c r="I3805" s="68"/>
      <c r="J3805" s="68"/>
      <c r="K3805" s="32"/>
      <c r="L3805" s="75">
        <v>3805</v>
      </c>
      <c r="M3805" s="75"/>
      <c r="N3805" s="70"/>
      <c r="O3805" s="77" t="s">
        <v>2081</v>
      </c>
      <c r="P3805" s="79">
        <v>45050.84103009259</v>
      </c>
      <c r="Q3805" s="77" t="s">
        <v>5428</v>
      </c>
      <c r="R3805" s="77">
        <v>0</v>
      </c>
      <c r="S3805" s="77">
        <v>1</v>
      </c>
      <c r="T3805" s="77">
        <v>0</v>
      </c>
      <c r="U3805" s="77">
        <v>0</v>
      </c>
      <c r="V3805" s="77">
        <v>71</v>
      </c>
      <c r="W3805" s="80" t="s">
        <v>8264</v>
      </c>
      <c r="X3805" s="83" t="str">
        <f>HYPERLINK("https://diariodegoias.com.br/lula-critica-presidente-do-banco-central-nao-se-pode-falar-de-juros/293590/")</f>
        <v>https://diariodegoias.com.br/lula-critica-presidente-do-banco-central-nao-se-pode-falar-de-juros/293590/</v>
      </c>
      <c r="Y3805" s="77" t="s">
        <v>8611</v>
      </c>
      <c r="Z3805" s="77" t="s">
        <v>1526</v>
      </c>
      <c r="AA3805" s="77"/>
      <c r="AB3805" s="77"/>
      <c r="AC3805" s="80" t="s">
        <v>10550</v>
      </c>
      <c r="AD3805" s="77" t="s">
        <v>10617</v>
      </c>
      <c r="AE3805" s="83" t="str">
        <f>HYPERLINK("https://twitter.com/diariodegoias/status/1654217099739316229")</f>
        <v>https://twitter.com/diariodegoias/status/1654217099739316229</v>
      </c>
      <c r="AF3805" s="79">
        <v>45050.84103009259</v>
      </c>
      <c r="AG3805" s="85">
        <v>45050</v>
      </c>
      <c r="AH3805" s="80" t="s">
        <v>13922</v>
      </c>
      <c r="AI3805" s="77" t="b">
        <v>0</v>
      </c>
      <c r="AJ3805" s="77"/>
      <c r="AK3805" s="77"/>
      <c r="AL3805" s="77"/>
      <c r="AM3805" s="77"/>
      <c r="AN3805" s="77"/>
      <c r="AO3805" s="77"/>
      <c r="AP3805" s="77"/>
      <c r="AQ3805" s="77"/>
      <c r="AR3805" s="77"/>
      <c r="AS3805" s="77"/>
      <c r="AT3805" s="77"/>
      <c r="AU3805" s="77"/>
      <c r="AV3805" s="83" t="str">
        <f>HYPERLINK("https://pbs.twimg.com/profile_images/1396982798989381640/IRSUTOjF_normal.jpg")</f>
        <v>https://pbs.twimg.com/profile_images/1396982798989381640/IRSUTOjF_normal.jpg</v>
      </c>
      <c r="AW3805" s="80" t="s">
        <v>19486</v>
      </c>
      <c r="AX3805" s="80" t="s">
        <v>19486</v>
      </c>
      <c r="AY3805" s="77"/>
      <c r="AZ3805" s="80" t="s">
        <v>20380</v>
      </c>
      <c r="BA3805" s="80" t="s">
        <v>20380</v>
      </c>
      <c r="BB3805" s="80" t="s">
        <v>20380</v>
      </c>
      <c r="BC3805" s="80" t="s">
        <v>19486</v>
      </c>
      <c r="BD3805" s="77">
        <v>161793323</v>
      </c>
      <c r="BE3805" s="77"/>
      <c r="BF3805" s="77"/>
      <c r="BG3805" s="77"/>
      <c r="BH3805" s="77"/>
      <c r="BI3805" s="77"/>
    </row>
    <row r="3806" spans="1:61" x14ac:dyDescent="0.25">
      <c r="A3806" s="62" t="s">
        <v>1527</v>
      </c>
      <c r="B3806" s="62" t="s">
        <v>1527</v>
      </c>
      <c r="C3806" s="63"/>
      <c r="D3806" s="64"/>
      <c r="E3806" s="65"/>
      <c r="F3806" s="66"/>
      <c r="G3806" s="63"/>
      <c r="H3806" s="67"/>
      <c r="I3806" s="68"/>
      <c r="J3806" s="68"/>
      <c r="K3806" s="32"/>
      <c r="L3806" s="75">
        <v>3806</v>
      </c>
      <c r="M3806" s="75"/>
      <c r="N3806" s="70"/>
      <c r="O3806" s="77" t="s">
        <v>179</v>
      </c>
      <c r="P3806" s="79">
        <v>45140.621203703704</v>
      </c>
      <c r="Q3806" s="77" t="s">
        <v>5429</v>
      </c>
      <c r="R3806" s="77">
        <v>1</v>
      </c>
      <c r="S3806" s="77">
        <v>4</v>
      </c>
      <c r="T3806" s="77">
        <v>0</v>
      </c>
      <c r="U3806" s="77">
        <v>0</v>
      </c>
      <c r="V3806" s="77">
        <v>189</v>
      </c>
      <c r="W3806" s="80" t="s">
        <v>8265</v>
      </c>
      <c r="X3806" s="77"/>
      <c r="Y3806" s="77"/>
      <c r="Z3806" s="77"/>
      <c r="AA3806" s="77" t="s">
        <v>10302</v>
      </c>
      <c r="AB3806" s="77" t="s">
        <v>10534</v>
      </c>
      <c r="AC3806" s="80" t="s">
        <v>10540</v>
      </c>
      <c r="AD3806" s="77" t="s">
        <v>10617</v>
      </c>
      <c r="AE3806" s="83" t="str">
        <f>HYPERLINK("https://twitter.com/quaqua1313/status/1686752347941203968")</f>
        <v>https://twitter.com/quaqua1313/status/1686752347941203968</v>
      </c>
      <c r="AF3806" s="79">
        <v>45140.621203703704</v>
      </c>
      <c r="AG3806" s="85">
        <v>45140</v>
      </c>
      <c r="AH3806" s="80" t="s">
        <v>13923</v>
      </c>
      <c r="AI3806" s="77" t="b">
        <v>0</v>
      </c>
      <c r="AJ3806" s="77"/>
      <c r="AK3806" s="77"/>
      <c r="AL3806" s="77"/>
      <c r="AM3806" s="77"/>
      <c r="AN3806" s="77"/>
      <c r="AO3806" s="77"/>
      <c r="AP3806" s="77"/>
      <c r="AQ3806" s="77" t="s">
        <v>15782</v>
      </c>
      <c r="AR3806" s="77">
        <v>44975</v>
      </c>
      <c r="AS3806" s="77"/>
      <c r="AT3806" s="77"/>
      <c r="AU3806" s="77"/>
      <c r="AV3806" s="83" t="str">
        <f>HYPERLINK("https://pbs.twimg.com/ext_tw_video_thumb/1686752277493604353/pu/img/Nfx9Grs_AclnWrCK.jpg")</f>
        <v>https://pbs.twimg.com/ext_tw_video_thumb/1686752277493604353/pu/img/Nfx9Grs_AclnWrCK.jpg</v>
      </c>
      <c r="AW3806" s="80" t="s">
        <v>19487</v>
      </c>
      <c r="AX3806" s="80" t="s">
        <v>19487</v>
      </c>
      <c r="AY3806" s="77"/>
      <c r="AZ3806" s="80" t="s">
        <v>20380</v>
      </c>
      <c r="BA3806" s="80" t="s">
        <v>20380</v>
      </c>
      <c r="BB3806" s="80" t="s">
        <v>20380</v>
      </c>
      <c r="BC3806" s="80" t="s">
        <v>19487</v>
      </c>
      <c r="BD3806" s="80" t="s">
        <v>21131</v>
      </c>
      <c r="BE3806" s="77"/>
      <c r="BF3806" s="77"/>
      <c r="BG3806" s="77"/>
      <c r="BH3806" s="77"/>
      <c r="BI3806" s="77"/>
    </row>
    <row r="3807" spans="1:61" x14ac:dyDescent="0.25">
      <c r="A3807" s="62" t="s">
        <v>1528</v>
      </c>
      <c r="B3807" s="62" t="s">
        <v>1528</v>
      </c>
      <c r="C3807" s="63"/>
      <c r="D3807" s="64"/>
      <c r="E3807" s="65"/>
      <c r="F3807" s="66"/>
      <c r="G3807" s="63"/>
      <c r="H3807" s="67"/>
      <c r="I3807" s="68"/>
      <c r="J3807" s="68"/>
      <c r="K3807" s="32"/>
      <c r="L3807" s="75">
        <v>3807</v>
      </c>
      <c r="M3807" s="75"/>
      <c r="N3807" s="70"/>
      <c r="O3807" s="77" t="s">
        <v>2081</v>
      </c>
      <c r="P3807" s="79">
        <v>45097.743784722225</v>
      </c>
      <c r="Q3807" s="77" t="s">
        <v>5430</v>
      </c>
      <c r="R3807" s="77">
        <v>0</v>
      </c>
      <c r="S3807" s="77">
        <v>6</v>
      </c>
      <c r="T3807" s="77">
        <v>1</v>
      </c>
      <c r="U3807" s="77">
        <v>0</v>
      </c>
      <c r="V3807" s="77">
        <v>82</v>
      </c>
      <c r="W3807" s="80" t="s">
        <v>8266</v>
      </c>
      <c r="X3807" s="83" t="str">
        <f>HYPERLINK("https://www.bancariosbaixada.org.br/index.php/noticias/item/7984-sindicato-dos-bancarios-da-baixada-fluminense-participa-de-ato-contra-juros-altos")</f>
        <v>https://www.bancariosbaixada.org.br/index.php/noticias/item/7984-sindicato-dos-bancarios-da-baixada-fluminense-participa-de-ato-contra-juros-altos</v>
      </c>
      <c r="Y3807" s="77" t="s">
        <v>8667</v>
      </c>
      <c r="Z3807" s="77" t="s">
        <v>1528</v>
      </c>
      <c r="AA3807" s="77" t="s">
        <v>10303</v>
      </c>
      <c r="AB3807" s="77" t="s">
        <v>10536</v>
      </c>
      <c r="AC3807" s="80" t="s">
        <v>10542</v>
      </c>
      <c r="AD3807" s="77" t="s">
        <v>10617</v>
      </c>
      <c r="AE3807" s="83" t="str">
        <f>HYPERLINK("https://twitter.com/sindbaixada/status/1671214090406993920")</f>
        <v>https://twitter.com/sindbaixada/status/1671214090406993920</v>
      </c>
      <c r="AF3807" s="79">
        <v>45097.743784722225</v>
      </c>
      <c r="AG3807" s="85">
        <v>45097</v>
      </c>
      <c r="AH3807" s="80" t="s">
        <v>12336</v>
      </c>
      <c r="AI3807" s="77" t="b">
        <v>0</v>
      </c>
      <c r="AJ3807" s="77"/>
      <c r="AK3807" s="77"/>
      <c r="AL3807" s="77"/>
      <c r="AM3807" s="77"/>
      <c r="AN3807" s="77"/>
      <c r="AO3807" s="77"/>
      <c r="AP3807" s="77"/>
      <c r="AQ3807" s="77" t="s">
        <v>15783</v>
      </c>
      <c r="AR3807" s="77"/>
      <c r="AS3807" s="77"/>
      <c r="AT3807" s="77"/>
      <c r="AU3807" s="77"/>
      <c r="AV3807" s="83" t="str">
        <f>HYPERLINK("https://pbs.twimg.com/media/FzFYVwQWwAMr5w5.jpg")</f>
        <v>https://pbs.twimg.com/media/FzFYVwQWwAMr5w5.jpg</v>
      </c>
      <c r="AW3807" s="80" t="s">
        <v>19488</v>
      </c>
      <c r="AX3807" s="80" t="s">
        <v>19488</v>
      </c>
      <c r="AY3807" s="77"/>
      <c r="AZ3807" s="80" t="s">
        <v>20380</v>
      </c>
      <c r="BA3807" s="80" t="s">
        <v>20380</v>
      </c>
      <c r="BB3807" s="80" t="s">
        <v>20380</v>
      </c>
      <c r="BC3807" s="80" t="s">
        <v>19488</v>
      </c>
      <c r="BD3807" s="80" t="s">
        <v>21132</v>
      </c>
      <c r="BE3807" s="77"/>
      <c r="BF3807" s="77"/>
      <c r="BG3807" s="77"/>
      <c r="BH3807" s="77"/>
      <c r="BI3807" s="77"/>
    </row>
    <row r="3808" spans="1:61" x14ac:dyDescent="0.25">
      <c r="A3808" s="62" t="s">
        <v>1528</v>
      </c>
      <c r="B3808" s="62" t="s">
        <v>1528</v>
      </c>
      <c r="C3808" s="63"/>
      <c r="D3808" s="64"/>
      <c r="E3808" s="65"/>
      <c r="F3808" s="66"/>
      <c r="G3808" s="63"/>
      <c r="H3808" s="67"/>
      <c r="I3808" s="68"/>
      <c r="J3808" s="68"/>
      <c r="K3808" s="32"/>
      <c r="L3808" s="75">
        <v>3808</v>
      </c>
      <c r="M3808" s="75"/>
      <c r="N3808" s="70"/>
      <c r="O3808" s="77" t="s">
        <v>2081</v>
      </c>
      <c r="P3808" s="79">
        <v>45189.733553240738</v>
      </c>
      <c r="Q3808" s="77" t="s">
        <v>5431</v>
      </c>
      <c r="R3808" s="77">
        <v>3</v>
      </c>
      <c r="S3808" s="77">
        <v>6</v>
      </c>
      <c r="T3808" s="77">
        <v>0</v>
      </c>
      <c r="U3808" s="77">
        <v>0</v>
      </c>
      <c r="V3808" s="77">
        <v>37</v>
      </c>
      <c r="W3808" s="80" t="s">
        <v>8267</v>
      </c>
      <c r="X3808" s="83" t="str">
        <f>HYPERLINK("https://www.bancariosbaixada.org.br/index.php/noticias/item/8160-sindicato-dos-bancarios-da-baixada-fluminense-participa-de-ato-contra-juros-altos")</f>
        <v>https://www.bancariosbaixada.org.br/index.php/noticias/item/8160-sindicato-dos-bancarios-da-baixada-fluminense-participa-de-ato-contra-juros-altos</v>
      </c>
      <c r="Y3808" s="77" t="s">
        <v>8667</v>
      </c>
      <c r="Z3808" s="77" t="s">
        <v>1528</v>
      </c>
      <c r="AA3808" s="77" t="s">
        <v>10304</v>
      </c>
      <c r="AB3808" s="77" t="s">
        <v>10535</v>
      </c>
      <c r="AC3808" s="80" t="s">
        <v>10542</v>
      </c>
      <c r="AD3808" s="77" t="s">
        <v>10617</v>
      </c>
      <c r="AE3808" s="83" t="str">
        <f>HYPERLINK("https://twitter.com/sindbaixada/status/1704550064528527798")</f>
        <v>https://twitter.com/sindbaixada/status/1704550064528527798</v>
      </c>
      <c r="AF3808" s="79">
        <v>45189.733553240738</v>
      </c>
      <c r="AG3808" s="85">
        <v>45189</v>
      </c>
      <c r="AH3808" s="80" t="s">
        <v>13924</v>
      </c>
      <c r="AI3808" s="77" t="b">
        <v>0</v>
      </c>
      <c r="AJ3808" s="77"/>
      <c r="AK3808" s="77"/>
      <c r="AL3808" s="77"/>
      <c r="AM3808" s="77"/>
      <c r="AN3808" s="77"/>
      <c r="AO3808" s="77"/>
      <c r="AP3808" s="77"/>
      <c r="AQ3808" s="77" t="s">
        <v>15784</v>
      </c>
      <c r="AR3808" s="77"/>
      <c r="AS3808" s="77"/>
      <c r="AT3808" s="77"/>
      <c r="AU3808" s="77"/>
      <c r="AV3808" s="83" t="str">
        <f>HYPERLINK("https://pbs.twimg.com/media/F6fHPCkWUAANqyb.jpg")</f>
        <v>https://pbs.twimg.com/media/F6fHPCkWUAANqyb.jpg</v>
      </c>
      <c r="AW3808" s="80" t="s">
        <v>19489</v>
      </c>
      <c r="AX3808" s="80" t="s">
        <v>19489</v>
      </c>
      <c r="AY3808" s="77"/>
      <c r="AZ3808" s="80" t="s">
        <v>20380</v>
      </c>
      <c r="BA3808" s="80" t="s">
        <v>20380</v>
      </c>
      <c r="BB3808" s="80" t="s">
        <v>20380</v>
      </c>
      <c r="BC3808" s="80" t="s">
        <v>19489</v>
      </c>
      <c r="BD3808" s="80" t="s">
        <v>21132</v>
      </c>
      <c r="BE3808" s="77"/>
      <c r="BF3808" s="77"/>
      <c r="BG3808" s="77"/>
      <c r="BH3808" s="77"/>
      <c r="BI3808" s="77"/>
    </row>
    <row r="3809" spans="1:61" x14ac:dyDescent="0.25">
      <c r="A3809" s="62" t="s">
        <v>1529</v>
      </c>
      <c r="B3809" s="62" t="s">
        <v>1528</v>
      </c>
      <c r="C3809" s="63"/>
      <c r="D3809" s="64"/>
      <c r="E3809" s="65"/>
      <c r="F3809" s="66"/>
      <c r="G3809" s="63"/>
      <c r="H3809" s="67"/>
      <c r="I3809" s="68"/>
      <c r="J3809" s="68"/>
      <c r="K3809" s="32"/>
      <c r="L3809" s="75">
        <v>3809</v>
      </c>
      <c r="M3809" s="75"/>
      <c r="N3809" s="70"/>
      <c r="O3809" s="77" t="s">
        <v>2085</v>
      </c>
      <c r="P3809" s="79">
        <v>45189.75984953704</v>
      </c>
      <c r="Q3809" s="77" t="s">
        <v>4750</v>
      </c>
      <c r="R3809" s="77">
        <v>3</v>
      </c>
      <c r="S3809" s="77">
        <v>0</v>
      </c>
      <c r="T3809" s="77">
        <v>0</v>
      </c>
      <c r="U3809" s="77">
        <v>0</v>
      </c>
      <c r="V3809" s="77"/>
      <c r="W3809" s="77"/>
      <c r="X3809" s="77"/>
      <c r="Y3809" s="77"/>
      <c r="Z3809" s="77" t="s">
        <v>9000</v>
      </c>
      <c r="AA3809" s="77"/>
      <c r="AB3809" s="77"/>
      <c r="AC3809" s="80" t="s">
        <v>10540</v>
      </c>
      <c r="AD3809" s="77" t="s">
        <v>10617</v>
      </c>
      <c r="AE3809" s="83" t="str">
        <f>HYPERLINK("https://twitter.com/rehsbc/status/1704559597183279308")</f>
        <v>https://twitter.com/rehsbc/status/1704559597183279308</v>
      </c>
      <c r="AF3809" s="79">
        <v>45189.75984953704</v>
      </c>
      <c r="AG3809" s="85">
        <v>45189</v>
      </c>
      <c r="AH3809" s="80" t="s">
        <v>13925</v>
      </c>
      <c r="AI3809" s="77"/>
      <c r="AJ3809" s="77"/>
      <c r="AK3809" s="77"/>
      <c r="AL3809" s="77"/>
      <c r="AM3809" s="77"/>
      <c r="AN3809" s="77"/>
      <c r="AO3809" s="77"/>
      <c r="AP3809" s="77"/>
      <c r="AQ3809" s="77"/>
      <c r="AR3809" s="77"/>
      <c r="AS3809" s="77"/>
      <c r="AT3809" s="77"/>
      <c r="AU3809" s="77"/>
      <c r="AV3809" s="83" t="str">
        <f>HYPERLINK("https://pbs.twimg.com/profile_images/1443943290114646016/eD8_mZ30_normal.jpg")</f>
        <v>https://pbs.twimg.com/profile_images/1443943290114646016/eD8_mZ30_normal.jpg</v>
      </c>
      <c r="AW3809" s="80" t="s">
        <v>19490</v>
      </c>
      <c r="AX3809" s="80" t="s">
        <v>19490</v>
      </c>
      <c r="AY3809" s="77"/>
      <c r="AZ3809" s="80" t="s">
        <v>20380</v>
      </c>
      <c r="BA3809" s="80" t="s">
        <v>20380</v>
      </c>
      <c r="BB3809" s="80" t="s">
        <v>19489</v>
      </c>
      <c r="BC3809" s="80" t="s">
        <v>19489</v>
      </c>
      <c r="BD3809" s="80" t="s">
        <v>21133</v>
      </c>
      <c r="BE3809" s="77"/>
      <c r="BF3809" s="77"/>
      <c r="BG3809" s="77"/>
      <c r="BH3809" s="77"/>
      <c r="BI3809" s="77"/>
    </row>
    <row r="3810" spans="1:61" x14ac:dyDescent="0.25">
      <c r="A3810" s="62" t="s">
        <v>1529</v>
      </c>
      <c r="B3810" s="62" t="s">
        <v>1528</v>
      </c>
      <c r="C3810" s="63"/>
      <c r="D3810" s="64"/>
      <c r="E3810" s="65"/>
      <c r="F3810" s="66"/>
      <c r="G3810" s="63"/>
      <c r="H3810" s="67"/>
      <c r="I3810" s="68"/>
      <c r="J3810" s="68"/>
      <c r="K3810" s="32"/>
      <c r="L3810" s="75">
        <v>3810</v>
      </c>
      <c r="M3810" s="75"/>
      <c r="N3810" s="70"/>
      <c r="O3810" s="77" t="s">
        <v>2083</v>
      </c>
      <c r="P3810" s="79">
        <v>45189.75984953704</v>
      </c>
      <c r="Q3810" s="77" t="s">
        <v>4750</v>
      </c>
      <c r="R3810" s="77">
        <v>3</v>
      </c>
      <c r="S3810" s="77">
        <v>0</v>
      </c>
      <c r="T3810" s="77">
        <v>0</v>
      </c>
      <c r="U3810" s="77">
        <v>0</v>
      </c>
      <c r="V3810" s="77"/>
      <c r="W3810" s="77"/>
      <c r="X3810" s="77"/>
      <c r="Y3810" s="77"/>
      <c r="Z3810" s="77" t="s">
        <v>9000</v>
      </c>
      <c r="AA3810" s="77"/>
      <c r="AB3810" s="77"/>
      <c r="AC3810" s="80" t="s">
        <v>10540</v>
      </c>
      <c r="AD3810" s="77" t="s">
        <v>10617</v>
      </c>
      <c r="AE3810" s="83" t="str">
        <f>HYPERLINK("https://twitter.com/rehsbc/status/1704559597183279308")</f>
        <v>https://twitter.com/rehsbc/status/1704559597183279308</v>
      </c>
      <c r="AF3810" s="79">
        <v>45189.75984953704</v>
      </c>
      <c r="AG3810" s="85">
        <v>45189</v>
      </c>
      <c r="AH3810" s="80" t="s">
        <v>13925</v>
      </c>
      <c r="AI3810" s="77"/>
      <c r="AJ3810" s="77"/>
      <c r="AK3810" s="77"/>
      <c r="AL3810" s="77"/>
      <c r="AM3810" s="77"/>
      <c r="AN3810" s="77"/>
      <c r="AO3810" s="77"/>
      <c r="AP3810" s="77"/>
      <c r="AQ3810" s="77"/>
      <c r="AR3810" s="77"/>
      <c r="AS3810" s="77"/>
      <c r="AT3810" s="77"/>
      <c r="AU3810" s="77"/>
      <c r="AV3810" s="83" t="str">
        <f>HYPERLINK("https://pbs.twimg.com/profile_images/1443943290114646016/eD8_mZ30_normal.jpg")</f>
        <v>https://pbs.twimg.com/profile_images/1443943290114646016/eD8_mZ30_normal.jpg</v>
      </c>
      <c r="AW3810" s="80" t="s">
        <v>19490</v>
      </c>
      <c r="AX3810" s="80" t="s">
        <v>19490</v>
      </c>
      <c r="AY3810" s="77"/>
      <c r="AZ3810" s="80" t="s">
        <v>20380</v>
      </c>
      <c r="BA3810" s="80" t="s">
        <v>20380</v>
      </c>
      <c r="BB3810" s="80" t="s">
        <v>19489</v>
      </c>
      <c r="BC3810" s="80" t="s">
        <v>19489</v>
      </c>
      <c r="BD3810" s="80" t="s">
        <v>21133</v>
      </c>
      <c r="BE3810" s="77"/>
      <c r="BF3810" s="77"/>
      <c r="BG3810" s="77"/>
      <c r="BH3810" s="77"/>
      <c r="BI3810" s="77"/>
    </row>
    <row r="3811" spans="1:61" x14ac:dyDescent="0.25">
      <c r="A3811" s="62" t="s">
        <v>1530</v>
      </c>
      <c r="B3811" s="62" t="s">
        <v>1596</v>
      </c>
      <c r="C3811" s="63"/>
      <c r="D3811" s="64"/>
      <c r="E3811" s="65"/>
      <c r="F3811" s="66"/>
      <c r="G3811" s="63"/>
      <c r="H3811" s="67"/>
      <c r="I3811" s="68"/>
      <c r="J3811" s="68"/>
      <c r="K3811" s="32"/>
      <c r="L3811" s="75">
        <v>3811</v>
      </c>
      <c r="M3811" s="75"/>
      <c r="N3811" s="70"/>
      <c r="O3811" s="77" t="s">
        <v>2079</v>
      </c>
      <c r="P3811" s="79">
        <v>45125.452893518515</v>
      </c>
      <c r="Q3811" s="77" t="s">
        <v>5432</v>
      </c>
      <c r="R3811" s="77">
        <v>0</v>
      </c>
      <c r="S3811" s="77">
        <v>1</v>
      </c>
      <c r="T3811" s="77">
        <v>0</v>
      </c>
      <c r="U3811" s="77">
        <v>0</v>
      </c>
      <c r="V3811" s="77">
        <v>8</v>
      </c>
      <c r="W3811" s="80" t="s">
        <v>8268</v>
      </c>
      <c r="X3811" s="77"/>
      <c r="Y3811" s="77"/>
      <c r="Z3811" s="77" t="s">
        <v>9028</v>
      </c>
      <c r="AA3811" s="77" t="s">
        <v>10305</v>
      </c>
      <c r="AB3811" s="77" t="s">
        <v>10539</v>
      </c>
      <c r="AC3811" s="80" t="s">
        <v>10540</v>
      </c>
      <c r="AD3811" s="77" t="s">
        <v>10624</v>
      </c>
      <c r="AE3811" s="83" t="str">
        <f>HYPERLINK("https://twitter.com/duallogiclive/status/1681255535578955778")</f>
        <v>https://twitter.com/duallogiclive/status/1681255535578955778</v>
      </c>
      <c r="AF3811" s="79">
        <v>45125.452893518515</v>
      </c>
      <c r="AG3811" s="85">
        <v>45125</v>
      </c>
      <c r="AH3811" s="80" t="s">
        <v>13926</v>
      </c>
      <c r="AI3811" s="77" t="b">
        <v>0</v>
      </c>
      <c r="AJ3811" s="77"/>
      <c r="AK3811" s="77"/>
      <c r="AL3811" s="77"/>
      <c r="AM3811" s="77"/>
      <c r="AN3811" s="77"/>
      <c r="AO3811" s="77"/>
      <c r="AP3811" s="77"/>
      <c r="AQ3811" s="77" t="s">
        <v>15785</v>
      </c>
      <c r="AR3811" s="77"/>
      <c r="AS3811" s="77"/>
      <c r="AT3811" s="77"/>
      <c r="AU3811" s="77"/>
      <c r="AV3811" s="83" t="str">
        <f>HYPERLINK("https://pbs.twimg.com/tweet_video_thumb/F1UE_sRXsAAw7Sb.jpg")</f>
        <v>https://pbs.twimg.com/tweet_video_thumb/F1UE_sRXsAAw7Sb.jpg</v>
      </c>
      <c r="AW3811" s="80" t="s">
        <v>19491</v>
      </c>
      <c r="AX3811" s="80" t="s">
        <v>20185</v>
      </c>
      <c r="AY3811" s="80" t="s">
        <v>20367</v>
      </c>
      <c r="AZ3811" s="80" t="s">
        <v>20185</v>
      </c>
      <c r="BA3811" s="80" t="s">
        <v>20380</v>
      </c>
      <c r="BB3811" s="80" t="s">
        <v>20380</v>
      </c>
      <c r="BC3811" s="80" t="s">
        <v>20185</v>
      </c>
      <c r="BD3811" s="77">
        <v>130189038</v>
      </c>
      <c r="BE3811" s="77"/>
      <c r="BF3811" s="77"/>
      <c r="BG3811" s="77"/>
      <c r="BH3811" s="77"/>
      <c r="BI3811" s="77"/>
    </row>
    <row r="3812" spans="1:61" x14ac:dyDescent="0.25">
      <c r="A3812" s="62" t="s">
        <v>1530</v>
      </c>
      <c r="B3812" s="62" t="s">
        <v>1596</v>
      </c>
      <c r="C3812" s="63"/>
      <c r="D3812" s="64"/>
      <c r="E3812" s="65"/>
      <c r="F3812" s="66"/>
      <c r="G3812" s="63"/>
      <c r="H3812" s="67"/>
      <c r="I3812" s="68"/>
      <c r="J3812" s="68"/>
      <c r="K3812" s="32"/>
      <c r="L3812" s="75">
        <v>3812</v>
      </c>
      <c r="M3812" s="75"/>
      <c r="N3812" s="70"/>
      <c r="O3812" s="77" t="s">
        <v>2078</v>
      </c>
      <c r="P3812" s="79">
        <v>45125.452893518515</v>
      </c>
      <c r="Q3812" s="77" t="s">
        <v>5432</v>
      </c>
      <c r="R3812" s="77">
        <v>0</v>
      </c>
      <c r="S3812" s="77">
        <v>1</v>
      </c>
      <c r="T3812" s="77">
        <v>0</v>
      </c>
      <c r="U3812" s="77">
        <v>0</v>
      </c>
      <c r="V3812" s="77">
        <v>8</v>
      </c>
      <c r="W3812" s="80" t="s">
        <v>8268</v>
      </c>
      <c r="X3812" s="77"/>
      <c r="Y3812" s="77"/>
      <c r="Z3812" s="77" t="s">
        <v>9028</v>
      </c>
      <c r="AA3812" s="77" t="s">
        <v>10305</v>
      </c>
      <c r="AB3812" s="77" t="s">
        <v>10539</v>
      </c>
      <c r="AC3812" s="80" t="s">
        <v>10540</v>
      </c>
      <c r="AD3812" s="77" t="s">
        <v>10624</v>
      </c>
      <c r="AE3812" s="83" t="str">
        <f>HYPERLINK("https://twitter.com/duallogiclive/status/1681255535578955778")</f>
        <v>https://twitter.com/duallogiclive/status/1681255535578955778</v>
      </c>
      <c r="AF3812" s="79">
        <v>45125.452893518515</v>
      </c>
      <c r="AG3812" s="85">
        <v>45125</v>
      </c>
      <c r="AH3812" s="80" t="s">
        <v>13926</v>
      </c>
      <c r="AI3812" s="77" t="b">
        <v>0</v>
      </c>
      <c r="AJ3812" s="77"/>
      <c r="AK3812" s="77"/>
      <c r="AL3812" s="77"/>
      <c r="AM3812" s="77"/>
      <c r="AN3812" s="77"/>
      <c r="AO3812" s="77"/>
      <c r="AP3812" s="77"/>
      <c r="AQ3812" s="77" t="s">
        <v>15785</v>
      </c>
      <c r="AR3812" s="77"/>
      <c r="AS3812" s="77"/>
      <c r="AT3812" s="77"/>
      <c r="AU3812" s="77"/>
      <c r="AV3812" s="83" t="str">
        <f>HYPERLINK("https://pbs.twimg.com/tweet_video_thumb/F1UE_sRXsAAw7Sb.jpg")</f>
        <v>https://pbs.twimg.com/tweet_video_thumb/F1UE_sRXsAAw7Sb.jpg</v>
      </c>
      <c r="AW3812" s="80" t="s">
        <v>19491</v>
      </c>
      <c r="AX3812" s="80" t="s">
        <v>20185</v>
      </c>
      <c r="AY3812" s="80" t="s">
        <v>20367</v>
      </c>
      <c r="AZ3812" s="80" t="s">
        <v>20185</v>
      </c>
      <c r="BA3812" s="80" t="s">
        <v>20380</v>
      </c>
      <c r="BB3812" s="80" t="s">
        <v>20380</v>
      </c>
      <c r="BC3812" s="80" t="s">
        <v>20185</v>
      </c>
      <c r="BD3812" s="77">
        <v>130189038</v>
      </c>
      <c r="BE3812" s="77"/>
      <c r="BF3812" s="77"/>
      <c r="BG3812" s="77"/>
      <c r="BH3812" s="77"/>
      <c r="BI3812" s="77"/>
    </row>
    <row r="3813" spans="1:61" x14ac:dyDescent="0.25">
      <c r="A3813" s="62" t="s">
        <v>1531</v>
      </c>
      <c r="B3813" s="62" t="s">
        <v>1531</v>
      </c>
      <c r="C3813" s="63"/>
      <c r="D3813" s="64"/>
      <c r="E3813" s="65"/>
      <c r="F3813" s="66"/>
      <c r="G3813" s="63"/>
      <c r="H3813" s="67"/>
      <c r="I3813" s="68"/>
      <c r="J3813" s="68"/>
      <c r="K3813" s="32"/>
      <c r="L3813" s="75">
        <v>3813</v>
      </c>
      <c r="M3813" s="75"/>
      <c r="N3813" s="70"/>
      <c r="O3813" s="77" t="s">
        <v>2078</v>
      </c>
      <c r="P3813" s="79">
        <v>45093.533414351848</v>
      </c>
      <c r="Q3813" s="77" t="s">
        <v>5433</v>
      </c>
      <c r="R3813" s="77">
        <v>2</v>
      </c>
      <c r="S3813" s="77">
        <v>6</v>
      </c>
      <c r="T3813" s="77">
        <v>1</v>
      </c>
      <c r="U3813" s="77">
        <v>1</v>
      </c>
      <c r="V3813" s="77">
        <v>122</v>
      </c>
      <c r="W3813" s="80" t="s">
        <v>8269</v>
      </c>
      <c r="X3813" s="83" t="str">
        <f>HYPERLINK("https://terrabrasilnoticias.com/2023/06/pt-comeca-nesta-sexta-campanha-de-ataque-contra-o-banco-central/")</f>
        <v>https://terrabrasilnoticias.com/2023/06/pt-comeca-nesta-sexta-campanha-de-ataque-contra-o-banco-central/</v>
      </c>
      <c r="Y3813" s="77" t="s">
        <v>8869</v>
      </c>
      <c r="Z3813" s="77"/>
      <c r="AA3813" s="77"/>
      <c r="AB3813" s="77"/>
      <c r="AC3813" s="80" t="s">
        <v>10541</v>
      </c>
      <c r="AD3813" s="77" t="s">
        <v>10617</v>
      </c>
      <c r="AE3813" s="83" t="str">
        <f>HYPERLINK("https://twitter.com/leiarachor/status/1669688302838992896")</f>
        <v>https://twitter.com/leiarachor/status/1669688302838992896</v>
      </c>
      <c r="AF3813" s="79">
        <v>45093.533414351848</v>
      </c>
      <c r="AG3813" s="85">
        <v>45093</v>
      </c>
      <c r="AH3813" s="80" t="s">
        <v>13927</v>
      </c>
      <c r="AI3813" s="77" t="b">
        <v>0</v>
      </c>
      <c r="AJ3813" s="77"/>
      <c r="AK3813" s="77"/>
      <c r="AL3813" s="77"/>
      <c r="AM3813" s="77"/>
      <c r="AN3813" s="77"/>
      <c r="AO3813" s="77"/>
      <c r="AP3813" s="77"/>
      <c r="AQ3813" s="77"/>
      <c r="AR3813" s="77"/>
      <c r="AS3813" s="77"/>
      <c r="AT3813" s="77"/>
      <c r="AU3813" s="77"/>
      <c r="AV3813" s="83" t="str">
        <f>HYPERLINK("https://pbs.twimg.com/profile_images/837268964501831681/_5F_a36q_normal.jpg")</f>
        <v>https://pbs.twimg.com/profile_images/837268964501831681/_5F_a36q_normal.jpg</v>
      </c>
      <c r="AW3813" s="80" t="s">
        <v>19492</v>
      </c>
      <c r="AX3813" s="80" t="s">
        <v>20186</v>
      </c>
      <c r="AY3813" s="80" t="s">
        <v>20368</v>
      </c>
      <c r="AZ3813" s="80" t="s">
        <v>20471</v>
      </c>
      <c r="BA3813" s="80" t="s">
        <v>20380</v>
      </c>
      <c r="BB3813" s="80" t="s">
        <v>20380</v>
      </c>
      <c r="BC3813" s="80" t="s">
        <v>20471</v>
      </c>
      <c r="BD3813" s="77">
        <v>361836159</v>
      </c>
      <c r="BE3813" s="77"/>
      <c r="BF3813" s="77"/>
      <c r="BG3813" s="77"/>
      <c r="BH3813" s="77"/>
      <c r="BI3813" s="77"/>
    </row>
    <row r="3814" spans="1:61" x14ac:dyDescent="0.25">
      <c r="A3814" s="62" t="s">
        <v>1532</v>
      </c>
      <c r="B3814" s="62" t="s">
        <v>1827</v>
      </c>
      <c r="C3814" s="63"/>
      <c r="D3814" s="64"/>
      <c r="E3814" s="65"/>
      <c r="F3814" s="66"/>
      <c r="G3814" s="63"/>
      <c r="H3814" s="67"/>
      <c r="I3814" s="68"/>
      <c r="J3814" s="68"/>
      <c r="K3814" s="32"/>
      <c r="L3814" s="75">
        <v>3814</v>
      </c>
      <c r="M3814" s="75"/>
      <c r="N3814" s="70"/>
      <c r="O3814" s="77" t="s">
        <v>2081</v>
      </c>
      <c r="P3814" s="79">
        <v>45175.989965277775</v>
      </c>
      <c r="Q3814" s="77" t="s">
        <v>5434</v>
      </c>
      <c r="R3814" s="77">
        <v>0</v>
      </c>
      <c r="S3814" s="77">
        <v>1</v>
      </c>
      <c r="T3814" s="77">
        <v>0</v>
      </c>
      <c r="U3814" s="77">
        <v>0</v>
      </c>
      <c r="V3814" s="77">
        <v>403</v>
      </c>
      <c r="W3814" s="80" t="s">
        <v>8270</v>
      </c>
      <c r="X3814" s="83" t="str">
        <f>HYPERLINK("https://youtu.be/zjJqhFv_xDE?si=zhdi5N1go8XmGpw2")</f>
        <v>https://youtu.be/zjJqhFv_xDE?si=zhdi5N1go8XmGpw2</v>
      </c>
      <c r="Y3814" s="77" t="s">
        <v>8635</v>
      </c>
      <c r="Z3814" s="77" t="s">
        <v>1827</v>
      </c>
      <c r="AA3814" s="77"/>
      <c r="AB3814" s="77"/>
      <c r="AC3814" s="80" t="s">
        <v>10541</v>
      </c>
      <c r="AD3814" s="77" t="s">
        <v>10617</v>
      </c>
      <c r="AE3814" s="83" t="str">
        <f>HYPERLINK("https://twitter.com/israelpinveste/status/1699569557281583595")</f>
        <v>https://twitter.com/israelpinveste/status/1699569557281583595</v>
      </c>
      <c r="AF3814" s="79">
        <v>45175.989965277775</v>
      </c>
      <c r="AG3814" s="85">
        <v>45175</v>
      </c>
      <c r="AH3814" s="80" t="s">
        <v>13928</v>
      </c>
      <c r="AI3814" s="77" t="b">
        <v>0</v>
      </c>
      <c r="AJ3814" s="77"/>
      <c r="AK3814" s="77"/>
      <c r="AL3814" s="77"/>
      <c r="AM3814" s="77"/>
      <c r="AN3814" s="77"/>
      <c r="AO3814" s="77"/>
      <c r="AP3814" s="77"/>
      <c r="AQ3814" s="77"/>
      <c r="AR3814" s="77"/>
      <c r="AS3814" s="77"/>
      <c r="AT3814" s="77"/>
      <c r="AU3814" s="77"/>
      <c r="AV3814" s="83" t="str">
        <f>HYPERLINK("https://pbs.twimg.com/profile_images/1615508002567512064/72hXrP_U_normal.jpg")</f>
        <v>https://pbs.twimg.com/profile_images/1615508002567512064/72hXrP_U_normal.jpg</v>
      </c>
      <c r="AW3814" s="80" t="s">
        <v>19493</v>
      </c>
      <c r="AX3814" s="80" t="s">
        <v>19493</v>
      </c>
      <c r="AY3814" s="77"/>
      <c r="AZ3814" s="80" t="s">
        <v>20380</v>
      </c>
      <c r="BA3814" s="80" t="s">
        <v>20380</v>
      </c>
      <c r="BB3814" s="80" t="s">
        <v>20380</v>
      </c>
      <c r="BC3814" s="80" t="s">
        <v>19493</v>
      </c>
      <c r="BD3814" s="80" t="s">
        <v>21134</v>
      </c>
      <c r="BE3814" s="77"/>
      <c r="BF3814" s="77"/>
      <c r="BG3814" s="77"/>
      <c r="BH3814" s="77"/>
      <c r="BI3814" s="77"/>
    </row>
    <row r="3815" spans="1:61" x14ac:dyDescent="0.25">
      <c r="A3815" s="62" t="s">
        <v>1532</v>
      </c>
      <c r="B3815" s="62" t="s">
        <v>1532</v>
      </c>
      <c r="C3815" s="63"/>
      <c r="D3815" s="64"/>
      <c r="E3815" s="65"/>
      <c r="F3815" s="66"/>
      <c r="G3815" s="63"/>
      <c r="H3815" s="67"/>
      <c r="I3815" s="68"/>
      <c r="J3815" s="68"/>
      <c r="K3815" s="32"/>
      <c r="L3815" s="75">
        <v>3815</v>
      </c>
      <c r="M3815" s="75"/>
      <c r="N3815" s="70"/>
      <c r="O3815" s="77" t="s">
        <v>179</v>
      </c>
      <c r="P3815" s="79">
        <v>45108.054224537038</v>
      </c>
      <c r="Q3815" s="77" t="s">
        <v>5435</v>
      </c>
      <c r="R3815" s="77">
        <v>0</v>
      </c>
      <c r="S3815" s="77">
        <v>0</v>
      </c>
      <c r="T3815" s="77">
        <v>0</v>
      </c>
      <c r="U3815" s="77">
        <v>0</v>
      </c>
      <c r="V3815" s="77">
        <v>15</v>
      </c>
      <c r="W3815" s="80" t="s">
        <v>8271</v>
      </c>
      <c r="X3815" s="77"/>
      <c r="Y3815" s="77"/>
      <c r="Z3815" s="77"/>
      <c r="AA3815" s="77" t="s">
        <v>10306</v>
      </c>
      <c r="AB3815" s="77" t="s">
        <v>10534</v>
      </c>
      <c r="AC3815" s="80" t="s">
        <v>10542</v>
      </c>
      <c r="AD3815" s="77" t="s">
        <v>10617</v>
      </c>
      <c r="AE3815" s="83" t="str">
        <f>HYPERLINK("https://twitter.com/israelpinveste/status/1674950470580723712")</f>
        <v>https://twitter.com/israelpinveste/status/1674950470580723712</v>
      </c>
      <c r="AF3815" s="79">
        <v>45108.054224537038</v>
      </c>
      <c r="AG3815" s="85">
        <v>45108</v>
      </c>
      <c r="AH3815" s="80" t="s">
        <v>13929</v>
      </c>
      <c r="AI3815" s="77" t="b">
        <v>0</v>
      </c>
      <c r="AJ3815" s="77" t="s">
        <v>14341</v>
      </c>
      <c r="AK3815" s="77" t="s">
        <v>14382</v>
      </c>
      <c r="AL3815" s="77" t="s">
        <v>14391</v>
      </c>
      <c r="AM3815" s="77" t="s">
        <v>14400</v>
      </c>
      <c r="AN3815" s="77" t="s">
        <v>14438</v>
      </c>
      <c r="AO3815" s="77" t="s">
        <v>14479</v>
      </c>
      <c r="AP3815" s="77" t="s">
        <v>14516</v>
      </c>
      <c r="AQ3815" s="77" t="s">
        <v>15786</v>
      </c>
      <c r="AR3815" s="77">
        <v>67166</v>
      </c>
      <c r="AS3815" s="77"/>
      <c r="AT3815" s="77"/>
      <c r="AU3815" s="77"/>
      <c r="AV3815" s="83" t="str">
        <f>HYPERLINK("https://pbs.twimg.com/ext_tw_video_thumb/1674950373176496131/pu/img/9QfAfK74QeGsryrz.jpg")</f>
        <v>https://pbs.twimg.com/ext_tw_video_thumb/1674950373176496131/pu/img/9QfAfK74QeGsryrz.jpg</v>
      </c>
      <c r="AW3815" s="80" t="s">
        <v>19494</v>
      </c>
      <c r="AX3815" s="80" t="s">
        <v>19494</v>
      </c>
      <c r="AY3815" s="77"/>
      <c r="AZ3815" s="80" t="s">
        <v>20380</v>
      </c>
      <c r="BA3815" s="80" t="s">
        <v>20380</v>
      </c>
      <c r="BB3815" s="80" t="s">
        <v>20380</v>
      </c>
      <c r="BC3815" s="80" t="s">
        <v>19494</v>
      </c>
      <c r="BD3815" s="80" t="s">
        <v>21134</v>
      </c>
      <c r="BE3815" s="77"/>
      <c r="BF3815" s="77"/>
      <c r="BG3815" s="77"/>
      <c r="BH3815" s="77"/>
      <c r="BI3815" s="77"/>
    </row>
    <row r="3816" spans="1:61" x14ac:dyDescent="0.25">
      <c r="A3816" s="62" t="s">
        <v>1532</v>
      </c>
      <c r="B3816" s="62" t="s">
        <v>1532</v>
      </c>
      <c r="C3816" s="63"/>
      <c r="D3816" s="64"/>
      <c r="E3816" s="65"/>
      <c r="F3816" s="66"/>
      <c r="G3816" s="63"/>
      <c r="H3816" s="67"/>
      <c r="I3816" s="68"/>
      <c r="J3816" s="68"/>
      <c r="K3816" s="32"/>
      <c r="L3816" s="75">
        <v>3816</v>
      </c>
      <c r="M3816" s="75"/>
      <c r="N3816" s="70"/>
      <c r="O3816" s="77" t="s">
        <v>179</v>
      </c>
      <c r="P3816" s="79">
        <v>45170.059432870374</v>
      </c>
      <c r="Q3816" s="77" t="s">
        <v>5436</v>
      </c>
      <c r="R3816" s="77">
        <v>0</v>
      </c>
      <c r="S3816" s="77">
        <v>1</v>
      </c>
      <c r="T3816" s="77">
        <v>1</v>
      </c>
      <c r="U3816" s="77">
        <v>0</v>
      </c>
      <c r="V3816" s="77">
        <v>530</v>
      </c>
      <c r="W3816" s="80" t="s">
        <v>8272</v>
      </c>
      <c r="X3816" s="83" t="str">
        <f>HYPERLINK("https://www.youtube.com/watch?v=AxaYt5qn6VQ")</f>
        <v>https://www.youtube.com/watch?v=AxaYt5qn6VQ</v>
      </c>
      <c r="Y3816" s="77" t="s">
        <v>8612</v>
      </c>
      <c r="Z3816" s="77"/>
      <c r="AA3816" s="77"/>
      <c r="AB3816" s="77"/>
      <c r="AC3816" s="80" t="s">
        <v>10541</v>
      </c>
      <c r="AD3816" s="77" t="s">
        <v>10617</v>
      </c>
      <c r="AE3816" s="83" t="str">
        <f>HYPERLINK("https://twitter.com/israelpinveste/status/1697420403172426172")</f>
        <v>https://twitter.com/israelpinveste/status/1697420403172426172</v>
      </c>
      <c r="AF3816" s="79">
        <v>45170.059432870374</v>
      </c>
      <c r="AG3816" s="85">
        <v>45170</v>
      </c>
      <c r="AH3816" s="80" t="s">
        <v>13306</v>
      </c>
      <c r="AI3816" s="77" t="b">
        <v>0</v>
      </c>
      <c r="AJ3816" s="77"/>
      <c r="AK3816" s="77"/>
      <c r="AL3816" s="77"/>
      <c r="AM3816" s="77"/>
      <c r="AN3816" s="77"/>
      <c r="AO3816" s="77"/>
      <c r="AP3816" s="77"/>
      <c r="AQ3816" s="77"/>
      <c r="AR3816" s="77"/>
      <c r="AS3816" s="77"/>
      <c r="AT3816" s="77"/>
      <c r="AU3816" s="77"/>
      <c r="AV3816" s="83" t="str">
        <f>HYPERLINK("https://pbs.twimg.com/profile_images/1615508002567512064/72hXrP_U_normal.jpg")</f>
        <v>https://pbs.twimg.com/profile_images/1615508002567512064/72hXrP_U_normal.jpg</v>
      </c>
      <c r="AW3816" s="80" t="s">
        <v>19495</v>
      </c>
      <c r="AX3816" s="80" t="s">
        <v>19495</v>
      </c>
      <c r="AY3816" s="77"/>
      <c r="AZ3816" s="80" t="s">
        <v>20380</v>
      </c>
      <c r="BA3816" s="80" t="s">
        <v>20380</v>
      </c>
      <c r="BB3816" s="80" t="s">
        <v>20380</v>
      </c>
      <c r="BC3816" s="80" t="s">
        <v>19495</v>
      </c>
      <c r="BD3816" s="80" t="s">
        <v>21134</v>
      </c>
      <c r="BE3816" s="77"/>
      <c r="BF3816" s="77"/>
      <c r="BG3816" s="77"/>
      <c r="BH3816" s="77"/>
      <c r="BI3816" s="77"/>
    </row>
    <row r="3817" spans="1:61" x14ac:dyDescent="0.25">
      <c r="A3817" s="62" t="s">
        <v>1533</v>
      </c>
      <c r="B3817" s="62" t="s">
        <v>1533</v>
      </c>
      <c r="C3817" s="63"/>
      <c r="D3817" s="64"/>
      <c r="E3817" s="65"/>
      <c r="F3817" s="66"/>
      <c r="G3817" s="63"/>
      <c r="H3817" s="67"/>
      <c r="I3817" s="68"/>
      <c r="J3817" s="68"/>
      <c r="K3817" s="32"/>
      <c r="L3817" s="75">
        <v>3817</v>
      </c>
      <c r="M3817" s="75"/>
      <c r="N3817" s="70"/>
      <c r="O3817" s="77" t="s">
        <v>179</v>
      </c>
      <c r="P3817" s="79">
        <v>45141.038043981483</v>
      </c>
      <c r="Q3817" s="77" t="s">
        <v>5437</v>
      </c>
      <c r="R3817" s="77">
        <v>0</v>
      </c>
      <c r="S3817" s="77">
        <v>5</v>
      </c>
      <c r="T3817" s="77">
        <v>0</v>
      </c>
      <c r="U3817" s="77">
        <v>0</v>
      </c>
      <c r="V3817" s="77">
        <v>104</v>
      </c>
      <c r="W3817" s="80" t="s">
        <v>8273</v>
      </c>
      <c r="X3817" s="83" t="str">
        <f>HYPERLINK("https://www.bloomberg.com/news/articles/2023-08-01/fed-hikes-trailed-brazil-so-will-interest-rate-cuts?in_source=embedded-checkout-banner#xj4y7vzkg")</f>
        <v>https://www.bloomberg.com/news/articles/2023-08-01/fed-hikes-trailed-brazil-so-will-interest-rate-cuts?in_source=embedded-checkout-banner#xj4y7vzkg</v>
      </c>
      <c r="Y3817" s="77" t="s">
        <v>8870</v>
      </c>
      <c r="Z3817" s="77"/>
      <c r="AA3817" s="77" t="s">
        <v>10307</v>
      </c>
      <c r="AB3817" s="77" t="s">
        <v>10535</v>
      </c>
      <c r="AC3817" s="80" t="s">
        <v>10541</v>
      </c>
      <c r="AD3817" s="77" t="s">
        <v>10619</v>
      </c>
      <c r="AE3817" s="83" t="str">
        <f>HYPERLINK("https://twitter.com/vagnermayerb3/status/1686903403811594240")</f>
        <v>https://twitter.com/vagnermayerb3/status/1686903403811594240</v>
      </c>
      <c r="AF3817" s="79">
        <v>45141.038043981483</v>
      </c>
      <c r="AG3817" s="85">
        <v>45141</v>
      </c>
      <c r="AH3817" s="80" t="s">
        <v>13930</v>
      </c>
      <c r="AI3817" s="77" t="b">
        <v>0</v>
      </c>
      <c r="AJ3817" s="77"/>
      <c r="AK3817" s="77"/>
      <c r="AL3817" s="77"/>
      <c r="AM3817" s="77"/>
      <c r="AN3817" s="77"/>
      <c r="AO3817" s="77"/>
      <c r="AP3817" s="77"/>
      <c r="AQ3817" s="77" t="s">
        <v>15787</v>
      </c>
      <c r="AR3817" s="77"/>
      <c r="AS3817" s="77"/>
      <c r="AT3817" s="77"/>
      <c r="AU3817" s="77"/>
      <c r="AV3817" s="83" t="str">
        <f>HYPERLINK("https://pbs.twimg.com/media/F2kVm2dXsAAdVhN.jpg")</f>
        <v>https://pbs.twimg.com/media/F2kVm2dXsAAdVhN.jpg</v>
      </c>
      <c r="AW3817" s="80" t="s">
        <v>19496</v>
      </c>
      <c r="AX3817" s="80" t="s">
        <v>19496</v>
      </c>
      <c r="AY3817" s="77"/>
      <c r="AZ3817" s="80" t="s">
        <v>20380</v>
      </c>
      <c r="BA3817" s="80" t="s">
        <v>20380</v>
      </c>
      <c r="BB3817" s="80" t="s">
        <v>20380</v>
      </c>
      <c r="BC3817" s="80" t="s">
        <v>19496</v>
      </c>
      <c r="BD3817" s="77">
        <v>62991145</v>
      </c>
      <c r="BE3817" s="77"/>
      <c r="BF3817" s="77"/>
      <c r="BG3817" s="77"/>
      <c r="BH3817" s="77"/>
      <c r="BI3817" s="77"/>
    </row>
    <row r="3818" spans="1:61" x14ac:dyDescent="0.25">
      <c r="A3818" s="62" t="s">
        <v>1533</v>
      </c>
      <c r="B3818" s="62" t="s">
        <v>1533</v>
      </c>
      <c r="C3818" s="63"/>
      <c r="D3818" s="64"/>
      <c r="E3818" s="65"/>
      <c r="F3818" s="66"/>
      <c r="G3818" s="63"/>
      <c r="H3818" s="67"/>
      <c r="I3818" s="68"/>
      <c r="J3818" s="68"/>
      <c r="K3818" s="32"/>
      <c r="L3818" s="75">
        <v>3818</v>
      </c>
      <c r="M3818" s="75"/>
      <c r="N3818" s="70"/>
      <c r="O3818" s="77" t="s">
        <v>179</v>
      </c>
      <c r="P3818" s="79">
        <v>45140.670810185184</v>
      </c>
      <c r="Q3818" s="77" t="s">
        <v>5438</v>
      </c>
      <c r="R3818" s="77">
        <v>0</v>
      </c>
      <c r="S3818" s="77">
        <v>10</v>
      </c>
      <c r="T3818" s="77">
        <v>4</v>
      </c>
      <c r="U3818" s="77">
        <v>0</v>
      </c>
      <c r="V3818" s="77">
        <v>344</v>
      </c>
      <c r="W3818" s="80" t="s">
        <v>8274</v>
      </c>
      <c r="X3818" s="77"/>
      <c r="Y3818" s="77"/>
      <c r="Z3818" s="77"/>
      <c r="AA3818" s="77" t="s">
        <v>10308</v>
      </c>
      <c r="AB3818" s="77" t="s">
        <v>10535</v>
      </c>
      <c r="AC3818" s="80" t="s">
        <v>10541</v>
      </c>
      <c r="AD3818" s="77" t="s">
        <v>10617</v>
      </c>
      <c r="AE3818" s="83" t="str">
        <f>HYPERLINK("https://twitter.com/vagnermayerb3/status/1686770322043760640")</f>
        <v>https://twitter.com/vagnermayerb3/status/1686770322043760640</v>
      </c>
      <c r="AF3818" s="79">
        <v>45140.670810185184</v>
      </c>
      <c r="AG3818" s="85">
        <v>45140</v>
      </c>
      <c r="AH3818" s="80" t="s">
        <v>13931</v>
      </c>
      <c r="AI3818" s="77" t="b">
        <v>0</v>
      </c>
      <c r="AJ3818" s="77"/>
      <c r="AK3818" s="77"/>
      <c r="AL3818" s="77"/>
      <c r="AM3818" s="77"/>
      <c r="AN3818" s="77"/>
      <c r="AO3818" s="77"/>
      <c r="AP3818" s="77"/>
      <c r="AQ3818" s="77" t="s">
        <v>15788</v>
      </c>
      <c r="AR3818" s="77"/>
      <c r="AS3818" s="77"/>
      <c r="AT3818" s="77"/>
      <c r="AU3818" s="77"/>
      <c r="AV3818" s="83" t="str">
        <f>HYPERLINK("https://pbs.twimg.com/media/F2icc5YWIAA6iTy.png")</f>
        <v>https://pbs.twimg.com/media/F2icc5YWIAA6iTy.png</v>
      </c>
      <c r="AW3818" s="80" t="s">
        <v>19497</v>
      </c>
      <c r="AX3818" s="80" t="s">
        <v>19497</v>
      </c>
      <c r="AY3818" s="77"/>
      <c r="AZ3818" s="80" t="s">
        <v>20380</v>
      </c>
      <c r="BA3818" s="80" t="s">
        <v>20380</v>
      </c>
      <c r="BB3818" s="80" t="s">
        <v>20380</v>
      </c>
      <c r="BC3818" s="80" t="s">
        <v>19497</v>
      </c>
      <c r="BD3818" s="77">
        <v>62991145</v>
      </c>
      <c r="BE3818" s="77"/>
      <c r="BF3818" s="77"/>
      <c r="BG3818" s="77"/>
      <c r="BH3818" s="77"/>
      <c r="BI3818" s="77"/>
    </row>
    <row r="3819" spans="1:61" x14ac:dyDescent="0.25">
      <c r="A3819" s="62" t="s">
        <v>1533</v>
      </c>
      <c r="B3819" s="62" t="s">
        <v>1533</v>
      </c>
      <c r="C3819" s="63"/>
      <c r="D3819" s="64"/>
      <c r="E3819" s="65"/>
      <c r="F3819" s="66"/>
      <c r="G3819" s="63"/>
      <c r="H3819" s="67"/>
      <c r="I3819" s="68"/>
      <c r="J3819" s="68"/>
      <c r="K3819" s="32"/>
      <c r="L3819" s="75">
        <v>3819</v>
      </c>
      <c r="M3819" s="75"/>
      <c r="N3819" s="70"/>
      <c r="O3819" s="77" t="s">
        <v>179</v>
      </c>
      <c r="P3819" s="79">
        <v>45147.735069444447</v>
      </c>
      <c r="Q3819" s="77" t="s">
        <v>5439</v>
      </c>
      <c r="R3819" s="77">
        <v>0</v>
      </c>
      <c r="S3819" s="77">
        <v>8</v>
      </c>
      <c r="T3819" s="77">
        <v>0</v>
      </c>
      <c r="U3819" s="77">
        <v>0</v>
      </c>
      <c r="V3819" s="77">
        <v>229</v>
      </c>
      <c r="W3819" s="80" t="s">
        <v>8275</v>
      </c>
      <c r="X3819" s="77"/>
      <c r="Y3819" s="77"/>
      <c r="Z3819" s="77"/>
      <c r="AA3819" s="77" t="s">
        <v>10309</v>
      </c>
      <c r="AB3819" s="77" t="s">
        <v>10535</v>
      </c>
      <c r="AC3819" s="80" t="s">
        <v>10541</v>
      </c>
      <c r="AD3819" s="77" t="s">
        <v>10617</v>
      </c>
      <c r="AE3819" s="83" t="str">
        <f>HYPERLINK("https://twitter.com/vagnermayerb3/status/1689330324755435522")</f>
        <v>https://twitter.com/vagnermayerb3/status/1689330324755435522</v>
      </c>
      <c r="AF3819" s="79">
        <v>45147.735069444447</v>
      </c>
      <c r="AG3819" s="85">
        <v>45147</v>
      </c>
      <c r="AH3819" s="80" t="s">
        <v>13932</v>
      </c>
      <c r="AI3819" s="77" t="b">
        <v>0</v>
      </c>
      <c r="AJ3819" s="77"/>
      <c r="AK3819" s="77"/>
      <c r="AL3819" s="77"/>
      <c r="AM3819" s="77"/>
      <c r="AN3819" s="77"/>
      <c r="AO3819" s="77"/>
      <c r="AP3819" s="77"/>
      <c r="AQ3819" s="77" t="s">
        <v>15789</v>
      </c>
      <c r="AR3819" s="77"/>
      <c r="AS3819" s="77"/>
      <c r="AT3819" s="77"/>
      <c r="AU3819" s="77"/>
      <c r="AV3819" s="83" t="str">
        <f>HYPERLINK("https://pbs.twimg.com/media/F3G05uzXEAAEp2d.jpg")</f>
        <v>https://pbs.twimg.com/media/F3G05uzXEAAEp2d.jpg</v>
      </c>
      <c r="AW3819" s="80" t="s">
        <v>19498</v>
      </c>
      <c r="AX3819" s="80" t="s">
        <v>19498</v>
      </c>
      <c r="AY3819" s="77"/>
      <c r="AZ3819" s="80" t="s">
        <v>20380</v>
      </c>
      <c r="BA3819" s="80" t="s">
        <v>20380</v>
      </c>
      <c r="BB3819" s="80" t="s">
        <v>20380</v>
      </c>
      <c r="BC3819" s="80" t="s">
        <v>19498</v>
      </c>
      <c r="BD3819" s="77">
        <v>62991145</v>
      </c>
      <c r="BE3819" s="77"/>
      <c r="BF3819" s="77"/>
      <c r="BG3819" s="77"/>
      <c r="BH3819" s="77"/>
      <c r="BI3819" s="77"/>
    </row>
    <row r="3820" spans="1:61" x14ac:dyDescent="0.25">
      <c r="A3820" s="62" t="s">
        <v>1533</v>
      </c>
      <c r="B3820" s="62" t="s">
        <v>1533</v>
      </c>
      <c r="C3820" s="63"/>
      <c r="D3820" s="64"/>
      <c r="E3820" s="65"/>
      <c r="F3820" s="66"/>
      <c r="G3820" s="63"/>
      <c r="H3820" s="67"/>
      <c r="I3820" s="68"/>
      <c r="J3820" s="68"/>
      <c r="K3820" s="32"/>
      <c r="L3820" s="75">
        <v>3820</v>
      </c>
      <c r="M3820" s="75"/>
      <c r="N3820" s="70"/>
      <c r="O3820" s="77" t="s">
        <v>179</v>
      </c>
      <c r="P3820" s="79">
        <v>45189.845567129632</v>
      </c>
      <c r="Q3820" s="77" t="s">
        <v>5440</v>
      </c>
      <c r="R3820" s="77">
        <v>1</v>
      </c>
      <c r="S3820" s="77">
        <v>9</v>
      </c>
      <c r="T3820" s="77">
        <v>0</v>
      </c>
      <c r="U3820" s="77">
        <v>1</v>
      </c>
      <c r="V3820" s="77">
        <v>579</v>
      </c>
      <c r="W3820" s="80" t="s">
        <v>7386</v>
      </c>
      <c r="X3820" s="77"/>
      <c r="Y3820" s="77"/>
      <c r="Z3820" s="77"/>
      <c r="AA3820" s="77" t="s">
        <v>10310</v>
      </c>
      <c r="AB3820" s="77" t="s">
        <v>10535</v>
      </c>
      <c r="AC3820" s="80" t="s">
        <v>10542</v>
      </c>
      <c r="AD3820" s="77" t="s">
        <v>10617</v>
      </c>
      <c r="AE3820" s="83" t="str">
        <f>HYPERLINK("https://twitter.com/vagnermayerb3/status/1704590657250083198")</f>
        <v>https://twitter.com/vagnermayerb3/status/1704590657250083198</v>
      </c>
      <c r="AF3820" s="79">
        <v>45189.845567129632</v>
      </c>
      <c r="AG3820" s="85">
        <v>45189</v>
      </c>
      <c r="AH3820" s="80" t="s">
        <v>13933</v>
      </c>
      <c r="AI3820" s="77" t="b">
        <v>0</v>
      </c>
      <c r="AJ3820" s="77"/>
      <c r="AK3820" s="77"/>
      <c r="AL3820" s="77"/>
      <c r="AM3820" s="77"/>
      <c r="AN3820" s="77"/>
      <c r="AO3820" s="77"/>
      <c r="AP3820" s="77"/>
      <c r="AQ3820" s="77" t="s">
        <v>15790</v>
      </c>
      <c r="AR3820" s="77"/>
      <c r="AS3820" s="77"/>
      <c r="AT3820" s="77"/>
      <c r="AU3820" s="77"/>
      <c r="AV3820" s="83" t="str">
        <f>HYPERLINK("https://pbs.twimg.com/media/F6fsKo8WIAANAVM.jpg")</f>
        <v>https://pbs.twimg.com/media/F6fsKo8WIAANAVM.jpg</v>
      </c>
      <c r="AW3820" s="80" t="s">
        <v>19499</v>
      </c>
      <c r="AX3820" s="80" t="s">
        <v>19499</v>
      </c>
      <c r="AY3820" s="77"/>
      <c r="AZ3820" s="80" t="s">
        <v>20380</v>
      </c>
      <c r="BA3820" s="80" t="s">
        <v>20380</v>
      </c>
      <c r="BB3820" s="80" t="s">
        <v>20380</v>
      </c>
      <c r="BC3820" s="80" t="s">
        <v>19499</v>
      </c>
      <c r="BD3820" s="77">
        <v>62991145</v>
      </c>
      <c r="BE3820" s="77"/>
      <c r="BF3820" s="77"/>
      <c r="BG3820" s="77"/>
      <c r="BH3820" s="77"/>
      <c r="BI3820" s="77"/>
    </row>
    <row r="3821" spans="1:61" x14ac:dyDescent="0.25">
      <c r="A3821" s="62" t="s">
        <v>1534</v>
      </c>
      <c r="B3821" s="62" t="s">
        <v>1533</v>
      </c>
      <c r="C3821" s="63"/>
      <c r="D3821" s="64"/>
      <c r="E3821" s="65"/>
      <c r="F3821" s="66"/>
      <c r="G3821" s="63"/>
      <c r="H3821" s="67"/>
      <c r="I3821" s="68"/>
      <c r="J3821" s="68"/>
      <c r="K3821" s="32"/>
      <c r="L3821" s="75">
        <v>3821</v>
      </c>
      <c r="M3821" s="75"/>
      <c r="N3821" s="70"/>
      <c r="O3821" s="77" t="s">
        <v>2083</v>
      </c>
      <c r="P3821" s="79">
        <v>45189.94767361111</v>
      </c>
      <c r="Q3821" s="77" t="s">
        <v>5441</v>
      </c>
      <c r="R3821" s="77">
        <v>1</v>
      </c>
      <c r="S3821" s="77">
        <v>0</v>
      </c>
      <c r="T3821" s="77">
        <v>0</v>
      </c>
      <c r="U3821" s="77">
        <v>0</v>
      </c>
      <c r="V3821" s="77"/>
      <c r="W3821" s="80" t="s">
        <v>7386</v>
      </c>
      <c r="X3821" s="77"/>
      <c r="Y3821" s="77"/>
      <c r="Z3821" s="77" t="s">
        <v>1533</v>
      </c>
      <c r="AA3821" s="77" t="s">
        <v>10310</v>
      </c>
      <c r="AB3821" s="77" t="s">
        <v>10535</v>
      </c>
      <c r="AC3821" s="80" t="s">
        <v>10541</v>
      </c>
      <c r="AD3821" s="77" t="s">
        <v>10617</v>
      </c>
      <c r="AE3821" s="83" t="str">
        <f>HYPERLINK("https://twitter.com/terradavi/status/1704627660020765052")</f>
        <v>https://twitter.com/terradavi/status/1704627660020765052</v>
      </c>
      <c r="AF3821" s="79">
        <v>45189.94767361111</v>
      </c>
      <c r="AG3821" s="85">
        <v>45189</v>
      </c>
      <c r="AH3821" s="80" t="s">
        <v>13934</v>
      </c>
      <c r="AI3821" s="77" t="b">
        <v>0</v>
      </c>
      <c r="AJ3821" s="77"/>
      <c r="AK3821" s="77"/>
      <c r="AL3821" s="77"/>
      <c r="AM3821" s="77"/>
      <c r="AN3821" s="77"/>
      <c r="AO3821" s="77"/>
      <c r="AP3821" s="77"/>
      <c r="AQ3821" s="77" t="s">
        <v>15790</v>
      </c>
      <c r="AR3821" s="77"/>
      <c r="AS3821" s="77"/>
      <c r="AT3821" s="77"/>
      <c r="AU3821" s="77"/>
      <c r="AV3821" s="83" t="str">
        <f>HYPERLINK("https://pbs.twimg.com/media/F6fsKo8WIAANAVM.jpg")</f>
        <v>https://pbs.twimg.com/media/F6fsKo8WIAANAVM.jpg</v>
      </c>
      <c r="AW3821" s="80" t="s">
        <v>19500</v>
      </c>
      <c r="AX3821" s="80" t="s">
        <v>19500</v>
      </c>
      <c r="AY3821" s="77"/>
      <c r="AZ3821" s="80" t="s">
        <v>20380</v>
      </c>
      <c r="BA3821" s="80" t="s">
        <v>20380</v>
      </c>
      <c r="BB3821" s="80" t="s">
        <v>19499</v>
      </c>
      <c r="BC3821" s="80" t="s">
        <v>19499</v>
      </c>
      <c r="BD3821" s="77">
        <v>2295607324</v>
      </c>
      <c r="BE3821" s="77"/>
      <c r="BF3821" s="77"/>
      <c r="BG3821" s="77"/>
      <c r="BH3821" s="77"/>
      <c r="BI3821" s="77"/>
    </row>
    <row r="3822" spans="1:61" x14ac:dyDescent="0.25">
      <c r="A3822" s="62" t="s">
        <v>1535</v>
      </c>
      <c r="B3822" s="62" t="s">
        <v>1535</v>
      </c>
      <c r="C3822" s="63"/>
      <c r="D3822" s="64"/>
      <c r="E3822" s="65"/>
      <c r="F3822" s="66"/>
      <c r="G3822" s="63"/>
      <c r="H3822" s="67"/>
      <c r="I3822" s="68"/>
      <c r="J3822" s="68"/>
      <c r="K3822" s="32"/>
      <c r="L3822" s="75">
        <v>3822</v>
      </c>
      <c r="M3822" s="75"/>
      <c r="N3822" s="70"/>
      <c r="O3822" s="77" t="s">
        <v>179</v>
      </c>
      <c r="P3822" s="79">
        <v>45146.854166666664</v>
      </c>
      <c r="Q3822" s="77" t="s">
        <v>5442</v>
      </c>
      <c r="R3822" s="77">
        <v>2</v>
      </c>
      <c r="S3822" s="77">
        <v>13</v>
      </c>
      <c r="T3822" s="77">
        <v>4</v>
      </c>
      <c r="U3822" s="77">
        <v>0</v>
      </c>
      <c r="V3822" s="77">
        <v>5201</v>
      </c>
      <c r="W3822" s="80" t="s">
        <v>8276</v>
      </c>
      <c r="X3822" s="83" t="str">
        <f>HYPERLINK("https://olhardigital.com.br/2023/08/07/pro/real-digital-agora-e-drex-saiba-mais-sobre-a-nova-moeda/")</f>
        <v>https://olhardigital.com.br/2023/08/07/pro/real-digital-agora-e-drex-saiba-mais-sobre-a-nova-moeda/</v>
      </c>
      <c r="Y3822" s="77" t="s">
        <v>8611</v>
      </c>
      <c r="Z3822" s="77"/>
      <c r="AA3822" s="77"/>
      <c r="AB3822" s="77"/>
      <c r="AC3822" s="80" t="s">
        <v>10541</v>
      </c>
      <c r="AD3822" s="77" t="s">
        <v>10617</v>
      </c>
      <c r="AE3822" s="83" t="str">
        <f>HYPERLINK("https://twitter.com/olhardigital/status/1689011095653191685")</f>
        <v>https://twitter.com/olhardigital/status/1689011095653191685</v>
      </c>
      <c r="AF3822" s="79">
        <v>45146.854166666664</v>
      </c>
      <c r="AG3822" s="85">
        <v>45146</v>
      </c>
      <c r="AH3822" s="80" t="s">
        <v>11160</v>
      </c>
      <c r="AI3822" s="77" t="b">
        <v>0</v>
      </c>
      <c r="AJ3822" s="77"/>
      <c r="AK3822" s="77"/>
      <c r="AL3822" s="77"/>
      <c r="AM3822" s="77"/>
      <c r="AN3822" s="77"/>
      <c r="AO3822" s="77"/>
      <c r="AP3822" s="77"/>
      <c r="AQ3822" s="77"/>
      <c r="AR3822" s="77"/>
      <c r="AS3822" s="77"/>
      <c r="AT3822" s="77"/>
      <c r="AU3822" s="77"/>
      <c r="AV3822" s="83" t="str">
        <f>HYPERLINK("https://pbs.twimg.com/profile_images/1643005424721952768/57hdyPm__normal.jpg")</f>
        <v>https://pbs.twimg.com/profile_images/1643005424721952768/57hdyPm__normal.jpg</v>
      </c>
      <c r="AW3822" s="80" t="s">
        <v>19501</v>
      </c>
      <c r="AX3822" s="80" t="s">
        <v>19501</v>
      </c>
      <c r="AY3822" s="77"/>
      <c r="AZ3822" s="80" t="s">
        <v>20380</v>
      </c>
      <c r="BA3822" s="80" t="s">
        <v>20380</v>
      </c>
      <c r="BB3822" s="80" t="s">
        <v>20380</v>
      </c>
      <c r="BC3822" s="80" t="s">
        <v>19501</v>
      </c>
      <c r="BD3822" s="77">
        <v>8315402</v>
      </c>
      <c r="BE3822" s="77"/>
      <c r="BF3822" s="77"/>
      <c r="BG3822" s="77"/>
      <c r="BH3822" s="77"/>
      <c r="BI3822" s="77"/>
    </row>
    <row r="3823" spans="1:61" x14ac:dyDescent="0.25">
      <c r="A3823" s="62" t="s">
        <v>1535</v>
      </c>
      <c r="B3823" s="62" t="s">
        <v>1535</v>
      </c>
      <c r="C3823" s="63"/>
      <c r="D3823" s="64"/>
      <c r="E3823" s="65"/>
      <c r="F3823" s="66"/>
      <c r="G3823" s="63"/>
      <c r="H3823" s="67"/>
      <c r="I3823" s="68"/>
      <c r="J3823" s="68"/>
      <c r="K3823" s="32"/>
      <c r="L3823" s="75">
        <v>3823</v>
      </c>
      <c r="M3823" s="75"/>
      <c r="N3823" s="70"/>
      <c r="O3823" s="77" t="s">
        <v>179</v>
      </c>
      <c r="P3823" s="79">
        <v>45152.6875</v>
      </c>
      <c r="Q3823" s="77" t="s">
        <v>5443</v>
      </c>
      <c r="R3823" s="77">
        <v>4</v>
      </c>
      <c r="S3823" s="77">
        <v>42</v>
      </c>
      <c r="T3823" s="77">
        <v>10</v>
      </c>
      <c r="U3823" s="77">
        <v>3</v>
      </c>
      <c r="V3823" s="77">
        <v>10458</v>
      </c>
      <c r="W3823" s="80" t="s">
        <v>8277</v>
      </c>
      <c r="X3823" s="83" t="str">
        <f>HYPERLINK("https://olhardigital.com.br/2023/08/14/pro/super-app-reunira-todas-suas-contas-bancarias-em-um-unico-lugar-entenda/")</f>
        <v>https://olhardigital.com.br/2023/08/14/pro/super-app-reunira-todas-suas-contas-bancarias-em-um-unico-lugar-entenda/</v>
      </c>
      <c r="Y3823" s="77" t="s">
        <v>8611</v>
      </c>
      <c r="Z3823" s="77"/>
      <c r="AA3823" s="77"/>
      <c r="AB3823" s="77"/>
      <c r="AC3823" s="80" t="s">
        <v>10541</v>
      </c>
      <c r="AD3823" s="77" t="s">
        <v>10617</v>
      </c>
      <c r="AE3823" s="83" t="str">
        <f>HYPERLINK("https://twitter.com/olhardigital/status/1691125025091342355")</f>
        <v>https://twitter.com/olhardigital/status/1691125025091342355</v>
      </c>
      <c r="AF3823" s="79">
        <v>45152.6875</v>
      </c>
      <c r="AG3823" s="85">
        <v>45152</v>
      </c>
      <c r="AH3823" s="80" t="s">
        <v>10759</v>
      </c>
      <c r="AI3823" s="77" t="b">
        <v>0</v>
      </c>
      <c r="AJ3823" s="77"/>
      <c r="AK3823" s="77"/>
      <c r="AL3823" s="77"/>
      <c r="AM3823" s="77"/>
      <c r="AN3823" s="77"/>
      <c r="AO3823" s="77"/>
      <c r="AP3823" s="77"/>
      <c r="AQ3823" s="77"/>
      <c r="AR3823" s="77"/>
      <c r="AS3823" s="77"/>
      <c r="AT3823" s="77"/>
      <c r="AU3823" s="77"/>
      <c r="AV3823" s="83" t="str">
        <f>HYPERLINK("https://pbs.twimg.com/profile_images/1643005424721952768/57hdyPm__normal.jpg")</f>
        <v>https://pbs.twimg.com/profile_images/1643005424721952768/57hdyPm__normal.jpg</v>
      </c>
      <c r="AW3823" s="80" t="s">
        <v>19502</v>
      </c>
      <c r="AX3823" s="80" t="s">
        <v>19502</v>
      </c>
      <c r="AY3823" s="77"/>
      <c r="AZ3823" s="80" t="s">
        <v>20380</v>
      </c>
      <c r="BA3823" s="80" t="s">
        <v>20380</v>
      </c>
      <c r="BB3823" s="80" t="s">
        <v>20380</v>
      </c>
      <c r="BC3823" s="80" t="s">
        <v>19502</v>
      </c>
      <c r="BD3823" s="77">
        <v>8315402</v>
      </c>
      <c r="BE3823" s="77"/>
      <c r="BF3823" s="77"/>
      <c r="BG3823" s="77"/>
      <c r="BH3823" s="77"/>
      <c r="BI3823" s="77"/>
    </row>
    <row r="3824" spans="1:61" x14ac:dyDescent="0.25">
      <c r="A3824" s="62" t="s">
        <v>1535</v>
      </c>
      <c r="B3824" s="62" t="s">
        <v>1535</v>
      </c>
      <c r="C3824" s="63"/>
      <c r="D3824" s="64"/>
      <c r="E3824" s="65"/>
      <c r="F3824" s="66"/>
      <c r="G3824" s="63"/>
      <c r="H3824" s="67"/>
      <c r="I3824" s="68"/>
      <c r="J3824" s="68"/>
      <c r="K3824" s="32"/>
      <c r="L3824" s="75">
        <v>3824</v>
      </c>
      <c r="M3824" s="75"/>
      <c r="N3824" s="70"/>
      <c r="O3824" s="77" t="s">
        <v>179</v>
      </c>
      <c r="P3824" s="79">
        <v>45167.079861111109</v>
      </c>
      <c r="Q3824" s="77" t="s">
        <v>5444</v>
      </c>
      <c r="R3824" s="77">
        <v>1</v>
      </c>
      <c r="S3824" s="77">
        <v>8</v>
      </c>
      <c r="T3824" s="77">
        <v>0</v>
      </c>
      <c r="U3824" s="77">
        <v>0</v>
      </c>
      <c r="V3824" s="77">
        <v>5015</v>
      </c>
      <c r="W3824" s="80" t="s">
        <v>8278</v>
      </c>
      <c r="X3824" s="83" t="str">
        <f>HYPERLINK("https://olhardigital.com.br/2023/08/28/pro/dinheiro-esquecido-sortudo-resgata-quase-r-3-milhoes/")</f>
        <v>https://olhardigital.com.br/2023/08/28/pro/dinheiro-esquecido-sortudo-resgata-quase-r-3-milhoes/</v>
      </c>
      <c r="Y3824" s="77" t="s">
        <v>8611</v>
      </c>
      <c r="Z3824" s="77"/>
      <c r="AA3824" s="77"/>
      <c r="AB3824" s="77"/>
      <c r="AC3824" s="80" t="s">
        <v>10541</v>
      </c>
      <c r="AD3824" s="77" t="s">
        <v>10617</v>
      </c>
      <c r="AE3824" s="83" t="str">
        <f>HYPERLINK("https://twitter.com/olhardigital/status/1696340642060714420")</f>
        <v>https://twitter.com/olhardigital/status/1696340642060714420</v>
      </c>
      <c r="AF3824" s="79">
        <v>45167.079861111109</v>
      </c>
      <c r="AG3824" s="85">
        <v>45167</v>
      </c>
      <c r="AH3824" s="80" t="s">
        <v>13482</v>
      </c>
      <c r="AI3824" s="77" t="b">
        <v>0</v>
      </c>
      <c r="AJ3824" s="77"/>
      <c r="AK3824" s="77"/>
      <c r="AL3824" s="77"/>
      <c r="AM3824" s="77"/>
      <c r="AN3824" s="77"/>
      <c r="AO3824" s="77"/>
      <c r="AP3824" s="77"/>
      <c r="AQ3824" s="77"/>
      <c r="AR3824" s="77"/>
      <c r="AS3824" s="77"/>
      <c r="AT3824" s="77"/>
      <c r="AU3824" s="77"/>
      <c r="AV3824" s="83" t="str">
        <f>HYPERLINK("https://pbs.twimg.com/profile_images/1643005424721952768/57hdyPm__normal.jpg")</f>
        <v>https://pbs.twimg.com/profile_images/1643005424721952768/57hdyPm__normal.jpg</v>
      </c>
      <c r="AW3824" s="80" t="s">
        <v>19503</v>
      </c>
      <c r="AX3824" s="80" t="s">
        <v>19503</v>
      </c>
      <c r="AY3824" s="77"/>
      <c r="AZ3824" s="80" t="s">
        <v>20380</v>
      </c>
      <c r="BA3824" s="80" t="s">
        <v>20380</v>
      </c>
      <c r="BB3824" s="80" t="s">
        <v>20380</v>
      </c>
      <c r="BC3824" s="80" t="s">
        <v>19503</v>
      </c>
      <c r="BD3824" s="77">
        <v>8315402</v>
      </c>
      <c r="BE3824" s="77"/>
      <c r="BF3824" s="77"/>
      <c r="BG3824" s="77"/>
      <c r="BH3824" s="77"/>
      <c r="BI3824" s="77"/>
    </row>
    <row r="3825" spans="1:61" x14ac:dyDescent="0.25">
      <c r="A3825" s="62" t="s">
        <v>1535</v>
      </c>
      <c r="B3825" s="62" t="s">
        <v>1535</v>
      </c>
      <c r="C3825" s="63"/>
      <c r="D3825" s="64"/>
      <c r="E3825" s="65"/>
      <c r="F3825" s="66"/>
      <c r="G3825" s="63"/>
      <c r="H3825" s="67"/>
      <c r="I3825" s="68"/>
      <c r="J3825" s="68"/>
      <c r="K3825" s="32"/>
      <c r="L3825" s="75">
        <v>3825</v>
      </c>
      <c r="M3825" s="75"/>
      <c r="N3825" s="70"/>
      <c r="O3825" s="77" t="s">
        <v>179</v>
      </c>
      <c r="P3825" s="79">
        <v>45173.752581018518</v>
      </c>
      <c r="Q3825" s="77" t="s">
        <v>5445</v>
      </c>
      <c r="R3825" s="77">
        <v>4</v>
      </c>
      <c r="S3825" s="77">
        <v>20</v>
      </c>
      <c r="T3825" s="77">
        <v>0</v>
      </c>
      <c r="U3825" s="77">
        <v>0</v>
      </c>
      <c r="V3825" s="77">
        <v>4687</v>
      </c>
      <c r="W3825" s="80" t="s">
        <v>8279</v>
      </c>
      <c r="X3825" s="83" t="str">
        <f>HYPERLINK("https://olhardigital.com.br/2023/09/04/pro/futuro-do-pix-bc-quer-opcao-em-pedagios-onibus-e-compras-parceladas")</f>
        <v>https://olhardigital.com.br/2023/09/04/pro/futuro-do-pix-bc-quer-opcao-em-pedagios-onibus-e-compras-parceladas</v>
      </c>
      <c r="Y3825" s="77" t="s">
        <v>8611</v>
      </c>
      <c r="Z3825" s="77"/>
      <c r="AA3825" s="77"/>
      <c r="AB3825" s="77"/>
      <c r="AC3825" s="80" t="s">
        <v>10541</v>
      </c>
      <c r="AD3825" s="77" t="s">
        <v>10617</v>
      </c>
      <c r="AE3825" s="83" t="str">
        <f>HYPERLINK("https://twitter.com/olhardigital/status/1698758754370478556")</f>
        <v>https://twitter.com/olhardigital/status/1698758754370478556</v>
      </c>
      <c r="AF3825" s="79">
        <v>45173.752581018518</v>
      </c>
      <c r="AG3825" s="85">
        <v>45173</v>
      </c>
      <c r="AH3825" s="80" t="s">
        <v>13935</v>
      </c>
      <c r="AI3825" s="77" t="b">
        <v>0</v>
      </c>
      <c r="AJ3825" s="77"/>
      <c r="AK3825" s="77"/>
      <c r="AL3825" s="77"/>
      <c r="AM3825" s="77"/>
      <c r="AN3825" s="77"/>
      <c r="AO3825" s="77"/>
      <c r="AP3825" s="77"/>
      <c r="AQ3825" s="77"/>
      <c r="AR3825" s="77"/>
      <c r="AS3825" s="77"/>
      <c r="AT3825" s="77"/>
      <c r="AU3825" s="77"/>
      <c r="AV3825" s="83" t="str">
        <f>HYPERLINK("https://pbs.twimg.com/profile_images/1643005424721952768/57hdyPm__normal.jpg")</f>
        <v>https://pbs.twimg.com/profile_images/1643005424721952768/57hdyPm__normal.jpg</v>
      </c>
      <c r="AW3825" s="80" t="s">
        <v>19504</v>
      </c>
      <c r="AX3825" s="80" t="s">
        <v>19504</v>
      </c>
      <c r="AY3825" s="77"/>
      <c r="AZ3825" s="80" t="s">
        <v>20380</v>
      </c>
      <c r="BA3825" s="80" t="s">
        <v>20380</v>
      </c>
      <c r="BB3825" s="80" t="s">
        <v>20380</v>
      </c>
      <c r="BC3825" s="80" t="s">
        <v>19504</v>
      </c>
      <c r="BD3825" s="77">
        <v>8315402</v>
      </c>
      <c r="BE3825" s="77"/>
      <c r="BF3825" s="77"/>
      <c r="BG3825" s="77"/>
      <c r="BH3825" s="77"/>
      <c r="BI3825" s="77"/>
    </row>
    <row r="3826" spans="1:61" x14ac:dyDescent="0.25">
      <c r="A3826" s="62" t="s">
        <v>1536</v>
      </c>
      <c r="B3826" s="62" t="s">
        <v>1536</v>
      </c>
      <c r="C3826" s="63"/>
      <c r="D3826" s="64"/>
      <c r="E3826" s="65"/>
      <c r="F3826" s="66"/>
      <c r="G3826" s="63"/>
      <c r="H3826" s="67"/>
      <c r="I3826" s="68"/>
      <c r="J3826" s="68"/>
      <c r="K3826" s="32"/>
      <c r="L3826" s="75">
        <v>3826</v>
      </c>
      <c r="M3826" s="75"/>
      <c r="N3826" s="70"/>
      <c r="O3826" s="77" t="s">
        <v>179</v>
      </c>
      <c r="P3826" s="79">
        <v>45139.03465277778</v>
      </c>
      <c r="Q3826" s="77" t="s">
        <v>5446</v>
      </c>
      <c r="R3826" s="77">
        <v>292</v>
      </c>
      <c r="S3826" s="77">
        <v>1350</v>
      </c>
      <c r="T3826" s="77">
        <v>715</v>
      </c>
      <c r="U3826" s="77">
        <v>1684</v>
      </c>
      <c r="V3826" s="77">
        <v>4121032</v>
      </c>
      <c r="W3826" s="77"/>
      <c r="X3826" s="77"/>
      <c r="Y3826" s="77"/>
      <c r="Z3826" s="77"/>
      <c r="AA3826" s="77" t="s">
        <v>10311</v>
      </c>
      <c r="AB3826" s="77" t="s">
        <v>10534</v>
      </c>
      <c r="AC3826" s="80" t="s">
        <v>10542</v>
      </c>
      <c r="AD3826" s="77" t="s">
        <v>10620</v>
      </c>
      <c r="AE3826" s="83" t="str">
        <f>HYPERLINK("https://twitter.com/somoscorta/status/1686177401422618624")</f>
        <v>https://twitter.com/somoscorta/status/1686177401422618624</v>
      </c>
      <c r="AF3826" s="79">
        <v>45139.03465277778</v>
      </c>
      <c r="AG3826" s="85">
        <v>45139</v>
      </c>
      <c r="AH3826" s="80" t="s">
        <v>11530</v>
      </c>
      <c r="AI3826" s="77" t="b">
        <v>0</v>
      </c>
      <c r="AJ3826" s="77"/>
      <c r="AK3826" s="77"/>
      <c r="AL3826" s="77"/>
      <c r="AM3826" s="77"/>
      <c r="AN3826" s="77"/>
      <c r="AO3826" s="77"/>
      <c r="AP3826" s="77"/>
      <c r="AQ3826" s="77" t="s">
        <v>14854</v>
      </c>
      <c r="AR3826" s="77">
        <v>75705</v>
      </c>
      <c r="AS3826" s="77"/>
      <c r="AT3826" s="77"/>
      <c r="AU3826" s="77"/>
      <c r="AV3826" s="83" t="str">
        <f>HYPERLINK("https://pbs.twimg.com/amplify_video_thumb/1686177228260818944/img/t9qwYUJjHlZYqqX0.jpg")</f>
        <v>https://pbs.twimg.com/amplify_video_thumb/1686177228260818944/img/t9qwYUJjHlZYqqX0.jpg</v>
      </c>
      <c r="AW3826" s="80" t="s">
        <v>19505</v>
      </c>
      <c r="AX3826" s="80" t="s">
        <v>19505</v>
      </c>
      <c r="AY3826" s="77"/>
      <c r="AZ3826" s="80" t="s">
        <v>20380</v>
      </c>
      <c r="BA3826" s="80" t="s">
        <v>20380</v>
      </c>
      <c r="BB3826" s="80" t="s">
        <v>20380</v>
      </c>
      <c r="BC3826" s="80" t="s">
        <v>19505</v>
      </c>
      <c r="BD3826" s="80" t="s">
        <v>21135</v>
      </c>
      <c r="BE3826" s="77"/>
      <c r="BF3826" s="77"/>
      <c r="BG3826" s="77"/>
      <c r="BH3826" s="77"/>
      <c r="BI3826" s="77"/>
    </row>
    <row r="3827" spans="1:61" x14ac:dyDescent="0.25">
      <c r="A3827" s="62" t="s">
        <v>1537</v>
      </c>
      <c r="B3827" s="62" t="s">
        <v>1716</v>
      </c>
      <c r="C3827" s="63"/>
      <c r="D3827" s="64"/>
      <c r="E3827" s="65"/>
      <c r="F3827" s="66"/>
      <c r="G3827" s="63"/>
      <c r="H3827" s="67"/>
      <c r="I3827" s="68"/>
      <c r="J3827" s="68"/>
      <c r="K3827" s="32"/>
      <c r="L3827" s="75">
        <v>3827</v>
      </c>
      <c r="M3827" s="75"/>
      <c r="N3827" s="70"/>
      <c r="O3827" s="77" t="s">
        <v>2081</v>
      </c>
      <c r="P3827" s="79">
        <v>45090.758425925924</v>
      </c>
      <c r="Q3827" s="77" t="s">
        <v>5447</v>
      </c>
      <c r="R3827" s="77">
        <v>1</v>
      </c>
      <c r="S3827" s="77">
        <v>0</v>
      </c>
      <c r="T3827" s="77">
        <v>0</v>
      </c>
      <c r="U3827" s="77">
        <v>0</v>
      </c>
      <c r="V3827" s="77">
        <v>75</v>
      </c>
      <c r="W3827" s="80" t="s">
        <v>8280</v>
      </c>
      <c r="X3827" s="83" t="str">
        <f>HYPERLINK("https://despertarnacional.com.do/2023/06/13/banco-central-informa-que-las-remesas-rondaron-los-us4200-0-millones-en-los-primeros-cinco-meses-de-2023-superando-en-2-9-al-mismo-periodo-de-2022/")</f>
        <v>https://despertarnacional.com.do/2023/06/13/banco-central-informa-que-las-remesas-rondaron-los-us4200-0-millones-en-los-primeros-cinco-meses-de-2023-superando-en-2-9-al-mismo-periodo-de-2022/</v>
      </c>
      <c r="Y3827" s="77" t="s">
        <v>8625</v>
      </c>
      <c r="Z3827" s="77" t="s">
        <v>1716</v>
      </c>
      <c r="AA3827" s="77" t="s">
        <v>10312</v>
      </c>
      <c r="AB3827" s="77" t="s">
        <v>10535</v>
      </c>
      <c r="AC3827" s="80" t="s">
        <v>10541</v>
      </c>
      <c r="AD3827" s="77" t="s">
        <v>10620</v>
      </c>
      <c r="AE3827" s="83" t="str">
        <f>HYPERLINK("https://twitter.com/despertarnacio2/status/1668682679993106432")</f>
        <v>https://twitter.com/despertarnacio2/status/1668682679993106432</v>
      </c>
      <c r="AF3827" s="79">
        <v>45090.758425925924</v>
      </c>
      <c r="AG3827" s="85">
        <v>45090</v>
      </c>
      <c r="AH3827" s="80" t="s">
        <v>13936</v>
      </c>
      <c r="AI3827" s="77" t="b">
        <v>0</v>
      </c>
      <c r="AJ3827" s="77"/>
      <c r="AK3827" s="77"/>
      <c r="AL3827" s="77"/>
      <c r="AM3827" s="77"/>
      <c r="AN3827" s="77"/>
      <c r="AO3827" s="77"/>
      <c r="AP3827" s="77"/>
      <c r="AQ3827" s="77" t="s">
        <v>15791</v>
      </c>
      <c r="AR3827" s="77"/>
      <c r="AS3827" s="77"/>
      <c r="AT3827" s="77"/>
      <c r="AU3827" s="77"/>
      <c r="AV3827" s="83" t="str">
        <f>HYPERLINK("https://pbs.twimg.com/media/FyhZFJ0XsAAIq4i.jpg")</f>
        <v>https://pbs.twimg.com/media/FyhZFJ0XsAAIq4i.jpg</v>
      </c>
      <c r="AW3827" s="80" t="s">
        <v>19506</v>
      </c>
      <c r="AX3827" s="80" t="s">
        <v>19506</v>
      </c>
      <c r="AY3827" s="77"/>
      <c r="AZ3827" s="80" t="s">
        <v>20380</v>
      </c>
      <c r="BA3827" s="80" t="s">
        <v>20380</v>
      </c>
      <c r="BB3827" s="80" t="s">
        <v>20380</v>
      </c>
      <c r="BC3827" s="80" t="s">
        <v>19506</v>
      </c>
      <c r="BD3827" s="80" t="s">
        <v>21136</v>
      </c>
      <c r="BE3827" s="77"/>
      <c r="BF3827" s="77"/>
      <c r="BG3827" s="77"/>
      <c r="BH3827" s="77"/>
      <c r="BI3827" s="77"/>
    </row>
    <row r="3828" spans="1:61" x14ac:dyDescent="0.25">
      <c r="A3828" s="62" t="s">
        <v>1537</v>
      </c>
      <c r="B3828" s="62" t="s">
        <v>1716</v>
      </c>
      <c r="C3828" s="63"/>
      <c r="D3828" s="64"/>
      <c r="E3828" s="65"/>
      <c r="F3828" s="66"/>
      <c r="G3828" s="63"/>
      <c r="H3828" s="67"/>
      <c r="I3828" s="68"/>
      <c r="J3828" s="68"/>
      <c r="K3828" s="32"/>
      <c r="L3828" s="75">
        <v>3828</v>
      </c>
      <c r="M3828" s="75"/>
      <c r="N3828" s="70"/>
      <c r="O3828" s="77" t="s">
        <v>2081</v>
      </c>
      <c r="P3828" s="79">
        <v>45118.70584490741</v>
      </c>
      <c r="Q3828" s="77" t="s">
        <v>5448</v>
      </c>
      <c r="R3828" s="77">
        <v>0</v>
      </c>
      <c r="S3828" s="77">
        <v>0</v>
      </c>
      <c r="T3828" s="77">
        <v>0</v>
      </c>
      <c r="U3828" s="77">
        <v>0</v>
      </c>
      <c r="V3828" s="77">
        <v>13</v>
      </c>
      <c r="W3828" s="80" t="s">
        <v>8281</v>
      </c>
      <c r="X3828" s="83" t="str">
        <f>HYPERLINK("https://despertarnacional.com.do/2023/07/11/gobernador-valdez-albizu-recibe-a-la-directiva-de-la-asociacion-de-puestos-de-bolsa/")</f>
        <v>https://despertarnacional.com.do/2023/07/11/gobernador-valdez-albizu-recibe-a-la-directiva-de-la-asociacion-de-puestos-de-bolsa/</v>
      </c>
      <c r="Y3828" s="77" t="s">
        <v>8625</v>
      </c>
      <c r="Z3828" s="77" t="s">
        <v>1716</v>
      </c>
      <c r="AA3828" s="77" t="s">
        <v>10313</v>
      </c>
      <c r="AB3828" s="77" t="s">
        <v>10535</v>
      </c>
      <c r="AC3828" s="80" t="s">
        <v>10541</v>
      </c>
      <c r="AD3828" s="77" t="s">
        <v>10620</v>
      </c>
      <c r="AE3828" s="83" t="str">
        <f>HYPERLINK("https://twitter.com/despertarnacio2/status/1678810487117565952")</f>
        <v>https://twitter.com/despertarnacio2/status/1678810487117565952</v>
      </c>
      <c r="AF3828" s="79">
        <v>45118.70584490741</v>
      </c>
      <c r="AG3828" s="85">
        <v>45118</v>
      </c>
      <c r="AH3828" s="80" t="s">
        <v>13937</v>
      </c>
      <c r="AI3828" s="77" t="b">
        <v>0</v>
      </c>
      <c r="AJ3828" s="77"/>
      <c r="AK3828" s="77"/>
      <c r="AL3828" s="77"/>
      <c r="AM3828" s="77"/>
      <c r="AN3828" s="77"/>
      <c r="AO3828" s="77"/>
      <c r="AP3828" s="77"/>
      <c r="AQ3828" s="77" t="s">
        <v>15792</v>
      </c>
      <c r="AR3828" s="77"/>
      <c r="AS3828" s="77"/>
      <c r="AT3828" s="77"/>
      <c r="AU3828" s="77"/>
      <c r="AV3828" s="83" t="str">
        <f>HYPERLINK("https://pbs.twimg.com/media/F0xVOJ6WwAAIYol.jpg")</f>
        <v>https://pbs.twimg.com/media/F0xVOJ6WwAAIYol.jpg</v>
      </c>
      <c r="AW3828" s="80" t="s">
        <v>19507</v>
      </c>
      <c r="AX3828" s="80" t="s">
        <v>19507</v>
      </c>
      <c r="AY3828" s="77"/>
      <c r="AZ3828" s="80" t="s">
        <v>20380</v>
      </c>
      <c r="BA3828" s="80" t="s">
        <v>20380</v>
      </c>
      <c r="BB3828" s="80" t="s">
        <v>20380</v>
      </c>
      <c r="BC3828" s="80" t="s">
        <v>19507</v>
      </c>
      <c r="BD3828" s="80" t="s">
        <v>21136</v>
      </c>
      <c r="BE3828" s="77"/>
      <c r="BF3828" s="77"/>
      <c r="BG3828" s="77"/>
      <c r="BH3828" s="77"/>
      <c r="BI3828" s="77"/>
    </row>
    <row r="3829" spans="1:61" x14ac:dyDescent="0.25">
      <c r="A3829" s="62" t="s">
        <v>1537</v>
      </c>
      <c r="B3829" s="62" t="s">
        <v>1716</v>
      </c>
      <c r="C3829" s="63"/>
      <c r="D3829" s="64"/>
      <c r="E3829" s="65"/>
      <c r="F3829" s="66"/>
      <c r="G3829" s="63"/>
      <c r="H3829" s="67"/>
      <c r="I3829" s="68"/>
      <c r="J3829" s="68"/>
      <c r="K3829" s="32"/>
      <c r="L3829" s="75">
        <v>3829</v>
      </c>
      <c r="M3829" s="75"/>
      <c r="N3829" s="70"/>
      <c r="O3829" s="77" t="s">
        <v>2081</v>
      </c>
      <c r="P3829" s="79">
        <v>45167.23238425926</v>
      </c>
      <c r="Q3829" s="77" t="s">
        <v>5449</v>
      </c>
      <c r="R3829" s="77">
        <v>0</v>
      </c>
      <c r="S3829" s="77">
        <v>0</v>
      </c>
      <c r="T3829" s="77">
        <v>0</v>
      </c>
      <c r="U3829" s="77">
        <v>0</v>
      </c>
      <c r="V3829" s="77">
        <v>13</v>
      </c>
      <c r="W3829" s="80" t="s">
        <v>8282</v>
      </c>
      <c r="X3829" s="83" t="str">
        <f>HYPERLINK("https://despertarnacional.com.do/2023/08/29/bcrd-economia-dominicana-registra-expansion-de-2-9-en-el-mes-de-julio/")</f>
        <v>https://despertarnacional.com.do/2023/08/29/bcrd-economia-dominicana-registra-expansion-de-2-9-en-el-mes-de-julio/</v>
      </c>
      <c r="Y3829" s="77" t="s">
        <v>8625</v>
      </c>
      <c r="Z3829" s="77" t="s">
        <v>1716</v>
      </c>
      <c r="AA3829" s="77" t="s">
        <v>10314</v>
      </c>
      <c r="AB3829" s="77" t="s">
        <v>10535</v>
      </c>
      <c r="AC3829" s="80" t="s">
        <v>10541</v>
      </c>
      <c r="AD3829" s="77" t="s">
        <v>10620</v>
      </c>
      <c r="AE3829" s="83" t="str">
        <f>HYPERLINK("https://twitter.com/despertarnacio2/status/1696395916964487624")</f>
        <v>https://twitter.com/despertarnacio2/status/1696395916964487624</v>
      </c>
      <c r="AF3829" s="79">
        <v>45167.23238425926</v>
      </c>
      <c r="AG3829" s="85">
        <v>45167</v>
      </c>
      <c r="AH3829" s="80" t="s">
        <v>13938</v>
      </c>
      <c r="AI3829" s="77" t="b">
        <v>0</v>
      </c>
      <c r="AJ3829" s="77"/>
      <c r="AK3829" s="77"/>
      <c r="AL3829" s="77"/>
      <c r="AM3829" s="77"/>
      <c r="AN3829" s="77"/>
      <c r="AO3829" s="77"/>
      <c r="AP3829" s="77"/>
      <c r="AQ3829" s="77" t="s">
        <v>15793</v>
      </c>
      <c r="AR3829" s="77"/>
      <c r="AS3829" s="77"/>
      <c r="AT3829" s="77"/>
      <c r="AU3829" s="77"/>
      <c r="AV3829" s="83" t="str">
        <f>HYPERLINK("https://pbs.twimg.com/media/F4rO0ozX0AENYNH.jpg")</f>
        <v>https://pbs.twimg.com/media/F4rO0ozX0AENYNH.jpg</v>
      </c>
      <c r="AW3829" s="80" t="s">
        <v>19508</v>
      </c>
      <c r="AX3829" s="80" t="s">
        <v>19508</v>
      </c>
      <c r="AY3829" s="77"/>
      <c r="AZ3829" s="80" t="s">
        <v>20380</v>
      </c>
      <c r="BA3829" s="80" t="s">
        <v>20380</v>
      </c>
      <c r="BB3829" s="80" t="s">
        <v>20380</v>
      </c>
      <c r="BC3829" s="80" t="s">
        <v>19508</v>
      </c>
      <c r="BD3829" s="80" t="s">
        <v>21136</v>
      </c>
      <c r="BE3829" s="77"/>
      <c r="BF3829" s="77"/>
      <c r="BG3829" s="77"/>
      <c r="BH3829" s="77"/>
      <c r="BI3829" s="77"/>
    </row>
    <row r="3830" spans="1:61" x14ac:dyDescent="0.25">
      <c r="A3830" s="62" t="s">
        <v>1537</v>
      </c>
      <c r="B3830" s="62" t="s">
        <v>1716</v>
      </c>
      <c r="C3830" s="63"/>
      <c r="D3830" s="64"/>
      <c r="E3830" s="65"/>
      <c r="F3830" s="66"/>
      <c r="G3830" s="63"/>
      <c r="H3830" s="67"/>
      <c r="I3830" s="68"/>
      <c r="J3830" s="68"/>
      <c r="K3830" s="32"/>
      <c r="L3830" s="75">
        <v>3830</v>
      </c>
      <c r="M3830" s="75"/>
      <c r="N3830" s="70"/>
      <c r="O3830" s="77" t="s">
        <v>2081</v>
      </c>
      <c r="P3830" s="79">
        <v>45138.920775462961</v>
      </c>
      <c r="Q3830" s="77" t="s">
        <v>5450</v>
      </c>
      <c r="R3830" s="77">
        <v>1</v>
      </c>
      <c r="S3830" s="77">
        <v>1</v>
      </c>
      <c r="T3830" s="77">
        <v>0</v>
      </c>
      <c r="U3830" s="77">
        <v>0</v>
      </c>
      <c r="V3830" s="77">
        <v>78</v>
      </c>
      <c r="W3830" s="80" t="s">
        <v>8283</v>
      </c>
      <c r="X3830" s="83" t="str">
        <f>HYPERLINK("https://despertarnacional.com.do/2023/07/31/bcrd-realiza-una-pausa-en-el-ciclo-de-reducciones-de-su-tasa-de-politica/")</f>
        <v>https://despertarnacional.com.do/2023/07/31/bcrd-realiza-una-pausa-en-el-ciclo-de-reducciones-de-su-tasa-de-politica/</v>
      </c>
      <c r="Y3830" s="77" t="s">
        <v>8625</v>
      </c>
      <c r="Z3830" s="77" t="s">
        <v>9029</v>
      </c>
      <c r="AA3830" s="77" t="s">
        <v>10315</v>
      </c>
      <c r="AB3830" s="77" t="s">
        <v>10535</v>
      </c>
      <c r="AC3830" s="80" t="s">
        <v>10541</v>
      </c>
      <c r="AD3830" s="77" t="s">
        <v>10620</v>
      </c>
      <c r="AE3830" s="83" t="str">
        <f>HYPERLINK("https://twitter.com/despertarnacio2/status/1686136132352737282")</f>
        <v>https://twitter.com/despertarnacio2/status/1686136132352737282</v>
      </c>
      <c r="AF3830" s="79">
        <v>45138.920775462961</v>
      </c>
      <c r="AG3830" s="85">
        <v>45138</v>
      </c>
      <c r="AH3830" s="80" t="s">
        <v>13939</v>
      </c>
      <c r="AI3830" s="77" t="b">
        <v>0</v>
      </c>
      <c r="AJ3830" s="77"/>
      <c r="AK3830" s="77"/>
      <c r="AL3830" s="77"/>
      <c r="AM3830" s="77"/>
      <c r="AN3830" s="77"/>
      <c r="AO3830" s="77"/>
      <c r="AP3830" s="77"/>
      <c r="AQ3830" s="77" t="s">
        <v>15794</v>
      </c>
      <c r="AR3830" s="77"/>
      <c r="AS3830" s="77"/>
      <c r="AT3830" s="77"/>
      <c r="AU3830" s="77"/>
      <c r="AV3830" s="83" t="str">
        <f>HYPERLINK("https://pbs.twimg.com/media/F2ZZmt6XQAIf3Wh.jpg")</f>
        <v>https://pbs.twimg.com/media/F2ZZmt6XQAIf3Wh.jpg</v>
      </c>
      <c r="AW3830" s="80" t="s">
        <v>19509</v>
      </c>
      <c r="AX3830" s="80" t="s">
        <v>19509</v>
      </c>
      <c r="AY3830" s="77"/>
      <c r="AZ3830" s="80" t="s">
        <v>20380</v>
      </c>
      <c r="BA3830" s="80" t="s">
        <v>20380</v>
      </c>
      <c r="BB3830" s="80" t="s">
        <v>20380</v>
      </c>
      <c r="BC3830" s="80" t="s">
        <v>19509</v>
      </c>
      <c r="BD3830" s="80" t="s">
        <v>21136</v>
      </c>
      <c r="BE3830" s="77"/>
      <c r="BF3830" s="77"/>
      <c r="BG3830" s="77"/>
      <c r="BH3830" s="77"/>
      <c r="BI3830" s="77"/>
    </row>
    <row r="3831" spans="1:61" x14ac:dyDescent="0.25">
      <c r="A3831" s="62" t="s">
        <v>1537</v>
      </c>
      <c r="B3831" s="62" t="s">
        <v>1716</v>
      </c>
      <c r="C3831" s="63"/>
      <c r="D3831" s="64"/>
      <c r="E3831" s="65"/>
      <c r="F3831" s="66"/>
      <c r="G3831" s="63"/>
      <c r="H3831" s="67"/>
      <c r="I3831" s="68"/>
      <c r="J3831" s="68"/>
      <c r="K3831" s="32"/>
      <c r="L3831" s="75">
        <v>3831</v>
      </c>
      <c r="M3831" s="75"/>
      <c r="N3831" s="70"/>
      <c r="O3831" s="77" t="s">
        <v>2081</v>
      </c>
      <c r="P3831" s="79">
        <v>45098.401053240741</v>
      </c>
      <c r="Q3831" s="77" t="s">
        <v>5451</v>
      </c>
      <c r="R3831" s="77">
        <v>0</v>
      </c>
      <c r="S3831" s="77">
        <v>0</v>
      </c>
      <c r="T3831" s="77">
        <v>0</v>
      </c>
      <c r="U3831" s="77">
        <v>0</v>
      </c>
      <c r="V3831" s="77">
        <v>29</v>
      </c>
      <c r="W3831" s="80" t="s">
        <v>8284</v>
      </c>
      <c r="X3831" s="77"/>
      <c r="Y3831" s="77"/>
      <c r="Z3831" s="77" t="s">
        <v>1716</v>
      </c>
      <c r="AA3831" s="77" t="s">
        <v>10316</v>
      </c>
      <c r="AB3831" s="77" t="s">
        <v>10535</v>
      </c>
      <c r="AC3831" s="80" t="s">
        <v>10541</v>
      </c>
      <c r="AD3831" s="77" t="s">
        <v>10620</v>
      </c>
      <c r="AE3831" s="83" t="str">
        <f>HYPERLINK("https://twitter.com/despertarnacio2/status/1671452277012348930")</f>
        <v>https://twitter.com/despertarnacio2/status/1671452277012348930</v>
      </c>
      <c r="AF3831" s="79">
        <v>45098.401053240741</v>
      </c>
      <c r="AG3831" s="85">
        <v>45098</v>
      </c>
      <c r="AH3831" s="80" t="s">
        <v>13940</v>
      </c>
      <c r="AI3831" s="77" t="b">
        <v>0</v>
      </c>
      <c r="AJ3831" s="77"/>
      <c r="AK3831" s="77"/>
      <c r="AL3831" s="77"/>
      <c r="AM3831" s="77"/>
      <c r="AN3831" s="77"/>
      <c r="AO3831" s="77"/>
      <c r="AP3831" s="77"/>
      <c r="AQ3831" s="77" t="s">
        <v>15795</v>
      </c>
      <c r="AR3831" s="77"/>
      <c r="AS3831" s="77"/>
      <c r="AT3831" s="77"/>
      <c r="AU3831" s="77"/>
      <c r="AV3831" s="83" t="str">
        <f>HYPERLINK("https://pbs.twimg.com/media/FzIw4hAWcAMB3j7.jpg")</f>
        <v>https://pbs.twimg.com/media/FzIw4hAWcAMB3j7.jpg</v>
      </c>
      <c r="AW3831" s="80" t="s">
        <v>19510</v>
      </c>
      <c r="AX3831" s="80" t="s">
        <v>19510</v>
      </c>
      <c r="AY3831" s="77"/>
      <c r="AZ3831" s="80" t="s">
        <v>20380</v>
      </c>
      <c r="BA3831" s="80" t="s">
        <v>20380</v>
      </c>
      <c r="BB3831" s="80" t="s">
        <v>20380</v>
      </c>
      <c r="BC3831" s="80" t="s">
        <v>19510</v>
      </c>
      <c r="BD3831" s="80" t="s">
        <v>21136</v>
      </c>
      <c r="BE3831" s="77"/>
      <c r="BF3831" s="77"/>
      <c r="BG3831" s="77"/>
      <c r="BH3831" s="77"/>
      <c r="BI3831" s="77"/>
    </row>
    <row r="3832" spans="1:61" x14ac:dyDescent="0.25">
      <c r="A3832" s="62" t="s">
        <v>1537</v>
      </c>
      <c r="B3832" s="62" t="s">
        <v>1716</v>
      </c>
      <c r="C3832" s="63"/>
      <c r="D3832" s="64"/>
      <c r="E3832" s="65"/>
      <c r="F3832" s="66"/>
      <c r="G3832" s="63"/>
      <c r="H3832" s="67"/>
      <c r="I3832" s="68"/>
      <c r="J3832" s="68"/>
      <c r="K3832" s="32"/>
      <c r="L3832" s="75">
        <v>3832</v>
      </c>
      <c r="M3832" s="75"/>
      <c r="N3832" s="70"/>
      <c r="O3832" s="77" t="s">
        <v>2081</v>
      </c>
      <c r="P3832" s="79">
        <v>45182.411956018521</v>
      </c>
      <c r="Q3832" s="77" t="s">
        <v>5452</v>
      </c>
      <c r="R3832" s="77">
        <v>0</v>
      </c>
      <c r="S3832" s="77">
        <v>0</v>
      </c>
      <c r="T3832" s="77">
        <v>0</v>
      </c>
      <c r="U3832" s="77">
        <v>0</v>
      </c>
      <c r="V3832" s="77">
        <v>18</v>
      </c>
      <c r="W3832" s="80" t="s">
        <v>8285</v>
      </c>
      <c r="X3832" s="83" t="str">
        <f>HYPERLINK("https://despertarnacional.com.do/2023/09/13/platanos-pollos-y-tarifa-colegios-presionaron-ipc/")</f>
        <v>https://despertarnacional.com.do/2023/09/13/platanos-pollos-y-tarifa-colegios-presionaron-ipc/</v>
      </c>
      <c r="Y3832" s="77" t="s">
        <v>8625</v>
      </c>
      <c r="Z3832" s="77" t="s">
        <v>1716</v>
      </c>
      <c r="AA3832" s="77" t="s">
        <v>10317</v>
      </c>
      <c r="AB3832" s="77" t="s">
        <v>10535</v>
      </c>
      <c r="AC3832" s="80" t="s">
        <v>10541</v>
      </c>
      <c r="AD3832" s="77" t="s">
        <v>10620</v>
      </c>
      <c r="AE3832" s="83" t="str">
        <f>HYPERLINK("https://twitter.com/despertarnacio2/status/1701896808199303591")</f>
        <v>https://twitter.com/despertarnacio2/status/1701896808199303591</v>
      </c>
      <c r="AF3832" s="79">
        <v>45182.411956018521</v>
      </c>
      <c r="AG3832" s="85">
        <v>45182</v>
      </c>
      <c r="AH3832" s="80" t="s">
        <v>13941</v>
      </c>
      <c r="AI3832" s="77" t="b">
        <v>0</v>
      </c>
      <c r="AJ3832" s="77"/>
      <c r="AK3832" s="77"/>
      <c r="AL3832" s="77"/>
      <c r="AM3832" s="77"/>
      <c r="AN3832" s="77"/>
      <c r="AO3832" s="77"/>
      <c r="AP3832" s="77"/>
      <c r="AQ3832" s="77" t="s">
        <v>15796</v>
      </c>
      <c r="AR3832" s="77"/>
      <c r="AS3832" s="77"/>
      <c r="AT3832" s="77"/>
      <c r="AU3832" s="77"/>
      <c r="AV3832" s="83" t="str">
        <f>HYPERLINK("https://pbs.twimg.com/media/F55aCx7WcAA_0k7.jpg")</f>
        <v>https://pbs.twimg.com/media/F55aCx7WcAA_0k7.jpg</v>
      </c>
      <c r="AW3832" s="80" t="s">
        <v>19511</v>
      </c>
      <c r="AX3832" s="80" t="s">
        <v>19511</v>
      </c>
      <c r="AY3832" s="77"/>
      <c r="AZ3832" s="80" t="s">
        <v>20380</v>
      </c>
      <c r="BA3832" s="80" t="s">
        <v>20380</v>
      </c>
      <c r="BB3832" s="80" t="s">
        <v>20380</v>
      </c>
      <c r="BC3832" s="80" t="s">
        <v>19511</v>
      </c>
      <c r="BD3832" s="80" t="s">
        <v>21136</v>
      </c>
      <c r="BE3832" s="77"/>
      <c r="BF3832" s="77"/>
      <c r="BG3832" s="77"/>
      <c r="BH3832" s="77"/>
      <c r="BI3832" s="77"/>
    </row>
    <row r="3833" spans="1:61" x14ac:dyDescent="0.25">
      <c r="A3833" s="62" t="s">
        <v>1537</v>
      </c>
      <c r="B3833" s="62" t="s">
        <v>1716</v>
      </c>
      <c r="C3833" s="63"/>
      <c r="D3833" s="64"/>
      <c r="E3833" s="65"/>
      <c r="F3833" s="66"/>
      <c r="G3833" s="63"/>
      <c r="H3833" s="67"/>
      <c r="I3833" s="68"/>
      <c r="J3833" s="68"/>
      <c r="K3833" s="32"/>
      <c r="L3833" s="75">
        <v>3833</v>
      </c>
      <c r="M3833" s="75"/>
      <c r="N3833" s="70"/>
      <c r="O3833" s="77" t="s">
        <v>2081</v>
      </c>
      <c r="P3833" s="79">
        <v>45175.327465277776</v>
      </c>
      <c r="Q3833" s="77" t="s">
        <v>5453</v>
      </c>
      <c r="R3833" s="77">
        <v>0</v>
      </c>
      <c r="S3833" s="77">
        <v>0</v>
      </c>
      <c r="T3833" s="77">
        <v>0</v>
      </c>
      <c r="U3833" s="77">
        <v>0</v>
      </c>
      <c r="V3833" s="77">
        <v>13</v>
      </c>
      <c r="W3833" s="80" t="s">
        <v>8286</v>
      </c>
      <c r="X3833" s="83" t="str">
        <f>HYPERLINK("https://despertarnacional.com.do/2023/09/06/el-banco-central-ha-liberado-rd110000-millones-del-encaje-legal/")</f>
        <v>https://despertarnacional.com.do/2023/09/06/el-banco-central-ha-liberado-rd110000-millones-del-encaje-legal/</v>
      </c>
      <c r="Y3833" s="77" t="s">
        <v>8625</v>
      </c>
      <c r="Z3833" s="77" t="s">
        <v>1716</v>
      </c>
      <c r="AA3833" s="77" t="s">
        <v>10318</v>
      </c>
      <c r="AB3833" s="77" t="s">
        <v>10535</v>
      </c>
      <c r="AC3833" s="80" t="s">
        <v>10541</v>
      </c>
      <c r="AD3833" s="77" t="s">
        <v>10620</v>
      </c>
      <c r="AE3833" s="83" t="str">
        <f>HYPERLINK("https://twitter.com/despertarnacio2/status/1699329474553135214")</f>
        <v>https://twitter.com/despertarnacio2/status/1699329474553135214</v>
      </c>
      <c r="AF3833" s="79">
        <v>45175.327465277776</v>
      </c>
      <c r="AG3833" s="85">
        <v>45175</v>
      </c>
      <c r="AH3833" s="80" t="s">
        <v>13942</v>
      </c>
      <c r="AI3833" s="77" t="b">
        <v>0</v>
      </c>
      <c r="AJ3833" s="77"/>
      <c r="AK3833" s="77"/>
      <c r="AL3833" s="77"/>
      <c r="AM3833" s="77"/>
      <c r="AN3833" s="77"/>
      <c r="AO3833" s="77"/>
      <c r="AP3833" s="77"/>
      <c r="AQ3833" s="77" t="s">
        <v>15797</v>
      </c>
      <c r="AR3833" s="77"/>
      <c r="AS3833" s="77"/>
      <c r="AT3833" s="77"/>
      <c r="AU3833" s="77"/>
      <c r="AV3833" s="83" t="str">
        <f>HYPERLINK("https://pbs.twimg.com/media/F5U5ehKXYAA8wNU.jpg")</f>
        <v>https://pbs.twimg.com/media/F5U5ehKXYAA8wNU.jpg</v>
      </c>
      <c r="AW3833" s="80" t="s">
        <v>19512</v>
      </c>
      <c r="AX3833" s="80" t="s">
        <v>19512</v>
      </c>
      <c r="AY3833" s="77"/>
      <c r="AZ3833" s="80" t="s">
        <v>20380</v>
      </c>
      <c r="BA3833" s="80" t="s">
        <v>20380</v>
      </c>
      <c r="BB3833" s="80" t="s">
        <v>20380</v>
      </c>
      <c r="BC3833" s="80" t="s">
        <v>19512</v>
      </c>
      <c r="BD3833" s="80" t="s">
        <v>21136</v>
      </c>
      <c r="BE3833" s="77"/>
      <c r="BF3833" s="77"/>
      <c r="BG3833" s="77"/>
      <c r="BH3833" s="77"/>
      <c r="BI3833" s="77"/>
    </row>
    <row r="3834" spans="1:61" x14ac:dyDescent="0.25">
      <c r="A3834" s="62" t="s">
        <v>1537</v>
      </c>
      <c r="B3834" s="62" t="s">
        <v>1716</v>
      </c>
      <c r="C3834" s="63"/>
      <c r="D3834" s="64"/>
      <c r="E3834" s="65"/>
      <c r="F3834" s="66"/>
      <c r="G3834" s="63"/>
      <c r="H3834" s="67"/>
      <c r="I3834" s="68"/>
      <c r="J3834" s="68"/>
      <c r="K3834" s="32"/>
      <c r="L3834" s="75">
        <v>3834</v>
      </c>
      <c r="M3834" s="75"/>
      <c r="N3834" s="70"/>
      <c r="O3834" s="77" t="s">
        <v>2081</v>
      </c>
      <c r="P3834" s="79">
        <v>45145.341423611113</v>
      </c>
      <c r="Q3834" s="77" t="s">
        <v>5454</v>
      </c>
      <c r="R3834" s="77">
        <v>0</v>
      </c>
      <c r="S3834" s="77">
        <v>0</v>
      </c>
      <c r="T3834" s="77">
        <v>0</v>
      </c>
      <c r="U3834" s="77">
        <v>0</v>
      </c>
      <c r="V3834" s="77">
        <v>11</v>
      </c>
      <c r="W3834" s="80" t="s">
        <v>8287</v>
      </c>
      <c r="X3834" s="83" t="str">
        <f>HYPERLINK("https://despertarnacional.com.do/2023/08/07/inflacion-sigue-tendencia-a-la-baja-en-la-rd-senala-el-banco-central/")</f>
        <v>https://despertarnacional.com.do/2023/08/07/inflacion-sigue-tendencia-a-la-baja-en-la-rd-senala-el-banco-central/</v>
      </c>
      <c r="Y3834" s="77" t="s">
        <v>8625</v>
      </c>
      <c r="Z3834" s="77" t="s">
        <v>1716</v>
      </c>
      <c r="AA3834" s="77" t="s">
        <v>10319</v>
      </c>
      <c r="AB3834" s="77" t="s">
        <v>10535</v>
      </c>
      <c r="AC3834" s="80" t="s">
        <v>10541</v>
      </c>
      <c r="AD3834" s="77" t="s">
        <v>10620</v>
      </c>
      <c r="AE3834" s="83" t="str">
        <f>HYPERLINK("https://twitter.com/despertarnacio2/status/1688462896697671680")</f>
        <v>https://twitter.com/despertarnacio2/status/1688462896697671680</v>
      </c>
      <c r="AF3834" s="79">
        <v>45145.341423611113</v>
      </c>
      <c r="AG3834" s="85">
        <v>45145</v>
      </c>
      <c r="AH3834" s="80" t="s">
        <v>13943</v>
      </c>
      <c r="AI3834" s="77" t="b">
        <v>0</v>
      </c>
      <c r="AJ3834" s="77"/>
      <c r="AK3834" s="77"/>
      <c r="AL3834" s="77"/>
      <c r="AM3834" s="77"/>
      <c r="AN3834" s="77"/>
      <c r="AO3834" s="77"/>
      <c r="AP3834" s="77"/>
      <c r="AQ3834" s="77" t="s">
        <v>15798</v>
      </c>
      <c r="AR3834" s="77"/>
      <c r="AS3834" s="77"/>
      <c r="AT3834" s="77"/>
      <c r="AU3834" s="77"/>
      <c r="AV3834" s="83" t="str">
        <f>HYPERLINK("https://pbs.twimg.com/media/F26f_n1WcAAsQqy.jpg")</f>
        <v>https://pbs.twimg.com/media/F26f_n1WcAAsQqy.jpg</v>
      </c>
      <c r="AW3834" s="80" t="s">
        <v>19513</v>
      </c>
      <c r="AX3834" s="80" t="s">
        <v>19513</v>
      </c>
      <c r="AY3834" s="77"/>
      <c r="AZ3834" s="80" t="s">
        <v>20380</v>
      </c>
      <c r="BA3834" s="80" t="s">
        <v>20380</v>
      </c>
      <c r="BB3834" s="80" t="s">
        <v>20380</v>
      </c>
      <c r="BC3834" s="80" t="s">
        <v>19513</v>
      </c>
      <c r="BD3834" s="80" t="s">
        <v>21136</v>
      </c>
      <c r="BE3834" s="77"/>
      <c r="BF3834" s="77"/>
      <c r="BG3834" s="77"/>
      <c r="BH3834" s="77"/>
      <c r="BI3834" s="77"/>
    </row>
    <row r="3835" spans="1:61" x14ac:dyDescent="0.25">
      <c r="A3835" s="62" t="s">
        <v>1537</v>
      </c>
      <c r="B3835" s="62" t="s">
        <v>1716</v>
      </c>
      <c r="C3835" s="63"/>
      <c r="D3835" s="64"/>
      <c r="E3835" s="65"/>
      <c r="F3835" s="66"/>
      <c r="G3835" s="63"/>
      <c r="H3835" s="67"/>
      <c r="I3835" s="68"/>
      <c r="J3835" s="68"/>
      <c r="K3835" s="32"/>
      <c r="L3835" s="75">
        <v>3835</v>
      </c>
      <c r="M3835" s="75"/>
      <c r="N3835" s="70"/>
      <c r="O3835" s="77" t="s">
        <v>2081</v>
      </c>
      <c r="P3835" s="79">
        <v>45056.516712962963</v>
      </c>
      <c r="Q3835" s="77" t="s">
        <v>5455</v>
      </c>
      <c r="R3835" s="77">
        <v>0</v>
      </c>
      <c r="S3835" s="77">
        <v>0</v>
      </c>
      <c r="T3835" s="77">
        <v>0</v>
      </c>
      <c r="U3835" s="77">
        <v>0</v>
      </c>
      <c r="V3835" s="77">
        <v>22</v>
      </c>
      <c r="W3835" s="80" t="s">
        <v>8288</v>
      </c>
      <c r="X3835" s="83" t="str">
        <f>HYPERLINK("https://despertarnacional.com.do/2023/05/10/variacion-del-ipc-en-abril-fue-de-0-24-ayudo-a-que-inflacion-interanual-bajara-a-5-15/")</f>
        <v>https://despertarnacional.com.do/2023/05/10/variacion-del-ipc-en-abril-fue-de-0-24-ayudo-a-que-inflacion-interanual-bajara-a-5-15/</v>
      </c>
      <c r="Y3835" s="77" t="s">
        <v>8625</v>
      </c>
      <c r="Z3835" s="77" t="s">
        <v>9030</v>
      </c>
      <c r="AA3835" s="77" t="s">
        <v>10320</v>
      </c>
      <c r="AB3835" s="77" t="s">
        <v>10535</v>
      </c>
      <c r="AC3835" s="80" t="s">
        <v>10541</v>
      </c>
      <c r="AD3835" s="77" t="s">
        <v>10620</v>
      </c>
      <c r="AE3835" s="83" t="str">
        <f>HYPERLINK("https://twitter.com/despertarnacio2/status/1656273900685205505")</f>
        <v>https://twitter.com/despertarnacio2/status/1656273900685205505</v>
      </c>
      <c r="AF3835" s="79">
        <v>45056.516712962963</v>
      </c>
      <c r="AG3835" s="85">
        <v>45056</v>
      </c>
      <c r="AH3835" s="80" t="s">
        <v>13944</v>
      </c>
      <c r="AI3835" s="77" t="b">
        <v>0</v>
      </c>
      <c r="AJ3835" s="77"/>
      <c r="AK3835" s="77"/>
      <c r="AL3835" s="77"/>
      <c r="AM3835" s="77"/>
      <c r="AN3835" s="77"/>
      <c r="AO3835" s="77"/>
      <c r="AP3835" s="77"/>
      <c r="AQ3835" s="77" t="s">
        <v>15799</v>
      </c>
      <c r="AR3835" s="77"/>
      <c r="AS3835" s="77"/>
      <c r="AT3835" s="77"/>
      <c r="AU3835" s="77"/>
      <c r="AV3835" s="83" t="str">
        <f>HYPERLINK("https://pbs.twimg.com/media/FvxEQaSWAAMkmCl.jpg")</f>
        <v>https://pbs.twimg.com/media/FvxEQaSWAAMkmCl.jpg</v>
      </c>
      <c r="AW3835" s="80" t="s">
        <v>19514</v>
      </c>
      <c r="AX3835" s="80" t="s">
        <v>19514</v>
      </c>
      <c r="AY3835" s="77"/>
      <c r="AZ3835" s="80" t="s">
        <v>20380</v>
      </c>
      <c r="BA3835" s="80" t="s">
        <v>20380</v>
      </c>
      <c r="BB3835" s="80" t="s">
        <v>20380</v>
      </c>
      <c r="BC3835" s="80" t="s">
        <v>19514</v>
      </c>
      <c r="BD3835" s="80" t="s">
        <v>21136</v>
      </c>
      <c r="BE3835" s="77"/>
      <c r="BF3835" s="77"/>
      <c r="BG3835" s="77"/>
      <c r="BH3835" s="77"/>
      <c r="BI3835" s="77"/>
    </row>
    <row r="3836" spans="1:61" x14ac:dyDescent="0.25">
      <c r="A3836" s="62" t="s">
        <v>1537</v>
      </c>
      <c r="B3836" s="62" t="s">
        <v>1537</v>
      </c>
      <c r="C3836" s="63"/>
      <c r="D3836" s="64"/>
      <c r="E3836" s="65"/>
      <c r="F3836" s="66"/>
      <c r="G3836" s="63"/>
      <c r="H3836" s="67"/>
      <c r="I3836" s="68"/>
      <c r="J3836" s="68"/>
      <c r="K3836" s="32"/>
      <c r="L3836" s="75">
        <v>3836</v>
      </c>
      <c r="M3836" s="75"/>
      <c r="N3836" s="70"/>
      <c r="O3836" s="77" t="s">
        <v>2081</v>
      </c>
      <c r="P3836" s="79">
        <v>45138.920775462961</v>
      </c>
      <c r="Q3836" s="77" t="s">
        <v>5450</v>
      </c>
      <c r="R3836" s="77">
        <v>1</v>
      </c>
      <c r="S3836" s="77">
        <v>1</v>
      </c>
      <c r="T3836" s="77">
        <v>0</v>
      </c>
      <c r="U3836" s="77">
        <v>0</v>
      </c>
      <c r="V3836" s="77">
        <v>78</v>
      </c>
      <c r="W3836" s="80" t="s">
        <v>8283</v>
      </c>
      <c r="X3836" s="83" t="str">
        <f>HYPERLINK("https://despertarnacional.com.do/2023/07/31/bcrd-realiza-una-pausa-en-el-ciclo-de-reducciones-de-su-tasa-de-politica/")</f>
        <v>https://despertarnacional.com.do/2023/07/31/bcrd-realiza-una-pausa-en-el-ciclo-de-reducciones-de-su-tasa-de-politica/</v>
      </c>
      <c r="Y3836" s="77" t="s">
        <v>8625</v>
      </c>
      <c r="Z3836" s="77" t="s">
        <v>9029</v>
      </c>
      <c r="AA3836" s="77" t="s">
        <v>10315</v>
      </c>
      <c r="AB3836" s="77" t="s">
        <v>10535</v>
      </c>
      <c r="AC3836" s="80" t="s">
        <v>10541</v>
      </c>
      <c r="AD3836" s="77" t="s">
        <v>10620</v>
      </c>
      <c r="AE3836" s="83" t="str">
        <f>HYPERLINK("https://twitter.com/despertarnacio2/status/1686136132352737282")</f>
        <v>https://twitter.com/despertarnacio2/status/1686136132352737282</v>
      </c>
      <c r="AF3836" s="79">
        <v>45138.920775462961</v>
      </c>
      <c r="AG3836" s="85">
        <v>45138</v>
      </c>
      <c r="AH3836" s="80" t="s">
        <v>13939</v>
      </c>
      <c r="AI3836" s="77" t="b">
        <v>0</v>
      </c>
      <c r="AJ3836" s="77"/>
      <c r="AK3836" s="77"/>
      <c r="AL3836" s="77"/>
      <c r="AM3836" s="77"/>
      <c r="AN3836" s="77"/>
      <c r="AO3836" s="77"/>
      <c r="AP3836" s="77"/>
      <c r="AQ3836" s="77" t="s">
        <v>15794</v>
      </c>
      <c r="AR3836" s="77"/>
      <c r="AS3836" s="77"/>
      <c r="AT3836" s="77"/>
      <c r="AU3836" s="77"/>
      <c r="AV3836" s="83" t="str">
        <f>HYPERLINK("https://pbs.twimg.com/media/F2ZZmt6XQAIf3Wh.jpg")</f>
        <v>https://pbs.twimg.com/media/F2ZZmt6XQAIf3Wh.jpg</v>
      </c>
      <c r="AW3836" s="80" t="s">
        <v>19509</v>
      </c>
      <c r="AX3836" s="80" t="s">
        <v>19509</v>
      </c>
      <c r="AY3836" s="77"/>
      <c r="AZ3836" s="80" t="s">
        <v>20380</v>
      </c>
      <c r="BA3836" s="80" t="s">
        <v>20380</v>
      </c>
      <c r="BB3836" s="80" t="s">
        <v>20380</v>
      </c>
      <c r="BC3836" s="80" t="s">
        <v>19509</v>
      </c>
      <c r="BD3836" s="80" t="s">
        <v>21136</v>
      </c>
      <c r="BE3836" s="77"/>
      <c r="BF3836" s="77"/>
      <c r="BG3836" s="77"/>
      <c r="BH3836" s="77"/>
      <c r="BI3836" s="77"/>
    </row>
    <row r="3837" spans="1:61" x14ac:dyDescent="0.25">
      <c r="A3837" s="62" t="s">
        <v>1537</v>
      </c>
      <c r="B3837" s="62" t="s">
        <v>1537</v>
      </c>
      <c r="C3837" s="63"/>
      <c r="D3837" s="64"/>
      <c r="E3837" s="65"/>
      <c r="F3837" s="66"/>
      <c r="G3837" s="63"/>
      <c r="H3837" s="67"/>
      <c r="I3837" s="68"/>
      <c r="J3837" s="68"/>
      <c r="K3837" s="32"/>
      <c r="L3837" s="75">
        <v>3837</v>
      </c>
      <c r="M3837" s="75"/>
      <c r="N3837" s="70"/>
      <c r="O3837" s="77" t="s">
        <v>2081</v>
      </c>
      <c r="P3837" s="79">
        <v>45056.516712962963</v>
      </c>
      <c r="Q3837" s="77" t="s">
        <v>5455</v>
      </c>
      <c r="R3837" s="77">
        <v>0</v>
      </c>
      <c r="S3837" s="77">
        <v>0</v>
      </c>
      <c r="T3837" s="77">
        <v>0</v>
      </c>
      <c r="U3837" s="77">
        <v>0</v>
      </c>
      <c r="V3837" s="77">
        <v>22</v>
      </c>
      <c r="W3837" s="80" t="s">
        <v>8288</v>
      </c>
      <c r="X3837" s="83" t="str">
        <f>HYPERLINK("https://despertarnacional.com.do/2023/05/10/variacion-del-ipc-en-abril-fue-de-0-24-ayudo-a-que-inflacion-interanual-bajara-a-5-15/")</f>
        <v>https://despertarnacional.com.do/2023/05/10/variacion-del-ipc-en-abril-fue-de-0-24-ayudo-a-que-inflacion-interanual-bajara-a-5-15/</v>
      </c>
      <c r="Y3837" s="77" t="s">
        <v>8625</v>
      </c>
      <c r="Z3837" s="77" t="s">
        <v>9030</v>
      </c>
      <c r="AA3837" s="77" t="s">
        <v>10320</v>
      </c>
      <c r="AB3837" s="77" t="s">
        <v>10535</v>
      </c>
      <c r="AC3837" s="80" t="s">
        <v>10541</v>
      </c>
      <c r="AD3837" s="77" t="s">
        <v>10620</v>
      </c>
      <c r="AE3837" s="83" t="str">
        <f>HYPERLINK("https://twitter.com/despertarnacio2/status/1656273900685205505")</f>
        <v>https://twitter.com/despertarnacio2/status/1656273900685205505</v>
      </c>
      <c r="AF3837" s="79">
        <v>45056.516712962963</v>
      </c>
      <c r="AG3837" s="85">
        <v>45056</v>
      </c>
      <c r="AH3837" s="80" t="s">
        <v>13944</v>
      </c>
      <c r="AI3837" s="77" t="b">
        <v>0</v>
      </c>
      <c r="AJ3837" s="77"/>
      <c r="AK3837" s="77"/>
      <c r="AL3837" s="77"/>
      <c r="AM3837" s="77"/>
      <c r="AN3837" s="77"/>
      <c r="AO3837" s="77"/>
      <c r="AP3837" s="77"/>
      <c r="AQ3837" s="77" t="s">
        <v>15799</v>
      </c>
      <c r="AR3837" s="77"/>
      <c r="AS3837" s="77"/>
      <c r="AT3837" s="77"/>
      <c r="AU3837" s="77"/>
      <c r="AV3837" s="83" t="str">
        <f>HYPERLINK("https://pbs.twimg.com/media/FvxEQaSWAAMkmCl.jpg")</f>
        <v>https://pbs.twimg.com/media/FvxEQaSWAAMkmCl.jpg</v>
      </c>
      <c r="AW3837" s="80" t="s">
        <v>19514</v>
      </c>
      <c r="AX3837" s="80" t="s">
        <v>19514</v>
      </c>
      <c r="AY3837" s="77"/>
      <c r="AZ3837" s="80" t="s">
        <v>20380</v>
      </c>
      <c r="BA3837" s="80" t="s">
        <v>20380</v>
      </c>
      <c r="BB3837" s="80" t="s">
        <v>20380</v>
      </c>
      <c r="BC3837" s="80" t="s">
        <v>19514</v>
      </c>
      <c r="BD3837" s="80" t="s">
        <v>21136</v>
      </c>
      <c r="BE3837" s="77"/>
      <c r="BF3837" s="77"/>
      <c r="BG3837" s="77"/>
      <c r="BH3837" s="77"/>
      <c r="BI3837" s="77"/>
    </row>
    <row r="3838" spans="1:61" x14ac:dyDescent="0.25">
      <c r="A3838" s="62" t="s">
        <v>1538</v>
      </c>
      <c r="B3838" s="62" t="s">
        <v>2059</v>
      </c>
      <c r="C3838" s="63"/>
      <c r="D3838" s="64"/>
      <c r="E3838" s="65"/>
      <c r="F3838" s="66"/>
      <c r="G3838" s="63"/>
      <c r="H3838" s="67"/>
      <c r="I3838" s="68"/>
      <c r="J3838" s="68"/>
      <c r="K3838" s="32"/>
      <c r="L3838" s="75">
        <v>3838</v>
      </c>
      <c r="M3838" s="75"/>
      <c r="N3838" s="70"/>
      <c r="O3838" s="77" t="s">
        <v>2081</v>
      </c>
      <c r="P3838" s="79">
        <v>45128.588969907411</v>
      </c>
      <c r="Q3838" s="77" t="s">
        <v>5456</v>
      </c>
      <c r="R3838" s="77">
        <v>6</v>
      </c>
      <c r="S3838" s="77">
        <v>11</v>
      </c>
      <c r="T3838" s="77">
        <v>1</v>
      </c>
      <c r="U3838" s="77">
        <v>2</v>
      </c>
      <c r="V3838" s="77">
        <v>2208</v>
      </c>
      <c r="W3838" s="77"/>
      <c r="X3838" s="83" t="str">
        <f>HYPERLINK("http://tun.in/seHTw")</f>
        <v>http://tun.in/seHTw</v>
      </c>
      <c r="Y3838" s="77" t="s">
        <v>8871</v>
      </c>
      <c r="Z3838" s="77" t="s">
        <v>2059</v>
      </c>
      <c r="AA3838" s="77"/>
      <c r="AB3838" s="77"/>
      <c r="AC3838" s="80" t="s">
        <v>10541</v>
      </c>
      <c r="AD3838" s="77" t="s">
        <v>10620</v>
      </c>
      <c r="AE3838" s="83" t="str">
        <f>HYPERLINK("https://twitter.com/claritoesta/status/1682392013344481280")</f>
        <v>https://twitter.com/claritoesta/status/1682392013344481280</v>
      </c>
      <c r="AF3838" s="79">
        <v>45128.588969907411</v>
      </c>
      <c r="AG3838" s="85">
        <v>45128</v>
      </c>
      <c r="AH3838" s="80" t="s">
        <v>13945</v>
      </c>
      <c r="AI3838" s="77" t="b">
        <v>0</v>
      </c>
      <c r="AJ3838" s="77"/>
      <c r="AK3838" s="77"/>
      <c r="AL3838" s="77"/>
      <c r="AM3838" s="77"/>
      <c r="AN3838" s="77"/>
      <c r="AO3838" s="77"/>
      <c r="AP3838" s="77"/>
      <c r="AQ3838" s="77"/>
      <c r="AR3838" s="77"/>
      <c r="AS3838" s="77"/>
      <c r="AT3838" s="77"/>
      <c r="AU3838" s="77"/>
      <c r="AV3838" s="83" t="str">
        <f>HYPERLINK("https://pbs.twimg.com/profile_images/529927799507652608/NTLeZSaX_normal.jpeg")</f>
        <v>https://pbs.twimg.com/profile_images/529927799507652608/NTLeZSaX_normal.jpeg</v>
      </c>
      <c r="AW3838" s="80" t="s">
        <v>19515</v>
      </c>
      <c r="AX3838" s="80" t="s">
        <v>19515</v>
      </c>
      <c r="AY3838" s="77"/>
      <c r="AZ3838" s="80" t="s">
        <v>20380</v>
      </c>
      <c r="BA3838" s="80" t="s">
        <v>20380</v>
      </c>
      <c r="BB3838" s="80" t="s">
        <v>20380</v>
      </c>
      <c r="BC3838" s="80" t="s">
        <v>19515</v>
      </c>
      <c r="BD3838" s="77">
        <v>485801670</v>
      </c>
      <c r="BE3838" s="77"/>
      <c r="BF3838" s="77"/>
      <c r="BG3838" s="77"/>
      <c r="BH3838" s="77"/>
      <c r="BI3838" s="77"/>
    </row>
    <row r="3839" spans="1:61" x14ac:dyDescent="0.25">
      <c r="A3839" s="62" t="s">
        <v>1539</v>
      </c>
      <c r="B3839" s="62" t="s">
        <v>1539</v>
      </c>
      <c r="C3839" s="63"/>
      <c r="D3839" s="64"/>
      <c r="E3839" s="65"/>
      <c r="F3839" s="66"/>
      <c r="G3839" s="63"/>
      <c r="H3839" s="67"/>
      <c r="I3839" s="68"/>
      <c r="J3839" s="68"/>
      <c r="K3839" s="32"/>
      <c r="L3839" s="75">
        <v>3839</v>
      </c>
      <c r="M3839" s="75"/>
      <c r="N3839" s="70"/>
      <c r="O3839" s="77" t="s">
        <v>179</v>
      </c>
      <c r="P3839" s="79">
        <v>45152.598020833335</v>
      </c>
      <c r="Q3839" s="77" t="s">
        <v>5457</v>
      </c>
      <c r="R3839" s="77">
        <v>3</v>
      </c>
      <c r="S3839" s="77">
        <v>23</v>
      </c>
      <c r="T3839" s="77">
        <v>1</v>
      </c>
      <c r="U3839" s="77">
        <v>3</v>
      </c>
      <c r="V3839" s="77">
        <v>9005</v>
      </c>
      <c r="W3839" s="80" t="s">
        <v>5884</v>
      </c>
      <c r="X3839" s="77"/>
      <c r="Y3839" s="77"/>
      <c r="Z3839" s="77"/>
      <c r="AA3839" s="77" t="s">
        <v>10321</v>
      </c>
      <c r="AB3839" s="77" t="s">
        <v>10535</v>
      </c>
      <c r="AC3839" s="80" t="s">
        <v>10541</v>
      </c>
      <c r="AD3839" s="77" t="s">
        <v>10620</v>
      </c>
      <c r="AE3839" s="83" t="str">
        <f>HYPERLINK("https://twitter.com/filonewsok/status/1691092600676339712")</f>
        <v>https://twitter.com/filonewsok/status/1691092600676339712</v>
      </c>
      <c r="AF3839" s="79">
        <v>45152.598020833335</v>
      </c>
      <c r="AG3839" s="85">
        <v>45152</v>
      </c>
      <c r="AH3839" s="80" t="s">
        <v>13946</v>
      </c>
      <c r="AI3839" s="77" t="b">
        <v>0</v>
      </c>
      <c r="AJ3839" s="77"/>
      <c r="AK3839" s="77"/>
      <c r="AL3839" s="77"/>
      <c r="AM3839" s="77"/>
      <c r="AN3839" s="77"/>
      <c r="AO3839" s="77"/>
      <c r="AP3839" s="77"/>
      <c r="AQ3839" s="77" t="s">
        <v>15800</v>
      </c>
      <c r="AR3839" s="77"/>
      <c r="AS3839" s="77"/>
      <c r="AT3839" s="77"/>
      <c r="AU3839" s="77"/>
      <c r="AV3839" s="83" t="str">
        <f>HYPERLINK("https://pbs.twimg.com/media/F3f3teGWQAEAyDX.jpg")</f>
        <v>https://pbs.twimg.com/media/F3f3teGWQAEAyDX.jpg</v>
      </c>
      <c r="AW3839" s="80" t="s">
        <v>19516</v>
      </c>
      <c r="AX3839" s="80" t="s">
        <v>19516</v>
      </c>
      <c r="AY3839" s="77"/>
      <c r="AZ3839" s="80" t="s">
        <v>20380</v>
      </c>
      <c r="BA3839" s="80" t="s">
        <v>20380</v>
      </c>
      <c r="BB3839" s="80" t="s">
        <v>20380</v>
      </c>
      <c r="BC3839" s="80" t="s">
        <v>19516</v>
      </c>
      <c r="BD3839" s="80" t="s">
        <v>21137</v>
      </c>
      <c r="BE3839" s="77"/>
      <c r="BF3839" s="77"/>
      <c r="BG3839" s="77"/>
      <c r="BH3839" s="77"/>
      <c r="BI3839" s="77"/>
    </row>
    <row r="3840" spans="1:61" x14ac:dyDescent="0.25">
      <c r="A3840" s="62" t="s">
        <v>1539</v>
      </c>
      <c r="B3840" s="62" t="s">
        <v>1539</v>
      </c>
      <c r="C3840" s="63"/>
      <c r="D3840" s="64"/>
      <c r="E3840" s="65"/>
      <c r="F3840" s="66"/>
      <c r="G3840" s="63"/>
      <c r="H3840" s="67"/>
      <c r="I3840" s="68"/>
      <c r="J3840" s="68"/>
      <c r="K3840" s="32"/>
      <c r="L3840" s="75">
        <v>3840</v>
      </c>
      <c r="M3840" s="75"/>
      <c r="N3840" s="70"/>
      <c r="O3840" s="77" t="s">
        <v>179</v>
      </c>
      <c r="P3840" s="79">
        <v>45196.847430555557</v>
      </c>
      <c r="Q3840" s="77" t="s">
        <v>5458</v>
      </c>
      <c r="R3840" s="77">
        <v>1</v>
      </c>
      <c r="S3840" s="77">
        <v>4</v>
      </c>
      <c r="T3840" s="77">
        <v>0</v>
      </c>
      <c r="U3840" s="77">
        <v>0</v>
      </c>
      <c r="V3840" s="77">
        <v>1913</v>
      </c>
      <c r="W3840" s="80" t="s">
        <v>8289</v>
      </c>
      <c r="X3840" s="77"/>
      <c r="Y3840" s="77"/>
      <c r="Z3840" s="77"/>
      <c r="AA3840" s="77" t="s">
        <v>10322</v>
      </c>
      <c r="AB3840" s="77" t="s">
        <v>10535</v>
      </c>
      <c r="AC3840" s="80" t="s">
        <v>10541</v>
      </c>
      <c r="AD3840" s="77" t="s">
        <v>10620</v>
      </c>
      <c r="AE3840" s="83" t="str">
        <f>HYPERLINK("https://twitter.com/filonewsok/status/1707128049194463432")</f>
        <v>https://twitter.com/filonewsok/status/1707128049194463432</v>
      </c>
      <c r="AF3840" s="79">
        <v>45196.847430555557</v>
      </c>
      <c r="AG3840" s="85">
        <v>45196</v>
      </c>
      <c r="AH3840" s="80" t="s">
        <v>13947</v>
      </c>
      <c r="AI3840" s="77" t="b">
        <v>0</v>
      </c>
      <c r="AJ3840" s="77"/>
      <c r="AK3840" s="77"/>
      <c r="AL3840" s="77"/>
      <c r="AM3840" s="77"/>
      <c r="AN3840" s="77"/>
      <c r="AO3840" s="77"/>
      <c r="AP3840" s="77"/>
      <c r="AQ3840" s="77" t="s">
        <v>15801</v>
      </c>
      <c r="AR3840" s="77"/>
      <c r="AS3840" s="77"/>
      <c r="AT3840" s="77"/>
      <c r="AU3840" s="77"/>
      <c r="AV3840" s="83" t="str">
        <f>HYPERLINK("https://pbs.twimg.com/media/F7DvUTgX0AAsMkc.png")</f>
        <v>https://pbs.twimg.com/media/F7DvUTgX0AAsMkc.png</v>
      </c>
      <c r="AW3840" s="80" t="s">
        <v>19517</v>
      </c>
      <c r="AX3840" s="80" t="s">
        <v>19517</v>
      </c>
      <c r="AY3840" s="77"/>
      <c r="AZ3840" s="80" t="s">
        <v>20380</v>
      </c>
      <c r="BA3840" s="80" t="s">
        <v>20380</v>
      </c>
      <c r="BB3840" s="80" t="s">
        <v>20380</v>
      </c>
      <c r="BC3840" s="80" t="s">
        <v>19517</v>
      </c>
      <c r="BD3840" s="80" t="s">
        <v>21137</v>
      </c>
      <c r="BE3840" s="77"/>
      <c r="BF3840" s="77"/>
      <c r="BG3840" s="77"/>
      <c r="BH3840" s="77"/>
      <c r="BI3840" s="77"/>
    </row>
    <row r="3841" spans="1:61" x14ac:dyDescent="0.25">
      <c r="A3841" s="62" t="s">
        <v>1540</v>
      </c>
      <c r="B3841" s="62" t="s">
        <v>1540</v>
      </c>
      <c r="C3841" s="63"/>
      <c r="D3841" s="64"/>
      <c r="E3841" s="65"/>
      <c r="F3841" s="66"/>
      <c r="G3841" s="63"/>
      <c r="H3841" s="67"/>
      <c r="I3841" s="68"/>
      <c r="J3841" s="68"/>
      <c r="K3841" s="32"/>
      <c r="L3841" s="75">
        <v>3841</v>
      </c>
      <c r="M3841" s="75"/>
      <c r="N3841" s="70"/>
      <c r="O3841" s="77" t="s">
        <v>179</v>
      </c>
      <c r="P3841" s="79">
        <v>45114.639560185184</v>
      </c>
      <c r="Q3841" s="77" t="s">
        <v>5459</v>
      </c>
      <c r="R3841" s="77">
        <v>0</v>
      </c>
      <c r="S3841" s="77">
        <v>0</v>
      </c>
      <c r="T3841" s="77">
        <v>0</v>
      </c>
      <c r="U3841" s="77">
        <v>0</v>
      </c>
      <c r="V3841" s="77">
        <v>53</v>
      </c>
      <c r="W3841" s="80" t="s">
        <v>8290</v>
      </c>
      <c r="X3841" s="77"/>
      <c r="Y3841" s="77"/>
      <c r="Z3841" s="77"/>
      <c r="AA3841" s="77"/>
      <c r="AB3841" s="77"/>
      <c r="AC3841" s="80" t="s">
        <v>10542</v>
      </c>
      <c r="AD3841" s="77" t="s">
        <v>10620</v>
      </c>
      <c r="AE3841" s="83" t="str">
        <f>HYPERLINK("https://twitter.com/rodmolcru/status/1677336913731092481")</f>
        <v>https://twitter.com/rodmolcru/status/1677336913731092481</v>
      </c>
      <c r="AF3841" s="79">
        <v>45114.639560185184</v>
      </c>
      <c r="AG3841" s="85">
        <v>45114</v>
      </c>
      <c r="AH3841" s="80" t="s">
        <v>13310</v>
      </c>
      <c r="AI3841" s="77"/>
      <c r="AJ3841" s="77"/>
      <c r="AK3841" s="77"/>
      <c r="AL3841" s="77"/>
      <c r="AM3841" s="77"/>
      <c r="AN3841" s="77"/>
      <c r="AO3841" s="77"/>
      <c r="AP3841" s="77"/>
      <c r="AQ3841" s="77"/>
      <c r="AR3841" s="77"/>
      <c r="AS3841" s="77"/>
      <c r="AT3841" s="77"/>
      <c r="AU3841" s="77"/>
      <c r="AV3841" s="83" t="str">
        <f>HYPERLINK("https://pbs.twimg.com/profile_images/1706013828889100288/5ZEqAFly_normal.jpg")</f>
        <v>https://pbs.twimg.com/profile_images/1706013828889100288/5ZEqAFly_normal.jpg</v>
      </c>
      <c r="AW3841" s="80" t="s">
        <v>19518</v>
      </c>
      <c r="AX3841" s="80" t="s">
        <v>19518</v>
      </c>
      <c r="AY3841" s="77"/>
      <c r="AZ3841" s="80" t="s">
        <v>20380</v>
      </c>
      <c r="BA3841" s="80" t="s">
        <v>20380</v>
      </c>
      <c r="BB3841" s="80" t="s">
        <v>20380</v>
      </c>
      <c r="BC3841" s="80" t="s">
        <v>19518</v>
      </c>
      <c r="BD3841" s="77">
        <v>57957264</v>
      </c>
      <c r="BE3841" s="77"/>
      <c r="BF3841" s="77"/>
      <c r="BG3841" s="77"/>
      <c r="BH3841" s="77"/>
      <c r="BI3841" s="77"/>
    </row>
    <row r="3842" spans="1:61" x14ac:dyDescent="0.25">
      <c r="A3842" s="62" t="s">
        <v>1540</v>
      </c>
      <c r="B3842" s="62" t="s">
        <v>1540</v>
      </c>
      <c r="C3842" s="63"/>
      <c r="D3842" s="64"/>
      <c r="E3842" s="65"/>
      <c r="F3842" s="66"/>
      <c r="G3842" s="63"/>
      <c r="H3842" s="67"/>
      <c r="I3842" s="68"/>
      <c r="J3842" s="68"/>
      <c r="K3842" s="32"/>
      <c r="L3842" s="75">
        <v>3842</v>
      </c>
      <c r="M3842" s="75"/>
      <c r="N3842" s="70"/>
      <c r="O3842" s="77" t="s">
        <v>179</v>
      </c>
      <c r="P3842" s="79">
        <v>45163.929328703707</v>
      </c>
      <c r="Q3842" s="77" t="s">
        <v>5460</v>
      </c>
      <c r="R3842" s="77">
        <v>0</v>
      </c>
      <c r="S3842" s="77">
        <v>0</v>
      </c>
      <c r="T3842" s="77">
        <v>0</v>
      </c>
      <c r="U3842" s="77">
        <v>0</v>
      </c>
      <c r="V3842" s="77">
        <v>44</v>
      </c>
      <c r="W3842" s="80" t="s">
        <v>8291</v>
      </c>
      <c r="X3842" s="77"/>
      <c r="Y3842" s="77"/>
      <c r="Z3842" s="77"/>
      <c r="AA3842" s="77"/>
      <c r="AB3842" s="77"/>
      <c r="AC3842" s="80" t="s">
        <v>10542</v>
      </c>
      <c r="AD3842" s="77" t="s">
        <v>10620</v>
      </c>
      <c r="AE3842" s="83" t="str">
        <f>HYPERLINK("https://twitter.com/rodmolcru/status/1695198926679228900")</f>
        <v>https://twitter.com/rodmolcru/status/1695198926679228900</v>
      </c>
      <c r="AF3842" s="79">
        <v>45163.929328703707</v>
      </c>
      <c r="AG3842" s="85">
        <v>45163</v>
      </c>
      <c r="AH3842" s="80" t="s">
        <v>13948</v>
      </c>
      <c r="AI3842" s="77"/>
      <c r="AJ3842" s="77"/>
      <c r="AK3842" s="77"/>
      <c r="AL3842" s="77"/>
      <c r="AM3842" s="77"/>
      <c r="AN3842" s="77"/>
      <c r="AO3842" s="77"/>
      <c r="AP3842" s="77"/>
      <c r="AQ3842" s="77"/>
      <c r="AR3842" s="77"/>
      <c r="AS3842" s="77"/>
      <c r="AT3842" s="77"/>
      <c r="AU3842" s="77"/>
      <c r="AV3842" s="83" t="str">
        <f>HYPERLINK("https://pbs.twimg.com/profile_images/1706013828889100288/5ZEqAFly_normal.jpg")</f>
        <v>https://pbs.twimg.com/profile_images/1706013828889100288/5ZEqAFly_normal.jpg</v>
      </c>
      <c r="AW3842" s="80" t="s">
        <v>19519</v>
      </c>
      <c r="AX3842" s="80" t="s">
        <v>19519</v>
      </c>
      <c r="AY3842" s="77"/>
      <c r="AZ3842" s="80" t="s">
        <v>20380</v>
      </c>
      <c r="BA3842" s="80" t="s">
        <v>20380</v>
      </c>
      <c r="BB3842" s="80" t="s">
        <v>20380</v>
      </c>
      <c r="BC3842" s="80" t="s">
        <v>19519</v>
      </c>
      <c r="BD3842" s="77">
        <v>57957264</v>
      </c>
      <c r="BE3842" s="77"/>
      <c r="BF3842" s="77"/>
      <c r="BG3842" s="77"/>
      <c r="BH3842" s="77"/>
      <c r="BI3842" s="77"/>
    </row>
    <row r="3843" spans="1:61" x14ac:dyDescent="0.25">
      <c r="A3843" s="62" t="s">
        <v>1540</v>
      </c>
      <c r="B3843" s="62" t="s">
        <v>1540</v>
      </c>
      <c r="C3843" s="63"/>
      <c r="D3843" s="64"/>
      <c r="E3843" s="65"/>
      <c r="F3843" s="66"/>
      <c r="G3843" s="63"/>
      <c r="H3843" s="67"/>
      <c r="I3843" s="68"/>
      <c r="J3843" s="68"/>
      <c r="K3843" s="32"/>
      <c r="L3843" s="75">
        <v>3843</v>
      </c>
      <c r="M3843" s="75"/>
      <c r="N3843" s="70"/>
      <c r="O3843" s="77" t="s">
        <v>179</v>
      </c>
      <c r="P3843" s="79">
        <v>45196.761597222219</v>
      </c>
      <c r="Q3843" s="77" t="s">
        <v>5461</v>
      </c>
      <c r="R3843" s="77">
        <v>0</v>
      </c>
      <c r="S3843" s="77">
        <v>0</v>
      </c>
      <c r="T3843" s="77">
        <v>0</v>
      </c>
      <c r="U3843" s="77">
        <v>0</v>
      </c>
      <c r="V3843" s="77">
        <v>18</v>
      </c>
      <c r="W3843" s="80" t="s">
        <v>8292</v>
      </c>
      <c r="X3843" s="77"/>
      <c r="Y3843" s="77"/>
      <c r="Z3843" s="77"/>
      <c r="AA3843" s="77"/>
      <c r="AB3843" s="77"/>
      <c r="AC3843" s="80" t="s">
        <v>10542</v>
      </c>
      <c r="AD3843" s="77" t="s">
        <v>10620</v>
      </c>
      <c r="AE3843" s="83" t="str">
        <f>HYPERLINK("https://twitter.com/rodmolcru/status/1707096945628491956")</f>
        <v>https://twitter.com/rodmolcru/status/1707096945628491956</v>
      </c>
      <c r="AF3843" s="79">
        <v>45196.761597222219</v>
      </c>
      <c r="AG3843" s="85">
        <v>45196</v>
      </c>
      <c r="AH3843" s="80" t="s">
        <v>13949</v>
      </c>
      <c r="AI3843" s="77"/>
      <c r="AJ3843" s="77"/>
      <c r="AK3843" s="77"/>
      <c r="AL3843" s="77"/>
      <c r="AM3843" s="77"/>
      <c r="AN3843" s="77"/>
      <c r="AO3843" s="77"/>
      <c r="AP3843" s="77"/>
      <c r="AQ3843" s="77"/>
      <c r="AR3843" s="77"/>
      <c r="AS3843" s="77"/>
      <c r="AT3843" s="77"/>
      <c r="AU3843" s="77"/>
      <c r="AV3843" s="83" t="str">
        <f>HYPERLINK("https://pbs.twimg.com/profile_images/1706013828889100288/5ZEqAFly_normal.jpg")</f>
        <v>https://pbs.twimg.com/profile_images/1706013828889100288/5ZEqAFly_normal.jpg</v>
      </c>
      <c r="AW3843" s="80" t="s">
        <v>19520</v>
      </c>
      <c r="AX3843" s="80" t="s">
        <v>19520</v>
      </c>
      <c r="AY3843" s="77"/>
      <c r="AZ3843" s="80" t="s">
        <v>20380</v>
      </c>
      <c r="BA3843" s="80" t="s">
        <v>20380</v>
      </c>
      <c r="BB3843" s="80" t="s">
        <v>20380</v>
      </c>
      <c r="BC3843" s="80" t="s">
        <v>19520</v>
      </c>
      <c r="BD3843" s="77">
        <v>57957264</v>
      </c>
      <c r="BE3843" s="77"/>
      <c r="BF3843" s="77"/>
      <c r="BG3843" s="77"/>
      <c r="BH3843" s="77"/>
      <c r="BI3843" s="77"/>
    </row>
    <row r="3844" spans="1:61" x14ac:dyDescent="0.25">
      <c r="A3844" s="62" t="s">
        <v>1540</v>
      </c>
      <c r="B3844" s="62" t="s">
        <v>1540</v>
      </c>
      <c r="C3844" s="63"/>
      <c r="D3844" s="64"/>
      <c r="E3844" s="65"/>
      <c r="F3844" s="66"/>
      <c r="G3844" s="63"/>
      <c r="H3844" s="67"/>
      <c r="I3844" s="68"/>
      <c r="J3844" s="68"/>
      <c r="K3844" s="32"/>
      <c r="L3844" s="75">
        <v>3844</v>
      </c>
      <c r="M3844" s="75"/>
      <c r="N3844" s="70"/>
      <c r="O3844" s="77" t="s">
        <v>179</v>
      </c>
      <c r="P3844" s="79">
        <v>45146.768784722219</v>
      </c>
      <c r="Q3844" s="77" t="s">
        <v>5462</v>
      </c>
      <c r="R3844" s="77">
        <v>0</v>
      </c>
      <c r="S3844" s="77">
        <v>0</v>
      </c>
      <c r="T3844" s="77">
        <v>0</v>
      </c>
      <c r="U3844" s="77">
        <v>0</v>
      </c>
      <c r="V3844" s="77">
        <v>30</v>
      </c>
      <c r="W3844" s="80" t="s">
        <v>7132</v>
      </c>
      <c r="X3844" s="77"/>
      <c r="Y3844" s="77"/>
      <c r="Z3844" s="77"/>
      <c r="AA3844" s="77"/>
      <c r="AB3844" s="77"/>
      <c r="AC3844" s="80" t="s">
        <v>10542</v>
      </c>
      <c r="AD3844" s="77" t="s">
        <v>10620</v>
      </c>
      <c r="AE3844" s="83" t="str">
        <f>HYPERLINK("https://twitter.com/rodmolcru/status/1688980155862003712")</f>
        <v>https://twitter.com/rodmolcru/status/1688980155862003712</v>
      </c>
      <c r="AF3844" s="79">
        <v>45146.768784722219</v>
      </c>
      <c r="AG3844" s="85">
        <v>45146</v>
      </c>
      <c r="AH3844" s="80" t="s">
        <v>13950</v>
      </c>
      <c r="AI3844" s="77"/>
      <c r="AJ3844" s="77"/>
      <c r="AK3844" s="77"/>
      <c r="AL3844" s="77"/>
      <c r="AM3844" s="77"/>
      <c r="AN3844" s="77"/>
      <c r="AO3844" s="77"/>
      <c r="AP3844" s="77"/>
      <c r="AQ3844" s="77"/>
      <c r="AR3844" s="77"/>
      <c r="AS3844" s="77"/>
      <c r="AT3844" s="77"/>
      <c r="AU3844" s="77"/>
      <c r="AV3844" s="83" t="str">
        <f>HYPERLINK("https://pbs.twimg.com/profile_images/1706013828889100288/5ZEqAFly_normal.jpg")</f>
        <v>https://pbs.twimg.com/profile_images/1706013828889100288/5ZEqAFly_normal.jpg</v>
      </c>
      <c r="AW3844" s="80" t="s">
        <v>19521</v>
      </c>
      <c r="AX3844" s="80" t="s">
        <v>19521</v>
      </c>
      <c r="AY3844" s="77"/>
      <c r="AZ3844" s="80" t="s">
        <v>20380</v>
      </c>
      <c r="BA3844" s="80" t="s">
        <v>20380</v>
      </c>
      <c r="BB3844" s="80" t="s">
        <v>20380</v>
      </c>
      <c r="BC3844" s="80" t="s">
        <v>19521</v>
      </c>
      <c r="BD3844" s="77">
        <v>57957264</v>
      </c>
      <c r="BE3844" s="77"/>
      <c r="BF3844" s="77"/>
      <c r="BG3844" s="77"/>
      <c r="BH3844" s="77"/>
      <c r="BI3844" s="77"/>
    </row>
    <row r="3845" spans="1:61" x14ac:dyDescent="0.25">
      <c r="A3845" s="62" t="s">
        <v>1541</v>
      </c>
      <c r="B3845" s="62" t="s">
        <v>1541</v>
      </c>
      <c r="C3845" s="63"/>
      <c r="D3845" s="64"/>
      <c r="E3845" s="65"/>
      <c r="F3845" s="66"/>
      <c r="G3845" s="63"/>
      <c r="H3845" s="67"/>
      <c r="I3845" s="68"/>
      <c r="J3845" s="68"/>
      <c r="K3845" s="32"/>
      <c r="L3845" s="75">
        <v>3845</v>
      </c>
      <c r="M3845" s="75"/>
      <c r="N3845" s="70"/>
      <c r="O3845" s="77" t="s">
        <v>179</v>
      </c>
      <c r="P3845" s="79">
        <v>45173.960763888892</v>
      </c>
      <c r="Q3845" s="77" t="s">
        <v>5463</v>
      </c>
      <c r="R3845" s="77">
        <v>0</v>
      </c>
      <c r="S3845" s="77">
        <v>1</v>
      </c>
      <c r="T3845" s="77">
        <v>0</v>
      </c>
      <c r="U3845" s="77">
        <v>0</v>
      </c>
      <c r="V3845" s="77">
        <v>48</v>
      </c>
      <c r="W3845" s="80" t="s">
        <v>8293</v>
      </c>
      <c r="X3845" s="77"/>
      <c r="Y3845" s="77"/>
      <c r="Z3845" s="77"/>
      <c r="AA3845" s="77" t="s">
        <v>10323</v>
      </c>
      <c r="AB3845" s="77" t="s">
        <v>10538</v>
      </c>
      <c r="AC3845" s="80" t="s">
        <v>10541</v>
      </c>
      <c r="AD3845" s="77" t="s">
        <v>10617</v>
      </c>
      <c r="AE3845" s="83" t="str">
        <f>HYPERLINK("https://twitter.com/admthiagofelix/status/1698834197153034360")</f>
        <v>https://twitter.com/admthiagofelix/status/1698834197153034360</v>
      </c>
      <c r="AF3845" s="79">
        <v>45173.960763888892</v>
      </c>
      <c r="AG3845" s="85">
        <v>45173</v>
      </c>
      <c r="AH3845" s="80" t="s">
        <v>13951</v>
      </c>
      <c r="AI3845" s="77" t="b">
        <v>0</v>
      </c>
      <c r="AJ3845" s="77"/>
      <c r="AK3845" s="77"/>
      <c r="AL3845" s="77"/>
      <c r="AM3845" s="77"/>
      <c r="AN3845" s="77"/>
      <c r="AO3845" s="77"/>
      <c r="AP3845" s="77"/>
      <c r="AQ3845" s="77" t="s">
        <v>15802</v>
      </c>
      <c r="AR3845" s="77"/>
      <c r="AS3845" s="77"/>
      <c r="AT3845" s="77"/>
      <c r="AU3845" s="77"/>
      <c r="AV3845" s="83" t="str">
        <f>HYPERLINK("https://pbs.twimg.com/media/F5N4ZezXUAAqIB0.jpg")</f>
        <v>https://pbs.twimg.com/media/F5N4ZezXUAAqIB0.jpg</v>
      </c>
      <c r="AW3845" s="80" t="s">
        <v>19522</v>
      </c>
      <c r="AX3845" s="80" t="s">
        <v>19522</v>
      </c>
      <c r="AY3845" s="77"/>
      <c r="AZ3845" s="80" t="s">
        <v>20380</v>
      </c>
      <c r="BA3845" s="80" t="s">
        <v>20380</v>
      </c>
      <c r="BB3845" s="80" t="s">
        <v>20380</v>
      </c>
      <c r="BC3845" s="80" t="s">
        <v>19522</v>
      </c>
      <c r="BD3845" s="77">
        <v>551634597</v>
      </c>
      <c r="BE3845" s="77"/>
      <c r="BF3845" s="77"/>
      <c r="BG3845" s="77"/>
      <c r="BH3845" s="77"/>
      <c r="BI3845" s="77"/>
    </row>
    <row r="3846" spans="1:61" x14ac:dyDescent="0.25">
      <c r="A3846" s="62" t="s">
        <v>1542</v>
      </c>
      <c r="B3846" s="62" t="s">
        <v>1542</v>
      </c>
      <c r="C3846" s="63"/>
      <c r="D3846" s="64"/>
      <c r="E3846" s="65"/>
      <c r="F3846" s="66"/>
      <c r="G3846" s="63"/>
      <c r="H3846" s="67"/>
      <c r="I3846" s="68"/>
      <c r="J3846" s="68"/>
      <c r="K3846" s="32"/>
      <c r="L3846" s="75">
        <v>3846</v>
      </c>
      <c r="M3846" s="75"/>
      <c r="N3846" s="70"/>
      <c r="O3846" s="77" t="s">
        <v>2078</v>
      </c>
      <c r="P3846" s="79">
        <v>45147.002326388887</v>
      </c>
      <c r="Q3846" s="77" t="s">
        <v>5464</v>
      </c>
      <c r="R3846" s="77">
        <v>1</v>
      </c>
      <c r="S3846" s="77">
        <v>1</v>
      </c>
      <c r="T3846" s="77">
        <v>0</v>
      </c>
      <c r="U3846" s="77">
        <v>0</v>
      </c>
      <c r="V3846" s="77">
        <v>26</v>
      </c>
      <c r="W3846" s="80" t="s">
        <v>8294</v>
      </c>
      <c r="X3846" s="77"/>
      <c r="Y3846" s="77"/>
      <c r="Z3846" s="77"/>
      <c r="AA3846" s="77"/>
      <c r="AB3846" s="77"/>
      <c r="AC3846" s="80" t="s">
        <v>10542</v>
      </c>
      <c r="AD3846" s="77" t="s">
        <v>10622</v>
      </c>
      <c r="AE3846" s="83" t="str">
        <f>HYPERLINK("https://twitter.com/claudiojust/status/1689064788691701760")</f>
        <v>https://twitter.com/claudiojust/status/1689064788691701760</v>
      </c>
      <c r="AF3846" s="79">
        <v>45147.002326388887</v>
      </c>
      <c r="AG3846" s="85">
        <v>45147</v>
      </c>
      <c r="AH3846" s="80" t="s">
        <v>13952</v>
      </c>
      <c r="AI3846" s="77"/>
      <c r="AJ3846" s="77"/>
      <c r="AK3846" s="77"/>
      <c r="AL3846" s="77"/>
      <c r="AM3846" s="77"/>
      <c r="AN3846" s="77"/>
      <c r="AO3846" s="77"/>
      <c r="AP3846" s="77"/>
      <c r="AQ3846" s="77"/>
      <c r="AR3846" s="77"/>
      <c r="AS3846" s="77"/>
      <c r="AT3846" s="77"/>
      <c r="AU3846" s="77"/>
      <c r="AV3846" s="83" t="str">
        <f>HYPERLINK("https://pbs.twimg.com/profile_images/1698066943922634752/UvAeB6oX_normal.jpg")</f>
        <v>https://pbs.twimg.com/profile_images/1698066943922634752/UvAeB6oX_normal.jpg</v>
      </c>
      <c r="AW3846" s="80" t="s">
        <v>19523</v>
      </c>
      <c r="AX3846" s="80" t="s">
        <v>20187</v>
      </c>
      <c r="AY3846" s="80" t="s">
        <v>20369</v>
      </c>
      <c r="AZ3846" s="80" t="s">
        <v>20472</v>
      </c>
      <c r="BA3846" s="80" t="s">
        <v>20380</v>
      </c>
      <c r="BB3846" s="80" t="s">
        <v>20380</v>
      </c>
      <c r="BC3846" s="80" t="s">
        <v>20472</v>
      </c>
      <c r="BD3846" s="77">
        <v>10686852</v>
      </c>
      <c r="BE3846" s="77"/>
      <c r="BF3846" s="77"/>
      <c r="BG3846" s="77"/>
      <c r="BH3846" s="77"/>
      <c r="BI3846" s="77"/>
    </row>
    <row r="3847" spans="1:61" x14ac:dyDescent="0.25">
      <c r="A3847" s="62" t="s">
        <v>1543</v>
      </c>
      <c r="B3847" s="62" t="s">
        <v>1543</v>
      </c>
      <c r="C3847" s="63"/>
      <c r="D3847" s="64"/>
      <c r="E3847" s="65"/>
      <c r="F3847" s="66"/>
      <c r="G3847" s="63"/>
      <c r="H3847" s="67"/>
      <c r="I3847" s="68"/>
      <c r="J3847" s="68"/>
      <c r="K3847" s="32"/>
      <c r="L3847" s="75">
        <v>3847</v>
      </c>
      <c r="M3847" s="75"/>
      <c r="N3847" s="70"/>
      <c r="O3847" s="77" t="s">
        <v>179</v>
      </c>
      <c r="P3847" s="79">
        <v>45060.433113425926</v>
      </c>
      <c r="Q3847" s="77" t="s">
        <v>5465</v>
      </c>
      <c r="R3847" s="77">
        <v>0</v>
      </c>
      <c r="S3847" s="77">
        <v>1</v>
      </c>
      <c r="T3847" s="77">
        <v>0</v>
      </c>
      <c r="U3847" s="77">
        <v>0</v>
      </c>
      <c r="V3847" s="77">
        <v>23</v>
      </c>
      <c r="W3847" s="80" t="s">
        <v>8295</v>
      </c>
      <c r="X3847" s="77"/>
      <c r="Y3847" s="77"/>
      <c r="Z3847" s="77"/>
      <c r="AA3847" s="77" t="s">
        <v>10324</v>
      </c>
      <c r="AB3847" s="77" t="s">
        <v>10534</v>
      </c>
      <c r="AC3847" s="80" t="s">
        <v>10540</v>
      </c>
      <c r="AD3847" s="77" t="s">
        <v>10617</v>
      </c>
      <c r="AE3847" s="83" t="str">
        <f>HYPERLINK("https://twitter.com/marcoocramalan/status/1657693157092388865")</f>
        <v>https://twitter.com/marcoocramalan/status/1657693157092388865</v>
      </c>
      <c r="AF3847" s="79">
        <v>45060.433113425926</v>
      </c>
      <c r="AG3847" s="85">
        <v>45060</v>
      </c>
      <c r="AH3847" s="80" t="s">
        <v>13953</v>
      </c>
      <c r="AI3847" s="77" t="b">
        <v>0</v>
      </c>
      <c r="AJ3847" s="77"/>
      <c r="AK3847" s="77"/>
      <c r="AL3847" s="77"/>
      <c r="AM3847" s="77"/>
      <c r="AN3847" s="77"/>
      <c r="AO3847" s="77"/>
      <c r="AP3847" s="77"/>
      <c r="AQ3847" s="77" t="s">
        <v>15803</v>
      </c>
      <c r="AR3847" s="77">
        <v>44880</v>
      </c>
      <c r="AS3847" s="77"/>
      <c r="AT3847" s="77"/>
      <c r="AU3847" s="77"/>
      <c r="AV3847" s="83" t="str">
        <f>HYPERLINK("https://pbs.twimg.com/ext_tw_video_thumb/1657693063970471936/pu/img/nhlD3QVPeiNCQg4R.jpg")</f>
        <v>https://pbs.twimg.com/ext_tw_video_thumb/1657693063970471936/pu/img/nhlD3QVPeiNCQg4R.jpg</v>
      </c>
      <c r="AW3847" s="80" t="s">
        <v>19524</v>
      </c>
      <c r="AX3847" s="80" t="s">
        <v>19524</v>
      </c>
      <c r="AY3847" s="77"/>
      <c r="AZ3847" s="80" t="s">
        <v>20380</v>
      </c>
      <c r="BA3847" s="80" t="s">
        <v>20380</v>
      </c>
      <c r="BB3847" s="80" t="s">
        <v>20380</v>
      </c>
      <c r="BC3847" s="80" t="s">
        <v>19524</v>
      </c>
      <c r="BD3847" s="77">
        <v>70003769</v>
      </c>
      <c r="BE3847" s="77"/>
      <c r="BF3847" s="77"/>
      <c r="BG3847" s="77"/>
      <c r="BH3847" s="77"/>
      <c r="BI3847" s="77"/>
    </row>
    <row r="3848" spans="1:61" x14ac:dyDescent="0.25">
      <c r="A3848" s="62" t="s">
        <v>1544</v>
      </c>
      <c r="B3848" s="62" t="s">
        <v>1544</v>
      </c>
      <c r="C3848" s="63"/>
      <c r="D3848" s="64"/>
      <c r="E3848" s="65"/>
      <c r="F3848" s="66"/>
      <c r="G3848" s="63"/>
      <c r="H3848" s="67"/>
      <c r="I3848" s="68"/>
      <c r="J3848" s="68"/>
      <c r="K3848" s="32"/>
      <c r="L3848" s="75">
        <v>3848</v>
      </c>
      <c r="M3848" s="75"/>
      <c r="N3848" s="70"/>
      <c r="O3848" s="77" t="s">
        <v>179</v>
      </c>
      <c r="P3848" s="79">
        <v>45155.904097222221</v>
      </c>
      <c r="Q3848" s="77" t="s">
        <v>5466</v>
      </c>
      <c r="R3848" s="77">
        <v>3</v>
      </c>
      <c r="S3848" s="77">
        <v>3</v>
      </c>
      <c r="T3848" s="77">
        <v>0</v>
      </c>
      <c r="U3848" s="77">
        <v>0</v>
      </c>
      <c r="V3848" s="77">
        <v>55</v>
      </c>
      <c r="W3848" s="80" t="s">
        <v>5884</v>
      </c>
      <c r="X3848" s="83" t="str">
        <f>HYPERLINK("https://odia.ig.com.br/economia/2023/08/6692426-fundamentos-de-bc-autonomo-vao-se-incorporando-aos-poucos-afirma-campos-neto.html")</f>
        <v>https://odia.ig.com.br/economia/2023/08/6692426-fundamentos-de-bc-autonomo-vao-se-incorporando-aos-poucos-afirma-campos-neto.html</v>
      </c>
      <c r="Y3848" s="77" t="s">
        <v>8611</v>
      </c>
      <c r="Z3848" s="77"/>
      <c r="AA3848" s="77"/>
      <c r="AB3848" s="77"/>
      <c r="AC3848" s="80" t="s">
        <v>10541</v>
      </c>
      <c r="AD3848" s="77" t="s">
        <v>10617</v>
      </c>
      <c r="AE3848" s="83" t="str">
        <f>HYPERLINK("https://twitter.com/nuno_vccls/status/1692290681832661068")</f>
        <v>https://twitter.com/nuno_vccls/status/1692290681832661068</v>
      </c>
      <c r="AF3848" s="79">
        <v>45155.904097222221</v>
      </c>
      <c r="AG3848" s="85">
        <v>45155</v>
      </c>
      <c r="AH3848" s="80" t="s">
        <v>13954</v>
      </c>
      <c r="AI3848" s="77" t="b">
        <v>0</v>
      </c>
      <c r="AJ3848" s="77"/>
      <c r="AK3848" s="77"/>
      <c r="AL3848" s="77"/>
      <c r="AM3848" s="77"/>
      <c r="AN3848" s="77"/>
      <c r="AO3848" s="77"/>
      <c r="AP3848" s="77"/>
      <c r="AQ3848" s="77"/>
      <c r="AR3848" s="77"/>
      <c r="AS3848" s="77"/>
      <c r="AT3848" s="77"/>
      <c r="AU3848" s="77"/>
      <c r="AV3848" s="83" t="str">
        <f>HYPERLINK("https://pbs.twimg.com/profile_images/1243647515561537536/dROcx9sp_normal.jpg")</f>
        <v>https://pbs.twimg.com/profile_images/1243647515561537536/dROcx9sp_normal.jpg</v>
      </c>
      <c r="AW3848" s="80" t="s">
        <v>19525</v>
      </c>
      <c r="AX3848" s="80" t="s">
        <v>19525</v>
      </c>
      <c r="AY3848" s="77"/>
      <c r="AZ3848" s="80" t="s">
        <v>20380</v>
      </c>
      <c r="BA3848" s="80" t="s">
        <v>20380</v>
      </c>
      <c r="BB3848" s="80" t="s">
        <v>20380</v>
      </c>
      <c r="BC3848" s="80" t="s">
        <v>19525</v>
      </c>
      <c r="BD3848" s="80" t="s">
        <v>21138</v>
      </c>
      <c r="BE3848" s="77"/>
      <c r="BF3848" s="77"/>
      <c r="BG3848" s="77"/>
      <c r="BH3848" s="77"/>
      <c r="BI3848" s="77"/>
    </row>
    <row r="3849" spans="1:61" x14ac:dyDescent="0.25">
      <c r="A3849" s="62" t="s">
        <v>1545</v>
      </c>
      <c r="B3849" s="62" t="s">
        <v>2060</v>
      </c>
      <c r="C3849" s="63"/>
      <c r="D3849" s="64"/>
      <c r="E3849" s="65"/>
      <c r="F3849" s="66"/>
      <c r="G3849" s="63"/>
      <c r="H3849" s="67"/>
      <c r="I3849" s="68"/>
      <c r="J3849" s="68"/>
      <c r="K3849" s="32"/>
      <c r="L3849" s="75">
        <v>3849</v>
      </c>
      <c r="M3849" s="75"/>
      <c r="N3849" s="70"/>
      <c r="O3849" s="77" t="s">
        <v>2082</v>
      </c>
      <c r="P3849" s="79">
        <v>45139.165648148148</v>
      </c>
      <c r="Q3849" s="77" t="s">
        <v>5467</v>
      </c>
      <c r="R3849" s="77">
        <v>6</v>
      </c>
      <c r="S3849" s="77">
        <v>67</v>
      </c>
      <c r="T3849" s="77">
        <v>5</v>
      </c>
      <c r="U3849" s="77">
        <v>0</v>
      </c>
      <c r="V3849" s="77">
        <v>3234</v>
      </c>
      <c r="W3849" s="80" t="s">
        <v>5884</v>
      </c>
      <c r="X3849" s="77"/>
      <c r="Y3849" s="77"/>
      <c r="Z3849" s="77"/>
      <c r="AA3849" s="77"/>
      <c r="AB3849" s="77"/>
      <c r="AC3849" s="80" t="s">
        <v>10541</v>
      </c>
      <c r="AD3849" s="77" t="s">
        <v>10620</v>
      </c>
      <c r="AE3849" s="83" t="str">
        <f>HYPERLINK("https://twitter.com/lalbertoarias/status/1686224872299503616")</f>
        <v>https://twitter.com/lalbertoarias/status/1686224872299503616</v>
      </c>
      <c r="AF3849" s="79">
        <v>45139.165648148148</v>
      </c>
      <c r="AG3849" s="85">
        <v>45139</v>
      </c>
      <c r="AH3849" s="80" t="s">
        <v>13955</v>
      </c>
      <c r="AI3849" s="77"/>
      <c r="AJ3849" s="77"/>
      <c r="AK3849" s="77"/>
      <c r="AL3849" s="77"/>
      <c r="AM3849" s="77"/>
      <c r="AN3849" s="77"/>
      <c r="AO3849" s="77"/>
      <c r="AP3849" s="77"/>
      <c r="AQ3849" s="77"/>
      <c r="AR3849" s="77"/>
      <c r="AS3849" s="77"/>
      <c r="AT3849" s="77"/>
      <c r="AU3849" s="77"/>
      <c r="AV3849" s="83" t="str">
        <f>HYPERLINK("https://pbs.twimg.com/profile_images/1609334703693111297/upJnAyT7_normal.jpg")</f>
        <v>https://pbs.twimg.com/profile_images/1609334703693111297/upJnAyT7_normal.jpg</v>
      </c>
      <c r="AW3849" s="80" t="s">
        <v>19526</v>
      </c>
      <c r="AX3849" s="80" t="s">
        <v>19526</v>
      </c>
      <c r="AY3849" s="77"/>
      <c r="AZ3849" s="80" t="s">
        <v>20380</v>
      </c>
      <c r="BA3849" s="80" t="s">
        <v>20490</v>
      </c>
      <c r="BB3849" s="80" t="s">
        <v>20380</v>
      </c>
      <c r="BC3849" s="80" t="s">
        <v>20490</v>
      </c>
      <c r="BD3849" s="77">
        <v>48473115</v>
      </c>
      <c r="BE3849" s="77"/>
      <c r="BF3849" s="77"/>
      <c r="BG3849" s="77"/>
      <c r="BH3849" s="77"/>
      <c r="BI3849" s="77"/>
    </row>
    <row r="3850" spans="1:61" x14ac:dyDescent="0.25">
      <c r="A3850" s="62" t="s">
        <v>1546</v>
      </c>
      <c r="B3850" s="62" t="s">
        <v>1546</v>
      </c>
      <c r="C3850" s="63"/>
      <c r="D3850" s="64"/>
      <c r="E3850" s="65"/>
      <c r="F3850" s="66"/>
      <c r="G3850" s="63"/>
      <c r="H3850" s="67"/>
      <c r="I3850" s="68"/>
      <c r="J3850" s="68"/>
      <c r="K3850" s="32"/>
      <c r="L3850" s="75">
        <v>3850</v>
      </c>
      <c r="M3850" s="75"/>
      <c r="N3850" s="70"/>
      <c r="O3850" s="77" t="s">
        <v>179</v>
      </c>
      <c r="P3850" s="79">
        <v>45067.71597222222</v>
      </c>
      <c r="Q3850" s="77" t="s">
        <v>5468</v>
      </c>
      <c r="R3850" s="77">
        <v>0</v>
      </c>
      <c r="S3850" s="77">
        <v>0</v>
      </c>
      <c r="T3850" s="77">
        <v>0</v>
      </c>
      <c r="U3850" s="77">
        <v>0</v>
      </c>
      <c r="V3850" s="77">
        <v>1</v>
      </c>
      <c r="W3850" s="80" t="s">
        <v>8296</v>
      </c>
      <c r="X3850" s="83" t="str">
        <f>HYPERLINK("http://www.guilhermefonsecafaro.com.br")</f>
        <v>http://www.guilhermefonsecafaro.com.br</v>
      </c>
      <c r="Y3850" s="77" t="s">
        <v>8611</v>
      </c>
      <c r="Z3850" s="77"/>
      <c r="AA3850" s="77"/>
      <c r="AB3850" s="77"/>
      <c r="AC3850" s="80" t="s">
        <v>10541</v>
      </c>
      <c r="AD3850" s="77" t="s">
        <v>10617</v>
      </c>
      <c r="AE3850" s="83" t="str">
        <f>HYPERLINK("https://twitter.com/citacoesfaro/status/1660332374524297216")</f>
        <v>https://twitter.com/citacoesfaro/status/1660332374524297216</v>
      </c>
      <c r="AF3850" s="79">
        <v>45067.71597222222</v>
      </c>
      <c r="AG3850" s="85">
        <v>45067</v>
      </c>
      <c r="AH3850" s="80" t="s">
        <v>13956</v>
      </c>
      <c r="AI3850" s="77" t="b">
        <v>0</v>
      </c>
      <c r="AJ3850" s="77"/>
      <c r="AK3850" s="77"/>
      <c r="AL3850" s="77"/>
      <c r="AM3850" s="77"/>
      <c r="AN3850" s="77"/>
      <c r="AO3850" s="77"/>
      <c r="AP3850" s="77"/>
      <c r="AQ3850" s="77"/>
      <c r="AR3850" s="77"/>
      <c r="AS3850" s="77"/>
      <c r="AT3850" s="77"/>
      <c r="AU3850" s="77"/>
      <c r="AV3850" s="83" t="str">
        <f>HYPERLINK("https://pbs.twimg.com/profile_images/1637806513933697024/FKJmFshJ_normal.jpg")</f>
        <v>https://pbs.twimg.com/profile_images/1637806513933697024/FKJmFshJ_normal.jpg</v>
      </c>
      <c r="AW3850" s="80" t="s">
        <v>19527</v>
      </c>
      <c r="AX3850" s="80" t="s">
        <v>19527</v>
      </c>
      <c r="AY3850" s="77"/>
      <c r="AZ3850" s="80" t="s">
        <v>20380</v>
      </c>
      <c r="BA3850" s="80" t="s">
        <v>20380</v>
      </c>
      <c r="BB3850" s="80" t="s">
        <v>20380</v>
      </c>
      <c r="BC3850" s="80" t="s">
        <v>19527</v>
      </c>
      <c r="BD3850" s="80" t="s">
        <v>21139</v>
      </c>
      <c r="BE3850" s="77"/>
      <c r="BF3850" s="77"/>
      <c r="BG3850" s="77"/>
      <c r="BH3850" s="77"/>
      <c r="BI3850" s="77"/>
    </row>
    <row r="3851" spans="1:61" x14ac:dyDescent="0.25">
      <c r="A3851" s="62" t="s">
        <v>1547</v>
      </c>
      <c r="B3851" s="62" t="s">
        <v>2061</v>
      </c>
      <c r="C3851" s="63"/>
      <c r="D3851" s="64"/>
      <c r="E3851" s="65"/>
      <c r="F3851" s="66"/>
      <c r="G3851" s="63"/>
      <c r="H3851" s="67"/>
      <c r="I3851" s="68"/>
      <c r="J3851" s="68"/>
      <c r="K3851" s="32"/>
      <c r="L3851" s="75">
        <v>3851</v>
      </c>
      <c r="M3851" s="75"/>
      <c r="N3851" s="70"/>
      <c r="O3851" s="77" t="s">
        <v>2081</v>
      </c>
      <c r="P3851" s="79">
        <v>45123.787164351852</v>
      </c>
      <c r="Q3851" s="77" t="s">
        <v>5469</v>
      </c>
      <c r="R3851" s="77">
        <v>0</v>
      </c>
      <c r="S3851" s="77">
        <v>0</v>
      </c>
      <c r="T3851" s="77">
        <v>0</v>
      </c>
      <c r="U3851" s="77">
        <v>0</v>
      </c>
      <c r="V3851" s="77">
        <v>77</v>
      </c>
      <c r="W3851" s="80" t="s">
        <v>8297</v>
      </c>
      <c r="X3851" s="83" t="str">
        <f>HYPERLINK("https://www.eltribuno.com/jujuy/nota/2023-7-16-13-44-0-san-martin-vuelve-a-los-billetes")</f>
        <v>https://www.eltribuno.com/jujuy/nota/2023-7-16-13-44-0-san-martin-vuelve-a-los-billetes</v>
      </c>
      <c r="Y3851" s="77" t="s">
        <v>8872</v>
      </c>
      <c r="Z3851" s="77" t="s">
        <v>2061</v>
      </c>
      <c r="AA3851" s="77"/>
      <c r="AB3851" s="77"/>
      <c r="AC3851" s="80" t="s">
        <v>10541</v>
      </c>
      <c r="AD3851" s="77" t="s">
        <v>10620</v>
      </c>
      <c r="AE3851" s="83" t="str">
        <f>HYPERLINK("https://twitter.com/eltribunojujuy/status/1680651893775773703")</f>
        <v>https://twitter.com/eltribunojujuy/status/1680651893775773703</v>
      </c>
      <c r="AF3851" s="79">
        <v>45123.787164351852</v>
      </c>
      <c r="AG3851" s="85">
        <v>45123</v>
      </c>
      <c r="AH3851" s="80" t="s">
        <v>13957</v>
      </c>
      <c r="AI3851" s="77" t="b">
        <v>0</v>
      </c>
      <c r="AJ3851" s="77"/>
      <c r="AK3851" s="77"/>
      <c r="AL3851" s="77"/>
      <c r="AM3851" s="77"/>
      <c r="AN3851" s="77"/>
      <c r="AO3851" s="77"/>
      <c r="AP3851" s="77"/>
      <c r="AQ3851" s="77"/>
      <c r="AR3851" s="77"/>
      <c r="AS3851" s="77"/>
      <c r="AT3851" s="77"/>
      <c r="AU3851" s="77"/>
      <c r="AV3851" s="83" t="str">
        <f>HYPERLINK("https://pbs.twimg.com/profile_images/1489938439965487111/I5zMCeu3_normal.jpg")</f>
        <v>https://pbs.twimg.com/profile_images/1489938439965487111/I5zMCeu3_normal.jpg</v>
      </c>
      <c r="AW3851" s="80" t="s">
        <v>19528</v>
      </c>
      <c r="AX3851" s="80" t="s">
        <v>19528</v>
      </c>
      <c r="AY3851" s="77"/>
      <c r="AZ3851" s="80" t="s">
        <v>20380</v>
      </c>
      <c r="BA3851" s="80" t="s">
        <v>20380</v>
      </c>
      <c r="BB3851" s="80" t="s">
        <v>20380</v>
      </c>
      <c r="BC3851" s="80" t="s">
        <v>19528</v>
      </c>
      <c r="BD3851" s="77">
        <v>187673360</v>
      </c>
      <c r="BE3851" s="77"/>
      <c r="BF3851" s="77"/>
      <c r="BG3851" s="77"/>
      <c r="BH3851" s="77"/>
      <c r="BI3851" s="77"/>
    </row>
    <row r="3852" spans="1:61" x14ac:dyDescent="0.25">
      <c r="A3852" s="62" t="s">
        <v>1547</v>
      </c>
      <c r="B3852" s="62" t="s">
        <v>2061</v>
      </c>
      <c r="C3852" s="63"/>
      <c r="D3852" s="64"/>
      <c r="E3852" s="65"/>
      <c r="F3852" s="66"/>
      <c r="G3852" s="63"/>
      <c r="H3852" s="67"/>
      <c r="I3852" s="68"/>
      <c r="J3852" s="68"/>
      <c r="K3852" s="32"/>
      <c r="L3852" s="75">
        <v>3852</v>
      </c>
      <c r="M3852" s="75"/>
      <c r="N3852" s="70"/>
      <c r="O3852" s="77" t="s">
        <v>2081</v>
      </c>
      <c r="P3852" s="79">
        <v>45138.615671296298</v>
      </c>
      <c r="Q3852" s="77" t="s">
        <v>5470</v>
      </c>
      <c r="R3852" s="77">
        <v>0</v>
      </c>
      <c r="S3852" s="77">
        <v>0</v>
      </c>
      <c r="T3852" s="77">
        <v>0</v>
      </c>
      <c r="U3852" s="77">
        <v>0</v>
      </c>
      <c r="V3852" s="77">
        <v>78</v>
      </c>
      <c r="W3852" s="80" t="s">
        <v>8298</v>
      </c>
      <c r="X3852" s="83" t="str">
        <f>HYPERLINK("https://www.eltribuno.com/jujuy/nota/2023-7-31-11-36-0-como-justificar-una-transferencia-en-dolares-en-argentina")</f>
        <v>https://www.eltribuno.com/jujuy/nota/2023-7-31-11-36-0-como-justificar-una-transferencia-en-dolares-en-argentina</v>
      </c>
      <c r="Y3852" s="77" t="s">
        <v>8872</v>
      </c>
      <c r="Z3852" s="77" t="s">
        <v>2061</v>
      </c>
      <c r="AA3852" s="77"/>
      <c r="AB3852" s="77"/>
      <c r="AC3852" s="80" t="s">
        <v>10541</v>
      </c>
      <c r="AD3852" s="77" t="s">
        <v>10620</v>
      </c>
      <c r="AE3852" s="83" t="str">
        <f>HYPERLINK("https://twitter.com/eltribunojujuy/status/1686025567760486400")</f>
        <v>https://twitter.com/eltribunojujuy/status/1686025567760486400</v>
      </c>
      <c r="AF3852" s="79">
        <v>45138.615671296298</v>
      </c>
      <c r="AG3852" s="85">
        <v>45138</v>
      </c>
      <c r="AH3852" s="80" t="s">
        <v>13958</v>
      </c>
      <c r="AI3852" s="77" t="b">
        <v>0</v>
      </c>
      <c r="AJ3852" s="77"/>
      <c r="AK3852" s="77"/>
      <c r="AL3852" s="77"/>
      <c r="AM3852" s="77"/>
      <c r="AN3852" s="77"/>
      <c r="AO3852" s="77"/>
      <c r="AP3852" s="77"/>
      <c r="AQ3852" s="77"/>
      <c r="AR3852" s="77"/>
      <c r="AS3852" s="77"/>
      <c r="AT3852" s="77"/>
      <c r="AU3852" s="77"/>
      <c r="AV3852" s="83" t="str">
        <f>HYPERLINK("https://pbs.twimg.com/profile_images/1489938439965487111/I5zMCeu3_normal.jpg")</f>
        <v>https://pbs.twimg.com/profile_images/1489938439965487111/I5zMCeu3_normal.jpg</v>
      </c>
      <c r="AW3852" s="80" t="s">
        <v>19529</v>
      </c>
      <c r="AX3852" s="80" t="s">
        <v>19529</v>
      </c>
      <c r="AY3852" s="77"/>
      <c r="AZ3852" s="80" t="s">
        <v>20380</v>
      </c>
      <c r="BA3852" s="80" t="s">
        <v>20380</v>
      </c>
      <c r="BB3852" s="80" t="s">
        <v>20380</v>
      </c>
      <c r="BC3852" s="80" t="s">
        <v>19529</v>
      </c>
      <c r="BD3852" s="77">
        <v>187673360</v>
      </c>
      <c r="BE3852" s="77"/>
      <c r="BF3852" s="77"/>
      <c r="BG3852" s="77"/>
      <c r="BH3852" s="77"/>
      <c r="BI3852" s="77"/>
    </row>
    <row r="3853" spans="1:61" x14ac:dyDescent="0.25">
      <c r="A3853" s="62" t="s">
        <v>1547</v>
      </c>
      <c r="B3853" s="62" t="s">
        <v>2061</v>
      </c>
      <c r="C3853" s="63"/>
      <c r="D3853" s="64"/>
      <c r="E3853" s="65"/>
      <c r="F3853" s="66"/>
      <c r="G3853" s="63"/>
      <c r="H3853" s="67"/>
      <c r="I3853" s="68"/>
      <c r="J3853" s="68"/>
      <c r="K3853" s="32"/>
      <c r="L3853" s="75">
        <v>3853</v>
      </c>
      <c r="M3853" s="75"/>
      <c r="N3853" s="70"/>
      <c r="O3853" s="77" t="s">
        <v>2081</v>
      </c>
      <c r="P3853" s="79">
        <v>45163.708194444444</v>
      </c>
      <c r="Q3853" s="77" t="s">
        <v>5471</v>
      </c>
      <c r="R3853" s="77">
        <v>1</v>
      </c>
      <c r="S3853" s="77">
        <v>0</v>
      </c>
      <c r="T3853" s="77">
        <v>0</v>
      </c>
      <c r="U3853" s="77">
        <v>0</v>
      </c>
      <c r="V3853" s="77">
        <v>88</v>
      </c>
      <c r="W3853" s="80" t="s">
        <v>6163</v>
      </c>
      <c r="X3853" s="83" t="str">
        <f>HYPERLINK("https://www.eltribuno.com/jujuy/nota/2023-8-25-13-43-0-billeteras-virtuales-el-banco-central-hizo-un-cambio-que-beneficia-a-los-clientes")</f>
        <v>https://www.eltribuno.com/jujuy/nota/2023-8-25-13-43-0-billeteras-virtuales-el-banco-central-hizo-un-cambio-que-beneficia-a-los-clientes</v>
      </c>
      <c r="Y3853" s="77" t="s">
        <v>8872</v>
      </c>
      <c r="Z3853" s="77" t="s">
        <v>2061</v>
      </c>
      <c r="AA3853" s="77"/>
      <c r="AB3853" s="77"/>
      <c r="AC3853" s="80" t="s">
        <v>10541</v>
      </c>
      <c r="AD3853" s="77" t="s">
        <v>10620</v>
      </c>
      <c r="AE3853" s="83" t="str">
        <f>HYPERLINK("https://twitter.com/eltribunojujuy/status/1695118794211934334")</f>
        <v>https://twitter.com/eltribunojujuy/status/1695118794211934334</v>
      </c>
      <c r="AF3853" s="79">
        <v>45163.708194444444</v>
      </c>
      <c r="AG3853" s="85">
        <v>45163</v>
      </c>
      <c r="AH3853" s="80" t="s">
        <v>13959</v>
      </c>
      <c r="AI3853" s="77" t="b">
        <v>0</v>
      </c>
      <c r="AJ3853" s="77"/>
      <c r="AK3853" s="77"/>
      <c r="AL3853" s="77"/>
      <c r="AM3853" s="77"/>
      <c r="AN3853" s="77"/>
      <c r="AO3853" s="77"/>
      <c r="AP3853" s="77"/>
      <c r="AQ3853" s="77"/>
      <c r="AR3853" s="77"/>
      <c r="AS3853" s="77"/>
      <c r="AT3853" s="77"/>
      <c r="AU3853" s="77"/>
      <c r="AV3853" s="83" t="str">
        <f>HYPERLINK("https://pbs.twimg.com/profile_images/1489938439965487111/I5zMCeu3_normal.jpg")</f>
        <v>https://pbs.twimg.com/profile_images/1489938439965487111/I5zMCeu3_normal.jpg</v>
      </c>
      <c r="AW3853" s="80" t="s">
        <v>19530</v>
      </c>
      <c r="AX3853" s="80" t="s">
        <v>19530</v>
      </c>
      <c r="AY3853" s="77"/>
      <c r="AZ3853" s="80" t="s">
        <v>20380</v>
      </c>
      <c r="BA3853" s="80" t="s">
        <v>20380</v>
      </c>
      <c r="BB3853" s="80" t="s">
        <v>20380</v>
      </c>
      <c r="BC3853" s="80" t="s">
        <v>19530</v>
      </c>
      <c r="BD3853" s="77">
        <v>187673360</v>
      </c>
      <c r="BE3853" s="77"/>
      <c r="BF3853" s="77"/>
      <c r="BG3853" s="77"/>
      <c r="BH3853" s="77"/>
      <c r="BI3853" s="77"/>
    </row>
    <row r="3854" spans="1:61" x14ac:dyDescent="0.25">
      <c r="A3854" s="62" t="s">
        <v>1548</v>
      </c>
      <c r="B3854" s="62" t="s">
        <v>1548</v>
      </c>
      <c r="C3854" s="63"/>
      <c r="D3854" s="64"/>
      <c r="E3854" s="65"/>
      <c r="F3854" s="66"/>
      <c r="G3854" s="63"/>
      <c r="H3854" s="67"/>
      <c r="I3854" s="68"/>
      <c r="J3854" s="68"/>
      <c r="K3854" s="32"/>
      <c r="L3854" s="75">
        <v>3854</v>
      </c>
      <c r="M3854" s="75"/>
      <c r="N3854" s="70"/>
      <c r="O3854" s="77" t="s">
        <v>179</v>
      </c>
      <c r="P3854" s="79">
        <v>45079.876030092593</v>
      </c>
      <c r="Q3854" s="77" t="s">
        <v>5472</v>
      </c>
      <c r="R3854" s="77">
        <v>1</v>
      </c>
      <c r="S3854" s="77">
        <v>0</v>
      </c>
      <c r="T3854" s="77">
        <v>0</v>
      </c>
      <c r="U3854" s="77">
        <v>0</v>
      </c>
      <c r="V3854" s="77">
        <v>59</v>
      </c>
      <c r="W3854" s="80" t="s">
        <v>8299</v>
      </c>
      <c r="X3854" s="83" t="str">
        <f>HYPERLINK("https://elchorrillero.com/nota/2023/06/02/394765-los-transportistas-exigen-la-suspension-de-una-normativa-del-banco-central/amp/")</f>
        <v>https://elchorrillero.com/nota/2023/06/02/394765-los-transportistas-exigen-la-suspension-de-una-normativa-del-banco-central/amp/</v>
      </c>
      <c r="Y3854" s="77" t="s">
        <v>8873</v>
      </c>
      <c r="Z3854" s="77"/>
      <c r="AA3854" s="77"/>
      <c r="AB3854" s="77"/>
      <c r="AC3854" s="80" t="s">
        <v>10541</v>
      </c>
      <c r="AD3854" s="77" t="s">
        <v>10620</v>
      </c>
      <c r="AE3854" s="83" t="str">
        <f>HYPERLINK("https://twitter.com/elchorrillerosl/status/1664739034516660225")</f>
        <v>https://twitter.com/elchorrillerosl/status/1664739034516660225</v>
      </c>
      <c r="AF3854" s="79">
        <v>45079.876030092593</v>
      </c>
      <c r="AG3854" s="85">
        <v>45079</v>
      </c>
      <c r="AH3854" s="80" t="s">
        <v>11373</v>
      </c>
      <c r="AI3854" s="77" t="b">
        <v>0</v>
      </c>
      <c r="AJ3854" s="77"/>
      <c r="AK3854" s="77"/>
      <c r="AL3854" s="77"/>
      <c r="AM3854" s="77"/>
      <c r="AN3854" s="77"/>
      <c r="AO3854" s="77"/>
      <c r="AP3854" s="77"/>
      <c r="AQ3854" s="77"/>
      <c r="AR3854" s="77"/>
      <c r="AS3854" s="77"/>
      <c r="AT3854" s="77"/>
      <c r="AU3854" s="77"/>
      <c r="AV3854" s="83" t="str">
        <f>HYPERLINK("https://pbs.twimg.com/profile_images/1662089427894558720/Wwubwy-y_normal.jpg")</f>
        <v>https://pbs.twimg.com/profile_images/1662089427894558720/Wwubwy-y_normal.jpg</v>
      </c>
      <c r="AW3854" s="80" t="s">
        <v>19531</v>
      </c>
      <c r="AX3854" s="80" t="s">
        <v>19531</v>
      </c>
      <c r="AY3854" s="77"/>
      <c r="AZ3854" s="80" t="s">
        <v>20380</v>
      </c>
      <c r="BA3854" s="80" t="s">
        <v>20380</v>
      </c>
      <c r="BB3854" s="80" t="s">
        <v>20380</v>
      </c>
      <c r="BC3854" s="80" t="s">
        <v>19531</v>
      </c>
      <c r="BD3854" s="77">
        <v>1043762580</v>
      </c>
      <c r="BE3854" s="77"/>
      <c r="BF3854" s="77"/>
      <c r="BG3854" s="77"/>
      <c r="BH3854" s="77"/>
      <c r="BI3854" s="77"/>
    </row>
    <row r="3855" spans="1:61" x14ac:dyDescent="0.25">
      <c r="A3855" s="62" t="s">
        <v>1548</v>
      </c>
      <c r="B3855" s="62" t="s">
        <v>1548</v>
      </c>
      <c r="C3855" s="63"/>
      <c r="D3855" s="64"/>
      <c r="E3855" s="65"/>
      <c r="F3855" s="66"/>
      <c r="G3855" s="63"/>
      <c r="H3855" s="67"/>
      <c r="I3855" s="68"/>
      <c r="J3855" s="68"/>
      <c r="K3855" s="32"/>
      <c r="L3855" s="75">
        <v>3855</v>
      </c>
      <c r="M3855" s="75"/>
      <c r="N3855" s="70"/>
      <c r="O3855" s="77" t="s">
        <v>179</v>
      </c>
      <c r="P3855" s="79">
        <v>45077.991215277776</v>
      </c>
      <c r="Q3855" s="77" t="s">
        <v>5473</v>
      </c>
      <c r="R3855" s="77">
        <v>1</v>
      </c>
      <c r="S3855" s="77">
        <v>1</v>
      </c>
      <c r="T3855" s="77">
        <v>0</v>
      </c>
      <c r="U3855" s="77">
        <v>0</v>
      </c>
      <c r="V3855" s="77">
        <v>60</v>
      </c>
      <c r="W3855" s="80" t="s">
        <v>8300</v>
      </c>
      <c r="X3855" s="83" t="str">
        <f>HYPERLINK("https://elchorrillero.com/nota/2023/05/31/394357-por-primera-vez-los-pagos-con-transferencia-superaron-a-los-de-tarjeta-de-debito/amp/")</f>
        <v>https://elchorrillero.com/nota/2023/05/31/394357-por-primera-vez-los-pagos-con-transferencia-superaron-a-los-de-tarjeta-de-debito/amp/</v>
      </c>
      <c r="Y3855" s="77" t="s">
        <v>8873</v>
      </c>
      <c r="Z3855" s="77"/>
      <c r="AA3855" s="77"/>
      <c r="AB3855" s="77"/>
      <c r="AC3855" s="80" t="s">
        <v>10541</v>
      </c>
      <c r="AD3855" s="77" t="s">
        <v>10620</v>
      </c>
      <c r="AE3855" s="83" t="str">
        <f>HYPERLINK("https://twitter.com/elchorrillerosl/status/1664056000570114049")</f>
        <v>https://twitter.com/elchorrillerosl/status/1664056000570114049</v>
      </c>
      <c r="AF3855" s="79">
        <v>45077.991215277776</v>
      </c>
      <c r="AG3855" s="85">
        <v>45077</v>
      </c>
      <c r="AH3855" s="80" t="s">
        <v>13960</v>
      </c>
      <c r="AI3855" s="77" t="b">
        <v>0</v>
      </c>
      <c r="AJ3855" s="77"/>
      <c r="AK3855" s="77"/>
      <c r="AL3855" s="77"/>
      <c r="AM3855" s="77"/>
      <c r="AN3855" s="77"/>
      <c r="AO3855" s="77"/>
      <c r="AP3855" s="77"/>
      <c r="AQ3855" s="77"/>
      <c r="AR3855" s="77"/>
      <c r="AS3855" s="77"/>
      <c r="AT3855" s="77"/>
      <c r="AU3855" s="77"/>
      <c r="AV3855" s="83" t="str">
        <f>HYPERLINK("https://pbs.twimg.com/profile_images/1662089427894558720/Wwubwy-y_normal.jpg")</f>
        <v>https://pbs.twimg.com/profile_images/1662089427894558720/Wwubwy-y_normal.jpg</v>
      </c>
      <c r="AW3855" s="80" t="s">
        <v>19532</v>
      </c>
      <c r="AX3855" s="80" t="s">
        <v>19532</v>
      </c>
      <c r="AY3855" s="77"/>
      <c r="AZ3855" s="80" t="s">
        <v>20380</v>
      </c>
      <c r="BA3855" s="80" t="s">
        <v>20380</v>
      </c>
      <c r="BB3855" s="80" t="s">
        <v>20380</v>
      </c>
      <c r="BC3855" s="80" t="s">
        <v>19532</v>
      </c>
      <c r="BD3855" s="77">
        <v>1043762580</v>
      </c>
      <c r="BE3855" s="77"/>
      <c r="BF3855" s="77"/>
      <c r="BG3855" s="77"/>
      <c r="BH3855" s="77"/>
      <c r="BI3855" s="77"/>
    </row>
    <row r="3856" spans="1:61" x14ac:dyDescent="0.25">
      <c r="A3856" s="62" t="s">
        <v>1548</v>
      </c>
      <c r="B3856" s="62" t="s">
        <v>1548</v>
      </c>
      <c r="C3856" s="63"/>
      <c r="D3856" s="64"/>
      <c r="E3856" s="65"/>
      <c r="F3856" s="66"/>
      <c r="G3856" s="63"/>
      <c r="H3856" s="67"/>
      <c r="I3856" s="68"/>
      <c r="J3856" s="68"/>
      <c r="K3856" s="32"/>
      <c r="L3856" s="75">
        <v>3856</v>
      </c>
      <c r="M3856" s="75"/>
      <c r="N3856" s="70"/>
      <c r="O3856" s="77" t="s">
        <v>179</v>
      </c>
      <c r="P3856" s="79">
        <v>45153.586828703701</v>
      </c>
      <c r="Q3856" s="77" t="s">
        <v>5474</v>
      </c>
      <c r="R3856" s="77">
        <v>0</v>
      </c>
      <c r="S3856" s="77">
        <v>0</v>
      </c>
      <c r="T3856" s="77">
        <v>0</v>
      </c>
      <c r="U3856" s="77">
        <v>0</v>
      </c>
      <c r="V3856" s="77">
        <v>97</v>
      </c>
      <c r="W3856" s="80" t="s">
        <v>8301</v>
      </c>
      <c r="X3856" s="83" t="str">
        <f>HYPERLINK("https://elchorrillero.com/nota/2023/08/15/408811-suba-de-la-tasa-de-interes-como-afecta-a-los-plazos-fijos-a-las-compras-con-tarjeta-y-a-los-prestamos/amp/")</f>
        <v>https://elchorrillero.com/nota/2023/08/15/408811-suba-de-la-tasa-de-interes-como-afecta-a-los-plazos-fijos-a-las-compras-con-tarjeta-y-a-los-prestamos/amp/</v>
      </c>
      <c r="Y3856" s="77" t="s">
        <v>8873</v>
      </c>
      <c r="Z3856" s="77"/>
      <c r="AA3856" s="77"/>
      <c r="AB3856" s="77"/>
      <c r="AC3856" s="80" t="s">
        <v>10541</v>
      </c>
      <c r="AD3856" s="77" t="s">
        <v>10620</v>
      </c>
      <c r="AE3856" s="83" t="str">
        <f>HYPERLINK("https://twitter.com/elchorrillerosl/status/1691450933920841730")</f>
        <v>https://twitter.com/elchorrillerosl/status/1691450933920841730</v>
      </c>
      <c r="AF3856" s="79">
        <v>45153.586828703701</v>
      </c>
      <c r="AG3856" s="85">
        <v>45153</v>
      </c>
      <c r="AH3856" s="80" t="s">
        <v>13961</v>
      </c>
      <c r="AI3856" s="77" t="b">
        <v>0</v>
      </c>
      <c r="AJ3856" s="77"/>
      <c r="AK3856" s="77"/>
      <c r="AL3856" s="77"/>
      <c r="AM3856" s="77"/>
      <c r="AN3856" s="77"/>
      <c r="AO3856" s="77"/>
      <c r="AP3856" s="77"/>
      <c r="AQ3856" s="77"/>
      <c r="AR3856" s="77"/>
      <c r="AS3856" s="77"/>
      <c r="AT3856" s="77"/>
      <c r="AU3856" s="77"/>
      <c r="AV3856" s="83" t="str">
        <f>HYPERLINK("https://pbs.twimg.com/profile_images/1662089427894558720/Wwubwy-y_normal.jpg")</f>
        <v>https://pbs.twimg.com/profile_images/1662089427894558720/Wwubwy-y_normal.jpg</v>
      </c>
      <c r="AW3856" s="80" t="s">
        <v>19533</v>
      </c>
      <c r="AX3856" s="80" t="s">
        <v>19533</v>
      </c>
      <c r="AY3856" s="77"/>
      <c r="AZ3856" s="80" t="s">
        <v>20380</v>
      </c>
      <c r="BA3856" s="80" t="s">
        <v>20380</v>
      </c>
      <c r="BB3856" s="80" t="s">
        <v>20380</v>
      </c>
      <c r="BC3856" s="80" t="s">
        <v>19533</v>
      </c>
      <c r="BD3856" s="77">
        <v>1043762580</v>
      </c>
      <c r="BE3856" s="77"/>
      <c r="BF3856" s="77"/>
      <c r="BG3856" s="77"/>
      <c r="BH3856" s="77"/>
      <c r="BI3856" s="77"/>
    </row>
    <row r="3857" spans="1:61" x14ac:dyDescent="0.25">
      <c r="A3857" s="62" t="s">
        <v>1548</v>
      </c>
      <c r="B3857" s="62" t="s">
        <v>1548</v>
      </c>
      <c r="C3857" s="63"/>
      <c r="D3857" s="64"/>
      <c r="E3857" s="65"/>
      <c r="F3857" s="66"/>
      <c r="G3857" s="63"/>
      <c r="H3857" s="67"/>
      <c r="I3857" s="68"/>
      <c r="J3857" s="68"/>
      <c r="K3857" s="32"/>
      <c r="L3857" s="75">
        <v>3857</v>
      </c>
      <c r="M3857" s="75"/>
      <c r="N3857" s="70"/>
      <c r="O3857" s="77" t="s">
        <v>179</v>
      </c>
      <c r="P3857" s="79">
        <v>45108.072164351855</v>
      </c>
      <c r="Q3857" s="77" t="s">
        <v>5475</v>
      </c>
      <c r="R3857" s="77">
        <v>1</v>
      </c>
      <c r="S3857" s="77">
        <v>0</v>
      </c>
      <c r="T3857" s="77">
        <v>0</v>
      </c>
      <c r="U3857" s="77">
        <v>0</v>
      </c>
      <c r="V3857" s="77">
        <v>72</v>
      </c>
      <c r="W3857" s="80" t="s">
        <v>8302</v>
      </c>
      <c r="X3857" s="83" t="str">
        <f>HYPERLINK("https://elchorrillero.com/nota/2023/06/30/400150-las-reservas-del-banco-central-alcanzaron-su-nivel-minimo-en-mas-de-7-anos/amp/")</f>
        <v>https://elchorrillero.com/nota/2023/06/30/400150-las-reservas-del-banco-central-alcanzaron-su-nivel-minimo-en-mas-de-7-anos/amp/</v>
      </c>
      <c r="Y3857" s="77" t="s">
        <v>8873</v>
      </c>
      <c r="Z3857" s="77"/>
      <c r="AA3857" s="77"/>
      <c r="AB3857" s="77"/>
      <c r="AC3857" s="80" t="s">
        <v>10541</v>
      </c>
      <c r="AD3857" s="77" t="s">
        <v>10620</v>
      </c>
      <c r="AE3857" s="83" t="str">
        <f>HYPERLINK("https://twitter.com/elchorrillerosl/status/1674956971525521410")</f>
        <v>https://twitter.com/elchorrillerosl/status/1674956971525521410</v>
      </c>
      <c r="AF3857" s="79">
        <v>45108.072164351855</v>
      </c>
      <c r="AG3857" s="85">
        <v>45108</v>
      </c>
      <c r="AH3857" s="80" t="s">
        <v>13962</v>
      </c>
      <c r="AI3857" s="77" t="b">
        <v>0</v>
      </c>
      <c r="AJ3857" s="77"/>
      <c r="AK3857" s="77"/>
      <c r="AL3857" s="77"/>
      <c r="AM3857" s="77"/>
      <c r="AN3857" s="77"/>
      <c r="AO3857" s="77"/>
      <c r="AP3857" s="77"/>
      <c r="AQ3857" s="77"/>
      <c r="AR3857" s="77"/>
      <c r="AS3857" s="77"/>
      <c r="AT3857" s="77"/>
      <c r="AU3857" s="77"/>
      <c r="AV3857" s="83" t="str">
        <f>HYPERLINK("https://pbs.twimg.com/profile_images/1662089427894558720/Wwubwy-y_normal.jpg")</f>
        <v>https://pbs.twimg.com/profile_images/1662089427894558720/Wwubwy-y_normal.jpg</v>
      </c>
      <c r="AW3857" s="80" t="s">
        <v>19534</v>
      </c>
      <c r="AX3857" s="80" t="s">
        <v>19534</v>
      </c>
      <c r="AY3857" s="77"/>
      <c r="AZ3857" s="80" t="s">
        <v>20380</v>
      </c>
      <c r="BA3857" s="80" t="s">
        <v>20380</v>
      </c>
      <c r="BB3857" s="80" t="s">
        <v>20380</v>
      </c>
      <c r="BC3857" s="80" t="s">
        <v>19534</v>
      </c>
      <c r="BD3857" s="77">
        <v>1043762580</v>
      </c>
      <c r="BE3857" s="77"/>
      <c r="BF3857" s="77"/>
      <c r="BG3857" s="77"/>
      <c r="BH3857" s="77"/>
      <c r="BI3857" s="77"/>
    </row>
    <row r="3858" spans="1:61" x14ac:dyDescent="0.25">
      <c r="A3858" s="62" t="s">
        <v>1548</v>
      </c>
      <c r="B3858" s="62" t="s">
        <v>1548</v>
      </c>
      <c r="C3858" s="63"/>
      <c r="D3858" s="64"/>
      <c r="E3858" s="65"/>
      <c r="F3858" s="66"/>
      <c r="G3858" s="63"/>
      <c r="H3858" s="67"/>
      <c r="I3858" s="68"/>
      <c r="J3858" s="68"/>
      <c r="K3858" s="32"/>
      <c r="L3858" s="75">
        <v>3858</v>
      </c>
      <c r="M3858" s="75"/>
      <c r="N3858" s="70"/>
      <c r="O3858" s="77" t="s">
        <v>179</v>
      </c>
      <c r="P3858" s="79">
        <v>45182.814039351855</v>
      </c>
      <c r="Q3858" s="77" t="s">
        <v>5476</v>
      </c>
      <c r="R3858" s="77">
        <v>0</v>
      </c>
      <c r="S3858" s="77">
        <v>0</v>
      </c>
      <c r="T3858" s="77">
        <v>0</v>
      </c>
      <c r="U3858" s="77">
        <v>0</v>
      </c>
      <c r="V3858" s="77">
        <v>51</v>
      </c>
      <c r="W3858" s="80" t="s">
        <v>8303</v>
      </c>
      <c r="X3858" s="83" t="str">
        <f>HYPERLINK("https://elchorrillero.com/nota/2023/09/13/413991-se-dispara-sin-freno-la-deuda-del-banco-central-y-bate-todos-los-records/amp/")</f>
        <v>https://elchorrillero.com/nota/2023/09/13/413991-se-dispara-sin-freno-la-deuda-del-banco-central-y-bate-todos-los-records/amp/</v>
      </c>
      <c r="Y3858" s="77" t="s">
        <v>8873</v>
      </c>
      <c r="Z3858" s="77"/>
      <c r="AA3858" s="77"/>
      <c r="AB3858" s="77"/>
      <c r="AC3858" s="80" t="s">
        <v>10541</v>
      </c>
      <c r="AD3858" s="77" t="s">
        <v>10620</v>
      </c>
      <c r="AE3858" s="83" t="str">
        <f>HYPERLINK("https://twitter.com/elchorrillerosl/status/1702042517938552979")</f>
        <v>https://twitter.com/elchorrillerosl/status/1702042517938552979</v>
      </c>
      <c r="AF3858" s="79">
        <v>45182.814039351855</v>
      </c>
      <c r="AG3858" s="85">
        <v>45182</v>
      </c>
      <c r="AH3858" s="80" t="s">
        <v>13963</v>
      </c>
      <c r="AI3858" s="77" t="b">
        <v>0</v>
      </c>
      <c r="AJ3858" s="77"/>
      <c r="AK3858" s="77"/>
      <c r="AL3858" s="77"/>
      <c r="AM3858" s="77"/>
      <c r="AN3858" s="77"/>
      <c r="AO3858" s="77"/>
      <c r="AP3858" s="77"/>
      <c r="AQ3858" s="77"/>
      <c r="AR3858" s="77"/>
      <c r="AS3858" s="77"/>
      <c r="AT3858" s="77"/>
      <c r="AU3858" s="77"/>
      <c r="AV3858" s="83" t="str">
        <f>HYPERLINK("https://pbs.twimg.com/profile_images/1662089427894558720/Wwubwy-y_normal.jpg")</f>
        <v>https://pbs.twimg.com/profile_images/1662089427894558720/Wwubwy-y_normal.jpg</v>
      </c>
      <c r="AW3858" s="80" t="s">
        <v>19535</v>
      </c>
      <c r="AX3858" s="80" t="s">
        <v>19535</v>
      </c>
      <c r="AY3858" s="77"/>
      <c r="AZ3858" s="80" t="s">
        <v>20380</v>
      </c>
      <c r="BA3858" s="80" t="s">
        <v>20380</v>
      </c>
      <c r="BB3858" s="80" t="s">
        <v>20380</v>
      </c>
      <c r="BC3858" s="80" t="s">
        <v>19535</v>
      </c>
      <c r="BD3858" s="77">
        <v>1043762580</v>
      </c>
      <c r="BE3858" s="77"/>
      <c r="BF3858" s="77"/>
      <c r="BG3858" s="77"/>
      <c r="BH3858" s="77"/>
      <c r="BI3858" s="77"/>
    </row>
    <row r="3859" spans="1:61" x14ac:dyDescent="0.25">
      <c r="A3859" s="62" t="s">
        <v>1548</v>
      </c>
      <c r="B3859" s="62" t="s">
        <v>1548</v>
      </c>
      <c r="C3859" s="63"/>
      <c r="D3859" s="64"/>
      <c r="E3859" s="65"/>
      <c r="F3859" s="66"/>
      <c r="G3859" s="63"/>
      <c r="H3859" s="67"/>
      <c r="I3859" s="68"/>
      <c r="J3859" s="68"/>
      <c r="K3859" s="32"/>
      <c r="L3859" s="75">
        <v>3859</v>
      </c>
      <c r="M3859" s="75"/>
      <c r="N3859" s="70"/>
      <c r="O3859" s="77" t="s">
        <v>179</v>
      </c>
      <c r="P3859" s="79">
        <v>45183.793240740742</v>
      </c>
      <c r="Q3859" s="77" t="s">
        <v>5477</v>
      </c>
      <c r="R3859" s="77">
        <v>0</v>
      </c>
      <c r="S3859" s="77">
        <v>0</v>
      </c>
      <c r="T3859" s="77">
        <v>0</v>
      </c>
      <c r="U3859" s="77">
        <v>0</v>
      </c>
      <c r="V3859" s="77">
        <v>82</v>
      </c>
      <c r="W3859" s="80" t="s">
        <v>8304</v>
      </c>
      <c r="X3859" s="83" t="str">
        <f>HYPERLINK("https://elchorrillero.com/nota/2023/09/14/414188-a-pesar-de-la-disparada-de-la-inflacion-el-banco-central-no-sube-la-tasa-de-plazos-fijos/amp/")</f>
        <v>https://elchorrillero.com/nota/2023/09/14/414188-a-pesar-de-la-disparada-de-la-inflacion-el-banco-central-no-sube-la-tasa-de-plazos-fijos/amp/</v>
      </c>
      <c r="Y3859" s="77" t="s">
        <v>8873</v>
      </c>
      <c r="Z3859" s="77"/>
      <c r="AA3859" s="77"/>
      <c r="AB3859" s="77"/>
      <c r="AC3859" s="80" t="s">
        <v>10541</v>
      </c>
      <c r="AD3859" s="77" t="s">
        <v>10620</v>
      </c>
      <c r="AE3859" s="83" t="str">
        <f>HYPERLINK("https://twitter.com/elchorrillerosl/status/1702397368530764045")</f>
        <v>https://twitter.com/elchorrillerosl/status/1702397368530764045</v>
      </c>
      <c r="AF3859" s="79">
        <v>45183.793240740742</v>
      </c>
      <c r="AG3859" s="85">
        <v>45183</v>
      </c>
      <c r="AH3859" s="80" t="s">
        <v>13964</v>
      </c>
      <c r="AI3859" s="77" t="b">
        <v>0</v>
      </c>
      <c r="AJ3859" s="77"/>
      <c r="AK3859" s="77"/>
      <c r="AL3859" s="77"/>
      <c r="AM3859" s="77"/>
      <c r="AN3859" s="77"/>
      <c r="AO3859" s="77"/>
      <c r="AP3859" s="77"/>
      <c r="AQ3859" s="77"/>
      <c r="AR3859" s="77"/>
      <c r="AS3859" s="77"/>
      <c r="AT3859" s="77"/>
      <c r="AU3859" s="77"/>
      <c r="AV3859" s="83" t="str">
        <f>HYPERLINK("https://pbs.twimg.com/profile_images/1662089427894558720/Wwubwy-y_normal.jpg")</f>
        <v>https://pbs.twimg.com/profile_images/1662089427894558720/Wwubwy-y_normal.jpg</v>
      </c>
      <c r="AW3859" s="80" t="s">
        <v>19536</v>
      </c>
      <c r="AX3859" s="80" t="s">
        <v>19536</v>
      </c>
      <c r="AY3859" s="77"/>
      <c r="AZ3859" s="80" t="s">
        <v>20380</v>
      </c>
      <c r="BA3859" s="80" t="s">
        <v>20380</v>
      </c>
      <c r="BB3859" s="80" t="s">
        <v>20380</v>
      </c>
      <c r="BC3859" s="80" t="s">
        <v>19536</v>
      </c>
      <c r="BD3859" s="77">
        <v>1043762580</v>
      </c>
      <c r="BE3859" s="77"/>
      <c r="BF3859" s="77"/>
      <c r="BG3859" s="77"/>
      <c r="BH3859" s="77"/>
      <c r="BI3859" s="77"/>
    </row>
    <row r="3860" spans="1:61" x14ac:dyDescent="0.25">
      <c r="A3860" s="62" t="s">
        <v>1548</v>
      </c>
      <c r="B3860" s="62" t="s">
        <v>1548</v>
      </c>
      <c r="C3860" s="63"/>
      <c r="D3860" s="64"/>
      <c r="E3860" s="65"/>
      <c r="F3860" s="66"/>
      <c r="G3860" s="63"/>
      <c r="H3860" s="67"/>
      <c r="I3860" s="68"/>
      <c r="J3860" s="68"/>
      <c r="K3860" s="32"/>
      <c r="L3860" s="75">
        <v>3860</v>
      </c>
      <c r="M3860" s="75"/>
      <c r="N3860" s="70"/>
      <c r="O3860" s="77" t="s">
        <v>179</v>
      </c>
      <c r="P3860" s="79">
        <v>45147.996898148151</v>
      </c>
      <c r="Q3860" s="77" t="s">
        <v>5478</v>
      </c>
      <c r="R3860" s="77">
        <v>0</v>
      </c>
      <c r="S3860" s="77">
        <v>1</v>
      </c>
      <c r="T3860" s="77">
        <v>0</v>
      </c>
      <c r="U3860" s="77">
        <v>0</v>
      </c>
      <c r="V3860" s="77">
        <v>91</v>
      </c>
      <c r="W3860" s="80" t="s">
        <v>8305</v>
      </c>
      <c r="X3860" s="83" t="str">
        <f>HYPERLINK("https://elchorrillero.com/nota/2023/08/09/407559-las-reservas-cayeron-a-un-nuevo-minimo-en-17-anos-a-pocos-dias-de-las-paso/amp/")</f>
        <v>https://elchorrillero.com/nota/2023/08/09/407559-las-reservas-cayeron-a-un-nuevo-minimo-en-17-anos-a-pocos-dias-de-las-paso/amp/</v>
      </c>
      <c r="Y3860" s="77" t="s">
        <v>8873</v>
      </c>
      <c r="Z3860" s="77"/>
      <c r="AA3860" s="77"/>
      <c r="AB3860" s="77"/>
      <c r="AC3860" s="80" t="s">
        <v>10541</v>
      </c>
      <c r="AD3860" s="77" t="s">
        <v>10620</v>
      </c>
      <c r="AE3860" s="83" t="str">
        <f>HYPERLINK("https://twitter.com/elchorrillerosl/status/1689425206991892480")</f>
        <v>https://twitter.com/elchorrillerosl/status/1689425206991892480</v>
      </c>
      <c r="AF3860" s="79">
        <v>45147.996898148151</v>
      </c>
      <c r="AG3860" s="85">
        <v>45147</v>
      </c>
      <c r="AH3860" s="80" t="s">
        <v>13965</v>
      </c>
      <c r="AI3860" s="77" t="b">
        <v>0</v>
      </c>
      <c r="AJ3860" s="77"/>
      <c r="AK3860" s="77"/>
      <c r="AL3860" s="77"/>
      <c r="AM3860" s="77"/>
      <c r="AN3860" s="77"/>
      <c r="AO3860" s="77"/>
      <c r="AP3860" s="77"/>
      <c r="AQ3860" s="77"/>
      <c r="AR3860" s="77"/>
      <c r="AS3860" s="77"/>
      <c r="AT3860" s="77"/>
      <c r="AU3860" s="77"/>
      <c r="AV3860" s="83" t="str">
        <f>HYPERLINK("https://pbs.twimg.com/profile_images/1662089427894558720/Wwubwy-y_normal.jpg")</f>
        <v>https://pbs.twimg.com/profile_images/1662089427894558720/Wwubwy-y_normal.jpg</v>
      </c>
      <c r="AW3860" s="80" t="s">
        <v>19537</v>
      </c>
      <c r="AX3860" s="80" t="s">
        <v>19537</v>
      </c>
      <c r="AY3860" s="77"/>
      <c r="AZ3860" s="80" t="s">
        <v>20380</v>
      </c>
      <c r="BA3860" s="80" t="s">
        <v>20380</v>
      </c>
      <c r="BB3860" s="80" t="s">
        <v>20380</v>
      </c>
      <c r="BC3860" s="80" t="s">
        <v>19537</v>
      </c>
      <c r="BD3860" s="77">
        <v>1043762580</v>
      </c>
      <c r="BE3860" s="77"/>
      <c r="BF3860" s="77"/>
      <c r="BG3860" s="77"/>
      <c r="BH3860" s="77"/>
      <c r="BI3860" s="77"/>
    </row>
    <row r="3861" spans="1:61" x14ac:dyDescent="0.25">
      <c r="A3861" s="62" t="s">
        <v>1548</v>
      </c>
      <c r="B3861" s="62" t="s">
        <v>1548</v>
      </c>
      <c r="C3861" s="63"/>
      <c r="D3861" s="64"/>
      <c r="E3861" s="65"/>
      <c r="F3861" s="66"/>
      <c r="G3861" s="63"/>
      <c r="H3861" s="67"/>
      <c r="I3861" s="68"/>
      <c r="J3861" s="68"/>
      <c r="K3861" s="32"/>
      <c r="L3861" s="75">
        <v>3861</v>
      </c>
      <c r="M3861" s="75"/>
      <c r="N3861" s="70"/>
      <c r="O3861" s="77" t="s">
        <v>179</v>
      </c>
      <c r="P3861" s="79">
        <v>45124.081643518519</v>
      </c>
      <c r="Q3861" s="77" t="s">
        <v>5479</v>
      </c>
      <c r="R3861" s="77">
        <v>0</v>
      </c>
      <c r="S3861" s="77">
        <v>0</v>
      </c>
      <c r="T3861" s="77">
        <v>0</v>
      </c>
      <c r="U3861" s="77">
        <v>0</v>
      </c>
      <c r="V3861" s="77">
        <v>54</v>
      </c>
      <c r="W3861" s="80" t="s">
        <v>8306</v>
      </c>
      <c r="X3861" s="83" t="str">
        <f>HYPERLINK("https://elchorrillero.com/nota/2023/07/16/402881-se-acorta-el-margen-para-la-maquinita-del-banco-central/amp/")</f>
        <v>https://elchorrillero.com/nota/2023/07/16/402881-se-acorta-el-margen-para-la-maquinita-del-banco-central/amp/</v>
      </c>
      <c r="Y3861" s="77" t="s">
        <v>8873</v>
      </c>
      <c r="Z3861" s="77"/>
      <c r="AA3861" s="77"/>
      <c r="AB3861" s="77"/>
      <c r="AC3861" s="80" t="s">
        <v>10540</v>
      </c>
      <c r="AD3861" s="77" t="s">
        <v>10620</v>
      </c>
      <c r="AE3861" s="83" t="str">
        <f>HYPERLINK("https://twitter.com/elchorrillerosl/status/1680758609511063553")</f>
        <v>https://twitter.com/elchorrillerosl/status/1680758609511063553</v>
      </c>
      <c r="AF3861" s="79">
        <v>45124.081643518519</v>
      </c>
      <c r="AG3861" s="85">
        <v>45124</v>
      </c>
      <c r="AH3861" s="80" t="s">
        <v>13966</v>
      </c>
      <c r="AI3861" s="77" t="b">
        <v>0</v>
      </c>
      <c r="AJ3861" s="77"/>
      <c r="AK3861" s="77"/>
      <c r="AL3861" s="77"/>
      <c r="AM3861" s="77"/>
      <c r="AN3861" s="77"/>
      <c r="AO3861" s="77"/>
      <c r="AP3861" s="77"/>
      <c r="AQ3861" s="77"/>
      <c r="AR3861" s="77"/>
      <c r="AS3861" s="77"/>
      <c r="AT3861" s="77"/>
      <c r="AU3861" s="77"/>
      <c r="AV3861" s="83" t="str">
        <f>HYPERLINK("https://pbs.twimg.com/profile_images/1662089427894558720/Wwubwy-y_normal.jpg")</f>
        <v>https://pbs.twimg.com/profile_images/1662089427894558720/Wwubwy-y_normal.jpg</v>
      </c>
      <c r="AW3861" s="80" t="s">
        <v>19538</v>
      </c>
      <c r="AX3861" s="80" t="s">
        <v>19538</v>
      </c>
      <c r="AY3861" s="77"/>
      <c r="AZ3861" s="80" t="s">
        <v>20380</v>
      </c>
      <c r="BA3861" s="80" t="s">
        <v>20380</v>
      </c>
      <c r="BB3861" s="80" t="s">
        <v>20380</v>
      </c>
      <c r="BC3861" s="80" t="s">
        <v>19538</v>
      </c>
      <c r="BD3861" s="77">
        <v>1043762580</v>
      </c>
      <c r="BE3861" s="77"/>
      <c r="BF3861" s="77"/>
      <c r="BG3861" s="77"/>
      <c r="BH3861" s="77"/>
      <c r="BI3861" s="77"/>
    </row>
    <row r="3862" spans="1:61" x14ac:dyDescent="0.25">
      <c r="A3862" s="62" t="s">
        <v>1548</v>
      </c>
      <c r="B3862" s="62" t="s">
        <v>1548</v>
      </c>
      <c r="C3862" s="63"/>
      <c r="D3862" s="64"/>
      <c r="E3862" s="65"/>
      <c r="F3862" s="66"/>
      <c r="G3862" s="63"/>
      <c r="H3862" s="67"/>
      <c r="I3862" s="68"/>
      <c r="J3862" s="68"/>
      <c r="K3862" s="32"/>
      <c r="L3862" s="75">
        <v>3862</v>
      </c>
      <c r="M3862" s="75"/>
      <c r="N3862" s="70"/>
      <c r="O3862" s="77" t="s">
        <v>179</v>
      </c>
      <c r="P3862" s="79">
        <v>45087.064837962964</v>
      </c>
      <c r="Q3862" s="77" t="s">
        <v>5480</v>
      </c>
      <c r="R3862" s="77">
        <v>1</v>
      </c>
      <c r="S3862" s="77">
        <v>0</v>
      </c>
      <c r="T3862" s="77">
        <v>0</v>
      </c>
      <c r="U3862" s="77">
        <v>0</v>
      </c>
      <c r="V3862" s="77">
        <v>92</v>
      </c>
      <c r="W3862" s="80" t="s">
        <v>8307</v>
      </c>
      <c r="X3862" s="83" t="str">
        <f>HYPERLINK("https://elchorrillero.com/nota/2023/06/09/395909-el-banco-central-no-deja-de-perder-reservas-y-lo-complica-la-devaluacion-del-yuan/amp/")</f>
        <v>https://elchorrillero.com/nota/2023/06/09/395909-el-banco-central-no-deja-de-perder-reservas-y-lo-complica-la-devaluacion-del-yuan/amp/</v>
      </c>
      <c r="Y3862" s="77" t="s">
        <v>8873</v>
      </c>
      <c r="Z3862" s="77"/>
      <c r="AA3862" s="77"/>
      <c r="AB3862" s="77"/>
      <c r="AC3862" s="80" t="s">
        <v>10541</v>
      </c>
      <c r="AD3862" s="77" t="s">
        <v>10620</v>
      </c>
      <c r="AE3862" s="83" t="str">
        <f>HYPERLINK("https://twitter.com/elchorrillerosl/status/1667344170183192576")</f>
        <v>https://twitter.com/elchorrillerosl/status/1667344170183192576</v>
      </c>
      <c r="AF3862" s="79">
        <v>45087.064837962964</v>
      </c>
      <c r="AG3862" s="85">
        <v>45087</v>
      </c>
      <c r="AH3862" s="80" t="s">
        <v>13967</v>
      </c>
      <c r="AI3862" s="77" t="b">
        <v>0</v>
      </c>
      <c r="AJ3862" s="77"/>
      <c r="AK3862" s="77"/>
      <c r="AL3862" s="77"/>
      <c r="AM3862" s="77"/>
      <c r="AN3862" s="77"/>
      <c r="AO3862" s="77"/>
      <c r="AP3862" s="77"/>
      <c r="AQ3862" s="77"/>
      <c r="AR3862" s="77"/>
      <c r="AS3862" s="77"/>
      <c r="AT3862" s="77"/>
      <c r="AU3862" s="77"/>
      <c r="AV3862" s="83" t="str">
        <f>HYPERLINK("https://pbs.twimg.com/profile_images/1662089427894558720/Wwubwy-y_normal.jpg")</f>
        <v>https://pbs.twimg.com/profile_images/1662089427894558720/Wwubwy-y_normal.jpg</v>
      </c>
      <c r="AW3862" s="80" t="s">
        <v>19539</v>
      </c>
      <c r="AX3862" s="80" t="s">
        <v>19539</v>
      </c>
      <c r="AY3862" s="77"/>
      <c r="AZ3862" s="80" t="s">
        <v>20380</v>
      </c>
      <c r="BA3862" s="80" t="s">
        <v>20380</v>
      </c>
      <c r="BB3862" s="80" t="s">
        <v>20380</v>
      </c>
      <c r="BC3862" s="80" t="s">
        <v>19539</v>
      </c>
      <c r="BD3862" s="77">
        <v>1043762580</v>
      </c>
      <c r="BE3862" s="77"/>
      <c r="BF3862" s="77"/>
      <c r="BG3862" s="77"/>
      <c r="BH3862" s="77"/>
      <c r="BI3862" s="77"/>
    </row>
    <row r="3863" spans="1:61" x14ac:dyDescent="0.25">
      <c r="A3863" s="62" t="s">
        <v>1548</v>
      </c>
      <c r="B3863" s="62" t="s">
        <v>1548</v>
      </c>
      <c r="C3863" s="63"/>
      <c r="D3863" s="64"/>
      <c r="E3863" s="65"/>
      <c r="F3863" s="66"/>
      <c r="G3863" s="63"/>
      <c r="H3863" s="67"/>
      <c r="I3863" s="68"/>
      <c r="J3863" s="68"/>
      <c r="K3863" s="32"/>
      <c r="L3863" s="75">
        <v>3863</v>
      </c>
      <c r="M3863" s="75"/>
      <c r="N3863" s="70"/>
      <c r="O3863" s="77" t="s">
        <v>179</v>
      </c>
      <c r="P3863" s="79">
        <v>45049.878541666665</v>
      </c>
      <c r="Q3863" s="77" t="s">
        <v>5481</v>
      </c>
      <c r="R3863" s="77">
        <v>0</v>
      </c>
      <c r="S3863" s="77">
        <v>0</v>
      </c>
      <c r="T3863" s="77">
        <v>0</v>
      </c>
      <c r="U3863" s="77">
        <v>0</v>
      </c>
      <c r="V3863" s="77">
        <v>86</v>
      </c>
      <c r="W3863" s="80" t="s">
        <v>8308</v>
      </c>
      <c r="X3863" s="83" t="str">
        <f>HYPERLINK("https://elchorrillero.com/nota/2023/05/03/389029-el-banco-central-hizo-otra-fuerte-venta-de-divisas-y-cedio-el-dolar-blue/amp/")</f>
        <v>https://elchorrillero.com/nota/2023/05/03/389029-el-banco-central-hizo-otra-fuerte-venta-de-divisas-y-cedio-el-dolar-blue/amp/</v>
      </c>
      <c r="Y3863" s="77" t="s">
        <v>8873</v>
      </c>
      <c r="Z3863" s="77"/>
      <c r="AA3863" s="77"/>
      <c r="AB3863" s="77"/>
      <c r="AC3863" s="80" t="s">
        <v>10541</v>
      </c>
      <c r="AD3863" s="77" t="s">
        <v>10620</v>
      </c>
      <c r="AE3863" s="83" t="str">
        <f>HYPERLINK("https://twitter.com/elchorrillerosl/status/1653868305713709056")</f>
        <v>https://twitter.com/elchorrillerosl/status/1653868305713709056</v>
      </c>
      <c r="AF3863" s="79">
        <v>45049.878541666665</v>
      </c>
      <c r="AG3863" s="85">
        <v>45049</v>
      </c>
      <c r="AH3863" s="80" t="s">
        <v>13968</v>
      </c>
      <c r="AI3863" s="77" t="b">
        <v>0</v>
      </c>
      <c r="AJ3863" s="77"/>
      <c r="AK3863" s="77"/>
      <c r="AL3863" s="77"/>
      <c r="AM3863" s="77"/>
      <c r="AN3863" s="77"/>
      <c r="AO3863" s="77"/>
      <c r="AP3863" s="77"/>
      <c r="AQ3863" s="77"/>
      <c r="AR3863" s="77"/>
      <c r="AS3863" s="77"/>
      <c r="AT3863" s="77"/>
      <c r="AU3863" s="77"/>
      <c r="AV3863" s="83" t="str">
        <f>HYPERLINK("https://pbs.twimg.com/profile_images/1662089427894558720/Wwubwy-y_normal.jpg")</f>
        <v>https://pbs.twimg.com/profile_images/1662089427894558720/Wwubwy-y_normal.jpg</v>
      </c>
      <c r="AW3863" s="80" t="s">
        <v>19540</v>
      </c>
      <c r="AX3863" s="80" t="s">
        <v>19540</v>
      </c>
      <c r="AY3863" s="77"/>
      <c r="AZ3863" s="80" t="s">
        <v>20380</v>
      </c>
      <c r="BA3863" s="80" t="s">
        <v>20380</v>
      </c>
      <c r="BB3863" s="80" t="s">
        <v>20380</v>
      </c>
      <c r="BC3863" s="80" t="s">
        <v>19540</v>
      </c>
      <c r="BD3863" s="77">
        <v>1043762580</v>
      </c>
      <c r="BE3863" s="77"/>
      <c r="BF3863" s="77"/>
      <c r="BG3863" s="77"/>
      <c r="BH3863" s="77"/>
      <c r="BI3863" s="77"/>
    </row>
    <row r="3864" spans="1:61" x14ac:dyDescent="0.25">
      <c r="A3864" s="62" t="s">
        <v>1548</v>
      </c>
      <c r="B3864" s="62" t="s">
        <v>1548</v>
      </c>
      <c r="C3864" s="63"/>
      <c r="D3864" s="64"/>
      <c r="E3864" s="65"/>
      <c r="F3864" s="66"/>
      <c r="G3864" s="63"/>
      <c r="H3864" s="67"/>
      <c r="I3864" s="68"/>
      <c r="J3864" s="68"/>
      <c r="K3864" s="32"/>
      <c r="L3864" s="75">
        <v>3864</v>
      </c>
      <c r="M3864" s="75"/>
      <c r="N3864" s="70"/>
      <c r="O3864" s="77" t="s">
        <v>179</v>
      </c>
      <c r="P3864" s="79">
        <v>45195.565104166664</v>
      </c>
      <c r="Q3864" s="77" t="s">
        <v>5482</v>
      </c>
      <c r="R3864" s="77">
        <v>1</v>
      </c>
      <c r="S3864" s="77">
        <v>0</v>
      </c>
      <c r="T3864" s="77">
        <v>0</v>
      </c>
      <c r="U3864" s="77">
        <v>0</v>
      </c>
      <c r="V3864" s="77">
        <v>78</v>
      </c>
      <c r="W3864" s="80" t="s">
        <v>8309</v>
      </c>
      <c r="X3864" s="83" t="str">
        <f>HYPERLINK("https://elchorrillero.com/nota/2023/09/26/416252-la-respuesta-de-marcos-galperin-ante-la-nueva-norma-del-banco-central-que-afectara-a-mercado-pago-no-lo-van-a-poder-romper/amp/")</f>
        <v>https://elchorrillero.com/nota/2023/09/26/416252-la-respuesta-de-marcos-galperin-ante-la-nueva-norma-del-banco-central-que-afectara-a-mercado-pago-no-lo-van-a-poder-romper/amp/</v>
      </c>
      <c r="Y3864" s="77" t="s">
        <v>8873</v>
      </c>
      <c r="Z3864" s="77"/>
      <c r="AA3864" s="77"/>
      <c r="AB3864" s="77"/>
      <c r="AC3864" s="80" t="s">
        <v>10541</v>
      </c>
      <c r="AD3864" s="77" t="s">
        <v>10620</v>
      </c>
      <c r="AE3864" s="83" t="str">
        <f>HYPERLINK("https://twitter.com/elchorrillerosl/status/1706663350183322054")</f>
        <v>https://twitter.com/elchorrillerosl/status/1706663350183322054</v>
      </c>
      <c r="AF3864" s="79">
        <v>45195.565104166664</v>
      </c>
      <c r="AG3864" s="85">
        <v>45195</v>
      </c>
      <c r="AH3864" s="80" t="s">
        <v>13969</v>
      </c>
      <c r="AI3864" s="77" t="b">
        <v>0</v>
      </c>
      <c r="AJ3864" s="77"/>
      <c r="AK3864" s="77"/>
      <c r="AL3864" s="77"/>
      <c r="AM3864" s="77"/>
      <c r="AN3864" s="77"/>
      <c r="AO3864" s="77"/>
      <c r="AP3864" s="77"/>
      <c r="AQ3864" s="77"/>
      <c r="AR3864" s="77"/>
      <c r="AS3864" s="77"/>
      <c r="AT3864" s="77"/>
      <c r="AU3864" s="77"/>
      <c r="AV3864" s="83" t="str">
        <f>HYPERLINK("https://pbs.twimg.com/profile_images/1662089427894558720/Wwubwy-y_normal.jpg")</f>
        <v>https://pbs.twimg.com/profile_images/1662089427894558720/Wwubwy-y_normal.jpg</v>
      </c>
      <c r="AW3864" s="80" t="s">
        <v>19541</v>
      </c>
      <c r="AX3864" s="80" t="s">
        <v>19541</v>
      </c>
      <c r="AY3864" s="77"/>
      <c r="AZ3864" s="80" t="s">
        <v>20380</v>
      </c>
      <c r="BA3864" s="80" t="s">
        <v>20380</v>
      </c>
      <c r="BB3864" s="80" t="s">
        <v>20380</v>
      </c>
      <c r="BC3864" s="80" t="s">
        <v>19541</v>
      </c>
      <c r="BD3864" s="77">
        <v>1043762580</v>
      </c>
      <c r="BE3864" s="77"/>
      <c r="BF3864" s="77"/>
      <c r="BG3864" s="77"/>
      <c r="BH3864" s="77"/>
      <c r="BI3864" s="77"/>
    </row>
    <row r="3865" spans="1:61" x14ac:dyDescent="0.25">
      <c r="A3865" s="62" t="s">
        <v>1548</v>
      </c>
      <c r="B3865" s="62" t="s">
        <v>1548</v>
      </c>
      <c r="C3865" s="63"/>
      <c r="D3865" s="64"/>
      <c r="E3865" s="65"/>
      <c r="F3865" s="66"/>
      <c r="G3865" s="63"/>
      <c r="H3865" s="67"/>
      <c r="I3865" s="68"/>
      <c r="J3865" s="68"/>
      <c r="K3865" s="32"/>
      <c r="L3865" s="75">
        <v>3865</v>
      </c>
      <c r="M3865" s="75"/>
      <c r="N3865" s="70"/>
      <c r="O3865" s="77" t="s">
        <v>179</v>
      </c>
      <c r="P3865" s="79">
        <v>45152.74863425926</v>
      </c>
      <c r="Q3865" s="77" t="s">
        <v>5483</v>
      </c>
      <c r="R3865" s="77">
        <v>0</v>
      </c>
      <c r="S3865" s="77">
        <v>0</v>
      </c>
      <c r="T3865" s="77">
        <v>0</v>
      </c>
      <c r="U3865" s="77">
        <v>0</v>
      </c>
      <c r="V3865" s="77">
        <v>134</v>
      </c>
      <c r="W3865" s="80" t="s">
        <v>8310</v>
      </c>
      <c r="X3865" s="83" t="str">
        <f>HYPERLINK("https://elchorrillero.com/nota/2023/08/14/408683-el-bcra-llevo-a-118-la-tasa-de-interes-de-los-plazos-fijos-tras-la-fuerte-devaluacion-del-peso/amp/")</f>
        <v>https://elchorrillero.com/nota/2023/08/14/408683-el-bcra-llevo-a-118-la-tasa-de-interes-de-los-plazos-fijos-tras-la-fuerte-devaluacion-del-peso/amp/</v>
      </c>
      <c r="Y3865" s="77" t="s">
        <v>8873</v>
      </c>
      <c r="Z3865" s="77"/>
      <c r="AA3865" s="77"/>
      <c r="AB3865" s="77"/>
      <c r="AC3865" s="80" t="s">
        <v>10541</v>
      </c>
      <c r="AD3865" s="77" t="s">
        <v>10620</v>
      </c>
      <c r="AE3865" s="83" t="str">
        <f>HYPERLINK("https://twitter.com/elchorrillerosl/status/1691147180390719488")</f>
        <v>https://twitter.com/elchorrillerosl/status/1691147180390719488</v>
      </c>
      <c r="AF3865" s="79">
        <v>45152.74863425926</v>
      </c>
      <c r="AG3865" s="85">
        <v>45152</v>
      </c>
      <c r="AH3865" s="80" t="s">
        <v>13970</v>
      </c>
      <c r="AI3865" s="77" t="b">
        <v>0</v>
      </c>
      <c r="AJ3865" s="77"/>
      <c r="AK3865" s="77"/>
      <c r="AL3865" s="77"/>
      <c r="AM3865" s="77"/>
      <c r="AN3865" s="77"/>
      <c r="AO3865" s="77"/>
      <c r="AP3865" s="77"/>
      <c r="AQ3865" s="77"/>
      <c r="AR3865" s="77"/>
      <c r="AS3865" s="77"/>
      <c r="AT3865" s="77"/>
      <c r="AU3865" s="77"/>
      <c r="AV3865" s="83" t="str">
        <f>HYPERLINK("https://pbs.twimg.com/profile_images/1662089427894558720/Wwubwy-y_normal.jpg")</f>
        <v>https://pbs.twimg.com/profile_images/1662089427894558720/Wwubwy-y_normal.jpg</v>
      </c>
      <c r="AW3865" s="80" t="s">
        <v>19542</v>
      </c>
      <c r="AX3865" s="80" t="s">
        <v>19542</v>
      </c>
      <c r="AY3865" s="77"/>
      <c r="AZ3865" s="80" t="s">
        <v>20380</v>
      </c>
      <c r="BA3865" s="80" t="s">
        <v>20380</v>
      </c>
      <c r="BB3865" s="80" t="s">
        <v>20380</v>
      </c>
      <c r="BC3865" s="80" t="s">
        <v>19542</v>
      </c>
      <c r="BD3865" s="77">
        <v>1043762580</v>
      </c>
      <c r="BE3865" s="77"/>
      <c r="BF3865" s="77"/>
      <c r="BG3865" s="77"/>
      <c r="BH3865" s="77"/>
      <c r="BI3865" s="77"/>
    </row>
    <row r="3866" spans="1:61" x14ac:dyDescent="0.25">
      <c r="A3866" s="62" t="s">
        <v>1549</v>
      </c>
      <c r="B3866" s="62" t="s">
        <v>1548</v>
      </c>
      <c r="C3866" s="63"/>
      <c r="D3866" s="64"/>
      <c r="E3866" s="65"/>
      <c r="F3866" s="66"/>
      <c r="G3866" s="63"/>
      <c r="H3866" s="67"/>
      <c r="I3866" s="68"/>
      <c r="J3866" s="68"/>
      <c r="K3866" s="32"/>
      <c r="L3866" s="75">
        <v>3866</v>
      </c>
      <c r="M3866" s="75"/>
      <c r="N3866" s="70"/>
      <c r="O3866" s="77" t="s">
        <v>2083</v>
      </c>
      <c r="P3866" s="79">
        <v>45195.573379629626</v>
      </c>
      <c r="Q3866" s="77" t="s">
        <v>5484</v>
      </c>
      <c r="R3866" s="77">
        <v>1</v>
      </c>
      <c r="S3866" s="77">
        <v>0</v>
      </c>
      <c r="T3866" s="77">
        <v>0</v>
      </c>
      <c r="U3866" s="77">
        <v>0</v>
      </c>
      <c r="V3866" s="77"/>
      <c r="W3866" s="77"/>
      <c r="X3866" s="77"/>
      <c r="Y3866" s="77"/>
      <c r="Z3866" s="77" t="s">
        <v>1548</v>
      </c>
      <c r="AA3866" s="77"/>
      <c r="AB3866" s="77"/>
      <c r="AC3866" s="80" t="s">
        <v>10540</v>
      </c>
      <c r="AD3866" s="77" t="s">
        <v>10620</v>
      </c>
      <c r="AE3866" s="83" t="str">
        <f>HYPERLINK("https://twitter.com/gstrsc52/status/1706666348535775236")</f>
        <v>https://twitter.com/gstrsc52/status/1706666348535775236</v>
      </c>
      <c r="AF3866" s="79">
        <v>45195.573379629626</v>
      </c>
      <c r="AG3866" s="85">
        <v>45195</v>
      </c>
      <c r="AH3866" s="80" t="s">
        <v>13971</v>
      </c>
      <c r="AI3866" s="77" t="b">
        <v>0</v>
      </c>
      <c r="AJ3866" s="77"/>
      <c r="AK3866" s="77"/>
      <c r="AL3866" s="77"/>
      <c r="AM3866" s="77"/>
      <c r="AN3866" s="77"/>
      <c r="AO3866" s="77"/>
      <c r="AP3866" s="77"/>
      <c r="AQ3866" s="77"/>
      <c r="AR3866" s="77"/>
      <c r="AS3866" s="77"/>
      <c r="AT3866" s="77"/>
      <c r="AU3866" s="77"/>
      <c r="AV3866" s="83" t="str">
        <f>HYPERLINK("https://pbs.twimg.com/profile_images/1232027338600308736/7HpDMYJ4_normal.jpg")</f>
        <v>https://pbs.twimg.com/profile_images/1232027338600308736/7HpDMYJ4_normal.jpg</v>
      </c>
      <c r="AW3866" s="80" t="s">
        <v>19543</v>
      </c>
      <c r="AX3866" s="80" t="s">
        <v>19543</v>
      </c>
      <c r="AY3866" s="77"/>
      <c r="AZ3866" s="80" t="s">
        <v>20380</v>
      </c>
      <c r="BA3866" s="80" t="s">
        <v>20380</v>
      </c>
      <c r="BB3866" s="80" t="s">
        <v>19541</v>
      </c>
      <c r="BC3866" s="80" t="s">
        <v>19541</v>
      </c>
      <c r="BD3866" s="80" t="s">
        <v>21140</v>
      </c>
      <c r="BE3866" s="77"/>
      <c r="BF3866" s="77"/>
      <c r="BG3866" s="77"/>
      <c r="BH3866" s="77"/>
      <c r="BI3866" s="77"/>
    </row>
    <row r="3867" spans="1:61" x14ac:dyDescent="0.25">
      <c r="A3867" s="62" t="s">
        <v>1550</v>
      </c>
      <c r="B3867" s="62" t="s">
        <v>1550</v>
      </c>
      <c r="C3867" s="63"/>
      <c r="D3867" s="64"/>
      <c r="E3867" s="65"/>
      <c r="F3867" s="66"/>
      <c r="G3867" s="63"/>
      <c r="H3867" s="67"/>
      <c r="I3867" s="68"/>
      <c r="J3867" s="68"/>
      <c r="K3867" s="32"/>
      <c r="L3867" s="75">
        <v>3867</v>
      </c>
      <c r="M3867" s="75"/>
      <c r="N3867" s="70"/>
      <c r="O3867" s="77" t="s">
        <v>179</v>
      </c>
      <c r="P3867" s="79">
        <v>45052.777789351851</v>
      </c>
      <c r="Q3867" s="77" t="s">
        <v>5485</v>
      </c>
      <c r="R3867" s="77">
        <v>0</v>
      </c>
      <c r="S3867" s="77">
        <v>0</v>
      </c>
      <c r="T3867" s="77">
        <v>0</v>
      </c>
      <c r="U3867" s="77">
        <v>0</v>
      </c>
      <c r="V3867" s="77">
        <v>41</v>
      </c>
      <c r="W3867" s="80" t="s">
        <v>6269</v>
      </c>
      <c r="X3867" s="83" t="str">
        <f>HYPERLINK("https://mla.bs/6d02ce4f")</f>
        <v>https://mla.bs/6d02ce4f</v>
      </c>
      <c r="Y3867" s="77" t="s">
        <v>8672</v>
      </c>
      <c r="Z3867" s="77"/>
      <c r="AA3867" s="77" t="s">
        <v>10325</v>
      </c>
      <c r="AB3867" s="77" t="s">
        <v>10535</v>
      </c>
      <c r="AC3867" s="80" t="s">
        <v>10550</v>
      </c>
      <c r="AD3867" s="77" t="s">
        <v>10617</v>
      </c>
      <c r="AE3867" s="83" t="str">
        <f>HYPERLINK("https://twitter.com/jornalponto_ofi/status/1654918961526349825")</f>
        <v>https://twitter.com/jornalponto_ofi/status/1654918961526349825</v>
      </c>
      <c r="AF3867" s="79">
        <v>45052.777789351851</v>
      </c>
      <c r="AG3867" s="85">
        <v>45052</v>
      </c>
      <c r="AH3867" s="80" t="s">
        <v>13972</v>
      </c>
      <c r="AI3867" s="77" t="b">
        <v>0</v>
      </c>
      <c r="AJ3867" s="77"/>
      <c r="AK3867" s="77"/>
      <c r="AL3867" s="77"/>
      <c r="AM3867" s="77"/>
      <c r="AN3867" s="77"/>
      <c r="AO3867" s="77"/>
      <c r="AP3867" s="77"/>
      <c r="AQ3867" s="77" t="s">
        <v>15804</v>
      </c>
      <c r="AR3867" s="77"/>
      <c r="AS3867" s="77"/>
      <c r="AT3867" s="77"/>
      <c r="AU3867" s="77"/>
      <c r="AV3867" s="83" t="str">
        <f>HYPERLINK("https://pbs.twimg.com/media/Fvd0BpPXoAEcS-0.jpg")</f>
        <v>https://pbs.twimg.com/media/Fvd0BpPXoAEcS-0.jpg</v>
      </c>
      <c r="AW3867" s="80" t="s">
        <v>19544</v>
      </c>
      <c r="AX3867" s="80" t="s">
        <v>19544</v>
      </c>
      <c r="AY3867" s="77"/>
      <c r="AZ3867" s="80" t="s">
        <v>20380</v>
      </c>
      <c r="BA3867" s="80" t="s">
        <v>20380</v>
      </c>
      <c r="BB3867" s="80" t="s">
        <v>20380</v>
      </c>
      <c r="BC3867" s="80" t="s">
        <v>19544</v>
      </c>
      <c r="BD3867" s="80" t="s">
        <v>21141</v>
      </c>
      <c r="BE3867" s="77"/>
      <c r="BF3867" s="77"/>
      <c r="BG3867" s="77"/>
      <c r="BH3867" s="77"/>
      <c r="BI3867" s="77"/>
    </row>
    <row r="3868" spans="1:61" x14ac:dyDescent="0.25">
      <c r="A3868" s="62" t="s">
        <v>1550</v>
      </c>
      <c r="B3868" s="62" t="s">
        <v>1550</v>
      </c>
      <c r="C3868" s="63"/>
      <c r="D3868" s="64"/>
      <c r="E3868" s="65"/>
      <c r="F3868" s="66"/>
      <c r="G3868" s="63"/>
      <c r="H3868" s="67"/>
      <c r="I3868" s="68"/>
      <c r="J3868" s="68"/>
      <c r="K3868" s="32"/>
      <c r="L3868" s="75">
        <v>3868</v>
      </c>
      <c r="M3868" s="75"/>
      <c r="N3868" s="70"/>
      <c r="O3868" s="77" t="s">
        <v>179</v>
      </c>
      <c r="P3868" s="79">
        <v>45077.750601851854</v>
      </c>
      <c r="Q3868" s="77" t="s">
        <v>5486</v>
      </c>
      <c r="R3868" s="77">
        <v>0</v>
      </c>
      <c r="S3868" s="77">
        <v>0</v>
      </c>
      <c r="T3868" s="77">
        <v>0</v>
      </c>
      <c r="U3868" s="77">
        <v>0</v>
      </c>
      <c r="V3868" s="77">
        <v>5</v>
      </c>
      <c r="W3868" s="80" t="s">
        <v>6270</v>
      </c>
      <c r="X3868" s="83" t="str">
        <f>HYPERLINK("https://www.jornalponto.com/2023/05/31/brasileiros-usam-cada-vez-menos-dinheiro-em-especie-diz-bc/")</f>
        <v>https://www.jornalponto.com/2023/05/31/brasileiros-usam-cada-vez-menos-dinheiro-em-especie-diz-bc/</v>
      </c>
      <c r="Y3868" s="77" t="s">
        <v>8673</v>
      </c>
      <c r="Z3868" s="77"/>
      <c r="AA3868" s="77" t="s">
        <v>10326</v>
      </c>
      <c r="AB3868" s="77" t="s">
        <v>10535</v>
      </c>
      <c r="AC3868" s="80" t="s">
        <v>10550</v>
      </c>
      <c r="AD3868" s="77" t="s">
        <v>10617</v>
      </c>
      <c r="AE3868" s="83" t="str">
        <f>HYPERLINK("https://twitter.com/jornalponto_ofi/status/1663968805045846020")</f>
        <v>https://twitter.com/jornalponto_ofi/status/1663968805045846020</v>
      </c>
      <c r="AF3868" s="79">
        <v>45077.750601851854</v>
      </c>
      <c r="AG3868" s="85">
        <v>45077</v>
      </c>
      <c r="AH3868" s="80" t="s">
        <v>13973</v>
      </c>
      <c r="AI3868" s="77" t="b">
        <v>0</v>
      </c>
      <c r="AJ3868" s="77"/>
      <c r="AK3868" s="77"/>
      <c r="AL3868" s="77"/>
      <c r="AM3868" s="77"/>
      <c r="AN3868" s="77"/>
      <c r="AO3868" s="77"/>
      <c r="AP3868" s="77"/>
      <c r="AQ3868" s="77" t="s">
        <v>15805</v>
      </c>
      <c r="AR3868" s="77"/>
      <c r="AS3868" s="77"/>
      <c r="AT3868" s="77"/>
      <c r="AU3868" s="77"/>
      <c r="AV3868" s="83" t="str">
        <f>HYPERLINK("https://pbs.twimg.com/media/Fxeaz28X0AIA3f1.jpg")</f>
        <v>https://pbs.twimg.com/media/Fxeaz28X0AIA3f1.jpg</v>
      </c>
      <c r="AW3868" s="80" t="s">
        <v>19545</v>
      </c>
      <c r="AX3868" s="80" t="s">
        <v>19545</v>
      </c>
      <c r="AY3868" s="77"/>
      <c r="AZ3868" s="80" t="s">
        <v>20380</v>
      </c>
      <c r="BA3868" s="80" t="s">
        <v>20380</v>
      </c>
      <c r="BB3868" s="80" t="s">
        <v>20380</v>
      </c>
      <c r="BC3868" s="80" t="s">
        <v>19545</v>
      </c>
      <c r="BD3868" s="80" t="s">
        <v>21141</v>
      </c>
      <c r="BE3868" s="77"/>
      <c r="BF3868" s="77"/>
      <c r="BG3868" s="77"/>
      <c r="BH3868" s="77"/>
      <c r="BI3868" s="77"/>
    </row>
    <row r="3869" spans="1:61" x14ac:dyDescent="0.25">
      <c r="A3869" s="62" t="s">
        <v>1551</v>
      </c>
      <c r="B3869" s="62" t="s">
        <v>1615</v>
      </c>
      <c r="C3869" s="63"/>
      <c r="D3869" s="64"/>
      <c r="E3869" s="65"/>
      <c r="F3869" s="66"/>
      <c r="G3869" s="63"/>
      <c r="H3869" s="67"/>
      <c r="I3869" s="68"/>
      <c r="J3869" s="68"/>
      <c r="K3869" s="32"/>
      <c r="L3869" s="75">
        <v>3869</v>
      </c>
      <c r="M3869" s="75"/>
      <c r="N3869" s="70"/>
      <c r="O3869" s="77" t="s">
        <v>2083</v>
      </c>
      <c r="P3869" s="79">
        <v>45197.51840277778</v>
      </c>
      <c r="Q3869" s="77" t="s">
        <v>2216</v>
      </c>
      <c r="R3869" s="77">
        <v>7</v>
      </c>
      <c r="S3869" s="77">
        <v>0</v>
      </c>
      <c r="T3869" s="77">
        <v>0</v>
      </c>
      <c r="U3869" s="77">
        <v>0</v>
      </c>
      <c r="V3869" s="77"/>
      <c r="W3869" s="80" t="s">
        <v>5997</v>
      </c>
      <c r="X3869" s="77"/>
      <c r="Y3869" s="77"/>
      <c r="Z3869" s="77" t="s">
        <v>1615</v>
      </c>
      <c r="AA3869" s="77" t="s">
        <v>9078</v>
      </c>
      <c r="AB3869" s="77" t="s">
        <v>10535</v>
      </c>
      <c r="AC3869" s="80" t="s">
        <v>10542</v>
      </c>
      <c r="AD3869" s="77" t="s">
        <v>10617</v>
      </c>
      <c r="AE3869" s="83" t="str">
        <f>HYPERLINK("https://twitter.com/denzeel_milan/status/1707371199523615155")</f>
        <v>https://twitter.com/denzeel_milan/status/1707371199523615155</v>
      </c>
      <c r="AF3869" s="79">
        <v>45197.51840277778</v>
      </c>
      <c r="AG3869" s="85">
        <v>45197</v>
      </c>
      <c r="AH3869" s="80" t="s">
        <v>13974</v>
      </c>
      <c r="AI3869" s="77" t="b">
        <v>0</v>
      </c>
      <c r="AJ3869" s="77"/>
      <c r="AK3869" s="77"/>
      <c r="AL3869" s="77"/>
      <c r="AM3869" s="77"/>
      <c r="AN3869" s="77"/>
      <c r="AO3869" s="77"/>
      <c r="AP3869" s="77"/>
      <c r="AQ3869" s="77" t="s">
        <v>14560</v>
      </c>
      <c r="AR3869" s="77"/>
      <c r="AS3869" s="77"/>
      <c r="AT3869" s="77"/>
      <c r="AU3869" s="77"/>
      <c r="AV3869" s="83" t="str">
        <f>HYPERLINK("https://pbs.twimg.com/media/F7BR3b-WUAEVt-O.jpg")</f>
        <v>https://pbs.twimg.com/media/F7BR3b-WUAEVt-O.jpg</v>
      </c>
      <c r="AW3869" s="80" t="s">
        <v>19546</v>
      </c>
      <c r="AX3869" s="80" t="s">
        <v>19546</v>
      </c>
      <c r="AY3869" s="77"/>
      <c r="AZ3869" s="80" t="s">
        <v>20380</v>
      </c>
      <c r="BA3869" s="80" t="s">
        <v>20380</v>
      </c>
      <c r="BB3869" s="80" t="s">
        <v>19742</v>
      </c>
      <c r="BC3869" s="80" t="s">
        <v>19742</v>
      </c>
      <c r="BD3869" s="80" t="s">
        <v>21142</v>
      </c>
      <c r="BE3869" s="77"/>
      <c r="BF3869" s="77"/>
      <c r="BG3869" s="77"/>
      <c r="BH3869" s="77"/>
      <c r="BI3869" s="77"/>
    </row>
    <row r="3870" spans="1:61" x14ac:dyDescent="0.25">
      <c r="A3870" s="62" t="s">
        <v>1552</v>
      </c>
      <c r="B3870" s="62" t="s">
        <v>1552</v>
      </c>
      <c r="C3870" s="63"/>
      <c r="D3870" s="64"/>
      <c r="E3870" s="65"/>
      <c r="F3870" s="66"/>
      <c r="G3870" s="63"/>
      <c r="H3870" s="67"/>
      <c r="I3870" s="68"/>
      <c r="J3870" s="68"/>
      <c r="K3870" s="32"/>
      <c r="L3870" s="75">
        <v>3870</v>
      </c>
      <c r="M3870" s="75"/>
      <c r="N3870" s="70"/>
      <c r="O3870" s="77" t="s">
        <v>179</v>
      </c>
      <c r="P3870" s="79">
        <v>45056.696087962962</v>
      </c>
      <c r="Q3870" s="77" t="s">
        <v>5487</v>
      </c>
      <c r="R3870" s="77">
        <v>0</v>
      </c>
      <c r="S3870" s="77">
        <v>0</v>
      </c>
      <c r="T3870" s="77">
        <v>0</v>
      </c>
      <c r="U3870" s="77">
        <v>0</v>
      </c>
      <c r="V3870" s="77">
        <v>41</v>
      </c>
      <c r="W3870" s="80" t="s">
        <v>8311</v>
      </c>
      <c r="X3870" s="83" t="str">
        <f>HYPERLINK("https://pixtv.com.br/galipolo-para-direcao-de-politica-monetaria-do-bc/")</f>
        <v>https://pixtv.com.br/galipolo-para-direcao-de-politica-monetaria-do-bc/</v>
      </c>
      <c r="Y3870" s="77" t="s">
        <v>8611</v>
      </c>
      <c r="Z3870" s="77"/>
      <c r="AA3870" s="77"/>
      <c r="AB3870" s="77"/>
      <c r="AC3870" s="80" t="s">
        <v>10541</v>
      </c>
      <c r="AD3870" s="77" t="s">
        <v>10617</v>
      </c>
      <c r="AE3870" s="83" t="str">
        <f>HYPERLINK("https://twitter.com/pixtvhd/status/1656338901638709257")</f>
        <v>https://twitter.com/pixtvhd/status/1656338901638709257</v>
      </c>
      <c r="AF3870" s="79">
        <v>45056.696087962962</v>
      </c>
      <c r="AG3870" s="85">
        <v>45056</v>
      </c>
      <c r="AH3870" s="80" t="s">
        <v>13975</v>
      </c>
      <c r="AI3870" s="77" t="b">
        <v>0</v>
      </c>
      <c r="AJ3870" s="77"/>
      <c r="AK3870" s="77"/>
      <c r="AL3870" s="77"/>
      <c r="AM3870" s="77"/>
      <c r="AN3870" s="77"/>
      <c r="AO3870" s="77"/>
      <c r="AP3870" s="77"/>
      <c r="AQ3870" s="77"/>
      <c r="AR3870" s="77"/>
      <c r="AS3870" s="77"/>
      <c r="AT3870" s="77"/>
      <c r="AU3870" s="77"/>
      <c r="AV3870" s="83" t="str">
        <f>HYPERLINK("https://pbs.twimg.com/profile_images/1316845696058875909/UmEo9HZn_normal.jpg")</f>
        <v>https://pbs.twimg.com/profile_images/1316845696058875909/UmEo9HZn_normal.jpg</v>
      </c>
      <c r="AW3870" s="80" t="s">
        <v>19547</v>
      </c>
      <c r="AX3870" s="80" t="s">
        <v>19547</v>
      </c>
      <c r="AY3870" s="77"/>
      <c r="AZ3870" s="80" t="s">
        <v>20380</v>
      </c>
      <c r="BA3870" s="80" t="s">
        <v>20380</v>
      </c>
      <c r="BB3870" s="80" t="s">
        <v>20380</v>
      </c>
      <c r="BC3870" s="80" t="s">
        <v>19547</v>
      </c>
      <c r="BD3870" s="77">
        <v>117089350</v>
      </c>
      <c r="BE3870" s="77"/>
      <c r="BF3870" s="77"/>
      <c r="BG3870" s="77"/>
      <c r="BH3870" s="77"/>
      <c r="BI3870" s="77"/>
    </row>
    <row r="3871" spans="1:61" x14ac:dyDescent="0.25">
      <c r="A3871" s="62" t="s">
        <v>1552</v>
      </c>
      <c r="B3871" s="62" t="s">
        <v>1552</v>
      </c>
      <c r="C3871" s="63"/>
      <c r="D3871" s="64"/>
      <c r="E3871" s="65"/>
      <c r="F3871" s="66"/>
      <c r="G3871" s="63"/>
      <c r="H3871" s="67"/>
      <c r="I3871" s="68"/>
      <c r="J3871" s="68"/>
      <c r="K3871" s="32"/>
      <c r="L3871" s="75">
        <v>3871</v>
      </c>
      <c r="M3871" s="75"/>
      <c r="N3871" s="70"/>
      <c r="O3871" s="77" t="s">
        <v>179</v>
      </c>
      <c r="P3871" s="79">
        <v>45062.880960648145</v>
      </c>
      <c r="Q3871" s="77" t="s">
        <v>5488</v>
      </c>
      <c r="R3871" s="77">
        <v>0</v>
      </c>
      <c r="S3871" s="77">
        <v>0</v>
      </c>
      <c r="T3871" s="77">
        <v>0</v>
      </c>
      <c r="U3871" s="77">
        <v>0</v>
      </c>
      <c r="V3871" s="77">
        <v>3</v>
      </c>
      <c r="W3871" s="80" t="s">
        <v>8312</v>
      </c>
      <c r="X3871" s="83" t="str">
        <f>HYPERLINK("https://pixtv.com.br/argentina-banco-central-eleva-taxa-de-juros/")</f>
        <v>https://pixtv.com.br/argentina-banco-central-eleva-taxa-de-juros/</v>
      </c>
      <c r="Y3871" s="77" t="s">
        <v>8611</v>
      </c>
      <c r="Z3871" s="77"/>
      <c r="AA3871" s="77"/>
      <c r="AB3871" s="77"/>
      <c r="AC3871" s="80" t="s">
        <v>10541</v>
      </c>
      <c r="AD3871" s="77" t="s">
        <v>10617</v>
      </c>
      <c r="AE3871" s="83" t="str">
        <f>HYPERLINK("https://twitter.com/pixtvhd/status/1658580228229287936")</f>
        <v>https://twitter.com/pixtvhd/status/1658580228229287936</v>
      </c>
      <c r="AF3871" s="79">
        <v>45062.880960648145</v>
      </c>
      <c r="AG3871" s="85">
        <v>45062</v>
      </c>
      <c r="AH3871" s="80" t="s">
        <v>13976</v>
      </c>
      <c r="AI3871" s="77" t="b">
        <v>0</v>
      </c>
      <c r="AJ3871" s="77"/>
      <c r="AK3871" s="77"/>
      <c r="AL3871" s="77"/>
      <c r="AM3871" s="77"/>
      <c r="AN3871" s="77"/>
      <c r="AO3871" s="77"/>
      <c r="AP3871" s="77"/>
      <c r="AQ3871" s="77"/>
      <c r="AR3871" s="77"/>
      <c r="AS3871" s="77"/>
      <c r="AT3871" s="77"/>
      <c r="AU3871" s="77"/>
      <c r="AV3871" s="83" t="str">
        <f>HYPERLINK("https://pbs.twimg.com/profile_images/1316845696058875909/UmEo9HZn_normal.jpg")</f>
        <v>https://pbs.twimg.com/profile_images/1316845696058875909/UmEo9HZn_normal.jpg</v>
      </c>
      <c r="AW3871" s="80" t="s">
        <v>19548</v>
      </c>
      <c r="AX3871" s="80" t="s">
        <v>19548</v>
      </c>
      <c r="AY3871" s="77"/>
      <c r="AZ3871" s="80" t="s">
        <v>20380</v>
      </c>
      <c r="BA3871" s="80" t="s">
        <v>20380</v>
      </c>
      <c r="BB3871" s="80" t="s">
        <v>20380</v>
      </c>
      <c r="BC3871" s="80" t="s">
        <v>19548</v>
      </c>
      <c r="BD3871" s="77">
        <v>117089350</v>
      </c>
      <c r="BE3871" s="77"/>
      <c r="BF3871" s="77"/>
      <c r="BG3871" s="77"/>
      <c r="BH3871" s="77"/>
      <c r="BI3871" s="77"/>
    </row>
    <row r="3872" spans="1:61" x14ac:dyDescent="0.25">
      <c r="A3872" s="62" t="s">
        <v>1552</v>
      </c>
      <c r="B3872" s="62" t="s">
        <v>1552</v>
      </c>
      <c r="C3872" s="63"/>
      <c r="D3872" s="64"/>
      <c r="E3872" s="65"/>
      <c r="F3872" s="66"/>
      <c r="G3872" s="63"/>
      <c r="H3872" s="67"/>
      <c r="I3872" s="68"/>
      <c r="J3872" s="68"/>
      <c r="K3872" s="32"/>
      <c r="L3872" s="75">
        <v>3872</v>
      </c>
      <c r="M3872" s="75"/>
      <c r="N3872" s="70"/>
      <c r="O3872" s="77" t="s">
        <v>179</v>
      </c>
      <c r="P3872" s="79">
        <v>45051.887152777781</v>
      </c>
      <c r="Q3872" s="77" t="s">
        <v>5489</v>
      </c>
      <c r="R3872" s="77">
        <v>0</v>
      </c>
      <c r="S3872" s="77">
        <v>0</v>
      </c>
      <c r="T3872" s="77">
        <v>0</v>
      </c>
      <c r="U3872" s="77">
        <v>0</v>
      </c>
      <c r="V3872" s="77">
        <v>11</v>
      </c>
      <c r="W3872" s="80" t="s">
        <v>8313</v>
      </c>
      <c r="X3872" s="83" t="str">
        <f>HYPERLINK("https://pixtv.com.br/banco-central-mantem-selic-em-137/")</f>
        <v>https://pixtv.com.br/banco-central-mantem-selic-em-137/</v>
      </c>
      <c r="Y3872" s="77" t="s">
        <v>8611</v>
      </c>
      <c r="Z3872" s="77"/>
      <c r="AA3872" s="77"/>
      <c r="AB3872" s="77"/>
      <c r="AC3872" s="80" t="s">
        <v>10541</v>
      </c>
      <c r="AD3872" s="77" t="s">
        <v>10617</v>
      </c>
      <c r="AE3872" s="83" t="str">
        <f>HYPERLINK("https://twitter.com/pixtvhd/status/1654596203894525952")</f>
        <v>https://twitter.com/pixtvhd/status/1654596203894525952</v>
      </c>
      <c r="AF3872" s="79">
        <v>45051.887152777781</v>
      </c>
      <c r="AG3872" s="85">
        <v>45051</v>
      </c>
      <c r="AH3872" s="80" t="s">
        <v>13977</v>
      </c>
      <c r="AI3872" s="77" t="b">
        <v>0</v>
      </c>
      <c r="AJ3872" s="77"/>
      <c r="AK3872" s="77"/>
      <c r="AL3872" s="77"/>
      <c r="AM3872" s="77"/>
      <c r="AN3872" s="77"/>
      <c r="AO3872" s="77"/>
      <c r="AP3872" s="77"/>
      <c r="AQ3872" s="77"/>
      <c r="AR3872" s="77"/>
      <c r="AS3872" s="77"/>
      <c r="AT3872" s="77"/>
      <c r="AU3872" s="77"/>
      <c r="AV3872" s="83" t="str">
        <f>HYPERLINK("https://pbs.twimg.com/profile_images/1316845696058875909/UmEo9HZn_normal.jpg")</f>
        <v>https://pbs.twimg.com/profile_images/1316845696058875909/UmEo9HZn_normal.jpg</v>
      </c>
      <c r="AW3872" s="80" t="s">
        <v>19549</v>
      </c>
      <c r="AX3872" s="80" t="s">
        <v>19549</v>
      </c>
      <c r="AY3872" s="77"/>
      <c r="AZ3872" s="80" t="s">
        <v>20380</v>
      </c>
      <c r="BA3872" s="80" t="s">
        <v>20380</v>
      </c>
      <c r="BB3872" s="80" t="s">
        <v>20380</v>
      </c>
      <c r="BC3872" s="80" t="s">
        <v>19549</v>
      </c>
      <c r="BD3872" s="77">
        <v>117089350</v>
      </c>
      <c r="BE3872" s="77"/>
      <c r="BF3872" s="77"/>
      <c r="BG3872" s="77"/>
      <c r="BH3872" s="77"/>
      <c r="BI3872" s="77"/>
    </row>
    <row r="3873" spans="1:61" x14ac:dyDescent="0.25">
      <c r="A3873" s="62" t="s">
        <v>1552</v>
      </c>
      <c r="B3873" s="62" t="s">
        <v>1552</v>
      </c>
      <c r="C3873" s="63"/>
      <c r="D3873" s="64"/>
      <c r="E3873" s="65"/>
      <c r="F3873" s="66"/>
      <c r="G3873" s="63"/>
      <c r="H3873" s="67"/>
      <c r="I3873" s="68"/>
      <c r="J3873" s="68"/>
      <c r="K3873" s="32"/>
      <c r="L3873" s="75">
        <v>3873</v>
      </c>
      <c r="M3873" s="75"/>
      <c r="N3873" s="70"/>
      <c r="O3873" s="77" t="s">
        <v>179</v>
      </c>
      <c r="P3873" s="79">
        <v>45140.899571759262</v>
      </c>
      <c r="Q3873" s="77" t="s">
        <v>5490</v>
      </c>
      <c r="R3873" s="77">
        <v>0</v>
      </c>
      <c r="S3873" s="77">
        <v>0</v>
      </c>
      <c r="T3873" s="77">
        <v>0</v>
      </c>
      <c r="U3873" s="77">
        <v>0</v>
      </c>
      <c r="V3873" s="77">
        <v>325</v>
      </c>
      <c r="W3873" s="80" t="s">
        <v>8314</v>
      </c>
      <c r="X3873" s="83" t="str">
        <f>HYPERLINK("https://pixtv.com.br/bc-se-prepara-para-reduzir-taxa-basica-de-juros/")</f>
        <v>https://pixtv.com.br/bc-se-prepara-para-reduzir-taxa-basica-de-juros/</v>
      </c>
      <c r="Y3873" s="77" t="s">
        <v>8611</v>
      </c>
      <c r="Z3873" s="77"/>
      <c r="AA3873" s="77"/>
      <c r="AB3873" s="77"/>
      <c r="AC3873" s="80" t="s">
        <v>10541</v>
      </c>
      <c r="AD3873" s="77" t="s">
        <v>10617</v>
      </c>
      <c r="AE3873" s="83" t="str">
        <f>HYPERLINK("https://twitter.com/pixtvhd/status/1686853224483983361")</f>
        <v>https://twitter.com/pixtvhd/status/1686853224483983361</v>
      </c>
      <c r="AF3873" s="79">
        <v>45140.899571759262</v>
      </c>
      <c r="AG3873" s="85">
        <v>45140</v>
      </c>
      <c r="AH3873" s="80" t="s">
        <v>13978</v>
      </c>
      <c r="AI3873" s="77" t="b">
        <v>0</v>
      </c>
      <c r="AJ3873" s="77"/>
      <c r="AK3873" s="77"/>
      <c r="AL3873" s="77"/>
      <c r="AM3873" s="77"/>
      <c r="AN3873" s="77"/>
      <c r="AO3873" s="77"/>
      <c r="AP3873" s="77"/>
      <c r="AQ3873" s="77"/>
      <c r="AR3873" s="77"/>
      <c r="AS3873" s="77"/>
      <c r="AT3873" s="77"/>
      <c r="AU3873" s="77"/>
      <c r="AV3873" s="83" t="str">
        <f>HYPERLINK("https://pbs.twimg.com/profile_images/1316845696058875909/UmEo9HZn_normal.jpg")</f>
        <v>https://pbs.twimg.com/profile_images/1316845696058875909/UmEo9HZn_normal.jpg</v>
      </c>
      <c r="AW3873" s="80" t="s">
        <v>19550</v>
      </c>
      <c r="AX3873" s="80" t="s">
        <v>19550</v>
      </c>
      <c r="AY3873" s="77"/>
      <c r="AZ3873" s="80" t="s">
        <v>20380</v>
      </c>
      <c r="BA3873" s="80" t="s">
        <v>20380</v>
      </c>
      <c r="BB3873" s="80" t="s">
        <v>20380</v>
      </c>
      <c r="BC3873" s="80" t="s">
        <v>19550</v>
      </c>
      <c r="BD3873" s="77">
        <v>117089350</v>
      </c>
      <c r="BE3873" s="77"/>
      <c r="BF3873" s="77"/>
      <c r="BG3873" s="77"/>
      <c r="BH3873" s="77"/>
      <c r="BI3873" s="77"/>
    </row>
    <row r="3874" spans="1:61" x14ac:dyDescent="0.25">
      <c r="A3874" s="62" t="s">
        <v>1552</v>
      </c>
      <c r="B3874" s="62" t="s">
        <v>1552</v>
      </c>
      <c r="C3874" s="63"/>
      <c r="D3874" s="64"/>
      <c r="E3874" s="65"/>
      <c r="F3874" s="66"/>
      <c r="G3874" s="63"/>
      <c r="H3874" s="67"/>
      <c r="I3874" s="68"/>
      <c r="J3874" s="68"/>
      <c r="K3874" s="32"/>
      <c r="L3874" s="75">
        <v>3874</v>
      </c>
      <c r="M3874" s="75"/>
      <c r="N3874" s="70"/>
      <c r="O3874" s="77" t="s">
        <v>179</v>
      </c>
      <c r="P3874" s="79">
        <v>45141.857291666667</v>
      </c>
      <c r="Q3874" s="77" t="s">
        <v>5491</v>
      </c>
      <c r="R3874" s="77">
        <v>0</v>
      </c>
      <c r="S3874" s="77">
        <v>0</v>
      </c>
      <c r="T3874" s="77">
        <v>0</v>
      </c>
      <c r="U3874" s="77">
        <v>0</v>
      </c>
      <c r="V3874" s="77">
        <v>11</v>
      </c>
      <c r="W3874" s="80" t="s">
        <v>8315</v>
      </c>
      <c r="X3874" s="83" t="str">
        <f>HYPERLINK("https://pixtv.com.br/banco-central-reduz-taxa-selic/")</f>
        <v>https://pixtv.com.br/banco-central-reduz-taxa-selic/</v>
      </c>
      <c r="Y3874" s="77" t="s">
        <v>8611</v>
      </c>
      <c r="Z3874" s="77"/>
      <c r="AA3874" s="77"/>
      <c r="AB3874" s="77"/>
      <c r="AC3874" s="80" t="s">
        <v>10541</v>
      </c>
      <c r="AD3874" s="77" t="s">
        <v>10617</v>
      </c>
      <c r="AE3874" s="83" t="str">
        <f>HYPERLINK("https://twitter.com/pixtvhd/status/1687200289563328513")</f>
        <v>https://twitter.com/pixtvhd/status/1687200289563328513</v>
      </c>
      <c r="AF3874" s="79">
        <v>45141.857291666667</v>
      </c>
      <c r="AG3874" s="85">
        <v>45141</v>
      </c>
      <c r="AH3874" s="80" t="s">
        <v>13979</v>
      </c>
      <c r="AI3874" s="77" t="b">
        <v>0</v>
      </c>
      <c r="AJ3874" s="77"/>
      <c r="AK3874" s="77"/>
      <c r="AL3874" s="77"/>
      <c r="AM3874" s="77"/>
      <c r="AN3874" s="77"/>
      <c r="AO3874" s="77"/>
      <c r="AP3874" s="77"/>
      <c r="AQ3874" s="77"/>
      <c r="AR3874" s="77"/>
      <c r="AS3874" s="77"/>
      <c r="AT3874" s="77"/>
      <c r="AU3874" s="77"/>
      <c r="AV3874" s="83" t="str">
        <f>HYPERLINK("https://pbs.twimg.com/profile_images/1316845696058875909/UmEo9HZn_normal.jpg")</f>
        <v>https://pbs.twimg.com/profile_images/1316845696058875909/UmEo9HZn_normal.jpg</v>
      </c>
      <c r="AW3874" s="80" t="s">
        <v>19551</v>
      </c>
      <c r="AX3874" s="80" t="s">
        <v>19551</v>
      </c>
      <c r="AY3874" s="77"/>
      <c r="AZ3874" s="80" t="s">
        <v>20380</v>
      </c>
      <c r="BA3874" s="80" t="s">
        <v>20380</v>
      </c>
      <c r="BB3874" s="80" t="s">
        <v>20380</v>
      </c>
      <c r="BC3874" s="80" t="s">
        <v>19551</v>
      </c>
      <c r="BD3874" s="77">
        <v>117089350</v>
      </c>
      <c r="BE3874" s="77"/>
      <c r="BF3874" s="77"/>
      <c r="BG3874" s="77"/>
      <c r="BH3874" s="77"/>
      <c r="BI3874" s="77"/>
    </row>
    <row r="3875" spans="1:61" x14ac:dyDescent="0.25">
      <c r="A3875" s="62" t="s">
        <v>1552</v>
      </c>
      <c r="B3875" s="62" t="s">
        <v>1552</v>
      </c>
      <c r="C3875" s="63"/>
      <c r="D3875" s="64"/>
      <c r="E3875" s="65"/>
      <c r="F3875" s="66"/>
      <c r="G3875" s="63"/>
      <c r="H3875" s="67"/>
      <c r="I3875" s="68"/>
      <c r="J3875" s="68"/>
      <c r="K3875" s="32"/>
      <c r="L3875" s="75">
        <v>3875</v>
      </c>
      <c r="M3875" s="75"/>
      <c r="N3875" s="70"/>
      <c r="O3875" s="77" t="s">
        <v>179</v>
      </c>
      <c r="P3875" s="79">
        <v>45089.889120370368</v>
      </c>
      <c r="Q3875" s="77" t="s">
        <v>5492</v>
      </c>
      <c r="R3875" s="77">
        <v>0</v>
      </c>
      <c r="S3875" s="77">
        <v>0</v>
      </c>
      <c r="T3875" s="77">
        <v>0</v>
      </c>
      <c r="U3875" s="77">
        <v>0</v>
      </c>
      <c r="V3875" s="77">
        <v>8</v>
      </c>
      <c r="W3875" s="80" t="s">
        <v>8316</v>
      </c>
      <c r="X3875" s="83" t="str">
        <f>HYPERLINK("https://pixtv.com.br/brasileiros-esquecem-mais-de-r-7-bilhoes-no-bc/")</f>
        <v>https://pixtv.com.br/brasileiros-esquecem-mais-de-r-7-bilhoes-no-bc/</v>
      </c>
      <c r="Y3875" s="77" t="s">
        <v>8611</v>
      </c>
      <c r="Z3875" s="77"/>
      <c r="AA3875" s="77"/>
      <c r="AB3875" s="77"/>
      <c r="AC3875" s="80" t="s">
        <v>10541</v>
      </c>
      <c r="AD3875" s="77" t="s">
        <v>10617</v>
      </c>
      <c r="AE3875" s="83" t="str">
        <f>HYPERLINK("https://twitter.com/pixtvhd/status/1668367655227539462")</f>
        <v>https://twitter.com/pixtvhd/status/1668367655227539462</v>
      </c>
      <c r="AF3875" s="79">
        <v>45089.889120370368</v>
      </c>
      <c r="AG3875" s="85">
        <v>45089</v>
      </c>
      <c r="AH3875" s="80" t="s">
        <v>13980</v>
      </c>
      <c r="AI3875" s="77" t="b">
        <v>0</v>
      </c>
      <c r="AJ3875" s="77"/>
      <c r="AK3875" s="77"/>
      <c r="AL3875" s="77"/>
      <c r="AM3875" s="77"/>
      <c r="AN3875" s="77"/>
      <c r="AO3875" s="77"/>
      <c r="AP3875" s="77"/>
      <c r="AQ3875" s="77"/>
      <c r="AR3875" s="77"/>
      <c r="AS3875" s="77"/>
      <c r="AT3875" s="77"/>
      <c r="AU3875" s="77"/>
      <c r="AV3875" s="83" t="str">
        <f>HYPERLINK("https://pbs.twimg.com/profile_images/1316845696058875909/UmEo9HZn_normal.jpg")</f>
        <v>https://pbs.twimg.com/profile_images/1316845696058875909/UmEo9HZn_normal.jpg</v>
      </c>
      <c r="AW3875" s="80" t="s">
        <v>19552</v>
      </c>
      <c r="AX3875" s="80" t="s">
        <v>19552</v>
      </c>
      <c r="AY3875" s="77"/>
      <c r="AZ3875" s="80" t="s">
        <v>20380</v>
      </c>
      <c r="BA3875" s="80" t="s">
        <v>20380</v>
      </c>
      <c r="BB3875" s="80" t="s">
        <v>20380</v>
      </c>
      <c r="BC3875" s="80" t="s">
        <v>19552</v>
      </c>
      <c r="BD3875" s="77">
        <v>117089350</v>
      </c>
      <c r="BE3875" s="77"/>
      <c r="BF3875" s="77"/>
      <c r="BG3875" s="77"/>
      <c r="BH3875" s="77"/>
      <c r="BI3875" s="77"/>
    </row>
    <row r="3876" spans="1:61" x14ac:dyDescent="0.25">
      <c r="A3876" s="62" t="s">
        <v>1552</v>
      </c>
      <c r="B3876" s="62" t="s">
        <v>1552</v>
      </c>
      <c r="C3876" s="63"/>
      <c r="D3876" s="64"/>
      <c r="E3876" s="65"/>
      <c r="F3876" s="66"/>
      <c r="G3876" s="63"/>
      <c r="H3876" s="67"/>
      <c r="I3876" s="68"/>
      <c r="J3876" s="68"/>
      <c r="K3876" s="32"/>
      <c r="L3876" s="75">
        <v>3876</v>
      </c>
      <c r="M3876" s="75"/>
      <c r="N3876" s="70"/>
      <c r="O3876" s="77" t="s">
        <v>179</v>
      </c>
      <c r="P3876" s="79">
        <v>45175.595694444448</v>
      </c>
      <c r="Q3876" s="77" t="s">
        <v>5493</v>
      </c>
      <c r="R3876" s="77">
        <v>0</v>
      </c>
      <c r="S3876" s="77">
        <v>0</v>
      </c>
      <c r="T3876" s="77">
        <v>0</v>
      </c>
      <c r="U3876" s="77">
        <v>0</v>
      </c>
      <c r="V3876" s="77">
        <v>15</v>
      </c>
      <c r="W3876" s="80" t="s">
        <v>8317</v>
      </c>
      <c r="X3876" s="83" t="str">
        <f>HYPERLINK("https://pixtv.com.br/banco-central-divulga-dados-do-pix/")</f>
        <v>https://pixtv.com.br/banco-central-divulga-dados-do-pix/</v>
      </c>
      <c r="Y3876" s="77" t="s">
        <v>8611</v>
      </c>
      <c r="Z3876" s="77"/>
      <c r="AA3876" s="77"/>
      <c r="AB3876" s="77"/>
      <c r="AC3876" s="80" t="s">
        <v>10541</v>
      </c>
      <c r="AD3876" s="77" t="s">
        <v>10617</v>
      </c>
      <c r="AE3876" s="83" t="str">
        <f>HYPERLINK("https://twitter.com/pixtvhd/status/1699426679800676540")</f>
        <v>https://twitter.com/pixtvhd/status/1699426679800676540</v>
      </c>
      <c r="AF3876" s="79">
        <v>45175.595694444448</v>
      </c>
      <c r="AG3876" s="85">
        <v>45175</v>
      </c>
      <c r="AH3876" s="80" t="s">
        <v>13981</v>
      </c>
      <c r="AI3876" s="77" t="b">
        <v>0</v>
      </c>
      <c r="AJ3876" s="77"/>
      <c r="AK3876" s="77"/>
      <c r="AL3876" s="77"/>
      <c r="AM3876" s="77"/>
      <c r="AN3876" s="77"/>
      <c r="AO3876" s="77"/>
      <c r="AP3876" s="77"/>
      <c r="AQ3876" s="77"/>
      <c r="AR3876" s="77"/>
      <c r="AS3876" s="77"/>
      <c r="AT3876" s="77"/>
      <c r="AU3876" s="77"/>
      <c r="AV3876" s="83" t="str">
        <f>HYPERLINK("https://pbs.twimg.com/profile_images/1316845696058875909/UmEo9HZn_normal.jpg")</f>
        <v>https://pbs.twimg.com/profile_images/1316845696058875909/UmEo9HZn_normal.jpg</v>
      </c>
      <c r="AW3876" s="80" t="s">
        <v>19553</v>
      </c>
      <c r="AX3876" s="80" t="s">
        <v>19553</v>
      </c>
      <c r="AY3876" s="77"/>
      <c r="AZ3876" s="80" t="s">
        <v>20380</v>
      </c>
      <c r="BA3876" s="80" t="s">
        <v>20380</v>
      </c>
      <c r="BB3876" s="80" t="s">
        <v>20380</v>
      </c>
      <c r="BC3876" s="80" t="s">
        <v>19553</v>
      </c>
      <c r="BD3876" s="77">
        <v>117089350</v>
      </c>
      <c r="BE3876" s="77"/>
      <c r="BF3876" s="77"/>
      <c r="BG3876" s="77"/>
      <c r="BH3876" s="77"/>
      <c r="BI3876" s="77"/>
    </row>
    <row r="3877" spans="1:61" x14ac:dyDescent="0.25">
      <c r="A3877" s="62" t="s">
        <v>1552</v>
      </c>
      <c r="B3877" s="62" t="s">
        <v>1552</v>
      </c>
      <c r="C3877" s="63"/>
      <c r="D3877" s="64"/>
      <c r="E3877" s="65"/>
      <c r="F3877" s="66"/>
      <c r="G3877" s="63"/>
      <c r="H3877" s="67"/>
      <c r="I3877" s="68"/>
      <c r="J3877" s="68"/>
      <c r="K3877" s="32"/>
      <c r="L3877" s="75">
        <v>3877</v>
      </c>
      <c r="M3877" s="75"/>
      <c r="N3877" s="70"/>
      <c r="O3877" s="77" t="s">
        <v>179</v>
      </c>
      <c r="P3877" s="79">
        <v>45174.893726851849</v>
      </c>
      <c r="Q3877" s="77" t="s">
        <v>5494</v>
      </c>
      <c r="R3877" s="77">
        <v>0</v>
      </c>
      <c r="S3877" s="77">
        <v>0</v>
      </c>
      <c r="T3877" s="77">
        <v>0</v>
      </c>
      <c r="U3877" s="77">
        <v>0</v>
      </c>
      <c r="V3877" s="77">
        <v>30</v>
      </c>
      <c r="W3877" s="80" t="s">
        <v>8318</v>
      </c>
      <c r="X3877" s="83" t="str">
        <f>HYPERLINK("https://pixtv.com.br/pesquisa-do-bc-aponta-crescimento-na-economia-brasileira/")</f>
        <v>https://pixtv.com.br/pesquisa-do-bc-aponta-crescimento-na-economia-brasileira/</v>
      </c>
      <c r="Y3877" s="77" t="s">
        <v>8611</v>
      </c>
      <c r="Z3877" s="77"/>
      <c r="AA3877" s="77"/>
      <c r="AB3877" s="77"/>
      <c r="AC3877" s="80" t="s">
        <v>10541</v>
      </c>
      <c r="AD3877" s="77" t="s">
        <v>10617</v>
      </c>
      <c r="AE3877" s="83" t="str">
        <f>HYPERLINK("https://twitter.com/pixtvhd/status/1699172292037636152")</f>
        <v>https://twitter.com/pixtvhd/status/1699172292037636152</v>
      </c>
      <c r="AF3877" s="79">
        <v>45174.893726851849</v>
      </c>
      <c r="AG3877" s="85">
        <v>45174</v>
      </c>
      <c r="AH3877" s="80" t="s">
        <v>13982</v>
      </c>
      <c r="AI3877" s="77" t="b">
        <v>0</v>
      </c>
      <c r="AJ3877" s="77"/>
      <c r="AK3877" s="77"/>
      <c r="AL3877" s="77"/>
      <c r="AM3877" s="77"/>
      <c r="AN3877" s="77"/>
      <c r="AO3877" s="77"/>
      <c r="AP3877" s="77"/>
      <c r="AQ3877" s="77"/>
      <c r="AR3877" s="77"/>
      <c r="AS3877" s="77"/>
      <c r="AT3877" s="77"/>
      <c r="AU3877" s="77"/>
      <c r="AV3877" s="83" t="str">
        <f>HYPERLINK("https://pbs.twimg.com/profile_images/1316845696058875909/UmEo9HZn_normal.jpg")</f>
        <v>https://pbs.twimg.com/profile_images/1316845696058875909/UmEo9HZn_normal.jpg</v>
      </c>
      <c r="AW3877" s="80" t="s">
        <v>19554</v>
      </c>
      <c r="AX3877" s="80" t="s">
        <v>19554</v>
      </c>
      <c r="AY3877" s="77"/>
      <c r="AZ3877" s="80" t="s">
        <v>20380</v>
      </c>
      <c r="BA3877" s="80" t="s">
        <v>20380</v>
      </c>
      <c r="BB3877" s="80" t="s">
        <v>20380</v>
      </c>
      <c r="BC3877" s="80" t="s">
        <v>19554</v>
      </c>
      <c r="BD3877" s="77">
        <v>117089350</v>
      </c>
      <c r="BE3877" s="77"/>
      <c r="BF3877" s="77"/>
      <c r="BG3877" s="77"/>
      <c r="BH3877" s="77"/>
      <c r="BI3877" s="77"/>
    </row>
    <row r="3878" spans="1:61" x14ac:dyDescent="0.25">
      <c r="A3878" s="62" t="s">
        <v>1552</v>
      </c>
      <c r="B3878" s="62" t="s">
        <v>1552</v>
      </c>
      <c r="C3878" s="63"/>
      <c r="D3878" s="64"/>
      <c r="E3878" s="65"/>
      <c r="F3878" s="66"/>
      <c r="G3878" s="63"/>
      <c r="H3878" s="67"/>
      <c r="I3878" s="68"/>
      <c r="J3878" s="68"/>
      <c r="K3878" s="32"/>
      <c r="L3878" s="75">
        <v>3878</v>
      </c>
      <c r="M3878" s="75"/>
      <c r="N3878" s="70"/>
      <c r="O3878" s="77" t="s">
        <v>179</v>
      </c>
      <c r="P3878" s="79">
        <v>45106.849050925928</v>
      </c>
      <c r="Q3878" s="77" t="s">
        <v>5495</v>
      </c>
      <c r="R3878" s="77">
        <v>0</v>
      </c>
      <c r="S3878" s="77">
        <v>0</v>
      </c>
      <c r="T3878" s="77">
        <v>0</v>
      </c>
      <c r="U3878" s="77">
        <v>0</v>
      </c>
      <c r="V3878" s="77">
        <v>12</v>
      </c>
      <c r="W3878" s="80" t="s">
        <v>8319</v>
      </c>
      <c r="X3878" s="83" t="str">
        <f>HYPERLINK("https://pixtv.com.br/senado-aprova-convite-para-campos-neto/")</f>
        <v>https://pixtv.com.br/senado-aprova-convite-para-campos-neto/</v>
      </c>
      <c r="Y3878" s="77" t="s">
        <v>8611</v>
      </c>
      <c r="Z3878" s="77"/>
      <c r="AA3878" s="77"/>
      <c r="AB3878" s="77"/>
      <c r="AC3878" s="80" t="s">
        <v>10541</v>
      </c>
      <c r="AD3878" s="77" t="s">
        <v>10617</v>
      </c>
      <c r="AE3878" s="83" t="str">
        <f>HYPERLINK("https://twitter.com/pixtvhd/status/1674513728417480704")</f>
        <v>https://twitter.com/pixtvhd/status/1674513728417480704</v>
      </c>
      <c r="AF3878" s="79">
        <v>45106.849050925928</v>
      </c>
      <c r="AG3878" s="85">
        <v>45106</v>
      </c>
      <c r="AH3878" s="80" t="s">
        <v>13983</v>
      </c>
      <c r="AI3878" s="77" t="b">
        <v>0</v>
      </c>
      <c r="AJ3878" s="77"/>
      <c r="AK3878" s="77"/>
      <c r="AL3878" s="77"/>
      <c r="AM3878" s="77"/>
      <c r="AN3878" s="77"/>
      <c r="AO3878" s="77"/>
      <c r="AP3878" s="77"/>
      <c r="AQ3878" s="77"/>
      <c r="AR3878" s="77"/>
      <c r="AS3878" s="77"/>
      <c r="AT3878" s="77"/>
      <c r="AU3878" s="77"/>
      <c r="AV3878" s="83" t="str">
        <f>HYPERLINK("https://pbs.twimg.com/profile_images/1316845696058875909/UmEo9HZn_normal.jpg")</f>
        <v>https://pbs.twimg.com/profile_images/1316845696058875909/UmEo9HZn_normal.jpg</v>
      </c>
      <c r="AW3878" s="80" t="s">
        <v>19555</v>
      </c>
      <c r="AX3878" s="80" t="s">
        <v>19555</v>
      </c>
      <c r="AY3878" s="77"/>
      <c r="AZ3878" s="80" t="s">
        <v>20380</v>
      </c>
      <c r="BA3878" s="80" t="s">
        <v>20380</v>
      </c>
      <c r="BB3878" s="80" t="s">
        <v>20380</v>
      </c>
      <c r="BC3878" s="80" t="s">
        <v>19555</v>
      </c>
      <c r="BD3878" s="77">
        <v>117089350</v>
      </c>
      <c r="BE3878" s="77"/>
      <c r="BF3878" s="77"/>
      <c r="BG3878" s="77"/>
      <c r="BH3878" s="77"/>
      <c r="BI3878" s="77"/>
    </row>
    <row r="3879" spans="1:61" x14ac:dyDescent="0.25">
      <c r="A3879" s="62" t="s">
        <v>1553</v>
      </c>
      <c r="B3879" s="62" t="s">
        <v>1553</v>
      </c>
      <c r="C3879" s="63"/>
      <c r="D3879" s="64"/>
      <c r="E3879" s="65"/>
      <c r="F3879" s="66"/>
      <c r="G3879" s="63"/>
      <c r="H3879" s="67"/>
      <c r="I3879" s="68"/>
      <c r="J3879" s="68"/>
      <c r="K3879" s="32"/>
      <c r="L3879" s="75">
        <v>3879</v>
      </c>
      <c r="M3879" s="75"/>
      <c r="N3879" s="70"/>
      <c r="O3879" s="77" t="s">
        <v>179</v>
      </c>
      <c r="P3879" s="79">
        <v>45091.03052083333</v>
      </c>
      <c r="Q3879" s="77" t="s">
        <v>5496</v>
      </c>
      <c r="R3879" s="77">
        <v>666</v>
      </c>
      <c r="S3879" s="77">
        <v>3762</v>
      </c>
      <c r="T3879" s="77">
        <v>524</v>
      </c>
      <c r="U3879" s="77">
        <v>43</v>
      </c>
      <c r="V3879" s="77">
        <v>67425</v>
      </c>
      <c r="W3879" s="77"/>
      <c r="X3879" s="83" t="str">
        <f>HYPERLINK("https://revistaforum.com.br/economia/2023/6/13/video-luiza-trajano-humilha-campos-neto-durante-encontro-empresarial-137535.html")</f>
        <v>https://revistaforum.com.br/economia/2023/6/13/video-luiza-trajano-humilha-campos-neto-durante-encontro-empresarial-137535.html</v>
      </c>
      <c r="Y3879" s="77" t="s">
        <v>8611</v>
      </c>
      <c r="Z3879" s="77"/>
      <c r="AA3879" s="77"/>
      <c r="AB3879" s="77"/>
      <c r="AC3879" s="80" t="s">
        <v>10541</v>
      </c>
      <c r="AD3879" s="77" t="s">
        <v>10617</v>
      </c>
      <c r="AE3879" s="83" t="str">
        <f>HYPERLINK("https://twitter.com/fenam924/status/1668781283667845121")</f>
        <v>https://twitter.com/fenam924/status/1668781283667845121</v>
      </c>
      <c r="AF3879" s="79">
        <v>45091.03052083333</v>
      </c>
      <c r="AG3879" s="85">
        <v>45091</v>
      </c>
      <c r="AH3879" s="80" t="s">
        <v>13984</v>
      </c>
      <c r="AI3879" s="77" t="b">
        <v>0</v>
      </c>
      <c r="AJ3879" s="77"/>
      <c r="AK3879" s="77"/>
      <c r="AL3879" s="77"/>
      <c r="AM3879" s="77"/>
      <c r="AN3879" s="77"/>
      <c r="AO3879" s="77"/>
      <c r="AP3879" s="77"/>
      <c r="AQ3879" s="77"/>
      <c r="AR3879" s="77"/>
      <c r="AS3879" s="77"/>
      <c r="AT3879" s="77"/>
      <c r="AU3879" s="77"/>
      <c r="AV3879" s="83" t="str">
        <f>HYPERLINK("https://pbs.twimg.com/profile_images/1424804863947546632/LGSdNjcL_normal.jpg")</f>
        <v>https://pbs.twimg.com/profile_images/1424804863947546632/LGSdNjcL_normal.jpg</v>
      </c>
      <c r="AW3879" s="80" t="s">
        <v>19556</v>
      </c>
      <c r="AX3879" s="80" t="s">
        <v>19556</v>
      </c>
      <c r="AY3879" s="77"/>
      <c r="AZ3879" s="80" t="s">
        <v>20380</v>
      </c>
      <c r="BA3879" s="80" t="s">
        <v>20380</v>
      </c>
      <c r="BB3879" s="80" t="s">
        <v>20380</v>
      </c>
      <c r="BC3879" s="80" t="s">
        <v>19556</v>
      </c>
      <c r="BD3879" s="80" t="s">
        <v>21143</v>
      </c>
      <c r="BE3879" s="77"/>
      <c r="BF3879" s="77"/>
      <c r="BG3879" s="77"/>
      <c r="BH3879" s="77"/>
      <c r="BI3879" s="77"/>
    </row>
    <row r="3880" spans="1:61" x14ac:dyDescent="0.25">
      <c r="A3880" s="62" t="s">
        <v>1554</v>
      </c>
      <c r="B3880" s="62" t="s">
        <v>1553</v>
      </c>
      <c r="C3880" s="63"/>
      <c r="D3880" s="64"/>
      <c r="E3880" s="65"/>
      <c r="F3880" s="66"/>
      <c r="G3880" s="63"/>
      <c r="H3880" s="67"/>
      <c r="I3880" s="68"/>
      <c r="J3880" s="68"/>
      <c r="K3880" s="32"/>
      <c r="L3880" s="75">
        <v>3880</v>
      </c>
      <c r="M3880" s="75"/>
      <c r="N3880" s="70"/>
      <c r="O3880" s="77" t="s">
        <v>2082</v>
      </c>
      <c r="P3880" s="79">
        <v>45091.617881944447</v>
      </c>
      <c r="Q3880" s="77" t="s">
        <v>5497</v>
      </c>
      <c r="R3880" s="77">
        <v>0</v>
      </c>
      <c r="S3880" s="77">
        <v>0</v>
      </c>
      <c r="T3880" s="77">
        <v>0</v>
      </c>
      <c r="U3880" s="77">
        <v>0</v>
      </c>
      <c r="V3880" s="77">
        <v>26</v>
      </c>
      <c r="W3880" s="80" t="s">
        <v>8320</v>
      </c>
      <c r="X3880" s="77"/>
      <c r="Y3880" s="77"/>
      <c r="Z3880" s="77"/>
      <c r="AA3880" s="77"/>
      <c r="AB3880" s="77"/>
      <c r="AC3880" s="80" t="s">
        <v>10540</v>
      </c>
      <c r="AD3880" s="77" t="s">
        <v>10617</v>
      </c>
      <c r="AE3880" s="83" t="str">
        <f>HYPERLINK("https://twitter.com/willianrichardm/status/1668994137767510017")</f>
        <v>https://twitter.com/willianrichardm/status/1668994137767510017</v>
      </c>
      <c r="AF3880" s="79">
        <v>45091.617881944447</v>
      </c>
      <c r="AG3880" s="85">
        <v>45091</v>
      </c>
      <c r="AH3880" s="80" t="s">
        <v>13985</v>
      </c>
      <c r="AI3880" s="77"/>
      <c r="AJ3880" s="77"/>
      <c r="AK3880" s="77"/>
      <c r="AL3880" s="77"/>
      <c r="AM3880" s="77"/>
      <c r="AN3880" s="77"/>
      <c r="AO3880" s="77"/>
      <c r="AP3880" s="77"/>
      <c r="AQ3880" s="77"/>
      <c r="AR3880" s="77"/>
      <c r="AS3880" s="77"/>
      <c r="AT3880" s="77"/>
      <c r="AU3880" s="77"/>
      <c r="AV3880" s="83" t="str">
        <f>HYPERLINK("https://pbs.twimg.com/profile_images/1685373547848314880/MNmf4bHt_normal.jpg")</f>
        <v>https://pbs.twimg.com/profile_images/1685373547848314880/MNmf4bHt_normal.jpg</v>
      </c>
      <c r="AW3880" s="80" t="s">
        <v>19557</v>
      </c>
      <c r="AX3880" s="80" t="s">
        <v>19557</v>
      </c>
      <c r="AY3880" s="77"/>
      <c r="AZ3880" s="80" t="s">
        <v>20380</v>
      </c>
      <c r="BA3880" s="80" t="s">
        <v>19556</v>
      </c>
      <c r="BB3880" s="80" t="s">
        <v>20380</v>
      </c>
      <c r="BC3880" s="80" t="s">
        <v>19556</v>
      </c>
      <c r="BD3880" s="77">
        <v>2377025545</v>
      </c>
      <c r="BE3880" s="77"/>
      <c r="BF3880" s="77"/>
      <c r="BG3880" s="77"/>
      <c r="BH3880" s="77"/>
      <c r="BI3880" s="77"/>
    </row>
    <row r="3881" spans="1:61" x14ac:dyDescent="0.25">
      <c r="A3881" s="62" t="s">
        <v>1554</v>
      </c>
      <c r="B3881" s="62" t="s">
        <v>1596</v>
      </c>
      <c r="C3881" s="63"/>
      <c r="D3881" s="64"/>
      <c r="E3881" s="65"/>
      <c r="F3881" s="66"/>
      <c r="G3881" s="63"/>
      <c r="H3881" s="67"/>
      <c r="I3881" s="68"/>
      <c r="J3881" s="68"/>
      <c r="K3881" s="32"/>
      <c r="L3881" s="75">
        <v>3881</v>
      </c>
      <c r="M3881" s="75"/>
      <c r="N3881" s="70"/>
      <c r="O3881" s="77" t="s">
        <v>2081</v>
      </c>
      <c r="P3881" s="79">
        <v>45095.600034722222</v>
      </c>
      <c r="Q3881" s="77" t="s">
        <v>5498</v>
      </c>
      <c r="R3881" s="77">
        <v>0</v>
      </c>
      <c r="S3881" s="77">
        <v>1</v>
      </c>
      <c r="T3881" s="77">
        <v>0</v>
      </c>
      <c r="U3881" s="77">
        <v>0</v>
      </c>
      <c r="V3881" s="77">
        <v>26</v>
      </c>
      <c r="W3881" s="80" t="s">
        <v>8321</v>
      </c>
      <c r="X3881" s="77"/>
      <c r="Y3881" s="77"/>
      <c r="Z3881" s="77" t="s">
        <v>1596</v>
      </c>
      <c r="AA3881" s="77" t="s">
        <v>10327</v>
      </c>
      <c r="AB3881" s="77" t="s">
        <v>10535</v>
      </c>
      <c r="AC3881" s="80" t="s">
        <v>10540</v>
      </c>
      <c r="AD3881" s="77" t="s">
        <v>10617</v>
      </c>
      <c r="AE3881" s="83" t="str">
        <f>HYPERLINK("https://twitter.com/willianrichardm/status/1670437221567004673")</f>
        <v>https://twitter.com/willianrichardm/status/1670437221567004673</v>
      </c>
      <c r="AF3881" s="79">
        <v>45095.600034722222</v>
      </c>
      <c r="AG3881" s="85">
        <v>45095</v>
      </c>
      <c r="AH3881" s="80" t="s">
        <v>12337</v>
      </c>
      <c r="AI3881" s="77" t="b">
        <v>0</v>
      </c>
      <c r="AJ3881" s="77" t="s">
        <v>14374</v>
      </c>
      <c r="AK3881" s="77" t="s">
        <v>14382</v>
      </c>
      <c r="AL3881" s="77" t="s">
        <v>14391</v>
      </c>
      <c r="AM3881" s="77" t="s">
        <v>14431</v>
      </c>
      <c r="AN3881" s="77" t="s">
        <v>14471</v>
      </c>
      <c r="AO3881" s="77" t="s">
        <v>14510</v>
      </c>
      <c r="AP3881" s="77" t="s">
        <v>14516</v>
      </c>
      <c r="AQ3881" s="77" t="s">
        <v>15806</v>
      </c>
      <c r="AR3881" s="77"/>
      <c r="AS3881" s="77"/>
      <c r="AT3881" s="77"/>
      <c r="AU3881" s="77"/>
      <c r="AV3881" s="83" t="str">
        <f>HYPERLINK("https://pbs.twimg.com/media/Fy6VzP2XwAAgZJr.jpg")</f>
        <v>https://pbs.twimg.com/media/Fy6VzP2XwAAgZJr.jpg</v>
      </c>
      <c r="AW3881" s="80" t="s">
        <v>19558</v>
      </c>
      <c r="AX3881" s="80" t="s">
        <v>19558</v>
      </c>
      <c r="AY3881" s="77"/>
      <c r="AZ3881" s="80" t="s">
        <v>20380</v>
      </c>
      <c r="BA3881" s="80" t="s">
        <v>20380</v>
      </c>
      <c r="BB3881" s="80" t="s">
        <v>20380</v>
      </c>
      <c r="BC3881" s="80" t="s">
        <v>19558</v>
      </c>
      <c r="BD3881" s="77">
        <v>2377025545</v>
      </c>
      <c r="BE3881" s="77"/>
      <c r="BF3881" s="77"/>
      <c r="BG3881" s="77"/>
      <c r="BH3881" s="77"/>
      <c r="BI3881" s="77"/>
    </row>
    <row r="3882" spans="1:61" x14ac:dyDescent="0.25">
      <c r="A3882" s="62" t="s">
        <v>1554</v>
      </c>
      <c r="B3882" s="62" t="s">
        <v>1554</v>
      </c>
      <c r="C3882" s="63"/>
      <c r="D3882" s="64"/>
      <c r="E3882" s="65"/>
      <c r="F3882" s="66"/>
      <c r="G3882" s="63"/>
      <c r="H3882" s="67"/>
      <c r="I3882" s="68"/>
      <c r="J3882" s="68"/>
      <c r="K3882" s="32"/>
      <c r="L3882" s="75">
        <v>3882</v>
      </c>
      <c r="M3882" s="75"/>
      <c r="N3882" s="70"/>
      <c r="O3882" s="77" t="s">
        <v>179</v>
      </c>
      <c r="P3882" s="79">
        <v>45099.443101851852</v>
      </c>
      <c r="Q3882" s="77" t="s">
        <v>5499</v>
      </c>
      <c r="R3882" s="77">
        <v>1</v>
      </c>
      <c r="S3882" s="77">
        <v>3</v>
      </c>
      <c r="T3882" s="77">
        <v>0</v>
      </c>
      <c r="U3882" s="77">
        <v>0</v>
      </c>
      <c r="V3882" s="77">
        <v>29</v>
      </c>
      <c r="W3882" s="80" t="s">
        <v>8322</v>
      </c>
      <c r="X3882" s="77"/>
      <c r="Y3882" s="77"/>
      <c r="Z3882" s="77"/>
      <c r="AA3882" s="77" t="s">
        <v>10328</v>
      </c>
      <c r="AB3882" s="77" t="s">
        <v>10535</v>
      </c>
      <c r="AC3882" s="80" t="s">
        <v>10540</v>
      </c>
      <c r="AD3882" s="77" t="s">
        <v>10619</v>
      </c>
      <c r="AE3882" s="83" t="str">
        <f>HYPERLINK("https://twitter.com/willianrichardm/status/1671829903501656064")</f>
        <v>https://twitter.com/willianrichardm/status/1671829903501656064</v>
      </c>
      <c r="AF3882" s="79">
        <v>45099.443101851852</v>
      </c>
      <c r="AG3882" s="85">
        <v>45099</v>
      </c>
      <c r="AH3882" s="80" t="s">
        <v>13986</v>
      </c>
      <c r="AI3882" s="77" t="b">
        <v>0</v>
      </c>
      <c r="AJ3882" s="77" t="s">
        <v>14374</v>
      </c>
      <c r="AK3882" s="77" t="s">
        <v>14382</v>
      </c>
      <c r="AL3882" s="77" t="s">
        <v>14391</v>
      </c>
      <c r="AM3882" s="77" t="s">
        <v>14431</v>
      </c>
      <c r="AN3882" s="77" t="s">
        <v>14471</v>
      </c>
      <c r="AO3882" s="77" t="s">
        <v>14510</v>
      </c>
      <c r="AP3882" s="77" t="s">
        <v>14516</v>
      </c>
      <c r="AQ3882" s="77" t="s">
        <v>15807</v>
      </c>
      <c r="AR3882" s="77"/>
      <c r="AS3882" s="77"/>
      <c r="AT3882" s="77"/>
      <c r="AU3882" s="77"/>
      <c r="AV3882" s="83" t="str">
        <f>HYPERLINK("https://pbs.twimg.com/media/FzOIb8UXoAAZByo.jpg")</f>
        <v>https://pbs.twimg.com/media/FzOIb8UXoAAZByo.jpg</v>
      </c>
      <c r="AW3882" s="80" t="s">
        <v>19559</v>
      </c>
      <c r="AX3882" s="80" t="s">
        <v>19559</v>
      </c>
      <c r="AY3882" s="77"/>
      <c r="AZ3882" s="80" t="s">
        <v>20380</v>
      </c>
      <c r="BA3882" s="80" t="s">
        <v>20380</v>
      </c>
      <c r="BB3882" s="80" t="s">
        <v>20380</v>
      </c>
      <c r="BC3882" s="80" t="s">
        <v>19559</v>
      </c>
      <c r="BD3882" s="77">
        <v>2377025545</v>
      </c>
      <c r="BE3882" s="77"/>
      <c r="BF3882" s="77"/>
      <c r="BG3882" s="77"/>
      <c r="BH3882" s="77"/>
      <c r="BI3882" s="77"/>
    </row>
    <row r="3883" spans="1:61" x14ac:dyDescent="0.25">
      <c r="A3883" s="62" t="s">
        <v>1554</v>
      </c>
      <c r="B3883" s="62" t="s">
        <v>1554</v>
      </c>
      <c r="C3883" s="63"/>
      <c r="D3883" s="64"/>
      <c r="E3883" s="65"/>
      <c r="F3883" s="66"/>
      <c r="G3883" s="63"/>
      <c r="H3883" s="67"/>
      <c r="I3883" s="68"/>
      <c r="J3883" s="68"/>
      <c r="K3883" s="32"/>
      <c r="L3883" s="75">
        <v>3883</v>
      </c>
      <c r="M3883" s="75"/>
      <c r="N3883" s="70"/>
      <c r="O3883" s="77" t="s">
        <v>179</v>
      </c>
      <c r="P3883" s="79">
        <v>45099.995891203704</v>
      </c>
      <c r="Q3883" s="77" t="s">
        <v>5500</v>
      </c>
      <c r="R3883" s="77">
        <v>0</v>
      </c>
      <c r="S3883" s="77">
        <v>0</v>
      </c>
      <c r="T3883" s="77">
        <v>0</v>
      </c>
      <c r="U3883" s="77">
        <v>0</v>
      </c>
      <c r="V3883" s="77">
        <v>389</v>
      </c>
      <c r="W3883" s="80" t="s">
        <v>8323</v>
      </c>
      <c r="X3883" s="83" t="str">
        <f>HYPERLINK("https://blogs.correiobraziliense.com.br/vicente/voce-tem-que-colocar-o-pais-em-recessao-para-recuperar-a-credibilidade-diz-campos-neto/")</f>
        <v>https://blogs.correiobraziliense.com.br/vicente/voce-tem-que-colocar-o-pais-em-recessao-para-recuperar-a-credibilidade-diz-campos-neto/</v>
      </c>
      <c r="Y3883" s="77" t="s">
        <v>8611</v>
      </c>
      <c r="Z3883" s="77"/>
      <c r="AA3883" s="77"/>
      <c r="AB3883" s="77"/>
      <c r="AC3883" s="80" t="s">
        <v>10540</v>
      </c>
      <c r="AD3883" s="77" t="s">
        <v>10617</v>
      </c>
      <c r="AE3883" s="83" t="str">
        <f>HYPERLINK("https://twitter.com/willianrichardm/status/1672030227868909568")</f>
        <v>https://twitter.com/willianrichardm/status/1672030227868909568</v>
      </c>
      <c r="AF3883" s="79">
        <v>45099.995891203704</v>
      </c>
      <c r="AG3883" s="85">
        <v>45099</v>
      </c>
      <c r="AH3883" s="80" t="s">
        <v>13987</v>
      </c>
      <c r="AI3883" s="77" t="b">
        <v>0</v>
      </c>
      <c r="AJ3883" s="77" t="s">
        <v>14374</v>
      </c>
      <c r="AK3883" s="77" t="s">
        <v>14382</v>
      </c>
      <c r="AL3883" s="77" t="s">
        <v>14391</v>
      </c>
      <c r="AM3883" s="77" t="s">
        <v>14431</v>
      </c>
      <c r="AN3883" s="77" t="s">
        <v>14471</v>
      </c>
      <c r="AO3883" s="77" t="s">
        <v>14510</v>
      </c>
      <c r="AP3883" s="77" t="s">
        <v>14516</v>
      </c>
      <c r="AQ3883" s="77"/>
      <c r="AR3883" s="77"/>
      <c r="AS3883" s="77"/>
      <c r="AT3883" s="77"/>
      <c r="AU3883" s="77"/>
      <c r="AV3883" s="83" t="str">
        <f>HYPERLINK("https://pbs.twimg.com/profile_images/1685373547848314880/MNmf4bHt_normal.jpg")</f>
        <v>https://pbs.twimg.com/profile_images/1685373547848314880/MNmf4bHt_normal.jpg</v>
      </c>
      <c r="AW3883" s="80" t="s">
        <v>19560</v>
      </c>
      <c r="AX3883" s="80" t="s">
        <v>19560</v>
      </c>
      <c r="AY3883" s="77"/>
      <c r="AZ3883" s="80" t="s">
        <v>20380</v>
      </c>
      <c r="BA3883" s="80" t="s">
        <v>20380</v>
      </c>
      <c r="BB3883" s="80" t="s">
        <v>20380</v>
      </c>
      <c r="BC3883" s="80" t="s">
        <v>19560</v>
      </c>
      <c r="BD3883" s="77">
        <v>2377025545</v>
      </c>
      <c r="BE3883" s="77"/>
      <c r="BF3883" s="77"/>
      <c r="BG3883" s="77"/>
      <c r="BH3883" s="77"/>
      <c r="BI3883" s="77"/>
    </row>
    <row r="3884" spans="1:61" x14ac:dyDescent="0.25">
      <c r="A3884" s="62" t="s">
        <v>1555</v>
      </c>
      <c r="B3884" s="62" t="s">
        <v>1555</v>
      </c>
      <c r="C3884" s="63"/>
      <c r="D3884" s="64"/>
      <c r="E3884" s="65"/>
      <c r="F3884" s="66"/>
      <c r="G3884" s="63"/>
      <c r="H3884" s="67"/>
      <c r="I3884" s="68"/>
      <c r="J3884" s="68"/>
      <c r="K3884" s="32"/>
      <c r="L3884" s="75">
        <v>3884</v>
      </c>
      <c r="M3884" s="75"/>
      <c r="N3884" s="70"/>
      <c r="O3884" s="77" t="s">
        <v>179</v>
      </c>
      <c r="P3884" s="79">
        <v>45153.632291666669</v>
      </c>
      <c r="Q3884" s="77" t="s">
        <v>5501</v>
      </c>
      <c r="R3884" s="77">
        <v>0</v>
      </c>
      <c r="S3884" s="77">
        <v>0</v>
      </c>
      <c r="T3884" s="77">
        <v>0</v>
      </c>
      <c r="U3884" s="77">
        <v>0</v>
      </c>
      <c r="V3884" s="77">
        <v>32</v>
      </c>
      <c r="W3884" s="80" t="s">
        <v>8324</v>
      </c>
      <c r="X3884" s="77"/>
      <c r="Y3884" s="77"/>
      <c r="Z3884" s="77"/>
      <c r="AA3884" s="77" t="s">
        <v>10329</v>
      </c>
      <c r="AB3884" s="77" t="s">
        <v>10535</v>
      </c>
      <c r="AC3884" s="80" t="s">
        <v>10541</v>
      </c>
      <c r="AD3884" s="77" t="s">
        <v>10622</v>
      </c>
      <c r="AE3884" s="83" t="str">
        <f>HYPERLINK("https://twitter.com/sudh16979md/status/1691467405745377280")</f>
        <v>https://twitter.com/sudh16979md/status/1691467405745377280</v>
      </c>
      <c r="AF3884" s="79">
        <v>45153.632291666669</v>
      </c>
      <c r="AG3884" s="85">
        <v>45153</v>
      </c>
      <c r="AH3884" s="80" t="s">
        <v>13988</v>
      </c>
      <c r="AI3884" s="77" t="b">
        <v>0</v>
      </c>
      <c r="AJ3884" s="77"/>
      <c r="AK3884" s="77"/>
      <c r="AL3884" s="77"/>
      <c r="AM3884" s="77"/>
      <c r="AN3884" s="77"/>
      <c r="AO3884" s="77"/>
      <c r="AP3884" s="77"/>
      <c r="AQ3884" s="77" t="s">
        <v>15808</v>
      </c>
      <c r="AR3884" s="77"/>
      <c r="AS3884" s="77"/>
      <c r="AT3884" s="77"/>
      <c r="AU3884" s="77"/>
      <c r="AV3884" s="83" t="str">
        <f>HYPERLINK("https://pbs.twimg.com/media/F3lIL4fa8AAAqrb.jpg")</f>
        <v>https://pbs.twimg.com/media/F3lIL4fa8AAAqrb.jpg</v>
      </c>
      <c r="AW3884" s="80" t="s">
        <v>19561</v>
      </c>
      <c r="AX3884" s="80" t="s">
        <v>19561</v>
      </c>
      <c r="AY3884" s="77"/>
      <c r="AZ3884" s="80" t="s">
        <v>20380</v>
      </c>
      <c r="BA3884" s="80" t="s">
        <v>20380</v>
      </c>
      <c r="BB3884" s="80" t="s">
        <v>20380</v>
      </c>
      <c r="BC3884" s="80" t="s">
        <v>19561</v>
      </c>
      <c r="BD3884" s="80" t="s">
        <v>21144</v>
      </c>
      <c r="BE3884" s="77"/>
      <c r="BF3884" s="77"/>
      <c r="BG3884" s="77"/>
      <c r="BH3884" s="77"/>
      <c r="BI3884" s="77"/>
    </row>
    <row r="3885" spans="1:61" x14ac:dyDescent="0.25">
      <c r="A3885" s="62" t="s">
        <v>1556</v>
      </c>
      <c r="B3885" s="62" t="s">
        <v>1556</v>
      </c>
      <c r="C3885" s="63"/>
      <c r="D3885" s="64"/>
      <c r="E3885" s="65"/>
      <c r="F3885" s="66"/>
      <c r="G3885" s="63"/>
      <c r="H3885" s="67"/>
      <c r="I3885" s="68"/>
      <c r="J3885" s="68"/>
      <c r="K3885" s="32"/>
      <c r="L3885" s="75">
        <v>3885</v>
      </c>
      <c r="M3885" s="75"/>
      <c r="N3885" s="70"/>
      <c r="O3885" s="77" t="s">
        <v>179</v>
      </c>
      <c r="P3885" s="79">
        <v>45134.200798611113</v>
      </c>
      <c r="Q3885" s="77" t="s">
        <v>5502</v>
      </c>
      <c r="R3885" s="77">
        <v>0</v>
      </c>
      <c r="S3885" s="77">
        <v>0</v>
      </c>
      <c r="T3885" s="77">
        <v>0</v>
      </c>
      <c r="U3885" s="77">
        <v>0</v>
      </c>
      <c r="V3885" s="77">
        <v>19</v>
      </c>
      <c r="W3885" s="80" t="s">
        <v>8121</v>
      </c>
      <c r="X3885" s="77"/>
      <c r="Y3885" s="77"/>
      <c r="Z3885" s="77"/>
      <c r="AA3885" s="77"/>
      <c r="AB3885" s="77"/>
      <c r="AC3885" s="80" t="s">
        <v>10542</v>
      </c>
      <c r="AD3885" s="77" t="s">
        <v>10620</v>
      </c>
      <c r="AE3885" s="83" t="str">
        <f>HYPERLINK("https://twitter.com/vernanmesen/status/1684425671739674624")</f>
        <v>https://twitter.com/vernanmesen/status/1684425671739674624</v>
      </c>
      <c r="AF3885" s="79">
        <v>45134.200798611113</v>
      </c>
      <c r="AG3885" s="85">
        <v>45134</v>
      </c>
      <c r="AH3885" s="80" t="s">
        <v>13989</v>
      </c>
      <c r="AI3885" s="77"/>
      <c r="AJ3885" s="77"/>
      <c r="AK3885" s="77"/>
      <c r="AL3885" s="77"/>
      <c r="AM3885" s="77"/>
      <c r="AN3885" s="77"/>
      <c r="AO3885" s="77"/>
      <c r="AP3885" s="77"/>
      <c r="AQ3885" s="77"/>
      <c r="AR3885" s="77"/>
      <c r="AS3885" s="77"/>
      <c r="AT3885" s="77"/>
      <c r="AU3885" s="77"/>
      <c r="AV3885" s="83" t="str">
        <f>HYPERLINK("https://pbs.twimg.com/profile_images/1368789741852844034/T6zfOuWt_normal.jpg")</f>
        <v>https://pbs.twimg.com/profile_images/1368789741852844034/T6zfOuWt_normal.jpg</v>
      </c>
      <c r="AW3885" s="80" t="s">
        <v>19562</v>
      </c>
      <c r="AX3885" s="80" t="s">
        <v>19562</v>
      </c>
      <c r="AY3885" s="77"/>
      <c r="AZ3885" s="80" t="s">
        <v>20380</v>
      </c>
      <c r="BA3885" s="80" t="s">
        <v>20380</v>
      </c>
      <c r="BB3885" s="80" t="s">
        <v>20380</v>
      </c>
      <c r="BC3885" s="80" t="s">
        <v>19562</v>
      </c>
      <c r="BD3885" s="77">
        <v>75397511</v>
      </c>
      <c r="BE3885" s="77"/>
      <c r="BF3885" s="77"/>
      <c r="BG3885" s="77"/>
      <c r="BH3885" s="77"/>
      <c r="BI3885" s="77"/>
    </row>
    <row r="3886" spans="1:61" x14ac:dyDescent="0.25">
      <c r="A3886" s="62" t="s">
        <v>1557</v>
      </c>
      <c r="B3886" s="62" t="s">
        <v>828</v>
      </c>
      <c r="C3886" s="63"/>
      <c r="D3886" s="64"/>
      <c r="E3886" s="65"/>
      <c r="F3886" s="66"/>
      <c r="G3886" s="63"/>
      <c r="H3886" s="67"/>
      <c r="I3886" s="68"/>
      <c r="J3886" s="68"/>
      <c r="K3886" s="32"/>
      <c r="L3886" s="75">
        <v>3886</v>
      </c>
      <c r="M3886" s="75"/>
      <c r="N3886" s="70"/>
      <c r="O3886" s="77" t="s">
        <v>2082</v>
      </c>
      <c r="P3886" s="79">
        <v>45127.539942129632</v>
      </c>
      <c r="Q3886" s="77" t="s">
        <v>5503</v>
      </c>
      <c r="R3886" s="77">
        <v>0</v>
      </c>
      <c r="S3886" s="77">
        <v>0</v>
      </c>
      <c r="T3886" s="77">
        <v>0</v>
      </c>
      <c r="U3886" s="77">
        <v>0</v>
      </c>
      <c r="V3886" s="77">
        <v>7</v>
      </c>
      <c r="W3886" s="80" t="s">
        <v>8325</v>
      </c>
      <c r="X3886" s="77"/>
      <c r="Y3886" s="77"/>
      <c r="Z3886" s="77"/>
      <c r="AA3886" s="77"/>
      <c r="AB3886" s="77"/>
      <c r="AC3886" s="80" t="s">
        <v>10540</v>
      </c>
      <c r="AD3886" s="77" t="s">
        <v>10620</v>
      </c>
      <c r="AE3886" s="83" t="str">
        <f>HYPERLINK("https://twitter.com/bartoloboy3153/status/1682011856024784898")</f>
        <v>https://twitter.com/bartoloboy3153/status/1682011856024784898</v>
      </c>
      <c r="AF3886" s="79">
        <v>45127.539942129632</v>
      </c>
      <c r="AG3886" s="85">
        <v>45127</v>
      </c>
      <c r="AH3886" s="80" t="s">
        <v>13990</v>
      </c>
      <c r="AI3886" s="77"/>
      <c r="AJ3886" s="77"/>
      <c r="AK3886" s="77"/>
      <c r="AL3886" s="77"/>
      <c r="AM3886" s="77"/>
      <c r="AN3886" s="77"/>
      <c r="AO3886" s="77"/>
      <c r="AP3886" s="77"/>
      <c r="AQ3886" s="77"/>
      <c r="AR3886" s="77"/>
      <c r="AS3886" s="77"/>
      <c r="AT3886" s="77"/>
      <c r="AU3886" s="77"/>
      <c r="AV3886" s="83" t="str">
        <f>HYPERLINK("https://pbs.twimg.com/profile_images/1676625547416199169/yBjqT9LS_normal.jpg")</f>
        <v>https://pbs.twimg.com/profile_images/1676625547416199169/yBjqT9LS_normal.jpg</v>
      </c>
      <c r="AW3886" s="80" t="s">
        <v>19563</v>
      </c>
      <c r="AX3886" s="80" t="s">
        <v>19563</v>
      </c>
      <c r="AY3886" s="77"/>
      <c r="AZ3886" s="80" t="s">
        <v>20380</v>
      </c>
      <c r="BA3886" s="80" t="s">
        <v>17800</v>
      </c>
      <c r="BB3886" s="80" t="s">
        <v>20380</v>
      </c>
      <c r="BC3886" s="80" t="s">
        <v>17800</v>
      </c>
      <c r="BD3886" s="80" t="s">
        <v>21145</v>
      </c>
      <c r="BE3886" s="77"/>
      <c r="BF3886" s="77"/>
      <c r="BG3886" s="77"/>
      <c r="BH3886" s="77"/>
      <c r="BI3886" s="77"/>
    </row>
    <row r="3887" spans="1:61" x14ac:dyDescent="0.25">
      <c r="A3887" s="62" t="s">
        <v>1558</v>
      </c>
      <c r="B3887" s="62" t="s">
        <v>1558</v>
      </c>
      <c r="C3887" s="63"/>
      <c r="D3887" s="64"/>
      <c r="E3887" s="65"/>
      <c r="F3887" s="66"/>
      <c r="G3887" s="63"/>
      <c r="H3887" s="67"/>
      <c r="I3887" s="68"/>
      <c r="J3887" s="68"/>
      <c r="K3887" s="32"/>
      <c r="L3887" s="75">
        <v>3887</v>
      </c>
      <c r="M3887" s="75"/>
      <c r="N3887" s="70"/>
      <c r="O3887" s="77" t="s">
        <v>179</v>
      </c>
      <c r="P3887" s="79">
        <v>45072.014016203706</v>
      </c>
      <c r="Q3887" s="77" t="s">
        <v>5504</v>
      </c>
      <c r="R3887" s="77">
        <v>0</v>
      </c>
      <c r="S3887" s="77">
        <v>4</v>
      </c>
      <c r="T3887" s="77">
        <v>0</v>
      </c>
      <c r="U3887" s="77">
        <v>0</v>
      </c>
      <c r="V3887" s="77">
        <v>81</v>
      </c>
      <c r="W3887" s="80" t="s">
        <v>5884</v>
      </c>
      <c r="X3887" s="77"/>
      <c r="Y3887" s="77"/>
      <c r="Z3887" s="77"/>
      <c r="AA3887" s="77"/>
      <c r="AB3887" s="77"/>
      <c r="AC3887" s="80" t="s">
        <v>10540</v>
      </c>
      <c r="AD3887" s="77" t="s">
        <v>10620</v>
      </c>
      <c r="AE3887" s="83" t="str">
        <f>HYPERLINK("https://twitter.com/charliereebcl/status/1661889932858728449")</f>
        <v>https://twitter.com/charliereebcl/status/1661889932858728449</v>
      </c>
      <c r="AF3887" s="79">
        <v>45072.014016203706</v>
      </c>
      <c r="AG3887" s="85">
        <v>45072</v>
      </c>
      <c r="AH3887" s="80" t="s">
        <v>13991</v>
      </c>
      <c r="AI3887" s="77"/>
      <c r="AJ3887" s="77"/>
      <c r="AK3887" s="77"/>
      <c r="AL3887" s="77"/>
      <c r="AM3887" s="77"/>
      <c r="AN3887" s="77"/>
      <c r="AO3887" s="77"/>
      <c r="AP3887" s="77"/>
      <c r="AQ3887" s="77"/>
      <c r="AR3887" s="77"/>
      <c r="AS3887" s="77"/>
      <c r="AT3887" s="77"/>
      <c r="AU3887" s="77"/>
      <c r="AV3887" s="83" t="str">
        <f>HYPERLINK("https://pbs.twimg.com/profile_images/1422415431764221954/FP5tsbS9_normal.jpg")</f>
        <v>https://pbs.twimg.com/profile_images/1422415431764221954/FP5tsbS9_normal.jpg</v>
      </c>
      <c r="AW3887" s="80" t="s">
        <v>19564</v>
      </c>
      <c r="AX3887" s="80" t="s">
        <v>19564</v>
      </c>
      <c r="AY3887" s="77"/>
      <c r="AZ3887" s="80" t="s">
        <v>20380</v>
      </c>
      <c r="BA3887" s="80" t="s">
        <v>20380</v>
      </c>
      <c r="BB3887" s="80" t="s">
        <v>20380</v>
      </c>
      <c r="BC3887" s="80" t="s">
        <v>19564</v>
      </c>
      <c r="BD3887" s="80" t="s">
        <v>21146</v>
      </c>
      <c r="BE3887" s="77"/>
      <c r="BF3887" s="77"/>
      <c r="BG3887" s="77"/>
      <c r="BH3887" s="77"/>
      <c r="BI3887" s="77"/>
    </row>
    <row r="3888" spans="1:61" x14ac:dyDescent="0.25">
      <c r="A3888" s="62" t="s">
        <v>1559</v>
      </c>
      <c r="B3888" s="62" t="s">
        <v>1559</v>
      </c>
      <c r="C3888" s="63"/>
      <c r="D3888" s="64"/>
      <c r="E3888" s="65"/>
      <c r="F3888" s="66"/>
      <c r="G3888" s="63"/>
      <c r="H3888" s="67"/>
      <c r="I3888" s="68"/>
      <c r="J3888" s="68"/>
      <c r="K3888" s="32"/>
      <c r="L3888" s="75">
        <v>3888</v>
      </c>
      <c r="M3888" s="75"/>
      <c r="N3888" s="70"/>
      <c r="O3888" s="77" t="s">
        <v>179</v>
      </c>
      <c r="P3888" s="79">
        <v>45146.539571759262</v>
      </c>
      <c r="Q3888" s="77" t="s">
        <v>5505</v>
      </c>
      <c r="R3888" s="77">
        <v>12</v>
      </c>
      <c r="S3888" s="77">
        <v>82</v>
      </c>
      <c r="T3888" s="77">
        <v>2</v>
      </c>
      <c r="U3888" s="77">
        <v>1</v>
      </c>
      <c r="V3888" s="77">
        <v>1022</v>
      </c>
      <c r="W3888" s="80" t="s">
        <v>5884</v>
      </c>
      <c r="X3888" s="77"/>
      <c r="Y3888" s="77"/>
      <c r="Z3888" s="77"/>
      <c r="AA3888" s="77"/>
      <c r="AB3888" s="77"/>
      <c r="AC3888" s="80" t="s">
        <v>10542</v>
      </c>
      <c r="AD3888" s="77" t="s">
        <v>10617</v>
      </c>
      <c r="AE3888" s="83" t="str">
        <f>HYPERLINK("https://twitter.com/zeca_dirceu/status/1688897093350412289")</f>
        <v>https://twitter.com/zeca_dirceu/status/1688897093350412289</v>
      </c>
      <c r="AF3888" s="79">
        <v>45146.539571759262</v>
      </c>
      <c r="AG3888" s="85">
        <v>45146</v>
      </c>
      <c r="AH3888" s="80" t="s">
        <v>13992</v>
      </c>
      <c r="AI3888" s="77"/>
      <c r="AJ3888" s="77" t="s">
        <v>14354</v>
      </c>
      <c r="AK3888" s="77" t="s">
        <v>14382</v>
      </c>
      <c r="AL3888" s="77" t="s">
        <v>14391</v>
      </c>
      <c r="AM3888" s="77" t="s">
        <v>14411</v>
      </c>
      <c r="AN3888" s="77" t="s">
        <v>14451</v>
      </c>
      <c r="AO3888" s="77" t="s">
        <v>14490</v>
      </c>
      <c r="AP3888" s="77" t="s">
        <v>14516</v>
      </c>
      <c r="AQ3888" s="77"/>
      <c r="AR3888" s="77"/>
      <c r="AS3888" s="77"/>
      <c r="AT3888" s="77"/>
      <c r="AU3888" s="77"/>
      <c r="AV3888" s="83" t="str">
        <f>HYPERLINK("https://pbs.twimg.com/profile_images/1611349922753744896/BKsBDvFS_normal.jpg")</f>
        <v>https://pbs.twimg.com/profile_images/1611349922753744896/BKsBDvFS_normal.jpg</v>
      </c>
      <c r="AW3888" s="80" t="s">
        <v>19565</v>
      </c>
      <c r="AX3888" s="80" t="s">
        <v>19565</v>
      </c>
      <c r="AY3888" s="77"/>
      <c r="AZ3888" s="80" t="s">
        <v>20380</v>
      </c>
      <c r="BA3888" s="80" t="s">
        <v>20380</v>
      </c>
      <c r="BB3888" s="80" t="s">
        <v>20380</v>
      </c>
      <c r="BC3888" s="80" t="s">
        <v>19565</v>
      </c>
      <c r="BD3888" s="77">
        <v>47461491</v>
      </c>
      <c r="BE3888" s="77"/>
      <c r="BF3888" s="77"/>
      <c r="BG3888" s="77"/>
      <c r="BH3888" s="77"/>
      <c r="BI3888" s="77"/>
    </row>
    <row r="3889" spans="1:61" x14ac:dyDescent="0.25">
      <c r="A3889" s="62" t="s">
        <v>1560</v>
      </c>
      <c r="B3889" s="62" t="s">
        <v>1560</v>
      </c>
      <c r="C3889" s="63"/>
      <c r="D3889" s="64"/>
      <c r="E3889" s="65"/>
      <c r="F3889" s="66"/>
      <c r="G3889" s="63"/>
      <c r="H3889" s="67"/>
      <c r="I3889" s="68"/>
      <c r="J3889" s="68"/>
      <c r="K3889" s="32"/>
      <c r="L3889" s="75">
        <v>3889</v>
      </c>
      <c r="M3889" s="75"/>
      <c r="N3889" s="70"/>
      <c r="O3889" s="77" t="s">
        <v>2078</v>
      </c>
      <c r="P3889" s="79">
        <v>45089.857881944445</v>
      </c>
      <c r="Q3889" s="77" t="s">
        <v>5506</v>
      </c>
      <c r="R3889" s="77">
        <v>0</v>
      </c>
      <c r="S3889" s="77">
        <v>0</v>
      </c>
      <c r="T3889" s="77">
        <v>0</v>
      </c>
      <c r="U3889" s="77">
        <v>0</v>
      </c>
      <c r="V3889" s="77">
        <v>31</v>
      </c>
      <c r="W3889" s="80" t="s">
        <v>8326</v>
      </c>
      <c r="X3889" s="77"/>
      <c r="Y3889" s="77"/>
      <c r="Z3889" s="77"/>
      <c r="AA3889" s="77"/>
      <c r="AB3889" s="77"/>
      <c r="AC3889" s="80" t="s">
        <v>10540</v>
      </c>
      <c r="AD3889" s="77" t="s">
        <v>10617</v>
      </c>
      <c r="AE3889" s="83" t="str">
        <f>HYPERLINK("https://twitter.com/moisesselerges/status/1668356333903437831")</f>
        <v>https://twitter.com/moisesselerges/status/1668356333903437831</v>
      </c>
      <c r="AF3889" s="79">
        <v>45089.857881944445</v>
      </c>
      <c r="AG3889" s="85">
        <v>45089</v>
      </c>
      <c r="AH3889" s="80" t="s">
        <v>13993</v>
      </c>
      <c r="AI3889" s="77"/>
      <c r="AJ3889" s="77"/>
      <c r="AK3889" s="77"/>
      <c r="AL3889" s="77"/>
      <c r="AM3889" s="77"/>
      <c r="AN3889" s="77"/>
      <c r="AO3889" s="77"/>
      <c r="AP3889" s="77"/>
      <c r="AQ3889" s="77"/>
      <c r="AR3889" s="77"/>
      <c r="AS3889" s="77"/>
      <c r="AT3889" s="77"/>
      <c r="AU3889" s="77"/>
      <c r="AV3889" s="83" t="str">
        <f>HYPERLINK("https://pbs.twimg.com/profile_images/1491103741659041801/MIaBxOUJ_normal.jpg")</f>
        <v>https://pbs.twimg.com/profile_images/1491103741659041801/MIaBxOUJ_normal.jpg</v>
      </c>
      <c r="AW3889" s="80" t="s">
        <v>19566</v>
      </c>
      <c r="AX3889" s="80" t="s">
        <v>20188</v>
      </c>
      <c r="AY3889" s="80" t="s">
        <v>20370</v>
      </c>
      <c r="AZ3889" s="80" t="s">
        <v>20188</v>
      </c>
      <c r="BA3889" s="80" t="s">
        <v>20380</v>
      </c>
      <c r="BB3889" s="80" t="s">
        <v>20380</v>
      </c>
      <c r="BC3889" s="80" t="s">
        <v>20188</v>
      </c>
      <c r="BD3889" s="77">
        <v>1081998169</v>
      </c>
      <c r="BE3889" s="77"/>
      <c r="BF3889" s="77"/>
      <c r="BG3889" s="77"/>
      <c r="BH3889" s="77"/>
      <c r="BI3889" s="77"/>
    </row>
    <row r="3890" spans="1:61" x14ac:dyDescent="0.25">
      <c r="A3890" s="62" t="s">
        <v>1561</v>
      </c>
      <c r="B3890" s="62" t="s">
        <v>1561</v>
      </c>
      <c r="C3890" s="63"/>
      <c r="D3890" s="64"/>
      <c r="E3890" s="65"/>
      <c r="F3890" s="66"/>
      <c r="G3890" s="63"/>
      <c r="H3890" s="67"/>
      <c r="I3890" s="68"/>
      <c r="J3890" s="68"/>
      <c r="K3890" s="32"/>
      <c r="L3890" s="75">
        <v>3890</v>
      </c>
      <c r="M3890" s="75"/>
      <c r="N3890" s="70"/>
      <c r="O3890" s="77" t="s">
        <v>179</v>
      </c>
      <c r="P3890" s="79">
        <v>45101.990972222222</v>
      </c>
      <c r="Q3890" s="77" t="s">
        <v>5507</v>
      </c>
      <c r="R3890" s="77">
        <v>0</v>
      </c>
      <c r="S3890" s="77">
        <v>1</v>
      </c>
      <c r="T3890" s="77">
        <v>0</v>
      </c>
      <c r="U3890" s="77">
        <v>0</v>
      </c>
      <c r="V3890" s="77">
        <v>75</v>
      </c>
      <c r="W3890" s="80" t="s">
        <v>8327</v>
      </c>
      <c r="X3890" s="77"/>
      <c r="Y3890" s="77"/>
      <c r="Z3890" s="77"/>
      <c r="AA3890" s="77" t="s">
        <v>10330</v>
      </c>
      <c r="AB3890" s="77" t="s">
        <v>10534</v>
      </c>
      <c r="AC3890" s="80" t="s">
        <v>10540</v>
      </c>
      <c r="AD3890" s="77" t="s">
        <v>10617</v>
      </c>
      <c r="AE3890" s="83" t="str">
        <f>HYPERLINK("https://twitter.com/albinarabello/status/1672753220395970560")</f>
        <v>https://twitter.com/albinarabello/status/1672753220395970560</v>
      </c>
      <c r="AF3890" s="79">
        <v>45101.990972222222</v>
      </c>
      <c r="AG3890" s="85">
        <v>45101</v>
      </c>
      <c r="AH3890" s="80" t="s">
        <v>12815</v>
      </c>
      <c r="AI3890" s="77" t="b">
        <v>0</v>
      </c>
      <c r="AJ3890" s="77" t="s">
        <v>14375</v>
      </c>
      <c r="AK3890" s="77" t="s">
        <v>14382</v>
      </c>
      <c r="AL3890" s="77" t="s">
        <v>14391</v>
      </c>
      <c r="AM3890" s="77" t="s">
        <v>14432</v>
      </c>
      <c r="AN3890" s="77" t="s">
        <v>14472</v>
      </c>
      <c r="AO3890" s="77" t="s">
        <v>14511</v>
      </c>
      <c r="AP3890" s="77" t="s">
        <v>14516</v>
      </c>
      <c r="AQ3890" s="77" t="s">
        <v>15809</v>
      </c>
      <c r="AR3890" s="77">
        <v>9033</v>
      </c>
      <c r="AS3890" s="77"/>
      <c r="AT3890" s="77"/>
      <c r="AU3890" s="77"/>
      <c r="AV3890" s="83" t="str">
        <f>HYPERLINK("https://pbs.twimg.com/ext_tw_video_thumb/1672753203341934593/pu/img/mUuGTPs5G1DfdJ0U.jpg")</f>
        <v>https://pbs.twimg.com/ext_tw_video_thumb/1672753203341934593/pu/img/mUuGTPs5G1DfdJ0U.jpg</v>
      </c>
      <c r="AW3890" s="80" t="s">
        <v>19567</v>
      </c>
      <c r="AX3890" s="80" t="s">
        <v>19567</v>
      </c>
      <c r="AY3890" s="77"/>
      <c r="AZ3890" s="80" t="s">
        <v>20380</v>
      </c>
      <c r="BA3890" s="80" t="s">
        <v>20380</v>
      </c>
      <c r="BB3890" s="80" t="s">
        <v>20380</v>
      </c>
      <c r="BC3890" s="80" t="s">
        <v>19567</v>
      </c>
      <c r="BD3890" s="77">
        <v>420327640</v>
      </c>
      <c r="BE3890" s="77"/>
      <c r="BF3890" s="77"/>
      <c r="BG3890" s="77"/>
      <c r="BH3890" s="77"/>
      <c r="BI3890" s="77"/>
    </row>
    <row r="3891" spans="1:61" x14ac:dyDescent="0.25">
      <c r="A3891" s="62" t="s">
        <v>1562</v>
      </c>
      <c r="B3891" s="62" t="s">
        <v>1562</v>
      </c>
      <c r="C3891" s="63"/>
      <c r="D3891" s="64"/>
      <c r="E3891" s="65"/>
      <c r="F3891" s="66"/>
      <c r="G3891" s="63"/>
      <c r="H3891" s="67"/>
      <c r="I3891" s="68"/>
      <c r="J3891" s="68"/>
      <c r="K3891" s="32"/>
      <c r="L3891" s="75">
        <v>3891</v>
      </c>
      <c r="M3891" s="75"/>
      <c r="N3891" s="70"/>
      <c r="O3891" s="77" t="s">
        <v>179</v>
      </c>
      <c r="P3891" s="79">
        <v>45077.633611111109</v>
      </c>
      <c r="Q3891" s="77" t="s">
        <v>5508</v>
      </c>
      <c r="R3891" s="77">
        <v>0</v>
      </c>
      <c r="S3891" s="77">
        <v>0</v>
      </c>
      <c r="T3891" s="77">
        <v>0</v>
      </c>
      <c r="U3891" s="77">
        <v>0</v>
      </c>
      <c r="V3891" s="77">
        <v>7</v>
      </c>
      <c r="W3891" s="80" t="s">
        <v>5884</v>
      </c>
      <c r="X3891" s="83" t="str">
        <f>HYPERLINK("https://resumodaimprensa.com.br/brasileiros-usam-cada-vez-menos-dinheiro-em-especie-diz-bc/")</f>
        <v>https://resumodaimprensa.com.br/brasileiros-usam-cada-vez-menos-dinheiro-em-especie-diz-bc/</v>
      </c>
      <c r="Y3891" s="77" t="s">
        <v>8611</v>
      </c>
      <c r="Z3891" s="77"/>
      <c r="AA3891" s="77" t="s">
        <v>10331</v>
      </c>
      <c r="AB3891" s="77" t="s">
        <v>10535</v>
      </c>
      <c r="AC3891" s="80" t="s">
        <v>10546</v>
      </c>
      <c r="AD3891" s="77" t="s">
        <v>10617</v>
      </c>
      <c r="AE3891" s="83" t="str">
        <f>HYPERLINK("https://twitter.com/resumo_imprensa/status/1663926408182398978")</f>
        <v>https://twitter.com/resumo_imprensa/status/1663926408182398978</v>
      </c>
      <c r="AF3891" s="79">
        <v>45077.633611111109</v>
      </c>
      <c r="AG3891" s="85">
        <v>45077</v>
      </c>
      <c r="AH3891" s="80" t="s">
        <v>13994</v>
      </c>
      <c r="AI3891" s="77" t="b">
        <v>0</v>
      </c>
      <c r="AJ3891" s="77"/>
      <c r="AK3891" s="77"/>
      <c r="AL3891" s="77"/>
      <c r="AM3891" s="77"/>
      <c r="AN3891" s="77"/>
      <c r="AO3891" s="77"/>
      <c r="AP3891" s="77"/>
      <c r="AQ3891" s="77" t="s">
        <v>15810</v>
      </c>
      <c r="AR3891" s="77"/>
      <c r="AS3891" s="77"/>
      <c r="AT3891" s="77"/>
      <c r="AU3891" s="77"/>
      <c r="AV3891" s="83" t="str">
        <f>HYPERLINK("https://pbs.twimg.com/media/Fxd0P_6WIAMRctX.jpg")</f>
        <v>https://pbs.twimg.com/media/Fxd0P_6WIAMRctX.jpg</v>
      </c>
      <c r="AW3891" s="80" t="s">
        <v>19568</v>
      </c>
      <c r="AX3891" s="80" t="s">
        <v>19568</v>
      </c>
      <c r="AY3891" s="77"/>
      <c r="AZ3891" s="80" t="s">
        <v>20380</v>
      </c>
      <c r="BA3891" s="80" t="s">
        <v>20380</v>
      </c>
      <c r="BB3891" s="80" t="s">
        <v>20380</v>
      </c>
      <c r="BC3891" s="80" t="s">
        <v>19568</v>
      </c>
      <c r="BD3891" s="80" t="s">
        <v>21147</v>
      </c>
      <c r="BE3891" s="77"/>
      <c r="BF3891" s="77"/>
      <c r="BG3891" s="77"/>
      <c r="BH3891" s="77"/>
      <c r="BI3891" s="77"/>
    </row>
    <row r="3892" spans="1:61" x14ac:dyDescent="0.25">
      <c r="A3892" s="62" t="s">
        <v>1563</v>
      </c>
      <c r="B3892" s="62" t="s">
        <v>1563</v>
      </c>
      <c r="C3892" s="63"/>
      <c r="D3892" s="64"/>
      <c r="E3892" s="65"/>
      <c r="F3892" s="66"/>
      <c r="G3892" s="63"/>
      <c r="H3892" s="67"/>
      <c r="I3892" s="68"/>
      <c r="J3892" s="68"/>
      <c r="K3892" s="32"/>
      <c r="L3892" s="75">
        <v>3892</v>
      </c>
      <c r="M3892" s="75"/>
      <c r="N3892" s="70"/>
      <c r="O3892" s="77" t="s">
        <v>2081</v>
      </c>
      <c r="P3892" s="79">
        <v>45135.586087962962</v>
      </c>
      <c r="Q3892" s="77" t="s">
        <v>5509</v>
      </c>
      <c r="R3892" s="77">
        <v>0</v>
      </c>
      <c r="S3892" s="77">
        <v>2</v>
      </c>
      <c r="T3892" s="77">
        <v>0</v>
      </c>
      <c r="U3892" s="77">
        <v>0</v>
      </c>
      <c r="V3892" s="77">
        <v>71</v>
      </c>
      <c r="W3892" s="80" t="s">
        <v>8328</v>
      </c>
      <c r="X3892" s="83" t="str">
        <f>HYPERLINK("https://www.folhadocondomino.com.br/4m")</f>
        <v>https://www.folhadocondomino.com.br/4m</v>
      </c>
      <c r="Y3892" s="77" t="s">
        <v>8611</v>
      </c>
      <c r="Z3892" s="77" t="s">
        <v>1563</v>
      </c>
      <c r="AA3892" s="77" t="s">
        <v>10332</v>
      </c>
      <c r="AB3892" s="77" t="s">
        <v>10535</v>
      </c>
      <c r="AC3892" s="80" t="s">
        <v>10541</v>
      </c>
      <c r="AD3892" s="77" t="s">
        <v>10617</v>
      </c>
      <c r="AE3892" s="83" t="str">
        <f>HYPERLINK("https://twitter.com/folhacondominio/status/1684927684105678849")</f>
        <v>https://twitter.com/folhacondominio/status/1684927684105678849</v>
      </c>
      <c r="AF3892" s="79">
        <v>45135.586087962962</v>
      </c>
      <c r="AG3892" s="85">
        <v>45135</v>
      </c>
      <c r="AH3892" s="80" t="s">
        <v>13995</v>
      </c>
      <c r="AI3892" s="77" t="b">
        <v>0</v>
      </c>
      <c r="AJ3892" s="77"/>
      <c r="AK3892" s="77"/>
      <c r="AL3892" s="77"/>
      <c r="AM3892" s="77"/>
      <c r="AN3892" s="77"/>
      <c r="AO3892" s="77"/>
      <c r="AP3892" s="77"/>
      <c r="AQ3892" s="77" t="s">
        <v>15811</v>
      </c>
      <c r="AR3892" s="77"/>
      <c r="AS3892" s="77"/>
      <c r="AT3892" s="77"/>
      <c r="AU3892" s="77"/>
      <c r="AV3892" s="83" t="str">
        <f>HYPERLINK("https://pbs.twimg.com/media/F2IP6DhXYAAeUiH.jpg")</f>
        <v>https://pbs.twimg.com/media/F2IP6DhXYAAeUiH.jpg</v>
      </c>
      <c r="AW3892" s="80" t="s">
        <v>19569</v>
      </c>
      <c r="AX3892" s="80" t="s">
        <v>19569</v>
      </c>
      <c r="AY3892" s="77"/>
      <c r="AZ3892" s="80" t="s">
        <v>20380</v>
      </c>
      <c r="BA3892" s="80" t="s">
        <v>20380</v>
      </c>
      <c r="BB3892" s="80" t="s">
        <v>20380</v>
      </c>
      <c r="BC3892" s="80" t="s">
        <v>19569</v>
      </c>
      <c r="BD3892" s="77">
        <v>61920432</v>
      </c>
      <c r="BE3892" s="77"/>
      <c r="BF3892" s="77"/>
      <c r="BG3892" s="77"/>
      <c r="BH3892" s="77"/>
      <c r="BI3892" s="77"/>
    </row>
    <row r="3893" spans="1:61" x14ac:dyDescent="0.25">
      <c r="A3893" s="62" t="s">
        <v>1564</v>
      </c>
      <c r="B3893" s="62" t="s">
        <v>1563</v>
      </c>
      <c r="C3893" s="63"/>
      <c r="D3893" s="64"/>
      <c r="E3893" s="65"/>
      <c r="F3893" s="66"/>
      <c r="G3893" s="63"/>
      <c r="H3893" s="67"/>
      <c r="I3893" s="68"/>
      <c r="J3893" s="68"/>
      <c r="K3893" s="32"/>
      <c r="L3893" s="75">
        <v>3893</v>
      </c>
      <c r="M3893" s="75"/>
      <c r="N3893" s="70"/>
      <c r="O3893" s="77" t="s">
        <v>2081</v>
      </c>
      <c r="P3893" s="79">
        <v>45135.587951388887</v>
      </c>
      <c r="Q3893" s="77" t="s">
        <v>5510</v>
      </c>
      <c r="R3893" s="77">
        <v>0</v>
      </c>
      <c r="S3893" s="77">
        <v>2</v>
      </c>
      <c r="T3893" s="77">
        <v>0</v>
      </c>
      <c r="U3893" s="77">
        <v>0</v>
      </c>
      <c r="V3893" s="77">
        <v>39</v>
      </c>
      <c r="W3893" s="80" t="s">
        <v>8328</v>
      </c>
      <c r="X3893" s="83" t="str">
        <f>HYPERLINK("https://folhadocondomino.com.br/4m")</f>
        <v>https://folhadocondomino.com.br/4m</v>
      </c>
      <c r="Y3893" s="77" t="s">
        <v>8611</v>
      </c>
      <c r="Z3893" s="77" t="s">
        <v>1563</v>
      </c>
      <c r="AA3893" s="77" t="s">
        <v>10333</v>
      </c>
      <c r="AB3893" s="77" t="s">
        <v>10535</v>
      </c>
      <c r="AC3893" s="80" t="s">
        <v>10541</v>
      </c>
      <c r="AD3893" s="77" t="s">
        <v>10617</v>
      </c>
      <c r="AE3893" s="83" t="str">
        <f>HYPERLINK("https://twitter.com/iconemidias/status/1684928357643829248")</f>
        <v>https://twitter.com/iconemidias/status/1684928357643829248</v>
      </c>
      <c r="AF3893" s="79">
        <v>45135.587951388887</v>
      </c>
      <c r="AG3893" s="85">
        <v>45135</v>
      </c>
      <c r="AH3893" s="80" t="s">
        <v>13996</v>
      </c>
      <c r="AI3893" s="77" t="b">
        <v>0</v>
      </c>
      <c r="AJ3893" s="77"/>
      <c r="AK3893" s="77"/>
      <c r="AL3893" s="77"/>
      <c r="AM3893" s="77"/>
      <c r="AN3893" s="77"/>
      <c r="AO3893" s="77"/>
      <c r="AP3893" s="77"/>
      <c r="AQ3893" s="77" t="s">
        <v>15812</v>
      </c>
      <c r="AR3893" s="77"/>
      <c r="AS3893" s="77"/>
      <c r="AT3893" s="77"/>
      <c r="AU3893" s="77"/>
      <c r="AV3893" s="83" t="str">
        <f>HYPERLINK("https://pbs.twimg.com/media/F2IRM_nWcAAPwo5.jpg")</f>
        <v>https://pbs.twimg.com/media/F2IRM_nWcAAPwo5.jpg</v>
      </c>
      <c r="AW3893" s="80" t="s">
        <v>19570</v>
      </c>
      <c r="AX3893" s="80" t="s">
        <v>19570</v>
      </c>
      <c r="AY3893" s="77"/>
      <c r="AZ3893" s="80" t="s">
        <v>20380</v>
      </c>
      <c r="BA3893" s="80" t="s">
        <v>20380</v>
      </c>
      <c r="BB3893" s="80" t="s">
        <v>20380</v>
      </c>
      <c r="BC3893" s="80" t="s">
        <v>19570</v>
      </c>
      <c r="BD3893" s="77">
        <v>328710211</v>
      </c>
      <c r="BE3893" s="77"/>
      <c r="BF3893" s="77"/>
      <c r="BG3893" s="77"/>
      <c r="BH3893" s="77"/>
      <c r="BI3893" s="77"/>
    </row>
    <row r="3894" spans="1:61" x14ac:dyDescent="0.25">
      <c r="A3894" s="62" t="s">
        <v>1565</v>
      </c>
      <c r="B3894" s="62" t="s">
        <v>1565</v>
      </c>
      <c r="C3894" s="63"/>
      <c r="D3894" s="64"/>
      <c r="E3894" s="65"/>
      <c r="F3894" s="66"/>
      <c r="G3894" s="63"/>
      <c r="H3894" s="67"/>
      <c r="I3894" s="68"/>
      <c r="J3894" s="68"/>
      <c r="K3894" s="32"/>
      <c r="L3894" s="75">
        <v>3894</v>
      </c>
      <c r="M3894" s="75"/>
      <c r="N3894" s="70"/>
      <c r="O3894" s="77" t="s">
        <v>179</v>
      </c>
      <c r="P3894" s="79">
        <v>45146.708969907406</v>
      </c>
      <c r="Q3894" s="77" t="s">
        <v>5511</v>
      </c>
      <c r="R3894" s="77">
        <v>0</v>
      </c>
      <c r="S3894" s="77">
        <v>0</v>
      </c>
      <c r="T3894" s="77">
        <v>0</v>
      </c>
      <c r="U3894" s="77">
        <v>0</v>
      </c>
      <c r="V3894" s="77">
        <v>108</v>
      </c>
      <c r="W3894" s="80" t="s">
        <v>8329</v>
      </c>
      <c r="X3894" s="83" t="str">
        <f>HYPERLINK("https://www.diarinho.net/materia/645894")</f>
        <v>https://www.diarinho.net/materia/645894</v>
      </c>
      <c r="Y3894" s="77" t="s">
        <v>8874</v>
      </c>
      <c r="Z3894" s="77"/>
      <c r="AA3894" s="77"/>
      <c r="AB3894" s="77"/>
      <c r="AC3894" s="80" t="s">
        <v>10541</v>
      </c>
      <c r="AD3894" s="77" t="s">
        <v>10617</v>
      </c>
      <c r="AE3894" s="83" t="str">
        <f>HYPERLINK("https://twitter.com/diarinho/status/1688958481326387228")</f>
        <v>https://twitter.com/diarinho/status/1688958481326387228</v>
      </c>
      <c r="AF3894" s="79">
        <v>45146.708969907406</v>
      </c>
      <c r="AG3894" s="85">
        <v>45146</v>
      </c>
      <c r="AH3894" s="80" t="s">
        <v>13997</v>
      </c>
      <c r="AI3894" s="77" t="b">
        <v>1</v>
      </c>
      <c r="AJ3894" s="77"/>
      <c r="AK3894" s="77"/>
      <c r="AL3894" s="77"/>
      <c r="AM3894" s="77"/>
      <c r="AN3894" s="77"/>
      <c r="AO3894" s="77"/>
      <c r="AP3894" s="77"/>
      <c r="AQ3894" s="77"/>
      <c r="AR3894" s="77"/>
      <c r="AS3894" s="77"/>
      <c r="AT3894" s="77"/>
      <c r="AU3894" s="77"/>
      <c r="AV3894" s="83" t="str">
        <f>HYPERLINK("https://pbs.twimg.com/profile_images/804299616/dalmo-com-a-corneta_normal.jpg")</f>
        <v>https://pbs.twimg.com/profile_images/804299616/dalmo-com-a-corneta_normal.jpg</v>
      </c>
      <c r="AW3894" s="80" t="s">
        <v>19571</v>
      </c>
      <c r="AX3894" s="80" t="s">
        <v>19571</v>
      </c>
      <c r="AY3894" s="77"/>
      <c r="AZ3894" s="80" t="s">
        <v>20380</v>
      </c>
      <c r="BA3894" s="80" t="s">
        <v>20380</v>
      </c>
      <c r="BB3894" s="80" t="s">
        <v>20380</v>
      </c>
      <c r="BC3894" s="80" t="s">
        <v>19571</v>
      </c>
      <c r="BD3894" s="77">
        <v>17598409</v>
      </c>
      <c r="BE3894" s="77"/>
      <c r="BF3894" s="77"/>
      <c r="BG3894" s="77"/>
      <c r="BH3894" s="77"/>
      <c r="BI3894" s="77"/>
    </row>
    <row r="3895" spans="1:61" x14ac:dyDescent="0.25">
      <c r="A3895" s="62" t="s">
        <v>1566</v>
      </c>
      <c r="B3895" s="62" t="s">
        <v>1566</v>
      </c>
      <c r="C3895" s="63"/>
      <c r="D3895" s="64"/>
      <c r="E3895" s="65"/>
      <c r="F3895" s="66"/>
      <c r="G3895" s="63"/>
      <c r="H3895" s="67"/>
      <c r="I3895" s="68"/>
      <c r="J3895" s="68"/>
      <c r="K3895" s="32"/>
      <c r="L3895" s="75">
        <v>3895</v>
      </c>
      <c r="M3895" s="75"/>
      <c r="N3895" s="70"/>
      <c r="O3895" s="77" t="s">
        <v>179</v>
      </c>
      <c r="P3895" s="79">
        <v>45070.949490740742</v>
      </c>
      <c r="Q3895" s="77" t="s">
        <v>5512</v>
      </c>
      <c r="R3895" s="77">
        <v>0</v>
      </c>
      <c r="S3895" s="77">
        <v>0</v>
      </c>
      <c r="T3895" s="77">
        <v>0</v>
      </c>
      <c r="U3895" s="77">
        <v>0</v>
      </c>
      <c r="V3895" s="77">
        <v>517</v>
      </c>
      <c r="W3895" s="80" t="s">
        <v>8330</v>
      </c>
      <c r="X3895" s="77"/>
      <c r="Y3895" s="77"/>
      <c r="Z3895" s="77"/>
      <c r="AA3895" s="77" t="s">
        <v>10334</v>
      </c>
      <c r="AB3895" s="77" t="s">
        <v>10534</v>
      </c>
      <c r="AC3895" s="80" t="s">
        <v>10541</v>
      </c>
      <c r="AD3895" s="77" t="s">
        <v>10620</v>
      </c>
      <c r="AE3895" s="83" t="str">
        <f>HYPERLINK("https://twitter.com/rubiense2050/status/1661504162486517760")</f>
        <v>https://twitter.com/rubiense2050/status/1661504162486517760</v>
      </c>
      <c r="AF3895" s="79">
        <v>45070.949490740742</v>
      </c>
      <c r="AG3895" s="85">
        <v>45070</v>
      </c>
      <c r="AH3895" s="80" t="s">
        <v>13998</v>
      </c>
      <c r="AI3895" s="77" t="b">
        <v>0</v>
      </c>
      <c r="AJ3895" s="77"/>
      <c r="AK3895" s="77"/>
      <c r="AL3895" s="77"/>
      <c r="AM3895" s="77"/>
      <c r="AN3895" s="77"/>
      <c r="AO3895" s="77"/>
      <c r="AP3895" s="77"/>
      <c r="AQ3895" s="77" t="s">
        <v>15813</v>
      </c>
      <c r="AR3895" s="77">
        <v>77506</v>
      </c>
      <c r="AS3895" s="77"/>
      <c r="AT3895" s="77"/>
      <c r="AU3895" s="77"/>
      <c r="AV3895" s="83" t="str">
        <f>HYPERLINK("https://pbs.twimg.com/ext_tw_video_thumb/1661502507829407744/pu/img/d-gSPFW-d44I_YjX.jpg")</f>
        <v>https://pbs.twimg.com/ext_tw_video_thumb/1661502507829407744/pu/img/d-gSPFW-d44I_YjX.jpg</v>
      </c>
      <c r="AW3895" s="80" t="s">
        <v>19572</v>
      </c>
      <c r="AX3895" s="80" t="s">
        <v>19572</v>
      </c>
      <c r="AY3895" s="77"/>
      <c r="AZ3895" s="80" t="s">
        <v>20380</v>
      </c>
      <c r="BA3895" s="80" t="s">
        <v>20380</v>
      </c>
      <c r="BB3895" s="80" t="s">
        <v>20380</v>
      </c>
      <c r="BC3895" s="80" t="s">
        <v>19572</v>
      </c>
      <c r="BD3895" s="77">
        <v>226691205</v>
      </c>
      <c r="BE3895" s="77"/>
      <c r="BF3895" s="77"/>
      <c r="BG3895" s="77"/>
      <c r="BH3895" s="77"/>
      <c r="BI3895" s="77"/>
    </row>
    <row r="3896" spans="1:61" x14ac:dyDescent="0.25">
      <c r="A3896" s="62" t="s">
        <v>1567</v>
      </c>
      <c r="B3896" s="62" t="s">
        <v>1567</v>
      </c>
      <c r="C3896" s="63"/>
      <c r="D3896" s="64"/>
      <c r="E3896" s="65"/>
      <c r="F3896" s="66"/>
      <c r="G3896" s="63"/>
      <c r="H3896" s="67"/>
      <c r="I3896" s="68"/>
      <c r="J3896" s="68"/>
      <c r="K3896" s="32"/>
      <c r="L3896" s="75">
        <v>3896</v>
      </c>
      <c r="M3896" s="75"/>
      <c r="N3896" s="70"/>
      <c r="O3896" s="77" t="s">
        <v>2078</v>
      </c>
      <c r="P3896" s="79">
        <v>45099.649074074077</v>
      </c>
      <c r="Q3896" s="77" t="s">
        <v>5513</v>
      </c>
      <c r="R3896" s="77">
        <v>0</v>
      </c>
      <c r="S3896" s="77">
        <v>0</v>
      </c>
      <c r="T3896" s="77">
        <v>2</v>
      </c>
      <c r="U3896" s="77">
        <v>0</v>
      </c>
      <c r="V3896" s="77">
        <v>33</v>
      </c>
      <c r="W3896" s="80" t="s">
        <v>8331</v>
      </c>
      <c r="X3896" s="77"/>
      <c r="Y3896" s="77"/>
      <c r="Z3896" s="77"/>
      <c r="AA3896" s="77"/>
      <c r="AB3896" s="77"/>
      <c r="AC3896" s="80" t="s">
        <v>10541</v>
      </c>
      <c r="AD3896" s="77" t="s">
        <v>10620</v>
      </c>
      <c r="AE3896" s="83" t="str">
        <f>HYPERLINK("https://twitter.com/danielernag/status/1671904546086322177")</f>
        <v>https://twitter.com/danielernag/status/1671904546086322177</v>
      </c>
      <c r="AF3896" s="79">
        <v>45099.649074074077</v>
      </c>
      <c r="AG3896" s="85">
        <v>45099</v>
      </c>
      <c r="AH3896" s="80" t="s">
        <v>13999</v>
      </c>
      <c r="AI3896" s="77"/>
      <c r="AJ3896" s="77"/>
      <c r="AK3896" s="77"/>
      <c r="AL3896" s="77"/>
      <c r="AM3896" s="77"/>
      <c r="AN3896" s="77"/>
      <c r="AO3896" s="77"/>
      <c r="AP3896" s="77"/>
      <c r="AQ3896" s="77"/>
      <c r="AR3896" s="77"/>
      <c r="AS3896" s="77"/>
      <c r="AT3896" s="77"/>
      <c r="AU3896" s="77"/>
      <c r="AV3896" s="83" t="str">
        <f>HYPERLINK("https://pbs.twimg.com/profile_images/1474113161313894405/lQErSLg6_normal.jpg")</f>
        <v>https://pbs.twimg.com/profile_images/1474113161313894405/lQErSLg6_normal.jpg</v>
      </c>
      <c r="AW3896" s="80" t="s">
        <v>19573</v>
      </c>
      <c r="AX3896" s="80" t="s">
        <v>20189</v>
      </c>
      <c r="AY3896" s="80" t="s">
        <v>20371</v>
      </c>
      <c r="AZ3896" s="80" t="s">
        <v>20473</v>
      </c>
      <c r="BA3896" s="80" t="s">
        <v>20380</v>
      </c>
      <c r="BB3896" s="80" t="s">
        <v>20380</v>
      </c>
      <c r="BC3896" s="80" t="s">
        <v>20473</v>
      </c>
      <c r="BD3896" s="80" t="s">
        <v>20371</v>
      </c>
      <c r="BE3896" s="77"/>
      <c r="BF3896" s="77"/>
      <c r="BG3896" s="77"/>
      <c r="BH3896" s="77"/>
      <c r="BI3896" s="77"/>
    </row>
    <row r="3897" spans="1:61" x14ac:dyDescent="0.25">
      <c r="A3897" s="62" t="s">
        <v>1568</v>
      </c>
      <c r="B3897" s="62" t="s">
        <v>1810</v>
      </c>
      <c r="C3897" s="63"/>
      <c r="D3897" s="64"/>
      <c r="E3897" s="65"/>
      <c r="F3897" s="66"/>
      <c r="G3897" s="63"/>
      <c r="H3897" s="67"/>
      <c r="I3897" s="68"/>
      <c r="J3897" s="68"/>
      <c r="K3897" s="32"/>
      <c r="L3897" s="75">
        <v>3897</v>
      </c>
      <c r="M3897" s="75"/>
      <c r="N3897" s="70"/>
      <c r="O3897" s="77" t="s">
        <v>2081</v>
      </c>
      <c r="P3897" s="79">
        <v>45174.830578703702</v>
      </c>
      <c r="Q3897" s="77" t="s">
        <v>5514</v>
      </c>
      <c r="R3897" s="77">
        <v>0</v>
      </c>
      <c r="S3897" s="77">
        <v>2</v>
      </c>
      <c r="T3897" s="77">
        <v>0</v>
      </c>
      <c r="U3897" s="77">
        <v>0</v>
      </c>
      <c r="V3897" s="77">
        <v>166</v>
      </c>
      <c r="W3897" s="80" t="s">
        <v>5884</v>
      </c>
      <c r="X3897" s="77"/>
      <c r="Y3897" s="77"/>
      <c r="Z3897" s="77" t="s">
        <v>1810</v>
      </c>
      <c r="AA3897" s="77" t="s">
        <v>10335</v>
      </c>
      <c r="AB3897" s="77" t="s">
        <v>10534</v>
      </c>
      <c r="AC3897" s="80" t="s">
        <v>10541</v>
      </c>
      <c r="AD3897" s="77" t="s">
        <v>10620</v>
      </c>
      <c r="AE3897" s="83" t="str">
        <f>HYPERLINK("https://twitter.com/nomepisesar/status/1699149411320803527")</f>
        <v>https://twitter.com/nomepisesar/status/1699149411320803527</v>
      </c>
      <c r="AF3897" s="79">
        <v>45174.830578703702</v>
      </c>
      <c r="AG3897" s="85">
        <v>45174</v>
      </c>
      <c r="AH3897" s="80" t="s">
        <v>14000</v>
      </c>
      <c r="AI3897" s="77" t="b">
        <v>0</v>
      </c>
      <c r="AJ3897" s="77"/>
      <c r="AK3897" s="77"/>
      <c r="AL3897" s="77"/>
      <c r="AM3897" s="77"/>
      <c r="AN3897" s="77"/>
      <c r="AO3897" s="77"/>
      <c r="AP3897" s="77"/>
      <c r="AQ3897" s="77" t="s">
        <v>15814</v>
      </c>
      <c r="AR3897" s="77">
        <v>122066</v>
      </c>
      <c r="AS3897" s="77"/>
      <c r="AT3897" s="77"/>
      <c r="AU3897" s="77"/>
      <c r="AV3897" s="83" t="str">
        <f>HYPERLINK("https://pbs.twimg.com/ext_tw_video_thumb/1699149016053821440/pu/img/DZy8iblF_W5jD3sw.jpg")</f>
        <v>https://pbs.twimg.com/ext_tw_video_thumb/1699149016053821440/pu/img/DZy8iblF_W5jD3sw.jpg</v>
      </c>
      <c r="AW3897" s="80" t="s">
        <v>19574</v>
      </c>
      <c r="AX3897" s="80" t="s">
        <v>19574</v>
      </c>
      <c r="AY3897" s="77"/>
      <c r="AZ3897" s="80" t="s">
        <v>20380</v>
      </c>
      <c r="BA3897" s="80" t="s">
        <v>20380</v>
      </c>
      <c r="BB3897" s="80" t="s">
        <v>20380</v>
      </c>
      <c r="BC3897" s="80" t="s">
        <v>19574</v>
      </c>
      <c r="BD3897" s="80" t="s">
        <v>21148</v>
      </c>
      <c r="BE3897" s="77"/>
      <c r="BF3897" s="77"/>
      <c r="BG3897" s="77"/>
      <c r="BH3897" s="77"/>
      <c r="BI3897" s="77"/>
    </row>
    <row r="3898" spans="1:61" x14ac:dyDescent="0.25">
      <c r="A3898" s="62" t="s">
        <v>1569</v>
      </c>
      <c r="B3898" s="62" t="s">
        <v>1569</v>
      </c>
      <c r="C3898" s="63"/>
      <c r="D3898" s="64"/>
      <c r="E3898" s="65"/>
      <c r="F3898" s="66"/>
      <c r="G3898" s="63"/>
      <c r="H3898" s="67"/>
      <c r="I3898" s="68"/>
      <c r="J3898" s="68"/>
      <c r="K3898" s="32"/>
      <c r="L3898" s="75">
        <v>3898</v>
      </c>
      <c r="M3898" s="75"/>
      <c r="N3898" s="70"/>
      <c r="O3898" s="77" t="s">
        <v>179</v>
      </c>
      <c r="P3898" s="79">
        <v>45056.750497685185</v>
      </c>
      <c r="Q3898" s="77" t="s">
        <v>5515</v>
      </c>
      <c r="R3898" s="77">
        <v>0</v>
      </c>
      <c r="S3898" s="77">
        <v>0</v>
      </c>
      <c r="T3898" s="77">
        <v>0</v>
      </c>
      <c r="U3898" s="77">
        <v>0</v>
      </c>
      <c r="V3898" s="77">
        <v>34</v>
      </c>
      <c r="W3898" s="80" t="s">
        <v>8332</v>
      </c>
      <c r="X3898" s="83" t="str">
        <f>HYPERLINK("https://www.contadoragora.com.br/portal-de-noticias/economia/bancos-tiveram-um-lucro-de-r-139-bilhoes-em-2022-com-um-aumento-de-1-6")</f>
        <v>https://www.contadoragora.com.br/portal-de-noticias/economia/bancos-tiveram-um-lucro-de-r-139-bilhoes-em-2022-com-um-aumento-de-1-6</v>
      </c>
      <c r="Y3898" s="77" t="s">
        <v>8611</v>
      </c>
      <c r="Z3898" s="77"/>
      <c r="AA3898" s="77" t="s">
        <v>10336</v>
      </c>
      <c r="AB3898" s="77" t="s">
        <v>10535</v>
      </c>
      <c r="AC3898" s="80" t="s">
        <v>10550</v>
      </c>
      <c r="AD3898" s="77" t="s">
        <v>10617</v>
      </c>
      <c r="AE3898" s="83" t="str">
        <f>HYPERLINK("https://twitter.com/newscontador/status/1656358618688548870")</f>
        <v>https://twitter.com/newscontador/status/1656358618688548870</v>
      </c>
      <c r="AF3898" s="79">
        <v>45056.750497685185</v>
      </c>
      <c r="AG3898" s="85">
        <v>45056</v>
      </c>
      <c r="AH3898" s="80" t="s">
        <v>14001</v>
      </c>
      <c r="AI3898" s="77" t="b">
        <v>0</v>
      </c>
      <c r="AJ3898" s="77"/>
      <c r="AK3898" s="77"/>
      <c r="AL3898" s="77"/>
      <c r="AM3898" s="77"/>
      <c r="AN3898" s="77"/>
      <c r="AO3898" s="77"/>
      <c r="AP3898" s="77"/>
      <c r="AQ3898" s="77" t="s">
        <v>15815</v>
      </c>
      <c r="AR3898" s="77"/>
      <c r="AS3898" s="77"/>
      <c r="AT3898" s="77"/>
      <c r="AU3898" s="77"/>
      <c r="AV3898" s="83" t="str">
        <f>HYPERLINK("https://pbs.twimg.com/media/FvyRYsAWYAAuJzJ.jpg")</f>
        <v>https://pbs.twimg.com/media/FvyRYsAWYAAuJzJ.jpg</v>
      </c>
      <c r="AW3898" s="80" t="s">
        <v>19575</v>
      </c>
      <c r="AX3898" s="80" t="s">
        <v>19575</v>
      </c>
      <c r="AY3898" s="77"/>
      <c r="AZ3898" s="80" t="s">
        <v>20380</v>
      </c>
      <c r="BA3898" s="80" t="s">
        <v>20380</v>
      </c>
      <c r="BB3898" s="80" t="s">
        <v>20380</v>
      </c>
      <c r="BC3898" s="80" t="s">
        <v>19575</v>
      </c>
      <c r="BD3898" s="80" t="s">
        <v>21149</v>
      </c>
      <c r="BE3898" s="77"/>
      <c r="BF3898" s="77"/>
      <c r="BG3898" s="77"/>
      <c r="BH3898" s="77"/>
      <c r="BI3898" s="77"/>
    </row>
    <row r="3899" spans="1:61" x14ac:dyDescent="0.25">
      <c r="A3899" s="62" t="s">
        <v>1569</v>
      </c>
      <c r="B3899" s="62" t="s">
        <v>1569</v>
      </c>
      <c r="C3899" s="63"/>
      <c r="D3899" s="64"/>
      <c r="E3899" s="65"/>
      <c r="F3899" s="66"/>
      <c r="G3899" s="63"/>
      <c r="H3899" s="67"/>
      <c r="I3899" s="68"/>
      <c r="J3899" s="68"/>
      <c r="K3899" s="32"/>
      <c r="L3899" s="75">
        <v>3899</v>
      </c>
      <c r="M3899" s="75"/>
      <c r="N3899" s="70"/>
      <c r="O3899" s="77" t="s">
        <v>179</v>
      </c>
      <c r="P3899" s="79">
        <v>45078.523541666669</v>
      </c>
      <c r="Q3899" s="77" t="s">
        <v>5516</v>
      </c>
      <c r="R3899" s="77">
        <v>0</v>
      </c>
      <c r="S3899" s="77">
        <v>0</v>
      </c>
      <c r="T3899" s="77">
        <v>0</v>
      </c>
      <c r="U3899" s="77">
        <v>0</v>
      </c>
      <c r="V3899" s="77">
        <v>12</v>
      </c>
      <c r="W3899" s="80" t="s">
        <v>8333</v>
      </c>
      <c r="X3899" s="83" t="str">
        <f>HYPERLINK("http://www.contadoragora.com/portal-de-noticias/economia/de-acordo-com-o-banco-central-o-pix-registrou-um-crescimento-significativo-em-2022")</f>
        <v>http://www.contadoragora.com/portal-de-noticias/economia/de-acordo-com-o-banco-central-o-pix-registrou-um-crescimento-significativo-em-2022</v>
      </c>
      <c r="Y3899" s="77" t="s">
        <v>8875</v>
      </c>
      <c r="Z3899" s="77"/>
      <c r="AA3899" s="77" t="s">
        <v>10337</v>
      </c>
      <c r="AB3899" s="77" t="s">
        <v>10535</v>
      </c>
      <c r="AC3899" s="80" t="s">
        <v>10550</v>
      </c>
      <c r="AD3899" s="77" t="s">
        <v>10617</v>
      </c>
      <c r="AE3899" s="83" t="str">
        <f>HYPERLINK("https://twitter.com/newscontador/status/1664248908757835781")</f>
        <v>https://twitter.com/newscontador/status/1664248908757835781</v>
      </c>
      <c r="AF3899" s="79">
        <v>45078.523541666669</v>
      </c>
      <c r="AG3899" s="85">
        <v>45078</v>
      </c>
      <c r="AH3899" s="80" t="s">
        <v>14002</v>
      </c>
      <c r="AI3899" s="77" t="b">
        <v>0</v>
      </c>
      <c r="AJ3899" s="77"/>
      <c r="AK3899" s="77"/>
      <c r="AL3899" s="77"/>
      <c r="AM3899" s="77"/>
      <c r="AN3899" s="77"/>
      <c r="AO3899" s="77"/>
      <c r="AP3899" s="77"/>
      <c r="AQ3899" s="77" t="s">
        <v>15816</v>
      </c>
      <c r="AR3899" s="77"/>
      <c r="AS3899" s="77"/>
      <c r="AT3899" s="77"/>
      <c r="AU3899" s="77"/>
      <c r="AV3899" s="83" t="str">
        <f>HYPERLINK("https://pbs.twimg.com/media/FxiZkCsX0AAAeha.jpg")</f>
        <v>https://pbs.twimg.com/media/FxiZkCsX0AAAeha.jpg</v>
      </c>
      <c r="AW3899" s="80" t="s">
        <v>19576</v>
      </c>
      <c r="AX3899" s="80" t="s">
        <v>19576</v>
      </c>
      <c r="AY3899" s="77"/>
      <c r="AZ3899" s="80" t="s">
        <v>20380</v>
      </c>
      <c r="BA3899" s="80" t="s">
        <v>20380</v>
      </c>
      <c r="BB3899" s="80" t="s">
        <v>20380</v>
      </c>
      <c r="BC3899" s="80" t="s">
        <v>19576</v>
      </c>
      <c r="BD3899" s="80" t="s">
        <v>21149</v>
      </c>
      <c r="BE3899" s="77"/>
      <c r="BF3899" s="77"/>
      <c r="BG3899" s="77"/>
      <c r="BH3899" s="77"/>
      <c r="BI3899" s="77"/>
    </row>
    <row r="3900" spans="1:61" x14ac:dyDescent="0.25">
      <c r="A3900" s="62" t="s">
        <v>1569</v>
      </c>
      <c r="B3900" s="62" t="s">
        <v>1569</v>
      </c>
      <c r="C3900" s="63"/>
      <c r="D3900" s="64"/>
      <c r="E3900" s="65"/>
      <c r="F3900" s="66"/>
      <c r="G3900" s="63"/>
      <c r="H3900" s="67"/>
      <c r="I3900" s="68"/>
      <c r="J3900" s="68"/>
      <c r="K3900" s="32"/>
      <c r="L3900" s="75">
        <v>3900</v>
      </c>
      <c r="M3900" s="75"/>
      <c r="N3900" s="70"/>
      <c r="O3900" s="77" t="s">
        <v>179</v>
      </c>
      <c r="P3900" s="79">
        <v>45065.58394675926</v>
      </c>
      <c r="Q3900" s="77" t="s">
        <v>5517</v>
      </c>
      <c r="R3900" s="77">
        <v>0</v>
      </c>
      <c r="S3900" s="77">
        <v>0</v>
      </c>
      <c r="T3900" s="77">
        <v>0</v>
      </c>
      <c r="U3900" s="77">
        <v>0</v>
      </c>
      <c r="V3900" s="77">
        <v>15</v>
      </c>
      <c r="W3900" s="80" t="s">
        <v>8334</v>
      </c>
      <c r="X3900" s="83" t="str">
        <f>HYPERLINK("https://www.contadoragora.com/portal-de-noticias/economia/previa-do-pib-do-banco-central-indica-expansao-de-2-4-no-1-trimestre")</f>
        <v>https://www.contadoragora.com/portal-de-noticias/economia/previa-do-pib-do-banco-central-indica-expansao-de-2-4-no-1-trimestre</v>
      </c>
      <c r="Y3900" s="77" t="s">
        <v>8875</v>
      </c>
      <c r="Z3900" s="77"/>
      <c r="AA3900" s="77" t="s">
        <v>10338</v>
      </c>
      <c r="AB3900" s="77" t="s">
        <v>10535</v>
      </c>
      <c r="AC3900" s="80" t="s">
        <v>10550</v>
      </c>
      <c r="AD3900" s="77" t="s">
        <v>10617</v>
      </c>
      <c r="AE3900" s="83" t="str">
        <f>HYPERLINK("https://twitter.com/newscontador/status/1659559754291716096")</f>
        <v>https://twitter.com/newscontador/status/1659559754291716096</v>
      </c>
      <c r="AF3900" s="79">
        <v>45065.58394675926</v>
      </c>
      <c r="AG3900" s="85">
        <v>45065</v>
      </c>
      <c r="AH3900" s="80" t="s">
        <v>14003</v>
      </c>
      <c r="AI3900" s="77" t="b">
        <v>0</v>
      </c>
      <c r="AJ3900" s="77"/>
      <c r="AK3900" s="77"/>
      <c r="AL3900" s="77"/>
      <c r="AM3900" s="77"/>
      <c r="AN3900" s="77"/>
      <c r="AO3900" s="77"/>
      <c r="AP3900" s="77"/>
      <c r="AQ3900" s="77" t="s">
        <v>15817</v>
      </c>
      <c r="AR3900" s="77"/>
      <c r="AS3900" s="77"/>
      <c r="AT3900" s="77"/>
      <c r="AU3900" s="77"/>
      <c r="AV3900" s="83" t="str">
        <f>HYPERLINK("https://pbs.twimg.com/media/FwfwzQnWYAA8pi7.jpg")</f>
        <v>https://pbs.twimg.com/media/FwfwzQnWYAA8pi7.jpg</v>
      </c>
      <c r="AW3900" s="80" t="s">
        <v>19577</v>
      </c>
      <c r="AX3900" s="80" t="s">
        <v>19577</v>
      </c>
      <c r="AY3900" s="77"/>
      <c r="AZ3900" s="80" t="s">
        <v>20380</v>
      </c>
      <c r="BA3900" s="80" t="s">
        <v>20380</v>
      </c>
      <c r="BB3900" s="80" t="s">
        <v>20380</v>
      </c>
      <c r="BC3900" s="80" t="s">
        <v>19577</v>
      </c>
      <c r="BD3900" s="80" t="s">
        <v>21149</v>
      </c>
      <c r="BE3900" s="77"/>
      <c r="BF3900" s="77"/>
      <c r="BG3900" s="77"/>
      <c r="BH3900" s="77"/>
      <c r="BI3900" s="77"/>
    </row>
    <row r="3901" spans="1:61" x14ac:dyDescent="0.25">
      <c r="A3901" s="62" t="s">
        <v>1569</v>
      </c>
      <c r="B3901" s="62" t="s">
        <v>1569</v>
      </c>
      <c r="C3901" s="63"/>
      <c r="D3901" s="64"/>
      <c r="E3901" s="65"/>
      <c r="F3901" s="66"/>
      <c r="G3901" s="63"/>
      <c r="H3901" s="67"/>
      <c r="I3901" s="68"/>
      <c r="J3901" s="68"/>
      <c r="K3901" s="32"/>
      <c r="L3901" s="75">
        <v>3901</v>
      </c>
      <c r="M3901" s="75"/>
      <c r="N3901" s="70"/>
      <c r="O3901" s="77" t="s">
        <v>179</v>
      </c>
      <c r="P3901" s="79">
        <v>45062.587025462963</v>
      </c>
      <c r="Q3901" s="77" t="s">
        <v>5518</v>
      </c>
      <c r="R3901" s="77">
        <v>0</v>
      </c>
      <c r="S3901" s="77">
        <v>0</v>
      </c>
      <c r="T3901" s="77">
        <v>0</v>
      </c>
      <c r="U3901" s="77">
        <v>0</v>
      </c>
      <c r="V3901" s="77">
        <v>6</v>
      </c>
      <c r="W3901" s="80" t="s">
        <v>8335</v>
      </c>
      <c r="X3901" s="83" t="str">
        <f>HYPERLINK("https://www.contadoragora.com/portal-de-noticias/economia/maioria-dos-membros-da-diretoria-do-banco-central-so-sera-indicada-por-lula-em-2025")</f>
        <v>https://www.contadoragora.com/portal-de-noticias/economia/maioria-dos-membros-da-diretoria-do-banco-central-so-sera-indicada-por-lula-em-2025</v>
      </c>
      <c r="Y3901" s="77" t="s">
        <v>8875</v>
      </c>
      <c r="Z3901" s="77"/>
      <c r="AA3901" s="77" t="s">
        <v>10339</v>
      </c>
      <c r="AB3901" s="77" t="s">
        <v>10535</v>
      </c>
      <c r="AC3901" s="80" t="s">
        <v>10550</v>
      </c>
      <c r="AD3901" s="77" t="s">
        <v>10617</v>
      </c>
      <c r="AE3901" s="83" t="str">
        <f>HYPERLINK("https://twitter.com/newscontador/status/1658473709559234566")</f>
        <v>https://twitter.com/newscontador/status/1658473709559234566</v>
      </c>
      <c r="AF3901" s="79">
        <v>45062.587025462963</v>
      </c>
      <c r="AG3901" s="85">
        <v>45062</v>
      </c>
      <c r="AH3901" s="80" t="s">
        <v>14004</v>
      </c>
      <c r="AI3901" s="77" t="b">
        <v>0</v>
      </c>
      <c r="AJ3901" s="77"/>
      <c r="AK3901" s="77"/>
      <c r="AL3901" s="77"/>
      <c r="AM3901" s="77"/>
      <c r="AN3901" s="77"/>
      <c r="AO3901" s="77"/>
      <c r="AP3901" s="77"/>
      <c r="AQ3901" s="77" t="s">
        <v>15818</v>
      </c>
      <c r="AR3901" s="77"/>
      <c r="AS3901" s="77"/>
      <c r="AT3901" s="77"/>
      <c r="AU3901" s="77"/>
      <c r="AV3901" s="83" t="str">
        <f>HYPERLINK("https://pbs.twimg.com/media/FwQVDJiacAAoWOl.jpg")</f>
        <v>https://pbs.twimg.com/media/FwQVDJiacAAoWOl.jpg</v>
      </c>
      <c r="AW3901" s="80" t="s">
        <v>19578</v>
      </c>
      <c r="AX3901" s="80" t="s">
        <v>19578</v>
      </c>
      <c r="AY3901" s="77"/>
      <c r="AZ3901" s="80" t="s">
        <v>20380</v>
      </c>
      <c r="BA3901" s="80" t="s">
        <v>20380</v>
      </c>
      <c r="BB3901" s="80" t="s">
        <v>20380</v>
      </c>
      <c r="BC3901" s="80" t="s">
        <v>19578</v>
      </c>
      <c r="BD3901" s="80" t="s">
        <v>21149</v>
      </c>
      <c r="BE3901" s="77"/>
      <c r="BF3901" s="77"/>
      <c r="BG3901" s="77"/>
      <c r="BH3901" s="77"/>
      <c r="BI3901" s="77"/>
    </row>
    <row r="3902" spans="1:61" x14ac:dyDescent="0.25">
      <c r="A3902" s="62" t="s">
        <v>1570</v>
      </c>
      <c r="B3902" s="62" t="s">
        <v>1655</v>
      </c>
      <c r="C3902" s="63"/>
      <c r="D3902" s="64"/>
      <c r="E3902" s="65"/>
      <c r="F3902" s="66"/>
      <c r="G3902" s="63"/>
      <c r="H3902" s="67"/>
      <c r="I3902" s="68"/>
      <c r="J3902" s="68"/>
      <c r="K3902" s="32"/>
      <c r="L3902" s="75">
        <v>3902</v>
      </c>
      <c r="M3902" s="75"/>
      <c r="N3902" s="70"/>
      <c r="O3902" s="77" t="s">
        <v>2083</v>
      </c>
      <c r="P3902" s="79">
        <v>45191.01421296296</v>
      </c>
      <c r="Q3902" s="77" t="s">
        <v>2120</v>
      </c>
      <c r="R3902" s="77">
        <v>57</v>
      </c>
      <c r="S3902" s="77">
        <v>0</v>
      </c>
      <c r="T3902" s="77">
        <v>0</v>
      </c>
      <c r="U3902" s="77">
        <v>0</v>
      </c>
      <c r="V3902" s="77"/>
      <c r="W3902" s="80" t="s">
        <v>5917</v>
      </c>
      <c r="X3902" s="77"/>
      <c r="Y3902" s="77"/>
      <c r="Z3902" s="77" t="s">
        <v>1655</v>
      </c>
      <c r="AA3902" s="77"/>
      <c r="AB3902" s="77"/>
      <c r="AC3902" s="80" t="s">
        <v>10540</v>
      </c>
      <c r="AD3902" s="77" t="s">
        <v>10617</v>
      </c>
      <c r="AE3902" s="83" t="str">
        <f>HYPERLINK("https://twitter.com/marcosreisgonza/status/1705014159899799553")</f>
        <v>https://twitter.com/marcosreisgonza/status/1705014159899799553</v>
      </c>
      <c r="AF3902" s="79">
        <v>45191.01421296296</v>
      </c>
      <c r="AG3902" s="85">
        <v>45191</v>
      </c>
      <c r="AH3902" s="80" t="s">
        <v>14005</v>
      </c>
      <c r="AI3902" s="77"/>
      <c r="AJ3902" s="77"/>
      <c r="AK3902" s="77"/>
      <c r="AL3902" s="77"/>
      <c r="AM3902" s="77"/>
      <c r="AN3902" s="77"/>
      <c r="AO3902" s="77"/>
      <c r="AP3902" s="77"/>
      <c r="AQ3902" s="77"/>
      <c r="AR3902" s="77"/>
      <c r="AS3902" s="77"/>
      <c r="AT3902" s="77"/>
      <c r="AU3902" s="77"/>
      <c r="AV3902" s="83" t="str">
        <f>HYPERLINK("https://pbs.twimg.com/profile_images/1575437353946152961/iChaKBrk_normal.jpg")</f>
        <v>https://pbs.twimg.com/profile_images/1575437353946152961/iChaKBrk_normal.jpg</v>
      </c>
      <c r="AW3902" s="80" t="s">
        <v>19579</v>
      </c>
      <c r="AX3902" s="80" t="s">
        <v>19579</v>
      </c>
      <c r="AY3902" s="77"/>
      <c r="AZ3902" s="80" t="s">
        <v>20380</v>
      </c>
      <c r="BA3902" s="80" t="s">
        <v>20380</v>
      </c>
      <c r="BB3902" s="80" t="s">
        <v>19843</v>
      </c>
      <c r="BC3902" s="80" t="s">
        <v>19843</v>
      </c>
      <c r="BD3902" s="80" t="s">
        <v>21150</v>
      </c>
      <c r="BE3902" s="77"/>
      <c r="BF3902" s="77"/>
      <c r="BG3902" s="77"/>
      <c r="BH3902" s="77"/>
      <c r="BI3902" s="77"/>
    </row>
    <row r="3903" spans="1:61" x14ac:dyDescent="0.25">
      <c r="A3903" s="62" t="s">
        <v>1571</v>
      </c>
      <c r="B3903" s="62" t="s">
        <v>1571</v>
      </c>
      <c r="C3903" s="63"/>
      <c r="D3903" s="64"/>
      <c r="E3903" s="65"/>
      <c r="F3903" s="66"/>
      <c r="G3903" s="63"/>
      <c r="H3903" s="67"/>
      <c r="I3903" s="68"/>
      <c r="J3903" s="68"/>
      <c r="K3903" s="32"/>
      <c r="L3903" s="75">
        <v>3903</v>
      </c>
      <c r="M3903" s="75"/>
      <c r="N3903" s="70"/>
      <c r="O3903" s="77" t="s">
        <v>179</v>
      </c>
      <c r="P3903" s="79">
        <v>45152.625613425924</v>
      </c>
      <c r="Q3903" s="77" t="s">
        <v>5519</v>
      </c>
      <c r="R3903" s="77">
        <v>1</v>
      </c>
      <c r="S3903" s="77">
        <v>1</v>
      </c>
      <c r="T3903" s="77">
        <v>0</v>
      </c>
      <c r="U3903" s="77">
        <v>0</v>
      </c>
      <c r="V3903" s="77">
        <v>452</v>
      </c>
      <c r="W3903" s="80" t="s">
        <v>8336</v>
      </c>
      <c r="X3903" s="77"/>
      <c r="Y3903" s="77"/>
      <c r="Z3903" s="77"/>
      <c r="AA3903" s="77" t="s">
        <v>10340</v>
      </c>
      <c r="AB3903" s="77" t="s">
        <v>10535</v>
      </c>
      <c r="AC3903" s="80" t="s">
        <v>10541</v>
      </c>
      <c r="AD3903" s="77" t="s">
        <v>10620</v>
      </c>
      <c r="AE3903" s="83" t="str">
        <f>HYPERLINK("https://twitter.com/gotrader_x/status/1691102597569294336")</f>
        <v>https://twitter.com/gotrader_x/status/1691102597569294336</v>
      </c>
      <c r="AF3903" s="79">
        <v>45152.625613425924</v>
      </c>
      <c r="AG3903" s="85">
        <v>45152</v>
      </c>
      <c r="AH3903" s="80" t="s">
        <v>14006</v>
      </c>
      <c r="AI3903" s="77" t="b">
        <v>0</v>
      </c>
      <c r="AJ3903" s="77"/>
      <c r="AK3903" s="77"/>
      <c r="AL3903" s="77"/>
      <c r="AM3903" s="77"/>
      <c r="AN3903" s="77"/>
      <c r="AO3903" s="77"/>
      <c r="AP3903" s="77"/>
      <c r="AQ3903" s="77" t="s">
        <v>15819</v>
      </c>
      <c r="AR3903" s="77"/>
      <c r="AS3903" s="77"/>
      <c r="AT3903" s="77"/>
      <c r="AU3903" s="77"/>
      <c r="AV3903" s="83" t="str">
        <f>HYPERLINK("https://pbs.twimg.com/media/F3gAQwraYAEn9Hn.jpg")</f>
        <v>https://pbs.twimg.com/media/F3gAQwraYAEn9Hn.jpg</v>
      </c>
      <c r="AW3903" s="80" t="s">
        <v>19580</v>
      </c>
      <c r="AX3903" s="80" t="s">
        <v>19580</v>
      </c>
      <c r="AY3903" s="77"/>
      <c r="AZ3903" s="80" t="s">
        <v>20380</v>
      </c>
      <c r="BA3903" s="80" t="s">
        <v>20380</v>
      </c>
      <c r="BB3903" s="80" t="s">
        <v>20380</v>
      </c>
      <c r="BC3903" s="80" t="s">
        <v>19580</v>
      </c>
      <c r="BD3903" s="80" t="s">
        <v>21151</v>
      </c>
      <c r="BE3903" s="77"/>
      <c r="BF3903" s="77"/>
      <c r="BG3903" s="77"/>
      <c r="BH3903" s="77"/>
      <c r="BI3903" s="77"/>
    </row>
    <row r="3904" spans="1:61" x14ac:dyDescent="0.25">
      <c r="A3904" s="62" t="s">
        <v>1572</v>
      </c>
      <c r="B3904" s="62" t="s">
        <v>1572</v>
      </c>
      <c r="C3904" s="63"/>
      <c r="D3904" s="64"/>
      <c r="E3904" s="65"/>
      <c r="F3904" s="66"/>
      <c r="G3904" s="63"/>
      <c r="H3904" s="67"/>
      <c r="I3904" s="68"/>
      <c r="J3904" s="68"/>
      <c r="K3904" s="32"/>
      <c r="L3904" s="75">
        <v>3904</v>
      </c>
      <c r="M3904" s="75"/>
      <c r="N3904" s="70"/>
      <c r="O3904" s="77" t="s">
        <v>179</v>
      </c>
      <c r="P3904" s="79">
        <v>45104.417928240742</v>
      </c>
      <c r="Q3904" s="77" t="s">
        <v>5520</v>
      </c>
      <c r="R3904" s="77">
        <v>0</v>
      </c>
      <c r="S3904" s="77">
        <v>1</v>
      </c>
      <c r="T3904" s="77">
        <v>0</v>
      </c>
      <c r="U3904" s="77">
        <v>0</v>
      </c>
      <c r="V3904" s="77">
        <v>19</v>
      </c>
      <c r="W3904" s="80" t="s">
        <v>6022</v>
      </c>
      <c r="X3904" s="77"/>
      <c r="Y3904" s="77"/>
      <c r="Z3904" s="77"/>
      <c r="AA3904" s="77"/>
      <c r="AB3904" s="77"/>
      <c r="AC3904" s="80" t="s">
        <v>10540</v>
      </c>
      <c r="AD3904" s="77" t="s">
        <v>10617</v>
      </c>
      <c r="AE3904" s="83" t="str">
        <f>HYPERLINK("https://twitter.com/aurismartins/status/1673632718020571137")</f>
        <v>https://twitter.com/aurismartins/status/1673632718020571137</v>
      </c>
      <c r="AF3904" s="79">
        <v>45104.417928240742</v>
      </c>
      <c r="AG3904" s="85">
        <v>45104</v>
      </c>
      <c r="AH3904" s="80" t="s">
        <v>14007</v>
      </c>
      <c r="AI3904" s="77"/>
      <c r="AJ3904" s="77"/>
      <c r="AK3904" s="77"/>
      <c r="AL3904" s="77"/>
      <c r="AM3904" s="77"/>
      <c r="AN3904" s="77"/>
      <c r="AO3904" s="77"/>
      <c r="AP3904" s="77"/>
      <c r="AQ3904" s="77"/>
      <c r="AR3904" s="77"/>
      <c r="AS3904" s="77"/>
      <c r="AT3904" s="77"/>
      <c r="AU3904" s="77"/>
      <c r="AV3904" s="83" t="str">
        <f>HYPERLINK("https://pbs.twimg.com/profile_images/1669755905741664259/IRfnCMwP_normal.jpg")</f>
        <v>https://pbs.twimg.com/profile_images/1669755905741664259/IRfnCMwP_normal.jpg</v>
      </c>
      <c r="AW3904" s="80" t="s">
        <v>19581</v>
      </c>
      <c r="AX3904" s="80" t="s">
        <v>19581</v>
      </c>
      <c r="AY3904" s="77"/>
      <c r="AZ3904" s="80" t="s">
        <v>20380</v>
      </c>
      <c r="BA3904" s="80" t="s">
        <v>20380</v>
      </c>
      <c r="BB3904" s="80" t="s">
        <v>20380</v>
      </c>
      <c r="BC3904" s="80" t="s">
        <v>19581</v>
      </c>
      <c r="BD3904" s="80" t="s">
        <v>21152</v>
      </c>
      <c r="BE3904" s="77"/>
      <c r="BF3904" s="77"/>
      <c r="BG3904" s="77"/>
      <c r="BH3904" s="77"/>
      <c r="BI3904" s="77"/>
    </row>
    <row r="3905" spans="1:61" x14ac:dyDescent="0.25">
      <c r="A3905" s="62" t="s">
        <v>1573</v>
      </c>
      <c r="B3905" s="62" t="s">
        <v>1573</v>
      </c>
      <c r="C3905" s="63"/>
      <c r="D3905" s="64"/>
      <c r="E3905" s="65"/>
      <c r="F3905" s="66"/>
      <c r="G3905" s="63"/>
      <c r="H3905" s="67"/>
      <c r="I3905" s="68"/>
      <c r="J3905" s="68"/>
      <c r="K3905" s="32"/>
      <c r="L3905" s="75">
        <v>3905</v>
      </c>
      <c r="M3905" s="75"/>
      <c r="N3905" s="70"/>
      <c r="O3905" s="77" t="s">
        <v>179</v>
      </c>
      <c r="P3905" s="79">
        <v>45132.507303240738</v>
      </c>
      <c r="Q3905" s="77" t="s">
        <v>5521</v>
      </c>
      <c r="R3905" s="77">
        <v>0</v>
      </c>
      <c r="S3905" s="77">
        <v>0</v>
      </c>
      <c r="T3905" s="77">
        <v>0</v>
      </c>
      <c r="U3905" s="77">
        <v>0</v>
      </c>
      <c r="V3905" s="77">
        <v>25</v>
      </c>
      <c r="W3905" s="80" t="s">
        <v>8337</v>
      </c>
      <c r="X3905" s="83" t="str">
        <f>HYPERLINK("https://www.instagram.com/p/CvHqCrlOmCH/")</f>
        <v>https://www.instagram.com/p/CvHqCrlOmCH/</v>
      </c>
      <c r="Y3905" s="77" t="s">
        <v>8630</v>
      </c>
      <c r="Z3905" s="77"/>
      <c r="AA3905" s="77"/>
      <c r="AB3905" s="77"/>
      <c r="AC3905" s="80" t="s">
        <v>10541</v>
      </c>
      <c r="AD3905" s="77" t="s">
        <v>10617</v>
      </c>
      <c r="AE3905" s="83" t="str">
        <f>HYPERLINK("https://twitter.com/ditaduranews/status/1683811969646596096")</f>
        <v>https://twitter.com/ditaduranews/status/1683811969646596096</v>
      </c>
      <c r="AF3905" s="79">
        <v>45132.507303240738</v>
      </c>
      <c r="AG3905" s="85">
        <v>45132</v>
      </c>
      <c r="AH3905" s="80" t="s">
        <v>14008</v>
      </c>
      <c r="AI3905" s="77" t="b">
        <v>0</v>
      </c>
      <c r="AJ3905" s="77"/>
      <c r="AK3905" s="77"/>
      <c r="AL3905" s="77"/>
      <c r="AM3905" s="77"/>
      <c r="AN3905" s="77"/>
      <c r="AO3905" s="77"/>
      <c r="AP3905" s="77"/>
      <c r="AQ3905" s="77"/>
      <c r="AR3905" s="77"/>
      <c r="AS3905" s="77"/>
      <c r="AT3905" s="77"/>
      <c r="AU3905" s="77"/>
      <c r="AV3905" s="83" t="str">
        <f>HYPERLINK("https://pbs.twimg.com/profile_images/1676674215133564955/Z-hKfUqv_normal.jpg")</f>
        <v>https://pbs.twimg.com/profile_images/1676674215133564955/Z-hKfUqv_normal.jpg</v>
      </c>
      <c r="AW3905" s="80" t="s">
        <v>19582</v>
      </c>
      <c r="AX3905" s="80" t="s">
        <v>19582</v>
      </c>
      <c r="AY3905" s="77"/>
      <c r="AZ3905" s="80" t="s">
        <v>20380</v>
      </c>
      <c r="BA3905" s="80" t="s">
        <v>20380</v>
      </c>
      <c r="BB3905" s="80" t="s">
        <v>20380</v>
      </c>
      <c r="BC3905" s="80" t="s">
        <v>19582</v>
      </c>
      <c r="BD3905" s="80" t="s">
        <v>21153</v>
      </c>
      <c r="BE3905" s="77"/>
      <c r="BF3905" s="77"/>
      <c r="BG3905" s="77"/>
      <c r="BH3905" s="77"/>
      <c r="BI3905" s="77"/>
    </row>
    <row r="3906" spans="1:61" x14ac:dyDescent="0.25">
      <c r="A3906" s="62" t="s">
        <v>1574</v>
      </c>
      <c r="B3906" s="62" t="s">
        <v>1574</v>
      </c>
      <c r="C3906" s="63"/>
      <c r="D3906" s="64"/>
      <c r="E3906" s="65"/>
      <c r="F3906" s="66"/>
      <c r="G3906" s="63"/>
      <c r="H3906" s="67"/>
      <c r="I3906" s="68"/>
      <c r="J3906" s="68"/>
      <c r="K3906" s="32"/>
      <c r="L3906" s="75">
        <v>3906</v>
      </c>
      <c r="M3906" s="75"/>
      <c r="N3906" s="70"/>
      <c r="O3906" s="77" t="s">
        <v>179</v>
      </c>
      <c r="P3906" s="79">
        <v>45134.751481481479</v>
      </c>
      <c r="Q3906" s="77" t="s">
        <v>5522</v>
      </c>
      <c r="R3906" s="77">
        <v>1</v>
      </c>
      <c r="S3906" s="77">
        <v>2</v>
      </c>
      <c r="T3906" s="77">
        <v>0</v>
      </c>
      <c r="U3906" s="77">
        <v>0</v>
      </c>
      <c r="V3906" s="77">
        <v>53</v>
      </c>
      <c r="W3906" s="80" t="s">
        <v>5884</v>
      </c>
      <c r="X3906" s="77"/>
      <c r="Y3906" s="77"/>
      <c r="Z3906" s="77"/>
      <c r="AA3906" s="77" t="s">
        <v>10341</v>
      </c>
      <c r="AB3906" s="77" t="s">
        <v>10535</v>
      </c>
      <c r="AC3906" s="80" t="s">
        <v>10540</v>
      </c>
      <c r="AD3906" s="77" t="s">
        <v>10617</v>
      </c>
      <c r="AE3906" s="83" t="str">
        <f>HYPERLINK("https://twitter.com/direita_sergipe/status/1684625229224484865")</f>
        <v>https://twitter.com/direita_sergipe/status/1684625229224484865</v>
      </c>
      <c r="AF3906" s="79">
        <v>45134.751481481479</v>
      </c>
      <c r="AG3906" s="85">
        <v>45134</v>
      </c>
      <c r="AH3906" s="80" t="s">
        <v>14009</v>
      </c>
      <c r="AI3906" s="77" t="b">
        <v>0</v>
      </c>
      <c r="AJ3906" s="77"/>
      <c r="AK3906" s="77"/>
      <c r="AL3906" s="77"/>
      <c r="AM3906" s="77"/>
      <c r="AN3906" s="77"/>
      <c r="AO3906" s="77"/>
      <c r="AP3906" s="77"/>
      <c r="AQ3906" s="77" t="s">
        <v>15820</v>
      </c>
      <c r="AR3906" s="77"/>
      <c r="AS3906" s="77"/>
      <c r="AT3906" s="77"/>
      <c r="AU3906" s="77"/>
      <c r="AV3906" s="83" t="str">
        <f>HYPERLINK("https://pbs.twimg.com/media/F2D9spxWMAYUyJm.jpg")</f>
        <v>https://pbs.twimg.com/media/F2D9spxWMAYUyJm.jpg</v>
      </c>
      <c r="AW3906" s="80" t="s">
        <v>19583</v>
      </c>
      <c r="AX3906" s="80" t="s">
        <v>19583</v>
      </c>
      <c r="AY3906" s="77"/>
      <c r="AZ3906" s="80" t="s">
        <v>20380</v>
      </c>
      <c r="BA3906" s="80" t="s">
        <v>20380</v>
      </c>
      <c r="BB3906" s="80" t="s">
        <v>20380</v>
      </c>
      <c r="BC3906" s="80" t="s">
        <v>19583</v>
      </c>
      <c r="BD3906" s="80" t="s">
        <v>21154</v>
      </c>
      <c r="BE3906" s="77"/>
      <c r="BF3906" s="77"/>
      <c r="BG3906" s="77"/>
      <c r="BH3906" s="77"/>
      <c r="BI3906" s="77"/>
    </row>
    <row r="3907" spans="1:61" x14ac:dyDescent="0.25">
      <c r="A3907" s="62" t="s">
        <v>1575</v>
      </c>
      <c r="B3907" s="62" t="s">
        <v>1575</v>
      </c>
      <c r="C3907" s="63"/>
      <c r="D3907" s="64"/>
      <c r="E3907" s="65"/>
      <c r="F3907" s="66"/>
      <c r="G3907" s="63"/>
      <c r="H3907" s="67"/>
      <c r="I3907" s="68"/>
      <c r="J3907" s="68"/>
      <c r="K3907" s="32"/>
      <c r="L3907" s="75">
        <v>3907</v>
      </c>
      <c r="M3907" s="75"/>
      <c r="N3907" s="70"/>
      <c r="O3907" s="77" t="s">
        <v>179</v>
      </c>
      <c r="P3907" s="79">
        <v>45061.986747685187</v>
      </c>
      <c r="Q3907" s="77" t="s">
        <v>5523</v>
      </c>
      <c r="R3907" s="77">
        <v>0</v>
      </c>
      <c r="S3907" s="77">
        <v>0</v>
      </c>
      <c r="T3907" s="77">
        <v>0</v>
      </c>
      <c r="U3907" s="77">
        <v>0</v>
      </c>
      <c r="V3907" s="77">
        <v>31</v>
      </c>
      <c r="W3907" s="80" t="s">
        <v>8338</v>
      </c>
      <c r="X3907" s="83" t="str">
        <f>HYPERLINK("https://www.4semanas.com/plazo-fijo-asi-pagaran-los-bancos-con-la-nueva-tasa-del-97/?utm_source=ReviveOldPost&amp;utm_medium=social&amp;utm_campaign=ReviveOldPost")</f>
        <v>https://www.4semanas.com/plazo-fijo-asi-pagaran-los-bancos-con-la-nueva-tasa-del-97/?utm_source=ReviveOldPost&amp;utm_medium=social&amp;utm_campaign=ReviveOldPost</v>
      </c>
      <c r="Y3907" s="77" t="s">
        <v>8876</v>
      </c>
      <c r="Z3907" s="77"/>
      <c r="AA3907" s="77"/>
      <c r="AB3907" s="77"/>
      <c r="AC3907" s="80" t="s">
        <v>10586</v>
      </c>
      <c r="AD3907" s="77" t="s">
        <v>10620</v>
      </c>
      <c r="AE3907" s="83" t="str">
        <f>HYPERLINK("https://twitter.com/4semanasok/status/1658256175232688131")</f>
        <v>https://twitter.com/4semanasok/status/1658256175232688131</v>
      </c>
      <c r="AF3907" s="79">
        <v>45061.986747685187</v>
      </c>
      <c r="AG3907" s="85">
        <v>45061</v>
      </c>
      <c r="AH3907" s="80" t="s">
        <v>14010</v>
      </c>
      <c r="AI3907" s="77" t="b">
        <v>0</v>
      </c>
      <c r="AJ3907" s="77"/>
      <c r="AK3907" s="77"/>
      <c r="AL3907" s="77"/>
      <c r="AM3907" s="77"/>
      <c r="AN3907" s="77"/>
      <c r="AO3907" s="77"/>
      <c r="AP3907" s="77"/>
      <c r="AQ3907" s="77"/>
      <c r="AR3907" s="77"/>
      <c r="AS3907" s="77"/>
      <c r="AT3907" s="77"/>
      <c r="AU3907" s="77"/>
      <c r="AV3907" s="83" t="str">
        <f>HYPERLINK("https://pbs.twimg.com/profile_images/1167245626104537088/i8JqRlI9_normal.png")</f>
        <v>https://pbs.twimg.com/profile_images/1167245626104537088/i8JqRlI9_normal.png</v>
      </c>
      <c r="AW3907" s="80" t="s">
        <v>19584</v>
      </c>
      <c r="AX3907" s="80" t="s">
        <v>19584</v>
      </c>
      <c r="AY3907" s="77"/>
      <c r="AZ3907" s="80" t="s">
        <v>20380</v>
      </c>
      <c r="BA3907" s="80" t="s">
        <v>20380</v>
      </c>
      <c r="BB3907" s="80" t="s">
        <v>20380</v>
      </c>
      <c r="BC3907" s="80" t="s">
        <v>19584</v>
      </c>
      <c r="BD3907" s="77">
        <v>492725485</v>
      </c>
      <c r="BE3907" s="77"/>
      <c r="BF3907" s="77"/>
      <c r="BG3907" s="77"/>
      <c r="BH3907" s="77"/>
      <c r="BI3907" s="77"/>
    </row>
    <row r="3908" spans="1:61" x14ac:dyDescent="0.25">
      <c r="A3908" s="62" t="s">
        <v>1575</v>
      </c>
      <c r="B3908" s="62" t="s">
        <v>1575</v>
      </c>
      <c r="C3908" s="63"/>
      <c r="D3908" s="64"/>
      <c r="E3908" s="65"/>
      <c r="F3908" s="66"/>
      <c r="G3908" s="63"/>
      <c r="H3908" s="67"/>
      <c r="I3908" s="68"/>
      <c r="J3908" s="68"/>
      <c r="K3908" s="32"/>
      <c r="L3908" s="75">
        <v>3908</v>
      </c>
      <c r="M3908" s="75"/>
      <c r="N3908" s="70"/>
      <c r="O3908" s="77" t="s">
        <v>179</v>
      </c>
      <c r="P3908" s="79">
        <v>45078.953715277778</v>
      </c>
      <c r="Q3908" s="77" t="s">
        <v>5524</v>
      </c>
      <c r="R3908" s="77">
        <v>0</v>
      </c>
      <c r="S3908" s="77">
        <v>0</v>
      </c>
      <c r="T3908" s="77">
        <v>0</v>
      </c>
      <c r="U3908" s="77">
        <v>1</v>
      </c>
      <c r="V3908" s="77">
        <v>36</v>
      </c>
      <c r="W3908" s="80" t="s">
        <v>8339</v>
      </c>
      <c r="X3908" s="83" t="str">
        <f>HYPERLINK("https://www.4semanas.com/schiaretti-se-rebela-contra-el-bcra-que-impide-comprar-dolares-para-pagar-deudas/?utm_source=ReviveOldPost&amp;utm_medium=social&amp;utm_campaign=ReviveOldPost")</f>
        <v>https://www.4semanas.com/schiaretti-se-rebela-contra-el-bcra-que-impide-comprar-dolares-para-pagar-deudas/?utm_source=ReviveOldPost&amp;utm_medium=social&amp;utm_campaign=ReviveOldPost</v>
      </c>
      <c r="Y3908" s="77" t="s">
        <v>8876</v>
      </c>
      <c r="Z3908" s="77"/>
      <c r="AA3908" s="77"/>
      <c r="AB3908" s="77"/>
      <c r="AC3908" s="80" t="s">
        <v>10586</v>
      </c>
      <c r="AD3908" s="77" t="s">
        <v>10620</v>
      </c>
      <c r="AE3908" s="83" t="str">
        <f>HYPERLINK("https://twitter.com/4semanasok/status/1664404798873976833")</f>
        <v>https://twitter.com/4semanasok/status/1664404798873976833</v>
      </c>
      <c r="AF3908" s="79">
        <v>45078.953715277778</v>
      </c>
      <c r="AG3908" s="85">
        <v>45078</v>
      </c>
      <c r="AH3908" s="80" t="s">
        <v>14011</v>
      </c>
      <c r="AI3908" s="77" t="b">
        <v>0</v>
      </c>
      <c r="AJ3908" s="77"/>
      <c r="AK3908" s="77"/>
      <c r="AL3908" s="77"/>
      <c r="AM3908" s="77"/>
      <c r="AN3908" s="77"/>
      <c r="AO3908" s="77"/>
      <c r="AP3908" s="77"/>
      <c r="AQ3908" s="77"/>
      <c r="AR3908" s="77"/>
      <c r="AS3908" s="77"/>
      <c r="AT3908" s="77"/>
      <c r="AU3908" s="77"/>
      <c r="AV3908" s="83" t="str">
        <f>HYPERLINK("https://pbs.twimg.com/profile_images/1167245626104537088/i8JqRlI9_normal.png")</f>
        <v>https://pbs.twimg.com/profile_images/1167245626104537088/i8JqRlI9_normal.png</v>
      </c>
      <c r="AW3908" s="80" t="s">
        <v>19585</v>
      </c>
      <c r="AX3908" s="80" t="s">
        <v>19585</v>
      </c>
      <c r="AY3908" s="77"/>
      <c r="AZ3908" s="80" t="s">
        <v>20380</v>
      </c>
      <c r="BA3908" s="80" t="s">
        <v>20380</v>
      </c>
      <c r="BB3908" s="80" t="s">
        <v>20380</v>
      </c>
      <c r="BC3908" s="80" t="s">
        <v>19585</v>
      </c>
      <c r="BD3908" s="77">
        <v>492725485</v>
      </c>
      <c r="BE3908" s="77"/>
      <c r="BF3908" s="77"/>
      <c r="BG3908" s="77"/>
      <c r="BH3908" s="77"/>
      <c r="BI3908" s="77"/>
    </row>
    <row r="3909" spans="1:61" x14ac:dyDescent="0.25">
      <c r="A3909" s="62" t="s">
        <v>1575</v>
      </c>
      <c r="B3909" s="62" t="s">
        <v>1575</v>
      </c>
      <c r="C3909" s="63"/>
      <c r="D3909" s="64"/>
      <c r="E3909" s="65"/>
      <c r="F3909" s="66"/>
      <c r="G3909" s="63"/>
      <c r="H3909" s="67"/>
      <c r="I3909" s="68"/>
      <c r="J3909" s="68"/>
      <c r="K3909" s="32"/>
      <c r="L3909" s="75">
        <v>3909</v>
      </c>
      <c r="M3909" s="75"/>
      <c r="N3909" s="70"/>
      <c r="O3909" s="77" t="s">
        <v>179</v>
      </c>
      <c r="P3909" s="79">
        <v>45077.927337962959</v>
      </c>
      <c r="Q3909" s="77" t="s">
        <v>5525</v>
      </c>
      <c r="R3909" s="77">
        <v>1</v>
      </c>
      <c r="S3909" s="77">
        <v>0</v>
      </c>
      <c r="T3909" s="77">
        <v>0</v>
      </c>
      <c r="U3909" s="77">
        <v>0</v>
      </c>
      <c r="V3909" s="77">
        <v>28</v>
      </c>
      <c r="W3909" s="80" t="s">
        <v>8340</v>
      </c>
      <c r="X3909" s="83" t="str">
        <f>HYPERLINK("https://www.4semanas.com/dolar-soja-3-liquidacion-record-pero-no-llegaron-los-us9-000-millones-que-dijo-el-gobierno/?utm_source=ReviveOldPost&amp;utm_medium=social&amp;utm_campaign=ReviveOldPost")</f>
        <v>https://www.4semanas.com/dolar-soja-3-liquidacion-record-pero-no-llegaron-los-us9-000-millones-que-dijo-el-gobierno/?utm_source=ReviveOldPost&amp;utm_medium=social&amp;utm_campaign=ReviveOldPost</v>
      </c>
      <c r="Y3909" s="77" t="s">
        <v>8876</v>
      </c>
      <c r="Z3909" s="77"/>
      <c r="AA3909" s="77"/>
      <c r="AB3909" s="77"/>
      <c r="AC3909" s="80" t="s">
        <v>10586</v>
      </c>
      <c r="AD3909" s="77" t="s">
        <v>10620</v>
      </c>
      <c r="AE3909" s="83" t="str">
        <f>HYPERLINK("https://twitter.com/4semanasok/status/1664032849580654592")</f>
        <v>https://twitter.com/4semanasok/status/1664032849580654592</v>
      </c>
      <c r="AF3909" s="79">
        <v>45077.927337962959</v>
      </c>
      <c r="AG3909" s="85">
        <v>45077</v>
      </c>
      <c r="AH3909" s="80" t="s">
        <v>14012</v>
      </c>
      <c r="AI3909" s="77" t="b">
        <v>0</v>
      </c>
      <c r="AJ3909" s="77"/>
      <c r="AK3909" s="77"/>
      <c r="AL3909" s="77"/>
      <c r="AM3909" s="77"/>
      <c r="AN3909" s="77"/>
      <c r="AO3909" s="77"/>
      <c r="AP3909" s="77"/>
      <c r="AQ3909" s="77"/>
      <c r="AR3909" s="77"/>
      <c r="AS3909" s="77"/>
      <c r="AT3909" s="77"/>
      <c r="AU3909" s="77"/>
      <c r="AV3909" s="83" t="str">
        <f>HYPERLINK("https://pbs.twimg.com/profile_images/1167245626104537088/i8JqRlI9_normal.png")</f>
        <v>https://pbs.twimg.com/profile_images/1167245626104537088/i8JqRlI9_normal.png</v>
      </c>
      <c r="AW3909" s="80" t="s">
        <v>19586</v>
      </c>
      <c r="AX3909" s="80" t="s">
        <v>19586</v>
      </c>
      <c r="AY3909" s="77"/>
      <c r="AZ3909" s="80" t="s">
        <v>20380</v>
      </c>
      <c r="BA3909" s="80" t="s">
        <v>20380</v>
      </c>
      <c r="BB3909" s="80" t="s">
        <v>20380</v>
      </c>
      <c r="BC3909" s="80" t="s">
        <v>19586</v>
      </c>
      <c r="BD3909" s="77">
        <v>492725485</v>
      </c>
      <c r="BE3909" s="77"/>
      <c r="BF3909" s="77"/>
      <c r="BG3909" s="77"/>
      <c r="BH3909" s="77"/>
      <c r="BI3909" s="77"/>
    </row>
    <row r="3910" spans="1:61" x14ac:dyDescent="0.25">
      <c r="A3910" s="62" t="s">
        <v>1575</v>
      </c>
      <c r="B3910" s="62" t="s">
        <v>1575</v>
      </c>
      <c r="C3910" s="63"/>
      <c r="D3910" s="64"/>
      <c r="E3910" s="65"/>
      <c r="F3910" s="66"/>
      <c r="G3910" s="63"/>
      <c r="H3910" s="67"/>
      <c r="I3910" s="68"/>
      <c r="J3910" s="68"/>
      <c r="K3910" s="32"/>
      <c r="L3910" s="75">
        <v>3910</v>
      </c>
      <c r="M3910" s="75"/>
      <c r="N3910" s="70"/>
      <c r="O3910" s="77" t="s">
        <v>179</v>
      </c>
      <c r="P3910" s="79">
        <v>45162.964062500003</v>
      </c>
      <c r="Q3910" s="77" t="s">
        <v>5526</v>
      </c>
      <c r="R3910" s="77">
        <v>1</v>
      </c>
      <c r="S3910" s="77">
        <v>0</v>
      </c>
      <c r="T3910" s="77">
        <v>0</v>
      </c>
      <c r="U3910" s="77">
        <v>0</v>
      </c>
      <c r="V3910" s="77">
        <v>158</v>
      </c>
      <c r="W3910" s="80" t="s">
        <v>8341</v>
      </c>
      <c r="X3910" s="83" t="str">
        <f>HYPERLINK("https://www.4semanas.com/obligan-a-mercado-pago-y-otras-billeteras-virtuales-a-pagar-intereses-a-sus-clientes/")</f>
        <v>https://www.4semanas.com/obligan-a-mercado-pago-y-otras-billeteras-virtuales-a-pagar-intereses-a-sus-clientes/</v>
      </c>
      <c r="Y3910" s="77" t="s">
        <v>8876</v>
      </c>
      <c r="Z3910" s="77"/>
      <c r="AA3910" s="77"/>
      <c r="AB3910" s="77"/>
      <c r="AC3910" s="80" t="s">
        <v>10612</v>
      </c>
      <c r="AD3910" s="77" t="s">
        <v>10620</v>
      </c>
      <c r="AE3910" s="83" t="str">
        <f>HYPERLINK("https://twitter.com/4semanasok/status/1694849126297489648")</f>
        <v>https://twitter.com/4semanasok/status/1694849126297489648</v>
      </c>
      <c r="AF3910" s="79">
        <v>45162.964062500003</v>
      </c>
      <c r="AG3910" s="85">
        <v>45162</v>
      </c>
      <c r="AH3910" s="80" t="s">
        <v>14013</v>
      </c>
      <c r="AI3910" s="77" t="b">
        <v>0</v>
      </c>
      <c r="AJ3910" s="77"/>
      <c r="AK3910" s="77"/>
      <c r="AL3910" s="77"/>
      <c r="AM3910" s="77"/>
      <c r="AN3910" s="77"/>
      <c r="AO3910" s="77"/>
      <c r="AP3910" s="77"/>
      <c r="AQ3910" s="77"/>
      <c r="AR3910" s="77"/>
      <c r="AS3910" s="77"/>
      <c r="AT3910" s="77"/>
      <c r="AU3910" s="77"/>
      <c r="AV3910" s="83" t="str">
        <f>HYPERLINK("https://pbs.twimg.com/profile_images/1167245626104537088/i8JqRlI9_normal.png")</f>
        <v>https://pbs.twimg.com/profile_images/1167245626104537088/i8JqRlI9_normal.png</v>
      </c>
      <c r="AW3910" s="80" t="s">
        <v>19587</v>
      </c>
      <c r="AX3910" s="80" t="s">
        <v>19587</v>
      </c>
      <c r="AY3910" s="77"/>
      <c r="AZ3910" s="80" t="s">
        <v>20380</v>
      </c>
      <c r="BA3910" s="80" t="s">
        <v>20380</v>
      </c>
      <c r="BB3910" s="80" t="s">
        <v>20380</v>
      </c>
      <c r="BC3910" s="80" t="s">
        <v>19587</v>
      </c>
      <c r="BD3910" s="77">
        <v>492725485</v>
      </c>
      <c r="BE3910" s="77"/>
      <c r="BF3910" s="77"/>
      <c r="BG3910" s="77"/>
      <c r="BH3910" s="77"/>
      <c r="BI3910" s="77"/>
    </row>
    <row r="3911" spans="1:61" x14ac:dyDescent="0.25">
      <c r="A3911" s="62" t="s">
        <v>1575</v>
      </c>
      <c r="B3911" s="62" t="s">
        <v>1575</v>
      </c>
      <c r="C3911" s="63"/>
      <c r="D3911" s="64"/>
      <c r="E3911" s="65"/>
      <c r="F3911" s="66"/>
      <c r="G3911" s="63"/>
      <c r="H3911" s="67"/>
      <c r="I3911" s="68"/>
      <c r="J3911" s="68"/>
      <c r="K3911" s="32"/>
      <c r="L3911" s="75">
        <v>3911</v>
      </c>
      <c r="M3911" s="75"/>
      <c r="N3911" s="70"/>
      <c r="O3911" s="77" t="s">
        <v>179</v>
      </c>
      <c r="P3911" s="79">
        <v>45120.943136574075</v>
      </c>
      <c r="Q3911" s="77" t="s">
        <v>5527</v>
      </c>
      <c r="R3911" s="77">
        <v>2</v>
      </c>
      <c r="S3911" s="77">
        <v>2</v>
      </c>
      <c r="T3911" s="77">
        <v>0</v>
      </c>
      <c r="U3911" s="77">
        <v>1</v>
      </c>
      <c r="V3911" s="77">
        <v>261</v>
      </c>
      <c r="W3911" s="80" t="s">
        <v>8342</v>
      </c>
      <c r="X3911" s="83" t="str">
        <f>HYPERLINK("https://www.4semanas.com/imparable-suba-del-dolar-blue-a-512-y-ya-subio-166-en-el-ano/?utm_source=ReviveOldPost&amp;utm_medium=social&amp;utm_campaign=ReviveOldPost")</f>
        <v>https://www.4semanas.com/imparable-suba-del-dolar-blue-a-512-y-ya-subio-166-en-el-ano/?utm_source=ReviveOldPost&amp;utm_medium=social&amp;utm_campaign=ReviveOldPost</v>
      </c>
      <c r="Y3911" s="77" t="s">
        <v>8876</v>
      </c>
      <c r="Z3911" s="77"/>
      <c r="AA3911" s="77"/>
      <c r="AB3911" s="77"/>
      <c r="AC3911" s="80" t="s">
        <v>10586</v>
      </c>
      <c r="AD3911" s="77" t="s">
        <v>10620</v>
      </c>
      <c r="AE3911" s="83" t="str">
        <f>HYPERLINK("https://twitter.com/4semanasok/status/1679621255744442368")</f>
        <v>https://twitter.com/4semanasok/status/1679621255744442368</v>
      </c>
      <c r="AF3911" s="79">
        <v>45120.943136574075</v>
      </c>
      <c r="AG3911" s="85">
        <v>45120</v>
      </c>
      <c r="AH3911" s="80" t="s">
        <v>14014</v>
      </c>
      <c r="AI3911" s="77" t="b">
        <v>0</v>
      </c>
      <c r="AJ3911" s="77"/>
      <c r="AK3911" s="77"/>
      <c r="AL3911" s="77"/>
      <c r="AM3911" s="77"/>
      <c r="AN3911" s="77"/>
      <c r="AO3911" s="77"/>
      <c r="AP3911" s="77"/>
      <c r="AQ3911" s="77"/>
      <c r="AR3911" s="77"/>
      <c r="AS3911" s="77"/>
      <c r="AT3911" s="77"/>
      <c r="AU3911" s="77"/>
      <c r="AV3911" s="83" t="str">
        <f>HYPERLINK("https://pbs.twimg.com/profile_images/1167245626104537088/i8JqRlI9_normal.png")</f>
        <v>https://pbs.twimg.com/profile_images/1167245626104537088/i8JqRlI9_normal.png</v>
      </c>
      <c r="AW3911" s="80" t="s">
        <v>19588</v>
      </c>
      <c r="AX3911" s="80" t="s">
        <v>19588</v>
      </c>
      <c r="AY3911" s="77"/>
      <c r="AZ3911" s="80" t="s">
        <v>20380</v>
      </c>
      <c r="BA3911" s="80" t="s">
        <v>20380</v>
      </c>
      <c r="BB3911" s="80" t="s">
        <v>20380</v>
      </c>
      <c r="BC3911" s="80" t="s">
        <v>19588</v>
      </c>
      <c r="BD3911" s="77">
        <v>492725485</v>
      </c>
      <c r="BE3911" s="77"/>
      <c r="BF3911" s="77"/>
      <c r="BG3911" s="77"/>
      <c r="BH3911" s="77"/>
      <c r="BI3911" s="77"/>
    </row>
    <row r="3912" spans="1:61" x14ac:dyDescent="0.25">
      <c r="A3912" s="62" t="s">
        <v>1575</v>
      </c>
      <c r="B3912" s="62" t="s">
        <v>1575</v>
      </c>
      <c r="C3912" s="63"/>
      <c r="D3912" s="64"/>
      <c r="E3912" s="65"/>
      <c r="F3912" s="66"/>
      <c r="G3912" s="63"/>
      <c r="H3912" s="67"/>
      <c r="I3912" s="68"/>
      <c r="J3912" s="68"/>
      <c r="K3912" s="32"/>
      <c r="L3912" s="75">
        <v>3912</v>
      </c>
      <c r="M3912" s="75"/>
      <c r="N3912" s="70"/>
      <c r="O3912" s="77" t="s">
        <v>179</v>
      </c>
      <c r="P3912" s="79">
        <v>45106.980312500003</v>
      </c>
      <c r="Q3912" s="77" t="s">
        <v>5528</v>
      </c>
      <c r="R3912" s="77">
        <v>0</v>
      </c>
      <c r="S3912" s="77">
        <v>0</v>
      </c>
      <c r="T3912" s="77">
        <v>0</v>
      </c>
      <c r="U3912" s="77">
        <v>1</v>
      </c>
      <c r="V3912" s="77">
        <v>45</v>
      </c>
      <c r="W3912" s="80" t="s">
        <v>8343</v>
      </c>
      <c r="X3912" s="83" t="str">
        <f>HYPERLINK("https://www.4semanas.com/sin-dolarizacion-massa-empieza-la-yuanizacion-en-cuentas-bancarias-y-pago-al-fmi/?utm_source=ReviveOldPost&amp;utm_medium=social&amp;utm_campaign=ReviveOldPost")</f>
        <v>https://www.4semanas.com/sin-dolarizacion-massa-empieza-la-yuanizacion-en-cuentas-bancarias-y-pago-al-fmi/?utm_source=ReviveOldPost&amp;utm_medium=social&amp;utm_campaign=ReviveOldPost</v>
      </c>
      <c r="Y3912" s="77" t="s">
        <v>8876</v>
      </c>
      <c r="Z3912" s="77"/>
      <c r="AA3912" s="77"/>
      <c r="AB3912" s="77"/>
      <c r="AC3912" s="80" t="s">
        <v>10586</v>
      </c>
      <c r="AD3912" s="77" t="s">
        <v>10620</v>
      </c>
      <c r="AE3912" s="83" t="str">
        <f>HYPERLINK("https://twitter.com/4semanasok/status/1674561294442065923")</f>
        <v>https://twitter.com/4semanasok/status/1674561294442065923</v>
      </c>
      <c r="AF3912" s="79">
        <v>45106.980312500003</v>
      </c>
      <c r="AG3912" s="85">
        <v>45106</v>
      </c>
      <c r="AH3912" s="80" t="s">
        <v>14015</v>
      </c>
      <c r="AI3912" s="77" t="b">
        <v>0</v>
      </c>
      <c r="AJ3912" s="77"/>
      <c r="AK3912" s="77"/>
      <c r="AL3912" s="77"/>
      <c r="AM3912" s="77"/>
      <c r="AN3912" s="77"/>
      <c r="AO3912" s="77"/>
      <c r="AP3912" s="77"/>
      <c r="AQ3912" s="77"/>
      <c r="AR3912" s="77"/>
      <c r="AS3912" s="77"/>
      <c r="AT3912" s="77"/>
      <c r="AU3912" s="77"/>
      <c r="AV3912" s="83" t="str">
        <f>HYPERLINK("https://pbs.twimg.com/profile_images/1167245626104537088/i8JqRlI9_normal.png")</f>
        <v>https://pbs.twimg.com/profile_images/1167245626104537088/i8JqRlI9_normal.png</v>
      </c>
      <c r="AW3912" s="80" t="s">
        <v>19589</v>
      </c>
      <c r="AX3912" s="80" t="s">
        <v>19589</v>
      </c>
      <c r="AY3912" s="77"/>
      <c r="AZ3912" s="80" t="s">
        <v>20380</v>
      </c>
      <c r="BA3912" s="80" t="s">
        <v>20380</v>
      </c>
      <c r="BB3912" s="80" t="s">
        <v>20380</v>
      </c>
      <c r="BC3912" s="80" t="s">
        <v>19589</v>
      </c>
      <c r="BD3912" s="77">
        <v>492725485</v>
      </c>
      <c r="BE3912" s="77"/>
      <c r="BF3912" s="77"/>
      <c r="BG3912" s="77"/>
      <c r="BH3912" s="77"/>
      <c r="BI3912" s="77"/>
    </row>
    <row r="3913" spans="1:61" x14ac:dyDescent="0.25">
      <c r="A3913" s="62" t="s">
        <v>1575</v>
      </c>
      <c r="B3913" s="62" t="s">
        <v>1575</v>
      </c>
      <c r="C3913" s="63"/>
      <c r="D3913" s="64"/>
      <c r="E3913" s="65"/>
      <c r="F3913" s="66"/>
      <c r="G3913" s="63"/>
      <c r="H3913" s="67"/>
      <c r="I3913" s="68"/>
      <c r="J3913" s="68"/>
      <c r="K3913" s="32"/>
      <c r="L3913" s="75">
        <v>3913</v>
      </c>
      <c r="M3913" s="75"/>
      <c r="N3913" s="70"/>
      <c r="O3913" s="77" t="s">
        <v>179</v>
      </c>
      <c r="P3913" s="79">
        <v>45188.903935185182</v>
      </c>
      <c r="Q3913" s="77" t="s">
        <v>5529</v>
      </c>
      <c r="R3913" s="77">
        <v>1</v>
      </c>
      <c r="S3913" s="77">
        <v>0</v>
      </c>
      <c r="T3913" s="77">
        <v>0</v>
      </c>
      <c r="U3913" s="77">
        <v>0</v>
      </c>
      <c r="V3913" s="77">
        <v>32</v>
      </c>
      <c r="W3913" s="80" t="s">
        <v>7503</v>
      </c>
      <c r="X3913" s="83" t="str">
        <f>HYPERLINK("https://www.4semanas.com/nueva-escalada-del-dolar-blue-y-el-banco-central-compra-pero-no-alcanza/")</f>
        <v>https://www.4semanas.com/nueva-escalada-del-dolar-blue-y-el-banco-central-compra-pero-no-alcanza/</v>
      </c>
      <c r="Y3913" s="77" t="s">
        <v>8876</v>
      </c>
      <c r="Z3913" s="77"/>
      <c r="AA3913" s="77"/>
      <c r="AB3913" s="77"/>
      <c r="AC3913" s="80" t="s">
        <v>10612</v>
      </c>
      <c r="AD3913" s="77" t="s">
        <v>10620</v>
      </c>
      <c r="AE3913" s="83" t="str">
        <f>HYPERLINK("https://twitter.com/4semanasok/status/1704249422681346242")</f>
        <v>https://twitter.com/4semanasok/status/1704249422681346242</v>
      </c>
      <c r="AF3913" s="79">
        <v>45188.903935185182</v>
      </c>
      <c r="AG3913" s="85">
        <v>45188</v>
      </c>
      <c r="AH3913" s="80" t="s">
        <v>14016</v>
      </c>
      <c r="AI3913" s="77" t="b">
        <v>0</v>
      </c>
      <c r="AJ3913" s="77"/>
      <c r="AK3913" s="77"/>
      <c r="AL3913" s="77"/>
      <c r="AM3913" s="77"/>
      <c r="AN3913" s="77"/>
      <c r="AO3913" s="77"/>
      <c r="AP3913" s="77"/>
      <c r="AQ3913" s="77"/>
      <c r="AR3913" s="77"/>
      <c r="AS3913" s="77"/>
      <c r="AT3913" s="77"/>
      <c r="AU3913" s="77"/>
      <c r="AV3913" s="83" t="str">
        <f>HYPERLINK("https://pbs.twimg.com/profile_images/1167245626104537088/i8JqRlI9_normal.png")</f>
        <v>https://pbs.twimg.com/profile_images/1167245626104537088/i8JqRlI9_normal.png</v>
      </c>
      <c r="AW3913" s="80" t="s">
        <v>19590</v>
      </c>
      <c r="AX3913" s="80" t="s">
        <v>19590</v>
      </c>
      <c r="AY3913" s="77"/>
      <c r="AZ3913" s="80" t="s">
        <v>20380</v>
      </c>
      <c r="BA3913" s="80" t="s">
        <v>20380</v>
      </c>
      <c r="BB3913" s="80" t="s">
        <v>20380</v>
      </c>
      <c r="BC3913" s="80" t="s">
        <v>19590</v>
      </c>
      <c r="BD3913" s="77">
        <v>492725485</v>
      </c>
      <c r="BE3913" s="77"/>
      <c r="BF3913" s="77"/>
      <c r="BG3913" s="77"/>
      <c r="BH3913" s="77"/>
      <c r="BI3913" s="77"/>
    </row>
    <row r="3914" spans="1:61" x14ac:dyDescent="0.25">
      <c r="A3914" s="62" t="s">
        <v>1575</v>
      </c>
      <c r="B3914" s="62" t="s">
        <v>1575</v>
      </c>
      <c r="C3914" s="63"/>
      <c r="D3914" s="64"/>
      <c r="E3914" s="65"/>
      <c r="F3914" s="66"/>
      <c r="G3914" s="63"/>
      <c r="H3914" s="67"/>
      <c r="I3914" s="68"/>
      <c r="J3914" s="68"/>
      <c r="K3914" s="32"/>
      <c r="L3914" s="75">
        <v>3914</v>
      </c>
      <c r="M3914" s="75"/>
      <c r="N3914" s="70"/>
      <c r="O3914" s="77" t="s">
        <v>179</v>
      </c>
      <c r="P3914" s="79">
        <v>45083.984340277777</v>
      </c>
      <c r="Q3914" s="77" t="s">
        <v>5530</v>
      </c>
      <c r="R3914" s="77">
        <v>0</v>
      </c>
      <c r="S3914" s="77">
        <v>0</v>
      </c>
      <c r="T3914" s="77">
        <v>0</v>
      </c>
      <c r="U3914" s="77">
        <v>1</v>
      </c>
      <c r="V3914" s="77">
        <v>21</v>
      </c>
      <c r="W3914" s="80" t="s">
        <v>8344</v>
      </c>
      <c r="X3914" s="83" t="str">
        <f>HYPERLINK("https://www.4semanas.com/schiaretti-jaquea-a-jxc-y-al-bcra-que-debera-darle-dolares/?utm_source=ReviveOldPost&amp;utm_medium=social&amp;utm_campaign=ReviveOldPost")</f>
        <v>https://www.4semanas.com/schiaretti-jaquea-a-jxc-y-al-bcra-que-debera-darle-dolares/?utm_source=ReviveOldPost&amp;utm_medium=social&amp;utm_campaign=ReviveOldPost</v>
      </c>
      <c r="Y3914" s="77" t="s">
        <v>8876</v>
      </c>
      <c r="Z3914" s="77"/>
      <c r="AA3914" s="77"/>
      <c r="AB3914" s="77"/>
      <c r="AC3914" s="80" t="s">
        <v>10586</v>
      </c>
      <c r="AD3914" s="77" t="s">
        <v>10620</v>
      </c>
      <c r="AE3914" s="83" t="str">
        <f>HYPERLINK("https://twitter.com/4semanasok/status/1666227832995938305")</f>
        <v>https://twitter.com/4semanasok/status/1666227832995938305</v>
      </c>
      <c r="AF3914" s="79">
        <v>45083.984340277777</v>
      </c>
      <c r="AG3914" s="85">
        <v>45083</v>
      </c>
      <c r="AH3914" s="80" t="s">
        <v>14017</v>
      </c>
      <c r="AI3914" s="77" t="b">
        <v>0</v>
      </c>
      <c r="AJ3914" s="77"/>
      <c r="AK3914" s="77"/>
      <c r="AL3914" s="77"/>
      <c r="AM3914" s="77"/>
      <c r="AN3914" s="77"/>
      <c r="AO3914" s="77"/>
      <c r="AP3914" s="77"/>
      <c r="AQ3914" s="77"/>
      <c r="AR3914" s="77"/>
      <c r="AS3914" s="77"/>
      <c r="AT3914" s="77"/>
      <c r="AU3914" s="77"/>
      <c r="AV3914" s="83" t="str">
        <f>HYPERLINK("https://pbs.twimg.com/profile_images/1167245626104537088/i8JqRlI9_normal.png")</f>
        <v>https://pbs.twimg.com/profile_images/1167245626104537088/i8JqRlI9_normal.png</v>
      </c>
      <c r="AW3914" s="80" t="s">
        <v>19591</v>
      </c>
      <c r="AX3914" s="80" t="s">
        <v>19591</v>
      </c>
      <c r="AY3914" s="77"/>
      <c r="AZ3914" s="80" t="s">
        <v>20380</v>
      </c>
      <c r="BA3914" s="80" t="s">
        <v>20380</v>
      </c>
      <c r="BB3914" s="80" t="s">
        <v>20380</v>
      </c>
      <c r="BC3914" s="80" t="s">
        <v>19591</v>
      </c>
      <c r="BD3914" s="77">
        <v>492725485</v>
      </c>
      <c r="BE3914" s="77"/>
      <c r="BF3914" s="77"/>
      <c r="BG3914" s="77"/>
      <c r="BH3914" s="77"/>
      <c r="BI3914" s="77"/>
    </row>
    <row r="3915" spans="1:61" x14ac:dyDescent="0.25">
      <c r="A3915" s="62" t="s">
        <v>1575</v>
      </c>
      <c r="B3915" s="62" t="s">
        <v>1575</v>
      </c>
      <c r="C3915" s="63"/>
      <c r="D3915" s="64"/>
      <c r="E3915" s="65"/>
      <c r="F3915" s="66"/>
      <c r="G3915" s="63"/>
      <c r="H3915" s="67"/>
      <c r="I3915" s="68"/>
      <c r="J3915" s="68"/>
      <c r="K3915" s="32"/>
      <c r="L3915" s="75">
        <v>3915</v>
      </c>
      <c r="M3915" s="75"/>
      <c r="N3915" s="70"/>
      <c r="O3915" s="77" t="s">
        <v>179</v>
      </c>
      <c r="P3915" s="79">
        <v>45183.950925925928</v>
      </c>
      <c r="Q3915" s="77" t="s">
        <v>5531</v>
      </c>
      <c r="R3915" s="77">
        <v>1</v>
      </c>
      <c r="S3915" s="77">
        <v>0</v>
      </c>
      <c r="T3915" s="77">
        <v>0</v>
      </c>
      <c r="U3915" s="77">
        <v>0</v>
      </c>
      <c r="V3915" s="77">
        <v>26</v>
      </c>
      <c r="W3915" s="80" t="s">
        <v>8345</v>
      </c>
      <c r="X3915" s="83" t="str">
        <f>HYPERLINK("https://www.4semanas.com/el-central-dice-que-se-desacelero-la-inflacion-y-no-subira-las-tasas/")</f>
        <v>https://www.4semanas.com/el-central-dice-que-se-desacelero-la-inflacion-y-no-subira-las-tasas/</v>
      </c>
      <c r="Y3915" s="77" t="s">
        <v>8876</v>
      </c>
      <c r="Z3915" s="77"/>
      <c r="AA3915" s="77"/>
      <c r="AB3915" s="77"/>
      <c r="AC3915" s="80" t="s">
        <v>10612</v>
      </c>
      <c r="AD3915" s="77" t="s">
        <v>10620</v>
      </c>
      <c r="AE3915" s="83" t="str">
        <f>HYPERLINK("https://twitter.com/4semanasok/status/1702454513305591821")</f>
        <v>https://twitter.com/4semanasok/status/1702454513305591821</v>
      </c>
      <c r="AF3915" s="79">
        <v>45183.950925925928</v>
      </c>
      <c r="AG3915" s="85">
        <v>45183</v>
      </c>
      <c r="AH3915" s="80" t="s">
        <v>14018</v>
      </c>
      <c r="AI3915" s="77" t="b">
        <v>0</v>
      </c>
      <c r="AJ3915" s="77"/>
      <c r="AK3915" s="77"/>
      <c r="AL3915" s="77"/>
      <c r="AM3915" s="77"/>
      <c r="AN3915" s="77"/>
      <c r="AO3915" s="77"/>
      <c r="AP3915" s="77"/>
      <c r="AQ3915" s="77"/>
      <c r="AR3915" s="77"/>
      <c r="AS3915" s="77"/>
      <c r="AT3915" s="77"/>
      <c r="AU3915" s="77"/>
      <c r="AV3915" s="83" t="str">
        <f>HYPERLINK("https://pbs.twimg.com/profile_images/1167245626104537088/i8JqRlI9_normal.png")</f>
        <v>https://pbs.twimg.com/profile_images/1167245626104537088/i8JqRlI9_normal.png</v>
      </c>
      <c r="AW3915" s="80" t="s">
        <v>19592</v>
      </c>
      <c r="AX3915" s="80" t="s">
        <v>19592</v>
      </c>
      <c r="AY3915" s="77"/>
      <c r="AZ3915" s="80" t="s">
        <v>20380</v>
      </c>
      <c r="BA3915" s="80" t="s">
        <v>20380</v>
      </c>
      <c r="BB3915" s="80" t="s">
        <v>20380</v>
      </c>
      <c r="BC3915" s="80" t="s">
        <v>19592</v>
      </c>
      <c r="BD3915" s="77">
        <v>492725485</v>
      </c>
      <c r="BE3915" s="77"/>
      <c r="BF3915" s="77"/>
      <c r="BG3915" s="77"/>
      <c r="BH3915" s="77"/>
      <c r="BI3915" s="77"/>
    </row>
    <row r="3916" spans="1:61" x14ac:dyDescent="0.25">
      <c r="A3916" s="62" t="s">
        <v>1576</v>
      </c>
      <c r="B3916" s="62" t="s">
        <v>1655</v>
      </c>
      <c r="C3916" s="63"/>
      <c r="D3916" s="64"/>
      <c r="E3916" s="65"/>
      <c r="F3916" s="66"/>
      <c r="G3916" s="63"/>
      <c r="H3916" s="67"/>
      <c r="I3916" s="68"/>
      <c r="J3916" s="68"/>
      <c r="K3916" s="32"/>
      <c r="L3916" s="75">
        <v>3916</v>
      </c>
      <c r="M3916" s="75"/>
      <c r="N3916" s="70"/>
      <c r="O3916" s="77" t="s">
        <v>2083</v>
      </c>
      <c r="P3916" s="79">
        <v>45191.022256944445</v>
      </c>
      <c r="Q3916" s="77" t="s">
        <v>2120</v>
      </c>
      <c r="R3916" s="77">
        <v>57</v>
      </c>
      <c r="S3916" s="77">
        <v>0</v>
      </c>
      <c r="T3916" s="77">
        <v>0</v>
      </c>
      <c r="U3916" s="77">
        <v>0</v>
      </c>
      <c r="V3916" s="77"/>
      <c r="W3916" s="80" t="s">
        <v>5917</v>
      </c>
      <c r="X3916" s="77"/>
      <c r="Y3916" s="77"/>
      <c r="Z3916" s="77" t="s">
        <v>1655</v>
      </c>
      <c r="AA3916" s="77"/>
      <c r="AB3916" s="77"/>
      <c r="AC3916" s="80" t="s">
        <v>10540</v>
      </c>
      <c r="AD3916" s="77" t="s">
        <v>10617</v>
      </c>
      <c r="AE3916" s="83" t="str">
        <f>HYPERLINK("https://twitter.com/marizethyoshida/status/1705017077440938475")</f>
        <v>https://twitter.com/marizethyoshida/status/1705017077440938475</v>
      </c>
      <c r="AF3916" s="79">
        <v>45191.022256944445</v>
      </c>
      <c r="AG3916" s="85">
        <v>45191</v>
      </c>
      <c r="AH3916" s="80" t="s">
        <v>14019</v>
      </c>
      <c r="AI3916" s="77"/>
      <c r="AJ3916" s="77"/>
      <c r="AK3916" s="77"/>
      <c r="AL3916" s="77"/>
      <c r="AM3916" s="77"/>
      <c r="AN3916" s="77"/>
      <c r="AO3916" s="77"/>
      <c r="AP3916" s="77"/>
      <c r="AQ3916" s="77"/>
      <c r="AR3916" s="77"/>
      <c r="AS3916" s="77"/>
      <c r="AT3916" s="77"/>
      <c r="AU3916" s="77"/>
      <c r="AV3916" s="83" t="str">
        <f>HYPERLINK("https://pbs.twimg.com/profile_images/1515530168273616896/c9xK9DeG_normal.jpg")</f>
        <v>https://pbs.twimg.com/profile_images/1515530168273616896/c9xK9DeG_normal.jpg</v>
      </c>
      <c r="AW3916" s="80" t="s">
        <v>19593</v>
      </c>
      <c r="AX3916" s="80" t="s">
        <v>19593</v>
      </c>
      <c r="AY3916" s="77"/>
      <c r="AZ3916" s="80" t="s">
        <v>20380</v>
      </c>
      <c r="BA3916" s="80" t="s">
        <v>20380</v>
      </c>
      <c r="BB3916" s="80" t="s">
        <v>19843</v>
      </c>
      <c r="BC3916" s="80" t="s">
        <v>19843</v>
      </c>
      <c r="BD3916" s="80" t="s">
        <v>21155</v>
      </c>
      <c r="BE3916" s="77"/>
      <c r="BF3916" s="77"/>
      <c r="BG3916" s="77"/>
      <c r="BH3916" s="77"/>
      <c r="BI3916" s="77"/>
    </row>
    <row r="3917" spans="1:61" x14ac:dyDescent="0.25">
      <c r="A3917" s="62" t="s">
        <v>1577</v>
      </c>
      <c r="B3917" s="62" t="s">
        <v>1577</v>
      </c>
      <c r="C3917" s="63"/>
      <c r="D3917" s="64"/>
      <c r="E3917" s="65"/>
      <c r="F3917" s="66"/>
      <c r="G3917" s="63"/>
      <c r="H3917" s="67"/>
      <c r="I3917" s="68"/>
      <c r="J3917" s="68"/>
      <c r="K3917" s="32"/>
      <c r="L3917" s="75">
        <v>3917</v>
      </c>
      <c r="M3917" s="75"/>
      <c r="N3917" s="70"/>
      <c r="O3917" s="77" t="s">
        <v>179</v>
      </c>
      <c r="P3917" s="79">
        <v>45057.6875</v>
      </c>
      <c r="Q3917" s="77" t="s">
        <v>5532</v>
      </c>
      <c r="R3917" s="77">
        <v>0</v>
      </c>
      <c r="S3917" s="77">
        <v>0</v>
      </c>
      <c r="T3917" s="77">
        <v>0</v>
      </c>
      <c r="U3917" s="77">
        <v>0</v>
      </c>
      <c r="V3917" s="77">
        <v>67</v>
      </c>
      <c r="W3917" s="80" t="s">
        <v>8346</v>
      </c>
      <c r="X3917" s="83" t="str">
        <f>HYPERLINK("https://mediospanorama.com/el-dolar-varia-ligeramente-para-la-venta-y-se-cambia-a-54-61-pesos/")</f>
        <v>https://mediospanorama.com/el-dolar-varia-ligeramente-para-la-venta-y-se-cambia-a-54-61-pesos/</v>
      </c>
      <c r="Y3917" s="77" t="s">
        <v>8877</v>
      </c>
      <c r="Z3917" s="77"/>
      <c r="AA3917" s="77"/>
      <c r="AB3917" s="77"/>
      <c r="AC3917" s="80" t="s">
        <v>10541</v>
      </c>
      <c r="AD3917" s="77" t="s">
        <v>10620</v>
      </c>
      <c r="AE3917" s="83" t="str">
        <f>HYPERLINK("https://twitter.com/panoramaentv/status/1656698177947418654")</f>
        <v>https://twitter.com/panoramaentv/status/1656698177947418654</v>
      </c>
      <c r="AF3917" s="79">
        <v>45057.6875</v>
      </c>
      <c r="AG3917" s="85">
        <v>45057</v>
      </c>
      <c r="AH3917" s="80" t="s">
        <v>10759</v>
      </c>
      <c r="AI3917" s="77" t="b">
        <v>0</v>
      </c>
      <c r="AJ3917" s="77"/>
      <c r="AK3917" s="77"/>
      <c r="AL3917" s="77"/>
      <c r="AM3917" s="77"/>
      <c r="AN3917" s="77"/>
      <c r="AO3917" s="77"/>
      <c r="AP3917" s="77"/>
      <c r="AQ3917" s="77"/>
      <c r="AR3917" s="77"/>
      <c r="AS3917" s="77"/>
      <c r="AT3917" s="77"/>
      <c r="AU3917" s="77"/>
      <c r="AV3917" s="83" t="str">
        <f>HYPERLINK("https://pbs.twimg.com/profile_images/1671955818168680449/yV962py6_normal.jpg")</f>
        <v>https://pbs.twimg.com/profile_images/1671955818168680449/yV962py6_normal.jpg</v>
      </c>
      <c r="AW3917" s="80" t="s">
        <v>19594</v>
      </c>
      <c r="AX3917" s="80" t="s">
        <v>19594</v>
      </c>
      <c r="AY3917" s="77"/>
      <c r="AZ3917" s="80" t="s">
        <v>20380</v>
      </c>
      <c r="BA3917" s="80" t="s">
        <v>20380</v>
      </c>
      <c r="BB3917" s="80" t="s">
        <v>20380</v>
      </c>
      <c r="BC3917" s="80" t="s">
        <v>19594</v>
      </c>
      <c r="BD3917" s="77">
        <v>3557179948</v>
      </c>
      <c r="BE3917" s="77"/>
      <c r="BF3917" s="77"/>
      <c r="BG3917" s="77"/>
      <c r="BH3917" s="77"/>
      <c r="BI3917" s="77"/>
    </row>
    <row r="3918" spans="1:61" x14ac:dyDescent="0.25">
      <c r="A3918" s="62" t="s">
        <v>1577</v>
      </c>
      <c r="B3918" s="62" t="s">
        <v>1577</v>
      </c>
      <c r="C3918" s="63"/>
      <c r="D3918" s="64"/>
      <c r="E3918" s="65"/>
      <c r="F3918" s="66"/>
      <c r="G3918" s="63"/>
      <c r="H3918" s="67"/>
      <c r="I3918" s="68"/>
      <c r="J3918" s="68"/>
      <c r="K3918" s="32"/>
      <c r="L3918" s="75">
        <v>3918</v>
      </c>
      <c r="M3918" s="75"/>
      <c r="N3918" s="70"/>
      <c r="O3918" s="77" t="s">
        <v>179</v>
      </c>
      <c r="P3918" s="79">
        <v>45082.645833333336</v>
      </c>
      <c r="Q3918" s="77" t="s">
        <v>5533</v>
      </c>
      <c r="R3918" s="77">
        <v>0</v>
      </c>
      <c r="S3918" s="77">
        <v>0</v>
      </c>
      <c r="T3918" s="77">
        <v>0</v>
      </c>
      <c r="U3918" s="77">
        <v>0</v>
      </c>
      <c r="V3918" s="77">
        <v>38</v>
      </c>
      <c r="W3918" s="80" t="s">
        <v>8347</v>
      </c>
      <c r="X3918" s="83" t="str">
        <f>HYPERLINK("https://mediospanorama.com/la-inflacion-en-republica-dominicana-bajo-al-4-43-en-mayo-segun-banco-central/")</f>
        <v>https://mediospanorama.com/la-inflacion-en-republica-dominicana-bajo-al-4-43-en-mayo-segun-banco-central/</v>
      </c>
      <c r="Y3918" s="77" t="s">
        <v>8877</v>
      </c>
      <c r="Z3918" s="77"/>
      <c r="AA3918" s="77"/>
      <c r="AB3918" s="77"/>
      <c r="AC3918" s="80" t="s">
        <v>10541</v>
      </c>
      <c r="AD3918" s="77" t="s">
        <v>10620</v>
      </c>
      <c r="AE3918" s="83" t="str">
        <f>HYPERLINK("https://twitter.com/panoramaentv/status/1665742776250650625")</f>
        <v>https://twitter.com/panoramaentv/status/1665742776250650625</v>
      </c>
      <c r="AF3918" s="79">
        <v>45082.645833333336</v>
      </c>
      <c r="AG3918" s="85">
        <v>45082</v>
      </c>
      <c r="AH3918" s="80" t="s">
        <v>10857</v>
      </c>
      <c r="AI3918" s="77" t="b">
        <v>0</v>
      </c>
      <c r="AJ3918" s="77"/>
      <c r="AK3918" s="77"/>
      <c r="AL3918" s="77"/>
      <c r="AM3918" s="77"/>
      <c r="AN3918" s="77"/>
      <c r="AO3918" s="77"/>
      <c r="AP3918" s="77"/>
      <c r="AQ3918" s="77"/>
      <c r="AR3918" s="77"/>
      <c r="AS3918" s="77"/>
      <c r="AT3918" s="77"/>
      <c r="AU3918" s="77"/>
      <c r="AV3918" s="83" t="str">
        <f>HYPERLINK("https://pbs.twimg.com/profile_images/1671955818168680449/yV962py6_normal.jpg")</f>
        <v>https://pbs.twimg.com/profile_images/1671955818168680449/yV962py6_normal.jpg</v>
      </c>
      <c r="AW3918" s="80" t="s">
        <v>19595</v>
      </c>
      <c r="AX3918" s="80" t="s">
        <v>19595</v>
      </c>
      <c r="AY3918" s="77"/>
      <c r="AZ3918" s="80" t="s">
        <v>20380</v>
      </c>
      <c r="BA3918" s="80" t="s">
        <v>20380</v>
      </c>
      <c r="BB3918" s="80" t="s">
        <v>20380</v>
      </c>
      <c r="BC3918" s="80" t="s">
        <v>19595</v>
      </c>
      <c r="BD3918" s="77">
        <v>3557179948</v>
      </c>
      <c r="BE3918" s="77"/>
      <c r="BF3918" s="77"/>
      <c r="BG3918" s="77"/>
      <c r="BH3918" s="77"/>
      <c r="BI3918" s="77"/>
    </row>
    <row r="3919" spans="1:61" x14ac:dyDescent="0.25">
      <c r="A3919" s="62" t="s">
        <v>1577</v>
      </c>
      <c r="B3919" s="62" t="s">
        <v>1577</v>
      </c>
      <c r="C3919" s="63"/>
      <c r="D3919" s="64"/>
      <c r="E3919" s="65"/>
      <c r="F3919" s="66"/>
      <c r="G3919" s="63"/>
      <c r="H3919" s="67"/>
      <c r="I3919" s="68"/>
      <c r="J3919" s="68"/>
      <c r="K3919" s="32"/>
      <c r="L3919" s="75">
        <v>3919</v>
      </c>
      <c r="M3919" s="75"/>
      <c r="N3919" s="70"/>
      <c r="O3919" s="77" t="s">
        <v>179</v>
      </c>
      <c r="P3919" s="79">
        <v>45089.667453703703</v>
      </c>
      <c r="Q3919" s="77" t="s">
        <v>5534</v>
      </c>
      <c r="R3919" s="77">
        <v>0</v>
      </c>
      <c r="S3919" s="77">
        <v>0</v>
      </c>
      <c r="T3919" s="77">
        <v>0</v>
      </c>
      <c r="U3919" s="77">
        <v>0</v>
      </c>
      <c r="V3919" s="77">
        <v>155</v>
      </c>
      <c r="W3919" s="80" t="s">
        <v>8346</v>
      </c>
      <c r="X3919" s="83" t="str">
        <f>HYPERLINK("https://mediospanorama.com/el-dolar-estadounidense-se-vende-a-rd54-86-este-lunes/")</f>
        <v>https://mediospanorama.com/el-dolar-estadounidense-se-vende-a-rd54-86-este-lunes/</v>
      </c>
      <c r="Y3919" s="77" t="s">
        <v>8877</v>
      </c>
      <c r="Z3919" s="77"/>
      <c r="AA3919" s="77"/>
      <c r="AB3919" s="77"/>
      <c r="AC3919" s="80" t="s">
        <v>10541</v>
      </c>
      <c r="AD3919" s="77" t="s">
        <v>10620</v>
      </c>
      <c r="AE3919" s="83" t="str">
        <f>HYPERLINK("https://twitter.com/panoramaentv/status/1668287327859245057")</f>
        <v>https://twitter.com/panoramaentv/status/1668287327859245057</v>
      </c>
      <c r="AF3919" s="79">
        <v>45089.667453703703</v>
      </c>
      <c r="AG3919" s="85">
        <v>45089</v>
      </c>
      <c r="AH3919" s="80" t="s">
        <v>14020</v>
      </c>
      <c r="AI3919" s="77" t="b">
        <v>0</v>
      </c>
      <c r="AJ3919" s="77"/>
      <c r="AK3919" s="77"/>
      <c r="AL3919" s="77"/>
      <c r="AM3919" s="77"/>
      <c r="AN3919" s="77"/>
      <c r="AO3919" s="77"/>
      <c r="AP3919" s="77"/>
      <c r="AQ3919" s="77"/>
      <c r="AR3919" s="77"/>
      <c r="AS3919" s="77"/>
      <c r="AT3919" s="77"/>
      <c r="AU3919" s="77"/>
      <c r="AV3919" s="83" t="str">
        <f>HYPERLINK("https://pbs.twimg.com/profile_images/1671955818168680449/yV962py6_normal.jpg")</f>
        <v>https://pbs.twimg.com/profile_images/1671955818168680449/yV962py6_normal.jpg</v>
      </c>
      <c r="AW3919" s="80" t="s">
        <v>19596</v>
      </c>
      <c r="AX3919" s="80" t="s">
        <v>19596</v>
      </c>
      <c r="AY3919" s="77"/>
      <c r="AZ3919" s="80" t="s">
        <v>20380</v>
      </c>
      <c r="BA3919" s="80" t="s">
        <v>20380</v>
      </c>
      <c r="BB3919" s="80" t="s">
        <v>20380</v>
      </c>
      <c r="BC3919" s="80" t="s">
        <v>19596</v>
      </c>
      <c r="BD3919" s="77">
        <v>3557179948</v>
      </c>
      <c r="BE3919" s="77"/>
      <c r="BF3919" s="77"/>
      <c r="BG3919" s="77"/>
      <c r="BH3919" s="77"/>
      <c r="BI3919" s="77"/>
    </row>
    <row r="3920" spans="1:61" x14ac:dyDescent="0.25">
      <c r="A3920" s="62" t="s">
        <v>1578</v>
      </c>
      <c r="B3920" s="62" t="s">
        <v>1578</v>
      </c>
      <c r="C3920" s="63"/>
      <c r="D3920" s="64"/>
      <c r="E3920" s="65"/>
      <c r="F3920" s="66"/>
      <c r="G3920" s="63"/>
      <c r="H3920" s="67"/>
      <c r="I3920" s="68"/>
      <c r="J3920" s="68"/>
      <c r="K3920" s="32"/>
      <c r="L3920" s="75">
        <v>3920</v>
      </c>
      <c r="M3920" s="75"/>
      <c r="N3920" s="70"/>
      <c r="O3920" s="77" t="s">
        <v>179</v>
      </c>
      <c r="P3920" s="79">
        <v>45081.579976851855</v>
      </c>
      <c r="Q3920" s="77" t="s">
        <v>5535</v>
      </c>
      <c r="R3920" s="77">
        <v>0</v>
      </c>
      <c r="S3920" s="77">
        <v>0</v>
      </c>
      <c r="T3920" s="77">
        <v>0</v>
      </c>
      <c r="U3920" s="77">
        <v>0</v>
      </c>
      <c r="V3920" s="77">
        <v>58</v>
      </c>
      <c r="W3920" s="80" t="s">
        <v>8348</v>
      </c>
      <c r="X3920" s="83" t="str">
        <f>HYPERLINK("https://www.agrolatam.com/nota/las-reservas-liquidas-en-peligro-la-contencion-del-dolar-depende-del-fmi-mientras-se-agotan-las-opciones/")</f>
        <v>https://www.agrolatam.com/nota/las-reservas-liquidas-en-peligro-la-contencion-del-dolar-depende-del-fmi-mientras-se-agotan-las-opciones/</v>
      </c>
      <c r="Y3920" s="77" t="s">
        <v>8878</v>
      </c>
      <c r="Z3920" s="77"/>
      <c r="AA3920" s="77"/>
      <c r="AB3920" s="77"/>
      <c r="AC3920" s="80" t="s">
        <v>10552</v>
      </c>
      <c r="AD3920" s="77" t="s">
        <v>10620</v>
      </c>
      <c r="AE3920" s="83" t="str">
        <f>HYPERLINK("https://twitter.com/agrolatamarg/status/1665356522107420675")</f>
        <v>https://twitter.com/agrolatamarg/status/1665356522107420675</v>
      </c>
      <c r="AF3920" s="79">
        <v>45081.579976851855</v>
      </c>
      <c r="AG3920" s="85">
        <v>45081</v>
      </c>
      <c r="AH3920" s="80" t="s">
        <v>14021</v>
      </c>
      <c r="AI3920" s="77" t="b">
        <v>0</v>
      </c>
      <c r="AJ3920" s="77"/>
      <c r="AK3920" s="77"/>
      <c r="AL3920" s="77"/>
      <c r="AM3920" s="77"/>
      <c r="AN3920" s="77"/>
      <c r="AO3920" s="77"/>
      <c r="AP3920" s="77"/>
      <c r="AQ3920" s="77"/>
      <c r="AR3920" s="77"/>
      <c r="AS3920" s="77"/>
      <c r="AT3920" s="77"/>
      <c r="AU3920" s="77"/>
      <c r="AV3920" s="83" t="str">
        <f>HYPERLINK("https://pbs.twimg.com/profile_images/1009822551621632000/93cclxqs_normal.jpg")</f>
        <v>https://pbs.twimg.com/profile_images/1009822551621632000/93cclxqs_normal.jpg</v>
      </c>
      <c r="AW3920" s="80" t="s">
        <v>19597</v>
      </c>
      <c r="AX3920" s="80" t="s">
        <v>19597</v>
      </c>
      <c r="AY3920" s="77"/>
      <c r="AZ3920" s="80" t="s">
        <v>20380</v>
      </c>
      <c r="BA3920" s="80" t="s">
        <v>20380</v>
      </c>
      <c r="BB3920" s="80" t="s">
        <v>20380</v>
      </c>
      <c r="BC3920" s="80" t="s">
        <v>19597</v>
      </c>
      <c r="BD3920" s="80" t="s">
        <v>21156</v>
      </c>
      <c r="BE3920" s="77"/>
      <c r="BF3920" s="77"/>
      <c r="BG3920" s="77"/>
      <c r="BH3920" s="77"/>
      <c r="BI3920" s="77"/>
    </row>
    <row r="3921" spans="1:61" x14ac:dyDescent="0.25">
      <c r="A3921" s="62" t="s">
        <v>1579</v>
      </c>
      <c r="B3921" s="62" t="s">
        <v>1579</v>
      </c>
      <c r="C3921" s="63"/>
      <c r="D3921" s="64"/>
      <c r="E3921" s="65"/>
      <c r="F3921" s="66"/>
      <c r="G3921" s="63"/>
      <c r="H3921" s="67"/>
      <c r="I3921" s="68"/>
      <c r="J3921" s="68"/>
      <c r="K3921" s="32"/>
      <c r="L3921" s="75">
        <v>3921</v>
      </c>
      <c r="M3921" s="75"/>
      <c r="N3921" s="70"/>
      <c r="O3921" s="77" t="s">
        <v>179</v>
      </c>
      <c r="P3921" s="79">
        <v>45146.688935185186</v>
      </c>
      <c r="Q3921" s="77" t="s">
        <v>5536</v>
      </c>
      <c r="R3921" s="77">
        <v>0</v>
      </c>
      <c r="S3921" s="77">
        <v>0</v>
      </c>
      <c r="T3921" s="77">
        <v>0</v>
      </c>
      <c r="U3921" s="77">
        <v>0</v>
      </c>
      <c r="V3921" s="77">
        <v>18</v>
      </c>
      <c r="W3921" s="80" t="s">
        <v>8349</v>
      </c>
      <c r="X3921" s="83" t="str">
        <f>HYPERLINK("https://www.enicomputer.com.br/entenda-o-que-e-e-como-funcionara-o-real-digital/")</f>
        <v>https://www.enicomputer.com.br/entenda-o-que-e-e-como-funcionara-o-real-digital/</v>
      </c>
      <c r="Y3921" s="77" t="s">
        <v>8611</v>
      </c>
      <c r="Z3921" s="77"/>
      <c r="AA3921" s="77" t="s">
        <v>10342</v>
      </c>
      <c r="AB3921" s="77" t="s">
        <v>10535</v>
      </c>
      <c r="AC3921" s="80" t="s">
        <v>10547</v>
      </c>
      <c r="AD3921" s="77" t="s">
        <v>10617</v>
      </c>
      <c r="AE3921" s="83" t="str">
        <f>HYPERLINK("https://twitter.com/enicomputer/status/1688951220570890240")</f>
        <v>https://twitter.com/enicomputer/status/1688951220570890240</v>
      </c>
      <c r="AF3921" s="79">
        <v>45146.688935185186</v>
      </c>
      <c r="AG3921" s="85">
        <v>45146</v>
      </c>
      <c r="AH3921" s="80" t="s">
        <v>14022</v>
      </c>
      <c r="AI3921" s="77" t="b">
        <v>0</v>
      </c>
      <c r="AJ3921" s="77"/>
      <c r="AK3921" s="77"/>
      <c r="AL3921" s="77"/>
      <c r="AM3921" s="77"/>
      <c r="AN3921" s="77"/>
      <c r="AO3921" s="77"/>
      <c r="AP3921" s="77"/>
      <c r="AQ3921" s="77" t="s">
        <v>15821</v>
      </c>
      <c r="AR3921" s="77"/>
      <c r="AS3921" s="77"/>
      <c r="AT3921" s="77"/>
      <c r="AU3921" s="77"/>
      <c r="AV3921" s="83" t="str">
        <f>HYPERLINK("https://pbs.twimg.com/media/F3BcL1FXQAAnjNb.jpg")</f>
        <v>https://pbs.twimg.com/media/F3BcL1FXQAAnjNb.jpg</v>
      </c>
      <c r="AW3921" s="80" t="s">
        <v>19598</v>
      </c>
      <c r="AX3921" s="80" t="s">
        <v>19598</v>
      </c>
      <c r="AY3921" s="77"/>
      <c r="AZ3921" s="80" t="s">
        <v>20380</v>
      </c>
      <c r="BA3921" s="80" t="s">
        <v>20380</v>
      </c>
      <c r="BB3921" s="80" t="s">
        <v>20380</v>
      </c>
      <c r="BC3921" s="80" t="s">
        <v>19598</v>
      </c>
      <c r="BD3921" s="77">
        <v>1229893772</v>
      </c>
      <c r="BE3921" s="77"/>
      <c r="BF3921" s="77"/>
      <c r="BG3921" s="77"/>
      <c r="BH3921" s="77"/>
      <c r="BI3921" s="77"/>
    </row>
    <row r="3922" spans="1:61" x14ac:dyDescent="0.25">
      <c r="A3922" s="62" t="s">
        <v>1580</v>
      </c>
      <c r="B3922" s="62" t="s">
        <v>2062</v>
      </c>
      <c r="C3922" s="63"/>
      <c r="D3922" s="64"/>
      <c r="E3922" s="65"/>
      <c r="F3922" s="66"/>
      <c r="G3922" s="63"/>
      <c r="H3922" s="67"/>
      <c r="I3922" s="68"/>
      <c r="J3922" s="68"/>
      <c r="K3922" s="32"/>
      <c r="L3922" s="75">
        <v>3922</v>
      </c>
      <c r="M3922" s="75"/>
      <c r="N3922" s="70"/>
      <c r="O3922" s="77" t="s">
        <v>2078</v>
      </c>
      <c r="P3922" s="79">
        <v>45172.852511574078</v>
      </c>
      <c r="Q3922" s="77" t="s">
        <v>5537</v>
      </c>
      <c r="R3922" s="77">
        <v>0</v>
      </c>
      <c r="S3922" s="77">
        <v>0</v>
      </c>
      <c r="T3922" s="77">
        <v>0</v>
      </c>
      <c r="U3922" s="77">
        <v>0</v>
      </c>
      <c r="V3922" s="77">
        <v>19</v>
      </c>
      <c r="W3922" s="80" t="s">
        <v>5884</v>
      </c>
      <c r="X3922" s="77"/>
      <c r="Y3922" s="77"/>
      <c r="Z3922" s="77" t="s">
        <v>2062</v>
      </c>
      <c r="AA3922" s="77"/>
      <c r="AB3922" s="77"/>
      <c r="AC3922" s="80" t="s">
        <v>10540</v>
      </c>
      <c r="AD3922" s="77" t="s">
        <v>10620</v>
      </c>
      <c r="AE3922" s="83" t="str">
        <f>HYPERLINK("https://twitter.com/agudiaz64/status/1698432581740487058")</f>
        <v>https://twitter.com/agudiaz64/status/1698432581740487058</v>
      </c>
      <c r="AF3922" s="79">
        <v>45172.852511574078</v>
      </c>
      <c r="AG3922" s="85">
        <v>45172</v>
      </c>
      <c r="AH3922" s="80" t="s">
        <v>14023</v>
      </c>
      <c r="AI3922" s="77"/>
      <c r="AJ3922" s="77"/>
      <c r="AK3922" s="77"/>
      <c r="AL3922" s="77"/>
      <c r="AM3922" s="77"/>
      <c r="AN3922" s="77"/>
      <c r="AO3922" s="77"/>
      <c r="AP3922" s="77"/>
      <c r="AQ3922" s="77"/>
      <c r="AR3922" s="77"/>
      <c r="AS3922" s="77"/>
      <c r="AT3922" s="77"/>
      <c r="AU3922" s="77"/>
      <c r="AV3922" s="83" t="str">
        <f>HYPERLINK("https://pbs.twimg.com/profile_images/1033816712586690560/PVpioskz_normal.jpg")</f>
        <v>https://pbs.twimg.com/profile_images/1033816712586690560/PVpioskz_normal.jpg</v>
      </c>
      <c r="AW3922" s="80" t="s">
        <v>19599</v>
      </c>
      <c r="AX3922" s="80" t="s">
        <v>20190</v>
      </c>
      <c r="AY3922" s="80" t="s">
        <v>20372</v>
      </c>
      <c r="AZ3922" s="80" t="s">
        <v>20190</v>
      </c>
      <c r="BA3922" s="80" t="s">
        <v>20380</v>
      </c>
      <c r="BB3922" s="80" t="s">
        <v>20380</v>
      </c>
      <c r="BC3922" s="80" t="s">
        <v>20190</v>
      </c>
      <c r="BD3922" s="77">
        <v>119843695</v>
      </c>
      <c r="BE3922" s="77"/>
      <c r="BF3922" s="77"/>
      <c r="BG3922" s="77"/>
      <c r="BH3922" s="77"/>
      <c r="BI3922" s="77"/>
    </row>
    <row r="3923" spans="1:61" x14ac:dyDescent="0.25">
      <c r="A3923" s="62" t="s">
        <v>1581</v>
      </c>
      <c r="B3923" s="62" t="s">
        <v>1581</v>
      </c>
      <c r="C3923" s="63"/>
      <c r="D3923" s="64"/>
      <c r="E3923" s="65"/>
      <c r="F3923" s="66"/>
      <c r="G3923" s="63"/>
      <c r="H3923" s="67"/>
      <c r="I3923" s="68"/>
      <c r="J3923" s="68"/>
      <c r="K3923" s="32"/>
      <c r="L3923" s="75">
        <v>3923</v>
      </c>
      <c r="M3923" s="75"/>
      <c r="N3923" s="70"/>
      <c r="O3923" s="77" t="s">
        <v>179</v>
      </c>
      <c r="P3923" s="79">
        <v>45115.014398148145</v>
      </c>
      <c r="Q3923" s="77" t="s">
        <v>5538</v>
      </c>
      <c r="R3923" s="77">
        <v>0</v>
      </c>
      <c r="S3923" s="77">
        <v>0</v>
      </c>
      <c r="T3923" s="77">
        <v>0</v>
      </c>
      <c r="U3923" s="77">
        <v>0</v>
      </c>
      <c r="V3923" s="77">
        <v>13</v>
      </c>
      <c r="W3923" s="80" t="s">
        <v>8350</v>
      </c>
      <c r="X3923" s="83" t="str">
        <f>HYPERLINK("https://elobjetivo.com.ar/contenido/63931/las-consultoras-privadas-estimaron-una-suba-de-precios-de-73-en-junio")</f>
        <v>https://elobjetivo.com.ar/contenido/63931/las-consultoras-privadas-estimaron-una-suba-de-precios-de-73-en-junio</v>
      </c>
      <c r="Y3923" s="77" t="s">
        <v>8624</v>
      </c>
      <c r="Z3923" s="77"/>
      <c r="AA3923" s="77"/>
      <c r="AB3923" s="77"/>
      <c r="AC3923" s="80" t="s">
        <v>10541</v>
      </c>
      <c r="AD3923" s="77" t="s">
        <v>10620</v>
      </c>
      <c r="AE3923" s="83" t="str">
        <f>HYPERLINK("https://twitter.com/perinmiguel/status/1677472751462891521")</f>
        <v>https://twitter.com/perinmiguel/status/1677472751462891521</v>
      </c>
      <c r="AF3923" s="79">
        <v>45115.014398148145</v>
      </c>
      <c r="AG3923" s="85">
        <v>45115</v>
      </c>
      <c r="AH3923" s="80" t="s">
        <v>14024</v>
      </c>
      <c r="AI3923" s="77" t="b">
        <v>0</v>
      </c>
      <c r="AJ3923" s="77"/>
      <c r="AK3923" s="77"/>
      <c r="AL3923" s="77"/>
      <c r="AM3923" s="77"/>
      <c r="AN3923" s="77"/>
      <c r="AO3923" s="77"/>
      <c r="AP3923" s="77"/>
      <c r="AQ3923" s="77"/>
      <c r="AR3923" s="77"/>
      <c r="AS3923" s="77"/>
      <c r="AT3923" s="77"/>
      <c r="AU3923" s="77"/>
      <c r="AV3923" s="83" t="str">
        <f>HYPERLINK("https://pbs.twimg.com/profile_images/378800000080616974/2b4eaec4151a9196d0def4c0869b7cc7_normal.jpeg")</f>
        <v>https://pbs.twimg.com/profile_images/378800000080616974/2b4eaec4151a9196d0def4c0869b7cc7_normal.jpeg</v>
      </c>
      <c r="AW3923" s="80" t="s">
        <v>19600</v>
      </c>
      <c r="AX3923" s="80" t="s">
        <v>19600</v>
      </c>
      <c r="AY3923" s="77"/>
      <c r="AZ3923" s="80" t="s">
        <v>20380</v>
      </c>
      <c r="BA3923" s="80" t="s">
        <v>20380</v>
      </c>
      <c r="BB3923" s="80" t="s">
        <v>20380</v>
      </c>
      <c r="BC3923" s="80" t="s">
        <v>19600</v>
      </c>
      <c r="BD3923" s="77">
        <v>1564743925</v>
      </c>
      <c r="BE3923" s="77"/>
      <c r="BF3923" s="77"/>
      <c r="BG3923" s="77"/>
      <c r="BH3923" s="77"/>
      <c r="BI3923" s="77"/>
    </row>
    <row r="3924" spans="1:61" x14ac:dyDescent="0.25">
      <c r="A3924" s="62" t="s">
        <v>1582</v>
      </c>
      <c r="B3924" s="62" t="s">
        <v>1582</v>
      </c>
      <c r="C3924" s="63"/>
      <c r="D3924" s="64"/>
      <c r="E3924" s="65"/>
      <c r="F3924" s="66"/>
      <c r="G3924" s="63"/>
      <c r="H3924" s="67"/>
      <c r="I3924" s="68"/>
      <c r="J3924" s="68"/>
      <c r="K3924" s="32"/>
      <c r="L3924" s="75">
        <v>3924</v>
      </c>
      <c r="M3924" s="75"/>
      <c r="N3924" s="70"/>
      <c r="O3924" s="77" t="s">
        <v>179</v>
      </c>
      <c r="P3924" s="79">
        <v>45107.682384259257</v>
      </c>
      <c r="Q3924" s="77" t="s">
        <v>5539</v>
      </c>
      <c r="R3924" s="77">
        <v>122</v>
      </c>
      <c r="S3924" s="77">
        <v>179</v>
      </c>
      <c r="T3924" s="77">
        <v>58</v>
      </c>
      <c r="U3924" s="77">
        <v>6</v>
      </c>
      <c r="V3924" s="77">
        <v>7241</v>
      </c>
      <c r="W3924" s="80" t="s">
        <v>8351</v>
      </c>
      <c r="X3924" s="77"/>
      <c r="Y3924" s="77"/>
      <c r="Z3924" s="77"/>
      <c r="AA3924" s="77" t="s">
        <v>10343</v>
      </c>
      <c r="AB3924" s="77" t="s">
        <v>10535</v>
      </c>
      <c r="AC3924" s="80" t="s">
        <v>10540</v>
      </c>
      <c r="AD3924" s="77" t="s">
        <v>10620</v>
      </c>
      <c r="AE3924" s="83" t="str">
        <f>HYPERLINK("https://twitter.com/aldunatefran/status/1674815717290409984")</f>
        <v>https://twitter.com/aldunatefran/status/1674815717290409984</v>
      </c>
      <c r="AF3924" s="79">
        <v>45107.682384259257</v>
      </c>
      <c r="AG3924" s="85">
        <v>45107</v>
      </c>
      <c r="AH3924" s="80" t="s">
        <v>14025</v>
      </c>
      <c r="AI3924" s="77" t="b">
        <v>0</v>
      </c>
      <c r="AJ3924" s="77"/>
      <c r="AK3924" s="77"/>
      <c r="AL3924" s="77"/>
      <c r="AM3924" s="77"/>
      <c r="AN3924" s="77"/>
      <c r="AO3924" s="77"/>
      <c r="AP3924" s="77"/>
      <c r="AQ3924" s="77" t="s">
        <v>15822</v>
      </c>
      <c r="AR3924" s="77"/>
      <c r="AS3924" s="77"/>
      <c r="AT3924" s="77"/>
      <c r="AU3924" s="77"/>
      <c r="AV3924" s="83" t="str">
        <f>HYPERLINK("https://pbs.twimg.com/media/Fz4kBNCXgAE6ORJ.png")</f>
        <v>https://pbs.twimg.com/media/Fz4kBNCXgAE6ORJ.png</v>
      </c>
      <c r="AW3924" s="80" t="s">
        <v>19601</v>
      </c>
      <c r="AX3924" s="80" t="s">
        <v>19601</v>
      </c>
      <c r="AY3924" s="77"/>
      <c r="AZ3924" s="80" t="s">
        <v>20380</v>
      </c>
      <c r="BA3924" s="80" t="s">
        <v>20380</v>
      </c>
      <c r="BB3924" s="80" t="s">
        <v>20380</v>
      </c>
      <c r="BC3924" s="80" t="s">
        <v>19601</v>
      </c>
      <c r="BD3924" s="77">
        <v>2209329607</v>
      </c>
      <c r="BE3924" s="77"/>
      <c r="BF3924" s="77"/>
      <c r="BG3924" s="77"/>
      <c r="BH3924" s="77"/>
      <c r="BI3924" s="77"/>
    </row>
    <row r="3925" spans="1:61" x14ac:dyDescent="0.25">
      <c r="A3925" s="62" t="s">
        <v>1583</v>
      </c>
      <c r="B3925" s="62" t="s">
        <v>1583</v>
      </c>
      <c r="C3925" s="63"/>
      <c r="D3925" s="64"/>
      <c r="E3925" s="65"/>
      <c r="F3925" s="66"/>
      <c r="G3925" s="63"/>
      <c r="H3925" s="67"/>
      <c r="I3925" s="68"/>
      <c r="J3925" s="68"/>
      <c r="K3925" s="32"/>
      <c r="L3925" s="75">
        <v>3925</v>
      </c>
      <c r="M3925" s="75"/>
      <c r="N3925" s="70"/>
      <c r="O3925" s="77" t="s">
        <v>179</v>
      </c>
      <c r="P3925" s="79">
        <v>45107.750416666669</v>
      </c>
      <c r="Q3925" s="77" t="s">
        <v>5540</v>
      </c>
      <c r="R3925" s="77">
        <v>0</v>
      </c>
      <c r="S3925" s="77">
        <v>0</v>
      </c>
      <c r="T3925" s="77">
        <v>0</v>
      </c>
      <c r="U3925" s="77">
        <v>0</v>
      </c>
      <c r="V3925" s="77">
        <v>41</v>
      </c>
      <c r="W3925" s="80" t="s">
        <v>8352</v>
      </c>
      <c r="X3925" s="83" t="str">
        <f>HYPERLINK("http://dlvr.it/SrTnN2")</f>
        <v>http://dlvr.it/SrTnN2</v>
      </c>
      <c r="Y3925" s="77" t="s">
        <v>8629</v>
      </c>
      <c r="Z3925" s="77"/>
      <c r="AA3925" s="77" t="s">
        <v>10344</v>
      </c>
      <c r="AB3925" s="77" t="s">
        <v>10535</v>
      </c>
      <c r="AC3925" s="80" t="s">
        <v>8629</v>
      </c>
      <c r="AD3925" s="77" t="s">
        <v>10617</v>
      </c>
      <c r="AE3925" s="83" t="str">
        <f>HYPERLINK("https://twitter.com/financas/status/1674840374131691520")</f>
        <v>https://twitter.com/financas/status/1674840374131691520</v>
      </c>
      <c r="AF3925" s="79">
        <v>45107.750416666669</v>
      </c>
      <c r="AG3925" s="85">
        <v>45107</v>
      </c>
      <c r="AH3925" s="80" t="s">
        <v>14026</v>
      </c>
      <c r="AI3925" s="77" t="b">
        <v>0</v>
      </c>
      <c r="AJ3925" s="77"/>
      <c r="AK3925" s="77"/>
      <c r="AL3925" s="77"/>
      <c r="AM3925" s="77"/>
      <c r="AN3925" s="77"/>
      <c r="AO3925" s="77"/>
      <c r="AP3925" s="77"/>
      <c r="AQ3925" s="77" t="s">
        <v>15823</v>
      </c>
      <c r="AR3925" s="77"/>
      <c r="AS3925" s="77"/>
      <c r="AT3925" s="77"/>
      <c r="AU3925" s="77"/>
      <c r="AV3925" s="83" t="str">
        <f>HYPERLINK("https://pbs.twimg.com/media/Fz46cfkaEAAwtQ4.jpg")</f>
        <v>https://pbs.twimg.com/media/Fz46cfkaEAAwtQ4.jpg</v>
      </c>
      <c r="AW3925" s="80" t="s">
        <v>19602</v>
      </c>
      <c r="AX3925" s="80" t="s">
        <v>19602</v>
      </c>
      <c r="AY3925" s="77"/>
      <c r="AZ3925" s="80" t="s">
        <v>20380</v>
      </c>
      <c r="BA3925" s="80" t="s">
        <v>20380</v>
      </c>
      <c r="BB3925" s="80" t="s">
        <v>20380</v>
      </c>
      <c r="BC3925" s="80" t="s">
        <v>19602</v>
      </c>
      <c r="BD3925" s="77">
        <v>25371172</v>
      </c>
      <c r="BE3925" s="77"/>
      <c r="BF3925" s="77"/>
      <c r="BG3925" s="77"/>
      <c r="BH3925" s="77"/>
      <c r="BI3925" s="77"/>
    </row>
    <row r="3926" spans="1:61" x14ac:dyDescent="0.25">
      <c r="A3926" s="62" t="s">
        <v>1584</v>
      </c>
      <c r="B3926" s="62" t="s">
        <v>1584</v>
      </c>
      <c r="C3926" s="63"/>
      <c r="D3926" s="64"/>
      <c r="E3926" s="65"/>
      <c r="F3926" s="66"/>
      <c r="G3926" s="63"/>
      <c r="H3926" s="67"/>
      <c r="I3926" s="68"/>
      <c r="J3926" s="68"/>
      <c r="K3926" s="32"/>
      <c r="L3926" s="75">
        <v>3926</v>
      </c>
      <c r="M3926" s="75"/>
      <c r="N3926" s="70"/>
      <c r="O3926" s="77" t="s">
        <v>2078</v>
      </c>
      <c r="P3926" s="79">
        <v>45120.868773148148</v>
      </c>
      <c r="Q3926" s="77" t="s">
        <v>5541</v>
      </c>
      <c r="R3926" s="77">
        <v>0</v>
      </c>
      <c r="S3926" s="77">
        <v>1</v>
      </c>
      <c r="T3926" s="77">
        <v>1</v>
      </c>
      <c r="U3926" s="77">
        <v>0</v>
      </c>
      <c r="V3926" s="77">
        <v>4</v>
      </c>
      <c r="W3926" s="80" t="s">
        <v>5884</v>
      </c>
      <c r="X3926" s="77"/>
      <c r="Y3926" s="77"/>
      <c r="Z3926" s="77"/>
      <c r="AA3926" s="77"/>
      <c r="AB3926" s="77"/>
      <c r="AC3926" s="80" t="s">
        <v>10542</v>
      </c>
      <c r="AD3926" s="77" t="s">
        <v>10617</v>
      </c>
      <c r="AE3926" s="83" t="str">
        <f>HYPERLINK("https://twitter.com/jeffersonlucabr/status/1679594306749837315")</f>
        <v>https://twitter.com/jeffersonlucabr/status/1679594306749837315</v>
      </c>
      <c r="AF3926" s="79">
        <v>45120.868773148148</v>
      </c>
      <c r="AG3926" s="85">
        <v>45120</v>
      </c>
      <c r="AH3926" s="80" t="s">
        <v>14027</v>
      </c>
      <c r="AI3926" s="77"/>
      <c r="AJ3926" s="77"/>
      <c r="AK3926" s="77"/>
      <c r="AL3926" s="77"/>
      <c r="AM3926" s="77"/>
      <c r="AN3926" s="77"/>
      <c r="AO3926" s="77"/>
      <c r="AP3926" s="77"/>
      <c r="AQ3926" s="77"/>
      <c r="AR3926" s="77"/>
      <c r="AS3926" s="77"/>
      <c r="AT3926" s="77"/>
      <c r="AU3926" s="77"/>
      <c r="AV3926" s="83" t="str">
        <f>HYPERLINK("https://pbs.twimg.com/profile_images/1678417005513154562/G2KycPKv_normal.jpg")</f>
        <v>https://pbs.twimg.com/profile_images/1678417005513154562/G2KycPKv_normal.jpg</v>
      </c>
      <c r="AW3926" s="80" t="s">
        <v>19603</v>
      </c>
      <c r="AX3926" s="80" t="s">
        <v>20191</v>
      </c>
      <c r="AY3926" s="80" t="s">
        <v>20373</v>
      </c>
      <c r="AZ3926" s="80" t="s">
        <v>20474</v>
      </c>
      <c r="BA3926" s="80" t="s">
        <v>20380</v>
      </c>
      <c r="BB3926" s="80" t="s">
        <v>20380</v>
      </c>
      <c r="BC3926" s="80" t="s">
        <v>20474</v>
      </c>
      <c r="BD3926" s="80" t="s">
        <v>20373</v>
      </c>
      <c r="BE3926" s="77"/>
      <c r="BF3926" s="77"/>
      <c r="BG3926" s="77"/>
      <c r="BH3926" s="77"/>
      <c r="BI3926" s="77"/>
    </row>
    <row r="3927" spans="1:61" x14ac:dyDescent="0.25">
      <c r="A3927" s="62" t="s">
        <v>1585</v>
      </c>
      <c r="B3927" s="62" t="s">
        <v>1585</v>
      </c>
      <c r="C3927" s="63"/>
      <c r="D3927" s="64"/>
      <c r="E3927" s="65"/>
      <c r="F3927" s="66"/>
      <c r="G3927" s="63"/>
      <c r="H3927" s="67"/>
      <c r="I3927" s="68"/>
      <c r="J3927" s="68"/>
      <c r="K3927" s="32"/>
      <c r="L3927" s="75">
        <v>3927</v>
      </c>
      <c r="M3927" s="75"/>
      <c r="N3927" s="70"/>
      <c r="O3927" s="77" t="s">
        <v>179</v>
      </c>
      <c r="P3927" s="79">
        <v>45132.766064814816</v>
      </c>
      <c r="Q3927" s="77" t="s">
        <v>5542</v>
      </c>
      <c r="R3927" s="77">
        <v>0</v>
      </c>
      <c r="S3927" s="77">
        <v>0</v>
      </c>
      <c r="T3927" s="77">
        <v>0</v>
      </c>
      <c r="U3927" s="77">
        <v>0</v>
      </c>
      <c r="V3927" s="77">
        <v>16</v>
      </c>
      <c r="W3927" s="80" t="s">
        <v>7098</v>
      </c>
      <c r="X3927" s="77"/>
      <c r="Y3927" s="77"/>
      <c r="Z3927" s="77"/>
      <c r="AA3927" s="77" t="s">
        <v>10345</v>
      </c>
      <c r="AB3927" s="77" t="s">
        <v>10535</v>
      </c>
      <c r="AC3927" s="80" t="s">
        <v>10542</v>
      </c>
      <c r="AD3927" s="77" t="s">
        <v>10617</v>
      </c>
      <c r="AE3927" s="83" t="str">
        <f>HYPERLINK("https://twitter.com/nazarefraga/status/1683905738651885568")</f>
        <v>https://twitter.com/nazarefraga/status/1683905738651885568</v>
      </c>
      <c r="AF3927" s="79">
        <v>45132.766064814816</v>
      </c>
      <c r="AG3927" s="85">
        <v>45132</v>
      </c>
      <c r="AH3927" s="80" t="s">
        <v>14028</v>
      </c>
      <c r="AI3927" s="77" t="b">
        <v>0</v>
      </c>
      <c r="AJ3927" s="77"/>
      <c r="AK3927" s="77"/>
      <c r="AL3927" s="77"/>
      <c r="AM3927" s="77"/>
      <c r="AN3927" s="77"/>
      <c r="AO3927" s="77"/>
      <c r="AP3927" s="77"/>
      <c r="AQ3927" s="77" t="s">
        <v>15824</v>
      </c>
      <c r="AR3927" s="77"/>
      <c r="AS3927" s="77"/>
      <c r="AT3927" s="77"/>
      <c r="AU3927" s="77"/>
      <c r="AV3927" s="83" t="str">
        <f>HYPERLINK("https://pbs.twimg.com/media/F15vVoTWAAoI30V.jpg")</f>
        <v>https://pbs.twimg.com/media/F15vVoTWAAoI30V.jpg</v>
      </c>
      <c r="AW3927" s="80" t="s">
        <v>19604</v>
      </c>
      <c r="AX3927" s="80" t="s">
        <v>19604</v>
      </c>
      <c r="AY3927" s="77"/>
      <c r="AZ3927" s="80" t="s">
        <v>20380</v>
      </c>
      <c r="BA3927" s="80" t="s">
        <v>20380</v>
      </c>
      <c r="BB3927" s="80" t="s">
        <v>20380</v>
      </c>
      <c r="BC3927" s="80" t="s">
        <v>19604</v>
      </c>
      <c r="BD3927" s="80" t="s">
        <v>21157</v>
      </c>
      <c r="BE3927" s="77"/>
      <c r="BF3927" s="77"/>
      <c r="BG3927" s="77"/>
      <c r="BH3927" s="77"/>
      <c r="BI3927" s="77"/>
    </row>
    <row r="3928" spans="1:61" x14ac:dyDescent="0.25">
      <c r="A3928" s="62" t="s">
        <v>1586</v>
      </c>
      <c r="B3928" s="62" t="s">
        <v>1675</v>
      </c>
      <c r="C3928" s="63"/>
      <c r="D3928" s="64"/>
      <c r="E3928" s="65"/>
      <c r="F3928" s="66"/>
      <c r="G3928" s="63"/>
      <c r="H3928" s="67"/>
      <c r="I3928" s="68"/>
      <c r="J3928" s="68"/>
      <c r="K3928" s="32"/>
      <c r="L3928" s="75">
        <v>3928</v>
      </c>
      <c r="M3928" s="75"/>
      <c r="N3928" s="70"/>
      <c r="O3928" s="77" t="s">
        <v>2083</v>
      </c>
      <c r="P3928" s="79">
        <v>45189.912106481483</v>
      </c>
      <c r="Q3928" s="77" t="s">
        <v>4951</v>
      </c>
      <c r="R3928" s="77">
        <v>4</v>
      </c>
      <c r="S3928" s="77">
        <v>0</v>
      </c>
      <c r="T3928" s="77">
        <v>0</v>
      </c>
      <c r="U3928" s="77">
        <v>0</v>
      </c>
      <c r="V3928" s="77"/>
      <c r="W3928" s="80" t="s">
        <v>7914</v>
      </c>
      <c r="X3928" s="77"/>
      <c r="Y3928" s="77"/>
      <c r="Z3928" s="77" t="s">
        <v>1675</v>
      </c>
      <c r="AA3928" s="77"/>
      <c r="AB3928" s="77"/>
      <c r="AC3928" s="80" t="s">
        <v>10540</v>
      </c>
      <c r="AD3928" s="77" t="s">
        <v>10620</v>
      </c>
      <c r="AE3928" s="83" t="str">
        <f>HYPERLINK("https://twitter.com/geragonza7/status/1704614773936079043")</f>
        <v>https://twitter.com/geragonza7/status/1704614773936079043</v>
      </c>
      <c r="AF3928" s="79">
        <v>45189.912106481483</v>
      </c>
      <c r="AG3928" s="85">
        <v>45189</v>
      </c>
      <c r="AH3928" s="80" t="s">
        <v>14029</v>
      </c>
      <c r="AI3928" s="77"/>
      <c r="AJ3928" s="77"/>
      <c r="AK3928" s="77"/>
      <c r="AL3928" s="77"/>
      <c r="AM3928" s="77"/>
      <c r="AN3928" s="77"/>
      <c r="AO3928" s="77"/>
      <c r="AP3928" s="77"/>
      <c r="AQ3928" s="77"/>
      <c r="AR3928" s="77"/>
      <c r="AS3928" s="77"/>
      <c r="AT3928" s="77"/>
      <c r="AU3928" s="77"/>
      <c r="AV3928" s="83" t="str">
        <f>HYPERLINK("https://abs.twimg.com/sticky/default_profile_images/default_profile_normal.png")</f>
        <v>https://abs.twimg.com/sticky/default_profile_images/default_profile_normal.png</v>
      </c>
      <c r="AW3928" s="80" t="s">
        <v>19605</v>
      </c>
      <c r="AX3928" s="80" t="s">
        <v>19605</v>
      </c>
      <c r="AY3928" s="77"/>
      <c r="AZ3928" s="80" t="s">
        <v>20380</v>
      </c>
      <c r="BA3928" s="80" t="s">
        <v>20380</v>
      </c>
      <c r="BB3928" s="80" t="s">
        <v>19926</v>
      </c>
      <c r="BC3928" s="80" t="s">
        <v>19926</v>
      </c>
      <c r="BD3928" s="80" t="s">
        <v>21158</v>
      </c>
      <c r="BE3928" s="77"/>
      <c r="BF3928" s="77"/>
      <c r="BG3928" s="77"/>
      <c r="BH3928" s="77"/>
      <c r="BI3928" s="77"/>
    </row>
    <row r="3929" spans="1:61" x14ac:dyDescent="0.25">
      <c r="A3929" s="62" t="s">
        <v>1587</v>
      </c>
      <c r="B3929" s="62" t="s">
        <v>1587</v>
      </c>
      <c r="C3929" s="63"/>
      <c r="D3929" s="64"/>
      <c r="E3929" s="65"/>
      <c r="F3929" s="66"/>
      <c r="G3929" s="63"/>
      <c r="H3929" s="67"/>
      <c r="I3929" s="68"/>
      <c r="J3929" s="68"/>
      <c r="K3929" s="32"/>
      <c r="L3929" s="75">
        <v>3929</v>
      </c>
      <c r="M3929" s="75"/>
      <c r="N3929" s="70"/>
      <c r="O3929" s="77" t="s">
        <v>179</v>
      </c>
      <c r="P3929" s="79">
        <v>45069.115856481483</v>
      </c>
      <c r="Q3929" s="77" t="s">
        <v>5543</v>
      </c>
      <c r="R3929" s="77">
        <v>0</v>
      </c>
      <c r="S3929" s="77">
        <v>0</v>
      </c>
      <c r="T3929" s="77">
        <v>0</v>
      </c>
      <c r="U3929" s="77">
        <v>0</v>
      </c>
      <c r="V3929" s="77">
        <v>127</v>
      </c>
      <c r="W3929" s="80" t="s">
        <v>8353</v>
      </c>
      <c r="X3929" s="83" t="str">
        <f>HYPERLINK("https://fmbahiaengano.com/entro-en-circulacion-el-nuevo-billete-de-2-mil-pesos/")</f>
        <v>https://fmbahiaengano.com/entro-en-circulacion-el-nuevo-billete-de-2-mil-pesos/</v>
      </c>
      <c r="Y3929" s="77" t="s">
        <v>8879</v>
      </c>
      <c r="Z3929" s="77"/>
      <c r="AA3929" s="77" t="s">
        <v>10346</v>
      </c>
      <c r="AB3929" s="77" t="s">
        <v>10535</v>
      </c>
      <c r="AC3929" s="80" t="s">
        <v>10546</v>
      </c>
      <c r="AD3929" s="77" t="s">
        <v>10620</v>
      </c>
      <c r="AE3929" s="83" t="str">
        <f>HYPERLINK("https://twitter.com/fmbahiaengano/status/1660839676729589761")</f>
        <v>https://twitter.com/fmbahiaengano/status/1660839676729589761</v>
      </c>
      <c r="AF3929" s="79">
        <v>45069.115856481483</v>
      </c>
      <c r="AG3929" s="85">
        <v>45069</v>
      </c>
      <c r="AH3929" s="80" t="s">
        <v>14030</v>
      </c>
      <c r="AI3929" s="77" t="b">
        <v>0</v>
      </c>
      <c r="AJ3929" s="77"/>
      <c r="AK3929" s="77"/>
      <c r="AL3929" s="77"/>
      <c r="AM3929" s="77"/>
      <c r="AN3929" s="77"/>
      <c r="AO3929" s="77"/>
      <c r="AP3929" s="77"/>
      <c r="AQ3929" s="77" t="s">
        <v>15825</v>
      </c>
      <c r="AR3929" s="77"/>
      <c r="AS3929" s="77"/>
      <c r="AT3929" s="77"/>
      <c r="AU3929" s="77"/>
      <c r="AV3929" s="83" t="str">
        <f>HYPERLINK("https://pbs.twimg.com/media/Fwx84mrXoAEkmiG.jpg")</f>
        <v>https://pbs.twimg.com/media/Fwx84mrXoAEkmiG.jpg</v>
      </c>
      <c r="AW3929" s="80" t="s">
        <v>19606</v>
      </c>
      <c r="AX3929" s="80" t="s">
        <v>19606</v>
      </c>
      <c r="AY3929" s="77"/>
      <c r="AZ3929" s="80" t="s">
        <v>20380</v>
      </c>
      <c r="BA3929" s="80" t="s">
        <v>20380</v>
      </c>
      <c r="BB3929" s="80" t="s">
        <v>20380</v>
      </c>
      <c r="BC3929" s="80" t="s">
        <v>19606</v>
      </c>
      <c r="BD3929" s="77">
        <v>245578005</v>
      </c>
      <c r="BE3929" s="77"/>
      <c r="BF3929" s="77"/>
      <c r="BG3929" s="77"/>
      <c r="BH3929" s="77"/>
      <c r="BI3929" s="77"/>
    </row>
    <row r="3930" spans="1:61" x14ac:dyDescent="0.25">
      <c r="A3930" s="62" t="s">
        <v>1588</v>
      </c>
      <c r="B3930" s="62" t="s">
        <v>2063</v>
      </c>
      <c r="C3930" s="63"/>
      <c r="D3930" s="64"/>
      <c r="E3930" s="65"/>
      <c r="F3930" s="66"/>
      <c r="G3930" s="63"/>
      <c r="H3930" s="67"/>
      <c r="I3930" s="68"/>
      <c r="J3930" s="68"/>
      <c r="K3930" s="32"/>
      <c r="L3930" s="75">
        <v>3930</v>
      </c>
      <c r="M3930" s="75"/>
      <c r="N3930" s="70"/>
      <c r="O3930" s="77" t="s">
        <v>2081</v>
      </c>
      <c r="P3930" s="79">
        <v>45068.736678240741</v>
      </c>
      <c r="Q3930" s="77" t="s">
        <v>5544</v>
      </c>
      <c r="R3930" s="77">
        <v>0</v>
      </c>
      <c r="S3930" s="77">
        <v>0</v>
      </c>
      <c r="T3930" s="77">
        <v>1</v>
      </c>
      <c r="U3930" s="77">
        <v>0</v>
      </c>
      <c r="V3930" s="77">
        <v>73</v>
      </c>
      <c r="W3930" s="80" t="s">
        <v>8354</v>
      </c>
      <c r="X3930" s="83" t="str">
        <f>HYPERLINK("http://quierodecir.com.ar/comienza-a-circular-el-billete-de-2000-se-adelanto-su-emision-por-el-avance-inflacionario/")</f>
        <v>http://quierodecir.com.ar/comienza-a-circular-el-billete-de-2000-se-adelanto-su-emision-por-el-avance-inflacionario/</v>
      </c>
      <c r="Y3930" s="77" t="s">
        <v>8624</v>
      </c>
      <c r="Z3930" s="77" t="s">
        <v>2063</v>
      </c>
      <c r="AA3930" s="77"/>
      <c r="AB3930" s="77"/>
      <c r="AC3930" s="80" t="s">
        <v>10540</v>
      </c>
      <c r="AD3930" s="77" t="s">
        <v>10620</v>
      </c>
      <c r="AE3930" s="83" t="str">
        <f>HYPERLINK("https://twitter.com/veroana_lentini/status/1660702268335767592")</f>
        <v>https://twitter.com/veroana_lentini/status/1660702268335767592</v>
      </c>
      <c r="AF3930" s="79">
        <v>45068.736678240741</v>
      </c>
      <c r="AG3930" s="85">
        <v>45068</v>
      </c>
      <c r="AH3930" s="80" t="s">
        <v>14031</v>
      </c>
      <c r="AI3930" s="77" t="b">
        <v>0</v>
      </c>
      <c r="AJ3930" s="77"/>
      <c r="AK3930" s="77"/>
      <c r="AL3930" s="77"/>
      <c r="AM3930" s="77"/>
      <c r="AN3930" s="77"/>
      <c r="AO3930" s="77"/>
      <c r="AP3930" s="77"/>
      <c r="AQ3930" s="77"/>
      <c r="AR3930" s="77"/>
      <c r="AS3930" s="77"/>
      <c r="AT3930" s="77"/>
      <c r="AU3930" s="77"/>
      <c r="AV3930" s="83" t="str">
        <f>HYPERLINK("https://pbs.twimg.com/profile_images/911208796168613889/RqI2LWA1_normal.jpg")</f>
        <v>https://pbs.twimg.com/profile_images/911208796168613889/RqI2LWA1_normal.jpg</v>
      </c>
      <c r="AW3930" s="80" t="s">
        <v>19607</v>
      </c>
      <c r="AX3930" s="80" t="s">
        <v>19607</v>
      </c>
      <c r="AY3930" s="77"/>
      <c r="AZ3930" s="80" t="s">
        <v>20380</v>
      </c>
      <c r="BA3930" s="80" t="s">
        <v>20380</v>
      </c>
      <c r="BB3930" s="80" t="s">
        <v>20380</v>
      </c>
      <c r="BC3930" s="80" t="s">
        <v>19607</v>
      </c>
      <c r="BD3930" s="77">
        <v>123104950</v>
      </c>
      <c r="BE3930" s="77"/>
      <c r="BF3930" s="77"/>
      <c r="BG3930" s="77"/>
      <c r="BH3930" s="77"/>
      <c r="BI3930" s="77"/>
    </row>
    <row r="3931" spans="1:61" x14ac:dyDescent="0.25">
      <c r="A3931" s="62" t="s">
        <v>1589</v>
      </c>
      <c r="B3931" s="62" t="s">
        <v>1589</v>
      </c>
      <c r="C3931" s="63"/>
      <c r="D3931" s="64"/>
      <c r="E3931" s="65"/>
      <c r="F3931" s="66"/>
      <c r="G3931" s="63"/>
      <c r="H3931" s="67"/>
      <c r="I3931" s="68"/>
      <c r="J3931" s="68"/>
      <c r="K3931" s="32"/>
      <c r="L3931" s="75">
        <v>3931</v>
      </c>
      <c r="M3931" s="75"/>
      <c r="N3931" s="70"/>
      <c r="O3931" s="77" t="s">
        <v>179</v>
      </c>
      <c r="P3931" s="79">
        <v>45104.946817129632</v>
      </c>
      <c r="Q3931" s="77" t="s">
        <v>5545</v>
      </c>
      <c r="R3931" s="77">
        <v>26</v>
      </c>
      <c r="S3931" s="77">
        <v>68</v>
      </c>
      <c r="T3931" s="77">
        <v>1</v>
      </c>
      <c r="U3931" s="77">
        <v>0</v>
      </c>
      <c r="V3931" s="77">
        <v>1044</v>
      </c>
      <c r="W3931" s="80" t="s">
        <v>8355</v>
      </c>
      <c r="X3931" s="77"/>
      <c r="Y3931" s="77"/>
      <c r="Z3931" s="77"/>
      <c r="AA3931" s="77" t="s">
        <v>10347</v>
      </c>
      <c r="AB3931" s="77" t="s">
        <v>10534</v>
      </c>
      <c r="AC3931" s="80" t="s">
        <v>10541</v>
      </c>
      <c r="AD3931" s="77" t="s">
        <v>10617</v>
      </c>
      <c r="AE3931" s="83" t="str">
        <f>HYPERLINK("https://twitter.com/profclaudiobran/status/1673824380575526912")</f>
        <v>https://twitter.com/profclaudiobran/status/1673824380575526912</v>
      </c>
      <c r="AF3931" s="79">
        <v>45104.946817129632</v>
      </c>
      <c r="AG3931" s="85">
        <v>45104</v>
      </c>
      <c r="AH3931" s="80" t="s">
        <v>14032</v>
      </c>
      <c r="AI3931" s="77" t="b">
        <v>0</v>
      </c>
      <c r="AJ3931" s="77"/>
      <c r="AK3931" s="77"/>
      <c r="AL3931" s="77"/>
      <c r="AM3931" s="77"/>
      <c r="AN3931" s="77"/>
      <c r="AO3931" s="77"/>
      <c r="AP3931" s="77"/>
      <c r="AQ3931" s="77" t="s">
        <v>15826</v>
      </c>
      <c r="AR3931" s="77">
        <v>294711</v>
      </c>
      <c r="AS3931" s="77"/>
      <c r="AT3931" s="77"/>
      <c r="AU3931" s="77"/>
      <c r="AV3931" s="83" t="str">
        <f>HYPERLINK("https://pbs.twimg.com/ext_tw_video_thumb/1673824020981071875/pu/img/K7bLNyv-zsAX0W4Q.jpg")</f>
        <v>https://pbs.twimg.com/ext_tw_video_thumb/1673824020981071875/pu/img/K7bLNyv-zsAX0W4Q.jpg</v>
      </c>
      <c r="AW3931" s="80" t="s">
        <v>19608</v>
      </c>
      <c r="AX3931" s="80" t="s">
        <v>19608</v>
      </c>
      <c r="AY3931" s="77"/>
      <c r="AZ3931" s="80" t="s">
        <v>20380</v>
      </c>
      <c r="BA3931" s="80" t="s">
        <v>20380</v>
      </c>
      <c r="BB3931" s="80" t="s">
        <v>20380</v>
      </c>
      <c r="BC3931" s="80" t="s">
        <v>19608</v>
      </c>
      <c r="BD3931" s="77">
        <v>2352495202</v>
      </c>
      <c r="BE3931" s="77"/>
      <c r="BF3931" s="77"/>
      <c r="BG3931" s="77"/>
      <c r="BH3931" s="77"/>
      <c r="BI3931" s="77"/>
    </row>
    <row r="3932" spans="1:61" x14ac:dyDescent="0.25">
      <c r="A3932" s="62" t="s">
        <v>1590</v>
      </c>
      <c r="B3932" s="62" t="s">
        <v>1590</v>
      </c>
      <c r="C3932" s="63"/>
      <c r="D3932" s="64"/>
      <c r="E3932" s="65"/>
      <c r="F3932" s="66"/>
      <c r="G3932" s="63"/>
      <c r="H3932" s="67"/>
      <c r="I3932" s="68"/>
      <c r="J3932" s="68"/>
      <c r="K3932" s="32"/>
      <c r="L3932" s="75">
        <v>3932</v>
      </c>
      <c r="M3932" s="75"/>
      <c r="N3932" s="70"/>
      <c r="O3932" s="77" t="s">
        <v>179</v>
      </c>
      <c r="P3932" s="79">
        <v>45166.924583333333</v>
      </c>
      <c r="Q3932" s="77" t="s">
        <v>5546</v>
      </c>
      <c r="R3932" s="77">
        <v>0</v>
      </c>
      <c r="S3932" s="77">
        <v>0</v>
      </c>
      <c r="T3932" s="77">
        <v>0</v>
      </c>
      <c r="U3932" s="77">
        <v>0</v>
      </c>
      <c r="V3932" s="77">
        <v>27</v>
      </c>
      <c r="W3932" s="80" t="s">
        <v>8356</v>
      </c>
      <c r="X3932" s="77"/>
      <c r="Y3932" s="77"/>
      <c r="Z3932" s="77"/>
      <c r="AA3932" s="77" t="s">
        <v>10348</v>
      </c>
      <c r="AB3932" s="77" t="s">
        <v>10535</v>
      </c>
      <c r="AC3932" s="80" t="s">
        <v>10540</v>
      </c>
      <c r="AD3932" s="77" t="s">
        <v>10617</v>
      </c>
      <c r="AE3932" s="83" t="str">
        <f>HYPERLINK("https://twitter.com/_laurent_v/status/1696284374013018344")</f>
        <v>https://twitter.com/_laurent_v/status/1696284374013018344</v>
      </c>
      <c r="AF3932" s="79">
        <v>45166.924583333333</v>
      </c>
      <c r="AG3932" s="85">
        <v>45166</v>
      </c>
      <c r="AH3932" s="80" t="s">
        <v>14033</v>
      </c>
      <c r="AI3932" s="77" t="b">
        <v>0</v>
      </c>
      <c r="AJ3932" s="77" t="s">
        <v>14376</v>
      </c>
      <c r="AK3932" s="77" t="s">
        <v>14381</v>
      </c>
      <c r="AL3932" s="77" t="s">
        <v>14390</v>
      </c>
      <c r="AM3932" s="77" t="s">
        <v>14381</v>
      </c>
      <c r="AN3932" s="77" t="s">
        <v>14473</v>
      </c>
      <c r="AO3932" s="77" t="s">
        <v>14381</v>
      </c>
      <c r="AP3932" s="77" t="s">
        <v>14518</v>
      </c>
      <c r="AQ3932" s="77" t="s">
        <v>15827</v>
      </c>
      <c r="AR3932" s="77"/>
      <c r="AS3932" s="77"/>
      <c r="AT3932" s="77"/>
      <c r="AU3932" s="77"/>
      <c r="AV3932" s="83" t="str">
        <f>HYPERLINK("https://pbs.twimg.com/media/F4pppiYXQAAbr1j.jpg")</f>
        <v>https://pbs.twimg.com/media/F4pppiYXQAAbr1j.jpg</v>
      </c>
      <c r="AW3932" s="80" t="s">
        <v>19609</v>
      </c>
      <c r="AX3932" s="80" t="s">
        <v>19609</v>
      </c>
      <c r="AY3932" s="77"/>
      <c r="AZ3932" s="80" t="s">
        <v>20380</v>
      </c>
      <c r="BA3932" s="80" t="s">
        <v>20380</v>
      </c>
      <c r="BB3932" s="80" t="s">
        <v>20380</v>
      </c>
      <c r="BC3932" s="80" t="s">
        <v>19609</v>
      </c>
      <c r="BD3932" s="80" t="s">
        <v>21159</v>
      </c>
      <c r="BE3932" s="77"/>
      <c r="BF3932" s="77"/>
      <c r="BG3932" s="77"/>
      <c r="BH3932" s="77"/>
      <c r="BI3932" s="77"/>
    </row>
    <row r="3933" spans="1:61" x14ac:dyDescent="0.25">
      <c r="A3933" s="62" t="s">
        <v>1591</v>
      </c>
      <c r="B3933" s="62" t="s">
        <v>1591</v>
      </c>
      <c r="C3933" s="63"/>
      <c r="D3933" s="64"/>
      <c r="E3933" s="65"/>
      <c r="F3933" s="66"/>
      <c r="G3933" s="63"/>
      <c r="H3933" s="67"/>
      <c r="I3933" s="68"/>
      <c r="J3933" s="68"/>
      <c r="K3933" s="32"/>
      <c r="L3933" s="75">
        <v>3933</v>
      </c>
      <c r="M3933" s="75"/>
      <c r="N3933" s="70"/>
      <c r="O3933" s="77" t="s">
        <v>179</v>
      </c>
      <c r="P3933" s="79">
        <v>45155.817800925928</v>
      </c>
      <c r="Q3933" s="77" t="s">
        <v>5547</v>
      </c>
      <c r="R3933" s="77">
        <v>0</v>
      </c>
      <c r="S3933" s="77">
        <v>0</v>
      </c>
      <c r="T3933" s="77">
        <v>1</v>
      </c>
      <c r="U3933" s="77">
        <v>0</v>
      </c>
      <c r="V3933" s="77">
        <v>51</v>
      </c>
      <c r="W3933" s="80" t="s">
        <v>8357</v>
      </c>
      <c r="X3933" s="83" t="str">
        <f>HYPERLINK("https://www.youtube.com/watch?v=vn-a527pCr4")</f>
        <v>https://www.youtube.com/watch?v=vn-a527pCr4</v>
      </c>
      <c r="Y3933" s="77" t="s">
        <v>8612</v>
      </c>
      <c r="Z3933" s="77"/>
      <c r="AA3933" s="77"/>
      <c r="AB3933" s="77"/>
      <c r="AC3933" s="80" t="s">
        <v>10541</v>
      </c>
      <c r="AD3933" s="77" t="s">
        <v>10620</v>
      </c>
      <c r="AE3933" s="83" t="str">
        <f>HYPERLINK("https://twitter.com/aleguardia/status/1692259409487974839")</f>
        <v>https://twitter.com/aleguardia/status/1692259409487974839</v>
      </c>
      <c r="AF3933" s="79">
        <v>45155.817800925928</v>
      </c>
      <c r="AG3933" s="85">
        <v>45155</v>
      </c>
      <c r="AH3933" s="80" t="s">
        <v>14034</v>
      </c>
      <c r="AI3933" s="77" t="b">
        <v>0</v>
      </c>
      <c r="AJ3933" s="77"/>
      <c r="AK3933" s="77"/>
      <c r="AL3933" s="77"/>
      <c r="AM3933" s="77"/>
      <c r="AN3933" s="77"/>
      <c r="AO3933" s="77"/>
      <c r="AP3933" s="77"/>
      <c r="AQ3933" s="77"/>
      <c r="AR3933" s="77"/>
      <c r="AS3933" s="77"/>
      <c r="AT3933" s="77"/>
      <c r="AU3933" s="77"/>
      <c r="AV3933" s="83" t="str">
        <f>HYPERLINK("https://pbs.twimg.com/profile_images/1504067632336678917/r1suvyRN_normal.jpg")</f>
        <v>https://pbs.twimg.com/profile_images/1504067632336678917/r1suvyRN_normal.jpg</v>
      </c>
      <c r="AW3933" s="80" t="s">
        <v>19610</v>
      </c>
      <c r="AX3933" s="80" t="s">
        <v>19610</v>
      </c>
      <c r="AY3933" s="77"/>
      <c r="AZ3933" s="80" t="s">
        <v>20380</v>
      </c>
      <c r="BA3933" s="80" t="s">
        <v>20380</v>
      </c>
      <c r="BB3933" s="80" t="s">
        <v>20380</v>
      </c>
      <c r="BC3933" s="80" t="s">
        <v>19610</v>
      </c>
      <c r="BD3933" s="77">
        <v>166460777</v>
      </c>
      <c r="BE3933" s="77"/>
      <c r="BF3933" s="77"/>
      <c r="BG3933" s="77"/>
      <c r="BH3933" s="77"/>
      <c r="BI3933" s="77"/>
    </row>
    <row r="3934" spans="1:61" x14ac:dyDescent="0.25">
      <c r="A3934" s="62" t="s">
        <v>1592</v>
      </c>
      <c r="B3934" s="62" t="s">
        <v>1592</v>
      </c>
      <c r="C3934" s="63"/>
      <c r="D3934" s="64"/>
      <c r="E3934" s="65"/>
      <c r="F3934" s="66"/>
      <c r="G3934" s="63"/>
      <c r="H3934" s="67"/>
      <c r="I3934" s="68"/>
      <c r="J3934" s="68"/>
      <c r="K3934" s="32"/>
      <c r="L3934" s="75">
        <v>3934</v>
      </c>
      <c r="M3934" s="75"/>
      <c r="N3934" s="70"/>
      <c r="O3934" s="77" t="s">
        <v>179</v>
      </c>
      <c r="P3934" s="79">
        <v>45086.706608796296</v>
      </c>
      <c r="Q3934" s="77" t="s">
        <v>5548</v>
      </c>
      <c r="R3934" s="77">
        <v>0</v>
      </c>
      <c r="S3934" s="77">
        <v>0</v>
      </c>
      <c r="T3934" s="77">
        <v>0</v>
      </c>
      <c r="U3934" s="77">
        <v>0</v>
      </c>
      <c r="V3934" s="77">
        <v>30</v>
      </c>
      <c r="W3934" s="80" t="s">
        <v>8358</v>
      </c>
      <c r="X3934" s="83" t="str">
        <f>HYPERLINK("https://www.serranossa.com.br/36-mil-pessoas-ainda-tem-dinheiro-esquecido-a-resgatar/")</f>
        <v>https://www.serranossa.com.br/36-mil-pessoas-ainda-tem-dinheiro-esquecido-a-resgatar/</v>
      </c>
      <c r="Y3934" s="77" t="s">
        <v>8611</v>
      </c>
      <c r="Z3934" s="77"/>
      <c r="AA3934" s="77" t="s">
        <v>10349</v>
      </c>
      <c r="AB3934" s="77" t="s">
        <v>10535</v>
      </c>
      <c r="AC3934" s="80" t="s">
        <v>10541</v>
      </c>
      <c r="AD3934" s="77" t="s">
        <v>10617</v>
      </c>
      <c r="AE3934" s="83" t="str">
        <f>HYPERLINK("https://twitter.com/serranossa/status/1667214352863117314")</f>
        <v>https://twitter.com/serranossa/status/1667214352863117314</v>
      </c>
      <c r="AF3934" s="79">
        <v>45086.706608796296</v>
      </c>
      <c r="AG3934" s="85">
        <v>45086</v>
      </c>
      <c r="AH3934" s="80" t="s">
        <v>14035</v>
      </c>
      <c r="AI3934" s="77" t="b">
        <v>0</v>
      </c>
      <c r="AJ3934" s="77"/>
      <c r="AK3934" s="77"/>
      <c r="AL3934" s="77"/>
      <c r="AM3934" s="77"/>
      <c r="AN3934" s="77"/>
      <c r="AO3934" s="77"/>
      <c r="AP3934" s="77"/>
      <c r="AQ3934" s="77" t="s">
        <v>15828</v>
      </c>
      <c r="AR3934" s="77"/>
      <c r="AS3934" s="77"/>
      <c r="AT3934" s="77"/>
      <c r="AU3934" s="77"/>
      <c r="AV3934" s="83" t="str">
        <f>HYPERLINK("https://pbs.twimg.com/media/FyMindhWwA0B3YM.jpg")</f>
        <v>https://pbs.twimg.com/media/FyMindhWwA0B3YM.jpg</v>
      </c>
      <c r="AW3934" s="80" t="s">
        <v>19611</v>
      </c>
      <c r="AX3934" s="80" t="s">
        <v>19611</v>
      </c>
      <c r="AY3934" s="77"/>
      <c r="AZ3934" s="80" t="s">
        <v>20380</v>
      </c>
      <c r="BA3934" s="80" t="s">
        <v>20380</v>
      </c>
      <c r="BB3934" s="80" t="s">
        <v>20380</v>
      </c>
      <c r="BC3934" s="80" t="s">
        <v>19611</v>
      </c>
      <c r="BD3934" s="77">
        <v>79061885</v>
      </c>
      <c r="BE3934" s="77"/>
      <c r="BF3934" s="77"/>
      <c r="BG3934" s="77"/>
      <c r="BH3934" s="77"/>
      <c r="BI3934" s="77"/>
    </row>
    <row r="3935" spans="1:61" x14ac:dyDescent="0.25">
      <c r="A3935" s="62" t="s">
        <v>1592</v>
      </c>
      <c r="B3935" s="62" t="s">
        <v>1592</v>
      </c>
      <c r="C3935" s="63"/>
      <c r="D3935" s="64"/>
      <c r="E3935" s="65"/>
      <c r="F3935" s="66"/>
      <c r="G3935" s="63"/>
      <c r="H3935" s="67"/>
      <c r="I3935" s="68"/>
      <c r="J3935" s="68"/>
      <c r="K3935" s="32"/>
      <c r="L3935" s="75">
        <v>3935</v>
      </c>
      <c r="M3935" s="75"/>
      <c r="N3935" s="70"/>
      <c r="O3935" s="77" t="s">
        <v>179</v>
      </c>
      <c r="P3935" s="79">
        <v>45145.747395833336</v>
      </c>
      <c r="Q3935" s="77" t="s">
        <v>5549</v>
      </c>
      <c r="R3935" s="77">
        <v>0</v>
      </c>
      <c r="S3935" s="77">
        <v>0</v>
      </c>
      <c r="T3935" s="77">
        <v>0</v>
      </c>
      <c r="U3935" s="77">
        <v>0</v>
      </c>
      <c r="V3935" s="77">
        <v>29</v>
      </c>
      <c r="W3935" s="80" t="s">
        <v>8359</v>
      </c>
      <c r="X3935" s="83" t="str">
        <f>HYPERLINK("https://www.serranossa.com.br/dinheiro-esquecido-r-72-bilhoes-ainda-podem-ser-resgatados-em-sistema-do-bc/")</f>
        <v>https://www.serranossa.com.br/dinheiro-esquecido-r-72-bilhoes-ainda-podem-ser-resgatados-em-sistema-do-bc/</v>
      </c>
      <c r="Y3935" s="77" t="s">
        <v>8611</v>
      </c>
      <c r="Z3935" s="77"/>
      <c r="AA3935" s="77" t="s">
        <v>10350</v>
      </c>
      <c r="AB3935" s="77" t="s">
        <v>10535</v>
      </c>
      <c r="AC3935" s="80" t="s">
        <v>10541</v>
      </c>
      <c r="AD3935" s="77" t="s">
        <v>10617</v>
      </c>
      <c r="AE3935" s="83" t="str">
        <f>HYPERLINK("https://twitter.com/serranossa/status/1688610018239590400")</f>
        <v>https://twitter.com/serranossa/status/1688610018239590400</v>
      </c>
      <c r="AF3935" s="79">
        <v>45145.747395833336</v>
      </c>
      <c r="AG3935" s="85">
        <v>45145</v>
      </c>
      <c r="AH3935" s="80" t="s">
        <v>14036</v>
      </c>
      <c r="AI3935" s="77" t="b">
        <v>0</v>
      </c>
      <c r="AJ3935" s="77"/>
      <c r="AK3935" s="77"/>
      <c r="AL3935" s="77"/>
      <c r="AM3935" s="77"/>
      <c r="AN3935" s="77"/>
      <c r="AO3935" s="77"/>
      <c r="AP3935" s="77"/>
      <c r="AQ3935" s="77" t="s">
        <v>15829</v>
      </c>
      <c r="AR3935" s="77"/>
      <c r="AS3935" s="77"/>
      <c r="AT3935" s="77"/>
      <c r="AU3935" s="77"/>
      <c r="AV3935" s="83" t="str">
        <f>HYPERLINK("https://pbs.twimg.com/media/F28l3BeWwAAAA71.jpg")</f>
        <v>https://pbs.twimg.com/media/F28l3BeWwAAAA71.jpg</v>
      </c>
      <c r="AW3935" s="80" t="s">
        <v>19612</v>
      </c>
      <c r="AX3935" s="80" t="s">
        <v>19612</v>
      </c>
      <c r="AY3935" s="77"/>
      <c r="AZ3935" s="80" t="s">
        <v>20380</v>
      </c>
      <c r="BA3935" s="80" t="s">
        <v>20380</v>
      </c>
      <c r="BB3935" s="80" t="s">
        <v>20380</v>
      </c>
      <c r="BC3935" s="80" t="s">
        <v>19612</v>
      </c>
      <c r="BD3935" s="77">
        <v>79061885</v>
      </c>
      <c r="BE3935" s="77"/>
      <c r="BF3935" s="77"/>
      <c r="BG3935" s="77"/>
      <c r="BH3935" s="77"/>
      <c r="BI3935" s="77"/>
    </row>
    <row r="3936" spans="1:61" x14ac:dyDescent="0.25">
      <c r="A3936" s="62" t="s">
        <v>1592</v>
      </c>
      <c r="B3936" s="62" t="s">
        <v>1592</v>
      </c>
      <c r="C3936" s="63"/>
      <c r="D3936" s="64"/>
      <c r="E3936" s="65"/>
      <c r="F3936" s="66"/>
      <c r="G3936" s="63"/>
      <c r="H3936" s="67"/>
      <c r="I3936" s="68"/>
      <c r="J3936" s="68"/>
      <c r="K3936" s="32"/>
      <c r="L3936" s="75">
        <v>3936</v>
      </c>
      <c r="M3936" s="75"/>
      <c r="N3936" s="70"/>
      <c r="O3936" s="77" t="s">
        <v>179</v>
      </c>
      <c r="P3936" s="79">
        <v>45167.751134259262</v>
      </c>
      <c r="Q3936" s="77" t="s">
        <v>5550</v>
      </c>
      <c r="R3936" s="77">
        <v>0</v>
      </c>
      <c r="S3936" s="77">
        <v>0</v>
      </c>
      <c r="T3936" s="77">
        <v>0</v>
      </c>
      <c r="U3936" s="77">
        <v>0</v>
      </c>
      <c r="V3936" s="77">
        <v>44</v>
      </c>
      <c r="W3936" s="80" t="s">
        <v>8359</v>
      </c>
      <c r="X3936" s="83" t="str">
        <f>HYPERLINK("https://www.serranossa.com.br/dinheiro-esquecido-usuario-retira-r-28-milhoes-no-maior-saque-de-pessoa-fisica-do-sistema-do-bc/")</f>
        <v>https://www.serranossa.com.br/dinheiro-esquecido-usuario-retira-r-28-milhoes-no-maior-saque-de-pessoa-fisica-do-sistema-do-bc/</v>
      </c>
      <c r="Y3936" s="77" t="s">
        <v>8611</v>
      </c>
      <c r="Z3936" s="77"/>
      <c r="AA3936" s="77" t="s">
        <v>10351</v>
      </c>
      <c r="AB3936" s="77" t="s">
        <v>10535</v>
      </c>
      <c r="AC3936" s="80" t="s">
        <v>10541</v>
      </c>
      <c r="AD3936" s="77" t="s">
        <v>10617</v>
      </c>
      <c r="AE3936" s="83" t="str">
        <f>HYPERLINK("https://twitter.com/serranossa/status/1696583903002190135")</f>
        <v>https://twitter.com/serranossa/status/1696583903002190135</v>
      </c>
      <c r="AF3936" s="79">
        <v>45167.751134259262</v>
      </c>
      <c r="AG3936" s="85">
        <v>45167</v>
      </c>
      <c r="AH3936" s="80" t="s">
        <v>14037</v>
      </c>
      <c r="AI3936" s="77" t="b">
        <v>0</v>
      </c>
      <c r="AJ3936" s="77"/>
      <c r="AK3936" s="77"/>
      <c r="AL3936" s="77"/>
      <c r="AM3936" s="77"/>
      <c r="AN3936" s="77"/>
      <c r="AO3936" s="77"/>
      <c r="AP3936" s="77"/>
      <c r="AQ3936" s="77" t="s">
        <v>15830</v>
      </c>
      <c r="AR3936" s="77"/>
      <c r="AS3936" s="77"/>
      <c r="AT3936" s="77"/>
      <c r="AU3936" s="77"/>
      <c r="AV3936" s="83" t="str">
        <f>HYPERLINK("https://pbs.twimg.com/media/F4t6EEMWkAErvR6.jpg")</f>
        <v>https://pbs.twimg.com/media/F4t6EEMWkAErvR6.jpg</v>
      </c>
      <c r="AW3936" s="80" t="s">
        <v>19613</v>
      </c>
      <c r="AX3936" s="80" t="s">
        <v>19613</v>
      </c>
      <c r="AY3936" s="77"/>
      <c r="AZ3936" s="80" t="s">
        <v>20380</v>
      </c>
      <c r="BA3936" s="80" t="s">
        <v>20380</v>
      </c>
      <c r="BB3936" s="80" t="s">
        <v>20380</v>
      </c>
      <c r="BC3936" s="80" t="s">
        <v>19613</v>
      </c>
      <c r="BD3936" s="77">
        <v>79061885</v>
      </c>
      <c r="BE3936" s="77"/>
      <c r="BF3936" s="77"/>
      <c r="BG3936" s="77"/>
      <c r="BH3936" s="77"/>
      <c r="BI3936" s="77"/>
    </row>
    <row r="3937" spans="1:61" x14ac:dyDescent="0.25">
      <c r="A3937" s="62" t="s">
        <v>1592</v>
      </c>
      <c r="B3937" s="62" t="s">
        <v>1592</v>
      </c>
      <c r="C3937" s="63"/>
      <c r="D3937" s="64"/>
      <c r="E3937" s="65"/>
      <c r="F3937" s="66"/>
      <c r="G3937" s="63"/>
      <c r="H3937" s="67"/>
      <c r="I3937" s="68"/>
      <c r="J3937" s="68"/>
      <c r="K3937" s="32"/>
      <c r="L3937" s="75">
        <v>3937</v>
      </c>
      <c r="M3937" s="75"/>
      <c r="N3937" s="70"/>
      <c r="O3937" s="77" t="s">
        <v>179</v>
      </c>
      <c r="P3937" s="79">
        <v>45173.784456018519</v>
      </c>
      <c r="Q3937" s="77" t="s">
        <v>5551</v>
      </c>
      <c r="R3937" s="77">
        <v>0</v>
      </c>
      <c r="S3937" s="77">
        <v>0</v>
      </c>
      <c r="T3937" s="77">
        <v>0</v>
      </c>
      <c r="U3937" s="77">
        <v>0</v>
      </c>
      <c r="V3937" s="77">
        <v>72</v>
      </c>
      <c r="W3937" s="80" t="s">
        <v>8360</v>
      </c>
      <c r="X3937" s="83" t="str">
        <f>HYPERLINK("https://www.serranossa.com.br/pix-de-r-12-bilhao-foi-o-maior-desde-lancamento-diz-bc/")</f>
        <v>https://www.serranossa.com.br/pix-de-r-12-bilhao-foi-o-maior-desde-lancamento-diz-bc/</v>
      </c>
      <c r="Y3937" s="77" t="s">
        <v>8611</v>
      </c>
      <c r="Z3937" s="77"/>
      <c r="AA3937" s="77" t="s">
        <v>10352</v>
      </c>
      <c r="AB3937" s="77" t="s">
        <v>10535</v>
      </c>
      <c r="AC3937" s="80" t="s">
        <v>10541</v>
      </c>
      <c r="AD3937" s="77" t="s">
        <v>10617</v>
      </c>
      <c r="AE3937" s="83" t="str">
        <f>HYPERLINK("https://twitter.com/serranossa/status/1698770308323217771")</f>
        <v>https://twitter.com/serranossa/status/1698770308323217771</v>
      </c>
      <c r="AF3937" s="79">
        <v>45173.784456018519</v>
      </c>
      <c r="AG3937" s="85">
        <v>45173</v>
      </c>
      <c r="AH3937" s="80" t="s">
        <v>14038</v>
      </c>
      <c r="AI3937" s="77" t="b">
        <v>0</v>
      </c>
      <c r="AJ3937" s="77"/>
      <c r="AK3937" s="77"/>
      <c r="AL3937" s="77"/>
      <c r="AM3937" s="77"/>
      <c r="AN3937" s="77"/>
      <c r="AO3937" s="77"/>
      <c r="AP3937" s="77"/>
      <c r="AQ3937" s="77" t="s">
        <v>15831</v>
      </c>
      <c r="AR3937" s="77"/>
      <c r="AS3937" s="77"/>
      <c r="AT3937" s="77"/>
      <c r="AU3937" s="77"/>
      <c r="AV3937" s="83" t="str">
        <f>HYPERLINK("https://pbs.twimg.com/media/F5M-l11WsAArFNs.jpg")</f>
        <v>https://pbs.twimg.com/media/F5M-l11WsAArFNs.jpg</v>
      </c>
      <c r="AW3937" s="80" t="s">
        <v>19614</v>
      </c>
      <c r="AX3937" s="80" t="s">
        <v>19614</v>
      </c>
      <c r="AY3937" s="77"/>
      <c r="AZ3937" s="80" t="s">
        <v>20380</v>
      </c>
      <c r="BA3937" s="80" t="s">
        <v>20380</v>
      </c>
      <c r="BB3937" s="80" t="s">
        <v>20380</v>
      </c>
      <c r="BC3937" s="80" t="s">
        <v>19614</v>
      </c>
      <c r="BD3937" s="77">
        <v>79061885</v>
      </c>
      <c r="BE3937" s="77"/>
      <c r="BF3937" s="77"/>
      <c r="BG3937" s="77"/>
      <c r="BH3937" s="77"/>
      <c r="BI3937" s="77"/>
    </row>
    <row r="3938" spans="1:61" x14ac:dyDescent="0.25">
      <c r="A3938" s="62" t="s">
        <v>1593</v>
      </c>
      <c r="B3938" s="62" t="s">
        <v>1593</v>
      </c>
      <c r="C3938" s="63"/>
      <c r="D3938" s="64"/>
      <c r="E3938" s="65"/>
      <c r="F3938" s="66"/>
      <c r="G3938" s="63"/>
      <c r="H3938" s="67"/>
      <c r="I3938" s="68"/>
      <c r="J3938" s="68"/>
      <c r="K3938" s="32"/>
      <c r="L3938" s="75">
        <v>3938</v>
      </c>
      <c r="M3938" s="75"/>
      <c r="N3938" s="70"/>
      <c r="O3938" s="77" t="s">
        <v>179</v>
      </c>
      <c r="P3938" s="79">
        <v>45106.828946759262</v>
      </c>
      <c r="Q3938" s="77" t="s">
        <v>5552</v>
      </c>
      <c r="R3938" s="77">
        <v>0</v>
      </c>
      <c r="S3938" s="77">
        <v>0</v>
      </c>
      <c r="T3938" s="77">
        <v>0</v>
      </c>
      <c r="U3938" s="77">
        <v>0</v>
      </c>
      <c r="V3938" s="77">
        <v>22</v>
      </c>
      <c r="W3938" s="80" t="s">
        <v>8361</v>
      </c>
      <c r="X3938" s="83" t="str">
        <f>HYPERLINK("https://bit.ly/3JBz722")</f>
        <v>https://bit.ly/3JBz722</v>
      </c>
      <c r="Y3938" s="77" t="s">
        <v>8618</v>
      </c>
      <c r="Z3938" s="77"/>
      <c r="AA3938" s="77" t="s">
        <v>10353</v>
      </c>
      <c r="AB3938" s="77" t="s">
        <v>10535</v>
      </c>
      <c r="AC3938" s="80" t="s">
        <v>10546</v>
      </c>
      <c r="AD3938" s="77" t="s">
        <v>10617</v>
      </c>
      <c r="AE3938" s="83" t="str">
        <f>HYPERLINK("https://twitter.com/rj106news/status/1674506441883807754")</f>
        <v>https://twitter.com/rj106news/status/1674506441883807754</v>
      </c>
      <c r="AF3938" s="79">
        <v>45106.828946759262</v>
      </c>
      <c r="AG3938" s="85">
        <v>45106</v>
      </c>
      <c r="AH3938" s="80" t="s">
        <v>14039</v>
      </c>
      <c r="AI3938" s="77" t="b">
        <v>0</v>
      </c>
      <c r="AJ3938" s="77"/>
      <c r="AK3938" s="77"/>
      <c r="AL3938" s="77"/>
      <c r="AM3938" s="77"/>
      <c r="AN3938" s="77"/>
      <c r="AO3938" s="77"/>
      <c r="AP3938" s="77"/>
      <c r="AQ3938" s="77" t="s">
        <v>15832</v>
      </c>
      <c r="AR3938" s="77"/>
      <c r="AS3938" s="77"/>
      <c r="AT3938" s="77"/>
      <c r="AU3938" s="77"/>
      <c r="AV3938" s="83" t="str">
        <f>HYPERLINK("https://pbs.twimg.com/media/Fz0KvA7WcBIbZ7D.jpg")</f>
        <v>https://pbs.twimg.com/media/Fz0KvA7WcBIbZ7D.jpg</v>
      </c>
      <c r="AW3938" s="80" t="s">
        <v>19615</v>
      </c>
      <c r="AX3938" s="80" t="s">
        <v>19615</v>
      </c>
      <c r="AY3938" s="77"/>
      <c r="AZ3938" s="80" t="s">
        <v>20380</v>
      </c>
      <c r="BA3938" s="80" t="s">
        <v>20380</v>
      </c>
      <c r="BB3938" s="80" t="s">
        <v>20380</v>
      </c>
      <c r="BC3938" s="80" t="s">
        <v>19615</v>
      </c>
      <c r="BD3938" s="80" t="s">
        <v>21160</v>
      </c>
      <c r="BE3938" s="77"/>
      <c r="BF3938" s="77"/>
      <c r="BG3938" s="77"/>
      <c r="BH3938" s="77"/>
      <c r="BI3938" s="77"/>
    </row>
    <row r="3939" spans="1:61" x14ac:dyDescent="0.25">
      <c r="A3939" s="62" t="s">
        <v>1594</v>
      </c>
      <c r="B3939" s="62" t="s">
        <v>1594</v>
      </c>
      <c r="C3939" s="63"/>
      <c r="D3939" s="64"/>
      <c r="E3939" s="65"/>
      <c r="F3939" s="66"/>
      <c r="G3939" s="63"/>
      <c r="H3939" s="67"/>
      <c r="I3939" s="68"/>
      <c r="J3939" s="68"/>
      <c r="K3939" s="32"/>
      <c r="L3939" s="75">
        <v>3939</v>
      </c>
      <c r="M3939" s="75"/>
      <c r="N3939" s="70"/>
      <c r="O3939" s="77" t="s">
        <v>179</v>
      </c>
      <c r="P3939" s="79">
        <v>45050.50104166667</v>
      </c>
      <c r="Q3939" s="77" t="s">
        <v>5553</v>
      </c>
      <c r="R3939" s="77">
        <v>1</v>
      </c>
      <c r="S3939" s="77">
        <v>2</v>
      </c>
      <c r="T3939" s="77">
        <v>0</v>
      </c>
      <c r="U3939" s="77">
        <v>0</v>
      </c>
      <c r="V3939" s="77">
        <v>278</v>
      </c>
      <c r="W3939" s="80" t="s">
        <v>8362</v>
      </c>
      <c r="X3939" s="83" t="str">
        <f>HYPERLINK("https://www.sonoticiaboa.com.br/2023/05/03/bc-anuncia-mudancas-pix-aumentar-seguranca-o-que-muda")</f>
        <v>https://www.sonoticiaboa.com.br/2023/05/03/bc-anuncia-mudancas-pix-aumentar-seguranca-o-que-muda</v>
      </c>
      <c r="Y3939" s="77" t="s">
        <v>8611</v>
      </c>
      <c r="Z3939" s="77"/>
      <c r="AA3939" s="77"/>
      <c r="AB3939" s="77"/>
      <c r="AC3939" s="80" t="s">
        <v>10541</v>
      </c>
      <c r="AD3939" s="77" t="s">
        <v>10617</v>
      </c>
      <c r="AE3939" s="83" t="str">
        <f>HYPERLINK("https://twitter.com/sonoticiaboaofc/status/1654093895020556289")</f>
        <v>https://twitter.com/sonoticiaboaofc/status/1654093895020556289</v>
      </c>
      <c r="AF3939" s="79">
        <v>45050.50104166667</v>
      </c>
      <c r="AG3939" s="85">
        <v>45050</v>
      </c>
      <c r="AH3939" s="80" t="s">
        <v>14040</v>
      </c>
      <c r="AI3939" s="77" t="b">
        <v>1</v>
      </c>
      <c r="AJ3939" s="77"/>
      <c r="AK3939" s="77"/>
      <c r="AL3939" s="77"/>
      <c r="AM3939" s="77"/>
      <c r="AN3939" s="77"/>
      <c r="AO3939" s="77"/>
      <c r="AP3939" s="77"/>
      <c r="AQ3939" s="77"/>
      <c r="AR3939" s="77"/>
      <c r="AS3939" s="77"/>
      <c r="AT3939" s="77"/>
      <c r="AU3939" s="77"/>
      <c r="AV3939" s="83" t="str">
        <f>HYPERLINK("https://pbs.twimg.com/profile_images/1157780273112715264/VrTYn4Si_normal.jpg")</f>
        <v>https://pbs.twimg.com/profile_images/1157780273112715264/VrTYn4Si_normal.jpg</v>
      </c>
      <c r="AW3939" s="80" t="s">
        <v>19616</v>
      </c>
      <c r="AX3939" s="80" t="s">
        <v>19616</v>
      </c>
      <c r="AY3939" s="77"/>
      <c r="AZ3939" s="80" t="s">
        <v>20380</v>
      </c>
      <c r="BA3939" s="80" t="s">
        <v>20380</v>
      </c>
      <c r="BB3939" s="80" t="s">
        <v>20380</v>
      </c>
      <c r="BC3939" s="80" t="s">
        <v>19616</v>
      </c>
      <c r="BD3939" s="77">
        <v>329857969</v>
      </c>
      <c r="BE3939" s="77"/>
      <c r="BF3939" s="77"/>
      <c r="BG3939" s="77"/>
      <c r="BH3939" s="77"/>
      <c r="BI3939" s="77"/>
    </row>
    <row r="3940" spans="1:61" x14ac:dyDescent="0.25">
      <c r="A3940" s="62" t="s">
        <v>1594</v>
      </c>
      <c r="B3940" s="62" t="s">
        <v>1594</v>
      </c>
      <c r="C3940" s="63"/>
      <c r="D3940" s="64"/>
      <c r="E3940" s="65"/>
      <c r="F3940" s="66"/>
      <c r="G3940" s="63"/>
      <c r="H3940" s="67"/>
      <c r="I3940" s="68"/>
      <c r="J3940" s="68"/>
      <c r="K3940" s="32"/>
      <c r="L3940" s="75">
        <v>3940</v>
      </c>
      <c r="M3940" s="75"/>
      <c r="N3940" s="70"/>
      <c r="O3940" s="77" t="s">
        <v>179</v>
      </c>
      <c r="P3940" s="79">
        <v>45049.928159722222</v>
      </c>
      <c r="Q3940" s="77" t="s">
        <v>5554</v>
      </c>
      <c r="R3940" s="77">
        <v>2</v>
      </c>
      <c r="S3940" s="77">
        <v>3</v>
      </c>
      <c r="T3940" s="77">
        <v>0</v>
      </c>
      <c r="U3940" s="77">
        <v>0</v>
      </c>
      <c r="V3940" s="77">
        <v>380</v>
      </c>
      <c r="W3940" s="80" t="s">
        <v>8363</v>
      </c>
      <c r="X3940" s="83" t="str">
        <f>HYPERLINK("https://www.sonoticiaboa.com.br/2023/05/03/bc-anuncia-mudancas-pix-aumentar-seguranca-o-que-muda")</f>
        <v>https://www.sonoticiaboa.com.br/2023/05/03/bc-anuncia-mudancas-pix-aumentar-seguranca-o-que-muda</v>
      </c>
      <c r="Y3940" s="77" t="s">
        <v>8611</v>
      </c>
      <c r="Z3940" s="77"/>
      <c r="AA3940" s="77"/>
      <c r="AB3940" s="77"/>
      <c r="AC3940" s="80" t="s">
        <v>10541</v>
      </c>
      <c r="AD3940" s="77" t="s">
        <v>10617</v>
      </c>
      <c r="AE3940" s="83" t="str">
        <f>HYPERLINK("https://twitter.com/sonoticiaboaofc/status/1653886288888512514")</f>
        <v>https://twitter.com/sonoticiaboaofc/status/1653886288888512514</v>
      </c>
      <c r="AF3940" s="79">
        <v>45049.928159722222</v>
      </c>
      <c r="AG3940" s="85">
        <v>45049</v>
      </c>
      <c r="AH3940" s="80" t="s">
        <v>14041</v>
      </c>
      <c r="AI3940" s="77" t="b">
        <v>1</v>
      </c>
      <c r="AJ3940" s="77"/>
      <c r="AK3940" s="77"/>
      <c r="AL3940" s="77"/>
      <c r="AM3940" s="77"/>
      <c r="AN3940" s="77"/>
      <c r="AO3940" s="77"/>
      <c r="AP3940" s="77"/>
      <c r="AQ3940" s="77"/>
      <c r="AR3940" s="77"/>
      <c r="AS3940" s="77"/>
      <c r="AT3940" s="77"/>
      <c r="AU3940" s="77"/>
      <c r="AV3940" s="83" t="str">
        <f>HYPERLINK("https://pbs.twimg.com/profile_images/1157780273112715264/VrTYn4Si_normal.jpg")</f>
        <v>https://pbs.twimg.com/profile_images/1157780273112715264/VrTYn4Si_normal.jpg</v>
      </c>
      <c r="AW3940" s="80" t="s">
        <v>19617</v>
      </c>
      <c r="AX3940" s="80" t="s">
        <v>19617</v>
      </c>
      <c r="AY3940" s="77"/>
      <c r="AZ3940" s="80" t="s">
        <v>20380</v>
      </c>
      <c r="BA3940" s="80" t="s">
        <v>20380</v>
      </c>
      <c r="BB3940" s="80" t="s">
        <v>20380</v>
      </c>
      <c r="BC3940" s="80" t="s">
        <v>19617</v>
      </c>
      <c r="BD3940" s="77">
        <v>329857969</v>
      </c>
      <c r="BE3940" s="77"/>
      <c r="BF3940" s="77"/>
      <c r="BG3940" s="77"/>
      <c r="BH3940" s="77"/>
      <c r="BI3940" s="77"/>
    </row>
    <row r="3941" spans="1:61" x14ac:dyDescent="0.25">
      <c r="A3941" s="62" t="s">
        <v>1594</v>
      </c>
      <c r="B3941" s="62" t="s">
        <v>1594</v>
      </c>
      <c r="C3941" s="63"/>
      <c r="D3941" s="64"/>
      <c r="E3941" s="65"/>
      <c r="F3941" s="66"/>
      <c r="G3941" s="63"/>
      <c r="H3941" s="67"/>
      <c r="I3941" s="68"/>
      <c r="J3941" s="68"/>
      <c r="K3941" s="32"/>
      <c r="L3941" s="75">
        <v>3941</v>
      </c>
      <c r="M3941" s="75"/>
      <c r="N3941" s="70"/>
      <c r="O3941" s="77" t="s">
        <v>179</v>
      </c>
      <c r="P3941" s="79">
        <v>45099.520787037036</v>
      </c>
      <c r="Q3941" s="77" t="s">
        <v>5555</v>
      </c>
      <c r="R3941" s="77">
        <v>1</v>
      </c>
      <c r="S3941" s="77">
        <v>2</v>
      </c>
      <c r="T3941" s="77">
        <v>0</v>
      </c>
      <c r="U3941" s="77">
        <v>0</v>
      </c>
      <c r="V3941" s="77">
        <v>239</v>
      </c>
      <c r="W3941" s="80" t="s">
        <v>8364</v>
      </c>
      <c r="X3941" s="83" t="str">
        <f>HYPERLINK("https://www.sonoticiaboa.com.br/2023/06/22/pix-automatico-subistituir-debito-automatico-contas")</f>
        <v>https://www.sonoticiaboa.com.br/2023/06/22/pix-automatico-subistituir-debito-automatico-contas</v>
      </c>
      <c r="Y3941" s="77" t="s">
        <v>8611</v>
      </c>
      <c r="Z3941" s="77"/>
      <c r="AA3941" s="77"/>
      <c r="AB3941" s="77"/>
      <c r="AC3941" s="80" t="s">
        <v>10541</v>
      </c>
      <c r="AD3941" s="77" t="s">
        <v>10617</v>
      </c>
      <c r="AE3941" s="83" t="str">
        <f>HYPERLINK("https://twitter.com/sonoticiaboaofc/status/1671858054189416448")</f>
        <v>https://twitter.com/sonoticiaboaofc/status/1671858054189416448</v>
      </c>
      <c r="AF3941" s="79">
        <v>45099.520787037036</v>
      </c>
      <c r="AG3941" s="85">
        <v>45099</v>
      </c>
      <c r="AH3941" s="80" t="s">
        <v>14042</v>
      </c>
      <c r="AI3941" s="77" t="b">
        <v>1</v>
      </c>
      <c r="AJ3941" s="77"/>
      <c r="AK3941" s="77"/>
      <c r="AL3941" s="77"/>
      <c r="AM3941" s="77"/>
      <c r="AN3941" s="77"/>
      <c r="AO3941" s="77"/>
      <c r="AP3941" s="77"/>
      <c r="AQ3941" s="77"/>
      <c r="AR3941" s="77"/>
      <c r="AS3941" s="77"/>
      <c r="AT3941" s="77"/>
      <c r="AU3941" s="77"/>
      <c r="AV3941" s="83" t="str">
        <f>HYPERLINK("https://pbs.twimg.com/profile_images/1157780273112715264/VrTYn4Si_normal.jpg")</f>
        <v>https://pbs.twimg.com/profile_images/1157780273112715264/VrTYn4Si_normal.jpg</v>
      </c>
      <c r="AW3941" s="80" t="s">
        <v>19618</v>
      </c>
      <c r="AX3941" s="80" t="s">
        <v>19618</v>
      </c>
      <c r="AY3941" s="77"/>
      <c r="AZ3941" s="80" t="s">
        <v>20380</v>
      </c>
      <c r="BA3941" s="80" t="s">
        <v>20380</v>
      </c>
      <c r="BB3941" s="80" t="s">
        <v>20380</v>
      </c>
      <c r="BC3941" s="80" t="s">
        <v>19618</v>
      </c>
      <c r="BD3941" s="77">
        <v>329857969</v>
      </c>
      <c r="BE3941" s="77"/>
      <c r="BF3941" s="77"/>
      <c r="BG3941" s="77"/>
      <c r="BH3941" s="77"/>
      <c r="BI3941" s="77"/>
    </row>
    <row r="3942" spans="1:61" x14ac:dyDescent="0.25">
      <c r="A3942" s="62" t="s">
        <v>1594</v>
      </c>
      <c r="B3942" s="62" t="s">
        <v>1594</v>
      </c>
      <c r="C3942" s="63"/>
      <c r="D3942" s="64"/>
      <c r="E3942" s="65"/>
      <c r="F3942" s="66"/>
      <c r="G3942" s="63"/>
      <c r="H3942" s="67"/>
      <c r="I3942" s="68"/>
      <c r="J3942" s="68"/>
      <c r="K3942" s="32"/>
      <c r="L3942" s="75">
        <v>3942</v>
      </c>
      <c r="M3942" s="75"/>
      <c r="N3942" s="70"/>
      <c r="O3942" s="77" t="s">
        <v>179</v>
      </c>
      <c r="P3942" s="79">
        <v>45146.417187500003</v>
      </c>
      <c r="Q3942" s="77" t="s">
        <v>5556</v>
      </c>
      <c r="R3942" s="77">
        <v>2</v>
      </c>
      <c r="S3942" s="77">
        <v>2</v>
      </c>
      <c r="T3942" s="77">
        <v>0</v>
      </c>
      <c r="U3942" s="77">
        <v>0</v>
      </c>
      <c r="V3942" s="77">
        <v>316</v>
      </c>
      <c r="W3942" s="80" t="s">
        <v>8365</v>
      </c>
      <c r="X3942" s="83" t="str">
        <f>HYPERLINK("https://www.sonoticiaboa.com.br/2023/08/08/drex-primeira-moeda-digital-brasil-anunciada-bc-como-usar")</f>
        <v>https://www.sonoticiaboa.com.br/2023/08/08/drex-primeira-moeda-digital-brasil-anunciada-bc-como-usar</v>
      </c>
      <c r="Y3942" s="77" t="s">
        <v>8611</v>
      </c>
      <c r="Z3942" s="77"/>
      <c r="AA3942" s="77"/>
      <c r="AB3942" s="77"/>
      <c r="AC3942" s="80" t="s">
        <v>10541</v>
      </c>
      <c r="AD3942" s="77" t="s">
        <v>10617</v>
      </c>
      <c r="AE3942" s="83" t="str">
        <f>HYPERLINK("https://twitter.com/sonoticiaboaofc/status/1688852740275834880")</f>
        <v>https://twitter.com/sonoticiaboaofc/status/1688852740275834880</v>
      </c>
      <c r="AF3942" s="79">
        <v>45146.417187500003</v>
      </c>
      <c r="AG3942" s="85">
        <v>45146</v>
      </c>
      <c r="AH3942" s="80" t="s">
        <v>14043</v>
      </c>
      <c r="AI3942" s="77" t="b">
        <v>1</v>
      </c>
      <c r="AJ3942" s="77"/>
      <c r="AK3942" s="77"/>
      <c r="AL3942" s="77"/>
      <c r="AM3942" s="77"/>
      <c r="AN3942" s="77"/>
      <c r="AO3942" s="77"/>
      <c r="AP3942" s="77"/>
      <c r="AQ3942" s="77"/>
      <c r="AR3942" s="77"/>
      <c r="AS3942" s="77"/>
      <c r="AT3942" s="77"/>
      <c r="AU3942" s="77"/>
      <c r="AV3942" s="83" t="str">
        <f>HYPERLINK("https://pbs.twimg.com/profile_images/1157780273112715264/VrTYn4Si_normal.jpg")</f>
        <v>https://pbs.twimg.com/profile_images/1157780273112715264/VrTYn4Si_normal.jpg</v>
      </c>
      <c r="AW3942" s="80" t="s">
        <v>19619</v>
      </c>
      <c r="AX3942" s="80" t="s">
        <v>19619</v>
      </c>
      <c r="AY3942" s="77"/>
      <c r="AZ3942" s="80" t="s">
        <v>20380</v>
      </c>
      <c r="BA3942" s="80" t="s">
        <v>20380</v>
      </c>
      <c r="BB3942" s="80" t="s">
        <v>20380</v>
      </c>
      <c r="BC3942" s="80" t="s">
        <v>19619</v>
      </c>
      <c r="BD3942" s="77">
        <v>329857969</v>
      </c>
      <c r="BE3942" s="77"/>
      <c r="BF3942" s="77"/>
      <c r="BG3942" s="77"/>
      <c r="BH3942" s="77"/>
      <c r="BI3942" s="77"/>
    </row>
    <row r="3943" spans="1:61" x14ac:dyDescent="0.25">
      <c r="A3943" s="62" t="s">
        <v>1594</v>
      </c>
      <c r="B3943" s="62" t="s">
        <v>1594</v>
      </c>
      <c r="C3943" s="63"/>
      <c r="D3943" s="64"/>
      <c r="E3943" s="65"/>
      <c r="F3943" s="66"/>
      <c r="G3943" s="63"/>
      <c r="H3943" s="67"/>
      <c r="I3943" s="68"/>
      <c r="J3943" s="68"/>
      <c r="K3943" s="32"/>
      <c r="L3943" s="75">
        <v>3943</v>
      </c>
      <c r="M3943" s="75"/>
      <c r="N3943" s="70"/>
      <c r="O3943" s="77" t="s">
        <v>179</v>
      </c>
      <c r="P3943" s="79">
        <v>45149.612581018519</v>
      </c>
      <c r="Q3943" s="77" t="s">
        <v>5557</v>
      </c>
      <c r="R3943" s="77">
        <v>0</v>
      </c>
      <c r="S3943" s="77">
        <v>1</v>
      </c>
      <c r="T3943" s="77">
        <v>0</v>
      </c>
      <c r="U3943" s="77">
        <v>0</v>
      </c>
      <c r="V3943" s="77">
        <v>183</v>
      </c>
      <c r="W3943" s="80" t="s">
        <v>8366</v>
      </c>
      <c r="X3943" s="83" t="str">
        <f>HYPERLINK("https://www.sonoticiaboa.com.br/2023/08/11/veja-seu-cpf-sendo-usado-golpistas-como-proteger-observe")</f>
        <v>https://www.sonoticiaboa.com.br/2023/08/11/veja-seu-cpf-sendo-usado-golpistas-como-proteger-observe</v>
      </c>
      <c r="Y3943" s="77" t="s">
        <v>8611</v>
      </c>
      <c r="Z3943" s="77"/>
      <c r="AA3943" s="77"/>
      <c r="AB3943" s="77"/>
      <c r="AC3943" s="80" t="s">
        <v>10541</v>
      </c>
      <c r="AD3943" s="77" t="s">
        <v>10617</v>
      </c>
      <c r="AE3943" s="83" t="str">
        <f>HYPERLINK("https://twitter.com/sonoticiaboaofc/status/1690010715006889985")</f>
        <v>https://twitter.com/sonoticiaboaofc/status/1690010715006889985</v>
      </c>
      <c r="AF3943" s="79">
        <v>45149.612581018519</v>
      </c>
      <c r="AG3943" s="85">
        <v>45149</v>
      </c>
      <c r="AH3943" s="80" t="s">
        <v>14044</v>
      </c>
      <c r="AI3943" s="77" t="b">
        <v>1</v>
      </c>
      <c r="AJ3943" s="77"/>
      <c r="AK3943" s="77"/>
      <c r="AL3943" s="77"/>
      <c r="AM3943" s="77"/>
      <c r="AN3943" s="77"/>
      <c r="AO3943" s="77"/>
      <c r="AP3943" s="77"/>
      <c r="AQ3943" s="77"/>
      <c r="AR3943" s="77"/>
      <c r="AS3943" s="77"/>
      <c r="AT3943" s="77"/>
      <c r="AU3943" s="77"/>
      <c r="AV3943" s="83" t="str">
        <f>HYPERLINK("https://pbs.twimg.com/profile_images/1157780273112715264/VrTYn4Si_normal.jpg")</f>
        <v>https://pbs.twimg.com/profile_images/1157780273112715264/VrTYn4Si_normal.jpg</v>
      </c>
      <c r="AW3943" s="80" t="s">
        <v>19620</v>
      </c>
      <c r="AX3943" s="80" t="s">
        <v>19620</v>
      </c>
      <c r="AY3943" s="77"/>
      <c r="AZ3943" s="80" t="s">
        <v>20380</v>
      </c>
      <c r="BA3943" s="80" t="s">
        <v>20380</v>
      </c>
      <c r="BB3943" s="80" t="s">
        <v>20380</v>
      </c>
      <c r="BC3943" s="80" t="s">
        <v>19620</v>
      </c>
      <c r="BD3943" s="77">
        <v>329857969</v>
      </c>
      <c r="BE3943" s="77"/>
      <c r="BF3943" s="77"/>
      <c r="BG3943" s="77"/>
      <c r="BH3943" s="77"/>
      <c r="BI3943" s="77"/>
    </row>
    <row r="3944" spans="1:61" x14ac:dyDescent="0.25">
      <c r="A3944" s="62" t="s">
        <v>1594</v>
      </c>
      <c r="B3944" s="62" t="s">
        <v>1594</v>
      </c>
      <c r="C3944" s="63"/>
      <c r="D3944" s="64"/>
      <c r="E3944" s="65"/>
      <c r="F3944" s="66"/>
      <c r="G3944" s="63"/>
      <c r="H3944" s="67"/>
      <c r="I3944" s="68"/>
      <c r="J3944" s="68"/>
      <c r="K3944" s="32"/>
      <c r="L3944" s="75">
        <v>3944</v>
      </c>
      <c r="M3944" s="75"/>
      <c r="N3944" s="70"/>
      <c r="O3944" s="77" t="s">
        <v>179</v>
      </c>
      <c r="P3944" s="79">
        <v>45140.939583333333</v>
      </c>
      <c r="Q3944" s="77" t="s">
        <v>5558</v>
      </c>
      <c r="R3944" s="77">
        <v>1</v>
      </c>
      <c r="S3944" s="77">
        <v>1</v>
      </c>
      <c r="T3944" s="77">
        <v>0</v>
      </c>
      <c r="U3944" s="77">
        <v>0</v>
      </c>
      <c r="V3944" s="77">
        <v>252</v>
      </c>
      <c r="W3944" s="80" t="s">
        <v>8367</v>
      </c>
      <c r="X3944" s="83" t="str">
        <f>HYPERLINK("https://www.sonoticiaboa.com.br/2023/08/02/copom-corta-selic-unanimidade-taxa-basica-juros-caiu-05")</f>
        <v>https://www.sonoticiaboa.com.br/2023/08/02/copom-corta-selic-unanimidade-taxa-basica-juros-caiu-05</v>
      </c>
      <c r="Y3944" s="77" t="s">
        <v>8611</v>
      </c>
      <c r="Z3944" s="77"/>
      <c r="AA3944" s="77"/>
      <c r="AB3944" s="77"/>
      <c r="AC3944" s="80" t="s">
        <v>10541</v>
      </c>
      <c r="AD3944" s="77" t="s">
        <v>10617</v>
      </c>
      <c r="AE3944" s="83" t="str">
        <f>HYPERLINK("https://twitter.com/sonoticiaboaofc/status/1686867724327104512")</f>
        <v>https://twitter.com/sonoticiaboaofc/status/1686867724327104512</v>
      </c>
      <c r="AF3944" s="79">
        <v>45140.939583333333</v>
      </c>
      <c r="AG3944" s="85">
        <v>45140</v>
      </c>
      <c r="AH3944" s="80" t="s">
        <v>14045</v>
      </c>
      <c r="AI3944" s="77" t="b">
        <v>1</v>
      </c>
      <c r="AJ3944" s="77"/>
      <c r="AK3944" s="77"/>
      <c r="AL3944" s="77"/>
      <c r="AM3944" s="77"/>
      <c r="AN3944" s="77"/>
      <c r="AO3944" s="77"/>
      <c r="AP3944" s="77"/>
      <c r="AQ3944" s="77"/>
      <c r="AR3944" s="77"/>
      <c r="AS3944" s="77"/>
      <c r="AT3944" s="77"/>
      <c r="AU3944" s="77"/>
      <c r="AV3944" s="83" t="str">
        <f>HYPERLINK("https://pbs.twimg.com/profile_images/1157780273112715264/VrTYn4Si_normal.jpg")</f>
        <v>https://pbs.twimg.com/profile_images/1157780273112715264/VrTYn4Si_normal.jpg</v>
      </c>
      <c r="AW3944" s="80" t="s">
        <v>19621</v>
      </c>
      <c r="AX3944" s="80" t="s">
        <v>19621</v>
      </c>
      <c r="AY3944" s="77"/>
      <c r="AZ3944" s="80" t="s">
        <v>20380</v>
      </c>
      <c r="BA3944" s="80" t="s">
        <v>20380</v>
      </c>
      <c r="BB3944" s="80" t="s">
        <v>20380</v>
      </c>
      <c r="BC3944" s="80" t="s">
        <v>19621</v>
      </c>
      <c r="BD3944" s="77">
        <v>329857969</v>
      </c>
      <c r="BE3944" s="77"/>
      <c r="BF3944" s="77"/>
      <c r="BG3944" s="77"/>
      <c r="BH3944" s="77"/>
      <c r="BI3944" s="77"/>
    </row>
    <row r="3945" spans="1:61" x14ac:dyDescent="0.25">
      <c r="A3945" s="62" t="s">
        <v>1594</v>
      </c>
      <c r="B3945" s="62" t="s">
        <v>1594</v>
      </c>
      <c r="C3945" s="63"/>
      <c r="D3945" s="64"/>
      <c r="E3945" s="65"/>
      <c r="F3945" s="66"/>
      <c r="G3945" s="63"/>
      <c r="H3945" s="67"/>
      <c r="I3945" s="68"/>
      <c r="J3945" s="68"/>
      <c r="K3945" s="32"/>
      <c r="L3945" s="75">
        <v>3945</v>
      </c>
      <c r="M3945" s="75"/>
      <c r="N3945" s="70"/>
      <c r="O3945" s="77" t="s">
        <v>179</v>
      </c>
      <c r="P3945" s="79">
        <v>45190.395636574074</v>
      </c>
      <c r="Q3945" s="77" t="s">
        <v>5559</v>
      </c>
      <c r="R3945" s="77">
        <v>1</v>
      </c>
      <c r="S3945" s="77">
        <v>1</v>
      </c>
      <c r="T3945" s="77">
        <v>0</v>
      </c>
      <c r="U3945" s="77">
        <v>0</v>
      </c>
      <c r="V3945" s="77">
        <v>237</v>
      </c>
      <c r="W3945" s="80" t="s">
        <v>8368</v>
      </c>
      <c r="X3945" s="83" t="str">
        <f>HYPERLINK("https://www.sonoticiaboa.com.br/2023/09/21/nova-reducao-selic-brasil-deixa-ter-maior-taxa-juros-mundo")</f>
        <v>https://www.sonoticiaboa.com.br/2023/09/21/nova-reducao-selic-brasil-deixa-ter-maior-taxa-juros-mundo</v>
      </c>
      <c r="Y3945" s="77" t="s">
        <v>8611</v>
      </c>
      <c r="Z3945" s="77"/>
      <c r="AA3945" s="77"/>
      <c r="AB3945" s="77"/>
      <c r="AC3945" s="80" t="s">
        <v>10541</v>
      </c>
      <c r="AD3945" s="77" t="s">
        <v>10617</v>
      </c>
      <c r="AE3945" s="83" t="str">
        <f>HYPERLINK("https://twitter.com/sonoticiaboaofc/status/1704789995406475617")</f>
        <v>https://twitter.com/sonoticiaboaofc/status/1704789995406475617</v>
      </c>
      <c r="AF3945" s="79">
        <v>45190.395636574074</v>
      </c>
      <c r="AG3945" s="85">
        <v>45190</v>
      </c>
      <c r="AH3945" s="80" t="s">
        <v>14046</v>
      </c>
      <c r="AI3945" s="77" t="b">
        <v>1</v>
      </c>
      <c r="AJ3945" s="77"/>
      <c r="AK3945" s="77"/>
      <c r="AL3945" s="77"/>
      <c r="AM3945" s="77"/>
      <c r="AN3945" s="77"/>
      <c r="AO3945" s="77"/>
      <c r="AP3945" s="77"/>
      <c r="AQ3945" s="77"/>
      <c r="AR3945" s="77"/>
      <c r="AS3945" s="77"/>
      <c r="AT3945" s="77"/>
      <c r="AU3945" s="77"/>
      <c r="AV3945" s="83" t="str">
        <f>HYPERLINK("https://pbs.twimg.com/profile_images/1157780273112715264/VrTYn4Si_normal.jpg")</f>
        <v>https://pbs.twimg.com/profile_images/1157780273112715264/VrTYn4Si_normal.jpg</v>
      </c>
      <c r="AW3945" s="80" t="s">
        <v>19622</v>
      </c>
      <c r="AX3945" s="80" t="s">
        <v>19622</v>
      </c>
      <c r="AY3945" s="77"/>
      <c r="AZ3945" s="80" t="s">
        <v>20380</v>
      </c>
      <c r="BA3945" s="80" t="s">
        <v>20380</v>
      </c>
      <c r="BB3945" s="80" t="s">
        <v>20380</v>
      </c>
      <c r="BC3945" s="80" t="s">
        <v>19622</v>
      </c>
      <c r="BD3945" s="77">
        <v>329857969</v>
      </c>
      <c r="BE3945" s="77"/>
      <c r="BF3945" s="77"/>
      <c r="BG3945" s="77"/>
      <c r="BH3945" s="77"/>
      <c r="BI3945" s="77"/>
    </row>
    <row r="3946" spans="1:61" x14ac:dyDescent="0.25">
      <c r="A3946" s="62" t="s">
        <v>1595</v>
      </c>
      <c r="B3946" s="62" t="s">
        <v>1594</v>
      </c>
      <c r="C3946" s="63"/>
      <c r="D3946" s="64"/>
      <c r="E3946" s="65"/>
      <c r="F3946" s="66"/>
      <c r="G3946" s="63"/>
      <c r="H3946" s="67"/>
      <c r="I3946" s="68"/>
      <c r="J3946" s="68"/>
      <c r="K3946" s="32"/>
      <c r="L3946" s="75">
        <v>3946</v>
      </c>
      <c r="M3946" s="75"/>
      <c r="N3946" s="70"/>
      <c r="O3946" s="77" t="s">
        <v>2083</v>
      </c>
      <c r="P3946" s="79">
        <v>45190.482314814813</v>
      </c>
      <c r="Q3946" s="77" t="s">
        <v>5560</v>
      </c>
      <c r="R3946" s="77">
        <v>1</v>
      </c>
      <c r="S3946" s="77">
        <v>0</v>
      </c>
      <c r="T3946" s="77">
        <v>0</v>
      </c>
      <c r="U3946" s="77">
        <v>0</v>
      </c>
      <c r="V3946" s="77"/>
      <c r="W3946" s="77"/>
      <c r="X3946" s="77"/>
      <c r="Y3946" s="77"/>
      <c r="Z3946" s="77" t="s">
        <v>1594</v>
      </c>
      <c r="AA3946" s="77"/>
      <c r="AB3946" s="77"/>
      <c r="AC3946" s="80" t="s">
        <v>10540</v>
      </c>
      <c r="AD3946" s="77" t="s">
        <v>10617</v>
      </c>
      <c r="AE3946" s="83" t="str">
        <f>HYPERLINK("https://twitter.com/pretogalosempre/status/1704821407115288886")</f>
        <v>https://twitter.com/pretogalosempre/status/1704821407115288886</v>
      </c>
      <c r="AF3946" s="79">
        <v>45190.482314814813</v>
      </c>
      <c r="AG3946" s="85">
        <v>45190</v>
      </c>
      <c r="AH3946" s="80" t="s">
        <v>14047</v>
      </c>
      <c r="AI3946" s="77" t="b">
        <v>0</v>
      </c>
      <c r="AJ3946" s="77"/>
      <c r="AK3946" s="77"/>
      <c r="AL3946" s="77"/>
      <c r="AM3946" s="77"/>
      <c r="AN3946" s="77"/>
      <c r="AO3946" s="77"/>
      <c r="AP3946" s="77"/>
      <c r="AQ3946" s="77"/>
      <c r="AR3946" s="77"/>
      <c r="AS3946" s="77"/>
      <c r="AT3946" s="77"/>
      <c r="AU3946" s="77"/>
      <c r="AV3946" s="83" t="str">
        <f>HYPERLINK("https://pbs.twimg.com/profile_images/1644018916333703168/wUXmwPnV_normal.jpg")</f>
        <v>https://pbs.twimg.com/profile_images/1644018916333703168/wUXmwPnV_normal.jpg</v>
      </c>
      <c r="AW3946" s="80" t="s">
        <v>19623</v>
      </c>
      <c r="AX3946" s="80" t="s">
        <v>19623</v>
      </c>
      <c r="AY3946" s="77"/>
      <c r="AZ3946" s="80" t="s">
        <v>20380</v>
      </c>
      <c r="BA3946" s="80" t="s">
        <v>20380</v>
      </c>
      <c r="BB3946" s="80" t="s">
        <v>19622</v>
      </c>
      <c r="BC3946" s="80" t="s">
        <v>19622</v>
      </c>
      <c r="BD3946" s="77">
        <v>781492796</v>
      </c>
      <c r="BE3946" s="77"/>
      <c r="BF3946" s="77"/>
      <c r="BG3946" s="77"/>
      <c r="BH3946" s="77"/>
      <c r="BI3946" s="77"/>
    </row>
    <row r="3947" spans="1:61" x14ac:dyDescent="0.25">
      <c r="A3947" s="62" t="s">
        <v>1596</v>
      </c>
      <c r="B3947" s="62" t="s">
        <v>1596</v>
      </c>
      <c r="C3947" s="63"/>
      <c r="D3947" s="64"/>
      <c r="E3947" s="65"/>
      <c r="F3947" s="66"/>
      <c r="G3947" s="63"/>
      <c r="H3947" s="67"/>
      <c r="I3947" s="68"/>
      <c r="J3947" s="68"/>
      <c r="K3947" s="32"/>
      <c r="L3947" s="75">
        <v>3947</v>
      </c>
      <c r="M3947" s="75"/>
      <c r="N3947" s="70"/>
      <c r="O3947" s="77" t="s">
        <v>179</v>
      </c>
      <c r="P3947" s="79">
        <v>45121.601747685185</v>
      </c>
      <c r="Q3947" s="77" t="s">
        <v>5561</v>
      </c>
      <c r="R3947" s="77">
        <v>10</v>
      </c>
      <c r="S3947" s="77">
        <v>27</v>
      </c>
      <c r="T3947" s="77">
        <v>7</v>
      </c>
      <c r="U3947" s="77">
        <v>0</v>
      </c>
      <c r="V3947" s="77">
        <v>3436</v>
      </c>
      <c r="W3947" s="80" t="s">
        <v>8369</v>
      </c>
      <c r="X3947" s="83" t="str">
        <f>HYPERLINK("https://youtu.be/KWP76F6bOA8")</f>
        <v>https://youtu.be/KWP76F6bOA8</v>
      </c>
      <c r="Y3947" s="77" t="s">
        <v>8635</v>
      </c>
      <c r="Z3947" s="77"/>
      <c r="AA3947" s="77" t="s">
        <v>10354</v>
      </c>
      <c r="AB3947" s="77" t="s">
        <v>10535</v>
      </c>
      <c r="AC3947" s="80" t="s">
        <v>10541</v>
      </c>
      <c r="AD3947" s="77" t="s">
        <v>10617</v>
      </c>
      <c r="AE3947" s="83" t="str">
        <f>HYPERLINK("https://twitter.com/bancocentralbr/status/1679859925743292417")</f>
        <v>https://twitter.com/bancocentralbr/status/1679859925743292417</v>
      </c>
      <c r="AF3947" s="79">
        <v>45121.601747685185</v>
      </c>
      <c r="AG3947" s="85">
        <v>45121</v>
      </c>
      <c r="AH3947" s="80" t="s">
        <v>14048</v>
      </c>
      <c r="AI3947" s="77" t="b">
        <v>0</v>
      </c>
      <c r="AJ3947" s="77"/>
      <c r="AK3947" s="77"/>
      <c r="AL3947" s="77"/>
      <c r="AM3947" s="77"/>
      <c r="AN3947" s="77"/>
      <c r="AO3947" s="77"/>
      <c r="AP3947" s="77"/>
      <c r="AQ3947" s="77" t="s">
        <v>15833</v>
      </c>
      <c r="AR3947" s="77"/>
      <c r="AS3947" s="77"/>
      <c r="AT3947" s="77"/>
      <c r="AU3947" s="77"/>
      <c r="AV3947" s="83" t="str">
        <f>HYPERLINK("https://pbs.twimg.com/media/F1APrxJX0AEJ2kt.jpg")</f>
        <v>https://pbs.twimg.com/media/F1APrxJX0AEJ2kt.jpg</v>
      </c>
      <c r="AW3947" s="80" t="s">
        <v>19624</v>
      </c>
      <c r="AX3947" s="80" t="s">
        <v>19624</v>
      </c>
      <c r="AY3947" s="77"/>
      <c r="AZ3947" s="80" t="s">
        <v>20380</v>
      </c>
      <c r="BA3947" s="80" t="s">
        <v>20380</v>
      </c>
      <c r="BB3947" s="80" t="s">
        <v>20380</v>
      </c>
      <c r="BC3947" s="80" t="s">
        <v>19624</v>
      </c>
      <c r="BD3947" s="77">
        <v>222157159</v>
      </c>
      <c r="BE3947" s="77"/>
      <c r="BF3947" s="77"/>
      <c r="BG3947" s="77"/>
      <c r="BH3947" s="77"/>
      <c r="BI3947" s="77"/>
    </row>
    <row r="3948" spans="1:61" x14ac:dyDescent="0.25">
      <c r="A3948" s="62" t="s">
        <v>1596</v>
      </c>
      <c r="B3948" s="62" t="s">
        <v>1596</v>
      </c>
      <c r="C3948" s="63"/>
      <c r="D3948" s="64"/>
      <c r="E3948" s="65"/>
      <c r="F3948" s="66"/>
      <c r="G3948" s="63"/>
      <c r="H3948" s="67"/>
      <c r="I3948" s="68"/>
      <c r="J3948" s="68"/>
      <c r="K3948" s="32"/>
      <c r="L3948" s="75">
        <v>3948</v>
      </c>
      <c r="M3948" s="75"/>
      <c r="N3948" s="70"/>
      <c r="O3948" s="77" t="s">
        <v>179</v>
      </c>
      <c r="P3948" s="79">
        <v>45107.606192129628</v>
      </c>
      <c r="Q3948" s="77" t="s">
        <v>5562</v>
      </c>
      <c r="R3948" s="77">
        <v>11</v>
      </c>
      <c r="S3948" s="77">
        <v>41</v>
      </c>
      <c r="T3948" s="77">
        <v>7</v>
      </c>
      <c r="U3948" s="77">
        <v>1</v>
      </c>
      <c r="V3948" s="77">
        <v>3004</v>
      </c>
      <c r="W3948" s="80" t="s">
        <v>8370</v>
      </c>
      <c r="X3948" s="77"/>
      <c r="Y3948" s="77"/>
      <c r="Z3948" s="77"/>
      <c r="AA3948" s="77" t="s">
        <v>10355</v>
      </c>
      <c r="AB3948" s="77" t="s">
        <v>10534</v>
      </c>
      <c r="AC3948" s="80" t="s">
        <v>10541</v>
      </c>
      <c r="AD3948" s="77" t="s">
        <v>10617</v>
      </c>
      <c r="AE3948" s="83" t="str">
        <f>HYPERLINK("https://twitter.com/bancocentralbr/status/1674788108523671553")</f>
        <v>https://twitter.com/bancocentralbr/status/1674788108523671553</v>
      </c>
      <c r="AF3948" s="79">
        <v>45107.606192129628</v>
      </c>
      <c r="AG3948" s="85">
        <v>45107</v>
      </c>
      <c r="AH3948" s="80" t="s">
        <v>14049</v>
      </c>
      <c r="AI3948" s="77" t="b">
        <v>0</v>
      </c>
      <c r="AJ3948" s="77"/>
      <c r="AK3948" s="77"/>
      <c r="AL3948" s="77"/>
      <c r="AM3948" s="77"/>
      <c r="AN3948" s="77"/>
      <c r="AO3948" s="77"/>
      <c r="AP3948" s="77"/>
      <c r="AQ3948" s="77" t="s">
        <v>15834</v>
      </c>
      <c r="AR3948" s="77">
        <v>120161</v>
      </c>
      <c r="AS3948" s="77"/>
      <c r="AT3948" s="77"/>
      <c r="AU3948" s="77"/>
      <c r="AV3948" s="83" t="str">
        <f>HYPERLINK("https://pbs.twimg.com/ext_tw_video_thumb/1674787484256043016/pu/img/x2Ro0Io8Y2onqnQ8.jpg")</f>
        <v>https://pbs.twimg.com/ext_tw_video_thumb/1674787484256043016/pu/img/x2Ro0Io8Y2onqnQ8.jpg</v>
      </c>
      <c r="AW3948" s="80" t="s">
        <v>19625</v>
      </c>
      <c r="AX3948" s="80" t="s">
        <v>19625</v>
      </c>
      <c r="AY3948" s="77"/>
      <c r="AZ3948" s="80" t="s">
        <v>20380</v>
      </c>
      <c r="BA3948" s="80" t="s">
        <v>20380</v>
      </c>
      <c r="BB3948" s="80" t="s">
        <v>20380</v>
      </c>
      <c r="BC3948" s="80" t="s">
        <v>19625</v>
      </c>
      <c r="BD3948" s="77">
        <v>222157159</v>
      </c>
      <c r="BE3948" s="77"/>
      <c r="BF3948" s="77"/>
      <c r="BG3948" s="77"/>
      <c r="BH3948" s="77"/>
      <c r="BI3948" s="77"/>
    </row>
    <row r="3949" spans="1:61" x14ac:dyDescent="0.25">
      <c r="A3949" s="62" t="s">
        <v>1596</v>
      </c>
      <c r="B3949" s="62" t="s">
        <v>1596</v>
      </c>
      <c r="C3949" s="63"/>
      <c r="D3949" s="64"/>
      <c r="E3949" s="65"/>
      <c r="F3949" s="66"/>
      <c r="G3949" s="63"/>
      <c r="H3949" s="67"/>
      <c r="I3949" s="68"/>
      <c r="J3949" s="68"/>
      <c r="K3949" s="32"/>
      <c r="L3949" s="75">
        <v>3949</v>
      </c>
      <c r="M3949" s="75"/>
      <c r="N3949" s="70"/>
      <c r="O3949" s="77" t="s">
        <v>2078</v>
      </c>
      <c r="P3949" s="79">
        <v>45093.834027777775</v>
      </c>
      <c r="Q3949" s="77" t="s">
        <v>5563</v>
      </c>
      <c r="R3949" s="77">
        <v>1</v>
      </c>
      <c r="S3949" s="77">
        <v>7</v>
      </c>
      <c r="T3949" s="77">
        <v>1</v>
      </c>
      <c r="U3949" s="77">
        <v>1</v>
      </c>
      <c r="V3949" s="77">
        <v>1955</v>
      </c>
      <c r="W3949" s="80" t="s">
        <v>8371</v>
      </c>
      <c r="X3949" s="77"/>
      <c r="Y3949" s="77"/>
      <c r="Z3949" s="77"/>
      <c r="AA3949" s="77"/>
      <c r="AB3949" s="77"/>
      <c r="AC3949" s="80" t="s">
        <v>10541</v>
      </c>
      <c r="AD3949" s="77" t="s">
        <v>10617</v>
      </c>
      <c r="AE3949" s="83" t="str">
        <f>HYPERLINK("https://twitter.com/bancocentralbr/status/1669797241731657728")</f>
        <v>https://twitter.com/bancocentralbr/status/1669797241731657728</v>
      </c>
      <c r="AF3949" s="79">
        <v>45093.834027777775</v>
      </c>
      <c r="AG3949" s="85">
        <v>45093</v>
      </c>
      <c r="AH3949" s="80" t="s">
        <v>12666</v>
      </c>
      <c r="AI3949" s="77"/>
      <c r="AJ3949" s="77"/>
      <c r="AK3949" s="77"/>
      <c r="AL3949" s="77"/>
      <c r="AM3949" s="77"/>
      <c r="AN3949" s="77"/>
      <c r="AO3949" s="77"/>
      <c r="AP3949" s="77"/>
      <c r="AQ3949" s="77"/>
      <c r="AR3949" s="77"/>
      <c r="AS3949" s="77"/>
      <c r="AT3949" s="77"/>
      <c r="AU3949" s="77"/>
      <c r="AV3949" s="83" t="str">
        <f>HYPERLINK("https://pbs.twimg.com/profile_images/1674371511996628993/reGcyxoU_normal.jpg")</f>
        <v>https://pbs.twimg.com/profile_images/1674371511996628993/reGcyxoU_normal.jpg</v>
      </c>
      <c r="AW3949" s="80" t="s">
        <v>19626</v>
      </c>
      <c r="AX3949" s="80" t="s">
        <v>20192</v>
      </c>
      <c r="AY3949" s="80" t="s">
        <v>20367</v>
      </c>
      <c r="AZ3949" s="80" t="s">
        <v>20192</v>
      </c>
      <c r="BA3949" s="80" t="s">
        <v>20380</v>
      </c>
      <c r="BB3949" s="80" t="s">
        <v>20380</v>
      </c>
      <c r="BC3949" s="80" t="s">
        <v>20192</v>
      </c>
      <c r="BD3949" s="77">
        <v>222157159</v>
      </c>
      <c r="BE3949" s="77"/>
      <c r="BF3949" s="77"/>
      <c r="BG3949" s="77"/>
      <c r="BH3949" s="77"/>
      <c r="BI3949" s="77"/>
    </row>
    <row r="3950" spans="1:61" x14ac:dyDescent="0.25">
      <c r="A3950" s="62" t="s">
        <v>1596</v>
      </c>
      <c r="B3950" s="62" t="s">
        <v>1596</v>
      </c>
      <c r="C3950" s="63"/>
      <c r="D3950" s="64"/>
      <c r="E3950" s="65"/>
      <c r="F3950" s="66"/>
      <c r="G3950" s="63"/>
      <c r="H3950" s="67"/>
      <c r="I3950" s="68"/>
      <c r="J3950" s="68"/>
      <c r="K3950" s="32"/>
      <c r="L3950" s="75">
        <v>3950</v>
      </c>
      <c r="M3950" s="75"/>
      <c r="N3950" s="70"/>
      <c r="O3950" s="77" t="s">
        <v>2078</v>
      </c>
      <c r="P3950" s="79">
        <v>45092.800162037034</v>
      </c>
      <c r="Q3950" s="77" t="s">
        <v>5564</v>
      </c>
      <c r="R3950" s="77">
        <v>2</v>
      </c>
      <c r="S3950" s="77">
        <v>9</v>
      </c>
      <c r="T3950" s="77">
        <v>0</v>
      </c>
      <c r="U3950" s="77">
        <v>0</v>
      </c>
      <c r="V3950" s="77">
        <v>2622</v>
      </c>
      <c r="W3950" s="80" t="s">
        <v>8372</v>
      </c>
      <c r="X3950" s="83" t="str">
        <f>HYPERLINK("https://youtu.be/4sfeoqbiPo0")</f>
        <v>https://youtu.be/4sfeoqbiPo0</v>
      </c>
      <c r="Y3950" s="77" t="s">
        <v>8635</v>
      </c>
      <c r="Z3950" s="77"/>
      <c r="AA3950" s="77"/>
      <c r="AB3950" s="77"/>
      <c r="AC3950" s="80" t="s">
        <v>10541</v>
      </c>
      <c r="AD3950" s="77" t="s">
        <v>10617</v>
      </c>
      <c r="AE3950" s="83" t="str">
        <f>HYPERLINK("https://twitter.com/bancocentralbr/status/1669422580820856838")</f>
        <v>https://twitter.com/bancocentralbr/status/1669422580820856838</v>
      </c>
      <c r="AF3950" s="79">
        <v>45092.800162037034</v>
      </c>
      <c r="AG3950" s="85">
        <v>45092</v>
      </c>
      <c r="AH3950" s="80" t="s">
        <v>14050</v>
      </c>
      <c r="AI3950" s="77" t="b">
        <v>0</v>
      </c>
      <c r="AJ3950" s="77"/>
      <c r="AK3950" s="77"/>
      <c r="AL3950" s="77"/>
      <c r="AM3950" s="77"/>
      <c r="AN3950" s="77"/>
      <c r="AO3950" s="77"/>
      <c r="AP3950" s="77"/>
      <c r="AQ3950" s="77"/>
      <c r="AR3950" s="77"/>
      <c r="AS3950" s="77"/>
      <c r="AT3950" s="77"/>
      <c r="AU3950" s="77"/>
      <c r="AV3950" s="83" t="str">
        <f>HYPERLINK("https://pbs.twimg.com/profile_images/1674371511996628993/reGcyxoU_normal.jpg")</f>
        <v>https://pbs.twimg.com/profile_images/1674371511996628993/reGcyxoU_normal.jpg</v>
      </c>
      <c r="AW3950" s="80" t="s">
        <v>19627</v>
      </c>
      <c r="AX3950" s="80" t="s">
        <v>20193</v>
      </c>
      <c r="AY3950" s="80" t="s">
        <v>20367</v>
      </c>
      <c r="AZ3950" s="80" t="s">
        <v>20193</v>
      </c>
      <c r="BA3950" s="80" t="s">
        <v>20380</v>
      </c>
      <c r="BB3950" s="80" t="s">
        <v>20380</v>
      </c>
      <c r="BC3950" s="80" t="s">
        <v>20193</v>
      </c>
      <c r="BD3950" s="77">
        <v>222157159</v>
      </c>
      <c r="BE3950" s="77"/>
      <c r="BF3950" s="77"/>
      <c r="BG3950" s="77"/>
      <c r="BH3950" s="77"/>
      <c r="BI3950" s="77"/>
    </row>
    <row r="3951" spans="1:61" x14ac:dyDescent="0.25">
      <c r="A3951" s="62" t="s">
        <v>1596</v>
      </c>
      <c r="B3951" s="62" t="s">
        <v>1596</v>
      </c>
      <c r="C3951" s="63"/>
      <c r="D3951" s="64"/>
      <c r="E3951" s="65"/>
      <c r="F3951" s="66"/>
      <c r="G3951" s="63"/>
      <c r="H3951" s="67"/>
      <c r="I3951" s="68"/>
      <c r="J3951" s="68"/>
      <c r="K3951" s="32"/>
      <c r="L3951" s="75">
        <v>3951</v>
      </c>
      <c r="M3951" s="75"/>
      <c r="N3951" s="70"/>
      <c r="O3951" s="77" t="s">
        <v>179</v>
      </c>
      <c r="P3951" s="79">
        <v>45065.734247685185</v>
      </c>
      <c r="Q3951" s="77" t="s">
        <v>5565</v>
      </c>
      <c r="R3951" s="77">
        <v>5</v>
      </c>
      <c r="S3951" s="77">
        <v>22</v>
      </c>
      <c r="T3951" s="77">
        <v>6</v>
      </c>
      <c r="U3951" s="77">
        <v>0</v>
      </c>
      <c r="V3951" s="77">
        <v>2544</v>
      </c>
      <c r="W3951" s="80" t="s">
        <v>8373</v>
      </c>
      <c r="X3951" s="83" t="str">
        <f>HYPERLINK("https://youtu.be/eesZ68jPuag")</f>
        <v>https://youtu.be/eesZ68jPuag</v>
      </c>
      <c r="Y3951" s="77" t="s">
        <v>8635</v>
      </c>
      <c r="Z3951" s="77"/>
      <c r="AA3951" s="77" t="s">
        <v>10356</v>
      </c>
      <c r="AB3951" s="77" t="s">
        <v>10534</v>
      </c>
      <c r="AC3951" s="80" t="s">
        <v>10540</v>
      </c>
      <c r="AD3951" s="77" t="s">
        <v>10617</v>
      </c>
      <c r="AE3951" s="83" t="str">
        <f>HYPERLINK("https://twitter.com/bancocentralbr/status/1659614221754089475")</f>
        <v>https://twitter.com/bancocentralbr/status/1659614221754089475</v>
      </c>
      <c r="AF3951" s="79">
        <v>45065.734247685185</v>
      </c>
      <c r="AG3951" s="85">
        <v>45065</v>
      </c>
      <c r="AH3951" s="80" t="s">
        <v>14051</v>
      </c>
      <c r="AI3951" s="77" t="b">
        <v>0</v>
      </c>
      <c r="AJ3951" s="77"/>
      <c r="AK3951" s="77"/>
      <c r="AL3951" s="77"/>
      <c r="AM3951" s="77"/>
      <c r="AN3951" s="77"/>
      <c r="AO3951" s="77"/>
      <c r="AP3951" s="77"/>
      <c r="AQ3951" s="77" t="s">
        <v>15835</v>
      </c>
      <c r="AR3951" s="77">
        <v>44977</v>
      </c>
      <c r="AS3951" s="77"/>
      <c r="AT3951" s="77"/>
      <c r="AU3951" s="77"/>
      <c r="AV3951" s="83" t="str">
        <f>HYPERLINK("https://pbs.twimg.com/ext_tw_video_thumb/1659614072025825294/pu/img/YRnj12bfddakP9en.jpg")</f>
        <v>https://pbs.twimg.com/ext_tw_video_thumb/1659614072025825294/pu/img/YRnj12bfddakP9en.jpg</v>
      </c>
      <c r="AW3951" s="80" t="s">
        <v>19628</v>
      </c>
      <c r="AX3951" s="80" t="s">
        <v>19628</v>
      </c>
      <c r="AY3951" s="77"/>
      <c r="AZ3951" s="80" t="s">
        <v>20380</v>
      </c>
      <c r="BA3951" s="80" t="s">
        <v>20380</v>
      </c>
      <c r="BB3951" s="80" t="s">
        <v>20380</v>
      </c>
      <c r="BC3951" s="80" t="s">
        <v>19628</v>
      </c>
      <c r="BD3951" s="77">
        <v>222157159</v>
      </c>
      <c r="BE3951" s="77"/>
      <c r="BF3951" s="77"/>
      <c r="BG3951" s="77"/>
      <c r="BH3951" s="77"/>
      <c r="BI3951" s="77"/>
    </row>
    <row r="3952" spans="1:61" x14ac:dyDescent="0.25">
      <c r="A3952" s="62" t="s">
        <v>1596</v>
      </c>
      <c r="B3952" s="62" t="s">
        <v>1596</v>
      </c>
      <c r="C3952" s="63"/>
      <c r="D3952" s="64"/>
      <c r="E3952" s="65"/>
      <c r="F3952" s="66"/>
      <c r="G3952" s="63"/>
      <c r="H3952" s="67"/>
      <c r="I3952" s="68"/>
      <c r="J3952" s="68"/>
      <c r="K3952" s="32"/>
      <c r="L3952" s="75">
        <v>3952</v>
      </c>
      <c r="M3952" s="75"/>
      <c r="N3952" s="70"/>
      <c r="O3952" s="77" t="s">
        <v>179</v>
      </c>
      <c r="P3952" s="79">
        <v>45149.594942129632</v>
      </c>
      <c r="Q3952" s="77" t="s">
        <v>5566</v>
      </c>
      <c r="R3952" s="77">
        <v>5</v>
      </c>
      <c r="S3952" s="77">
        <v>16</v>
      </c>
      <c r="T3952" s="77">
        <v>4</v>
      </c>
      <c r="U3952" s="77">
        <v>0</v>
      </c>
      <c r="V3952" s="77">
        <v>2460</v>
      </c>
      <c r="W3952" s="80" t="s">
        <v>8374</v>
      </c>
      <c r="X3952" s="83" t="str">
        <f>HYPERLINK("https://youtu.be/nVp7U2AVvUY")</f>
        <v>https://youtu.be/nVp7U2AVvUY</v>
      </c>
      <c r="Y3952" s="77" t="s">
        <v>8635</v>
      </c>
      <c r="Z3952" s="77"/>
      <c r="AA3952" s="77"/>
      <c r="AB3952" s="77"/>
      <c r="AC3952" s="80" t="s">
        <v>10541</v>
      </c>
      <c r="AD3952" s="77" t="s">
        <v>10617</v>
      </c>
      <c r="AE3952" s="83" t="str">
        <f>HYPERLINK("https://twitter.com/bancocentralbr/status/1690004320236797954")</f>
        <v>https://twitter.com/bancocentralbr/status/1690004320236797954</v>
      </c>
      <c r="AF3952" s="79">
        <v>45149.594942129632</v>
      </c>
      <c r="AG3952" s="85">
        <v>45149</v>
      </c>
      <c r="AH3952" s="80" t="s">
        <v>14052</v>
      </c>
      <c r="AI3952" s="77" t="b">
        <v>0</v>
      </c>
      <c r="AJ3952" s="77"/>
      <c r="AK3952" s="77"/>
      <c r="AL3952" s="77"/>
      <c r="AM3952" s="77"/>
      <c r="AN3952" s="77"/>
      <c r="AO3952" s="77"/>
      <c r="AP3952" s="77"/>
      <c r="AQ3952" s="77"/>
      <c r="AR3952" s="77"/>
      <c r="AS3952" s="77"/>
      <c r="AT3952" s="77"/>
      <c r="AU3952" s="77"/>
      <c r="AV3952" s="83" t="str">
        <f>HYPERLINK("https://pbs.twimg.com/profile_images/1674371511996628993/reGcyxoU_normal.jpg")</f>
        <v>https://pbs.twimg.com/profile_images/1674371511996628993/reGcyxoU_normal.jpg</v>
      </c>
      <c r="AW3952" s="80" t="s">
        <v>19629</v>
      </c>
      <c r="AX3952" s="80" t="s">
        <v>19629</v>
      </c>
      <c r="AY3952" s="77"/>
      <c r="AZ3952" s="80" t="s">
        <v>20380</v>
      </c>
      <c r="BA3952" s="80" t="s">
        <v>20380</v>
      </c>
      <c r="BB3952" s="80" t="s">
        <v>20380</v>
      </c>
      <c r="BC3952" s="80" t="s">
        <v>19629</v>
      </c>
      <c r="BD3952" s="77">
        <v>222157159</v>
      </c>
      <c r="BE3952" s="77"/>
      <c r="BF3952" s="77"/>
      <c r="BG3952" s="77"/>
      <c r="BH3952" s="77"/>
      <c r="BI3952" s="77"/>
    </row>
    <row r="3953" spans="1:61" x14ac:dyDescent="0.25">
      <c r="A3953" s="62" t="s">
        <v>1596</v>
      </c>
      <c r="B3953" s="62" t="s">
        <v>1596</v>
      </c>
      <c r="C3953" s="63"/>
      <c r="D3953" s="64"/>
      <c r="E3953" s="65"/>
      <c r="F3953" s="66"/>
      <c r="G3953" s="63"/>
      <c r="H3953" s="67"/>
      <c r="I3953" s="68"/>
      <c r="J3953" s="68"/>
      <c r="K3953" s="32"/>
      <c r="L3953" s="75">
        <v>3953</v>
      </c>
      <c r="M3953" s="75"/>
      <c r="N3953" s="70"/>
      <c r="O3953" s="77" t="s">
        <v>179</v>
      </c>
      <c r="P3953" s="79">
        <v>45114.586168981485</v>
      </c>
      <c r="Q3953" s="77" t="s">
        <v>5567</v>
      </c>
      <c r="R3953" s="77">
        <v>5</v>
      </c>
      <c r="S3953" s="77">
        <v>23</v>
      </c>
      <c r="T3953" s="77">
        <v>13</v>
      </c>
      <c r="U3953" s="77">
        <v>2</v>
      </c>
      <c r="V3953" s="77">
        <v>3060</v>
      </c>
      <c r="W3953" s="80" t="s">
        <v>8375</v>
      </c>
      <c r="X3953" s="83" t="str">
        <f>HYPERLINK("https://youtu.be/mVPJ1_spgcA")</f>
        <v>https://youtu.be/mVPJ1_spgcA</v>
      </c>
      <c r="Y3953" s="77" t="s">
        <v>8635</v>
      </c>
      <c r="Z3953" s="77"/>
      <c r="AA3953" s="77"/>
      <c r="AB3953" s="77"/>
      <c r="AC3953" s="80" t="s">
        <v>10541</v>
      </c>
      <c r="AD3953" s="77" t="s">
        <v>10617</v>
      </c>
      <c r="AE3953" s="83" t="str">
        <f>HYPERLINK("https://twitter.com/bancocentralbr/status/1677317567273213952")</f>
        <v>https://twitter.com/bancocentralbr/status/1677317567273213952</v>
      </c>
      <c r="AF3953" s="79">
        <v>45114.586168981485</v>
      </c>
      <c r="AG3953" s="85">
        <v>45114</v>
      </c>
      <c r="AH3953" s="80" t="s">
        <v>14053</v>
      </c>
      <c r="AI3953" s="77" t="b">
        <v>0</v>
      </c>
      <c r="AJ3953" s="77"/>
      <c r="AK3953" s="77"/>
      <c r="AL3953" s="77"/>
      <c r="AM3953" s="77"/>
      <c r="AN3953" s="77"/>
      <c r="AO3953" s="77"/>
      <c r="AP3953" s="77"/>
      <c r="AQ3953" s="77"/>
      <c r="AR3953" s="77"/>
      <c r="AS3953" s="77"/>
      <c r="AT3953" s="77"/>
      <c r="AU3953" s="77"/>
      <c r="AV3953" s="83" t="str">
        <f>HYPERLINK("https://pbs.twimg.com/profile_images/1674371511996628993/reGcyxoU_normal.jpg")</f>
        <v>https://pbs.twimg.com/profile_images/1674371511996628993/reGcyxoU_normal.jpg</v>
      </c>
      <c r="AW3953" s="80" t="s">
        <v>19630</v>
      </c>
      <c r="AX3953" s="80" t="s">
        <v>19630</v>
      </c>
      <c r="AY3953" s="77"/>
      <c r="AZ3953" s="80" t="s">
        <v>20380</v>
      </c>
      <c r="BA3953" s="80" t="s">
        <v>20380</v>
      </c>
      <c r="BB3953" s="80" t="s">
        <v>20380</v>
      </c>
      <c r="BC3953" s="80" t="s">
        <v>19630</v>
      </c>
      <c r="BD3953" s="77">
        <v>222157159</v>
      </c>
      <c r="BE3953" s="77"/>
      <c r="BF3953" s="77"/>
      <c r="BG3953" s="77"/>
      <c r="BH3953" s="77"/>
      <c r="BI3953" s="77"/>
    </row>
    <row r="3954" spans="1:61" x14ac:dyDescent="0.25">
      <c r="A3954" s="62" t="s">
        <v>1596</v>
      </c>
      <c r="B3954" s="62" t="s">
        <v>1596</v>
      </c>
      <c r="C3954" s="63"/>
      <c r="D3954" s="64"/>
      <c r="E3954" s="65"/>
      <c r="F3954" s="66"/>
      <c r="G3954" s="63"/>
      <c r="H3954" s="67"/>
      <c r="I3954" s="68"/>
      <c r="J3954" s="68"/>
      <c r="K3954" s="32"/>
      <c r="L3954" s="75">
        <v>3954</v>
      </c>
      <c r="M3954" s="75"/>
      <c r="N3954" s="70"/>
      <c r="O3954" s="77" t="s">
        <v>179</v>
      </c>
      <c r="P3954" s="79">
        <v>45100.561435185184</v>
      </c>
      <c r="Q3954" s="77" t="s">
        <v>5568</v>
      </c>
      <c r="R3954" s="77">
        <v>17</v>
      </c>
      <c r="S3954" s="77">
        <v>50</v>
      </c>
      <c r="T3954" s="77">
        <v>18</v>
      </c>
      <c r="U3954" s="77">
        <v>2</v>
      </c>
      <c r="V3954" s="77">
        <v>4619</v>
      </c>
      <c r="W3954" s="80" t="s">
        <v>8376</v>
      </c>
      <c r="X3954" s="83" t="str">
        <f>HYPERLINK("https://youtu.be/gvzOIu_bX54")</f>
        <v>https://youtu.be/gvzOIu_bX54</v>
      </c>
      <c r="Y3954" s="77" t="s">
        <v>8635</v>
      </c>
      <c r="Z3954" s="77"/>
      <c r="AA3954" s="77" t="s">
        <v>10357</v>
      </c>
      <c r="AB3954" s="77" t="s">
        <v>10534</v>
      </c>
      <c r="AC3954" s="80" t="s">
        <v>10541</v>
      </c>
      <c r="AD3954" s="77" t="s">
        <v>10617</v>
      </c>
      <c r="AE3954" s="83" t="str">
        <f>HYPERLINK("https://twitter.com/bancocentralbr/status/1672235173952323584")</f>
        <v>https://twitter.com/bancocentralbr/status/1672235173952323584</v>
      </c>
      <c r="AF3954" s="79">
        <v>45100.561435185184</v>
      </c>
      <c r="AG3954" s="85">
        <v>45100</v>
      </c>
      <c r="AH3954" s="80" t="s">
        <v>14054</v>
      </c>
      <c r="AI3954" s="77" t="b">
        <v>0</v>
      </c>
      <c r="AJ3954" s="77"/>
      <c r="AK3954" s="77"/>
      <c r="AL3954" s="77"/>
      <c r="AM3954" s="77"/>
      <c r="AN3954" s="77"/>
      <c r="AO3954" s="77"/>
      <c r="AP3954" s="77"/>
      <c r="AQ3954" s="77" t="s">
        <v>15836</v>
      </c>
      <c r="AR3954" s="77">
        <v>87486</v>
      </c>
      <c r="AS3954" s="77"/>
      <c r="AT3954" s="77"/>
      <c r="AU3954" s="77"/>
      <c r="AV3954" s="83" t="str">
        <f>HYPERLINK("https://pbs.twimg.com/ext_tw_video_thumb/1672235072655589381/pu/img/7UMdEOeXNirE6Tab.jpg")</f>
        <v>https://pbs.twimg.com/ext_tw_video_thumb/1672235072655589381/pu/img/7UMdEOeXNirE6Tab.jpg</v>
      </c>
      <c r="AW3954" s="80" t="s">
        <v>19631</v>
      </c>
      <c r="AX3954" s="80" t="s">
        <v>19631</v>
      </c>
      <c r="AY3954" s="77"/>
      <c r="AZ3954" s="80" t="s">
        <v>20380</v>
      </c>
      <c r="BA3954" s="80" t="s">
        <v>20380</v>
      </c>
      <c r="BB3954" s="80" t="s">
        <v>20380</v>
      </c>
      <c r="BC3954" s="80" t="s">
        <v>19631</v>
      </c>
      <c r="BD3954" s="77">
        <v>222157159</v>
      </c>
      <c r="BE3954" s="77"/>
      <c r="BF3954" s="77"/>
      <c r="BG3954" s="77"/>
      <c r="BH3954" s="77"/>
      <c r="BI3954" s="77"/>
    </row>
    <row r="3955" spans="1:61" x14ac:dyDescent="0.25">
      <c r="A3955" s="62" t="s">
        <v>1596</v>
      </c>
      <c r="B3955" s="62" t="s">
        <v>1596</v>
      </c>
      <c r="C3955" s="63"/>
      <c r="D3955" s="64"/>
      <c r="E3955" s="65"/>
      <c r="F3955" s="66"/>
      <c r="G3955" s="63"/>
      <c r="H3955" s="67"/>
      <c r="I3955" s="68"/>
      <c r="J3955" s="68"/>
      <c r="K3955" s="32"/>
      <c r="L3955" s="75">
        <v>3955</v>
      </c>
      <c r="M3955" s="75"/>
      <c r="N3955" s="70"/>
      <c r="O3955" s="77" t="s">
        <v>2078</v>
      </c>
      <c r="P3955" s="79">
        <v>45082.570497685185</v>
      </c>
      <c r="Q3955" s="77" t="s">
        <v>5569</v>
      </c>
      <c r="R3955" s="77">
        <v>2</v>
      </c>
      <c r="S3955" s="77">
        <v>4</v>
      </c>
      <c r="T3955" s="77">
        <v>0</v>
      </c>
      <c r="U3955" s="77">
        <v>1</v>
      </c>
      <c r="V3955" s="77">
        <v>1626</v>
      </c>
      <c r="W3955" s="80" t="s">
        <v>8377</v>
      </c>
      <c r="X3955" s="77"/>
      <c r="Y3955" s="77"/>
      <c r="Z3955" s="77"/>
      <c r="AA3955" s="77"/>
      <c r="AB3955" s="77"/>
      <c r="AC3955" s="80" t="s">
        <v>10541</v>
      </c>
      <c r="AD3955" s="77" t="s">
        <v>10617</v>
      </c>
      <c r="AE3955" s="83" t="str">
        <f>HYPERLINK("https://twitter.com/bancocentralbr/status/1665715476754845696")</f>
        <v>https://twitter.com/bancocentralbr/status/1665715476754845696</v>
      </c>
      <c r="AF3955" s="79">
        <v>45082.570497685185</v>
      </c>
      <c r="AG3955" s="85">
        <v>45082</v>
      </c>
      <c r="AH3955" s="80" t="s">
        <v>14055</v>
      </c>
      <c r="AI3955" s="77"/>
      <c r="AJ3955" s="77"/>
      <c r="AK3955" s="77"/>
      <c r="AL3955" s="77"/>
      <c r="AM3955" s="77"/>
      <c r="AN3955" s="77"/>
      <c r="AO3955" s="77"/>
      <c r="AP3955" s="77"/>
      <c r="AQ3955" s="77"/>
      <c r="AR3955" s="77"/>
      <c r="AS3955" s="77"/>
      <c r="AT3955" s="77"/>
      <c r="AU3955" s="77"/>
      <c r="AV3955" s="83" t="str">
        <f>HYPERLINK("https://pbs.twimg.com/profile_images/1674371511996628993/reGcyxoU_normal.jpg")</f>
        <v>https://pbs.twimg.com/profile_images/1674371511996628993/reGcyxoU_normal.jpg</v>
      </c>
      <c r="AW3955" s="80" t="s">
        <v>19632</v>
      </c>
      <c r="AX3955" s="80" t="s">
        <v>20194</v>
      </c>
      <c r="AY3955" s="80" t="s">
        <v>20367</v>
      </c>
      <c r="AZ3955" s="80" t="s">
        <v>20475</v>
      </c>
      <c r="BA3955" s="80" t="s">
        <v>20380</v>
      </c>
      <c r="BB3955" s="80" t="s">
        <v>20380</v>
      </c>
      <c r="BC3955" s="80" t="s">
        <v>20475</v>
      </c>
      <c r="BD3955" s="77">
        <v>222157159</v>
      </c>
      <c r="BE3955" s="77"/>
      <c r="BF3955" s="77"/>
      <c r="BG3955" s="77"/>
      <c r="BH3955" s="77"/>
      <c r="BI3955" s="77"/>
    </row>
    <row r="3956" spans="1:61" x14ac:dyDescent="0.25">
      <c r="A3956" s="62" t="s">
        <v>1596</v>
      </c>
      <c r="B3956" s="62" t="s">
        <v>1596</v>
      </c>
      <c r="C3956" s="63"/>
      <c r="D3956" s="64"/>
      <c r="E3956" s="65"/>
      <c r="F3956" s="66"/>
      <c r="G3956" s="63"/>
      <c r="H3956" s="67"/>
      <c r="I3956" s="68"/>
      <c r="J3956" s="68"/>
      <c r="K3956" s="32"/>
      <c r="L3956" s="75">
        <v>3956</v>
      </c>
      <c r="M3956" s="75"/>
      <c r="N3956" s="70"/>
      <c r="O3956" s="77" t="s">
        <v>179</v>
      </c>
      <c r="P3956" s="79">
        <v>45049.794641203705</v>
      </c>
      <c r="Q3956" s="77" t="s">
        <v>5570</v>
      </c>
      <c r="R3956" s="77">
        <v>4</v>
      </c>
      <c r="S3956" s="77">
        <v>22</v>
      </c>
      <c r="T3956" s="77">
        <v>3</v>
      </c>
      <c r="U3956" s="77">
        <v>1</v>
      </c>
      <c r="V3956" s="77">
        <v>3191</v>
      </c>
      <c r="W3956" s="80" t="s">
        <v>8378</v>
      </c>
      <c r="X3956" s="83" t="str">
        <f>HYPERLINK("http://bcb.gov.br/meubc")</f>
        <v>http://bcb.gov.br/meubc</v>
      </c>
      <c r="Y3956" s="77" t="s">
        <v>8633</v>
      </c>
      <c r="Z3956" s="77"/>
      <c r="AA3956" s="77" t="s">
        <v>10358</v>
      </c>
      <c r="AB3956" s="77" t="s">
        <v>10534</v>
      </c>
      <c r="AC3956" s="80" t="s">
        <v>10541</v>
      </c>
      <c r="AD3956" s="77" t="s">
        <v>10617</v>
      </c>
      <c r="AE3956" s="83" t="str">
        <f>HYPERLINK("https://twitter.com/bancocentralbr/status/1653837904232194081")</f>
        <v>https://twitter.com/bancocentralbr/status/1653837904232194081</v>
      </c>
      <c r="AF3956" s="79">
        <v>45049.794641203705</v>
      </c>
      <c r="AG3956" s="85">
        <v>45049</v>
      </c>
      <c r="AH3956" s="80" t="s">
        <v>14056</v>
      </c>
      <c r="AI3956" s="77" t="b">
        <v>0</v>
      </c>
      <c r="AJ3956" s="77"/>
      <c r="AK3956" s="77"/>
      <c r="AL3956" s="77"/>
      <c r="AM3956" s="77"/>
      <c r="AN3956" s="77"/>
      <c r="AO3956" s="77"/>
      <c r="AP3956" s="77"/>
      <c r="AQ3956" s="77" t="s">
        <v>15837</v>
      </c>
      <c r="AR3956" s="77">
        <v>59840</v>
      </c>
      <c r="AS3956" s="77"/>
      <c r="AT3956" s="77"/>
      <c r="AU3956" s="77"/>
      <c r="AV3956" s="83" t="str">
        <f>HYPERLINK("https://pbs.twimg.com/ext_tw_video_thumb/1653836080641105920/pu/img/MbMcdFgx7R_zf5PJ.jpg")</f>
        <v>https://pbs.twimg.com/ext_tw_video_thumb/1653836080641105920/pu/img/MbMcdFgx7R_zf5PJ.jpg</v>
      </c>
      <c r="AW3956" s="80" t="s">
        <v>19633</v>
      </c>
      <c r="AX3956" s="80" t="s">
        <v>19633</v>
      </c>
      <c r="AY3956" s="77"/>
      <c r="AZ3956" s="80" t="s">
        <v>20380</v>
      </c>
      <c r="BA3956" s="80" t="s">
        <v>20380</v>
      </c>
      <c r="BB3956" s="80" t="s">
        <v>20380</v>
      </c>
      <c r="BC3956" s="80" t="s">
        <v>19633</v>
      </c>
      <c r="BD3956" s="77">
        <v>222157159</v>
      </c>
      <c r="BE3956" s="77"/>
      <c r="BF3956" s="77"/>
      <c r="BG3956" s="77"/>
      <c r="BH3956" s="77"/>
      <c r="BI3956" s="77"/>
    </row>
    <row r="3957" spans="1:61" x14ac:dyDescent="0.25">
      <c r="A3957" s="62" t="s">
        <v>1596</v>
      </c>
      <c r="B3957" s="62" t="s">
        <v>1596</v>
      </c>
      <c r="C3957" s="63"/>
      <c r="D3957" s="64"/>
      <c r="E3957" s="65"/>
      <c r="F3957" s="66"/>
      <c r="G3957" s="63"/>
      <c r="H3957" s="67"/>
      <c r="I3957" s="68"/>
      <c r="J3957" s="68"/>
      <c r="K3957" s="32"/>
      <c r="L3957" s="75">
        <v>3957</v>
      </c>
      <c r="M3957" s="75"/>
      <c r="N3957" s="70"/>
      <c r="O3957" s="77" t="s">
        <v>2078</v>
      </c>
      <c r="P3957" s="79">
        <v>45154.51829861111</v>
      </c>
      <c r="Q3957" s="77" t="s">
        <v>5571</v>
      </c>
      <c r="R3957" s="77">
        <v>1</v>
      </c>
      <c r="S3957" s="77">
        <v>2</v>
      </c>
      <c r="T3957" s="77">
        <v>1</v>
      </c>
      <c r="U3957" s="77">
        <v>1</v>
      </c>
      <c r="V3957" s="77">
        <v>1334</v>
      </c>
      <c r="W3957" s="80" t="s">
        <v>8379</v>
      </c>
      <c r="X3957" s="83" t="str">
        <f>HYPERLINK("https://youtu.be/253qlxanAK4")</f>
        <v>https://youtu.be/253qlxanAK4</v>
      </c>
      <c r="Y3957" s="77" t="s">
        <v>8635</v>
      </c>
      <c r="Z3957" s="77"/>
      <c r="AA3957" s="77"/>
      <c r="AB3957" s="77"/>
      <c r="AC3957" s="80" t="s">
        <v>10541</v>
      </c>
      <c r="AD3957" s="77" t="s">
        <v>10617</v>
      </c>
      <c r="AE3957" s="83" t="str">
        <f>HYPERLINK("https://twitter.com/bancocentralbr/status/1691788484749545930")</f>
        <v>https://twitter.com/bancocentralbr/status/1691788484749545930</v>
      </c>
      <c r="AF3957" s="79">
        <v>45154.51829861111</v>
      </c>
      <c r="AG3957" s="85">
        <v>45154</v>
      </c>
      <c r="AH3957" s="80" t="s">
        <v>14057</v>
      </c>
      <c r="AI3957" s="77" t="b">
        <v>0</v>
      </c>
      <c r="AJ3957" s="77"/>
      <c r="AK3957" s="77"/>
      <c r="AL3957" s="77"/>
      <c r="AM3957" s="77"/>
      <c r="AN3957" s="77"/>
      <c r="AO3957" s="77"/>
      <c r="AP3957" s="77"/>
      <c r="AQ3957" s="77"/>
      <c r="AR3957" s="77"/>
      <c r="AS3957" s="77"/>
      <c r="AT3957" s="77"/>
      <c r="AU3957" s="77"/>
      <c r="AV3957" s="83" t="str">
        <f>HYPERLINK("https://pbs.twimg.com/profile_images/1674371511996628993/reGcyxoU_normal.jpg")</f>
        <v>https://pbs.twimg.com/profile_images/1674371511996628993/reGcyxoU_normal.jpg</v>
      </c>
      <c r="AW3957" s="80" t="s">
        <v>19634</v>
      </c>
      <c r="AX3957" s="80" t="s">
        <v>20195</v>
      </c>
      <c r="AY3957" s="80" t="s">
        <v>20367</v>
      </c>
      <c r="AZ3957" s="80" t="s">
        <v>20195</v>
      </c>
      <c r="BA3957" s="80" t="s">
        <v>20380</v>
      </c>
      <c r="BB3957" s="80" t="s">
        <v>20380</v>
      </c>
      <c r="BC3957" s="80" t="s">
        <v>20195</v>
      </c>
      <c r="BD3957" s="77">
        <v>222157159</v>
      </c>
      <c r="BE3957" s="77"/>
      <c r="BF3957" s="77"/>
      <c r="BG3957" s="77"/>
      <c r="BH3957" s="77"/>
      <c r="BI3957" s="77"/>
    </row>
    <row r="3958" spans="1:61" x14ac:dyDescent="0.25">
      <c r="A3958" s="62" t="s">
        <v>1596</v>
      </c>
      <c r="B3958" s="62" t="s">
        <v>1596</v>
      </c>
      <c r="C3958" s="63"/>
      <c r="D3958" s="64"/>
      <c r="E3958" s="65"/>
      <c r="F3958" s="66"/>
      <c r="G3958" s="63"/>
      <c r="H3958" s="67"/>
      <c r="I3958" s="68"/>
      <c r="J3958" s="68"/>
      <c r="K3958" s="32"/>
      <c r="L3958" s="75">
        <v>3958</v>
      </c>
      <c r="M3958" s="75"/>
      <c r="N3958" s="70"/>
      <c r="O3958" s="77" t="s">
        <v>2078</v>
      </c>
      <c r="P3958" s="79">
        <v>45147.853206018517</v>
      </c>
      <c r="Q3958" s="77" t="s">
        <v>5572</v>
      </c>
      <c r="R3958" s="77">
        <v>0</v>
      </c>
      <c r="S3958" s="77">
        <v>4</v>
      </c>
      <c r="T3958" s="77">
        <v>0</v>
      </c>
      <c r="U3958" s="77">
        <v>0</v>
      </c>
      <c r="V3958" s="77">
        <v>1499</v>
      </c>
      <c r="W3958" s="80" t="s">
        <v>8380</v>
      </c>
      <c r="X3958" s="83" t="str">
        <f>HYPERLINK("https://youtu.be/gcimRoyADCo")</f>
        <v>https://youtu.be/gcimRoyADCo</v>
      </c>
      <c r="Y3958" s="77" t="s">
        <v>8635</v>
      </c>
      <c r="Z3958" s="77"/>
      <c r="AA3958" s="77"/>
      <c r="AB3958" s="77"/>
      <c r="AC3958" s="80" t="s">
        <v>10541</v>
      </c>
      <c r="AD3958" s="77" t="s">
        <v>10617</v>
      </c>
      <c r="AE3958" s="83" t="str">
        <f>HYPERLINK("https://twitter.com/bancocentralbr/status/1689373137668915200")</f>
        <v>https://twitter.com/bancocentralbr/status/1689373137668915200</v>
      </c>
      <c r="AF3958" s="79">
        <v>45147.853206018517</v>
      </c>
      <c r="AG3958" s="85">
        <v>45147</v>
      </c>
      <c r="AH3958" s="80" t="s">
        <v>14058</v>
      </c>
      <c r="AI3958" s="77" t="b">
        <v>0</v>
      </c>
      <c r="AJ3958" s="77"/>
      <c r="AK3958" s="77"/>
      <c r="AL3958" s="77"/>
      <c r="AM3958" s="77"/>
      <c r="AN3958" s="77"/>
      <c r="AO3958" s="77"/>
      <c r="AP3958" s="77"/>
      <c r="AQ3958" s="77"/>
      <c r="AR3958" s="77"/>
      <c r="AS3958" s="77"/>
      <c r="AT3958" s="77"/>
      <c r="AU3958" s="77"/>
      <c r="AV3958" s="83" t="str">
        <f>HYPERLINK("https://pbs.twimg.com/profile_images/1674371511996628993/reGcyxoU_normal.jpg")</f>
        <v>https://pbs.twimg.com/profile_images/1674371511996628993/reGcyxoU_normal.jpg</v>
      </c>
      <c r="AW3958" s="80" t="s">
        <v>19635</v>
      </c>
      <c r="AX3958" s="80" t="s">
        <v>20196</v>
      </c>
      <c r="AY3958" s="80" t="s">
        <v>20367</v>
      </c>
      <c r="AZ3958" s="80" t="s">
        <v>20196</v>
      </c>
      <c r="BA3958" s="80" t="s">
        <v>20380</v>
      </c>
      <c r="BB3958" s="80" t="s">
        <v>20380</v>
      </c>
      <c r="BC3958" s="80" t="s">
        <v>20196</v>
      </c>
      <c r="BD3958" s="77">
        <v>222157159</v>
      </c>
      <c r="BE3958" s="77"/>
      <c r="BF3958" s="77"/>
      <c r="BG3958" s="77"/>
      <c r="BH3958" s="77"/>
      <c r="BI3958" s="77"/>
    </row>
    <row r="3959" spans="1:61" x14ac:dyDescent="0.25">
      <c r="A3959" s="62" t="s">
        <v>1596</v>
      </c>
      <c r="B3959" s="62" t="s">
        <v>1596</v>
      </c>
      <c r="C3959" s="63"/>
      <c r="D3959" s="64"/>
      <c r="E3959" s="65"/>
      <c r="F3959" s="66"/>
      <c r="G3959" s="63"/>
      <c r="H3959" s="67"/>
      <c r="I3959" s="68"/>
      <c r="J3959" s="68"/>
      <c r="K3959" s="32"/>
      <c r="L3959" s="75">
        <v>3959</v>
      </c>
      <c r="M3959" s="75"/>
      <c r="N3959" s="70"/>
      <c r="O3959" s="77" t="s">
        <v>2078</v>
      </c>
      <c r="P3959" s="79">
        <v>45147.766967592594</v>
      </c>
      <c r="Q3959" s="77" t="s">
        <v>5573</v>
      </c>
      <c r="R3959" s="77">
        <v>1</v>
      </c>
      <c r="S3959" s="77">
        <v>3</v>
      </c>
      <c r="T3959" s="77">
        <v>0</v>
      </c>
      <c r="U3959" s="77">
        <v>0</v>
      </c>
      <c r="V3959" s="77">
        <v>1461</v>
      </c>
      <c r="W3959" s="80" t="s">
        <v>8380</v>
      </c>
      <c r="X3959" s="83" t="str">
        <f>HYPERLINK("https://youtu.be/gcimRoyADCo")</f>
        <v>https://youtu.be/gcimRoyADCo</v>
      </c>
      <c r="Y3959" s="77" t="s">
        <v>8635</v>
      </c>
      <c r="Z3959" s="77"/>
      <c r="AA3959" s="77"/>
      <c r="AB3959" s="77"/>
      <c r="AC3959" s="80" t="s">
        <v>10541</v>
      </c>
      <c r="AD3959" s="77" t="s">
        <v>10617</v>
      </c>
      <c r="AE3959" s="83" t="str">
        <f>HYPERLINK("https://twitter.com/bancocentralbr/status/1689341883858698240")</f>
        <v>https://twitter.com/bancocentralbr/status/1689341883858698240</v>
      </c>
      <c r="AF3959" s="79">
        <v>45147.766967592594</v>
      </c>
      <c r="AG3959" s="85">
        <v>45147</v>
      </c>
      <c r="AH3959" s="80" t="s">
        <v>14059</v>
      </c>
      <c r="AI3959" s="77" t="b">
        <v>0</v>
      </c>
      <c r="AJ3959" s="77"/>
      <c r="AK3959" s="77"/>
      <c r="AL3959" s="77"/>
      <c r="AM3959" s="77"/>
      <c r="AN3959" s="77"/>
      <c r="AO3959" s="77"/>
      <c r="AP3959" s="77"/>
      <c r="AQ3959" s="77"/>
      <c r="AR3959" s="77"/>
      <c r="AS3959" s="77"/>
      <c r="AT3959" s="77"/>
      <c r="AU3959" s="77"/>
      <c r="AV3959" s="83" t="str">
        <f>HYPERLINK("https://pbs.twimg.com/profile_images/1674371511996628993/reGcyxoU_normal.jpg")</f>
        <v>https://pbs.twimg.com/profile_images/1674371511996628993/reGcyxoU_normal.jpg</v>
      </c>
      <c r="AW3959" s="80" t="s">
        <v>19636</v>
      </c>
      <c r="AX3959" s="80" t="s">
        <v>20197</v>
      </c>
      <c r="AY3959" s="80" t="s">
        <v>20367</v>
      </c>
      <c r="AZ3959" s="80" t="s">
        <v>20197</v>
      </c>
      <c r="BA3959" s="80" t="s">
        <v>20380</v>
      </c>
      <c r="BB3959" s="80" t="s">
        <v>20380</v>
      </c>
      <c r="BC3959" s="80" t="s">
        <v>20197</v>
      </c>
      <c r="BD3959" s="77">
        <v>222157159</v>
      </c>
      <c r="BE3959" s="77"/>
      <c r="BF3959" s="77"/>
      <c r="BG3959" s="77"/>
      <c r="BH3959" s="77"/>
      <c r="BI3959" s="77"/>
    </row>
    <row r="3960" spans="1:61" x14ac:dyDescent="0.25">
      <c r="A3960" s="62" t="s">
        <v>1596</v>
      </c>
      <c r="B3960" s="62" t="s">
        <v>1596</v>
      </c>
      <c r="C3960" s="63"/>
      <c r="D3960" s="64"/>
      <c r="E3960" s="65"/>
      <c r="F3960" s="66"/>
      <c r="G3960" s="63"/>
      <c r="H3960" s="67"/>
      <c r="I3960" s="68"/>
      <c r="J3960" s="68"/>
      <c r="K3960" s="32"/>
      <c r="L3960" s="75">
        <v>3960</v>
      </c>
      <c r="M3960" s="75"/>
      <c r="N3960" s="70"/>
      <c r="O3960" s="77" t="s">
        <v>179</v>
      </c>
      <c r="P3960" s="79">
        <v>45089.481354166666</v>
      </c>
      <c r="Q3960" s="77" t="s">
        <v>5574</v>
      </c>
      <c r="R3960" s="77">
        <v>36</v>
      </c>
      <c r="S3960" s="77">
        <v>214</v>
      </c>
      <c r="T3960" s="77">
        <v>20</v>
      </c>
      <c r="U3960" s="77">
        <v>10</v>
      </c>
      <c r="V3960" s="77">
        <v>44655</v>
      </c>
      <c r="W3960" s="77"/>
      <c r="X3960" s="83" t="str">
        <f>HYPERLINK("https://www.bcb.gov.br/publicacoes/focus")</f>
        <v>https://www.bcb.gov.br/publicacoes/focus</v>
      </c>
      <c r="Y3960" s="77" t="s">
        <v>8633</v>
      </c>
      <c r="Z3960" s="77"/>
      <c r="AA3960" s="77" t="s">
        <v>10359</v>
      </c>
      <c r="AB3960" s="77" t="s">
        <v>10535</v>
      </c>
      <c r="AC3960" s="80" t="s">
        <v>10541</v>
      </c>
      <c r="AD3960" s="77" t="s">
        <v>10617</v>
      </c>
      <c r="AE3960" s="83" t="str">
        <f>HYPERLINK("https://twitter.com/bancocentralbr/status/1668219886621937667")</f>
        <v>https://twitter.com/bancocentralbr/status/1668219886621937667</v>
      </c>
      <c r="AF3960" s="79">
        <v>45089.481354166666</v>
      </c>
      <c r="AG3960" s="85">
        <v>45089</v>
      </c>
      <c r="AH3960" s="80" t="s">
        <v>14060</v>
      </c>
      <c r="AI3960" s="77" t="b">
        <v>0</v>
      </c>
      <c r="AJ3960" s="77"/>
      <c r="AK3960" s="77"/>
      <c r="AL3960" s="77"/>
      <c r="AM3960" s="77"/>
      <c r="AN3960" s="77"/>
      <c r="AO3960" s="77"/>
      <c r="AP3960" s="77"/>
      <c r="AQ3960" s="77" t="s">
        <v>15838</v>
      </c>
      <c r="AR3960" s="77"/>
      <c r="AS3960" s="77"/>
      <c r="AT3960" s="77"/>
      <c r="AU3960" s="77"/>
      <c r="AV3960" s="83" t="str">
        <f>HYPERLINK("https://pbs.twimg.com/media/Fya08GWWAAE1siV.jpg")</f>
        <v>https://pbs.twimg.com/media/Fya08GWWAAE1siV.jpg</v>
      </c>
      <c r="AW3960" s="80" t="s">
        <v>19637</v>
      </c>
      <c r="AX3960" s="80" t="s">
        <v>19637</v>
      </c>
      <c r="AY3960" s="77"/>
      <c r="AZ3960" s="80" t="s">
        <v>20380</v>
      </c>
      <c r="BA3960" s="80" t="s">
        <v>20380</v>
      </c>
      <c r="BB3960" s="80" t="s">
        <v>20380</v>
      </c>
      <c r="BC3960" s="80" t="s">
        <v>19637</v>
      </c>
      <c r="BD3960" s="77">
        <v>222157159</v>
      </c>
      <c r="BE3960" s="77"/>
      <c r="BF3960" s="77"/>
      <c r="BG3960" s="77"/>
      <c r="BH3960" s="77"/>
      <c r="BI3960" s="77"/>
    </row>
    <row r="3961" spans="1:61" x14ac:dyDescent="0.25">
      <c r="A3961" s="62" t="s">
        <v>1596</v>
      </c>
      <c r="B3961" s="62" t="s">
        <v>1596</v>
      </c>
      <c r="C3961" s="63"/>
      <c r="D3961" s="64"/>
      <c r="E3961" s="65"/>
      <c r="F3961" s="66"/>
      <c r="G3961" s="63"/>
      <c r="H3961" s="67"/>
      <c r="I3961" s="68"/>
      <c r="J3961" s="68"/>
      <c r="K3961" s="32"/>
      <c r="L3961" s="75">
        <v>3961</v>
      </c>
      <c r="M3961" s="75"/>
      <c r="N3961" s="70"/>
      <c r="O3961" s="77" t="s">
        <v>179</v>
      </c>
      <c r="P3961" s="79">
        <v>45159.480937499997</v>
      </c>
      <c r="Q3961" s="77" t="s">
        <v>5575</v>
      </c>
      <c r="R3961" s="77">
        <v>26</v>
      </c>
      <c r="S3961" s="77">
        <v>150</v>
      </c>
      <c r="T3961" s="77">
        <v>4</v>
      </c>
      <c r="U3961" s="77">
        <v>4</v>
      </c>
      <c r="V3961" s="77">
        <v>8826</v>
      </c>
      <c r="W3961" s="80" t="s">
        <v>8381</v>
      </c>
      <c r="X3961" s="83" t="str">
        <f>HYPERLINK("https://www.bcb.gov.br/publicacoes/focus")</f>
        <v>https://www.bcb.gov.br/publicacoes/focus</v>
      </c>
      <c r="Y3961" s="77" t="s">
        <v>8633</v>
      </c>
      <c r="Z3961" s="77"/>
      <c r="AA3961" s="77" t="s">
        <v>10360</v>
      </c>
      <c r="AB3961" s="77" t="s">
        <v>10535</v>
      </c>
      <c r="AC3961" s="80" t="s">
        <v>10541</v>
      </c>
      <c r="AD3961" s="77" t="s">
        <v>10617</v>
      </c>
      <c r="AE3961" s="83" t="str">
        <f>HYPERLINK("https://twitter.com/bancocentralbr/status/1693586884436312435")</f>
        <v>https://twitter.com/bancocentralbr/status/1693586884436312435</v>
      </c>
      <c r="AF3961" s="79">
        <v>45159.480937499997</v>
      </c>
      <c r="AG3961" s="85">
        <v>45159</v>
      </c>
      <c r="AH3961" s="80" t="s">
        <v>14061</v>
      </c>
      <c r="AI3961" s="77" t="b">
        <v>0</v>
      </c>
      <c r="AJ3961" s="77"/>
      <c r="AK3961" s="77"/>
      <c r="AL3961" s="77"/>
      <c r="AM3961" s="77"/>
      <c r="AN3961" s="77"/>
      <c r="AO3961" s="77"/>
      <c r="AP3961" s="77"/>
      <c r="AQ3961" s="77" t="s">
        <v>15839</v>
      </c>
      <c r="AR3961" s="77"/>
      <c r="AS3961" s="77"/>
      <c r="AT3961" s="77"/>
      <c r="AU3961" s="77"/>
      <c r="AV3961" s="83" t="str">
        <f>HYPERLINK("https://pbs.twimg.com/media/F4DUL2eWwAAQtNV.jpg")</f>
        <v>https://pbs.twimg.com/media/F4DUL2eWwAAQtNV.jpg</v>
      </c>
      <c r="AW3961" s="80" t="s">
        <v>19638</v>
      </c>
      <c r="AX3961" s="80" t="s">
        <v>19638</v>
      </c>
      <c r="AY3961" s="77"/>
      <c r="AZ3961" s="80" t="s">
        <v>20380</v>
      </c>
      <c r="BA3961" s="80" t="s">
        <v>20380</v>
      </c>
      <c r="BB3961" s="80" t="s">
        <v>20380</v>
      </c>
      <c r="BC3961" s="80" t="s">
        <v>19638</v>
      </c>
      <c r="BD3961" s="77">
        <v>222157159</v>
      </c>
      <c r="BE3961" s="77"/>
      <c r="BF3961" s="77"/>
      <c r="BG3961" s="77"/>
      <c r="BH3961" s="77"/>
      <c r="BI3961" s="77"/>
    </row>
    <row r="3962" spans="1:61" x14ac:dyDescent="0.25">
      <c r="A3962" s="62" t="s">
        <v>1596</v>
      </c>
      <c r="B3962" s="62" t="s">
        <v>1596</v>
      </c>
      <c r="C3962" s="63"/>
      <c r="D3962" s="64"/>
      <c r="E3962" s="65"/>
      <c r="F3962" s="66"/>
      <c r="G3962" s="63"/>
      <c r="H3962" s="67"/>
      <c r="I3962" s="68"/>
      <c r="J3962" s="68"/>
      <c r="K3962" s="32"/>
      <c r="L3962" s="75">
        <v>3962</v>
      </c>
      <c r="M3962" s="75"/>
      <c r="N3962" s="70"/>
      <c r="O3962" s="77" t="s">
        <v>2078</v>
      </c>
      <c r="P3962" s="79">
        <v>45119.54824074074</v>
      </c>
      <c r="Q3962" s="77" t="s">
        <v>5576</v>
      </c>
      <c r="R3962" s="77">
        <v>0</v>
      </c>
      <c r="S3962" s="77">
        <v>14</v>
      </c>
      <c r="T3962" s="77">
        <v>0</v>
      </c>
      <c r="U3962" s="77">
        <v>0</v>
      </c>
      <c r="V3962" s="77">
        <v>1881</v>
      </c>
      <c r="W3962" s="80" t="s">
        <v>8382</v>
      </c>
      <c r="X3962" s="83" t="str">
        <f>HYPERLINK("https://youtu.be/BRQvQREQhYg")</f>
        <v>https://youtu.be/BRQvQREQhYg</v>
      </c>
      <c r="Y3962" s="77" t="s">
        <v>8635</v>
      </c>
      <c r="Z3962" s="77"/>
      <c r="AA3962" s="77"/>
      <c r="AB3962" s="77"/>
      <c r="AC3962" s="80" t="s">
        <v>10541</v>
      </c>
      <c r="AD3962" s="77" t="s">
        <v>10617</v>
      </c>
      <c r="AE3962" s="83" t="str">
        <f>HYPERLINK("https://twitter.com/bancocentralbr/status/1679115760684113921")</f>
        <v>https://twitter.com/bancocentralbr/status/1679115760684113921</v>
      </c>
      <c r="AF3962" s="79">
        <v>45119.54824074074</v>
      </c>
      <c r="AG3962" s="85">
        <v>45119</v>
      </c>
      <c r="AH3962" s="80" t="s">
        <v>14062</v>
      </c>
      <c r="AI3962" s="77" t="b">
        <v>0</v>
      </c>
      <c r="AJ3962" s="77"/>
      <c r="AK3962" s="77"/>
      <c r="AL3962" s="77"/>
      <c r="AM3962" s="77"/>
      <c r="AN3962" s="77"/>
      <c r="AO3962" s="77"/>
      <c r="AP3962" s="77"/>
      <c r="AQ3962" s="77"/>
      <c r="AR3962" s="77"/>
      <c r="AS3962" s="77"/>
      <c r="AT3962" s="77"/>
      <c r="AU3962" s="77"/>
      <c r="AV3962" s="83" t="str">
        <f>HYPERLINK("https://pbs.twimg.com/profile_images/1674371511996628993/reGcyxoU_normal.jpg")</f>
        <v>https://pbs.twimg.com/profile_images/1674371511996628993/reGcyxoU_normal.jpg</v>
      </c>
      <c r="AW3962" s="80" t="s">
        <v>19639</v>
      </c>
      <c r="AX3962" s="80" t="s">
        <v>20198</v>
      </c>
      <c r="AY3962" s="80" t="s">
        <v>20367</v>
      </c>
      <c r="AZ3962" s="80" t="s">
        <v>20198</v>
      </c>
      <c r="BA3962" s="80" t="s">
        <v>20380</v>
      </c>
      <c r="BB3962" s="80" t="s">
        <v>20380</v>
      </c>
      <c r="BC3962" s="80" t="s">
        <v>20198</v>
      </c>
      <c r="BD3962" s="77">
        <v>222157159</v>
      </c>
      <c r="BE3962" s="77"/>
      <c r="BF3962" s="77"/>
      <c r="BG3962" s="77"/>
      <c r="BH3962" s="77"/>
      <c r="BI3962" s="77"/>
    </row>
    <row r="3963" spans="1:61" x14ac:dyDescent="0.25">
      <c r="A3963" s="62" t="s">
        <v>1596</v>
      </c>
      <c r="B3963" s="62" t="s">
        <v>1596</v>
      </c>
      <c r="C3963" s="63"/>
      <c r="D3963" s="64"/>
      <c r="E3963" s="65"/>
      <c r="F3963" s="66"/>
      <c r="G3963" s="63"/>
      <c r="H3963" s="67"/>
      <c r="I3963" s="68"/>
      <c r="J3963" s="68"/>
      <c r="K3963" s="32"/>
      <c r="L3963" s="75">
        <v>3963</v>
      </c>
      <c r="M3963" s="75"/>
      <c r="N3963" s="70"/>
      <c r="O3963" s="77" t="s">
        <v>179</v>
      </c>
      <c r="P3963" s="79">
        <v>45166.487199074072</v>
      </c>
      <c r="Q3963" s="77" t="s">
        <v>5577</v>
      </c>
      <c r="R3963" s="77">
        <v>16</v>
      </c>
      <c r="S3963" s="77">
        <v>107</v>
      </c>
      <c r="T3963" s="77">
        <v>1</v>
      </c>
      <c r="U3963" s="77">
        <v>3</v>
      </c>
      <c r="V3963" s="77">
        <v>10425</v>
      </c>
      <c r="W3963" s="80" t="s">
        <v>8381</v>
      </c>
      <c r="X3963" s="83" t="str">
        <f>HYPERLINK("https://www.bcb.gov.br/publicacoes/focus")</f>
        <v>https://www.bcb.gov.br/publicacoes/focus</v>
      </c>
      <c r="Y3963" s="77" t="s">
        <v>8633</v>
      </c>
      <c r="Z3963" s="77"/>
      <c r="AA3963" s="77" t="s">
        <v>10361</v>
      </c>
      <c r="AB3963" s="77" t="s">
        <v>10535</v>
      </c>
      <c r="AC3963" s="80" t="s">
        <v>10541</v>
      </c>
      <c r="AD3963" s="77" t="s">
        <v>10617</v>
      </c>
      <c r="AE3963" s="83" t="str">
        <f>HYPERLINK("https://twitter.com/bancocentralbr/status/1696125871537451457")</f>
        <v>https://twitter.com/bancocentralbr/status/1696125871537451457</v>
      </c>
      <c r="AF3963" s="79">
        <v>45166.487199074072</v>
      </c>
      <c r="AG3963" s="85">
        <v>45166</v>
      </c>
      <c r="AH3963" s="80" t="s">
        <v>14063</v>
      </c>
      <c r="AI3963" s="77" t="b">
        <v>0</v>
      </c>
      <c r="AJ3963" s="77"/>
      <c r="AK3963" s="77"/>
      <c r="AL3963" s="77"/>
      <c r="AM3963" s="77"/>
      <c r="AN3963" s="77"/>
      <c r="AO3963" s="77"/>
      <c r="AP3963" s="77"/>
      <c r="AQ3963" s="77" t="s">
        <v>15840</v>
      </c>
      <c r="AR3963" s="77"/>
      <c r="AS3963" s="77"/>
      <c r="AT3963" s="77"/>
      <c r="AU3963" s="77"/>
      <c r="AV3963" s="83" t="str">
        <f>HYPERLINK("https://pbs.twimg.com/media/F4nZYVpWUAA3ZGX.jpg")</f>
        <v>https://pbs.twimg.com/media/F4nZYVpWUAA3ZGX.jpg</v>
      </c>
      <c r="AW3963" s="80" t="s">
        <v>19640</v>
      </c>
      <c r="AX3963" s="80" t="s">
        <v>19640</v>
      </c>
      <c r="AY3963" s="77"/>
      <c r="AZ3963" s="80" t="s">
        <v>20380</v>
      </c>
      <c r="BA3963" s="80" t="s">
        <v>20380</v>
      </c>
      <c r="BB3963" s="80" t="s">
        <v>20380</v>
      </c>
      <c r="BC3963" s="80" t="s">
        <v>19640</v>
      </c>
      <c r="BD3963" s="77">
        <v>222157159</v>
      </c>
      <c r="BE3963" s="77"/>
      <c r="BF3963" s="77"/>
      <c r="BG3963" s="77"/>
      <c r="BH3963" s="77"/>
      <c r="BI3963" s="77"/>
    </row>
    <row r="3964" spans="1:61" x14ac:dyDescent="0.25">
      <c r="A3964" s="62" t="s">
        <v>1596</v>
      </c>
      <c r="B3964" s="62" t="s">
        <v>1596</v>
      </c>
      <c r="C3964" s="63"/>
      <c r="D3964" s="64"/>
      <c r="E3964" s="65"/>
      <c r="F3964" s="66"/>
      <c r="G3964" s="63"/>
      <c r="H3964" s="67"/>
      <c r="I3964" s="68"/>
      <c r="J3964" s="68"/>
      <c r="K3964" s="32"/>
      <c r="L3964" s="75">
        <v>3964</v>
      </c>
      <c r="M3964" s="75"/>
      <c r="N3964" s="70"/>
      <c r="O3964" s="77" t="s">
        <v>179</v>
      </c>
      <c r="P3964" s="79">
        <v>45152.793958333335</v>
      </c>
      <c r="Q3964" s="77" t="s">
        <v>5578</v>
      </c>
      <c r="R3964" s="77">
        <v>5</v>
      </c>
      <c r="S3964" s="77">
        <v>23</v>
      </c>
      <c r="T3964" s="77">
        <v>3</v>
      </c>
      <c r="U3964" s="77">
        <v>2</v>
      </c>
      <c r="V3964" s="77">
        <v>4339</v>
      </c>
      <c r="W3964" s="80" t="s">
        <v>8383</v>
      </c>
      <c r="X3964" s="83" t="str">
        <f>HYPERLINK("https://youtu.be/253qlxanAK4")</f>
        <v>https://youtu.be/253qlxanAK4</v>
      </c>
      <c r="Y3964" s="77" t="s">
        <v>8635</v>
      </c>
      <c r="Z3964" s="77"/>
      <c r="AA3964" s="77" t="s">
        <v>10362</v>
      </c>
      <c r="AB3964" s="77" t="s">
        <v>10534</v>
      </c>
      <c r="AC3964" s="80" t="s">
        <v>10541</v>
      </c>
      <c r="AD3964" s="77" t="s">
        <v>10617</v>
      </c>
      <c r="AE3964" s="83" t="str">
        <f>HYPERLINK("https://twitter.com/bancocentralbr/status/1691163607269011456")</f>
        <v>https://twitter.com/bancocentralbr/status/1691163607269011456</v>
      </c>
      <c r="AF3964" s="79">
        <v>45152.793958333335</v>
      </c>
      <c r="AG3964" s="85">
        <v>45152</v>
      </c>
      <c r="AH3964" s="80" t="s">
        <v>14064</v>
      </c>
      <c r="AI3964" s="77" t="b">
        <v>0</v>
      </c>
      <c r="AJ3964" s="77"/>
      <c r="AK3964" s="77"/>
      <c r="AL3964" s="77"/>
      <c r="AM3964" s="77"/>
      <c r="AN3964" s="77"/>
      <c r="AO3964" s="77"/>
      <c r="AP3964" s="77"/>
      <c r="AQ3964" s="77" t="s">
        <v>15841</v>
      </c>
      <c r="AR3964" s="77">
        <v>38826</v>
      </c>
      <c r="AS3964" s="77"/>
      <c r="AT3964" s="77"/>
      <c r="AU3964" s="77"/>
      <c r="AV3964" s="83" t="str">
        <f>HYPERLINK("https://pbs.twimg.com/ext_tw_video_thumb/1691159579160190976/pu/img/mViaf37CS6xkC_cz.jpg")</f>
        <v>https://pbs.twimg.com/ext_tw_video_thumb/1691159579160190976/pu/img/mViaf37CS6xkC_cz.jpg</v>
      </c>
      <c r="AW3964" s="80" t="s">
        <v>19641</v>
      </c>
      <c r="AX3964" s="80" t="s">
        <v>19641</v>
      </c>
      <c r="AY3964" s="77"/>
      <c r="AZ3964" s="80" t="s">
        <v>20380</v>
      </c>
      <c r="BA3964" s="80" t="s">
        <v>20380</v>
      </c>
      <c r="BB3964" s="80" t="s">
        <v>20380</v>
      </c>
      <c r="BC3964" s="80" t="s">
        <v>19641</v>
      </c>
      <c r="BD3964" s="77">
        <v>222157159</v>
      </c>
      <c r="BE3964" s="77"/>
      <c r="BF3964" s="77"/>
      <c r="BG3964" s="77"/>
      <c r="BH3964" s="77"/>
      <c r="BI3964" s="77"/>
    </row>
    <row r="3965" spans="1:61" x14ac:dyDescent="0.25">
      <c r="A3965" s="62" t="s">
        <v>1596</v>
      </c>
      <c r="B3965" s="62" t="s">
        <v>1596</v>
      </c>
      <c r="C3965" s="63"/>
      <c r="D3965" s="64"/>
      <c r="E3965" s="65"/>
      <c r="F3965" s="66"/>
      <c r="G3965" s="63"/>
      <c r="H3965" s="67"/>
      <c r="I3965" s="68"/>
      <c r="J3965" s="68"/>
      <c r="K3965" s="32"/>
      <c r="L3965" s="75">
        <v>3965</v>
      </c>
      <c r="M3965" s="75"/>
      <c r="N3965" s="70"/>
      <c r="O3965" s="77" t="s">
        <v>2078</v>
      </c>
      <c r="P3965" s="79">
        <v>45111.835844907408</v>
      </c>
      <c r="Q3965" s="77" t="s">
        <v>5579</v>
      </c>
      <c r="R3965" s="77">
        <v>0</v>
      </c>
      <c r="S3965" s="77">
        <v>16</v>
      </c>
      <c r="T3965" s="77">
        <v>2</v>
      </c>
      <c r="U3965" s="77">
        <v>0</v>
      </c>
      <c r="V3965" s="77">
        <v>2641</v>
      </c>
      <c r="W3965" s="80" t="s">
        <v>8384</v>
      </c>
      <c r="X3965" s="83" t="str">
        <f>HYPERLINK("http://www.bcb.gov.br/meubc/faqs/s/tarifas")</f>
        <v>http://www.bcb.gov.br/meubc/faqs/s/tarifas</v>
      </c>
      <c r="Y3965" s="77" t="s">
        <v>8633</v>
      </c>
      <c r="Z3965" s="77"/>
      <c r="AA3965" s="77"/>
      <c r="AB3965" s="77"/>
      <c r="AC3965" s="80" t="s">
        <v>10541</v>
      </c>
      <c r="AD3965" s="77" t="s">
        <v>10617</v>
      </c>
      <c r="AE3965" s="83" t="str">
        <f>HYPERLINK("https://twitter.com/bancocentralbr/status/1676320883789406208")</f>
        <v>https://twitter.com/bancocentralbr/status/1676320883789406208</v>
      </c>
      <c r="AF3965" s="79">
        <v>45111.835844907408</v>
      </c>
      <c r="AG3965" s="85">
        <v>45111</v>
      </c>
      <c r="AH3965" s="80" t="s">
        <v>14065</v>
      </c>
      <c r="AI3965" s="77" t="b">
        <v>0</v>
      </c>
      <c r="AJ3965" s="77"/>
      <c r="AK3965" s="77"/>
      <c r="AL3965" s="77"/>
      <c r="AM3965" s="77"/>
      <c r="AN3965" s="77"/>
      <c r="AO3965" s="77"/>
      <c r="AP3965" s="77"/>
      <c r="AQ3965" s="77"/>
      <c r="AR3965" s="77"/>
      <c r="AS3965" s="77"/>
      <c r="AT3965" s="77"/>
      <c r="AU3965" s="77"/>
      <c r="AV3965" s="83" t="str">
        <f>HYPERLINK("https://pbs.twimg.com/profile_images/1674371511996628993/reGcyxoU_normal.jpg")</f>
        <v>https://pbs.twimg.com/profile_images/1674371511996628993/reGcyxoU_normal.jpg</v>
      </c>
      <c r="AW3965" s="80" t="s">
        <v>19642</v>
      </c>
      <c r="AX3965" s="80" t="s">
        <v>20199</v>
      </c>
      <c r="AY3965" s="80" t="s">
        <v>20367</v>
      </c>
      <c r="AZ3965" s="80" t="s">
        <v>20476</v>
      </c>
      <c r="BA3965" s="80" t="s">
        <v>20380</v>
      </c>
      <c r="BB3965" s="80" t="s">
        <v>20380</v>
      </c>
      <c r="BC3965" s="80" t="s">
        <v>20476</v>
      </c>
      <c r="BD3965" s="77">
        <v>222157159</v>
      </c>
      <c r="BE3965" s="77"/>
      <c r="BF3965" s="77"/>
      <c r="BG3965" s="77"/>
      <c r="BH3965" s="77"/>
      <c r="BI3965" s="77"/>
    </row>
    <row r="3966" spans="1:61" x14ac:dyDescent="0.25">
      <c r="A3966" s="62" t="s">
        <v>1596</v>
      </c>
      <c r="B3966" s="62" t="s">
        <v>1596</v>
      </c>
      <c r="C3966" s="63"/>
      <c r="D3966" s="64"/>
      <c r="E3966" s="65"/>
      <c r="F3966" s="66"/>
      <c r="G3966" s="63"/>
      <c r="H3966" s="67"/>
      <c r="I3966" s="68"/>
      <c r="J3966" s="68"/>
      <c r="K3966" s="32"/>
      <c r="L3966" s="75">
        <v>3966</v>
      </c>
      <c r="M3966" s="75"/>
      <c r="N3966" s="70"/>
      <c r="O3966" s="77" t="s">
        <v>2078</v>
      </c>
      <c r="P3966" s="79">
        <v>45111.604722222219</v>
      </c>
      <c r="Q3966" s="77" t="s">
        <v>5580</v>
      </c>
      <c r="R3966" s="77">
        <v>0</v>
      </c>
      <c r="S3966" s="77">
        <v>6</v>
      </c>
      <c r="T3966" s="77">
        <v>2</v>
      </c>
      <c r="U3966" s="77">
        <v>0</v>
      </c>
      <c r="V3966" s="77">
        <v>1796</v>
      </c>
      <c r="W3966" s="80" t="s">
        <v>8385</v>
      </c>
      <c r="X3966" s="83" t="str">
        <f>HYPERLINK("https://youtu.be/7hCtHzdcQuU")</f>
        <v>https://youtu.be/7hCtHzdcQuU</v>
      </c>
      <c r="Y3966" s="77" t="s">
        <v>8635</v>
      </c>
      <c r="Z3966" s="77"/>
      <c r="AA3966" s="77"/>
      <c r="AB3966" s="77"/>
      <c r="AC3966" s="80" t="s">
        <v>10541</v>
      </c>
      <c r="AD3966" s="77" t="s">
        <v>10617</v>
      </c>
      <c r="AE3966" s="83" t="str">
        <f>HYPERLINK("https://twitter.com/bancocentralbr/status/1676237124490743811")</f>
        <v>https://twitter.com/bancocentralbr/status/1676237124490743811</v>
      </c>
      <c r="AF3966" s="79">
        <v>45111.604722222219</v>
      </c>
      <c r="AG3966" s="85">
        <v>45111</v>
      </c>
      <c r="AH3966" s="80" t="s">
        <v>14066</v>
      </c>
      <c r="AI3966" s="77" t="b">
        <v>0</v>
      </c>
      <c r="AJ3966" s="77"/>
      <c r="AK3966" s="77"/>
      <c r="AL3966" s="77"/>
      <c r="AM3966" s="77"/>
      <c r="AN3966" s="77"/>
      <c r="AO3966" s="77"/>
      <c r="AP3966" s="77"/>
      <c r="AQ3966" s="77"/>
      <c r="AR3966" s="77"/>
      <c r="AS3966" s="77"/>
      <c r="AT3966" s="77"/>
      <c r="AU3966" s="77"/>
      <c r="AV3966" s="83" t="str">
        <f>HYPERLINK("https://pbs.twimg.com/profile_images/1674371511996628993/reGcyxoU_normal.jpg")</f>
        <v>https://pbs.twimg.com/profile_images/1674371511996628993/reGcyxoU_normal.jpg</v>
      </c>
      <c r="AW3966" s="80" t="s">
        <v>19643</v>
      </c>
      <c r="AX3966" s="80" t="s">
        <v>20200</v>
      </c>
      <c r="AY3966" s="80" t="s">
        <v>20367</v>
      </c>
      <c r="AZ3966" s="80" t="s">
        <v>20200</v>
      </c>
      <c r="BA3966" s="80" t="s">
        <v>20380</v>
      </c>
      <c r="BB3966" s="80" t="s">
        <v>20380</v>
      </c>
      <c r="BC3966" s="80" t="s">
        <v>20200</v>
      </c>
      <c r="BD3966" s="77">
        <v>222157159</v>
      </c>
      <c r="BE3966" s="77"/>
      <c r="BF3966" s="77"/>
      <c r="BG3966" s="77"/>
      <c r="BH3966" s="77"/>
      <c r="BI3966" s="77"/>
    </row>
    <row r="3967" spans="1:61" x14ac:dyDescent="0.25">
      <c r="A3967" s="62" t="s">
        <v>1596</v>
      </c>
      <c r="B3967" s="62" t="s">
        <v>1596</v>
      </c>
      <c r="C3967" s="63"/>
      <c r="D3967" s="64"/>
      <c r="E3967" s="65"/>
      <c r="F3967" s="66"/>
      <c r="G3967" s="63"/>
      <c r="H3967" s="67"/>
      <c r="I3967" s="68"/>
      <c r="J3967" s="68"/>
      <c r="K3967" s="32"/>
      <c r="L3967" s="75">
        <v>3967</v>
      </c>
      <c r="M3967" s="75"/>
      <c r="N3967" s="70"/>
      <c r="O3967" s="77" t="s">
        <v>2078</v>
      </c>
      <c r="P3967" s="79">
        <v>45110.811145833337</v>
      </c>
      <c r="Q3967" s="77" t="s">
        <v>5581</v>
      </c>
      <c r="R3967" s="77">
        <v>0</v>
      </c>
      <c r="S3967" s="77">
        <v>5</v>
      </c>
      <c r="T3967" s="77">
        <v>0</v>
      </c>
      <c r="U3967" s="77">
        <v>0</v>
      </c>
      <c r="V3967" s="77">
        <v>2038</v>
      </c>
      <c r="W3967" s="80" t="s">
        <v>8386</v>
      </c>
      <c r="X3967" s="83" t="str">
        <f>HYPERLINK("https://youtu.be/7hCtHzdcQuU")</f>
        <v>https://youtu.be/7hCtHzdcQuU</v>
      </c>
      <c r="Y3967" s="77" t="s">
        <v>8635</v>
      </c>
      <c r="Z3967" s="77"/>
      <c r="AA3967" s="77"/>
      <c r="AB3967" s="77"/>
      <c r="AC3967" s="80" t="s">
        <v>10541</v>
      </c>
      <c r="AD3967" s="77" t="s">
        <v>10617</v>
      </c>
      <c r="AE3967" s="83" t="str">
        <f>HYPERLINK("https://twitter.com/bancocentralbr/status/1675949545237147648")</f>
        <v>https://twitter.com/bancocentralbr/status/1675949545237147648</v>
      </c>
      <c r="AF3967" s="79">
        <v>45110.811145833337</v>
      </c>
      <c r="AG3967" s="85">
        <v>45110</v>
      </c>
      <c r="AH3967" s="80" t="s">
        <v>14067</v>
      </c>
      <c r="AI3967" s="77" t="b">
        <v>0</v>
      </c>
      <c r="AJ3967" s="77"/>
      <c r="AK3967" s="77"/>
      <c r="AL3967" s="77"/>
      <c r="AM3967" s="77"/>
      <c r="AN3967" s="77"/>
      <c r="AO3967" s="77"/>
      <c r="AP3967" s="77"/>
      <c r="AQ3967" s="77"/>
      <c r="AR3967" s="77"/>
      <c r="AS3967" s="77"/>
      <c r="AT3967" s="77"/>
      <c r="AU3967" s="77"/>
      <c r="AV3967" s="83" t="str">
        <f>HYPERLINK("https://pbs.twimg.com/profile_images/1674371511996628993/reGcyxoU_normal.jpg")</f>
        <v>https://pbs.twimg.com/profile_images/1674371511996628993/reGcyxoU_normal.jpg</v>
      </c>
      <c r="AW3967" s="80" t="s">
        <v>19644</v>
      </c>
      <c r="AX3967" s="80" t="s">
        <v>20201</v>
      </c>
      <c r="AY3967" s="80" t="s">
        <v>20367</v>
      </c>
      <c r="AZ3967" s="80" t="s">
        <v>20477</v>
      </c>
      <c r="BA3967" s="80" t="s">
        <v>20380</v>
      </c>
      <c r="BB3967" s="80" t="s">
        <v>20380</v>
      </c>
      <c r="BC3967" s="80" t="s">
        <v>20477</v>
      </c>
      <c r="BD3967" s="77">
        <v>222157159</v>
      </c>
      <c r="BE3967" s="77"/>
      <c r="BF3967" s="77"/>
      <c r="BG3967" s="77"/>
      <c r="BH3967" s="77"/>
      <c r="BI3967" s="77"/>
    </row>
    <row r="3968" spans="1:61" x14ac:dyDescent="0.25">
      <c r="A3968" s="62" t="s">
        <v>1596</v>
      </c>
      <c r="B3968" s="62" t="s">
        <v>1596</v>
      </c>
      <c r="C3968" s="63"/>
      <c r="D3968" s="64"/>
      <c r="E3968" s="65"/>
      <c r="F3968" s="66"/>
      <c r="G3968" s="63"/>
      <c r="H3968" s="67"/>
      <c r="I3968" s="68"/>
      <c r="J3968" s="68"/>
      <c r="K3968" s="32"/>
      <c r="L3968" s="75">
        <v>3968</v>
      </c>
      <c r="M3968" s="75"/>
      <c r="N3968" s="70"/>
      <c r="O3968" s="77" t="s">
        <v>179</v>
      </c>
      <c r="P3968" s="79">
        <v>45098.539074074077</v>
      </c>
      <c r="Q3968" s="77" t="s">
        <v>5582</v>
      </c>
      <c r="R3968" s="77">
        <v>6</v>
      </c>
      <c r="S3968" s="77">
        <v>27</v>
      </c>
      <c r="T3968" s="77">
        <v>8</v>
      </c>
      <c r="U3968" s="77">
        <v>1</v>
      </c>
      <c r="V3968" s="77">
        <v>3422</v>
      </c>
      <c r="W3968" s="80" t="s">
        <v>8387</v>
      </c>
      <c r="X3968" s="83" t="str">
        <f>HYPERLINK("https://youtu.be/gvzOIu_bX54")</f>
        <v>https://youtu.be/gvzOIu_bX54</v>
      </c>
      <c r="Y3968" s="77" t="s">
        <v>8635</v>
      </c>
      <c r="Z3968" s="77"/>
      <c r="AA3968" s="77" t="s">
        <v>10363</v>
      </c>
      <c r="AB3968" s="77" t="s">
        <v>10534</v>
      </c>
      <c r="AC3968" s="80" t="s">
        <v>10541</v>
      </c>
      <c r="AD3968" s="77" t="s">
        <v>10617</v>
      </c>
      <c r="AE3968" s="83" t="str">
        <f>HYPERLINK("https://twitter.com/bancocentralbr/status/1671502293768761349")</f>
        <v>https://twitter.com/bancocentralbr/status/1671502293768761349</v>
      </c>
      <c r="AF3968" s="79">
        <v>45098.539074074077</v>
      </c>
      <c r="AG3968" s="85">
        <v>45098</v>
      </c>
      <c r="AH3968" s="80" t="s">
        <v>14068</v>
      </c>
      <c r="AI3968" s="77" t="b">
        <v>0</v>
      </c>
      <c r="AJ3968" s="77"/>
      <c r="AK3968" s="77"/>
      <c r="AL3968" s="77"/>
      <c r="AM3968" s="77"/>
      <c r="AN3968" s="77"/>
      <c r="AO3968" s="77"/>
      <c r="AP3968" s="77"/>
      <c r="AQ3968" s="77" t="s">
        <v>15842</v>
      </c>
      <c r="AR3968" s="77">
        <v>68480</v>
      </c>
      <c r="AS3968" s="77"/>
      <c r="AT3968" s="77"/>
      <c r="AU3968" s="77"/>
      <c r="AV3968" s="83" t="str">
        <f>HYPERLINK("https://pbs.twimg.com/ext_tw_video_thumb/1671499487192260610/pu/img/xblhCl_jMIchFsQO.jpg")</f>
        <v>https://pbs.twimg.com/ext_tw_video_thumb/1671499487192260610/pu/img/xblhCl_jMIchFsQO.jpg</v>
      </c>
      <c r="AW3968" s="80" t="s">
        <v>19645</v>
      </c>
      <c r="AX3968" s="80" t="s">
        <v>19645</v>
      </c>
      <c r="AY3968" s="77"/>
      <c r="AZ3968" s="80" t="s">
        <v>20380</v>
      </c>
      <c r="BA3968" s="80" t="s">
        <v>20380</v>
      </c>
      <c r="BB3968" s="80" t="s">
        <v>20380</v>
      </c>
      <c r="BC3968" s="80" t="s">
        <v>19645</v>
      </c>
      <c r="BD3968" s="77">
        <v>222157159</v>
      </c>
      <c r="BE3968" s="77"/>
      <c r="BF3968" s="77"/>
      <c r="BG3968" s="77"/>
      <c r="BH3968" s="77"/>
      <c r="BI3968" s="77"/>
    </row>
    <row r="3969" spans="1:61" x14ac:dyDescent="0.25">
      <c r="A3969" s="62" t="s">
        <v>1596</v>
      </c>
      <c r="B3969" s="62" t="s">
        <v>1596</v>
      </c>
      <c r="C3969" s="63"/>
      <c r="D3969" s="64"/>
      <c r="E3969" s="65"/>
      <c r="F3969" s="66"/>
      <c r="G3969" s="63"/>
      <c r="H3969" s="67"/>
      <c r="I3969" s="68"/>
      <c r="J3969" s="68"/>
      <c r="K3969" s="32"/>
      <c r="L3969" s="75">
        <v>3969</v>
      </c>
      <c r="M3969" s="75"/>
      <c r="N3969" s="70"/>
      <c r="O3969" s="77" t="s">
        <v>179</v>
      </c>
      <c r="P3969" s="79">
        <v>45180.739849537036</v>
      </c>
      <c r="Q3969" s="77" t="s">
        <v>5583</v>
      </c>
      <c r="R3969" s="77">
        <v>3</v>
      </c>
      <c r="S3969" s="77">
        <v>16</v>
      </c>
      <c r="T3969" s="77">
        <v>3</v>
      </c>
      <c r="U3969" s="77">
        <v>0</v>
      </c>
      <c r="V3969" s="77">
        <v>2925</v>
      </c>
      <c r="W3969" s="80" t="s">
        <v>8388</v>
      </c>
      <c r="X3969" s="83" t="str">
        <f>HYPERLINK("https://www.bcb.gov.br/meubc/estatisticas-do-valores-a-receber")</f>
        <v>https://www.bcb.gov.br/meubc/estatisticas-do-valores-a-receber</v>
      </c>
      <c r="Y3969" s="77" t="s">
        <v>8633</v>
      </c>
      <c r="Z3969" s="77"/>
      <c r="AA3969" s="77"/>
      <c r="AB3969" s="77"/>
      <c r="AC3969" s="80" t="s">
        <v>10542</v>
      </c>
      <c r="AD3969" s="77" t="s">
        <v>10617</v>
      </c>
      <c r="AE3969" s="83" t="str">
        <f>HYPERLINK("https://twitter.com/bancocentralbr/status/1701290855758213284")</f>
        <v>https://twitter.com/bancocentralbr/status/1701290855758213284</v>
      </c>
      <c r="AF3969" s="79">
        <v>45180.739849537036</v>
      </c>
      <c r="AG3969" s="85">
        <v>45180</v>
      </c>
      <c r="AH3969" s="80" t="s">
        <v>14069</v>
      </c>
      <c r="AI3969" s="77" t="b">
        <v>0</v>
      </c>
      <c r="AJ3969" s="77"/>
      <c r="AK3969" s="77"/>
      <c r="AL3969" s="77"/>
      <c r="AM3969" s="77"/>
      <c r="AN3969" s="77"/>
      <c r="AO3969" s="77"/>
      <c r="AP3969" s="77"/>
      <c r="AQ3969" s="77"/>
      <c r="AR3969" s="77"/>
      <c r="AS3969" s="77"/>
      <c r="AT3969" s="77"/>
      <c r="AU3969" s="77"/>
      <c r="AV3969" s="83" t="str">
        <f>HYPERLINK("https://pbs.twimg.com/profile_images/1674371511996628993/reGcyxoU_normal.jpg")</f>
        <v>https://pbs.twimg.com/profile_images/1674371511996628993/reGcyxoU_normal.jpg</v>
      </c>
      <c r="AW3969" s="80" t="s">
        <v>19646</v>
      </c>
      <c r="AX3969" s="80" t="s">
        <v>19646</v>
      </c>
      <c r="AY3969" s="77"/>
      <c r="AZ3969" s="80" t="s">
        <v>20380</v>
      </c>
      <c r="BA3969" s="80" t="s">
        <v>20380</v>
      </c>
      <c r="BB3969" s="80" t="s">
        <v>20380</v>
      </c>
      <c r="BC3969" s="80" t="s">
        <v>19646</v>
      </c>
      <c r="BD3969" s="77">
        <v>222157159</v>
      </c>
      <c r="BE3969" s="77"/>
      <c r="BF3969" s="77"/>
      <c r="BG3969" s="77"/>
      <c r="BH3969" s="77"/>
      <c r="BI3969" s="77"/>
    </row>
    <row r="3970" spans="1:61" x14ac:dyDescent="0.25">
      <c r="A3970" s="62" t="s">
        <v>1596</v>
      </c>
      <c r="B3970" s="62" t="s">
        <v>1596</v>
      </c>
      <c r="C3970" s="63"/>
      <c r="D3970" s="64"/>
      <c r="E3970" s="65"/>
      <c r="F3970" s="66"/>
      <c r="G3970" s="63"/>
      <c r="H3970" s="67"/>
      <c r="I3970" s="68"/>
      <c r="J3970" s="68"/>
      <c r="K3970" s="32"/>
      <c r="L3970" s="75">
        <v>3970</v>
      </c>
      <c r="M3970" s="75"/>
      <c r="N3970" s="70"/>
      <c r="O3970" s="77" t="s">
        <v>179</v>
      </c>
      <c r="P3970" s="79">
        <v>45163.752800925926</v>
      </c>
      <c r="Q3970" s="77" t="s">
        <v>5584</v>
      </c>
      <c r="R3970" s="77">
        <v>7</v>
      </c>
      <c r="S3970" s="77">
        <v>28</v>
      </c>
      <c r="T3970" s="77">
        <v>3</v>
      </c>
      <c r="U3970" s="77">
        <v>1</v>
      </c>
      <c r="V3970" s="77">
        <v>3103</v>
      </c>
      <c r="W3970" s="80" t="s">
        <v>8389</v>
      </c>
      <c r="X3970" s="83" t="str">
        <f>HYPERLINK("https://www.youtube.com/watch?v=hAE-LC7Kczk")</f>
        <v>https://www.youtube.com/watch?v=hAE-LC7Kczk</v>
      </c>
      <c r="Y3970" s="77" t="s">
        <v>8612</v>
      </c>
      <c r="Z3970" s="77"/>
      <c r="AA3970" s="77"/>
      <c r="AB3970" s="77"/>
      <c r="AC3970" s="80" t="s">
        <v>10541</v>
      </c>
      <c r="AD3970" s="77" t="s">
        <v>10617</v>
      </c>
      <c r="AE3970" s="83" t="str">
        <f>HYPERLINK("https://twitter.com/bancocentralbr/status/1695134958401065344")</f>
        <v>https://twitter.com/bancocentralbr/status/1695134958401065344</v>
      </c>
      <c r="AF3970" s="79">
        <v>45163.752800925926</v>
      </c>
      <c r="AG3970" s="85">
        <v>45163</v>
      </c>
      <c r="AH3970" s="80" t="s">
        <v>14070</v>
      </c>
      <c r="AI3970" s="77" t="b">
        <v>0</v>
      </c>
      <c r="AJ3970" s="77"/>
      <c r="AK3970" s="77"/>
      <c r="AL3970" s="77"/>
      <c r="AM3970" s="77"/>
      <c r="AN3970" s="77"/>
      <c r="AO3970" s="77"/>
      <c r="AP3970" s="77"/>
      <c r="AQ3970" s="77"/>
      <c r="AR3970" s="77"/>
      <c r="AS3970" s="77"/>
      <c r="AT3970" s="77"/>
      <c r="AU3970" s="77"/>
      <c r="AV3970" s="83" t="str">
        <f>HYPERLINK("https://pbs.twimg.com/profile_images/1674371511996628993/reGcyxoU_normal.jpg")</f>
        <v>https://pbs.twimg.com/profile_images/1674371511996628993/reGcyxoU_normal.jpg</v>
      </c>
      <c r="AW3970" s="80" t="s">
        <v>19647</v>
      </c>
      <c r="AX3970" s="80" t="s">
        <v>19647</v>
      </c>
      <c r="AY3970" s="77"/>
      <c r="AZ3970" s="80" t="s">
        <v>20380</v>
      </c>
      <c r="BA3970" s="80" t="s">
        <v>20380</v>
      </c>
      <c r="BB3970" s="80" t="s">
        <v>20380</v>
      </c>
      <c r="BC3970" s="80" t="s">
        <v>19647</v>
      </c>
      <c r="BD3970" s="77">
        <v>222157159</v>
      </c>
      <c r="BE3970" s="77"/>
      <c r="BF3970" s="77"/>
      <c r="BG3970" s="77"/>
      <c r="BH3970" s="77"/>
      <c r="BI3970" s="77"/>
    </row>
    <row r="3971" spans="1:61" x14ac:dyDescent="0.25">
      <c r="A3971" s="62" t="s">
        <v>1596</v>
      </c>
      <c r="B3971" s="62" t="s">
        <v>1596</v>
      </c>
      <c r="C3971" s="63"/>
      <c r="D3971" s="64"/>
      <c r="E3971" s="65"/>
      <c r="F3971" s="66"/>
      <c r="G3971" s="63"/>
      <c r="H3971" s="67"/>
      <c r="I3971" s="68"/>
      <c r="J3971" s="68"/>
      <c r="K3971" s="32"/>
      <c r="L3971" s="75">
        <v>3971</v>
      </c>
      <c r="M3971" s="75"/>
      <c r="N3971" s="70"/>
      <c r="O3971" s="77" t="s">
        <v>179</v>
      </c>
      <c r="P3971" s="79">
        <v>45156.593819444446</v>
      </c>
      <c r="Q3971" s="77" t="s">
        <v>5585</v>
      </c>
      <c r="R3971" s="77">
        <v>5</v>
      </c>
      <c r="S3971" s="77">
        <v>27</v>
      </c>
      <c r="T3971" s="77">
        <v>1</v>
      </c>
      <c r="U3971" s="77">
        <v>1</v>
      </c>
      <c r="V3971" s="77">
        <v>2777</v>
      </c>
      <c r="W3971" s="80" t="s">
        <v>8390</v>
      </c>
      <c r="X3971" s="77"/>
      <c r="Y3971" s="77"/>
      <c r="Z3971" s="77"/>
      <c r="AA3971" s="77" t="s">
        <v>10364</v>
      </c>
      <c r="AB3971" s="77" t="s">
        <v>10534</v>
      </c>
      <c r="AC3971" s="80" t="s">
        <v>10541</v>
      </c>
      <c r="AD3971" s="77" t="s">
        <v>10617</v>
      </c>
      <c r="AE3971" s="83" t="str">
        <f>HYPERLINK("https://twitter.com/bancocentralbr/status/1692540630881234993")</f>
        <v>https://twitter.com/bancocentralbr/status/1692540630881234993</v>
      </c>
      <c r="AF3971" s="79">
        <v>45156.593819444446</v>
      </c>
      <c r="AG3971" s="85">
        <v>45156</v>
      </c>
      <c r="AH3971" s="80" t="s">
        <v>11394</v>
      </c>
      <c r="AI3971" s="77" t="b">
        <v>0</v>
      </c>
      <c r="AJ3971" s="77"/>
      <c r="AK3971" s="77"/>
      <c r="AL3971" s="77"/>
      <c r="AM3971" s="77"/>
      <c r="AN3971" s="77"/>
      <c r="AO3971" s="77"/>
      <c r="AP3971" s="77"/>
      <c r="AQ3971" s="77" t="s">
        <v>15843</v>
      </c>
      <c r="AR3971" s="77">
        <v>59726</v>
      </c>
      <c r="AS3971" s="77"/>
      <c r="AT3971" s="77"/>
      <c r="AU3971" s="77"/>
      <c r="AV3971" s="83" t="str">
        <f>HYPERLINK("https://pbs.twimg.com/ext_tw_video_thumb/1692540494545358848/pu/img/dOmffulM1ATeZ3sB.jpg")</f>
        <v>https://pbs.twimg.com/ext_tw_video_thumb/1692540494545358848/pu/img/dOmffulM1ATeZ3sB.jpg</v>
      </c>
      <c r="AW3971" s="80" t="s">
        <v>19648</v>
      </c>
      <c r="AX3971" s="80" t="s">
        <v>19648</v>
      </c>
      <c r="AY3971" s="77"/>
      <c r="AZ3971" s="80" t="s">
        <v>20380</v>
      </c>
      <c r="BA3971" s="80" t="s">
        <v>20380</v>
      </c>
      <c r="BB3971" s="80" t="s">
        <v>20380</v>
      </c>
      <c r="BC3971" s="80" t="s">
        <v>19648</v>
      </c>
      <c r="BD3971" s="77">
        <v>222157159</v>
      </c>
      <c r="BE3971" s="77"/>
      <c r="BF3971" s="77"/>
      <c r="BG3971" s="77"/>
      <c r="BH3971" s="77"/>
      <c r="BI3971" s="77"/>
    </row>
    <row r="3972" spans="1:61" x14ac:dyDescent="0.25">
      <c r="A3972" s="62" t="s">
        <v>1596</v>
      </c>
      <c r="B3972" s="62" t="s">
        <v>1596</v>
      </c>
      <c r="C3972" s="63"/>
      <c r="D3972" s="64"/>
      <c r="E3972" s="65"/>
      <c r="F3972" s="66"/>
      <c r="G3972" s="63"/>
      <c r="H3972" s="67"/>
      <c r="I3972" s="68"/>
      <c r="J3972" s="68"/>
      <c r="K3972" s="32"/>
      <c r="L3972" s="75">
        <v>3972</v>
      </c>
      <c r="M3972" s="75"/>
      <c r="N3972" s="70"/>
      <c r="O3972" s="77" t="s">
        <v>2078</v>
      </c>
      <c r="P3972" s="79">
        <v>45127.875833333332</v>
      </c>
      <c r="Q3972" s="77" t="s">
        <v>5586</v>
      </c>
      <c r="R3972" s="77">
        <v>2</v>
      </c>
      <c r="S3972" s="77">
        <v>6</v>
      </c>
      <c r="T3972" s="77">
        <v>2</v>
      </c>
      <c r="U3972" s="77">
        <v>0</v>
      </c>
      <c r="V3972" s="77">
        <v>2248</v>
      </c>
      <c r="W3972" s="80" t="s">
        <v>8391</v>
      </c>
      <c r="X3972" s="83" t="str">
        <f>HYPERLINK("https://youtu.be/r4RMv_dr_Kk")</f>
        <v>https://youtu.be/r4RMv_dr_Kk</v>
      </c>
      <c r="Y3972" s="77" t="s">
        <v>8635</v>
      </c>
      <c r="Z3972" s="77"/>
      <c r="AA3972" s="77"/>
      <c r="AB3972" s="77"/>
      <c r="AC3972" s="80" t="s">
        <v>10541</v>
      </c>
      <c r="AD3972" s="77" t="s">
        <v>10617</v>
      </c>
      <c r="AE3972" s="83" t="str">
        <f>HYPERLINK("https://twitter.com/bancocentralbr/status/1682133577369108481")</f>
        <v>https://twitter.com/bancocentralbr/status/1682133577369108481</v>
      </c>
      <c r="AF3972" s="79">
        <v>45127.875833333332</v>
      </c>
      <c r="AG3972" s="85">
        <v>45127</v>
      </c>
      <c r="AH3972" s="80" t="s">
        <v>14071</v>
      </c>
      <c r="AI3972" s="77" t="b">
        <v>0</v>
      </c>
      <c r="AJ3972" s="77"/>
      <c r="AK3972" s="77"/>
      <c r="AL3972" s="77"/>
      <c r="AM3972" s="77"/>
      <c r="AN3972" s="77"/>
      <c r="AO3972" s="77"/>
      <c r="AP3972" s="77"/>
      <c r="AQ3972" s="77"/>
      <c r="AR3972" s="77"/>
      <c r="AS3972" s="77"/>
      <c r="AT3972" s="77"/>
      <c r="AU3972" s="77"/>
      <c r="AV3972" s="83" t="str">
        <f>HYPERLINK("https://pbs.twimg.com/profile_images/1674371511996628993/reGcyxoU_normal.jpg")</f>
        <v>https://pbs.twimg.com/profile_images/1674371511996628993/reGcyxoU_normal.jpg</v>
      </c>
      <c r="AW3972" s="80" t="s">
        <v>19649</v>
      </c>
      <c r="AX3972" s="80" t="s">
        <v>20202</v>
      </c>
      <c r="AY3972" s="80" t="s">
        <v>20367</v>
      </c>
      <c r="AZ3972" s="80" t="s">
        <v>20202</v>
      </c>
      <c r="BA3972" s="80" t="s">
        <v>20380</v>
      </c>
      <c r="BB3972" s="80" t="s">
        <v>20380</v>
      </c>
      <c r="BC3972" s="80" t="s">
        <v>20202</v>
      </c>
      <c r="BD3972" s="77">
        <v>222157159</v>
      </c>
      <c r="BE3972" s="77"/>
      <c r="BF3972" s="77"/>
      <c r="BG3972" s="77"/>
      <c r="BH3972" s="77"/>
      <c r="BI3972" s="77"/>
    </row>
    <row r="3973" spans="1:61" x14ac:dyDescent="0.25">
      <c r="A3973" s="62" t="s">
        <v>1596</v>
      </c>
      <c r="B3973" s="62" t="s">
        <v>1596</v>
      </c>
      <c r="C3973" s="63"/>
      <c r="D3973" s="64"/>
      <c r="E3973" s="65"/>
      <c r="F3973" s="66"/>
      <c r="G3973" s="63"/>
      <c r="H3973" s="67"/>
      <c r="I3973" s="68"/>
      <c r="J3973" s="68"/>
      <c r="K3973" s="32"/>
      <c r="L3973" s="75">
        <v>3973</v>
      </c>
      <c r="M3973" s="75"/>
      <c r="N3973" s="70"/>
      <c r="O3973" s="77" t="s">
        <v>179</v>
      </c>
      <c r="P3973" s="79">
        <v>45126.849004629628</v>
      </c>
      <c r="Q3973" s="77" t="s">
        <v>5587</v>
      </c>
      <c r="R3973" s="77">
        <v>5</v>
      </c>
      <c r="S3973" s="77">
        <v>29</v>
      </c>
      <c r="T3973" s="77">
        <v>7</v>
      </c>
      <c r="U3973" s="77">
        <v>0</v>
      </c>
      <c r="V3973" s="77">
        <v>4206</v>
      </c>
      <c r="W3973" s="80" t="s">
        <v>8392</v>
      </c>
      <c r="X3973" s="83" t="str">
        <f>HYPERLINK("https://youtu.be/r4RMv_dr_Kk")</f>
        <v>https://youtu.be/r4RMv_dr_Kk</v>
      </c>
      <c r="Y3973" s="77" t="s">
        <v>8635</v>
      </c>
      <c r="Z3973" s="77"/>
      <c r="AA3973" s="77" t="s">
        <v>10365</v>
      </c>
      <c r="AB3973" s="77" t="s">
        <v>10534</v>
      </c>
      <c r="AC3973" s="80" t="s">
        <v>10541</v>
      </c>
      <c r="AD3973" s="77" t="s">
        <v>10617</v>
      </c>
      <c r="AE3973" s="83" t="str">
        <f>HYPERLINK("https://twitter.com/bancocentralbr/status/1681761470789427200")</f>
        <v>https://twitter.com/bancocentralbr/status/1681761470789427200</v>
      </c>
      <c r="AF3973" s="79">
        <v>45126.849004629628</v>
      </c>
      <c r="AG3973" s="85">
        <v>45126</v>
      </c>
      <c r="AH3973" s="80" t="s">
        <v>14072</v>
      </c>
      <c r="AI3973" s="77" t="b">
        <v>0</v>
      </c>
      <c r="AJ3973" s="77"/>
      <c r="AK3973" s="77"/>
      <c r="AL3973" s="77"/>
      <c r="AM3973" s="77"/>
      <c r="AN3973" s="77"/>
      <c r="AO3973" s="77"/>
      <c r="AP3973" s="77"/>
      <c r="AQ3973" s="77" t="s">
        <v>15844</v>
      </c>
      <c r="AR3973" s="77">
        <v>77290</v>
      </c>
      <c r="AS3973" s="77"/>
      <c r="AT3973" s="77"/>
      <c r="AU3973" s="77"/>
      <c r="AV3973" s="83" t="str">
        <f>HYPERLINK("https://pbs.twimg.com/ext_tw_video_thumb/1681761215775752194/pu/img/PWxd5aZHpDBeHu39.jpg")</f>
        <v>https://pbs.twimg.com/ext_tw_video_thumb/1681761215775752194/pu/img/PWxd5aZHpDBeHu39.jpg</v>
      </c>
      <c r="AW3973" s="80" t="s">
        <v>19650</v>
      </c>
      <c r="AX3973" s="80" t="s">
        <v>19650</v>
      </c>
      <c r="AY3973" s="77"/>
      <c r="AZ3973" s="80" t="s">
        <v>20380</v>
      </c>
      <c r="BA3973" s="80" t="s">
        <v>20380</v>
      </c>
      <c r="BB3973" s="80" t="s">
        <v>20380</v>
      </c>
      <c r="BC3973" s="80" t="s">
        <v>19650</v>
      </c>
      <c r="BD3973" s="77">
        <v>222157159</v>
      </c>
      <c r="BE3973" s="77"/>
      <c r="BF3973" s="77"/>
      <c r="BG3973" s="77"/>
      <c r="BH3973" s="77"/>
      <c r="BI3973" s="77"/>
    </row>
    <row r="3974" spans="1:61" x14ac:dyDescent="0.25">
      <c r="A3974" s="62" t="s">
        <v>1596</v>
      </c>
      <c r="B3974" s="62" t="s">
        <v>1596</v>
      </c>
      <c r="C3974" s="63"/>
      <c r="D3974" s="64"/>
      <c r="E3974" s="65"/>
      <c r="F3974" s="66"/>
      <c r="G3974" s="63"/>
      <c r="H3974" s="67"/>
      <c r="I3974" s="68"/>
      <c r="J3974" s="68"/>
      <c r="K3974" s="32"/>
      <c r="L3974" s="75">
        <v>3974</v>
      </c>
      <c r="M3974" s="75"/>
      <c r="N3974" s="70"/>
      <c r="O3974" s="77" t="s">
        <v>179</v>
      </c>
      <c r="P3974" s="79">
        <v>45126.506655092591</v>
      </c>
      <c r="Q3974" s="77" t="s">
        <v>5588</v>
      </c>
      <c r="R3974" s="77">
        <v>9</v>
      </c>
      <c r="S3974" s="77">
        <v>50</v>
      </c>
      <c r="T3974" s="77">
        <v>9</v>
      </c>
      <c r="U3974" s="77">
        <v>1</v>
      </c>
      <c r="V3974" s="77">
        <v>4602</v>
      </c>
      <c r="W3974" s="80" t="s">
        <v>8393</v>
      </c>
      <c r="X3974" s="83" t="str">
        <f>HYPERLINK("https://youtu.be/r4RMv_dr_Kk")</f>
        <v>https://youtu.be/r4RMv_dr_Kk</v>
      </c>
      <c r="Y3974" s="77" t="s">
        <v>8635</v>
      </c>
      <c r="Z3974" s="77"/>
      <c r="AA3974" s="77" t="s">
        <v>10366</v>
      </c>
      <c r="AB3974" s="77" t="s">
        <v>10534</v>
      </c>
      <c r="AC3974" s="80" t="s">
        <v>10541</v>
      </c>
      <c r="AD3974" s="77" t="s">
        <v>10617</v>
      </c>
      <c r="AE3974" s="83" t="str">
        <f>HYPERLINK("https://twitter.com/bancocentralbr/status/1681637406083104771")</f>
        <v>https://twitter.com/bancocentralbr/status/1681637406083104771</v>
      </c>
      <c r="AF3974" s="79">
        <v>45126.506655092591</v>
      </c>
      <c r="AG3974" s="85">
        <v>45126</v>
      </c>
      <c r="AH3974" s="80" t="s">
        <v>14073</v>
      </c>
      <c r="AI3974" s="77" t="b">
        <v>0</v>
      </c>
      <c r="AJ3974" s="77"/>
      <c r="AK3974" s="77"/>
      <c r="AL3974" s="77"/>
      <c r="AM3974" s="77"/>
      <c r="AN3974" s="77"/>
      <c r="AO3974" s="77"/>
      <c r="AP3974" s="77"/>
      <c r="AQ3974" s="77" t="s">
        <v>15845</v>
      </c>
      <c r="AR3974" s="77">
        <v>42046</v>
      </c>
      <c r="AS3974" s="77"/>
      <c r="AT3974" s="77"/>
      <c r="AU3974" s="77"/>
      <c r="AV3974" s="83" t="str">
        <f>HYPERLINK("https://pbs.twimg.com/ext_tw_video_thumb/1681636658901401603/pu/img/i4kN9a29JRyew2Eu.jpg")</f>
        <v>https://pbs.twimg.com/ext_tw_video_thumb/1681636658901401603/pu/img/i4kN9a29JRyew2Eu.jpg</v>
      </c>
      <c r="AW3974" s="80" t="s">
        <v>19651</v>
      </c>
      <c r="AX3974" s="80" t="s">
        <v>19651</v>
      </c>
      <c r="AY3974" s="77"/>
      <c r="AZ3974" s="80" t="s">
        <v>20380</v>
      </c>
      <c r="BA3974" s="80" t="s">
        <v>20380</v>
      </c>
      <c r="BB3974" s="80" t="s">
        <v>20380</v>
      </c>
      <c r="BC3974" s="80" t="s">
        <v>19651</v>
      </c>
      <c r="BD3974" s="77">
        <v>222157159</v>
      </c>
      <c r="BE3974" s="77"/>
      <c r="BF3974" s="77"/>
      <c r="BG3974" s="77"/>
      <c r="BH3974" s="77"/>
      <c r="BI3974" s="77"/>
    </row>
    <row r="3975" spans="1:61" x14ac:dyDescent="0.25">
      <c r="A3975" s="62" t="s">
        <v>1596</v>
      </c>
      <c r="B3975" s="62" t="s">
        <v>1596</v>
      </c>
      <c r="C3975" s="63"/>
      <c r="D3975" s="64"/>
      <c r="E3975" s="65"/>
      <c r="F3975" s="66"/>
      <c r="G3975" s="63"/>
      <c r="H3975" s="67"/>
      <c r="I3975" s="68"/>
      <c r="J3975" s="68"/>
      <c r="K3975" s="32"/>
      <c r="L3975" s="75">
        <v>3975</v>
      </c>
      <c r="M3975" s="75"/>
      <c r="N3975" s="70"/>
      <c r="O3975" s="77" t="s">
        <v>179</v>
      </c>
      <c r="P3975" s="79">
        <v>45103.484976851854</v>
      </c>
      <c r="Q3975" s="77" t="s">
        <v>5589</v>
      </c>
      <c r="R3975" s="77">
        <v>47</v>
      </c>
      <c r="S3975" s="77">
        <v>287</v>
      </c>
      <c r="T3975" s="77">
        <v>19</v>
      </c>
      <c r="U3975" s="77">
        <v>11</v>
      </c>
      <c r="V3975" s="77">
        <v>27966</v>
      </c>
      <c r="W3975" s="77"/>
      <c r="X3975" s="83" t="str">
        <f>HYPERLINK("https://www.bcb.gov.br/publicacoes/focus")</f>
        <v>https://www.bcb.gov.br/publicacoes/focus</v>
      </c>
      <c r="Y3975" s="77" t="s">
        <v>8633</v>
      </c>
      <c r="Z3975" s="77"/>
      <c r="AA3975" s="77" t="s">
        <v>10367</v>
      </c>
      <c r="AB3975" s="77" t="s">
        <v>10535</v>
      </c>
      <c r="AC3975" s="80" t="s">
        <v>10541</v>
      </c>
      <c r="AD3975" s="77" t="s">
        <v>10617</v>
      </c>
      <c r="AE3975" s="83" t="str">
        <f>HYPERLINK("https://twitter.com/bancocentralbr/status/1673294630052306946")</f>
        <v>https://twitter.com/bancocentralbr/status/1673294630052306946</v>
      </c>
      <c r="AF3975" s="79">
        <v>45103.484976851854</v>
      </c>
      <c r="AG3975" s="85">
        <v>45103</v>
      </c>
      <c r="AH3975" s="80" t="s">
        <v>14074</v>
      </c>
      <c r="AI3975" s="77" t="b">
        <v>0</v>
      </c>
      <c r="AJ3975" s="77"/>
      <c r="AK3975" s="77"/>
      <c r="AL3975" s="77"/>
      <c r="AM3975" s="77"/>
      <c r="AN3975" s="77"/>
      <c r="AO3975" s="77"/>
      <c r="AP3975" s="77"/>
      <c r="AQ3975" s="77" t="s">
        <v>15846</v>
      </c>
      <c r="AR3975" s="77"/>
      <c r="AS3975" s="77"/>
      <c r="AT3975" s="77"/>
      <c r="AU3975" s="77"/>
      <c r="AV3975" s="83" t="str">
        <f>HYPERLINK("https://pbs.twimg.com/media/Fzi8lk2X0AA1qvQ.jpg")</f>
        <v>https://pbs.twimg.com/media/Fzi8lk2X0AA1qvQ.jpg</v>
      </c>
      <c r="AW3975" s="80" t="s">
        <v>19652</v>
      </c>
      <c r="AX3975" s="80" t="s">
        <v>19652</v>
      </c>
      <c r="AY3975" s="77"/>
      <c r="AZ3975" s="80" t="s">
        <v>20380</v>
      </c>
      <c r="BA3975" s="80" t="s">
        <v>20380</v>
      </c>
      <c r="BB3975" s="80" t="s">
        <v>20380</v>
      </c>
      <c r="BC3975" s="80" t="s">
        <v>19652</v>
      </c>
      <c r="BD3975" s="77">
        <v>222157159</v>
      </c>
      <c r="BE3975" s="77"/>
      <c r="BF3975" s="77"/>
      <c r="BG3975" s="77"/>
      <c r="BH3975" s="77"/>
      <c r="BI3975" s="77"/>
    </row>
    <row r="3976" spans="1:61" x14ac:dyDescent="0.25">
      <c r="A3976" s="62" t="s">
        <v>1596</v>
      </c>
      <c r="B3976" s="62" t="s">
        <v>1596</v>
      </c>
      <c r="C3976" s="63"/>
      <c r="D3976" s="64"/>
      <c r="E3976" s="65"/>
      <c r="F3976" s="66"/>
      <c r="G3976" s="63"/>
      <c r="H3976" s="67"/>
      <c r="I3976" s="68"/>
      <c r="J3976" s="68"/>
      <c r="K3976" s="32"/>
      <c r="L3976" s="75">
        <v>3976</v>
      </c>
      <c r="M3976" s="75"/>
      <c r="N3976" s="70"/>
      <c r="O3976" s="77" t="s">
        <v>2078</v>
      </c>
      <c r="P3976" s="79">
        <v>45054.913113425922</v>
      </c>
      <c r="Q3976" s="77" t="s">
        <v>5590</v>
      </c>
      <c r="R3976" s="77">
        <v>1</v>
      </c>
      <c r="S3976" s="77">
        <v>15</v>
      </c>
      <c r="T3976" s="77">
        <v>2</v>
      </c>
      <c r="U3976" s="77">
        <v>0</v>
      </c>
      <c r="V3976" s="77">
        <v>2593</v>
      </c>
      <c r="W3976" s="80" t="s">
        <v>8394</v>
      </c>
      <c r="X3976" s="77"/>
      <c r="Y3976" s="77"/>
      <c r="Z3976" s="77"/>
      <c r="AA3976" s="77"/>
      <c r="AB3976" s="77"/>
      <c r="AC3976" s="80" t="s">
        <v>10541</v>
      </c>
      <c r="AD3976" s="77" t="s">
        <v>10617</v>
      </c>
      <c r="AE3976" s="83" t="str">
        <f>HYPERLINK("https://twitter.com/bancocentralbr/status/1655692776523087872")</f>
        <v>https://twitter.com/bancocentralbr/status/1655692776523087872</v>
      </c>
      <c r="AF3976" s="79">
        <v>45054.913113425922</v>
      </c>
      <c r="AG3976" s="85">
        <v>45054</v>
      </c>
      <c r="AH3976" s="80" t="s">
        <v>14075</v>
      </c>
      <c r="AI3976" s="77"/>
      <c r="AJ3976" s="77"/>
      <c r="AK3976" s="77"/>
      <c r="AL3976" s="77"/>
      <c r="AM3976" s="77"/>
      <c r="AN3976" s="77"/>
      <c r="AO3976" s="77"/>
      <c r="AP3976" s="77"/>
      <c r="AQ3976" s="77"/>
      <c r="AR3976" s="77"/>
      <c r="AS3976" s="77"/>
      <c r="AT3976" s="77"/>
      <c r="AU3976" s="77"/>
      <c r="AV3976" s="83" t="str">
        <f>HYPERLINK("https://pbs.twimg.com/profile_images/1674371511996628993/reGcyxoU_normal.jpg")</f>
        <v>https://pbs.twimg.com/profile_images/1674371511996628993/reGcyxoU_normal.jpg</v>
      </c>
      <c r="AW3976" s="80" t="s">
        <v>19653</v>
      </c>
      <c r="AX3976" s="80" t="s">
        <v>20203</v>
      </c>
      <c r="AY3976" s="80" t="s">
        <v>20367</v>
      </c>
      <c r="AZ3976" s="80" t="s">
        <v>20203</v>
      </c>
      <c r="BA3976" s="80" t="s">
        <v>20380</v>
      </c>
      <c r="BB3976" s="80" t="s">
        <v>20380</v>
      </c>
      <c r="BC3976" s="80" t="s">
        <v>20203</v>
      </c>
      <c r="BD3976" s="77">
        <v>222157159</v>
      </c>
      <c r="BE3976" s="77"/>
      <c r="BF3976" s="77"/>
      <c r="BG3976" s="77"/>
      <c r="BH3976" s="77"/>
      <c r="BI3976" s="77"/>
    </row>
    <row r="3977" spans="1:61" x14ac:dyDescent="0.25">
      <c r="A3977" s="62" t="s">
        <v>1596</v>
      </c>
      <c r="B3977" s="62" t="s">
        <v>1596</v>
      </c>
      <c r="C3977" s="63"/>
      <c r="D3977" s="64"/>
      <c r="E3977" s="65"/>
      <c r="F3977" s="66"/>
      <c r="G3977" s="63"/>
      <c r="H3977" s="67"/>
      <c r="I3977" s="68"/>
      <c r="J3977" s="68"/>
      <c r="K3977" s="32"/>
      <c r="L3977" s="75">
        <v>3977</v>
      </c>
      <c r="M3977" s="75"/>
      <c r="N3977" s="70"/>
      <c r="O3977" s="77" t="s">
        <v>179</v>
      </c>
      <c r="P3977" s="79">
        <v>45054.478668981479</v>
      </c>
      <c r="Q3977" s="77" t="s">
        <v>5591</v>
      </c>
      <c r="R3977" s="77">
        <v>23</v>
      </c>
      <c r="S3977" s="77">
        <v>166</v>
      </c>
      <c r="T3977" s="77">
        <v>15</v>
      </c>
      <c r="U3977" s="77">
        <v>5</v>
      </c>
      <c r="V3977" s="77">
        <v>10680</v>
      </c>
      <c r="W3977" s="77"/>
      <c r="X3977" s="83" t="str">
        <f>HYPERLINK("https://www.bcb.gov.br/content/focus/focus/R20230505.pdf")</f>
        <v>https://www.bcb.gov.br/content/focus/focus/R20230505.pdf</v>
      </c>
      <c r="Y3977" s="77" t="s">
        <v>8633</v>
      </c>
      <c r="Z3977" s="77"/>
      <c r="AA3977" s="77" t="s">
        <v>10368</v>
      </c>
      <c r="AB3977" s="77" t="s">
        <v>10535</v>
      </c>
      <c r="AC3977" s="80" t="s">
        <v>10541</v>
      </c>
      <c r="AD3977" s="77" t="s">
        <v>10617</v>
      </c>
      <c r="AE3977" s="83" t="str">
        <f>HYPERLINK("https://twitter.com/bancocentralbr/status/1655535339568603139")</f>
        <v>https://twitter.com/bancocentralbr/status/1655535339568603139</v>
      </c>
      <c r="AF3977" s="79">
        <v>45054.478668981479</v>
      </c>
      <c r="AG3977" s="85">
        <v>45054</v>
      </c>
      <c r="AH3977" s="80" t="s">
        <v>14076</v>
      </c>
      <c r="AI3977" s="77" t="b">
        <v>0</v>
      </c>
      <c r="AJ3977" s="77"/>
      <c r="AK3977" s="77"/>
      <c r="AL3977" s="77"/>
      <c r="AM3977" s="77"/>
      <c r="AN3977" s="77"/>
      <c r="AO3977" s="77"/>
      <c r="AP3977" s="77"/>
      <c r="AQ3977" s="77" t="s">
        <v>15847</v>
      </c>
      <c r="AR3977" s="77"/>
      <c r="AS3977" s="77"/>
      <c r="AT3977" s="77"/>
      <c r="AU3977" s="77"/>
      <c r="AV3977" s="83" t="str">
        <f>HYPERLINK("https://pbs.twimg.com/media/FvmknXrXoAAzAiV.jpg")</f>
        <v>https://pbs.twimg.com/media/FvmknXrXoAAzAiV.jpg</v>
      </c>
      <c r="AW3977" s="80" t="s">
        <v>19654</v>
      </c>
      <c r="AX3977" s="80" t="s">
        <v>19654</v>
      </c>
      <c r="AY3977" s="77"/>
      <c r="AZ3977" s="80" t="s">
        <v>20380</v>
      </c>
      <c r="BA3977" s="80" t="s">
        <v>20380</v>
      </c>
      <c r="BB3977" s="80" t="s">
        <v>20380</v>
      </c>
      <c r="BC3977" s="80" t="s">
        <v>19654</v>
      </c>
      <c r="BD3977" s="77">
        <v>222157159</v>
      </c>
      <c r="BE3977" s="77"/>
      <c r="BF3977" s="77"/>
      <c r="BG3977" s="77"/>
      <c r="BH3977" s="77"/>
      <c r="BI3977" s="77"/>
    </row>
    <row r="3978" spans="1:61" x14ac:dyDescent="0.25">
      <c r="A3978" s="62" t="s">
        <v>1596</v>
      </c>
      <c r="B3978" s="62" t="s">
        <v>1596</v>
      </c>
      <c r="C3978" s="63"/>
      <c r="D3978" s="64"/>
      <c r="E3978" s="65"/>
      <c r="F3978" s="66"/>
      <c r="G3978" s="63"/>
      <c r="H3978" s="67"/>
      <c r="I3978" s="68"/>
      <c r="J3978" s="68"/>
      <c r="K3978" s="32"/>
      <c r="L3978" s="75">
        <v>3978</v>
      </c>
      <c r="M3978" s="75"/>
      <c r="N3978" s="70"/>
      <c r="O3978" s="77" t="s">
        <v>179</v>
      </c>
      <c r="P3978" s="79">
        <v>45184.594710648147</v>
      </c>
      <c r="Q3978" s="77" t="s">
        <v>5592</v>
      </c>
      <c r="R3978" s="77">
        <v>3</v>
      </c>
      <c r="S3978" s="77">
        <v>14</v>
      </c>
      <c r="T3978" s="77">
        <v>2</v>
      </c>
      <c r="U3978" s="77">
        <v>0</v>
      </c>
      <c r="V3978" s="77">
        <v>2432</v>
      </c>
      <c r="W3978" s="80" t="s">
        <v>8395</v>
      </c>
      <c r="X3978" s="83" t="str">
        <f>HYPERLINK("https://youtu.be/MUgG0MxmBUQ")</f>
        <v>https://youtu.be/MUgG0MxmBUQ</v>
      </c>
      <c r="Y3978" s="77" t="s">
        <v>8635</v>
      </c>
      <c r="Z3978" s="77"/>
      <c r="AA3978" s="77"/>
      <c r="AB3978" s="77"/>
      <c r="AC3978" s="80" t="s">
        <v>10541</v>
      </c>
      <c r="AD3978" s="77" t="s">
        <v>10617</v>
      </c>
      <c r="AE3978" s="83" t="str">
        <f>HYPERLINK("https://twitter.com/bancocentralbr/status/1702687813638987879")</f>
        <v>https://twitter.com/bancocentralbr/status/1702687813638987879</v>
      </c>
      <c r="AF3978" s="79">
        <v>45184.594710648147</v>
      </c>
      <c r="AG3978" s="85">
        <v>45184</v>
      </c>
      <c r="AH3978" s="80" t="s">
        <v>14077</v>
      </c>
      <c r="AI3978" s="77" t="b">
        <v>0</v>
      </c>
      <c r="AJ3978" s="77"/>
      <c r="AK3978" s="77"/>
      <c r="AL3978" s="77"/>
      <c r="AM3978" s="77"/>
      <c r="AN3978" s="77"/>
      <c r="AO3978" s="77"/>
      <c r="AP3978" s="77"/>
      <c r="AQ3978" s="77"/>
      <c r="AR3978" s="77"/>
      <c r="AS3978" s="77"/>
      <c r="AT3978" s="77"/>
      <c r="AU3978" s="77"/>
      <c r="AV3978" s="83" t="str">
        <f>HYPERLINK("https://pbs.twimg.com/profile_images/1674371511996628993/reGcyxoU_normal.jpg")</f>
        <v>https://pbs.twimg.com/profile_images/1674371511996628993/reGcyxoU_normal.jpg</v>
      </c>
      <c r="AW3978" s="80" t="s">
        <v>19655</v>
      </c>
      <c r="AX3978" s="80" t="s">
        <v>19655</v>
      </c>
      <c r="AY3978" s="77"/>
      <c r="AZ3978" s="80" t="s">
        <v>20380</v>
      </c>
      <c r="BA3978" s="80" t="s">
        <v>20380</v>
      </c>
      <c r="BB3978" s="80" t="s">
        <v>20380</v>
      </c>
      <c r="BC3978" s="80" t="s">
        <v>19655</v>
      </c>
      <c r="BD3978" s="77">
        <v>222157159</v>
      </c>
      <c r="BE3978" s="77"/>
      <c r="BF3978" s="77"/>
      <c r="BG3978" s="77"/>
      <c r="BH3978" s="77"/>
      <c r="BI3978" s="77"/>
    </row>
    <row r="3979" spans="1:61" x14ac:dyDescent="0.25">
      <c r="A3979" s="62" t="s">
        <v>1596</v>
      </c>
      <c r="B3979" s="62" t="s">
        <v>1596</v>
      </c>
      <c r="C3979" s="63"/>
      <c r="D3979" s="64"/>
      <c r="E3979" s="65"/>
      <c r="F3979" s="66"/>
      <c r="G3979" s="63"/>
      <c r="H3979" s="67"/>
      <c r="I3979" s="68"/>
      <c r="J3979" s="68"/>
      <c r="K3979" s="32"/>
      <c r="L3979" s="75">
        <v>3979</v>
      </c>
      <c r="M3979" s="75"/>
      <c r="N3979" s="70"/>
      <c r="O3979" s="77" t="s">
        <v>2078</v>
      </c>
      <c r="P3979" s="79">
        <v>45146.746863425928</v>
      </c>
      <c r="Q3979" s="77" t="s">
        <v>5593</v>
      </c>
      <c r="R3979" s="77">
        <v>1</v>
      </c>
      <c r="S3979" s="77">
        <v>8</v>
      </c>
      <c r="T3979" s="77">
        <v>0</v>
      </c>
      <c r="U3979" s="77">
        <v>1</v>
      </c>
      <c r="V3979" s="77">
        <v>1672</v>
      </c>
      <c r="W3979" s="80" t="s">
        <v>8380</v>
      </c>
      <c r="X3979" s="83" t="str">
        <f>HYPERLINK("https://www.youtube.com/watch?v=gcimRoyADCo")</f>
        <v>https://www.youtube.com/watch?v=gcimRoyADCo</v>
      </c>
      <c r="Y3979" s="77" t="s">
        <v>8612</v>
      </c>
      <c r="Z3979" s="77"/>
      <c r="AA3979" s="77"/>
      <c r="AB3979" s="77"/>
      <c r="AC3979" s="80" t="s">
        <v>10541</v>
      </c>
      <c r="AD3979" s="77" t="s">
        <v>10617</v>
      </c>
      <c r="AE3979" s="83" t="str">
        <f>HYPERLINK("https://twitter.com/bancocentralbr/status/1688972211913166856")</f>
        <v>https://twitter.com/bancocentralbr/status/1688972211913166856</v>
      </c>
      <c r="AF3979" s="79">
        <v>45146.746863425928</v>
      </c>
      <c r="AG3979" s="85">
        <v>45146</v>
      </c>
      <c r="AH3979" s="80" t="s">
        <v>14078</v>
      </c>
      <c r="AI3979" s="77" t="b">
        <v>0</v>
      </c>
      <c r="AJ3979" s="77"/>
      <c r="AK3979" s="77"/>
      <c r="AL3979" s="77"/>
      <c r="AM3979" s="77"/>
      <c r="AN3979" s="77"/>
      <c r="AO3979" s="77"/>
      <c r="AP3979" s="77"/>
      <c r="AQ3979" s="77"/>
      <c r="AR3979" s="77"/>
      <c r="AS3979" s="77"/>
      <c r="AT3979" s="77"/>
      <c r="AU3979" s="77"/>
      <c r="AV3979" s="83" t="str">
        <f>HYPERLINK("https://pbs.twimg.com/profile_images/1674371511996628993/reGcyxoU_normal.jpg")</f>
        <v>https://pbs.twimg.com/profile_images/1674371511996628993/reGcyxoU_normal.jpg</v>
      </c>
      <c r="AW3979" s="80" t="s">
        <v>19656</v>
      </c>
      <c r="AX3979" s="80" t="s">
        <v>20204</v>
      </c>
      <c r="AY3979" s="80" t="s">
        <v>20367</v>
      </c>
      <c r="AZ3979" s="80" t="s">
        <v>20204</v>
      </c>
      <c r="BA3979" s="80" t="s">
        <v>20380</v>
      </c>
      <c r="BB3979" s="80" t="s">
        <v>20380</v>
      </c>
      <c r="BC3979" s="80" t="s">
        <v>20204</v>
      </c>
      <c r="BD3979" s="77">
        <v>222157159</v>
      </c>
      <c r="BE3979" s="77"/>
      <c r="BF3979" s="77"/>
      <c r="BG3979" s="77"/>
      <c r="BH3979" s="77"/>
      <c r="BI3979" s="77"/>
    </row>
    <row r="3980" spans="1:61" x14ac:dyDescent="0.25">
      <c r="A3980" s="62" t="s">
        <v>1596</v>
      </c>
      <c r="B3980" s="62" t="s">
        <v>1596</v>
      </c>
      <c r="C3980" s="63"/>
      <c r="D3980" s="64"/>
      <c r="E3980" s="65"/>
      <c r="F3980" s="66"/>
      <c r="G3980" s="63"/>
      <c r="H3980" s="67"/>
      <c r="I3980" s="68"/>
      <c r="J3980" s="68"/>
      <c r="K3980" s="32"/>
      <c r="L3980" s="75">
        <v>3980</v>
      </c>
      <c r="M3980" s="75"/>
      <c r="N3980" s="70"/>
      <c r="O3980" s="77" t="s">
        <v>179</v>
      </c>
      <c r="P3980" s="79">
        <v>45110.479178240741</v>
      </c>
      <c r="Q3980" s="77" t="s">
        <v>5594</v>
      </c>
      <c r="R3980" s="77">
        <v>43</v>
      </c>
      <c r="S3980" s="77">
        <v>223</v>
      </c>
      <c r="T3980" s="77">
        <v>17</v>
      </c>
      <c r="U3980" s="77">
        <v>14</v>
      </c>
      <c r="V3980" s="77">
        <v>54708</v>
      </c>
      <c r="W3980" s="80" t="s">
        <v>8396</v>
      </c>
      <c r="X3980" s="83" t="str">
        <f>HYPERLINK("https://www.bcb.gov.br/publicacoes/focus")</f>
        <v>https://www.bcb.gov.br/publicacoes/focus</v>
      </c>
      <c r="Y3980" s="77" t="s">
        <v>8633</v>
      </c>
      <c r="Z3980" s="77"/>
      <c r="AA3980" s="77" t="s">
        <v>10369</v>
      </c>
      <c r="AB3980" s="77" t="s">
        <v>10535</v>
      </c>
      <c r="AC3980" s="80" t="s">
        <v>10541</v>
      </c>
      <c r="AD3980" s="77" t="s">
        <v>10617</v>
      </c>
      <c r="AE3980" s="83" t="str">
        <f>HYPERLINK("https://twitter.com/bancocentralbr/status/1675829241793982464")</f>
        <v>https://twitter.com/bancocentralbr/status/1675829241793982464</v>
      </c>
      <c r="AF3980" s="79">
        <v>45110.479178240741</v>
      </c>
      <c r="AG3980" s="85">
        <v>45110</v>
      </c>
      <c r="AH3980" s="80" t="s">
        <v>14079</v>
      </c>
      <c r="AI3980" s="77" t="b">
        <v>0</v>
      </c>
      <c r="AJ3980" s="77"/>
      <c r="AK3980" s="77"/>
      <c r="AL3980" s="77"/>
      <c r="AM3980" s="77"/>
      <c r="AN3980" s="77"/>
      <c r="AO3980" s="77"/>
      <c r="AP3980" s="77"/>
      <c r="AQ3980" s="77" t="s">
        <v>15848</v>
      </c>
      <c r="AR3980" s="77"/>
      <c r="AS3980" s="77"/>
      <c r="AT3980" s="77"/>
      <c r="AU3980" s="77"/>
      <c r="AV3980" s="83" t="str">
        <f>HYPERLINK("https://pbs.twimg.com/media/F0G9z43X0AEkZxT.jpg")</f>
        <v>https://pbs.twimg.com/media/F0G9z43X0AEkZxT.jpg</v>
      </c>
      <c r="AW3980" s="80" t="s">
        <v>19657</v>
      </c>
      <c r="AX3980" s="80" t="s">
        <v>19657</v>
      </c>
      <c r="AY3980" s="77"/>
      <c r="AZ3980" s="80" t="s">
        <v>20380</v>
      </c>
      <c r="BA3980" s="80" t="s">
        <v>20380</v>
      </c>
      <c r="BB3980" s="80" t="s">
        <v>20380</v>
      </c>
      <c r="BC3980" s="80" t="s">
        <v>19657</v>
      </c>
      <c r="BD3980" s="77">
        <v>222157159</v>
      </c>
      <c r="BE3980" s="77"/>
      <c r="BF3980" s="77"/>
      <c r="BG3980" s="77"/>
      <c r="BH3980" s="77"/>
      <c r="BI3980" s="77"/>
    </row>
    <row r="3981" spans="1:61" x14ac:dyDescent="0.25">
      <c r="A3981" s="62" t="s">
        <v>1596</v>
      </c>
      <c r="B3981" s="62" t="s">
        <v>1596</v>
      </c>
      <c r="C3981" s="63"/>
      <c r="D3981" s="64"/>
      <c r="E3981" s="65"/>
      <c r="F3981" s="66"/>
      <c r="G3981" s="63"/>
      <c r="H3981" s="67"/>
      <c r="I3981" s="68"/>
      <c r="J3981" s="68"/>
      <c r="K3981" s="32"/>
      <c r="L3981" s="75">
        <v>3981</v>
      </c>
      <c r="M3981" s="75"/>
      <c r="N3981" s="70"/>
      <c r="O3981" s="77" t="s">
        <v>179</v>
      </c>
      <c r="P3981" s="79">
        <v>45096.481273148151</v>
      </c>
      <c r="Q3981" s="77" t="s">
        <v>5595</v>
      </c>
      <c r="R3981" s="77">
        <v>51</v>
      </c>
      <c r="S3981" s="77">
        <v>320</v>
      </c>
      <c r="T3981" s="77">
        <v>31</v>
      </c>
      <c r="U3981" s="77">
        <v>32</v>
      </c>
      <c r="V3981" s="77">
        <v>49416</v>
      </c>
      <c r="W3981" s="77"/>
      <c r="X3981" s="83" t="str">
        <f>HYPERLINK("https://www.bcb.gov.br/publicacoes/focus")</f>
        <v>https://www.bcb.gov.br/publicacoes/focus</v>
      </c>
      <c r="Y3981" s="77" t="s">
        <v>8633</v>
      </c>
      <c r="Z3981" s="77"/>
      <c r="AA3981" s="77" t="s">
        <v>10370</v>
      </c>
      <c r="AB3981" s="77" t="s">
        <v>10535</v>
      </c>
      <c r="AC3981" s="80" t="s">
        <v>10541</v>
      </c>
      <c r="AD3981" s="77" t="s">
        <v>10617</v>
      </c>
      <c r="AE3981" s="83" t="str">
        <f>HYPERLINK("https://twitter.com/bancocentralbr/status/1670756571104542721")</f>
        <v>https://twitter.com/bancocentralbr/status/1670756571104542721</v>
      </c>
      <c r="AF3981" s="79">
        <v>45096.481273148151</v>
      </c>
      <c r="AG3981" s="85">
        <v>45096</v>
      </c>
      <c r="AH3981" s="80" t="s">
        <v>14080</v>
      </c>
      <c r="AI3981" s="77" t="b">
        <v>0</v>
      </c>
      <c r="AJ3981" s="77"/>
      <c r="AK3981" s="77"/>
      <c r="AL3981" s="77"/>
      <c r="AM3981" s="77"/>
      <c r="AN3981" s="77"/>
      <c r="AO3981" s="77"/>
      <c r="AP3981" s="77"/>
      <c r="AQ3981" s="77" t="s">
        <v>15849</v>
      </c>
      <c r="AR3981" s="77"/>
      <c r="AS3981" s="77"/>
      <c r="AT3981" s="77"/>
      <c r="AU3981" s="77"/>
      <c r="AV3981" s="83" t="str">
        <f>HYPERLINK("https://pbs.twimg.com/media/Fy-4LYpWcAI6CBY.jpg")</f>
        <v>https://pbs.twimg.com/media/Fy-4LYpWcAI6CBY.jpg</v>
      </c>
      <c r="AW3981" s="80" t="s">
        <v>19658</v>
      </c>
      <c r="AX3981" s="80" t="s">
        <v>19658</v>
      </c>
      <c r="AY3981" s="77"/>
      <c r="AZ3981" s="80" t="s">
        <v>20380</v>
      </c>
      <c r="BA3981" s="80" t="s">
        <v>20380</v>
      </c>
      <c r="BB3981" s="80" t="s">
        <v>20380</v>
      </c>
      <c r="BC3981" s="80" t="s">
        <v>19658</v>
      </c>
      <c r="BD3981" s="77">
        <v>222157159</v>
      </c>
      <c r="BE3981" s="77"/>
      <c r="BF3981" s="77"/>
      <c r="BG3981" s="77"/>
      <c r="BH3981" s="77"/>
      <c r="BI3981" s="77"/>
    </row>
    <row r="3982" spans="1:61" x14ac:dyDescent="0.25">
      <c r="A3982" s="62" t="s">
        <v>1596</v>
      </c>
      <c r="B3982" s="62" t="s">
        <v>1596</v>
      </c>
      <c r="C3982" s="63"/>
      <c r="D3982" s="64"/>
      <c r="E3982" s="65"/>
      <c r="F3982" s="66"/>
      <c r="G3982" s="63"/>
      <c r="H3982" s="67"/>
      <c r="I3982" s="68"/>
      <c r="J3982" s="68"/>
      <c r="K3982" s="32"/>
      <c r="L3982" s="75">
        <v>3982</v>
      </c>
      <c r="M3982" s="75"/>
      <c r="N3982" s="70"/>
      <c r="O3982" s="77" t="s">
        <v>2078</v>
      </c>
      <c r="P3982" s="79">
        <v>45096.54755787037</v>
      </c>
      <c r="Q3982" s="77" t="s">
        <v>5596</v>
      </c>
      <c r="R3982" s="77">
        <v>1</v>
      </c>
      <c r="S3982" s="77">
        <v>9</v>
      </c>
      <c r="T3982" s="77">
        <v>3</v>
      </c>
      <c r="U3982" s="77">
        <v>0</v>
      </c>
      <c r="V3982" s="77">
        <v>2107</v>
      </c>
      <c r="W3982" s="80" t="s">
        <v>8397</v>
      </c>
      <c r="X3982" s="83" t="str">
        <f>HYPERLINK("https://www.youtube.com/watch?v=gvzOIu_bX54")</f>
        <v>https://www.youtube.com/watch?v=gvzOIu_bX54</v>
      </c>
      <c r="Y3982" s="77" t="s">
        <v>8612</v>
      </c>
      <c r="Z3982" s="77"/>
      <c r="AA3982" s="77"/>
      <c r="AB3982" s="77"/>
      <c r="AC3982" s="80" t="s">
        <v>10541</v>
      </c>
      <c r="AD3982" s="77" t="s">
        <v>10617</v>
      </c>
      <c r="AE3982" s="83" t="str">
        <f>HYPERLINK("https://twitter.com/bancocentralbr/status/1670780594026868745")</f>
        <v>https://twitter.com/bancocentralbr/status/1670780594026868745</v>
      </c>
      <c r="AF3982" s="79">
        <v>45096.54755787037</v>
      </c>
      <c r="AG3982" s="85">
        <v>45096</v>
      </c>
      <c r="AH3982" s="80" t="s">
        <v>14081</v>
      </c>
      <c r="AI3982" s="77" t="b">
        <v>0</v>
      </c>
      <c r="AJ3982" s="77"/>
      <c r="AK3982" s="77"/>
      <c r="AL3982" s="77"/>
      <c r="AM3982" s="77"/>
      <c r="AN3982" s="77"/>
      <c r="AO3982" s="77"/>
      <c r="AP3982" s="77"/>
      <c r="AQ3982" s="77"/>
      <c r="AR3982" s="77"/>
      <c r="AS3982" s="77"/>
      <c r="AT3982" s="77"/>
      <c r="AU3982" s="77"/>
      <c r="AV3982" s="83" t="str">
        <f>HYPERLINK("https://pbs.twimg.com/profile_images/1674371511996628993/reGcyxoU_normal.jpg")</f>
        <v>https://pbs.twimg.com/profile_images/1674371511996628993/reGcyxoU_normal.jpg</v>
      </c>
      <c r="AW3982" s="80" t="s">
        <v>19659</v>
      </c>
      <c r="AX3982" s="80" t="s">
        <v>20205</v>
      </c>
      <c r="AY3982" s="80" t="s">
        <v>20367</v>
      </c>
      <c r="AZ3982" s="80" t="s">
        <v>20205</v>
      </c>
      <c r="BA3982" s="80" t="s">
        <v>20380</v>
      </c>
      <c r="BB3982" s="80" t="s">
        <v>20380</v>
      </c>
      <c r="BC3982" s="80" t="s">
        <v>20205</v>
      </c>
      <c r="BD3982" s="77">
        <v>222157159</v>
      </c>
      <c r="BE3982" s="77"/>
      <c r="BF3982" s="77"/>
      <c r="BG3982" s="77"/>
      <c r="BH3982" s="77"/>
      <c r="BI3982" s="77"/>
    </row>
    <row r="3983" spans="1:61" x14ac:dyDescent="0.25">
      <c r="A3983" s="62" t="s">
        <v>1596</v>
      </c>
      <c r="B3983" s="62" t="s">
        <v>1596</v>
      </c>
      <c r="C3983" s="63"/>
      <c r="D3983" s="64"/>
      <c r="E3983" s="65"/>
      <c r="F3983" s="66"/>
      <c r="G3983" s="63"/>
      <c r="H3983" s="67"/>
      <c r="I3983" s="68"/>
      <c r="J3983" s="68"/>
      <c r="K3983" s="32"/>
      <c r="L3983" s="75">
        <v>3983</v>
      </c>
      <c r="M3983" s="75"/>
      <c r="N3983" s="70"/>
      <c r="O3983" s="77" t="s">
        <v>179</v>
      </c>
      <c r="P3983" s="79">
        <v>45189.904988425929</v>
      </c>
      <c r="Q3983" s="77" t="s">
        <v>5597</v>
      </c>
      <c r="R3983" s="77">
        <v>141</v>
      </c>
      <c r="S3983" s="77">
        <v>746</v>
      </c>
      <c r="T3983" s="77">
        <v>26</v>
      </c>
      <c r="U3983" s="77">
        <v>52</v>
      </c>
      <c r="V3983" s="77">
        <v>53848</v>
      </c>
      <c r="W3983" s="77"/>
      <c r="X3983" s="83" t="str">
        <f>HYPERLINK("https://www.bcb.gov.br/detalhenoticia/17981/nota")</f>
        <v>https://www.bcb.gov.br/detalhenoticia/17981/nota</v>
      </c>
      <c r="Y3983" s="77" t="s">
        <v>8633</v>
      </c>
      <c r="Z3983" s="77"/>
      <c r="AA3983" s="77" t="s">
        <v>10371</v>
      </c>
      <c r="AB3983" s="77" t="s">
        <v>10535</v>
      </c>
      <c r="AC3983" s="80" t="s">
        <v>10541</v>
      </c>
      <c r="AD3983" s="77" t="s">
        <v>10617</v>
      </c>
      <c r="AE3983" s="83" t="str">
        <f>HYPERLINK("https://twitter.com/bancocentralbr/status/1704612192799093179")</f>
        <v>https://twitter.com/bancocentralbr/status/1704612192799093179</v>
      </c>
      <c r="AF3983" s="79">
        <v>45189.904988425929</v>
      </c>
      <c r="AG3983" s="85">
        <v>45189</v>
      </c>
      <c r="AH3983" s="80" t="s">
        <v>14082</v>
      </c>
      <c r="AI3983" s="77" t="b">
        <v>0</v>
      </c>
      <c r="AJ3983" s="77"/>
      <c r="AK3983" s="77"/>
      <c r="AL3983" s="77"/>
      <c r="AM3983" s="77"/>
      <c r="AN3983" s="77"/>
      <c r="AO3983" s="77"/>
      <c r="AP3983" s="77"/>
      <c r="AQ3983" s="77" t="s">
        <v>15850</v>
      </c>
      <c r="AR3983" s="77"/>
      <c r="AS3983" s="77"/>
      <c r="AT3983" s="77"/>
      <c r="AU3983" s="77"/>
      <c r="AV3983" s="83" t="str">
        <f>HYPERLINK("https://pbs.twimg.com/media/F6f_va-W0AAMJnn.jpg")</f>
        <v>https://pbs.twimg.com/media/F6f_va-W0AAMJnn.jpg</v>
      </c>
      <c r="AW3983" s="80" t="s">
        <v>19660</v>
      </c>
      <c r="AX3983" s="80" t="s">
        <v>19660</v>
      </c>
      <c r="AY3983" s="77"/>
      <c r="AZ3983" s="80" t="s">
        <v>20380</v>
      </c>
      <c r="BA3983" s="80" t="s">
        <v>20380</v>
      </c>
      <c r="BB3983" s="80" t="s">
        <v>20380</v>
      </c>
      <c r="BC3983" s="80" t="s">
        <v>19660</v>
      </c>
      <c r="BD3983" s="77">
        <v>222157159</v>
      </c>
      <c r="BE3983" s="77"/>
      <c r="BF3983" s="77"/>
      <c r="BG3983" s="77"/>
      <c r="BH3983" s="77"/>
      <c r="BI3983" s="77"/>
    </row>
    <row r="3984" spans="1:61" x14ac:dyDescent="0.25">
      <c r="A3984" s="62" t="s">
        <v>1596</v>
      </c>
      <c r="B3984" s="62" t="s">
        <v>1596</v>
      </c>
      <c r="C3984" s="63"/>
      <c r="D3984" s="64"/>
      <c r="E3984" s="65"/>
      <c r="F3984" s="66"/>
      <c r="G3984" s="63"/>
      <c r="H3984" s="67"/>
      <c r="I3984" s="68"/>
      <c r="J3984" s="68"/>
      <c r="K3984" s="32"/>
      <c r="L3984" s="75">
        <v>3984</v>
      </c>
      <c r="M3984" s="75"/>
      <c r="N3984" s="70"/>
      <c r="O3984" s="77" t="s">
        <v>179</v>
      </c>
      <c r="P3984" s="79">
        <v>45175.568738425929</v>
      </c>
      <c r="Q3984" s="77" t="s">
        <v>5598</v>
      </c>
      <c r="R3984" s="77">
        <v>12</v>
      </c>
      <c r="S3984" s="77">
        <v>56</v>
      </c>
      <c r="T3984" s="77">
        <v>14</v>
      </c>
      <c r="U3984" s="77">
        <v>1</v>
      </c>
      <c r="V3984" s="77">
        <v>5654</v>
      </c>
      <c r="W3984" s="80" t="s">
        <v>8398</v>
      </c>
      <c r="X3984" s="77"/>
      <c r="Y3984" s="77"/>
      <c r="Z3984" s="77"/>
      <c r="AA3984" s="77" t="s">
        <v>10372</v>
      </c>
      <c r="AB3984" s="77" t="s">
        <v>10534</v>
      </c>
      <c r="AC3984" s="80" t="s">
        <v>10541</v>
      </c>
      <c r="AD3984" s="77" t="s">
        <v>10617</v>
      </c>
      <c r="AE3984" s="83" t="str">
        <f>HYPERLINK("https://twitter.com/bancocentralbr/status/1699416907407892749")</f>
        <v>https://twitter.com/bancocentralbr/status/1699416907407892749</v>
      </c>
      <c r="AF3984" s="79">
        <v>45175.568738425929</v>
      </c>
      <c r="AG3984" s="85">
        <v>45175</v>
      </c>
      <c r="AH3984" s="80" t="s">
        <v>14083</v>
      </c>
      <c r="AI3984" s="77" t="b">
        <v>0</v>
      </c>
      <c r="AJ3984" s="77"/>
      <c r="AK3984" s="77"/>
      <c r="AL3984" s="77"/>
      <c r="AM3984" s="77"/>
      <c r="AN3984" s="77"/>
      <c r="AO3984" s="77"/>
      <c r="AP3984" s="77"/>
      <c r="AQ3984" s="77" t="s">
        <v>15851</v>
      </c>
      <c r="AR3984" s="77">
        <v>49066</v>
      </c>
      <c r="AS3984" s="77"/>
      <c r="AT3984" s="77"/>
      <c r="AU3984" s="77"/>
      <c r="AV3984" s="83" t="str">
        <f>HYPERLINK("https://pbs.twimg.com/ext_tw_video_thumb/1699416353105473536/pu/img/TKuSPP90Lyqb4sH9.jpg")</f>
        <v>https://pbs.twimg.com/ext_tw_video_thumb/1699416353105473536/pu/img/TKuSPP90Lyqb4sH9.jpg</v>
      </c>
      <c r="AW3984" s="80" t="s">
        <v>19661</v>
      </c>
      <c r="AX3984" s="80" t="s">
        <v>19661</v>
      </c>
      <c r="AY3984" s="77"/>
      <c r="AZ3984" s="80" t="s">
        <v>20380</v>
      </c>
      <c r="BA3984" s="80" t="s">
        <v>20380</v>
      </c>
      <c r="BB3984" s="80" t="s">
        <v>20380</v>
      </c>
      <c r="BC3984" s="80" t="s">
        <v>19661</v>
      </c>
      <c r="BD3984" s="77">
        <v>222157159</v>
      </c>
      <c r="BE3984" s="77"/>
      <c r="BF3984" s="77"/>
      <c r="BG3984" s="77"/>
      <c r="BH3984" s="77"/>
      <c r="BI3984" s="77"/>
    </row>
    <row r="3985" spans="1:61" x14ac:dyDescent="0.25">
      <c r="A3985" s="62" t="s">
        <v>1596</v>
      </c>
      <c r="B3985" s="62" t="s">
        <v>1596</v>
      </c>
      <c r="C3985" s="63"/>
      <c r="D3985" s="64"/>
      <c r="E3985" s="65"/>
      <c r="F3985" s="66"/>
      <c r="G3985" s="63"/>
      <c r="H3985" s="67"/>
      <c r="I3985" s="68"/>
      <c r="J3985" s="68"/>
      <c r="K3985" s="32"/>
      <c r="L3985" s="75">
        <v>3985</v>
      </c>
      <c r="M3985" s="75"/>
      <c r="N3985" s="70"/>
      <c r="O3985" s="77" t="s">
        <v>179</v>
      </c>
      <c r="P3985" s="79">
        <v>45145.615624999999</v>
      </c>
      <c r="Q3985" s="77" t="s">
        <v>5599</v>
      </c>
      <c r="R3985" s="77">
        <v>4</v>
      </c>
      <c r="S3985" s="77">
        <v>17</v>
      </c>
      <c r="T3985" s="77">
        <v>0</v>
      </c>
      <c r="U3985" s="77">
        <v>0</v>
      </c>
      <c r="V3985" s="77">
        <v>3019</v>
      </c>
      <c r="W3985" s="80" t="s">
        <v>8388</v>
      </c>
      <c r="X3985" s="83" t="str">
        <f>HYPERLINK("https://www.bcb.gov.br/meubc/estatisticas-do-valores-a-receber")</f>
        <v>https://www.bcb.gov.br/meubc/estatisticas-do-valores-a-receber</v>
      </c>
      <c r="Y3985" s="77" t="s">
        <v>8633</v>
      </c>
      <c r="Z3985" s="77"/>
      <c r="AA3985" s="77"/>
      <c r="AB3985" s="77"/>
      <c r="AC3985" s="80" t="s">
        <v>10541</v>
      </c>
      <c r="AD3985" s="77" t="s">
        <v>10617</v>
      </c>
      <c r="AE3985" s="83" t="str">
        <f>HYPERLINK("https://twitter.com/bancocentralbr/status/1688562264394108928")</f>
        <v>https://twitter.com/bancocentralbr/status/1688562264394108928</v>
      </c>
      <c r="AF3985" s="79">
        <v>45145.615624999999</v>
      </c>
      <c r="AG3985" s="85">
        <v>45145</v>
      </c>
      <c r="AH3985" s="80" t="s">
        <v>13278</v>
      </c>
      <c r="AI3985" s="77" t="b">
        <v>0</v>
      </c>
      <c r="AJ3985" s="77"/>
      <c r="AK3985" s="77"/>
      <c r="AL3985" s="77"/>
      <c r="AM3985" s="77"/>
      <c r="AN3985" s="77"/>
      <c r="AO3985" s="77"/>
      <c r="AP3985" s="77"/>
      <c r="AQ3985" s="77"/>
      <c r="AR3985" s="77"/>
      <c r="AS3985" s="77"/>
      <c r="AT3985" s="77"/>
      <c r="AU3985" s="77"/>
      <c r="AV3985" s="83" t="str">
        <f>HYPERLINK("https://pbs.twimg.com/profile_images/1674371511996628993/reGcyxoU_normal.jpg")</f>
        <v>https://pbs.twimg.com/profile_images/1674371511996628993/reGcyxoU_normal.jpg</v>
      </c>
      <c r="AW3985" s="80" t="s">
        <v>19662</v>
      </c>
      <c r="AX3985" s="80" t="s">
        <v>19662</v>
      </c>
      <c r="AY3985" s="77"/>
      <c r="AZ3985" s="80" t="s">
        <v>20380</v>
      </c>
      <c r="BA3985" s="80" t="s">
        <v>20380</v>
      </c>
      <c r="BB3985" s="80" t="s">
        <v>20380</v>
      </c>
      <c r="BC3985" s="80" t="s">
        <v>19662</v>
      </c>
      <c r="BD3985" s="77">
        <v>222157159</v>
      </c>
      <c r="BE3985" s="77"/>
      <c r="BF3985" s="77"/>
      <c r="BG3985" s="77"/>
      <c r="BH3985" s="77"/>
      <c r="BI3985" s="77"/>
    </row>
    <row r="3986" spans="1:61" x14ac:dyDescent="0.25">
      <c r="A3986" s="62" t="s">
        <v>1596</v>
      </c>
      <c r="B3986" s="62" t="s">
        <v>1596</v>
      </c>
      <c r="C3986" s="63"/>
      <c r="D3986" s="64"/>
      <c r="E3986" s="65"/>
      <c r="F3986" s="66"/>
      <c r="G3986" s="63"/>
      <c r="H3986" s="67"/>
      <c r="I3986" s="68"/>
      <c r="J3986" s="68"/>
      <c r="K3986" s="32"/>
      <c r="L3986" s="75">
        <v>3986</v>
      </c>
      <c r="M3986" s="75"/>
      <c r="N3986" s="70"/>
      <c r="O3986" s="77" t="s">
        <v>2078</v>
      </c>
      <c r="P3986" s="79">
        <v>45091.805034722223</v>
      </c>
      <c r="Q3986" s="77" t="s">
        <v>5600</v>
      </c>
      <c r="R3986" s="77">
        <v>0</v>
      </c>
      <c r="S3986" s="77">
        <v>4</v>
      </c>
      <c r="T3986" s="77">
        <v>7</v>
      </c>
      <c r="U3986" s="77">
        <v>0</v>
      </c>
      <c r="V3986" s="77">
        <v>1966</v>
      </c>
      <c r="W3986" s="80" t="s">
        <v>8399</v>
      </c>
      <c r="X3986" s="83" t="str">
        <f>HYPERLINK("https://youtu.be/4sfeoqbiPo0")</f>
        <v>https://youtu.be/4sfeoqbiPo0</v>
      </c>
      <c r="Y3986" s="77" t="s">
        <v>8635</v>
      </c>
      <c r="Z3986" s="77"/>
      <c r="AA3986" s="77"/>
      <c r="AB3986" s="77"/>
      <c r="AC3986" s="80" t="s">
        <v>10541</v>
      </c>
      <c r="AD3986" s="77" t="s">
        <v>10617</v>
      </c>
      <c r="AE3986" s="83" t="str">
        <f>HYPERLINK("https://twitter.com/bancocentralbr/status/1669061961105960961")</f>
        <v>https://twitter.com/bancocentralbr/status/1669061961105960961</v>
      </c>
      <c r="AF3986" s="79">
        <v>45091.805034722223</v>
      </c>
      <c r="AG3986" s="85">
        <v>45091</v>
      </c>
      <c r="AH3986" s="80" t="s">
        <v>14084</v>
      </c>
      <c r="AI3986" s="77" t="b">
        <v>0</v>
      </c>
      <c r="AJ3986" s="77"/>
      <c r="AK3986" s="77"/>
      <c r="AL3986" s="77"/>
      <c r="AM3986" s="77"/>
      <c r="AN3986" s="77"/>
      <c r="AO3986" s="77"/>
      <c r="AP3986" s="77"/>
      <c r="AQ3986" s="77"/>
      <c r="AR3986" s="77"/>
      <c r="AS3986" s="77"/>
      <c r="AT3986" s="77"/>
      <c r="AU3986" s="77"/>
      <c r="AV3986" s="83" t="str">
        <f>HYPERLINK("https://pbs.twimg.com/profile_images/1674371511996628993/reGcyxoU_normal.jpg")</f>
        <v>https://pbs.twimg.com/profile_images/1674371511996628993/reGcyxoU_normal.jpg</v>
      </c>
      <c r="AW3986" s="80" t="s">
        <v>19663</v>
      </c>
      <c r="AX3986" s="80" t="s">
        <v>20206</v>
      </c>
      <c r="AY3986" s="80" t="s">
        <v>20367</v>
      </c>
      <c r="AZ3986" s="80" t="s">
        <v>20206</v>
      </c>
      <c r="BA3986" s="80" t="s">
        <v>20380</v>
      </c>
      <c r="BB3986" s="80" t="s">
        <v>20380</v>
      </c>
      <c r="BC3986" s="80" t="s">
        <v>20206</v>
      </c>
      <c r="BD3986" s="77">
        <v>222157159</v>
      </c>
      <c r="BE3986" s="77"/>
      <c r="BF3986" s="77"/>
      <c r="BG3986" s="77"/>
      <c r="BH3986" s="77"/>
      <c r="BI3986" s="77"/>
    </row>
    <row r="3987" spans="1:61" x14ac:dyDescent="0.25">
      <c r="A3987" s="62" t="s">
        <v>1596</v>
      </c>
      <c r="B3987" s="62" t="s">
        <v>1596</v>
      </c>
      <c r="C3987" s="63"/>
      <c r="D3987" s="64"/>
      <c r="E3987" s="65"/>
      <c r="F3987" s="66"/>
      <c r="G3987" s="63"/>
      <c r="H3987" s="67"/>
      <c r="I3987" s="68"/>
      <c r="J3987" s="68"/>
      <c r="K3987" s="32"/>
      <c r="L3987" s="75">
        <v>3987</v>
      </c>
      <c r="M3987" s="75"/>
      <c r="N3987" s="70"/>
      <c r="O3987" s="77" t="s">
        <v>2078</v>
      </c>
      <c r="P3987" s="79">
        <v>45091.600682870368</v>
      </c>
      <c r="Q3987" s="77" t="s">
        <v>5601</v>
      </c>
      <c r="R3987" s="77">
        <v>2</v>
      </c>
      <c r="S3987" s="77">
        <v>11</v>
      </c>
      <c r="T3987" s="77">
        <v>1</v>
      </c>
      <c r="U3987" s="77">
        <v>1</v>
      </c>
      <c r="V3987" s="77">
        <v>1927</v>
      </c>
      <c r="W3987" s="80" t="s">
        <v>8400</v>
      </c>
      <c r="X3987" s="77"/>
      <c r="Y3987" s="77"/>
      <c r="Z3987" s="77"/>
      <c r="AA3987" s="77"/>
      <c r="AB3987" s="77"/>
      <c r="AC3987" s="80" t="s">
        <v>10541</v>
      </c>
      <c r="AD3987" s="77" t="s">
        <v>10617</v>
      </c>
      <c r="AE3987" s="83" t="str">
        <f>HYPERLINK("https://twitter.com/bancocentralbr/status/1668987906113826819")</f>
        <v>https://twitter.com/bancocentralbr/status/1668987906113826819</v>
      </c>
      <c r="AF3987" s="79">
        <v>45091.600682870368</v>
      </c>
      <c r="AG3987" s="85">
        <v>45091</v>
      </c>
      <c r="AH3987" s="80" t="s">
        <v>14085</v>
      </c>
      <c r="AI3987" s="77"/>
      <c r="AJ3987" s="77"/>
      <c r="AK3987" s="77"/>
      <c r="AL3987" s="77"/>
      <c r="AM3987" s="77"/>
      <c r="AN3987" s="77"/>
      <c r="AO3987" s="77"/>
      <c r="AP3987" s="77"/>
      <c r="AQ3987" s="77"/>
      <c r="AR3987" s="77"/>
      <c r="AS3987" s="77"/>
      <c r="AT3987" s="77"/>
      <c r="AU3987" s="77"/>
      <c r="AV3987" s="83" t="str">
        <f>HYPERLINK("https://pbs.twimg.com/profile_images/1674371511996628993/reGcyxoU_normal.jpg")</f>
        <v>https://pbs.twimg.com/profile_images/1674371511996628993/reGcyxoU_normal.jpg</v>
      </c>
      <c r="AW3987" s="80" t="s">
        <v>19664</v>
      </c>
      <c r="AX3987" s="80" t="s">
        <v>20207</v>
      </c>
      <c r="AY3987" s="80" t="s">
        <v>20367</v>
      </c>
      <c r="AZ3987" s="80" t="s">
        <v>20478</v>
      </c>
      <c r="BA3987" s="80" t="s">
        <v>20380</v>
      </c>
      <c r="BB3987" s="80" t="s">
        <v>20380</v>
      </c>
      <c r="BC3987" s="80" t="s">
        <v>20478</v>
      </c>
      <c r="BD3987" s="77">
        <v>222157159</v>
      </c>
      <c r="BE3987" s="77"/>
      <c r="BF3987" s="77"/>
      <c r="BG3987" s="77"/>
      <c r="BH3987" s="77"/>
      <c r="BI3987" s="77"/>
    </row>
    <row r="3988" spans="1:61" x14ac:dyDescent="0.25">
      <c r="A3988" s="62" t="s">
        <v>1596</v>
      </c>
      <c r="B3988" s="62" t="s">
        <v>1596</v>
      </c>
      <c r="C3988" s="63"/>
      <c r="D3988" s="64"/>
      <c r="E3988" s="65"/>
      <c r="F3988" s="66"/>
      <c r="G3988" s="63"/>
      <c r="H3988" s="67"/>
      <c r="I3988" s="68"/>
      <c r="J3988" s="68"/>
      <c r="K3988" s="32"/>
      <c r="L3988" s="75">
        <v>3988</v>
      </c>
      <c r="M3988" s="75"/>
      <c r="N3988" s="70"/>
      <c r="O3988" s="77" t="s">
        <v>179</v>
      </c>
      <c r="P3988" s="79">
        <v>45058.616076388891</v>
      </c>
      <c r="Q3988" s="77" t="s">
        <v>5602</v>
      </c>
      <c r="R3988" s="77">
        <v>4</v>
      </c>
      <c r="S3988" s="77">
        <v>14</v>
      </c>
      <c r="T3988" s="77">
        <v>13</v>
      </c>
      <c r="U3988" s="77">
        <v>1</v>
      </c>
      <c r="V3988" s="77">
        <v>2790</v>
      </c>
      <c r="W3988" s="80" t="s">
        <v>8401</v>
      </c>
      <c r="X3988" s="83" t="str">
        <f>HYPERLINK("https://www.youtube.com/watch?v=qGWGbYm218U")</f>
        <v>https://www.youtube.com/watch?v=qGWGbYm218U</v>
      </c>
      <c r="Y3988" s="77" t="s">
        <v>8612</v>
      </c>
      <c r="Z3988" s="77"/>
      <c r="AA3988" s="77"/>
      <c r="AB3988" s="77"/>
      <c r="AC3988" s="80" t="s">
        <v>10541</v>
      </c>
      <c r="AD3988" s="77" t="s">
        <v>10617</v>
      </c>
      <c r="AE3988" s="83" t="str">
        <f>HYPERLINK("https://twitter.com/bancocentralbr/status/1657034682473627649")</f>
        <v>https://twitter.com/bancocentralbr/status/1657034682473627649</v>
      </c>
      <c r="AF3988" s="79">
        <v>45058.616076388891</v>
      </c>
      <c r="AG3988" s="85">
        <v>45058</v>
      </c>
      <c r="AH3988" s="80" t="s">
        <v>14086</v>
      </c>
      <c r="AI3988" s="77" t="b">
        <v>0</v>
      </c>
      <c r="AJ3988" s="77"/>
      <c r="AK3988" s="77"/>
      <c r="AL3988" s="77"/>
      <c r="AM3988" s="77"/>
      <c r="AN3988" s="77"/>
      <c r="AO3988" s="77"/>
      <c r="AP3988" s="77"/>
      <c r="AQ3988" s="77"/>
      <c r="AR3988" s="77"/>
      <c r="AS3988" s="77"/>
      <c r="AT3988" s="77"/>
      <c r="AU3988" s="77"/>
      <c r="AV3988" s="83" t="str">
        <f>HYPERLINK("https://pbs.twimg.com/profile_images/1674371511996628993/reGcyxoU_normal.jpg")</f>
        <v>https://pbs.twimg.com/profile_images/1674371511996628993/reGcyxoU_normal.jpg</v>
      </c>
      <c r="AW3988" s="80" t="s">
        <v>19665</v>
      </c>
      <c r="AX3988" s="80" t="s">
        <v>19665</v>
      </c>
      <c r="AY3988" s="77"/>
      <c r="AZ3988" s="80" t="s">
        <v>20380</v>
      </c>
      <c r="BA3988" s="80" t="s">
        <v>20380</v>
      </c>
      <c r="BB3988" s="80" t="s">
        <v>20380</v>
      </c>
      <c r="BC3988" s="80" t="s">
        <v>19665</v>
      </c>
      <c r="BD3988" s="77">
        <v>222157159</v>
      </c>
      <c r="BE3988" s="77"/>
      <c r="BF3988" s="77"/>
      <c r="BG3988" s="77"/>
      <c r="BH3988" s="77"/>
      <c r="BI3988" s="77"/>
    </row>
    <row r="3989" spans="1:61" x14ac:dyDescent="0.25">
      <c r="A3989" s="62" t="s">
        <v>1596</v>
      </c>
      <c r="B3989" s="62" t="s">
        <v>1596</v>
      </c>
      <c r="C3989" s="63"/>
      <c r="D3989" s="64"/>
      <c r="E3989" s="65"/>
      <c r="F3989" s="66"/>
      <c r="G3989" s="63"/>
      <c r="H3989" s="67"/>
      <c r="I3989" s="68"/>
      <c r="J3989" s="68"/>
      <c r="K3989" s="32"/>
      <c r="L3989" s="75">
        <v>3989</v>
      </c>
      <c r="M3989" s="75"/>
      <c r="N3989" s="70"/>
      <c r="O3989" s="77" t="s">
        <v>179</v>
      </c>
      <c r="P3989" s="79">
        <v>45058.587280092594</v>
      </c>
      <c r="Q3989" s="77" t="s">
        <v>5603</v>
      </c>
      <c r="R3989" s="77">
        <v>3</v>
      </c>
      <c r="S3989" s="77">
        <v>28</v>
      </c>
      <c r="T3989" s="77">
        <v>7</v>
      </c>
      <c r="U3989" s="77">
        <v>1</v>
      </c>
      <c r="V3989" s="77">
        <v>4007</v>
      </c>
      <c r="W3989" s="80" t="s">
        <v>8402</v>
      </c>
      <c r="X3989" s="83" t="str">
        <f>HYPERLINK("http://www.liftlab.com.br")</f>
        <v>http://www.liftlab.com.br</v>
      </c>
      <c r="Y3989" s="77" t="s">
        <v>8611</v>
      </c>
      <c r="Z3989" s="77"/>
      <c r="AA3989" s="77" t="s">
        <v>10373</v>
      </c>
      <c r="AB3989" s="77" t="s">
        <v>10535</v>
      </c>
      <c r="AC3989" s="80" t="s">
        <v>10541</v>
      </c>
      <c r="AD3989" s="77" t="s">
        <v>10617</v>
      </c>
      <c r="AE3989" s="83" t="str">
        <f>HYPERLINK("https://twitter.com/bancocentralbr/status/1657024250182529029")</f>
        <v>https://twitter.com/bancocentralbr/status/1657024250182529029</v>
      </c>
      <c r="AF3989" s="79">
        <v>45058.587280092594</v>
      </c>
      <c r="AG3989" s="85">
        <v>45058</v>
      </c>
      <c r="AH3989" s="80" t="s">
        <v>14087</v>
      </c>
      <c r="AI3989" s="77" t="b">
        <v>0</v>
      </c>
      <c r="AJ3989" s="77"/>
      <c r="AK3989" s="77"/>
      <c r="AL3989" s="77"/>
      <c r="AM3989" s="77"/>
      <c r="AN3989" s="77"/>
      <c r="AO3989" s="77"/>
      <c r="AP3989" s="77"/>
      <c r="AQ3989" s="77" t="s">
        <v>15852</v>
      </c>
      <c r="AR3989" s="77"/>
      <c r="AS3989" s="77"/>
      <c r="AT3989" s="77"/>
      <c r="AU3989" s="77"/>
      <c r="AV3989" s="83" t="str">
        <f>HYPERLINK("https://pbs.twimg.com/media/Fv7su61WAAMmm0F.jpg")</f>
        <v>https://pbs.twimg.com/media/Fv7su61WAAMmm0F.jpg</v>
      </c>
      <c r="AW3989" s="80" t="s">
        <v>19666</v>
      </c>
      <c r="AX3989" s="80" t="s">
        <v>19666</v>
      </c>
      <c r="AY3989" s="77"/>
      <c r="AZ3989" s="80" t="s">
        <v>20380</v>
      </c>
      <c r="BA3989" s="80" t="s">
        <v>20380</v>
      </c>
      <c r="BB3989" s="80" t="s">
        <v>20380</v>
      </c>
      <c r="BC3989" s="80" t="s">
        <v>19666</v>
      </c>
      <c r="BD3989" s="77">
        <v>222157159</v>
      </c>
      <c r="BE3989" s="77"/>
      <c r="BF3989" s="77"/>
      <c r="BG3989" s="77"/>
      <c r="BH3989" s="77"/>
      <c r="BI3989" s="77"/>
    </row>
    <row r="3990" spans="1:61" x14ac:dyDescent="0.25">
      <c r="A3990" s="62" t="s">
        <v>1596</v>
      </c>
      <c r="B3990" s="62" t="s">
        <v>1596</v>
      </c>
      <c r="C3990" s="63"/>
      <c r="D3990" s="64"/>
      <c r="E3990" s="65"/>
      <c r="F3990" s="66"/>
      <c r="G3990" s="63"/>
      <c r="H3990" s="67"/>
      <c r="I3990" s="68"/>
      <c r="J3990" s="68"/>
      <c r="K3990" s="32"/>
      <c r="L3990" s="75">
        <v>3990</v>
      </c>
      <c r="M3990" s="75"/>
      <c r="N3990" s="70"/>
      <c r="O3990" s="77" t="s">
        <v>2078</v>
      </c>
      <c r="P3990" s="79">
        <v>45057.786643518521</v>
      </c>
      <c r="Q3990" s="77" t="s">
        <v>5604</v>
      </c>
      <c r="R3990" s="77">
        <v>0</v>
      </c>
      <c r="S3990" s="77">
        <v>4</v>
      </c>
      <c r="T3990" s="77">
        <v>4</v>
      </c>
      <c r="U3990" s="77">
        <v>0</v>
      </c>
      <c r="V3990" s="77">
        <v>2162</v>
      </c>
      <c r="W3990" s="80" t="s">
        <v>8403</v>
      </c>
      <c r="X3990" s="83" t="str">
        <f>HYPERLINK("http://valoresareceber.bcb.gov.br")</f>
        <v>http://valoresareceber.bcb.gov.br</v>
      </c>
      <c r="Y3990" s="77" t="s">
        <v>8633</v>
      </c>
      <c r="Z3990" s="77"/>
      <c r="AA3990" s="77"/>
      <c r="AB3990" s="77"/>
      <c r="AC3990" s="80" t="s">
        <v>10541</v>
      </c>
      <c r="AD3990" s="77" t="s">
        <v>10617</v>
      </c>
      <c r="AE3990" s="83" t="str">
        <f>HYPERLINK("https://twitter.com/bancocentralbr/status/1656734107512995843")</f>
        <v>https://twitter.com/bancocentralbr/status/1656734107512995843</v>
      </c>
      <c r="AF3990" s="79">
        <v>45057.786643518521</v>
      </c>
      <c r="AG3990" s="85">
        <v>45057</v>
      </c>
      <c r="AH3990" s="80" t="s">
        <v>14088</v>
      </c>
      <c r="AI3990" s="77" t="b">
        <v>0</v>
      </c>
      <c r="AJ3990" s="77"/>
      <c r="AK3990" s="77"/>
      <c r="AL3990" s="77"/>
      <c r="AM3990" s="77"/>
      <c r="AN3990" s="77"/>
      <c r="AO3990" s="77"/>
      <c r="AP3990" s="77"/>
      <c r="AQ3990" s="77"/>
      <c r="AR3990" s="77"/>
      <c r="AS3990" s="77"/>
      <c r="AT3990" s="77"/>
      <c r="AU3990" s="77"/>
      <c r="AV3990" s="83" t="str">
        <f>HYPERLINK("https://pbs.twimg.com/profile_images/1674371511996628993/reGcyxoU_normal.jpg")</f>
        <v>https://pbs.twimg.com/profile_images/1674371511996628993/reGcyxoU_normal.jpg</v>
      </c>
      <c r="AW3990" s="80" t="s">
        <v>19667</v>
      </c>
      <c r="AX3990" s="80" t="s">
        <v>20208</v>
      </c>
      <c r="AY3990" s="80" t="s">
        <v>20367</v>
      </c>
      <c r="AZ3990" s="80" t="s">
        <v>20208</v>
      </c>
      <c r="BA3990" s="80" t="s">
        <v>20380</v>
      </c>
      <c r="BB3990" s="80" t="s">
        <v>20380</v>
      </c>
      <c r="BC3990" s="80" t="s">
        <v>20208</v>
      </c>
      <c r="BD3990" s="77">
        <v>222157159</v>
      </c>
      <c r="BE3990" s="77"/>
      <c r="BF3990" s="77"/>
      <c r="BG3990" s="77"/>
      <c r="BH3990" s="77"/>
      <c r="BI3990" s="77"/>
    </row>
    <row r="3991" spans="1:61" x14ac:dyDescent="0.25">
      <c r="A3991" s="62" t="s">
        <v>1597</v>
      </c>
      <c r="B3991" s="62" t="s">
        <v>1596</v>
      </c>
      <c r="C3991" s="63"/>
      <c r="D3991" s="64"/>
      <c r="E3991" s="65"/>
      <c r="F3991" s="66"/>
      <c r="G3991" s="63"/>
      <c r="H3991" s="67"/>
      <c r="I3991" s="68"/>
      <c r="J3991" s="68"/>
      <c r="K3991" s="32"/>
      <c r="L3991" s="75">
        <v>3991</v>
      </c>
      <c r="M3991" s="75"/>
      <c r="N3991" s="70"/>
      <c r="O3991" s="77" t="s">
        <v>2081</v>
      </c>
      <c r="P3991" s="79">
        <v>45062.79142361111</v>
      </c>
      <c r="Q3991" s="77" t="s">
        <v>5605</v>
      </c>
      <c r="R3991" s="77">
        <v>0</v>
      </c>
      <c r="S3991" s="77">
        <v>0</v>
      </c>
      <c r="T3991" s="77">
        <v>0</v>
      </c>
      <c r="U3991" s="77">
        <v>0</v>
      </c>
      <c r="V3991" s="77">
        <v>7</v>
      </c>
      <c r="W3991" s="80" t="s">
        <v>6008</v>
      </c>
      <c r="X3991" s="83" t="str">
        <f>HYPERLINK("https://www.bcb.gov.br/acessoinformacao/eventos/136")</f>
        <v>https://www.bcb.gov.br/acessoinformacao/eventos/136</v>
      </c>
      <c r="Y3991" s="77" t="s">
        <v>8633</v>
      </c>
      <c r="Z3991" s="77" t="s">
        <v>1596</v>
      </c>
      <c r="AA3991" s="77"/>
      <c r="AB3991" s="77"/>
      <c r="AC3991" s="80" t="s">
        <v>10541</v>
      </c>
      <c r="AD3991" s="77" t="s">
        <v>10617</v>
      </c>
      <c r="AE3991" s="83" t="str">
        <f>HYPERLINK("https://twitter.com/tyrsomeireles/status/1658547777066917916")</f>
        <v>https://twitter.com/tyrsomeireles/status/1658547777066917916</v>
      </c>
      <c r="AF3991" s="79">
        <v>45062.79142361111</v>
      </c>
      <c r="AG3991" s="85">
        <v>45062</v>
      </c>
      <c r="AH3991" s="80" t="s">
        <v>14089</v>
      </c>
      <c r="AI3991" s="77" t="b">
        <v>0</v>
      </c>
      <c r="AJ3991" s="77"/>
      <c r="AK3991" s="77"/>
      <c r="AL3991" s="77"/>
      <c r="AM3991" s="77"/>
      <c r="AN3991" s="77"/>
      <c r="AO3991" s="77"/>
      <c r="AP3991" s="77"/>
      <c r="AQ3991" s="77"/>
      <c r="AR3991" s="77"/>
      <c r="AS3991" s="77"/>
      <c r="AT3991" s="77"/>
      <c r="AU3991" s="77"/>
      <c r="AV3991" s="83" t="str">
        <f>HYPERLINK("https://pbs.twimg.com/profile_images/797954297493417984/4ll04jw__normal.jpg")</f>
        <v>https://pbs.twimg.com/profile_images/797954297493417984/4ll04jw__normal.jpg</v>
      </c>
      <c r="AW3991" s="80" t="s">
        <v>19668</v>
      </c>
      <c r="AX3991" s="80" t="s">
        <v>19668</v>
      </c>
      <c r="AY3991" s="77"/>
      <c r="AZ3991" s="80" t="s">
        <v>20380</v>
      </c>
      <c r="BA3991" s="80" t="s">
        <v>20380</v>
      </c>
      <c r="BB3991" s="80" t="s">
        <v>20380</v>
      </c>
      <c r="BC3991" s="80" t="s">
        <v>19668</v>
      </c>
      <c r="BD3991" s="77">
        <v>51710738</v>
      </c>
      <c r="BE3991" s="77"/>
      <c r="BF3991" s="77"/>
      <c r="BG3991" s="77"/>
      <c r="BH3991" s="77"/>
      <c r="BI3991" s="77"/>
    </row>
    <row r="3992" spans="1:61" x14ac:dyDescent="0.25">
      <c r="A3992" s="62" t="s">
        <v>1598</v>
      </c>
      <c r="B3992" s="62" t="s">
        <v>1598</v>
      </c>
      <c r="C3992" s="63"/>
      <c r="D3992" s="64"/>
      <c r="E3992" s="65"/>
      <c r="F3992" s="66"/>
      <c r="G3992" s="63"/>
      <c r="H3992" s="67"/>
      <c r="I3992" s="68"/>
      <c r="J3992" s="68"/>
      <c r="K3992" s="32"/>
      <c r="L3992" s="75">
        <v>3992</v>
      </c>
      <c r="M3992" s="75"/>
      <c r="N3992" s="70"/>
      <c r="O3992" s="77" t="s">
        <v>179</v>
      </c>
      <c r="P3992" s="79">
        <v>45061.824479166666</v>
      </c>
      <c r="Q3992" s="77" t="s">
        <v>5606</v>
      </c>
      <c r="R3992" s="77">
        <v>0</v>
      </c>
      <c r="S3992" s="77">
        <v>2</v>
      </c>
      <c r="T3992" s="77">
        <v>0</v>
      </c>
      <c r="U3992" s="77">
        <v>0</v>
      </c>
      <c r="V3992" s="77">
        <v>92</v>
      </c>
      <c r="W3992" s="80" t="s">
        <v>5884</v>
      </c>
      <c r="X3992" s="77"/>
      <c r="Y3992" s="77"/>
      <c r="Z3992" s="77"/>
      <c r="AA3992" s="77" t="s">
        <v>10374</v>
      </c>
      <c r="AB3992" s="77" t="s">
        <v>10535</v>
      </c>
      <c r="AC3992" s="80" t="s">
        <v>10541</v>
      </c>
      <c r="AD3992" s="77" t="s">
        <v>10620</v>
      </c>
      <c r="AE3992" s="83" t="str">
        <f>HYPERLINK("https://twitter.com/germargheritti/status/1658197369073152000")</f>
        <v>https://twitter.com/germargheritti/status/1658197369073152000</v>
      </c>
      <c r="AF3992" s="79">
        <v>45061.824479166666</v>
      </c>
      <c r="AG3992" s="85">
        <v>45061</v>
      </c>
      <c r="AH3992" s="80" t="s">
        <v>14090</v>
      </c>
      <c r="AI3992" s="77" t="b">
        <v>0</v>
      </c>
      <c r="AJ3992" s="77"/>
      <c r="AK3992" s="77"/>
      <c r="AL3992" s="77"/>
      <c r="AM3992" s="77"/>
      <c r="AN3992" s="77"/>
      <c r="AO3992" s="77"/>
      <c r="AP3992" s="77"/>
      <c r="AQ3992" s="77" t="s">
        <v>15853</v>
      </c>
      <c r="AR3992" s="77"/>
      <c r="AS3992" s="77"/>
      <c r="AT3992" s="77"/>
      <c r="AU3992" s="77"/>
      <c r="AV3992" s="83" t="str">
        <f>HYPERLINK("https://pbs.twimg.com/media/FwMZt0XWIAYIOjD.jpg")</f>
        <v>https://pbs.twimg.com/media/FwMZt0XWIAYIOjD.jpg</v>
      </c>
      <c r="AW3992" s="80" t="s">
        <v>19669</v>
      </c>
      <c r="AX3992" s="80" t="s">
        <v>19669</v>
      </c>
      <c r="AY3992" s="77"/>
      <c r="AZ3992" s="80" t="s">
        <v>20380</v>
      </c>
      <c r="BA3992" s="80" t="s">
        <v>20380</v>
      </c>
      <c r="BB3992" s="80" t="s">
        <v>20380</v>
      </c>
      <c r="BC3992" s="80" t="s">
        <v>19669</v>
      </c>
      <c r="BD3992" s="77">
        <v>147451212</v>
      </c>
      <c r="BE3992" s="77"/>
      <c r="BF3992" s="77"/>
      <c r="BG3992" s="77"/>
      <c r="BH3992" s="77"/>
      <c r="BI3992" s="77"/>
    </row>
    <row r="3993" spans="1:61" x14ac:dyDescent="0.25">
      <c r="A3993" s="62" t="s">
        <v>1599</v>
      </c>
      <c r="B3993" s="62" t="s">
        <v>1599</v>
      </c>
      <c r="C3993" s="63"/>
      <c r="D3993" s="64"/>
      <c r="E3993" s="65"/>
      <c r="F3993" s="66"/>
      <c r="G3993" s="63"/>
      <c r="H3993" s="67"/>
      <c r="I3993" s="68"/>
      <c r="J3993" s="68"/>
      <c r="K3993" s="32"/>
      <c r="L3993" s="75">
        <v>3993</v>
      </c>
      <c r="M3993" s="75"/>
      <c r="N3993" s="70"/>
      <c r="O3993" s="77" t="s">
        <v>179</v>
      </c>
      <c r="P3993" s="79">
        <v>45052.001388888886</v>
      </c>
      <c r="Q3993" s="77" t="s">
        <v>5607</v>
      </c>
      <c r="R3993" s="77">
        <v>1</v>
      </c>
      <c r="S3993" s="77">
        <v>2</v>
      </c>
      <c r="T3993" s="77">
        <v>0</v>
      </c>
      <c r="U3993" s="77">
        <v>0</v>
      </c>
      <c r="V3993" s="77">
        <v>103</v>
      </c>
      <c r="W3993" s="80" t="s">
        <v>8404</v>
      </c>
      <c r="X3993" s="77"/>
      <c r="Y3993" s="77"/>
      <c r="Z3993" s="77"/>
      <c r="AA3993" s="77" t="s">
        <v>10375</v>
      </c>
      <c r="AB3993" s="77" t="s">
        <v>10535</v>
      </c>
      <c r="AC3993" s="80" t="s">
        <v>10551</v>
      </c>
      <c r="AD3993" s="77" t="s">
        <v>10620</v>
      </c>
      <c r="AE3993" s="83" t="str">
        <f>HYPERLINK("https://twitter.com/tonidibujante/status/1654637600366563328")</f>
        <v>https://twitter.com/tonidibujante/status/1654637600366563328</v>
      </c>
      <c r="AF3993" s="79">
        <v>45052.001388888886</v>
      </c>
      <c r="AG3993" s="85">
        <v>45052</v>
      </c>
      <c r="AH3993" s="80" t="s">
        <v>14091</v>
      </c>
      <c r="AI3993" s="77" t="b">
        <v>0</v>
      </c>
      <c r="AJ3993" s="77"/>
      <c r="AK3993" s="77"/>
      <c r="AL3993" s="77"/>
      <c r="AM3993" s="77"/>
      <c r="AN3993" s="77"/>
      <c r="AO3993" s="77"/>
      <c r="AP3993" s="77"/>
      <c r="AQ3993" s="77" t="s">
        <v>15854</v>
      </c>
      <c r="AR3993" s="77"/>
      <c r="AS3993" s="77"/>
      <c r="AT3993" s="77"/>
      <c r="AU3993" s="77"/>
      <c r="AV3993" s="83" t="str">
        <f>HYPERLINK("https://pbs.twimg.com/media/FvVdGA8X0AAaTRn.png")</f>
        <v>https://pbs.twimg.com/media/FvVdGA8X0AAaTRn.png</v>
      </c>
      <c r="AW3993" s="80" t="s">
        <v>19670</v>
      </c>
      <c r="AX3993" s="80" t="s">
        <v>19670</v>
      </c>
      <c r="AY3993" s="77"/>
      <c r="AZ3993" s="80" t="s">
        <v>20380</v>
      </c>
      <c r="BA3993" s="80" t="s">
        <v>20380</v>
      </c>
      <c r="BB3993" s="80" t="s">
        <v>20380</v>
      </c>
      <c r="BC3993" s="80" t="s">
        <v>19670</v>
      </c>
      <c r="BD3993" s="77">
        <v>127745862</v>
      </c>
      <c r="BE3993" s="77"/>
      <c r="BF3993" s="77"/>
      <c r="BG3993" s="77"/>
      <c r="BH3993" s="77"/>
      <c r="BI3993" s="77"/>
    </row>
    <row r="3994" spans="1:61" x14ac:dyDescent="0.25">
      <c r="A3994" s="62" t="s">
        <v>1600</v>
      </c>
      <c r="B3994" s="62" t="s">
        <v>2064</v>
      </c>
      <c r="C3994" s="63"/>
      <c r="D3994" s="64"/>
      <c r="E3994" s="65"/>
      <c r="F3994" s="66"/>
      <c r="G3994" s="63"/>
      <c r="H3994" s="67"/>
      <c r="I3994" s="68"/>
      <c r="J3994" s="68"/>
      <c r="K3994" s="32"/>
      <c r="L3994" s="75">
        <v>3994</v>
      </c>
      <c r="M3994" s="75"/>
      <c r="N3994" s="70"/>
      <c r="O3994" s="77" t="s">
        <v>2081</v>
      </c>
      <c r="P3994" s="79">
        <v>45102.673611111109</v>
      </c>
      <c r="Q3994" s="77" t="s">
        <v>5608</v>
      </c>
      <c r="R3994" s="77">
        <v>4</v>
      </c>
      <c r="S3994" s="77">
        <v>7</v>
      </c>
      <c r="T3994" s="77">
        <v>2</v>
      </c>
      <c r="U3994" s="77">
        <v>3</v>
      </c>
      <c r="V3994" s="77">
        <v>3565</v>
      </c>
      <c r="W3994" s="80" t="s">
        <v>8405</v>
      </c>
      <c r="X3994" s="77"/>
      <c r="Y3994" s="77"/>
      <c r="Z3994" s="77" t="s">
        <v>2064</v>
      </c>
      <c r="AA3994" s="77" t="s">
        <v>10376</v>
      </c>
      <c r="AB3994" s="77" t="s">
        <v>10534</v>
      </c>
      <c r="AC3994" s="80" t="s">
        <v>10551</v>
      </c>
      <c r="AD3994" s="77" t="s">
        <v>10620</v>
      </c>
      <c r="AE3994" s="83" t="str">
        <f>HYPERLINK("https://twitter.com/politikcorrecta/status/1673000598881411079")</f>
        <v>https://twitter.com/politikcorrecta/status/1673000598881411079</v>
      </c>
      <c r="AF3994" s="79">
        <v>45102.673611111109</v>
      </c>
      <c r="AG3994" s="85">
        <v>45102</v>
      </c>
      <c r="AH3994" s="80" t="s">
        <v>12863</v>
      </c>
      <c r="AI3994" s="77" t="b">
        <v>0</v>
      </c>
      <c r="AJ3994" s="77"/>
      <c r="AK3994" s="77"/>
      <c r="AL3994" s="77"/>
      <c r="AM3994" s="77"/>
      <c r="AN3994" s="77"/>
      <c r="AO3994" s="77"/>
      <c r="AP3994" s="77"/>
      <c r="AQ3994" s="77" t="s">
        <v>15855</v>
      </c>
      <c r="AR3994" s="77">
        <v>53887</v>
      </c>
      <c r="AS3994" s="77"/>
      <c r="AT3994" s="77"/>
      <c r="AU3994" s="77"/>
      <c r="AV3994" s="83" t="str">
        <f>HYPERLINK("https://pbs.twimg.com/ext_tw_video_thumb/1672663466153263105/pu/img/xOT6aH3fe5PkpfEQ.jpg")</f>
        <v>https://pbs.twimg.com/ext_tw_video_thumb/1672663466153263105/pu/img/xOT6aH3fe5PkpfEQ.jpg</v>
      </c>
      <c r="AW3994" s="80" t="s">
        <v>19671</v>
      </c>
      <c r="AX3994" s="80" t="s">
        <v>19671</v>
      </c>
      <c r="AY3994" s="77"/>
      <c r="AZ3994" s="80" t="s">
        <v>20380</v>
      </c>
      <c r="BA3994" s="80" t="s">
        <v>20380</v>
      </c>
      <c r="BB3994" s="80" t="s">
        <v>20380</v>
      </c>
      <c r="BC3994" s="80" t="s">
        <v>19671</v>
      </c>
      <c r="BD3994" s="80" t="s">
        <v>21161</v>
      </c>
      <c r="BE3994" s="77"/>
      <c r="BF3994" s="77"/>
      <c r="BG3994" s="77"/>
      <c r="BH3994" s="77"/>
      <c r="BI3994" s="77"/>
    </row>
    <row r="3995" spans="1:61" x14ac:dyDescent="0.25">
      <c r="A3995" s="62" t="s">
        <v>1600</v>
      </c>
      <c r="B3995" s="62" t="s">
        <v>1600</v>
      </c>
      <c r="C3995" s="63"/>
      <c r="D3995" s="64"/>
      <c r="E3995" s="65"/>
      <c r="F3995" s="66"/>
      <c r="G3995" s="63"/>
      <c r="H3995" s="67"/>
      <c r="I3995" s="68"/>
      <c r="J3995" s="68"/>
      <c r="K3995" s="32"/>
      <c r="L3995" s="75">
        <v>3995</v>
      </c>
      <c r="M3995" s="75"/>
      <c r="N3995" s="70"/>
      <c r="O3995" s="77" t="s">
        <v>179</v>
      </c>
      <c r="P3995" s="79">
        <v>45102.677777777775</v>
      </c>
      <c r="Q3995" s="77" t="s">
        <v>5609</v>
      </c>
      <c r="R3995" s="77">
        <v>10</v>
      </c>
      <c r="S3995" s="77">
        <v>23</v>
      </c>
      <c r="T3995" s="77">
        <v>1</v>
      </c>
      <c r="U3995" s="77">
        <v>1</v>
      </c>
      <c r="V3995" s="77">
        <v>2788</v>
      </c>
      <c r="W3995" s="80" t="s">
        <v>8406</v>
      </c>
      <c r="X3995" s="77"/>
      <c r="Y3995" s="77"/>
      <c r="Z3995" s="77"/>
      <c r="AA3995" s="77" t="s">
        <v>10377</v>
      </c>
      <c r="AB3995" s="77" t="s">
        <v>10534</v>
      </c>
      <c r="AC3995" s="80" t="s">
        <v>10551</v>
      </c>
      <c r="AD3995" s="77" t="s">
        <v>10620</v>
      </c>
      <c r="AE3995" s="83" t="str">
        <f>HYPERLINK("https://twitter.com/politikcorrecta/status/1673002108642287623")</f>
        <v>https://twitter.com/politikcorrecta/status/1673002108642287623</v>
      </c>
      <c r="AF3995" s="79">
        <v>45102.677777777775</v>
      </c>
      <c r="AG3995" s="85">
        <v>45102</v>
      </c>
      <c r="AH3995" s="80" t="s">
        <v>14092</v>
      </c>
      <c r="AI3995" s="77" t="b">
        <v>0</v>
      </c>
      <c r="AJ3995" s="77"/>
      <c r="AK3995" s="77"/>
      <c r="AL3995" s="77"/>
      <c r="AM3995" s="77"/>
      <c r="AN3995" s="77"/>
      <c r="AO3995" s="77"/>
      <c r="AP3995" s="77"/>
      <c r="AQ3995" s="77" t="s">
        <v>15856</v>
      </c>
      <c r="AR3995" s="77">
        <v>92893</v>
      </c>
      <c r="AS3995" s="77"/>
      <c r="AT3995" s="77"/>
      <c r="AU3995" s="77"/>
      <c r="AV3995" s="83" t="str">
        <f>HYPERLINK("https://pbs.twimg.com/ext_tw_video_thumb/1672663567902932993/pu/img/MFBvtas_k3SUZIy_.jpg")</f>
        <v>https://pbs.twimg.com/ext_tw_video_thumb/1672663567902932993/pu/img/MFBvtas_k3SUZIy_.jpg</v>
      </c>
      <c r="AW3995" s="80" t="s">
        <v>19672</v>
      </c>
      <c r="AX3995" s="80" t="s">
        <v>19672</v>
      </c>
      <c r="AY3995" s="77"/>
      <c r="AZ3995" s="80" t="s">
        <v>20380</v>
      </c>
      <c r="BA3995" s="80" t="s">
        <v>20380</v>
      </c>
      <c r="BB3995" s="80" t="s">
        <v>20380</v>
      </c>
      <c r="BC3995" s="80" t="s">
        <v>19672</v>
      </c>
      <c r="BD3995" s="80" t="s">
        <v>21161</v>
      </c>
      <c r="BE3995" s="77"/>
      <c r="BF3995" s="77"/>
      <c r="BG3995" s="77"/>
      <c r="BH3995" s="77"/>
      <c r="BI3995" s="77"/>
    </row>
    <row r="3996" spans="1:61" x14ac:dyDescent="0.25">
      <c r="A3996" s="62" t="s">
        <v>1601</v>
      </c>
      <c r="B3996" s="62" t="s">
        <v>1601</v>
      </c>
      <c r="C3996" s="63"/>
      <c r="D3996" s="64"/>
      <c r="E3996" s="65"/>
      <c r="F3996" s="66"/>
      <c r="G3996" s="63"/>
      <c r="H3996" s="67"/>
      <c r="I3996" s="68"/>
      <c r="J3996" s="68"/>
      <c r="K3996" s="32"/>
      <c r="L3996" s="75">
        <v>3996</v>
      </c>
      <c r="M3996" s="75"/>
      <c r="N3996" s="70"/>
      <c r="O3996" s="77" t="s">
        <v>179</v>
      </c>
      <c r="P3996" s="79">
        <v>45150.052442129629</v>
      </c>
      <c r="Q3996" s="77" t="s">
        <v>5610</v>
      </c>
      <c r="R3996" s="77">
        <v>1</v>
      </c>
      <c r="S3996" s="77">
        <v>3</v>
      </c>
      <c r="T3996" s="77">
        <v>0</v>
      </c>
      <c r="U3996" s="77">
        <v>0</v>
      </c>
      <c r="V3996" s="77">
        <v>285</v>
      </c>
      <c r="W3996" s="80" t="s">
        <v>8407</v>
      </c>
      <c r="X3996" s="77"/>
      <c r="Y3996" s="77"/>
      <c r="Z3996" s="77"/>
      <c r="AA3996" s="77"/>
      <c r="AB3996" s="77"/>
      <c r="AC3996" s="80" t="s">
        <v>10542</v>
      </c>
      <c r="AD3996" s="77" t="s">
        <v>10617</v>
      </c>
      <c r="AE3996" s="83" t="str">
        <f>HYPERLINK("https://twitter.com/barbiewelling/status/1690170112202981376")</f>
        <v>https://twitter.com/barbiewelling/status/1690170112202981376</v>
      </c>
      <c r="AF3996" s="79">
        <v>45150.052442129629</v>
      </c>
      <c r="AG3996" s="85">
        <v>45150</v>
      </c>
      <c r="AH3996" s="80" t="s">
        <v>14093</v>
      </c>
      <c r="AI3996" s="77"/>
      <c r="AJ3996" s="77"/>
      <c r="AK3996" s="77"/>
      <c r="AL3996" s="77"/>
      <c r="AM3996" s="77"/>
      <c r="AN3996" s="77"/>
      <c r="AO3996" s="77"/>
      <c r="AP3996" s="77"/>
      <c r="AQ3996" s="77"/>
      <c r="AR3996" s="77"/>
      <c r="AS3996" s="77"/>
      <c r="AT3996" s="77"/>
      <c r="AU3996" s="77"/>
      <c r="AV3996" s="83" t="str">
        <f>HYPERLINK("https://pbs.twimg.com/profile_images/1340259441065791488/wMwavqzM_normal.jpg")</f>
        <v>https://pbs.twimg.com/profile_images/1340259441065791488/wMwavqzM_normal.jpg</v>
      </c>
      <c r="AW3996" s="80" t="s">
        <v>19673</v>
      </c>
      <c r="AX3996" s="80" t="s">
        <v>19673</v>
      </c>
      <c r="AY3996" s="77"/>
      <c r="AZ3996" s="80" t="s">
        <v>20380</v>
      </c>
      <c r="BA3996" s="80" t="s">
        <v>20380</v>
      </c>
      <c r="BB3996" s="80" t="s">
        <v>20380</v>
      </c>
      <c r="BC3996" s="80" t="s">
        <v>19673</v>
      </c>
      <c r="BD3996" s="77">
        <v>42620558</v>
      </c>
      <c r="BE3996" s="77"/>
      <c r="BF3996" s="77"/>
      <c r="BG3996" s="77"/>
      <c r="BH3996" s="77"/>
      <c r="BI3996" s="77"/>
    </row>
    <row r="3997" spans="1:61" x14ac:dyDescent="0.25">
      <c r="A3997" s="62" t="s">
        <v>1602</v>
      </c>
      <c r="B3997" s="62" t="s">
        <v>1602</v>
      </c>
      <c r="C3997" s="63"/>
      <c r="D3997" s="64"/>
      <c r="E3997" s="65"/>
      <c r="F3997" s="66"/>
      <c r="G3997" s="63"/>
      <c r="H3997" s="67"/>
      <c r="I3997" s="68"/>
      <c r="J3997" s="68"/>
      <c r="K3997" s="32"/>
      <c r="L3997" s="75">
        <v>3997</v>
      </c>
      <c r="M3997" s="75"/>
      <c r="N3997" s="70"/>
      <c r="O3997" s="77" t="s">
        <v>179</v>
      </c>
      <c r="P3997" s="79">
        <v>45060.937581018516</v>
      </c>
      <c r="Q3997" s="77" t="s">
        <v>5611</v>
      </c>
      <c r="R3997" s="77">
        <v>0</v>
      </c>
      <c r="S3997" s="77">
        <v>0</v>
      </c>
      <c r="T3997" s="77">
        <v>0</v>
      </c>
      <c r="U3997" s="77">
        <v>0</v>
      </c>
      <c r="V3997" s="77">
        <v>34</v>
      </c>
      <c r="W3997" s="80" t="s">
        <v>8408</v>
      </c>
      <c r="X3997" s="83" t="str">
        <f>HYPERLINK("http://www.noticiasmardelplata.com.ar/notanoticias.php?id=12241")</f>
        <v>http://www.noticiasmardelplata.com.ar/notanoticias.php?id=12241</v>
      </c>
      <c r="Y3997" s="77" t="s">
        <v>8624</v>
      </c>
      <c r="Z3997" s="77"/>
      <c r="AA3997" s="77" t="s">
        <v>10378</v>
      </c>
      <c r="AB3997" s="77" t="s">
        <v>10535</v>
      </c>
      <c r="AC3997" s="80" t="s">
        <v>10541</v>
      </c>
      <c r="AD3997" s="77" t="s">
        <v>10620</v>
      </c>
      <c r="AE3997" s="83" t="str">
        <f>HYPERLINK("https://twitter.com/nmdp11/status/1657875968902455298")</f>
        <v>https://twitter.com/nmdp11/status/1657875968902455298</v>
      </c>
      <c r="AF3997" s="79">
        <v>45060.937581018516</v>
      </c>
      <c r="AG3997" s="85">
        <v>45060</v>
      </c>
      <c r="AH3997" s="80" t="s">
        <v>14094</v>
      </c>
      <c r="AI3997" s="77" t="b">
        <v>0</v>
      </c>
      <c r="AJ3997" s="77"/>
      <c r="AK3997" s="77"/>
      <c r="AL3997" s="77"/>
      <c r="AM3997" s="77"/>
      <c r="AN3997" s="77"/>
      <c r="AO3997" s="77"/>
      <c r="AP3997" s="77"/>
      <c r="AQ3997" s="77" t="s">
        <v>15857</v>
      </c>
      <c r="AR3997" s="77"/>
      <c r="AS3997" s="77"/>
      <c r="AT3997" s="77"/>
      <c r="AU3997" s="77"/>
      <c r="AV3997" s="83" t="str">
        <f>HYPERLINK("https://pbs.twimg.com/media/FwH1ZeEX0AA0DJe.jpg")</f>
        <v>https://pbs.twimg.com/media/FwH1ZeEX0AA0DJe.jpg</v>
      </c>
      <c r="AW3997" s="80" t="s">
        <v>19674</v>
      </c>
      <c r="AX3997" s="80" t="s">
        <v>19674</v>
      </c>
      <c r="AY3997" s="77"/>
      <c r="AZ3997" s="80" t="s">
        <v>20380</v>
      </c>
      <c r="BA3997" s="80" t="s">
        <v>20380</v>
      </c>
      <c r="BB3997" s="80" t="s">
        <v>20380</v>
      </c>
      <c r="BC3997" s="80" t="s">
        <v>19674</v>
      </c>
      <c r="BD3997" s="80" t="s">
        <v>21162</v>
      </c>
      <c r="BE3997" s="77"/>
      <c r="BF3997" s="77"/>
      <c r="BG3997" s="77"/>
      <c r="BH3997" s="77"/>
      <c r="BI3997" s="77"/>
    </row>
    <row r="3998" spans="1:61" x14ac:dyDescent="0.25">
      <c r="A3998" s="62" t="s">
        <v>1603</v>
      </c>
      <c r="B3998" s="62" t="s">
        <v>1603</v>
      </c>
      <c r="C3998" s="63"/>
      <c r="D3998" s="64"/>
      <c r="E3998" s="65"/>
      <c r="F3998" s="66"/>
      <c r="G3998" s="63"/>
      <c r="H3998" s="67"/>
      <c r="I3998" s="68"/>
      <c r="J3998" s="68"/>
      <c r="K3998" s="32"/>
      <c r="L3998" s="75">
        <v>3998</v>
      </c>
      <c r="M3998" s="75"/>
      <c r="N3998" s="70"/>
      <c r="O3998" s="77" t="s">
        <v>179</v>
      </c>
      <c r="P3998" s="79">
        <v>45154.939027777778</v>
      </c>
      <c r="Q3998" s="77" t="s">
        <v>5612</v>
      </c>
      <c r="R3998" s="77">
        <v>0</v>
      </c>
      <c r="S3998" s="77">
        <v>0</v>
      </c>
      <c r="T3998" s="77">
        <v>0</v>
      </c>
      <c r="U3998" s="77">
        <v>0</v>
      </c>
      <c r="V3998" s="77">
        <v>112</v>
      </c>
      <c r="W3998" s="80" t="s">
        <v>8409</v>
      </c>
      <c r="X3998" s="83" t="str">
        <f>HYPERLINK("https://politicachubut.com.ar/noticia/72637/dolar_la_cotizacion_libre_subio_50_pesos_y_cerro_a_780_pesos")</f>
        <v>https://politicachubut.com.ar/noticia/72637/dolar_la_cotizacion_libre_subio_50_pesos_y_cerro_a_780_pesos</v>
      </c>
      <c r="Y3998" s="77" t="s">
        <v>8624</v>
      </c>
      <c r="Z3998" s="77"/>
      <c r="AA3998" s="77"/>
      <c r="AB3998" s="77"/>
      <c r="AC3998" s="80" t="s">
        <v>10541</v>
      </c>
      <c r="AD3998" s="77" t="s">
        <v>10620</v>
      </c>
      <c r="AE3998" s="83" t="str">
        <f>HYPERLINK("https://twitter.com/politicachubut/status/1691940950996652090")</f>
        <v>https://twitter.com/politicachubut/status/1691940950996652090</v>
      </c>
      <c r="AF3998" s="79">
        <v>45154.939027777778</v>
      </c>
      <c r="AG3998" s="85">
        <v>45154</v>
      </c>
      <c r="AH3998" s="80" t="s">
        <v>14095</v>
      </c>
      <c r="AI3998" s="77" t="b">
        <v>0</v>
      </c>
      <c r="AJ3998" s="77"/>
      <c r="AK3998" s="77"/>
      <c r="AL3998" s="77"/>
      <c r="AM3998" s="77"/>
      <c r="AN3998" s="77"/>
      <c r="AO3998" s="77"/>
      <c r="AP3998" s="77"/>
      <c r="AQ3998" s="77"/>
      <c r="AR3998" s="77"/>
      <c r="AS3998" s="77"/>
      <c r="AT3998" s="77"/>
      <c r="AU3998" s="77"/>
      <c r="AV3998" s="83" t="str">
        <f>HYPERLINK("https://pbs.twimg.com/profile_images/1367893797636628485/EJO3FxPI_normal.jpg")</f>
        <v>https://pbs.twimg.com/profile_images/1367893797636628485/EJO3FxPI_normal.jpg</v>
      </c>
      <c r="AW3998" s="80" t="s">
        <v>19675</v>
      </c>
      <c r="AX3998" s="80" t="s">
        <v>19675</v>
      </c>
      <c r="AY3998" s="77"/>
      <c r="AZ3998" s="80" t="s">
        <v>20380</v>
      </c>
      <c r="BA3998" s="80" t="s">
        <v>20380</v>
      </c>
      <c r="BB3998" s="80" t="s">
        <v>20380</v>
      </c>
      <c r="BC3998" s="80" t="s">
        <v>19675</v>
      </c>
      <c r="BD3998" s="77">
        <v>2810585652</v>
      </c>
      <c r="BE3998" s="77"/>
      <c r="BF3998" s="77"/>
      <c r="BG3998" s="77"/>
      <c r="BH3998" s="77"/>
      <c r="BI3998" s="77"/>
    </row>
    <row r="3999" spans="1:61" x14ac:dyDescent="0.25">
      <c r="A3999" s="62" t="s">
        <v>1604</v>
      </c>
      <c r="B3999" s="62" t="s">
        <v>1604</v>
      </c>
      <c r="C3999" s="63"/>
      <c r="D3999" s="64"/>
      <c r="E3999" s="65"/>
      <c r="F3999" s="66"/>
      <c r="G3999" s="63"/>
      <c r="H3999" s="67"/>
      <c r="I3999" s="68"/>
      <c r="J3999" s="68"/>
      <c r="K3999" s="32"/>
      <c r="L3999" s="75">
        <v>3999</v>
      </c>
      <c r="M3999" s="75"/>
      <c r="N3999" s="70"/>
      <c r="O3999" s="77" t="s">
        <v>179</v>
      </c>
      <c r="P3999" s="79">
        <v>45086.654490740744</v>
      </c>
      <c r="Q3999" s="77" t="s">
        <v>5613</v>
      </c>
      <c r="R3999" s="77">
        <v>1</v>
      </c>
      <c r="S3999" s="77">
        <v>14</v>
      </c>
      <c r="T3999" s="77">
        <v>2</v>
      </c>
      <c r="U3999" s="77">
        <v>1</v>
      </c>
      <c r="V3999" s="77">
        <v>2100</v>
      </c>
      <c r="W3999" s="80" t="s">
        <v>8410</v>
      </c>
      <c r="X3999" s="83" t="str">
        <f>HYPERLINK("https://www.poder360.com.br/economia/ministro-critica-banco-central-para-divulgar-programa-desenrola/")</f>
        <v>https://www.poder360.com.br/economia/ministro-critica-banco-central-para-divulgar-programa-desenrola/</v>
      </c>
      <c r="Y3999" s="77" t="s">
        <v>8611</v>
      </c>
      <c r="Z3999" s="77"/>
      <c r="AA3999" s="77"/>
      <c r="AB3999" s="77"/>
      <c r="AC3999" s="80" t="s">
        <v>10541</v>
      </c>
      <c r="AD3999" s="77" t="s">
        <v>10617</v>
      </c>
      <c r="AE3999" s="83" t="str">
        <f>HYPERLINK("https://twitter.com/poder360/status/1667195463399776259")</f>
        <v>https://twitter.com/poder360/status/1667195463399776259</v>
      </c>
      <c r="AF3999" s="79">
        <v>45086.654490740744</v>
      </c>
      <c r="AG3999" s="85">
        <v>45086</v>
      </c>
      <c r="AH3999" s="80" t="s">
        <v>14096</v>
      </c>
      <c r="AI3999" s="77" t="b">
        <v>0</v>
      </c>
      <c r="AJ3999" s="77"/>
      <c r="AK3999" s="77"/>
      <c r="AL3999" s="77"/>
      <c r="AM3999" s="77"/>
      <c r="AN3999" s="77"/>
      <c r="AO3999" s="77"/>
      <c r="AP3999" s="77"/>
      <c r="AQ3999" s="77"/>
      <c r="AR3999" s="77"/>
      <c r="AS3999" s="77"/>
      <c r="AT3999" s="77"/>
      <c r="AU3999" s="77"/>
      <c r="AV3999" s="83" t="str">
        <f>HYPERLINK("https://pbs.twimg.com/profile_images/1292513675560067073/u4-PfHrR_normal.jpg")</f>
        <v>https://pbs.twimg.com/profile_images/1292513675560067073/u4-PfHrR_normal.jpg</v>
      </c>
      <c r="AW3999" s="80" t="s">
        <v>19676</v>
      </c>
      <c r="AX3999" s="80" t="s">
        <v>19676</v>
      </c>
      <c r="AY3999" s="77"/>
      <c r="AZ3999" s="80" t="s">
        <v>20380</v>
      </c>
      <c r="BA3999" s="80" t="s">
        <v>20380</v>
      </c>
      <c r="BB3999" s="80" t="s">
        <v>20380</v>
      </c>
      <c r="BC3999" s="80" t="s">
        <v>19676</v>
      </c>
      <c r="BD3999" s="77">
        <v>4896510833</v>
      </c>
      <c r="BE3999" s="77"/>
      <c r="BF3999" s="77"/>
      <c r="BG3999" s="77"/>
      <c r="BH3999" s="77"/>
      <c r="BI3999" s="77"/>
    </row>
    <row r="4000" spans="1:61" x14ac:dyDescent="0.25">
      <c r="A4000" s="62" t="s">
        <v>1604</v>
      </c>
      <c r="B4000" s="62" t="s">
        <v>1604</v>
      </c>
      <c r="C4000" s="63"/>
      <c r="D4000" s="64"/>
      <c r="E4000" s="65"/>
      <c r="F4000" s="66"/>
      <c r="G4000" s="63"/>
      <c r="H4000" s="67"/>
      <c r="I4000" s="68"/>
      <c r="J4000" s="68"/>
      <c r="K4000" s="32"/>
      <c r="L4000" s="75">
        <v>4000</v>
      </c>
      <c r="M4000" s="75"/>
      <c r="N4000" s="70"/>
      <c r="O4000" s="77" t="s">
        <v>179</v>
      </c>
      <c r="P4000" s="79">
        <v>45136.58556712963</v>
      </c>
      <c r="Q4000" s="77" t="s">
        <v>5614</v>
      </c>
      <c r="R4000" s="77">
        <v>0</v>
      </c>
      <c r="S4000" s="77">
        <v>4</v>
      </c>
      <c r="T4000" s="77">
        <v>1</v>
      </c>
      <c r="U4000" s="77">
        <v>1</v>
      </c>
      <c r="V4000" s="77">
        <v>1487</v>
      </c>
      <c r="W4000" s="80" t="s">
        <v>5884</v>
      </c>
      <c r="X4000" s="83" t="str">
        <f>HYPERLINK("https://www.poder360.com.br/economia/reservas-internacionais-do-bc-nao-sao-terceirizadas-desde-2017/")</f>
        <v>https://www.poder360.com.br/economia/reservas-internacionais-do-bc-nao-sao-terceirizadas-desde-2017/</v>
      </c>
      <c r="Y4000" s="77" t="s">
        <v>8611</v>
      </c>
      <c r="Z4000" s="77"/>
      <c r="AA4000" s="77"/>
      <c r="AB4000" s="77"/>
      <c r="AC4000" s="80" t="s">
        <v>10555</v>
      </c>
      <c r="AD4000" s="77" t="s">
        <v>10617</v>
      </c>
      <c r="AE4000" s="83" t="str">
        <f>HYPERLINK("https://twitter.com/poder360/status/1685289880409034754")</f>
        <v>https://twitter.com/poder360/status/1685289880409034754</v>
      </c>
      <c r="AF4000" s="79">
        <v>45136.58556712963</v>
      </c>
      <c r="AG4000" s="85">
        <v>45136</v>
      </c>
      <c r="AH4000" s="80" t="s">
        <v>14097</v>
      </c>
      <c r="AI4000" s="77" t="b">
        <v>0</v>
      </c>
      <c r="AJ4000" s="77"/>
      <c r="AK4000" s="77"/>
      <c r="AL4000" s="77"/>
      <c r="AM4000" s="77"/>
      <c r="AN4000" s="77"/>
      <c r="AO4000" s="77"/>
      <c r="AP4000" s="77"/>
      <c r="AQ4000" s="77"/>
      <c r="AR4000" s="77"/>
      <c r="AS4000" s="77"/>
      <c r="AT4000" s="77"/>
      <c r="AU4000" s="77"/>
      <c r="AV4000" s="83" t="str">
        <f>HYPERLINK("https://pbs.twimg.com/profile_images/1292513675560067073/u4-PfHrR_normal.jpg")</f>
        <v>https://pbs.twimg.com/profile_images/1292513675560067073/u4-PfHrR_normal.jpg</v>
      </c>
      <c r="AW4000" s="80" t="s">
        <v>19677</v>
      </c>
      <c r="AX4000" s="80" t="s">
        <v>19677</v>
      </c>
      <c r="AY4000" s="77"/>
      <c r="AZ4000" s="80" t="s">
        <v>20380</v>
      </c>
      <c r="BA4000" s="80" t="s">
        <v>20380</v>
      </c>
      <c r="BB4000" s="80" t="s">
        <v>20380</v>
      </c>
      <c r="BC4000" s="80" t="s">
        <v>19677</v>
      </c>
      <c r="BD4000" s="77">
        <v>4896510833</v>
      </c>
      <c r="BE4000" s="77"/>
      <c r="BF4000" s="77"/>
      <c r="BG4000" s="77"/>
      <c r="BH4000" s="77"/>
      <c r="BI4000" s="77"/>
    </row>
    <row r="4001" spans="1:61" x14ac:dyDescent="0.25">
      <c r="A4001" s="62" t="s">
        <v>1605</v>
      </c>
      <c r="B4001" s="62" t="s">
        <v>1605</v>
      </c>
      <c r="C4001" s="63"/>
      <c r="D4001" s="64"/>
      <c r="E4001" s="65"/>
      <c r="F4001" s="66"/>
      <c r="G4001" s="63"/>
      <c r="H4001" s="67"/>
      <c r="I4001" s="68"/>
      <c r="J4001" s="68"/>
      <c r="K4001" s="32"/>
      <c r="L4001" s="75">
        <v>4001</v>
      </c>
      <c r="M4001" s="75"/>
      <c r="N4001" s="70"/>
      <c r="O4001" s="77" t="s">
        <v>179</v>
      </c>
      <c r="P4001" s="79">
        <v>45186.549826388888</v>
      </c>
      <c r="Q4001" s="77" t="s">
        <v>5615</v>
      </c>
      <c r="R4001" s="77">
        <v>0</v>
      </c>
      <c r="S4001" s="77">
        <v>2</v>
      </c>
      <c r="T4001" s="77">
        <v>0</v>
      </c>
      <c r="U4001" s="77">
        <v>0</v>
      </c>
      <c r="V4001" s="77">
        <v>477</v>
      </c>
      <c r="W4001" s="80" t="s">
        <v>8411</v>
      </c>
      <c r="X4001" s="83" t="str">
        <f>HYPERLINK("https://tuit.es/3p3gp")</f>
        <v>https://tuit.es/3p3gp</v>
      </c>
      <c r="Y4001" s="77" t="s">
        <v>8880</v>
      </c>
      <c r="Z4001" s="77"/>
      <c r="AA4001" s="77"/>
      <c r="AB4001" s="77"/>
      <c r="AC4001" s="80" t="s">
        <v>10541</v>
      </c>
      <c r="AD4001" s="77" t="s">
        <v>10620</v>
      </c>
      <c r="AE4001" s="83" t="str">
        <f>HYPERLINK("https://twitter.com/ultimominutotw/status/1703396323687321640")</f>
        <v>https://twitter.com/ultimominutotw/status/1703396323687321640</v>
      </c>
      <c r="AF4001" s="79">
        <v>45186.549826388888</v>
      </c>
      <c r="AG4001" s="85">
        <v>45186</v>
      </c>
      <c r="AH4001" s="80" t="s">
        <v>14098</v>
      </c>
      <c r="AI4001" s="77" t="b">
        <v>0</v>
      </c>
      <c r="AJ4001" s="77"/>
      <c r="AK4001" s="77"/>
      <c r="AL4001" s="77"/>
      <c r="AM4001" s="77"/>
      <c r="AN4001" s="77"/>
      <c r="AO4001" s="77"/>
      <c r="AP4001" s="77"/>
      <c r="AQ4001" s="77"/>
      <c r="AR4001" s="77"/>
      <c r="AS4001" s="77"/>
      <c r="AT4001" s="77"/>
      <c r="AU4001" s="77"/>
      <c r="AV4001" s="83" t="str">
        <f>HYPERLINK("https://pbs.twimg.com/profile_images/1609955739648286723/Npau_jKG_normal.jpg")</f>
        <v>https://pbs.twimg.com/profile_images/1609955739648286723/Npau_jKG_normal.jpg</v>
      </c>
      <c r="AW4001" s="80" t="s">
        <v>19678</v>
      </c>
      <c r="AX4001" s="80" t="s">
        <v>19678</v>
      </c>
      <c r="AY4001" s="77"/>
      <c r="AZ4001" s="80" t="s">
        <v>20380</v>
      </c>
      <c r="BA4001" s="80" t="s">
        <v>20380</v>
      </c>
      <c r="BB4001" s="80" t="s">
        <v>20380</v>
      </c>
      <c r="BC4001" s="80" t="s">
        <v>19678</v>
      </c>
      <c r="BD4001" s="80" t="s">
        <v>21163</v>
      </c>
      <c r="BE4001" s="77"/>
      <c r="BF4001" s="77"/>
      <c r="BG4001" s="77"/>
      <c r="BH4001" s="77"/>
      <c r="BI4001" s="77"/>
    </row>
    <row r="4002" spans="1:61" x14ac:dyDescent="0.25">
      <c r="A4002" s="62" t="s">
        <v>1606</v>
      </c>
      <c r="B4002" s="62" t="s">
        <v>1606</v>
      </c>
      <c r="C4002" s="63"/>
      <c r="D4002" s="64"/>
      <c r="E4002" s="65"/>
      <c r="F4002" s="66"/>
      <c r="G4002" s="63"/>
      <c r="H4002" s="67"/>
      <c r="I4002" s="68"/>
      <c r="J4002" s="68"/>
      <c r="K4002" s="32"/>
      <c r="L4002" s="75">
        <v>4002</v>
      </c>
      <c r="M4002" s="75"/>
      <c r="N4002" s="70"/>
      <c r="O4002" s="77" t="s">
        <v>179</v>
      </c>
      <c r="P4002" s="79">
        <v>45090.478807870371</v>
      </c>
      <c r="Q4002" s="77" t="s">
        <v>5616</v>
      </c>
      <c r="R4002" s="77">
        <v>0</v>
      </c>
      <c r="S4002" s="77">
        <v>0</v>
      </c>
      <c r="T4002" s="77">
        <v>0</v>
      </c>
      <c r="U4002" s="77">
        <v>0</v>
      </c>
      <c r="V4002" s="77">
        <v>57</v>
      </c>
      <c r="W4002" s="80" t="s">
        <v>8412</v>
      </c>
      <c r="X4002" s="77"/>
      <c r="Y4002" s="77"/>
      <c r="Z4002" s="77"/>
      <c r="AA4002" s="77" t="s">
        <v>10379</v>
      </c>
      <c r="AB4002" s="77" t="s">
        <v>10535</v>
      </c>
      <c r="AC4002" s="80" t="s">
        <v>10540</v>
      </c>
      <c r="AD4002" s="77" t="s">
        <v>10617</v>
      </c>
      <c r="AE4002" s="83" t="str">
        <f>HYPERLINK("https://twitter.com/anithxaa/status/1668581349752537090")</f>
        <v>https://twitter.com/anithxaa/status/1668581349752537090</v>
      </c>
      <c r="AF4002" s="79">
        <v>45090.478807870371</v>
      </c>
      <c r="AG4002" s="85">
        <v>45090</v>
      </c>
      <c r="AH4002" s="80" t="s">
        <v>14099</v>
      </c>
      <c r="AI4002" s="77" t="b">
        <v>0</v>
      </c>
      <c r="AJ4002" s="77" t="s">
        <v>14377</v>
      </c>
      <c r="AK4002" s="77" t="s">
        <v>14382</v>
      </c>
      <c r="AL4002" s="77" t="s">
        <v>14391</v>
      </c>
      <c r="AM4002" s="77" t="s">
        <v>14433</v>
      </c>
      <c r="AN4002" s="77" t="s">
        <v>14474</v>
      </c>
      <c r="AO4002" s="77" t="s">
        <v>14512</v>
      </c>
      <c r="AP4002" s="77" t="s">
        <v>14516</v>
      </c>
      <c r="AQ4002" s="77" t="s">
        <v>15858</v>
      </c>
      <c r="AR4002" s="77"/>
      <c r="AS4002" s="77"/>
      <c r="AT4002" s="77"/>
      <c r="AU4002" s="77"/>
      <c r="AV4002" s="83" t="str">
        <f>HYPERLINK("https://pbs.twimg.com/media/Fyf95NhWAAE8gHz.jpg")</f>
        <v>https://pbs.twimg.com/media/Fyf95NhWAAE8gHz.jpg</v>
      </c>
      <c r="AW4002" s="80" t="s">
        <v>19679</v>
      </c>
      <c r="AX4002" s="80" t="s">
        <v>19679</v>
      </c>
      <c r="AY4002" s="77"/>
      <c r="AZ4002" s="80" t="s">
        <v>20380</v>
      </c>
      <c r="BA4002" s="80" t="s">
        <v>20380</v>
      </c>
      <c r="BB4002" s="80" t="s">
        <v>20380</v>
      </c>
      <c r="BC4002" s="80" t="s">
        <v>19679</v>
      </c>
      <c r="BD4002" s="80" t="s">
        <v>21164</v>
      </c>
      <c r="BE4002" s="77"/>
      <c r="BF4002" s="77"/>
      <c r="BG4002" s="77"/>
      <c r="BH4002" s="77"/>
      <c r="BI4002" s="77"/>
    </row>
    <row r="4003" spans="1:61" x14ac:dyDescent="0.25">
      <c r="A4003" s="62" t="s">
        <v>1607</v>
      </c>
      <c r="B4003" s="62" t="s">
        <v>1607</v>
      </c>
      <c r="C4003" s="63"/>
      <c r="D4003" s="64"/>
      <c r="E4003" s="65"/>
      <c r="F4003" s="66"/>
      <c r="G4003" s="63"/>
      <c r="H4003" s="67"/>
      <c r="I4003" s="68"/>
      <c r="J4003" s="68"/>
      <c r="K4003" s="32"/>
      <c r="L4003" s="75">
        <v>4003</v>
      </c>
      <c r="M4003" s="75"/>
      <c r="N4003" s="70"/>
      <c r="O4003" s="77" t="s">
        <v>179</v>
      </c>
      <c r="P4003" s="79">
        <v>45068.811550925922</v>
      </c>
      <c r="Q4003" s="77" t="s">
        <v>5617</v>
      </c>
      <c r="R4003" s="77">
        <v>0</v>
      </c>
      <c r="S4003" s="77">
        <v>1</v>
      </c>
      <c r="T4003" s="77">
        <v>0</v>
      </c>
      <c r="U4003" s="77">
        <v>0</v>
      </c>
      <c r="V4003" s="77">
        <v>45</v>
      </c>
      <c r="W4003" s="80" t="s">
        <v>8413</v>
      </c>
      <c r="X4003" s="77"/>
      <c r="Y4003" s="77"/>
      <c r="Z4003" s="77"/>
      <c r="AA4003" s="77" t="s">
        <v>10380</v>
      </c>
      <c r="AB4003" s="77" t="s">
        <v>10535</v>
      </c>
      <c r="AC4003" s="80" t="s">
        <v>10540</v>
      </c>
      <c r="AD4003" s="77" t="s">
        <v>10620</v>
      </c>
      <c r="AE4003" s="83" t="str">
        <f>HYPERLINK("https://twitter.com/radiocanalfsa/status/1660729400114008080")</f>
        <v>https://twitter.com/radiocanalfsa/status/1660729400114008080</v>
      </c>
      <c r="AF4003" s="79">
        <v>45068.811550925922</v>
      </c>
      <c r="AG4003" s="85">
        <v>45068</v>
      </c>
      <c r="AH4003" s="80" t="s">
        <v>12521</v>
      </c>
      <c r="AI4003" s="77" t="b">
        <v>0</v>
      </c>
      <c r="AJ4003" s="77"/>
      <c r="AK4003" s="77"/>
      <c r="AL4003" s="77"/>
      <c r="AM4003" s="77"/>
      <c r="AN4003" s="77"/>
      <c r="AO4003" s="77"/>
      <c r="AP4003" s="77"/>
      <c r="AQ4003" s="77" t="s">
        <v>15859</v>
      </c>
      <c r="AR4003" s="77"/>
      <c r="AS4003" s="77"/>
      <c r="AT4003" s="77"/>
      <c r="AU4003" s="77"/>
      <c r="AV4003" s="83" t="str">
        <f>HYPERLINK("https://pbs.twimg.com/media/FwwYlozX0Agaaqk.jpg")</f>
        <v>https://pbs.twimg.com/media/FwwYlozX0Agaaqk.jpg</v>
      </c>
      <c r="AW4003" s="80" t="s">
        <v>19680</v>
      </c>
      <c r="AX4003" s="80" t="s">
        <v>19680</v>
      </c>
      <c r="AY4003" s="77"/>
      <c r="AZ4003" s="80" t="s">
        <v>20380</v>
      </c>
      <c r="BA4003" s="80" t="s">
        <v>20380</v>
      </c>
      <c r="BB4003" s="80" t="s">
        <v>20380</v>
      </c>
      <c r="BC4003" s="80" t="s">
        <v>19680</v>
      </c>
      <c r="BD4003" s="80" t="s">
        <v>21165</v>
      </c>
      <c r="BE4003" s="77"/>
      <c r="BF4003" s="77"/>
      <c r="BG4003" s="77"/>
      <c r="BH4003" s="77"/>
      <c r="BI4003" s="77"/>
    </row>
    <row r="4004" spans="1:61" x14ac:dyDescent="0.25">
      <c r="A4004" s="62" t="s">
        <v>1607</v>
      </c>
      <c r="B4004" s="62" t="s">
        <v>1607</v>
      </c>
      <c r="C4004" s="63"/>
      <c r="D4004" s="64"/>
      <c r="E4004" s="65"/>
      <c r="F4004" s="66"/>
      <c r="G4004" s="63"/>
      <c r="H4004" s="67"/>
      <c r="I4004" s="68"/>
      <c r="J4004" s="68"/>
      <c r="K4004" s="32"/>
      <c r="L4004" s="75">
        <v>4004</v>
      </c>
      <c r="M4004" s="75"/>
      <c r="N4004" s="70"/>
      <c r="O4004" s="77" t="s">
        <v>179</v>
      </c>
      <c r="P4004" s="79">
        <v>45087.040092592593</v>
      </c>
      <c r="Q4004" s="77" t="s">
        <v>5618</v>
      </c>
      <c r="R4004" s="77">
        <v>0</v>
      </c>
      <c r="S4004" s="77">
        <v>1</v>
      </c>
      <c r="T4004" s="77">
        <v>0</v>
      </c>
      <c r="U4004" s="77">
        <v>0</v>
      </c>
      <c r="V4004" s="77">
        <v>29</v>
      </c>
      <c r="W4004" s="80" t="s">
        <v>8414</v>
      </c>
      <c r="X4004" s="77"/>
      <c r="Y4004" s="77"/>
      <c r="Z4004" s="77"/>
      <c r="AA4004" s="77" t="s">
        <v>10381</v>
      </c>
      <c r="AB4004" s="77" t="s">
        <v>10535</v>
      </c>
      <c r="AC4004" s="80" t="s">
        <v>10540</v>
      </c>
      <c r="AD4004" s="77" t="s">
        <v>10620</v>
      </c>
      <c r="AE4004" s="83" t="str">
        <f>HYPERLINK("https://twitter.com/radiocanalfsa/status/1667335203239362561")</f>
        <v>https://twitter.com/radiocanalfsa/status/1667335203239362561</v>
      </c>
      <c r="AF4004" s="79">
        <v>45087.040092592593</v>
      </c>
      <c r="AG4004" s="85">
        <v>45087</v>
      </c>
      <c r="AH4004" s="80" t="s">
        <v>14100</v>
      </c>
      <c r="AI4004" s="77" t="b">
        <v>0</v>
      </c>
      <c r="AJ4004" s="77"/>
      <c r="AK4004" s="77"/>
      <c r="AL4004" s="77"/>
      <c r="AM4004" s="77"/>
      <c r="AN4004" s="77"/>
      <c r="AO4004" s="77"/>
      <c r="AP4004" s="77"/>
      <c r="AQ4004" s="77" t="s">
        <v>15860</v>
      </c>
      <c r="AR4004" s="77"/>
      <c r="AS4004" s="77"/>
      <c r="AT4004" s="77"/>
      <c r="AU4004" s="77"/>
      <c r="AV4004" s="83" t="str">
        <f>HYPERLINK("https://pbs.twimg.com/media/FyOQh_HWwAAlyDa.jpg")</f>
        <v>https://pbs.twimg.com/media/FyOQh_HWwAAlyDa.jpg</v>
      </c>
      <c r="AW4004" s="80" t="s">
        <v>19681</v>
      </c>
      <c r="AX4004" s="80" t="s">
        <v>19681</v>
      </c>
      <c r="AY4004" s="77"/>
      <c r="AZ4004" s="80" t="s">
        <v>20380</v>
      </c>
      <c r="BA4004" s="80" t="s">
        <v>20380</v>
      </c>
      <c r="BB4004" s="80" t="s">
        <v>20380</v>
      </c>
      <c r="BC4004" s="80" t="s">
        <v>19681</v>
      </c>
      <c r="BD4004" s="80" t="s">
        <v>21165</v>
      </c>
      <c r="BE4004" s="77"/>
      <c r="BF4004" s="77"/>
      <c r="BG4004" s="77"/>
      <c r="BH4004" s="77"/>
      <c r="BI4004" s="77"/>
    </row>
    <row r="4005" spans="1:61" x14ac:dyDescent="0.25">
      <c r="A4005" s="62" t="s">
        <v>1607</v>
      </c>
      <c r="B4005" s="62" t="s">
        <v>1607</v>
      </c>
      <c r="C4005" s="63"/>
      <c r="D4005" s="64"/>
      <c r="E4005" s="65"/>
      <c r="F4005" s="66"/>
      <c r="G4005" s="63"/>
      <c r="H4005" s="67"/>
      <c r="I4005" s="68"/>
      <c r="J4005" s="68"/>
      <c r="K4005" s="32"/>
      <c r="L4005" s="75">
        <v>4005</v>
      </c>
      <c r="M4005" s="75"/>
      <c r="N4005" s="70"/>
      <c r="O4005" s="77" t="s">
        <v>179</v>
      </c>
      <c r="P4005" s="79">
        <v>45196.06758101852</v>
      </c>
      <c r="Q4005" s="77" t="s">
        <v>5619</v>
      </c>
      <c r="R4005" s="77">
        <v>0</v>
      </c>
      <c r="S4005" s="77">
        <v>0</v>
      </c>
      <c r="T4005" s="77">
        <v>0</v>
      </c>
      <c r="U4005" s="77">
        <v>0</v>
      </c>
      <c r="V4005" s="77">
        <v>31</v>
      </c>
      <c r="W4005" s="80" t="s">
        <v>8415</v>
      </c>
      <c r="X4005" s="77"/>
      <c r="Y4005" s="77"/>
      <c r="Z4005" s="77"/>
      <c r="AA4005" s="77" t="s">
        <v>10382</v>
      </c>
      <c r="AB4005" s="77" t="s">
        <v>10535</v>
      </c>
      <c r="AC4005" s="80" t="s">
        <v>10540</v>
      </c>
      <c r="AD4005" s="77" t="s">
        <v>10620</v>
      </c>
      <c r="AE4005" s="83" t="str">
        <f>HYPERLINK("https://twitter.com/radiocanalfsa/status/1706845443131335152")</f>
        <v>https://twitter.com/radiocanalfsa/status/1706845443131335152</v>
      </c>
      <c r="AF4005" s="79">
        <v>45196.06758101852</v>
      </c>
      <c r="AG4005" s="85">
        <v>45196</v>
      </c>
      <c r="AH4005" s="80" t="s">
        <v>14101</v>
      </c>
      <c r="AI4005" s="77" t="b">
        <v>0</v>
      </c>
      <c r="AJ4005" s="77"/>
      <c r="AK4005" s="77"/>
      <c r="AL4005" s="77"/>
      <c r="AM4005" s="77"/>
      <c r="AN4005" s="77"/>
      <c r="AO4005" s="77"/>
      <c r="AP4005" s="77"/>
      <c r="AQ4005" s="77" t="s">
        <v>15861</v>
      </c>
      <c r="AR4005" s="77"/>
      <c r="AS4005" s="77"/>
      <c r="AT4005" s="77"/>
      <c r="AU4005" s="77"/>
      <c r="AV4005" s="83" t="str">
        <f>HYPERLINK("https://pbs.twimg.com/media/F6_u4o-XYAAGIwm.jpg")</f>
        <v>https://pbs.twimg.com/media/F6_u4o-XYAAGIwm.jpg</v>
      </c>
      <c r="AW4005" s="80" t="s">
        <v>19682</v>
      </c>
      <c r="AX4005" s="80" t="s">
        <v>19682</v>
      </c>
      <c r="AY4005" s="77"/>
      <c r="AZ4005" s="80" t="s">
        <v>20380</v>
      </c>
      <c r="BA4005" s="80" t="s">
        <v>20380</v>
      </c>
      <c r="BB4005" s="80" t="s">
        <v>20380</v>
      </c>
      <c r="BC4005" s="80" t="s">
        <v>19682</v>
      </c>
      <c r="BD4005" s="80" t="s">
        <v>21165</v>
      </c>
      <c r="BE4005" s="77"/>
      <c r="BF4005" s="77"/>
      <c r="BG4005" s="77"/>
      <c r="BH4005" s="77"/>
      <c r="BI4005" s="77"/>
    </row>
    <row r="4006" spans="1:61" x14ac:dyDescent="0.25">
      <c r="A4006" s="62" t="s">
        <v>1607</v>
      </c>
      <c r="B4006" s="62" t="s">
        <v>1607</v>
      </c>
      <c r="C4006" s="63"/>
      <c r="D4006" s="64"/>
      <c r="E4006" s="65"/>
      <c r="F4006" s="66"/>
      <c r="G4006" s="63"/>
      <c r="H4006" s="67"/>
      <c r="I4006" s="68"/>
      <c r="J4006" s="68"/>
      <c r="K4006" s="32"/>
      <c r="L4006" s="75">
        <v>4006</v>
      </c>
      <c r="M4006" s="75"/>
      <c r="N4006" s="70"/>
      <c r="O4006" s="77" t="s">
        <v>179</v>
      </c>
      <c r="P4006" s="79">
        <v>45049.540312500001</v>
      </c>
      <c r="Q4006" s="77" t="s">
        <v>5620</v>
      </c>
      <c r="R4006" s="77">
        <v>0</v>
      </c>
      <c r="S4006" s="77">
        <v>3</v>
      </c>
      <c r="T4006" s="77">
        <v>0</v>
      </c>
      <c r="U4006" s="77">
        <v>0</v>
      </c>
      <c r="V4006" s="77">
        <v>38</v>
      </c>
      <c r="W4006" s="80" t="s">
        <v>8416</v>
      </c>
      <c r="X4006" s="77"/>
      <c r="Y4006" s="77"/>
      <c r="Z4006" s="77"/>
      <c r="AA4006" s="77" t="s">
        <v>10383</v>
      </c>
      <c r="AB4006" s="77" t="s">
        <v>10535</v>
      </c>
      <c r="AC4006" s="80" t="s">
        <v>10540</v>
      </c>
      <c r="AD4006" s="77" t="s">
        <v>10620</v>
      </c>
      <c r="AE4006" s="83" t="str">
        <f>HYPERLINK("https://twitter.com/radiocanalfsa/status/1653745737425928197")</f>
        <v>https://twitter.com/radiocanalfsa/status/1653745737425928197</v>
      </c>
      <c r="AF4006" s="79">
        <v>45049.540312500001</v>
      </c>
      <c r="AG4006" s="85">
        <v>45049</v>
      </c>
      <c r="AH4006" s="80" t="s">
        <v>14102</v>
      </c>
      <c r="AI4006" s="77" t="b">
        <v>0</v>
      </c>
      <c r="AJ4006" s="77"/>
      <c r="AK4006" s="77"/>
      <c r="AL4006" s="77"/>
      <c r="AM4006" s="77"/>
      <c r="AN4006" s="77"/>
      <c r="AO4006" s="77"/>
      <c r="AP4006" s="77"/>
      <c r="AQ4006" s="77" t="s">
        <v>15862</v>
      </c>
      <c r="AR4006" s="77"/>
      <c r="AS4006" s="77"/>
      <c r="AT4006" s="77"/>
      <c r="AU4006" s="77"/>
      <c r="AV4006" s="83" t="str">
        <f>HYPERLINK("https://pbs.twimg.com/media/FvNI--QXwAMqz6N.jpg")</f>
        <v>https://pbs.twimg.com/media/FvNI--QXwAMqz6N.jpg</v>
      </c>
      <c r="AW4006" s="80" t="s">
        <v>19683</v>
      </c>
      <c r="AX4006" s="80" t="s">
        <v>19683</v>
      </c>
      <c r="AY4006" s="77"/>
      <c r="AZ4006" s="80" t="s">
        <v>20380</v>
      </c>
      <c r="BA4006" s="80" t="s">
        <v>20380</v>
      </c>
      <c r="BB4006" s="80" t="s">
        <v>20380</v>
      </c>
      <c r="BC4006" s="80" t="s">
        <v>19683</v>
      </c>
      <c r="BD4006" s="80" t="s">
        <v>21165</v>
      </c>
      <c r="BE4006" s="77"/>
      <c r="BF4006" s="77"/>
      <c r="BG4006" s="77"/>
      <c r="BH4006" s="77"/>
      <c r="BI4006" s="77"/>
    </row>
    <row r="4007" spans="1:61" x14ac:dyDescent="0.25">
      <c r="A4007" s="62" t="s">
        <v>1608</v>
      </c>
      <c r="B4007" s="62" t="s">
        <v>1608</v>
      </c>
      <c r="C4007" s="63"/>
      <c r="D4007" s="64"/>
      <c r="E4007" s="65"/>
      <c r="F4007" s="66"/>
      <c r="G4007" s="63"/>
      <c r="H4007" s="67"/>
      <c r="I4007" s="68"/>
      <c r="J4007" s="68"/>
      <c r="K4007" s="32"/>
      <c r="L4007" s="75">
        <v>4007</v>
      </c>
      <c r="M4007" s="75"/>
      <c r="N4007" s="70"/>
      <c r="O4007" s="77" t="s">
        <v>179</v>
      </c>
      <c r="P4007" s="79">
        <v>45146.56181712963</v>
      </c>
      <c r="Q4007" s="77" t="s">
        <v>5621</v>
      </c>
      <c r="R4007" s="77">
        <v>2</v>
      </c>
      <c r="S4007" s="77">
        <v>7</v>
      </c>
      <c r="T4007" s="77">
        <v>5</v>
      </c>
      <c r="U4007" s="77">
        <v>0</v>
      </c>
      <c r="V4007" s="77">
        <v>421</v>
      </c>
      <c r="W4007" s="80" t="s">
        <v>8417</v>
      </c>
      <c r="X4007" s="77"/>
      <c r="Y4007" s="77"/>
      <c r="Z4007" s="77"/>
      <c r="AA4007" s="77" t="s">
        <v>10384</v>
      </c>
      <c r="AB4007" s="77" t="s">
        <v>10535</v>
      </c>
      <c r="AC4007" s="80" t="s">
        <v>10541</v>
      </c>
      <c r="AD4007" s="77" t="s">
        <v>10617</v>
      </c>
      <c r="AE4007" s="83" t="str">
        <f>HYPERLINK("https://twitter.com/miikaellc/status/1688905152785440768")</f>
        <v>https://twitter.com/miikaellc/status/1688905152785440768</v>
      </c>
      <c r="AF4007" s="79">
        <v>45146.56181712963</v>
      </c>
      <c r="AG4007" s="85">
        <v>45146</v>
      </c>
      <c r="AH4007" s="80" t="s">
        <v>14103</v>
      </c>
      <c r="AI4007" s="77" t="b">
        <v>0</v>
      </c>
      <c r="AJ4007" s="77"/>
      <c r="AK4007" s="77"/>
      <c r="AL4007" s="77"/>
      <c r="AM4007" s="77"/>
      <c r="AN4007" s="77"/>
      <c r="AO4007" s="77"/>
      <c r="AP4007" s="77"/>
      <c r="AQ4007" s="77" t="s">
        <v>15863</v>
      </c>
      <c r="AR4007" s="77"/>
      <c r="AS4007" s="77"/>
      <c r="AT4007" s="77"/>
      <c r="AU4007" s="77"/>
      <c r="AV4007" s="83" t="str">
        <f>HYPERLINK("https://pbs.twimg.com/media/F3AxjO_XoAA53__.png")</f>
        <v>https://pbs.twimg.com/media/F3AxjO_XoAA53__.png</v>
      </c>
      <c r="AW4007" s="80" t="s">
        <v>19684</v>
      </c>
      <c r="AX4007" s="80" t="s">
        <v>19684</v>
      </c>
      <c r="AY4007" s="77"/>
      <c r="AZ4007" s="80" t="s">
        <v>20380</v>
      </c>
      <c r="BA4007" s="80" t="s">
        <v>20380</v>
      </c>
      <c r="BB4007" s="80" t="s">
        <v>20380</v>
      </c>
      <c r="BC4007" s="80" t="s">
        <v>19684</v>
      </c>
      <c r="BD4007" s="80" t="s">
        <v>21166</v>
      </c>
      <c r="BE4007" s="77"/>
      <c r="BF4007" s="77"/>
      <c r="BG4007" s="77"/>
      <c r="BH4007" s="77"/>
      <c r="BI4007" s="77"/>
    </row>
    <row r="4008" spans="1:61" x14ac:dyDescent="0.25">
      <c r="A4008" s="62" t="s">
        <v>1609</v>
      </c>
      <c r="B4008" s="62" t="s">
        <v>1609</v>
      </c>
      <c r="C4008" s="63"/>
      <c r="D4008" s="64"/>
      <c r="E4008" s="65"/>
      <c r="F4008" s="66"/>
      <c r="G4008" s="63"/>
      <c r="H4008" s="67"/>
      <c r="I4008" s="68"/>
      <c r="J4008" s="68"/>
      <c r="K4008" s="32"/>
      <c r="L4008" s="75">
        <v>4008</v>
      </c>
      <c r="M4008" s="75"/>
      <c r="N4008" s="70"/>
      <c r="O4008" s="77" t="s">
        <v>179</v>
      </c>
      <c r="P4008" s="79">
        <v>45051.954305555555</v>
      </c>
      <c r="Q4008" s="77" t="s">
        <v>5622</v>
      </c>
      <c r="R4008" s="77">
        <v>0</v>
      </c>
      <c r="S4008" s="77">
        <v>0</v>
      </c>
      <c r="T4008" s="77">
        <v>0</v>
      </c>
      <c r="U4008" s="77">
        <v>0</v>
      </c>
      <c r="V4008" s="77">
        <v>37</v>
      </c>
      <c r="W4008" s="80" t="s">
        <v>8418</v>
      </c>
      <c r="X4008" s="83" t="str">
        <f>HYPERLINK("https://youtu.be/t8TpR1L-GzI")</f>
        <v>https://youtu.be/t8TpR1L-GzI</v>
      </c>
      <c r="Y4008" s="77" t="s">
        <v>8635</v>
      </c>
      <c r="Z4008" s="77"/>
      <c r="AA4008" s="77"/>
      <c r="AB4008" s="77"/>
      <c r="AC4008" s="80" t="s">
        <v>10541</v>
      </c>
      <c r="AD4008" s="77" t="s">
        <v>10619</v>
      </c>
      <c r="AE4008" s="83" t="str">
        <f>HYPERLINK("https://twitter.com/ezequielyuan/status/1654620540253134848")</f>
        <v>https://twitter.com/ezequielyuan/status/1654620540253134848</v>
      </c>
      <c r="AF4008" s="79">
        <v>45051.954305555555</v>
      </c>
      <c r="AG4008" s="85">
        <v>45051</v>
      </c>
      <c r="AH4008" s="80" t="s">
        <v>14104</v>
      </c>
      <c r="AI4008" s="77" t="b">
        <v>0</v>
      </c>
      <c r="AJ4008" s="77"/>
      <c r="AK4008" s="77"/>
      <c r="AL4008" s="77"/>
      <c r="AM4008" s="77"/>
      <c r="AN4008" s="77"/>
      <c r="AO4008" s="77"/>
      <c r="AP4008" s="77"/>
      <c r="AQ4008" s="77"/>
      <c r="AR4008" s="77"/>
      <c r="AS4008" s="77"/>
      <c r="AT4008" s="77"/>
      <c r="AU4008" s="77"/>
      <c r="AV4008" s="83" t="str">
        <f>HYPERLINK("https://pbs.twimg.com/profile_images/1324009927506055170/6nmdZ52h_normal.jpg")</f>
        <v>https://pbs.twimg.com/profile_images/1324009927506055170/6nmdZ52h_normal.jpg</v>
      </c>
      <c r="AW4008" s="80" t="s">
        <v>19685</v>
      </c>
      <c r="AX4008" s="80" t="s">
        <v>19685</v>
      </c>
      <c r="AY4008" s="77"/>
      <c r="AZ4008" s="80" t="s">
        <v>20380</v>
      </c>
      <c r="BA4008" s="80" t="s">
        <v>20380</v>
      </c>
      <c r="BB4008" s="80" t="s">
        <v>20380</v>
      </c>
      <c r="BC4008" s="80" t="s">
        <v>19685</v>
      </c>
      <c r="BD4008" s="77">
        <v>169352621</v>
      </c>
      <c r="BE4008" s="77"/>
      <c r="BF4008" s="77"/>
      <c r="BG4008" s="77"/>
      <c r="BH4008" s="77"/>
      <c r="BI4008" s="77"/>
    </row>
    <row r="4009" spans="1:61" x14ac:dyDescent="0.25">
      <c r="A4009" s="62" t="s">
        <v>1609</v>
      </c>
      <c r="B4009" s="62" t="s">
        <v>1609</v>
      </c>
      <c r="C4009" s="63"/>
      <c r="D4009" s="64"/>
      <c r="E4009" s="65"/>
      <c r="F4009" s="66"/>
      <c r="G4009" s="63"/>
      <c r="H4009" s="67"/>
      <c r="I4009" s="68"/>
      <c r="J4009" s="68"/>
      <c r="K4009" s="32"/>
      <c r="L4009" s="75">
        <v>4009</v>
      </c>
      <c r="M4009" s="75"/>
      <c r="N4009" s="70"/>
      <c r="O4009" s="77" t="s">
        <v>179</v>
      </c>
      <c r="P4009" s="79">
        <v>45118.937280092592</v>
      </c>
      <c r="Q4009" s="77" t="s">
        <v>5623</v>
      </c>
      <c r="R4009" s="77">
        <v>0</v>
      </c>
      <c r="S4009" s="77">
        <v>0</v>
      </c>
      <c r="T4009" s="77">
        <v>0</v>
      </c>
      <c r="U4009" s="77">
        <v>0</v>
      </c>
      <c r="V4009" s="77">
        <v>151</v>
      </c>
      <c r="W4009" s="80" t="s">
        <v>8419</v>
      </c>
      <c r="X4009" s="83" t="str">
        <f>HYPERLINK("https://youtu.be/Xtf1hyZ7ayY")</f>
        <v>https://youtu.be/Xtf1hyZ7ayY</v>
      </c>
      <c r="Y4009" s="77" t="s">
        <v>8635</v>
      </c>
      <c r="Z4009" s="77"/>
      <c r="AA4009" s="77"/>
      <c r="AB4009" s="77"/>
      <c r="AC4009" s="80" t="s">
        <v>10541</v>
      </c>
      <c r="AD4009" s="77" t="s">
        <v>10619</v>
      </c>
      <c r="AE4009" s="83" t="str">
        <f>HYPERLINK("https://twitter.com/ezequielyuan/status/1678894355791114242")</f>
        <v>https://twitter.com/ezequielyuan/status/1678894355791114242</v>
      </c>
      <c r="AF4009" s="79">
        <v>45118.937280092592</v>
      </c>
      <c r="AG4009" s="85">
        <v>45118</v>
      </c>
      <c r="AH4009" s="80" t="s">
        <v>14105</v>
      </c>
      <c r="AI4009" s="77" t="b">
        <v>0</v>
      </c>
      <c r="AJ4009" s="77"/>
      <c r="AK4009" s="77"/>
      <c r="AL4009" s="77"/>
      <c r="AM4009" s="77"/>
      <c r="AN4009" s="77"/>
      <c r="AO4009" s="77"/>
      <c r="AP4009" s="77"/>
      <c r="AQ4009" s="77"/>
      <c r="AR4009" s="77"/>
      <c r="AS4009" s="77"/>
      <c r="AT4009" s="77"/>
      <c r="AU4009" s="77"/>
      <c r="AV4009" s="83" t="str">
        <f>HYPERLINK("https://pbs.twimg.com/profile_images/1324009927506055170/6nmdZ52h_normal.jpg")</f>
        <v>https://pbs.twimg.com/profile_images/1324009927506055170/6nmdZ52h_normal.jpg</v>
      </c>
      <c r="AW4009" s="80" t="s">
        <v>19686</v>
      </c>
      <c r="AX4009" s="80" t="s">
        <v>19686</v>
      </c>
      <c r="AY4009" s="77"/>
      <c r="AZ4009" s="80" t="s">
        <v>20380</v>
      </c>
      <c r="BA4009" s="80" t="s">
        <v>20380</v>
      </c>
      <c r="BB4009" s="80" t="s">
        <v>20380</v>
      </c>
      <c r="BC4009" s="80" t="s">
        <v>19686</v>
      </c>
      <c r="BD4009" s="77">
        <v>169352621</v>
      </c>
      <c r="BE4009" s="77"/>
      <c r="BF4009" s="77"/>
      <c r="BG4009" s="77"/>
      <c r="BH4009" s="77"/>
      <c r="BI4009" s="77"/>
    </row>
    <row r="4010" spans="1:61" x14ac:dyDescent="0.25">
      <c r="A4010" s="62" t="s">
        <v>1610</v>
      </c>
      <c r="B4010" s="62" t="s">
        <v>1610</v>
      </c>
      <c r="C4010" s="63"/>
      <c r="D4010" s="64"/>
      <c r="E4010" s="65"/>
      <c r="F4010" s="66"/>
      <c r="G4010" s="63"/>
      <c r="H4010" s="67"/>
      <c r="I4010" s="68"/>
      <c r="J4010" s="68"/>
      <c r="K4010" s="32"/>
      <c r="L4010" s="75">
        <v>4010</v>
      </c>
      <c r="M4010" s="75"/>
      <c r="N4010" s="70"/>
      <c r="O4010" s="77" t="s">
        <v>179</v>
      </c>
      <c r="P4010" s="79">
        <v>45055.492314814815</v>
      </c>
      <c r="Q4010" s="77" t="s">
        <v>5624</v>
      </c>
      <c r="R4010" s="77">
        <v>0</v>
      </c>
      <c r="S4010" s="77">
        <v>0</v>
      </c>
      <c r="T4010" s="77">
        <v>0</v>
      </c>
      <c r="U4010" s="77">
        <v>0</v>
      </c>
      <c r="V4010" s="77">
        <v>23</v>
      </c>
      <c r="W4010" s="80" t="s">
        <v>8420</v>
      </c>
      <c r="X4010" s="83" t="str">
        <f>HYPERLINK("https://enfoque.com.br/noticias/09-05-2023/cambio-dolar-subiu-ontem-e-fechou-acima-de-r-500?k=164164109")</f>
        <v>https://enfoque.com.br/noticias/09-05-2023/cambio-dolar-subiu-ontem-e-fechou-acima-de-r-500?k=164164109</v>
      </c>
      <c r="Y4010" s="77" t="s">
        <v>8611</v>
      </c>
      <c r="Z4010" s="77"/>
      <c r="AA4010" s="77"/>
      <c r="AB4010" s="77"/>
      <c r="AC4010" s="80" t="s">
        <v>10541</v>
      </c>
      <c r="AD4010" s="77" t="s">
        <v>10617</v>
      </c>
      <c r="AE4010" s="83" t="str">
        <f>HYPERLINK("https://twitter.com/enfoqueif/status/1655902671033737219")</f>
        <v>https://twitter.com/enfoqueif/status/1655902671033737219</v>
      </c>
      <c r="AF4010" s="79">
        <v>45055.492314814815</v>
      </c>
      <c r="AG4010" s="85">
        <v>45055</v>
      </c>
      <c r="AH4010" s="80" t="s">
        <v>14106</v>
      </c>
      <c r="AI4010" s="77" t="b">
        <v>0</v>
      </c>
      <c r="AJ4010" s="77"/>
      <c r="AK4010" s="77"/>
      <c r="AL4010" s="77"/>
      <c r="AM4010" s="77"/>
      <c r="AN4010" s="77"/>
      <c r="AO4010" s="77"/>
      <c r="AP4010" s="77"/>
      <c r="AQ4010" s="77"/>
      <c r="AR4010" s="77"/>
      <c r="AS4010" s="77"/>
      <c r="AT4010" s="77"/>
      <c r="AU4010" s="77"/>
      <c r="AV4010" s="83" t="str">
        <f>HYPERLINK("https://pbs.twimg.com/profile_images/1176490241278054400/s4X9C_ZZ_normal.jpg")</f>
        <v>https://pbs.twimg.com/profile_images/1176490241278054400/s4X9C_ZZ_normal.jpg</v>
      </c>
      <c r="AW4010" s="80" t="s">
        <v>19687</v>
      </c>
      <c r="AX4010" s="80" t="s">
        <v>19687</v>
      </c>
      <c r="AY4010" s="77"/>
      <c r="AZ4010" s="80" t="s">
        <v>20380</v>
      </c>
      <c r="BA4010" s="80" t="s">
        <v>20380</v>
      </c>
      <c r="BB4010" s="80" t="s">
        <v>20380</v>
      </c>
      <c r="BC4010" s="80" t="s">
        <v>19687</v>
      </c>
      <c r="BD4010" s="77">
        <v>136293095</v>
      </c>
      <c r="BE4010" s="77"/>
      <c r="BF4010" s="77"/>
      <c r="BG4010" s="77"/>
      <c r="BH4010" s="77"/>
      <c r="BI4010" s="77"/>
    </row>
    <row r="4011" spans="1:61" x14ac:dyDescent="0.25">
      <c r="A4011" s="62" t="s">
        <v>1610</v>
      </c>
      <c r="B4011" s="62" t="s">
        <v>1610</v>
      </c>
      <c r="C4011" s="63"/>
      <c r="D4011" s="64"/>
      <c r="E4011" s="65"/>
      <c r="F4011" s="66"/>
      <c r="G4011" s="63"/>
      <c r="H4011" s="67"/>
      <c r="I4011" s="68"/>
      <c r="J4011" s="68"/>
      <c r="K4011" s="32"/>
      <c r="L4011" s="75">
        <v>4011</v>
      </c>
      <c r="M4011" s="75"/>
      <c r="N4011" s="70"/>
      <c r="O4011" s="77" t="s">
        <v>179</v>
      </c>
      <c r="P4011" s="79">
        <v>45142.489884259259</v>
      </c>
      <c r="Q4011" s="77" t="s">
        <v>5625</v>
      </c>
      <c r="R4011" s="77">
        <v>0</v>
      </c>
      <c r="S4011" s="77">
        <v>0</v>
      </c>
      <c r="T4011" s="77">
        <v>0</v>
      </c>
      <c r="U4011" s="77">
        <v>0</v>
      </c>
      <c r="V4011" s="77">
        <v>30</v>
      </c>
      <c r="W4011" s="80" t="s">
        <v>8421</v>
      </c>
      <c r="X4011" s="83" t="str">
        <f>HYPERLINK("https://enfoque.com.br/noticias/04-08-2023/cambio-dolar-subiu-ontem-quase-2-e-fechou-a-r-4899?k=164180254")</f>
        <v>https://enfoque.com.br/noticias/04-08-2023/cambio-dolar-subiu-ontem-quase-2-e-fechou-a-r-4899?k=164180254</v>
      </c>
      <c r="Y4011" s="77" t="s">
        <v>8611</v>
      </c>
      <c r="Z4011" s="77"/>
      <c r="AA4011" s="77"/>
      <c r="AB4011" s="77"/>
      <c r="AC4011" s="80" t="s">
        <v>10541</v>
      </c>
      <c r="AD4011" s="77" t="s">
        <v>10617</v>
      </c>
      <c r="AE4011" s="83" t="str">
        <f>HYPERLINK("https://twitter.com/enfoqueif/status/1687429532913979393")</f>
        <v>https://twitter.com/enfoqueif/status/1687429532913979393</v>
      </c>
      <c r="AF4011" s="79">
        <v>45142.489884259259</v>
      </c>
      <c r="AG4011" s="85">
        <v>45142</v>
      </c>
      <c r="AH4011" s="80" t="s">
        <v>14107</v>
      </c>
      <c r="AI4011" s="77" t="b">
        <v>0</v>
      </c>
      <c r="AJ4011" s="77"/>
      <c r="AK4011" s="77"/>
      <c r="AL4011" s="77"/>
      <c r="AM4011" s="77"/>
      <c r="AN4011" s="77"/>
      <c r="AO4011" s="77"/>
      <c r="AP4011" s="77"/>
      <c r="AQ4011" s="77"/>
      <c r="AR4011" s="77"/>
      <c r="AS4011" s="77"/>
      <c r="AT4011" s="77"/>
      <c r="AU4011" s="77"/>
      <c r="AV4011" s="83" t="str">
        <f>HYPERLINK("https://pbs.twimg.com/profile_images/1176490241278054400/s4X9C_ZZ_normal.jpg")</f>
        <v>https://pbs.twimg.com/profile_images/1176490241278054400/s4X9C_ZZ_normal.jpg</v>
      </c>
      <c r="AW4011" s="80" t="s">
        <v>19688</v>
      </c>
      <c r="AX4011" s="80" t="s">
        <v>19688</v>
      </c>
      <c r="AY4011" s="77"/>
      <c r="AZ4011" s="80" t="s">
        <v>20380</v>
      </c>
      <c r="BA4011" s="80" t="s">
        <v>20380</v>
      </c>
      <c r="BB4011" s="80" t="s">
        <v>20380</v>
      </c>
      <c r="BC4011" s="80" t="s">
        <v>19688</v>
      </c>
      <c r="BD4011" s="77">
        <v>136293095</v>
      </c>
      <c r="BE4011" s="77"/>
      <c r="BF4011" s="77"/>
      <c r="BG4011" s="77"/>
      <c r="BH4011" s="77"/>
      <c r="BI4011" s="77"/>
    </row>
    <row r="4012" spans="1:61" x14ac:dyDescent="0.25">
      <c r="A4012" s="62" t="s">
        <v>1610</v>
      </c>
      <c r="B4012" s="62" t="s">
        <v>1610</v>
      </c>
      <c r="C4012" s="63"/>
      <c r="D4012" s="64"/>
      <c r="E4012" s="65"/>
      <c r="F4012" s="66"/>
      <c r="G4012" s="63"/>
      <c r="H4012" s="67"/>
      <c r="I4012" s="68"/>
      <c r="J4012" s="68"/>
      <c r="K4012" s="32"/>
      <c r="L4012" s="75">
        <v>4012</v>
      </c>
      <c r="M4012" s="75"/>
      <c r="N4012" s="70"/>
      <c r="O4012" s="77" t="s">
        <v>179</v>
      </c>
      <c r="P4012" s="79">
        <v>45139.532939814817</v>
      </c>
      <c r="Q4012" s="77" t="s">
        <v>5626</v>
      </c>
      <c r="R4012" s="77">
        <v>0</v>
      </c>
      <c r="S4012" s="77">
        <v>0</v>
      </c>
      <c r="T4012" s="77">
        <v>0</v>
      </c>
      <c r="U4012" s="77">
        <v>0</v>
      </c>
      <c r="V4012" s="77">
        <v>63</v>
      </c>
      <c r="W4012" s="80" t="s">
        <v>8422</v>
      </c>
      <c r="X4012" s="83" t="str">
        <f>HYPERLINK("https://enfoque.com.br/noticias/01-08-2023/cambio-dolar-fechou-ultima-sessao-de-julho-em-alta-mas-perdeu-no-mes?k=164179510")</f>
        <v>https://enfoque.com.br/noticias/01-08-2023/cambio-dolar-fechou-ultima-sessao-de-julho-em-alta-mas-perdeu-no-mes?k=164179510</v>
      </c>
      <c r="Y4012" s="77" t="s">
        <v>8611</v>
      </c>
      <c r="Z4012" s="77"/>
      <c r="AA4012" s="77"/>
      <c r="AB4012" s="77"/>
      <c r="AC4012" s="80" t="s">
        <v>10541</v>
      </c>
      <c r="AD4012" s="77" t="s">
        <v>10617</v>
      </c>
      <c r="AE4012" s="83" t="str">
        <f>HYPERLINK("https://twitter.com/enfoqueif/status/1686357972530929665")</f>
        <v>https://twitter.com/enfoqueif/status/1686357972530929665</v>
      </c>
      <c r="AF4012" s="79">
        <v>45139.532939814817</v>
      </c>
      <c r="AG4012" s="85">
        <v>45139</v>
      </c>
      <c r="AH4012" s="80" t="s">
        <v>14108</v>
      </c>
      <c r="AI4012" s="77" t="b">
        <v>0</v>
      </c>
      <c r="AJ4012" s="77"/>
      <c r="AK4012" s="77"/>
      <c r="AL4012" s="77"/>
      <c r="AM4012" s="77"/>
      <c r="AN4012" s="77"/>
      <c r="AO4012" s="77"/>
      <c r="AP4012" s="77"/>
      <c r="AQ4012" s="77"/>
      <c r="AR4012" s="77"/>
      <c r="AS4012" s="77"/>
      <c r="AT4012" s="77"/>
      <c r="AU4012" s="77"/>
      <c r="AV4012" s="83" t="str">
        <f>HYPERLINK("https://pbs.twimg.com/profile_images/1176490241278054400/s4X9C_ZZ_normal.jpg")</f>
        <v>https://pbs.twimg.com/profile_images/1176490241278054400/s4X9C_ZZ_normal.jpg</v>
      </c>
      <c r="AW4012" s="80" t="s">
        <v>19689</v>
      </c>
      <c r="AX4012" s="80" t="s">
        <v>19689</v>
      </c>
      <c r="AY4012" s="77"/>
      <c r="AZ4012" s="80" t="s">
        <v>20380</v>
      </c>
      <c r="BA4012" s="80" t="s">
        <v>20380</v>
      </c>
      <c r="BB4012" s="80" t="s">
        <v>20380</v>
      </c>
      <c r="BC4012" s="80" t="s">
        <v>19689</v>
      </c>
      <c r="BD4012" s="77">
        <v>136293095</v>
      </c>
      <c r="BE4012" s="77"/>
      <c r="BF4012" s="77"/>
      <c r="BG4012" s="77"/>
      <c r="BH4012" s="77"/>
      <c r="BI4012" s="77"/>
    </row>
    <row r="4013" spans="1:61" x14ac:dyDescent="0.25">
      <c r="A4013" s="62" t="s">
        <v>1610</v>
      </c>
      <c r="B4013" s="62" t="s">
        <v>1610</v>
      </c>
      <c r="C4013" s="63"/>
      <c r="D4013" s="64"/>
      <c r="E4013" s="65"/>
      <c r="F4013" s="66"/>
      <c r="G4013" s="63"/>
      <c r="H4013" s="67"/>
      <c r="I4013" s="68"/>
      <c r="J4013" s="68"/>
      <c r="K4013" s="32"/>
      <c r="L4013" s="75">
        <v>4013</v>
      </c>
      <c r="M4013" s="75"/>
      <c r="N4013" s="70"/>
      <c r="O4013" s="77" t="s">
        <v>179</v>
      </c>
      <c r="P4013" s="79">
        <v>45140.499652777777</v>
      </c>
      <c r="Q4013" s="77" t="s">
        <v>5627</v>
      </c>
      <c r="R4013" s="77">
        <v>0</v>
      </c>
      <c r="S4013" s="77">
        <v>0</v>
      </c>
      <c r="T4013" s="77">
        <v>0</v>
      </c>
      <c r="U4013" s="77">
        <v>0</v>
      </c>
      <c r="V4013" s="77">
        <v>60</v>
      </c>
      <c r="W4013" s="80" t="s">
        <v>8423</v>
      </c>
      <c r="X4013" s="83" t="str">
        <f>HYPERLINK("https://enfoque.com.br/noticias/02-08-2023/cambio-dolar-comecou-agosto-em-alta-a-r-4790?k=164179719")</f>
        <v>https://enfoque.com.br/noticias/02-08-2023/cambio-dolar-comecou-agosto-em-alta-a-r-4790?k=164179719</v>
      </c>
      <c r="Y4013" s="77" t="s">
        <v>8611</v>
      </c>
      <c r="Z4013" s="77"/>
      <c r="AA4013" s="77"/>
      <c r="AB4013" s="77"/>
      <c r="AC4013" s="80" t="s">
        <v>10541</v>
      </c>
      <c r="AD4013" s="77" t="s">
        <v>10617</v>
      </c>
      <c r="AE4013" s="83" t="str">
        <f>HYPERLINK("https://twitter.com/enfoqueif/status/1686708299406721024")</f>
        <v>https://twitter.com/enfoqueif/status/1686708299406721024</v>
      </c>
      <c r="AF4013" s="79">
        <v>45140.499652777777</v>
      </c>
      <c r="AG4013" s="85">
        <v>45140</v>
      </c>
      <c r="AH4013" s="80" t="s">
        <v>14109</v>
      </c>
      <c r="AI4013" s="77" t="b">
        <v>0</v>
      </c>
      <c r="AJ4013" s="77"/>
      <c r="AK4013" s="77"/>
      <c r="AL4013" s="77"/>
      <c r="AM4013" s="77"/>
      <c r="AN4013" s="77"/>
      <c r="AO4013" s="77"/>
      <c r="AP4013" s="77"/>
      <c r="AQ4013" s="77"/>
      <c r="AR4013" s="77"/>
      <c r="AS4013" s="77"/>
      <c r="AT4013" s="77"/>
      <c r="AU4013" s="77"/>
      <c r="AV4013" s="83" t="str">
        <f>HYPERLINK("https://pbs.twimg.com/profile_images/1176490241278054400/s4X9C_ZZ_normal.jpg")</f>
        <v>https://pbs.twimg.com/profile_images/1176490241278054400/s4X9C_ZZ_normal.jpg</v>
      </c>
      <c r="AW4013" s="80" t="s">
        <v>19690</v>
      </c>
      <c r="AX4013" s="80" t="s">
        <v>19690</v>
      </c>
      <c r="AY4013" s="77"/>
      <c r="AZ4013" s="80" t="s">
        <v>20380</v>
      </c>
      <c r="BA4013" s="80" t="s">
        <v>20380</v>
      </c>
      <c r="BB4013" s="80" t="s">
        <v>20380</v>
      </c>
      <c r="BC4013" s="80" t="s">
        <v>19690</v>
      </c>
      <c r="BD4013" s="77">
        <v>136293095</v>
      </c>
      <c r="BE4013" s="77"/>
      <c r="BF4013" s="77"/>
      <c r="BG4013" s="77"/>
      <c r="BH4013" s="77"/>
      <c r="BI4013" s="77"/>
    </row>
    <row r="4014" spans="1:61" x14ac:dyDescent="0.25">
      <c r="A4014" s="62" t="s">
        <v>1610</v>
      </c>
      <c r="B4014" s="62" t="s">
        <v>1610</v>
      </c>
      <c r="C4014" s="63"/>
      <c r="D4014" s="64"/>
      <c r="E4014" s="65"/>
      <c r="F4014" s="66"/>
      <c r="G4014" s="63"/>
      <c r="H4014" s="67"/>
      <c r="I4014" s="68"/>
      <c r="J4014" s="68"/>
      <c r="K4014" s="32"/>
      <c r="L4014" s="75">
        <v>4014</v>
      </c>
      <c r="M4014" s="75"/>
      <c r="N4014" s="70"/>
      <c r="O4014" s="77" t="s">
        <v>179</v>
      </c>
      <c r="P4014" s="79">
        <v>45147.497893518521</v>
      </c>
      <c r="Q4014" s="77" t="s">
        <v>5628</v>
      </c>
      <c r="R4014" s="77">
        <v>0</v>
      </c>
      <c r="S4014" s="77">
        <v>0</v>
      </c>
      <c r="T4014" s="77">
        <v>0</v>
      </c>
      <c r="U4014" s="77">
        <v>0</v>
      </c>
      <c r="V4014" s="77">
        <v>48</v>
      </c>
      <c r="W4014" s="80" t="s">
        <v>8424</v>
      </c>
      <c r="X4014" s="83" t="str">
        <f>HYPERLINK("https://enfoque.com.br/noticias/09-08-2023/cambio-dolar-devera-abrir-em-baixa-com-alta-das-commodities?k=164180968")</f>
        <v>https://enfoque.com.br/noticias/09-08-2023/cambio-dolar-devera-abrir-em-baixa-com-alta-das-commodities?k=164180968</v>
      </c>
      <c r="Y4014" s="77" t="s">
        <v>8611</v>
      </c>
      <c r="Z4014" s="77"/>
      <c r="AA4014" s="77"/>
      <c r="AB4014" s="77"/>
      <c r="AC4014" s="80" t="s">
        <v>10541</v>
      </c>
      <c r="AD4014" s="77" t="s">
        <v>10617</v>
      </c>
      <c r="AE4014" s="83" t="str">
        <f>HYPERLINK("https://twitter.com/enfoqueif/status/1689244377481101312")</f>
        <v>https://twitter.com/enfoqueif/status/1689244377481101312</v>
      </c>
      <c r="AF4014" s="79">
        <v>45147.497893518521</v>
      </c>
      <c r="AG4014" s="85">
        <v>45147</v>
      </c>
      <c r="AH4014" s="80" t="s">
        <v>14110</v>
      </c>
      <c r="AI4014" s="77" t="b">
        <v>0</v>
      </c>
      <c r="AJ4014" s="77"/>
      <c r="AK4014" s="77"/>
      <c r="AL4014" s="77"/>
      <c r="AM4014" s="77"/>
      <c r="AN4014" s="77"/>
      <c r="AO4014" s="77"/>
      <c r="AP4014" s="77"/>
      <c r="AQ4014" s="77"/>
      <c r="AR4014" s="77"/>
      <c r="AS4014" s="77"/>
      <c r="AT4014" s="77"/>
      <c r="AU4014" s="77"/>
      <c r="AV4014" s="83" t="str">
        <f>HYPERLINK("https://pbs.twimg.com/profile_images/1176490241278054400/s4X9C_ZZ_normal.jpg")</f>
        <v>https://pbs.twimg.com/profile_images/1176490241278054400/s4X9C_ZZ_normal.jpg</v>
      </c>
      <c r="AW4014" s="80" t="s">
        <v>19691</v>
      </c>
      <c r="AX4014" s="80" t="s">
        <v>19691</v>
      </c>
      <c r="AY4014" s="77"/>
      <c r="AZ4014" s="80" t="s">
        <v>20380</v>
      </c>
      <c r="BA4014" s="80" t="s">
        <v>20380</v>
      </c>
      <c r="BB4014" s="80" t="s">
        <v>20380</v>
      </c>
      <c r="BC4014" s="80" t="s">
        <v>19691</v>
      </c>
      <c r="BD4014" s="77">
        <v>136293095</v>
      </c>
      <c r="BE4014" s="77"/>
      <c r="BF4014" s="77"/>
      <c r="BG4014" s="77"/>
      <c r="BH4014" s="77"/>
      <c r="BI4014" s="77"/>
    </row>
    <row r="4015" spans="1:61" x14ac:dyDescent="0.25">
      <c r="A4015" s="62" t="s">
        <v>1610</v>
      </c>
      <c r="B4015" s="62" t="s">
        <v>1610</v>
      </c>
      <c r="C4015" s="63"/>
      <c r="D4015" s="64"/>
      <c r="E4015" s="65"/>
      <c r="F4015" s="66"/>
      <c r="G4015" s="63"/>
      <c r="H4015" s="67"/>
      <c r="I4015" s="68"/>
      <c r="J4015" s="68"/>
      <c r="K4015" s="32"/>
      <c r="L4015" s="75">
        <v>4015</v>
      </c>
      <c r="M4015" s="75"/>
      <c r="N4015" s="70"/>
      <c r="O4015" s="77" t="s">
        <v>179</v>
      </c>
      <c r="P4015" s="79">
        <v>45138.501817129632</v>
      </c>
      <c r="Q4015" s="77" t="s">
        <v>5629</v>
      </c>
      <c r="R4015" s="77">
        <v>0</v>
      </c>
      <c r="S4015" s="77">
        <v>0</v>
      </c>
      <c r="T4015" s="77">
        <v>0</v>
      </c>
      <c r="U4015" s="77">
        <v>0</v>
      </c>
      <c r="V4015" s="77">
        <v>50</v>
      </c>
      <c r="W4015" s="80" t="s">
        <v>8425</v>
      </c>
      <c r="X4015" s="83" t="str">
        <f>HYPERLINK("https://enfoque.com.br/noticias/31-07-2023/cambio-dolar-caminha-para-fechar-julho-no-vermelho?k=164179217")</f>
        <v>https://enfoque.com.br/noticias/31-07-2023/cambio-dolar-caminha-para-fechar-julho-no-vermelho?k=164179217</v>
      </c>
      <c r="Y4015" s="77" t="s">
        <v>8611</v>
      </c>
      <c r="Z4015" s="77"/>
      <c r="AA4015" s="77"/>
      <c r="AB4015" s="77"/>
      <c r="AC4015" s="80" t="s">
        <v>10541</v>
      </c>
      <c r="AD4015" s="77" t="s">
        <v>10617</v>
      </c>
      <c r="AE4015" s="83" t="str">
        <f>HYPERLINK("https://twitter.com/enfoqueif/status/1685984306395512834")</f>
        <v>https://twitter.com/enfoqueif/status/1685984306395512834</v>
      </c>
      <c r="AF4015" s="79">
        <v>45138.501817129632</v>
      </c>
      <c r="AG4015" s="85">
        <v>45138</v>
      </c>
      <c r="AH4015" s="80" t="s">
        <v>14111</v>
      </c>
      <c r="AI4015" s="77" t="b">
        <v>0</v>
      </c>
      <c r="AJ4015" s="77"/>
      <c r="AK4015" s="77"/>
      <c r="AL4015" s="77"/>
      <c r="AM4015" s="77"/>
      <c r="AN4015" s="77"/>
      <c r="AO4015" s="77"/>
      <c r="AP4015" s="77"/>
      <c r="AQ4015" s="77"/>
      <c r="AR4015" s="77"/>
      <c r="AS4015" s="77"/>
      <c r="AT4015" s="77"/>
      <c r="AU4015" s="77"/>
      <c r="AV4015" s="83" t="str">
        <f>HYPERLINK("https://pbs.twimg.com/profile_images/1176490241278054400/s4X9C_ZZ_normal.jpg")</f>
        <v>https://pbs.twimg.com/profile_images/1176490241278054400/s4X9C_ZZ_normal.jpg</v>
      </c>
      <c r="AW4015" s="80" t="s">
        <v>19692</v>
      </c>
      <c r="AX4015" s="80" t="s">
        <v>19692</v>
      </c>
      <c r="AY4015" s="77"/>
      <c r="AZ4015" s="80" t="s">
        <v>20380</v>
      </c>
      <c r="BA4015" s="80" t="s">
        <v>20380</v>
      </c>
      <c r="BB4015" s="80" t="s">
        <v>20380</v>
      </c>
      <c r="BC4015" s="80" t="s">
        <v>19692</v>
      </c>
      <c r="BD4015" s="77">
        <v>136293095</v>
      </c>
      <c r="BE4015" s="77"/>
      <c r="BF4015" s="77"/>
      <c r="BG4015" s="77"/>
      <c r="BH4015" s="77"/>
      <c r="BI4015" s="77"/>
    </row>
    <row r="4016" spans="1:61" x14ac:dyDescent="0.25">
      <c r="A4016" s="62" t="s">
        <v>1610</v>
      </c>
      <c r="B4016" s="62" t="s">
        <v>1610</v>
      </c>
      <c r="C4016" s="63"/>
      <c r="D4016" s="64"/>
      <c r="E4016" s="65"/>
      <c r="F4016" s="66"/>
      <c r="G4016" s="63"/>
      <c r="H4016" s="67"/>
      <c r="I4016" s="68"/>
      <c r="J4016" s="68"/>
      <c r="K4016" s="32"/>
      <c r="L4016" s="75">
        <v>4016</v>
      </c>
      <c r="M4016" s="75"/>
      <c r="N4016" s="70"/>
      <c r="O4016" s="77" t="s">
        <v>179</v>
      </c>
      <c r="P4016" s="79">
        <v>45063.496157407404</v>
      </c>
      <c r="Q4016" s="77" t="s">
        <v>5630</v>
      </c>
      <c r="R4016" s="77">
        <v>0</v>
      </c>
      <c r="S4016" s="77">
        <v>0</v>
      </c>
      <c r="T4016" s="77">
        <v>0</v>
      </c>
      <c r="U4016" s="77">
        <v>0</v>
      </c>
      <c r="V4016" s="77">
        <v>33</v>
      </c>
      <c r="W4016" s="80" t="s">
        <v>8426</v>
      </c>
      <c r="X4016" s="83" t="str">
        <f>HYPERLINK("https://enfoque.com.br/noticias/17-05-2023/cambio-dolar-subiu-mais-de-1-apos-5-baixas-e-fechou-a-r-4943?k=164165656")</f>
        <v>https://enfoque.com.br/noticias/17-05-2023/cambio-dolar-subiu-mais-de-1-apos-5-baixas-e-fechou-a-r-4943?k=164165656</v>
      </c>
      <c r="Y4016" s="77" t="s">
        <v>8611</v>
      </c>
      <c r="Z4016" s="77"/>
      <c r="AA4016" s="77"/>
      <c r="AB4016" s="77"/>
      <c r="AC4016" s="80" t="s">
        <v>10541</v>
      </c>
      <c r="AD4016" s="77" t="s">
        <v>10617</v>
      </c>
      <c r="AE4016" s="83" t="str">
        <f>HYPERLINK("https://twitter.com/enfoqueif/status/1658803166392074242")</f>
        <v>https://twitter.com/enfoqueif/status/1658803166392074242</v>
      </c>
      <c r="AF4016" s="79">
        <v>45063.496157407404</v>
      </c>
      <c r="AG4016" s="85">
        <v>45063</v>
      </c>
      <c r="AH4016" s="80" t="s">
        <v>14112</v>
      </c>
      <c r="AI4016" s="77" t="b">
        <v>0</v>
      </c>
      <c r="AJ4016" s="77"/>
      <c r="AK4016" s="77"/>
      <c r="AL4016" s="77"/>
      <c r="AM4016" s="77"/>
      <c r="AN4016" s="77"/>
      <c r="AO4016" s="77"/>
      <c r="AP4016" s="77"/>
      <c r="AQ4016" s="77"/>
      <c r="AR4016" s="77"/>
      <c r="AS4016" s="77"/>
      <c r="AT4016" s="77"/>
      <c r="AU4016" s="77"/>
      <c r="AV4016" s="83" t="str">
        <f>HYPERLINK("https://pbs.twimg.com/profile_images/1176490241278054400/s4X9C_ZZ_normal.jpg")</f>
        <v>https://pbs.twimg.com/profile_images/1176490241278054400/s4X9C_ZZ_normal.jpg</v>
      </c>
      <c r="AW4016" s="80" t="s">
        <v>19693</v>
      </c>
      <c r="AX4016" s="80" t="s">
        <v>19693</v>
      </c>
      <c r="AY4016" s="77"/>
      <c r="AZ4016" s="80" t="s">
        <v>20380</v>
      </c>
      <c r="BA4016" s="80" t="s">
        <v>20380</v>
      </c>
      <c r="BB4016" s="80" t="s">
        <v>20380</v>
      </c>
      <c r="BC4016" s="80" t="s">
        <v>19693</v>
      </c>
      <c r="BD4016" s="77">
        <v>136293095</v>
      </c>
      <c r="BE4016" s="77"/>
      <c r="BF4016" s="77"/>
      <c r="BG4016" s="77"/>
      <c r="BH4016" s="77"/>
      <c r="BI4016" s="77"/>
    </row>
    <row r="4017" spans="1:61" x14ac:dyDescent="0.25">
      <c r="A4017" s="62" t="s">
        <v>1611</v>
      </c>
      <c r="B4017" s="62" t="s">
        <v>1611</v>
      </c>
      <c r="C4017" s="63"/>
      <c r="D4017" s="64"/>
      <c r="E4017" s="65"/>
      <c r="F4017" s="66"/>
      <c r="G4017" s="63"/>
      <c r="H4017" s="67"/>
      <c r="I4017" s="68"/>
      <c r="J4017" s="68"/>
      <c r="K4017" s="32"/>
      <c r="L4017" s="75">
        <v>4017</v>
      </c>
      <c r="M4017" s="75"/>
      <c r="N4017" s="70"/>
      <c r="O4017" s="77" t="s">
        <v>179</v>
      </c>
      <c r="P4017" s="79">
        <v>45139.688888888886</v>
      </c>
      <c r="Q4017" s="77" t="s">
        <v>5631</v>
      </c>
      <c r="R4017" s="77">
        <v>0</v>
      </c>
      <c r="S4017" s="77">
        <v>2</v>
      </c>
      <c r="T4017" s="77">
        <v>0</v>
      </c>
      <c r="U4017" s="77">
        <v>0</v>
      </c>
      <c r="V4017" s="77">
        <v>167</v>
      </c>
      <c r="W4017" s="80" t="s">
        <v>8427</v>
      </c>
      <c r="X4017" s="83" t="str">
        <f>HYPERLINK("https://zurl.co/VGh4")</f>
        <v>https://zurl.co/VGh4</v>
      </c>
      <c r="Y4017" s="77" t="s">
        <v>8881</v>
      </c>
      <c r="Z4017" s="77"/>
      <c r="AA4017" s="77"/>
      <c r="AB4017" s="77"/>
      <c r="AC4017" s="80" t="s">
        <v>10613</v>
      </c>
      <c r="AD4017" s="77" t="s">
        <v>10620</v>
      </c>
      <c r="AE4017" s="83" t="str">
        <f>HYPERLINK("https://twitter.com/somospatrimore/status/1686414488520790016")</f>
        <v>https://twitter.com/somospatrimore/status/1686414488520790016</v>
      </c>
      <c r="AF4017" s="79">
        <v>45139.688888888886</v>
      </c>
      <c r="AG4017" s="85">
        <v>45139</v>
      </c>
      <c r="AH4017" s="80" t="s">
        <v>14113</v>
      </c>
      <c r="AI4017" s="77" t="b">
        <v>0</v>
      </c>
      <c r="AJ4017" s="77"/>
      <c r="AK4017" s="77"/>
      <c r="AL4017" s="77"/>
      <c r="AM4017" s="77"/>
      <c r="AN4017" s="77"/>
      <c r="AO4017" s="77"/>
      <c r="AP4017" s="77"/>
      <c r="AQ4017" s="77"/>
      <c r="AR4017" s="77"/>
      <c r="AS4017" s="77"/>
      <c r="AT4017" s="77"/>
      <c r="AU4017" s="77"/>
      <c r="AV4017" s="83" t="str">
        <f>HYPERLINK("https://pbs.twimg.com/profile_images/1556756095150030850/7anOqXzu_normal.jpg")</f>
        <v>https://pbs.twimg.com/profile_images/1556756095150030850/7anOqXzu_normal.jpg</v>
      </c>
      <c r="AW4017" s="80" t="s">
        <v>19694</v>
      </c>
      <c r="AX4017" s="80" t="s">
        <v>19694</v>
      </c>
      <c r="AY4017" s="77"/>
      <c r="AZ4017" s="80" t="s">
        <v>20380</v>
      </c>
      <c r="BA4017" s="80" t="s">
        <v>20380</v>
      </c>
      <c r="BB4017" s="80" t="s">
        <v>20380</v>
      </c>
      <c r="BC4017" s="80" t="s">
        <v>19694</v>
      </c>
      <c r="BD4017" s="77">
        <v>2763969229</v>
      </c>
      <c r="BE4017" s="77"/>
      <c r="BF4017" s="77"/>
      <c r="BG4017" s="77"/>
      <c r="BH4017" s="77"/>
      <c r="BI4017" s="77"/>
    </row>
    <row r="4018" spans="1:61" x14ac:dyDescent="0.25">
      <c r="A4018" s="62" t="s">
        <v>1612</v>
      </c>
      <c r="B4018" s="62" t="s">
        <v>1612</v>
      </c>
      <c r="C4018" s="63"/>
      <c r="D4018" s="64"/>
      <c r="E4018" s="65"/>
      <c r="F4018" s="66"/>
      <c r="G4018" s="63"/>
      <c r="H4018" s="67"/>
      <c r="I4018" s="68"/>
      <c r="J4018" s="68"/>
      <c r="K4018" s="32"/>
      <c r="L4018" s="75">
        <v>4018</v>
      </c>
      <c r="M4018" s="75"/>
      <c r="N4018" s="70"/>
      <c r="O4018" s="77" t="s">
        <v>179</v>
      </c>
      <c r="P4018" s="79">
        <v>45051.002060185187</v>
      </c>
      <c r="Q4018" s="77" t="s">
        <v>5632</v>
      </c>
      <c r="R4018" s="77">
        <v>0</v>
      </c>
      <c r="S4018" s="77">
        <v>0</v>
      </c>
      <c r="T4018" s="77">
        <v>0</v>
      </c>
      <c r="U4018" s="77">
        <v>0</v>
      </c>
      <c r="V4018" s="77">
        <v>11</v>
      </c>
      <c r="W4018" s="80" t="s">
        <v>8428</v>
      </c>
      <c r="X4018" s="83" t="str">
        <f>HYPERLINK("https://radiodon.com.ar/2023/05/04/el-banco-central-define-la-salida-de-los-nuevos-billetes-de-2-000/")</f>
        <v>https://radiodon.com.ar/2023/05/04/el-banco-central-define-la-salida-de-los-nuevos-billetes-de-2-000/</v>
      </c>
      <c r="Y4018" s="77" t="s">
        <v>8624</v>
      </c>
      <c r="Z4018" s="77"/>
      <c r="AA4018" s="77"/>
      <c r="AB4018" s="77"/>
      <c r="AC4018" s="80" t="s">
        <v>10541</v>
      </c>
      <c r="AD4018" s="77" t="s">
        <v>10620</v>
      </c>
      <c r="AE4018" s="83" t="str">
        <f>HYPERLINK("https://twitter.com/radiodonweb/status/1654275456483426305")</f>
        <v>https://twitter.com/radiodonweb/status/1654275456483426305</v>
      </c>
      <c r="AF4018" s="79">
        <v>45051.002060185187</v>
      </c>
      <c r="AG4018" s="85">
        <v>45051</v>
      </c>
      <c r="AH4018" s="80" t="s">
        <v>14114</v>
      </c>
      <c r="AI4018" s="77" t="b">
        <v>0</v>
      </c>
      <c r="AJ4018" s="77"/>
      <c r="AK4018" s="77"/>
      <c r="AL4018" s="77"/>
      <c r="AM4018" s="77"/>
      <c r="AN4018" s="77"/>
      <c r="AO4018" s="77"/>
      <c r="AP4018" s="77"/>
      <c r="AQ4018" s="77"/>
      <c r="AR4018" s="77"/>
      <c r="AS4018" s="77"/>
      <c r="AT4018" s="77"/>
      <c r="AU4018" s="77"/>
      <c r="AV4018" s="83" t="str">
        <f>HYPERLINK("https://pbs.twimg.com/profile_images/1004013563554484229/_rInW9jW_normal.jpg")</f>
        <v>https://pbs.twimg.com/profile_images/1004013563554484229/_rInW9jW_normal.jpg</v>
      </c>
      <c r="AW4018" s="80" t="s">
        <v>19695</v>
      </c>
      <c r="AX4018" s="80" t="s">
        <v>19695</v>
      </c>
      <c r="AY4018" s="77"/>
      <c r="AZ4018" s="80" t="s">
        <v>20380</v>
      </c>
      <c r="BA4018" s="80" t="s">
        <v>20380</v>
      </c>
      <c r="BB4018" s="80" t="s">
        <v>20380</v>
      </c>
      <c r="BC4018" s="80" t="s">
        <v>19695</v>
      </c>
      <c r="BD4018" s="77">
        <v>211245238</v>
      </c>
      <c r="BE4018" s="77"/>
      <c r="BF4018" s="77"/>
      <c r="BG4018" s="77"/>
      <c r="BH4018" s="77"/>
      <c r="BI4018" s="77"/>
    </row>
    <row r="4019" spans="1:61" x14ac:dyDescent="0.25">
      <c r="A4019" s="62" t="s">
        <v>1613</v>
      </c>
      <c r="B4019" s="62" t="s">
        <v>1613</v>
      </c>
      <c r="C4019" s="63"/>
      <c r="D4019" s="64"/>
      <c r="E4019" s="65"/>
      <c r="F4019" s="66"/>
      <c r="G4019" s="63"/>
      <c r="H4019" s="67"/>
      <c r="I4019" s="68"/>
      <c r="J4019" s="68"/>
      <c r="K4019" s="32"/>
      <c r="L4019" s="75">
        <v>4019</v>
      </c>
      <c r="M4019" s="75"/>
      <c r="N4019" s="70"/>
      <c r="O4019" s="77" t="s">
        <v>179</v>
      </c>
      <c r="P4019" s="79">
        <v>45138.929166666669</v>
      </c>
      <c r="Q4019" s="77" t="s">
        <v>5633</v>
      </c>
      <c r="R4019" s="77">
        <v>0</v>
      </c>
      <c r="S4019" s="77">
        <v>0</v>
      </c>
      <c r="T4019" s="77">
        <v>0</v>
      </c>
      <c r="U4019" s="77">
        <v>0</v>
      </c>
      <c r="V4019" s="77">
        <v>258</v>
      </c>
      <c r="W4019" s="80" t="s">
        <v>8429</v>
      </c>
      <c r="X4019" s="83" t="str">
        <f>HYPERLINK("https://bit.ly/44C7U7T")</f>
        <v>https://bit.ly/44C7U7T</v>
      </c>
      <c r="Y4019" s="77" t="s">
        <v>8618</v>
      </c>
      <c r="Z4019" s="77"/>
      <c r="AA4019" s="77" t="s">
        <v>10385</v>
      </c>
      <c r="AB4019" s="77" t="s">
        <v>10539</v>
      </c>
      <c r="AC4019" s="80" t="s">
        <v>10541</v>
      </c>
      <c r="AD4019" s="77" t="s">
        <v>10620</v>
      </c>
      <c r="AE4019" s="83" t="str">
        <f>HYPERLINK("https://twitter.com/inversorglobal/status/1686139172057157632")</f>
        <v>https://twitter.com/inversorglobal/status/1686139172057157632</v>
      </c>
      <c r="AF4019" s="79">
        <v>45138.929166666669</v>
      </c>
      <c r="AG4019" s="85">
        <v>45138</v>
      </c>
      <c r="AH4019" s="80" t="s">
        <v>14115</v>
      </c>
      <c r="AI4019" s="77" t="b">
        <v>0</v>
      </c>
      <c r="AJ4019" s="77"/>
      <c r="AK4019" s="77"/>
      <c r="AL4019" s="77"/>
      <c r="AM4019" s="77"/>
      <c r="AN4019" s="77"/>
      <c r="AO4019" s="77"/>
      <c r="AP4019" s="77"/>
      <c r="AQ4019" s="77" t="s">
        <v>15864</v>
      </c>
      <c r="AR4019" s="77"/>
      <c r="AS4019" s="77"/>
      <c r="AT4019" s="77"/>
      <c r="AU4019" s="77"/>
      <c r="AV4019" s="83" t="str">
        <f>HYPERLINK("https://pbs.twimg.com/tweet_video_thumb/F2ZDXO2XoAAOh2W.jpg")</f>
        <v>https://pbs.twimg.com/tweet_video_thumb/F2ZDXO2XoAAOh2W.jpg</v>
      </c>
      <c r="AW4019" s="80" t="s">
        <v>19696</v>
      </c>
      <c r="AX4019" s="80" t="s">
        <v>19696</v>
      </c>
      <c r="AY4019" s="77"/>
      <c r="AZ4019" s="80" t="s">
        <v>20380</v>
      </c>
      <c r="BA4019" s="80" t="s">
        <v>20380</v>
      </c>
      <c r="BB4019" s="80" t="s">
        <v>20380</v>
      </c>
      <c r="BC4019" s="80" t="s">
        <v>19696</v>
      </c>
      <c r="BD4019" s="77">
        <v>29629086</v>
      </c>
      <c r="BE4019" s="77"/>
      <c r="BF4019" s="77"/>
      <c r="BG4019" s="77"/>
      <c r="BH4019" s="77"/>
      <c r="BI4019" s="77"/>
    </row>
    <row r="4020" spans="1:61" x14ac:dyDescent="0.25">
      <c r="A4020" s="62" t="s">
        <v>1613</v>
      </c>
      <c r="B4020" s="62" t="s">
        <v>1613</v>
      </c>
      <c r="C4020" s="63"/>
      <c r="D4020" s="64"/>
      <c r="E4020" s="65"/>
      <c r="F4020" s="66"/>
      <c r="G4020" s="63"/>
      <c r="H4020" s="67"/>
      <c r="I4020" s="68"/>
      <c r="J4020" s="68"/>
      <c r="K4020" s="32"/>
      <c r="L4020" s="75">
        <v>4020</v>
      </c>
      <c r="M4020" s="75"/>
      <c r="N4020" s="70"/>
      <c r="O4020" s="77" t="s">
        <v>179</v>
      </c>
      <c r="P4020" s="79">
        <v>45138.62777777778</v>
      </c>
      <c r="Q4020" s="77" t="s">
        <v>5634</v>
      </c>
      <c r="R4020" s="77">
        <v>0</v>
      </c>
      <c r="S4020" s="77">
        <v>0</v>
      </c>
      <c r="T4020" s="77">
        <v>0</v>
      </c>
      <c r="U4020" s="77">
        <v>0</v>
      </c>
      <c r="V4020" s="77">
        <v>253</v>
      </c>
      <c r="W4020" s="80" t="s">
        <v>8429</v>
      </c>
      <c r="X4020" s="83" t="str">
        <f>HYPERLINK("https://bit.ly/44C7U7T")</f>
        <v>https://bit.ly/44C7U7T</v>
      </c>
      <c r="Y4020" s="77" t="s">
        <v>8618</v>
      </c>
      <c r="Z4020" s="77"/>
      <c r="AA4020" s="77" t="s">
        <v>10386</v>
      </c>
      <c r="AB4020" s="77" t="s">
        <v>10535</v>
      </c>
      <c r="AC4020" s="80" t="s">
        <v>10541</v>
      </c>
      <c r="AD4020" s="77" t="s">
        <v>10620</v>
      </c>
      <c r="AE4020" s="83" t="str">
        <f>HYPERLINK("https://twitter.com/inversorglobal/status/1686029952817455104")</f>
        <v>https://twitter.com/inversorglobal/status/1686029952817455104</v>
      </c>
      <c r="AF4020" s="79">
        <v>45138.62777777778</v>
      </c>
      <c r="AG4020" s="85">
        <v>45138</v>
      </c>
      <c r="AH4020" s="80" t="s">
        <v>14116</v>
      </c>
      <c r="AI4020" s="77" t="b">
        <v>0</v>
      </c>
      <c r="AJ4020" s="77"/>
      <c r="AK4020" s="77"/>
      <c r="AL4020" s="77"/>
      <c r="AM4020" s="77"/>
      <c r="AN4020" s="77"/>
      <c r="AO4020" s="77"/>
      <c r="AP4020" s="77"/>
      <c r="AQ4020" s="77" t="s">
        <v>15865</v>
      </c>
      <c r="AR4020" s="77"/>
      <c r="AS4020" s="77"/>
      <c r="AT4020" s="77"/>
      <c r="AU4020" s="77"/>
      <c r="AV4020" s="83" t="str">
        <f>HYPERLINK("https://pbs.twimg.com/media/F2I3ghPXoBoxvmB.jpg")</f>
        <v>https://pbs.twimg.com/media/F2I3ghPXoBoxvmB.jpg</v>
      </c>
      <c r="AW4020" s="80" t="s">
        <v>19697</v>
      </c>
      <c r="AX4020" s="80" t="s">
        <v>19697</v>
      </c>
      <c r="AY4020" s="77"/>
      <c r="AZ4020" s="80" t="s">
        <v>20380</v>
      </c>
      <c r="BA4020" s="80" t="s">
        <v>20380</v>
      </c>
      <c r="BB4020" s="80" t="s">
        <v>20380</v>
      </c>
      <c r="BC4020" s="80" t="s">
        <v>19697</v>
      </c>
      <c r="BD4020" s="77">
        <v>29629086</v>
      </c>
      <c r="BE4020" s="77"/>
      <c r="BF4020" s="77"/>
      <c r="BG4020" s="77"/>
      <c r="BH4020" s="77"/>
      <c r="BI4020" s="77"/>
    </row>
    <row r="4021" spans="1:61" x14ac:dyDescent="0.25">
      <c r="A4021" s="62" t="s">
        <v>1613</v>
      </c>
      <c r="B4021" s="62" t="s">
        <v>1613</v>
      </c>
      <c r="C4021" s="63"/>
      <c r="D4021" s="64"/>
      <c r="E4021" s="65"/>
      <c r="F4021" s="66"/>
      <c r="G4021" s="63"/>
      <c r="H4021" s="67"/>
      <c r="I4021" s="68"/>
      <c r="J4021" s="68"/>
      <c r="K4021" s="32"/>
      <c r="L4021" s="75">
        <v>4021</v>
      </c>
      <c r="M4021" s="75"/>
      <c r="N4021" s="70"/>
      <c r="O4021" s="77" t="s">
        <v>179</v>
      </c>
      <c r="P4021" s="79">
        <v>45137.805555555555</v>
      </c>
      <c r="Q4021" s="77" t="s">
        <v>5635</v>
      </c>
      <c r="R4021" s="77">
        <v>0</v>
      </c>
      <c r="S4021" s="77">
        <v>2</v>
      </c>
      <c r="T4021" s="77">
        <v>0</v>
      </c>
      <c r="U4021" s="77">
        <v>0</v>
      </c>
      <c r="V4021" s="77">
        <v>384</v>
      </c>
      <c r="W4021" s="80" t="s">
        <v>8429</v>
      </c>
      <c r="X4021" s="83" t="str">
        <f>HYPERLINK("https://bit.ly/44C7U7T")</f>
        <v>https://bit.ly/44C7U7T</v>
      </c>
      <c r="Y4021" s="77" t="s">
        <v>8618</v>
      </c>
      <c r="Z4021" s="77"/>
      <c r="AA4021" s="77" t="s">
        <v>10387</v>
      </c>
      <c r="AB4021" s="77" t="s">
        <v>10535</v>
      </c>
      <c r="AC4021" s="80" t="s">
        <v>10541</v>
      </c>
      <c r="AD4021" s="77" t="s">
        <v>10620</v>
      </c>
      <c r="AE4021" s="83" t="str">
        <f>HYPERLINK("https://twitter.com/inversorglobal/status/1685731988999671810")</f>
        <v>https://twitter.com/inversorglobal/status/1685731988999671810</v>
      </c>
      <c r="AF4021" s="79">
        <v>45137.805555555555</v>
      </c>
      <c r="AG4021" s="85">
        <v>45137</v>
      </c>
      <c r="AH4021" s="80" t="s">
        <v>11518</v>
      </c>
      <c r="AI4021" s="77" t="b">
        <v>0</v>
      </c>
      <c r="AJ4021" s="77"/>
      <c r="AK4021" s="77"/>
      <c r="AL4021" s="77"/>
      <c r="AM4021" s="77"/>
      <c r="AN4021" s="77"/>
      <c r="AO4021" s="77"/>
      <c r="AP4021" s="77"/>
      <c r="AQ4021" s="77" t="s">
        <v>15866</v>
      </c>
      <c r="AR4021" s="77"/>
      <c r="AS4021" s="77"/>
      <c r="AT4021" s="77"/>
      <c r="AU4021" s="77"/>
      <c r="AV4021" s="83" t="str">
        <f>HYPERLINK("https://pbs.twimg.com/media/F2I3ZcDXoBI6ZmB.jpg")</f>
        <v>https://pbs.twimg.com/media/F2I3ZcDXoBI6ZmB.jpg</v>
      </c>
      <c r="AW4021" s="80" t="s">
        <v>19698</v>
      </c>
      <c r="AX4021" s="80" t="s">
        <v>19698</v>
      </c>
      <c r="AY4021" s="77"/>
      <c r="AZ4021" s="80" t="s">
        <v>20380</v>
      </c>
      <c r="BA4021" s="80" t="s">
        <v>20380</v>
      </c>
      <c r="BB4021" s="80" t="s">
        <v>20380</v>
      </c>
      <c r="BC4021" s="80" t="s">
        <v>19698</v>
      </c>
      <c r="BD4021" s="77">
        <v>29629086</v>
      </c>
      <c r="BE4021" s="77"/>
      <c r="BF4021" s="77"/>
      <c r="BG4021" s="77"/>
      <c r="BH4021" s="77"/>
      <c r="BI4021" s="77"/>
    </row>
    <row r="4022" spans="1:61" x14ac:dyDescent="0.25">
      <c r="A4022" s="62" t="s">
        <v>1613</v>
      </c>
      <c r="B4022" s="62" t="s">
        <v>1613</v>
      </c>
      <c r="C4022" s="63"/>
      <c r="D4022" s="64"/>
      <c r="E4022" s="65"/>
      <c r="F4022" s="66"/>
      <c r="G4022" s="63"/>
      <c r="H4022" s="67"/>
      <c r="I4022" s="68"/>
      <c r="J4022" s="68"/>
      <c r="K4022" s="32"/>
      <c r="L4022" s="75">
        <v>4022</v>
      </c>
      <c r="M4022" s="75"/>
      <c r="N4022" s="70"/>
      <c r="O4022" s="77" t="s">
        <v>179</v>
      </c>
      <c r="P4022" s="79">
        <v>45135.861111111109</v>
      </c>
      <c r="Q4022" s="77" t="s">
        <v>5636</v>
      </c>
      <c r="R4022" s="77">
        <v>0</v>
      </c>
      <c r="S4022" s="77">
        <v>0</v>
      </c>
      <c r="T4022" s="77">
        <v>0</v>
      </c>
      <c r="U4022" s="77">
        <v>0</v>
      </c>
      <c r="V4022" s="77">
        <v>266</v>
      </c>
      <c r="W4022" s="80" t="s">
        <v>8429</v>
      </c>
      <c r="X4022" s="83" t="str">
        <f>HYPERLINK("https://bit.ly/44C7U7T")</f>
        <v>https://bit.ly/44C7U7T</v>
      </c>
      <c r="Y4022" s="77" t="s">
        <v>8618</v>
      </c>
      <c r="Z4022" s="77"/>
      <c r="AA4022" s="77" t="s">
        <v>10388</v>
      </c>
      <c r="AB4022" s="77" t="s">
        <v>10535</v>
      </c>
      <c r="AC4022" s="80" t="s">
        <v>10541</v>
      </c>
      <c r="AD4022" s="77" t="s">
        <v>10620</v>
      </c>
      <c r="AE4022" s="83" t="str">
        <f>HYPERLINK("https://twitter.com/inversorglobal/status/1685027345781157888")</f>
        <v>https://twitter.com/inversorglobal/status/1685027345781157888</v>
      </c>
      <c r="AF4022" s="79">
        <v>45135.861111111109</v>
      </c>
      <c r="AG4022" s="85">
        <v>45135</v>
      </c>
      <c r="AH4022" s="80" t="s">
        <v>12816</v>
      </c>
      <c r="AI4022" s="77" t="b">
        <v>0</v>
      </c>
      <c r="AJ4022" s="77"/>
      <c r="AK4022" s="77"/>
      <c r="AL4022" s="77"/>
      <c r="AM4022" s="77"/>
      <c r="AN4022" s="77"/>
      <c r="AO4022" s="77"/>
      <c r="AP4022" s="77"/>
      <c r="AQ4022" s="77" t="s">
        <v>15867</v>
      </c>
      <c r="AR4022" s="77"/>
      <c r="AS4022" s="77"/>
      <c r="AT4022" s="77"/>
      <c r="AU4022" s="77"/>
      <c r="AV4022" s="83" t="str">
        <f>HYPERLINK("https://pbs.twimg.com/media/F2I3TC3XoBcTZG7.jpg")</f>
        <v>https://pbs.twimg.com/media/F2I3TC3XoBcTZG7.jpg</v>
      </c>
      <c r="AW4022" s="80" t="s">
        <v>19699</v>
      </c>
      <c r="AX4022" s="80" t="s">
        <v>19699</v>
      </c>
      <c r="AY4022" s="77"/>
      <c r="AZ4022" s="80" t="s">
        <v>20380</v>
      </c>
      <c r="BA4022" s="80" t="s">
        <v>20380</v>
      </c>
      <c r="BB4022" s="80" t="s">
        <v>20380</v>
      </c>
      <c r="BC4022" s="80" t="s">
        <v>19699</v>
      </c>
      <c r="BD4022" s="77">
        <v>29629086</v>
      </c>
      <c r="BE4022" s="77"/>
      <c r="BF4022" s="77"/>
      <c r="BG4022" s="77"/>
      <c r="BH4022" s="77"/>
      <c r="BI4022" s="77"/>
    </row>
    <row r="4023" spans="1:61" x14ac:dyDescent="0.25">
      <c r="A4023" s="62" t="s">
        <v>1613</v>
      </c>
      <c r="B4023" s="62" t="s">
        <v>1613</v>
      </c>
      <c r="C4023" s="63"/>
      <c r="D4023" s="64"/>
      <c r="E4023" s="65"/>
      <c r="F4023" s="66"/>
      <c r="G4023" s="63"/>
      <c r="H4023" s="67"/>
      <c r="I4023" s="68"/>
      <c r="J4023" s="68"/>
      <c r="K4023" s="32"/>
      <c r="L4023" s="75">
        <v>4023</v>
      </c>
      <c r="M4023" s="75"/>
      <c r="N4023" s="70"/>
      <c r="O4023" s="77" t="s">
        <v>179</v>
      </c>
      <c r="P4023" s="79">
        <v>45140.9375</v>
      </c>
      <c r="Q4023" s="77" t="s">
        <v>5637</v>
      </c>
      <c r="R4023" s="77">
        <v>0</v>
      </c>
      <c r="S4023" s="77">
        <v>1</v>
      </c>
      <c r="T4023" s="77">
        <v>0</v>
      </c>
      <c r="U4023" s="77">
        <v>0</v>
      </c>
      <c r="V4023" s="77">
        <v>281</v>
      </c>
      <c r="W4023" s="80" t="s">
        <v>8429</v>
      </c>
      <c r="X4023" s="83" t="str">
        <f>HYPERLINK("https://bit.ly/44C7U7T")</f>
        <v>https://bit.ly/44C7U7T</v>
      </c>
      <c r="Y4023" s="77" t="s">
        <v>8618</v>
      </c>
      <c r="Z4023" s="77"/>
      <c r="AA4023" s="77" t="s">
        <v>10389</v>
      </c>
      <c r="AB4023" s="77" t="s">
        <v>10539</v>
      </c>
      <c r="AC4023" s="80" t="s">
        <v>10541</v>
      </c>
      <c r="AD4023" s="77" t="s">
        <v>10620</v>
      </c>
      <c r="AE4023" s="83" t="str">
        <f>HYPERLINK("https://twitter.com/inversorglobal/status/1686866967452581896")</f>
        <v>https://twitter.com/inversorglobal/status/1686866967452581896</v>
      </c>
      <c r="AF4023" s="79">
        <v>45140.9375</v>
      </c>
      <c r="AG4023" s="85">
        <v>45140</v>
      </c>
      <c r="AH4023" s="80" t="s">
        <v>13733</v>
      </c>
      <c r="AI4023" s="77" t="b">
        <v>0</v>
      </c>
      <c r="AJ4023" s="77"/>
      <c r="AK4023" s="77"/>
      <c r="AL4023" s="77"/>
      <c r="AM4023" s="77"/>
      <c r="AN4023" s="77"/>
      <c r="AO4023" s="77"/>
      <c r="AP4023" s="77"/>
      <c r="AQ4023" s="77" t="s">
        <v>15868</v>
      </c>
      <c r="AR4023" s="77"/>
      <c r="AS4023" s="77"/>
      <c r="AT4023" s="77"/>
      <c r="AU4023" s="77"/>
      <c r="AV4023" s="83" t="str">
        <f>HYPERLINK("https://pbs.twimg.com/tweet_video_thumb/F2jZSU4XkAAHs_4.jpg")</f>
        <v>https://pbs.twimg.com/tweet_video_thumb/F2jZSU4XkAAHs_4.jpg</v>
      </c>
      <c r="AW4023" s="80" t="s">
        <v>19700</v>
      </c>
      <c r="AX4023" s="80" t="s">
        <v>19700</v>
      </c>
      <c r="AY4023" s="77"/>
      <c r="AZ4023" s="80" t="s">
        <v>20380</v>
      </c>
      <c r="BA4023" s="80" t="s">
        <v>20380</v>
      </c>
      <c r="BB4023" s="80" t="s">
        <v>20380</v>
      </c>
      <c r="BC4023" s="80" t="s">
        <v>19700</v>
      </c>
      <c r="BD4023" s="77">
        <v>29629086</v>
      </c>
      <c r="BE4023" s="77"/>
      <c r="BF4023" s="77"/>
      <c r="BG4023" s="77"/>
      <c r="BH4023" s="77"/>
      <c r="BI4023" s="77"/>
    </row>
    <row r="4024" spans="1:61" x14ac:dyDescent="0.25">
      <c r="A4024" s="62" t="s">
        <v>1614</v>
      </c>
      <c r="B4024" s="62" t="s">
        <v>1655</v>
      </c>
      <c r="C4024" s="63"/>
      <c r="D4024" s="64"/>
      <c r="E4024" s="65"/>
      <c r="F4024" s="66"/>
      <c r="G4024" s="63"/>
      <c r="H4024" s="67"/>
      <c r="I4024" s="68"/>
      <c r="J4024" s="68"/>
      <c r="K4024" s="32"/>
      <c r="L4024" s="75">
        <v>4024</v>
      </c>
      <c r="M4024" s="75"/>
      <c r="N4024" s="70"/>
      <c r="O4024" s="77" t="s">
        <v>2083</v>
      </c>
      <c r="P4024" s="79">
        <v>45191.012164351851</v>
      </c>
      <c r="Q4024" s="77" t="s">
        <v>2120</v>
      </c>
      <c r="R4024" s="77">
        <v>57</v>
      </c>
      <c r="S4024" s="77">
        <v>0</v>
      </c>
      <c r="T4024" s="77">
        <v>0</v>
      </c>
      <c r="U4024" s="77">
        <v>0</v>
      </c>
      <c r="V4024" s="77"/>
      <c r="W4024" s="80" t="s">
        <v>5917</v>
      </c>
      <c r="X4024" s="77"/>
      <c r="Y4024" s="77"/>
      <c r="Z4024" s="77" t="s">
        <v>1655</v>
      </c>
      <c r="AA4024" s="77"/>
      <c r="AB4024" s="77"/>
      <c r="AC4024" s="80" t="s">
        <v>10540</v>
      </c>
      <c r="AD4024" s="77" t="s">
        <v>10617</v>
      </c>
      <c r="AE4024" s="83" t="str">
        <f>HYPERLINK("https://twitter.com/rodrigorx95/status/1705013419139551665")</f>
        <v>https://twitter.com/rodrigorx95/status/1705013419139551665</v>
      </c>
      <c r="AF4024" s="79">
        <v>45191.012164351851</v>
      </c>
      <c r="AG4024" s="85">
        <v>45191</v>
      </c>
      <c r="AH4024" s="80" t="s">
        <v>13233</v>
      </c>
      <c r="AI4024" s="77"/>
      <c r="AJ4024" s="77"/>
      <c r="AK4024" s="77"/>
      <c r="AL4024" s="77"/>
      <c r="AM4024" s="77"/>
      <c r="AN4024" s="77"/>
      <c r="AO4024" s="77"/>
      <c r="AP4024" s="77"/>
      <c r="AQ4024" s="77"/>
      <c r="AR4024" s="77"/>
      <c r="AS4024" s="77"/>
      <c r="AT4024" s="77"/>
      <c r="AU4024" s="77"/>
      <c r="AV4024" s="83" t="str">
        <f>HYPERLINK("https://pbs.twimg.com/profile_images/1696394445971705856/s6xHRuwU_normal.jpg")</f>
        <v>https://pbs.twimg.com/profile_images/1696394445971705856/s6xHRuwU_normal.jpg</v>
      </c>
      <c r="AW4024" s="80" t="s">
        <v>19701</v>
      </c>
      <c r="AX4024" s="80" t="s">
        <v>19701</v>
      </c>
      <c r="AY4024" s="77"/>
      <c r="AZ4024" s="80" t="s">
        <v>20380</v>
      </c>
      <c r="BA4024" s="80" t="s">
        <v>20380</v>
      </c>
      <c r="BB4024" s="80" t="s">
        <v>19843</v>
      </c>
      <c r="BC4024" s="80" t="s">
        <v>19843</v>
      </c>
      <c r="BD4024" s="77">
        <v>3356973699</v>
      </c>
      <c r="BE4024" s="77"/>
      <c r="BF4024" s="77"/>
      <c r="BG4024" s="77"/>
      <c r="BH4024" s="77"/>
      <c r="BI4024" s="77"/>
    </row>
    <row r="4025" spans="1:61" x14ac:dyDescent="0.25">
      <c r="A4025" s="62" t="s">
        <v>1615</v>
      </c>
      <c r="B4025" s="62" t="s">
        <v>1615</v>
      </c>
      <c r="C4025" s="63"/>
      <c r="D4025" s="64"/>
      <c r="E4025" s="65"/>
      <c r="F4025" s="66"/>
      <c r="G4025" s="63"/>
      <c r="H4025" s="67"/>
      <c r="I4025" s="68"/>
      <c r="J4025" s="68"/>
      <c r="K4025" s="32"/>
      <c r="L4025" s="75">
        <v>4025</v>
      </c>
      <c r="M4025" s="75"/>
      <c r="N4025" s="70"/>
      <c r="O4025" s="77" t="s">
        <v>179</v>
      </c>
      <c r="P4025" s="79">
        <v>45133.601342592592</v>
      </c>
      <c r="Q4025" s="77" t="s">
        <v>5638</v>
      </c>
      <c r="R4025" s="77">
        <v>4</v>
      </c>
      <c r="S4025" s="77">
        <v>6</v>
      </c>
      <c r="T4025" s="77">
        <v>0</v>
      </c>
      <c r="U4025" s="77">
        <v>0</v>
      </c>
      <c r="V4025" s="77">
        <v>497</v>
      </c>
      <c r="W4025" s="80" t="s">
        <v>8430</v>
      </c>
      <c r="X4025" s="83" t="str">
        <f>HYPERLINK("https://youtu.be/jncpJ7bJfAg")</f>
        <v>https://youtu.be/jncpJ7bJfAg</v>
      </c>
      <c r="Y4025" s="77" t="s">
        <v>8635</v>
      </c>
      <c r="Z4025" s="77"/>
      <c r="AA4025" s="77"/>
      <c r="AB4025" s="77"/>
      <c r="AC4025" s="80" t="s">
        <v>10541</v>
      </c>
      <c r="AD4025" s="77" t="s">
        <v>10617</v>
      </c>
      <c r="AE4025" s="83" t="str">
        <f>HYPERLINK("https://twitter.com/bancomoc/status/1684208434638462979")</f>
        <v>https://twitter.com/bancomoc/status/1684208434638462979</v>
      </c>
      <c r="AF4025" s="79">
        <v>45133.601342592592</v>
      </c>
      <c r="AG4025" s="85">
        <v>45133</v>
      </c>
      <c r="AH4025" s="80" t="s">
        <v>14117</v>
      </c>
      <c r="AI4025" s="77" t="b">
        <v>0</v>
      </c>
      <c r="AJ4025" s="77"/>
      <c r="AK4025" s="77"/>
      <c r="AL4025" s="77"/>
      <c r="AM4025" s="77"/>
      <c r="AN4025" s="77"/>
      <c r="AO4025" s="77"/>
      <c r="AP4025" s="77"/>
      <c r="AQ4025" s="77"/>
      <c r="AR4025" s="77"/>
      <c r="AS4025" s="77"/>
      <c r="AT4025" s="77"/>
      <c r="AU4025" s="77"/>
      <c r="AV4025" s="83" t="str">
        <f>HYPERLINK("https://pbs.twimg.com/profile_images/910770875657580545/xdON1nxu_normal.jpg")</f>
        <v>https://pbs.twimg.com/profile_images/910770875657580545/xdON1nxu_normal.jpg</v>
      </c>
      <c r="AW4025" s="80" t="s">
        <v>19702</v>
      </c>
      <c r="AX4025" s="80" t="s">
        <v>19702</v>
      </c>
      <c r="AY4025" s="77"/>
      <c r="AZ4025" s="80" t="s">
        <v>20380</v>
      </c>
      <c r="BA4025" s="80" t="s">
        <v>20380</v>
      </c>
      <c r="BB4025" s="80" t="s">
        <v>20380</v>
      </c>
      <c r="BC4025" s="80" t="s">
        <v>19702</v>
      </c>
      <c r="BD4025" s="80" t="s">
        <v>21167</v>
      </c>
      <c r="BE4025" s="77"/>
      <c r="BF4025" s="77"/>
      <c r="BG4025" s="77"/>
      <c r="BH4025" s="77"/>
      <c r="BI4025" s="77"/>
    </row>
    <row r="4026" spans="1:61" x14ac:dyDescent="0.25">
      <c r="A4026" s="62" t="s">
        <v>1615</v>
      </c>
      <c r="B4026" s="62" t="s">
        <v>1615</v>
      </c>
      <c r="C4026" s="63"/>
      <c r="D4026" s="64"/>
      <c r="E4026" s="65"/>
      <c r="F4026" s="66"/>
      <c r="G4026" s="63"/>
      <c r="H4026" s="67"/>
      <c r="I4026" s="68"/>
      <c r="J4026" s="68"/>
      <c r="K4026" s="32"/>
      <c r="L4026" s="75">
        <v>4026</v>
      </c>
      <c r="M4026" s="75"/>
      <c r="N4026" s="70"/>
      <c r="O4026" s="77" t="s">
        <v>179</v>
      </c>
      <c r="P4026" s="79">
        <v>45106.54277777778</v>
      </c>
      <c r="Q4026" s="77" t="s">
        <v>5639</v>
      </c>
      <c r="R4026" s="77">
        <v>0</v>
      </c>
      <c r="S4026" s="77">
        <v>5</v>
      </c>
      <c r="T4026" s="77">
        <v>0</v>
      </c>
      <c r="U4026" s="77">
        <v>0</v>
      </c>
      <c r="V4026" s="77">
        <v>364</v>
      </c>
      <c r="W4026" s="80" t="s">
        <v>8431</v>
      </c>
      <c r="X4026" s="83" t="str">
        <f>HYPERLINK("https://www.bancomoc.mz/pt/media/noticias/")</f>
        <v>https://www.bancomoc.mz/pt/media/noticias/</v>
      </c>
      <c r="Y4026" s="77" t="s">
        <v>8882</v>
      </c>
      <c r="Z4026" s="77"/>
      <c r="AA4026" s="77" t="s">
        <v>10390</v>
      </c>
      <c r="AB4026" s="77" t="s">
        <v>10538</v>
      </c>
      <c r="AC4026" s="80" t="s">
        <v>10541</v>
      </c>
      <c r="AD4026" s="77" t="s">
        <v>10617</v>
      </c>
      <c r="AE4026" s="83" t="str">
        <f>HYPERLINK("https://twitter.com/bancomoc/status/1674402738673729538")</f>
        <v>https://twitter.com/bancomoc/status/1674402738673729538</v>
      </c>
      <c r="AF4026" s="79">
        <v>45106.54277777778</v>
      </c>
      <c r="AG4026" s="85">
        <v>45106</v>
      </c>
      <c r="AH4026" s="80" t="s">
        <v>14118</v>
      </c>
      <c r="AI4026" s="77" t="b">
        <v>0</v>
      </c>
      <c r="AJ4026" s="77"/>
      <c r="AK4026" s="77"/>
      <c r="AL4026" s="77"/>
      <c r="AM4026" s="77"/>
      <c r="AN4026" s="77"/>
      <c r="AO4026" s="77"/>
      <c r="AP4026" s="77"/>
      <c r="AQ4026" s="77" t="s">
        <v>15869</v>
      </c>
      <c r="AR4026" s="77"/>
      <c r="AS4026" s="77"/>
      <c r="AT4026" s="77"/>
      <c r="AU4026" s="77"/>
      <c r="AV4026" s="83" t="str">
        <f>HYPERLINK("https://pbs.twimg.com/media/FzysP6aWcAASz1Q.jpg")</f>
        <v>https://pbs.twimg.com/media/FzysP6aWcAASz1Q.jpg</v>
      </c>
      <c r="AW4026" s="80" t="s">
        <v>19703</v>
      </c>
      <c r="AX4026" s="80" t="s">
        <v>19703</v>
      </c>
      <c r="AY4026" s="77"/>
      <c r="AZ4026" s="80" t="s">
        <v>20380</v>
      </c>
      <c r="BA4026" s="80" t="s">
        <v>20380</v>
      </c>
      <c r="BB4026" s="80" t="s">
        <v>20380</v>
      </c>
      <c r="BC4026" s="80" t="s">
        <v>19703</v>
      </c>
      <c r="BD4026" s="80" t="s">
        <v>21167</v>
      </c>
      <c r="BE4026" s="77"/>
      <c r="BF4026" s="77"/>
      <c r="BG4026" s="77"/>
      <c r="BH4026" s="77"/>
      <c r="BI4026" s="77"/>
    </row>
    <row r="4027" spans="1:61" x14ac:dyDescent="0.25">
      <c r="A4027" s="62" t="s">
        <v>1615</v>
      </c>
      <c r="B4027" s="62" t="s">
        <v>1615</v>
      </c>
      <c r="C4027" s="63"/>
      <c r="D4027" s="64"/>
      <c r="E4027" s="65"/>
      <c r="F4027" s="66"/>
      <c r="G4027" s="63"/>
      <c r="H4027" s="67"/>
      <c r="I4027" s="68"/>
      <c r="J4027" s="68"/>
      <c r="K4027" s="32"/>
      <c r="L4027" s="75">
        <v>4027</v>
      </c>
      <c r="M4027" s="75"/>
      <c r="N4027" s="70"/>
      <c r="O4027" s="77" t="s">
        <v>179</v>
      </c>
      <c r="P4027" s="79">
        <v>45093.381712962961</v>
      </c>
      <c r="Q4027" s="77" t="s">
        <v>5640</v>
      </c>
      <c r="R4027" s="77">
        <v>1</v>
      </c>
      <c r="S4027" s="77">
        <v>10</v>
      </c>
      <c r="T4027" s="77">
        <v>0</v>
      </c>
      <c r="U4027" s="77">
        <v>1</v>
      </c>
      <c r="V4027" s="77">
        <v>560</v>
      </c>
      <c r="W4027" s="80" t="s">
        <v>8432</v>
      </c>
      <c r="X4027" s="77"/>
      <c r="Y4027" s="77"/>
      <c r="Z4027" s="77"/>
      <c r="AA4027" s="77" t="s">
        <v>10391</v>
      </c>
      <c r="AB4027" s="77" t="s">
        <v>10535</v>
      </c>
      <c r="AC4027" s="80" t="s">
        <v>10541</v>
      </c>
      <c r="AD4027" s="77" t="s">
        <v>10619</v>
      </c>
      <c r="AE4027" s="83" t="str">
        <f>HYPERLINK("https://twitter.com/bancomoc/status/1669633329518239744")</f>
        <v>https://twitter.com/bancomoc/status/1669633329518239744</v>
      </c>
      <c r="AF4027" s="79">
        <v>45093.381712962961</v>
      </c>
      <c r="AG4027" s="85">
        <v>45093</v>
      </c>
      <c r="AH4027" s="80" t="s">
        <v>14119</v>
      </c>
      <c r="AI4027" s="77" t="b">
        <v>0</v>
      </c>
      <c r="AJ4027" s="77"/>
      <c r="AK4027" s="77"/>
      <c r="AL4027" s="77"/>
      <c r="AM4027" s="77"/>
      <c r="AN4027" s="77"/>
      <c r="AO4027" s="77"/>
      <c r="AP4027" s="77"/>
      <c r="AQ4027" s="77" t="s">
        <v>15870</v>
      </c>
      <c r="AR4027" s="77"/>
      <c r="AS4027" s="77"/>
      <c r="AT4027" s="77"/>
      <c r="AU4027" s="77"/>
      <c r="AV4027" s="83" t="str">
        <f>HYPERLINK("https://pbs.twimg.com/media/Fyu6p-ZWAAEgXJ-.jpg")</f>
        <v>https://pbs.twimg.com/media/Fyu6p-ZWAAEgXJ-.jpg</v>
      </c>
      <c r="AW4027" s="80" t="s">
        <v>19704</v>
      </c>
      <c r="AX4027" s="80" t="s">
        <v>19704</v>
      </c>
      <c r="AY4027" s="77"/>
      <c r="AZ4027" s="80" t="s">
        <v>20380</v>
      </c>
      <c r="BA4027" s="80" t="s">
        <v>20380</v>
      </c>
      <c r="BB4027" s="80" t="s">
        <v>20380</v>
      </c>
      <c r="BC4027" s="80" t="s">
        <v>19704</v>
      </c>
      <c r="BD4027" s="80" t="s">
        <v>21167</v>
      </c>
      <c r="BE4027" s="77"/>
      <c r="BF4027" s="77"/>
      <c r="BG4027" s="77"/>
      <c r="BH4027" s="77"/>
      <c r="BI4027" s="77"/>
    </row>
    <row r="4028" spans="1:61" x14ac:dyDescent="0.25">
      <c r="A4028" s="62" t="s">
        <v>1615</v>
      </c>
      <c r="B4028" s="62" t="s">
        <v>1615</v>
      </c>
      <c r="C4028" s="63"/>
      <c r="D4028" s="64"/>
      <c r="E4028" s="65"/>
      <c r="F4028" s="66"/>
      <c r="G4028" s="63"/>
      <c r="H4028" s="67"/>
      <c r="I4028" s="68"/>
      <c r="J4028" s="68"/>
      <c r="K4028" s="32"/>
      <c r="L4028" s="75">
        <v>4028</v>
      </c>
      <c r="M4028" s="75"/>
      <c r="N4028" s="70"/>
      <c r="O4028" s="77" t="s">
        <v>179</v>
      </c>
      <c r="P4028" s="79">
        <v>45152.427222222221</v>
      </c>
      <c r="Q4028" s="77" t="s">
        <v>5641</v>
      </c>
      <c r="R4028" s="77">
        <v>0</v>
      </c>
      <c r="S4028" s="77">
        <v>6</v>
      </c>
      <c r="T4028" s="77">
        <v>0</v>
      </c>
      <c r="U4028" s="77">
        <v>0</v>
      </c>
      <c r="V4028" s="77">
        <v>305</v>
      </c>
      <c r="W4028" s="80" t="s">
        <v>8433</v>
      </c>
      <c r="X4028" s="83" t="str">
        <f>HYPERLINK("http://www.ine.gov.mz")</f>
        <v>http://www.ine.gov.mz</v>
      </c>
      <c r="Y4028" s="77" t="s">
        <v>8883</v>
      </c>
      <c r="Z4028" s="77"/>
      <c r="AA4028" s="77" t="s">
        <v>10392</v>
      </c>
      <c r="AB4028" s="77" t="s">
        <v>10535</v>
      </c>
      <c r="AC4028" s="80" t="s">
        <v>10541</v>
      </c>
      <c r="AD4028" s="77" t="s">
        <v>10617</v>
      </c>
      <c r="AE4028" s="83" t="str">
        <f>HYPERLINK("https://twitter.com/bancomoc/status/1691030705642307584")</f>
        <v>https://twitter.com/bancomoc/status/1691030705642307584</v>
      </c>
      <c r="AF4028" s="79">
        <v>45152.427222222221</v>
      </c>
      <c r="AG4028" s="85">
        <v>45152</v>
      </c>
      <c r="AH4028" s="80" t="s">
        <v>14120</v>
      </c>
      <c r="AI4028" s="77" t="b">
        <v>0</v>
      </c>
      <c r="AJ4028" s="77"/>
      <c r="AK4028" s="77"/>
      <c r="AL4028" s="77"/>
      <c r="AM4028" s="77"/>
      <c r="AN4028" s="77"/>
      <c r="AO4028" s="77"/>
      <c r="AP4028" s="77"/>
      <c r="AQ4028" s="77" t="s">
        <v>15871</v>
      </c>
      <c r="AR4028" s="77"/>
      <c r="AS4028" s="77"/>
      <c r="AT4028" s="77"/>
      <c r="AU4028" s="77"/>
      <c r="AV4028" s="83" t="str">
        <f>HYPERLINK("https://pbs.twimg.com/media/F3e_ceQWkAAe5cm.jpg")</f>
        <v>https://pbs.twimg.com/media/F3e_ceQWkAAe5cm.jpg</v>
      </c>
      <c r="AW4028" s="80" t="s">
        <v>19705</v>
      </c>
      <c r="AX4028" s="80" t="s">
        <v>19705</v>
      </c>
      <c r="AY4028" s="77"/>
      <c r="AZ4028" s="80" t="s">
        <v>20380</v>
      </c>
      <c r="BA4028" s="80" t="s">
        <v>20380</v>
      </c>
      <c r="BB4028" s="80" t="s">
        <v>20380</v>
      </c>
      <c r="BC4028" s="80" t="s">
        <v>19705</v>
      </c>
      <c r="BD4028" s="80" t="s">
        <v>21167</v>
      </c>
      <c r="BE4028" s="77"/>
      <c r="BF4028" s="77"/>
      <c r="BG4028" s="77"/>
      <c r="BH4028" s="77"/>
      <c r="BI4028" s="77"/>
    </row>
    <row r="4029" spans="1:61" x14ac:dyDescent="0.25">
      <c r="A4029" s="62" t="s">
        <v>1615</v>
      </c>
      <c r="B4029" s="62" t="s">
        <v>1615</v>
      </c>
      <c r="C4029" s="63"/>
      <c r="D4029" s="64"/>
      <c r="E4029" s="65"/>
      <c r="F4029" s="66"/>
      <c r="G4029" s="63"/>
      <c r="H4029" s="67"/>
      <c r="I4029" s="68"/>
      <c r="J4029" s="68"/>
      <c r="K4029" s="32"/>
      <c r="L4029" s="75">
        <v>4029</v>
      </c>
      <c r="M4029" s="75"/>
      <c r="N4029" s="70"/>
      <c r="O4029" s="77" t="s">
        <v>179</v>
      </c>
      <c r="P4029" s="79">
        <v>45118.416331018518</v>
      </c>
      <c r="Q4029" s="77" t="s">
        <v>5642</v>
      </c>
      <c r="R4029" s="77">
        <v>7</v>
      </c>
      <c r="S4029" s="77">
        <v>18</v>
      </c>
      <c r="T4029" s="77">
        <v>0</v>
      </c>
      <c r="U4029" s="77">
        <v>1</v>
      </c>
      <c r="V4029" s="77">
        <v>914</v>
      </c>
      <c r="W4029" s="80" t="s">
        <v>8434</v>
      </c>
      <c r="X4029" s="83" t="str">
        <f>HYPERLINK("http://ine.gov.mz")</f>
        <v>http://ine.gov.mz</v>
      </c>
      <c r="Y4029" s="77" t="s">
        <v>8883</v>
      </c>
      <c r="Z4029" s="77"/>
      <c r="AA4029" s="77" t="s">
        <v>10393</v>
      </c>
      <c r="AB4029" s="77" t="s">
        <v>10535</v>
      </c>
      <c r="AC4029" s="80" t="s">
        <v>10541</v>
      </c>
      <c r="AD4029" s="77" t="s">
        <v>10617</v>
      </c>
      <c r="AE4029" s="83" t="str">
        <f>HYPERLINK("https://twitter.com/bancomoc/status/1678705572365885440")</f>
        <v>https://twitter.com/bancomoc/status/1678705572365885440</v>
      </c>
      <c r="AF4029" s="79">
        <v>45118.416331018518</v>
      </c>
      <c r="AG4029" s="85">
        <v>45118</v>
      </c>
      <c r="AH4029" s="80" t="s">
        <v>14121</v>
      </c>
      <c r="AI4029" s="77" t="b">
        <v>0</v>
      </c>
      <c r="AJ4029" s="77"/>
      <c r="AK4029" s="77"/>
      <c r="AL4029" s="77"/>
      <c r="AM4029" s="77"/>
      <c r="AN4029" s="77"/>
      <c r="AO4029" s="77"/>
      <c r="AP4029" s="77"/>
      <c r="AQ4029" s="77" t="s">
        <v>15872</v>
      </c>
      <c r="AR4029" s="77"/>
      <c r="AS4029" s="77"/>
      <c r="AT4029" s="77"/>
      <c r="AU4029" s="77"/>
      <c r="AV4029" s="83" t="str">
        <f>HYPERLINK("https://pbs.twimg.com/media/F0v1z1VWYAAWBbb.jpg")</f>
        <v>https://pbs.twimg.com/media/F0v1z1VWYAAWBbb.jpg</v>
      </c>
      <c r="AW4029" s="80" t="s">
        <v>19706</v>
      </c>
      <c r="AX4029" s="80" t="s">
        <v>19706</v>
      </c>
      <c r="AY4029" s="77"/>
      <c r="AZ4029" s="80" t="s">
        <v>20380</v>
      </c>
      <c r="BA4029" s="80" t="s">
        <v>20380</v>
      </c>
      <c r="BB4029" s="80" t="s">
        <v>20380</v>
      </c>
      <c r="BC4029" s="80" t="s">
        <v>19706</v>
      </c>
      <c r="BD4029" s="80" t="s">
        <v>21167</v>
      </c>
      <c r="BE4029" s="77"/>
      <c r="BF4029" s="77"/>
      <c r="BG4029" s="77"/>
      <c r="BH4029" s="77"/>
      <c r="BI4029" s="77"/>
    </row>
    <row r="4030" spans="1:61" x14ac:dyDescent="0.25">
      <c r="A4030" s="62" t="s">
        <v>1615</v>
      </c>
      <c r="B4030" s="62" t="s">
        <v>1615</v>
      </c>
      <c r="C4030" s="63"/>
      <c r="D4030" s="64"/>
      <c r="E4030" s="65"/>
      <c r="F4030" s="66"/>
      <c r="G4030" s="63"/>
      <c r="H4030" s="67"/>
      <c r="I4030" s="68"/>
      <c r="J4030" s="68"/>
      <c r="K4030" s="32"/>
      <c r="L4030" s="75">
        <v>4030</v>
      </c>
      <c r="M4030" s="75"/>
      <c r="N4030" s="70"/>
      <c r="O4030" s="77" t="s">
        <v>179</v>
      </c>
      <c r="P4030" s="79">
        <v>45079.414965277778</v>
      </c>
      <c r="Q4030" s="77" t="s">
        <v>5643</v>
      </c>
      <c r="R4030" s="77">
        <v>0</v>
      </c>
      <c r="S4030" s="77">
        <v>3</v>
      </c>
      <c r="T4030" s="77">
        <v>0</v>
      </c>
      <c r="U4030" s="77">
        <v>0</v>
      </c>
      <c r="V4030" s="77">
        <v>256</v>
      </c>
      <c r="W4030" s="80" t="s">
        <v>8435</v>
      </c>
      <c r="X4030" s="83" t="str">
        <f>HYPERLINK("https://www.bancomoc.mz/pt/media/comunicados/")</f>
        <v>https://www.bancomoc.mz/pt/media/comunicados/</v>
      </c>
      <c r="Y4030" s="77" t="s">
        <v>8882</v>
      </c>
      <c r="Z4030" s="77"/>
      <c r="AA4030" s="77" t="s">
        <v>10394</v>
      </c>
      <c r="AB4030" s="77" t="s">
        <v>10535</v>
      </c>
      <c r="AC4030" s="80" t="s">
        <v>10541</v>
      </c>
      <c r="AD4030" s="77" t="s">
        <v>10617</v>
      </c>
      <c r="AE4030" s="83" t="str">
        <f>HYPERLINK("https://twitter.com/bancomoc/status/1664571949811478529")</f>
        <v>https://twitter.com/bancomoc/status/1664571949811478529</v>
      </c>
      <c r="AF4030" s="79">
        <v>45079.414965277778</v>
      </c>
      <c r="AG4030" s="85">
        <v>45079</v>
      </c>
      <c r="AH4030" s="80" t="s">
        <v>14122</v>
      </c>
      <c r="AI4030" s="77" t="b">
        <v>0</v>
      </c>
      <c r="AJ4030" s="77"/>
      <c r="AK4030" s="77"/>
      <c r="AL4030" s="77"/>
      <c r="AM4030" s="77"/>
      <c r="AN4030" s="77"/>
      <c r="AO4030" s="77"/>
      <c r="AP4030" s="77"/>
      <c r="AQ4030" s="77" t="s">
        <v>15873</v>
      </c>
      <c r="AR4030" s="77"/>
      <c r="AS4030" s="77"/>
      <c r="AT4030" s="77"/>
      <c r="AU4030" s="77"/>
      <c r="AV4030" s="83" t="str">
        <f>HYPERLINK("https://pbs.twimg.com/media/Fxm_VX6WYAAvUyq.jpg")</f>
        <v>https://pbs.twimg.com/media/Fxm_VX6WYAAvUyq.jpg</v>
      </c>
      <c r="AW4030" s="80" t="s">
        <v>19707</v>
      </c>
      <c r="AX4030" s="80" t="s">
        <v>19707</v>
      </c>
      <c r="AY4030" s="77"/>
      <c r="AZ4030" s="80" t="s">
        <v>20380</v>
      </c>
      <c r="BA4030" s="80" t="s">
        <v>20380</v>
      </c>
      <c r="BB4030" s="80" t="s">
        <v>20380</v>
      </c>
      <c r="BC4030" s="80" t="s">
        <v>19707</v>
      </c>
      <c r="BD4030" s="80" t="s">
        <v>21167</v>
      </c>
      <c r="BE4030" s="77"/>
      <c r="BF4030" s="77"/>
      <c r="BG4030" s="77"/>
      <c r="BH4030" s="77"/>
      <c r="BI4030" s="77"/>
    </row>
    <row r="4031" spans="1:61" x14ac:dyDescent="0.25">
      <c r="A4031" s="62" t="s">
        <v>1615</v>
      </c>
      <c r="B4031" s="62" t="s">
        <v>1615</v>
      </c>
      <c r="C4031" s="63"/>
      <c r="D4031" s="64"/>
      <c r="E4031" s="65"/>
      <c r="F4031" s="66"/>
      <c r="G4031" s="63"/>
      <c r="H4031" s="67"/>
      <c r="I4031" s="68"/>
      <c r="J4031" s="68"/>
      <c r="K4031" s="32"/>
      <c r="L4031" s="75">
        <v>4031</v>
      </c>
      <c r="M4031" s="75"/>
      <c r="N4031" s="70"/>
      <c r="O4031" s="77" t="s">
        <v>179</v>
      </c>
      <c r="P4031" s="79">
        <v>45077.60465277778</v>
      </c>
      <c r="Q4031" s="77" t="s">
        <v>5644</v>
      </c>
      <c r="R4031" s="77">
        <v>1</v>
      </c>
      <c r="S4031" s="77">
        <v>11</v>
      </c>
      <c r="T4031" s="77">
        <v>1</v>
      </c>
      <c r="U4031" s="77">
        <v>0</v>
      </c>
      <c r="V4031" s="77">
        <v>440</v>
      </c>
      <c r="W4031" s="80" t="s">
        <v>8430</v>
      </c>
      <c r="X4031" s="83" t="str">
        <f>HYPERLINK("https://youtu.be/H2jF7D2gok4")</f>
        <v>https://youtu.be/H2jF7D2gok4</v>
      </c>
      <c r="Y4031" s="77" t="s">
        <v>8635</v>
      </c>
      <c r="Z4031" s="77"/>
      <c r="AA4031" s="77"/>
      <c r="AB4031" s="77"/>
      <c r="AC4031" s="80" t="s">
        <v>10541</v>
      </c>
      <c r="AD4031" s="77" t="s">
        <v>10617</v>
      </c>
      <c r="AE4031" s="83" t="str">
        <f>HYPERLINK("https://twitter.com/bancomoc/status/1663915914608123905")</f>
        <v>https://twitter.com/bancomoc/status/1663915914608123905</v>
      </c>
      <c r="AF4031" s="79">
        <v>45077.60465277778</v>
      </c>
      <c r="AG4031" s="85">
        <v>45077</v>
      </c>
      <c r="AH4031" s="80" t="s">
        <v>14123</v>
      </c>
      <c r="AI4031" s="77" t="b">
        <v>0</v>
      </c>
      <c r="AJ4031" s="77"/>
      <c r="AK4031" s="77"/>
      <c r="AL4031" s="77"/>
      <c r="AM4031" s="77"/>
      <c r="AN4031" s="77"/>
      <c r="AO4031" s="77"/>
      <c r="AP4031" s="77"/>
      <c r="AQ4031" s="77"/>
      <c r="AR4031" s="77"/>
      <c r="AS4031" s="77"/>
      <c r="AT4031" s="77"/>
      <c r="AU4031" s="77"/>
      <c r="AV4031" s="83" t="str">
        <f>HYPERLINK("https://pbs.twimg.com/profile_images/910770875657580545/xdON1nxu_normal.jpg")</f>
        <v>https://pbs.twimg.com/profile_images/910770875657580545/xdON1nxu_normal.jpg</v>
      </c>
      <c r="AW4031" s="80" t="s">
        <v>19708</v>
      </c>
      <c r="AX4031" s="80" t="s">
        <v>19708</v>
      </c>
      <c r="AY4031" s="77"/>
      <c r="AZ4031" s="80" t="s">
        <v>20380</v>
      </c>
      <c r="BA4031" s="80" t="s">
        <v>20380</v>
      </c>
      <c r="BB4031" s="80" t="s">
        <v>20380</v>
      </c>
      <c r="BC4031" s="80" t="s">
        <v>19708</v>
      </c>
      <c r="BD4031" s="80" t="s">
        <v>21167</v>
      </c>
      <c r="BE4031" s="77"/>
      <c r="BF4031" s="77"/>
      <c r="BG4031" s="77"/>
      <c r="BH4031" s="77"/>
      <c r="BI4031" s="77"/>
    </row>
    <row r="4032" spans="1:61" x14ac:dyDescent="0.25">
      <c r="A4032" s="62" t="s">
        <v>1615</v>
      </c>
      <c r="B4032" s="62" t="s">
        <v>1615</v>
      </c>
      <c r="C4032" s="63"/>
      <c r="D4032" s="64"/>
      <c r="E4032" s="65"/>
      <c r="F4032" s="66"/>
      <c r="G4032" s="63"/>
      <c r="H4032" s="67"/>
      <c r="I4032" s="68"/>
      <c r="J4032" s="68"/>
      <c r="K4032" s="32"/>
      <c r="L4032" s="75">
        <v>4032</v>
      </c>
      <c r="M4032" s="75"/>
      <c r="N4032" s="70"/>
      <c r="O4032" s="77" t="s">
        <v>179</v>
      </c>
      <c r="P4032" s="79">
        <v>45162.412326388891</v>
      </c>
      <c r="Q4032" s="77" t="s">
        <v>5645</v>
      </c>
      <c r="R4032" s="77">
        <v>1</v>
      </c>
      <c r="S4032" s="77">
        <v>17</v>
      </c>
      <c r="T4032" s="77">
        <v>0</v>
      </c>
      <c r="U4032" s="77">
        <v>1</v>
      </c>
      <c r="V4032" s="77">
        <v>743</v>
      </c>
      <c r="W4032" s="80" t="s">
        <v>8436</v>
      </c>
      <c r="X4032" s="77"/>
      <c r="Y4032" s="77"/>
      <c r="Z4032" s="77"/>
      <c r="AA4032" s="77" t="s">
        <v>10395</v>
      </c>
      <c r="AB4032" s="77" t="s">
        <v>10535</v>
      </c>
      <c r="AC4032" s="80" t="s">
        <v>10541</v>
      </c>
      <c r="AD4032" s="77" t="s">
        <v>10619</v>
      </c>
      <c r="AE4032" s="83" t="str">
        <f>HYPERLINK("https://twitter.com/bancomoc/status/1694649185352474667")</f>
        <v>https://twitter.com/bancomoc/status/1694649185352474667</v>
      </c>
      <c r="AF4032" s="79">
        <v>45162.412326388891</v>
      </c>
      <c r="AG4032" s="85">
        <v>45162</v>
      </c>
      <c r="AH4032" s="80" t="s">
        <v>14124</v>
      </c>
      <c r="AI4032" s="77" t="b">
        <v>0</v>
      </c>
      <c r="AJ4032" s="77"/>
      <c r="AK4032" s="77"/>
      <c r="AL4032" s="77"/>
      <c r="AM4032" s="77"/>
      <c r="AN4032" s="77"/>
      <c r="AO4032" s="77"/>
      <c r="AP4032" s="77"/>
      <c r="AQ4032" s="77" t="s">
        <v>15874</v>
      </c>
      <c r="AR4032" s="77"/>
      <c r="AS4032" s="77"/>
      <c r="AT4032" s="77"/>
      <c r="AU4032" s="77"/>
      <c r="AV4032" s="83" t="str">
        <f>HYPERLINK("https://pbs.twimg.com/media/F4Sab1IWEAAOPWl.jpg")</f>
        <v>https://pbs.twimg.com/media/F4Sab1IWEAAOPWl.jpg</v>
      </c>
      <c r="AW4032" s="80" t="s">
        <v>19709</v>
      </c>
      <c r="AX4032" s="80" t="s">
        <v>19709</v>
      </c>
      <c r="AY4032" s="77"/>
      <c r="AZ4032" s="80" t="s">
        <v>20380</v>
      </c>
      <c r="BA4032" s="80" t="s">
        <v>20380</v>
      </c>
      <c r="BB4032" s="80" t="s">
        <v>20380</v>
      </c>
      <c r="BC4032" s="80" t="s">
        <v>19709</v>
      </c>
      <c r="BD4032" s="80" t="s">
        <v>21167</v>
      </c>
      <c r="BE4032" s="77"/>
      <c r="BF4032" s="77"/>
      <c r="BG4032" s="77"/>
      <c r="BH4032" s="77"/>
      <c r="BI4032" s="77"/>
    </row>
    <row r="4033" spans="1:61" x14ac:dyDescent="0.25">
      <c r="A4033" s="62" t="s">
        <v>1615</v>
      </c>
      <c r="B4033" s="62" t="s">
        <v>1615</v>
      </c>
      <c r="C4033" s="63"/>
      <c r="D4033" s="64"/>
      <c r="E4033" s="65"/>
      <c r="F4033" s="66"/>
      <c r="G4033" s="63"/>
      <c r="H4033" s="67"/>
      <c r="I4033" s="68"/>
      <c r="J4033" s="68"/>
      <c r="K4033" s="32"/>
      <c r="L4033" s="75">
        <v>4033</v>
      </c>
      <c r="M4033" s="75"/>
      <c r="N4033" s="70"/>
      <c r="O4033" s="77" t="s">
        <v>179</v>
      </c>
      <c r="P4033" s="79">
        <v>45152.615219907406</v>
      </c>
      <c r="Q4033" s="77" t="s">
        <v>5646</v>
      </c>
      <c r="R4033" s="77">
        <v>1</v>
      </c>
      <c r="S4033" s="77">
        <v>6</v>
      </c>
      <c r="T4033" s="77">
        <v>0</v>
      </c>
      <c r="U4033" s="77">
        <v>0</v>
      </c>
      <c r="V4033" s="77">
        <v>315</v>
      </c>
      <c r="W4033" s="80" t="s">
        <v>8437</v>
      </c>
      <c r="X4033" s="77"/>
      <c r="Y4033" s="77"/>
      <c r="Z4033" s="77"/>
      <c r="AA4033" s="77" t="s">
        <v>10396</v>
      </c>
      <c r="AB4033" s="77" t="s">
        <v>10535</v>
      </c>
      <c r="AC4033" s="80" t="s">
        <v>10541</v>
      </c>
      <c r="AD4033" s="77" t="s">
        <v>10619</v>
      </c>
      <c r="AE4033" s="83" t="str">
        <f>HYPERLINK("https://twitter.com/bancomoc/status/1691098834104193024")</f>
        <v>https://twitter.com/bancomoc/status/1691098834104193024</v>
      </c>
      <c r="AF4033" s="79">
        <v>45152.615219907406</v>
      </c>
      <c r="AG4033" s="85">
        <v>45152</v>
      </c>
      <c r="AH4033" s="80" t="s">
        <v>14125</v>
      </c>
      <c r="AI4033" s="77" t="b">
        <v>0</v>
      </c>
      <c r="AJ4033" s="77"/>
      <c r="AK4033" s="77"/>
      <c r="AL4033" s="77"/>
      <c r="AM4033" s="77"/>
      <c r="AN4033" s="77"/>
      <c r="AO4033" s="77"/>
      <c r="AP4033" s="77"/>
      <c r="AQ4033" s="77" t="s">
        <v>15875</v>
      </c>
      <c r="AR4033" s="77"/>
      <c r="AS4033" s="77"/>
      <c r="AT4033" s="77"/>
      <c r="AU4033" s="77"/>
      <c r="AV4033" s="83" t="str">
        <f>HYPERLINK("https://pbs.twimg.com/media/F3f9aWTXcAATYGq.jpg")</f>
        <v>https://pbs.twimg.com/media/F3f9aWTXcAATYGq.jpg</v>
      </c>
      <c r="AW4033" s="80" t="s">
        <v>19710</v>
      </c>
      <c r="AX4033" s="80" t="s">
        <v>19710</v>
      </c>
      <c r="AY4033" s="77"/>
      <c r="AZ4033" s="80" t="s">
        <v>20380</v>
      </c>
      <c r="BA4033" s="80" t="s">
        <v>20380</v>
      </c>
      <c r="BB4033" s="80" t="s">
        <v>20380</v>
      </c>
      <c r="BC4033" s="80" t="s">
        <v>19710</v>
      </c>
      <c r="BD4033" s="80" t="s">
        <v>21167</v>
      </c>
      <c r="BE4033" s="77"/>
      <c r="BF4033" s="77"/>
      <c r="BG4033" s="77"/>
      <c r="BH4033" s="77"/>
      <c r="BI4033" s="77"/>
    </row>
    <row r="4034" spans="1:61" x14ac:dyDescent="0.25">
      <c r="A4034" s="62" t="s">
        <v>1615</v>
      </c>
      <c r="B4034" s="62" t="s">
        <v>1615</v>
      </c>
      <c r="C4034" s="63"/>
      <c r="D4034" s="64"/>
      <c r="E4034" s="65"/>
      <c r="F4034" s="66"/>
      <c r="G4034" s="63"/>
      <c r="H4034" s="67"/>
      <c r="I4034" s="68"/>
      <c r="J4034" s="68"/>
      <c r="K4034" s="32"/>
      <c r="L4034" s="75">
        <v>4034</v>
      </c>
      <c r="M4034" s="75"/>
      <c r="N4034" s="70"/>
      <c r="O4034" s="77" t="s">
        <v>179</v>
      </c>
      <c r="P4034" s="79">
        <v>45145.492129629631</v>
      </c>
      <c r="Q4034" s="77" t="s">
        <v>5647</v>
      </c>
      <c r="R4034" s="77">
        <v>1</v>
      </c>
      <c r="S4034" s="77">
        <v>8</v>
      </c>
      <c r="T4034" s="77">
        <v>0</v>
      </c>
      <c r="U4034" s="77">
        <v>0</v>
      </c>
      <c r="V4034" s="77">
        <v>352</v>
      </c>
      <c r="W4034" s="80" t="s">
        <v>8438</v>
      </c>
      <c r="X4034" s="83" t="str">
        <f>HYPERLINK("https://www.bancomoc.mz/pt/publicacoes-e-estudos/?dateBegin=&amp;dateEnd=&amp;category=Balan%C3%A7a+de+Pagamentos")</f>
        <v>https://www.bancomoc.mz/pt/publicacoes-e-estudos/?dateBegin=&amp;dateEnd=&amp;category=Balan%C3%A7a+de+Pagamentos</v>
      </c>
      <c r="Y4034" s="77" t="s">
        <v>8882</v>
      </c>
      <c r="Z4034" s="77"/>
      <c r="AA4034" s="77" t="s">
        <v>10397</v>
      </c>
      <c r="AB4034" s="77" t="s">
        <v>10535</v>
      </c>
      <c r="AC4034" s="80" t="s">
        <v>10541</v>
      </c>
      <c r="AD4034" s="77" t="s">
        <v>10617</v>
      </c>
      <c r="AE4034" s="83" t="str">
        <f>HYPERLINK("https://twitter.com/bancomoc/status/1688517512407797762")</f>
        <v>https://twitter.com/bancomoc/status/1688517512407797762</v>
      </c>
      <c r="AF4034" s="79">
        <v>45145.492129629631</v>
      </c>
      <c r="AG4034" s="85">
        <v>45145</v>
      </c>
      <c r="AH4034" s="80" t="s">
        <v>14126</v>
      </c>
      <c r="AI4034" s="77" t="b">
        <v>0</v>
      </c>
      <c r="AJ4034" s="77"/>
      <c r="AK4034" s="77"/>
      <c r="AL4034" s="77"/>
      <c r="AM4034" s="77"/>
      <c r="AN4034" s="77"/>
      <c r="AO4034" s="77"/>
      <c r="AP4034" s="77"/>
      <c r="AQ4034" s="77" t="s">
        <v>15876</v>
      </c>
      <c r="AR4034" s="77"/>
      <c r="AS4034" s="77"/>
      <c r="AT4034" s="77"/>
      <c r="AU4034" s="77"/>
      <c r="AV4034" s="83" t="str">
        <f>HYPERLINK("https://pbs.twimg.com/media/F27RsNyWAAARUDF.jpg")</f>
        <v>https://pbs.twimg.com/media/F27RsNyWAAARUDF.jpg</v>
      </c>
      <c r="AW4034" s="80" t="s">
        <v>19711</v>
      </c>
      <c r="AX4034" s="80" t="s">
        <v>19711</v>
      </c>
      <c r="AY4034" s="77"/>
      <c r="AZ4034" s="80" t="s">
        <v>20380</v>
      </c>
      <c r="BA4034" s="80" t="s">
        <v>20380</v>
      </c>
      <c r="BB4034" s="80" t="s">
        <v>20380</v>
      </c>
      <c r="BC4034" s="80" t="s">
        <v>19711</v>
      </c>
      <c r="BD4034" s="80" t="s">
        <v>21167</v>
      </c>
      <c r="BE4034" s="77"/>
      <c r="BF4034" s="77"/>
      <c r="BG4034" s="77"/>
      <c r="BH4034" s="77"/>
      <c r="BI4034" s="77"/>
    </row>
    <row r="4035" spans="1:61" x14ac:dyDescent="0.25">
      <c r="A4035" s="62" t="s">
        <v>1615</v>
      </c>
      <c r="B4035" s="62" t="s">
        <v>1615</v>
      </c>
      <c r="C4035" s="63"/>
      <c r="D4035" s="64"/>
      <c r="E4035" s="65"/>
      <c r="F4035" s="66"/>
      <c r="G4035" s="63"/>
      <c r="H4035" s="67"/>
      <c r="I4035" s="68"/>
      <c r="J4035" s="68"/>
      <c r="K4035" s="32"/>
      <c r="L4035" s="75">
        <v>4035</v>
      </c>
      <c r="M4035" s="75"/>
      <c r="N4035" s="70"/>
      <c r="O4035" s="77" t="s">
        <v>179</v>
      </c>
      <c r="P4035" s="79">
        <v>45105.538993055554</v>
      </c>
      <c r="Q4035" s="77" t="s">
        <v>5648</v>
      </c>
      <c r="R4035" s="77">
        <v>0</v>
      </c>
      <c r="S4035" s="77">
        <v>3</v>
      </c>
      <c r="T4035" s="77">
        <v>0</v>
      </c>
      <c r="U4035" s="77">
        <v>0</v>
      </c>
      <c r="V4035" s="77">
        <v>295</v>
      </c>
      <c r="W4035" s="80" t="s">
        <v>8439</v>
      </c>
      <c r="X4035" s="83" t="str">
        <f>HYPERLINK("https://www.bancomoc.mz/pt/media/noticias/relatorio-de-estabilidade-financeira/")</f>
        <v>https://www.bancomoc.mz/pt/media/noticias/relatorio-de-estabilidade-financeira/</v>
      </c>
      <c r="Y4035" s="77" t="s">
        <v>8882</v>
      </c>
      <c r="Z4035" s="77"/>
      <c r="AA4035" s="77" t="s">
        <v>10398</v>
      </c>
      <c r="AB4035" s="77" t="s">
        <v>10535</v>
      </c>
      <c r="AC4035" s="80" t="s">
        <v>10541</v>
      </c>
      <c r="AD4035" s="77" t="s">
        <v>10617</v>
      </c>
      <c r="AE4035" s="83" t="str">
        <f>HYPERLINK("https://twitter.com/bancomoc/status/1674038979543302146")</f>
        <v>https://twitter.com/bancomoc/status/1674038979543302146</v>
      </c>
      <c r="AF4035" s="79">
        <v>45105.538993055554</v>
      </c>
      <c r="AG4035" s="85">
        <v>45105</v>
      </c>
      <c r="AH4035" s="80" t="s">
        <v>14127</v>
      </c>
      <c r="AI4035" s="77" t="b">
        <v>0</v>
      </c>
      <c r="AJ4035" s="77"/>
      <c r="AK4035" s="77"/>
      <c r="AL4035" s="77"/>
      <c r="AM4035" s="77"/>
      <c r="AN4035" s="77"/>
      <c r="AO4035" s="77"/>
      <c r="AP4035" s="77"/>
      <c r="AQ4035" s="77" t="s">
        <v>15877</v>
      </c>
      <c r="AR4035" s="77"/>
      <c r="AS4035" s="77"/>
      <c r="AT4035" s="77"/>
      <c r="AU4035" s="77"/>
      <c r="AV4035" s="83" t="str">
        <f>HYPERLINK("https://pbs.twimg.com/media/Fzthg4IWIAIA4yv.jpg")</f>
        <v>https://pbs.twimg.com/media/Fzthg4IWIAIA4yv.jpg</v>
      </c>
      <c r="AW4035" s="80" t="s">
        <v>19712</v>
      </c>
      <c r="AX4035" s="80" t="s">
        <v>19712</v>
      </c>
      <c r="AY4035" s="77"/>
      <c r="AZ4035" s="80" t="s">
        <v>20380</v>
      </c>
      <c r="BA4035" s="80" t="s">
        <v>20380</v>
      </c>
      <c r="BB4035" s="80" t="s">
        <v>20380</v>
      </c>
      <c r="BC4035" s="80" t="s">
        <v>19712</v>
      </c>
      <c r="BD4035" s="80" t="s">
        <v>21167</v>
      </c>
      <c r="BE4035" s="77"/>
      <c r="BF4035" s="77"/>
      <c r="BG4035" s="77"/>
      <c r="BH4035" s="77"/>
      <c r="BI4035" s="77"/>
    </row>
    <row r="4036" spans="1:61" x14ac:dyDescent="0.25">
      <c r="A4036" s="62" t="s">
        <v>1615</v>
      </c>
      <c r="B4036" s="62" t="s">
        <v>1615</v>
      </c>
      <c r="C4036" s="63"/>
      <c r="D4036" s="64"/>
      <c r="E4036" s="65"/>
      <c r="F4036" s="66"/>
      <c r="G4036" s="63"/>
      <c r="H4036" s="67"/>
      <c r="I4036" s="68"/>
      <c r="J4036" s="68"/>
      <c r="K4036" s="32"/>
      <c r="L4036" s="75">
        <v>4036</v>
      </c>
      <c r="M4036" s="75"/>
      <c r="N4036" s="70"/>
      <c r="O4036" s="77" t="s">
        <v>179</v>
      </c>
      <c r="P4036" s="79">
        <v>45092.510717592595</v>
      </c>
      <c r="Q4036" s="77" t="s">
        <v>5649</v>
      </c>
      <c r="R4036" s="77">
        <v>0</v>
      </c>
      <c r="S4036" s="77">
        <v>2</v>
      </c>
      <c r="T4036" s="77">
        <v>0</v>
      </c>
      <c r="U4036" s="77">
        <v>0</v>
      </c>
      <c r="V4036" s="77">
        <v>223</v>
      </c>
      <c r="W4036" s="80" t="s">
        <v>8440</v>
      </c>
      <c r="X4036" s="83" t="str">
        <f>HYPERLINK("https://youtu.be/FmfcSiqtmbM")</f>
        <v>https://youtu.be/FmfcSiqtmbM</v>
      </c>
      <c r="Y4036" s="77" t="s">
        <v>8635</v>
      </c>
      <c r="Z4036" s="77"/>
      <c r="AA4036" s="77"/>
      <c r="AB4036" s="77"/>
      <c r="AC4036" s="80" t="s">
        <v>10541</v>
      </c>
      <c r="AD4036" s="77" t="s">
        <v>10617</v>
      </c>
      <c r="AE4036" s="83" t="str">
        <f>HYPERLINK("https://twitter.com/bancomoc/status/1669317692229054465")</f>
        <v>https://twitter.com/bancomoc/status/1669317692229054465</v>
      </c>
      <c r="AF4036" s="79">
        <v>45092.510717592595</v>
      </c>
      <c r="AG4036" s="85">
        <v>45092</v>
      </c>
      <c r="AH4036" s="80" t="s">
        <v>14128</v>
      </c>
      <c r="AI4036" s="77" t="b">
        <v>0</v>
      </c>
      <c r="AJ4036" s="77"/>
      <c r="AK4036" s="77"/>
      <c r="AL4036" s="77"/>
      <c r="AM4036" s="77"/>
      <c r="AN4036" s="77"/>
      <c r="AO4036" s="77"/>
      <c r="AP4036" s="77"/>
      <c r="AQ4036" s="77"/>
      <c r="AR4036" s="77"/>
      <c r="AS4036" s="77"/>
      <c r="AT4036" s="77"/>
      <c r="AU4036" s="77"/>
      <c r="AV4036" s="83" t="str">
        <f>HYPERLINK("https://pbs.twimg.com/profile_images/910770875657580545/xdON1nxu_normal.jpg")</f>
        <v>https://pbs.twimg.com/profile_images/910770875657580545/xdON1nxu_normal.jpg</v>
      </c>
      <c r="AW4036" s="80" t="s">
        <v>19713</v>
      </c>
      <c r="AX4036" s="80" t="s">
        <v>19713</v>
      </c>
      <c r="AY4036" s="77"/>
      <c r="AZ4036" s="80" t="s">
        <v>20380</v>
      </c>
      <c r="BA4036" s="80" t="s">
        <v>20380</v>
      </c>
      <c r="BB4036" s="80" t="s">
        <v>20380</v>
      </c>
      <c r="BC4036" s="80" t="s">
        <v>19713</v>
      </c>
      <c r="BD4036" s="80" t="s">
        <v>21167</v>
      </c>
      <c r="BE4036" s="77"/>
      <c r="BF4036" s="77"/>
      <c r="BG4036" s="77"/>
      <c r="BH4036" s="77"/>
      <c r="BI4036" s="77"/>
    </row>
    <row r="4037" spans="1:61" x14ac:dyDescent="0.25">
      <c r="A4037" s="62" t="s">
        <v>1615</v>
      </c>
      <c r="B4037" s="62" t="s">
        <v>1615</v>
      </c>
      <c r="C4037" s="63"/>
      <c r="D4037" s="64"/>
      <c r="E4037" s="65"/>
      <c r="F4037" s="66"/>
      <c r="G4037" s="63"/>
      <c r="H4037" s="67"/>
      <c r="I4037" s="68"/>
      <c r="J4037" s="68"/>
      <c r="K4037" s="32"/>
      <c r="L4037" s="75">
        <v>4037</v>
      </c>
      <c r="M4037" s="75"/>
      <c r="N4037" s="70"/>
      <c r="O4037" s="77" t="s">
        <v>179</v>
      </c>
      <c r="P4037" s="79">
        <v>45057.478506944448</v>
      </c>
      <c r="Q4037" s="77" t="s">
        <v>5650</v>
      </c>
      <c r="R4037" s="77">
        <v>1</v>
      </c>
      <c r="S4037" s="77">
        <v>8</v>
      </c>
      <c r="T4037" s="77">
        <v>0</v>
      </c>
      <c r="U4037" s="77">
        <v>1</v>
      </c>
      <c r="V4037" s="77">
        <v>422</v>
      </c>
      <c r="W4037" s="80" t="s">
        <v>8434</v>
      </c>
      <c r="X4037" s="83" t="str">
        <f>HYPERLINK("http://www.ine.gov.mz/")</f>
        <v>http://www.ine.gov.mz/</v>
      </c>
      <c r="Y4037" s="77" t="s">
        <v>8883</v>
      </c>
      <c r="Z4037" s="77"/>
      <c r="AA4037" s="77" t="s">
        <v>10399</v>
      </c>
      <c r="AB4037" s="77" t="s">
        <v>10535</v>
      </c>
      <c r="AC4037" s="80" t="s">
        <v>10541</v>
      </c>
      <c r="AD4037" s="77" t="s">
        <v>10617</v>
      </c>
      <c r="AE4037" s="83" t="str">
        <f>HYPERLINK("https://twitter.com/bancomoc/status/1656622441781764096")</f>
        <v>https://twitter.com/bancomoc/status/1656622441781764096</v>
      </c>
      <c r="AF4037" s="79">
        <v>45057.478506944448</v>
      </c>
      <c r="AG4037" s="85">
        <v>45057</v>
      </c>
      <c r="AH4037" s="80" t="s">
        <v>14129</v>
      </c>
      <c r="AI4037" s="77" t="b">
        <v>0</v>
      </c>
      <c r="AJ4037" s="77"/>
      <c r="AK4037" s="77"/>
      <c r="AL4037" s="77"/>
      <c r="AM4037" s="77"/>
      <c r="AN4037" s="77"/>
      <c r="AO4037" s="77"/>
      <c r="AP4037" s="77"/>
      <c r="AQ4037" s="77" t="s">
        <v>15878</v>
      </c>
      <c r="AR4037" s="77"/>
      <c r="AS4037" s="77"/>
      <c r="AT4037" s="77"/>
      <c r="AU4037" s="77"/>
      <c r="AV4037" s="83" t="str">
        <f>HYPERLINK("https://pbs.twimg.com/media/Fv2BTepXwAIHcjT.jpg")</f>
        <v>https://pbs.twimg.com/media/Fv2BTepXwAIHcjT.jpg</v>
      </c>
      <c r="AW4037" s="80" t="s">
        <v>19714</v>
      </c>
      <c r="AX4037" s="80" t="s">
        <v>19714</v>
      </c>
      <c r="AY4037" s="77"/>
      <c r="AZ4037" s="80" t="s">
        <v>20380</v>
      </c>
      <c r="BA4037" s="80" t="s">
        <v>20380</v>
      </c>
      <c r="BB4037" s="80" t="s">
        <v>20380</v>
      </c>
      <c r="BC4037" s="80" t="s">
        <v>19714</v>
      </c>
      <c r="BD4037" s="80" t="s">
        <v>21167</v>
      </c>
      <c r="BE4037" s="77"/>
      <c r="BF4037" s="77"/>
      <c r="BG4037" s="77"/>
      <c r="BH4037" s="77"/>
      <c r="BI4037" s="77"/>
    </row>
    <row r="4038" spans="1:61" x14ac:dyDescent="0.25">
      <c r="A4038" s="62" t="s">
        <v>1615</v>
      </c>
      <c r="B4038" s="62" t="s">
        <v>1615</v>
      </c>
      <c r="C4038" s="63"/>
      <c r="D4038" s="64"/>
      <c r="E4038" s="65"/>
      <c r="F4038" s="66"/>
      <c r="G4038" s="63"/>
      <c r="H4038" s="67"/>
      <c r="I4038" s="68"/>
      <c r="J4038" s="68"/>
      <c r="K4038" s="32"/>
      <c r="L4038" s="75">
        <v>4038</v>
      </c>
      <c r="M4038" s="75"/>
      <c r="N4038" s="70"/>
      <c r="O4038" s="77" t="s">
        <v>179</v>
      </c>
      <c r="P4038" s="79">
        <v>45173.61478009259</v>
      </c>
      <c r="Q4038" s="77" t="s">
        <v>5651</v>
      </c>
      <c r="R4038" s="77">
        <v>0</v>
      </c>
      <c r="S4038" s="77">
        <v>3</v>
      </c>
      <c r="T4038" s="77">
        <v>0</v>
      </c>
      <c r="U4038" s="77">
        <v>0</v>
      </c>
      <c r="V4038" s="77">
        <v>357</v>
      </c>
      <c r="W4038" s="80" t="s">
        <v>8435</v>
      </c>
      <c r="X4038" s="83" t="str">
        <f>HYPERLINK("https://www.bancomoc.mz/pt/media/comunicados/")</f>
        <v>https://www.bancomoc.mz/pt/media/comunicados/</v>
      </c>
      <c r="Y4038" s="77" t="s">
        <v>8882</v>
      </c>
      <c r="Z4038" s="77"/>
      <c r="AA4038" s="77" t="s">
        <v>10400</v>
      </c>
      <c r="AB4038" s="77" t="s">
        <v>10535</v>
      </c>
      <c r="AC4038" s="80" t="s">
        <v>10541</v>
      </c>
      <c r="AD4038" s="77" t="s">
        <v>10617</v>
      </c>
      <c r="AE4038" s="83" t="str">
        <f>HYPERLINK("https://twitter.com/bancomoc/status/1698708816882438548")</f>
        <v>https://twitter.com/bancomoc/status/1698708816882438548</v>
      </c>
      <c r="AF4038" s="79">
        <v>45173.61478009259</v>
      </c>
      <c r="AG4038" s="85">
        <v>45173</v>
      </c>
      <c r="AH4038" s="80" t="s">
        <v>14130</v>
      </c>
      <c r="AI4038" s="77" t="b">
        <v>0</v>
      </c>
      <c r="AJ4038" s="77"/>
      <c r="AK4038" s="77"/>
      <c r="AL4038" s="77"/>
      <c r="AM4038" s="77"/>
      <c r="AN4038" s="77"/>
      <c r="AO4038" s="77"/>
      <c r="AP4038" s="77"/>
      <c r="AQ4038" s="77" t="s">
        <v>15879</v>
      </c>
      <c r="AR4038" s="77"/>
      <c r="AS4038" s="77"/>
      <c r="AT4038" s="77"/>
      <c r="AU4038" s="77"/>
      <c r="AV4038" s="83" t="str">
        <f>HYPERLINK("https://pbs.twimg.com/media/F5MGqGMW4AApb6-.jpg")</f>
        <v>https://pbs.twimg.com/media/F5MGqGMW4AApb6-.jpg</v>
      </c>
      <c r="AW4038" s="80" t="s">
        <v>19715</v>
      </c>
      <c r="AX4038" s="80" t="s">
        <v>19715</v>
      </c>
      <c r="AY4038" s="77"/>
      <c r="AZ4038" s="80" t="s">
        <v>20380</v>
      </c>
      <c r="BA4038" s="80" t="s">
        <v>20380</v>
      </c>
      <c r="BB4038" s="80" t="s">
        <v>20380</v>
      </c>
      <c r="BC4038" s="80" t="s">
        <v>19715</v>
      </c>
      <c r="BD4038" s="80" t="s">
        <v>21167</v>
      </c>
      <c r="BE4038" s="77"/>
      <c r="BF4038" s="77"/>
      <c r="BG4038" s="77"/>
      <c r="BH4038" s="77"/>
      <c r="BI4038" s="77"/>
    </row>
    <row r="4039" spans="1:61" x14ac:dyDescent="0.25">
      <c r="A4039" s="62" t="s">
        <v>1615</v>
      </c>
      <c r="B4039" s="62" t="s">
        <v>1615</v>
      </c>
      <c r="C4039" s="63"/>
      <c r="D4039" s="64"/>
      <c r="E4039" s="65"/>
      <c r="F4039" s="66"/>
      <c r="G4039" s="63"/>
      <c r="H4039" s="67"/>
      <c r="I4039" s="68"/>
      <c r="J4039" s="68"/>
      <c r="K4039" s="32"/>
      <c r="L4039" s="75">
        <v>4039</v>
      </c>
      <c r="M4039" s="75"/>
      <c r="N4039" s="70"/>
      <c r="O4039" s="77" t="s">
        <v>179</v>
      </c>
      <c r="P4039" s="79">
        <v>45149.378981481481</v>
      </c>
      <c r="Q4039" s="77" t="s">
        <v>5652</v>
      </c>
      <c r="R4039" s="77">
        <v>1</v>
      </c>
      <c r="S4039" s="77">
        <v>2</v>
      </c>
      <c r="T4039" s="77">
        <v>0</v>
      </c>
      <c r="U4039" s="77">
        <v>0</v>
      </c>
      <c r="V4039" s="77">
        <v>285</v>
      </c>
      <c r="W4039" s="80" t="s">
        <v>8441</v>
      </c>
      <c r="X4039" s="83" t="str">
        <f>HYPERLINK("https://www.bancomoc.mz/pt/publicacoes-e-estudos/?dateBegin=&amp;dateEnd=&amp;category=Balan%C3%A7a+de+Pagamentos")</f>
        <v>https://www.bancomoc.mz/pt/publicacoes-e-estudos/?dateBegin=&amp;dateEnd=&amp;category=Balan%C3%A7a+de+Pagamentos</v>
      </c>
      <c r="Y4039" s="77" t="s">
        <v>8882</v>
      </c>
      <c r="Z4039" s="77"/>
      <c r="AA4039" s="77" t="s">
        <v>10401</v>
      </c>
      <c r="AB4039" s="77" t="s">
        <v>10535</v>
      </c>
      <c r="AC4039" s="80" t="s">
        <v>10541</v>
      </c>
      <c r="AD4039" s="77" t="s">
        <v>10617</v>
      </c>
      <c r="AE4039" s="83" t="str">
        <f>HYPERLINK("https://twitter.com/bancomoc/status/1689926060475916288")</f>
        <v>https://twitter.com/bancomoc/status/1689926060475916288</v>
      </c>
      <c r="AF4039" s="79">
        <v>45149.378981481481</v>
      </c>
      <c r="AG4039" s="85">
        <v>45149</v>
      </c>
      <c r="AH4039" s="80" t="s">
        <v>14131</v>
      </c>
      <c r="AI4039" s="77" t="b">
        <v>0</v>
      </c>
      <c r="AJ4039" s="77"/>
      <c r="AK4039" s="77"/>
      <c r="AL4039" s="77"/>
      <c r="AM4039" s="77"/>
      <c r="AN4039" s="77"/>
      <c r="AO4039" s="77"/>
      <c r="AP4039" s="77"/>
      <c r="AQ4039" s="77" t="s">
        <v>15880</v>
      </c>
      <c r="AR4039" s="77"/>
      <c r="AS4039" s="77"/>
      <c r="AT4039" s="77"/>
      <c r="AU4039" s="77"/>
      <c r="AV4039" s="83" t="str">
        <f>HYPERLINK("https://pbs.twimg.com/media/F3PSyQQW8AA-5bp.jpg")</f>
        <v>https://pbs.twimg.com/media/F3PSyQQW8AA-5bp.jpg</v>
      </c>
      <c r="AW4039" s="80" t="s">
        <v>19716</v>
      </c>
      <c r="AX4039" s="80" t="s">
        <v>19716</v>
      </c>
      <c r="AY4039" s="77"/>
      <c r="AZ4039" s="80" t="s">
        <v>20380</v>
      </c>
      <c r="BA4039" s="80" t="s">
        <v>20380</v>
      </c>
      <c r="BB4039" s="80" t="s">
        <v>20380</v>
      </c>
      <c r="BC4039" s="80" t="s">
        <v>19716</v>
      </c>
      <c r="BD4039" s="80" t="s">
        <v>21167</v>
      </c>
      <c r="BE4039" s="77"/>
      <c r="BF4039" s="77"/>
      <c r="BG4039" s="77"/>
      <c r="BH4039" s="77"/>
      <c r="BI4039" s="77"/>
    </row>
    <row r="4040" spans="1:61" x14ac:dyDescent="0.25">
      <c r="A4040" s="62" t="s">
        <v>1615</v>
      </c>
      <c r="B4040" s="62" t="s">
        <v>1615</v>
      </c>
      <c r="C4040" s="63"/>
      <c r="D4040" s="64"/>
      <c r="E4040" s="65"/>
      <c r="F4040" s="66"/>
      <c r="G4040" s="63"/>
      <c r="H4040" s="67"/>
      <c r="I4040" s="68"/>
      <c r="J4040" s="68"/>
      <c r="K4040" s="32"/>
      <c r="L4040" s="75">
        <v>4040</v>
      </c>
      <c r="M4040" s="75"/>
      <c r="N4040" s="70"/>
      <c r="O4040" s="77" t="s">
        <v>179</v>
      </c>
      <c r="P4040" s="79">
        <v>45084.685868055552</v>
      </c>
      <c r="Q4040" s="77" t="s">
        <v>5653</v>
      </c>
      <c r="R4040" s="77">
        <v>2</v>
      </c>
      <c r="S4040" s="77">
        <v>4</v>
      </c>
      <c r="T4040" s="77">
        <v>1</v>
      </c>
      <c r="U4040" s="77">
        <v>0</v>
      </c>
      <c r="V4040" s="77">
        <v>381</v>
      </c>
      <c r="W4040" s="80" t="s">
        <v>8442</v>
      </c>
      <c r="X4040" s="83" t="str">
        <f>HYPERLINK("https://www.bancomoc.mz/pt/media/noticias/relatorio-de-conjuntura-economica-e-perspectivas-de-inflacao-maio-de-2023")</f>
        <v>https://www.bancomoc.mz/pt/media/noticias/relatorio-de-conjuntura-economica-e-perspectivas-de-inflacao-maio-de-2023</v>
      </c>
      <c r="Y4040" s="77" t="s">
        <v>8882</v>
      </c>
      <c r="Z4040" s="77"/>
      <c r="AA4040" s="77" t="s">
        <v>10402</v>
      </c>
      <c r="AB4040" s="77" t="s">
        <v>10535</v>
      </c>
      <c r="AC4040" s="80" t="s">
        <v>10541</v>
      </c>
      <c r="AD4040" s="77" t="s">
        <v>10617</v>
      </c>
      <c r="AE4040" s="83" t="str">
        <f>HYPERLINK("https://twitter.com/bancomoc/status/1666482059915804672")</f>
        <v>https://twitter.com/bancomoc/status/1666482059915804672</v>
      </c>
      <c r="AF4040" s="79">
        <v>45084.685868055552</v>
      </c>
      <c r="AG4040" s="85">
        <v>45084</v>
      </c>
      <c r="AH4040" s="80" t="s">
        <v>14132</v>
      </c>
      <c r="AI4040" s="77" t="b">
        <v>0</v>
      </c>
      <c r="AJ4040" s="77"/>
      <c r="AK4040" s="77"/>
      <c r="AL4040" s="77"/>
      <c r="AM4040" s="77"/>
      <c r="AN4040" s="77"/>
      <c r="AO4040" s="77"/>
      <c r="AP4040" s="77"/>
      <c r="AQ4040" s="77" t="s">
        <v>15881</v>
      </c>
      <c r="AR4040" s="77"/>
      <c r="AS4040" s="77"/>
      <c r="AT4040" s="77"/>
      <c r="AU4040" s="77"/>
      <c r="AV4040" s="83" t="str">
        <f>HYPERLINK("https://pbs.twimg.com/media/FyCIirnWIAAo-nt.jpg")</f>
        <v>https://pbs.twimg.com/media/FyCIirnWIAAo-nt.jpg</v>
      </c>
      <c r="AW4040" s="80" t="s">
        <v>19717</v>
      </c>
      <c r="AX4040" s="80" t="s">
        <v>19717</v>
      </c>
      <c r="AY4040" s="77"/>
      <c r="AZ4040" s="80" t="s">
        <v>20380</v>
      </c>
      <c r="BA4040" s="80" t="s">
        <v>20380</v>
      </c>
      <c r="BB4040" s="80" t="s">
        <v>20380</v>
      </c>
      <c r="BC4040" s="80" t="s">
        <v>19717</v>
      </c>
      <c r="BD4040" s="80" t="s">
        <v>21167</v>
      </c>
      <c r="BE4040" s="77"/>
      <c r="BF4040" s="77"/>
      <c r="BG4040" s="77"/>
      <c r="BH4040" s="77"/>
      <c r="BI4040" s="77"/>
    </row>
    <row r="4041" spans="1:61" x14ac:dyDescent="0.25">
      <c r="A4041" s="62" t="s">
        <v>1615</v>
      </c>
      <c r="B4041" s="62" t="s">
        <v>1615</v>
      </c>
      <c r="C4041" s="63"/>
      <c r="D4041" s="64"/>
      <c r="E4041" s="65"/>
      <c r="F4041" s="66"/>
      <c r="G4041" s="63"/>
      <c r="H4041" s="67"/>
      <c r="I4041" s="68"/>
      <c r="J4041" s="68"/>
      <c r="K4041" s="32"/>
      <c r="L4041" s="75">
        <v>4041</v>
      </c>
      <c r="M4041" s="75"/>
      <c r="N4041" s="70"/>
      <c r="O4041" s="77" t="s">
        <v>179</v>
      </c>
      <c r="P4041" s="79">
        <v>45084.456736111111</v>
      </c>
      <c r="Q4041" s="77" t="s">
        <v>5654</v>
      </c>
      <c r="R4041" s="77">
        <v>0</v>
      </c>
      <c r="S4041" s="77">
        <v>8</v>
      </c>
      <c r="T4041" s="77">
        <v>0</v>
      </c>
      <c r="U4041" s="77">
        <v>0</v>
      </c>
      <c r="V4041" s="77">
        <v>345</v>
      </c>
      <c r="W4041" s="80" t="s">
        <v>8443</v>
      </c>
      <c r="X4041" s="83" t="str">
        <f>HYPERLINK("https://www.bancomoc.mz/pt/media/noticias/")</f>
        <v>https://www.bancomoc.mz/pt/media/noticias/</v>
      </c>
      <c r="Y4041" s="77" t="s">
        <v>8882</v>
      </c>
      <c r="Z4041" s="77"/>
      <c r="AA4041" s="77" t="s">
        <v>10403</v>
      </c>
      <c r="AB4041" s="77" t="s">
        <v>10536</v>
      </c>
      <c r="AC4041" s="80" t="s">
        <v>10541</v>
      </c>
      <c r="AD4041" s="77" t="s">
        <v>10617</v>
      </c>
      <c r="AE4041" s="83" t="str">
        <f>HYPERLINK("https://twitter.com/bancomoc/status/1666399025946406914")</f>
        <v>https://twitter.com/bancomoc/status/1666399025946406914</v>
      </c>
      <c r="AF4041" s="79">
        <v>45084.456736111111</v>
      </c>
      <c r="AG4041" s="85">
        <v>45084</v>
      </c>
      <c r="AH4041" s="80" t="s">
        <v>14133</v>
      </c>
      <c r="AI4041" s="77" t="b">
        <v>0</v>
      </c>
      <c r="AJ4041" s="77"/>
      <c r="AK4041" s="77"/>
      <c r="AL4041" s="77"/>
      <c r="AM4041" s="77"/>
      <c r="AN4041" s="77"/>
      <c r="AO4041" s="77"/>
      <c r="AP4041" s="77"/>
      <c r="AQ4041" s="77" t="s">
        <v>15882</v>
      </c>
      <c r="AR4041" s="77"/>
      <c r="AS4041" s="77"/>
      <c r="AT4041" s="77"/>
      <c r="AU4041" s="77"/>
      <c r="AV4041" s="83" t="str">
        <f>HYPERLINK("https://pbs.twimg.com/media/FyA9CiOWcAA4A9n.jpg")</f>
        <v>https://pbs.twimg.com/media/FyA9CiOWcAA4A9n.jpg</v>
      </c>
      <c r="AW4041" s="80" t="s">
        <v>19718</v>
      </c>
      <c r="AX4041" s="80" t="s">
        <v>19718</v>
      </c>
      <c r="AY4041" s="77"/>
      <c r="AZ4041" s="80" t="s">
        <v>20380</v>
      </c>
      <c r="BA4041" s="80" t="s">
        <v>20380</v>
      </c>
      <c r="BB4041" s="80" t="s">
        <v>20380</v>
      </c>
      <c r="BC4041" s="80" t="s">
        <v>19718</v>
      </c>
      <c r="BD4041" s="80" t="s">
        <v>21167</v>
      </c>
      <c r="BE4041" s="77"/>
      <c r="BF4041" s="77"/>
      <c r="BG4041" s="77"/>
      <c r="BH4041" s="77"/>
      <c r="BI4041" s="77"/>
    </row>
    <row r="4042" spans="1:61" x14ac:dyDescent="0.25">
      <c r="A4042" s="62" t="s">
        <v>1615</v>
      </c>
      <c r="B4042" s="62" t="s">
        <v>1615</v>
      </c>
      <c r="C4042" s="63"/>
      <c r="D4042" s="64"/>
      <c r="E4042" s="65"/>
      <c r="F4042" s="66"/>
      <c r="G4042" s="63"/>
      <c r="H4042" s="67"/>
      <c r="I4042" s="68"/>
      <c r="J4042" s="68"/>
      <c r="K4042" s="32"/>
      <c r="L4042" s="75">
        <v>4042</v>
      </c>
      <c r="M4042" s="75"/>
      <c r="N4042" s="70"/>
      <c r="O4042" s="77" t="s">
        <v>179</v>
      </c>
      <c r="P4042" s="79">
        <v>45083.691701388889</v>
      </c>
      <c r="Q4042" s="77" t="s">
        <v>5655</v>
      </c>
      <c r="R4042" s="77">
        <v>3</v>
      </c>
      <c r="S4042" s="77">
        <v>9</v>
      </c>
      <c r="T4042" s="77">
        <v>0</v>
      </c>
      <c r="U4042" s="77">
        <v>1</v>
      </c>
      <c r="V4042" s="77">
        <v>426</v>
      </c>
      <c r="W4042" s="80" t="s">
        <v>8444</v>
      </c>
      <c r="X4042" s="83" t="str">
        <f>HYPERLINK("https://www.bancomoc.mz/pt/media/noticias/relatorio-de-conjuntura-economica-e-perspectivas-de-inflacao-maio-de-2023")</f>
        <v>https://www.bancomoc.mz/pt/media/noticias/relatorio-de-conjuntura-economica-e-perspectivas-de-inflacao-maio-de-2023</v>
      </c>
      <c r="Y4042" s="77" t="s">
        <v>8882</v>
      </c>
      <c r="Z4042" s="77"/>
      <c r="AA4042" s="77" t="s">
        <v>10404</v>
      </c>
      <c r="AB4042" s="77" t="s">
        <v>10535</v>
      </c>
      <c r="AC4042" s="80" t="s">
        <v>10541</v>
      </c>
      <c r="AD4042" s="77" t="s">
        <v>10617</v>
      </c>
      <c r="AE4042" s="83" t="str">
        <f>HYPERLINK("https://twitter.com/bancomoc/status/1666121784549076993")</f>
        <v>https://twitter.com/bancomoc/status/1666121784549076993</v>
      </c>
      <c r="AF4042" s="79">
        <v>45083.691701388889</v>
      </c>
      <c r="AG4042" s="85">
        <v>45083</v>
      </c>
      <c r="AH4042" s="80" t="s">
        <v>14134</v>
      </c>
      <c r="AI4042" s="77" t="b">
        <v>0</v>
      </c>
      <c r="AJ4042" s="77"/>
      <c r="AK4042" s="77"/>
      <c r="AL4042" s="77"/>
      <c r="AM4042" s="77"/>
      <c r="AN4042" s="77"/>
      <c r="AO4042" s="77"/>
      <c r="AP4042" s="77"/>
      <c r="AQ4042" s="77" t="s">
        <v>15883</v>
      </c>
      <c r="AR4042" s="77"/>
      <c r="AS4042" s="77"/>
      <c r="AT4042" s="77"/>
      <c r="AU4042" s="77"/>
      <c r="AV4042" s="83" t="str">
        <f>HYPERLINK("https://pbs.twimg.com/media/Fx9A3lJWcAECqCQ.jpg")</f>
        <v>https://pbs.twimg.com/media/Fx9A3lJWcAECqCQ.jpg</v>
      </c>
      <c r="AW4042" s="80" t="s">
        <v>19719</v>
      </c>
      <c r="AX4042" s="80" t="s">
        <v>19719</v>
      </c>
      <c r="AY4042" s="77"/>
      <c r="AZ4042" s="80" t="s">
        <v>20380</v>
      </c>
      <c r="BA4042" s="80" t="s">
        <v>20380</v>
      </c>
      <c r="BB4042" s="80" t="s">
        <v>20380</v>
      </c>
      <c r="BC4042" s="80" t="s">
        <v>19719</v>
      </c>
      <c r="BD4042" s="80" t="s">
        <v>21167</v>
      </c>
      <c r="BE4042" s="77"/>
      <c r="BF4042" s="77"/>
      <c r="BG4042" s="77"/>
      <c r="BH4042" s="77"/>
      <c r="BI4042" s="77"/>
    </row>
    <row r="4043" spans="1:61" x14ac:dyDescent="0.25">
      <c r="A4043" s="62" t="s">
        <v>1615</v>
      </c>
      <c r="B4043" s="62" t="s">
        <v>1615</v>
      </c>
      <c r="C4043" s="63"/>
      <c r="D4043" s="64"/>
      <c r="E4043" s="65"/>
      <c r="F4043" s="66"/>
      <c r="G4043" s="63"/>
      <c r="H4043" s="67"/>
      <c r="I4043" s="68"/>
      <c r="J4043" s="68"/>
      <c r="K4043" s="32"/>
      <c r="L4043" s="75">
        <v>4043</v>
      </c>
      <c r="M4043" s="75"/>
      <c r="N4043" s="70"/>
      <c r="O4043" s="77" t="s">
        <v>179</v>
      </c>
      <c r="P4043" s="79">
        <v>45082.59238425926</v>
      </c>
      <c r="Q4043" s="77" t="s">
        <v>5656</v>
      </c>
      <c r="R4043" s="77">
        <v>0</v>
      </c>
      <c r="S4043" s="77">
        <v>2</v>
      </c>
      <c r="T4043" s="77">
        <v>0</v>
      </c>
      <c r="U4043" s="77">
        <v>0</v>
      </c>
      <c r="V4043" s="77">
        <v>303</v>
      </c>
      <c r="W4043" s="80" t="s">
        <v>8444</v>
      </c>
      <c r="X4043" s="83" t="str">
        <f>HYPERLINK("https://www.bancomoc.mz/pt/media/noticias/relatorio-de-conjuntura-economica-e-perspectivas-de-inflacao-maio-de-2023/")</f>
        <v>https://www.bancomoc.mz/pt/media/noticias/relatorio-de-conjuntura-economica-e-perspectivas-de-inflacao-maio-de-2023/</v>
      </c>
      <c r="Y4043" s="77" t="s">
        <v>8882</v>
      </c>
      <c r="Z4043" s="77"/>
      <c r="AA4043" s="77" t="s">
        <v>10405</v>
      </c>
      <c r="AB4043" s="77" t="s">
        <v>10535</v>
      </c>
      <c r="AC4043" s="80" t="s">
        <v>10541</v>
      </c>
      <c r="AD4043" s="77" t="s">
        <v>10617</v>
      </c>
      <c r="AE4043" s="83" t="str">
        <f>HYPERLINK("https://twitter.com/bancomoc/status/1665723407810326528")</f>
        <v>https://twitter.com/bancomoc/status/1665723407810326528</v>
      </c>
      <c r="AF4043" s="79">
        <v>45082.59238425926</v>
      </c>
      <c r="AG4043" s="85">
        <v>45082</v>
      </c>
      <c r="AH4043" s="80" t="s">
        <v>14135</v>
      </c>
      <c r="AI4043" s="77" t="b">
        <v>0</v>
      </c>
      <c r="AJ4043" s="77"/>
      <c r="AK4043" s="77"/>
      <c r="AL4043" s="77"/>
      <c r="AM4043" s="77"/>
      <c r="AN4043" s="77"/>
      <c r="AO4043" s="77"/>
      <c r="AP4043" s="77"/>
      <c r="AQ4043" s="77" t="s">
        <v>15884</v>
      </c>
      <c r="AR4043" s="77"/>
      <c r="AS4043" s="77"/>
      <c r="AT4043" s="77"/>
      <c r="AU4043" s="77"/>
      <c r="AV4043" s="83" t="str">
        <f>HYPERLINK("https://pbs.twimg.com/media/Fx3WlZRWAAEBmbB.jpg")</f>
        <v>https://pbs.twimg.com/media/Fx3WlZRWAAEBmbB.jpg</v>
      </c>
      <c r="AW4043" s="80" t="s">
        <v>19720</v>
      </c>
      <c r="AX4043" s="80" t="s">
        <v>19720</v>
      </c>
      <c r="AY4043" s="77"/>
      <c r="AZ4043" s="80" t="s">
        <v>20380</v>
      </c>
      <c r="BA4043" s="80" t="s">
        <v>20380</v>
      </c>
      <c r="BB4043" s="80" t="s">
        <v>20380</v>
      </c>
      <c r="BC4043" s="80" t="s">
        <v>19720</v>
      </c>
      <c r="BD4043" s="80" t="s">
        <v>21167</v>
      </c>
      <c r="BE4043" s="77"/>
      <c r="BF4043" s="77"/>
      <c r="BG4043" s="77"/>
      <c r="BH4043" s="77"/>
      <c r="BI4043" s="77"/>
    </row>
    <row r="4044" spans="1:61" x14ac:dyDescent="0.25">
      <c r="A4044" s="62" t="s">
        <v>1615</v>
      </c>
      <c r="B4044" s="62" t="s">
        <v>1615</v>
      </c>
      <c r="C4044" s="63"/>
      <c r="D4044" s="64"/>
      <c r="E4044" s="65"/>
      <c r="F4044" s="66"/>
      <c r="G4044" s="63"/>
      <c r="H4044" s="67"/>
      <c r="I4044" s="68"/>
      <c r="J4044" s="68"/>
      <c r="K4044" s="32"/>
      <c r="L4044" s="75">
        <v>4044</v>
      </c>
      <c r="M4044" s="75"/>
      <c r="N4044" s="70"/>
      <c r="O4044" s="77" t="s">
        <v>179</v>
      </c>
      <c r="P4044" s="79">
        <v>45175.769166666665</v>
      </c>
      <c r="Q4044" s="77" t="s">
        <v>5657</v>
      </c>
      <c r="R4044" s="77">
        <v>0</v>
      </c>
      <c r="S4044" s="77">
        <v>17</v>
      </c>
      <c r="T4044" s="77">
        <v>0</v>
      </c>
      <c r="U4044" s="77">
        <v>1</v>
      </c>
      <c r="V4044" s="77">
        <v>584</v>
      </c>
      <c r="W4044" s="80" t="s">
        <v>8445</v>
      </c>
      <c r="X4044" s="83" t="str">
        <f>HYPERLINK("https://www.bancomoc.mz/pt/media/noticias/")</f>
        <v>https://www.bancomoc.mz/pt/media/noticias/</v>
      </c>
      <c r="Y4044" s="77" t="s">
        <v>8882</v>
      </c>
      <c r="Z4044" s="77"/>
      <c r="AA4044" s="77" t="s">
        <v>10406</v>
      </c>
      <c r="AB4044" s="77" t="s">
        <v>10538</v>
      </c>
      <c r="AC4044" s="80" t="s">
        <v>10541</v>
      </c>
      <c r="AD4044" s="77" t="s">
        <v>10617</v>
      </c>
      <c r="AE4044" s="83" t="str">
        <f>HYPERLINK("https://twitter.com/bancomoc/status/1699489540388393278")</f>
        <v>https://twitter.com/bancomoc/status/1699489540388393278</v>
      </c>
      <c r="AF4044" s="79">
        <v>45175.769166666665</v>
      </c>
      <c r="AG4044" s="85">
        <v>45175</v>
      </c>
      <c r="AH4044" s="80" t="s">
        <v>14136</v>
      </c>
      <c r="AI4044" s="77" t="b">
        <v>0</v>
      </c>
      <c r="AJ4044" s="77"/>
      <c r="AK4044" s="77"/>
      <c r="AL4044" s="77"/>
      <c r="AM4044" s="77"/>
      <c r="AN4044" s="77"/>
      <c r="AO4044" s="77"/>
      <c r="AP4044" s="77"/>
      <c r="AQ4044" s="77" t="s">
        <v>15885</v>
      </c>
      <c r="AR4044" s="77"/>
      <c r="AS4044" s="77"/>
      <c r="AT4044" s="77"/>
      <c r="AU4044" s="77"/>
      <c r="AV4044" s="83" t="str">
        <f>HYPERLINK("https://pbs.twimg.com/media/F5XMUvdXAAAQE3o.jpg")</f>
        <v>https://pbs.twimg.com/media/F5XMUvdXAAAQE3o.jpg</v>
      </c>
      <c r="AW4044" s="80" t="s">
        <v>19721</v>
      </c>
      <c r="AX4044" s="80" t="s">
        <v>19721</v>
      </c>
      <c r="AY4044" s="77"/>
      <c r="AZ4044" s="80" t="s">
        <v>20380</v>
      </c>
      <c r="BA4044" s="80" t="s">
        <v>20380</v>
      </c>
      <c r="BB4044" s="80" t="s">
        <v>20380</v>
      </c>
      <c r="BC4044" s="80" t="s">
        <v>19721</v>
      </c>
      <c r="BD4044" s="80" t="s">
        <v>21167</v>
      </c>
      <c r="BE4044" s="77"/>
      <c r="BF4044" s="77"/>
      <c r="BG4044" s="77"/>
      <c r="BH4044" s="77"/>
      <c r="BI4044" s="77"/>
    </row>
    <row r="4045" spans="1:61" x14ac:dyDescent="0.25">
      <c r="A4045" s="62" t="s">
        <v>1615</v>
      </c>
      <c r="B4045" s="62" t="s">
        <v>1615</v>
      </c>
      <c r="C4045" s="63"/>
      <c r="D4045" s="64"/>
      <c r="E4045" s="65"/>
      <c r="F4045" s="66"/>
      <c r="G4045" s="63"/>
      <c r="H4045" s="67"/>
      <c r="I4045" s="68"/>
      <c r="J4045" s="68"/>
      <c r="K4045" s="32"/>
      <c r="L4045" s="75">
        <v>4045</v>
      </c>
      <c r="M4045" s="75"/>
      <c r="N4045" s="70"/>
      <c r="O4045" s="77" t="s">
        <v>179</v>
      </c>
      <c r="P4045" s="79">
        <v>45167.595601851855</v>
      </c>
      <c r="Q4045" s="77" t="s">
        <v>5658</v>
      </c>
      <c r="R4045" s="77">
        <v>2</v>
      </c>
      <c r="S4045" s="77">
        <v>28</v>
      </c>
      <c r="T4045" s="77">
        <v>4</v>
      </c>
      <c r="U4045" s="77">
        <v>1</v>
      </c>
      <c r="V4045" s="77">
        <v>1162</v>
      </c>
      <c r="W4045" s="80" t="s">
        <v>8446</v>
      </c>
      <c r="X4045" s="77"/>
      <c r="Y4045" s="77"/>
      <c r="Z4045" s="77"/>
      <c r="AA4045" s="77" t="s">
        <v>10407</v>
      </c>
      <c r="AB4045" s="77" t="s">
        <v>10535</v>
      </c>
      <c r="AC4045" s="80" t="s">
        <v>10541</v>
      </c>
      <c r="AD4045" s="77" t="s">
        <v>10619</v>
      </c>
      <c r="AE4045" s="83" t="str">
        <f>HYPERLINK("https://twitter.com/bancomoc/status/1696527542008881621")</f>
        <v>https://twitter.com/bancomoc/status/1696527542008881621</v>
      </c>
      <c r="AF4045" s="79">
        <v>45167.595601851855</v>
      </c>
      <c r="AG4045" s="85">
        <v>45167</v>
      </c>
      <c r="AH4045" s="80" t="s">
        <v>14137</v>
      </c>
      <c r="AI4045" s="77" t="b">
        <v>0</v>
      </c>
      <c r="AJ4045" s="77"/>
      <c r="AK4045" s="77"/>
      <c r="AL4045" s="77"/>
      <c r="AM4045" s="77"/>
      <c r="AN4045" s="77"/>
      <c r="AO4045" s="77"/>
      <c r="AP4045" s="77"/>
      <c r="AQ4045" s="77" t="s">
        <v>15886</v>
      </c>
      <c r="AR4045" s="77"/>
      <c r="AS4045" s="77"/>
      <c r="AT4045" s="77"/>
      <c r="AU4045" s="77"/>
      <c r="AV4045" s="83" t="str">
        <f>HYPERLINK("https://pbs.twimg.com/media/F4tGzW_a4AAPooi.jpg")</f>
        <v>https://pbs.twimg.com/media/F4tGzW_a4AAPooi.jpg</v>
      </c>
      <c r="AW4045" s="80" t="s">
        <v>19722</v>
      </c>
      <c r="AX4045" s="80" t="s">
        <v>19722</v>
      </c>
      <c r="AY4045" s="77"/>
      <c r="AZ4045" s="80" t="s">
        <v>20380</v>
      </c>
      <c r="BA4045" s="80" t="s">
        <v>20380</v>
      </c>
      <c r="BB4045" s="80" t="s">
        <v>20380</v>
      </c>
      <c r="BC4045" s="80" t="s">
        <v>19722</v>
      </c>
      <c r="BD4045" s="80" t="s">
        <v>21167</v>
      </c>
      <c r="BE4045" s="77"/>
      <c r="BF4045" s="77"/>
      <c r="BG4045" s="77"/>
      <c r="BH4045" s="77"/>
      <c r="BI4045" s="77"/>
    </row>
    <row r="4046" spans="1:61" x14ac:dyDescent="0.25">
      <c r="A4046" s="62" t="s">
        <v>1615</v>
      </c>
      <c r="B4046" s="62" t="s">
        <v>1615</v>
      </c>
      <c r="C4046" s="63"/>
      <c r="D4046" s="64"/>
      <c r="E4046" s="65"/>
      <c r="F4046" s="66"/>
      <c r="G4046" s="63"/>
      <c r="H4046" s="67"/>
      <c r="I4046" s="68"/>
      <c r="J4046" s="68"/>
      <c r="K4046" s="32"/>
      <c r="L4046" s="75">
        <v>4046</v>
      </c>
      <c r="M4046" s="75"/>
      <c r="N4046" s="70"/>
      <c r="O4046" s="77" t="s">
        <v>179</v>
      </c>
      <c r="P4046" s="79">
        <v>45153.410682870373</v>
      </c>
      <c r="Q4046" s="77" t="s">
        <v>5659</v>
      </c>
      <c r="R4046" s="77">
        <v>1</v>
      </c>
      <c r="S4046" s="77">
        <v>6</v>
      </c>
      <c r="T4046" s="77">
        <v>0</v>
      </c>
      <c r="U4046" s="77">
        <v>0</v>
      </c>
      <c r="V4046" s="77">
        <v>256</v>
      </c>
      <c r="W4046" s="80" t="s">
        <v>8438</v>
      </c>
      <c r="X4046" s="83" t="str">
        <f>HYPERLINK("https://www.bancomoc.mz/pt/publicacoes-e-estudos/?dateBegin=&amp;dateEnd=&amp;category=Balan%C3%A7a+de+Pagamentos")</f>
        <v>https://www.bancomoc.mz/pt/publicacoes-e-estudos/?dateBegin=&amp;dateEnd=&amp;category=Balan%C3%A7a+de+Pagamentos</v>
      </c>
      <c r="Y4046" s="77" t="s">
        <v>8882</v>
      </c>
      <c r="Z4046" s="77"/>
      <c r="AA4046" s="77" t="s">
        <v>10408</v>
      </c>
      <c r="AB4046" s="77" t="s">
        <v>10535</v>
      </c>
      <c r="AC4046" s="80" t="s">
        <v>10541</v>
      </c>
      <c r="AD4046" s="77" t="s">
        <v>10617</v>
      </c>
      <c r="AE4046" s="83" t="str">
        <f>HYPERLINK("https://twitter.com/bancomoc/status/1691387099021225984")</f>
        <v>https://twitter.com/bancomoc/status/1691387099021225984</v>
      </c>
      <c r="AF4046" s="79">
        <v>45153.410682870373</v>
      </c>
      <c r="AG4046" s="85">
        <v>45153</v>
      </c>
      <c r="AH4046" s="80" t="s">
        <v>14138</v>
      </c>
      <c r="AI4046" s="77" t="b">
        <v>0</v>
      </c>
      <c r="AJ4046" s="77"/>
      <c r="AK4046" s="77"/>
      <c r="AL4046" s="77"/>
      <c r="AM4046" s="77"/>
      <c r="AN4046" s="77"/>
      <c r="AO4046" s="77"/>
      <c r="AP4046" s="77"/>
      <c r="AQ4046" s="77" t="s">
        <v>15887</v>
      </c>
      <c r="AR4046" s="77"/>
      <c r="AS4046" s="77"/>
      <c r="AT4046" s="77"/>
      <c r="AU4046" s="77"/>
      <c r="AV4046" s="83" t="str">
        <f>HYPERLINK("https://pbs.twimg.com/media/F3kDl78XEAAgIIS.jpg")</f>
        <v>https://pbs.twimg.com/media/F3kDl78XEAAgIIS.jpg</v>
      </c>
      <c r="AW4046" s="80" t="s">
        <v>19723</v>
      </c>
      <c r="AX4046" s="80" t="s">
        <v>19723</v>
      </c>
      <c r="AY4046" s="77"/>
      <c r="AZ4046" s="80" t="s">
        <v>20380</v>
      </c>
      <c r="BA4046" s="80" t="s">
        <v>20380</v>
      </c>
      <c r="BB4046" s="80" t="s">
        <v>20380</v>
      </c>
      <c r="BC4046" s="80" t="s">
        <v>19723</v>
      </c>
      <c r="BD4046" s="80" t="s">
        <v>21167</v>
      </c>
      <c r="BE4046" s="77"/>
      <c r="BF4046" s="77"/>
      <c r="BG4046" s="77"/>
      <c r="BH4046" s="77"/>
      <c r="BI4046" s="77"/>
    </row>
    <row r="4047" spans="1:61" x14ac:dyDescent="0.25">
      <c r="A4047" s="62" t="s">
        <v>1615</v>
      </c>
      <c r="B4047" s="62" t="s">
        <v>1615</v>
      </c>
      <c r="C4047" s="63"/>
      <c r="D4047" s="64"/>
      <c r="E4047" s="65"/>
      <c r="F4047" s="66"/>
      <c r="G4047" s="63"/>
      <c r="H4047" s="67"/>
      <c r="I4047" s="68"/>
      <c r="J4047" s="68"/>
      <c r="K4047" s="32"/>
      <c r="L4047" s="75">
        <v>4047</v>
      </c>
      <c r="M4047" s="75"/>
      <c r="N4047" s="70"/>
      <c r="O4047" s="77" t="s">
        <v>179</v>
      </c>
      <c r="P4047" s="79">
        <v>45139.576527777775</v>
      </c>
      <c r="Q4047" s="77" t="s">
        <v>5660</v>
      </c>
      <c r="R4047" s="77">
        <v>7</v>
      </c>
      <c r="S4047" s="77">
        <v>19</v>
      </c>
      <c r="T4047" s="77">
        <v>1</v>
      </c>
      <c r="U4047" s="77">
        <v>1</v>
      </c>
      <c r="V4047" s="77">
        <v>878</v>
      </c>
      <c r="W4047" s="80" t="s">
        <v>8447</v>
      </c>
      <c r="X4047" s="77"/>
      <c r="Y4047" s="77"/>
      <c r="Z4047" s="77"/>
      <c r="AA4047" s="77" t="s">
        <v>10409</v>
      </c>
      <c r="AB4047" s="77" t="s">
        <v>10535</v>
      </c>
      <c r="AC4047" s="80" t="s">
        <v>10541</v>
      </c>
      <c r="AD4047" s="77" t="s">
        <v>10619</v>
      </c>
      <c r="AE4047" s="83" t="str">
        <f>HYPERLINK("https://twitter.com/bancomoc/status/1686373768342695937")</f>
        <v>https://twitter.com/bancomoc/status/1686373768342695937</v>
      </c>
      <c r="AF4047" s="79">
        <v>45139.576527777775</v>
      </c>
      <c r="AG4047" s="85">
        <v>45139</v>
      </c>
      <c r="AH4047" s="80" t="s">
        <v>12171</v>
      </c>
      <c r="AI4047" s="77" t="b">
        <v>0</v>
      </c>
      <c r="AJ4047" s="77"/>
      <c r="AK4047" s="77"/>
      <c r="AL4047" s="77"/>
      <c r="AM4047" s="77"/>
      <c r="AN4047" s="77"/>
      <c r="AO4047" s="77"/>
      <c r="AP4047" s="77"/>
      <c r="AQ4047" s="77" t="s">
        <v>15888</v>
      </c>
      <c r="AR4047" s="77"/>
      <c r="AS4047" s="77"/>
      <c r="AT4047" s="77"/>
      <c r="AU4047" s="77"/>
      <c r="AV4047" s="83" t="str">
        <f>HYPERLINK("https://pbs.twimg.com/media/F2cz_fdaAAAPLtg.jpg")</f>
        <v>https://pbs.twimg.com/media/F2cz_fdaAAAPLtg.jpg</v>
      </c>
      <c r="AW4047" s="80" t="s">
        <v>19724</v>
      </c>
      <c r="AX4047" s="80" t="s">
        <v>19724</v>
      </c>
      <c r="AY4047" s="77"/>
      <c r="AZ4047" s="80" t="s">
        <v>20380</v>
      </c>
      <c r="BA4047" s="80" t="s">
        <v>20380</v>
      </c>
      <c r="BB4047" s="80" t="s">
        <v>20380</v>
      </c>
      <c r="BC4047" s="80" t="s">
        <v>19724</v>
      </c>
      <c r="BD4047" s="80" t="s">
        <v>21167</v>
      </c>
      <c r="BE4047" s="77"/>
      <c r="BF4047" s="77"/>
      <c r="BG4047" s="77"/>
      <c r="BH4047" s="77"/>
      <c r="BI4047" s="77"/>
    </row>
    <row r="4048" spans="1:61" x14ac:dyDescent="0.25">
      <c r="A4048" s="62" t="s">
        <v>1615</v>
      </c>
      <c r="B4048" s="62" t="s">
        <v>1615</v>
      </c>
      <c r="C4048" s="63"/>
      <c r="D4048" s="64"/>
      <c r="E4048" s="65"/>
      <c r="F4048" s="66"/>
      <c r="G4048" s="63"/>
      <c r="H4048" s="67"/>
      <c r="I4048" s="68"/>
      <c r="J4048" s="68"/>
      <c r="K4048" s="32"/>
      <c r="L4048" s="75">
        <v>4048</v>
      </c>
      <c r="M4048" s="75"/>
      <c r="N4048" s="70"/>
      <c r="O4048" s="77" t="s">
        <v>179</v>
      </c>
      <c r="P4048" s="79">
        <v>45138.617476851854</v>
      </c>
      <c r="Q4048" s="77" t="s">
        <v>5661</v>
      </c>
      <c r="R4048" s="77">
        <v>5</v>
      </c>
      <c r="S4048" s="77">
        <v>24</v>
      </c>
      <c r="T4048" s="77">
        <v>0</v>
      </c>
      <c r="U4048" s="77">
        <v>2</v>
      </c>
      <c r="V4048" s="77">
        <v>1234</v>
      </c>
      <c r="W4048" s="80" t="s">
        <v>8448</v>
      </c>
      <c r="X4048" s="77"/>
      <c r="Y4048" s="77"/>
      <c r="Z4048" s="77"/>
      <c r="AA4048" s="77" t="s">
        <v>10410</v>
      </c>
      <c r="AB4048" s="77" t="s">
        <v>10535</v>
      </c>
      <c r="AC4048" s="80" t="s">
        <v>10541</v>
      </c>
      <c r="AD4048" s="77" t="s">
        <v>10619</v>
      </c>
      <c r="AE4048" s="83" t="str">
        <f>HYPERLINK("https://twitter.com/bancomoc/status/1686026221883109376")</f>
        <v>https://twitter.com/bancomoc/status/1686026221883109376</v>
      </c>
      <c r="AF4048" s="79">
        <v>45138.617476851854</v>
      </c>
      <c r="AG4048" s="85">
        <v>45138</v>
      </c>
      <c r="AH4048" s="80" t="s">
        <v>14139</v>
      </c>
      <c r="AI4048" s="77" t="b">
        <v>0</v>
      </c>
      <c r="AJ4048" s="77"/>
      <c r="AK4048" s="77"/>
      <c r="AL4048" s="77"/>
      <c r="AM4048" s="77"/>
      <c r="AN4048" s="77"/>
      <c r="AO4048" s="77"/>
      <c r="AP4048" s="77"/>
      <c r="AQ4048" s="77" t="s">
        <v>15889</v>
      </c>
      <c r="AR4048" s="77"/>
      <c r="AS4048" s="77"/>
      <c r="AT4048" s="77"/>
      <c r="AU4048" s="77"/>
      <c r="AV4048" s="83" t="str">
        <f>HYPERLINK("https://pbs.twimg.com/media/F2X356fWUAEDaWK.jpg")</f>
        <v>https://pbs.twimg.com/media/F2X356fWUAEDaWK.jpg</v>
      </c>
      <c r="AW4048" s="80" t="s">
        <v>19725</v>
      </c>
      <c r="AX4048" s="80" t="s">
        <v>19725</v>
      </c>
      <c r="AY4048" s="77"/>
      <c r="AZ4048" s="80" t="s">
        <v>20380</v>
      </c>
      <c r="BA4048" s="80" t="s">
        <v>20380</v>
      </c>
      <c r="BB4048" s="80" t="s">
        <v>20380</v>
      </c>
      <c r="BC4048" s="80" t="s">
        <v>19725</v>
      </c>
      <c r="BD4048" s="80" t="s">
        <v>21167</v>
      </c>
      <c r="BE4048" s="77"/>
      <c r="BF4048" s="77"/>
      <c r="BG4048" s="77"/>
      <c r="BH4048" s="77"/>
      <c r="BI4048" s="77"/>
    </row>
    <row r="4049" spans="1:61" x14ac:dyDescent="0.25">
      <c r="A4049" s="62" t="s">
        <v>1615</v>
      </c>
      <c r="B4049" s="62" t="s">
        <v>1615</v>
      </c>
      <c r="C4049" s="63"/>
      <c r="D4049" s="64"/>
      <c r="E4049" s="65"/>
      <c r="F4049" s="66"/>
      <c r="G4049" s="63"/>
      <c r="H4049" s="67"/>
      <c r="I4049" s="68"/>
      <c r="J4049" s="68"/>
      <c r="K4049" s="32"/>
      <c r="L4049" s="75">
        <v>4049</v>
      </c>
      <c r="M4049" s="75"/>
      <c r="N4049" s="70"/>
      <c r="O4049" s="77" t="s">
        <v>179</v>
      </c>
      <c r="P4049" s="79">
        <v>45098.634097222224</v>
      </c>
      <c r="Q4049" s="77" t="s">
        <v>5662</v>
      </c>
      <c r="R4049" s="77">
        <v>1</v>
      </c>
      <c r="S4049" s="77">
        <v>2</v>
      </c>
      <c r="T4049" s="77">
        <v>0</v>
      </c>
      <c r="U4049" s="77">
        <v>0</v>
      </c>
      <c r="V4049" s="77">
        <v>321</v>
      </c>
      <c r="W4049" s="80" t="s">
        <v>8439</v>
      </c>
      <c r="X4049" s="83" t="str">
        <f>HYPERLINK("https://www.bancomoc.mz/pt/media/noticias/relatorio-de-estabilidade-financeira/")</f>
        <v>https://www.bancomoc.mz/pt/media/noticias/relatorio-de-estabilidade-financeira/</v>
      </c>
      <c r="Y4049" s="77" t="s">
        <v>8882</v>
      </c>
      <c r="Z4049" s="77"/>
      <c r="AA4049" s="77" t="s">
        <v>10411</v>
      </c>
      <c r="AB4049" s="77" t="s">
        <v>10535</v>
      </c>
      <c r="AC4049" s="80" t="s">
        <v>10541</v>
      </c>
      <c r="AD4049" s="77" t="s">
        <v>10617</v>
      </c>
      <c r="AE4049" s="83" t="str">
        <f>HYPERLINK("https://twitter.com/bancomoc/status/1671536729600188416")</f>
        <v>https://twitter.com/bancomoc/status/1671536729600188416</v>
      </c>
      <c r="AF4049" s="79">
        <v>45098.634097222224</v>
      </c>
      <c r="AG4049" s="85">
        <v>45098</v>
      </c>
      <c r="AH4049" s="80" t="s">
        <v>14140</v>
      </c>
      <c r="AI4049" s="77" t="b">
        <v>0</v>
      </c>
      <c r="AJ4049" s="77"/>
      <c r="AK4049" s="77"/>
      <c r="AL4049" s="77"/>
      <c r="AM4049" s="77"/>
      <c r="AN4049" s="77"/>
      <c r="AO4049" s="77"/>
      <c r="AP4049" s="77"/>
      <c r="AQ4049" s="77" t="s">
        <v>15890</v>
      </c>
      <c r="AR4049" s="77"/>
      <c r="AS4049" s="77"/>
      <c r="AT4049" s="77"/>
      <c r="AU4049" s="77"/>
      <c r="AV4049" s="83" t="str">
        <f>HYPERLINK("https://pbs.twimg.com/media/FzJ9vfLWAAMxMSc.jpg")</f>
        <v>https://pbs.twimg.com/media/FzJ9vfLWAAMxMSc.jpg</v>
      </c>
      <c r="AW4049" s="80" t="s">
        <v>19726</v>
      </c>
      <c r="AX4049" s="80" t="s">
        <v>19726</v>
      </c>
      <c r="AY4049" s="77"/>
      <c r="AZ4049" s="80" t="s">
        <v>20380</v>
      </c>
      <c r="BA4049" s="80" t="s">
        <v>20380</v>
      </c>
      <c r="BB4049" s="80" t="s">
        <v>20380</v>
      </c>
      <c r="BC4049" s="80" t="s">
        <v>19726</v>
      </c>
      <c r="BD4049" s="80" t="s">
        <v>21167</v>
      </c>
      <c r="BE4049" s="77"/>
      <c r="BF4049" s="77"/>
      <c r="BG4049" s="77"/>
      <c r="BH4049" s="77"/>
      <c r="BI4049" s="77"/>
    </row>
    <row r="4050" spans="1:61" x14ac:dyDescent="0.25">
      <c r="A4050" s="62" t="s">
        <v>1615</v>
      </c>
      <c r="B4050" s="62" t="s">
        <v>1615</v>
      </c>
      <c r="C4050" s="63"/>
      <c r="D4050" s="64"/>
      <c r="E4050" s="65"/>
      <c r="F4050" s="66"/>
      <c r="G4050" s="63"/>
      <c r="H4050" s="67"/>
      <c r="I4050" s="68"/>
      <c r="J4050" s="68"/>
      <c r="K4050" s="32"/>
      <c r="L4050" s="75">
        <v>4050</v>
      </c>
      <c r="M4050" s="75"/>
      <c r="N4050" s="70"/>
      <c r="O4050" s="77" t="s">
        <v>179</v>
      </c>
      <c r="P4050" s="79">
        <v>45069.634166666663</v>
      </c>
      <c r="Q4050" s="77" t="s">
        <v>5663</v>
      </c>
      <c r="R4050" s="77">
        <v>1</v>
      </c>
      <c r="S4050" s="77">
        <v>6</v>
      </c>
      <c r="T4050" s="77">
        <v>1</v>
      </c>
      <c r="U4050" s="77">
        <v>0</v>
      </c>
      <c r="V4050" s="77">
        <v>351</v>
      </c>
      <c r="W4050" s="80" t="s">
        <v>8449</v>
      </c>
      <c r="X4050" s="83" t="str">
        <f>HYPERLINK("https://www.bancomoc.mz/pt/media/noticias/")</f>
        <v>https://www.bancomoc.mz/pt/media/noticias/</v>
      </c>
      <c r="Y4050" s="77" t="s">
        <v>8882</v>
      </c>
      <c r="Z4050" s="77"/>
      <c r="AA4050" s="77" t="s">
        <v>10412</v>
      </c>
      <c r="AB4050" s="77" t="s">
        <v>10538</v>
      </c>
      <c r="AC4050" s="80" t="s">
        <v>10541</v>
      </c>
      <c r="AD4050" s="77" t="s">
        <v>10617</v>
      </c>
      <c r="AE4050" s="83" t="str">
        <f>HYPERLINK("https://twitter.com/bancomoc/status/1661027507972472832")</f>
        <v>https://twitter.com/bancomoc/status/1661027507972472832</v>
      </c>
      <c r="AF4050" s="79">
        <v>45069.634166666663</v>
      </c>
      <c r="AG4050" s="85">
        <v>45069</v>
      </c>
      <c r="AH4050" s="80" t="s">
        <v>14141</v>
      </c>
      <c r="AI4050" s="77" t="b">
        <v>0</v>
      </c>
      <c r="AJ4050" s="77"/>
      <c r="AK4050" s="77"/>
      <c r="AL4050" s="77"/>
      <c r="AM4050" s="77"/>
      <c r="AN4050" s="77"/>
      <c r="AO4050" s="77"/>
      <c r="AP4050" s="77"/>
      <c r="AQ4050" s="77" t="s">
        <v>15891</v>
      </c>
      <c r="AR4050" s="77"/>
      <c r="AS4050" s="77"/>
      <c r="AT4050" s="77"/>
      <c r="AU4050" s="77"/>
      <c r="AV4050" s="83" t="str">
        <f>HYPERLINK("https://pbs.twimg.com/media/Fw0nlnDaAAssPMJ.jpg")</f>
        <v>https://pbs.twimg.com/media/Fw0nlnDaAAssPMJ.jpg</v>
      </c>
      <c r="AW4050" s="80" t="s">
        <v>19727</v>
      </c>
      <c r="AX4050" s="80" t="s">
        <v>19727</v>
      </c>
      <c r="AY4050" s="77"/>
      <c r="AZ4050" s="80" t="s">
        <v>20380</v>
      </c>
      <c r="BA4050" s="80" t="s">
        <v>20380</v>
      </c>
      <c r="BB4050" s="80" t="s">
        <v>20380</v>
      </c>
      <c r="BC4050" s="80" t="s">
        <v>19727</v>
      </c>
      <c r="BD4050" s="80" t="s">
        <v>21167</v>
      </c>
      <c r="BE4050" s="77"/>
      <c r="BF4050" s="77"/>
      <c r="BG4050" s="77"/>
      <c r="BH4050" s="77"/>
      <c r="BI4050" s="77"/>
    </row>
    <row r="4051" spans="1:61" x14ac:dyDescent="0.25">
      <c r="A4051" s="62" t="s">
        <v>1615</v>
      </c>
      <c r="B4051" s="62" t="s">
        <v>1615</v>
      </c>
      <c r="C4051" s="63"/>
      <c r="D4051" s="64"/>
      <c r="E4051" s="65"/>
      <c r="F4051" s="66"/>
      <c r="G4051" s="63"/>
      <c r="H4051" s="67"/>
      <c r="I4051" s="68"/>
      <c r="J4051" s="68"/>
      <c r="K4051" s="32"/>
      <c r="L4051" s="75">
        <v>4051</v>
      </c>
      <c r="M4051" s="75"/>
      <c r="N4051" s="70"/>
      <c r="O4051" s="77" t="s">
        <v>179</v>
      </c>
      <c r="P4051" s="79">
        <v>45189.294722222221</v>
      </c>
      <c r="Q4051" s="77" t="s">
        <v>5664</v>
      </c>
      <c r="R4051" s="77">
        <v>10</v>
      </c>
      <c r="S4051" s="77">
        <v>19</v>
      </c>
      <c r="T4051" s="77">
        <v>0</v>
      </c>
      <c r="U4051" s="77">
        <v>0</v>
      </c>
      <c r="V4051" s="77">
        <v>886</v>
      </c>
      <c r="W4051" s="80" t="s">
        <v>5899</v>
      </c>
      <c r="X4051" s="77"/>
      <c r="Y4051" s="77"/>
      <c r="Z4051" s="77"/>
      <c r="AA4051" s="77" t="s">
        <v>9047</v>
      </c>
      <c r="AB4051" s="77" t="s">
        <v>10535</v>
      </c>
      <c r="AC4051" s="80" t="s">
        <v>10541</v>
      </c>
      <c r="AD4051" s="77" t="s">
        <v>10619</v>
      </c>
      <c r="AE4051" s="83" t="str">
        <f>HYPERLINK("https://twitter.com/bancomoc/status/1704391037349994908")</f>
        <v>https://twitter.com/bancomoc/status/1704391037349994908</v>
      </c>
      <c r="AF4051" s="79">
        <v>45189.294722222221</v>
      </c>
      <c r="AG4051" s="85">
        <v>45189</v>
      </c>
      <c r="AH4051" s="80" t="s">
        <v>14142</v>
      </c>
      <c r="AI4051" s="77" t="b">
        <v>0</v>
      </c>
      <c r="AJ4051" s="77"/>
      <c r="AK4051" s="77"/>
      <c r="AL4051" s="77"/>
      <c r="AM4051" s="77"/>
      <c r="AN4051" s="77"/>
      <c r="AO4051" s="77"/>
      <c r="AP4051" s="77"/>
      <c r="AQ4051" s="77" t="s">
        <v>14529</v>
      </c>
      <c r="AR4051" s="77"/>
      <c r="AS4051" s="77"/>
      <c r="AT4051" s="77"/>
      <c r="AU4051" s="77"/>
      <c r="AV4051" s="83" t="str">
        <f>HYPERLINK("https://pbs.twimg.com/media/F6c2kgoWAAAEEnO.jpg")</f>
        <v>https://pbs.twimg.com/media/F6c2kgoWAAAEEnO.jpg</v>
      </c>
      <c r="AW4051" s="80" t="s">
        <v>19728</v>
      </c>
      <c r="AX4051" s="80" t="s">
        <v>19728</v>
      </c>
      <c r="AY4051" s="77"/>
      <c r="AZ4051" s="80" t="s">
        <v>20380</v>
      </c>
      <c r="BA4051" s="80" t="s">
        <v>20380</v>
      </c>
      <c r="BB4051" s="80" t="s">
        <v>20380</v>
      </c>
      <c r="BC4051" s="80" t="s">
        <v>19728</v>
      </c>
      <c r="BD4051" s="80" t="s">
        <v>21167</v>
      </c>
      <c r="BE4051" s="77"/>
      <c r="BF4051" s="77"/>
      <c r="BG4051" s="77"/>
      <c r="BH4051" s="77"/>
      <c r="BI4051" s="77"/>
    </row>
    <row r="4052" spans="1:61" x14ac:dyDescent="0.25">
      <c r="A4052" s="62" t="s">
        <v>1615</v>
      </c>
      <c r="B4052" s="62" t="s">
        <v>1615</v>
      </c>
      <c r="C4052" s="63"/>
      <c r="D4052" s="64"/>
      <c r="E4052" s="65"/>
      <c r="F4052" s="66"/>
      <c r="G4052" s="63"/>
      <c r="H4052" s="67"/>
      <c r="I4052" s="68"/>
      <c r="J4052" s="68"/>
      <c r="K4052" s="32"/>
      <c r="L4052" s="75">
        <v>4052</v>
      </c>
      <c r="M4052" s="75"/>
      <c r="N4052" s="70"/>
      <c r="O4052" s="77" t="s">
        <v>179</v>
      </c>
      <c r="P4052" s="79">
        <v>45128.379652777781</v>
      </c>
      <c r="Q4052" s="77" t="s">
        <v>5665</v>
      </c>
      <c r="R4052" s="77">
        <v>19</v>
      </c>
      <c r="S4052" s="77">
        <v>87</v>
      </c>
      <c r="T4052" s="77">
        <v>3</v>
      </c>
      <c r="U4052" s="77">
        <v>3</v>
      </c>
      <c r="V4052" s="77">
        <v>4461</v>
      </c>
      <c r="W4052" s="80" t="s">
        <v>8450</v>
      </c>
      <c r="X4052" s="77"/>
      <c r="Y4052" s="77"/>
      <c r="Z4052" s="77"/>
      <c r="AA4052" s="77" t="s">
        <v>10413</v>
      </c>
      <c r="AB4052" s="77" t="s">
        <v>10535</v>
      </c>
      <c r="AC4052" s="80" t="s">
        <v>10541</v>
      </c>
      <c r="AD4052" s="77" t="s">
        <v>10619</v>
      </c>
      <c r="AE4052" s="83" t="str">
        <f>HYPERLINK("https://twitter.com/bancomoc/status/1682316155514437632")</f>
        <v>https://twitter.com/bancomoc/status/1682316155514437632</v>
      </c>
      <c r="AF4052" s="79">
        <v>45128.379652777781</v>
      </c>
      <c r="AG4052" s="85">
        <v>45128</v>
      </c>
      <c r="AH4052" s="80" t="s">
        <v>14143</v>
      </c>
      <c r="AI4052" s="77" t="b">
        <v>0</v>
      </c>
      <c r="AJ4052" s="77"/>
      <c r="AK4052" s="77"/>
      <c r="AL4052" s="77"/>
      <c r="AM4052" s="77"/>
      <c r="AN4052" s="77"/>
      <c r="AO4052" s="77"/>
      <c r="AP4052" s="77"/>
      <c r="AQ4052" s="77" t="s">
        <v>15892</v>
      </c>
      <c r="AR4052" s="77"/>
      <c r="AS4052" s="77"/>
      <c r="AT4052" s="77"/>
      <c r="AU4052" s="77"/>
      <c r="AV4052" s="83" t="str">
        <f>HYPERLINK("https://pbs.twimg.com/media/F1jHmYUX0AAFwem.jpg")</f>
        <v>https://pbs.twimg.com/media/F1jHmYUX0AAFwem.jpg</v>
      </c>
      <c r="AW4052" s="80" t="s">
        <v>19729</v>
      </c>
      <c r="AX4052" s="80" t="s">
        <v>19729</v>
      </c>
      <c r="AY4052" s="77"/>
      <c r="AZ4052" s="80" t="s">
        <v>20380</v>
      </c>
      <c r="BA4052" s="80" t="s">
        <v>20380</v>
      </c>
      <c r="BB4052" s="80" t="s">
        <v>20380</v>
      </c>
      <c r="BC4052" s="80" t="s">
        <v>19729</v>
      </c>
      <c r="BD4052" s="80" t="s">
        <v>21167</v>
      </c>
      <c r="BE4052" s="77"/>
      <c r="BF4052" s="77"/>
      <c r="BG4052" s="77"/>
      <c r="BH4052" s="77"/>
      <c r="BI4052" s="77"/>
    </row>
    <row r="4053" spans="1:61" x14ac:dyDescent="0.25">
      <c r="A4053" s="62" t="s">
        <v>1615</v>
      </c>
      <c r="B4053" s="62" t="s">
        <v>1615</v>
      </c>
      <c r="C4053" s="63"/>
      <c r="D4053" s="64"/>
      <c r="E4053" s="65"/>
      <c r="F4053" s="66"/>
      <c r="G4053" s="63"/>
      <c r="H4053" s="67"/>
      <c r="I4053" s="68"/>
      <c r="J4053" s="68"/>
      <c r="K4053" s="32"/>
      <c r="L4053" s="75">
        <v>4053</v>
      </c>
      <c r="M4053" s="75"/>
      <c r="N4053" s="70"/>
      <c r="O4053" s="77" t="s">
        <v>179</v>
      </c>
      <c r="P4053" s="79">
        <v>45126.377476851849</v>
      </c>
      <c r="Q4053" s="77" t="s">
        <v>5666</v>
      </c>
      <c r="R4053" s="77">
        <v>7</v>
      </c>
      <c r="S4053" s="77">
        <v>17</v>
      </c>
      <c r="T4053" s="77">
        <v>0</v>
      </c>
      <c r="U4053" s="77">
        <v>0</v>
      </c>
      <c r="V4053" s="77">
        <v>934</v>
      </c>
      <c r="W4053" s="80" t="s">
        <v>8451</v>
      </c>
      <c r="X4053" s="77"/>
      <c r="Y4053" s="77"/>
      <c r="Z4053" s="77"/>
      <c r="AA4053" s="77" t="s">
        <v>10414</v>
      </c>
      <c r="AB4053" s="77" t="s">
        <v>10535</v>
      </c>
      <c r="AC4053" s="80" t="s">
        <v>10541</v>
      </c>
      <c r="AD4053" s="77" t="s">
        <v>10619</v>
      </c>
      <c r="AE4053" s="83" t="str">
        <f>HYPERLINK("https://twitter.com/bancomoc/status/1681590592344584192")</f>
        <v>https://twitter.com/bancomoc/status/1681590592344584192</v>
      </c>
      <c r="AF4053" s="79">
        <v>45126.377476851849</v>
      </c>
      <c r="AG4053" s="85">
        <v>45126</v>
      </c>
      <c r="AH4053" s="80" t="s">
        <v>14144</v>
      </c>
      <c r="AI4053" s="77" t="b">
        <v>0</v>
      </c>
      <c r="AJ4053" s="77"/>
      <c r="AK4053" s="77"/>
      <c r="AL4053" s="77"/>
      <c r="AM4053" s="77"/>
      <c r="AN4053" s="77"/>
      <c r="AO4053" s="77"/>
      <c r="AP4053" s="77"/>
      <c r="AQ4053" s="77" t="s">
        <v>15893</v>
      </c>
      <c r="AR4053" s="77"/>
      <c r="AS4053" s="77"/>
      <c r="AT4053" s="77"/>
      <c r="AU4053" s="77"/>
      <c r="AV4053" s="83" t="str">
        <f>HYPERLINK("https://pbs.twimg.com/media/F1Y1jf9WwAQP7Mr.jpg")</f>
        <v>https://pbs.twimg.com/media/F1Y1jf9WwAQP7Mr.jpg</v>
      </c>
      <c r="AW4053" s="80" t="s">
        <v>19730</v>
      </c>
      <c r="AX4053" s="80" t="s">
        <v>19730</v>
      </c>
      <c r="AY4053" s="77"/>
      <c r="AZ4053" s="80" t="s">
        <v>20380</v>
      </c>
      <c r="BA4053" s="80" t="s">
        <v>20380</v>
      </c>
      <c r="BB4053" s="80" t="s">
        <v>20380</v>
      </c>
      <c r="BC4053" s="80" t="s">
        <v>19730</v>
      </c>
      <c r="BD4053" s="80" t="s">
        <v>21167</v>
      </c>
      <c r="BE4053" s="77"/>
      <c r="BF4053" s="77"/>
      <c r="BG4053" s="77"/>
      <c r="BH4053" s="77"/>
      <c r="BI4053" s="77"/>
    </row>
    <row r="4054" spans="1:61" x14ac:dyDescent="0.25">
      <c r="A4054" s="62" t="s">
        <v>1615</v>
      </c>
      <c r="B4054" s="62" t="s">
        <v>1615</v>
      </c>
      <c r="C4054" s="63"/>
      <c r="D4054" s="64"/>
      <c r="E4054" s="65"/>
      <c r="F4054" s="66"/>
      <c r="G4054" s="63"/>
      <c r="H4054" s="67"/>
      <c r="I4054" s="68"/>
      <c r="J4054" s="68"/>
      <c r="K4054" s="32"/>
      <c r="L4054" s="75">
        <v>4054</v>
      </c>
      <c r="M4054" s="75"/>
      <c r="N4054" s="70"/>
      <c r="O4054" s="77" t="s">
        <v>179</v>
      </c>
      <c r="P4054" s="79">
        <v>45104.577280092592</v>
      </c>
      <c r="Q4054" s="77" t="s">
        <v>5667</v>
      </c>
      <c r="R4054" s="77">
        <v>0</v>
      </c>
      <c r="S4054" s="77">
        <v>3</v>
      </c>
      <c r="T4054" s="77">
        <v>1</v>
      </c>
      <c r="U4054" s="77">
        <v>0</v>
      </c>
      <c r="V4054" s="77">
        <v>342</v>
      </c>
      <c r="W4054" s="80" t="s">
        <v>8439</v>
      </c>
      <c r="X4054" s="83" t="str">
        <f>HYPERLINK("https://www.bancomoc.mz/pt/media/noticias/relatorio-de-estabilidade-financeira/")</f>
        <v>https://www.bancomoc.mz/pt/media/noticias/relatorio-de-estabilidade-financeira/</v>
      </c>
      <c r="Y4054" s="77" t="s">
        <v>8882</v>
      </c>
      <c r="Z4054" s="77"/>
      <c r="AA4054" s="77" t="s">
        <v>10415</v>
      </c>
      <c r="AB4054" s="77" t="s">
        <v>10535</v>
      </c>
      <c r="AC4054" s="80" t="s">
        <v>10541</v>
      </c>
      <c r="AD4054" s="77" t="s">
        <v>10617</v>
      </c>
      <c r="AE4054" s="83" t="str">
        <f>HYPERLINK("https://twitter.com/bancomoc/status/1673690467127504896")</f>
        <v>https://twitter.com/bancomoc/status/1673690467127504896</v>
      </c>
      <c r="AF4054" s="79">
        <v>45104.577280092592</v>
      </c>
      <c r="AG4054" s="85">
        <v>45104</v>
      </c>
      <c r="AH4054" s="80" t="s">
        <v>14145</v>
      </c>
      <c r="AI4054" s="77" t="b">
        <v>0</v>
      </c>
      <c r="AJ4054" s="77"/>
      <c r="AK4054" s="77"/>
      <c r="AL4054" s="77"/>
      <c r="AM4054" s="77"/>
      <c r="AN4054" s="77"/>
      <c r="AO4054" s="77"/>
      <c r="AP4054" s="77"/>
      <c r="AQ4054" s="77" t="s">
        <v>15894</v>
      </c>
      <c r="AR4054" s="77"/>
      <c r="AS4054" s="77"/>
      <c r="AT4054" s="77"/>
      <c r="AU4054" s="77"/>
      <c r="AV4054" s="83" t="str">
        <f>HYPERLINK("https://pbs.twimg.com/media/FzokkjJaUAASU5O.jpg")</f>
        <v>https://pbs.twimg.com/media/FzokkjJaUAASU5O.jpg</v>
      </c>
      <c r="AW4054" s="80" t="s">
        <v>19731</v>
      </c>
      <c r="AX4054" s="80" t="s">
        <v>19731</v>
      </c>
      <c r="AY4054" s="77"/>
      <c r="AZ4054" s="80" t="s">
        <v>20380</v>
      </c>
      <c r="BA4054" s="80" t="s">
        <v>20380</v>
      </c>
      <c r="BB4054" s="80" t="s">
        <v>20380</v>
      </c>
      <c r="BC4054" s="80" t="s">
        <v>19731</v>
      </c>
      <c r="BD4054" s="80" t="s">
        <v>21167</v>
      </c>
      <c r="BE4054" s="77"/>
      <c r="BF4054" s="77"/>
      <c r="BG4054" s="77"/>
      <c r="BH4054" s="77"/>
      <c r="BI4054" s="77"/>
    </row>
    <row r="4055" spans="1:61" x14ac:dyDescent="0.25">
      <c r="A4055" s="62" t="s">
        <v>1615</v>
      </c>
      <c r="B4055" s="62" t="s">
        <v>1615</v>
      </c>
      <c r="C4055" s="63"/>
      <c r="D4055" s="64"/>
      <c r="E4055" s="65"/>
      <c r="F4055" s="66"/>
      <c r="G4055" s="63"/>
      <c r="H4055" s="67"/>
      <c r="I4055" s="68"/>
      <c r="J4055" s="68"/>
      <c r="K4055" s="32"/>
      <c r="L4055" s="75">
        <v>4055</v>
      </c>
      <c r="M4055" s="75"/>
      <c r="N4055" s="70"/>
      <c r="O4055" s="77" t="s">
        <v>179</v>
      </c>
      <c r="P4055" s="79">
        <v>45191.623981481483</v>
      </c>
      <c r="Q4055" s="77" t="s">
        <v>5668</v>
      </c>
      <c r="R4055" s="77">
        <v>4</v>
      </c>
      <c r="S4055" s="77">
        <v>4</v>
      </c>
      <c r="T4055" s="77">
        <v>0</v>
      </c>
      <c r="U4055" s="77">
        <v>0</v>
      </c>
      <c r="V4055" s="77">
        <v>595</v>
      </c>
      <c r="W4055" s="80" t="s">
        <v>8430</v>
      </c>
      <c r="X4055" s="83" t="str">
        <f>HYPERLINK("https://www.youtube.com/watch?v=Bey2OnhJGJM")</f>
        <v>https://www.youtube.com/watch?v=Bey2OnhJGJM</v>
      </c>
      <c r="Y4055" s="77" t="s">
        <v>8612</v>
      </c>
      <c r="Z4055" s="77"/>
      <c r="AA4055" s="77"/>
      <c r="AB4055" s="77"/>
      <c r="AC4055" s="80" t="s">
        <v>10541</v>
      </c>
      <c r="AD4055" s="77" t="s">
        <v>10617</v>
      </c>
      <c r="AE4055" s="83" t="str">
        <f>HYPERLINK("https://twitter.com/bancomoc/status/1705235135375761793")</f>
        <v>https://twitter.com/bancomoc/status/1705235135375761793</v>
      </c>
      <c r="AF4055" s="79">
        <v>45191.623981481483</v>
      </c>
      <c r="AG4055" s="85">
        <v>45191</v>
      </c>
      <c r="AH4055" s="80" t="s">
        <v>14146</v>
      </c>
      <c r="AI4055" s="77" t="b">
        <v>0</v>
      </c>
      <c r="AJ4055" s="77"/>
      <c r="AK4055" s="77"/>
      <c r="AL4055" s="77"/>
      <c r="AM4055" s="77"/>
      <c r="AN4055" s="77"/>
      <c r="AO4055" s="77"/>
      <c r="AP4055" s="77"/>
      <c r="AQ4055" s="77"/>
      <c r="AR4055" s="77"/>
      <c r="AS4055" s="77"/>
      <c r="AT4055" s="77"/>
      <c r="AU4055" s="77"/>
      <c r="AV4055" s="83" t="str">
        <f>HYPERLINK("https://pbs.twimg.com/profile_images/910770875657580545/xdON1nxu_normal.jpg")</f>
        <v>https://pbs.twimg.com/profile_images/910770875657580545/xdON1nxu_normal.jpg</v>
      </c>
      <c r="AW4055" s="80" t="s">
        <v>19732</v>
      </c>
      <c r="AX4055" s="80" t="s">
        <v>19732</v>
      </c>
      <c r="AY4055" s="77"/>
      <c r="AZ4055" s="80" t="s">
        <v>20380</v>
      </c>
      <c r="BA4055" s="80" t="s">
        <v>20380</v>
      </c>
      <c r="BB4055" s="80" t="s">
        <v>20380</v>
      </c>
      <c r="BC4055" s="80" t="s">
        <v>19732</v>
      </c>
      <c r="BD4055" s="80" t="s">
        <v>21167</v>
      </c>
      <c r="BE4055" s="77"/>
      <c r="BF4055" s="77"/>
      <c r="BG4055" s="77"/>
      <c r="BH4055" s="77"/>
      <c r="BI4055" s="77"/>
    </row>
    <row r="4056" spans="1:61" x14ac:dyDescent="0.25">
      <c r="A4056" s="62" t="s">
        <v>1615</v>
      </c>
      <c r="B4056" s="62" t="s">
        <v>1615</v>
      </c>
      <c r="C4056" s="63"/>
      <c r="D4056" s="64"/>
      <c r="E4056" s="65"/>
      <c r="F4056" s="66"/>
      <c r="G4056" s="63"/>
      <c r="H4056" s="67"/>
      <c r="I4056" s="68"/>
      <c r="J4056" s="68"/>
      <c r="K4056" s="32"/>
      <c r="L4056" s="75">
        <v>4056</v>
      </c>
      <c r="M4056" s="75"/>
      <c r="N4056" s="70"/>
      <c r="O4056" s="77" t="s">
        <v>179</v>
      </c>
      <c r="P4056" s="79">
        <v>45177.718900462962</v>
      </c>
      <c r="Q4056" s="77" t="s">
        <v>5669</v>
      </c>
      <c r="R4056" s="77">
        <v>2</v>
      </c>
      <c r="S4056" s="77">
        <v>16</v>
      </c>
      <c r="T4056" s="77">
        <v>0</v>
      </c>
      <c r="U4056" s="77">
        <v>0</v>
      </c>
      <c r="V4056" s="77">
        <v>611</v>
      </c>
      <c r="W4056" s="80" t="s">
        <v>8434</v>
      </c>
      <c r="X4056" s="83" t="str">
        <f>HYPERLINK("http://ine.gov.mz")</f>
        <v>http://ine.gov.mz</v>
      </c>
      <c r="Y4056" s="77" t="s">
        <v>8883</v>
      </c>
      <c r="Z4056" s="77"/>
      <c r="AA4056" s="77" t="s">
        <v>10416</v>
      </c>
      <c r="AB4056" s="77" t="s">
        <v>10535</v>
      </c>
      <c r="AC4056" s="80" t="s">
        <v>10541</v>
      </c>
      <c r="AD4056" s="77" t="s">
        <v>10617</v>
      </c>
      <c r="AE4056" s="83" t="str">
        <f>HYPERLINK("https://twitter.com/bancomoc/status/1700196101846962363")</f>
        <v>https://twitter.com/bancomoc/status/1700196101846962363</v>
      </c>
      <c r="AF4056" s="79">
        <v>45177.718900462962</v>
      </c>
      <c r="AG4056" s="85">
        <v>45177</v>
      </c>
      <c r="AH4056" s="80" t="s">
        <v>14147</v>
      </c>
      <c r="AI4056" s="77" t="b">
        <v>0</v>
      </c>
      <c r="AJ4056" s="77"/>
      <c r="AK4056" s="77"/>
      <c r="AL4056" s="77"/>
      <c r="AM4056" s="77"/>
      <c r="AN4056" s="77"/>
      <c r="AO4056" s="77"/>
      <c r="AP4056" s="77"/>
      <c r="AQ4056" s="77" t="s">
        <v>15895</v>
      </c>
      <c r="AR4056" s="77"/>
      <c r="AS4056" s="77"/>
      <c r="AT4056" s="77"/>
      <c r="AU4056" s="77"/>
      <c r="AV4056" s="83" t="str">
        <f>HYPERLINK("https://pbs.twimg.com/media/F5hPGpTW0AAqJkh.jpg")</f>
        <v>https://pbs.twimg.com/media/F5hPGpTW0AAqJkh.jpg</v>
      </c>
      <c r="AW4056" s="80" t="s">
        <v>19733</v>
      </c>
      <c r="AX4056" s="80" t="s">
        <v>19733</v>
      </c>
      <c r="AY4056" s="77"/>
      <c r="AZ4056" s="80" t="s">
        <v>20380</v>
      </c>
      <c r="BA4056" s="80" t="s">
        <v>20380</v>
      </c>
      <c r="BB4056" s="80" t="s">
        <v>20380</v>
      </c>
      <c r="BC4056" s="80" t="s">
        <v>19733</v>
      </c>
      <c r="BD4056" s="80" t="s">
        <v>21167</v>
      </c>
      <c r="BE4056" s="77"/>
      <c r="BF4056" s="77"/>
      <c r="BG4056" s="77"/>
      <c r="BH4056" s="77"/>
      <c r="BI4056" s="77"/>
    </row>
    <row r="4057" spans="1:61" x14ac:dyDescent="0.25">
      <c r="A4057" s="62" t="s">
        <v>1615</v>
      </c>
      <c r="B4057" s="62" t="s">
        <v>1615</v>
      </c>
      <c r="C4057" s="63"/>
      <c r="D4057" s="64"/>
      <c r="E4057" s="65"/>
      <c r="F4057" s="66"/>
      <c r="G4057" s="63"/>
      <c r="H4057" s="67"/>
      <c r="I4057" s="68"/>
      <c r="J4057" s="68"/>
      <c r="K4057" s="32"/>
      <c r="L4057" s="75">
        <v>4057</v>
      </c>
      <c r="M4057" s="75"/>
      <c r="N4057" s="70"/>
      <c r="O4057" s="77" t="s">
        <v>179</v>
      </c>
      <c r="P4057" s="79">
        <v>45154.359699074077</v>
      </c>
      <c r="Q4057" s="77" t="s">
        <v>5670</v>
      </c>
      <c r="R4057" s="77">
        <v>5</v>
      </c>
      <c r="S4057" s="77">
        <v>8</v>
      </c>
      <c r="T4057" s="77">
        <v>0</v>
      </c>
      <c r="U4057" s="77">
        <v>0</v>
      </c>
      <c r="V4057" s="77">
        <v>369</v>
      </c>
      <c r="W4057" s="80" t="s">
        <v>8452</v>
      </c>
      <c r="X4057" s="83" t="str">
        <f>HYPERLINK("https://www.bancomoc.mz/pt/publicacoes-e-estudos/?dateBegin&amp;dateEnd&amp;category=Balan%C3%A7a%20de%20Pagamentos")</f>
        <v>https://www.bancomoc.mz/pt/publicacoes-e-estudos/?dateBegin&amp;dateEnd&amp;category=Balan%C3%A7a%20de%20Pagamentos</v>
      </c>
      <c r="Y4057" s="77" t="s">
        <v>8882</v>
      </c>
      <c r="Z4057" s="77"/>
      <c r="AA4057" s="77" t="s">
        <v>10417</v>
      </c>
      <c r="AB4057" s="77" t="s">
        <v>10535</v>
      </c>
      <c r="AC4057" s="80" t="s">
        <v>10541</v>
      </c>
      <c r="AD4057" s="77" t="s">
        <v>10617</v>
      </c>
      <c r="AE4057" s="83" t="str">
        <f>HYPERLINK("https://twitter.com/bancomoc/status/1691731009996222856")</f>
        <v>https://twitter.com/bancomoc/status/1691731009996222856</v>
      </c>
      <c r="AF4057" s="79">
        <v>45154.359699074077</v>
      </c>
      <c r="AG4057" s="85">
        <v>45154</v>
      </c>
      <c r="AH4057" s="80" t="s">
        <v>14148</v>
      </c>
      <c r="AI4057" s="77" t="b">
        <v>0</v>
      </c>
      <c r="AJ4057" s="77"/>
      <c r="AK4057" s="77"/>
      <c r="AL4057" s="77"/>
      <c r="AM4057" s="77"/>
      <c r="AN4057" s="77"/>
      <c r="AO4057" s="77"/>
      <c r="AP4057" s="77"/>
      <c r="AQ4057" s="77" t="s">
        <v>15896</v>
      </c>
      <c r="AR4057" s="77"/>
      <c r="AS4057" s="77"/>
      <c r="AT4057" s="77"/>
      <c r="AU4057" s="77"/>
      <c r="AV4057" s="83" t="str">
        <f>HYPERLINK("https://pbs.twimg.com/media/F3o8WrqX0AILsNn.jpg")</f>
        <v>https://pbs.twimg.com/media/F3o8WrqX0AILsNn.jpg</v>
      </c>
      <c r="AW4057" s="80" t="s">
        <v>19734</v>
      </c>
      <c r="AX4057" s="80" t="s">
        <v>19734</v>
      </c>
      <c r="AY4057" s="77"/>
      <c r="AZ4057" s="80" t="s">
        <v>20380</v>
      </c>
      <c r="BA4057" s="80" t="s">
        <v>20380</v>
      </c>
      <c r="BB4057" s="80" t="s">
        <v>20380</v>
      </c>
      <c r="BC4057" s="80" t="s">
        <v>19734</v>
      </c>
      <c r="BD4057" s="80" t="s">
        <v>21167</v>
      </c>
      <c r="BE4057" s="77"/>
      <c r="BF4057" s="77"/>
      <c r="BG4057" s="77"/>
      <c r="BH4057" s="77"/>
      <c r="BI4057" s="77"/>
    </row>
    <row r="4058" spans="1:61" x14ac:dyDescent="0.25">
      <c r="A4058" s="62" t="s">
        <v>1615</v>
      </c>
      <c r="B4058" s="62" t="s">
        <v>1615</v>
      </c>
      <c r="C4058" s="63"/>
      <c r="D4058" s="64"/>
      <c r="E4058" s="65"/>
      <c r="F4058" s="66"/>
      <c r="G4058" s="63"/>
      <c r="H4058" s="67"/>
      <c r="I4058" s="68"/>
      <c r="J4058" s="68"/>
      <c r="K4058" s="32"/>
      <c r="L4058" s="75">
        <v>4058</v>
      </c>
      <c r="M4058" s="75"/>
      <c r="N4058" s="70"/>
      <c r="O4058" s="77" t="s">
        <v>179</v>
      </c>
      <c r="P4058" s="79">
        <v>45148.616909722223</v>
      </c>
      <c r="Q4058" s="77" t="s">
        <v>5671</v>
      </c>
      <c r="R4058" s="77">
        <v>2</v>
      </c>
      <c r="S4058" s="77">
        <v>3</v>
      </c>
      <c r="T4058" s="77">
        <v>0</v>
      </c>
      <c r="U4058" s="77">
        <v>0</v>
      </c>
      <c r="V4058" s="77">
        <v>397</v>
      </c>
      <c r="W4058" s="80" t="s">
        <v>8453</v>
      </c>
      <c r="X4058" s="83" t="str">
        <f>HYPERLINK("https://www.bancomoc.mz/pt/publicacoes-e-estudos/?dateBegin=&amp;dateEnd=&amp;category=Balan%C3%A7a+de+Pagamentos")</f>
        <v>https://www.bancomoc.mz/pt/publicacoes-e-estudos/?dateBegin=&amp;dateEnd=&amp;category=Balan%C3%A7a+de+Pagamentos</v>
      </c>
      <c r="Y4058" s="77" t="s">
        <v>8882</v>
      </c>
      <c r="Z4058" s="77"/>
      <c r="AA4058" s="77" t="s">
        <v>10418</v>
      </c>
      <c r="AB4058" s="77" t="s">
        <v>10535</v>
      </c>
      <c r="AC4058" s="80" t="s">
        <v>10541</v>
      </c>
      <c r="AD4058" s="77" t="s">
        <v>10617</v>
      </c>
      <c r="AE4058" s="83" t="str">
        <f>HYPERLINK("https://twitter.com/bancomoc/status/1689649895601496064")</f>
        <v>https://twitter.com/bancomoc/status/1689649895601496064</v>
      </c>
      <c r="AF4058" s="79">
        <v>45148.616909722223</v>
      </c>
      <c r="AG4058" s="85">
        <v>45148</v>
      </c>
      <c r="AH4058" s="80" t="s">
        <v>14149</v>
      </c>
      <c r="AI4058" s="77" t="b">
        <v>0</v>
      </c>
      <c r="AJ4058" s="77"/>
      <c r="AK4058" s="77"/>
      <c r="AL4058" s="77"/>
      <c r="AM4058" s="77"/>
      <c r="AN4058" s="77"/>
      <c r="AO4058" s="77"/>
      <c r="AP4058" s="77"/>
      <c r="AQ4058" s="77" t="s">
        <v>15897</v>
      </c>
      <c r="AR4058" s="77"/>
      <c r="AS4058" s="77"/>
      <c r="AT4058" s="77"/>
      <c r="AU4058" s="77"/>
      <c r="AV4058" s="83" t="str">
        <f>HYPERLINK("https://pbs.twimg.com/media/F3LXmvhaoAIRT_W.jpg")</f>
        <v>https://pbs.twimg.com/media/F3LXmvhaoAIRT_W.jpg</v>
      </c>
      <c r="AW4058" s="80" t="s">
        <v>19735</v>
      </c>
      <c r="AX4058" s="80" t="s">
        <v>19735</v>
      </c>
      <c r="AY4058" s="77"/>
      <c r="AZ4058" s="80" t="s">
        <v>20380</v>
      </c>
      <c r="BA4058" s="80" t="s">
        <v>20380</v>
      </c>
      <c r="BB4058" s="80" t="s">
        <v>20380</v>
      </c>
      <c r="BC4058" s="80" t="s">
        <v>19735</v>
      </c>
      <c r="BD4058" s="80" t="s">
        <v>21167</v>
      </c>
      <c r="BE4058" s="77"/>
      <c r="BF4058" s="77"/>
      <c r="BG4058" s="77"/>
      <c r="BH4058" s="77"/>
      <c r="BI4058" s="77"/>
    </row>
    <row r="4059" spans="1:61" x14ac:dyDescent="0.25">
      <c r="A4059" s="62" t="s">
        <v>1615</v>
      </c>
      <c r="B4059" s="62" t="s">
        <v>1615</v>
      </c>
      <c r="C4059" s="63"/>
      <c r="D4059" s="64"/>
      <c r="E4059" s="65"/>
      <c r="F4059" s="66"/>
      <c r="G4059" s="63"/>
      <c r="H4059" s="67"/>
      <c r="I4059" s="68"/>
      <c r="J4059" s="68"/>
      <c r="K4059" s="32"/>
      <c r="L4059" s="75">
        <v>4059</v>
      </c>
      <c r="M4059" s="75"/>
      <c r="N4059" s="70"/>
      <c r="O4059" s="77" t="s">
        <v>179</v>
      </c>
      <c r="P4059" s="79">
        <v>45147.623831018522</v>
      </c>
      <c r="Q4059" s="77" t="s">
        <v>5672</v>
      </c>
      <c r="R4059" s="77">
        <v>1</v>
      </c>
      <c r="S4059" s="77">
        <v>14</v>
      </c>
      <c r="T4059" s="77">
        <v>0</v>
      </c>
      <c r="U4059" s="77">
        <v>0</v>
      </c>
      <c r="V4059" s="77">
        <v>451</v>
      </c>
      <c r="W4059" s="80" t="s">
        <v>8437</v>
      </c>
      <c r="X4059" s="77"/>
      <c r="Y4059" s="77"/>
      <c r="Z4059" s="77"/>
      <c r="AA4059" s="77" t="s">
        <v>10419</v>
      </c>
      <c r="AB4059" s="77" t="s">
        <v>10535</v>
      </c>
      <c r="AC4059" s="80" t="s">
        <v>10541</v>
      </c>
      <c r="AD4059" s="77" t="s">
        <v>10619</v>
      </c>
      <c r="AE4059" s="83" t="str">
        <f>HYPERLINK("https://twitter.com/bancomoc/status/1689290014033608704")</f>
        <v>https://twitter.com/bancomoc/status/1689290014033608704</v>
      </c>
      <c r="AF4059" s="79">
        <v>45147.623831018522</v>
      </c>
      <c r="AG4059" s="85">
        <v>45147</v>
      </c>
      <c r="AH4059" s="80" t="s">
        <v>14150</v>
      </c>
      <c r="AI4059" s="77" t="b">
        <v>0</v>
      </c>
      <c r="AJ4059" s="77"/>
      <c r="AK4059" s="77"/>
      <c r="AL4059" s="77"/>
      <c r="AM4059" s="77"/>
      <c r="AN4059" s="77"/>
      <c r="AO4059" s="77"/>
      <c r="AP4059" s="77"/>
      <c r="AQ4059" s="77" t="s">
        <v>15898</v>
      </c>
      <c r="AR4059" s="77"/>
      <c r="AS4059" s="77"/>
      <c r="AT4059" s="77"/>
      <c r="AU4059" s="77"/>
      <c r="AV4059" s="83" t="str">
        <f>HYPERLINK("https://pbs.twimg.com/media/F3GQJk1XAAEnqYn.jpg")</f>
        <v>https://pbs.twimg.com/media/F3GQJk1XAAEnqYn.jpg</v>
      </c>
      <c r="AW4059" s="80" t="s">
        <v>19736</v>
      </c>
      <c r="AX4059" s="80" t="s">
        <v>19736</v>
      </c>
      <c r="AY4059" s="77"/>
      <c r="AZ4059" s="80" t="s">
        <v>20380</v>
      </c>
      <c r="BA4059" s="80" t="s">
        <v>20380</v>
      </c>
      <c r="BB4059" s="80" t="s">
        <v>20380</v>
      </c>
      <c r="BC4059" s="80" t="s">
        <v>19736</v>
      </c>
      <c r="BD4059" s="80" t="s">
        <v>21167</v>
      </c>
      <c r="BE4059" s="77"/>
      <c r="BF4059" s="77"/>
      <c r="BG4059" s="77"/>
      <c r="BH4059" s="77"/>
      <c r="BI4059" s="77"/>
    </row>
    <row r="4060" spans="1:61" x14ac:dyDescent="0.25">
      <c r="A4060" s="62" t="s">
        <v>1615</v>
      </c>
      <c r="B4060" s="62" t="s">
        <v>1615</v>
      </c>
      <c r="C4060" s="63"/>
      <c r="D4060" s="64"/>
      <c r="E4060" s="65"/>
      <c r="F4060" s="66"/>
      <c r="G4060" s="63"/>
      <c r="H4060" s="67"/>
      <c r="I4060" s="68"/>
      <c r="J4060" s="68"/>
      <c r="K4060" s="32"/>
      <c r="L4060" s="75">
        <v>4060</v>
      </c>
      <c r="M4060" s="75"/>
      <c r="N4060" s="70"/>
      <c r="O4060" s="77" t="s">
        <v>179</v>
      </c>
      <c r="P4060" s="79">
        <v>45100.581643518519</v>
      </c>
      <c r="Q4060" s="77" t="s">
        <v>5673</v>
      </c>
      <c r="R4060" s="77">
        <v>0</v>
      </c>
      <c r="S4060" s="77">
        <v>2</v>
      </c>
      <c r="T4060" s="77">
        <v>0</v>
      </c>
      <c r="U4060" s="77">
        <v>0</v>
      </c>
      <c r="V4060" s="77">
        <v>262</v>
      </c>
      <c r="W4060" s="80" t="s">
        <v>8445</v>
      </c>
      <c r="X4060" s="83" t="str">
        <f>HYPERLINK("https://www.bancomoc.mz/pt/media/noticias/relatorio-de-estabilidade-financeira/")</f>
        <v>https://www.bancomoc.mz/pt/media/noticias/relatorio-de-estabilidade-financeira/</v>
      </c>
      <c r="Y4060" s="77" t="s">
        <v>8882</v>
      </c>
      <c r="Z4060" s="77"/>
      <c r="AA4060" s="77" t="s">
        <v>10420</v>
      </c>
      <c r="AB4060" s="77" t="s">
        <v>10535</v>
      </c>
      <c r="AC4060" s="80" t="s">
        <v>10541</v>
      </c>
      <c r="AD4060" s="77" t="s">
        <v>10617</v>
      </c>
      <c r="AE4060" s="83" t="str">
        <f>HYPERLINK("https://twitter.com/bancomoc/status/1672242497572200449")</f>
        <v>https://twitter.com/bancomoc/status/1672242497572200449</v>
      </c>
      <c r="AF4060" s="79">
        <v>45100.581643518519</v>
      </c>
      <c r="AG4060" s="85">
        <v>45100</v>
      </c>
      <c r="AH4060" s="80" t="s">
        <v>14151</v>
      </c>
      <c r="AI4060" s="77" t="b">
        <v>0</v>
      </c>
      <c r="AJ4060" s="77"/>
      <c r="AK4060" s="77"/>
      <c r="AL4060" s="77"/>
      <c r="AM4060" s="77"/>
      <c r="AN4060" s="77"/>
      <c r="AO4060" s="77"/>
      <c r="AP4060" s="77"/>
      <c r="AQ4060" s="77" t="s">
        <v>15899</v>
      </c>
      <c r="AR4060" s="77"/>
      <c r="AS4060" s="77"/>
      <c r="AT4060" s="77"/>
      <c r="AU4060" s="77"/>
      <c r="AV4060" s="83" t="str">
        <f>HYPERLINK("https://pbs.twimg.com/media/FzT_ojZaMAEQNoB.jpg")</f>
        <v>https://pbs.twimg.com/media/FzT_ojZaMAEQNoB.jpg</v>
      </c>
      <c r="AW4060" s="80" t="s">
        <v>19737</v>
      </c>
      <c r="AX4060" s="80" t="s">
        <v>19737</v>
      </c>
      <c r="AY4060" s="77"/>
      <c r="AZ4060" s="80" t="s">
        <v>20380</v>
      </c>
      <c r="BA4060" s="80" t="s">
        <v>20380</v>
      </c>
      <c r="BB4060" s="80" t="s">
        <v>20380</v>
      </c>
      <c r="BC4060" s="80" t="s">
        <v>19737</v>
      </c>
      <c r="BD4060" s="80" t="s">
        <v>21167</v>
      </c>
      <c r="BE4060" s="77"/>
      <c r="BF4060" s="77"/>
      <c r="BG4060" s="77"/>
      <c r="BH4060" s="77"/>
      <c r="BI4060" s="77"/>
    </row>
    <row r="4061" spans="1:61" x14ac:dyDescent="0.25">
      <c r="A4061" s="62" t="s">
        <v>1615</v>
      </c>
      <c r="B4061" s="62" t="s">
        <v>1615</v>
      </c>
      <c r="C4061" s="63"/>
      <c r="D4061" s="64"/>
      <c r="E4061" s="65"/>
      <c r="F4061" s="66"/>
      <c r="G4061" s="63"/>
      <c r="H4061" s="67"/>
      <c r="I4061" s="68"/>
      <c r="J4061" s="68"/>
      <c r="K4061" s="32"/>
      <c r="L4061" s="75">
        <v>4061</v>
      </c>
      <c r="M4061" s="75"/>
      <c r="N4061" s="70"/>
      <c r="O4061" s="77" t="s">
        <v>179</v>
      </c>
      <c r="P4061" s="79">
        <v>45089.603252314817</v>
      </c>
      <c r="Q4061" s="77" t="s">
        <v>5674</v>
      </c>
      <c r="R4061" s="77">
        <v>7</v>
      </c>
      <c r="S4061" s="77">
        <v>17</v>
      </c>
      <c r="T4061" s="77">
        <v>1</v>
      </c>
      <c r="U4061" s="77">
        <v>3</v>
      </c>
      <c r="V4061" s="77">
        <v>1146</v>
      </c>
      <c r="W4061" s="80" t="s">
        <v>8434</v>
      </c>
      <c r="X4061" s="83" t="str">
        <f>HYPERLINK("http://www.ine.gov.mz/")</f>
        <v>http://www.ine.gov.mz/</v>
      </c>
      <c r="Y4061" s="77" t="s">
        <v>8883</v>
      </c>
      <c r="Z4061" s="77"/>
      <c r="AA4061" s="77" t="s">
        <v>10421</v>
      </c>
      <c r="AB4061" s="77" t="s">
        <v>10535</v>
      </c>
      <c r="AC4061" s="80" t="s">
        <v>10541</v>
      </c>
      <c r="AD4061" s="77" t="s">
        <v>10617</v>
      </c>
      <c r="AE4061" s="83" t="str">
        <f>HYPERLINK("https://twitter.com/bancomoc/status/1668264059874025474")</f>
        <v>https://twitter.com/bancomoc/status/1668264059874025474</v>
      </c>
      <c r="AF4061" s="79">
        <v>45089.603252314817</v>
      </c>
      <c r="AG4061" s="85">
        <v>45089</v>
      </c>
      <c r="AH4061" s="80" t="s">
        <v>14152</v>
      </c>
      <c r="AI4061" s="77" t="b">
        <v>0</v>
      </c>
      <c r="AJ4061" s="77"/>
      <c r="AK4061" s="77"/>
      <c r="AL4061" s="77"/>
      <c r="AM4061" s="77"/>
      <c r="AN4061" s="77"/>
      <c r="AO4061" s="77"/>
      <c r="AP4061" s="77"/>
      <c r="AQ4061" s="77" t="s">
        <v>15900</v>
      </c>
      <c r="AR4061" s="77"/>
      <c r="AS4061" s="77"/>
      <c r="AT4061" s="77"/>
      <c r="AU4061" s="77"/>
      <c r="AV4061" s="83" t="str">
        <f>HYPERLINK("https://pbs.twimg.com/media/FybdQMwXwAI7QJo.jpg")</f>
        <v>https://pbs.twimg.com/media/FybdQMwXwAI7QJo.jpg</v>
      </c>
      <c r="AW4061" s="80" t="s">
        <v>19738</v>
      </c>
      <c r="AX4061" s="80" t="s">
        <v>19738</v>
      </c>
      <c r="AY4061" s="77"/>
      <c r="AZ4061" s="80" t="s">
        <v>20380</v>
      </c>
      <c r="BA4061" s="80" t="s">
        <v>20380</v>
      </c>
      <c r="BB4061" s="80" t="s">
        <v>20380</v>
      </c>
      <c r="BC4061" s="80" t="s">
        <v>19738</v>
      </c>
      <c r="BD4061" s="80" t="s">
        <v>21167</v>
      </c>
      <c r="BE4061" s="77"/>
      <c r="BF4061" s="77"/>
      <c r="BG4061" s="77"/>
      <c r="BH4061" s="77"/>
      <c r="BI4061" s="77"/>
    </row>
    <row r="4062" spans="1:61" x14ac:dyDescent="0.25">
      <c r="A4062" s="62" t="s">
        <v>1615</v>
      </c>
      <c r="B4062" s="62" t="s">
        <v>1615</v>
      </c>
      <c r="C4062" s="63"/>
      <c r="D4062" s="64"/>
      <c r="E4062" s="65"/>
      <c r="F4062" s="66"/>
      <c r="G4062" s="63"/>
      <c r="H4062" s="67"/>
      <c r="I4062" s="68"/>
      <c r="J4062" s="68"/>
      <c r="K4062" s="32"/>
      <c r="L4062" s="75">
        <v>4062</v>
      </c>
      <c r="M4062" s="75"/>
      <c r="N4062" s="70"/>
      <c r="O4062" s="77" t="s">
        <v>179</v>
      </c>
      <c r="P4062" s="79">
        <v>45089.401238425926</v>
      </c>
      <c r="Q4062" s="77" t="s">
        <v>5675</v>
      </c>
      <c r="R4062" s="77">
        <v>0</v>
      </c>
      <c r="S4062" s="77">
        <v>3</v>
      </c>
      <c r="T4062" s="77">
        <v>0</v>
      </c>
      <c r="U4062" s="77">
        <v>0</v>
      </c>
      <c r="V4062" s="77">
        <v>332</v>
      </c>
      <c r="W4062" s="80" t="s">
        <v>8442</v>
      </c>
      <c r="X4062" s="83" t="str">
        <f>HYPERLINK("https://www.bancomoc.mz/pt/media/noticias/relatorio-de-conjuntura-economica-e-perspectivas-de-inflacao-maio-de-2023/")</f>
        <v>https://www.bancomoc.mz/pt/media/noticias/relatorio-de-conjuntura-economica-e-perspectivas-de-inflacao-maio-de-2023/</v>
      </c>
      <c r="Y4062" s="77" t="s">
        <v>8882</v>
      </c>
      <c r="Z4062" s="77"/>
      <c r="AA4062" s="77" t="s">
        <v>10422</v>
      </c>
      <c r="AB4062" s="77" t="s">
        <v>10535</v>
      </c>
      <c r="AC4062" s="80" t="s">
        <v>10541</v>
      </c>
      <c r="AD4062" s="77" t="s">
        <v>10617</v>
      </c>
      <c r="AE4062" s="83" t="str">
        <f>HYPERLINK("https://twitter.com/bancomoc/status/1668190852722618369")</f>
        <v>https://twitter.com/bancomoc/status/1668190852722618369</v>
      </c>
      <c r="AF4062" s="79">
        <v>45089.401238425926</v>
      </c>
      <c r="AG4062" s="85">
        <v>45089</v>
      </c>
      <c r="AH4062" s="80" t="s">
        <v>14153</v>
      </c>
      <c r="AI4062" s="77" t="b">
        <v>0</v>
      </c>
      <c r="AJ4062" s="77"/>
      <c r="AK4062" s="77"/>
      <c r="AL4062" s="77"/>
      <c r="AM4062" s="77"/>
      <c r="AN4062" s="77"/>
      <c r="AO4062" s="77"/>
      <c r="AP4062" s="77"/>
      <c r="AQ4062" s="77" t="s">
        <v>15901</v>
      </c>
      <c r="AR4062" s="77"/>
      <c r="AS4062" s="77"/>
      <c r="AT4062" s="77"/>
      <c r="AU4062" s="77"/>
      <c r="AV4062" s="83" t="str">
        <f>HYPERLINK("https://pbs.twimg.com/media/Fyaat9iWAAEE2n4.jpg")</f>
        <v>https://pbs.twimg.com/media/Fyaat9iWAAEE2n4.jpg</v>
      </c>
      <c r="AW4062" s="80" t="s">
        <v>19739</v>
      </c>
      <c r="AX4062" s="80" t="s">
        <v>19739</v>
      </c>
      <c r="AY4062" s="77"/>
      <c r="AZ4062" s="80" t="s">
        <v>20380</v>
      </c>
      <c r="BA4062" s="80" t="s">
        <v>20380</v>
      </c>
      <c r="BB4062" s="80" t="s">
        <v>20380</v>
      </c>
      <c r="BC4062" s="80" t="s">
        <v>19739</v>
      </c>
      <c r="BD4062" s="80" t="s">
        <v>21167</v>
      </c>
      <c r="BE4062" s="77"/>
      <c r="BF4062" s="77"/>
      <c r="BG4062" s="77"/>
      <c r="BH4062" s="77"/>
      <c r="BI4062" s="77"/>
    </row>
    <row r="4063" spans="1:61" x14ac:dyDescent="0.25">
      <c r="A4063" s="62" t="s">
        <v>1615</v>
      </c>
      <c r="B4063" s="62" t="s">
        <v>1615</v>
      </c>
      <c r="C4063" s="63"/>
      <c r="D4063" s="64"/>
      <c r="E4063" s="65"/>
      <c r="F4063" s="66"/>
      <c r="G4063" s="63"/>
      <c r="H4063" s="67"/>
      <c r="I4063" s="68"/>
      <c r="J4063" s="68"/>
      <c r="K4063" s="32"/>
      <c r="L4063" s="75">
        <v>4063</v>
      </c>
      <c r="M4063" s="75"/>
      <c r="N4063" s="70"/>
      <c r="O4063" s="77" t="s">
        <v>179</v>
      </c>
      <c r="P4063" s="79">
        <v>45086.417199074072</v>
      </c>
      <c r="Q4063" s="77" t="s">
        <v>5676</v>
      </c>
      <c r="R4063" s="77">
        <v>3</v>
      </c>
      <c r="S4063" s="77">
        <v>5</v>
      </c>
      <c r="T4063" s="77">
        <v>0</v>
      </c>
      <c r="U4063" s="77">
        <v>0</v>
      </c>
      <c r="V4063" s="77">
        <v>505</v>
      </c>
      <c r="W4063" s="80" t="s">
        <v>8444</v>
      </c>
      <c r="X4063" s="83" t="str">
        <f>HYPERLINK("https://www.bancomoc.mz/pt/media/noticias/relatorio-de-conjuntura-economica-e-perspectivas-de-inflacao-maio-de-2023/")</f>
        <v>https://www.bancomoc.mz/pt/media/noticias/relatorio-de-conjuntura-economica-e-perspectivas-de-inflacao-maio-de-2023/</v>
      </c>
      <c r="Y4063" s="77" t="s">
        <v>8882</v>
      </c>
      <c r="Z4063" s="77"/>
      <c r="AA4063" s="77" t="s">
        <v>10423</v>
      </c>
      <c r="AB4063" s="77" t="s">
        <v>10535</v>
      </c>
      <c r="AC4063" s="80" t="s">
        <v>10541</v>
      </c>
      <c r="AD4063" s="77" t="s">
        <v>10617</v>
      </c>
      <c r="AE4063" s="83" t="str">
        <f>HYPERLINK("https://twitter.com/bancomoc/status/1667109474128089094")</f>
        <v>https://twitter.com/bancomoc/status/1667109474128089094</v>
      </c>
      <c r="AF4063" s="79">
        <v>45086.417199074072</v>
      </c>
      <c r="AG4063" s="85">
        <v>45086</v>
      </c>
      <c r="AH4063" s="80" t="s">
        <v>14154</v>
      </c>
      <c r="AI4063" s="77" t="b">
        <v>0</v>
      </c>
      <c r="AJ4063" s="77"/>
      <c r="AK4063" s="77"/>
      <c r="AL4063" s="77"/>
      <c r="AM4063" s="77"/>
      <c r="AN4063" s="77"/>
      <c r="AO4063" s="77"/>
      <c r="AP4063" s="77"/>
      <c r="AQ4063" s="77" t="s">
        <v>15902</v>
      </c>
      <c r="AR4063" s="77"/>
      <c r="AS4063" s="77"/>
      <c r="AT4063" s="77"/>
      <c r="AU4063" s="77"/>
      <c r="AV4063" s="83" t="str">
        <f>HYPERLINK("https://pbs.twimg.com/media/FyLDN0jX0AcLjJi.jpg")</f>
        <v>https://pbs.twimg.com/media/FyLDN0jX0AcLjJi.jpg</v>
      </c>
      <c r="AW4063" s="80" t="s">
        <v>19740</v>
      </c>
      <c r="AX4063" s="80" t="s">
        <v>19740</v>
      </c>
      <c r="AY4063" s="77"/>
      <c r="AZ4063" s="80" t="s">
        <v>20380</v>
      </c>
      <c r="BA4063" s="80" t="s">
        <v>20380</v>
      </c>
      <c r="BB4063" s="80" t="s">
        <v>20380</v>
      </c>
      <c r="BC4063" s="80" t="s">
        <v>19740</v>
      </c>
      <c r="BD4063" s="80" t="s">
        <v>21167</v>
      </c>
      <c r="BE4063" s="77"/>
      <c r="BF4063" s="77"/>
      <c r="BG4063" s="77"/>
      <c r="BH4063" s="77"/>
      <c r="BI4063" s="77"/>
    </row>
    <row r="4064" spans="1:61" x14ac:dyDescent="0.25">
      <c r="A4064" s="62" t="s">
        <v>1615</v>
      </c>
      <c r="B4064" s="62" t="s">
        <v>1615</v>
      </c>
      <c r="C4064" s="63"/>
      <c r="D4064" s="64"/>
      <c r="E4064" s="65"/>
      <c r="F4064" s="66"/>
      <c r="G4064" s="63"/>
      <c r="H4064" s="67"/>
      <c r="I4064" s="68"/>
      <c r="J4064" s="68"/>
      <c r="K4064" s="32"/>
      <c r="L4064" s="75">
        <v>4064</v>
      </c>
      <c r="M4064" s="75"/>
      <c r="N4064" s="70"/>
      <c r="O4064" s="77" t="s">
        <v>179</v>
      </c>
      <c r="P4064" s="79">
        <v>45086.324872685182</v>
      </c>
      <c r="Q4064" s="77" t="s">
        <v>5677</v>
      </c>
      <c r="R4064" s="77">
        <v>1</v>
      </c>
      <c r="S4064" s="77">
        <v>3</v>
      </c>
      <c r="T4064" s="77">
        <v>0</v>
      </c>
      <c r="U4064" s="77">
        <v>0</v>
      </c>
      <c r="V4064" s="77">
        <v>396</v>
      </c>
      <c r="W4064" s="80" t="s">
        <v>8444</v>
      </c>
      <c r="X4064" s="83" t="str">
        <f>HYPERLINK("https://www.bancomoc.mz/pt/media/noticias/relatorio-de-conjuntura-economica-e-perspectivas-de-inflacao-maio-de-2023")</f>
        <v>https://www.bancomoc.mz/pt/media/noticias/relatorio-de-conjuntura-economica-e-perspectivas-de-inflacao-maio-de-2023</v>
      </c>
      <c r="Y4064" s="77" t="s">
        <v>8882</v>
      </c>
      <c r="Z4064" s="77"/>
      <c r="AA4064" s="77" t="s">
        <v>10424</v>
      </c>
      <c r="AB4064" s="77" t="s">
        <v>10535</v>
      </c>
      <c r="AC4064" s="80" t="s">
        <v>10541</v>
      </c>
      <c r="AD4064" s="77" t="s">
        <v>10617</v>
      </c>
      <c r="AE4064" s="83" t="str">
        <f>HYPERLINK("https://twitter.com/bancomoc/status/1667076014181154819")</f>
        <v>https://twitter.com/bancomoc/status/1667076014181154819</v>
      </c>
      <c r="AF4064" s="79">
        <v>45086.324872685182</v>
      </c>
      <c r="AG4064" s="85">
        <v>45086</v>
      </c>
      <c r="AH4064" s="80" t="s">
        <v>14155</v>
      </c>
      <c r="AI4064" s="77" t="b">
        <v>0</v>
      </c>
      <c r="AJ4064" s="77"/>
      <c r="AK4064" s="77"/>
      <c r="AL4064" s="77"/>
      <c r="AM4064" s="77"/>
      <c r="AN4064" s="77"/>
      <c r="AO4064" s="77"/>
      <c r="AP4064" s="77"/>
      <c r="AQ4064" s="77" t="s">
        <v>15903</v>
      </c>
      <c r="AR4064" s="77"/>
      <c r="AS4064" s="77"/>
      <c r="AT4064" s="77"/>
      <c r="AU4064" s="77"/>
      <c r="AV4064" s="83" t="str">
        <f>HYPERLINK("https://pbs.twimg.com/media/FyKku2eWwAInFW0.jpg")</f>
        <v>https://pbs.twimg.com/media/FyKku2eWwAInFW0.jpg</v>
      </c>
      <c r="AW4064" s="80" t="s">
        <v>19741</v>
      </c>
      <c r="AX4064" s="80" t="s">
        <v>19741</v>
      </c>
      <c r="AY4064" s="77"/>
      <c r="AZ4064" s="80" t="s">
        <v>20380</v>
      </c>
      <c r="BA4064" s="80" t="s">
        <v>20380</v>
      </c>
      <c r="BB4064" s="80" t="s">
        <v>20380</v>
      </c>
      <c r="BC4064" s="80" t="s">
        <v>19741</v>
      </c>
      <c r="BD4064" s="80" t="s">
        <v>21167</v>
      </c>
      <c r="BE4064" s="77"/>
      <c r="BF4064" s="77"/>
      <c r="BG4064" s="77"/>
      <c r="BH4064" s="77"/>
      <c r="BI4064" s="77"/>
    </row>
    <row r="4065" spans="1:61" x14ac:dyDescent="0.25">
      <c r="A4065" s="62" t="s">
        <v>1615</v>
      </c>
      <c r="B4065" s="62" t="s">
        <v>1615</v>
      </c>
      <c r="C4065" s="63"/>
      <c r="D4065" s="64"/>
      <c r="E4065" s="65"/>
      <c r="F4065" s="66"/>
      <c r="G4065" s="63"/>
      <c r="H4065" s="67"/>
      <c r="I4065" s="68"/>
      <c r="J4065" s="68"/>
      <c r="K4065" s="32"/>
      <c r="L4065" s="75">
        <v>4065</v>
      </c>
      <c r="M4065" s="75"/>
      <c r="N4065" s="70"/>
      <c r="O4065" s="77" t="s">
        <v>179</v>
      </c>
      <c r="P4065" s="79">
        <v>45196.368472222224</v>
      </c>
      <c r="Q4065" s="77" t="s">
        <v>5678</v>
      </c>
      <c r="R4065" s="77">
        <v>7</v>
      </c>
      <c r="S4065" s="77">
        <v>45</v>
      </c>
      <c r="T4065" s="77">
        <v>0</v>
      </c>
      <c r="U4065" s="77">
        <v>3</v>
      </c>
      <c r="V4065" s="77">
        <v>4111</v>
      </c>
      <c r="W4065" s="80" t="s">
        <v>5997</v>
      </c>
      <c r="X4065" s="77"/>
      <c r="Y4065" s="77"/>
      <c r="Z4065" s="77"/>
      <c r="AA4065" s="77" t="s">
        <v>9078</v>
      </c>
      <c r="AB4065" s="77" t="s">
        <v>10535</v>
      </c>
      <c r="AC4065" s="80" t="s">
        <v>10541</v>
      </c>
      <c r="AD4065" s="77" t="s">
        <v>10617</v>
      </c>
      <c r="AE4065" s="83" t="str">
        <f>HYPERLINK("https://twitter.com/bancomoc/status/1706954480007205049")</f>
        <v>https://twitter.com/bancomoc/status/1706954480007205049</v>
      </c>
      <c r="AF4065" s="79">
        <v>45196.368472222224</v>
      </c>
      <c r="AG4065" s="85">
        <v>45196</v>
      </c>
      <c r="AH4065" s="80" t="s">
        <v>14156</v>
      </c>
      <c r="AI4065" s="77" t="b">
        <v>0</v>
      </c>
      <c r="AJ4065" s="77"/>
      <c r="AK4065" s="77"/>
      <c r="AL4065" s="77"/>
      <c r="AM4065" s="77"/>
      <c r="AN4065" s="77"/>
      <c r="AO4065" s="77"/>
      <c r="AP4065" s="77"/>
      <c r="AQ4065" s="77" t="s">
        <v>14560</v>
      </c>
      <c r="AR4065" s="77"/>
      <c r="AS4065" s="77"/>
      <c r="AT4065" s="77"/>
      <c r="AU4065" s="77"/>
      <c r="AV4065" s="83" t="str">
        <f>HYPERLINK("https://pbs.twimg.com/media/F7BR3b-WUAEVt-O.jpg")</f>
        <v>https://pbs.twimg.com/media/F7BR3b-WUAEVt-O.jpg</v>
      </c>
      <c r="AW4065" s="80" t="s">
        <v>19742</v>
      </c>
      <c r="AX4065" s="80" t="s">
        <v>19742</v>
      </c>
      <c r="AY4065" s="77"/>
      <c r="AZ4065" s="80" t="s">
        <v>20380</v>
      </c>
      <c r="BA4065" s="80" t="s">
        <v>20380</v>
      </c>
      <c r="BB4065" s="80" t="s">
        <v>20380</v>
      </c>
      <c r="BC4065" s="80" t="s">
        <v>19742</v>
      </c>
      <c r="BD4065" s="80" t="s">
        <v>21167</v>
      </c>
      <c r="BE4065" s="77"/>
      <c r="BF4065" s="77"/>
      <c r="BG4065" s="77"/>
      <c r="BH4065" s="77"/>
      <c r="BI4065" s="77"/>
    </row>
    <row r="4066" spans="1:61" x14ac:dyDescent="0.25">
      <c r="A4066" s="62" t="s">
        <v>1615</v>
      </c>
      <c r="B4066" s="62" t="s">
        <v>1615</v>
      </c>
      <c r="C4066" s="63"/>
      <c r="D4066" s="64"/>
      <c r="E4066" s="65"/>
      <c r="F4066" s="66"/>
      <c r="G4066" s="63"/>
      <c r="H4066" s="67"/>
      <c r="I4066" s="68"/>
      <c r="J4066" s="68"/>
      <c r="K4066" s="32"/>
      <c r="L4066" s="75">
        <v>4066</v>
      </c>
      <c r="M4066" s="75"/>
      <c r="N4066" s="70"/>
      <c r="O4066" s="77" t="s">
        <v>179</v>
      </c>
      <c r="P4066" s="79">
        <v>45153.641851851855</v>
      </c>
      <c r="Q4066" s="77" t="s">
        <v>5679</v>
      </c>
      <c r="R4066" s="77">
        <v>0</v>
      </c>
      <c r="S4066" s="77">
        <v>7</v>
      </c>
      <c r="T4066" s="77">
        <v>1</v>
      </c>
      <c r="U4066" s="77">
        <v>1</v>
      </c>
      <c r="V4066" s="77">
        <v>350</v>
      </c>
      <c r="W4066" s="80" t="s">
        <v>8454</v>
      </c>
      <c r="X4066" s="83" t="str">
        <f>HYPERLINK("https://www.bancomoc.mz")</f>
        <v>https://www.bancomoc.mz</v>
      </c>
      <c r="Y4066" s="77" t="s">
        <v>8882</v>
      </c>
      <c r="Z4066" s="77"/>
      <c r="AA4066" s="77" t="s">
        <v>10425</v>
      </c>
      <c r="AB4066" s="77" t="s">
        <v>10535</v>
      </c>
      <c r="AC4066" s="80" t="s">
        <v>10541</v>
      </c>
      <c r="AD4066" s="77" t="s">
        <v>10617</v>
      </c>
      <c r="AE4066" s="83" t="str">
        <f>HYPERLINK("https://twitter.com/bancomoc/status/1691470873612402688")</f>
        <v>https://twitter.com/bancomoc/status/1691470873612402688</v>
      </c>
      <c r="AF4066" s="79">
        <v>45153.641851851855</v>
      </c>
      <c r="AG4066" s="85">
        <v>45153</v>
      </c>
      <c r="AH4066" s="80" t="s">
        <v>14157</v>
      </c>
      <c r="AI4066" s="77" t="b">
        <v>0</v>
      </c>
      <c r="AJ4066" s="77"/>
      <c r="AK4066" s="77"/>
      <c r="AL4066" s="77"/>
      <c r="AM4066" s="77"/>
      <c r="AN4066" s="77"/>
      <c r="AO4066" s="77"/>
      <c r="AP4066" s="77"/>
      <c r="AQ4066" s="77" t="s">
        <v>15904</v>
      </c>
      <c r="AR4066" s="77"/>
      <c r="AS4066" s="77"/>
      <c r="AT4066" s="77"/>
      <c r="AU4066" s="77"/>
      <c r="AV4066" s="83" t="str">
        <f>HYPERLINK("https://pbs.twimg.com/media/F3lPyQWW4AAJEyc.jpg")</f>
        <v>https://pbs.twimg.com/media/F3lPyQWW4AAJEyc.jpg</v>
      </c>
      <c r="AW4066" s="80" t="s">
        <v>19743</v>
      </c>
      <c r="AX4066" s="80" t="s">
        <v>19743</v>
      </c>
      <c r="AY4066" s="77"/>
      <c r="AZ4066" s="80" t="s">
        <v>20380</v>
      </c>
      <c r="BA4066" s="80" t="s">
        <v>20380</v>
      </c>
      <c r="BB4066" s="80" t="s">
        <v>20380</v>
      </c>
      <c r="BC4066" s="80" t="s">
        <v>19743</v>
      </c>
      <c r="BD4066" s="80" t="s">
        <v>21167</v>
      </c>
      <c r="BE4066" s="77"/>
      <c r="BF4066" s="77"/>
      <c r="BG4066" s="77"/>
      <c r="BH4066" s="77"/>
      <c r="BI4066" s="77"/>
    </row>
    <row r="4067" spans="1:61" x14ac:dyDescent="0.25">
      <c r="A4067" s="62" t="s">
        <v>1615</v>
      </c>
      <c r="B4067" s="62" t="s">
        <v>1615</v>
      </c>
      <c r="C4067" s="63"/>
      <c r="D4067" s="64"/>
      <c r="E4067" s="65"/>
      <c r="F4067" s="66"/>
      <c r="G4067" s="63"/>
      <c r="H4067" s="67"/>
      <c r="I4067" s="68"/>
      <c r="J4067" s="68"/>
      <c r="K4067" s="32"/>
      <c r="L4067" s="75">
        <v>4067</v>
      </c>
      <c r="M4067" s="75"/>
      <c r="N4067" s="70"/>
      <c r="O4067" s="77" t="s">
        <v>179</v>
      </c>
      <c r="P4067" s="79">
        <v>45138.364965277775</v>
      </c>
      <c r="Q4067" s="77" t="s">
        <v>5680</v>
      </c>
      <c r="R4067" s="77">
        <v>3</v>
      </c>
      <c r="S4067" s="77">
        <v>6</v>
      </c>
      <c r="T4067" s="77">
        <v>0</v>
      </c>
      <c r="U4067" s="77">
        <v>0</v>
      </c>
      <c r="V4067" s="77">
        <v>465</v>
      </c>
      <c r="W4067" s="80" t="s">
        <v>8435</v>
      </c>
      <c r="X4067" s="83" t="str">
        <f>HYPERLINK("https://www.bancomoc.mz/pt/media/comunicados/")</f>
        <v>https://www.bancomoc.mz/pt/media/comunicados/</v>
      </c>
      <c r="Y4067" s="77" t="s">
        <v>8882</v>
      </c>
      <c r="Z4067" s="77"/>
      <c r="AA4067" s="77" t="s">
        <v>10426</v>
      </c>
      <c r="AB4067" s="77" t="s">
        <v>10535</v>
      </c>
      <c r="AC4067" s="80" t="s">
        <v>10541</v>
      </c>
      <c r="AD4067" s="77" t="s">
        <v>10617</v>
      </c>
      <c r="AE4067" s="83" t="str">
        <f>HYPERLINK("https://twitter.com/bancomoc/status/1685934714262016000")</f>
        <v>https://twitter.com/bancomoc/status/1685934714262016000</v>
      </c>
      <c r="AF4067" s="79">
        <v>45138.364965277775</v>
      </c>
      <c r="AG4067" s="85">
        <v>45138</v>
      </c>
      <c r="AH4067" s="80" t="s">
        <v>14158</v>
      </c>
      <c r="AI4067" s="77" t="b">
        <v>0</v>
      </c>
      <c r="AJ4067" s="77"/>
      <c r="AK4067" s="77"/>
      <c r="AL4067" s="77"/>
      <c r="AM4067" s="77"/>
      <c r="AN4067" s="77"/>
      <c r="AO4067" s="77"/>
      <c r="AP4067" s="77"/>
      <c r="AQ4067" s="77" t="s">
        <v>15905</v>
      </c>
      <c r="AR4067" s="77"/>
      <c r="AS4067" s="77"/>
      <c r="AT4067" s="77"/>
      <c r="AU4067" s="77"/>
      <c r="AV4067" s="83" t="str">
        <f>HYPERLINK("https://pbs.twimg.com/media/F2WkmYmXcAAbydY.jpg")</f>
        <v>https://pbs.twimg.com/media/F2WkmYmXcAAbydY.jpg</v>
      </c>
      <c r="AW4067" s="80" t="s">
        <v>19744</v>
      </c>
      <c r="AX4067" s="80" t="s">
        <v>19744</v>
      </c>
      <c r="AY4067" s="77"/>
      <c r="AZ4067" s="80" t="s">
        <v>20380</v>
      </c>
      <c r="BA4067" s="80" t="s">
        <v>20380</v>
      </c>
      <c r="BB4067" s="80" t="s">
        <v>20380</v>
      </c>
      <c r="BC4067" s="80" t="s">
        <v>19744</v>
      </c>
      <c r="BD4067" s="80" t="s">
        <v>21167</v>
      </c>
      <c r="BE4067" s="77"/>
      <c r="BF4067" s="77"/>
      <c r="BG4067" s="77"/>
      <c r="BH4067" s="77"/>
      <c r="BI4067" s="77"/>
    </row>
    <row r="4068" spans="1:61" x14ac:dyDescent="0.25">
      <c r="A4068" s="62" t="s">
        <v>1615</v>
      </c>
      <c r="B4068" s="62" t="s">
        <v>1615</v>
      </c>
      <c r="C4068" s="63"/>
      <c r="D4068" s="64"/>
      <c r="E4068" s="65"/>
      <c r="F4068" s="66"/>
      <c r="G4068" s="63"/>
      <c r="H4068" s="67"/>
      <c r="I4068" s="68"/>
      <c r="J4068" s="68"/>
      <c r="K4068" s="32"/>
      <c r="L4068" s="75">
        <v>4068</v>
      </c>
      <c r="M4068" s="75"/>
      <c r="N4068" s="70"/>
      <c r="O4068" s="77" t="s">
        <v>179</v>
      </c>
      <c r="P4068" s="79">
        <v>45110.656527777777</v>
      </c>
      <c r="Q4068" s="77" t="s">
        <v>5681</v>
      </c>
      <c r="R4068" s="77">
        <v>2</v>
      </c>
      <c r="S4068" s="77">
        <v>10</v>
      </c>
      <c r="T4068" s="77">
        <v>0</v>
      </c>
      <c r="U4068" s="77">
        <v>2</v>
      </c>
      <c r="V4068" s="77">
        <v>768</v>
      </c>
      <c r="W4068" s="80" t="s">
        <v>8455</v>
      </c>
      <c r="X4068" s="83" t="str">
        <f>HYPERLINK("https://www.bancomoc.mz/pt/media/jornadas-cientificas/")</f>
        <v>https://www.bancomoc.mz/pt/media/jornadas-cientificas/</v>
      </c>
      <c r="Y4068" s="77" t="s">
        <v>8882</v>
      </c>
      <c r="Z4068" s="77"/>
      <c r="AA4068" s="77" t="s">
        <v>10427</v>
      </c>
      <c r="AB4068" s="77" t="s">
        <v>10535</v>
      </c>
      <c r="AC4068" s="80" t="s">
        <v>10541</v>
      </c>
      <c r="AD4068" s="77" t="s">
        <v>10617</v>
      </c>
      <c r="AE4068" s="83" t="str">
        <f>HYPERLINK("https://twitter.com/bancomoc/status/1675893513739706369")</f>
        <v>https://twitter.com/bancomoc/status/1675893513739706369</v>
      </c>
      <c r="AF4068" s="79">
        <v>45110.656527777777</v>
      </c>
      <c r="AG4068" s="85">
        <v>45110</v>
      </c>
      <c r="AH4068" s="80" t="s">
        <v>14159</v>
      </c>
      <c r="AI4068" s="77" t="b">
        <v>0</v>
      </c>
      <c r="AJ4068" s="77"/>
      <c r="AK4068" s="77"/>
      <c r="AL4068" s="77"/>
      <c r="AM4068" s="77"/>
      <c r="AN4068" s="77"/>
      <c r="AO4068" s="77"/>
      <c r="AP4068" s="77"/>
      <c r="AQ4068" s="77" t="s">
        <v>15906</v>
      </c>
      <c r="AR4068" s="77"/>
      <c r="AS4068" s="77"/>
      <c r="AT4068" s="77"/>
      <c r="AU4068" s="77"/>
      <c r="AV4068" s="83" t="str">
        <f>HYPERLINK("https://pbs.twimg.com/media/F0H4QP3WwAEMrui.jpg")</f>
        <v>https://pbs.twimg.com/media/F0H4QP3WwAEMrui.jpg</v>
      </c>
      <c r="AW4068" s="80" t="s">
        <v>19745</v>
      </c>
      <c r="AX4068" s="80" t="s">
        <v>19745</v>
      </c>
      <c r="AY4068" s="77"/>
      <c r="AZ4068" s="80" t="s">
        <v>20380</v>
      </c>
      <c r="BA4068" s="80" t="s">
        <v>20380</v>
      </c>
      <c r="BB4068" s="80" t="s">
        <v>20380</v>
      </c>
      <c r="BC4068" s="80" t="s">
        <v>19745</v>
      </c>
      <c r="BD4068" s="80" t="s">
        <v>21167</v>
      </c>
      <c r="BE4068" s="77"/>
      <c r="BF4068" s="77"/>
      <c r="BG4068" s="77"/>
      <c r="BH4068" s="77"/>
      <c r="BI4068" s="77"/>
    </row>
    <row r="4069" spans="1:61" x14ac:dyDescent="0.25">
      <c r="A4069" s="62" t="s">
        <v>1615</v>
      </c>
      <c r="B4069" s="62" t="s">
        <v>1615</v>
      </c>
      <c r="C4069" s="63"/>
      <c r="D4069" s="64"/>
      <c r="E4069" s="65"/>
      <c r="F4069" s="66"/>
      <c r="G4069" s="63"/>
      <c r="H4069" s="67"/>
      <c r="I4069" s="68"/>
      <c r="J4069" s="68"/>
      <c r="K4069" s="32"/>
      <c r="L4069" s="75">
        <v>4069</v>
      </c>
      <c r="M4069" s="75"/>
      <c r="N4069" s="70"/>
      <c r="O4069" s="77" t="s">
        <v>179</v>
      </c>
      <c r="P4069" s="79">
        <v>45107.70685185185</v>
      </c>
      <c r="Q4069" s="77" t="s">
        <v>5682</v>
      </c>
      <c r="R4069" s="77">
        <v>0</v>
      </c>
      <c r="S4069" s="77">
        <v>6</v>
      </c>
      <c r="T4069" s="77">
        <v>0</v>
      </c>
      <c r="U4069" s="77">
        <v>0</v>
      </c>
      <c r="V4069" s="77">
        <v>359</v>
      </c>
      <c r="W4069" s="80" t="s">
        <v>8435</v>
      </c>
      <c r="X4069" s="83" t="str">
        <f>HYPERLINK("https://www.bancomoc.mz/pt/media/comunicados/")</f>
        <v>https://www.bancomoc.mz/pt/media/comunicados/</v>
      </c>
      <c r="Y4069" s="77" t="s">
        <v>8882</v>
      </c>
      <c r="Z4069" s="77"/>
      <c r="AA4069" s="77" t="s">
        <v>10428</v>
      </c>
      <c r="AB4069" s="77" t="s">
        <v>10535</v>
      </c>
      <c r="AC4069" s="80" t="s">
        <v>10541</v>
      </c>
      <c r="AD4069" s="77" t="s">
        <v>10617</v>
      </c>
      <c r="AE4069" s="83" t="str">
        <f>HYPERLINK("https://twitter.com/bancomoc/status/1674824586368630794")</f>
        <v>https://twitter.com/bancomoc/status/1674824586368630794</v>
      </c>
      <c r="AF4069" s="79">
        <v>45107.70685185185</v>
      </c>
      <c r="AG4069" s="85">
        <v>45107</v>
      </c>
      <c r="AH4069" s="80" t="s">
        <v>14160</v>
      </c>
      <c r="AI4069" s="77" t="b">
        <v>0</v>
      </c>
      <c r="AJ4069" s="77"/>
      <c r="AK4069" s="77"/>
      <c r="AL4069" s="77"/>
      <c r="AM4069" s="77"/>
      <c r="AN4069" s="77"/>
      <c r="AO4069" s="77"/>
      <c r="AP4069" s="77"/>
      <c r="AQ4069" s="77" t="s">
        <v>15907</v>
      </c>
      <c r="AR4069" s="77"/>
      <c r="AS4069" s="77"/>
      <c r="AT4069" s="77"/>
      <c r="AU4069" s="77"/>
      <c r="AV4069" s="83" t="str">
        <f>HYPERLINK("https://pbs.twimg.com/media/Fz4sDYQWIAA8xfU.jpg")</f>
        <v>https://pbs.twimg.com/media/Fz4sDYQWIAA8xfU.jpg</v>
      </c>
      <c r="AW4069" s="80" t="s">
        <v>19746</v>
      </c>
      <c r="AX4069" s="80" t="s">
        <v>19746</v>
      </c>
      <c r="AY4069" s="77"/>
      <c r="AZ4069" s="80" t="s">
        <v>20380</v>
      </c>
      <c r="BA4069" s="80" t="s">
        <v>20380</v>
      </c>
      <c r="BB4069" s="80" t="s">
        <v>20380</v>
      </c>
      <c r="BC4069" s="80" t="s">
        <v>19746</v>
      </c>
      <c r="BD4069" s="80" t="s">
        <v>21167</v>
      </c>
      <c r="BE4069" s="77"/>
      <c r="BF4069" s="77"/>
      <c r="BG4069" s="77"/>
      <c r="BH4069" s="77"/>
      <c r="BI4069" s="77"/>
    </row>
    <row r="4070" spans="1:61" x14ac:dyDescent="0.25">
      <c r="A4070" s="62" t="s">
        <v>1616</v>
      </c>
      <c r="B4070" s="62" t="s">
        <v>1615</v>
      </c>
      <c r="C4070" s="63"/>
      <c r="D4070" s="64"/>
      <c r="E4070" s="65"/>
      <c r="F4070" s="66"/>
      <c r="G4070" s="63"/>
      <c r="H4070" s="67"/>
      <c r="I4070" s="68"/>
      <c r="J4070" s="68"/>
      <c r="K4070" s="32"/>
      <c r="L4070" s="75">
        <v>4070</v>
      </c>
      <c r="M4070" s="75"/>
      <c r="N4070" s="70"/>
      <c r="O4070" s="77" t="s">
        <v>2083</v>
      </c>
      <c r="P4070" s="79">
        <v>45196.620092592595</v>
      </c>
      <c r="Q4070" s="77" t="s">
        <v>2216</v>
      </c>
      <c r="R4070" s="77">
        <v>7</v>
      </c>
      <c r="S4070" s="77">
        <v>0</v>
      </c>
      <c r="T4070" s="77">
        <v>0</v>
      </c>
      <c r="U4070" s="77">
        <v>0</v>
      </c>
      <c r="V4070" s="77"/>
      <c r="W4070" s="80" t="s">
        <v>5997</v>
      </c>
      <c r="X4070" s="77"/>
      <c r="Y4070" s="77"/>
      <c r="Z4070" s="77" t="s">
        <v>1615</v>
      </c>
      <c r="AA4070" s="77" t="s">
        <v>9078</v>
      </c>
      <c r="AB4070" s="77" t="s">
        <v>10535</v>
      </c>
      <c r="AC4070" s="80" t="s">
        <v>10540</v>
      </c>
      <c r="AD4070" s="77" t="s">
        <v>10617</v>
      </c>
      <c r="AE4070" s="83" t="str">
        <f>HYPERLINK("https://twitter.com/gervasiotaylor/status/1707045665119883341")</f>
        <v>https://twitter.com/gervasiotaylor/status/1707045665119883341</v>
      </c>
      <c r="AF4070" s="79">
        <v>45196.620092592595</v>
      </c>
      <c r="AG4070" s="85">
        <v>45196</v>
      </c>
      <c r="AH4070" s="80" t="s">
        <v>14161</v>
      </c>
      <c r="AI4070" s="77" t="b">
        <v>0</v>
      </c>
      <c r="AJ4070" s="77"/>
      <c r="AK4070" s="77"/>
      <c r="AL4070" s="77"/>
      <c r="AM4070" s="77"/>
      <c r="AN4070" s="77"/>
      <c r="AO4070" s="77"/>
      <c r="AP4070" s="77"/>
      <c r="AQ4070" s="77" t="s">
        <v>14560</v>
      </c>
      <c r="AR4070" s="77"/>
      <c r="AS4070" s="77"/>
      <c r="AT4070" s="77"/>
      <c r="AU4070" s="77"/>
      <c r="AV4070" s="83" t="str">
        <f>HYPERLINK("https://pbs.twimg.com/media/F7BR3b-WUAEVt-O.jpg")</f>
        <v>https://pbs.twimg.com/media/F7BR3b-WUAEVt-O.jpg</v>
      </c>
      <c r="AW4070" s="80" t="s">
        <v>19747</v>
      </c>
      <c r="AX4070" s="80" t="s">
        <v>19747</v>
      </c>
      <c r="AY4070" s="77"/>
      <c r="AZ4070" s="80" t="s">
        <v>20380</v>
      </c>
      <c r="BA4070" s="80" t="s">
        <v>20380</v>
      </c>
      <c r="BB4070" s="80" t="s">
        <v>19742</v>
      </c>
      <c r="BC4070" s="80" t="s">
        <v>19742</v>
      </c>
      <c r="BD4070" s="77">
        <v>1043864527</v>
      </c>
      <c r="BE4070" s="77"/>
      <c r="BF4070" s="77"/>
      <c r="BG4070" s="77"/>
      <c r="BH4070" s="77"/>
      <c r="BI4070" s="77"/>
    </row>
    <row r="4071" spans="1:61" x14ac:dyDescent="0.25">
      <c r="A4071" s="62" t="s">
        <v>1617</v>
      </c>
      <c r="B4071" s="62" t="s">
        <v>1617</v>
      </c>
      <c r="C4071" s="63"/>
      <c r="D4071" s="64"/>
      <c r="E4071" s="65"/>
      <c r="F4071" s="66"/>
      <c r="G4071" s="63"/>
      <c r="H4071" s="67"/>
      <c r="I4071" s="68"/>
      <c r="J4071" s="68"/>
      <c r="K4071" s="32"/>
      <c r="L4071" s="75">
        <v>4071</v>
      </c>
      <c r="M4071" s="75"/>
      <c r="N4071" s="70"/>
      <c r="O4071" s="77" t="s">
        <v>179</v>
      </c>
      <c r="P4071" s="79">
        <v>45099.40483796296</v>
      </c>
      <c r="Q4071" s="77" t="s">
        <v>5683</v>
      </c>
      <c r="R4071" s="77">
        <v>0</v>
      </c>
      <c r="S4071" s="77">
        <v>0</v>
      </c>
      <c r="T4071" s="77">
        <v>0</v>
      </c>
      <c r="U4071" s="77">
        <v>0</v>
      </c>
      <c r="V4071" s="77">
        <v>18</v>
      </c>
      <c r="W4071" s="80" t="s">
        <v>8456</v>
      </c>
      <c r="X4071" s="77"/>
      <c r="Y4071" s="77"/>
      <c r="Z4071" s="77"/>
      <c r="AA4071" s="77"/>
      <c r="AB4071" s="77"/>
      <c r="AC4071" s="80" t="s">
        <v>10540</v>
      </c>
      <c r="AD4071" s="77" t="s">
        <v>10617</v>
      </c>
      <c r="AE4071" s="83" t="str">
        <f>HYPERLINK("https://twitter.com/lourencobra/status/1671816035635281920")</f>
        <v>https://twitter.com/lourencobra/status/1671816035635281920</v>
      </c>
      <c r="AF4071" s="79">
        <v>45099.40483796296</v>
      </c>
      <c r="AG4071" s="85">
        <v>45099</v>
      </c>
      <c r="AH4071" s="80" t="s">
        <v>14162</v>
      </c>
      <c r="AI4071" s="77"/>
      <c r="AJ4071" s="77" t="s">
        <v>14378</v>
      </c>
      <c r="AK4071" s="77" t="s">
        <v>14388</v>
      </c>
      <c r="AL4071" s="77" t="s">
        <v>14397</v>
      </c>
      <c r="AM4071" s="77" t="s">
        <v>14434</v>
      </c>
      <c r="AN4071" s="77" t="s">
        <v>14475</v>
      </c>
      <c r="AO4071" s="77" t="s">
        <v>14513</v>
      </c>
      <c r="AP4071" s="77" t="s">
        <v>14516</v>
      </c>
      <c r="AQ4071" s="77"/>
      <c r="AR4071" s="77"/>
      <c r="AS4071" s="77"/>
      <c r="AT4071" s="77"/>
      <c r="AU4071" s="77"/>
      <c r="AV4071" s="83" t="str">
        <f>HYPERLINK("https://pbs.twimg.com/profile_images/1699655711070818304/RAYqX3vy_normal.jpg")</f>
        <v>https://pbs.twimg.com/profile_images/1699655711070818304/RAYqX3vy_normal.jpg</v>
      </c>
      <c r="AW4071" s="80" t="s">
        <v>19748</v>
      </c>
      <c r="AX4071" s="80" t="s">
        <v>19748</v>
      </c>
      <c r="AY4071" s="77"/>
      <c r="AZ4071" s="80" t="s">
        <v>20380</v>
      </c>
      <c r="BA4071" s="80" t="s">
        <v>20380</v>
      </c>
      <c r="BB4071" s="80" t="s">
        <v>20380</v>
      </c>
      <c r="BC4071" s="80" t="s">
        <v>19748</v>
      </c>
      <c r="BD4071" s="80" t="s">
        <v>21168</v>
      </c>
      <c r="BE4071" s="77"/>
      <c r="BF4071" s="77"/>
      <c r="BG4071" s="77"/>
      <c r="BH4071" s="77"/>
      <c r="BI4071" s="77"/>
    </row>
    <row r="4072" spans="1:61" x14ac:dyDescent="0.25">
      <c r="A4072" s="62" t="s">
        <v>1618</v>
      </c>
      <c r="B4072" s="62" t="s">
        <v>1655</v>
      </c>
      <c r="C4072" s="63"/>
      <c r="D4072" s="64"/>
      <c r="E4072" s="65"/>
      <c r="F4072" s="66"/>
      <c r="G4072" s="63"/>
      <c r="H4072" s="67"/>
      <c r="I4072" s="68"/>
      <c r="J4072" s="68"/>
      <c r="K4072" s="32"/>
      <c r="L4072" s="75">
        <v>4072</v>
      </c>
      <c r="M4072" s="75"/>
      <c r="N4072" s="70"/>
      <c r="O4072" s="77" t="s">
        <v>2083</v>
      </c>
      <c r="P4072" s="79">
        <v>45191.010810185187</v>
      </c>
      <c r="Q4072" s="77" t="s">
        <v>2120</v>
      </c>
      <c r="R4072" s="77">
        <v>57</v>
      </c>
      <c r="S4072" s="77">
        <v>0</v>
      </c>
      <c r="T4072" s="77">
        <v>0</v>
      </c>
      <c r="U4072" s="77">
        <v>0</v>
      </c>
      <c r="V4072" s="77"/>
      <c r="W4072" s="80" t="s">
        <v>5917</v>
      </c>
      <c r="X4072" s="77"/>
      <c r="Y4072" s="77"/>
      <c r="Z4072" s="77" t="s">
        <v>1655</v>
      </c>
      <c r="AA4072" s="77"/>
      <c r="AB4072" s="77"/>
      <c r="AC4072" s="80" t="s">
        <v>10540</v>
      </c>
      <c r="AD4072" s="77" t="s">
        <v>10617</v>
      </c>
      <c r="AE4072" s="83" t="str">
        <f>HYPERLINK("https://twitter.com/celiasi80673675/status/1705012930285113847")</f>
        <v>https://twitter.com/celiasi80673675/status/1705012930285113847</v>
      </c>
      <c r="AF4072" s="79">
        <v>45191.010810185187</v>
      </c>
      <c r="AG4072" s="85">
        <v>45191</v>
      </c>
      <c r="AH4072" s="80" t="s">
        <v>14163</v>
      </c>
      <c r="AI4072" s="77"/>
      <c r="AJ4072" s="77"/>
      <c r="AK4072" s="77"/>
      <c r="AL4072" s="77"/>
      <c r="AM4072" s="77"/>
      <c r="AN4072" s="77"/>
      <c r="AO4072" s="77"/>
      <c r="AP4072" s="77"/>
      <c r="AQ4072" s="77"/>
      <c r="AR4072" s="77"/>
      <c r="AS4072" s="77"/>
      <c r="AT4072" s="77"/>
      <c r="AU4072" s="77"/>
      <c r="AV4072" s="83" t="str">
        <f>HYPERLINK("https://pbs.twimg.com/profile_images/1516417883760467973/54nCucaH_normal.png")</f>
        <v>https://pbs.twimg.com/profile_images/1516417883760467973/54nCucaH_normal.png</v>
      </c>
      <c r="AW4072" s="80" t="s">
        <v>19749</v>
      </c>
      <c r="AX4072" s="80" t="s">
        <v>19749</v>
      </c>
      <c r="AY4072" s="77"/>
      <c r="AZ4072" s="80" t="s">
        <v>20380</v>
      </c>
      <c r="BA4072" s="80" t="s">
        <v>20380</v>
      </c>
      <c r="BB4072" s="80" t="s">
        <v>19843</v>
      </c>
      <c r="BC4072" s="80" t="s">
        <v>19843</v>
      </c>
      <c r="BD4072" s="80" t="s">
        <v>21169</v>
      </c>
      <c r="BE4072" s="77"/>
      <c r="BF4072" s="77"/>
      <c r="BG4072" s="77"/>
      <c r="BH4072" s="77"/>
      <c r="BI4072" s="77"/>
    </row>
    <row r="4073" spans="1:61" x14ac:dyDescent="0.25">
      <c r="A4073" s="62" t="s">
        <v>1619</v>
      </c>
      <c r="B4073" s="62" t="s">
        <v>2065</v>
      </c>
      <c r="C4073" s="63"/>
      <c r="D4073" s="64"/>
      <c r="E4073" s="65"/>
      <c r="F4073" s="66"/>
      <c r="G4073" s="63"/>
      <c r="H4073" s="67"/>
      <c r="I4073" s="68"/>
      <c r="J4073" s="68"/>
      <c r="K4073" s="32"/>
      <c r="L4073" s="75">
        <v>4073</v>
      </c>
      <c r="M4073" s="75"/>
      <c r="N4073" s="70"/>
      <c r="O4073" s="77" t="s">
        <v>2081</v>
      </c>
      <c r="P4073" s="79">
        <v>45152.892048611109</v>
      </c>
      <c r="Q4073" s="77" t="s">
        <v>5684</v>
      </c>
      <c r="R4073" s="77">
        <v>0</v>
      </c>
      <c r="S4073" s="77">
        <v>0</v>
      </c>
      <c r="T4073" s="77">
        <v>0</v>
      </c>
      <c r="U4073" s="77">
        <v>0</v>
      </c>
      <c r="V4073" s="77">
        <v>25</v>
      </c>
      <c r="W4073" s="80" t="s">
        <v>5884</v>
      </c>
      <c r="X4073" s="77"/>
      <c r="Y4073" s="77"/>
      <c r="Z4073" s="77" t="s">
        <v>9031</v>
      </c>
      <c r="AA4073" s="77" t="s">
        <v>10429</v>
      </c>
      <c r="AB4073" s="77" t="s">
        <v>10535</v>
      </c>
      <c r="AC4073" s="80" t="s">
        <v>10541</v>
      </c>
      <c r="AD4073" s="77" t="s">
        <v>10620</v>
      </c>
      <c r="AE4073" s="83" t="str">
        <f>HYPERLINK("https://twitter.com/adn21ok/status/1691199151931867136")</f>
        <v>https://twitter.com/adn21ok/status/1691199151931867136</v>
      </c>
      <c r="AF4073" s="79">
        <v>45152.892048611109</v>
      </c>
      <c r="AG4073" s="85">
        <v>45152</v>
      </c>
      <c r="AH4073" s="80" t="s">
        <v>14164</v>
      </c>
      <c r="AI4073" s="77" t="b">
        <v>0</v>
      </c>
      <c r="AJ4073" s="77"/>
      <c r="AK4073" s="77"/>
      <c r="AL4073" s="77"/>
      <c r="AM4073" s="77"/>
      <c r="AN4073" s="77"/>
      <c r="AO4073" s="77"/>
      <c r="AP4073" s="77"/>
      <c r="AQ4073" s="77" t="s">
        <v>15908</v>
      </c>
      <c r="AR4073" s="77"/>
      <c r="AS4073" s="77"/>
      <c r="AT4073" s="77"/>
      <c r="AU4073" s="77"/>
      <c r="AV4073" s="83" t="str">
        <f>HYPERLINK("https://pbs.twimg.com/media/F3hYI1vXQAAecUP.png")</f>
        <v>https://pbs.twimg.com/media/F3hYI1vXQAAecUP.png</v>
      </c>
      <c r="AW4073" s="80" t="s">
        <v>19750</v>
      </c>
      <c r="AX4073" s="80" t="s">
        <v>19750</v>
      </c>
      <c r="AY4073" s="77"/>
      <c r="AZ4073" s="80" t="s">
        <v>20380</v>
      </c>
      <c r="BA4073" s="80" t="s">
        <v>20380</v>
      </c>
      <c r="BB4073" s="80" t="s">
        <v>20380</v>
      </c>
      <c r="BC4073" s="80" t="s">
        <v>19750</v>
      </c>
      <c r="BD4073" s="80" t="s">
        <v>21170</v>
      </c>
      <c r="BE4073" s="77"/>
      <c r="BF4073" s="77"/>
      <c r="BG4073" s="77"/>
      <c r="BH4073" s="77"/>
      <c r="BI4073" s="77"/>
    </row>
    <row r="4074" spans="1:61" x14ac:dyDescent="0.25">
      <c r="A4074" s="62" t="s">
        <v>1619</v>
      </c>
      <c r="B4074" s="62" t="s">
        <v>1810</v>
      </c>
      <c r="C4074" s="63"/>
      <c r="D4074" s="64"/>
      <c r="E4074" s="65"/>
      <c r="F4074" s="66"/>
      <c r="G4074" s="63"/>
      <c r="H4074" s="67"/>
      <c r="I4074" s="68"/>
      <c r="J4074" s="68"/>
      <c r="K4074" s="32"/>
      <c r="L4074" s="75">
        <v>4074</v>
      </c>
      <c r="M4074" s="75"/>
      <c r="N4074" s="70"/>
      <c r="O4074" s="77" t="s">
        <v>2081</v>
      </c>
      <c r="P4074" s="79">
        <v>45152.892048611109</v>
      </c>
      <c r="Q4074" s="77" t="s">
        <v>5684</v>
      </c>
      <c r="R4074" s="77">
        <v>0</v>
      </c>
      <c r="S4074" s="77">
        <v>0</v>
      </c>
      <c r="T4074" s="77">
        <v>0</v>
      </c>
      <c r="U4074" s="77">
        <v>0</v>
      </c>
      <c r="V4074" s="77">
        <v>25</v>
      </c>
      <c r="W4074" s="80" t="s">
        <v>5884</v>
      </c>
      <c r="X4074" s="77"/>
      <c r="Y4074" s="77"/>
      <c r="Z4074" s="77" t="s">
        <v>9031</v>
      </c>
      <c r="AA4074" s="77" t="s">
        <v>10429</v>
      </c>
      <c r="AB4074" s="77" t="s">
        <v>10535</v>
      </c>
      <c r="AC4074" s="80" t="s">
        <v>10541</v>
      </c>
      <c r="AD4074" s="77" t="s">
        <v>10620</v>
      </c>
      <c r="AE4074" s="83" t="str">
        <f>HYPERLINK("https://twitter.com/adn21ok/status/1691199151931867136")</f>
        <v>https://twitter.com/adn21ok/status/1691199151931867136</v>
      </c>
      <c r="AF4074" s="79">
        <v>45152.892048611109</v>
      </c>
      <c r="AG4074" s="85">
        <v>45152</v>
      </c>
      <c r="AH4074" s="80" t="s">
        <v>14164</v>
      </c>
      <c r="AI4074" s="77" t="b">
        <v>0</v>
      </c>
      <c r="AJ4074" s="77"/>
      <c r="AK4074" s="77"/>
      <c r="AL4074" s="77"/>
      <c r="AM4074" s="77"/>
      <c r="AN4074" s="77"/>
      <c r="AO4074" s="77"/>
      <c r="AP4074" s="77"/>
      <c r="AQ4074" s="77" t="s">
        <v>15908</v>
      </c>
      <c r="AR4074" s="77"/>
      <c r="AS4074" s="77"/>
      <c r="AT4074" s="77"/>
      <c r="AU4074" s="77"/>
      <c r="AV4074" s="83" t="str">
        <f>HYPERLINK("https://pbs.twimg.com/media/F3hYI1vXQAAecUP.png")</f>
        <v>https://pbs.twimg.com/media/F3hYI1vXQAAecUP.png</v>
      </c>
      <c r="AW4074" s="80" t="s">
        <v>19750</v>
      </c>
      <c r="AX4074" s="80" t="s">
        <v>19750</v>
      </c>
      <c r="AY4074" s="77"/>
      <c r="AZ4074" s="80" t="s">
        <v>20380</v>
      </c>
      <c r="BA4074" s="80" t="s">
        <v>20380</v>
      </c>
      <c r="BB4074" s="80" t="s">
        <v>20380</v>
      </c>
      <c r="BC4074" s="80" t="s">
        <v>19750</v>
      </c>
      <c r="BD4074" s="80" t="s">
        <v>21170</v>
      </c>
      <c r="BE4074" s="77"/>
      <c r="BF4074" s="77"/>
      <c r="BG4074" s="77"/>
      <c r="BH4074" s="77"/>
      <c r="BI4074" s="77"/>
    </row>
    <row r="4075" spans="1:61" x14ac:dyDescent="0.25">
      <c r="A4075" s="62" t="s">
        <v>1620</v>
      </c>
      <c r="B4075" s="62" t="s">
        <v>1655</v>
      </c>
      <c r="C4075" s="63"/>
      <c r="D4075" s="64"/>
      <c r="E4075" s="65"/>
      <c r="F4075" s="66"/>
      <c r="G4075" s="63"/>
      <c r="H4075" s="67"/>
      <c r="I4075" s="68"/>
      <c r="J4075" s="68"/>
      <c r="K4075" s="32"/>
      <c r="L4075" s="75">
        <v>4075</v>
      </c>
      <c r="M4075" s="75"/>
      <c r="N4075" s="70"/>
      <c r="O4075" s="77" t="s">
        <v>2083</v>
      </c>
      <c r="P4075" s="79">
        <v>45191.379270833335</v>
      </c>
      <c r="Q4075" s="77" t="s">
        <v>2120</v>
      </c>
      <c r="R4075" s="77">
        <v>57</v>
      </c>
      <c r="S4075" s="77">
        <v>0</v>
      </c>
      <c r="T4075" s="77">
        <v>0</v>
      </c>
      <c r="U4075" s="77">
        <v>0</v>
      </c>
      <c r="V4075" s="77"/>
      <c r="W4075" s="80" t="s">
        <v>5917</v>
      </c>
      <c r="X4075" s="77"/>
      <c r="Y4075" s="77"/>
      <c r="Z4075" s="77" t="s">
        <v>1655</v>
      </c>
      <c r="AA4075" s="77"/>
      <c r="AB4075" s="77"/>
      <c r="AC4075" s="80" t="s">
        <v>10540</v>
      </c>
      <c r="AD4075" s="77" t="s">
        <v>10617</v>
      </c>
      <c r="AE4075" s="83" t="str">
        <f>HYPERLINK("https://twitter.com/estrelaguiaest2/status/1705146456175243288")</f>
        <v>https://twitter.com/estrelaguiaest2/status/1705146456175243288</v>
      </c>
      <c r="AF4075" s="79">
        <v>45191.379270833335</v>
      </c>
      <c r="AG4075" s="85">
        <v>45191</v>
      </c>
      <c r="AH4075" s="80" t="s">
        <v>14165</v>
      </c>
      <c r="AI4075" s="77"/>
      <c r="AJ4075" s="77"/>
      <c r="AK4075" s="77"/>
      <c r="AL4075" s="77"/>
      <c r="AM4075" s="77"/>
      <c r="AN4075" s="77"/>
      <c r="AO4075" s="77"/>
      <c r="AP4075" s="77"/>
      <c r="AQ4075" s="77"/>
      <c r="AR4075" s="77"/>
      <c r="AS4075" s="77"/>
      <c r="AT4075" s="77"/>
      <c r="AU4075" s="77"/>
      <c r="AV4075" s="83" t="str">
        <f>HYPERLINK("https://pbs.twimg.com/profile_images/1519056160548134914/_zJSmPSJ_normal.jpg")</f>
        <v>https://pbs.twimg.com/profile_images/1519056160548134914/_zJSmPSJ_normal.jpg</v>
      </c>
      <c r="AW4075" s="80" t="s">
        <v>19751</v>
      </c>
      <c r="AX4075" s="80" t="s">
        <v>19751</v>
      </c>
      <c r="AY4075" s="77"/>
      <c r="AZ4075" s="80" t="s">
        <v>20380</v>
      </c>
      <c r="BA4075" s="80" t="s">
        <v>20380</v>
      </c>
      <c r="BB4075" s="80" t="s">
        <v>19843</v>
      </c>
      <c r="BC4075" s="80" t="s">
        <v>19843</v>
      </c>
      <c r="BD4075" s="80" t="s">
        <v>21171</v>
      </c>
      <c r="BE4075" s="77"/>
      <c r="BF4075" s="77"/>
      <c r="BG4075" s="77"/>
      <c r="BH4075" s="77"/>
      <c r="BI4075" s="77"/>
    </row>
    <row r="4076" spans="1:61" x14ac:dyDescent="0.25">
      <c r="A4076" s="62" t="s">
        <v>1620</v>
      </c>
      <c r="B4076" s="62" t="s">
        <v>1655</v>
      </c>
      <c r="C4076" s="63"/>
      <c r="D4076" s="64"/>
      <c r="E4076" s="65"/>
      <c r="F4076" s="66"/>
      <c r="G4076" s="63"/>
      <c r="H4076" s="67"/>
      <c r="I4076" s="68"/>
      <c r="J4076" s="68"/>
      <c r="K4076" s="32"/>
      <c r="L4076" s="75">
        <v>4076</v>
      </c>
      <c r="M4076" s="75"/>
      <c r="N4076" s="70"/>
      <c r="O4076" s="77" t="s">
        <v>2083</v>
      </c>
      <c r="P4076" s="79">
        <v>45191.030729166669</v>
      </c>
      <c r="Q4076" s="77" t="s">
        <v>2120</v>
      </c>
      <c r="R4076" s="77">
        <v>25</v>
      </c>
      <c r="S4076" s="77">
        <v>0</v>
      </c>
      <c r="T4076" s="77">
        <v>0</v>
      </c>
      <c r="U4076" s="77">
        <v>0</v>
      </c>
      <c r="V4076" s="77"/>
      <c r="W4076" s="80" t="s">
        <v>5917</v>
      </c>
      <c r="X4076" s="77"/>
      <c r="Y4076" s="77"/>
      <c r="Z4076" s="77" t="s">
        <v>1655</v>
      </c>
      <c r="AA4076" s="77"/>
      <c r="AB4076" s="77"/>
      <c r="AC4076" s="80" t="s">
        <v>10540</v>
      </c>
      <c r="AD4076" s="77" t="s">
        <v>10617</v>
      </c>
      <c r="AE4076" s="83" t="str">
        <f>HYPERLINK("https://twitter.com/estrelaguiaest2/status/1705020146010538362")</f>
        <v>https://twitter.com/estrelaguiaest2/status/1705020146010538362</v>
      </c>
      <c r="AF4076" s="79">
        <v>45191.030729166669</v>
      </c>
      <c r="AG4076" s="85">
        <v>45191</v>
      </c>
      <c r="AH4076" s="80" t="s">
        <v>14166</v>
      </c>
      <c r="AI4076" s="77"/>
      <c r="AJ4076" s="77"/>
      <c r="AK4076" s="77"/>
      <c r="AL4076" s="77"/>
      <c r="AM4076" s="77"/>
      <c r="AN4076" s="77"/>
      <c r="AO4076" s="77"/>
      <c r="AP4076" s="77"/>
      <c r="AQ4076" s="77"/>
      <c r="AR4076" s="77"/>
      <c r="AS4076" s="77"/>
      <c r="AT4076" s="77"/>
      <c r="AU4076" s="77"/>
      <c r="AV4076" s="83" t="str">
        <f>HYPERLINK("https://pbs.twimg.com/profile_images/1519056160548134914/_zJSmPSJ_normal.jpg")</f>
        <v>https://pbs.twimg.com/profile_images/1519056160548134914/_zJSmPSJ_normal.jpg</v>
      </c>
      <c r="AW4076" s="80" t="s">
        <v>19752</v>
      </c>
      <c r="AX4076" s="80" t="s">
        <v>19752</v>
      </c>
      <c r="AY4076" s="77"/>
      <c r="AZ4076" s="80" t="s">
        <v>20380</v>
      </c>
      <c r="BA4076" s="80" t="s">
        <v>20380</v>
      </c>
      <c r="BB4076" s="80" t="s">
        <v>19844</v>
      </c>
      <c r="BC4076" s="80" t="s">
        <v>19844</v>
      </c>
      <c r="BD4076" s="80" t="s">
        <v>21171</v>
      </c>
      <c r="BE4076" s="77"/>
      <c r="BF4076" s="77"/>
      <c r="BG4076" s="77"/>
      <c r="BH4076" s="77"/>
      <c r="BI4076" s="77"/>
    </row>
    <row r="4077" spans="1:61" x14ac:dyDescent="0.25">
      <c r="A4077" s="62" t="s">
        <v>1621</v>
      </c>
      <c r="B4077" s="62" t="s">
        <v>1621</v>
      </c>
      <c r="C4077" s="63"/>
      <c r="D4077" s="64"/>
      <c r="E4077" s="65"/>
      <c r="F4077" s="66"/>
      <c r="G4077" s="63"/>
      <c r="H4077" s="67"/>
      <c r="I4077" s="68"/>
      <c r="J4077" s="68"/>
      <c r="K4077" s="32"/>
      <c r="L4077" s="75">
        <v>4077</v>
      </c>
      <c r="M4077" s="75"/>
      <c r="N4077" s="70"/>
      <c r="O4077" s="77" t="s">
        <v>179</v>
      </c>
      <c r="P4077" s="79">
        <v>45152.590081018519</v>
      </c>
      <c r="Q4077" s="77" t="s">
        <v>5685</v>
      </c>
      <c r="R4077" s="77">
        <v>0</v>
      </c>
      <c r="S4077" s="77">
        <v>0</v>
      </c>
      <c r="T4077" s="77">
        <v>0</v>
      </c>
      <c r="U4077" s="77">
        <v>0</v>
      </c>
      <c r="V4077" s="77">
        <v>16</v>
      </c>
      <c r="W4077" s="80" t="s">
        <v>5884</v>
      </c>
      <c r="X4077" s="77"/>
      <c r="Y4077" s="77"/>
      <c r="Z4077" s="77"/>
      <c r="AA4077" s="77"/>
      <c r="AB4077" s="77"/>
      <c r="AC4077" s="80" t="s">
        <v>10540</v>
      </c>
      <c r="AD4077" s="77" t="s">
        <v>10620</v>
      </c>
      <c r="AE4077" s="83" t="str">
        <f>HYPERLINK("https://twitter.com/chorizoreina/status/1691089722259472384")</f>
        <v>https://twitter.com/chorizoreina/status/1691089722259472384</v>
      </c>
      <c r="AF4077" s="79">
        <v>45152.590081018519</v>
      </c>
      <c r="AG4077" s="85">
        <v>45152</v>
      </c>
      <c r="AH4077" s="80" t="s">
        <v>14167</v>
      </c>
      <c r="AI4077" s="77"/>
      <c r="AJ4077" s="77"/>
      <c r="AK4077" s="77"/>
      <c r="AL4077" s="77"/>
      <c r="AM4077" s="77"/>
      <c r="AN4077" s="77"/>
      <c r="AO4077" s="77"/>
      <c r="AP4077" s="77"/>
      <c r="AQ4077" s="77"/>
      <c r="AR4077" s="77"/>
      <c r="AS4077" s="77"/>
      <c r="AT4077" s="77"/>
      <c r="AU4077" s="77"/>
      <c r="AV4077" s="83" t="str">
        <f>HYPERLINK("https://pbs.twimg.com/profile_images/1192298890193723392/4yVct3l5_normal.jpg")</f>
        <v>https://pbs.twimg.com/profile_images/1192298890193723392/4yVct3l5_normal.jpg</v>
      </c>
      <c r="AW4077" s="80" t="s">
        <v>19753</v>
      </c>
      <c r="AX4077" s="80" t="s">
        <v>19753</v>
      </c>
      <c r="AY4077" s="77"/>
      <c r="AZ4077" s="80" t="s">
        <v>20380</v>
      </c>
      <c r="BA4077" s="80" t="s">
        <v>20380</v>
      </c>
      <c r="BB4077" s="80" t="s">
        <v>20380</v>
      </c>
      <c r="BC4077" s="80" t="s">
        <v>19753</v>
      </c>
      <c r="BD4077" s="80" t="s">
        <v>21172</v>
      </c>
      <c r="BE4077" s="77"/>
      <c r="BF4077" s="77"/>
      <c r="BG4077" s="77"/>
      <c r="BH4077" s="77"/>
      <c r="BI4077" s="77"/>
    </row>
    <row r="4078" spans="1:61" x14ac:dyDescent="0.25">
      <c r="A4078" s="62" t="s">
        <v>1622</v>
      </c>
      <c r="B4078" s="62" t="s">
        <v>1622</v>
      </c>
      <c r="C4078" s="63"/>
      <c r="D4078" s="64"/>
      <c r="E4078" s="65"/>
      <c r="F4078" s="66"/>
      <c r="G4078" s="63"/>
      <c r="H4078" s="67"/>
      <c r="I4078" s="68"/>
      <c r="J4078" s="68"/>
      <c r="K4078" s="32"/>
      <c r="L4078" s="75">
        <v>4078</v>
      </c>
      <c r="M4078" s="75"/>
      <c r="N4078" s="70"/>
      <c r="O4078" s="77" t="s">
        <v>179</v>
      </c>
      <c r="P4078" s="79">
        <v>45156.139398148145</v>
      </c>
      <c r="Q4078" s="77" t="s">
        <v>5686</v>
      </c>
      <c r="R4078" s="77">
        <v>0</v>
      </c>
      <c r="S4078" s="77">
        <v>0</v>
      </c>
      <c r="T4078" s="77">
        <v>0</v>
      </c>
      <c r="U4078" s="77">
        <v>0</v>
      </c>
      <c r="V4078" s="77">
        <v>21</v>
      </c>
      <c r="W4078" s="80" t="s">
        <v>8457</v>
      </c>
      <c r="X4078" s="77"/>
      <c r="Y4078" s="77"/>
      <c r="Z4078" s="77"/>
      <c r="AA4078" s="77" t="s">
        <v>10430</v>
      </c>
      <c r="AB4078" s="77" t="s">
        <v>10534</v>
      </c>
      <c r="AC4078" s="80" t="s">
        <v>10540</v>
      </c>
      <c r="AD4078" s="77" t="s">
        <v>10620</v>
      </c>
      <c r="AE4078" s="83" t="str">
        <f>HYPERLINK("https://twitter.com/alexanderpifano/status/1692375953823932669")</f>
        <v>https://twitter.com/alexanderpifano/status/1692375953823932669</v>
      </c>
      <c r="AF4078" s="79">
        <v>45156.139398148145</v>
      </c>
      <c r="AG4078" s="85">
        <v>45156</v>
      </c>
      <c r="AH4078" s="80" t="s">
        <v>14168</v>
      </c>
      <c r="AI4078" s="77" t="b">
        <v>0</v>
      </c>
      <c r="AJ4078" s="77" t="s">
        <v>14369</v>
      </c>
      <c r="AK4078" s="77" t="s">
        <v>14385</v>
      </c>
      <c r="AL4078" s="77" t="s">
        <v>14394</v>
      </c>
      <c r="AM4078" s="77" t="s">
        <v>14426</v>
      </c>
      <c r="AN4078" s="77" t="s">
        <v>14466</v>
      </c>
      <c r="AO4078" s="77" t="s">
        <v>14505</v>
      </c>
      <c r="AP4078" s="77" t="s">
        <v>14516</v>
      </c>
      <c r="AQ4078" s="77" t="s">
        <v>15909</v>
      </c>
      <c r="AR4078" s="77">
        <v>11057</v>
      </c>
      <c r="AS4078" s="77"/>
      <c r="AT4078" s="77"/>
      <c r="AU4078" s="77"/>
      <c r="AV4078" s="83" t="str">
        <f>HYPERLINK("https://pbs.twimg.com/ext_tw_video_thumb/1692375915580297216/pu/img/Jw76_PNHsFPNRTo-.jpg")</f>
        <v>https://pbs.twimg.com/ext_tw_video_thumb/1692375915580297216/pu/img/Jw76_PNHsFPNRTo-.jpg</v>
      </c>
      <c r="AW4078" s="80" t="s">
        <v>19754</v>
      </c>
      <c r="AX4078" s="80" t="s">
        <v>19754</v>
      </c>
      <c r="AY4078" s="77"/>
      <c r="AZ4078" s="80" t="s">
        <v>20380</v>
      </c>
      <c r="BA4078" s="80" t="s">
        <v>20380</v>
      </c>
      <c r="BB4078" s="80" t="s">
        <v>20380</v>
      </c>
      <c r="BC4078" s="80" t="s">
        <v>19754</v>
      </c>
      <c r="BD4078" s="77">
        <v>2801298309</v>
      </c>
      <c r="BE4078" s="77"/>
      <c r="BF4078" s="77"/>
      <c r="BG4078" s="77"/>
      <c r="BH4078" s="77"/>
      <c r="BI4078" s="77"/>
    </row>
    <row r="4079" spans="1:61" x14ac:dyDescent="0.25">
      <c r="A4079" s="62" t="s">
        <v>1623</v>
      </c>
      <c r="B4079" s="62" t="s">
        <v>1623</v>
      </c>
      <c r="C4079" s="63"/>
      <c r="D4079" s="64"/>
      <c r="E4079" s="65"/>
      <c r="F4079" s="66"/>
      <c r="G4079" s="63"/>
      <c r="H4079" s="67"/>
      <c r="I4079" s="68"/>
      <c r="J4079" s="68"/>
      <c r="K4079" s="32"/>
      <c r="L4079" s="75">
        <v>4079</v>
      </c>
      <c r="M4079" s="75"/>
      <c r="N4079" s="70"/>
      <c r="O4079" s="77" t="s">
        <v>179</v>
      </c>
      <c r="P4079" s="79">
        <v>45117.600057870368</v>
      </c>
      <c r="Q4079" s="77" t="s">
        <v>5687</v>
      </c>
      <c r="R4079" s="77">
        <v>0</v>
      </c>
      <c r="S4079" s="77">
        <v>0</v>
      </c>
      <c r="T4079" s="77">
        <v>0</v>
      </c>
      <c r="U4079" s="77">
        <v>0</v>
      </c>
      <c r="V4079" s="77">
        <v>27</v>
      </c>
      <c r="W4079" s="80" t="s">
        <v>8458</v>
      </c>
      <c r="X4079" s="83" t="str">
        <f>HYPERLINK("https://revistacodigos.com/en-junio-el-banco-central-tuvo-otra-fuerte-emision-de-dinero/")</f>
        <v>https://revistacodigos.com/en-junio-el-banco-central-tuvo-otra-fuerte-emision-de-dinero/</v>
      </c>
      <c r="Y4079" s="77" t="s">
        <v>8884</v>
      </c>
      <c r="Z4079" s="77"/>
      <c r="AA4079" s="77" t="s">
        <v>10431</v>
      </c>
      <c r="AB4079" s="77" t="s">
        <v>10535</v>
      </c>
      <c r="AC4079" s="80" t="s">
        <v>10541</v>
      </c>
      <c r="AD4079" s="77" t="s">
        <v>10620</v>
      </c>
      <c r="AE4079" s="83" t="str">
        <f>HYPERLINK("https://twitter.com/revistacodigos/status/1678409761753034758")</f>
        <v>https://twitter.com/revistacodigos/status/1678409761753034758</v>
      </c>
      <c r="AF4079" s="79">
        <v>45117.600057870368</v>
      </c>
      <c r="AG4079" s="85">
        <v>45117</v>
      </c>
      <c r="AH4079" s="80" t="s">
        <v>14169</v>
      </c>
      <c r="AI4079" s="77" t="b">
        <v>0</v>
      </c>
      <c r="AJ4079" s="77"/>
      <c r="AK4079" s="77"/>
      <c r="AL4079" s="77"/>
      <c r="AM4079" s="77"/>
      <c r="AN4079" s="77"/>
      <c r="AO4079" s="77"/>
      <c r="AP4079" s="77"/>
      <c r="AQ4079" s="77" t="s">
        <v>15910</v>
      </c>
      <c r="AR4079" s="77"/>
      <c r="AS4079" s="77"/>
      <c r="AT4079" s="77"/>
      <c r="AU4079" s="77"/>
      <c r="AV4079" s="83" t="str">
        <f>HYPERLINK("https://pbs.twimg.com/media/F0roxu-X0AE25TY.jpg")</f>
        <v>https://pbs.twimg.com/media/F0roxu-X0AE25TY.jpg</v>
      </c>
      <c r="AW4079" s="80" t="s">
        <v>19755</v>
      </c>
      <c r="AX4079" s="80" t="s">
        <v>19755</v>
      </c>
      <c r="AY4079" s="77"/>
      <c r="AZ4079" s="80" t="s">
        <v>20380</v>
      </c>
      <c r="BA4079" s="80" t="s">
        <v>20380</v>
      </c>
      <c r="BB4079" s="80" t="s">
        <v>20380</v>
      </c>
      <c r="BC4079" s="80" t="s">
        <v>19755</v>
      </c>
      <c r="BD4079" s="77">
        <v>2922320463</v>
      </c>
      <c r="BE4079" s="77"/>
      <c r="BF4079" s="77"/>
      <c r="BG4079" s="77"/>
      <c r="BH4079" s="77"/>
      <c r="BI4079" s="77"/>
    </row>
    <row r="4080" spans="1:61" x14ac:dyDescent="0.25">
      <c r="A4080" s="62" t="s">
        <v>1623</v>
      </c>
      <c r="B4080" s="62" t="s">
        <v>1623</v>
      </c>
      <c r="C4080" s="63"/>
      <c r="D4080" s="64"/>
      <c r="E4080" s="65"/>
      <c r="F4080" s="66"/>
      <c r="G4080" s="63"/>
      <c r="H4080" s="67"/>
      <c r="I4080" s="68"/>
      <c r="J4080" s="68"/>
      <c r="K4080" s="32"/>
      <c r="L4080" s="75">
        <v>4080</v>
      </c>
      <c r="M4080" s="75"/>
      <c r="N4080" s="70"/>
      <c r="O4080" s="77" t="s">
        <v>179</v>
      </c>
      <c r="P4080" s="79">
        <v>45121.903275462966</v>
      </c>
      <c r="Q4080" s="77" t="s">
        <v>5688</v>
      </c>
      <c r="R4080" s="77">
        <v>0</v>
      </c>
      <c r="S4080" s="77">
        <v>0</v>
      </c>
      <c r="T4080" s="77">
        <v>0</v>
      </c>
      <c r="U4080" s="77">
        <v>0</v>
      </c>
      <c r="V4080" s="77">
        <v>21</v>
      </c>
      <c r="W4080" s="80" t="s">
        <v>8459</v>
      </c>
      <c r="X4080" s="83" t="str">
        <f>HYPERLINK("https://revistacodigos.com/el-banco-central-confirmo-que-la-imagen-de-san-martin-estara-en-los-billetes-de-1-000-pesos/")</f>
        <v>https://revistacodigos.com/el-banco-central-confirmo-que-la-imagen-de-san-martin-estara-en-los-billetes-de-1-000-pesos/</v>
      </c>
      <c r="Y4080" s="77" t="s">
        <v>8884</v>
      </c>
      <c r="Z4080" s="77"/>
      <c r="AA4080" s="77" t="s">
        <v>10432</v>
      </c>
      <c r="AB4080" s="77" t="s">
        <v>10535</v>
      </c>
      <c r="AC4080" s="80" t="s">
        <v>10541</v>
      </c>
      <c r="AD4080" s="77" t="s">
        <v>10620</v>
      </c>
      <c r="AE4080" s="83" t="str">
        <f>HYPERLINK("https://twitter.com/revistacodigos/status/1679969198162817025")</f>
        <v>https://twitter.com/revistacodigos/status/1679969198162817025</v>
      </c>
      <c r="AF4080" s="79">
        <v>45121.903275462966</v>
      </c>
      <c r="AG4080" s="85">
        <v>45121</v>
      </c>
      <c r="AH4080" s="80" t="s">
        <v>14170</v>
      </c>
      <c r="AI4080" s="77" t="b">
        <v>0</v>
      </c>
      <c r="AJ4080" s="77"/>
      <c r="AK4080" s="77"/>
      <c r="AL4080" s="77"/>
      <c r="AM4080" s="77"/>
      <c r="AN4080" s="77"/>
      <c r="AO4080" s="77"/>
      <c r="AP4080" s="77"/>
      <c r="AQ4080" s="77" t="s">
        <v>15911</v>
      </c>
      <c r="AR4080" s="77"/>
      <c r="AS4080" s="77"/>
      <c r="AT4080" s="77"/>
      <c r="AU4080" s="77"/>
      <c r="AV4080" s="83" t="str">
        <f>HYPERLINK("https://pbs.twimg.com/media/F1BzCEvWYAAzsXp.jpg")</f>
        <v>https://pbs.twimg.com/media/F1BzCEvWYAAzsXp.jpg</v>
      </c>
      <c r="AW4080" s="80" t="s">
        <v>19756</v>
      </c>
      <c r="AX4080" s="80" t="s">
        <v>19756</v>
      </c>
      <c r="AY4080" s="77"/>
      <c r="AZ4080" s="80" t="s">
        <v>20380</v>
      </c>
      <c r="BA4080" s="80" t="s">
        <v>20380</v>
      </c>
      <c r="BB4080" s="80" t="s">
        <v>20380</v>
      </c>
      <c r="BC4080" s="80" t="s">
        <v>19756</v>
      </c>
      <c r="BD4080" s="77">
        <v>2922320463</v>
      </c>
      <c r="BE4080" s="77"/>
      <c r="BF4080" s="77"/>
      <c r="BG4080" s="77"/>
      <c r="BH4080" s="77"/>
      <c r="BI4080" s="77"/>
    </row>
    <row r="4081" spans="1:61" x14ac:dyDescent="0.25">
      <c r="A4081" s="62" t="s">
        <v>1623</v>
      </c>
      <c r="B4081" s="62" t="s">
        <v>1623</v>
      </c>
      <c r="C4081" s="63"/>
      <c r="D4081" s="64"/>
      <c r="E4081" s="65"/>
      <c r="F4081" s="66"/>
      <c r="G4081" s="63"/>
      <c r="H4081" s="67"/>
      <c r="I4081" s="68"/>
      <c r="J4081" s="68"/>
      <c r="K4081" s="32"/>
      <c r="L4081" s="75">
        <v>4081</v>
      </c>
      <c r="M4081" s="75"/>
      <c r="N4081" s="70"/>
      <c r="O4081" s="77" t="s">
        <v>179</v>
      </c>
      <c r="P4081" s="79">
        <v>45134.51421296296</v>
      </c>
      <c r="Q4081" s="77" t="s">
        <v>5689</v>
      </c>
      <c r="R4081" s="77">
        <v>0</v>
      </c>
      <c r="S4081" s="77">
        <v>0</v>
      </c>
      <c r="T4081" s="77">
        <v>0</v>
      </c>
      <c r="U4081" s="77">
        <v>0</v>
      </c>
      <c r="V4081" s="77">
        <v>38</v>
      </c>
      <c r="W4081" s="80" t="s">
        <v>8460</v>
      </c>
      <c r="X4081" s="83" t="str">
        <f>HYPERLINK("https://revistacodigos.com/el-indec-y-el-banco-central-revelaran-datos-sobre-la-inflacion-despues-de-las-paso/")</f>
        <v>https://revistacodigos.com/el-indec-y-el-banco-central-revelaran-datos-sobre-la-inflacion-despues-de-las-paso/</v>
      </c>
      <c r="Y4081" s="77" t="s">
        <v>8884</v>
      </c>
      <c r="Z4081" s="77"/>
      <c r="AA4081" s="77" t="s">
        <v>10433</v>
      </c>
      <c r="AB4081" s="77" t="s">
        <v>10535</v>
      </c>
      <c r="AC4081" s="80" t="s">
        <v>10541</v>
      </c>
      <c r="AD4081" s="77" t="s">
        <v>10620</v>
      </c>
      <c r="AE4081" s="83" t="str">
        <f>HYPERLINK("https://twitter.com/revistacodigos/status/1684539245879332864")</f>
        <v>https://twitter.com/revistacodigos/status/1684539245879332864</v>
      </c>
      <c r="AF4081" s="79">
        <v>45134.51421296296</v>
      </c>
      <c r="AG4081" s="85">
        <v>45134</v>
      </c>
      <c r="AH4081" s="80" t="s">
        <v>14171</v>
      </c>
      <c r="AI4081" s="77" t="b">
        <v>0</v>
      </c>
      <c r="AJ4081" s="77"/>
      <c r="AK4081" s="77"/>
      <c r="AL4081" s="77"/>
      <c r="AM4081" s="77"/>
      <c r="AN4081" s="77"/>
      <c r="AO4081" s="77"/>
      <c r="AP4081" s="77"/>
      <c r="AQ4081" s="77" t="s">
        <v>15912</v>
      </c>
      <c r="AR4081" s="77"/>
      <c r="AS4081" s="77"/>
      <c r="AT4081" s="77"/>
      <c r="AU4081" s="77"/>
      <c r="AV4081" s="83" t="str">
        <f>HYPERLINK("https://pbs.twimg.com/media/F2CvgyBWEAE8n1_.jpg")</f>
        <v>https://pbs.twimg.com/media/F2CvgyBWEAE8n1_.jpg</v>
      </c>
      <c r="AW4081" s="80" t="s">
        <v>19757</v>
      </c>
      <c r="AX4081" s="80" t="s">
        <v>19757</v>
      </c>
      <c r="AY4081" s="77"/>
      <c r="AZ4081" s="80" t="s">
        <v>20380</v>
      </c>
      <c r="BA4081" s="80" t="s">
        <v>20380</v>
      </c>
      <c r="BB4081" s="80" t="s">
        <v>20380</v>
      </c>
      <c r="BC4081" s="80" t="s">
        <v>19757</v>
      </c>
      <c r="BD4081" s="77">
        <v>2922320463</v>
      </c>
      <c r="BE4081" s="77"/>
      <c r="BF4081" s="77"/>
      <c r="BG4081" s="77"/>
      <c r="BH4081" s="77"/>
      <c r="BI4081" s="77"/>
    </row>
    <row r="4082" spans="1:61" x14ac:dyDescent="0.25">
      <c r="A4082" s="62" t="s">
        <v>1623</v>
      </c>
      <c r="B4082" s="62" t="s">
        <v>1623</v>
      </c>
      <c r="C4082" s="63"/>
      <c r="D4082" s="64"/>
      <c r="E4082" s="65"/>
      <c r="F4082" s="66"/>
      <c r="G4082" s="63"/>
      <c r="H4082" s="67"/>
      <c r="I4082" s="68"/>
      <c r="J4082" s="68"/>
      <c r="K4082" s="32"/>
      <c r="L4082" s="75">
        <v>4082</v>
      </c>
      <c r="M4082" s="75"/>
      <c r="N4082" s="70"/>
      <c r="O4082" s="77" t="s">
        <v>179</v>
      </c>
      <c r="P4082" s="79">
        <v>45165.586388888885</v>
      </c>
      <c r="Q4082" s="77" t="s">
        <v>5690</v>
      </c>
      <c r="R4082" s="77">
        <v>0</v>
      </c>
      <c r="S4082" s="77">
        <v>0</v>
      </c>
      <c r="T4082" s="77">
        <v>0</v>
      </c>
      <c r="U4082" s="77">
        <v>0</v>
      </c>
      <c r="V4082" s="77">
        <v>30</v>
      </c>
      <c r="W4082" s="80" t="s">
        <v>8461</v>
      </c>
      <c r="X4082" s="83" t="str">
        <f>HYPERLINK("https://revistacodigos.com/el-fmi-revelo-las-enormes-reservas-negativas-del-banco-central/")</f>
        <v>https://revistacodigos.com/el-fmi-revelo-las-enormes-reservas-negativas-del-banco-central/</v>
      </c>
      <c r="Y4082" s="77" t="s">
        <v>8884</v>
      </c>
      <c r="Z4082" s="77"/>
      <c r="AA4082" s="77" t="s">
        <v>10434</v>
      </c>
      <c r="AB4082" s="77" t="s">
        <v>10535</v>
      </c>
      <c r="AC4082" s="80" t="s">
        <v>10541</v>
      </c>
      <c r="AD4082" s="77" t="s">
        <v>10620</v>
      </c>
      <c r="AE4082" s="83" t="str">
        <f>HYPERLINK("https://twitter.com/revistacodigos/status/1695799426684535058")</f>
        <v>https://twitter.com/revistacodigos/status/1695799426684535058</v>
      </c>
      <c r="AF4082" s="79">
        <v>45165.586388888885</v>
      </c>
      <c r="AG4082" s="85">
        <v>45165</v>
      </c>
      <c r="AH4082" s="80" t="s">
        <v>14172</v>
      </c>
      <c r="AI4082" s="77" t="b">
        <v>0</v>
      </c>
      <c r="AJ4082" s="77"/>
      <c r="AK4082" s="77"/>
      <c r="AL4082" s="77"/>
      <c r="AM4082" s="77"/>
      <c r="AN4082" s="77"/>
      <c r="AO4082" s="77"/>
      <c r="AP4082" s="77"/>
      <c r="AQ4082" s="77" t="s">
        <v>15913</v>
      </c>
      <c r="AR4082" s="77"/>
      <c r="AS4082" s="77"/>
      <c r="AT4082" s="77"/>
      <c r="AU4082" s="77"/>
      <c r="AV4082" s="83" t="str">
        <f>HYPERLINK("https://pbs.twimg.com/media/F4iwluxWwAAsmc-.jpg")</f>
        <v>https://pbs.twimg.com/media/F4iwluxWwAAsmc-.jpg</v>
      </c>
      <c r="AW4082" s="80" t="s">
        <v>19758</v>
      </c>
      <c r="AX4082" s="80" t="s">
        <v>19758</v>
      </c>
      <c r="AY4082" s="77"/>
      <c r="AZ4082" s="80" t="s">
        <v>20380</v>
      </c>
      <c r="BA4082" s="80" t="s">
        <v>20380</v>
      </c>
      <c r="BB4082" s="80" t="s">
        <v>20380</v>
      </c>
      <c r="BC4082" s="80" t="s">
        <v>19758</v>
      </c>
      <c r="BD4082" s="77">
        <v>2922320463</v>
      </c>
      <c r="BE4082" s="77"/>
      <c r="BF4082" s="77"/>
      <c r="BG4082" s="77"/>
      <c r="BH4082" s="77"/>
      <c r="BI4082" s="77"/>
    </row>
    <row r="4083" spans="1:61" x14ac:dyDescent="0.25">
      <c r="A4083" s="62" t="s">
        <v>1624</v>
      </c>
      <c r="B4083" s="62" t="s">
        <v>1624</v>
      </c>
      <c r="C4083" s="63"/>
      <c r="D4083" s="64"/>
      <c r="E4083" s="65"/>
      <c r="F4083" s="66"/>
      <c r="G4083" s="63"/>
      <c r="H4083" s="67"/>
      <c r="I4083" s="68"/>
      <c r="J4083" s="68"/>
      <c r="K4083" s="32"/>
      <c r="L4083" s="75">
        <v>4083</v>
      </c>
      <c r="M4083" s="75"/>
      <c r="N4083" s="70"/>
      <c r="O4083" s="77" t="s">
        <v>179</v>
      </c>
      <c r="P4083" s="79">
        <v>45099.347800925927</v>
      </c>
      <c r="Q4083" s="77" t="s">
        <v>5691</v>
      </c>
      <c r="R4083" s="77">
        <v>3110</v>
      </c>
      <c r="S4083" s="77">
        <v>20950</v>
      </c>
      <c r="T4083" s="77">
        <v>3909</v>
      </c>
      <c r="U4083" s="77">
        <v>355</v>
      </c>
      <c r="V4083" s="77">
        <v>1117431</v>
      </c>
      <c r="W4083" s="77"/>
      <c r="X4083" s="77"/>
      <c r="Y4083" s="77"/>
      <c r="Z4083" s="77"/>
      <c r="AA4083" s="77"/>
      <c r="AB4083" s="77"/>
      <c r="AC4083" s="80" t="s">
        <v>10542</v>
      </c>
      <c r="AD4083" s="77" t="s">
        <v>10617</v>
      </c>
      <c r="AE4083" s="83" t="str">
        <f>HYPERLINK("https://twitter.com/lulaoficial/status/1671795367443144704")</f>
        <v>https://twitter.com/lulaoficial/status/1671795367443144704</v>
      </c>
      <c r="AF4083" s="79">
        <v>45099.347800925927</v>
      </c>
      <c r="AG4083" s="85">
        <v>45099</v>
      </c>
      <c r="AH4083" s="80" t="s">
        <v>14173</v>
      </c>
      <c r="AI4083" s="77"/>
      <c r="AJ4083" s="77"/>
      <c r="AK4083" s="77"/>
      <c r="AL4083" s="77"/>
      <c r="AM4083" s="77"/>
      <c r="AN4083" s="77"/>
      <c r="AO4083" s="77"/>
      <c r="AP4083" s="77"/>
      <c r="AQ4083" s="77"/>
      <c r="AR4083" s="77"/>
      <c r="AS4083" s="77"/>
      <c r="AT4083" s="77"/>
      <c r="AU4083" s="77"/>
      <c r="AV4083" s="83" t="str">
        <f>HYPERLINK("https://pbs.twimg.com/profile_images/1630217574100213762/SAMK-BnB_normal.jpg")</f>
        <v>https://pbs.twimg.com/profile_images/1630217574100213762/SAMK-BnB_normal.jpg</v>
      </c>
      <c r="AW4083" s="80" t="s">
        <v>19759</v>
      </c>
      <c r="AX4083" s="80" t="s">
        <v>19759</v>
      </c>
      <c r="AY4083" s="77"/>
      <c r="AZ4083" s="80" t="s">
        <v>20380</v>
      </c>
      <c r="BA4083" s="80" t="s">
        <v>20380</v>
      </c>
      <c r="BB4083" s="80" t="s">
        <v>20380</v>
      </c>
      <c r="BC4083" s="80" t="s">
        <v>19759</v>
      </c>
      <c r="BD4083" s="77">
        <v>2670726740</v>
      </c>
      <c r="BE4083" s="77"/>
      <c r="BF4083" s="77"/>
      <c r="BG4083" s="77"/>
      <c r="BH4083" s="77"/>
      <c r="BI4083" s="77"/>
    </row>
    <row r="4084" spans="1:61" x14ac:dyDescent="0.25">
      <c r="A4084" s="62" t="s">
        <v>1624</v>
      </c>
      <c r="B4084" s="62" t="s">
        <v>1624</v>
      </c>
      <c r="C4084" s="63"/>
      <c r="D4084" s="64"/>
      <c r="E4084" s="65"/>
      <c r="F4084" s="66"/>
      <c r="G4084" s="63"/>
      <c r="H4084" s="67"/>
      <c r="I4084" s="68"/>
      <c r="J4084" s="68"/>
      <c r="K4084" s="32"/>
      <c r="L4084" s="75">
        <v>4084</v>
      </c>
      <c r="M4084" s="75"/>
      <c r="N4084" s="70"/>
      <c r="O4084" s="77" t="s">
        <v>179</v>
      </c>
      <c r="P4084" s="79">
        <v>45106.485983796294</v>
      </c>
      <c r="Q4084" s="77" t="s">
        <v>5692</v>
      </c>
      <c r="R4084" s="77">
        <v>2516</v>
      </c>
      <c r="S4084" s="77">
        <v>19745</v>
      </c>
      <c r="T4084" s="77">
        <v>3997</v>
      </c>
      <c r="U4084" s="77">
        <v>307</v>
      </c>
      <c r="V4084" s="77">
        <v>1294740</v>
      </c>
      <c r="W4084" s="77"/>
      <c r="X4084" s="77"/>
      <c r="Y4084" s="77"/>
      <c r="Z4084" s="77"/>
      <c r="AA4084" s="77"/>
      <c r="AB4084" s="77"/>
      <c r="AC4084" s="80" t="s">
        <v>10541</v>
      </c>
      <c r="AD4084" s="77" t="s">
        <v>10617</v>
      </c>
      <c r="AE4084" s="83" t="str">
        <f>HYPERLINK("https://twitter.com/lulaoficial/status/1674382157442154502")</f>
        <v>https://twitter.com/lulaoficial/status/1674382157442154502</v>
      </c>
      <c r="AF4084" s="79">
        <v>45106.485983796294</v>
      </c>
      <c r="AG4084" s="85">
        <v>45106</v>
      </c>
      <c r="AH4084" s="80" t="s">
        <v>14174</v>
      </c>
      <c r="AI4084" s="77"/>
      <c r="AJ4084" s="77"/>
      <c r="AK4084" s="77"/>
      <c r="AL4084" s="77"/>
      <c r="AM4084" s="77"/>
      <c r="AN4084" s="77"/>
      <c r="AO4084" s="77"/>
      <c r="AP4084" s="77"/>
      <c r="AQ4084" s="77"/>
      <c r="AR4084" s="77"/>
      <c r="AS4084" s="77"/>
      <c r="AT4084" s="77"/>
      <c r="AU4084" s="77"/>
      <c r="AV4084" s="83" t="str">
        <f>HYPERLINK("https://pbs.twimg.com/profile_images/1630217574100213762/SAMK-BnB_normal.jpg")</f>
        <v>https://pbs.twimg.com/profile_images/1630217574100213762/SAMK-BnB_normal.jpg</v>
      </c>
      <c r="AW4084" s="80" t="s">
        <v>19760</v>
      </c>
      <c r="AX4084" s="80" t="s">
        <v>19760</v>
      </c>
      <c r="AY4084" s="77"/>
      <c r="AZ4084" s="80" t="s">
        <v>20380</v>
      </c>
      <c r="BA4084" s="80" t="s">
        <v>20380</v>
      </c>
      <c r="BB4084" s="80" t="s">
        <v>20380</v>
      </c>
      <c r="BC4084" s="80" t="s">
        <v>19760</v>
      </c>
      <c r="BD4084" s="77">
        <v>2670726740</v>
      </c>
      <c r="BE4084" s="77"/>
      <c r="BF4084" s="77"/>
      <c r="BG4084" s="77"/>
      <c r="BH4084" s="77"/>
      <c r="BI4084" s="77"/>
    </row>
    <row r="4085" spans="1:61" x14ac:dyDescent="0.25">
      <c r="A4085" s="62" t="s">
        <v>1625</v>
      </c>
      <c r="B4085" s="62" t="s">
        <v>1624</v>
      </c>
      <c r="C4085" s="63"/>
      <c r="D4085" s="64"/>
      <c r="E4085" s="65"/>
      <c r="F4085" s="66"/>
      <c r="G4085" s="63"/>
      <c r="H4085" s="67"/>
      <c r="I4085" s="68"/>
      <c r="J4085" s="68"/>
      <c r="K4085" s="32"/>
      <c r="L4085" s="75">
        <v>4085</v>
      </c>
      <c r="M4085" s="75"/>
      <c r="N4085" s="70"/>
      <c r="O4085" s="77" t="s">
        <v>2084</v>
      </c>
      <c r="P4085" s="79">
        <v>45084.777002314811</v>
      </c>
      <c r="Q4085" s="77" t="s">
        <v>5693</v>
      </c>
      <c r="R4085" s="77">
        <v>0</v>
      </c>
      <c r="S4085" s="77">
        <v>0</v>
      </c>
      <c r="T4085" s="77">
        <v>0</v>
      </c>
      <c r="U4085" s="77">
        <v>0</v>
      </c>
      <c r="V4085" s="77">
        <v>3</v>
      </c>
      <c r="W4085" s="80" t="s">
        <v>5884</v>
      </c>
      <c r="X4085" s="77"/>
      <c r="Y4085" s="77"/>
      <c r="Z4085" s="77" t="s">
        <v>1624</v>
      </c>
      <c r="AA4085" s="77"/>
      <c r="AB4085" s="77"/>
      <c r="AC4085" s="80" t="s">
        <v>10540</v>
      </c>
      <c r="AD4085" s="77" t="s">
        <v>10617</v>
      </c>
      <c r="AE4085" s="83" t="str">
        <f>HYPERLINK("https://twitter.com/figueiredoleo57/status/1666515085311746065")</f>
        <v>https://twitter.com/figueiredoleo57/status/1666515085311746065</v>
      </c>
      <c r="AF4085" s="79">
        <v>45084.777002314811</v>
      </c>
      <c r="AG4085" s="85">
        <v>45084</v>
      </c>
      <c r="AH4085" s="80" t="s">
        <v>14175</v>
      </c>
      <c r="AI4085" s="77"/>
      <c r="AJ4085" s="77"/>
      <c r="AK4085" s="77"/>
      <c r="AL4085" s="77"/>
      <c r="AM4085" s="77"/>
      <c r="AN4085" s="77"/>
      <c r="AO4085" s="77"/>
      <c r="AP4085" s="77"/>
      <c r="AQ4085" s="77"/>
      <c r="AR4085" s="77"/>
      <c r="AS4085" s="77"/>
      <c r="AT4085" s="77"/>
      <c r="AU4085" s="77"/>
      <c r="AV4085" s="83" t="str">
        <f>HYPERLINK("https://pbs.twimg.com/profile_images/1670761263276740609/IsQ0nASY_normal.jpg")</f>
        <v>https://pbs.twimg.com/profile_images/1670761263276740609/IsQ0nASY_normal.jpg</v>
      </c>
      <c r="AW4085" s="80" t="s">
        <v>19761</v>
      </c>
      <c r="AX4085" s="80" t="s">
        <v>19761</v>
      </c>
      <c r="AY4085" s="77"/>
      <c r="AZ4085" s="80" t="s">
        <v>20380</v>
      </c>
      <c r="BA4085" s="80" t="s">
        <v>19763</v>
      </c>
      <c r="BB4085" s="80" t="s">
        <v>20380</v>
      </c>
      <c r="BC4085" s="80" t="s">
        <v>19763</v>
      </c>
      <c r="BD4085" s="80" t="s">
        <v>21173</v>
      </c>
      <c r="BE4085" s="77"/>
      <c r="BF4085" s="77"/>
      <c r="BG4085" s="77"/>
      <c r="BH4085" s="77"/>
      <c r="BI4085" s="77"/>
    </row>
    <row r="4086" spans="1:61" x14ac:dyDescent="0.25">
      <c r="A4086" s="62" t="s">
        <v>1626</v>
      </c>
      <c r="B4086" s="62" t="s">
        <v>1626</v>
      </c>
      <c r="C4086" s="63"/>
      <c r="D4086" s="64"/>
      <c r="E4086" s="65"/>
      <c r="F4086" s="66"/>
      <c r="G4086" s="63"/>
      <c r="H4086" s="67"/>
      <c r="I4086" s="68"/>
      <c r="J4086" s="68"/>
      <c r="K4086" s="32"/>
      <c r="L4086" s="75">
        <v>4086</v>
      </c>
      <c r="M4086" s="75"/>
      <c r="N4086" s="70"/>
      <c r="O4086" s="77" t="s">
        <v>179</v>
      </c>
      <c r="P4086" s="79">
        <v>45099.375775462962</v>
      </c>
      <c r="Q4086" s="77" t="s">
        <v>5694</v>
      </c>
      <c r="R4086" s="77">
        <v>1213</v>
      </c>
      <c r="S4086" s="77">
        <v>9522</v>
      </c>
      <c r="T4086" s="77">
        <v>500</v>
      </c>
      <c r="U4086" s="77">
        <v>125</v>
      </c>
      <c r="V4086" s="77">
        <v>270192</v>
      </c>
      <c r="W4086" s="77"/>
      <c r="X4086" s="83" t="str">
        <f>HYPERLINK("https://www.brasil247.com/economia/miriam-leitao-detona-campos-neto-e-diz-que-o-brasil-hoje-tem-um-negacionista-no-banco-central")</f>
        <v>https://www.brasil247.com/economia/miriam-leitao-detona-campos-neto-e-diz-que-o-brasil-hoje-tem-um-negacionista-no-banco-central</v>
      </c>
      <c r="Y4086" s="77" t="s">
        <v>8648</v>
      </c>
      <c r="Z4086" s="77"/>
      <c r="AA4086" s="77"/>
      <c r="AB4086" s="77"/>
      <c r="AC4086" s="80" t="s">
        <v>10541</v>
      </c>
      <c r="AD4086" s="77" t="s">
        <v>10617</v>
      </c>
      <c r="AE4086" s="83" t="str">
        <f>HYPERLINK("https://twitter.com/brasil247/status/1671805503804932097")</f>
        <v>https://twitter.com/brasil247/status/1671805503804932097</v>
      </c>
      <c r="AF4086" s="79">
        <v>45099.375775462962</v>
      </c>
      <c r="AG4086" s="85">
        <v>45099</v>
      </c>
      <c r="AH4086" s="80" t="s">
        <v>14176</v>
      </c>
      <c r="AI4086" s="77" t="b">
        <v>0</v>
      </c>
      <c r="AJ4086" s="77"/>
      <c r="AK4086" s="77"/>
      <c r="AL4086" s="77"/>
      <c r="AM4086" s="77"/>
      <c r="AN4086" s="77"/>
      <c r="AO4086" s="77"/>
      <c r="AP4086" s="77"/>
      <c r="AQ4086" s="77"/>
      <c r="AR4086" s="77"/>
      <c r="AS4086" s="77"/>
      <c r="AT4086" s="77"/>
      <c r="AU4086" s="77"/>
      <c r="AV4086" s="83" t="str">
        <f>HYPERLINK("https://pbs.twimg.com/profile_images/1274756492344856578/vk0smlDr_normal.jpg")</f>
        <v>https://pbs.twimg.com/profile_images/1274756492344856578/vk0smlDr_normal.jpg</v>
      </c>
      <c r="AW4086" s="80" t="s">
        <v>19762</v>
      </c>
      <c r="AX4086" s="80" t="s">
        <v>19762</v>
      </c>
      <c r="AY4086" s="77"/>
      <c r="AZ4086" s="80" t="s">
        <v>20380</v>
      </c>
      <c r="BA4086" s="80" t="s">
        <v>20380</v>
      </c>
      <c r="BB4086" s="80" t="s">
        <v>20380</v>
      </c>
      <c r="BC4086" s="80" t="s">
        <v>19762</v>
      </c>
      <c r="BD4086" s="77">
        <v>248890506</v>
      </c>
      <c r="BE4086" s="77"/>
      <c r="BF4086" s="77"/>
      <c r="BG4086" s="77"/>
      <c r="BH4086" s="77"/>
      <c r="BI4086" s="77"/>
    </row>
    <row r="4087" spans="1:61" x14ac:dyDescent="0.25">
      <c r="A4087" s="62" t="s">
        <v>1626</v>
      </c>
      <c r="B4087" s="62" t="s">
        <v>1626</v>
      </c>
      <c r="C4087" s="63"/>
      <c r="D4087" s="64"/>
      <c r="E4087" s="65"/>
      <c r="F4087" s="66"/>
      <c r="G4087" s="63"/>
      <c r="H4087" s="67"/>
      <c r="I4087" s="68"/>
      <c r="J4087" s="68"/>
      <c r="K4087" s="32"/>
      <c r="L4087" s="75">
        <v>4087</v>
      </c>
      <c r="M4087" s="75"/>
      <c r="N4087" s="70"/>
      <c r="O4087" s="77" t="s">
        <v>179</v>
      </c>
      <c r="P4087" s="79">
        <v>45084.507118055553</v>
      </c>
      <c r="Q4087" s="77" t="s">
        <v>5695</v>
      </c>
      <c r="R4087" s="77">
        <v>444</v>
      </c>
      <c r="S4087" s="77">
        <v>2663</v>
      </c>
      <c r="T4087" s="77">
        <v>77</v>
      </c>
      <c r="U4087" s="77">
        <v>23</v>
      </c>
      <c r="V4087" s="77">
        <v>32007</v>
      </c>
      <c r="W4087" s="77"/>
      <c r="X4087" s="83" t="str">
        <f>HYPERLINK("https://www.brasil247.com/economia/inflacao-desacelera-para-0-23-em-maio-e-chega-a-3-94-em-12-meses-queda-aumenta-pressao-por-corte-nos-juros")</f>
        <v>https://www.brasil247.com/economia/inflacao-desacelera-para-0-23-em-maio-e-chega-a-3-94-em-12-meses-queda-aumenta-pressao-por-corte-nos-juros</v>
      </c>
      <c r="Y4087" s="77" t="s">
        <v>8648</v>
      </c>
      <c r="Z4087" s="77"/>
      <c r="AA4087" s="77"/>
      <c r="AB4087" s="77"/>
      <c r="AC4087" s="80" t="s">
        <v>10555</v>
      </c>
      <c r="AD4087" s="77" t="s">
        <v>10617</v>
      </c>
      <c r="AE4087" s="83" t="str">
        <f>HYPERLINK("https://twitter.com/brasil247/status/1666417283973906433")</f>
        <v>https://twitter.com/brasil247/status/1666417283973906433</v>
      </c>
      <c r="AF4087" s="79">
        <v>45084.507118055553</v>
      </c>
      <c r="AG4087" s="85">
        <v>45084</v>
      </c>
      <c r="AH4087" s="80" t="s">
        <v>14177</v>
      </c>
      <c r="AI4087" s="77" t="b">
        <v>0</v>
      </c>
      <c r="AJ4087" s="77"/>
      <c r="AK4087" s="77"/>
      <c r="AL4087" s="77"/>
      <c r="AM4087" s="77"/>
      <c r="AN4087" s="77"/>
      <c r="AO4087" s="77"/>
      <c r="AP4087" s="77"/>
      <c r="AQ4087" s="77"/>
      <c r="AR4087" s="77"/>
      <c r="AS4087" s="77"/>
      <c r="AT4087" s="77"/>
      <c r="AU4087" s="77"/>
      <c r="AV4087" s="83" t="str">
        <f>HYPERLINK("https://pbs.twimg.com/profile_images/1274756492344856578/vk0smlDr_normal.jpg")</f>
        <v>https://pbs.twimg.com/profile_images/1274756492344856578/vk0smlDr_normal.jpg</v>
      </c>
      <c r="AW4087" s="80" t="s">
        <v>19763</v>
      </c>
      <c r="AX4087" s="80" t="s">
        <v>19763</v>
      </c>
      <c r="AY4087" s="77"/>
      <c r="AZ4087" s="80" t="s">
        <v>20380</v>
      </c>
      <c r="BA4087" s="80" t="s">
        <v>20380</v>
      </c>
      <c r="BB4087" s="80" t="s">
        <v>20380</v>
      </c>
      <c r="BC4087" s="80" t="s">
        <v>19763</v>
      </c>
      <c r="BD4087" s="77">
        <v>248890506</v>
      </c>
      <c r="BE4087" s="77"/>
      <c r="BF4087" s="77"/>
      <c r="BG4087" s="77"/>
      <c r="BH4087" s="77"/>
      <c r="BI4087" s="77"/>
    </row>
    <row r="4088" spans="1:61" x14ac:dyDescent="0.25">
      <c r="A4088" s="62" t="s">
        <v>1626</v>
      </c>
      <c r="B4088" s="62" t="s">
        <v>1626</v>
      </c>
      <c r="C4088" s="63"/>
      <c r="D4088" s="64"/>
      <c r="E4088" s="65"/>
      <c r="F4088" s="66"/>
      <c r="G4088" s="63"/>
      <c r="H4088" s="67"/>
      <c r="I4088" s="68"/>
      <c r="J4088" s="68"/>
      <c r="K4088" s="32"/>
      <c r="L4088" s="75">
        <v>4088</v>
      </c>
      <c r="M4088" s="75"/>
      <c r="N4088" s="70"/>
      <c r="O4088" s="77" t="s">
        <v>179</v>
      </c>
      <c r="P4088" s="79">
        <v>45127.900497685187</v>
      </c>
      <c r="Q4088" s="77" t="s">
        <v>5696</v>
      </c>
      <c r="R4088" s="77">
        <v>351</v>
      </c>
      <c r="S4088" s="77">
        <v>849</v>
      </c>
      <c r="T4088" s="77">
        <v>170</v>
      </c>
      <c r="U4088" s="77">
        <v>46</v>
      </c>
      <c r="V4088" s="77">
        <v>20902</v>
      </c>
      <c r="W4088" s="77"/>
      <c r="X4088" s="83" t="str">
        <f>HYPERLINK("https://www.brasil247.com/economia/nova-sabotagem-campos-neto-da-entrevista-a-blackrock-e-diz-que-estuda-terceirizar-a-gestao-de-ativos-do-brasil")</f>
        <v>https://www.brasil247.com/economia/nova-sabotagem-campos-neto-da-entrevista-a-blackrock-e-diz-que-estuda-terceirizar-a-gestao-de-ativos-do-brasil</v>
      </c>
      <c r="Y4088" s="77" t="s">
        <v>8648</v>
      </c>
      <c r="Z4088" s="77"/>
      <c r="AA4088" s="77"/>
      <c r="AB4088" s="77"/>
      <c r="AC4088" s="80" t="s">
        <v>10541</v>
      </c>
      <c r="AD4088" s="77" t="s">
        <v>10617</v>
      </c>
      <c r="AE4088" s="83" t="str">
        <f>HYPERLINK("https://twitter.com/brasil247/status/1682142515720335362")</f>
        <v>https://twitter.com/brasil247/status/1682142515720335362</v>
      </c>
      <c r="AF4088" s="79">
        <v>45127.900497685187</v>
      </c>
      <c r="AG4088" s="85">
        <v>45127</v>
      </c>
      <c r="AH4088" s="80" t="s">
        <v>14178</v>
      </c>
      <c r="AI4088" s="77" t="b">
        <v>0</v>
      </c>
      <c r="AJ4088" s="77"/>
      <c r="AK4088" s="77"/>
      <c r="AL4088" s="77"/>
      <c r="AM4088" s="77"/>
      <c r="AN4088" s="77"/>
      <c r="AO4088" s="77"/>
      <c r="AP4088" s="77"/>
      <c r="AQ4088" s="77"/>
      <c r="AR4088" s="77"/>
      <c r="AS4088" s="77"/>
      <c r="AT4088" s="77"/>
      <c r="AU4088" s="77"/>
      <c r="AV4088" s="83" t="str">
        <f>HYPERLINK("https://pbs.twimg.com/profile_images/1274756492344856578/vk0smlDr_normal.jpg")</f>
        <v>https://pbs.twimg.com/profile_images/1274756492344856578/vk0smlDr_normal.jpg</v>
      </c>
      <c r="AW4088" s="80" t="s">
        <v>19764</v>
      </c>
      <c r="AX4088" s="80" t="s">
        <v>19764</v>
      </c>
      <c r="AY4088" s="77"/>
      <c r="AZ4088" s="80" t="s">
        <v>20380</v>
      </c>
      <c r="BA4088" s="80" t="s">
        <v>20380</v>
      </c>
      <c r="BB4088" s="80" t="s">
        <v>20380</v>
      </c>
      <c r="BC4088" s="80" t="s">
        <v>19764</v>
      </c>
      <c r="BD4088" s="77">
        <v>248890506</v>
      </c>
      <c r="BE4088" s="77"/>
      <c r="BF4088" s="77"/>
      <c r="BG4088" s="77"/>
      <c r="BH4088" s="77"/>
      <c r="BI4088" s="77"/>
    </row>
    <row r="4089" spans="1:61" x14ac:dyDescent="0.25">
      <c r="A4089" s="62" t="s">
        <v>1625</v>
      </c>
      <c r="B4089" s="62" t="s">
        <v>1626</v>
      </c>
      <c r="C4089" s="63"/>
      <c r="D4089" s="64"/>
      <c r="E4089" s="65"/>
      <c r="F4089" s="66"/>
      <c r="G4089" s="63"/>
      <c r="H4089" s="67"/>
      <c r="I4089" s="68"/>
      <c r="J4089" s="68"/>
      <c r="K4089" s="32"/>
      <c r="L4089" s="75">
        <v>4089</v>
      </c>
      <c r="M4089" s="75"/>
      <c r="N4089" s="70"/>
      <c r="O4089" s="77" t="s">
        <v>2082</v>
      </c>
      <c r="P4089" s="79">
        <v>45084.777002314811</v>
      </c>
      <c r="Q4089" s="77" t="s">
        <v>5693</v>
      </c>
      <c r="R4089" s="77">
        <v>0</v>
      </c>
      <c r="S4089" s="77">
        <v>0</v>
      </c>
      <c r="T4089" s="77">
        <v>0</v>
      </c>
      <c r="U4089" s="77">
        <v>0</v>
      </c>
      <c r="V4089" s="77">
        <v>3</v>
      </c>
      <c r="W4089" s="80" t="s">
        <v>5884</v>
      </c>
      <c r="X4089" s="77"/>
      <c r="Y4089" s="77"/>
      <c r="Z4089" s="77" t="s">
        <v>1624</v>
      </c>
      <c r="AA4089" s="77"/>
      <c r="AB4089" s="77"/>
      <c r="AC4089" s="80" t="s">
        <v>10540</v>
      </c>
      <c r="AD4089" s="77" t="s">
        <v>10617</v>
      </c>
      <c r="AE4089" s="83" t="str">
        <f>HYPERLINK("https://twitter.com/figueiredoleo57/status/1666515085311746065")</f>
        <v>https://twitter.com/figueiredoleo57/status/1666515085311746065</v>
      </c>
      <c r="AF4089" s="79">
        <v>45084.777002314811</v>
      </c>
      <c r="AG4089" s="85">
        <v>45084</v>
      </c>
      <c r="AH4089" s="80" t="s">
        <v>14175</v>
      </c>
      <c r="AI4089" s="77"/>
      <c r="AJ4089" s="77"/>
      <c r="AK4089" s="77"/>
      <c r="AL4089" s="77"/>
      <c r="AM4089" s="77"/>
      <c r="AN4089" s="77"/>
      <c r="AO4089" s="77"/>
      <c r="AP4089" s="77"/>
      <c r="AQ4089" s="77"/>
      <c r="AR4089" s="77"/>
      <c r="AS4089" s="77"/>
      <c r="AT4089" s="77"/>
      <c r="AU4089" s="77"/>
      <c r="AV4089" s="83" t="str">
        <f>HYPERLINK("https://pbs.twimg.com/profile_images/1670761263276740609/IsQ0nASY_normal.jpg")</f>
        <v>https://pbs.twimg.com/profile_images/1670761263276740609/IsQ0nASY_normal.jpg</v>
      </c>
      <c r="AW4089" s="80" t="s">
        <v>19761</v>
      </c>
      <c r="AX4089" s="80" t="s">
        <v>19761</v>
      </c>
      <c r="AY4089" s="77"/>
      <c r="AZ4089" s="80" t="s">
        <v>20380</v>
      </c>
      <c r="BA4089" s="80" t="s">
        <v>19763</v>
      </c>
      <c r="BB4089" s="80" t="s">
        <v>20380</v>
      </c>
      <c r="BC4089" s="80" t="s">
        <v>19763</v>
      </c>
      <c r="BD4089" s="80" t="s">
        <v>21173</v>
      </c>
      <c r="BE4089" s="77"/>
      <c r="BF4089" s="77"/>
      <c r="BG4089" s="77"/>
      <c r="BH4089" s="77"/>
      <c r="BI4089" s="77"/>
    </row>
    <row r="4090" spans="1:61" x14ac:dyDescent="0.25">
      <c r="A4090" s="62" t="s">
        <v>1627</v>
      </c>
      <c r="B4090" s="62" t="s">
        <v>1627</v>
      </c>
      <c r="C4090" s="63"/>
      <c r="D4090" s="64"/>
      <c r="E4090" s="65"/>
      <c r="F4090" s="66"/>
      <c r="G4090" s="63"/>
      <c r="H4090" s="67"/>
      <c r="I4090" s="68"/>
      <c r="J4090" s="68"/>
      <c r="K4090" s="32"/>
      <c r="L4090" s="75">
        <v>4090</v>
      </c>
      <c r="M4090" s="75"/>
      <c r="N4090" s="70"/>
      <c r="O4090" s="77" t="s">
        <v>179</v>
      </c>
      <c r="P4090" s="79">
        <v>45121.864166666666</v>
      </c>
      <c r="Q4090" s="77" t="s">
        <v>5697</v>
      </c>
      <c r="R4090" s="77">
        <v>0</v>
      </c>
      <c r="S4090" s="77">
        <v>0</v>
      </c>
      <c r="T4090" s="77">
        <v>0</v>
      </c>
      <c r="U4090" s="77">
        <v>0</v>
      </c>
      <c r="V4090" s="77">
        <v>153</v>
      </c>
      <c r="W4090" s="80" t="s">
        <v>8462</v>
      </c>
      <c r="X4090" s="83" t="str">
        <f>HYPERLINK("http://puntal.com.ar")</f>
        <v>http://puntal.com.ar</v>
      </c>
      <c r="Y4090" s="77" t="s">
        <v>8624</v>
      </c>
      <c r="Z4090" s="77"/>
      <c r="AA4090" s="77" t="s">
        <v>10435</v>
      </c>
      <c r="AB4090" s="77" t="s">
        <v>10535</v>
      </c>
      <c r="AC4090" s="80" t="s">
        <v>10541</v>
      </c>
      <c r="AD4090" s="77" t="s">
        <v>10620</v>
      </c>
      <c r="AE4090" s="83" t="str">
        <f>HYPERLINK("https://twitter.com/diariopuntal/status/1679955025265672193")</f>
        <v>https://twitter.com/diariopuntal/status/1679955025265672193</v>
      </c>
      <c r="AF4090" s="79">
        <v>45121.864166666666</v>
      </c>
      <c r="AG4090" s="85">
        <v>45121</v>
      </c>
      <c r="AH4090" s="80" t="s">
        <v>14179</v>
      </c>
      <c r="AI4090" s="77" t="b">
        <v>0</v>
      </c>
      <c r="AJ4090" s="77"/>
      <c r="AK4090" s="77"/>
      <c r="AL4090" s="77"/>
      <c r="AM4090" s="77"/>
      <c r="AN4090" s="77"/>
      <c r="AO4090" s="77"/>
      <c r="AP4090" s="77"/>
      <c r="AQ4090" s="77" t="s">
        <v>15914</v>
      </c>
      <c r="AR4090" s="77"/>
      <c r="AS4090" s="77"/>
      <c r="AT4090" s="77"/>
      <c r="AU4090" s="77"/>
      <c r="AV4090" s="83" t="str">
        <f>HYPERLINK("https://pbs.twimg.com/media/F1BmA89WwAIYC-v.jpg")</f>
        <v>https://pbs.twimg.com/media/F1BmA89WwAIYC-v.jpg</v>
      </c>
      <c r="AW4090" s="80" t="s">
        <v>19765</v>
      </c>
      <c r="AX4090" s="80" t="s">
        <v>19765</v>
      </c>
      <c r="AY4090" s="77"/>
      <c r="AZ4090" s="80" t="s">
        <v>20380</v>
      </c>
      <c r="BA4090" s="80" t="s">
        <v>20380</v>
      </c>
      <c r="BB4090" s="80" t="s">
        <v>20380</v>
      </c>
      <c r="BC4090" s="80" t="s">
        <v>19765</v>
      </c>
      <c r="BD4090" s="77">
        <v>270026399</v>
      </c>
      <c r="BE4090" s="77"/>
      <c r="BF4090" s="77"/>
      <c r="BG4090" s="77"/>
      <c r="BH4090" s="77"/>
      <c r="BI4090" s="77"/>
    </row>
    <row r="4091" spans="1:61" x14ac:dyDescent="0.25">
      <c r="A4091" s="62" t="s">
        <v>1627</v>
      </c>
      <c r="B4091" s="62" t="s">
        <v>1627</v>
      </c>
      <c r="C4091" s="63"/>
      <c r="D4091" s="64"/>
      <c r="E4091" s="65"/>
      <c r="F4091" s="66"/>
      <c r="G4091" s="63"/>
      <c r="H4091" s="67"/>
      <c r="I4091" s="68"/>
      <c r="J4091" s="68"/>
      <c r="K4091" s="32"/>
      <c r="L4091" s="75">
        <v>4091</v>
      </c>
      <c r="M4091" s="75"/>
      <c r="N4091" s="70"/>
      <c r="O4091" s="77" t="s">
        <v>179</v>
      </c>
      <c r="P4091" s="79">
        <v>45115.014398148145</v>
      </c>
      <c r="Q4091" s="77" t="s">
        <v>5698</v>
      </c>
      <c r="R4091" s="77">
        <v>0</v>
      </c>
      <c r="S4091" s="77">
        <v>0</v>
      </c>
      <c r="T4091" s="77">
        <v>0</v>
      </c>
      <c r="U4091" s="77">
        <v>0</v>
      </c>
      <c r="V4091" s="77">
        <v>181</v>
      </c>
      <c r="W4091" s="80" t="s">
        <v>8463</v>
      </c>
      <c r="X4091" s="83" t="str">
        <f>HYPERLINK("http://puntal.com.ar")</f>
        <v>http://puntal.com.ar</v>
      </c>
      <c r="Y4091" s="77" t="s">
        <v>8624</v>
      </c>
      <c r="Z4091" s="77"/>
      <c r="AA4091" s="77" t="s">
        <v>10436</v>
      </c>
      <c r="AB4091" s="77" t="s">
        <v>10535</v>
      </c>
      <c r="AC4091" s="80" t="s">
        <v>10541</v>
      </c>
      <c r="AD4091" s="77" t="s">
        <v>10620</v>
      </c>
      <c r="AE4091" s="83" t="str">
        <f>HYPERLINK("https://twitter.com/diariopuntal/status/1677472752268189698")</f>
        <v>https://twitter.com/diariopuntal/status/1677472752268189698</v>
      </c>
      <c r="AF4091" s="79">
        <v>45115.014398148145</v>
      </c>
      <c r="AG4091" s="85">
        <v>45115</v>
      </c>
      <c r="AH4091" s="80" t="s">
        <v>14024</v>
      </c>
      <c r="AI4091" s="77" t="b">
        <v>0</v>
      </c>
      <c r="AJ4091" s="77"/>
      <c r="AK4091" s="77"/>
      <c r="AL4091" s="77"/>
      <c r="AM4091" s="77"/>
      <c r="AN4091" s="77"/>
      <c r="AO4091" s="77"/>
      <c r="AP4091" s="77"/>
      <c r="AQ4091" s="77" t="s">
        <v>15915</v>
      </c>
      <c r="AR4091" s="77"/>
      <c r="AS4091" s="77"/>
      <c r="AT4091" s="77"/>
      <c r="AU4091" s="77"/>
      <c r="AV4091" s="83" t="str">
        <f>HYPERLINK("https://pbs.twimg.com/media/F0eUV7eWcAQcB3n.jpg")</f>
        <v>https://pbs.twimg.com/media/F0eUV7eWcAQcB3n.jpg</v>
      </c>
      <c r="AW4091" s="80" t="s">
        <v>19766</v>
      </c>
      <c r="AX4091" s="80" t="s">
        <v>19766</v>
      </c>
      <c r="AY4091" s="77"/>
      <c r="AZ4091" s="80" t="s">
        <v>20380</v>
      </c>
      <c r="BA4091" s="80" t="s">
        <v>20380</v>
      </c>
      <c r="BB4091" s="80" t="s">
        <v>20380</v>
      </c>
      <c r="BC4091" s="80" t="s">
        <v>19766</v>
      </c>
      <c r="BD4091" s="77">
        <v>270026399</v>
      </c>
      <c r="BE4091" s="77"/>
      <c r="BF4091" s="77"/>
      <c r="BG4091" s="77"/>
      <c r="BH4091" s="77"/>
      <c r="BI4091" s="77"/>
    </row>
    <row r="4092" spans="1:61" x14ac:dyDescent="0.25">
      <c r="A4092" s="62" t="s">
        <v>1627</v>
      </c>
      <c r="B4092" s="62" t="s">
        <v>1627</v>
      </c>
      <c r="C4092" s="63"/>
      <c r="D4092" s="64"/>
      <c r="E4092" s="65"/>
      <c r="F4092" s="66"/>
      <c r="G4092" s="63"/>
      <c r="H4092" s="67"/>
      <c r="I4092" s="68"/>
      <c r="J4092" s="68"/>
      <c r="K4092" s="32"/>
      <c r="L4092" s="75">
        <v>4092</v>
      </c>
      <c r="M4092" s="75"/>
      <c r="N4092" s="70"/>
      <c r="O4092" s="77" t="s">
        <v>179</v>
      </c>
      <c r="P4092" s="79">
        <v>45080.988298611112</v>
      </c>
      <c r="Q4092" s="77" t="s">
        <v>5699</v>
      </c>
      <c r="R4092" s="77">
        <v>0</v>
      </c>
      <c r="S4092" s="77">
        <v>0</v>
      </c>
      <c r="T4092" s="77">
        <v>0</v>
      </c>
      <c r="U4092" s="77">
        <v>0</v>
      </c>
      <c r="V4092" s="77">
        <v>298</v>
      </c>
      <c r="W4092" s="80" t="s">
        <v>8464</v>
      </c>
      <c r="X4092" s="83" t="str">
        <f>HYPERLINK("http://puntal.com.ar")</f>
        <v>http://puntal.com.ar</v>
      </c>
      <c r="Y4092" s="77" t="s">
        <v>8624</v>
      </c>
      <c r="Z4092" s="77"/>
      <c r="AA4092" s="77" t="s">
        <v>10437</v>
      </c>
      <c r="AB4092" s="77" t="s">
        <v>10535</v>
      </c>
      <c r="AC4092" s="80" t="s">
        <v>10541</v>
      </c>
      <c r="AD4092" s="77" t="s">
        <v>10620</v>
      </c>
      <c r="AE4092" s="83" t="str">
        <f>HYPERLINK("https://twitter.com/diariopuntal/status/1665142106468368384")</f>
        <v>https://twitter.com/diariopuntal/status/1665142106468368384</v>
      </c>
      <c r="AF4092" s="79">
        <v>45080.988298611112</v>
      </c>
      <c r="AG4092" s="85">
        <v>45080</v>
      </c>
      <c r="AH4092" s="80" t="s">
        <v>14180</v>
      </c>
      <c r="AI4092" s="77" t="b">
        <v>0</v>
      </c>
      <c r="AJ4092" s="77"/>
      <c r="AK4092" s="77"/>
      <c r="AL4092" s="77"/>
      <c r="AM4092" s="77"/>
      <c r="AN4092" s="77"/>
      <c r="AO4092" s="77"/>
      <c r="AP4092" s="77"/>
      <c r="AQ4092" s="77" t="s">
        <v>15916</v>
      </c>
      <c r="AR4092" s="77"/>
      <c r="AS4092" s="77"/>
      <c r="AT4092" s="77"/>
      <c r="AU4092" s="77"/>
      <c r="AV4092" s="83" t="str">
        <f>HYPERLINK("https://pbs.twimg.com/media/FxvF5xNXwAMdyEQ.jpg")</f>
        <v>https://pbs.twimg.com/media/FxvF5xNXwAMdyEQ.jpg</v>
      </c>
      <c r="AW4092" s="80" t="s">
        <v>19767</v>
      </c>
      <c r="AX4092" s="80" t="s">
        <v>19767</v>
      </c>
      <c r="AY4092" s="77"/>
      <c r="AZ4092" s="80" t="s">
        <v>20380</v>
      </c>
      <c r="BA4092" s="80" t="s">
        <v>20380</v>
      </c>
      <c r="BB4092" s="80" t="s">
        <v>20380</v>
      </c>
      <c r="BC4092" s="80" t="s">
        <v>19767</v>
      </c>
      <c r="BD4092" s="77">
        <v>270026399</v>
      </c>
      <c r="BE4092" s="77"/>
      <c r="BF4092" s="77"/>
      <c r="BG4092" s="77"/>
      <c r="BH4092" s="77"/>
      <c r="BI4092" s="77"/>
    </row>
    <row r="4093" spans="1:61" x14ac:dyDescent="0.25">
      <c r="A4093" s="62" t="s">
        <v>1627</v>
      </c>
      <c r="B4093" s="62" t="s">
        <v>1627</v>
      </c>
      <c r="C4093" s="63"/>
      <c r="D4093" s="64"/>
      <c r="E4093" s="65"/>
      <c r="F4093" s="66"/>
      <c r="G4093" s="63"/>
      <c r="H4093" s="67"/>
      <c r="I4093" s="68"/>
      <c r="J4093" s="68"/>
      <c r="K4093" s="32"/>
      <c r="L4093" s="75">
        <v>4093</v>
      </c>
      <c r="M4093" s="75"/>
      <c r="N4093" s="70"/>
      <c r="O4093" s="77" t="s">
        <v>179</v>
      </c>
      <c r="P4093" s="79">
        <v>45152.609537037039</v>
      </c>
      <c r="Q4093" s="77" t="s">
        <v>5700</v>
      </c>
      <c r="R4093" s="77">
        <v>1</v>
      </c>
      <c r="S4093" s="77">
        <v>1</v>
      </c>
      <c r="T4093" s="77">
        <v>0</v>
      </c>
      <c r="U4093" s="77">
        <v>0</v>
      </c>
      <c r="V4093" s="77">
        <v>626</v>
      </c>
      <c r="W4093" s="80" t="s">
        <v>8465</v>
      </c>
      <c r="X4093" s="83" t="str">
        <f>HYPERLINK("http://puntal.com.ar")</f>
        <v>http://puntal.com.ar</v>
      </c>
      <c r="Y4093" s="77" t="s">
        <v>8624</v>
      </c>
      <c r="Z4093" s="77"/>
      <c r="AA4093" s="77" t="s">
        <v>10438</v>
      </c>
      <c r="AB4093" s="77" t="s">
        <v>10535</v>
      </c>
      <c r="AC4093" s="80" t="s">
        <v>10541</v>
      </c>
      <c r="AD4093" s="77" t="s">
        <v>10620</v>
      </c>
      <c r="AE4093" s="83" t="str">
        <f>HYPERLINK("https://twitter.com/diariopuntal/status/1691096774621151234")</f>
        <v>https://twitter.com/diariopuntal/status/1691096774621151234</v>
      </c>
      <c r="AF4093" s="79">
        <v>45152.609537037039</v>
      </c>
      <c r="AG4093" s="85">
        <v>45152</v>
      </c>
      <c r="AH4093" s="80" t="s">
        <v>14181</v>
      </c>
      <c r="AI4093" s="77" t="b">
        <v>0</v>
      </c>
      <c r="AJ4093" s="77"/>
      <c r="AK4093" s="77"/>
      <c r="AL4093" s="77"/>
      <c r="AM4093" s="77"/>
      <c r="AN4093" s="77"/>
      <c r="AO4093" s="77"/>
      <c r="AP4093" s="77"/>
      <c r="AQ4093" s="77" t="s">
        <v>15917</v>
      </c>
      <c r="AR4093" s="77"/>
      <c r="AS4093" s="77"/>
      <c r="AT4093" s="77"/>
      <c r="AU4093" s="77"/>
      <c r="AV4093" s="83" t="str">
        <f>HYPERLINK("https://pbs.twimg.com/media/F3f7jKkWMAANjKl.jpg")</f>
        <v>https://pbs.twimg.com/media/F3f7jKkWMAANjKl.jpg</v>
      </c>
      <c r="AW4093" s="80" t="s">
        <v>19768</v>
      </c>
      <c r="AX4093" s="80" t="s">
        <v>19768</v>
      </c>
      <c r="AY4093" s="77"/>
      <c r="AZ4093" s="80" t="s">
        <v>20380</v>
      </c>
      <c r="BA4093" s="80" t="s">
        <v>20380</v>
      </c>
      <c r="BB4093" s="80" t="s">
        <v>20380</v>
      </c>
      <c r="BC4093" s="80" t="s">
        <v>19768</v>
      </c>
      <c r="BD4093" s="77">
        <v>270026399</v>
      </c>
      <c r="BE4093" s="77"/>
      <c r="BF4093" s="77"/>
      <c r="BG4093" s="77"/>
      <c r="BH4093" s="77"/>
      <c r="BI4093" s="77"/>
    </row>
    <row r="4094" spans="1:61" x14ac:dyDescent="0.25">
      <c r="A4094" s="62" t="s">
        <v>1627</v>
      </c>
      <c r="B4094" s="62" t="s">
        <v>1627</v>
      </c>
      <c r="C4094" s="63"/>
      <c r="D4094" s="64"/>
      <c r="E4094" s="65"/>
      <c r="F4094" s="66"/>
      <c r="G4094" s="63"/>
      <c r="H4094" s="67"/>
      <c r="I4094" s="68"/>
      <c r="J4094" s="68"/>
      <c r="K4094" s="32"/>
      <c r="L4094" s="75">
        <v>4094</v>
      </c>
      <c r="M4094" s="75"/>
      <c r="N4094" s="70"/>
      <c r="O4094" s="77" t="s">
        <v>179</v>
      </c>
      <c r="P4094" s="79">
        <v>45156.951296296298</v>
      </c>
      <c r="Q4094" s="77" t="s">
        <v>5701</v>
      </c>
      <c r="R4094" s="77">
        <v>0</v>
      </c>
      <c r="S4094" s="77">
        <v>0</v>
      </c>
      <c r="T4094" s="77">
        <v>0</v>
      </c>
      <c r="U4094" s="77">
        <v>0</v>
      </c>
      <c r="V4094" s="77">
        <v>186</v>
      </c>
      <c r="W4094" s="80" t="s">
        <v>8466</v>
      </c>
      <c r="X4094" s="83" t="str">
        <f>HYPERLINK("http://puntal.com.ar")</f>
        <v>http://puntal.com.ar</v>
      </c>
      <c r="Y4094" s="77" t="s">
        <v>8624</v>
      </c>
      <c r="Z4094" s="77"/>
      <c r="AA4094" s="77" t="s">
        <v>10439</v>
      </c>
      <c r="AB4094" s="77" t="s">
        <v>10535</v>
      </c>
      <c r="AC4094" s="80" t="s">
        <v>10541</v>
      </c>
      <c r="AD4094" s="77" t="s">
        <v>10620</v>
      </c>
      <c r="AE4094" s="83" t="str">
        <f>HYPERLINK("https://twitter.com/diariopuntal/status/1692670172287439328")</f>
        <v>https://twitter.com/diariopuntal/status/1692670172287439328</v>
      </c>
      <c r="AF4094" s="79">
        <v>45156.951296296298</v>
      </c>
      <c r="AG4094" s="85">
        <v>45156</v>
      </c>
      <c r="AH4094" s="80" t="s">
        <v>14182</v>
      </c>
      <c r="AI4094" s="77" t="b">
        <v>0</v>
      </c>
      <c r="AJ4094" s="77"/>
      <c r="AK4094" s="77"/>
      <c r="AL4094" s="77"/>
      <c r="AM4094" s="77"/>
      <c r="AN4094" s="77"/>
      <c r="AO4094" s="77"/>
      <c r="AP4094" s="77"/>
      <c r="AQ4094" s="77" t="s">
        <v>15918</v>
      </c>
      <c r="AR4094" s="77"/>
      <c r="AS4094" s="77"/>
      <c r="AT4094" s="77"/>
      <c r="AU4094" s="77"/>
      <c r="AV4094" s="83" t="str">
        <f>HYPERLINK("https://pbs.twimg.com/media/F32SHibWcAEK05r.jpg")</f>
        <v>https://pbs.twimg.com/media/F32SHibWcAEK05r.jpg</v>
      </c>
      <c r="AW4094" s="80" t="s">
        <v>19769</v>
      </c>
      <c r="AX4094" s="80" t="s">
        <v>19769</v>
      </c>
      <c r="AY4094" s="77"/>
      <c r="AZ4094" s="80" t="s">
        <v>20380</v>
      </c>
      <c r="BA4094" s="80" t="s">
        <v>20380</v>
      </c>
      <c r="BB4094" s="80" t="s">
        <v>20380</v>
      </c>
      <c r="BC4094" s="80" t="s">
        <v>19769</v>
      </c>
      <c r="BD4094" s="77">
        <v>270026399</v>
      </c>
      <c r="BE4094" s="77"/>
      <c r="BF4094" s="77"/>
      <c r="BG4094" s="77"/>
      <c r="BH4094" s="77"/>
      <c r="BI4094" s="77"/>
    </row>
    <row r="4095" spans="1:61" x14ac:dyDescent="0.25">
      <c r="A4095" s="62" t="s">
        <v>1628</v>
      </c>
      <c r="B4095" s="62" t="s">
        <v>1655</v>
      </c>
      <c r="C4095" s="63"/>
      <c r="D4095" s="64"/>
      <c r="E4095" s="65"/>
      <c r="F4095" s="66"/>
      <c r="G4095" s="63"/>
      <c r="H4095" s="67"/>
      <c r="I4095" s="68"/>
      <c r="J4095" s="68"/>
      <c r="K4095" s="32"/>
      <c r="L4095" s="75">
        <v>4095</v>
      </c>
      <c r="M4095" s="75"/>
      <c r="N4095" s="70"/>
      <c r="O4095" s="77" t="s">
        <v>2083</v>
      </c>
      <c r="P4095" s="79">
        <v>45191.035312499997</v>
      </c>
      <c r="Q4095" s="77" t="s">
        <v>2120</v>
      </c>
      <c r="R4095" s="77">
        <v>57</v>
      </c>
      <c r="S4095" s="77">
        <v>0</v>
      </c>
      <c r="T4095" s="77">
        <v>0</v>
      </c>
      <c r="U4095" s="77">
        <v>0</v>
      </c>
      <c r="V4095" s="77"/>
      <c r="W4095" s="80" t="s">
        <v>5917</v>
      </c>
      <c r="X4095" s="77"/>
      <c r="Y4095" s="77"/>
      <c r="Z4095" s="77" t="s">
        <v>1655</v>
      </c>
      <c r="AA4095" s="77"/>
      <c r="AB4095" s="77"/>
      <c r="AC4095" s="80" t="s">
        <v>10542</v>
      </c>
      <c r="AD4095" s="77" t="s">
        <v>10617</v>
      </c>
      <c r="AE4095" s="83" t="str">
        <f>HYPERLINK("https://twitter.com/lodsl2022/status/1705021807760212401")</f>
        <v>https://twitter.com/lodsl2022/status/1705021807760212401</v>
      </c>
      <c r="AF4095" s="79">
        <v>45191.035312499997</v>
      </c>
      <c r="AG4095" s="85">
        <v>45191</v>
      </c>
      <c r="AH4095" s="80" t="s">
        <v>14183</v>
      </c>
      <c r="AI4095" s="77"/>
      <c r="AJ4095" s="77"/>
      <c r="AK4095" s="77"/>
      <c r="AL4095" s="77"/>
      <c r="AM4095" s="77"/>
      <c r="AN4095" s="77"/>
      <c r="AO4095" s="77"/>
      <c r="AP4095" s="77"/>
      <c r="AQ4095" s="77"/>
      <c r="AR4095" s="77"/>
      <c r="AS4095" s="77"/>
      <c r="AT4095" s="77"/>
      <c r="AU4095" s="77"/>
      <c r="AV4095" s="83" t="str">
        <f>HYPERLINK("https://pbs.twimg.com/profile_images/1659343858591825923/Rx2YRt1R_normal.jpg")</f>
        <v>https://pbs.twimg.com/profile_images/1659343858591825923/Rx2YRt1R_normal.jpg</v>
      </c>
      <c r="AW4095" s="80" t="s">
        <v>19770</v>
      </c>
      <c r="AX4095" s="80" t="s">
        <v>19770</v>
      </c>
      <c r="AY4095" s="77"/>
      <c r="AZ4095" s="80" t="s">
        <v>20380</v>
      </c>
      <c r="BA4095" s="80" t="s">
        <v>20380</v>
      </c>
      <c r="BB4095" s="80" t="s">
        <v>19843</v>
      </c>
      <c r="BC4095" s="80" t="s">
        <v>19843</v>
      </c>
      <c r="BD4095" s="80" t="s">
        <v>21174</v>
      </c>
      <c r="BE4095" s="77"/>
      <c r="BF4095" s="77"/>
      <c r="BG4095" s="77"/>
      <c r="BH4095" s="77"/>
      <c r="BI4095" s="77"/>
    </row>
    <row r="4096" spans="1:61" x14ac:dyDescent="0.25">
      <c r="A4096" s="62" t="s">
        <v>1629</v>
      </c>
      <c r="B4096" s="62" t="s">
        <v>1629</v>
      </c>
      <c r="C4096" s="63"/>
      <c r="D4096" s="64"/>
      <c r="E4096" s="65"/>
      <c r="F4096" s="66"/>
      <c r="G4096" s="63"/>
      <c r="H4096" s="67"/>
      <c r="I4096" s="68"/>
      <c r="J4096" s="68"/>
      <c r="K4096" s="32"/>
      <c r="L4096" s="75">
        <v>4096</v>
      </c>
      <c r="M4096" s="75"/>
      <c r="N4096" s="70"/>
      <c r="O4096" s="77" t="s">
        <v>179</v>
      </c>
      <c r="P4096" s="79">
        <v>45170.033946759257</v>
      </c>
      <c r="Q4096" s="77" t="s">
        <v>5702</v>
      </c>
      <c r="R4096" s="77">
        <v>0</v>
      </c>
      <c r="S4096" s="77">
        <v>0</v>
      </c>
      <c r="T4096" s="77">
        <v>0</v>
      </c>
      <c r="U4096" s="77">
        <v>0</v>
      </c>
      <c r="V4096" s="77">
        <v>17</v>
      </c>
      <c r="W4096" s="80" t="s">
        <v>8467</v>
      </c>
      <c r="X4096" s="83" t="str">
        <f>HYPERLINK("https://www.folhageral.com/?p=20692")</f>
        <v>https://www.folhageral.com/?p=20692</v>
      </c>
      <c r="Y4096" s="77" t="s">
        <v>8885</v>
      </c>
      <c r="Z4096" s="77"/>
      <c r="AA4096" s="77" t="s">
        <v>10440</v>
      </c>
      <c r="AB4096" s="77" t="s">
        <v>10535</v>
      </c>
      <c r="AC4096" s="80" t="s">
        <v>10541</v>
      </c>
      <c r="AD4096" s="77" t="s">
        <v>10617</v>
      </c>
      <c r="AE4096" s="83" t="str">
        <f>HYPERLINK("https://twitter.com/folhageral/status/1697411169550557671")</f>
        <v>https://twitter.com/folhageral/status/1697411169550557671</v>
      </c>
      <c r="AF4096" s="79">
        <v>45170.033946759257</v>
      </c>
      <c r="AG4096" s="85">
        <v>45170</v>
      </c>
      <c r="AH4096" s="80" t="s">
        <v>14184</v>
      </c>
      <c r="AI4096" s="77" t="b">
        <v>0</v>
      </c>
      <c r="AJ4096" s="77"/>
      <c r="AK4096" s="77"/>
      <c r="AL4096" s="77"/>
      <c r="AM4096" s="77"/>
      <c r="AN4096" s="77"/>
      <c r="AO4096" s="77"/>
      <c r="AP4096" s="77"/>
      <c r="AQ4096" s="77" t="s">
        <v>15919</v>
      </c>
      <c r="AR4096" s="77"/>
      <c r="AS4096" s="77"/>
      <c r="AT4096" s="77"/>
      <c r="AU4096" s="77"/>
      <c r="AV4096" s="83" t="str">
        <f>HYPERLINK("https://pbs.twimg.com/media/F45qdM4XUAAkRtf.jpg")</f>
        <v>https://pbs.twimg.com/media/F45qdM4XUAAkRtf.jpg</v>
      </c>
      <c r="AW4096" s="80" t="s">
        <v>19771</v>
      </c>
      <c r="AX4096" s="80" t="s">
        <v>19771</v>
      </c>
      <c r="AY4096" s="77"/>
      <c r="AZ4096" s="80" t="s">
        <v>20380</v>
      </c>
      <c r="BA4096" s="80" t="s">
        <v>20380</v>
      </c>
      <c r="BB4096" s="80" t="s">
        <v>20380</v>
      </c>
      <c r="BC4096" s="80" t="s">
        <v>19771</v>
      </c>
      <c r="BD4096" s="77">
        <v>1599687301</v>
      </c>
      <c r="BE4096" s="77"/>
      <c r="BF4096" s="77"/>
      <c r="BG4096" s="77"/>
      <c r="BH4096" s="77"/>
      <c r="BI4096" s="77"/>
    </row>
    <row r="4097" spans="1:61" x14ac:dyDescent="0.25">
      <c r="A4097" s="62" t="s">
        <v>1630</v>
      </c>
      <c r="B4097" s="62" t="s">
        <v>1630</v>
      </c>
      <c r="C4097" s="63"/>
      <c r="D4097" s="64"/>
      <c r="E4097" s="65"/>
      <c r="F4097" s="66"/>
      <c r="G4097" s="63"/>
      <c r="H4097" s="67"/>
      <c r="I4097" s="68"/>
      <c r="J4097" s="68"/>
      <c r="K4097" s="32"/>
      <c r="L4097" s="75">
        <v>4097</v>
      </c>
      <c r="M4097" s="75"/>
      <c r="N4097" s="70"/>
      <c r="O4097" s="77" t="s">
        <v>179</v>
      </c>
      <c r="P4097" s="79">
        <v>45142.041354166664</v>
      </c>
      <c r="Q4097" s="77" t="s">
        <v>5703</v>
      </c>
      <c r="R4097" s="77">
        <v>0</v>
      </c>
      <c r="S4097" s="77">
        <v>0</v>
      </c>
      <c r="T4097" s="77">
        <v>0</v>
      </c>
      <c r="U4097" s="77">
        <v>1</v>
      </c>
      <c r="V4097" s="77">
        <v>22</v>
      </c>
      <c r="W4097" s="80" t="s">
        <v>8468</v>
      </c>
      <c r="X4097" s="77"/>
      <c r="Y4097" s="77"/>
      <c r="Z4097" s="77"/>
      <c r="AA4097" s="77" t="s">
        <v>10441</v>
      </c>
      <c r="AB4097" s="77" t="s">
        <v>10535</v>
      </c>
      <c r="AC4097" s="80" t="s">
        <v>10540</v>
      </c>
      <c r="AD4097" s="77" t="s">
        <v>10620</v>
      </c>
      <c r="AE4097" s="83" t="str">
        <f>HYPERLINK("https://twitter.com/nunezreyniel/status/1687266991172632576")</f>
        <v>https://twitter.com/nunezreyniel/status/1687266991172632576</v>
      </c>
      <c r="AF4097" s="79">
        <v>45142.041354166664</v>
      </c>
      <c r="AG4097" s="85">
        <v>45142</v>
      </c>
      <c r="AH4097" s="80" t="s">
        <v>14185</v>
      </c>
      <c r="AI4097" s="77" t="b">
        <v>0</v>
      </c>
      <c r="AJ4097" s="77"/>
      <c r="AK4097" s="77"/>
      <c r="AL4097" s="77"/>
      <c r="AM4097" s="77"/>
      <c r="AN4097" s="77"/>
      <c r="AO4097" s="77"/>
      <c r="AP4097" s="77"/>
      <c r="AQ4097" s="77" t="s">
        <v>15920</v>
      </c>
      <c r="AR4097" s="77"/>
      <c r="AS4097" s="77"/>
      <c r="AT4097" s="77"/>
      <c r="AU4097" s="77"/>
      <c r="AV4097" s="83" t="str">
        <f>HYPERLINK("https://pbs.twimg.com/media/F2pgYvlXgAASqpa.jpg")</f>
        <v>https://pbs.twimg.com/media/F2pgYvlXgAASqpa.jpg</v>
      </c>
      <c r="AW4097" s="80" t="s">
        <v>19772</v>
      </c>
      <c r="AX4097" s="80" t="s">
        <v>19772</v>
      </c>
      <c r="AY4097" s="77"/>
      <c r="AZ4097" s="80" t="s">
        <v>20380</v>
      </c>
      <c r="BA4097" s="80" t="s">
        <v>20380</v>
      </c>
      <c r="BB4097" s="80" t="s">
        <v>20380</v>
      </c>
      <c r="BC4097" s="80" t="s">
        <v>19772</v>
      </c>
      <c r="BD4097" s="80" t="s">
        <v>21175</v>
      </c>
      <c r="BE4097" s="77"/>
      <c r="BF4097" s="77"/>
      <c r="BG4097" s="77"/>
      <c r="BH4097" s="77"/>
      <c r="BI4097" s="77"/>
    </row>
    <row r="4098" spans="1:61" x14ac:dyDescent="0.25">
      <c r="A4098" s="62" t="s">
        <v>1631</v>
      </c>
      <c r="B4098" s="62" t="s">
        <v>1631</v>
      </c>
      <c r="C4098" s="63"/>
      <c r="D4098" s="64"/>
      <c r="E4098" s="65"/>
      <c r="F4098" s="66"/>
      <c r="G4098" s="63"/>
      <c r="H4098" s="67"/>
      <c r="I4098" s="68"/>
      <c r="J4098" s="68"/>
      <c r="K4098" s="32"/>
      <c r="L4098" s="75">
        <v>4098</v>
      </c>
      <c r="M4098" s="75"/>
      <c r="N4098" s="70"/>
      <c r="O4098" s="77" t="s">
        <v>179</v>
      </c>
      <c r="P4098" s="79">
        <v>45050.800821759258</v>
      </c>
      <c r="Q4098" s="77" t="s">
        <v>5704</v>
      </c>
      <c r="R4098" s="77">
        <v>0</v>
      </c>
      <c r="S4098" s="77">
        <v>0</v>
      </c>
      <c r="T4098" s="77">
        <v>0</v>
      </c>
      <c r="U4098" s="77">
        <v>0</v>
      </c>
      <c r="V4098" s="77">
        <v>112</v>
      </c>
      <c r="W4098" s="80" t="s">
        <v>8469</v>
      </c>
      <c r="X4098" s="83" t="str">
        <f>HYPERLINK("http://bahiapolitica.com/el-banco-central-ya-tiene-en-su-poder-los-billetes-de-2-000-y-define-su-salida/")</f>
        <v>http://bahiapolitica.com/el-banco-central-ya-tiene-en-su-poder-los-billetes-de-2-000-y-define-su-salida/</v>
      </c>
      <c r="Y4098" s="77" t="s">
        <v>8886</v>
      </c>
      <c r="Z4098" s="77"/>
      <c r="AA4098" s="77"/>
      <c r="AB4098" s="77"/>
      <c r="AC4098" s="80" t="s">
        <v>10541</v>
      </c>
      <c r="AD4098" s="77" t="s">
        <v>10620</v>
      </c>
      <c r="AE4098" s="83" t="str">
        <f>HYPERLINK("https://twitter.com/bahiapoliticaok/status/1654202528999800832")</f>
        <v>https://twitter.com/bahiapoliticaok/status/1654202528999800832</v>
      </c>
      <c r="AF4098" s="79">
        <v>45050.800821759258</v>
      </c>
      <c r="AG4098" s="85">
        <v>45050</v>
      </c>
      <c r="AH4098" s="80" t="s">
        <v>14186</v>
      </c>
      <c r="AI4098" s="77" t="b">
        <v>0</v>
      </c>
      <c r="AJ4098" s="77"/>
      <c r="AK4098" s="77"/>
      <c r="AL4098" s="77"/>
      <c r="AM4098" s="77"/>
      <c r="AN4098" s="77"/>
      <c r="AO4098" s="77"/>
      <c r="AP4098" s="77"/>
      <c r="AQ4098" s="77"/>
      <c r="AR4098" s="77"/>
      <c r="AS4098" s="77"/>
      <c r="AT4098" s="77"/>
      <c r="AU4098" s="77"/>
      <c r="AV4098" s="83" t="str">
        <f>HYPERLINK("https://pbs.twimg.com/profile_images/1475121680473157633/9D1CuOQG_normal.jpg")</f>
        <v>https://pbs.twimg.com/profile_images/1475121680473157633/9D1CuOQG_normal.jpg</v>
      </c>
      <c r="AW4098" s="80" t="s">
        <v>19773</v>
      </c>
      <c r="AX4098" s="80" t="s">
        <v>19773</v>
      </c>
      <c r="AY4098" s="77"/>
      <c r="AZ4098" s="80" t="s">
        <v>20380</v>
      </c>
      <c r="BA4098" s="80" t="s">
        <v>20380</v>
      </c>
      <c r="BB4098" s="80" t="s">
        <v>20380</v>
      </c>
      <c r="BC4098" s="80" t="s">
        <v>19773</v>
      </c>
      <c r="BD4098" s="77">
        <v>392456917</v>
      </c>
      <c r="BE4098" s="77"/>
      <c r="BF4098" s="77"/>
      <c r="BG4098" s="77"/>
      <c r="BH4098" s="77"/>
      <c r="BI4098" s="77"/>
    </row>
    <row r="4099" spans="1:61" x14ac:dyDescent="0.25">
      <c r="A4099" s="62" t="s">
        <v>1632</v>
      </c>
      <c r="B4099" s="62" t="s">
        <v>2066</v>
      </c>
      <c r="C4099" s="63"/>
      <c r="D4099" s="64"/>
      <c r="E4099" s="65"/>
      <c r="F4099" s="66"/>
      <c r="G4099" s="63"/>
      <c r="H4099" s="67"/>
      <c r="I4099" s="68"/>
      <c r="J4099" s="68"/>
      <c r="K4099" s="32"/>
      <c r="L4099" s="75">
        <v>4099</v>
      </c>
      <c r="M4099" s="75"/>
      <c r="N4099" s="70"/>
      <c r="O4099" s="77" t="s">
        <v>2081</v>
      </c>
      <c r="P4099" s="79">
        <v>45195.762499999997</v>
      </c>
      <c r="Q4099" s="77" t="s">
        <v>5705</v>
      </c>
      <c r="R4099" s="77">
        <v>0</v>
      </c>
      <c r="S4099" s="77">
        <v>0</v>
      </c>
      <c r="T4099" s="77">
        <v>0</v>
      </c>
      <c r="U4099" s="77">
        <v>0</v>
      </c>
      <c r="V4099" s="77">
        <v>24</v>
      </c>
      <c r="W4099" s="80" t="s">
        <v>8470</v>
      </c>
      <c r="X4099" s="83" t="str">
        <f>HYPERLINK("https://www.diarioeldia.cl/economia/2023/9/26/efecto-mineria-coquimbo-es-la-segunda-region-con-mayor-aumento-del-pib-104229.html")</f>
        <v>https://www.diarioeldia.cl/economia/2023/9/26/efecto-mineria-coquimbo-es-la-segunda-region-con-mayor-aumento-del-pib-104229.html</v>
      </c>
      <c r="Y4099" s="77" t="s">
        <v>8887</v>
      </c>
      <c r="Z4099" s="77" t="s">
        <v>2066</v>
      </c>
      <c r="AA4099" s="77"/>
      <c r="AB4099" s="77"/>
      <c r="AC4099" s="80" t="s">
        <v>10541</v>
      </c>
      <c r="AD4099" s="77" t="s">
        <v>10620</v>
      </c>
      <c r="AE4099" s="83" t="str">
        <f>HYPERLINK("https://twitter.com/por_dominga/status/1706734882419097816")</f>
        <v>https://twitter.com/por_dominga/status/1706734882419097816</v>
      </c>
      <c r="AF4099" s="79">
        <v>45195.762499999997</v>
      </c>
      <c r="AG4099" s="85">
        <v>45195</v>
      </c>
      <c r="AH4099" s="80" t="s">
        <v>14187</v>
      </c>
      <c r="AI4099" s="77" t="b">
        <v>0</v>
      </c>
      <c r="AJ4099" s="77"/>
      <c r="AK4099" s="77"/>
      <c r="AL4099" s="77"/>
      <c r="AM4099" s="77"/>
      <c r="AN4099" s="77"/>
      <c r="AO4099" s="77"/>
      <c r="AP4099" s="77"/>
      <c r="AQ4099" s="77"/>
      <c r="AR4099" s="77"/>
      <c r="AS4099" s="77"/>
      <c r="AT4099" s="77"/>
      <c r="AU4099" s="77"/>
      <c r="AV4099" s="83" t="str">
        <f>HYPERLINK("https://pbs.twimg.com/profile_images/1270387994785206273/uMSo8Eu5_normal.jpg")</f>
        <v>https://pbs.twimg.com/profile_images/1270387994785206273/uMSo8Eu5_normal.jpg</v>
      </c>
      <c r="AW4099" s="80" t="s">
        <v>19774</v>
      </c>
      <c r="AX4099" s="80" t="s">
        <v>19774</v>
      </c>
      <c r="AY4099" s="77"/>
      <c r="AZ4099" s="80" t="s">
        <v>20380</v>
      </c>
      <c r="BA4099" s="80" t="s">
        <v>20380</v>
      </c>
      <c r="BB4099" s="80" t="s">
        <v>20380</v>
      </c>
      <c r="BC4099" s="80" t="s">
        <v>19774</v>
      </c>
      <c r="BD4099" s="80" t="s">
        <v>21176</v>
      </c>
      <c r="BE4099" s="77"/>
      <c r="BF4099" s="77"/>
      <c r="BG4099" s="77"/>
      <c r="BH4099" s="77"/>
      <c r="BI4099" s="77"/>
    </row>
    <row r="4100" spans="1:61" x14ac:dyDescent="0.25">
      <c r="A4100" s="62" t="s">
        <v>1633</v>
      </c>
      <c r="B4100" s="62" t="s">
        <v>1633</v>
      </c>
      <c r="C4100" s="63"/>
      <c r="D4100" s="64"/>
      <c r="E4100" s="65"/>
      <c r="F4100" s="66"/>
      <c r="G4100" s="63"/>
      <c r="H4100" s="67"/>
      <c r="I4100" s="68"/>
      <c r="J4100" s="68"/>
      <c r="K4100" s="32"/>
      <c r="L4100" s="75">
        <v>4100</v>
      </c>
      <c r="M4100" s="75"/>
      <c r="N4100" s="70"/>
      <c r="O4100" s="77" t="s">
        <v>179</v>
      </c>
      <c r="P4100" s="79">
        <v>45166.856435185182</v>
      </c>
      <c r="Q4100" s="77" t="s">
        <v>5706</v>
      </c>
      <c r="R4100" s="77">
        <v>0</v>
      </c>
      <c r="S4100" s="77">
        <v>0</v>
      </c>
      <c r="T4100" s="77">
        <v>0</v>
      </c>
      <c r="U4100" s="77">
        <v>0</v>
      </c>
      <c r="V4100" s="77">
        <v>25</v>
      </c>
      <c r="W4100" s="80" t="s">
        <v>6271</v>
      </c>
      <c r="X4100" s="83" t="str">
        <f>HYPERLINK("https://dialogosdosul.operamundi.uol.com.br/economia/82513/dowbor-desculpa-pra-juros-altos-e-farsa-que-drena-r-700-bilhoes-do-brasil-ano-a-ano")</f>
        <v>https://dialogosdosul.operamundi.uol.com.br/economia/82513/dowbor-desculpa-pra-juros-altos-e-farsa-que-drena-r-700-bilhoes-do-brasil-ano-a-ano</v>
      </c>
      <c r="Y4100" s="77" t="s">
        <v>8611</v>
      </c>
      <c r="Z4100" s="77"/>
      <c r="AA4100" s="77" t="s">
        <v>10442</v>
      </c>
      <c r="AB4100" s="77" t="s">
        <v>10535</v>
      </c>
      <c r="AC4100" s="80" t="s">
        <v>10541</v>
      </c>
      <c r="AD4100" s="77" t="s">
        <v>10617</v>
      </c>
      <c r="AE4100" s="83" t="str">
        <f>HYPERLINK("https://twitter.com/dialogosdosul/status/1696259675275087990")</f>
        <v>https://twitter.com/dialogosdosul/status/1696259675275087990</v>
      </c>
      <c r="AF4100" s="79">
        <v>45166.856435185182</v>
      </c>
      <c r="AG4100" s="85">
        <v>45166</v>
      </c>
      <c r="AH4100" s="80" t="s">
        <v>14188</v>
      </c>
      <c r="AI4100" s="77" t="b">
        <v>0</v>
      </c>
      <c r="AJ4100" s="77"/>
      <c r="AK4100" s="77"/>
      <c r="AL4100" s="77"/>
      <c r="AM4100" s="77"/>
      <c r="AN4100" s="77"/>
      <c r="AO4100" s="77"/>
      <c r="AP4100" s="77"/>
      <c r="AQ4100" s="77" t="s">
        <v>15921</v>
      </c>
      <c r="AR4100" s="77"/>
      <c r="AS4100" s="77"/>
      <c r="AT4100" s="77"/>
      <c r="AU4100" s="77"/>
      <c r="AV4100" s="83" t="str">
        <f>HYPERLINK("https://pbs.twimg.com/media/F4pTItKXkAIk0gq.jpg")</f>
        <v>https://pbs.twimg.com/media/F4pTItKXkAIk0gq.jpg</v>
      </c>
      <c r="AW4100" s="80" t="s">
        <v>19775</v>
      </c>
      <c r="AX4100" s="80" t="s">
        <v>19775</v>
      </c>
      <c r="AY4100" s="77"/>
      <c r="AZ4100" s="80" t="s">
        <v>20380</v>
      </c>
      <c r="BA4100" s="80" t="s">
        <v>20380</v>
      </c>
      <c r="BB4100" s="80" t="s">
        <v>20380</v>
      </c>
      <c r="BC4100" s="80" t="s">
        <v>19775</v>
      </c>
      <c r="BD4100" s="77">
        <v>1553823878</v>
      </c>
      <c r="BE4100" s="77"/>
      <c r="BF4100" s="77"/>
      <c r="BG4100" s="77"/>
      <c r="BH4100" s="77"/>
      <c r="BI4100" s="77"/>
    </row>
    <row r="4101" spans="1:61" x14ac:dyDescent="0.25">
      <c r="A4101" s="62" t="s">
        <v>1634</v>
      </c>
      <c r="B4101" s="62" t="s">
        <v>1634</v>
      </c>
      <c r="C4101" s="63"/>
      <c r="D4101" s="64"/>
      <c r="E4101" s="65"/>
      <c r="F4101" s="66"/>
      <c r="G4101" s="63"/>
      <c r="H4101" s="67"/>
      <c r="I4101" s="68"/>
      <c r="J4101" s="68"/>
      <c r="K4101" s="32"/>
      <c r="L4101" s="75">
        <v>4101</v>
      </c>
      <c r="M4101" s="75"/>
      <c r="N4101" s="70"/>
      <c r="O4101" s="77" t="s">
        <v>179</v>
      </c>
      <c r="P4101" s="79">
        <v>45129.541666666664</v>
      </c>
      <c r="Q4101" s="77" t="s">
        <v>5707</v>
      </c>
      <c r="R4101" s="77">
        <v>49</v>
      </c>
      <c r="S4101" s="77">
        <v>98</v>
      </c>
      <c r="T4101" s="77">
        <v>7</v>
      </c>
      <c r="U4101" s="77">
        <v>2</v>
      </c>
      <c r="V4101" s="77">
        <v>1495</v>
      </c>
      <c r="W4101" s="80" t="s">
        <v>8471</v>
      </c>
      <c r="X4101" s="77"/>
      <c r="Y4101" s="77"/>
      <c r="Z4101" s="77"/>
      <c r="AA4101" s="77" t="s">
        <v>10443</v>
      </c>
      <c r="AB4101" s="77" t="s">
        <v>10535</v>
      </c>
      <c r="AC4101" s="80" t="s">
        <v>10551</v>
      </c>
      <c r="AD4101" s="77" t="s">
        <v>10617</v>
      </c>
      <c r="AE4101" s="83" t="str">
        <f>HYPERLINK("https://twitter.com/ptnacamara/status/1682737257046851584")</f>
        <v>https://twitter.com/ptnacamara/status/1682737257046851584</v>
      </c>
      <c r="AF4101" s="79">
        <v>45129.541666666664</v>
      </c>
      <c r="AG4101" s="85">
        <v>45129</v>
      </c>
      <c r="AH4101" s="80" t="s">
        <v>11297</v>
      </c>
      <c r="AI4101" s="77" t="b">
        <v>0</v>
      </c>
      <c r="AJ4101" s="77"/>
      <c r="AK4101" s="77"/>
      <c r="AL4101" s="77"/>
      <c r="AM4101" s="77"/>
      <c r="AN4101" s="77"/>
      <c r="AO4101" s="77"/>
      <c r="AP4101" s="77"/>
      <c r="AQ4101" s="77" t="s">
        <v>15922</v>
      </c>
      <c r="AR4101" s="77"/>
      <c r="AS4101" s="77"/>
      <c r="AT4101" s="77"/>
      <c r="AU4101" s="77"/>
      <c r="AV4101" s="83" t="str">
        <f>HYPERLINK("https://pbs.twimg.com/media/F1kxz4ZWIAgzGLj.jpg")</f>
        <v>https://pbs.twimg.com/media/F1kxz4ZWIAgzGLj.jpg</v>
      </c>
      <c r="AW4101" s="80" t="s">
        <v>19776</v>
      </c>
      <c r="AX4101" s="80" t="s">
        <v>19776</v>
      </c>
      <c r="AY4101" s="77"/>
      <c r="AZ4101" s="80" t="s">
        <v>20380</v>
      </c>
      <c r="BA4101" s="80" t="s">
        <v>20380</v>
      </c>
      <c r="BB4101" s="80" t="s">
        <v>20380</v>
      </c>
      <c r="BC4101" s="80" t="s">
        <v>19776</v>
      </c>
      <c r="BD4101" s="77">
        <v>75031882</v>
      </c>
      <c r="BE4101" s="77"/>
      <c r="BF4101" s="77"/>
      <c r="BG4101" s="77"/>
      <c r="BH4101" s="77"/>
      <c r="BI4101" s="77"/>
    </row>
    <row r="4102" spans="1:61" x14ac:dyDescent="0.25">
      <c r="A4102" s="62" t="s">
        <v>1634</v>
      </c>
      <c r="B4102" s="62" t="s">
        <v>1634</v>
      </c>
      <c r="C4102" s="63"/>
      <c r="D4102" s="64"/>
      <c r="E4102" s="65"/>
      <c r="F4102" s="66"/>
      <c r="G4102" s="63"/>
      <c r="H4102" s="67"/>
      <c r="I4102" s="68"/>
      <c r="J4102" s="68"/>
      <c r="K4102" s="32"/>
      <c r="L4102" s="75">
        <v>4102</v>
      </c>
      <c r="M4102" s="75"/>
      <c r="N4102" s="70"/>
      <c r="O4102" s="77" t="s">
        <v>179</v>
      </c>
      <c r="P4102" s="79">
        <v>45128.568993055553</v>
      </c>
      <c r="Q4102" s="77" t="s">
        <v>5708</v>
      </c>
      <c r="R4102" s="77">
        <v>25</v>
      </c>
      <c r="S4102" s="77">
        <v>39</v>
      </c>
      <c r="T4102" s="77">
        <v>8</v>
      </c>
      <c r="U4102" s="77">
        <v>4</v>
      </c>
      <c r="V4102" s="77">
        <v>1942</v>
      </c>
      <c r="W4102" s="80" t="s">
        <v>8472</v>
      </c>
      <c r="X4102" s="77"/>
      <c r="Y4102" s="77"/>
      <c r="Z4102" s="77"/>
      <c r="AA4102" s="77" t="s">
        <v>10444</v>
      </c>
      <c r="AB4102" s="77" t="s">
        <v>10535</v>
      </c>
      <c r="AC4102" s="80" t="s">
        <v>10541</v>
      </c>
      <c r="AD4102" s="77" t="s">
        <v>10617</v>
      </c>
      <c r="AE4102" s="83" t="str">
        <f>HYPERLINK("https://twitter.com/ptnacamara/status/1682384772906057728")</f>
        <v>https://twitter.com/ptnacamara/status/1682384772906057728</v>
      </c>
      <c r="AF4102" s="79">
        <v>45128.568993055553</v>
      </c>
      <c r="AG4102" s="85">
        <v>45128</v>
      </c>
      <c r="AH4102" s="80" t="s">
        <v>14189</v>
      </c>
      <c r="AI4102" s="77" t="b">
        <v>0</v>
      </c>
      <c r="AJ4102" s="77"/>
      <c r="AK4102" s="77"/>
      <c r="AL4102" s="77"/>
      <c r="AM4102" s="77"/>
      <c r="AN4102" s="77"/>
      <c r="AO4102" s="77"/>
      <c r="AP4102" s="77"/>
      <c r="AQ4102" s="77" t="s">
        <v>15923</v>
      </c>
      <c r="AR4102" s="77"/>
      <c r="AS4102" s="77"/>
      <c r="AT4102" s="77"/>
      <c r="AU4102" s="77"/>
      <c r="AV4102" s="83" t="str">
        <f>HYPERLINK("https://pbs.twimg.com/media/F1kH5KfWYAMr1n-.jpg")</f>
        <v>https://pbs.twimg.com/media/F1kH5KfWYAMr1n-.jpg</v>
      </c>
      <c r="AW4102" s="80" t="s">
        <v>19777</v>
      </c>
      <c r="AX4102" s="80" t="s">
        <v>19777</v>
      </c>
      <c r="AY4102" s="77"/>
      <c r="AZ4102" s="80" t="s">
        <v>20380</v>
      </c>
      <c r="BA4102" s="80" t="s">
        <v>20380</v>
      </c>
      <c r="BB4102" s="80" t="s">
        <v>20380</v>
      </c>
      <c r="BC4102" s="80" t="s">
        <v>19777</v>
      </c>
      <c r="BD4102" s="77">
        <v>75031882</v>
      </c>
      <c r="BE4102" s="77"/>
      <c r="BF4102" s="77"/>
      <c r="BG4102" s="77"/>
      <c r="BH4102" s="77"/>
      <c r="BI4102" s="77"/>
    </row>
    <row r="4103" spans="1:61" x14ac:dyDescent="0.25">
      <c r="A4103" s="62" t="s">
        <v>1634</v>
      </c>
      <c r="B4103" s="62" t="s">
        <v>1634</v>
      </c>
      <c r="C4103" s="63"/>
      <c r="D4103" s="64"/>
      <c r="E4103" s="65"/>
      <c r="F4103" s="66"/>
      <c r="G4103" s="63"/>
      <c r="H4103" s="67"/>
      <c r="I4103" s="68"/>
      <c r="J4103" s="68"/>
      <c r="K4103" s="32"/>
      <c r="L4103" s="75">
        <v>4103</v>
      </c>
      <c r="M4103" s="75"/>
      <c r="N4103" s="70"/>
      <c r="O4103" s="77" t="s">
        <v>179</v>
      </c>
      <c r="P4103" s="79">
        <v>45140.632060185184</v>
      </c>
      <c r="Q4103" s="77" t="s">
        <v>5709</v>
      </c>
      <c r="R4103" s="77">
        <v>13</v>
      </c>
      <c r="S4103" s="77">
        <v>38</v>
      </c>
      <c r="T4103" s="77">
        <v>9</v>
      </c>
      <c r="U4103" s="77">
        <v>5</v>
      </c>
      <c r="V4103" s="77">
        <v>2178</v>
      </c>
      <c r="W4103" s="80" t="s">
        <v>8473</v>
      </c>
      <c r="X4103" s="77"/>
      <c r="Y4103" s="77"/>
      <c r="Z4103" s="77"/>
      <c r="AA4103" s="77" t="s">
        <v>10445</v>
      </c>
      <c r="AB4103" s="77" t="s">
        <v>10534</v>
      </c>
      <c r="AC4103" s="80" t="s">
        <v>10541</v>
      </c>
      <c r="AD4103" s="77" t="s">
        <v>10617</v>
      </c>
      <c r="AE4103" s="83" t="str">
        <f>HYPERLINK("https://twitter.com/ptnacamara/status/1686756282592563200")</f>
        <v>https://twitter.com/ptnacamara/status/1686756282592563200</v>
      </c>
      <c r="AF4103" s="79">
        <v>45140.632060185184</v>
      </c>
      <c r="AG4103" s="85">
        <v>45140</v>
      </c>
      <c r="AH4103" s="80" t="s">
        <v>14190</v>
      </c>
      <c r="AI4103" s="77" t="b">
        <v>0</v>
      </c>
      <c r="AJ4103" s="77"/>
      <c r="AK4103" s="77"/>
      <c r="AL4103" s="77"/>
      <c r="AM4103" s="77"/>
      <c r="AN4103" s="77"/>
      <c r="AO4103" s="77"/>
      <c r="AP4103" s="77"/>
      <c r="AQ4103" s="77" t="s">
        <v>15924</v>
      </c>
      <c r="AR4103" s="77">
        <v>55333</v>
      </c>
      <c r="AS4103" s="77"/>
      <c r="AT4103" s="77"/>
      <c r="AU4103" s="77"/>
      <c r="AV4103" s="83" t="str">
        <f>HYPERLINK("https://pbs.twimg.com/ext_tw_video_thumb/1686755653065244672/pu/img/dUCtcTcey2IQs9K9.jpg")</f>
        <v>https://pbs.twimg.com/ext_tw_video_thumb/1686755653065244672/pu/img/dUCtcTcey2IQs9K9.jpg</v>
      </c>
      <c r="AW4103" s="80" t="s">
        <v>19778</v>
      </c>
      <c r="AX4103" s="80" t="s">
        <v>19778</v>
      </c>
      <c r="AY4103" s="77"/>
      <c r="AZ4103" s="80" t="s">
        <v>20380</v>
      </c>
      <c r="BA4103" s="80" t="s">
        <v>20380</v>
      </c>
      <c r="BB4103" s="80" t="s">
        <v>20380</v>
      </c>
      <c r="BC4103" s="80" t="s">
        <v>19778</v>
      </c>
      <c r="BD4103" s="77">
        <v>75031882</v>
      </c>
      <c r="BE4103" s="77"/>
      <c r="BF4103" s="77"/>
      <c r="BG4103" s="77"/>
      <c r="BH4103" s="77"/>
      <c r="BI4103" s="77"/>
    </row>
    <row r="4104" spans="1:61" x14ac:dyDescent="0.25">
      <c r="A4104" s="62" t="s">
        <v>1634</v>
      </c>
      <c r="B4104" s="62" t="s">
        <v>1634</v>
      </c>
      <c r="C4104" s="63"/>
      <c r="D4104" s="64"/>
      <c r="E4104" s="65"/>
      <c r="F4104" s="66"/>
      <c r="G4104" s="63"/>
      <c r="H4104" s="67"/>
      <c r="I4104" s="68"/>
      <c r="J4104" s="68"/>
      <c r="K4104" s="32"/>
      <c r="L4104" s="75">
        <v>4104</v>
      </c>
      <c r="M4104" s="75"/>
      <c r="N4104" s="70"/>
      <c r="O4104" s="77" t="s">
        <v>179</v>
      </c>
      <c r="P4104" s="79">
        <v>45125.804432870369</v>
      </c>
      <c r="Q4104" s="77" t="s">
        <v>5710</v>
      </c>
      <c r="R4104" s="77">
        <v>8</v>
      </c>
      <c r="S4104" s="77">
        <v>30</v>
      </c>
      <c r="T4104" s="77">
        <v>2</v>
      </c>
      <c r="U4104" s="77">
        <v>1</v>
      </c>
      <c r="V4104" s="77">
        <v>557</v>
      </c>
      <c r="W4104" s="80" t="s">
        <v>8474</v>
      </c>
      <c r="X4104" s="77"/>
      <c r="Y4104" s="77"/>
      <c r="Z4104" s="77"/>
      <c r="AA4104" s="77" t="s">
        <v>10446</v>
      </c>
      <c r="AB4104" s="77" t="s">
        <v>10535</v>
      </c>
      <c r="AC4104" s="80" t="s">
        <v>10541</v>
      </c>
      <c r="AD4104" s="77" t="s">
        <v>10617</v>
      </c>
      <c r="AE4104" s="83" t="str">
        <f>HYPERLINK("https://twitter.com/ptnacamara/status/1681382926905163777")</f>
        <v>https://twitter.com/ptnacamara/status/1681382926905163777</v>
      </c>
      <c r="AF4104" s="79">
        <v>45125.804432870369</v>
      </c>
      <c r="AG4104" s="85">
        <v>45125</v>
      </c>
      <c r="AH4104" s="80" t="s">
        <v>14191</v>
      </c>
      <c r="AI4104" s="77" t="b">
        <v>0</v>
      </c>
      <c r="AJ4104" s="77"/>
      <c r="AK4104" s="77"/>
      <c r="AL4104" s="77"/>
      <c r="AM4104" s="77"/>
      <c r="AN4104" s="77"/>
      <c r="AO4104" s="77"/>
      <c r="AP4104" s="77"/>
      <c r="AQ4104" s="77" t="s">
        <v>15925</v>
      </c>
      <c r="AR4104" s="77"/>
      <c r="AS4104" s="77"/>
      <c r="AT4104" s="77"/>
      <c r="AU4104" s="77"/>
      <c r="AV4104" s="83" t="str">
        <f>HYPERLINK("https://pbs.twimg.com/media/F1V41Q3WAAQ-0uy.jpg")</f>
        <v>https://pbs.twimg.com/media/F1V41Q3WAAQ-0uy.jpg</v>
      </c>
      <c r="AW4104" s="80" t="s">
        <v>19779</v>
      </c>
      <c r="AX4104" s="80" t="s">
        <v>19779</v>
      </c>
      <c r="AY4104" s="77"/>
      <c r="AZ4104" s="80" t="s">
        <v>20380</v>
      </c>
      <c r="BA4104" s="80" t="s">
        <v>20380</v>
      </c>
      <c r="BB4104" s="80" t="s">
        <v>20380</v>
      </c>
      <c r="BC4104" s="80" t="s">
        <v>19779</v>
      </c>
      <c r="BD4104" s="77">
        <v>75031882</v>
      </c>
      <c r="BE4104" s="77"/>
      <c r="BF4104" s="77"/>
      <c r="BG4104" s="77"/>
      <c r="BH4104" s="77"/>
      <c r="BI4104" s="77"/>
    </row>
    <row r="4105" spans="1:61" x14ac:dyDescent="0.25">
      <c r="A4105" s="62" t="s">
        <v>1635</v>
      </c>
      <c r="B4105" s="62" t="s">
        <v>1635</v>
      </c>
      <c r="C4105" s="63"/>
      <c r="D4105" s="64"/>
      <c r="E4105" s="65"/>
      <c r="F4105" s="66"/>
      <c r="G4105" s="63"/>
      <c r="H4105" s="67"/>
      <c r="I4105" s="68"/>
      <c r="J4105" s="68"/>
      <c r="K4105" s="32"/>
      <c r="L4105" s="75">
        <v>4105</v>
      </c>
      <c r="M4105" s="75"/>
      <c r="N4105" s="70"/>
      <c r="O4105" s="77" t="s">
        <v>179</v>
      </c>
      <c r="P4105" s="79">
        <v>45148.739872685182</v>
      </c>
      <c r="Q4105" s="77" t="s">
        <v>5711</v>
      </c>
      <c r="R4105" s="77">
        <v>0</v>
      </c>
      <c r="S4105" s="77">
        <v>0</v>
      </c>
      <c r="T4105" s="77">
        <v>0</v>
      </c>
      <c r="U4105" s="77">
        <v>0</v>
      </c>
      <c r="V4105" s="77">
        <v>28</v>
      </c>
      <c r="W4105" s="80" t="s">
        <v>5884</v>
      </c>
      <c r="X4105" s="77"/>
      <c r="Y4105" s="77"/>
      <c r="Z4105" s="77"/>
      <c r="AA4105" s="77" t="s">
        <v>10447</v>
      </c>
      <c r="AB4105" s="77" t="s">
        <v>10535</v>
      </c>
      <c r="AC4105" s="80" t="s">
        <v>10541</v>
      </c>
      <c r="AD4105" s="77" t="s">
        <v>10620</v>
      </c>
      <c r="AE4105" s="83" t="str">
        <f>HYPERLINK("https://twitter.com/jorgeavilezg/status/1689694454918123521")</f>
        <v>https://twitter.com/jorgeavilezg/status/1689694454918123521</v>
      </c>
      <c r="AF4105" s="79">
        <v>45148.739872685182</v>
      </c>
      <c r="AG4105" s="85">
        <v>45148</v>
      </c>
      <c r="AH4105" s="80" t="s">
        <v>14192</v>
      </c>
      <c r="AI4105" s="77" t="b">
        <v>0</v>
      </c>
      <c r="AJ4105" s="77"/>
      <c r="AK4105" s="77"/>
      <c r="AL4105" s="77"/>
      <c r="AM4105" s="77"/>
      <c r="AN4105" s="77"/>
      <c r="AO4105" s="77"/>
      <c r="AP4105" s="77"/>
      <c r="AQ4105" s="77" t="s">
        <v>15926</v>
      </c>
      <c r="AR4105" s="77"/>
      <c r="AS4105" s="77"/>
      <c r="AT4105" s="77"/>
      <c r="AU4105" s="77"/>
      <c r="AV4105" s="83" t="str">
        <f>HYPERLINK("https://pbs.twimg.com/media/F3MAAVFWgAAKtQ0.png")</f>
        <v>https://pbs.twimg.com/media/F3MAAVFWgAAKtQ0.png</v>
      </c>
      <c r="AW4105" s="80" t="s">
        <v>19780</v>
      </c>
      <c r="AX4105" s="80" t="s">
        <v>19780</v>
      </c>
      <c r="AY4105" s="77"/>
      <c r="AZ4105" s="80" t="s">
        <v>20380</v>
      </c>
      <c r="BA4105" s="80" t="s">
        <v>20380</v>
      </c>
      <c r="BB4105" s="80" t="s">
        <v>20380</v>
      </c>
      <c r="BC4105" s="80" t="s">
        <v>19780</v>
      </c>
      <c r="BD4105" s="77">
        <v>158107110</v>
      </c>
      <c r="BE4105" s="77"/>
      <c r="BF4105" s="77"/>
      <c r="BG4105" s="77"/>
      <c r="BH4105" s="77"/>
      <c r="BI4105" s="77"/>
    </row>
    <row r="4106" spans="1:61" x14ac:dyDescent="0.25">
      <c r="A4106" s="62" t="s">
        <v>1636</v>
      </c>
      <c r="B4106" s="62" t="s">
        <v>2067</v>
      </c>
      <c r="C4106" s="63"/>
      <c r="D4106" s="64"/>
      <c r="E4106" s="65"/>
      <c r="F4106" s="66"/>
      <c r="G4106" s="63"/>
      <c r="H4106" s="67"/>
      <c r="I4106" s="68"/>
      <c r="J4106" s="68"/>
      <c r="K4106" s="32"/>
      <c r="L4106" s="75">
        <v>4106</v>
      </c>
      <c r="M4106" s="75"/>
      <c r="N4106" s="70"/>
      <c r="O4106" s="77" t="s">
        <v>2079</v>
      </c>
      <c r="P4106" s="79">
        <v>45096.160324074073</v>
      </c>
      <c r="Q4106" s="77" t="s">
        <v>5712</v>
      </c>
      <c r="R4106" s="77">
        <v>0</v>
      </c>
      <c r="S4106" s="77">
        <v>2</v>
      </c>
      <c r="T4106" s="77">
        <v>0</v>
      </c>
      <c r="U4106" s="77">
        <v>0</v>
      </c>
      <c r="V4106" s="77">
        <v>132</v>
      </c>
      <c r="W4106" s="80" t="s">
        <v>8475</v>
      </c>
      <c r="X4106" s="77"/>
      <c r="Y4106" s="77"/>
      <c r="Z4106" s="77" t="s">
        <v>9032</v>
      </c>
      <c r="AA4106" s="77"/>
      <c r="AB4106" s="77"/>
      <c r="AC4106" s="80" t="s">
        <v>10540</v>
      </c>
      <c r="AD4106" s="77" t="s">
        <v>10620</v>
      </c>
      <c r="AE4106" s="83" t="str">
        <f>HYPERLINK("https://twitter.com/yerkokiyoki/status/1670640262043803649")</f>
        <v>https://twitter.com/yerkokiyoki/status/1670640262043803649</v>
      </c>
      <c r="AF4106" s="79">
        <v>45096.160324074073</v>
      </c>
      <c r="AG4106" s="85">
        <v>45096</v>
      </c>
      <c r="AH4106" s="80" t="s">
        <v>14193</v>
      </c>
      <c r="AI4106" s="77"/>
      <c r="AJ4106" s="77"/>
      <c r="AK4106" s="77"/>
      <c r="AL4106" s="77"/>
      <c r="AM4106" s="77"/>
      <c r="AN4106" s="77"/>
      <c r="AO4106" s="77"/>
      <c r="AP4106" s="77"/>
      <c r="AQ4106" s="77"/>
      <c r="AR4106" s="77"/>
      <c r="AS4106" s="77"/>
      <c r="AT4106" s="77"/>
      <c r="AU4106" s="77"/>
      <c r="AV4106" s="83" t="str">
        <f>HYPERLINK("https://pbs.twimg.com/profile_images/910448989149024256/2ZzfKg8T_normal.jpg")</f>
        <v>https://pbs.twimg.com/profile_images/910448989149024256/2ZzfKg8T_normal.jpg</v>
      </c>
      <c r="AW4106" s="80" t="s">
        <v>19781</v>
      </c>
      <c r="AX4106" s="80" t="s">
        <v>20209</v>
      </c>
      <c r="AY4106" s="80" t="s">
        <v>20374</v>
      </c>
      <c r="AZ4106" s="80" t="s">
        <v>20209</v>
      </c>
      <c r="BA4106" s="80" t="s">
        <v>20380</v>
      </c>
      <c r="BB4106" s="80" t="s">
        <v>20380</v>
      </c>
      <c r="BC4106" s="80" t="s">
        <v>20209</v>
      </c>
      <c r="BD4106" s="77">
        <v>42481881</v>
      </c>
      <c r="BE4106" s="77"/>
      <c r="BF4106" s="77"/>
      <c r="BG4106" s="77"/>
      <c r="BH4106" s="77"/>
      <c r="BI4106" s="77"/>
    </row>
    <row r="4107" spans="1:61" x14ac:dyDescent="0.25">
      <c r="A4107" s="62" t="s">
        <v>1636</v>
      </c>
      <c r="B4107" s="62" t="s">
        <v>2068</v>
      </c>
      <c r="C4107" s="63"/>
      <c r="D4107" s="64"/>
      <c r="E4107" s="65"/>
      <c r="F4107" s="66"/>
      <c r="G4107" s="63"/>
      <c r="H4107" s="67"/>
      <c r="I4107" s="68"/>
      <c r="J4107" s="68"/>
      <c r="K4107" s="32"/>
      <c r="L4107" s="75">
        <v>4107</v>
      </c>
      <c r="M4107" s="75"/>
      <c r="N4107" s="70"/>
      <c r="O4107" s="77" t="s">
        <v>2079</v>
      </c>
      <c r="P4107" s="79">
        <v>45096.160324074073</v>
      </c>
      <c r="Q4107" s="77" t="s">
        <v>5712</v>
      </c>
      <c r="R4107" s="77">
        <v>0</v>
      </c>
      <c r="S4107" s="77">
        <v>2</v>
      </c>
      <c r="T4107" s="77">
        <v>0</v>
      </c>
      <c r="U4107" s="77">
        <v>0</v>
      </c>
      <c r="V4107" s="77">
        <v>132</v>
      </c>
      <c r="W4107" s="80" t="s">
        <v>8475</v>
      </c>
      <c r="X4107" s="77"/>
      <c r="Y4107" s="77"/>
      <c r="Z4107" s="77" t="s">
        <v>9032</v>
      </c>
      <c r="AA4107" s="77"/>
      <c r="AB4107" s="77"/>
      <c r="AC4107" s="80" t="s">
        <v>10540</v>
      </c>
      <c r="AD4107" s="77" t="s">
        <v>10620</v>
      </c>
      <c r="AE4107" s="83" t="str">
        <f>HYPERLINK("https://twitter.com/yerkokiyoki/status/1670640262043803649")</f>
        <v>https://twitter.com/yerkokiyoki/status/1670640262043803649</v>
      </c>
      <c r="AF4107" s="79">
        <v>45096.160324074073</v>
      </c>
      <c r="AG4107" s="85">
        <v>45096</v>
      </c>
      <c r="AH4107" s="80" t="s">
        <v>14193</v>
      </c>
      <c r="AI4107" s="77"/>
      <c r="AJ4107" s="77"/>
      <c r="AK4107" s="77"/>
      <c r="AL4107" s="77"/>
      <c r="AM4107" s="77"/>
      <c r="AN4107" s="77"/>
      <c r="AO4107" s="77"/>
      <c r="AP4107" s="77"/>
      <c r="AQ4107" s="77"/>
      <c r="AR4107" s="77"/>
      <c r="AS4107" s="77"/>
      <c r="AT4107" s="77"/>
      <c r="AU4107" s="77"/>
      <c r="AV4107" s="83" t="str">
        <f>HYPERLINK("https://pbs.twimg.com/profile_images/910448989149024256/2ZzfKg8T_normal.jpg")</f>
        <v>https://pbs.twimg.com/profile_images/910448989149024256/2ZzfKg8T_normal.jpg</v>
      </c>
      <c r="AW4107" s="80" t="s">
        <v>19781</v>
      </c>
      <c r="AX4107" s="80" t="s">
        <v>20209</v>
      </c>
      <c r="AY4107" s="80" t="s">
        <v>20374</v>
      </c>
      <c r="AZ4107" s="80" t="s">
        <v>20209</v>
      </c>
      <c r="BA4107" s="80" t="s">
        <v>20380</v>
      </c>
      <c r="BB4107" s="80" t="s">
        <v>20380</v>
      </c>
      <c r="BC4107" s="80" t="s">
        <v>20209</v>
      </c>
      <c r="BD4107" s="77">
        <v>42481881</v>
      </c>
      <c r="BE4107" s="77"/>
      <c r="BF4107" s="77"/>
      <c r="BG4107" s="77"/>
      <c r="BH4107" s="77"/>
      <c r="BI4107" s="77"/>
    </row>
    <row r="4108" spans="1:61" x14ac:dyDescent="0.25">
      <c r="A4108" s="62" t="s">
        <v>1636</v>
      </c>
      <c r="B4108" s="62" t="s">
        <v>2069</v>
      </c>
      <c r="C4108" s="63"/>
      <c r="D4108" s="64"/>
      <c r="E4108" s="65"/>
      <c r="F4108" s="66"/>
      <c r="G4108" s="63"/>
      <c r="H4108" s="67"/>
      <c r="I4108" s="68"/>
      <c r="J4108" s="68"/>
      <c r="K4108" s="32"/>
      <c r="L4108" s="75">
        <v>4108</v>
      </c>
      <c r="M4108" s="75"/>
      <c r="N4108" s="70"/>
      <c r="O4108" s="77" t="s">
        <v>2078</v>
      </c>
      <c r="P4108" s="79">
        <v>45096.160324074073</v>
      </c>
      <c r="Q4108" s="77" t="s">
        <v>5712</v>
      </c>
      <c r="R4108" s="77">
        <v>0</v>
      </c>
      <c r="S4108" s="77">
        <v>2</v>
      </c>
      <c r="T4108" s="77">
        <v>0</v>
      </c>
      <c r="U4108" s="77">
        <v>0</v>
      </c>
      <c r="V4108" s="77">
        <v>132</v>
      </c>
      <c r="W4108" s="80" t="s">
        <v>8475</v>
      </c>
      <c r="X4108" s="77"/>
      <c r="Y4108" s="77"/>
      <c r="Z4108" s="77" t="s">
        <v>9032</v>
      </c>
      <c r="AA4108" s="77"/>
      <c r="AB4108" s="77"/>
      <c r="AC4108" s="80" t="s">
        <v>10540</v>
      </c>
      <c r="AD4108" s="77" t="s">
        <v>10620</v>
      </c>
      <c r="AE4108" s="83" t="str">
        <f>HYPERLINK("https://twitter.com/yerkokiyoki/status/1670640262043803649")</f>
        <v>https://twitter.com/yerkokiyoki/status/1670640262043803649</v>
      </c>
      <c r="AF4108" s="79">
        <v>45096.160324074073</v>
      </c>
      <c r="AG4108" s="85">
        <v>45096</v>
      </c>
      <c r="AH4108" s="80" t="s">
        <v>14193</v>
      </c>
      <c r="AI4108" s="77"/>
      <c r="AJ4108" s="77"/>
      <c r="AK4108" s="77"/>
      <c r="AL4108" s="77"/>
      <c r="AM4108" s="77"/>
      <c r="AN4108" s="77"/>
      <c r="AO4108" s="77"/>
      <c r="AP4108" s="77"/>
      <c r="AQ4108" s="77"/>
      <c r="AR4108" s="77"/>
      <c r="AS4108" s="77"/>
      <c r="AT4108" s="77"/>
      <c r="AU4108" s="77"/>
      <c r="AV4108" s="83" t="str">
        <f>HYPERLINK("https://pbs.twimg.com/profile_images/910448989149024256/2ZzfKg8T_normal.jpg")</f>
        <v>https://pbs.twimg.com/profile_images/910448989149024256/2ZzfKg8T_normal.jpg</v>
      </c>
      <c r="AW4108" s="80" t="s">
        <v>19781</v>
      </c>
      <c r="AX4108" s="80" t="s">
        <v>20209</v>
      </c>
      <c r="AY4108" s="80" t="s">
        <v>20374</v>
      </c>
      <c r="AZ4108" s="80" t="s">
        <v>20209</v>
      </c>
      <c r="BA4108" s="80" t="s">
        <v>20380</v>
      </c>
      <c r="BB4108" s="80" t="s">
        <v>20380</v>
      </c>
      <c r="BC4108" s="80" t="s">
        <v>20209</v>
      </c>
      <c r="BD4108" s="77">
        <v>42481881</v>
      </c>
      <c r="BE4108" s="77"/>
      <c r="BF4108" s="77"/>
      <c r="BG4108" s="77"/>
      <c r="BH4108" s="77"/>
      <c r="BI4108" s="77"/>
    </row>
    <row r="4109" spans="1:61" x14ac:dyDescent="0.25">
      <c r="A4109" s="62" t="s">
        <v>1637</v>
      </c>
      <c r="B4109" s="62" t="s">
        <v>1655</v>
      </c>
      <c r="C4109" s="63"/>
      <c r="D4109" s="64"/>
      <c r="E4109" s="65"/>
      <c r="F4109" s="66"/>
      <c r="G4109" s="63"/>
      <c r="H4109" s="67"/>
      <c r="I4109" s="68"/>
      <c r="J4109" s="68"/>
      <c r="K4109" s="32"/>
      <c r="L4109" s="75">
        <v>4109</v>
      </c>
      <c r="M4109" s="75"/>
      <c r="N4109" s="70"/>
      <c r="O4109" s="77" t="s">
        <v>2083</v>
      </c>
      <c r="P4109" s="79">
        <v>45191.059328703705</v>
      </c>
      <c r="Q4109" s="77" t="s">
        <v>2120</v>
      </c>
      <c r="R4109" s="77">
        <v>57</v>
      </c>
      <c r="S4109" s="77">
        <v>0</v>
      </c>
      <c r="T4109" s="77">
        <v>0</v>
      </c>
      <c r="U4109" s="77">
        <v>0</v>
      </c>
      <c r="V4109" s="77"/>
      <c r="W4109" s="80" t="s">
        <v>5917</v>
      </c>
      <c r="X4109" s="77"/>
      <c r="Y4109" s="77"/>
      <c r="Z4109" s="77" t="s">
        <v>1655</v>
      </c>
      <c r="AA4109" s="77"/>
      <c r="AB4109" s="77"/>
      <c r="AC4109" s="80" t="s">
        <v>10540</v>
      </c>
      <c r="AD4109" s="77" t="s">
        <v>10617</v>
      </c>
      <c r="AE4109" s="83" t="str">
        <f>HYPERLINK("https://twitter.com/wandersonrena20/status/1705030513231040623")</f>
        <v>https://twitter.com/wandersonrena20/status/1705030513231040623</v>
      </c>
      <c r="AF4109" s="79">
        <v>45191.059328703705</v>
      </c>
      <c r="AG4109" s="85">
        <v>45191</v>
      </c>
      <c r="AH4109" s="80" t="s">
        <v>14194</v>
      </c>
      <c r="AI4109" s="77"/>
      <c r="AJ4109" s="77"/>
      <c r="AK4109" s="77"/>
      <c r="AL4109" s="77"/>
      <c r="AM4109" s="77"/>
      <c r="AN4109" s="77"/>
      <c r="AO4109" s="77"/>
      <c r="AP4109" s="77"/>
      <c r="AQ4109" s="77"/>
      <c r="AR4109" s="77"/>
      <c r="AS4109" s="77"/>
      <c r="AT4109" s="77"/>
      <c r="AU4109" s="77"/>
      <c r="AV4109" s="83" t="str">
        <f>HYPERLINK("https://pbs.twimg.com/profile_images/1607911607157260288/9fw__4rn_normal.png")</f>
        <v>https://pbs.twimg.com/profile_images/1607911607157260288/9fw__4rn_normal.png</v>
      </c>
      <c r="AW4109" s="80" t="s">
        <v>19782</v>
      </c>
      <c r="AX4109" s="80" t="s">
        <v>19782</v>
      </c>
      <c r="AY4109" s="77"/>
      <c r="AZ4109" s="80" t="s">
        <v>20380</v>
      </c>
      <c r="BA4109" s="80" t="s">
        <v>20380</v>
      </c>
      <c r="BB4109" s="80" t="s">
        <v>19843</v>
      </c>
      <c r="BC4109" s="80" t="s">
        <v>19843</v>
      </c>
      <c r="BD4109" s="80" t="s">
        <v>21177</v>
      </c>
      <c r="BE4109" s="77"/>
      <c r="BF4109" s="77"/>
      <c r="BG4109" s="77"/>
      <c r="BH4109" s="77"/>
      <c r="BI4109" s="77"/>
    </row>
    <row r="4110" spans="1:61" x14ac:dyDescent="0.25">
      <c r="A4110" s="62" t="s">
        <v>1638</v>
      </c>
      <c r="B4110" s="62" t="s">
        <v>1638</v>
      </c>
      <c r="C4110" s="63"/>
      <c r="D4110" s="64"/>
      <c r="E4110" s="65"/>
      <c r="F4110" s="66"/>
      <c r="G4110" s="63"/>
      <c r="H4110" s="67"/>
      <c r="I4110" s="68"/>
      <c r="J4110" s="68"/>
      <c r="K4110" s="32"/>
      <c r="L4110" s="75">
        <v>4110</v>
      </c>
      <c r="M4110" s="75"/>
      <c r="N4110" s="70"/>
      <c r="O4110" s="77" t="s">
        <v>179</v>
      </c>
      <c r="P4110" s="79">
        <v>45098.821006944447</v>
      </c>
      <c r="Q4110" s="77" t="s">
        <v>5713</v>
      </c>
      <c r="R4110" s="77">
        <v>0</v>
      </c>
      <c r="S4110" s="77">
        <v>1</v>
      </c>
      <c r="T4110" s="77">
        <v>0</v>
      </c>
      <c r="U4110" s="77">
        <v>0</v>
      </c>
      <c r="V4110" s="77">
        <v>227</v>
      </c>
      <c r="W4110" s="80" t="s">
        <v>8476</v>
      </c>
      <c r="X4110" s="83" t="str">
        <f>HYPERLINK("https://youtu.be/Dbrk6OvTYN0")</f>
        <v>https://youtu.be/Dbrk6OvTYN0</v>
      </c>
      <c r="Y4110" s="77" t="s">
        <v>8635</v>
      </c>
      <c r="Z4110" s="77"/>
      <c r="AA4110" s="77"/>
      <c r="AB4110" s="77"/>
      <c r="AC4110" s="80" t="s">
        <v>10541</v>
      </c>
      <c r="AD4110" s="77" t="s">
        <v>10617</v>
      </c>
      <c r="AE4110" s="83" t="str">
        <f>HYPERLINK("https://twitter.com/porque_com_br/status/1671604463994298379")</f>
        <v>https://twitter.com/porque_com_br/status/1671604463994298379</v>
      </c>
      <c r="AF4110" s="79">
        <v>45098.821006944447</v>
      </c>
      <c r="AG4110" s="85">
        <v>45098</v>
      </c>
      <c r="AH4110" s="80" t="s">
        <v>14195</v>
      </c>
      <c r="AI4110" s="77" t="b">
        <v>0</v>
      </c>
      <c r="AJ4110" s="77"/>
      <c r="AK4110" s="77"/>
      <c r="AL4110" s="77"/>
      <c r="AM4110" s="77"/>
      <c r="AN4110" s="77"/>
      <c r="AO4110" s="77"/>
      <c r="AP4110" s="77"/>
      <c r="AQ4110" s="77"/>
      <c r="AR4110" s="77"/>
      <c r="AS4110" s="77"/>
      <c r="AT4110" s="77"/>
      <c r="AU4110" s="77"/>
      <c r="AV4110" s="83" t="str">
        <f>HYPERLINK("https://pbs.twimg.com/profile_images/1620590176610156549/gEwbNvth_normal.jpg")</f>
        <v>https://pbs.twimg.com/profile_images/1620590176610156549/gEwbNvth_normal.jpg</v>
      </c>
      <c r="AW4110" s="80" t="s">
        <v>19783</v>
      </c>
      <c r="AX4110" s="80" t="s">
        <v>19783</v>
      </c>
      <c r="AY4110" s="77"/>
      <c r="AZ4110" s="80" t="s">
        <v>20380</v>
      </c>
      <c r="BA4110" s="80" t="s">
        <v>20380</v>
      </c>
      <c r="BB4110" s="80" t="s">
        <v>20380</v>
      </c>
      <c r="BC4110" s="80" t="s">
        <v>19783</v>
      </c>
      <c r="BD4110" s="77">
        <v>3166145932</v>
      </c>
      <c r="BE4110" s="77"/>
      <c r="BF4110" s="77"/>
      <c r="BG4110" s="77"/>
      <c r="BH4110" s="77"/>
      <c r="BI4110" s="77"/>
    </row>
    <row r="4111" spans="1:61" x14ac:dyDescent="0.25">
      <c r="A4111" s="62" t="s">
        <v>1639</v>
      </c>
      <c r="B4111" s="62" t="s">
        <v>1856</v>
      </c>
      <c r="C4111" s="63"/>
      <c r="D4111" s="64"/>
      <c r="E4111" s="65"/>
      <c r="F4111" s="66"/>
      <c r="G4111" s="63"/>
      <c r="H4111" s="67"/>
      <c r="I4111" s="68"/>
      <c r="J4111" s="68"/>
      <c r="K4111" s="32"/>
      <c r="L4111" s="75">
        <v>4111</v>
      </c>
      <c r="M4111" s="75"/>
      <c r="N4111" s="70"/>
      <c r="O4111" s="77" t="s">
        <v>2084</v>
      </c>
      <c r="P4111" s="79">
        <v>45072.633217592593</v>
      </c>
      <c r="Q4111" s="77" t="s">
        <v>5714</v>
      </c>
      <c r="R4111" s="77">
        <v>0</v>
      </c>
      <c r="S4111" s="77">
        <v>0</v>
      </c>
      <c r="T4111" s="77">
        <v>0</v>
      </c>
      <c r="U4111" s="77">
        <v>0</v>
      </c>
      <c r="V4111" s="77">
        <v>1</v>
      </c>
      <c r="W4111" s="80" t="s">
        <v>5884</v>
      </c>
      <c r="X4111" s="77"/>
      <c r="Y4111" s="77"/>
      <c r="Z4111" s="77" t="s">
        <v>1856</v>
      </c>
      <c r="AA4111" s="77"/>
      <c r="AB4111" s="77"/>
      <c r="AC4111" s="80" t="s">
        <v>10541</v>
      </c>
      <c r="AD4111" s="77" t="s">
        <v>10620</v>
      </c>
      <c r="AE4111" s="83" t="str">
        <f>HYPERLINK("https://twitter.com/mickey60_/status/1662114326063267842")</f>
        <v>https://twitter.com/mickey60_/status/1662114326063267842</v>
      </c>
      <c r="AF4111" s="79">
        <v>45072.633217592593</v>
      </c>
      <c r="AG4111" s="85">
        <v>45072</v>
      </c>
      <c r="AH4111" s="80" t="s">
        <v>14196</v>
      </c>
      <c r="AI4111" s="77"/>
      <c r="AJ4111" s="77"/>
      <c r="AK4111" s="77"/>
      <c r="AL4111" s="77"/>
      <c r="AM4111" s="77"/>
      <c r="AN4111" s="77"/>
      <c r="AO4111" s="77"/>
      <c r="AP4111" s="77"/>
      <c r="AQ4111" s="77"/>
      <c r="AR4111" s="77"/>
      <c r="AS4111" s="77"/>
      <c r="AT4111" s="77"/>
      <c r="AU4111" s="77"/>
      <c r="AV4111" s="83" t="str">
        <f>HYPERLINK("https://pbs.twimg.com/profile_images/1520144489863692290/HJq1tMgX_normal.jpg")</f>
        <v>https://pbs.twimg.com/profile_images/1520144489863692290/HJq1tMgX_normal.jpg</v>
      </c>
      <c r="AW4111" s="80" t="s">
        <v>19784</v>
      </c>
      <c r="AX4111" s="80" t="s">
        <v>19784</v>
      </c>
      <c r="AY4111" s="80" t="s">
        <v>20272</v>
      </c>
      <c r="AZ4111" s="80" t="s">
        <v>20380</v>
      </c>
      <c r="BA4111" s="80" t="s">
        <v>19785</v>
      </c>
      <c r="BB4111" s="80" t="s">
        <v>20380</v>
      </c>
      <c r="BC4111" s="80" t="s">
        <v>19785</v>
      </c>
      <c r="BD4111" s="77">
        <v>449929805</v>
      </c>
      <c r="BE4111" s="77"/>
      <c r="BF4111" s="77"/>
      <c r="BG4111" s="77"/>
      <c r="BH4111" s="77"/>
      <c r="BI4111" s="77"/>
    </row>
    <row r="4112" spans="1:61" x14ac:dyDescent="0.25">
      <c r="A4112" s="62" t="s">
        <v>1640</v>
      </c>
      <c r="B4112" s="62" t="s">
        <v>1640</v>
      </c>
      <c r="C4112" s="63"/>
      <c r="D4112" s="64"/>
      <c r="E4112" s="65"/>
      <c r="F4112" s="66"/>
      <c r="G4112" s="63"/>
      <c r="H4112" s="67"/>
      <c r="I4112" s="68"/>
      <c r="J4112" s="68"/>
      <c r="K4112" s="32"/>
      <c r="L4112" s="75">
        <v>4112</v>
      </c>
      <c r="M4112" s="75"/>
      <c r="N4112" s="70"/>
      <c r="O4112" s="77" t="s">
        <v>179</v>
      </c>
      <c r="P4112" s="79">
        <v>45072.575995370367</v>
      </c>
      <c r="Q4112" s="77" t="s">
        <v>5715</v>
      </c>
      <c r="R4112" s="77">
        <v>292</v>
      </c>
      <c r="S4112" s="77">
        <v>572</v>
      </c>
      <c r="T4112" s="77">
        <v>49</v>
      </c>
      <c r="U4112" s="77">
        <v>11</v>
      </c>
      <c r="V4112" s="77">
        <v>21170</v>
      </c>
      <c r="W4112" s="77"/>
      <c r="X4112" s="77"/>
      <c r="Y4112" s="77"/>
      <c r="Z4112" s="77"/>
      <c r="AA4112" s="77" t="s">
        <v>10448</v>
      </c>
      <c r="AB4112" s="77" t="s">
        <v>10535</v>
      </c>
      <c r="AC4112" s="80" t="s">
        <v>10540</v>
      </c>
      <c r="AD4112" s="77" t="s">
        <v>10620</v>
      </c>
      <c r="AE4112" s="83" t="str">
        <f>HYPERLINK("https://twitter.com/memesdelmijin/status/1662093590955192321")</f>
        <v>https://twitter.com/memesdelmijin/status/1662093590955192321</v>
      </c>
      <c r="AF4112" s="79">
        <v>45072.575995370367</v>
      </c>
      <c r="AG4112" s="85">
        <v>45072</v>
      </c>
      <c r="AH4112" s="80" t="s">
        <v>14197</v>
      </c>
      <c r="AI4112" s="77" t="b">
        <v>0</v>
      </c>
      <c r="AJ4112" s="77"/>
      <c r="AK4112" s="77"/>
      <c r="AL4112" s="77"/>
      <c r="AM4112" s="77"/>
      <c r="AN4112" s="77"/>
      <c r="AO4112" s="77"/>
      <c r="AP4112" s="77"/>
      <c r="AQ4112" s="77" t="s">
        <v>15927</v>
      </c>
      <c r="AR4112" s="77"/>
      <c r="AS4112" s="77"/>
      <c r="AT4112" s="77"/>
      <c r="AU4112" s="77"/>
      <c r="AV4112" s="83" t="str">
        <f>HYPERLINK("https://pbs.twimg.com/media/FxDxUB3XoAEf3xS.jpg")</f>
        <v>https://pbs.twimg.com/media/FxDxUB3XoAEf3xS.jpg</v>
      </c>
      <c r="AW4112" s="80" t="s">
        <v>19785</v>
      </c>
      <c r="AX4112" s="80" t="s">
        <v>19785</v>
      </c>
      <c r="AY4112" s="77"/>
      <c r="AZ4112" s="80" t="s">
        <v>20380</v>
      </c>
      <c r="BA4112" s="80" t="s">
        <v>20380</v>
      </c>
      <c r="BB4112" s="80" t="s">
        <v>20380</v>
      </c>
      <c r="BC4112" s="80" t="s">
        <v>19785</v>
      </c>
      <c r="BD4112" s="80" t="s">
        <v>21178</v>
      </c>
      <c r="BE4112" s="77"/>
      <c r="BF4112" s="77"/>
      <c r="BG4112" s="77"/>
      <c r="BH4112" s="77"/>
      <c r="BI4112" s="77"/>
    </row>
    <row r="4113" spans="1:61" x14ac:dyDescent="0.25">
      <c r="A4113" s="62" t="s">
        <v>1639</v>
      </c>
      <c r="B4113" s="62" t="s">
        <v>1640</v>
      </c>
      <c r="C4113" s="63"/>
      <c r="D4113" s="64"/>
      <c r="E4113" s="65"/>
      <c r="F4113" s="66"/>
      <c r="G4113" s="63"/>
      <c r="H4113" s="67"/>
      <c r="I4113" s="68"/>
      <c r="J4113" s="68"/>
      <c r="K4113" s="32"/>
      <c r="L4113" s="75">
        <v>4113</v>
      </c>
      <c r="M4113" s="75"/>
      <c r="N4113" s="70"/>
      <c r="O4113" s="77" t="s">
        <v>2082</v>
      </c>
      <c r="P4113" s="79">
        <v>45072.633217592593</v>
      </c>
      <c r="Q4113" s="77" t="s">
        <v>5714</v>
      </c>
      <c r="R4113" s="77">
        <v>0</v>
      </c>
      <c r="S4113" s="77">
        <v>0</v>
      </c>
      <c r="T4113" s="77">
        <v>0</v>
      </c>
      <c r="U4113" s="77">
        <v>0</v>
      </c>
      <c r="V4113" s="77">
        <v>1</v>
      </c>
      <c r="W4113" s="80" t="s">
        <v>5884</v>
      </c>
      <c r="X4113" s="77"/>
      <c r="Y4113" s="77"/>
      <c r="Z4113" s="77" t="s">
        <v>1856</v>
      </c>
      <c r="AA4113" s="77"/>
      <c r="AB4113" s="77"/>
      <c r="AC4113" s="80" t="s">
        <v>10541</v>
      </c>
      <c r="AD4113" s="77" t="s">
        <v>10620</v>
      </c>
      <c r="AE4113" s="83" t="str">
        <f>HYPERLINK("https://twitter.com/mickey60_/status/1662114326063267842")</f>
        <v>https://twitter.com/mickey60_/status/1662114326063267842</v>
      </c>
      <c r="AF4113" s="79">
        <v>45072.633217592593</v>
      </c>
      <c r="AG4113" s="85">
        <v>45072</v>
      </c>
      <c r="AH4113" s="80" t="s">
        <v>14196</v>
      </c>
      <c r="AI4113" s="77"/>
      <c r="AJ4113" s="77"/>
      <c r="AK4113" s="77"/>
      <c r="AL4113" s="77"/>
      <c r="AM4113" s="77"/>
      <c r="AN4113" s="77"/>
      <c r="AO4113" s="77"/>
      <c r="AP4113" s="77"/>
      <c r="AQ4113" s="77"/>
      <c r="AR4113" s="77"/>
      <c r="AS4113" s="77"/>
      <c r="AT4113" s="77"/>
      <c r="AU4113" s="77"/>
      <c r="AV4113" s="83" t="str">
        <f>HYPERLINK("https://pbs.twimg.com/profile_images/1520144489863692290/HJq1tMgX_normal.jpg")</f>
        <v>https://pbs.twimg.com/profile_images/1520144489863692290/HJq1tMgX_normal.jpg</v>
      </c>
      <c r="AW4113" s="80" t="s">
        <v>19784</v>
      </c>
      <c r="AX4113" s="80" t="s">
        <v>19784</v>
      </c>
      <c r="AY4113" s="80" t="s">
        <v>20272</v>
      </c>
      <c r="AZ4113" s="80" t="s">
        <v>20380</v>
      </c>
      <c r="BA4113" s="80" t="s">
        <v>19785</v>
      </c>
      <c r="BB4113" s="80" t="s">
        <v>20380</v>
      </c>
      <c r="BC4113" s="80" t="s">
        <v>19785</v>
      </c>
      <c r="BD4113" s="77">
        <v>449929805</v>
      </c>
      <c r="BE4113" s="77"/>
      <c r="BF4113" s="77"/>
      <c r="BG4113" s="77"/>
      <c r="BH4113" s="77"/>
      <c r="BI4113" s="77"/>
    </row>
    <row r="4114" spans="1:61" x14ac:dyDescent="0.25">
      <c r="A4114" s="62" t="s">
        <v>1641</v>
      </c>
      <c r="B4114" s="62" t="s">
        <v>1641</v>
      </c>
      <c r="C4114" s="63"/>
      <c r="D4114" s="64"/>
      <c r="E4114" s="65"/>
      <c r="F4114" s="66"/>
      <c r="G4114" s="63"/>
      <c r="H4114" s="67"/>
      <c r="I4114" s="68"/>
      <c r="J4114" s="68"/>
      <c r="K4114" s="32"/>
      <c r="L4114" s="75">
        <v>4114</v>
      </c>
      <c r="M4114" s="75"/>
      <c r="N4114" s="70"/>
      <c r="O4114" s="77" t="s">
        <v>2078</v>
      </c>
      <c r="P4114" s="79">
        <v>45154.570393518516</v>
      </c>
      <c r="Q4114" s="77" t="s">
        <v>5716</v>
      </c>
      <c r="R4114" s="77">
        <v>0</v>
      </c>
      <c r="S4114" s="77">
        <v>0</v>
      </c>
      <c r="T4114" s="77">
        <v>0</v>
      </c>
      <c r="U4114" s="77">
        <v>0</v>
      </c>
      <c r="V4114" s="77">
        <v>46</v>
      </c>
      <c r="W4114" s="80" t="s">
        <v>5884</v>
      </c>
      <c r="X4114" s="77"/>
      <c r="Y4114" s="77"/>
      <c r="Z4114" s="77" t="s">
        <v>1596</v>
      </c>
      <c r="AA4114" s="77"/>
      <c r="AB4114" s="77"/>
      <c r="AC4114" s="80" t="s">
        <v>10541</v>
      </c>
      <c r="AD4114" s="77" t="s">
        <v>10617</v>
      </c>
      <c r="AE4114" s="83" t="str">
        <f>HYPERLINK("https://twitter.com/furtadoworld/status/1691807362313597363")</f>
        <v>https://twitter.com/furtadoworld/status/1691807362313597363</v>
      </c>
      <c r="AF4114" s="79">
        <v>45154.570393518516</v>
      </c>
      <c r="AG4114" s="85">
        <v>45154</v>
      </c>
      <c r="AH4114" s="80" t="s">
        <v>14198</v>
      </c>
      <c r="AI4114" s="77"/>
      <c r="AJ4114" s="77" t="s">
        <v>14357</v>
      </c>
      <c r="AK4114" s="77" t="s">
        <v>14382</v>
      </c>
      <c r="AL4114" s="77" t="s">
        <v>14391</v>
      </c>
      <c r="AM4114" s="77" t="s">
        <v>14414</v>
      </c>
      <c r="AN4114" s="77" t="s">
        <v>14454</v>
      </c>
      <c r="AO4114" s="77" t="s">
        <v>14493</v>
      </c>
      <c r="AP4114" s="77" t="s">
        <v>14516</v>
      </c>
      <c r="AQ4114" s="77"/>
      <c r="AR4114" s="77"/>
      <c r="AS4114" s="77"/>
      <c r="AT4114" s="77"/>
      <c r="AU4114" s="77"/>
      <c r="AV4114" s="83" t="str">
        <f>HYPERLINK("https://pbs.twimg.com/profile_images/1121992540/with_nelly_3x4_normal.jpg")</f>
        <v>https://pbs.twimg.com/profile_images/1121992540/with_nelly_3x4_normal.jpg</v>
      </c>
      <c r="AW4114" s="80" t="s">
        <v>19786</v>
      </c>
      <c r="AX4114" s="80" t="s">
        <v>20210</v>
      </c>
      <c r="AY4114" s="80" t="s">
        <v>20375</v>
      </c>
      <c r="AZ4114" s="80" t="s">
        <v>20210</v>
      </c>
      <c r="BA4114" s="80" t="s">
        <v>20380</v>
      </c>
      <c r="BB4114" s="80" t="s">
        <v>20380</v>
      </c>
      <c r="BC4114" s="80" t="s">
        <v>20210</v>
      </c>
      <c r="BD4114" s="77">
        <v>65245346</v>
      </c>
      <c r="BE4114" s="77"/>
      <c r="BF4114" s="77"/>
      <c r="BG4114" s="77"/>
      <c r="BH4114" s="77"/>
      <c r="BI4114" s="77"/>
    </row>
    <row r="4115" spans="1:61" x14ac:dyDescent="0.25">
      <c r="A4115" s="62" t="s">
        <v>1642</v>
      </c>
      <c r="B4115" s="62" t="s">
        <v>1642</v>
      </c>
      <c r="C4115" s="63"/>
      <c r="D4115" s="64"/>
      <c r="E4115" s="65"/>
      <c r="F4115" s="66"/>
      <c r="G4115" s="63"/>
      <c r="H4115" s="67"/>
      <c r="I4115" s="68"/>
      <c r="J4115" s="68"/>
      <c r="K4115" s="32"/>
      <c r="L4115" s="75">
        <v>4115</v>
      </c>
      <c r="M4115" s="75"/>
      <c r="N4115" s="70"/>
      <c r="O4115" s="77" t="s">
        <v>179</v>
      </c>
      <c r="P4115" s="79">
        <v>45127.022939814815</v>
      </c>
      <c r="Q4115" s="77" t="s">
        <v>5717</v>
      </c>
      <c r="R4115" s="77">
        <v>0</v>
      </c>
      <c r="S4115" s="77">
        <v>0</v>
      </c>
      <c r="T4115" s="77">
        <v>0</v>
      </c>
      <c r="U4115" s="77">
        <v>0</v>
      </c>
      <c r="V4115" s="77">
        <v>252</v>
      </c>
      <c r="W4115" s="80" t="s">
        <v>8477</v>
      </c>
      <c r="X4115" s="83" t="str">
        <f>HYPERLINK("https://www.elpais.hn/el-deficit-comercial-de-honduras-cae-el-91-a-mayo-hasta-2-8931-millones-de-dolares/")</f>
        <v>https://www.elpais.hn/el-deficit-comercial-de-honduras-cae-el-91-a-mayo-hasta-2-8931-millones-de-dolares/</v>
      </c>
      <c r="Y4115" s="77" t="s">
        <v>8888</v>
      </c>
      <c r="Z4115" s="77"/>
      <c r="AA4115" s="77"/>
      <c r="AB4115" s="77"/>
      <c r="AC4115" s="80" t="s">
        <v>10541</v>
      </c>
      <c r="AD4115" s="77" t="s">
        <v>10620</v>
      </c>
      <c r="AE4115" s="83" t="str">
        <f>HYPERLINK("https://twitter.com/elpaishn/status/1681824501833560066")</f>
        <v>https://twitter.com/elpaishn/status/1681824501833560066</v>
      </c>
      <c r="AF4115" s="79">
        <v>45127.022939814815</v>
      </c>
      <c r="AG4115" s="85">
        <v>45127</v>
      </c>
      <c r="AH4115" s="80" t="s">
        <v>14199</v>
      </c>
      <c r="AI4115" s="77" t="b">
        <v>0</v>
      </c>
      <c r="AJ4115" s="77"/>
      <c r="AK4115" s="77"/>
      <c r="AL4115" s="77"/>
      <c r="AM4115" s="77"/>
      <c r="AN4115" s="77"/>
      <c r="AO4115" s="77"/>
      <c r="AP4115" s="77"/>
      <c r="AQ4115" s="77"/>
      <c r="AR4115" s="77"/>
      <c r="AS4115" s="77"/>
      <c r="AT4115" s="77"/>
      <c r="AU4115" s="77"/>
      <c r="AV4115" s="83" t="str">
        <f>HYPERLINK("https://pbs.twimg.com/profile_images/1501239824828796929/a-2DsNkX_normal.jpg")</f>
        <v>https://pbs.twimg.com/profile_images/1501239824828796929/a-2DsNkX_normal.jpg</v>
      </c>
      <c r="AW4115" s="80" t="s">
        <v>19787</v>
      </c>
      <c r="AX4115" s="80" t="s">
        <v>19787</v>
      </c>
      <c r="AY4115" s="77"/>
      <c r="AZ4115" s="80" t="s">
        <v>20380</v>
      </c>
      <c r="BA4115" s="80" t="s">
        <v>20380</v>
      </c>
      <c r="BB4115" s="80" t="s">
        <v>20380</v>
      </c>
      <c r="BC4115" s="80" t="s">
        <v>19787</v>
      </c>
      <c r="BD4115" s="80" t="s">
        <v>21179</v>
      </c>
      <c r="BE4115" s="77"/>
      <c r="BF4115" s="77"/>
      <c r="BG4115" s="77"/>
      <c r="BH4115" s="77"/>
      <c r="BI4115" s="77"/>
    </row>
    <row r="4116" spans="1:61" x14ac:dyDescent="0.25">
      <c r="A4116" s="62" t="s">
        <v>1642</v>
      </c>
      <c r="B4116" s="62" t="s">
        <v>1642</v>
      </c>
      <c r="C4116" s="63"/>
      <c r="D4116" s="64"/>
      <c r="E4116" s="65"/>
      <c r="F4116" s="66"/>
      <c r="G4116" s="63"/>
      <c r="H4116" s="67"/>
      <c r="I4116" s="68"/>
      <c r="J4116" s="68"/>
      <c r="K4116" s="32"/>
      <c r="L4116" s="75">
        <v>4116</v>
      </c>
      <c r="M4116" s="75"/>
      <c r="N4116" s="70"/>
      <c r="O4116" s="77" t="s">
        <v>179</v>
      </c>
      <c r="P4116" s="79">
        <v>45162.734097222223</v>
      </c>
      <c r="Q4116" s="77" t="s">
        <v>5718</v>
      </c>
      <c r="R4116" s="77">
        <v>0</v>
      </c>
      <c r="S4116" s="77">
        <v>0</v>
      </c>
      <c r="T4116" s="77">
        <v>0</v>
      </c>
      <c r="U4116" s="77">
        <v>0</v>
      </c>
      <c r="V4116" s="77">
        <v>139</v>
      </c>
      <c r="W4116" s="80" t="s">
        <v>8478</v>
      </c>
      <c r="X4116" s="83" t="str">
        <f>HYPERLINK("https://www.elpais.hn/incluiran-imagen-de-berta-caceres-en-billete-de-200-lempiras/")</f>
        <v>https://www.elpais.hn/incluiran-imagen-de-berta-caceres-en-billete-de-200-lempiras/</v>
      </c>
      <c r="Y4116" s="77" t="s">
        <v>8888</v>
      </c>
      <c r="Z4116" s="77"/>
      <c r="AA4116" s="77"/>
      <c r="AB4116" s="77"/>
      <c r="AC4116" s="80" t="s">
        <v>10541</v>
      </c>
      <c r="AD4116" s="77" t="s">
        <v>10620</v>
      </c>
      <c r="AE4116" s="83" t="str">
        <f>HYPERLINK("https://twitter.com/elpaishn/status/1694765790929596921")</f>
        <v>https://twitter.com/elpaishn/status/1694765790929596921</v>
      </c>
      <c r="AF4116" s="79">
        <v>45162.734097222223</v>
      </c>
      <c r="AG4116" s="85">
        <v>45162</v>
      </c>
      <c r="AH4116" s="80" t="s">
        <v>14200</v>
      </c>
      <c r="AI4116" s="77" t="b">
        <v>0</v>
      </c>
      <c r="AJ4116" s="77"/>
      <c r="AK4116" s="77"/>
      <c r="AL4116" s="77"/>
      <c r="AM4116" s="77"/>
      <c r="AN4116" s="77"/>
      <c r="AO4116" s="77"/>
      <c r="AP4116" s="77"/>
      <c r="AQ4116" s="77"/>
      <c r="AR4116" s="77"/>
      <c r="AS4116" s="77"/>
      <c r="AT4116" s="77"/>
      <c r="AU4116" s="77"/>
      <c r="AV4116" s="83" t="str">
        <f>HYPERLINK("https://pbs.twimg.com/profile_images/1501239824828796929/a-2DsNkX_normal.jpg")</f>
        <v>https://pbs.twimg.com/profile_images/1501239824828796929/a-2DsNkX_normal.jpg</v>
      </c>
      <c r="AW4116" s="80" t="s">
        <v>19788</v>
      </c>
      <c r="AX4116" s="80" t="s">
        <v>19788</v>
      </c>
      <c r="AY4116" s="77"/>
      <c r="AZ4116" s="80" t="s">
        <v>20380</v>
      </c>
      <c r="BA4116" s="80" t="s">
        <v>20380</v>
      </c>
      <c r="BB4116" s="80" t="s">
        <v>20380</v>
      </c>
      <c r="BC4116" s="80" t="s">
        <v>19788</v>
      </c>
      <c r="BD4116" s="80" t="s">
        <v>21179</v>
      </c>
      <c r="BE4116" s="77"/>
      <c r="BF4116" s="77"/>
      <c r="BG4116" s="77"/>
      <c r="BH4116" s="77"/>
      <c r="BI4116" s="77"/>
    </row>
    <row r="4117" spans="1:61" x14ac:dyDescent="0.25">
      <c r="A4117" s="62" t="s">
        <v>1642</v>
      </c>
      <c r="B4117" s="62" t="s">
        <v>1642</v>
      </c>
      <c r="C4117" s="63"/>
      <c r="D4117" s="64"/>
      <c r="E4117" s="65"/>
      <c r="F4117" s="66"/>
      <c r="G4117" s="63"/>
      <c r="H4117" s="67"/>
      <c r="I4117" s="68"/>
      <c r="J4117" s="68"/>
      <c r="K4117" s="32"/>
      <c r="L4117" s="75">
        <v>4117</v>
      </c>
      <c r="M4117" s="75"/>
      <c r="N4117" s="70"/>
      <c r="O4117" s="77" t="s">
        <v>179</v>
      </c>
      <c r="P4117" s="79">
        <v>45170.869895833333</v>
      </c>
      <c r="Q4117" s="77" t="s">
        <v>5719</v>
      </c>
      <c r="R4117" s="77">
        <v>0</v>
      </c>
      <c r="S4117" s="77">
        <v>0</v>
      </c>
      <c r="T4117" s="77">
        <v>0</v>
      </c>
      <c r="U4117" s="77">
        <v>0</v>
      </c>
      <c r="V4117" s="77">
        <v>203</v>
      </c>
      <c r="W4117" s="80" t="s">
        <v>8479</v>
      </c>
      <c r="X4117" s="83" t="str">
        <f>HYPERLINK("https://www.elpais.hn/la-inflacion-en-honduras-en-agosto-fue-de-050-segun-el-banco-central/")</f>
        <v>https://www.elpais.hn/la-inflacion-en-honduras-en-agosto-fue-de-050-segun-el-banco-central/</v>
      </c>
      <c r="Y4117" s="77" t="s">
        <v>8888</v>
      </c>
      <c r="Z4117" s="77"/>
      <c r="AA4117" s="77"/>
      <c r="AB4117" s="77"/>
      <c r="AC4117" s="80" t="s">
        <v>10541</v>
      </c>
      <c r="AD4117" s="77" t="s">
        <v>10620</v>
      </c>
      <c r="AE4117" s="83" t="str">
        <f>HYPERLINK("https://twitter.com/elpaishn/status/1697714104847257964")</f>
        <v>https://twitter.com/elpaishn/status/1697714104847257964</v>
      </c>
      <c r="AF4117" s="79">
        <v>45170.869895833333</v>
      </c>
      <c r="AG4117" s="85">
        <v>45170</v>
      </c>
      <c r="AH4117" s="80" t="s">
        <v>14201</v>
      </c>
      <c r="AI4117" s="77" t="b">
        <v>0</v>
      </c>
      <c r="AJ4117" s="77"/>
      <c r="AK4117" s="77"/>
      <c r="AL4117" s="77"/>
      <c r="AM4117" s="77"/>
      <c r="AN4117" s="77"/>
      <c r="AO4117" s="77"/>
      <c r="AP4117" s="77"/>
      <c r="AQ4117" s="77"/>
      <c r="AR4117" s="77"/>
      <c r="AS4117" s="77"/>
      <c r="AT4117" s="77"/>
      <c r="AU4117" s="77"/>
      <c r="AV4117" s="83" t="str">
        <f>HYPERLINK("https://pbs.twimg.com/profile_images/1501239824828796929/a-2DsNkX_normal.jpg")</f>
        <v>https://pbs.twimg.com/profile_images/1501239824828796929/a-2DsNkX_normal.jpg</v>
      </c>
      <c r="AW4117" s="80" t="s">
        <v>19789</v>
      </c>
      <c r="AX4117" s="80" t="s">
        <v>19789</v>
      </c>
      <c r="AY4117" s="77"/>
      <c r="AZ4117" s="80" t="s">
        <v>20380</v>
      </c>
      <c r="BA4117" s="80" t="s">
        <v>20380</v>
      </c>
      <c r="BB4117" s="80" t="s">
        <v>20380</v>
      </c>
      <c r="BC4117" s="80" t="s">
        <v>19789</v>
      </c>
      <c r="BD4117" s="80" t="s">
        <v>21179</v>
      </c>
      <c r="BE4117" s="77"/>
      <c r="BF4117" s="77"/>
      <c r="BG4117" s="77"/>
      <c r="BH4117" s="77"/>
      <c r="BI4117" s="77"/>
    </row>
    <row r="4118" spans="1:61" x14ac:dyDescent="0.25">
      <c r="A4118" s="62" t="s">
        <v>1643</v>
      </c>
      <c r="B4118" s="62" t="s">
        <v>1643</v>
      </c>
      <c r="C4118" s="63"/>
      <c r="D4118" s="64"/>
      <c r="E4118" s="65"/>
      <c r="F4118" s="66"/>
      <c r="G4118" s="63"/>
      <c r="H4118" s="67"/>
      <c r="I4118" s="68"/>
      <c r="J4118" s="68"/>
      <c r="K4118" s="32"/>
      <c r="L4118" s="75">
        <v>4118</v>
      </c>
      <c r="M4118" s="75"/>
      <c r="N4118" s="70"/>
      <c r="O4118" s="77" t="s">
        <v>2078</v>
      </c>
      <c r="P4118" s="79">
        <v>45091.588287037041</v>
      </c>
      <c r="Q4118" s="77" t="s">
        <v>5720</v>
      </c>
      <c r="R4118" s="77">
        <v>0</v>
      </c>
      <c r="S4118" s="77">
        <v>0</v>
      </c>
      <c r="T4118" s="77">
        <v>1</v>
      </c>
      <c r="U4118" s="77">
        <v>0</v>
      </c>
      <c r="V4118" s="77">
        <v>10</v>
      </c>
      <c r="W4118" s="80" t="s">
        <v>8480</v>
      </c>
      <c r="X4118" s="77"/>
      <c r="Y4118" s="77"/>
      <c r="Z4118" s="77"/>
      <c r="AA4118" s="77"/>
      <c r="AB4118" s="77"/>
      <c r="AC4118" s="80" t="s">
        <v>10541</v>
      </c>
      <c r="AD4118" s="77" t="s">
        <v>10617</v>
      </c>
      <c r="AE4118" s="83" t="str">
        <f>HYPERLINK("https://twitter.com/caio_c_antonio/status/1668983413766848512")</f>
        <v>https://twitter.com/caio_c_antonio/status/1668983413766848512</v>
      </c>
      <c r="AF4118" s="79">
        <v>45091.588287037041</v>
      </c>
      <c r="AG4118" s="85">
        <v>45091</v>
      </c>
      <c r="AH4118" s="80" t="s">
        <v>14202</v>
      </c>
      <c r="AI4118" s="77"/>
      <c r="AJ4118" s="77"/>
      <c r="AK4118" s="77"/>
      <c r="AL4118" s="77"/>
      <c r="AM4118" s="77"/>
      <c r="AN4118" s="77"/>
      <c r="AO4118" s="77"/>
      <c r="AP4118" s="77"/>
      <c r="AQ4118" s="77"/>
      <c r="AR4118" s="77"/>
      <c r="AS4118" s="77"/>
      <c r="AT4118" s="77"/>
      <c r="AU4118" s="77"/>
      <c r="AV4118" s="83" t="str">
        <f>HYPERLINK("https://pbs.twimg.com/profile_images/1599416664562569217/DER6Jp_e_normal.jpg")</f>
        <v>https://pbs.twimg.com/profile_images/1599416664562569217/DER6Jp_e_normal.jpg</v>
      </c>
      <c r="AW4118" s="80" t="s">
        <v>19790</v>
      </c>
      <c r="AX4118" s="80" t="s">
        <v>19791</v>
      </c>
      <c r="AY4118" s="80" t="s">
        <v>20376</v>
      </c>
      <c r="AZ4118" s="80" t="s">
        <v>20479</v>
      </c>
      <c r="BA4118" s="80" t="s">
        <v>20380</v>
      </c>
      <c r="BB4118" s="80" t="s">
        <v>20380</v>
      </c>
      <c r="BC4118" s="80" t="s">
        <v>20479</v>
      </c>
      <c r="BD4118" s="80" t="s">
        <v>20376</v>
      </c>
      <c r="BE4118" s="77"/>
      <c r="BF4118" s="77"/>
      <c r="BG4118" s="77"/>
      <c r="BH4118" s="77"/>
      <c r="BI4118" s="77"/>
    </row>
    <row r="4119" spans="1:61" x14ac:dyDescent="0.25">
      <c r="A4119" s="62" t="s">
        <v>1643</v>
      </c>
      <c r="B4119" s="62" t="s">
        <v>1643</v>
      </c>
      <c r="C4119" s="63"/>
      <c r="D4119" s="64"/>
      <c r="E4119" s="65"/>
      <c r="F4119" s="66"/>
      <c r="G4119" s="63"/>
      <c r="H4119" s="67"/>
      <c r="I4119" s="68"/>
      <c r="J4119" s="68"/>
      <c r="K4119" s="32"/>
      <c r="L4119" s="75">
        <v>4119</v>
      </c>
      <c r="M4119" s="75"/>
      <c r="N4119" s="70"/>
      <c r="O4119" s="77" t="s">
        <v>179</v>
      </c>
      <c r="P4119" s="79">
        <v>45091.588275462964</v>
      </c>
      <c r="Q4119" s="77" t="s">
        <v>5721</v>
      </c>
      <c r="R4119" s="77">
        <v>0</v>
      </c>
      <c r="S4119" s="77">
        <v>0</v>
      </c>
      <c r="T4119" s="77">
        <v>1</v>
      </c>
      <c r="U4119" s="77">
        <v>0</v>
      </c>
      <c r="V4119" s="77">
        <v>35</v>
      </c>
      <c r="W4119" s="80" t="s">
        <v>8481</v>
      </c>
      <c r="X4119" s="77"/>
      <c r="Y4119" s="77"/>
      <c r="Z4119" s="77"/>
      <c r="AA4119" s="77"/>
      <c r="AB4119" s="77"/>
      <c r="AC4119" s="80" t="s">
        <v>10541</v>
      </c>
      <c r="AD4119" s="77" t="s">
        <v>10617</v>
      </c>
      <c r="AE4119" s="83" t="str">
        <f>HYPERLINK("https://twitter.com/caio_c_antonio/status/1668983410176536583")</f>
        <v>https://twitter.com/caio_c_antonio/status/1668983410176536583</v>
      </c>
      <c r="AF4119" s="79">
        <v>45091.588275462964</v>
      </c>
      <c r="AG4119" s="85">
        <v>45091</v>
      </c>
      <c r="AH4119" s="80" t="s">
        <v>14203</v>
      </c>
      <c r="AI4119" s="77"/>
      <c r="AJ4119" s="77"/>
      <c r="AK4119" s="77"/>
      <c r="AL4119" s="77"/>
      <c r="AM4119" s="77"/>
      <c r="AN4119" s="77"/>
      <c r="AO4119" s="77"/>
      <c r="AP4119" s="77"/>
      <c r="AQ4119" s="77"/>
      <c r="AR4119" s="77"/>
      <c r="AS4119" s="77"/>
      <c r="AT4119" s="77"/>
      <c r="AU4119" s="77"/>
      <c r="AV4119" s="83" t="str">
        <f>HYPERLINK("https://pbs.twimg.com/profile_images/1599416664562569217/DER6Jp_e_normal.jpg")</f>
        <v>https://pbs.twimg.com/profile_images/1599416664562569217/DER6Jp_e_normal.jpg</v>
      </c>
      <c r="AW4119" s="80" t="s">
        <v>19791</v>
      </c>
      <c r="AX4119" s="80" t="s">
        <v>19791</v>
      </c>
      <c r="AY4119" s="77"/>
      <c r="AZ4119" s="80" t="s">
        <v>20380</v>
      </c>
      <c r="BA4119" s="80" t="s">
        <v>20380</v>
      </c>
      <c r="BB4119" s="80" t="s">
        <v>20380</v>
      </c>
      <c r="BC4119" s="80" t="s">
        <v>19791</v>
      </c>
      <c r="BD4119" s="80" t="s">
        <v>20376</v>
      </c>
      <c r="BE4119" s="77"/>
      <c r="BF4119" s="77"/>
      <c r="BG4119" s="77"/>
      <c r="BH4119" s="77"/>
      <c r="BI4119" s="77"/>
    </row>
    <row r="4120" spans="1:61" x14ac:dyDescent="0.25">
      <c r="A4120" s="62" t="s">
        <v>1644</v>
      </c>
      <c r="B4120" s="62" t="s">
        <v>1644</v>
      </c>
      <c r="C4120" s="63"/>
      <c r="D4120" s="64"/>
      <c r="E4120" s="65"/>
      <c r="F4120" s="66"/>
      <c r="G4120" s="63"/>
      <c r="H4120" s="67"/>
      <c r="I4120" s="68"/>
      <c r="J4120" s="68"/>
      <c r="K4120" s="32"/>
      <c r="L4120" s="75">
        <v>4120</v>
      </c>
      <c r="M4120" s="75"/>
      <c r="N4120" s="70"/>
      <c r="O4120" s="77" t="s">
        <v>179</v>
      </c>
      <c r="P4120" s="79">
        <v>45099.057893518519</v>
      </c>
      <c r="Q4120" s="77" t="s">
        <v>5722</v>
      </c>
      <c r="R4120" s="77">
        <v>0</v>
      </c>
      <c r="S4120" s="77">
        <v>1</v>
      </c>
      <c r="T4120" s="77">
        <v>0</v>
      </c>
      <c r="U4120" s="77">
        <v>0</v>
      </c>
      <c r="V4120" s="77">
        <v>26</v>
      </c>
      <c r="W4120" s="80" t="s">
        <v>5884</v>
      </c>
      <c r="X4120" s="83" t="str">
        <f>HYPERLINK("https://www.radiogargalhadafm.com.br/")</f>
        <v>https://www.radiogargalhadafm.com.br/</v>
      </c>
      <c r="Y4120" s="77" t="s">
        <v>8611</v>
      </c>
      <c r="Z4120" s="77"/>
      <c r="AA4120" s="77" t="s">
        <v>10449</v>
      </c>
      <c r="AB4120" s="77" t="s">
        <v>10535</v>
      </c>
      <c r="AC4120" s="80" t="s">
        <v>10540</v>
      </c>
      <c r="AD4120" s="77" t="s">
        <v>10628</v>
      </c>
      <c r="AE4120" s="83" t="str">
        <f>HYPERLINK("https://twitter.com/allan69silveira/status/1671690305769201665")</f>
        <v>https://twitter.com/allan69silveira/status/1671690305769201665</v>
      </c>
      <c r="AF4120" s="79">
        <v>45099.057893518519</v>
      </c>
      <c r="AG4120" s="85">
        <v>45099</v>
      </c>
      <c r="AH4120" s="80" t="s">
        <v>14204</v>
      </c>
      <c r="AI4120" s="77" t="b">
        <v>0</v>
      </c>
      <c r="AJ4120" s="77" t="s">
        <v>14341</v>
      </c>
      <c r="AK4120" s="77" t="s">
        <v>14382</v>
      </c>
      <c r="AL4120" s="77" t="s">
        <v>14391</v>
      </c>
      <c r="AM4120" s="77" t="s">
        <v>14400</v>
      </c>
      <c r="AN4120" s="77" t="s">
        <v>14438</v>
      </c>
      <c r="AO4120" s="77" t="s">
        <v>14479</v>
      </c>
      <c r="AP4120" s="77" t="s">
        <v>14516</v>
      </c>
      <c r="AQ4120" s="77" t="s">
        <v>15928</v>
      </c>
      <c r="AR4120" s="77"/>
      <c r="AS4120" s="77"/>
      <c r="AT4120" s="77"/>
      <c r="AU4120" s="77"/>
      <c r="AV4120" s="83" t="str">
        <f>HYPERLINK("https://pbs.twimg.com/media/FzMJeSCX0AAE28P.jpg")</f>
        <v>https://pbs.twimg.com/media/FzMJeSCX0AAE28P.jpg</v>
      </c>
      <c r="AW4120" s="80" t="s">
        <v>19792</v>
      </c>
      <c r="AX4120" s="80" t="s">
        <v>19792</v>
      </c>
      <c r="AY4120" s="77"/>
      <c r="AZ4120" s="80" t="s">
        <v>20380</v>
      </c>
      <c r="BA4120" s="80" t="s">
        <v>20380</v>
      </c>
      <c r="BB4120" s="80" t="s">
        <v>20380</v>
      </c>
      <c r="BC4120" s="80" t="s">
        <v>19792</v>
      </c>
      <c r="BD4120" s="80" t="s">
        <v>21180</v>
      </c>
      <c r="BE4120" s="77"/>
      <c r="BF4120" s="77"/>
      <c r="BG4120" s="77"/>
      <c r="BH4120" s="77"/>
      <c r="BI4120" s="77"/>
    </row>
    <row r="4121" spans="1:61" x14ac:dyDescent="0.25">
      <c r="A4121" s="62" t="s">
        <v>1645</v>
      </c>
      <c r="B4121" s="62" t="s">
        <v>1645</v>
      </c>
      <c r="C4121" s="63"/>
      <c r="D4121" s="64"/>
      <c r="E4121" s="65"/>
      <c r="F4121" s="66"/>
      <c r="G4121" s="63"/>
      <c r="H4121" s="67"/>
      <c r="I4121" s="68"/>
      <c r="J4121" s="68"/>
      <c r="K4121" s="32"/>
      <c r="L4121" s="75">
        <v>4121</v>
      </c>
      <c r="M4121" s="75"/>
      <c r="N4121" s="70"/>
      <c r="O4121" s="77" t="s">
        <v>179</v>
      </c>
      <c r="P4121" s="79">
        <v>45087.725034722222</v>
      </c>
      <c r="Q4121" s="77" t="s">
        <v>5723</v>
      </c>
      <c r="R4121" s="77">
        <v>0</v>
      </c>
      <c r="S4121" s="77">
        <v>0</v>
      </c>
      <c r="T4121" s="77">
        <v>0</v>
      </c>
      <c r="U4121" s="77">
        <v>0</v>
      </c>
      <c r="V4121" s="77">
        <v>31</v>
      </c>
      <c r="W4121" s="80" t="s">
        <v>8482</v>
      </c>
      <c r="X4121" s="77"/>
      <c r="Y4121" s="77"/>
      <c r="Z4121" s="77"/>
      <c r="AA4121" s="77" t="s">
        <v>10450</v>
      </c>
      <c r="AB4121" s="77" t="s">
        <v>10538</v>
      </c>
      <c r="AC4121" s="80" t="s">
        <v>10542</v>
      </c>
      <c r="AD4121" s="77" t="s">
        <v>10620</v>
      </c>
      <c r="AE4121" s="83" t="str">
        <f>HYPERLINK("https://twitter.com/mdq2014/status/1667583415313416194")</f>
        <v>https://twitter.com/mdq2014/status/1667583415313416194</v>
      </c>
      <c r="AF4121" s="79">
        <v>45087.725034722222</v>
      </c>
      <c r="AG4121" s="85">
        <v>45087</v>
      </c>
      <c r="AH4121" s="80" t="s">
        <v>14205</v>
      </c>
      <c r="AI4121" s="77" t="b">
        <v>0</v>
      </c>
      <c r="AJ4121" s="77"/>
      <c r="AK4121" s="77"/>
      <c r="AL4121" s="77"/>
      <c r="AM4121" s="77"/>
      <c r="AN4121" s="77"/>
      <c r="AO4121" s="77"/>
      <c r="AP4121" s="77"/>
      <c r="AQ4121" s="77" t="s">
        <v>15929</v>
      </c>
      <c r="AR4121" s="77"/>
      <c r="AS4121" s="77"/>
      <c r="AT4121" s="77"/>
      <c r="AU4121" s="77"/>
      <c r="AV4121" s="83" t="str">
        <f>HYPERLINK("https://pbs.twimg.com/media/FyRyQbXWYAgEjw3.jpg")</f>
        <v>https://pbs.twimg.com/media/FyRyQbXWYAgEjw3.jpg</v>
      </c>
      <c r="AW4121" s="80" t="s">
        <v>19793</v>
      </c>
      <c r="AX4121" s="80" t="s">
        <v>19793</v>
      </c>
      <c r="AY4121" s="77"/>
      <c r="AZ4121" s="80" t="s">
        <v>20380</v>
      </c>
      <c r="BA4121" s="80" t="s">
        <v>20380</v>
      </c>
      <c r="BB4121" s="80" t="s">
        <v>20380</v>
      </c>
      <c r="BC4121" s="80" t="s">
        <v>19793</v>
      </c>
      <c r="BD4121" s="77">
        <v>803691811</v>
      </c>
      <c r="BE4121" s="77"/>
      <c r="BF4121" s="77"/>
      <c r="BG4121" s="77"/>
      <c r="BH4121" s="77"/>
      <c r="BI4121" s="77"/>
    </row>
    <row r="4122" spans="1:61" x14ac:dyDescent="0.25">
      <c r="A4122" s="62" t="s">
        <v>1646</v>
      </c>
      <c r="B4122" s="62" t="s">
        <v>1646</v>
      </c>
      <c r="C4122" s="63"/>
      <c r="D4122" s="64"/>
      <c r="E4122" s="65"/>
      <c r="F4122" s="66"/>
      <c r="G4122" s="63"/>
      <c r="H4122" s="67"/>
      <c r="I4122" s="68"/>
      <c r="J4122" s="68"/>
      <c r="K4122" s="32"/>
      <c r="L4122" s="75">
        <v>4122</v>
      </c>
      <c r="M4122" s="75"/>
      <c r="N4122" s="70"/>
      <c r="O4122" s="77" t="s">
        <v>179</v>
      </c>
      <c r="P4122" s="79">
        <v>45092.895856481482</v>
      </c>
      <c r="Q4122" s="77" t="s">
        <v>5724</v>
      </c>
      <c r="R4122" s="77">
        <v>0</v>
      </c>
      <c r="S4122" s="77">
        <v>1</v>
      </c>
      <c r="T4122" s="77">
        <v>0</v>
      </c>
      <c r="U4122" s="77">
        <v>0</v>
      </c>
      <c r="V4122" s="77">
        <v>194</v>
      </c>
      <c r="W4122" s="80" t="s">
        <v>8483</v>
      </c>
      <c r="X4122" s="83" t="str">
        <f>HYPERLINK("https://bit.ly/3XbOwvA")</f>
        <v>https://bit.ly/3XbOwvA</v>
      </c>
      <c r="Y4122" s="77" t="s">
        <v>8618</v>
      </c>
      <c r="Z4122" s="77"/>
      <c r="AA4122" s="77"/>
      <c r="AB4122" s="77"/>
      <c r="AC4122" s="80" t="s">
        <v>10614</v>
      </c>
      <c r="AD4122" s="77" t="s">
        <v>10620</v>
      </c>
      <c r="AE4122" s="83" t="str">
        <f>HYPERLINK("https://twitter.com/noticieronueve/status/1669457260152516614")</f>
        <v>https://twitter.com/noticieronueve/status/1669457260152516614</v>
      </c>
      <c r="AF4122" s="79">
        <v>45092.895856481482</v>
      </c>
      <c r="AG4122" s="85">
        <v>45092</v>
      </c>
      <c r="AH4122" s="80" t="s">
        <v>14206</v>
      </c>
      <c r="AI4122" s="77" t="b">
        <v>0</v>
      </c>
      <c r="AJ4122" s="77"/>
      <c r="AK4122" s="77"/>
      <c r="AL4122" s="77"/>
      <c r="AM4122" s="77"/>
      <c r="AN4122" s="77"/>
      <c r="AO4122" s="77"/>
      <c r="AP4122" s="77"/>
      <c r="AQ4122" s="77"/>
      <c r="AR4122" s="77"/>
      <c r="AS4122" s="77"/>
      <c r="AT4122" s="77"/>
      <c r="AU4122" s="77"/>
      <c r="AV4122" s="83" t="str">
        <f>HYPERLINK("https://pbs.twimg.com/profile_images/1602295509196079114/xniCmtFe_normal.jpg")</f>
        <v>https://pbs.twimg.com/profile_images/1602295509196079114/xniCmtFe_normal.jpg</v>
      </c>
      <c r="AW4122" s="80" t="s">
        <v>19794</v>
      </c>
      <c r="AX4122" s="80" t="s">
        <v>19794</v>
      </c>
      <c r="AY4122" s="77"/>
      <c r="AZ4122" s="80" t="s">
        <v>20380</v>
      </c>
      <c r="BA4122" s="80" t="s">
        <v>20380</v>
      </c>
      <c r="BB4122" s="80" t="s">
        <v>20380</v>
      </c>
      <c r="BC4122" s="80" t="s">
        <v>19794</v>
      </c>
      <c r="BD4122" s="77">
        <v>150667895</v>
      </c>
      <c r="BE4122" s="77"/>
      <c r="BF4122" s="77"/>
      <c r="BG4122" s="77"/>
      <c r="BH4122" s="77"/>
      <c r="BI4122" s="77"/>
    </row>
    <row r="4123" spans="1:61" x14ac:dyDescent="0.25">
      <c r="A4123" s="62" t="s">
        <v>1646</v>
      </c>
      <c r="B4123" s="62" t="s">
        <v>1646</v>
      </c>
      <c r="C4123" s="63"/>
      <c r="D4123" s="64"/>
      <c r="E4123" s="65"/>
      <c r="F4123" s="66"/>
      <c r="G4123" s="63"/>
      <c r="H4123" s="67"/>
      <c r="I4123" s="68"/>
      <c r="J4123" s="68"/>
      <c r="K4123" s="32"/>
      <c r="L4123" s="75">
        <v>4123</v>
      </c>
      <c r="M4123" s="75"/>
      <c r="N4123" s="70"/>
      <c r="O4123" s="77" t="s">
        <v>179</v>
      </c>
      <c r="P4123" s="79">
        <v>45181.571018518516</v>
      </c>
      <c r="Q4123" s="77" t="s">
        <v>5725</v>
      </c>
      <c r="R4123" s="77">
        <v>1</v>
      </c>
      <c r="S4123" s="77">
        <v>0</v>
      </c>
      <c r="T4123" s="77">
        <v>0</v>
      </c>
      <c r="U4123" s="77">
        <v>0</v>
      </c>
      <c r="V4123" s="77">
        <v>847</v>
      </c>
      <c r="W4123" s="80" t="s">
        <v>8484</v>
      </c>
      <c r="X4123" s="83" t="str">
        <f>HYPERLINK("https://bit.ly/3Zdvgic")</f>
        <v>https://bit.ly/3Zdvgic</v>
      </c>
      <c r="Y4123" s="77" t="s">
        <v>8618</v>
      </c>
      <c r="Z4123" s="77"/>
      <c r="AA4123" s="77"/>
      <c r="AB4123" s="77"/>
      <c r="AC4123" s="80" t="s">
        <v>10614</v>
      </c>
      <c r="AD4123" s="77" t="s">
        <v>10620</v>
      </c>
      <c r="AE4123" s="83" t="str">
        <f>HYPERLINK("https://twitter.com/noticieronueve/status/1701592061957255642")</f>
        <v>https://twitter.com/noticieronueve/status/1701592061957255642</v>
      </c>
      <c r="AF4123" s="79">
        <v>45181.571018518516</v>
      </c>
      <c r="AG4123" s="85">
        <v>45181</v>
      </c>
      <c r="AH4123" s="80" t="s">
        <v>12967</v>
      </c>
      <c r="AI4123" s="77" t="b">
        <v>0</v>
      </c>
      <c r="AJ4123" s="77"/>
      <c r="AK4123" s="77"/>
      <c r="AL4123" s="77"/>
      <c r="AM4123" s="77"/>
      <c r="AN4123" s="77"/>
      <c r="AO4123" s="77"/>
      <c r="AP4123" s="77"/>
      <c r="AQ4123" s="77"/>
      <c r="AR4123" s="77"/>
      <c r="AS4123" s="77"/>
      <c r="AT4123" s="77"/>
      <c r="AU4123" s="77"/>
      <c r="AV4123" s="83" t="str">
        <f>HYPERLINK("https://pbs.twimg.com/profile_images/1602295509196079114/xniCmtFe_normal.jpg")</f>
        <v>https://pbs.twimg.com/profile_images/1602295509196079114/xniCmtFe_normal.jpg</v>
      </c>
      <c r="AW4123" s="80" t="s">
        <v>19795</v>
      </c>
      <c r="AX4123" s="80" t="s">
        <v>19795</v>
      </c>
      <c r="AY4123" s="77"/>
      <c r="AZ4123" s="80" t="s">
        <v>20380</v>
      </c>
      <c r="BA4123" s="80" t="s">
        <v>20380</v>
      </c>
      <c r="BB4123" s="80" t="s">
        <v>20380</v>
      </c>
      <c r="BC4123" s="80" t="s">
        <v>19795</v>
      </c>
      <c r="BD4123" s="77">
        <v>150667895</v>
      </c>
      <c r="BE4123" s="77"/>
      <c r="BF4123" s="77"/>
      <c r="BG4123" s="77"/>
      <c r="BH4123" s="77"/>
      <c r="BI4123" s="77"/>
    </row>
    <row r="4124" spans="1:61" x14ac:dyDescent="0.25">
      <c r="A4124" s="62" t="s">
        <v>1647</v>
      </c>
      <c r="B4124" s="62" t="s">
        <v>1647</v>
      </c>
      <c r="C4124" s="63"/>
      <c r="D4124" s="64"/>
      <c r="E4124" s="65"/>
      <c r="F4124" s="66"/>
      <c r="G4124" s="63"/>
      <c r="H4124" s="67"/>
      <c r="I4124" s="68"/>
      <c r="J4124" s="68"/>
      <c r="K4124" s="32"/>
      <c r="L4124" s="75">
        <v>4124</v>
      </c>
      <c r="M4124" s="75"/>
      <c r="N4124" s="70"/>
      <c r="O4124" s="77" t="s">
        <v>179</v>
      </c>
      <c r="P4124" s="79">
        <v>45099.645196759258</v>
      </c>
      <c r="Q4124" s="77" t="s">
        <v>5726</v>
      </c>
      <c r="R4124" s="77">
        <v>0</v>
      </c>
      <c r="S4124" s="77">
        <v>0</v>
      </c>
      <c r="T4124" s="77">
        <v>0</v>
      </c>
      <c r="U4124" s="77">
        <v>0</v>
      </c>
      <c r="V4124" s="77">
        <v>8</v>
      </c>
      <c r="W4124" s="80" t="s">
        <v>8485</v>
      </c>
      <c r="X4124" s="83" t="str">
        <f>HYPERLINK("https://giranoticias.com.br/banco-central-preve-lancar-pix-automatico-em-abril-de-2024/")</f>
        <v>https://giranoticias.com.br/banco-central-preve-lancar-pix-automatico-em-abril-de-2024/</v>
      </c>
      <c r="Y4124" s="77" t="s">
        <v>8611</v>
      </c>
      <c r="Z4124" s="77"/>
      <c r="AA4124" s="77"/>
      <c r="AB4124" s="77"/>
      <c r="AC4124" s="80" t="s">
        <v>10541</v>
      </c>
      <c r="AD4124" s="77" t="s">
        <v>10617</v>
      </c>
      <c r="AE4124" s="83" t="str">
        <f>HYPERLINK("https://twitter.com/giranoticias/status/1671903140461903878")</f>
        <v>https://twitter.com/giranoticias/status/1671903140461903878</v>
      </c>
      <c r="AF4124" s="79">
        <v>45099.645196759258</v>
      </c>
      <c r="AG4124" s="85">
        <v>45099</v>
      </c>
      <c r="AH4124" s="80" t="s">
        <v>13177</v>
      </c>
      <c r="AI4124" s="77" t="b">
        <v>0</v>
      </c>
      <c r="AJ4124" s="77"/>
      <c r="AK4124" s="77"/>
      <c r="AL4124" s="77"/>
      <c r="AM4124" s="77"/>
      <c r="AN4124" s="77"/>
      <c r="AO4124" s="77"/>
      <c r="AP4124" s="77"/>
      <c r="AQ4124" s="77"/>
      <c r="AR4124" s="77"/>
      <c r="AS4124" s="77"/>
      <c r="AT4124" s="77"/>
      <c r="AU4124" s="77"/>
      <c r="AV4124" s="83" t="str">
        <f>HYPERLINK("https://pbs.twimg.com/profile_images/1488714197462564869/xrWJ7Gbl_normal.jpg")</f>
        <v>https://pbs.twimg.com/profile_images/1488714197462564869/xrWJ7Gbl_normal.jpg</v>
      </c>
      <c r="AW4124" s="80" t="s">
        <v>19796</v>
      </c>
      <c r="AX4124" s="80" t="s">
        <v>19796</v>
      </c>
      <c r="AY4124" s="77"/>
      <c r="AZ4124" s="80" t="s">
        <v>20380</v>
      </c>
      <c r="BA4124" s="80" t="s">
        <v>20380</v>
      </c>
      <c r="BB4124" s="80" t="s">
        <v>20380</v>
      </c>
      <c r="BC4124" s="80" t="s">
        <v>19796</v>
      </c>
      <c r="BD4124" s="80" t="s">
        <v>21181</v>
      </c>
      <c r="BE4124" s="77"/>
      <c r="BF4124" s="77"/>
      <c r="BG4124" s="77"/>
      <c r="BH4124" s="77"/>
      <c r="BI4124" s="77"/>
    </row>
    <row r="4125" spans="1:61" x14ac:dyDescent="0.25">
      <c r="A4125" s="62" t="s">
        <v>1648</v>
      </c>
      <c r="B4125" s="62" t="s">
        <v>1681</v>
      </c>
      <c r="C4125" s="63"/>
      <c r="D4125" s="64"/>
      <c r="E4125" s="65"/>
      <c r="F4125" s="66"/>
      <c r="G4125" s="63"/>
      <c r="H4125" s="67"/>
      <c r="I4125" s="68"/>
      <c r="J4125" s="68"/>
      <c r="K4125" s="32"/>
      <c r="L4125" s="75">
        <v>4125</v>
      </c>
      <c r="M4125" s="75"/>
      <c r="N4125" s="70"/>
      <c r="O4125" s="77" t="s">
        <v>2083</v>
      </c>
      <c r="P4125" s="79">
        <v>45190.112881944442</v>
      </c>
      <c r="Q4125" s="77" t="s">
        <v>2237</v>
      </c>
      <c r="R4125" s="77">
        <v>18</v>
      </c>
      <c r="S4125" s="77">
        <v>0</v>
      </c>
      <c r="T4125" s="77">
        <v>0</v>
      </c>
      <c r="U4125" s="77">
        <v>0</v>
      </c>
      <c r="V4125" s="77"/>
      <c r="W4125" s="80" t="s">
        <v>6018</v>
      </c>
      <c r="X4125" s="77"/>
      <c r="Y4125" s="77"/>
      <c r="Z4125" s="77" t="s">
        <v>1681</v>
      </c>
      <c r="AA4125" s="77"/>
      <c r="AB4125" s="77"/>
      <c r="AC4125" s="80" t="s">
        <v>10556</v>
      </c>
      <c r="AD4125" s="77" t="s">
        <v>10617</v>
      </c>
      <c r="AE4125" s="83" t="str">
        <f>HYPERLINK("https://twitter.com/marilen21183970/status/1704687529344057538")</f>
        <v>https://twitter.com/marilen21183970/status/1704687529344057538</v>
      </c>
      <c r="AF4125" s="79">
        <v>45190.112881944442</v>
      </c>
      <c r="AG4125" s="85">
        <v>45190</v>
      </c>
      <c r="AH4125" s="80" t="s">
        <v>14207</v>
      </c>
      <c r="AI4125" s="77"/>
      <c r="AJ4125" s="77"/>
      <c r="AK4125" s="77"/>
      <c r="AL4125" s="77"/>
      <c r="AM4125" s="77"/>
      <c r="AN4125" s="77"/>
      <c r="AO4125" s="77"/>
      <c r="AP4125" s="77"/>
      <c r="AQ4125" s="77"/>
      <c r="AR4125" s="77"/>
      <c r="AS4125" s="77"/>
      <c r="AT4125" s="77"/>
      <c r="AU4125" s="77"/>
      <c r="AV4125" s="83" t="str">
        <f>HYPERLINK("https://abs.twimg.com/sticky/default_profile_images/default_profile_normal.png")</f>
        <v>https://abs.twimg.com/sticky/default_profile_images/default_profile_normal.png</v>
      </c>
      <c r="AW4125" s="80" t="s">
        <v>19797</v>
      </c>
      <c r="AX4125" s="80" t="s">
        <v>19797</v>
      </c>
      <c r="AY4125" s="77"/>
      <c r="AZ4125" s="80" t="s">
        <v>20380</v>
      </c>
      <c r="BA4125" s="80" t="s">
        <v>20380</v>
      </c>
      <c r="BB4125" s="80" t="s">
        <v>19932</v>
      </c>
      <c r="BC4125" s="80" t="s">
        <v>19932</v>
      </c>
      <c r="BD4125" s="80" t="s">
        <v>21182</v>
      </c>
      <c r="BE4125" s="77"/>
      <c r="BF4125" s="77"/>
      <c r="BG4125" s="77"/>
      <c r="BH4125" s="77"/>
      <c r="BI4125" s="77"/>
    </row>
    <row r="4126" spans="1:61" x14ac:dyDescent="0.25">
      <c r="A4126" s="62" t="s">
        <v>1649</v>
      </c>
      <c r="B4126" s="62" t="s">
        <v>1649</v>
      </c>
      <c r="C4126" s="63"/>
      <c r="D4126" s="64"/>
      <c r="E4126" s="65"/>
      <c r="F4126" s="66"/>
      <c r="G4126" s="63"/>
      <c r="H4126" s="67"/>
      <c r="I4126" s="68"/>
      <c r="J4126" s="68"/>
      <c r="K4126" s="32"/>
      <c r="L4126" s="75">
        <v>4126</v>
      </c>
      <c r="M4126" s="75"/>
      <c r="N4126" s="70"/>
      <c r="O4126" s="77" t="s">
        <v>179</v>
      </c>
      <c r="P4126" s="79">
        <v>45096.833784722221</v>
      </c>
      <c r="Q4126" s="77" t="s">
        <v>5727</v>
      </c>
      <c r="R4126" s="77">
        <v>0</v>
      </c>
      <c r="S4126" s="77">
        <v>0</v>
      </c>
      <c r="T4126" s="77">
        <v>0</v>
      </c>
      <c r="U4126" s="77">
        <v>0</v>
      </c>
      <c r="V4126" s="77">
        <v>44</v>
      </c>
      <c r="W4126" s="80" t="s">
        <v>5884</v>
      </c>
      <c r="X4126" s="83" t="str">
        <f>HYPERLINK("https://www.diariousach.cl/dolar-supera-los-795-en-jornada-clave-por-anuncio-de-tasas-que-realizara")</f>
        <v>https://www.diariousach.cl/dolar-supera-los-795-en-jornada-clave-por-anuncio-de-tasas-que-realizara</v>
      </c>
      <c r="Y4126" s="77" t="s">
        <v>8889</v>
      </c>
      <c r="Z4126" s="77"/>
      <c r="AA4126" s="77"/>
      <c r="AB4126" s="77"/>
      <c r="AC4126" s="80" t="s">
        <v>10552</v>
      </c>
      <c r="AD4126" s="77" t="s">
        <v>10620</v>
      </c>
      <c r="AE4126" s="83" t="str">
        <f>HYPERLINK("https://twitter.com/diariousach/status/1670884317000527887")</f>
        <v>https://twitter.com/diariousach/status/1670884317000527887</v>
      </c>
      <c r="AF4126" s="79">
        <v>45096.833784722221</v>
      </c>
      <c r="AG4126" s="85">
        <v>45096</v>
      </c>
      <c r="AH4126" s="80" t="s">
        <v>14208</v>
      </c>
      <c r="AI4126" s="77" t="b">
        <v>0</v>
      </c>
      <c r="AJ4126" s="77"/>
      <c r="AK4126" s="77"/>
      <c r="AL4126" s="77"/>
      <c r="AM4126" s="77"/>
      <c r="AN4126" s="77"/>
      <c r="AO4126" s="77"/>
      <c r="AP4126" s="77"/>
      <c r="AQ4126" s="77"/>
      <c r="AR4126" s="77"/>
      <c r="AS4126" s="77"/>
      <c r="AT4126" s="77"/>
      <c r="AU4126" s="77"/>
      <c r="AV4126" s="83" t="str">
        <f>HYPERLINK("https://pbs.twimg.com/profile_images/1429826993084850177/rMqmhn-g_normal.jpg")</f>
        <v>https://pbs.twimg.com/profile_images/1429826993084850177/rMqmhn-g_normal.jpg</v>
      </c>
      <c r="AW4126" s="80" t="s">
        <v>19798</v>
      </c>
      <c r="AX4126" s="80" t="s">
        <v>19798</v>
      </c>
      <c r="AY4126" s="77"/>
      <c r="AZ4126" s="80" t="s">
        <v>20380</v>
      </c>
      <c r="BA4126" s="80" t="s">
        <v>20380</v>
      </c>
      <c r="BB4126" s="80" t="s">
        <v>20380</v>
      </c>
      <c r="BC4126" s="80" t="s">
        <v>19798</v>
      </c>
      <c r="BD4126" s="80" t="s">
        <v>21183</v>
      </c>
      <c r="BE4126" s="77"/>
      <c r="BF4126" s="77"/>
      <c r="BG4126" s="77"/>
      <c r="BH4126" s="77"/>
      <c r="BI4126" s="77"/>
    </row>
    <row r="4127" spans="1:61" x14ac:dyDescent="0.25">
      <c r="A4127" s="62" t="s">
        <v>1650</v>
      </c>
      <c r="B4127" s="62" t="s">
        <v>1650</v>
      </c>
      <c r="C4127" s="63"/>
      <c r="D4127" s="64"/>
      <c r="E4127" s="65"/>
      <c r="F4127" s="66"/>
      <c r="G4127" s="63"/>
      <c r="H4127" s="67"/>
      <c r="I4127" s="68"/>
      <c r="J4127" s="68"/>
      <c r="K4127" s="32"/>
      <c r="L4127" s="75">
        <v>4127</v>
      </c>
      <c r="M4127" s="75"/>
      <c r="N4127" s="70"/>
      <c r="O4127" s="77" t="s">
        <v>2081</v>
      </c>
      <c r="P4127" s="79">
        <v>45052.902106481481</v>
      </c>
      <c r="Q4127" s="77" t="s">
        <v>5728</v>
      </c>
      <c r="R4127" s="77">
        <v>48</v>
      </c>
      <c r="S4127" s="77">
        <v>136</v>
      </c>
      <c r="T4127" s="77">
        <v>1</v>
      </c>
      <c r="U4127" s="77">
        <v>2</v>
      </c>
      <c r="V4127" s="77">
        <v>2326</v>
      </c>
      <c r="W4127" s="80" t="s">
        <v>8486</v>
      </c>
      <c r="X4127" s="77"/>
      <c r="Y4127" s="77"/>
      <c r="Z4127" s="77" t="s">
        <v>1650</v>
      </c>
      <c r="AA4127" s="77" t="s">
        <v>10451</v>
      </c>
      <c r="AB4127" s="77" t="s">
        <v>10534</v>
      </c>
      <c r="AC4127" s="80" t="s">
        <v>10541</v>
      </c>
      <c r="AD4127" s="77" t="s">
        <v>10617</v>
      </c>
      <c r="AE4127" s="83" t="str">
        <f>HYPERLINK("https://twitter.com/ciropnddobrasil/status/1654964010893099008")</f>
        <v>https://twitter.com/ciropnddobrasil/status/1654964010893099008</v>
      </c>
      <c r="AF4127" s="79">
        <v>45052.902106481481</v>
      </c>
      <c r="AG4127" s="85">
        <v>45052</v>
      </c>
      <c r="AH4127" s="80" t="s">
        <v>14209</v>
      </c>
      <c r="AI4127" s="77" t="b">
        <v>0</v>
      </c>
      <c r="AJ4127" s="77"/>
      <c r="AK4127" s="77"/>
      <c r="AL4127" s="77"/>
      <c r="AM4127" s="77"/>
      <c r="AN4127" s="77"/>
      <c r="AO4127" s="77"/>
      <c r="AP4127" s="77"/>
      <c r="AQ4127" s="77" t="s">
        <v>15930</v>
      </c>
      <c r="AR4127" s="77">
        <v>29075</v>
      </c>
      <c r="AS4127" s="77"/>
      <c r="AT4127" s="77"/>
      <c r="AU4127" s="77"/>
      <c r="AV4127" s="83" t="str">
        <f>HYPERLINK("https://pbs.twimg.com/ext_tw_video_thumb/1654963792168583169/pu/img/oXamSV_dW2QASeqm.jpg")</f>
        <v>https://pbs.twimg.com/ext_tw_video_thumb/1654963792168583169/pu/img/oXamSV_dW2QASeqm.jpg</v>
      </c>
      <c r="AW4127" s="80" t="s">
        <v>19799</v>
      </c>
      <c r="AX4127" s="80" t="s">
        <v>19799</v>
      </c>
      <c r="AY4127" s="77"/>
      <c r="AZ4127" s="80" t="s">
        <v>20380</v>
      </c>
      <c r="BA4127" s="80" t="s">
        <v>20380</v>
      </c>
      <c r="BB4127" s="80" t="s">
        <v>20380</v>
      </c>
      <c r="BC4127" s="80" t="s">
        <v>19799</v>
      </c>
      <c r="BD4127" s="80" t="s">
        <v>21184</v>
      </c>
      <c r="BE4127" s="77"/>
      <c r="BF4127" s="77"/>
      <c r="BG4127" s="77"/>
      <c r="BH4127" s="77"/>
      <c r="BI4127" s="77"/>
    </row>
    <row r="4128" spans="1:61" x14ac:dyDescent="0.25">
      <c r="A4128" s="62" t="s">
        <v>1650</v>
      </c>
      <c r="B4128" s="62" t="s">
        <v>1650</v>
      </c>
      <c r="C4128" s="63"/>
      <c r="D4128" s="64"/>
      <c r="E4128" s="65"/>
      <c r="F4128" s="66"/>
      <c r="G4128" s="63"/>
      <c r="H4128" s="67"/>
      <c r="I4128" s="68"/>
      <c r="J4128" s="68"/>
      <c r="K4128" s="32"/>
      <c r="L4128" s="75">
        <v>4128</v>
      </c>
      <c r="M4128" s="75"/>
      <c r="N4128" s="70"/>
      <c r="O4128" s="77" t="s">
        <v>2081</v>
      </c>
      <c r="P4128" s="79">
        <v>45058.932615740741</v>
      </c>
      <c r="Q4128" s="77" t="s">
        <v>5729</v>
      </c>
      <c r="R4128" s="77">
        <v>268</v>
      </c>
      <c r="S4128" s="77">
        <v>977</v>
      </c>
      <c r="T4128" s="77">
        <v>30</v>
      </c>
      <c r="U4128" s="77">
        <v>57</v>
      </c>
      <c r="V4128" s="77">
        <v>35645</v>
      </c>
      <c r="W4128" s="80" t="s">
        <v>7498</v>
      </c>
      <c r="X4128" s="77"/>
      <c r="Y4128" s="77"/>
      <c r="Z4128" s="77" t="s">
        <v>1650</v>
      </c>
      <c r="AA4128" s="77" t="s">
        <v>10452</v>
      </c>
      <c r="AB4128" s="77" t="s">
        <v>10534</v>
      </c>
      <c r="AC4128" s="80" t="s">
        <v>10541</v>
      </c>
      <c r="AD4128" s="77" t="s">
        <v>10617</v>
      </c>
      <c r="AE4128" s="83" t="str">
        <f>HYPERLINK("https://twitter.com/ciropnddobrasil/status/1657149393714266118")</f>
        <v>https://twitter.com/ciropnddobrasil/status/1657149393714266118</v>
      </c>
      <c r="AF4128" s="79">
        <v>45058.932615740741</v>
      </c>
      <c r="AG4128" s="85">
        <v>45058</v>
      </c>
      <c r="AH4128" s="80" t="s">
        <v>14210</v>
      </c>
      <c r="AI4128" s="77" t="b">
        <v>0</v>
      </c>
      <c r="AJ4128" s="77"/>
      <c r="AK4128" s="77"/>
      <c r="AL4128" s="77"/>
      <c r="AM4128" s="77"/>
      <c r="AN4128" s="77"/>
      <c r="AO4128" s="77"/>
      <c r="AP4128" s="77"/>
      <c r="AQ4128" s="77" t="s">
        <v>15931</v>
      </c>
      <c r="AR4128" s="77">
        <v>58554</v>
      </c>
      <c r="AS4128" s="77"/>
      <c r="AT4128" s="77"/>
      <c r="AU4128" s="77"/>
      <c r="AV4128" s="83" t="str">
        <f>HYPERLINK("https://pbs.twimg.com/ext_tw_video_thumb/1657149065400840195/pu/img/3wJ1MAdxsAm8ynb1.jpg")</f>
        <v>https://pbs.twimg.com/ext_tw_video_thumb/1657149065400840195/pu/img/3wJ1MAdxsAm8ynb1.jpg</v>
      </c>
      <c r="AW4128" s="80" t="s">
        <v>19800</v>
      </c>
      <c r="AX4128" s="80" t="s">
        <v>19800</v>
      </c>
      <c r="AY4128" s="77"/>
      <c r="AZ4128" s="80" t="s">
        <v>20380</v>
      </c>
      <c r="BA4128" s="80" t="s">
        <v>20380</v>
      </c>
      <c r="BB4128" s="80" t="s">
        <v>20380</v>
      </c>
      <c r="BC4128" s="80" t="s">
        <v>19800</v>
      </c>
      <c r="BD4128" s="80" t="s">
        <v>21184</v>
      </c>
      <c r="BE4128" s="77"/>
      <c r="BF4128" s="77"/>
      <c r="BG4128" s="77"/>
      <c r="BH4128" s="77"/>
      <c r="BI4128" s="77"/>
    </row>
    <row r="4129" spans="1:61" x14ac:dyDescent="0.25">
      <c r="A4129" s="62" t="s">
        <v>1650</v>
      </c>
      <c r="B4129" s="62" t="s">
        <v>1650</v>
      </c>
      <c r="C4129" s="63"/>
      <c r="D4129" s="64"/>
      <c r="E4129" s="65"/>
      <c r="F4129" s="66"/>
      <c r="G4129" s="63"/>
      <c r="H4129" s="67"/>
      <c r="I4129" s="68"/>
      <c r="J4129" s="68"/>
      <c r="K4129" s="32"/>
      <c r="L4129" s="75">
        <v>4129</v>
      </c>
      <c r="M4129" s="75"/>
      <c r="N4129" s="70"/>
      <c r="O4129" s="77" t="s">
        <v>2081</v>
      </c>
      <c r="P4129" s="79">
        <v>45096.906087962961</v>
      </c>
      <c r="Q4129" s="77" t="s">
        <v>5730</v>
      </c>
      <c r="R4129" s="77">
        <v>32</v>
      </c>
      <c r="S4129" s="77">
        <v>114</v>
      </c>
      <c r="T4129" s="77">
        <v>5</v>
      </c>
      <c r="U4129" s="77">
        <v>5</v>
      </c>
      <c r="V4129" s="77">
        <v>4179</v>
      </c>
      <c r="W4129" s="80" t="s">
        <v>7498</v>
      </c>
      <c r="X4129" s="77"/>
      <c r="Y4129" s="77"/>
      <c r="Z4129" s="77" t="s">
        <v>1650</v>
      </c>
      <c r="AA4129" s="77" t="s">
        <v>10453</v>
      </c>
      <c r="AB4129" s="77" t="s">
        <v>10534</v>
      </c>
      <c r="AC4129" s="80" t="s">
        <v>10541</v>
      </c>
      <c r="AD4129" s="77" t="s">
        <v>10617</v>
      </c>
      <c r="AE4129" s="83" t="str">
        <f>HYPERLINK("https://twitter.com/ciropnddobrasil/status/1670910517966258183")</f>
        <v>https://twitter.com/ciropnddobrasil/status/1670910517966258183</v>
      </c>
      <c r="AF4129" s="79">
        <v>45096.906087962961</v>
      </c>
      <c r="AG4129" s="85">
        <v>45096</v>
      </c>
      <c r="AH4129" s="80" t="s">
        <v>14211</v>
      </c>
      <c r="AI4129" s="77" t="b">
        <v>0</v>
      </c>
      <c r="AJ4129" s="77"/>
      <c r="AK4129" s="77"/>
      <c r="AL4129" s="77"/>
      <c r="AM4129" s="77"/>
      <c r="AN4129" s="77"/>
      <c r="AO4129" s="77"/>
      <c r="AP4129" s="77"/>
      <c r="AQ4129" s="77" t="s">
        <v>15932</v>
      </c>
      <c r="AR4129" s="77">
        <v>58849</v>
      </c>
      <c r="AS4129" s="77"/>
      <c r="AT4129" s="77"/>
      <c r="AU4129" s="77"/>
      <c r="AV4129" s="83" t="str">
        <f>HYPERLINK("https://pbs.twimg.com/ext_tw_video_thumb/1670910262558203905/pu/img/u3kAmigmUnHj0gMf.jpg")</f>
        <v>https://pbs.twimg.com/ext_tw_video_thumb/1670910262558203905/pu/img/u3kAmigmUnHj0gMf.jpg</v>
      </c>
      <c r="AW4129" s="80" t="s">
        <v>19801</v>
      </c>
      <c r="AX4129" s="80" t="s">
        <v>19801</v>
      </c>
      <c r="AY4129" s="77"/>
      <c r="AZ4129" s="80" t="s">
        <v>20380</v>
      </c>
      <c r="BA4129" s="80" t="s">
        <v>20380</v>
      </c>
      <c r="BB4129" s="80" t="s">
        <v>20380</v>
      </c>
      <c r="BC4129" s="80" t="s">
        <v>19801</v>
      </c>
      <c r="BD4129" s="80" t="s">
        <v>21184</v>
      </c>
      <c r="BE4129" s="77"/>
      <c r="BF4129" s="77"/>
      <c r="BG4129" s="77"/>
      <c r="BH4129" s="77"/>
      <c r="BI4129" s="77"/>
    </row>
    <row r="4130" spans="1:61" x14ac:dyDescent="0.25">
      <c r="A4130" s="62" t="s">
        <v>1650</v>
      </c>
      <c r="B4130" s="62" t="s">
        <v>1650</v>
      </c>
      <c r="C4130" s="63"/>
      <c r="D4130" s="64"/>
      <c r="E4130" s="65"/>
      <c r="F4130" s="66"/>
      <c r="G4130" s="63"/>
      <c r="H4130" s="67"/>
      <c r="I4130" s="68"/>
      <c r="J4130" s="68"/>
      <c r="K4130" s="32"/>
      <c r="L4130" s="75">
        <v>4130</v>
      </c>
      <c r="M4130" s="75"/>
      <c r="N4130" s="70"/>
      <c r="O4130" s="77" t="s">
        <v>2081</v>
      </c>
      <c r="P4130" s="79">
        <v>45094.831562500003</v>
      </c>
      <c r="Q4130" s="77" t="s">
        <v>5731</v>
      </c>
      <c r="R4130" s="77">
        <v>78</v>
      </c>
      <c r="S4130" s="77">
        <v>206</v>
      </c>
      <c r="T4130" s="77">
        <v>8</v>
      </c>
      <c r="U4130" s="77">
        <v>14</v>
      </c>
      <c r="V4130" s="77">
        <v>7922</v>
      </c>
      <c r="W4130" s="80" t="s">
        <v>7498</v>
      </c>
      <c r="X4130" s="77"/>
      <c r="Y4130" s="77"/>
      <c r="Z4130" s="77" t="s">
        <v>1650</v>
      </c>
      <c r="AA4130" s="77" t="s">
        <v>10454</v>
      </c>
      <c r="AB4130" s="77" t="s">
        <v>10534</v>
      </c>
      <c r="AC4130" s="80" t="s">
        <v>10541</v>
      </c>
      <c r="AD4130" s="77" t="s">
        <v>10617</v>
      </c>
      <c r="AE4130" s="83" t="str">
        <f>HYPERLINK("https://twitter.com/ciropnddobrasil/status/1670158734872518657")</f>
        <v>https://twitter.com/ciropnddobrasil/status/1670158734872518657</v>
      </c>
      <c r="AF4130" s="79">
        <v>45094.831562500003</v>
      </c>
      <c r="AG4130" s="85">
        <v>45094</v>
      </c>
      <c r="AH4130" s="80" t="s">
        <v>14212</v>
      </c>
      <c r="AI4130" s="77" t="b">
        <v>0</v>
      </c>
      <c r="AJ4130" s="77"/>
      <c r="AK4130" s="77"/>
      <c r="AL4130" s="77"/>
      <c r="AM4130" s="77"/>
      <c r="AN4130" s="77"/>
      <c r="AO4130" s="77"/>
      <c r="AP4130" s="77"/>
      <c r="AQ4130" s="77" t="s">
        <v>15933</v>
      </c>
      <c r="AR4130" s="77">
        <v>59091</v>
      </c>
      <c r="AS4130" s="77"/>
      <c r="AT4130" s="77"/>
      <c r="AU4130" s="77"/>
      <c r="AV4130" s="83" t="str">
        <f>HYPERLINK("https://pbs.twimg.com/ext_tw_video_thumb/1670158436632350723/pu/img/U1cT7vxzCkmNGaSx.jpg")</f>
        <v>https://pbs.twimg.com/ext_tw_video_thumb/1670158436632350723/pu/img/U1cT7vxzCkmNGaSx.jpg</v>
      </c>
      <c r="AW4130" s="80" t="s">
        <v>19802</v>
      </c>
      <c r="AX4130" s="80" t="s">
        <v>19802</v>
      </c>
      <c r="AY4130" s="77"/>
      <c r="AZ4130" s="80" t="s">
        <v>20380</v>
      </c>
      <c r="BA4130" s="80" t="s">
        <v>20380</v>
      </c>
      <c r="BB4130" s="80" t="s">
        <v>20380</v>
      </c>
      <c r="BC4130" s="80" t="s">
        <v>19802</v>
      </c>
      <c r="BD4130" s="80" t="s">
        <v>21184</v>
      </c>
      <c r="BE4130" s="77"/>
      <c r="BF4130" s="77"/>
      <c r="BG4130" s="77"/>
      <c r="BH4130" s="77"/>
      <c r="BI4130" s="77"/>
    </row>
    <row r="4131" spans="1:61" x14ac:dyDescent="0.25">
      <c r="A4131" s="62" t="s">
        <v>1650</v>
      </c>
      <c r="B4131" s="62" t="s">
        <v>1650</v>
      </c>
      <c r="C4131" s="63"/>
      <c r="D4131" s="64"/>
      <c r="E4131" s="65"/>
      <c r="F4131" s="66"/>
      <c r="G4131" s="63"/>
      <c r="H4131" s="67"/>
      <c r="I4131" s="68"/>
      <c r="J4131" s="68"/>
      <c r="K4131" s="32"/>
      <c r="L4131" s="75">
        <v>4131</v>
      </c>
      <c r="M4131" s="75"/>
      <c r="N4131" s="70"/>
      <c r="O4131" s="77" t="s">
        <v>2081</v>
      </c>
      <c r="P4131" s="79">
        <v>45113.962569444448</v>
      </c>
      <c r="Q4131" s="77" t="s">
        <v>5732</v>
      </c>
      <c r="R4131" s="77">
        <v>41</v>
      </c>
      <c r="S4131" s="77">
        <v>123</v>
      </c>
      <c r="T4131" s="77">
        <v>3</v>
      </c>
      <c r="U4131" s="77">
        <v>3</v>
      </c>
      <c r="V4131" s="77">
        <v>3052</v>
      </c>
      <c r="W4131" s="80" t="s">
        <v>7498</v>
      </c>
      <c r="X4131" s="77"/>
      <c r="Y4131" s="77"/>
      <c r="Z4131" s="77" t="s">
        <v>1650</v>
      </c>
      <c r="AA4131" s="77" t="s">
        <v>10455</v>
      </c>
      <c r="AB4131" s="77" t="s">
        <v>10534</v>
      </c>
      <c r="AC4131" s="80" t="s">
        <v>10541</v>
      </c>
      <c r="AD4131" s="77" t="s">
        <v>10617</v>
      </c>
      <c r="AE4131" s="83" t="str">
        <f>HYPERLINK("https://twitter.com/ciropnddobrasil/status/1677091580379897862")</f>
        <v>https://twitter.com/ciropnddobrasil/status/1677091580379897862</v>
      </c>
      <c r="AF4131" s="79">
        <v>45113.962569444448</v>
      </c>
      <c r="AG4131" s="85">
        <v>45113</v>
      </c>
      <c r="AH4131" s="80" t="s">
        <v>14213</v>
      </c>
      <c r="AI4131" s="77" t="b">
        <v>0</v>
      </c>
      <c r="AJ4131" s="77"/>
      <c r="AK4131" s="77"/>
      <c r="AL4131" s="77"/>
      <c r="AM4131" s="77"/>
      <c r="AN4131" s="77"/>
      <c r="AO4131" s="77"/>
      <c r="AP4131" s="77"/>
      <c r="AQ4131" s="77" t="s">
        <v>15934</v>
      </c>
      <c r="AR4131" s="77">
        <v>37917</v>
      </c>
      <c r="AS4131" s="77"/>
      <c r="AT4131" s="77"/>
      <c r="AU4131" s="77"/>
      <c r="AV4131" s="83" t="str">
        <f>HYPERLINK("https://pbs.twimg.com/ext_tw_video_thumb/1677091310694539272/pu/img/oNQ30WnmjIRP7MnO.jpg")</f>
        <v>https://pbs.twimg.com/ext_tw_video_thumb/1677091310694539272/pu/img/oNQ30WnmjIRP7MnO.jpg</v>
      </c>
      <c r="AW4131" s="80" t="s">
        <v>19803</v>
      </c>
      <c r="AX4131" s="80" t="s">
        <v>19803</v>
      </c>
      <c r="AY4131" s="77"/>
      <c r="AZ4131" s="80" t="s">
        <v>20380</v>
      </c>
      <c r="BA4131" s="80" t="s">
        <v>20380</v>
      </c>
      <c r="BB4131" s="80" t="s">
        <v>20380</v>
      </c>
      <c r="BC4131" s="80" t="s">
        <v>19803</v>
      </c>
      <c r="BD4131" s="80" t="s">
        <v>21184</v>
      </c>
      <c r="BE4131" s="77"/>
      <c r="BF4131" s="77"/>
      <c r="BG4131" s="77"/>
      <c r="BH4131" s="77"/>
      <c r="BI4131" s="77"/>
    </row>
    <row r="4132" spans="1:61" x14ac:dyDescent="0.25">
      <c r="A4132" s="62" t="s">
        <v>1650</v>
      </c>
      <c r="B4132" s="62" t="s">
        <v>1650</v>
      </c>
      <c r="C4132" s="63"/>
      <c r="D4132" s="64"/>
      <c r="E4132" s="65"/>
      <c r="F4132" s="66"/>
      <c r="G4132" s="63"/>
      <c r="H4132" s="67"/>
      <c r="I4132" s="68"/>
      <c r="J4132" s="68"/>
      <c r="K4132" s="32"/>
      <c r="L4132" s="75">
        <v>4132</v>
      </c>
      <c r="M4132" s="75"/>
      <c r="N4132" s="70"/>
      <c r="O4132" s="77" t="s">
        <v>2081</v>
      </c>
      <c r="P4132" s="79">
        <v>45099.901400462964</v>
      </c>
      <c r="Q4132" s="77" t="s">
        <v>5733</v>
      </c>
      <c r="R4132" s="77">
        <v>41</v>
      </c>
      <c r="S4132" s="77">
        <v>109</v>
      </c>
      <c r="T4132" s="77">
        <v>2</v>
      </c>
      <c r="U4132" s="77">
        <v>2</v>
      </c>
      <c r="V4132" s="77">
        <v>1782</v>
      </c>
      <c r="W4132" s="80" t="s">
        <v>1854</v>
      </c>
      <c r="X4132" s="77"/>
      <c r="Y4132" s="77"/>
      <c r="Z4132" s="77" t="s">
        <v>1650</v>
      </c>
      <c r="AA4132" s="77" t="s">
        <v>10456</v>
      </c>
      <c r="AB4132" s="77" t="s">
        <v>10534</v>
      </c>
      <c r="AC4132" s="80" t="s">
        <v>10541</v>
      </c>
      <c r="AD4132" s="77" t="s">
        <v>10617</v>
      </c>
      <c r="AE4132" s="83" t="str">
        <f>HYPERLINK("https://twitter.com/ciropnddobrasil/status/1671995985017307142")</f>
        <v>https://twitter.com/ciropnddobrasil/status/1671995985017307142</v>
      </c>
      <c r="AF4132" s="79">
        <v>45099.901400462964</v>
      </c>
      <c r="AG4132" s="85">
        <v>45099</v>
      </c>
      <c r="AH4132" s="80" t="s">
        <v>14214</v>
      </c>
      <c r="AI4132" s="77" t="b">
        <v>0</v>
      </c>
      <c r="AJ4132" s="77"/>
      <c r="AK4132" s="77"/>
      <c r="AL4132" s="77"/>
      <c r="AM4132" s="77"/>
      <c r="AN4132" s="77"/>
      <c r="AO4132" s="77"/>
      <c r="AP4132" s="77"/>
      <c r="AQ4132" s="77" t="s">
        <v>15935</v>
      </c>
      <c r="AR4132" s="77">
        <v>57841</v>
      </c>
      <c r="AS4132" s="77"/>
      <c r="AT4132" s="77"/>
      <c r="AU4132" s="77"/>
      <c r="AV4132" s="83" t="str">
        <f>HYPERLINK("https://pbs.twimg.com/ext_tw_video_thumb/1671995837524717570/pu/img/MkO0XmC9es_Nb672.jpg")</f>
        <v>https://pbs.twimg.com/ext_tw_video_thumb/1671995837524717570/pu/img/MkO0XmC9es_Nb672.jpg</v>
      </c>
      <c r="AW4132" s="80" t="s">
        <v>19804</v>
      </c>
      <c r="AX4132" s="80" t="s">
        <v>19804</v>
      </c>
      <c r="AY4132" s="77"/>
      <c r="AZ4132" s="80" t="s">
        <v>20380</v>
      </c>
      <c r="BA4132" s="80" t="s">
        <v>20380</v>
      </c>
      <c r="BB4132" s="80" t="s">
        <v>20380</v>
      </c>
      <c r="BC4132" s="80" t="s">
        <v>19804</v>
      </c>
      <c r="BD4132" s="80" t="s">
        <v>21184</v>
      </c>
      <c r="BE4132" s="77"/>
      <c r="BF4132" s="77"/>
      <c r="BG4132" s="77"/>
      <c r="BH4132" s="77"/>
      <c r="BI4132" s="77"/>
    </row>
    <row r="4133" spans="1:61" x14ac:dyDescent="0.25">
      <c r="A4133" s="62" t="s">
        <v>1650</v>
      </c>
      <c r="B4133" s="62" t="s">
        <v>1650</v>
      </c>
      <c r="C4133" s="63"/>
      <c r="D4133" s="64"/>
      <c r="E4133" s="65"/>
      <c r="F4133" s="66"/>
      <c r="G4133" s="63"/>
      <c r="H4133" s="67"/>
      <c r="I4133" s="68"/>
      <c r="J4133" s="68"/>
      <c r="K4133" s="32"/>
      <c r="L4133" s="75">
        <v>4133</v>
      </c>
      <c r="M4133" s="75"/>
      <c r="N4133" s="70"/>
      <c r="O4133" s="77" t="s">
        <v>2081</v>
      </c>
      <c r="P4133" s="79">
        <v>45197.907858796294</v>
      </c>
      <c r="Q4133" s="77" t="s">
        <v>5734</v>
      </c>
      <c r="R4133" s="77">
        <v>3</v>
      </c>
      <c r="S4133" s="77">
        <v>6</v>
      </c>
      <c r="T4133" s="77">
        <v>1</v>
      </c>
      <c r="U4133" s="77">
        <v>1</v>
      </c>
      <c r="V4133" s="77">
        <v>86</v>
      </c>
      <c r="W4133" s="80" t="s">
        <v>7498</v>
      </c>
      <c r="X4133" s="77"/>
      <c r="Y4133" s="77"/>
      <c r="Z4133" s="77" t="s">
        <v>1650</v>
      </c>
      <c r="AA4133" s="77" t="s">
        <v>10457</v>
      </c>
      <c r="AB4133" s="77" t="s">
        <v>10534</v>
      </c>
      <c r="AC4133" s="80" t="s">
        <v>10541</v>
      </c>
      <c r="AD4133" s="77" t="s">
        <v>10617</v>
      </c>
      <c r="AE4133" s="83" t="str">
        <f>HYPERLINK("https://twitter.com/ciropnddobrasil/status/1707512336003604590")</f>
        <v>https://twitter.com/ciropnddobrasil/status/1707512336003604590</v>
      </c>
      <c r="AF4133" s="79">
        <v>45197.907858796294</v>
      </c>
      <c r="AG4133" s="85">
        <v>45197</v>
      </c>
      <c r="AH4133" s="80" t="s">
        <v>14215</v>
      </c>
      <c r="AI4133" s="77" t="b">
        <v>0</v>
      </c>
      <c r="AJ4133" s="77"/>
      <c r="AK4133" s="77"/>
      <c r="AL4133" s="77"/>
      <c r="AM4133" s="77"/>
      <c r="AN4133" s="77"/>
      <c r="AO4133" s="77"/>
      <c r="AP4133" s="77"/>
      <c r="AQ4133" s="77" t="s">
        <v>15936</v>
      </c>
      <c r="AR4133" s="77">
        <v>56097</v>
      </c>
      <c r="AS4133" s="77"/>
      <c r="AT4133" s="77"/>
      <c r="AU4133" s="77"/>
      <c r="AV4133" s="83" t="str">
        <f>HYPERLINK("https://pbs.twimg.com/ext_tw_video_thumb/1707511648871682048/pu/img/iShssj-xDOeLI3RY.jpg")</f>
        <v>https://pbs.twimg.com/ext_tw_video_thumb/1707511648871682048/pu/img/iShssj-xDOeLI3RY.jpg</v>
      </c>
      <c r="AW4133" s="80" t="s">
        <v>19805</v>
      </c>
      <c r="AX4133" s="80" t="s">
        <v>19805</v>
      </c>
      <c r="AY4133" s="77"/>
      <c r="AZ4133" s="80" t="s">
        <v>20380</v>
      </c>
      <c r="BA4133" s="80" t="s">
        <v>20380</v>
      </c>
      <c r="BB4133" s="80" t="s">
        <v>20380</v>
      </c>
      <c r="BC4133" s="80" t="s">
        <v>19805</v>
      </c>
      <c r="BD4133" s="80" t="s">
        <v>21184</v>
      </c>
      <c r="BE4133" s="77"/>
      <c r="BF4133" s="77"/>
      <c r="BG4133" s="77"/>
      <c r="BH4133" s="77"/>
      <c r="BI4133" s="77"/>
    </row>
    <row r="4134" spans="1:61" x14ac:dyDescent="0.25">
      <c r="A4134" s="62" t="s">
        <v>1650</v>
      </c>
      <c r="B4134" s="62" t="s">
        <v>1650</v>
      </c>
      <c r="C4134" s="63"/>
      <c r="D4134" s="64"/>
      <c r="E4134" s="65"/>
      <c r="F4134" s="66"/>
      <c r="G4134" s="63"/>
      <c r="H4134" s="67"/>
      <c r="I4134" s="68"/>
      <c r="J4134" s="68"/>
      <c r="K4134" s="32"/>
      <c r="L4134" s="75">
        <v>4134</v>
      </c>
      <c r="M4134" s="75"/>
      <c r="N4134" s="70"/>
      <c r="O4134" s="77" t="s">
        <v>2081</v>
      </c>
      <c r="P4134" s="79">
        <v>45102.962789351855</v>
      </c>
      <c r="Q4134" s="77" t="s">
        <v>5735</v>
      </c>
      <c r="R4134" s="77">
        <v>34</v>
      </c>
      <c r="S4134" s="77">
        <v>105</v>
      </c>
      <c r="T4134" s="77">
        <v>4</v>
      </c>
      <c r="U4134" s="77">
        <v>2</v>
      </c>
      <c r="V4134" s="77">
        <v>1914</v>
      </c>
      <c r="W4134" s="80" t="s">
        <v>7498</v>
      </c>
      <c r="X4134" s="77"/>
      <c r="Y4134" s="77"/>
      <c r="Z4134" s="77" t="s">
        <v>1650</v>
      </c>
      <c r="AA4134" s="77" t="s">
        <v>10458</v>
      </c>
      <c r="AB4134" s="77" t="s">
        <v>10534</v>
      </c>
      <c r="AC4134" s="80" t="s">
        <v>10541</v>
      </c>
      <c r="AD4134" s="77" t="s">
        <v>10617</v>
      </c>
      <c r="AE4134" s="83" t="str">
        <f>HYPERLINK("https://twitter.com/ciropnddobrasil/status/1673105394070110209")</f>
        <v>https://twitter.com/ciropnddobrasil/status/1673105394070110209</v>
      </c>
      <c r="AF4134" s="79">
        <v>45102.962789351855</v>
      </c>
      <c r="AG4134" s="85">
        <v>45102</v>
      </c>
      <c r="AH4134" s="80" t="s">
        <v>14216</v>
      </c>
      <c r="AI4134" s="77" t="b">
        <v>0</v>
      </c>
      <c r="AJ4134" s="77"/>
      <c r="AK4134" s="77"/>
      <c r="AL4134" s="77"/>
      <c r="AM4134" s="77"/>
      <c r="AN4134" s="77"/>
      <c r="AO4134" s="77"/>
      <c r="AP4134" s="77"/>
      <c r="AQ4134" s="77" t="s">
        <v>15937</v>
      </c>
      <c r="AR4134" s="77">
        <v>57191</v>
      </c>
      <c r="AS4134" s="77"/>
      <c r="AT4134" s="77"/>
      <c r="AU4134" s="77"/>
      <c r="AV4134" s="83" t="str">
        <f>HYPERLINK("https://pbs.twimg.com/ext_tw_video_thumb/1673105315879895041/pu/img/6u7ldOPXhqNjEkMD.jpg")</f>
        <v>https://pbs.twimg.com/ext_tw_video_thumb/1673105315879895041/pu/img/6u7ldOPXhqNjEkMD.jpg</v>
      </c>
      <c r="AW4134" s="80" t="s">
        <v>19806</v>
      </c>
      <c r="AX4134" s="80" t="s">
        <v>19806</v>
      </c>
      <c r="AY4134" s="77"/>
      <c r="AZ4134" s="80" t="s">
        <v>20380</v>
      </c>
      <c r="BA4134" s="80" t="s">
        <v>20380</v>
      </c>
      <c r="BB4134" s="80" t="s">
        <v>20380</v>
      </c>
      <c r="BC4134" s="80" t="s">
        <v>19806</v>
      </c>
      <c r="BD4134" s="80" t="s">
        <v>21184</v>
      </c>
      <c r="BE4134" s="77"/>
      <c r="BF4134" s="77"/>
      <c r="BG4134" s="77"/>
      <c r="BH4134" s="77"/>
      <c r="BI4134" s="77"/>
    </row>
    <row r="4135" spans="1:61" x14ac:dyDescent="0.25">
      <c r="A4135" s="62" t="s">
        <v>1651</v>
      </c>
      <c r="B4135" s="62" t="s">
        <v>1650</v>
      </c>
      <c r="C4135" s="63"/>
      <c r="D4135" s="64"/>
      <c r="E4135" s="65"/>
      <c r="F4135" s="66"/>
      <c r="G4135" s="63"/>
      <c r="H4135" s="67"/>
      <c r="I4135" s="68"/>
      <c r="J4135" s="68"/>
      <c r="K4135" s="32"/>
      <c r="L4135" s="75">
        <v>4135</v>
      </c>
      <c r="M4135" s="75"/>
      <c r="N4135" s="70"/>
      <c r="O4135" s="77" t="s">
        <v>2082</v>
      </c>
      <c r="P4135" s="79">
        <v>45052.904444444444</v>
      </c>
      <c r="Q4135" s="77" t="s">
        <v>5736</v>
      </c>
      <c r="R4135" s="77">
        <v>3</v>
      </c>
      <c r="S4135" s="77">
        <v>13</v>
      </c>
      <c r="T4135" s="77">
        <v>0</v>
      </c>
      <c r="U4135" s="77">
        <v>0</v>
      </c>
      <c r="V4135" s="77">
        <v>114</v>
      </c>
      <c r="W4135" s="80" t="s">
        <v>7498</v>
      </c>
      <c r="X4135" s="77"/>
      <c r="Y4135" s="77"/>
      <c r="Z4135" s="77"/>
      <c r="AA4135" s="77"/>
      <c r="AB4135" s="77"/>
      <c r="AC4135" s="80" t="s">
        <v>10541</v>
      </c>
      <c r="AD4135" s="77" t="s">
        <v>10617</v>
      </c>
      <c r="AE4135" s="83" t="str">
        <f>HYPERLINK("https://twitter.com/michelfreireadm/status/1654964858159235072")</f>
        <v>https://twitter.com/michelfreireadm/status/1654964858159235072</v>
      </c>
      <c r="AF4135" s="79">
        <v>45052.904444444444</v>
      </c>
      <c r="AG4135" s="85">
        <v>45052</v>
      </c>
      <c r="AH4135" s="80" t="s">
        <v>14217</v>
      </c>
      <c r="AI4135" s="77"/>
      <c r="AJ4135" s="77"/>
      <c r="AK4135" s="77"/>
      <c r="AL4135" s="77"/>
      <c r="AM4135" s="77"/>
      <c r="AN4135" s="77"/>
      <c r="AO4135" s="77"/>
      <c r="AP4135" s="77"/>
      <c r="AQ4135" s="77"/>
      <c r="AR4135" s="77"/>
      <c r="AS4135" s="77"/>
      <c r="AT4135" s="77"/>
      <c r="AU4135" s="77"/>
      <c r="AV4135" s="83" t="str">
        <f>HYPERLINK("https://pbs.twimg.com/profile_images/1562571778022510593/I3xNjsLA_normal.png")</f>
        <v>https://pbs.twimg.com/profile_images/1562571778022510593/I3xNjsLA_normal.png</v>
      </c>
      <c r="AW4135" s="80" t="s">
        <v>19807</v>
      </c>
      <c r="AX4135" s="80" t="s">
        <v>19807</v>
      </c>
      <c r="AY4135" s="77"/>
      <c r="AZ4135" s="80" t="s">
        <v>20380</v>
      </c>
      <c r="BA4135" s="80" t="s">
        <v>19799</v>
      </c>
      <c r="BB4135" s="80" t="s">
        <v>20380</v>
      </c>
      <c r="BC4135" s="80" t="s">
        <v>19799</v>
      </c>
      <c r="BD4135" s="77">
        <v>220038298</v>
      </c>
      <c r="BE4135" s="77"/>
      <c r="BF4135" s="77"/>
      <c r="BG4135" s="77"/>
      <c r="BH4135" s="77"/>
      <c r="BI4135" s="77"/>
    </row>
    <row r="4136" spans="1:61" x14ac:dyDescent="0.25">
      <c r="A4136" s="62" t="s">
        <v>1651</v>
      </c>
      <c r="B4136" s="62" t="s">
        <v>1650</v>
      </c>
      <c r="C4136" s="63"/>
      <c r="D4136" s="64"/>
      <c r="E4136" s="65"/>
      <c r="F4136" s="66"/>
      <c r="G4136" s="63"/>
      <c r="H4136" s="67"/>
      <c r="I4136" s="68"/>
      <c r="J4136" s="68"/>
      <c r="K4136" s="32"/>
      <c r="L4136" s="75">
        <v>4136</v>
      </c>
      <c r="M4136" s="75"/>
      <c r="N4136" s="70"/>
      <c r="O4136" s="77" t="s">
        <v>2082</v>
      </c>
      <c r="P4136" s="79">
        <v>45058.934004629627</v>
      </c>
      <c r="Q4136" s="77" t="s">
        <v>5737</v>
      </c>
      <c r="R4136" s="77">
        <v>18</v>
      </c>
      <c r="S4136" s="77">
        <v>53</v>
      </c>
      <c r="T4136" s="77">
        <v>0</v>
      </c>
      <c r="U4136" s="77">
        <v>0</v>
      </c>
      <c r="V4136" s="77">
        <v>593</v>
      </c>
      <c r="W4136" s="80" t="s">
        <v>8487</v>
      </c>
      <c r="X4136" s="77"/>
      <c r="Y4136" s="77"/>
      <c r="Z4136" s="77"/>
      <c r="AA4136" s="77"/>
      <c r="AB4136" s="77"/>
      <c r="AC4136" s="80" t="s">
        <v>10541</v>
      </c>
      <c r="AD4136" s="77" t="s">
        <v>10617</v>
      </c>
      <c r="AE4136" s="83" t="str">
        <f>HYPERLINK("https://twitter.com/michelfreireadm/status/1657149896317628416")</f>
        <v>https://twitter.com/michelfreireadm/status/1657149896317628416</v>
      </c>
      <c r="AF4136" s="79">
        <v>45058.934004629627</v>
      </c>
      <c r="AG4136" s="85">
        <v>45058</v>
      </c>
      <c r="AH4136" s="80" t="s">
        <v>14218</v>
      </c>
      <c r="AI4136" s="77"/>
      <c r="AJ4136" s="77"/>
      <c r="AK4136" s="77"/>
      <c r="AL4136" s="77"/>
      <c r="AM4136" s="77"/>
      <c r="AN4136" s="77"/>
      <c r="AO4136" s="77"/>
      <c r="AP4136" s="77"/>
      <c r="AQ4136" s="77"/>
      <c r="AR4136" s="77"/>
      <c r="AS4136" s="77"/>
      <c r="AT4136" s="77"/>
      <c r="AU4136" s="77"/>
      <c r="AV4136" s="83" t="str">
        <f>HYPERLINK("https://pbs.twimg.com/profile_images/1562571778022510593/I3xNjsLA_normal.png")</f>
        <v>https://pbs.twimg.com/profile_images/1562571778022510593/I3xNjsLA_normal.png</v>
      </c>
      <c r="AW4136" s="80" t="s">
        <v>19808</v>
      </c>
      <c r="AX4136" s="80" t="s">
        <v>19808</v>
      </c>
      <c r="AY4136" s="77"/>
      <c r="AZ4136" s="80" t="s">
        <v>20380</v>
      </c>
      <c r="BA4136" s="80" t="s">
        <v>19800</v>
      </c>
      <c r="BB4136" s="80" t="s">
        <v>20380</v>
      </c>
      <c r="BC4136" s="80" t="s">
        <v>19800</v>
      </c>
      <c r="BD4136" s="77">
        <v>220038298</v>
      </c>
      <c r="BE4136" s="77"/>
      <c r="BF4136" s="77"/>
      <c r="BG4136" s="77"/>
      <c r="BH4136" s="77"/>
      <c r="BI4136" s="77"/>
    </row>
    <row r="4137" spans="1:61" x14ac:dyDescent="0.25">
      <c r="A4137" s="62" t="s">
        <v>1651</v>
      </c>
      <c r="B4137" s="62" t="s">
        <v>1650</v>
      </c>
      <c r="C4137" s="63"/>
      <c r="D4137" s="64"/>
      <c r="E4137" s="65"/>
      <c r="F4137" s="66"/>
      <c r="G4137" s="63"/>
      <c r="H4137" s="67"/>
      <c r="I4137" s="68"/>
      <c r="J4137" s="68"/>
      <c r="K4137" s="32"/>
      <c r="L4137" s="75">
        <v>4137</v>
      </c>
      <c r="M4137" s="75"/>
      <c r="N4137" s="70"/>
      <c r="O4137" s="77" t="s">
        <v>2082</v>
      </c>
      <c r="P4137" s="79">
        <v>45094.834178240744</v>
      </c>
      <c r="Q4137" s="77" t="s">
        <v>5738</v>
      </c>
      <c r="R4137" s="77">
        <v>8</v>
      </c>
      <c r="S4137" s="77">
        <v>36</v>
      </c>
      <c r="T4137" s="77">
        <v>1</v>
      </c>
      <c r="U4137" s="77">
        <v>1</v>
      </c>
      <c r="V4137" s="77">
        <v>661</v>
      </c>
      <c r="W4137" s="80" t="s">
        <v>7498</v>
      </c>
      <c r="X4137" s="77"/>
      <c r="Y4137" s="77"/>
      <c r="Z4137" s="77"/>
      <c r="AA4137" s="77"/>
      <c r="AB4137" s="77"/>
      <c r="AC4137" s="80" t="s">
        <v>10541</v>
      </c>
      <c r="AD4137" s="77" t="s">
        <v>10617</v>
      </c>
      <c r="AE4137" s="83" t="str">
        <f>HYPERLINK("https://twitter.com/michelfreireadm/status/1670159684903264258")</f>
        <v>https://twitter.com/michelfreireadm/status/1670159684903264258</v>
      </c>
      <c r="AF4137" s="79">
        <v>45094.834178240744</v>
      </c>
      <c r="AG4137" s="85">
        <v>45094</v>
      </c>
      <c r="AH4137" s="80" t="s">
        <v>14219</v>
      </c>
      <c r="AI4137" s="77"/>
      <c r="AJ4137" s="77"/>
      <c r="AK4137" s="77"/>
      <c r="AL4137" s="77"/>
      <c r="AM4137" s="77"/>
      <c r="AN4137" s="77"/>
      <c r="AO4137" s="77"/>
      <c r="AP4137" s="77"/>
      <c r="AQ4137" s="77"/>
      <c r="AR4137" s="77"/>
      <c r="AS4137" s="77"/>
      <c r="AT4137" s="77"/>
      <c r="AU4137" s="77"/>
      <c r="AV4137" s="83" t="str">
        <f>HYPERLINK("https://pbs.twimg.com/profile_images/1562571778022510593/I3xNjsLA_normal.png")</f>
        <v>https://pbs.twimg.com/profile_images/1562571778022510593/I3xNjsLA_normal.png</v>
      </c>
      <c r="AW4137" s="80" t="s">
        <v>19809</v>
      </c>
      <c r="AX4137" s="80" t="s">
        <v>19809</v>
      </c>
      <c r="AY4137" s="77"/>
      <c r="AZ4137" s="80" t="s">
        <v>20380</v>
      </c>
      <c r="BA4137" s="80" t="s">
        <v>19802</v>
      </c>
      <c r="BB4137" s="80" t="s">
        <v>20380</v>
      </c>
      <c r="BC4137" s="80" t="s">
        <v>19802</v>
      </c>
      <c r="BD4137" s="77">
        <v>220038298</v>
      </c>
      <c r="BE4137" s="77"/>
      <c r="BF4137" s="77"/>
      <c r="BG4137" s="77"/>
      <c r="BH4137" s="77"/>
      <c r="BI4137" s="77"/>
    </row>
    <row r="4138" spans="1:61" x14ac:dyDescent="0.25">
      <c r="A4138" s="62" t="s">
        <v>1651</v>
      </c>
      <c r="B4138" s="62" t="s">
        <v>1650</v>
      </c>
      <c r="C4138" s="63"/>
      <c r="D4138" s="64"/>
      <c r="E4138" s="65"/>
      <c r="F4138" s="66"/>
      <c r="G4138" s="63"/>
      <c r="H4138" s="67"/>
      <c r="I4138" s="68"/>
      <c r="J4138" s="68"/>
      <c r="K4138" s="32"/>
      <c r="L4138" s="75">
        <v>4138</v>
      </c>
      <c r="M4138" s="75"/>
      <c r="N4138" s="70"/>
      <c r="O4138" s="77" t="s">
        <v>2082</v>
      </c>
      <c r="P4138" s="79">
        <v>45102.963553240741</v>
      </c>
      <c r="Q4138" s="77" t="s">
        <v>5739</v>
      </c>
      <c r="R4138" s="77">
        <v>10</v>
      </c>
      <c r="S4138" s="77">
        <v>38</v>
      </c>
      <c r="T4138" s="77">
        <v>0</v>
      </c>
      <c r="U4138" s="77">
        <v>1</v>
      </c>
      <c r="V4138" s="77">
        <v>433</v>
      </c>
      <c r="W4138" s="80" t="s">
        <v>7498</v>
      </c>
      <c r="X4138" s="77"/>
      <c r="Y4138" s="77"/>
      <c r="Z4138" s="77"/>
      <c r="AA4138" s="77"/>
      <c r="AB4138" s="77"/>
      <c r="AC4138" s="80" t="s">
        <v>10541</v>
      </c>
      <c r="AD4138" s="77" t="s">
        <v>10617</v>
      </c>
      <c r="AE4138" s="83" t="str">
        <f>HYPERLINK("https://twitter.com/michelfreireadm/status/1673105672945250306")</f>
        <v>https://twitter.com/michelfreireadm/status/1673105672945250306</v>
      </c>
      <c r="AF4138" s="79">
        <v>45102.963553240741</v>
      </c>
      <c r="AG4138" s="85">
        <v>45102</v>
      </c>
      <c r="AH4138" s="80" t="s">
        <v>14220</v>
      </c>
      <c r="AI4138" s="77"/>
      <c r="AJ4138" s="77"/>
      <c r="AK4138" s="77"/>
      <c r="AL4138" s="77"/>
      <c r="AM4138" s="77"/>
      <c r="AN4138" s="77"/>
      <c r="AO4138" s="77"/>
      <c r="AP4138" s="77"/>
      <c r="AQ4138" s="77"/>
      <c r="AR4138" s="77"/>
      <c r="AS4138" s="77"/>
      <c r="AT4138" s="77"/>
      <c r="AU4138" s="77"/>
      <c r="AV4138" s="83" t="str">
        <f>HYPERLINK("https://pbs.twimg.com/profile_images/1562571778022510593/I3xNjsLA_normal.png")</f>
        <v>https://pbs.twimg.com/profile_images/1562571778022510593/I3xNjsLA_normal.png</v>
      </c>
      <c r="AW4138" s="80" t="s">
        <v>19810</v>
      </c>
      <c r="AX4138" s="80" t="s">
        <v>19810</v>
      </c>
      <c r="AY4138" s="77"/>
      <c r="AZ4138" s="80" t="s">
        <v>20380</v>
      </c>
      <c r="BA4138" s="80" t="s">
        <v>19806</v>
      </c>
      <c r="BB4138" s="80" t="s">
        <v>20380</v>
      </c>
      <c r="BC4138" s="80" t="s">
        <v>19806</v>
      </c>
      <c r="BD4138" s="77">
        <v>220038298</v>
      </c>
      <c r="BE4138" s="77"/>
      <c r="BF4138" s="77"/>
      <c r="BG4138" s="77"/>
      <c r="BH4138" s="77"/>
      <c r="BI4138" s="77"/>
    </row>
    <row r="4139" spans="1:61" x14ac:dyDescent="0.25">
      <c r="A4139" s="62" t="s">
        <v>1651</v>
      </c>
      <c r="B4139" s="62" t="s">
        <v>1650</v>
      </c>
      <c r="C4139" s="63"/>
      <c r="D4139" s="64"/>
      <c r="E4139" s="65"/>
      <c r="F4139" s="66"/>
      <c r="G4139" s="63"/>
      <c r="H4139" s="67"/>
      <c r="I4139" s="68"/>
      <c r="J4139" s="68"/>
      <c r="K4139" s="32"/>
      <c r="L4139" s="75">
        <v>4139</v>
      </c>
      <c r="M4139" s="75"/>
      <c r="N4139" s="70"/>
      <c r="O4139" s="77" t="s">
        <v>2082</v>
      </c>
      <c r="P4139" s="79">
        <v>45113.965416666666</v>
      </c>
      <c r="Q4139" s="77" t="s">
        <v>5740</v>
      </c>
      <c r="R4139" s="77">
        <v>13</v>
      </c>
      <c r="S4139" s="77">
        <v>43</v>
      </c>
      <c r="T4139" s="77">
        <v>0</v>
      </c>
      <c r="U4139" s="77">
        <v>1</v>
      </c>
      <c r="V4139" s="77">
        <v>560</v>
      </c>
      <c r="W4139" s="80" t="s">
        <v>7498</v>
      </c>
      <c r="X4139" s="77"/>
      <c r="Y4139" s="77"/>
      <c r="Z4139" s="77"/>
      <c r="AA4139" s="77"/>
      <c r="AB4139" s="77"/>
      <c r="AC4139" s="80" t="s">
        <v>10541</v>
      </c>
      <c r="AD4139" s="77" t="s">
        <v>10617</v>
      </c>
      <c r="AE4139" s="83" t="str">
        <f>HYPERLINK("https://twitter.com/michelfreireadm/status/1677092612296122368")</f>
        <v>https://twitter.com/michelfreireadm/status/1677092612296122368</v>
      </c>
      <c r="AF4139" s="79">
        <v>45113.965416666666</v>
      </c>
      <c r="AG4139" s="85">
        <v>45113</v>
      </c>
      <c r="AH4139" s="80" t="s">
        <v>14221</v>
      </c>
      <c r="AI4139" s="77"/>
      <c r="AJ4139" s="77"/>
      <c r="AK4139" s="77"/>
      <c r="AL4139" s="77"/>
      <c r="AM4139" s="77"/>
      <c r="AN4139" s="77"/>
      <c r="AO4139" s="77"/>
      <c r="AP4139" s="77"/>
      <c r="AQ4139" s="77"/>
      <c r="AR4139" s="77"/>
      <c r="AS4139" s="77"/>
      <c r="AT4139" s="77"/>
      <c r="AU4139" s="77"/>
      <c r="AV4139" s="83" t="str">
        <f>HYPERLINK("https://pbs.twimg.com/profile_images/1562571778022510593/I3xNjsLA_normal.png")</f>
        <v>https://pbs.twimg.com/profile_images/1562571778022510593/I3xNjsLA_normal.png</v>
      </c>
      <c r="AW4139" s="80" t="s">
        <v>19811</v>
      </c>
      <c r="AX4139" s="80" t="s">
        <v>19811</v>
      </c>
      <c r="AY4139" s="77"/>
      <c r="AZ4139" s="80" t="s">
        <v>20380</v>
      </c>
      <c r="BA4139" s="80" t="s">
        <v>19803</v>
      </c>
      <c r="BB4139" s="80" t="s">
        <v>20380</v>
      </c>
      <c r="BC4139" s="80" t="s">
        <v>19803</v>
      </c>
      <c r="BD4139" s="77">
        <v>220038298</v>
      </c>
      <c r="BE4139" s="77"/>
      <c r="BF4139" s="77"/>
      <c r="BG4139" s="77"/>
      <c r="BH4139" s="77"/>
      <c r="BI4139" s="77"/>
    </row>
    <row r="4140" spans="1:61" x14ac:dyDescent="0.25">
      <c r="A4140" s="62" t="s">
        <v>1651</v>
      </c>
      <c r="B4140" s="62" t="s">
        <v>1650</v>
      </c>
      <c r="C4140" s="63"/>
      <c r="D4140" s="64"/>
      <c r="E4140" s="65"/>
      <c r="F4140" s="66"/>
      <c r="G4140" s="63"/>
      <c r="H4140" s="67"/>
      <c r="I4140" s="68"/>
      <c r="J4140" s="68"/>
      <c r="K4140" s="32"/>
      <c r="L4140" s="75">
        <v>4140</v>
      </c>
      <c r="M4140" s="75"/>
      <c r="N4140" s="70"/>
      <c r="O4140" s="77" t="s">
        <v>2082</v>
      </c>
      <c r="P4140" s="79">
        <v>45099.902499999997</v>
      </c>
      <c r="Q4140" s="77" t="s">
        <v>5741</v>
      </c>
      <c r="R4140" s="77">
        <v>8</v>
      </c>
      <c r="S4140" s="77">
        <v>27</v>
      </c>
      <c r="T4140" s="77">
        <v>2</v>
      </c>
      <c r="U4140" s="77">
        <v>1</v>
      </c>
      <c r="V4140" s="77">
        <v>316</v>
      </c>
      <c r="W4140" s="80" t="s">
        <v>7498</v>
      </c>
      <c r="X4140" s="77"/>
      <c r="Y4140" s="77"/>
      <c r="Z4140" s="77"/>
      <c r="AA4140" s="77"/>
      <c r="AB4140" s="77"/>
      <c r="AC4140" s="80" t="s">
        <v>10541</v>
      </c>
      <c r="AD4140" s="77" t="s">
        <v>10617</v>
      </c>
      <c r="AE4140" s="83" t="str">
        <f>HYPERLINK("https://twitter.com/michelfreireadm/status/1671996383824429057")</f>
        <v>https://twitter.com/michelfreireadm/status/1671996383824429057</v>
      </c>
      <c r="AF4140" s="79">
        <v>45099.902499999997</v>
      </c>
      <c r="AG4140" s="85">
        <v>45099</v>
      </c>
      <c r="AH4140" s="80" t="s">
        <v>14222</v>
      </c>
      <c r="AI4140" s="77"/>
      <c r="AJ4140" s="77"/>
      <c r="AK4140" s="77"/>
      <c r="AL4140" s="77"/>
      <c r="AM4140" s="77"/>
      <c r="AN4140" s="77"/>
      <c r="AO4140" s="77"/>
      <c r="AP4140" s="77"/>
      <c r="AQ4140" s="77"/>
      <c r="AR4140" s="77"/>
      <c r="AS4140" s="77"/>
      <c r="AT4140" s="77"/>
      <c r="AU4140" s="77"/>
      <c r="AV4140" s="83" t="str">
        <f>HYPERLINK("https://pbs.twimg.com/profile_images/1562571778022510593/I3xNjsLA_normal.png")</f>
        <v>https://pbs.twimg.com/profile_images/1562571778022510593/I3xNjsLA_normal.png</v>
      </c>
      <c r="AW4140" s="80" t="s">
        <v>19812</v>
      </c>
      <c r="AX4140" s="80" t="s">
        <v>19812</v>
      </c>
      <c r="AY4140" s="77"/>
      <c r="AZ4140" s="80" t="s">
        <v>20380</v>
      </c>
      <c r="BA4140" s="80" t="s">
        <v>19804</v>
      </c>
      <c r="BB4140" s="80" t="s">
        <v>20380</v>
      </c>
      <c r="BC4140" s="80" t="s">
        <v>19804</v>
      </c>
      <c r="BD4140" s="77">
        <v>220038298</v>
      </c>
      <c r="BE4140" s="77"/>
      <c r="BF4140" s="77"/>
      <c r="BG4140" s="77"/>
      <c r="BH4140" s="77"/>
      <c r="BI4140" s="77"/>
    </row>
    <row r="4141" spans="1:61" x14ac:dyDescent="0.25">
      <c r="A4141" s="62" t="s">
        <v>1651</v>
      </c>
      <c r="B4141" s="62" t="s">
        <v>1650</v>
      </c>
      <c r="C4141" s="63"/>
      <c r="D4141" s="64"/>
      <c r="E4141" s="65"/>
      <c r="F4141" s="66"/>
      <c r="G4141" s="63"/>
      <c r="H4141" s="67"/>
      <c r="I4141" s="68"/>
      <c r="J4141" s="68"/>
      <c r="K4141" s="32"/>
      <c r="L4141" s="75">
        <v>4141</v>
      </c>
      <c r="M4141" s="75"/>
      <c r="N4141" s="70"/>
      <c r="O4141" s="77" t="s">
        <v>2082</v>
      </c>
      <c r="P4141" s="79">
        <v>45197.90896990741</v>
      </c>
      <c r="Q4141" s="77" t="s">
        <v>5742</v>
      </c>
      <c r="R4141" s="77">
        <v>1</v>
      </c>
      <c r="S4141" s="77">
        <v>2</v>
      </c>
      <c r="T4141" s="77">
        <v>0</v>
      </c>
      <c r="U4141" s="77">
        <v>0</v>
      </c>
      <c r="V4141" s="77">
        <v>11</v>
      </c>
      <c r="W4141" s="80" t="s">
        <v>7498</v>
      </c>
      <c r="X4141" s="77"/>
      <c r="Y4141" s="77"/>
      <c r="Z4141" s="77"/>
      <c r="AA4141" s="77"/>
      <c r="AB4141" s="77"/>
      <c r="AC4141" s="80" t="s">
        <v>10541</v>
      </c>
      <c r="AD4141" s="77" t="s">
        <v>10617</v>
      </c>
      <c r="AE4141" s="83" t="str">
        <f>HYPERLINK("https://twitter.com/michelfreireadm/status/1707512739994677735")</f>
        <v>https://twitter.com/michelfreireadm/status/1707512739994677735</v>
      </c>
      <c r="AF4141" s="79">
        <v>45197.90896990741</v>
      </c>
      <c r="AG4141" s="85">
        <v>45197</v>
      </c>
      <c r="AH4141" s="80" t="s">
        <v>14223</v>
      </c>
      <c r="AI4141" s="77"/>
      <c r="AJ4141" s="77"/>
      <c r="AK4141" s="77"/>
      <c r="AL4141" s="77"/>
      <c r="AM4141" s="77"/>
      <c r="AN4141" s="77"/>
      <c r="AO4141" s="77"/>
      <c r="AP4141" s="77"/>
      <c r="AQ4141" s="77"/>
      <c r="AR4141" s="77"/>
      <c r="AS4141" s="77"/>
      <c r="AT4141" s="77"/>
      <c r="AU4141" s="77"/>
      <c r="AV4141" s="83" t="str">
        <f>HYPERLINK("https://pbs.twimg.com/profile_images/1562571778022510593/I3xNjsLA_normal.png")</f>
        <v>https://pbs.twimg.com/profile_images/1562571778022510593/I3xNjsLA_normal.png</v>
      </c>
      <c r="AW4141" s="80" t="s">
        <v>19813</v>
      </c>
      <c r="AX4141" s="80" t="s">
        <v>19813</v>
      </c>
      <c r="AY4141" s="77"/>
      <c r="AZ4141" s="80" t="s">
        <v>20380</v>
      </c>
      <c r="BA4141" s="80" t="s">
        <v>19805</v>
      </c>
      <c r="BB4141" s="80" t="s">
        <v>20380</v>
      </c>
      <c r="BC4141" s="80" t="s">
        <v>19805</v>
      </c>
      <c r="BD4141" s="77">
        <v>220038298</v>
      </c>
      <c r="BE4141" s="77"/>
      <c r="BF4141" s="77"/>
      <c r="BG4141" s="77"/>
      <c r="BH4141" s="77"/>
      <c r="BI4141" s="77"/>
    </row>
    <row r="4142" spans="1:61" x14ac:dyDescent="0.25">
      <c r="A4142" s="62" t="s">
        <v>1651</v>
      </c>
      <c r="B4142" s="62" t="s">
        <v>1650</v>
      </c>
      <c r="C4142" s="63"/>
      <c r="D4142" s="64"/>
      <c r="E4142" s="65"/>
      <c r="F4142" s="66"/>
      <c r="G4142" s="63"/>
      <c r="H4142" s="67"/>
      <c r="I4142" s="68"/>
      <c r="J4142" s="68"/>
      <c r="K4142" s="32"/>
      <c r="L4142" s="75">
        <v>4142</v>
      </c>
      <c r="M4142" s="75"/>
      <c r="N4142" s="70"/>
      <c r="O4142" s="77" t="s">
        <v>2082</v>
      </c>
      <c r="P4142" s="79">
        <v>45096.908090277779</v>
      </c>
      <c r="Q4142" s="77" t="s">
        <v>5743</v>
      </c>
      <c r="R4142" s="77">
        <v>6</v>
      </c>
      <c r="S4142" s="77">
        <v>33</v>
      </c>
      <c r="T4142" s="77">
        <v>2</v>
      </c>
      <c r="U4142" s="77">
        <v>0</v>
      </c>
      <c r="V4142" s="77">
        <v>377</v>
      </c>
      <c r="W4142" s="80" t="s">
        <v>7498</v>
      </c>
      <c r="X4142" s="77"/>
      <c r="Y4142" s="77"/>
      <c r="Z4142" s="77"/>
      <c r="AA4142" s="77"/>
      <c r="AB4142" s="77"/>
      <c r="AC4142" s="80" t="s">
        <v>10541</v>
      </c>
      <c r="AD4142" s="77" t="s">
        <v>10617</v>
      </c>
      <c r="AE4142" s="83" t="str">
        <f>HYPERLINK("https://twitter.com/michelfreireadm/status/1670911245845688320")</f>
        <v>https://twitter.com/michelfreireadm/status/1670911245845688320</v>
      </c>
      <c r="AF4142" s="79">
        <v>45096.908090277779</v>
      </c>
      <c r="AG4142" s="85">
        <v>45096</v>
      </c>
      <c r="AH4142" s="80" t="s">
        <v>14224</v>
      </c>
      <c r="AI4142" s="77"/>
      <c r="AJ4142" s="77"/>
      <c r="AK4142" s="77"/>
      <c r="AL4142" s="77"/>
      <c r="AM4142" s="77"/>
      <c r="AN4142" s="77"/>
      <c r="AO4142" s="77"/>
      <c r="AP4142" s="77"/>
      <c r="AQ4142" s="77"/>
      <c r="AR4142" s="77"/>
      <c r="AS4142" s="77"/>
      <c r="AT4142" s="77"/>
      <c r="AU4142" s="77"/>
      <c r="AV4142" s="83" t="str">
        <f>HYPERLINK("https://pbs.twimg.com/profile_images/1562571778022510593/I3xNjsLA_normal.png")</f>
        <v>https://pbs.twimg.com/profile_images/1562571778022510593/I3xNjsLA_normal.png</v>
      </c>
      <c r="AW4142" s="80" t="s">
        <v>19814</v>
      </c>
      <c r="AX4142" s="80" t="s">
        <v>19814</v>
      </c>
      <c r="AY4142" s="77"/>
      <c r="AZ4142" s="80" t="s">
        <v>20380</v>
      </c>
      <c r="BA4142" s="80" t="s">
        <v>19801</v>
      </c>
      <c r="BB4142" s="80" t="s">
        <v>20380</v>
      </c>
      <c r="BC4142" s="80" t="s">
        <v>19801</v>
      </c>
      <c r="BD4142" s="77">
        <v>220038298</v>
      </c>
      <c r="BE4142" s="77"/>
      <c r="BF4142" s="77"/>
      <c r="BG4142" s="77"/>
      <c r="BH4142" s="77"/>
      <c r="BI4142" s="77"/>
    </row>
    <row r="4143" spans="1:61" x14ac:dyDescent="0.25">
      <c r="A4143" s="62" t="s">
        <v>1652</v>
      </c>
      <c r="B4143" s="62" t="s">
        <v>1999</v>
      </c>
      <c r="C4143" s="63"/>
      <c r="D4143" s="64"/>
      <c r="E4143" s="65"/>
      <c r="F4143" s="66"/>
      <c r="G4143" s="63"/>
      <c r="H4143" s="67"/>
      <c r="I4143" s="68"/>
      <c r="J4143" s="68"/>
      <c r="K4143" s="32"/>
      <c r="L4143" s="75">
        <v>4143</v>
      </c>
      <c r="M4143" s="75"/>
      <c r="N4143" s="70"/>
      <c r="O4143" s="77" t="s">
        <v>2081</v>
      </c>
      <c r="P4143" s="79">
        <v>45138.66002314815</v>
      </c>
      <c r="Q4143" s="77" t="s">
        <v>5744</v>
      </c>
      <c r="R4143" s="77">
        <v>0</v>
      </c>
      <c r="S4143" s="77">
        <v>0</v>
      </c>
      <c r="T4143" s="77">
        <v>0</v>
      </c>
      <c r="U4143" s="77">
        <v>0</v>
      </c>
      <c r="V4143" s="77">
        <v>144</v>
      </c>
      <c r="W4143" s="80" t="s">
        <v>8488</v>
      </c>
      <c r="X4143" s="77"/>
      <c r="Y4143" s="77"/>
      <c r="Z4143" s="77" t="s">
        <v>1999</v>
      </c>
      <c r="AA4143" s="77" t="s">
        <v>10459</v>
      </c>
      <c r="AB4143" s="77" t="s">
        <v>10534</v>
      </c>
      <c r="AC4143" s="80" t="s">
        <v>10540</v>
      </c>
      <c r="AD4143" s="77" t="s">
        <v>10620</v>
      </c>
      <c r="AE4143" s="83" t="str">
        <f>HYPERLINK("https://twitter.com/losnotablelared/status/1686041637321846784")</f>
        <v>https://twitter.com/losnotablelared/status/1686041637321846784</v>
      </c>
      <c r="AF4143" s="79">
        <v>45138.66002314815</v>
      </c>
      <c r="AG4143" s="85">
        <v>45138</v>
      </c>
      <c r="AH4143" s="80" t="s">
        <v>14225</v>
      </c>
      <c r="AI4143" s="77" t="b">
        <v>0</v>
      </c>
      <c r="AJ4143" s="77"/>
      <c r="AK4143" s="77"/>
      <c r="AL4143" s="77"/>
      <c r="AM4143" s="77"/>
      <c r="AN4143" s="77"/>
      <c r="AO4143" s="77"/>
      <c r="AP4143" s="77"/>
      <c r="AQ4143" s="77" t="s">
        <v>15938</v>
      </c>
      <c r="AR4143" s="77">
        <v>67740</v>
      </c>
      <c r="AS4143" s="77"/>
      <c r="AT4143" s="77"/>
      <c r="AU4143" s="77"/>
      <c r="AV4143" s="83" t="str">
        <f>HYPERLINK("https://pbs.twimg.com/ext_tw_video_thumb/1686041572188565504/pu/img/91qG8Fykcee7Z5yj.jpg")</f>
        <v>https://pbs.twimg.com/ext_tw_video_thumb/1686041572188565504/pu/img/91qG8Fykcee7Z5yj.jpg</v>
      </c>
      <c r="AW4143" s="80" t="s">
        <v>19815</v>
      </c>
      <c r="AX4143" s="80" t="s">
        <v>19815</v>
      </c>
      <c r="AY4143" s="77"/>
      <c r="AZ4143" s="80" t="s">
        <v>20380</v>
      </c>
      <c r="BA4143" s="80" t="s">
        <v>20380</v>
      </c>
      <c r="BB4143" s="80" t="s">
        <v>20380</v>
      </c>
      <c r="BC4143" s="80" t="s">
        <v>19815</v>
      </c>
      <c r="BD4143" s="77">
        <v>1212012450</v>
      </c>
      <c r="BE4143" s="77"/>
      <c r="BF4143" s="77"/>
      <c r="BG4143" s="77"/>
      <c r="BH4143" s="77"/>
      <c r="BI4143" s="77"/>
    </row>
    <row r="4144" spans="1:61" x14ac:dyDescent="0.25">
      <c r="A4144" s="62" t="s">
        <v>1653</v>
      </c>
      <c r="B4144" s="62" t="s">
        <v>1653</v>
      </c>
      <c r="C4144" s="63"/>
      <c r="D4144" s="64"/>
      <c r="E4144" s="65"/>
      <c r="F4144" s="66"/>
      <c r="G4144" s="63"/>
      <c r="H4144" s="67"/>
      <c r="I4144" s="68"/>
      <c r="J4144" s="68"/>
      <c r="K4144" s="32"/>
      <c r="L4144" s="75">
        <v>4144</v>
      </c>
      <c r="M4144" s="75"/>
      <c r="N4144" s="70"/>
      <c r="O4144" s="77" t="s">
        <v>179</v>
      </c>
      <c r="P4144" s="79">
        <v>45177.01425925926</v>
      </c>
      <c r="Q4144" s="77" t="s">
        <v>5745</v>
      </c>
      <c r="R4144" s="77">
        <v>1</v>
      </c>
      <c r="S4144" s="77">
        <v>1</v>
      </c>
      <c r="T4144" s="77">
        <v>1</v>
      </c>
      <c r="U4144" s="77">
        <v>0</v>
      </c>
      <c r="V4144" s="77">
        <v>164</v>
      </c>
      <c r="W4144" s="80" t="s">
        <v>8489</v>
      </c>
      <c r="X4144" s="83" t="str">
        <f>HYPERLINK("https://temucodiario.cl/2023/09/08/ipom-del-banco-central-permite-proyectar-cifras-ascendentes-para-la-economia-nacional-y-regional/")</f>
        <v>https://temucodiario.cl/2023/09/08/ipom-del-banco-central-permite-proyectar-cifras-ascendentes-para-la-economia-nacional-y-regional/</v>
      </c>
      <c r="Y4144" s="77" t="s">
        <v>8890</v>
      </c>
      <c r="Z4144" s="77"/>
      <c r="AA4144" s="77" t="s">
        <v>10460</v>
      </c>
      <c r="AB4144" s="77" t="s">
        <v>10538</v>
      </c>
      <c r="AC4144" s="80" t="s">
        <v>10541</v>
      </c>
      <c r="AD4144" s="77" t="s">
        <v>10620</v>
      </c>
      <c r="AE4144" s="83" t="str">
        <f>HYPERLINK("https://twitter.com/temucodiario/status/1699940747326132703")</f>
        <v>https://twitter.com/temucodiario/status/1699940747326132703</v>
      </c>
      <c r="AF4144" s="79">
        <v>45177.01425925926</v>
      </c>
      <c r="AG4144" s="85">
        <v>45177</v>
      </c>
      <c r="AH4144" s="80" t="s">
        <v>14226</v>
      </c>
      <c r="AI4144" s="77" t="b">
        <v>0</v>
      </c>
      <c r="AJ4144" s="77"/>
      <c r="AK4144" s="77"/>
      <c r="AL4144" s="77"/>
      <c r="AM4144" s="77"/>
      <c r="AN4144" s="77"/>
      <c r="AO4144" s="77"/>
      <c r="AP4144" s="77"/>
      <c r="AQ4144" s="77" t="s">
        <v>15939</v>
      </c>
      <c r="AR4144" s="77"/>
      <c r="AS4144" s="77"/>
      <c r="AT4144" s="77"/>
      <c r="AU4144" s="77"/>
      <c r="AV4144" s="83" t="str">
        <f>HYPERLINK("https://pbs.twimg.com/media/F5dmxkBXkAAWmnM.jpg")</f>
        <v>https://pbs.twimg.com/media/F5dmxkBXkAAWmnM.jpg</v>
      </c>
      <c r="AW4144" s="80" t="s">
        <v>19816</v>
      </c>
      <c r="AX4144" s="80" t="s">
        <v>19816</v>
      </c>
      <c r="AY4144" s="77"/>
      <c r="AZ4144" s="80" t="s">
        <v>20380</v>
      </c>
      <c r="BA4144" s="80" t="s">
        <v>20380</v>
      </c>
      <c r="BB4144" s="80" t="s">
        <v>20380</v>
      </c>
      <c r="BC4144" s="80" t="s">
        <v>19816</v>
      </c>
      <c r="BD4144" s="77">
        <v>584069537</v>
      </c>
      <c r="BE4144" s="77"/>
      <c r="BF4144" s="77"/>
      <c r="BG4144" s="77"/>
      <c r="BH4144" s="77"/>
      <c r="BI4144" s="77"/>
    </row>
    <row r="4145" spans="1:61" x14ac:dyDescent="0.25">
      <c r="A4145" s="62" t="s">
        <v>1653</v>
      </c>
      <c r="B4145" s="62" t="s">
        <v>1653</v>
      </c>
      <c r="C4145" s="63"/>
      <c r="D4145" s="64"/>
      <c r="E4145" s="65"/>
      <c r="F4145" s="66"/>
      <c r="G4145" s="63"/>
      <c r="H4145" s="67"/>
      <c r="I4145" s="68"/>
      <c r="J4145" s="68"/>
      <c r="K4145" s="32"/>
      <c r="L4145" s="75">
        <v>4145</v>
      </c>
      <c r="M4145" s="75"/>
      <c r="N4145" s="70"/>
      <c r="O4145" s="77" t="s">
        <v>179</v>
      </c>
      <c r="P4145" s="79">
        <v>45176.545543981483</v>
      </c>
      <c r="Q4145" s="77" t="s">
        <v>5746</v>
      </c>
      <c r="R4145" s="77">
        <v>5</v>
      </c>
      <c r="S4145" s="77">
        <v>5</v>
      </c>
      <c r="T4145" s="77">
        <v>1</v>
      </c>
      <c r="U4145" s="77">
        <v>0</v>
      </c>
      <c r="V4145" s="77">
        <v>370</v>
      </c>
      <c r="W4145" s="80" t="s">
        <v>8490</v>
      </c>
      <c r="X4145" s="77"/>
      <c r="Y4145" s="77"/>
      <c r="Z4145" s="77"/>
      <c r="AA4145" s="77" t="s">
        <v>10461</v>
      </c>
      <c r="AB4145" s="77" t="s">
        <v>10536</v>
      </c>
      <c r="AC4145" s="80" t="s">
        <v>10541</v>
      </c>
      <c r="AD4145" s="77" t="s">
        <v>10620</v>
      </c>
      <c r="AE4145" s="83" t="str">
        <f>HYPERLINK("https://twitter.com/temucodiario/status/1699770891247206701")</f>
        <v>https://twitter.com/temucodiario/status/1699770891247206701</v>
      </c>
      <c r="AF4145" s="79">
        <v>45176.545543981483</v>
      </c>
      <c r="AG4145" s="85">
        <v>45176</v>
      </c>
      <c r="AH4145" s="80" t="s">
        <v>14227</v>
      </c>
      <c r="AI4145" s="77" t="b">
        <v>0</v>
      </c>
      <c r="AJ4145" s="77"/>
      <c r="AK4145" s="77"/>
      <c r="AL4145" s="77"/>
      <c r="AM4145" s="77"/>
      <c r="AN4145" s="77"/>
      <c r="AO4145" s="77"/>
      <c r="AP4145" s="77"/>
      <c r="AQ4145" s="77" t="s">
        <v>15940</v>
      </c>
      <c r="AR4145" s="77"/>
      <c r="AS4145" s="77"/>
      <c r="AT4145" s="77"/>
      <c r="AU4145" s="77"/>
      <c r="AV4145" s="83" t="str">
        <f>HYPERLINK("https://pbs.twimg.com/media/F5bMcd5WYAAq0VM.jpg")</f>
        <v>https://pbs.twimg.com/media/F5bMcd5WYAAq0VM.jpg</v>
      </c>
      <c r="AW4145" s="80" t="s">
        <v>19817</v>
      </c>
      <c r="AX4145" s="80" t="s">
        <v>19817</v>
      </c>
      <c r="AY4145" s="77"/>
      <c r="AZ4145" s="80" t="s">
        <v>20380</v>
      </c>
      <c r="BA4145" s="80" t="s">
        <v>20380</v>
      </c>
      <c r="BB4145" s="80" t="s">
        <v>20380</v>
      </c>
      <c r="BC4145" s="80" t="s">
        <v>19817</v>
      </c>
      <c r="BD4145" s="77">
        <v>584069537</v>
      </c>
      <c r="BE4145" s="77"/>
      <c r="BF4145" s="77"/>
      <c r="BG4145" s="77"/>
      <c r="BH4145" s="77"/>
      <c r="BI4145" s="77"/>
    </row>
    <row r="4146" spans="1:61" x14ac:dyDescent="0.25">
      <c r="A4146" s="62" t="s">
        <v>1653</v>
      </c>
      <c r="B4146" s="62" t="s">
        <v>1653</v>
      </c>
      <c r="C4146" s="63"/>
      <c r="D4146" s="64"/>
      <c r="E4146" s="65"/>
      <c r="F4146" s="66"/>
      <c r="G4146" s="63"/>
      <c r="H4146" s="67"/>
      <c r="I4146" s="68"/>
      <c r="J4146" s="68"/>
      <c r="K4146" s="32"/>
      <c r="L4146" s="75">
        <v>4146</v>
      </c>
      <c r="M4146" s="75"/>
      <c r="N4146" s="70"/>
      <c r="O4146" s="77" t="s">
        <v>2083</v>
      </c>
      <c r="P4146" s="79">
        <v>45197.832476851851</v>
      </c>
      <c r="Q4146" s="77" t="s">
        <v>5747</v>
      </c>
      <c r="R4146" s="77">
        <v>1</v>
      </c>
      <c r="S4146" s="77">
        <v>0</v>
      </c>
      <c r="T4146" s="77">
        <v>0</v>
      </c>
      <c r="U4146" s="77">
        <v>0</v>
      </c>
      <c r="V4146" s="77"/>
      <c r="W4146" s="80" t="s">
        <v>8491</v>
      </c>
      <c r="X4146" s="77"/>
      <c r="Y4146" s="77"/>
      <c r="Z4146" s="77" t="s">
        <v>1653</v>
      </c>
      <c r="AA4146" s="77"/>
      <c r="AB4146" s="77"/>
      <c r="AC4146" s="80" t="s">
        <v>10541</v>
      </c>
      <c r="AD4146" s="77" t="s">
        <v>10620</v>
      </c>
      <c r="AE4146" s="83" t="str">
        <f>HYPERLINK("https://twitter.com/temucodiario/status/1707485018199589003")</f>
        <v>https://twitter.com/temucodiario/status/1707485018199589003</v>
      </c>
      <c r="AF4146" s="79">
        <v>45197.832476851851</v>
      </c>
      <c r="AG4146" s="85">
        <v>45197</v>
      </c>
      <c r="AH4146" s="80" t="s">
        <v>14228</v>
      </c>
      <c r="AI4146" s="77"/>
      <c r="AJ4146" s="77"/>
      <c r="AK4146" s="77"/>
      <c r="AL4146" s="77"/>
      <c r="AM4146" s="77"/>
      <c r="AN4146" s="77"/>
      <c r="AO4146" s="77"/>
      <c r="AP4146" s="77"/>
      <c r="AQ4146" s="77"/>
      <c r="AR4146" s="77"/>
      <c r="AS4146" s="77"/>
      <c r="AT4146" s="77"/>
      <c r="AU4146" s="77"/>
      <c r="AV4146" s="83" t="str">
        <f>HYPERLINK("https://pbs.twimg.com/profile_images/1589142248238850048/6DTCrk3f_normal.jpg")</f>
        <v>https://pbs.twimg.com/profile_images/1589142248238850048/6DTCrk3f_normal.jpg</v>
      </c>
      <c r="AW4146" s="80" t="s">
        <v>19818</v>
      </c>
      <c r="AX4146" s="80" t="s">
        <v>19818</v>
      </c>
      <c r="AY4146" s="77"/>
      <c r="AZ4146" s="80" t="s">
        <v>20380</v>
      </c>
      <c r="BA4146" s="80" t="s">
        <v>20380</v>
      </c>
      <c r="BB4146" s="80" t="s">
        <v>19819</v>
      </c>
      <c r="BC4146" s="80" t="s">
        <v>19819</v>
      </c>
      <c r="BD4146" s="77">
        <v>584069537</v>
      </c>
      <c r="BE4146" s="77"/>
      <c r="BF4146" s="77"/>
      <c r="BG4146" s="77"/>
      <c r="BH4146" s="77"/>
      <c r="BI4146" s="77"/>
    </row>
    <row r="4147" spans="1:61" x14ac:dyDescent="0.25">
      <c r="A4147" s="62" t="s">
        <v>1653</v>
      </c>
      <c r="B4147" s="62" t="s">
        <v>1653</v>
      </c>
      <c r="C4147" s="63"/>
      <c r="D4147" s="64"/>
      <c r="E4147" s="65"/>
      <c r="F4147" s="66"/>
      <c r="G4147" s="63"/>
      <c r="H4147" s="67"/>
      <c r="I4147" s="68"/>
      <c r="J4147" s="68"/>
      <c r="K4147" s="32"/>
      <c r="L4147" s="75">
        <v>4147</v>
      </c>
      <c r="M4147" s="75"/>
      <c r="N4147" s="70"/>
      <c r="O4147" s="77" t="s">
        <v>179</v>
      </c>
      <c r="P4147" s="79">
        <v>45197.832384259258</v>
      </c>
      <c r="Q4147" s="77" t="s">
        <v>5748</v>
      </c>
      <c r="R4147" s="77">
        <v>1</v>
      </c>
      <c r="S4147" s="77">
        <v>2</v>
      </c>
      <c r="T4147" s="77">
        <v>0</v>
      </c>
      <c r="U4147" s="77">
        <v>0</v>
      </c>
      <c r="V4147" s="77">
        <v>88</v>
      </c>
      <c r="W4147" s="80" t="s">
        <v>8492</v>
      </c>
      <c r="X4147" s="83" t="str">
        <f>HYPERLINK("https://temucodiario.cl/2023/09/28/economia-chilena-en-caida-libre-economistas-coinciden-en-que-chile-no-podra-contener-el-alza-del-dolar-pese-a-intervenciones-del-banco-central/")</f>
        <v>https://temucodiario.cl/2023/09/28/economia-chilena-en-caida-libre-economistas-coinciden-en-que-chile-no-podra-contener-el-alza-del-dolar-pese-a-intervenciones-del-banco-central/</v>
      </c>
      <c r="Y4147" s="77" t="s">
        <v>8890</v>
      </c>
      <c r="Z4147" s="77"/>
      <c r="AA4147" s="77" t="s">
        <v>10462</v>
      </c>
      <c r="AB4147" s="77" t="s">
        <v>10535</v>
      </c>
      <c r="AC4147" s="80" t="s">
        <v>10541</v>
      </c>
      <c r="AD4147" s="77" t="s">
        <v>10620</v>
      </c>
      <c r="AE4147" s="83" t="str">
        <f>HYPERLINK("https://twitter.com/temucodiario/status/1707484985307865330")</f>
        <v>https://twitter.com/temucodiario/status/1707484985307865330</v>
      </c>
      <c r="AF4147" s="79">
        <v>45197.832384259258</v>
      </c>
      <c r="AG4147" s="85">
        <v>45197</v>
      </c>
      <c r="AH4147" s="80" t="s">
        <v>14229</v>
      </c>
      <c r="AI4147" s="77" t="b">
        <v>0</v>
      </c>
      <c r="AJ4147" s="77"/>
      <c r="AK4147" s="77"/>
      <c r="AL4147" s="77"/>
      <c r="AM4147" s="77"/>
      <c r="AN4147" s="77"/>
      <c r="AO4147" s="77"/>
      <c r="AP4147" s="77"/>
      <c r="AQ4147" s="77" t="s">
        <v>15941</v>
      </c>
      <c r="AR4147" s="77"/>
      <c r="AS4147" s="77"/>
      <c r="AT4147" s="77"/>
      <c r="AU4147" s="77"/>
      <c r="AV4147" s="83" t="str">
        <f>HYPERLINK("https://pbs.twimg.com/media/F7I0fzmXgAASoHe.jpg")</f>
        <v>https://pbs.twimg.com/media/F7I0fzmXgAASoHe.jpg</v>
      </c>
      <c r="AW4147" s="80" t="s">
        <v>19819</v>
      </c>
      <c r="AX4147" s="80" t="s">
        <v>19819</v>
      </c>
      <c r="AY4147" s="77"/>
      <c r="AZ4147" s="80" t="s">
        <v>20380</v>
      </c>
      <c r="BA4147" s="80" t="s">
        <v>20380</v>
      </c>
      <c r="BB4147" s="80" t="s">
        <v>20380</v>
      </c>
      <c r="BC4147" s="80" t="s">
        <v>19819</v>
      </c>
      <c r="BD4147" s="77">
        <v>584069537</v>
      </c>
      <c r="BE4147" s="77"/>
      <c r="BF4147" s="77"/>
      <c r="BG4147" s="77"/>
      <c r="BH4147" s="77"/>
      <c r="BI4147" s="77"/>
    </row>
    <row r="4148" spans="1:61" x14ac:dyDescent="0.25">
      <c r="A4148" s="62" t="s">
        <v>1654</v>
      </c>
      <c r="B4148" s="62" t="s">
        <v>2070</v>
      </c>
      <c r="C4148" s="63"/>
      <c r="D4148" s="64"/>
      <c r="E4148" s="65"/>
      <c r="F4148" s="66"/>
      <c r="G4148" s="63"/>
      <c r="H4148" s="67"/>
      <c r="I4148" s="68"/>
      <c r="J4148" s="68"/>
      <c r="K4148" s="32"/>
      <c r="L4148" s="75">
        <v>4148</v>
      </c>
      <c r="M4148" s="75"/>
      <c r="N4148" s="70"/>
      <c r="O4148" s="77" t="s">
        <v>2081</v>
      </c>
      <c r="P4148" s="79">
        <v>45154.681851851848</v>
      </c>
      <c r="Q4148" s="77" t="s">
        <v>5749</v>
      </c>
      <c r="R4148" s="77">
        <v>1</v>
      </c>
      <c r="S4148" s="77">
        <v>1</v>
      </c>
      <c r="T4148" s="77">
        <v>0</v>
      </c>
      <c r="U4148" s="77">
        <v>0</v>
      </c>
      <c r="V4148" s="77">
        <v>36</v>
      </c>
      <c r="W4148" s="80" t="s">
        <v>6131</v>
      </c>
      <c r="X4148"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48" s="77" t="s">
        <v>8669</v>
      </c>
      <c r="Z4148" s="77" t="s">
        <v>9033</v>
      </c>
      <c r="AA4148" s="77" t="s">
        <v>10463</v>
      </c>
      <c r="AB4148" s="77" t="s">
        <v>10535</v>
      </c>
      <c r="AC4148" s="80" t="s">
        <v>10540</v>
      </c>
      <c r="AD4148" s="77" t="s">
        <v>10620</v>
      </c>
      <c r="AE4148" s="83" t="str">
        <f>HYPERLINK("https://twitter.com/elenaliberal/status/1691847754157310275")</f>
        <v>https://twitter.com/elenaliberal/status/1691847754157310275</v>
      </c>
      <c r="AF4148" s="79">
        <v>45154.681851851848</v>
      </c>
      <c r="AG4148" s="85">
        <v>45154</v>
      </c>
      <c r="AH4148" s="80" t="s">
        <v>14230</v>
      </c>
      <c r="AI4148" s="77" t="b">
        <v>0</v>
      </c>
      <c r="AJ4148" s="77"/>
      <c r="AK4148" s="77"/>
      <c r="AL4148" s="77"/>
      <c r="AM4148" s="77"/>
      <c r="AN4148" s="77"/>
      <c r="AO4148" s="77"/>
      <c r="AP4148" s="77"/>
      <c r="AQ4148" s="77" t="s">
        <v>15942</v>
      </c>
      <c r="AR4148" s="77"/>
      <c r="AS4148" s="77"/>
      <c r="AT4148" s="77"/>
      <c r="AU4148" s="77"/>
      <c r="AV4148" s="83" t="str">
        <f>HYPERLINK("https://pbs.twimg.com/media/F3qmkNoWMAIFw4L.jpg")</f>
        <v>https://pbs.twimg.com/media/F3qmkNoWMAIFw4L.jpg</v>
      </c>
      <c r="AW4148" s="80" t="s">
        <v>19820</v>
      </c>
      <c r="AX4148" s="80" t="s">
        <v>19820</v>
      </c>
      <c r="AY4148" s="77"/>
      <c r="AZ4148" s="80" t="s">
        <v>20380</v>
      </c>
      <c r="BA4148" s="80" t="s">
        <v>20380</v>
      </c>
      <c r="BB4148" s="80" t="s">
        <v>20380</v>
      </c>
      <c r="BC4148" s="80" t="s">
        <v>19820</v>
      </c>
      <c r="BD4148" s="80" t="s">
        <v>21185</v>
      </c>
      <c r="BE4148" s="77"/>
      <c r="BF4148" s="77"/>
      <c r="BG4148" s="77"/>
      <c r="BH4148" s="77"/>
      <c r="BI4148" s="77"/>
    </row>
    <row r="4149" spans="1:61" x14ac:dyDescent="0.25">
      <c r="A4149" s="62" t="s">
        <v>1654</v>
      </c>
      <c r="B4149" s="62" t="s">
        <v>2071</v>
      </c>
      <c r="C4149" s="63"/>
      <c r="D4149" s="64"/>
      <c r="E4149" s="65"/>
      <c r="F4149" s="66"/>
      <c r="G4149" s="63"/>
      <c r="H4149" s="67"/>
      <c r="I4149" s="68"/>
      <c r="J4149" s="68"/>
      <c r="K4149" s="32"/>
      <c r="L4149" s="75">
        <v>4149</v>
      </c>
      <c r="M4149" s="75"/>
      <c r="N4149" s="70"/>
      <c r="O4149" s="77" t="s">
        <v>2081</v>
      </c>
      <c r="P4149" s="79">
        <v>45154.681851851848</v>
      </c>
      <c r="Q4149" s="77" t="s">
        <v>5749</v>
      </c>
      <c r="R4149" s="77">
        <v>1</v>
      </c>
      <c r="S4149" s="77">
        <v>1</v>
      </c>
      <c r="T4149" s="77">
        <v>0</v>
      </c>
      <c r="U4149" s="77">
        <v>0</v>
      </c>
      <c r="V4149" s="77">
        <v>36</v>
      </c>
      <c r="W4149" s="80" t="s">
        <v>6131</v>
      </c>
      <c r="X4149"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49" s="77" t="s">
        <v>8669</v>
      </c>
      <c r="Z4149" s="77" t="s">
        <v>9033</v>
      </c>
      <c r="AA4149" s="77" t="s">
        <v>10463</v>
      </c>
      <c r="AB4149" s="77" t="s">
        <v>10535</v>
      </c>
      <c r="AC4149" s="80" t="s">
        <v>10540</v>
      </c>
      <c r="AD4149" s="77" t="s">
        <v>10620</v>
      </c>
      <c r="AE4149" s="83" t="str">
        <f>HYPERLINK("https://twitter.com/elenaliberal/status/1691847754157310275")</f>
        <v>https://twitter.com/elenaliberal/status/1691847754157310275</v>
      </c>
      <c r="AF4149" s="79">
        <v>45154.681851851848</v>
      </c>
      <c r="AG4149" s="85">
        <v>45154</v>
      </c>
      <c r="AH4149" s="80" t="s">
        <v>14230</v>
      </c>
      <c r="AI4149" s="77" t="b">
        <v>0</v>
      </c>
      <c r="AJ4149" s="77"/>
      <c r="AK4149" s="77"/>
      <c r="AL4149" s="77"/>
      <c r="AM4149" s="77"/>
      <c r="AN4149" s="77"/>
      <c r="AO4149" s="77"/>
      <c r="AP4149" s="77"/>
      <c r="AQ4149" s="77" t="s">
        <v>15942</v>
      </c>
      <c r="AR4149" s="77"/>
      <c r="AS4149" s="77"/>
      <c r="AT4149" s="77"/>
      <c r="AU4149" s="77"/>
      <c r="AV4149" s="83" t="str">
        <f>HYPERLINK("https://pbs.twimg.com/media/F3qmkNoWMAIFw4L.jpg")</f>
        <v>https://pbs.twimg.com/media/F3qmkNoWMAIFw4L.jpg</v>
      </c>
      <c r="AW4149" s="80" t="s">
        <v>19820</v>
      </c>
      <c r="AX4149" s="80" t="s">
        <v>19820</v>
      </c>
      <c r="AY4149" s="77"/>
      <c r="AZ4149" s="80" t="s">
        <v>20380</v>
      </c>
      <c r="BA4149" s="80" t="s">
        <v>20380</v>
      </c>
      <c r="BB4149" s="80" t="s">
        <v>20380</v>
      </c>
      <c r="BC4149" s="80" t="s">
        <v>19820</v>
      </c>
      <c r="BD4149" s="80" t="s">
        <v>21185</v>
      </c>
      <c r="BE4149" s="77"/>
      <c r="BF4149" s="77"/>
      <c r="BG4149" s="77"/>
      <c r="BH4149" s="77"/>
      <c r="BI4149" s="77"/>
    </row>
    <row r="4150" spans="1:61" x14ac:dyDescent="0.25">
      <c r="A4150" s="62" t="s">
        <v>1654</v>
      </c>
      <c r="B4150" s="62" t="s">
        <v>2072</v>
      </c>
      <c r="C4150" s="63"/>
      <c r="D4150" s="64"/>
      <c r="E4150" s="65"/>
      <c r="F4150" s="66"/>
      <c r="G4150" s="63"/>
      <c r="H4150" s="67"/>
      <c r="I4150" s="68"/>
      <c r="J4150" s="68"/>
      <c r="K4150" s="32"/>
      <c r="L4150" s="75">
        <v>4150</v>
      </c>
      <c r="M4150" s="75"/>
      <c r="N4150" s="70"/>
      <c r="O4150" s="77" t="s">
        <v>2081</v>
      </c>
      <c r="P4150" s="79">
        <v>45154.681851851848</v>
      </c>
      <c r="Q4150" s="77" t="s">
        <v>5749</v>
      </c>
      <c r="R4150" s="77">
        <v>1</v>
      </c>
      <c r="S4150" s="77">
        <v>1</v>
      </c>
      <c r="T4150" s="77">
        <v>0</v>
      </c>
      <c r="U4150" s="77">
        <v>0</v>
      </c>
      <c r="V4150" s="77">
        <v>36</v>
      </c>
      <c r="W4150" s="80" t="s">
        <v>6131</v>
      </c>
      <c r="X4150"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50" s="77" t="s">
        <v>8669</v>
      </c>
      <c r="Z4150" s="77" t="s">
        <v>9033</v>
      </c>
      <c r="AA4150" s="77" t="s">
        <v>10463</v>
      </c>
      <c r="AB4150" s="77" t="s">
        <v>10535</v>
      </c>
      <c r="AC4150" s="80" t="s">
        <v>10540</v>
      </c>
      <c r="AD4150" s="77" t="s">
        <v>10620</v>
      </c>
      <c r="AE4150" s="83" t="str">
        <f>HYPERLINK("https://twitter.com/elenaliberal/status/1691847754157310275")</f>
        <v>https://twitter.com/elenaliberal/status/1691847754157310275</v>
      </c>
      <c r="AF4150" s="79">
        <v>45154.681851851848</v>
      </c>
      <c r="AG4150" s="85">
        <v>45154</v>
      </c>
      <c r="AH4150" s="80" t="s">
        <v>14230</v>
      </c>
      <c r="AI4150" s="77" t="b">
        <v>0</v>
      </c>
      <c r="AJ4150" s="77"/>
      <c r="AK4150" s="77"/>
      <c r="AL4150" s="77"/>
      <c r="AM4150" s="77"/>
      <c r="AN4150" s="77"/>
      <c r="AO4150" s="77"/>
      <c r="AP4150" s="77"/>
      <c r="AQ4150" s="77" t="s">
        <v>15942</v>
      </c>
      <c r="AR4150" s="77"/>
      <c r="AS4150" s="77"/>
      <c r="AT4150" s="77"/>
      <c r="AU4150" s="77"/>
      <c r="AV4150" s="83" t="str">
        <f>HYPERLINK("https://pbs.twimg.com/media/F3qmkNoWMAIFw4L.jpg")</f>
        <v>https://pbs.twimg.com/media/F3qmkNoWMAIFw4L.jpg</v>
      </c>
      <c r="AW4150" s="80" t="s">
        <v>19820</v>
      </c>
      <c r="AX4150" s="80" t="s">
        <v>19820</v>
      </c>
      <c r="AY4150" s="77"/>
      <c r="AZ4150" s="80" t="s">
        <v>20380</v>
      </c>
      <c r="BA4150" s="80" t="s">
        <v>20380</v>
      </c>
      <c r="BB4150" s="80" t="s">
        <v>20380</v>
      </c>
      <c r="BC4150" s="80" t="s">
        <v>19820</v>
      </c>
      <c r="BD4150" s="80" t="s">
        <v>21185</v>
      </c>
      <c r="BE4150" s="77"/>
      <c r="BF4150" s="77"/>
      <c r="BG4150" s="77"/>
      <c r="BH4150" s="77"/>
      <c r="BI4150" s="77"/>
    </row>
    <row r="4151" spans="1:61" x14ac:dyDescent="0.25">
      <c r="A4151" s="62" t="s">
        <v>1654</v>
      </c>
      <c r="B4151" s="62" t="s">
        <v>2073</v>
      </c>
      <c r="C4151" s="63"/>
      <c r="D4151" s="64"/>
      <c r="E4151" s="65"/>
      <c r="F4151" s="66"/>
      <c r="G4151" s="63"/>
      <c r="H4151" s="67"/>
      <c r="I4151" s="68"/>
      <c r="J4151" s="68"/>
      <c r="K4151" s="32"/>
      <c r="L4151" s="75">
        <v>4151</v>
      </c>
      <c r="M4151" s="75"/>
      <c r="N4151" s="70"/>
      <c r="O4151" s="77" t="s">
        <v>2081</v>
      </c>
      <c r="P4151" s="79">
        <v>45154.681851851848</v>
      </c>
      <c r="Q4151" s="77" t="s">
        <v>5749</v>
      </c>
      <c r="R4151" s="77">
        <v>1</v>
      </c>
      <c r="S4151" s="77">
        <v>1</v>
      </c>
      <c r="T4151" s="77">
        <v>0</v>
      </c>
      <c r="U4151" s="77">
        <v>0</v>
      </c>
      <c r="V4151" s="77">
        <v>36</v>
      </c>
      <c r="W4151" s="80" t="s">
        <v>6131</v>
      </c>
      <c r="X4151"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51" s="77" t="s">
        <v>8669</v>
      </c>
      <c r="Z4151" s="77" t="s">
        <v>9033</v>
      </c>
      <c r="AA4151" s="77" t="s">
        <v>10463</v>
      </c>
      <c r="AB4151" s="77" t="s">
        <v>10535</v>
      </c>
      <c r="AC4151" s="80" t="s">
        <v>10540</v>
      </c>
      <c r="AD4151" s="77" t="s">
        <v>10620</v>
      </c>
      <c r="AE4151" s="83" t="str">
        <f>HYPERLINK("https://twitter.com/elenaliberal/status/1691847754157310275")</f>
        <v>https://twitter.com/elenaliberal/status/1691847754157310275</v>
      </c>
      <c r="AF4151" s="79">
        <v>45154.681851851848</v>
      </c>
      <c r="AG4151" s="85">
        <v>45154</v>
      </c>
      <c r="AH4151" s="80" t="s">
        <v>14230</v>
      </c>
      <c r="AI4151" s="77" t="b">
        <v>0</v>
      </c>
      <c r="AJ4151" s="77"/>
      <c r="AK4151" s="77"/>
      <c r="AL4151" s="77"/>
      <c r="AM4151" s="77"/>
      <c r="AN4151" s="77"/>
      <c r="AO4151" s="77"/>
      <c r="AP4151" s="77"/>
      <c r="AQ4151" s="77" t="s">
        <v>15942</v>
      </c>
      <c r="AR4151" s="77"/>
      <c r="AS4151" s="77"/>
      <c r="AT4151" s="77"/>
      <c r="AU4151" s="77"/>
      <c r="AV4151" s="83" t="str">
        <f>HYPERLINK("https://pbs.twimg.com/media/F3qmkNoWMAIFw4L.jpg")</f>
        <v>https://pbs.twimg.com/media/F3qmkNoWMAIFw4L.jpg</v>
      </c>
      <c r="AW4151" s="80" t="s">
        <v>19820</v>
      </c>
      <c r="AX4151" s="80" t="s">
        <v>19820</v>
      </c>
      <c r="AY4151" s="77"/>
      <c r="AZ4151" s="80" t="s">
        <v>20380</v>
      </c>
      <c r="BA4151" s="80" t="s">
        <v>20380</v>
      </c>
      <c r="BB4151" s="80" t="s">
        <v>20380</v>
      </c>
      <c r="BC4151" s="80" t="s">
        <v>19820</v>
      </c>
      <c r="BD4151" s="80" t="s">
        <v>21185</v>
      </c>
      <c r="BE4151" s="77"/>
      <c r="BF4151" s="77"/>
      <c r="BG4151" s="77"/>
      <c r="BH4151" s="77"/>
      <c r="BI4151" s="77"/>
    </row>
    <row r="4152" spans="1:61" x14ac:dyDescent="0.25">
      <c r="A4152" s="62" t="s">
        <v>1654</v>
      </c>
      <c r="B4152" s="62" t="s">
        <v>2074</v>
      </c>
      <c r="C4152" s="63"/>
      <c r="D4152" s="64"/>
      <c r="E4152" s="65"/>
      <c r="F4152" s="66"/>
      <c r="G4152" s="63"/>
      <c r="H4152" s="67"/>
      <c r="I4152" s="68"/>
      <c r="J4152" s="68"/>
      <c r="K4152" s="32"/>
      <c r="L4152" s="75">
        <v>4152</v>
      </c>
      <c r="M4152" s="75"/>
      <c r="N4152" s="70"/>
      <c r="O4152" s="77" t="s">
        <v>2081</v>
      </c>
      <c r="P4152" s="79">
        <v>45154.681851851848</v>
      </c>
      <c r="Q4152" s="77" t="s">
        <v>5749</v>
      </c>
      <c r="R4152" s="77">
        <v>1</v>
      </c>
      <c r="S4152" s="77">
        <v>1</v>
      </c>
      <c r="T4152" s="77">
        <v>0</v>
      </c>
      <c r="U4152" s="77">
        <v>0</v>
      </c>
      <c r="V4152" s="77">
        <v>36</v>
      </c>
      <c r="W4152" s="80" t="s">
        <v>6131</v>
      </c>
      <c r="X4152"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52" s="77" t="s">
        <v>8669</v>
      </c>
      <c r="Z4152" s="77" t="s">
        <v>9033</v>
      </c>
      <c r="AA4152" s="77" t="s">
        <v>10463</v>
      </c>
      <c r="AB4152" s="77" t="s">
        <v>10535</v>
      </c>
      <c r="AC4152" s="80" t="s">
        <v>10540</v>
      </c>
      <c r="AD4152" s="77" t="s">
        <v>10620</v>
      </c>
      <c r="AE4152" s="83" t="str">
        <f>HYPERLINK("https://twitter.com/elenaliberal/status/1691847754157310275")</f>
        <v>https://twitter.com/elenaliberal/status/1691847754157310275</v>
      </c>
      <c r="AF4152" s="79">
        <v>45154.681851851848</v>
      </c>
      <c r="AG4152" s="85">
        <v>45154</v>
      </c>
      <c r="AH4152" s="80" t="s">
        <v>14230</v>
      </c>
      <c r="AI4152" s="77" t="b">
        <v>0</v>
      </c>
      <c r="AJ4152" s="77"/>
      <c r="AK4152" s="77"/>
      <c r="AL4152" s="77"/>
      <c r="AM4152" s="77"/>
      <c r="AN4152" s="77"/>
      <c r="AO4152" s="77"/>
      <c r="AP4152" s="77"/>
      <c r="AQ4152" s="77" t="s">
        <v>15942</v>
      </c>
      <c r="AR4152" s="77"/>
      <c r="AS4152" s="77"/>
      <c r="AT4152" s="77"/>
      <c r="AU4152" s="77"/>
      <c r="AV4152" s="83" t="str">
        <f>HYPERLINK("https://pbs.twimg.com/media/F3qmkNoWMAIFw4L.jpg")</f>
        <v>https://pbs.twimg.com/media/F3qmkNoWMAIFw4L.jpg</v>
      </c>
      <c r="AW4152" s="80" t="s">
        <v>19820</v>
      </c>
      <c r="AX4152" s="80" t="s">
        <v>19820</v>
      </c>
      <c r="AY4152" s="77"/>
      <c r="AZ4152" s="80" t="s">
        <v>20380</v>
      </c>
      <c r="BA4152" s="80" t="s">
        <v>20380</v>
      </c>
      <c r="BB4152" s="80" t="s">
        <v>20380</v>
      </c>
      <c r="BC4152" s="80" t="s">
        <v>19820</v>
      </c>
      <c r="BD4152" s="80" t="s">
        <v>21185</v>
      </c>
      <c r="BE4152" s="77"/>
      <c r="BF4152" s="77"/>
      <c r="BG4152" s="77"/>
      <c r="BH4152" s="77"/>
      <c r="BI4152" s="77"/>
    </row>
    <row r="4153" spans="1:61" x14ac:dyDescent="0.25">
      <c r="A4153" s="62" t="s">
        <v>1654</v>
      </c>
      <c r="B4153" s="62" t="s">
        <v>1810</v>
      </c>
      <c r="C4153" s="63"/>
      <c r="D4153" s="64"/>
      <c r="E4153" s="65"/>
      <c r="F4153" s="66"/>
      <c r="G4153" s="63"/>
      <c r="H4153" s="67"/>
      <c r="I4153" s="68"/>
      <c r="J4153" s="68"/>
      <c r="K4153" s="32"/>
      <c r="L4153" s="75">
        <v>4153</v>
      </c>
      <c r="M4153" s="75"/>
      <c r="N4153" s="70"/>
      <c r="O4153" s="77" t="s">
        <v>2081</v>
      </c>
      <c r="P4153" s="79">
        <v>45154.681851851848</v>
      </c>
      <c r="Q4153" s="77" t="s">
        <v>5749</v>
      </c>
      <c r="R4153" s="77">
        <v>1</v>
      </c>
      <c r="S4153" s="77">
        <v>1</v>
      </c>
      <c r="T4153" s="77">
        <v>0</v>
      </c>
      <c r="U4153" s="77">
        <v>0</v>
      </c>
      <c r="V4153" s="77">
        <v>36</v>
      </c>
      <c r="W4153" s="80" t="s">
        <v>6131</v>
      </c>
      <c r="X4153"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53" s="77" t="s">
        <v>8669</v>
      </c>
      <c r="Z4153" s="77" t="s">
        <v>9033</v>
      </c>
      <c r="AA4153" s="77" t="s">
        <v>10463</v>
      </c>
      <c r="AB4153" s="77" t="s">
        <v>10535</v>
      </c>
      <c r="AC4153" s="80" t="s">
        <v>10540</v>
      </c>
      <c r="AD4153" s="77" t="s">
        <v>10620</v>
      </c>
      <c r="AE4153" s="83" t="str">
        <f>HYPERLINK("https://twitter.com/elenaliberal/status/1691847754157310275")</f>
        <v>https://twitter.com/elenaliberal/status/1691847754157310275</v>
      </c>
      <c r="AF4153" s="79">
        <v>45154.681851851848</v>
      </c>
      <c r="AG4153" s="85">
        <v>45154</v>
      </c>
      <c r="AH4153" s="80" t="s">
        <v>14230</v>
      </c>
      <c r="AI4153" s="77" t="b">
        <v>0</v>
      </c>
      <c r="AJ4153" s="77"/>
      <c r="AK4153" s="77"/>
      <c r="AL4153" s="77"/>
      <c r="AM4153" s="77"/>
      <c r="AN4153" s="77"/>
      <c r="AO4153" s="77"/>
      <c r="AP4153" s="77"/>
      <c r="AQ4153" s="77" t="s">
        <v>15942</v>
      </c>
      <c r="AR4153" s="77"/>
      <c r="AS4153" s="77"/>
      <c r="AT4153" s="77"/>
      <c r="AU4153" s="77"/>
      <c r="AV4153" s="83" t="str">
        <f>HYPERLINK("https://pbs.twimg.com/media/F3qmkNoWMAIFw4L.jpg")</f>
        <v>https://pbs.twimg.com/media/F3qmkNoWMAIFw4L.jpg</v>
      </c>
      <c r="AW4153" s="80" t="s">
        <v>19820</v>
      </c>
      <c r="AX4153" s="80" t="s">
        <v>19820</v>
      </c>
      <c r="AY4153" s="77"/>
      <c r="AZ4153" s="80" t="s">
        <v>20380</v>
      </c>
      <c r="BA4153" s="80" t="s">
        <v>20380</v>
      </c>
      <c r="BB4153" s="80" t="s">
        <v>20380</v>
      </c>
      <c r="BC4153" s="80" t="s">
        <v>19820</v>
      </c>
      <c r="BD4153" s="80" t="s">
        <v>21185</v>
      </c>
      <c r="BE4153" s="77"/>
      <c r="BF4153" s="77"/>
      <c r="BG4153" s="77"/>
      <c r="BH4153" s="77"/>
      <c r="BI4153" s="77"/>
    </row>
    <row r="4154" spans="1:61" x14ac:dyDescent="0.25">
      <c r="A4154" s="62" t="s">
        <v>1654</v>
      </c>
      <c r="B4154" s="62" t="s">
        <v>2075</v>
      </c>
      <c r="C4154" s="63"/>
      <c r="D4154" s="64"/>
      <c r="E4154" s="65"/>
      <c r="F4154" s="66"/>
      <c r="G4154" s="63"/>
      <c r="H4154" s="67"/>
      <c r="I4154" s="68"/>
      <c r="J4154" s="68"/>
      <c r="K4154" s="32"/>
      <c r="L4154" s="75">
        <v>4154</v>
      </c>
      <c r="M4154" s="75"/>
      <c r="N4154" s="70"/>
      <c r="O4154" s="77" t="s">
        <v>2081</v>
      </c>
      <c r="P4154" s="79">
        <v>45154.681851851848</v>
      </c>
      <c r="Q4154" s="77" t="s">
        <v>5749</v>
      </c>
      <c r="R4154" s="77">
        <v>1</v>
      </c>
      <c r="S4154" s="77">
        <v>1</v>
      </c>
      <c r="T4154" s="77">
        <v>0</v>
      </c>
      <c r="U4154" s="77">
        <v>0</v>
      </c>
      <c r="V4154" s="77">
        <v>36</v>
      </c>
      <c r="W4154" s="80" t="s">
        <v>6131</v>
      </c>
      <c r="X4154" s="83" t="str">
        <f>HYPERLINK("https://www.linkedin.com/posts/diario-financiero_2_tanner-oficia-por-paradero-de-antonio-jalaff-activity-7097598782921400320-sRQf?utm_source=share&amp;utm_medium=member_android")</f>
        <v>https://www.linkedin.com/posts/diario-financiero_2_tanner-oficia-por-paradero-de-antonio-jalaff-activity-7097598782921400320-sRQf?utm_source=share&amp;utm_medium=member_android</v>
      </c>
      <c r="Y4154" s="77" t="s">
        <v>8669</v>
      </c>
      <c r="Z4154" s="77" t="s">
        <v>9033</v>
      </c>
      <c r="AA4154" s="77" t="s">
        <v>10463</v>
      </c>
      <c r="AB4154" s="77" t="s">
        <v>10535</v>
      </c>
      <c r="AC4154" s="80" t="s">
        <v>10540</v>
      </c>
      <c r="AD4154" s="77" t="s">
        <v>10620</v>
      </c>
      <c r="AE4154" s="83" t="str">
        <f>HYPERLINK("https://twitter.com/elenaliberal/status/1691847754157310275")</f>
        <v>https://twitter.com/elenaliberal/status/1691847754157310275</v>
      </c>
      <c r="AF4154" s="79">
        <v>45154.681851851848</v>
      </c>
      <c r="AG4154" s="85">
        <v>45154</v>
      </c>
      <c r="AH4154" s="80" t="s">
        <v>14230</v>
      </c>
      <c r="AI4154" s="77" t="b">
        <v>0</v>
      </c>
      <c r="AJ4154" s="77"/>
      <c r="AK4154" s="77"/>
      <c r="AL4154" s="77"/>
      <c r="AM4154" s="77"/>
      <c r="AN4154" s="77"/>
      <c r="AO4154" s="77"/>
      <c r="AP4154" s="77"/>
      <c r="AQ4154" s="77" t="s">
        <v>15942</v>
      </c>
      <c r="AR4154" s="77"/>
      <c r="AS4154" s="77"/>
      <c r="AT4154" s="77"/>
      <c r="AU4154" s="77"/>
      <c r="AV4154" s="83" t="str">
        <f>HYPERLINK("https://pbs.twimg.com/media/F3qmkNoWMAIFw4L.jpg")</f>
        <v>https://pbs.twimg.com/media/F3qmkNoWMAIFw4L.jpg</v>
      </c>
      <c r="AW4154" s="80" t="s">
        <v>19820</v>
      </c>
      <c r="AX4154" s="80" t="s">
        <v>19820</v>
      </c>
      <c r="AY4154" s="77"/>
      <c r="AZ4154" s="80" t="s">
        <v>20380</v>
      </c>
      <c r="BA4154" s="80" t="s">
        <v>20380</v>
      </c>
      <c r="BB4154" s="80" t="s">
        <v>20380</v>
      </c>
      <c r="BC4154" s="80" t="s">
        <v>19820</v>
      </c>
      <c r="BD4154" s="80" t="s">
        <v>21185</v>
      </c>
      <c r="BE4154" s="77"/>
      <c r="BF4154" s="77"/>
      <c r="BG4154" s="77"/>
      <c r="BH4154" s="77"/>
      <c r="BI4154" s="77"/>
    </row>
    <row r="4155" spans="1:61" x14ac:dyDescent="0.25">
      <c r="A4155" s="62" t="s">
        <v>1655</v>
      </c>
      <c r="B4155" s="62" t="s">
        <v>1655</v>
      </c>
      <c r="C4155" s="63"/>
      <c r="D4155" s="64"/>
      <c r="E4155" s="65"/>
      <c r="F4155" s="66"/>
      <c r="G4155" s="63"/>
      <c r="H4155" s="67"/>
      <c r="I4155" s="68"/>
      <c r="J4155" s="68"/>
      <c r="K4155" s="32"/>
      <c r="L4155" s="75">
        <v>4155</v>
      </c>
      <c r="M4155" s="75"/>
      <c r="N4155" s="70"/>
      <c r="O4155" s="77" t="s">
        <v>179</v>
      </c>
      <c r="P4155" s="79">
        <v>45093.552083333336</v>
      </c>
      <c r="Q4155" s="77" t="s">
        <v>5750</v>
      </c>
      <c r="R4155" s="77">
        <v>4</v>
      </c>
      <c r="S4155" s="77">
        <v>30</v>
      </c>
      <c r="T4155" s="77">
        <v>0</v>
      </c>
      <c r="U4155" s="77">
        <v>0</v>
      </c>
      <c r="V4155" s="77">
        <v>5838</v>
      </c>
      <c r="W4155" s="80" t="s">
        <v>8493</v>
      </c>
      <c r="X4155" s="77"/>
      <c r="Y4155" s="77"/>
      <c r="Z4155" s="77"/>
      <c r="AA4155" s="77" t="s">
        <v>10464</v>
      </c>
      <c r="AB4155" s="77" t="s">
        <v>10534</v>
      </c>
      <c r="AC4155" s="80" t="s">
        <v>10554</v>
      </c>
      <c r="AD4155" s="77" t="s">
        <v>10617</v>
      </c>
      <c r="AE4155" s="83" t="str">
        <f>HYPERLINK("https://twitter.com/jovempannews/status/1669695067815047171")</f>
        <v>https://twitter.com/jovempannews/status/1669695067815047171</v>
      </c>
      <c r="AF4155" s="79">
        <v>45093.552083333336</v>
      </c>
      <c r="AG4155" s="85">
        <v>45093</v>
      </c>
      <c r="AH4155" s="80" t="s">
        <v>14231</v>
      </c>
      <c r="AI4155" s="77" t="b">
        <v>0</v>
      </c>
      <c r="AJ4155" s="77"/>
      <c r="AK4155" s="77"/>
      <c r="AL4155" s="77"/>
      <c r="AM4155" s="77"/>
      <c r="AN4155" s="77"/>
      <c r="AO4155" s="77"/>
      <c r="AP4155" s="77"/>
      <c r="AQ4155" s="77" t="s">
        <v>15943</v>
      </c>
      <c r="AR4155" s="77">
        <v>154475</v>
      </c>
      <c r="AS4155" s="77"/>
      <c r="AT4155" s="77"/>
      <c r="AU4155" s="77"/>
      <c r="AV4155" s="83" t="str">
        <f>HYPERLINK("https://pbs.twimg.com/amplify_video_thumb/1669688312179888129/img/_L602rcp5b3DPjM5.jpg")</f>
        <v>https://pbs.twimg.com/amplify_video_thumb/1669688312179888129/img/_L602rcp5b3DPjM5.jpg</v>
      </c>
      <c r="AW4155" s="80" t="s">
        <v>19821</v>
      </c>
      <c r="AX4155" s="80" t="s">
        <v>19821</v>
      </c>
      <c r="AY4155" s="77"/>
      <c r="AZ4155" s="80" t="s">
        <v>20380</v>
      </c>
      <c r="BA4155" s="80" t="s">
        <v>20380</v>
      </c>
      <c r="BB4155" s="80" t="s">
        <v>20380</v>
      </c>
      <c r="BC4155" s="80" t="s">
        <v>19821</v>
      </c>
      <c r="BD4155" s="77">
        <v>106175018</v>
      </c>
      <c r="BE4155" s="77"/>
      <c r="BF4155" s="77"/>
      <c r="BG4155" s="77"/>
      <c r="BH4155" s="77"/>
      <c r="BI4155" s="77"/>
    </row>
    <row r="4156" spans="1:61" x14ac:dyDescent="0.25">
      <c r="A4156" s="62" t="s">
        <v>1655</v>
      </c>
      <c r="B4156" s="62" t="s">
        <v>1655</v>
      </c>
      <c r="C4156" s="63"/>
      <c r="D4156" s="64"/>
      <c r="E4156" s="65"/>
      <c r="F4156" s="66"/>
      <c r="G4156" s="63"/>
      <c r="H4156" s="67"/>
      <c r="I4156" s="68"/>
      <c r="J4156" s="68"/>
      <c r="K4156" s="32"/>
      <c r="L4156" s="75">
        <v>4156</v>
      </c>
      <c r="M4156" s="75"/>
      <c r="N4156" s="70"/>
      <c r="O4156" s="77" t="s">
        <v>179</v>
      </c>
      <c r="P4156" s="79">
        <v>45111.59715277778</v>
      </c>
      <c r="Q4156" s="77" t="s">
        <v>5751</v>
      </c>
      <c r="R4156" s="77">
        <v>6</v>
      </c>
      <c r="S4156" s="77">
        <v>25</v>
      </c>
      <c r="T4156" s="77">
        <v>3</v>
      </c>
      <c r="U4156" s="77">
        <v>2</v>
      </c>
      <c r="V4156" s="77">
        <v>7692</v>
      </c>
      <c r="W4156" s="80" t="s">
        <v>8494</v>
      </c>
      <c r="X4156" s="83" t="str">
        <f>HYPERLINK("http://panflix.com.br/ao_vivo")</f>
        <v>http://panflix.com.br/ao_vivo</v>
      </c>
      <c r="Y4156" s="77" t="s">
        <v>8611</v>
      </c>
      <c r="Z4156" s="77"/>
      <c r="AA4156" s="77" t="s">
        <v>10465</v>
      </c>
      <c r="AB4156" s="77" t="s">
        <v>10534</v>
      </c>
      <c r="AC4156" s="80" t="s">
        <v>10554</v>
      </c>
      <c r="AD4156" s="77" t="s">
        <v>10617</v>
      </c>
      <c r="AE4156" s="83" t="str">
        <f>HYPERLINK("https://twitter.com/jovempannews/status/1676234384926449665")</f>
        <v>https://twitter.com/jovempannews/status/1676234384926449665</v>
      </c>
      <c r="AF4156" s="79">
        <v>45111.59715277778</v>
      </c>
      <c r="AG4156" s="85">
        <v>45111</v>
      </c>
      <c r="AH4156" s="80" t="s">
        <v>14232</v>
      </c>
      <c r="AI4156" s="77" t="b">
        <v>0</v>
      </c>
      <c r="AJ4156" s="77"/>
      <c r="AK4156" s="77"/>
      <c r="AL4156" s="77"/>
      <c r="AM4156" s="77"/>
      <c r="AN4156" s="77"/>
      <c r="AO4156" s="77"/>
      <c r="AP4156" s="77"/>
      <c r="AQ4156" s="77" t="s">
        <v>15944</v>
      </c>
      <c r="AR4156" s="77">
        <v>1714</v>
      </c>
      <c r="AS4156" s="77"/>
      <c r="AT4156" s="77"/>
      <c r="AU4156" s="77"/>
      <c r="AV4156" s="83" t="str">
        <f>HYPERLINK("https://pbs.twimg.com/amplify_video_thumb/1676233986253660161/img/S3Q1iqXPwpRMmRWK.jpg")</f>
        <v>https://pbs.twimg.com/amplify_video_thumb/1676233986253660161/img/S3Q1iqXPwpRMmRWK.jpg</v>
      </c>
      <c r="AW4156" s="80" t="s">
        <v>19822</v>
      </c>
      <c r="AX4156" s="80" t="s">
        <v>19822</v>
      </c>
      <c r="AY4156" s="77"/>
      <c r="AZ4156" s="80" t="s">
        <v>20380</v>
      </c>
      <c r="BA4156" s="80" t="s">
        <v>20380</v>
      </c>
      <c r="BB4156" s="80" t="s">
        <v>20380</v>
      </c>
      <c r="BC4156" s="80" t="s">
        <v>19822</v>
      </c>
      <c r="BD4156" s="77">
        <v>106175018</v>
      </c>
      <c r="BE4156" s="77"/>
      <c r="BF4156" s="77"/>
      <c r="BG4156" s="77"/>
      <c r="BH4156" s="77"/>
      <c r="BI4156" s="77"/>
    </row>
    <row r="4157" spans="1:61" x14ac:dyDescent="0.25">
      <c r="A4157" s="62" t="s">
        <v>1655</v>
      </c>
      <c r="B4157" s="62" t="s">
        <v>1655</v>
      </c>
      <c r="C4157" s="63"/>
      <c r="D4157" s="64"/>
      <c r="E4157" s="65"/>
      <c r="F4157" s="66"/>
      <c r="G4157" s="63"/>
      <c r="H4157" s="67"/>
      <c r="I4157" s="68"/>
      <c r="J4157" s="68"/>
      <c r="K4157" s="32"/>
      <c r="L4157" s="75">
        <v>4157</v>
      </c>
      <c r="M4157" s="75"/>
      <c r="N4157" s="70"/>
      <c r="O4157" s="77" t="s">
        <v>179</v>
      </c>
      <c r="P4157" s="79">
        <v>45111.572916666664</v>
      </c>
      <c r="Q4157" s="77" t="s">
        <v>5752</v>
      </c>
      <c r="R4157" s="77">
        <v>9</v>
      </c>
      <c r="S4157" s="77">
        <v>45</v>
      </c>
      <c r="T4157" s="77">
        <v>1</v>
      </c>
      <c r="U4157" s="77">
        <v>1</v>
      </c>
      <c r="V4157" s="77">
        <v>5934</v>
      </c>
      <c r="W4157" s="80" t="s">
        <v>8495</v>
      </c>
      <c r="X4157" s="77"/>
      <c r="Y4157" s="77"/>
      <c r="Z4157" s="77"/>
      <c r="AA4157" s="77" t="s">
        <v>10466</v>
      </c>
      <c r="AB4157" s="77" t="s">
        <v>10534</v>
      </c>
      <c r="AC4157" s="80" t="s">
        <v>10554</v>
      </c>
      <c r="AD4157" s="77" t="s">
        <v>10617</v>
      </c>
      <c r="AE4157" s="83" t="str">
        <f>HYPERLINK("https://twitter.com/jovempannews/status/1676225599386578944")</f>
        <v>https://twitter.com/jovempannews/status/1676225599386578944</v>
      </c>
      <c r="AF4157" s="79">
        <v>45111.572916666664</v>
      </c>
      <c r="AG4157" s="85">
        <v>45111</v>
      </c>
      <c r="AH4157" s="80" t="s">
        <v>13489</v>
      </c>
      <c r="AI4157" s="77" t="b">
        <v>0</v>
      </c>
      <c r="AJ4157" s="77"/>
      <c r="AK4157" s="77"/>
      <c r="AL4157" s="77"/>
      <c r="AM4157" s="77"/>
      <c r="AN4157" s="77"/>
      <c r="AO4157" s="77"/>
      <c r="AP4157" s="77"/>
      <c r="AQ4157" s="77" t="s">
        <v>15945</v>
      </c>
      <c r="AR4157" s="77">
        <v>403798</v>
      </c>
      <c r="AS4157" s="77"/>
      <c r="AT4157" s="77"/>
      <c r="AU4157" s="77"/>
      <c r="AV4157" s="83" t="str">
        <f>HYPERLINK("https://pbs.twimg.com/amplify_video_thumb/1676211296839290881/img/SppNPYkP-hchLJf6.jpg")</f>
        <v>https://pbs.twimg.com/amplify_video_thumb/1676211296839290881/img/SppNPYkP-hchLJf6.jpg</v>
      </c>
      <c r="AW4157" s="80" t="s">
        <v>19823</v>
      </c>
      <c r="AX4157" s="80" t="s">
        <v>19823</v>
      </c>
      <c r="AY4157" s="77"/>
      <c r="AZ4157" s="80" t="s">
        <v>20380</v>
      </c>
      <c r="BA4157" s="80" t="s">
        <v>20380</v>
      </c>
      <c r="BB4157" s="80" t="s">
        <v>20380</v>
      </c>
      <c r="BC4157" s="80" t="s">
        <v>19823</v>
      </c>
      <c r="BD4157" s="77">
        <v>106175018</v>
      </c>
      <c r="BE4157" s="77"/>
      <c r="BF4157" s="77"/>
      <c r="BG4157" s="77"/>
      <c r="BH4157" s="77"/>
      <c r="BI4157" s="77"/>
    </row>
    <row r="4158" spans="1:61" x14ac:dyDescent="0.25">
      <c r="A4158" s="62" t="s">
        <v>1655</v>
      </c>
      <c r="B4158" s="62" t="s">
        <v>1655</v>
      </c>
      <c r="C4158" s="63"/>
      <c r="D4158" s="64"/>
      <c r="E4158" s="65"/>
      <c r="F4158" s="66"/>
      <c r="G4158" s="63"/>
      <c r="H4158" s="67"/>
      <c r="I4158" s="68"/>
      <c r="J4158" s="68"/>
      <c r="K4158" s="32"/>
      <c r="L4158" s="75">
        <v>4158</v>
      </c>
      <c r="M4158" s="75"/>
      <c r="N4158" s="70"/>
      <c r="O4158" s="77" t="s">
        <v>179</v>
      </c>
      <c r="P4158" s="79">
        <v>45097.652777777781</v>
      </c>
      <c r="Q4158" s="77" t="s">
        <v>5753</v>
      </c>
      <c r="R4158" s="77">
        <v>4</v>
      </c>
      <c r="S4158" s="77">
        <v>27</v>
      </c>
      <c r="T4158" s="77">
        <v>1</v>
      </c>
      <c r="U4158" s="77">
        <v>2</v>
      </c>
      <c r="V4158" s="77">
        <v>6139</v>
      </c>
      <c r="W4158" s="80" t="s">
        <v>8496</v>
      </c>
      <c r="X4158" s="77"/>
      <c r="Y4158" s="77"/>
      <c r="Z4158" s="77"/>
      <c r="AA4158" s="77" t="s">
        <v>10467</v>
      </c>
      <c r="AB4158" s="77" t="s">
        <v>10534</v>
      </c>
      <c r="AC4158" s="80" t="s">
        <v>10554</v>
      </c>
      <c r="AD4158" s="77" t="s">
        <v>10617</v>
      </c>
      <c r="AE4158" s="83" t="str">
        <f>HYPERLINK("https://twitter.com/jovempannews/status/1671181109722243074")</f>
        <v>https://twitter.com/jovempannews/status/1671181109722243074</v>
      </c>
      <c r="AF4158" s="79">
        <v>45097.652777777781</v>
      </c>
      <c r="AG4158" s="85">
        <v>45097</v>
      </c>
      <c r="AH4158" s="80" t="s">
        <v>14233</v>
      </c>
      <c r="AI4158" s="77" t="b">
        <v>0</v>
      </c>
      <c r="AJ4158" s="77"/>
      <c r="AK4158" s="77"/>
      <c r="AL4158" s="77"/>
      <c r="AM4158" s="77"/>
      <c r="AN4158" s="77"/>
      <c r="AO4158" s="77"/>
      <c r="AP4158" s="77"/>
      <c r="AQ4158" s="77" t="s">
        <v>15946</v>
      </c>
      <c r="AR4158" s="77">
        <v>152667</v>
      </c>
      <c r="AS4158" s="77"/>
      <c r="AT4158" s="77"/>
      <c r="AU4158" s="77"/>
      <c r="AV4158" s="83" t="str">
        <f>HYPERLINK("https://pbs.twimg.com/amplify_video_thumb/1671178379058348035/img/U7GFfR1lYbuFl2Wv.jpg")</f>
        <v>https://pbs.twimg.com/amplify_video_thumb/1671178379058348035/img/U7GFfR1lYbuFl2Wv.jpg</v>
      </c>
      <c r="AW4158" s="80" t="s">
        <v>19824</v>
      </c>
      <c r="AX4158" s="80" t="s">
        <v>19824</v>
      </c>
      <c r="AY4158" s="77"/>
      <c r="AZ4158" s="80" t="s">
        <v>20380</v>
      </c>
      <c r="BA4158" s="80" t="s">
        <v>20380</v>
      </c>
      <c r="BB4158" s="80" t="s">
        <v>20380</v>
      </c>
      <c r="BC4158" s="80" t="s">
        <v>19824</v>
      </c>
      <c r="BD4158" s="77">
        <v>106175018</v>
      </c>
      <c r="BE4158" s="77"/>
      <c r="BF4158" s="77"/>
      <c r="BG4158" s="77"/>
      <c r="BH4158" s="77"/>
      <c r="BI4158" s="77"/>
    </row>
    <row r="4159" spans="1:61" x14ac:dyDescent="0.25">
      <c r="A4159" s="62" t="s">
        <v>1655</v>
      </c>
      <c r="B4159" s="62" t="s">
        <v>1655</v>
      </c>
      <c r="C4159" s="63"/>
      <c r="D4159" s="64"/>
      <c r="E4159" s="65"/>
      <c r="F4159" s="66"/>
      <c r="G4159" s="63"/>
      <c r="H4159" s="67"/>
      <c r="I4159" s="68"/>
      <c r="J4159" s="68"/>
      <c r="K4159" s="32"/>
      <c r="L4159" s="75">
        <v>4159</v>
      </c>
      <c r="M4159" s="75"/>
      <c r="N4159" s="70"/>
      <c r="O4159" s="77" t="s">
        <v>179</v>
      </c>
      <c r="P4159" s="79">
        <v>45143.59375</v>
      </c>
      <c r="Q4159" s="77" t="s">
        <v>5754</v>
      </c>
      <c r="R4159" s="77">
        <v>2</v>
      </c>
      <c r="S4159" s="77">
        <v>35</v>
      </c>
      <c r="T4159" s="77">
        <v>3</v>
      </c>
      <c r="U4159" s="77">
        <v>0</v>
      </c>
      <c r="V4159" s="77">
        <v>6222</v>
      </c>
      <c r="W4159" s="80" t="s">
        <v>8497</v>
      </c>
      <c r="X4159" s="77"/>
      <c r="Y4159" s="77"/>
      <c r="Z4159" s="77"/>
      <c r="AA4159" s="77" t="s">
        <v>10468</v>
      </c>
      <c r="AB4159" s="77" t="s">
        <v>10534</v>
      </c>
      <c r="AC4159" s="80" t="s">
        <v>10554</v>
      </c>
      <c r="AD4159" s="77" t="s">
        <v>10617</v>
      </c>
      <c r="AE4159" s="83" t="str">
        <f>HYPERLINK("https://twitter.com/jovempannews/status/1687829560451043328")</f>
        <v>https://twitter.com/jovempannews/status/1687829560451043328</v>
      </c>
      <c r="AF4159" s="79">
        <v>45143.59375</v>
      </c>
      <c r="AG4159" s="85">
        <v>45143</v>
      </c>
      <c r="AH4159" s="80" t="s">
        <v>14234</v>
      </c>
      <c r="AI4159" s="77" t="b">
        <v>0</v>
      </c>
      <c r="AJ4159" s="77"/>
      <c r="AK4159" s="77"/>
      <c r="AL4159" s="77"/>
      <c r="AM4159" s="77"/>
      <c r="AN4159" s="77"/>
      <c r="AO4159" s="77"/>
      <c r="AP4159" s="77"/>
      <c r="AQ4159" s="77" t="s">
        <v>15947</v>
      </c>
      <c r="AR4159" s="77">
        <v>406934</v>
      </c>
      <c r="AS4159" s="77"/>
      <c r="AT4159" s="77"/>
      <c r="AU4159" s="77"/>
      <c r="AV4159" s="83" t="str">
        <f>HYPERLINK("https://pbs.twimg.com/amplify_video_thumb/1687815752697380871/img/E-GMU0QSTY8zzMky.jpg")</f>
        <v>https://pbs.twimg.com/amplify_video_thumb/1687815752697380871/img/E-GMU0QSTY8zzMky.jpg</v>
      </c>
      <c r="AW4159" s="80" t="s">
        <v>19825</v>
      </c>
      <c r="AX4159" s="80" t="s">
        <v>19825</v>
      </c>
      <c r="AY4159" s="77"/>
      <c r="AZ4159" s="80" t="s">
        <v>20380</v>
      </c>
      <c r="BA4159" s="80" t="s">
        <v>20380</v>
      </c>
      <c r="BB4159" s="80" t="s">
        <v>20380</v>
      </c>
      <c r="BC4159" s="80" t="s">
        <v>19825</v>
      </c>
      <c r="BD4159" s="77">
        <v>106175018</v>
      </c>
      <c r="BE4159" s="77"/>
      <c r="BF4159" s="77"/>
      <c r="BG4159" s="77"/>
      <c r="BH4159" s="77"/>
      <c r="BI4159" s="77"/>
    </row>
    <row r="4160" spans="1:61" x14ac:dyDescent="0.25">
      <c r="A4160" s="62" t="s">
        <v>1655</v>
      </c>
      <c r="B4160" s="62" t="s">
        <v>1655</v>
      </c>
      <c r="C4160" s="63"/>
      <c r="D4160" s="64"/>
      <c r="E4160" s="65"/>
      <c r="F4160" s="66"/>
      <c r="G4160" s="63"/>
      <c r="H4160" s="67"/>
      <c r="I4160" s="68"/>
      <c r="J4160" s="68"/>
      <c r="K4160" s="32"/>
      <c r="L4160" s="75">
        <v>4160</v>
      </c>
      <c r="M4160" s="75"/>
      <c r="N4160" s="70"/>
      <c r="O4160" s="77" t="s">
        <v>179</v>
      </c>
      <c r="P4160" s="79">
        <v>45129.864953703705</v>
      </c>
      <c r="Q4160" s="77" t="s">
        <v>5755</v>
      </c>
      <c r="R4160" s="77">
        <v>12</v>
      </c>
      <c r="S4160" s="77">
        <v>63</v>
      </c>
      <c r="T4160" s="77">
        <v>9</v>
      </c>
      <c r="U4160" s="77">
        <v>1</v>
      </c>
      <c r="V4160" s="77">
        <v>8940</v>
      </c>
      <c r="W4160" s="80" t="s">
        <v>8498</v>
      </c>
      <c r="X4160" s="77"/>
      <c r="Y4160" s="77"/>
      <c r="Z4160" s="77"/>
      <c r="AA4160" s="77" t="s">
        <v>10469</v>
      </c>
      <c r="AB4160" s="77" t="s">
        <v>10534</v>
      </c>
      <c r="AC4160" s="80" t="s">
        <v>10554</v>
      </c>
      <c r="AD4160" s="77" t="s">
        <v>10617</v>
      </c>
      <c r="AE4160" s="83" t="str">
        <f>HYPERLINK("https://twitter.com/jovempannews/status/1682854414040674304")</f>
        <v>https://twitter.com/jovempannews/status/1682854414040674304</v>
      </c>
      <c r="AF4160" s="79">
        <v>45129.864953703705</v>
      </c>
      <c r="AG4160" s="85">
        <v>45129</v>
      </c>
      <c r="AH4160" s="80" t="s">
        <v>14235</v>
      </c>
      <c r="AI4160" s="77" t="b">
        <v>0</v>
      </c>
      <c r="AJ4160" s="77"/>
      <c r="AK4160" s="77"/>
      <c r="AL4160" s="77"/>
      <c r="AM4160" s="77"/>
      <c r="AN4160" s="77"/>
      <c r="AO4160" s="77"/>
      <c r="AP4160" s="77"/>
      <c r="AQ4160" s="77" t="s">
        <v>15948</v>
      </c>
      <c r="AR4160" s="77">
        <v>518720</v>
      </c>
      <c r="AS4160" s="77"/>
      <c r="AT4160" s="77"/>
      <c r="AU4160" s="77"/>
      <c r="AV4160" s="83" t="str">
        <f>HYPERLINK("https://pbs.twimg.com/amplify_video_thumb/1682853521907957760/img/zRaE8f78VpqIyrur.jpg")</f>
        <v>https://pbs.twimg.com/amplify_video_thumb/1682853521907957760/img/zRaE8f78VpqIyrur.jpg</v>
      </c>
      <c r="AW4160" s="80" t="s">
        <v>19826</v>
      </c>
      <c r="AX4160" s="80" t="s">
        <v>19826</v>
      </c>
      <c r="AY4160" s="77"/>
      <c r="AZ4160" s="80" t="s">
        <v>20380</v>
      </c>
      <c r="BA4160" s="80" t="s">
        <v>20380</v>
      </c>
      <c r="BB4160" s="80" t="s">
        <v>20380</v>
      </c>
      <c r="BC4160" s="80" t="s">
        <v>19826</v>
      </c>
      <c r="BD4160" s="77">
        <v>106175018</v>
      </c>
      <c r="BE4160" s="77"/>
      <c r="BF4160" s="77"/>
      <c r="BG4160" s="77"/>
      <c r="BH4160" s="77"/>
      <c r="BI4160" s="77"/>
    </row>
    <row r="4161" spans="1:61" x14ac:dyDescent="0.25">
      <c r="A4161" s="62" t="s">
        <v>1655</v>
      </c>
      <c r="B4161" s="62" t="s">
        <v>1655</v>
      </c>
      <c r="C4161" s="63"/>
      <c r="D4161" s="64"/>
      <c r="E4161" s="65"/>
      <c r="F4161" s="66"/>
      <c r="G4161" s="63"/>
      <c r="H4161" s="67"/>
      <c r="I4161" s="68"/>
      <c r="J4161" s="68"/>
      <c r="K4161" s="32"/>
      <c r="L4161" s="75">
        <v>4161</v>
      </c>
      <c r="M4161" s="75"/>
      <c r="N4161" s="70"/>
      <c r="O4161" s="77" t="s">
        <v>179</v>
      </c>
      <c r="P4161" s="79">
        <v>45105.479166666664</v>
      </c>
      <c r="Q4161" s="77" t="s">
        <v>5756</v>
      </c>
      <c r="R4161" s="77">
        <v>15</v>
      </c>
      <c r="S4161" s="77">
        <v>88</v>
      </c>
      <c r="T4161" s="77">
        <v>6</v>
      </c>
      <c r="U4161" s="77">
        <v>0</v>
      </c>
      <c r="V4161" s="77">
        <v>8384</v>
      </c>
      <c r="W4161" s="80" t="s">
        <v>8499</v>
      </c>
      <c r="X4161" s="77"/>
      <c r="Y4161" s="77"/>
      <c r="Z4161" s="77"/>
      <c r="AA4161" s="77" t="s">
        <v>10470</v>
      </c>
      <c r="AB4161" s="77" t="s">
        <v>10534</v>
      </c>
      <c r="AC4161" s="80" t="s">
        <v>10554</v>
      </c>
      <c r="AD4161" s="77" t="s">
        <v>10617</v>
      </c>
      <c r="AE4161" s="83" t="str">
        <f>HYPERLINK("https://twitter.com/jovempannews/status/1674017299685343235")</f>
        <v>https://twitter.com/jovempannews/status/1674017299685343235</v>
      </c>
      <c r="AF4161" s="79">
        <v>45105.479166666664</v>
      </c>
      <c r="AG4161" s="85">
        <v>45105</v>
      </c>
      <c r="AH4161" s="80" t="s">
        <v>13755</v>
      </c>
      <c r="AI4161" s="77" t="b">
        <v>0</v>
      </c>
      <c r="AJ4161" s="77"/>
      <c r="AK4161" s="77"/>
      <c r="AL4161" s="77"/>
      <c r="AM4161" s="77"/>
      <c r="AN4161" s="77"/>
      <c r="AO4161" s="77"/>
      <c r="AP4161" s="77"/>
      <c r="AQ4161" s="77" t="s">
        <v>15949</v>
      </c>
      <c r="AR4161" s="77">
        <v>121302</v>
      </c>
      <c r="AS4161" s="77"/>
      <c r="AT4161" s="77"/>
      <c r="AU4161" s="77"/>
      <c r="AV4161" s="83" t="str">
        <f>HYPERLINK("https://pbs.twimg.com/amplify_video_thumb/1674015297744011264/img/6tKvuq6h8ixZRHkg.jpg")</f>
        <v>https://pbs.twimg.com/amplify_video_thumb/1674015297744011264/img/6tKvuq6h8ixZRHkg.jpg</v>
      </c>
      <c r="AW4161" s="80" t="s">
        <v>19827</v>
      </c>
      <c r="AX4161" s="80" t="s">
        <v>19827</v>
      </c>
      <c r="AY4161" s="77"/>
      <c r="AZ4161" s="80" t="s">
        <v>20380</v>
      </c>
      <c r="BA4161" s="80" t="s">
        <v>20380</v>
      </c>
      <c r="BB4161" s="80" t="s">
        <v>20380</v>
      </c>
      <c r="BC4161" s="80" t="s">
        <v>19827</v>
      </c>
      <c r="BD4161" s="77">
        <v>106175018</v>
      </c>
      <c r="BE4161" s="77"/>
      <c r="BF4161" s="77"/>
      <c r="BG4161" s="77"/>
      <c r="BH4161" s="77"/>
      <c r="BI4161" s="77"/>
    </row>
    <row r="4162" spans="1:61" x14ac:dyDescent="0.25">
      <c r="A4162" s="62" t="s">
        <v>1655</v>
      </c>
      <c r="B4162" s="62" t="s">
        <v>1655</v>
      </c>
      <c r="C4162" s="63"/>
      <c r="D4162" s="64"/>
      <c r="E4162" s="65"/>
      <c r="F4162" s="66"/>
      <c r="G4162" s="63"/>
      <c r="H4162" s="67"/>
      <c r="I4162" s="68"/>
      <c r="J4162" s="68"/>
      <c r="K4162" s="32"/>
      <c r="L4162" s="75">
        <v>4162</v>
      </c>
      <c r="M4162" s="75"/>
      <c r="N4162" s="70"/>
      <c r="O4162" s="77" t="s">
        <v>179</v>
      </c>
      <c r="P4162" s="79">
        <v>45091.479178240741</v>
      </c>
      <c r="Q4162" s="77" t="s">
        <v>5757</v>
      </c>
      <c r="R4162" s="77">
        <v>5</v>
      </c>
      <c r="S4162" s="77">
        <v>48</v>
      </c>
      <c r="T4162" s="77">
        <v>4</v>
      </c>
      <c r="U4162" s="77">
        <v>0</v>
      </c>
      <c r="V4162" s="77">
        <v>6938</v>
      </c>
      <c r="W4162" s="80" t="s">
        <v>8500</v>
      </c>
      <c r="X4162" s="77"/>
      <c r="Y4162" s="77"/>
      <c r="Z4162" s="77"/>
      <c r="AA4162" s="77" t="s">
        <v>10471</v>
      </c>
      <c r="AB4162" s="77" t="s">
        <v>10534</v>
      </c>
      <c r="AC4162" s="80" t="s">
        <v>10554</v>
      </c>
      <c r="AD4162" s="77" t="s">
        <v>10617</v>
      </c>
      <c r="AE4162" s="83" t="str">
        <f>HYPERLINK("https://twitter.com/jovempannews/status/1668943871470972928")</f>
        <v>https://twitter.com/jovempannews/status/1668943871470972928</v>
      </c>
      <c r="AF4162" s="79">
        <v>45091.479178240741</v>
      </c>
      <c r="AG4162" s="85">
        <v>45091</v>
      </c>
      <c r="AH4162" s="80" t="s">
        <v>14079</v>
      </c>
      <c r="AI4162" s="77" t="b">
        <v>0</v>
      </c>
      <c r="AJ4162" s="77"/>
      <c r="AK4162" s="77"/>
      <c r="AL4162" s="77"/>
      <c r="AM4162" s="77"/>
      <c r="AN4162" s="77"/>
      <c r="AO4162" s="77"/>
      <c r="AP4162" s="77"/>
      <c r="AQ4162" s="77" t="s">
        <v>15950</v>
      </c>
      <c r="AR4162" s="77">
        <v>285120</v>
      </c>
      <c r="AS4162" s="77"/>
      <c r="AT4162" s="77"/>
      <c r="AU4162" s="77"/>
      <c r="AV4162" s="83" t="str">
        <f>HYPERLINK("https://pbs.twimg.com/amplify_video_thumb/1668939856527908873/img/s99Y5YsYhzpyvgPF.jpg")</f>
        <v>https://pbs.twimg.com/amplify_video_thumb/1668939856527908873/img/s99Y5YsYhzpyvgPF.jpg</v>
      </c>
      <c r="AW4162" s="80" t="s">
        <v>19828</v>
      </c>
      <c r="AX4162" s="80" t="s">
        <v>19828</v>
      </c>
      <c r="AY4162" s="77"/>
      <c r="AZ4162" s="80" t="s">
        <v>20380</v>
      </c>
      <c r="BA4162" s="80" t="s">
        <v>20380</v>
      </c>
      <c r="BB4162" s="80" t="s">
        <v>20380</v>
      </c>
      <c r="BC4162" s="80" t="s">
        <v>19828</v>
      </c>
      <c r="BD4162" s="77">
        <v>106175018</v>
      </c>
      <c r="BE4162" s="77"/>
      <c r="BF4162" s="77"/>
      <c r="BG4162" s="77"/>
      <c r="BH4162" s="77"/>
      <c r="BI4162" s="77"/>
    </row>
    <row r="4163" spans="1:61" x14ac:dyDescent="0.25">
      <c r="A4163" s="62" t="s">
        <v>1655</v>
      </c>
      <c r="B4163" s="62" t="s">
        <v>1655</v>
      </c>
      <c r="C4163" s="63"/>
      <c r="D4163" s="64"/>
      <c r="E4163" s="65"/>
      <c r="F4163" s="66"/>
      <c r="G4163" s="63"/>
      <c r="H4163" s="67"/>
      <c r="I4163" s="68"/>
      <c r="J4163" s="68"/>
      <c r="K4163" s="32"/>
      <c r="L4163" s="75">
        <v>4163</v>
      </c>
      <c r="M4163" s="75"/>
      <c r="N4163" s="70"/>
      <c r="O4163" s="77" t="s">
        <v>179</v>
      </c>
      <c r="P4163" s="79">
        <v>45140.479166666664</v>
      </c>
      <c r="Q4163" s="77" t="s">
        <v>5758</v>
      </c>
      <c r="R4163" s="77">
        <v>6</v>
      </c>
      <c r="S4163" s="77">
        <v>38</v>
      </c>
      <c r="T4163" s="77">
        <v>5</v>
      </c>
      <c r="U4163" s="77">
        <v>0</v>
      </c>
      <c r="V4163" s="77">
        <v>6415</v>
      </c>
      <c r="W4163" s="80" t="s">
        <v>8501</v>
      </c>
      <c r="X4163" s="77"/>
      <c r="Y4163" s="77"/>
      <c r="Z4163" s="77"/>
      <c r="AA4163" s="77" t="s">
        <v>10472</v>
      </c>
      <c r="AB4163" s="77" t="s">
        <v>10534</v>
      </c>
      <c r="AC4163" s="80" t="s">
        <v>10554</v>
      </c>
      <c r="AD4163" s="77" t="s">
        <v>10617</v>
      </c>
      <c r="AE4163" s="83" t="str">
        <f>HYPERLINK("https://twitter.com/jovempannews/status/1686700874134097920")</f>
        <v>https://twitter.com/jovempannews/status/1686700874134097920</v>
      </c>
      <c r="AF4163" s="79">
        <v>45140.479166666664</v>
      </c>
      <c r="AG4163" s="85">
        <v>45140</v>
      </c>
      <c r="AH4163" s="80" t="s">
        <v>13755</v>
      </c>
      <c r="AI4163" s="77" t="b">
        <v>0</v>
      </c>
      <c r="AJ4163" s="77"/>
      <c r="AK4163" s="77"/>
      <c r="AL4163" s="77"/>
      <c r="AM4163" s="77"/>
      <c r="AN4163" s="77"/>
      <c r="AO4163" s="77"/>
      <c r="AP4163" s="77"/>
      <c r="AQ4163" s="77" t="s">
        <v>15951</v>
      </c>
      <c r="AR4163" s="77">
        <v>464875</v>
      </c>
      <c r="AS4163" s="77"/>
      <c r="AT4163" s="77"/>
      <c r="AU4163" s="77"/>
      <c r="AV4163" s="83" t="str">
        <f>HYPERLINK("https://pbs.twimg.com/amplify_video_thumb/1686693480578568192/img/SjdyVAGHXxFh-blR.jpg")</f>
        <v>https://pbs.twimg.com/amplify_video_thumb/1686693480578568192/img/SjdyVAGHXxFh-blR.jpg</v>
      </c>
      <c r="AW4163" s="80" t="s">
        <v>19829</v>
      </c>
      <c r="AX4163" s="80" t="s">
        <v>19829</v>
      </c>
      <c r="AY4163" s="77"/>
      <c r="AZ4163" s="80" t="s">
        <v>20380</v>
      </c>
      <c r="BA4163" s="80" t="s">
        <v>20380</v>
      </c>
      <c r="BB4163" s="80" t="s">
        <v>20380</v>
      </c>
      <c r="BC4163" s="80" t="s">
        <v>19829</v>
      </c>
      <c r="BD4163" s="77">
        <v>106175018</v>
      </c>
      <c r="BE4163" s="77"/>
      <c r="BF4163" s="77"/>
      <c r="BG4163" s="77"/>
      <c r="BH4163" s="77"/>
      <c r="BI4163" s="77"/>
    </row>
    <row r="4164" spans="1:61" x14ac:dyDescent="0.25">
      <c r="A4164" s="62" t="s">
        <v>1655</v>
      </c>
      <c r="B4164" s="62" t="s">
        <v>1655</v>
      </c>
      <c r="C4164" s="63"/>
      <c r="D4164" s="64"/>
      <c r="E4164" s="65"/>
      <c r="F4164" s="66"/>
      <c r="G4164" s="63"/>
      <c r="H4164" s="67"/>
      <c r="I4164" s="68"/>
      <c r="J4164" s="68"/>
      <c r="K4164" s="32"/>
      <c r="L4164" s="75">
        <v>4164</v>
      </c>
      <c r="M4164" s="75"/>
      <c r="N4164" s="70"/>
      <c r="O4164" s="77" t="s">
        <v>179</v>
      </c>
      <c r="P4164" s="79">
        <v>45101.885416666664</v>
      </c>
      <c r="Q4164" s="77" t="s">
        <v>5759</v>
      </c>
      <c r="R4164" s="77">
        <v>4</v>
      </c>
      <c r="S4164" s="77">
        <v>58</v>
      </c>
      <c r="T4164" s="77">
        <v>1</v>
      </c>
      <c r="U4164" s="77">
        <v>1</v>
      </c>
      <c r="V4164" s="77">
        <v>9867</v>
      </c>
      <c r="W4164" s="80" t="s">
        <v>8502</v>
      </c>
      <c r="X4164" s="77"/>
      <c r="Y4164" s="77"/>
      <c r="Z4164" s="77"/>
      <c r="AA4164" s="77" t="s">
        <v>10473</v>
      </c>
      <c r="AB4164" s="77" t="s">
        <v>10534</v>
      </c>
      <c r="AC4164" s="80" t="s">
        <v>10554</v>
      </c>
      <c r="AD4164" s="77" t="s">
        <v>10617</v>
      </c>
      <c r="AE4164" s="83" t="str">
        <f>HYPERLINK("https://twitter.com/jovempannews/status/1672714966519148546")</f>
        <v>https://twitter.com/jovempannews/status/1672714966519148546</v>
      </c>
      <c r="AF4164" s="79">
        <v>45101.885416666664</v>
      </c>
      <c r="AG4164" s="85">
        <v>45101</v>
      </c>
      <c r="AH4164" s="80" t="s">
        <v>14236</v>
      </c>
      <c r="AI4164" s="77" t="b">
        <v>0</v>
      </c>
      <c r="AJ4164" s="77"/>
      <c r="AK4164" s="77"/>
      <c r="AL4164" s="77"/>
      <c r="AM4164" s="77"/>
      <c r="AN4164" s="77"/>
      <c r="AO4164" s="77"/>
      <c r="AP4164" s="77"/>
      <c r="AQ4164" s="77" t="s">
        <v>15952</v>
      </c>
      <c r="AR4164" s="77">
        <v>577560</v>
      </c>
      <c r="AS4164" s="77"/>
      <c r="AT4164" s="77"/>
      <c r="AU4164" s="77"/>
      <c r="AV4164" s="83" t="str">
        <f>HYPERLINK("https://pbs.twimg.com/amplify_video_thumb/1672657240191533058/img/2FlcSCtM8VW9aL-k.jpg")</f>
        <v>https://pbs.twimg.com/amplify_video_thumb/1672657240191533058/img/2FlcSCtM8VW9aL-k.jpg</v>
      </c>
      <c r="AW4164" s="80" t="s">
        <v>19830</v>
      </c>
      <c r="AX4164" s="80" t="s">
        <v>19830</v>
      </c>
      <c r="AY4164" s="77"/>
      <c r="AZ4164" s="80" t="s">
        <v>20380</v>
      </c>
      <c r="BA4164" s="80" t="s">
        <v>20380</v>
      </c>
      <c r="BB4164" s="80" t="s">
        <v>20380</v>
      </c>
      <c r="BC4164" s="80" t="s">
        <v>19830</v>
      </c>
      <c r="BD4164" s="77">
        <v>106175018</v>
      </c>
      <c r="BE4164" s="77"/>
      <c r="BF4164" s="77"/>
      <c r="BG4164" s="77"/>
      <c r="BH4164" s="77"/>
      <c r="BI4164" s="77"/>
    </row>
    <row r="4165" spans="1:61" x14ac:dyDescent="0.25">
      <c r="A4165" s="62" t="s">
        <v>1655</v>
      </c>
      <c r="B4165" s="62" t="s">
        <v>1655</v>
      </c>
      <c r="C4165" s="63"/>
      <c r="D4165" s="64"/>
      <c r="E4165" s="65"/>
      <c r="F4165" s="66"/>
      <c r="G4165" s="63"/>
      <c r="H4165" s="67"/>
      <c r="I4165" s="68"/>
      <c r="J4165" s="68"/>
      <c r="K4165" s="32"/>
      <c r="L4165" s="75">
        <v>4165</v>
      </c>
      <c r="M4165" s="75"/>
      <c r="N4165" s="70"/>
      <c r="O4165" s="77" t="s">
        <v>179</v>
      </c>
      <c r="P4165" s="79">
        <v>45100.65625</v>
      </c>
      <c r="Q4165" s="77" t="s">
        <v>5760</v>
      </c>
      <c r="R4165" s="77">
        <v>3</v>
      </c>
      <c r="S4165" s="77">
        <v>28</v>
      </c>
      <c r="T4165" s="77">
        <v>0</v>
      </c>
      <c r="U4165" s="77">
        <v>0</v>
      </c>
      <c r="V4165" s="77">
        <v>6316</v>
      </c>
      <c r="W4165" s="80" t="s">
        <v>8503</v>
      </c>
      <c r="X4165" s="77"/>
      <c r="Y4165" s="77"/>
      <c r="Z4165" s="77"/>
      <c r="AA4165" s="77" t="s">
        <v>10474</v>
      </c>
      <c r="AB4165" s="77" t="s">
        <v>10534</v>
      </c>
      <c r="AC4165" s="80" t="s">
        <v>10554</v>
      </c>
      <c r="AD4165" s="77" t="s">
        <v>10617</v>
      </c>
      <c r="AE4165" s="83" t="str">
        <f>HYPERLINK("https://twitter.com/jovempannews/status/1672269531975397378")</f>
        <v>https://twitter.com/jovempannews/status/1672269531975397378</v>
      </c>
      <c r="AF4165" s="79">
        <v>45100.65625</v>
      </c>
      <c r="AG4165" s="85">
        <v>45100</v>
      </c>
      <c r="AH4165" s="80" t="s">
        <v>11489</v>
      </c>
      <c r="AI4165" s="77" t="b">
        <v>0</v>
      </c>
      <c r="AJ4165" s="77"/>
      <c r="AK4165" s="77"/>
      <c r="AL4165" s="77"/>
      <c r="AM4165" s="77"/>
      <c r="AN4165" s="77"/>
      <c r="AO4165" s="77"/>
      <c r="AP4165" s="77"/>
      <c r="AQ4165" s="77" t="s">
        <v>15953</v>
      </c>
      <c r="AR4165" s="77">
        <v>432700</v>
      </c>
      <c r="AS4165" s="77"/>
      <c r="AT4165" s="77"/>
      <c r="AU4165" s="77"/>
      <c r="AV4165" s="83" t="str">
        <f>HYPERLINK("https://pbs.twimg.com/amplify_video_thumb/1672262814201958400/img/J0o_FNkqBACPv7M-.jpg")</f>
        <v>https://pbs.twimg.com/amplify_video_thumb/1672262814201958400/img/J0o_FNkqBACPv7M-.jpg</v>
      </c>
      <c r="AW4165" s="80" t="s">
        <v>19831</v>
      </c>
      <c r="AX4165" s="80" t="s">
        <v>19831</v>
      </c>
      <c r="AY4165" s="77"/>
      <c r="AZ4165" s="80" t="s">
        <v>20380</v>
      </c>
      <c r="BA4165" s="80" t="s">
        <v>20380</v>
      </c>
      <c r="BB4165" s="80" t="s">
        <v>20380</v>
      </c>
      <c r="BC4165" s="80" t="s">
        <v>19831</v>
      </c>
      <c r="BD4165" s="77">
        <v>106175018</v>
      </c>
      <c r="BE4165" s="77"/>
      <c r="BF4165" s="77"/>
      <c r="BG4165" s="77"/>
      <c r="BH4165" s="77"/>
      <c r="BI4165" s="77"/>
    </row>
    <row r="4166" spans="1:61" x14ac:dyDescent="0.25">
      <c r="A4166" s="62" t="s">
        <v>1655</v>
      </c>
      <c r="B4166" s="62" t="s">
        <v>1655</v>
      </c>
      <c r="C4166" s="63"/>
      <c r="D4166" s="64"/>
      <c r="E4166" s="65"/>
      <c r="F4166" s="66"/>
      <c r="G4166" s="63"/>
      <c r="H4166" s="67"/>
      <c r="I4166" s="68"/>
      <c r="J4166" s="68"/>
      <c r="K4166" s="32"/>
      <c r="L4166" s="75">
        <v>4166</v>
      </c>
      <c r="M4166" s="75"/>
      <c r="N4166" s="70"/>
      <c r="O4166" s="77" t="s">
        <v>179</v>
      </c>
      <c r="P4166" s="79">
        <v>45086.677083333336</v>
      </c>
      <c r="Q4166" s="77" t="s">
        <v>5761</v>
      </c>
      <c r="R4166" s="77">
        <v>2</v>
      </c>
      <c r="S4166" s="77">
        <v>33</v>
      </c>
      <c r="T4166" s="77">
        <v>3</v>
      </c>
      <c r="U4166" s="77">
        <v>0</v>
      </c>
      <c r="V4166" s="77">
        <v>7011</v>
      </c>
      <c r="W4166" s="80" t="s">
        <v>8504</v>
      </c>
      <c r="X4166" s="77"/>
      <c r="Y4166" s="77"/>
      <c r="Z4166" s="77"/>
      <c r="AA4166" s="77" t="s">
        <v>10475</v>
      </c>
      <c r="AB4166" s="77" t="s">
        <v>10534</v>
      </c>
      <c r="AC4166" s="80" t="s">
        <v>10554</v>
      </c>
      <c r="AD4166" s="77" t="s">
        <v>10617</v>
      </c>
      <c r="AE4166" s="83" t="str">
        <f>HYPERLINK("https://twitter.com/jovempannews/status/1667203651826511880")</f>
        <v>https://twitter.com/jovempannews/status/1667203651826511880</v>
      </c>
      <c r="AF4166" s="79">
        <v>45086.677083333336</v>
      </c>
      <c r="AG4166" s="85">
        <v>45086</v>
      </c>
      <c r="AH4166" s="80" t="s">
        <v>14237</v>
      </c>
      <c r="AI4166" s="77" t="b">
        <v>0</v>
      </c>
      <c r="AJ4166" s="77"/>
      <c r="AK4166" s="77"/>
      <c r="AL4166" s="77"/>
      <c r="AM4166" s="77"/>
      <c r="AN4166" s="77"/>
      <c r="AO4166" s="77"/>
      <c r="AP4166" s="77"/>
      <c r="AQ4166" s="77" t="s">
        <v>15954</v>
      </c>
      <c r="AR4166" s="77">
        <v>131160</v>
      </c>
      <c r="AS4166" s="77"/>
      <c r="AT4166" s="77"/>
      <c r="AU4166" s="77"/>
      <c r="AV4166" s="83" t="str">
        <f>HYPERLINK("https://pbs.twimg.com/amplify_video_thumb/1667145483884843008/img/BUaoYsNgWXWICA-9.jpg")</f>
        <v>https://pbs.twimg.com/amplify_video_thumb/1667145483884843008/img/BUaoYsNgWXWICA-9.jpg</v>
      </c>
      <c r="AW4166" s="80" t="s">
        <v>19832</v>
      </c>
      <c r="AX4166" s="80" t="s">
        <v>19832</v>
      </c>
      <c r="AY4166" s="77"/>
      <c r="AZ4166" s="80" t="s">
        <v>20380</v>
      </c>
      <c r="BA4166" s="80" t="s">
        <v>20380</v>
      </c>
      <c r="BB4166" s="80" t="s">
        <v>20380</v>
      </c>
      <c r="BC4166" s="80" t="s">
        <v>19832</v>
      </c>
      <c r="BD4166" s="77">
        <v>106175018</v>
      </c>
      <c r="BE4166" s="77"/>
      <c r="BF4166" s="77"/>
      <c r="BG4166" s="77"/>
      <c r="BH4166" s="77"/>
      <c r="BI4166" s="77"/>
    </row>
    <row r="4167" spans="1:61" x14ac:dyDescent="0.25">
      <c r="A4167" s="62" t="s">
        <v>1655</v>
      </c>
      <c r="B4167" s="62" t="s">
        <v>1655</v>
      </c>
      <c r="C4167" s="63"/>
      <c r="D4167" s="64"/>
      <c r="E4167" s="65"/>
      <c r="F4167" s="66"/>
      <c r="G4167" s="63"/>
      <c r="H4167" s="67"/>
      <c r="I4167" s="68"/>
      <c r="J4167" s="68"/>
      <c r="K4167" s="32"/>
      <c r="L4167" s="75">
        <v>4167</v>
      </c>
      <c r="M4167" s="75"/>
      <c r="N4167" s="70"/>
      <c r="O4167" s="77" t="s">
        <v>179</v>
      </c>
      <c r="P4167" s="79">
        <v>45085.635416666664</v>
      </c>
      <c r="Q4167" s="77" t="s">
        <v>5762</v>
      </c>
      <c r="R4167" s="77">
        <v>1</v>
      </c>
      <c r="S4167" s="77">
        <v>24</v>
      </c>
      <c r="T4167" s="77">
        <v>0</v>
      </c>
      <c r="U4167" s="77">
        <v>0</v>
      </c>
      <c r="V4167" s="77">
        <v>6246</v>
      </c>
      <c r="W4167" s="80" t="s">
        <v>8505</v>
      </c>
      <c r="X4167" s="77"/>
      <c r="Y4167" s="77"/>
      <c r="Z4167" s="77"/>
      <c r="AA4167" s="77" t="s">
        <v>10476</v>
      </c>
      <c r="AB4167" s="77" t="s">
        <v>10534</v>
      </c>
      <c r="AC4167" s="80" t="s">
        <v>10554</v>
      </c>
      <c r="AD4167" s="77" t="s">
        <v>10617</v>
      </c>
      <c r="AE4167" s="83" t="str">
        <f>HYPERLINK("https://twitter.com/jovempannews/status/1666826163870916611")</f>
        <v>https://twitter.com/jovempannews/status/1666826163870916611</v>
      </c>
      <c r="AF4167" s="79">
        <v>45085.635416666664</v>
      </c>
      <c r="AG4167" s="85">
        <v>45085</v>
      </c>
      <c r="AH4167" s="80" t="s">
        <v>12735</v>
      </c>
      <c r="AI4167" s="77" t="b">
        <v>0</v>
      </c>
      <c r="AJ4167" s="77"/>
      <c r="AK4167" s="77"/>
      <c r="AL4167" s="77"/>
      <c r="AM4167" s="77"/>
      <c r="AN4167" s="77"/>
      <c r="AO4167" s="77"/>
      <c r="AP4167" s="77"/>
      <c r="AQ4167" s="77" t="s">
        <v>15955</v>
      </c>
      <c r="AR4167" s="77">
        <v>433480</v>
      </c>
      <c r="AS4167" s="77"/>
      <c r="AT4167" s="77"/>
      <c r="AU4167" s="77"/>
      <c r="AV4167" s="83" t="str">
        <f>HYPERLINK("https://pbs.twimg.com/amplify_video_thumb/1666761111868153856/img/3D8xM57giX9TJ6Ss.jpg")</f>
        <v>https://pbs.twimg.com/amplify_video_thumb/1666761111868153856/img/3D8xM57giX9TJ6Ss.jpg</v>
      </c>
      <c r="AW4167" s="80" t="s">
        <v>19833</v>
      </c>
      <c r="AX4167" s="80" t="s">
        <v>19833</v>
      </c>
      <c r="AY4167" s="77"/>
      <c r="AZ4167" s="80" t="s">
        <v>20380</v>
      </c>
      <c r="BA4167" s="80" t="s">
        <v>20380</v>
      </c>
      <c r="BB4167" s="80" t="s">
        <v>20380</v>
      </c>
      <c r="BC4167" s="80" t="s">
        <v>19833</v>
      </c>
      <c r="BD4167" s="77">
        <v>106175018</v>
      </c>
      <c r="BE4167" s="77"/>
      <c r="BF4167" s="77"/>
      <c r="BG4167" s="77"/>
      <c r="BH4167" s="77"/>
      <c r="BI4167" s="77"/>
    </row>
    <row r="4168" spans="1:61" x14ac:dyDescent="0.25">
      <c r="A4168" s="62" t="s">
        <v>1655</v>
      </c>
      <c r="B4168" s="62" t="s">
        <v>1655</v>
      </c>
      <c r="C4168" s="63"/>
      <c r="D4168" s="64"/>
      <c r="E4168" s="65"/>
      <c r="F4168" s="66"/>
      <c r="G4168" s="63"/>
      <c r="H4168" s="67"/>
      <c r="I4168" s="68"/>
      <c r="J4168" s="68"/>
      <c r="K4168" s="32"/>
      <c r="L4168" s="75">
        <v>4168</v>
      </c>
      <c r="M4168" s="75"/>
      <c r="N4168" s="70"/>
      <c r="O4168" s="77" t="s">
        <v>179</v>
      </c>
      <c r="P4168" s="79">
        <v>45160.510416666664</v>
      </c>
      <c r="Q4168" s="77" t="s">
        <v>5763</v>
      </c>
      <c r="R4168" s="77">
        <v>4</v>
      </c>
      <c r="S4168" s="77">
        <v>21</v>
      </c>
      <c r="T4168" s="77">
        <v>1</v>
      </c>
      <c r="U4168" s="77">
        <v>1</v>
      </c>
      <c r="V4168" s="77">
        <v>5086</v>
      </c>
      <c r="W4168" s="80" t="s">
        <v>8506</v>
      </c>
      <c r="X4168" s="77"/>
      <c r="Y4168" s="77"/>
      <c r="Z4168" s="77"/>
      <c r="AA4168" s="77" t="s">
        <v>10477</v>
      </c>
      <c r="AB4168" s="77" t="s">
        <v>10534</v>
      </c>
      <c r="AC4168" s="80" t="s">
        <v>10554</v>
      </c>
      <c r="AD4168" s="77" t="s">
        <v>10617</v>
      </c>
      <c r="AE4168" s="83" t="str">
        <f>HYPERLINK("https://twitter.com/jovempannews/status/1693959955068616797")</f>
        <v>https://twitter.com/jovempannews/status/1693959955068616797</v>
      </c>
      <c r="AF4168" s="79">
        <v>45160.510416666664</v>
      </c>
      <c r="AG4168" s="85">
        <v>45160</v>
      </c>
      <c r="AH4168" s="80" t="s">
        <v>14238</v>
      </c>
      <c r="AI4168" s="77" t="b">
        <v>0</v>
      </c>
      <c r="AJ4168" s="77"/>
      <c r="AK4168" s="77"/>
      <c r="AL4168" s="77"/>
      <c r="AM4168" s="77"/>
      <c r="AN4168" s="77"/>
      <c r="AO4168" s="77"/>
      <c r="AP4168" s="77"/>
      <c r="AQ4168" s="77" t="s">
        <v>15956</v>
      </c>
      <c r="AR4168" s="77">
        <v>133067</v>
      </c>
      <c r="AS4168" s="77"/>
      <c r="AT4168" s="77"/>
      <c r="AU4168" s="77"/>
      <c r="AV4168" s="83" t="str">
        <f>HYPERLINK("https://pbs.twimg.com/amplify_video_thumb/1693943547253465088/img/y8vWAPM6t42gSOf_.jpg")</f>
        <v>https://pbs.twimg.com/amplify_video_thumb/1693943547253465088/img/y8vWAPM6t42gSOf_.jpg</v>
      </c>
      <c r="AW4168" s="80" t="s">
        <v>19834</v>
      </c>
      <c r="AX4168" s="80" t="s">
        <v>19834</v>
      </c>
      <c r="AY4168" s="77"/>
      <c r="AZ4168" s="80" t="s">
        <v>20380</v>
      </c>
      <c r="BA4168" s="80" t="s">
        <v>20380</v>
      </c>
      <c r="BB4168" s="80" t="s">
        <v>20380</v>
      </c>
      <c r="BC4168" s="80" t="s">
        <v>19834</v>
      </c>
      <c r="BD4168" s="77">
        <v>106175018</v>
      </c>
      <c r="BE4168" s="77"/>
      <c r="BF4168" s="77"/>
      <c r="BG4168" s="77"/>
      <c r="BH4168" s="77"/>
      <c r="BI4168" s="77"/>
    </row>
    <row r="4169" spans="1:61" x14ac:dyDescent="0.25">
      <c r="A4169" s="62" t="s">
        <v>1655</v>
      </c>
      <c r="B4169" s="62" t="s">
        <v>1655</v>
      </c>
      <c r="C4169" s="63"/>
      <c r="D4169" s="64"/>
      <c r="E4169" s="65"/>
      <c r="F4169" s="66"/>
      <c r="G4169" s="63"/>
      <c r="H4169" s="67"/>
      <c r="I4169" s="68"/>
      <c r="J4169" s="68"/>
      <c r="K4169" s="32"/>
      <c r="L4169" s="75">
        <v>4169</v>
      </c>
      <c r="M4169" s="75"/>
      <c r="N4169" s="70"/>
      <c r="O4169" s="77" t="s">
        <v>179</v>
      </c>
      <c r="P4169" s="79">
        <v>45116.552083333336</v>
      </c>
      <c r="Q4169" s="77" t="s">
        <v>5764</v>
      </c>
      <c r="R4169" s="77">
        <v>7</v>
      </c>
      <c r="S4169" s="77">
        <v>50</v>
      </c>
      <c r="T4169" s="77">
        <v>4</v>
      </c>
      <c r="U4169" s="77">
        <v>0</v>
      </c>
      <c r="V4169" s="77">
        <v>9861</v>
      </c>
      <c r="W4169" s="80" t="s">
        <v>8507</v>
      </c>
      <c r="X4169" s="77"/>
      <c r="Y4169" s="77"/>
      <c r="Z4169" s="77"/>
      <c r="AA4169" s="77" t="s">
        <v>10478</v>
      </c>
      <c r="AB4169" s="77" t="s">
        <v>10534</v>
      </c>
      <c r="AC4169" s="80" t="s">
        <v>10571</v>
      </c>
      <c r="AD4169" s="77" t="s">
        <v>10617</v>
      </c>
      <c r="AE4169" s="83" t="str">
        <f>HYPERLINK("https://twitter.com/jovempannews/status/1678029988895899656")</f>
        <v>https://twitter.com/jovempannews/status/1678029988895899656</v>
      </c>
      <c r="AF4169" s="79">
        <v>45116.552083333336</v>
      </c>
      <c r="AG4169" s="85">
        <v>45116</v>
      </c>
      <c r="AH4169" s="80" t="s">
        <v>14231</v>
      </c>
      <c r="AI4169" s="77" t="b">
        <v>0</v>
      </c>
      <c r="AJ4169" s="77"/>
      <c r="AK4169" s="77"/>
      <c r="AL4169" s="77"/>
      <c r="AM4169" s="77"/>
      <c r="AN4169" s="77"/>
      <c r="AO4169" s="77"/>
      <c r="AP4169" s="77"/>
      <c r="AQ4169" s="77" t="s">
        <v>15957</v>
      </c>
      <c r="AR4169" s="77">
        <v>163870</v>
      </c>
      <c r="AS4169" s="77"/>
      <c r="AT4169" s="77"/>
      <c r="AU4169" s="77"/>
      <c r="AV4169" s="83" t="str">
        <f>HYPERLINK("https://pbs.twimg.com/amplify_video_thumb/1678019737396170753/img/7QtRCXXxtUZb1OhI.jpg")</f>
        <v>https://pbs.twimg.com/amplify_video_thumb/1678019737396170753/img/7QtRCXXxtUZb1OhI.jpg</v>
      </c>
      <c r="AW4169" s="80" t="s">
        <v>19835</v>
      </c>
      <c r="AX4169" s="80" t="s">
        <v>19835</v>
      </c>
      <c r="AY4169" s="77"/>
      <c r="AZ4169" s="80" t="s">
        <v>20380</v>
      </c>
      <c r="BA4169" s="80" t="s">
        <v>20380</v>
      </c>
      <c r="BB4169" s="80" t="s">
        <v>20380</v>
      </c>
      <c r="BC4169" s="80" t="s">
        <v>19835</v>
      </c>
      <c r="BD4169" s="77">
        <v>106175018</v>
      </c>
      <c r="BE4169" s="77"/>
      <c r="BF4169" s="77"/>
      <c r="BG4169" s="77"/>
      <c r="BH4169" s="77"/>
      <c r="BI4169" s="77"/>
    </row>
    <row r="4170" spans="1:61" x14ac:dyDescent="0.25">
      <c r="A4170" s="62" t="s">
        <v>1655</v>
      </c>
      <c r="B4170" s="62" t="s">
        <v>1655</v>
      </c>
      <c r="C4170" s="63"/>
      <c r="D4170" s="64"/>
      <c r="E4170" s="65"/>
      <c r="F4170" s="66"/>
      <c r="G4170" s="63"/>
      <c r="H4170" s="67"/>
      <c r="I4170" s="68"/>
      <c r="J4170" s="68"/>
      <c r="K4170" s="32"/>
      <c r="L4170" s="75">
        <v>4170</v>
      </c>
      <c r="M4170" s="75"/>
      <c r="N4170" s="70"/>
      <c r="O4170" s="77" t="s">
        <v>179</v>
      </c>
      <c r="P4170" s="79">
        <v>45099.512002314812</v>
      </c>
      <c r="Q4170" s="77" t="s">
        <v>5765</v>
      </c>
      <c r="R4170" s="77">
        <v>1</v>
      </c>
      <c r="S4170" s="77">
        <v>28</v>
      </c>
      <c r="T4170" s="77">
        <v>5</v>
      </c>
      <c r="U4170" s="77">
        <v>0</v>
      </c>
      <c r="V4170" s="77">
        <v>5300</v>
      </c>
      <c r="W4170" s="80" t="s">
        <v>7744</v>
      </c>
      <c r="X4170" s="77"/>
      <c r="Y4170" s="77"/>
      <c r="Z4170" s="77"/>
      <c r="AA4170" s="77" t="s">
        <v>10479</v>
      </c>
      <c r="AB4170" s="77" t="s">
        <v>10534</v>
      </c>
      <c r="AC4170" s="80" t="s">
        <v>10554</v>
      </c>
      <c r="AD4170" s="77" t="s">
        <v>10617</v>
      </c>
      <c r="AE4170" s="83" t="str">
        <f>HYPERLINK("https://twitter.com/jovempannews/status/1671854871920750592")</f>
        <v>https://twitter.com/jovempannews/status/1671854871920750592</v>
      </c>
      <c r="AF4170" s="79">
        <v>45099.512002314812</v>
      </c>
      <c r="AG4170" s="85">
        <v>45099</v>
      </c>
      <c r="AH4170" s="80" t="s">
        <v>14239</v>
      </c>
      <c r="AI4170" s="77" t="b">
        <v>0</v>
      </c>
      <c r="AJ4170" s="77"/>
      <c r="AK4170" s="77"/>
      <c r="AL4170" s="77"/>
      <c r="AM4170" s="77"/>
      <c r="AN4170" s="77"/>
      <c r="AO4170" s="77"/>
      <c r="AP4170" s="77"/>
      <c r="AQ4170" s="77" t="s">
        <v>15481</v>
      </c>
      <c r="AR4170" s="77">
        <v>360000</v>
      </c>
      <c r="AS4170" s="77"/>
      <c r="AT4170" s="77"/>
      <c r="AU4170" s="77"/>
      <c r="AV4170" s="83" t="str">
        <f>HYPERLINK("https://pbs.twimg.com/amplify_video_thumb/1671852853097553922/img/SdyDO7edgGq9psBt.jpg")</f>
        <v>https://pbs.twimg.com/amplify_video_thumb/1671852853097553922/img/SdyDO7edgGq9psBt.jpg</v>
      </c>
      <c r="AW4170" s="80" t="s">
        <v>19836</v>
      </c>
      <c r="AX4170" s="80" t="s">
        <v>19836</v>
      </c>
      <c r="AY4170" s="77"/>
      <c r="AZ4170" s="80" t="s">
        <v>20380</v>
      </c>
      <c r="BA4170" s="80" t="s">
        <v>20380</v>
      </c>
      <c r="BB4170" s="80" t="s">
        <v>20380</v>
      </c>
      <c r="BC4170" s="80" t="s">
        <v>19836</v>
      </c>
      <c r="BD4170" s="77">
        <v>106175018</v>
      </c>
      <c r="BE4170" s="77"/>
      <c r="BF4170" s="77"/>
      <c r="BG4170" s="77"/>
      <c r="BH4170" s="77"/>
      <c r="BI4170" s="77"/>
    </row>
    <row r="4171" spans="1:61" x14ac:dyDescent="0.25">
      <c r="A4171" s="62" t="s">
        <v>1655</v>
      </c>
      <c r="B4171" s="62" t="s">
        <v>1655</v>
      </c>
      <c r="C4171" s="63"/>
      <c r="D4171" s="64"/>
      <c r="E4171" s="65"/>
      <c r="F4171" s="66"/>
      <c r="G4171" s="63"/>
      <c r="H4171" s="67"/>
      <c r="I4171" s="68"/>
      <c r="J4171" s="68"/>
      <c r="K4171" s="32"/>
      <c r="L4171" s="75">
        <v>4171</v>
      </c>
      <c r="M4171" s="75"/>
      <c r="N4171" s="70"/>
      <c r="O4171" s="77" t="s">
        <v>179</v>
      </c>
      <c r="P4171" s="79">
        <v>45099.490949074076</v>
      </c>
      <c r="Q4171" s="77" t="s">
        <v>5766</v>
      </c>
      <c r="R4171" s="77">
        <v>3</v>
      </c>
      <c r="S4171" s="77">
        <v>27</v>
      </c>
      <c r="T4171" s="77">
        <v>2</v>
      </c>
      <c r="U4171" s="77">
        <v>0</v>
      </c>
      <c r="V4171" s="77">
        <v>6170</v>
      </c>
      <c r="W4171" s="80" t="s">
        <v>8508</v>
      </c>
      <c r="X4171" s="77"/>
      <c r="Y4171" s="77"/>
      <c r="Z4171" s="77"/>
      <c r="AA4171" s="77" t="s">
        <v>10480</v>
      </c>
      <c r="AB4171" s="77" t="s">
        <v>10534</v>
      </c>
      <c r="AC4171" s="80" t="s">
        <v>10554</v>
      </c>
      <c r="AD4171" s="77" t="s">
        <v>10617</v>
      </c>
      <c r="AE4171" s="83" t="str">
        <f>HYPERLINK("https://twitter.com/jovempannews/status/1671847239927631874")</f>
        <v>https://twitter.com/jovempannews/status/1671847239927631874</v>
      </c>
      <c r="AF4171" s="79">
        <v>45099.490949074076</v>
      </c>
      <c r="AG4171" s="85">
        <v>45099</v>
      </c>
      <c r="AH4171" s="80" t="s">
        <v>14240</v>
      </c>
      <c r="AI4171" s="77" t="b">
        <v>0</v>
      </c>
      <c r="AJ4171" s="77"/>
      <c r="AK4171" s="77"/>
      <c r="AL4171" s="77"/>
      <c r="AM4171" s="77"/>
      <c r="AN4171" s="77"/>
      <c r="AO4171" s="77"/>
      <c r="AP4171" s="77"/>
      <c r="AQ4171" s="77" t="s">
        <v>15958</v>
      </c>
      <c r="AR4171" s="77">
        <v>405000</v>
      </c>
      <c r="AS4171" s="77"/>
      <c r="AT4171" s="77"/>
      <c r="AU4171" s="77"/>
      <c r="AV4171" s="83" t="str">
        <f>HYPERLINK("https://pbs.twimg.com/amplify_video_thumb/1671845294835904512/img/fllG4skfBl7g2h_K.jpg")</f>
        <v>https://pbs.twimg.com/amplify_video_thumb/1671845294835904512/img/fllG4skfBl7g2h_K.jpg</v>
      </c>
      <c r="AW4171" s="80" t="s">
        <v>19837</v>
      </c>
      <c r="AX4171" s="80" t="s">
        <v>19837</v>
      </c>
      <c r="AY4171" s="77"/>
      <c r="AZ4171" s="80" t="s">
        <v>20380</v>
      </c>
      <c r="BA4171" s="80" t="s">
        <v>20380</v>
      </c>
      <c r="BB4171" s="80" t="s">
        <v>20380</v>
      </c>
      <c r="BC4171" s="80" t="s">
        <v>19837</v>
      </c>
      <c r="BD4171" s="77">
        <v>106175018</v>
      </c>
      <c r="BE4171" s="77"/>
      <c r="BF4171" s="77"/>
      <c r="BG4171" s="77"/>
      <c r="BH4171" s="77"/>
      <c r="BI4171" s="77"/>
    </row>
    <row r="4172" spans="1:61" x14ac:dyDescent="0.25">
      <c r="A4172" s="62" t="s">
        <v>1655</v>
      </c>
      <c r="B4172" s="62" t="s">
        <v>1655</v>
      </c>
      <c r="C4172" s="63"/>
      <c r="D4172" s="64"/>
      <c r="E4172" s="65"/>
      <c r="F4172" s="66"/>
      <c r="G4172" s="63"/>
      <c r="H4172" s="67"/>
      <c r="I4172" s="68"/>
      <c r="J4172" s="68"/>
      <c r="K4172" s="32"/>
      <c r="L4172" s="75">
        <v>4172</v>
      </c>
      <c r="M4172" s="75"/>
      <c r="N4172" s="70"/>
      <c r="O4172" s="77" t="s">
        <v>179</v>
      </c>
      <c r="P4172" s="79">
        <v>45159.270833333336</v>
      </c>
      <c r="Q4172" s="77" t="s">
        <v>5767</v>
      </c>
      <c r="R4172" s="77">
        <v>7</v>
      </c>
      <c r="S4172" s="77">
        <v>74</v>
      </c>
      <c r="T4172" s="77">
        <v>2</v>
      </c>
      <c r="U4172" s="77">
        <v>0</v>
      </c>
      <c r="V4172" s="77">
        <v>8518</v>
      </c>
      <c r="W4172" s="80" t="s">
        <v>8509</v>
      </c>
      <c r="X4172" s="77"/>
      <c r="Y4172" s="77"/>
      <c r="Z4172" s="77"/>
      <c r="AA4172" s="77" t="s">
        <v>10481</v>
      </c>
      <c r="AB4172" s="77" t="s">
        <v>10534</v>
      </c>
      <c r="AC4172" s="80" t="s">
        <v>10554</v>
      </c>
      <c r="AD4172" s="77" t="s">
        <v>10617</v>
      </c>
      <c r="AE4172" s="83" t="str">
        <f>HYPERLINK("https://twitter.com/jovempannews/status/1693510745286127725")</f>
        <v>https://twitter.com/jovempannews/status/1693510745286127725</v>
      </c>
      <c r="AF4172" s="79">
        <v>45159.270833333336</v>
      </c>
      <c r="AG4172" s="85">
        <v>45159</v>
      </c>
      <c r="AH4172" s="80" t="s">
        <v>14241</v>
      </c>
      <c r="AI4172" s="77" t="b">
        <v>0</v>
      </c>
      <c r="AJ4172" s="77"/>
      <c r="AK4172" s="77"/>
      <c r="AL4172" s="77"/>
      <c r="AM4172" s="77"/>
      <c r="AN4172" s="77"/>
      <c r="AO4172" s="77"/>
      <c r="AP4172" s="77"/>
      <c r="AQ4172" s="77" t="s">
        <v>15959</v>
      </c>
      <c r="AR4172" s="77">
        <v>364842</v>
      </c>
      <c r="AS4172" s="77"/>
      <c r="AT4172" s="77"/>
      <c r="AU4172" s="77"/>
      <c r="AV4172" s="83" t="str">
        <f>HYPERLINK("https://pbs.twimg.com/amplify_video_thumb/1692947490767515648/img/ygOX1-r6e_DAZ-Pb.jpg")</f>
        <v>https://pbs.twimg.com/amplify_video_thumb/1692947490767515648/img/ygOX1-r6e_DAZ-Pb.jpg</v>
      </c>
      <c r="AW4172" s="80" t="s">
        <v>19838</v>
      </c>
      <c r="AX4172" s="80" t="s">
        <v>19838</v>
      </c>
      <c r="AY4172" s="77"/>
      <c r="AZ4172" s="80" t="s">
        <v>20380</v>
      </c>
      <c r="BA4172" s="80" t="s">
        <v>20380</v>
      </c>
      <c r="BB4172" s="80" t="s">
        <v>20380</v>
      </c>
      <c r="BC4172" s="80" t="s">
        <v>19838</v>
      </c>
      <c r="BD4172" s="77">
        <v>106175018</v>
      </c>
      <c r="BE4172" s="77"/>
      <c r="BF4172" s="77"/>
      <c r="BG4172" s="77"/>
      <c r="BH4172" s="77"/>
      <c r="BI4172" s="77"/>
    </row>
    <row r="4173" spans="1:61" x14ac:dyDescent="0.25">
      <c r="A4173" s="62" t="s">
        <v>1655</v>
      </c>
      <c r="B4173" s="62" t="s">
        <v>1655</v>
      </c>
      <c r="C4173" s="63"/>
      <c r="D4173" s="64"/>
      <c r="E4173" s="65"/>
      <c r="F4173" s="66"/>
      <c r="G4173" s="63"/>
      <c r="H4173" s="67"/>
      <c r="I4173" s="68"/>
      <c r="J4173" s="68"/>
      <c r="K4173" s="32"/>
      <c r="L4173" s="75">
        <v>4173</v>
      </c>
      <c r="M4173" s="75"/>
      <c r="N4173" s="70"/>
      <c r="O4173" s="77" t="s">
        <v>179</v>
      </c>
      <c r="P4173" s="79">
        <v>45151.511724537035</v>
      </c>
      <c r="Q4173" s="77" t="s">
        <v>5768</v>
      </c>
      <c r="R4173" s="77">
        <v>7</v>
      </c>
      <c r="S4173" s="77">
        <v>55</v>
      </c>
      <c r="T4173" s="77">
        <v>8</v>
      </c>
      <c r="U4173" s="77">
        <v>1</v>
      </c>
      <c r="V4173" s="77">
        <v>8870</v>
      </c>
      <c r="W4173" s="80" t="s">
        <v>8510</v>
      </c>
      <c r="X4173" s="77"/>
      <c r="Y4173" s="77"/>
      <c r="Z4173" s="77"/>
      <c r="AA4173" s="77" t="s">
        <v>10482</v>
      </c>
      <c r="AB4173" s="77" t="s">
        <v>10534</v>
      </c>
      <c r="AC4173" s="80" t="s">
        <v>10554</v>
      </c>
      <c r="AD4173" s="77" t="s">
        <v>10617</v>
      </c>
      <c r="AE4173" s="83" t="str">
        <f>HYPERLINK("https://twitter.com/jovempannews/status/1690698938913873920")</f>
        <v>https://twitter.com/jovempannews/status/1690698938913873920</v>
      </c>
      <c r="AF4173" s="79">
        <v>45151.511724537035</v>
      </c>
      <c r="AG4173" s="85">
        <v>45151</v>
      </c>
      <c r="AH4173" s="80" t="s">
        <v>14242</v>
      </c>
      <c r="AI4173" s="77" t="b">
        <v>0</v>
      </c>
      <c r="AJ4173" s="77"/>
      <c r="AK4173" s="77"/>
      <c r="AL4173" s="77"/>
      <c r="AM4173" s="77"/>
      <c r="AN4173" s="77"/>
      <c r="AO4173" s="77"/>
      <c r="AP4173" s="77"/>
      <c r="AQ4173" s="77" t="s">
        <v>15960</v>
      </c>
      <c r="AR4173" s="77">
        <v>400500</v>
      </c>
      <c r="AS4173" s="77"/>
      <c r="AT4173" s="77"/>
      <c r="AU4173" s="77"/>
      <c r="AV4173" s="83" t="str">
        <f>HYPERLINK("https://pbs.twimg.com/amplify_video_thumb/1690687011722575872/img/8AUl04mKcbfOQlpT.jpg")</f>
        <v>https://pbs.twimg.com/amplify_video_thumb/1690687011722575872/img/8AUl04mKcbfOQlpT.jpg</v>
      </c>
      <c r="AW4173" s="80" t="s">
        <v>19839</v>
      </c>
      <c r="AX4173" s="80" t="s">
        <v>19839</v>
      </c>
      <c r="AY4173" s="77"/>
      <c r="AZ4173" s="80" t="s">
        <v>20380</v>
      </c>
      <c r="BA4173" s="80" t="s">
        <v>20380</v>
      </c>
      <c r="BB4173" s="80" t="s">
        <v>20380</v>
      </c>
      <c r="BC4173" s="80" t="s">
        <v>19839</v>
      </c>
      <c r="BD4173" s="77">
        <v>106175018</v>
      </c>
      <c r="BE4173" s="77"/>
      <c r="BF4173" s="77"/>
      <c r="BG4173" s="77"/>
      <c r="BH4173" s="77"/>
      <c r="BI4173" s="77"/>
    </row>
    <row r="4174" spans="1:61" x14ac:dyDescent="0.25">
      <c r="A4174" s="62" t="s">
        <v>1655</v>
      </c>
      <c r="B4174" s="62" t="s">
        <v>1655</v>
      </c>
      <c r="C4174" s="63"/>
      <c r="D4174" s="64"/>
      <c r="E4174" s="65"/>
      <c r="F4174" s="66"/>
      <c r="G4174" s="63"/>
      <c r="H4174" s="67"/>
      <c r="I4174" s="68"/>
      <c r="J4174" s="68"/>
      <c r="K4174" s="32"/>
      <c r="L4174" s="75">
        <v>4174</v>
      </c>
      <c r="M4174" s="75"/>
      <c r="N4174" s="70"/>
      <c r="O4174" s="77" t="s">
        <v>179</v>
      </c>
      <c r="P4174" s="79">
        <v>45126.53125</v>
      </c>
      <c r="Q4174" s="77" t="s">
        <v>5769</v>
      </c>
      <c r="R4174" s="77">
        <v>5</v>
      </c>
      <c r="S4174" s="77">
        <v>26</v>
      </c>
      <c r="T4174" s="77">
        <v>6</v>
      </c>
      <c r="U4174" s="77">
        <v>0</v>
      </c>
      <c r="V4174" s="77">
        <v>5456</v>
      </c>
      <c r="W4174" s="80" t="s">
        <v>8511</v>
      </c>
      <c r="X4174" s="77"/>
      <c r="Y4174" s="77"/>
      <c r="Z4174" s="77"/>
      <c r="AA4174" s="77" t="s">
        <v>10483</v>
      </c>
      <c r="AB4174" s="77" t="s">
        <v>10534</v>
      </c>
      <c r="AC4174" s="80" t="s">
        <v>10554</v>
      </c>
      <c r="AD4174" s="77" t="s">
        <v>10617</v>
      </c>
      <c r="AE4174" s="83" t="str">
        <f>HYPERLINK("https://twitter.com/jovempannews/status/1681646317582405632")</f>
        <v>https://twitter.com/jovempannews/status/1681646317582405632</v>
      </c>
      <c r="AF4174" s="79">
        <v>45126.53125</v>
      </c>
      <c r="AG4174" s="85">
        <v>45126</v>
      </c>
      <c r="AH4174" s="80" t="s">
        <v>10881</v>
      </c>
      <c r="AI4174" s="77" t="b">
        <v>0</v>
      </c>
      <c r="AJ4174" s="77"/>
      <c r="AK4174" s="77"/>
      <c r="AL4174" s="77"/>
      <c r="AM4174" s="77"/>
      <c r="AN4174" s="77"/>
      <c r="AO4174" s="77"/>
      <c r="AP4174" s="77"/>
      <c r="AQ4174" s="77" t="s">
        <v>15961</v>
      </c>
      <c r="AR4174" s="77">
        <v>187440</v>
      </c>
      <c r="AS4174" s="77"/>
      <c r="AT4174" s="77"/>
      <c r="AU4174" s="77"/>
      <c r="AV4174" s="83" t="str">
        <f>HYPERLINK("https://pbs.twimg.com/amplify_video_thumb/1681620627948552194/img/9o3GnwCXgJHV3vxl.jpg")</f>
        <v>https://pbs.twimg.com/amplify_video_thumb/1681620627948552194/img/9o3GnwCXgJHV3vxl.jpg</v>
      </c>
      <c r="AW4174" s="80" t="s">
        <v>19840</v>
      </c>
      <c r="AX4174" s="80" t="s">
        <v>19840</v>
      </c>
      <c r="AY4174" s="77"/>
      <c r="AZ4174" s="80" t="s">
        <v>20380</v>
      </c>
      <c r="BA4174" s="80" t="s">
        <v>20380</v>
      </c>
      <c r="BB4174" s="80" t="s">
        <v>20380</v>
      </c>
      <c r="BC4174" s="80" t="s">
        <v>19840</v>
      </c>
      <c r="BD4174" s="77">
        <v>106175018</v>
      </c>
      <c r="BE4174" s="77"/>
      <c r="BF4174" s="77"/>
      <c r="BG4174" s="77"/>
      <c r="BH4174" s="77"/>
      <c r="BI4174" s="77"/>
    </row>
    <row r="4175" spans="1:61" x14ac:dyDescent="0.25">
      <c r="A4175" s="62" t="s">
        <v>1655</v>
      </c>
      <c r="B4175" s="62" t="s">
        <v>1655</v>
      </c>
      <c r="C4175" s="63"/>
      <c r="D4175" s="64"/>
      <c r="E4175" s="65"/>
      <c r="F4175" s="66"/>
      <c r="G4175" s="63"/>
      <c r="H4175" s="67"/>
      <c r="I4175" s="68"/>
      <c r="J4175" s="68"/>
      <c r="K4175" s="32"/>
      <c r="L4175" s="75">
        <v>4175</v>
      </c>
      <c r="M4175" s="75"/>
      <c r="N4175" s="70"/>
      <c r="O4175" s="77" t="s">
        <v>179</v>
      </c>
      <c r="P4175" s="79">
        <v>45104.510416666664</v>
      </c>
      <c r="Q4175" s="77" t="s">
        <v>5770</v>
      </c>
      <c r="R4175" s="77">
        <v>2</v>
      </c>
      <c r="S4175" s="77">
        <v>34</v>
      </c>
      <c r="T4175" s="77">
        <v>6</v>
      </c>
      <c r="U4175" s="77">
        <v>1</v>
      </c>
      <c r="V4175" s="77">
        <v>6396</v>
      </c>
      <c r="W4175" s="80" t="s">
        <v>8512</v>
      </c>
      <c r="X4175" s="77"/>
      <c r="Y4175" s="77"/>
      <c r="Z4175" s="77"/>
      <c r="AA4175" s="77" t="s">
        <v>10484</v>
      </c>
      <c r="AB4175" s="77" t="s">
        <v>10534</v>
      </c>
      <c r="AC4175" s="80" t="s">
        <v>10554</v>
      </c>
      <c r="AD4175" s="77" t="s">
        <v>10617</v>
      </c>
      <c r="AE4175" s="83" t="str">
        <f>HYPERLINK("https://twitter.com/jovempannews/status/1673666235395891207")</f>
        <v>https://twitter.com/jovempannews/status/1673666235395891207</v>
      </c>
      <c r="AF4175" s="79">
        <v>45104.510416666664</v>
      </c>
      <c r="AG4175" s="85">
        <v>45104</v>
      </c>
      <c r="AH4175" s="80" t="s">
        <v>14238</v>
      </c>
      <c r="AI4175" s="77" t="b">
        <v>0</v>
      </c>
      <c r="AJ4175" s="77"/>
      <c r="AK4175" s="77"/>
      <c r="AL4175" s="77"/>
      <c r="AM4175" s="77"/>
      <c r="AN4175" s="77"/>
      <c r="AO4175" s="77"/>
      <c r="AP4175" s="77"/>
      <c r="AQ4175" s="77" t="s">
        <v>15962</v>
      </c>
      <c r="AR4175" s="77">
        <v>268544</v>
      </c>
      <c r="AS4175" s="77"/>
      <c r="AT4175" s="77"/>
      <c r="AU4175" s="77"/>
      <c r="AV4175" s="83" t="str">
        <f>HYPERLINK("https://pbs.twimg.com/amplify_video_thumb/1673658391154270208/img/hKUgvJENGUBm1mxD.jpg")</f>
        <v>https://pbs.twimg.com/amplify_video_thumb/1673658391154270208/img/hKUgvJENGUBm1mxD.jpg</v>
      </c>
      <c r="AW4175" s="80" t="s">
        <v>19841</v>
      </c>
      <c r="AX4175" s="80" t="s">
        <v>19841</v>
      </c>
      <c r="AY4175" s="77"/>
      <c r="AZ4175" s="80" t="s">
        <v>20380</v>
      </c>
      <c r="BA4175" s="80" t="s">
        <v>20380</v>
      </c>
      <c r="BB4175" s="80" t="s">
        <v>20380</v>
      </c>
      <c r="BC4175" s="80" t="s">
        <v>19841</v>
      </c>
      <c r="BD4175" s="77">
        <v>106175018</v>
      </c>
      <c r="BE4175" s="77"/>
      <c r="BF4175" s="77"/>
      <c r="BG4175" s="77"/>
      <c r="BH4175" s="77"/>
      <c r="BI4175" s="77"/>
    </row>
    <row r="4176" spans="1:61" x14ac:dyDescent="0.25">
      <c r="A4176" s="62" t="s">
        <v>1655</v>
      </c>
      <c r="B4176" s="62" t="s">
        <v>1655</v>
      </c>
      <c r="C4176" s="63"/>
      <c r="D4176" s="64"/>
      <c r="E4176" s="65"/>
      <c r="F4176" s="66"/>
      <c r="G4176" s="63"/>
      <c r="H4176" s="67"/>
      <c r="I4176" s="68"/>
      <c r="J4176" s="68"/>
      <c r="K4176" s="32"/>
      <c r="L4176" s="75">
        <v>4176</v>
      </c>
      <c r="M4176" s="75"/>
      <c r="N4176" s="70"/>
      <c r="O4176" s="77" t="s">
        <v>179</v>
      </c>
      <c r="P4176" s="79">
        <v>45090.455740740741</v>
      </c>
      <c r="Q4176" s="77" t="s">
        <v>5771</v>
      </c>
      <c r="R4176" s="77">
        <v>2</v>
      </c>
      <c r="S4176" s="77">
        <v>51</v>
      </c>
      <c r="T4176" s="77">
        <v>18</v>
      </c>
      <c r="U4176" s="77">
        <v>3</v>
      </c>
      <c r="V4176" s="77">
        <v>12953</v>
      </c>
      <c r="W4176" s="80" t="s">
        <v>8513</v>
      </c>
      <c r="X4176" s="77"/>
      <c r="Y4176" s="77"/>
      <c r="Z4176" s="77"/>
      <c r="AA4176" s="77" t="s">
        <v>10485</v>
      </c>
      <c r="AB4176" s="77" t="s">
        <v>10534</v>
      </c>
      <c r="AC4176" s="80" t="s">
        <v>10554</v>
      </c>
      <c r="AD4176" s="77" t="s">
        <v>10617</v>
      </c>
      <c r="AE4176" s="83" t="str">
        <f>HYPERLINK("https://twitter.com/jovempannews/status/1668572990630420481")</f>
        <v>https://twitter.com/jovempannews/status/1668572990630420481</v>
      </c>
      <c r="AF4176" s="79">
        <v>45090.455740740741</v>
      </c>
      <c r="AG4176" s="85">
        <v>45090</v>
      </c>
      <c r="AH4176" s="80" t="s">
        <v>14243</v>
      </c>
      <c r="AI4176" s="77" t="b">
        <v>0</v>
      </c>
      <c r="AJ4176" s="77"/>
      <c r="AK4176" s="77"/>
      <c r="AL4176" s="77"/>
      <c r="AM4176" s="77"/>
      <c r="AN4176" s="77"/>
      <c r="AO4176" s="77"/>
      <c r="AP4176" s="77"/>
      <c r="AQ4176" s="77" t="s">
        <v>15963</v>
      </c>
      <c r="AR4176" s="77">
        <v>177046</v>
      </c>
      <c r="AS4176" s="77"/>
      <c r="AT4176" s="77"/>
      <c r="AU4176" s="77"/>
      <c r="AV4176" s="83" t="str">
        <f>HYPERLINK("https://pbs.twimg.com/amplify_video_thumb/1668571790573027330/img/BRYRosAEmDEV4P6S.jpg")</f>
        <v>https://pbs.twimg.com/amplify_video_thumb/1668571790573027330/img/BRYRosAEmDEV4P6S.jpg</v>
      </c>
      <c r="AW4176" s="80" t="s">
        <v>19842</v>
      </c>
      <c r="AX4176" s="80" t="s">
        <v>19842</v>
      </c>
      <c r="AY4176" s="77"/>
      <c r="AZ4176" s="80" t="s">
        <v>20380</v>
      </c>
      <c r="BA4176" s="80" t="s">
        <v>20380</v>
      </c>
      <c r="BB4176" s="80" t="s">
        <v>20380</v>
      </c>
      <c r="BC4176" s="80" t="s">
        <v>19842</v>
      </c>
      <c r="BD4176" s="77">
        <v>106175018</v>
      </c>
      <c r="BE4176" s="77"/>
      <c r="BF4176" s="77"/>
      <c r="BG4176" s="77"/>
      <c r="BH4176" s="77"/>
      <c r="BI4176" s="77"/>
    </row>
    <row r="4177" spans="1:61" x14ac:dyDescent="0.25">
      <c r="A4177" s="62" t="s">
        <v>1655</v>
      </c>
      <c r="B4177" s="62" t="s">
        <v>1655</v>
      </c>
      <c r="C4177" s="63"/>
      <c r="D4177" s="64"/>
      <c r="E4177" s="65"/>
      <c r="F4177" s="66"/>
      <c r="G4177" s="63"/>
      <c r="H4177" s="67"/>
      <c r="I4177" s="68"/>
      <c r="J4177" s="68"/>
      <c r="K4177" s="32"/>
      <c r="L4177" s="75">
        <v>4177</v>
      </c>
      <c r="M4177" s="75"/>
      <c r="N4177" s="70"/>
      <c r="O4177" s="77" t="s">
        <v>179</v>
      </c>
      <c r="P4177" s="79">
        <v>45191.010416666664</v>
      </c>
      <c r="Q4177" s="77" t="s">
        <v>5772</v>
      </c>
      <c r="R4177" s="77">
        <v>57</v>
      </c>
      <c r="S4177" s="77">
        <v>216</v>
      </c>
      <c r="T4177" s="77">
        <v>9</v>
      </c>
      <c r="U4177" s="77">
        <v>1</v>
      </c>
      <c r="V4177" s="77">
        <v>9205</v>
      </c>
      <c r="W4177" s="80" t="s">
        <v>8514</v>
      </c>
      <c r="X4177" s="77"/>
      <c r="Y4177" s="77"/>
      <c r="Z4177" s="77"/>
      <c r="AA4177" s="77" t="s">
        <v>10486</v>
      </c>
      <c r="AB4177" s="77" t="s">
        <v>10534</v>
      </c>
      <c r="AC4177" s="80" t="s">
        <v>10571</v>
      </c>
      <c r="AD4177" s="77" t="s">
        <v>10617</v>
      </c>
      <c r="AE4177" s="83" t="str">
        <f>HYPERLINK("https://twitter.com/jovempannews/status/1705012785112072370")</f>
        <v>https://twitter.com/jovempannews/status/1705012785112072370</v>
      </c>
      <c r="AF4177" s="79">
        <v>45191.010416666664</v>
      </c>
      <c r="AG4177" s="85">
        <v>45191</v>
      </c>
      <c r="AH4177" s="80" t="s">
        <v>12411</v>
      </c>
      <c r="AI4177" s="77" t="b">
        <v>0</v>
      </c>
      <c r="AJ4177" s="77"/>
      <c r="AK4177" s="77"/>
      <c r="AL4177" s="77"/>
      <c r="AM4177" s="77"/>
      <c r="AN4177" s="77"/>
      <c r="AO4177" s="77"/>
      <c r="AP4177" s="77"/>
      <c r="AQ4177" s="77" t="s">
        <v>15964</v>
      </c>
      <c r="AR4177" s="77">
        <v>553360</v>
      </c>
      <c r="AS4177" s="77"/>
      <c r="AT4177" s="77"/>
      <c r="AU4177" s="77"/>
      <c r="AV4177" s="83" t="str">
        <f>HYPERLINK("https://pbs.twimg.com/amplify_video_thumb/1704984581827342336/img/1XjpsE2RIbH5-IOr.jpg")</f>
        <v>https://pbs.twimg.com/amplify_video_thumb/1704984581827342336/img/1XjpsE2RIbH5-IOr.jpg</v>
      </c>
      <c r="AW4177" s="80" t="s">
        <v>19843</v>
      </c>
      <c r="AX4177" s="80" t="s">
        <v>19843</v>
      </c>
      <c r="AY4177" s="77"/>
      <c r="AZ4177" s="80" t="s">
        <v>20380</v>
      </c>
      <c r="BA4177" s="80" t="s">
        <v>20380</v>
      </c>
      <c r="BB4177" s="80" t="s">
        <v>20380</v>
      </c>
      <c r="BC4177" s="80" t="s">
        <v>19843</v>
      </c>
      <c r="BD4177" s="77">
        <v>106175018</v>
      </c>
      <c r="BE4177" s="77"/>
      <c r="BF4177" s="77"/>
      <c r="BG4177" s="77"/>
      <c r="BH4177" s="77"/>
      <c r="BI4177" s="77"/>
    </row>
    <row r="4178" spans="1:61" x14ac:dyDescent="0.25">
      <c r="A4178" s="62" t="s">
        <v>1655</v>
      </c>
      <c r="B4178" s="62" t="s">
        <v>1655</v>
      </c>
      <c r="C4178" s="63"/>
      <c r="D4178" s="64"/>
      <c r="E4178" s="65"/>
      <c r="F4178" s="66"/>
      <c r="G4178" s="63"/>
      <c r="H4178" s="67"/>
      <c r="I4178" s="68"/>
      <c r="J4178" s="68"/>
      <c r="K4178" s="32"/>
      <c r="L4178" s="75">
        <v>4178</v>
      </c>
      <c r="M4178" s="75"/>
      <c r="N4178" s="70"/>
      <c r="O4178" s="77" t="s">
        <v>179</v>
      </c>
      <c r="P4178" s="79">
        <v>45190.989583333336</v>
      </c>
      <c r="Q4178" s="77" t="s">
        <v>5773</v>
      </c>
      <c r="R4178" s="77">
        <v>25</v>
      </c>
      <c r="S4178" s="77">
        <v>174</v>
      </c>
      <c r="T4178" s="77">
        <v>11</v>
      </c>
      <c r="U4178" s="77">
        <v>1</v>
      </c>
      <c r="V4178" s="77">
        <v>8631</v>
      </c>
      <c r="W4178" s="80" t="s">
        <v>8514</v>
      </c>
      <c r="X4178" s="77"/>
      <c r="Y4178" s="77"/>
      <c r="Z4178" s="77"/>
      <c r="AA4178" s="77" t="s">
        <v>10487</v>
      </c>
      <c r="AB4178" s="77" t="s">
        <v>10534</v>
      </c>
      <c r="AC4178" s="80" t="s">
        <v>10571</v>
      </c>
      <c r="AD4178" s="77" t="s">
        <v>10617</v>
      </c>
      <c r="AE4178" s="83" t="str">
        <f>HYPERLINK("https://twitter.com/jovempannews/status/1705005235331297459")</f>
        <v>https://twitter.com/jovempannews/status/1705005235331297459</v>
      </c>
      <c r="AF4178" s="79">
        <v>45190.989583333336</v>
      </c>
      <c r="AG4178" s="85">
        <v>45190</v>
      </c>
      <c r="AH4178" s="80" t="s">
        <v>14244</v>
      </c>
      <c r="AI4178" s="77" t="b">
        <v>0</v>
      </c>
      <c r="AJ4178" s="77"/>
      <c r="AK4178" s="77"/>
      <c r="AL4178" s="77"/>
      <c r="AM4178" s="77"/>
      <c r="AN4178" s="77"/>
      <c r="AO4178" s="77"/>
      <c r="AP4178" s="77"/>
      <c r="AQ4178" s="77" t="s">
        <v>15964</v>
      </c>
      <c r="AR4178" s="77">
        <v>553360</v>
      </c>
      <c r="AS4178" s="77"/>
      <c r="AT4178" s="77"/>
      <c r="AU4178" s="77"/>
      <c r="AV4178" s="83" t="str">
        <f>HYPERLINK("https://pbs.twimg.com/amplify_video_thumb/1704984581827342336/img/1XjpsE2RIbH5-IOr.jpg")</f>
        <v>https://pbs.twimg.com/amplify_video_thumb/1704984581827342336/img/1XjpsE2RIbH5-IOr.jpg</v>
      </c>
      <c r="AW4178" s="80" t="s">
        <v>19844</v>
      </c>
      <c r="AX4178" s="80" t="s">
        <v>19844</v>
      </c>
      <c r="AY4178" s="77"/>
      <c r="AZ4178" s="80" t="s">
        <v>20380</v>
      </c>
      <c r="BA4178" s="80" t="s">
        <v>20380</v>
      </c>
      <c r="BB4178" s="80" t="s">
        <v>20380</v>
      </c>
      <c r="BC4178" s="80" t="s">
        <v>19844</v>
      </c>
      <c r="BD4178" s="77">
        <v>106175018</v>
      </c>
      <c r="BE4178" s="77"/>
      <c r="BF4178" s="77"/>
      <c r="BG4178" s="77"/>
      <c r="BH4178" s="77"/>
      <c r="BI4178" s="77"/>
    </row>
    <row r="4179" spans="1:61" x14ac:dyDescent="0.25">
      <c r="A4179" s="62" t="s">
        <v>1655</v>
      </c>
      <c r="B4179" s="62" t="s">
        <v>1655</v>
      </c>
      <c r="C4179" s="63"/>
      <c r="D4179" s="64"/>
      <c r="E4179" s="65"/>
      <c r="F4179" s="66"/>
      <c r="G4179" s="63"/>
      <c r="H4179" s="67"/>
      <c r="I4179" s="68"/>
      <c r="J4179" s="68"/>
      <c r="K4179" s="32"/>
      <c r="L4179" s="75">
        <v>4179</v>
      </c>
      <c r="M4179" s="75"/>
      <c r="N4179" s="70"/>
      <c r="O4179" s="77" t="s">
        <v>179</v>
      </c>
      <c r="P4179" s="79">
        <v>45167.604166666664</v>
      </c>
      <c r="Q4179" s="77" t="s">
        <v>5774</v>
      </c>
      <c r="R4179" s="77">
        <v>2</v>
      </c>
      <c r="S4179" s="77">
        <v>28</v>
      </c>
      <c r="T4179" s="77">
        <v>1</v>
      </c>
      <c r="U4179" s="77">
        <v>0</v>
      </c>
      <c r="V4179" s="77">
        <v>3882</v>
      </c>
      <c r="W4179" s="80" t="s">
        <v>8515</v>
      </c>
      <c r="X4179" s="77"/>
      <c r="Y4179" s="77"/>
      <c r="Z4179" s="77"/>
      <c r="AA4179" s="77" t="s">
        <v>10488</v>
      </c>
      <c r="AB4179" s="77" t="s">
        <v>10534</v>
      </c>
      <c r="AC4179" s="80" t="s">
        <v>10554</v>
      </c>
      <c r="AD4179" s="77" t="s">
        <v>10617</v>
      </c>
      <c r="AE4179" s="83" t="str">
        <f>HYPERLINK("https://twitter.com/jovempannews/status/1696530644296421684")</f>
        <v>https://twitter.com/jovempannews/status/1696530644296421684</v>
      </c>
      <c r="AF4179" s="79">
        <v>45167.604166666664</v>
      </c>
      <c r="AG4179" s="85">
        <v>45167</v>
      </c>
      <c r="AH4179" s="80" t="s">
        <v>10855</v>
      </c>
      <c r="AI4179" s="77" t="b">
        <v>0</v>
      </c>
      <c r="AJ4179" s="77"/>
      <c r="AK4179" s="77"/>
      <c r="AL4179" s="77"/>
      <c r="AM4179" s="77"/>
      <c r="AN4179" s="77"/>
      <c r="AO4179" s="77"/>
      <c r="AP4179" s="77"/>
      <c r="AQ4179" s="77" t="s">
        <v>15965</v>
      </c>
      <c r="AR4179" s="77">
        <v>321000</v>
      </c>
      <c r="AS4179" s="77"/>
      <c r="AT4179" s="77"/>
      <c r="AU4179" s="77"/>
      <c r="AV4179" s="83" t="str">
        <f>HYPERLINK("https://pbs.twimg.com/amplify_video_thumb/1696498932430290945/img/hsMUThhmAf1csaze.jpg")</f>
        <v>https://pbs.twimg.com/amplify_video_thumb/1696498932430290945/img/hsMUThhmAf1csaze.jpg</v>
      </c>
      <c r="AW4179" s="80" t="s">
        <v>19845</v>
      </c>
      <c r="AX4179" s="80" t="s">
        <v>19845</v>
      </c>
      <c r="AY4179" s="77"/>
      <c r="AZ4179" s="80" t="s">
        <v>20380</v>
      </c>
      <c r="BA4179" s="80" t="s">
        <v>20380</v>
      </c>
      <c r="BB4179" s="80" t="s">
        <v>20380</v>
      </c>
      <c r="BC4179" s="80" t="s">
        <v>19845</v>
      </c>
      <c r="BD4179" s="77">
        <v>106175018</v>
      </c>
      <c r="BE4179" s="77"/>
      <c r="BF4179" s="77"/>
      <c r="BG4179" s="77"/>
      <c r="BH4179" s="77"/>
      <c r="BI4179" s="77"/>
    </row>
    <row r="4180" spans="1:61" x14ac:dyDescent="0.25">
      <c r="A4180" s="62" t="s">
        <v>1655</v>
      </c>
      <c r="B4180" s="62" t="s">
        <v>1655</v>
      </c>
      <c r="C4180" s="63"/>
      <c r="D4180" s="64"/>
      <c r="E4180" s="65"/>
      <c r="F4180" s="66"/>
      <c r="G4180" s="63"/>
      <c r="H4180" s="67"/>
      <c r="I4180" s="68"/>
      <c r="J4180" s="68"/>
      <c r="K4180" s="32"/>
      <c r="L4180" s="75">
        <v>4180</v>
      </c>
      <c r="M4180" s="75"/>
      <c r="N4180" s="70"/>
      <c r="O4180" s="77" t="s">
        <v>179</v>
      </c>
      <c r="P4180" s="79">
        <v>45096.3125</v>
      </c>
      <c r="Q4180" s="77" t="s">
        <v>5775</v>
      </c>
      <c r="R4180" s="77">
        <v>4</v>
      </c>
      <c r="S4180" s="77">
        <v>25</v>
      </c>
      <c r="T4180" s="77">
        <v>2</v>
      </c>
      <c r="U4180" s="77">
        <v>0</v>
      </c>
      <c r="V4180" s="77">
        <v>8372</v>
      </c>
      <c r="W4180" s="80" t="s">
        <v>8516</v>
      </c>
      <c r="X4180" s="77"/>
      <c r="Y4180" s="77"/>
      <c r="Z4180" s="77"/>
      <c r="AA4180" s="77" t="s">
        <v>10489</v>
      </c>
      <c r="AB4180" s="77" t="s">
        <v>10534</v>
      </c>
      <c r="AC4180" s="80" t="s">
        <v>10541</v>
      </c>
      <c r="AD4180" s="77" t="s">
        <v>10617</v>
      </c>
      <c r="AE4180" s="83" t="str">
        <f>HYPERLINK("https://twitter.com/jovempannews/status/1670695409508028416")</f>
        <v>https://twitter.com/jovempannews/status/1670695409508028416</v>
      </c>
      <c r="AF4180" s="79">
        <v>45096.3125</v>
      </c>
      <c r="AG4180" s="85">
        <v>45096</v>
      </c>
      <c r="AH4180" s="80" t="s">
        <v>14245</v>
      </c>
      <c r="AI4180" s="77" t="b">
        <v>0</v>
      </c>
      <c r="AJ4180" s="77"/>
      <c r="AK4180" s="77"/>
      <c r="AL4180" s="77"/>
      <c r="AM4180" s="77"/>
      <c r="AN4180" s="77"/>
      <c r="AO4180" s="77"/>
      <c r="AP4180" s="77"/>
      <c r="AQ4180" s="77" t="s">
        <v>15966</v>
      </c>
      <c r="AR4180" s="77">
        <v>463006</v>
      </c>
      <c r="AS4180" s="77"/>
      <c r="AT4180" s="77"/>
      <c r="AU4180" s="77"/>
      <c r="AV4180" s="83" t="str">
        <f>HYPERLINK("https://pbs.twimg.com/amplify_video_thumb/1670567587657269248/img/0a1fyle45wOgsiWZ.jpg")</f>
        <v>https://pbs.twimg.com/amplify_video_thumb/1670567587657269248/img/0a1fyle45wOgsiWZ.jpg</v>
      </c>
      <c r="AW4180" s="80" t="s">
        <v>19846</v>
      </c>
      <c r="AX4180" s="80" t="s">
        <v>19846</v>
      </c>
      <c r="AY4180" s="77"/>
      <c r="AZ4180" s="80" t="s">
        <v>20380</v>
      </c>
      <c r="BA4180" s="80" t="s">
        <v>20380</v>
      </c>
      <c r="BB4180" s="80" t="s">
        <v>20380</v>
      </c>
      <c r="BC4180" s="80" t="s">
        <v>19846</v>
      </c>
      <c r="BD4180" s="77">
        <v>106175018</v>
      </c>
      <c r="BE4180" s="77"/>
      <c r="BF4180" s="77"/>
      <c r="BG4180" s="77"/>
      <c r="BH4180" s="77"/>
      <c r="BI4180" s="77"/>
    </row>
    <row r="4181" spans="1:61" x14ac:dyDescent="0.25">
      <c r="A4181" s="62" t="s">
        <v>1655</v>
      </c>
      <c r="B4181" s="62" t="s">
        <v>1655</v>
      </c>
      <c r="C4181" s="63"/>
      <c r="D4181" s="64"/>
      <c r="E4181" s="65"/>
      <c r="F4181" s="66"/>
      <c r="G4181" s="63"/>
      <c r="H4181" s="67"/>
      <c r="I4181" s="68"/>
      <c r="J4181" s="68"/>
      <c r="K4181" s="32"/>
      <c r="L4181" s="75">
        <v>4181</v>
      </c>
      <c r="M4181" s="75"/>
      <c r="N4181" s="70"/>
      <c r="O4181" s="77" t="s">
        <v>179</v>
      </c>
      <c r="P4181" s="79">
        <v>45096.239583333336</v>
      </c>
      <c r="Q4181" s="77" t="s">
        <v>5776</v>
      </c>
      <c r="R4181" s="77">
        <v>4</v>
      </c>
      <c r="S4181" s="77">
        <v>50</v>
      </c>
      <c r="T4181" s="77">
        <v>0</v>
      </c>
      <c r="U4181" s="77">
        <v>0</v>
      </c>
      <c r="V4181" s="77">
        <v>7991</v>
      </c>
      <c r="W4181" s="80" t="s">
        <v>8517</v>
      </c>
      <c r="X4181" s="77"/>
      <c r="Y4181" s="77"/>
      <c r="Z4181" s="77"/>
      <c r="AA4181" s="77" t="s">
        <v>10490</v>
      </c>
      <c r="AB4181" s="77" t="s">
        <v>10534</v>
      </c>
      <c r="AC4181" s="80" t="s">
        <v>10541</v>
      </c>
      <c r="AD4181" s="77" t="s">
        <v>10617</v>
      </c>
      <c r="AE4181" s="83" t="str">
        <f>HYPERLINK("https://twitter.com/jovempannews/status/1670668985099227137")</f>
        <v>https://twitter.com/jovempannews/status/1670668985099227137</v>
      </c>
      <c r="AF4181" s="79">
        <v>45096.239583333336</v>
      </c>
      <c r="AG4181" s="85">
        <v>45096</v>
      </c>
      <c r="AH4181" s="80" t="s">
        <v>14246</v>
      </c>
      <c r="AI4181" s="77" t="b">
        <v>0</v>
      </c>
      <c r="AJ4181" s="77"/>
      <c r="AK4181" s="77"/>
      <c r="AL4181" s="77"/>
      <c r="AM4181" s="77"/>
      <c r="AN4181" s="77"/>
      <c r="AO4181" s="77"/>
      <c r="AP4181" s="77"/>
      <c r="AQ4181" s="77" t="s">
        <v>15967</v>
      </c>
      <c r="AR4181" s="77">
        <v>434633</v>
      </c>
      <c r="AS4181" s="77"/>
      <c r="AT4181" s="77"/>
      <c r="AU4181" s="77"/>
      <c r="AV4181" s="83" t="str">
        <f>HYPERLINK("https://pbs.twimg.com/amplify_video_thumb/1670572419235344385/img/AY18S6UtifY-vmOT.jpg")</f>
        <v>https://pbs.twimg.com/amplify_video_thumb/1670572419235344385/img/AY18S6UtifY-vmOT.jpg</v>
      </c>
      <c r="AW4181" s="80" t="s">
        <v>19847</v>
      </c>
      <c r="AX4181" s="80" t="s">
        <v>19847</v>
      </c>
      <c r="AY4181" s="77"/>
      <c r="AZ4181" s="80" t="s">
        <v>20380</v>
      </c>
      <c r="BA4181" s="80" t="s">
        <v>20380</v>
      </c>
      <c r="BB4181" s="80" t="s">
        <v>20380</v>
      </c>
      <c r="BC4181" s="80" t="s">
        <v>19847</v>
      </c>
      <c r="BD4181" s="77">
        <v>106175018</v>
      </c>
      <c r="BE4181" s="77"/>
      <c r="BF4181" s="77"/>
      <c r="BG4181" s="77"/>
      <c r="BH4181" s="77"/>
      <c r="BI4181" s="77"/>
    </row>
    <row r="4182" spans="1:61" x14ac:dyDescent="0.25">
      <c r="A4182" s="62" t="s">
        <v>1655</v>
      </c>
      <c r="B4182" s="62" t="s">
        <v>1655</v>
      </c>
      <c r="C4182" s="63"/>
      <c r="D4182" s="64"/>
      <c r="E4182" s="65"/>
      <c r="F4182" s="66"/>
      <c r="G4182" s="63"/>
      <c r="H4182" s="67"/>
      <c r="I4182" s="68"/>
      <c r="J4182" s="68"/>
      <c r="K4182" s="32"/>
      <c r="L4182" s="75">
        <v>4182</v>
      </c>
      <c r="M4182" s="75"/>
      <c r="N4182" s="70"/>
      <c r="O4182" s="77" t="s">
        <v>179</v>
      </c>
      <c r="P4182" s="79">
        <v>45196.892384259256</v>
      </c>
      <c r="Q4182" s="77" t="s">
        <v>5777</v>
      </c>
      <c r="R4182" s="77">
        <v>2</v>
      </c>
      <c r="S4182" s="77">
        <v>15</v>
      </c>
      <c r="T4182" s="77">
        <v>1</v>
      </c>
      <c r="U4182" s="77">
        <v>0</v>
      </c>
      <c r="V4182" s="77">
        <v>4752</v>
      </c>
      <c r="W4182" s="80" t="s">
        <v>8518</v>
      </c>
      <c r="X4182" s="77"/>
      <c r="Y4182" s="77"/>
      <c r="Z4182" s="77"/>
      <c r="AA4182" s="77" t="s">
        <v>10491</v>
      </c>
      <c r="AB4182" s="77" t="s">
        <v>10534</v>
      </c>
      <c r="AC4182" s="80" t="s">
        <v>10541</v>
      </c>
      <c r="AD4182" s="77" t="s">
        <v>10617</v>
      </c>
      <c r="AE4182" s="83" t="str">
        <f>HYPERLINK("https://twitter.com/jovempannews/status/1707144341666328999")</f>
        <v>https://twitter.com/jovempannews/status/1707144341666328999</v>
      </c>
      <c r="AF4182" s="79">
        <v>45196.892384259256</v>
      </c>
      <c r="AG4182" s="85">
        <v>45196</v>
      </c>
      <c r="AH4182" s="80" t="s">
        <v>14247</v>
      </c>
      <c r="AI4182" s="77" t="b">
        <v>0</v>
      </c>
      <c r="AJ4182" s="77"/>
      <c r="AK4182" s="77"/>
      <c r="AL4182" s="77"/>
      <c r="AM4182" s="77"/>
      <c r="AN4182" s="77"/>
      <c r="AO4182" s="77"/>
      <c r="AP4182" s="77"/>
      <c r="AQ4182" s="77" t="s">
        <v>15968</v>
      </c>
      <c r="AR4182" s="77">
        <v>432120</v>
      </c>
      <c r="AS4182" s="77"/>
      <c r="AT4182" s="77"/>
      <c r="AU4182" s="77"/>
      <c r="AV4182" s="83" t="str">
        <f>HYPERLINK("https://pbs.twimg.com/ext_tw_video_thumb/1707141368986931200/pu/img/sYHjOxYavB3oNmtT.jpg")</f>
        <v>https://pbs.twimg.com/ext_tw_video_thumb/1707141368986931200/pu/img/sYHjOxYavB3oNmtT.jpg</v>
      </c>
      <c r="AW4182" s="80" t="s">
        <v>19848</v>
      </c>
      <c r="AX4182" s="80" t="s">
        <v>19848</v>
      </c>
      <c r="AY4182" s="77"/>
      <c r="AZ4182" s="80" t="s">
        <v>20380</v>
      </c>
      <c r="BA4182" s="80" t="s">
        <v>20380</v>
      </c>
      <c r="BB4182" s="80" t="s">
        <v>20380</v>
      </c>
      <c r="BC4182" s="80" t="s">
        <v>19848</v>
      </c>
      <c r="BD4182" s="77">
        <v>106175018</v>
      </c>
      <c r="BE4182" s="77"/>
      <c r="BF4182" s="77"/>
      <c r="BG4182" s="77"/>
      <c r="BH4182" s="77"/>
      <c r="BI4182" s="77"/>
    </row>
    <row r="4183" spans="1:61" x14ac:dyDescent="0.25">
      <c r="A4183" s="62" t="s">
        <v>1655</v>
      </c>
      <c r="B4183" s="62" t="s">
        <v>1655</v>
      </c>
      <c r="C4183" s="63"/>
      <c r="D4183" s="64"/>
      <c r="E4183" s="65"/>
      <c r="F4183" s="66"/>
      <c r="G4183" s="63"/>
      <c r="H4183" s="67"/>
      <c r="I4183" s="68"/>
      <c r="J4183" s="68"/>
      <c r="K4183" s="32"/>
      <c r="L4183" s="75">
        <v>4183</v>
      </c>
      <c r="M4183" s="75"/>
      <c r="N4183" s="70"/>
      <c r="O4183" s="77" t="s">
        <v>179</v>
      </c>
      <c r="P4183" s="79">
        <v>45171.722222222219</v>
      </c>
      <c r="Q4183" s="77" t="s">
        <v>5778</v>
      </c>
      <c r="R4183" s="77">
        <v>3</v>
      </c>
      <c r="S4183" s="77">
        <v>19</v>
      </c>
      <c r="T4183" s="77">
        <v>2</v>
      </c>
      <c r="U4183" s="77">
        <v>0</v>
      </c>
      <c r="V4183" s="77">
        <v>5324</v>
      </c>
      <c r="W4183" s="80" t="s">
        <v>8519</v>
      </c>
      <c r="X4183" s="77"/>
      <c r="Y4183" s="77"/>
      <c r="Z4183" s="77"/>
      <c r="AA4183" s="77" t="s">
        <v>10492</v>
      </c>
      <c r="AB4183" s="77" t="s">
        <v>10534</v>
      </c>
      <c r="AC4183" s="80" t="s">
        <v>10571</v>
      </c>
      <c r="AD4183" s="77" t="s">
        <v>10617</v>
      </c>
      <c r="AE4183" s="83" t="str">
        <f>HYPERLINK("https://twitter.com/jovempannews/status/1698022977403547999")</f>
        <v>https://twitter.com/jovempannews/status/1698022977403547999</v>
      </c>
      <c r="AF4183" s="79">
        <v>45171.722222222219</v>
      </c>
      <c r="AG4183" s="85">
        <v>45171</v>
      </c>
      <c r="AH4183" s="80" t="s">
        <v>11520</v>
      </c>
      <c r="AI4183" s="77" t="b">
        <v>0</v>
      </c>
      <c r="AJ4183" s="77"/>
      <c r="AK4183" s="77"/>
      <c r="AL4183" s="77"/>
      <c r="AM4183" s="77"/>
      <c r="AN4183" s="77"/>
      <c r="AO4183" s="77"/>
      <c r="AP4183" s="77"/>
      <c r="AQ4183" s="77" t="s">
        <v>15969</v>
      </c>
      <c r="AR4183" s="77">
        <v>145420</v>
      </c>
      <c r="AS4183" s="77"/>
      <c r="AT4183" s="77"/>
      <c r="AU4183" s="77"/>
      <c r="AV4183" s="83" t="str">
        <f>HYPERLINK("https://pbs.twimg.com/amplify_video_thumb/1698012218879574016/img/fh6kfw0wzVKMRQoh.jpg")</f>
        <v>https://pbs.twimg.com/amplify_video_thumb/1698012218879574016/img/fh6kfw0wzVKMRQoh.jpg</v>
      </c>
      <c r="AW4183" s="80" t="s">
        <v>19849</v>
      </c>
      <c r="AX4183" s="80" t="s">
        <v>19849</v>
      </c>
      <c r="AY4183" s="77"/>
      <c r="AZ4183" s="80" t="s">
        <v>20380</v>
      </c>
      <c r="BA4183" s="80" t="s">
        <v>20380</v>
      </c>
      <c r="BB4183" s="80" t="s">
        <v>20380</v>
      </c>
      <c r="BC4183" s="80" t="s">
        <v>19849</v>
      </c>
      <c r="BD4183" s="77">
        <v>106175018</v>
      </c>
      <c r="BE4183" s="77"/>
      <c r="BF4183" s="77"/>
      <c r="BG4183" s="77"/>
      <c r="BH4183" s="77"/>
      <c r="BI4183" s="77"/>
    </row>
    <row r="4184" spans="1:61" x14ac:dyDescent="0.25">
      <c r="A4184" s="62" t="s">
        <v>1655</v>
      </c>
      <c r="B4184" s="62" t="s">
        <v>1655</v>
      </c>
      <c r="C4184" s="63"/>
      <c r="D4184" s="64"/>
      <c r="E4184" s="65"/>
      <c r="F4184" s="66"/>
      <c r="G4184" s="63"/>
      <c r="H4184" s="67"/>
      <c r="I4184" s="68"/>
      <c r="J4184" s="68"/>
      <c r="K4184" s="32"/>
      <c r="L4184" s="75">
        <v>4184</v>
      </c>
      <c r="M4184" s="75"/>
      <c r="N4184" s="70"/>
      <c r="O4184" s="77" t="s">
        <v>179</v>
      </c>
      <c r="P4184" s="79">
        <v>45113.53125</v>
      </c>
      <c r="Q4184" s="77" t="s">
        <v>5779</v>
      </c>
      <c r="R4184" s="77">
        <v>8</v>
      </c>
      <c r="S4184" s="77">
        <v>47</v>
      </c>
      <c r="T4184" s="77">
        <v>3</v>
      </c>
      <c r="U4184" s="77">
        <v>0</v>
      </c>
      <c r="V4184" s="77">
        <v>6323</v>
      </c>
      <c r="W4184" s="80" t="s">
        <v>8520</v>
      </c>
      <c r="X4184" s="77"/>
      <c r="Y4184" s="77"/>
      <c r="Z4184" s="77"/>
      <c r="AA4184" s="77" t="s">
        <v>10493</v>
      </c>
      <c r="AB4184" s="77" t="s">
        <v>10534</v>
      </c>
      <c r="AC4184" s="80" t="s">
        <v>10554</v>
      </c>
      <c r="AD4184" s="77" t="s">
        <v>10617</v>
      </c>
      <c r="AE4184" s="83" t="str">
        <f>HYPERLINK("https://twitter.com/jovempannews/status/1676935275191189506")</f>
        <v>https://twitter.com/jovempannews/status/1676935275191189506</v>
      </c>
      <c r="AF4184" s="79">
        <v>45113.53125</v>
      </c>
      <c r="AG4184" s="85">
        <v>45113</v>
      </c>
      <c r="AH4184" s="80" t="s">
        <v>10881</v>
      </c>
      <c r="AI4184" s="77" t="b">
        <v>0</v>
      </c>
      <c r="AJ4184" s="77"/>
      <c r="AK4184" s="77"/>
      <c r="AL4184" s="77"/>
      <c r="AM4184" s="77"/>
      <c r="AN4184" s="77"/>
      <c r="AO4184" s="77"/>
      <c r="AP4184" s="77"/>
      <c r="AQ4184" s="77" t="s">
        <v>15970</v>
      </c>
      <c r="AR4184" s="77">
        <v>110166</v>
      </c>
      <c r="AS4184" s="77"/>
      <c r="AT4184" s="77"/>
      <c r="AU4184" s="77"/>
      <c r="AV4184" s="83" t="str">
        <f>HYPERLINK("https://pbs.twimg.com/amplify_video_thumb/1676912665854201856/img/9AIvFh6-Nm4ybzep.jpg")</f>
        <v>https://pbs.twimg.com/amplify_video_thumb/1676912665854201856/img/9AIvFh6-Nm4ybzep.jpg</v>
      </c>
      <c r="AW4184" s="80" t="s">
        <v>19850</v>
      </c>
      <c r="AX4184" s="80" t="s">
        <v>19850</v>
      </c>
      <c r="AY4184" s="77"/>
      <c r="AZ4184" s="80" t="s">
        <v>20380</v>
      </c>
      <c r="BA4184" s="80" t="s">
        <v>20380</v>
      </c>
      <c r="BB4184" s="80" t="s">
        <v>20380</v>
      </c>
      <c r="BC4184" s="80" t="s">
        <v>19850</v>
      </c>
      <c r="BD4184" s="77">
        <v>106175018</v>
      </c>
      <c r="BE4184" s="77"/>
      <c r="BF4184" s="77"/>
      <c r="BG4184" s="77"/>
      <c r="BH4184" s="77"/>
      <c r="BI4184" s="77"/>
    </row>
    <row r="4185" spans="1:61" x14ac:dyDescent="0.25">
      <c r="A4185" s="62" t="s">
        <v>1655</v>
      </c>
      <c r="B4185" s="62" t="s">
        <v>1655</v>
      </c>
      <c r="C4185" s="63"/>
      <c r="D4185" s="64"/>
      <c r="E4185" s="65"/>
      <c r="F4185" s="66"/>
      <c r="G4185" s="63"/>
      <c r="H4185" s="67"/>
      <c r="I4185" s="68"/>
      <c r="J4185" s="68"/>
      <c r="K4185" s="32"/>
      <c r="L4185" s="75">
        <v>4185</v>
      </c>
      <c r="M4185" s="75"/>
      <c r="N4185" s="70"/>
      <c r="O4185" s="77" t="s">
        <v>179</v>
      </c>
      <c r="P4185" s="79">
        <v>45080.520844907405</v>
      </c>
      <c r="Q4185" s="77" t="s">
        <v>5780</v>
      </c>
      <c r="R4185" s="77">
        <v>10</v>
      </c>
      <c r="S4185" s="77">
        <v>115</v>
      </c>
      <c r="T4185" s="77">
        <v>4</v>
      </c>
      <c r="U4185" s="77">
        <v>3</v>
      </c>
      <c r="V4185" s="77">
        <v>10439</v>
      </c>
      <c r="W4185" s="80" t="s">
        <v>8521</v>
      </c>
      <c r="X4185" s="77"/>
      <c r="Y4185" s="77"/>
      <c r="Z4185" s="77"/>
      <c r="AA4185" s="77" t="s">
        <v>10494</v>
      </c>
      <c r="AB4185" s="77" t="s">
        <v>10534</v>
      </c>
      <c r="AC4185" s="80" t="s">
        <v>10554</v>
      </c>
      <c r="AD4185" s="77" t="s">
        <v>10617</v>
      </c>
      <c r="AE4185" s="83" t="str">
        <f>HYPERLINK("https://twitter.com/jovempannews/status/1664972704347193347")</f>
        <v>https://twitter.com/jovempannews/status/1664972704347193347</v>
      </c>
      <c r="AF4185" s="79">
        <v>45080.520844907405</v>
      </c>
      <c r="AG4185" s="85">
        <v>45080</v>
      </c>
      <c r="AH4185" s="80" t="s">
        <v>11298</v>
      </c>
      <c r="AI4185" s="77" t="b">
        <v>0</v>
      </c>
      <c r="AJ4185" s="77"/>
      <c r="AK4185" s="77"/>
      <c r="AL4185" s="77"/>
      <c r="AM4185" s="77"/>
      <c r="AN4185" s="77"/>
      <c r="AO4185" s="77"/>
      <c r="AP4185" s="77"/>
      <c r="AQ4185" s="77" t="s">
        <v>15971</v>
      </c>
      <c r="AR4185" s="77">
        <v>120000</v>
      </c>
      <c r="AS4185" s="77"/>
      <c r="AT4185" s="77"/>
      <c r="AU4185" s="77"/>
      <c r="AV4185" s="83" t="str">
        <f>HYPERLINK("https://pbs.twimg.com/amplify_video_thumb/1664961031494590465/img/IuFLtT3SWPOgmIM1.jpg")</f>
        <v>https://pbs.twimg.com/amplify_video_thumb/1664961031494590465/img/IuFLtT3SWPOgmIM1.jpg</v>
      </c>
      <c r="AW4185" s="80" t="s">
        <v>19851</v>
      </c>
      <c r="AX4185" s="80" t="s">
        <v>19851</v>
      </c>
      <c r="AY4185" s="77"/>
      <c r="AZ4185" s="80" t="s">
        <v>20380</v>
      </c>
      <c r="BA4185" s="80" t="s">
        <v>20380</v>
      </c>
      <c r="BB4185" s="80" t="s">
        <v>20380</v>
      </c>
      <c r="BC4185" s="80" t="s">
        <v>19851</v>
      </c>
      <c r="BD4185" s="77">
        <v>106175018</v>
      </c>
      <c r="BE4185" s="77"/>
      <c r="BF4185" s="77"/>
      <c r="BG4185" s="77"/>
      <c r="BH4185" s="77"/>
      <c r="BI4185" s="77"/>
    </row>
    <row r="4186" spans="1:61" x14ac:dyDescent="0.25">
      <c r="A4186" s="62" t="s">
        <v>1656</v>
      </c>
      <c r="B4186" s="62" t="s">
        <v>1656</v>
      </c>
      <c r="C4186" s="63"/>
      <c r="D4186" s="64"/>
      <c r="E4186" s="65"/>
      <c r="F4186" s="66"/>
      <c r="G4186" s="63"/>
      <c r="H4186" s="67"/>
      <c r="I4186" s="68"/>
      <c r="J4186" s="68"/>
      <c r="K4186" s="32"/>
      <c r="L4186" s="75">
        <v>4186</v>
      </c>
      <c r="M4186" s="75"/>
      <c r="N4186" s="70"/>
      <c r="O4186" s="77" t="s">
        <v>179</v>
      </c>
      <c r="P4186" s="79">
        <v>45135.000011574077</v>
      </c>
      <c r="Q4186" s="77" t="s">
        <v>5781</v>
      </c>
      <c r="R4186" s="77">
        <v>0</v>
      </c>
      <c r="S4186" s="77">
        <v>0</v>
      </c>
      <c r="T4186" s="77">
        <v>0</v>
      </c>
      <c r="U4186" s="77">
        <v>0</v>
      </c>
      <c r="V4186" s="77">
        <v>22</v>
      </c>
      <c r="W4186" s="80" t="s">
        <v>8522</v>
      </c>
      <c r="X4186" s="83" t="str">
        <f>HYPERLINK("https://correiodeminas.com.br/2023/07/27/banco-central-emite-grande-alerta-aos-brasileiros/")</f>
        <v>https://correiodeminas.com.br/2023/07/27/banco-central-emite-grande-alerta-aos-brasileiros/</v>
      </c>
      <c r="Y4186" s="77" t="s">
        <v>8611</v>
      </c>
      <c r="Z4186" s="77"/>
      <c r="AA4186" s="77" t="s">
        <v>10495</v>
      </c>
      <c r="AB4186" s="77" t="s">
        <v>10535</v>
      </c>
      <c r="AC4186" s="80" t="s">
        <v>10541</v>
      </c>
      <c r="AD4186" s="77" t="s">
        <v>10617</v>
      </c>
      <c r="AE4186" s="83" t="str">
        <f>HYPERLINK("https://twitter.com/correiodeminas/status/1684715296492589056")</f>
        <v>https://twitter.com/correiodeminas/status/1684715296492589056</v>
      </c>
      <c r="AF4186" s="79">
        <v>45135.000011574077</v>
      </c>
      <c r="AG4186" s="85">
        <v>45135</v>
      </c>
      <c r="AH4186" s="80" t="s">
        <v>11210</v>
      </c>
      <c r="AI4186" s="77" t="b">
        <v>0</v>
      </c>
      <c r="AJ4186" s="77"/>
      <c r="AK4186" s="77"/>
      <c r="AL4186" s="77"/>
      <c r="AM4186" s="77"/>
      <c r="AN4186" s="77"/>
      <c r="AO4186" s="77"/>
      <c r="AP4186" s="77"/>
      <c r="AQ4186" s="77" t="s">
        <v>15972</v>
      </c>
      <c r="AR4186" s="77"/>
      <c r="AS4186" s="77"/>
      <c r="AT4186" s="77"/>
      <c r="AU4186" s="77"/>
      <c r="AV4186" s="83" t="str">
        <f>HYPERLINK("https://pbs.twimg.com/media/F2EN2JoXoAAimBo.jpg")</f>
        <v>https://pbs.twimg.com/media/F2EN2JoXoAAimBo.jpg</v>
      </c>
      <c r="AW4186" s="80" t="s">
        <v>19852</v>
      </c>
      <c r="AX4186" s="80" t="s">
        <v>19852</v>
      </c>
      <c r="AY4186" s="77"/>
      <c r="AZ4186" s="80" t="s">
        <v>20380</v>
      </c>
      <c r="BA4186" s="80" t="s">
        <v>20380</v>
      </c>
      <c r="BB4186" s="80" t="s">
        <v>20380</v>
      </c>
      <c r="BC4186" s="80" t="s">
        <v>19852</v>
      </c>
      <c r="BD4186" s="77">
        <v>119024617</v>
      </c>
      <c r="BE4186" s="77"/>
      <c r="BF4186" s="77"/>
      <c r="BG4186" s="77"/>
      <c r="BH4186" s="77"/>
      <c r="BI4186" s="77"/>
    </row>
    <row r="4187" spans="1:61" x14ac:dyDescent="0.25">
      <c r="A4187" s="62" t="s">
        <v>1656</v>
      </c>
      <c r="B4187" s="62" t="s">
        <v>1656</v>
      </c>
      <c r="C4187" s="63"/>
      <c r="D4187" s="64"/>
      <c r="E4187" s="65"/>
      <c r="F4187" s="66"/>
      <c r="G4187" s="63"/>
      <c r="H4187" s="67"/>
      <c r="I4187" s="68"/>
      <c r="J4187" s="68"/>
      <c r="K4187" s="32"/>
      <c r="L4187" s="75">
        <v>4187</v>
      </c>
      <c r="M4187" s="75"/>
      <c r="N4187" s="70"/>
      <c r="O4187" s="77" t="s">
        <v>179</v>
      </c>
      <c r="P4187" s="79">
        <v>45166.916666666664</v>
      </c>
      <c r="Q4187" s="77" t="s">
        <v>5782</v>
      </c>
      <c r="R4187" s="77">
        <v>0</v>
      </c>
      <c r="S4187" s="77">
        <v>0</v>
      </c>
      <c r="T4187" s="77">
        <v>0</v>
      </c>
      <c r="U4187" s="77">
        <v>0</v>
      </c>
      <c r="V4187" s="77">
        <v>21</v>
      </c>
      <c r="W4187" s="80" t="s">
        <v>8523</v>
      </c>
      <c r="X4187" s="83" t="str">
        <f>HYPERLINK("https://correiodeminas.com.br/2023/08/28/banco-central-faz-comunicado-importantissimo-para-todos-os-brasileiros/")</f>
        <v>https://correiodeminas.com.br/2023/08/28/banco-central-faz-comunicado-importantissimo-para-todos-os-brasileiros/</v>
      </c>
      <c r="Y4187" s="77" t="s">
        <v>8611</v>
      </c>
      <c r="Z4187" s="77"/>
      <c r="AA4187" s="77" t="s">
        <v>10496</v>
      </c>
      <c r="AB4187" s="77" t="s">
        <v>10535</v>
      </c>
      <c r="AC4187" s="80" t="s">
        <v>10541</v>
      </c>
      <c r="AD4187" s="77" t="s">
        <v>10617</v>
      </c>
      <c r="AE4187" s="83" t="str">
        <f>HYPERLINK("https://twitter.com/correiodeminas/status/1696281503779733914")</f>
        <v>https://twitter.com/correiodeminas/status/1696281503779733914</v>
      </c>
      <c r="AF4187" s="79">
        <v>45166.916666666664</v>
      </c>
      <c r="AG4187" s="85">
        <v>45166</v>
      </c>
      <c r="AH4187" s="80" t="s">
        <v>14248</v>
      </c>
      <c r="AI4187" s="77" t="b">
        <v>0</v>
      </c>
      <c r="AJ4187" s="77"/>
      <c r="AK4187" s="77"/>
      <c r="AL4187" s="77"/>
      <c r="AM4187" s="77"/>
      <c r="AN4187" s="77"/>
      <c r="AO4187" s="77"/>
      <c r="AP4187" s="77"/>
      <c r="AQ4187" s="77" t="s">
        <v>15973</v>
      </c>
      <c r="AR4187" s="77"/>
      <c r="AS4187" s="77"/>
      <c r="AT4187" s="77"/>
      <c r="AU4187" s="77"/>
      <c r="AV4187" s="83" t="str">
        <f>HYPERLINK("https://pbs.twimg.com/media/F4oxudOWoAAo-v2.jpg")</f>
        <v>https://pbs.twimg.com/media/F4oxudOWoAAo-v2.jpg</v>
      </c>
      <c r="AW4187" s="80" t="s">
        <v>19853</v>
      </c>
      <c r="AX4187" s="80" t="s">
        <v>19853</v>
      </c>
      <c r="AY4187" s="77"/>
      <c r="AZ4187" s="80" t="s">
        <v>20380</v>
      </c>
      <c r="BA4187" s="80" t="s">
        <v>20380</v>
      </c>
      <c r="BB4187" s="80" t="s">
        <v>20380</v>
      </c>
      <c r="BC4187" s="80" t="s">
        <v>19853</v>
      </c>
      <c r="BD4187" s="77">
        <v>119024617</v>
      </c>
      <c r="BE4187" s="77"/>
      <c r="BF4187" s="77"/>
      <c r="BG4187" s="77"/>
      <c r="BH4187" s="77"/>
      <c r="BI4187" s="77"/>
    </row>
    <row r="4188" spans="1:61" x14ac:dyDescent="0.25">
      <c r="A4188" s="62" t="s">
        <v>1657</v>
      </c>
      <c r="B4188" s="62" t="s">
        <v>1657</v>
      </c>
      <c r="C4188" s="63"/>
      <c r="D4188" s="64"/>
      <c r="E4188" s="65"/>
      <c r="F4188" s="66"/>
      <c r="G4188" s="63"/>
      <c r="H4188" s="67"/>
      <c r="I4188" s="68"/>
      <c r="J4188" s="68"/>
      <c r="K4188" s="32"/>
      <c r="L4188" s="75">
        <v>4188</v>
      </c>
      <c r="M4188" s="75"/>
      <c r="N4188" s="70"/>
      <c r="O4188" s="77" t="s">
        <v>2078</v>
      </c>
      <c r="P4188" s="79">
        <v>45173.656458333331</v>
      </c>
      <c r="Q4188" s="77" t="s">
        <v>5783</v>
      </c>
      <c r="R4188" s="77">
        <v>0</v>
      </c>
      <c r="S4188" s="77">
        <v>0</v>
      </c>
      <c r="T4188" s="77">
        <v>0</v>
      </c>
      <c r="U4188" s="77">
        <v>0</v>
      </c>
      <c r="V4188" s="77">
        <v>85</v>
      </c>
      <c r="W4188" s="80" t="s">
        <v>8524</v>
      </c>
      <c r="X4188" s="77"/>
      <c r="Y4188" s="77"/>
      <c r="Z4188" s="77" t="s">
        <v>1669</v>
      </c>
      <c r="AA4188" s="77"/>
      <c r="AB4188" s="77"/>
      <c r="AC4188" s="80" t="s">
        <v>10540</v>
      </c>
      <c r="AD4188" s="77" t="s">
        <v>10619</v>
      </c>
      <c r="AE4188" s="83" t="str">
        <f>HYPERLINK("https://twitter.com/strip_delpoder/status/1698723922064081129")</f>
        <v>https://twitter.com/strip_delpoder/status/1698723922064081129</v>
      </c>
      <c r="AF4188" s="79">
        <v>45173.656458333331</v>
      </c>
      <c r="AG4188" s="85">
        <v>45173</v>
      </c>
      <c r="AH4188" s="80" t="s">
        <v>14249</v>
      </c>
      <c r="AI4188" s="77"/>
      <c r="AJ4188" s="77"/>
      <c r="AK4188" s="77"/>
      <c r="AL4188" s="77"/>
      <c r="AM4188" s="77"/>
      <c r="AN4188" s="77"/>
      <c r="AO4188" s="77"/>
      <c r="AP4188" s="77"/>
      <c r="AQ4188" s="77"/>
      <c r="AR4188" s="77"/>
      <c r="AS4188" s="77"/>
      <c r="AT4188" s="77"/>
      <c r="AU4188" s="77"/>
      <c r="AV4188" s="83" t="str">
        <f>HYPERLINK("https://pbs.twimg.com/profile_images/773151366814523392/PSEEUy7J_normal.jpg")</f>
        <v>https://pbs.twimg.com/profile_images/773151366814523392/PSEEUy7J_normal.jpg</v>
      </c>
      <c r="AW4188" s="80" t="s">
        <v>19854</v>
      </c>
      <c r="AX4188" s="80" t="s">
        <v>20211</v>
      </c>
      <c r="AY4188" s="80" t="s">
        <v>20377</v>
      </c>
      <c r="AZ4188" s="80" t="s">
        <v>20480</v>
      </c>
      <c r="BA4188" s="80" t="s">
        <v>20380</v>
      </c>
      <c r="BB4188" s="80" t="s">
        <v>20380</v>
      </c>
      <c r="BC4188" s="80" t="s">
        <v>20480</v>
      </c>
      <c r="BD4188" s="77">
        <v>1677426642</v>
      </c>
      <c r="BE4188" s="77"/>
      <c r="BF4188" s="77"/>
      <c r="BG4188" s="77"/>
      <c r="BH4188" s="77"/>
      <c r="BI4188" s="77"/>
    </row>
    <row r="4189" spans="1:61" x14ac:dyDescent="0.25">
      <c r="A4189" s="62" t="s">
        <v>1658</v>
      </c>
      <c r="B4189" s="62" t="s">
        <v>1658</v>
      </c>
      <c r="C4189" s="63"/>
      <c r="D4189" s="64"/>
      <c r="E4189" s="65"/>
      <c r="F4189" s="66"/>
      <c r="G4189" s="63"/>
      <c r="H4189" s="67"/>
      <c r="I4189" s="68"/>
      <c r="J4189" s="68"/>
      <c r="K4189" s="32"/>
      <c r="L4189" s="75">
        <v>4189</v>
      </c>
      <c r="M4189" s="75"/>
      <c r="N4189" s="70"/>
      <c r="O4189" s="77" t="s">
        <v>179</v>
      </c>
      <c r="P4189" s="79">
        <v>45062.417372685188</v>
      </c>
      <c r="Q4189" s="77" t="s">
        <v>5784</v>
      </c>
      <c r="R4189" s="77">
        <v>0</v>
      </c>
      <c r="S4189" s="77">
        <v>2</v>
      </c>
      <c r="T4189" s="77">
        <v>0</v>
      </c>
      <c r="U4189" s="77">
        <v>0</v>
      </c>
      <c r="V4189" s="77">
        <v>26</v>
      </c>
      <c r="W4189" s="80" t="s">
        <v>8525</v>
      </c>
      <c r="X4189" s="77"/>
      <c r="Y4189" s="77"/>
      <c r="Z4189" s="77"/>
      <c r="AA4189" s="77" t="s">
        <v>10497</v>
      </c>
      <c r="AB4189" s="77" t="s">
        <v>10534</v>
      </c>
      <c r="AC4189" s="80" t="s">
        <v>10542</v>
      </c>
      <c r="AD4189" s="77" t="s">
        <v>10617</v>
      </c>
      <c r="AE4189" s="83" t="str">
        <f>HYPERLINK("https://twitter.com/jeangomes3815/status/1658412225869037568")</f>
        <v>https://twitter.com/jeangomes3815/status/1658412225869037568</v>
      </c>
      <c r="AF4189" s="79">
        <v>45062.417372685188</v>
      </c>
      <c r="AG4189" s="85">
        <v>45062</v>
      </c>
      <c r="AH4189" s="80" t="s">
        <v>14250</v>
      </c>
      <c r="AI4189" s="77" t="b">
        <v>0</v>
      </c>
      <c r="AJ4189" s="77" t="s">
        <v>14354</v>
      </c>
      <c r="AK4189" s="77" t="s">
        <v>14382</v>
      </c>
      <c r="AL4189" s="77" t="s">
        <v>14391</v>
      </c>
      <c r="AM4189" s="77" t="s">
        <v>14411</v>
      </c>
      <c r="AN4189" s="77" t="s">
        <v>14451</v>
      </c>
      <c r="AO4189" s="77" t="s">
        <v>14490</v>
      </c>
      <c r="AP4189" s="77" t="s">
        <v>14516</v>
      </c>
      <c r="AQ4189" s="77" t="s">
        <v>15974</v>
      </c>
      <c r="AR4189" s="77">
        <v>59733</v>
      </c>
      <c r="AS4189" s="77"/>
      <c r="AT4189" s="77"/>
      <c r="AU4189" s="77"/>
      <c r="AV4189" s="83" t="str">
        <f>HYPERLINK("https://pbs.twimg.com/ext_tw_video_thumb/1658177364918927360/pu/img/VKtQga3SPccYdpya.jpg")</f>
        <v>https://pbs.twimg.com/ext_tw_video_thumb/1658177364918927360/pu/img/VKtQga3SPccYdpya.jpg</v>
      </c>
      <c r="AW4189" s="80" t="s">
        <v>19855</v>
      </c>
      <c r="AX4189" s="80" t="s">
        <v>19855</v>
      </c>
      <c r="AY4189" s="77"/>
      <c r="AZ4189" s="80" t="s">
        <v>20380</v>
      </c>
      <c r="BA4189" s="80" t="s">
        <v>20380</v>
      </c>
      <c r="BB4189" s="80" t="s">
        <v>20380</v>
      </c>
      <c r="BC4189" s="80" t="s">
        <v>19855</v>
      </c>
      <c r="BD4189" s="80" t="s">
        <v>21186</v>
      </c>
      <c r="BE4189" s="77"/>
      <c r="BF4189" s="77"/>
      <c r="BG4189" s="77"/>
      <c r="BH4189" s="77"/>
      <c r="BI4189" s="77"/>
    </row>
    <row r="4190" spans="1:61" x14ac:dyDescent="0.25">
      <c r="A4190" s="62" t="s">
        <v>1659</v>
      </c>
      <c r="B4190" s="62" t="s">
        <v>1659</v>
      </c>
      <c r="C4190" s="63"/>
      <c r="D4190" s="64"/>
      <c r="E4190" s="65"/>
      <c r="F4190" s="66"/>
      <c r="G4190" s="63"/>
      <c r="H4190" s="67"/>
      <c r="I4190" s="68"/>
      <c r="J4190" s="68"/>
      <c r="K4190" s="32"/>
      <c r="L4190" s="75">
        <v>4190</v>
      </c>
      <c r="M4190" s="75"/>
      <c r="N4190" s="70"/>
      <c r="O4190" s="77" t="s">
        <v>179</v>
      </c>
      <c r="P4190" s="79">
        <v>45177.422546296293</v>
      </c>
      <c r="Q4190" s="77" t="s">
        <v>5785</v>
      </c>
      <c r="R4190" s="77">
        <v>0</v>
      </c>
      <c r="S4190" s="77">
        <v>1</v>
      </c>
      <c r="T4190" s="77">
        <v>0</v>
      </c>
      <c r="U4190" s="77">
        <v>0</v>
      </c>
      <c r="V4190" s="77">
        <v>116</v>
      </c>
      <c r="W4190" s="80" t="s">
        <v>8526</v>
      </c>
      <c r="X4190" s="77"/>
      <c r="Y4190" s="77"/>
      <c r="Z4190" s="77"/>
      <c r="AA4190" s="77" t="s">
        <v>10498</v>
      </c>
      <c r="AB4190" s="77" t="s">
        <v>10535</v>
      </c>
      <c r="AC4190" s="80" t="s">
        <v>10540</v>
      </c>
      <c r="AD4190" s="77" t="s">
        <v>10620</v>
      </c>
      <c r="AE4190" s="83" t="str">
        <f>HYPERLINK("https://twitter.com/_cronicacuerva/status/1700088706323857574")</f>
        <v>https://twitter.com/_cronicacuerva/status/1700088706323857574</v>
      </c>
      <c r="AF4190" s="79">
        <v>45177.422546296293</v>
      </c>
      <c r="AG4190" s="85">
        <v>45177</v>
      </c>
      <c r="AH4190" s="80" t="s">
        <v>14251</v>
      </c>
      <c r="AI4190" s="77" t="b">
        <v>0</v>
      </c>
      <c r="AJ4190" s="77"/>
      <c r="AK4190" s="77"/>
      <c r="AL4190" s="77"/>
      <c r="AM4190" s="77"/>
      <c r="AN4190" s="77"/>
      <c r="AO4190" s="77"/>
      <c r="AP4190" s="77"/>
      <c r="AQ4190" s="77" t="s">
        <v>15975</v>
      </c>
      <c r="AR4190" s="77"/>
      <c r="AS4190" s="77"/>
      <c r="AT4190" s="77"/>
      <c r="AU4190" s="77"/>
      <c r="AV4190" s="83" t="str">
        <f>HYPERLINK("https://pbs.twimg.com/media/F5ftqcKW8AAgLUA.jpg")</f>
        <v>https://pbs.twimg.com/media/F5ftqcKW8AAgLUA.jpg</v>
      </c>
      <c r="AW4190" s="80" t="s">
        <v>19856</v>
      </c>
      <c r="AX4190" s="80" t="s">
        <v>19856</v>
      </c>
      <c r="AY4190" s="77"/>
      <c r="AZ4190" s="80" t="s">
        <v>20380</v>
      </c>
      <c r="BA4190" s="80" t="s">
        <v>20380</v>
      </c>
      <c r="BB4190" s="80" t="s">
        <v>20380</v>
      </c>
      <c r="BC4190" s="80" t="s">
        <v>19856</v>
      </c>
      <c r="BD4190" s="80" t="s">
        <v>21187</v>
      </c>
      <c r="BE4190" s="77"/>
      <c r="BF4190" s="77"/>
      <c r="BG4190" s="77"/>
      <c r="BH4190" s="77"/>
      <c r="BI4190" s="77"/>
    </row>
    <row r="4191" spans="1:61" x14ac:dyDescent="0.25">
      <c r="A4191" s="62" t="s">
        <v>1660</v>
      </c>
      <c r="B4191" s="62" t="s">
        <v>1660</v>
      </c>
      <c r="C4191" s="63"/>
      <c r="D4191" s="64"/>
      <c r="E4191" s="65"/>
      <c r="F4191" s="66"/>
      <c r="G4191" s="63"/>
      <c r="H4191" s="67"/>
      <c r="I4191" s="68"/>
      <c r="J4191" s="68"/>
      <c r="K4191" s="32"/>
      <c r="L4191" s="75">
        <v>4191</v>
      </c>
      <c r="M4191" s="75"/>
      <c r="N4191" s="70"/>
      <c r="O4191" s="77" t="s">
        <v>179</v>
      </c>
      <c r="P4191" s="79">
        <v>45104.999884259261</v>
      </c>
      <c r="Q4191" s="77" t="s">
        <v>5786</v>
      </c>
      <c r="R4191" s="77">
        <v>0</v>
      </c>
      <c r="S4191" s="77">
        <v>0</v>
      </c>
      <c r="T4191" s="77">
        <v>0</v>
      </c>
      <c r="U4191" s="77">
        <v>0</v>
      </c>
      <c r="V4191" s="77">
        <v>10</v>
      </c>
      <c r="W4191" s="80" t="s">
        <v>8527</v>
      </c>
      <c r="X4191" s="83" t="str">
        <f>HYPERLINK("https://desenfoque.cl/2023/06/27/la-tasa-que-esta-costando-caro/")</f>
        <v>https://desenfoque.cl/2023/06/27/la-tasa-que-esta-costando-caro/</v>
      </c>
      <c r="Y4191" s="77" t="s">
        <v>8891</v>
      </c>
      <c r="Z4191" s="77"/>
      <c r="AA4191" s="77" t="s">
        <v>10499</v>
      </c>
      <c r="AB4191" s="77" t="s">
        <v>10535</v>
      </c>
      <c r="AC4191" s="80" t="s">
        <v>10540</v>
      </c>
      <c r="AD4191" s="77" t="s">
        <v>10620</v>
      </c>
      <c r="AE4191" s="83" t="str">
        <f>HYPERLINK("https://twitter.com/desenfoquecl/status/1673843612163928065")</f>
        <v>https://twitter.com/desenfoquecl/status/1673843612163928065</v>
      </c>
      <c r="AF4191" s="79">
        <v>45104.999884259261</v>
      </c>
      <c r="AG4191" s="85">
        <v>45104</v>
      </c>
      <c r="AH4191" s="80" t="s">
        <v>11578</v>
      </c>
      <c r="AI4191" s="77" t="b">
        <v>0</v>
      </c>
      <c r="AJ4191" s="77"/>
      <c r="AK4191" s="77"/>
      <c r="AL4191" s="77"/>
      <c r="AM4191" s="77"/>
      <c r="AN4191" s="77"/>
      <c r="AO4191" s="77"/>
      <c r="AP4191" s="77"/>
      <c r="AQ4191" s="77" t="s">
        <v>15976</v>
      </c>
      <c r="AR4191" s="77"/>
      <c r="AS4191" s="77"/>
      <c r="AT4191" s="77"/>
      <c r="AU4191" s="77"/>
      <c r="AV4191" s="83" t="str">
        <f>HYPERLINK("https://pbs.twimg.com/media/Fzqv5OAXoAIpMHd.jpg")</f>
        <v>https://pbs.twimg.com/media/Fzqv5OAXoAIpMHd.jpg</v>
      </c>
      <c r="AW4191" s="80" t="s">
        <v>19857</v>
      </c>
      <c r="AX4191" s="80" t="s">
        <v>19857</v>
      </c>
      <c r="AY4191" s="77"/>
      <c r="AZ4191" s="80" t="s">
        <v>20380</v>
      </c>
      <c r="BA4191" s="80" t="s">
        <v>20380</v>
      </c>
      <c r="BB4191" s="80" t="s">
        <v>20380</v>
      </c>
      <c r="BC4191" s="80" t="s">
        <v>19857</v>
      </c>
      <c r="BD4191" s="80" t="s">
        <v>21188</v>
      </c>
      <c r="BE4191" s="77"/>
      <c r="BF4191" s="77"/>
      <c r="BG4191" s="77"/>
      <c r="BH4191" s="77"/>
      <c r="BI4191" s="77"/>
    </row>
    <row r="4192" spans="1:61" x14ac:dyDescent="0.25">
      <c r="A4192" s="62" t="s">
        <v>1660</v>
      </c>
      <c r="B4192" s="62" t="s">
        <v>1660</v>
      </c>
      <c r="C4192" s="63"/>
      <c r="D4192" s="64"/>
      <c r="E4192" s="65"/>
      <c r="F4192" s="66"/>
      <c r="G4192" s="63"/>
      <c r="H4192" s="67"/>
      <c r="I4192" s="68"/>
      <c r="J4192" s="68"/>
      <c r="K4192" s="32"/>
      <c r="L4192" s="75">
        <v>4192</v>
      </c>
      <c r="M4192" s="75"/>
      <c r="N4192" s="70"/>
      <c r="O4192" s="77" t="s">
        <v>179</v>
      </c>
      <c r="P4192" s="79">
        <v>45138.915625000001</v>
      </c>
      <c r="Q4192" s="77" t="s">
        <v>5787</v>
      </c>
      <c r="R4192" s="77">
        <v>0</v>
      </c>
      <c r="S4192" s="77">
        <v>1</v>
      </c>
      <c r="T4192" s="77">
        <v>0</v>
      </c>
      <c r="U4192" s="77">
        <v>0</v>
      </c>
      <c r="V4192" s="77">
        <v>25</v>
      </c>
      <c r="W4192" s="80" t="s">
        <v>8528</v>
      </c>
      <c r="X4192" s="83" t="str">
        <f>HYPERLINK("https://desenfoque.cl/2023/07/31/inflacion-tasas-y-dolar-esta-es-la-receta-que-no-falla/")</f>
        <v>https://desenfoque.cl/2023/07/31/inflacion-tasas-y-dolar-esta-es-la-receta-que-no-falla/</v>
      </c>
      <c r="Y4192" s="77" t="s">
        <v>8891</v>
      </c>
      <c r="Z4192" s="77"/>
      <c r="AA4192" s="77" t="s">
        <v>10500</v>
      </c>
      <c r="AB4192" s="77" t="s">
        <v>10535</v>
      </c>
      <c r="AC4192" s="80" t="s">
        <v>10540</v>
      </c>
      <c r="AD4192" s="77" t="s">
        <v>10620</v>
      </c>
      <c r="AE4192" s="83" t="str">
        <f>HYPERLINK("https://twitter.com/desenfoquecl/status/1686134267959525377")</f>
        <v>https://twitter.com/desenfoquecl/status/1686134267959525377</v>
      </c>
      <c r="AF4192" s="79">
        <v>45138.915625000001</v>
      </c>
      <c r="AG4192" s="85">
        <v>45138</v>
      </c>
      <c r="AH4192" s="80" t="s">
        <v>14252</v>
      </c>
      <c r="AI4192" s="77" t="b">
        <v>0</v>
      </c>
      <c r="AJ4192" s="77"/>
      <c r="AK4192" s="77"/>
      <c r="AL4192" s="77"/>
      <c r="AM4192" s="77"/>
      <c r="AN4192" s="77"/>
      <c r="AO4192" s="77"/>
      <c r="AP4192" s="77"/>
      <c r="AQ4192" s="77" t="s">
        <v>15977</v>
      </c>
      <c r="AR4192" s="77"/>
      <c r="AS4192" s="77"/>
      <c r="AT4192" s="77"/>
      <c r="AU4192" s="77"/>
      <c r="AV4192" s="83" t="str">
        <f>HYPERLINK("https://pbs.twimg.com/media/F2ZaJM6XIAA_XHB.jpg")</f>
        <v>https://pbs.twimg.com/media/F2ZaJM6XIAA_XHB.jpg</v>
      </c>
      <c r="AW4192" s="80" t="s">
        <v>19858</v>
      </c>
      <c r="AX4192" s="80" t="s">
        <v>19858</v>
      </c>
      <c r="AY4192" s="77"/>
      <c r="AZ4192" s="80" t="s">
        <v>20380</v>
      </c>
      <c r="BA4192" s="80" t="s">
        <v>20380</v>
      </c>
      <c r="BB4192" s="80" t="s">
        <v>20380</v>
      </c>
      <c r="BC4192" s="80" t="s">
        <v>19858</v>
      </c>
      <c r="BD4192" s="80" t="s">
        <v>21188</v>
      </c>
      <c r="BE4192" s="77"/>
      <c r="BF4192" s="77"/>
      <c r="BG4192" s="77"/>
      <c r="BH4192" s="77"/>
      <c r="BI4192" s="77"/>
    </row>
    <row r="4193" spans="1:61" x14ac:dyDescent="0.25">
      <c r="A4193" s="62" t="s">
        <v>1661</v>
      </c>
      <c r="B4193" s="62" t="s">
        <v>1661</v>
      </c>
      <c r="C4193" s="63"/>
      <c r="D4193" s="64"/>
      <c r="E4193" s="65"/>
      <c r="F4193" s="66"/>
      <c r="G4193" s="63"/>
      <c r="H4193" s="67"/>
      <c r="I4193" s="68"/>
      <c r="J4193" s="68"/>
      <c r="K4193" s="32"/>
      <c r="L4193" s="75">
        <v>4193</v>
      </c>
      <c r="M4193" s="75"/>
      <c r="N4193" s="70"/>
      <c r="O4193" s="77" t="s">
        <v>179</v>
      </c>
      <c r="P4193" s="79">
        <v>45104.755729166667</v>
      </c>
      <c r="Q4193" s="77" t="s">
        <v>5788</v>
      </c>
      <c r="R4193" s="77">
        <v>0</v>
      </c>
      <c r="S4193" s="77">
        <v>1</v>
      </c>
      <c r="T4193" s="77">
        <v>0</v>
      </c>
      <c r="U4193" s="77">
        <v>0</v>
      </c>
      <c r="V4193" s="77">
        <v>52</v>
      </c>
      <c r="W4193" s="80" t="s">
        <v>8529</v>
      </c>
      <c r="X4193" s="83" t="str">
        <f>HYPERLINK("https://www.linkedin.com/feed/update/urn:li:activity:7079520448782245888")</f>
        <v>https://www.linkedin.com/feed/update/urn:li:activity:7079520448782245888</v>
      </c>
      <c r="Y4193" s="77" t="s">
        <v>8669</v>
      </c>
      <c r="Z4193" s="77"/>
      <c r="AA4193" s="77" t="s">
        <v>10501</v>
      </c>
      <c r="AB4193" s="77" t="s">
        <v>10535</v>
      </c>
      <c r="AC4193" s="80" t="s">
        <v>10543</v>
      </c>
      <c r="AD4193" s="77" t="s">
        <v>10617</v>
      </c>
      <c r="AE4193" s="83" t="str">
        <f>HYPERLINK("https://twitter.com/csmvadvogados/status/1673755135430762516")</f>
        <v>https://twitter.com/csmvadvogados/status/1673755135430762516</v>
      </c>
      <c r="AF4193" s="79">
        <v>45104.755729166667</v>
      </c>
      <c r="AG4193" s="85">
        <v>45104</v>
      </c>
      <c r="AH4193" s="80" t="s">
        <v>14253</v>
      </c>
      <c r="AI4193" s="77" t="b">
        <v>0</v>
      </c>
      <c r="AJ4193" s="77"/>
      <c r="AK4193" s="77"/>
      <c r="AL4193" s="77"/>
      <c r="AM4193" s="77"/>
      <c r="AN4193" s="77"/>
      <c r="AO4193" s="77"/>
      <c r="AP4193" s="77"/>
      <c r="AQ4193" s="77" t="s">
        <v>15978</v>
      </c>
      <c r="AR4193" s="77"/>
      <c r="AS4193" s="77"/>
      <c r="AT4193" s="77"/>
      <c r="AU4193" s="77"/>
      <c r="AV4193" s="83" t="str">
        <f>HYPERLINK("https://pbs.twimg.com/media/FzpfbIdWIA4Jyu0.jpg")</f>
        <v>https://pbs.twimg.com/media/FzpfbIdWIA4Jyu0.jpg</v>
      </c>
      <c r="AW4193" s="80" t="s">
        <v>19859</v>
      </c>
      <c r="AX4193" s="80" t="s">
        <v>19859</v>
      </c>
      <c r="AY4193" s="77"/>
      <c r="AZ4193" s="80" t="s">
        <v>20380</v>
      </c>
      <c r="BA4193" s="80" t="s">
        <v>20380</v>
      </c>
      <c r="BB4193" s="80" t="s">
        <v>20380</v>
      </c>
      <c r="BC4193" s="80" t="s">
        <v>19859</v>
      </c>
      <c r="BD4193" s="80" t="s">
        <v>21189</v>
      </c>
      <c r="BE4193" s="77"/>
      <c r="BF4193" s="77"/>
      <c r="BG4193" s="77"/>
      <c r="BH4193" s="77"/>
      <c r="BI4193" s="77"/>
    </row>
    <row r="4194" spans="1:61" x14ac:dyDescent="0.25">
      <c r="A4194" s="62" t="s">
        <v>1661</v>
      </c>
      <c r="B4194" s="62" t="s">
        <v>1661</v>
      </c>
      <c r="C4194" s="63"/>
      <c r="D4194" s="64"/>
      <c r="E4194" s="65"/>
      <c r="F4194" s="66"/>
      <c r="G4194" s="63"/>
      <c r="H4194" s="67"/>
      <c r="I4194" s="68"/>
      <c r="J4194" s="68"/>
      <c r="K4194" s="32"/>
      <c r="L4194" s="75">
        <v>4194</v>
      </c>
      <c r="M4194" s="75"/>
      <c r="N4194" s="70"/>
      <c r="O4194" s="77" t="s">
        <v>179</v>
      </c>
      <c r="P4194" s="79">
        <v>45091.524004629631</v>
      </c>
      <c r="Q4194" s="77" t="s">
        <v>5789</v>
      </c>
      <c r="R4194" s="77">
        <v>0</v>
      </c>
      <c r="S4194" s="77">
        <v>1</v>
      </c>
      <c r="T4194" s="77">
        <v>0</v>
      </c>
      <c r="U4194" s="77">
        <v>0</v>
      </c>
      <c r="V4194" s="77">
        <v>62</v>
      </c>
      <c r="W4194" s="80" t="s">
        <v>8530</v>
      </c>
      <c r="X4194" s="83" t="str">
        <f>HYPERLINK("https://www.linkedin.com/feed/update/urn:li:activity:7074724662961741825")</f>
        <v>https://www.linkedin.com/feed/update/urn:li:activity:7074724662961741825</v>
      </c>
      <c r="Y4194" s="77" t="s">
        <v>8669</v>
      </c>
      <c r="Z4194" s="77"/>
      <c r="AA4194" s="77" t="s">
        <v>10502</v>
      </c>
      <c r="AB4194" s="77" t="s">
        <v>10535</v>
      </c>
      <c r="AC4194" s="80" t="s">
        <v>10541</v>
      </c>
      <c r="AD4194" s="77" t="s">
        <v>10617</v>
      </c>
      <c r="AE4194" s="83" t="str">
        <f>HYPERLINK("https://twitter.com/csmvadvogados/status/1668960118061318144")</f>
        <v>https://twitter.com/csmvadvogados/status/1668960118061318144</v>
      </c>
      <c r="AF4194" s="79">
        <v>45091.524004629631</v>
      </c>
      <c r="AG4194" s="85">
        <v>45091</v>
      </c>
      <c r="AH4194" s="80" t="s">
        <v>14254</v>
      </c>
      <c r="AI4194" s="77" t="b">
        <v>0</v>
      </c>
      <c r="AJ4194" s="77"/>
      <c r="AK4194" s="77"/>
      <c r="AL4194" s="77"/>
      <c r="AM4194" s="77"/>
      <c r="AN4194" s="77"/>
      <c r="AO4194" s="77"/>
      <c r="AP4194" s="77"/>
      <c r="AQ4194" s="77" t="s">
        <v>15979</v>
      </c>
      <c r="AR4194" s="77"/>
      <c r="AS4194" s="77"/>
      <c r="AT4194" s="77"/>
      <c r="AU4194" s="77"/>
      <c r="AV4194" s="83" t="str">
        <f>HYPERLINK("https://pbs.twimg.com/media/FylWQdmWwAIvYv5.jpg")</f>
        <v>https://pbs.twimg.com/media/FylWQdmWwAIvYv5.jpg</v>
      </c>
      <c r="AW4194" s="80" t="s">
        <v>19860</v>
      </c>
      <c r="AX4194" s="80" t="s">
        <v>19860</v>
      </c>
      <c r="AY4194" s="77"/>
      <c r="AZ4194" s="80" t="s">
        <v>20380</v>
      </c>
      <c r="BA4194" s="80" t="s">
        <v>20380</v>
      </c>
      <c r="BB4194" s="80" t="s">
        <v>20380</v>
      </c>
      <c r="BC4194" s="80" t="s">
        <v>19860</v>
      </c>
      <c r="BD4194" s="80" t="s">
        <v>21189</v>
      </c>
      <c r="BE4194" s="77"/>
      <c r="BF4194" s="77"/>
      <c r="BG4194" s="77"/>
      <c r="BH4194" s="77"/>
      <c r="BI4194" s="77"/>
    </row>
    <row r="4195" spans="1:61" x14ac:dyDescent="0.25">
      <c r="A4195" s="62" t="s">
        <v>1662</v>
      </c>
      <c r="B4195" s="62" t="s">
        <v>1662</v>
      </c>
      <c r="C4195" s="63"/>
      <c r="D4195" s="64"/>
      <c r="E4195" s="65"/>
      <c r="F4195" s="66"/>
      <c r="G4195" s="63"/>
      <c r="H4195" s="67"/>
      <c r="I4195" s="68"/>
      <c r="J4195" s="68"/>
      <c r="K4195" s="32"/>
      <c r="L4195" s="75">
        <v>4195</v>
      </c>
      <c r="M4195" s="75"/>
      <c r="N4195" s="70"/>
      <c r="O4195" s="77" t="s">
        <v>179</v>
      </c>
      <c r="P4195" s="79">
        <v>45102.034629629627</v>
      </c>
      <c r="Q4195" s="77" t="s">
        <v>5790</v>
      </c>
      <c r="R4195" s="77">
        <v>17</v>
      </c>
      <c r="S4195" s="77">
        <v>75</v>
      </c>
      <c r="T4195" s="77">
        <v>34</v>
      </c>
      <c r="U4195" s="77">
        <v>5</v>
      </c>
      <c r="V4195" s="77">
        <v>21695</v>
      </c>
      <c r="W4195" s="80" t="s">
        <v>8531</v>
      </c>
      <c r="X4195" s="77"/>
      <c r="Y4195" s="77"/>
      <c r="Z4195" s="77"/>
      <c r="AA4195" s="77" t="s">
        <v>10503</v>
      </c>
      <c r="AB4195" s="77" t="s">
        <v>10534</v>
      </c>
      <c r="AC4195" s="80" t="s">
        <v>10615</v>
      </c>
      <c r="AD4195" s="77" t="s">
        <v>10617</v>
      </c>
      <c r="AE4195" s="83" t="str">
        <f>HYPERLINK("https://twitter.com/cnnbrasil/status/1672769040689905665")</f>
        <v>https://twitter.com/cnnbrasil/status/1672769040689905665</v>
      </c>
      <c r="AF4195" s="79">
        <v>45102.034629629627</v>
      </c>
      <c r="AG4195" s="85">
        <v>45102</v>
      </c>
      <c r="AH4195" s="80" t="s">
        <v>14255</v>
      </c>
      <c r="AI4195" s="77" t="b">
        <v>0</v>
      </c>
      <c r="AJ4195" s="77"/>
      <c r="AK4195" s="77"/>
      <c r="AL4195" s="77"/>
      <c r="AM4195" s="77"/>
      <c r="AN4195" s="77"/>
      <c r="AO4195" s="77"/>
      <c r="AP4195" s="77"/>
      <c r="AQ4195" s="77" t="s">
        <v>15980</v>
      </c>
      <c r="AR4195" s="77">
        <v>277500</v>
      </c>
      <c r="AS4195" s="77"/>
      <c r="AT4195" s="77"/>
      <c r="AU4195" s="77"/>
      <c r="AV4195" s="83" t="str">
        <f>HYPERLINK("https://pbs.twimg.com/media/Fzbee7HXwAEylHu.jpg")</f>
        <v>https://pbs.twimg.com/media/Fzbee7HXwAEylHu.jpg</v>
      </c>
      <c r="AW4195" s="80" t="s">
        <v>19861</v>
      </c>
      <c r="AX4195" s="80" t="s">
        <v>19861</v>
      </c>
      <c r="AY4195" s="77"/>
      <c r="AZ4195" s="80" t="s">
        <v>20380</v>
      </c>
      <c r="BA4195" s="80" t="s">
        <v>20380</v>
      </c>
      <c r="BB4195" s="80" t="s">
        <v>20380</v>
      </c>
      <c r="BC4195" s="80" t="s">
        <v>19861</v>
      </c>
      <c r="BD4195" s="80" t="s">
        <v>21190</v>
      </c>
      <c r="BE4195" s="77"/>
      <c r="BF4195" s="77"/>
      <c r="BG4195" s="77"/>
      <c r="BH4195" s="77"/>
      <c r="BI4195" s="77"/>
    </row>
    <row r="4196" spans="1:61" x14ac:dyDescent="0.25">
      <c r="A4196" s="62" t="s">
        <v>1662</v>
      </c>
      <c r="B4196" s="62" t="s">
        <v>1662</v>
      </c>
      <c r="C4196" s="63"/>
      <c r="D4196" s="64"/>
      <c r="E4196" s="65"/>
      <c r="F4196" s="66"/>
      <c r="G4196" s="63"/>
      <c r="H4196" s="67"/>
      <c r="I4196" s="68"/>
      <c r="J4196" s="68"/>
      <c r="K4196" s="32"/>
      <c r="L4196" s="75">
        <v>4196</v>
      </c>
      <c r="M4196" s="75"/>
      <c r="N4196" s="70"/>
      <c r="O4196" s="77" t="s">
        <v>179</v>
      </c>
      <c r="P4196" s="79">
        <v>45107.05128472222</v>
      </c>
      <c r="Q4196" s="77" t="s">
        <v>5791</v>
      </c>
      <c r="R4196" s="77">
        <v>3</v>
      </c>
      <c r="S4196" s="77">
        <v>38</v>
      </c>
      <c r="T4196" s="77">
        <v>16</v>
      </c>
      <c r="U4196" s="77">
        <v>3</v>
      </c>
      <c r="V4196" s="77">
        <v>13473</v>
      </c>
      <c r="W4196" s="80" t="s">
        <v>8531</v>
      </c>
      <c r="X4196" s="77"/>
      <c r="Y4196" s="77"/>
      <c r="Z4196" s="77"/>
      <c r="AA4196" s="77" t="s">
        <v>10504</v>
      </c>
      <c r="AB4196" s="77" t="s">
        <v>10534</v>
      </c>
      <c r="AC4196" s="80" t="s">
        <v>10615</v>
      </c>
      <c r="AD4196" s="77" t="s">
        <v>10617</v>
      </c>
      <c r="AE4196" s="83" t="str">
        <f>HYPERLINK("https://twitter.com/cnnbrasil/status/1674587013838786561")</f>
        <v>https://twitter.com/cnnbrasil/status/1674587013838786561</v>
      </c>
      <c r="AF4196" s="79">
        <v>45107.05128472222</v>
      </c>
      <c r="AG4196" s="85">
        <v>45107</v>
      </c>
      <c r="AH4196" s="80" t="s">
        <v>14256</v>
      </c>
      <c r="AI4196" s="77" t="b">
        <v>0</v>
      </c>
      <c r="AJ4196" s="77"/>
      <c r="AK4196" s="77"/>
      <c r="AL4196" s="77"/>
      <c r="AM4196" s="77"/>
      <c r="AN4196" s="77"/>
      <c r="AO4196" s="77"/>
      <c r="AP4196" s="77"/>
      <c r="AQ4196" s="77" t="s">
        <v>15981</v>
      </c>
      <c r="AR4196" s="77">
        <v>418967</v>
      </c>
      <c r="AS4196" s="77"/>
      <c r="AT4196" s="77"/>
      <c r="AU4196" s="77"/>
      <c r="AV4196" s="83" t="str">
        <f>HYPERLINK("https://pbs.twimg.com/media/Fz1T5O7XgAAaA0R.jpg")</f>
        <v>https://pbs.twimg.com/media/Fz1T5O7XgAAaA0R.jpg</v>
      </c>
      <c r="AW4196" s="80" t="s">
        <v>19862</v>
      </c>
      <c r="AX4196" s="80" t="s">
        <v>19862</v>
      </c>
      <c r="AY4196" s="77"/>
      <c r="AZ4196" s="80" t="s">
        <v>20380</v>
      </c>
      <c r="BA4196" s="80" t="s">
        <v>20380</v>
      </c>
      <c r="BB4196" s="80" t="s">
        <v>20380</v>
      </c>
      <c r="BC4196" s="80" t="s">
        <v>19862</v>
      </c>
      <c r="BD4196" s="80" t="s">
        <v>21190</v>
      </c>
      <c r="BE4196" s="77"/>
      <c r="BF4196" s="77"/>
      <c r="BG4196" s="77"/>
      <c r="BH4196" s="77"/>
      <c r="BI4196" s="77"/>
    </row>
    <row r="4197" spans="1:61" x14ac:dyDescent="0.25">
      <c r="A4197" s="62" t="s">
        <v>1662</v>
      </c>
      <c r="B4197" s="62" t="s">
        <v>1662</v>
      </c>
      <c r="C4197" s="63"/>
      <c r="D4197" s="64"/>
      <c r="E4197" s="65"/>
      <c r="F4197" s="66"/>
      <c r="G4197" s="63"/>
      <c r="H4197" s="67"/>
      <c r="I4197" s="68"/>
      <c r="J4197" s="68"/>
      <c r="K4197" s="32"/>
      <c r="L4197" s="75">
        <v>4197</v>
      </c>
      <c r="M4197" s="75"/>
      <c r="N4197" s="70"/>
      <c r="O4197" s="77" t="s">
        <v>179</v>
      </c>
      <c r="P4197" s="79">
        <v>45119.59778935185</v>
      </c>
      <c r="Q4197" s="77" t="s">
        <v>5792</v>
      </c>
      <c r="R4197" s="77">
        <v>2</v>
      </c>
      <c r="S4197" s="77">
        <v>44</v>
      </c>
      <c r="T4197" s="77">
        <v>4</v>
      </c>
      <c r="U4197" s="77">
        <v>1</v>
      </c>
      <c r="V4197" s="77">
        <v>17024</v>
      </c>
      <c r="W4197" s="80" t="s">
        <v>8532</v>
      </c>
      <c r="X4197" s="77"/>
      <c r="Y4197" s="77"/>
      <c r="Z4197" s="77"/>
      <c r="AA4197" s="77" t="s">
        <v>10505</v>
      </c>
      <c r="AB4197" s="77" t="s">
        <v>10534</v>
      </c>
      <c r="AC4197" s="80" t="s">
        <v>10615</v>
      </c>
      <c r="AD4197" s="77" t="s">
        <v>10617</v>
      </c>
      <c r="AE4197" s="83" t="str">
        <f>HYPERLINK("https://twitter.com/cnnbrasil/status/1679133716281544705")</f>
        <v>https://twitter.com/cnnbrasil/status/1679133716281544705</v>
      </c>
      <c r="AF4197" s="79">
        <v>45119.59778935185</v>
      </c>
      <c r="AG4197" s="85">
        <v>45119</v>
      </c>
      <c r="AH4197" s="80" t="s">
        <v>10879</v>
      </c>
      <c r="AI4197" s="77" t="b">
        <v>0</v>
      </c>
      <c r="AJ4197" s="77"/>
      <c r="AK4197" s="77"/>
      <c r="AL4197" s="77"/>
      <c r="AM4197" s="77"/>
      <c r="AN4197" s="77"/>
      <c r="AO4197" s="77"/>
      <c r="AP4197" s="77"/>
      <c r="AQ4197" s="77" t="s">
        <v>15982</v>
      </c>
      <c r="AR4197" s="77">
        <v>61300</v>
      </c>
      <c r="AS4197" s="77"/>
      <c r="AT4197" s="77"/>
      <c r="AU4197" s="77"/>
      <c r="AV4197" s="83" t="str">
        <f>HYPERLINK("https://pbs.twimg.com/media/F017JAEXwAE4lfE.jpg")</f>
        <v>https://pbs.twimg.com/media/F017JAEXwAE4lfE.jpg</v>
      </c>
      <c r="AW4197" s="80" t="s">
        <v>19863</v>
      </c>
      <c r="AX4197" s="80" t="s">
        <v>19863</v>
      </c>
      <c r="AY4197" s="77"/>
      <c r="AZ4197" s="80" t="s">
        <v>20380</v>
      </c>
      <c r="BA4197" s="80" t="s">
        <v>20380</v>
      </c>
      <c r="BB4197" s="80" t="s">
        <v>20380</v>
      </c>
      <c r="BC4197" s="80" t="s">
        <v>19863</v>
      </c>
      <c r="BD4197" s="80" t="s">
        <v>21190</v>
      </c>
      <c r="BE4197" s="77"/>
      <c r="BF4197" s="77"/>
      <c r="BG4197" s="77"/>
      <c r="BH4197" s="77"/>
      <c r="BI4197" s="77"/>
    </row>
    <row r="4198" spans="1:61" x14ac:dyDescent="0.25">
      <c r="A4198" s="62" t="s">
        <v>1663</v>
      </c>
      <c r="B4198" s="62" t="s">
        <v>1662</v>
      </c>
      <c r="C4198" s="63"/>
      <c r="D4198" s="64"/>
      <c r="E4198" s="65"/>
      <c r="F4198" s="66"/>
      <c r="G4198" s="63"/>
      <c r="H4198" s="67"/>
      <c r="I4198" s="68"/>
      <c r="J4198" s="68"/>
      <c r="K4198" s="32"/>
      <c r="L4198" s="75">
        <v>4198</v>
      </c>
      <c r="M4198" s="75"/>
      <c r="N4198" s="70"/>
      <c r="O4198" s="77" t="s">
        <v>2082</v>
      </c>
      <c r="P4198" s="79">
        <v>45119.6015625</v>
      </c>
      <c r="Q4198" s="77" t="s">
        <v>5793</v>
      </c>
      <c r="R4198" s="77">
        <v>0</v>
      </c>
      <c r="S4198" s="77">
        <v>0</v>
      </c>
      <c r="T4198" s="77">
        <v>0</v>
      </c>
      <c r="U4198" s="77">
        <v>0</v>
      </c>
      <c r="V4198" s="77">
        <v>14</v>
      </c>
      <c r="W4198" s="80" t="s">
        <v>8533</v>
      </c>
      <c r="X4198" s="77"/>
      <c r="Y4198" s="77"/>
      <c r="Z4198" s="77"/>
      <c r="AA4198" s="77"/>
      <c r="AB4198" s="77"/>
      <c r="AC4198" s="80" t="s">
        <v>10540</v>
      </c>
      <c r="AD4198" s="77" t="s">
        <v>10618</v>
      </c>
      <c r="AE4198" s="83" t="str">
        <f>HYPERLINK("https://twitter.com/comunicacaock/status/1679135083909767168")</f>
        <v>https://twitter.com/comunicacaock/status/1679135083909767168</v>
      </c>
      <c r="AF4198" s="79">
        <v>45119.6015625</v>
      </c>
      <c r="AG4198" s="85">
        <v>45119</v>
      </c>
      <c r="AH4198" s="80" t="s">
        <v>14257</v>
      </c>
      <c r="AI4198" s="77"/>
      <c r="AJ4198" s="77"/>
      <c r="AK4198" s="77"/>
      <c r="AL4198" s="77"/>
      <c r="AM4198" s="77"/>
      <c r="AN4198" s="77"/>
      <c r="AO4198" s="77"/>
      <c r="AP4198" s="77"/>
      <c r="AQ4198" s="77"/>
      <c r="AR4198" s="77"/>
      <c r="AS4198" s="77"/>
      <c r="AT4198" s="77"/>
      <c r="AU4198" s="77"/>
      <c r="AV4198" s="83" t="str">
        <f>HYPERLINK("https://pbs.twimg.com/profile_images/1631434653243523072/nOwHMx4d_normal.jpg")</f>
        <v>https://pbs.twimg.com/profile_images/1631434653243523072/nOwHMx4d_normal.jpg</v>
      </c>
      <c r="AW4198" s="80" t="s">
        <v>19864</v>
      </c>
      <c r="AX4198" s="80" t="s">
        <v>19864</v>
      </c>
      <c r="AY4198" s="77"/>
      <c r="AZ4198" s="80" t="s">
        <v>20380</v>
      </c>
      <c r="BA4198" s="80" t="s">
        <v>19863</v>
      </c>
      <c r="BB4198" s="80" t="s">
        <v>20380</v>
      </c>
      <c r="BC4198" s="80" t="s">
        <v>19863</v>
      </c>
      <c r="BD4198" s="80" t="s">
        <v>21191</v>
      </c>
      <c r="BE4198" s="77"/>
      <c r="BF4198" s="77"/>
      <c r="BG4198" s="77"/>
      <c r="BH4198" s="77"/>
      <c r="BI4198" s="77"/>
    </row>
    <row r="4199" spans="1:61" x14ac:dyDescent="0.25">
      <c r="A4199" s="62" t="s">
        <v>1663</v>
      </c>
      <c r="B4199" s="62" t="s">
        <v>1663</v>
      </c>
      <c r="C4199" s="63"/>
      <c r="D4199" s="64"/>
      <c r="E4199" s="65"/>
      <c r="F4199" s="66"/>
      <c r="G4199" s="63"/>
      <c r="H4199" s="67"/>
      <c r="I4199" s="68"/>
      <c r="J4199" s="68"/>
      <c r="K4199" s="32"/>
      <c r="L4199" s="75">
        <v>4199</v>
      </c>
      <c r="M4199" s="75"/>
      <c r="N4199" s="70"/>
      <c r="O4199" s="77" t="s">
        <v>179</v>
      </c>
      <c r="P4199" s="79">
        <v>45141.560486111113</v>
      </c>
      <c r="Q4199" s="77" t="s">
        <v>5794</v>
      </c>
      <c r="R4199" s="77">
        <v>0</v>
      </c>
      <c r="S4199" s="77">
        <v>0</v>
      </c>
      <c r="T4199" s="77">
        <v>0</v>
      </c>
      <c r="U4199" s="77">
        <v>0</v>
      </c>
      <c r="V4199" s="77">
        <v>3</v>
      </c>
      <c r="W4199" s="80" t="s">
        <v>8534</v>
      </c>
      <c r="X4199" s="83" t="str">
        <f>HYPERLINK("https://cknoticias.com.br/noticia/852/copom-reduz-juros-basicos-da-economia-para-13-25-ao-ano")</f>
        <v>https://cknoticias.com.br/noticia/852/copom-reduz-juros-basicos-da-economia-para-13-25-ao-ano</v>
      </c>
      <c r="Y4199" s="77" t="s">
        <v>8611</v>
      </c>
      <c r="Z4199" s="77"/>
      <c r="AA4199" s="77"/>
      <c r="AB4199" s="77"/>
      <c r="AC4199" s="80" t="s">
        <v>10540</v>
      </c>
      <c r="AD4199" s="77" t="s">
        <v>10617</v>
      </c>
      <c r="AE4199" s="83" t="str">
        <f>HYPERLINK("https://twitter.com/comunicacaock/status/1687092733091942401")</f>
        <v>https://twitter.com/comunicacaock/status/1687092733091942401</v>
      </c>
      <c r="AF4199" s="79">
        <v>45141.560486111113</v>
      </c>
      <c r="AG4199" s="85">
        <v>45141</v>
      </c>
      <c r="AH4199" s="80" t="s">
        <v>14258</v>
      </c>
      <c r="AI4199" s="77" t="b">
        <v>0</v>
      </c>
      <c r="AJ4199" s="77"/>
      <c r="AK4199" s="77"/>
      <c r="AL4199" s="77"/>
      <c r="AM4199" s="77"/>
      <c r="AN4199" s="77"/>
      <c r="AO4199" s="77"/>
      <c r="AP4199" s="77"/>
      <c r="AQ4199" s="77"/>
      <c r="AR4199" s="77"/>
      <c r="AS4199" s="77"/>
      <c r="AT4199" s="77"/>
      <c r="AU4199" s="77"/>
      <c r="AV4199" s="83" t="str">
        <f>HYPERLINK("https://pbs.twimg.com/profile_images/1631434653243523072/nOwHMx4d_normal.jpg")</f>
        <v>https://pbs.twimg.com/profile_images/1631434653243523072/nOwHMx4d_normal.jpg</v>
      </c>
      <c r="AW4199" s="80" t="s">
        <v>19865</v>
      </c>
      <c r="AX4199" s="80" t="s">
        <v>19865</v>
      </c>
      <c r="AY4199" s="77"/>
      <c r="AZ4199" s="80" t="s">
        <v>20380</v>
      </c>
      <c r="BA4199" s="80" t="s">
        <v>20380</v>
      </c>
      <c r="BB4199" s="80" t="s">
        <v>20380</v>
      </c>
      <c r="BC4199" s="80" t="s">
        <v>19865</v>
      </c>
      <c r="BD4199" s="80" t="s">
        <v>21191</v>
      </c>
      <c r="BE4199" s="77"/>
      <c r="BF4199" s="77"/>
      <c r="BG4199" s="77"/>
      <c r="BH4199" s="77"/>
      <c r="BI4199" s="77"/>
    </row>
    <row r="4200" spans="1:61" x14ac:dyDescent="0.25">
      <c r="A4200" s="62" t="s">
        <v>1664</v>
      </c>
      <c r="B4200" s="62" t="s">
        <v>1664</v>
      </c>
      <c r="C4200" s="63"/>
      <c r="D4200" s="64"/>
      <c r="E4200" s="65"/>
      <c r="F4200" s="66"/>
      <c r="G4200" s="63"/>
      <c r="H4200" s="67"/>
      <c r="I4200" s="68"/>
      <c r="J4200" s="68"/>
      <c r="K4200" s="32"/>
      <c r="L4200" s="75">
        <v>4200</v>
      </c>
      <c r="M4200" s="75"/>
      <c r="N4200" s="70"/>
      <c r="O4200" s="77" t="s">
        <v>179</v>
      </c>
      <c r="P4200" s="79">
        <v>45122.801805555559</v>
      </c>
      <c r="Q4200" s="77" t="s">
        <v>5795</v>
      </c>
      <c r="R4200" s="77">
        <v>0</v>
      </c>
      <c r="S4200" s="77">
        <v>5</v>
      </c>
      <c r="T4200" s="77">
        <v>0</v>
      </c>
      <c r="U4200" s="77">
        <v>0</v>
      </c>
      <c r="V4200" s="77">
        <v>56</v>
      </c>
      <c r="W4200" s="80" t="s">
        <v>8535</v>
      </c>
      <c r="X4200" s="77"/>
      <c r="Y4200" s="77"/>
      <c r="Z4200" s="77"/>
      <c r="AA4200" s="77" t="s">
        <v>10506</v>
      </c>
      <c r="AB4200" s="77" t="s">
        <v>10535</v>
      </c>
      <c r="AC4200" s="80" t="s">
        <v>10541</v>
      </c>
      <c r="AD4200" s="77" t="s">
        <v>10620</v>
      </c>
      <c r="AE4200" s="83" t="str">
        <f>HYPERLINK("https://twitter.com/formosaradio/status/1680294811469860864")</f>
        <v>https://twitter.com/formosaradio/status/1680294811469860864</v>
      </c>
      <c r="AF4200" s="79">
        <v>45122.801805555559</v>
      </c>
      <c r="AG4200" s="85">
        <v>45122</v>
      </c>
      <c r="AH4200" s="80" t="s">
        <v>14259</v>
      </c>
      <c r="AI4200" s="77" t="b">
        <v>0</v>
      </c>
      <c r="AJ4200" s="77"/>
      <c r="AK4200" s="77"/>
      <c r="AL4200" s="77"/>
      <c r="AM4200" s="77"/>
      <c r="AN4200" s="77"/>
      <c r="AO4200" s="77"/>
      <c r="AP4200" s="77"/>
      <c r="AQ4200" s="77" t="s">
        <v>15983</v>
      </c>
      <c r="AR4200" s="77"/>
      <c r="AS4200" s="77"/>
      <c r="AT4200" s="77"/>
      <c r="AU4200" s="77"/>
      <c r="AV4200" s="83" t="str">
        <f>HYPERLINK("https://pbs.twimg.com/media/F1GbGGTXsAA1eaV.jpg")</f>
        <v>https://pbs.twimg.com/media/F1GbGGTXsAA1eaV.jpg</v>
      </c>
      <c r="AW4200" s="80" t="s">
        <v>19866</v>
      </c>
      <c r="AX4200" s="80" t="s">
        <v>19866</v>
      </c>
      <c r="AY4200" s="77"/>
      <c r="AZ4200" s="80" t="s">
        <v>20380</v>
      </c>
      <c r="BA4200" s="80" t="s">
        <v>20380</v>
      </c>
      <c r="BB4200" s="80" t="s">
        <v>20380</v>
      </c>
      <c r="BC4200" s="80" t="s">
        <v>19866</v>
      </c>
      <c r="BD4200" s="80" t="s">
        <v>21192</v>
      </c>
      <c r="BE4200" s="77"/>
      <c r="BF4200" s="77"/>
      <c r="BG4200" s="77"/>
      <c r="BH4200" s="77"/>
      <c r="BI4200" s="77"/>
    </row>
    <row r="4201" spans="1:61" x14ac:dyDescent="0.25">
      <c r="A4201" s="62" t="s">
        <v>1664</v>
      </c>
      <c r="B4201" s="62" t="s">
        <v>1664</v>
      </c>
      <c r="C4201" s="63"/>
      <c r="D4201" s="64"/>
      <c r="E4201" s="65"/>
      <c r="F4201" s="66"/>
      <c r="G4201" s="63"/>
      <c r="H4201" s="67"/>
      <c r="I4201" s="68"/>
      <c r="J4201" s="68"/>
      <c r="K4201" s="32"/>
      <c r="L4201" s="75">
        <v>4201</v>
      </c>
      <c r="M4201" s="75"/>
      <c r="N4201" s="70"/>
      <c r="O4201" s="77" t="s">
        <v>179</v>
      </c>
      <c r="P4201" s="79">
        <v>45197.101273148146</v>
      </c>
      <c r="Q4201" s="77" t="s">
        <v>5796</v>
      </c>
      <c r="R4201" s="77">
        <v>0</v>
      </c>
      <c r="S4201" s="77">
        <v>1</v>
      </c>
      <c r="T4201" s="77">
        <v>0</v>
      </c>
      <c r="U4201" s="77">
        <v>0</v>
      </c>
      <c r="V4201" s="77">
        <v>55</v>
      </c>
      <c r="W4201" s="80" t="s">
        <v>8536</v>
      </c>
      <c r="X4201" s="77"/>
      <c r="Y4201" s="77"/>
      <c r="Z4201" s="77"/>
      <c r="AA4201" s="77" t="s">
        <v>10507</v>
      </c>
      <c r="AB4201" s="77" t="s">
        <v>10535</v>
      </c>
      <c r="AC4201" s="80" t="s">
        <v>10541</v>
      </c>
      <c r="AD4201" s="77" t="s">
        <v>10620</v>
      </c>
      <c r="AE4201" s="83" t="str">
        <f>HYPERLINK("https://twitter.com/formosaradio/status/1707220039642775847")</f>
        <v>https://twitter.com/formosaradio/status/1707220039642775847</v>
      </c>
      <c r="AF4201" s="79">
        <v>45197.101273148146</v>
      </c>
      <c r="AG4201" s="85">
        <v>45197</v>
      </c>
      <c r="AH4201" s="80" t="s">
        <v>14260</v>
      </c>
      <c r="AI4201" s="77" t="b">
        <v>0</v>
      </c>
      <c r="AJ4201" s="77"/>
      <c r="AK4201" s="77"/>
      <c r="AL4201" s="77"/>
      <c r="AM4201" s="77"/>
      <c r="AN4201" s="77"/>
      <c r="AO4201" s="77"/>
      <c r="AP4201" s="77"/>
      <c r="AQ4201" s="77" t="s">
        <v>15984</v>
      </c>
      <c r="AR4201" s="77"/>
      <c r="AS4201" s="77"/>
      <c r="AT4201" s="77"/>
      <c r="AU4201" s="77"/>
      <c r="AV4201" s="83" t="str">
        <f>HYPERLINK("https://pbs.twimg.com/media/F7FDdI8XIAEddWh.jpg")</f>
        <v>https://pbs.twimg.com/media/F7FDdI8XIAEddWh.jpg</v>
      </c>
      <c r="AW4201" s="80" t="s">
        <v>19867</v>
      </c>
      <c r="AX4201" s="80" t="s">
        <v>19867</v>
      </c>
      <c r="AY4201" s="77"/>
      <c r="AZ4201" s="80" t="s">
        <v>20380</v>
      </c>
      <c r="BA4201" s="80" t="s">
        <v>20380</v>
      </c>
      <c r="BB4201" s="80" t="s">
        <v>20380</v>
      </c>
      <c r="BC4201" s="80" t="s">
        <v>19867</v>
      </c>
      <c r="BD4201" s="80" t="s">
        <v>21192</v>
      </c>
      <c r="BE4201" s="77"/>
      <c r="BF4201" s="77"/>
      <c r="BG4201" s="77"/>
      <c r="BH4201" s="77"/>
      <c r="BI4201" s="77"/>
    </row>
    <row r="4202" spans="1:61" x14ac:dyDescent="0.25">
      <c r="A4202" s="62" t="s">
        <v>1665</v>
      </c>
      <c r="B4202" s="62" t="s">
        <v>1665</v>
      </c>
      <c r="C4202" s="63"/>
      <c r="D4202" s="64"/>
      <c r="E4202" s="65"/>
      <c r="F4202" s="66"/>
      <c r="G4202" s="63"/>
      <c r="H4202" s="67"/>
      <c r="I4202" s="68"/>
      <c r="J4202" s="68"/>
      <c r="K4202" s="32"/>
      <c r="L4202" s="75">
        <v>4202</v>
      </c>
      <c r="M4202" s="75"/>
      <c r="N4202" s="70"/>
      <c r="O4202" s="77" t="s">
        <v>179</v>
      </c>
      <c r="P4202" s="79">
        <v>45121.458993055552</v>
      </c>
      <c r="Q4202" s="77" t="s">
        <v>5797</v>
      </c>
      <c r="R4202" s="77">
        <v>0</v>
      </c>
      <c r="S4202" s="77">
        <v>0</v>
      </c>
      <c r="T4202" s="77">
        <v>0</v>
      </c>
      <c r="U4202" s="77">
        <v>0</v>
      </c>
      <c r="V4202" s="77">
        <v>11</v>
      </c>
      <c r="W4202" s="80" t="s">
        <v>8537</v>
      </c>
      <c r="X4202" s="77"/>
      <c r="Y4202" s="77"/>
      <c r="Z4202" s="77"/>
      <c r="AA4202" s="77" t="s">
        <v>10508</v>
      </c>
      <c r="AB4202" s="77" t="s">
        <v>10535</v>
      </c>
      <c r="AC4202" s="80" t="s">
        <v>10616</v>
      </c>
      <c r="AD4202" s="77" t="s">
        <v>10617</v>
      </c>
      <c r="AE4202" s="83" t="str">
        <f>HYPERLINK("https://twitter.com/guazelliadv/status/1679808195689062401")</f>
        <v>https://twitter.com/guazelliadv/status/1679808195689062401</v>
      </c>
      <c r="AF4202" s="79">
        <v>45121.458993055552</v>
      </c>
      <c r="AG4202" s="85">
        <v>45121</v>
      </c>
      <c r="AH4202" s="80" t="s">
        <v>14261</v>
      </c>
      <c r="AI4202" s="77" t="b">
        <v>0</v>
      </c>
      <c r="AJ4202" s="77"/>
      <c r="AK4202" s="77"/>
      <c r="AL4202" s="77"/>
      <c r="AM4202" s="77"/>
      <c r="AN4202" s="77"/>
      <c r="AO4202" s="77"/>
      <c r="AP4202" s="77"/>
      <c r="AQ4202" s="77" t="s">
        <v>15985</v>
      </c>
      <c r="AR4202" s="77"/>
      <c r="AS4202" s="77"/>
      <c r="AT4202" s="77"/>
      <c r="AU4202" s="77"/>
      <c r="AV4202" s="83" t="str">
        <f>HYPERLINK("https://pbs.twimg.com/media/F0_gpu1WwAAns1F.jpg")</f>
        <v>https://pbs.twimg.com/media/F0_gpu1WwAAns1F.jpg</v>
      </c>
      <c r="AW4202" s="80" t="s">
        <v>19868</v>
      </c>
      <c r="AX4202" s="80" t="s">
        <v>19868</v>
      </c>
      <c r="AY4202" s="77"/>
      <c r="AZ4202" s="80" t="s">
        <v>20380</v>
      </c>
      <c r="BA4202" s="80" t="s">
        <v>20380</v>
      </c>
      <c r="BB4202" s="80" t="s">
        <v>20380</v>
      </c>
      <c r="BC4202" s="80" t="s">
        <v>19868</v>
      </c>
      <c r="BD4202" s="80" t="s">
        <v>21193</v>
      </c>
      <c r="BE4202" s="77"/>
      <c r="BF4202" s="77"/>
      <c r="BG4202" s="77"/>
      <c r="BH4202" s="77"/>
      <c r="BI4202" s="77"/>
    </row>
    <row r="4203" spans="1:61" x14ac:dyDescent="0.25">
      <c r="A4203" s="62" t="s">
        <v>1666</v>
      </c>
      <c r="B4203" s="62" t="s">
        <v>1872</v>
      </c>
      <c r="C4203" s="63"/>
      <c r="D4203" s="64"/>
      <c r="E4203" s="65"/>
      <c r="F4203" s="66"/>
      <c r="G4203" s="63"/>
      <c r="H4203" s="67"/>
      <c r="I4203" s="68"/>
      <c r="J4203" s="68"/>
      <c r="K4203" s="32"/>
      <c r="L4203" s="75">
        <v>4203</v>
      </c>
      <c r="M4203" s="75"/>
      <c r="N4203" s="70"/>
      <c r="O4203" s="77" t="s">
        <v>2081</v>
      </c>
      <c r="P4203" s="79">
        <v>45092.700462962966</v>
      </c>
      <c r="Q4203" s="77" t="s">
        <v>5798</v>
      </c>
      <c r="R4203" s="77">
        <v>0</v>
      </c>
      <c r="S4203" s="77">
        <v>0</v>
      </c>
      <c r="T4203" s="77">
        <v>0</v>
      </c>
      <c r="U4203" s="77">
        <v>0</v>
      </c>
      <c r="V4203" s="77">
        <v>9</v>
      </c>
      <c r="W4203" s="80" t="s">
        <v>5884</v>
      </c>
      <c r="X4203" s="77"/>
      <c r="Y4203" s="77"/>
      <c r="Z4203" s="77" t="s">
        <v>1872</v>
      </c>
      <c r="AA4203" s="77" t="s">
        <v>10509</v>
      </c>
      <c r="AB4203" s="77" t="s">
        <v>10534</v>
      </c>
      <c r="AC4203" s="80" t="s">
        <v>10540</v>
      </c>
      <c r="AD4203" s="77" t="s">
        <v>10620</v>
      </c>
      <c r="AE4203" s="83" t="str">
        <f>HYPERLINK("https://twitter.com/politica_tiempo/status/1669386452206067714")</f>
        <v>https://twitter.com/politica_tiempo/status/1669386452206067714</v>
      </c>
      <c r="AF4203" s="79">
        <v>45092.700462962966</v>
      </c>
      <c r="AG4203" s="85">
        <v>45092</v>
      </c>
      <c r="AH4203" s="80" t="s">
        <v>14262</v>
      </c>
      <c r="AI4203" s="77" t="b">
        <v>0</v>
      </c>
      <c r="AJ4203" s="77"/>
      <c r="AK4203" s="77"/>
      <c r="AL4203" s="77"/>
      <c r="AM4203" s="77"/>
      <c r="AN4203" s="77"/>
      <c r="AO4203" s="77"/>
      <c r="AP4203" s="77"/>
      <c r="AQ4203" s="77" t="s">
        <v>15986</v>
      </c>
      <c r="AR4203" s="77">
        <v>87489</v>
      </c>
      <c r="AS4203" s="77"/>
      <c r="AT4203" s="77"/>
      <c r="AU4203" s="77"/>
      <c r="AV4203" s="83" t="str">
        <f>HYPERLINK("https://pbs.twimg.com/ext_tw_video_thumb/1669386380735029248/pu/img/zahboFPdgBAJpRr9.jpg")</f>
        <v>https://pbs.twimg.com/ext_tw_video_thumb/1669386380735029248/pu/img/zahboFPdgBAJpRr9.jpg</v>
      </c>
      <c r="AW4203" s="80" t="s">
        <v>19869</v>
      </c>
      <c r="AX4203" s="80" t="s">
        <v>19869</v>
      </c>
      <c r="AY4203" s="77"/>
      <c r="AZ4203" s="80" t="s">
        <v>20380</v>
      </c>
      <c r="BA4203" s="80" t="s">
        <v>20380</v>
      </c>
      <c r="BB4203" s="80" t="s">
        <v>20380</v>
      </c>
      <c r="BC4203" s="80" t="s">
        <v>19869</v>
      </c>
      <c r="BD4203" s="80" t="s">
        <v>20378</v>
      </c>
      <c r="BE4203" s="77"/>
      <c r="BF4203" s="77"/>
      <c r="BG4203" s="77"/>
      <c r="BH4203" s="77"/>
      <c r="BI4203" s="77"/>
    </row>
    <row r="4204" spans="1:61" x14ac:dyDescent="0.25">
      <c r="A4204" s="62" t="s">
        <v>1666</v>
      </c>
      <c r="B4204" s="62" t="s">
        <v>2076</v>
      </c>
      <c r="C4204" s="63"/>
      <c r="D4204" s="64"/>
      <c r="E4204" s="65"/>
      <c r="F4204" s="66"/>
      <c r="G4204" s="63"/>
      <c r="H4204" s="67"/>
      <c r="I4204" s="68"/>
      <c r="J4204" s="68"/>
      <c r="K4204" s="32"/>
      <c r="L4204" s="75">
        <v>4204</v>
      </c>
      <c r="M4204" s="75"/>
      <c r="N4204" s="70"/>
      <c r="O4204" s="77" t="s">
        <v>2081</v>
      </c>
      <c r="P4204" s="79">
        <v>45139.708449074074</v>
      </c>
      <c r="Q4204" s="77" t="s">
        <v>5799</v>
      </c>
      <c r="R4204" s="77">
        <v>0</v>
      </c>
      <c r="S4204" s="77">
        <v>0</v>
      </c>
      <c r="T4204" s="77">
        <v>1</v>
      </c>
      <c r="U4204" s="77">
        <v>0</v>
      </c>
      <c r="V4204" s="77">
        <v>194</v>
      </c>
      <c r="W4204" s="80" t="s">
        <v>8538</v>
      </c>
      <c r="X4204" s="77"/>
      <c r="Y4204" s="77"/>
      <c r="Z4204" s="77" t="s">
        <v>9034</v>
      </c>
      <c r="AA4204" s="77" t="s">
        <v>10510</v>
      </c>
      <c r="AB4204" s="77" t="s">
        <v>10536</v>
      </c>
      <c r="AC4204" s="80" t="s">
        <v>10540</v>
      </c>
      <c r="AD4204" s="77" t="s">
        <v>10620</v>
      </c>
      <c r="AE4204" s="83" t="str">
        <f>HYPERLINK("https://twitter.com/politica_tiempo/status/1686421574847520768")</f>
        <v>https://twitter.com/politica_tiempo/status/1686421574847520768</v>
      </c>
      <c r="AF4204" s="79">
        <v>45139.708449074074</v>
      </c>
      <c r="AG4204" s="85">
        <v>45139</v>
      </c>
      <c r="AH4204" s="80" t="s">
        <v>14263</v>
      </c>
      <c r="AI4204" s="77" t="b">
        <v>0</v>
      </c>
      <c r="AJ4204" s="77"/>
      <c r="AK4204" s="77"/>
      <c r="AL4204" s="77"/>
      <c r="AM4204" s="77"/>
      <c r="AN4204" s="77"/>
      <c r="AO4204" s="77"/>
      <c r="AP4204" s="77"/>
      <c r="AQ4204" s="77" t="s">
        <v>15987</v>
      </c>
      <c r="AR4204" s="77"/>
      <c r="AS4204" s="77"/>
      <c r="AT4204" s="77"/>
      <c r="AU4204" s="77"/>
      <c r="AV4204" s="83" t="str">
        <f>HYPERLINK("https://pbs.twimg.com/media/F2dfe6fX0AsObyF.jpg")</f>
        <v>https://pbs.twimg.com/media/F2dfe6fX0AsObyF.jpg</v>
      </c>
      <c r="AW4204" s="80" t="s">
        <v>19870</v>
      </c>
      <c r="AX4204" s="80" t="s">
        <v>19870</v>
      </c>
      <c r="AY4204" s="77"/>
      <c r="AZ4204" s="80" t="s">
        <v>20380</v>
      </c>
      <c r="BA4204" s="80" t="s">
        <v>20380</v>
      </c>
      <c r="BB4204" s="80" t="s">
        <v>20380</v>
      </c>
      <c r="BC4204" s="80" t="s">
        <v>19870</v>
      </c>
      <c r="BD4204" s="80" t="s">
        <v>20378</v>
      </c>
      <c r="BE4204" s="77"/>
      <c r="BF4204" s="77"/>
      <c r="BG4204" s="77"/>
      <c r="BH4204" s="77"/>
      <c r="BI4204" s="77"/>
    </row>
    <row r="4205" spans="1:61" x14ac:dyDescent="0.25">
      <c r="A4205" s="62" t="s">
        <v>1667</v>
      </c>
      <c r="B4205" s="62" t="s">
        <v>1667</v>
      </c>
      <c r="C4205" s="63"/>
      <c r="D4205" s="64"/>
      <c r="E4205" s="65"/>
      <c r="F4205" s="66"/>
      <c r="G4205" s="63"/>
      <c r="H4205" s="67"/>
      <c r="I4205" s="68"/>
      <c r="J4205" s="68"/>
      <c r="K4205" s="32"/>
      <c r="L4205" s="75">
        <v>4205</v>
      </c>
      <c r="M4205" s="75"/>
      <c r="N4205" s="70"/>
      <c r="O4205" s="77" t="s">
        <v>179</v>
      </c>
      <c r="P4205" s="79">
        <v>45161.884710648148</v>
      </c>
      <c r="Q4205" s="77" t="s">
        <v>5800</v>
      </c>
      <c r="R4205" s="77">
        <v>53</v>
      </c>
      <c r="S4205" s="77">
        <v>87</v>
      </c>
      <c r="T4205" s="77">
        <v>2</v>
      </c>
      <c r="U4205" s="77">
        <v>5</v>
      </c>
      <c r="V4205" s="77">
        <v>12626</v>
      </c>
      <c r="W4205" s="80" t="s">
        <v>8539</v>
      </c>
      <c r="X4205" s="83" t="str">
        <f>HYPERLINK("https://bit.ly/3OLyLry")</f>
        <v>https://bit.ly/3OLyLry</v>
      </c>
      <c r="Y4205" s="77" t="s">
        <v>8618</v>
      </c>
      <c r="Z4205" s="77"/>
      <c r="AA4205" s="77" t="s">
        <v>10511</v>
      </c>
      <c r="AB4205" s="77" t="s">
        <v>10535</v>
      </c>
      <c r="AC4205" s="80" t="s">
        <v>10541</v>
      </c>
      <c r="AD4205" s="77" t="s">
        <v>10620</v>
      </c>
      <c r="AE4205" s="83" t="str">
        <f>HYPERLINK("https://twitter.com/bcp_py/status/1694457984007450834")</f>
        <v>https://twitter.com/bcp_py/status/1694457984007450834</v>
      </c>
      <c r="AF4205" s="79">
        <v>45161.884710648148</v>
      </c>
      <c r="AG4205" s="85">
        <v>45161</v>
      </c>
      <c r="AH4205" s="80" t="s">
        <v>14264</v>
      </c>
      <c r="AI4205" s="77" t="b">
        <v>0</v>
      </c>
      <c r="AJ4205" s="77"/>
      <c r="AK4205" s="77"/>
      <c r="AL4205" s="77"/>
      <c r="AM4205" s="77"/>
      <c r="AN4205" s="77"/>
      <c r="AO4205" s="77"/>
      <c r="AP4205" s="77"/>
      <c r="AQ4205" s="77" t="s">
        <v>15988</v>
      </c>
      <c r="AR4205" s="77"/>
      <c r="AS4205" s="77"/>
      <c r="AT4205" s="77"/>
      <c r="AU4205" s="77"/>
      <c r="AV4205" s="83" t="str">
        <f>HYPERLINK("https://pbs.twimg.com/media/F4PsXyWWsAAnFLu.jpg")</f>
        <v>https://pbs.twimg.com/media/F4PsXyWWsAAnFLu.jpg</v>
      </c>
      <c r="AW4205" s="80" t="s">
        <v>19871</v>
      </c>
      <c r="AX4205" s="80" t="s">
        <v>19871</v>
      </c>
      <c r="AY4205" s="77"/>
      <c r="AZ4205" s="80" t="s">
        <v>20380</v>
      </c>
      <c r="BA4205" s="80" t="s">
        <v>20380</v>
      </c>
      <c r="BB4205" s="80" t="s">
        <v>20380</v>
      </c>
      <c r="BC4205" s="80" t="s">
        <v>19871</v>
      </c>
      <c r="BD4205" s="77">
        <v>1934121132</v>
      </c>
      <c r="BE4205" s="77"/>
      <c r="BF4205" s="77"/>
      <c r="BG4205" s="77"/>
      <c r="BH4205" s="77"/>
      <c r="BI4205" s="77"/>
    </row>
    <row r="4206" spans="1:61" x14ac:dyDescent="0.25">
      <c r="A4206" s="62" t="s">
        <v>1666</v>
      </c>
      <c r="B4206" s="62" t="s">
        <v>1667</v>
      </c>
      <c r="C4206" s="63"/>
      <c r="D4206" s="64"/>
      <c r="E4206" s="65"/>
      <c r="F4206" s="66"/>
      <c r="G4206" s="63"/>
      <c r="H4206" s="67"/>
      <c r="I4206" s="68"/>
      <c r="J4206" s="68"/>
      <c r="K4206" s="32"/>
      <c r="L4206" s="75">
        <v>4206</v>
      </c>
      <c r="M4206" s="75"/>
      <c r="N4206" s="70"/>
      <c r="O4206" s="77" t="s">
        <v>2081</v>
      </c>
      <c r="P4206" s="79">
        <v>45139.708449074074</v>
      </c>
      <c r="Q4206" s="77" t="s">
        <v>5799</v>
      </c>
      <c r="R4206" s="77">
        <v>0</v>
      </c>
      <c r="S4206" s="77">
        <v>0</v>
      </c>
      <c r="T4206" s="77">
        <v>1</v>
      </c>
      <c r="U4206" s="77">
        <v>0</v>
      </c>
      <c r="V4206" s="77">
        <v>194</v>
      </c>
      <c r="W4206" s="80" t="s">
        <v>8538</v>
      </c>
      <c r="X4206" s="77"/>
      <c r="Y4206" s="77"/>
      <c r="Z4206" s="77" t="s">
        <v>9034</v>
      </c>
      <c r="AA4206" s="77" t="s">
        <v>10510</v>
      </c>
      <c r="AB4206" s="77" t="s">
        <v>10536</v>
      </c>
      <c r="AC4206" s="80" t="s">
        <v>10540</v>
      </c>
      <c r="AD4206" s="77" t="s">
        <v>10620</v>
      </c>
      <c r="AE4206" s="83" t="str">
        <f>HYPERLINK("https://twitter.com/politica_tiempo/status/1686421574847520768")</f>
        <v>https://twitter.com/politica_tiempo/status/1686421574847520768</v>
      </c>
      <c r="AF4206" s="79">
        <v>45139.708449074074</v>
      </c>
      <c r="AG4206" s="85">
        <v>45139</v>
      </c>
      <c r="AH4206" s="80" t="s">
        <v>14263</v>
      </c>
      <c r="AI4206" s="77" t="b">
        <v>0</v>
      </c>
      <c r="AJ4206" s="77"/>
      <c r="AK4206" s="77"/>
      <c r="AL4206" s="77"/>
      <c r="AM4206" s="77"/>
      <c r="AN4206" s="77"/>
      <c r="AO4206" s="77"/>
      <c r="AP4206" s="77"/>
      <c r="AQ4206" s="77" t="s">
        <v>15987</v>
      </c>
      <c r="AR4206" s="77"/>
      <c r="AS4206" s="77"/>
      <c r="AT4206" s="77"/>
      <c r="AU4206" s="77"/>
      <c r="AV4206" s="83" t="str">
        <f>HYPERLINK("https://pbs.twimg.com/media/F2dfe6fX0AsObyF.jpg")</f>
        <v>https://pbs.twimg.com/media/F2dfe6fX0AsObyF.jpg</v>
      </c>
      <c r="AW4206" s="80" t="s">
        <v>19870</v>
      </c>
      <c r="AX4206" s="80" t="s">
        <v>19870</v>
      </c>
      <c r="AY4206" s="77"/>
      <c r="AZ4206" s="80" t="s">
        <v>20380</v>
      </c>
      <c r="BA4206" s="80" t="s">
        <v>20380</v>
      </c>
      <c r="BB4206" s="80" t="s">
        <v>20380</v>
      </c>
      <c r="BC4206" s="80" t="s">
        <v>19870</v>
      </c>
      <c r="BD4206" s="80" t="s">
        <v>20378</v>
      </c>
      <c r="BE4206" s="77"/>
      <c r="BF4206" s="77"/>
      <c r="BG4206" s="77"/>
      <c r="BH4206" s="77"/>
      <c r="BI4206" s="77"/>
    </row>
    <row r="4207" spans="1:61" x14ac:dyDescent="0.25">
      <c r="A4207" s="62" t="s">
        <v>1666</v>
      </c>
      <c r="B4207" s="62" t="s">
        <v>1666</v>
      </c>
      <c r="C4207" s="63"/>
      <c r="D4207" s="64"/>
      <c r="E4207" s="65"/>
      <c r="F4207" s="66"/>
      <c r="G4207" s="63"/>
      <c r="H4207" s="67"/>
      <c r="I4207" s="68"/>
      <c r="J4207" s="68"/>
      <c r="K4207" s="32"/>
      <c r="L4207" s="75">
        <v>4207</v>
      </c>
      <c r="M4207" s="75"/>
      <c r="N4207" s="70"/>
      <c r="O4207" s="77" t="s">
        <v>179</v>
      </c>
      <c r="P4207" s="79">
        <v>45132.607638888891</v>
      </c>
      <c r="Q4207" s="77" t="s">
        <v>5801</v>
      </c>
      <c r="R4207" s="77">
        <v>0</v>
      </c>
      <c r="S4207" s="77">
        <v>0</v>
      </c>
      <c r="T4207" s="77">
        <v>1</v>
      </c>
      <c r="U4207" s="77">
        <v>0</v>
      </c>
      <c r="V4207" s="77">
        <v>4</v>
      </c>
      <c r="W4207" s="80" t="s">
        <v>8540</v>
      </c>
      <c r="X4207" s="77"/>
      <c r="Y4207" s="77"/>
      <c r="Z4207" s="77"/>
      <c r="AA4207" s="77" t="s">
        <v>10512</v>
      </c>
      <c r="AB4207" s="77" t="s">
        <v>10535</v>
      </c>
      <c r="AC4207" s="80" t="s">
        <v>10540</v>
      </c>
      <c r="AD4207" s="77" t="s">
        <v>10620</v>
      </c>
      <c r="AE4207" s="83" t="str">
        <f>HYPERLINK("https://twitter.com/politica_tiempo/status/1683848329782784001")</f>
        <v>https://twitter.com/politica_tiempo/status/1683848329782784001</v>
      </c>
      <c r="AF4207" s="79">
        <v>45132.607638888891</v>
      </c>
      <c r="AG4207" s="85">
        <v>45132</v>
      </c>
      <c r="AH4207" s="80" t="s">
        <v>11015</v>
      </c>
      <c r="AI4207" s="77" t="b">
        <v>0</v>
      </c>
      <c r="AJ4207" s="77"/>
      <c r="AK4207" s="77"/>
      <c r="AL4207" s="77"/>
      <c r="AM4207" s="77"/>
      <c r="AN4207" s="77"/>
      <c r="AO4207" s="77"/>
      <c r="AP4207" s="77"/>
      <c r="AQ4207" s="77" t="s">
        <v>15989</v>
      </c>
      <c r="AR4207" s="77"/>
      <c r="AS4207" s="77"/>
      <c r="AT4207" s="77"/>
      <c r="AU4207" s="77"/>
      <c r="AV4207" s="83" t="str">
        <f>HYPERLINK("https://pbs.twimg.com/media/F147Ia1XsAEd2VX.jpg")</f>
        <v>https://pbs.twimg.com/media/F147Ia1XsAEd2VX.jpg</v>
      </c>
      <c r="AW4207" s="80" t="s">
        <v>19872</v>
      </c>
      <c r="AX4207" s="80" t="s">
        <v>19872</v>
      </c>
      <c r="AY4207" s="77"/>
      <c r="AZ4207" s="80" t="s">
        <v>20380</v>
      </c>
      <c r="BA4207" s="80" t="s">
        <v>20380</v>
      </c>
      <c r="BB4207" s="80" t="s">
        <v>20380</v>
      </c>
      <c r="BC4207" s="80" t="s">
        <v>19872</v>
      </c>
      <c r="BD4207" s="80" t="s">
        <v>20378</v>
      </c>
      <c r="BE4207" s="77"/>
      <c r="BF4207" s="77"/>
      <c r="BG4207" s="77"/>
      <c r="BH4207" s="77"/>
      <c r="BI4207" s="77"/>
    </row>
    <row r="4208" spans="1:61" x14ac:dyDescent="0.25">
      <c r="A4208" s="62" t="s">
        <v>1666</v>
      </c>
      <c r="B4208" s="62" t="s">
        <v>1666</v>
      </c>
      <c r="C4208" s="63"/>
      <c r="D4208" s="64"/>
      <c r="E4208" s="65"/>
      <c r="F4208" s="66"/>
      <c r="G4208" s="63"/>
      <c r="H4208" s="67"/>
      <c r="I4208" s="68"/>
      <c r="J4208" s="68"/>
      <c r="K4208" s="32"/>
      <c r="L4208" s="75">
        <v>4208</v>
      </c>
      <c r="M4208" s="75"/>
      <c r="N4208" s="70"/>
      <c r="O4208" s="77" t="s">
        <v>179</v>
      </c>
      <c r="P4208" s="79">
        <v>45153.586643518516</v>
      </c>
      <c r="Q4208" s="77" t="s">
        <v>5802</v>
      </c>
      <c r="R4208" s="77">
        <v>0</v>
      </c>
      <c r="S4208" s="77">
        <v>0</v>
      </c>
      <c r="T4208" s="77">
        <v>0</v>
      </c>
      <c r="U4208" s="77">
        <v>0</v>
      </c>
      <c r="V4208" s="77">
        <v>21</v>
      </c>
      <c r="W4208" s="80" t="s">
        <v>8541</v>
      </c>
      <c r="X4208" s="77"/>
      <c r="Y4208" s="77"/>
      <c r="Z4208" s="77"/>
      <c r="AA4208" s="77" t="s">
        <v>10513</v>
      </c>
      <c r="AB4208" s="77" t="s">
        <v>10535</v>
      </c>
      <c r="AC4208" s="80" t="s">
        <v>10540</v>
      </c>
      <c r="AD4208" s="77" t="s">
        <v>10620</v>
      </c>
      <c r="AE4208" s="83" t="str">
        <f>HYPERLINK("https://twitter.com/politica_tiempo/status/1691450863506894850")</f>
        <v>https://twitter.com/politica_tiempo/status/1691450863506894850</v>
      </c>
      <c r="AF4208" s="79">
        <v>45153.586643518516</v>
      </c>
      <c r="AG4208" s="85">
        <v>45153</v>
      </c>
      <c r="AH4208" s="80" t="s">
        <v>14265</v>
      </c>
      <c r="AI4208" s="77" t="b">
        <v>0</v>
      </c>
      <c r="AJ4208" s="77"/>
      <c r="AK4208" s="77"/>
      <c r="AL4208" s="77"/>
      <c r="AM4208" s="77"/>
      <c r="AN4208" s="77"/>
      <c r="AO4208" s="77"/>
      <c r="AP4208" s="77"/>
      <c r="AQ4208" s="77" t="s">
        <v>15990</v>
      </c>
      <c r="AR4208" s="77"/>
      <c r="AS4208" s="77"/>
      <c r="AT4208" s="77"/>
      <c r="AU4208" s="77"/>
      <c r="AV4208" s="83" t="str">
        <f>HYPERLINK("https://pbs.twimg.com/media/F3k9mITacAIgXGp.jpg")</f>
        <v>https://pbs.twimg.com/media/F3k9mITacAIgXGp.jpg</v>
      </c>
      <c r="AW4208" s="80" t="s">
        <v>19873</v>
      </c>
      <c r="AX4208" s="80" t="s">
        <v>19873</v>
      </c>
      <c r="AY4208" s="77"/>
      <c r="AZ4208" s="80" t="s">
        <v>20380</v>
      </c>
      <c r="BA4208" s="80" t="s">
        <v>20380</v>
      </c>
      <c r="BB4208" s="80" t="s">
        <v>20380</v>
      </c>
      <c r="BC4208" s="80" t="s">
        <v>19873</v>
      </c>
      <c r="BD4208" s="80" t="s">
        <v>20378</v>
      </c>
      <c r="BE4208" s="77"/>
      <c r="BF4208" s="77"/>
      <c r="BG4208" s="77"/>
      <c r="BH4208" s="77"/>
      <c r="BI4208" s="77"/>
    </row>
    <row r="4209" spans="1:61" x14ac:dyDescent="0.25">
      <c r="A4209" s="62" t="s">
        <v>1666</v>
      </c>
      <c r="B4209" s="62" t="s">
        <v>1666</v>
      </c>
      <c r="C4209" s="63"/>
      <c r="D4209" s="64"/>
      <c r="E4209" s="65"/>
      <c r="F4209" s="66"/>
      <c r="G4209" s="63"/>
      <c r="H4209" s="67"/>
      <c r="I4209" s="68"/>
      <c r="J4209" s="68"/>
      <c r="K4209" s="32"/>
      <c r="L4209" s="75">
        <v>4209</v>
      </c>
      <c r="M4209" s="75"/>
      <c r="N4209" s="70"/>
      <c r="O4209" s="77" t="s">
        <v>2078</v>
      </c>
      <c r="P4209" s="79">
        <v>45096.143622685187</v>
      </c>
      <c r="Q4209" s="77" t="s">
        <v>5803</v>
      </c>
      <c r="R4209" s="77">
        <v>0</v>
      </c>
      <c r="S4209" s="77">
        <v>0</v>
      </c>
      <c r="T4209" s="77">
        <v>0</v>
      </c>
      <c r="U4209" s="77">
        <v>0</v>
      </c>
      <c r="V4209" s="77">
        <v>18</v>
      </c>
      <c r="W4209" s="80" t="s">
        <v>8542</v>
      </c>
      <c r="X4209" s="77"/>
      <c r="Y4209" s="77"/>
      <c r="Z4209" s="77"/>
      <c r="AA4209" s="77"/>
      <c r="AB4209" s="77"/>
      <c r="AC4209" s="80" t="s">
        <v>10540</v>
      </c>
      <c r="AD4209" s="77" t="s">
        <v>10620</v>
      </c>
      <c r="AE4209" s="83" t="str">
        <f>HYPERLINK("https://twitter.com/politica_tiempo/status/1670634210195828736")</f>
        <v>https://twitter.com/politica_tiempo/status/1670634210195828736</v>
      </c>
      <c r="AF4209" s="79">
        <v>45096.143622685187</v>
      </c>
      <c r="AG4209" s="85">
        <v>45096</v>
      </c>
      <c r="AH4209" s="80" t="s">
        <v>14266</v>
      </c>
      <c r="AI4209" s="77"/>
      <c r="AJ4209" s="77"/>
      <c r="AK4209" s="77"/>
      <c r="AL4209" s="77"/>
      <c r="AM4209" s="77"/>
      <c r="AN4209" s="77"/>
      <c r="AO4209" s="77"/>
      <c r="AP4209" s="77"/>
      <c r="AQ4209" s="77"/>
      <c r="AR4209" s="77"/>
      <c r="AS4209" s="77"/>
      <c r="AT4209" s="77"/>
      <c r="AU4209" s="77"/>
      <c r="AV4209" s="83" t="str">
        <f>HYPERLINK("https://pbs.twimg.com/profile_images/1613029878051356672/EpGiPbA9_normal.jpg")</f>
        <v>https://pbs.twimg.com/profile_images/1613029878051356672/EpGiPbA9_normal.jpg</v>
      </c>
      <c r="AW4209" s="80" t="s">
        <v>19874</v>
      </c>
      <c r="AX4209" s="80" t="s">
        <v>20212</v>
      </c>
      <c r="AY4209" s="80" t="s">
        <v>20378</v>
      </c>
      <c r="AZ4209" s="80" t="s">
        <v>20481</v>
      </c>
      <c r="BA4209" s="80" t="s">
        <v>20380</v>
      </c>
      <c r="BB4209" s="80" t="s">
        <v>20380</v>
      </c>
      <c r="BC4209" s="80" t="s">
        <v>20481</v>
      </c>
      <c r="BD4209" s="80" t="s">
        <v>20378</v>
      </c>
      <c r="BE4209" s="77"/>
      <c r="BF4209" s="77"/>
      <c r="BG4209" s="77"/>
      <c r="BH4209" s="77"/>
      <c r="BI4209" s="77"/>
    </row>
    <row r="4210" spans="1:61" x14ac:dyDescent="0.25">
      <c r="A4210" s="62" t="s">
        <v>1668</v>
      </c>
      <c r="B4210" s="62" t="s">
        <v>1870</v>
      </c>
      <c r="C4210" s="63"/>
      <c r="D4210" s="64"/>
      <c r="E4210" s="65"/>
      <c r="F4210" s="66"/>
      <c r="G4210" s="63"/>
      <c r="H4210" s="67"/>
      <c r="I4210" s="68"/>
      <c r="J4210" s="68"/>
      <c r="K4210" s="32"/>
      <c r="L4210" s="75">
        <v>4210</v>
      </c>
      <c r="M4210" s="75"/>
      <c r="N4210" s="70"/>
      <c r="O4210" s="77" t="s">
        <v>2081</v>
      </c>
      <c r="P4210" s="79">
        <v>45196.53125</v>
      </c>
      <c r="Q4210" s="77" t="s">
        <v>5804</v>
      </c>
      <c r="R4210" s="77">
        <v>0</v>
      </c>
      <c r="S4210" s="77">
        <v>1</v>
      </c>
      <c r="T4210" s="77">
        <v>0</v>
      </c>
      <c r="U4210" s="77">
        <v>0</v>
      </c>
      <c r="V4210" s="77">
        <v>146</v>
      </c>
      <c r="W4210" s="80" t="s">
        <v>8543</v>
      </c>
      <c r="X4210" s="83" t="str">
        <f>HYPERLINK("https://www.lmneuquen.com/pais/el-gobierno-dio-marcha-atras-la-disputa-mercado-pago-n1059956")</f>
        <v>https://www.lmneuquen.com/pais/el-gobierno-dio-marcha-atras-la-disputa-mercado-pago-n1059956</v>
      </c>
      <c r="Y4210" s="77" t="s">
        <v>8721</v>
      </c>
      <c r="Z4210" s="77" t="s">
        <v>9035</v>
      </c>
      <c r="AA4210" s="77"/>
      <c r="AB4210" s="77"/>
      <c r="AC4210" s="80" t="s">
        <v>10541</v>
      </c>
      <c r="AD4210" s="77" t="s">
        <v>10620</v>
      </c>
      <c r="AE4210" s="83" t="str">
        <f>HYPERLINK("https://twitter.com/lmneuquen/status/1707013468413464633")</f>
        <v>https://twitter.com/lmneuquen/status/1707013468413464633</v>
      </c>
      <c r="AF4210" s="79">
        <v>45196.53125</v>
      </c>
      <c r="AG4210" s="85">
        <v>45196</v>
      </c>
      <c r="AH4210" s="80" t="s">
        <v>10881</v>
      </c>
      <c r="AI4210" s="77" t="b">
        <v>1</v>
      </c>
      <c r="AJ4210" s="77"/>
      <c r="AK4210" s="77"/>
      <c r="AL4210" s="77"/>
      <c r="AM4210" s="77"/>
      <c r="AN4210" s="77"/>
      <c r="AO4210" s="77"/>
      <c r="AP4210" s="77"/>
      <c r="AQ4210" s="77"/>
      <c r="AR4210" s="77"/>
      <c r="AS4210" s="77"/>
      <c r="AT4210" s="77"/>
      <c r="AU4210" s="77"/>
      <c r="AV4210" s="83" t="str">
        <f>HYPERLINK("https://pbs.twimg.com/profile_images/1511382573468905476/UVivRWRp_normal.jpg")</f>
        <v>https://pbs.twimg.com/profile_images/1511382573468905476/UVivRWRp_normal.jpg</v>
      </c>
      <c r="AW4210" s="80" t="s">
        <v>19875</v>
      </c>
      <c r="AX4210" s="80" t="s">
        <v>19875</v>
      </c>
      <c r="AY4210" s="77"/>
      <c r="AZ4210" s="80" t="s">
        <v>20380</v>
      </c>
      <c r="BA4210" s="80" t="s">
        <v>20380</v>
      </c>
      <c r="BB4210" s="80" t="s">
        <v>20380</v>
      </c>
      <c r="BC4210" s="80" t="s">
        <v>19875</v>
      </c>
      <c r="BD4210" s="77">
        <v>133714571</v>
      </c>
      <c r="BE4210" s="77"/>
      <c r="BF4210" s="77"/>
      <c r="BG4210" s="77"/>
      <c r="BH4210" s="77"/>
      <c r="BI4210" s="77"/>
    </row>
    <row r="4211" spans="1:61" x14ac:dyDescent="0.25">
      <c r="A4211" s="62" t="s">
        <v>1668</v>
      </c>
      <c r="B4211" s="62" t="s">
        <v>1869</v>
      </c>
      <c r="C4211" s="63"/>
      <c r="D4211" s="64"/>
      <c r="E4211" s="65"/>
      <c r="F4211" s="66"/>
      <c r="G4211" s="63"/>
      <c r="H4211" s="67"/>
      <c r="I4211" s="68"/>
      <c r="J4211" s="68"/>
      <c r="K4211" s="32"/>
      <c r="L4211" s="75">
        <v>4211</v>
      </c>
      <c r="M4211" s="75"/>
      <c r="N4211" s="70"/>
      <c r="O4211" s="77" t="s">
        <v>2081</v>
      </c>
      <c r="P4211" s="79">
        <v>45167.705949074072</v>
      </c>
      <c r="Q4211" s="77" t="s">
        <v>5805</v>
      </c>
      <c r="R4211" s="77">
        <v>0</v>
      </c>
      <c r="S4211" s="77">
        <v>0</v>
      </c>
      <c r="T4211" s="77">
        <v>0</v>
      </c>
      <c r="U4211" s="77">
        <v>0</v>
      </c>
      <c r="V4211" s="77">
        <v>228</v>
      </c>
      <c r="W4211" s="80" t="s">
        <v>5884</v>
      </c>
      <c r="X4211" s="83" t="str">
        <f>HYPERLINK("https://www.lmneuquen.com/pais/ahora-los-codigos-qr-deben-aceptar-pagos-cualquier-billetera-virtual-n1052561?utm_medium=Social&amp;utm_source=Twitter#Echobox=1693328125")</f>
        <v>https://www.lmneuquen.com/pais/ahora-los-codigos-qr-deben-aceptar-pagos-cualquier-billetera-virtual-n1052561?utm_medium=Social&amp;utm_source=Twitter#Echobox=1693328125</v>
      </c>
      <c r="Y4211" s="77" t="s">
        <v>8721</v>
      </c>
      <c r="Z4211" s="77" t="s">
        <v>1869</v>
      </c>
      <c r="AA4211" s="77"/>
      <c r="AB4211" s="77"/>
      <c r="AC4211" s="80" t="s">
        <v>10541</v>
      </c>
      <c r="AD4211" s="77" t="s">
        <v>10620</v>
      </c>
      <c r="AE4211" s="83" t="str">
        <f>HYPERLINK("https://twitter.com/lmneuquen/status/1696567529936744692")</f>
        <v>https://twitter.com/lmneuquen/status/1696567529936744692</v>
      </c>
      <c r="AF4211" s="79">
        <v>45167.705949074072</v>
      </c>
      <c r="AG4211" s="85">
        <v>45167</v>
      </c>
      <c r="AH4211" s="80" t="s">
        <v>14267</v>
      </c>
      <c r="AI4211" s="77" t="b">
        <v>1</v>
      </c>
      <c r="AJ4211" s="77"/>
      <c r="AK4211" s="77"/>
      <c r="AL4211" s="77"/>
      <c r="AM4211" s="77"/>
      <c r="AN4211" s="77"/>
      <c r="AO4211" s="77"/>
      <c r="AP4211" s="77"/>
      <c r="AQ4211" s="77"/>
      <c r="AR4211" s="77"/>
      <c r="AS4211" s="77"/>
      <c r="AT4211" s="77"/>
      <c r="AU4211" s="77"/>
      <c r="AV4211" s="83" t="str">
        <f>HYPERLINK("https://pbs.twimg.com/profile_images/1511382573468905476/UVivRWRp_normal.jpg")</f>
        <v>https://pbs.twimg.com/profile_images/1511382573468905476/UVivRWRp_normal.jpg</v>
      </c>
      <c r="AW4211" s="80" t="s">
        <v>19876</v>
      </c>
      <c r="AX4211" s="80" t="s">
        <v>19876</v>
      </c>
      <c r="AY4211" s="77"/>
      <c r="AZ4211" s="80" t="s">
        <v>20380</v>
      </c>
      <c r="BA4211" s="80" t="s">
        <v>20380</v>
      </c>
      <c r="BB4211" s="80" t="s">
        <v>20380</v>
      </c>
      <c r="BC4211" s="80" t="s">
        <v>19876</v>
      </c>
      <c r="BD4211" s="77">
        <v>133714571</v>
      </c>
      <c r="BE4211" s="77"/>
      <c r="BF4211" s="77"/>
      <c r="BG4211" s="77"/>
      <c r="BH4211" s="77"/>
      <c r="BI4211" s="77"/>
    </row>
    <row r="4212" spans="1:61" x14ac:dyDescent="0.25">
      <c r="A4212" s="62" t="s">
        <v>1668</v>
      </c>
      <c r="B4212" s="62" t="s">
        <v>1869</v>
      </c>
      <c r="C4212" s="63"/>
      <c r="D4212" s="64"/>
      <c r="E4212" s="65"/>
      <c r="F4212" s="66"/>
      <c r="G4212" s="63"/>
      <c r="H4212" s="67"/>
      <c r="I4212" s="68"/>
      <c r="J4212" s="68"/>
      <c r="K4212" s="32"/>
      <c r="L4212" s="75">
        <v>4212</v>
      </c>
      <c r="M4212" s="75"/>
      <c r="N4212" s="70"/>
      <c r="O4212" s="77" t="s">
        <v>2081</v>
      </c>
      <c r="P4212" s="79">
        <v>45196.53125</v>
      </c>
      <c r="Q4212" s="77" t="s">
        <v>5804</v>
      </c>
      <c r="R4212" s="77">
        <v>0</v>
      </c>
      <c r="S4212" s="77">
        <v>1</v>
      </c>
      <c r="T4212" s="77">
        <v>0</v>
      </c>
      <c r="U4212" s="77">
        <v>0</v>
      </c>
      <c r="V4212" s="77">
        <v>146</v>
      </c>
      <c r="W4212" s="80" t="s">
        <v>8543</v>
      </c>
      <c r="X4212" s="83" t="str">
        <f>HYPERLINK("https://www.lmneuquen.com/pais/el-gobierno-dio-marcha-atras-la-disputa-mercado-pago-n1059956")</f>
        <v>https://www.lmneuquen.com/pais/el-gobierno-dio-marcha-atras-la-disputa-mercado-pago-n1059956</v>
      </c>
      <c r="Y4212" s="77" t="s">
        <v>8721</v>
      </c>
      <c r="Z4212" s="77" t="s">
        <v>9035</v>
      </c>
      <c r="AA4212" s="77"/>
      <c r="AB4212" s="77"/>
      <c r="AC4212" s="80" t="s">
        <v>10541</v>
      </c>
      <c r="AD4212" s="77" t="s">
        <v>10620</v>
      </c>
      <c r="AE4212" s="83" t="str">
        <f>HYPERLINK("https://twitter.com/lmneuquen/status/1707013468413464633")</f>
        <v>https://twitter.com/lmneuquen/status/1707013468413464633</v>
      </c>
      <c r="AF4212" s="79">
        <v>45196.53125</v>
      </c>
      <c r="AG4212" s="85">
        <v>45196</v>
      </c>
      <c r="AH4212" s="80" t="s">
        <v>10881</v>
      </c>
      <c r="AI4212" s="77" t="b">
        <v>1</v>
      </c>
      <c r="AJ4212" s="77"/>
      <c r="AK4212" s="77"/>
      <c r="AL4212" s="77"/>
      <c r="AM4212" s="77"/>
      <c r="AN4212" s="77"/>
      <c r="AO4212" s="77"/>
      <c r="AP4212" s="77"/>
      <c r="AQ4212" s="77"/>
      <c r="AR4212" s="77"/>
      <c r="AS4212" s="77"/>
      <c r="AT4212" s="77"/>
      <c r="AU4212" s="77"/>
      <c r="AV4212" s="83" t="str">
        <f>HYPERLINK("https://pbs.twimg.com/profile_images/1511382573468905476/UVivRWRp_normal.jpg")</f>
        <v>https://pbs.twimg.com/profile_images/1511382573468905476/UVivRWRp_normal.jpg</v>
      </c>
      <c r="AW4212" s="80" t="s">
        <v>19875</v>
      </c>
      <c r="AX4212" s="80" t="s">
        <v>19875</v>
      </c>
      <c r="AY4212" s="77"/>
      <c r="AZ4212" s="80" t="s">
        <v>20380</v>
      </c>
      <c r="BA4212" s="80" t="s">
        <v>20380</v>
      </c>
      <c r="BB4212" s="80" t="s">
        <v>20380</v>
      </c>
      <c r="BC4212" s="80" t="s">
        <v>19875</v>
      </c>
      <c r="BD4212" s="77">
        <v>133714571</v>
      </c>
      <c r="BE4212" s="77"/>
      <c r="BF4212" s="77"/>
      <c r="BG4212" s="77"/>
      <c r="BH4212" s="77"/>
      <c r="BI4212" s="77"/>
    </row>
    <row r="4213" spans="1:61" x14ac:dyDescent="0.25">
      <c r="A4213" s="62" t="s">
        <v>1669</v>
      </c>
      <c r="B4213" s="62" t="s">
        <v>1669</v>
      </c>
      <c r="C4213" s="63"/>
      <c r="D4213" s="64"/>
      <c r="E4213" s="65"/>
      <c r="F4213" s="66"/>
      <c r="G4213" s="63"/>
      <c r="H4213" s="67"/>
      <c r="I4213" s="68"/>
      <c r="J4213" s="68"/>
      <c r="K4213" s="32"/>
      <c r="L4213" s="75">
        <v>4213</v>
      </c>
      <c r="M4213" s="75"/>
      <c r="N4213" s="70"/>
      <c r="O4213" s="77" t="s">
        <v>179</v>
      </c>
      <c r="P4213" s="79">
        <v>45069.896527777775</v>
      </c>
      <c r="Q4213" s="77" t="s">
        <v>5806</v>
      </c>
      <c r="R4213" s="77">
        <v>12</v>
      </c>
      <c r="S4213" s="77">
        <v>71</v>
      </c>
      <c r="T4213" s="77">
        <v>20</v>
      </c>
      <c r="U4213" s="77">
        <v>27</v>
      </c>
      <c r="V4213" s="77">
        <v>45429</v>
      </c>
      <c r="W4213" s="80" t="s">
        <v>8544</v>
      </c>
      <c r="X4213" s="83" t="str">
        <f>HYPERLINK("https://www.bcra.gob.ar/PublicacionesEstadisticas/Principales_variables.asp")</f>
        <v>https://www.bcra.gob.ar/PublicacionesEstadisticas/Principales_variables.asp</v>
      </c>
      <c r="Y4213" s="77" t="s">
        <v>8892</v>
      </c>
      <c r="Z4213" s="77"/>
      <c r="AA4213" s="77" t="s">
        <v>10514</v>
      </c>
      <c r="AB4213" s="77" t="s">
        <v>10535</v>
      </c>
      <c r="AC4213" s="80" t="s">
        <v>10541</v>
      </c>
      <c r="AD4213" s="77" t="s">
        <v>10620</v>
      </c>
      <c r="AE4213" s="83" t="str">
        <f>HYPERLINK("https://twitter.com/bancocentral_ar/status/1661122581410316289")</f>
        <v>https://twitter.com/bancocentral_ar/status/1661122581410316289</v>
      </c>
      <c r="AF4213" s="79">
        <v>45069.896527777775</v>
      </c>
      <c r="AG4213" s="85">
        <v>45069</v>
      </c>
      <c r="AH4213" s="80" t="s">
        <v>14268</v>
      </c>
      <c r="AI4213" s="77" t="b">
        <v>0</v>
      </c>
      <c r="AJ4213" s="77"/>
      <c r="AK4213" s="77"/>
      <c r="AL4213" s="77"/>
      <c r="AM4213" s="77"/>
      <c r="AN4213" s="77"/>
      <c r="AO4213" s="77"/>
      <c r="AP4213" s="77"/>
      <c r="AQ4213" s="77" t="s">
        <v>15991</v>
      </c>
      <c r="AR4213" s="77"/>
      <c r="AS4213" s="77"/>
      <c r="AT4213" s="77"/>
      <c r="AU4213" s="77"/>
      <c r="AV4213" s="83" t="str">
        <f>HYPERLINK("https://pbs.twimg.com/media/Fw17gH5WYAEUE5V.jpg")</f>
        <v>https://pbs.twimg.com/media/Fw17gH5WYAEUE5V.jpg</v>
      </c>
      <c r="AW4213" s="80" t="s">
        <v>19877</v>
      </c>
      <c r="AX4213" s="80" t="s">
        <v>19877</v>
      </c>
      <c r="AY4213" s="77"/>
      <c r="AZ4213" s="80" t="s">
        <v>20380</v>
      </c>
      <c r="BA4213" s="80" t="s">
        <v>20380</v>
      </c>
      <c r="BB4213" s="80" t="s">
        <v>20380</v>
      </c>
      <c r="BC4213" s="80" t="s">
        <v>19877</v>
      </c>
      <c r="BD4213" s="77">
        <v>2516650610</v>
      </c>
      <c r="BE4213" s="77"/>
      <c r="BF4213" s="77"/>
      <c r="BG4213" s="77"/>
      <c r="BH4213" s="77"/>
      <c r="BI4213" s="77"/>
    </row>
    <row r="4214" spans="1:61" x14ac:dyDescent="0.25">
      <c r="A4214" s="62" t="s">
        <v>1668</v>
      </c>
      <c r="B4214" s="62" t="s">
        <v>1669</v>
      </c>
      <c r="C4214" s="63"/>
      <c r="D4214" s="64"/>
      <c r="E4214" s="65"/>
      <c r="F4214" s="66"/>
      <c r="G4214" s="63"/>
      <c r="H4214" s="67"/>
      <c r="I4214" s="68"/>
      <c r="J4214" s="68"/>
      <c r="K4214" s="32"/>
      <c r="L4214" s="75">
        <v>4214</v>
      </c>
      <c r="M4214" s="75"/>
      <c r="N4214" s="70"/>
      <c r="O4214" s="77" t="s">
        <v>2081</v>
      </c>
      <c r="P4214" s="79">
        <v>45139.611111111109</v>
      </c>
      <c r="Q4214" s="77" t="s">
        <v>5807</v>
      </c>
      <c r="R4214" s="77">
        <v>0</v>
      </c>
      <c r="S4214" s="77">
        <v>0</v>
      </c>
      <c r="T4214" s="77">
        <v>0</v>
      </c>
      <c r="U4214" s="77">
        <v>0</v>
      </c>
      <c r="V4214" s="77">
        <v>189</v>
      </c>
      <c r="W4214" s="80" t="s">
        <v>8545</v>
      </c>
      <c r="X4214" s="83" t="str">
        <f>HYPERLINK("https://www.lmneuquen.com/pais/donde-se-guardan-las-reservas-del-banco-central-n1045373?utm_medium=Social&amp;utm_source=Twitter#Echobox=1690897609")</f>
        <v>https://www.lmneuquen.com/pais/donde-se-guardan-las-reservas-del-banco-central-n1045373?utm_medium=Social&amp;utm_source=Twitter#Echobox=1690897609</v>
      </c>
      <c r="Y4214" s="77" t="s">
        <v>8721</v>
      </c>
      <c r="Z4214" s="77" t="s">
        <v>9036</v>
      </c>
      <c r="AA4214" s="77"/>
      <c r="AB4214" s="77"/>
      <c r="AC4214" s="80" t="s">
        <v>10541</v>
      </c>
      <c r="AD4214" s="77" t="s">
        <v>10620</v>
      </c>
      <c r="AE4214" s="83" t="str">
        <f>HYPERLINK("https://twitter.com/lmneuquen/status/1686386300503613442")</f>
        <v>https://twitter.com/lmneuquen/status/1686386300503613442</v>
      </c>
      <c r="AF4214" s="79">
        <v>45139.611111111109</v>
      </c>
      <c r="AG4214" s="85">
        <v>45139</v>
      </c>
      <c r="AH4214" s="80" t="s">
        <v>14269</v>
      </c>
      <c r="AI4214" s="77" t="b">
        <v>1</v>
      </c>
      <c r="AJ4214" s="77"/>
      <c r="AK4214" s="77"/>
      <c r="AL4214" s="77"/>
      <c r="AM4214" s="77"/>
      <c r="AN4214" s="77"/>
      <c r="AO4214" s="77"/>
      <c r="AP4214" s="77"/>
      <c r="AQ4214" s="77"/>
      <c r="AR4214" s="77"/>
      <c r="AS4214" s="77"/>
      <c r="AT4214" s="77"/>
      <c r="AU4214" s="77"/>
      <c r="AV4214" s="83" t="str">
        <f>HYPERLINK("https://pbs.twimg.com/profile_images/1511382573468905476/UVivRWRp_normal.jpg")</f>
        <v>https://pbs.twimg.com/profile_images/1511382573468905476/UVivRWRp_normal.jpg</v>
      </c>
      <c r="AW4214" s="80" t="s">
        <v>19878</v>
      </c>
      <c r="AX4214" s="80" t="s">
        <v>19878</v>
      </c>
      <c r="AY4214" s="77"/>
      <c r="AZ4214" s="80" t="s">
        <v>20380</v>
      </c>
      <c r="BA4214" s="80" t="s">
        <v>20380</v>
      </c>
      <c r="BB4214" s="80" t="s">
        <v>20380</v>
      </c>
      <c r="BC4214" s="80" t="s">
        <v>19878</v>
      </c>
      <c r="BD4214" s="77">
        <v>133714571</v>
      </c>
      <c r="BE4214" s="77"/>
      <c r="BF4214" s="77"/>
      <c r="BG4214" s="77"/>
      <c r="BH4214" s="77"/>
      <c r="BI4214" s="77"/>
    </row>
    <row r="4215" spans="1:61" x14ac:dyDescent="0.25">
      <c r="A4215" s="62" t="s">
        <v>1668</v>
      </c>
      <c r="B4215" s="62" t="s">
        <v>2029</v>
      </c>
      <c r="C4215" s="63"/>
      <c r="D4215" s="64"/>
      <c r="E4215" s="65"/>
      <c r="F4215" s="66"/>
      <c r="G4215" s="63"/>
      <c r="H4215" s="67"/>
      <c r="I4215" s="68"/>
      <c r="J4215" s="68"/>
      <c r="K4215" s="32"/>
      <c r="L4215" s="75">
        <v>4215</v>
      </c>
      <c r="M4215" s="75"/>
      <c r="N4215" s="70"/>
      <c r="O4215" s="77" t="s">
        <v>2081</v>
      </c>
      <c r="P4215" s="79">
        <v>45139.611111111109</v>
      </c>
      <c r="Q4215" s="77" t="s">
        <v>5807</v>
      </c>
      <c r="R4215" s="77">
        <v>0</v>
      </c>
      <c r="S4215" s="77">
        <v>0</v>
      </c>
      <c r="T4215" s="77">
        <v>0</v>
      </c>
      <c r="U4215" s="77">
        <v>0</v>
      </c>
      <c r="V4215" s="77">
        <v>189</v>
      </c>
      <c r="W4215" s="80" t="s">
        <v>8545</v>
      </c>
      <c r="X4215" s="83" t="str">
        <f>HYPERLINK("https://www.lmneuquen.com/pais/donde-se-guardan-las-reservas-del-banco-central-n1045373?utm_medium=Social&amp;utm_source=Twitter#Echobox=1690897609")</f>
        <v>https://www.lmneuquen.com/pais/donde-se-guardan-las-reservas-del-banco-central-n1045373?utm_medium=Social&amp;utm_source=Twitter#Echobox=1690897609</v>
      </c>
      <c r="Y4215" s="77" t="s">
        <v>8721</v>
      </c>
      <c r="Z4215" s="77" t="s">
        <v>9036</v>
      </c>
      <c r="AA4215" s="77"/>
      <c r="AB4215" s="77"/>
      <c r="AC4215" s="80" t="s">
        <v>10541</v>
      </c>
      <c r="AD4215" s="77" t="s">
        <v>10620</v>
      </c>
      <c r="AE4215" s="83" t="str">
        <f>HYPERLINK("https://twitter.com/lmneuquen/status/1686386300503613442")</f>
        <v>https://twitter.com/lmneuquen/status/1686386300503613442</v>
      </c>
      <c r="AF4215" s="79">
        <v>45139.611111111109</v>
      </c>
      <c r="AG4215" s="85">
        <v>45139</v>
      </c>
      <c r="AH4215" s="80" t="s">
        <v>14269</v>
      </c>
      <c r="AI4215" s="77" t="b">
        <v>1</v>
      </c>
      <c r="AJ4215" s="77"/>
      <c r="AK4215" s="77"/>
      <c r="AL4215" s="77"/>
      <c r="AM4215" s="77"/>
      <c r="AN4215" s="77"/>
      <c r="AO4215" s="77"/>
      <c r="AP4215" s="77"/>
      <c r="AQ4215" s="77"/>
      <c r="AR4215" s="77"/>
      <c r="AS4215" s="77"/>
      <c r="AT4215" s="77"/>
      <c r="AU4215" s="77"/>
      <c r="AV4215" s="83" t="str">
        <f>HYPERLINK("https://pbs.twimg.com/profile_images/1511382573468905476/UVivRWRp_normal.jpg")</f>
        <v>https://pbs.twimg.com/profile_images/1511382573468905476/UVivRWRp_normal.jpg</v>
      </c>
      <c r="AW4215" s="80" t="s">
        <v>19878</v>
      </c>
      <c r="AX4215" s="80" t="s">
        <v>19878</v>
      </c>
      <c r="AY4215" s="77"/>
      <c r="AZ4215" s="80" t="s">
        <v>20380</v>
      </c>
      <c r="BA4215" s="80" t="s">
        <v>20380</v>
      </c>
      <c r="BB4215" s="80" t="s">
        <v>20380</v>
      </c>
      <c r="BC4215" s="80" t="s">
        <v>19878</v>
      </c>
      <c r="BD4215" s="77">
        <v>133714571</v>
      </c>
      <c r="BE4215" s="77"/>
      <c r="BF4215" s="77"/>
      <c r="BG4215" s="77"/>
      <c r="BH4215" s="77"/>
      <c r="BI4215" s="77"/>
    </row>
    <row r="4216" spans="1:61" x14ac:dyDescent="0.25">
      <c r="A4216" s="62" t="s">
        <v>1668</v>
      </c>
      <c r="B4216" s="62" t="s">
        <v>1668</v>
      </c>
      <c r="C4216" s="63"/>
      <c r="D4216" s="64"/>
      <c r="E4216" s="65"/>
      <c r="F4216" s="66"/>
      <c r="G4216" s="63"/>
      <c r="H4216" s="67"/>
      <c r="I4216" s="68"/>
      <c r="J4216" s="68"/>
      <c r="K4216" s="32"/>
      <c r="L4216" s="75">
        <v>4216</v>
      </c>
      <c r="M4216" s="75"/>
      <c r="N4216" s="70"/>
      <c r="O4216" s="77" t="s">
        <v>179</v>
      </c>
      <c r="P4216" s="79">
        <v>45155.729166666664</v>
      </c>
      <c r="Q4216" s="77" t="s">
        <v>5808</v>
      </c>
      <c r="R4216" s="77">
        <v>0</v>
      </c>
      <c r="S4216" s="77">
        <v>0</v>
      </c>
      <c r="T4216" s="77">
        <v>0</v>
      </c>
      <c r="U4216" s="77">
        <v>0</v>
      </c>
      <c r="V4216" s="77">
        <v>441</v>
      </c>
      <c r="W4216" s="80" t="s">
        <v>5884</v>
      </c>
      <c r="X4216" s="83" t="str">
        <f>HYPERLINK("https://www.lmneuquen.com/pais/atencion-plazos-fijos-la-decision-del-banco-central-que-afecta-las-tasas-interes-n1049657")</f>
        <v>https://www.lmneuquen.com/pais/atencion-plazos-fijos-la-decision-del-banco-central-que-afecta-las-tasas-interes-n1049657</v>
      </c>
      <c r="Y4216" s="77" t="s">
        <v>8721</v>
      </c>
      <c r="Z4216" s="77"/>
      <c r="AA4216" s="77"/>
      <c r="AB4216" s="77"/>
      <c r="AC4216" s="80" t="s">
        <v>10541</v>
      </c>
      <c r="AD4216" s="77" t="s">
        <v>10620</v>
      </c>
      <c r="AE4216" s="83" t="str">
        <f>HYPERLINK("https://twitter.com/lmneuquen/status/1692227289139097854")</f>
        <v>https://twitter.com/lmneuquen/status/1692227289139097854</v>
      </c>
      <c r="AF4216" s="79">
        <v>45155.729166666664</v>
      </c>
      <c r="AG4216" s="85">
        <v>45155</v>
      </c>
      <c r="AH4216" s="80" t="s">
        <v>14270</v>
      </c>
      <c r="AI4216" s="77" t="b">
        <v>1</v>
      </c>
      <c r="AJ4216" s="77"/>
      <c r="AK4216" s="77"/>
      <c r="AL4216" s="77"/>
      <c r="AM4216" s="77"/>
      <c r="AN4216" s="77"/>
      <c r="AO4216" s="77"/>
      <c r="AP4216" s="77"/>
      <c r="AQ4216" s="77"/>
      <c r="AR4216" s="77"/>
      <c r="AS4216" s="77"/>
      <c r="AT4216" s="77"/>
      <c r="AU4216" s="77"/>
      <c r="AV4216" s="83" t="str">
        <f>HYPERLINK("https://pbs.twimg.com/profile_images/1511382573468905476/UVivRWRp_normal.jpg")</f>
        <v>https://pbs.twimg.com/profile_images/1511382573468905476/UVivRWRp_normal.jpg</v>
      </c>
      <c r="AW4216" s="80" t="s">
        <v>19879</v>
      </c>
      <c r="AX4216" s="80" t="s">
        <v>19879</v>
      </c>
      <c r="AY4216" s="77"/>
      <c r="AZ4216" s="80" t="s">
        <v>20380</v>
      </c>
      <c r="BA4216" s="80" t="s">
        <v>20380</v>
      </c>
      <c r="BB4216" s="80" t="s">
        <v>20380</v>
      </c>
      <c r="BC4216" s="80" t="s">
        <v>19879</v>
      </c>
      <c r="BD4216" s="77">
        <v>133714571</v>
      </c>
      <c r="BE4216" s="77"/>
      <c r="BF4216" s="77"/>
      <c r="BG4216" s="77"/>
      <c r="BH4216" s="77"/>
      <c r="BI4216" s="77"/>
    </row>
    <row r="4217" spans="1:61" x14ac:dyDescent="0.25">
      <c r="A4217" s="62" t="s">
        <v>1668</v>
      </c>
      <c r="B4217" s="62" t="s">
        <v>1668</v>
      </c>
      <c r="C4217" s="63"/>
      <c r="D4217" s="64"/>
      <c r="E4217" s="65"/>
      <c r="F4217" s="66"/>
      <c r="G4217" s="63"/>
      <c r="H4217" s="67"/>
      <c r="I4217" s="68"/>
      <c r="J4217" s="68"/>
      <c r="K4217" s="32"/>
      <c r="L4217" s="75">
        <v>4217</v>
      </c>
      <c r="M4217" s="75"/>
      <c r="N4217" s="70"/>
      <c r="O4217" s="77" t="s">
        <v>179</v>
      </c>
      <c r="P4217" s="79">
        <v>45148.721365740741</v>
      </c>
      <c r="Q4217" s="77" t="s">
        <v>5809</v>
      </c>
      <c r="R4217" s="77">
        <v>0</v>
      </c>
      <c r="S4217" s="77">
        <v>0</v>
      </c>
      <c r="T4217" s="77">
        <v>0</v>
      </c>
      <c r="U4217" s="77">
        <v>0</v>
      </c>
      <c r="V4217" s="77">
        <v>193</v>
      </c>
      <c r="W4217" s="80" t="s">
        <v>8466</v>
      </c>
      <c r="X4217" s="83" t="str">
        <f>HYPERLINK("https://www.lmneuquen.com/pais/dolar-blue-imparable-sube-8-pesos-y-bate-el-record-608-n1047884")</f>
        <v>https://www.lmneuquen.com/pais/dolar-blue-imparable-sube-8-pesos-y-bate-el-record-608-n1047884</v>
      </c>
      <c r="Y4217" s="77" t="s">
        <v>8721</v>
      </c>
      <c r="Z4217" s="77"/>
      <c r="AA4217" s="77"/>
      <c r="AB4217" s="77"/>
      <c r="AC4217" s="80" t="s">
        <v>10541</v>
      </c>
      <c r="AD4217" s="77" t="s">
        <v>10620</v>
      </c>
      <c r="AE4217" s="83" t="str">
        <f>HYPERLINK("https://twitter.com/lmneuquen/status/1689687748267909120")</f>
        <v>https://twitter.com/lmneuquen/status/1689687748267909120</v>
      </c>
      <c r="AF4217" s="79">
        <v>45148.721365740741</v>
      </c>
      <c r="AG4217" s="85">
        <v>45148</v>
      </c>
      <c r="AH4217" s="80" t="s">
        <v>14271</v>
      </c>
      <c r="AI4217" s="77" t="b">
        <v>1</v>
      </c>
      <c r="AJ4217" s="77"/>
      <c r="AK4217" s="77"/>
      <c r="AL4217" s="77"/>
      <c r="AM4217" s="77"/>
      <c r="AN4217" s="77"/>
      <c r="AO4217" s="77"/>
      <c r="AP4217" s="77"/>
      <c r="AQ4217" s="77"/>
      <c r="AR4217" s="77"/>
      <c r="AS4217" s="77"/>
      <c r="AT4217" s="77"/>
      <c r="AU4217" s="77"/>
      <c r="AV4217" s="83" t="str">
        <f>HYPERLINK("https://pbs.twimg.com/profile_images/1511382573468905476/UVivRWRp_normal.jpg")</f>
        <v>https://pbs.twimg.com/profile_images/1511382573468905476/UVivRWRp_normal.jpg</v>
      </c>
      <c r="AW4217" s="80" t="s">
        <v>19880</v>
      </c>
      <c r="AX4217" s="80" t="s">
        <v>19880</v>
      </c>
      <c r="AY4217" s="77"/>
      <c r="AZ4217" s="80" t="s">
        <v>20380</v>
      </c>
      <c r="BA4217" s="80" t="s">
        <v>20380</v>
      </c>
      <c r="BB4217" s="80" t="s">
        <v>20380</v>
      </c>
      <c r="BC4217" s="80" t="s">
        <v>19880</v>
      </c>
      <c r="BD4217" s="77">
        <v>133714571</v>
      </c>
      <c r="BE4217" s="77"/>
      <c r="BF4217" s="77"/>
      <c r="BG4217" s="77"/>
      <c r="BH4217" s="77"/>
      <c r="BI4217" s="77"/>
    </row>
    <row r="4218" spans="1:61" x14ac:dyDescent="0.25">
      <c r="A4218" s="62" t="s">
        <v>1668</v>
      </c>
      <c r="B4218" s="62" t="s">
        <v>1668</v>
      </c>
      <c r="C4218" s="63"/>
      <c r="D4218" s="64"/>
      <c r="E4218" s="65"/>
      <c r="F4218" s="66"/>
      <c r="G4218" s="63"/>
      <c r="H4218" s="67"/>
      <c r="I4218" s="68"/>
      <c r="J4218" s="68"/>
      <c r="K4218" s="32"/>
      <c r="L4218" s="75">
        <v>4218</v>
      </c>
      <c r="M4218" s="75"/>
      <c r="N4218" s="70"/>
      <c r="O4218" s="77" t="s">
        <v>179</v>
      </c>
      <c r="P4218" s="79">
        <v>45160.756944444445</v>
      </c>
      <c r="Q4218" s="77" t="s">
        <v>5810</v>
      </c>
      <c r="R4218" s="77">
        <v>0</v>
      </c>
      <c r="S4218" s="77">
        <v>0</v>
      </c>
      <c r="T4218" s="77">
        <v>1</v>
      </c>
      <c r="U4218" s="77">
        <v>0</v>
      </c>
      <c r="V4218" s="77">
        <v>368</v>
      </c>
      <c r="W4218" s="80" t="s">
        <v>7155</v>
      </c>
      <c r="X4218" s="83" t="str">
        <f>HYPERLINK("https://www.lmneuquen.com/pais/esperan-mantener-las-reservas-del-banco-central-5100-millones-dolares-n1050847?utm_medium=Social&amp;utm_source=Twitter#Echobox=1692727005")</f>
        <v>https://www.lmneuquen.com/pais/esperan-mantener-las-reservas-del-banco-central-5100-millones-dolares-n1050847?utm_medium=Social&amp;utm_source=Twitter#Echobox=1692727005</v>
      </c>
      <c r="Y4218" s="77" t="s">
        <v>8721</v>
      </c>
      <c r="Z4218" s="77"/>
      <c r="AA4218" s="77"/>
      <c r="AB4218" s="77"/>
      <c r="AC4218" s="80" t="s">
        <v>10541</v>
      </c>
      <c r="AD4218" s="77" t="s">
        <v>10620</v>
      </c>
      <c r="AE4218" s="83" t="str">
        <f>HYPERLINK("https://twitter.com/lmneuquen/status/1694049293835853998")</f>
        <v>https://twitter.com/lmneuquen/status/1694049293835853998</v>
      </c>
      <c r="AF4218" s="79">
        <v>45160.756944444445</v>
      </c>
      <c r="AG4218" s="85">
        <v>45160</v>
      </c>
      <c r="AH4218" s="80" t="s">
        <v>14272</v>
      </c>
      <c r="AI4218" s="77" t="b">
        <v>1</v>
      </c>
      <c r="AJ4218" s="77"/>
      <c r="AK4218" s="77"/>
      <c r="AL4218" s="77"/>
      <c r="AM4218" s="77"/>
      <c r="AN4218" s="77"/>
      <c r="AO4218" s="77"/>
      <c r="AP4218" s="77"/>
      <c r="AQ4218" s="77"/>
      <c r="AR4218" s="77"/>
      <c r="AS4218" s="77"/>
      <c r="AT4218" s="77"/>
      <c r="AU4218" s="77"/>
      <c r="AV4218" s="83" t="str">
        <f>HYPERLINK("https://pbs.twimg.com/profile_images/1511382573468905476/UVivRWRp_normal.jpg")</f>
        <v>https://pbs.twimg.com/profile_images/1511382573468905476/UVivRWRp_normal.jpg</v>
      </c>
      <c r="AW4218" s="80" t="s">
        <v>19881</v>
      </c>
      <c r="AX4218" s="80" t="s">
        <v>19881</v>
      </c>
      <c r="AY4218" s="77"/>
      <c r="AZ4218" s="80" t="s">
        <v>20380</v>
      </c>
      <c r="BA4218" s="80" t="s">
        <v>20380</v>
      </c>
      <c r="BB4218" s="80" t="s">
        <v>20380</v>
      </c>
      <c r="BC4218" s="80" t="s">
        <v>19881</v>
      </c>
      <c r="BD4218" s="77">
        <v>133714571</v>
      </c>
      <c r="BE4218" s="77"/>
      <c r="BF4218" s="77"/>
      <c r="BG4218" s="77"/>
      <c r="BH4218" s="77"/>
      <c r="BI4218" s="77"/>
    </row>
    <row r="4219" spans="1:61" x14ac:dyDescent="0.25">
      <c r="A4219" s="62" t="s">
        <v>1668</v>
      </c>
      <c r="B4219" s="62" t="s">
        <v>1668</v>
      </c>
      <c r="C4219" s="63"/>
      <c r="D4219" s="64"/>
      <c r="E4219" s="65"/>
      <c r="F4219" s="66"/>
      <c r="G4219" s="63"/>
      <c r="H4219" s="67"/>
      <c r="I4219" s="68"/>
      <c r="J4219" s="68"/>
      <c r="K4219" s="32"/>
      <c r="L4219" s="75">
        <v>4219</v>
      </c>
      <c r="M4219" s="75"/>
      <c r="N4219" s="70"/>
      <c r="O4219" s="77" t="s">
        <v>179</v>
      </c>
      <c r="P4219" s="79">
        <v>45163.638888888891</v>
      </c>
      <c r="Q4219" s="77" t="s">
        <v>5811</v>
      </c>
      <c r="R4219" s="77">
        <v>0</v>
      </c>
      <c r="S4219" s="77">
        <v>0</v>
      </c>
      <c r="T4219" s="77">
        <v>0</v>
      </c>
      <c r="U4219" s="77">
        <v>0</v>
      </c>
      <c r="V4219" s="77">
        <v>282</v>
      </c>
      <c r="W4219" s="80" t="s">
        <v>8546</v>
      </c>
      <c r="X4219" s="83" t="str">
        <f>HYPERLINK("https://www.lmneuquen.com/pais/los-cambios-mercado-pago-uala-y-naranja-x-como-afecta-los-usuarios-n1051745")</f>
        <v>https://www.lmneuquen.com/pais/los-cambios-mercado-pago-uala-y-naranja-x-como-afecta-los-usuarios-n1051745</v>
      </c>
      <c r="Y4219" s="77" t="s">
        <v>8721</v>
      </c>
      <c r="Z4219" s="77"/>
      <c r="AA4219" s="77"/>
      <c r="AB4219" s="77"/>
      <c r="AC4219" s="80" t="s">
        <v>10541</v>
      </c>
      <c r="AD4219" s="77" t="s">
        <v>10620</v>
      </c>
      <c r="AE4219" s="83" t="str">
        <f>HYPERLINK("https://twitter.com/lmneuquen/status/1695093675741565076")</f>
        <v>https://twitter.com/lmneuquen/status/1695093675741565076</v>
      </c>
      <c r="AF4219" s="79">
        <v>45163.638888888891</v>
      </c>
      <c r="AG4219" s="85">
        <v>45163</v>
      </c>
      <c r="AH4219" s="80" t="s">
        <v>11754</v>
      </c>
      <c r="AI4219" s="77" t="b">
        <v>1</v>
      </c>
      <c r="AJ4219" s="77"/>
      <c r="AK4219" s="77"/>
      <c r="AL4219" s="77"/>
      <c r="AM4219" s="77"/>
      <c r="AN4219" s="77"/>
      <c r="AO4219" s="77"/>
      <c r="AP4219" s="77"/>
      <c r="AQ4219" s="77"/>
      <c r="AR4219" s="77"/>
      <c r="AS4219" s="77"/>
      <c r="AT4219" s="77"/>
      <c r="AU4219" s="77"/>
      <c r="AV4219" s="83" t="str">
        <f>HYPERLINK("https://pbs.twimg.com/profile_images/1511382573468905476/UVivRWRp_normal.jpg")</f>
        <v>https://pbs.twimg.com/profile_images/1511382573468905476/UVivRWRp_normal.jpg</v>
      </c>
      <c r="AW4219" s="80" t="s">
        <v>19882</v>
      </c>
      <c r="AX4219" s="80" t="s">
        <v>19882</v>
      </c>
      <c r="AY4219" s="77"/>
      <c r="AZ4219" s="80" t="s">
        <v>20380</v>
      </c>
      <c r="BA4219" s="80" t="s">
        <v>20380</v>
      </c>
      <c r="BB4219" s="80" t="s">
        <v>20380</v>
      </c>
      <c r="BC4219" s="80" t="s">
        <v>19882</v>
      </c>
      <c r="BD4219" s="77">
        <v>133714571</v>
      </c>
      <c r="BE4219" s="77"/>
      <c r="BF4219" s="77"/>
      <c r="BG4219" s="77"/>
      <c r="BH4219" s="77"/>
      <c r="BI4219" s="77"/>
    </row>
    <row r="4220" spans="1:61" x14ac:dyDescent="0.25">
      <c r="A4220" s="62" t="s">
        <v>1668</v>
      </c>
      <c r="B4220" s="62" t="s">
        <v>1668</v>
      </c>
      <c r="C4220" s="63"/>
      <c r="D4220" s="64"/>
      <c r="E4220" s="65"/>
      <c r="F4220" s="66"/>
      <c r="G4220" s="63"/>
      <c r="H4220" s="67"/>
      <c r="I4220" s="68"/>
      <c r="J4220" s="68"/>
      <c r="K4220" s="32"/>
      <c r="L4220" s="75">
        <v>4220</v>
      </c>
      <c r="M4220" s="75"/>
      <c r="N4220" s="70"/>
      <c r="O4220" s="77" t="s">
        <v>179</v>
      </c>
      <c r="P4220" s="79">
        <v>45177.6875</v>
      </c>
      <c r="Q4220" s="77" t="s">
        <v>5812</v>
      </c>
      <c r="R4220" s="77">
        <v>0</v>
      </c>
      <c r="S4220" s="77">
        <v>0</v>
      </c>
      <c r="T4220" s="77">
        <v>0</v>
      </c>
      <c r="U4220" s="77">
        <v>0</v>
      </c>
      <c r="V4220" s="77">
        <v>152</v>
      </c>
      <c r="W4220" s="80" t="s">
        <v>8547</v>
      </c>
      <c r="X4220" s="83" t="str">
        <f>HYPERLINK("https://www.lmneuquen.com/pais/el-banco-central-postergo-medida-que-permite-pagar-qr-cualquier-billetera-digital-n1055143")</f>
        <v>https://www.lmneuquen.com/pais/el-banco-central-postergo-medida-que-permite-pagar-qr-cualquier-billetera-digital-n1055143</v>
      </c>
      <c r="Y4220" s="77" t="s">
        <v>8721</v>
      </c>
      <c r="Z4220" s="77"/>
      <c r="AA4220" s="77"/>
      <c r="AB4220" s="77"/>
      <c r="AC4220" s="80" t="s">
        <v>10541</v>
      </c>
      <c r="AD4220" s="77" t="s">
        <v>10620</v>
      </c>
      <c r="AE4220" s="83" t="str">
        <f>HYPERLINK("https://twitter.com/lmneuquen/status/1700184722905645324")</f>
        <v>https://twitter.com/lmneuquen/status/1700184722905645324</v>
      </c>
      <c r="AF4220" s="79">
        <v>45177.6875</v>
      </c>
      <c r="AG4220" s="85">
        <v>45177</v>
      </c>
      <c r="AH4220" s="80" t="s">
        <v>10759</v>
      </c>
      <c r="AI4220" s="77" t="b">
        <v>1</v>
      </c>
      <c r="AJ4220" s="77"/>
      <c r="AK4220" s="77"/>
      <c r="AL4220" s="77"/>
      <c r="AM4220" s="77"/>
      <c r="AN4220" s="77"/>
      <c r="AO4220" s="77"/>
      <c r="AP4220" s="77"/>
      <c r="AQ4220" s="77"/>
      <c r="AR4220" s="77"/>
      <c r="AS4220" s="77"/>
      <c r="AT4220" s="77"/>
      <c r="AU4220" s="77"/>
      <c r="AV4220" s="83" t="str">
        <f>HYPERLINK("https://pbs.twimg.com/profile_images/1511382573468905476/UVivRWRp_normal.jpg")</f>
        <v>https://pbs.twimg.com/profile_images/1511382573468905476/UVivRWRp_normal.jpg</v>
      </c>
      <c r="AW4220" s="80" t="s">
        <v>19883</v>
      </c>
      <c r="AX4220" s="80" t="s">
        <v>19883</v>
      </c>
      <c r="AY4220" s="77"/>
      <c r="AZ4220" s="80" t="s">
        <v>20380</v>
      </c>
      <c r="BA4220" s="80" t="s">
        <v>20380</v>
      </c>
      <c r="BB4220" s="80" t="s">
        <v>20380</v>
      </c>
      <c r="BC4220" s="80" t="s">
        <v>19883</v>
      </c>
      <c r="BD4220" s="77">
        <v>133714571</v>
      </c>
      <c r="BE4220" s="77"/>
      <c r="BF4220" s="77"/>
      <c r="BG4220" s="77"/>
      <c r="BH4220" s="77"/>
      <c r="BI4220" s="77"/>
    </row>
    <row r="4221" spans="1:61" x14ac:dyDescent="0.25">
      <c r="A4221" s="62" t="s">
        <v>1668</v>
      </c>
      <c r="B4221" s="62" t="s">
        <v>1668</v>
      </c>
      <c r="C4221" s="63"/>
      <c r="D4221" s="64"/>
      <c r="E4221" s="65"/>
      <c r="F4221" s="66"/>
      <c r="G4221" s="63"/>
      <c r="H4221" s="67"/>
      <c r="I4221" s="68"/>
      <c r="J4221" s="68"/>
      <c r="K4221" s="32"/>
      <c r="L4221" s="75">
        <v>4221</v>
      </c>
      <c r="M4221" s="75"/>
      <c r="N4221" s="70"/>
      <c r="O4221" s="77" t="s">
        <v>179</v>
      </c>
      <c r="P4221" s="79">
        <v>45191.791689814818</v>
      </c>
      <c r="Q4221" s="77" t="s">
        <v>5813</v>
      </c>
      <c r="R4221" s="77">
        <v>0</v>
      </c>
      <c r="S4221" s="77">
        <v>0</v>
      </c>
      <c r="T4221" s="77">
        <v>0</v>
      </c>
      <c r="U4221" s="77">
        <v>0</v>
      </c>
      <c r="V4221" s="77">
        <v>151</v>
      </c>
      <c r="W4221" s="80" t="s">
        <v>5884</v>
      </c>
      <c r="X4221" s="83" t="str">
        <f>HYPERLINK("https://www.lmneuquen.com/pais/milei-presento-quien-va-cerrar-el-banco-central-n1058842")</f>
        <v>https://www.lmneuquen.com/pais/milei-presento-quien-va-cerrar-el-banco-central-n1058842</v>
      </c>
      <c r="Y4221" s="77" t="s">
        <v>8721</v>
      </c>
      <c r="Z4221" s="77"/>
      <c r="AA4221" s="77"/>
      <c r="AB4221" s="77"/>
      <c r="AC4221" s="80" t="s">
        <v>10541</v>
      </c>
      <c r="AD4221" s="77" t="s">
        <v>10620</v>
      </c>
      <c r="AE4221" s="83" t="str">
        <f>HYPERLINK("https://twitter.com/lmneuquen/status/1705295909750440214")</f>
        <v>https://twitter.com/lmneuquen/status/1705295909750440214</v>
      </c>
      <c r="AF4221" s="79">
        <v>45191.791689814818</v>
      </c>
      <c r="AG4221" s="85">
        <v>45191</v>
      </c>
      <c r="AH4221" s="80" t="s">
        <v>14273</v>
      </c>
      <c r="AI4221" s="77" t="b">
        <v>1</v>
      </c>
      <c r="AJ4221" s="77"/>
      <c r="AK4221" s="77"/>
      <c r="AL4221" s="77"/>
      <c r="AM4221" s="77"/>
      <c r="AN4221" s="77"/>
      <c r="AO4221" s="77"/>
      <c r="AP4221" s="77"/>
      <c r="AQ4221" s="77"/>
      <c r="AR4221" s="77"/>
      <c r="AS4221" s="77"/>
      <c r="AT4221" s="77"/>
      <c r="AU4221" s="77"/>
      <c r="AV4221" s="83" t="str">
        <f>HYPERLINK("https://pbs.twimg.com/profile_images/1511382573468905476/UVivRWRp_normal.jpg")</f>
        <v>https://pbs.twimg.com/profile_images/1511382573468905476/UVivRWRp_normal.jpg</v>
      </c>
      <c r="AW4221" s="80" t="s">
        <v>19884</v>
      </c>
      <c r="AX4221" s="80" t="s">
        <v>19884</v>
      </c>
      <c r="AY4221" s="77"/>
      <c r="AZ4221" s="80" t="s">
        <v>20380</v>
      </c>
      <c r="BA4221" s="80" t="s">
        <v>20380</v>
      </c>
      <c r="BB4221" s="80" t="s">
        <v>20380</v>
      </c>
      <c r="BC4221" s="80" t="s">
        <v>19884</v>
      </c>
      <c r="BD4221" s="77">
        <v>133714571</v>
      </c>
      <c r="BE4221" s="77"/>
      <c r="BF4221" s="77"/>
      <c r="BG4221" s="77"/>
      <c r="BH4221" s="77"/>
      <c r="BI4221" s="77"/>
    </row>
    <row r="4222" spans="1:61" x14ac:dyDescent="0.25">
      <c r="A4222" s="62" t="s">
        <v>1670</v>
      </c>
      <c r="B4222" s="62" t="s">
        <v>1670</v>
      </c>
      <c r="C4222" s="63"/>
      <c r="D4222" s="64"/>
      <c r="E4222" s="65"/>
      <c r="F4222" s="66"/>
      <c r="G4222" s="63"/>
      <c r="H4222" s="67"/>
      <c r="I4222" s="68"/>
      <c r="J4222" s="68"/>
      <c r="K4222" s="32"/>
      <c r="L4222" s="75">
        <v>4222</v>
      </c>
      <c r="M4222" s="75"/>
      <c r="N4222" s="70"/>
      <c r="O4222" s="77" t="s">
        <v>179</v>
      </c>
      <c r="P4222" s="79">
        <v>45147.530312499999</v>
      </c>
      <c r="Q4222" s="77" t="s">
        <v>5814</v>
      </c>
      <c r="R4222" s="77">
        <v>1</v>
      </c>
      <c r="S4222" s="77">
        <v>0</v>
      </c>
      <c r="T4222" s="77">
        <v>0</v>
      </c>
      <c r="U4222" s="77">
        <v>0</v>
      </c>
      <c r="V4222" s="77">
        <v>21</v>
      </c>
      <c r="W4222" s="80" t="s">
        <v>8548</v>
      </c>
      <c r="X4222" s="83" t="str">
        <f>HYPERLINK("https://veraluciafonsecabrasilia.blogspot.com/2021/03/a-liberdade-guiando-o-povo-o-aue-esse.html?spref=tw")</f>
        <v>https://veraluciafonsecabrasilia.blogspot.com/2021/03/a-liberdade-guiando-o-povo-o-aue-esse.html?spref=tw</v>
      </c>
      <c r="Y4222" s="77" t="s">
        <v>8671</v>
      </c>
      <c r="Z4222" s="77"/>
      <c r="AA4222" s="77"/>
      <c r="AB4222" s="77"/>
      <c r="AC4222" s="80" t="s">
        <v>10541</v>
      </c>
      <c r="AD4222" s="77" t="s">
        <v>10617</v>
      </c>
      <c r="AE4222" s="83" t="str">
        <f>HYPERLINK("https://twitter.com/veralucfonseca/status/1689256122379603968")</f>
        <v>https://twitter.com/veralucfonseca/status/1689256122379603968</v>
      </c>
      <c r="AF4222" s="79">
        <v>45147.530312499999</v>
      </c>
      <c r="AG4222" s="85">
        <v>45147</v>
      </c>
      <c r="AH4222" s="80" t="s">
        <v>14274</v>
      </c>
      <c r="AI4222" s="77" t="b">
        <v>1</v>
      </c>
      <c r="AJ4222" s="77" t="s">
        <v>14354</v>
      </c>
      <c r="AK4222" s="77" t="s">
        <v>14382</v>
      </c>
      <c r="AL4222" s="77" t="s">
        <v>14391</v>
      </c>
      <c r="AM4222" s="77" t="s">
        <v>14411</v>
      </c>
      <c r="AN4222" s="77" t="s">
        <v>14451</v>
      </c>
      <c r="AO4222" s="77" t="s">
        <v>14490</v>
      </c>
      <c r="AP4222" s="77" t="s">
        <v>14516</v>
      </c>
      <c r="AQ4222" s="77"/>
      <c r="AR4222" s="77"/>
      <c r="AS4222" s="77"/>
      <c r="AT4222" s="77"/>
      <c r="AU4222" s="77"/>
      <c r="AV4222" s="83" t="str">
        <f>HYPERLINK("https://pbs.twimg.com/profile_images/1683922196618436621/r84rDIo-_normal.jpg")</f>
        <v>https://pbs.twimg.com/profile_images/1683922196618436621/r84rDIo-_normal.jpg</v>
      </c>
      <c r="AW4222" s="80" t="s">
        <v>19885</v>
      </c>
      <c r="AX4222" s="80" t="s">
        <v>19885</v>
      </c>
      <c r="AY4222" s="77"/>
      <c r="AZ4222" s="80" t="s">
        <v>20380</v>
      </c>
      <c r="BA4222" s="80" t="s">
        <v>20380</v>
      </c>
      <c r="BB4222" s="80" t="s">
        <v>20380</v>
      </c>
      <c r="BC4222" s="80" t="s">
        <v>19885</v>
      </c>
      <c r="BD4222" s="80" t="s">
        <v>21194</v>
      </c>
      <c r="BE4222" s="77"/>
      <c r="BF4222" s="77"/>
      <c r="BG4222" s="77"/>
      <c r="BH4222" s="77"/>
      <c r="BI4222" s="77"/>
    </row>
    <row r="4223" spans="1:61" x14ac:dyDescent="0.25">
      <c r="A4223" s="62" t="s">
        <v>1671</v>
      </c>
      <c r="B4223" s="62" t="s">
        <v>1671</v>
      </c>
      <c r="C4223" s="63"/>
      <c r="D4223" s="64"/>
      <c r="E4223" s="65"/>
      <c r="F4223" s="66"/>
      <c r="G4223" s="63"/>
      <c r="H4223" s="67"/>
      <c r="I4223" s="68"/>
      <c r="J4223" s="68"/>
      <c r="K4223" s="32"/>
      <c r="L4223" s="75">
        <v>4223</v>
      </c>
      <c r="M4223" s="75"/>
      <c r="N4223" s="70"/>
      <c r="O4223" s="77" t="s">
        <v>179</v>
      </c>
      <c r="P4223" s="79">
        <v>45071.656782407408</v>
      </c>
      <c r="Q4223" s="77" t="s">
        <v>5815</v>
      </c>
      <c r="R4223" s="77">
        <v>0</v>
      </c>
      <c r="S4223" s="77">
        <v>0</v>
      </c>
      <c r="T4223" s="77">
        <v>0</v>
      </c>
      <c r="U4223" s="77">
        <v>0</v>
      </c>
      <c r="V4223" s="77">
        <v>22</v>
      </c>
      <c r="W4223" s="80" t="s">
        <v>8549</v>
      </c>
      <c r="X4223" s="77"/>
      <c r="Y4223" s="77"/>
      <c r="Z4223" s="77"/>
      <c r="AA4223" s="77" t="s">
        <v>10515</v>
      </c>
      <c r="AB4223" s="77" t="s">
        <v>10535</v>
      </c>
      <c r="AC4223" s="80" t="s">
        <v>10540</v>
      </c>
      <c r="AD4223" s="77" t="s">
        <v>10617</v>
      </c>
      <c r="AE4223" s="83" t="str">
        <f>HYPERLINK("https://twitter.com/grpobettencourt/status/1661760477947412483")</f>
        <v>https://twitter.com/grpobettencourt/status/1661760477947412483</v>
      </c>
      <c r="AF4223" s="79">
        <v>45071.656782407408</v>
      </c>
      <c r="AG4223" s="85">
        <v>45071</v>
      </c>
      <c r="AH4223" s="80" t="s">
        <v>14275</v>
      </c>
      <c r="AI4223" s="77" t="b">
        <v>0</v>
      </c>
      <c r="AJ4223" s="77"/>
      <c r="AK4223" s="77"/>
      <c r="AL4223" s="77"/>
      <c r="AM4223" s="77"/>
      <c r="AN4223" s="77"/>
      <c r="AO4223" s="77"/>
      <c r="AP4223" s="77"/>
      <c r="AQ4223" s="77" t="s">
        <v>15992</v>
      </c>
      <c r="AR4223" s="77"/>
      <c r="AS4223" s="77"/>
      <c r="AT4223" s="77"/>
      <c r="AU4223" s="77"/>
      <c r="AV4223" s="83" t="str">
        <f>HYPERLINK("https://pbs.twimg.com/media/Fw_CWL0WAAEt-9p.jpg")</f>
        <v>https://pbs.twimg.com/media/Fw_CWL0WAAEt-9p.jpg</v>
      </c>
      <c r="AW4223" s="80" t="s">
        <v>19886</v>
      </c>
      <c r="AX4223" s="80" t="s">
        <v>19886</v>
      </c>
      <c r="AY4223" s="77"/>
      <c r="AZ4223" s="80" t="s">
        <v>20380</v>
      </c>
      <c r="BA4223" s="80" t="s">
        <v>20380</v>
      </c>
      <c r="BB4223" s="80" t="s">
        <v>20380</v>
      </c>
      <c r="BC4223" s="80" t="s">
        <v>19886</v>
      </c>
      <c r="BD4223" s="77">
        <v>2847022091</v>
      </c>
      <c r="BE4223" s="77"/>
      <c r="BF4223" s="77"/>
      <c r="BG4223" s="77"/>
      <c r="BH4223" s="77"/>
      <c r="BI4223" s="77"/>
    </row>
    <row r="4224" spans="1:61" x14ac:dyDescent="0.25">
      <c r="A4224" s="62" t="s">
        <v>1672</v>
      </c>
      <c r="B4224" s="62" t="s">
        <v>1672</v>
      </c>
      <c r="C4224" s="63"/>
      <c r="D4224" s="64"/>
      <c r="E4224" s="65"/>
      <c r="F4224" s="66"/>
      <c r="G4224" s="63"/>
      <c r="H4224" s="67"/>
      <c r="I4224" s="68"/>
      <c r="J4224" s="68"/>
      <c r="K4224" s="32"/>
      <c r="L4224" s="75">
        <v>4224</v>
      </c>
      <c r="M4224" s="75"/>
      <c r="N4224" s="70"/>
      <c r="O4224" s="77" t="s">
        <v>179</v>
      </c>
      <c r="P4224" s="79">
        <v>45131.573229166665</v>
      </c>
      <c r="Q4224" s="77" t="s">
        <v>5816</v>
      </c>
      <c r="R4224" s="77">
        <v>3</v>
      </c>
      <c r="S4224" s="77">
        <v>11</v>
      </c>
      <c r="T4224" s="77">
        <v>0</v>
      </c>
      <c r="U4224" s="77">
        <v>1</v>
      </c>
      <c r="V4224" s="77">
        <v>705</v>
      </c>
      <c r="W4224" s="80" t="s">
        <v>8550</v>
      </c>
      <c r="X4224" s="83" t="str">
        <f>HYPERLINK("https://www.larepublica.net/noticia/banco-central-debera-tomar-una-decision-importante-esta-semana-sepa-como-afectara-su-bolsillo")</f>
        <v>https://www.larepublica.net/noticia/banco-central-debera-tomar-una-decision-importante-esta-semana-sepa-como-afectara-su-bolsillo</v>
      </c>
      <c r="Y4224" s="77" t="s">
        <v>8738</v>
      </c>
      <c r="Z4224" s="77"/>
      <c r="AA4224" s="77"/>
      <c r="AB4224" s="77"/>
      <c r="AC4224" s="80" t="s">
        <v>10541</v>
      </c>
      <c r="AD4224" s="77" t="s">
        <v>10620</v>
      </c>
      <c r="AE4224" s="83" t="str">
        <f>HYPERLINK("https://twitter.com/danielsuchar/status/1683473472742195200")</f>
        <v>https://twitter.com/danielsuchar/status/1683473472742195200</v>
      </c>
      <c r="AF4224" s="79">
        <v>45131.573229166665</v>
      </c>
      <c r="AG4224" s="85">
        <v>45131</v>
      </c>
      <c r="AH4224" s="80" t="s">
        <v>14276</v>
      </c>
      <c r="AI4224" s="77" t="b">
        <v>0</v>
      </c>
      <c r="AJ4224" s="77"/>
      <c r="AK4224" s="77"/>
      <c r="AL4224" s="77"/>
      <c r="AM4224" s="77"/>
      <c r="AN4224" s="77"/>
      <c r="AO4224" s="77"/>
      <c r="AP4224" s="77"/>
      <c r="AQ4224" s="77"/>
      <c r="AR4224" s="77"/>
      <c r="AS4224" s="77"/>
      <c r="AT4224" s="77"/>
      <c r="AU4224" s="77"/>
      <c r="AV4224" s="83" t="str">
        <f>HYPERLINK("https://pbs.twimg.com/profile_images/1686923153878966272/6FMLng-v_normal.jpg")</f>
        <v>https://pbs.twimg.com/profile_images/1686923153878966272/6FMLng-v_normal.jpg</v>
      </c>
      <c r="AW4224" s="80" t="s">
        <v>19887</v>
      </c>
      <c r="AX4224" s="80" t="s">
        <v>19887</v>
      </c>
      <c r="AY4224" s="77"/>
      <c r="AZ4224" s="80" t="s">
        <v>20380</v>
      </c>
      <c r="BA4224" s="80" t="s">
        <v>20380</v>
      </c>
      <c r="BB4224" s="80" t="s">
        <v>20380</v>
      </c>
      <c r="BC4224" s="80" t="s">
        <v>19887</v>
      </c>
      <c r="BD4224" s="77">
        <v>72079608</v>
      </c>
      <c r="BE4224" s="77"/>
      <c r="BF4224" s="77"/>
      <c r="BG4224" s="77"/>
      <c r="BH4224" s="77"/>
      <c r="BI4224" s="77"/>
    </row>
    <row r="4225" spans="1:61" x14ac:dyDescent="0.25">
      <c r="A4225" s="62" t="s">
        <v>1672</v>
      </c>
      <c r="B4225" s="62" t="s">
        <v>1672</v>
      </c>
      <c r="C4225" s="63"/>
      <c r="D4225" s="64"/>
      <c r="E4225" s="65"/>
      <c r="F4225" s="66"/>
      <c r="G4225" s="63"/>
      <c r="H4225" s="67"/>
      <c r="I4225" s="68"/>
      <c r="J4225" s="68"/>
      <c r="K4225" s="32"/>
      <c r="L4225" s="75">
        <v>4225</v>
      </c>
      <c r="M4225" s="75"/>
      <c r="N4225" s="70"/>
      <c r="O4225" s="77" t="s">
        <v>179</v>
      </c>
      <c r="P4225" s="79">
        <v>45169.533125000002</v>
      </c>
      <c r="Q4225" s="77" t="s">
        <v>5817</v>
      </c>
      <c r="R4225" s="77">
        <v>1</v>
      </c>
      <c r="S4225" s="77">
        <v>15</v>
      </c>
      <c r="T4225" s="77">
        <v>0</v>
      </c>
      <c r="U4225" s="77">
        <v>1</v>
      </c>
      <c r="V4225" s="77">
        <v>1948</v>
      </c>
      <c r="W4225" s="80" t="s">
        <v>8551</v>
      </c>
      <c r="X4225" s="83" t="str">
        <f>HYPERLINK("https://www.crhoy.com/economia/banco-central-no-tiene-fundamento-legal-para-pedir-datos-privados-de-deudores/")</f>
        <v>https://www.crhoy.com/economia/banco-central-no-tiene-fundamento-legal-para-pedir-datos-privados-de-deudores/</v>
      </c>
      <c r="Y4225" s="77" t="s">
        <v>8893</v>
      </c>
      <c r="Z4225" s="77"/>
      <c r="AA4225" s="77"/>
      <c r="AB4225" s="77"/>
      <c r="AC4225" s="80" t="s">
        <v>10541</v>
      </c>
      <c r="AD4225" s="77" t="s">
        <v>10620</v>
      </c>
      <c r="AE4225" s="83" t="str">
        <f>HYPERLINK("https://twitter.com/danielsuchar/status/1697229675926274546")</f>
        <v>https://twitter.com/danielsuchar/status/1697229675926274546</v>
      </c>
      <c r="AF4225" s="79">
        <v>45169.533125000002</v>
      </c>
      <c r="AG4225" s="85">
        <v>45169</v>
      </c>
      <c r="AH4225" s="80" t="s">
        <v>14277</v>
      </c>
      <c r="AI4225" s="77" t="b">
        <v>0</v>
      </c>
      <c r="AJ4225" s="77"/>
      <c r="AK4225" s="77"/>
      <c r="AL4225" s="77"/>
      <c r="AM4225" s="77"/>
      <c r="AN4225" s="77"/>
      <c r="AO4225" s="77"/>
      <c r="AP4225" s="77"/>
      <c r="AQ4225" s="77"/>
      <c r="AR4225" s="77"/>
      <c r="AS4225" s="77"/>
      <c r="AT4225" s="77"/>
      <c r="AU4225" s="77"/>
      <c r="AV4225" s="83" t="str">
        <f>HYPERLINK("https://pbs.twimg.com/profile_images/1686923153878966272/6FMLng-v_normal.jpg")</f>
        <v>https://pbs.twimg.com/profile_images/1686923153878966272/6FMLng-v_normal.jpg</v>
      </c>
      <c r="AW4225" s="80" t="s">
        <v>19888</v>
      </c>
      <c r="AX4225" s="80" t="s">
        <v>19888</v>
      </c>
      <c r="AY4225" s="77"/>
      <c r="AZ4225" s="80" t="s">
        <v>20380</v>
      </c>
      <c r="BA4225" s="80" t="s">
        <v>20380</v>
      </c>
      <c r="BB4225" s="80" t="s">
        <v>20380</v>
      </c>
      <c r="BC4225" s="80" t="s">
        <v>19888</v>
      </c>
      <c r="BD4225" s="77">
        <v>72079608</v>
      </c>
      <c r="BE4225" s="77"/>
      <c r="BF4225" s="77"/>
      <c r="BG4225" s="77"/>
      <c r="BH4225" s="77"/>
      <c r="BI4225" s="77"/>
    </row>
    <row r="4226" spans="1:61" x14ac:dyDescent="0.25">
      <c r="A4226" s="62" t="s">
        <v>1672</v>
      </c>
      <c r="B4226" s="62" t="s">
        <v>1672</v>
      </c>
      <c r="C4226" s="63"/>
      <c r="D4226" s="64"/>
      <c r="E4226" s="65"/>
      <c r="F4226" s="66"/>
      <c r="G4226" s="63"/>
      <c r="H4226" s="67"/>
      <c r="I4226" s="68"/>
      <c r="J4226" s="68"/>
      <c r="K4226" s="32"/>
      <c r="L4226" s="75">
        <v>4226</v>
      </c>
      <c r="M4226" s="75"/>
      <c r="N4226" s="70"/>
      <c r="O4226" s="77" t="s">
        <v>179</v>
      </c>
      <c r="P4226" s="79">
        <v>45169.531099537038</v>
      </c>
      <c r="Q4226" s="77" t="s">
        <v>5818</v>
      </c>
      <c r="R4226" s="77">
        <v>0</v>
      </c>
      <c r="S4226" s="77">
        <v>2</v>
      </c>
      <c r="T4226" s="77">
        <v>1</v>
      </c>
      <c r="U4226" s="77">
        <v>0</v>
      </c>
      <c r="V4226" s="77">
        <v>545</v>
      </c>
      <c r="W4226" s="80" t="s">
        <v>8551</v>
      </c>
      <c r="X4226" s="83" t="str">
        <f>HYPERLINK("https://www.crhoy.com/economia/experto-al-banco-central-se-le-esta-dando-un-poder-orwelliano/")</f>
        <v>https://www.crhoy.com/economia/experto-al-banco-central-se-le-esta-dando-un-poder-orwelliano/</v>
      </c>
      <c r="Y4226" s="77" t="s">
        <v>8893</v>
      </c>
      <c r="Z4226" s="77"/>
      <c r="AA4226" s="77"/>
      <c r="AB4226" s="77"/>
      <c r="AC4226" s="80" t="s">
        <v>10541</v>
      </c>
      <c r="AD4226" s="77" t="s">
        <v>10622</v>
      </c>
      <c r="AE4226" s="83" t="str">
        <f>HYPERLINK("https://twitter.com/danielsuchar/status/1697228941218509272")</f>
        <v>https://twitter.com/danielsuchar/status/1697228941218509272</v>
      </c>
      <c r="AF4226" s="79">
        <v>45169.531099537038</v>
      </c>
      <c r="AG4226" s="85">
        <v>45169</v>
      </c>
      <c r="AH4226" s="80" t="s">
        <v>14278</v>
      </c>
      <c r="AI4226" s="77" t="b">
        <v>0</v>
      </c>
      <c r="AJ4226" s="77"/>
      <c r="AK4226" s="77"/>
      <c r="AL4226" s="77"/>
      <c r="AM4226" s="77"/>
      <c r="AN4226" s="77"/>
      <c r="AO4226" s="77"/>
      <c r="AP4226" s="77"/>
      <c r="AQ4226" s="77"/>
      <c r="AR4226" s="77"/>
      <c r="AS4226" s="77"/>
      <c r="AT4226" s="77"/>
      <c r="AU4226" s="77"/>
      <c r="AV4226" s="83" t="str">
        <f>HYPERLINK("https://pbs.twimg.com/profile_images/1686923153878966272/6FMLng-v_normal.jpg")</f>
        <v>https://pbs.twimg.com/profile_images/1686923153878966272/6FMLng-v_normal.jpg</v>
      </c>
      <c r="AW4226" s="80" t="s">
        <v>19889</v>
      </c>
      <c r="AX4226" s="80" t="s">
        <v>19889</v>
      </c>
      <c r="AY4226" s="77"/>
      <c r="AZ4226" s="80" t="s">
        <v>20380</v>
      </c>
      <c r="BA4226" s="80" t="s">
        <v>20380</v>
      </c>
      <c r="BB4226" s="80" t="s">
        <v>20380</v>
      </c>
      <c r="BC4226" s="80" t="s">
        <v>19889</v>
      </c>
      <c r="BD4226" s="77">
        <v>72079608</v>
      </c>
      <c r="BE4226" s="77"/>
      <c r="BF4226" s="77"/>
      <c r="BG4226" s="77"/>
      <c r="BH4226" s="77"/>
      <c r="BI4226" s="77"/>
    </row>
    <row r="4227" spans="1:61" x14ac:dyDescent="0.25">
      <c r="A4227" s="62" t="s">
        <v>1672</v>
      </c>
      <c r="B4227" s="62" t="s">
        <v>1672</v>
      </c>
      <c r="C4227" s="63"/>
      <c r="D4227" s="64"/>
      <c r="E4227" s="65"/>
      <c r="F4227" s="66"/>
      <c r="G4227" s="63"/>
      <c r="H4227" s="67"/>
      <c r="I4227" s="68"/>
      <c r="J4227" s="68"/>
      <c r="K4227" s="32"/>
      <c r="L4227" s="75">
        <v>4227</v>
      </c>
      <c r="M4227" s="75"/>
      <c r="N4227" s="70"/>
      <c r="O4227" s="77" t="s">
        <v>179</v>
      </c>
      <c r="P4227" s="79">
        <v>45196.816087962965</v>
      </c>
      <c r="Q4227" s="77" t="s">
        <v>5819</v>
      </c>
      <c r="R4227" s="77">
        <v>3</v>
      </c>
      <c r="S4227" s="77">
        <v>19</v>
      </c>
      <c r="T4227" s="77">
        <v>1</v>
      </c>
      <c r="U4227" s="77">
        <v>2</v>
      </c>
      <c r="V4227" s="77">
        <v>2340</v>
      </c>
      <c r="W4227" s="80" t="s">
        <v>8551</v>
      </c>
      <c r="X4227" s="83" t="str">
        <f>HYPERLINK("https://www.crhoy.com/economia/fmi-no-le-indica-al-pais-la-forma-de-recopilar-datos/")</f>
        <v>https://www.crhoy.com/economia/fmi-no-le-indica-al-pais-la-forma-de-recopilar-datos/</v>
      </c>
      <c r="Y4227" s="77" t="s">
        <v>8893</v>
      </c>
      <c r="Z4227" s="77"/>
      <c r="AA4227" s="77"/>
      <c r="AB4227" s="77"/>
      <c r="AC4227" s="80" t="s">
        <v>10541</v>
      </c>
      <c r="AD4227" s="77" t="s">
        <v>10620</v>
      </c>
      <c r="AE4227" s="83" t="str">
        <f>HYPERLINK("https://twitter.com/danielsuchar/status/1707116689945485540")</f>
        <v>https://twitter.com/danielsuchar/status/1707116689945485540</v>
      </c>
      <c r="AF4227" s="79">
        <v>45196.816087962965</v>
      </c>
      <c r="AG4227" s="85">
        <v>45196</v>
      </c>
      <c r="AH4227" s="80" t="s">
        <v>14279</v>
      </c>
      <c r="AI4227" s="77" t="b">
        <v>0</v>
      </c>
      <c r="AJ4227" s="77"/>
      <c r="AK4227" s="77"/>
      <c r="AL4227" s="77"/>
      <c r="AM4227" s="77"/>
      <c r="AN4227" s="77"/>
      <c r="AO4227" s="77"/>
      <c r="AP4227" s="77"/>
      <c r="AQ4227" s="77"/>
      <c r="AR4227" s="77"/>
      <c r="AS4227" s="77"/>
      <c r="AT4227" s="77"/>
      <c r="AU4227" s="77"/>
      <c r="AV4227" s="83" t="str">
        <f>HYPERLINK("https://pbs.twimg.com/profile_images/1686923153878966272/6FMLng-v_normal.jpg")</f>
        <v>https://pbs.twimg.com/profile_images/1686923153878966272/6FMLng-v_normal.jpg</v>
      </c>
      <c r="AW4227" s="80" t="s">
        <v>19890</v>
      </c>
      <c r="AX4227" s="80" t="s">
        <v>19890</v>
      </c>
      <c r="AY4227" s="77"/>
      <c r="AZ4227" s="80" t="s">
        <v>20380</v>
      </c>
      <c r="BA4227" s="80" t="s">
        <v>20380</v>
      </c>
      <c r="BB4227" s="80" t="s">
        <v>20380</v>
      </c>
      <c r="BC4227" s="80" t="s">
        <v>19890</v>
      </c>
      <c r="BD4227" s="77">
        <v>72079608</v>
      </c>
      <c r="BE4227" s="77"/>
      <c r="BF4227" s="77"/>
      <c r="BG4227" s="77"/>
      <c r="BH4227" s="77"/>
      <c r="BI4227" s="77"/>
    </row>
    <row r="4228" spans="1:61" x14ac:dyDescent="0.25">
      <c r="A4228" s="62" t="s">
        <v>1672</v>
      </c>
      <c r="B4228" s="62" t="s">
        <v>1672</v>
      </c>
      <c r="C4228" s="63"/>
      <c r="D4228" s="64"/>
      <c r="E4228" s="65"/>
      <c r="F4228" s="66"/>
      <c r="G4228" s="63"/>
      <c r="H4228" s="67"/>
      <c r="I4228" s="68"/>
      <c r="J4228" s="68"/>
      <c r="K4228" s="32"/>
      <c r="L4228" s="75">
        <v>4228</v>
      </c>
      <c r="M4228" s="75"/>
      <c r="N4228" s="70"/>
      <c r="O4228" s="77" t="s">
        <v>179</v>
      </c>
      <c r="P4228" s="79">
        <v>45181.805833333332</v>
      </c>
      <c r="Q4228" s="77" t="s">
        <v>5820</v>
      </c>
      <c r="R4228" s="77">
        <v>1</v>
      </c>
      <c r="S4228" s="77">
        <v>0</v>
      </c>
      <c r="T4228" s="77">
        <v>0</v>
      </c>
      <c r="U4228" s="77">
        <v>0</v>
      </c>
      <c r="V4228" s="77">
        <v>311</v>
      </c>
      <c r="W4228" s="80" t="s">
        <v>8551</v>
      </c>
      <c r="X4228" s="83" t="str">
        <f>HYPERLINK("https://www.crhoy.com/economia/bac-y-bcr-tambien-dieron-datos-de-deudores-al-banco-central/")</f>
        <v>https://www.crhoy.com/economia/bac-y-bcr-tambien-dieron-datos-de-deudores-al-banco-central/</v>
      </c>
      <c r="Y4228" s="77" t="s">
        <v>8893</v>
      </c>
      <c r="Z4228" s="77"/>
      <c r="AA4228" s="77"/>
      <c r="AB4228" s="77"/>
      <c r="AC4228" s="80" t="s">
        <v>10541</v>
      </c>
      <c r="AD4228" s="77" t="s">
        <v>10620</v>
      </c>
      <c r="AE4228" s="83" t="str">
        <f>HYPERLINK("https://twitter.com/danielsuchar/status/1701677155480989994")</f>
        <v>https://twitter.com/danielsuchar/status/1701677155480989994</v>
      </c>
      <c r="AF4228" s="79">
        <v>45181.805833333332</v>
      </c>
      <c r="AG4228" s="85">
        <v>45181</v>
      </c>
      <c r="AH4228" s="80" t="s">
        <v>14280</v>
      </c>
      <c r="AI4228" s="77" t="b">
        <v>0</v>
      </c>
      <c r="AJ4228" s="77"/>
      <c r="AK4228" s="77"/>
      <c r="AL4228" s="77"/>
      <c r="AM4228" s="77"/>
      <c r="AN4228" s="77"/>
      <c r="AO4228" s="77"/>
      <c r="AP4228" s="77"/>
      <c r="AQ4228" s="77"/>
      <c r="AR4228" s="77"/>
      <c r="AS4228" s="77"/>
      <c r="AT4228" s="77"/>
      <c r="AU4228" s="77"/>
      <c r="AV4228" s="83" t="str">
        <f>HYPERLINK("https://pbs.twimg.com/profile_images/1686923153878966272/6FMLng-v_normal.jpg")</f>
        <v>https://pbs.twimg.com/profile_images/1686923153878966272/6FMLng-v_normal.jpg</v>
      </c>
      <c r="AW4228" s="80" t="s">
        <v>19891</v>
      </c>
      <c r="AX4228" s="80" t="s">
        <v>19891</v>
      </c>
      <c r="AY4228" s="77"/>
      <c r="AZ4228" s="80" t="s">
        <v>20380</v>
      </c>
      <c r="BA4228" s="80" t="s">
        <v>20380</v>
      </c>
      <c r="BB4228" s="80" t="s">
        <v>20380</v>
      </c>
      <c r="BC4228" s="80" t="s">
        <v>19891</v>
      </c>
      <c r="BD4228" s="77">
        <v>72079608</v>
      </c>
      <c r="BE4228" s="77"/>
      <c r="BF4228" s="77"/>
      <c r="BG4228" s="77"/>
      <c r="BH4228" s="77"/>
      <c r="BI4228" s="77"/>
    </row>
    <row r="4229" spans="1:61" x14ac:dyDescent="0.25">
      <c r="A4229" s="62" t="s">
        <v>1672</v>
      </c>
      <c r="B4229" s="62" t="s">
        <v>1672</v>
      </c>
      <c r="C4229" s="63"/>
      <c r="D4229" s="64"/>
      <c r="E4229" s="65"/>
      <c r="F4229" s="66"/>
      <c r="G4229" s="63"/>
      <c r="H4229" s="67"/>
      <c r="I4229" s="68"/>
      <c r="J4229" s="68"/>
      <c r="K4229" s="32"/>
      <c r="L4229" s="75">
        <v>4229</v>
      </c>
      <c r="M4229" s="75"/>
      <c r="N4229" s="70"/>
      <c r="O4229" s="77" t="s">
        <v>179</v>
      </c>
      <c r="P4229" s="79">
        <v>45197.530891203707</v>
      </c>
      <c r="Q4229" s="77" t="s">
        <v>5821</v>
      </c>
      <c r="R4229" s="77">
        <v>0</v>
      </c>
      <c r="S4229" s="77">
        <v>1</v>
      </c>
      <c r="T4229" s="77">
        <v>1</v>
      </c>
      <c r="U4229" s="77">
        <v>0</v>
      </c>
      <c r="V4229" s="77">
        <v>186</v>
      </c>
      <c r="W4229" s="80" t="s">
        <v>8551</v>
      </c>
      <c r="X4229" s="83" t="str">
        <f>HYPERLINK("https://www.crhoy.com/economia/fmi-no-le-pidio-al-bccr-solicitar-datos-sin-anonimizar-reconoce-directivo/")</f>
        <v>https://www.crhoy.com/economia/fmi-no-le-pidio-al-bccr-solicitar-datos-sin-anonimizar-reconoce-directivo/</v>
      </c>
      <c r="Y4229" s="77" t="s">
        <v>8893</v>
      </c>
      <c r="Z4229" s="77"/>
      <c r="AA4229" s="77"/>
      <c r="AB4229" s="77"/>
      <c r="AC4229" s="80" t="s">
        <v>10541</v>
      </c>
      <c r="AD4229" s="77" t="s">
        <v>10620</v>
      </c>
      <c r="AE4229" s="83" t="str">
        <f>HYPERLINK("https://twitter.com/danielsuchar/status/1707375726649807246")</f>
        <v>https://twitter.com/danielsuchar/status/1707375726649807246</v>
      </c>
      <c r="AF4229" s="79">
        <v>45197.530891203707</v>
      </c>
      <c r="AG4229" s="85">
        <v>45197</v>
      </c>
      <c r="AH4229" s="80" t="s">
        <v>14281</v>
      </c>
      <c r="AI4229" s="77" t="b">
        <v>0</v>
      </c>
      <c r="AJ4229" s="77"/>
      <c r="AK4229" s="77"/>
      <c r="AL4229" s="77"/>
      <c r="AM4229" s="77"/>
      <c r="AN4229" s="77"/>
      <c r="AO4229" s="77"/>
      <c r="AP4229" s="77"/>
      <c r="AQ4229" s="77"/>
      <c r="AR4229" s="77"/>
      <c r="AS4229" s="77"/>
      <c r="AT4229" s="77"/>
      <c r="AU4229" s="77"/>
      <c r="AV4229" s="83" t="str">
        <f>HYPERLINK("https://pbs.twimg.com/profile_images/1686923153878966272/6FMLng-v_normal.jpg")</f>
        <v>https://pbs.twimg.com/profile_images/1686923153878966272/6FMLng-v_normal.jpg</v>
      </c>
      <c r="AW4229" s="80" t="s">
        <v>19892</v>
      </c>
      <c r="AX4229" s="80" t="s">
        <v>19892</v>
      </c>
      <c r="AY4229" s="77"/>
      <c r="AZ4229" s="80" t="s">
        <v>20380</v>
      </c>
      <c r="BA4229" s="80" t="s">
        <v>20380</v>
      </c>
      <c r="BB4229" s="80" t="s">
        <v>20380</v>
      </c>
      <c r="BC4229" s="80" t="s">
        <v>19892</v>
      </c>
      <c r="BD4229" s="77">
        <v>72079608</v>
      </c>
      <c r="BE4229" s="77"/>
      <c r="BF4229" s="77"/>
      <c r="BG4229" s="77"/>
      <c r="BH4229" s="77"/>
      <c r="BI4229" s="77"/>
    </row>
    <row r="4230" spans="1:61" x14ac:dyDescent="0.25">
      <c r="A4230" s="62" t="s">
        <v>1672</v>
      </c>
      <c r="B4230" s="62" t="s">
        <v>1672</v>
      </c>
      <c r="C4230" s="63"/>
      <c r="D4230" s="64"/>
      <c r="E4230" s="65"/>
      <c r="F4230" s="66"/>
      <c r="G4230" s="63"/>
      <c r="H4230" s="67"/>
      <c r="I4230" s="68"/>
      <c r="J4230" s="68"/>
      <c r="K4230" s="32"/>
      <c r="L4230" s="75">
        <v>4230</v>
      </c>
      <c r="M4230" s="75"/>
      <c r="N4230" s="70"/>
      <c r="O4230" s="77" t="s">
        <v>179</v>
      </c>
      <c r="P4230" s="79">
        <v>45177.943460648145</v>
      </c>
      <c r="Q4230" s="77" t="s">
        <v>5822</v>
      </c>
      <c r="R4230" s="77">
        <v>1</v>
      </c>
      <c r="S4230" s="77">
        <v>10</v>
      </c>
      <c r="T4230" s="77">
        <v>2</v>
      </c>
      <c r="U4230" s="77">
        <v>0</v>
      </c>
      <c r="V4230" s="77">
        <v>1210</v>
      </c>
      <c r="W4230" s="80" t="s">
        <v>8552</v>
      </c>
      <c r="X4230" s="83" t="str">
        <f>HYPERLINK("https://observador.cr/banco-central-convoca-a-gerentes-de-bancos-comerciales-a-reunion-de-ultimo-momento/")</f>
        <v>https://observador.cr/banco-central-convoca-a-gerentes-de-bancos-comerciales-a-reunion-de-ultimo-momento/</v>
      </c>
      <c r="Y4230" s="77" t="s">
        <v>8894</v>
      </c>
      <c r="Z4230" s="77"/>
      <c r="AA4230" s="77"/>
      <c r="AB4230" s="77"/>
      <c r="AC4230" s="80" t="s">
        <v>10540</v>
      </c>
      <c r="AD4230" s="77" t="s">
        <v>10620</v>
      </c>
      <c r="AE4230" s="83" t="str">
        <f>HYPERLINK("https://twitter.com/danielsuchar/status/1700277477929590805")</f>
        <v>https://twitter.com/danielsuchar/status/1700277477929590805</v>
      </c>
      <c r="AF4230" s="79">
        <v>45177.943460648145</v>
      </c>
      <c r="AG4230" s="85">
        <v>45177</v>
      </c>
      <c r="AH4230" s="80" t="s">
        <v>14282</v>
      </c>
      <c r="AI4230" s="77" t="b">
        <v>0</v>
      </c>
      <c r="AJ4230" s="77"/>
      <c r="AK4230" s="77"/>
      <c r="AL4230" s="77"/>
      <c r="AM4230" s="77"/>
      <c r="AN4230" s="77"/>
      <c r="AO4230" s="77"/>
      <c r="AP4230" s="77"/>
      <c r="AQ4230" s="77"/>
      <c r="AR4230" s="77"/>
      <c r="AS4230" s="77"/>
      <c r="AT4230" s="77"/>
      <c r="AU4230" s="77"/>
      <c r="AV4230" s="83" t="str">
        <f>HYPERLINK("https://pbs.twimg.com/profile_images/1686923153878966272/6FMLng-v_normal.jpg")</f>
        <v>https://pbs.twimg.com/profile_images/1686923153878966272/6FMLng-v_normal.jpg</v>
      </c>
      <c r="AW4230" s="80" t="s">
        <v>19893</v>
      </c>
      <c r="AX4230" s="80" t="s">
        <v>19893</v>
      </c>
      <c r="AY4230" s="77"/>
      <c r="AZ4230" s="80" t="s">
        <v>20380</v>
      </c>
      <c r="BA4230" s="80" t="s">
        <v>20380</v>
      </c>
      <c r="BB4230" s="80" t="s">
        <v>20380</v>
      </c>
      <c r="BC4230" s="80" t="s">
        <v>19893</v>
      </c>
      <c r="BD4230" s="77">
        <v>72079608</v>
      </c>
      <c r="BE4230" s="77"/>
      <c r="BF4230" s="77"/>
      <c r="BG4230" s="77"/>
      <c r="BH4230" s="77"/>
      <c r="BI4230" s="77"/>
    </row>
    <row r="4231" spans="1:61" x14ac:dyDescent="0.25">
      <c r="A4231" s="62" t="s">
        <v>1672</v>
      </c>
      <c r="B4231" s="62" t="s">
        <v>1672</v>
      </c>
      <c r="C4231" s="63"/>
      <c r="D4231" s="64"/>
      <c r="E4231" s="65"/>
      <c r="F4231" s="66"/>
      <c r="G4231" s="63"/>
      <c r="H4231" s="67"/>
      <c r="I4231" s="68"/>
      <c r="J4231" s="68"/>
      <c r="K4231" s="32"/>
      <c r="L4231" s="75">
        <v>4231</v>
      </c>
      <c r="M4231" s="75"/>
      <c r="N4231" s="70"/>
      <c r="O4231" s="77" t="s">
        <v>179</v>
      </c>
      <c r="P4231" s="79">
        <v>45170.800949074073</v>
      </c>
      <c r="Q4231" s="77" t="s">
        <v>5823</v>
      </c>
      <c r="R4231" s="77">
        <v>0</v>
      </c>
      <c r="S4231" s="77">
        <v>2</v>
      </c>
      <c r="T4231" s="77">
        <v>0</v>
      </c>
      <c r="U4231" s="77">
        <v>0</v>
      </c>
      <c r="V4231" s="77">
        <v>458</v>
      </c>
      <c r="W4231" s="80" t="s">
        <v>8553</v>
      </c>
      <c r="X4231" s="83" t="str">
        <f>HYPERLINK("https://www.crhoy.com/economia/sala-iv-acoge-accion-presentada-por-bancos-contra-el-bccr/")</f>
        <v>https://www.crhoy.com/economia/sala-iv-acoge-accion-presentada-por-bancos-contra-el-bccr/</v>
      </c>
      <c r="Y4231" s="77" t="s">
        <v>8893</v>
      </c>
      <c r="Z4231" s="77"/>
      <c r="AA4231" s="77"/>
      <c r="AB4231" s="77"/>
      <c r="AC4231" s="80" t="s">
        <v>10541</v>
      </c>
      <c r="AD4231" s="77" t="s">
        <v>10620</v>
      </c>
      <c r="AE4231" s="83" t="str">
        <f>HYPERLINK("https://twitter.com/danielsuchar/status/1697689121756475717")</f>
        <v>https://twitter.com/danielsuchar/status/1697689121756475717</v>
      </c>
      <c r="AF4231" s="79">
        <v>45170.800949074073</v>
      </c>
      <c r="AG4231" s="85">
        <v>45170</v>
      </c>
      <c r="AH4231" s="80" t="s">
        <v>14283</v>
      </c>
      <c r="AI4231" s="77" t="b">
        <v>0</v>
      </c>
      <c r="AJ4231" s="77"/>
      <c r="AK4231" s="77"/>
      <c r="AL4231" s="77"/>
      <c r="AM4231" s="77"/>
      <c r="AN4231" s="77"/>
      <c r="AO4231" s="77"/>
      <c r="AP4231" s="77"/>
      <c r="AQ4231" s="77"/>
      <c r="AR4231" s="77"/>
      <c r="AS4231" s="77"/>
      <c r="AT4231" s="77"/>
      <c r="AU4231" s="77"/>
      <c r="AV4231" s="83" t="str">
        <f>HYPERLINK("https://pbs.twimg.com/profile_images/1686923153878966272/6FMLng-v_normal.jpg")</f>
        <v>https://pbs.twimg.com/profile_images/1686923153878966272/6FMLng-v_normal.jpg</v>
      </c>
      <c r="AW4231" s="80" t="s">
        <v>19894</v>
      </c>
      <c r="AX4231" s="80" t="s">
        <v>19894</v>
      </c>
      <c r="AY4231" s="77"/>
      <c r="AZ4231" s="80" t="s">
        <v>20380</v>
      </c>
      <c r="BA4231" s="80" t="s">
        <v>20380</v>
      </c>
      <c r="BB4231" s="80" t="s">
        <v>20380</v>
      </c>
      <c r="BC4231" s="80" t="s">
        <v>19894</v>
      </c>
      <c r="BD4231" s="77">
        <v>72079608</v>
      </c>
      <c r="BE4231" s="77"/>
      <c r="BF4231" s="77"/>
      <c r="BG4231" s="77"/>
      <c r="BH4231" s="77"/>
      <c r="BI4231" s="77"/>
    </row>
    <row r="4232" spans="1:61" x14ac:dyDescent="0.25">
      <c r="A4232" s="62" t="s">
        <v>1672</v>
      </c>
      <c r="B4232" s="62" t="s">
        <v>1672</v>
      </c>
      <c r="C4232" s="63"/>
      <c r="D4232" s="64"/>
      <c r="E4232" s="65"/>
      <c r="F4232" s="66"/>
      <c r="G4232" s="63"/>
      <c r="H4232" s="67"/>
      <c r="I4232" s="68"/>
      <c r="J4232" s="68"/>
      <c r="K4232" s="32"/>
      <c r="L4232" s="75">
        <v>4232</v>
      </c>
      <c r="M4232" s="75"/>
      <c r="N4232" s="70"/>
      <c r="O4232" s="77" t="s">
        <v>179</v>
      </c>
      <c r="P4232" s="79">
        <v>45170.798900462964</v>
      </c>
      <c r="Q4232" s="77" t="s">
        <v>5824</v>
      </c>
      <c r="R4232" s="77">
        <v>0</v>
      </c>
      <c r="S4232" s="77">
        <v>0</v>
      </c>
      <c r="T4232" s="77">
        <v>0</v>
      </c>
      <c r="U4232" s="77">
        <v>0</v>
      </c>
      <c r="V4232" s="77">
        <v>352</v>
      </c>
      <c r="W4232" s="80" t="s">
        <v>8553</v>
      </c>
      <c r="X4232" s="83" t="str">
        <f>HYPERLINK("https://www.larepublica.net/noticia/fiscalia-allana-oficinas-de-conassif-en-el-banco-central-para-incautar-documentos")</f>
        <v>https://www.larepublica.net/noticia/fiscalia-allana-oficinas-de-conassif-en-el-banco-central-para-incautar-documentos</v>
      </c>
      <c r="Y4232" s="77" t="s">
        <v>8738</v>
      </c>
      <c r="Z4232" s="77"/>
      <c r="AA4232" s="77"/>
      <c r="AB4232" s="77"/>
      <c r="AC4232" s="80" t="s">
        <v>10541</v>
      </c>
      <c r="AD4232" s="77" t="s">
        <v>10620</v>
      </c>
      <c r="AE4232" s="83" t="str">
        <f>HYPERLINK("https://twitter.com/danielsuchar/status/1697688378374857150")</f>
        <v>https://twitter.com/danielsuchar/status/1697688378374857150</v>
      </c>
      <c r="AF4232" s="79">
        <v>45170.798900462964</v>
      </c>
      <c r="AG4232" s="85">
        <v>45170</v>
      </c>
      <c r="AH4232" s="80" t="s">
        <v>14284</v>
      </c>
      <c r="AI4232" s="77" t="b">
        <v>0</v>
      </c>
      <c r="AJ4232" s="77"/>
      <c r="AK4232" s="77"/>
      <c r="AL4232" s="77"/>
      <c r="AM4232" s="77"/>
      <c r="AN4232" s="77"/>
      <c r="AO4232" s="77"/>
      <c r="AP4232" s="77"/>
      <c r="AQ4232" s="77"/>
      <c r="AR4232" s="77"/>
      <c r="AS4232" s="77"/>
      <c r="AT4232" s="77"/>
      <c r="AU4232" s="77"/>
      <c r="AV4232" s="83" t="str">
        <f>HYPERLINK("https://pbs.twimg.com/profile_images/1686923153878966272/6FMLng-v_normal.jpg")</f>
        <v>https://pbs.twimg.com/profile_images/1686923153878966272/6FMLng-v_normal.jpg</v>
      </c>
      <c r="AW4232" s="80" t="s">
        <v>19895</v>
      </c>
      <c r="AX4232" s="80" t="s">
        <v>19895</v>
      </c>
      <c r="AY4232" s="77"/>
      <c r="AZ4232" s="80" t="s">
        <v>20380</v>
      </c>
      <c r="BA4232" s="80" t="s">
        <v>20380</v>
      </c>
      <c r="BB4232" s="80" t="s">
        <v>20380</v>
      </c>
      <c r="BC4232" s="80" t="s">
        <v>19895</v>
      </c>
      <c r="BD4232" s="77">
        <v>72079608</v>
      </c>
      <c r="BE4232" s="77"/>
      <c r="BF4232" s="77"/>
      <c r="BG4232" s="77"/>
      <c r="BH4232" s="77"/>
      <c r="BI4232" s="77"/>
    </row>
    <row r="4233" spans="1:61" x14ac:dyDescent="0.25">
      <c r="A4233" s="62" t="s">
        <v>1672</v>
      </c>
      <c r="B4233" s="62" t="s">
        <v>1672</v>
      </c>
      <c r="C4233" s="63"/>
      <c r="D4233" s="64"/>
      <c r="E4233" s="65"/>
      <c r="F4233" s="66"/>
      <c r="G4233" s="63"/>
      <c r="H4233" s="67"/>
      <c r="I4233" s="68"/>
      <c r="J4233" s="68"/>
      <c r="K4233" s="32"/>
      <c r="L4233" s="75">
        <v>4233</v>
      </c>
      <c r="M4233" s="75"/>
      <c r="N4233" s="70"/>
      <c r="O4233" s="77" t="s">
        <v>179</v>
      </c>
      <c r="P4233" s="79">
        <v>45170.680451388886</v>
      </c>
      <c r="Q4233" s="77" t="s">
        <v>5825</v>
      </c>
      <c r="R4233" s="77">
        <v>0</v>
      </c>
      <c r="S4233" s="77">
        <v>20</v>
      </c>
      <c r="T4233" s="77">
        <v>3</v>
      </c>
      <c r="U4233" s="77">
        <v>1</v>
      </c>
      <c r="V4233" s="77">
        <v>1222</v>
      </c>
      <c r="W4233" s="80" t="s">
        <v>8554</v>
      </c>
      <c r="X4233" s="83" t="str">
        <f>HYPERLINK("https://www.crhoy.com/nacionales/fiscalia-allana-oficinas-del-conassif/")</f>
        <v>https://www.crhoy.com/nacionales/fiscalia-allana-oficinas-del-conassif/</v>
      </c>
      <c r="Y4233" s="77" t="s">
        <v>8893</v>
      </c>
      <c r="Z4233" s="77"/>
      <c r="AA4233" s="77"/>
      <c r="AB4233" s="77"/>
      <c r="AC4233" s="80" t="s">
        <v>10540</v>
      </c>
      <c r="AD4233" s="77" t="s">
        <v>10620</v>
      </c>
      <c r="AE4233" s="83" t="str">
        <f>HYPERLINK("https://twitter.com/danielsuchar/status/1697645453066584344")</f>
        <v>https://twitter.com/danielsuchar/status/1697645453066584344</v>
      </c>
      <c r="AF4233" s="79">
        <v>45170.680451388886</v>
      </c>
      <c r="AG4233" s="85">
        <v>45170</v>
      </c>
      <c r="AH4233" s="80" t="s">
        <v>14285</v>
      </c>
      <c r="AI4233" s="77" t="b">
        <v>0</v>
      </c>
      <c r="AJ4233" s="77"/>
      <c r="AK4233" s="77"/>
      <c r="AL4233" s="77"/>
      <c r="AM4233" s="77"/>
      <c r="AN4233" s="77"/>
      <c r="AO4233" s="77"/>
      <c r="AP4233" s="77"/>
      <c r="AQ4233" s="77"/>
      <c r="AR4233" s="77"/>
      <c r="AS4233" s="77"/>
      <c r="AT4233" s="77"/>
      <c r="AU4233" s="77"/>
      <c r="AV4233" s="83" t="str">
        <f>HYPERLINK("https://pbs.twimg.com/profile_images/1686923153878966272/6FMLng-v_normal.jpg")</f>
        <v>https://pbs.twimg.com/profile_images/1686923153878966272/6FMLng-v_normal.jpg</v>
      </c>
      <c r="AW4233" s="80" t="s">
        <v>19896</v>
      </c>
      <c r="AX4233" s="80" t="s">
        <v>19896</v>
      </c>
      <c r="AY4233" s="77"/>
      <c r="AZ4233" s="80" t="s">
        <v>20380</v>
      </c>
      <c r="BA4233" s="80" t="s">
        <v>20380</v>
      </c>
      <c r="BB4233" s="80" t="s">
        <v>20380</v>
      </c>
      <c r="BC4233" s="80" t="s">
        <v>19896</v>
      </c>
      <c r="BD4233" s="77">
        <v>72079608</v>
      </c>
      <c r="BE4233" s="77"/>
      <c r="BF4233" s="77"/>
      <c r="BG4233" s="77"/>
      <c r="BH4233" s="77"/>
      <c r="BI4233" s="77"/>
    </row>
    <row r="4234" spans="1:61" x14ac:dyDescent="0.25">
      <c r="A4234" s="62" t="s">
        <v>1673</v>
      </c>
      <c r="B4234" s="62" t="s">
        <v>1673</v>
      </c>
      <c r="C4234" s="63"/>
      <c r="D4234" s="64"/>
      <c r="E4234" s="65"/>
      <c r="F4234" s="66"/>
      <c r="G4234" s="63"/>
      <c r="H4234" s="67"/>
      <c r="I4234" s="68"/>
      <c r="J4234" s="68"/>
      <c r="K4234" s="32"/>
      <c r="L4234" s="75">
        <v>4234</v>
      </c>
      <c r="M4234" s="75"/>
      <c r="N4234" s="70"/>
      <c r="O4234" s="77" t="s">
        <v>179</v>
      </c>
      <c r="P4234" s="79">
        <v>45155.723553240743</v>
      </c>
      <c r="Q4234" s="77" t="s">
        <v>5826</v>
      </c>
      <c r="R4234" s="77">
        <v>0</v>
      </c>
      <c r="S4234" s="77">
        <v>0</v>
      </c>
      <c r="T4234" s="77">
        <v>0</v>
      </c>
      <c r="U4234" s="77">
        <v>0</v>
      </c>
      <c r="V4234" s="77">
        <v>9</v>
      </c>
      <c r="W4234" s="80" t="s">
        <v>8555</v>
      </c>
      <c r="X4234" s="83" t="str">
        <f>HYPERLINK("https://folhadebrasilia.com/campos-neto-faz-aceno-a-lula-mas-avisa-banco-central-e-tecnico/")</f>
        <v>https://folhadebrasilia.com/campos-neto-faz-aceno-a-lula-mas-avisa-banco-central-e-tecnico/</v>
      </c>
      <c r="Y4234" s="77" t="s">
        <v>8895</v>
      </c>
      <c r="Z4234" s="77"/>
      <c r="AA4234" s="77" t="s">
        <v>10516</v>
      </c>
      <c r="AB4234" s="77" t="s">
        <v>10535</v>
      </c>
      <c r="AC4234" s="80" t="s">
        <v>10541</v>
      </c>
      <c r="AD4234" s="77" t="s">
        <v>10617</v>
      </c>
      <c r="AE4234" s="83" t="str">
        <f>HYPERLINK("https://twitter.com/folhadebrasilia/status/1692225253106200917")</f>
        <v>https://twitter.com/folhadebrasilia/status/1692225253106200917</v>
      </c>
      <c r="AF4234" s="79">
        <v>45155.723553240743</v>
      </c>
      <c r="AG4234" s="85">
        <v>45155</v>
      </c>
      <c r="AH4234" s="80" t="s">
        <v>14286</v>
      </c>
      <c r="AI4234" s="77" t="b">
        <v>0</v>
      </c>
      <c r="AJ4234" s="77"/>
      <c r="AK4234" s="77"/>
      <c r="AL4234" s="77"/>
      <c r="AM4234" s="77"/>
      <c r="AN4234" s="77"/>
      <c r="AO4234" s="77"/>
      <c r="AP4234" s="77"/>
      <c r="AQ4234" s="77" t="s">
        <v>15993</v>
      </c>
      <c r="AR4234" s="77"/>
      <c r="AS4234" s="77"/>
      <c r="AT4234" s="77"/>
      <c r="AU4234" s="77"/>
      <c r="AV4234" s="83" t="str">
        <f>HYPERLINK("https://pbs.twimg.com/media/F3v9km3XMAknFpF.jpg")</f>
        <v>https://pbs.twimg.com/media/F3v9km3XMAknFpF.jpg</v>
      </c>
      <c r="AW4234" s="80" t="s">
        <v>19897</v>
      </c>
      <c r="AX4234" s="80" t="s">
        <v>19897</v>
      </c>
      <c r="AY4234" s="77"/>
      <c r="AZ4234" s="80" t="s">
        <v>20380</v>
      </c>
      <c r="BA4234" s="80" t="s">
        <v>20380</v>
      </c>
      <c r="BB4234" s="80" t="s">
        <v>20380</v>
      </c>
      <c r="BC4234" s="80" t="s">
        <v>19897</v>
      </c>
      <c r="BD4234" s="77">
        <v>388851712</v>
      </c>
      <c r="BE4234" s="77"/>
      <c r="BF4234" s="77"/>
      <c r="BG4234" s="77"/>
      <c r="BH4234" s="77"/>
      <c r="BI4234" s="77"/>
    </row>
    <row r="4235" spans="1:61" x14ac:dyDescent="0.25">
      <c r="A4235" s="62" t="s">
        <v>1674</v>
      </c>
      <c r="B4235" s="62" t="s">
        <v>1674</v>
      </c>
      <c r="C4235" s="63"/>
      <c r="D4235" s="64"/>
      <c r="E4235" s="65"/>
      <c r="F4235" s="66"/>
      <c r="G4235" s="63"/>
      <c r="H4235" s="67"/>
      <c r="I4235" s="68"/>
      <c r="J4235" s="68"/>
      <c r="K4235" s="32"/>
      <c r="L4235" s="75">
        <v>4235</v>
      </c>
      <c r="M4235" s="75"/>
      <c r="N4235" s="70"/>
      <c r="O4235" s="77" t="s">
        <v>179</v>
      </c>
      <c r="P4235" s="79">
        <v>45050.765486111108</v>
      </c>
      <c r="Q4235" s="77" t="s">
        <v>5827</v>
      </c>
      <c r="R4235" s="77">
        <v>1</v>
      </c>
      <c r="S4235" s="77">
        <v>1</v>
      </c>
      <c r="T4235" s="77">
        <v>3</v>
      </c>
      <c r="U4235" s="77">
        <v>1</v>
      </c>
      <c r="V4235" s="77">
        <v>662</v>
      </c>
      <c r="W4235" s="80" t="s">
        <v>7641</v>
      </c>
      <c r="X4235" s="83" t="str">
        <f>HYPERLINK("https://cultura.uol.com.br/noticias/58443_todo-mundo-aqui-pode-falar-de-tudo-so-nao-pode-falar-de-juros-diz-lula.html")</f>
        <v>https://cultura.uol.com.br/noticias/58443_todo-mundo-aqui-pode-falar-de-tudo-so-nao-pode-falar-de-juros-diz-lula.html</v>
      </c>
      <c r="Y4235" s="77" t="s">
        <v>8611</v>
      </c>
      <c r="Z4235" s="77"/>
      <c r="AA4235" s="77"/>
      <c r="AB4235" s="77"/>
      <c r="AC4235" s="80" t="s">
        <v>10551</v>
      </c>
      <c r="AD4235" s="77" t="s">
        <v>10617</v>
      </c>
      <c r="AE4235" s="83" t="str">
        <f>HYPERLINK("https://twitter.com/jornal_cultura/status/1654189726348333059")</f>
        <v>https://twitter.com/jornal_cultura/status/1654189726348333059</v>
      </c>
      <c r="AF4235" s="79">
        <v>45050.765486111108</v>
      </c>
      <c r="AG4235" s="85">
        <v>45050</v>
      </c>
      <c r="AH4235" s="80" t="s">
        <v>14287</v>
      </c>
      <c r="AI4235" s="77" t="b">
        <v>0</v>
      </c>
      <c r="AJ4235" s="77"/>
      <c r="AK4235" s="77"/>
      <c r="AL4235" s="77"/>
      <c r="AM4235" s="77"/>
      <c r="AN4235" s="77"/>
      <c r="AO4235" s="77"/>
      <c r="AP4235" s="77"/>
      <c r="AQ4235" s="77"/>
      <c r="AR4235" s="77"/>
      <c r="AS4235" s="77"/>
      <c r="AT4235" s="77"/>
      <c r="AU4235" s="77"/>
      <c r="AV4235" s="83" t="str">
        <f>HYPERLINK("https://pbs.twimg.com/profile_images/1252333649548148737/tsuJ5rGh_normal.jpg")</f>
        <v>https://pbs.twimg.com/profile_images/1252333649548148737/tsuJ5rGh_normal.jpg</v>
      </c>
      <c r="AW4235" s="80" t="s">
        <v>19898</v>
      </c>
      <c r="AX4235" s="80" t="s">
        <v>19898</v>
      </c>
      <c r="AY4235" s="77"/>
      <c r="AZ4235" s="80" t="s">
        <v>20380</v>
      </c>
      <c r="BA4235" s="80" t="s">
        <v>20380</v>
      </c>
      <c r="BB4235" s="80" t="s">
        <v>20380</v>
      </c>
      <c r="BC4235" s="80" t="s">
        <v>19898</v>
      </c>
      <c r="BD4235" s="77">
        <v>126750296</v>
      </c>
      <c r="BE4235" s="77"/>
      <c r="BF4235" s="77"/>
      <c r="BG4235" s="77"/>
      <c r="BH4235" s="77"/>
      <c r="BI4235" s="77"/>
    </row>
    <row r="4236" spans="1:61" x14ac:dyDescent="0.25">
      <c r="A4236" s="62" t="s">
        <v>1674</v>
      </c>
      <c r="B4236" s="62" t="s">
        <v>1674</v>
      </c>
      <c r="C4236" s="63"/>
      <c r="D4236" s="64"/>
      <c r="E4236" s="65"/>
      <c r="F4236" s="66"/>
      <c r="G4236" s="63"/>
      <c r="H4236" s="67"/>
      <c r="I4236" s="68"/>
      <c r="J4236" s="68"/>
      <c r="K4236" s="32"/>
      <c r="L4236" s="75">
        <v>4236</v>
      </c>
      <c r="M4236" s="75"/>
      <c r="N4236" s="70"/>
      <c r="O4236" s="77" t="s">
        <v>179</v>
      </c>
      <c r="P4236" s="79">
        <v>45050.0468287037</v>
      </c>
      <c r="Q4236" s="77" t="s">
        <v>5828</v>
      </c>
      <c r="R4236" s="77">
        <v>1</v>
      </c>
      <c r="S4236" s="77">
        <v>6</v>
      </c>
      <c r="T4236" s="77">
        <v>0</v>
      </c>
      <c r="U4236" s="77">
        <v>1</v>
      </c>
      <c r="V4236" s="77">
        <v>1072</v>
      </c>
      <c r="W4236" s="80" t="s">
        <v>7642</v>
      </c>
      <c r="X4236" s="83" t="str">
        <f>HYPERLINK("https://cultura.uol.com.br/noticias/58423_mesmo-sob-pressao-do-governo-lula-bc-mantem-taxa-de-juros-pela-sexta-vez-consecutiva.html")</f>
        <v>https://cultura.uol.com.br/noticias/58423_mesmo-sob-pressao-do-governo-lula-bc-mantem-taxa-de-juros-pela-sexta-vez-consecutiva.html</v>
      </c>
      <c r="Y4236" s="77" t="s">
        <v>8611</v>
      </c>
      <c r="Z4236" s="77"/>
      <c r="AA4236" s="77"/>
      <c r="AB4236" s="77"/>
      <c r="AC4236" s="80" t="s">
        <v>10551</v>
      </c>
      <c r="AD4236" s="77" t="s">
        <v>10617</v>
      </c>
      <c r="AE4236" s="83" t="str">
        <f>HYPERLINK("https://twitter.com/jornal_cultura/status/1653929291896303616")</f>
        <v>https://twitter.com/jornal_cultura/status/1653929291896303616</v>
      </c>
      <c r="AF4236" s="79">
        <v>45050.0468287037</v>
      </c>
      <c r="AG4236" s="85">
        <v>45050</v>
      </c>
      <c r="AH4236" s="80" t="s">
        <v>14288</v>
      </c>
      <c r="AI4236" s="77" t="b">
        <v>0</v>
      </c>
      <c r="AJ4236" s="77"/>
      <c r="AK4236" s="77"/>
      <c r="AL4236" s="77"/>
      <c r="AM4236" s="77"/>
      <c r="AN4236" s="77"/>
      <c r="AO4236" s="77"/>
      <c r="AP4236" s="77"/>
      <c r="AQ4236" s="77"/>
      <c r="AR4236" s="77"/>
      <c r="AS4236" s="77"/>
      <c r="AT4236" s="77"/>
      <c r="AU4236" s="77"/>
      <c r="AV4236" s="83" t="str">
        <f>HYPERLINK("https://pbs.twimg.com/profile_images/1252333649548148737/tsuJ5rGh_normal.jpg")</f>
        <v>https://pbs.twimg.com/profile_images/1252333649548148737/tsuJ5rGh_normal.jpg</v>
      </c>
      <c r="AW4236" s="80" t="s">
        <v>19899</v>
      </c>
      <c r="AX4236" s="80" t="s">
        <v>19899</v>
      </c>
      <c r="AY4236" s="77"/>
      <c r="AZ4236" s="80" t="s">
        <v>20380</v>
      </c>
      <c r="BA4236" s="80" t="s">
        <v>20380</v>
      </c>
      <c r="BB4236" s="80" t="s">
        <v>20380</v>
      </c>
      <c r="BC4236" s="80" t="s">
        <v>19899</v>
      </c>
      <c r="BD4236" s="77">
        <v>126750296</v>
      </c>
      <c r="BE4236" s="77"/>
      <c r="BF4236" s="77"/>
      <c r="BG4236" s="77"/>
      <c r="BH4236" s="77"/>
      <c r="BI4236" s="77"/>
    </row>
    <row r="4237" spans="1:61" x14ac:dyDescent="0.25">
      <c r="A4237" s="62" t="s">
        <v>1674</v>
      </c>
      <c r="B4237" s="62" t="s">
        <v>1674</v>
      </c>
      <c r="C4237" s="63"/>
      <c r="D4237" s="64"/>
      <c r="E4237" s="65"/>
      <c r="F4237" s="66"/>
      <c r="G4237" s="63"/>
      <c r="H4237" s="67"/>
      <c r="I4237" s="68"/>
      <c r="J4237" s="68"/>
      <c r="K4237" s="32"/>
      <c r="L4237" s="75">
        <v>4237</v>
      </c>
      <c r="M4237" s="75"/>
      <c r="N4237" s="70"/>
      <c r="O4237" s="77" t="s">
        <v>179</v>
      </c>
      <c r="P4237" s="79">
        <v>45096.621817129628</v>
      </c>
      <c r="Q4237" s="77" t="s">
        <v>5829</v>
      </c>
      <c r="R4237" s="77">
        <v>1</v>
      </c>
      <c r="S4237" s="77">
        <v>7</v>
      </c>
      <c r="T4237" s="77">
        <v>0</v>
      </c>
      <c r="U4237" s="77">
        <v>0</v>
      </c>
      <c r="V4237" s="77">
        <v>658</v>
      </c>
      <c r="W4237" s="80" t="s">
        <v>7643</v>
      </c>
      <c r="X4237" s="83" t="str">
        <f>HYPERLINK("https://cultura.uol.com.br/economia/noticias/2023/06/19/278_banco-central-define-nesta-quarta-feira-19-a-taxa-basica-de-juros-da-economia-brasileira.html")</f>
        <v>https://cultura.uol.com.br/economia/noticias/2023/06/19/278_banco-central-define-nesta-quarta-feira-19-a-taxa-basica-de-juros-da-economia-brasileira.html</v>
      </c>
      <c r="Y4237" s="77" t="s">
        <v>8611</v>
      </c>
      <c r="Z4237" s="77"/>
      <c r="AA4237" s="77"/>
      <c r="AB4237" s="77"/>
      <c r="AC4237" s="80" t="s">
        <v>10551</v>
      </c>
      <c r="AD4237" s="77" t="s">
        <v>10617</v>
      </c>
      <c r="AE4237" s="83" t="str">
        <f>HYPERLINK("https://twitter.com/jornal_cultura/status/1670807501825097732")</f>
        <v>https://twitter.com/jornal_cultura/status/1670807501825097732</v>
      </c>
      <c r="AF4237" s="79">
        <v>45096.621817129628</v>
      </c>
      <c r="AG4237" s="85">
        <v>45096</v>
      </c>
      <c r="AH4237" s="80" t="s">
        <v>14289</v>
      </c>
      <c r="AI4237" s="77" t="b">
        <v>0</v>
      </c>
      <c r="AJ4237" s="77"/>
      <c r="AK4237" s="77"/>
      <c r="AL4237" s="77"/>
      <c r="AM4237" s="77"/>
      <c r="AN4237" s="77"/>
      <c r="AO4237" s="77"/>
      <c r="AP4237" s="77"/>
      <c r="AQ4237" s="77"/>
      <c r="AR4237" s="77"/>
      <c r="AS4237" s="77"/>
      <c r="AT4237" s="77"/>
      <c r="AU4237" s="77"/>
      <c r="AV4237" s="83" t="str">
        <f>HYPERLINK("https://pbs.twimg.com/profile_images/1252333649548148737/tsuJ5rGh_normal.jpg")</f>
        <v>https://pbs.twimg.com/profile_images/1252333649548148737/tsuJ5rGh_normal.jpg</v>
      </c>
      <c r="AW4237" s="80" t="s">
        <v>19900</v>
      </c>
      <c r="AX4237" s="80" t="s">
        <v>19900</v>
      </c>
      <c r="AY4237" s="77"/>
      <c r="AZ4237" s="80" t="s">
        <v>20380</v>
      </c>
      <c r="BA4237" s="80" t="s">
        <v>20380</v>
      </c>
      <c r="BB4237" s="80" t="s">
        <v>20380</v>
      </c>
      <c r="BC4237" s="80" t="s">
        <v>19900</v>
      </c>
      <c r="BD4237" s="77">
        <v>126750296</v>
      </c>
      <c r="BE4237" s="77"/>
      <c r="BF4237" s="77"/>
      <c r="BG4237" s="77"/>
      <c r="BH4237" s="77"/>
      <c r="BI4237" s="77"/>
    </row>
    <row r="4238" spans="1:61" x14ac:dyDescent="0.25">
      <c r="A4238" s="62" t="s">
        <v>1674</v>
      </c>
      <c r="B4238" s="62" t="s">
        <v>1674</v>
      </c>
      <c r="C4238" s="63"/>
      <c r="D4238" s="64"/>
      <c r="E4238" s="65"/>
      <c r="F4238" s="66"/>
      <c r="G4238" s="63"/>
      <c r="H4238" s="67"/>
      <c r="I4238" s="68"/>
      <c r="J4238" s="68"/>
      <c r="K4238" s="32"/>
      <c r="L4238" s="75">
        <v>4238</v>
      </c>
      <c r="M4238" s="75"/>
      <c r="N4238" s="70"/>
      <c r="O4238" s="77" t="s">
        <v>179</v>
      </c>
      <c r="P4238" s="79">
        <v>45062.120092592595</v>
      </c>
      <c r="Q4238" s="77" t="s">
        <v>5830</v>
      </c>
      <c r="R4238" s="77">
        <v>0</v>
      </c>
      <c r="S4238" s="77">
        <v>10</v>
      </c>
      <c r="T4238" s="77">
        <v>0</v>
      </c>
      <c r="U4238" s="77">
        <v>0</v>
      </c>
      <c r="V4238" s="77">
        <v>1155</v>
      </c>
      <c r="W4238" s="80" t="s">
        <v>7644</v>
      </c>
      <c r="X4238" s="83" t="str">
        <f>HYPERLINK("https://cultura.uol.com.br/noticias/58723_o-governo-esta-tentando-honrar-a-responsabilidade-que-tem-com-as-empresas-diz-presidente-do-bndes-sobre-eletrobras.html")</f>
        <v>https://cultura.uol.com.br/noticias/58723_o-governo-esta-tentando-honrar-a-responsabilidade-que-tem-com-as-empresas-diz-presidente-do-bndes-sobre-eletrobras.html</v>
      </c>
      <c r="Y4238" s="77" t="s">
        <v>8611</v>
      </c>
      <c r="Z4238" s="77"/>
      <c r="AA4238" s="77"/>
      <c r="AB4238" s="77"/>
      <c r="AC4238" s="80" t="s">
        <v>10551</v>
      </c>
      <c r="AD4238" s="77" t="s">
        <v>10617</v>
      </c>
      <c r="AE4238" s="83" t="str">
        <f>HYPERLINK("https://twitter.com/jornal_cultura/status/1658304495829278722")</f>
        <v>https://twitter.com/jornal_cultura/status/1658304495829278722</v>
      </c>
      <c r="AF4238" s="79">
        <v>45062.120092592595</v>
      </c>
      <c r="AG4238" s="85">
        <v>45062</v>
      </c>
      <c r="AH4238" s="80" t="s">
        <v>14290</v>
      </c>
      <c r="AI4238" s="77" t="b">
        <v>0</v>
      </c>
      <c r="AJ4238" s="77"/>
      <c r="AK4238" s="77"/>
      <c r="AL4238" s="77"/>
      <c r="AM4238" s="77"/>
      <c r="AN4238" s="77"/>
      <c r="AO4238" s="77"/>
      <c r="AP4238" s="77"/>
      <c r="AQ4238" s="77"/>
      <c r="AR4238" s="77"/>
      <c r="AS4238" s="77"/>
      <c r="AT4238" s="77"/>
      <c r="AU4238" s="77"/>
      <c r="AV4238" s="83" t="str">
        <f>HYPERLINK("https://pbs.twimg.com/profile_images/1252333649548148737/tsuJ5rGh_normal.jpg")</f>
        <v>https://pbs.twimg.com/profile_images/1252333649548148737/tsuJ5rGh_normal.jpg</v>
      </c>
      <c r="AW4238" s="80" t="s">
        <v>19901</v>
      </c>
      <c r="AX4238" s="80" t="s">
        <v>19901</v>
      </c>
      <c r="AY4238" s="77"/>
      <c r="AZ4238" s="80" t="s">
        <v>20380</v>
      </c>
      <c r="BA4238" s="80" t="s">
        <v>20380</v>
      </c>
      <c r="BB4238" s="80" t="s">
        <v>20380</v>
      </c>
      <c r="BC4238" s="80" t="s">
        <v>19901</v>
      </c>
      <c r="BD4238" s="77">
        <v>126750296</v>
      </c>
      <c r="BE4238" s="77"/>
      <c r="BF4238" s="77"/>
      <c r="BG4238" s="77"/>
      <c r="BH4238" s="77"/>
      <c r="BI4238" s="77"/>
    </row>
    <row r="4239" spans="1:61" x14ac:dyDescent="0.25">
      <c r="A4239" s="62" t="s">
        <v>1674</v>
      </c>
      <c r="B4239" s="62" t="s">
        <v>1674</v>
      </c>
      <c r="C4239" s="63"/>
      <c r="D4239" s="64"/>
      <c r="E4239" s="65"/>
      <c r="F4239" s="66"/>
      <c r="G4239" s="63"/>
      <c r="H4239" s="67"/>
      <c r="I4239" s="68"/>
      <c r="J4239" s="68"/>
      <c r="K4239" s="32"/>
      <c r="L4239" s="75">
        <v>4239</v>
      </c>
      <c r="M4239" s="75"/>
      <c r="N4239" s="70"/>
      <c r="O4239" s="77" t="s">
        <v>179</v>
      </c>
      <c r="P4239" s="79">
        <v>45051.857592592591</v>
      </c>
      <c r="Q4239" s="77" t="s">
        <v>5831</v>
      </c>
      <c r="R4239" s="77">
        <v>1</v>
      </c>
      <c r="S4239" s="77">
        <v>10</v>
      </c>
      <c r="T4239" s="77">
        <v>1</v>
      </c>
      <c r="U4239" s="77">
        <v>0</v>
      </c>
      <c r="V4239" s="77">
        <v>835</v>
      </c>
      <c r="W4239" s="80" t="s">
        <v>7645</v>
      </c>
      <c r="X4239" s="83" t="str">
        <f>HYPERLINK("https://cultura.uol.com.br/noticias/58480_poupanca-tem-resgate-liquido-de-r625-bi-em-abril-diz-banco-central.html")</f>
        <v>https://cultura.uol.com.br/noticias/58480_poupanca-tem-resgate-liquido-de-r625-bi-em-abril-diz-banco-central.html</v>
      </c>
      <c r="Y4239" s="77" t="s">
        <v>8611</v>
      </c>
      <c r="Z4239" s="77"/>
      <c r="AA4239" s="77"/>
      <c r="AB4239" s="77"/>
      <c r="AC4239" s="80" t="s">
        <v>10551</v>
      </c>
      <c r="AD4239" s="77" t="s">
        <v>10617</v>
      </c>
      <c r="AE4239" s="83" t="str">
        <f>HYPERLINK("https://twitter.com/jornal_cultura/status/1654585492086587392")</f>
        <v>https://twitter.com/jornal_cultura/status/1654585492086587392</v>
      </c>
      <c r="AF4239" s="79">
        <v>45051.857592592591</v>
      </c>
      <c r="AG4239" s="85">
        <v>45051</v>
      </c>
      <c r="AH4239" s="80" t="s">
        <v>14291</v>
      </c>
      <c r="AI4239" s="77" t="b">
        <v>0</v>
      </c>
      <c r="AJ4239" s="77"/>
      <c r="AK4239" s="77"/>
      <c r="AL4239" s="77"/>
      <c r="AM4239" s="77"/>
      <c r="AN4239" s="77"/>
      <c r="AO4239" s="77"/>
      <c r="AP4239" s="77"/>
      <c r="AQ4239" s="77"/>
      <c r="AR4239" s="77"/>
      <c r="AS4239" s="77"/>
      <c r="AT4239" s="77"/>
      <c r="AU4239" s="77"/>
      <c r="AV4239" s="83" t="str">
        <f>HYPERLINK("https://pbs.twimg.com/profile_images/1252333649548148737/tsuJ5rGh_normal.jpg")</f>
        <v>https://pbs.twimg.com/profile_images/1252333649548148737/tsuJ5rGh_normal.jpg</v>
      </c>
      <c r="AW4239" s="80" t="s">
        <v>19902</v>
      </c>
      <c r="AX4239" s="80" t="s">
        <v>19902</v>
      </c>
      <c r="AY4239" s="77"/>
      <c r="AZ4239" s="80" t="s">
        <v>20380</v>
      </c>
      <c r="BA4239" s="80" t="s">
        <v>20380</v>
      </c>
      <c r="BB4239" s="80" t="s">
        <v>20380</v>
      </c>
      <c r="BC4239" s="80" t="s">
        <v>19902</v>
      </c>
      <c r="BD4239" s="77">
        <v>126750296</v>
      </c>
      <c r="BE4239" s="77"/>
      <c r="BF4239" s="77"/>
      <c r="BG4239" s="77"/>
      <c r="BH4239" s="77"/>
      <c r="BI4239" s="77"/>
    </row>
    <row r="4240" spans="1:61" x14ac:dyDescent="0.25">
      <c r="A4240" s="62" t="s">
        <v>1674</v>
      </c>
      <c r="B4240" s="62" t="s">
        <v>1674</v>
      </c>
      <c r="C4240" s="63"/>
      <c r="D4240" s="64"/>
      <c r="E4240" s="65"/>
      <c r="F4240" s="66"/>
      <c r="G4240" s="63"/>
      <c r="H4240" s="67"/>
      <c r="I4240" s="68"/>
      <c r="J4240" s="68"/>
      <c r="K4240" s="32"/>
      <c r="L4240" s="75">
        <v>4240</v>
      </c>
      <c r="M4240" s="75"/>
      <c r="N4240" s="70"/>
      <c r="O4240" s="77" t="s">
        <v>179</v>
      </c>
      <c r="P4240" s="79">
        <v>45111.525335648148</v>
      </c>
      <c r="Q4240" s="77" t="s">
        <v>5832</v>
      </c>
      <c r="R4240" s="77">
        <v>0</v>
      </c>
      <c r="S4240" s="77">
        <v>7</v>
      </c>
      <c r="T4240" s="77">
        <v>0</v>
      </c>
      <c r="U4240" s="77">
        <v>0</v>
      </c>
      <c r="V4240" s="77">
        <v>559</v>
      </c>
      <c r="W4240" s="80" t="s">
        <v>7647</v>
      </c>
      <c r="X4240" s="83" t="str">
        <f>HYPERLINK("https://cultura.uol.com.br/noticias/59913_indicado-de-haddad-para-o-banco-central-e-sabatinado-pelo-senado-nesta-terca-4.html")</f>
        <v>https://cultura.uol.com.br/noticias/59913_indicado-de-haddad-para-o-banco-central-e-sabatinado-pelo-senado-nesta-terca-4.html</v>
      </c>
      <c r="Y4240" s="77" t="s">
        <v>8611</v>
      </c>
      <c r="Z4240" s="77"/>
      <c r="AA4240" s="77"/>
      <c r="AB4240" s="77"/>
      <c r="AC4240" s="80" t="s">
        <v>10541</v>
      </c>
      <c r="AD4240" s="77" t="s">
        <v>10617</v>
      </c>
      <c r="AE4240" s="83" t="str">
        <f>HYPERLINK("https://twitter.com/jornal_cultura/status/1676208358389366785")</f>
        <v>https://twitter.com/jornal_cultura/status/1676208358389366785</v>
      </c>
      <c r="AF4240" s="79">
        <v>45111.525335648148</v>
      </c>
      <c r="AG4240" s="85">
        <v>45111</v>
      </c>
      <c r="AH4240" s="80" t="s">
        <v>14292</v>
      </c>
      <c r="AI4240" s="77" t="b">
        <v>0</v>
      </c>
      <c r="AJ4240" s="77"/>
      <c r="AK4240" s="77"/>
      <c r="AL4240" s="77"/>
      <c r="AM4240" s="77"/>
      <c r="AN4240" s="77"/>
      <c r="AO4240" s="77"/>
      <c r="AP4240" s="77"/>
      <c r="AQ4240" s="77"/>
      <c r="AR4240" s="77"/>
      <c r="AS4240" s="77"/>
      <c r="AT4240" s="77"/>
      <c r="AU4240" s="77"/>
      <c r="AV4240" s="83" t="str">
        <f>HYPERLINK("https://pbs.twimg.com/profile_images/1252333649548148737/tsuJ5rGh_normal.jpg")</f>
        <v>https://pbs.twimg.com/profile_images/1252333649548148737/tsuJ5rGh_normal.jpg</v>
      </c>
      <c r="AW4240" s="80" t="s">
        <v>19903</v>
      </c>
      <c r="AX4240" s="80" t="s">
        <v>19903</v>
      </c>
      <c r="AY4240" s="77"/>
      <c r="AZ4240" s="80" t="s">
        <v>20380</v>
      </c>
      <c r="BA4240" s="80" t="s">
        <v>20380</v>
      </c>
      <c r="BB4240" s="80" t="s">
        <v>20380</v>
      </c>
      <c r="BC4240" s="80" t="s">
        <v>19903</v>
      </c>
      <c r="BD4240" s="77">
        <v>126750296</v>
      </c>
      <c r="BE4240" s="77"/>
      <c r="BF4240" s="77"/>
      <c r="BG4240" s="77"/>
      <c r="BH4240" s="77"/>
      <c r="BI4240" s="77"/>
    </row>
    <row r="4241" spans="1:61" x14ac:dyDescent="0.25">
      <c r="A4241" s="62" t="s">
        <v>1674</v>
      </c>
      <c r="B4241" s="62" t="s">
        <v>1674</v>
      </c>
      <c r="C4241" s="63"/>
      <c r="D4241" s="64"/>
      <c r="E4241" s="65"/>
      <c r="F4241" s="66"/>
      <c r="G4241" s="63"/>
      <c r="H4241" s="67"/>
      <c r="I4241" s="68"/>
      <c r="J4241" s="68"/>
      <c r="K4241" s="32"/>
      <c r="L4241" s="75">
        <v>4241</v>
      </c>
      <c r="M4241" s="75"/>
      <c r="N4241" s="70"/>
      <c r="O4241" s="77" t="s">
        <v>179</v>
      </c>
      <c r="P4241" s="79">
        <v>45098.493333333332</v>
      </c>
      <c r="Q4241" s="77" t="s">
        <v>5833</v>
      </c>
      <c r="R4241" s="77">
        <v>1</v>
      </c>
      <c r="S4241" s="77">
        <v>5</v>
      </c>
      <c r="T4241" s="77">
        <v>0</v>
      </c>
      <c r="U4241" s="77">
        <v>0</v>
      </c>
      <c r="V4241" s="77">
        <v>716</v>
      </c>
      <c r="W4241" s="80" t="s">
        <v>7648</v>
      </c>
      <c r="X4241" s="83" t="str">
        <f>HYPERLINK("https://cultura.uol.com.br/economia/noticias/2023/06/21/280_banco-central-define-nesta-quarta-21-a-taxa-basica-de-juros-da-economia-brasileira.html")</f>
        <v>https://cultura.uol.com.br/economia/noticias/2023/06/21/280_banco-central-define-nesta-quarta-21-a-taxa-basica-de-juros-da-economia-brasileira.html</v>
      </c>
      <c r="Y4241" s="77" t="s">
        <v>8611</v>
      </c>
      <c r="Z4241" s="77"/>
      <c r="AA4241" s="77"/>
      <c r="AB4241" s="77"/>
      <c r="AC4241" s="80" t="s">
        <v>10551</v>
      </c>
      <c r="AD4241" s="77" t="s">
        <v>10617</v>
      </c>
      <c r="AE4241" s="83" t="str">
        <f>HYPERLINK("https://twitter.com/jornal_cultura/status/1671485718676348928")</f>
        <v>https://twitter.com/jornal_cultura/status/1671485718676348928</v>
      </c>
      <c r="AF4241" s="79">
        <v>45098.493333333332</v>
      </c>
      <c r="AG4241" s="85">
        <v>45098</v>
      </c>
      <c r="AH4241" s="80" t="s">
        <v>14293</v>
      </c>
      <c r="AI4241" s="77" t="b">
        <v>0</v>
      </c>
      <c r="AJ4241" s="77"/>
      <c r="AK4241" s="77"/>
      <c r="AL4241" s="77"/>
      <c r="AM4241" s="77"/>
      <c r="AN4241" s="77"/>
      <c r="AO4241" s="77"/>
      <c r="AP4241" s="77"/>
      <c r="AQ4241" s="77"/>
      <c r="AR4241" s="77"/>
      <c r="AS4241" s="77"/>
      <c r="AT4241" s="77"/>
      <c r="AU4241" s="77"/>
      <c r="AV4241" s="83" t="str">
        <f>HYPERLINK("https://pbs.twimg.com/profile_images/1252333649548148737/tsuJ5rGh_normal.jpg")</f>
        <v>https://pbs.twimg.com/profile_images/1252333649548148737/tsuJ5rGh_normal.jpg</v>
      </c>
      <c r="AW4241" s="80" t="s">
        <v>19904</v>
      </c>
      <c r="AX4241" s="80" t="s">
        <v>19904</v>
      </c>
      <c r="AY4241" s="77"/>
      <c r="AZ4241" s="80" t="s">
        <v>20380</v>
      </c>
      <c r="BA4241" s="80" t="s">
        <v>20380</v>
      </c>
      <c r="BB4241" s="80" t="s">
        <v>20380</v>
      </c>
      <c r="BC4241" s="80" t="s">
        <v>19904</v>
      </c>
      <c r="BD4241" s="77">
        <v>126750296</v>
      </c>
      <c r="BE4241" s="77"/>
      <c r="BF4241" s="77"/>
      <c r="BG4241" s="77"/>
      <c r="BH4241" s="77"/>
      <c r="BI4241" s="77"/>
    </row>
    <row r="4242" spans="1:61" x14ac:dyDescent="0.25">
      <c r="A4242" s="62" t="s">
        <v>1674</v>
      </c>
      <c r="B4242" s="62" t="s">
        <v>1674</v>
      </c>
      <c r="C4242" s="63"/>
      <c r="D4242" s="64"/>
      <c r="E4242" s="65"/>
      <c r="F4242" s="66"/>
      <c r="G4242" s="63"/>
      <c r="H4242" s="67"/>
      <c r="I4242" s="68"/>
      <c r="J4242" s="68"/>
      <c r="K4242" s="32"/>
      <c r="L4242" s="75">
        <v>4242</v>
      </c>
      <c r="M4242" s="75"/>
      <c r="N4242" s="70"/>
      <c r="O4242" s="77" t="s">
        <v>179</v>
      </c>
      <c r="P4242" s="79">
        <v>45148.767708333333</v>
      </c>
      <c r="Q4242" s="77" t="s">
        <v>5834</v>
      </c>
      <c r="R4242" s="77">
        <v>0</v>
      </c>
      <c r="S4242" s="77">
        <v>5</v>
      </c>
      <c r="T4242" s="77">
        <v>1</v>
      </c>
      <c r="U4242" s="77">
        <v>0</v>
      </c>
      <c r="V4242" s="77">
        <v>575</v>
      </c>
      <c r="W4242" s="80" t="s">
        <v>7660</v>
      </c>
      <c r="X4242" s="83" t="str">
        <f>HYPERLINK("https://cultura.uol.com.br/noticias/60608_presidente-do-banco-central-diz-que-quer-extinguir-rotativo-do-cartao-de-credito-e-disciplinar-consumo.html")</f>
        <v>https://cultura.uol.com.br/noticias/60608_presidente-do-banco-central-diz-que-quer-extinguir-rotativo-do-cartao-de-credito-e-disciplinar-consumo.html</v>
      </c>
      <c r="Y4242" s="77" t="s">
        <v>8611</v>
      </c>
      <c r="Z4242" s="77"/>
      <c r="AA4242" s="77"/>
      <c r="AB4242" s="77"/>
      <c r="AC4242" s="80" t="s">
        <v>10541</v>
      </c>
      <c r="AD4242" s="77" t="s">
        <v>10617</v>
      </c>
      <c r="AE4242" s="83" t="str">
        <f>HYPERLINK("https://twitter.com/jornal_cultura/status/1689704542764412932")</f>
        <v>https://twitter.com/jornal_cultura/status/1689704542764412932</v>
      </c>
      <c r="AF4242" s="79">
        <v>45148.767708333333</v>
      </c>
      <c r="AG4242" s="85">
        <v>45148</v>
      </c>
      <c r="AH4242" s="80" t="s">
        <v>14294</v>
      </c>
      <c r="AI4242" s="77" t="b">
        <v>0</v>
      </c>
      <c r="AJ4242" s="77"/>
      <c r="AK4242" s="77"/>
      <c r="AL4242" s="77"/>
      <c r="AM4242" s="77"/>
      <c r="AN4242" s="77"/>
      <c r="AO4242" s="77"/>
      <c r="AP4242" s="77"/>
      <c r="AQ4242" s="77"/>
      <c r="AR4242" s="77"/>
      <c r="AS4242" s="77"/>
      <c r="AT4242" s="77"/>
      <c r="AU4242" s="77"/>
      <c r="AV4242" s="83" t="str">
        <f>HYPERLINK("https://pbs.twimg.com/profile_images/1252333649548148737/tsuJ5rGh_normal.jpg")</f>
        <v>https://pbs.twimg.com/profile_images/1252333649548148737/tsuJ5rGh_normal.jpg</v>
      </c>
      <c r="AW4242" s="80" t="s">
        <v>19905</v>
      </c>
      <c r="AX4242" s="80" t="s">
        <v>19905</v>
      </c>
      <c r="AY4242" s="77"/>
      <c r="AZ4242" s="80" t="s">
        <v>20380</v>
      </c>
      <c r="BA4242" s="80" t="s">
        <v>20380</v>
      </c>
      <c r="BB4242" s="80" t="s">
        <v>20380</v>
      </c>
      <c r="BC4242" s="80" t="s">
        <v>19905</v>
      </c>
      <c r="BD4242" s="77">
        <v>126750296</v>
      </c>
      <c r="BE4242" s="77"/>
      <c r="BF4242" s="77"/>
      <c r="BG4242" s="77"/>
      <c r="BH4242" s="77"/>
      <c r="BI4242" s="77"/>
    </row>
    <row r="4243" spans="1:61" x14ac:dyDescent="0.25">
      <c r="A4243" s="62" t="s">
        <v>1674</v>
      </c>
      <c r="B4243" s="62" t="s">
        <v>1674</v>
      </c>
      <c r="C4243" s="63"/>
      <c r="D4243" s="64"/>
      <c r="E4243" s="65"/>
      <c r="F4243" s="66"/>
      <c r="G4243" s="63"/>
      <c r="H4243" s="67"/>
      <c r="I4243" s="68"/>
      <c r="J4243" s="68"/>
      <c r="K4243" s="32"/>
      <c r="L4243" s="75">
        <v>4243</v>
      </c>
      <c r="M4243" s="75"/>
      <c r="N4243" s="70"/>
      <c r="O4243" s="77" t="s">
        <v>179</v>
      </c>
      <c r="P4243" s="79">
        <v>45140.958796296298</v>
      </c>
      <c r="Q4243" s="77" t="s">
        <v>5835</v>
      </c>
      <c r="R4243" s="77">
        <v>3</v>
      </c>
      <c r="S4243" s="77">
        <v>14</v>
      </c>
      <c r="T4243" s="77">
        <v>2</v>
      </c>
      <c r="U4243" s="77">
        <v>0</v>
      </c>
      <c r="V4243" s="77">
        <v>1038</v>
      </c>
      <c r="W4243" s="80" t="s">
        <v>7661</v>
      </c>
      <c r="X4243" s="83" t="str">
        <f>HYPERLINK("https://cultura.uol.com.br/noticias/60451_banco-central-reduz-taxa-de-juros-de-1375-para-1325.html")</f>
        <v>https://cultura.uol.com.br/noticias/60451_banco-central-reduz-taxa-de-juros-de-1375-para-1325.html</v>
      </c>
      <c r="Y4243" s="77" t="s">
        <v>8611</v>
      </c>
      <c r="Z4243" s="77"/>
      <c r="AA4243" s="77"/>
      <c r="AB4243" s="77"/>
      <c r="AC4243" s="80" t="s">
        <v>10555</v>
      </c>
      <c r="AD4243" s="77" t="s">
        <v>10617</v>
      </c>
      <c r="AE4243" s="83" t="str">
        <f>HYPERLINK("https://twitter.com/jornal_cultura/status/1686874686565584896")</f>
        <v>https://twitter.com/jornal_cultura/status/1686874686565584896</v>
      </c>
      <c r="AF4243" s="79">
        <v>45140.958796296298</v>
      </c>
      <c r="AG4243" s="85">
        <v>45140</v>
      </c>
      <c r="AH4243" s="80" t="s">
        <v>12548</v>
      </c>
      <c r="AI4243" s="77" t="b">
        <v>0</v>
      </c>
      <c r="AJ4243" s="77"/>
      <c r="AK4243" s="77"/>
      <c r="AL4243" s="77"/>
      <c r="AM4243" s="77"/>
      <c r="AN4243" s="77"/>
      <c r="AO4243" s="77"/>
      <c r="AP4243" s="77"/>
      <c r="AQ4243" s="77"/>
      <c r="AR4243" s="77"/>
      <c r="AS4243" s="77"/>
      <c r="AT4243" s="77"/>
      <c r="AU4243" s="77"/>
      <c r="AV4243" s="83" t="str">
        <f>HYPERLINK("https://pbs.twimg.com/profile_images/1252333649548148737/tsuJ5rGh_normal.jpg")</f>
        <v>https://pbs.twimg.com/profile_images/1252333649548148737/tsuJ5rGh_normal.jpg</v>
      </c>
      <c r="AW4243" s="80" t="s">
        <v>19906</v>
      </c>
      <c r="AX4243" s="80" t="s">
        <v>19906</v>
      </c>
      <c r="AY4243" s="77"/>
      <c r="AZ4243" s="80" t="s">
        <v>20380</v>
      </c>
      <c r="BA4243" s="80" t="s">
        <v>20380</v>
      </c>
      <c r="BB4243" s="80" t="s">
        <v>20380</v>
      </c>
      <c r="BC4243" s="80" t="s">
        <v>19906</v>
      </c>
      <c r="BD4243" s="77">
        <v>126750296</v>
      </c>
      <c r="BE4243" s="77"/>
      <c r="BF4243" s="77"/>
      <c r="BG4243" s="77"/>
      <c r="BH4243" s="77"/>
      <c r="BI4243" s="77"/>
    </row>
    <row r="4244" spans="1:61" x14ac:dyDescent="0.25">
      <c r="A4244" s="62" t="s">
        <v>1674</v>
      </c>
      <c r="B4244" s="62" t="s">
        <v>1674</v>
      </c>
      <c r="C4244" s="63"/>
      <c r="D4244" s="64"/>
      <c r="E4244" s="65"/>
      <c r="F4244" s="66"/>
      <c r="G4244" s="63"/>
      <c r="H4244" s="67"/>
      <c r="I4244" s="68"/>
      <c r="J4244" s="68"/>
      <c r="K4244" s="32"/>
      <c r="L4244" s="75">
        <v>4244</v>
      </c>
      <c r="M4244" s="75"/>
      <c r="N4244" s="70"/>
      <c r="O4244" s="77" t="s">
        <v>179</v>
      </c>
      <c r="P4244" s="79">
        <v>45114.965763888889</v>
      </c>
      <c r="Q4244" s="77" t="s">
        <v>5836</v>
      </c>
      <c r="R4244" s="77">
        <v>2</v>
      </c>
      <c r="S4244" s="77">
        <v>17</v>
      </c>
      <c r="T4244" s="77">
        <v>1</v>
      </c>
      <c r="U4244" s="77">
        <v>0</v>
      </c>
      <c r="V4244" s="77">
        <v>1990</v>
      </c>
      <c r="W4244" s="80" t="s">
        <v>7649</v>
      </c>
      <c r="X4244" s="83" t="str">
        <f>HYPERLINK("https://cultura.uol.com.br/noticias/59983_dinheiro-esquecido-mais-de-r-7-bilhoes-ainda-podem-ser-resgatados.html")</f>
        <v>https://cultura.uol.com.br/noticias/59983_dinheiro-esquecido-mais-de-r-7-bilhoes-ainda-podem-ser-resgatados.html</v>
      </c>
      <c r="Y4244" s="77" t="s">
        <v>8611</v>
      </c>
      <c r="Z4244" s="77"/>
      <c r="AA4244" s="77"/>
      <c r="AB4244" s="77"/>
      <c r="AC4244" s="80" t="s">
        <v>10541</v>
      </c>
      <c r="AD4244" s="77" t="s">
        <v>10617</v>
      </c>
      <c r="AE4244" s="83" t="str">
        <f>HYPERLINK("https://twitter.com/jornal_cultura/status/1677455127509123072")</f>
        <v>https://twitter.com/jornal_cultura/status/1677455127509123072</v>
      </c>
      <c r="AF4244" s="79">
        <v>45114.965763888889</v>
      </c>
      <c r="AG4244" s="85">
        <v>45114</v>
      </c>
      <c r="AH4244" s="80" t="s">
        <v>14295</v>
      </c>
      <c r="AI4244" s="77" t="b">
        <v>0</v>
      </c>
      <c r="AJ4244" s="77"/>
      <c r="AK4244" s="77"/>
      <c r="AL4244" s="77"/>
      <c r="AM4244" s="77"/>
      <c r="AN4244" s="77"/>
      <c r="AO4244" s="77"/>
      <c r="AP4244" s="77"/>
      <c r="AQ4244" s="77"/>
      <c r="AR4244" s="77"/>
      <c r="AS4244" s="77"/>
      <c r="AT4244" s="77"/>
      <c r="AU4244" s="77"/>
      <c r="AV4244" s="83" t="str">
        <f>HYPERLINK("https://pbs.twimg.com/profile_images/1252333649548148737/tsuJ5rGh_normal.jpg")</f>
        <v>https://pbs.twimg.com/profile_images/1252333649548148737/tsuJ5rGh_normal.jpg</v>
      </c>
      <c r="AW4244" s="80" t="s">
        <v>19907</v>
      </c>
      <c r="AX4244" s="80" t="s">
        <v>19907</v>
      </c>
      <c r="AY4244" s="77"/>
      <c r="AZ4244" s="80" t="s">
        <v>20380</v>
      </c>
      <c r="BA4244" s="80" t="s">
        <v>20380</v>
      </c>
      <c r="BB4244" s="80" t="s">
        <v>20380</v>
      </c>
      <c r="BC4244" s="80" t="s">
        <v>19907</v>
      </c>
      <c r="BD4244" s="77">
        <v>126750296</v>
      </c>
      <c r="BE4244" s="77"/>
      <c r="BF4244" s="77"/>
      <c r="BG4244" s="77"/>
      <c r="BH4244" s="77"/>
      <c r="BI4244" s="77"/>
    </row>
    <row r="4245" spans="1:61" x14ac:dyDescent="0.25">
      <c r="A4245" s="62" t="s">
        <v>1674</v>
      </c>
      <c r="B4245" s="62" t="s">
        <v>1674</v>
      </c>
      <c r="C4245" s="63"/>
      <c r="D4245" s="64"/>
      <c r="E4245" s="65"/>
      <c r="F4245" s="66"/>
      <c r="G4245" s="63"/>
      <c r="H4245" s="67"/>
      <c r="I4245" s="68"/>
      <c r="J4245" s="68"/>
      <c r="K4245" s="32"/>
      <c r="L4245" s="75">
        <v>4245</v>
      </c>
      <c r="M4245" s="75"/>
      <c r="N4245" s="70"/>
      <c r="O4245" s="77" t="s">
        <v>179</v>
      </c>
      <c r="P4245" s="79">
        <v>45079.798020833332</v>
      </c>
      <c r="Q4245" s="77" t="s">
        <v>5837</v>
      </c>
      <c r="R4245" s="77">
        <v>1</v>
      </c>
      <c r="S4245" s="77">
        <v>5</v>
      </c>
      <c r="T4245" s="77">
        <v>0</v>
      </c>
      <c r="U4245" s="77">
        <v>0</v>
      </c>
      <c r="V4245" s="77">
        <v>699</v>
      </c>
      <c r="W4245" s="80" t="s">
        <v>7662</v>
      </c>
      <c r="X4245" s="83" t="str">
        <f>HYPERLINK("https://cultura.uol.com.br/noticias/59200_presidente-do-banco-central-afirma-ser-muito-contra-criacao-de-moedas-comuns-entre-paises.html")</f>
        <v>https://cultura.uol.com.br/noticias/59200_presidente-do-banco-central-afirma-ser-muito-contra-criacao-de-moedas-comuns-entre-paises.html</v>
      </c>
      <c r="Y4245" s="77" t="s">
        <v>8611</v>
      </c>
      <c r="Z4245" s="77"/>
      <c r="AA4245" s="77"/>
      <c r="AB4245" s="77"/>
      <c r="AC4245" s="80" t="s">
        <v>10541</v>
      </c>
      <c r="AD4245" s="77" t="s">
        <v>10617</v>
      </c>
      <c r="AE4245" s="83" t="str">
        <f>HYPERLINK("https://twitter.com/jornal_cultura/status/1664710761736810498")</f>
        <v>https://twitter.com/jornal_cultura/status/1664710761736810498</v>
      </c>
      <c r="AF4245" s="79">
        <v>45079.798020833332</v>
      </c>
      <c r="AG4245" s="85">
        <v>45079</v>
      </c>
      <c r="AH4245" s="80" t="s">
        <v>14296</v>
      </c>
      <c r="AI4245" s="77" t="b">
        <v>0</v>
      </c>
      <c r="AJ4245" s="77"/>
      <c r="AK4245" s="77"/>
      <c r="AL4245" s="77"/>
      <c r="AM4245" s="77"/>
      <c r="AN4245" s="77"/>
      <c r="AO4245" s="77"/>
      <c r="AP4245" s="77"/>
      <c r="AQ4245" s="77"/>
      <c r="AR4245" s="77"/>
      <c r="AS4245" s="77"/>
      <c r="AT4245" s="77"/>
      <c r="AU4245" s="77"/>
      <c r="AV4245" s="83" t="str">
        <f>HYPERLINK("https://pbs.twimg.com/profile_images/1252333649548148737/tsuJ5rGh_normal.jpg")</f>
        <v>https://pbs.twimg.com/profile_images/1252333649548148737/tsuJ5rGh_normal.jpg</v>
      </c>
      <c r="AW4245" s="80" t="s">
        <v>19908</v>
      </c>
      <c r="AX4245" s="80" t="s">
        <v>19908</v>
      </c>
      <c r="AY4245" s="77"/>
      <c r="AZ4245" s="80" t="s">
        <v>20380</v>
      </c>
      <c r="BA4245" s="80" t="s">
        <v>20380</v>
      </c>
      <c r="BB4245" s="80" t="s">
        <v>20380</v>
      </c>
      <c r="BC4245" s="80" t="s">
        <v>19908</v>
      </c>
      <c r="BD4245" s="77">
        <v>126750296</v>
      </c>
      <c r="BE4245" s="77"/>
      <c r="BF4245" s="77"/>
      <c r="BG4245" s="77"/>
      <c r="BH4245" s="77"/>
      <c r="BI4245" s="77"/>
    </row>
    <row r="4246" spans="1:61" x14ac:dyDescent="0.25">
      <c r="A4246" s="62" t="s">
        <v>1674</v>
      </c>
      <c r="B4246" s="62" t="s">
        <v>1674</v>
      </c>
      <c r="C4246" s="63"/>
      <c r="D4246" s="64"/>
      <c r="E4246" s="65"/>
      <c r="F4246" s="66"/>
      <c r="G4246" s="63"/>
      <c r="H4246" s="67"/>
      <c r="I4246" s="68"/>
      <c r="J4246" s="68"/>
      <c r="K4246" s="32"/>
      <c r="L4246" s="75">
        <v>4246</v>
      </c>
      <c r="M4246" s="75"/>
      <c r="N4246" s="70"/>
      <c r="O4246" s="77" t="s">
        <v>179</v>
      </c>
      <c r="P4246" s="79">
        <v>45049.494062500002</v>
      </c>
      <c r="Q4246" s="77" t="s">
        <v>5838</v>
      </c>
      <c r="R4246" s="77">
        <v>0</v>
      </c>
      <c r="S4246" s="77">
        <v>4</v>
      </c>
      <c r="T4246" s="77">
        <v>0</v>
      </c>
      <c r="U4246" s="77">
        <v>0</v>
      </c>
      <c r="V4246" s="77">
        <v>731</v>
      </c>
      <c r="W4246" s="80" t="s">
        <v>7663</v>
      </c>
      <c r="X4246" s="83" t="str">
        <f>HYPERLINK("https://cultura.uol.com.br/noticias/58398_banco-central-define-nesta-quarta-feira-3-a-taxa-basica-de-juros-da-economia-brasileira.html")</f>
        <v>https://cultura.uol.com.br/noticias/58398_banco-central-define-nesta-quarta-feira-3-a-taxa-basica-de-juros-da-economia-brasileira.html</v>
      </c>
      <c r="Y4246" s="77" t="s">
        <v>8611</v>
      </c>
      <c r="Z4246" s="77"/>
      <c r="AA4246" s="77"/>
      <c r="AB4246" s="77"/>
      <c r="AC4246" s="80" t="s">
        <v>10551</v>
      </c>
      <c r="AD4246" s="77" t="s">
        <v>10617</v>
      </c>
      <c r="AE4246" s="83" t="str">
        <f>HYPERLINK("https://twitter.com/jornal_cultura/status/1653728978102878209")</f>
        <v>https://twitter.com/jornal_cultura/status/1653728978102878209</v>
      </c>
      <c r="AF4246" s="79">
        <v>45049.494062500002</v>
      </c>
      <c r="AG4246" s="85">
        <v>45049</v>
      </c>
      <c r="AH4246" s="80" t="s">
        <v>14297</v>
      </c>
      <c r="AI4246" s="77" t="b">
        <v>0</v>
      </c>
      <c r="AJ4246" s="77"/>
      <c r="AK4246" s="77"/>
      <c r="AL4246" s="77"/>
      <c r="AM4246" s="77"/>
      <c r="AN4246" s="77"/>
      <c r="AO4246" s="77"/>
      <c r="AP4246" s="77"/>
      <c r="AQ4246" s="77"/>
      <c r="AR4246" s="77"/>
      <c r="AS4246" s="77"/>
      <c r="AT4246" s="77"/>
      <c r="AU4246" s="77"/>
      <c r="AV4246" s="83" t="str">
        <f>HYPERLINK("https://pbs.twimg.com/profile_images/1252333649548148737/tsuJ5rGh_normal.jpg")</f>
        <v>https://pbs.twimg.com/profile_images/1252333649548148737/tsuJ5rGh_normal.jpg</v>
      </c>
      <c r="AW4246" s="80" t="s">
        <v>19909</v>
      </c>
      <c r="AX4246" s="80" t="s">
        <v>19909</v>
      </c>
      <c r="AY4246" s="77"/>
      <c r="AZ4246" s="80" t="s">
        <v>20380</v>
      </c>
      <c r="BA4246" s="80" t="s">
        <v>20380</v>
      </c>
      <c r="BB4246" s="80" t="s">
        <v>20380</v>
      </c>
      <c r="BC4246" s="80" t="s">
        <v>19909</v>
      </c>
      <c r="BD4246" s="77">
        <v>126750296</v>
      </c>
      <c r="BE4246" s="77"/>
      <c r="BF4246" s="77"/>
      <c r="BG4246" s="77"/>
      <c r="BH4246" s="77"/>
      <c r="BI4246" s="77"/>
    </row>
    <row r="4247" spans="1:61" x14ac:dyDescent="0.25">
      <c r="A4247" s="62" t="s">
        <v>1674</v>
      </c>
      <c r="B4247" s="62" t="s">
        <v>1674</v>
      </c>
      <c r="C4247" s="63"/>
      <c r="D4247" s="64"/>
      <c r="E4247" s="65"/>
      <c r="F4247" s="66"/>
      <c r="G4247" s="63"/>
      <c r="H4247" s="67"/>
      <c r="I4247" s="68"/>
      <c r="J4247" s="68"/>
      <c r="K4247" s="32"/>
      <c r="L4247" s="75">
        <v>4247</v>
      </c>
      <c r="M4247" s="75"/>
      <c r="N4247" s="70"/>
      <c r="O4247" s="77" t="s">
        <v>179</v>
      </c>
      <c r="P4247" s="79">
        <v>45145.983622685184</v>
      </c>
      <c r="Q4247" s="77" t="s">
        <v>5839</v>
      </c>
      <c r="R4247" s="77">
        <v>1</v>
      </c>
      <c r="S4247" s="77">
        <v>10</v>
      </c>
      <c r="T4247" s="77">
        <v>0</v>
      </c>
      <c r="U4247" s="77">
        <v>0</v>
      </c>
      <c r="V4247" s="77">
        <v>1061</v>
      </c>
      <c r="W4247" s="80" t="s">
        <v>7649</v>
      </c>
      <c r="X4247" s="83" t="str">
        <f>HYPERLINK("https://cultura.uol.com.br/noticias/60539_dinheiro-esquecido-mais-de-r-72-bilhoes-ainda-podem-ser-resgatados.html")</f>
        <v>https://cultura.uol.com.br/noticias/60539_dinheiro-esquecido-mais-de-r-72-bilhoes-ainda-podem-ser-resgatados.html</v>
      </c>
      <c r="Y4247" s="77" t="s">
        <v>8611</v>
      </c>
      <c r="Z4247" s="77"/>
      <c r="AA4247" s="77"/>
      <c r="AB4247" s="77"/>
      <c r="AC4247" s="80" t="s">
        <v>10541</v>
      </c>
      <c r="AD4247" s="77" t="s">
        <v>10617</v>
      </c>
      <c r="AE4247" s="83" t="str">
        <f>HYPERLINK("https://twitter.com/jornal_cultura/status/1688695620771475456")</f>
        <v>https://twitter.com/jornal_cultura/status/1688695620771475456</v>
      </c>
      <c r="AF4247" s="79">
        <v>45145.983622685184</v>
      </c>
      <c r="AG4247" s="85">
        <v>45145</v>
      </c>
      <c r="AH4247" s="80" t="s">
        <v>14298</v>
      </c>
      <c r="AI4247" s="77" t="b">
        <v>0</v>
      </c>
      <c r="AJ4247" s="77"/>
      <c r="AK4247" s="77"/>
      <c r="AL4247" s="77"/>
      <c r="AM4247" s="77"/>
      <c r="AN4247" s="77"/>
      <c r="AO4247" s="77"/>
      <c r="AP4247" s="77"/>
      <c r="AQ4247" s="77"/>
      <c r="AR4247" s="77"/>
      <c r="AS4247" s="77"/>
      <c r="AT4247" s="77"/>
      <c r="AU4247" s="77"/>
      <c r="AV4247" s="83" t="str">
        <f>HYPERLINK("https://pbs.twimg.com/profile_images/1252333649548148737/tsuJ5rGh_normal.jpg")</f>
        <v>https://pbs.twimg.com/profile_images/1252333649548148737/tsuJ5rGh_normal.jpg</v>
      </c>
      <c r="AW4247" s="80" t="s">
        <v>19910</v>
      </c>
      <c r="AX4247" s="80" t="s">
        <v>19910</v>
      </c>
      <c r="AY4247" s="77"/>
      <c r="AZ4247" s="80" t="s">
        <v>20380</v>
      </c>
      <c r="BA4247" s="80" t="s">
        <v>20380</v>
      </c>
      <c r="BB4247" s="80" t="s">
        <v>20380</v>
      </c>
      <c r="BC4247" s="80" t="s">
        <v>19910</v>
      </c>
      <c r="BD4247" s="77">
        <v>126750296</v>
      </c>
      <c r="BE4247" s="77"/>
      <c r="BF4247" s="77"/>
      <c r="BG4247" s="77"/>
      <c r="BH4247" s="77"/>
      <c r="BI4247" s="77"/>
    </row>
    <row r="4248" spans="1:61" x14ac:dyDescent="0.25">
      <c r="A4248" s="62" t="s">
        <v>1674</v>
      </c>
      <c r="B4248" s="62" t="s">
        <v>1674</v>
      </c>
      <c r="C4248" s="63"/>
      <c r="D4248" s="64"/>
      <c r="E4248" s="65"/>
      <c r="F4248" s="66"/>
      <c r="G4248" s="63"/>
      <c r="H4248" s="67"/>
      <c r="I4248" s="68"/>
      <c r="J4248" s="68"/>
      <c r="K4248" s="32"/>
      <c r="L4248" s="75">
        <v>4248</v>
      </c>
      <c r="M4248" s="75"/>
      <c r="N4248" s="70"/>
      <c r="O4248" s="77" t="s">
        <v>179</v>
      </c>
      <c r="P4248" s="79">
        <v>45093.649305555555</v>
      </c>
      <c r="Q4248" s="77" t="s">
        <v>5840</v>
      </c>
      <c r="R4248" s="77">
        <v>0</v>
      </c>
      <c r="S4248" s="77">
        <v>6</v>
      </c>
      <c r="T4248" s="77">
        <v>0</v>
      </c>
      <c r="U4248" s="77">
        <v>1</v>
      </c>
      <c r="V4248" s="77">
        <v>553</v>
      </c>
      <c r="W4248" s="80" t="s">
        <v>7651</v>
      </c>
      <c r="X4248" s="83" t="str">
        <f>HYPERLINK("https://cultura.uol.com.br/economia/noticias/2023/06/16/277_ibc-br-previa-do-pib-do-banco-central-indica-elevacao-de-056-em-abril.html")</f>
        <v>https://cultura.uol.com.br/economia/noticias/2023/06/16/277_ibc-br-previa-do-pib-do-banco-central-indica-elevacao-de-056-em-abril.html</v>
      </c>
      <c r="Y4248" s="77" t="s">
        <v>8611</v>
      </c>
      <c r="Z4248" s="77"/>
      <c r="AA4248" s="77"/>
      <c r="AB4248" s="77"/>
      <c r="AC4248" s="80" t="s">
        <v>10551</v>
      </c>
      <c r="AD4248" s="77" t="s">
        <v>10617</v>
      </c>
      <c r="AE4248" s="83" t="str">
        <f>HYPERLINK("https://twitter.com/jornal_cultura/status/1669730299914371072")</f>
        <v>https://twitter.com/jornal_cultura/status/1669730299914371072</v>
      </c>
      <c r="AF4248" s="79">
        <v>45093.649305555555</v>
      </c>
      <c r="AG4248" s="85">
        <v>45093</v>
      </c>
      <c r="AH4248" s="80" t="s">
        <v>13111</v>
      </c>
      <c r="AI4248" s="77" t="b">
        <v>0</v>
      </c>
      <c r="AJ4248" s="77"/>
      <c r="AK4248" s="77"/>
      <c r="AL4248" s="77"/>
      <c r="AM4248" s="77"/>
      <c r="AN4248" s="77"/>
      <c r="AO4248" s="77"/>
      <c r="AP4248" s="77"/>
      <c r="AQ4248" s="77"/>
      <c r="AR4248" s="77"/>
      <c r="AS4248" s="77"/>
      <c r="AT4248" s="77"/>
      <c r="AU4248" s="77"/>
      <c r="AV4248" s="83" t="str">
        <f>HYPERLINK("https://pbs.twimg.com/profile_images/1252333649548148737/tsuJ5rGh_normal.jpg")</f>
        <v>https://pbs.twimg.com/profile_images/1252333649548148737/tsuJ5rGh_normal.jpg</v>
      </c>
      <c r="AW4248" s="80" t="s">
        <v>19911</v>
      </c>
      <c r="AX4248" s="80" t="s">
        <v>19911</v>
      </c>
      <c r="AY4248" s="77"/>
      <c r="AZ4248" s="80" t="s">
        <v>20380</v>
      </c>
      <c r="BA4248" s="80" t="s">
        <v>20380</v>
      </c>
      <c r="BB4248" s="80" t="s">
        <v>20380</v>
      </c>
      <c r="BC4248" s="80" t="s">
        <v>19911</v>
      </c>
      <c r="BD4248" s="77">
        <v>126750296</v>
      </c>
      <c r="BE4248" s="77"/>
      <c r="BF4248" s="77"/>
      <c r="BG4248" s="77"/>
      <c r="BH4248" s="77"/>
      <c r="BI4248" s="77"/>
    </row>
    <row r="4249" spans="1:61" x14ac:dyDescent="0.25">
      <c r="A4249" s="62" t="s">
        <v>1674</v>
      </c>
      <c r="B4249" s="62" t="s">
        <v>1674</v>
      </c>
      <c r="C4249" s="63"/>
      <c r="D4249" s="64"/>
      <c r="E4249" s="65"/>
      <c r="F4249" s="66"/>
      <c r="G4249" s="63"/>
      <c r="H4249" s="67"/>
      <c r="I4249" s="68"/>
      <c r="J4249" s="68"/>
      <c r="K4249" s="32"/>
      <c r="L4249" s="75">
        <v>4249</v>
      </c>
      <c r="M4249" s="75"/>
      <c r="N4249" s="70"/>
      <c r="O4249" s="77" t="s">
        <v>179</v>
      </c>
      <c r="P4249" s="79">
        <v>45068.652881944443</v>
      </c>
      <c r="Q4249" s="77" t="s">
        <v>5841</v>
      </c>
      <c r="R4249" s="77">
        <v>0</v>
      </c>
      <c r="S4249" s="77">
        <v>11</v>
      </c>
      <c r="T4249" s="77">
        <v>0</v>
      </c>
      <c r="U4249" s="77">
        <v>0</v>
      </c>
      <c r="V4249" s="77">
        <v>832</v>
      </c>
      <c r="W4249" s="80" t="s">
        <v>7652</v>
      </c>
      <c r="X4249" s="83" t="str">
        <f>HYPERLINK("https://cultura.uol.com.br/economia/noticias/2023/05/22/266_boletim-focus-do-banco-central-preve-melhora-da-economia-brasileira-em-2023.html")</f>
        <v>https://cultura.uol.com.br/economia/noticias/2023/05/22/266_boletim-focus-do-banco-central-preve-melhora-da-economia-brasileira-em-2023.html</v>
      </c>
      <c r="Y4249" s="77" t="s">
        <v>8611</v>
      </c>
      <c r="Z4249" s="77"/>
      <c r="AA4249" s="77"/>
      <c r="AB4249" s="77"/>
      <c r="AC4249" s="80" t="s">
        <v>10551</v>
      </c>
      <c r="AD4249" s="77" t="s">
        <v>10617</v>
      </c>
      <c r="AE4249" s="83" t="str">
        <f>HYPERLINK("https://twitter.com/jornal_cultura/status/1660671900991758336")</f>
        <v>https://twitter.com/jornal_cultura/status/1660671900991758336</v>
      </c>
      <c r="AF4249" s="79">
        <v>45068.652881944443</v>
      </c>
      <c r="AG4249" s="85">
        <v>45068</v>
      </c>
      <c r="AH4249" s="80" t="s">
        <v>14299</v>
      </c>
      <c r="AI4249" s="77" t="b">
        <v>0</v>
      </c>
      <c r="AJ4249" s="77"/>
      <c r="AK4249" s="77"/>
      <c r="AL4249" s="77"/>
      <c r="AM4249" s="77"/>
      <c r="AN4249" s="77"/>
      <c r="AO4249" s="77"/>
      <c r="AP4249" s="77"/>
      <c r="AQ4249" s="77"/>
      <c r="AR4249" s="77"/>
      <c r="AS4249" s="77"/>
      <c r="AT4249" s="77"/>
      <c r="AU4249" s="77"/>
      <c r="AV4249" s="83" t="str">
        <f>HYPERLINK("https://pbs.twimg.com/profile_images/1252333649548148737/tsuJ5rGh_normal.jpg")</f>
        <v>https://pbs.twimg.com/profile_images/1252333649548148737/tsuJ5rGh_normal.jpg</v>
      </c>
      <c r="AW4249" s="80" t="s">
        <v>19912</v>
      </c>
      <c r="AX4249" s="80" t="s">
        <v>19912</v>
      </c>
      <c r="AY4249" s="77"/>
      <c r="AZ4249" s="80" t="s">
        <v>20380</v>
      </c>
      <c r="BA4249" s="80" t="s">
        <v>20380</v>
      </c>
      <c r="BB4249" s="80" t="s">
        <v>20380</v>
      </c>
      <c r="BC4249" s="80" t="s">
        <v>19912</v>
      </c>
      <c r="BD4249" s="77">
        <v>126750296</v>
      </c>
      <c r="BE4249" s="77"/>
      <c r="BF4249" s="77"/>
      <c r="BG4249" s="77"/>
      <c r="BH4249" s="77"/>
      <c r="BI4249" s="77"/>
    </row>
    <row r="4250" spans="1:61" x14ac:dyDescent="0.25">
      <c r="A4250" s="62" t="s">
        <v>1674</v>
      </c>
      <c r="B4250" s="62" t="s">
        <v>1674</v>
      </c>
      <c r="C4250" s="63"/>
      <c r="D4250" s="64"/>
      <c r="E4250" s="65"/>
      <c r="F4250" s="66"/>
      <c r="G4250" s="63"/>
      <c r="H4250" s="67"/>
      <c r="I4250" s="68"/>
      <c r="J4250" s="68"/>
      <c r="K4250" s="32"/>
      <c r="L4250" s="75">
        <v>4250</v>
      </c>
      <c r="M4250" s="75"/>
      <c r="N4250" s="70"/>
      <c r="O4250" s="77" t="s">
        <v>179</v>
      </c>
      <c r="P4250" s="79">
        <v>45065.990219907406</v>
      </c>
      <c r="Q4250" s="77" t="s">
        <v>5842</v>
      </c>
      <c r="R4250" s="77">
        <v>0</v>
      </c>
      <c r="S4250" s="77">
        <v>5</v>
      </c>
      <c r="T4250" s="77">
        <v>1</v>
      </c>
      <c r="U4250" s="77">
        <v>0</v>
      </c>
      <c r="V4250" s="77">
        <v>961</v>
      </c>
      <c r="W4250" s="80" t="s">
        <v>7653</v>
      </c>
      <c r="X4250" s="83" t="str">
        <f>HYPERLINK("https://cultura.uol.com.br/noticias/58873_precisamos-de-reformas-estruturais-diz-presidente-do-bc-sobre-as-chances-de-baixar-o-juros.html")</f>
        <v>https://cultura.uol.com.br/noticias/58873_precisamos-de-reformas-estruturais-diz-presidente-do-bc-sobre-as-chances-de-baixar-o-juros.html</v>
      </c>
      <c r="Y4250" s="77" t="s">
        <v>8611</v>
      </c>
      <c r="Z4250" s="77"/>
      <c r="AA4250" s="77"/>
      <c r="AB4250" s="77"/>
      <c r="AC4250" s="80" t="s">
        <v>10551</v>
      </c>
      <c r="AD4250" s="77" t="s">
        <v>10617</v>
      </c>
      <c r="AE4250" s="83" t="str">
        <f>HYPERLINK("https://twitter.com/jornal_cultura/status/1659706985426690051")</f>
        <v>https://twitter.com/jornal_cultura/status/1659706985426690051</v>
      </c>
      <c r="AF4250" s="79">
        <v>45065.990219907406</v>
      </c>
      <c r="AG4250" s="85">
        <v>45065</v>
      </c>
      <c r="AH4250" s="80" t="s">
        <v>14300</v>
      </c>
      <c r="AI4250" s="77" t="b">
        <v>0</v>
      </c>
      <c r="AJ4250" s="77"/>
      <c r="AK4250" s="77"/>
      <c r="AL4250" s="77"/>
      <c r="AM4250" s="77"/>
      <c r="AN4250" s="77"/>
      <c r="AO4250" s="77"/>
      <c r="AP4250" s="77"/>
      <c r="AQ4250" s="77"/>
      <c r="AR4250" s="77"/>
      <c r="AS4250" s="77"/>
      <c r="AT4250" s="77"/>
      <c r="AU4250" s="77"/>
      <c r="AV4250" s="83" t="str">
        <f>HYPERLINK("https://pbs.twimg.com/profile_images/1252333649548148737/tsuJ5rGh_normal.jpg")</f>
        <v>https://pbs.twimg.com/profile_images/1252333649548148737/tsuJ5rGh_normal.jpg</v>
      </c>
      <c r="AW4250" s="80" t="s">
        <v>19913</v>
      </c>
      <c r="AX4250" s="80" t="s">
        <v>19913</v>
      </c>
      <c r="AY4250" s="77"/>
      <c r="AZ4250" s="80" t="s">
        <v>20380</v>
      </c>
      <c r="BA4250" s="80" t="s">
        <v>20380</v>
      </c>
      <c r="BB4250" s="80" t="s">
        <v>20380</v>
      </c>
      <c r="BC4250" s="80" t="s">
        <v>19913</v>
      </c>
      <c r="BD4250" s="77">
        <v>126750296</v>
      </c>
      <c r="BE4250" s="77"/>
      <c r="BF4250" s="77"/>
      <c r="BG4250" s="77"/>
      <c r="BH4250" s="77"/>
      <c r="BI4250" s="77"/>
    </row>
    <row r="4251" spans="1:61" x14ac:dyDescent="0.25">
      <c r="A4251" s="62" t="s">
        <v>1674</v>
      </c>
      <c r="B4251" s="62" t="s">
        <v>1674</v>
      </c>
      <c r="C4251" s="63"/>
      <c r="D4251" s="64"/>
      <c r="E4251" s="65"/>
      <c r="F4251" s="66"/>
      <c r="G4251" s="63"/>
      <c r="H4251" s="67"/>
      <c r="I4251" s="68"/>
      <c r="J4251" s="68"/>
      <c r="K4251" s="32"/>
      <c r="L4251" s="75">
        <v>4251</v>
      </c>
      <c r="M4251" s="75"/>
      <c r="N4251" s="70"/>
      <c r="O4251" s="77" t="s">
        <v>179</v>
      </c>
      <c r="P4251" s="79">
        <v>45065.976134259261</v>
      </c>
      <c r="Q4251" s="77" t="s">
        <v>5843</v>
      </c>
      <c r="R4251" s="77">
        <v>2</v>
      </c>
      <c r="S4251" s="77">
        <v>12</v>
      </c>
      <c r="T4251" s="77">
        <v>2</v>
      </c>
      <c r="U4251" s="77">
        <v>0</v>
      </c>
      <c r="V4251" s="77">
        <v>987</v>
      </c>
      <c r="W4251" s="80" t="s">
        <v>7654</v>
      </c>
      <c r="X4251" s="83" t="str">
        <f>HYPERLINK("https://cultura.uol.com.br/noticias/58869_haddad-volta-a-defender-que-o-banco-central-reduza-a-taxa-de-juros-do-pais.html")</f>
        <v>https://cultura.uol.com.br/noticias/58869_haddad-volta-a-defender-que-o-banco-central-reduza-a-taxa-de-juros-do-pais.html</v>
      </c>
      <c r="Y4251" s="77" t="s">
        <v>8611</v>
      </c>
      <c r="Z4251" s="77"/>
      <c r="AA4251" s="77"/>
      <c r="AB4251" s="77"/>
      <c r="AC4251" s="80" t="s">
        <v>10551</v>
      </c>
      <c r="AD4251" s="77" t="s">
        <v>10617</v>
      </c>
      <c r="AE4251" s="83" t="str">
        <f>HYPERLINK("https://twitter.com/jornal_cultura/status/1659701878144262144")</f>
        <v>https://twitter.com/jornal_cultura/status/1659701878144262144</v>
      </c>
      <c r="AF4251" s="79">
        <v>45065.976134259261</v>
      </c>
      <c r="AG4251" s="85">
        <v>45065</v>
      </c>
      <c r="AH4251" s="80" t="s">
        <v>14301</v>
      </c>
      <c r="AI4251" s="77" t="b">
        <v>0</v>
      </c>
      <c r="AJ4251" s="77"/>
      <c r="AK4251" s="77"/>
      <c r="AL4251" s="77"/>
      <c r="AM4251" s="77"/>
      <c r="AN4251" s="77"/>
      <c r="AO4251" s="77"/>
      <c r="AP4251" s="77"/>
      <c r="AQ4251" s="77"/>
      <c r="AR4251" s="77"/>
      <c r="AS4251" s="77"/>
      <c r="AT4251" s="77"/>
      <c r="AU4251" s="77"/>
      <c r="AV4251" s="83" t="str">
        <f>HYPERLINK("https://pbs.twimg.com/profile_images/1252333649548148737/tsuJ5rGh_normal.jpg")</f>
        <v>https://pbs.twimg.com/profile_images/1252333649548148737/tsuJ5rGh_normal.jpg</v>
      </c>
      <c r="AW4251" s="80" t="s">
        <v>19914</v>
      </c>
      <c r="AX4251" s="80" t="s">
        <v>19914</v>
      </c>
      <c r="AY4251" s="77"/>
      <c r="AZ4251" s="80" t="s">
        <v>20380</v>
      </c>
      <c r="BA4251" s="80" t="s">
        <v>20380</v>
      </c>
      <c r="BB4251" s="80" t="s">
        <v>20380</v>
      </c>
      <c r="BC4251" s="80" t="s">
        <v>19914</v>
      </c>
      <c r="BD4251" s="77">
        <v>126750296</v>
      </c>
      <c r="BE4251" s="77"/>
      <c r="BF4251" s="77"/>
      <c r="BG4251" s="77"/>
      <c r="BH4251" s="77"/>
      <c r="BI4251" s="77"/>
    </row>
    <row r="4252" spans="1:61" x14ac:dyDescent="0.25">
      <c r="A4252" s="62" t="s">
        <v>1674</v>
      </c>
      <c r="B4252" s="62" t="s">
        <v>1674</v>
      </c>
      <c r="C4252" s="63"/>
      <c r="D4252" s="64"/>
      <c r="E4252" s="65"/>
      <c r="F4252" s="66"/>
      <c r="G4252" s="63"/>
      <c r="H4252" s="67"/>
      <c r="I4252" s="68"/>
      <c r="J4252" s="68"/>
      <c r="K4252" s="32"/>
      <c r="L4252" s="75">
        <v>4252</v>
      </c>
      <c r="M4252" s="75"/>
      <c r="N4252" s="70"/>
      <c r="O4252" s="77" t="s">
        <v>179</v>
      </c>
      <c r="P4252" s="79">
        <v>45173.879618055558</v>
      </c>
      <c r="Q4252" s="77" t="s">
        <v>5844</v>
      </c>
      <c r="R4252" s="77">
        <v>0</v>
      </c>
      <c r="S4252" s="77">
        <v>4</v>
      </c>
      <c r="T4252" s="77">
        <v>0</v>
      </c>
      <c r="U4252" s="77">
        <v>0</v>
      </c>
      <c r="V4252" s="77">
        <v>693</v>
      </c>
      <c r="W4252" s="80" t="s">
        <v>7655</v>
      </c>
      <c r="X4252" s="83" t="str">
        <f>HYPERLINK("https://cultura.uol.com.br/noticias/61082_banco-central-projeto-uso-do-pix-em-pedagios-estacionamentos-e-transporte-publico.html")</f>
        <v>https://cultura.uol.com.br/noticias/61082_banco-central-projeto-uso-do-pix-em-pedagios-estacionamentos-e-transporte-publico.html</v>
      </c>
      <c r="Y4252" s="77" t="s">
        <v>8611</v>
      </c>
      <c r="Z4252" s="77"/>
      <c r="AA4252" s="77"/>
      <c r="AB4252" s="77"/>
      <c r="AC4252" s="80" t="s">
        <v>10541</v>
      </c>
      <c r="AD4252" s="77" t="s">
        <v>10617</v>
      </c>
      <c r="AE4252" s="83" t="str">
        <f>HYPERLINK("https://twitter.com/jornal_cultura/status/1698804791730721208")</f>
        <v>https://twitter.com/jornal_cultura/status/1698804791730721208</v>
      </c>
      <c r="AF4252" s="79">
        <v>45173.879618055558</v>
      </c>
      <c r="AG4252" s="85">
        <v>45173</v>
      </c>
      <c r="AH4252" s="80" t="s">
        <v>14302</v>
      </c>
      <c r="AI4252" s="77" t="b">
        <v>0</v>
      </c>
      <c r="AJ4252" s="77"/>
      <c r="AK4252" s="77"/>
      <c r="AL4252" s="77"/>
      <c r="AM4252" s="77"/>
      <c r="AN4252" s="77"/>
      <c r="AO4252" s="77"/>
      <c r="AP4252" s="77"/>
      <c r="AQ4252" s="77"/>
      <c r="AR4252" s="77"/>
      <c r="AS4252" s="77"/>
      <c r="AT4252" s="77"/>
      <c r="AU4252" s="77"/>
      <c r="AV4252" s="83" t="str">
        <f>HYPERLINK("https://pbs.twimg.com/profile_images/1252333649548148737/tsuJ5rGh_normal.jpg")</f>
        <v>https://pbs.twimg.com/profile_images/1252333649548148737/tsuJ5rGh_normal.jpg</v>
      </c>
      <c r="AW4252" s="80" t="s">
        <v>19915</v>
      </c>
      <c r="AX4252" s="80" t="s">
        <v>19915</v>
      </c>
      <c r="AY4252" s="77"/>
      <c r="AZ4252" s="80" t="s">
        <v>20380</v>
      </c>
      <c r="BA4252" s="80" t="s">
        <v>20380</v>
      </c>
      <c r="BB4252" s="80" t="s">
        <v>20380</v>
      </c>
      <c r="BC4252" s="80" t="s">
        <v>19915</v>
      </c>
      <c r="BD4252" s="77">
        <v>126750296</v>
      </c>
      <c r="BE4252" s="77"/>
      <c r="BF4252" s="77"/>
      <c r="BG4252" s="77"/>
      <c r="BH4252" s="77"/>
      <c r="BI4252" s="77"/>
    </row>
    <row r="4253" spans="1:61" x14ac:dyDescent="0.25">
      <c r="A4253" s="62" t="s">
        <v>1674</v>
      </c>
      <c r="B4253" s="62" t="s">
        <v>1674</v>
      </c>
      <c r="C4253" s="63"/>
      <c r="D4253" s="64"/>
      <c r="E4253" s="65"/>
      <c r="F4253" s="66"/>
      <c r="G4253" s="63"/>
      <c r="H4253" s="67"/>
      <c r="I4253" s="68"/>
      <c r="J4253" s="68"/>
      <c r="K4253" s="32"/>
      <c r="L4253" s="75">
        <v>4253</v>
      </c>
      <c r="M4253" s="75"/>
      <c r="N4253" s="70"/>
      <c r="O4253" s="77" t="s">
        <v>179</v>
      </c>
      <c r="P4253" s="79">
        <v>45099.05327546296</v>
      </c>
      <c r="Q4253" s="77" t="s">
        <v>5845</v>
      </c>
      <c r="R4253" s="77">
        <v>1</v>
      </c>
      <c r="S4253" s="77">
        <v>4</v>
      </c>
      <c r="T4253" s="77">
        <v>1</v>
      </c>
      <c r="U4253" s="77">
        <v>0</v>
      </c>
      <c r="V4253" s="77">
        <v>1132</v>
      </c>
      <c r="W4253" s="80" t="s">
        <v>7657</v>
      </c>
      <c r="X4253" s="83" t="str">
        <f>HYPERLINK("https://cultura.uol.com.br/noticias/59643_elida-graziane-critica-manutencao-da-taxa-de-juros-pelo-banco-central-descumpre-os-objetivos-complementares.html")</f>
        <v>https://cultura.uol.com.br/noticias/59643_elida-graziane-critica-manutencao-da-taxa-de-juros-pelo-banco-central-descumpre-os-objetivos-complementares.html</v>
      </c>
      <c r="Y4253" s="77" t="s">
        <v>8611</v>
      </c>
      <c r="Z4253" s="77"/>
      <c r="AA4253" s="77"/>
      <c r="AB4253" s="77"/>
      <c r="AC4253" s="80" t="s">
        <v>10551</v>
      </c>
      <c r="AD4253" s="77" t="s">
        <v>10617</v>
      </c>
      <c r="AE4253" s="83" t="str">
        <f>HYPERLINK("https://twitter.com/jornal_cultura/status/1671688635031117825")</f>
        <v>https://twitter.com/jornal_cultura/status/1671688635031117825</v>
      </c>
      <c r="AF4253" s="79">
        <v>45099.05327546296</v>
      </c>
      <c r="AG4253" s="85">
        <v>45099</v>
      </c>
      <c r="AH4253" s="80" t="s">
        <v>14303</v>
      </c>
      <c r="AI4253" s="77" t="b">
        <v>0</v>
      </c>
      <c r="AJ4253" s="77"/>
      <c r="AK4253" s="77"/>
      <c r="AL4253" s="77"/>
      <c r="AM4253" s="77"/>
      <c r="AN4253" s="77"/>
      <c r="AO4253" s="77"/>
      <c r="AP4253" s="77"/>
      <c r="AQ4253" s="77"/>
      <c r="AR4253" s="77"/>
      <c r="AS4253" s="77"/>
      <c r="AT4253" s="77"/>
      <c r="AU4253" s="77"/>
      <c r="AV4253" s="83" t="str">
        <f>HYPERLINK("https://pbs.twimg.com/profile_images/1252333649548148737/tsuJ5rGh_normal.jpg")</f>
        <v>https://pbs.twimg.com/profile_images/1252333649548148737/tsuJ5rGh_normal.jpg</v>
      </c>
      <c r="AW4253" s="80" t="s">
        <v>19916</v>
      </c>
      <c r="AX4253" s="80" t="s">
        <v>19916</v>
      </c>
      <c r="AY4253" s="77"/>
      <c r="AZ4253" s="80" t="s">
        <v>20380</v>
      </c>
      <c r="BA4253" s="80" t="s">
        <v>20380</v>
      </c>
      <c r="BB4253" s="80" t="s">
        <v>20380</v>
      </c>
      <c r="BC4253" s="80" t="s">
        <v>19916</v>
      </c>
      <c r="BD4253" s="77">
        <v>126750296</v>
      </c>
      <c r="BE4253" s="77"/>
      <c r="BF4253" s="77"/>
      <c r="BG4253" s="77"/>
      <c r="BH4253" s="77"/>
      <c r="BI4253" s="77"/>
    </row>
    <row r="4254" spans="1:61" x14ac:dyDescent="0.25">
      <c r="A4254" s="62" t="s">
        <v>1674</v>
      </c>
      <c r="B4254" s="62" t="s">
        <v>1674</v>
      </c>
      <c r="C4254" s="63"/>
      <c r="D4254" s="64"/>
      <c r="E4254" s="65"/>
      <c r="F4254" s="66"/>
      <c r="G4254" s="63"/>
      <c r="H4254" s="67"/>
      <c r="I4254" s="68"/>
      <c r="J4254" s="68"/>
      <c r="K4254" s="32"/>
      <c r="L4254" s="75">
        <v>4254</v>
      </c>
      <c r="M4254" s="75"/>
      <c r="N4254" s="70"/>
      <c r="O4254" s="77" t="s">
        <v>179</v>
      </c>
      <c r="P4254" s="79">
        <v>45098.970601851855</v>
      </c>
      <c r="Q4254" s="77" t="s">
        <v>5846</v>
      </c>
      <c r="R4254" s="77">
        <v>0</v>
      </c>
      <c r="S4254" s="77">
        <v>3</v>
      </c>
      <c r="T4254" s="77">
        <v>1</v>
      </c>
      <c r="U4254" s="77">
        <v>0</v>
      </c>
      <c r="V4254" s="77">
        <v>870</v>
      </c>
      <c r="W4254" s="80" t="s">
        <v>7658</v>
      </c>
      <c r="X4254" s="83" t="str">
        <f>HYPERLINK("https://cultura.uol.com.br/noticias/59636_copom-mantem-taxa-de-juros-em-1375-ao-ano.html")</f>
        <v>https://cultura.uol.com.br/noticias/59636_copom-mantem-taxa-de-juros-em-1375-ao-ano.html</v>
      </c>
      <c r="Y4254" s="77" t="s">
        <v>8611</v>
      </c>
      <c r="Z4254" s="77"/>
      <c r="AA4254" s="77"/>
      <c r="AB4254" s="77"/>
      <c r="AC4254" s="80" t="s">
        <v>10551</v>
      </c>
      <c r="AD4254" s="77" t="s">
        <v>10617</v>
      </c>
      <c r="AE4254" s="83" t="str">
        <f>HYPERLINK("https://twitter.com/jornal_cultura/status/1671658675981766657")</f>
        <v>https://twitter.com/jornal_cultura/status/1671658675981766657</v>
      </c>
      <c r="AF4254" s="79">
        <v>45098.970601851855</v>
      </c>
      <c r="AG4254" s="85">
        <v>45098</v>
      </c>
      <c r="AH4254" s="80" t="s">
        <v>14304</v>
      </c>
      <c r="AI4254" s="77" t="b">
        <v>0</v>
      </c>
      <c r="AJ4254" s="77"/>
      <c r="AK4254" s="77"/>
      <c r="AL4254" s="77"/>
      <c r="AM4254" s="77"/>
      <c r="AN4254" s="77"/>
      <c r="AO4254" s="77"/>
      <c r="AP4254" s="77"/>
      <c r="AQ4254" s="77"/>
      <c r="AR4254" s="77"/>
      <c r="AS4254" s="77"/>
      <c r="AT4254" s="77"/>
      <c r="AU4254" s="77"/>
      <c r="AV4254" s="83" t="str">
        <f>HYPERLINK("https://pbs.twimg.com/profile_images/1252333649548148737/tsuJ5rGh_normal.jpg")</f>
        <v>https://pbs.twimg.com/profile_images/1252333649548148737/tsuJ5rGh_normal.jpg</v>
      </c>
      <c r="AW4254" s="80" t="s">
        <v>19917</v>
      </c>
      <c r="AX4254" s="80" t="s">
        <v>19917</v>
      </c>
      <c r="AY4254" s="77"/>
      <c r="AZ4254" s="80" t="s">
        <v>20380</v>
      </c>
      <c r="BA4254" s="80" t="s">
        <v>20380</v>
      </c>
      <c r="BB4254" s="80" t="s">
        <v>20380</v>
      </c>
      <c r="BC4254" s="80" t="s">
        <v>19917</v>
      </c>
      <c r="BD4254" s="77">
        <v>126750296</v>
      </c>
      <c r="BE4254" s="77"/>
      <c r="BF4254" s="77"/>
      <c r="BG4254" s="77"/>
      <c r="BH4254" s="77"/>
      <c r="BI4254" s="77"/>
    </row>
    <row r="4255" spans="1:61" x14ac:dyDescent="0.25">
      <c r="A4255" s="62" t="s">
        <v>1674</v>
      </c>
      <c r="B4255" s="62" t="s">
        <v>1674</v>
      </c>
      <c r="C4255" s="63"/>
      <c r="D4255" s="64"/>
      <c r="E4255" s="65"/>
      <c r="F4255" s="66"/>
      <c r="G4255" s="63"/>
      <c r="H4255" s="67"/>
      <c r="I4255" s="68"/>
      <c r="J4255" s="68"/>
      <c r="K4255" s="32"/>
      <c r="L4255" s="75">
        <v>4255</v>
      </c>
      <c r="M4255" s="75"/>
      <c r="N4255" s="70"/>
      <c r="O4255" s="77" t="s">
        <v>179</v>
      </c>
      <c r="P4255" s="79">
        <v>45098.767939814818</v>
      </c>
      <c r="Q4255" s="77" t="s">
        <v>5847</v>
      </c>
      <c r="R4255" s="77">
        <v>0</v>
      </c>
      <c r="S4255" s="77">
        <v>3</v>
      </c>
      <c r="T4255" s="77">
        <v>0</v>
      </c>
      <c r="U4255" s="77">
        <v>0</v>
      </c>
      <c r="V4255" s="77">
        <v>669</v>
      </c>
      <c r="W4255" s="80" t="s">
        <v>7655</v>
      </c>
      <c r="X4255" s="83" t="str">
        <f>HYPERLINK("https://cultura.uol.com.br/noticias/59624_banco-central-anuncia-pix-automatico-ferramenta-de-pagamentos-periodicos-para-abril-de-2024.html")</f>
        <v>https://cultura.uol.com.br/noticias/59624_banco-central-anuncia-pix-automatico-ferramenta-de-pagamentos-periodicos-para-abril-de-2024.html</v>
      </c>
      <c r="Y4255" s="77" t="s">
        <v>8611</v>
      </c>
      <c r="Z4255" s="77"/>
      <c r="AA4255" s="77"/>
      <c r="AB4255" s="77"/>
      <c r="AC4255" s="80" t="s">
        <v>10551</v>
      </c>
      <c r="AD4255" s="77" t="s">
        <v>10617</v>
      </c>
      <c r="AE4255" s="83" t="str">
        <f>HYPERLINK("https://twitter.com/jornal_cultura/status/1671585230799421440")</f>
        <v>https://twitter.com/jornal_cultura/status/1671585230799421440</v>
      </c>
      <c r="AF4255" s="79">
        <v>45098.767939814818</v>
      </c>
      <c r="AG4255" s="85">
        <v>45098</v>
      </c>
      <c r="AH4255" s="80" t="s">
        <v>14305</v>
      </c>
      <c r="AI4255" s="77" t="b">
        <v>0</v>
      </c>
      <c r="AJ4255" s="77"/>
      <c r="AK4255" s="77"/>
      <c r="AL4255" s="77"/>
      <c r="AM4255" s="77"/>
      <c r="AN4255" s="77"/>
      <c r="AO4255" s="77"/>
      <c r="AP4255" s="77"/>
      <c r="AQ4255" s="77"/>
      <c r="AR4255" s="77"/>
      <c r="AS4255" s="77"/>
      <c r="AT4255" s="77"/>
      <c r="AU4255" s="77"/>
      <c r="AV4255" s="83" t="str">
        <f>HYPERLINK("https://pbs.twimg.com/profile_images/1252333649548148737/tsuJ5rGh_normal.jpg")</f>
        <v>https://pbs.twimg.com/profile_images/1252333649548148737/tsuJ5rGh_normal.jpg</v>
      </c>
      <c r="AW4255" s="80" t="s">
        <v>19918</v>
      </c>
      <c r="AX4255" s="80" t="s">
        <v>19918</v>
      </c>
      <c r="AY4255" s="77"/>
      <c r="AZ4255" s="80" t="s">
        <v>20380</v>
      </c>
      <c r="BA4255" s="80" t="s">
        <v>20380</v>
      </c>
      <c r="BB4255" s="80" t="s">
        <v>20380</v>
      </c>
      <c r="BC4255" s="80" t="s">
        <v>19918</v>
      </c>
      <c r="BD4255" s="77">
        <v>126750296</v>
      </c>
      <c r="BE4255" s="77"/>
      <c r="BF4255" s="77"/>
      <c r="BG4255" s="77"/>
      <c r="BH4255" s="77"/>
      <c r="BI4255" s="77"/>
    </row>
    <row r="4256" spans="1:61" x14ac:dyDescent="0.25">
      <c r="A4256" s="62" t="s">
        <v>1674</v>
      </c>
      <c r="B4256" s="62" t="s">
        <v>1674</v>
      </c>
      <c r="C4256" s="63"/>
      <c r="D4256" s="64"/>
      <c r="E4256" s="65"/>
      <c r="F4256" s="66"/>
      <c r="G4256" s="63"/>
      <c r="H4256" s="67"/>
      <c r="I4256" s="68"/>
      <c r="J4256" s="68"/>
      <c r="K4256" s="32"/>
      <c r="L4256" s="75">
        <v>4256</v>
      </c>
      <c r="M4256" s="75"/>
      <c r="N4256" s="70"/>
      <c r="O4256" s="77" t="s">
        <v>179</v>
      </c>
      <c r="P4256" s="79">
        <v>45180.812916666669</v>
      </c>
      <c r="Q4256" s="77" t="s">
        <v>5848</v>
      </c>
      <c r="R4256" s="77">
        <v>0</v>
      </c>
      <c r="S4256" s="77">
        <v>3</v>
      </c>
      <c r="T4256" s="77">
        <v>0</v>
      </c>
      <c r="U4256" s="77">
        <v>0</v>
      </c>
      <c r="V4256" s="77">
        <v>717</v>
      </c>
      <c r="W4256" s="80" t="s">
        <v>7649</v>
      </c>
      <c r="X4256" s="83" t="str">
        <f>HYPERLINK("https://cultura.uol.com.br/noticias/61207_dinheiro-esquecido-mais-de-r-72-bilhoes-ainda-estao-disponiveis-veja-como-resgatar.html")</f>
        <v>https://cultura.uol.com.br/noticias/61207_dinheiro-esquecido-mais-de-r-72-bilhoes-ainda-estao-disponiveis-veja-como-resgatar.html</v>
      </c>
      <c r="Y4256" s="77" t="s">
        <v>8611</v>
      </c>
      <c r="Z4256" s="77"/>
      <c r="AA4256" s="77"/>
      <c r="AB4256" s="77"/>
      <c r="AC4256" s="80" t="s">
        <v>10541</v>
      </c>
      <c r="AD4256" s="77" t="s">
        <v>10617</v>
      </c>
      <c r="AE4256" s="83" t="str">
        <f>HYPERLINK("https://twitter.com/jornal_cultura/status/1701317336840437805")</f>
        <v>https://twitter.com/jornal_cultura/status/1701317336840437805</v>
      </c>
      <c r="AF4256" s="79">
        <v>45180.812916666669</v>
      </c>
      <c r="AG4256" s="85">
        <v>45180</v>
      </c>
      <c r="AH4256" s="80" t="s">
        <v>14306</v>
      </c>
      <c r="AI4256" s="77" t="b">
        <v>0</v>
      </c>
      <c r="AJ4256" s="77"/>
      <c r="AK4256" s="77"/>
      <c r="AL4256" s="77"/>
      <c r="AM4256" s="77"/>
      <c r="AN4256" s="77"/>
      <c r="AO4256" s="77"/>
      <c r="AP4256" s="77"/>
      <c r="AQ4256" s="77"/>
      <c r="AR4256" s="77"/>
      <c r="AS4256" s="77"/>
      <c r="AT4256" s="77"/>
      <c r="AU4256" s="77"/>
      <c r="AV4256" s="83" t="str">
        <f>HYPERLINK("https://pbs.twimg.com/profile_images/1252333649548148737/tsuJ5rGh_normal.jpg")</f>
        <v>https://pbs.twimg.com/profile_images/1252333649548148737/tsuJ5rGh_normal.jpg</v>
      </c>
      <c r="AW4256" s="80" t="s">
        <v>19919</v>
      </c>
      <c r="AX4256" s="80" t="s">
        <v>19919</v>
      </c>
      <c r="AY4256" s="77"/>
      <c r="AZ4256" s="80" t="s">
        <v>20380</v>
      </c>
      <c r="BA4256" s="80" t="s">
        <v>20380</v>
      </c>
      <c r="BB4256" s="80" t="s">
        <v>20380</v>
      </c>
      <c r="BC4256" s="80" t="s">
        <v>19919</v>
      </c>
      <c r="BD4256" s="77">
        <v>126750296</v>
      </c>
      <c r="BE4256" s="77"/>
      <c r="BF4256" s="77"/>
      <c r="BG4256" s="77"/>
      <c r="BH4256" s="77"/>
      <c r="BI4256" s="77"/>
    </row>
    <row r="4257" spans="1:61" x14ac:dyDescent="0.25">
      <c r="A4257" s="62" t="s">
        <v>1674</v>
      </c>
      <c r="B4257" s="62" t="s">
        <v>1674</v>
      </c>
      <c r="C4257" s="63"/>
      <c r="D4257" s="64"/>
      <c r="E4257" s="65"/>
      <c r="F4257" s="66"/>
      <c r="G4257" s="63"/>
      <c r="H4257" s="67"/>
      <c r="I4257" s="68"/>
      <c r="J4257" s="68"/>
      <c r="K4257" s="32"/>
      <c r="L4257" s="75">
        <v>4257</v>
      </c>
      <c r="M4257" s="75"/>
      <c r="N4257" s="70"/>
      <c r="O4257" s="77" t="s">
        <v>179</v>
      </c>
      <c r="P4257" s="79">
        <v>45149.809803240743</v>
      </c>
      <c r="Q4257" s="77" t="s">
        <v>5849</v>
      </c>
      <c r="R4257" s="77">
        <v>1</v>
      </c>
      <c r="S4257" s="77">
        <v>4</v>
      </c>
      <c r="T4257" s="77">
        <v>0</v>
      </c>
      <c r="U4257" s="77">
        <v>0</v>
      </c>
      <c r="V4257" s="77">
        <v>668</v>
      </c>
      <c r="W4257" s="80" t="s">
        <v>7664</v>
      </c>
      <c r="X4257" s="83" t="str">
        <f>HYPERLINK("https://cultura.uol.com.br/noticias/60632_apesar-de-puxao-de-orelha-campos-neto-diz-que-bc-segue-com-planos-para-rotativo-do-cartao.html")</f>
        <v>https://cultura.uol.com.br/noticias/60632_apesar-de-puxao-de-orelha-campos-neto-diz-que-bc-segue-com-planos-para-rotativo-do-cartao.html</v>
      </c>
      <c r="Y4257" s="77" t="s">
        <v>8611</v>
      </c>
      <c r="Z4257" s="77"/>
      <c r="AA4257" s="77"/>
      <c r="AB4257" s="77"/>
      <c r="AC4257" s="80" t="s">
        <v>10541</v>
      </c>
      <c r="AD4257" s="77" t="s">
        <v>10617</v>
      </c>
      <c r="AE4257" s="83" t="str">
        <f>HYPERLINK("https://twitter.com/jornal_cultura/status/1690082184692953088")</f>
        <v>https://twitter.com/jornal_cultura/status/1690082184692953088</v>
      </c>
      <c r="AF4257" s="79">
        <v>45149.809803240743</v>
      </c>
      <c r="AG4257" s="85">
        <v>45149</v>
      </c>
      <c r="AH4257" s="80" t="s">
        <v>14307</v>
      </c>
      <c r="AI4257" s="77" t="b">
        <v>0</v>
      </c>
      <c r="AJ4257" s="77"/>
      <c r="AK4257" s="77"/>
      <c r="AL4257" s="77"/>
      <c r="AM4257" s="77"/>
      <c r="AN4257" s="77"/>
      <c r="AO4257" s="77"/>
      <c r="AP4257" s="77"/>
      <c r="AQ4257" s="77"/>
      <c r="AR4257" s="77"/>
      <c r="AS4257" s="77"/>
      <c r="AT4257" s="77"/>
      <c r="AU4257" s="77"/>
      <c r="AV4257" s="83" t="str">
        <f>HYPERLINK("https://pbs.twimg.com/profile_images/1252333649548148737/tsuJ5rGh_normal.jpg")</f>
        <v>https://pbs.twimg.com/profile_images/1252333649548148737/tsuJ5rGh_normal.jpg</v>
      </c>
      <c r="AW4257" s="80" t="s">
        <v>19920</v>
      </c>
      <c r="AX4257" s="80" t="s">
        <v>19920</v>
      </c>
      <c r="AY4257" s="77"/>
      <c r="AZ4257" s="80" t="s">
        <v>20380</v>
      </c>
      <c r="BA4257" s="80" t="s">
        <v>20380</v>
      </c>
      <c r="BB4257" s="80" t="s">
        <v>20380</v>
      </c>
      <c r="BC4257" s="80" t="s">
        <v>19920</v>
      </c>
      <c r="BD4257" s="77">
        <v>126750296</v>
      </c>
      <c r="BE4257" s="77"/>
      <c r="BF4257" s="77"/>
      <c r="BG4257" s="77"/>
      <c r="BH4257" s="77"/>
      <c r="BI4257" s="77"/>
    </row>
    <row r="4258" spans="1:61" x14ac:dyDescent="0.25">
      <c r="A4258" s="62" t="s">
        <v>1674</v>
      </c>
      <c r="B4258" s="62" t="s">
        <v>1674</v>
      </c>
      <c r="C4258" s="63"/>
      <c r="D4258" s="64"/>
      <c r="E4258" s="65"/>
      <c r="F4258" s="66"/>
      <c r="G4258" s="63"/>
      <c r="H4258" s="67"/>
      <c r="I4258" s="68"/>
      <c r="J4258" s="68"/>
      <c r="K4258" s="32"/>
      <c r="L4258" s="75">
        <v>4258</v>
      </c>
      <c r="M4258" s="75"/>
      <c r="N4258" s="70"/>
      <c r="O4258" s="77" t="s">
        <v>179</v>
      </c>
      <c r="P4258" s="79">
        <v>45104.555266203701</v>
      </c>
      <c r="Q4258" s="77" t="s">
        <v>5850</v>
      </c>
      <c r="R4258" s="77">
        <v>0</v>
      </c>
      <c r="S4258" s="77">
        <v>7</v>
      </c>
      <c r="T4258" s="77">
        <v>0</v>
      </c>
      <c r="U4258" s="77">
        <v>0</v>
      </c>
      <c r="V4258" s="77">
        <v>566</v>
      </c>
      <c r="W4258" s="80" t="s">
        <v>7665</v>
      </c>
      <c r="X4258" s="83" t="str">
        <f>HYPERLINK("https://cultura.uol.com.br/economia/noticias/2023/06/27/282_com-queda-na-inflacao-taxa-de-juros-pode-ser-reduzida-em-agosto-avalia-copom.html")</f>
        <v>https://cultura.uol.com.br/economia/noticias/2023/06/27/282_com-queda-na-inflacao-taxa-de-juros-pode-ser-reduzida-em-agosto-avalia-copom.html</v>
      </c>
      <c r="Y4258" s="77" t="s">
        <v>8611</v>
      </c>
      <c r="Z4258" s="77"/>
      <c r="AA4258" s="77"/>
      <c r="AB4258" s="77"/>
      <c r="AC4258" s="80" t="s">
        <v>10551</v>
      </c>
      <c r="AD4258" s="77" t="s">
        <v>10617</v>
      </c>
      <c r="AE4258" s="83" t="str">
        <f>HYPERLINK("https://twitter.com/jornal_cultura/status/1673682490249101313")</f>
        <v>https://twitter.com/jornal_cultura/status/1673682490249101313</v>
      </c>
      <c r="AF4258" s="79">
        <v>45104.555266203701</v>
      </c>
      <c r="AG4258" s="85">
        <v>45104</v>
      </c>
      <c r="AH4258" s="80" t="s">
        <v>14308</v>
      </c>
      <c r="AI4258" s="77" t="b">
        <v>0</v>
      </c>
      <c r="AJ4258" s="77"/>
      <c r="AK4258" s="77"/>
      <c r="AL4258" s="77"/>
      <c r="AM4258" s="77"/>
      <c r="AN4258" s="77"/>
      <c r="AO4258" s="77"/>
      <c r="AP4258" s="77"/>
      <c r="AQ4258" s="77"/>
      <c r="AR4258" s="77"/>
      <c r="AS4258" s="77"/>
      <c r="AT4258" s="77"/>
      <c r="AU4258" s="77"/>
      <c r="AV4258" s="83" t="str">
        <f>HYPERLINK("https://pbs.twimg.com/profile_images/1252333649548148737/tsuJ5rGh_normal.jpg")</f>
        <v>https://pbs.twimg.com/profile_images/1252333649548148737/tsuJ5rGh_normal.jpg</v>
      </c>
      <c r="AW4258" s="80" t="s">
        <v>19921</v>
      </c>
      <c r="AX4258" s="80" t="s">
        <v>19921</v>
      </c>
      <c r="AY4258" s="77"/>
      <c r="AZ4258" s="80" t="s">
        <v>20380</v>
      </c>
      <c r="BA4258" s="80" t="s">
        <v>20380</v>
      </c>
      <c r="BB4258" s="80" t="s">
        <v>20380</v>
      </c>
      <c r="BC4258" s="80" t="s">
        <v>19921</v>
      </c>
      <c r="BD4258" s="77">
        <v>126750296</v>
      </c>
      <c r="BE4258" s="77"/>
      <c r="BF4258" s="77"/>
      <c r="BG4258" s="77"/>
      <c r="BH4258" s="77"/>
      <c r="BI4258" s="77"/>
    </row>
    <row r="4259" spans="1:61" x14ac:dyDescent="0.25">
      <c r="A4259" s="62" t="s">
        <v>1674</v>
      </c>
      <c r="B4259" s="62" t="s">
        <v>1674</v>
      </c>
      <c r="C4259" s="63"/>
      <c r="D4259" s="64"/>
      <c r="E4259" s="65"/>
      <c r="F4259" s="66"/>
      <c r="G4259" s="63"/>
      <c r="H4259" s="67"/>
      <c r="I4259" s="68"/>
      <c r="J4259" s="68"/>
      <c r="K4259" s="32"/>
      <c r="L4259" s="75">
        <v>4259</v>
      </c>
      <c r="M4259" s="75"/>
      <c r="N4259" s="70"/>
      <c r="O4259" s="77" t="s">
        <v>179</v>
      </c>
      <c r="P4259" s="79">
        <v>45054.765277777777</v>
      </c>
      <c r="Q4259" s="77" t="s">
        <v>5851</v>
      </c>
      <c r="R4259" s="77">
        <v>0</v>
      </c>
      <c r="S4259" s="77">
        <v>4</v>
      </c>
      <c r="T4259" s="77">
        <v>2</v>
      </c>
      <c r="U4259" s="77">
        <v>0</v>
      </c>
      <c r="V4259" s="77">
        <v>763</v>
      </c>
      <c r="W4259" s="80" t="s">
        <v>7666</v>
      </c>
      <c r="X4259" s="83" t="str">
        <f>HYPERLINK("https://cultura.uol.com.br/noticias/58522_haddad-indica-gabriel-galipolo-para-assumir-diretoria-de-politica-monetaria-do-banco-central.html")</f>
        <v>https://cultura.uol.com.br/noticias/58522_haddad-indica-gabriel-galipolo-para-assumir-diretoria-de-politica-monetaria-do-banco-central.html</v>
      </c>
      <c r="Y4259" s="77" t="s">
        <v>8611</v>
      </c>
      <c r="Z4259" s="77"/>
      <c r="AA4259" s="77"/>
      <c r="AB4259" s="77"/>
      <c r="AC4259" s="80" t="s">
        <v>10551</v>
      </c>
      <c r="AD4259" s="77" t="s">
        <v>10617</v>
      </c>
      <c r="AE4259" s="83" t="str">
        <f>HYPERLINK("https://twitter.com/jornal_cultura/status/1655639202199896064")</f>
        <v>https://twitter.com/jornal_cultura/status/1655639202199896064</v>
      </c>
      <c r="AF4259" s="79">
        <v>45054.765277777777</v>
      </c>
      <c r="AG4259" s="85">
        <v>45054</v>
      </c>
      <c r="AH4259" s="80" t="s">
        <v>14309</v>
      </c>
      <c r="AI4259" s="77" t="b">
        <v>0</v>
      </c>
      <c r="AJ4259" s="77"/>
      <c r="AK4259" s="77"/>
      <c r="AL4259" s="77"/>
      <c r="AM4259" s="77"/>
      <c r="AN4259" s="77"/>
      <c r="AO4259" s="77"/>
      <c r="AP4259" s="77"/>
      <c r="AQ4259" s="77"/>
      <c r="AR4259" s="77"/>
      <c r="AS4259" s="77"/>
      <c r="AT4259" s="77"/>
      <c r="AU4259" s="77"/>
      <c r="AV4259" s="83" t="str">
        <f>HYPERLINK("https://pbs.twimg.com/profile_images/1252333649548148737/tsuJ5rGh_normal.jpg")</f>
        <v>https://pbs.twimg.com/profile_images/1252333649548148737/tsuJ5rGh_normal.jpg</v>
      </c>
      <c r="AW4259" s="80" t="s">
        <v>19922</v>
      </c>
      <c r="AX4259" s="80" t="s">
        <v>19922</v>
      </c>
      <c r="AY4259" s="77"/>
      <c r="AZ4259" s="80" t="s">
        <v>20380</v>
      </c>
      <c r="BA4259" s="80" t="s">
        <v>20380</v>
      </c>
      <c r="BB4259" s="80" t="s">
        <v>20380</v>
      </c>
      <c r="BC4259" s="80" t="s">
        <v>19922</v>
      </c>
      <c r="BD4259" s="77">
        <v>126750296</v>
      </c>
      <c r="BE4259" s="77"/>
      <c r="BF4259" s="77"/>
      <c r="BG4259" s="77"/>
      <c r="BH4259" s="77"/>
      <c r="BI4259" s="77"/>
    </row>
    <row r="4260" spans="1:61" x14ac:dyDescent="0.25">
      <c r="A4260" s="62" t="s">
        <v>1674</v>
      </c>
      <c r="B4260" s="62" t="s">
        <v>1674</v>
      </c>
      <c r="C4260" s="63"/>
      <c r="D4260" s="64"/>
      <c r="E4260" s="65"/>
      <c r="F4260" s="66"/>
      <c r="G4260" s="63"/>
      <c r="H4260" s="67"/>
      <c r="I4260" s="68"/>
      <c r="J4260" s="68"/>
      <c r="K4260" s="32"/>
      <c r="L4260" s="75">
        <v>4260</v>
      </c>
      <c r="M4260" s="75"/>
      <c r="N4260" s="70"/>
      <c r="O4260" s="77" t="s">
        <v>179</v>
      </c>
      <c r="P4260" s="79">
        <v>45189.928483796299</v>
      </c>
      <c r="Q4260" s="77" t="s">
        <v>5852</v>
      </c>
      <c r="R4260" s="77">
        <v>2</v>
      </c>
      <c r="S4260" s="77">
        <v>9</v>
      </c>
      <c r="T4260" s="77">
        <v>0</v>
      </c>
      <c r="U4260" s="77">
        <v>0</v>
      </c>
      <c r="V4260" s="77">
        <v>988</v>
      </c>
      <c r="W4260" s="80" t="s">
        <v>7661</v>
      </c>
      <c r="X4260" s="83" t="str">
        <f>HYPERLINK("https://cultura.uol.com.br/economia/noticias/2023/09/20/304_pela-segunda-vez-seguida-copom-reduz-a-taxa-selic-que-vai-de-1325-para-1275.html")</f>
        <v>https://cultura.uol.com.br/economia/noticias/2023/09/20/304_pela-segunda-vez-seguida-copom-reduz-a-taxa-selic-que-vai-de-1325-para-1275.html</v>
      </c>
      <c r="Y4260" s="77" t="s">
        <v>8611</v>
      </c>
      <c r="Z4260" s="77"/>
      <c r="AA4260" s="77"/>
      <c r="AB4260" s="77"/>
      <c r="AC4260" s="80" t="s">
        <v>10541</v>
      </c>
      <c r="AD4260" s="77" t="s">
        <v>10617</v>
      </c>
      <c r="AE4260" s="83" t="str">
        <f>HYPERLINK("https://twitter.com/jornal_cultura/status/1704620706875515243")</f>
        <v>https://twitter.com/jornal_cultura/status/1704620706875515243</v>
      </c>
      <c r="AF4260" s="79">
        <v>45189.928483796299</v>
      </c>
      <c r="AG4260" s="85">
        <v>45189</v>
      </c>
      <c r="AH4260" s="80" t="s">
        <v>14310</v>
      </c>
      <c r="AI4260" s="77" t="b">
        <v>0</v>
      </c>
      <c r="AJ4260" s="77"/>
      <c r="AK4260" s="77"/>
      <c r="AL4260" s="77"/>
      <c r="AM4260" s="77"/>
      <c r="AN4260" s="77"/>
      <c r="AO4260" s="77"/>
      <c r="AP4260" s="77"/>
      <c r="AQ4260" s="77"/>
      <c r="AR4260" s="77"/>
      <c r="AS4260" s="77"/>
      <c r="AT4260" s="77"/>
      <c r="AU4260" s="77"/>
      <c r="AV4260" s="83" t="str">
        <f>HYPERLINK("https://pbs.twimg.com/profile_images/1252333649548148737/tsuJ5rGh_normal.jpg")</f>
        <v>https://pbs.twimg.com/profile_images/1252333649548148737/tsuJ5rGh_normal.jpg</v>
      </c>
      <c r="AW4260" s="80" t="s">
        <v>19923</v>
      </c>
      <c r="AX4260" s="80" t="s">
        <v>19923</v>
      </c>
      <c r="AY4260" s="77"/>
      <c r="AZ4260" s="80" t="s">
        <v>20380</v>
      </c>
      <c r="BA4260" s="80" t="s">
        <v>20380</v>
      </c>
      <c r="BB4260" s="80" t="s">
        <v>20380</v>
      </c>
      <c r="BC4260" s="80" t="s">
        <v>19923</v>
      </c>
      <c r="BD4260" s="77">
        <v>126750296</v>
      </c>
      <c r="BE4260" s="77"/>
      <c r="BF4260" s="77"/>
      <c r="BG4260" s="77"/>
      <c r="BH4260" s="77"/>
      <c r="BI4260" s="77"/>
    </row>
    <row r="4261" spans="1:61" x14ac:dyDescent="0.25">
      <c r="A4261" s="62" t="s">
        <v>1674</v>
      </c>
      <c r="B4261" s="62" t="s">
        <v>1674</v>
      </c>
      <c r="C4261" s="63"/>
      <c r="D4261" s="64"/>
      <c r="E4261" s="65"/>
      <c r="F4261" s="66"/>
      <c r="G4261" s="63"/>
      <c r="H4261" s="67"/>
      <c r="I4261" s="68"/>
      <c r="J4261" s="68"/>
      <c r="K4261" s="32"/>
      <c r="L4261" s="75">
        <v>4261</v>
      </c>
      <c r="M4261" s="75"/>
      <c r="N4261" s="70"/>
      <c r="O4261" s="77" t="s">
        <v>179</v>
      </c>
      <c r="P4261" s="79">
        <v>45175.034791666665</v>
      </c>
      <c r="Q4261" s="77" t="s">
        <v>5853</v>
      </c>
      <c r="R4261" s="77">
        <v>0</v>
      </c>
      <c r="S4261" s="77">
        <v>3</v>
      </c>
      <c r="T4261" s="77">
        <v>0</v>
      </c>
      <c r="U4261" s="77">
        <v>0</v>
      </c>
      <c r="V4261" s="77">
        <v>674</v>
      </c>
      <c r="W4261" s="80" t="s">
        <v>7667</v>
      </c>
      <c r="X4261" s="83" t="str">
        <f>HYPERLINK("https://cultura.uol.com.br/noticias/61119_caixa-economica-e-banco-do-brasil-promovem-1-transferencia-entre-bancos-publicos-com-o-drex-o-real-digital.html")</f>
        <v>https://cultura.uol.com.br/noticias/61119_caixa-economica-e-banco-do-brasil-promovem-1-transferencia-entre-bancos-publicos-com-o-drex-o-real-digital.html</v>
      </c>
      <c r="Y4261" s="77" t="s">
        <v>8611</v>
      </c>
      <c r="Z4261" s="77"/>
      <c r="AA4261" s="77"/>
      <c r="AB4261" s="77"/>
      <c r="AC4261" s="80" t="s">
        <v>10541</v>
      </c>
      <c r="AD4261" s="77" t="s">
        <v>10617</v>
      </c>
      <c r="AE4261" s="83" t="str">
        <f>HYPERLINK("https://twitter.com/jornal_cultura/status/1699223415003947037")</f>
        <v>https://twitter.com/jornal_cultura/status/1699223415003947037</v>
      </c>
      <c r="AF4261" s="79">
        <v>45175.034791666665</v>
      </c>
      <c r="AG4261" s="85">
        <v>45175</v>
      </c>
      <c r="AH4261" s="80" t="s">
        <v>14311</v>
      </c>
      <c r="AI4261" s="77" t="b">
        <v>0</v>
      </c>
      <c r="AJ4261" s="77"/>
      <c r="AK4261" s="77"/>
      <c r="AL4261" s="77"/>
      <c r="AM4261" s="77"/>
      <c r="AN4261" s="77"/>
      <c r="AO4261" s="77"/>
      <c r="AP4261" s="77"/>
      <c r="AQ4261" s="77"/>
      <c r="AR4261" s="77"/>
      <c r="AS4261" s="77"/>
      <c r="AT4261" s="77"/>
      <c r="AU4261" s="77"/>
      <c r="AV4261" s="83" t="str">
        <f>HYPERLINK("https://pbs.twimg.com/profile_images/1252333649548148737/tsuJ5rGh_normal.jpg")</f>
        <v>https://pbs.twimg.com/profile_images/1252333649548148737/tsuJ5rGh_normal.jpg</v>
      </c>
      <c r="AW4261" s="80" t="s">
        <v>19924</v>
      </c>
      <c r="AX4261" s="80" t="s">
        <v>19924</v>
      </c>
      <c r="AY4261" s="77"/>
      <c r="AZ4261" s="80" t="s">
        <v>20380</v>
      </c>
      <c r="BA4261" s="80" t="s">
        <v>20380</v>
      </c>
      <c r="BB4261" s="80" t="s">
        <v>20380</v>
      </c>
      <c r="BC4261" s="80" t="s">
        <v>19924</v>
      </c>
      <c r="BD4261" s="77">
        <v>126750296</v>
      </c>
      <c r="BE4261" s="77"/>
      <c r="BF4261" s="77"/>
      <c r="BG4261" s="77"/>
      <c r="BH4261" s="77"/>
      <c r="BI4261" s="77"/>
    </row>
    <row r="4262" spans="1:61" x14ac:dyDescent="0.25">
      <c r="A4262" s="62" t="s">
        <v>1674</v>
      </c>
      <c r="B4262" s="62" t="s">
        <v>1674</v>
      </c>
      <c r="C4262" s="63"/>
      <c r="D4262" s="64"/>
      <c r="E4262" s="65"/>
      <c r="F4262" s="66"/>
      <c r="G4262" s="63"/>
      <c r="H4262" s="67"/>
      <c r="I4262" s="68"/>
      <c r="J4262" s="68"/>
      <c r="K4262" s="32"/>
      <c r="L4262" s="75">
        <v>4262</v>
      </c>
      <c r="M4262" s="75"/>
      <c r="N4262" s="70"/>
      <c r="O4262" s="77" t="s">
        <v>179</v>
      </c>
      <c r="P4262" s="79">
        <v>45091.837696759256</v>
      </c>
      <c r="Q4262" s="77" t="s">
        <v>5854</v>
      </c>
      <c r="R4262" s="77">
        <v>1</v>
      </c>
      <c r="S4262" s="77">
        <v>8</v>
      </c>
      <c r="T4262" s="77">
        <v>0</v>
      </c>
      <c r="U4262" s="77">
        <v>0</v>
      </c>
      <c r="V4262" s="77">
        <v>718</v>
      </c>
      <c r="W4262" s="80" t="s">
        <v>7668</v>
      </c>
      <c r="X4262" s="83" t="str">
        <f>HYPERLINK("https://cultura.uol.com.br/economia/noticias/2023/06/14/275_banco-central-dos-estados-unidos-quebra-ciclo-de-alta-e-mantem-taxa-de-juros-entre-5-e-525.html")</f>
        <v>https://cultura.uol.com.br/economia/noticias/2023/06/14/275_banco-central-dos-estados-unidos-quebra-ciclo-de-alta-e-mantem-taxa-de-juros-entre-5-e-525.html</v>
      </c>
      <c r="Y4262" s="77" t="s">
        <v>8611</v>
      </c>
      <c r="Z4262" s="77"/>
      <c r="AA4262" s="77"/>
      <c r="AB4262" s="77"/>
      <c r="AC4262" s="80" t="s">
        <v>10551</v>
      </c>
      <c r="AD4262" s="77" t="s">
        <v>10617</v>
      </c>
      <c r="AE4262" s="83" t="str">
        <f>HYPERLINK("https://twitter.com/jornal_cultura/status/1669073796463034370")</f>
        <v>https://twitter.com/jornal_cultura/status/1669073796463034370</v>
      </c>
      <c r="AF4262" s="79">
        <v>45091.837696759256</v>
      </c>
      <c r="AG4262" s="85">
        <v>45091</v>
      </c>
      <c r="AH4262" s="80" t="s">
        <v>14312</v>
      </c>
      <c r="AI4262" s="77" t="b">
        <v>0</v>
      </c>
      <c r="AJ4262" s="77"/>
      <c r="AK4262" s="77"/>
      <c r="AL4262" s="77"/>
      <c r="AM4262" s="77"/>
      <c r="AN4262" s="77"/>
      <c r="AO4262" s="77"/>
      <c r="AP4262" s="77"/>
      <c r="AQ4262" s="77"/>
      <c r="AR4262" s="77"/>
      <c r="AS4262" s="77"/>
      <c r="AT4262" s="77"/>
      <c r="AU4262" s="77"/>
      <c r="AV4262" s="83" t="str">
        <f>HYPERLINK("https://pbs.twimg.com/profile_images/1252333649548148737/tsuJ5rGh_normal.jpg")</f>
        <v>https://pbs.twimg.com/profile_images/1252333649548148737/tsuJ5rGh_normal.jpg</v>
      </c>
      <c r="AW4262" s="80" t="s">
        <v>19925</v>
      </c>
      <c r="AX4262" s="80" t="s">
        <v>19925</v>
      </c>
      <c r="AY4262" s="77"/>
      <c r="AZ4262" s="80" t="s">
        <v>20380</v>
      </c>
      <c r="BA4262" s="80" t="s">
        <v>20380</v>
      </c>
      <c r="BB4262" s="80" t="s">
        <v>20380</v>
      </c>
      <c r="BC4262" s="80" t="s">
        <v>19925</v>
      </c>
      <c r="BD4262" s="77">
        <v>126750296</v>
      </c>
      <c r="BE4262" s="77"/>
      <c r="BF4262" s="77"/>
      <c r="BG4262" s="77"/>
      <c r="BH4262" s="77"/>
      <c r="BI4262" s="77"/>
    </row>
    <row r="4263" spans="1:61" x14ac:dyDescent="0.25">
      <c r="A4263" s="62" t="s">
        <v>1675</v>
      </c>
      <c r="B4263" s="62" t="s">
        <v>1675</v>
      </c>
      <c r="C4263" s="63"/>
      <c r="D4263" s="64"/>
      <c r="E4263" s="65"/>
      <c r="F4263" s="66"/>
      <c r="G4263" s="63"/>
      <c r="H4263" s="67"/>
      <c r="I4263" s="68"/>
      <c r="J4263" s="68"/>
      <c r="K4263" s="32"/>
      <c r="L4263" s="75">
        <v>4263</v>
      </c>
      <c r="M4263" s="75"/>
      <c r="N4263" s="70"/>
      <c r="O4263" s="77" t="s">
        <v>179</v>
      </c>
      <c r="P4263" s="79">
        <v>45188.920138888891</v>
      </c>
      <c r="Q4263" s="77" t="s">
        <v>5855</v>
      </c>
      <c r="R4263" s="77">
        <v>4</v>
      </c>
      <c r="S4263" s="77">
        <v>14</v>
      </c>
      <c r="T4263" s="77">
        <v>1</v>
      </c>
      <c r="U4263" s="77">
        <v>0</v>
      </c>
      <c r="V4263" s="77">
        <v>1294</v>
      </c>
      <c r="W4263" s="80" t="s">
        <v>7914</v>
      </c>
      <c r="X4263" s="77"/>
      <c r="Y4263" s="77"/>
      <c r="Z4263" s="77"/>
      <c r="AA4263" s="77" t="s">
        <v>10517</v>
      </c>
      <c r="AB4263" s="77" t="s">
        <v>10535</v>
      </c>
      <c r="AC4263" s="80" t="s">
        <v>10541</v>
      </c>
      <c r="AD4263" s="77" t="s">
        <v>10620</v>
      </c>
      <c r="AE4263" s="83" t="str">
        <f>HYPERLINK("https://twitter.com/chtrader/status/1704255294321066259")</f>
        <v>https://twitter.com/chtrader/status/1704255294321066259</v>
      </c>
      <c r="AF4263" s="79">
        <v>45188.920138888891</v>
      </c>
      <c r="AG4263" s="85">
        <v>45188</v>
      </c>
      <c r="AH4263" s="80" t="s">
        <v>14313</v>
      </c>
      <c r="AI4263" s="77" t="b">
        <v>0</v>
      </c>
      <c r="AJ4263" s="77"/>
      <c r="AK4263" s="77"/>
      <c r="AL4263" s="77"/>
      <c r="AM4263" s="77"/>
      <c r="AN4263" s="77"/>
      <c r="AO4263" s="77"/>
      <c r="AP4263" s="77"/>
      <c r="AQ4263" s="77" t="s">
        <v>15994</v>
      </c>
      <c r="AR4263" s="77"/>
      <c r="AS4263" s="77"/>
      <c r="AT4263" s="77"/>
      <c r="AU4263" s="77"/>
      <c r="AV4263" s="83" t="str">
        <f>HYPERLINK("https://pbs.twimg.com/media/F6azi2LXcAA-2MU.jpg")</f>
        <v>https://pbs.twimg.com/media/F6azi2LXcAA-2MU.jpg</v>
      </c>
      <c r="AW4263" s="80" t="s">
        <v>19926</v>
      </c>
      <c r="AX4263" s="80" t="s">
        <v>19926</v>
      </c>
      <c r="AY4263" s="77"/>
      <c r="AZ4263" s="80" t="s">
        <v>20380</v>
      </c>
      <c r="BA4263" s="80" t="s">
        <v>20380</v>
      </c>
      <c r="BB4263" s="80" t="s">
        <v>20380</v>
      </c>
      <c r="BC4263" s="80" t="s">
        <v>19926</v>
      </c>
      <c r="BD4263" s="77">
        <v>236915613</v>
      </c>
      <c r="BE4263" s="77"/>
      <c r="BF4263" s="77"/>
      <c r="BG4263" s="77"/>
      <c r="BH4263" s="77"/>
      <c r="BI4263" s="77"/>
    </row>
    <row r="4264" spans="1:61" x14ac:dyDescent="0.25">
      <c r="A4264" s="62" t="s">
        <v>1676</v>
      </c>
      <c r="B4264" s="62" t="s">
        <v>1675</v>
      </c>
      <c r="C4264" s="63"/>
      <c r="D4264" s="64"/>
      <c r="E4264" s="65"/>
      <c r="F4264" s="66"/>
      <c r="G4264" s="63"/>
      <c r="H4264" s="67"/>
      <c r="I4264" s="68"/>
      <c r="J4264" s="68"/>
      <c r="K4264" s="32"/>
      <c r="L4264" s="75">
        <v>4264</v>
      </c>
      <c r="M4264" s="75"/>
      <c r="N4264" s="70"/>
      <c r="O4264" s="77" t="s">
        <v>2083</v>
      </c>
      <c r="P4264" s="79">
        <v>45188.925092592595</v>
      </c>
      <c r="Q4264" s="77" t="s">
        <v>4951</v>
      </c>
      <c r="R4264" s="77">
        <v>4</v>
      </c>
      <c r="S4264" s="77">
        <v>0</v>
      </c>
      <c r="T4264" s="77">
        <v>0</v>
      </c>
      <c r="U4264" s="77">
        <v>0</v>
      </c>
      <c r="V4264" s="77"/>
      <c r="W4264" s="80" t="s">
        <v>7914</v>
      </c>
      <c r="X4264" s="77"/>
      <c r="Y4264" s="77"/>
      <c r="Z4264" s="77" t="s">
        <v>1675</v>
      </c>
      <c r="AA4264" s="77"/>
      <c r="AB4264" s="77"/>
      <c r="AC4264" s="80" t="s">
        <v>10540</v>
      </c>
      <c r="AD4264" s="77" t="s">
        <v>10620</v>
      </c>
      <c r="AE4264" s="83" t="str">
        <f>HYPERLINK("https://twitter.com/nicoardu/status/1704257088778571920")</f>
        <v>https://twitter.com/nicoardu/status/1704257088778571920</v>
      </c>
      <c r="AF4264" s="79">
        <v>45188.925092592595</v>
      </c>
      <c r="AG4264" s="85">
        <v>45188</v>
      </c>
      <c r="AH4264" s="80" t="s">
        <v>14314</v>
      </c>
      <c r="AI4264" s="77"/>
      <c r="AJ4264" s="77"/>
      <c r="AK4264" s="77"/>
      <c r="AL4264" s="77"/>
      <c r="AM4264" s="77"/>
      <c r="AN4264" s="77"/>
      <c r="AO4264" s="77"/>
      <c r="AP4264" s="77"/>
      <c r="AQ4264" s="77"/>
      <c r="AR4264" s="77"/>
      <c r="AS4264" s="77"/>
      <c r="AT4264" s="77"/>
      <c r="AU4264" s="77"/>
      <c r="AV4264" s="83" t="str">
        <f>HYPERLINK("https://pbs.twimg.com/profile_images/1691820349648732160/i8PTmUh5_normal.jpg")</f>
        <v>https://pbs.twimg.com/profile_images/1691820349648732160/i8PTmUh5_normal.jpg</v>
      </c>
      <c r="AW4264" s="80" t="s">
        <v>19927</v>
      </c>
      <c r="AX4264" s="80" t="s">
        <v>19927</v>
      </c>
      <c r="AY4264" s="77"/>
      <c r="AZ4264" s="80" t="s">
        <v>20380</v>
      </c>
      <c r="BA4264" s="80" t="s">
        <v>20380</v>
      </c>
      <c r="BB4264" s="80" t="s">
        <v>19926</v>
      </c>
      <c r="BC4264" s="80" t="s">
        <v>19926</v>
      </c>
      <c r="BD4264" s="77">
        <v>269407769</v>
      </c>
      <c r="BE4264" s="77"/>
      <c r="BF4264" s="77"/>
      <c r="BG4264" s="77"/>
      <c r="BH4264" s="77"/>
      <c r="BI4264" s="77"/>
    </row>
    <row r="4265" spans="1:61" x14ac:dyDescent="0.25">
      <c r="A4265" s="62" t="s">
        <v>1677</v>
      </c>
      <c r="B4265" s="62" t="s">
        <v>1677</v>
      </c>
      <c r="C4265" s="63"/>
      <c r="D4265" s="64"/>
      <c r="E4265" s="65"/>
      <c r="F4265" s="66"/>
      <c r="G4265" s="63"/>
      <c r="H4265" s="67"/>
      <c r="I4265" s="68"/>
      <c r="J4265" s="68"/>
      <c r="K4265" s="32"/>
      <c r="L4265" s="75">
        <v>4265</v>
      </c>
      <c r="M4265" s="75"/>
      <c r="N4265" s="70"/>
      <c r="O4265" s="77" t="s">
        <v>179</v>
      </c>
      <c r="P4265" s="79">
        <v>45020.791666666664</v>
      </c>
      <c r="Q4265" s="77" t="s">
        <v>5856</v>
      </c>
      <c r="R4265" s="77">
        <v>132</v>
      </c>
      <c r="S4265" s="77">
        <v>332</v>
      </c>
      <c r="T4265" s="77">
        <v>53</v>
      </c>
      <c r="U4265" s="77">
        <v>10</v>
      </c>
      <c r="V4265" s="77">
        <v>8963</v>
      </c>
      <c r="W4265" s="77"/>
      <c r="X4265" s="83" t="str">
        <f>HYPERLINK("https://bit.ly/PT-JurosAluguel")</f>
        <v>https://bit.ly/PT-JurosAluguel</v>
      </c>
      <c r="Y4265" s="77" t="s">
        <v>8618</v>
      </c>
      <c r="Z4265" s="77"/>
      <c r="AA4265" s="77" t="s">
        <v>10518</v>
      </c>
      <c r="AB4265" s="77" t="s">
        <v>10535</v>
      </c>
      <c r="AC4265" s="80" t="s">
        <v>10551</v>
      </c>
      <c r="AD4265" s="77" t="s">
        <v>10617</v>
      </c>
      <c r="AE4265" s="83" t="str">
        <f>HYPERLINK("https://twitter.com/ptbrasil/status/1643327577787076608")</f>
        <v>https://twitter.com/ptbrasil/status/1643327577787076608</v>
      </c>
      <c r="AF4265" s="79">
        <v>45020.791666666664</v>
      </c>
      <c r="AG4265" s="85">
        <v>45020</v>
      </c>
      <c r="AH4265" s="80" t="s">
        <v>10856</v>
      </c>
      <c r="AI4265" s="77" t="b">
        <v>0</v>
      </c>
      <c r="AJ4265" s="77"/>
      <c r="AK4265" s="77"/>
      <c r="AL4265" s="77"/>
      <c r="AM4265" s="77"/>
      <c r="AN4265" s="77"/>
      <c r="AO4265" s="77"/>
      <c r="AP4265" s="77"/>
      <c r="AQ4265" s="77" t="s">
        <v>15995</v>
      </c>
      <c r="AR4265" s="77"/>
      <c r="AS4265" s="77"/>
      <c r="AT4265" s="77"/>
      <c r="AU4265" s="77"/>
      <c r="AV4265" s="83" t="str">
        <f>HYPERLINK("https://pbs.twimg.com/media/Fs47zZbWIAItvnn.jpg")</f>
        <v>https://pbs.twimg.com/media/Fs47zZbWIAItvnn.jpg</v>
      </c>
      <c r="AW4265" s="80" t="s">
        <v>19928</v>
      </c>
      <c r="AX4265" s="80" t="s">
        <v>19928</v>
      </c>
      <c r="AY4265" s="77"/>
      <c r="AZ4265" s="80" t="s">
        <v>20380</v>
      </c>
      <c r="BA4265" s="80" t="s">
        <v>20380</v>
      </c>
      <c r="BB4265" s="80" t="s">
        <v>20380</v>
      </c>
      <c r="BC4265" s="80" t="s">
        <v>19928</v>
      </c>
      <c r="BD4265" s="77">
        <v>39522911</v>
      </c>
      <c r="BE4265" s="77"/>
      <c r="BF4265" s="77"/>
      <c r="BG4265" s="77"/>
      <c r="BH4265" s="77"/>
      <c r="BI4265" s="77"/>
    </row>
    <row r="4266" spans="1:61" x14ac:dyDescent="0.25">
      <c r="A4266" s="62" t="s">
        <v>1678</v>
      </c>
      <c r="B4266" s="62" t="s">
        <v>1678</v>
      </c>
      <c r="C4266" s="63"/>
      <c r="D4266" s="64"/>
      <c r="E4266" s="65"/>
      <c r="F4266" s="66"/>
      <c r="G4266" s="63"/>
      <c r="H4266" s="67"/>
      <c r="I4266" s="68"/>
      <c r="J4266" s="68"/>
      <c r="K4266" s="32"/>
      <c r="L4266" s="75">
        <v>4266</v>
      </c>
      <c r="M4266" s="75"/>
      <c r="N4266" s="70"/>
      <c r="O4266" s="77" t="s">
        <v>179</v>
      </c>
      <c r="P4266" s="79">
        <v>45117.755914351852</v>
      </c>
      <c r="Q4266" s="77" t="s">
        <v>5857</v>
      </c>
      <c r="R4266" s="77">
        <v>1655</v>
      </c>
      <c r="S4266" s="77">
        <v>19843</v>
      </c>
      <c r="T4266" s="77">
        <v>178</v>
      </c>
      <c r="U4266" s="77">
        <v>152</v>
      </c>
      <c r="V4266" s="77">
        <v>1561025</v>
      </c>
      <c r="W4266" s="77"/>
      <c r="X4266" s="77"/>
      <c r="Y4266" s="77"/>
      <c r="Z4266" s="77"/>
      <c r="AA4266" s="77" t="s">
        <v>10519</v>
      </c>
      <c r="AB4266" s="77" t="s">
        <v>10535</v>
      </c>
      <c r="AC4266" s="80" t="s">
        <v>10541</v>
      </c>
      <c r="AD4266" s="77" t="s">
        <v>10620</v>
      </c>
      <c r="AE4266" s="83" t="str">
        <f>HYPERLINK("https://twitter.com/therealbuni/status/1678466242590457856")</f>
        <v>https://twitter.com/therealbuni/status/1678466242590457856</v>
      </c>
      <c r="AF4266" s="79">
        <v>45117.755914351852</v>
      </c>
      <c r="AG4266" s="85">
        <v>45117</v>
      </c>
      <c r="AH4266" s="80" t="s">
        <v>14315</v>
      </c>
      <c r="AI4266" s="77" t="b">
        <v>0</v>
      </c>
      <c r="AJ4266" s="77"/>
      <c r="AK4266" s="77"/>
      <c r="AL4266" s="77"/>
      <c r="AM4266" s="77"/>
      <c r="AN4266" s="77"/>
      <c r="AO4266" s="77"/>
      <c r="AP4266" s="77"/>
      <c r="AQ4266" s="77" t="s">
        <v>15996</v>
      </c>
      <c r="AR4266" s="77"/>
      <c r="AS4266" s="77"/>
      <c r="AT4266" s="77"/>
      <c r="AU4266" s="77"/>
      <c r="AV4266" s="83" t="str">
        <f>HYPERLINK("https://pbs.twimg.com/media/F0sadXbWYAIeEAs.jpg")</f>
        <v>https://pbs.twimg.com/media/F0sadXbWYAIeEAs.jpg</v>
      </c>
      <c r="AW4266" s="80" t="s">
        <v>19929</v>
      </c>
      <c r="AX4266" s="80" t="s">
        <v>19929</v>
      </c>
      <c r="AY4266" s="77"/>
      <c r="AZ4266" s="80" t="s">
        <v>20380</v>
      </c>
      <c r="BA4266" s="80" t="s">
        <v>20380</v>
      </c>
      <c r="BB4266" s="80" t="s">
        <v>20380</v>
      </c>
      <c r="BC4266" s="80" t="s">
        <v>19929</v>
      </c>
      <c r="BD4266" s="80" t="s">
        <v>21195</v>
      </c>
      <c r="BE4266" s="77"/>
      <c r="BF4266" s="77"/>
      <c r="BG4266" s="77"/>
      <c r="BH4266" s="77"/>
      <c r="BI4266" s="77"/>
    </row>
    <row r="4267" spans="1:61" x14ac:dyDescent="0.25">
      <c r="A4267" s="62" t="s">
        <v>1679</v>
      </c>
      <c r="B4267" s="62" t="s">
        <v>1815</v>
      </c>
      <c r="C4267" s="63"/>
      <c r="D4267" s="64"/>
      <c r="E4267" s="65"/>
      <c r="F4267" s="66"/>
      <c r="G4267" s="63"/>
      <c r="H4267" s="67"/>
      <c r="I4267" s="68"/>
      <c r="J4267" s="68"/>
      <c r="K4267" s="32"/>
      <c r="L4267" s="75">
        <v>4267</v>
      </c>
      <c r="M4267" s="75"/>
      <c r="N4267" s="70"/>
      <c r="O4267" s="77" t="s">
        <v>2081</v>
      </c>
      <c r="P4267" s="79">
        <v>45083.902546296296</v>
      </c>
      <c r="Q4267" s="77" t="s">
        <v>5858</v>
      </c>
      <c r="R4267" s="77">
        <v>0</v>
      </c>
      <c r="S4267" s="77">
        <v>4</v>
      </c>
      <c r="T4267" s="77">
        <v>0</v>
      </c>
      <c r="U4267" s="77">
        <v>1</v>
      </c>
      <c r="V4267" s="77">
        <v>810</v>
      </c>
      <c r="W4267" s="80" t="s">
        <v>8556</v>
      </c>
      <c r="X4267" s="83" t="str">
        <f>HYPERLINK("https://www.perfil.com/noticias/amp/economia/la-justicia-fallo-a-favor-de-cordoba-y-podra-acceder-a-dolares-del-banco-central-para-pagar-deudas.phtml")</f>
        <v>https://www.perfil.com/noticias/amp/economia/la-justicia-fallo-a-favor-de-cordoba-y-podra-acceder-a-dolares-del-banco-central-para-pagar-deudas.phtml</v>
      </c>
      <c r="Y4267" s="77" t="s">
        <v>8615</v>
      </c>
      <c r="Z4267" s="77" t="s">
        <v>9037</v>
      </c>
      <c r="AA4267" s="77" t="s">
        <v>10520</v>
      </c>
      <c r="AB4267" s="77" t="s">
        <v>10535</v>
      </c>
      <c r="AC4267" s="80" t="s">
        <v>10542</v>
      </c>
      <c r="AD4267" s="77" t="s">
        <v>10620</v>
      </c>
      <c r="AE4267" s="83" t="str">
        <f>HYPERLINK("https://twitter.com/perfilcordoba/status/1666198194781315072")</f>
        <v>https://twitter.com/perfilcordoba/status/1666198194781315072</v>
      </c>
      <c r="AF4267" s="79">
        <v>45083.902546296296</v>
      </c>
      <c r="AG4267" s="85">
        <v>45083</v>
      </c>
      <c r="AH4267" s="80" t="s">
        <v>14316</v>
      </c>
      <c r="AI4267" s="77" t="b">
        <v>0</v>
      </c>
      <c r="AJ4267" s="77"/>
      <c r="AK4267" s="77"/>
      <c r="AL4267" s="77"/>
      <c r="AM4267" s="77"/>
      <c r="AN4267" s="77"/>
      <c r="AO4267" s="77"/>
      <c r="AP4267" s="77"/>
      <c r="AQ4267" s="77" t="s">
        <v>15997</v>
      </c>
      <c r="AR4267" s="77"/>
      <c r="AS4267" s="77"/>
      <c r="AT4267" s="77"/>
      <c r="AU4267" s="77"/>
      <c r="AV4267" s="83" t="str">
        <f>HYPERLINK("https://pbs.twimg.com/media/Fx-GbI6WYA8L5h0.jpg")</f>
        <v>https://pbs.twimg.com/media/Fx-GbI6WYA8L5h0.jpg</v>
      </c>
      <c r="AW4267" s="80" t="s">
        <v>19930</v>
      </c>
      <c r="AX4267" s="80" t="s">
        <v>19930</v>
      </c>
      <c r="AY4267" s="77"/>
      <c r="AZ4267" s="80" t="s">
        <v>20380</v>
      </c>
      <c r="BA4267" s="80" t="s">
        <v>20380</v>
      </c>
      <c r="BB4267" s="80" t="s">
        <v>20380</v>
      </c>
      <c r="BC4267" s="80" t="s">
        <v>19930</v>
      </c>
      <c r="BD4267" s="80" t="s">
        <v>21196</v>
      </c>
      <c r="BE4267" s="77"/>
      <c r="BF4267" s="77"/>
      <c r="BG4267" s="77"/>
      <c r="BH4267" s="77"/>
      <c r="BI4267" s="77"/>
    </row>
    <row r="4268" spans="1:61" x14ac:dyDescent="0.25">
      <c r="A4268" s="62" t="s">
        <v>1679</v>
      </c>
      <c r="B4268" s="62" t="s">
        <v>1814</v>
      </c>
      <c r="C4268" s="63"/>
      <c r="D4268" s="64"/>
      <c r="E4268" s="65"/>
      <c r="F4268" s="66"/>
      <c r="G4268" s="63"/>
      <c r="H4268" s="67"/>
      <c r="I4268" s="68"/>
      <c r="J4268" s="68"/>
      <c r="K4268" s="32"/>
      <c r="L4268" s="75">
        <v>4268</v>
      </c>
      <c r="M4268" s="75"/>
      <c r="N4268" s="70"/>
      <c r="O4268" s="77" t="s">
        <v>2081</v>
      </c>
      <c r="P4268" s="79">
        <v>45083.902546296296</v>
      </c>
      <c r="Q4268" s="77" t="s">
        <v>5858</v>
      </c>
      <c r="R4268" s="77">
        <v>0</v>
      </c>
      <c r="S4268" s="77">
        <v>4</v>
      </c>
      <c r="T4268" s="77">
        <v>0</v>
      </c>
      <c r="U4268" s="77">
        <v>1</v>
      </c>
      <c r="V4268" s="77">
        <v>810</v>
      </c>
      <c r="W4268" s="80" t="s">
        <v>8556</v>
      </c>
      <c r="X4268" s="83" t="str">
        <f>HYPERLINK("https://www.perfil.com/noticias/amp/economia/la-justicia-fallo-a-favor-de-cordoba-y-podra-acceder-a-dolares-del-banco-central-para-pagar-deudas.phtml")</f>
        <v>https://www.perfil.com/noticias/amp/economia/la-justicia-fallo-a-favor-de-cordoba-y-podra-acceder-a-dolares-del-banco-central-para-pagar-deudas.phtml</v>
      </c>
      <c r="Y4268" s="77" t="s">
        <v>8615</v>
      </c>
      <c r="Z4268" s="77" t="s">
        <v>9037</v>
      </c>
      <c r="AA4268" s="77" t="s">
        <v>10520</v>
      </c>
      <c r="AB4268" s="77" t="s">
        <v>10535</v>
      </c>
      <c r="AC4268" s="80" t="s">
        <v>10542</v>
      </c>
      <c r="AD4268" s="77" t="s">
        <v>10620</v>
      </c>
      <c r="AE4268" s="83" t="str">
        <f>HYPERLINK("https://twitter.com/perfilcordoba/status/1666198194781315072")</f>
        <v>https://twitter.com/perfilcordoba/status/1666198194781315072</v>
      </c>
      <c r="AF4268" s="79">
        <v>45083.902546296296</v>
      </c>
      <c r="AG4268" s="85">
        <v>45083</v>
      </c>
      <c r="AH4268" s="80" t="s">
        <v>14316</v>
      </c>
      <c r="AI4268" s="77" t="b">
        <v>0</v>
      </c>
      <c r="AJ4268" s="77"/>
      <c r="AK4268" s="77"/>
      <c r="AL4268" s="77"/>
      <c r="AM4268" s="77"/>
      <c r="AN4268" s="77"/>
      <c r="AO4268" s="77"/>
      <c r="AP4268" s="77"/>
      <c r="AQ4268" s="77" t="s">
        <v>15997</v>
      </c>
      <c r="AR4268" s="77"/>
      <c r="AS4268" s="77"/>
      <c r="AT4268" s="77"/>
      <c r="AU4268" s="77"/>
      <c r="AV4268" s="83" t="str">
        <f>HYPERLINK("https://pbs.twimg.com/media/Fx-GbI6WYA8L5h0.jpg")</f>
        <v>https://pbs.twimg.com/media/Fx-GbI6WYA8L5h0.jpg</v>
      </c>
      <c r="AW4268" s="80" t="s">
        <v>19930</v>
      </c>
      <c r="AX4268" s="80" t="s">
        <v>19930</v>
      </c>
      <c r="AY4268" s="77"/>
      <c r="AZ4268" s="80" t="s">
        <v>20380</v>
      </c>
      <c r="BA4268" s="80" t="s">
        <v>20380</v>
      </c>
      <c r="BB4268" s="80" t="s">
        <v>20380</v>
      </c>
      <c r="BC4268" s="80" t="s">
        <v>19930</v>
      </c>
      <c r="BD4268" s="80" t="s">
        <v>21196</v>
      </c>
      <c r="BE4268" s="77"/>
      <c r="BF4268" s="77"/>
      <c r="BG4268" s="77"/>
      <c r="BH4268" s="77"/>
      <c r="BI4268" s="77"/>
    </row>
    <row r="4269" spans="1:61" x14ac:dyDescent="0.25">
      <c r="A4269" s="62" t="s">
        <v>1680</v>
      </c>
      <c r="B4269" s="62" t="s">
        <v>1681</v>
      </c>
      <c r="C4269" s="63"/>
      <c r="D4269" s="64"/>
      <c r="E4269" s="65"/>
      <c r="F4269" s="66"/>
      <c r="G4269" s="63"/>
      <c r="H4269" s="67"/>
      <c r="I4269" s="68"/>
      <c r="J4269" s="68"/>
      <c r="K4269" s="32"/>
      <c r="L4269" s="75">
        <v>4269</v>
      </c>
      <c r="M4269" s="75"/>
      <c r="N4269" s="70"/>
      <c r="O4269" s="77" t="s">
        <v>2083</v>
      </c>
      <c r="P4269" s="79">
        <v>45190.04446759259</v>
      </c>
      <c r="Q4269" s="77" t="s">
        <v>2237</v>
      </c>
      <c r="R4269" s="77">
        <v>18</v>
      </c>
      <c r="S4269" s="77">
        <v>0</v>
      </c>
      <c r="T4269" s="77">
        <v>0</v>
      </c>
      <c r="U4269" s="77">
        <v>0</v>
      </c>
      <c r="V4269" s="77"/>
      <c r="W4269" s="80" t="s">
        <v>6018</v>
      </c>
      <c r="X4269" s="77"/>
      <c r="Y4269" s="77"/>
      <c r="Z4269" s="77" t="s">
        <v>1681</v>
      </c>
      <c r="AA4269" s="77"/>
      <c r="AB4269" s="77"/>
      <c r="AC4269" s="80" t="s">
        <v>10540</v>
      </c>
      <c r="AD4269" s="77" t="s">
        <v>10617</v>
      </c>
      <c r="AE4269" s="83" t="str">
        <f>HYPERLINK("https://twitter.com/heroisdaciencia/status/1704662739958784428")</f>
        <v>https://twitter.com/heroisdaciencia/status/1704662739958784428</v>
      </c>
      <c r="AF4269" s="79">
        <v>45190.04446759259</v>
      </c>
      <c r="AG4269" s="85">
        <v>45190</v>
      </c>
      <c r="AH4269" s="80" t="s">
        <v>14317</v>
      </c>
      <c r="AI4269" s="77"/>
      <c r="AJ4269" s="77"/>
      <c r="AK4269" s="77"/>
      <c r="AL4269" s="77"/>
      <c r="AM4269" s="77"/>
      <c r="AN4269" s="77"/>
      <c r="AO4269" s="77"/>
      <c r="AP4269" s="77"/>
      <c r="AQ4269" s="77"/>
      <c r="AR4269" s="77"/>
      <c r="AS4269" s="77"/>
      <c r="AT4269" s="77"/>
      <c r="AU4269" s="77"/>
      <c r="AV4269" s="83" t="str">
        <f>HYPERLINK("https://pbs.twimg.com/profile_images/1652859049816276992/9ftC2sio_normal.jpg")</f>
        <v>https://pbs.twimg.com/profile_images/1652859049816276992/9ftC2sio_normal.jpg</v>
      </c>
      <c r="AW4269" s="80" t="s">
        <v>19931</v>
      </c>
      <c r="AX4269" s="80" t="s">
        <v>19931</v>
      </c>
      <c r="AY4269" s="77"/>
      <c r="AZ4269" s="80" t="s">
        <v>20380</v>
      </c>
      <c r="BA4269" s="80" t="s">
        <v>20380</v>
      </c>
      <c r="BB4269" s="80" t="s">
        <v>19932</v>
      </c>
      <c r="BC4269" s="80" t="s">
        <v>19932</v>
      </c>
      <c r="BD4269" s="77">
        <v>247288325</v>
      </c>
      <c r="BE4269" s="77"/>
      <c r="BF4269" s="77"/>
      <c r="BG4269" s="77"/>
      <c r="BH4269" s="77"/>
      <c r="BI4269" s="77"/>
    </row>
    <row r="4270" spans="1:61" x14ac:dyDescent="0.25">
      <c r="A4270" s="62" t="s">
        <v>1681</v>
      </c>
      <c r="B4270" s="62" t="s">
        <v>1681</v>
      </c>
      <c r="C4270" s="63"/>
      <c r="D4270" s="64"/>
      <c r="E4270" s="65"/>
      <c r="F4270" s="66"/>
      <c r="G4270" s="63"/>
      <c r="H4270" s="67"/>
      <c r="I4270" s="68"/>
      <c r="J4270" s="68"/>
      <c r="K4270" s="32"/>
      <c r="L4270" s="75">
        <v>4270</v>
      </c>
      <c r="M4270" s="75"/>
      <c r="N4270" s="70"/>
      <c r="O4270" s="77" t="s">
        <v>179</v>
      </c>
      <c r="P4270" s="79">
        <v>45189.747511574074</v>
      </c>
      <c r="Q4270" s="77" t="s">
        <v>5859</v>
      </c>
      <c r="R4270" s="77">
        <v>18</v>
      </c>
      <c r="S4270" s="77">
        <v>34</v>
      </c>
      <c r="T4270" s="77">
        <v>2</v>
      </c>
      <c r="U4270" s="77">
        <v>0</v>
      </c>
      <c r="V4270" s="77">
        <v>604</v>
      </c>
      <c r="W4270" s="80" t="s">
        <v>8557</v>
      </c>
      <c r="X4270" s="77"/>
      <c r="Y4270" s="77"/>
      <c r="Z4270" s="77"/>
      <c r="AA4270" s="77" t="s">
        <v>10521</v>
      </c>
      <c r="AB4270" s="77" t="s">
        <v>10535</v>
      </c>
      <c r="AC4270" s="80" t="s">
        <v>10541</v>
      </c>
      <c r="AD4270" s="77" t="s">
        <v>10617</v>
      </c>
      <c r="AE4270" s="83" t="str">
        <f>HYPERLINK("https://twitter.com/auditoriacidada/status/1704555125962924338")</f>
        <v>https://twitter.com/auditoriacidada/status/1704555125962924338</v>
      </c>
      <c r="AF4270" s="79">
        <v>45189.747511574074</v>
      </c>
      <c r="AG4270" s="85">
        <v>45189</v>
      </c>
      <c r="AH4270" s="80" t="s">
        <v>10686</v>
      </c>
      <c r="AI4270" s="77" t="b">
        <v>0</v>
      </c>
      <c r="AJ4270" s="77"/>
      <c r="AK4270" s="77"/>
      <c r="AL4270" s="77"/>
      <c r="AM4270" s="77"/>
      <c r="AN4270" s="77"/>
      <c r="AO4270" s="77"/>
      <c r="AP4270" s="77"/>
      <c r="AQ4270" s="77" t="s">
        <v>15998</v>
      </c>
      <c r="AR4270" s="77"/>
      <c r="AS4270" s="77"/>
      <c r="AT4270" s="77"/>
      <c r="AU4270" s="77"/>
      <c r="AV4270" s="83" t="str">
        <f>HYPERLINK("https://pbs.twimg.com/media/F6fLpQfXcAAdXzA.jpg")</f>
        <v>https://pbs.twimg.com/media/F6fLpQfXcAAdXzA.jpg</v>
      </c>
      <c r="AW4270" s="80" t="s">
        <v>19932</v>
      </c>
      <c r="AX4270" s="80" t="s">
        <v>19932</v>
      </c>
      <c r="AY4270" s="77"/>
      <c r="AZ4270" s="80" t="s">
        <v>20380</v>
      </c>
      <c r="BA4270" s="80" t="s">
        <v>20380</v>
      </c>
      <c r="BB4270" s="80" t="s">
        <v>20380</v>
      </c>
      <c r="BC4270" s="80" t="s">
        <v>19932</v>
      </c>
      <c r="BD4270" s="77">
        <v>1651900940</v>
      </c>
      <c r="BE4270" s="77"/>
      <c r="BF4270" s="77"/>
      <c r="BG4270" s="77"/>
      <c r="BH4270" s="77"/>
      <c r="BI4270" s="77"/>
    </row>
    <row r="4271" spans="1:61" x14ac:dyDescent="0.25">
      <c r="A4271" s="62" t="s">
        <v>1682</v>
      </c>
      <c r="B4271" s="62" t="s">
        <v>1681</v>
      </c>
      <c r="C4271" s="63"/>
      <c r="D4271" s="64"/>
      <c r="E4271" s="65"/>
      <c r="F4271" s="66"/>
      <c r="G4271" s="63"/>
      <c r="H4271" s="67"/>
      <c r="I4271" s="68"/>
      <c r="J4271" s="68"/>
      <c r="K4271" s="32"/>
      <c r="L4271" s="75">
        <v>4271</v>
      </c>
      <c r="M4271" s="75"/>
      <c r="N4271" s="70"/>
      <c r="O4271" s="77" t="s">
        <v>2083</v>
      </c>
      <c r="P4271" s="79">
        <v>45189.951388888891</v>
      </c>
      <c r="Q4271" s="77" t="s">
        <v>2237</v>
      </c>
      <c r="R4271" s="77">
        <v>18</v>
      </c>
      <c r="S4271" s="77">
        <v>0</v>
      </c>
      <c r="T4271" s="77">
        <v>0</v>
      </c>
      <c r="U4271" s="77">
        <v>0</v>
      </c>
      <c r="V4271" s="77"/>
      <c r="W4271" s="80" t="s">
        <v>6018</v>
      </c>
      <c r="X4271" s="77"/>
      <c r="Y4271" s="77"/>
      <c r="Z4271" s="77" t="s">
        <v>1681</v>
      </c>
      <c r="AA4271" s="77"/>
      <c r="AB4271" s="77"/>
      <c r="AC4271" s="80" t="s">
        <v>10540</v>
      </c>
      <c r="AD4271" s="77" t="s">
        <v>10617</v>
      </c>
      <c r="AE4271" s="83" t="str">
        <f>HYPERLINK("https://twitter.com/isaborsan/status/1704629008619508100")</f>
        <v>https://twitter.com/isaborsan/status/1704629008619508100</v>
      </c>
      <c r="AF4271" s="79">
        <v>45189.951388888891</v>
      </c>
      <c r="AG4271" s="85">
        <v>45189</v>
      </c>
      <c r="AH4271" s="80" t="s">
        <v>13497</v>
      </c>
      <c r="AI4271" s="77"/>
      <c r="AJ4271" s="77"/>
      <c r="AK4271" s="77"/>
      <c r="AL4271" s="77"/>
      <c r="AM4271" s="77"/>
      <c r="AN4271" s="77"/>
      <c r="AO4271" s="77"/>
      <c r="AP4271" s="77"/>
      <c r="AQ4271" s="77"/>
      <c r="AR4271" s="77"/>
      <c r="AS4271" s="77"/>
      <c r="AT4271" s="77"/>
      <c r="AU4271" s="77"/>
      <c r="AV4271" s="83" t="str">
        <f>HYPERLINK("https://pbs.twimg.com/profile_images/517599195306659840/DLCxxlDI_normal.jpeg")</f>
        <v>https://pbs.twimg.com/profile_images/517599195306659840/DLCxxlDI_normal.jpeg</v>
      </c>
      <c r="AW4271" s="80" t="s">
        <v>19933</v>
      </c>
      <c r="AX4271" s="80" t="s">
        <v>19933</v>
      </c>
      <c r="AY4271" s="77"/>
      <c r="AZ4271" s="80" t="s">
        <v>20380</v>
      </c>
      <c r="BA4271" s="80" t="s">
        <v>20380</v>
      </c>
      <c r="BB4271" s="80" t="s">
        <v>19932</v>
      </c>
      <c r="BC4271" s="80" t="s">
        <v>19932</v>
      </c>
      <c r="BD4271" s="77">
        <v>2783425719</v>
      </c>
      <c r="BE4271" s="77"/>
      <c r="BF4271" s="77"/>
      <c r="BG4271" s="77"/>
      <c r="BH4271" s="77"/>
      <c r="BI4271" s="77"/>
    </row>
    <row r="4272" spans="1:61" x14ac:dyDescent="0.25">
      <c r="A4272" s="62" t="s">
        <v>1683</v>
      </c>
      <c r="B4272" s="62" t="s">
        <v>1683</v>
      </c>
      <c r="C4272" s="63"/>
      <c r="D4272" s="64"/>
      <c r="E4272" s="65"/>
      <c r="F4272" s="66"/>
      <c r="G4272" s="63"/>
      <c r="H4272" s="67"/>
      <c r="I4272" s="68"/>
      <c r="J4272" s="68"/>
      <c r="K4272" s="32"/>
      <c r="L4272" s="75">
        <v>4272</v>
      </c>
      <c r="M4272" s="75"/>
      <c r="N4272" s="70"/>
      <c r="O4272" s="77" t="s">
        <v>2078</v>
      </c>
      <c r="P4272" s="79">
        <v>45075.953206018516</v>
      </c>
      <c r="Q4272" s="77" t="s">
        <v>5860</v>
      </c>
      <c r="R4272" s="77">
        <v>0</v>
      </c>
      <c r="S4272" s="77">
        <v>0</v>
      </c>
      <c r="T4272" s="77">
        <v>1</v>
      </c>
      <c r="U4272" s="77">
        <v>0</v>
      </c>
      <c r="V4272" s="77">
        <v>75</v>
      </c>
      <c r="W4272" s="80" t="s">
        <v>8558</v>
      </c>
      <c r="X4272" s="77"/>
      <c r="Y4272" s="77"/>
      <c r="Z4272" s="77"/>
      <c r="AA4272" s="77"/>
      <c r="AB4272" s="77"/>
      <c r="AC4272" s="80" t="s">
        <v>10541</v>
      </c>
      <c r="AD4272" s="77" t="s">
        <v>10620</v>
      </c>
      <c r="AE4272" s="83" t="str">
        <f>HYPERLINK("https://twitter.com/editor_platense/status/1663317450446741504")</f>
        <v>https://twitter.com/editor_platense/status/1663317450446741504</v>
      </c>
      <c r="AF4272" s="79">
        <v>45075.953206018516</v>
      </c>
      <c r="AG4272" s="85">
        <v>45075</v>
      </c>
      <c r="AH4272" s="80" t="s">
        <v>14318</v>
      </c>
      <c r="AI4272" s="77"/>
      <c r="AJ4272" s="77" t="s">
        <v>14379</v>
      </c>
      <c r="AK4272" s="77" t="s">
        <v>14385</v>
      </c>
      <c r="AL4272" s="77" t="s">
        <v>14394</v>
      </c>
      <c r="AM4272" s="77" t="s">
        <v>14435</v>
      </c>
      <c r="AN4272" s="77" t="s">
        <v>14476</v>
      </c>
      <c r="AO4272" s="77" t="s">
        <v>14514</v>
      </c>
      <c r="AP4272" s="77" t="s">
        <v>14516</v>
      </c>
      <c r="AQ4272" s="77"/>
      <c r="AR4272" s="77"/>
      <c r="AS4272" s="77"/>
      <c r="AT4272" s="77"/>
      <c r="AU4272" s="77"/>
      <c r="AV4272" s="83" t="str">
        <f>HYPERLINK("https://pbs.twimg.com/profile_images/1479487650390286337/To2P4Eib_normal.jpg")</f>
        <v>https://pbs.twimg.com/profile_images/1479487650390286337/To2P4Eib_normal.jpg</v>
      </c>
      <c r="AW4272" s="80" t="s">
        <v>19934</v>
      </c>
      <c r="AX4272" s="80" t="s">
        <v>19935</v>
      </c>
      <c r="AY4272" s="80" t="s">
        <v>20379</v>
      </c>
      <c r="AZ4272" s="80" t="s">
        <v>20482</v>
      </c>
      <c r="BA4272" s="80" t="s">
        <v>20380</v>
      </c>
      <c r="BB4272" s="80" t="s">
        <v>20380</v>
      </c>
      <c r="BC4272" s="80" t="s">
        <v>20482</v>
      </c>
      <c r="BD4272" s="80" t="s">
        <v>20379</v>
      </c>
      <c r="BE4272" s="77"/>
      <c r="BF4272" s="77"/>
      <c r="BG4272" s="77"/>
      <c r="BH4272" s="77"/>
      <c r="BI4272" s="77"/>
    </row>
    <row r="4273" spans="1:61" x14ac:dyDescent="0.25">
      <c r="A4273" s="62" t="s">
        <v>1683</v>
      </c>
      <c r="B4273" s="62" t="s">
        <v>1683</v>
      </c>
      <c r="C4273" s="63"/>
      <c r="D4273" s="64"/>
      <c r="E4273" s="65"/>
      <c r="F4273" s="66"/>
      <c r="G4273" s="63"/>
      <c r="H4273" s="67"/>
      <c r="I4273" s="68"/>
      <c r="J4273" s="68"/>
      <c r="K4273" s="32"/>
      <c r="L4273" s="75">
        <v>4273</v>
      </c>
      <c r="M4273" s="75"/>
      <c r="N4273" s="70"/>
      <c r="O4273" s="77" t="s">
        <v>179</v>
      </c>
      <c r="P4273" s="79">
        <v>45075.953194444446</v>
      </c>
      <c r="Q4273" s="77" t="s">
        <v>5861</v>
      </c>
      <c r="R4273" s="77">
        <v>0</v>
      </c>
      <c r="S4273" s="77">
        <v>0</v>
      </c>
      <c r="T4273" s="77">
        <v>1</v>
      </c>
      <c r="U4273" s="77">
        <v>0</v>
      </c>
      <c r="V4273" s="77">
        <v>171</v>
      </c>
      <c r="W4273" s="80" t="s">
        <v>8558</v>
      </c>
      <c r="X4273" s="77"/>
      <c r="Y4273" s="77"/>
      <c r="Z4273" s="77"/>
      <c r="AA4273" s="77" t="s">
        <v>10522</v>
      </c>
      <c r="AB4273" s="77" t="s">
        <v>10535</v>
      </c>
      <c r="AC4273" s="80" t="s">
        <v>10541</v>
      </c>
      <c r="AD4273" s="77" t="s">
        <v>10620</v>
      </c>
      <c r="AE4273" s="83" t="str">
        <f>HYPERLINK("https://twitter.com/editor_platense/status/1663317446655131650")</f>
        <v>https://twitter.com/editor_platense/status/1663317446655131650</v>
      </c>
      <c r="AF4273" s="79">
        <v>45075.953194444446</v>
      </c>
      <c r="AG4273" s="85">
        <v>45075</v>
      </c>
      <c r="AH4273" s="80" t="s">
        <v>14319</v>
      </c>
      <c r="AI4273" s="77" t="b">
        <v>0</v>
      </c>
      <c r="AJ4273" s="77" t="s">
        <v>14379</v>
      </c>
      <c r="AK4273" s="77" t="s">
        <v>14385</v>
      </c>
      <c r="AL4273" s="77" t="s">
        <v>14394</v>
      </c>
      <c r="AM4273" s="77" t="s">
        <v>14435</v>
      </c>
      <c r="AN4273" s="77" t="s">
        <v>14476</v>
      </c>
      <c r="AO4273" s="77" t="s">
        <v>14514</v>
      </c>
      <c r="AP4273" s="77" t="s">
        <v>14516</v>
      </c>
      <c r="AQ4273" s="77" t="s">
        <v>15999</v>
      </c>
      <c r="AR4273" s="77"/>
      <c r="AS4273" s="77"/>
      <c r="AT4273" s="77"/>
      <c r="AU4273" s="77"/>
      <c r="AV4273" s="83" t="str">
        <f>HYPERLINK("https://pbs.twimg.com/media/FxVJtSoXoAAVlUl.jpg")</f>
        <v>https://pbs.twimg.com/media/FxVJtSoXoAAVlUl.jpg</v>
      </c>
      <c r="AW4273" s="80" t="s">
        <v>19935</v>
      </c>
      <c r="AX4273" s="80" t="s">
        <v>19935</v>
      </c>
      <c r="AY4273" s="77"/>
      <c r="AZ4273" s="80" t="s">
        <v>20380</v>
      </c>
      <c r="BA4273" s="80" t="s">
        <v>20380</v>
      </c>
      <c r="BB4273" s="80" t="s">
        <v>20380</v>
      </c>
      <c r="BC4273" s="80" t="s">
        <v>19935</v>
      </c>
      <c r="BD4273" s="80" t="s">
        <v>20379</v>
      </c>
      <c r="BE4273" s="77"/>
      <c r="BF4273" s="77"/>
      <c r="BG4273" s="77"/>
      <c r="BH4273" s="77"/>
      <c r="BI4273" s="77"/>
    </row>
    <row r="4274" spans="1:61" x14ac:dyDescent="0.25">
      <c r="A4274" s="62" t="s">
        <v>1683</v>
      </c>
      <c r="B4274" s="62" t="s">
        <v>1683</v>
      </c>
      <c r="C4274" s="63"/>
      <c r="D4274" s="64"/>
      <c r="E4274" s="65"/>
      <c r="F4274" s="66"/>
      <c r="G4274" s="63"/>
      <c r="H4274" s="67"/>
      <c r="I4274" s="68"/>
      <c r="J4274" s="68"/>
      <c r="K4274" s="32"/>
      <c r="L4274" s="75">
        <v>4274</v>
      </c>
      <c r="M4274" s="75"/>
      <c r="N4274" s="70"/>
      <c r="O4274" s="77" t="s">
        <v>2078</v>
      </c>
      <c r="P4274" s="79">
        <v>45075.926655092589</v>
      </c>
      <c r="Q4274" s="77" t="s">
        <v>5862</v>
      </c>
      <c r="R4274" s="77">
        <v>0</v>
      </c>
      <c r="S4274" s="77">
        <v>0</v>
      </c>
      <c r="T4274" s="77">
        <v>1</v>
      </c>
      <c r="U4274" s="77">
        <v>0</v>
      </c>
      <c r="V4274" s="77">
        <v>65</v>
      </c>
      <c r="W4274" s="80" t="s">
        <v>8558</v>
      </c>
      <c r="X4274" s="77"/>
      <c r="Y4274" s="77"/>
      <c r="Z4274" s="77"/>
      <c r="AA4274" s="77"/>
      <c r="AB4274" s="77"/>
      <c r="AC4274" s="80" t="s">
        <v>10541</v>
      </c>
      <c r="AD4274" s="77" t="s">
        <v>10620</v>
      </c>
      <c r="AE4274" s="83" t="str">
        <f>HYPERLINK("https://twitter.com/editor_platense/status/1663307826037420033")</f>
        <v>https://twitter.com/editor_platense/status/1663307826037420033</v>
      </c>
      <c r="AF4274" s="79">
        <v>45075.926655092589</v>
      </c>
      <c r="AG4274" s="85">
        <v>45075</v>
      </c>
      <c r="AH4274" s="80" t="s">
        <v>14320</v>
      </c>
      <c r="AI4274" s="77"/>
      <c r="AJ4274" s="77" t="s">
        <v>14379</v>
      </c>
      <c r="AK4274" s="77" t="s">
        <v>14385</v>
      </c>
      <c r="AL4274" s="77" t="s">
        <v>14394</v>
      </c>
      <c r="AM4274" s="77" t="s">
        <v>14435</v>
      </c>
      <c r="AN4274" s="77" t="s">
        <v>14476</v>
      </c>
      <c r="AO4274" s="77" t="s">
        <v>14514</v>
      </c>
      <c r="AP4274" s="77" t="s">
        <v>14516</v>
      </c>
      <c r="AQ4274" s="77"/>
      <c r="AR4274" s="77"/>
      <c r="AS4274" s="77"/>
      <c r="AT4274" s="77"/>
      <c r="AU4274" s="77"/>
      <c r="AV4274" s="83" t="str">
        <f>HYPERLINK("https://pbs.twimg.com/profile_images/1479487650390286337/To2P4Eib_normal.jpg")</f>
        <v>https://pbs.twimg.com/profile_images/1479487650390286337/To2P4Eib_normal.jpg</v>
      </c>
      <c r="AW4274" s="80" t="s">
        <v>19936</v>
      </c>
      <c r="AX4274" s="80" t="s">
        <v>20213</v>
      </c>
      <c r="AY4274" s="80" t="s">
        <v>20379</v>
      </c>
      <c r="AZ4274" s="80" t="s">
        <v>20483</v>
      </c>
      <c r="BA4274" s="80" t="s">
        <v>20380</v>
      </c>
      <c r="BB4274" s="80" t="s">
        <v>20380</v>
      </c>
      <c r="BC4274" s="80" t="s">
        <v>20483</v>
      </c>
      <c r="BD4274" s="80" t="s">
        <v>20379</v>
      </c>
      <c r="BE4274" s="77"/>
      <c r="BF4274" s="77"/>
      <c r="BG4274" s="77"/>
      <c r="BH4274" s="77"/>
      <c r="BI4274" s="77"/>
    </row>
    <row r="4275" spans="1:61" x14ac:dyDescent="0.25">
      <c r="A4275" s="62" t="s">
        <v>1683</v>
      </c>
      <c r="B4275" s="62" t="s">
        <v>1683</v>
      </c>
      <c r="C4275" s="63"/>
      <c r="D4275" s="64"/>
      <c r="E4275" s="65"/>
      <c r="F4275" s="66"/>
      <c r="G4275" s="63"/>
      <c r="H4275" s="67"/>
      <c r="I4275" s="68"/>
      <c r="J4275" s="68"/>
      <c r="K4275" s="32"/>
      <c r="L4275" s="75">
        <v>4275</v>
      </c>
      <c r="M4275" s="75"/>
      <c r="N4275" s="70"/>
      <c r="O4275" s="77" t="s">
        <v>2078</v>
      </c>
      <c r="P4275" s="79">
        <v>45082.88616898148</v>
      </c>
      <c r="Q4275" s="77" t="s">
        <v>5863</v>
      </c>
      <c r="R4275" s="77">
        <v>0</v>
      </c>
      <c r="S4275" s="77">
        <v>0</v>
      </c>
      <c r="T4275" s="77">
        <v>0</v>
      </c>
      <c r="U4275" s="77">
        <v>0</v>
      </c>
      <c r="V4275" s="77">
        <v>66</v>
      </c>
      <c r="W4275" s="80" t="s">
        <v>8559</v>
      </c>
      <c r="X4275" s="77"/>
      <c r="Y4275" s="77"/>
      <c r="Z4275" s="77"/>
      <c r="AA4275" s="77"/>
      <c r="AB4275" s="77"/>
      <c r="AC4275" s="80" t="s">
        <v>10541</v>
      </c>
      <c r="AD4275" s="77" t="s">
        <v>10620</v>
      </c>
      <c r="AE4275" s="83" t="str">
        <f>HYPERLINK("https://twitter.com/editor_platense/status/1665829869458976770")</f>
        <v>https://twitter.com/editor_platense/status/1665829869458976770</v>
      </c>
      <c r="AF4275" s="79">
        <v>45082.88616898148</v>
      </c>
      <c r="AG4275" s="85">
        <v>45082</v>
      </c>
      <c r="AH4275" s="80" t="s">
        <v>14321</v>
      </c>
      <c r="AI4275" s="77"/>
      <c r="AJ4275" s="77" t="s">
        <v>14379</v>
      </c>
      <c r="AK4275" s="77" t="s">
        <v>14385</v>
      </c>
      <c r="AL4275" s="77" t="s">
        <v>14394</v>
      </c>
      <c r="AM4275" s="77" t="s">
        <v>14435</v>
      </c>
      <c r="AN4275" s="77" t="s">
        <v>14476</v>
      </c>
      <c r="AO4275" s="77" t="s">
        <v>14514</v>
      </c>
      <c r="AP4275" s="77" t="s">
        <v>14516</v>
      </c>
      <c r="AQ4275" s="77"/>
      <c r="AR4275" s="77"/>
      <c r="AS4275" s="77"/>
      <c r="AT4275" s="77"/>
      <c r="AU4275" s="77"/>
      <c r="AV4275" s="83" t="str">
        <f>HYPERLINK("https://pbs.twimg.com/profile_images/1479487650390286337/To2P4Eib_normal.jpg")</f>
        <v>https://pbs.twimg.com/profile_images/1479487650390286337/To2P4Eib_normal.jpg</v>
      </c>
      <c r="AW4275" s="80" t="s">
        <v>19937</v>
      </c>
      <c r="AX4275" s="80" t="s">
        <v>19938</v>
      </c>
      <c r="AY4275" s="80" t="s">
        <v>20379</v>
      </c>
      <c r="AZ4275" s="80" t="s">
        <v>19938</v>
      </c>
      <c r="BA4275" s="80" t="s">
        <v>20380</v>
      </c>
      <c r="BB4275" s="80" t="s">
        <v>20380</v>
      </c>
      <c r="BC4275" s="80" t="s">
        <v>19938</v>
      </c>
      <c r="BD4275" s="80" t="s">
        <v>20379</v>
      </c>
      <c r="BE4275" s="77"/>
      <c r="BF4275" s="77"/>
      <c r="BG4275" s="77"/>
      <c r="BH4275" s="77"/>
      <c r="BI4275" s="77"/>
    </row>
    <row r="4276" spans="1:61" x14ac:dyDescent="0.25">
      <c r="A4276" s="62" t="s">
        <v>1683</v>
      </c>
      <c r="B4276" s="62" t="s">
        <v>1683</v>
      </c>
      <c r="C4276" s="63"/>
      <c r="D4276" s="64"/>
      <c r="E4276" s="65"/>
      <c r="F4276" s="66"/>
      <c r="G4276" s="63"/>
      <c r="H4276" s="67"/>
      <c r="I4276" s="68"/>
      <c r="J4276" s="68"/>
      <c r="K4276" s="32"/>
      <c r="L4276" s="75">
        <v>4276</v>
      </c>
      <c r="M4276" s="75"/>
      <c r="N4276" s="70"/>
      <c r="O4276" s="77" t="s">
        <v>179</v>
      </c>
      <c r="P4276" s="79">
        <v>45082.886157407411</v>
      </c>
      <c r="Q4276" s="77" t="s">
        <v>5864</v>
      </c>
      <c r="R4276" s="77">
        <v>0</v>
      </c>
      <c r="S4276" s="77">
        <v>1</v>
      </c>
      <c r="T4276" s="77">
        <v>1</v>
      </c>
      <c r="U4276" s="77">
        <v>0</v>
      </c>
      <c r="V4276" s="77">
        <v>200</v>
      </c>
      <c r="W4276" s="80" t="s">
        <v>8559</v>
      </c>
      <c r="X4276" s="77"/>
      <c r="Y4276" s="77"/>
      <c r="Z4276" s="77"/>
      <c r="AA4276" s="77" t="s">
        <v>10523</v>
      </c>
      <c r="AB4276" s="77" t="s">
        <v>10535</v>
      </c>
      <c r="AC4276" s="80" t="s">
        <v>10541</v>
      </c>
      <c r="AD4276" s="77" t="s">
        <v>10620</v>
      </c>
      <c r="AE4276" s="83" t="str">
        <f>HYPERLINK("https://twitter.com/editor_platense/status/1665829867315687425")</f>
        <v>https://twitter.com/editor_platense/status/1665829867315687425</v>
      </c>
      <c r="AF4276" s="79">
        <v>45082.886157407411</v>
      </c>
      <c r="AG4276" s="85">
        <v>45082</v>
      </c>
      <c r="AH4276" s="80" t="s">
        <v>14322</v>
      </c>
      <c r="AI4276" s="77" t="b">
        <v>0</v>
      </c>
      <c r="AJ4276" s="77" t="s">
        <v>14379</v>
      </c>
      <c r="AK4276" s="77" t="s">
        <v>14385</v>
      </c>
      <c r="AL4276" s="77" t="s">
        <v>14394</v>
      </c>
      <c r="AM4276" s="77" t="s">
        <v>14435</v>
      </c>
      <c r="AN4276" s="77" t="s">
        <v>14476</v>
      </c>
      <c r="AO4276" s="77" t="s">
        <v>14514</v>
      </c>
      <c r="AP4276" s="77" t="s">
        <v>14516</v>
      </c>
      <c r="AQ4276" s="77" t="s">
        <v>16000</v>
      </c>
      <c r="AR4276" s="77"/>
      <c r="AS4276" s="77"/>
      <c r="AT4276" s="77"/>
      <c r="AU4276" s="77"/>
      <c r="AV4276" s="83" t="str">
        <f>HYPERLINK("https://pbs.twimg.com/media/Fx43UlwXsAApZqf.jpg")</f>
        <v>https://pbs.twimg.com/media/Fx43UlwXsAApZqf.jpg</v>
      </c>
      <c r="AW4276" s="80" t="s">
        <v>19938</v>
      </c>
      <c r="AX4276" s="80" t="s">
        <v>19938</v>
      </c>
      <c r="AY4276" s="77"/>
      <c r="AZ4276" s="80" t="s">
        <v>20380</v>
      </c>
      <c r="BA4276" s="80" t="s">
        <v>20380</v>
      </c>
      <c r="BB4276" s="80" t="s">
        <v>20380</v>
      </c>
      <c r="BC4276" s="80" t="s">
        <v>19938</v>
      </c>
      <c r="BD4276" s="80" t="s">
        <v>20379</v>
      </c>
      <c r="BE4276" s="77"/>
      <c r="BF4276" s="77"/>
      <c r="BG4276" s="77"/>
      <c r="BH4276" s="77"/>
      <c r="BI4276" s="77"/>
    </row>
    <row r="4277" spans="1:61" x14ac:dyDescent="0.25">
      <c r="A4277" s="62" t="s">
        <v>1683</v>
      </c>
      <c r="B4277" s="62" t="s">
        <v>1683</v>
      </c>
      <c r="C4277" s="63"/>
      <c r="D4277" s="64"/>
      <c r="E4277" s="65"/>
      <c r="F4277" s="66"/>
      <c r="G4277" s="63"/>
      <c r="H4277" s="67"/>
      <c r="I4277" s="68"/>
      <c r="J4277" s="68"/>
      <c r="K4277" s="32"/>
      <c r="L4277" s="75">
        <v>4277</v>
      </c>
      <c r="M4277" s="75"/>
      <c r="N4277" s="70"/>
      <c r="O4277" s="77" t="s">
        <v>179</v>
      </c>
      <c r="P4277" s="79">
        <v>45152.590543981481</v>
      </c>
      <c r="Q4277" s="77" t="s">
        <v>5865</v>
      </c>
      <c r="R4277" s="77">
        <v>1</v>
      </c>
      <c r="S4277" s="77">
        <v>0</v>
      </c>
      <c r="T4277" s="77">
        <v>0</v>
      </c>
      <c r="U4277" s="77">
        <v>1</v>
      </c>
      <c r="V4277" s="77">
        <v>815</v>
      </c>
      <c r="W4277" s="80" t="s">
        <v>8560</v>
      </c>
      <c r="X4277" s="83" t="str">
        <f>HYPERLINK("https://eleditorplatense.com/econom%C3%ADa/21/2023/08/14/Tras-las-PASO-el-Banco-Central-devaluo--y-el-dolar-oficial-supero-los-")</f>
        <v>https://eleditorplatense.com/econom%C3%ADa/21/2023/08/14/Tras-las-PASO-el-Banco-Central-devaluo--y-el-dolar-oficial-supero-los-</v>
      </c>
      <c r="Y4277" s="77" t="s">
        <v>8896</v>
      </c>
      <c r="Z4277" s="77"/>
      <c r="AA4277" s="77" t="s">
        <v>10524</v>
      </c>
      <c r="AB4277" s="77" t="s">
        <v>10535</v>
      </c>
      <c r="AC4277" s="80" t="s">
        <v>10541</v>
      </c>
      <c r="AD4277" s="77" t="s">
        <v>10620</v>
      </c>
      <c r="AE4277" s="83" t="str">
        <f>HYPERLINK("https://twitter.com/editor_platense/status/1691089892078395393")</f>
        <v>https://twitter.com/editor_platense/status/1691089892078395393</v>
      </c>
      <c r="AF4277" s="79">
        <v>45152.590543981481</v>
      </c>
      <c r="AG4277" s="85">
        <v>45152</v>
      </c>
      <c r="AH4277" s="80" t="s">
        <v>14323</v>
      </c>
      <c r="AI4277" s="77" t="b">
        <v>0</v>
      </c>
      <c r="AJ4277" s="77"/>
      <c r="AK4277" s="77"/>
      <c r="AL4277" s="77"/>
      <c r="AM4277" s="77"/>
      <c r="AN4277" s="77"/>
      <c r="AO4277" s="77"/>
      <c r="AP4277" s="77"/>
      <c r="AQ4277" s="77" t="s">
        <v>16001</v>
      </c>
      <c r="AR4277" s="77"/>
      <c r="AS4277" s="77"/>
      <c r="AT4277" s="77"/>
      <c r="AU4277" s="77"/>
      <c r="AV4277" s="83" t="str">
        <f>HYPERLINK("https://pbs.twimg.com/media/F3f1ScBWgAAFPXw.jpg")</f>
        <v>https://pbs.twimg.com/media/F3f1ScBWgAAFPXw.jpg</v>
      </c>
      <c r="AW4277" s="80" t="s">
        <v>19939</v>
      </c>
      <c r="AX4277" s="80" t="s">
        <v>19939</v>
      </c>
      <c r="AY4277" s="77"/>
      <c r="AZ4277" s="80" t="s">
        <v>20380</v>
      </c>
      <c r="BA4277" s="80" t="s">
        <v>20380</v>
      </c>
      <c r="BB4277" s="80" t="s">
        <v>20380</v>
      </c>
      <c r="BC4277" s="80" t="s">
        <v>19939</v>
      </c>
      <c r="BD4277" s="80" t="s">
        <v>20379</v>
      </c>
      <c r="BE4277" s="77"/>
      <c r="BF4277" s="77"/>
      <c r="BG4277" s="77"/>
      <c r="BH4277" s="77"/>
      <c r="BI4277" s="77"/>
    </row>
    <row r="4278" spans="1:61" x14ac:dyDescent="0.25">
      <c r="A4278" s="62" t="s">
        <v>1684</v>
      </c>
      <c r="B4278" s="62" t="s">
        <v>1684</v>
      </c>
      <c r="C4278" s="63"/>
      <c r="D4278" s="64"/>
      <c r="E4278" s="65"/>
      <c r="F4278" s="66"/>
      <c r="G4278" s="63"/>
      <c r="H4278" s="67"/>
      <c r="I4278" s="68"/>
      <c r="J4278" s="68"/>
      <c r="K4278" s="32"/>
      <c r="L4278" s="75">
        <v>4278</v>
      </c>
      <c r="M4278" s="75"/>
      <c r="N4278" s="70"/>
      <c r="O4278" s="77" t="s">
        <v>179</v>
      </c>
      <c r="P4278" s="79">
        <v>45068.684166666666</v>
      </c>
      <c r="Q4278" s="77" t="s">
        <v>2169</v>
      </c>
      <c r="R4278" s="77">
        <v>0</v>
      </c>
      <c r="S4278" s="77">
        <v>0</v>
      </c>
      <c r="T4278" s="77">
        <v>0</v>
      </c>
      <c r="U4278" s="77">
        <v>0</v>
      </c>
      <c r="V4278" s="77">
        <v>14</v>
      </c>
      <c r="W4278" s="80" t="s">
        <v>5963</v>
      </c>
      <c r="X4278" s="77"/>
      <c r="Y4278" s="77"/>
      <c r="Z4278" s="77"/>
      <c r="AA4278" s="77"/>
      <c r="AB4278" s="77"/>
      <c r="AC4278" s="80" t="s">
        <v>10551</v>
      </c>
      <c r="AD4278" s="77" t="s">
        <v>10617</v>
      </c>
      <c r="AE4278" s="83" t="str">
        <f>HYPERLINK("https://twitter.com/activtrades_pt/status/1660683237197266953")</f>
        <v>https://twitter.com/activtrades_pt/status/1660683237197266953</v>
      </c>
      <c r="AF4278" s="79">
        <v>45068.684166666666</v>
      </c>
      <c r="AG4278" s="85">
        <v>45068</v>
      </c>
      <c r="AH4278" s="80" t="s">
        <v>14324</v>
      </c>
      <c r="AI4278" s="77"/>
      <c r="AJ4278" s="77"/>
      <c r="AK4278" s="77"/>
      <c r="AL4278" s="77"/>
      <c r="AM4278" s="77"/>
      <c r="AN4278" s="77"/>
      <c r="AO4278" s="77"/>
      <c r="AP4278" s="77"/>
      <c r="AQ4278" s="77"/>
      <c r="AR4278" s="77"/>
      <c r="AS4278" s="77"/>
      <c r="AT4278" s="77"/>
      <c r="AU4278" s="77"/>
      <c r="AV4278" s="83" t="str">
        <f>HYPERLINK("https://pbs.twimg.com/profile_images/1496044203415064580/VKaLEV6b_normal.jpg")</f>
        <v>https://pbs.twimg.com/profile_images/1496044203415064580/VKaLEV6b_normal.jpg</v>
      </c>
      <c r="AW4278" s="80" t="s">
        <v>19940</v>
      </c>
      <c r="AX4278" s="80" t="s">
        <v>19940</v>
      </c>
      <c r="AY4278" s="77"/>
      <c r="AZ4278" s="80" t="s">
        <v>20380</v>
      </c>
      <c r="BA4278" s="80" t="s">
        <v>20380</v>
      </c>
      <c r="BB4278" s="80" t="s">
        <v>20380</v>
      </c>
      <c r="BC4278" s="80" t="s">
        <v>19940</v>
      </c>
      <c r="BD4278" s="77">
        <v>352118324</v>
      </c>
      <c r="BE4278" s="77"/>
      <c r="BF4278" s="77"/>
      <c r="BG4278" s="77"/>
      <c r="BH4278" s="77"/>
      <c r="BI4278" s="77"/>
    </row>
    <row r="4279" spans="1:61" x14ac:dyDescent="0.25">
      <c r="A4279" s="62" t="s">
        <v>1684</v>
      </c>
      <c r="B4279" s="62" t="s">
        <v>1684</v>
      </c>
      <c r="C4279" s="63"/>
      <c r="D4279" s="64"/>
      <c r="E4279" s="65"/>
      <c r="F4279" s="66"/>
      <c r="G4279" s="63"/>
      <c r="H4279" s="67"/>
      <c r="I4279" s="68"/>
      <c r="J4279" s="68"/>
      <c r="K4279" s="32"/>
      <c r="L4279" s="75">
        <v>4279</v>
      </c>
      <c r="M4279" s="75"/>
      <c r="N4279" s="70"/>
      <c r="O4279" s="77" t="s">
        <v>179</v>
      </c>
      <c r="P4279" s="79">
        <v>45105.810520833336</v>
      </c>
      <c r="Q4279" s="77" t="s">
        <v>5866</v>
      </c>
      <c r="R4279" s="77">
        <v>0</v>
      </c>
      <c r="S4279" s="77">
        <v>0</v>
      </c>
      <c r="T4279" s="77">
        <v>0</v>
      </c>
      <c r="U4279" s="77">
        <v>0</v>
      </c>
      <c r="V4279" s="77">
        <v>26</v>
      </c>
      <c r="W4279" s="80" t="s">
        <v>8561</v>
      </c>
      <c r="X4279" s="77"/>
      <c r="Y4279" s="77"/>
      <c r="Z4279" s="77"/>
      <c r="AA4279" s="77"/>
      <c r="AB4279" s="77"/>
      <c r="AC4279" s="80" t="s">
        <v>10551</v>
      </c>
      <c r="AD4279" s="77" t="s">
        <v>10617</v>
      </c>
      <c r="AE4279" s="83" t="str">
        <f>HYPERLINK("https://twitter.com/activtrades_pt/status/1674137378674610177")</f>
        <v>https://twitter.com/activtrades_pt/status/1674137378674610177</v>
      </c>
      <c r="AF4279" s="79">
        <v>45105.810520833336</v>
      </c>
      <c r="AG4279" s="85">
        <v>45105</v>
      </c>
      <c r="AH4279" s="80" t="s">
        <v>14325</v>
      </c>
      <c r="AI4279" s="77"/>
      <c r="AJ4279" s="77"/>
      <c r="AK4279" s="77"/>
      <c r="AL4279" s="77"/>
      <c r="AM4279" s="77"/>
      <c r="AN4279" s="77"/>
      <c r="AO4279" s="77"/>
      <c r="AP4279" s="77"/>
      <c r="AQ4279" s="77"/>
      <c r="AR4279" s="77"/>
      <c r="AS4279" s="77"/>
      <c r="AT4279" s="77"/>
      <c r="AU4279" s="77"/>
      <c r="AV4279" s="83" t="str">
        <f>HYPERLINK("https://pbs.twimg.com/profile_images/1496044203415064580/VKaLEV6b_normal.jpg")</f>
        <v>https://pbs.twimg.com/profile_images/1496044203415064580/VKaLEV6b_normal.jpg</v>
      </c>
      <c r="AW4279" s="80" t="s">
        <v>19941</v>
      </c>
      <c r="AX4279" s="80" t="s">
        <v>19941</v>
      </c>
      <c r="AY4279" s="77"/>
      <c r="AZ4279" s="80" t="s">
        <v>20380</v>
      </c>
      <c r="BA4279" s="80" t="s">
        <v>20380</v>
      </c>
      <c r="BB4279" s="80" t="s">
        <v>20380</v>
      </c>
      <c r="BC4279" s="80" t="s">
        <v>19941</v>
      </c>
      <c r="BD4279" s="77">
        <v>352118324</v>
      </c>
      <c r="BE4279" s="77"/>
      <c r="BF4279" s="77"/>
      <c r="BG4279" s="77"/>
      <c r="BH4279" s="77"/>
      <c r="BI4279" s="77"/>
    </row>
    <row r="4280" spans="1:61" x14ac:dyDescent="0.25">
      <c r="A4280" s="62" t="s">
        <v>1684</v>
      </c>
      <c r="B4280" s="62" t="s">
        <v>1684</v>
      </c>
      <c r="C4280" s="63"/>
      <c r="D4280" s="64"/>
      <c r="E4280" s="65"/>
      <c r="F4280" s="66"/>
      <c r="G4280" s="63"/>
      <c r="H4280" s="67"/>
      <c r="I4280" s="68"/>
      <c r="J4280" s="68"/>
      <c r="K4280" s="32"/>
      <c r="L4280" s="75">
        <v>4280</v>
      </c>
      <c r="M4280" s="75"/>
      <c r="N4280" s="70"/>
      <c r="O4280" s="77" t="s">
        <v>179</v>
      </c>
      <c r="P4280" s="79">
        <v>45141.578090277777</v>
      </c>
      <c r="Q4280" s="77" t="s">
        <v>5867</v>
      </c>
      <c r="R4280" s="77">
        <v>0</v>
      </c>
      <c r="S4280" s="77">
        <v>0</v>
      </c>
      <c r="T4280" s="77">
        <v>0</v>
      </c>
      <c r="U4280" s="77">
        <v>0</v>
      </c>
      <c r="V4280" s="77">
        <v>23</v>
      </c>
      <c r="W4280" s="80" t="s">
        <v>8562</v>
      </c>
      <c r="X4280" s="77"/>
      <c r="Y4280" s="77"/>
      <c r="Z4280" s="77"/>
      <c r="AA4280" s="77"/>
      <c r="AB4280" s="77"/>
      <c r="AC4280" s="80" t="s">
        <v>10541</v>
      </c>
      <c r="AD4280" s="77" t="s">
        <v>10617</v>
      </c>
      <c r="AE4280" s="83" t="str">
        <f>HYPERLINK("https://twitter.com/activtrades_pt/status/1687099109822640129")</f>
        <v>https://twitter.com/activtrades_pt/status/1687099109822640129</v>
      </c>
      <c r="AF4280" s="79">
        <v>45141.578090277777</v>
      </c>
      <c r="AG4280" s="85">
        <v>45141</v>
      </c>
      <c r="AH4280" s="80" t="s">
        <v>14326</v>
      </c>
      <c r="AI4280" s="77"/>
      <c r="AJ4280" s="77"/>
      <c r="AK4280" s="77"/>
      <c r="AL4280" s="77"/>
      <c r="AM4280" s="77"/>
      <c r="AN4280" s="77"/>
      <c r="AO4280" s="77"/>
      <c r="AP4280" s="77"/>
      <c r="AQ4280" s="77"/>
      <c r="AR4280" s="77"/>
      <c r="AS4280" s="77"/>
      <c r="AT4280" s="77"/>
      <c r="AU4280" s="77"/>
      <c r="AV4280" s="83" t="str">
        <f>HYPERLINK("https://pbs.twimg.com/profile_images/1496044203415064580/VKaLEV6b_normal.jpg")</f>
        <v>https://pbs.twimg.com/profile_images/1496044203415064580/VKaLEV6b_normal.jpg</v>
      </c>
      <c r="AW4280" s="80" t="s">
        <v>19942</v>
      </c>
      <c r="AX4280" s="80" t="s">
        <v>19942</v>
      </c>
      <c r="AY4280" s="77"/>
      <c r="AZ4280" s="80" t="s">
        <v>20380</v>
      </c>
      <c r="BA4280" s="80" t="s">
        <v>20380</v>
      </c>
      <c r="BB4280" s="80" t="s">
        <v>20380</v>
      </c>
      <c r="BC4280" s="80" t="s">
        <v>19942</v>
      </c>
      <c r="BD4280" s="77">
        <v>352118324</v>
      </c>
      <c r="BE4280" s="77"/>
      <c r="BF4280" s="77"/>
      <c r="BG4280" s="77"/>
      <c r="BH4280" s="77"/>
      <c r="BI4280" s="77"/>
    </row>
    <row r="4281" spans="1:61" x14ac:dyDescent="0.25">
      <c r="A4281" s="62" t="s">
        <v>1685</v>
      </c>
      <c r="B4281" s="62" t="s">
        <v>1685</v>
      </c>
      <c r="C4281" s="63"/>
      <c r="D4281" s="64"/>
      <c r="E4281" s="65"/>
      <c r="F4281" s="66"/>
      <c r="G4281" s="63"/>
      <c r="H4281" s="67"/>
      <c r="I4281" s="68"/>
      <c r="J4281" s="68"/>
      <c r="K4281" s="32"/>
      <c r="L4281" s="75">
        <v>4281</v>
      </c>
      <c r="M4281" s="75"/>
      <c r="N4281" s="70"/>
      <c r="O4281" s="77" t="s">
        <v>179</v>
      </c>
      <c r="P4281" s="79">
        <v>45049.936145833337</v>
      </c>
      <c r="Q4281" s="77" t="s">
        <v>5868</v>
      </c>
      <c r="R4281" s="77">
        <v>0</v>
      </c>
      <c r="S4281" s="77">
        <v>0</v>
      </c>
      <c r="T4281" s="77">
        <v>0</v>
      </c>
      <c r="U4281" s="77">
        <v>0</v>
      </c>
      <c r="V4281" s="77">
        <v>9</v>
      </c>
      <c r="W4281" s="80" t="s">
        <v>5884</v>
      </c>
      <c r="X4281" s="77"/>
      <c r="Y4281" s="77"/>
      <c r="Z4281" s="77"/>
      <c r="AA4281" s="77"/>
      <c r="AB4281" s="77"/>
      <c r="AC4281" s="80" t="s">
        <v>10540</v>
      </c>
      <c r="AD4281" s="77" t="s">
        <v>10617</v>
      </c>
      <c r="AE4281" s="83" t="str">
        <f>HYPERLINK("https://twitter.com/jonatasamorimsp/status/1653889180622110723")</f>
        <v>https://twitter.com/jonatasamorimsp/status/1653889180622110723</v>
      </c>
      <c r="AF4281" s="79">
        <v>45049.936145833337</v>
      </c>
      <c r="AG4281" s="85">
        <v>45049</v>
      </c>
      <c r="AH4281" s="80" t="s">
        <v>14327</v>
      </c>
      <c r="AI4281" s="77"/>
      <c r="AJ4281" s="77"/>
      <c r="AK4281" s="77"/>
      <c r="AL4281" s="77"/>
      <c r="AM4281" s="77"/>
      <c r="AN4281" s="77"/>
      <c r="AO4281" s="77"/>
      <c r="AP4281" s="77"/>
      <c r="AQ4281" s="77"/>
      <c r="AR4281" s="77"/>
      <c r="AS4281" s="77"/>
      <c r="AT4281" s="77"/>
      <c r="AU4281" s="77"/>
      <c r="AV4281" s="83" t="str">
        <f>HYPERLINK("https://pbs.twimg.com/profile_images/1533256824580886528/dhYtm5GG_normal.jpg")</f>
        <v>https://pbs.twimg.com/profile_images/1533256824580886528/dhYtm5GG_normal.jpg</v>
      </c>
      <c r="AW4281" s="80" t="s">
        <v>19943</v>
      </c>
      <c r="AX4281" s="80" t="s">
        <v>19943</v>
      </c>
      <c r="AY4281" s="77"/>
      <c r="AZ4281" s="80" t="s">
        <v>20380</v>
      </c>
      <c r="BA4281" s="80" t="s">
        <v>20380</v>
      </c>
      <c r="BB4281" s="80" t="s">
        <v>20380</v>
      </c>
      <c r="BC4281" s="80" t="s">
        <v>19943</v>
      </c>
      <c r="BD4281" s="77">
        <v>262871415</v>
      </c>
      <c r="BE4281" s="77"/>
      <c r="BF4281" s="77"/>
      <c r="BG4281" s="77"/>
      <c r="BH4281" s="77"/>
      <c r="BI4281" s="77"/>
    </row>
    <row r="4282" spans="1:61" x14ac:dyDescent="0.25">
      <c r="A4282" s="62" t="s">
        <v>1686</v>
      </c>
      <c r="B4282" s="62" t="s">
        <v>1686</v>
      </c>
      <c r="C4282" s="63"/>
      <c r="D4282" s="64"/>
      <c r="E4282" s="65"/>
      <c r="F4282" s="66"/>
      <c r="G4282" s="63"/>
      <c r="H4282" s="67"/>
      <c r="I4282" s="68"/>
      <c r="J4282" s="68"/>
      <c r="K4282" s="32"/>
      <c r="L4282" s="75">
        <v>4282</v>
      </c>
      <c r="M4282" s="75"/>
      <c r="N4282" s="70"/>
      <c r="O4282" s="77" t="s">
        <v>179</v>
      </c>
      <c r="P4282" s="79">
        <v>45050.73945601852</v>
      </c>
      <c r="Q4282" s="77" t="s">
        <v>5869</v>
      </c>
      <c r="R4282" s="77">
        <v>0</v>
      </c>
      <c r="S4282" s="77">
        <v>2</v>
      </c>
      <c r="T4282" s="77">
        <v>0</v>
      </c>
      <c r="U4282" s="77">
        <v>0</v>
      </c>
      <c r="V4282" s="77">
        <v>18</v>
      </c>
      <c r="W4282" s="80" t="s">
        <v>8557</v>
      </c>
      <c r="X4282" s="83" t="str">
        <f>HYPERLINK("https://bit.ly/3LyHxHM")</f>
        <v>https://bit.ly/3LyHxHM</v>
      </c>
      <c r="Y4282" s="77" t="s">
        <v>8618</v>
      </c>
      <c r="Z4282" s="77"/>
      <c r="AA4282" s="77" t="s">
        <v>10525</v>
      </c>
      <c r="AB4282" s="77" t="s">
        <v>10535</v>
      </c>
      <c r="AC4282" s="80" t="s">
        <v>10541</v>
      </c>
      <c r="AD4282" s="77" t="s">
        <v>10617</v>
      </c>
      <c r="AE4282" s="83" t="str">
        <f>HYPERLINK("https://twitter.com/bancarioscaxias/status/1654180291412480007")</f>
        <v>https://twitter.com/bancarioscaxias/status/1654180291412480007</v>
      </c>
      <c r="AF4282" s="79">
        <v>45050.73945601852</v>
      </c>
      <c r="AG4282" s="85">
        <v>45050</v>
      </c>
      <c r="AH4282" s="80" t="s">
        <v>11767</v>
      </c>
      <c r="AI4282" s="77" t="b">
        <v>0</v>
      </c>
      <c r="AJ4282" s="77"/>
      <c r="AK4282" s="77"/>
      <c r="AL4282" s="77"/>
      <c r="AM4282" s="77"/>
      <c r="AN4282" s="77"/>
      <c r="AO4282" s="77"/>
      <c r="AP4282" s="77"/>
      <c r="AQ4282" s="77" t="s">
        <v>16002</v>
      </c>
      <c r="AR4282" s="77"/>
      <c r="AS4282" s="77"/>
      <c r="AT4282" s="77"/>
      <c r="AU4282" s="77"/>
      <c r="AV4282" s="83" t="str">
        <f>HYPERLINK("https://pbs.twimg.com/media/FvTUHrSXsAEuW8n.png")</f>
        <v>https://pbs.twimg.com/media/FvTUHrSXsAEuW8n.png</v>
      </c>
      <c r="AW4282" s="80" t="s">
        <v>19944</v>
      </c>
      <c r="AX4282" s="80" t="s">
        <v>19944</v>
      </c>
      <c r="AY4282" s="77"/>
      <c r="AZ4282" s="80" t="s">
        <v>20380</v>
      </c>
      <c r="BA4282" s="80" t="s">
        <v>20380</v>
      </c>
      <c r="BB4282" s="80" t="s">
        <v>20380</v>
      </c>
      <c r="BC4282" s="80" t="s">
        <v>19944</v>
      </c>
      <c r="BD4282" s="77">
        <v>587509450</v>
      </c>
      <c r="BE4282" s="77"/>
      <c r="BF4282" s="77"/>
      <c r="BG4282" s="77"/>
      <c r="BH4282" s="77"/>
      <c r="BI4282" s="77"/>
    </row>
    <row r="4283" spans="1:61" x14ac:dyDescent="0.25">
      <c r="A4283" s="62" t="s">
        <v>1686</v>
      </c>
      <c r="B4283" s="62" t="s">
        <v>1686</v>
      </c>
      <c r="C4283" s="63"/>
      <c r="D4283" s="64"/>
      <c r="E4283" s="65"/>
      <c r="F4283" s="66"/>
      <c r="G4283" s="63"/>
      <c r="H4283" s="67"/>
      <c r="I4283" s="68"/>
      <c r="J4283" s="68"/>
      <c r="K4283" s="32"/>
      <c r="L4283" s="75">
        <v>4283</v>
      </c>
      <c r="M4283" s="75"/>
      <c r="N4283" s="70"/>
      <c r="O4283" s="77" t="s">
        <v>179</v>
      </c>
      <c r="P4283" s="79">
        <v>45093.739629629628</v>
      </c>
      <c r="Q4283" s="77" t="s">
        <v>5870</v>
      </c>
      <c r="R4283" s="77">
        <v>0</v>
      </c>
      <c r="S4283" s="77">
        <v>1</v>
      </c>
      <c r="T4283" s="77">
        <v>0</v>
      </c>
      <c r="U4283" s="77">
        <v>0</v>
      </c>
      <c r="V4283" s="77">
        <v>19</v>
      </c>
      <c r="W4283" s="80" t="s">
        <v>8563</v>
      </c>
      <c r="X4283" s="83" t="str">
        <f>HYPERLINK("https://bit.ly/3qFPZOq")</f>
        <v>https://bit.ly/3qFPZOq</v>
      </c>
      <c r="Y4283" s="77" t="s">
        <v>8618</v>
      </c>
      <c r="Z4283" s="77"/>
      <c r="AA4283" s="77" t="s">
        <v>10526</v>
      </c>
      <c r="AB4283" s="77" t="s">
        <v>10535</v>
      </c>
      <c r="AC4283" s="80" t="s">
        <v>10541</v>
      </c>
      <c r="AD4283" s="77" t="s">
        <v>10617</v>
      </c>
      <c r="AE4283" s="83" t="str">
        <f>HYPERLINK("https://twitter.com/bancarioscaxias/status/1669763033474760724")</f>
        <v>https://twitter.com/bancarioscaxias/status/1669763033474760724</v>
      </c>
      <c r="AF4283" s="79">
        <v>45093.739629629628</v>
      </c>
      <c r="AG4283" s="85">
        <v>45093</v>
      </c>
      <c r="AH4283" s="80" t="s">
        <v>14328</v>
      </c>
      <c r="AI4283" s="77" t="b">
        <v>0</v>
      </c>
      <c r="AJ4283" s="77"/>
      <c r="AK4283" s="77"/>
      <c r="AL4283" s="77"/>
      <c r="AM4283" s="77"/>
      <c r="AN4283" s="77"/>
      <c r="AO4283" s="77"/>
      <c r="AP4283" s="77"/>
      <c r="AQ4283" s="77" t="s">
        <v>16003</v>
      </c>
      <c r="AR4283" s="77"/>
      <c r="AS4283" s="77"/>
      <c r="AT4283" s="77"/>
      <c r="AU4283" s="77"/>
      <c r="AV4283" s="83" t="str">
        <f>HYPERLINK("https://pbs.twimg.com/media/FywwoBZXoAcHVyt.jpg")</f>
        <v>https://pbs.twimg.com/media/FywwoBZXoAcHVyt.jpg</v>
      </c>
      <c r="AW4283" s="80" t="s">
        <v>19945</v>
      </c>
      <c r="AX4283" s="80" t="s">
        <v>19945</v>
      </c>
      <c r="AY4283" s="77"/>
      <c r="AZ4283" s="80" t="s">
        <v>20380</v>
      </c>
      <c r="BA4283" s="80" t="s">
        <v>20380</v>
      </c>
      <c r="BB4283" s="80" t="s">
        <v>20380</v>
      </c>
      <c r="BC4283" s="80" t="s">
        <v>19945</v>
      </c>
      <c r="BD4283" s="77">
        <v>587509450</v>
      </c>
      <c r="BE4283" s="77"/>
      <c r="BF4283" s="77"/>
      <c r="BG4283" s="77"/>
      <c r="BH4283" s="77"/>
      <c r="BI4283" s="77"/>
    </row>
    <row r="4284" spans="1:61" x14ac:dyDescent="0.25">
      <c r="A4284" s="62" t="s">
        <v>1686</v>
      </c>
      <c r="B4284" s="62" t="s">
        <v>1686</v>
      </c>
      <c r="C4284" s="63"/>
      <c r="D4284" s="64"/>
      <c r="E4284" s="65"/>
      <c r="F4284" s="66"/>
      <c r="G4284" s="63"/>
      <c r="H4284" s="67"/>
      <c r="I4284" s="68"/>
      <c r="J4284" s="68"/>
      <c r="K4284" s="32"/>
      <c r="L4284" s="75">
        <v>4284</v>
      </c>
      <c r="M4284" s="75"/>
      <c r="N4284" s="70"/>
      <c r="O4284" s="77" t="s">
        <v>179</v>
      </c>
      <c r="P4284" s="79">
        <v>45112.758819444447</v>
      </c>
      <c r="Q4284" s="77" t="s">
        <v>5871</v>
      </c>
      <c r="R4284" s="77">
        <v>0</v>
      </c>
      <c r="S4284" s="77">
        <v>1</v>
      </c>
      <c r="T4284" s="77">
        <v>0</v>
      </c>
      <c r="U4284" s="77">
        <v>0</v>
      </c>
      <c r="V4284" s="77">
        <v>7</v>
      </c>
      <c r="W4284" s="80" t="s">
        <v>8564</v>
      </c>
      <c r="X4284" s="83" t="str">
        <f>HYPERLINK("https://bit.ly/3D1ugn9")</f>
        <v>https://bit.ly/3D1ugn9</v>
      </c>
      <c r="Y4284" s="77" t="s">
        <v>8618</v>
      </c>
      <c r="Z4284" s="77"/>
      <c r="AA4284" s="77" t="s">
        <v>10527</v>
      </c>
      <c r="AB4284" s="77" t="s">
        <v>10535</v>
      </c>
      <c r="AC4284" s="80" t="s">
        <v>10541</v>
      </c>
      <c r="AD4284" s="77" t="s">
        <v>10617</v>
      </c>
      <c r="AE4284" s="83" t="str">
        <f>HYPERLINK("https://twitter.com/bancarioscaxias/status/1676655355059642383")</f>
        <v>https://twitter.com/bancarioscaxias/status/1676655355059642383</v>
      </c>
      <c r="AF4284" s="79">
        <v>45112.758819444447</v>
      </c>
      <c r="AG4284" s="85">
        <v>45112</v>
      </c>
      <c r="AH4284" s="80" t="s">
        <v>14329</v>
      </c>
      <c r="AI4284" s="77" t="b">
        <v>0</v>
      </c>
      <c r="AJ4284" s="77"/>
      <c r="AK4284" s="77"/>
      <c r="AL4284" s="77"/>
      <c r="AM4284" s="77"/>
      <c r="AN4284" s="77"/>
      <c r="AO4284" s="77"/>
      <c r="AP4284" s="77"/>
      <c r="AQ4284" s="77" t="s">
        <v>16004</v>
      </c>
      <c r="AR4284" s="77"/>
      <c r="AS4284" s="77"/>
      <c r="AT4284" s="77"/>
      <c r="AU4284" s="77"/>
      <c r="AV4284" s="83" t="str">
        <f>HYPERLINK("https://pbs.twimg.com/media/F0StJsJXgAAdHSZ.jpg")</f>
        <v>https://pbs.twimg.com/media/F0StJsJXgAAdHSZ.jpg</v>
      </c>
      <c r="AW4284" s="80" t="s">
        <v>19946</v>
      </c>
      <c r="AX4284" s="80" t="s">
        <v>19946</v>
      </c>
      <c r="AY4284" s="77"/>
      <c r="AZ4284" s="80" t="s">
        <v>20380</v>
      </c>
      <c r="BA4284" s="80" t="s">
        <v>20380</v>
      </c>
      <c r="BB4284" s="80" t="s">
        <v>20380</v>
      </c>
      <c r="BC4284" s="80" t="s">
        <v>19946</v>
      </c>
      <c r="BD4284" s="77">
        <v>587509450</v>
      </c>
      <c r="BE4284" s="77"/>
      <c r="BF4284" s="77"/>
      <c r="BG4284" s="77"/>
      <c r="BH4284" s="77"/>
      <c r="BI4284" s="77"/>
    </row>
    <row r="4285" spans="1:61" x14ac:dyDescent="0.25">
      <c r="A4285" s="62" t="s">
        <v>1686</v>
      </c>
      <c r="B4285" s="62" t="s">
        <v>1686</v>
      </c>
      <c r="C4285" s="63"/>
      <c r="D4285" s="64"/>
      <c r="E4285" s="65"/>
      <c r="F4285" s="66"/>
      <c r="G4285" s="63"/>
      <c r="H4285" s="67"/>
      <c r="I4285" s="68"/>
      <c r="J4285" s="68"/>
      <c r="K4285" s="32"/>
      <c r="L4285" s="75">
        <v>4285</v>
      </c>
      <c r="M4285" s="75"/>
      <c r="N4285" s="70"/>
      <c r="O4285" s="77" t="s">
        <v>179</v>
      </c>
      <c r="P4285" s="79">
        <v>45141.716122685182</v>
      </c>
      <c r="Q4285" s="77" t="s">
        <v>5872</v>
      </c>
      <c r="R4285" s="77">
        <v>1</v>
      </c>
      <c r="S4285" s="77">
        <v>3</v>
      </c>
      <c r="T4285" s="77">
        <v>0</v>
      </c>
      <c r="U4285" s="77">
        <v>0</v>
      </c>
      <c r="V4285" s="77">
        <v>18</v>
      </c>
      <c r="W4285" s="80" t="s">
        <v>8565</v>
      </c>
      <c r="X4285" s="83" t="str">
        <f>HYPERLINK("https://bit.ly/3Om1N0x")</f>
        <v>https://bit.ly/3Om1N0x</v>
      </c>
      <c r="Y4285" s="77" t="s">
        <v>8618</v>
      </c>
      <c r="Z4285" s="77"/>
      <c r="AA4285" s="77" t="s">
        <v>10528</v>
      </c>
      <c r="AB4285" s="77" t="s">
        <v>10535</v>
      </c>
      <c r="AC4285" s="80" t="s">
        <v>10541</v>
      </c>
      <c r="AD4285" s="77" t="s">
        <v>10617</v>
      </c>
      <c r="AE4285" s="83" t="str">
        <f>HYPERLINK("https://twitter.com/bancarioscaxias/status/1687149132018847747")</f>
        <v>https://twitter.com/bancarioscaxias/status/1687149132018847747</v>
      </c>
      <c r="AF4285" s="79">
        <v>45141.716122685182</v>
      </c>
      <c r="AG4285" s="85">
        <v>45141</v>
      </c>
      <c r="AH4285" s="80" t="s">
        <v>14330</v>
      </c>
      <c r="AI4285" s="77" t="b">
        <v>0</v>
      </c>
      <c r="AJ4285" s="77"/>
      <c r="AK4285" s="77"/>
      <c r="AL4285" s="77"/>
      <c r="AM4285" s="77"/>
      <c r="AN4285" s="77"/>
      <c r="AO4285" s="77"/>
      <c r="AP4285" s="77"/>
      <c r="AQ4285" s="77" t="s">
        <v>16005</v>
      </c>
      <c r="AR4285" s="77"/>
      <c r="AS4285" s="77"/>
      <c r="AT4285" s="77"/>
      <c r="AU4285" s="77"/>
      <c r="AV4285" s="83" t="str">
        <f>HYPERLINK("https://pbs.twimg.com/media/F2n1MKrXkAI9mHx.jpg")</f>
        <v>https://pbs.twimg.com/media/F2n1MKrXkAI9mHx.jpg</v>
      </c>
      <c r="AW4285" s="80" t="s">
        <v>19947</v>
      </c>
      <c r="AX4285" s="80" t="s">
        <v>19947</v>
      </c>
      <c r="AY4285" s="77"/>
      <c r="AZ4285" s="80" t="s">
        <v>20380</v>
      </c>
      <c r="BA4285" s="80" t="s">
        <v>20380</v>
      </c>
      <c r="BB4285" s="80" t="s">
        <v>20380</v>
      </c>
      <c r="BC4285" s="80" t="s">
        <v>19947</v>
      </c>
      <c r="BD4285" s="77">
        <v>587509450</v>
      </c>
      <c r="BE4285" s="77"/>
      <c r="BF4285" s="77"/>
      <c r="BG4285" s="77"/>
      <c r="BH4285" s="77"/>
      <c r="BI4285" s="77"/>
    </row>
    <row r="4286" spans="1:61" x14ac:dyDescent="0.25">
      <c r="A4286" s="62" t="s">
        <v>1686</v>
      </c>
      <c r="B4286" s="62" t="s">
        <v>1686</v>
      </c>
      <c r="C4286" s="63"/>
      <c r="D4286" s="64"/>
      <c r="E4286" s="65"/>
      <c r="F4286" s="66"/>
      <c r="G4286" s="63"/>
      <c r="H4286" s="67"/>
      <c r="I4286" s="68"/>
      <c r="J4286" s="68"/>
      <c r="K4286" s="32"/>
      <c r="L4286" s="75">
        <v>4286</v>
      </c>
      <c r="M4286" s="75"/>
      <c r="N4286" s="70"/>
      <c r="O4286" s="77" t="s">
        <v>179</v>
      </c>
      <c r="P4286" s="79">
        <v>45098.765960648147</v>
      </c>
      <c r="Q4286" s="77" t="s">
        <v>5873</v>
      </c>
      <c r="R4286" s="77">
        <v>0</v>
      </c>
      <c r="S4286" s="77">
        <v>1</v>
      </c>
      <c r="T4286" s="77">
        <v>0</v>
      </c>
      <c r="U4286" s="77">
        <v>0</v>
      </c>
      <c r="V4286" s="77">
        <v>29</v>
      </c>
      <c r="W4286" s="80" t="s">
        <v>8566</v>
      </c>
      <c r="X4286" s="83" t="str">
        <f>HYPERLINK("https://bit.ly/3NeCcpM")</f>
        <v>https://bit.ly/3NeCcpM</v>
      </c>
      <c r="Y4286" s="77" t="s">
        <v>8618</v>
      </c>
      <c r="Z4286" s="77"/>
      <c r="AA4286" s="77" t="s">
        <v>10529</v>
      </c>
      <c r="AB4286" s="77" t="s">
        <v>10535</v>
      </c>
      <c r="AC4286" s="80" t="s">
        <v>10541</v>
      </c>
      <c r="AD4286" s="77" t="s">
        <v>10617</v>
      </c>
      <c r="AE4286" s="83" t="str">
        <f>HYPERLINK("https://twitter.com/bancarioscaxias/status/1671584512885628935")</f>
        <v>https://twitter.com/bancarioscaxias/status/1671584512885628935</v>
      </c>
      <c r="AF4286" s="79">
        <v>45098.765960648147</v>
      </c>
      <c r="AG4286" s="85">
        <v>45098</v>
      </c>
      <c r="AH4286" s="80" t="s">
        <v>14331</v>
      </c>
      <c r="AI4286" s="77" t="b">
        <v>0</v>
      </c>
      <c r="AJ4286" s="77"/>
      <c r="AK4286" s="77"/>
      <c r="AL4286" s="77"/>
      <c r="AM4286" s="77"/>
      <c r="AN4286" s="77"/>
      <c r="AO4286" s="77"/>
      <c r="AP4286" s="77"/>
      <c r="AQ4286" s="77" t="s">
        <v>16006</v>
      </c>
      <c r="AR4286" s="77"/>
      <c r="AS4286" s="77"/>
      <c r="AT4286" s="77"/>
      <c r="AU4286" s="77"/>
      <c r="AV4286" s="83" t="str">
        <f>HYPERLINK("https://pbs.twimg.com/media/FzKpP71XoAoBesM.jpg")</f>
        <v>https://pbs.twimg.com/media/FzKpP71XoAoBesM.jpg</v>
      </c>
      <c r="AW4286" s="80" t="s">
        <v>19948</v>
      </c>
      <c r="AX4286" s="80" t="s">
        <v>19948</v>
      </c>
      <c r="AY4286" s="77"/>
      <c r="AZ4286" s="80" t="s">
        <v>20380</v>
      </c>
      <c r="BA4286" s="80" t="s">
        <v>20380</v>
      </c>
      <c r="BB4286" s="80" t="s">
        <v>20380</v>
      </c>
      <c r="BC4286" s="80" t="s">
        <v>19948</v>
      </c>
      <c r="BD4286" s="77">
        <v>587509450</v>
      </c>
      <c r="BE4286" s="77"/>
      <c r="BF4286" s="77"/>
      <c r="BG4286" s="77"/>
      <c r="BH4286" s="77"/>
      <c r="BI4286" s="77"/>
    </row>
    <row r="4287" spans="1:61" x14ac:dyDescent="0.25">
      <c r="A4287" s="62" t="s">
        <v>1686</v>
      </c>
      <c r="B4287" s="62" t="s">
        <v>1686</v>
      </c>
      <c r="C4287" s="63"/>
      <c r="D4287" s="64"/>
      <c r="E4287" s="65"/>
      <c r="F4287" s="66"/>
      <c r="G4287" s="63"/>
      <c r="H4287" s="67"/>
      <c r="I4287" s="68"/>
      <c r="J4287" s="68"/>
      <c r="K4287" s="32"/>
      <c r="L4287" s="75">
        <v>4287</v>
      </c>
      <c r="M4287" s="75"/>
      <c r="N4287" s="70"/>
      <c r="O4287" s="77" t="s">
        <v>179</v>
      </c>
      <c r="P4287" s="79">
        <v>45163.799363425926</v>
      </c>
      <c r="Q4287" s="77" t="s">
        <v>5874</v>
      </c>
      <c r="R4287" s="77">
        <v>0</v>
      </c>
      <c r="S4287" s="77">
        <v>0</v>
      </c>
      <c r="T4287" s="77">
        <v>0</v>
      </c>
      <c r="U4287" s="77">
        <v>0</v>
      </c>
      <c r="V4287" s="77">
        <v>9</v>
      </c>
      <c r="W4287" s="80" t="s">
        <v>8566</v>
      </c>
      <c r="X4287" s="83" t="str">
        <f>HYPERLINK("http://bit.ly/3sABDzK")</f>
        <v>http://bit.ly/3sABDzK</v>
      </c>
      <c r="Y4287" s="77" t="s">
        <v>8618</v>
      </c>
      <c r="Z4287" s="77"/>
      <c r="AA4287" s="77" t="s">
        <v>10530</v>
      </c>
      <c r="AB4287" s="77" t="s">
        <v>10535</v>
      </c>
      <c r="AC4287" s="80" t="s">
        <v>10541</v>
      </c>
      <c r="AD4287" s="77" t="s">
        <v>10617</v>
      </c>
      <c r="AE4287" s="83" t="str">
        <f>HYPERLINK("https://twitter.com/bancarioscaxias/status/1695151832203448604")</f>
        <v>https://twitter.com/bancarioscaxias/status/1695151832203448604</v>
      </c>
      <c r="AF4287" s="79">
        <v>45163.799363425926</v>
      </c>
      <c r="AG4287" s="85">
        <v>45163</v>
      </c>
      <c r="AH4287" s="80" t="s">
        <v>14332</v>
      </c>
      <c r="AI4287" s="77" t="b">
        <v>0</v>
      </c>
      <c r="AJ4287" s="77"/>
      <c r="AK4287" s="77"/>
      <c r="AL4287" s="77"/>
      <c r="AM4287" s="77"/>
      <c r="AN4287" s="77"/>
      <c r="AO4287" s="77"/>
      <c r="AP4287" s="77"/>
      <c r="AQ4287" s="77" t="s">
        <v>16007</v>
      </c>
      <c r="AR4287" s="77"/>
      <c r="AS4287" s="77"/>
      <c r="AT4287" s="77"/>
      <c r="AU4287" s="77"/>
      <c r="AV4287" s="83" t="str">
        <f>HYPERLINK("https://pbs.twimg.com/media/F4ZjmioWoAA5Ey_.png")</f>
        <v>https://pbs.twimg.com/media/F4ZjmioWoAA5Ey_.png</v>
      </c>
      <c r="AW4287" s="80" t="s">
        <v>19949</v>
      </c>
      <c r="AX4287" s="80" t="s">
        <v>19949</v>
      </c>
      <c r="AY4287" s="77"/>
      <c r="AZ4287" s="80" t="s">
        <v>20380</v>
      </c>
      <c r="BA4287" s="80" t="s">
        <v>20380</v>
      </c>
      <c r="BB4287" s="80" t="s">
        <v>20380</v>
      </c>
      <c r="BC4287" s="80" t="s">
        <v>19949</v>
      </c>
      <c r="BD4287" s="77">
        <v>587509450</v>
      </c>
      <c r="BE4287" s="77"/>
      <c r="BF4287" s="77"/>
      <c r="BG4287" s="77"/>
      <c r="BH4287" s="77"/>
      <c r="BI4287" s="77"/>
    </row>
    <row r="4288" spans="1:61" x14ac:dyDescent="0.25">
      <c r="A4288" s="62" t="s">
        <v>1686</v>
      </c>
      <c r="B4288" s="62" t="s">
        <v>1686</v>
      </c>
      <c r="C4288" s="63"/>
      <c r="D4288" s="64"/>
      <c r="E4288" s="65"/>
      <c r="F4288" s="66"/>
      <c r="G4288" s="63"/>
      <c r="H4288" s="67"/>
      <c r="I4288" s="68"/>
      <c r="J4288" s="68"/>
      <c r="K4288" s="32"/>
      <c r="L4288" s="75">
        <v>4288</v>
      </c>
      <c r="M4288" s="75"/>
      <c r="N4288" s="70"/>
      <c r="O4288" s="77" t="s">
        <v>179</v>
      </c>
      <c r="P4288" s="79">
        <v>45089.775011574071</v>
      </c>
      <c r="Q4288" s="77" t="s">
        <v>5875</v>
      </c>
      <c r="R4288" s="77">
        <v>0</v>
      </c>
      <c r="S4288" s="77">
        <v>1</v>
      </c>
      <c r="T4288" s="77">
        <v>0</v>
      </c>
      <c r="U4288" s="77">
        <v>0</v>
      </c>
      <c r="V4288" s="77">
        <v>13</v>
      </c>
      <c r="W4288" s="80" t="s">
        <v>8565</v>
      </c>
      <c r="X4288" s="83" t="str">
        <f>HYPERLINK("https://bit.ly/3Nq7wDp")</f>
        <v>https://bit.ly/3Nq7wDp</v>
      </c>
      <c r="Y4288" s="77" t="s">
        <v>8618</v>
      </c>
      <c r="Z4288" s="77"/>
      <c r="AA4288" s="77" t="s">
        <v>10531</v>
      </c>
      <c r="AB4288" s="77" t="s">
        <v>10535</v>
      </c>
      <c r="AC4288" s="80" t="s">
        <v>10541</v>
      </c>
      <c r="AD4288" s="77" t="s">
        <v>10617</v>
      </c>
      <c r="AE4288" s="83" t="str">
        <f>HYPERLINK("https://twitter.com/bancarioscaxias/status/1668326304712896517")</f>
        <v>https://twitter.com/bancarioscaxias/status/1668326304712896517</v>
      </c>
      <c r="AF4288" s="79">
        <v>45089.775011574071</v>
      </c>
      <c r="AG4288" s="85">
        <v>45089</v>
      </c>
      <c r="AH4288" s="80" t="s">
        <v>14333</v>
      </c>
      <c r="AI4288" s="77" t="b">
        <v>0</v>
      </c>
      <c r="AJ4288" s="77"/>
      <c r="AK4288" s="77"/>
      <c r="AL4288" s="77"/>
      <c r="AM4288" s="77"/>
      <c r="AN4288" s="77"/>
      <c r="AO4288" s="77"/>
      <c r="AP4288" s="77"/>
      <c r="AQ4288" s="77" t="s">
        <v>16008</v>
      </c>
      <c r="AR4288" s="77"/>
      <c r="AS4288" s="77"/>
      <c r="AT4288" s="77"/>
      <c r="AU4288" s="77"/>
      <c r="AV4288" s="83" t="str">
        <f>HYPERLINK("https://pbs.twimg.com/media/FycV7HvWACMrexP.jpg")</f>
        <v>https://pbs.twimg.com/media/FycV7HvWACMrexP.jpg</v>
      </c>
      <c r="AW4288" s="80" t="s">
        <v>19950</v>
      </c>
      <c r="AX4288" s="80" t="s">
        <v>19950</v>
      </c>
      <c r="AY4288" s="77"/>
      <c r="AZ4288" s="80" t="s">
        <v>20380</v>
      </c>
      <c r="BA4288" s="80" t="s">
        <v>20380</v>
      </c>
      <c r="BB4288" s="80" t="s">
        <v>20380</v>
      </c>
      <c r="BC4288" s="80" t="s">
        <v>19950</v>
      </c>
      <c r="BD4288" s="77">
        <v>587509450</v>
      </c>
      <c r="BE4288" s="77"/>
      <c r="BF4288" s="77"/>
      <c r="BG4288" s="77"/>
      <c r="BH4288" s="77"/>
      <c r="BI4288" s="77"/>
    </row>
    <row r="4289" spans="1:61" x14ac:dyDescent="0.25">
      <c r="A4289" s="62" t="s">
        <v>1686</v>
      </c>
      <c r="B4289" s="62" t="s">
        <v>1686</v>
      </c>
      <c r="C4289" s="63"/>
      <c r="D4289" s="64"/>
      <c r="E4289" s="65"/>
      <c r="F4289" s="66"/>
      <c r="G4289" s="63"/>
      <c r="H4289" s="67"/>
      <c r="I4289" s="68"/>
      <c r="J4289" s="68"/>
      <c r="K4289" s="32"/>
      <c r="L4289" s="75">
        <v>4289</v>
      </c>
      <c r="M4289" s="75"/>
      <c r="N4289" s="70"/>
      <c r="O4289" s="77" t="s">
        <v>179</v>
      </c>
      <c r="P4289" s="79">
        <v>45187.876284722224</v>
      </c>
      <c r="Q4289" s="77" t="s">
        <v>5876</v>
      </c>
      <c r="R4289" s="77">
        <v>0</v>
      </c>
      <c r="S4289" s="77">
        <v>2</v>
      </c>
      <c r="T4289" s="77">
        <v>0</v>
      </c>
      <c r="U4289" s="77">
        <v>0</v>
      </c>
      <c r="V4289" s="77">
        <v>25</v>
      </c>
      <c r="W4289" s="80" t="s">
        <v>8563</v>
      </c>
      <c r="X4289" s="83" t="str">
        <f>HYPERLINK("https://bit.ly/3Lt9Dov")</f>
        <v>https://bit.ly/3Lt9Dov</v>
      </c>
      <c r="Y4289" s="77" t="s">
        <v>8618</v>
      </c>
      <c r="Z4289" s="77"/>
      <c r="AA4289" s="77" t="s">
        <v>10532</v>
      </c>
      <c r="AB4289" s="77" t="s">
        <v>10535</v>
      </c>
      <c r="AC4289" s="80" t="s">
        <v>10541</v>
      </c>
      <c r="AD4289" s="77" t="s">
        <v>10617</v>
      </c>
      <c r="AE4289" s="83" t="str">
        <f>HYPERLINK("https://twitter.com/bancarioscaxias/status/1703877013172367865")</f>
        <v>https://twitter.com/bancarioscaxias/status/1703877013172367865</v>
      </c>
      <c r="AF4289" s="79">
        <v>45187.876284722224</v>
      </c>
      <c r="AG4289" s="85">
        <v>45187</v>
      </c>
      <c r="AH4289" s="80" t="s">
        <v>14334</v>
      </c>
      <c r="AI4289" s="77" t="b">
        <v>0</v>
      </c>
      <c r="AJ4289" s="77"/>
      <c r="AK4289" s="77"/>
      <c r="AL4289" s="77"/>
      <c r="AM4289" s="77"/>
      <c r="AN4289" s="77"/>
      <c r="AO4289" s="77"/>
      <c r="AP4289" s="77"/>
      <c r="AQ4289" s="77" t="s">
        <v>16009</v>
      </c>
      <c r="AR4289" s="77"/>
      <c r="AS4289" s="77"/>
      <c r="AT4289" s="77"/>
      <c r="AU4289" s="77"/>
      <c r="AV4289" s="83" t="str">
        <f>HYPERLINK("https://pbs.twimg.com/media/F6VjHCfWwAEXTry.jpg")</f>
        <v>https://pbs.twimg.com/media/F6VjHCfWwAEXTry.jpg</v>
      </c>
      <c r="AW4289" s="80" t="s">
        <v>19951</v>
      </c>
      <c r="AX4289" s="80" t="s">
        <v>19951</v>
      </c>
      <c r="AY4289" s="77"/>
      <c r="AZ4289" s="80" t="s">
        <v>20380</v>
      </c>
      <c r="BA4289" s="80" t="s">
        <v>20380</v>
      </c>
      <c r="BB4289" s="80" t="s">
        <v>20380</v>
      </c>
      <c r="BC4289" s="80" t="s">
        <v>19951</v>
      </c>
      <c r="BD4289" s="77">
        <v>587509450</v>
      </c>
      <c r="BE4289" s="77"/>
      <c r="BF4289" s="77"/>
      <c r="BG4289" s="77"/>
      <c r="BH4289" s="77"/>
      <c r="BI4289" s="77"/>
    </row>
    <row r="4290" spans="1:61" x14ac:dyDescent="0.25">
      <c r="A4290" s="62" t="s">
        <v>1687</v>
      </c>
      <c r="B4290" s="62" t="s">
        <v>1687</v>
      </c>
      <c r="C4290" s="63"/>
      <c r="D4290" s="64"/>
      <c r="E4290" s="65"/>
      <c r="F4290" s="66"/>
      <c r="G4290" s="63"/>
      <c r="H4290" s="67"/>
      <c r="I4290" s="68"/>
      <c r="J4290" s="68"/>
      <c r="K4290" s="32"/>
      <c r="L4290" s="75">
        <v>4290</v>
      </c>
      <c r="M4290" s="75"/>
      <c r="N4290" s="70"/>
      <c r="O4290" s="77" t="s">
        <v>179</v>
      </c>
      <c r="P4290" s="79">
        <v>45152.594618055555</v>
      </c>
      <c r="Q4290" s="77" t="s">
        <v>5877</v>
      </c>
      <c r="R4290" s="77">
        <v>1</v>
      </c>
      <c r="S4290" s="77">
        <v>1</v>
      </c>
      <c r="T4290" s="77">
        <v>0</v>
      </c>
      <c r="U4290" s="77">
        <v>0</v>
      </c>
      <c r="V4290" s="77">
        <v>196</v>
      </c>
      <c r="W4290" s="80" t="s">
        <v>8567</v>
      </c>
      <c r="X4290" s="83" t="str">
        <f>HYPERLINK("https://www.radiokermes.com/noticias/17812-el-bcra-aumento-a-350-el-tipo-de-cambio-oficial")</f>
        <v>https://www.radiokermes.com/noticias/17812-el-bcra-aumento-a-350-el-tipo-de-cambio-oficial</v>
      </c>
      <c r="Y4290" s="77" t="s">
        <v>8897</v>
      </c>
      <c r="Z4290" s="77"/>
      <c r="AA4290" s="77"/>
      <c r="AB4290" s="77"/>
      <c r="AC4290" s="80" t="s">
        <v>10541</v>
      </c>
      <c r="AD4290" s="77" t="s">
        <v>10620</v>
      </c>
      <c r="AE4290" s="83" t="str">
        <f>HYPERLINK("https://twitter.com/radiokermes/status/1691091368997691393")</f>
        <v>https://twitter.com/radiokermes/status/1691091368997691393</v>
      </c>
      <c r="AF4290" s="79">
        <v>45152.594618055555</v>
      </c>
      <c r="AG4290" s="85">
        <v>45152</v>
      </c>
      <c r="AH4290" s="80" t="s">
        <v>14335</v>
      </c>
      <c r="AI4290" s="77" t="b">
        <v>0</v>
      </c>
      <c r="AJ4290" s="77"/>
      <c r="AK4290" s="77"/>
      <c r="AL4290" s="77"/>
      <c r="AM4290" s="77"/>
      <c r="AN4290" s="77"/>
      <c r="AO4290" s="77"/>
      <c r="AP4290" s="77"/>
      <c r="AQ4290" s="77"/>
      <c r="AR4290" s="77"/>
      <c r="AS4290" s="77"/>
      <c r="AT4290" s="77"/>
      <c r="AU4290" s="77"/>
      <c r="AV4290" s="83" t="str">
        <f>HYPERLINK("https://pbs.twimg.com/profile_images/1546640990659874816/MjBCtwGG_normal.jpg")</f>
        <v>https://pbs.twimg.com/profile_images/1546640990659874816/MjBCtwGG_normal.jpg</v>
      </c>
      <c r="AW4290" s="80" t="s">
        <v>19952</v>
      </c>
      <c r="AX4290" s="80" t="s">
        <v>19952</v>
      </c>
      <c r="AY4290" s="77"/>
      <c r="AZ4290" s="80" t="s">
        <v>20380</v>
      </c>
      <c r="BA4290" s="80" t="s">
        <v>20380</v>
      </c>
      <c r="BB4290" s="80" t="s">
        <v>20380</v>
      </c>
      <c r="BC4290" s="80" t="s">
        <v>19952</v>
      </c>
      <c r="BD4290" s="77">
        <v>701804413</v>
      </c>
      <c r="BE4290" s="77"/>
      <c r="BF4290" s="77"/>
      <c r="BG4290" s="77"/>
      <c r="BH4290" s="77"/>
      <c r="BI4290" s="77"/>
    </row>
    <row r="4291" spans="1:61" x14ac:dyDescent="0.25">
      <c r="A4291" s="62" t="s">
        <v>1688</v>
      </c>
      <c r="B4291" s="62" t="s">
        <v>1760</v>
      </c>
      <c r="C4291" s="63"/>
      <c r="D4291" s="64"/>
      <c r="E4291" s="65"/>
      <c r="F4291" s="66"/>
      <c r="G4291" s="63"/>
      <c r="H4291" s="67"/>
      <c r="I4291" s="68"/>
      <c r="J4291" s="68"/>
      <c r="K4291" s="32"/>
      <c r="L4291" s="75">
        <v>4291</v>
      </c>
      <c r="M4291" s="75"/>
      <c r="N4291" s="70"/>
      <c r="O4291" s="77" t="s">
        <v>2081</v>
      </c>
      <c r="P4291" s="79">
        <v>45114.594386574077</v>
      </c>
      <c r="Q4291" s="77" t="s">
        <v>5878</v>
      </c>
      <c r="R4291" s="77">
        <v>0</v>
      </c>
      <c r="S4291" s="77">
        <v>1</v>
      </c>
      <c r="T4291" s="77">
        <v>1</v>
      </c>
      <c r="U4291" s="77">
        <v>0</v>
      </c>
      <c r="V4291" s="77">
        <v>182</v>
      </c>
      <c r="W4291" s="80" t="s">
        <v>6173</v>
      </c>
      <c r="X4291" s="77"/>
      <c r="Y4291" s="77"/>
      <c r="Z4291" s="77" t="s">
        <v>1760</v>
      </c>
      <c r="AA4291" s="77"/>
      <c r="AB4291" s="77"/>
      <c r="AC4291" s="80" t="s">
        <v>10541</v>
      </c>
      <c r="AD4291" s="77" t="s">
        <v>10617</v>
      </c>
      <c r="AE4291" s="83" t="str">
        <f>HYPERLINK("https://twitter.com/santakidnap_/status/1677320546231484420")</f>
        <v>https://twitter.com/santakidnap_/status/1677320546231484420</v>
      </c>
      <c r="AF4291" s="79">
        <v>45114.594386574077</v>
      </c>
      <c r="AG4291" s="85">
        <v>45114</v>
      </c>
      <c r="AH4291" s="80" t="s">
        <v>14336</v>
      </c>
      <c r="AI4291" s="77"/>
      <c r="AJ4291" s="77"/>
      <c r="AK4291" s="77"/>
      <c r="AL4291" s="77"/>
      <c r="AM4291" s="77"/>
      <c r="AN4291" s="77"/>
      <c r="AO4291" s="77"/>
      <c r="AP4291" s="77"/>
      <c r="AQ4291" s="77"/>
      <c r="AR4291" s="77"/>
      <c r="AS4291" s="77"/>
      <c r="AT4291" s="77"/>
      <c r="AU4291" s="77"/>
      <c r="AV4291" s="83" t="str">
        <f>HYPERLINK("https://pbs.twimg.com/profile_images/1704164477137022976/ebT083Q3_normal.jpg")</f>
        <v>https://pbs.twimg.com/profile_images/1704164477137022976/ebT083Q3_normal.jpg</v>
      </c>
      <c r="AW4291" s="80" t="s">
        <v>19953</v>
      </c>
      <c r="AX4291" s="80" t="s">
        <v>19953</v>
      </c>
      <c r="AY4291" s="80" t="s">
        <v>20288</v>
      </c>
      <c r="AZ4291" s="80" t="s">
        <v>20380</v>
      </c>
      <c r="BA4291" s="80" t="s">
        <v>20380</v>
      </c>
      <c r="BB4291" s="80" t="s">
        <v>20380</v>
      </c>
      <c r="BC4291" s="80" t="s">
        <v>19953</v>
      </c>
      <c r="BD4291" s="80" t="s">
        <v>21197</v>
      </c>
      <c r="BE4291" s="77"/>
      <c r="BF4291" s="77"/>
      <c r="BG4291" s="77"/>
      <c r="BH4291" s="77"/>
      <c r="BI4291" s="77"/>
    </row>
    <row r="4292" spans="1:61" x14ac:dyDescent="0.25">
      <c r="A4292" s="62" t="s">
        <v>1689</v>
      </c>
      <c r="B4292" s="62" t="s">
        <v>1689</v>
      </c>
      <c r="C4292" s="63"/>
      <c r="D4292" s="64"/>
      <c r="E4292" s="65"/>
      <c r="F4292" s="66"/>
      <c r="G4292" s="63"/>
      <c r="H4292" s="67"/>
      <c r="I4292" s="68"/>
      <c r="J4292" s="68"/>
      <c r="K4292" s="32"/>
      <c r="L4292" s="75">
        <v>4292</v>
      </c>
      <c r="M4292" s="75"/>
      <c r="N4292" s="70"/>
      <c r="O4292" s="77" t="s">
        <v>179</v>
      </c>
      <c r="P4292" s="79">
        <v>45140.972037037034</v>
      </c>
      <c r="Q4292" s="77" t="s">
        <v>5879</v>
      </c>
      <c r="R4292" s="77">
        <v>0</v>
      </c>
      <c r="S4292" s="77">
        <v>0</v>
      </c>
      <c r="T4292" s="77">
        <v>0</v>
      </c>
      <c r="U4292" s="77">
        <v>0</v>
      </c>
      <c r="V4292" s="77">
        <v>42</v>
      </c>
      <c r="W4292" s="80" t="s">
        <v>8568</v>
      </c>
      <c r="X4292" s="83" t="str">
        <f>HYPERLINK("http://wix.to/mGn01xM")</f>
        <v>http://wix.to/mGn01xM</v>
      </c>
      <c r="Y4292" s="77" t="s">
        <v>8898</v>
      </c>
      <c r="Z4292" s="77"/>
      <c r="AA4292" s="77"/>
      <c r="AB4292" s="77"/>
      <c r="AC4292" s="80" t="s">
        <v>10611</v>
      </c>
      <c r="AD4292" s="77" t="s">
        <v>10617</v>
      </c>
      <c r="AE4292" s="83" t="str">
        <f>HYPERLINK("https://twitter.com/portaldeanews/status/1686879484279193600")</f>
        <v>https://twitter.com/portaldeanews/status/1686879484279193600</v>
      </c>
      <c r="AF4292" s="79">
        <v>45140.972037037034</v>
      </c>
      <c r="AG4292" s="85">
        <v>45140</v>
      </c>
      <c r="AH4292" s="80" t="s">
        <v>14337</v>
      </c>
      <c r="AI4292" s="77" t="b">
        <v>0</v>
      </c>
      <c r="AJ4292" s="77"/>
      <c r="AK4292" s="77"/>
      <c r="AL4292" s="77"/>
      <c r="AM4292" s="77"/>
      <c r="AN4292" s="77"/>
      <c r="AO4292" s="77"/>
      <c r="AP4292" s="77"/>
      <c r="AQ4292" s="77"/>
      <c r="AR4292" s="77"/>
      <c r="AS4292" s="77"/>
      <c r="AT4292" s="77"/>
      <c r="AU4292" s="77"/>
      <c r="AV4292" s="83" t="str">
        <f>HYPERLINK("https://pbs.twimg.com/profile_images/1704999525163679744/SHN7gCbC_normal.jpg")</f>
        <v>https://pbs.twimg.com/profile_images/1704999525163679744/SHN7gCbC_normal.jpg</v>
      </c>
      <c r="AW4292" s="80" t="s">
        <v>19954</v>
      </c>
      <c r="AX4292" s="80" t="s">
        <v>19954</v>
      </c>
      <c r="AY4292" s="77"/>
      <c r="AZ4292" s="80" t="s">
        <v>20380</v>
      </c>
      <c r="BA4292" s="80" t="s">
        <v>20380</v>
      </c>
      <c r="BB4292" s="80" t="s">
        <v>20380</v>
      </c>
      <c r="BC4292" s="80" t="s">
        <v>19954</v>
      </c>
      <c r="BD4292" s="80" t="s">
        <v>21198</v>
      </c>
      <c r="BE4292" s="77"/>
      <c r="BF4292" s="77"/>
      <c r="BG4292" s="77"/>
      <c r="BH4292" s="77"/>
      <c r="BI4292" s="77"/>
    </row>
    <row r="4293" spans="1:61" x14ac:dyDescent="0.25">
      <c r="A4293" s="62" t="s">
        <v>1689</v>
      </c>
      <c r="B4293" s="62" t="s">
        <v>1689</v>
      </c>
      <c r="C4293" s="63"/>
      <c r="D4293" s="64"/>
      <c r="E4293" s="65"/>
      <c r="F4293" s="66"/>
      <c r="G4293" s="63"/>
      <c r="H4293" s="67"/>
      <c r="I4293" s="68"/>
      <c r="J4293" s="68"/>
      <c r="K4293" s="32"/>
      <c r="L4293" s="75">
        <v>4293</v>
      </c>
      <c r="M4293" s="75"/>
      <c r="N4293" s="70"/>
      <c r="O4293" s="77" t="s">
        <v>179</v>
      </c>
      <c r="P4293" s="79">
        <v>45145.955335648148</v>
      </c>
      <c r="Q4293" s="77" t="s">
        <v>5880</v>
      </c>
      <c r="R4293" s="77">
        <v>0</v>
      </c>
      <c r="S4293" s="77">
        <v>0</v>
      </c>
      <c r="T4293" s="77">
        <v>0</v>
      </c>
      <c r="U4293" s="77">
        <v>0</v>
      </c>
      <c r="V4293" s="77">
        <v>29</v>
      </c>
      <c r="W4293" s="80" t="s">
        <v>8569</v>
      </c>
      <c r="X4293" s="83" t="str">
        <f>HYPERLINK("http://wix.to/ZbP85LC")</f>
        <v>http://wix.to/ZbP85LC</v>
      </c>
      <c r="Y4293" s="77" t="s">
        <v>8898</v>
      </c>
      <c r="Z4293" s="77"/>
      <c r="AA4293" s="77"/>
      <c r="AB4293" s="77"/>
      <c r="AC4293" s="80" t="s">
        <v>10611</v>
      </c>
      <c r="AD4293" s="77" t="s">
        <v>10617</v>
      </c>
      <c r="AE4293" s="83" t="str">
        <f>HYPERLINK("https://twitter.com/portaldeanews/status/1688685371318743040")</f>
        <v>https://twitter.com/portaldeanews/status/1688685371318743040</v>
      </c>
      <c r="AF4293" s="79">
        <v>45145.955335648148</v>
      </c>
      <c r="AG4293" s="85">
        <v>45145</v>
      </c>
      <c r="AH4293" s="80" t="s">
        <v>11083</v>
      </c>
      <c r="AI4293" s="77" t="b">
        <v>0</v>
      </c>
      <c r="AJ4293" s="77"/>
      <c r="AK4293" s="77"/>
      <c r="AL4293" s="77"/>
      <c r="AM4293" s="77"/>
      <c r="AN4293" s="77"/>
      <c r="AO4293" s="77"/>
      <c r="AP4293" s="77"/>
      <c r="AQ4293" s="77"/>
      <c r="AR4293" s="77"/>
      <c r="AS4293" s="77"/>
      <c r="AT4293" s="77"/>
      <c r="AU4293" s="77"/>
      <c r="AV4293" s="83" t="str">
        <f>HYPERLINK("https://pbs.twimg.com/profile_images/1704999525163679744/SHN7gCbC_normal.jpg")</f>
        <v>https://pbs.twimg.com/profile_images/1704999525163679744/SHN7gCbC_normal.jpg</v>
      </c>
      <c r="AW4293" s="80" t="s">
        <v>19955</v>
      </c>
      <c r="AX4293" s="80" t="s">
        <v>19955</v>
      </c>
      <c r="AY4293" s="77"/>
      <c r="AZ4293" s="80" t="s">
        <v>20380</v>
      </c>
      <c r="BA4293" s="80" t="s">
        <v>20380</v>
      </c>
      <c r="BB4293" s="80" t="s">
        <v>20380</v>
      </c>
      <c r="BC4293" s="80" t="s">
        <v>19955</v>
      </c>
      <c r="BD4293" s="80" t="s">
        <v>21198</v>
      </c>
      <c r="BE4293" s="77"/>
      <c r="BF4293" s="77"/>
      <c r="BG4293" s="77"/>
      <c r="BH4293" s="77"/>
      <c r="BI4293" s="77"/>
    </row>
    <row r="4294" spans="1:61" x14ac:dyDescent="0.25">
      <c r="A4294" s="62" t="s">
        <v>1690</v>
      </c>
      <c r="B4294" s="62" t="s">
        <v>1690</v>
      </c>
      <c r="C4294" s="63"/>
      <c r="D4294" s="64"/>
      <c r="E4294" s="65"/>
      <c r="F4294" s="66"/>
      <c r="G4294" s="63"/>
      <c r="H4294" s="67"/>
      <c r="I4294" s="68"/>
      <c r="J4294" s="68"/>
      <c r="K4294" s="32"/>
      <c r="L4294" s="75">
        <v>4294</v>
      </c>
      <c r="M4294" s="75"/>
      <c r="N4294" s="70"/>
      <c r="O4294" s="77" t="s">
        <v>179</v>
      </c>
      <c r="P4294" s="79">
        <v>45109.655543981484</v>
      </c>
      <c r="Q4294" s="77" t="s">
        <v>5881</v>
      </c>
      <c r="R4294" s="77">
        <v>0</v>
      </c>
      <c r="S4294" s="77">
        <v>2</v>
      </c>
      <c r="T4294" s="77">
        <v>0</v>
      </c>
      <c r="U4294" s="77">
        <v>0</v>
      </c>
      <c r="V4294" s="77">
        <v>52</v>
      </c>
      <c r="W4294" s="80" t="s">
        <v>8570</v>
      </c>
      <c r="X4294" s="77"/>
      <c r="Y4294" s="77"/>
      <c r="Z4294" s="77"/>
      <c r="AA4294" s="77"/>
      <c r="AB4294" s="77"/>
      <c r="AC4294" s="80" t="s">
        <v>10540</v>
      </c>
      <c r="AD4294" s="77" t="s">
        <v>10620</v>
      </c>
      <c r="AE4294" s="83" t="str">
        <f>HYPERLINK("https://twitter.com/vasco_ecu/status/1675530768678879232")</f>
        <v>https://twitter.com/vasco_ecu/status/1675530768678879232</v>
      </c>
      <c r="AF4294" s="79">
        <v>45109.655543981484</v>
      </c>
      <c r="AG4294" s="85">
        <v>45109</v>
      </c>
      <c r="AH4294" s="80" t="s">
        <v>13768</v>
      </c>
      <c r="AI4294" s="77"/>
      <c r="AJ4294" s="77" t="s">
        <v>14380</v>
      </c>
      <c r="AK4294" s="77" t="s">
        <v>14389</v>
      </c>
      <c r="AL4294" s="77" t="s">
        <v>14398</v>
      </c>
      <c r="AM4294" s="77" t="s">
        <v>14436</v>
      </c>
      <c r="AN4294" s="77" t="s">
        <v>14477</v>
      </c>
      <c r="AO4294" s="77" t="s">
        <v>14515</v>
      </c>
      <c r="AP4294" s="77" t="s">
        <v>14516</v>
      </c>
      <c r="AQ4294" s="77"/>
      <c r="AR4294" s="77"/>
      <c r="AS4294" s="77"/>
      <c r="AT4294" s="77"/>
      <c r="AU4294" s="77"/>
      <c r="AV4294" s="83" t="str">
        <f>HYPERLINK("https://pbs.twimg.com/profile_images/1664303095390646272/HNCRgk8M_normal.jpg")</f>
        <v>https://pbs.twimg.com/profile_images/1664303095390646272/HNCRgk8M_normal.jpg</v>
      </c>
      <c r="AW4294" s="80" t="s">
        <v>19956</v>
      </c>
      <c r="AX4294" s="80" t="s">
        <v>19956</v>
      </c>
      <c r="AY4294" s="77"/>
      <c r="AZ4294" s="80" t="s">
        <v>20380</v>
      </c>
      <c r="BA4294" s="80" t="s">
        <v>20380</v>
      </c>
      <c r="BB4294" s="80" t="s">
        <v>20380</v>
      </c>
      <c r="BC4294" s="80" t="s">
        <v>19956</v>
      </c>
      <c r="BD4294" s="77">
        <v>2911771803</v>
      </c>
      <c r="BE4294" s="77"/>
      <c r="BF4294" s="77"/>
      <c r="BG4294" s="77"/>
      <c r="BH4294" s="77"/>
      <c r="BI4294" s="77"/>
    </row>
    <row r="4295" spans="1:61" x14ac:dyDescent="0.25">
      <c r="A4295" s="62" t="s">
        <v>1691</v>
      </c>
      <c r="B4295" s="62" t="s">
        <v>2077</v>
      </c>
      <c r="C4295" s="63"/>
      <c r="D4295" s="64"/>
      <c r="E4295" s="65"/>
      <c r="F4295" s="66"/>
      <c r="G4295" s="63"/>
      <c r="H4295" s="67"/>
      <c r="I4295" s="68"/>
      <c r="J4295" s="68"/>
      <c r="K4295" s="32"/>
      <c r="L4295" s="75">
        <v>4295</v>
      </c>
      <c r="M4295" s="75"/>
      <c r="N4295" s="70"/>
      <c r="O4295" s="77" t="s">
        <v>2081</v>
      </c>
      <c r="P4295" s="79">
        <v>45142.856041666666</v>
      </c>
      <c r="Q4295" s="77" t="s">
        <v>5882</v>
      </c>
      <c r="R4295" s="77">
        <v>7</v>
      </c>
      <c r="S4295" s="77">
        <v>6</v>
      </c>
      <c r="T4295" s="77">
        <v>0</v>
      </c>
      <c r="U4295" s="77">
        <v>0</v>
      </c>
      <c r="V4295" s="77">
        <v>4628</v>
      </c>
      <c r="W4295" s="80" t="s">
        <v>8571</v>
      </c>
      <c r="X4295" s="83" t="str">
        <f>HYPERLINK("http://u.afp.com/ijaY")</f>
        <v>http://u.afp.com/ijaY</v>
      </c>
      <c r="Y4295" s="77" t="s">
        <v>8899</v>
      </c>
      <c r="Z4295" s="77" t="s">
        <v>2077</v>
      </c>
      <c r="AA4295" s="77" t="s">
        <v>10533</v>
      </c>
      <c r="AB4295" s="77" t="s">
        <v>10535</v>
      </c>
      <c r="AC4295" s="80" t="s">
        <v>10541</v>
      </c>
      <c r="AD4295" s="77" t="s">
        <v>10620</v>
      </c>
      <c r="AE4295" s="83" t="str">
        <f>HYPERLINK("https://twitter.com/letapineda/status/1687562226033430528")</f>
        <v>https://twitter.com/letapineda/status/1687562226033430528</v>
      </c>
      <c r="AF4295" s="79">
        <v>45142.856041666666</v>
      </c>
      <c r="AG4295" s="85">
        <v>45142</v>
      </c>
      <c r="AH4295" s="80" t="s">
        <v>14338</v>
      </c>
      <c r="AI4295" s="77" t="b">
        <v>0</v>
      </c>
      <c r="AJ4295" s="77"/>
      <c r="AK4295" s="77"/>
      <c r="AL4295" s="77"/>
      <c r="AM4295" s="77"/>
      <c r="AN4295" s="77"/>
      <c r="AO4295" s="77"/>
      <c r="AP4295" s="77"/>
      <c r="AQ4295" s="77" t="s">
        <v>16010</v>
      </c>
      <c r="AR4295" s="77"/>
      <c r="AS4295" s="77"/>
      <c r="AT4295" s="77"/>
      <c r="AU4295" s="77"/>
      <c r="AV4295" s="83" t="str">
        <f>HYPERLINK("https://pbs.twimg.com/media/F2tsc55W4AAOZIT.jpg")</f>
        <v>https://pbs.twimg.com/media/F2tsc55W4AAOZIT.jpg</v>
      </c>
      <c r="AW4295" s="80" t="s">
        <v>19957</v>
      </c>
      <c r="AX4295" s="80" t="s">
        <v>19957</v>
      </c>
      <c r="AY4295" s="77"/>
      <c r="AZ4295" s="80" t="s">
        <v>20380</v>
      </c>
      <c r="BA4295" s="80" t="s">
        <v>20380</v>
      </c>
      <c r="BB4295" s="80" t="s">
        <v>20380</v>
      </c>
      <c r="BC4295" s="80" t="s">
        <v>19957</v>
      </c>
      <c r="BD4295" s="77">
        <v>200095198</v>
      </c>
      <c r="BE4295" s="77"/>
      <c r="BF4295" s="77"/>
      <c r="BG4295" s="77"/>
      <c r="BH4295" s="77"/>
      <c r="BI4295" s="77"/>
    </row>
  </sheetData>
  <dataConsolidate/>
  <dataValidations count="14">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L3:L4295" xr:uid="{00000000-0002-0000-0000-000000000000}"/>
    <dataValidation allowBlank="1" errorTitle="Invalid Edge Visibility" error="The optional edge visibility must be Yes, Y, True, T, Always, 1, or empty to make the edge visible; or No, N, False, F, Never, or 0 to hide the edge.  Try selecting from the drop-down list instead." promptTitle="Edge ID" prompt="This is a unique ID that gets filled in automatically.  Do not edit this column." sqref="M3:M4295" xr:uid="{00000000-0002-0000-0000-000001000000}"/>
    <dataValidation allowBlank="1" showErrorMessage="1" sqref="N2:N4295" xr:uid="{00000000-0002-0000-0000-000002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Text Color" prompt="To select an optional label text color, right-click and select Select Color on the right-click menu." sqref="I3:I4295" xr:uid="{00000000-0002-0000-0000-000003000000}"/>
    <dataValidation allowBlank="1" showInputMessage="1" errorTitle="Invalid Edge Visibility" error="The optional edge visibility must be Yes, Y, True, T, Always, 1, or empty to make the edge visible; or No, N, False, F, Never, or 0 to hide the edge.  Try selecting from the drop-down list instead." promptTitle="Edge Label Font Size" prompt="Enter an optional label font size between 8 and 72." sqref="J3:J4295" xr:uid="{00000000-0002-0000-0000-000004000000}"/>
    <dataValidation allowBlank="1" showInputMessage="1" promptTitle="Edge Color" prompt="To select an optional edge color, right-click and select Select Color on the right-click menu." sqref="C3:C4295" xr:uid="{00000000-0002-0000-0000-000005000000}"/>
    <dataValidation allowBlank="1" showInputMessage="1" errorTitle="Invalid Edge Width" error="The optional edge width must be a whole number between 1 and 10." promptTitle="Edge Width" prompt="Enter an optional edge width between 1 and 10." sqref="D3:D4295" xr:uid="{00000000-0002-0000-0000-000006000000}"/>
    <dataValidation allowBlank="1" showInputMessage="1" errorTitle="Invalid Edge Opacity" error="The optional edge opacity must be a whole number between 0 and 10." promptTitle="Edge Opacity" prompt="Enter an optional edge opacity between 0 (transparent) and 100 (opaque)." sqref="F3:F4295" xr:uid="{00000000-0002-0000-0000-000007000000}"/>
    <dataValidation type="list" allowBlank="1" showInputMessage="1" showErrorMessage="1" errorTitle="Invalid Edge Visibility" error="You have entered an invalid edge visibility.  Try selecting from the drop-down list instead." promptTitle="Edge Visibility" prompt="Select an optional edge visibility.  Edges are shown by default." sqref="G3:G4295" xr:uid="{00000000-0002-0000-0000-000008000000}">
      <formula1>ValidEdgeVisibilities</formula1>
    </dataValidation>
    <dataValidation allowBlank="1" showInputMessage="1" showErrorMessage="1" promptTitle="Vertex 1 Name" prompt="Enter the name of the edge's first vertex." sqref="A3:A4295" xr:uid="{00000000-0002-0000-0000-000009000000}"/>
    <dataValidation allowBlank="1" showInputMessage="1" showErrorMessage="1" promptTitle="Vertex 2 Name" prompt="Enter the name of the edge's second vertex." sqref="B3:B4295" xr:uid="{00000000-0002-0000-0000-00000A000000}"/>
    <dataValidation allowBlank="1" showInputMessage="1" showErrorMessage="1" errorTitle="Invalid Edge Visibility" error="You have entered an unrecognized edge visibility.  Try selecting from the drop-down list instead." promptTitle="Edge Label" prompt="Enter an optional edge label." sqref="H3:H4295" xr:uid="{00000000-0002-0000-0000-00000B000000}"/>
    <dataValidation type="list" allowBlank="1" showInputMessage="1" showErrorMessage="1" errorTitle="Invalid Edge Style" error="You have entered an invalid edge style.  Try selecting from the drop-down list instead." promptTitle="Edge Style" prompt="Select an optional edge style.  Edges are Solid by default." sqref="E3:E4295" xr:uid="{00000000-0002-0000-0000-00000C000000}">
      <formula1>ValidEdgeStyles</formula1>
    </dataValidation>
    <dataValidation allowBlank="1" errorTitle="Invalid Edge Visibility" error="The optional edge visibility must be Yes, Y, True, T, Always, 1, or empty to make the edge visible; or No, N, False, F, Never, or 0 to hide the edge.  Try selecting from the drop-down list instead." sqref="K3:K4295" xr:uid="{00000000-0002-0000-0000-00000D000000}"/>
  </dataValidations>
  <hyperlinks>
    <hyperlink ref="X813" r:id="rId1" display="https://www.estadao.com.br/economia/negocios/itau-unibanco-lucro-primeiro-trimestre/?utm_source=newsshowcase&amp;utm_medium=gnews&amp;utm_campaign=CDAqDwgAKgcICjCWh6gCMJb5FzDNjL4B&amp;utm_content=related&amp;gaa_at=g&amp;gaa_n=AXv4zM1MTpaOdDQ2SpQlvcqakQkxX0XnPYtknL0GIjfvb30t_RziJXDeYnHrUZiOc_nvOkLP5iSmtPS2YaqsQmfJN35knkLUaw%3D%3D&amp;gaa_ts=6458f164&amp;gaa_sig=GINpvDBDPDAifnXkBRLAO9NExmyESM3KTWdhXzcG1JFJj-_Z3HFGHhLgwck-IHtsFamSEy2ArRUpBPKI8AACmQ%3D%3D" xr:uid="{C2CA6212-F7D0-4255-920C-63B41EFB0E30}"/>
  </hyperlinks>
  <pageMargins left="0.7" right="0.7" top="0.75" bottom="0.75" header="0.3" footer="0.3"/>
  <pageSetup orientation="portrait" verticalDpi="0" r:id="rId2"/>
  <legacyDrawing r:id="rId3"/>
  <tableParts count="1">
    <tablePart r:id="rId4"/>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BP1862"/>
  <sheetViews>
    <sheetView workbookViewId="0">
      <pane xSplit="1" ySplit="2" topLeftCell="B3" activePane="bottomRight" state="frozen"/>
      <selection pane="topRight" activeCell="B1" sqref="B1"/>
      <selection pane="bottomLeft" activeCell="A3" sqref="A3"/>
      <selection pane="bottomRight" activeCell="A3" sqref="A3"/>
    </sheetView>
  </sheetViews>
  <sheetFormatPr defaultRowHeight="15" x14ac:dyDescent="0.25"/>
  <cols>
    <col min="1" max="1" width="9.140625" style="1"/>
    <col min="2" max="2" width="7.85546875" customWidth="1"/>
    <col min="3" max="3" width="8.5703125" customWidth="1"/>
    <col min="4" max="4" width="6.7109375" customWidth="1"/>
    <col min="5" max="5" width="9.85546875" customWidth="1"/>
    <col min="6" max="6" width="7.7109375" customWidth="1"/>
    <col min="7" max="7" width="11" customWidth="1"/>
    <col min="8" max="8" width="8.5703125" customWidth="1"/>
    <col min="9" max="9" width="9.7109375" customWidth="1"/>
    <col min="10" max="10" width="10.5703125" customWidth="1"/>
    <col min="11" max="11" width="9.140625" customWidth="1"/>
    <col min="12" max="12" width="9.140625" hidden="1" customWidth="1"/>
    <col min="13" max="14" width="4.28515625" hidden="1" customWidth="1"/>
    <col min="15" max="15" width="10.28515625" hidden="1" customWidth="1"/>
    <col min="16" max="16" width="6.42578125" hidden="1" customWidth="1"/>
    <col min="17" max="17" width="8.28515625" hidden="1" customWidth="1"/>
    <col min="18" max="18" width="9.5703125" hidden="1" customWidth="1"/>
    <col min="19" max="19" width="9.28515625" hidden="1" customWidth="1"/>
    <col min="20" max="20" width="9.5703125" hidden="1" customWidth="1"/>
    <col min="21" max="23" width="14.28515625" hidden="1" customWidth="1"/>
    <col min="24" max="24" width="11.85546875" hidden="1" customWidth="1"/>
    <col min="25" max="25" width="14.42578125" hidden="1" customWidth="1"/>
    <col min="26" max="26" width="18.28515625" hidden="1" customWidth="1"/>
    <col min="27" max="27" width="5" hidden="1" customWidth="1"/>
    <col min="28" max="28" width="16" hidden="1" customWidth="1"/>
    <col min="29" max="29" width="16" style="5" bestFit="1" customWidth="1"/>
    <col min="30" max="30" width="8.5703125" style="2" bestFit="1" customWidth="1"/>
    <col min="31" max="31" width="9.5703125" bestFit="1" customWidth="1"/>
    <col min="32" max="32" width="12" bestFit="1" customWidth="1"/>
    <col min="33" max="33" width="11.5703125" bestFit="1" customWidth="1"/>
    <col min="34" max="34" width="9.7109375" bestFit="1" customWidth="1"/>
    <col min="35" max="35" width="9" bestFit="1" customWidth="1"/>
    <col min="36" max="36" width="13" bestFit="1" customWidth="1"/>
    <col min="37" max="37" width="14.5703125" bestFit="1" customWidth="1"/>
    <col min="38" max="38" width="10.5703125" bestFit="1" customWidth="1"/>
    <col min="39" max="39" width="16.5703125" bestFit="1" customWidth="1"/>
    <col min="40" max="40" width="10.7109375" bestFit="1" customWidth="1"/>
    <col min="41" max="41" width="13.42578125" bestFit="1" customWidth="1"/>
    <col min="42" max="42" width="10.85546875" bestFit="1" customWidth="1"/>
    <col min="43" max="43" width="17.140625" bestFit="1" customWidth="1"/>
    <col min="44" max="44" width="14.7109375" bestFit="1" customWidth="1"/>
    <col min="45" max="45" width="15.5703125" bestFit="1" customWidth="1"/>
    <col min="46" max="46" width="23.28515625" bestFit="1" customWidth="1"/>
    <col min="47" max="47" width="21" bestFit="1" customWidth="1"/>
    <col min="48" max="48" width="11.140625" bestFit="1" customWidth="1"/>
    <col min="49" max="49" width="6.5703125" bestFit="1" customWidth="1"/>
    <col min="50" max="50" width="10.5703125" bestFit="1" customWidth="1"/>
    <col min="51" max="51" width="14.140625" bestFit="1" customWidth="1"/>
    <col min="52" max="52" width="12" bestFit="1" customWidth="1"/>
    <col min="53" max="53" width="10" bestFit="1" customWidth="1"/>
    <col min="54" max="54" width="13" bestFit="1" customWidth="1"/>
    <col min="55" max="55" width="10.28515625" bestFit="1" customWidth="1"/>
    <col min="56" max="56" width="16.85546875" bestFit="1" customWidth="1"/>
    <col min="57" max="58" width="14" bestFit="1" customWidth="1"/>
    <col min="59" max="59" width="11.42578125" bestFit="1" customWidth="1"/>
    <col min="60" max="60" width="13.28515625" bestFit="1" customWidth="1"/>
    <col min="61" max="61" width="19.7109375" bestFit="1" customWidth="1"/>
    <col min="62" max="62" width="12.5703125" bestFit="1" customWidth="1"/>
    <col min="63" max="63" width="11.7109375" bestFit="1" customWidth="1"/>
    <col min="64" max="64" width="11.5703125" bestFit="1" customWidth="1"/>
    <col min="65" max="65" width="15.140625" bestFit="1" customWidth="1"/>
    <col min="66" max="67" width="16.140625" bestFit="1" customWidth="1"/>
  </cols>
  <sheetData>
    <row r="1" spans="1:68" x14ac:dyDescent="0.25">
      <c r="B1" s="22" t="s">
        <v>39</v>
      </c>
      <c r="C1" s="15"/>
      <c r="D1" s="15"/>
      <c r="E1" s="15"/>
      <c r="F1" s="15"/>
      <c r="G1" s="15"/>
      <c r="H1" s="24" t="s">
        <v>43</v>
      </c>
      <c r="I1" s="23"/>
      <c r="J1" s="23"/>
      <c r="K1" s="23"/>
      <c r="L1" s="26" t="s">
        <v>44</v>
      </c>
      <c r="M1" s="25"/>
      <c r="N1" s="25"/>
      <c r="O1" s="25"/>
      <c r="P1" s="25"/>
      <c r="Q1" s="25"/>
      <c r="R1" s="21" t="s">
        <v>42</v>
      </c>
      <c r="S1" s="18"/>
      <c r="T1" s="19"/>
      <c r="U1" s="20"/>
      <c r="V1" s="18"/>
      <c r="W1" s="18"/>
      <c r="X1" s="18"/>
      <c r="Y1" s="18"/>
      <c r="Z1" s="18"/>
      <c r="AA1" s="27" t="s">
        <v>40</v>
      </c>
      <c r="AB1" s="17"/>
      <c r="AC1" s="28" t="s">
        <v>41</v>
      </c>
      <c r="AD1"/>
    </row>
    <row r="2" spans="1:68" ht="30" customHeight="1" x14ac:dyDescent="0.25">
      <c r="A2" s="10" t="s">
        <v>5</v>
      </c>
      <c r="B2" s="7" t="s">
        <v>2</v>
      </c>
      <c r="C2" s="7" t="s">
        <v>8</v>
      </c>
      <c r="D2" s="8" t="s">
        <v>45</v>
      </c>
      <c r="E2" s="9" t="s">
        <v>4</v>
      </c>
      <c r="F2" s="7" t="s">
        <v>48</v>
      </c>
      <c r="G2" s="7" t="s">
        <v>11</v>
      </c>
      <c r="H2" s="7" t="s">
        <v>46</v>
      </c>
      <c r="I2" s="7" t="s">
        <v>47</v>
      </c>
      <c r="J2" s="7" t="s">
        <v>77</v>
      </c>
      <c r="K2" s="7" t="s">
        <v>10</v>
      </c>
      <c r="L2" s="7" t="s">
        <v>27</v>
      </c>
      <c r="M2" s="7" t="s">
        <v>15</v>
      </c>
      <c r="N2" s="7" t="s">
        <v>16</v>
      </c>
      <c r="O2" s="7" t="s">
        <v>13</v>
      </c>
      <c r="P2" s="7" t="s">
        <v>28</v>
      </c>
      <c r="Q2" s="7" t="s">
        <v>29</v>
      </c>
      <c r="R2" s="7" t="s">
        <v>31</v>
      </c>
      <c r="S2" s="7" t="s">
        <v>32</v>
      </c>
      <c r="T2" s="7" t="s">
        <v>33</v>
      </c>
      <c r="U2" s="7" t="s">
        <v>34</v>
      </c>
      <c r="V2" s="7" t="s">
        <v>35</v>
      </c>
      <c r="W2" s="7" t="s">
        <v>36</v>
      </c>
      <c r="X2" s="7" t="s">
        <v>137</v>
      </c>
      <c r="Y2" s="7" t="s">
        <v>37</v>
      </c>
      <c r="Z2" s="7" t="s">
        <v>170</v>
      </c>
      <c r="AA2" s="10" t="s">
        <v>12</v>
      </c>
      <c r="AB2" s="10" t="s">
        <v>38</v>
      </c>
      <c r="AC2" s="7" t="s">
        <v>26</v>
      </c>
      <c r="AD2" s="7" t="s">
        <v>21212</v>
      </c>
      <c r="AE2" s="7" t="s">
        <v>21213</v>
      </c>
      <c r="AF2" s="7" t="s">
        <v>21214</v>
      </c>
      <c r="AG2" s="7" t="s">
        <v>21215</v>
      </c>
      <c r="AH2" s="7" t="s">
        <v>21216</v>
      </c>
      <c r="AI2" s="7" t="s">
        <v>21217</v>
      </c>
      <c r="AJ2" s="7" t="s">
        <v>21218</v>
      </c>
      <c r="AK2" s="7" t="s">
        <v>21219</v>
      </c>
      <c r="AL2" s="7" t="s">
        <v>21220</v>
      </c>
      <c r="AM2" s="7" t="s">
        <v>21221</v>
      </c>
      <c r="AN2" s="7" t="s">
        <v>21222</v>
      </c>
      <c r="AO2" s="7" t="s">
        <v>21223</v>
      </c>
      <c r="AP2" s="7" t="s">
        <v>21224</v>
      </c>
      <c r="AQ2" s="7" t="s">
        <v>21225</v>
      </c>
      <c r="AR2" s="7" t="s">
        <v>21226</v>
      </c>
      <c r="AS2" s="7" t="s">
        <v>21227</v>
      </c>
      <c r="AT2" s="7" t="s">
        <v>21228</v>
      </c>
      <c r="AU2" s="7" t="s">
        <v>21229</v>
      </c>
      <c r="AV2" s="7" t="s">
        <v>21230</v>
      </c>
      <c r="AW2" s="7" t="s">
        <v>21231</v>
      </c>
      <c r="AX2" s="7" t="s">
        <v>21232</v>
      </c>
      <c r="AY2" s="7" t="s">
        <v>21233</v>
      </c>
      <c r="AZ2" s="7" t="s">
        <v>21234</v>
      </c>
      <c r="BA2" s="7" t="s">
        <v>21235</v>
      </c>
      <c r="BB2" s="7" t="s">
        <v>21236</v>
      </c>
      <c r="BC2" s="7" t="s">
        <v>21237</v>
      </c>
      <c r="BD2" s="7" t="s">
        <v>21238</v>
      </c>
      <c r="BE2" s="7" t="s">
        <v>21239</v>
      </c>
      <c r="BF2" s="7" t="s">
        <v>21240</v>
      </c>
      <c r="BG2" s="7" t="s">
        <v>197</v>
      </c>
      <c r="BH2" s="7" t="s">
        <v>21241</v>
      </c>
      <c r="BI2" s="7" t="s">
        <v>21242</v>
      </c>
      <c r="BJ2" s="7" t="s">
        <v>21243</v>
      </c>
      <c r="BK2" s="7" t="s">
        <v>21244</v>
      </c>
      <c r="BL2" s="7" t="s">
        <v>21245</v>
      </c>
      <c r="BM2" s="7" t="s">
        <v>21246</v>
      </c>
      <c r="BN2" s="7" t="s">
        <v>21247</v>
      </c>
      <c r="BO2" s="7" t="s">
        <v>21248</v>
      </c>
    </row>
    <row r="3" spans="1:68" ht="15" customHeight="1" x14ac:dyDescent="0.25">
      <c r="A3" s="62" t="s">
        <v>1692</v>
      </c>
      <c r="B3" s="63"/>
      <c r="C3" s="63"/>
      <c r="D3" s="64"/>
      <c r="E3" s="66"/>
      <c r="F3" s="103" t="str">
        <f>HYPERLINK("https://pbs.twimg.com/profile_images/1610767945189269509/PSltd92g_normal.jpg")</f>
        <v>https://pbs.twimg.com/profile_images/1610767945189269509/PSltd92g_normal.jpg</v>
      </c>
      <c r="G3" s="63"/>
      <c r="H3" s="67"/>
      <c r="I3" s="68"/>
      <c r="J3" s="68"/>
      <c r="K3" s="67" t="s">
        <v>29457</v>
      </c>
      <c r="L3" s="71"/>
      <c r="M3" s="72"/>
      <c r="N3" s="72"/>
      <c r="O3" s="73"/>
      <c r="P3" s="74"/>
      <c r="Q3" s="74"/>
      <c r="R3" s="46"/>
      <c r="S3" s="46"/>
      <c r="T3" s="46"/>
      <c r="U3" s="46"/>
      <c r="V3" s="47"/>
      <c r="W3" s="47"/>
      <c r="X3" s="48"/>
      <c r="Y3" s="47"/>
      <c r="Z3" s="47"/>
      <c r="AA3" s="69">
        <v>3</v>
      </c>
      <c r="AB3" s="69"/>
      <c r="AC3" s="70"/>
      <c r="AD3" s="76" t="s">
        <v>23067</v>
      </c>
      <c r="AE3" s="81" t="s">
        <v>24054</v>
      </c>
      <c r="AF3" s="76">
        <v>1508</v>
      </c>
      <c r="AG3" s="76">
        <v>36</v>
      </c>
      <c r="AH3" s="76">
        <v>73491</v>
      </c>
      <c r="AI3" s="76">
        <v>3</v>
      </c>
      <c r="AJ3" s="76">
        <v>13</v>
      </c>
      <c r="AK3" s="76">
        <v>1859</v>
      </c>
      <c r="AL3" s="76" t="b">
        <v>0</v>
      </c>
      <c r="AM3" s="78">
        <v>40585.875914351855</v>
      </c>
      <c r="AN3" s="76" t="s">
        <v>24708</v>
      </c>
      <c r="AO3" s="76" t="s">
        <v>26362</v>
      </c>
      <c r="AP3" s="82" t="str">
        <f>HYPERLINK("https://t.co/gIeetgoGn5")</f>
        <v>https://t.co/gIeetgoGn5</v>
      </c>
      <c r="AQ3" s="82" t="str">
        <f>HYPERLINK("http://www.chicosabetudo.com.br")</f>
        <v>http://www.chicosabetudo.com.br</v>
      </c>
      <c r="AR3" s="76" t="s">
        <v>27367</v>
      </c>
      <c r="AS3" s="76"/>
      <c r="AT3" s="76"/>
      <c r="AU3" s="76"/>
      <c r="AV3" s="76"/>
      <c r="AW3" s="82" t="str">
        <f>HYPERLINK("https://t.co/gIeetgoGn5")</f>
        <v>https://t.co/gIeetgoGn5</v>
      </c>
      <c r="AX3" s="76" t="b">
        <v>0</v>
      </c>
      <c r="AY3" s="76"/>
      <c r="AZ3" s="76"/>
      <c r="BA3" s="76" t="b">
        <v>1</v>
      </c>
      <c r="BB3" s="76" t="b">
        <v>1</v>
      </c>
      <c r="BC3" s="76" t="b">
        <v>0</v>
      </c>
      <c r="BD3" s="76" t="b">
        <v>0</v>
      </c>
      <c r="BE3" s="76" t="b">
        <v>1</v>
      </c>
      <c r="BF3" s="76" t="b">
        <v>0</v>
      </c>
      <c r="BG3" s="76" t="b">
        <v>0</v>
      </c>
      <c r="BH3" s="82" t="str">
        <f>HYPERLINK("https://pbs.twimg.com/profile_banners/250804213/1672868077")</f>
        <v>https://pbs.twimg.com/profile_banners/250804213/1672868077</v>
      </c>
      <c r="BI3" s="76"/>
      <c r="BJ3" s="76" t="s">
        <v>27595</v>
      </c>
      <c r="BK3" s="76" t="b">
        <v>0</v>
      </c>
      <c r="BL3" s="76"/>
      <c r="BM3" s="76" t="s">
        <v>66</v>
      </c>
      <c r="BN3" s="76" t="s">
        <v>27597</v>
      </c>
      <c r="BO3" s="82" t="str">
        <f>HYPERLINK("https://twitter.com/chicosabetudo")</f>
        <v>https://twitter.com/chicosabetudo</v>
      </c>
    </row>
    <row r="4" spans="1:68" x14ac:dyDescent="0.25">
      <c r="A4" s="62" t="s">
        <v>224</v>
      </c>
      <c r="B4" s="63"/>
      <c r="C4" s="63"/>
      <c r="D4" s="64"/>
      <c r="E4" s="66"/>
      <c r="F4" s="103" t="str">
        <f>HYPERLINK("https://pbs.twimg.com/profile_images/1657811573576982528/Go6ki9SP_normal.jpg")</f>
        <v>https://pbs.twimg.com/profile_images/1657811573576982528/Go6ki9SP_normal.jpg</v>
      </c>
      <c r="G4" s="63"/>
      <c r="H4" s="67"/>
      <c r="I4" s="68"/>
      <c r="J4" s="68"/>
      <c r="K4" s="67" t="s">
        <v>27598</v>
      </c>
      <c r="L4" s="71"/>
      <c r="M4" s="72"/>
      <c r="N4" s="72"/>
      <c r="O4" s="73"/>
      <c r="P4" s="74"/>
      <c r="Q4" s="74"/>
      <c r="R4" s="87"/>
      <c r="S4" s="87"/>
      <c r="T4" s="87"/>
      <c r="U4" s="87"/>
      <c r="V4" s="48"/>
      <c r="W4" s="48"/>
      <c r="X4" s="48"/>
      <c r="Y4" s="48"/>
      <c r="Z4" s="47"/>
      <c r="AA4" s="69">
        <v>4</v>
      </c>
      <c r="AB4" s="69"/>
      <c r="AC4" s="70"/>
      <c r="AD4" s="76" t="s">
        <v>21249</v>
      </c>
      <c r="AE4" s="81" t="s">
        <v>20214</v>
      </c>
      <c r="AF4" s="76">
        <v>19</v>
      </c>
      <c r="AG4" s="76">
        <v>80</v>
      </c>
      <c r="AH4" s="76">
        <v>3021</v>
      </c>
      <c r="AI4" s="76">
        <v>1</v>
      </c>
      <c r="AJ4" s="76">
        <v>1901</v>
      </c>
      <c r="AK4" s="76">
        <v>24</v>
      </c>
      <c r="AL4" s="76" t="b">
        <v>0</v>
      </c>
      <c r="AM4" s="78">
        <v>44916.868715277778</v>
      </c>
      <c r="AN4" s="76" t="s">
        <v>24055</v>
      </c>
      <c r="AO4" s="76" t="s">
        <v>24709</v>
      </c>
      <c r="AP4" s="76"/>
      <c r="AQ4" s="76"/>
      <c r="AR4" s="76"/>
      <c r="AS4" s="76"/>
      <c r="AT4" s="76"/>
      <c r="AU4" s="76"/>
      <c r="AV4" s="76"/>
      <c r="AW4" s="76"/>
      <c r="AX4" s="76" t="b">
        <v>0</v>
      </c>
      <c r="AY4" s="76"/>
      <c r="AZ4" s="76"/>
      <c r="BA4" s="76" t="b">
        <v>0</v>
      </c>
      <c r="BB4" s="76" t="b">
        <v>1</v>
      </c>
      <c r="BC4" s="76" t="b">
        <v>1</v>
      </c>
      <c r="BD4" s="76" t="b">
        <v>0</v>
      </c>
      <c r="BE4" s="76" t="b">
        <v>0</v>
      </c>
      <c r="BF4" s="76" t="b">
        <v>0</v>
      </c>
      <c r="BG4" s="76" t="b">
        <v>0</v>
      </c>
      <c r="BH4" s="82" t="str">
        <f>HYPERLINK("https://pbs.twimg.com/profile_banners/1605667063745372163/1674598442")</f>
        <v>https://pbs.twimg.com/profile_banners/1605667063745372163/1674598442</v>
      </c>
      <c r="BI4" s="76"/>
      <c r="BJ4" s="76" t="s">
        <v>27595</v>
      </c>
      <c r="BK4" s="76" t="b">
        <v>0</v>
      </c>
      <c r="BL4" s="76"/>
      <c r="BM4" s="76" t="s">
        <v>66</v>
      </c>
      <c r="BN4" s="76" t="s">
        <v>27597</v>
      </c>
      <c r="BO4" s="82" t="str">
        <f>HYPERLINK("https://twitter.com/go00452906")</f>
        <v>https://twitter.com/go00452906</v>
      </c>
      <c r="BP4" s="2"/>
    </row>
    <row r="5" spans="1:68" x14ac:dyDescent="0.25">
      <c r="A5" s="62" t="s">
        <v>225</v>
      </c>
      <c r="B5" s="63"/>
      <c r="C5" s="63"/>
      <c r="D5" s="64"/>
      <c r="E5" s="66"/>
      <c r="F5" s="103" t="str">
        <f>HYPERLINK("https://pbs.twimg.com/profile_images/1631334526092812292/G_eDX7KF_normal.jpg")</f>
        <v>https://pbs.twimg.com/profile_images/1631334526092812292/G_eDX7KF_normal.jpg</v>
      </c>
      <c r="G5" s="63"/>
      <c r="H5" s="67"/>
      <c r="I5" s="68"/>
      <c r="J5" s="68"/>
      <c r="K5" s="67" t="s">
        <v>27599</v>
      </c>
      <c r="L5" s="71"/>
      <c r="M5" s="72"/>
      <c r="N5" s="72"/>
      <c r="O5" s="73"/>
      <c r="P5" s="74"/>
      <c r="Q5" s="74"/>
      <c r="R5" s="87"/>
      <c r="S5" s="87"/>
      <c r="T5" s="87"/>
      <c r="U5" s="87"/>
      <c r="V5" s="48"/>
      <c r="W5" s="48"/>
      <c r="X5" s="48"/>
      <c r="Y5" s="48"/>
      <c r="Z5" s="47"/>
      <c r="AA5" s="69">
        <v>5</v>
      </c>
      <c r="AB5" s="69"/>
      <c r="AC5" s="70"/>
      <c r="AD5" s="76" t="s">
        <v>21250</v>
      </c>
      <c r="AE5" s="81" t="s">
        <v>20215</v>
      </c>
      <c r="AF5" s="76">
        <v>684</v>
      </c>
      <c r="AG5" s="76">
        <v>958</v>
      </c>
      <c r="AH5" s="76">
        <v>71777</v>
      </c>
      <c r="AI5" s="76">
        <v>2</v>
      </c>
      <c r="AJ5" s="76">
        <v>86631</v>
      </c>
      <c r="AK5" s="76">
        <v>11924</v>
      </c>
      <c r="AL5" s="76" t="b">
        <v>0</v>
      </c>
      <c r="AM5" s="78">
        <v>42822.70275462963</v>
      </c>
      <c r="AN5" s="76" t="s">
        <v>24056</v>
      </c>
      <c r="AO5" s="76" t="s">
        <v>24710</v>
      </c>
      <c r="AP5" s="76"/>
      <c r="AQ5" s="76"/>
      <c r="AR5" s="76"/>
      <c r="AS5" s="76"/>
      <c r="AT5" s="76"/>
      <c r="AU5" s="76"/>
      <c r="AV5" s="76">
        <v>1.2811745650125E+18</v>
      </c>
      <c r="AW5" s="76"/>
      <c r="AX5" s="76" t="b">
        <v>0</v>
      </c>
      <c r="AY5" s="76"/>
      <c r="AZ5" s="76"/>
      <c r="BA5" s="76" t="b">
        <v>1</v>
      </c>
      <c r="BB5" s="76" t="b">
        <v>1</v>
      </c>
      <c r="BC5" s="76" t="b">
        <v>1</v>
      </c>
      <c r="BD5" s="76" t="b">
        <v>0</v>
      </c>
      <c r="BE5" s="76" t="b">
        <v>1</v>
      </c>
      <c r="BF5" s="76" t="b">
        <v>0</v>
      </c>
      <c r="BG5" s="76" t="b">
        <v>0</v>
      </c>
      <c r="BH5" s="82" t="str">
        <f>HYPERLINK("https://pbs.twimg.com/profile_banners/846766827829182465/1649933290")</f>
        <v>https://pbs.twimg.com/profile_banners/846766827829182465/1649933290</v>
      </c>
      <c r="BI5" s="76"/>
      <c r="BJ5" s="76" t="s">
        <v>27595</v>
      </c>
      <c r="BK5" s="76" t="b">
        <v>0</v>
      </c>
      <c r="BL5" s="76"/>
      <c r="BM5" s="76" t="s">
        <v>66</v>
      </c>
      <c r="BN5" s="76" t="s">
        <v>27597</v>
      </c>
      <c r="BO5" s="82" t="str">
        <f>HYPERLINK("https://twitter.com/armandolamezcla")</f>
        <v>https://twitter.com/armandolamezcla</v>
      </c>
      <c r="BP5" s="2"/>
    </row>
    <row r="6" spans="1:68" x14ac:dyDescent="0.25">
      <c r="A6" s="62" t="s">
        <v>1693</v>
      </c>
      <c r="B6" s="63"/>
      <c r="C6" s="63"/>
      <c r="D6" s="64"/>
      <c r="E6" s="66"/>
      <c r="F6" s="103" t="str">
        <f>HYPERLINK("https://pbs.twimg.com/profile_images/737025161182994432/y_MutX-j_normal.jpg")</f>
        <v>https://pbs.twimg.com/profile_images/737025161182994432/y_MutX-j_normal.jpg</v>
      </c>
      <c r="G6" s="63"/>
      <c r="H6" s="67"/>
      <c r="I6" s="68"/>
      <c r="J6" s="68"/>
      <c r="K6" s="67" t="s">
        <v>27600</v>
      </c>
      <c r="L6" s="71"/>
      <c r="M6" s="72"/>
      <c r="N6" s="72"/>
      <c r="O6" s="73"/>
      <c r="P6" s="74"/>
      <c r="Q6" s="74"/>
      <c r="R6" s="87"/>
      <c r="S6" s="87"/>
      <c r="T6" s="87"/>
      <c r="U6" s="87"/>
      <c r="V6" s="48"/>
      <c r="W6" s="48"/>
      <c r="X6" s="48"/>
      <c r="Y6" s="48"/>
      <c r="Z6" s="47"/>
      <c r="AA6" s="69">
        <v>6</v>
      </c>
      <c r="AB6" s="69"/>
      <c r="AC6" s="70"/>
      <c r="AD6" s="76" t="s">
        <v>21251</v>
      </c>
      <c r="AE6" s="81" t="s">
        <v>23068</v>
      </c>
      <c r="AF6" s="76">
        <v>6102</v>
      </c>
      <c r="AG6" s="76">
        <v>650</v>
      </c>
      <c r="AH6" s="76">
        <v>6278</v>
      </c>
      <c r="AI6" s="76">
        <v>81</v>
      </c>
      <c r="AJ6" s="76">
        <v>1449</v>
      </c>
      <c r="AK6" s="76">
        <v>823</v>
      </c>
      <c r="AL6" s="76" t="b">
        <v>0</v>
      </c>
      <c r="AM6" s="78">
        <v>40217.505937499998</v>
      </c>
      <c r="AN6" s="76" t="s">
        <v>24057</v>
      </c>
      <c r="AO6" s="76" t="s">
        <v>24711</v>
      </c>
      <c r="AP6" s="76"/>
      <c r="AQ6" s="76"/>
      <c r="AR6" s="76"/>
      <c r="AS6" s="76"/>
      <c r="AT6" s="76"/>
      <c r="AU6" s="76"/>
      <c r="AV6" s="76"/>
      <c r="AW6" s="76"/>
      <c r="AX6" s="76" t="b">
        <v>1</v>
      </c>
      <c r="AY6" s="76"/>
      <c r="AZ6" s="76"/>
      <c r="BA6" s="76" t="b">
        <v>0</v>
      </c>
      <c r="BB6" s="76" t="b">
        <v>1</v>
      </c>
      <c r="BC6" s="76" t="b">
        <v>0</v>
      </c>
      <c r="BD6" s="76" t="b">
        <v>0</v>
      </c>
      <c r="BE6" s="76" t="b">
        <v>1</v>
      </c>
      <c r="BF6" s="76" t="b">
        <v>0</v>
      </c>
      <c r="BG6" s="76" t="b">
        <v>1</v>
      </c>
      <c r="BH6" s="82" t="str">
        <f>HYPERLINK("https://pbs.twimg.com/profile_banners/112413490/1509013053")</f>
        <v>https://pbs.twimg.com/profile_banners/112413490/1509013053</v>
      </c>
      <c r="BI6" s="76"/>
      <c r="BJ6" s="76" t="s">
        <v>27595</v>
      </c>
      <c r="BK6" s="76" t="b">
        <v>0</v>
      </c>
      <c r="BL6" s="76"/>
      <c r="BM6" s="76" t="s">
        <v>65</v>
      </c>
      <c r="BN6" s="76" t="s">
        <v>27597</v>
      </c>
      <c r="BO6" s="82" t="str">
        <f>HYPERLINK("https://twitter.com/josevizner")</f>
        <v>https://twitter.com/josevizner</v>
      </c>
      <c r="BP6" s="2"/>
    </row>
    <row r="7" spans="1:68" x14ac:dyDescent="0.25">
      <c r="A7" s="62" t="s">
        <v>1694</v>
      </c>
      <c r="B7" s="63"/>
      <c r="C7" s="63"/>
      <c r="D7" s="64"/>
      <c r="E7" s="66"/>
      <c r="F7" s="103" t="str">
        <f>HYPERLINK("https://pbs.twimg.com/profile_images/1551310048990830592/pvS6VCw4_normal.jpg")</f>
        <v>https://pbs.twimg.com/profile_images/1551310048990830592/pvS6VCw4_normal.jpg</v>
      </c>
      <c r="G7" s="63"/>
      <c r="H7" s="67"/>
      <c r="I7" s="68"/>
      <c r="J7" s="68"/>
      <c r="K7" s="67" t="s">
        <v>27601</v>
      </c>
      <c r="L7" s="71"/>
      <c r="M7" s="72"/>
      <c r="N7" s="72"/>
      <c r="O7" s="73"/>
      <c r="P7" s="74"/>
      <c r="Q7" s="74"/>
      <c r="R7" s="87"/>
      <c r="S7" s="87"/>
      <c r="T7" s="87"/>
      <c r="U7" s="87"/>
      <c r="V7" s="48"/>
      <c r="W7" s="48"/>
      <c r="X7" s="48"/>
      <c r="Y7" s="48"/>
      <c r="Z7" s="47"/>
      <c r="AA7" s="69">
        <v>7</v>
      </c>
      <c r="AB7" s="69"/>
      <c r="AC7" s="70"/>
      <c r="AD7" s="76" t="s">
        <v>21252</v>
      </c>
      <c r="AE7" s="81" t="s">
        <v>23069</v>
      </c>
      <c r="AF7" s="76">
        <v>4999</v>
      </c>
      <c r="AG7" s="76">
        <v>5488</v>
      </c>
      <c r="AH7" s="76">
        <v>295516</v>
      </c>
      <c r="AI7" s="76">
        <v>54</v>
      </c>
      <c r="AJ7" s="76">
        <v>128110</v>
      </c>
      <c r="AK7" s="76">
        <v>13672</v>
      </c>
      <c r="AL7" s="76" t="b">
        <v>0</v>
      </c>
      <c r="AM7" s="78">
        <v>40530.058194444442</v>
      </c>
      <c r="AN7" s="76" t="s">
        <v>24058</v>
      </c>
      <c r="AO7" s="76" t="s">
        <v>24712</v>
      </c>
      <c r="AP7" s="82" t="str">
        <f>HYPERLINK("https://t.co/1VvUDEB8uS")</f>
        <v>https://t.co/1VvUDEB8uS</v>
      </c>
      <c r="AQ7" s="82" t="str">
        <f>HYPERLINK("https://fundacionministeriodefamilia.webnode.es")</f>
        <v>https://fundacionministeriodefamilia.webnode.es</v>
      </c>
      <c r="AR7" s="76" t="s">
        <v>26363</v>
      </c>
      <c r="AS7" s="76"/>
      <c r="AT7" s="76"/>
      <c r="AU7" s="76"/>
      <c r="AV7" s="76">
        <v>1.0561012515224E+18</v>
      </c>
      <c r="AW7" s="82" t="str">
        <f>HYPERLINK("https://t.co/1VvUDEB8uS")</f>
        <v>https://t.co/1VvUDEB8uS</v>
      </c>
      <c r="AX7" s="76" t="b">
        <v>0</v>
      </c>
      <c r="AY7" s="76"/>
      <c r="AZ7" s="76"/>
      <c r="BA7" s="76" t="b">
        <v>1</v>
      </c>
      <c r="BB7" s="76" t="b">
        <v>1</v>
      </c>
      <c r="BC7" s="76" t="b">
        <v>0</v>
      </c>
      <c r="BD7" s="76" t="b">
        <v>0</v>
      </c>
      <c r="BE7" s="76" t="b">
        <v>1</v>
      </c>
      <c r="BF7" s="76" t="b">
        <v>0</v>
      </c>
      <c r="BG7" s="76" t="b">
        <v>1</v>
      </c>
      <c r="BH7" s="82" t="str">
        <f>HYPERLINK("https://pbs.twimg.com/profile_banners/227862402/1536682742")</f>
        <v>https://pbs.twimg.com/profile_banners/227862402/1536682742</v>
      </c>
      <c r="BI7" s="76"/>
      <c r="BJ7" s="76" t="s">
        <v>27595</v>
      </c>
      <c r="BK7" s="76" t="b">
        <v>0</v>
      </c>
      <c r="BL7" s="76"/>
      <c r="BM7" s="76" t="s">
        <v>65</v>
      </c>
      <c r="BN7" s="76" t="s">
        <v>27597</v>
      </c>
      <c r="BO7" s="82" t="str">
        <f>HYPERLINK("https://twitter.com/eliecerlondruiz")</f>
        <v>https://twitter.com/eliecerlondruiz</v>
      </c>
      <c r="BP7" s="2"/>
    </row>
    <row r="8" spans="1:68" x14ac:dyDescent="0.25">
      <c r="A8" s="62" t="s">
        <v>1695</v>
      </c>
      <c r="B8" s="63"/>
      <c r="C8" s="63"/>
      <c r="D8" s="64"/>
      <c r="E8" s="66"/>
      <c r="F8" s="103" t="str">
        <f>HYPERLINK("https://pbs.twimg.com/profile_images/1695590494808481793/5jDvpMNb_normal.jpg")</f>
        <v>https://pbs.twimg.com/profile_images/1695590494808481793/5jDvpMNb_normal.jpg</v>
      </c>
      <c r="G8" s="63"/>
      <c r="H8" s="67"/>
      <c r="I8" s="68"/>
      <c r="J8" s="68"/>
      <c r="K8" s="67" t="s">
        <v>27602</v>
      </c>
      <c r="L8" s="71"/>
      <c r="M8" s="72"/>
      <c r="N8" s="72"/>
      <c r="O8" s="73"/>
      <c r="P8" s="74"/>
      <c r="Q8" s="74"/>
      <c r="R8" s="87"/>
      <c r="S8" s="87"/>
      <c r="T8" s="87"/>
      <c r="U8" s="87"/>
      <c r="V8" s="48"/>
      <c r="W8" s="48"/>
      <c r="X8" s="48"/>
      <c r="Y8" s="48"/>
      <c r="Z8" s="47"/>
      <c r="AA8" s="69">
        <v>8</v>
      </c>
      <c r="AB8" s="69"/>
      <c r="AC8" s="70"/>
      <c r="AD8" s="76" t="s">
        <v>21253</v>
      </c>
      <c r="AE8" s="81" t="s">
        <v>20216</v>
      </c>
      <c r="AF8" s="76">
        <v>1897</v>
      </c>
      <c r="AG8" s="76">
        <v>684</v>
      </c>
      <c r="AH8" s="76">
        <v>35756</v>
      </c>
      <c r="AI8" s="76">
        <v>4</v>
      </c>
      <c r="AJ8" s="76">
        <v>24860</v>
      </c>
      <c r="AK8" s="76">
        <v>2642</v>
      </c>
      <c r="AL8" s="76" t="b">
        <v>0</v>
      </c>
      <c r="AM8" s="78">
        <v>44366.257719907408</v>
      </c>
      <c r="AN8" s="76"/>
      <c r="AO8" s="76" t="s">
        <v>24713</v>
      </c>
      <c r="AP8" s="76"/>
      <c r="AQ8" s="76"/>
      <c r="AR8" s="76"/>
      <c r="AS8" s="76"/>
      <c r="AT8" s="76"/>
      <c r="AU8" s="76"/>
      <c r="AV8" s="76"/>
      <c r="AW8" s="76"/>
      <c r="AX8" s="76" t="b">
        <v>0</v>
      </c>
      <c r="AY8" s="76"/>
      <c r="AZ8" s="76"/>
      <c r="BA8" s="76" t="b">
        <v>0</v>
      </c>
      <c r="BB8" s="76" t="b">
        <v>1</v>
      </c>
      <c r="BC8" s="76" t="b">
        <v>1</v>
      </c>
      <c r="BD8" s="76" t="b">
        <v>0</v>
      </c>
      <c r="BE8" s="76" t="b">
        <v>0</v>
      </c>
      <c r="BF8" s="76" t="b">
        <v>0</v>
      </c>
      <c r="BG8" s="76" t="b">
        <v>0</v>
      </c>
      <c r="BH8" s="82" t="str">
        <f>HYPERLINK("https://pbs.twimg.com/profile_banners/1406131151836749827/1661691509")</f>
        <v>https://pbs.twimg.com/profile_banners/1406131151836749827/1661691509</v>
      </c>
      <c r="BI8" s="76"/>
      <c r="BJ8" s="76" t="s">
        <v>27595</v>
      </c>
      <c r="BK8" s="76" t="b">
        <v>0</v>
      </c>
      <c r="BL8" s="76"/>
      <c r="BM8" s="76" t="s">
        <v>65</v>
      </c>
      <c r="BN8" s="76" t="s">
        <v>27597</v>
      </c>
      <c r="BO8" s="82" t="str">
        <f>HYPERLINK("https://twitter.com/aideluz93")</f>
        <v>https://twitter.com/aideluz93</v>
      </c>
      <c r="BP8" s="2"/>
    </row>
    <row r="9" spans="1:68" x14ac:dyDescent="0.25">
      <c r="A9" s="62" t="s">
        <v>892</v>
      </c>
      <c r="B9" s="63"/>
      <c r="C9" s="63"/>
      <c r="D9" s="64"/>
      <c r="E9" s="66"/>
      <c r="F9" s="103" t="str">
        <f>HYPERLINK("https://pbs.twimg.com/profile_images/1348574671692816384/g-T6kUxu_normal.png")</f>
        <v>https://pbs.twimg.com/profile_images/1348574671692816384/g-T6kUxu_normal.png</v>
      </c>
      <c r="G9" s="63"/>
      <c r="H9" s="67"/>
      <c r="I9" s="68"/>
      <c r="J9" s="68"/>
      <c r="K9" s="67" t="s">
        <v>27603</v>
      </c>
      <c r="L9" s="71"/>
      <c r="M9" s="72"/>
      <c r="N9" s="72"/>
      <c r="O9" s="73"/>
      <c r="P9" s="74"/>
      <c r="Q9" s="74"/>
      <c r="R9" s="87"/>
      <c r="S9" s="87"/>
      <c r="T9" s="87"/>
      <c r="U9" s="87"/>
      <c r="V9" s="48"/>
      <c r="W9" s="48"/>
      <c r="X9" s="48"/>
      <c r="Y9" s="48"/>
      <c r="Z9" s="47"/>
      <c r="AA9" s="69">
        <v>9</v>
      </c>
      <c r="AB9" s="69"/>
      <c r="AC9" s="70"/>
      <c r="AD9" s="76" t="s">
        <v>21254</v>
      </c>
      <c r="AE9" s="81" t="s">
        <v>20812</v>
      </c>
      <c r="AF9" s="76">
        <v>24026</v>
      </c>
      <c r="AG9" s="76">
        <v>343</v>
      </c>
      <c r="AH9" s="76">
        <v>40199</v>
      </c>
      <c r="AI9" s="76">
        <v>281</v>
      </c>
      <c r="AJ9" s="76">
        <v>1923</v>
      </c>
      <c r="AK9" s="76">
        <v>36754</v>
      </c>
      <c r="AL9" s="76" t="b">
        <v>0</v>
      </c>
      <c r="AM9" s="78">
        <v>44112.727777777778</v>
      </c>
      <c r="AN9" s="76" t="s">
        <v>24059</v>
      </c>
      <c r="AO9" s="76" t="s">
        <v>24714</v>
      </c>
      <c r="AP9" s="82" t="str">
        <f>HYPERLINK("https://t.co/NGIIbUytOB")</f>
        <v>https://t.co/NGIIbUytOB</v>
      </c>
      <c r="AQ9" s="82" t="str">
        <f>HYPERLINK("https://www.negocios.com/directo/")</f>
        <v>https://www.negocios.com/directo/</v>
      </c>
      <c r="AR9" s="76" t="s">
        <v>26364</v>
      </c>
      <c r="AS9" s="76"/>
      <c r="AT9" s="76"/>
      <c r="AU9" s="76"/>
      <c r="AV9" s="76">
        <v>1.6844890008101601E+18</v>
      </c>
      <c r="AW9" s="82" t="str">
        <f>HYPERLINK("https://t.co/NGIIbUytOB")</f>
        <v>https://t.co/NGIIbUytOB</v>
      </c>
      <c r="AX9" s="76" t="b">
        <v>1</v>
      </c>
      <c r="AY9" s="76"/>
      <c r="AZ9" s="76"/>
      <c r="BA9" s="76" t="b">
        <v>0</v>
      </c>
      <c r="BB9" s="76" t="b">
        <v>1</v>
      </c>
      <c r="BC9" s="76" t="b">
        <v>1</v>
      </c>
      <c r="BD9" s="76" t="b">
        <v>0</v>
      </c>
      <c r="BE9" s="76" t="b">
        <v>1</v>
      </c>
      <c r="BF9" s="76" t="b">
        <v>0</v>
      </c>
      <c r="BG9" s="76" t="b">
        <v>0</v>
      </c>
      <c r="BH9" s="82" t="str">
        <f>HYPERLINK("https://pbs.twimg.com/profile_banners/1314256209688526848/1608629176")</f>
        <v>https://pbs.twimg.com/profile_banners/1314256209688526848/1608629176</v>
      </c>
      <c r="BI9" s="76"/>
      <c r="BJ9" s="76" t="s">
        <v>27595</v>
      </c>
      <c r="BK9" s="76" t="b">
        <v>0</v>
      </c>
      <c r="BL9" s="76"/>
      <c r="BM9" s="76" t="s">
        <v>66</v>
      </c>
      <c r="BN9" s="76" t="s">
        <v>27597</v>
      </c>
      <c r="BO9" s="82" t="str">
        <f>HYPERLINK("https://twitter.com/negocios_tv")</f>
        <v>https://twitter.com/negocios_tv</v>
      </c>
      <c r="BP9" s="2"/>
    </row>
    <row r="10" spans="1:68" x14ac:dyDescent="0.25">
      <c r="A10" s="62" t="s">
        <v>226</v>
      </c>
      <c r="B10" s="63"/>
      <c r="C10" s="63"/>
      <c r="D10" s="64"/>
      <c r="E10" s="66"/>
      <c r="F10" s="103" t="str">
        <f>HYPERLINK("https://pbs.twimg.com/profile_images/1622767050283225090/OIQqJWOd_normal.jpg")</f>
        <v>https://pbs.twimg.com/profile_images/1622767050283225090/OIQqJWOd_normal.jpg</v>
      </c>
      <c r="G10" s="63"/>
      <c r="H10" s="67"/>
      <c r="I10" s="68"/>
      <c r="J10" s="68"/>
      <c r="K10" s="67" t="s">
        <v>27604</v>
      </c>
      <c r="L10" s="71"/>
      <c r="M10" s="72"/>
      <c r="N10" s="72"/>
      <c r="O10" s="73"/>
      <c r="P10" s="74"/>
      <c r="Q10" s="74"/>
      <c r="R10" s="87"/>
      <c r="S10" s="87"/>
      <c r="T10" s="87"/>
      <c r="U10" s="87"/>
      <c r="V10" s="48"/>
      <c r="W10" s="48"/>
      <c r="X10" s="48"/>
      <c r="Y10" s="48"/>
      <c r="Z10" s="47"/>
      <c r="AA10" s="69">
        <v>10</v>
      </c>
      <c r="AB10" s="69"/>
      <c r="AC10" s="70"/>
      <c r="AD10" s="76" t="s">
        <v>21255</v>
      </c>
      <c r="AE10" s="81" t="s">
        <v>23070</v>
      </c>
      <c r="AF10" s="76">
        <v>107</v>
      </c>
      <c r="AG10" s="76">
        <v>191</v>
      </c>
      <c r="AH10" s="76">
        <v>3118</v>
      </c>
      <c r="AI10" s="76">
        <v>2</v>
      </c>
      <c r="AJ10" s="76">
        <v>1550</v>
      </c>
      <c r="AK10" s="76">
        <v>2318</v>
      </c>
      <c r="AL10" s="76" t="b">
        <v>0</v>
      </c>
      <c r="AM10" s="78">
        <v>40025.70548611111</v>
      </c>
      <c r="AN10" s="76" t="s">
        <v>24060</v>
      </c>
      <c r="AO10" s="76" t="s">
        <v>24715</v>
      </c>
      <c r="AP10" s="82" t="str">
        <f>HYPERLINK("https://t.co/szXVOxKh3s")</f>
        <v>https://t.co/szXVOxKh3s</v>
      </c>
      <c r="AQ10" s="82" t="str">
        <f>HYPERLINK("https://www.politicadistrital.com.br")</f>
        <v>https://www.politicadistrital.com.br</v>
      </c>
      <c r="AR10" s="76" t="s">
        <v>26365</v>
      </c>
      <c r="AS10" s="82" t="str">
        <f>HYPERLINK("https://t.co/YoOx2MDOjg")</f>
        <v>https://t.co/YoOx2MDOjg</v>
      </c>
      <c r="AT10" s="82" t="str">
        <f>HYPERLINK("http://politicadistrital.com.br")</f>
        <v>http://politicadistrital.com.br</v>
      </c>
      <c r="AU10" s="76" t="s">
        <v>26365</v>
      </c>
      <c r="AV10" s="76"/>
      <c r="AW10" s="82" t="str">
        <f>HYPERLINK("https://t.co/szXVOxKh3s")</f>
        <v>https://t.co/szXVOxKh3s</v>
      </c>
      <c r="AX10" s="76" t="b">
        <v>0</v>
      </c>
      <c r="AY10" s="76"/>
      <c r="AZ10" s="76"/>
      <c r="BA10" s="76" t="b">
        <v>0</v>
      </c>
      <c r="BB10" s="76" t="b">
        <v>1</v>
      </c>
      <c r="BC10" s="76" t="b">
        <v>0</v>
      </c>
      <c r="BD10" s="76" t="b">
        <v>0</v>
      </c>
      <c r="BE10" s="76" t="b">
        <v>0</v>
      </c>
      <c r="BF10" s="76" t="b">
        <v>0</v>
      </c>
      <c r="BG10" s="76" t="b">
        <v>0</v>
      </c>
      <c r="BH10" s="82" t="str">
        <f>HYPERLINK("https://pbs.twimg.com/profile_banners/61815962/1685456005")</f>
        <v>https://pbs.twimg.com/profile_banners/61815962/1685456005</v>
      </c>
      <c r="BI10" s="76"/>
      <c r="BJ10" s="76" t="s">
        <v>27595</v>
      </c>
      <c r="BK10" s="76" t="b">
        <v>0</v>
      </c>
      <c r="BL10" s="76"/>
      <c r="BM10" s="76" t="s">
        <v>66</v>
      </c>
      <c r="BN10" s="76" t="s">
        <v>27597</v>
      </c>
      <c r="BO10" s="82" t="str">
        <f>HYPERLINK("https://twitter.com/polidistrital")</f>
        <v>https://twitter.com/polidistrital</v>
      </c>
      <c r="BP10" s="2"/>
    </row>
    <row r="11" spans="1:68" x14ac:dyDescent="0.25">
      <c r="A11" s="62" t="s">
        <v>227</v>
      </c>
      <c r="B11" s="63"/>
      <c r="C11" s="63"/>
      <c r="D11" s="64"/>
      <c r="E11" s="66"/>
      <c r="F11" s="103" t="str">
        <f>HYPERLINK("https://pbs.twimg.com/profile_images/1629138556886126593/-7XZXIkF_normal.jpg")</f>
        <v>https://pbs.twimg.com/profile_images/1629138556886126593/-7XZXIkF_normal.jpg</v>
      </c>
      <c r="G11" s="63"/>
      <c r="H11" s="67"/>
      <c r="I11" s="68"/>
      <c r="J11" s="68"/>
      <c r="K11" s="67" t="s">
        <v>27605</v>
      </c>
      <c r="L11" s="71"/>
      <c r="M11" s="72"/>
      <c r="N11" s="72"/>
      <c r="O11" s="73"/>
      <c r="P11" s="74"/>
      <c r="Q11" s="74"/>
      <c r="R11" s="87"/>
      <c r="S11" s="87"/>
      <c r="T11" s="87"/>
      <c r="U11" s="87"/>
      <c r="V11" s="48"/>
      <c r="W11" s="48"/>
      <c r="X11" s="48"/>
      <c r="Y11" s="48"/>
      <c r="Z11" s="47"/>
      <c r="AA11" s="69">
        <v>11</v>
      </c>
      <c r="AB11" s="69"/>
      <c r="AC11" s="70"/>
      <c r="AD11" s="76" t="s">
        <v>21256</v>
      </c>
      <c r="AE11" s="81" t="s">
        <v>20491</v>
      </c>
      <c r="AF11" s="76">
        <v>84</v>
      </c>
      <c r="AG11" s="76">
        <v>32</v>
      </c>
      <c r="AH11" s="76">
        <v>5645</v>
      </c>
      <c r="AI11" s="76">
        <v>1</v>
      </c>
      <c r="AJ11" s="76">
        <v>214</v>
      </c>
      <c r="AK11" s="76">
        <v>5631</v>
      </c>
      <c r="AL11" s="76" t="b">
        <v>0</v>
      </c>
      <c r="AM11" s="78">
        <v>44739.574201388888</v>
      </c>
      <c r="AN11" s="76" t="s">
        <v>14381</v>
      </c>
      <c r="AO11" s="76" t="s">
        <v>24716</v>
      </c>
      <c r="AP11" s="82" t="str">
        <f>HYPERLINK("https://t.co/leMPo46mdk")</f>
        <v>https://t.co/leMPo46mdk</v>
      </c>
      <c r="AQ11" s="82" t="str">
        <f>HYPERLINK("https://rtvd.gob.do/central-noticias-pagina/")</f>
        <v>https://rtvd.gob.do/central-noticias-pagina/</v>
      </c>
      <c r="AR11" s="76" t="s">
        <v>26366</v>
      </c>
      <c r="AS11" s="76"/>
      <c r="AT11" s="76"/>
      <c r="AU11" s="76"/>
      <c r="AV11" s="76"/>
      <c r="AW11" s="82" t="str">
        <f>HYPERLINK("https://t.co/leMPo46mdk")</f>
        <v>https://t.co/leMPo46mdk</v>
      </c>
      <c r="AX11" s="76" t="b">
        <v>0</v>
      </c>
      <c r="AY11" s="76"/>
      <c r="AZ11" s="76"/>
      <c r="BA11" s="76" t="b">
        <v>0</v>
      </c>
      <c r="BB11" s="76" t="b">
        <v>1</v>
      </c>
      <c r="BC11" s="76" t="b">
        <v>1</v>
      </c>
      <c r="BD11" s="76" t="b">
        <v>0</v>
      </c>
      <c r="BE11" s="76" t="b">
        <v>0</v>
      </c>
      <c r="BF11" s="76" t="b">
        <v>0</v>
      </c>
      <c r="BG11" s="76" t="b">
        <v>0</v>
      </c>
      <c r="BH11" s="82" t="str">
        <f>HYPERLINK("https://pbs.twimg.com/profile_banners/1541417669311823873/1677253320")</f>
        <v>https://pbs.twimg.com/profile_banners/1541417669311823873/1677253320</v>
      </c>
      <c r="BI11" s="76"/>
      <c r="BJ11" s="76" t="s">
        <v>27595</v>
      </c>
      <c r="BK11" s="76" t="b">
        <v>0</v>
      </c>
      <c r="BL11" s="76"/>
      <c r="BM11" s="76" t="s">
        <v>66</v>
      </c>
      <c r="BN11" s="76" t="s">
        <v>27597</v>
      </c>
      <c r="BO11" s="82" t="str">
        <f>HYPERLINK("https://twitter.com/centralrtvd")</f>
        <v>https://twitter.com/centralrtvd</v>
      </c>
      <c r="BP11" s="2"/>
    </row>
    <row r="12" spans="1:68" x14ac:dyDescent="0.25">
      <c r="A12" s="62" t="s">
        <v>228</v>
      </c>
      <c r="B12" s="63"/>
      <c r="C12" s="63"/>
      <c r="D12" s="64"/>
      <c r="E12" s="66"/>
      <c r="F12" s="103" t="str">
        <f>HYPERLINK("https://pbs.twimg.com/profile_images/1599558080844468231/9LDq-Cf2_normal.jpg")</f>
        <v>https://pbs.twimg.com/profile_images/1599558080844468231/9LDq-Cf2_normal.jpg</v>
      </c>
      <c r="G12" s="63"/>
      <c r="H12" s="67"/>
      <c r="I12" s="68"/>
      <c r="J12" s="68"/>
      <c r="K12" s="67" t="s">
        <v>27606</v>
      </c>
      <c r="L12" s="71"/>
      <c r="M12" s="72"/>
      <c r="N12" s="72"/>
      <c r="O12" s="73"/>
      <c r="P12" s="74"/>
      <c r="Q12" s="74"/>
      <c r="R12" s="87"/>
      <c r="S12" s="87"/>
      <c r="T12" s="87"/>
      <c r="U12" s="87"/>
      <c r="V12" s="48"/>
      <c r="W12" s="48"/>
      <c r="X12" s="48"/>
      <c r="Y12" s="48"/>
      <c r="Z12" s="47"/>
      <c r="AA12" s="69">
        <v>12</v>
      </c>
      <c r="AB12" s="69"/>
      <c r="AC12" s="70"/>
      <c r="AD12" s="76" t="s">
        <v>21257</v>
      </c>
      <c r="AE12" s="81" t="s">
        <v>20492</v>
      </c>
      <c r="AF12" s="76">
        <v>13</v>
      </c>
      <c r="AG12" s="76">
        <v>67</v>
      </c>
      <c r="AH12" s="76">
        <v>144</v>
      </c>
      <c r="AI12" s="76">
        <v>0</v>
      </c>
      <c r="AJ12" s="76">
        <v>52</v>
      </c>
      <c r="AK12" s="76">
        <v>80</v>
      </c>
      <c r="AL12" s="76" t="b">
        <v>0</v>
      </c>
      <c r="AM12" s="78">
        <v>44726.523796296293</v>
      </c>
      <c r="AN12" s="76"/>
      <c r="AO12" s="76" t="s">
        <v>24717</v>
      </c>
      <c r="AP12" s="82" t="str">
        <f>HYPERLINK("https://t.co/B1d3y3FdfP")</f>
        <v>https://t.co/B1d3y3FdfP</v>
      </c>
      <c r="AQ12" s="82" t="str">
        <f>HYPERLINK("https://youtube.com/c/InvestidorThetaGang")</f>
        <v>https://youtube.com/c/InvestidorThetaGang</v>
      </c>
      <c r="AR12" s="76" t="s">
        <v>26367</v>
      </c>
      <c r="AS12" s="76"/>
      <c r="AT12" s="76"/>
      <c r="AU12" s="76"/>
      <c r="AV12" s="76"/>
      <c r="AW12" s="82" t="str">
        <f>HYPERLINK("https://t.co/B1d3y3FdfP")</f>
        <v>https://t.co/B1d3y3FdfP</v>
      </c>
      <c r="AX12" s="76" t="b">
        <v>0</v>
      </c>
      <c r="AY12" s="76"/>
      <c r="AZ12" s="76"/>
      <c r="BA12" s="76" t="b">
        <v>0</v>
      </c>
      <c r="BB12" s="76" t="b">
        <v>1</v>
      </c>
      <c r="BC12" s="76" t="b">
        <v>1</v>
      </c>
      <c r="BD12" s="76" t="b">
        <v>0</v>
      </c>
      <c r="BE12" s="76" t="b">
        <v>0</v>
      </c>
      <c r="BF12" s="76" t="b">
        <v>0</v>
      </c>
      <c r="BG12" s="76" t="b">
        <v>0</v>
      </c>
      <c r="BH12" s="82" t="str">
        <f>HYPERLINK("https://pbs.twimg.com/profile_banners/1536688439470563329/1670194651")</f>
        <v>https://pbs.twimg.com/profile_banners/1536688439470563329/1670194651</v>
      </c>
      <c r="BI12" s="76"/>
      <c r="BJ12" s="76" t="s">
        <v>27595</v>
      </c>
      <c r="BK12" s="76" t="b">
        <v>0</v>
      </c>
      <c r="BL12" s="76"/>
      <c r="BM12" s="76" t="s">
        <v>66</v>
      </c>
      <c r="BN12" s="76" t="s">
        <v>27597</v>
      </c>
      <c r="BO12" s="82" t="str">
        <f>HYPERLINK("https://twitter.com/investthetagang")</f>
        <v>https://twitter.com/investthetagang</v>
      </c>
      <c r="BP12" s="2"/>
    </row>
    <row r="13" spans="1:68" x14ac:dyDescent="0.25">
      <c r="A13" s="62" t="s">
        <v>229</v>
      </c>
      <c r="B13" s="63"/>
      <c r="C13" s="63"/>
      <c r="D13" s="64"/>
      <c r="E13" s="66"/>
      <c r="F13" s="103" t="str">
        <f>HYPERLINK("https://pbs.twimg.com/profile_images/1531299995571433472/18fgj9n4_normal.jpg")</f>
        <v>https://pbs.twimg.com/profile_images/1531299995571433472/18fgj9n4_normal.jpg</v>
      </c>
      <c r="G13" s="63"/>
      <c r="H13" s="67"/>
      <c r="I13" s="68"/>
      <c r="J13" s="68"/>
      <c r="K13" s="67" t="s">
        <v>27607</v>
      </c>
      <c r="L13" s="71"/>
      <c r="M13" s="72"/>
      <c r="N13" s="72"/>
      <c r="O13" s="73"/>
      <c r="P13" s="74"/>
      <c r="Q13" s="74"/>
      <c r="R13" s="87"/>
      <c r="S13" s="87"/>
      <c r="T13" s="87"/>
      <c r="U13" s="87"/>
      <c r="V13" s="48"/>
      <c r="W13" s="48"/>
      <c r="X13" s="48"/>
      <c r="Y13" s="48"/>
      <c r="Z13" s="47"/>
      <c r="AA13" s="69">
        <v>13</v>
      </c>
      <c r="AB13" s="69"/>
      <c r="AC13" s="70"/>
      <c r="AD13" s="76" t="s">
        <v>21258</v>
      </c>
      <c r="AE13" s="81" t="s">
        <v>23071</v>
      </c>
      <c r="AF13" s="76">
        <v>272</v>
      </c>
      <c r="AG13" s="76">
        <v>297</v>
      </c>
      <c r="AH13" s="76">
        <v>3579</v>
      </c>
      <c r="AI13" s="76">
        <v>0</v>
      </c>
      <c r="AJ13" s="76">
        <v>1400</v>
      </c>
      <c r="AK13" s="76">
        <v>394</v>
      </c>
      <c r="AL13" s="76" t="b">
        <v>0</v>
      </c>
      <c r="AM13" s="78">
        <v>40911.964120370372</v>
      </c>
      <c r="AN13" s="76" t="s">
        <v>24061</v>
      </c>
      <c r="AO13" s="76" t="s">
        <v>24718</v>
      </c>
      <c r="AP13" s="82" t="str">
        <f>HYPERLINK("https://t.co/LfgXOiDSVD")</f>
        <v>https://t.co/LfgXOiDSVD</v>
      </c>
      <c r="AQ13" s="82" t="str">
        <f>HYPERLINK("https://www.instagram.com/marcelo_alveslojaofc?r=nametag")</f>
        <v>https://www.instagram.com/marcelo_alveslojaofc?r=nametag</v>
      </c>
      <c r="AR13" s="76" t="s">
        <v>26368</v>
      </c>
      <c r="AS13" s="76"/>
      <c r="AT13" s="76"/>
      <c r="AU13" s="76"/>
      <c r="AV13" s="76">
        <v>1.52225321268594E+18</v>
      </c>
      <c r="AW13" s="82" t="str">
        <f>HYPERLINK("https://t.co/LfgXOiDSVD")</f>
        <v>https://t.co/LfgXOiDSVD</v>
      </c>
      <c r="AX13" s="76" t="b">
        <v>0</v>
      </c>
      <c r="AY13" s="76"/>
      <c r="AZ13" s="76"/>
      <c r="BA13" s="76" t="b">
        <v>1</v>
      </c>
      <c r="BB13" s="76" t="b">
        <v>1</v>
      </c>
      <c r="BC13" s="76" t="b">
        <v>0</v>
      </c>
      <c r="BD13" s="76" t="b">
        <v>0</v>
      </c>
      <c r="BE13" s="76" t="b">
        <v>1</v>
      </c>
      <c r="BF13" s="76" t="b">
        <v>0</v>
      </c>
      <c r="BG13" s="76" t="b">
        <v>0</v>
      </c>
      <c r="BH13" s="82" t="str">
        <f>HYPERLINK("https://pbs.twimg.com/profile_banners/454388444/1660680824")</f>
        <v>https://pbs.twimg.com/profile_banners/454388444/1660680824</v>
      </c>
      <c r="BI13" s="76"/>
      <c r="BJ13" s="76" t="s">
        <v>27595</v>
      </c>
      <c r="BK13" s="76" t="b">
        <v>0</v>
      </c>
      <c r="BL13" s="76"/>
      <c r="BM13" s="76" t="s">
        <v>66</v>
      </c>
      <c r="BN13" s="76" t="s">
        <v>27597</v>
      </c>
      <c r="BO13" s="82" t="str">
        <f>HYPERLINK("https://twitter.com/marcelloalvesmg")</f>
        <v>https://twitter.com/marcelloalvesmg</v>
      </c>
      <c r="BP13" s="2"/>
    </row>
    <row r="14" spans="1:68" x14ac:dyDescent="0.25">
      <c r="A14" s="62" t="s">
        <v>1696</v>
      </c>
      <c r="B14" s="63"/>
      <c r="C14" s="63"/>
      <c r="D14" s="64"/>
      <c r="E14" s="66"/>
      <c r="F14" s="103" t="str">
        <f>HYPERLINK("https://pbs.twimg.com/profile_images/1604789601771593728/o-SGPtLS_normal.jpg")</f>
        <v>https://pbs.twimg.com/profile_images/1604789601771593728/o-SGPtLS_normal.jpg</v>
      </c>
      <c r="G14" s="63"/>
      <c r="H14" s="67"/>
      <c r="I14" s="68"/>
      <c r="J14" s="68"/>
      <c r="K14" s="67" t="s">
        <v>27608</v>
      </c>
      <c r="L14" s="71"/>
      <c r="M14" s="72"/>
      <c r="N14" s="72"/>
      <c r="O14" s="73"/>
      <c r="P14" s="74"/>
      <c r="Q14" s="74"/>
      <c r="R14" s="87"/>
      <c r="S14" s="87"/>
      <c r="T14" s="87"/>
      <c r="U14" s="87"/>
      <c r="V14" s="48"/>
      <c r="W14" s="48"/>
      <c r="X14" s="48"/>
      <c r="Y14" s="48"/>
      <c r="Z14" s="47"/>
      <c r="AA14" s="69">
        <v>14</v>
      </c>
      <c r="AB14" s="69"/>
      <c r="AC14" s="70"/>
      <c r="AD14" s="76" t="s">
        <v>21259</v>
      </c>
      <c r="AE14" s="81" t="s">
        <v>20217</v>
      </c>
      <c r="AF14" s="76">
        <v>1200277</v>
      </c>
      <c r="AG14" s="76">
        <v>165</v>
      </c>
      <c r="AH14" s="76">
        <v>213285</v>
      </c>
      <c r="AI14" s="76">
        <v>1069</v>
      </c>
      <c r="AJ14" s="76">
        <v>5153</v>
      </c>
      <c r="AK14" s="76">
        <v>82048</v>
      </c>
      <c r="AL14" s="76" t="b">
        <v>0</v>
      </c>
      <c r="AM14" s="78">
        <v>39944.830520833333</v>
      </c>
      <c r="AN14" s="76" t="s">
        <v>24062</v>
      </c>
      <c r="AO14" s="76" t="s">
        <v>24719</v>
      </c>
      <c r="AP14" s="82" t="str">
        <f>HYPERLINK("https://t.co/WOxM5uRfuH")</f>
        <v>https://t.co/WOxM5uRfuH</v>
      </c>
      <c r="AQ14" s="82" t="str">
        <f>HYPERLINK("http://www.itatiaia.com.br")</f>
        <v>http://www.itatiaia.com.br</v>
      </c>
      <c r="AR14" s="76" t="s">
        <v>26369</v>
      </c>
      <c r="AS14" s="76"/>
      <c r="AT14" s="76"/>
      <c r="AU14" s="76"/>
      <c r="AV14" s="76"/>
      <c r="AW14" s="82" t="str">
        <f>HYPERLINK("https://t.co/WOxM5uRfuH")</f>
        <v>https://t.co/WOxM5uRfuH</v>
      </c>
      <c r="AX14" s="76" t="b">
        <v>1</v>
      </c>
      <c r="AY14" s="76"/>
      <c r="AZ14" s="76"/>
      <c r="BA14" s="76" t="b">
        <v>0</v>
      </c>
      <c r="BB14" s="76" t="b">
        <v>1</v>
      </c>
      <c r="BC14" s="76" t="b">
        <v>0</v>
      </c>
      <c r="BD14" s="76" t="b">
        <v>0</v>
      </c>
      <c r="BE14" s="76" t="b">
        <v>1</v>
      </c>
      <c r="BF14" s="76" t="b">
        <v>0</v>
      </c>
      <c r="BG14" s="76" t="b">
        <v>0</v>
      </c>
      <c r="BH14" s="82" t="str">
        <f>HYPERLINK("https://pbs.twimg.com/profile_banners/39326635/1671446632")</f>
        <v>https://pbs.twimg.com/profile_banners/39326635/1671446632</v>
      </c>
      <c r="BI14" s="76"/>
      <c r="BJ14" s="76" t="s">
        <v>27595</v>
      </c>
      <c r="BK14" s="76" t="b">
        <v>0</v>
      </c>
      <c r="BL14" s="76"/>
      <c r="BM14" s="76" t="s">
        <v>65</v>
      </c>
      <c r="BN14" s="76" t="s">
        <v>27597</v>
      </c>
      <c r="BO14" s="82" t="str">
        <f>HYPERLINK("https://twitter.com/itatiaia")</f>
        <v>https://twitter.com/itatiaia</v>
      </c>
      <c r="BP14" s="2"/>
    </row>
    <row r="15" spans="1:68" x14ac:dyDescent="0.25">
      <c r="A15" s="62" t="s">
        <v>230</v>
      </c>
      <c r="B15" s="63"/>
      <c r="C15" s="63"/>
      <c r="D15" s="64"/>
      <c r="E15" s="66"/>
      <c r="F15" s="103" t="str">
        <f>HYPERLINK("https://pbs.twimg.com/profile_images/1626338726581248000/pyR-WlQX_normal.jpg")</f>
        <v>https://pbs.twimg.com/profile_images/1626338726581248000/pyR-WlQX_normal.jpg</v>
      </c>
      <c r="G15" s="63"/>
      <c r="H15" s="67"/>
      <c r="I15" s="68"/>
      <c r="J15" s="68"/>
      <c r="K15" s="67" t="s">
        <v>27609</v>
      </c>
      <c r="L15" s="71"/>
      <c r="M15" s="72"/>
      <c r="N15" s="72"/>
      <c r="O15" s="73"/>
      <c r="P15" s="74"/>
      <c r="Q15" s="74"/>
      <c r="R15" s="87"/>
      <c r="S15" s="87"/>
      <c r="T15" s="87"/>
      <c r="U15" s="87"/>
      <c r="V15" s="48"/>
      <c r="W15" s="48"/>
      <c r="X15" s="48"/>
      <c r="Y15" s="48"/>
      <c r="Z15" s="47"/>
      <c r="AA15" s="69">
        <v>15</v>
      </c>
      <c r="AB15" s="69"/>
      <c r="AC15" s="70"/>
      <c r="AD15" s="76" t="s">
        <v>21260</v>
      </c>
      <c r="AE15" s="81" t="s">
        <v>20493</v>
      </c>
      <c r="AF15" s="76">
        <v>692</v>
      </c>
      <c r="AG15" s="76">
        <v>1414</v>
      </c>
      <c r="AH15" s="76">
        <v>2857</v>
      </c>
      <c r="AI15" s="76">
        <v>3</v>
      </c>
      <c r="AJ15" s="76">
        <v>41819</v>
      </c>
      <c r="AK15" s="76">
        <v>225</v>
      </c>
      <c r="AL15" s="76" t="b">
        <v>0</v>
      </c>
      <c r="AM15" s="78">
        <v>43369.787662037037</v>
      </c>
      <c r="AN15" s="76" t="s">
        <v>14382</v>
      </c>
      <c r="AO15" s="76" t="s">
        <v>24720</v>
      </c>
      <c r="AP15" s="76"/>
      <c r="AQ15" s="76"/>
      <c r="AR15" s="76"/>
      <c r="AS15" s="76"/>
      <c r="AT15" s="76"/>
      <c r="AU15" s="76"/>
      <c r="AV15" s="76">
        <v>1.25853895890176E+18</v>
      </c>
      <c r="AW15" s="76"/>
      <c r="AX15" s="76" t="b">
        <v>0</v>
      </c>
      <c r="AY15" s="76"/>
      <c r="AZ15" s="76"/>
      <c r="BA15" s="76" t="b">
        <v>0</v>
      </c>
      <c r="BB15" s="76" t="b">
        <v>1</v>
      </c>
      <c r="BC15" s="76" t="b">
        <v>1</v>
      </c>
      <c r="BD15" s="76" t="b">
        <v>0</v>
      </c>
      <c r="BE15" s="76" t="b">
        <v>0</v>
      </c>
      <c r="BF15" s="76" t="b">
        <v>0</v>
      </c>
      <c r="BG15" s="76" t="b">
        <v>0</v>
      </c>
      <c r="BH15" s="82" t="str">
        <f>HYPERLINK("https://pbs.twimg.com/profile_banners/1045023758518546432/1646449125")</f>
        <v>https://pbs.twimg.com/profile_banners/1045023758518546432/1646449125</v>
      </c>
      <c r="BI15" s="76"/>
      <c r="BJ15" s="76" t="s">
        <v>27595</v>
      </c>
      <c r="BK15" s="76" t="b">
        <v>0</v>
      </c>
      <c r="BL15" s="76"/>
      <c r="BM15" s="76" t="s">
        <v>66</v>
      </c>
      <c r="BN15" s="76" t="s">
        <v>27597</v>
      </c>
      <c r="BO15" s="82" t="str">
        <f>HYPERLINK("https://twitter.com/luizschwade")</f>
        <v>https://twitter.com/luizschwade</v>
      </c>
      <c r="BP15" s="2"/>
    </row>
    <row r="16" spans="1:68" x14ac:dyDescent="0.25">
      <c r="A16" s="62" t="s">
        <v>231</v>
      </c>
      <c r="B16" s="63"/>
      <c r="C16" s="63"/>
      <c r="D16" s="64"/>
      <c r="E16" s="66"/>
      <c r="F16" s="103" t="str">
        <f>HYPERLINK("https://pbs.twimg.com/profile_images/1533704037178155009/OpGEDl9B_normal.jpg")</f>
        <v>https://pbs.twimg.com/profile_images/1533704037178155009/OpGEDl9B_normal.jpg</v>
      </c>
      <c r="G16" s="63"/>
      <c r="H16" s="67"/>
      <c r="I16" s="68"/>
      <c r="J16" s="68"/>
      <c r="K16" s="67" t="s">
        <v>27610</v>
      </c>
      <c r="L16" s="71"/>
      <c r="M16" s="72"/>
      <c r="N16" s="72"/>
      <c r="O16" s="73"/>
      <c r="P16" s="74"/>
      <c r="Q16" s="74"/>
      <c r="R16" s="87"/>
      <c r="S16" s="87"/>
      <c r="T16" s="87"/>
      <c r="U16" s="87"/>
      <c r="V16" s="48"/>
      <c r="W16" s="48"/>
      <c r="X16" s="48"/>
      <c r="Y16" s="48"/>
      <c r="Z16" s="47"/>
      <c r="AA16" s="69">
        <v>16</v>
      </c>
      <c r="AB16" s="69"/>
      <c r="AC16" s="70"/>
      <c r="AD16" s="76" t="s">
        <v>21261</v>
      </c>
      <c r="AE16" s="81" t="s">
        <v>20494</v>
      </c>
      <c r="AF16" s="76">
        <v>123</v>
      </c>
      <c r="AG16" s="76">
        <v>486</v>
      </c>
      <c r="AH16" s="76">
        <v>485</v>
      </c>
      <c r="AI16" s="76">
        <v>0</v>
      </c>
      <c r="AJ16" s="76">
        <v>465</v>
      </c>
      <c r="AK16" s="76">
        <v>96</v>
      </c>
      <c r="AL16" s="76" t="b">
        <v>0</v>
      </c>
      <c r="AM16" s="78">
        <v>44718.133715277778</v>
      </c>
      <c r="AN16" s="76" t="s">
        <v>24063</v>
      </c>
      <c r="AO16" s="76" t="s">
        <v>24721</v>
      </c>
      <c r="AP16" s="82" t="str">
        <f>HYPERLINK("https://t.co/sqP5L7JFyd")</f>
        <v>https://t.co/sqP5L7JFyd</v>
      </c>
      <c r="AQ16" s="82" t="str">
        <f>HYPERLINK("http://www.laseguridadsocial.do")</f>
        <v>http://www.laseguridadsocial.do</v>
      </c>
      <c r="AR16" s="76" t="s">
        <v>8613</v>
      </c>
      <c r="AS16" s="82" t="str">
        <f>HYPERLINK("https://t.co/A4cRaLRedR")</f>
        <v>https://t.co/A4cRaLRedR</v>
      </c>
      <c r="AT16" s="82" t="str">
        <f>HYPERLINK("http://LaSeguridadSocial.Do")</f>
        <v>http://LaSeguridadSocial.Do</v>
      </c>
      <c r="AU16" s="76" t="s">
        <v>21261</v>
      </c>
      <c r="AV16" s="76"/>
      <c r="AW16" s="82" t="str">
        <f>HYPERLINK("https://t.co/sqP5L7JFyd")</f>
        <v>https://t.co/sqP5L7JFyd</v>
      </c>
      <c r="AX16" s="76" t="b">
        <v>0</v>
      </c>
      <c r="AY16" s="76"/>
      <c r="AZ16" s="76"/>
      <c r="BA16" s="76" t="b">
        <v>0</v>
      </c>
      <c r="BB16" s="76" t="b">
        <v>1</v>
      </c>
      <c r="BC16" s="76" t="b">
        <v>1</v>
      </c>
      <c r="BD16" s="76" t="b">
        <v>0</v>
      </c>
      <c r="BE16" s="76" t="b">
        <v>0</v>
      </c>
      <c r="BF16" s="76" t="b">
        <v>0</v>
      </c>
      <c r="BG16" s="76" t="b">
        <v>0</v>
      </c>
      <c r="BH16" s="82" t="str">
        <f>HYPERLINK("https://pbs.twimg.com/profile_banners/1533647969744044033/1654498512")</f>
        <v>https://pbs.twimg.com/profile_banners/1533647969744044033/1654498512</v>
      </c>
      <c r="BI16" s="76"/>
      <c r="BJ16" s="76" t="s">
        <v>27595</v>
      </c>
      <c r="BK16" s="76" t="b">
        <v>0</v>
      </c>
      <c r="BL16" s="76"/>
      <c r="BM16" s="76" t="s">
        <v>66</v>
      </c>
      <c r="BN16" s="76" t="s">
        <v>27597</v>
      </c>
      <c r="BO16" s="82" t="str">
        <f>HYPERLINK("https://twitter.com/laseguridadsoc1")</f>
        <v>https://twitter.com/laseguridadsoc1</v>
      </c>
      <c r="BP16" s="2"/>
    </row>
    <row r="17" spans="1:68" x14ac:dyDescent="0.25">
      <c r="A17" s="62" t="s">
        <v>1697</v>
      </c>
      <c r="B17" s="63"/>
      <c r="C17" s="63"/>
      <c r="D17" s="64"/>
      <c r="E17" s="66"/>
      <c r="F17" s="103" t="str">
        <f>HYPERLINK("https://pbs.twimg.com/profile_images/1587806184236621824/kV2ll04F_normal.jpg")</f>
        <v>https://pbs.twimg.com/profile_images/1587806184236621824/kV2ll04F_normal.jpg</v>
      </c>
      <c r="G17" s="63"/>
      <c r="H17" s="67"/>
      <c r="I17" s="68"/>
      <c r="J17" s="68"/>
      <c r="K17" s="67" t="s">
        <v>27611</v>
      </c>
      <c r="L17" s="71"/>
      <c r="M17" s="72"/>
      <c r="N17" s="72"/>
      <c r="O17" s="73"/>
      <c r="P17" s="74"/>
      <c r="Q17" s="74"/>
      <c r="R17" s="87"/>
      <c r="S17" s="87"/>
      <c r="T17" s="87"/>
      <c r="U17" s="87"/>
      <c r="V17" s="48"/>
      <c r="W17" s="48"/>
      <c r="X17" s="48"/>
      <c r="Y17" s="48"/>
      <c r="Z17" s="47"/>
      <c r="AA17" s="69">
        <v>17</v>
      </c>
      <c r="AB17" s="69"/>
      <c r="AC17" s="70"/>
      <c r="AD17" s="76" t="s">
        <v>21262</v>
      </c>
      <c r="AE17" s="81" t="s">
        <v>23072</v>
      </c>
      <c r="AF17" s="76">
        <v>15864</v>
      </c>
      <c r="AG17" s="76">
        <v>238</v>
      </c>
      <c r="AH17" s="76">
        <v>3455</v>
      </c>
      <c r="AI17" s="76">
        <v>55</v>
      </c>
      <c r="AJ17" s="76">
        <v>689</v>
      </c>
      <c r="AK17" s="76">
        <v>2458</v>
      </c>
      <c r="AL17" s="76" t="b">
        <v>0</v>
      </c>
      <c r="AM17" s="78">
        <v>41354.633912037039</v>
      </c>
      <c r="AN17" s="76" t="s">
        <v>24064</v>
      </c>
      <c r="AO17" s="76" t="s">
        <v>24722</v>
      </c>
      <c r="AP17" s="82" t="str">
        <f>HYPERLINK("https://t.co/JqbyinIujW")</f>
        <v>https://t.co/JqbyinIujW</v>
      </c>
      <c r="AQ17" s="82" t="str">
        <f>HYPERLINK("http://www.digepres.gob.do")</f>
        <v>http://www.digepres.gob.do</v>
      </c>
      <c r="AR17" s="76" t="s">
        <v>26370</v>
      </c>
      <c r="AS17" s="76"/>
      <c r="AT17" s="76"/>
      <c r="AU17" s="76"/>
      <c r="AV17" s="76">
        <v>1.7075256205974899E+18</v>
      </c>
      <c r="AW17" s="82" t="str">
        <f>HYPERLINK("https://t.co/JqbyinIujW")</f>
        <v>https://t.co/JqbyinIujW</v>
      </c>
      <c r="AX17" s="76" t="b">
        <v>0</v>
      </c>
      <c r="AY17" s="76"/>
      <c r="AZ17" s="76"/>
      <c r="BA17" s="76" t="b">
        <v>1</v>
      </c>
      <c r="BB17" s="76" t="b">
        <v>1</v>
      </c>
      <c r="BC17" s="76" t="b">
        <v>0</v>
      </c>
      <c r="BD17" s="76" t="b">
        <v>0</v>
      </c>
      <c r="BE17" s="76" t="b">
        <v>0</v>
      </c>
      <c r="BF17" s="76" t="b">
        <v>0</v>
      </c>
      <c r="BG17" s="76" t="b">
        <v>0</v>
      </c>
      <c r="BH17" s="82" t="str">
        <f>HYPERLINK("https://pbs.twimg.com/profile_banners/1286227405/1598381394")</f>
        <v>https://pbs.twimg.com/profile_banners/1286227405/1598381394</v>
      </c>
      <c r="BI17" s="76"/>
      <c r="BJ17" s="76" t="s">
        <v>27595</v>
      </c>
      <c r="BK17" s="76" t="b">
        <v>0</v>
      </c>
      <c r="BL17" s="76"/>
      <c r="BM17" s="76" t="s">
        <v>65</v>
      </c>
      <c r="BN17" s="76" t="s">
        <v>27597</v>
      </c>
      <c r="BO17" s="82" t="str">
        <f>HYPERLINK("https://twitter.com/digepresrd")</f>
        <v>https://twitter.com/digepresrd</v>
      </c>
      <c r="BP17" s="2"/>
    </row>
    <row r="18" spans="1:68" x14ac:dyDescent="0.25">
      <c r="A18" s="62" t="s">
        <v>1698</v>
      </c>
      <c r="B18" s="63"/>
      <c r="C18" s="63"/>
      <c r="D18" s="64"/>
      <c r="E18" s="66"/>
      <c r="F18" s="103" t="str">
        <f>HYPERLINK("https://pbs.twimg.com/profile_images/1296257061777485826/tVF8IuPQ_normal.jpg")</f>
        <v>https://pbs.twimg.com/profile_images/1296257061777485826/tVF8IuPQ_normal.jpg</v>
      </c>
      <c r="G18" s="63"/>
      <c r="H18" s="67"/>
      <c r="I18" s="68"/>
      <c r="J18" s="68"/>
      <c r="K18" s="67" t="s">
        <v>27612</v>
      </c>
      <c r="L18" s="71"/>
      <c r="M18" s="72"/>
      <c r="N18" s="72"/>
      <c r="O18" s="73"/>
      <c r="P18" s="74"/>
      <c r="Q18" s="74"/>
      <c r="R18" s="87"/>
      <c r="S18" s="87"/>
      <c r="T18" s="87"/>
      <c r="U18" s="87"/>
      <c r="V18" s="48"/>
      <c r="W18" s="48"/>
      <c r="X18" s="48"/>
      <c r="Y18" s="48"/>
      <c r="Z18" s="47"/>
      <c r="AA18" s="69">
        <v>18</v>
      </c>
      <c r="AB18" s="69"/>
      <c r="AC18" s="70"/>
      <c r="AD18" s="76" t="s">
        <v>21263</v>
      </c>
      <c r="AE18" s="81" t="s">
        <v>23073</v>
      </c>
      <c r="AF18" s="76">
        <v>1002307</v>
      </c>
      <c r="AG18" s="76">
        <v>5259</v>
      </c>
      <c r="AH18" s="76">
        <v>13094</v>
      </c>
      <c r="AI18" s="76">
        <v>760</v>
      </c>
      <c r="AJ18" s="76">
        <v>8588</v>
      </c>
      <c r="AK18" s="76">
        <v>3871</v>
      </c>
      <c r="AL18" s="76" t="b">
        <v>0</v>
      </c>
      <c r="AM18" s="78">
        <v>39997.570972222224</v>
      </c>
      <c r="AN18" s="76" t="s">
        <v>24065</v>
      </c>
      <c r="AO18" s="76" t="s">
        <v>24723</v>
      </c>
      <c r="AP18" s="82" t="str">
        <f>HYPERLINK("https://t.co/y6H3CNCvA1")</f>
        <v>https://t.co/y6H3CNCvA1</v>
      </c>
      <c r="AQ18" s="82" t="str">
        <f>HYPERLINK("http://www.luisabinader.com")</f>
        <v>http://www.luisabinader.com</v>
      </c>
      <c r="AR18" s="76" t="s">
        <v>26371</v>
      </c>
      <c r="AS18" s="76"/>
      <c r="AT18" s="76"/>
      <c r="AU18" s="76"/>
      <c r="AV18" s="76"/>
      <c r="AW18" s="82" t="str">
        <f>HYPERLINK("https://t.co/y6H3CNCvA1")</f>
        <v>https://t.co/y6H3CNCvA1</v>
      </c>
      <c r="AX18" s="76" t="b">
        <v>1</v>
      </c>
      <c r="AY18" s="76"/>
      <c r="AZ18" s="76"/>
      <c r="BA18" s="76" t="b">
        <v>0</v>
      </c>
      <c r="BB18" s="76" t="b">
        <v>1</v>
      </c>
      <c r="BC18" s="76" t="b">
        <v>0</v>
      </c>
      <c r="BD18" s="76" t="b">
        <v>0</v>
      </c>
      <c r="BE18" s="76" t="b">
        <v>0</v>
      </c>
      <c r="BF18" s="76" t="b">
        <v>0</v>
      </c>
      <c r="BG18" s="76" t="b">
        <v>0</v>
      </c>
      <c r="BH18" s="82" t="str">
        <f>HYPERLINK("https://pbs.twimg.com/profile_banners/53387327/1693314622")</f>
        <v>https://pbs.twimg.com/profile_banners/53387327/1693314622</v>
      </c>
      <c r="BI18" s="76"/>
      <c r="BJ18" s="76" t="s">
        <v>27595</v>
      </c>
      <c r="BK18" s="76" t="b">
        <v>0</v>
      </c>
      <c r="BL18" s="76"/>
      <c r="BM18" s="76" t="s">
        <v>65</v>
      </c>
      <c r="BN18" s="76" t="s">
        <v>27597</v>
      </c>
      <c r="BO18" s="82" t="str">
        <f>HYPERLINK("https://twitter.com/luisabinader")</f>
        <v>https://twitter.com/luisabinader</v>
      </c>
      <c r="BP18" s="2"/>
    </row>
    <row r="19" spans="1:68" x14ac:dyDescent="0.25">
      <c r="A19" s="62" t="s">
        <v>232</v>
      </c>
      <c r="B19" s="63"/>
      <c r="C19" s="63"/>
      <c r="D19" s="64"/>
      <c r="E19" s="66"/>
      <c r="F19" s="103" t="str">
        <f>HYPERLINK("https://pbs.twimg.com/profile_images/1703634345896865792/dWolc-4C_normal.jpg")</f>
        <v>https://pbs.twimg.com/profile_images/1703634345896865792/dWolc-4C_normal.jpg</v>
      </c>
      <c r="G19" s="63"/>
      <c r="H19" s="67"/>
      <c r="I19" s="68"/>
      <c r="J19" s="68"/>
      <c r="K19" s="67" t="s">
        <v>27613</v>
      </c>
      <c r="L19" s="71"/>
      <c r="M19" s="72"/>
      <c r="N19" s="72"/>
      <c r="O19" s="73"/>
      <c r="P19" s="74"/>
      <c r="Q19" s="74"/>
      <c r="R19" s="87"/>
      <c r="S19" s="87"/>
      <c r="T19" s="87"/>
      <c r="U19" s="87"/>
      <c r="V19" s="48"/>
      <c r="W19" s="48"/>
      <c r="X19" s="48"/>
      <c r="Y19" s="48"/>
      <c r="Z19" s="47"/>
      <c r="AA19" s="69">
        <v>19</v>
      </c>
      <c r="AB19" s="69"/>
      <c r="AC19" s="70"/>
      <c r="AD19" s="76" t="s">
        <v>21264</v>
      </c>
      <c r="AE19" s="81" t="s">
        <v>20495</v>
      </c>
      <c r="AF19" s="76">
        <v>1061</v>
      </c>
      <c r="AG19" s="76">
        <v>647</v>
      </c>
      <c r="AH19" s="76">
        <v>24091</v>
      </c>
      <c r="AI19" s="76">
        <v>1</v>
      </c>
      <c r="AJ19" s="76">
        <v>46816</v>
      </c>
      <c r="AK19" s="76">
        <v>145</v>
      </c>
      <c r="AL19" s="76" t="b">
        <v>0</v>
      </c>
      <c r="AM19" s="78">
        <v>43363.5700462963</v>
      </c>
      <c r="AN19" s="76" t="s">
        <v>24066</v>
      </c>
      <c r="AO19" s="76" t="s">
        <v>24724</v>
      </c>
      <c r="AP19" s="76"/>
      <c r="AQ19" s="76"/>
      <c r="AR19" s="76"/>
      <c r="AS19" s="76"/>
      <c r="AT19" s="76"/>
      <c r="AU19" s="76"/>
      <c r="AV19" s="76">
        <v>1.67268774322526E+18</v>
      </c>
      <c r="AW19" s="76"/>
      <c r="AX19" s="76" t="b">
        <v>0</v>
      </c>
      <c r="AY19" s="76"/>
      <c r="AZ19" s="76"/>
      <c r="BA19" s="76" t="b">
        <v>1</v>
      </c>
      <c r="BB19" s="76" t="b">
        <v>0</v>
      </c>
      <c r="BC19" s="76" t="b">
        <v>1</v>
      </c>
      <c r="BD19" s="76" t="b">
        <v>0</v>
      </c>
      <c r="BE19" s="76" t="b">
        <v>1</v>
      </c>
      <c r="BF19" s="76" t="b">
        <v>0</v>
      </c>
      <c r="BG19" s="76" t="b">
        <v>0</v>
      </c>
      <c r="BH19" s="82" t="str">
        <f>HYPERLINK("https://pbs.twimg.com/profile_banners/1042770569563922436/1682970418")</f>
        <v>https://pbs.twimg.com/profile_banners/1042770569563922436/1682970418</v>
      </c>
      <c r="BI19" s="76"/>
      <c r="BJ19" s="76" t="s">
        <v>27595</v>
      </c>
      <c r="BK19" s="76" t="b">
        <v>0</v>
      </c>
      <c r="BL19" s="76"/>
      <c r="BM19" s="76" t="s">
        <v>66</v>
      </c>
      <c r="BN19" s="76" t="s">
        <v>27597</v>
      </c>
      <c r="BO19" s="82" t="str">
        <f>HYPERLINK("https://twitter.com/o_igna_")</f>
        <v>https://twitter.com/o_igna_</v>
      </c>
      <c r="BP19" s="2"/>
    </row>
    <row r="20" spans="1:68" x14ac:dyDescent="0.25">
      <c r="A20" s="62" t="s">
        <v>1615</v>
      </c>
      <c r="B20" s="63"/>
      <c r="C20" s="63"/>
      <c r="D20" s="64"/>
      <c r="E20" s="66"/>
      <c r="F20" s="103" t="str">
        <f>HYPERLINK("https://pbs.twimg.com/profile_images/910770875657580545/xdON1nxu_normal.jpg")</f>
        <v>https://pbs.twimg.com/profile_images/910770875657580545/xdON1nxu_normal.jpg</v>
      </c>
      <c r="G20" s="63"/>
      <c r="H20" s="67"/>
      <c r="I20" s="68"/>
      <c r="J20" s="68"/>
      <c r="K20" s="67" t="s">
        <v>27614</v>
      </c>
      <c r="L20" s="71"/>
      <c r="M20" s="72"/>
      <c r="N20" s="72"/>
      <c r="O20" s="73"/>
      <c r="P20" s="74"/>
      <c r="Q20" s="74"/>
      <c r="R20" s="87"/>
      <c r="S20" s="87"/>
      <c r="T20" s="87"/>
      <c r="U20" s="87"/>
      <c r="V20" s="48"/>
      <c r="W20" s="48"/>
      <c r="X20" s="48"/>
      <c r="Y20" s="48"/>
      <c r="Z20" s="47"/>
      <c r="AA20" s="69">
        <v>20</v>
      </c>
      <c r="AB20" s="69"/>
      <c r="AC20" s="70"/>
      <c r="AD20" s="76" t="s">
        <v>21265</v>
      </c>
      <c r="AE20" s="81" t="s">
        <v>21167</v>
      </c>
      <c r="AF20" s="76">
        <v>4919</v>
      </c>
      <c r="AG20" s="76">
        <v>27</v>
      </c>
      <c r="AH20" s="76">
        <v>390</v>
      </c>
      <c r="AI20" s="76">
        <v>29</v>
      </c>
      <c r="AJ20" s="76">
        <v>15</v>
      </c>
      <c r="AK20" s="76">
        <v>317</v>
      </c>
      <c r="AL20" s="76" t="b">
        <v>0</v>
      </c>
      <c r="AM20" s="78">
        <v>42867.71665509259</v>
      </c>
      <c r="AN20" s="76" t="s">
        <v>14384</v>
      </c>
      <c r="AO20" s="76" t="s">
        <v>24725</v>
      </c>
      <c r="AP20" s="82" t="str">
        <f>HYPERLINK("https://t.co/IvXe7DYbS9")</f>
        <v>https://t.co/IvXe7DYbS9</v>
      </c>
      <c r="AQ20" s="82" t="str">
        <f>HYPERLINK("http://www.bancomoc.mz")</f>
        <v>http://www.bancomoc.mz</v>
      </c>
      <c r="AR20" s="76" t="s">
        <v>8882</v>
      </c>
      <c r="AS20" s="76"/>
      <c r="AT20" s="76"/>
      <c r="AU20" s="76"/>
      <c r="AV20" s="76"/>
      <c r="AW20" s="82" t="str">
        <f>HYPERLINK("https://t.co/IvXe7DYbS9")</f>
        <v>https://t.co/IvXe7DYbS9</v>
      </c>
      <c r="AX20" s="76" t="b">
        <v>0</v>
      </c>
      <c r="AY20" s="76"/>
      <c r="AZ20" s="76"/>
      <c r="BA20" s="76" t="b">
        <v>0</v>
      </c>
      <c r="BB20" s="76" t="b">
        <v>1</v>
      </c>
      <c r="BC20" s="76" t="b">
        <v>1</v>
      </c>
      <c r="BD20" s="76" t="b">
        <v>0</v>
      </c>
      <c r="BE20" s="76" t="b">
        <v>0</v>
      </c>
      <c r="BF20" s="76" t="b">
        <v>0</v>
      </c>
      <c r="BG20" s="76" t="b">
        <v>0</v>
      </c>
      <c r="BH20" s="82" t="str">
        <f>HYPERLINK("https://pbs.twimg.com/profile_banners/863079319039553538/1667808621")</f>
        <v>https://pbs.twimg.com/profile_banners/863079319039553538/1667808621</v>
      </c>
      <c r="BI20" s="76"/>
      <c r="BJ20" s="76" t="s">
        <v>27595</v>
      </c>
      <c r="BK20" s="76" t="b">
        <v>0</v>
      </c>
      <c r="BL20" s="76"/>
      <c r="BM20" s="76" t="s">
        <v>66</v>
      </c>
      <c r="BN20" s="76" t="s">
        <v>27597</v>
      </c>
      <c r="BO20" s="82" t="str">
        <f>HYPERLINK("https://twitter.com/bancomoc")</f>
        <v>https://twitter.com/bancomoc</v>
      </c>
      <c r="BP20" s="2"/>
    </row>
    <row r="21" spans="1:68" x14ac:dyDescent="0.25">
      <c r="A21" s="62" t="s">
        <v>233</v>
      </c>
      <c r="B21" s="63"/>
      <c r="C21" s="63"/>
      <c r="D21" s="64"/>
      <c r="E21" s="66"/>
      <c r="F21" s="103" t="str">
        <f>HYPERLINK("https://pbs.twimg.com/profile_images/1501740640371200000/QjO0v_eH_normal.png")</f>
        <v>https://pbs.twimg.com/profile_images/1501740640371200000/QjO0v_eH_normal.png</v>
      </c>
      <c r="G21" s="63"/>
      <c r="H21" s="67"/>
      <c r="I21" s="68"/>
      <c r="J21" s="68"/>
      <c r="K21" s="67" t="s">
        <v>27615</v>
      </c>
      <c r="L21" s="71"/>
      <c r="M21" s="72"/>
      <c r="N21" s="72"/>
      <c r="O21" s="73"/>
      <c r="P21" s="74"/>
      <c r="Q21" s="74"/>
      <c r="R21" s="87"/>
      <c r="S21" s="87"/>
      <c r="T21" s="87"/>
      <c r="U21" s="87"/>
      <c r="V21" s="48"/>
      <c r="W21" s="48"/>
      <c r="X21" s="48"/>
      <c r="Y21" s="48"/>
      <c r="Z21" s="47"/>
      <c r="AA21" s="69">
        <v>21</v>
      </c>
      <c r="AB21" s="69"/>
      <c r="AC21" s="70"/>
      <c r="AD21" s="76" t="s">
        <v>21266</v>
      </c>
      <c r="AE21" s="81" t="s">
        <v>20496</v>
      </c>
      <c r="AF21" s="76">
        <v>4072</v>
      </c>
      <c r="AG21" s="76">
        <v>4999</v>
      </c>
      <c r="AH21" s="76">
        <v>15287</v>
      </c>
      <c r="AI21" s="76">
        <v>8</v>
      </c>
      <c r="AJ21" s="76">
        <v>14323</v>
      </c>
      <c r="AK21" s="76">
        <v>3379</v>
      </c>
      <c r="AL21" s="76" t="b">
        <v>0</v>
      </c>
      <c r="AM21" s="78">
        <v>43467.090682870374</v>
      </c>
      <c r="AN21" s="76"/>
      <c r="AO21" s="76" t="s">
        <v>24726</v>
      </c>
      <c r="AP21" s="82" t="str">
        <f>HYPERLINK("https://t.co/jQrnDMm9m1")</f>
        <v>https://t.co/jQrnDMm9m1</v>
      </c>
      <c r="AQ21" s="82" t="str">
        <f>HYPERLINK("http://apoia.se/brasil_popular")</f>
        <v>http://apoia.se/brasil_popular</v>
      </c>
      <c r="AR21" s="76" t="s">
        <v>26372</v>
      </c>
      <c r="AS21" s="82" t="str">
        <f>HYPERLINK("https://t.co/fUM5SbeLup")</f>
        <v>https://t.co/fUM5SbeLup</v>
      </c>
      <c r="AT21" s="82" t="str">
        <f>HYPERLINK("http://linktr.ee/brasil.popular")</f>
        <v>http://linktr.ee/brasil.popular</v>
      </c>
      <c r="AU21" s="76" t="s">
        <v>27446</v>
      </c>
      <c r="AV21" s="76">
        <v>1.7043027779653701E+18</v>
      </c>
      <c r="AW21" s="82" t="str">
        <f>HYPERLINK("https://t.co/jQrnDMm9m1")</f>
        <v>https://t.co/jQrnDMm9m1</v>
      </c>
      <c r="AX21" s="76" t="b">
        <v>0</v>
      </c>
      <c r="AY21" s="76"/>
      <c r="AZ21" s="76"/>
      <c r="BA21" s="76" t="b">
        <v>0</v>
      </c>
      <c r="BB21" s="76" t="b">
        <v>1</v>
      </c>
      <c r="BC21" s="76" t="b">
        <v>1</v>
      </c>
      <c r="BD21" s="76" t="b">
        <v>0</v>
      </c>
      <c r="BE21" s="76" t="b">
        <v>1</v>
      </c>
      <c r="BF21" s="76" t="b">
        <v>0</v>
      </c>
      <c r="BG21" s="76" t="b">
        <v>0</v>
      </c>
      <c r="BH21" s="82" t="str">
        <f>HYPERLINK("https://pbs.twimg.com/profile_banners/1080285191392903169/1694206385")</f>
        <v>https://pbs.twimg.com/profile_banners/1080285191392903169/1694206385</v>
      </c>
      <c r="BI21" s="76"/>
      <c r="BJ21" s="76" t="s">
        <v>27595</v>
      </c>
      <c r="BK21" s="76" t="b">
        <v>0</v>
      </c>
      <c r="BL21" s="76"/>
      <c r="BM21" s="76" t="s">
        <v>66</v>
      </c>
      <c r="BN21" s="76" t="s">
        <v>27597</v>
      </c>
      <c r="BO21" s="82" t="str">
        <f>HYPERLINK("https://twitter.com/_brasilpopular")</f>
        <v>https://twitter.com/_brasilpopular</v>
      </c>
      <c r="BP21" s="2"/>
    </row>
    <row r="22" spans="1:68" x14ac:dyDescent="0.25">
      <c r="A22" s="62" t="s">
        <v>234</v>
      </c>
      <c r="B22" s="63"/>
      <c r="C22" s="63"/>
      <c r="D22" s="64"/>
      <c r="E22" s="66"/>
      <c r="F22" s="103" t="str">
        <f>HYPERLINK("https://pbs.twimg.com/profile_images/1383630144804294657/CsgQS0qX_normal.jpg")</f>
        <v>https://pbs.twimg.com/profile_images/1383630144804294657/CsgQS0qX_normal.jpg</v>
      </c>
      <c r="G22" s="63"/>
      <c r="H22" s="67"/>
      <c r="I22" s="68"/>
      <c r="J22" s="68"/>
      <c r="K22" s="67" t="s">
        <v>27616</v>
      </c>
      <c r="L22" s="71"/>
      <c r="M22" s="72"/>
      <c r="N22" s="72"/>
      <c r="O22" s="73"/>
      <c r="P22" s="74"/>
      <c r="Q22" s="74"/>
      <c r="R22" s="87"/>
      <c r="S22" s="87"/>
      <c r="T22" s="87"/>
      <c r="U22" s="87"/>
      <c r="V22" s="48"/>
      <c r="W22" s="48"/>
      <c r="X22" s="48"/>
      <c r="Y22" s="48"/>
      <c r="Z22" s="47"/>
      <c r="AA22" s="69">
        <v>22</v>
      </c>
      <c r="AB22" s="69"/>
      <c r="AC22" s="70"/>
      <c r="AD22" s="76" t="s">
        <v>21267</v>
      </c>
      <c r="AE22" s="81" t="s">
        <v>20497</v>
      </c>
      <c r="AF22" s="76">
        <v>428</v>
      </c>
      <c r="AG22" s="76">
        <v>580</v>
      </c>
      <c r="AH22" s="76">
        <v>3138</v>
      </c>
      <c r="AI22" s="76">
        <v>0</v>
      </c>
      <c r="AJ22" s="76">
        <v>1128</v>
      </c>
      <c r="AK22" s="76">
        <v>997</v>
      </c>
      <c r="AL22" s="76" t="b">
        <v>0</v>
      </c>
      <c r="AM22" s="78">
        <v>43508.613587962966</v>
      </c>
      <c r="AN22" s="76" t="s">
        <v>24067</v>
      </c>
      <c r="AO22" s="76" t="s">
        <v>24727</v>
      </c>
      <c r="AP22" s="82" t="str">
        <f>HYPERLINK("https://t.co/MYWfMqEv4x")</f>
        <v>https://t.co/MYWfMqEv4x</v>
      </c>
      <c r="AQ22" s="82" t="str">
        <f>HYPERLINK("http://www.coweb.cl")</f>
        <v>http://www.coweb.cl</v>
      </c>
      <c r="AR22" s="76" t="s">
        <v>8614</v>
      </c>
      <c r="AS22" s="76"/>
      <c r="AT22" s="76"/>
      <c r="AU22" s="76"/>
      <c r="AV22" s="76"/>
      <c r="AW22" s="82" t="str">
        <f>HYPERLINK("https://t.co/MYWfMqEv4x")</f>
        <v>https://t.co/MYWfMqEv4x</v>
      </c>
      <c r="AX22" s="76" t="b">
        <v>0</v>
      </c>
      <c r="AY22" s="76"/>
      <c r="AZ22" s="76"/>
      <c r="BA22" s="76" t="b">
        <v>0</v>
      </c>
      <c r="BB22" s="76" t="b">
        <v>1</v>
      </c>
      <c r="BC22" s="76" t="b">
        <v>0</v>
      </c>
      <c r="BD22" s="76" t="b">
        <v>0</v>
      </c>
      <c r="BE22" s="76" t="b">
        <v>0</v>
      </c>
      <c r="BF22" s="76" t="b">
        <v>0</v>
      </c>
      <c r="BG22" s="76" t="b">
        <v>0</v>
      </c>
      <c r="BH22" s="82" t="str">
        <f>HYPERLINK("https://pbs.twimg.com/profile_banners/1095332589483651076/1619202339")</f>
        <v>https://pbs.twimg.com/profile_banners/1095332589483651076/1619202339</v>
      </c>
      <c r="BI22" s="76"/>
      <c r="BJ22" s="76" t="s">
        <v>27595</v>
      </c>
      <c r="BK22" s="76" t="b">
        <v>0</v>
      </c>
      <c r="BL22" s="76"/>
      <c r="BM22" s="76" t="s">
        <v>66</v>
      </c>
      <c r="BN22" s="76" t="s">
        <v>27597</v>
      </c>
      <c r="BO22" s="82" t="str">
        <f>HYPERLINK("https://twitter.com/cowebcl")</f>
        <v>https://twitter.com/cowebcl</v>
      </c>
      <c r="BP22" s="2"/>
    </row>
    <row r="23" spans="1:68" x14ac:dyDescent="0.25">
      <c r="A23" s="62" t="s">
        <v>235</v>
      </c>
      <c r="B23" s="63"/>
      <c r="C23" s="63"/>
      <c r="D23" s="64"/>
      <c r="E23" s="66"/>
      <c r="F23" s="103" t="str">
        <f>HYPERLINK("https://pbs.twimg.com/profile_images/1688529520037392384/FGIwr5qz_normal.jpg")</f>
        <v>https://pbs.twimg.com/profile_images/1688529520037392384/FGIwr5qz_normal.jpg</v>
      </c>
      <c r="G23" s="63"/>
      <c r="H23" s="67"/>
      <c r="I23" s="68"/>
      <c r="J23" s="68"/>
      <c r="K23" s="67" t="s">
        <v>27617</v>
      </c>
      <c r="L23" s="71"/>
      <c r="M23" s="72"/>
      <c r="N23" s="72"/>
      <c r="O23" s="73"/>
      <c r="P23" s="74"/>
      <c r="Q23" s="74"/>
      <c r="R23" s="87"/>
      <c r="S23" s="87"/>
      <c r="T23" s="87"/>
      <c r="U23" s="87"/>
      <c r="V23" s="48"/>
      <c r="W23" s="48"/>
      <c r="X23" s="48"/>
      <c r="Y23" s="48"/>
      <c r="Z23" s="47"/>
      <c r="AA23" s="69">
        <v>23</v>
      </c>
      <c r="AB23" s="69"/>
      <c r="AC23" s="70"/>
      <c r="AD23" s="76" t="s">
        <v>21268</v>
      </c>
      <c r="AE23" s="81" t="s">
        <v>23074</v>
      </c>
      <c r="AF23" s="76">
        <v>2512</v>
      </c>
      <c r="AG23" s="76">
        <v>1463</v>
      </c>
      <c r="AH23" s="76">
        <v>7544</v>
      </c>
      <c r="AI23" s="76">
        <v>11</v>
      </c>
      <c r="AJ23" s="76">
        <v>1578</v>
      </c>
      <c r="AK23" s="76">
        <v>3370</v>
      </c>
      <c r="AL23" s="76" t="b">
        <v>0</v>
      </c>
      <c r="AM23" s="78">
        <v>40493.028043981481</v>
      </c>
      <c r="AN23" s="76" t="s">
        <v>24068</v>
      </c>
      <c r="AO23" s="76" t="s">
        <v>24728</v>
      </c>
      <c r="AP23" s="82" t="str">
        <f>HYPERLINK("https://t.co/Rj3NYK2ZJC")</f>
        <v>https://t.co/Rj3NYK2ZJC</v>
      </c>
      <c r="AQ23" s="82" t="str">
        <f>HYPERLINK("http://www.razonyrevolucion.org")</f>
        <v>http://www.razonyrevolucion.org</v>
      </c>
      <c r="AR23" s="76" t="s">
        <v>26373</v>
      </c>
      <c r="AS23" s="76"/>
      <c r="AT23" s="76"/>
      <c r="AU23" s="76"/>
      <c r="AV23" s="76">
        <v>1.5255933336530299E+18</v>
      </c>
      <c r="AW23" s="82" t="str">
        <f>HYPERLINK("https://t.co/Rj3NYK2ZJC")</f>
        <v>https://t.co/Rj3NYK2ZJC</v>
      </c>
      <c r="AX23" s="76" t="b">
        <v>0</v>
      </c>
      <c r="AY23" s="76"/>
      <c r="AZ23" s="76"/>
      <c r="BA23" s="76" t="b">
        <v>0</v>
      </c>
      <c r="BB23" s="76" t="b">
        <v>1</v>
      </c>
      <c r="BC23" s="76" t="b">
        <v>0</v>
      </c>
      <c r="BD23" s="76" t="b">
        <v>0</v>
      </c>
      <c r="BE23" s="76" t="b">
        <v>1</v>
      </c>
      <c r="BF23" s="76" t="b">
        <v>0</v>
      </c>
      <c r="BG23" s="76" t="b">
        <v>0</v>
      </c>
      <c r="BH23" s="82" t="str">
        <f>HYPERLINK("https://pbs.twimg.com/profile_banners/214275191/1525745798")</f>
        <v>https://pbs.twimg.com/profile_banners/214275191/1525745798</v>
      </c>
      <c r="BI23" s="76"/>
      <c r="BJ23" s="76" t="s">
        <v>27595</v>
      </c>
      <c r="BK23" s="76" t="b">
        <v>0</v>
      </c>
      <c r="BL23" s="76"/>
      <c r="BM23" s="76" t="s">
        <v>66</v>
      </c>
      <c r="BN23" s="76" t="s">
        <v>27597</v>
      </c>
      <c r="BO23" s="82" t="str">
        <f>HYPERLINK("https://twitter.com/ryr_vs")</f>
        <v>https://twitter.com/ryr_vs</v>
      </c>
      <c r="BP23" s="2"/>
    </row>
    <row r="24" spans="1:68" x14ac:dyDescent="0.25">
      <c r="A24" s="62" t="s">
        <v>1699</v>
      </c>
      <c r="B24" s="63"/>
      <c r="C24" s="63"/>
      <c r="D24" s="64"/>
      <c r="E24" s="66"/>
      <c r="F24" s="103" t="str">
        <f>HYPERLINK("https://pbs.twimg.com/profile_images/1535235239383117824/RdI1josx_normal.jpg")</f>
        <v>https://pbs.twimg.com/profile_images/1535235239383117824/RdI1josx_normal.jpg</v>
      </c>
      <c r="G24" s="63"/>
      <c r="H24" s="67"/>
      <c r="I24" s="68"/>
      <c r="J24" s="68"/>
      <c r="K24" s="67" t="s">
        <v>27618</v>
      </c>
      <c r="L24" s="71"/>
      <c r="M24" s="72"/>
      <c r="N24" s="72"/>
      <c r="O24" s="73"/>
      <c r="P24" s="74"/>
      <c r="Q24" s="74"/>
      <c r="R24" s="87"/>
      <c r="S24" s="87"/>
      <c r="T24" s="87"/>
      <c r="U24" s="87"/>
      <c r="V24" s="48"/>
      <c r="W24" s="48"/>
      <c r="X24" s="48"/>
      <c r="Y24" s="48"/>
      <c r="Z24" s="47"/>
      <c r="AA24" s="69">
        <v>24</v>
      </c>
      <c r="AB24" s="69"/>
      <c r="AC24" s="70"/>
      <c r="AD24" s="76" t="s">
        <v>21269</v>
      </c>
      <c r="AE24" s="81" t="s">
        <v>23075</v>
      </c>
      <c r="AF24" s="76">
        <v>1175</v>
      </c>
      <c r="AG24" s="76">
        <v>53</v>
      </c>
      <c r="AH24" s="76">
        <v>2435</v>
      </c>
      <c r="AI24" s="76">
        <v>3</v>
      </c>
      <c r="AJ24" s="76">
        <v>162</v>
      </c>
      <c r="AK24" s="76">
        <v>169</v>
      </c>
      <c r="AL24" s="76" t="b">
        <v>0</v>
      </c>
      <c r="AM24" s="78">
        <v>44721.486354166664</v>
      </c>
      <c r="AN24" s="76" t="s">
        <v>24069</v>
      </c>
      <c r="AO24" s="76" t="s">
        <v>24729</v>
      </c>
      <c r="AP24" s="82" t="str">
        <f>HYPERLINK("https://t.co/lXrOQCn7tt")</f>
        <v>https://t.co/lXrOQCn7tt</v>
      </c>
      <c r="AQ24" s="82" t="str">
        <f>HYPERLINK("https://lalineadesombra.com.ar/")</f>
        <v>https://lalineadesombra.com.ar/</v>
      </c>
      <c r="AR24" s="76" t="s">
        <v>26374</v>
      </c>
      <c r="AS24" s="76"/>
      <c r="AT24" s="76"/>
      <c r="AU24" s="76"/>
      <c r="AV24" s="76">
        <v>1.54730269266146E+18</v>
      </c>
      <c r="AW24" s="82" t="str">
        <f>HYPERLINK("https://t.co/lXrOQCn7tt")</f>
        <v>https://t.co/lXrOQCn7tt</v>
      </c>
      <c r="AX24" s="76" t="b">
        <v>0</v>
      </c>
      <c r="AY24" s="76"/>
      <c r="AZ24" s="76"/>
      <c r="BA24" s="76" t="b">
        <v>0</v>
      </c>
      <c r="BB24" s="76" t="b">
        <v>1</v>
      </c>
      <c r="BC24" s="76" t="b">
        <v>1</v>
      </c>
      <c r="BD24" s="76" t="b">
        <v>0</v>
      </c>
      <c r="BE24" s="76" t="b">
        <v>0</v>
      </c>
      <c r="BF24" s="76" t="b">
        <v>0</v>
      </c>
      <c r="BG24" s="76" t="b">
        <v>0</v>
      </c>
      <c r="BH24" s="82" t="str">
        <f>HYPERLINK("https://pbs.twimg.com/profile_banners/1534862833061613568/1654865375")</f>
        <v>https://pbs.twimg.com/profile_banners/1534862833061613568/1654865375</v>
      </c>
      <c r="BI24" s="76"/>
      <c r="BJ24" s="76" t="s">
        <v>27595</v>
      </c>
      <c r="BK24" s="76" t="b">
        <v>0</v>
      </c>
      <c r="BL24" s="76"/>
      <c r="BM24" s="76" t="s">
        <v>65</v>
      </c>
      <c r="BN24" s="76" t="s">
        <v>27597</v>
      </c>
      <c r="BO24" s="82" t="str">
        <f>HYPERLINK("https://twitter.com/esartelli")</f>
        <v>https://twitter.com/esartelli</v>
      </c>
      <c r="BP24" s="2"/>
    </row>
    <row r="25" spans="1:68" x14ac:dyDescent="0.25">
      <c r="A25" s="62" t="s">
        <v>236</v>
      </c>
      <c r="B25" s="63"/>
      <c r="C25" s="63"/>
      <c r="D25" s="64"/>
      <c r="E25" s="66"/>
      <c r="F25" s="103" t="str">
        <f>HYPERLINK("https://pbs.twimg.com/profile_images/1648090921878036481/ejzf2Wq9_normal.jpg")</f>
        <v>https://pbs.twimg.com/profile_images/1648090921878036481/ejzf2Wq9_normal.jpg</v>
      </c>
      <c r="G25" s="63"/>
      <c r="H25" s="67"/>
      <c r="I25" s="68"/>
      <c r="J25" s="68"/>
      <c r="K25" s="67" t="s">
        <v>27619</v>
      </c>
      <c r="L25" s="71"/>
      <c r="M25" s="72"/>
      <c r="N25" s="72"/>
      <c r="O25" s="73"/>
      <c r="P25" s="74"/>
      <c r="Q25" s="74"/>
      <c r="R25" s="87"/>
      <c r="S25" s="87"/>
      <c r="T25" s="87"/>
      <c r="U25" s="87"/>
      <c r="V25" s="48"/>
      <c r="W25" s="48"/>
      <c r="X25" s="48"/>
      <c r="Y25" s="48"/>
      <c r="Z25" s="47"/>
      <c r="AA25" s="69">
        <v>25</v>
      </c>
      <c r="AB25" s="69"/>
      <c r="AC25" s="70"/>
      <c r="AD25" s="76" t="s">
        <v>21270</v>
      </c>
      <c r="AE25" s="81" t="s">
        <v>20498</v>
      </c>
      <c r="AF25" s="76">
        <v>1523</v>
      </c>
      <c r="AG25" s="76">
        <v>643</v>
      </c>
      <c r="AH25" s="76">
        <v>5227</v>
      </c>
      <c r="AI25" s="76">
        <v>1</v>
      </c>
      <c r="AJ25" s="76">
        <v>853</v>
      </c>
      <c r="AK25" s="76">
        <v>425</v>
      </c>
      <c r="AL25" s="76" t="b">
        <v>0</v>
      </c>
      <c r="AM25" s="78">
        <v>44476.095532407409</v>
      </c>
      <c r="AN25" s="76"/>
      <c r="AO25" s="76" t="s">
        <v>24730</v>
      </c>
      <c r="AP25" s="76"/>
      <c r="AQ25" s="76"/>
      <c r="AR25" s="76"/>
      <c r="AS25" s="76"/>
      <c r="AT25" s="76"/>
      <c r="AU25" s="76"/>
      <c r="AV25" s="76">
        <v>1.6676819096425999E+18</v>
      </c>
      <c r="AW25" s="76"/>
      <c r="AX25" s="76" t="b">
        <v>0</v>
      </c>
      <c r="AY25" s="76"/>
      <c r="AZ25" s="76"/>
      <c r="BA25" s="76" t="b">
        <v>0</v>
      </c>
      <c r="BB25" s="76" t="b">
        <v>1</v>
      </c>
      <c r="BC25" s="76" t="b">
        <v>1</v>
      </c>
      <c r="BD25" s="76" t="b">
        <v>0</v>
      </c>
      <c r="BE25" s="76" t="b">
        <v>0</v>
      </c>
      <c r="BF25" s="76" t="b">
        <v>0</v>
      </c>
      <c r="BG25" s="76" t="b">
        <v>0</v>
      </c>
      <c r="BH25" s="82" t="str">
        <f>HYPERLINK("https://pbs.twimg.com/profile_banners/1445936253413756930/1681770597")</f>
        <v>https://pbs.twimg.com/profile_banners/1445936253413756930/1681770597</v>
      </c>
      <c r="BI25" s="76"/>
      <c r="BJ25" s="76" t="s">
        <v>27595</v>
      </c>
      <c r="BK25" s="76" t="b">
        <v>0</v>
      </c>
      <c r="BL25" s="76"/>
      <c r="BM25" s="76" t="s">
        <v>66</v>
      </c>
      <c r="BN25" s="76" t="s">
        <v>27597</v>
      </c>
      <c r="BO25" s="82" t="str">
        <f>HYPERLINK("https://twitter.com/gpattonchile")</f>
        <v>https://twitter.com/gpattonchile</v>
      </c>
      <c r="BP25" s="2"/>
    </row>
    <row r="26" spans="1:68" x14ac:dyDescent="0.25">
      <c r="A26" s="62" t="s">
        <v>237</v>
      </c>
      <c r="B26" s="63"/>
      <c r="C26" s="63"/>
      <c r="D26" s="64"/>
      <c r="E26" s="66"/>
      <c r="F26" s="103" t="str">
        <f>HYPERLINK("https://pbs.twimg.com/profile_images/1675851979476672512/k2rhE8xY_normal.jpg")</f>
        <v>https://pbs.twimg.com/profile_images/1675851979476672512/k2rhE8xY_normal.jpg</v>
      </c>
      <c r="G26" s="63"/>
      <c r="H26" s="67"/>
      <c r="I26" s="68"/>
      <c r="J26" s="68"/>
      <c r="K26" s="67" t="s">
        <v>27620</v>
      </c>
      <c r="L26" s="71"/>
      <c r="M26" s="72"/>
      <c r="N26" s="72"/>
      <c r="O26" s="73"/>
      <c r="P26" s="74"/>
      <c r="Q26" s="74"/>
      <c r="R26" s="87"/>
      <c r="S26" s="87"/>
      <c r="T26" s="87"/>
      <c r="U26" s="87"/>
      <c r="V26" s="48"/>
      <c r="W26" s="48"/>
      <c r="X26" s="48"/>
      <c r="Y26" s="48"/>
      <c r="Z26" s="47"/>
      <c r="AA26" s="69">
        <v>26</v>
      </c>
      <c r="AB26" s="69"/>
      <c r="AC26" s="70"/>
      <c r="AD26" s="76" t="s">
        <v>21271</v>
      </c>
      <c r="AE26" s="81" t="s">
        <v>20499</v>
      </c>
      <c r="AF26" s="76">
        <v>298</v>
      </c>
      <c r="AG26" s="76">
        <v>523</v>
      </c>
      <c r="AH26" s="76">
        <v>794</v>
      </c>
      <c r="AI26" s="76">
        <v>5</v>
      </c>
      <c r="AJ26" s="76">
        <v>52</v>
      </c>
      <c r="AK26" s="76">
        <v>781</v>
      </c>
      <c r="AL26" s="76" t="b">
        <v>0</v>
      </c>
      <c r="AM26" s="78">
        <v>44085.499930555554</v>
      </c>
      <c r="AN26" s="76" t="s">
        <v>24070</v>
      </c>
      <c r="AO26" s="76" t="s">
        <v>24731</v>
      </c>
      <c r="AP26" s="82" t="str">
        <f>HYPERLINK("https://t.co/3LTnkjfvW6")</f>
        <v>https://t.co/3LTnkjfvW6</v>
      </c>
      <c r="AQ26" s="82" t="str">
        <f>HYPERLINK("https://www.aboissa.com.br/pt/")</f>
        <v>https://www.aboissa.com.br/pt/</v>
      </c>
      <c r="AR26" s="76" t="s">
        <v>26375</v>
      </c>
      <c r="AS26" s="76"/>
      <c r="AT26" s="76"/>
      <c r="AU26" s="76"/>
      <c r="AV26" s="76"/>
      <c r="AW26" s="82" t="str">
        <f>HYPERLINK("https://t.co/3LTnkjfvW6")</f>
        <v>https://t.co/3LTnkjfvW6</v>
      </c>
      <c r="AX26" s="76" t="b">
        <v>0</v>
      </c>
      <c r="AY26" s="76"/>
      <c r="AZ26" s="76"/>
      <c r="BA26" s="76" t="b">
        <v>0</v>
      </c>
      <c r="BB26" s="76" t="b">
        <v>1</v>
      </c>
      <c r="BC26" s="76" t="b">
        <v>1</v>
      </c>
      <c r="BD26" s="76" t="b">
        <v>0</v>
      </c>
      <c r="BE26" s="76" t="b">
        <v>0</v>
      </c>
      <c r="BF26" s="76" t="b">
        <v>0</v>
      </c>
      <c r="BG26" s="76" t="b">
        <v>0</v>
      </c>
      <c r="BH26" s="82" t="str">
        <f>HYPERLINK("https://pbs.twimg.com/profile_banners/1304389119838228481/1624039278")</f>
        <v>https://pbs.twimg.com/profile_banners/1304389119838228481/1624039278</v>
      </c>
      <c r="BI26" s="76"/>
      <c r="BJ26" s="76" t="s">
        <v>27595</v>
      </c>
      <c r="BK26" s="76" t="b">
        <v>0</v>
      </c>
      <c r="BL26" s="76"/>
      <c r="BM26" s="76" t="s">
        <v>66</v>
      </c>
      <c r="BN26" s="76" t="s">
        <v>27597</v>
      </c>
      <c r="BO26" s="82" t="str">
        <f>HYPERLINK("https://twitter.com/aboissabrokers")</f>
        <v>https://twitter.com/aboissabrokers</v>
      </c>
      <c r="BP26" s="2"/>
    </row>
    <row r="27" spans="1:68" x14ac:dyDescent="0.25">
      <c r="A27" s="62" t="s">
        <v>238</v>
      </c>
      <c r="B27" s="63"/>
      <c r="C27" s="63"/>
      <c r="D27" s="64"/>
      <c r="E27" s="66"/>
      <c r="F27" s="103" t="str">
        <f>HYPERLINK("https://pbs.twimg.com/profile_images/1691538969765314560/M5IAWHyo_normal.jpg")</f>
        <v>https://pbs.twimg.com/profile_images/1691538969765314560/M5IAWHyo_normal.jpg</v>
      </c>
      <c r="G27" s="63"/>
      <c r="H27" s="67"/>
      <c r="I27" s="68"/>
      <c r="J27" s="68"/>
      <c r="K27" s="67" t="s">
        <v>27621</v>
      </c>
      <c r="L27" s="71"/>
      <c r="M27" s="72"/>
      <c r="N27" s="72"/>
      <c r="O27" s="73"/>
      <c r="P27" s="74"/>
      <c r="Q27" s="74"/>
      <c r="R27" s="87"/>
      <c r="S27" s="87"/>
      <c r="T27" s="87"/>
      <c r="U27" s="87"/>
      <c r="V27" s="48"/>
      <c r="W27" s="48"/>
      <c r="X27" s="48"/>
      <c r="Y27" s="48"/>
      <c r="Z27" s="47"/>
      <c r="AA27" s="69">
        <v>27</v>
      </c>
      <c r="AB27" s="69"/>
      <c r="AC27" s="70"/>
      <c r="AD27" s="76" t="s">
        <v>21272</v>
      </c>
      <c r="AE27" s="81" t="s">
        <v>23076</v>
      </c>
      <c r="AF27" s="76">
        <v>162</v>
      </c>
      <c r="AG27" s="76">
        <v>311</v>
      </c>
      <c r="AH27" s="76">
        <v>2422</v>
      </c>
      <c r="AI27" s="76">
        <v>6</v>
      </c>
      <c r="AJ27" s="76">
        <v>1466</v>
      </c>
      <c r="AK27" s="76">
        <v>305</v>
      </c>
      <c r="AL27" s="76" t="b">
        <v>0</v>
      </c>
      <c r="AM27" s="78">
        <v>40396.013414351852</v>
      </c>
      <c r="AN27" s="76" t="s">
        <v>24071</v>
      </c>
      <c r="AO27" s="76" t="s">
        <v>24732</v>
      </c>
      <c r="AP27" s="76"/>
      <c r="AQ27" s="76"/>
      <c r="AR27" s="76"/>
      <c r="AS27" s="76"/>
      <c r="AT27" s="76"/>
      <c r="AU27" s="76"/>
      <c r="AV27" s="76"/>
      <c r="AW27" s="76"/>
      <c r="AX27" s="76" t="b">
        <v>0</v>
      </c>
      <c r="AY27" s="76"/>
      <c r="AZ27" s="76"/>
      <c r="BA27" s="76" t="b">
        <v>0</v>
      </c>
      <c r="BB27" s="76" t="b">
        <v>1</v>
      </c>
      <c r="BC27" s="76" t="b">
        <v>1</v>
      </c>
      <c r="BD27" s="76" t="b">
        <v>0</v>
      </c>
      <c r="BE27" s="76" t="b">
        <v>1</v>
      </c>
      <c r="BF27" s="76" t="b">
        <v>0</v>
      </c>
      <c r="BG27" s="76" t="b">
        <v>0</v>
      </c>
      <c r="BH27" s="82" t="str">
        <f>HYPERLINK("https://pbs.twimg.com/profile_banners/175211565/1685476070")</f>
        <v>https://pbs.twimg.com/profile_banners/175211565/1685476070</v>
      </c>
      <c r="BI27" s="76"/>
      <c r="BJ27" s="76" t="s">
        <v>27595</v>
      </c>
      <c r="BK27" s="76" t="b">
        <v>0</v>
      </c>
      <c r="BL27" s="76"/>
      <c r="BM27" s="76" t="s">
        <v>66</v>
      </c>
      <c r="BN27" s="76" t="s">
        <v>27597</v>
      </c>
      <c r="BO27" s="82" t="str">
        <f>HYPERLINK("https://twitter.com/dionaldo_passos")</f>
        <v>https://twitter.com/dionaldo_passos</v>
      </c>
      <c r="BP27" s="2"/>
    </row>
    <row r="28" spans="1:68" x14ac:dyDescent="0.25">
      <c r="A28" s="62" t="s">
        <v>239</v>
      </c>
      <c r="B28" s="63"/>
      <c r="C28" s="63"/>
      <c r="D28" s="64"/>
      <c r="E28" s="66"/>
      <c r="F28" s="103" t="str">
        <f>HYPERLINK("https://pbs.twimg.com/profile_images/1177212695776518144/61vDUE-Q_normal.jpg")</f>
        <v>https://pbs.twimg.com/profile_images/1177212695776518144/61vDUE-Q_normal.jpg</v>
      </c>
      <c r="G28" s="63"/>
      <c r="H28" s="67"/>
      <c r="I28" s="68"/>
      <c r="J28" s="68"/>
      <c r="K28" s="67" t="s">
        <v>27622</v>
      </c>
      <c r="L28" s="71"/>
      <c r="M28" s="72"/>
      <c r="N28" s="72"/>
      <c r="O28" s="73"/>
      <c r="P28" s="74"/>
      <c r="Q28" s="74"/>
      <c r="R28" s="87"/>
      <c r="S28" s="87"/>
      <c r="T28" s="87"/>
      <c r="U28" s="87"/>
      <c r="V28" s="48"/>
      <c r="W28" s="48"/>
      <c r="X28" s="48"/>
      <c r="Y28" s="48"/>
      <c r="Z28" s="47"/>
      <c r="AA28" s="69">
        <v>28</v>
      </c>
      <c r="AB28" s="69"/>
      <c r="AC28" s="70"/>
      <c r="AD28" s="76" t="s">
        <v>21273</v>
      </c>
      <c r="AE28" s="81" t="s">
        <v>23077</v>
      </c>
      <c r="AF28" s="76">
        <v>5405</v>
      </c>
      <c r="AG28" s="76">
        <v>301</v>
      </c>
      <c r="AH28" s="76">
        <v>19532</v>
      </c>
      <c r="AI28" s="76">
        <v>74</v>
      </c>
      <c r="AJ28" s="76">
        <v>106</v>
      </c>
      <c r="AK28" s="76">
        <v>7593</v>
      </c>
      <c r="AL28" s="76" t="b">
        <v>0</v>
      </c>
      <c r="AM28" s="78">
        <v>40056.621666666666</v>
      </c>
      <c r="AN28" s="76" t="s">
        <v>24072</v>
      </c>
      <c r="AO28" s="76" t="s">
        <v>24733</v>
      </c>
      <c r="AP28" s="82" t="str">
        <f>HYPERLINK("https://t.co/sODD7O12qo")</f>
        <v>https://t.co/sODD7O12qo</v>
      </c>
      <c r="AQ28" s="82" t="str">
        <f>HYPERLINK("https://guarulhosonline.com.br/")</f>
        <v>https://guarulhosonline.com.br/</v>
      </c>
      <c r="AR28" s="76" t="s">
        <v>26376</v>
      </c>
      <c r="AS28" s="76"/>
      <c r="AT28" s="76"/>
      <c r="AU28" s="76"/>
      <c r="AV28" s="76"/>
      <c r="AW28" s="82" t="str">
        <f>HYPERLINK("https://t.co/sODD7O12qo")</f>
        <v>https://t.co/sODD7O12qo</v>
      </c>
      <c r="AX28" s="76" t="b">
        <v>0</v>
      </c>
      <c r="AY28" s="76"/>
      <c r="AZ28" s="76"/>
      <c r="BA28" s="76" t="b">
        <v>1</v>
      </c>
      <c r="BB28" s="76" t="b">
        <v>0</v>
      </c>
      <c r="BC28" s="76" t="b">
        <v>0</v>
      </c>
      <c r="BD28" s="76" t="b">
        <v>0</v>
      </c>
      <c r="BE28" s="76" t="b">
        <v>1</v>
      </c>
      <c r="BF28" s="76" t="b">
        <v>0</v>
      </c>
      <c r="BG28" s="76" t="b">
        <v>0</v>
      </c>
      <c r="BH28" s="82" t="str">
        <f>HYPERLINK("https://pbs.twimg.com/profile_banners/70411503/1569504354")</f>
        <v>https://pbs.twimg.com/profile_banners/70411503/1569504354</v>
      </c>
      <c r="BI28" s="76"/>
      <c r="BJ28" s="76" t="s">
        <v>27595</v>
      </c>
      <c r="BK28" s="76" t="b">
        <v>0</v>
      </c>
      <c r="BL28" s="76"/>
      <c r="BM28" s="76" t="s">
        <v>66</v>
      </c>
      <c r="BN28" s="76" t="s">
        <v>27597</v>
      </c>
      <c r="BO28" s="82" t="str">
        <f>HYPERLINK("https://twitter.com/guarulhosonline")</f>
        <v>https://twitter.com/guarulhosonline</v>
      </c>
      <c r="BP28" s="2"/>
    </row>
    <row r="29" spans="1:68" x14ac:dyDescent="0.25">
      <c r="A29" s="62" t="s">
        <v>240</v>
      </c>
      <c r="B29" s="63"/>
      <c r="C29" s="63"/>
      <c r="D29" s="64"/>
      <c r="E29" s="66"/>
      <c r="F29" s="103" t="str">
        <f>HYPERLINK("https://pbs.twimg.com/profile_images/1000574940784062464/mDAMNz7x_normal.jpg")</f>
        <v>https://pbs.twimg.com/profile_images/1000574940784062464/mDAMNz7x_normal.jpg</v>
      </c>
      <c r="G29" s="63"/>
      <c r="H29" s="67"/>
      <c r="I29" s="68"/>
      <c r="J29" s="68"/>
      <c r="K29" s="67" t="s">
        <v>27623</v>
      </c>
      <c r="L29" s="71"/>
      <c r="M29" s="72"/>
      <c r="N29" s="72"/>
      <c r="O29" s="73"/>
      <c r="P29" s="74"/>
      <c r="Q29" s="74"/>
      <c r="R29" s="87"/>
      <c r="S29" s="87"/>
      <c r="T29" s="87"/>
      <c r="U29" s="87"/>
      <c r="V29" s="48"/>
      <c r="W29" s="48"/>
      <c r="X29" s="48"/>
      <c r="Y29" s="48"/>
      <c r="Z29" s="47"/>
      <c r="AA29" s="69">
        <v>29</v>
      </c>
      <c r="AB29" s="69"/>
      <c r="AC29" s="70"/>
      <c r="AD29" s="76" t="s">
        <v>21274</v>
      </c>
      <c r="AE29" s="81" t="s">
        <v>23078</v>
      </c>
      <c r="AF29" s="76">
        <v>137</v>
      </c>
      <c r="AG29" s="76">
        <v>233</v>
      </c>
      <c r="AH29" s="76">
        <v>7098</v>
      </c>
      <c r="AI29" s="76">
        <v>6</v>
      </c>
      <c r="AJ29" s="76">
        <v>2310</v>
      </c>
      <c r="AK29" s="76">
        <v>210</v>
      </c>
      <c r="AL29" s="76" t="b">
        <v>0</v>
      </c>
      <c r="AM29" s="78">
        <v>40253.982418981483</v>
      </c>
      <c r="AN29" s="76" t="s">
        <v>24073</v>
      </c>
      <c r="AO29" s="76" t="s">
        <v>24734</v>
      </c>
      <c r="AP29" s="76"/>
      <c r="AQ29" s="76"/>
      <c r="AR29" s="76"/>
      <c r="AS29" s="76"/>
      <c r="AT29" s="76"/>
      <c r="AU29" s="76"/>
      <c r="AV29" s="76"/>
      <c r="AW29" s="76"/>
      <c r="AX29" s="76" t="b">
        <v>0</v>
      </c>
      <c r="AY29" s="76"/>
      <c r="AZ29" s="76"/>
      <c r="BA29" s="76" t="b">
        <v>0</v>
      </c>
      <c r="BB29" s="76" t="b">
        <v>0</v>
      </c>
      <c r="BC29" s="76" t="b">
        <v>0</v>
      </c>
      <c r="BD29" s="76" t="b">
        <v>0</v>
      </c>
      <c r="BE29" s="76" t="b">
        <v>0</v>
      </c>
      <c r="BF29" s="76" t="b">
        <v>0</v>
      </c>
      <c r="BG29" s="76" t="b">
        <v>0</v>
      </c>
      <c r="BH29" s="82" t="str">
        <f>HYPERLINK("https://pbs.twimg.com/profile_banners/123697477/1515969024")</f>
        <v>https://pbs.twimg.com/profile_banners/123697477/1515969024</v>
      </c>
      <c r="BI29" s="76"/>
      <c r="BJ29" s="76" t="s">
        <v>27595</v>
      </c>
      <c r="BK29" s="76" t="b">
        <v>0</v>
      </c>
      <c r="BL29" s="76"/>
      <c r="BM29" s="76" t="s">
        <v>66</v>
      </c>
      <c r="BN29" s="76" t="s">
        <v>27597</v>
      </c>
      <c r="BO29" s="82" t="str">
        <f>HYPERLINK("https://twitter.com/bahkantikas")</f>
        <v>https://twitter.com/bahkantikas</v>
      </c>
      <c r="BP29" s="2"/>
    </row>
    <row r="30" spans="1:68" x14ac:dyDescent="0.25">
      <c r="A30" s="62" t="s">
        <v>241</v>
      </c>
      <c r="B30" s="63"/>
      <c r="C30" s="63"/>
      <c r="D30" s="64"/>
      <c r="E30" s="66"/>
      <c r="F30" s="103" t="str">
        <f>HYPERLINK("https://pbs.twimg.com/profile_images/1468168082975772676/UY1qVofx_normal.jpg")</f>
        <v>https://pbs.twimg.com/profile_images/1468168082975772676/UY1qVofx_normal.jpg</v>
      </c>
      <c r="G30" s="63"/>
      <c r="H30" s="67"/>
      <c r="I30" s="68"/>
      <c r="J30" s="68"/>
      <c r="K30" s="67" t="s">
        <v>27624</v>
      </c>
      <c r="L30" s="71"/>
      <c r="M30" s="72"/>
      <c r="N30" s="72"/>
      <c r="O30" s="73"/>
      <c r="P30" s="74"/>
      <c r="Q30" s="74"/>
      <c r="R30" s="87"/>
      <c r="S30" s="87"/>
      <c r="T30" s="87"/>
      <c r="U30" s="87"/>
      <c r="V30" s="48"/>
      <c r="W30" s="48"/>
      <c r="X30" s="48"/>
      <c r="Y30" s="48"/>
      <c r="Z30" s="47"/>
      <c r="AA30" s="69">
        <v>30</v>
      </c>
      <c r="AB30" s="69"/>
      <c r="AC30" s="70"/>
      <c r="AD30" s="76" t="s">
        <v>21275</v>
      </c>
      <c r="AE30" s="81" t="s">
        <v>20500</v>
      </c>
      <c r="AF30" s="76">
        <v>831</v>
      </c>
      <c r="AG30" s="76">
        <v>2557</v>
      </c>
      <c r="AH30" s="76">
        <v>116109</v>
      </c>
      <c r="AI30" s="76">
        <v>5</v>
      </c>
      <c r="AJ30" s="76">
        <v>54970</v>
      </c>
      <c r="AK30" s="76">
        <v>42</v>
      </c>
      <c r="AL30" s="76" t="b">
        <v>0</v>
      </c>
      <c r="AM30" s="78">
        <v>44537.443541666667</v>
      </c>
      <c r="AN30" s="76" t="s">
        <v>24074</v>
      </c>
      <c r="AO30" s="76" t="s">
        <v>24735</v>
      </c>
      <c r="AP30" s="76"/>
      <c r="AQ30" s="76"/>
      <c r="AR30" s="76"/>
      <c r="AS30" s="76"/>
      <c r="AT30" s="76"/>
      <c r="AU30" s="76"/>
      <c r="AV30" s="76"/>
      <c r="AW30" s="76"/>
      <c r="AX30" s="76" t="b">
        <v>0</v>
      </c>
      <c r="AY30" s="76"/>
      <c r="AZ30" s="76"/>
      <c r="BA30" s="76" t="b">
        <v>0</v>
      </c>
      <c r="BB30" s="76" t="b">
        <v>1</v>
      </c>
      <c r="BC30" s="76" t="b">
        <v>1</v>
      </c>
      <c r="BD30" s="76" t="b">
        <v>0</v>
      </c>
      <c r="BE30" s="76" t="b">
        <v>0</v>
      </c>
      <c r="BF30" s="76" t="b">
        <v>0</v>
      </c>
      <c r="BG30" s="76" t="b">
        <v>0</v>
      </c>
      <c r="BH30" s="82" t="str">
        <f>HYPERLINK("https://pbs.twimg.com/profile_banners/1468167973454163968/1639098819")</f>
        <v>https://pbs.twimg.com/profile_banners/1468167973454163968/1639098819</v>
      </c>
      <c r="BI30" s="76"/>
      <c r="BJ30" s="76" t="s">
        <v>27595</v>
      </c>
      <c r="BK30" s="76" t="b">
        <v>0</v>
      </c>
      <c r="BL30" s="76"/>
      <c r="BM30" s="76" t="s">
        <v>66</v>
      </c>
      <c r="BN30" s="76" t="s">
        <v>27597</v>
      </c>
      <c r="BO30" s="82" t="str">
        <f>HYPERLINK("https://twitter.com/beatrizcleuza1")</f>
        <v>https://twitter.com/beatrizcleuza1</v>
      </c>
      <c r="BP30" s="2"/>
    </row>
    <row r="31" spans="1:68" x14ac:dyDescent="0.25">
      <c r="A31" s="62" t="s">
        <v>1655</v>
      </c>
      <c r="B31" s="63"/>
      <c r="C31" s="63"/>
      <c r="D31" s="64"/>
      <c r="E31" s="66"/>
      <c r="F31" s="103" t="str">
        <f>HYPERLINK("https://pbs.twimg.com/profile_images/1589698715031420928/9t9O5uhf_normal.jpg")</f>
        <v>https://pbs.twimg.com/profile_images/1589698715031420928/9t9O5uhf_normal.jpg</v>
      </c>
      <c r="G31" s="63"/>
      <c r="H31" s="67"/>
      <c r="I31" s="68"/>
      <c r="J31" s="68"/>
      <c r="K31" s="67" t="s">
        <v>27625</v>
      </c>
      <c r="L31" s="71"/>
      <c r="M31" s="72"/>
      <c r="N31" s="72"/>
      <c r="O31" s="73"/>
      <c r="P31" s="74"/>
      <c r="Q31" s="74"/>
      <c r="R31" s="87"/>
      <c r="S31" s="87"/>
      <c r="T31" s="87"/>
      <c r="U31" s="87"/>
      <c r="V31" s="48"/>
      <c r="W31" s="48"/>
      <c r="X31" s="48"/>
      <c r="Y31" s="48"/>
      <c r="Z31" s="47"/>
      <c r="AA31" s="69">
        <v>31</v>
      </c>
      <c r="AB31" s="69"/>
      <c r="AC31" s="70"/>
      <c r="AD31" s="76" t="s">
        <v>21276</v>
      </c>
      <c r="AE31" s="81" t="s">
        <v>23079</v>
      </c>
      <c r="AF31" s="76">
        <v>2131871</v>
      </c>
      <c r="AG31" s="76">
        <v>2062</v>
      </c>
      <c r="AH31" s="76">
        <v>460622</v>
      </c>
      <c r="AI31" s="76">
        <v>2578</v>
      </c>
      <c r="AJ31" s="76">
        <v>3201</v>
      </c>
      <c r="AK31" s="76">
        <v>145965</v>
      </c>
      <c r="AL31" s="76" t="b">
        <v>0</v>
      </c>
      <c r="AM31" s="78">
        <v>40196.785104166665</v>
      </c>
      <c r="AN31" s="76" t="s">
        <v>14382</v>
      </c>
      <c r="AO31" s="76" t="s">
        <v>24736</v>
      </c>
      <c r="AP31" s="82" t="str">
        <f>HYPERLINK("https://t.co/JZeDYPM5T6")</f>
        <v>https://t.co/JZeDYPM5T6</v>
      </c>
      <c r="AQ31" s="82" t="str">
        <f>HYPERLINK("http://www.jovempan.com.br")</f>
        <v>http://www.jovempan.com.br</v>
      </c>
      <c r="AR31" s="76" t="s">
        <v>26377</v>
      </c>
      <c r="AS31" s="76" t="s">
        <v>27368</v>
      </c>
      <c r="AT31" s="76" t="s">
        <v>27407</v>
      </c>
      <c r="AU31" s="76" t="s">
        <v>27447</v>
      </c>
      <c r="AV31" s="76"/>
      <c r="AW31" s="82" t="str">
        <f>HYPERLINK("https://t.co/JZeDYPM5T6")</f>
        <v>https://t.co/JZeDYPM5T6</v>
      </c>
      <c r="AX31" s="76" t="b">
        <v>1</v>
      </c>
      <c r="AY31" s="76"/>
      <c r="AZ31" s="76"/>
      <c r="BA31" s="76" t="b">
        <v>0</v>
      </c>
      <c r="BB31" s="76" t="b">
        <v>0</v>
      </c>
      <c r="BC31" s="76" t="b">
        <v>0</v>
      </c>
      <c r="BD31" s="76" t="b">
        <v>0</v>
      </c>
      <c r="BE31" s="76" t="b">
        <v>1</v>
      </c>
      <c r="BF31" s="76" t="b">
        <v>0</v>
      </c>
      <c r="BG31" s="76" t="b">
        <v>0</v>
      </c>
      <c r="BH31" s="82" t="str">
        <f>HYPERLINK("https://pbs.twimg.com/profile_banners/106175018/1673539072")</f>
        <v>https://pbs.twimg.com/profile_banners/106175018/1673539072</v>
      </c>
      <c r="BI31" s="76"/>
      <c r="BJ31" s="76" t="s">
        <v>27595</v>
      </c>
      <c r="BK31" s="76" t="b">
        <v>0</v>
      </c>
      <c r="BL31" s="76"/>
      <c r="BM31" s="76" t="s">
        <v>66</v>
      </c>
      <c r="BN31" s="76" t="s">
        <v>27597</v>
      </c>
      <c r="BO31" s="82" t="str">
        <f>HYPERLINK("https://twitter.com/jovempannews")</f>
        <v>https://twitter.com/jovempannews</v>
      </c>
      <c r="BP31" s="2"/>
    </row>
    <row r="32" spans="1:68" x14ac:dyDescent="0.25">
      <c r="A32" s="62" t="s">
        <v>242</v>
      </c>
      <c r="B32" s="63"/>
      <c r="C32" s="63"/>
      <c r="D32" s="64"/>
      <c r="E32" s="66"/>
      <c r="F32" s="103" t="str">
        <f>HYPERLINK("https://pbs.twimg.com/profile_images/1587225052474490880/_H9PZ3qU_normal.jpg")</f>
        <v>https://pbs.twimg.com/profile_images/1587225052474490880/_H9PZ3qU_normal.jpg</v>
      </c>
      <c r="G32" s="63"/>
      <c r="H32" s="67"/>
      <c r="I32" s="68"/>
      <c r="J32" s="68"/>
      <c r="K32" s="67" t="s">
        <v>27626</v>
      </c>
      <c r="L32" s="71"/>
      <c r="M32" s="72"/>
      <c r="N32" s="72"/>
      <c r="O32" s="73"/>
      <c r="P32" s="74"/>
      <c r="Q32" s="74"/>
      <c r="R32" s="87"/>
      <c r="S32" s="87"/>
      <c r="T32" s="87"/>
      <c r="U32" s="87"/>
      <c r="V32" s="48"/>
      <c r="W32" s="48"/>
      <c r="X32" s="48"/>
      <c r="Y32" s="48"/>
      <c r="Z32" s="47"/>
      <c r="AA32" s="69">
        <v>32</v>
      </c>
      <c r="AB32" s="69"/>
      <c r="AC32" s="70"/>
      <c r="AD32" s="76" t="s">
        <v>21277</v>
      </c>
      <c r="AE32" s="81" t="s">
        <v>20501</v>
      </c>
      <c r="AF32" s="76">
        <v>59</v>
      </c>
      <c r="AG32" s="76">
        <v>71</v>
      </c>
      <c r="AH32" s="76">
        <v>28801</v>
      </c>
      <c r="AI32" s="76">
        <v>1</v>
      </c>
      <c r="AJ32" s="76">
        <v>27109</v>
      </c>
      <c r="AK32" s="76">
        <v>0</v>
      </c>
      <c r="AL32" s="76" t="b">
        <v>0</v>
      </c>
      <c r="AM32" s="78">
        <v>44865.978194444448</v>
      </c>
      <c r="AN32" s="76"/>
      <c r="AO32" s="76"/>
      <c r="AP32" s="76"/>
      <c r="AQ32" s="76"/>
      <c r="AR32" s="76"/>
      <c r="AS32" s="76"/>
      <c r="AT32" s="76"/>
      <c r="AU32" s="76"/>
      <c r="AV32" s="76"/>
      <c r="AW32" s="76"/>
      <c r="AX32" s="76" t="b">
        <v>0</v>
      </c>
      <c r="AY32" s="76"/>
      <c r="AZ32" s="76"/>
      <c r="BA32" s="76" t="b">
        <v>0</v>
      </c>
      <c r="BB32" s="76" t="b">
        <v>1</v>
      </c>
      <c r="BC32" s="76" t="b">
        <v>1</v>
      </c>
      <c r="BD32" s="76" t="b">
        <v>0</v>
      </c>
      <c r="BE32" s="76" t="b">
        <v>0</v>
      </c>
      <c r="BF32" s="76" t="b">
        <v>0</v>
      </c>
      <c r="BG32" s="76" t="b">
        <v>0</v>
      </c>
      <c r="BH32" s="76"/>
      <c r="BI32" s="76"/>
      <c r="BJ32" s="76" t="s">
        <v>27595</v>
      </c>
      <c r="BK32" s="76" t="b">
        <v>0</v>
      </c>
      <c r="BL32" s="76"/>
      <c r="BM32" s="76" t="s">
        <v>66</v>
      </c>
      <c r="BN32" s="76" t="s">
        <v>27597</v>
      </c>
      <c r="BO32" s="82" t="str">
        <f>HYPERLINK("https://twitter.com/sandro852096")</f>
        <v>https://twitter.com/sandro852096</v>
      </c>
      <c r="BP32" s="2"/>
    </row>
    <row r="33" spans="1:68" x14ac:dyDescent="0.25">
      <c r="A33" s="62" t="s">
        <v>243</v>
      </c>
      <c r="B33" s="63"/>
      <c r="C33" s="63"/>
      <c r="D33" s="64"/>
      <c r="E33" s="66"/>
      <c r="F33" s="103" t="str">
        <f>HYPERLINK("https://pbs.twimg.com/profile_images/916005015449247744/9rGI24Fv_normal.jpg")</f>
        <v>https://pbs.twimg.com/profile_images/916005015449247744/9rGI24Fv_normal.jpg</v>
      </c>
      <c r="G33" s="63"/>
      <c r="H33" s="67"/>
      <c r="I33" s="68"/>
      <c r="J33" s="68"/>
      <c r="K33" s="67" t="s">
        <v>27627</v>
      </c>
      <c r="L33" s="71"/>
      <c r="M33" s="72"/>
      <c r="N33" s="72"/>
      <c r="O33" s="73"/>
      <c r="P33" s="74"/>
      <c r="Q33" s="74"/>
      <c r="R33" s="87"/>
      <c r="S33" s="87"/>
      <c r="T33" s="87"/>
      <c r="U33" s="87"/>
      <c r="V33" s="48"/>
      <c r="W33" s="48"/>
      <c r="X33" s="48"/>
      <c r="Y33" s="48"/>
      <c r="Z33" s="47"/>
      <c r="AA33" s="69">
        <v>33</v>
      </c>
      <c r="AB33" s="69"/>
      <c r="AC33" s="70"/>
      <c r="AD33" s="76" t="s">
        <v>21278</v>
      </c>
      <c r="AE33" s="81" t="s">
        <v>23080</v>
      </c>
      <c r="AF33" s="76">
        <v>215</v>
      </c>
      <c r="AG33" s="76">
        <v>492</v>
      </c>
      <c r="AH33" s="76">
        <v>2071</v>
      </c>
      <c r="AI33" s="76">
        <v>26</v>
      </c>
      <c r="AJ33" s="76">
        <v>325</v>
      </c>
      <c r="AK33" s="76">
        <v>13</v>
      </c>
      <c r="AL33" s="76" t="b">
        <v>0</v>
      </c>
      <c r="AM33" s="78">
        <v>41537.931319444448</v>
      </c>
      <c r="AN33" s="76" t="s">
        <v>24075</v>
      </c>
      <c r="AO33" s="76" t="s">
        <v>24737</v>
      </c>
      <c r="AP33" s="82" t="str">
        <f>HYPERLINK("https://t.co/D1ApyyBSyu")</f>
        <v>https://t.co/D1ApyyBSyu</v>
      </c>
      <c r="AQ33" s="82" t="str">
        <f>HYPERLINK("http://www.benyrubinstein.com")</f>
        <v>http://www.benyrubinstein.com</v>
      </c>
      <c r="AR33" s="76" t="s">
        <v>26378</v>
      </c>
      <c r="AS33" s="76"/>
      <c r="AT33" s="76"/>
      <c r="AU33" s="76"/>
      <c r="AV33" s="76"/>
      <c r="AW33" s="82" t="str">
        <f>HYPERLINK("https://t.co/D1ApyyBSyu")</f>
        <v>https://t.co/D1ApyyBSyu</v>
      </c>
      <c r="AX33" s="76" t="b">
        <v>0</v>
      </c>
      <c r="AY33" s="76"/>
      <c r="AZ33" s="76"/>
      <c r="BA33" s="76" t="b">
        <v>0</v>
      </c>
      <c r="BB33" s="76" t="b">
        <v>1</v>
      </c>
      <c r="BC33" s="76" t="b">
        <v>0</v>
      </c>
      <c r="BD33" s="76" t="b">
        <v>0</v>
      </c>
      <c r="BE33" s="76" t="b">
        <v>0</v>
      </c>
      <c r="BF33" s="76" t="b">
        <v>0</v>
      </c>
      <c r="BG33" s="76" t="b">
        <v>0</v>
      </c>
      <c r="BH33" s="82" t="str">
        <f>HYPERLINK("https://pbs.twimg.com/profile_banners/1888042063/1591871413")</f>
        <v>https://pbs.twimg.com/profile_banners/1888042063/1591871413</v>
      </c>
      <c r="BI33" s="76"/>
      <c r="BJ33" s="76" t="s">
        <v>27595</v>
      </c>
      <c r="BK33" s="76" t="b">
        <v>0</v>
      </c>
      <c r="BL33" s="76"/>
      <c r="BM33" s="76" t="s">
        <v>66</v>
      </c>
      <c r="BN33" s="76" t="s">
        <v>27597</v>
      </c>
      <c r="BO33" s="82" t="str">
        <f>HYPERLINK("https://twitter.com/brubinst")</f>
        <v>https://twitter.com/brubinst</v>
      </c>
      <c r="BP33" s="2"/>
    </row>
    <row r="34" spans="1:68" x14ac:dyDescent="0.25">
      <c r="A34" s="62" t="s">
        <v>244</v>
      </c>
      <c r="B34" s="63"/>
      <c r="C34" s="63"/>
      <c r="D34" s="64"/>
      <c r="E34" s="66"/>
      <c r="F34" s="103" t="str">
        <f>HYPERLINK("https://pbs.twimg.com/profile_images/1655921508257091584/W88F03Uo_normal.jpg")</f>
        <v>https://pbs.twimg.com/profile_images/1655921508257091584/W88F03Uo_normal.jpg</v>
      </c>
      <c r="G34" s="63"/>
      <c r="H34" s="67"/>
      <c r="I34" s="68"/>
      <c r="J34" s="68"/>
      <c r="K34" s="67" t="s">
        <v>27628</v>
      </c>
      <c r="L34" s="71"/>
      <c r="M34" s="72"/>
      <c r="N34" s="72"/>
      <c r="O34" s="73"/>
      <c r="P34" s="74"/>
      <c r="Q34" s="74"/>
      <c r="R34" s="87"/>
      <c r="S34" s="87"/>
      <c r="T34" s="87"/>
      <c r="U34" s="87"/>
      <c r="V34" s="48"/>
      <c r="W34" s="48"/>
      <c r="X34" s="48"/>
      <c r="Y34" s="48"/>
      <c r="Z34" s="47"/>
      <c r="AA34" s="69">
        <v>34</v>
      </c>
      <c r="AB34" s="69"/>
      <c r="AC34" s="70"/>
      <c r="AD34" s="76" t="s">
        <v>21279</v>
      </c>
      <c r="AE34" s="81" t="s">
        <v>20502</v>
      </c>
      <c r="AF34" s="76">
        <v>884</v>
      </c>
      <c r="AG34" s="76">
        <v>612</v>
      </c>
      <c r="AH34" s="76">
        <v>2922</v>
      </c>
      <c r="AI34" s="76">
        <v>7</v>
      </c>
      <c r="AJ34" s="76">
        <v>3248</v>
      </c>
      <c r="AK34" s="76">
        <v>950</v>
      </c>
      <c r="AL34" s="76" t="b">
        <v>0</v>
      </c>
      <c r="AM34" s="78">
        <v>43480.540810185186</v>
      </c>
      <c r="AN34" s="76" t="s">
        <v>14400</v>
      </c>
      <c r="AO34" s="76" t="s">
        <v>24738</v>
      </c>
      <c r="AP34" s="82" t="str">
        <f>HYPERLINK("https://t.co/L5Sa9mgxH2")</f>
        <v>https://t.co/L5Sa9mgxH2</v>
      </c>
      <c r="AQ34" s="82" t="str">
        <f>HYPERLINK("http://www.fsindical.org.br")</f>
        <v>http://www.fsindical.org.br</v>
      </c>
      <c r="AR34" s="76" t="s">
        <v>26379</v>
      </c>
      <c r="AS34" s="76"/>
      <c r="AT34" s="76"/>
      <c r="AU34" s="76"/>
      <c r="AV34" s="76"/>
      <c r="AW34" s="82" t="str">
        <f>HYPERLINK("https://t.co/L5Sa9mgxH2")</f>
        <v>https://t.co/L5Sa9mgxH2</v>
      </c>
      <c r="AX34" s="76" t="b">
        <v>0</v>
      </c>
      <c r="AY34" s="76"/>
      <c r="AZ34" s="76"/>
      <c r="BA34" s="76" t="b">
        <v>0</v>
      </c>
      <c r="BB34" s="76" t="b">
        <v>1</v>
      </c>
      <c r="BC34" s="76" t="b">
        <v>0</v>
      </c>
      <c r="BD34" s="76" t="b">
        <v>0</v>
      </c>
      <c r="BE34" s="76" t="b">
        <v>1</v>
      </c>
      <c r="BF34" s="76" t="b">
        <v>0</v>
      </c>
      <c r="BG34" s="76" t="b">
        <v>0</v>
      </c>
      <c r="BH34" s="82" t="str">
        <f>HYPERLINK("https://pbs.twimg.com/profile_banners/1085159355098509314/1682017004")</f>
        <v>https://pbs.twimg.com/profile_banners/1085159355098509314/1682017004</v>
      </c>
      <c r="BI34" s="76"/>
      <c r="BJ34" s="76" t="s">
        <v>27595</v>
      </c>
      <c r="BK34" s="76" t="b">
        <v>0</v>
      </c>
      <c r="BL34" s="76"/>
      <c r="BM34" s="76" t="s">
        <v>66</v>
      </c>
      <c r="BN34" s="76" t="s">
        <v>27597</v>
      </c>
      <c r="BO34" s="82" t="str">
        <f>HYPERLINK("https://twitter.com/fsmigueltorres")</f>
        <v>https://twitter.com/fsmigueltorres</v>
      </c>
      <c r="BP34" s="2"/>
    </row>
    <row r="35" spans="1:68" x14ac:dyDescent="0.25">
      <c r="A35" s="62" t="s">
        <v>245</v>
      </c>
      <c r="B35" s="63"/>
      <c r="C35" s="63"/>
      <c r="D35" s="64"/>
      <c r="E35" s="66"/>
      <c r="F35" s="103" t="str">
        <f>HYPERLINK("https://pbs.twimg.com/profile_images/1631112672342163462/Mky1wY-7_normal.jpg")</f>
        <v>https://pbs.twimg.com/profile_images/1631112672342163462/Mky1wY-7_normal.jpg</v>
      </c>
      <c r="G35" s="63"/>
      <c r="H35" s="67"/>
      <c r="I35" s="68"/>
      <c r="J35" s="68"/>
      <c r="K35" s="67" t="s">
        <v>27629</v>
      </c>
      <c r="L35" s="71"/>
      <c r="M35" s="72"/>
      <c r="N35" s="72"/>
      <c r="O35" s="73"/>
      <c r="P35" s="74"/>
      <c r="Q35" s="74"/>
      <c r="R35" s="87"/>
      <c r="S35" s="87"/>
      <c r="T35" s="87"/>
      <c r="U35" s="87"/>
      <c r="V35" s="48"/>
      <c r="W35" s="48"/>
      <c r="X35" s="48"/>
      <c r="Y35" s="48"/>
      <c r="Z35" s="47"/>
      <c r="AA35" s="69">
        <v>35</v>
      </c>
      <c r="AB35" s="69"/>
      <c r="AC35" s="70"/>
      <c r="AD35" s="76" t="s">
        <v>21280</v>
      </c>
      <c r="AE35" s="81" t="s">
        <v>20503</v>
      </c>
      <c r="AF35" s="76">
        <v>24</v>
      </c>
      <c r="AG35" s="76">
        <v>84</v>
      </c>
      <c r="AH35" s="76">
        <v>1659</v>
      </c>
      <c r="AI35" s="76">
        <v>1</v>
      </c>
      <c r="AJ35" s="76">
        <v>0</v>
      </c>
      <c r="AK35" s="76">
        <v>1584</v>
      </c>
      <c r="AL35" s="76" t="b">
        <v>0</v>
      </c>
      <c r="AM35" s="78">
        <v>44965.084733796299</v>
      </c>
      <c r="AN35" s="76"/>
      <c r="AO35" s="76"/>
      <c r="AP35" s="76"/>
      <c r="AQ35" s="76"/>
      <c r="AR35" s="76"/>
      <c r="AS35" s="76"/>
      <c r="AT35" s="76"/>
      <c r="AU35" s="76"/>
      <c r="AV35" s="76"/>
      <c r="AW35" s="76"/>
      <c r="AX35" s="76" t="b">
        <v>0</v>
      </c>
      <c r="AY35" s="76"/>
      <c r="AZ35" s="76"/>
      <c r="BA35" s="76" t="b">
        <v>0</v>
      </c>
      <c r="BB35" s="76" t="b">
        <v>1</v>
      </c>
      <c r="BC35" s="76" t="b">
        <v>1</v>
      </c>
      <c r="BD35" s="76" t="b">
        <v>0</v>
      </c>
      <c r="BE35" s="76" t="b">
        <v>0</v>
      </c>
      <c r="BF35" s="76" t="b">
        <v>0</v>
      </c>
      <c r="BG35" s="76" t="b">
        <v>0</v>
      </c>
      <c r="BH35" s="76"/>
      <c r="BI35" s="76"/>
      <c r="BJ35" s="76" t="s">
        <v>27595</v>
      </c>
      <c r="BK35" s="76" t="b">
        <v>0</v>
      </c>
      <c r="BL35" s="76"/>
      <c r="BM35" s="76" t="s">
        <v>66</v>
      </c>
      <c r="BN35" s="76" t="s">
        <v>27597</v>
      </c>
      <c r="BO35" s="82" t="str">
        <f>HYPERLINK("https://twitter.com/oradardopoder")</f>
        <v>https://twitter.com/oradardopoder</v>
      </c>
      <c r="BP35" s="2"/>
    </row>
    <row r="36" spans="1:68" x14ac:dyDescent="0.25">
      <c r="A36" s="62" t="s">
        <v>246</v>
      </c>
      <c r="B36" s="63"/>
      <c r="C36" s="63"/>
      <c r="D36" s="64"/>
      <c r="E36" s="66"/>
      <c r="F36" s="103" t="str">
        <f>HYPERLINK("https://pbs.twimg.com/profile_images/1669941431706820609/P45hiLtk_normal.jpg")</f>
        <v>https://pbs.twimg.com/profile_images/1669941431706820609/P45hiLtk_normal.jpg</v>
      </c>
      <c r="G36" s="63"/>
      <c r="H36" s="67"/>
      <c r="I36" s="68"/>
      <c r="J36" s="68"/>
      <c r="K36" s="67" t="s">
        <v>27630</v>
      </c>
      <c r="L36" s="71"/>
      <c r="M36" s="72"/>
      <c r="N36" s="72"/>
      <c r="O36" s="73"/>
      <c r="P36" s="74"/>
      <c r="Q36" s="74"/>
      <c r="R36" s="87"/>
      <c r="S36" s="87"/>
      <c r="T36" s="87"/>
      <c r="U36" s="87"/>
      <c r="V36" s="48"/>
      <c r="W36" s="48"/>
      <c r="X36" s="48"/>
      <c r="Y36" s="48"/>
      <c r="Z36" s="47"/>
      <c r="AA36" s="69">
        <v>36</v>
      </c>
      <c r="AB36" s="69"/>
      <c r="AC36" s="70"/>
      <c r="AD36" s="76" t="s">
        <v>21281</v>
      </c>
      <c r="AE36" s="81" t="s">
        <v>20504</v>
      </c>
      <c r="AF36" s="76">
        <v>6420</v>
      </c>
      <c r="AG36" s="76">
        <v>2543</v>
      </c>
      <c r="AH36" s="76">
        <v>15922</v>
      </c>
      <c r="AI36" s="76">
        <v>76</v>
      </c>
      <c r="AJ36" s="76">
        <v>31606</v>
      </c>
      <c r="AK36" s="76">
        <v>941</v>
      </c>
      <c r="AL36" s="76" t="b">
        <v>0</v>
      </c>
      <c r="AM36" s="78">
        <v>42980.649108796293</v>
      </c>
      <c r="AN36" s="76" t="s">
        <v>14411</v>
      </c>
      <c r="AO36" s="76" t="s">
        <v>24739</v>
      </c>
      <c r="AP36" s="82" t="str">
        <f>HYPERLINK("https://t.co/auC6XmCETj")</f>
        <v>https://t.co/auC6XmCETj</v>
      </c>
      <c r="AQ36" s="82" t="str">
        <f>HYPERLINK("https://blogs.oglobo.globo.com/malu-gaspar/")</f>
        <v>https://blogs.oglobo.globo.com/malu-gaspar/</v>
      </c>
      <c r="AR36" s="76" t="s">
        <v>26380</v>
      </c>
      <c r="AS36" s="76"/>
      <c r="AT36" s="76"/>
      <c r="AU36" s="76"/>
      <c r="AV36" s="76">
        <v>1.6892372467197299E+18</v>
      </c>
      <c r="AW36" s="82" t="str">
        <f>HYPERLINK("https://t.co/auC6XmCETj")</f>
        <v>https://t.co/auC6XmCETj</v>
      </c>
      <c r="AX36" s="76" t="b">
        <v>0</v>
      </c>
      <c r="AY36" s="76"/>
      <c r="AZ36" s="76"/>
      <c r="BA36" s="76" t="b">
        <v>0</v>
      </c>
      <c r="BB36" s="76" t="b">
        <v>0</v>
      </c>
      <c r="BC36" s="76" t="b">
        <v>0</v>
      </c>
      <c r="BD36" s="76" t="b">
        <v>0</v>
      </c>
      <c r="BE36" s="76" t="b">
        <v>1</v>
      </c>
      <c r="BF36" s="76" t="b">
        <v>0</v>
      </c>
      <c r="BG36" s="76" t="b">
        <v>0</v>
      </c>
      <c r="BH36" s="82" t="str">
        <f>HYPERLINK("https://pbs.twimg.com/profile_banners/904004667998441473/1584189997")</f>
        <v>https://pbs.twimg.com/profile_banners/904004667998441473/1584189997</v>
      </c>
      <c r="BI36" s="76"/>
      <c r="BJ36" s="76" t="s">
        <v>27595</v>
      </c>
      <c r="BK36" s="76" t="b">
        <v>0</v>
      </c>
      <c r="BL36" s="76"/>
      <c r="BM36" s="76" t="s">
        <v>66</v>
      </c>
      <c r="BN36" s="76" t="s">
        <v>27597</v>
      </c>
      <c r="BO36" s="82" t="str">
        <f>HYPERLINK("https://twitter.com/rafamoraesmoura")</f>
        <v>https://twitter.com/rafamoraesmoura</v>
      </c>
      <c r="BP36" s="2"/>
    </row>
    <row r="37" spans="1:68" x14ac:dyDescent="0.25">
      <c r="A37" s="62" t="s">
        <v>247</v>
      </c>
      <c r="B37" s="63"/>
      <c r="C37" s="63"/>
      <c r="D37" s="64"/>
      <c r="E37" s="66"/>
      <c r="F37" s="103" t="str">
        <f>HYPERLINK("https://pbs.twimg.com/profile_images/1644705979903123462/5CGL6KkG_normal.jpg")</f>
        <v>https://pbs.twimg.com/profile_images/1644705979903123462/5CGL6KkG_normal.jpg</v>
      </c>
      <c r="G37" s="63"/>
      <c r="H37" s="67"/>
      <c r="I37" s="68"/>
      <c r="J37" s="68"/>
      <c r="K37" s="67" t="s">
        <v>27631</v>
      </c>
      <c r="L37" s="71"/>
      <c r="M37" s="72"/>
      <c r="N37" s="72"/>
      <c r="O37" s="73"/>
      <c r="P37" s="74"/>
      <c r="Q37" s="74"/>
      <c r="R37" s="87"/>
      <c r="S37" s="87"/>
      <c r="T37" s="87"/>
      <c r="U37" s="87"/>
      <c r="V37" s="48"/>
      <c r="W37" s="48"/>
      <c r="X37" s="48"/>
      <c r="Y37" s="48"/>
      <c r="Z37" s="47"/>
      <c r="AA37" s="69">
        <v>37</v>
      </c>
      <c r="AB37" s="69"/>
      <c r="AC37" s="70"/>
      <c r="AD37" s="76" t="s">
        <v>21282</v>
      </c>
      <c r="AE37" s="81" t="s">
        <v>20218</v>
      </c>
      <c r="AF37" s="76">
        <v>3115</v>
      </c>
      <c r="AG37" s="76">
        <v>4983</v>
      </c>
      <c r="AH37" s="76">
        <v>9187</v>
      </c>
      <c r="AI37" s="76">
        <v>0</v>
      </c>
      <c r="AJ37" s="76">
        <v>3354</v>
      </c>
      <c r="AK37" s="76">
        <v>729</v>
      </c>
      <c r="AL37" s="76" t="b">
        <v>0</v>
      </c>
      <c r="AM37" s="78">
        <v>44783.574074074073</v>
      </c>
      <c r="AN37" s="76" t="s">
        <v>14382</v>
      </c>
      <c r="AO37" s="76" t="s">
        <v>24740</v>
      </c>
      <c r="AP37" s="76"/>
      <c r="AQ37" s="76"/>
      <c r="AR37" s="76"/>
      <c r="AS37" s="76"/>
      <c r="AT37" s="76"/>
      <c r="AU37" s="76"/>
      <c r="AV37" s="76"/>
      <c r="AW37" s="76"/>
      <c r="AX37" s="76" t="b">
        <v>0</v>
      </c>
      <c r="AY37" s="76"/>
      <c r="AZ37" s="76"/>
      <c r="BA37" s="76" t="b">
        <v>0</v>
      </c>
      <c r="BB37" s="76" t="b">
        <v>0</v>
      </c>
      <c r="BC37" s="76" t="b">
        <v>1</v>
      </c>
      <c r="BD37" s="76" t="b">
        <v>0</v>
      </c>
      <c r="BE37" s="76" t="b">
        <v>1</v>
      </c>
      <c r="BF37" s="76" t="b">
        <v>0</v>
      </c>
      <c r="BG37" s="76" t="b">
        <v>0</v>
      </c>
      <c r="BH37" s="82" t="str">
        <f>HYPERLINK("https://pbs.twimg.com/profile_banners/1557362666703933445/1680963449")</f>
        <v>https://pbs.twimg.com/profile_banners/1557362666703933445/1680963449</v>
      </c>
      <c r="BI37" s="76"/>
      <c r="BJ37" s="76" t="s">
        <v>27595</v>
      </c>
      <c r="BK37" s="76" t="b">
        <v>0</v>
      </c>
      <c r="BL37" s="76"/>
      <c r="BM37" s="76" t="s">
        <v>66</v>
      </c>
      <c r="BN37" s="76" t="s">
        <v>27597</v>
      </c>
      <c r="BO37" s="82" t="str">
        <f>HYPERLINK("https://twitter.com/rogeralexbr")</f>
        <v>https://twitter.com/rogeralexbr</v>
      </c>
      <c r="BP37" s="2"/>
    </row>
    <row r="38" spans="1:68" x14ac:dyDescent="0.25">
      <c r="A38" s="62" t="s">
        <v>248</v>
      </c>
      <c r="B38" s="63"/>
      <c r="C38" s="63"/>
      <c r="D38" s="64"/>
      <c r="E38" s="66"/>
      <c r="F38" s="103" t="str">
        <f>HYPERLINK("https://pbs.twimg.com/profile_images/1571911493800558594/hgiOOjyI_normal.png")</f>
        <v>https://pbs.twimg.com/profile_images/1571911493800558594/hgiOOjyI_normal.png</v>
      </c>
      <c r="G38" s="63"/>
      <c r="H38" s="67"/>
      <c r="I38" s="68"/>
      <c r="J38" s="68"/>
      <c r="K38" s="67" t="s">
        <v>27632</v>
      </c>
      <c r="L38" s="71"/>
      <c r="M38" s="72"/>
      <c r="N38" s="72"/>
      <c r="O38" s="73"/>
      <c r="P38" s="74"/>
      <c r="Q38" s="74"/>
      <c r="R38" s="87"/>
      <c r="S38" s="87"/>
      <c r="T38" s="87"/>
      <c r="U38" s="87"/>
      <c r="V38" s="48"/>
      <c r="W38" s="48"/>
      <c r="X38" s="48"/>
      <c r="Y38" s="48"/>
      <c r="Z38" s="47"/>
      <c r="AA38" s="69">
        <v>38</v>
      </c>
      <c r="AB38" s="69"/>
      <c r="AC38" s="70"/>
      <c r="AD38" s="76" t="s">
        <v>21283</v>
      </c>
      <c r="AE38" s="81" t="s">
        <v>23081</v>
      </c>
      <c r="AF38" s="76">
        <v>2486</v>
      </c>
      <c r="AG38" s="76">
        <v>404</v>
      </c>
      <c r="AH38" s="76">
        <v>66546</v>
      </c>
      <c r="AI38" s="76">
        <v>35</v>
      </c>
      <c r="AJ38" s="76">
        <v>497</v>
      </c>
      <c r="AK38" s="76">
        <v>55697</v>
      </c>
      <c r="AL38" s="76" t="b">
        <v>0</v>
      </c>
      <c r="AM38" s="78">
        <v>41747.802025462966</v>
      </c>
      <c r="AN38" s="76" t="s">
        <v>24076</v>
      </c>
      <c r="AO38" s="76" t="s">
        <v>24741</v>
      </c>
      <c r="AP38" s="82" t="str">
        <f>HYPERLINK("https://t.co/C5q2JWOu1G")</f>
        <v>https://t.co/C5q2JWOu1G</v>
      </c>
      <c r="AQ38" s="82" t="str">
        <f>HYPERLINK("https://fortunaypoder.com/")</f>
        <v>https://fortunaypoder.com/</v>
      </c>
      <c r="AR38" s="76" t="s">
        <v>26381</v>
      </c>
      <c r="AS38" s="82" t="str">
        <f>HYPERLINK("https://t.co/Tq8v2qjVfa")</f>
        <v>https://t.co/Tq8v2qjVfa</v>
      </c>
      <c r="AT38" s="82" t="str">
        <f>HYPERLINK("http://fortunaypoder.com")</f>
        <v>http://fortunaypoder.com</v>
      </c>
      <c r="AU38" s="76" t="s">
        <v>26381</v>
      </c>
      <c r="AV38" s="76"/>
      <c r="AW38" s="82" t="str">
        <f>HYPERLINK("https://t.co/C5q2JWOu1G")</f>
        <v>https://t.co/C5q2JWOu1G</v>
      </c>
      <c r="AX38" s="76" t="b">
        <v>0</v>
      </c>
      <c r="AY38" s="76"/>
      <c r="AZ38" s="76"/>
      <c r="BA38" s="76" t="b">
        <v>0</v>
      </c>
      <c r="BB38" s="76" t="b">
        <v>1</v>
      </c>
      <c r="BC38" s="76" t="b">
        <v>1</v>
      </c>
      <c r="BD38" s="76" t="b">
        <v>0</v>
      </c>
      <c r="BE38" s="76" t="b">
        <v>1</v>
      </c>
      <c r="BF38" s="76" t="b">
        <v>0</v>
      </c>
      <c r="BG38" s="76" t="b">
        <v>0</v>
      </c>
      <c r="BH38" s="82" t="str">
        <f>HYPERLINK("https://pbs.twimg.com/profile_banners/2451825048/1663607880")</f>
        <v>https://pbs.twimg.com/profile_banners/2451825048/1663607880</v>
      </c>
      <c r="BI38" s="76"/>
      <c r="BJ38" s="76" t="s">
        <v>27595</v>
      </c>
      <c r="BK38" s="76" t="b">
        <v>0</v>
      </c>
      <c r="BL38" s="76"/>
      <c r="BM38" s="76" t="s">
        <v>66</v>
      </c>
      <c r="BN38" s="76" t="s">
        <v>27597</v>
      </c>
      <c r="BO38" s="82" t="str">
        <f>HYPERLINK("https://twitter.com/fortunaypoder")</f>
        <v>https://twitter.com/fortunaypoder</v>
      </c>
      <c r="BP38" s="2"/>
    </row>
    <row r="39" spans="1:68" x14ac:dyDescent="0.25">
      <c r="A39" s="62" t="s">
        <v>249</v>
      </c>
      <c r="B39" s="63"/>
      <c r="C39" s="63"/>
      <c r="D39" s="64"/>
      <c r="E39" s="66"/>
      <c r="F39" s="103" t="str">
        <f>HYPERLINK("https://pbs.twimg.com/profile_images/1698811409436463104/8JVOV5QX_normal.jpg")</f>
        <v>https://pbs.twimg.com/profile_images/1698811409436463104/8JVOV5QX_normal.jpg</v>
      </c>
      <c r="G39" s="63"/>
      <c r="H39" s="67"/>
      <c r="I39" s="68"/>
      <c r="J39" s="68"/>
      <c r="K39" s="67" t="s">
        <v>27633</v>
      </c>
      <c r="L39" s="71"/>
      <c r="M39" s="72"/>
      <c r="N39" s="72"/>
      <c r="O39" s="73"/>
      <c r="P39" s="74"/>
      <c r="Q39" s="74"/>
      <c r="R39" s="87"/>
      <c r="S39" s="87"/>
      <c r="T39" s="87"/>
      <c r="U39" s="87"/>
      <c r="V39" s="48"/>
      <c r="W39" s="48"/>
      <c r="X39" s="48"/>
      <c r="Y39" s="48"/>
      <c r="Z39" s="47"/>
      <c r="AA39" s="69">
        <v>39</v>
      </c>
      <c r="AB39" s="69"/>
      <c r="AC39" s="70"/>
      <c r="AD39" s="76" t="s">
        <v>21284</v>
      </c>
      <c r="AE39" s="81" t="s">
        <v>23082</v>
      </c>
      <c r="AF39" s="76">
        <v>1017</v>
      </c>
      <c r="AG39" s="76">
        <v>928</v>
      </c>
      <c r="AH39" s="76">
        <v>241374</v>
      </c>
      <c r="AI39" s="76">
        <v>18</v>
      </c>
      <c r="AJ39" s="76">
        <v>109616</v>
      </c>
      <c r="AK39" s="76">
        <v>5847</v>
      </c>
      <c r="AL39" s="76" t="b">
        <v>0</v>
      </c>
      <c r="AM39" s="78">
        <v>40130.044606481482</v>
      </c>
      <c r="AN39" s="76" t="s">
        <v>24077</v>
      </c>
      <c r="AO39" s="76" t="s">
        <v>24742</v>
      </c>
      <c r="AP39" s="82" t="str">
        <f>HYPERLINK("https://t.co/C8aGwwAcBE")</f>
        <v>https://t.co/C8aGwwAcBE</v>
      </c>
      <c r="AQ39" s="82" t="str">
        <f>HYPERLINK("http://smartcap.com.mx")</f>
        <v>http://smartcap.com.mx</v>
      </c>
      <c r="AR39" s="76" t="s">
        <v>26382</v>
      </c>
      <c r="AS39" s="76"/>
      <c r="AT39" s="76"/>
      <c r="AU39" s="76"/>
      <c r="AV39" s="76">
        <v>1.67167871912193E+18</v>
      </c>
      <c r="AW39" s="82" t="str">
        <f>HYPERLINK("https://t.co/C8aGwwAcBE")</f>
        <v>https://t.co/C8aGwwAcBE</v>
      </c>
      <c r="AX39" s="76" t="b">
        <v>0</v>
      </c>
      <c r="AY39" s="76"/>
      <c r="AZ39" s="76"/>
      <c r="BA39" s="76" t="b">
        <v>0</v>
      </c>
      <c r="BB39" s="76" t="b">
        <v>0</v>
      </c>
      <c r="BC39" s="76" t="b">
        <v>0</v>
      </c>
      <c r="BD39" s="76" t="b">
        <v>0</v>
      </c>
      <c r="BE39" s="76" t="b">
        <v>1</v>
      </c>
      <c r="BF39" s="76" t="b">
        <v>0</v>
      </c>
      <c r="BG39" s="76" t="b">
        <v>0</v>
      </c>
      <c r="BH39" s="82" t="str">
        <f>HYPERLINK("https://pbs.twimg.com/profile_banners/89589379/1687394543")</f>
        <v>https://pbs.twimg.com/profile_banners/89589379/1687394543</v>
      </c>
      <c r="BI39" s="76"/>
      <c r="BJ39" s="76" t="s">
        <v>27595</v>
      </c>
      <c r="BK39" s="76" t="b">
        <v>0</v>
      </c>
      <c r="BL39" s="76"/>
      <c r="BM39" s="76" t="s">
        <v>66</v>
      </c>
      <c r="BN39" s="76" t="s">
        <v>27597</v>
      </c>
      <c r="BO39" s="82" t="str">
        <f>HYPERLINK("https://twitter.com/mcortess_2010")</f>
        <v>https://twitter.com/mcortess_2010</v>
      </c>
      <c r="BP39" s="2"/>
    </row>
    <row r="40" spans="1:68" x14ac:dyDescent="0.25">
      <c r="A40" s="62" t="s">
        <v>250</v>
      </c>
      <c r="B40" s="63"/>
      <c r="C40" s="63"/>
      <c r="D40" s="64"/>
      <c r="E40" s="66"/>
      <c r="F40" s="103" t="str">
        <f>HYPERLINK("https://pbs.twimg.com/profile_images/1424740746217787397/yfnRJ52d_normal.jpg")</f>
        <v>https://pbs.twimg.com/profile_images/1424740746217787397/yfnRJ52d_normal.jpg</v>
      </c>
      <c r="G40" s="63"/>
      <c r="H40" s="67"/>
      <c r="I40" s="68"/>
      <c r="J40" s="68"/>
      <c r="K40" s="67" t="s">
        <v>27634</v>
      </c>
      <c r="L40" s="71"/>
      <c r="M40" s="72"/>
      <c r="N40" s="72"/>
      <c r="O40" s="73"/>
      <c r="P40" s="74"/>
      <c r="Q40" s="74"/>
      <c r="R40" s="87"/>
      <c r="S40" s="87"/>
      <c r="T40" s="87"/>
      <c r="U40" s="87"/>
      <c r="V40" s="48"/>
      <c r="W40" s="48"/>
      <c r="X40" s="48"/>
      <c r="Y40" s="48"/>
      <c r="Z40" s="47"/>
      <c r="AA40" s="69">
        <v>40</v>
      </c>
      <c r="AB40" s="69"/>
      <c r="AC40" s="70"/>
      <c r="AD40" s="76" t="s">
        <v>21285</v>
      </c>
      <c r="AE40" s="81" t="s">
        <v>20505</v>
      </c>
      <c r="AF40" s="76">
        <v>30</v>
      </c>
      <c r="AG40" s="76">
        <v>167</v>
      </c>
      <c r="AH40" s="76">
        <v>200</v>
      </c>
      <c r="AI40" s="76">
        <v>0</v>
      </c>
      <c r="AJ40" s="76">
        <v>36</v>
      </c>
      <c r="AK40" s="76">
        <v>107</v>
      </c>
      <c r="AL40" s="76" t="b">
        <v>0</v>
      </c>
      <c r="AM40" s="78">
        <v>44417.604085648149</v>
      </c>
      <c r="AN40" s="76"/>
      <c r="AO40" s="76" t="s">
        <v>24743</v>
      </c>
      <c r="AP40" s="82" t="str">
        <f>HYPERLINK("https://t.co/u96ePXOCqO")</f>
        <v>https://t.co/u96ePXOCqO</v>
      </c>
      <c r="AQ40" s="82" t="str">
        <f>HYPERLINK("https://infocobranza.com/")</f>
        <v>https://infocobranza.com/</v>
      </c>
      <c r="AR40" s="76" t="s">
        <v>26383</v>
      </c>
      <c r="AS40" s="76"/>
      <c r="AT40" s="76"/>
      <c r="AU40" s="76"/>
      <c r="AV40" s="76"/>
      <c r="AW40" s="82" t="str">
        <f>HYPERLINK("https://t.co/u96ePXOCqO")</f>
        <v>https://t.co/u96ePXOCqO</v>
      </c>
      <c r="AX40" s="76" t="b">
        <v>0</v>
      </c>
      <c r="AY40" s="76"/>
      <c r="AZ40" s="76"/>
      <c r="BA40" s="76" t="b">
        <v>0</v>
      </c>
      <c r="BB40" s="76" t="b">
        <v>1</v>
      </c>
      <c r="BC40" s="76" t="b">
        <v>1</v>
      </c>
      <c r="BD40" s="76" t="b">
        <v>0</v>
      </c>
      <c r="BE40" s="76" t="b">
        <v>0</v>
      </c>
      <c r="BF40" s="76" t="b">
        <v>0</v>
      </c>
      <c r="BG40" s="76" t="b">
        <v>0</v>
      </c>
      <c r="BH40" s="82" t="str">
        <f>HYPERLINK("https://pbs.twimg.com/profile_banners/1424739651777175556/1644436185")</f>
        <v>https://pbs.twimg.com/profile_banners/1424739651777175556/1644436185</v>
      </c>
      <c r="BI40" s="76"/>
      <c r="BJ40" s="76" t="s">
        <v>27595</v>
      </c>
      <c r="BK40" s="76" t="b">
        <v>0</v>
      </c>
      <c r="BL40" s="76"/>
      <c r="BM40" s="76" t="s">
        <v>66</v>
      </c>
      <c r="BN40" s="76" t="s">
        <v>27597</v>
      </c>
      <c r="BO40" s="82" t="str">
        <f>HYPERLINK("https://twitter.com/infocobranza")</f>
        <v>https://twitter.com/infocobranza</v>
      </c>
      <c r="BP40" s="2"/>
    </row>
    <row r="41" spans="1:68" x14ac:dyDescent="0.25">
      <c r="A41" s="62" t="s">
        <v>1669</v>
      </c>
      <c r="B41" s="63"/>
      <c r="C41" s="63"/>
      <c r="D41" s="64"/>
      <c r="E41" s="66"/>
      <c r="F41" s="103" t="str">
        <f>HYPERLINK("https://pbs.twimg.com/profile_images/1417542508066787330/L3r1GmVf_normal.png")</f>
        <v>https://pbs.twimg.com/profile_images/1417542508066787330/L3r1GmVf_normal.png</v>
      </c>
      <c r="G41" s="63"/>
      <c r="H41" s="67"/>
      <c r="I41" s="68"/>
      <c r="J41" s="68"/>
      <c r="K41" s="67" t="s">
        <v>27635</v>
      </c>
      <c r="L41" s="71"/>
      <c r="M41" s="72"/>
      <c r="N41" s="72"/>
      <c r="O41" s="73"/>
      <c r="P41" s="74"/>
      <c r="Q41" s="74"/>
      <c r="R41" s="87"/>
      <c r="S41" s="87"/>
      <c r="T41" s="87"/>
      <c r="U41" s="87"/>
      <c r="V41" s="48"/>
      <c r="W41" s="48"/>
      <c r="X41" s="48"/>
      <c r="Y41" s="48"/>
      <c r="Z41" s="47"/>
      <c r="AA41" s="69">
        <v>41</v>
      </c>
      <c r="AB41" s="69"/>
      <c r="AC41" s="70"/>
      <c r="AD41" s="76" t="s">
        <v>21286</v>
      </c>
      <c r="AE41" s="81" t="s">
        <v>23083</v>
      </c>
      <c r="AF41" s="76">
        <v>160279</v>
      </c>
      <c r="AG41" s="76">
        <v>18</v>
      </c>
      <c r="AH41" s="76">
        <v>12586</v>
      </c>
      <c r="AI41" s="76">
        <v>794</v>
      </c>
      <c r="AJ41" s="76">
        <v>0</v>
      </c>
      <c r="AK41" s="76">
        <v>8020</v>
      </c>
      <c r="AL41" s="76" t="b">
        <v>0</v>
      </c>
      <c r="AM41" s="78">
        <v>41782.009872685187</v>
      </c>
      <c r="AN41" s="76" t="s">
        <v>24078</v>
      </c>
      <c r="AO41" s="76" t="s">
        <v>24744</v>
      </c>
      <c r="AP41" s="82" t="str">
        <f>HYPERLINK("https://t.co/XRQ0vmtoIF")</f>
        <v>https://t.co/XRQ0vmtoIF</v>
      </c>
      <c r="AQ41" s="82" t="str">
        <f>HYPERLINK("http://www.bcra.gob.ar")</f>
        <v>http://www.bcra.gob.ar</v>
      </c>
      <c r="AR41" s="76" t="s">
        <v>26384</v>
      </c>
      <c r="AS41" s="82" t="str">
        <f>HYPERLINK("https://t.co/J99tsuGBni")</f>
        <v>https://t.co/J99tsuGBni</v>
      </c>
      <c r="AT41" s="82" t="str">
        <f>HYPERLINK("http://usuariosfinancieros.gob.ar")</f>
        <v>http://usuariosfinancieros.gob.ar</v>
      </c>
      <c r="AU41" s="76" t="s">
        <v>27448</v>
      </c>
      <c r="AV41" s="76"/>
      <c r="AW41" s="82" t="str">
        <f>HYPERLINK("https://t.co/XRQ0vmtoIF")</f>
        <v>https://t.co/XRQ0vmtoIF</v>
      </c>
      <c r="AX41" s="76" t="b">
        <v>1</v>
      </c>
      <c r="AY41" s="76"/>
      <c r="AZ41" s="76"/>
      <c r="BA41" s="76" t="b">
        <v>0</v>
      </c>
      <c r="BB41" s="76" t="b">
        <v>0</v>
      </c>
      <c r="BC41" s="76" t="b">
        <v>0</v>
      </c>
      <c r="BD41" s="76" t="b">
        <v>0</v>
      </c>
      <c r="BE41" s="76" t="b">
        <v>1</v>
      </c>
      <c r="BF41" s="76" t="b">
        <v>0</v>
      </c>
      <c r="BG41" s="76" t="b">
        <v>0</v>
      </c>
      <c r="BH41" s="82" t="str">
        <f>HYPERLINK("https://pbs.twimg.com/profile_banners/2516650610/1624657491")</f>
        <v>https://pbs.twimg.com/profile_banners/2516650610/1624657491</v>
      </c>
      <c r="BI41" s="76"/>
      <c r="BJ41" s="76" t="s">
        <v>27595</v>
      </c>
      <c r="BK41" s="76" t="b">
        <v>0</v>
      </c>
      <c r="BL41" s="76"/>
      <c r="BM41" s="76" t="s">
        <v>66</v>
      </c>
      <c r="BN41" s="76" t="s">
        <v>27597</v>
      </c>
      <c r="BO41" s="82" t="str">
        <f>HYPERLINK("https://twitter.com/bancocentral_ar")</f>
        <v>https://twitter.com/bancocentral_ar</v>
      </c>
      <c r="BP41" s="2"/>
    </row>
    <row r="42" spans="1:68" x14ac:dyDescent="0.25">
      <c r="A42" s="62" t="s">
        <v>251</v>
      </c>
      <c r="B42" s="63"/>
      <c r="C42" s="63"/>
      <c r="D42" s="64"/>
      <c r="E42" s="66"/>
      <c r="F42" s="103" t="str">
        <f>HYPERLINK("https://pbs.twimg.com/profile_images/1653515749401436160/DPgar9BY_normal.jpg")</f>
        <v>https://pbs.twimg.com/profile_images/1653515749401436160/DPgar9BY_normal.jpg</v>
      </c>
      <c r="G42" s="63"/>
      <c r="H42" s="67"/>
      <c r="I42" s="68"/>
      <c r="J42" s="68"/>
      <c r="K42" s="67" t="s">
        <v>27636</v>
      </c>
      <c r="L42" s="71"/>
      <c r="M42" s="72"/>
      <c r="N42" s="72"/>
      <c r="O42" s="73"/>
      <c r="P42" s="74"/>
      <c r="Q42" s="74"/>
      <c r="R42" s="87"/>
      <c r="S42" s="87"/>
      <c r="T42" s="87"/>
      <c r="U42" s="87"/>
      <c r="V42" s="48"/>
      <c r="W42" s="48"/>
      <c r="X42" s="48"/>
      <c r="Y42" s="48"/>
      <c r="Z42" s="47"/>
      <c r="AA42" s="69">
        <v>42</v>
      </c>
      <c r="AB42" s="69"/>
      <c r="AC42" s="70"/>
      <c r="AD42" s="76" t="s">
        <v>21287</v>
      </c>
      <c r="AE42" s="81" t="s">
        <v>23084</v>
      </c>
      <c r="AF42" s="76">
        <v>54897</v>
      </c>
      <c r="AG42" s="76">
        <v>7169</v>
      </c>
      <c r="AH42" s="76">
        <v>291430</v>
      </c>
      <c r="AI42" s="76">
        <v>204</v>
      </c>
      <c r="AJ42" s="76">
        <v>2483</v>
      </c>
      <c r="AK42" s="76">
        <v>65626</v>
      </c>
      <c r="AL42" s="76" t="b">
        <v>0</v>
      </c>
      <c r="AM42" s="78">
        <v>40656.988067129627</v>
      </c>
      <c r="AN42" s="76" t="s">
        <v>24079</v>
      </c>
      <c r="AO42" s="76" t="s">
        <v>24745</v>
      </c>
      <c r="AP42" s="82" t="str">
        <f>HYPERLINK("https://t.co/fVcq2o8L2i")</f>
        <v>https://t.co/fVcq2o8L2i</v>
      </c>
      <c r="AQ42" s="82" t="str">
        <f>HYPERLINK("http://www.quepasasalta.com.ar/")</f>
        <v>http://www.quepasasalta.com.ar/</v>
      </c>
      <c r="AR42" s="76" t="s">
        <v>26385</v>
      </c>
      <c r="AS42" s="76"/>
      <c r="AT42" s="76"/>
      <c r="AU42" s="76"/>
      <c r="AV42" s="76"/>
      <c r="AW42" s="82" t="str">
        <f>HYPERLINK("https://t.co/fVcq2o8L2i")</f>
        <v>https://t.co/fVcq2o8L2i</v>
      </c>
      <c r="AX42" s="76" t="b">
        <v>0</v>
      </c>
      <c r="AY42" s="76"/>
      <c r="AZ42" s="76"/>
      <c r="BA42" s="76" t="b">
        <v>0</v>
      </c>
      <c r="BB42" s="76" t="b">
        <v>1</v>
      </c>
      <c r="BC42" s="76" t="b">
        <v>0</v>
      </c>
      <c r="BD42" s="76" t="b">
        <v>0</v>
      </c>
      <c r="BE42" s="76" t="b">
        <v>1</v>
      </c>
      <c r="BF42" s="76" t="b">
        <v>0</v>
      </c>
      <c r="BG42" s="76" t="b">
        <v>0</v>
      </c>
      <c r="BH42" s="82" t="str">
        <f>HYPERLINK("https://pbs.twimg.com/profile_banners/286916211/1667919454")</f>
        <v>https://pbs.twimg.com/profile_banners/286916211/1667919454</v>
      </c>
      <c r="BI42" s="76"/>
      <c r="BJ42" s="76" t="s">
        <v>27595</v>
      </c>
      <c r="BK42" s="76" t="b">
        <v>0</v>
      </c>
      <c r="BL42" s="76"/>
      <c r="BM42" s="76" t="s">
        <v>66</v>
      </c>
      <c r="BN42" s="76" t="s">
        <v>27597</v>
      </c>
      <c r="BO42" s="82" t="str">
        <f>HYPERLINK("https://twitter.com/quepasasalta")</f>
        <v>https://twitter.com/quepasasalta</v>
      </c>
      <c r="BP42" s="2"/>
    </row>
    <row r="43" spans="1:68" x14ac:dyDescent="0.25">
      <c r="A43" s="62" t="s">
        <v>252</v>
      </c>
      <c r="B43" s="63"/>
      <c r="C43" s="63"/>
      <c r="D43" s="64"/>
      <c r="E43" s="66"/>
      <c r="F43" s="103" t="str">
        <f>HYPERLINK("https://pbs.twimg.com/profile_images/799815746612101121/X3FYNkNN_normal.jpg")</f>
        <v>https://pbs.twimg.com/profile_images/799815746612101121/X3FYNkNN_normal.jpg</v>
      </c>
      <c r="G43" s="63"/>
      <c r="H43" s="67"/>
      <c r="I43" s="68"/>
      <c r="J43" s="68"/>
      <c r="K43" s="67" t="s">
        <v>27637</v>
      </c>
      <c r="L43" s="71"/>
      <c r="M43" s="72"/>
      <c r="N43" s="72"/>
      <c r="O43" s="73"/>
      <c r="P43" s="74"/>
      <c r="Q43" s="74"/>
      <c r="R43" s="87"/>
      <c r="S43" s="87"/>
      <c r="T43" s="87"/>
      <c r="U43" s="87"/>
      <c r="V43" s="48"/>
      <c r="W43" s="48"/>
      <c r="X43" s="48"/>
      <c r="Y43" s="48"/>
      <c r="Z43" s="47"/>
      <c r="AA43" s="69">
        <v>43</v>
      </c>
      <c r="AB43" s="69"/>
      <c r="AC43" s="70"/>
      <c r="AD43" s="76" t="s">
        <v>21288</v>
      </c>
      <c r="AE43" s="81" t="s">
        <v>23085</v>
      </c>
      <c r="AF43" s="76">
        <v>1599</v>
      </c>
      <c r="AG43" s="76">
        <v>347</v>
      </c>
      <c r="AH43" s="76">
        <v>24747</v>
      </c>
      <c r="AI43" s="76">
        <v>10</v>
      </c>
      <c r="AJ43" s="76">
        <v>5931</v>
      </c>
      <c r="AK43" s="76">
        <v>2273</v>
      </c>
      <c r="AL43" s="76" t="b">
        <v>0</v>
      </c>
      <c r="AM43" s="78">
        <v>41017.672812500001</v>
      </c>
      <c r="AN43" s="76"/>
      <c r="AO43" s="76" t="s">
        <v>24746</v>
      </c>
      <c r="AP43" s="76"/>
      <c r="AQ43" s="76"/>
      <c r="AR43" s="76"/>
      <c r="AS43" s="76"/>
      <c r="AT43" s="76"/>
      <c r="AU43" s="76"/>
      <c r="AV43" s="76"/>
      <c r="AW43" s="76"/>
      <c r="AX43" s="76" t="b">
        <v>0</v>
      </c>
      <c r="AY43" s="76"/>
      <c r="AZ43" s="76"/>
      <c r="BA43" s="76" t="b">
        <v>0</v>
      </c>
      <c r="BB43" s="76" t="b">
        <v>1</v>
      </c>
      <c r="BC43" s="76" t="b">
        <v>0</v>
      </c>
      <c r="BD43" s="76" t="b">
        <v>0</v>
      </c>
      <c r="BE43" s="76" t="b">
        <v>1</v>
      </c>
      <c r="BF43" s="76" t="b">
        <v>0</v>
      </c>
      <c r="BG43" s="76" t="b">
        <v>0</v>
      </c>
      <c r="BH43" s="82" t="str">
        <f>HYPERLINK("https://pbs.twimg.com/profile_banners/557078430/1687478711")</f>
        <v>https://pbs.twimg.com/profile_banners/557078430/1687478711</v>
      </c>
      <c r="BI43" s="76"/>
      <c r="BJ43" s="76" t="s">
        <v>27595</v>
      </c>
      <c r="BK43" s="76" t="b">
        <v>0</v>
      </c>
      <c r="BL43" s="76"/>
      <c r="BM43" s="76" t="s">
        <v>66</v>
      </c>
      <c r="BN43" s="76" t="s">
        <v>27597</v>
      </c>
      <c r="BO43" s="82" t="str">
        <f>HYPERLINK("https://twitter.com/jcarlos_arroyo")</f>
        <v>https://twitter.com/jcarlos_arroyo</v>
      </c>
      <c r="BP43" s="2"/>
    </row>
    <row r="44" spans="1:68" x14ac:dyDescent="0.25">
      <c r="A44" s="62" t="s">
        <v>1700</v>
      </c>
      <c r="B44" s="63"/>
      <c r="C44" s="63"/>
      <c r="D44" s="64"/>
      <c r="E44" s="66"/>
      <c r="F44" s="103" t="str">
        <f>HYPERLINK("https://pbs.twimg.com/profile_images/1308769664240160770/AfgzWVE7_normal.jpg")</f>
        <v>https://pbs.twimg.com/profile_images/1308769664240160770/AfgzWVE7_normal.jpg</v>
      </c>
      <c r="G44" s="63"/>
      <c r="H44" s="67"/>
      <c r="I44" s="68"/>
      <c r="J44" s="68"/>
      <c r="K44" s="67" t="s">
        <v>27638</v>
      </c>
      <c r="L44" s="71"/>
      <c r="M44" s="72"/>
      <c r="N44" s="72"/>
      <c r="O44" s="73"/>
      <c r="P44" s="74"/>
      <c r="Q44" s="74"/>
      <c r="R44" s="87"/>
      <c r="S44" s="87"/>
      <c r="T44" s="87"/>
      <c r="U44" s="87"/>
      <c r="V44" s="48"/>
      <c r="W44" s="48"/>
      <c r="X44" s="48"/>
      <c r="Y44" s="48"/>
      <c r="Z44" s="47"/>
      <c r="AA44" s="69">
        <v>44</v>
      </c>
      <c r="AB44" s="69"/>
      <c r="AC44" s="70"/>
      <c r="AD44" s="76" t="s">
        <v>21289</v>
      </c>
      <c r="AE44" s="81" t="s">
        <v>23086</v>
      </c>
      <c r="AF44" s="76">
        <v>37474197</v>
      </c>
      <c r="AG44" s="76">
        <v>47</v>
      </c>
      <c r="AH44" s="76">
        <v>9637</v>
      </c>
      <c r="AI44" s="76">
        <v>41908</v>
      </c>
      <c r="AJ44" s="76">
        <v>25</v>
      </c>
      <c r="AK44" s="76">
        <v>2709</v>
      </c>
      <c r="AL44" s="76" t="b">
        <v>0</v>
      </c>
      <c r="AM44" s="78">
        <v>39152.744027777779</v>
      </c>
      <c r="AN44" s="76" t="s">
        <v>24080</v>
      </c>
      <c r="AO44" s="76" t="s">
        <v>24747</v>
      </c>
      <c r="AP44" s="82" t="str">
        <f>HYPERLINK("https://t.co/g69HDLeWU6")</f>
        <v>https://t.co/g69HDLeWU6</v>
      </c>
      <c r="AQ44" s="82" t="str">
        <f>HYPERLINK("http://joebiden.com")</f>
        <v>http://joebiden.com</v>
      </c>
      <c r="AR44" s="76" t="s">
        <v>26386</v>
      </c>
      <c r="AS44" s="76"/>
      <c r="AT44" s="76"/>
      <c r="AU44" s="76"/>
      <c r="AV44" s="76"/>
      <c r="AW44" s="82" t="str">
        <f>HYPERLINK("https://t.co/g69HDLeWU6")</f>
        <v>https://t.co/g69HDLeWU6</v>
      </c>
      <c r="AX44" s="76" t="b">
        <v>1</v>
      </c>
      <c r="AY44" s="76"/>
      <c r="AZ44" s="76"/>
      <c r="BA44" s="76" t="b">
        <v>0</v>
      </c>
      <c r="BB44" s="76" t="b">
        <v>0</v>
      </c>
      <c r="BC44" s="76" t="b">
        <v>0</v>
      </c>
      <c r="BD44" s="76" t="b">
        <v>0</v>
      </c>
      <c r="BE44" s="76" t="b">
        <v>0</v>
      </c>
      <c r="BF44" s="76" t="b">
        <v>0</v>
      </c>
      <c r="BG44" s="76" t="b">
        <v>0</v>
      </c>
      <c r="BH44" s="82" t="str">
        <f>HYPERLINK("https://pbs.twimg.com/profile_banners/939091/1682416841")</f>
        <v>https://pbs.twimg.com/profile_banners/939091/1682416841</v>
      </c>
      <c r="BI44" s="76"/>
      <c r="BJ44" s="76" t="s">
        <v>27595</v>
      </c>
      <c r="BK44" s="76" t="b">
        <v>0</v>
      </c>
      <c r="BL44" s="76"/>
      <c r="BM44" s="76" t="s">
        <v>65</v>
      </c>
      <c r="BN44" s="76" t="s">
        <v>27597</v>
      </c>
      <c r="BO44" s="82" t="str">
        <f>HYPERLINK("https://twitter.com/joebiden")</f>
        <v>https://twitter.com/joebiden</v>
      </c>
      <c r="BP44" s="2"/>
    </row>
    <row r="45" spans="1:68" x14ac:dyDescent="0.25">
      <c r="A45" s="62" t="s">
        <v>253</v>
      </c>
      <c r="B45" s="63"/>
      <c r="C45" s="63"/>
      <c r="D45" s="64"/>
      <c r="E45" s="66"/>
      <c r="F45" s="103" t="str">
        <f>HYPERLINK("https://pbs.twimg.com/profile_images/1380960427945963525/TtDwdnpT_normal.jpg")</f>
        <v>https://pbs.twimg.com/profile_images/1380960427945963525/TtDwdnpT_normal.jpg</v>
      </c>
      <c r="G45" s="63"/>
      <c r="H45" s="67"/>
      <c r="I45" s="68"/>
      <c r="J45" s="68"/>
      <c r="K45" s="67" t="s">
        <v>27639</v>
      </c>
      <c r="L45" s="71"/>
      <c r="M45" s="72"/>
      <c r="N45" s="72"/>
      <c r="O45" s="73"/>
      <c r="P45" s="74"/>
      <c r="Q45" s="74"/>
      <c r="R45" s="87"/>
      <c r="S45" s="87"/>
      <c r="T45" s="87"/>
      <c r="U45" s="87"/>
      <c r="V45" s="48"/>
      <c r="W45" s="48"/>
      <c r="X45" s="48"/>
      <c r="Y45" s="48"/>
      <c r="Z45" s="47"/>
      <c r="AA45" s="69">
        <v>45</v>
      </c>
      <c r="AB45" s="69"/>
      <c r="AC45" s="70"/>
      <c r="AD45" s="76" t="s">
        <v>21290</v>
      </c>
      <c r="AE45" s="81" t="s">
        <v>20506</v>
      </c>
      <c r="AF45" s="76">
        <v>59</v>
      </c>
      <c r="AG45" s="76">
        <v>337</v>
      </c>
      <c r="AH45" s="76">
        <v>7457</v>
      </c>
      <c r="AI45" s="76">
        <v>1</v>
      </c>
      <c r="AJ45" s="76">
        <v>624</v>
      </c>
      <c r="AK45" s="76">
        <v>201</v>
      </c>
      <c r="AL45" s="76" t="b">
        <v>0</v>
      </c>
      <c r="AM45" s="78">
        <v>42677.054664351854</v>
      </c>
      <c r="AN45" s="76" t="s">
        <v>24081</v>
      </c>
      <c r="AO45" s="76" t="s">
        <v>24748</v>
      </c>
      <c r="AP45" s="82" t="str">
        <f>HYPERLINK("https://t.co/v2t7pgEj5W")</f>
        <v>https://t.co/v2t7pgEj5W</v>
      </c>
      <c r="AQ45" s="82" t="str">
        <f>HYPERLINK("https://saibajanews.com.br")</f>
        <v>https://saibajanews.com.br</v>
      </c>
      <c r="AR45" s="76" t="s">
        <v>26387</v>
      </c>
      <c r="AS45" s="76"/>
      <c r="AT45" s="76"/>
      <c r="AU45" s="76"/>
      <c r="AV45" s="76"/>
      <c r="AW45" s="82" t="str">
        <f>HYPERLINK("https://t.co/v2t7pgEj5W")</f>
        <v>https://t.co/v2t7pgEj5W</v>
      </c>
      <c r="AX45" s="76" t="b">
        <v>0</v>
      </c>
      <c r="AY45" s="76"/>
      <c r="AZ45" s="76"/>
      <c r="BA45" s="76" t="b">
        <v>0</v>
      </c>
      <c r="BB45" s="76" t="b">
        <v>1</v>
      </c>
      <c r="BC45" s="76" t="b">
        <v>1</v>
      </c>
      <c r="BD45" s="76" t="b">
        <v>0</v>
      </c>
      <c r="BE45" s="76" t="b">
        <v>0</v>
      </c>
      <c r="BF45" s="76" t="b">
        <v>0</v>
      </c>
      <c r="BG45" s="76" t="b">
        <v>0</v>
      </c>
      <c r="BH45" s="82" t="str">
        <f>HYPERLINK("https://pbs.twimg.com/profile_banners/793985725268160512/1659919738")</f>
        <v>https://pbs.twimg.com/profile_banners/793985725268160512/1659919738</v>
      </c>
      <c r="BI45" s="76"/>
      <c r="BJ45" s="76" t="s">
        <v>27595</v>
      </c>
      <c r="BK45" s="76" t="b">
        <v>0</v>
      </c>
      <c r="BL45" s="76"/>
      <c r="BM45" s="76" t="s">
        <v>66</v>
      </c>
      <c r="BN45" s="76" t="s">
        <v>27597</v>
      </c>
      <c r="BO45" s="82" t="str">
        <f>HYPERLINK("https://twitter.com/jsilvadestaques")</f>
        <v>https://twitter.com/jsilvadestaques</v>
      </c>
      <c r="BP45" s="2"/>
    </row>
    <row r="46" spans="1:68" x14ac:dyDescent="0.25">
      <c r="A46" s="62" t="s">
        <v>254</v>
      </c>
      <c r="B46" s="63"/>
      <c r="C46" s="63"/>
      <c r="D46" s="64"/>
      <c r="E46" s="66"/>
      <c r="F46" s="103" t="str">
        <f>HYPERLINK("https://pbs.twimg.com/profile_images/1657546161262133249/CgHxXjPN_normal.jpg")</f>
        <v>https://pbs.twimg.com/profile_images/1657546161262133249/CgHxXjPN_normal.jpg</v>
      </c>
      <c r="G46" s="63"/>
      <c r="H46" s="67"/>
      <c r="I46" s="68"/>
      <c r="J46" s="68"/>
      <c r="K46" s="67" t="s">
        <v>27640</v>
      </c>
      <c r="L46" s="71"/>
      <c r="M46" s="72"/>
      <c r="N46" s="72"/>
      <c r="O46" s="73"/>
      <c r="P46" s="74"/>
      <c r="Q46" s="74"/>
      <c r="R46" s="87"/>
      <c r="S46" s="87"/>
      <c r="T46" s="87"/>
      <c r="U46" s="87"/>
      <c r="V46" s="48"/>
      <c r="W46" s="48"/>
      <c r="X46" s="48"/>
      <c r="Y46" s="48"/>
      <c r="Z46" s="47"/>
      <c r="AA46" s="69">
        <v>46</v>
      </c>
      <c r="AB46" s="69"/>
      <c r="AC46" s="70"/>
      <c r="AD46" s="76" t="s">
        <v>21291</v>
      </c>
      <c r="AE46" s="81" t="s">
        <v>23087</v>
      </c>
      <c r="AF46" s="76">
        <v>12694</v>
      </c>
      <c r="AG46" s="76">
        <v>100</v>
      </c>
      <c r="AH46" s="76">
        <v>54137</v>
      </c>
      <c r="AI46" s="76">
        <v>120</v>
      </c>
      <c r="AJ46" s="76">
        <v>186</v>
      </c>
      <c r="AK46" s="76">
        <v>2439</v>
      </c>
      <c r="AL46" s="76" t="b">
        <v>0</v>
      </c>
      <c r="AM46" s="78">
        <v>39888.819965277777</v>
      </c>
      <c r="AN46" s="76" t="s">
        <v>24082</v>
      </c>
      <c r="AO46" s="76" t="s">
        <v>24749</v>
      </c>
      <c r="AP46" s="82" t="str">
        <f>HYPERLINK("https://t.co/nMuaCwRNW6")</f>
        <v>https://t.co/nMuaCwRNW6</v>
      </c>
      <c r="AQ46" s="82" t="str">
        <f>HYPERLINK("http://www.diariodovale.com.br")</f>
        <v>http://www.diariodovale.com.br</v>
      </c>
      <c r="AR46" s="76" t="s">
        <v>26388</v>
      </c>
      <c r="AS46" s="76"/>
      <c r="AT46" s="76"/>
      <c r="AU46" s="76"/>
      <c r="AV46" s="76">
        <v>1.42620003565456E+18</v>
      </c>
      <c r="AW46" s="82" t="str">
        <f>HYPERLINK("https://t.co/nMuaCwRNW6")</f>
        <v>https://t.co/nMuaCwRNW6</v>
      </c>
      <c r="AX46" s="76" t="b">
        <v>0</v>
      </c>
      <c r="AY46" s="76"/>
      <c r="AZ46" s="76"/>
      <c r="BA46" s="76" t="b">
        <v>0</v>
      </c>
      <c r="BB46" s="76" t="b">
        <v>1</v>
      </c>
      <c r="BC46" s="76" t="b">
        <v>0</v>
      </c>
      <c r="BD46" s="76" t="b">
        <v>0</v>
      </c>
      <c r="BE46" s="76" t="b">
        <v>0</v>
      </c>
      <c r="BF46" s="76" t="b">
        <v>0</v>
      </c>
      <c r="BG46" s="76" t="b">
        <v>0</v>
      </c>
      <c r="BH46" s="82" t="str">
        <f>HYPERLINK("https://pbs.twimg.com/profile_banners/24753566/1684024794")</f>
        <v>https://pbs.twimg.com/profile_banners/24753566/1684024794</v>
      </c>
      <c r="BI46" s="76"/>
      <c r="BJ46" s="76" t="s">
        <v>27595</v>
      </c>
      <c r="BK46" s="76" t="b">
        <v>0</v>
      </c>
      <c r="BL46" s="76"/>
      <c r="BM46" s="76" t="s">
        <v>66</v>
      </c>
      <c r="BN46" s="76" t="s">
        <v>27597</v>
      </c>
      <c r="BO46" s="82" t="str">
        <f>HYPERLINK("https://twitter.com/diariodovale")</f>
        <v>https://twitter.com/diariodovale</v>
      </c>
      <c r="BP46" s="2"/>
    </row>
    <row r="47" spans="1:68" x14ac:dyDescent="0.25">
      <c r="A47" s="62" t="s">
        <v>255</v>
      </c>
      <c r="B47" s="63"/>
      <c r="C47" s="63"/>
      <c r="D47" s="64"/>
      <c r="E47" s="66"/>
      <c r="F47" s="103" t="str">
        <f>HYPERLINK("https://pbs.twimg.com/profile_images/906943816644517888/pxoib5Gn_normal.jpg")</f>
        <v>https://pbs.twimg.com/profile_images/906943816644517888/pxoib5Gn_normal.jpg</v>
      </c>
      <c r="G47" s="63"/>
      <c r="H47" s="67"/>
      <c r="I47" s="68"/>
      <c r="J47" s="68"/>
      <c r="K47" s="67" t="s">
        <v>27641</v>
      </c>
      <c r="L47" s="71"/>
      <c r="M47" s="72"/>
      <c r="N47" s="72"/>
      <c r="O47" s="73"/>
      <c r="P47" s="74"/>
      <c r="Q47" s="74"/>
      <c r="R47" s="87"/>
      <c r="S47" s="87"/>
      <c r="T47" s="87"/>
      <c r="U47" s="87"/>
      <c r="V47" s="48"/>
      <c r="W47" s="48"/>
      <c r="X47" s="48"/>
      <c r="Y47" s="48"/>
      <c r="Z47" s="47"/>
      <c r="AA47" s="69">
        <v>47</v>
      </c>
      <c r="AB47" s="69"/>
      <c r="AC47" s="70"/>
      <c r="AD47" s="76" t="s">
        <v>21292</v>
      </c>
      <c r="AE47" s="81" t="s">
        <v>20507</v>
      </c>
      <c r="AF47" s="76">
        <v>2802</v>
      </c>
      <c r="AG47" s="76">
        <v>1988</v>
      </c>
      <c r="AH47" s="76">
        <v>18632</v>
      </c>
      <c r="AI47" s="76">
        <v>14</v>
      </c>
      <c r="AJ47" s="76">
        <v>11474</v>
      </c>
      <c r="AK47" s="76">
        <v>14701</v>
      </c>
      <c r="AL47" s="76" t="b">
        <v>0</v>
      </c>
      <c r="AM47" s="78">
        <v>42988.758240740739</v>
      </c>
      <c r="AN47" s="76" t="s">
        <v>14381</v>
      </c>
      <c r="AO47" s="76" t="s">
        <v>24750</v>
      </c>
      <c r="AP47" s="82" t="str">
        <f>HYPERLINK("https://t.co/qBbwJLnMOz")</f>
        <v>https://t.co/qBbwJLnMOz</v>
      </c>
      <c r="AQ47" s="82" t="str">
        <f>HYPERLINK("http://www.invertix.com.do")</f>
        <v>http://www.invertix.com.do</v>
      </c>
      <c r="AR47" s="76" t="s">
        <v>26389</v>
      </c>
      <c r="AS47" s="76"/>
      <c r="AT47" s="76"/>
      <c r="AU47" s="76"/>
      <c r="AV47" s="76">
        <v>1.70643572064095E+18</v>
      </c>
      <c r="AW47" s="82" t="str">
        <f>HYPERLINK("https://t.co/qBbwJLnMOz")</f>
        <v>https://t.co/qBbwJLnMOz</v>
      </c>
      <c r="AX47" s="76" t="b">
        <v>1</v>
      </c>
      <c r="AY47" s="76"/>
      <c r="AZ47" s="76"/>
      <c r="BA47" s="76" t="b">
        <v>1</v>
      </c>
      <c r="BB47" s="76" t="b">
        <v>0</v>
      </c>
      <c r="BC47" s="76" t="b">
        <v>0</v>
      </c>
      <c r="BD47" s="76" t="b">
        <v>0</v>
      </c>
      <c r="BE47" s="76" t="b">
        <v>1</v>
      </c>
      <c r="BF47" s="76" t="b">
        <v>0</v>
      </c>
      <c r="BG47" s="76" t="b">
        <v>0</v>
      </c>
      <c r="BH47" s="82" t="str">
        <f>HYPERLINK("https://pbs.twimg.com/profile_banners/906943319934160897/1505067250")</f>
        <v>https://pbs.twimg.com/profile_banners/906943319934160897/1505067250</v>
      </c>
      <c r="BI47" s="76"/>
      <c r="BJ47" s="76" t="s">
        <v>27595</v>
      </c>
      <c r="BK47" s="76" t="b">
        <v>0</v>
      </c>
      <c r="BL47" s="76"/>
      <c r="BM47" s="76" t="s">
        <v>66</v>
      </c>
      <c r="BN47" s="76" t="s">
        <v>27597</v>
      </c>
      <c r="BO47" s="82" t="str">
        <f>HYPERLINK("https://twitter.com/invertixrd")</f>
        <v>https://twitter.com/invertixrd</v>
      </c>
      <c r="BP47" s="2"/>
    </row>
    <row r="48" spans="1:68" x14ac:dyDescent="0.25">
      <c r="A48" s="62" t="s">
        <v>256</v>
      </c>
      <c r="B48" s="63"/>
      <c r="C48" s="63"/>
      <c r="D48" s="64"/>
      <c r="E48" s="66"/>
      <c r="F48" s="103" t="str">
        <f>HYPERLINK("https://pbs.twimg.com/profile_images/1586197462288572416/IogJCR78_normal.jpg")</f>
        <v>https://pbs.twimg.com/profile_images/1586197462288572416/IogJCR78_normal.jpg</v>
      </c>
      <c r="G48" s="63"/>
      <c r="H48" s="67"/>
      <c r="I48" s="68"/>
      <c r="J48" s="68"/>
      <c r="K48" s="67" t="s">
        <v>27642</v>
      </c>
      <c r="L48" s="71"/>
      <c r="M48" s="72"/>
      <c r="N48" s="72"/>
      <c r="O48" s="73"/>
      <c r="P48" s="74"/>
      <c r="Q48" s="74"/>
      <c r="R48" s="87"/>
      <c r="S48" s="87"/>
      <c r="T48" s="87"/>
      <c r="U48" s="87"/>
      <c r="V48" s="48"/>
      <c r="W48" s="48"/>
      <c r="X48" s="48"/>
      <c r="Y48" s="48"/>
      <c r="Z48" s="47"/>
      <c r="AA48" s="69">
        <v>48</v>
      </c>
      <c r="AB48" s="69"/>
      <c r="AC48" s="70"/>
      <c r="AD48" s="76" t="s">
        <v>21293</v>
      </c>
      <c r="AE48" s="81" t="s">
        <v>20508</v>
      </c>
      <c r="AF48" s="76">
        <v>1554</v>
      </c>
      <c r="AG48" s="76">
        <v>3400</v>
      </c>
      <c r="AH48" s="76">
        <v>708</v>
      </c>
      <c r="AI48" s="76">
        <v>0</v>
      </c>
      <c r="AJ48" s="76">
        <v>1224</v>
      </c>
      <c r="AK48" s="76">
        <v>147</v>
      </c>
      <c r="AL48" s="76" t="b">
        <v>0</v>
      </c>
      <c r="AM48" s="78">
        <v>44564.856516203705</v>
      </c>
      <c r="AN48" s="76" t="s">
        <v>24083</v>
      </c>
      <c r="AO48" s="76" t="s">
        <v>24751</v>
      </c>
      <c r="AP48" s="76"/>
      <c r="AQ48" s="76"/>
      <c r="AR48" s="76"/>
      <c r="AS48" s="76"/>
      <c r="AT48" s="76"/>
      <c r="AU48" s="76"/>
      <c r="AV48" s="76">
        <v>1.6322176101871601E+18</v>
      </c>
      <c r="AW48" s="76"/>
      <c r="AX48" s="76" t="b">
        <v>0</v>
      </c>
      <c r="AY48" s="76"/>
      <c r="AZ48" s="76"/>
      <c r="BA48" s="76" t="b">
        <v>0</v>
      </c>
      <c r="BB48" s="76" t="b">
        <v>1</v>
      </c>
      <c r="BC48" s="76" t="b">
        <v>1</v>
      </c>
      <c r="BD48" s="76" t="b">
        <v>0</v>
      </c>
      <c r="BE48" s="76" t="b">
        <v>0</v>
      </c>
      <c r="BF48" s="76" t="b">
        <v>0</v>
      </c>
      <c r="BG48" s="76" t="b">
        <v>0</v>
      </c>
      <c r="BH48" s="82" t="str">
        <f>HYPERLINK("https://pbs.twimg.com/profile_banners/1478102018111721476/1680243483")</f>
        <v>https://pbs.twimg.com/profile_banners/1478102018111721476/1680243483</v>
      </c>
      <c r="BI48" s="76"/>
      <c r="BJ48" s="76" t="s">
        <v>27595</v>
      </c>
      <c r="BK48" s="76" t="b">
        <v>0</v>
      </c>
      <c r="BL48" s="76"/>
      <c r="BM48" s="76" t="s">
        <v>66</v>
      </c>
      <c r="BN48" s="76" t="s">
        <v>27597</v>
      </c>
      <c r="BO48" s="82" t="str">
        <f>HYPERLINK("https://twitter.com/gabi_agustin_g")</f>
        <v>https://twitter.com/gabi_agustin_g</v>
      </c>
      <c r="BP48" s="2"/>
    </row>
    <row r="49" spans="1:68" x14ac:dyDescent="0.25">
      <c r="A49" s="62" t="s">
        <v>257</v>
      </c>
      <c r="B49" s="63"/>
      <c r="C49" s="63"/>
      <c r="D49" s="64"/>
      <c r="E49" s="66"/>
      <c r="F49" s="103" t="str">
        <f>HYPERLINK("https://pbs.twimg.com/profile_images/1642498715142307841/VYTYL-yu_normal.jpg")</f>
        <v>https://pbs.twimg.com/profile_images/1642498715142307841/VYTYL-yu_normal.jpg</v>
      </c>
      <c r="G49" s="63"/>
      <c r="H49" s="67"/>
      <c r="I49" s="68"/>
      <c r="J49" s="68"/>
      <c r="K49" s="67" t="s">
        <v>27643</v>
      </c>
      <c r="L49" s="71"/>
      <c r="M49" s="72"/>
      <c r="N49" s="72"/>
      <c r="O49" s="73"/>
      <c r="P49" s="74"/>
      <c r="Q49" s="74"/>
      <c r="R49" s="87"/>
      <c r="S49" s="87"/>
      <c r="T49" s="87"/>
      <c r="U49" s="87"/>
      <c r="V49" s="48"/>
      <c r="W49" s="48"/>
      <c r="X49" s="48"/>
      <c r="Y49" s="48"/>
      <c r="Z49" s="47"/>
      <c r="AA49" s="69">
        <v>49</v>
      </c>
      <c r="AB49" s="69"/>
      <c r="AC49" s="70"/>
      <c r="AD49" s="76" t="s">
        <v>21294</v>
      </c>
      <c r="AE49" s="81" t="s">
        <v>20509</v>
      </c>
      <c r="AF49" s="76">
        <v>14</v>
      </c>
      <c r="AG49" s="76">
        <v>9</v>
      </c>
      <c r="AH49" s="76">
        <v>92</v>
      </c>
      <c r="AI49" s="76">
        <v>0</v>
      </c>
      <c r="AJ49" s="76">
        <v>93</v>
      </c>
      <c r="AK49" s="76">
        <v>70</v>
      </c>
      <c r="AL49" s="76" t="b">
        <v>0</v>
      </c>
      <c r="AM49" s="78">
        <v>45018.50409722222</v>
      </c>
      <c r="AN49" s="76" t="s">
        <v>24084</v>
      </c>
      <c r="AO49" s="76" t="s">
        <v>24752</v>
      </c>
      <c r="AP49" s="82" t="str">
        <f>HYPERLINK("https://t.co/RhTsh7FIhw")</f>
        <v>https://t.co/RhTsh7FIhw</v>
      </c>
      <c r="AQ49" s="82" t="str">
        <f>HYPERLINK("https://comuna13caba.com.ar")</f>
        <v>https://comuna13caba.com.ar</v>
      </c>
      <c r="AR49" s="76" t="s">
        <v>26390</v>
      </c>
      <c r="AS49" s="76"/>
      <c r="AT49" s="76"/>
      <c r="AU49" s="76"/>
      <c r="AV49" s="76"/>
      <c r="AW49" s="82" t="str">
        <f>HYPERLINK("https://t.co/RhTsh7FIhw")</f>
        <v>https://t.co/RhTsh7FIhw</v>
      </c>
      <c r="AX49" s="76" t="b">
        <v>0</v>
      </c>
      <c r="AY49" s="76"/>
      <c r="AZ49" s="76"/>
      <c r="BA49" s="76" t="b">
        <v>0</v>
      </c>
      <c r="BB49" s="76" t="b">
        <v>1</v>
      </c>
      <c r="BC49" s="76" t="b">
        <v>1</v>
      </c>
      <c r="BD49" s="76" t="b">
        <v>0</v>
      </c>
      <c r="BE49" s="76" t="b">
        <v>0</v>
      </c>
      <c r="BF49" s="76" t="b">
        <v>0</v>
      </c>
      <c r="BG49" s="76" t="b">
        <v>0</v>
      </c>
      <c r="BH49" s="82" t="str">
        <f>HYPERLINK("https://pbs.twimg.com/profile_banners/1642498510854447104/1680522095")</f>
        <v>https://pbs.twimg.com/profile_banners/1642498510854447104/1680522095</v>
      </c>
      <c r="BI49" s="76"/>
      <c r="BJ49" s="76" t="s">
        <v>27595</v>
      </c>
      <c r="BK49" s="76" t="b">
        <v>0</v>
      </c>
      <c r="BL49" s="76"/>
      <c r="BM49" s="76" t="s">
        <v>66</v>
      </c>
      <c r="BN49" s="76" t="s">
        <v>27597</v>
      </c>
      <c r="BO49" s="82" t="str">
        <f>HYPERLINK("https://twitter.com/comuna13caba")</f>
        <v>https://twitter.com/comuna13caba</v>
      </c>
      <c r="BP49" s="2"/>
    </row>
    <row r="50" spans="1:68" x14ac:dyDescent="0.25">
      <c r="A50" s="62" t="s">
        <v>258</v>
      </c>
      <c r="B50" s="63"/>
      <c r="C50" s="63"/>
      <c r="D50" s="64"/>
      <c r="E50" s="66"/>
      <c r="F50" s="103" t="str">
        <f>HYPERLINK("https://pbs.twimg.com/profile_images/1056935589969309702/93vzDmnl_normal.jpg")</f>
        <v>https://pbs.twimg.com/profile_images/1056935589969309702/93vzDmnl_normal.jpg</v>
      </c>
      <c r="G50" s="63"/>
      <c r="H50" s="67"/>
      <c r="I50" s="68"/>
      <c r="J50" s="68"/>
      <c r="K50" s="67" t="s">
        <v>27644</v>
      </c>
      <c r="L50" s="71"/>
      <c r="M50" s="72"/>
      <c r="N50" s="72"/>
      <c r="O50" s="73"/>
      <c r="P50" s="74"/>
      <c r="Q50" s="74"/>
      <c r="R50" s="87"/>
      <c r="S50" s="87"/>
      <c r="T50" s="87"/>
      <c r="U50" s="87"/>
      <c r="V50" s="48"/>
      <c r="W50" s="48"/>
      <c r="X50" s="48"/>
      <c r="Y50" s="48"/>
      <c r="Z50" s="47"/>
      <c r="AA50" s="69">
        <v>50</v>
      </c>
      <c r="AB50" s="69"/>
      <c r="AC50" s="70"/>
      <c r="AD50" s="76" t="s">
        <v>21295</v>
      </c>
      <c r="AE50" s="81" t="s">
        <v>20510</v>
      </c>
      <c r="AF50" s="76">
        <v>437</v>
      </c>
      <c r="AG50" s="76">
        <v>1482</v>
      </c>
      <c r="AH50" s="76">
        <v>41879</v>
      </c>
      <c r="AI50" s="76">
        <v>7</v>
      </c>
      <c r="AJ50" s="76">
        <v>84</v>
      </c>
      <c r="AK50" s="76">
        <v>12</v>
      </c>
      <c r="AL50" s="76" t="b">
        <v>0</v>
      </c>
      <c r="AM50" s="78">
        <v>43350.907812500001</v>
      </c>
      <c r="AN50" s="76" t="s">
        <v>14420</v>
      </c>
      <c r="AO50" s="76" t="s">
        <v>24753</v>
      </c>
      <c r="AP50" s="82" t="str">
        <f>HYPERLINK("https://t.co/QT8eOZ3tqW")</f>
        <v>https://t.co/QT8eOZ3tqW</v>
      </c>
      <c r="AQ50" s="82" t="str">
        <f>HYPERLINK("https://elobjetivo.com.ar")</f>
        <v>https://elobjetivo.com.ar</v>
      </c>
      <c r="AR50" s="76" t="s">
        <v>26391</v>
      </c>
      <c r="AS50" s="82" t="str">
        <f>HYPERLINK("https://t.co/UeVTiRRoBP")</f>
        <v>https://t.co/UeVTiRRoBP</v>
      </c>
      <c r="AT50" s="82" t="str">
        <f>HYPERLINK("http://facebook.com/elobjetivocba")</f>
        <v>http://facebook.com/elobjetivocba</v>
      </c>
      <c r="AU50" s="76" t="s">
        <v>27449</v>
      </c>
      <c r="AV50" s="76"/>
      <c r="AW50" s="82" t="str">
        <f>HYPERLINK("https://t.co/QT8eOZ3tqW")</f>
        <v>https://t.co/QT8eOZ3tqW</v>
      </c>
      <c r="AX50" s="76" t="b">
        <v>0</v>
      </c>
      <c r="AY50" s="76"/>
      <c r="AZ50" s="76"/>
      <c r="BA50" s="76" t="b">
        <v>0</v>
      </c>
      <c r="BB50" s="76" t="b">
        <v>1</v>
      </c>
      <c r="BC50" s="76" t="b">
        <v>1</v>
      </c>
      <c r="BD50" s="76" t="b">
        <v>0</v>
      </c>
      <c r="BE50" s="76" t="b">
        <v>1</v>
      </c>
      <c r="BF50" s="76" t="b">
        <v>0</v>
      </c>
      <c r="BG50" s="76" t="b">
        <v>0</v>
      </c>
      <c r="BH50" s="82" t="str">
        <f>HYPERLINK("https://pbs.twimg.com/profile_banners/1038181928288038912/1544217635")</f>
        <v>https://pbs.twimg.com/profile_banners/1038181928288038912/1544217635</v>
      </c>
      <c r="BI50" s="76"/>
      <c r="BJ50" s="76" t="s">
        <v>27595</v>
      </c>
      <c r="BK50" s="76" t="b">
        <v>0</v>
      </c>
      <c r="BL50" s="76"/>
      <c r="BM50" s="76" t="s">
        <v>66</v>
      </c>
      <c r="BN50" s="76" t="s">
        <v>27597</v>
      </c>
      <c r="BO50" s="82" t="str">
        <f>HYPERLINK("https://twitter.com/elobjetivocba")</f>
        <v>https://twitter.com/elobjetivocba</v>
      </c>
      <c r="BP50" s="2"/>
    </row>
    <row r="51" spans="1:68" x14ac:dyDescent="0.25">
      <c r="A51" s="62" t="s">
        <v>1701</v>
      </c>
      <c r="B51" s="63"/>
      <c r="C51" s="63"/>
      <c r="D51" s="64"/>
      <c r="E51" s="66"/>
      <c r="F51" s="103" t="str">
        <f>HYPERLINK("https://pbs.twimg.com/profile_images/1450153237601001478/CAzlHfbq_normal.jpg")</f>
        <v>https://pbs.twimg.com/profile_images/1450153237601001478/CAzlHfbq_normal.jpg</v>
      </c>
      <c r="G51" s="63"/>
      <c r="H51" s="67"/>
      <c r="I51" s="68"/>
      <c r="J51" s="68"/>
      <c r="K51" s="67" t="s">
        <v>27645</v>
      </c>
      <c r="L51" s="71"/>
      <c r="M51" s="72"/>
      <c r="N51" s="72"/>
      <c r="O51" s="73"/>
      <c r="P51" s="74"/>
      <c r="Q51" s="74"/>
      <c r="R51" s="87"/>
      <c r="S51" s="87"/>
      <c r="T51" s="87"/>
      <c r="U51" s="87"/>
      <c r="V51" s="48"/>
      <c r="W51" s="48"/>
      <c r="X51" s="48"/>
      <c r="Y51" s="48"/>
      <c r="Z51" s="47"/>
      <c r="AA51" s="69">
        <v>51</v>
      </c>
      <c r="AB51" s="69"/>
      <c r="AC51" s="70"/>
      <c r="AD51" s="76" t="s">
        <v>21296</v>
      </c>
      <c r="AE51" s="81" t="s">
        <v>23088</v>
      </c>
      <c r="AF51" s="76">
        <v>79272</v>
      </c>
      <c r="AG51" s="76">
        <v>827</v>
      </c>
      <c r="AH51" s="76">
        <v>7779</v>
      </c>
      <c r="AI51" s="76">
        <v>253</v>
      </c>
      <c r="AJ51" s="76">
        <v>1912</v>
      </c>
      <c r="AK51" s="76">
        <v>4367</v>
      </c>
      <c r="AL51" s="76" t="b">
        <v>0</v>
      </c>
      <c r="AM51" s="78">
        <v>40148.077407407407</v>
      </c>
      <c r="AN51" s="76" t="s">
        <v>24085</v>
      </c>
      <c r="AO51" s="76" t="s">
        <v>24754</v>
      </c>
      <c r="AP51" s="82" t="str">
        <f>HYPERLINK("https://t.co/eGpP7oatNt")</f>
        <v>https://t.co/eGpP7oatNt</v>
      </c>
      <c r="AQ51" s="82" t="str">
        <f>HYPERLINK("http://www.mendoza.gov.ar/")</f>
        <v>http://www.mendoza.gov.ar/</v>
      </c>
      <c r="AR51" s="76" t="s">
        <v>26392</v>
      </c>
      <c r="AS51" s="82" t="str">
        <f>HYPERLINK("https://t.co/Mq2d8STmeA")</f>
        <v>https://t.co/Mq2d8STmeA</v>
      </c>
      <c r="AT51" s="82" t="str">
        <f>HYPERLINK("http://rodolfosuarez.com.ar")</f>
        <v>http://rodolfosuarez.com.ar</v>
      </c>
      <c r="AU51" s="76" t="s">
        <v>27450</v>
      </c>
      <c r="AV51" s="76"/>
      <c r="AW51" s="82" t="str">
        <f>HYPERLINK("https://t.co/eGpP7oatNt")</f>
        <v>https://t.co/eGpP7oatNt</v>
      </c>
      <c r="AX51" s="76" t="b">
        <v>0</v>
      </c>
      <c r="AY51" s="76"/>
      <c r="AZ51" s="76"/>
      <c r="BA51" s="76" t="b">
        <v>0</v>
      </c>
      <c r="BB51" s="76" t="b">
        <v>0</v>
      </c>
      <c r="BC51" s="76" t="b">
        <v>0</v>
      </c>
      <c r="BD51" s="76" t="b">
        <v>0</v>
      </c>
      <c r="BE51" s="76" t="b">
        <v>1</v>
      </c>
      <c r="BF51" s="76" t="b">
        <v>0</v>
      </c>
      <c r="BG51" s="76" t="b">
        <v>0</v>
      </c>
      <c r="BH51" s="82" t="str">
        <f>HYPERLINK("https://pbs.twimg.com/profile_banners/93763185/1575935383")</f>
        <v>https://pbs.twimg.com/profile_banners/93763185/1575935383</v>
      </c>
      <c r="BI51" s="76"/>
      <c r="BJ51" s="76" t="s">
        <v>27595</v>
      </c>
      <c r="BK51" s="76" t="b">
        <v>0</v>
      </c>
      <c r="BL51" s="76"/>
      <c r="BM51" s="76" t="s">
        <v>65</v>
      </c>
      <c r="BN51" s="76" t="s">
        <v>27597</v>
      </c>
      <c r="BO51" s="82" t="str">
        <f>HYPERLINK("https://twitter.com/rodysuarez")</f>
        <v>https://twitter.com/rodysuarez</v>
      </c>
      <c r="BP51" s="2"/>
    </row>
    <row r="52" spans="1:68" x14ac:dyDescent="0.25">
      <c r="A52" s="62" t="s">
        <v>259</v>
      </c>
      <c r="B52" s="63"/>
      <c r="C52" s="63"/>
      <c r="D52" s="64"/>
      <c r="E52" s="66"/>
      <c r="F52" s="103" t="str">
        <f>HYPERLINK("https://pbs.twimg.com/profile_images/1651562282034384898/6famz6Au_normal.jpg")</f>
        <v>https://pbs.twimg.com/profile_images/1651562282034384898/6famz6Au_normal.jpg</v>
      </c>
      <c r="G52" s="63"/>
      <c r="H52" s="67"/>
      <c r="I52" s="68"/>
      <c r="J52" s="68"/>
      <c r="K52" s="67" t="s">
        <v>27646</v>
      </c>
      <c r="L52" s="71"/>
      <c r="M52" s="72"/>
      <c r="N52" s="72"/>
      <c r="O52" s="73"/>
      <c r="P52" s="74"/>
      <c r="Q52" s="74"/>
      <c r="R52" s="87"/>
      <c r="S52" s="87"/>
      <c r="T52" s="87"/>
      <c r="U52" s="87"/>
      <c r="V52" s="48"/>
      <c r="W52" s="48"/>
      <c r="X52" s="48"/>
      <c r="Y52" s="48"/>
      <c r="Z52" s="47"/>
      <c r="AA52" s="69">
        <v>52</v>
      </c>
      <c r="AB52" s="69"/>
      <c r="AC52" s="70"/>
      <c r="AD52" s="76" t="s">
        <v>21297</v>
      </c>
      <c r="AE52" s="81" t="s">
        <v>20511</v>
      </c>
      <c r="AF52" s="76">
        <v>0</v>
      </c>
      <c r="AG52" s="76">
        <v>2</v>
      </c>
      <c r="AH52" s="76">
        <v>16</v>
      </c>
      <c r="AI52" s="76">
        <v>0</v>
      </c>
      <c r="AJ52" s="76">
        <v>0</v>
      </c>
      <c r="AK52" s="76">
        <v>1</v>
      </c>
      <c r="AL52" s="76" t="b">
        <v>0</v>
      </c>
      <c r="AM52" s="78">
        <v>45043.51457175926</v>
      </c>
      <c r="AN52" s="76" t="s">
        <v>24086</v>
      </c>
      <c r="AO52" s="76"/>
      <c r="AP52" s="76"/>
      <c r="AQ52" s="76"/>
      <c r="AR52" s="76"/>
      <c r="AS52" s="76"/>
      <c r="AT52" s="76"/>
      <c r="AU52" s="76"/>
      <c r="AV52" s="76"/>
      <c r="AW52" s="76"/>
      <c r="AX52" s="76" t="b">
        <v>0</v>
      </c>
      <c r="AY52" s="76"/>
      <c r="AZ52" s="76"/>
      <c r="BA52" s="76" t="b">
        <v>0</v>
      </c>
      <c r="BB52" s="76" t="b">
        <v>1</v>
      </c>
      <c r="BC52" s="76" t="b">
        <v>1</v>
      </c>
      <c r="BD52" s="76" t="b">
        <v>0</v>
      </c>
      <c r="BE52" s="76" t="b">
        <v>0</v>
      </c>
      <c r="BF52" s="76" t="b">
        <v>0</v>
      </c>
      <c r="BG52" s="76" t="b">
        <v>0</v>
      </c>
      <c r="BH52" s="76"/>
      <c r="BI52" s="76"/>
      <c r="BJ52" s="76" t="s">
        <v>27595</v>
      </c>
      <c r="BK52" s="76" t="b">
        <v>0</v>
      </c>
      <c r="BL52" s="76"/>
      <c r="BM52" s="76" t="s">
        <v>66</v>
      </c>
      <c r="BN52" s="76" t="s">
        <v>27597</v>
      </c>
      <c r="BO52" s="82" t="str">
        <f>HYPERLINK("https://twitter.com/guilhermebraz06")</f>
        <v>https://twitter.com/guilhermebraz06</v>
      </c>
      <c r="BP52" s="2"/>
    </row>
    <row r="53" spans="1:68" x14ac:dyDescent="0.25">
      <c r="A53" s="62" t="s">
        <v>260</v>
      </c>
      <c r="B53" s="63"/>
      <c r="C53" s="63"/>
      <c r="D53" s="64"/>
      <c r="E53" s="66"/>
      <c r="F53" s="103" t="str">
        <f>HYPERLINK("https://pbs.twimg.com/profile_images/1413182659258458117/vVwsivDi_normal.jpg")</f>
        <v>https://pbs.twimg.com/profile_images/1413182659258458117/vVwsivDi_normal.jpg</v>
      </c>
      <c r="G53" s="63"/>
      <c r="H53" s="67"/>
      <c r="I53" s="68"/>
      <c r="J53" s="68"/>
      <c r="K53" s="67" t="s">
        <v>27647</v>
      </c>
      <c r="L53" s="71"/>
      <c r="M53" s="72"/>
      <c r="N53" s="72"/>
      <c r="O53" s="73"/>
      <c r="P53" s="74"/>
      <c r="Q53" s="74"/>
      <c r="R53" s="87"/>
      <c r="S53" s="87"/>
      <c r="T53" s="87"/>
      <c r="U53" s="87"/>
      <c r="V53" s="48"/>
      <c r="W53" s="48"/>
      <c r="X53" s="48"/>
      <c r="Y53" s="48"/>
      <c r="Z53" s="47"/>
      <c r="AA53" s="69">
        <v>53</v>
      </c>
      <c r="AB53" s="69"/>
      <c r="AC53" s="70"/>
      <c r="AD53" s="76" t="s">
        <v>21298</v>
      </c>
      <c r="AE53" s="81" t="s">
        <v>23089</v>
      </c>
      <c r="AF53" s="76">
        <v>610</v>
      </c>
      <c r="AG53" s="76">
        <v>174</v>
      </c>
      <c r="AH53" s="76">
        <v>835</v>
      </c>
      <c r="AI53" s="76">
        <v>5</v>
      </c>
      <c r="AJ53" s="76">
        <v>31</v>
      </c>
      <c r="AK53" s="76">
        <v>269</v>
      </c>
      <c r="AL53" s="76" t="b">
        <v>0</v>
      </c>
      <c r="AM53" s="78">
        <v>40550.529004629629</v>
      </c>
      <c r="AN53" s="76" t="s">
        <v>24087</v>
      </c>
      <c r="AO53" s="76" t="s">
        <v>24755</v>
      </c>
      <c r="AP53" s="82" t="str">
        <f>HYPERLINK("https://t.co/6D2CvCbUUZ")</f>
        <v>https://t.co/6D2CvCbUUZ</v>
      </c>
      <c r="AQ53" s="82" t="str">
        <f>HYPERLINK("http://www.ccla.com.br")</f>
        <v>http://www.ccla.com.br</v>
      </c>
      <c r="AR53" s="76" t="s">
        <v>26393</v>
      </c>
      <c r="AS53" s="76"/>
      <c r="AT53" s="76"/>
      <c r="AU53" s="76"/>
      <c r="AV53" s="76"/>
      <c r="AW53" s="82" t="str">
        <f>HYPERLINK("https://t.co/6D2CvCbUUZ")</f>
        <v>https://t.co/6D2CvCbUUZ</v>
      </c>
      <c r="AX53" s="76" t="b">
        <v>0</v>
      </c>
      <c r="AY53" s="76"/>
      <c r="AZ53" s="76"/>
      <c r="BA53" s="76" t="b">
        <v>0</v>
      </c>
      <c r="BB53" s="76" t="b">
        <v>1</v>
      </c>
      <c r="BC53" s="76" t="b">
        <v>0</v>
      </c>
      <c r="BD53" s="76" t="b">
        <v>0</v>
      </c>
      <c r="BE53" s="76" t="b">
        <v>0</v>
      </c>
      <c r="BF53" s="76" t="b">
        <v>0</v>
      </c>
      <c r="BG53" s="76" t="b">
        <v>0</v>
      </c>
      <c r="BH53" s="82" t="str">
        <f>HYPERLINK("https://pbs.twimg.com/profile_banners/235131177/1639415626")</f>
        <v>https://pbs.twimg.com/profile_banners/235131177/1639415626</v>
      </c>
      <c r="BI53" s="76"/>
      <c r="BJ53" s="76" t="s">
        <v>27595</v>
      </c>
      <c r="BK53" s="76" t="b">
        <v>0</v>
      </c>
      <c r="BL53" s="76"/>
      <c r="BM53" s="76" t="s">
        <v>66</v>
      </c>
      <c r="BN53" s="76" t="s">
        <v>27597</v>
      </c>
      <c r="BO53" s="82" t="str">
        <f>HYPERLINK("https://twitter.com/cclaadvogados")</f>
        <v>https://twitter.com/cclaadvogados</v>
      </c>
      <c r="BP53" s="2"/>
    </row>
    <row r="54" spans="1:68" x14ac:dyDescent="0.25">
      <c r="A54" s="62" t="s">
        <v>261</v>
      </c>
      <c r="B54" s="63"/>
      <c r="C54" s="63"/>
      <c r="D54" s="64"/>
      <c r="E54" s="66"/>
      <c r="F54" s="103" t="str">
        <f>HYPERLINK("https://pbs.twimg.com/profile_images/1673638015703347207/oNdyztvD_normal.jpg")</f>
        <v>https://pbs.twimg.com/profile_images/1673638015703347207/oNdyztvD_normal.jpg</v>
      </c>
      <c r="G54" s="63"/>
      <c r="H54" s="67"/>
      <c r="I54" s="68"/>
      <c r="J54" s="68"/>
      <c r="K54" s="67" t="s">
        <v>27648</v>
      </c>
      <c r="L54" s="71"/>
      <c r="M54" s="72"/>
      <c r="N54" s="72"/>
      <c r="O54" s="73"/>
      <c r="P54" s="74"/>
      <c r="Q54" s="74"/>
      <c r="R54" s="87"/>
      <c r="S54" s="87"/>
      <c r="T54" s="87"/>
      <c r="U54" s="87"/>
      <c r="V54" s="48"/>
      <c r="W54" s="48"/>
      <c r="X54" s="48"/>
      <c r="Y54" s="48"/>
      <c r="Z54" s="47"/>
      <c r="AA54" s="69">
        <v>54</v>
      </c>
      <c r="AB54" s="69"/>
      <c r="AC54" s="70"/>
      <c r="AD54" s="76" t="s">
        <v>21299</v>
      </c>
      <c r="AE54" s="81" t="s">
        <v>23090</v>
      </c>
      <c r="AF54" s="76">
        <v>440595</v>
      </c>
      <c r="AG54" s="76">
        <v>15</v>
      </c>
      <c r="AH54" s="76">
        <v>187613</v>
      </c>
      <c r="AI54" s="76">
        <v>1182</v>
      </c>
      <c r="AJ54" s="76">
        <v>360</v>
      </c>
      <c r="AK54" s="76">
        <v>73988</v>
      </c>
      <c r="AL54" s="76" t="b">
        <v>0</v>
      </c>
      <c r="AM54" s="78">
        <v>40399.853333333333</v>
      </c>
      <c r="AN54" s="76" t="s">
        <v>24088</v>
      </c>
      <c r="AO54" s="76" t="s">
        <v>24756</v>
      </c>
      <c r="AP54" s="82" t="str">
        <f>HYPERLINK("https://t.co/fIGo3oWjGs")</f>
        <v>https://t.co/fIGo3oWjGs</v>
      </c>
      <c r="AQ54" s="82" t="str">
        <f>HYPERLINK("http://www.canal26.com")</f>
        <v>http://www.canal26.com</v>
      </c>
      <c r="AR54" s="76" t="s">
        <v>8626</v>
      </c>
      <c r="AS54" s="82" t="str">
        <f>HYPERLINK("https://t.co/5oSt1k7FDu")</f>
        <v>https://t.co/5oSt1k7FDu</v>
      </c>
      <c r="AT54" s="82" t="str">
        <f>HYPERLINK("http://linktr.ee/canal26")</f>
        <v>http://linktr.ee/canal26</v>
      </c>
      <c r="AU54" s="76" t="s">
        <v>27451</v>
      </c>
      <c r="AV54" s="76">
        <v>1.7074503417535601E+18</v>
      </c>
      <c r="AW54" s="82" t="str">
        <f>HYPERLINK("https://t.co/fIGo3oWjGs")</f>
        <v>https://t.co/fIGo3oWjGs</v>
      </c>
      <c r="AX54" s="76" t="b">
        <v>1</v>
      </c>
      <c r="AY54" s="76"/>
      <c r="AZ54" s="76"/>
      <c r="BA54" s="76" t="b">
        <v>1</v>
      </c>
      <c r="BB54" s="76" t="b">
        <v>1</v>
      </c>
      <c r="BC54" s="76" t="b">
        <v>0</v>
      </c>
      <c r="BD54" s="76" t="b">
        <v>0</v>
      </c>
      <c r="BE54" s="76" t="b">
        <v>1</v>
      </c>
      <c r="BF54" s="76" t="b">
        <v>0</v>
      </c>
      <c r="BG54" s="76" t="b">
        <v>0</v>
      </c>
      <c r="BH54" s="82" t="str">
        <f>HYPERLINK("https://pbs.twimg.com/profile_banners/176540641/1693857479")</f>
        <v>https://pbs.twimg.com/profile_banners/176540641/1693857479</v>
      </c>
      <c r="BI54" s="76"/>
      <c r="BJ54" s="76" t="s">
        <v>27595</v>
      </c>
      <c r="BK54" s="76" t="b">
        <v>0</v>
      </c>
      <c r="BL54" s="76"/>
      <c r="BM54" s="76" t="s">
        <v>66</v>
      </c>
      <c r="BN54" s="76" t="s">
        <v>27597</v>
      </c>
      <c r="BO54" s="82" t="str">
        <f>HYPERLINK("https://twitter.com/canal26noticias")</f>
        <v>https://twitter.com/canal26noticias</v>
      </c>
      <c r="BP54" s="2"/>
    </row>
    <row r="55" spans="1:68" x14ac:dyDescent="0.25">
      <c r="A55" s="62" t="s">
        <v>262</v>
      </c>
      <c r="B55" s="63"/>
      <c r="C55" s="63"/>
      <c r="D55" s="64"/>
      <c r="E55" s="66"/>
      <c r="F55" s="103" t="str">
        <f>HYPERLINK("https://pbs.twimg.com/profile_images/1152271869824983041/nHw-CWg4_normal.png")</f>
        <v>https://pbs.twimg.com/profile_images/1152271869824983041/nHw-CWg4_normal.png</v>
      </c>
      <c r="G55" s="63"/>
      <c r="H55" s="67"/>
      <c r="I55" s="68"/>
      <c r="J55" s="68"/>
      <c r="K55" s="67" t="s">
        <v>27649</v>
      </c>
      <c r="L55" s="71"/>
      <c r="M55" s="72"/>
      <c r="N55" s="72"/>
      <c r="O55" s="73"/>
      <c r="P55" s="74"/>
      <c r="Q55" s="74"/>
      <c r="R55" s="87"/>
      <c r="S55" s="87"/>
      <c r="T55" s="87"/>
      <c r="U55" s="87"/>
      <c r="V55" s="48"/>
      <c r="W55" s="48"/>
      <c r="X55" s="48"/>
      <c r="Y55" s="48"/>
      <c r="Z55" s="47"/>
      <c r="AA55" s="69">
        <v>55</v>
      </c>
      <c r="AB55" s="69"/>
      <c r="AC55" s="70"/>
      <c r="AD55" s="76" t="s">
        <v>21300</v>
      </c>
      <c r="AE55" s="81" t="s">
        <v>23091</v>
      </c>
      <c r="AF55" s="76">
        <v>27640</v>
      </c>
      <c r="AG55" s="76">
        <v>2307</v>
      </c>
      <c r="AH55" s="76">
        <v>13702</v>
      </c>
      <c r="AI55" s="76">
        <v>80</v>
      </c>
      <c r="AJ55" s="76">
        <v>17836</v>
      </c>
      <c r="AK55" s="76">
        <v>2195</v>
      </c>
      <c r="AL55" s="76" t="b">
        <v>0</v>
      </c>
      <c r="AM55" s="78">
        <v>41766.605243055557</v>
      </c>
      <c r="AN55" s="76" t="s">
        <v>24089</v>
      </c>
      <c r="AO55" s="76" t="s">
        <v>24757</v>
      </c>
      <c r="AP55" s="82" t="str">
        <f>HYPERLINK("https://t.co/Uz77KVm46Y")</f>
        <v>https://t.co/Uz77KVm46Y</v>
      </c>
      <c r="AQ55" s="82" t="str">
        <f>HYPERLINK("http://www.bc.gob.cu")</f>
        <v>http://www.bc.gob.cu</v>
      </c>
      <c r="AR55" s="76" t="s">
        <v>26394</v>
      </c>
      <c r="AS55" s="76"/>
      <c r="AT55" s="76"/>
      <c r="AU55" s="76"/>
      <c r="AV55" s="76">
        <v>1.69512102309024E+18</v>
      </c>
      <c r="AW55" s="82" t="str">
        <f>HYPERLINK("https://t.co/Uz77KVm46Y")</f>
        <v>https://t.co/Uz77KVm46Y</v>
      </c>
      <c r="AX55" s="76" t="b">
        <v>0</v>
      </c>
      <c r="AY55" s="76"/>
      <c r="AZ55" s="76"/>
      <c r="BA55" s="76" t="b">
        <v>0</v>
      </c>
      <c r="BB55" s="76" t="b">
        <v>0</v>
      </c>
      <c r="BC55" s="76" t="b">
        <v>0</v>
      </c>
      <c r="BD55" s="76" t="b">
        <v>0</v>
      </c>
      <c r="BE55" s="76" t="b">
        <v>1</v>
      </c>
      <c r="BF55" s="76" t="b">
        <v>0</v>
      </c>
      <c r="BG55" s="76" t="b">
        <v>0</v>
      </c>
      <c r="BH55" s="82" t="str">
        <f>HYPERLINK("https://pbs.twimg.com/profile_banners/2482221318/1664800771")</f>
        <v>https://pbs.twimg.com/profile_banners/2482221318/1664800771</v>
      </c>
      <c r="BI55" s="76"/>
      <c r="BJ55" s="76" t="s">
        <v>27595</v>
      </c>
      <c r="BK55" s="76" t="b">
        <v>0</v>
      </c>
      <c r="BL55" s="76"/>
      <c r="BM55" s="76" t="s">
        <v>66</v>
      </c>
      <c r="BN55" s="76" t="s">
        <v>27597</v>
      </c>
      <c r="BO55" s="82" t="str">
        <f>HYPERLINK("https://twitter.com/bancocentralcub")</f>
        <v>https://twitter.com/bancocentralcub</v>
      </c>
      <c r="BP55" s="2"/>
    </row>
    <row r="56" spans="1:68" x14ac:dyDescent="0.25">
      <c r="A56" s="62" t="s">
        <v>1702</v>
      </c>
      <c r="B56" s="63"/>
      <c r="C56" s="63"/>
      <c r="D56" s="64"/>
      <c r="E56" s="66"/>
      <c r="F56" s="103" t="str">
        <f>HYPERLINK("https://pbs.twimg.com/profile_images/1418310018315739146/lEIGV-Hl_normal.jpg")</f>
        <v>https://pbs.twimg.com/profile_images/1418310018315739146/lEIGV-Hl_normal.jpg</v>
      </c>
      <c r="G56" s="63"/>
      <c r="H56" s="67"/>
      <c r="I56" s="68"/>
      <c r="J56" s="68"/>
      <c r="K56" s="67" t="s">
        <v>27650</v>
      </c>
      <c r="L56" s="71"/>
      <c r="M56" s="72"/>
      <c r="N56" s="72"/>
      <c r="O56" s="73"/>
      <c r="P56" s="74"/>
      <c r="Q56" s="74"/>
      <c r="R56" s="87"/>
      <c r="S56" s="87"/>
      <c r="T56" s="87"/>
      <c r="U56" s="87"/>
      <c r="V56" s="48"/>
      <c r="W56" s="48"/>
      <c r="X56" s="48"/>
      <c r="Y56" s="48"/>
      <c r="Z56" s="47"/>
      <c r="AA56" s="69">
        <v>56</v>
      </c>
      <c r="AB56" s="69"/>
      <c r="AC56" s="70"/>
      <c r="AD56" s="76" t="s">
        <v>21301</v>
      </c>
      <c r="AE56" s="81" t="s">
        <v>23092</v>
      </c>
      <c r="AF56" s="76">
        <v>257</v>
      </c>
      <c r="AG56" s="76">
        <v>292</v>
      </c>
      <c r="AH56" s="76">
        <v>7084</v>
      </c>
      <c r="AI56" s="76">
        <v>0</v>
      </c>
      <c r="AJ56" s="76">
        <v>8594</v>
      </c>
      <c r="AK56" s="76">
        <v>759</v>
      </c>
      <c r="AL56" s="76" t="b">
        <v>0</v>
      </c>
      <c r="AM56" s="78">
        <v>44350.849224537036</v>
      </c>
      <c r="AN56" s="76"/>
      <c r="AO56" s="76" t="s">
        <v>24758</v>
      </c>
      <c r="AP56" s="76"/>
      <c r="AQ56" s="76"/>
      <c r="AR56" s="76"/>
      <c r="AS56" s="76"/>
      <c r="AT56" s="76"/>
      <c r="AU56" s="76"/>
      <c r="AV56" s="76"/>
      <c r="AW56" s="76"/>
      <c r="AX56" s="76" t="b">
        <v>0</v>
      </c>
      <c r="AY56" s="76"/>
      <c r="AZ56" s="76"/>
      <c r="BA56" s="76" t="b">
        <v>0</v>
      </c>
      <c r="BB56" s="76" t="b">
        <v>1</v>
      </c>
      <c r="BC56" s="76" t="b">
        <v>1</v>
      </c>
      <c r="BD56" s="76" t="b">
        <v>0</v>
      </c>
      <c r="BE56" s="76" t="b">
        <v>0</v>
      </c>
      <c r="BF56" s="76" t="b">
        <v>0</v>
      </c>
      <c r="BG56" s="76" t="b">
        <v>0</v>
      </c>
      <c r="BH56" s="82" t="str">
        <f>HYPERLINK("https://pbs.twimg.com/profile_banners/1400548498077065218/1623192906")</f>
        <v>https://pbs.twimg.com/profile_banners/1400548498077065218/1623192906</v>
      </c>
      <c r="BI56" s="76"/>
      <c r="BJ56" s="76" t="s">
        <v>27595</v>
      </c>
      <c r="BK56" s="76" t="b">
        <v>0</v>
      </c>
      <c r="BL56" s="76"/>
      <c r="BM56" s="76" t="s">
        <v>65</v>
      </c>
      <c r="BN56" s="76" t="s">
        <v>27597</v>
      </c>
      <c r="BO56" s="82" t="str">
        <f>HYPERLINK("https://twitter.com/balicia81558512")</f>
        <v>https://twitter.com/balicia81558512</v>
      </c>
      <c r="BP56" s="2"/>
    </row>
    <row r="57" spans="1:68" x14ac:dyDescent="0.25">
      <c r="A57" s="62" t="s">
        <v>1703</v>
      </c>
      <c r="B57" s="63"/>
      <c r="C57" s="63"/>
      <c r="D57" s="64"/>
      <c r="E57" s="66"/>
      <c r="F57" s="103" t="str">
        <f>HYPERLINK("https://pbs.twimg.com/profile_images/1475786231674023937/s1_v6Xt1_normal.jpg")</f>
        <v>https://pbs.twimg.com/profile_images/1475786231674023937/s1_v6Xt1_normal.jpg</v>
      </c>
      <c r="G57" s="63"/>
      <c r="H57" s="67"/>
      <c r="I57" s="68"/>
      <c r="J57" s="68"/>
      <c r="K57" s="67" t="s">
        <v>27651</v>
      </c>
      <c r="L57" s="71"/>
      <c r="M57" s="72"/>
      <c r="N57" s="72"/>
      <c r="O57" s="73"/>
      <c r="P57" s="74"/>
      <c r="Q57" s="74"/>
      <c r="R57" s="87"/>
      <c r="S57" s="87"/>
      <c r="T57" s="87"/>
      <c r="U57" s="87"/>
      <c r="V57" s="48"/>
      <c r="W57" s="48"/>
      <c r="X57" s="48"/>
      <c r="Y57" s="48"/>
      <c r="Z57" s="47"/>
      <c r="AA57" s="69">
        <v>57</v>
      </c>
      <c r="AB57" s="69"/>
      <c r="AC57" s="70"/>
      <c r="AD57" s="76" t="s">
        <v>21302</v>
      </c>
      <c r="AE57" s="81" t="s">
        <v>23093</v>
      </c>
      <c r="AF57" s="76">
        <v>11299</v>
      </c>
      <c r="AG57" s="76">
        <v>303</v>
      </c>
      <c r="AH57" s="76">
        <v>4491</v>
      </c>
      <c r="AI57" s="76">
        <v>17</v>
      </c>
      <c r="AJ57" s="76">
        <v>6549</v>
      </c>
      <c r="AK57" s="76">
        <v>512</v>
      </c>
      <c r="AL57" s="76" t="b">
        <v>0</v>
      </c>
      <c r="AM57" s="78">
        <v>43592.586863425924</v>
      </c>
      <c r="AN57" s="76" t="s">
        <v>24090</v>
      </c>
      <c r="AO57" s="76" t="s">
        <v>24759</v>
      </c>
      <c r="AP57" s="82" t="str">
        <f>HYPERLINK("https://t.co/XJS2nbZM33")</f>
        <v>https://t.co/XJS2nbZM33</v>
      </c>
      <c r="AQ57" s="82" t="str">
        <f>HYPERLINK("http://pcc.cu")</f>
        <v>http://pcc.cu</v>
      </c>
      <c r="AR57" s="76" t="s">
        <v>24090</v>
      </c>
      <c r="AS57" s="76"/>
      <c r="AT57" s="76"/>
      <c r="AU57" s="76"/>
      <c r="AV57" s="76"/>
      <c r="AW57" s="82" t="str">
        <f>HYPERLINK("https://t.co/XJS2nbZM33")</f>
        <v>https://t.co/XJS2nbZM33</v>
      </c>
      <c r="AX57" s="76" t="b">
        <v>0</v>
      </c>
      <c r="AY57" s="76"/>
      <c r="AZ57" s="76"/>
      <c r="BA57" s="76" t="b">
        <v>0</v>
      </c>
      <c r="BB57" s="76" t="b">
        <v>1</v>
      </c>
      <c r="BC57" s="76" t="b">
        <v>1</v>
      </c>
      <c r="BD57" s="76" t="b">
        <v>0</v>
      </c>
      <c r="BE57" s="76" t="b">
        <v>0</v>
      </c>
      <c r="BF57" s="76" t="b">
        <v>0</v>
      </c>
      <c r="BG57" s="76" t="b">
        <v>0</v>
      </c>
      <c r="BH57" s="82" t="str">
        <f>HYPERLINK("https://pbs.twimg.com/profile_banners/1125763487630864384/1690519419")</f>
        <v>https://pbs.twimg.com/profile_banners/1125763487630864384/1690519419</v>
      </c>
      <c r="BI57" s="76"/>
      <c r="BJ57" s="76" t="s">
        <v>27595</v>
      </c>
      <c r="BK57" s="76" t="b">
        <v>0</v>
      </c>
      <c r="BL57" s="76"/>
      <c r="BM57" s="76" t="s">
        <v>65</v>
      </c>
      <c r="BN57" s="76" t="s">
        <v>27597</v>
      </c>
      <c r="BO57" s="82" t="str">
        <f>HYPERLINK("https://twitter.com/queiporuiz")</f>
        <v>https://twitter.com/queiporuiz</v>
      </c>
      <c r="BP57" s="2"/>
    </row>
    <row r="58" spans="1:68" x14ac:dyDescent="0.25">
      <c r="A58" s="62" t="s">
        <v>1704</v>
      </c>
      <c r="B58" s="63"/>
      <c r="C58" s="63"/>
      <c r="D58" s="64"/>
      <c r="E58" s="66"/>
      <c r="F58" s="103" t="str">
        <f>HYPERLINK("https://pbs.twimg.com/profile_images/1351272573787631616/tIaw116E_normal.jpg")</f>
        <v>https://pbs.twimg.com/profile_images/1351272573787631616/tIaw116E_normal.jpg</v>
      </c>
      <c r="G58" s="63"/>
      <c r="H58" s="67"/>
      <c r="I58" s="68"/>
      <c r="J58" s="68"/>
      <c r="K58" s="67" t="s">
        <v>27652</v>
      </c>
      <c r="L58" s="71"/>
      <c r="M58" s="72"/>
      <c r="N58" s="72"/>
      <c r="O58" s="73"/>
      <c r="P58" s="74"/>
      <c r="Q58" s="74"/>
      <c r="R58" s="87"/>
      <c r="S58" s="87"/>
      <c r="T58" s="87"/>
      <c r="U58" s="87"/>
      <c r="V58" s="48"/>
      <c r="W58" s="48"/>
      <c r="X58" s="48"/>
      <c r="Y58" s="48"/>
      <c r="Z58" s="47"/>
      <c r="AA58" s="69">
        <v>58</v>
      </c>
      <c r="AB58" s="69"/>
      <c r="AC58" s="70"/>
      <c r="AD58" s="76" t="s">
        <v>21303</v>
      </c>
      <c r="AE58" s="81" t="s">
        <v>23094</v>
      </c>
      <c r="AF58" s="76">
        <v>215</v>
      </c>
      <c r="AG58" s="76">
        <v>202</v>
      </c>
      <c r="AH58" s="76">
        <v>5587</v>
      </c>
      <c r="AI58" s="76">
        <v>0</v>
      </c>
      <c r="AJ58" s="76">
        <v>6695</v>
      </c>
      <c r="AK58" s="76">
        <v>238</v>
      </c>
      <c r="AL58" s="76" t="b">
        <v>0</v>
      </c>
      <c r="AM58" s="78">
        <v>44214.872187499997</v>
      </c>
      <c r="AN58" s="76"/>
      <c r="AO58" s="76" t="s">
        <v>24760</v>
      </c>
      <c r="AP58" s="76"/>
      <c r="AQ58" s="76"/>
      <c r="AR58" s="76"/>
      <c r="AS58" s="76"/>
      <c r="AT58" s="76"/>
      <c r="AU58" s="76"/>
      <c r="AV58" s="76"/>
      <c r="AW58" s="76"/>
      <c r="AX58" s="76" t="b">
        <v>0</v>
      </c>
      <c r="AY58" s="76"/>
      <c r="AZ58" s="76"/>
      <c r="BA58" s="76" t="b">
        <v>0</v>
      </c>
      <c r="BB58" s="76" t="b">
        <v>1</v>
      </c>
      <c r="BC58" s="76" t="b">
        <v>1</v>
      </c>
      <c r="BD58" s="76" t="b">
        <v>0</v>
      </c>
      <c r="BE58" s="76" t="b">
        <v>1</v>
      </c>
      <c r="BF58" s="76" t="b">
        <v>0</v>
      </c>
      <c r="BG58" s="76" t="b">
        <v>0</v>
      </c>
      <c r="BH58" s="82" t="str">
        <f>HYPERLINK("https://pbs.twimg.com/profile_banners/1351271857660579845/1685281165")</f>
        <v>https://pbs.twimg.com/profile_banners/1351271857660579845/1685281165</v>
      </c>
      <c r="BI58" s="76"/>
      <c r="BJ58" s="76" t="s">
        <v>27595</v>
      </c>
      <c r="BK58" s="76" t="b">
        <v>0</v>
      </c>
      <c r="BL58" s="76"/>
      <c r="BM58" s="76" t="s">
        <v>65</v>
      </c>
      <c r="BN58" s="76" t="s">
        <v>27597</v>
      </c>
      <c r="BO58" s="82" t="str">
        <f>HYPERLINK("https://twitter.com/rosacantillo8")</f>
        <v>https://twitter.com/rosacantillo8</v>
      </c>
      <c r="BP58" s="2"/>
    </row>
    <row r="59" spans="1:68" x14ac:dyDescent="0.25">
      <c r="A59" s="62" t="s">
        <v>263</v>
      </c>
      <c r="B59" s="63"/>
      <c r="C59" s="63"/>
      <c r="D59" s="64"/>
      <c r="E59" s="66"/>
      <c r="F59" s="103" t="str">
        <f>HYPERLINK("https://pbs.twimg.com/profile_images/1650502758137487360/iyrg270a_normal.png")</f>
        <v>https://pbs.twimg.com/profile_images/1650502758137487360/iyrg270a_normal.png</v>
      </c>
      <c r="G59" s="63"/>
      <c r="H59" s="67"/>
      <c r="I59" s="68"/>
      <c r="J59" s="68"/>
      <c r="K59" s="67" t="s">
        <v>27653</v>
      </c>
      <c r="L59" s="71"/>
      <c r="M59" s="72"/>
      <c r="N59" s="72"/>
      <c r="O59" s="73"/>
      <c r="P59" s="74"/>
      <c r="Q59" s="74"/>
      <c r="R59" s="87"/>
      <c r="S59" s="87"/>
      <c r="T59" s="87"/>
      <c r="U59" s="87"/>
      <c r="V59" s="48"/>
      <c r="W59" s="48"/>
      <c r="X59" s="48"/>
      <c r="Y59" s="48"/>
      <c r="Z59" s="47"/>
      <c r="AA59" s="69">
        <v>59</v>
      </c>
      <c r="AB59" s="69"/>
      <c r="AC59" s="70"/>
      <c r="AD59" s="76" t="s">
        <v>21304</v>
      </c>
      <c r="AE59" s="81" t="s">
        <v>20512</v>
      </c>
      <c r="AF59" s="76">
        <v>5202</v>
      </c>
      <c r="AG59" s="76">
        <v>89</v>
      </c>
      <c r="AH59" s="76">
        <v>9213</v>
      </c>
      <c r="AI59" s="76">
        <v>19</v>
      </c>
      <c r="AJ59" s="76">
        <v>16</v>
      </c>
      <c r="AK59" s="76">
        <v>3479</v>
      </c>
      <c r="AL59" s="76" t="b">
        <v>0</v>
      </c>
      <c r="AM59" s="78">
        <v>44959.661377314813</v>
      </c>
      <c r="AN59" s="76" t="s">
        <v>24091</v>
      </c>
      <c r="AO59" s="76" t="s">
        <v>24761</v>
      </c>
      <c r="AP59" s="82" t="str">
        <f>HYPERLINK("https://t.co/HA5CF0Qq15")</f>
        <v>https://t.co/HA5CF0Qq15</v>
      </c>
      <c r="AQ59" s="82" t="str">
        <f>HYPERLINK("http://paginasiete.bo")</f>
        <v>http://paginasiete.bo</v>
      </c>
      <c r="AR59" s="76" t="s">
        <v>26395</v>
      </c>
      <c r="AS59" s="76"/>
      <c r="AT59" s="76"/>
      <c r="AU59" s="76"/>
      <c r="AV59" s="76"/>
      <c r="AW59" s="82" t="str">
        <f>HYPERLINK("https://t.co/HA5CF0Qq15")</f>
        <v>https://t.co/HA5CF0Qq15</v>
      </c>
      <c r="AX59" s="76" t="b">
        <v>0</v>
      </c>
      <c r="AY59" s="76"/>
      <c r="AZ59" s="76"/>
      <c r="BA59" s="76" t="b">
        <v>0</v>
      </c>
      <c r="BB59" s="76" t="b">
        <v>1</v>
      </c>
      <c r="BC59" s="76" t="b">
        <v>1</v>
      </c>
      <c r="BD59" s="76" t="b">
        <v>0</v>
      </c>
      <c r="BE59" s="76" t="b">
        <v>0</v>
      </c>
      <c r="BF59" s="76" t="b">
        <v>0</v>
      </c>
      <c r="BG59" s="76" t="b">
        <v>0</v>
      </c>
      <c r="BH59" s="82" t="str">
        <f>HYPERLINK("https://pbs.twimg.com/profile_banners/1621174674506776576/1682345499")</f>
        <v>https://pbs.twimg.com/profile_banners/1621174674506776576/1682345499</v>
      </c>
      <c r="BI59" s="76"/>
      <c r="BJ59" s="76" t="s">
        <v>27595</v>
      </c>
      <c r="BK59" s="76" t="b">
        <v>0</v>
      </c>
      <c r="BL59" s="76"/>
      <c r="BM59" s="76" t="s">
        <v>66</v>
      </c>
      <c r="BN59" s="76" t="s">
        <v>27597</v>
      </c>
      <c r="BO59" s="82" t="str">
        <f>HYPERLINK("https://twitter.com/pagina_siete")</f>
        <v>https://twitter.com/pagina_siete</v>
      </c>
      <c r="BP59" s="2"/>
    </row>
    <row r="60" spans="1:68" x14ac:dyDescent="0.25">
      <c r="A60" s="62" t="s">
        <v>264</v>
      </c>
      <c r="B60" s="63"/>
      <c r="C60" s="63"/>
      <c r="D60" s="64"/>
      <c r="E60" s="66"/>
      <c r="F60" s="103" t="str">
        <f>HYPERLINK("https://pbs.twimg.com/profile_images/1689710107905363969/03IWY8mv_normal.jpg")</f>
        <v>https://pbs.twimg.com/profile_images/1689710107905363969/03IWY8mv_normal.jpg</v>
      </c>
      <c r="G60" s="63"/>
      <c r="H60" s="67"/>
      <c r="I60" s="68"/>
      <c r="J60" s="68"/>
      <c r="K60" s="67" t="s">
        <v>27654</v>
      </c>
      <c r="L60" s="71"/>
      <c r="M60" s="72"/>
      <c r="N60" s="72"/>
      <c r="O60" s="73"/>
      <c r="P60" s="74"/>
      <c r="Q60" s="74"/>
      <c r="R60" s="87"/>
      <c r="S60" s="87"/>
      <c r="T60" s="87"/>
      <c r="U60" s="87"/>
      <c r="V60" s="48"/>
      <c r="W60" s="48"/>
      <c r="X60" s="48"/>
      <c r="Y60" s="48"/>
      <c r="Z60" s="47"/>
      <c r="AA60" s="69">
        <v>60</v>
      </c>
      <c r="AB60" s="69"/>
      <c r="AC60" s="70"/>
      <c r="AD60" s="76" t="s">
        <v>21305</v>
      </c>
      <c r="AE60" s="81" t="s">
        <v>20513</v>
      </c>
      <c r="AF60" s="76">
        <v>2</v>
      </c>
      <c r="AG60" s="76">
        <v>31</v>
      </c>
      <c r="AH60" s="76">
        <v>84</v>
      </c>
      <c r="AI60" s="76">
        <v>0</v>
      </c>
      <c r="AJ60" s="76">
        <v>8</v>
      </c>
      <c r="AK60" s="76">
        <v>4</v>
      </c>
      <c r="AL60" s="76" t="b">
        <v>0</v>
      </c>
      <c r="AM60" s="78">
        <v>45083.825868055559</v>
      </c>
      <c r="AN60" s="76"/>
      <c r="AO60" s="76" t="s">
        <v>24762</v>
      </c>
      <c r="AP60" s="76"/>
      <c r="AQ60" s="76"/>
      <c r="AR60" s="76"/>
      <c r="AS60" s="76"/>
      <c r="AT60" s="76"/>
      <c r="AU60" s="76"/>
      <c r="AV60" s="76">
        <v>1.66620493366898E+18</v>
      </c>
      <c r="AW60" s="76"/>
      <c r="AX60" s="76" t="b">
        <v>0</v>
      </c>
      <c r="AY60" s="76"/>
      <c r="AZ60" s="76"/>
      <c r="BA60" s="76" t="b">
        <v>0</v>
      </c>
      <c r="BB60" s="76" t="b">
        <v>1</v>
      </c>
      <c r="BC60" s="76" t="b">
        <v>1</v>
      </c>
      <c r="BD60" s="76" t="b">
        <v>0</v>
      </c>
      <c r="BE60" s="76" t="b">
        <v>0</v>
      </c>
      <c r="BF60" s="76" t="b">
        <v>0</v>
      </c>
      <c r="BG60" s="76" t="b">
        <v>0</v>
      </c>
      <c r="BH60" s="76"/>
      <c r="BI60" s="76"/>
      <c r="BJ60" s="76" t="s">
        <v>27595</v>
      </c>
      <c r="BK60" s="76" t="b">
        <v>0</v>
      </c>
      <c r="BL60" s="76"/>
      <c r="BM60" s="76" t="s">
        <v>66</v>
      </c>
      <c r="BN60" s="76" t="s">
        <v>27597</v>
      </c>
      <c r="BO60" s="82" t="str">
        <f>HYPERLINK("https://twitter.com/pagosyaurgente")</f>
        <v>https://twitter.com/pagosyaurgente</v>
      </c>
      <c r="BP60" s="2"/>
    </row>
    <row r="61" spans="1:68" x14ac:dyDescent="0.25">
      <c r="A61" s="62" t="s">
        <v>1705</v>
      </c>
      <c r="B61" s="63"/>
      <c r="C61" s="63"/>
      <c r="D61" s="64"/>
      <c r="E61" s="66"/>
      <c r="F61" s="103" t="str">
        <f>HYPERLINK("https://pbs.twimg.com/profile_images/1587428702597652482/X7Df_T9b_normal.jpg")</f>
        <v>https://pbs.twimg.com/profile_images/1587428702597652482/X7Df_T9b_normal.jpg</v>
      </c>
      <c r="G61" s="63"/>
      <c r="H61" s="67"/>
      <c r="I61" s="68"/>
      <c r="J61" s="68"/>
      <c r="K61" s="67" t="s">
        <v>27655</v>
      </c>
      <c r="L61" s="71"/>
      <c r="M61" s="72"/>
      <c r="N61" s="72"/>
      <c r="O61" s="73"/>
      <c r="P61" s="74"/>
      <c r="Q61" s="74"/>
      <c r="R61" s="87"/>
      <c r="S61" s="87"/>
      <c r="T61" s="87"/>
      <c r="U61" s="87"/>
      <c r="V61" s="48"/>
      <c r="W61" s="48"/>
      <c r="X61" s="48"/>
      <c r="Y61" s="48"/>
      <c r="Z61" s="47"/>
      <c r="AA61" s="69">
        <v>61</v>
      </c>
      <c r="AB61" s="69"/>
      <c r="AC61" s="70"/>
      <c r="AD61" s="76" t="s">
        <v>21306</v>
      </c>
      <c r="AE61" s="81" t="s">
        <v>23095</v>
      </c>
      <c r="AF61" s="76">
        <v>63449</v>
      </c>
      <c r="AG61" s="76">
        <v>6368</v>
      </c>
      <c r="AH61" s="76">
        <v>1212037</v>
      </c>
      <c r="AI61" s="76">
        <v>684</v>
      </c>
      <c r="AJ61" s="76">
        <v>143587</v>
      </c>
      <c r="AK61" s="76">
        <v>11830</v>
      </c>
      <c r="AL61" s="76" t="b">
        <v>0</v>
      </c>
      <c r="AM61" s="78">
        <v>39986.028796296298</v>
      </c>
      <c r="AN61" s="76"/>
      <c r="AO61" s="76" t="s">
        <v>24763</v>
      </c>
      <c r="AP61" s="82" t="str">
        <f>HYPERLINK("https://t.co/9ObFKWoynr")</f>
        <v>https://t.co/9ObFKWoynr</v>
      </c>
      <c r="AQ61" s="82" t="str">
        <f>HYPERLINK("https://universeodon.com/@LaDivinaDiva")</f>
        <v>https://universeodon.com/@LaDivinaDiva</v>
      </c>
      <c r="AR61" s="76" t="s">
        <v>26396</v>
      </c>
      <c r="AS61" s="76"/>
      <c r="AT61" s="76"/>
      <c r="AU61" s="76"/>
      <c r="AV61" s="76">
        <v>1.3520567604928399E+18</v>
      </c>
      <c r="AW61" s="82" t="str">
        <f>HYPERLINK("https://t.co/9ObFKWoynr")</f>
        <v>https://t.co/9ObFKWoynr</v>
      </c>
      <c r="AX61" s="76" t="b">
        <v>0</v>
      </c>
      <c r="AY61" s="76"/>
      <c r="AZ61" s="76"/>
      <c r="BA61" s="76" t="b">
        <v>1</v>
      </c>
      <c r="BB61" s="76" t="b">
        <v>0</v>
      </c>
      <c r="BC61" s="76" t="b">
        <v>0</v>
      </c>
      <c r="BD61" s="76" t="b">
        <v>0</v>
      </c>
      <c r="BE61" s="76" t="b">
        <v>1</v>
      </c>
      <c r="BF61" s="76" t="b">
        <v>0</v>
      </c>
      <c r="BG61" s="76" t="b">
        <v>0</v>
      </c>
      <c r="BH61" s="82" t="str">
        <f>HYPERLINK("https://pbs.twimg.com/profile_banners/49482270/1509630533")</f>
        <v>https://pbs.twimg.com/profile_banners/49482270/1509630533</v>
      </c>
      <c r="BI61" s="76"/>
      <c r="BJ61" s="76" t="s">
        <v>27595</v>
      </c>
      <c r="BK61" s="76" t="b">
        <v>0</v>
      </c>
      <c r="BL61" s="76"/>
      <c r="BM61" s="76" t="s">
        <v>65</v>
      </c>
      <c r="BN61" s="76" t="s">
        <v>27597</v>
      </c>
      <c r="BO61" s="82" t="str">
        <f>HYPERLINK("https://twitter.com/ladivinadiva")</f>
        <v>https://twitter.com/ladivinadiva</v>
      </c>
      <c r="BP61" s="2"/>
    </row>
    <row r="62" spans="1:68" x14ac:dyDescent="0.25">
      <c r="A62" s="62" t="s">
        <v>1706</v>
      </c>
      <c r="B62" s="63"/>
      <c r="C62" s="63"/>
      <c r="D62" s="64"/>
      <c r="E62" s="66"/>
      <c r="F62" s="103" t="str">
        <f>HYPERLINK("https://pbs.twimg.com/profile_images/1849712464/DSC07894b_normal.JPG")</f>
        <v>https://pbs.twimg.com/profile_images/1849712464/DSC07894b_normal.JPG</v>
      </c>
      <c r="G62" s="63"/>
      <c r="H62" s="67"/>
      <c r="I62" s="68"/>
      <c r="J62" s="68"/>
      <c r="K62" s="67" t="s">
        <v>27656</v>
      </c>
      <c r="L62" s="71"/>
      <c r="M62" s="72"/>
      <c r="N62" s="72"/>
      <c r="O62" s="73"/>
      <c r="P62" s="74"/>
      <c r="Q62" s="74"/>
      <c r="R62" s="87"/>
      <c r="S62" s="87"/>
      <c r="T62" s="87"/>
      <c r="U62" s="87"/>
      <c r="V62" s="48"/>
      <c r="W62" s="48"/>
      <c r="X62" s="48"/>
      <c r="Y62" s="48"/>
      <c r="Z62" s="47"/>
      <c r="AA62" s="69">
        <v>62</v>
      </c>
      <c r="AB62" s="69"/>
      <c r="AC62" s="70"/>
      <c r="AD62" s="76" t="s">
        <v>21307</v>
      </c>
      <c r="AE62" s="81" t="s">
        <v>23096</v>
      </c>
      <c r="AF62" s="76">
        <v>170317</v>
      </c>
      <c r="AG62" s="76">
        <v>4892</v>
      </c>
      <c r="AH62" s="76">
        <v>268922</v>
      </c>
      <c r="AI62" s="76">
        <v>546</v>
      </c>
      <c r="AJ62" s="76">
        <v>151737</v>
      </c>
      <c r="AK62" s="76">
        <v>28403</v>
      </c>
      <c r="AL62" s="76" t="b">
        <v>0</v>
      </c>
      <c r="AM62" s="78">
        <v>39468.572696759256</v>
      </c>
      <c r="AN62" s="76" t="s">
        <v>24092</v>
      </c>
      <c r="AO62" s="76" t="s">
        <v>24764</v>
      </c>
      <c r="AP62" s="82" t="str">
        <f>HYPERLINK("https://t.co/yopXX1wAnq")</f>
        <v>https://t.co/yopXX1wAnq</v>
      </c>
      <c r="AQ62" s="82" t="str">
        <f>HYPERLINK("http://lubrio.blogspot.com")</f>
        <v>http://lubrio.blogspot.com</v>
      </c>
      <c r="AR62" s="76" t="s">
        <v>26397</v>
      </c>
      <c r="AS62" s="82" t="str">
        <f>HYPERLINK("https://t.co/o2JV54AO2G")</f>
        <v>https://t.co/o2JV54AO2G</v>
      </c>
      <c r="AT62" s="82" t="str">
        <f>HYPERLINK("http://t.me/LubrioTV")</f>
        <v>http://t.me/LubrioTV</v>
      </c>
      <c r="AU62" s="76" t="s">
        <v>27452</v>
      </c>
      <c r="AV62" s="76">
        <v>1.7070653963253801E+18</v>
      </c>
      <c r="AW62" s="82" t="str">
        <f>HYPERLINK("https://t.co/yopXX1wAnq")</f>
        <v>https://t.co/yopXX1wAnq</v>
      </c>
      <c r="AX62" s="76" t="b">
        <v>0</v>
      </c>
      <c r="AY62" s="76"/>
      <c r="AZ62" s="76"/>
      <c r="BA62" s="76" t="b">
        <v>0</v>
      </c>
      <c r="BB62" s="76" t="b">
        <v>1</v>
      </c>
      <c r="BC62" s="76" t="b">
        <v>0</v>
      </c>
      <c r="BD62" s="76" t="b">
        <v>0</v>
      </c>
      <c r="BE62" s="76" t="b">
        <v>1</v>
      </c>
      <c r="BF62" s="76" t="b">
        <v>0</v>
      </c>
      <c r="BG62" s="76" t="b">
        <v>0</v>
      </c>
      <c r="BH62" s="82" t="str">
        <f>HYPERLINK("https://pbs.twimg.com/profile_banners/12493262/1595781571")</f>
        <v>https://pbs.twimg.com/profile_banners/12493262/1595781571</v>
      </c>
      <c r="BI62" s="76"/>
      <c r="BJ62" s="76" t="s">
        <v>27596</v>
      </c>
      <c r="BK62" s="76" t="b">
        <v>0</v>
      </c>
      <c r="BL62" s="76"/>
      <c r="BM62" s="76" t="s">
        <v>65</v>
      </c>
      <c r="BN62" s="76" t="s">
        <v>27597</v>
      </c>
      <c r="BO62" s="82" t="str">
        <f>HYPERLINK("https://twitter.com/lubrio")</f>
        <v>https://twitter.com/lubrio</v>
      </c>
      <c r="BP62" s="2"/>
    </row>
    <row r="63" spans="1:68" x14ac:dyDescent="0.25">
      <c r="A63" s="62" t="s">
        <v>1707</v>
      </c>
      <c r="B63" s="63"/>
      <c r="C63" s="63"/>
      <c r="D63" s="64"/>
      <c r="E63" s="66"/>
      <c r="F63" s="103" t="str">
        <f>HYPERLINK("https://pbs.twimg.com/profile_images/1331063954332901376/thr6u4xh_normal.jpg")</f>
        <v>https://pbs.twimg.com/profile_images/1331063954332901376/thr6u4xh_normal.jpg</v>
      </c>
      <c r="G63" s="63"/>
      <c r="H63" s="67"/>
      <c r="I63" s="68"/>
      <c r="J63" s="68"/>
      <c r="K63" s="67" t="s">
        <v>27657</v>
      </c>
      <c r="L63" s="71"/>
      <c r="M63" s="72"/>
      <c r="N63" s="72"/>
      <c r="O63" s="73"/>
      <c r="P63" s="74"/>
      <c r="Q63" s="74"/>
      <c r="R63" s="87"/>
      <c r="S63" s="87"/>
      <c r="T63" s="87"/>
      <c r="U63" s="87"/>
      <c r="V63" s="48"/>
      <c r="W63" s="48"/>
      <c r="X63" s="48"/>
      <c r="Y63" s="48"/>
      <c r="Z63" s="47"/>
      <c r="AA63" s="69">
        <v>63</v>
      </c>
      <c r="AB63" s="69"/>
      <c r="AC63" s="70"/>
      <c r="AD63" s="76" t="s">
        <v>21308</v>
      </c>
      <c r="AE63" s="81" t="s">
        <v>23097</v>
      </c>
      <c r="AF63" s="76">
        <v>489</v>
      </c>
      <c r="AG63" s="76">
        <v>713</v>
      </c>
      <c r="AH63" s="76">
        <v>12135</v>
      </c>
      <c r="AI63" s="76">
        <v>1</v>
      </c>
      <c r="AJ63" s="76">
        <v>6596</v>
      </c>
      <c r="AK63" s="76">
        <v>760</v>
      </c>
      <c r="AL63" s="76" t="b">
        <v>0</v>
      </c>
      <c r="AM63" s="78">
        <v>40918.651493055557</v>
      </c>
      <c r="AN63" s="76"/>
      <c r="AO63" s="76" t="s">
        <v>24765</v>
      </c>
      <c r="AP63" s="76"/>
      <c r="AQ63" s="76"/>
      <c r="AR63" s="76"/>
      <c r="AS63" s="76"/>
      <c r="AT63" s="76"/>
      <c r="AU63" s="76"/>
      <c r="AV63" s="76"/>
      <c r="AW63" s="76"/>
      <c r="AX63" s="76" t="b">
        <v>0</v>
      </c>
      <c r="AY63" s="76"/>
      <c r="AZ63" s="76"/>
      <c r="BA63" s="76" t="b">
        <v>0</v>
      </c>
      <c r="BB63" s="76" t="b">
        <v>0</v>
      </c>
      <c r="BC63" s="76" t="b">
        <v>1</v>
      </c>
      <c r="BD63" s="76" t="b">
        <v>0</v>
      </c>
      <c r="BE63" s="76" t="b">
        <v>0</v>
      </c>
      <c r="BF63" s="76" t="b">
        <v>0</v>
      </c>
      <c r="BG63" s="76" t="b">
        <v>0</v>
      </c>
      <c r="BH63" s="82" t="str">
        <f>HYPERLINK("https://pbs.twimg.com/profile_banners/460270968/1685657148")</f>
        <v>https://pbs.twimg.com/profile_banners/460270968/1685657148</v>
      </c>
      <c r="BI63" s="76"/>
      <c r="BJ63" s="76" t="s">
        <v>27595</v>
      </c>
      <c r="BK63" s="76" t="b">
        <v>0</v>
      </c>
      <c r="BL63" s="76"/>
      <c r="BM63" s="76" t="s">
        <v>65</v>
      </c>
      <c r="BN63" s="76" t="s">
        <v>27597</v>
      </c>
      <c r="BO63" s="82" t="str">
        <f>HYPERLINK("https://twitter.com/chetuitvzla")</f>
        <v>https://twitter.com/chetuitvzla</v>
      </c>
      <c r="BP63" s="2"/>
    </row>
    <row r="64" spans="1:68" x14ac:dyDescent="0.25">
      <c r="A64" s="62" t="s">
        <v>1708</v>
      </c>
      <c r="B64" s="63"/>
      <c r="C64" s="63"/>
      <c r="D64" s="64"/>
      <c r="E64" s="66"/>
      <c r="F64" s="103" t="str">
        <f>HYPERLINK("https://pbs.twimg.com/profile_images/1537800878895382528/aDtqxuCv_normal.jpg")</f>
        <v>https://pbs.twimg.com/profile_images/1537800878895382528/aDtqxuCv_normal.jpg</v>
      </c>
      <c r="G64" s="63"/>
      <c r="H64" s="67"/>
      <c r="I64" s="68"/>
      <c r="J64" s="68"/>
      <c r="K64" s="67" t="s">
        <v>27658</v>
      </c>
      <c r="L64" s="71"/>
      <c r="M64" s="72"/>
      <c r="N64" s="72"/>
      <c r="O64" s="73"/>
      <c r="P64" s="74"/>
      <c r="Q64" s="74"/>
      <c r="R64" s="87"/>
      <c r="S64" s="87"/>
      <c r="T64" s="87"/>
      <c r="U64" s="87"/>
      <c r="V64" s="48"/>
      <c r="W64" s="48"/>
      <c r="X64" s="48"/>
      <c r="Y64" s="48"/>
      <c r="Z64" s="47"/>
      <c r="AA64" s="69">
        <v>64</v>
      </c>
      <c r="AB64" s="69"/>
      <c r="AC64" s="70"/>
      <c r="AD64" s="76" t="s">
        <v>21309</v>
      </c>
      <c r="AE64" s="81" t="s">
        <v>23098</v>
      </c>
      <c r="AF64" s="76">
        <v>25315</v>
      </c>
      <c r="AG64" s="76">
        <v>1992</v>
      </c>
      <c r="AH64" s="76">
        <v>64755</v>
      </c>
      <c r="AI64" s="76">
        <v>64</v>
      </c>
      <c r="AJ64" s="76">
        <v>89621</v>
      </c>
      <c r="AK64" s="76">
        <v>1873</v>
      </c>
      <c r="AL64" s="76" t="b">
        <v>0</v>
      </c>
      <c r="AM64" s="78">
        <v>40304.758784722224</v>
      </c>
      <c r="AN64" s="76" t="s">
        <v>24093</v>
      </c>
      <c r="AO64" s="76" t="s">
        <v>24766</v>
      </c>
      <c r="AP64" s="82" t="str">
        <f>HYPERLINK("https://t.co/zkSbYaMo5T")</f>
        <v>https://t.co/zkSbYaMo5T</v>
      </c>
      <c r="AQ64" s="82" t="str">
        <f>HYPERLINK("http://www.indiraurbaneja.com")</f>
        <v>http://www.indiraurbaneja.com</v>
      </c>
      <c r="AR64" s="76" t="s">
        <v>26398</v>
      </c>
      <c r="AS64" s="76"/>
      <c r="AT64" s="76"/>
      <c r="AU64" s="76"/>
      <c r="AV64" s="76">
        <v>1.3215694545899599E+18</v>
      </c>
      <c r="AW64" s="82" t="str">
        <f>HYPERLINK("https://t.co/zkSbYaMo5T")</f>
        <v>https://t.co/zkSbYaMo5T</v>
      </c>
      <c r="AX64" s="76" t="b">
        <v>1</v>
      </c>
      <c r="AY64" s="76"/>
      <c r="AZ64" s="76"/>
      <c r="BA64" s="76" t="b">
        <v>1</v>
      </c>
      <c r="BB64" s="76" t="b">
        <v>0</v>
      </c>
      <c r="BC64" s="76" t="b">
        <v>0</v>
      </c>
      <c r="BD64" s="76" t="b">
        <v>0</v>
      </c>
      <c r="BE64" s="76" t="b">
        <v>1</v>
      </c>
      <c r="BF64" s="76" t="b">
        <v>0</v>
      </c>
      <c r="BG64" s="76" t="b">
        <v>0</v>
      </c>
      <c r="BH64" s="82" t="str">
        <f>HYPERLINK("https://pbs.twimg.com/profile_banners/140919366/1692615880")</f>
        <v>https://pbs.twimg.com/profile_banners/140919366/1692615880</v>
      </c>
      <c r="BI64" s="76"/>
      <c r="BJ64" s="76" t="s">
        <v>27595</v>
      </c>
      <c r="BK64" s="76" t="b">
        <v>0</v>
      </c>
      <c r="BL64" s="76"/>
      <c r="BM64" s="76" t="s">
        <v>65</v>
      </c>
      <c r="BN64" s="76" t="s">
        <v>27597</v>
      </c>
      <c r="BO64" s="82" t="str">
        <f>HYPERLINK("https://twitter.com/indiurbaneja")</f>
        <v>https://twitter.com/indiurbaneja</v>
      </c>
      <c r="BP64" s="2"/>
    </row>
    <row r="65" spans="1:68" x14ac:dyDescent="0.25">
      <c r="A65" s="62" t="s">
        <v>1709</v>
      </c>
      <c r="B65" s="63"/>
      <c r="C65" s="63"/>
      <c r="D65" s="64"/>
      <c r="E65" s="66"/>
      <c r="F65" s="103" t="str">
        <f>HYPERLINK("https://pbs.twimg.com/profile_images/1292701810952679424/2cn5ENRl_normal.jpg")</f>
        <v>https://pbs.twimg.com/profile_images/1292701810952679424/2cn5ENRl_normal.jpg</v>
      </c>
      <c r="G65" s="63"/>
      <c r="H65" s="67"/>
      <c r="I65" s="68"/>
      <c r="J65" s="68"/>
      <c r="K65" s="67" t="s">
        <v>27659</v>
      </c>
      <c r="L65" s="71"/>
      <c r="M65" s="72"/>
      <c r="N65" s="72"/>
      <c r="O65" s="73"/>
      <c r="P65" s="74"/>
      <c r="Q65" s="74"/>
      <c r="R65" s="87"/>
      <c r="S65" s="87"/>
      <c r="T65" s="87"/>
      <c r="U65" s="87"/>
      <c r="V65" s="48"/>
      <c r="W65" s="48"/>
      <c r="X65" s="48"/>
      <c r="Y65" s="48"/>
      <c r="Z65" s="47"/>
      <c r="AA65" s="69">
        <v>65</v>
      </c>
      <c r="AB65" s="69"/>
      <c r="AC65" s="70"/>
      <c r="AD65" s="76" t="s">
        <v>21310</v>
      </c>
      <c r="AE65" s="81" t="s">
        <v>23099</v>
      </c>
      <c r="AF65" s="76">
        <v>149</v>
      </c>
      <c r="AG65" s="76">
        <v>13</v>
      </c>
      <c r="AH65" s="76">
        <v>0</v>
      </c>
      <c r="AI65" s="76">
        <v>0</v>
      </c>
      <c r="AJ65" s="76">
        <v>0</v>
      </c>
      <c r="AK65" s="76">
        <v>0</v>
      </c>
      <c r="AL65" s="76" t="b">
        <v>0</v>
      </c>
      <c r="AM65" s="78">
        <v>42918.920046296298</v>
      </c>
      <c r="AN65" s="76" t="s">
        <v>24092</v>
      </c>
      <c r="AO65" s="76" t="s">
        <v>24767</v>
      </c>
      <c r="AP65" s="82" t="str">
        <f>HYPERLINK("https://t.co/m4JmsL1b0B")</f>
        <v>https://t.co/m4JmsL1b0B</v>
      </c>
      <c r="AQ65" s="82" t="str">
        <f>HYPERLINK("http://VladimirVillegas.com")</f>
        <v>http://VladimirVillegas.com</v>
      </c>
      <c r="AR65" s="76" t="s">
        <v>26399</v>
      </c>
      <c r="AS65" s="76"/>
      <c r="AT65" s="76"/>
      <c r="AU65" s="76"/>
      <c r="AV65" s="76"/>
      <c r="AW65" s="82" t="str">
        <f>HYPERLINK("https://t.co/m4JmsL1b0B")</f>
        <v>https://t.co/m4JmsL1b0B</v>
      </c>
      <c r="AX65" s="76" t="b">
        <v>0</v>
      </c>
      <c r="AY65" s="76"/>
      <c r="AZ65" s="76"/>
      <c r="BA65" s="76" t="b">
        <v>1</v>
      </c>
      <c r="BB65" s="76" t="b">
        <v>0</v>
      </c>
      <c r="BC65" s="76" t="b">
        <v>0</v>
      </c>
      <c r="BD65" s="76" t="b">
        <v>0</v>
      </c>
      <c r="BE65" s="76" t="b">
        <v>0</v>
      </c>
      <c r="BF65" s="76" t="b">
        <v>0</v>
      </c>
      <c r="BG65" s="76" t="b">
        <v>0</v>
      </c>
      <c r="BH65" s="82" t="str">
        <f>HYPERLINK("https://pbs.twimg.com/profile_banners/881634807268114432/1597039102")</f>
        <v>https://pbs.twimg.com/profile_banners/881634807268114432/1597039102</v>
      </c>
      <c r="BI65" s="76"/>
      <c r="BJ65" s="76" t="s">
        <v>27595</v>
      </c>
      <c r="BK65" s="76" t="b">
        <v>0</v>
      </c>
      <c r="BL65" s="76"/>
      <c r="BM65" s="76" t="s">
        <v>65</v>
      </c>
      <c r="BN65" s="76" t="s">
        <v>27597</v>
      </c>
      <c r="BO65" s="82" t="str">
        <f>HYPERLINK("https://twitter.com/vladi_villegas")</f>
        <v>https://twitter.com/vladi_villegas</v>
      </c>
      <c r="BP65" s="2"/>
    </row>
    <row r="66" spans="1:68" x14ac:dyDescent="0.25">
      <c r="A66" s="62" t="s">
        <v>1710</v>
      </c>
      <c r="B66" s="63"/>
      <c r="C66" s="63"/>
      <c r="D66" s="64"/>
      <c r="E66" s="66"/>
      <c r="F66" s="103" t="str">
        <f>HYPERLINK("https://pbs.twimg.com/profile_images/1299103731842273290/nvcNjkqu_normal.jpg")</f>
        <v>https://pbs.twimg.com/profile_images/1299103731842273290/nvcNjkqu_normal.jpg</v>
      </c>
      <c r="G66" s="63"/>
      <c r="H66" s="67"/>
      <c r="I66" s="68"/>
      <c r="J66" s="68"/>
      <c r="K66" s="67" t="s">
        <v>27660</v>
      </c>
      <c r="L66" s="71"/>
      <c r="M66" s="72"/>
      <c r="N66" s="72"/>
      <c r="O66" s="73"/>
      <c r="P66" s="74"/>
      <c r="Q66" s="74"/>
      <c r="R66" s="87"/>
      <c r="S66" s="87"/>
      <c r="T66" s="87"/>
      <c r="U66" s="87"/>
      <c r="V66" s="48"/>
      <c r="W66" s="48"/>
      <c r="X66" s="48"/>
      <c r="Y66" s="48"/>
      <c r="Z66" s="47"/>
      <c r="AA66" s="69">
        <v>66</v>
      </c>
      <c r="AB66" s="69"/>
      <c r="AC66" s="70"/>
      <c r="AD66" s="76" t="s">
        <v>21311</v>
      </c>
      <c r="AE66" s="81" t="s">
        <v>23100</v>
      </c>
      <c r="AF66" s="76">
        <v>35063</v>
      </c>
      <c r="AG66" s="76">
        <v>163</v>
      </c>
      <c r="AH66" s="76">
        <v>4889</v>
      </c>
      <c r="AI66" s="76">
        <v>58</v>
      </c>
      <c r="AJ66" s="76">
        <v>3190</v>
      </c>
      <c r="AK66" s="76">
        <v>1502</v>
      </c>
      <c r="AL66" s="76" t="b">
        <v>0</v>
      </c>
      <c r="AM66" s="78">
        <v>41333.995717592596</v>
      </c>
      <c r="AN66" s="76" t="s">
        <v>24094</v>
      </c>
      <c r="AO66" s="76" t="s">
        <v>24768</v>
      </c>
      <c r="AP66" s="82" t="str">
        <f>HYPERLINK("https://t.co/MAnt5T9HTR")</f>
        <v>https://t.co/MAnt5T9HTR</v>
      </c>
      <c r="AQ66" s="82" t="str">
        <f>HYPERLINK("https://www.minhvi.gob.ve/")</f>
        <v>https://www.minhvi.gob.ve/</v>
      </c>
      <c r="AR66" s="76" t="s">
        <v>26400</v>
      </c>
      <c r="AS66" s="76"/>
      <c r="AT66" s="76"/>
      <c r="AU66" s="76"/>
      <c r="AV66" s="76">
        <v>1.68215007076914E+18</v>
      </c>
      <c r="AW66" s="82" t="str">
        <f>HYPERLINK("https://t.co/MAnt5T9HTR")</f>
        <v>https://t.co/MAnt5T9HTR</v>
      </c>
      <c r="AX66" s="76" t="b">
        <v>0</v>
      </c>
      <c r="AY66" s="76"/>
      <c r="AZ66" s="76"/>
      <c r="BA66" s="76" t="b">
        <v>0</v>
      </c>
      <c r="BB66" s="76" t="b">
        <v>0</v>
      </c>
      <c r="BC66" s="76" t="b">
        <v>1</v>
      </c>
      <c r="BD66" s="76" t="b">
        <v>0</v>
      </c>
      <c r="BE66" s="76" t="b">
        <v>0</v>
      </c>
      <c r="BF66" s="76" t="b">
        <v>0</v>
      </c>
      <c r="BG66" s="76" t="b">
        <v>0</v>
      </c>
      <c r="BH66" s="82" t="str">
        <f>HYPERLINK("https://pbs.twimg.com/profile_banners/1228636459/1649674672")</f>
        <v>https://pbs.twimg.com/profile_banners/1228636459/1649674672</v>
      </c>
      <c r="BI66" s="76"/>
      <c r="BJ66" s="76" t="s">
        <v>27595</v>
      </c>
      <c r="BK66" s="76" t="b">
        <v>0</v>
      </c>
      <c r="BL66" s="76"/>
      <c r="BM66" s="76" t="s">
        <v>65</v>
      </c>
      <c r="BN66" s="76" t="s">
        <v>27597</v>
      </c>
      <c r="BO66" s="82" t="str">
        <f>HYPERLINK("https://twitter.com/imvillarroel1")</f>
        <v>https://twitter.com/imvillarroel1</v>
      </c>
      <c r="BP66" s="2"/>
    </row>
    <row r="67" spans="1:68" x14ac:dyDescent="0.25">
      <c r="A67" s="62" t="s">
        <v>1711</v>
      </c>
      <c r="B67" s="63"/>
      <c r="C67" s="63"/>
      <c r="D67" s="64"/>
      <c r="E67" s="66"/>
      <c r="F67" s="103" t="str">
        <f>HYPERLINK("https://pbs.twimg.com/profile_images/1612430499632365569/QxwrDz7r_normal.jpg")</f>
        <v>https://pbs.twimg.com/profile_images/1612430499632365569/QxwrDz7r_normal.jpg</v>
      </c>
      <c r="G67" s="63"/>
      <c r="H67" s="67"/>
      <c r="I67" s="68"/>
      <c r="J67" s="68"/>
      <c r="K67" s="67" t="s">
        <v>27661</v>
      </c>
      <c r="L67" s="71"/>
      <c r="M67" s="72"/>
      <c r="N67" s="72"/>
      <c r="O67" s="73"/>
      <c r="P67" s="74"/>
      <c r="Q67" s="74"/>
      <c r="R67" s="87"/>
      <c r="S67" s="87"/>
      <c r="T67" s="87"/>
      <c r="U67" s="87"/>
      <c r="V67" s="48"/>
      <c r="W67" s="48"/>
      <c r="X67" s="48"/>
      <c r="Y67" s="48"/>
      <c r="Z67" s="47"/>
      <c r="AA67" s="69">
        <v>67</v>
      </c>
      <c r="AB67" s="69"/>
      <c r="AC67" s="70"/>
      <c r="AD67" s="76" t="s">
        <v>21312</v>
      </c>
      <c r="AE67" s="81" t="s">
        <v>23101</v>
      </c>
      <c r="AF67" s="76">
        <v>338539</v>
      </c>
      <c r="AG67" s="76">
        <v>454</v>
      </c>
      <c r="AH67" s="76">
        <v>212786</v>
      </c>
      <c r="AI67" s="76">
        <v>667</v>
      </c>
      <c r="AJ67" s="76">
        <v>20112</v>
      </c>
      <c r="AK67" s="76">
        <v>157799</v>
      </c>
      <c r="AL67" s="76" t="b">
        <v>0</v>
      </c>
      <c r="AM67" s="78">
        <v>40526.85396990741</v>
      </c>
      <c r="AN67" s="76" t="s">
        <v>24092</v>
      </c>
      <c r="AO67" s="76" t="s">
        <v>24769</v>
      </c>
      <c r="AP67" s="82" t="str">
        <f>HYPERLINK("https://t.co/JgPeCVxMRH")</f>
        <v>https://t.co/JgPeCVxMRH</v>
      </c>
      <c r="AQ67" s="82" t="str">
        <f>HYPERLINK("http://www.minhvi.gob.ve/")</f>
        <v>http://www.minhvi.gob.ve/</v>
      </c>
      <c r="AR67" s="76" t="s">
        <v>26400</v>
      </c>
      <c r="AS67" s="76"/>
      <c r="AT67" s="76"/>
      <c r="AU67" s="76"/>
      <c r="AV67" s="76"/>
      <c r="AW67" s="82" t="str">
        <f>HYPERLINK("https://t.co/JgPeCVxMRH")</f>
        <v>https://t.co/JgPeCVxMRH</v>
      </c>
      <c r="AX67" s="76" t="b">
        <v>0</v>
      </c>
      <c r="AY67" s="76"/>
      <c r="AZ67" s="76"/>
      <c r="BA67" s="76" t="b">
        <v>0</v>
      </c>
      <c r="BB67" s="76" t="b">
        <v>0</v>
      </c>
      <c r="BC67" s="76" t="b">
        <v>0</v>
      </c>
      <c r="BD67" s="76" t="b">
        <v>0</v>
      </c>
      <c r="BE67" s="76" t="b">
        <v>1</v>
      </c>
      <c r="BF67" s="76" t="b">
        <v>0</v>
      </c>
      <c r="BG67" s="76" t="b">
        <v>0</v>
      </c>
      <c r="BH67" s="82" t="str">
        <f>HYPERLINK("https://pbs.twimg.com/profile_banners/226688200/1673268970")</f>
        <v>https://pbs.twimg.com/profile_banners/226688200/1673268970</v>
      </c>
      <c r="BI67" s="76"/>
      <c r="BJ67" s="76" t="s">
        <v>27595</v>
      </c>
      <c r="BK67" s="76" t="b">
        <v>0</v>
      </c>
      <c r="BL67" s="76"/>
      <c r="BM67" s="76" t="s">
        <v>65</v>
      </c>
      <c r="BN67" s="76" t="s">
        <v>27597</v>
      </c>
      <c r="BO67" s="82" t="str">
        <f>HYPERLINK("https://twitter.com/minhvi_oficial")</f>
        <v>https://twitter.com/minhvi_oficial</v>
      </c>
      <c r="BP67" s="2"/>
    </row>
    <row r="68" spans="1:68" x14ac:dyDescent="0.25">
      <c r="A68" s="62" t="s">
        <v>1712</v>
      </c>
      <c r="B68" s="63"/>
      <c r="C68" s="63"/>
      <c r="D68" s="64"/>
      <c r="E68" s="66"/>
      <c r="F68" s="103" t="str">
        <f>HYPERLINK("https://pbs.twimg.com/profile_images/1641981973852745730/xO1AO6le_normal.jpg")</f>
        <v>https://pbs.twimg.com/profile_images/1641981973852745730/xO1AO6le_normal.jpg</v>
      </c>
      <c r="G68" s="63"/>
      <c r="H68" s="67"/>
      <c r="I68" s="68"/>
      <c r="J68" s="68"/>
      <c r="K68" s="67" t="s">
        <v>27662</v>
      </c>
      <c r="L68" s="71"/>
      <c r="M68" s="72"/>
      <c r="N68" s="72"/>
      <c r="O68" s="73"/>
      <c r="P68" s="74"/>
      <c r="Q68" s="74"/>
      <c r="R68" s="87"/>
      <c r="S68" s="87"/>
      <c r="T68" s="87"/>
      <c r="U68" s="87"/>
      <c r="V68" s="48"/>
      <c r="W68" s="48"/>
      <c r="X68" s="48"/>
      <c r="Y68" s="48"/>
      <c r="Z68" s="47"/>
      <c r="AA68" s="69">
        <v>68</v>
      </c>
      <c r="AB68" s="69"/>
      <c r="AC68" s="70"/>
      <c r="AD68" s="76" t="s">
        <v>21313</v>
      </c>
      <c r="AE68" s="81" t="s">
        <v>23102</v>
      </c>
      <c r="AF68" s="76">
        <v>44451</v>
      </c>
      <c r="AG68" s="76">
        <v>159</v>
      </c>
      <c r="AH68" s="76">
        <v>24918</v>
      </c>
      <c r="AI68" s="76">
        <v>43</v>
      </c>
      <c r="AJ68" s="76">
        <v>6434</v>
      </c>
      <c r="AK68" s="76">
        <v>2734</v>
      </c>
      <c r="AL68" s="76" t="b">
        <v>0</v>
      </c>
      <c r="AM68" s="78">
        <v>40298.805763888886</v>
      </c>
      <c r="AN68" s="76" t="s">
        <v>24095</v>
      </c>
      <c r="AO68" s="76" t="s">
        <v>24770</v>
      </c>
      <c r="AP68" s="76"/>
      <c r="AQ68" s="76"/>
      <c r="AR68" s="76"/>
      <c r="AS68" s="76"/>
      <c r="AT68" s="76"/>
      <c r="AU68" s="76"/>
      <c r="AV68" s="76"/>
      <c r="AW68" s="76"/>
      <c r="AX68" s="76" t="b">
        <v>0</v>
      </c>
      <c r="AY68" s="76"/>
      <c r="AZ68" s="76"/>
      <c r="BA68" s="76" t="b">
        <v>0</v>
      </c>
      <c r="BB68" s="76" t="b">
        <v>1</v>
      </c>
      <c r="BC68" s="76" t="b">
        <v>0</v>
      </c>
      <c r="BD68" s="76" t="b">
        <v>0</v>
      </c>
      <c r="BE68" s="76" t="b">
        <v>1</v>
      </c>
      <c r="BF68" s="76" t="b">
        <v>0</v>
      </c>
      <c r="BG68" s="76" t="b">
        <v>0</v>
      </c>
      <c r="BH68" s="82" t="str">
        <f>HYPERLINK("https://pbs.twimg.com/profile_banners/138840559/1646651258")</f>
        <v>https://pbs.twimg.com/profile_banners/138840559/1646651258</v>
      </c>
      <c r="BI68" s="76"/>
      <c r="BJ68" s="76" t="s">
        <v>27595</v>
      </c>
      <c r="BK68" s="76" t="b">
        <v>0</v>
      </c>
      <c r="BL68" s="76"/>
      <c r="BM68" s="76" t="s">
        <v>65</v>
      </c>
      <c r="BN68" s="76" t="s">
        <v>27597</v>
      </c>
      <c r="BO68" s="82" t="str">
        <f>HYPERLINK("https://twitter.com/soykarinacarpio")</f>
        <v>https://twitter.com/soykarinacarpio</v>
      </c>
      <c r="BP68" s="2"/>
    </row>
    <row r="69" spans="1:68" x14ac:dyDescent="0.25">
      <c r="A69" s="62" t="s">
        <v>1713</v>
      </c>
      <c r="B69" s="63"/>
      <c r="C69" s="63"/>
      <c r="D69" s="64"/>
      <c r="E69" s="66"/>
      <c r="F69" s="103" t="str">
        <f>HYPERLINK("https://pbs.twimg.com/profile_images/1622636320467058688/6bYD1aMa_normal.jpg")</f>
        <v>https://pbs.twimg.com/profile_images/1622636320467058688/6bYD1aMa_normal.jpg</v>
      </c>
      <c r="G69" s="63"/>
      <c r="H69" s="67"/>
      <c r="I69" s="68"/>
      <c r="J69" s="68"/>
      <c r="K69" s="67" t="s">
        <v>27663</v>
      </c>
      <c r="L69" s="71"/>
      <c r="M69" s="72"/>
      <c r="N69" s="72"/>
      <c r="O69" s="73"/>
      <c r="P69" s="74"/>
      <c r="Q69" s="74"/>
      <c r="R69" s="87"/>
      <c r="S69" s="87"/>
      <c r="T69" s="87"/>
      <c r="U69" s="87"/>
      <c r="V69" s="48"/>
      <c r="W69" s="48"/>
      <c r="X69" s="48"/>
      <c r="Y69" s="48"/>
      <c r="Z69" s="47"/>
      <c r="AA69" s="69">
        <v>69</v>
      </c>
      <c r="AB69" s="69"/>
      <c r="AC69" s="70"/>
      <c r="AD69" s="76" t="s">
        <v>21314</v>
      </c>
      <c r="AE69" s="81" t="s">
        <v>23103</v>
      </c>
      <c r="AF69" s="76">
        <v>595640</v>
      </c>
      <c r="AG69" s="76">
        <v>13</v>
      </c>
      <c r="AH69" s="76">
        <v>108600</v>
      </c>
      <c r="AI69" s="76">
        <v>821</v>
      </c>
      <c r="AJ69" s="76">
        <v>3297</v>
      </c>
      <c r="AK69" s="76">
        <v>16893</v>
      </c>
      <c r="AL69" s="76" t="b">
        <v>0</v>
      </c>
      <c r="AM69" s="78">
        <v>40350.728310185186</v>
      </c>
      <c r="AN69" s="76" t="s">
        <v>24096</v>
      </c>
      <c r="AO69" s="76" t="s">
        <v>24771</v>
      </c>
      <c r="AP69" s="82" t="str">
        <f>HYPERLINK("https://t.co/97SLQ91IXB")</f>
        <v>https://t.co/97SLQ91IXB</v>
      </c>
      <c r="AQ69" s="82" t="str">
        <f>HYPERLINK("http://tarekwilliamsaab.org")</f>
        <v>http://tarekwilliamsaab.org</v>
      </c>
      <c r="AR69" s="76" t="s">
        <v>26401</v>
      </c>
      <c r="AS69" s="76"/>
      <c r="AT69" s="76"/>
      <c r="AU69" s="76"/>
      <c r="AV69" s="76">
        <v>1.5050384308451599E+18</v>
      </c>
      <c r="AW69" s="82" t="str">
        <f>HYPERLINK("https://t.co/97SLQ91IXB")</f>
        <v>https://t.co/97SLQ91IXB</v>
      </c>
      <c r="AX69" s="76" t="b">
        <v>1</v>
      </c>
      <c r="AY69" s="76"/>
      <c r="AZ69" s="76"/>
      <c r="BA69" s="76" t="b">
        <v>1</v>
      </c>
      <c r="BB69" s="76" t="b">
        <v>1</v>
      </c>
      <c r="BC69" s="76" t="b">
        <v>0</v>
      </c>
      <c r="BD69" s="76" t="b">
        <v>0</v>
      </c>
      <c r="BE69" s="76" t="b">
        <v>1</v>
      </c>
      <c r="BF69" s="76" t="b">
        <v>0</v>
      </c>
      <c r="BG69" s="76" t="b">
        <v>0</v>
      </c>
      <c r="BH69" s="82" t="str">
        <f>HYPERLINK("https://pbs.twimg.com/profile_banners/158059666/1609698729")</f>
        <v>https://pbs.twimg.com/profile_banners/158059666/1609698729</v>
      </c>
      <c r="BI69" s="76"/>
      <c r="BJ69" s="76" t="s">
        <v>27595</v>
      </c>
      <c r="BK69" s="76" t="b">
        <v>0</v>
      </c>
      <c r="BL69" s="76"/>
      <c r="BM69" s="76" t="s">
        <v>65</v>
      </c>
      <c r="BN69" s="76" t="s">
        <v>27597</v>
      </c>
      <c r="BO69" s="82" t="str">
        <f>HYPERLINK("https://twitter.com/tarekwiliamsaab")</f>
        <v>https://twitter.com/tarekwiliamsaab</v>
      </c>
      <c r="BP69" s="2"/>
    </row>
    <row r="70" spans="1:68" x14ac:dyDescent="0.25">
      <c r="A70" s="62" t="s">
        <v>1714</v>
      </c>
      <c r="B70" s="63"/>
      <c r="C70" s="63"/>
      <c r="D70" s="64"/>
      <c r="E70" s="66"/>
      <c r="F70" s="103" t="str">
        <f>HYPERLINK("https://pbs.twimg.com/profile_images/1166560186468896768/0gSado0h_normal.jpg")</f>
        <v>https://pbs.twimg.com/profile_images/1166560186468896768/0gSado0h_normal.jpg</v>
      </c>
      <c r="G70" s="63"/>
      <c r="H70" s="67"/>
      <c r="I70" s="68"/>
      <c r="J70" s="68"/>
      <c r="K70" s="67" t="s">
        <v>27664</v>
      </c>
      <c r="L70" s="71"/>
      <c r="M70" s="72"/>
      <c r="N70" s="72"/>
      <c r="O70" s="73"/>
      <c r="P70" s="74"/>
      <c r="Q70" s="74"/>
      <c r="R70" s="87"/>
      <c r="S70" s="87"/>
      <c r="T70" s="87"/>
      <c r="U70" s="87"/>
      <c r="V70" s="48"/>
      <c r="W70" s="48"/>
      <c r="X70" s="48"/>
      <c r="Y70" s="48"/>
      <c r="Z70" s="47"/>
      <c r="AA70" s="69">
        <v>70</v>
      </c>
      <c r="AB70" s="69"/>
      <c r="AC70" s="70"/>
      <c r="AD70" s="76" t="s">
        <v>21315</v>
      </c>
      <c r="AE70" s="81" t="s">
        <v>23104</v>
      </c>
      <c r="AF70" s="76">
        <v>4614486</v>
      </c>
      <c r="AG70" s="76">
        <v>119</v>
      </c>
      <c r="AH70" s="76">
        <v>125990</v>
      </c>
      <c r="AI70" s="76">
        <v>17419</v>
      </c>
      <c r="AJ70" s="76">
        <v>152</v>
      </c>
      <c r="AK70" s="76">
        <v>16011</v>
      </c>
      <c r="AL70" s="76" t="b">
        <v>0</v>
      </c>
      <c r="AM70" s="78">
        <v>41341.888310185182</v>
      </c>
      <c r="AN70" s="76" t="s">
        <v>24097</v>
      </c>
      <c r="AO70" s="76" t="s">
        <v>24772</v>
      </c>
      <c r="AP70" s="82" t="str">
        <f>HYPERLINK("https://t.co/RLht2xwzGA")</f>
        <v>https://t.co/RLht2xwzGA</v>
      </c>
      <c r="AQ70" s="82" t="str">
        <f>HYPERLINK("http://nicolasmaduro.org.ve")</f>
        <v>http://nicolasmaduro.org.ve</v>
      </c>
      <c r="AR70" s="76" t="s">
        <v>26402</v>
      </c>
      <c r="AS70" s="76"/>
      <c r="AT70" s="76"/>
      <c r="AU70" s="76"/>
      <c r="AV70" s="76">
        <v>1.7075049499013601E+18</v>
      </c>
      <c r="AW70" s="82" t="str">
        <f>HYPERLINK("https://t.co/RLht2xwzGA")</f>
        <v>https://t.co/RLht2xwzGA</v>
      </c>
      <c r="AX70" s="76" t="b">
        <v>1</v>
      </c>
      <c r="AY70" s="76"/>
      <c r="AZ70" s="76"/>
      <c r="BA70" s="76" t="b">
        <v>0</v>
      </c>
      <c r="BB70" s="76" t="b">
        <v>0</v>
      </c>
      <c r="BC70" s="76" t="b">
        <v>0</v>
      </c>
      <c r="BD70" s="76" t="b">
        <v>0</v>
      </c>
      <c r="BE70" s="76" t="b">
        <v>0</v>
      </c>
      <c r="BF70" s="76" t="b">
        <v>0</v>
      </c>
      <c r="BG70" s="76" t="b">
        <v>0</v>
      </c>
      <c r="BH70" s="82" t="str">
        <f>HYPERLINK("https://pbs.twimg.com/profile_banners/1252764865/1522250418")</f>
        <v>https://pbs.twimg.com/profile_banners/1252764865/1522250418</v>
      </c>
      <c r="BI70" s="76"/>
      <c r="BJ70" s="76" t="s">
        <v>27595</v>
      </c>
      <c r="BK70" s="76" t="b">
        <v>0</v>
      </c>
      <c r="BL70" s="76"/>
      <c r="BM70" s="76" t="s">
        <v>65</v>
      </c>
      <c r="BN70" s="76" t="s">
        <v>27597</v>
      </c>
      <c r="BO70" s="82" t="str">
        <f>HYPERLINK("https://twitter.com/nicolasmaduro")</f>
        <v>https://twitter.com/nicolasmaduro</v>
      </c>
      <c r="BP70" s="2"/>
    </row>
    <row r="71" spans="1:68" x14ac:dyDescent="0.25">
      <c r="A71" s="62" t="s">
        <v>265</v>
      </c>
      <c r="B71" s="63"/>
      <c r="C71" s="63"/>
      <c r="D71" s="64"/>
      <c r="E71" s="66"/>
      <c r="F71" s="103" t="str">
        <f>HYPERLINK("https://pbs.twimg.com/profile_images/1707091817223606272/uM3-IP-P_normal.jpg")</f>
        <v>https://pbs.twimg.com/profile_images/1707091817223606272/uM3-IP-P_normal.jpg</v>
      </c>
      <c r="G71" s="63"/>
      <c r="H71" s="67"/>
      <c r="I71" s="68"/>
      <c r="J71" s="68"/>
      <c r="K71" s="67" t="s">
        <v>27665</v>
      </c>
      <c r="L71" s="71"/>
      <c r="M71" s="72"/>
      <c r="N71" s="72"/>
      <c r="O71" s="73"/>
      <c r="P71" s="74"/>
      <c r="Q71" s="74"/>
      <c r="R71" s="87"/>
      <c r="S71" s="87"/>
      <c r="T71" s="87"/>
      <c r="U71" s="87"/>
      <c r="V71" s="48"/>
      <c r="W71" s="48"/>
      <c r="X71" s="48"/>
      <c r="Y71" s="48"/>
      <c r="Z71" s="47"/>
      <c r="AA71" s="69">
        <v>71</v>
      </c>
      <c r="AB71" s="69"/>
      <c r="AC71" s="70"/>
      <c r="AD71" s="76" t="s">
        <v>21316</v>
      </c>
      <c r="AE71" s="81" t="s">
        <v>23105</v>
      </c>
      <c r="AF71" s="76">
        <v>1647</v>
      </c>
      <c r="AG71" s="76">
        <v>878</v>
      </c>
      <c r="AH71" s="76">
        <v>8234</v>
      </c>
      <c r="AI71" s="76">
        <v>27</v>
      </c>
      <c r="AJ71" s="76">
        <v>1778</v>
      </c>
      <c r="AK71" s="76">
        <v>935</v>
      </c>
      <c r="AL71" s="76" t="b">
        <v>0</v>
      </c>
      <c r="AM71" s="78">
        <v>40278.839687500003</v>
      </c>
      <c r="AN71" s="76" t="s">
        <v>24098</v>
      </c>
      <c r="AO71" s="76" t="s">
        <v>24773</v>
      </c>
      <c r="AP71" s="82" t="str">
        <f>HYPERLINK("https://t.co/dW072kO5Oy")</f>
        <v>https://t.co/dW072kO5Oy</v>
      </c>
      <c r="AQ71" s="82" t="str">
        <f>HYPERLINK("http://www.infored21.com")</f>
        <v>http://www.infored21.com</v>
      </c>
      <c r="AR71" s="76" t="s">
        <v>26403</v>
      </c>
      <c r="AS71" s="76"/>
      <c r="AT71" s="76"/>
      <c r="AU71" s="76"/>
      <c r="AV71" s="76"/>
      <c r="AW71" s="82" t="str">
        <f>HYPERLINK("https://t.co/dW072kO5Oy")</f>
        <v>https://t.co/dW072kO5Oy</v>
      </c>
      <c r="AX71" s="76" t="b">
        <v>0</v>
      </c>
      <c r="AY71" s="76"/>
      <c r="AZ71" s="76"/>
      <c r="BA71" s="76" t="b">
        <v>1</v>
      </c>
      <c r="BB71" s="76" t="b">
        <v>0</v>
      </c>
      <c r="BC71" s="76" t="b">
        <v>0</v>
      </c>
      <c r="BD71" s="76" t="b">
        <v>0</v>
      </c>
      <c r="BE71" s="76" t="b">
        <v>1</v>
      </c>
      <c r="BF71" s="76" t="b">
        <v>0</v>
      </c>
      <c r="BG71" s="76" t="b">
        <v>0</v>
      </c>
      <c r="BH71" s="82" t="str">
        <f>HYPERLINK("https://pbs.twimg.com/profile_banners/131611473/1695837371")</f>
        <v>https://pbs.twimg.com/profile_banners/131611473/1695837371</v>
      </c>
      <c r="BI71" s="76"/>
      <c r="BJ71" s="76" t="s">
        <v>27595</v>
      </c>
      <c r="BK71" s="76" t="b">
        <v>0</v>
      </c>
      <c r="BL71" s="76"/>
      <c r="BM71" s="76" t="s">
        <v>66</v>
      </c>
      <c r="BN71" s="76" t="s">
        <v>27597</v>
      </c>
      <c r="BO71" s="82" t="str">
        <f>HYPERLINK("https://twitter.com/infored21")</f>
        <v>https://twitter.com/infored21</v>
      </c>
      <c r="BP71" s="2"/>
    </row>
    <row r="72" spans="1:68" x14ac:dyDescent="0.25">
      <c r="A72" s="62" t="s">
        <v>1715</v>
      </c>
      <c r="B72" s="63"/>
      <c r="C72" s="63"/>
      <c r="D72" s="64"/>
      <c r="E72" s="66"/>
      <c r="F72" s="103" t="str">
        <f>HYPERLINK("https://pbs.twimg.com/profile_images/1639607611036188675/ER1KQEWf_normal.jpg")</f>
        <v>https://pbs.twimg.com/profile_images/1639607611036188675/ER1KQEWf_normal.jpg</v>
      </c>
      <c r="G72" s="63"/>
      <c r="H72" s="67"/>
      <c r="I72" s="68"/>
      <c r="J72" s="68"/>
      <c r="K72" s="67" t="s">
        <v>27666</v>
      </c>
      <c r="L72" s="71"/>
      <c r="M72" s="72"/>
      <c r="N72" s="72"/>
      <c r="O72" s="73"/>
      <c r="P72" s="74"/>
      <c r="Q72" s="74"/>
      <c r="R72" s="87"/>
      <c r="S72" s="87"/>
      <c r="T72" s="87"/>
      <c r="U72" s="87"/>
      <c r="V72" s="48"/>
      <c r="W72" s="48"/>
      <c r="X72" s="48"/>
      <c r="Y72" s="48"/>
      <c r="Z72" s="47"/>
      <c r="AA72" s="69">
        <v>72</v>
      </c>
      <c r="AB72" s="69"/>
      <c r="AC72" s="70"/>
      <c r="AD72" s="76" t="s">
        <v>21317</v>
      </c>
      <c r="AE72" s="81" t="s">
        <v>20219</v>
      </c>
      <c r="AF72" s="76">
        <v>1272203</v>
      </c>
      <c r="AG72" s="76">
        <v>2367</v>
      </c>
      <c r="AH72" s="76">
        <v>11433</v>
      </c>
      <c r="AI72" s="76">
        <v>2733</v>
      </c>
      <c r="AJ72" s="76">
        <v>12194</v>
      </c>
      <c r="AK72" s="76">
        <v>4988</v>
      </c>
      <c r="AL72" s="76" t="b">
        <v>0</v>
      </c>
      <c r="AM72" s="78">
        <v>40233.850185185183</v>
      </c>
      <c r="AN72" s="76" t="s">
        <v>24099</v>
      </c>
      <c r="AO72" s="76" t="s">
        <v>24774</v>
      </c>
      <c r="AP72" s="76"/>
      <c r="AQ72" s="76"/>
      <c r="AR72" s="76"/>
      <c r="AS72" s="76"/>
      <c r="AT72" s="76"/>
      <c r="AU72" s="76"/>
      <c r="AV72" s="76"/>
      <c r="AW72" s="76"/>
      <c r="AX72" s="76" t="b">
        <v>1</v>
      </c>
      <c r="AY72" s="76"/>
      <c r="AZ72" s="76"/>
      <c r="BA72" s="76" t="b">
        <v>0</v>
      </c>
      <c r="BB72" s="76" t="b">
        <v>1</v>
      </c>
      <c r="BC72" s="76" t="b">
        <v>0</v>
      </c>
      <c r="BD72" s="76" t="b">
        <v>0</v>
      </c>
      <c r="BE72" s="76" t="b">
        <v>1</v>
      </c>
      <c r="BF72" s="76" t="b">
        <v>0</v>
      </c>
      <c r="BG72" s="76" t="b">
        <v>0</v>
      </c>
      <c r="BH72" s="82" t="str">
        <f>HYPERLINK("https://pbs.twimg.com/profile_banners/117185027/1575490491")</f>
        <v>https://pbs.twimg.com/profile_banners/117185027/1575490491</v>
      </c>
      <c r="BI72" s="76"/>
      <c r="BJ72" s="76" t="s">
        <v>27595</v>
      </c>
      <c r="BK72" s="76" t="b">
        <v>0</v>
      </c>
      <c r="BL72" s="76"/>
      <c r="BM72" s="76" t="s">
        <v>65</v>
      </c>
      <c r="BN72" s="76" t="s">
        <v>27597</v>
      </c>
      <c r="BO72" s="82" t="str">
        <f>HYPERLINK("https://twitter.com/sergiomassa")</f>
        <v>https://twitter.com/sergiomassa</v>
      </c>
      <c r="BP72" s="2"/>
    </row>
    <row r="73" spans="1:68" x14ac:dyDescent="0.25">
      <c r="A73" s="62" t="s">
        <v>266</v>
      </c>
      <c r="B73" s="63"/>
      <c r="C73" s="63"/>
      <c r="D73" s="64"/>
      <c r="E73" s="66"/>
      <c r="F73" s="103" t="str">
        <f>HYPERLINK("https://pbs.twimg.com/profile_images/1631818770430795776/9wvxpK4e_normal.jpg")</f>
        <v>https://pbs.twimg.com/profile_images/1631818770430795776/9wvxpK4e_normal.jpg</v>
      </c>
      <c r="G73" s="63"/>
      <c r="H73" s="67"/>
      <c r="I73" s="68"/>
      <c r="J73" s="68"/>
      <c r="K73" s="67" t="s">
        <v>27667</v>
      </c>
      <c r="L73" s="71"/>
      <c r="M73" s="72"/>
      <c r="N73" s="72"/>
      <c r="O73" s="73"/>
      <c r="P73" s="74"/>
      <c r="Q73" s="74"/>
      <c r="R73" s="87"/>
      <c r="S73" s="87"/>
      <c r="T73" s="87"/>
      <c r="U73" s="87"/>
      <c r="V73" s="48"/>
      <c r="W73" s="48"/>
      <c r="X73" s="48"/>
      <c r="Y73" s="48"/>
      <c r="Z73" s="47"/>
      <c r="AA73" s="69">
        <v>73</v>
      </c>
      <c r="AB73" s="69"/>
      <c r="AC73" s="70"/>
      <c r="AD73" s="76" t="s">
        <v>21318</v>
      </c>
      <c r="AE73" s="81" t="s">
        <v>23106</v>
      </c>
      <c r="AF73" s="76">
        <v>21165</v>
      </c>
      <c r="AG73" s="76">
        <v>5535</v>
      </c>
      <c r="AH73" s="76">
        <v>36325</v>
      </c>
      <c r="AI73" s="76">
        <v>88</v>
      </c>
      <c r="AJ73" s="76">
        <v>27562</v>
      </c>
      <c r="AK73" s="76">
        <v>515</v>
      </c>
      <c r="AL73" s="76" t="b">
        <v>0</v>
      </c>
      <c r="AM73" s="78">
        <v>40040.760717592595</v>
      </c>
      <c r="AN73" s="76" t="s">
        <v>14386</v>
      </c>
      <c r="AO73" s="76" t="s">
        <v>24775</v>
      </c>
      <c r="AP73" s="76"/>
      <c r="AQ73" s="76"/>
      <c r="AR73" s="76"/>
      <c r="AS73" s="76"/>
      <c r="AT73" s="76"/>
      <c r="AU73" s="76"/>
      <c r="AV73" s="76">
        <v>1.7012440125506601E+18</v>
      </c>
      <c r="AW73" s="76"/>
      <c r="AX73" s="76" t="b">
        <v>0</v>
      </c>
      <c r="AY73" s="76"/>
      <c r="AZ73" s="76"/>
      <c r="BA73" s="76" t="b">
        <v>0</v>
      </c>
      <c r="BB73" s="76" t="b">
        <v>0</v>
      </c>
      <c r="BC73" s="76" t="b">
        <v>0</v>
      </c>
      <c r="BD73" s="76" t="b">
        <v>0</v>
      </c>
      <c r="BE73" s="76" t="b">
        <v>1</v>
      </c>
      <c r="BF73" s="76" t="b">
        <v>0</v>
      </c>
      <c r="BG73" s="76" t="b">
        <v>0</v>
      </c>
      <c r="BH73" s="82" t="str">
        <f>HYPERLINK("https://pbs.twimg.com/profile_banners/65946747/1689419508")</f>
        <v>https://pbs.twimg.com/profile_banners/65946747/1689419508</v>
      </c>
      <c r="BI73" s="76"/>
      <c r="BJ73" s="76" t="s">
        <v>27595</v>
      </c>
      <c r="BK73" s="76" t="b">
        <v>0</v>
      </c>
      <c r="BL73" s="76"/>
      <c r="BM73" s="76" t="s">
        <v>66</v>
      </c>
      <c r="BN73" s="76" t="s">
        <v>27597</v>
      </c>
      <c r="BO73" s="82" t="str">
        <f>HYPERLINK("https://twitter.com/tromben")</f>
        <v>https://twitter.com/tromben</v>
      </c>
      <c r="BP73" s="2"/>
    </row>
    <row r="74" spans="1:68" x14ac:dyDescent="0.25">
      <c r="A74" s="62" t="s">
        <v>495</v>
      </c>
      <c r="B74" s="63"/>
      <c r="C74" s="63"/>
      <c r="D74" s="64"/>
      <c r="E74" s="66"/>
      <c r="F74" s="103" t="str">
        <f>HYPERLINK("https://pbs.twimg.com/profile_images/876854388626776064/E8sDnmRO_normal.jpg")</f>
        <v>https://pbs.twimg.com/profile_images/876854388626776064/E8sDnmRO_normal.jpg</v>
      </c>
      <c r="G74" s="63"/>
      <c r="H74" s="67"/>
      <c r="I74" s="68"/>
      <c r="J74" s="68"/>
      <c r="K74" s="67" t="s">
        <v>27668</v>
      </c>
      <c r="L74" s="71"/>
      <c r="M74" s="72"/>
      <c r="N74" s="72"/>
      <c r="O74" s="73"/>
      <c r="P74" s="74"/>
      <c r="Q74" s="74"/>
      <c r="R74" s="87"/>
      <c r="S74" s="87"/>
      <c r="T74" s="87"/>
      <c r="U74" s="87"/>
      <c r="V74" s="48"/>
      <c r="W74" s="48"/>
      <c r="X74" s="48"/>
      <c r="Y74" s="48"/>
      <c r="Z74" s="47"/>
      <c r="AA74" s="69">
        <v>74</v>
      </c>
      <c r="AB74" s="69"/>
      <c r="AC74" s="70"/>
      <c r="AD74" s="76" t="s">
        <v>21319</v>
      </c>
      <c r="AE74" s="81" t="s">
        <v>23107</v>
      </c>
      <c r="AF74" s="76">
        <v>46670</v>
      </c>
      <c r="AG74" s="76">
        <v>1014</v>
      </c>
      <c r="AH74" s="76">
        <v>38329</v>
      </c>
      <c r="AI74" s="76">
        <v>967</v>
      </c>
      <c r="AJ74" s="76">
        <v>13517</v>
      </c>
      <c r="AK74" s="76">
        <v>4457</v>
      </c>
      <c r="AL74" s="76" t="b">
        <v>0</v>
      </c>
      <c r="AM74" s="78">
        <v>40213.681331018517</v>
      </c>
      <c r="AN74" s="76"/>
      <c r="AO74" s="76" t="s">
        <v>24776</v>
      </c>
      <c r="AP74" s="82" t="str">
        <f>HYPERLINK("https://t.co/gNIX0cC6YX")</f>
        <v>https://t.co/gNIX0cC6YX</v>
      </c>
      <c r="AQ74" s="82" t="str">
        <f>HYPERLINK("http://people.uwe.ac.uk/Pages/person.aspx?accountname=campus%5Cd-gabor")</f>
        <v>http://people.uwe.ac.uk/Pages/person.aspx?accountname=campus%5Cd-gabor</v>
      </c>
      <c r="AR74" s="76" t="s">
        <v>26404</v>
      </c>
      <c r="AS74" s="76" t="s">
        <v>27369</v>
      </c>
      <c r="AT74" s="76" t="s">
        <v>27408</v>
      </c>
      <c r="AU74" s="76" t="s">
        <v>27453</v>
      </c>
      <c r="AV74" s="76">
        <v>1.37643711741757E+18</v>
      </c>
      <c r="AW74" s="82" t="str">
        <f>HYPERLINK("https://t.co/gNIX0cC6YX")</f>
        <v>https://t.co/gNIX0cC6YX</v>
      </c>
      <c r="AX74" s="76" t="b">
        <v>0</v>
      </c>
      <c r="AY74" s="76"/>
      <c r="AZ74" s="76"/>
      <c r="BA74" s="76" t="b">
        <v>0</v>
      </c>
      <c r="BB74" s="76" t="b">
        <v>1</v>
      </c>
      <c r="BC74" s="76" t="b">
        <v>1</v>
      </c>
      <c r="BD74" s="76" t="b">
        <v>0</v>
      </c>
      <c r="BE74" s="76" t="b">
        <v>1</v>
      </c>
      <c r="BF74" s="76" t="b">
        <v>0</v>
      </c>
      <c r="BG74" s="76" t="b">
        <v>0</v>
      </c>
      <c r="BH74" s="82" t="str">
        <f>HYPERLINK("https://pbs.twimg.com/profile_banners/111349115/1471085673")</f>
        <v>https://pbs.twimg.com/profile_banners/111349115/1471085673</v>
      </c>
      <c r="BI74" s="76"/>
      <c r="BJ74" s="76" t="s">
        <v>27595</v>
      </c>
      <c r="BK74" s="76" t="b">
        <v>0</v>
      </c>
      <c r="BL74" s="76"/>
      <c r="BM74" s="76" t="s">
        <v>66</v>
      </c>
      <c r="BN74" s="76" t="s">
        <v>27597</v>
      </c>
      <c r="BO74" s="82" t="str">
        <f>HYPERLINK("https://twitter.com/danielagabor")</f>
        <v>https://twitter.com/danielagabor</v>
      </c>
      <c r="BP74" s="2"/>
    </row>
    <row r="75" spans="1:68" x14ac:dyDescent="0.25">
      <c r="A75" s="62" t="s">
        <v>267</v>
      </c>
      <c r="B75" s="63"/>
      <c r="C75" s="63"/>
      <c r="D75" s="64"/>
      <c r="E75" s="66"/>
      <c r="F75" s="103" t="str">
        <f>HYPERLINK("https://pbs.twimg.com/profile_images/1397550670169792516/5QhmdNnG_normal.jpg")</f>
        <v>https://pbs.twimg.com/profile_images/1397550670169792516/5QhmdNnG_normal.jpg</v>
      </c>
      <c r="G75" s="63"/>
      <c r="H75" s="67"/>
      <c r="I75" s="68"/>
      <c r="J75" s="68"/>
      <c r="K75" s="67" t="s">
        <v>27669</v>
      </c>
      <c r="L75" s="71"/>
      <c r="M75" s="72"/>
      <c r="N75" s="72"/>
      <c r="O75" s="73"/>
      <c r="P75" s="74"/>
      <c r="Q75" s="74"/>
      <c r="R75" s="87"/>
      <c r="S75" s="87"/>
      <c r="T75" s="87"/>
      <c r="U75" s="87"/>
      <c r="V75" s="48"/>
      <c r="W75" s="48"/>
      <c r="X75" s="48"/>
      <c r="Y75" s="48"/>
      <c r="Z75" s="47"/>
      <c r="AA75" s="69">
        <v>75</v>
      </c>
      <c r="AB75" s="69"/>
      <c r="AC75" s="70"/>
      <c r="AD75" s="76" t="s">
        <v>21320</v>
      </c>
      <c r="AE75" s="81" t="s">
        <v>20514</v>
      </c>
      <c r="AF75" s="76">
        <v>407</v>
      </c>
      <c r="AG75" s="76">
        <v>1149</v>
      </c>
      <c r="AH75" s="76">
        <v>29379</v>
      </c>
      <c r="AI75" s="76">
        <v>0</v>
      </c>
      <c r="AJ75" s="76">
        <v>8281</v>
      </c>
      <c r="AK75" s="76">
        <v>13</v>
      </c>
      <c r="AL75" s="76" t="b">
        <v>0</v>
      </c>
      <c r="AM75" s="78">
        <v>44342.576180555552</v>
      </c>
      <c r="AN75" s="76"/>
      <c r="AO75" s="76" t="s">
        <v>24777</v>
      </c>
      <c r="AP75" s="76"/>
      <c r="AQ75" s="76"/>
      <c r="AR75" s="76"/>
      <c r="AS75" s="76"/>
      <c r="AT75" s="76"/>
      <c r="AU75" s="76"/>
      <c r="AV75" s="76"/>
      <c r="AW75" s="76"/>
      <c r="AX75" s="76" t="b">
        <v>0</v>
      </c>
      <c r="AY75" s="76"/>
      <c r="AZ75" s="76"/>
      <c r="BA75" s="76" t="b">
        <v>0</v>
      </c>
      <c r="BB75" s="76" t="b">
        <v>1</v>
      </c>
      <c r="BC75" s="76" t="b">
        <v>1</v>
      </c>
      <c r="BD75" s="76" t="b">
        <v>0</v>
      </c>
      <c r="BE75" s="76" t="b">
        <v>0</v>
      </c>
      <c r="BF75" s="76" t="b">
        <v>0</v>
      </c>
      <c r="BG75" s="76" t="b">
        <v>0</v>
      </c>
      <c r="BH75" s="76"/>
      <c r="BI75" s="76"/>
      <c r="BJ75" s="76" t="s">
        <v>27595</v>
      </c>
      <c r="BK75" s="76" t="b">
        <v>0</v>
      </c>
      <c r="BL75" s="76"/>
      <c r="BM75" s="76" t="s">
        <v>66</v>
      </c>
      <c r="BN75" s="76" t="s">
        <v>27597</v>
      </c>
      <c r="BO75" s="82" t="str">
        <f>HYPERLINK("https://twitter.com/mp07094846")</f>
        <v>https://twitter.com/mp07094846</v>
      </c>
      <c r="BP75" s="2"/>
    </row>
    <row r="76" spans="1:68" x14ac:dyDescent="0.25">
      <c r="A76" s="62" t="s">
        <v>268</v>
      </c>
      <c r="B76" s="63"/>
      <c r="C76" s="63"/>
      <c r="D76" s="64"/>
      <c r="E76" s="66"/>
      <c r="F76" s="103" t="str">
        <f>HYPERLINK("https://pbs.twimg.com/profile_images/1664087919303294978/BbVGcJNf_normal.jpg")</f>
        <v>https://pbs.twimg.com/profile_images/1664087919303294978/BbVGcJNf_normal.jpg</v>
      </c>
      <c r="G76" s="63"/>
      <c r="H76" s="67"/>
      <c r="I76" s="68"/>
      <c r="J76" s="68"/>
      <c r="K76" s="67" t="s">
        <v>27670</v>
      </c>
      <c r="L76" s="71"/>
      <c r="M76" s="72"/>
      <c r="N76" s="72"/>
      <c r="O76" s="73"/>
      <c r="P76" s="74"/>
      <c r="Q76" s="74"/>
      <c r="R76" s="87"/>
      <c r="S76" s="87"/>
      <c r="T76" s="87"/>
      <c r="U76" s="87"/>
      <c r="V76" s="48"/>
      <c r="W76" s="48"/>
      <c r="X76" s="48"/>
      <c r="Y76" s="48"/>
      <c r="Z76" s="47"/>
      <c r="AA76" s="69">
        <v>76</v>
      </c>
      <c r="AB76" s="69"/>
      <c r="AC76" s="70"/>
      <c r="AD76" s="76" t="s">
        <v>21321</v>
      </c>
      <c r="AE76" s="81" t="s">
        <v>20515</v>
      </c>
      <c r="AF76" s="76">
        <v>101</v>
      </c>
      <c r="AG76" s="76">
        <v>82</v>
      </c>
      <c r="AH76" s="76">
        <v>818</v>
      </c>
      <c r="AI76" s="76">
        <v>0</v>
      </c>
      <c r="AJ76" s="76">
        <v>120</v>
      </c>
      <c r="AK76" s="76">
        <v>228</v>
      </c>
      <c r="AL76" s="76" t="b">
        <v>0</v>
      </c>
      <c r="AM76" s="78">
        <v>45006.453159722223</v>
      </c>
      <c r="AN76" s="76"/>
      <c r="AO76" s="76" t="s">
        <v>24778</v>
      </c>
      <c r="AP76" s="76"/>
      <c r="AQ76" s="76"/>
      <c r="AR76" s="76"/>
      <c r="AS76" s="76"/>
      <c r="AT76" s="76"/>
      <c r="AU76" s="76"/>
      <c r="AV76" s="76"/>
      <c r="AW76" s="76"/>
      <c r="AX76" s="76" t="b">
        <v>0</v>
      </c>
      <c r="AY76" s="76"/>
      <c r="AZ76" s="76"/>
      <c r="BA76" s="76" t="b">
        <v>0</v>
      </c>
      <c r="BB76" s="76" t="b">
        <v>1</v>
      </c>
      <c r="BC76" s="76" t="b">
        <v>1</v>
      </c>
      <c r="BD76" s="76" t="b">
        <v>0</v>
      </c>
      <c r="BE76" s="76" t="b">
        <v>0</v>
      </c>
      <c r="BF76" s="76" t="b">
        <v>0</v>
      </c>
      <c r="BG76" s="76" t="b">
        <v>0</v>
      </c>
      <c r="BH76" s="82" t="str">
        <f>HYPERLINK("https://pbs.twimg.com/profile_banners/1638131335041515520/1685584462")</f>
        <v>https://pbs.twimg.com/profile_banners/1638131335041515520/1685584462</v>
      </c>
      <c r="BI76" s="76"/>
      <c r="BJ76" s="76" t="s">
        <v>27595</v>
      </c>
      <c r="BK76" s="76" t="b">
        <v>0</v>
      </c>
      <c r="BL76" s="76"/>
      <c r="BM76" s="76" t="s">
        <v>66</v>
      </c>
      <c r="BN76" s="76" t="s">
        <v>27597</v>
      </c>
      <c r="BO76" s="82" t="str">
        <f>HYPERLINK("https://twitter.com/e3noticiasrd")</f>
        <v>https://twitter.com/e3noticiasrd</v>
      </c>
      <c r="BP76" s="2"/>
    </row>
    <row r="77" spans="1:68" x14ac:dyDescent="0.25">
      <c r="A77" s="62" t="s">
        <v>1716</v>
      </c>
      <c r="B77" s="63"/>
      <c r="C77" s="63"/>
      <c r="D77" s="64"/>
      <c r="E77" s="66"/>
      <c r="F77" s="103" t="str">
        <f>HYPERLINK("https://pbs.twimg.com/profile_images/1021418058018164737/FllHvAjQ_normal.jpg")</f>
        <v>https://pbs.twimg.com/profile_images/1021418058018164737/FllHvAjQ_normal.jpg</v>
      </c>
      <c r="G77" s="63"/>
      <c r="H77" s="67"/>
      <c r="I77" s="68"/>
      <c r="J77" s="68"/>
      <c r="K77" s="67" t="s">
        <v>27671</v>
      </c>
      <c r="L77" s="71"/>
      <c r="M77" s="72"/>
      <c r="N77" s="72"/>
      <c r="O77" s="73"/>
      <c r="P77" s="74"/>
      <c r="Q77" s="74"/>
      <c r="R77" s="87"/>
      <c r="S77" s="87"/>
      <c r="T77" s="87"/>
      <c r="U77" s="87"/>
      <c r="V77" s="48"/>
      <c r="W77" s="48"/>
      <c r="X77" s="48"/>
      <c r="Y77" s="48"/>
      <c r="Z77" s="47"/>
      <c r="AA77" s="69">
        <v>77</v>
      </c>
      <c r="AB77" s="69"/>
      <c r="AC77" s="70"/>
      <c r="AD77" s="76" t="s">
        <v>21322</v>
      </c>
      <c r="AE77" s="81" t="s">
        <v>23108</v>
      </c>
      <c r="AF77" s="76">
        <v>136566</v>
      </c>
      <c r="AG77" s="76">
        <v>309</v>
      </c>
      <c r="AH77" s="76">
        <v>14488</v>
      </c>
      <c r="AI77" s="76">
        <v>322</v>
      </c>
      <c r="AJ77" s="76">
        <v>517</v>
      </c>
      <c r="AK77" s="76">
        <v>9538</v>
      </c>
      <c r="AL77" s="76" t="b">
        <v>0</v>
      </c>
      <c r="AM77" s="78">
        <v>40920.579270833332</v>
      </c>
      <c r="AN77" s="76" t="s">
        <v>24063</v>
      </c>
      <c r="AO77" s="76" t="s">
        <v>24779</v>
      </c>
      <c r="AP77" s="82" t="str">
        <f>HYPERLINK("https://t.co/uizWwdlfvx")</f>
        <v>https://t.co/uizWwdlfvx</v>
      </c>
      <c r="AQ77" s="82" t="str">
        <f>HYPERLINK("http://www.bancentral.gov.do")</f>
        <v>http://www.bancentral.gov.do</v>
      </c>
      <c r="AR77" s="76" t="s">
        <v>26405</v>
      </c>
      <c r="AS77" s="76"/>
      <c r="AT77" s="76"/>
      <c r="AU77" s="76"/>
      <c r="AV77" s="76"/>
      <c r="AW77" s="82" t="str">
        <f>HYPERLINK("https://t.co/uizWwdlfvx")</f>
        <v>https://t.co/uizWwdlfvx</v>
      </c>
      <c r="AX77" s="76" t="b">
        <v>0</v>
      </c>
      <c r="AY77" s="76"/>
      <c r="AZ77" s="76"/>
      <c r="BA77" s="76" t="b">
        <v>0</v>
      </c>
      <c r="BB77" s="76" t="b">
        <v>0</v>
      </c>
      <c r="BC77" s="76" t="b">
        <v>0</v>
      </c>
      <c r="BD77" s="76" t="b">
        <v>0</v>
      </c>
      <c r="BE77" s="76" t="b">
        <v>1</v>
      </c>
      <c r="BF77" s="76" t="b">
        <v>0</v>
      </c>
      <c r="BG77" s="76" t="b">
        <v>0</v>
      </c>
      <c r="BH77" s="82" t="str">
        <f>HYPERLINK("https://pbs.twimg.com/profile_banners/462036496/1680101782")</f>
        <v>https://pbs.twimg.com/profile_banners/462036496/1680101782</v>
      </c>
      <c r="BI77" s="76"/>
      <c r="BJ77" s="76" t="s">
        <v>27596</v>
      </c>
      <c r="BK77" s="76" t="b">
        <v>0</v>
      </c>
      <c r="BL77" s="76"/>
      <c r="BM77" s="76" t="s">
        <v>65</v>
      </c>
      <c r="BN77" s="76" t="s">
        <v>27597</v>
      </c>
      <c r="BO77" s="82" t="str">
        <f>HYPERLINK("https://twitter.com/bancocentralrd")</f>
        <v>https://twitter.com/bancocentralrd</v>
      </c>
      <c r="BP77" s="2"/>
    </row>
    <row r="78" spans="1:68" x14ac:dyDescent="0.25">
      <c r="A78" s="62" t="s">
        <v>269</v>
      </c>
      <c r="B78" s="63"/>
      <c r="C78" s="63"/>
      <c r="D78" s="64"/>
      <c r="E78" s="66"/>
      <c r="F78" s="103" t="str">
        <f>HYPERLINK("https://pbs.twimg.com/profile_images/544982356575019009/90r14xNg_normal.png")</f>
        <v>https://pbs.twimg.com/profile_images/544982356575019009/90r14xNg_normal.png</v>
      </c>
      <c r="G78" s="63"/>
      <c r="H78" s="67"/>
      <c r="I78" s="68"/>
      <c r="J78" s="68"/>
      <c r="K78" s="67" t="s">
        <v>27672</v>
      </c>
      <c r="L78" s="71"/>
      <c r="M78" s="72"/>
      <c r="N78" s="72"/>
      <c r="O78" s="73"/>
      <c r="P78" s="74"/>
      <c r="Q78" s="74"/>
      <c r="R78" s="87"/>
      <c r="S78" s="87"/>
      <c r="T78" s="87"/>
      <c r="U78" s="87"/>
      <c r="V78" s="48"/>
      <c r="W78" s="48"/>
      <c r="X78" s="48"/>
      <c r="Y78" s="48"/>
      <c r="Z78" s="47"/>
      <c r="AA78" s="69">
        <v>78</v>
      </c>
      <c r="AB78" s="69"/>
      <c r="AC78" s="70"/>
      <c r="AD78" s="76" t="s">
        <v>21323</v>
      </c>
      <c r="AE78" s="81" t="s">
        <v>23109</v>
      </c>
      <c r="AF78" s="76">
        <v>2757</v>
      </c>
      <c r="AG78" s="76">
        <v>3197</v>
      </c>
      <c r="AH78" s="76">
        <v>13249</v>
      </c>
      <c r="AI78" s="76">
        <v>15</v>
      </c>
      <c r="AJ78" s="76">
        <v>646</v>
      </c>
      <c r="AK78" s="76">
        <v>2364</v>
      </c>
      <c r="AL78" s="76" t="b">
        <v>0</v>
      </c>
      <c r="AM78" s="78">
        <v>41989.930497685185</v>
      </c>
      <c r="AN78" s="76" t="s">
        <v>14385</v>
      </c>
      <c r="AO78" s="76" t="s">
        <v>24780</v>
      </c>
      <c r="AP78" s="82" t="str">
        <f>HYPERLINK("https://t.co/kIui1UKMkp")</f>
        <v>https://t.co/kIui1UKMkp</v>
      </c>
      <c r="AQ78" s="82" t="str">
        <f>HYPERLINK("http://www.ruralnet.com.ar")</f>
        <v>http://www.ruralnet.com.ar</v>
      </c>
      <c r="AR78" s="76" t="s">
        <v>26406</v>
      </c>
      <c r="AS78" s="76"/>
      <c r="AT78" s="76"/>
      <c r="AU78" s="76"/>
      <c r="AV78" s="76"/>
      <c r="AW78" s="82" t="str">
        <f>HYPERLINK("https://t.co/kIui1UKMkp")</f>
        <v>https://t.co/kIui1UKMkp</v>
      </c>
      <c r="AX78" s="76" t="b">
        <v>0</v>
      </c>
      <c r="AY78" s="76"/>
      <c r="AZ78" s="76"/>
      <c r="BA78" s="76" t="b">
        <v>0</v>
      </c>
      <c r="BB78" s="76" t="b">
        <v>1</v>
      </c>
      <c r="BC78" s="76" t="b">
        <v>0</v>
      </c>
      <c r="BD78" s="76" t="b">
        <v>0</v>
      </c>
      <c r="BE78" s="76" t="b">
        <v>0</v>
      </c>
      <c r="BF78" s="76" t="b">
        <v>0</v>
      </c>
      <c r="BG78" s="76" t="b">
        <v>0</v>
      </c>
      <c r="BH78" s="82" t="str">
        <f>HYPERLINK("https://pbs.twimg.com/profile_banners/2925848175/1418770321")</f>
        <v>https://pbs.twimg.com/profile_banners/2925848175/1418770321</v>
      </c>
      <c r="BI78" s="76"/>
      <c r="BJ78" s="76" t="s">
        <v>27595</v>
      </c>
      <c r="BK78" s="76" t="b">
        <v>0</v>
      </c>
      <c r="BL78" s="76"/>
      <c r="BM78" s="76" t="s">
        <v>66</v>
      </c>
      <c r="BN78" s="76" t="s">
        <v>27597</v>
      </c>
      <c r="BO78" s="82" t="str">
        <f>HYPERLINK("https://twitter.com/ruralnetoficial")</f>
        <v>https://twitter.com/ruralnetoficial</v>
      </c>
      <c r="BP78" s="2"/>
    </row>
    <row r="79" spans="1:68" x14ac:dyDescent="0.25">
      <c r="A79" s="62" t="s">
        <v>270</v>
      </c>
      <c r="B79" s="63"/>
      <c r="C79" s="63"/>
      <c r="D79" s="64"/>
      <c r="E79" s="66"/>
      <c r="F79" s="103" t="str">
        <f>HYPERLINK("https://pbs.twimg.com/profile_images/1499082215203868675/HTKhXXIs_normal.png")</f>
        <v>https://pbs.twimg.com/profile_images/1499082215203868675/HTKhXXIs_normal.png</v>
      </c>
      <c r="G79" s="63"/>
      <c r="H79" s="67"/>
      <c r="I79" s="68"/>
      <c r="J79" s="68"/>
      <c r="K79" s="67" t="s">
        <v>27673</v>
      </c>
      <c r="L79" s="71"/>
      <c r="M79" s="72"/>
      <c r="N79" s="72"/>
      <c r="O79" s="73"/>
      <c r="P79" s="74"/>
      <c r="Q79" s="74"/>
      <c r="R79" s="87"/>
      <c r="S79" s="87"/>
      <c r="T79" s="87"/>
      <c r="U79" s="87"/>
      <c r="V79" s="48"/>
      <c r="W79" s="48"/>
      <c r="X79" s="48"/>
      <c r="Y79" s="48"/>
      <c r="Z79" s="47"/>
      <c r="AA79" s="69">
        <v>79</v>
      </c>
      <c r="AB79" s="69"/>
      <c r="AC79" s="70"/>
      <c r="AD79" s="76" t="s">
        <v>21324</v>
      </c>
      <c r="AE79" s="81" t="s">
        <v>20516</v>
      </c>
      <c r="AF79" s="76">
        <v>19</v>
      </c>
      <c r="AG79" s="76">
        <v>35</v>
      </c>
      <c r="AH79" s="76">
        <v>313</v>
      </c>
      <c r="AI79" s="76">
        <v>0</v>
      </c>
      <c r="AJ79" s="76">
        <v>30</v>
      </c>
      <c r="AK79" s="76">
        <v>31</v>
      </c>
      <c r="AL79" s="76" t="b">
        <v>0</v>
      </c>
      <c r="AM79" s="78">
        <v>44488.535578703704</v>
      </c>
      <c r="AN79" s="76"/>
      <c r="AO79" s="76" t="s">
        <v>24781</v>
      </c>
      <c r="AP79" s="82" t="str">
        <f>HYPERLINK("https://t.co/VXbTGlrYJa")</f>
        <v>https://t.co/VXbTGlrYJa</v>
      </c>
      <c r="AQ79" s="82" t="str">
        <f>HYPERLINK("http://www.witinvest.com.br/")</f>
        <v>http://www.witinvest.com.br/</v>
      </c>
      <c r="AR79" s="76" t="s">
        <v>26407</v>
      </c>
      <c r="AS79" s="76"/>
      <c r="AT79" s="76"/>
      <c r="AU79" s="76"/>
      <c r="AV79" s="76"/>
      <c r="AW79" s="82" t="str">
        <f>HYPERLINK("https://t.co/VXbTGlrYJa")</f>
        <v>https://t.co/VXbTGlrYJa</v>
      </c>
      <c r="AX79" s="76" t="b">
        <v>0</v>
      </c>
      <c r="AY79" s="76"/>
      <c r="AZ79" s="76"/>
      <c r="BA79" s="76" t="b">
        <v>0</v>
      </c>
      <c r="BB79" s="76" t="b">
        <v>1</v>
      </c>
      <c r="BC79" s="76" t="b">
        <v>1</v>
      </c>
      <c r="BD79" s="76" t="b">
        <v>0</v>
      </c>
      <c r="BE79" s="76" t="b">
        <v>0</v>
      </c>
      <c r="BF79" s="76" t="b">
        <v>0</v>
      </c>
      <c r="BG79" s="76" t="b">
        <v>0</v>
      </c>
      <c r="BH79" s="82" t="str">
        <f>HYPERLINK("https://pbs.twimg.com/profile_banners/1450443755174125569/1646244028")</f>
        <v>https://pbs.twimg.com/profile_banners/1450443755174125569/1646244028</v>
      </c>
      <c r="BI79" s="76"/>
      <c r="BJ79" s="76" t="s">
        <v>27595</v>
      </c>
      <c r="BK79" s="76" t="b">
        <v>0</v>
      </c>
      <c r="BL79" s="76"/>
      <c r="BM79" s="76" t="s">
        <v>66</v>
      </c>
      <c r="BN79" s="76" t="s">
        <v>27597</v>
      </c>
      <c r="BO79" s="82" t="str">
        <f>HYPERLINK("https://twitter.com/wit_invest")</f>
        <v>https://twitter.com/wit_invest</v>
      </c>
      <c r="BP79" s="2"/>
    </row>
    <row r="80" spans="1:68" x14ac:dyDescent="0.25">
      <c r="A80" s="62" t="s">
        <v>271</v>
      </c>
      <c r="B80" s="63"/>
      <c r="C80" s="63"/>
      <c r="D80" s="64"/>
      <c r="E80" s="66"/>
      <c r="F80" s="103" t="str">
        <f>HYPERLINK("https://pbs.twimg.com/profile_images/1318518717974720512/8CKMGckL_normal.jpg")</f>
        <v>https://pbs.twimg.com/profile_images/1318518717974720512/8CKMGckL_normal.jpg</v>
      </c>
      <c r="G80" s="63"/>
      <c r="H80" s="67"/>
      <c r="I80" s="68"/>
      <c r="J80" s="68"/>
      <c r="K80" s="67" t="s">
        <v>27674</v>
      </c>
      <c r="L80" s="71"/>
      <c r="M80" s="72"/>
      <c r="N80" s="72"/>
      <c r="O80" s="73"/>
      <c r="P80" s="74"/>
      <c r="Q80" s="74"/>
      <c r="R80" s="87"/>
      <c r="S80" s="87"/>
      <c r="T80" s="87"/>
      <c r="U80" s="87"/>
      <c r="V80" s="48"/>
      <c r="W80" s="48"/>
      <c r="X80" s="48"/>
      <c r="Y80" s="48"/>
      <c r="Z80" s="47"/>
      <c r="AA80" s="69">
        <v>80</v>
      </c>
      <c r="AB80" s="69"/>
      <c r="AC80" s="70"/>
      <c r="AD80" s="76" t="s">
        <v>21325</v>
      </c>
      <c r="AE80" s="81" t="s">
        <v>20517</v>
      </c>
      <c r="AF80" s="76">
        <v>3103</v>
      </c>
      <c r="AG80" s="76">
        <v>1440</v>
      </c>
      <c r="AH80" s="76">
        <v>59776</v>
      </c>
      <c r="AI80" s="76">
        <v>28</v>
      </c>
      <c r="AJ80" s="76">
        <v>420</v>
      </c>
      <c r="AK80" s="76">
        <v>561</v>
      </c>
      <c r="AL80" s="76" t="b">
        <v>0</v>
      </c>
      <c r="AM80" s="78">
        <v>42496.644050925926</v>
      </c>
      <c r="AN80" s="76" t="s">
        <v>24085</v>
      </c>
      <c r="AO80" s="76" t="s">
        <v>24782</v>
      </c>
      <c r="AP80" s="82" t="str">
        <f>HYPERLINK("https://t.co/ocxdF9yKFK")</f>
        <v>https://t.co/ocxdF9yKFK</v>
      </c>
      <c r="AQ80" s="82" t="str">
        <f>HYPERLINK("http://mendovoz.com")</f>
        <v>http://mendovoz.com</v>
      </c>
      <c r="AR80" s="76" t="s">
        <v>8631</v>
      </c>
      <c r="AS80" s="76"/>
      <c r="AT80" s="76"/>
      <c r="AU80" s="76"/>
      <c r="AV80" s="76"/>
      <c r="AW80" s="82" t="str">
        <f>HYPERLINK("https://t.co/ocxdF9yKFK")</f>
        <v>https://t.co/ocxdF9yKFK</v>
      </c>
      <c r="AX80" s="76" t="b">
        <v>0</v>
      </c>
      <c r="AY80" s="76"/>
      <c r="AZ80" s="76"/>
      <c r="BA80" s="76" t="b">
        <v>0</v>
      </c>
      <c r="BB80" s="76" t="b">
        <v>0</v>
      </c>
      <c r="BC80" s="76" t="b">
        <v>0</v>
      </c>
      <c r="BD80" s="76" t="b">
        <v>0</v>
      </c>
      <c r="BE80" s="76" t="b">
        <v>1</v>
      </c>
      <c r="BF80" s="76" t="b">
        <v>0</v>
      </c>
      <c r="BG80" s="76" t="b">
        <v>0</v>
      </c>
      <c r="BH80" s="82" t="str">
        <f>HYPERLINK("https://pbs.twimg.com/profile_banners/728607110251032577/1646934739")</f>
        <v>https://pbs.twimg.com/profile_banners/728607110251032577/1646934739</v>
      </c>
      <c r="BI80" s="76"/>
      <c r="BJ80" s="76" t="s">
        <v>27595</v>
      </c>
      <c r="BK80" s="76" t="b">
        <v>0</v>
      </c>
      <c r="BL80" s="76"/>
      <c r="BM80" s="76" t="s">
        <v>66</v>
      </c>
      <c r="BN80" s="76" t="s">
        <v>27597</v>
      </c>
      <c r="BO80" s="82" t="str">
        <f>HYPERLINK("https://twitter.com/mendovozok")</f>
        <v>https://twitter.com/mendovozok</v>
      </c>
      <c r="BP80" s="2"/>
    </row>
    <row r="81" spans="1:68" x14ac:dyDescent="0.25">
      <c r="A81" s="62" t="s">
        <v>272</v>
      </c>
      <c r="B81" s="63"/>
      <c r="C81" s="63"/>
      <c r="D81" s="64"/>
      <c r="E81" s="66"/>
      <c r="F81" s="103" t="str">
        <f>HYPERLINK("https://pbs.twimg.com/profile_images/1540054895671316482/lea_Icv4_normal.jpg")</f>
        <v>https://pbs.twimg.com/profile_images/1540054895671316482/lea_Icv4_normal.jpg</v>
      </c>
      <c r="G81" s="63"/>
      <c r="H81" s="67"/>
      <c r="I81" s="68"/>
      <c r="J81" s="68"/>
      <c r="K81" s="67" t="s">
        <v>27675</v>
      </c>
      <c r="L81" s="71"/>
      <c r="M81" s="72"/>
      <c r="N81" s="72"/>
      <c r="O81" s="73"/>
      <c r="P81" s="74"/>
      <c r="Q81" s="74"/>
      <c r="R81" s="87"/>
      <c r="S81" s="87"/>
      <c r="T81" s="87"/>
      <c r="U81" s="87"/>
      <c r="V81" s="48"/>
      <c r="W81" s="48"/>
      <c r="X81" s="48"/>
      <c r="Y81" s="48"/>
      <c r="Z81" s="47"/>
      <c r="AA81" s="69">
        <v>81</v>
      </c>
      <c r="AB81" s="69"/>
      <c r="AC81" s="70"/>
      <c r="AD81" s="76" t="s">
        <v>21326</v>
      </c>
      <c r="AE81" s="81" t="s">
        <v>20518</v>
      </c>
      <c r="AF81" s="76">
        <v>10266</v>
      </c>
      <c r="AG81" s="76">
        <v>4053</v>
      </c>
      <c r="AH81" s="76">
        <v>23066</v>
      </c>
      <c r="AI81" s="76">
        <v>44</v>
      </c>
      <c r="AJ81" s="76">
        <v>318</v>
      </c>
      <c r="AK81" s="76">
        <v>1230</v>
      </c>
      <c r="AL81" s="76" t="b">
        <v>0</v>
      </c>
      <c r="AM81" s="78">
        <v>43171.686585648145</v>
      </c>
      <c r="AN81" s="76" t="s">
        <v>24100</v>
      </c>
      <c r="AO81" s="76" t="s">
        <v>24783</v>
      </c>
      <c r="AP81" s="82" t="str">
        <f>HYPERLINK("https://t.co/0aDuEGbuXX")</f>
        <v>https://t.co/0aDuEGbuXX</v>
      </c>
      <c r="AQ81" s="82" t="str">
        <f>HYPERLINK("http://www.ecos365.com.ar")</f>
        <v>http://www.ecos365.com.ar</v>
      </c>
      <c r="AR81" s="76" t="s">
        <v>26408</v>
      </c>
      <c r="AS81" s="76"/>
      <c r="AT81" s="76"/>
      <c r="AU81" s="76"/>
      <c r="AV81" s="76">
        <v>1.6488161865770199E+18</v>
      </c>
      <c r="AW81" s="82" t="str">
        <f>HYPERLINK("https://t.co/0aDuEGbuXX")</f>
        <v>https://t.co/0aDuEGbuXX</v>
      </c>
      <c r="AX81" s="76" t="b">
        <v>0</v>
      </c>
      <c r="AY81" s="76"/>
      <c r="AZ81" s="76"/>
      <c r="BA81" s="76" t="b">
        <v>1</v>
      </c>
      <c r="BB81" s="76" t="b">
        <v>1</v>
      </c>
      <c r="BC81" s="76" t="b">
        <v>1</v>
      </c>
      <c r="BD81" s="76" t="b">
        <v>0</v>
      </c>
      <c r="BE81" s="76" t="b">
        <v>1</v>
      </c>
      <c r="BF81" s="76" t="b">
        <v>0</v>
      </c>
      <c r="BG81" s="76" t="b">
        <v>0</v>
      </c>
      <c r="BH81" s="82" t="str">
        <f>HYPERLINK("https://pbs.twimg.com/profile_banners/973234331702513664/1569279630")</f>
        <v>https://pbs.twimg.com/profile_banners/973234331702513664/1569279630</v>
      </c>
      <c r="BI81" s="76"/>
      <c r="BJ81" s="76" t="s">
        <v>27595</v>
      </c>
      <c r="BK81" s="76" t="b">
        <v>0</v>
      </c>
      <c r="BL81" s="76"/>
      <c r="BM81" s="76" t="s">
        <v>66</v>
      </c>
      <c r="BN81" s="76" t="s">
        <v>27597</v>
      </c>
      <c r="BO81" s="82" t="str">
        <f>HYPERLINK("https://twitter.com/ecos365")</f>
        <v>https://twitter.com/ecos365</v>
      </c>
      <c r="BP81" s="2"/>
    </row>
    <row r="82" spans="1:68" x14ac:dyDescent="0.25">
      <c r="A82" s="62" t="s">
        <v>273</v>
      </c>
      <c r="B82" s="63"/>
      <c r="C82" s="63"/>
      <c r="D82" s="64"/>
      <c r="E82" s="66"/>
      <c r="F82" s="103" t="str">
        <f>HYPERLINK("https://pbs.twimg.com/profile_images/1702912332006096897/c3RjddG0_normal.jpg")</f>
        <v>https://pbs.twimg.com/profile_images/1702912332006096897/c3RjddG0_normal.jpg</v>
      </c>
      <c r="G82" s="63"/>
      <c r="H82" s="67"/>
      <c r="I82" s="68"/>
      <c r="J82" s="68"/>
      <c r="K82" s="67" t="s">
        <v>27676</v>
      </c>
      <c r="L82" s="71"/>
      <c r="M82" s="72"/>
      <c r="N82" s="72"/>
      <c r="O82" s="73"/>
      <c r="P82" s="74"/>
      <c r="Q82" s="74"/>
      <c r="R82" s="87"/>
      <c r="S82" s="87"/>
      <c r="T82" s="87"/>
      <c r="U82" s="87"/>
      <c r="V82" s="48"/>
      <c r="W82" s="48"/>
      <c r="X82" s="48"/>
      <c r="Y82" s="48"/>
      <c r="Z82" s="47"/>
      <c r="AA82" s="69">
        <v>82</v>
      </c>
      <c r="AB82" s="69"/>
      <c r="AC82" s="70"/>
      <c r="AD82" s="76" t="s">
        <v>21327</v>
      </c>
      <c r="AE82" s="81" t="s">
        <v>20519</v>
      </c>
      <c r="AF82" s="76">
        <v>281</v>
      </c>
      <c r="AG82" s="76">
        <v>133</v>
      </c>
      <c r="AH82" s="76">
        <v>19727</v>
      </c>
      <c r="AI82" s="76">
        <v>2</v>
      </c>
      <c r="AJ82" s="76">
        <v>48409</v>
      </c>
      <c r="AK82" s="76">
        <v>4</v>
      </c>
      <c r="AL82" s="76" t="b">
        <v>0</v>
      </c>
      <c r="AM82" s="78">
        <v>43478.785034722219</v>
      </c>
      <c r="AN82" s="76"/>
      <c r="AO82" s="76" t="s">
        <v>24784</v>
      </c>
      <c r="AP82" s="76"/>
      <c r="AQ82" s="76"/>
      <c r="AR82" s="76"/>
      <c r="AS82" s="76"/>
      <c r="AT82" s="76"/>
      <c r="AU82" s="76"/>
      <c r="AV82" s="76"/>
      <c r="AW82" s="76"/>
      <c r="AX82" s="76" t="b">
        <v>0</v>
      </c>
      <c r="AY82" s="76"/>
      <c r="AZ82" s="76"/>
      <c r="BA82" s="76" t="b">
        <v>1</v>
      </c>
      <c r="BB82" s="76" t="b">
        <v>1</v>
      </c>
      <c r="BC82" s="76" t="b">
        <v>0</v>
      </c>
      <c r="BD82" s="76" t="b">
        <v>0</v>
      </c>
      <c r="BE82" s="76" t="b">
        <v>1</v>
      </c>
      <c r="BF82" s="76" t="b">
        <v>0</v>
      </c>
      <c r="BG82" s="76" t="b">
        <v>0</v>
      </c>
      <c r="BH82" s="82" t="str">
        <f>HYPERLINK("https://pbs.twimg.com/profile_banners/1084523082826612741/1690807304")</f>
        <v>https://pbs.twimg.com/profile_banners/1084523082826612741/1690807304</v>
      </c>
      <c r="BI82" s="76"/>
      <c r="BJ82" s="76" t="s">
        <v>27595</v>
      </c>
      <c r="BK82" s="76" t="b">
        <v>0</v>
      </c>
      <c r="BL82" s="76"/>
      <c r="BM82" s="76" t="s">
        <v>66</v>
      </c>
      <c r="BN82" s="76" t="s">
        <v>27597</v>
      </c>
      <c r="BO82" s="82" t="str">
        <f>HYPERLINK("https://twitter.com/1thoven")</f>
        <v>https://twitter.com/1thoven</v>
      </c>
      <c r="BP82" s="2"/>
    </row>
    <row r="83" spans="1:68" x14ac:dyDescent="0.25">
      <c r="A83" s="62" t="s">
        <v>274</v>
      </c>
      <c r="B83" s="63"/>
      <c r="C83" s="63"/>
      <c r="D83" s="64"/>
      <c r="E83" s="66"/>
      <c r="F83" s="103" t="str">
        <f>HYPERLINK("https://pbs.twimg.com/profile_images/1533150462186295300/XvsnzVW9_normal.jpg")</f>
        <v>https://pbs.twimg.com/profile_images/1533150462186295300/XvsnzVW9_normal.jpg</v>
      </c>
      <c r="G83" s="63"/>
      <c r="H83" s="67"/>
      <c r="I83" s="68"/>
      <c r="J83" s="68"/>
      <c r="K83" s="67" t="s">
        <v>27677</v>
      </c>
      <c r="L83" s="71"/>
      <c r="M83" s="72"/>
      <c r="N83" s="72"/>
      <c r="O83" s="73"/>
      <c r="P83" s="74"/>
      <c r="Q83" s="74"/>
      <c r="R83" s="87"/>
      <c r="S83" s="87"/>
      <c r="T83" s="87"/>
      <c r="U83" s="87"/>
      <c r="V83" s="48"/>
      <c r="W83" s="48"/>
      <c r="X83" s="48"/>
      <c r="Y83" s="48"/>
      <c r="Z83" s="47"/>
      <c r="AA83" s="69">
        <v>83</v>
      </c>
      <c r="AB83" s="69"/>
      <c r="AC83" s="70"/>
      <c r="AD83" s="76" t="s">
        <v>21328</v>
      </c>
      <c r="AE83" s="81" t="s">
        <v>20220</v>
      </c>
      <c r="AF83" s="76">
        <v>6780</v>
      </c>
      <c r="AG83" s="76">
        <v>233</v>
      </c>
      <c r="AH83" s="76">
        <v>12534</v>
      </c>
      <c r="AI83" s="76">
        <v>103</v>
      </c>
      <c r="AJ83" s="76">
        <v>375</v>
      </c>
      <c r="AK83" s="76">
        <v>591</v>
      </c>
      <c r="AL83" s="76" t="b">
        <v>0</v>
      </c>
      <c r="AM83" s="78">
        <v>42940.579259259262</v>
      </c>
      <c r="AN83" s="76" t="s">
        <v>14382</v>
      </c>
      <c r="AO83" s="76" t="s">
        <v>24785</v>
      </c>
      <c r="AP83" s="82" t="str">
        <f>HYPERLINK("https://t.co/6qNo4YblJ4")</f>
        <v>https://t.co/6qNo4YblJ4</v>
      </c>
      <c r="AQ83" s="82" t="str">
        <f>HYPERLINK("https://webitcoin.com.br/")</f>
        <v>https://webitcoin.com.br/</v>
      </c>
      <c r="AR83" s="76" t="s">
        <v>26409</v>
      </c>
      <c r="AS83" s="76"/>
      <c r="AT83" s="76"/>
      <c r="AU83" s="76"/>
      <c r="AV83" s="76"/>
      <c r="AW83" s="82" t="str">
        <f>HYPERLINK("https://t.co/6qNo4YblJ4")</f>
        <v>https://t.co/6qNo4YblJ4</v>
      </c>
      <c r="AX83" s="76" t="b">
        <v>0</v>
      </c>
      <c r="AY83" s="76"/>
      <c r="AZ83" s="76"/>
      <c r="BA83" s="76" t="b">
        <v>0</v>
      </c>
      <c r="BB83" s="76" t="b">
        <v>1</v>
      </c>
      <c r="BC83" s="76" t="b">
        <v>0</v>
      </c>
      <c r="BD83" s="76" t="b">
        <v>0</v>
      </c>
      <c r="BE83" s="76" t="b">
        <v>1</v>
      </c>
      <c r="BF83" s="76" t="b">
        <v>0</v>
      </c>
      <c r="BG83" s="76" t="b">
        <v>0</v>
      </c>
      <c r="BH83" s="82" t="str">
        <f>HYPERLINK("https://pbs.twimg.com/profile_banners/889483841840271360/1556928048")</f>
        <v>https://pbs.twimg.com/profile_banners/889483841840271360/1556928048</v>
      </c>
      <c r="BI83" s="76"/>
      <c r="BJ83" s="76" t="s">
        <v>27595</v>
      </c>
      <c r="BK83" s="76" t="b">
        <v>0</v>
      </c>
      <c r="BL83" s="76"/>
      <c r="BM83" s="76" t="s">
        <v>66</v>
      </c>
      <c r="BN83" s="76" t="s">
        <v>27597</v>
      </c>
      <c r="BO83" s="82" t="str">
        <f>HYPERLINK("https://twitter.com/webtcoficial")</f>
        <v>https://twitter.com/webtcoficial</v>
      </c>
      <c r="BP83" s="2"/>
    </row>
    <row r="84" spans="1:68" x14ac:dyDescent="0.25">
      <c r="A84" s="62" t="s">
        <v>275</v>
      </c>
      <c r="B84" s="63"/>
      <c r="C84" s="63"/>
      <c r="D84" s="64"/>
      <c r="E84" s="66"/>
      <c r="F84" s="103" t="str">
        <f>HYPERLINK("https://pbs.twimg.com/profile_images/1108859018519461889/xoF7cYEw_normal.jpg")</f>
        <v>https://pbs.twimg.com/profile_images/1108859018519461889/xoF7cYEw_normal.jpg</v>
      </c>
      <c r="G84" s="63"/>
      <c r="H84" s="67"/>
      <c r="I84" s="68"/>
      <c r="J84" s="68"/>
      <c r="K84" s="67" t="s">
        <v>27678</v>
      </c>
      <c r="L84" s="71"/>
      <c r="M84" s="72"/>
      <c r="N84" s="72"/>
      <c r="O84" s="73"/>
      <c r="P84" s="74"/>
      <c r="Q84" s="74"/>
      <c r="R84" s="87"/>
      <c r="S84" s="87"/>
      <c r="T84" s="87"/>
      <c r="U84" s="87"/>
      <c r="V84" s="48"/>
      <c r="W84" s="48"/>
      <c r="X84" s="48"/>
      <c r="Y84" s="48"/>
      <c r="Z84" s="47"/>
      <c r="AA84" s="69">
        <v>84</v>
      </c>
      <c r="AB84" s="69"/>
      <c r="AC84" s="70"/>
      <c r="AD84" s="76" t="s">
        <v>21329</v>
      </c>
      <c r="AE84" s="81" t="s">
        <v>20520</v>
      </c>
      <c r="AF84" s="76">
        <v>5231</v>
      </c>
      <c r="AG84" s="76">
        <v>5620</v>
      </c>
      <c r="AH84" s="76">
        <v>237732</v>
      </c>
      <c r="AI84" s="76">
        <v>3</v>
      </c>
      <c r="AJ84" s="76">
        <v>16151</v>
      </c>
      <c r="AK84" s="76">
        <v>3757</v>
      </c>
      <c r="AL84" s="76" t="b">
        <v>0</v>
      </c>
      <c r="AM84" s="78">
        <v>43545.934907407405</v>
      </c>
      <c r="AN84" s="76" t="s">
        <v>14382</v>
      </c>
      <c r="AO84" s="76" t="s">
        <v>24786</v>
      </c>
      <c r="AP84" s="76"/>
      <c r="AQ84" s="76"/>
      <c r="AR84" s="76"/>
      <c r="AS84" s="76"/>
      <c r="AT84" s="76"/>
      <c r="AU84" s="76"/>
      <c r="AV84" s="76">
        <v>1.6551601156018501E+18</v>
      </c>
      <c r="AW84" s="76"/>
      <c r="AX84" s="76" t="b">
        <v>0</v>
      </c>
      <c r="AY84" s="76"/>
      <c r="AZ84" s="76"/>
      <c r="BA84" s="76" t="b">
        <v>0</v>
      </c>
      <c r="BB84" s="76" t="b">
        <v>1</v>
      </c>
      <c r="BC84" s="76" t="b">
        <v>1</v>
      </c>
      <c r="BD84" s="76" t="b">
        <v>0</v>
      </c>
      <c r="BE84" s="76" t="b">
        <v>1</v>
      </c>
      <c r="BF84" s="76" t="b">
        <v>0</v>
      </c>
      <c r="BG84" s="76" t="b">
        <v>0</v>
      </c>
      <c r="BH84" s="76"/>
      <c r="BI84" s="76"/>
      <c r="BJ84" s="76" t="s">
        <v>27595</v>
      </c>
      <c r="BK84" s="76" t="b">
        <v>0</v>
      </c>
      <c r="BL84" s="76"/>
      <c r="BM84" s="76" t="s">
        <v>66</v>
      </c>
      <c r="BN84" s="76" t="s">
        <v>27597</v>
      </c>
      <c r="BO84" s="82" t="str">
        <f>HYPERLINK("https://twitter.com/eduardoegg2")</f>
        <v>https://twitter.com/eduardoegg2</v>
      </c>
      <c r="BP84" s="2"/>
    </row>
    <row r="85" spans="1:68" x14ac:dyDescent="0.25">
      <c r="A85" s="62" t="s">
        <v>276</v>
      </c>
      <c r="B85" s="63"/>
      <c r="C85" s="63"/>
      <c r="D85" s="64"/>
      <c r="E85" s="66"/>
      <c r="F85" s="103" t="str">
        <f>HYPERLINK("https://pbs.twimg.com/profile_images/1564986194542432257/qqR0I7Et_normal.jpg")</f>
        <v>https://pbs.twimg.com/profile_images/1564986194542432257/qqR0I7Et_normal.jpg</v>
      </c>
      <c r="G85" s="63"/>
      <c r="H85" s="67"/>
      <c r="I85" s="68"/>
      <c r="J85" s="68"/>
      <c r="K85" s="67" t="s">
        <v>27679</v>
      </c>
      <c r="L85" s="71"/>
      <c r="M85" s="72"/>
      <c r="N85" s="72"/>
      <c r="O85" s="73"/>
      <c r="P85" s="74"/>
      <c r="Q85" s="74"/>
      <c r="R85" s="87"/>
      <c r="S85" s="87"/>
      <c r="T85" s="87"/>
      <c r="U85" s="87"/>
      <c r="V85" s="48"/>
      <c r="W85" s="48"/>
      <c r="X85" s="48"/>
      <c r="Y85" s="48"/>
      <c r="Z85" s="47"/>
      <c r="AA85" s="69">
        <v>85</v>
      </c>
      <c r="AB85" s="69"/>
      <c r="AC85" s="70"/>
      <c r="AD85" s="76" t="s">
        <v>21330</v>
      </c>
      <c r="AE85" s="81" t="s">
        <v>20521</v>
      </c>
      <c r="AF85" s="76">
        <v>56</v>
      </c>
      <c r="AG85" s="76">
        <v>18</v>
      </c>
      <c r="AH85" s="76">
        <v>207</v>
      </c>
      <c r="AI85" s="76">
        <v>0</v>
      </c>
      <c r="AJ85" s="76">
        <v>241</v>
      </c>
      <c r="AK85" s="76">
        <v>151</v>
      </c>
      <c r="AL85" s="76" t="b">
        <v>0</v>
      </c>
      <c r="AM85" s="78">
        <v>44804.608391203707</v>
      </c>
      <c r="AN85" s="76" t="s">
        <v>24101</v>
      </c>
      <c r="AO85" s="76" t="s">
        <v>24787</v>
      </c>
      <c r="AP85" s="82" t="str">
        <f>HYPERLINK("https://t.co/mzn1MiMHfo")</f>
        <v>https://t.co/mzn1MiMHfo</v>
      </c>
      <c r="AQ85" s="82" t="str">
        <f>HYPERLINK("https://bit.ly/3AmoZ7T")</f>
        <v>https://bit.ly/3AmoZ7T</v>
      </c>
      <c r="AR85" s="76" t="s">
        <v>26410</v>
      </c>
      <c r="AS85" s="76"/>
      <c r="AT85" s="76"/>
      <c r="AU85" s="76"/>
      <c r="AV85" s="76"/>
      <c r="AW85" s="82" t="str">
        <f>HYPERLINK("https://t.co/mzn1MiMHfo")</f>
        <v>https://t.co/mzn1MiMHfo</v>
      </c>
      <c r="AX85" s="76" t="b">
        <v>0</v>
      </c>
      <c r="AY85" s="76"/>
      <c r="AZ85" s="76"/>
      <c r="BA85" s="76" t="b">
        <v>0</v>
      </c>
      <c r="BB85" s="76" t="b">
        <v>1</v>
      </c>
      <c r="BC85" s="76" t="b">
        <v>1</v>
      </c>
      <c r="BD85" s="76" t="b">
        <v>0</v>
      </c>
      <c r="BE85" s="76" t="b">
        <v>0</v>
      </c>
      <c r="BF85" s="76" t="b">
        <v>0</v>
      </c>
      <c r="BG85" s="76" t="b">
        <v>0</v>
      </c>
      <c r="BH85" s="76"/>
      <c r="BI85" s="76"/>
      <c r="BJ85" s="76" t="s">
        <v>27595</v>
      </c>
      <c r="BK85" s="76" t="b">
        <v>0</v>
      </c>
      <c r="BL85" s="76"/>
      <c r="BM85" s="76" t="s">
        <v>66</v>
      </c>
      <c r="BN85" s="76" t="s">
        <v>27597</v>
      </c>
      <c r="BO85" s="82" t="str">
        <f>HYPERLINK("https://twitter.com/prmarcosbrasil1")</f>
        <v>https://twitter.com/prmarcosbrasil1</v>
      </c>
      <c r="BP85" s="2"/>
    </row>
    <row r="86" spans="1:68" x14ac:dyDescent="0.25">
      <c r="A86" s="62" t="s">
        <v>277</v>
      </c>
      <c r="B86" s="63"/>
      <c r="C86" s="63"/>
      <c r="D86" s="64"/>
      <c r="E86" s="66"/>
      <c r="F86" s="103" t="str">
        <f>HYPERLINK("https://pbs.twimg.com/profile_images/1505297873084329990/tfXWrzxg_normal.jpg")</f>
        <v>https://pbs.twimg.com/profile_images/1505297873084329990/tfXWrzxg_normal.jpg</v>
      </c>
      <c r="G86" s="63"/>
      <c r="H86" s="67"/>
      <c r="I86" s="68"/>
      <c r="J86" s="68"/>
      <c r="K86" s="67" t="s">
        <v>27680</v>
      </c>
      <c r="L86" s="71"/>
      <c r="M86" s="72"/>
      <c r="N86" s="72"/>
      <c r="O86" s="73"/>
      <c r="P86" s="74"/>
      <c r="Q86" s="74"/>
      <c r="R86" s="87"/>
      <c r="S86" s="87"/>
      <c r="T86" s="87"/>
      <c r="U86" s="87"/>
      <c r="V86" s="48"/>
      <c r="W86" s="48"/>
      <c r="X86" s="48"/>
      <c r="Y86" s="48"/>
      <c r="Z86" s="47"/>
      <c r="AA86" s="69">
        <v>86</v>
      </c>
      <c r="AB86" s="69"/>
      <c r="AC86" s="70"/>
      <c r="AD86" s="76" t="s">
        <v>21331</v>
      </c>
      <c r="AE86" s="81" t="s">
        <v>20522</v>
      </c>
      <c r="AF86" s="76">
        <v>27</v>
      </c>
      <c r="AG86" s="76">
        <v>188</v>
      </c>
      <c r="AH86" s="76">
        <v>851</v>
      </c>
      <c r="AI86" s="76">
        <v>2</v>
      </c>
      <c r="AJ86" s="76">
        <v>1116</v>
      </c>
      <c r="AK86" s="76">
        <v>435</v>
      </c>
      <c r="AL86" s="76" t="b">
        <v>0</v>
      </c>
      <c r="AM86" s="78">
        <v>44639.901828703703</v>
      </c>
      <c r="AN86" s="76" t="s">
        <v>14400</v>
      </c>
      <c r="AO86" s="76" t="s">
        <v>24788</v>
      </c>
      <c r="AP86" s="76"/>
      <c r="AQ86" s="76"/>
      <c r="AR86" s="76"/>
      <c r="AS86" s="76"/>
      <c r="AT86" s="76"/>
      <c r="AU86" s="76"/>
      <c r="AV86" s="76"/>
      <c r="AW86" s="76"/>
      <c r="AX86" s="76" t="b">
        <v>0</v>
      </c>
      <c r="AY86" s="76"/>
      <c r="AZ86" s="76"/>
      <c r="BA86" s="76" t="b">
        <v>0</v>
      </c>
      <c r="BB86" s="76" t="b">
        <v>1</v>
      </c>
      <c r="BC86" s="76" t="b">
        <v>1</v>
      </c>
      <c r="BD86" s="76" t="b">
        <v>0</v>
      </c>
      <c r="BE86" s="76" t="b">
        <v>0</v>
      </c>
      <c r="BF86" s="76" t="b">
        <v>0</v>
      </c>
      <c r="BG86" s="76" t="b">
        <v>0</v>
      </c>
      <c r="BH86" s="82" t="str">
        <f>HYPERLINK("https://pbs.twimg.com/profile_banners/1505297647934091268/1647726336")</f>
        <v>https://pbs.twimg.com/profile_banners/1505297647934091268/1647726336</v>
      </c>
      <c r="BI86" s="76"/>
      <c r="BJ86" s="76" t="s">
        <v>27595</v>
      </c>
      <c r="BK86" s="76" t="b">
        <v>0</v>
      </c>
      <c r="BL86" s="76"/>
      <c r="BM86" s="76" t="s">
        <v>66</v>
      </c>
      <c r="BN86" s="76" t="s">
        <v>27597</v>
      </c>
      <c r="BO86" s="82" t="str">
        <f>HYPERLINK("https://twitter.com/quebradob")</f>
        <v>https://twitter.com/quebradob</v>
      </c>
      <c r="BP86" s="2"/>
    </row>
    <row r="87" spans="1:68" x14ac:dyDescent="0.25">
      <c r="A87" s="62" t="s">
        <v>278</v>
      </c>
      <c r="B87" s="63"/>
      <c r="C87" s="63"/>
      <c r="D87" s="64"/>
      <c r="E87" s="66"/>
      <c r="F87" s="103" t="str">
        <f>HYPERLINK("https://pbs.twimg.com/profile_images/1576923164260663296/6Xauuine_normal.jpg")</f>
        <v>https://pbs.twimg.com/profile_images/1576923164260663296/6Xauuine_normal.jpg</v>
      </c>
      <c r="G87" s="63"/>
      <c r="H87" s="67"/>
      <c r="I87" s="68"/>
      <c r="J87" s="68"/>
      <c r="K87" s="67" t="s">
        <v>27681</v>
      </c>
      <c r="L87" s="71"/>
      <c r="M87" s="72"/>
      <c r="N87" s="72"/>
      <c r="O87" s="73"/>
      <c r="P87" s="74"/>
      <c r="Q87" s="74"/>
      <c r="R87" s="87"/>
      <c r="S87" s="87"/>
      <c r="T87" s="87"/>
      <c r="U87" s="87"/>
      <c r="V87" s="48"/>
      <c r="W87" s="48"/>
      <c r="X87" s="48"/>
      <c r="Y87" s="48"/>
      <c r="Z87" s="47"/>
      <c r="AA87" s="69">
        <v>87</v>
      </c>
      <c r="AB87" s="69"/>
      <c r="AC87" s="70"/>
      <c r="AD87" s="76" t="s">
        <v>21332</v>
      </c>
      <c r="AE87" s="81" t="s">
        <v>23110</v>
      </c>
      <c r="AF87" s="76">
        <v>788</v>
      </c>
      <c r="AG87" s="76">
        <v>4933</v>
      </c>
      <c r="AH87" s="76">
        <v>40711</v>
      </c>
      <c r="AI87" s="76">
        <v>9</v>
      </c>
      <c r="AJ87" s="76">
        <v>4354</v>
      </c>
      <c r="AK87" s="76">
        <v>2919</v>
      </c>
      <c r="AL87" s="76" t="b">
        <v>0</v>
      </c>
      <c r="AM87" s="78">
        <v>41186.606157407405</v>
      </c>
      <c r="AN87" s="76" t="s">
        <v>24102</v>
      </c>
      <c r="AO87" s="76" t="s">
        <v>24789</v>
      </c>
      <c r="AP87" s="82" t="str">
        <f>HYPERLINK("https://t.co/oJhzEr1ftv")</f>
        <v>https://t.co/oJhzEr1ftv</v>
      </c>
      <c r="AQ87" s="82" t="str">
        <f>HYPERLINK("https://kwai-video.com/u/@linssdoceara/e9JCWLu0")</f>
        <v>https://kwai-video.com/u/@linssdoceara/e9JCWLu0</v>
      </c>
      <c r="AR87" s="76" t="s">
        <v>26411</v>
      </c>
      <c r="AS87" s="82" t="str">
        <f>HYPERLINK("https://t.co/oJhzEr1ftv")</f>
        <v>https://t.co/oJhzEr1ftv</v>
      </c>
      <c r="AT87" s="82" t="str">
        <f>HYPERLINK("https://kwai-video.com/u/@linssdoceara/e9JCWLu0")</f>
        <v>https://kwai-video.com/u/@linssdoceara/e9JCWLu0</v>
      </c>
      <c r="AU87" s="76" t="s">
        <v>26411</v>
      </c>
      <c r="AV87" s="76">
        <v>1.5993480341730099E+18</v>
      </c>
      <c r="AW87" s="82" t="str">
        <f>HYPERLINK("https://t.co/oJhzEr1ftv")</f>
        <v>https://t.co/oJhzEr1ftv</v>
      </c>
      <c r="AX87" s="76" t="b">
        <v>0</v>
      </c>
      <c r="AY87" s="76"/>
      <c r="AZ87" s="76"/>
      <c r="BA87" s="76" t="b">
        <v>0</v>
      </c>
      <c r="BB87" s="76" t="b">
        <v>0</v>
      </c>
      <c r="BC87" s="76" t="b">
        <v>0</v>
      </c>
      <c r="BD87" s="76" t="b">
        <v>0</v>
      </c>
      <c r="BE87" s="76" t="b">
        <v>0</v>
      </c>
      <c r="BF87" s="76" t="b">
        <v>0</v>
      </c>
      <c r="BG87" s="76" t="b">
        <v>0</v>
      </c>
      <c r="BH87" s="82" t="str">
        <f>HYPERLINK("https://pbs.twimg.com/profile_banners/861499507/1666307677")</f>
        <v>https://pbs.twimg.com/profile_banners/861499507/1666307677</v>
      </c>
      <c r="BI87" s="76"/>
      <c r="BJ87" s="76" t="s">
        <v>27595</v>
      </c>
      <c r="BK87" s="76" t="b">
        <v>0</v>
      </c>
      <c r="BL87" s="76"/>
      <c r="BM87" s="76" t="s">
        <v>66</v>
      </c>
      <c r="BN87" s="76" t="s">
        <v>27597</v>
      </c>
      <c r="BO87" s="82" t="str">
        <f>HYPERLINK("https://twitter.com/linsdoceara")</f>
        <v>https://twitter.com/linsdoceara</v>
      </c>
      <c r="BP87" s="2"/>
    </row>
    <row r="88" spans="1:68" x14ac:dyDescent="0.25">
      <c r="A88" s="62" t="s">
        <v>1650</v>
      </c>
      <c r="B88" s="63"/>
      <c r="C88" s="63"/>
      <c r="D88" s="64"/>
      <c r="E88" s="66"/>
      <c r="F88" s="103" t="str">
        <f>HYPERLINK("https://pbs.twimg.com/profile_images/1625573982245093376/-X7SXzJS_normal.jpg")</f>
        <v>https://pbs.twimg.com/profile_images/1625573982245093376/-X7SXzJS_normal.jpg</v>
      </c>
      <c r="G88" s="63"/>
      <c r="H88" s="67"/>
      <c r="I88" s="68"/>
      <c r="J88" s="68"/>
      <c r="K88" s="67" t="s">
        <v>27682</v>
      </c>
      <c r="L88" s="71"/>
      <c r="M88" s="72"/>
      <c r="N88" s="72"/>
      <c r="O88" s="73"/>
      <c r="P88" s="74"/>
      <c r="Q88" s="74"/>
      <c r="R88" s="87"/>
      <c r="S88" s="87"/>
      <c r="T88" s="87"/>
      <c r="U88" s="87"/>
      <c r="V88" s="48"/>
      <c r="W88" s="48"/>
      <c r="X88" s="48"/>
      <c r="Y88" s="48"/>
      <c r="Z88" s="47"/>
      <c r="AA88" s="69">
        <v>88</v>
      </c>
      <c r="AB88" s="69"/>
      <c r="AC88" s="70"/>
      <c r="AD88" s="76" t="s">
        <v>21333</v>
      </c>
      <c r="AE88" s="81" t="s">
        <v>21184</v>
      </c>
      <c r="AF88" s="76">
        <v>1567</v>
      </c>
      <c r="AG88" s="76">
        <v>19</v>
      </c>
      <c r="AH88" s="76">
        <v>619</v>
      </c>
      <c r="AI88" s="76">
        <v>1</v>
      </c>
      <c r="AJ88" s="76">
        <v>1830</v>
      </c>
      <c r="AK88" s="76">
        <v>283</v>
      </c>
      <c r="AL88" s="76" t="b">
        <v>0</v>
      </c>
      <c r="AM88" s="78">
        <v>44971.796481481484</v>
      </c>
      <c r="AN88" s="76"/>
      <c r="AO88" s="76" t="s">
        <v>24790</v>
      </c>
      <c r="AP88" s="82" t="str">
        <f>HYPERLINK("https://t.co/d5iE2XxSEZ")</f>
        <v>https://t.co/d5iE2XxSEZ</v>
      </c>
      <c r="AQ88" s="82" t="str">
        <f>HYPERLINK("http://pnddobrasil.com.br")</f>
        <v>http://pnddobrasil.com.br</v>
      </c>
      <c r="AR88" s="76" t="s">
        <v>26412</v>
      </c>
      <c r="AS88" s="76"/>
      <c r="AT88" s="76"/>
      <c r="AU88" s="76"/>
      <c r="AV88" s="76">
        <v>1.66911764460626E+18</v>
      </c>
      <c r="AW88" s="82" t="str">
        <f>HYPERLINK("https://t.co/d5iE2XxSEZ")</f>
        <v>https://t.co/d5iE2XxSEZ</v>
      </c>
      <c r="AX88" s="76" t="b">
        <v>0</v>
      </c>
      <c r="AY88" s="76"/>
      <c r="AZ88" s="76"/>
      <c r="BA88" s="76" t="b">
        <v>0</v>
      </c>
      <c r="BB88" s="76" t="b">
        <v>1</v>
      </c>
      <c r="BC88" s="76" t="b">
        <v>1</v>
      </c>
      <c r="BD88" s="76" t="b">
        <v>0</v>
      </c>
      <c r="BE88" s="76" t="b">
        <v>0</v>
      </c>
      <c r="BF88" s="76" t="b">
        <v>0</v>
      </c>
      <c r="BG88" s="76" t="b">
        <v>0</v>
      </c>
      <c r="BH88" s="82" t="str">
        <f>HYPERLINK("https://pbs.twimg.com/profile_banners/1625572176643383302/1676402244")</f>
        <v>https://pbs.twimg.com/profile_banners/1625572176643383302/1676402244</v>
      </c>
      <c r="BI88" s="76"/>
      <c r="BJ88" s="76" t="s">
        <v>27595</v>
      </c>
      <c r="BK88" s="76" t="b">
        <v>0</v>
      </c>
      <c r="BL88" s="76"/>
      <c r="BM88" s="76" t="s">
        <v>66</v>
      </c>
      <c r="BN88" s="76" t="s">
        <v>27597</v>
      </c>
      <c r="BO88" s="82" t="str">
        <f>HYPERLINK("https://twitter.com/ciropnddobrasil")</f>
        <v>https://twitter.com/ciropnddobrasil</v>
      </c>
      <c r="BP88" s="2"/>
    </row>
    <row r="89" spans="1:68" x14ac:dyDescent="0.25">
      <c r="A89" s="62" t="s">
        <v>279</v>
      </c>
      <c r="B89" s="63"/>
      <c r="C89" s="63"/>
      <c r="D89" s="64"/>
      <c r="E89" s="66"/>
      <c r="F89" s="103" t="str">
        <f>HYPERLINK("https://pbs.twimg.com/profile_images/1499834730161786882/CfnF1gzz_normal.jpg")</f>
        <v>https://pbs.twimg.com/profile_images/1499834730161786882/CfnF1gzz_normal.jpg</v>
      </c>
      <c r="G89" s="63"/>
      <c r="H89" s="67"/>
      <c r="I89" s="68"/>
      <c r="J89" s="68"/>
      <c r="K89" s="67" t="s">
        <v>27683</v>
      </c>
      <c r="L89" s="71"/>
      <c r="M89" s="72"/>
      <c r="N89" s="72"/>
      <c r="O89" s="73"/>
      <c r="P89" s="74"/>
      <c r="Q89" s="74"/>
      <c r="R89" s="87"/>
      <c r="S89" s="87"/>
      <c r="T89" s="87"/>
      <c r="U89" s="87"/>
      <c r="V89" s="48"/>
      <c r="W89" s="48"/>
      <c r="X89" s="48"/>
      <c r="Y89" s="48"/>
      <c r="Z89" s="47"/>
      <c r="AA89" s="69">
        <v>89</v>
      </c>
      <c r="AB89" s="69"/>
      <c r="AC89" s="70"/>
      <c r="AD89" s="76" t="s">
        <v>21334</v>
      </c>
      <c r="AE89" s="81" t="s">
        <v>23111</v>
      </c>
      <c r="AF89" s="76">
        <v>11196</v>
      </c>
      <c r="AG89" s="76">
        <v>2384</v>
      </c>
      <c r="AH89" s="76">
        <v>73008</v>
      </c>
      <c r="AI89" s="76">
        <v>152</v>
      </c>
      <c r="AJ89" s="76">
        <v>88230</v>
      </c>
      <c r="AK89" s="76">
        <v>8260</v>
      </c>
      <c r="AL89" s="76" t="b">
        <v>0</v>
      </c>
      <c r="AM89" s="78">
        <v>40504.857557870368</v>
      </c>
      <c r="AN89" s="76" t="s">
        <v>24103</v>
      </c>
      <c r="AO89" s="76" t="s">
        <v>24791</v>
      </c>
      <c r="AP89" s="82" t="str">
        <f>HYPERLINK("https://t.co/jEJqcRaXop")</f>
        <v>https://t.co/jEJqcRaXop</v>
      </c>
      <c r="AQ89" s="82" t="str">
        <f>HYPERLINK("http://www.pcdobnacamara.org.br")</f>
        <v>http://www.pcdobnacamara.org.br</v>
      </c>
      <c r="AR89" s="76" t="s">
        <v>26413</v>
      </c>
      <c r="AS89" s="76"/>
      <c r="AT89" s="76"/>
      <c r="AU89" s="76"/>
      <c r="AV89" s="76"/>
      <c r="AW89" s="82" t="str">
        <f>HYPERLINK("https://t.co/jEJqcRaXop")</f>
        <v>https://t.co/jEJqcRaXop</v>
      </c>
      <c r="AX89" s="76" t="b">
        <v>0</v>
      </c>
      <c r="AY89" s="76"/>
      <c r="AZ89" s="76"/>
      <c r="BA89" s="76" t="b">
        <v>1</v>
      </c>
      <c r="BB89" s="76" t="b">
        <v>1</v>
      </c>
      <c r="BC89" s="76" t="b">
        <v>0</v>
      </c>
      <c r="BD89" s="76" t="b">
        <v>0</v>
      </c>
      <c r="BE89" s="76" t="b">
        <v>1</v>
      </c>
      <c r="BF89" s="76" t="b">
        <v>0</v>
      </c>
      <c r="BG89" s="76" t="b">
        <v>0</v>
      </c>
      <c r="BH89" s="82" t="str">
        <f>HYPERLINK("https://pbs.twimg.com/profile_banners/218618223/1673637299")</f>
        <v>https://pbs.twimg.com/profile_banners/218618223/1673637299</v>
      </c>
      <c r="BI89" s="76"/>
      <c r="BJ89" s="76" t="s">
        <v>27595</v>
      </c>
      <c r="BK89" s="76" t="b">
        <v>0</v>
      </c>
      <c r="BL89" s="76"/>
      <c r="BM89" s="76" t="s">
        <v>66</v>
      </c>
      <c r="BN89" s="76" t="s">
        <v>27597</v>
      </c>
      <c r="BO89" s="82" t="str">
        <f>HYPERLINK("https://twitter.com/pcdobnacamara")</f>
        <v>https://twitter.com/pcdobnacamara</v>
      </c>
      <c r="BP89" s="2"/>
    </row>
    <row r="90" spans="1:68" x14ac:dyDescent="0.25">
      <c r="A90" s="62" t="s">
        <v>280</v>
      </c>
      <c r="B90" s="63"/>
      <c r="C90" s="63"/>
      <c r="D90" s="64"/>
      <c r="E90" s="66"/>
      <c r="F90" s="103" t="str">
        <f>HYPERLINK("https://pbs.twimg.com/profile_images/1703884721619374080/UNya3x6h_normal.jpg")</f>
        <v>https://pbs.twimg.com/profile_images/1703884721619374080/UNya3x6h_normal.jpg</v>
      </c>
      <c r="G90" s="63"/>
      <c r="H90" s="67"/>
      <c r="I90" s="68"/>
      <c r="J90" s="68"/>
      <c r="K90" s="67" t="s">
        <v>27684</v>
      </c>
      <c r="L90" s="71"/>
      <c r="M90" s="72"/>
      <c r="N90" s="72"/>
      <c r="O90" s="73"/>
      <c r="P90" s="74"/>
      <c r="Q90" s="74"/>
      <c r="R90" s="87"/>
      <c r="S90" s="87"/>
      <c r="T90" s="87"/>
      <c r="U90" s="87"/>
      <c r="V90" s="48"/>
      <c r="W90" s="48"/>
      <c r="X90" s="48"/>
      <c r="Y90" s="48"/>
      <c r="Z90" s="47"/>
      <c r="AA90" s="69">
        <v>90</v>
      </c>
      <c r="AB90" s="69"/>
      <c r="AC90" s="70"/>
      <c r="AD90" s="76" t="s">
        <v>21335</v>
      </c>
      <c r="AE90" s="81" t="s">
        <v>20523</v>
      </c>
      <c r="AF90" s="76">
        <v>31</v>
      </c>
      <c r="AG90" s="76">
        <v>277</v>
      </c>
      <c r="AH90" s="76">
        <v>8774</v>
      </c>
      <c r="AI90" s="76">
        <v>0</v>
      </c>
      <c r="AJ90" s="76">
        <v>6452</v>
      </c>
      <c r="AK90" s="76">
        <v>1400</v>
      </c>
      <c r="AL90" s="76" t="b">
        <v>0</v>
      </c>
      <c r="AM90" s="78">
        <v>44951.817858796298</v>
      </c>
      <c r="AN90" s="76" t="s">
        <v>24104</v>
      </c>
      <c r="AO90" s="76"/>
      <c r="AP90" s="76"/>
      <c r="AQ90" s="76"/>
      <c r="AR90" s="76"/>
      <c r="AS90" s="76"/>
      <c r="AT90" s="76"/>
      <c r="AU90" s="76"/>
      <c r="AV90" s="76">
        <v>1.68438545074657E+18</v>
      </c>
      <c r="AW90" s="76"/>
      <c r="AX90" s="76" t="b">
        <v>0</v>
      </c>
      <c r="AY90" s="76"/>
      <c r="AZ90" s="76"/>
      <c r="BA90" s="76" t="b">
        <v>0</v>
      </c>
      <c r="BB90" s="76" t="b">
        <v>1</v>
      </c>
      <c r="BC90" s="76" t="b">
        <v>1</v>
      </c>
      <c r="BD90" s="76" t="b">
        <v>0</v>
      </c>
      <c r="BE90" s="76" t="b">
        <v>1</v>
      </c>
      <c r="BF90" s="76" t="b">
        <v>0</v>
      </c>
      <c r="BG90" s="76" t="b">
        <v>0</v>
      </c>
      <c r="BH90" s="82" t="str">
        <f>HYPERLINK("https://pbs.twimg.com/profile_banners/1618331625820921858/1674680176")</f>
        <v>https://pbs.twimg.com/profile_banners/1618331625820921858/1674680176</v>
      </c>
      <c r="BI90" s="76"/>
      <c r="BJ90" s="76" t="s">
        <v>27595</v>
      </c>
      <c r="BK90" s="76" t="b">
        <v>0</v>
      </c>
      <c r="BL90" s="76"/>
      <c r="BM90" s="76" t="s">
        <v>66</v>
      </c>
      <c r="BN90" s="76" t="s">
        <v>27597</v>
      </c>
      <c r="BO90" s="82" t="str">
        <f>HYPERLINK("https://twitter.com/nbertynos")</f>
        <v>https://twitter.com/nbertynos</v>
      </c>
      <c r="BP90" s="2"/>
    </row>
    <row r="91" spans="1:68" x14ac:dyDescent="0.25">
      <c r="A91" s="62" t="s">
        <v>281</v>
      </c>
      <c r="B91" s="63"/>
      <c r="C91" s="63"/>
      <c r="D91" s="64"/>
      <c r="E91" s="66"/>
      <c r="F91" s="103" t="str">
        <f>HYPERLINK("https://pbs.twimg.com/profile_images/1459551839150555142/L-RFc07q_normal.jpg")</f>
        <v>https://pbs.twimg.com/profile_images/1459551839150555142/L-RFc07q_normal.jpg</v>
      </c>
      <c r="G91" s="63"/>
      <c r="H91" s="67"/>
      <c r="I91" s="68"/>
      <c r="J91" s="68"/>
      <c r="K91" s="67" t="s">
        <v>27685</v>
      </c>
      <c r="L91" s="71"/>
      <c r="M91" s="72"/>
      <c r="N91" s="72"/>
      <c r="O91" s="73"/>
      <c r="P91" s="74"/>
      <c r="Q91" s="74"/>
      <c r="R91" s="87"/>
      <c r="S91" s="87"/>
      <c r="T91" s="87"/>
      <c r="U91" s="87"/>
      <c r="V91" s="48"/>
      <c r="W91" s="48"/>
      <c r="X91" s="48"/>
      <c r="Y91" s="48"/>
      <c r="Z91" s="47"/>
      <c r="AA91" s="69">
        <v>91</v>
      </c>
      <c r="AB91" s="69"/>
      <c r="AC91" s="70"/>
      <c r="AD91" s="76" t="s">
        <v>21336</v>
      </c>
      <c r="AE91" s="81" t="s">
        <v>20524</v>
      </c>
      <c r="AF91" s="76">
        <v>244</v>
      </c>
      <c r="AG91" s="76">
        <v>604</v>
      </c>
      <c r="AH91" s="76">
        <v>1605</v>
      </c>
      <c r="AI91" s="76">
        <v>5</v>
      </c>
      <c r="AJ91" s="76">
        <v>2532</v>
      </c>
      <c r="AK91" s="76">
        <v>365</v>
      </c>
      <c r="AL91" s="76" t="b">
        <v>0</v>
      </c>
      <c r="AM91" s="78">
        <v>44419.676828703705</v>
      </c>
      <c r="AN91" s="76"/>
      <c r="AO91" s="76"/>
      <c r="AP91" s="76"/>
      <c r="AQ91" s="76"/>
      <c r="AR91" s="76"/>
      <c r="AS91" s="76"/>
      <c r="AT91" s="76"/>
      <c r="AU91" s="76"/>
      <c r="AV91" s="76"/>
      <c r="AW91" s="76"/>
      <c r="AX91" s="76" t="b">
        <v>0</v>
      </c>
      <c r="AY91" s="76"/>
      <c r="AZ91" s="76"/>
      <c r="BA91" s="76" t="b">
        <v>0</v>
      </c>
      <c r="BB91" s="76" t="b">
        <v>0</v>
      </c>
      <c r="BC91" s="76" t="b">
        <v>1</v>
      </c>
      <c r="BD91" s="76" t="b">
        <v>0</v>
      </c>
      <c r="BE91" s="76" t="b">
        <v>0</v>
      </c>
      <c r="BF91" s="76" t="b">
        <v>0</v>
      </c>
      <c r="BG91" s="76" t="b">
        <v>0</v>
      </c>
      <c r="BH91" s="82" t="str">
        <f>HYPERLINK("https://pbs.twimg.com/profile_banners/1425490670085677058/1659575819")</f>
        <v>https://pbs.twimg.com/profile_banners/1425490670085677058/1659575819</v>
      </c>
      <c r="BI91" s="76"/>
      <c r="BJ91" s="76" t="s">
        <v>27595</v>
      </c>
      <c r="BK91" s="76" t="b">
        <v>0</v>
      </c>
      <c r="BL91" s="76"/>
      <c r="BM91" s="76" t="s">
        <v>66</v>
      </c>
      <c r="BN91" s="76" t="s">
        <v>27597</v>
      </c>
      <c r="BO91" s="82" t="str">
        <f>HYPERLINK("https://twitter.com/spina_matheus")</f>
        <v>https://twitter.com/spina_matheus</v>
      </c>
      <c r="BP91" s="2"/>
    </row>
    <row r="92" spans="1:68" x14ac:dyDescent="0.25">
      <c r="A92" s="62" t="s">
        <v>282</v>
      </c>
      <c r="B92" s="63"/>
      <c r="C92" s="63"/>
      <c r="D92" s="64"/>
      <c r="E92" s="66"/>
      <c r="F92" s="103" t="str">
        <f>HYPERLINK("https://pbs.twimg.com/profile_images/1580935343716671488/Kl1_urhB_normal.jpg")</f>
        <v>https://pbs.twimg.com/profile_images/1580935343716671488/Kl1_urhB_normal.jpg</v>
      </c>
      <c r="G92" s="63"/>
      <c r="H92" s="67"/>
      <c r="I92" s="68"/>
      <c r="J92" s="68"/>
      <c r="K92" s="67" t="s">
        <v>27686</v>
      </c>
      <c r="L92" s="71"/>
      <c r="M92" s="72"/>
      <c r="N92" s="72"/>
      <c r="O92" s="73"/>
      <c r="P92" s="74"/>
      <c r="Q92" s="74"/>
      <c r="R92" s="87"/>
      <c r="S92" s="87"/>
      <c r="T92" s="87"/>
      <c r="U92" s="87"/>
      <c r="V92" s="48"/>
      <c r="W92" s="48"/>
      <c r="X92" s="48"/>
      <c r="Y92" s="48"/>
      <c r="Z92" s="47"/>
      <c r="AA92" s="69">
        <v>92</v>
      </c>
      <c r="AB92" s="69"/>
      <c r="AC92" s="70"/>
      <c r="AD92" s="76" t="s">
        <v>21337</v>
      </c>
      <c r="AE92" s="81" t="s">
        <v>20525</v>
      </c>
      <c r="AF92" s="76">
        <v>32</v>
      </c>
      <c r="AG92" s="76">
        <v>72</v>
      </c>
      <c r="AH92" s="76">
        <v>1835</v>
      </c>
      <c r="AI92" s="76">
        <v>0</v>
      </c>
      <c r="AJ92" s="76">
        <v>5</v>
      </c>
      <c r="AK92" s="76">
        <v>1743</v>
      </c>
      <c r="AL92" s="76" t="b">
        <v>0</v>
      </c>
      <c r="AM92" s="78">
        <v>44848.62164351852</v>
      </c>
      <c r="AN92" s="76" t="s">
        <v>24105</v>
      </c>
      <c r="AO92" s="76" t="s">
        <v>24792</v>
      </c>
      <c r="AP92" s="82" t="str">
        <f>HYPERLINK("https://t.co/40Crkp0gc6")</f>
        <v>https://t.co/40Crkp0gc6</v>
      </c>
      <c r="AQ92" s="82" t="str">
        <f>HYPERLINK("http://www.analisisbrokers.com")</f>
        <v>http://www.analisisbrokers.com</v>
      </c>
      <c r="AR92" s="76" t="s">
        <v>26414</v>
      </c>
      <c r="AS92" s="76"/>
      <c r="AT92" s="76"/>
      <c r="AU92" s="76"/>
      <c r="AV92" s="76"/>
      <c r="AW92" s="82" t="str">
        <f>HYPERLINK("https://t.co/40Crkp0gc6")</f>
        <v>https://t.co/40Crkp0gc6</v>
      </c>
      <c r="AX92" s="76" t="b">
        <v>0</v>
      </c>
      <c r="AY92" s="76"/>
      <c r="AZ92" s="76"/>
      <c r="BA92" s="76" t="b">
        <v>0</v>
      </c>
      <c r="BB92" s="76" t="b">
        <v>1</v>
      </c>
      <c r="BC92" s="76" t="b">
        <v>1</v>
      </c>
      <c r="BD92" s="76" t="b">
        <v>0</v>
      </c>
      <c r="BE92" s="76" t="b">
        <v>0</v>
      </c>
      <c r="BF92" s="76" t="b">
        <v>0</v>
      </c>
      <c r="BG92" s="76" t="b">
        <v>0</v>
      </c>
      <c r="BH92" s="82" t="str">
        <f>HYPERLINK("https://pbs.twimg.com/profile_banners/1580935215979134978/1665759685")</f>
        <v>https://pbs.twimg.com/profile_banners/1580935215979134978/1665759685</v>
      </c>
      <c r="BI92" s="76"/>
      <c r="BJ92" s="76" t="s">
        <v>27595</v>
      </c>
      <c r="BK92" s="76" t="b">
        <v>0</v>
      </c>
      <c r="BL92" s="76"/>
      <c r="BM92" s="76" t="s">
        <v>66</v>
      </c>
      <c r="BN92" s="76" t="s">
        <v>27597</v>
      </c>
      <c r="BO92" s="82" t="str">
        <f>HYPERLINK("https://twitter.com/brokersanalisis")</f>
        <v>https://twitter.com/brokersanalisis</v>
      </c>
      <c r="BP92" s="2"/>
    </row>
    <row r="93" spans="1:68" x14ac:dyDescent="0.25">
      <c r="A93" s="62" t="s">
        <v>283</v>
      </c>
      <c r="B93" s="63"/>
      <c r="C93" s="63"/>
      <c r="D93" s="64"/>
      <c r="E93" s="66"/>
      <c r="F93" s="103" t="str">
        <f>HYPERLINK("https://pbs.twimg.com/profile_images/1693282048939544576/FEEdOTdG_normal.jpg")</f>
        <v>https://pbs.twimg.com/profile_images/1693282048939544576/FEEdOTdG_normal.jpg</v>
      </c>
      <c r="G93" s="63"/>
      <c r="H93" s="67"/>
      <c r="I93" s="68"/>
      <c r="J93" s="68"/>
      <c r="K93" s="67" t="s">
        <v>27687</v>
      </c>
      <c r="L93" s="71"/>
      <c r="M93" s="72"/>
      <c r="N93" s="72"/>
      <c r="O93" s="73"/>
      <c r="P93" s="74"/>
      <c r="Q93" s="74"/>
      <c r="R93" s="87"/>
      <c r="S93" s="87"/>
      <c r="T93" s="87"/>
      <c r="U93" s="87"/>
      <c r="V93" s="48"/>
      <c r="W93" s="48"/>
      <c r="X93" s="48"/>
      <c r="Y93" s="48"/>
      <c r="Z93" s="47"/>
      <c r="AA93" s="69">
        <v>93</v>
      </c>
      <c r="AB93" s="69"/>
      <c r="AC93" s="70"/>
      <c r="AD93" s="76" t="s">
        <v>21338</v>
      </c>
      <c r="AE93" s="81" t="s">
        <v>20526</v>
      </c>
      <c r="AF93" s="76">
        <v>48</v>
      </c>
      <c r="AG93" s="76">
        <v>286</v>
      </c>
      <c r="AH93" s="76">
        <v>4530</v>
      </c>
      <c r="AI93" s="76">
        <v>0</v>
      </c>
      <c r="AJ93" s="76">
        <v>4017</v>
      </c>
      <c r="AK93" s="76">
        <v>1</v>
      </c>
      <c r="AL93" s="76" t="b">
        <v>0</v>
      </c>
      <c r="AM93" s="78">
        <v>45158.639745370368</v>
      </c>
      <c r="AN93" s="76"/>
      <c r="AO93" s="76"/>
      <c r="AP93" s="76"/>
      <c r="AQ93" s="76"/>
      <c r="AR93" s="76"/>
      <c r="AS93" s="76"/>
      <c r="AT93" s="76"/>
      <c r="AU93" s="76"/>
      <c r="AV93" s="76"/>
      <c r="AW93" s="76"/>
      <c r="AX93" s="76" t="b">
        <v>0</v>
      </c>
      <c r="AY93" s="76"/>
      <c r="AZ93" s="76"/>
      <c r="BA93" s="76" t="b">
        <v>0</v>
      </c>
      <c r="BB93" s="76" t="b">
        <v>1</v>
      </c>
      <c r="BC93" s="76" t="b">
        <v>1</v>
      </c>
      <c r="BD93" s="76" t="b">
        <v>0</v>
      </c>
      <c r="BE93" s="76" t="b">
        <v>0</v>
      </c>
      <c r="BF93" s="76" t="b">
        <v>0</v>
      </c>
      <c r="BG93" s="76" t="b">
        <v>0</v>
      </c>
      <c r="BH93" s="76"/>
      <c r="BI93" s="76"/>
      <c r="BJ93" s="76" t="s">
        <v>27595</v>
      </c>
      <c r="BK93" s="76" t="b">
        <v>0</v>
      </c>
      <c r="BL93" s="76"/>
      <c r="BM93" s="76" t="s">
        <v>66</v>
      </c>
      <c r="BN93" s="76" t="s">
        <v>27597</v>
      </c>
      <c r="BO93" s="82" t="str">
        <f>HYPERLINK("https://twitter.com/melo_jorge1760")</f>
        <v>https://twitter.com/melo_jorge1760</v>
      </c>
      <c r="BP93" s="2"/>
    </row>
    <row r="94" spans="1:68" x14ac:dyDescent="0.25">
      <c r="A94" s="62" t="s">
        <v>284</v>
      </c>
      <c r="B94" s="63"/>
      <c r="C94" s="63"/>
      <c r="D94" s="64"/>
      <c r="E94" s="66"/>
      <c r="F94" s="103" t="str">
        <f>HYPERLINK("https://pbs.twimg.com/profile_images/1629615809248075777/vsgkv-Tr_normal.jpg")</f>
        <v>https://pbs.twimg.com/profile_images/1629615809248075777/vsgkv-Tr_normal.jpg</v>
      </c>
      <c r="G94" s="63"/>
      <c r="H94" s="67"/>
      <c r="I94" s="68"/>
      <c r="J94" s="68"/>
      <c r="K94" s="67" t="s">
        <v>27688</v>
      </c>
      <c r="L94" s="71"/>
      <c r="M94" s="72"/>
      <c r="N94" s="72"/>
      <c r="O94" s="73"/>
      <c r="P94" s="74"/>
      <c r="Q94" s="74"/>
      <c r="R94" s="87"/>
      <c r="S94" s="87"/>
      <c r="T94" s="87"/>
      <c r="U94" s="87"/>
      <c r="V94" s="48"/>
      <c r="W94" s="48"/>
      <c r="X94" s="48"/>
      <c r="Y94" s="48"/>
      <c r="Z94" s="47"/>
      <c r="AA94" s="69">
        <v>94</v>
      </c>
      <c r="AB94" s="69"/>
      <c r="AC94" s="70"/>
      <c r="AD94" s="76" t="s">
        <v>21339</v>
      </c>
      <c r="AE94" s="81" t="s">
        <v>20527</v>
      </c>
      <c r="AF94" s="76">
        <v>21</v>
      </c>
      <c r="AG94" s="76">
        <v>100</v>
      </c>
      <c r="AH94" s="76">
        <v>892</v>
      </c>
      <c r="AI94" s="76">
        <v>0</v>
      </c>
      <c r="AJ94" s="76">
        <v>41</v>
      </c>
      <c r="AK94" s="76">
        <v>148</v>
      </c>
      <c r="AL94" s="76" t="b">
        <v>0</v>
      </c>
      <c r="AM94" s="78">
        <v>44241.869259259256</v>
      </c>
      <c r="AN94" s="76"/>
      <c r="AO94" s="76" t="s">
        <v>24793</v>
      </c>
      <c r="AP94" s="82" t="str">
        <f>HYPERLINK("https://t.co/V5lvEEQa45")</f>
        <v>https://t.co/V5lvEEQa45</v>
      </c>
      <c r="AQ94" s="82" t="str">
        <f>HYPERLINK("https://portalconvenios.com/")</f>
        <v>https://portalconvenios.com/</v>
      </c>
      <c r="AR94" s="76" t="s">
        <v>26415</v>
      </c>
      <c r="AS94" s="76"/>
      <c r="AT94" s="76"/>
      <c r="AU94" s="76"/>
      <c r="AV94" s="76"/>
      <c r="AW94" s="82" t="str">
        <f>HYPERLINK("https://t.co/V5lvEEQa45")</f>
        <v>https://t.co/V5lvEEQa45</v>
      </c>
      <c r="AX94" s="76" t="b">
        <v>0</v>
      </c>
      <c r="AY94" s="76"/>
      <c r="AZ94" s="76"/>
      <c r="BA94" s="76" t="b">
        <v>0</v>
      </c>
      <c r="BB94" s="76" t="b">
        <v>1</v>
      </c>
      <c r="BC94" s="76" t="b">
        <v>1</v>
      </c>
      <c r="BD94" s="76" t="b">
        <v>0</v>
      </c>
      <c r="BE94" s="76" t="b">
        <v>0</v>
      </c>
      <c r="BF94" s="76" t="b">
        <v>0</v>
      </c>
      <c r="BG94" s="76" t="b">
        <v>0</v>
      </c>
      <c r="BH94" s="82" t="str">
        <f>HYPERLINK("https://pbs.twimg.com/profile_banners/1361055492831928325/1677365661")</f>
        <v>https://pbs.twimg.com/profile_banners/1361055492831928325/1677365661</v>
      </c>
      <c r="BI94" s="76"/>
      <c r="BJ94" s="76" t="s">
        <v>27595</v>
      </c>
      <c r="BK94" s="76" t="b">
        <v>0</v>
      </c>
      <c r="BL94" s="76"/>
      <c r="BM94" s="76" t="s">
        <v>66</v>
      </c>
      <c r="BN94" s="76" t="s">
        <v>27597</v>
      </c>
      <c r="BO94" s="82" t="str">
        <f>HYPERLINK("https://twitter.com/portalconvenios")</f>
        <v>https://twitter.com/portalconvenios</v>
      </c>
      <c r="BP94" s="2"/>
    </row>
    <row r="95" spans="1:68" x14ac:dyDescent="0.25">
      <c r="A95" s="62" t="s">
        <v>285</v>
      </c>
      <c r="B95" s="63"/>
      <c r="C95" s="63"/>
      <c r="D95" s="64"/>
      <c r="E95" s="66"/>
      <c r="F95" s="103" t="str">
        <f>HYPERLINK("https://pbs.twimg.com/profile_images/1349962670678700032/4Kis9uwt_normal.jpg")</f>
        <v>https://pbs.twimg.com/profile_images/1349962670678700032/4Kis9uwt_normal.jpg</v>
      </c>
      <c r="G95" s="63"/>
      <c r="H95" s="67"/>
      <c r="I95" s="68"/>
      <c r="J95" s="68"/>
      <c r="K95" s="67" t="s">
        <v>27689</v>
      </c>
      <c r="L95" s="71"/>
      <c r="M95" s="72"/>
      <c r="N95" s="72"/>
      <c r="O95" s="73"/>
      <c r="P95" s="74"/>
      <c r="Q95" s="74"/>
      <c r="R95" s="87"/>
      <c r="S95" s="87"/>
      <c r="T95" s="87"/>
      <c r="U95" s="87"/>
      <c r="V95" s="48"/>
      <c r="W95" s="48"/>
      <c r="X95" s="48"/>
      <c r="Y95" s="48"/>
      <c r="Z95" s="47"/>
      <c r="AA95" s="69">
        <v>95</v>
      </c>
      <c r="AB95" s="69"/>
      <c r="AC95" s="70"/>
      <c r="AD95" s="76" t="s">
        <v>21340</v>
      </c>
      <c r="AE95" s="81" t="s">
        <v>23112</v>
      </c>
      <c r="AF95" s="76">
        <v>209</v>
      </c>
      <c r="AG95" s="76">
        <v>2589</v>
      </c>
      <c r="AH95" s="76">
        <v>23559</v>
      </c>
      <c r="AI95" s="76">
        <v>14</v>
      </c>
      <c r="AJ95" s="76">
        <v>19114</v>
      </c>
      <c r="AK95" s="76">
        <v>3636</v>
      </c>
      <c r="AL95" s="76" t="b">
        <v>0</v>
      </c>
      <c r="AM95" s="78">
        <v>39901.629826388889</v>
      </c>
      <c r="AN95" s="76" t="s">
        <v>24106</v>
      </c>
      <c r="AO95" s="76" t="s">
        <v>24794</v>
      </c>
      <c r="AP95" s="82" t="str">
        <f>HYPERLINK("https://t.co/tOg6XLWxpm")</f>
        <v>https://t.co/tOg6XLWxpm</v>
      </c>
      <c r="AQ95" s="82" t="str">
        <f>HYPERLINK("http://vagnocarvalho.tumblr.com")</f>
        <v>http://vagnocarvalho.tumblr.com</v>
      </c>
      <c r="AR95" s="76" t="s">
        <v>26416</v>
      </c>
      <c r="AS95" s="76"/>
      <c r="AT95" s="76"/>
      <c r="AU95" s="76"/>
      <c r="AV95" s="76"/>
      <c r="AW95" s="82" t="str">
        <f>HYPERLINK("https://t.co/tOg6XLWxpm")</f>
        <v>https://t.co/tOg6XLWxpm</v>
      </c>
      <c r="AX95" s="76" t="b">
        <v>0</v>
      </c>
      <c r="AY95" s="76"/>
      <c r="AZ95" s="76"/>
      <c r="BA95" s="76" t="b">
        <v>0</v>
      </c>
      <c r="BB95" s="76" t="b">
        <v>0</v>
      </c>
      <c r="BC95" s="76" t="b">
        <v>0</v>
      </c>
      <c r="BD95" s="76" t="b">
        <v>0</v>
      </c>
      <c r="BE95" s="76" t="b">
        <v>1</v>
      </c>
      <c r="BF95" s="76" t="b">
        <v>0</v>
      </c>
      <c r="BG95" s="76" t="b">
        <v>0</v>
      </c>
      <c r="BH95" s="82" t="str">
        <f>HYPERLINK("https://pbs.twimg.com/profile_banners/27438844/1663606256")</f>
        <v>https://pbs.twimg.com/profile_banners/27438844/1663606256</v>
      </c>
      <c r="BI95" s="76"/>
      <c r="BJ95" s="76" t="s">
        <v>27596</v>
      </c>
      <c r="BK95" s="76" t="b">
        <v>0</v>
      </c>
      <c r="BL95" s="76"/>
      <c r="BM95" s="76" t="s">
        <v>66</v>
      </c>
      <c r="BN95" s="76" t="s">
        <v>27597</v>
      </c>
      <c r="BO95" s="82" t="str">
        <f>HYPERLINK("https://twitter.com/vagnocarvalho")</f>
        <v>https://twitter.com/vagnocarvalho</v>
      </c>
      <c r="BP95" s="2"/>
    </row>
    <row r="96" spans="1:68" x14ac:dyDescent="0.25">
      <c r="A96" s="62" t="s">
        <v>1596</v>
      </c>
      <c r="B96" s="63"/>
      <c r="C96" s="63"/>
      <c r="D96" s="64"/>
      <c r="E96" s="66"/>
      <c r="F96" s="103" t="str">
        <f>HYPERLINK("https://pbs.twimg.com/profile_images/1674371511996628993/reGcyxoU_normal.jpg")</f>
        <v>https://pbs.twimg.com/profile_images/1674371511996628993/reGcyxoU_normal.jpg</v>
      </c>
      <c r="G96" s="63"/>
      <c r="H96" s="67"/>
      <c r="I96" s="68"/>
      <c r="J96" s="68"/>
      <c r="K96" s="67" t="s">
        <v>27690</v>
      </c>
      <c r="L96" s="71"/>
      <c r="M96" s="72"/>
      <c r="N96" s="72"/>
      <c r="O96" s="73"/>
      <c r="P96" s="74"/>
      <c r="Q96" s="74"/>
      <c r="R96" s="87"/>
      <c r="S96" s="87"/>
      <c r="T96" s="87"/>
      <c r="U96" s="87"/>
      <c r="V96" s="48"/>
      <c r="W96" s="48"/>
      <c r="X96" s="48"/>
      <c r="Y96" s="48"/>
      <c r="Z96" s="47"/>
      <c r="AA96" s="69">
        <v>96</v>
      </c>
      <c r="AB96" s="69"/>
      <c r="AC96" s="70"/>
      <c r="AD96" s="76" t="s">
        <v>21341</v>
      </c>
      <c r="AE96" s="81" t="s">
        <v>20367</v>
      </c>
      <c r="AF96" s="76">
        <v>461189</v>
      </c>
      <c r="AG96" s="76">
        <v>98</v>
      </c>
      <c r="AH96" s="76">
        <v>11071</v>
      </c>
      <c r="AI96" s="76">
        <v>1926</v>
      </c>
      <c r="AJ96" s="76">
        <v>427</v>
      </c>
      <c r="AK96" s="76">
        <v>4909</v>
      </c>
      <c r="AL96" s="76" t="b">
        <v>0</v>
      </c>
      <c r="AM96" s="78">
        <v>40514.689143518517</v>
      </c>
      <c r="AN96" s="76" t="s">
        <v>24107</v>
      </c>
      <c r="AO96" s="76" t="s">
        <v>24795</v>
      </c>
      <c r="AP96" s="82" t="str">
        <f>HYPERLINK("https://t.co/IX5QvxVQ16")</f>
        <v>https://t.co/IX5QvxVQ16</v>
      </c>
      <c r="AQ96" s="82" t="str">
        <f>HYPERLINK("http://www.bcb.gov.br")</f>
        <v>http://www.bcb.gov.br</v>
      </c>
      <c r="AR96" s="76" t="s">
        <v>26417</v>
      </c>
      <c r="AS96" s="82" t="str">
        <f>HYPERLINK("https://t.co/VrFnR3Etep")</f>
        <v>https://t.co/VrFnR3Etep</v>
      </c>
      <c r="AT96" s="82" t="str">
        <f>HYPERLINK("http://linktr.ee/bancocentraldo")</f>
        <v>http://linktr.ee/bancocentraldo</v>
      </c>
      <c r="AU96" s="76" t="s">
        <v>27454</v>
      </c>
      <c r="AV96" s="76">
        <v>1.64576261704513E+18</v>
      </c>
      <c r="AW96" s="82" t="str">
        <f>HYPERLINK("https://t.co/IX5QvxVQ16")</f>
        <v>https://t.co/IX5QvxVQ16</v>
      </c>
      <c r="AX96" s="76" t="b">
        <v>0</v>
      </c>
      <c r="AY96" s="76"/>
      <c r="AZ96" s="76"/>
      <c r="BA96" s="76" t="b">
        <v>1</v>
      </c>
      <c r="BB96" s="76" t="b">
        <v>0</v>
      </c>
      <c r="BC96" s="76" t="b">
        <v>0</v>
      </c>
      <c r="BD96" s="76" t="b">
        <v>0</v>
      </c>
      <c r="BE96" s="76" t="b">
        <v>1</v>
      </c>
      <c r="BF96" s="76" t="b">
        <v>0</v>
      </c>
      <c r="BG96" s="76" t="b">
        <v>0</v>
      </c>
      <c r="BH96" s="82" t="str">
        <f>HYPERLINK("https://pbs.twimg.com/profile_banners/222157159/1671448684")</f>
        <v>https://pbs.twimg.com/profile_banners/222157159/1671448684</v>
      </c>
      <c r="BI96" s="76"/>
      <c r="BJ96" s="76" t="s">
        <v>27595</v>
      </c>
      <c r="BK96" s="76" t="b">
        <v>0</v>
      </c>
      <c r="BL96" s="76"/>
      <c r="BM96" s="76" t="s">
        <v>66</v>
      </c>
      <c r="BN96" s="76" t="s">
        <v>27597</v>
      </c>
      <c r="BO96" s="82" t="str">
        <f>HYPERLINK("https://twitter.com/bancocentralbr")</f>
        <v>https://twitter.com/bancocentralbr</v>
      </c>
      <c r="BP96" s="2"/>
    </row>
    <row r="97" spans="1:68" x14ac:dyDescent="0.25">
      <c r="A97" s="62" t="s">
        <v>286</v>
      </c>
      <c r="B97" s="63"/>
      <c r="C97" s="63"/>
      <c r="D97" s="64"/>
      <c r="E97" s="66"/>
      <c r="F97" s="103" t="str">
        <f>HYPERLINK("https://pbs.twimg.com/profile_images/1657550841048453121/ZmdPOUt0_normal.jpg")</f>
        <v>https://pbs.twimg.com/profile_images/1657550841048453121/ZmdPOUt0_normal.jpg</v>
      </c>
      <c r="G97" s="63"/>
      <c r="H97" s="67"/>
      <c r="I97" s="68"/>
      <c r="J97" s="68"/>
      <c r="K97" s="67" t="s">
        <v>27691</v>
      </c>
      <c r="L97" s="71"/>
      <c r="M97" s="72"/>
      <c r="N97" s="72"/>
      <c r="O97" s="73"/>
      <c r="P97" s="74"/>
      <c r="Q97" s="74"/>
      <c r="R97" s="87"/>
      <c r="S97" s="87"/>
      <c r="T97" s="87"/>
      <c r="U97" s="87"/>
      <c r="V97" s="48"/>
      <c r="W97" s="48"/>
      <c r="X97" s="48"/>
      <c r="Y97" s="48"/>
      <c r="Z97" s="47"/>
      <c r="AA97" s="69">
        <v>97</v>
      </c>
      <c r="AB97" s="69"/>
      <c r="AC97" s="70"/>
      <c r="AD97" s="76" t="s">
        <v>21342</v>
      </c>
      <c r="AE97" s="81" t="s">
        <v>20528</v>
      </c>
      <c r="AF97" s="76">
        <v>2</v>
      </c>
      <c r="AG97" s="76">
        <v>14</v>
      </c>
      <c r="AH97" s="76">
        <v>88</v>
      </c>
      <c r="AI97" s="76">
        <v>0</v>
      </c>
      <c r="AJ97" s="76">
        <v>8</v>
      </c>
      <c r="AK97" s="76">
        <v>87</v>
      </c>
      <c r="AL97" s="76" t="b">
        <v>0</v>
      </c>
      <c r="AM97" s="78">
        <v>45060.016469907408</v>
      </c>
      <c r="AN97" s="76" t="s">
        <v>14400</v>
      </c>
      <c r="AO97" s="76" t="s">
        <v>24796</v>
      </c>
      <c r="AP97" s="82" t="str">
        <f>HYPERLINK("https://t.co/4m5Z9Cg5Rc")</f>
        <v>https://t.co/4m5Z9Cg5Rc</v>
      </c>
      <c r="AQ97" s="82" t="str">
        <f>HYPERLINK("http://www.finance360.com.br")</f>
        <v>http://www.finance360.com.br</v>
      </c>
      <c r="AR97" s="76" t="s">
        <v>26418</v>
      </c>
      <c r="AS97" s="76"/>
      <c r="AT97" s="76"/>
      <c r="AU97" s="76"/>
      <c r="AV97" s="76"/>
      <c r="AW97" s="82" t="str">
        <f>HYPERLINK("https://t.co/4m5Z9Cg5Rc")</f>
        <v>https://t.co/4m5Z9Cg5Rc</v>
      </c>
      <c r="AX97" s="76" t="b">
        <v>0</v>
      </c>
      <c r="AY97" s="76"/>
      <c r="AZ97" s="76"/>
      <c r="BA97" s="76" t="b">
        <v>0</v>
      </c>
      <c r="BB97" s="76" t="b">
        <v>1</v>
      </c>
      <c r="BC97" s="76" t="b">
        <v>1</v>
      </c>
      <c r="BD97" s="76" t="b">
        <v>0</v>
      </c>
      <c r="BE97" s="76" t="b">
        <v>0</v>
      </c>
      <c r="BF97" s="76" t="b">
        <v>0</v>
      </c>
      <c r="BG97" s="76" t="b">
        <v>0</v>
      </c>
      <c r="BH97" s="82" t="str">
        <f>HYPERLINK("https://pbs.twimg.com/profile_banners/1657542055365603328/1684024428")</f>
        <v>https://pbs.twimg.com/profile_banners/1657542055365603328/1684024428</v>
      </c>
      <c r="BI97" s="76"/>
      <c r="BJ97" s="76" t="s">
        <v>27595</v>
      </c>
      <c r="BK97" s="76" t="b">
        <v>0</v>
      </c>
      <c r="BL97" s="76"/>
      <c r="BM97" s="76" t="s">
        <v>66</v>
      </c>
      <c r="BN97" s="76" t="s">
        <v>27597</v>
      </c>
      <c r="BO97" s="82" t="str">
        <f>HYPERLINK("https://twitter.com/finance360br")</f>
        <v>https://twitter.com/finance360br</v>
      </c>
      <c r="BP97" s="2"/>
    </row>
    <row r="98" spans="1:68" x14ac:dyDescent="0.25">
      <c r="A98" s="62" t="s">
        <v>287</v>
      </c>
      <c r="B98" s="63"/>
      <c r="C98" s="63"/>
      <c r="D98" s="64"/>
      <c r="E98" s="66"/>
      <c r="F98" s="103" t="str">
        <f>HYPERLINK("https://pbs.twimg.com/profile_images/1474225275474956346/q3XcBn4H_normal.jpg")</f>
        <v>https://pbs.twimg.com/profile_images/1474225275474956346/q3XcBn4H_normal.jpg</v>
      </c>
      <c r="G98" s="63"/>
      <c r="H98" s="67"/>
      <c r="I98" s="68"/>
      <c r="J98" s="68"/>
      <c r="K98" s="67" t="s">
        <v>27692</v>
      </c>
      <c r="L98" s="71"/>
      <c r="M98" s="72"/>
      <c r="N98" s="72"/>
      <c r="O98" s="73"/>
      <c r="P98" s="74"/>
      <c r="Q98" s="74"/>
      <c r="R98" s="87"/>
      <c r="S98" s="87"/>
      <c r="T98" s="87"/>
      <c r="U98" s="87"/>
      <c r="V98" s="48"/>
      <c r="W98" s="48"/>
      <c r="X98" s="48"/>
      <c r="Y98" s="48"/>
      <c r="Z98" s="47"/>
      <c r="AA98" s="69">
        <v>98</v>
      </c>
      <c r="AB98" s="69"/>
      <c r="AC98" s="70"/>
      <c r="AD98" s="76" t="s">
        <v>21343</v>
      </c>
      <c r="AE98" s="81" t="s">
        <v>23113</v>
      </c>
      <c r="AF98" s="76">
        <v>1202</v>
      </c>
      <c r="AG98" s="76">
        <v>1397</v>
      </c>
      <c r="AH98" s="76">
        <v>23038</v>
      </c>
      <c r="AI98" s="76">
        <v>3</v>
      </c>
      <c r="AJ98" s="76">
        <v>366</v>
      </c>
      <c r="AK98" s="76">
        <v>7240</v>
      </c>
      <c r="AL98" s="76" t="b">
        <v>0</v>
      </c>
      <c r="AM98" s="78">
        <v>40366.748518518521</v>
      </c>
      <c r="AN98" s="76" t="s">
        <v>14386</v>
      </c>
      <c r="AO98" s="76" t="s">
        <v>24797</v>
      </c>
      <c r="AP98" s="82" t="str">
        <f>HYPERLINK("https://t.co/YYiMXLYrv8")</f>
        <v>https://t.co/YYiMXLYrv8</v>
      </c>
      <c r="AQ98" s="82" t="str">
        <f>HYPERLINK("http://www.todocalefon.cl")</f>
        <v>http://www.todocalefon.cl</v>
      </c>
      <c r="AR98" s="76" t="s">
        <v>8634</v>
      </c>
      <c r="AS98" s="76"/>
      <c r="AT98" s="76"/>
      <c r="AU98" s="76"/>
      <c r="AV98" s="76"/>
      <c r="AW98" s="82" t="str">
        <f>HYPERLINK("https://t.co/YYiMXLYrv8")</f>
        <v>https://t.co/YYiMXLYrv8</v>
      </c>
      <c r="AX98" s="76" t="b">
        <v>0</v>
      </c>
      <c r="AY98" s="76"/>
      <c r="AZ98" s="76"/>
      <c r="BA98" s="76" t="b">
        <v>1</v>
      </c>
      <c r="BB98" s="76" t="b">
        <v>0</v>
      </c>
      <c r="BC98" s="76" t="b">
        <v>0</v>
      </c>
      <c r="BD98" s="76" t="b">
        <v>0</v>
      </c>
      <c r="BE98" s="76" t="b">
        <v>1</v>
      </c>
      <c r="BF98" s="76" t="b">
        <v>0</v>
      </c>
      <c r="BG98" s="76" t="b">
        <v>0</v>
      </c>
      <c r="BH98" s="82" t="str">
        <f>HYPERLINK("https://pbs.twimg.com/profile_banners/163958452/1673788657")</f>
        <v>https://pbs.twimg.com/profile_banners/163958452/1673788657</v>
      </c>
      <c r="BI98" s="76"/>
      <c r="BJ98" s="76" t="s">
        <v>27595</v>
      </c>
      <c r="BK98" s="76" t="b">
        <v>0</v>
      </c>
      <c r="BL98" s="76"/>
      <c r="BM98" s="76" t="s">
        <v>66</v>
      </c>
      <c r="BN98" s="76" t="s">
        <v>27597</v>
      </c>
      <c r="BO98" s="82" t="str">
        <f>HYPERLINK("https://twitter.com/todocalefon1")</f>
        <v>https://twitter.com/todocalefon1</v>
      </c>
      <c r="BP98" s="2"/>
    </row>
    <row r="99" spans="1:68" x14ac:dyDescent="0.25">
      <c r="A99" s="62" t="s">
        <v>288</v>
      </c>
      <c r="B99" s="63"/>
      <c r="C99" s="63"/>
      <c r="D99" s="64"/>
      <c r="E99" s="66"/>
      <c r="F99" s="103" t="str">
        <f>HYPERLINK("https://pbs.twimg.com/profile_images/1707458129078755328/lUhZaq0u_normal.jpg")</f>
        <v>https://pbs.twimg.com/profile_images/1707458129078755328/lUhZaq0u_normal.jpg</v>
      </c>
      <c r="G99" s="63"/>
      <c r="H99" s="67"/>
      <c r="I99" s="68"/>
      <c r="J99" s="68"/>
      <c r="K99" s="67" t="s">
        <v>27693</v>
      </c>
      <c r="L99" s="71"/>
      <c r="M99" s="72"/>
      <c r="N99" s="72"/>
      <c r="O99" s="73"/>
      <c r="P99" s="74"/>
      <c r="Q99" s="74"/>
      <c r="R99" s="87"/>
      <c r="S99" s="87"/>
      <c r="T99" s="87"/>
      <c r="U99" s="87"/>
      <c r="V99" s="48"/>
      <c r="W99" s="48"/>
      <c r="X99" s="48"/>
      <c r="Y99" s="48"/>
      <c r="Z99" s="47"/>
      <c r="AA99" s="69">
        <v>99</v>
      </c>
      <c r="AB99" s="69"/>
      <c r="AC99" s="70"/>
      <c r="AD99" s="76" t="s">
        <v>21344</v>
      </c>
      <c r="AE99" s="81" t="s">
        <v>20529</v>
      </c>
      <c r="AF99" s="76">
        <v>4317</v>
      </c>
      <c r="AG99" s="76">
        <v>5001</v>
      </c>
      <c r="AH99" s="76">
        <v>51478</v>
      </c>
      <c r="AI99" s="76">
        <v>5</v>
      </c>
      <c r="AJ99" s="76">
        <v>113940</v>
      </c>
      <c r="AK99" s="76">
        <v>2931</v>
      </c>
      <c r="AL99" s="76" t="b">
        <v>0</v>
      </c>
      <c r="AM99" s="78">
        <v>44265.968842592592</v>
      </c>
      <c r="AN99" s="76" t="s">
        <v>14382</v>
      </c>
      <c r="AO99" s="76" t="s">
        <v>24798</v>
      </c>
      <c r="AP99" s="76"/>
      <c r="AQ99" s="76"/>
      <c r="AR99" s="76"/>
      <c r="AS99" s="76"/>
      <c r="AT99" s="76"/>
      <c r="AU99" s="76"/>
      <c r="AV99" s="76">
        <v>1.70676717471363E+18</v>
      </c>
      <c r="AW99" s="76"/>
      <c r="AX99" s="76" t="b">
        <v>0</v>
      </c>
      <c r="AY99" s="76"/>
      <c r="AZ99" s="76"/>
      <c r="BA99" s="76" t="b">
        <v>0</v>
      </c>
      <c r="BB99" s="76" t="b">
        <v>0</v>
      </c>
      <c r="BC99" s="76" t="b">
        <v>1</v>
      </c>
      <c r="BD99" s="76" t="b">
        <v>0</v>
      </c>
      <c r="BE99" s="76" t="b">
        <v>1</v>
      </c>
      <c r="BF99" s="76" t="b">
        <v>0</v>
      </c>
      <c r="BG99" s="76" t="b">
        <v>0</v>
      </c>
      <c r="BH99" s="82" t="str">
        <f>HYPERLINK("https://pbs.twimg.com/profile_banners/1369788887414018055/1695764472")</f>
        <v>https://pbs.twimg.com/profile_banners/1369788887414018055/1695764472</v>
      </c>
      <c r="BI99" s="76"/>
      <c r="BJ99" s="76" t="s">
        <v>27595</v>
      </c>
      <c r="BK99" s="76" t="b">
        <v>0</v>
      </c>
      <c r="BL99" s="76"/>
      <c r="BM99" s="76" t="s">
        <v>66</v>
      </c>
      <c r="BN99" s="76" t="s">
        <v>27597</v>
      </c>
      <c r="BO99" s="82" t="str">
        <f>HYPERLINK("https://twitter.com/alessandrabrvna")</f>
        <v>https://twitter.com/alessandrabrvna</v>
      </c>
      <c r="BP99" s="2"/>
    </row>
    <row r="100" spans="1:68" x14ac:dyDescent="0.25">
      <c r="A100" s="62" t="s">
        <v>1681</v>
      </c>
      <c r="B100" s="63"/>
      <c r="C100" s="63"/>
      <c r="D100" s="64"/>
      <c r="E100" s="66"/>
      <c r="F100" s="103" t="str">
        <f>HYPERLINK("https://pbs.twimg.com/profile_images/999818167231774726/LS2qbf84_normal.jpg")</f>
        <v>https://pbs.twimg.com/profile_images/999818167231774726/LS2qbf84_normal.jpg</v>
      </c>
      <c r="G100" s="63"/>
      <c r="H100" s="67"/>
      <c r="I100" s="68"/>
      <c r="J100" s="68"/>
      <c r="K100" s="67" t="s">
        <v>27694</v>
      </c>
      <c r="L100" s="71"/>
      <c r="M100" s="72"/>
      <c r="N100" s="72"/>
      <c r="O100" s="73"/>
      <c r="P100" s="74"/>
      <c r="Q100" s="74"/>
      <c r="R100" s="87"/>
      <c r="S100" s="87"/>
      <c r="T100" s="87"/>
      <c r="U100" s="87"/>
      <c r="V100" s="48"/>
      <c r="W100" s="48"/>
      <c r="X100" s="48"/>
      <c r="Y100" s="48"/>
      <c r="Z100" s="47"/>
      <c r="AA100" s="69">
        <v>100</v>
      </c>
      <c r="AB100" s="69"/>
      <c r="AC100" s="70"/>
      <c r="AD100" s="76" t="s">
        <v>21345</v>
      </c>
      <c r="AE100" s="81" t="s">
        <v>23114</v>
      </c>
      <c r="AF100" s="76">
        <v>11353</v>
      </c>
      <c r="AG100" s="76">
        <v>684</v>
      </c>
      <c r="AH100" s="76">
        <v>4774</v>
      </c>
      <c r="AI100" s="76">
        <v>71</v>
      </c>
      <c r="AJ100" s="76">
        <v>2203</v>
      </c>
      <c r="AK100" s="76">
        <v>2581</v>
      </c>
      <c r="AL100" s="76" t="b">
        <v>0</v>
      </c>
      <c r="AM100" s="78">
        <v>41493.136944444443</v>
      </c>
      <c r="AN100" s="76" t="s">
        <v>24108</v>
      </c>
      <c r="AO100" s="76" t="s">
        <v>24799</v>
      </c>
      <c r="AP100" s="82" t="str">
        <f>HYPERLINK("https://t.co/8FG6bJbwQi")</f>
        <v>https://t.co/8FG6bJbwQi</v>
      </c>
      <c r="AQ100" s="82" t="str">
        <f>HYPERLINK("http://auditoriacidada.org.br")</f>
        <v>http://auditoriacidada.org.br</v>
      </c>
      <c r="AR100" s="76" t="s">
        <v>26419</v>
      </c>
      <c r="AS100" s="76"/>
      <c r="AT100" s="76"/>
      <c r="AU100" s="76"/>
      <c r="AV100" s="76"/>
      <c r="AW100" s="82" t="str">
        <f>HYPERLINK("https://t.co/8FG6bJbwQi")</f>
        <v>https://t.co/8FG6bJbwQi</v>
      </c>
      <c r="AX100" s="76" t="b">
        <v>0</v>
      </c>
      <c r="AY100" s="76"/>
      <c r="AZ100" s="76"/>
      <c r="BA100" s="76" t="b">
        <v>0</v>
      </c>
      <c r="BB100" s="76" t="b">
        <v>1</v>
      </c>
      <c r="BC100" s="76" t="b">
        <v>1</v>
      </c>
      <c r="BD100" s="76" t="b">
        <v>0</v>
      </c>
      <c r="BE100" s="76" t="b">
        <v>1</v>
      </c>
      <c r="BF100" s="76" t="b">
        <v>0</v>
      </c>
      <c r="BG100" s="76" t="b">
        <v>0</v>
      </c>
      <c r="BH100" s="82" t="str">
        <f>HYPERLINK("https://pbs.twimg.com/profile_banners/1651900940/1658438216")</f>
        <v>https://pbs.twimg.com/profile_banners/1651900940/1658438216</v>
      </c>
      <c r="BI100" s="76"/>
      <c r="BJ100" s="76" t="s">
        <v>27595</v>
      </c>
      <c r="BK100" s="76" t="b">
        <v>0</v>
      </c>
      <c r="BL100" s="76"/>
      <c r="BM100" s="76" t="s">
        <v>66</v>
      </c>
      <c r="BN100" s="76" t="s">
        <v>27597</v>
      </c>
      <c r="BO100" s="82" t="str">
        <f>HYPERLINK("https://twitter.com/auditoriacidada")</f>
        <v>https://twitter.com/auditoriacidada</v>
      </c>
      <c r="BP100" s="2"/>
    </row>
    <row r="101" spans="1:68" x14ac:dyDescent="0.25">
      <c r="A101" s="62" t="s">
        <v>289</v>
      </c>
      <c r="B101" s="63"/>
      <c r="C101" s="63"/>
      <c r="D101" s="64"/>
      <c r="E101" s="66"/>
      <c r="F101" s="103" t="str">
        <f>HYPERLINK("https://pbs.twimg.com/profile_images/1552415758130597890/ycmtrC1D_normal.jpg")</f>
        <v>https://pbs.twimg.com/profile_images/1552415758130597890/ycmtrC1D_normal.jpg</v>
      </c>
      <c r="G101" s="63"/>
      <c r="H101" s="67"/>
      <c r="I101" s="68"/>
      <c r="J101" s="68"/>
      <c r="K101" s="67" t="s">
        <v>27695</v>
      </c>
      <c r="L101" s="71"/>
      <c r="M101" s="72"/>
      <c r="N101" s="72"/>
      <c r="O101" s="73"/>
      <c r="P101" s="74"/>
      <c r="Q101" s="74"/>
      <c r="R101" s="87"/>
      <c r="S101" s="87"/>
      <c r="T101" s="87"/>
      <c r="U101" s="87"/>
      <c r="V101" s="48"/>
      <c r="W101" s="48"/>
      <c r="X101" s="48"/>
      <c r="Y101" s="48"/>
      <c r="Z101" s="47"/>
      <c r="AA101" s="69">
        <v>101</v>
      </c>
      <c r="AB101" s="69"/>
      <c r="AC101" s="70"/>
      <c r="AD101" s="76" t="s">
        <v>21346</v>
      </c>
      <c r="AE101" s="81" t="s">
        <v>23115</v>
      </c>
      <c r="AF101" s="76">
        <v>10620</v>
      </c>
      <c r="AG101" s="76">
        <v>3121</v>
      </c>
      <c r="AH101" s="76">
        <v>40510</v>
      </c>
      <c r="AI101" s="76">
        <v>48</v>
      </c>
      <c r="AJ101" s="76">
        <v>719</v>
      </c>
      <c r="AK101" s="76">
        <v>13596</v>
      </c>
      <c r="AL101" s="76" t="b">
        <v>0</v>
      </c>
      <c r="AM101" s="78">
        <v>40501.978043981479</v>
      </c>
      <c r="AN101" s="76" t="s">
        <v>24109</v>
      </c>
      <c r="AO101" s="76" t="s">
        <v>24800</v>
      </c>
      <c r="AP101" s="82" t="str">
        <f>HYPERLINK("https://t.co/Wzvzr12UuH")</f>
        <v>https://t.co/Wzvzr12UuH</v>
      </c>
      <c r="AQ101" s="82" t="str">
        <f>HYPERLINK("http://www.senoticias.com.br")</f>
        <v>http://www.senoticias.com.br</v>
      </c>
      <c r="AR101" s="76" t="s">
        <v>26420</v>
      </c>
      <c r="AS101" s="76"/>
      <c r="AT101" s="76"/>
      <c r="AU101" s="76"/>
      <c r="AV101" s="76">
        <v>1.6668348560247099E+18</v>
      </c>
      <c r="AW101" s="82" t="str">
        <f>HYPERLINK("https://t.co/Wzvzr12UuH")</f>
        <v>https://t.co/Wzvzr12UuH</v>
      </c>
      <c r="AX101" s="76" t="b">
        <v>0</v>
      </c>
      <c r="AY101" s="76"/>
      <c r="AZ101" s="76"/>
      <c r="BA101" s="76" t="b">
        <v>0</v>
      </c>
      <c r="BB101" s="76" t="b">
        <v>1</v>
      </c>
      <c r="BC101" s="76" t="b">
        <v>0</v>
      </c>
      <c r="BD101" s="76" t="b">
        <v>0</v>
      </c>
      <c r="BE101" s="76" t="b">
        <v>1</v>
      </c>
      <c r="BF101" s="76" t="b">
        <v>0</v>
      </c>
      <c r="BG101" s="76" t="b">
        <v>0</v>
      </c>
      <c r="BH101" s="82" t="str">
        <f>HYPERLINK("https://pbs.twimg.com/profile_banners/217592807/1575989052")</f>
        <v>https://pbs.twimg.com/profile_banners/217592807/1575989052</v>
      </c>
      <c r="BI101" s="76"/>
      <c r="BJ101" s="76" t="s">
        <v>27595</v>
      </c>
      <c r="BK101" s="76" t="b">
        <v>0</v>
      </c>
      <c r="BL101" s="76"/>
      <c r="BM101" s="76" t="s">
        <v>66</v>
      </c>
      <c r="BN101" s="76" t="s">
        <v>27597</v>
      </c>
      <c r="BO101" s="82" t="str">
        <f>HYPERLINK("https://twitter.com/senoticias")</f>
        <v>https://twitter.com/senoticias</v>
      </c>
      <c r="BP101" s="2"/>
    </row>
    <row r="102" spans="1:68" x14ac:dyDescent="0.25">
      <c r="A102" s="62" t="s">
        <v>290</v>
      </c>
      <c r="B102" s="63"/>
      <c r="C102" s="63"/>
      <c r="D102" s="64"/>
      <c r="E102" s="66"/>
      <c r="F102" s="103" t="str">
        <f>HYPERLINK("https://pbs.twimg.com/profile_images/1627441346318422019/Y5cv_IF2_normal.jpg")</f>
        <v>https://pbs.twimg.com/profile_images/1627441346318422019/Y5cv_IF2_normal.jpg</v>
      </c>
      <c r="G102" s="63"/>
      <c r="H102" s="67"/>
      <c r="I102" s="68"/>
      <c r="J102" s="68"/>
      <c r="K102" s="67" t="s">
        <v>27696</v>
      </c>
      <c r="L102" s="71"/>
      <c r="M102" s="72"/>
      <c r="N102" s="72"/>
      <c r="O102" s="73"/>
      <c r="P102" s="74"/>
      <c r="Q102" s="74"/>
      <c r="R102" s="87"/>
      <c r="S102" s="87"/>
      <c r="T102" s="87"/>
      <c r="U102" s="87"/>
      <c r="V102" s="48"/>
      <c r="W102" s="48"/>
      <c r="X102" s="48"/>
      <c r="Y102" s="48"/>
      <c r="Z102" s="47"/>
      <c r="AA102" s="69">
        <v>102</v>
      </c>
      <c r="AB102" s="69"/>
      <c r="AC102" s="70"/>
      <c r="AD102" s="76" t="s">
        <v>21347</v>
      </c>
      <c r="AE102" s="81" t="s">
        <v>23116</v>
      </c>
      <c r="AF102" s="76">
        <v>2456</v>
      </c>
      <c r="AG102" s="76">
        <v>2714</v>
      </c>
      <c r="AH102" s="76">
        <v>16322</v>
      </c>
      <c r="AI102" s="76">
        <v>0</v>
      </c>
      <c r="AJ102" s="76">
        <v>16747</v>
      </c>
      <c r="AK102" s="76">
        <v>1637</v>
      </c>
      <c r="AL102" s="76" t="b">
        <v>0</v>
      </c>
      <c r="AM102" s="78">
        <v>40010.883206018516</v>
      </c>
      <c r="AN102" s="76" t="s">
        <v>24110</v>
      </c>
      <c r="AO102" s="76" t="s">
        <v>24801</v>
      </c>
      <c r="AP102" s="82" t="str">
        <f>HYPERLINK("https://t.co/NN2p5NiWXZ")</f>
        <v>https://t.co/NN2p5NiWXZ</v>
      </c>
      <c r="AQ102" s="82" t="str">
        <f>HYPERLINK("https://linktr.ee/arteduca")</f>
        <v>https://linktr.ee/arteduca</v>
      </c>
      <c r="AR102" s="76" t="s">
        <v>26421</v>
      </c>
      <c r="AS102" s="76"/>
      <c r="AT102" s="76"/>
      <c r="AU102" s="76"/>
      <c r="AV102" s="76">
        <v>8.8538059044236006E+17</v>
      </c>
      <c r="AW102" s="82" t="str">
        <f>HYPERLINK("https://t.co/NN2p5NiWXZ")</f>
        <v>https://t.co/NN2p5NiWXZ</v>
      </c>
      <c r="AX102" s="76" t="b">
        <v>0</v>
      </c>
      <c r="AY102" s="76"/>
      <c r="AZ102" s="76"/>
      <c r="BA102" s="76" t="b">
        <v>0</v>
      </c>
      <c r="BB102" s="76" t="b">
        <v>1</v>
      </c>
      <c r="BC102" s="76" t="b">
        <v>0</v>
      </c>
      <c r="BD102" s="76" t="b">
        <v>0</v>
      </c>
      <c r="BE102" s="76" t="b">
        <v>1</v>
      </c>
      <c r="BF102" s="76" t="b">
        <v>0</v>
      </c>
      <c r="BG102" s="76" t="b">
        <v>0</v>
      </c>
      <c r="BH102" s="82" t="str">
        <f>HYPERLINK("https://pbs.twimg.com/profile_banners/57448003/1687153847")</f>
        <v>https://pbs.twimg.com/profile_banners/57448003/1687153847</v>
      </c>
      <c r="BI102" s="76"/>
      <c r="BJ102" s="76" t="s">
        <v>27595</v>
      </c>
      <c r="BK102" s="76" t="b">
        <v>0</v>
      </c>
      <c r="BL102" s="76"/>
      <c r="BM102" s="76" t="s">
        <v>66</v>
      </c>
      <c r="BN102" s="76" t="s">
        <v>27597</v>
      </c>
      <c r="BO102" s="82" t="str">
        <f>HYPERLINK("https://twitter.com/sheilacampello")</f>
        <v>https://twitter.com/sheilacampello</v>
      </c>
      <c r="BP102" s="2"/>
    </row>
    <row r="103" spans="1:68" x14ac:dyDescent="0.25">
      <c r="A103" s="62" t="s">
        <v>291</v>
      </c>
      <c r="B103" s="63"/>
      <c r="C103" s="63"/>
      <c r="D103" s="64"/>
      <c r="E103" s="66"/>
      <c r="F103" s="103" t="str">
        <f>HYPERLINK("https://pbs.twimg.com/profile_images/1598074390666772492/E2FoghM4_normal.png")</f>
        <v>https://pbs.twimg.com/profile_images/1598074390666772492/E2FoghM4_normal.png</v>
      </c>
      <c r="G103" s="63"/>
      <c r="H103" s="67"/>
      <c r="I103" s="68"/>
      <c r="J103" s="68"/>
      <c r="K103" s="67" t="s">
        <v>27697</v>
      </c>
      <c r="L103" s="71"/>
      <c r="M103" s="72"/>
      <c r="N103" s="72"/>
      <c r="O103" s="73"/>
      <c r="P103" s="74"/>
      <c r="Q103" s="74"/>
      <c r="R103" s="87"/>
      <c r="S103" s="87"/>
      <c r="T103" s="87"/>
      <c r="U103" s="87"/>
      <c r="V103" s="48"/>
      <c r="W103" s="48"/>
      <c r="X103" s="48"/>
      <c r="Y103" s="48"/>
      <c r="Z103" s="47"/>
      <c r="AA103" s="69">
        <v>103</v>
      </c>
      <c r="AB103" s="69"/>
      <c r="AC103" s="70"/>
      <c r="AD103" s="76" t="s">
        <v>21348</v>
      </c>
      <c r="AE103" s="81" t="s">
        <v>20530</v>
      </c>
      <c r="AF103" s="76">
        <v>185</v>
      </c>
      <c r="AG103" s="76">
        <v>513</v>
      </c>
      <c r="AH103" s="76">
        <v>33387</v>
      </c>
      <c r="AI103" s="76">
        <v>2</v>
      </c>
      <c r="AJ103" s="76">
        <v>14101</v>
      </c>
      <c r="AK103" s="76">
        <v>500</v>
      </c>
      <c r="AL103" s="76" t="b">
        <v>0</v>
      </c>
      <c r="AM103" s="78">
        <v>44895.916655092595</v>
      </c>
      <c r="AN103" s="76"/>
      <c r="AO103" s="76"/>
      <c r="AP103" s="76"/>
      <c r="AQ103" s="76"/>
      <c r="AR103" s="76"/>
      <c r="AS103" s="76"/>
      <c r="AT103" s="76"/>
      <c r="AU103" s="76"/>
      <c r="AV103" s="76"/>
      <c r="AW103" s="76"/>
      <c r="AX103" s="76" t="b">
        <v>0</v>
      </c>
      <c r="AY103" s="76"/>
      <c r="AZ103" s="76"/>
      <c r="BA103" s="76" t="b">
        <v>1</v>
      </c>
      <c r="BB103" s="76" t="b">
        <v>1</v>
      </c>
      <c r="BC103" s="76" t="b">
        <v>1</v>
      </c>
      <c r="BD103" s="76" t="b">
        <v>0</v>
      </c>
      <c r="BE103" s="76" t="b">
        <v>0</v>
      </c>
      <c r="BF103" s="76" t="b">
        <v>0</v>
      </c>
      <c r="BG103" s="76" t="b">
        <v>1</v>
      </c>
      <c r="BH103" s="76"/>
      <c r="BI103" s="76" t="s">
        <v>27594</v>
      </c>
      <c r="BJ103" s="76" t="s">
        <v>27595</v>
      </c>
      <c r="BK103" s="76" t="b">
        <v>0</v>
      </c>
      <c r="BL103" s="76"/>
      <c r="BM103" s="76" t="s">
        <v>66</v>
      </c>
      <c r="BN103" s="76" t="s">
        <v>27597</v>
      </c>
      <c r="BO103" s="82" t="str">
        <f>HYPERLINK("https://twitter.com/maurici69926018")</f>
        <v>https://twitter.com/maurici69926018</v>
      </c>
      <c r="BP103" s="2"/>
    </row>
    <row r="104" spans="1:68" x14ac:dyDescent="0.25">
      <c r="A104" s="62" t="s">
        <v>712</v>
      </c>
      <c r="B104" s="63"/>
      <c r="C104" s="63"/>
      <c r="D104" s="64"/>
      <c r="E104" s="66"/>
      <c r="F104" s="103" t="str">
        <f>HYPERLINK("https://pbs.twimg.com/profile_images/1420305531374391296/2UITBCK2_normal.jpg")</f>
        <v>https://pbs.twimg.com/profile_images/1420305531374391296/2UITBCK2_normal.jpg</v>
      </c>
      <c r="G104" s="63"/>
      <c r="H104" s="67"/>
      <c r="I104" s="68"/>
      <c r="J104" s="68"/>
      <c r="K104" s="67" t="s">
        <v>27698</v>
      </c>
      <c r="L104" s="71"/>
      <c r="M104" s="72"/>
      <c r="N104" s="72"/>
      <c r="O104" s="73"/>
      <c r="P104" s="74"/>
      <c r="Q104" s="74"/>
      <c r="R104" s="87"/>
      <c r="S104" s="87"/>
      <c r="T104" s="87"/>
      <c r="U104" s="87"/>
      <c r="V104" s="48"/>
      <c r="W104" s="48"/>
      <c r="X104" s="48"/>
      <c r="Y104" s="48"/>
      <c r="Z104" s="47"/>
      <c r="AA104" s="69">
        <v>104</v>
      </c>
      <c r="AB104" s="69"/>
      <c r="AC104" s="70"/>
      <c r="AD104" s="76" t="s">
        <v>21349</v>
      </c>
      <c r="AE104" s="81" t="s">
        <v>20268</v>
      </c>
      <c r="AF104" s="76">
        <v>40270</v>
      </c>
      <c r="AG104" s="76">
        <v>19</v>
      </c>
      <c r="AH104" s="76">
        <v>2904</v>
      </c>
      <c r="AI104" s="76">
        <v>24</v>
      </c>
      <c r="AJ104" s="76">
        <v>170</v>
      </c>
      <c r="AK104" s="76">
        <v>1809</v>
      </c>
      <c r="AL104" s="76" t="b">
        <v>0</v>
      </c>
      <c r="AM104" s="78">
        <v>44405.365925925929</v>
      </c>
      <c r="AN104" s="76" t="s">
        <v>24111</v>
      </c>
      <c r="AO104" s="76" t="s">
        <v>24802</v>
      </c>
      <c r="AP104" s="82" t="str">
        <f>HYPERLINK("https://t.co/N5d8NO6T9Q")</f>
        <v>https://t.co/N5d8NO6T9Q</v>
      </c>
      <c r="AQ104" s="82" t="str">
        <f>HYPERLINK("https://shor.by/exnesslatam")</f>
        <v>https://shor.by/exnesslatam</v>
      </c>
      <c r="AR104" s="76" t="s">
        <v>26422</v>
      </c>
      <c r="AS104" s="76"/>
      <c r="AT104" s="76"/>
      <c r="AU104" s="76"/>
      <c r="AV104" s="76">
        <v>1.6790983883048699E+18</v>
      </c>
      <c r="AW104" s="82" t="str">
        <f>HYPERLINK("https://t.co/N5d8NO6T9Q")</f>
        <v>https://t.co/N5d8NO6T9Q</v>
      </c>
      <c r="AX104" s="76" t="b">
        <v>0</v>
      </c>
      <c r="AY104" s="76"/>
      <c r="AZ104" s="76"/>
      <c r="BA104" s="76" t="b">
        <v>0</v>
      </c>
      <c r="BB104" s="76" t="b">
        <v>1</v>
      </c>
      <c r="BC104" s="76" t="b">
        <v>1</v>
      </c>
      <c r="BD104" s="76" t="b">
        <v>0</v>
      </c>
      <c r="BE104" s="76" t="b">
        <v>0</v>
      </c>
      <c r="BF104" s="76" t="b">
        <v>0</v>
      </c>
      <c r="BG104" s="76" t="b">
        <v>0</v>
      </c>
      <c r="BH104" s="82" t="str">
        <f>HYPERLINK("https://pbs.twimg.com/profile_banners/1420303554498244611/1689164878")</f>
        <v>https://pbs.twimg.com/profile_banners/1420303554498244611/1689164878</v>
      </c>
      <c r="BI104" s="76"/>
      <c r="BJ104" s="76" t="s">
        <v>27595</v>
      </c>
      <c r="BK104" s="76" t="b">
        <v>0</v>
      </c>
      <c r="BL104" s="76"/>
      <c r="BM104" s="76" t="s">
        <v>66</v>
      </c>
      <c r="BN104" s="76" t="s">
        <v>27597</v>
      </c>
      <c r="BO104" s="82" t="str">
        <f>HYPERLINK("https://twitter.com/exnesslatam")</f>
        <v>https://twitter.com/exnesslatam</v>
      </c>
      <c r="BP104" s="2"/>
    </row>
    <row r="105" spans="1:68" x14ac:dyDescent="0.25">
      <c r="A105" s="62" t="s">
        <v>292</v>
      </c>
      <c r="B105" s="63"/>
      <c r="C105" s="63"/>
      <c r="D105" s="64"/>
      <c r="E105" s="66"/>
      <c r="F105" s="103" t="str">
        <f>HYPERLINK("https://pbs.twimg.com/profile_images/259985045/el_chapulin_colorado-blanconegro_normal.jpg")</f>
        <v>https://pbs.twimg.com/profile_images/259985045/el_chapulin_colorado-blanconegro_normal.jpg</v>
      </c>
      <c r="G105" s="63"/>
      <c r="H105" s="67"/>
      <c r="I105" s="68"/>
      <c r="J105" s="68"/>
      <c r="K105" s="67" t="s">
        <v>27699</v>
      </c>
      <c r="L105" s="71"/>
      <c r="M105" s="72"/>
      <c r="N105" s="72"/>
      <c r="O105" s="73"/>
      <c r="P105" s="74"/>
      <c r="Q105" s="74"/>
      <c r="R105" s="87"/>
      <c r="S105" s="87"/>
      <c r="T105" s="87"/>
      <c r="U105" s="87"/>
      <c r="V105" s="48"/>
      <c r="W105" s="48"/>
      <c r="X105" s="48"/>
      <c r="Y105" s="48"/>
      <c r="Z105" s="47"/>
      <c r="AA105" s="69">
        <v>105</v>
      </c>
      <c r="AB105" s="69"/>
      <c r="AC105" s="70"/>
      <c r="AD105" s="76" t="s">
        <v>21350</v>
      </c>
      <c r="AE105" s="81" t="s">
        <v>23117</v>
      </c>
      <c r="AF105" s="76">
        <v>15</v>
      </c>
      <c r="AG105" s="76">
        <v>96</v>
      </c>
      <c r="AH105" s="76">
        <v>110</v>
      </c>
      <c r="AI105" s="76">
        <v>0</v>
      </c>
      <c r="AJ105" s="76">
        <v>673</v>
      </c>
      <c r="AK105" s="76">
        <v>5</v>
      </c>
      <c r="AL105" s="76" t="b">
        <v>0</v>
      </c>
      <c r="AM105" s="78">
        <v>39955.614664351851</v>
      </c>
      <c r="AN105" s="76" t="s">
        <v>24112</v>
      </c>
      <c r="AO105" s="76"/>
      <c r="AP105" s="76"/>
      <c r="AQ105" s="76"/>
      <c r="AR105" s="76"/>
      <c r="AS105" s="76"/>
      <c r="AT105" s="76"/>
      <c r="AU105" s="76"/>
      <c r="AV105" s="76"/>
      <c r="AW105" s="76"/>
      <c r="AX105" s="76" t="b">
        <v>0</v>
      </c>
      <c r="AY105" s="76"/>
      <c r="AZ105" s="76"/>
      <c r="BA105" s="76" t="b">
        <v>0</v>
      </c>
      <c r="BB105" s="76" t="b">
        <v>1</v>
      </c>
      <c r="BC105" s="76" t="b">
        <v>0</v>
      </c>
      <c r="BD105" s="76" t="b">
        <v>0</v>
      </c>
      <c r="BE105" s="76" t="b">
        <v>1</v>
      </c>
      <c r="BF105" s="76" t="b">
        <v>0</v>
      </c>
      <c r="BG105" s="76" t="b">
        <v>0</v>
      </c>
      <c r="BH105" s="76"/>
      <c r="BI105" s="76"/>
      <c r="BJ105" s="76" t="s">
        <v>27595</v>
      </c>
      <c r="BK105" s="76" t="b">
        <v>0</v>
      </c>
      <c r="BL105" s="76"/>
      <c r="BM105" s="76" t="s">
        <v>66</v>
      </c>
      <c r="BN105" s="76" t="s">
        <v>27597</v>
      </c>
      <c r="BO105" s="82" t="str">
        <f>HYPERLINK("https://twitter.com/yinsss")</f>
        <v>https://twitter.com/yinsss</v>
      </c>
      <c r="BP105" s="2"/>
    </row>
    <row r="106" spans="1:68" x14ac:dyDescent="0.25">
      <c r="A106" s="62" t="s">
        <v>293</v>
      </c>
      <c r="B106" s="63"/>
      <c r="C106" s="63"/>
      <c r="D106" s="64"/>
      <c r="E106" s="66"/>
      <c r="F106" s="103" t="str">
        <f>HYPERLINK("https://pbs.twimg.com/profile_images/1630851556462477319/ip2MRaBa_normal.jpg")</f>
        <v>https://pbs.twimg.com/profile_images/1630851556462477319/ip2MRaBa_normal.jpg</v>
      </c>
      <c r="G106" s="63"/>
      <c r="H106" s="67"/>
      <c r="I106" s="68"/>
      <c r="J106" s="68"/>
      <c r="K106" s="67" t="s">
        <v>27700</v>
      </c>
      <c r="L106" s="71"/>
      <c r="M106" s="72"/>
      <c r="N106" s="72"/>
      <c r="O106" s="73"/>
      <c r="P106" s="74"/>
      <c r="Q106" s="74"/>
      <c r="R106" s="87"/>
      <c r="S106" s="87"/>
      <c r="T106" s="87"/>
      <c r="U106" s="87"/>
      <c r="V106" s="48"/>
      <c r="W106" s="48"/>
      <c r="X106" s="48"/>
      <c r="Y106" s="48"/>
      <c r="Z106" s="47"/>
      <c r="AA106" s="69">
        <v>106</v>
      </c>
      <c r="AB106" s="69"/>
      <c r="AC106" s="70"/>
      <c r="AD106" s="76" t="s">
        <v>21351</v>
      </c>
      <c r="AE106" s="81" t="s">
        <v>23118</v>
      </c>
      <c r="AF106" s="76">
        <v>8368</v>
      </c>
      <c r="AG106" s="76">
        <v>8560</v>
      </c>
      <c r="AH106" s="76">
        <v>3806</v>
      </c>
      <c r="AI106" s="76">
        <v>16</v>
      </c>
      <c r="AJ106" s="76">
        <v>11254</v>
      </c>
      <c r="AK106" s="76">
        <v>2273</v>
      </c>
      <c r="AL106" s="76" t="b">
        <v>0</v>
      </c>
      <c r="AM106" s="78">
        <v>40120.756782407407</v>
      </c>
      <c r="AN106" s="76" t="s">
        <v>24108</v>
      </c>
      <c r="AO106" s="76" t="s">
        <v>24803</v>
      </c>
      <c r="AP106" s="82" t="str">
        <f>HYPERLINK("https://t.co/vdhuoza4qx")</f>
        <v>https://t.co/vdhuoza4qx</v>
      </c>
      <c r="AQ106" s="82" t="str">
        <f>HYPERLINK("http://devaneiosdemarte.blogspot.com")</f>
        <v>http://devaneiosdemarte.blogspot.com</v>
      </c>
      <c r="AR106" s="76" t="s">
        <v>26423</v>
      </c>
      <c r="AS106" s="76"/>
      <c r="AT106" s="76"/>
      <c r="AU106" s="76"/>
      <c r="AV106" s="76"/>
      <c r="AW106" s="82" t="str">
        <f>HYPERLINK("https://t.co/vdhuoza4qx")</f>
        <v>https://t.co/vdhuoza4qx</v>
      </c>
      <c r="AX106" s="76" t="b">
        <v>0</v>
      </c>
      <c r="AY106" s="76"/>
      <c r="AZ106" s="76"/>
      <c r="BA106" s="76" t="b">
        <v>0</v>
      </c>
      <c r="BB106" s="76" t="b">
        <v>1</v>
      </c>
      <c r="BC106" s="76" t="b">
        <v>0</v>
      </c>
      <c r="BD106" s="76" t="b">
        <v>0</v>
      </c>
      <c r="BE106" s="76" t="b">
        <v>0</v>
      </c>
      <c r="BF106" s="76" t="b">
        <v>0</v>
      </c>
      <c r="BG106" s="76" t="b">
        <v>0</v>
      </c>
      <c r="BH106" s="82" t="str">
        <f>HYPERLINK("https://pbs.twimg.com/profile_banners/87247014/1567261030")</f>
        <v>https://pbs.twimg.com/profile_banners/87247014/1567261030</v>
      </c>
      <c r="BI106" s="76"/>
      <c r="BJ106" s="76" t="s">
        <v>27595</v>
      </c>
      <c r="BK106" s="76" t="b">
        <v>0</v>
      </c>
      <c r="BL106" s="76"/>
      <c r="BM106" s="76" t="s">
        <v>66</v>
      </c>
      <c r="BN106" s="76" t="s">
        <v>27597</v>
      </c>
      <c r="BO106" s="82" t="str">
        <f>HYPERLINK("https://twitter.com/marcionas")</f>
        <v>https://twitter.com/marcionas</v>
      </c>
      <c r="BP106" s="2"/>
    </row>
    <row r="107" spans="1:68" x14ac:dyDescent="0.25">
      <c r="A107" s="62" t="s">
        <v>294</v>
      </c>
      <c r="B107" s="63"/>
      <c r="C107" s="63"/>
      <c r="D107" s="64"/>
      <c r="E107" s="66"/>
      <c r="F107" s="103" t="str">
        <f>HYPERLINK("https://pbs.twimg.com/profile_images/1612313940603637763/1y_y0_dF_normal.jpg")</f>
        <v>https://pbs.twimg.com/profile_images/1612313940603637763/1y_y0_dF_normal.jpg</v>
      </c>
      <c r="G107" s="63"/>
      <c r="H107" s="67"/>
      <c r="I107" s="68"/>
      <c r="J107" s="68"/>
      <c r="K107" s="67" t="s">
        <v>27701</v>
      </c>
      <c r="L107" s="71"/>
      <c r="M107" s="72"/>
      <c r="N107" s="72"/>
      <c r="O107" s="73"/>
      <c r="P107" s="74"/>
      <c r="Q107" s="74"/>
      <c r="R107" s="87"/>
      <c r="S107" s="87"/>
      <c r="T107" s="87"/>
      <c r="U107" s="87"/>
      <c r="V107" s="48"/>
      <c r="W107" s="48"/>
      <c r="X107" s="48"/>
      <c r="Y107" s="48"/>
      <c r="Z107" s="47"/>
      <c r="AA107" s="69">
        <v>107</v>
      </c>
      <c r="AB107" s="69"/>
      <c r="AC107" s="70"/>
      <c r="AD107" s="76" t="s">
        <v>21352</v>
      </c>
      <c r="AE107" s="81" t="s">
        <v>20531</v>
      </c>
      <c r="AF107" s="76">
        <v>157</v>
      </c>
      <c r="AG107" s="76">
        <v>606</v>
      </c>
      <c r="AH107" s="76">
        <v>29276</v>
      </c>
      <c r="AI107" s="76">
        <v>3</v>
      </c>
      <c r="AJ107" s="76">
        <v>50454</v>
      </c>
      <c r="AK107" s="76">
        <v>23</v>
      </c>
      <c r="AL107" s="76" t="b">
        <v>0</v>
      </c>
      <c r="AM107" s="78">
        <v>44935.210335648146</v>
      </c>
      <c r="AN107" s="76"/>
      <c r="AO107" s="76"/>
      <c r="AP107" s="76"/>
      <c r="AQ107" s="76"/>
      <c r="AR107" s="76"/>
      <c r="AS107" s="76"/>
      <c r="AT107" s="76"/>
      <c r="AU107" s="76"/>
      <c r="AV107" s="76"/>
      <c r="AW107" s="76"/>
      <c r="AX107" s="76" t="b">
        <v>0</v>
      </c>
      <c r="AY107" s="76"/>
      <c r="AZ107" s="76"/>
      <c r="BA107" s="76" t="b">
        <v>0</v>
      </c>
      <c r="BB107" s="76" t="b">
        <v>1</v>
      </c>
      <c r="BC107" s="76" t="b">
        <v>1</v>
      </c>
      <c r="BD107" s="76" t="b">
        <v>0</v>
      </c>
      <c r="BE107" s="76" t="b">
        <v>0</v>
      </c>
      <c r="BF107" s="76" t="b">
        <v>0</v>
      </c>
      <c r="BG107" s="76" t="b">
        <v>0</v>
      </c>
      <c r="BH107" s="76"/>
      <c r="BI107" s="76"/>
      <c r="BJ107" s="76" t="s">
        <v>27595</v>
      </c>
      <c r="BK107" s="76" t="b">
        <v>0</v>
      </c>
      <c r="BL107" s="76"/>
      <c r="BM107" s="76" t="s">
        <v>66</v>
      </c>
      <c r="BN107" s="76" t="s">
        <v>27597</v>
      </c>
      <c r="BO107" s="82" t="str">
        <f>HYPERLINK("https://twitter.com/manhanibetto")</f>
        <v>https://twitter.com/manhanibetto</v>
      </c>
      <c r="BP107" s="2"/>
    </row>
    <row r="108" spans="1:68" x14ac:dyDescent="0.25">
      <c r="A108" s="62" t="s">
        <v>295</v>
      </c>
      <c r="B108" s="63"/>
      <c r="C108" s="63"/>
      <c r="D108" s="64"/>
      <c r="E108" s="66"/>
      <c r="F108" s="103" t="str">
        <f>HYPERLINK("https://pbs.twimg.com/profile_images/1704413498678149120/AyW7syFC_normal.jpg")</f>
        <v>https://pbs.twimg.com/profile_images/1704413498678149120/AyW7syFC_normal.jpg</v>
      </c>
      <c r="G108" s="63"/>
      <c r="H108" s="67"/>
      <c r="I108" s="68"/>
      <c r="J108" s="68"/>
      <c r="K108" s="67" t="s">
        <v>27702</v>
      </c>
      <c r="L108" s="71"/>
      <c r="M108" s="72"/>
      <c r="N108" s="72"/>
      <c r="O108" s="73"/>
      <c r="P108" s="74"/>
      <c r="Q108" s="74"/>
      <c r="R108" s="87"/>
      <c r="S108" s="87"/>
      <c r="T108" s="87"/>
      <c r="U108" s="87"/>
      <c r="V108" s="48"/>
      <c r="W108" s="48"/>
      <c r="X108" s="48"/>
      <c r="Y108" s="48"/>
      <c r="Z108" s="47"/>
      <c r="AA108" s="69">
        <v>108</v>
      </c>
      <c r="AB108" s="69"/>
      <c r="AC108" s="70"/>
      <c r="AD108" s="76" t="s">
        <v>21353</v>
      </c>
      <c r="AE108" s="81" t="s">
        <v>20532</v>
      </c>
      <c r="AF108" s="76">
        <v>22</v>
      </c>
      <c r="AG108" s="76">
        <v>216</v>
      </c>
      <c r="AH108" s="76">
        <v>3390</v>
      </c>
      <c r="AI108" s="76">
        <v>1</v>
      </c>
      <c r="AJ108" s="76">
        <v>525</v>
      </c>
      <c r="AK108" s="76">
        <v>1199</v>
      </c>
      <c r="AL108" s="76" t="b">
        <v>0</v>
      </c>
      <c r="AM108" s="78">
        <v>43804.400138888886</v>
      </c>
      <c r="AN108" s="76" t="s">
        <v>14388</v>
      </c>
      <c r="AO108" s="76" t="s">
        <v>24804</v>
      </c>
      <c r="AP108" s="76"/>
      <c r="AQ108" s="76"/>
      <c r="AR108" s="76"/>
      <c r="AS108" s="76"/>
      <c r="AT108" s="76"/>
      <c r="AU108" s="76"/>
      <c r="AV108" s="76"/>
      <c r="AW108" s="76"/>
      <c r="AX108" s="76" t="b">
        <v>0</v>
      </c>
      <c r="AY108" s="76"/>
      <c r="AZ108" s="76"/>
      <c r="BA108" s="76" t="b">
        <v>0</v>
      </c>
      <c r="BB108" s="76" t="b">
        <v>1</v>
      </c>
      <c r="BC108" s="76" t="b">
        <v>1</v>
      </c>
      <c r="BD108" s="76" t="b">
        <v>0</v>
      </c>
      <c r="BE108" s="76" t="b">
        <v>1</v>
      </c>
      <c r="BF108" s="76" t="b">
        <v>0</v>
      </c>
      <c r="BG108" s="76" t="b">
        <v>0</v>
      </c>
      <c r="BH108" s="82" t="str">
        <f>HYPERLINK("https://pbs.twimg.com/profile_banners/1202521988188844032/1695793598")</f>
        <v>https://pbs.twimg.com/profile_banners/1202521988188844032/1695793598</v>
      </c>
      <c r="BI108" s="76"/>
      <c r="BJ108" s="76" t="s">
        <v>27595</v>
      </c>
      <c r="BK108" s="76" t="b">
        <v>0</v>
      </c>
      <c r="BL108" s="76"/>
      <c r="BM108" s="76" t="s">
        <v>66</v>
      </c>
      <c r="BN108" s="76" t="s">
        <v>27597</v>
      </c>
      <c r="BO108" s="82" t="str">
        <f>HYPERLINK("https://twitter.com/marco36934747")</f>
        <v>https://twitter.com/marco36934747</v>
      </c>
      <c r="BP108" s="2"/>
    </row>
    <row r="109" spans="1:68" x14ac:dyDescent="0.25">
      <c r="A109" s="62" t="s">
        <v>296</v>
      </c>
      <c r="B109" s="63"/>
      <c r="C109" s="63"/>
      <c r="D109" s="64"/>
      <c r="E109" s="66"/>
      <c r="F109" s="103" t="str">
        <f>HYPERLINK("https://pbs.twimg.com/profile_images/1348593744531107842/V98lpVY7_normal.jpg")</f>
        <v>https://pbs.twimg.com/profile_images/1348593744531107842/V98lpVY7_normal.jpg</v>
      </c>
      <c r="G109" s="63"/>
      <c r="H109" s="67"/>
      <c r="I109" s="68"/>
      <c r="J109" s="68"/>
      <c r="K109" s="67" t="s">
        <v>27703</v>
      </c>
      <c r="L109" s="71"/>
      <c r="M109" s="72"/>
      <c r="N109" s="72"/>
      <c r="O109" s="73"/>
      <c r="P109" s="74"/>
      <c r="Q109" s="74"/>
      <c r="R109" s="87"/>
      <c r="S109" s="87"/>
      <c r="T109" s="87"/>
      <c r="U109" s="87"/>
      <c r="V109" s="48"/>
      <c r="W109" s="48"/>
      <c r="X109" s="48"/>
      <c r="Y109" s="48"/>
      <c r="Z109" s="47"/>
      <c r="AA109" s="69">
        <v>109</v>
      </c>
      <c r="AB109" s="69"/>
      <c r="AC109" s="70"/>
      <c r="AD109" s="76" t="s">
        <v>21354</v>
      </c>
      <c r="AE109" s="81" t="s">
        <v>20533</v>
      </c>
      <c r="AF109" s="76">
        <v>391</v>
      </c>
      <c r="AG109" s="76">
        <v>99</v>
      </c>
      <c r="AH109" s="76">
        <v>18392</v>
      </c>
      <c r="AI109" s="76">
        <v>1</v>
      </c>
      <c r="AJ109" s="76">
        <v>387</v>
      </c>
      <c r="AK109" s="76">
        <v>466</v>
      </c>
      <c r="AL109" s="76" t="b">
        <v>0</v>
      </c>
      <c r="AM109" s="78">
        <v>43407.684583333335</v>
      </c>
      <c r="AN109" s="76" t="s">
        <v>14423</v>
      </c>
      <c r="AO109" s="76" t="s">
        <v>24805</v>
      </c>
      <c r="AP109" s="82" t="str">
        <f>HYPERLINK("https://t.co/DeeLuGZ6ak")</f>
        <v>https://t.co/DeeLuGZ6ak</v>
      </c>
      <c r="AQ109" s="82" t="str">
        <f>HYPERLINK("http://www.0264noticias.com.ar")</f>
        <v>http://www.0264noticias.com.ar</v>
      </c>
      <c r="AR109" s="76" t="s">
        <v>26424</v>
      </c>
      <c r="AS109" s="76"/>
      <c r="AT109" s="76"/>
      <c r="AU109" s="76"/>
      <c r="AV109" s="76"/>
      <c r="AW109" s="82" t="str">
        <f>HYPERLINK("https://t.co/DeeLuGZ6ak")</f>
        <v>https://t.co/DeeLuGZ6ak</v>
      </c>
      <c r="AX109" s="76" t="b">
        <v>0</v>
      </c>
      <c r="AY109" s="76"/>
      <c r="AZ109" s="76"/>
      <c r="BA109" s="76" t="b">
        <v>1</v>
      </c>
      <c r="BB109" s="76" t="b">
        <v>1</v>
      </c>
      <c r="BC109" s="76" t="b">
        <v>1</v>
      </c>
      <c r="BD109" s="76" t="b">
        <v>0</v>
      </c>
      <c r="BE109" s="76" t="b">
        <v>1</v>
      </c>
      <c r="BF109" s="76" t="b">
        <v>0</v>
      </c>
      <c r="BG109" s="76" t="b">
        <v>0</v>
      </c>
      <c r="BH109" s="82" t="str">
        <f>HYPERLINK("https://pbs.twimg.com/profile_banners/1058757145225768961/1659044944")</f>
        <v>https://pbs.twimg.com/profile_banners/1058757145225768961/1659044944</v>
      </c>
      <c r="BI109" s="76"/>
      <c r="BJ109" s="76" t="s">
        <v>27595</v>
      </c>
      <c r="BK109" s="76" t="b">
        <v>0</v>
      </c>
      <c r="BL109" s="76"/>
      <c r="BM109" s="76" t="s">
        <v>66</v>
      </c>
      <c r="BN109" s="76" t="s">
        <v>27597</v>
      </c>
      <c r="BO109" s="82" t="str">
        <f>HYPERLINK("https://twitter.com/0264noticias")</f>
        <v>https://twitter.com/0264noticias</v>
      </c>
      <c r="BP109" s="2"/>
    </row>
    <row r="110" spans="1:68" x14ac:dyDescent="0.25">
      <c r="A110" s="62" t="s">
        <v>297</v>
      </c>
      <c r="B110" s="63"/>
      <c r="C110" s="63"/>
      <c r="D110" s="64"/>
      <c r="E110" s="66"/>
      <c r="F110" s="103" t="str">
        <f>HYPERLINK("https://pbs.twimg.com/profile_images/1672259016016252929/djD3a0cc_normal.jpg")</f>
        <v>https://pbs.twimg.com/profile_images/1672259016016252929/djD3a0cc_normal.jpg</v>
      </c>
      <c r="G110" s="63"/>
      <c r="H110" s="67"/>
      <c r="I110" s="68"/>
      <c r="J110" s="68"/>
      <c r="K110" s="67" t="s">
        <v>27704</v>
      </c>
      <c r="L110" s="71"/>
      <c r="M110" s="72"/>
      <c r="N110" s="72"/>
      <c r="O110" s="73"/>
      <c r="P110" s="74"/>
      <c r="Q110" s="74"/>
      <c r="R110" s="87"/>
      <c r="S110" s="87"/>
      <c r="T110" s="87"/>
      <c r="U110" s="87"/>
      <c r="V110" s="48"/>
      <c r="W110" s="48"/>
      <c r="X110" s="48"/>
      <c r="Y110" s="48"/>
      <c r="Z110" s="47"/>
      <c r="AA110" s="69">
        <v>110</v>
      </c>
      <c r="AB110" s="69"/>
      <c r="AC110" s="70"/>
      <c r="AD110" s="76" t="s">
        <v>21355</v>
      </c>
      <c r="AE110" s="81" t="s">
        <v>20534</v>
      </c>
      <c r="AF110" s="76">
        <v>0</v>
      </c>
      <c r="AG110" s="76">
        <v>80</v>
      </c>
      <c r="AH110" s="76">
        <v>87</v>
      </c>
      <c r="AI110" s="76">
        <v>0</v>
      </c>
      <c r="AJ110" s="76">
        <v>177</v>
      </c>
      <c r="AK110" s="76">
        <v>3</v>
      </c>
      <c r="AL110" s="76" t="b">
        <v>0</v>
      </c>
      <c r="AM110" s="78">
        <v>45062.767974537041</v>
      </c>
      <c r="AN110" s="76"/>
      <c r="AO110" s="76"/>
      <c r="AP110" s="76"/>
      <c r="AQ110" s="76"/>
      <c r="AR110" s="76"/>
      <c r="AS110" s="76"/>
      <c r="AT110" s="76"/>
      <c r="AU110" s="76"/>
      <c r="AV110" s="76"/>
      <c r="AW110" s="76"/>
      <c r="AX110" s="76" t="b">
        <v>0</v>
      </c>
      <c r="AY110" s="76"/>
      <c r="AZ110" s="76"/>
      <c r="BA110" s="76" t="b">
        <v>1</v>
      </c>
      <c r="BB110" s="76" t="b">
        <v>1</v>
      </c>
      <c r="BC110" s="76" t="b">
        <v>1</v>
      </c>
      <c r="BD110" s="76" t="b">
        <v>0</v>
      </c>
      <c r="BE110" s="76" t="b">
        <v>0</v>
      </c>
      <c r="BF110" s="76" t="b">
        <v>0</v>
      </c>
      <c r="BG110" s="76" t="b">
        <v>0</v>
      </c>
      <c r="BH110" s="82" t="str">
        <f>HYPERLINK("https://pbs.twimg.com/profile_banners/1658539240840470529/1684262948")</f>
        <v>https://pbs.twimg.com/profile_banners/1658539240840470529/1684262948</v>
      </c>
      <c r="BI110" s="76"/>
      <c r="BJ110" s="76" t="s">
        <v>27595</v>
      </c>
      <c r="BK110" s="76" t="b">
        <v>0</v>
      </c>
      <c r="BL110" s="76"/>
      <c r="BM110" s="76" t="s">
        <v>66</v>
      </c>
      <c r="BN110" s="76" t="s">
        <v>27597</v>
      </c>
      <c r="BO110" s="82" t="str">
        <f>HYPERLINK("https://twitter.com/ronivonsx")</f>
        <v>https://twitter.com/ronivonsx</v>
      </c>
      <c r="BP110" s="2"/>
    </row>
    <row r="111" spans="1:68" x14ac:dyDescent="0.25">
      <c r="A111" s="62" t="s">
        <v>298</v>
      </c>
      <c r="B111" s="63"/>
      <c r="C111" s="63"/>
      <c r="D111" s="64"/>
      <c r="E111" s="66"/>
      <c r="F111" s="103" t="str">
        <f>HYPERLINK("https://pbs.twimg.com/profile_images/1665083081374457858/1Njbxkn3_normal.jpg")</f>
        <v>https://pbs.twimg.com/profile_images/1665083081374457858/1Njbxkn3_normal.jpg</v>
      </c>
      <c r="G111" s="63"/>
      <c r="H111" s="67"/>
      <c r="I111" s="68"/>
      <c r="J111" s="68"/>
      <c r="K111" s="67" t="s">
        <v>27705</v>
      </c>
      <c r="L111" s="71"/>
      <c r="M111" s="72"/>
      <c r="N111" s="72"/>
      <c r="O111" s="73"/>
      <c r="P111" s="74"/>
      <c r="Q111" s="74"/>
      <c r="R111" s="87"/>
      <c r="S111" s="87"/>
      <c r="T111" s="87"/>
      <c r="U111" s="87"/>
      <c r="V111" s="48"/>
      <c r="W111" s="48"/>
      <c r="X111" s="48"/>
      <c r="Y111" s="48"/>
      <c r="Z111" s="47"/>
      <c r="AA111" s="69">
        <v>111</v>
      </c>
      <c r="AB111" s="69"/>
      <c r="AC111" s="70"/>
      <c r="AD111" s="76" t="s">
        <v>21356</v>
      </c>
      <c r="AE111" s="81" t="s">
        <v>20535</v>
      </c>
      <c r="AF111" s="76">
        <v>41</v>
      </c>
      <c r="AG111" s="76">
        <v>88</v>
      </c>
      <c r="AH111" s="76">
        <v>70</v>
      </c>
      <c r="AI111" s="76">
        <v>0</v>
      </c>
      <c r="AJ111" s="76">
        <v>390</v>
      </c>
      <c r="AK111" s="76">
        <v>17</v>
      </c>
      <c r="AL111" s="76" t="b">
        <v>0</v>
      </c>
      <c r="AM111" s="78">
        <v>45078.046701388892</v>
      </c>
      <c r="AN111" s="76" t="s">
        <v>24113</v>
      </c>
      <c r="AO111" s="76" t="s">
        <v>24806</v>
      </c>
      <c r="AP111" s="82" t="str">
        <f>HYPERLINK("https://t.co/9CIX6ATu0s")</f>
        <v>https://t.co/9CIX6ATu0s</v>
      </c>
      <c r="AQ111" s="82" t="str">
        <f>HYPERLINK("https://instagram.com/jesi_pl_?igshid=MzNlNGNkZWQ4Mg==")</f>
        <v>https://instagram.com/jesi_pl_?igshid=MzNlNGNkZWQ4Mg==</v>
      </c>
      <c r="AR111" s="76" t="s">
        <v>26425</v>
      </c>
      <c r="AS111" s="76"/>
      <c r="AT111" s="76"/>
      <c r="AU111" s="76"/>
      <c r="AV111" s="76"/>
      <c r="AW111" s="82" t="str">
        <f>HYPERLINK("https://t.co/9CIX6ATu0s")</f>
        <v>https://t.co/9CIX6ATu0s</v>
      </c>
      <c r="AX111" s="76" t="b">
        <v>0</v>
      </c>
      <c r="AY111" s="76"/>
      <c r="AZ111" s="76"/>
      <c r="BA111" s="76" t="b">
        <v>0</v>
      </c>
      <c r="BB111" s="76" t="b">
        <v>1</v>
      </c>
      <c r="BC111" s="76" t="b">
        <v>1</v>
      </c>
      <c r="BD111" s="76" t="b">
        <v>0</v>
      </c>
      <c r="BE111" s="76" t="b">
        <v>0</v>
      </c>
      <c r="BF111" s="76" t="b">
        <v>0</v>
      </c>
      <c r="BG111" s="76" t="b">
        <v>0</v>
      </c>
      <c r="BH111" s="82" t="str">
        <f>HYPERLINK("https://pbs.twimg.com/profile_banners/1664076062572138498/1685822485")</f>
        <v>https://pbs.twimg.com/profile_banners/1664076062572138498/1685822485</v>
      </c>
      <c r="BI111" s="76"/>
      <c r="BJ111" s="76" t="s">
        <v>27595</v>
      </c>
      <c r="BK111" s="76" t="b">
        <v>0</v>
      </c>
      <c r="BL111" s="76"/>
      <c r="BM111" s="76" t="s">
        <v>66</v>
      </c>
      <c r="BN111" s="76" t="s">
        <v>27597</v>
      </c>
      <c r="BO111" s="82" t="str">
        <f>HYPERLINK("https://twitter.com/jesica_starck_")</f>
        <v>https://twitter.com/jesica_starck_</v>
      </c>
      <c r="BP111" s="2"/>
    </row>
    <row r="112" spans="1:68" x14ac:dyDescent="0.25">
      <c r="A112" s="62" t="s">
        <v>1717</v>
      </c>
      <c r="B112" s="63"/>
      <c r="C112" s="63"/>
      <c r="D112" s="64"/>
      <c r="E112" s="66"/>
      <c r="F112" s="103" t="str">
        <f>HYPERLINK("https://pbs.twimg.com/profile_images/1536853415682355200/oiU3vKlv_normal.jpg")</f>
        <v>https://pbs.twimg.com/profile_images/1536853415682355200/oiU3vKlv_normal.jpg</v>
      </c>
      <c r="G112" s="63"/>
      <c r="H112" s="67"/>
      <c r="I112" s="68"/>
      <c r="J112" s="68"/>
      <c r="K112" s="67" t="s">
        <v>27706</v>
      </c>
      <c r="L112" s="71"/>
      <c r="M112" s="72"/>
      <c r="N112" s="72"/>
      <c r="O112" s="73"/>
      <c r="P112" s="74"/>
      <c r="Q112" s="74"/>
      <c r="R112" s="87"/>
      <c r="S112" s="87"/>
      <c r="T112" s="87"/>
      <c r="U112" s="87"/>
      <c r="V112" s="48"/>
      <c r="W112" s="48"/>
      <c r="X112" s="48"/>
      <c r="Y112" s="48"/>
      <c r="Z112" s="47"/>
      <c r="AA112" s="69">
        <v>112</v>
      </c>
      <c r="AB112" s="69"/>
      <c r="AC112" s="70"/>
      <c r="AD112" s="76" t="s">
        <v>21357</v>
      </c>
      <c r="AE112" s="81" t="s">
        <v>23119</v>
      </c>
      <c r="AF112" s="76">
        <v>1944</v>
      </c>
      <c r="AG112" s="76">
        <v>406</v>
      </c>
      <c r="AH112" s="76">
        <v>2577</v>
      </c>
      <c r="AI112" s="76">
        <v>4</v>
      </c>
      <c r="AJ112" s="76">
        <v>3563</v>
      </c>
      <c r="AK112" s="76">
        <v>99</v>
      </c>
      <c r="AL112" s="76" t="b">
        <v>0</v>
      </c>
      <c r="AM112" s="78">
        <v>40907.624722222223</v>
      </c>
      <c r="AN112" s="76"/>
      <c r="AO112" s="76" t="s">
        <v>24807</v>
      </c>
      <c r="AP112" s="82" t="str">
        <f>HYPERLINK("https://t.co/wgezgQXXUt")</f>
        <v>https://t.co/wgezgQXXUt</v>
      </c>
      <c r="AQ112" s="82" t="str">
        <f>HYPERLINK("https://instagram.com/jbouttet?igshid=YmMyMTA2M2Y=")</f>
        <v>https://instagram.com/jbouttet?igshid=YmMyMTA2M2Y=</v>
      </c>
      <c r="AR112" s="76" t="s">
        <v>26426</v>
      </c>
      <c r="AS112" s="76"/>
      <c r="AT112" s="76"/>
      <c r="AU112" s="76"/>
      <c r="AV112" s="76">
        <v>1.56771000341859E+18</v>
      </c>
      <c r="AW112" s="82" t="str">
        <f>HYPERLINK("https://t.co/wgezgQXXUt")</f>
        <v>https://t.co/wgezgQXXUt</v>
      </c>
      <c r="AX112" s="76" t="b">
        <v>1</v>
      </c>
      <c r="AY112" s="76"/>
      <c r="AZ112" s="76"/>
      <c r="BA112" s="76" t="b">
        <v>0</v>
      </c>
      <c r="BB112" s="76" t="b">
        <v>0</v>
      </c>
      <c r="BC112" s="76" t="b">
        <v>0</v>
      </c>
      <c r="BD112" s="76" t="b">
        <v>0</v>
      </c>
      <c r="BE112" s="76" t="b">
        <v>1</v>
      </c>
      <c r="BF112" s="76" t="b">
        <v>0</v>
      </c>
      <c r="BG112" s="76" t="b">
        <v>0</v>
      </c>
      <c r="BH112" s="82" t="str">
        <f>HYPERLINK("https://pbs.twimg.com/profile_banners/450691437/1692036436")</f>
        <v>https://pbs.twimg.com/profile_banners/450691437/1692036436</v>
      </c>
      <c r="BI112" s="76"/>
      <c r="BJ112" s="76" t="s">
        <v>27596</v>
      </c>
      <c r="BK112" s="76" t="b">
        <v>0</v>
      </c>
      <c r="BL112" s="76"/>
      <c r="BM112" s="76" t="s">
        <v>65</v>
      </c>
      <c r="BN112" s="76" t="s">
        <v>27597</v>
      </c>
      <c r="BO112" s="82" t="str">
        <f>HYPERLINK("https://twitter.com/jbouttet")</f>
        <v>https://twitter.com/jbouttet</v>
      </c>
      <c r="BP112" s="2"/>
    </row>
    <row r="113" spans="1:68" x14ac:dyDescent="0.25">
      <c r="A113" s="62" t="s">
        <v>1718</v>
      </c>
      <c r="B113" s="63"/>
      <c r="C113" s="63"/>
      <c r="D113" s="64"/>
      <c r="E113" s="66"/>
      <c r="F113" s="103" t="str">
        <f>HYPERLINK("https://pbs.twimg.com/profile_images/1625130411704610819/fFhIN0-x_normal.jpg")</f>
        <v>https://pbs.twimg.com/profile_images/1625130411704610819/fFhIN0-x_normal.jpg</v>
      </c>
      <c r="G113" s="63"/>
      <c r="H113" s="67"/>
      <c r="I113" s="68"/>
      <c r="J113" s="68"/>
      <c r="K113" s="67" t="s">
        <v>27707</v>
      </c>
      <c r="L113" s="71"/>
      <c r="M113" s="72"/>
      <c r="N113" s="72"/>
      <c r="O113" s="73"/>
      <c r="P113" s="74"/>
      <c r="Q113" s="74"/>
      <c r="R113" s="87"/>
      <c r="S113" s="87"/>
      <c r="T113" s="87"/>
      <c r="U113" s="87"/>
      <c r="V113" s="48"/>
      <c r="W113" s="48"/>
      <c r="X113" s="48"/>
      <c r="Y113" s="48"/>
      <c r="Z113" s="47"/>
      <c r="AA113" s="69">
        <v>113</v>
      </c>
      <c r="AB113" s="69"/>
      <c r="AC113" s="70"/>
      <c r="AD113" s="76" t="s">
        <v>21358</v>
      </c>
      <c r="AE113" s="81" t="s">
        <v>23120</v>
      </c>
      <c r="AF113" s="76">
        <v>246</v>
      </c>
      <c r="AG113" s="76">
        <v>42</v>
      </c>
      <c r="AH113" s="76">
        <v>54</v>
      </c>
      <c r="AI113" s="76">
        <v>0</v>
      </c>
      <c r="AJ113" s="76">
        <v>75</v>
      </c>
      <c r="AK113" s="76">
        <v>19</v>
      </c>
      <c r="AL113" s="76" t="b">
        <v>0</v>
      </c>
      <c r="AM113" s="78">
        <v>44694.719884259262</v>
      </c>
      <c r="AN113" s="76"/>
      <c r="AO113" s="76" t="s">
        <v>24808</v>
      </c>
      <c r="AP113" s="82" t="str">
        <f>HYPERLINK("https://t.co/zaWTaD12sp")</f>
        <v>https://t.co/zaWTaD12sp</v>
      </c>
      <c r="AQ113" s="82" t="str">
        <f>HYPERLINK("https://forms.gle/rw6dQUiJ2ARBa9j5A")</f>
        <v>https://forms.gle/rw6dQUiJ2ARBa9j5A</v>
      </c>
      <c r="AR113" s="76" t="s">
        <v>26427</v>
      </c>
      <c r="AS113" s="76"/>
      <c r="AT113" s="76"/>
      <c r="AU113" s="76"/>
      <c r="AV113" s="76">
        <v>1.6325170043293499E+18</v>
      </c>
      <c r="AW113" s="82" t="str">
        <f>HYPERLINK("https://t.co/zaWTaD12sp")</f>
        <v>https://t.co/zaWTaD12sp</v>
      </c>
      <c r="AX113" s="76" t="b">
        <v>0</v>
      </c>
      <c r="AY113" s="76"/>
      <c r="AZ113" s="76"/>
      <c r="BA113" s="76" t="b">
        <v>0</v>
      </c>
      <c r="BB113" s="76" t="b">
        <v>1</v>
      </c>
      <c r="BC113" s="76" t="b">
        <v>1</v>
      </c>
      <c r="BD113" s="76" t="b">
        <v>0</v>
      </c>
      <c r="BE113" s="76" t="b">
        <v>0</v>
      </c>
      <c r="BF113" s="76" t="b">
        <v>0</v>
      </c>
      <c r="BG113" s="76" t="b">
        <v>0</v>
      </c>
      <c r="BH113" s="82" t="str">
        <f>HYPERLINK("https://pbs.twimg.com/profile_banners/1525163026793521152/1676296271")</f>
        <v>https://pbs.twimg.com/profile_banners/1525163026793521152/1676296271</v>
      </c>
      <c r="BI113" s="76"/>
      <c r="BJ113" s="76" t="s">
        <v>27595</v>
      </c>
      <c r="BK113" s="76" t="b">
        <v>0</v>
      </c>
      <c r="BL113" s="76"/>
      <c r="BM113" s="76" t="s">
        <v>65</v>
      </c>
      <c r="BN113" s="76" t="s">
        <v>27597</v>
      </c>
      <c r="BO113" s="82" t="str">
        <f>HYPERLINK("https://twitter.com/jlibertariacaba")</f>
        <v>https://twitter.com/jlibertariacaba</v>
      </c>
      <c r="BP113" s="2"/>
    </row>
    <row r="114" spans="1:68" x14ac:dyDescent="0.25">
      <c r="A114" s="62" t="s">
        <v>299</v>
      </c>
      <c r="B114" s="63"/>
      <c r="C114" s="63"/>
      <c r="D114" s="64"/>
      <c r="E114" s="66"/>
      <c r="F114" s="103" t="str">
        <f>HYPERLINK("https://pbs.twimg.com/profile_images/1191061047492382722/ZLZOakVL_normal.jpg")</f>
        <v>https://pbs.twimg.com/profile_images/1191061047492382722/ZLZOakVL_normal.jpg</v>
      </c>
      <c r="G114" s="63"/>
      <c r="H114" s="67"/>
      <c r="I114" s="68"/>
      <c r="J114" s="68"/>
      <c r="K114" s="67" t="s">
        <v>27708</v>
      </c>
      <c r="L114" s="71"/>
      <c r="M114" s="72"/>
      <c r="N114" s="72"/>
      <c r="O114" s="73"/>
      <c r="P114" s="74"/>
      <c r="Q114" s="74"/>
      <c r="R114" s="87"/>
      <c r="S114" s="87"/>
      <c r="T114" s="87"/>
      <c r="U114" s="87"/>
      <c r="V114" s="48"/>
      <c r="W114" s="48"/>
      <c r="X114" s="48"/>
      <c r="Y114" s="48"/>
      <c r="Z114" s="47"/>
      <c r="AA114" s="69">
        <v>114</v>
      </c>
      <c r="AB114" s="69"/>
      <c r="AC114" s="70"/>
      <c r="AD114" s="76" t="s">
        <v>21359</v>
      </c>
      <c r="AE114" s="81" t="s">
        <v>23121</v>
      </c>
      <c r="AF114" s="76">
        <v>1558</v>
      </c>
      <c r="AG114" s="76">
        <v>581</v>
      </c>
      <c r="AH114" s="76">
        <v>64241</v>
      </c>
      <c r="AI114" s="76">
        <v>5</v>
      </c>
      <c r="AJ114" s="76">
        <v>60550</v>
      </c>
      <c r="AK114" s="76">
        <v>3970</v>
      </c>
      <c r="AL114" s="76" t="b">
        <v>0</v>
      </c>
      <c r="AM114" s="78">
        <v>40078.318229166667</v>
      </c>
      <c r="AN114" s="76" t="s">
        <v>24114</v>
      </c>
      <c r="AO114" s="76"/>
      <c r="AP114" s="82" t="str">
        <f>HYPERLINK("https://t.co/5RNs5xcavn")</f>
        <v>https://t.co/5RNs5xcavn</v>
      </c>
      <c r="AQ114" s="82" t="str">
        <f>HYPERLINK("http://www.instagram.com/gonalb")</f>
        <v>http://www.instagram.com/gonalb</v>
      </c>
      <c r="AR114" s="76" t="s">
        <v>26428</v>
      </c>
      <c r="AS114" s="76"/>
      <c r="AT114" s="76"/>
      <c r="AU114" s="76"/>
      <c r="AV114" s="76">
        <v>5.1066005371695898E+17</v>
      </c>
      <c r="AW114" s="82" t="str">
        <f>HYPERLINK("https://t.co/5RNs5xcavn")</f>
        <v>https://t.co/5RNs5xcavn</v>
      </c>
      <c r="AX114" s="76" t="b">
        <v>0</v>
      </c>
      <c r="AY114" s="76"/>
      <c r="AZ114" s="76"/>
      <c r="BA114" s="76" t="b">
        <v>0</v>
      </c>
      <c r="BB114" s="76" t="b">
        <v>1</v>
      </c>
      <c r="BC114" s="76" t="b">
        <v>0</v>
      </c>
      <c r="BD114" s="76" t="b">
        <v>0</v>
      </c>
      <c r="BE114" s="76" t="b">
        <v>1</v>
      </c>
      <c r="BF114" s="76" t="b">
        <v>0</v>
      </c>
      <c r="BG114" s="76" t="b">
        <v>0</v>
      </c>
      <c r="BH114" s="82" t="str">
        <f>HYPERLINK("https://pbs.twimg.com/profile_banners/76277286/1587362204")</f>
        <v>https://pbs.twimg.com/profile_banners/76277286/1587362204</v>
      </c>
      <c r="BI114" s="76"/>
      <c r="BJ114" s="76" t="s">
        <v>27595</v>
      </c>
      <c r="BK114" s="76" t="b">
        <v>0</v>
      </c>
      <c r="BL114" s="76"/>
      <c r="BM114" s="76" t="s">
        <v>66</v>
      </c>
      <c r="BN114" s="76" t="s">
        <v>27597</v>
      </c>
      <c r="BO114" s="82" t="str">
        <f>HYPERLINK("https://twitter.com/gontwiter")</f>
        <v>https://twitter.com/gontwiter</v>
      </c>
      <c r="BP114" s="2"/>
    </row>
    <row r="115" spans="1:68" x14ac:dyDescent="0.25">
      <c r="A115" s="62" t="s">
        <v>300</v>
      </c>
      <c r="B115" s="63"/>
      <c r="C115" s="63"/>
      <c r="D115" s="64"/>
      <c r="E115" s="66"/>
      <c r="F115" s="103" t="str">
        <f>HYPERLINK("https://pbs.twimg.com/profile_images/1663537505428201479/TjT2amxq_normal.jpg")</f>
        <v>https://pbs.twimg.com/profile_images/1663537505428201479/TjT2amxq_normal.jpg</v>
      </c>
      <c r="G115" s="63"/>
      <c r="H115" s="67"/>
      <c r="I115" s="68"/>
      <c r="J115" s="68"/>
      <c r="K115" s="67" t="s">
        <v>27709</v>
      </c>
      <c r="L115" s="71"/>
      <c r="M115" s="72"/>
      <c r="N115" s="72"/>
      <c r="O115" s="73"/>
      <c r="P115" s="74"/>
      <c r="Q115" s="74"/>
      <c r="R115" s="87"/>
      <c r="S115" s="87"/>
      <c r="T115" s="87"/>
      <c r="U115" s="87"/>
      <c r="V115" s="48"/>
      <c r="W115" s="48"/>
      <c r="X115" s="48"/>
      <c r="Y115" s="48"/>
      <c r="Z115" s="47"/>
      <c r="AA115" s="69">
        <v>115</v>
      </c>
      <c r="AB115" s="69"/>
      <c r="AC115" s="70"/>
      <c r="AD115" s="76" t="s">
        <v>21360</v>
      </c>
      <c r="AE115" s="81" t="s">
        <v>20221</v>
      </c>
      <c r="AF115" s="76">
        <v>26</v>
      </c>
      <c r="AG115" s="76">
        <v>78</v>
      </c>
      <c r="AH115" s="76">
        <v>182</v>
      </c>
      <c r="AI115" s="76">
        <v>0</v>
      </c>
      <c r="AJ115" s="76">
        <v>178</v>
      </c>
      <c r="AK115" s="76">
        <v>22</v>
      </c>
      <c r="AL115" s="76" t="b">
        <v>0</v>
      </c>
      <c r="AM115" s="78">
        <v>45076.55</v>
      </c>
      <c r="AN115" s="76"/>
      <c r="AO115" s="76" t="s">
        <v>24809</v>
      </c>
      <c r="AP115" s="82" t="str">
        <f>HYPERLINK("https://t.co/kfHb1hfcPO")</f>
        <v>https://t.co/kfHb1hfcPO</v>
      </c>
      <c r="AQ115" s="82" t="str">
        <f>HYPERLINK("https://www.linkedin.com/in/laurenyssantana/")</f>
        <v>https://www.linkedin.com/in/laurenyssantana/</v>
      </c>
      <c r="AR115" s="76" t="s">
        <v>26429</v>
      </c>
      <c r="AS115" s="76"/>
      <c r="AT115" s="76"/>
      <c r="AU115" s="76"/>
      <c r="AV115" s="76"/>
      <c r="AW115" s="82" t="str">
        <f>HYPERLINK("https://t.co/kfHb1hfcPO")</f>
        <v>https://t.co/kfHb1hfcPO</v>
      </c>
      <c r="AX115" s="76" t="b">
        <v>0</v>
      </c>
      <c r="AY115" s="76"/>
      <c r="AZ115" s="76"/>
      <c r="BA115" s="76" t="b">
        <v>0</v>
      </c>
      <c r="BB115" s="76" t="b">
        <v>1</v>
      </c>
      <c r="BC115" s="76" t="b">
        <v>1</v>
      </c>
      <c r="BD115" s="76" t="b">
        <v>0</v>
      </c>
      <c r="BE115" s="76" t="b">
        <v>0</v>
      </c>
      <c r="BF115" s="76" t="b">
        <v>0</v>
      </c>
      <c r="BG115" s="76" t="b">
        <v>0</v>
      </c>
      <c r="BH115" s="82" t="str">
        <f>HYPERLINK("https://pbs.twimg.com/profile_banners/1663533648174260226/1685453223")</f>
        <v>https://pbs.twimg.com/profile_banners/1663533648174260226/1685453223</v>
      </c>
      <c r="BI115" s="76"/>
      <c r="BJ115" s="76" t="s">
        <v>27595</v>
      </c>
      <c r="BK115" s="76" t="b">
        <v>0</v>
      </c>
      <c r="BL115" s="76"/>
      <c r="BM115" s="76" t="s">
        <v>66</v>
      </c>
      <c r="BN115" s="76" t="s">
        <v>27597</v>
      </c>
      <c r="BO115" s="82" t="str">
        <f>HYPERLINK("https://twitter.com/lausanhil")</f>
        <v>https://twitter.com/lausanhil</v>
      </c>
      <c r="BP115" s="2"/>
    </row>
    <row r="116" spans="1:68" x14ac:dyDescent="0.25">
      <c r="A116" s="62" t="s">
        <v>301</v>
      </c>
      <c r="B116" s="63"/>
      <c r="C116" s="63"/>
      <c r="D116" s="64"/>
      <c r="E116" s="66"/>
      <c r="F116" s="103" t="str">
        <f>HYPERLINK("https://pbs.twimg.com/profile_images/1651973175142490112/0RN-7D7K_normal.jpg")</f>
        <v>https://pbs.twimg.com/profile_images/1651973175142490112/0RN-7D7K_normal.jpg</v>
      </c>
      <c r="G116" s="63"/>
      <c r="H116" s="67"/>
      <c r="I116" s="68"/>
      <c r="J116" s="68"/>
      <c r="K116" s="67" t="s">
        <v>27710</v>
      </c>
      <c r="L116" s="71"/>
      <c r="M116" s="72"/>
      <c r="N116" s="72"/>
      <c r="O116" s="73"/>
      <c r="P116" s="74"/>
      <c r="Q116" s="74"/>
      <c r="R116" s="87"/>
      <c r="S116" s="87"/>
      <c r="T116" s="87"/>
      <c r="U116" s="87"/>
      <c r="V116" s="48"/>
      <c r="W116" s="48"/>
      <c r="X116" s="48"/>
      <c r="Y116" s="48"/>
      <c r="Z116" s="47"/>
      <c r="AA116" s="69">
        <v>116</v>
      </c>
      <c r="AB116" s="69"/>
      <c r="AC116" s="70"/>
      <c r="AD116" s="76" t="s">
        <v>21361</v>
      </c>
      <c r="AE116" s="81" t="s">
        <v>20536</v>
      </c>
      <c r="AF116" s="76">
        <v>463</v>
      </c>
      <c r="AG116" s="76">
        <v>1327</v>
      </c>
      <c r="AH116" s="76">
        <v>6609</v>
      </c>
      <c r="AI116" s="76">
        <v>0</v>
      </c>
      <c r="AJ116" s="76">
        <v>14105</v>
      </c>
      <c r="AK116" s="76">
        <v>0</v>
      </c>
      <c r="AL116" s="76" t="b">
        <v>0</v>
      </c>
      <c r="AM116" s="78">
        <v>45044.648541666669</v>
      </c>
      <c r="AN116" s="76"/>
      <c r="AO116" s="76"/>
      <c r="AP116" s="76"/>
      <c r="AQ116" s="76"/>
      <c r="AR116" s="76"/>
      <c r="AS116" s="76"/>
      <c r="AT116" s="76"/>
      <c r="AU116" s="76"/>
      <c r="AV116" s="76"/>
      <c r="AW116" s="76"/>
      <c r="AX116" s="76" t="b">
        <v>0</v>
      </c>
      <c r="AY116" s="76"/>
      <c r="AZ116" s="76"/>
      <c r="BA116" s="76" t="b">
        <v>0</v>
      </c>
      <c r="BB116" s="76" t="b">
        <v>1</v>
      </c>
      <c r="BC116" s="76" t="b">
        <v>1</v>
      </c>
      <c r="BD116" s="76" t="b">
        <v>0</v>
      </c>
      <c r="BE116" s="76" t="b">
        <v>0</v>
      </c>
      <c r="BF116" s="76" t="b">
        <v>0</v>
      </c>
      <c r="BG116" s="76" t="b">
        <v>0</v>
      </c>
      <c r="BH116" s="76"/>
      <c r="BI116" s="76"/>
      <c r="BJ116" s="76" t="s">
        <v>27595</v>
      </c>
      <c r="BK116" s="76" t="b">
        <v>0</v>
      </c>
      <c r="BL116" s="76"/>
      <c r="BM116" s="76" t="s">
        <v>66</v>
      </c>
      <c r="BN116" s="76" t="s">
        <v>27597</v>
      </c>
      <c r="BO116" s="82" t="str">
        <f>HYPERLINK("https://twitter.com/johnjoh28053307")</f>
        <v>https://twitter.com/johnjoh28053307</v>
      </c>
      <c r="BP116" s="2"/>
    </row>
    <row r="117" spans="1:68" x14ac:dyDescent="0.25">
      <c r="A117" s="62" t="s">
        <v>302</v>
      </c>
      <c r="B117" s="63"/>
      <c r="C117" s="63"/>
      <c r="D117" s="64"/>
      <c r="E117" s="66"/>
      <c r="F117" s="103" t="str">
        <f>HYPERLINK("https://pbs.twimg.com/profile_images/1582020822285357056/00t_nhzK_normal.png")</f>
        <v>https://pbs.twimg.com/profile_images/1582020822285357056/00t_nhzK_normal.png</v>
      </c>
      <c r="G117" s="63"/>
      <c r="H117" s="67"/>
      <c r="I117" s="68"/>
      <c r="J117" s="68"/>
      <c r="K117" s="67" t="s">
        <v>27711</v>
      </c>
      <c r="L117" s="71"/>
      <c r="M117" s="72"/>
      <c r="N117" s="72"/>
      <c r="O117" s="73"/>
      <c r="P117" s="74"/>
      <c r="Q117" s="74"/>
      <c r="R117" s="87"/>
      <c r="S117" s="87"/>
      <c r="T117" s="87"/>
      <c r="U117" s="87"/>
      <c r="V117" s="48"/>
      <c r="W117" s="48"/>
      <c r="X117" s="48"/>
      <c r="Y117" s="48"/>
      <c r="Z117" s="47"/>
      <c r="AA117" s="69">
        <v>117</v>
      </c>
      <c r="AB117" s="69"/>
      <c r="AC117" s="70"/>
      <c r="AD117" s="76" t="s">
        <v>21362</v>
      </c>
      <c r="AE117" s="81" t="s">
        <v>20537</v>
      </c>
      <c r="AF117" s="76">
        <v>6</v>
      </c>
      <c r="AG117" s="76">
        <v>39</v>
      </c>
      <c r="AH117" s="76">
        <v>1086</v>
      </c>
      <c r="AI117" s="76">
        <v>0</v>
      </c>
      <c r="AJ117" s="76">
        <v>1</v>
      </c>
      <c r="AK117" s="76">
        <v>1012</v>
      </c>
      <c r="AL117" s="76" t="b">
        <v>0</v>
      </c>
      <c r="AM117" s="78">
        <v>44851.617256944446</v>
      </c>
      <c r="AN117" s="76" t="s">
        <v>24115</v>
      </c>
      <c r="AO117" s="76" t="s">
        <v>24810</v>
      </c>
      <c r="AP117" s="82" t="str">
        <f>HYPERLINK("https://t.co/CfmF854ESF")</f>
        <v>https://t.co/CfmF854ESF</v>
      </c>
      <c r="AQ117" s="82" t="str">
        <f>HYPERLINK("https://pmwnoticias.com.br/")</f>
        <v>https://pmwnoticias.com.br/</v>
      </c>
      <c r="AR117" s="76" t="s">
        <v>26430</v>
      </c>
      <c r="AS117" s="76"/>
      <c r="AT117" s="76"/>
      <c r="AU117" s="76"/>
      <c r="AV117" s="76"/>
      <c r="AW117" s="82" t="str">
        <f>HYPERLINK("https://t.co/CfmF854ESF")</f>
        <v>https://t.co/CfmF854ESF</v>
      </c>
      <c r="AX117" s="76" t="b">
        <v>0</v>
      </c>
      <c r="AY117" s="76"/>
      <c r="AZ117" s="76"/>
      <c r="BA117" s="76" t="b">
        <v>0</v>
      </c>
      <c r="BB117" s="76" t="b">
        <v>1</v>
      </c>
      <c r="BC117" s="76" t="b">
        <v>1</v>
      </c>
      <c r="BD117" s="76" t="b">
        <v>0</v>
      </c>
      <c r="BE117" s="76" t="b">
        <v>0</v>
      </c>
      <c r="BF117" s="76" t="b">
        <v>0</v>
      </c>
      <c r="BG117" s="76" t="b">
        <v>0</v>
      </c>
      <c r="BH117" s="82" t="str">
        <f>HYPERLINK("https://pbs.twimg.com/profile_banners/1582020729733881859/1666018688")</f>
        <v>https://pbs.twimg.com/profile_banners/1582020729733881859/1666018688</v>
      </c>
      <c r="BI117" s="76"/>
      <c r="BJ117" s="76" t="s">
        <v>27595</v>
      </c>
      <c r="BK117" s="76" t="b">
        <v>0</v>
      </c>
      <c r="BL117" s="76"/>
      <c r="BM117" s="76" t="s">
        <v>66</v>
      </c>
      <c r="BN117" s="76" t="s">
        <v>27597</v>
      </c>
      <c r="BO117" s="82" t="str">
        <f>HYPERLINK("https://twitter.com/pmw_noticias")</f>
        <v>https://twitter.com/pmw_noticias</v>
      </c>
      <c r="BP117" s="2"/>
    </row>
    <row r="118" spans="1:68" x14ac:dyDescent="0.25">
      <c r="A118" s="62" t="s">
        <v>303</v>
      </c>
      <c r="B118" s="63"/>
      <c r="C118" s="63"/>
      <c r="D118" s="64"/>
      <c r="E118" s="66"/>
      <c r="F118" s="103" t="str">
        <f>HYPERLINK("https://pbs.twimg.com/profile_images/1602764397692207110/PGtzoJEj_normal.jpg")</f>
        <v>https://pbs.twimg.com/profile_images/1602764397692207110/PGtzoJEj_normal.jpg</v>
      </c>
      <c r="G118" s="63"/>
      <c r="H118" s="67"/>
      <c r="I118" s="68"/>
      <c r="J118" s="68"/>
      <c r="K118" s="67" t="s">
        <v>27712</v>
      </c>
      <c r="L118" s="71"/>
      <c r="M118" s="72"/>
      <c r="N118" s="72"/>
      <c r="O118" s="73"/>
      <c r="P118" s="74"/>
      <c r="Q118" s="74"/>
      <c r="R118" s="87"/>
      <c r="S118" s="87"/>
      <c r="T118" s="87"/>
      <c r="U118" s="87"/>
      <c r="V118" s="48"/>
      <c r="W118" s="48"/>
      <c r="X118" s="48"/>
      <c r="Y118" s="48"/>
      <c r="Z118" s="47"/>
      <c r="AA118" s="69">
        <v>118</v>
      </c>
      <c r="AB118" s="69"/>
      <c r="AC118" s="70"/>
      <c r="AD118" s="76" t="s">
        <v>21363</v>
      </c>
      <c r="AE118" s="81" t="s">
        <v>23122</v>
      </c>
      <c r="AF118" s="76">
        <v>8101</v>
      </c>
      <c r="AG118" s="76">
        <v>7232</v>
      </c>
      <c r="AH118" s="76">
        <v>10701</v>
      </c>
      <c r="AI118" s="76">
        <v>150</v>
      </c>
      <c r="AJ118" s="76">
        <v>29316</v>
      </c>
      <c r="AK118" s="76">
        <v>2099</v>
      </c>
      <c r="AL118" s="76" t="b">
        <v>0</v>
      </c>
      <c r="AM118" s="78">
        <v>42186.643171296295</v>
      </c>
      <c r="AN118" s="76" t="s">
        <v>14400</v>
      </c>
      <c r="AO118" s="76" t="s">
        <v>24811</v>
      </c>
      <c r="AP118" s="82" t="str">
        <f>HYPERLINK("https://t.co/HnSYeK5Csv")</f>
        <v>https://t.co/HnSYeK5Csv</v>
      </c>
      <c r="AQ118" s="82" t="str">
        <f>HYPERLINK("https://combonianos.org.br/")</f>
        <v>https://combonianos.org.br/</v>
      </c>
      <c r="AR118" s="76" t="s">
        <v>26431</v>
      </c>
      <c r="AS118" s="82" t="str">
        <f>HYPERLINK("https://t.co/UgjAnWHS4b")</f>
        <v>https://t.co/UgjAnWHS4b</v>
      </c>
      <c r="AT118" s="82" t="str">
        <f>HYPERLINK("http://linktr.ee/Combonianos.br")</f>
        <v>http://linktr.ee/Combonianos.br</v>
      </c>
      <c r="AU118" s="76" t="s">
        <v>27455</v>
      </c>
      <c r="AV118" s="76"/>
      <c r="AW118" s="82" t="str">
        <f>HYPERLINK("https://t.co/HnSYeK5Csv")</f>
        <v>https://t.co/HnSYeK5Csv</v>
      </c>
      <c r="AX118" s="76" t="b">
        <v>0</v>
      </c>
      <c r="AY118" s="76"/>
      <c r="AZ118" s="76"/>
      <c r="BA118" s="76" t="b">
        <v>1</v>
      </c>
      <c r="BB118" s="76" t="b">
        <v>1</v>
      </c>
      <c r="BC118" s="76" t="b">
        <v>0</v>
      </c>
      <c r="BD118" s="76" t="b">
        <v>0</v>
      </c>
      <c r="BE118" s="76" t="b">
        <v>1</v>
      </c>
      <c r="BF118" s="76" t="b">
        <v>0</v>
      </c>
      <c r="BG118" s="76" t="b">
        <v>0</v>
      </c>
      <c r="BH118" s="82" t="str">
        <f>HYPERLINK("https://pbs.twimg.com/profile_banners/3353304353/1691244992")</f>
        <v>https://pbs.twimg.com/profile_banners/3353304353/1691244992</v>
      </c>
      <c r="BI118" s="76"/>
      <c r="BJ118" s="76" t="s">
        <v>27595</v>
      </c>
      <c r="BK118" s="76" t="b">
        <v>0</v>
      </c>
      <c r="BL118" s="76"/>
      <c r="BM118" s="76" t="s">
        <v>66</v>
      </c>
      <c r="BN118" s="76" t="s">
        <v>27597</v>
      </c>
      <c r="BO118" s="82" t="str">
        <f>HYPERLINK("https://twitter.com/combonianosbr")</f>
        <v>https://twitter.com/combonianosbr</v>
      </c>
      <c r="BP118" s="2"/>
    </row>
    <row r="119" spans="1:68" x14ac:dyDescent="0.25">
      <c r="A119" s="62" t="s">
        <v>1719</v>
      </c>
      <c r="B119" s="63"/>
      <c r="C119" s="63"/>
      <c r="D119" s="64"/>
      <c r="E119" s="66"/>
      <c r="F119" s="103" t="str">
        <f>HYPERLINK("https://pbs.twimg.com/profile_images/1608472933181038593/J23f921T_normal.jpg")</f>
        <v>https://pbs.twimg.com/profile_images/1608472933181038593/J23f921T_normal.jpg</v>
      </c>
      <c r="G119" s="63"/>
      <c r="H119" s="67"/>
      <c r="I119" s="68"/>
      <c r="J119" s="68"/>
      <c r="K119" s="67" t="s">
        <v>27713</v>
      </c>
      <c r="L119" s="71"/>
      <c r="M119" s="72"/>
      <c r="N119" s="72"/>
      <c r="O119" s="73"/>
      <c r="P119" s="74"/>
      <c r="Q119" s="74"/>
      <c r="R119" s="87"/>
      <c r="S119" s="87"/>
      <c r="T119" s="87"/>
      <c r="U119" s="87"/>
      <c r="V119" s="48"/>
      <c r="W119" s="48"/>
      <c r="X119" s="48"/>
      <c r="Y119" s="48"/>
      <c r="Z119" s="47"/>
      <c r="AA119" s="69">
        <v>119</v>
      </c>
      <c r="AB119" s="69"/>
      <c r="AC119" s="70"/>
      <c r="AD119" s="76" t="s">
        <v>21364</v>
      </c>
      <c r="AE119" s="81" t="s">
        <v>23123</v>
      </c>
      <c r="AF119" s="76">
        <v>11944</v>
      </c>
      <c r="AG119" s="76">
        <v>10636</v>
      </c>
      <c r="AH119" s="76">
        <v>22102</v>
      </c>
      <c r="AI119" s="76">
        <v>4</v>
      </c>
      <c r="AJ119" s="76">
        <v>57985</v>
      </c>
      <c r="AK119" s="76">
        <v>666</v>
      </c>
      <c r="AL119" s="76" t="b">
        <v>0</v>
      </c>
      <c r="AM119" s="78">
        <v>44449.016562500001</v>
      </c>
      <c r="AN119" s="76" t="s">
        <v>24116</v>
      </c>
      <c r="AO119" s="76" t="s">
        <v>24812</v>
      </c>
      <c r="AP119" s="76"/>
      <c r="AQ119" s="76"/>
      <c r="AR119" s="76"/>
      <c r="AS119" s="76"/>
      <c r="AT119" s="76"/>
      <c r="AU119" s="76"/>
      <c r="AV119" s="76"/>
      <c r="AW119" s="76"/>
      <c r="AX119" s="76" t="b">
        <v>0</v>
      </c>
      <c r="AY119" s="76"/>
      <c r="AZ119" s="76"/>
      <c r="BA119" s="76" t="b">
        <v>0</v>
      </c>
      <c r="BB119" s="76" t="b">
        <v>1</v>
      </c>
      <c r="BC119" s="76" t="b">
        <v>1</v>
      </c>
      <c r="BD119" s="76" t="b">
        <v>0</v>
      </c>
      <c r="BE119" s="76" t="b">
        <v>1</v>
      </c>
      <c r="BF119" s="76" t="b">
        <v>0</v>
      </c>
      <c r="BG119" s="76" t="b">
        <v>0</v>
      </c>
      <c r="BH119" s="82" t="str">
        <f>HYPERLINK("https://pbs.twimg.com/profile_banners/1436123159456006144/1655090833")</f>
        <v>https://pbs.twimg.com/profile_banners/1436123159456006144/1655090833</v>
      </c>
      <c r="BI119" s="76"/>
      <c r="BJ119" s="76" t="s">
        <v>27595</v>
      </c>
      <c r="BK119" s="76" t="b">
        <v>0</v>
      </c>
      <c r="BL119" s="76"/>
      <c r="BM119" s="76" t="s">
        <v>66</v>
      </c>
      <c r="BN119" s="76" t="s">
        <v>27597</v>
      </c>
      <c r="BO119" s="82" t="str">
        <f>HYPERLINK("https://twitter.com/zattimaristela")</f>
        <v>https://twitter.com/zattimaristela</v>
      </c>
      <c r="BP119" s="2"/>
    </row>
    <row r="120" spans="1:68" x14ac:dyDescent="0.25">
      <c r="A120" s="62" t="s">
        <v>1626</v>
      </c>
      <c r="B120" s="63"/>
      <c r="C120" s="63"/>
      <c r="D120" s="64"/>
      <c r="E120" s="66"/>
      <c r="F120" s="103" t="str">
        <f>HYPERLINK("https://pbs.twimg.com/profile_images/1274756492344856578/vk0smlDr_normal.jpg")</f>
        <v>https://pbs.twimg.com/profile_images/1274756492344856578/vk0smlDr_normal.jpg</v>
      </c>
      <c r="G120" s="63"/>
      <c r="H120" s="67"/>
      <c r="I120" s="68"/>
      <c r="J120" s="68"/>
      <c r="K120" s="67" t="s">
        <v>27714</v>
      </c>
      <c r="L120" s="71"/>
      <c r="M120" s="72"/>
      <c r="N120" s="72"/>
      <c r="O120" s="73"/>
      <c r="P120" s="74"/>
      <c r="Q120" s="74"/>
      <c r="R120" s="87"/>
      <c r="S120" s="87"/>
      <c r="T120" s="87"/>
      <c r="U120" s="87"/>
      <c r="V120" s="48"/>
      <c r="W120" s="48"/>
      <c r="X120" s="48"/>
      <c r="Y120" s="48"/>
      <c r="Z120" s="47"/>
      <c r="AA120" s="69">
        <v>120</v>
      </c>
      <c r="AB120" s="69"/>
      <c r="AC120" s="70"/>
      <c r="AD120" s="76" t="s">
        <v>21365</v>
      </c>
      <c r="AE120" s="81" t="s">
        <v>20294</v>
      </c>
      <c r="AF120" s="76">
        <v>684008</v>
      </c>
      <c r="AG120" s="76">
        <v>707</v>
      </c>
      <c r="AH120" s="76">
        <v>314280</v>
      </c>
      <c r="AI120" s="76">
        <v>2107</v>
      </c>
      <c r="AJ120" s="76">
        <v>60</v>
      </c>
      <c r="AK120" s="76">
        <v>17864</v>
      </c>
      <c r="AL120" s="76" t="b">
        <v>0</v>
      </c>
      <c r="AM120" s="78">
        <v>40581.960497685184</v>
      </c>
      <c r="AN120" s="76" t="s">
        <v>24117</v>
      </c>
      <c r="AO120" s="76" t="s">
        <v>24813</v>
      </c>
      <c r="AP120" s="82" t="str">
        <f>HYPERLINK("https://t.co/iLSW7vrPQn")</f>
        <v>https://t.co/iLSW7vrPQn</v>
      </c>
      <c r="AQ120" s="82" t="str">
        <f>HYPERLINK("http://www.brasil247.com")</f>
        <v>http://www.brasil247.com</v>
      </c>
      <c r="AR120" s="76" t="s">
        <v>8648</v>
      </c>
      <c r="AS120" s="76" t="s">
        <v>27370</v>
      </c>
      <c r="AT120" s="76" t="s">
        <v>27409</v>
      </c>
      <c r="AU120" s="76" t="s">
        <v>27456</v>
      </c>
      <c r="AV120" s="76">
        <v>1.7048171750038799E+18</v>
      </c>
      <c r="AW120" s="82" t="str">
        <f>HYPERLINK("https://t.co/iLSW7vrPQn")</f>
        <v>https://t.co/iLSW7vrPQn</v>
      </c>
      <c r="AX120" s="76" t="b">
        <v>1</v>
      </c>
      <c r="AY120" s="76"/>
      <c r="AZ120" s="76"/>
      <c r="BA120" s="76" t="b">
        <v>0</v>
      </c>
      <c r="BB120" s="76" t="b">
        <v>1</v>
      </c>
      <c r="BC120" s="76" t="b">
        <v>0</v>
      </c>
      <c r="BD120" s="76" t="b">
        <v>0</v>
      </c>
      <c r="BE120" s="76" t="b">
        <v>1</v>
      </c>
      <c r="BF120" s="76" t="b">
        <v>0</v>
      </c>
      <c r="BG120" s="76" t="b">
        <v>0</v>
      </c>
      <c r="BH120" s="82" t="str">
        <f>HYPERLINK("https://pbs.twimg.com/profile_banners/248890506/1598897352")</f>
        <v>https://pbs.twimg.com/profile_banners/248890506/1598897352</v>
      </c>
      <c r="BI120" s="76"/>
      <c r="BJ120" s="76" t="s">
        <v>27595</v>
      </c>
      <c r="BK120" s="76" t="b">
        <v>0</v>
      </c>
      <c r="BL120" s="76"/>
      <c r="BM120" s="76" t="s">
        <v>66</v>
      </c>
      <c r="BN120" s="76" t="s">
        <v>27597</v>
      </c>
      <c r="BO120" s="82" t="str">
        <f>HYPERLINK("https://twitter.com/brasil247")</f>
        <v>https://twitter.com/brasil247</v>
      </c>
      <c r="BP120" s="2"/>
    </row>
    <row r="121" spans="1:68" x14ac:dyDescent="0.25">
      <c r="A121" s="62" t="s">
        <v>913</v>
      </c>
      <c r="B121" s="63"/>
      <c r="C121" s="63"/>
      <c r="D121" s="64"/>
      <c r="E121" s="66"/>
      <c r="F121" s="103" t="str">
        <f>HYPERLINK("https://pbs.twimg.com/profile_images/1641409782732013571/Hu-FIL7i_normal.jpg")</f>
        <v>https://pbs.twimg.com/profile_images/1641409782732013571/Hu-FIL7i_normal.jpg</v>
      </c>
      <c r="G121" s="63"/>
      <c r="H121" s="67"/>
      <c r="I121" s="68"/>
      <c r="J121" s="68"/>
      <c r="K121" s="67" t="s">
        <v>27715</v>
      </c>
      <c r="L121" s="71"/>
      <c r="M121" s="72"/>
      <c r="N121" s="72"/>
      <c r="O121" s="73"/>
      <c r="P121" s="74"/>
      <c r="Q121" s="74"/>
      <c r="R121" s="87"/>
      <c r="S121" s="87"/>
      <c r="T121" s="87"/>
      <c r="U121" s="87"/>
      <c r="V121" s="48"/>
      <c r="W121" s="48"/>
      <c r="X121" s="48"/>
      <c r="Y121" s="48"/>
      <c r="Z121" s="47"/>
      <c r="AA121" s="69">
        <v>121</v>
      </c>
      <c r="AB121" s="69"/>
      <c r="AC121" s="70"/>
      <c r="AD121" s="76" t="s">
        <v>21366</v>
      </c>
      <c r="AE121" s="81" t="s">
        <v>23124</v>
      </c>
      <c r="AF121" s="76">
        <v>20582</v>
      </c>
      <c r="AG121" s="76">
        <v>11845</v>
      </c>
      <c r="AH121" s="76">
        <v>17474</v>
      </c>
      <c r="AI121" s="76">
        <v>34</v>
      </c>
      <c r="AJ121" s="76">
        <v>67924</v>
      </c>
      <c r="AK121" s="76">
        <v>6615</v>
      </c>
      <c r="AL121" s="76" t="b">
        <v>0</v>
      </c>
      <c r="AM121" s="78">
        <v>40588.488159722219</v>
      </c>
      <c r="AN121" s="76" t="s">
        <v>14402</v>
      </c>
      <c r="AO121" s="76" t="s">
        <v>24814</v>
      </c>
      <c r="AP121" s="76"/>
      <c r="AQ121" s="76"/>
      <c r="AR121" s="76"/>
      <c r="AS121" s="76"/>
      <c r="AT121" s="76"/>
      <c r="AU121" s="76"/>
      <c r="AV121" s="76"/>
      <c r="AW121" s="76"/>
      <c r="AX121" s="76" t="b">
        <v>0</v>
      </c>
      <c r="AY121" s="76"/>
      <c r="AZ121" s="76"/>
      <c r="BA121" s="76" t="b">
        <v>0</v>
      </c>
      <c r="BB121" s="76" t="b">
        <v>0</v>
      </c>
      <c r="BC121" s="76" t="b">
        <v>0</v>
      </c>
      <c r="BD121" s="76" t="b">
        <v>0</v>
      </c>
      <c r="BE121" s="76" t="b">
        <v>1</v>
      </c>
      <c r="BF121" s="76" t="b">
        <v>0</v>
      </c>
      <c r="BG121" s="76" t="b">
        <v>0</v>
      </c>
      <c r="BH121" s="82" t="str">
        <f>HYPERLINK("https://pbs.twimg.com/profile_banners/252053828/1686836970")</f>
        <v>https://pbs.twimg.com/profile_banners/252053828/1686836970</v>
      </c>
      <c r="BI121" s="76"/>
      <c r="BJ121" s="76" t="s">
        <v>27595</v>
      </c>
      <c r="BK121" s="76" t="b">
        <v>0</v>
      </c>
      <c r="BL121" s="76"/>
      <c r="BM121" s="76" t="s">
        <v>66</v>
      </c>
      <c r="BN121" s="76" t="s">
        <v>27597</v>
      </c>
      <c r="BO121" s="82" t="str">
        <f>HYPERLINK("https://twitter.com/finc0")</f>
        <v>https://twitter.com/finc0</v>
      </c>
      <c r="BP121" s="2"/>
    </row>
    <row r="122" spans="1:68" x14ac:dyDescent="0.25">
      <c r="A122" s="62" t="s">
        <v>615</v>
      </c>
      <c r="B122" s="63"/>
      <c r="C122" s="63"/>
      <c r="D122" s="64"/>
      <c r="E122" s="66"/>
      <c r="F122" s="103" t="str">
        <f>HYPERLINK("https://pbs.twimg.com/profile_images/1674195919669960704/Uid-Uh3I_normal.jpg")</f>
        <v>https://pbs.twimg.com/profile_images/1674195919669960704/Uid-Uh3I_normal.jpg</v>
      </c>
      <c r="G122" s="63"/>
      <c r="H122" s="67"/>
      <c r="I122" s="68"/>
      <c r="J122" s="68"/>
      <c r="K122" s="67" t="s">
        <v>27716</v>
      </c>
      <c r="L122" s="71"/>
      <c r="M122" s="72"/>
      <c r="N122" s="72"/>
      <c r="O122" s="73"/>
      <c r="P122" s="74"/>
      <c r="Q122" s="74"/>
      <c r="R122" s="87"/>
      <c r="S122" s="87"/>
      <c r="T122" s="87"/>
      <c r="U122" s="87"/>
      <c r="V122" s="48"/>
      <c r="W122" s="48"/>
      <c r="X122" s="48"/>
      <c r="Y122" s="48"/>
      <c r="Z122" s="47"/>
      <c r="AA122" s="69">
        <v>122</v>
      </c>
      <c r="AB122" s="69"/>
      <c r="AC122" s="70"/>
      <c r="AD122" s="76" t="s">
        <v>21367</v>
      </c>
      <c r="AE122" s="81" t="s">
        <v>20684</v>
      </c>
      <c r="AF122" s="76">
        <v>83965</v>
      </c>
      <c r="AG122" s="76">
        <v>179</v>
      </c>
      <c r="AH122" s="76">
        <v>1537</v>
      </c>
      <c r="AI122" s="76">
        <v>43</v>
      </c>
      <c r="AJ122" s="76">
        <v>1374</v>
      </c>
      <c r="AK122" s="76">
        <v>933</v>
      </c>
      <c r="AL122" s="76" t="b">
        <v>0</v>
      </c>
      <c r="AM122" s="78">
        <v>44551.117152777777</v>
      </c>
      <c r="AN122" s="76" t="s">
        <v>24118</v>
      </c>
      <c r="AO122" s="76" t="s">
        <v>24815</v>
      </c>
      <c r="AP122" s="82" t="str">
        <f>HYPERLINK("https://t.co/yrfejQS4Ia")</f>
        <v>https://t.co/yrfejQS4Ia</v>
      </c>
      <c r="AQ122" s="82" t="str">
        <f>HYPERLINK("https://instagram.com/pedrorousseff?igshid=OGQ5ZDc2ODk2ZA==")</f>
        <v>https://instagram.com/pedrorousseff?igshid=OGQ5ZDc2ODk2ZA==</v>
      </c>
      <c r="AR122" s="76" t="s">
        <v>26432</v>
      </c>
      <c r="AS122" s="76"/>
      <c r="AT122" s="76"/>
      <c r="AU122" s="76"/>
      <c r="AV122" s="76">
        <v>1.5962566863139699E+18</v>
      </c>
      <c r="AW122" s="82" t="str">
        <f>HYPERLINK("https://t.co/yrfejQS4Ia")</f>
        <v>https://t.co/yrfejQS4Ia</v>
      </c>
      <c r="AX122" s="76" t="b">
        <v>1</v>
      </c>
      <c r="AY122" s="76"/>
      <c r="AZ122" s="76"/>
      <c r="BA122" s="76" t="b">
        <v>0</v>
      </c>
      <c r="BB122" s="76" t="b">
        <v>1</v>
      </c>
      <c r="BC122" s="76" t="b">
        <v>1</v>
      </c>
      <c r="BD122" s="76" t="b">
        <v>0</v>
      </c>
      <c r="BE122" s="76" t="b">
        <v>0</v>
      </c>
      <c r="BF122" s="76" t="b">
        <v>0</v>
      </c>
      <c r="BG122" s="76" t="b">
        <v>0</v>
      </c>
      <c r="BH122" s="82" t="str">
        <f>HYPERLINK("https://pbs.twimg.com/profile_banners/1473123053047529472/1665766211")</f>
        <v>https://pbs.twimg.com/profile_banners/1473123053047529472/1665766211</v>
      </c>
      <c r="BI122" s="76"/>
      <c r="BJ122" s="76" t="s">
        <v>27595</v>
      </c>
      <c r="BK122" s="76" t="b">
        <v>0</v>
      </c>
      <c r="BL122" s="76"/>
      <c r="BM122" s="76" t="s">
        <v>66</v>
      </c>
      <c r="BN122" s="76" t="s">
        <v>27597</v>
      </c>
      <c r="BO122" s="82" t="str">
        <f>HYPERLINK("https://twitter.com/p_rousseff")</f>
        <v>https://twitter.com/p_rousseff</v>
      </c>
      <c r="BP122" s="2"/>
    </row>
    <row r="123" spans="1:68" x14ac:dyDescent="0.25">
      <c r="A123" s="62" t="s">
        <v>304</v>
      </c>
      <c r="B123" s="63"/>
      <c r="C123" s="63"/>
      <c r="D123" s="64"/>
      <c r="E123" s="66"/>
      <c r="F123" s="103" t="str">
        <f>HYPERLINK("https://pbs.twimg.com/profile_images/1693652534399844353/8Y_TkYAr_normal.jpg")</f>
        <v>https://pbs.twimg.com/profile_images/1693652534399844353/8Y_TkYAr_normal.jpg</v>
      </c>
      <c r="G123" s="63"/>
      <c r="H123" s="67"/>
      <c r="I123" s="68"/>
      <c r="J123" s="68"/>
      <c r="K123" s="67" t="s">
        <v>27717</v>
      </c>
      <c r="L123" s="71"/>
      <c r="M123" s="72"/>
      <c r="N123" s="72"/>
      <c r="O123" s="73"/>
      <c r="P123" s="74"/>
      <c r="Q123" s="74"/>
      <c r="R123" s="87"/>
      <c r="S123" s="87"/>
      <c r="T123" s="87"/>
      <c r="U123" s="87"/>
      <c r="V123" s="48"/>
      <c r="W123" s="48"/>
      <c r="X123" s="48"/>
      <c r="Y123" s="48"/>
      <c r="Z123" s="47"/>
      <c r="AA123" s="69">
        <v>123</v>
      </c>
      <c r="AB123" s="69"/>
      <c r="AC123" s="70"/>
      <c r="AD123" s="76" t="s">
        <v>21368</v>
      </c>
      <c r="AE123" s="81" t="s">
        <v>23125</v>
      </c>
      <c r="AF123" s="76">
        <v>525</v>
      </c>
      <c r="AG123" s="76">
        <v>413</v>
      </c>
      <c r="AH123" s="76">
        <v>72739</v>
      </c>
      <c r="AI123" s="76">
        <v>2</v>
      </c>
      <c r="AJ123" s="76">
        <v>26457</v>
      </c>
      <c r="AK123" s="76">
        <v>1631</v>
      </c>
      <c r="AL123" s="76" t="b">
        <v>0</v>
      </c>
      <c r="AM123" s="78">
        <v>39998.001076388886</v>
      </c>
      <c r="AN123" s="76" t="s">
        <v>24119</v>
      </c>
      <c r="AO123" s="76" t="s">
        <v>24816</v>
      </c>
      <c r="AP123" s="76"/>
      <c r="AQ123" s="76"/>
      <c r="AR123" s="76"/>
      <c r="AS123" s="76"/>
      <c r="AT123" s="76"/>
      <c r="AU123" s="76"/>
      <c r="AV123" s="76">
        <v>1.53051038032527E+18</v>
      </c>
      <c r="AW123" s="76"/>
      <c r="AX123" s="76" t="b">
        <v>0</v>
      </c>
      <c r="AY123" s="76"/>
      <c r="AZ123" s="76"/>
      <c r="BA123" s="76" t="b">
        <v>1</v>
      </c>
      <c r="BB123" s="76" t="b">
        <v>0</v>
      </c>
      <c r="BC123" s="76" t="b">
        <v>0</v>
      </c>
      <c r="BD123" s="76" t="b">
        <v>0</v>
      </c>
      <c r="BE123" s="76" t="b">
        <v>1</v>
      </c>
      <c r="BF123" s="76" t="b">
        <v>0</v>
      </c>
      <c r="BG123" s="76" t="b">
        <v>0</v>
      </c>
      <c r="BH123" s="82" t="str">
        <f>HYPERLINK("https://pbs.twimg.com/profile_banners/53539351/1688760736")</f>
        <v>https://pbs.twimg.com/profile_banners/53539351/1688760736</v>
      </c>
      <c r="BI123" s="76"/>
      <c r="BJ123" s="76" t="s">
        <v>27595</v>
      </c>
      <c r="BK123" s="76" t="b">
        <v>0</v>
      </c>
      <c r="BL123" s="76"/>
      <c r="BM123" s="76" t="s">
        <v>66</v>
      </c>
      <c r="BN123" s="76" t="s">
        <v>27597</v>
      </c>
      <c r="BO123" s="82" t="str">
        <f>HYPERLINK("https://twitter.com/edusoarees")</f>
        <v>https://twitter.com/edusoarees</v>
      </c>
      <c r="BP123" s="2"/>
    </row>
    <row r="124" spans="1:68" x14ac:dyDescent="0.25">
      <c r="A124" s="62" t="s">
        <v>1720</v>
      </c>
      <c r="B124" s="63"/>
      <c r="C124" s="63"/>
      <c r="D124" s="64"/>
      <c r="E124" s="66"/>
      <c r="F124" s="103" t="str">
        <f>HYPERLINK("https://pbs.twimg.com/profile_images/1689441504362627072/zwkNz-J0_normal.jpg")</f>
        <v>https://pbs.twimg.com/profile_images/1689441504362627072/zwkNz-J0_normal.jpg</v>
      </c>
      <c r="G124" s="63"/>
      <c r="H124" s="67"/>
      <c r="I124" s="68"/>
      <c r="J124" s="68"/>
      <c r="K124" s="67" t="s">
        <v>27718</v>
      </c>
      <c r="L124" s="71"/>
      <c r="M124" s="72"/>
      <c r="N124" s="72"/>
      <c r="O124" s="73"/>
      <c r="P124" s="74"/>
      <c r="Q124" s="74"/>
      <c r="R124" s="87"/>
      <c r="S124" s="87"/>
      <c r="T124" s="87"/>
      <c r="U124" s="87"/>
      <c r="V124" s="48"/>
      <c r="W124" s="48"/>
      <c r="X124" s="48"/>
      <c r="Y124" s="48"/>
      <c r="Z124" s="47"/>
      <c r="AA124" s="69">
        <v>124</v>
      </c>
      <c r="AB124" s="69"/>
      <c r="AC124" s="70"/>
      <c r="AD124" s="76" t="s">
        <v>21369</v>
      </c>
      <c r="AE124" s="81" t="s">
        <v>20222</v>
      </c>
      <c r="AF124" s="76">
        <v>164413</v>
      </c>
      <c r="AG124" s="76">
        <v>754</v>
      </c>
      <c r="AH124" s="76">
        <v>18177</v>
      </c>
      <c r="AI124" s="76">
        <v>93</v>
      </c>
      <c r="AJ124" s="76">
        <v>18734</v>
      </c>
      <c r="AK124" s="76">
        <v>1619</v>
      </c>
      <c r="AL124" s="76" t="b">
        <v>0</v>
      </c>
      <c r="AM124" s="78">
        <v>44535.246886574074</v>
      </c>
      <c r="AN124" s="76" t="s">
        <v>24120</v>
      </c>
      <c r="AO124" s="76" t="s">
        <v>24817</v>
      </c>
      <c r="AP124" s="82" t="str">
        <f>HYPERLINK("https://t.co/kjpFUeBGqW")</f>
        <v>https://t.co/kjpFUeBGqW</v>
      </c>
      <c r="AQ124" s="82" t="str">
        <f>HYPERLINK("https://instagram.com/ricardooliveirars?utm_source=qr&amp;igshid=MzNlNGNkZWQ4Mg%3D%3D")</f>
        <v>https://instagram.com/ricardooliveirars?utm_source=qr&amp;igshid=MzNlNGNkZWQ4Mg%3D%3D</v>
      </c>
      <c r="AR124" s="76" t="s">
        <v>26433</v>
      </c>
      <c r="AS124" s="76"/>
      <c r="AT124" s="76"/>
      <c r="AU124" s="76"/>
      <c r="AV124" s="76">
        <v>1.6997621081606999E+18</v>
      </c>
      <c r="AW124" s="82" t="str">
        <f>HYPERLINK("https://t.co/kjpFUeBGqW")</f>
        <v>https://t.co/kjpFUeBGqW</v>
      </c>
      <c r="AX124" s="76" t="b">
        <v>1</v>
      </c>
      <c r="AY124" s="76"/>
      <c r="AZ124" s="76"/>
      <c r="BA124" s="76" t="b">
        <v>0</v>
      </c>
      <c r="BB124" s="76" t="b">
        <v>1</v>
      </c>
      <c r="BC124" s="76" t="b">
        <v>1</v>
      </c>
      <c r="BD124" s="76" t="b">
        <v>0</v>
      </c>
      <c r="BE124" s="76" t="b">
        <v>1</v>
      </c>
      <c r="BF124" s="76" t="b">
        <v>0</v>
      </c>
      <c r="BG124" s="76" t="b">
        <v>0</v>
      </c>
      <c r="BH124" s="82" t="str">
        <f>HYPERLINK("https://pbs.twimg.com/profile_banners/1467371967984590850/1695298969")</f>
        <v>https://pbs.twimg.com/profile_banners/1467371967984590850/1695298969</v>
      </c>
      <c r="BI124" s="76"/>
      <c r="BJ124" s="76" t="s">
        <v>27595</v>
      </c>
      <c r="BK124" s="76" t="b">
        <v>0</v>
      </c>
      <c r="BL124" s="76"/>
      <c r="BM124" s="76" t="s">
        <v>65</v>
      </c>
      <c r="BN124" s="76" t="s">
        <v>27597</v>
      </c>
      <c r="BO124" s="82" t="str">
        <f>HYPERLINK("https://twitter.com/ricardors_ofc")</f>
        <v>https://twitter.com/ricardors_ofc</v>
      </c>
      <c r="BP124" s="2"/>
    </row>
    <row r="125" spans="1:68" x14ac:dyDescent="0.25">
      <c r="A125" s="62" t="s">
        <v>305</v>
      </c>
      <c r="B125" s="63"/>
      <c r="C125" s="63"/>
      <c r="D125" s="64"/>
      <c r="E125" s="66"/>
      <c r="F125" s="103" t="str">
        <f>HYPERLINK("https://pbs.twimg.com/profile_images/1665151973589385216/CRNTLgAN_normal.jpg")</f>
        <v>https://pbs.twimg.com/profile_images/1665151973589385216/CRNTLgAN_normal.jpg</v>
      </c>
      <c r="G125" s="63"/>
      <c r="H125" s="67"/>
      <c r="I125" s="68"/>
      <c r="J125" s="68"/>
      <c r="K125" s="67" t="s">
        <v>27719</v>
      </c>
      <c r="L125" s="71"/>
      <c r="M125" s="72"/>
      <c r="N125" s="72"/>
      <c r="O125" s="73"/>
      <c r="P125" s="74"/>
      <c r="Q125" s="74"/>
      <c r="R125" s="87"/>
      <c r="S125" s="87"/>
      <c r="T125" s="87"/>
      <c r="U125" s="87"/>
      <c r="V125" s="48"/>
      <c r="W125" s="48"/>
      <c r="X125" s="48"/>
      <c r="Y125" s="48"/>
      <c r="Z125" s="47"/>
      <c r="AA125" s="69">
        <v>125</v>
      </c>
      <c r="AB125" s="69"/>
      <c r="AC125" s="70"/>
      <c r="AD125" s="76" t="s">
        <v>21370</v>
      </c>
      <c r="AE125" s="81" t="s">
        <v>20538</v>
      </c>
      <c r="AF125" s="76">
        <v>93</v>
      </c>
      <c r="AG125" s="76">
        <v>692</v>
      </c>
      <c r="AH125" s="76">
        <v>14295</v>
      </c>
      <c r="AI125" s="76">
        <v>0</v>
      </c>
      <c r="AJ125" s="76">
        <v>10264</v>
      </c>
      <c r="AK125" s="76">
        <v>6441</v>
      </c>
      <c r="AL125" s="76" t="b">
        <v>0</v>
      </c>
      <c r="AM125" s="78">
        <v>45056.504687499997</v>
      </c>
      <c r="AN125" s="76" t="s">
        <v>24121</v>
      </c>
      <c r="AO125" s="76" t="s">
        <v>24818</v>
      </c>
      <c r="AP125" s="76"/>
      <c r="AQ125" s="76"/>
      <c r="AR125" s="76"/>
      <c r="AS125" s="76"/>
      <c r="AT125" s="76"/>
      <c r="AU125" s="76"/>
      <c r="AV125" s="76"/>
      <c r="AW125" s="76"/>
      <c r="AX125" s="76" t="b">
        <v>0</v>
      </c>
      <c r="AY125" s="76"/>
      <c r="AZ125" s="76"/>
      <c r="BA125" s="76" t="b">
        <v>0</v>
      </c>
      <c r="BB125" s="76" t="b">
        <v>1</v>
      </c>
      <c r="BC125" s="76" t="b">
        <v>1</v>
      </c>
      <c r="BD125" s="76" t="b">
        <v>0</v>
      </c>
      <c r="BE125" s="76" t="b">
        <v>0</v>
      </c>
      <c r="BF125" s="76" t="b">
        <v>0</v>
      </c>
      <c r="BG125" s="76" t="b">
        <v>0</v>
      </c>
      <c r="BH125" s="82" t="str">
        <f>HYPERLINK("https://pbs.twimg.com/profile_banners/1656269497529974790/1688863470")</f>
        <v>https://pbs.twimg.com/profile_banners/1656269497529974790/1688863470</v>
      </c>
      <c r="BI125" s="76"/>
      <c r="BJ125" s="76" t="s">
        <v>27595</v>
      </c>
      <c r="BK125" s="76" t="b">
        <v>0</v>
      </c>
      <c r="BL125" s="76"/>
      <c r="BM125" s="76" t="s">
        <v>66</v>
      </c>
      <c r="BN125" s="76" t="s">
        <v>27597</v>
      </c>
      <c r="BO125" s="82" t="str">
        <f>HYPERLINK("https://twitter.com/_antonio_luiz_")</f>
        <v>https://twitter.com/_antonio_luiz_</v>
      </c>
      <c r="BP125" s="2"/>
    </row>
    <row r="126" spans="1:68" x14ac:dyDescent="0.25">
      <c r="A126" s="62" t="s">
        <v>306</v>
      </c>
      <c r="B126" s="63"/>
      <c r="C126" s="63"/>
      <c r="D126" s="64"/>
      <c r="E126" s="66"/>
      <c r="F126" s="103" t="str">
        <f>HYPERLINK("https://pbs.twimg.com/profile_images/1648039349412327448/R01rDyfy_normal.jpg")</f>
        <v>https://pbs.twimg.com/profile_images/1648039349412327448/R01rDyfy_normal.jpg</v>
      </c>
      <c r="G126" s="63"/>
      <c r="H126" s="67"/>
      <c r="I126" s="68"/>
      <c r="J126" s="68"/>
      <c r="K126" s="67" t="s">
        <v>27720</v>
      </c>
      <c r="L126" s="71"/>
      <c r="M126" s="72"/>
      <c r="N126" s="72"/>
      <c r="O126" s="73"/>
      <c r="P126" s="74"/>
      <c r="Q126" s="74"/>
      <c r="R126" s="87"/>
      <c r="S126" s="87"/>
      <c r="T126" s="87"/>
      <c r="U126" s="87"/>
      <c r="V126" s="48"/>
      <c r="W126" s="48"/>
      <c r="X126" s="48"/>
      <c r="Y126" s="48"/>
      <c r="Z126" s="47"/>
      <c r="AA126" s="69">
        <v>126</v>
      </c>
      <c r="AB126" s="69"/>
      <c r="AC126" s="70"/>
      <c r="AD126" s="76" t="s">
        <v>21371</v>
      </c>
      <c r="AE126" s="81" t="s">
        <v>20539</v>
      </c>
      <c r="AF126" s="76">
        <v>5</v>
      </c>
      <c r="AG126" s="76">
        <v>8</v>
      </c>
      <c r="AH126" s="76">
        <v>19</v>
      </c>
      <c r="AI126" s="76">
        <v>0</v>
      </c>
      <c r="AJ126" s="76">
        <v>8</v>
      </c>
      <c r="AK126" s="76">
        <v>8</v>
      </c>
      <c r="AL126" s="76" t="b">
        <v>0</v>
      </c>
      <c r="AM126" s="78">
        <v>45033.78875</v>
      </c>
      <c r="AN126" s="76" t="s">
        <v>24122</v>
      </c>
      <c r="AO126" s="76"/>
      <c r="AP126" s="82" t="str">
        <f>HYPERLINK("https://t.co/u7OwxxC4Zb")</f>
        <v>https://t.co/u7OwxxC4Zb</v>
      </c>
      <c r="AQ126" s="82" t="str">
        <f>HYPERLINK("https://youtube.com/@ajanelapodcast")</f>
        <v>https://youtube.com/@ajanelapodcast</v>
      </c>
      <c r="AR126" s="76" t="s">
        <v>26434</v>
      </c>
      <c r="AS126" s="76"/>
      <c r="AT126" s="76"/>
      <c r="AU126" s="76"/>
      <c r="AV126" s="76">
        <v>1.65135173559043E+18</v>
      </c>
      <c r="AW126" s="82" t="str">
        <f>HYPERLINK("https://t.co/u7OwxxC4Zb")</f>
        <v>https://t.co/u7OwxxC4Zb</v>
      </c>
      <c r="AX126" s="76" t="b">
        <v>1</v>
      </c>
      <c r="AY126" s="76"/>
      <c r="AZ126" s="76"/>
      <c r="BA126" s="76" t="b">
        <v>1</v>
      </c>
      <c r="BB126" s="76" t="b">
        <v>0</v>
      </c>
      <c r="BC126" s="76" t="b">
        <v>1</v>
      </c>
      <c r="BD126" s="76" t="b">
        <v>0</v>
      </c>
      <c r="BE126" s="76" t="b">
        <v>0</v>
      </c>
      <c r="BF126" s="76" t="b">
        <v>0</v>
      </c>
      <c r="BG126" s="76" t="b">
        <v>0</v>
      </c>
      <c r="BH126" s="82" t="str">
        <f>HYPERLINK("https://pbs.twimg.com/profile_banners/1648037529302491136/1681758191")</f>
        <v>https://pbs.twimg.com/profile_banners/1648037529302491136/1681758191</v>
      </c>
      <c r="BI126" s="76"/>
      <c r="BJ126" s="76" t="s">
        <v>27595</v>
      </c>
      <c r="BK126" s="76" t="b">
        <v>0</v>
      </c>
      <c r="BL126" s="76"/>
      <c r="BM126" s="76" t="s">
        <v>66</v>
      </c>
      <c r="BN126" s="76" t="s">
        <v>27597</v>
      </c>
      <c r="BO126" s="82" t="str">
        <f>HYPERLINK("https://twitter.com/ajanelapodcast")</f>
        <v>https://twitter.com/ajanelapodcast</v>
      </c>
      <c r="BP126" s="2"/>
    </row>
    <row r="127" spans="1:68" x14ac:dyDescent="0.25">
      <c r="A127" s="62" t="s">
        <v>307</v>
      </c>
      <c r="B127" s="63"/>
      <c r="C127" s="63"/>
      <c r="D127" s="64"/>
      <c r="E127" s="66"/>
      <c r="F127" s="103" t="str">
        <f>HYPERLINK("https://pbs.twimg.com/profile_images/1682366907947659269/9RjdkAVl_normal.jpg")</f>
        <v>https://pbs.twimg.com/profile_images/1682366907947659269/9RjdkAVl_normal.jpg</v>
      </c>
      <c r="G127" s="63"/>
      <c r="H127" s="67"/>
      <c r="I127" s="68"/>
      <c r="J127" s="68"/>
      <c r="K127" s="67" t="s">
        <v>27721</v>
      </c>
      <c r="L127" s="71"/>
      <c r="M127" s="72"/>
      <c r="N127" s="72"/>
      <c r="O127" s="73"/>
      <c r="P127" s="74"/>
      <c r="Q127" s="74"/>
      <c r="R127" s="87"/>
      <c r="S127" s="87"/>
      <c r="T127" s="87"/>
      <c r="U127" s="87"/>
      <c r="V127" s="48"/>
      <c r="W127" s="48"/>
      <c r="X127" s="48"/>
      <c r="Y127" s="48"/>
      <c r="Z127" s="47"/>
      <c r="AA127" s="69">
        <v>127</v>
      </c>
      <c r="AB127" s="69"/>
      <c r="AC127" s="70"/>
      <c r="AD127" s="76" t="s">
        <v>21372</v>
      </c>
      <c r="AE127" s="81" t="s">
        <v>20540</v>
      </c>
      <c r="AF127" s="76">
        <v>15</v>
      </c>
      <c r="AG127" s="76">
        <v>112</v>
      </c>
      <c r="AH127" s="76">
        <v>566</v>
      </c>
      <c r="AI127" s="76">
        <v>0</v>
      </c>
      <c r="AJ127" s="76">
        <v>227</v>
      </c>
      <c r="AK127" s="76">
        <v>180</v>
      </c>
      <c r="AL127" s="76" t="b">
        <v>0</v>
      </c>
      <c r="AM127" s="78">
        <v>44045.96025462963</v>
      </c>
      <c r="AN127" s="76" t="s">
        <v>24123</v>
      </c>
      <c r="AO127" s="76" t="s">
        <v>24819</v>
      </c>
      <c r="AP127" s="82" t="str">
        <f>HYPERLINK("https://t.co/VVhfczSrj7")</f>
        <v>https://t.co/VVhfczSrj7</v>
      </c>
      <c r="AQ127" s="82" t="str">
        <f>HYPERLINK("https://www.youtube.com/channel/UCviV2zGNvzIAupAJuEw3MAQ")</f>
        <v>https://www.youtube.com/channel/UCviV2zGNvzIAupAJuEw3MAQ</v>
      </c>
      <c r="AR127" s="76" t="s">
        <v>26435</v>
      </c>
      <c r="AS127" s="76"/>
      <c r="AT127" s="76"/>
      <c r="AU127" s="76"/>
      <c r="AV127" s="76"/>
      <c r="AW127" s="82" t="str">
        <f>HYPERLINK("https://t.co/VVhfczSrj7")</f>
        <v>https://t.co/VVhfczSrj7</v>
      </c>
      <c r="AX127" s="76" t="b">
        <v>0</v>
      </c>
      <c r="AY127" s="76"/>
      <c r="AZ127" s="76"/>
      <c r="BA127" s="76" t="b">
        <v>0</v>
      </c>
      <c r="BB127" s="76" t="b">
        <v>1</v>
      </c>
      <c r="BC127" s="76" t="b">
        <v>1</v>
      </c>
      <c r="BD127" s="76" t="b">
        <v>0</v>
      </c>
      <c r="BE127" s="76" t="b">
        <v>0</v>
      </c>
      <c r="BF127" s="76" t="b">
        <v>0</v>
      </c>
      <c r="BG127" s="76" t="b">
        <v>0</v>
      </c>
      <c r="BH127" s="82" t="str">
        <f>HYPERLINK("https://pbs.twimg.com/profile_banners/1290060433810952193/1694280628")</f>
        <v>https://pbs.twimg.com/profile_banners/1290060433810952193/1694280628</v>
      </c>
      <c r="BI127" s="76"/>
      <c r="BJ127" s="76" t="s">
        <v>27595</v>
      </c>
      <c r="BK127" s="76" t="b">
        <v>0</v>
      </c>
      <c r="BL127" s="76"/>
      <c r="BM127" s="76" t="s">
        <v>66</v>
      </c>
      <c r="BN127" s="76" t="s">
        <v>27597</v>
      </c>
      <c r="BO127" s="82" t="str">
        <f>HYPERLINK("https://twitter.com/elgeneralabe")</f>
        <v>https://twitter.com/elgeneralabe</v>
      </c>
      <c r="BP127" s="2"/>
    </row>
    <row r="128" spans="1:68" x14ac:dyDescent="0.25">
      <c r="A128" s="62" t="s">
        <v>308</v>
      </c>
      <c r="B128" s="63"/>
      <c r="C128" s="63"/>
      <c r="D128" s="64"/>
      <c r="E128" s="66"/>
      <c r="F128" s="103" t="str">
        <f>HYPERLINK("https://pbs.twimg.com/profile_images/1686821885030318082/_4rrTbug_normal.jpg")</f>
        <v>https://pbs.twimg.com/profile_images/1686821885030318082/_4rrTbug_normal.jpg</v>
      </c>
      <c r="G128" s="63"/>
      <c r="H128" s="67"/>
      <c r="I128" s="68"/>
      <c r="J128" s="68"/>
      <c r="K128" s="67" t="s">
        <v>27722</v>
      </c>
      <c r="L128" s="71"/>
      <c r="M128" s="72"/>
      <c r="N128" s="72"/>
      <c r="O128" s="73"/>
      <c r="P128" s="74"/>
      <c r="Q128" s="74"/>
      <c r="R128" s="87"/>
      <c r="S128" s="87"/>
      <c r="T128" s="87"/>
      <c r="U128" s="87"/>
      <c r="V128" s="48"/>
      <c r="W128" s="48"/>
      <c r="X128" s="48"/>
      <c r="Y128" s="48"/>
      <c r="Z128" s="47"/>
      <c r="AA128" s="69">
        <v>128</v>
      </c>
      <c r="AB128" s="69"/>
      <c r="AC128" s="70"/>
      <c r="AD128" s="76" t="s">
        <v>21373</v>
      </c>
      <c r="AE128" s="81" t="s">
        <v>23126</v>
      </c>
      <c r="AF128" s="76">
        <v>10749</v>
      </c>
      <c r="AG128" s="76">
        <v>977</v>
      </c>
      <c r="AH128" s="76">
        <v>109968</v>
      </c>
      <c r="AI128" s="76">
        <v>115</v>
      </c>
      <c r="AJ128" s="76">
        <v>5237</v>
      </c>
      <c r="AK128" s="76">
        <v>36502</v>
      </c>
      <c r="AL128" s="76" t="b">
        <v>0</v>
      </c>
      <c r="AM128" s="78">
        <v>40190.589247685188</v>
      </c>
      <c r="AN128" s="76" t="s">
        <v>24124</v>
      </c>
      <c r="AO128" s="76" t="s">
        <v>24820</v>
      </c>
      <c r="AP128" s="82" t="str">
        <f>HYPERLINK("https://t.co/Uc3XJ6oIBt")</f>
        <v>https://t.co/Uc3XJ6oIBt</v>
      </c>
      <c r="AQ128" s="82" t="str">
        <f>HYPERLINK("http://www.invasor.cu")</f>
        <v>http://www.invasor.cu</v>
      </c>
      <c r="AR128" s="76" t="s">
        <v>8636</v>
      </c>
      <c r="AS128" s="76"/>
      <c r="AT128" s="76"/>
      <c r="AU128" s="76"/>
      <c r="AV128" s="76"/>
      <c r="AW128" s="82" t="str">
        <f>HYPERLINK("https://t.co/Uc3XJ6oIBt")</f>
        <v>https://t.co/Uc3XJ6oIBt</v>
      </c>
      <c r="AX128" s="76" t="b">
        <v>0</v>
      </c>
      <c r="AY128" s="76"/>
      <c r="AZ128" s="76"/>
      <c r="BA128" s="76" t="b">
        <v>0</v>
      </c>
      <c r="BB128" s="76" t="b">
        <v>1</v>
      </c>
      <c r="BC128" s="76" t="b">
        <v>0</v>
      </c>
      <c r="BD128" s="76" t="b">
        <v>0</v>
      </c>
      <c r="BE128" s="76" t="b">
        <v>1</v>
      </c>
      <c r="BF128" s="76" t="b">
        <v>0</v>
      </c>
      <c r="BG128" s="76" t="b">
        <v>0</v>
      </c>
      <c r="BH128" s="82" t="str">
        <f>HYPERLINK("https://pbs.twimg.com/profile_banners/104171632/1566573392")</f>
        <v>https://pbs.twimg.com/profile_banners/104171632/1566573392</v>
      </c>
      <c r="BI128" s="76"/>
      <c r="BJ128" s="76" t="s">
        <v>27595</v>
      </c>
      <c r="BK128" s="76" t="b">
        <v>0</v>
      </c>
      <c r="BL128" s="76"/>
      <c r="BM128" s="76" t="s">
        <v>66</v>
      </c>
      <c r="BN128" s="76" t="s">
        <v>27597</v>
      </c>
      <c r="BO128" s="82" t="str">
        <f>HYPERLINK("https://twitter.com/invasorpress")</f>
        <v>https://twitter.com/invasorpress</v>
      </c>
      <c r="BP128" s="2"/>
    </row>
    <row r="129" spans="1:68" x14ac:dyDescent="0.25">
      <c r="A129" s="62" t="s">
        <v>309</v>
      </c>
      <c r="B129" s="63"/>
      <c r="C129" s="63"/>
      <c r="D129" s="64"/>
      <c r="E129" s="66"/>
      <c r="F129" s="103" t="str">
        <f>HYPERLINK("https://pbs.twimg.com/profile_images/1654456962279514114/BbYAQ42B_normal.jpg")</f>
        <v>https://pbs.twimg.com/profile_images/1654456962279514114/BbYAQ42B_normal.jpg</v>
      </c>
      <c r="G129" s="63"/>
      <c r="H129" s="67"/>
      <c r="I129" s="68"/>
      <c r="J129" s="68"/>
      <c r="K129" s="67" t="s">
        <v>27723</v>
      </c>
      <c r="L129" s="71"/>
      <c r="M129" s="72"/>
      <c r="N129" s="72"/>
      <c r="O129" s="73"/>
      <c r="P129" s="74"/>
      <c r="Q129" s="74"/>
      <c r="R129" s="87"/>
      <c r="S129" s="87"/>
      <c r="T129" s="87"/>
      <c r="U129" s="87"/>
      <c r="V129" s="48"/>
      <c r="W129" s="48"/>
      <c r="X129" s="48"/>
      <c r="Y129" s="48"/>
      <c r="Z129" s="47"/>
      <c r="AA129" s="69">
        <v>129</v>
      </c>
      <c r="AB129" s="69"/>
      <c r="AC129" s="70"/>
      <c r="AD129" s="76" t="s">
        <v>21374</v>
      </c>
      <c r="AE129" s="81" t="s">
        <v>20541</v>
      </c>
      <c r="AF129" s="76">
        <v>496</v>
      </c>
      <c r="AG129" s="76">
        <v>3180</v>
      </c>
      <c r="AH129" s="76">
        <v>293</v>
      </c>
      <c r="AI129" s="76">
        <v>1</v>
      </c>
      <c r="AJ129" s="76">
        <v>193</v>
      </c>
      <c r="AK129" s="76">
        <v>124</v>
      </c>
      <c r="AL129" s="76" t="b">
        <v>0</v>
      </c>
      <c r="AM129" s="78">
        <v>44947.962256944447</v>
      </c>
      <c r="AN129" s="76" t="s">
        <v>24125</v>
      </c>
      <c r="AO129" s="76" t="s">
        <v>24821</v>
      </c>
      <c r="AP129" s="82" t="str">
        <f>HYPERLINK("https://t.co/o0eAir4vWm")</f>
        <v>https://t.co/o0eAir4vWm</v>
      </c>
      <c r="AQ129" s="82" t="str">
        <f>HYPERLINK("http://www.estudioseconomicos.uns.edu.ar")</f>
        <v>http://www.estudioseconomicos.uns.edu.ar</v>
      </c>
      <c r="AR129" s="76" t="s">
        <v>26436</v>
      </c>
      <c r="AS129" s="76"/>
      <c r="AT129" s="76"/>
      <c r="AU129" s="76"/>
      <c r="AV129" s="76">
        <v>1.69702113610032E+18</v>
      </c>
      <c r="AW129" s="82" t="str">
        <f>HYPERLINK("https://t.co/o0eAir4vWm")</f>
        <v>https://t.co/o0eAir4vWm</v>
      </c>
      <c r="AX129" s="76" t="b">
        <v>0</v>
      </c>
      <c r="AY129" s="76"/>
      <c r="AZ129" s="76"/>
      <c r="BA129" s="76" t="b">
        <v>0</v>
      </c>
      <c r="BB129" s="76" t="b">
        <v>1</v>
      </c>
      <c r="BC129" s="76" t="b">
        <v>1</v>
      </c>
      <c r="BD129" s="76" t="b">
        <v>0</v>
      </c>
      <c r="BE129" s="76" t="b">
        <v>0</v>
      </c>
      <c r="BF129" s="76" t="b">
        <v>0</v>
      </c>
      <c r="BG129" s="76" t="b">
        <v>0</v>
      </c>
      <c r="BH129" s="82" t="str">
        <f>HYPERLINK("https://pbs.twimg.com/profile_banners/1616934835066490880/1687271825")</f>
        <v>https://pbs.twimg.com/profile_banners/1616934835066490880/1687271825</v>
      </c>
      <c r="BI129" s="76"/>
      <c r="BJ129" s="76" t="s">
        <v>27595</v>
      </c>
      <c r="BK129" s="76" t="b">
        <v>0</v>
      </c>
      <c r="BL129" s="76"/>
      <c r="BM129" s="76" t="s">
        <v>66</v>
      </c>
      <c r="BN129" s="76" t="s">
        <v>27597</v>
      </c>
      <c r="BO129" s="82" t="str">
        <f>HYPERLINK("https://twitter.com/estud_econ")</f>
        <v>https://twitter.com/estud_econ</v>
      </c>
      <c r="BP129" s="2"/>
    </row>
    <row r="130" spans="1:68" x14ac:dyDescent="0.25">
      <c r="A130" s="62" t="s">
        <v>1721</v>
      </c>
      <c r="B130" s="63"/>
      <c r="C130" s="63"/>
      <c r="D130" s="64"/>
      <c r="E130" s="66"/>
      <c r="F130" s="103" t="str">
        <f>HYPERLINK("https://pbs.twimg.com/profile_images/1357363513409363976/JptxQJbH_normal.jpg")</f>
        <v>https://pbs.twimg.com/profile_images/1357363513409363976/JptxQJbH_normal.jpg</v>
      </c>
      <c r="G130" s="63"/>
      <c r="H130" s="67"/>
      <c r="I130" s="68"/>
      <c r="J130" s="68"/>
      <c r="K130" s="67" t="s">
        <v>27724</v>
      </c>
      <c r="L130" s="71"/>
      <c r="M130" s="72"/>
      <c r="N130" s="72"/>
      <c r="O130" s="73"/>
      <c r="P130" s="74"/>
      <c r="Q130" s="74"/>
      <c r="R130" s="87"/>
      <c r="S130" s="87"/>
      <c r="T130" s="87"/>
      <c r="U130" s="87"/>
      <c r="V130" s="48"/>
      <c r="W130" s="48"/>
      <c r="X130" s="48"/>
      <c r="Y130" s="48"/>
      <c r="Z130" s="47"/>
      <c r="AA130" s="69">
        <v>130</v>
      </c>
      <c r="AB130" s="69"/>
      <c r="AC130" s="70"/>
      <c r="AD130" s="76" t="s">
        <v>21375</v>
      </c>
      <c r="AE130" s="81" t="s">
        <v>23127</v>
      </c>
      <c r="AF130" s="76">
        <v>26611</v>
      </c>
      <c r="AG130" s="76">
        <v>79</v>
      </c>
      <c r="AH130" s="76">
        <v>16996</v>
      </c>
      <c r="AI130" s="76">
        <v>132</v>
      </c>
      <c r="AJ130" s="76">
        <v>3429</v>
      </c>
      <c r="AK130" s="76">
        <v>4478</v>
      </c>
      <c r="AL130" s="76" t="b">
        <v>0</v>
      </c>
      <c r="AM130" s="78">
        <v>40375.772881944446</v>
      </c>
      <c r="AN130" s="76" t="s">
        <v>24126</v>
      </c>
      <c r="AO130" s="76" t="s">
        <v>24822</v>
      </c>
      <c r="AP130" s="82" t="str">
        <f>HYPERLINK("https://t.co/mWP55k6GoM")</f>
        <v>https://t.co/mWP55k6GoM</v>
      </c>
      <c r="AQ130" s="82" t="str">
        <f>HYPERLINK("http://www.uade.edu.ar/")</f>
        <v>http://www.uade.edu.ar/</v>
      </c>
      <c r="AR130" s="76" t="s">
        <v>26437</v>
      </c>
      <c r="AS130" s="76"/>
      <c r="AT130" s="76"/>
      <c r="AU130" s="76"/>
      <c r="AV130" s="76"/>
      <c r="AW130" s="82" t="str">
        <f>HYPERLINK("https://t.co/mWP55k6GoM")</f>
        <v>https://t.co/mWP55k6GoM</v>
      </c>
      <c r="AX130" s="76" t="b">
        <v>0</v>
      </c>
      <c r="AY130" s="76"/>
      <c r="AZ130" s="76"/>
      <c r="BA130" s="76" t="b">
        <v>1</v>
      </c>
      <c r="BB130" s="76" t="b">
        <v>1</v>
      </c>
      <c r="BC130" s="76" t="b">
        <v>0</v>
      </c>
      <c r="BD130" s="76" t="b">
        <v>0</v>
      </c>
      <c r="BE130" s="76" t="b">
        <v>1</v>
      </c>
      <c r="BF130" s="76" t="b">
        <v>0</v>
      </c>
      <c r="BG130" s="76" t="b">
        <v>0</v>
      </c>
      <c r="BH130" s="82" t="str">
        <f>HYPERLINK("https://pbs.twimg.com/profile_banners/167488809/1614879167")</f>
        <v>https://pbs.twimg.com/profile_banners/167488809/1614879167</v>
      </c>
      <c r="BI130" s="76"/>
      <c r="BJ130" s="76" t="s">
        <v>27595</v>
      </c>
      <c r="BK130" s="76" t="b">
        <v>0</v>
      </c>
      <c r="BL130" s="76"/>
      <c r="BM130" s="76" t="s">
        <v>65</v>
      </c>
      <c r="BN130" s="76" t="s">
        <v>27597</v>
      </c>
      <c r="BO130" s="82" t="str">
        <f>HYPERLINK("https://twitter.com/uadeoficial")</f>
        <v>https://twitter.com/uadeoficial</v>
      </c>
      <c r="BP130" s="2"/>
    </row>
    <row r="131" spans="1:68" x14ac:dyDescent="0.25">
      <c r="A131" s="62" t="s">
        <v>1722</v>
      </c>
      <c r="B131" s="63"/>
      <c r="C131" s="63"/>
      <c r="D131" s="64"/>
      <c r="E131" s="66"/>
      <c r="F131" s="103" t="str">
        <f>HYPERLINK("https://pbs.twimg.com/profile_images/1453440870750040073/oJHjLkNx_normal.jpg")</f>
        <v>https://pbs.twimg.com/profile_images/1453440870750040073/oJHjLkNx_normal.jpg</v>
      </c>
      <c r="G131" s="63"/>
      <c r="H131" s="67"/>
      <c r="I131" s="68"/>
      <c r="J131" s="68"/>
      <c r="K131" s="67" t="s">
        <v>27725</v>
      </c>
      <c r="L131" s="71"/>
      <c r="M131" s="72"/>
      <c r="N131" s="72"/>
      <c r="O131" s="73"/>
      <c r="P131" s="74"/>
      <c r="Q131" s="74"/>
      <c r="R131" s="87"/>
      <c r="S131" s="87"/>
      <c r="T131" s="87"/>
      <c r="U131" s="87"/>
      <c r="V131" s="48"/>
      <c r="W131" s="48"/>
      <c r="X131" s="48"/>
      <c r="Y131" s="48"/>
      <c r="Z131" s="47"/>
      <c r="AA131" s="69">
        <v>131</v>
      </c>
      <c r="AB131" s="69"/>
      <c r="AC131" s="70"/>
      <c r="AD131" s="76" t="s">
        <v>21376</v>
      </c>
      <c r="AE131" s="81" t="s">
        <v>23128</v>
      </c>
      <c r="AF131" s="76">
        <v>1589</v>
      </c>
      <c r="AG131" s="76">
        <v>163</v>
      </c>
      <c r="AH131" s="76">
        <v>467</v>
      </c>
      <c r="AI131" s="76">
        <v>11</v>
      </c>
      <c r="AJ131" s="76">
        <v>105</v>
      </c>
      <c r="AK131" s="76">
        <v>286</v>
      </c>
      <c r="AL131" s="76" t="b">
        <v>0</v>
      </c>
      <c r="AM131" s="78">
        <v>42571.736226851855</v>
      </c>
      <c r="AN131" s="76" t="s">
        <v>24127</v>
      </c>
      <c r="AO131" s="76" t="s">
        <v>24823</v>
      </c>
      <c r="AP131" s="82" t="str">
        <f>HYPERLINK("https://t.co/1Lb3BjJ8zx")</f>
        <v>https://t.co/1Lb3BjJ8zx</v>
      </c>
      <c r="AQ131" s="82" t="str">
        <f>HYPERLINK("http://cienciassociales.edu.uy/departamentodeeconomia/")</f>
        <v>http://cienciassociales.edu.uy/departamentodeeconomia/</v>
      </c>
      <c r="AR131" s="76" t="s">
        <v>26438</v>
      </c>
      <c r="AS131" s="76"/>
      <c r="AT131" s="76"/>
      <c r="AU131" s="76"/>
      <c r="AV131" s="76"/>
      <c r="AW131" s="82" t="str">
        <f>HYPERLINK("https://t.co/1Lb3BjJ8zx")</f>
        <v>https://t.co/1Lb3BjJ8zx</v>
      </c>
      <c r="AX131" s="76" t="b">
        <v>0</v>
      </c>
      <c r="AY131" s="76"/>
      <c r="AZ131" s="76"/>
      <c r="BA131" s="76" t="b">
        <v>1</v>
      </c>
      <c r="BB131" s="76" t="b">
        <v>1</v>
      </c>
      <c r="BC131" s="76" t="b">
        <v>0</v>
      </c>
      <c r="BD131" s="76" t="b">
        <v>0</v>
      </c>
      <c r="BE131" s="76" t="b">
        <v>1</v>
      </c>
      <c r="BF131" s="76" t="b">
        <v>0</v>
      </c>
      <c r="BG131" s="76" t="b">
        <v>0</v>
      </c>
      <c r="BH131" s="82" t="str">
        <f>HYPERLINK("https://pbs.twimg.com/profile_banners/755819601947160576/1566221322")</f>
        <v>https://pbs.twimg.com/profile_banners/755819601947160576/1566221322</v>
      </c>
      <c r="BI131" s="76"/>
      <c r="BJ131" s="76" t="s">
        <v>27595</v>
      </c>
      <c r="BK131" s="76" t="b">
        <v>0</v>
      </c>
      <c r="BL131" s="76"/>
      <c r="BM131" s="76" t="s">
        <v>65</v>
      </c>
      <c r="BN131" s="76" t="s">
        <v>27597</v>
      </c>
      <c r="BO131" s="82" t="str">
        <f>HYPERLINK("https://twitter.com/decon_udelar")</f>
        <v>https://twitter.com/decon_udelar</v>
      </c>
      <c r="BP131" s="2"/>
    </row>
    <row r="132" spans="1:68" x14ac:dyDescent="0.25">
      <c r="A132" s="62" t="s">
        <v>1723</v>
      </c>
      <c r="B132" s="63"/>
      <c r="C132" s="63"/>
      <c r="D132" s="64"/>
      <c r="E132" s="66"/>
      <c r="F132" s="103" t="str">
        <f>HYPERLINK("https://pbs.twimg.com/profile_images/1226898562010767360/PBYe9jgY_normal.png")</f>
        <v>https://pbs.twimg.com/profile_images/1226898562010767360/PBYe9jgY_normal.png</v>
      </c>
      <c r="G132" s="63"/>
      <c r="H132" s="67"/>
      <c r="I132" s="68"/>
      <c r="J132" s="68"/>
      <c r="K132" s="67" t="s">
        <v>27726</v>
      </c>
      <c r="L132" s="71"/>
      <c r="M132" s="72"/>
      <c r="N132" s="72"/>
      <c r="O132" s="73"/>
      <c r="P132" s="74"/>
      <c r="Q132" s="74"/>
      <c r="R132" s="87"/>
      <c r="S132" s="87"/>
      <c r="T132" s="87"/>
      <c r="U132" s="87"/>
      <c r="V132" s="48"/>
      <c r="W132" s="48"/>
      <c r="X132" s="48"/>
      <c r="Y132" s="48"/>
      <c r="Z132" s="47"/>
      <c r="AA132" s="69">
        <v>132</v>
      </c>
      <c r="AB132" s="69"/>
      <c r="AC132" s="70"/>
      <c r="AD132" s="76" t="s">
        <v>21377</v>
      </c>
      <c r="AE132" s="81" t="s">
        <v>23129</v>
      </c>
      <c r="AF132" s="76">
        <v>540356</v>
      </c>
      <c r="AG132" s="76">
        <v>481</v>
      </c>
      <c r="AH132" s="76">
        <v>37255</v>
      </c>
      <c r="AI132" s="76">
        <v>2892</v>
      </c>
      <c r="AJ132" s="76">
        <v>8287</v>
      </c>
      <c r="AK132" s="76">
        <v>13010</v>
      </c>
      <c r="AL132" s="76" t="b">
        <v>0</v>
      </c>
      <c r="AM132" s="78">
        <v>39813.714224537034</v>
      </c>
      <c r="AN132" s="76" t="s">
        <v>24080</v>
      </c>
      <c r="AO132" s="76" t="s">
        <v>24824</v>
      </c>
      <c r="AP132" s="82" t="str">
        <f>HYPERLINK("https://t.co/SFfkJLiK9H")</f>
        <v>https://t.co/SFfkJLiK9H</v>
      </c>
      <c r="AQ132" s="82" t="str">
        <f>HYPERLINK("http://www.iadb.org/es/mejorandovidas")</f>
        <v>http://www.iadb.org/es/mejorandovidas</v>
      </c>
      <c r="AR132" s="76" t="s">
        <v>26439</v>
      </c>
      <c r="AS132" s="76"/>
      <c r="AT132" s="76"/>
      <c r="AU132" s="76"/>
      <c r="AV132" s="76"/>
      <c r="AW132" s="82" t="str">
        <f>HYPERLINK("https://t.co/SFfkJLiK9H")</f>
        <v>https://t.co/SFfkJLiK9H</v>
      </c>
      <c r="AX132" s="76" t="b">
        <v>1</v>
      </c>
      <c r="AY132" s="76"/>
      <c r="AZ132" s="76"/>
      <c r="BA132" s="76" t="b">
        <v>0</v>
      </c>
      <c r="BB132" s="76" t="b">
        <v>1</v>
      </c>
      <c r="BC132" s="76" t="b">
        <v>0</v>
      </c>
      <c r="BD132" s="76" t="b">
        <v>0</v>
      </c>
      <c r="BE132" s="76" t="b">
        <v>1</v>
      </c>
      <c r="BF132" s="76" t="b">
        <v>0</v>
      </c>
      <c r="BG132" s="76" t="b">
        <v>0</v>
      </c>
      <c r="BH132" s="82" t="str">
        <f>HYPERLINK("https://pbs.twimg.com/profile_banners/18510558/1664236715")</f>
        <v>https://pbs.twimg.com/profile_banners/18510558/1664236715</v>
      </c>
      <c r="BI132" s="76"/>
      <c r="BJ132" s="76" t="s">
        <v>27595</v>
      </c>
      <c r="BK132" s="76" t="b">
        <v>0</v>
      </c>
      <c r="BL132" s="76"/>
      <c r="BM132" s="76" t="s">
        <v>65</v>
      </c>
      <c r="BN132" s="76" t="s">
        <v>27597</v>
      </c>
      <c r="BO132" s="82" t="str">
        <f>HYPERLINK("https://twitter.com/el_bid")</f>
        <v>https://twitter.com/el_bid</v>
      </c>
      <c r="BP132" s="2"/>
    </row>
    <row r="133" spans="1:68" x14ac:dyDescent="0.25">
      <c r="A133" s="62" t="s">
        <v>310</v>
      </c>
      <c r="B133" s="63"/>
      <c r="C133" s="63"/>
      <c r="D133" s="64"/>
      <c r="E133" s="66"/>
      <c r="F133" s="103" t="str">
        <f>HYPERLINK("https://pbs.twimg.com/profile_images/1461728261461970949/dFkRU8l1_normal.jpg")</f>
        <v>https://pbs.twimg.com/profile_images/1461728261461970949/dFkRU8l1_normal.jpg</v>
      </c>
      <c r="G133" s="63"/>
      <c r="H133" s="67"/>
      <c r="I133" s="68"/>
      <c r="J133" s="68"/>
      <c r="K133" s="67" t="s">
        <v>27727</v>
      </c>
      <c r="L133" s="71"/>
      <c r="M133" s="72"/>
      <c r="N133" s="72"/>
      <c r="O133" s="73"/>
      <c r="P133" s="74"/>
      <c r="Q133" s="74"/>
      <c r="R133" s="87"/>
      <c r="S133" s="87"/>
      <c r="T133" s="87"/>
      <c r="U133" s="87"/>
      <c r="V133" s="48"/>
      <c r="W133" s="48"/>
      <c r="X133" s="48"/>
      <c r="Y133" s="48"/>
      <c r="Z133" s="47"/>
      <c r="AA133" s="69">
        <v>133</v>
      </c>
      <c r="AB133" s="69"/>
      <c r="AC133" s="70"/>
      <c r="AD133" s="76" t="s">
        <v>21378</v>
      </c>
      <c r="AE133" s="81" t="s">
        <v>20223</v>
      </c>
      <c r="AF133" s="76">
        <v>168</v>
      </c>
      <c r="AG133" s="76">
        <v>340</v>
      </c>
      <c r="AH133" s="76">
        <v>7194</v>
      </c>
      <c r="AI133" s="76">
        <v>0</v>
      </c>
      <c r="AJ133" s="76">
        <v>58</v>
      </c>
      <c r="AK133" s="76">
        <v>1546</v>
      </c>
      <c r="AL133" s="76" t="b">
        <v>0</v>
      </c>
      <c r="AM133" s="78">
        <v>43708.042673611111</v>
      </c>
      <c r="AN133" s="76" t="s">
        <v>24128</v>
      </c>
      <c r="AO133" s="76" t="s">
        <v>24825</v>
      </c>
      <c r="AP133" s="82" t="str">
        <f>HYPERLINK("https://t.co/mYEsNvyQDn")</f>
        <v>https://t.co/mYEsNvyQDn</v>
      </c>
      <c r="AQ133" s="82" t="str">
        <f>HYPERLINK("https://comunicarnoticias.com.ar")</f>
        <v>https://comunicarnoticias.com.ar</v>
      </c>
      <c r="AR133" s="76" t="s">
        <v>26440</v>
      </c>
      <c r="AS133" s="82" t="str">
        <f>HYPERLINK("https://t.co/ci1A5ByKYv")</f>
        <v>https://t.co/ci1A5ByKYv</v>
      </c>
      <c r="AT133" s="82" t="str">
        <f>HYPERLINK("http://t.me/cnarargentina")</f>
        <v>http://t.me/cnarargentina</v>
      </c>
      <c r="AU133" s="76" t="s">
        <v>27457</v>
      </c>
      <c r="AV133" s="76"/>
      <c r="AW133" s="82" t="str">
        <f>HYPERLINK("https://t.co/mYEsNvyQDn")</f>
        <v>https://t.co/mYEsNvyQDn</v>
      </c>
      <c r="AX133" s="76" t="b">
        <v>0</v>
      </c>
      <c r="AY133" s="76"/>
      <c r="AZ133" s="76"/>
      <c r="BA133" s="76" t="b">
        <v>0</v>
      </c>
      <c r="BB133" s="76" t="b">
        <v>1</v>
      </c>
      <c r="BC133" s="76" t="b">
        <v>1</v>
      </c>
      <c r="BD133" s="76" t="b">
        <v>0</v>
      </c>
      <c r="BE133" s="76" t="b">
        <v>1</v>
      </c>
      <c r="BF133" s="76" t="b">
        <v>0</v>
      </c>
      <c r="BG133" s="76" t="b">
        <v>0</v>
      </c>
      <c r="BH133" s="82" t="str">
        <f>HYPERLINK("https://pbs.twimg.com/profile_banners/1167603105351049217/1567267670")</f>
        <v>https://pbs.twimg.com/profile_banners/1167603105351049217/1567267670</v>
      </c>
      <c r="BI133" s="76"/>
      <c r="BJ133" s="76" t="s">
        <v>27595</v>
      </c>
      <c r="BK133" s="76" t="b">
        <v>0</v>
      </c>
      <c r="BL133" s="76"/>
      <c r="BM133" s="76" t="s">
        <v>66</v>
      </c>
      <c r="BN133" s="76" t="s">
        <v>27597</v>
      </c>
      <c r="BO133" s="82" t="str">
        <f>HYPERLINK("https://twitter.com/cnarnoticiasarg")</f>
        <v>https://twitter.com/cnarnoticiasarg</v>
      </c>
      <c r="BP133" s="2"/>
    </row>
    <row r="134" spans="1:68" x14ac:dyDescent="0.25">
      <c r="A134" s="62" t="s">
        <v>311</v>
      </c>
      <c r="B134" s="63"/>
      <c r="C134" s="63"/>
      <c r="D134" s="64"/>
      <c r="E134" s="66"/>
      <c r="F134" s="103" t="str">
        <f>HYPERLINK("https://pbs.twimg.com/profile_images/1641446396795686914/q3_zenpv_normal.jpg")</f>
        <v>https://pbs.twimg.com/profile_images/1641446396795686914/q3_zenpv_normal.jpg</v>
      </c>
      <c r="G134" s="63"/>
      <c r="H134" s="67"/>
      <c r="I134" s="68"/>
      <c r="J134" s="68"/>
      <c r="K134" s="67" t="s">
        <v>27728</v>
      </c>
      <c r="L134" s="71"/>
      <c r="M134" s="72"/>
      <c r="N134" s="72"/>
      <c r="O134" s="73"/>
      <c r="P134" s="74"/>
      <c r="Q134" s="74"/>
      <c r="R134" s="87"/>
      <c r="S134" s="87"/>
      <c r="T134" s="87"/>
      <c r="U134" s="87"/>
      <c r="V134" s="48"/>
      <c r="W134" s="48"/>
      <c r="X134" s="48"/>
      <c r="Y134" s="48"/>
      <c r="Z134" s="47"/>
      <c r="AA134" s="69">
        <v>134</v>
      </c>
      <c r="AB134" s="69"/>
      <c r="AC134" s="70"/>
      <c r="AD134" s="76" t="s">
        <v>21379</v>
      </c>
      <c r="AE134" s="81" t="s">
        <v>23130</v>
      </c>
      <c r="AF134" s="76">
        <v>94</v>
      </c>
      <c r="AG134" s="76">
        <v>291</v>
      </c>
      <c r="AH134" s="76">
        <v>578</v>
      </c>
      <c r="AI134" s="76">
        <v>1</v>
      </c>
      <c r="AJ134" s="76">
        <v>2183</v>
      </c>
      <c r="AK134" s="76">
        <v>33</v>
      </c>
      <c r="AL134" s="76" t="b">
        <v>0</v>
      </c>
      <c r="AM134" s="78">
        <v>41748.016400462962</v>
      </c>
      <c r="AN134" s="76" t="s">
        <v>14385</v>
      </c>
      <c r="AO134" s="76" t="s">
        <v>24826</v>
      </c>
      <c r="AP134" s="76"/>
      <c r="AQ134" s="76"/>
      <c r="AR134" s="76"/>
      <c r="AS134" s="76"/>
      <c r="AT134" s="76"/>
      <c r="AU134" s="76"/>
      <c r="AV134" s="76">
        <v>1.1356409862883E+18</v>
      </c>
      <c r="AW134" s="76"/>
      <c r="AX134" s="76" t="b">
        <v>0</v>
      </c>
      <c r="AY134" s="76"/>
      <c r="AZ134" s="76"/>
      <c r="BA134" s="76" t="b">
        <v>1</v>
      </c>
      <c r="BB134" s="76" t="b">
        <v>1</v>
      </c>
      <c r="BC134" s="76" t="b">
        <v>0</v>
      </c>
      <c r="BD134" s="76" t="b">
        <v>0</v>
      </c>
      <c r="BE134" s="76" t="b">
        <v>1</v>
      </c>
      <c r="BF134" s="76" t="b">
        <v>0</v>
      </c>
      <c r="BG134" s="76" t="b">
        <v>0</v>
      </c>
      <c r="BH134" s="82" t="str">
        <f>HYPERLINK("https://pbs.twimg.com/profile_banners/2493429291/1488606069")</f>
        <v>https://pbs.twimg.com/profile_banners/2493429291/1488606069</v>
      </c>
      <c r="BI134" s="76"/>
      <c r="BJ134" s="76" t="s">
        <v>27595</v>
      </c>
      <c r="BK134" s="76" t="b">
        <v>0</v>
      </c>
      <c r="BL134" s="76"/>
      <c r="BM134" s="76" t="s">
        <v>66</v>
      </c>
      <c r="BN134" s="76" t="s">
        <v>27597</v>
      </c>
      <c r="BO134" s="82" t="str">
        <f>HYPERLINK("https://twitter.com/pichondelacity")</f>
        <v>https://twitter.com/pichondelacity</v>
      </c>
      <c r="BP134" s="2"/>
    </row>
    <row r="135" spans="1:68" x14ac:dyDescent="0.25">
      <c r="A135" s="62" t="s">
        <v>312</v>
      </c>
      <c r="B135" s="63"/>
      <c r="C135" s="63"/>
      <c r="D135" s="64"/>
      <c r="E135" s="66"/>
      <c r="F135" s="103" t="str">
        <f>HYPERLINK("https://pbs.twimg.com/profile_images/1613747461650006018/7WJo_WId_normal.jpg")</f>
        <v>https://pbs.twimg.com/profile_images/1613747461650006018/7WJo_WId_normal.jpg</v>
      </c>
      <c r="G135" s="63"/>
      <c r="H135" s="67"/>
      <c r="I135" s="68"/>
      <c r="J135" s="68"/>
      <c r="K135" s="67" t="s">
        <v>27729</v>
      </c>
      <c r="L135" s="71"/>
      <c r="M135" s="72"/>
      <c r="N135" s="72"/>
      <c r="O135" s="73"/>
      <c r="P135" s="74"/>
      <c r="Q135" s="74"/>
      <c r="R135" s="87"/>
      <c r="S135" s="87"/>
      <c r="T135" s="87"/>
      <c r="U135" s="87"/>
      <c r="V135" s="48"/>
      <c r="W135" s="48"/>
      <c r="X135" s="48"/>
      <c r="Y135" s="48"/>
      <c r="Z135" s="47"/>
      <c r="AA135" s="69">
        <v>135</v>
      </c>
      <c r="AB135" s="69"/>
      <c r="AC135" s="70"/>
      <c r="AD135" s="76" t="s">
        <v>21380</v>
      </c>
      <c r="AE135" s="81" t="s">
        <v>20542</v>
      </c>
      <c r="AF135" s="76">
        <v>2</v>
      </c>
      <c r="AG135" s="76">
        <v>50</v>
      </c>
      <c r="AH135" s="76">
        <v>190</v>
      </c>
      <c r="AI135" s="76">
        <v>0</v>
      </c>
      <c r="AJ135" s="76">
        <v>326</v>
      </c>
      <c r="AK135" s="76">
        <v>1</v>
      </c>
      <c r="AL135" s="76" t="b">
        <v>0</v>
      </c>
      <c r="AM135" s="78">
        <v>44939.165636574071</v>
      </c>
      <c r="AN135" s="76"/>
      <c r="AO135" s="76"/>
      <c r="AP135" s="76"/>
      <c r="AQ135" s="76"/>
      <c r="AR135" s="76"/>
      <c r="AS135" s="76"/>
      <c r="AT135" s="76"/>
      <c r="AU135" s="76"/>
      <c r="AV135" s="76"/>
      <c r="AW135" s="76"/>
      <c r="AX135" s="76" t="b">
        <v>0</v>
      </c>
      <c r="AY135" s="76"/>
      <c r="AZ135" s="76"/>
      <c r="BA135" s="76" t="b">
        <v>0</v>
      </c>
      <c r="BB135" s="76" t="b">
        <v>1</v>
      </c>
      <c r="BC135" s="76" t="b">
        <v>1</v>
      </c>
      <c r="BD135" s="76" t="b">
        <v>0</v>
      </c>
      <c r="BE135" s="76" t="b">
        <v>0</v>
      </c>
      <c r="BF135" s="76" t="b">
        <v>0</v>
      </c>
      <c r="BG135" s="76" t="b">
        <v>0</v>
      </c>
      <c r="BH135" s="76"/>
      <c r="BI135" s="76"/>
      <c r="BJ135" s="76" t="s">
        <v>27595</v>
      </c>
      <c r="BK135" s="76" t="b">
        <v>0</v>
      </c>
      <c r="BL135" s="76"/>
      <c r="BM135" s="76" t="s">
        <v>66</v>
      </c>
      <c r="BN135" s="76" t="s">
        <v>27597</v>
      </c>
      <c r="BO135" s="82" t="str">
        <f>HYPERLINK("https://twitter.com/catdogdogue")</f>
        <v>https://twitter.com/catdogdogue</v>
      </c>
      <c r="BP135" s="2"/>
    </row>
    <row r="136" spans="1:68" x14ac:dyDescent="0.25">
      <c r="A136" s="62" t="s">
        <v>313</v>
      </c>
      <c r="B136" s="63"/>
      <c r="C136" s="63"/>
      <c r="D136" s="64"/>
      <c r="E136" s="66"/>
      <c r="F136" s="103" t="str">
        <f>HYPERLINK("https://pbs.twimg.com/profile_images/1537111791431561220/hUjejwub_normal.jpg")</f>
        <v>https://pbs.twimg.com/profile_images/1537111791431561220/hUjejwub_normal.jpg</v>
      </c>
      <c r="G136" s="63"/>
      <c r="H136" s="67"/>
      <c r="I136" s="68"/>
      <c r="J136" s="68"/>
      <c r="K136" s="67" t="s">
        <v>27730</v>
      </c>
      <c r="L136" s="71"/>
      <c r="M136" s="72"/>
      <c r="N136" s="72"/>
      <c r="O136" s="73"/>
      <c r="P136" s="74"/>
      <c r="Q136" s="74"/>
      <c r="R136" s="87"/>
      <c r="S136" s="87"/>
      <c r="T136" s="87"/>
      <c r="U136" s="87"/>
      <c r="V136" s="48"/>
      <c r="W136" s="48"/>
      <c r="X136" s="48"/>
      <c r="Y136" s="48"/>
      <c r="Z136" s="47"/>
      <c r="AA136" s="69">
        <v>136</v>
      </c>
      <c r="AB136" s="69"/>
      <c r="AC136" s="70"/>
      <c r="AD136" s="76" t="s">
        <v>21381</v>
      </c>
      <c r="AE136" s="81" t="s">
        <v>20543</v>
      </c>
      <c r="AF136" s="76">
        <v>8</v>
      </c>
      <c r="AG136" s="76">
        <v>161</v>
      </c>
      <c r="AH136" s="76">
        <v>132</v>
      </c>
      <c r="AI136" s="76">
        <v>1</v>
      </c>
      <c r="AJ136" s="76">
        <v>1274</v>
      </c>
      <c r="AK136" s="76">
        <v>0</v>
      </c>
      <c r="AL136" s="76" t="b">
        <v>0</v>
      </c>
      <c r="AM136" s="78">
        <v>44715.392395833333</v>
      </c>
      <c r="AN136" s="76" t="s">
        <v>14382</v>
      </c>
      <c r="AO136" s="76" t="s">
        <v>24827</v>
      </c>
      <c r="AP136" s="76"/>
      <c r="AQ136" s="76"/>
      <c r="AR136" s="76"/>
      <c r="AS136" s="76"/>
      <c r="AT136" s="76"/>
      <c r="AU136" s="76"/>
      <c r="AV136" s="76"/>
      <c r="AW136" s="76"/>
      <c r="AX136" s="76" t="b">
        <v>0</v>
      </c>
      <c r="AY136" s="76"/>
      <c r="AZ136" s="76"/>
      <c r="BA136" s="76" t="b">
        <v>0</v>
      </c>
      <c r="BB136" s="76" t="b">
        <v>1</v>
      </c>
      <c r="BC136" s="76" t="b">
        <v>1</v>
      </c>
      <c r="BD136" s="76" t="b">
        <v>0</v>
      </c>
      <c r="BE136" s="76" t="b">
        <v>0</v>
      </c>
      <c r="BF136" s="76" t="b">
        <v>0</v>
      </c>
      <c r="BG136" s="76" t="b">
        <v>0</v>
      </c>
      <c r="BH136" s="76"/>
      <c r="BI136" s="76"/>
      <c r="BJ136" s="76" t="s">
        <v>27595</v>
      </c>
      <c r="BK136" s="76" t="b">
        <v>0</v>
      </c>
      <c r="BL136" s="76"/>
      <c r="BM136" s="76" t="s">
        <v>66</v>
      </c>
      <c r="BN136" s="76" t="s">
        <v>27597</v>
      </c>
      <c r="BO136" s="82" t="str">
        <f>HYPERLINK("https://twitter.com/baumfeetlover")</f>
        <v>https://twitter.com/baumfeetlover</v>
      </c>
      <c r="BP136" s="2"/>
    </row>
    <row r="137" spans="1:68" x14ac:dyDescent="0.25">
      <c r="A137" s="62" t="s">
        <v>1345</v>
      </c>
      <c r="B137" s="63"/>
      <c r="C137" s="63"/>
      <c r="D137" s="64"/>
      <c r="E137" s="66"/>
      <c r="F137" s="103" t="str">
        <f>HYPERLINK("https://pbs.twimg.com/profile_images/1370778212259741697/ncZZYK_F_normal.jpg")</f>
        <v>https://pbs.twimg.com/profile_images/1370778212259741697/ncZZYK_F_normal.jpg</v>
      </c>
      <c r="G137" s="63"/>
      <c r="H137" s="67"/>
      <c r="I137" s="68"/>
      <c r="J137" s="68"/>
      <c r="K137" s="67" t="s">
        <v>27731</v>
      </c>
      <c r="L137" s="71"/>
      <c r="M137" s="72"/>
      <c r="N137" s="72"/>
      <c r="O137" s="73"/>
      <c r="P137" s="74"/>
      <c r="Q137" s="74"/>
      <c r="R137" s="87"/>
      <c r="S137" s="87"/>
      <c r="T137" s="87"/>
      <c r="U137" s="87"/>
      <c r="V137" s="48"/>
      <c r="W137" s="48"/>
      <c r="X137" s="48"/>
      <c r="Y137" s="48"/>
      <c r="Z137" s="47"/>
      <c r="AA137" s="69">
        <v>137</v>
      </c>
      <c r="AB137" s="69"/>
      <c r="AC137" s="70"/>
      <c r="AD137" s="76" t="s">
        <v>21382</v>
      </c>
      <c r="AE137" s="81" t="s">
        <v>21046</v>
      </c>
      <c r="AF137" s="76">
        <v>391492</v>
      </c>
      <c r="AG137" s="76">
        <v>738</v>
      </c>
      <c r="AH137" s="76">
        <v>18216</v>
      </c>
      <c r="AI137" s="76">
        <v>316</v>
      </c>
      <c r="AJ137" s="76">
        <v>42281</v>
      </c>
      <c r="AK137" s="76">
        <v>2065</v>
      </c>
      <c r="AL137" s="76" t="b">
        <v>0</v>
      </c>
      <c r="AM137" s="78">
        <v>43992.739803240744</v>
      </c>
      <c r="AN137" s="76" t="s">
        <v>14382</v>
      </c>
      <c r="AO137" s="76" t="s">
        <v>24828</v>
      </c>
      <c r="AP137" s="82" t="str">
        <f>HYPERLINK("https://t.co/8znOm5UDiM")</f>
        <v>https://t.co/8znOm5UDiM</v>
      </c>
      <c r="AQ137" s="82" t="str">
        <f>HYPERLINK("https://www.youtube.com/channel/UC3-JLGJpMKwymQoRFJMkgSg?sub_confirmation=1")</f>
        <v>https://www.youtube.com/channel/UC3-JLGJpMKwymQoRFJMkgSg?sub_confirmation=1</v>
      </c>
      <c r="AR137" s="76" t="s">
        <v>26441</v>
      </c>
      <c r="AS137" s="76"/>
      <c r="AT137" s="76"/>
      <c r="AU137" s="76"/>
      <c r="AV137" s="76"/>
      <c r="AW137" s="82" t="str">
        <f>HYPERLINK("https://t.co/8znOm5UDiM")</f>
        <v>https://t.co/8znOm5UDiM</v>
      </c>
      <c r="AX137" s="76" t="b">
        <v>1</v>
      </c>
      <c r="AY137" s="76"/>
      <c r="AZ137" s="76"/>
      <c r="BA137" s="76" t="b">
        <v>0</v>
      </c>
      <c r="BB137" s="76" t="b">
        <v>1</v>
      </c>
      <c r="BC137" s="76" t="b">
        <v>1</v>
      </c>
      <c r="BD137" s="76" t="b">
        <v>0</v>
      </c>
      <c r="BE137" s="76" t="b">
        <v>1</v>
      </c>
      <c r="BF137" s="76" t="b">
        <v>0</v>
      </c>
      <c r="BG137" s="76" t="b">
        <v>0</v>
      </c>
      <c r="BH137" s="82" t="str">
        <f>HYPERLINK("https://pbs.twimg.com/profile_banners/1270774020808626176/1654651782")</f>
        <v>https://pbs.twimg.com/profile_banners/1270774020808626176/1654651782</v>
      </c>
      <c r="BI137" s="76"/>
      <c r="BJ137" s="76" t="s">
        <v>27595</v>
      </c>
      <c r="BK137" s="76" t="b">
        <v>0</v>
      </c>
      <c r="BL137" s="76"/>
      <c r="BM137" s="76" t="s">
        <v>66</v>
      </c>
      <c r="BN137" s="76" t="s">
        <v>27597</v>
      </c>
      <c r="BO137" s="82" t="str">
        <f>HYPERLINK("https://twitter.com/thiagoresiste")</f>
        <v>https://twitter.com/thiagoresiste</v>
      </c>
      <c r="BP137" s="2"/>
    </row>
    <row r="138" spans="1:68" x14ac:dyDescent="0.25">
      <c r="A138" s="62" t="s">
        <v>314</v>
      </c>
      <c r="B138" s="63"/>
      <c r="C138" s="63"/>
      <c r="D138" s="64"/>
      <c r="E138" s="66"/>
      <c r="F138" s="103" t="str">
        <f>HYPERLINK("https://pbs.twimg.com/profile_images/1611007714779357192/KfacuwSp_normal.png")</f>
        <v>https://pbs.twimg.com/profile_images/1611007714779357192/KfacuwSp_normal.png</v>
      </c>
      <c r="G138" s="63"/>
      <c r="H138" s="67"/>
      <c r="I138" s="68"/>
      <c r="J138" s="68"/>
      <c r="K138" s="67" t="s">
        <v>27732</v>
      </c>
      <c r="L138" s="71"/>
      <c r="M138" s="72"/>
      <c r="N138" s="72"/>
      <c r="O138" s="73"/>
      <c r="P138" s="74"/>
      <c r="Q138" s="74"/>
      <c r="R138" s="87"/>
      <c r="S138" s="87"/>
      <c r="T138" s="87"/>
      <c r="U138" s="87"/>
      <c r="V138" s="48"/>
      <c r="W138" s="48"/>
      <c r="X138" s="48"/>
      <c r="Y138" s="48"/>
      <c r="Z138" s="47"/>
      <c r="AA138" s="69">
        <v>138</v>
      </c>
      <c r="AB138" s="69"/>
      <c r="AC138" s="70"/>
      <c r="AD138" s="76" t="s">
        <v>21383</v>
      </c>
      <c r="AE138" s="81" t="s">
        <v>20544</v>
      </c>
      <c r="AF138" s="76">
        <v>23</v>
      </c>
      <c r="AG138" s="76">
        <v>39</v>
      </c>
      <c r="AH138" s="76">
        <v>1278</v>
      </c>
      <c r="AI138" s="76">
        <v>1</v>
      </c>
      <c r="AJ138" s="76">
        <v>89</v>
      </c>
      <c r="AK138" s="76">
        <v>111</v>
      </c>
      <c r="AL138" s="76" t="b">
        <v>0</v>
      </c>
      <c r="AM138" s="78">
        <v>44931.561377314814</v>
      </c>
      <c r="AN138" s="76"/>
      <c r="AO138" s="76" t="s">
        <v>24829</v>
      </c>
      <c r="AP138" s="82" t="str">
        <f>HYPERLINK("https://t.co/xNNOtQXZkz")</f>
        <v>https://t.co/xNNOtQXZkz</v>
      </c>
      <c r="AQ138" s="82" t="str">
        <f>HYPERLINK("https://klainvest.com/")</f>
        <v>https://klainvest.com/</v>
      </c>
      <c r="AR138" s="76" t="s">
        <v>26442</v>
      </c>
      <c r="AS138" s="76"/>
      <c r="AT138" s="76"/>
      <c r="AU138" s="76"/>
      <c r="AV138" s="76"/>
      <c r="AW138" s="82" t="str">
        <f>HYPERLINK("https://t.co/xNNOtQXZkz")</f>
        <v>https://t.co/xNNOtQXZkz</v>
      </c>
      <c r="AX138" s="76" t="b">
        <v>0</v>
      </c>
      <c r="AY138" s="76"/>
      <c r="AZ138" s="76"/>
      <c r="BA138" s="76" t="b">
        <v>0</v>
      </c>
      <c r="BB138" s="76" t="b">
        <v>1</v>
      </c>
      <c r="BC138" s="76" t="b">
        <v>1</v>
      </c>
      <c r="BD138" s="76" t="b">
        <v>0</v>
      </c>
      <c r="BE138" s="76" t="b">
        <v>0</v>
      </c>
      <c r="BF138" s="76" t="b">
        <v>0</v>
      </c>
      <c r="BG138" s="76" t="b">
        <v>0</v>
      </c>
      <c r="BH138" s="82" t="str">
        <f>HYPERLINK("https://pbs.twimg.com/profile_banners/1610991165196713986/1673034494")</f>
        <v>https://pbs.twimg.com/profile_banners/1610991165196713986/1673034494</v>
      </c>
      <c r="BI138" s="76"/>
      <c r="BJ138" s="76" t="s">
        <v>27595</v>
      </c>
      <c r="BK138" s="76" t="b">
        <v>0</v>
      </c>
      <c r="BL138" s="76"/>
      <c r="BM138" s="76" t="s">
        <v>66</v>
      </c>
      <c r="BN138" s="76" t="s">
        <v>27597</v>
      </c>
      <c r="BO138" s="82" t="str">
        <f>HYPERLINK("https://twitter.com/invest_kla")</f>
        <v>https://twitter.com/invest_kla</v>
      </c>
      <c r="BP138" s="2"/>
    </row>
    <row r="139" spans="1:68" x14ac:dyDescent="0.25">
      <c r="A139" s="62" t="s">
        <v>315</v>
      </c>
      <c r="B139" s="63"/>
      <c r="C139" s="63"/>
      <c r="D139" s="64"/>
      <c r="E139" s="66"/>
      <c r="F139" s="103" t="str">
        <f>HYPERLINK("https://pbs.twimg.com/profile_images/1697979139494383617/vD4WIUGv_normal.jpg")</f>
        <v>https://pbs.twimg.com/profile_images/1697979139494383617/vD4WIUGv_normal.jpg</v>
      </c>
      <c r="G139" s="63"/>
      <c r="H139" s="67"/>
      <c r="I139" s="68"/>
      <c r="J139" s="68"/>
      <c r="K139" s="67" t="s">
        <v>27733</v>
      </c>
      <c r="L139" s="71"/>
      <c r="M139" s="72"/>
      <c r="N139" s="72"/>
      <c r="O139" s="73"/>
      <c r="P139" s="74"/>
      <c r="Q139" s="74"/>
      <c r="R139" s="87"/>
      <c r="S139" s="87"/>
      <c r="T139" s="87"/>
      <c r="U139" s="87"/>
      <c r="V139" s="48"/>
      <c r="W139" s="48"/>
      <c r="X139" s="48"/>
      <c r="Y139" s="48"/>
      <c r="Z139" s="47"/>
      <c r="AA139" s="69">
        <v>139</v>
      </c>
      <c r="AB139" s="69"/>
      <c r="AC139" s="70"/>
      <c r="AD139" s="76" t="s">
        <v>21384</v>
      </c>
      <c r="AE139" s="81" t="s">
        <v>23131</v>
      </c>
      <c r="AF139" s="76">
        <v>849233</v>
      </c>
      <c r="AG139" s="76">
        <v>2068</v>
      </c>
      <c r="AH139" s="76">
        <v>323575</v>
      </c>
      <c r="AI139" s="76">
        <v>1833</v>
      </c>
      <c r="AJ139" s="76">
        <v>2160</v>
      </c>
      <c r="AK139" s="76">
        <v>122249</v>
      </c>
      <c r="AL139" s="76" t="b">
        <v>0</v>
      </c>
      <c r="AM139" s="78">
        <v>39963.604409722226</v>
      </c>
      <c r="AN139" s="76" t="s">
        <v>14381</v>
      </c>
      <c r="AO139" s="76" t="s">
        <v>24830</v>
      </c>
      <c r="AP139" s="82" t="str">
        <f>HYPERLINK("https://t.co/PuaPMTwOIS")</f>
        <v>https://t.co/PuaPMTwOIS</v>
      </c>
      <c r="AQ139" s="82" t="str">
        <f>HYPERLINK("http://www.hoy.com.do")</f>
        <v>http://www.hoy.com.do</v>
      </c>
      <c r="AR139" s="76" t="s">
        <v>26443</v>
      </c>
      <c r="AS139" s="76"/>
      <c r="AT139" s="76"/>
      <c r="AU139" s="76"/>
      <c r="AV139" s="76">
        <v>1.7023808131766999E+18</v>
      </c>
      <c r="AW139" s="82" t="str">
        <f>HYPERLINK("https://t.co/PuaPMTwOIS")</f>
        <v>https://t.co/PuaPMTwOIS</v>
      </c>
      <c r="AX139" s="76" t="b">
        <v>0</v>
      </c>
      <c r="AY139" s="76"/>
      <c r="AZ139" s="76"/>
      <c r="BA139" s="76" t="b">
        <v>1</v>
      </c>
      <c r="BB139" s="76" t="b">
        <v>1</v>
      </c>
      <c r="BC139" s="76" t="b">
        <v>0</v>
      </c>
      <c r="BD139" s="76" t="b">
        <v>0</v>
      </c>
      <c r="BE139" s="76" t="b">
        <v>1</v>
      </c>
      <c r="BF139" s="76" t="b">
        <v>0</v>
      </c>
      <c r="BG139" s="76" t="b">
        <v>0</v>
      </c>
      <c r="BH139" s="82" t="str">
        <f>HYPERLINK("https://pbs.twimg.com/profile_banners/43534995/1672756425")</f>
        <v>https://pbs.twimg.com/profile_banners/43534995/1672756425</v>
      </c>
      <c r="BI139" s="76"/>
      <c r="BJ139" s="76" t="s">
        <v>27595</v>
      </c>
      <c r="BK139" s="76" t="b">
        <v>0</v>
      </c>
      <c r="BL139" s="76"/>
      <c r="BM139" s="76" t="s">
        <v>66</v>
      </c>
      <c r="BN139" s="76" t="s">
        <v>27597</v>
      </c>
      <c r="BO139" s="82" t="str">
        <f>HYPERLINK("https://twitter.com/periodicohoy")</f>
        <v>https://twitter.com/periodicohoy</v>
      </c>
      <c r="BP139" s="2"/>
    </row>
    <row r="140" spans="1:68" x14ac:dyDescent="0.25">
      <c r="A140" s="62" t="s">
        <v>316</v>
      </c>
      <c r="B140" s="63"/>
      <c r="C140" s="63"/>
      <c r="D140" s="64"/>
      <c r="E140" s="66"/>
      <c r="F140" s="103" t="str">
        <f>HYPERLINK("https://pbs.twimg.com/profile_images/1578159015749910528/_ckRZtza_normal.jpg")</f>
        <v>https://pbs.twimg.com/profile_images/1578159015749910528/_ckRZtza_normal.jpg</v>
      </c>
      <c r="G140" s="63"/>
      <c r="H140" s="67"/>
      <c r="I140" s="68"/>
      <c r="J140" s="68"/>
      <c r="K140" s="67" t="s">
        <v>27734</v>
      </c>
      <c r="L140" s="71"/>
      <c r="M140" s="72"/>
      <c r="N140" s="72"/>
      <c r="O140" s="73"/>
      <c r="P140" s="74"/>
      <c r="Q140" s="74"/>
      <c r="R140" s="87"/>
      <c r="S140" s="87"/>
      <c r="T140" s="87"/>
      <c r="U140" s="87"/>
      <c r="V140" s="48"/>
      <c r="W140" s="48"/>
      <c r="X140" s="48"/>
      <c r="Y140" s="48"/>
      <c r="Z140" s="47"/>
      <c r="AA140" s="69">
        <v>140</v>
      </c>
      <c r="AB140" s="69"/>
      <c r="AC140" s="70"/>
      <c r="AD140" s="76" t="s">
        <v>21385</v>
      </c>
      <c r="AE140" s="81" t="s">
        <v>20224</v>
      </c>
      <c r="AF140" s="76">
        <v>4799</v>
      </c>
      <c r="AG140" s="76">
        <v>536</v>
      </c>
      <c r="AH140" s="76">
        <v>32275</v>
      </c>
      <c r="AI140" s="76">
        <v>145</v>
      </c>
      <c r="AJ140" s="76">
        <v>4351</v>
      </c>
      <c r="AK140" s="76">
        <v>17681</v>
      </c>
      <c r="AL140" s="76" t="b">
        <v>0</v>
      </c>
      <c r="AM140" s="78">
        <v>40076.749942129631</v>
      </c>
      <c r="AN140" s="76" t="s">
        <v>14400</v>
      </c>
      <c r="AO140" s="76" t="s">
        <v>24831</v>
      </c>
      <c r="AP140" s="82" t="str">
        <f>HYPERLINK("https://t.co/ZVhP7tkEas")</f>
        <v>https://t.co/ZVhP7tkEas</v>
      </c>
      <c r="AQ140" s="82" t="str">
        <f>HYPERLINK("https://www.showmetech.com.br")</f>
        <v>https://www.showmetech.com.br</v>
      </c>
      <c r="AR140" s="76" t="s">
        <v>26444</v>
      </c>
      <c r="AS140" s="76"/>
      <c r="AT140" s="76"/>
      <c r="AU140" s="76"/>
      <c r="AV140" s="76"/>
      <c r="AW140" s="82" t="str">
        <f>HYPERLINK("https://t.co/ZVhP7tkEas")</f>
        <v>https://t.co/ZVhP7tkEas</v>
      </c>
      <c r="AX140" s="76" t="b">
        <v>1</v>
      </c>
      <c r="AY140" s="76"/>
      <c r="AZ140" s="76"/>
      <c r="BA140" s="76" t="b">
        <v>1</v>
      </c>
      <c r="BB140" s="76" t="b">
        <v>1</v>
      </c>
      <c r="BC140" s="76" t="b">
        <v>0</v>
      </c>
      <c r="BD140" s="76" t="b">
        <v>0</v>
      </c>
      <c r="BE140" s="76" t="b">
        <v>1</v>
      </c>
      <c r="BF140" s="76" t="b">
        <v>0</v>
      </c>
      <c r="BG140" s="76" t="b">
        <v>0</v>
      </c>
      <c r="BH140" s="82" t="str">
        <f>HYPERLINK("https://pbs.twimg.com/profile_banners/75838812/1563487373")</f>
        <v>https://pbs.twimg.com/profile_banners/75838812/1563487373</v>
      </c>
      <c r="BI140" s="76"/>
      <c r="BJ140" s="76" t="s">
        <v>27595</v>
      </c>
      <c r="BK140" s="76" t="b">
        <v>0</v>
      </c>
      <c r="BL140" s="76"/>
      <c r="BM140" s="76" t="s">
        <v>66</v>
      </c>
      <c r="BN140" s="76" t="s">
        <v>27597</v>
      </c>
      <c r="BO140" s="82" t="str">
        <f>HYPERLINK("https://twitter.com/showmetech")</f>
        <v>https://twitter.com/showmetech</v>
      </c>
      <c r="BP140" s="2"/>
    </row>
    <row r="141" spans="1:68" x14ac:dyDescent="0.25">
      <c r="A141" s="62" t="s">
        <v>317</v>
      </c>
      <c r="B141" s="63"/>
      <c r="C141" s="63"/>
      <c r="D141" s="64"/>
      <c r="E141" s="66"/>
      <c r="F141" s="103" t="str">
        <f>HYPERLINK("https://pbs.twimg.com/profile_images/1053200818135097344/pF-3kqyw_normal.jpg")</f>
        <v>https://pbs.twimg.com/profile_images/1053200818135097344/pF-3kqyw_normal.jpg</v>
      </c>
      <c r="G141" s="63"/>
      <c r="H141" s="67"/>
      <c r="I141" s="68"/>
      <c r="J141" s="68"/>
      <c r="K141" s="67" t="s">
        <v>27735</v>
      </c>
      <c r="L141" s="71"/>
      <c r="M141" s="72"/>
      <c r="N141" s="72"/>
      <c r="O141" s="73"/>
      <c r="P141" s="74"/>
      <c r="Q141" s="74"/>
      <c r="R141" s="87"/>
      <c r="S141" s="87"/>
      <c r="T141" s="87"/>
      <c r="U141" s="87"/>
      <c r="V141" s="48"/>
      <c r="W141" s="48"/>
      <c r="X141" s="48"/>
      <c r="Y141" s="48"/>
      <c r="Z141" s="47"/>
      <c r="AA141" s="69">
        <v>141</v>
      </c>
      <c r="AB141" s="69"/>
      <c r="AC141" s="70"/>
      <c r="AD141" s="76" t="s">
        <v>21386</v>
      </c>
      <c r="AE141" s="81" t="s">
        <v>20545</v>
      </c>
      <c r="AF141" s="76">
        <v>360</v>
      </c>
      <c r="AG141" s="76">
        <v>1073</v>
      </c>
      <c r="AH141" s="76">
        <v>11752</v>
      </c>
      <c r="AI141" s="76">
        <v>25</v>
      </c>
      <c r="AJ141" s="76">
        <v>10529</v>
      </c>
      <c r="AK141" s="76">
        <v>1940</v>
      </c>
      <c r="AL141" s="76" t="b">
        <v>0</v>
      </c>
      <c r="AM141" s="78">
        <v>43392.343460648146</v>
      </c>
      <c r="AN141" s="76" t="s">
        <v>14386</v>
      </c>
      <c r="AO141" s="76" t="s">
        <v>24832</v>
      </c>
      <c r="AP141" s="82" t="str">
        <f>HYPERLINK("https://t.co/1xVtId6CIs")</f>
        <v>https://t.co/1xVtId6CIs</v>
      </c>
      <c r="AQ141" s="82" t="str">
        <f>HYPERLINK("https://www.youtube.com/c/CyborgPatriota")</f>
        <v>https://www.youtube.com/c/CyborgPatriota</v>
      </c>
      <c r="AR141" s="76" t="s">
        <v>26445</v>
      </c>
      <c r="AS141" s="76"/>
      <c r="AT141" s="76"/>
      <c r="AU141" s="76"/>
      <c r="AV141" s="76">
        <v>1.6941488379954099E+18</v>
      </c>
      <c r="AW141" s="82" t="str">
        <f>HYPERLINK("https://t.co/1xVtId6CIs")</f>
        <v>https://t.co/1xVtId6CIs</v>
      </c>
      <c r="AX141" s="76" t="b">
        <v>0</v>
      </c>
      <c r="AY141" s="76"/>
      <c r="AZ141" s="76"/>
      <c r="BA141" s="76" t="b">
        <v>0</v>
      </c>
      <c r="BB141" s="76" t="b">
        <v>1</v>
      </c>
      <c r="BC141" s="76" t="b">
        <v>0</v>
      </c>
      <c r="BD141" s="76" t="b">
        <v>0</v>
      </c>
      <c r="BE141" s="76" t="b">
        <v>1</v>
      </c>
      <c r="BF141" s="76" t="b">
        <v>0</v>
      </c>
      <c r="BG141" s="76" t="b">
        <v>0</v>
      </c>
      <c r="BH141" s="82" t="str">
        <f>HYPERLINK("https://pbs.twimg.com/profile_banners/1053197705420435456/1635059784")</f>
        <v>https://pbs.twimg.com/profile_banners/1053197705420435456/1635059784</v>
      </c>
      <c r="BI141" s="76"/>
      <c r="BJ141" s="76" t="s">
        <v>27595</v>
      </c>
      <c r="BK141" s="76" t="b">
        <v>0</v>
      </c>
      <c r="BL141" s="76"/>
      <c r="BM141" s="76" t="s">
        <v>66</v>
      </c>
      <c r="BN141" s="76" t="s">
        <v>27597</v>
      </c>
      <c r="BO141" s="82" t="str">
        <f>HYPERLINK("https://twitter.com/cyborgpatriota")</f>
        <v>https://twitter.com/cyborgpatriota</v>
      </c>
      <c r="BP141" s="2"/>
    </row>
    <row r="142" spans="1:68" x14ac:dyDescent="0.25">
      <c r="A142" s="62" t="s">
        <v>1064</v>
      </c>
      <c r="B142" s="63"/>
      <c r="C142" s="63"/>
      <c r="D142" s="64"/>
      <c r="E142" s="66"/>
      <c r="F142" s="103" t="str">
        <f>HYPERLINK("https://pbs.twimg.com/profile_images/1194751949821939712/3VBu4_Sa_normal.jpg")</f>
        <v>https://pbs.twimg.com/profile_images/1194751949821939712/3VBu4_Sa_normal.jpg</v>
      </c>
      <c r="G142" s="63"/>
      <c r="H142" s="67"/>
      <c r="I142" s="68"/>
      <c r="J142" s="68"/>
      <c r="K142" s="67" t="s">
        <v>27736</v>
      </c>
      <c r="L142" s="71"/>
      <c r="M142" s="72"/>
      <c r="N142" s="72"/>
      <c r="O142" s="73"/>
      <c r="P142" s="74"/>
      <c r="Q142" s="74"/>
      <c r="R142" s="87"/>
      <c r="S142" s="87"/>
      <c r="T142" s="87"/>
      <c r="U142" s="87"/>
      <c r="V142" s="48"/>
      <c r="W142" s="48"/>
      <c r="X142" s="48"/>
      <c r="Y142" s="48"/>
      <c r="Z142" s="47"/>
      <c r="AA142" s="69">
        <v>142</v>
      </c>
      <c r="AB142" s="69"/>
      <c r="AC142" s="70"/>
      <c r="AD142" s="76" t="s">
        <v>21387</v>
      </c>
      <c r="AE142" s="81" t="s">
        <v>23132</v>
      </c>
      <c r="AF142" s="76">
        <v>25709346</v>
      </c>
      <c r="AG142" s="76">
        <v>1236</v>
      </c>
      <c r="AH142" s="76">
        <v>1066363</v>
      </c>
      <c r="AI142" s="76">
        <v>137448</v>
      </c>
      <c r="AJ142" s="76">
        <v>737</v>
      </c>
      <c r="AK142" s="76">
        <v>825029</v>
      </c>
      <c r="AL142" s="76" t="b">
        <v>0</v>
      </c>
      <c r="AM142" s="78">
        <v>39161.740335648145</v>
      </c>
      <c r="AN142" s="76" t="s">
        <v>24129</v>
      </c>
      <c r="AO142" s="76" t="s">
        <v>24833</v>
      </c>
      <c r="AP142" s="82" t="str">
        <f>HYPERLINK("https://t.co/U9AvHD5r3e")</f>
        <v>https://t.co/U9AvHD5r3e</v>
      </c>
      <c r="AQ142" s="82" t="str">
        <f>HYPERLINK("http://www.reuters.com")</f>
        <v>http://www.reuters.com</v>
      </c>
      <c r="AR142" s="76" t="s">
        <v>26446</v>
      </c>
      <c r="AS142" s="82" t="str">
        <f>HYPERLINK("https://t.co/KO0QFy0d3a")</f>
        <v>https://t.co/KO0QFy0d3a</v>
      </c>
      <c r="AT142" s="82" t="str">
        <f>HYPERLINK("http://rwn.app.link/social")</f>
        <v>http://rwn.app.link/social</v>
      </c>
      <c r="AU142" s="76" t="s">
        <v>27458</v>
      </c>
      <c r="AV142" s="76"/>
      <c r="AW142" s="82" t="str">
        <f>HYPERLINK("https://t.co/U9AvHD5r3e")</f>
        <v>https://t.co/U9AvHD5r3e</v>
      </c>
      <c r="AX142" s="76" t="b">
        <v>0</v>
      </c>
      <c r="AY142" s="76"/>
      <c r="AZ142" s="76"/>
      <c r="BA142" s="76" t="b">
        <v>0</v>
      </c>
      <c r="BB142" s="76" t="b">
        <v>1</v>
      </c>
      <c r="BC142" s="76" t="b">
        <v>0</v>
      </c>
      <c r="BD142" s="76" t="b">
        <v>0</v>
      </c>
      <c r="BE142" s="76" t="b">
        <v>1</v>
      </c>
      <c r="BF142" s="76" t="b">
        <v>0</v>
      </c>
      <c r="BG142" s="76" t="b">
        <v>0</v>
      </c>
      <c r="BH142" s="82" t="str">
        <f>HYPERLINK("https://pbs.twimg.com/profile_banners/1652541/1573687397")</f>
        <v>https://pbs.twimg.com/profile_banners/1652541/1573687397</v>
      </c>
      <c r="BI142" s="76"/>
      <c r="BJ142" s="76" t="s">
        <v>27596</v>
      </c>
      <c r="BK142" s="76" t="b">
        <v>0</v>
      </c>
      <c r="BL142" s="76"/>
      <c r="BM142" s="76" t="s">
        <v>66</v>
      </c>
      <c r="BN142" s="76" t="s">
        <v>27597</v>
      </c>
      <c r="BO142" s="82" t="str">
        <f>HYPERLINK("https://twitter.com/reuters")</f>
        <v>https://twitter.com/reuters</v>
      </c>
      <c r="BP142" s="2"/>
    </row>
    <row r="143" spans="1:68" x14ac:dyDescent="0.25">
      <c r="A143" s="62" t="s">
        <v>318</v>
      </c>
      <c r="B143" s="63"/>
      <c r="C143" s="63"/>
      <c r="D143" s="64"/>
      <c r="E143" s="66"/>
      <c r="F143" s="103" t="str">
        <f>HYPERLINK("https://pbs.twimg.com/profile_images/1698778647950184448/L-FI6vL0_normal.jpg")</f>
        <v>https://pbs.twimg.com/profile_images/1698778647950184448/L-FI6vL0_normal.jpg</v>
      </c>
      <c r="G143" s="63"/>
      <c r="H143" s="67"/>
      <c r="I143" s="68"/>
      <c r="J143" s="68"/>
      <c r="K143" s="67" t="s">
        <v>27737</v>
      </c>
      <c r="L143" s="71"/>
      <c r="M143" s="72"/>
      <c r="N143" s="72"/>
      <c r="O143" s="73"/>
      <c r="P143" s="74"/>
      <c r="Q143" s="74"/>
      <c r="R143" s="87"/>
      <c r="S143" s="87"/>
      <c r="T143" s="87"/>
      <c r="U143" s="87"/>
      <c r="V143" s="48"/>
      <c r="W143" s="48"/>
      <c r="X143" s="48"/>
      <c r="Y143" s="48"/>
      <c r="Z143" s="47"/>
      <c r="AA143" s="69">
        <v>143</v>
      </c>
      <c r="AB143" s="69"/>
      <c r="AC143" s="70"/>
      <c r="AD143" s="76" t="s">
        <v>21388</v>
      </c>
      <c r="AE143" s="81" t="s">
        <v>20546</v>
      </c>
      <c r="AF143" s="76">
        <v>174</v>
      </c>
      <c r="AG143" s="76">
        <v>184</v>
      </c>
      <c r="AH143" s="76">
        <v>1778</v>
      </c>
      <c r="AI143" s="76">
        <v>1</v>
      </c>
      <c r="AJ143" s="76">
        <v>666</v>
      </c>
      <c r="AK143" s="76">
        <v>72</v>
      </c>
      <c r="AL143" s="76" t="b">
        <v>0</v>
      </c>
      <c r="AM143" s="78">
        <v>44871.911122685182</v>
      </c>
      <c r="AN143" s="76" t="s">
        <v>24130</v>
      </c>
      <c r="AO143" s="76" t="s">
        <v>24834</v>
      </c>
      <c r="AP143" s="82" t="str">
        <f>HYPERLINK("https://t.co/HDFSsZA2gX")</f>
        <v>https://t.co/HDFSsZA2gX</v>
      </c>
      <c r="AQ143" s="82" t="str">
        <f>HYPERLINK("https://www.youtube.com/@OlharInvest")</f>
        <v>https://www.youtube.com/@OlharInvest</v>
      </c>
      <c r="AR143" s="76" t="s">
        <v>26447</v>
      </c>
      <c r="AS143" s="76"/>
      <c r="AT143" s="76"/>
      <c r="AU143" s="76"/>
      <c r="AV143" s="76"/>
      <c r="AW143" s="82" t="str">
        <f>HYPERLINK("https://t.co/HDFSsZA2gX")</f>
        <v>https://t.co/HDFSsZA2gX</v>
      </c>
      <c r="AX143" s="76" t="b">
        <v>0</v>
      </c>
      <c r="AY143" s="76"/>
      <c r="AZ143" s="76"/>
      <c r="BA143" s="76" t="b">
        <v>0</v>
      </c>
      <c r="BB143" s="76" t="b">
        <v>1</v>
      </c>
      <c r="BC143" s="76" t="b">
        <v>1</v>
      </c>
      <c r="BD143" s="76" t="b">
        <v>0</v>
      </c>
      <c r="BE143" s="76" t="b">
        <v>1</v>
      </c>
      <c r="BF143" s="76" t="b">
        <v>0</v>
      </c>
      <c r="BG143" s="76" t="b">
        <v>0</v>
      </c>
      <c r="BH143" s="82" t="str">
        <f>HYPERLINK("https://pbs.twimg.com/profile_banners/1589375041610866690/1693854781")</f>
        <v>https://pbs.twimg.com/profile_banners/1589375041610866690/1693854781</v>
      </c>
      <c r="BI143" s="76"/>
      <c r="BJ143" s="76" t="s">
        <v>27595</v>
      </c>
      <c r="BK143" s="76" t="b">
        <v>0</v>
      </c>
      <c r="BL143" s="76"/>
      <c r="BM143" s="76" t="s">
        <v>66</v>
      </c>
      <c r="BN143" s="76" t="s">
        <v>27597</v>
      </c>
      <c r="BO143" s="82" t="str">
        <f>HYPERLINK("https://twitter.com/olharinvest")</f>
        <v>https://twitter.com/olharinvest</v>
      </c>
      <c r="BP143" s="2"/>
    </row>
    <row r="144" spans="1:68" x14ac:dyDescent="0.25">
      <c r="A144" s="62" t="s">
        <v>319</v>
      </c>
      <c r="B144" s="63"/>
      <c r="C144" s="63"/>
      <c r="D144" s="64"/>
      <c r="E144" s="66"/>
      <c r="F144" s="103" t="str">
        <f>HYPERLINK("https://pbs.twimg.com/profile_images/1695947724753899520/XGmNsYz9_normal.jpg")</f>
        <v>https://pbs.twimg.com/profile_images/1695947724753899520/XGmNsYz9_normal.jpg</v>
      </c>
      <c r="G144" s="63"/>
      <c r="H144" s="67"/>
      <c r="I144" s="68"/>
      <c r="J144" s="68"/>
      <c r="K144" s="67" t="s">
        <v>27738</v>
      </c>
      <c r="L144" s="71"/>
      <c r="M144" s="72"/>
      <c r="N144" s="72"/>
      <c r="O144" s="73"/>
      <c r="P144" s="74"/>
      <c r="Q144" s="74"/>
      <c r="R144" s="87"/>
      <c r="S144" s="87"/>
      <c r="T144" s="87"/>
      <c r="U144" s="87"/>
      <c r="V144" s="48"/>
      <c r="W144" s="48"/>
      <c r="X144" s="48"/>
      <c r="Y144" s="48"/>
      <c r="Z144" s="47"/>
      <c r="AA144" s="69">
        <v>144</v>
      </c>
      <c r="AB144" s="69"/>
      <c r="AC144" s="70"/>
      <c r="AD144" s="76" t="s">
        <v>21389</v>
      </c>
      <c r="AE144" s="81" t="s">
        <v>20547</v>
      </c>
      <c r="AF144" s="76">
        <v>153</v>
      </c>
      <c r="AG144" s="76">
        <v>742</v>
      </c>
      <c r="AH144" s="76">
        <v>504</v>
      </c>
      <c r="AI144" s="76">
        <v>0</v>
      </c>
      <c r="AJ144" s="76">
        <v>606</v>
      </c>
      <c r="AK144" s="76">
        <v>62</v>
      </c>
      <c r="AL144" s="76" t="b">
        <v>0</v>
      </c>
      <c r="AM144" s="78">
        <v>42481.054791666669</v>
      </c>
      <c r="AN144" s="76" t="s">
        <v>24131</v>
      </c>
      <c r="AO144" s="76" t="s">
        <v>24835</v>
      </c>
      <c r="AP144" s="82" t="str">
        <f>HYPERLINK("https://t.co/hlkAyvwOuZ")</f>
        <v>https://t.co/hlkAyvwOuZ</v>
      </c>
      <c r="AQ144" s="82" t="str">
        <f>HYPERLINK("https://www.guilhermebispo.com.br")</f>
        <v>https://www.guilhermebispo.com.br</v>
      </c>
      <c r="AR144" s="76" t="s">
        <v>26448</v>
      </c>
      <c r="AS144" s="76"/>
      <c r="AT144" s="76"/>
      <c r="AU144" s="76"/>
      <c r="AV144" s="76"/>
      <c r="AW144" s="82" t="str">
        <f>HYPERLINK("https://t.co/hlkAyvwOuZ")</f>
        <v>https://t.co/hlkAyvwOuZ</v>
      </c>
      <c r="AX144" s="76" t="b">
        <v>0</v>
      </c>
      <c r="AY144" s="76"/>
      <c r="AZ144" s="76"/>
      <c r="BA144" s="76" t="b">
        <v>0</v>
      </c>
      <c r="BB144" s="76" t="b">
        <v>1</v>
      </c>
      <c r="BC144" s="76" t="b">
        <v>1</v>
      </c>
      <c r="BD144" s="76" t="b">
        <v>0</v>
      </c>
      <c r="BE144" s="76" t="b">
        <v>0</v>
      </c>
      <c r="BF144" s="76" t="b">
        <v>0</v>
      </c>
      <c r="BG144" s="76" t="b">
        <v>1</v>
      </c>
      <c r="BH144" s="82" t="str">
        <f>HYPERLINK("https://pbs.twimg.com/profile_banners/722957750448300032/1555618379")</f>
        <v>https://pbs.twimg.com/profile_banners/722957750448300032/1555618379</v>
      </c>
      <c r="BI144" s="76"/>
      <c r="BJ144" s="76" t="s">
        <v>27595</v>
      </c>
      <c r="BK144" s="76" t="b">
        <v>0</v>
      </c>
      <c r="BL144" s="76"/>
      <c r="BM144" s="76" t="s">
        <v>66</v>
      </c>
      <c r="BN144" s="76" t="s">
        <v>27597</v>
      </c>
      <c r="BO144" s="82" t="str">
        <f>HYPERLINK("https://twitter.com/guicadeirante")</f>
        <v>https://twitter.com/guicadeirante</v>
      </c>
      <c r="BP144" s="2"/>
    </row>
    <row r="145" spans="1:68" x14ac:dyDescent="0.25">
      <c r="A145" s="62" t="s">
        <v>320</v>
      </c>
      <c r="B145" s="63"/>
      <c r="C145" s="63"/>
      <c r="D145" s="64"/>
      <c r="E145" s="66"/>
      <c r="F145" s="103" t="str">
        <f>HYPERLINK("https://pbs.twimg.com/profile_images/1361047680793903111/nbnEqCIv_normal.jpg")</f>
        <v>https://pbs.twimg.com/profile_images/1361047680793903111/nbnEqCIv_normal.jpg</v>
      </c>
      <c r="G145" s="63"/>
      <c r="H145" s="67"/>
      <c r="I145" s="68"/>
      <c r="J145" s="68"/>
      <c r="K145" s="67" t="s">
        <v>27739</v>
      </c>
      <c r="L145" s="71"/>
      <c r="M145" s="72"/>
      <c r="N145" s="72"/>
      <c r="O145" s="73"/>
      <c r="P145" s="74"/>
      <c r="Q145" s="74"/>
      <c r="R145" s="87"/>
      <c r="S145" s="87"/>
      <c r="T145" s="87"/>
      <c r="U145" s="87"/>
      <c r="V145" s="48"/>
      <c r="W145" s="48"/>
      <c r="X145" s="48"/>
      <c r="Y145" s="48"/>
      <c r="Z145" s="47"/>
      <c r="AA145" s="69">
        <v>145</v>
      </c>
      <c r="AB145" s="69"/>
      <c r="AC145" s="70"/>
      <c r="AD145" s="76" t="s">
        <v>21390</v>
      </c>
      <c r="AE145" s="81" t="s">
        <v>20548</v>
      </c>
      <c r="AF145" s="76">
        <v>84</v>
      </c>
      <c r="AG145" s="76">
        <v>20</v>
      </c>
      <c r="AH145" s="76">
        <v>1682</v>
      </c>
      <c r="AI145" s="76">
        <v>0</v>
      </c>
      <c r="AJ145" s="76">
        <v>21</v>
      </c>
      <c r="AK145" s="76">
        <v>459</v>
      </c>
      <c r="AL145" s="76" t="b">
        <v>0</v>
      </c>
      <c r="AM145" s="78">
        <v>44155.9608912037</v>
      </c>
      <c r="AN145" s="76"/>
      <c r="AO145" s="76" t="s">
        <v>24836</v>
      </c>
      <c r="AP145" s="82" t="str">
        <f>HYPERLINK("https://t.co/QdmI6ntsUr")</f>
        <v>https://t.co/QdmI6ntsUr</v>
      </c>
      <c r="AQ145" s="82" t="str">
        <f>HYPERLINK("https://minutootaku.com")</f>
        <v>https://minutootaku.com</v>
      </c>
      <c r="AR145" s="76" t="s">
        <v>26449</v>
      </c>
      <c r="AS145" s="76"/>
      <c r="AT145" s="76"/>
      <c r="AU145" s="76"/>
      <c r="AV145" s="76"/>
      <c r="AW145" s="82" t="str">
        <f>HYPERLINK("https://t.co/QdmI6ntsUr")</f>
        <v>https://t.co/QdmI6ntsUr</v>
      </c>
      <c r="AX145" s="76" t="b">
        <v>0</v>
      </c>
      <c r="AY145" s="76"/>
      <c r="AZ145" s="76"/>
      <c r="BA145" s="76" t="b">
        <v>0</v>
      </c>
      <c r="BB145" s="76" t="b">
        <v>1</v>
      </c>
      <c r="BC145" s="76" t="b">
        <v>1</v>
      </c>
      <c r="BD145" s="76" t="b">
        <v>0</v>
      </c>
      <c r="BE145" s="76" t="b">
        <v>0</v>
      </c>
      <c r="BF145" s="76" t="b">
        <v>0</v>
      </c>
      <c r="BG145" s="76" t="b">
        <v>0</v>
      </c>
      <c r="BH145" s="82" t="str">
        <f>HYPERLINK("https://pbs.twimg.com/profile_banners/1329923368502648837/1613334030")</f>
        <v>https://pbs.twimg.com/profile_banners/1329923368502648837/1613334030</v>
      </c>
      <c r="BI145" s="76"/>
      <c r="BJ145" s="76" t="s">
        <v>27595</v>
      </c>
      <c r="BK145" s="76" t="b">
        <v>0</v>
      </c>
      <c r="BL145" s="76"/>
      <c r="BM145" s="76" t="s">
        <v>66</v>
      </c>
      <c r="BN145" s="76" t="s">
        <v>27597</v>
      </c>
      <c r="BO145" s="82" t="str">
        <f>HYPERLINK("https://twitter.com/minutootakubr")</f>
        <v>https://twitter.com/minutootakubr</v>
      </c>
      <c r="BP145" s="2"/>
    </row>
    <row r="146" spans="1:68" x14ac:dyDescent="0.25">
      <c r="A146" s="62" t="s">
        <v>321</v>
      </c>
      <c r="B146" s="63"/>
      <c r="C146" s="63"/>
      <c r="D146" s="64"/>
      <c r="E146" s="66"/>
      <c r="F146" s="103" t="str">
        <f>HYPERLINK("https://pbs.twimg.com/profile_images/1436329463571169290/mRQuPW12_normal.jpg")</f>
        <v>https://pbs.twimg.com/profile_images/1436329463571169290/mRQuPW12_normal.jpg</v>
      </c>
      <c r="G146" s="63"/>
      <c r="H146" s="67"/>
      <c r="I146" s="68"/>
      <c r="J146" s="68"/>
      <c r="K146" s="67" t="s">
        <v>27740</v>
      </c>
      <c r="L146" s="71"/>
      <c r="M146" s="72"/>
      <c r="N146" s="72"/>
      <c r="O146" s="73"/>
      <c r="P146" s="74"/>
      <c r="Q146" s="74"/>
      <c r="R146" s="87"/>
      <c r="S146" s="87"/>
      <c r="T146" s="87"/>
      <c r="U146" s="87"/>
      <c r="V146" s="48"/>
      <c r="W146" s="48"/>
      <c r="X146" s="48"/>
      <c r="Y146" s="48"/>
      <c r="Z146" s="47"/>
      <c r="AA146" s="69">
        <v>146</v>
      </c>
      <c r="AB146" s="69"/>
      <c r="AC146" s="70"/>
      <c r="AD146" s="76" t="s">
        <v>21391</v>
      </c>
      <c r="AE146" s="81" t="s">
        <v>23133</v>
      </c>
      <c r="AF146" s="76">
        <v>1667</v>
      </c>
      <c r="AG146" s="76">
        <v>1901</v>
      </c>
      <c r="AH146" s="76">
        <v>1010</v>
      </c>
      <c r="AI146" s="76">
        <v>0</v>
      </c>
      <c r="AJ146" s="76">
        <v>6189</v>
      </c>
      <c r="AK146" s="76">
        <v>46</v>
      </c>
      <c r="AL146" s="76" t="b">
        <v>0</v>
      </c>
      <c r="AM146" s="78">
        <v>40678.907893518517</v>
      </c>
      <c r="AN146" s="76"/>
      <c r="AO146" s="76" t="s">
        <v>24837</v>
      </c>
      <c r="AP146" s="76"/>
      <c r="AQ146" s="76"/>
      <c r="AR146" s="76"/>
      <c r="AS146" s="76"/>
      <c r="AT146" s="76"/>
      <c r="AU146" s="76"/>
      <c r="AV146" s="76"/>
      <c r="AW146" s="76"/>
      <c r="AX146" s="76" t="b">
        <v>0</v>
      </c>
      <c r="AY146" s="76"/>
      <c r="AZ146" s="76"/>
      <c r="BA146" s="76" t="b">
        <v>0</v>
      </c>
      <c r="BB146" s="76" t="b">
        <v>0</v>
      </c>
      <c r="BC146" s="76" t="b">
        <v>1</v>
      </c>
      <c r="BD146" s="76" t="b">
        <v>0</v>
      </c>
      <c r="BE146" s="76" t="b">
        <v>0</v>
      </c>
      <c r="BF146" s="76" t="b">
        <v>0</v>
      </c>
      <c r="BG146" s="76" t="b">
        <v>0</v>
      </c>
      <c r="BH146" s="76"/>
      <c r="BI146" s="76"/>
      <c r="BJ146" s="76" t="s">
        <v>27595</v>
      </c>
      <c r="BK146" s="76" t="b">
        <v>0</v>
      </c>
      <c r="BL146" s="76"/>
      <c r="BM146" s="76" t="s">
        <v>66</v>
      </c>
      <c r="BN146" s="76" t="s">
        <v>27597</v>
      </c>
      <c r="BO146" s="82" t="str">
        <f>HYPERLINK("https://twitter.com/luma_sampa")</f>
        <v>https://twitter.com/luma_sampa</v>
      </c>
      <c r="BP146" s="2"/>
    </row>
    <row r="147" spans="1:68" x14ac:dyDescent="0.25">
      <c r="A147" s="62" t="s">
        <v>440</v>
      </c>
      <c r="B147" s="63"/>
      <c r="C147" s="63"/>
      <c r="D147" s="64"/>
      <c r="E147" s="66"/>
      <c r="F147" s="103" t="str">
        <f>HYPERLINK("https://pbs.twimg.com/profile_images/1631633274597457921/ciDKRMAx_normal.jpg")</f>
        <v>https://pbs.twimg.com/profile_images/1631633274597457921/ciDKRMAx_normal.jpg</v>
      </c>
      <c r="G147" s="63"/>
      <c r="H147" s="67"/>
      <c r="I147" s="68"/>
      <c r="J147" s="68"/>
      <c r="K147" s="67" t="s">
        <v>27741</v>
      </c>
      <c r="L147" s="71"/>
      <c r="M147" s="72"/>
      <c r="N147" s="72"/>
      <c r="O147" s="73"/>
      <c r="P147" s="74"/>
      <c r="Q147" s="74"/>
      <c r="R147" s="87"/>
      <c r="S147" s="87"/>
      <c r="T147" s="87"/>
      <c r="U147" s="87"/>
      <c r="V147" s="48"/>
      <c r="W147" s="48"/>
      <c r="X147" s="48"/>
      <c r="Y147" s="48"/>
      <c r="Z147" s="47"/>
      <c r="AA147" s="69">
        <v>147</v>
      </c>
      <c r="AB147" s="69"/>
      <c r="AC147" s="70"/>
      <c r="AD147" s="76" t="s">
        <v>21392</v>
      </c>
      <c r="AE147" s="81" t="s">
        <v>20602</v>
      </c>
      <c r="AF147" s="76">
        <v>4483</v>
      </c>
      <c r="AG147" s="76">
        <v>4994</v>
      </c>
      <c r="AH147" s="76">
        <v>109178</v>
      </c>
      <c r="AI147" s="76">
        <v>4</v>
      </c>
      <c r="AJ147" s="76">
        <v>149539</v>
      </c>
      <c r="AK147" s="76">
        <v>4316</v>
      </c>
      <c r="AL147" s="76" t="b">
        <v>0</v>
      </c>
      <c r="AM147" s="78">
        <v>44414.888749999998</v>
      </c>
      <c r="AN147" s="76"/>
      <c r="AO147" s="76" t="s">
        <v>24838</v>
      </c>
      <c r="AP147" s="76"/>
      <c r="AQ147" s="76"/>
      <c r="AR147" s="76"/>
      <c r="AS147" s="76"/>
      <c r="AT147" s="76"/>
      <c r="AU147" s="76"/>
      <c r="AV147" s="76">
        <v>1.6799039369189701E+18</v>
      </c>
      <c r="AW147" s="76"/>
      <c r="AX147" s="76" t="b">
        <v>0</v>
      </c>
      <c r="AY147" s="76"/>
      <c r="AZ147" s="76"/>
      <c r="BA147" s="76" t="b">
        <v>0</v>
      </c>
      <c r="BB147" s="76" t="b">
        <v>1</v>
      </c>
      <c r="BC147" s="76" t="b">
        <v>1</v>
      </c>
      <c r="BD147" s="76" t="b">
        <v>0</v>
      </c>
      <c r="BE147" s="76" t="b">
        <v>1</v>
      </c>
      <c r="BF147" s="76" t="b">
        <v>0</v>
      </c>
      <c r="BG147" s="76" t="b">
        <v>0</v>
      </c>
      <c r="BH147" s="82" t="str">
        <f>HYPERLINK("https://pbs.twimg.com/profile_banners/1423755610592530440/1686674843")</f>
        <v>https://pbs.twimg.com/profile_banners/1423755610592530440/1686674843</v>
      </c>
      <c r="BI147" s="76"/>
      <c r="BJ147" s="76" t="s">
        <v>27595</v>
      </c>
      <c r="BK147" s="76" t="b">
        <v>0</v>
      </c>
      <c r="BL147" s="76"/>
      <c r="BM147" s="76" t="s">
        <v>66</v>
      </c>
      <c r="BN147" s="76" t="s">
        <v>27597</v>
      </c>
      <c r="BO147" s="82" t="str">
        <f>HYPERLINK("https://twitter.com/liliamcamargo2")</f>
        <v>https://twitter.com/liliamcamargo2</v>
      </c>
      <c r="BP147" s="2"/>
    </row>
    <row r="148" spans="1:68" x14ac:dyDescent="0.25">
      <c r="A148" s="62" t="s">
        <v>322</v>
      </c>
      <c r="B148" s="63"/>
      <c r="C148" s="63"/>
      <c r="D148" s="64"/>
      <c r="E148" s="66"/>
      <c r="F148" s="103" t="str">
        <f>HYPERLINK("https://pbs.twimg.com/profile_images/1440760197597724684/Jtprq7FE_normal.jpg")</f>
        <v>https://pbs.twimg.com/profile_images/1440760197597724684/Jtprq7FE_normal.jpg</v>
      </c>
      <c r="G148" s="63"/>
      <c r="H148" s="67"/>
      <c r="I148" s="68"/>
      <c r="J148" s="68"/>
      <c r="K148" s="67" t="s">
        <v>27742</v>
      </c>
      <c r="L148" s="71"/>
      <c r="M148" s="72"/>
      <c r="N148" s="72"/>
      <c r="O148" s="73"/>
      <c r="P148" s="74"/>
      <c r="Q148" s="74"/>
      <c r="R148" s="87"/>
      <c r="S148" s="87"/>
      <c r="T148" s="87"/>
      <c r="U148" s="87"/>
      <c r="V148" s="48"/>
      <c r="W148" s="48"/>
      <c r="X148" s="48"/>
      <c r="Y148" s="48"/>
      <c r="Z148" s="47"/>
      <c r="AA148" s="69">
        <v>148</v>
      </c>
      <c r="AB148" s="69"/>
      <c r="AC148" s="70"/>
      <c r="AD148" s="76" t="s">
        <v>21393</v>
      </c>
      <c r="AE148" s="81" t="s">
        <v>20549</v>
      </c>
      <c r="AF148" s="76">
        <v>8</v>
      </c>
      <c r="AG148" s="76">
        <v>114</v>
      </c>
      <c r="AH148" s="76">
        <v>3474</v>
      </c>
      <c r="AI148" s="76">
        <v>0</v>
      </c>
      <c r="AJ148" s="76">
        <v>14529</v>
      </c>
      <c r="AK148" s="76">
        <v>64</v>
      </c>
      <c r="AL148" s="76" t="b">
        <v>0</v>
      </c>
      <c r="AM148" s="78">
        <v>44461.809224537035</v>
      </c>
      <c r="AN148" s="76" t="s">
        <v>24073</v>
      </c>
      <c r="AO148" s="76" t="s">
        <v>24839</v>
      </c>
      <c r="AP148" s="76"/>
      <c r="AQ148" s="76"/>
      <c r="AR148" s="76"/>
      <c r="AS148" s="76"/>
      <c r="AT148" s="76"/>
      <c r="AU148" s="76"/>
      <c r="AV148" s="76">
        <v>1.7045803793975401E+18</v>
      </c>
      <c r="AW148" s="76"/>
      <c r="AX148" s="76" t="b">
        <v>0</v>
      </c>
      <c r="AY148" s="76"/>
      <c r="AZ148" s="76"/>
      <c r="BA148" s="76" t="b">
        <v>1</v>
      </c>
      <c r="BB148" s="76" t="b">
        <v>1</v>
      </c>
      <c r="BC148" s="76" t="b">
        <v>1</v>
      </c>
      <c r="BD148" s="76" t="b">
        <v>0</v>
      </c>
      <c r="BE148" s="76" t="b">
        <v>1</v>
      </c>
      <c r="BF148" s="76" t="b">
        <v>0</v>
      </c>
      <c r="BG148" s="76" t="b">
        <v>0</v>
      </c>
      <c r="BH148" s="82" t="str">
        <f>HYPERLINK("https://pbs.twimg.com/profile_banners/1440758958109560842/1670694577")</f>
        <v>https://pbs.twimg.com/profile_banners/1440758958109560842/1670694577</v>
      </c>
      <c r="BI148" s="76"/>
      <c r="BJ148" s="76" t="s">
        <v>27595</v>
      </c>
      <c r="BK148" s="76" t="b">
        <v>0</v>
      </c>
      <c r="BL148" s="76"/>
      <c r="BM148" s="76" t="s">
        <v>66</v>
      </c>
      <c r="BN148" s="76" t="s">
        <v>27597</v>
      </c>
      <c r="BO148" s="82" t="str">
        <f>HYPERLINK("https://twitter.com/benicegenes")</f>
        <v>https://twitter.com/benicegenes</v>
      </c>
      <c r="BP148" s="2"/>
    </row>
    <row r="149" spans="1:68" x14ac:dyDescent="0.25">
      <c r="A149" s="62" t="s">
        <v>1185</v>
      </c>
      <c r="B149" s="63"/>
      <c r="C149" s="63"/>
      <c r="D149" s="64"/>
      <c r="E149" s="66"/>
      <c r="F149" s="103" t="str">
        <f>HYPERLINK("https://pbs.twimg.com/profile_images/1559568970855944197/Je0IR_fB_normal.jpg")</f>
        <v>https://pbs.twimg.com/profile_images/1559568970855944197/Je0IR_fB_normal.jpg</v>
      </c>
      <c r="G149" s="63"/>
      <c r="H149" s="67"/>
      <c r="I149" s="68"/>
      <c r="J149" s="68"/>
      <c r="K149" s="67" t="s">
        <v>27743</v>
      </c>
      <c r="L149" s="71"/>
      <c r="M149" s="72"/>
      <c r="N149" s="72"/>
      <c r="O149" s="73"/>
      <c r="P149" s="74"/>
      <c r="Q149" s="74"/>
      <c r="R149" s="87"/>
      <c r="S149" s="87"/>
      <c r="T149" s="87"/>
      <c r="U149" s="87"/>
      <c r="V149" s="48"/>
      <c r="W149" s="48"/>
      <c r="X149" s="48"/>
      <c r="Y149" s="48"/>
      <c r="Z149" s="47"/>
      <c r="AA149" s="69">
        <v>149</v>
      </c>
      <c r="AB149" s="69"/>
      <c r="AC149" s="70"/>
      <c r="AD149" s="76" t="s">
        <v>21394</v>
      </c>
      <c r="AE149" s="81" t="s">
        <v>20969</v>
      </c>
      <c r="AF149" s="76">
        <v>304</v>
      </c>
      <c r="AG149" s="76">
        <v>782</v>
      </c>
      <c r="AH149" s="76">
        <v>2292</v>
      </c>
      <c r="AI149" s="76">
        <v>0</v>
      </c>
      <c r="AJ149" s="76">
        <v>7325</v>
      </c>
      <c r="AK149" s="76">
        <v>171</v>
      </c>
      <c r="AL149" s="76" t="b">
        <v>0</v>
      </c>
      <c r="AM149" s="78">
        <v>44789.660810185182</v>
      </c>
      <c r="AN149" s="76"/>
      <c r="AO149" s="76"/>
      <c r="AP149" s="76"/>
      <c r="AQ149" s="76"/>
      <c r="AR149" s="76"/>
      <c r="AS149" s="76"/>
      <c r="AT149" s="76"/>
      <c r="AU149" s="76"/>
      <c r="AV149" s="76"/>
      <c r="AW149" s="76"/>
      <c r="AX149" s="76" t="b">
        <v>0</v>
      </c>
      <c r="AY149" s="76"/>
      <c r="AZ149" s="76"/>
      <c r="BA149" s="76" t="b">
        <v>0</v>
      </c>
      <c r="BB149" s="76" t="b">
        <v>1</v>
      </c>
      <c r="BC149" s="76" t="b">
        <v>1</v>
      </c>
      <c r="BD149" s="76" t="b">
        <v>0</v>
      </c>
      <c r="BE149" s="76" t="b">
        <v>0</v>
      </c>
      <c r="BF149" s="76" t="b">
        <v>0</v>
      </c>
      <c r="BG149" s="76" t="b">
        <v>0</v>
      </c>
      <c r="BH149" s="76"/>
      <c r="BI149" s="76"/>
      <c r="BJ149" s="76" t="s">
        <v>27595</v>
      </c>
      <c r="BK149" s="76" t="b">
        <v>0</v>
      </c>
      <c r="BL149" s="76"/>
      <c r="BM149" s="76" t="s">
        <v>66</v>
      </c>
      <c r="BN149" s="76" t="s">
        <v>27597</v>
      </c>
      <c r="BO149" s="82" t="str">
        <f>HYPERLINK("https://twitter.com/guscard0s0")</f>
        <v>https://twitter.com/guscard0s0</v>
      </c>
      <c r="BP149" s="2"/>
    </row>
    <row r="150" spans="1:68" x14ac:dyDescent="0.25">
      <c r="A150" s="62" t="s">
        <v>323</v>
      </c>
      <c r="B150" s="63"/>
      <c r="C150" s="63"/>
      <c r="D150" s="64"/>
      <c r="E150" s="66"/>
      <c r="F150" s="103" t="str">
        <f>HYPERLINK("https://pbs.twimg.com/profile_images/1699502436816236544/XCmPsrIH_normal.jpg")</f>
        <v>https://pbs.twimg.com/profile_images/1699502436816236544/XCmPsrIH_normal.jpg</v>
      </c>
      <c r="G150" s="63"/>
      <c r="H150" s="67"/>
      <c r="I150" s="68"/>
      <c r="J150" s="68"/>
      <c r="K150" s="67" t="s">
        <v>27744</v>
      </c>
      <c r="L150" s="71"/>
      <c r="M150" s="72"/>
      <c r="N150" s="72"/>
      <c r="O150" s="73"/>
      <c r="P150" s="74"/>
      <c r="Q150" s="74"/>
      <c r="R150" s="87"/>
      <c r="S150" s="87"/>
      <c r="T150" s="87"/>
      <c r="U150" s="87"/>
      <c r="V150" s="48"/>
      <c r="W150" s="48"/>
      <c r="X150" s="48"/>
      <c r="Y150" s="48"/>
      <c r="Z150" s="47"/>
      <c r="AA150" s="69">
        <v>150</v>
      </c>
      <c r="AB150" s="69"/>
      <c r="AC150" s="70"/>
      <c r="AD150" s="76" t="s">
        <v>21395</v>
      </c>
      <c r="AE150" s="81" t="s">
        <v>23134</v>
      </c>
      <c r="AF150" s="76">
        <v>526</v>
      </c>
      <c r="AG150" s="76">
        <v>678</v>
      </c>
      <c r="AH150" s="76">
        <v>8984</v>
      </c>
      <c r="AI150" s="76">
        <v>0</v>
      </c>
      <c r="AJ150" s="76">
        <v>798</v>
      </c>
      <c r="AK150" s="76">
        <v>754</v>
      </c>
      <c r="AL150" s="76" t="b">
        <v>0</v>
      </c>
      <c r="AM150" s="78">
        <v>41431.020312499997</v>
      </c>
      <c r="AN150" s="76" t="s">
        <v>24132</v>
      </c>
      <c r="AO150" s="76" t="s">
        <v>24840</v>
      </c>
      <c r="AP150" s="82" t="str">
        <f>HYPERLINK("https://t.co/KD61BV4LqV")</f>
        <v>https://t.co/KD61BV4LqV</v>
      </c>
      <c r="AQ150" s="82" t="str">
        <f>HYPERLINK("http://www.youtube.com/@quemsabe")</f>
        <v>http://www.youtube.com/@quemsabe</v>
      </c>
      <c r="AR150" s="76" t="s">
        <v>26450</v>
      </c>
      <c r="AS150" s="76"/>
      <c r="AT150" s="76"/>
      <c r="AU150" s="76"/>
      <c r="AV150" s="76">
        <v>1.6614622545948001E+18</v>
      </c>
      <c r="AW150" s="82" t="str">
        <f>HYPERLINK("https://t.co/KD61BV4LqV")</f>
        <v>https://t.co/KD61BV4LqV</v>
      </c>
      <c r="AX150" s="76" t="b">
        <v>0</v>
      </c>
      <c r="AY150" s="76"/>
      <c r="AZ150" s="76"/>
      <c r="BA150" s="76" t="b">
        <v>0</v>
      </c>
      <c r="BB150" s="76" t="b">
        <v>1</v>
      </c>
      <c r="BC150" s="76" t="b">
        <v>1</v>
      </c>
      <c r="BD150" s="76" t="b">
        <v>0</v>
      </c>
      <c r="BE150" s="76" t="b">
        <v>0</v>
      </c>
      <c r="BF150" s="76" t="b">
        <v>0</v>
      </c>
      <c r="BG150" s="76" t="b">
        <v>0</v>
      </c>
      <c r="BH150" s="82" t="str">
        <f>HYPERLINK("https://pbs.twimg.com/profile_banners/1486419553/1694027902")</f>
        <v>https://pbs.twimg.com/profile_banners/1486419553/1694027902</v>
      </c>
      <c r="BI150" s="76"/>
      <c r="BJ150" s="76" t="s">
        <v>27595</v>
      </c>
      <c r="BK150" s="76" t="b">
        <v>0</v>
      </c>
      <c r="BL150" s="76"/>
      <c r="BM150" s="76" t="s">
        <v>66</v>
      </c>
      <c r="BN150" s="76" t="s">
        <v>27597</v>
      </c>
      <c r="BO150" s="82" t="str">
        <f>HYPERLINK("https://twitter.com/mmendonca65")</f>
        <v>https://twitter.com/mmendonca65</v>
      </c>
      <c r="BP150" s="2"/>
    </row>
    <row r="151" spans="1:68" x14ac:dyDescent="0.25">
      <c r="A151" s="62" t="s">
        <v>324</v>
      </c>
      <c r="B151" s="63"/>
      <c r="C151" s="63"/>
      <c r="D151" s="64"/>
      <c r="E151" s="66"/>
      <c r="F151" s="103" t="str">
        <f>HYPERLINK("https://pbs.twimg.com/profile_images/1691952631160111104/Lf3fT_aX_normal.jpg")</f>
        <v>https://pbs.twimg.com/profile_images/1691952631160111104/Lf3fT_aX_normal.jpg</v>
      </c>
      <c r="G151" s="63"/>
      <c r="H151" s="67"/>
      <c r="I151" s="68"/>
      <c r="J151" s="68"/>
      <c r="K151" s="67" t="s">
        <v>27745</v>
      </c>
      <c r="L151" s="71"/>
      <c r="M151" s="72"/>
      <c r="N151" s="72"/>
      <c r="O151" s="73"/>
      <c r="P151" s="74"/>
      <c r="Q151" s="74"/>
      <c r="R151" s="87"/>
      <c r="S151" s="87"/>
      <c r="T151" s="87"/>
      <c r="U151" s="87"/>
      <c r="V151" s="48"/>
      <c r="W151" s="48"/>
      <c r="X151" s="48"/>
      <c r="Y151" s="48"/>
      <c r="Z151" s="47"/>
      <c r="AA151" s="69">
        <v>151</v>
      </c>
      <c r="AB151" s="69"/>
      <c r="AC151" s="70"/>
      <c r="AD151" s="76" t="s">
        <v>21396</v>
      </c>
      <c r="AE151" s="81" t="s">
        <v>20550</v>
      </c>
      <c r="AF151" s="76">
        <v>0</v>
      </c>
      <c r="AG151" s="76">
        <v>9</v>
      </c>
      <c r="AH151" s="76">
        <v>2</v>
      </c>
      <c r="AI151" s="76">
        <v>0</v>
      </c>
      <c r="AJ151" s="76">
        <v>0</v>
      </c>
      <c r="AK151" s="76">
        <v>2</v>
      </c>
      <c r="AL151" s="76" t="b">
        <v>0</v>
      </c>
      <c r="AM151" s="78">
        <v>45108.02721064815</v>
      </c>
      <c r="AN151" s="76"/>
      <c r="AO151" s="76" t="s">
        <v>24841</v>
      </c>
      <c r="AP151" s="76"/>
      <c r="AQ151" s="76"/>
      <c r="AR151" s="76"/>
      <c r="AS151" s="76"/>
      <c r="AT151" s="76"/>
      <c r="AU151" s="76"/>
      <c r="AV151" s="76"/>
      <c r="AW151" s="76"/>
      <c r="AX151" s="76" t="b">
        <v>0</v>
      </c>
      <c r="AY151" s="76"/>
      <c r="AZ151" s="76"/>
      <c r="BA151" s="76" t="b">
        <v>0</v>
      </c>
      <c r="BB151" s="76" t="b">
        <v>1</v>
      </c>
      <c r="BC151" s="76" t="b">
        <v>1</v>
      </c>
      <c r="BD151" s="76" t="b">
        <v>0</v>
      </c>
      <c r="BE151" s="76" t="b">
        <v>0</v>
      </c>
      <c r="BF151" s="76" t="b">
        <v>0</v>
      </c>
      <c r="BG151" s="76" t="b">
        <v>0</v>
      </c>
      <c r="BH151" s="82" t="str">
        <f>HYPERLINK("https://pbs.twimg.com/profile_banners/1674940384940630017/1692227917")</f>
        <v>https://pbs.twimg.com/profile_banners/1674940384940630017/1692227917</v>
      </c>
      <c r="BI151" s="76"/>
      <c r="BJ151" s="76" t="s">
        <v>27595</v>
      </c>
      <c r="BK151" s="76" t="b">
        <v>0</v>
      </c>
      <c r="BL151" s="76"/>
      <c r="BM151" s="76" t="s">
        <v>66</v>
      </c>
      <c r="BN151" s="76" t="s">
        <v>27597</v>
      </c>
      <c r="BO151" s="82" t="str">
        <f>HYPERLINK("https://twitter.com/sestarileticia")</f>
        <v>https://twitter.com/sestarileticia</v>
      </c>
      <c r="BP151" s="2"/>
    </row>
    <row r="152" spans="1:68" x14ac:dyDescent="0.25">
      <c r="A152" s="62" t="s">
        <v>325</v>
      </c>
      <c r="B152" s="63"/>
      <c r="C152" s="63"/>
      <c r="D152" s="64"/>
      <c r="E152" s="66"/>
      <c r="F152" s="103" t="str">
        <f>HYPERLINK("https://pbs.twimg.com/profile_images/1329530048127373317/tdtMASp0_normal.jpg")</f>
        <v>https://pbs.twimg.com/profile_images/1329530048127373317/tdtMASp0_normal.jpg</v>
      </c>
      <c r="G152" s="63"/>
      <c r="H152" s="67"/>
      <c r="I152" s="68"/>
      <c r="J152" s="68"/>
      <c r="K152" s="67" t="s">
        <v>27746</v>
      </c>
      <c r="L152" s="71"/>
      <c r="M152" s="72"/>
      <c r="N152" s="72"/>
      <c r="O152" s="73"/>
      <c r="P152" s="74"/>
      <c r="Q152" s="74"/>
      <c r="R152" s="87"/>
      <c r="S152" s="87"/>
      <c r="T152" s="87"/>
      <c r="U152" s="87"/>
      <c r="V152" s="48"/>
      <c r="W152" s="48"/>
      <c r="X152" s="48"/>
      <c r="Y152" s="48"/>
      <c r="Z152" s="47"/>
      <c r="AA152" s="69">
        <v>152</v>
      </c>
      <c r="AB152" s="69"/>
      <c r="AC152" s="70"/>
      <c r="AD152" s="76" t="s">
        <v>21397</v>
      </c>
      <c r="AE152" s="81" t="s">
        <v>20551</v>
      </c>
      <c r="AF152" s="76">
        <v>10217</v>
      </c>
      <c r="AG152" s="76">
        <v>33</v>
      </c>
      <c r="AH152" s="76">
        <v>8044</v>
      </c>
      <c r="AI152" s="76">
        <v>18</v>
      </c>
      <c r="AJ152" s="76">
        <v>441</v>
      </c>
      <c r="AK152" s="76">
        <v>6420</v>
      </c>
      <c r="AL152" s="76" t="b">
        <v>0</v>
      </c>
      <c r="AM152" s="78">
        <v>44154.875173611108</v>
      </c>
      <c r="AN152" s="76" t="s">
        <v>14479</v>
      </c>
      <c r="AO152" s="76" t="s">
        <v>24842</v>
      </c>
      <c r="AP152" s="82" t="str">
        <f>HYPERLINK("https://t.co/09q8FY0geK")</f>
        <v>https://t.co/09q8FY0geK</v>
      </c>
      <c r="AQ152" s="82" t="str">
        <f>HYPERLINK("http://www.panflix.com.br")</f>
        <v>http://www.panflix.com.br</v>
      </c>
      <c r="AR152" s="76" t="s">
        <v>26451</v>
      </c>
      <c r="AS152" s="82" t="str">
        <f>HYPERLINK("https://t.co/a2vsR5231R")</f>
        <v>https://t.co/a2vsR5231R</v>
      </c>
      <c r="AT152" s="82" t="str">
        <f>HYPERLINK("https://www.panflix.com.br/")</f>
        <v>https://www.panflix.com.br/</v>
      </c>
      <c r="AU152" s="76" t="s">
        <v>26451</v>
      </c>
      <c r="AV152" s="76"/>
      <c r="AW152" s="82" t="str">
        <f>HYPERLINK("https://t.co/09q8FY0geK")</f>
        <v>https://t.co/09q8FY0geK</v>
      </c>
      <c r="AX152" s="76" t="b">
        <v>0</v>
      </c>
      <c r="AY152" s="76"/>
      <c r="AZ152" s="76"/>
      <c r="BA152" s="76" t="b">
        <v>0</v>
      </c>
      <c r="BB152" s="76" t="b">
        <v>1</v>
      </c>
      <c r="BC152" s="76" t="b">
        <v>1</v>
      </c>
      <c r="BD152" s="76" t="b">
        <v>0</v>
      </c>
      <c r="BE152" s="76" t="b">
        <v>0</v>
      </c>
      <c r="BF152" s="76" t="b">
        <v>0</v>
      </c>
      <c r="BG152" s="76" t="b">
        <v>0</v>
      </c>
      <c r="BH152" s="82" t="str">
        <f>HYPERLINK("https://pbs.twimg.com/profile_banners/1329529913016193027/1605819708")</f>
        <v>https://pbs.twimg.com/profile_banners/1329529913016193027/1605819708</v>
      </c>
      <c r="BI152" s="76"/>
      <c r="BJ152" s="76" t="s">
        <v>27595</v>
      </c>
      <c r="BK152" s="76" t="b">
        <v>0</v>
      </c>
      <c r="BL152" s="76"/>
      <c r="BM152" s="76" t="s">
        <v>66</v>
      </c>
      <c r="BN152" s="76" t="s">
        <v>27597</v>
      </c>
      <c r="BO152" s="82" t="str">
        <f>HYPERLINK("https://twitter.com/panflixoficial")</f>
        <v>https://twitter.com/panflixoficial</v>
      </c>
      <c r="BP152" s="2"/>
    </row>
    <row r="153" spans="1:68" x14ac:dyDescent="0.25">
      <c r="A153" s="62" t="s">
        <v>326</v>
      </c>
      <c r="B153" s="63"/>
      <c r="C153" s="63"/>
      <c r="D153" s="64"/>
      <c r="E153" s="66"/>
      <c r="F153" s="103" t="str">
        <f>HYPERLINK("https://pbs.twimg.com/profile_images/1689212642810806273/paj76aVC_normal.jpg")</f>
        <v>https://pbs.twimg.com/profile_images/1689212642810806273/paj76aVC_normal.jpg</v>
      </c>
      <c r="G153" s="63"/>
      <c r="H153" s="67"/>
      <c r="I153" s="68"/>
      <c r="J153" s="68"/>
      <c r="K153" s="67" t="s">
        <v>27747</v>
      </c>
      <c r="L153" s="71"/>
      <c r="M153" s="72"/>
      <c r="N153" s="72"/>
      <c r="O153" s="73"/>
      <c r="P153" s="74"/>
      <c r="Q153" s="74"/>
      <c r="R153" s="87"/>
      <c r="S153" s="87"/>
      <c r="T153" s="87"/>
      <c r="U153" s="87"/>
      <c r="V153" s="48"/>
      <c r="W153" s="48"/>
      <c r="X153" s="48"/>
      <c r="Y153" s="48"/>
      <c r="Z153" s="47"/>
      <c r="AA153" s="69">
        <v>153</v>
      </c>
      <c r="AB153" s="69"/>
      <c r="AC153" s="70"/>
      <c r="AD153" s="76" t="s">
        <v>21398</v>
      </c>
      <c r="AE153" s="81" t="s">
        <v>23135</v>
      </c>
      <c r="AF153" s="76">
        <v>93</v>
      </c>
      <c r="AG153" s="76">
        <v>254</v>
      </c>
      <c r="AH153" s="76">
        <v>10251</v>
      </c>
      <c r="AI153" s="76">
        <v>0</v>
      </c>
      <c r="AJ153" s="76">
        <v>10304</v>
      </c>
      <c r="AK153" s="76">
        <v>1487</v>
      </c>
      <c r="AL153" s="76" t="b">
        <v>0</v>
      </c>
      <c r="AM153" s="78">
        <v>42150.981388888889</v>
      </c>
      <c r="AN153" s="76" t="s">
        <v>24133</v>
      </c>
      <c r="AO153" s="76" t="s">
        <v>24843</v>
      </c>
      <c r="AP153" s="76"/>
      <c r="AQ153" s="76"/>
      <c r="AR153" s="76"/>
      <c r="AS153" s="76"/>
      <c r="AT153" s="76"/>
      <c r="AU153" s="76"/>
      <c r="AV153" s="76"/>
      <c r="AW153" s="76"/>
      <c r="AX153" s="76" t="b">
        <v>0</v>
      </c>
      <c r="AY153" s="76"/>
      <c r="AZ153" s="76"/>
      <c r="BA153" s="76" t="b">
        <v>1</v>
      </c>
      <c r="BB153" s="76" t="b">
        <v>1</v>
      </c>
      <c r="BC153" s="76" t="b">
        <v>1</v>
      </c>
      <c r="BD153" s="76" t="b">
        <v>0</v>
      </c>
      <c r="BE153" s="76" t="b">
        <v>1</v>
      </c>
      <c r="BF153" s="76" t="b">
        <v>0</v>
      </c>
      <c r="BG153" s="76" t="b">
        <v>0</v>
      </c>
      <c r="BH153" s="82" t="str">
        <f>HYPERLINK("https://pbs.twimg.com/profile_banners/3227618016/1691574652")</f>
        <v>https://pbs.twimg.com/profile_banners/3227618016/1691574652</v>
      </c>
      <c r="BI153" s="76"/>
      <c r="BJ153" s="76" t="s">
        <v>27595</v>
      </c>
      <c r="BK153" s="76" t="b">
        <v>0</v>
      </c>
      <c r="BL153" s="76"/>
      <c r="BM153" s="76" t="s">
        <v>66</v>
      </c>
      <c r="BN153" s="76" t="s">
        <v>27597</v>
      </c>
      <c r="BO153" s="82" t="str">
        <f>HYPERLINK("https://twitter.com/sobrinhocassius")</f>
        <v>https://twitter.com/sobrinhocassius</v>
      </c>
      <c r="BP153" s="2"/>
    </row>
    <row r="154" spans="1:68" x14ac:dyDescent="0.25">
      <c r="A154" s="62" t="s">
        <v>327</v>
      </c>
      <c r="B154" s="63"/>
      <c r="C154" s="63"/>
      <c r="D154" s="64"/>
      <c r="E154" s="66"/>
      <c r="F154" s="103" t="str">
        <f>HYPERLINK("https://pbs.twimg.com/profile_images/1656163473817063426/jSQiwiE2_normal.jpg")</f>
        <v>https://pbs.twimg.com/profile_images/1656163473817063426/jSQiwiE2_normal.jpg</v>
      </c>
      <c r="G154" s="63"/>
      <c r="H154" s="67"/>
      <c r="I154" s="68"/>
      <c r="J154" s="68"/>
      <c r="K154" s="67" t="s">
        <v>27748</v>
      </c>
      <c r="L154" s="71"/>
      <c r="M154" s="72"/>
      <c r="N154" s="72"/>
      <c r="O154" s="73"/>
      <c r="P154" s="74"/>
      <c r="Q154" s="74"/>
      <c r="R154" s="87"/>
      <c r="S154" s="87"/>
      <c r="T154" s="87"/>
      <c r="U154" s="87"/>
      <c r="V154" s="48"/>
      <c r="W154" s="48"/>
      <c r="X154" s="48"/>
      <c r="Y154" s="48"/>
      <c r="Z154" s="47"/>
      <c r="AA154" s="69">
        <v>154</v>
      </c>
      <c r="AB154" s="69"/>
      <c r="AC154" s="70"/>
      <c r="AD154" s="76" t="s">
        <v>21399</v>
      </c>
      <c r="AE154" s="81" t="s">
        <v>20552</v>
      </c>
      <c r="AF154" s="76">
        <v>5016</v>
      </c>
      <c r="AG154" s="76">
        <v>1539</v>
      </c>
      <c r="AH154" s="76">
        <v>9321</v>
      </c>
      <c r="AI154" s="76">
        <v>9</v>
      </c>
      <c r="AJ154" s="76">
        <v>53505</v>
      </c>
      <c r="AK154" s="76">
        <v>570</v>
      </c>
      <c r="AL154" s="76" t="b">
        <v>0</v>
      </c>
      <c r="AM154" s="78">
        <v>43290.976493055554</v>
      </c>
      <c r="AN154" s="76" t="s">
        <v>24134</v>
      </c>
      <c r="AO154" s="76" t="s">
        <v>24844</v>
      </c>
      <c r="AP154" s="76"/>
      <c r="AQ154" s="76"/>
      <c r="AR154" s="76"/>
      <c r="AS154" s="76"/>
      <c r="AT154" s="76"/>
      <c r="AU154" s="76"/>
      <c r="AV154" s="76">
        <v>1.39227651861375E+18</v>
      </c>
      <c r="AW154" s="76"/>
      <c r="AX154" s="76" t="b">
        <v>0</v>
      </c>
      <c r="AY154" s="76"/>
      <c r="AZ154" s="76"/>
      <c r="BA154" s="76" t="b">
        <v>1</v>
      </c>
      <c r="BB154" s="76" t="b">
        <v>1</v>
      </c>
      <c r="BC154" s="76" t="b">
        <v>1</v>
      </c>
      <c r="BD154" s="76" t="b">
        <v>0</v>
      </c>
      <c r="BE154" s="76" t="b">
        <v>1</v>
      </c>
      <c r="BF154" s="76" t="b">
        <v>0</v>
      </c>
      <c r="BG154" s="76" t="b">
        <v>0</v>
      </c>
      <c r="BH154" s="82" t="str">
        <f>HYPERLINK("https://pbs.twimg.com/profile_banners/1016463545989566475/1658272800")</f>
        <v>https://pbs.twimg.com/profile_banners/1016463545989566475/1658272800</v>
      </c>
      <c r="BI154" s="76"/>
      <c r="BJ154" s="76" t="s">
        <v>27595</v>
      </c>
      <c r="BK154" s="76" t="b">
        <v>0</v>
      </c>
      <c r="BL154" s="76"/>
      <c r="BM154" s="76" t="s">
        <v>66</v>
      </c>
      <c r="BN154" s="76" t="s">
        <v>27597</v>
      </c>
      <c r="BO154" s="82" t="str">
        <f>HYPERLINK("https://twitter.com/andreainiguezm")</f>
        <v>https://twitter.com/andreainiguezm</v>
      </c>
      <c r="BP154" s="2"/>
    </row>
    <row r="155" spans="1:68" x14ac:dyDescent="0.25">
      <c r="A155" s="62" t="s">
        <v>1724</v>
      </c>
      <c r="B155" s="63"/>
      <c r="C155" s="63"/>
      <c r="D155" s="64"/>
      <c r="E155" s="66"/>
      <c r="F155" s="103" t="str">
        <f>HYPERLINK("https://pbs.twimg.com/profile_images/1570016983051010051/PdXrtUxW_normal.jpg")</f>
        <v>https://pbs.twimg.com/profile_images/1570016983051010051/PdXrtUxW_normal.jpg</v>
      </c>
      <c r="G155" s="63"/>
      <c r="H155" s="67"/>
      <c r="I155" s="68"/>
      <c r="J155" s="68"/>
      <c r="K155" s="67" t="s">
        <v>27749</v>
      </c>
      <c r="L155" s="71"/>
      <c r="M155" s="72"/>
      <c r="N155" s="72"/>
      <c r="O155" s="73"/>
      <c r="P155" s="74"/>
      <c r="Q155" s="74"/>
      <c r="R155" s="87"/>
      <c r="S155" s="87"/>
      <c r="T155" s="87"/>
      <c r="U155" s="87"/>
      <c r="V155" s="48"/>
      <c r="W155" s="48"/>
      <c r="X155" s="48"/>
      <c r="Y155" s="48"/>
      <c r="Z155" s="47"/>
      <c r="AA155" s="69">
        <v>155</v>
      </c>
      <c r="AB155" s="69"/>
      <c r="AC155" s="70"/>
      <c r="AD155" s="76" t="s">
        <v>21400</v>
      </c>
      <c r="AE155" s="81" t="s">
        <v>23136</v>
      </c>
      <c r="AF155" s="76">
        <v>2477635</v>
      </c>
      <c r="AG155" s="76">
        <v>18955</v>
      </c>
      <c r="AH155" s="76">
        <v>4742</v>
      </c>
      <c r="AI155" s="76">
        <v>9517</v>
      </c>
      <c r="AJ155" s="76">
        <v>2733</v>
      </c>
      <c r="AK155" s="76">
        <v>1170</v>
      </c>
      <c r="AL155" s="76" t="b">
        <v>0</v>
      </c>
      <c r="AM155" s="78">
        <v>39496.582777777781</v>
      </c>
      <c r="AN155" s="76" t="s">
        <v>14386</v>
      </c>
      <c r="AO155" s="76" t="s">
        <v>24845</v>
      </c>
      <c r="AP155" s="82" t="str">
        <f>HYPERLINK("https://t.co/9dlxS7hleE")</f>
        <v>https://t.co/9dlxS7hleE</v>
      </c>
      <c r="AQ155" s="82" t="str">
        <f>HYPERLINK("http://Facebook.com/sebastianpinerapresidente")</f>
        <v>http://Facebook.com/sebastianpinerapresidente</v>
      </c>
      <c r="AR155" s="76" t="s">
        <v>26452</v>
      </c>
      <c r="AS155" s="76"/>
      <c r="AT155" s="76"/>
      <c r="AU155" s="76"/>
      <c r="AV155" s="76"/>
      <c r="AW155" s="82" t="str">
        <f>HYPERLINK("https://t.co/9dlxS7hleE")</f>
        <v>https://t.co/9dlxS7hleE</v>
      </c>
      <c r="AX155" s="76" t="b">
        <v>1</v>
      </c>
      <c r="AY155" s="76"/>
      <c r="AZ155" s="76"/>
      <c r="BA155" s="76" t="b">
        <v>0</v>
      </c>
      <c r="BB155" s="76" t="b">
        <v>1</v>
      </c>
      <c r="BC155" s="76" t="b">
        <v>0</v>
      </c>
      <c r="BD155" s="76" t="b">
        <v>0</v>
      </c>
      <c r="BE155" s="76" t="b">
        <v>1</v>
      </c>
      <c r="BF155" s="76" t="b">
        <v>0</v>
      </c>
      <c r="BG155" s="76" t="b">
        <v>0</v>
      </c>
      <c r="BH155" s="82" t="str">
        <f>HYPERLINK("https://pbs.twimg.com/profile_banners/13623532/1663156017")</f>
        <v>https://pbs.twimg.com/profile_banners/13623532/1663156017</v>
      </c>
      <c r="BI155" s="76"/>
      <c r="BJ155" s="76" t="s">
        <v>27596</v>
      </c>
      <c r="BK155" s="76" t="b">
        <v>0</v>
      </c>
      <c r="BL155" s="76"/>
      <c r="BM155" s="76" t="s">
        <v>65</v>
      </c>
      <c r="BN155" s="76" t="s">
        <v>27597</v>
      </c>
      <c r="BO155" s="82" t="str">
        <f>HYPERLINK("https://twitter.com/sebastianpinera")</f>
        <v>https://twitter.com/sebastianpinera</v>
      </c>
      <c r="BP155" s="2"/>
    </row>
    <row r="156" spans="1:68" x14ac:dyDescent="0.25">
      <c r="A156" s="62" t="s">
        <v>1725</v>
      </c>
      <c r="B156" s="63"/>
      <c r="C156" s="63"/>
      <c r="D156" s="64"/>
      <c r="E156" s="66"/>
      <c r="F156" s="103" t="str">
        <f>HYPERLINK("https://pbs.twimg.com/profile_images/1502323843158921219/4iaApO1I_normal.jpg")</f>
        <v>https://pbs.twimg.com/profile_images/1502323843158921219/4iaApO1I_normal.jpg</v>
      </c>
      <c r="G156" s="63"/>
      <c r="H156" s="67"/>
      <c r="I156" s="68"/>
      <c r="J156" s="68"/>
      <c r="K156" s="67" t="s">
        <v>27750</v>
      </c>
      <c r="L156" s="71"/>
      <c r="M156" s="72"/>
      <c r="N156" s="72"/>
      <c r="O156" s="73"/>
      <c r="P156" s="74"/>
      <c r="Q156" s="74"/>
      <c r="R156" s="87"/>
      <c r="S156" s="87"/>
      <c r="T156" s="87"/>
      <c r="U156" s="87"/>
      <c r="V156" s="48"/>
      <c r="W156" s="48"/>
      <c r="X156" s="48"/>
      <c r="Y156" s="48"/>
      <c r="Z156" s="47"/>
      <c r="AA156" s="69">
        <v>156</v>
      </c>
      <c r="AB156" s="69"/>
      <c r="AC156" s="70"/>
      <c r="AD156" s="76" t="s">
        <v>21401</v>
      </c>
      <c r="AE156" s="81" t="s">
        <v>23137</v>
      </c>
      <c r="AF156" s="76">
        <v>1963740</v>
      </c>
      <c r="AG156" s="76">
        <v>7796</v>
      </c>
      <c r="AH156" s="76">
        <v>64188</v>
      </c>
      <c r="AI156" s="76">
        <v>2189</v>
      </c>
      <c r="AJ156" s="76">
        <v>5395</v>
      </c>
      <c r="AK156" s="76">
        <v>4874</v>
      </c>
      <c r="AL156" s="76" t="b">
        <v>0</v>
      </c>
      <c r="AM156" s="78">
        <v>40069.901886574073</v>
      </c>
      <c r="AN156" s="76" t="s">
        <v>24135</v>
      </c>
      <c r="AO156" s="76" t="s">
        <v>24846</v>
      </c>
      <c r="AP156" s="82" t="str">
        <f>HYPERLINK("https://t.co/6T5nZyrgl9")</f>
        <v>https://t.co/6T5nZyrgl9</v>
      </c>
      <c r="AQ156" s="82" t="str">
        <f>HYPERLINK("https://mtr.bio/gabrielboric")</f>
        <v>https://mtr.bio/gabrielboric</v>
      </c>
      <c r="AR156" s="76" t="s">
        <v>26453</v>
      </c>
      <c r="AS156" s="76"/>
      <c r="AT156" s="76"/>
      <c r="AU156" s="76"/>
      <c r="AV156" s="76"/>
      <c r="AW156" s="82" t="str">
        <f>HYPERLINK("https://t.co/6T5nZyrgl9")</f>
        <v>https://t.co/6T5nZyrgl9</v>
      </c>
      <c r="AX156" s="76" t="b">
        <v>1</v>
      </c>
      <c r="AY156" s="76"/>
      <c r="AZ156" s="76"/>
      <c r="BA156" s="76" t="b">
        <v>0</v>
      </c>
      <c r="BB156" s="76" t="b">
        <v>1</v>
      </c>
      <c r="BC156" s="76" t="b">
        <v>1</v>
      </c>
      <c r="BD156" s="76" t="b">
        <v>0</v>
      </c>
      <c r="BE156" s="76" t="b">
        <v>1</v>
      </c>
      <c r="BF156" s="76" t="b">
        <v>0</v>
      </c>
      <c r="BG156" s="76" t="b">
        <v>0</v>
      </c>
      <c r="BH156" s="82" t="str">
        <f>HYPERLINK("https://pbs.twimg.com/profile_banners/73981088/1647896168")</f>
        <v>https://pbs.twimg.com/profile_banners/73981088/1647896168</v>
      </c>
      <c r="BI156" s="76"/>
      <c r="BJ156" s="76" t="s">
        <v>27595</v>
      </c>
      <c r="BK156" s="76" t="b">
        <v>0</v>
      </c>
      <c r="BL156" s="76"/>
      <c r="BM156" s="76" t="s">
        <v>65</v>
      </c>
      <c r="BN156" s="76" t="s">
        <v>27597</v>
      </c>
      <c r="BO156" s="82" t="str">
        <f>HYPERLINK("https://twitter.com/gabrielboric")</f>
        <v>https://twitter.com/gabrielboric</v>
      </c>
      <c r="BP156" s="2"/>
    </row>
    <row r="157" spans="1:68" x14ac:dyDescent="0.25">
      <c r="A157" s="62" t="s">
        <v>328</v>
      </c>
      <c r="B157" s="63"/>
      <c r="C157" s="63"/>
      <c r="D157" s="64"/>
      <c r="E157" s="66"/>
      <c r="F157" s="103" t="str">
        <f>HYPERLINK("https://pbs.twimg.com/profile_images/1273230330909032449/bJGuydu-_normal.jpg")</f>
        <v>https://pbs.twimg.com/profile_images/1273230330909032449/bJGuydu-_normal.jpg</v>
      </c>
      <c r="G157" s="63"/>
      <c r="H157" s="67"/>
      <c r="I157" s="68"/>
      <c r="J157" s="68"/>
      <c r="K157" s="67" t="s">
        <v>27751</v>
      </c>
      <c r="L157" s="71"/>
      <c r="M157" s="72"/>
      <c r="N157" s="72"/>
      <c r="O157" s="73"/>
      <c r="P157" s="74"/>
      <c r="Q157" s="74"/>
      <c r="R157" s="87"/>
      <c r="S157" s="87"/>
      <c r="T157" s="87"/>
      <c r="U157" s="87"/>
      <c r="V157" s="48"/>
      <c r="W157" s="48"/>
      <c r="X157" s="48"/>
      <c r="Y157" s="48"/>
      <c r="Z157" s="47"/>
      <c r="AA157" s="69">
        <v>157</v>
      </c>
      <c r="AB157" s="69"/>
      <c r="AC157" s="70"/>
      <c r="AD157" s="76" t="s">
        <v>21402</v>
      </c>
      <c r="AE157" s="81" t="s">
        <v>23138</v>
      </c>
      <c r="AF157" s="76">
        <v>1683</v>
      </c>
      <c r="AG157" s="76">
        <v>582</v>
      </c>
      <c r="AH157" s="76">
        <v>105955</v>
      </c>
      <c r="AI157" s="76">
        <v>13</v>
      </c>
      <c r="AJ157" s="76">
        <v>12</v>
      </c>
      <c r="AK157" s="76">
        <v>48447</v>
      </c>
      <c r="AL157" s="76" t="b">
        <v>0</v>
      </c>
      <c r="AM157" s="78">
        <v>39949.930289351854</v>
      </c>
      <c r="AN157" s="76" t="s">
        <v>24136</v>
      </c>
      <c r="AO157" s="76" t="s">
        <v>24847</v>
      </c>
      <c r="AP157" s="82" t="str">
        <f>HYPERLINK("https://t.co/w1aoXJ6ajk")</f>
        <v>https://t.co/w1aoXJ6ajk</v>
      </c>
      <c r="AQ157" s="82" t="str">
        <f>HYPERLINK("http://www.studio.fm.br/")</f>
        <v>http://www.studio.fm.br/</v>
      </c>
      <c r="AR157" s="76" t="s">
        <v>26454</v>
      </c>
      <c r="AS157" s="76"/>
      <c r="AT157" s="76"/>
      <c r="AU157" s="76"/>
      <c r="AV157" s="76"/>
      <c r="AW157" s="82" t="str">
        <f>HYPERLINK("https://t.co/w1aoXJ6ajk")</f>
        <v>https://t.co/w1aoXJ6ajk</v>
      </c>
      <c r="AX157" s="76" t="b">
        <v>0</v>
      </c>
      <c r="AY157" s="76"/>
      <c r="AZ157" s="76"/>
      <c r="BA157" s="76" t="b">
        <v>0</v>
      </c>
      <c r="BB157" s="76" t="b">
        <v>1</v>
      </c>
      <c r="BC157" s="76" t="b">
        <v>0</v>
      </c>
      <c r="BD157" s="76" t="b">
        <v>0</v>
      </c>
      <c r="BE157" s="76" t="b">
        <v>0</v>
      </c>
      <c r="BF157" s="76" t="b">
        <v>0</v>
      </c>
      <c r="BG157" s="76" t="b">
        <v>0</v>
      </c>
      <c r="BH157" s="82" t="str">
        <f>HYPERLINK("https://pbs.twimg.com/profile_banners/40553987/1502893919")</f>
        <v>https://pbs.twimg.com/profile_banners/40553987/1502893919</v>
      </c>
      <c r="BI157" s="76"/>
      <c r="BJ157" s="76" t="s">
        <v>27595</v>
      </c>
      <c r="BK157" s="76" t="b">
        <v>0</v>
      </c>
      <c r="BL157" s="76"/>
      <c r="BM157" s="76" t="s">
        <v>66</v>
      </c>
      <c r="BN157" s="76" t="s">
        <v>27597</v>
      </c>
      <c r="BO157" s="82" t="str">
        <f>HYPERLINK("https://twitter.com/studio877")</f>
        <v>https://twitter.com/studio877</v>
      </c>
      <c r="BP157" s="2"/>
    </row>
    <row r="158" spans="1:68" x14ac:dyDescent="0.25">
      <c r="A158" s="62" t="s">
        <v>329</v>
      </c>
      <c r="B158" s="63"/>
      <c r="C158" s="63"/>
      <c r="D158" s="64"/>
      <c r="E158" s="66"/>
      <c r="F158" s="103" t="str">
        <f>HYPERLINK("https://pbs.twimg.com/profile_images/1630272412813086720/KWoniK5G_normal.jpg")</f>
        <v>https://pbs.twimg.com/profile_images/1630272412813086720/KWoniK5G_normal.jpg</v>
      </c>
      <c r="G158" s="63"/>
      <c r="H158" s="67"/>
      <c r="I158" s="68"/>
      <c r="J158" s="68"/>
      <c r="K158" s="67" t="s">
        <v>27752</v>
      </c>
      <c r="L158" s="71"/>
      <c r="M158" s="72"/>
      <c r="N158" s="72"/>
      <c r="O158" s="73"/>
      <c r="P158" s="74"/>
      <c r="Q158" s="74"/>
      <c r="R158" s="87"/>
      <c r="S158" s="87"/>
      <c r="T158" s="87"/>
      <c r="U158" s="87"/>
      <c r="V158" s="48"/>
      <c r="W158" s="48"/>
      <c r="X158" s="48"/>
      <c r="Y158" s="48"/>
      <c r="Z158" s="47"/>
      <c r="AA158" s="69">
        <v>158</v>
      </c>
      <c r="AB158" s="69"/>
      <c r="AC158" s="70"/>
      <c r="AD158" s="76" t="s">
        <v>21403</v>
      </c>
      <c r="AE158" s="81" t="s">
        <v>23139</v>
      </c>
      <c r="AF158" s="76">
        <v>4601</v>
      </c>
      <c r="AG158" s="76">
        <v>4635</v>
      </c>
      <c r="AH158" s="76">
        <v>134501</v>
      </c>
      <c r="AI158" s="76">
        <v>4</v>
      </c>
      <c r="AJ158" s="76">
        <v>14846</v>
      </c>
      <c r="AK158" s="76">
        <v>8612</v>
      </c>
      <c r="AL158" s="76" t="b">
        <v>0</v>
      </c>
      <c r="AM158" s="78">
        <v>40327.957314814812</v>
      </c>
      <c r="AN158" s="76" t="s">
        <v>24123</v>
      </c>
      <c r="AO158" s="76" t="s">
        <v>24848</v>
      </c>
      <c r="AP158" s="82" t="str">
        <f>HYPERLINK("http://t.co/glFYnFfVP2")</f>
        <v>http://t.co/glFYnFfVP2</v>
      </c>
      <c r="AQ158" s="82" t="str">
        <f>HYPERLINK("http://editerestrategias.org")</f>
        <v>http://editerestrategias.org</v>
      </c>
      <c r="AR158" s="76" t="s">
        <v>26455</v>
      </c>
      <c r="AS158" s="76"/>
      <c r="AT158" s="76"/>
      <c r="AU158" s="76"/>
      <c r="AV158" s="76">
        <v>1.7020696149542899E+18</v>
      </c>
      <c r="AW158" s="82" t="str">
        <f>HYPERLINK("http://t.co/glFYnFfVP2")</f>
        <v>http://t.co/glFYnFfVP2</v>
      </c>
      <c r="AX158" s="76" t="b">
        <v>0</v>
      </c>
      <c r="AY158" s="76"/>
      <c r="AZ158" s="76"/>
      <c r="BA158" s="76" t="b">
        <v>0</v>
      </c>
      <c r="BB158" s="76" t="b">
        <v>1</v>
      </c>
      <c r="BC158" s="76" t="b">
        <v>0</v>
      </c>
      <c r="BD158" s="76" t="b">
        <v>0</v>
      </c>
      <c r="BE158" s="76" t="b">
        <v>0</v>
      </c>
      <c r="BF158" s="76" t="b">
        <v>0</v>
      </c>
      <c r="BG158" s="76" t="b">
        <v>0</v>
      </c>
      <c r="BH158" s="82" t="str">
        <f>HYPERLINK("https://pbs.twimg.com/profile_banners/149675583/1414800513")</f>
        <v>https://pbs.twimg.com/profile_banners/149675583/1414800513</v>
      </c>
      <c r="BI158" s="76"/>
      <c r="BJ158" s="76" t="s">
        <v>27595</v>
      </c>
      <c r="BK158" s="76" t="b">
        <v>0</v>
      </c>
      <c r="BL158" s="76"/>
      <c r="BM158" s="76" t="s">
        <v>66</v>
      </c>
      <c r="BN158" s="76" t="s">
        <v>27597</v>
      </c>
      <c r="BO158" s="82" t="str">
        <f>HYPERLINK("https://twitter.com/ctovarleon")</f>
        <v>https://twitter.com/ctovarleon</v>
      </c>
      <c r="BP158" s="2"/>
    </row>
    <row r="159" spans="1:68" x14ac:dyDescent="0.25">
      <c r="A159" s="62" t="s">
        <v>330</v>
      </c>
      <c r="B159" s="63"/>
      <c r="C159" s="63"/>
      <c r="D159" s="64"/>
      <c r="E159" s="66"/>
      <c r="F159" s="103" t="str">
        <f>HYPERLINK("https://pbs.twimg.com/profile_images/1610325557580898306/UZehEg0I_normal.jpg")</f>
        <v>https://pbs.twimg.com/profile_images/1610325557580898306/UZehEg0I_normal.jpg</v>
      </c>
      <c r="G159" s="63"/>
      <c r="H159" s="67"/>
      <c r="I159" s="68"/>
      <c r="J159" s="68"/>
      <c r="K159" s="67" t="s">
        <v>27753</v>
      </c>
      <c r="L159" s="71"/>
      <c r="M159" s="72"/>
      <c r="N159" s="72"/>
      <c r="O159" s="73"/>
      <c r="P159" s="74"/>
      <c r="Q159" s="74"/>
      <c r="R159" s="87"/>
      <c r="S159" s="87"/>
      <c r="T159" s="87"/>
      <c r="U159" s="87"/>
      <c r="V159" s="48"/>
      <c r="W159" s="48"/>
      <c r="X159" s="48"/>
      <c r="Y159" s="48"/>
      <c r="Z159" s="47"/>
      <c r="AA159" s="69">
        <v>159</v>
      </c>
      <c r="AB159" s="69"/>
      <c r="AC159" s="70"/>
      <c r="AD159" s="76" t="s">
        <v>21404</v>
      </c>
      <c r="AE159" s="81" t="s">
        <v>23140</v>
      </c>
      <c r="AF159" s="76">
        <v>3781</v>
      </c>
      <c r="AG159" s="76">
        <v>1153</v>
      </c>
      <c r="AH159" s="76">
        <v>41563</v>
      </c>
      <c r="AI159" s="76">
        <v>116</v>
      </c>
      <c r="AJ159" s="76">
        <v>2192</v>
      </c>
      <c r="AK159" s="76">
        <v>17653</v>
      </c>
      <c r="AL159" s="76" t="b">
        <v>0</v>
      </c>
      <c r="AM159" s="78">
        <v>40150.785960648151</v>
      </c>
      <c r="AN159" s="76" t="s">
        <v>24137</v>
      </c>
      <c r="AO159" s="76" t="s">
        <v>24849</v>
      </c>
      <c r="AP159" s="82" t="str">
        <f>HYPERLINK("https://t.co/6A3YCXdYQW")</f>
        <v>https://t.co/6A3YCXdYQW</v>
      </c>
      <c r="AQ159" s="82" t="str">
        <f>HYPERLINK("http://www.diariodocomercio.com.br")</f>
        <v>http://www.diariodocomercio.com.br</v>
      </c>
      <c r="AR159" s="76" t="s">
        <v>26456</v>
      </c>
      <c r="AS159" s="76"/>
      <c r="AT159" s="76"/>
      <c r="AU159" s="76"/>
      <c r="AV159" s="76"/>
      <c r="AW159" s="82" t="str">
        <f>HYPERLINK("https://t.co/6A3YCXdYQW")</f>
        <v>https://t.co/6A3YCXdYQW</v>
      </c>
      <c r="AX159" s="76" t="b">
        <v>0</v>
      </c>
      <c r="AY159" s="76"/>
      <c r="AZ159" s="76"/>
      <c r="BA159" s="76" t="b">
        <v>0</v>
      </c>
      <c r="BB159" s="76" t="b">
        <v>1</v>
      </c>
      <c r="BC159" s="76" t="b">
        <v>0</v>
      </c>
      <c r="BD159" s="76" t="b">
        <v>0</v>
      </c>
      <c r="BE159" s="76" t="b">
        <v>1</v>
      </c>
      <c r="BF159" s="76" t="b">
        <v>0</v>
      </c>
      <c r="BG159" s="76" t="b">
        <v>0</v>
      </c>
      <c r="BH159" s="82" t="str">
        <f>HYPERLINK("https://pbs.twimg.com/profile_banners/94388843/1672766564")</f>
        <v>https://pbs.twimg.com/profile_banners/94388843/1672766564</v>
      </c>
      <c r="BI159" s="76"/>
      <c r="BJ159" s="76" t="s">
        <v>27595</v>
      </c>
      <c r="BK159" s="76" t="b">
        <v>0</v>
      </c>
      <c r="BL159" s="76"/>
      <c r="BM159" s="76" t="s">
        <v>66</v>
      </c>
      <c r="BN159" s="76" t="s">
        <v>27597</v>
      </c>
      <c r="BO159" s="82" t="str">
        <f>HYPERLINK("https://twitter.com/diario_comercio")</f>
        <v>https://twitter.com/diario_comercio</v>
      </c>
      <c r="BP159" s="2"/>
    </row>
    <row r="160" spans="1:68" x14ac:dyDescent="0.25">
      <c r="A160" s="62" t="s">
        <v>331</v>
      </c>
      <c r="B160" s="63"/>
      <c r="C160" s="63"/>
      <c r="D160" s="64"/>
      <c r="E160" s="66"/>
      <c r="F160" s="103" t="str">
        <f>HYPERLINK("https://pbs.twimg.com/profile_images/1673392161516126208/LW6Ebl7i_normal.jpg")</f>
        <v>https://pbs.twimg.com/profile_images/1673392161516126208/LW6Ebl7i_normal.jpg</v>
      </c>
      <c r="G160" s="63"/>
      <c r="H160" s="67"/>
      <c r="I160" s="68"/>
      <c r="J160" s="68"/>
      <c r="K160" s="67" t="s">
        <v>27754</v>
      </c>
      <c r="L160" s="71"/>
      <c r="M160" s="72"/>
      <c r="N160" s="72"/>
      <c r="O160" s="73"/>
      <c r="P160" s="74"/>
      <c r="Q160" s="74"/>
      <c r="R160" s="87"/>
      <c r="S160" s="87"/>
      <c r="T160" s="87"/>
      <c r="U160" s="87"/>
      <c r="V160" s="48"/>
      <c r="W160" s="48"/>
      <c r="X160" s="48"/>
      <c r="Y160" s="48"/>
      <c r="Z160" s="47"/>
      <c r="AA160" s="69">
        <v>160</v>
      </c>
      <c r="AB160" s="69"/>
      <c r="AC160" s="70"/>
      <c r="AD160" s="76" t="s">
        <v>21405</v>
      </c>
      <c r="AE160" s="81" t="s">
        <v>20553</v>
      </c>
      <c r="AF160" s="76">
        <v>491</v>
      </c>
      <c r="AG160" s="76">
        <v>426</v>
      </c>
      <c r="AH160" s="76">
        <v>34907</v>
      </c>
      <c r="AI160" s="76">
        <v>3</v>
      </c>
      <c r="AJ160" s="76">
        <v>166</v>
      </c>
      <c r="AK160" s="76">
        <v>15366</v>
      </c>
      <c r="AL160" s="76" t="b">
        <v>0</v>
      </c>
      <c r="AM160" s="78">
        <v>42698.035532407404</v>
      </c>
      <c r="AN160" s="76" t="s">
        <v>24100</v>
      </c>
      <c r="AO160" s="76" t="s">
        <v>24850</v>
      </c>
      <c r="AP160" s="82" t="str">
        <f>HYPERLINK("https://t.co/BmP0G375AO")</f>
        <v>https://t.co/BmP0G375AO</v>
      </c>
      <c r="AQ160" s="82" t="str">
        <f>HYPERLINK("http://www.elquiddelacuestion.com.ar")</f>
        <v>http://www.elquiddelacuestion.com.ar</v>
      </c>
      <c r="AR160" s="76" t="s">
        <v>26457</v>
      </c>
      <c r="AS160" s="76"/>
      <c r="AT160" s="76"/>
      <c r="AU160" s="76"/>
      <c r="AV160" s="76">
        <v>8.2639643540705203E+17</v>
      </c>
      <c r="AW160" s="82" t="str">
        <f>HYPERLINK("https://t.co/BmP0G375AO")</f>
        <v>https://t.co/BmP0G375AO</v>
      </c>
      <c r="AX160" s="76" t="b">
        <v>0</v>
      </c>
      <c r="AY160" s="76"/>
      <c r="AZ160" s="76"/>
      <c r="BA160" s="76" t="b">
        <v>0</v>
      </c>
      <c r="BB160" s="76" t="b">
        <v>1</v>
      </c>
      <c r="BC160" s="76" t="b">
        <v>1</v>
      </c>
      <c r="BD160" s="76" t="b">
        <v>0</v>
      </c>
      <c r="BE160" s="76" t="b">
        <v>1</v>
      </c>
      <c r="BF160" s="76" t="b">
        <v>0</v>
      </c>
      <c r="BG160" s="76" t="b">
        <v>0</v>
      </c>
      <c r="BH160" s="82" t="str">
        <f>HYPERLINK("https://pbs.twimg.com/profile_banners/801588937873571840/1687804100")</f>
        <v>https://pbs.twimg.com/profile_banners/801588937873571840/1687804100</v>
      </c>
      <c r="BI160" s="76"/>
      <c r="BJ160" s="76" t="s">
        <v>27595</v>
      </c>
      <c r="BK160" s="76" t="b">
        <v>0</v>
      </c>
      <c r="BL160" s="76"/>
      <c r="BM160" s="76" t="s">
        <v>66</v>
      </c>
      <c r="BN160" s="76" t="s">
        <v>27597</v>
      </c>
      <c r="BO160" s="82" t="str">
        <f>HYPERLINK("https://twitter.com/quidcuestion")</f>
        <v>https://twitter.com/quidcuestion</v>
      </c>
      <c r="BP160" s="2"/>
    </row>
    <row r="161" spans="1:68" x14ac:dyDescent="0.25">
      <c r="A161" s="62" t="s">
        <v>332</v>
      </c>
      <c r="B161" s="63"/>
      <c r="C161" s="63"/>
      <c r="D161" s="64"/>
      <c r="E161" s="66"/>
      <c r="F161" s="103" t="str">
        <f>HYPERLINK("https://pbs.twimg.com/profile_images/824599140302811136/SZ6VQJwb_normal.jpg")</f>
        <v>https://pbs.twimg.com/profile_images/824599140302811136/SZ6VQJwb_normal.jpg</v>
      </c>
      <c r="G161" s="63"/>
      <c r="H161" s="67"/>
      <c r="I161" s="68"/>
      <c r="J161" s="68"/>
      <c r="K161" s="67" t="s">
        <v>27755</v>
      </c>
      <c r="L161" s="71"/>
      <c r="M161" s="72"/>
      <c r="N161" s="72"/>
      <c r="O161" s="73"/>
      <c r="P161" s="74"/>
      <c r="Q161" s="74"/>
      <c r="R161" s="87"/>
      <c r="S161" s="87"/>
      <c r="T161" s="87"/>
      <c r="U161" s="87"/>
      <c r="V161" s="48"/>
      <c r="W161" s="48"/>
      <c r="X161" s="48"/>
      <c r="Y161" s="48"/>
      <c r="Z161" s="47"/>
      <c r="AA161" s="69">
        <v>161</v>
      </c>
      <c r="AB161" s="69"/>
      <c r="AC161" s="70"/>
      <c r="AD161" s="76" t="s">
        <v>21406</v>
      </c>
      <c r="AE161" s="81" t="s">
        <v>20554</v>
      </c>
      <c r="AF161" s="76">
        <v>219</v>
      </c>
      <c r="AG161" s="76">
        <v>105</v>
      </c>
      <c r="AH161" s="76">
        <v>2601</v>
      </c>
      <c r="AI161" s="76">
        <v>0</v>
      </c>
      <c r="AJ161" s="76">
        <v>38</v>
      </c>
      <c r="AK161" s="76">
        <v>7</v>
      </c>
      <c r="AL161" s="76" t="b">
        <v>0</v>
      </c>
      <c r="AM161" s="78">
        <v>42714.549363425926</v>
      </c>
      <c r="AN161" s="76" t="s">
        <v>24138</v>
      </c>
      <c r="AO161" s="76"/>
      <c r="AP161" s="76"/>
      <c r="AQ161" s="76"/>
      <c r="AR161" s="76"/>
      <c r="AS161" s="76"/>
      <c r="AT161" s="76"/>
      <c r="AU161" s="76"/>
      <c r="AV161" s="76"/>
      <c r="AW161" s="76"/>
      <c r="AX161" s="76" t="b">
        <v>0</v>
      </c>
      <c r="AY161" s="76"/>
      <c r="AZ161" s="76"/>
      <c r="BA161" s="76" t="b">
        <v>0</v>
      </c>
      <c r="BB161" s="76" t="b">
        <v>1</v>
      </c>
      <c r="BC161" s="76" t="b">
        <v>0</v>
      </c>
      <c r="BD161" s="76" t="b">
        <v>0</v>
      </c>
      <c r="BE161" s="76" t="b">
        <v>0</v>
      </c>
      <c r="BF161" s="76" t="b">
        <v>0</v>
      </c>
      <c r="BG161" s="76" t="b">
        <v>0</v>
      </c>
      <c r="BH161" s="82" t="str">
        <f>HYPERLINK("https://pbs.twimg.com/profile_banners/807573349815767040/1485434688")</f>
        <v>https://pbs.twimg.com/profile_banners/807573349815767040/1485434688</v>
      </c>
      <c r="BI161" s="76"/>
      <c r="BJ161" s="76" t="s">
        <v>27595</v>
      </c>
      <c r="BK161" s="76" t="b">
        <v>0</v>
      </c>
      <c r="BL161" s="76"/>
      <c r="BM161" s="76" t="s">
        <v>66</v>
      </c>
      <c r="BN161" s="76" t="s">
        <v>27597</v>
      </c>
      <c r="BO161" s="82" t="str">
        <f>HYPERLINK("https://twitter.com/empreendegoias")</f>
        <v>https://twitter.com/empreendegoias</v>
      </c>
      <c r="BP161" s="2"/>
    </row>
    <row r="162" spans="1:68" x14ac:dyDescent="0.25">
      <c r="A162" s="62" t="s">
        <v>333</v>
      </c>
      <c r="B162" s="63"/>
      <c r="C162" s="63"/>
      <c r="D162" s="64"/>
      <c r="E162" s="66"/>
      <c r="F162" s="103" t="str">
        <f>HYPERLINK("https://pbs.twimg.com/profile_images/1631061831388200966/E3XTqmxL_normal.jpg")</f>
        <v>https://pbs.twimg.com/profile_images/1631061831388200966/E3XTqmxL_normal.jpg</v>
      </c>
      <c r="G162" s="63"/>
      <c r="H162" s="67"/>
      <c r="I162" s="68"/>
      <c r="J162" s="68"/>
      <c r="K162" s="67" t="s">
        <v>27756</v>
      </c>
      <c r="L162" s="71"/>
      <c r="M162" s="72"/>
      <c r="N162" s="72"/>
      <c r="O162" s="73"/>
      <c r="P162" s="74"/>
      <c r="Q162" s="74"/>
      <c r="R162" s="87"/>
      <c r="S162" s="87"/>
      <c r="T162" s="87"/>
      <c r="U162" s="87"/>
      <c r="V162" s="48"/>
      <c r="W162" s="48"/>
      <c r="X162" s="48"/>
      <c r="Y162" s="48"/>
      <c r="Z162" s="47"/>
      <c r="AA162" s="69">
        <v>162</v>
      </c>
      <c r="AB162" s="69"/>
      <c r="AC162" s="70"/>
      <c r="AD162" s="76" t="s">
        <v>21407</v>
      </c>
      <c r="AE162" s="81" t="s">
        <v>23141</v>
      </c>
      <c r="AF162" s="76">
        <v>6426</v>
      </c>
      <c r="AG162" s="76">
        <v>121</v>
      </c>
      <c r="AH162" s="76">
        <v>3849</v>
      </c>
      <c r="AI162" s="76">
        <v>33</v>
      </c>
      <c r="AJ162" s="76">
        <v>2755</v>
      </c>
      <c r="AK162" s="76">
        <v>1076</v>
      </c>
      <c r="AL162" s="76" t="b">
        <v>0</v>
      </c>
      <c r="AM162" s="78">
        <v>39979.897777777776</v>
      </c>
      <c r="AN162" s="76" t="s">
        <v>24139</v>
      </c>
      <c r="AO162" s="76" t="s">
        <v>24851</v>
      </c>
      <c r="AP162" s="82" t="str">
        <f>HYPERLINK("https://t.co/vz5YanSWSb")</f>
        <v>https://t.co/vz5YanSWSb</v>
      </c>
      <c r="AQ162" s="82" t="str">
        <f>HYPERLINK("https://joseraulgonzalezm.com")</f>
        <v>https://joseraulgonzalezm.com</v>
      </c>
      <c r="AR162" s="76" t="s">
        <v>26458</v>
      </c>
      <c r="AS162" s="76"/>
      <c r="AT162" s="76"/>
      <c r="AU162" s="76"/>
      <c r="AV162" s="76">
        <v>1.2712005161991199E+18</v>
      </c>
      <c r="AW162" s="82" t="str">
        <f>HYPERLINK("https://t.co/vz5YanSWSb")</f>
        <v>https://t.co/vz5YanSWSb</v>
      </c>
      <c r="AX162" s="76" t="b">
        <v>0</v>
      </c>
      <c r="AY162" s="76"/>
      <c r="AZ162" s="76"/>
      <c r="BA162" s="76" t="b">
        <v>0</v>
      </c>
      <c r="BB162" s="76" t="b">
        <v>0</v>
      </c>
      <c r="BC162" s="76" t="b">
        <v>1</v>
      </c>
      <c r="BD162" s="76" t="b">
        <v>0</v>
      </c>
      <c r="BE162" s="76" t="b">
        <v>0</v>
      </c>
      <c r="BF162" s="76" t="b">
        <v>0</v>
      </c>
      <c r="BG162" s="76" t="b">
        <v>0</v>
      </c>
      <c r="BH162" s="82" t="str">
        <f>HYPERLINK("https://pbs.twimg.com/profile_banners/47450803/1517187844")</f>
        <v>https://pbs.twimg.com/profile_banners/47450803/1517187844</v>
      </c>
      <c r="BI162" s="76"/>
      <c r="BJ162" s="76" t="s">
        <v>27595</v>
      </c>
      <c r="BK162" s="76" t="b">
        <v>0</v>
      </c>
      <c r="BL162" s="76"/>
      <c r="BM162" s="76" t="s">
        <v>66</v>
      </c>
      <c r="BN162" s="76" t="s">
        <v>27597</v>
      </c>
      <c r="BO162" s="82" t="str">
        <f>HYPERLINK("https://twitter.com/jrgonzalezm")</f>
        <v>https://twitter.com/jrgonzalezm</v>
      </c>
      <c r="BP162" s="2"/>
    </row>
    <row r="163" spans="1:68" x14ac:dyDescent="0.25">
      <c r="A163" s="62" t="s">
        <v>1726</v>
      </c>
      <c r="B163" s="63"/>
      <c r="C163" s="63"/>
      <c r="D163" s="64"/>
      <c r="E163" s="66"/>
      <c r="F163" s="103" t="str">
        <f>HYPERLINK("https://pbs.twimg.com/profile_images/1121890989495463939/J4sOhsKk_normal.png")</f>
        <v>https://pbs.twimg.com/profile_images/1121890989495463939/J4sOhsKk_normal.png</v>
      </c>
      <c r="G163" s="63"/>
      <c r="H163" s="67"/>
      <c r="I163" s="68"/>
      <c r="J163" s="68"/>
      <c r="K163" s="67" t="s">
        <v>27757</v>
      </c>
      <c r="L163" s="71"/>
      <c r="M163" s="72"/>
      <c r="N163" s="72"/>
      <c r="O163" s="73"/>
      <c r="P163" s="74"/>
      <c r="Q163" s="74"/>
      <c r="R163" s="87"/>
      <c r="S163" s="87"/>
      <c r="T163" s="87"/>
      <c r="U163" s="87"/>
      <c r="V163" s="48"/>
      <c r="W163" s="48"/>
      <c r="X163" s="48"/>
      <c r="Y163" s="48"/>
      <c r="Z163" s="47"/>
      <c r="AA163" s="69">
        <v>163</v>
      </c>
      <c r="AB163" s="69"/>
      <c r="AC163" s="70"/>
      <c r="AD163" s="76" t="s">
        <v>21408</v>
      </c>
      <c r="AE163" s="81" t="s">
        <v>23142</v>
      </c>
      <c r="AF163" s="76">
        <v>43385</v>
      </c>
      <c r="AG163" s="76">
        <v>209</v>
      </c>
      <c r="AH163" s="76">
        <v>15308</v>
      </c>
      <c r="AI163" s="76">
        <v>944</v>
      </c>
      <c r="AJ163" s="76">
        <v>781</v>
      </c>
      <c r="AK163" s="76">
        <v>2372</v>
      </c>
      <c r="AL163" s="76" t="b">
        <v>0</v>
      </c>
      <c r="AM163" s="78">
        <v>41004.617384259262</v>
      </c>
      <c r="AN163" s="76" t="s">
        <v>24140</v>
      </c>
      <c r="AO163" s="76" t="s">
        <v>24852</v>
      </c>
      <c r="AP163" s="82" t="str">
        <f>HYPERLINK("https://t.co/QYcnr7NHxK")</f>
        <v>https://t.co/QYcnr7NHxK</v>
      </c>
      <c r="AQ163" s="82" t="str">
        <f>HYPERLINK("http://www.gallup.com")</f>
        <v>http://www.gallup.com</v>
      </c>
      <c r="AR163" s="76" t="s">
        <v>26459</v>
      </c>
      <c r="AS163" s="76"/>
      <c r="AT163" s="76"/>
      <c r="AU163" s="76"/>
      <c r="AV163" s="76">
        <v>1.5701409684433101E+18</v>
      </c>
      <c r="AW163" s="82" t="str">
        <f>HYPERLINK("https://t.co/QYcnr7NHxK")</f>
        <v>https://t.co/QYcnr7NHxK</v>
      </c>
      <c r="AX163" s="76" t="b">
        <v>1</v>
      </c>
      <c r="AY163" s="76"/>
      <c r="AZ163" s="76"/>
      <c r="BA163" s="76" t="b">
        <v>0</v>
      </c>
      <c r="BB163" s="76" t="b">
        <v>1</v>
      </c>
      <c r="BC163" s="76" t="b">
        <v>0</v>
      </c>
      <c r="BD163" s="76" t="b">
        <v>0</v>
      </c>
      <c r="BE163" s="76" t="b">
        <v>0</v>
      </c>
      <c r="BF163" s="76" t="b">
        <v>0</v>
      </c>
      <c r="BG163" s="76" t="b">
        <v>0</v>
      </c>
      <c r="BH163" s="82" t="str">
        <f>HYPERLINK("https://pbs.twimg.com/profile_banners/546029429/1597075353")</f>
        <v>https://pbs.twimg.com/profile_banners/546029429/1597075353</v>
      </c>
      <c r="BI163" s="76"/>
      <c r="BJ163" s="76" t="s">
        <v>27595</v>
      </c>
      <c r="BK163" s="76" t="b">
        <v>0</v>
      </c>
      <c r="BL163" s="76"/>
      <c r="BM163" s="76" t="s">
        <v>65</v>
      </c>
      <c r="BN163" s="76" t="s">
        <v>27597</v>
      </c>
      <c r="BO163" s="82" t="str">
        <f>HYPERLINK("https://twitter.com/gallup")</f>
        <v>https://twitter.com/gallup</v>
      </c>
      <c r="BP163" s="2"/>
    </row>
    <row r="164" spans="1:68" x14ac:dyDescent="0.25">
      <c r="A164" s="62" t="s">
        <v>334</v>
      </c>
      <c r="B164" s="63"/>
      <c r="C164" s="63"/>
      <c r="D164" s="64"/>
      <c r="E164" s="66"/>
      <c r="F164" s="103" t="str">
        <f>HYPERLINK("https://pbs.twimg.com/profile_images/600416450571022336/5LAMt3qb_normal.png")</f>
        <v>https://pbs.twimg.com/profile_images/600416450571022336/5LAMt3qb_normal.png</v>
      </c>
      <c r="G164" s="63"/>
      <c r="H164" s="67"/>
      <c r="I164" s="68"/>
      <c r="J164" s="68"/>
      <c r="K164" s="67" t="s">
        <v>27758</v>
      </c>
      <c r="L164" s="71"/>
      <c r="M164" s="72"/>
      <c r="N164" s="72"/>
      <c r="O164" s="73"/>
      <c r="P164" s="74"/>
      <c r="Q164" s="74"/>
      <c r="R164" s="87"/>
      <c r="S164" s="87"/>
      <c r="T164" s="87"/>
      <c r="U164" s="87"/>
      <c r="V164" s="48"/>
      <c r="W164" s="48"/>
      <c r="X164" s="48"/>
      <c r="Y164" s="48"/>
      <c r="Z164" s="47"/>
      <c r="AA164" s="69">
        <v>164</v>
      </c>
      <c r="AB164" s="69"/>
      <c r="AC164" s="70"/>
      <c r="AD164" s="76" t="s">
        <v>21409</v>
      </c>
      <c r="AE164" s="81" t="s">
        <v>23143</v>
      </c>
      <c r="AF164" s="76">
        <v>2087</v>
      </c>
      <c r="AG164" s="76">
        <v>1255</v>
      </c>
      <c r="AH164" s="76">
        <v>6409</v>
      </c>
      <c r="AI164" s="76">
        <v>33</v>
      </c>
      <c r="AJ164" s="76">
        <v>4454</v>
      </c>
      <c r="AK164" s="76">
        <v>794</v>
      </c>
      <c r="AL164" s="76" t="b">
        <v>0</v>
      </c>
      <c r="AM164" s="78">
        <v>42142.904421296298</v>
      </c>
      <c r="AN164" s="76" t="s">
        <v>24141</v>
      </c>
      <c r="AO164" s="76" t="s">
        <v>24853</v>
      </c>
      <c r="AP164" s="82" t="str">
        <f>HYPERLINK("https://t.co/yJzp1ujhH7")</f>
        <v>https://t.co/yJzp1ujhH7</v>
      </c>
      <c r="AQ164" s="82" t="str">
        <f>HYPERLINK("http://www.mil21.es")</f>
        <v>http://www.mil21.es</v>
      </c>
      <c r="AR164" s="76" t="s">
        <v>8642</v>
      </c>
      <c r="AS164" s="76"/>
      <c r="AT164" s="76"/>
      <c r="AU164" s="76"/>
      <c r="AV164" s="76"/>
      <c r="AW164" s="82" t="str">
        <f>HYPERLINK("https://t.co/yJzp1ujhH7")</f>
        <v>https://t.co/yJzp1ujhH7</v>
      </c>
      <c r="AX164" s="76" t="b">
        <v>0</v>
      </c>
      <c r="AY164" s="76"/>
      <c r="AZ164" s="76"/>
      <c r="BA164" s="76" t="b">
        <v>0</v>
      </c>
      <c r="BB164" s="76" t="b">
        <v>1</v>
      </c>
      <c r="BC164" s="76" t="b">
        <v>0</v>
      </c>
      <c r="BD164" s="76" t="b">
        <v>0</v>
      </c>
      <c r="BE164" s="76" t="b">
        <v>0</v>
      </c>
      <c r="BF164" s="76" t="b">
        <v>0</v>
      </c>
      <c r="BG164" s="76" t="b">
        <v>0</v>
      </c>
      <c r="BH164" s="82" t="str">
        <f>HYPERLINK("https://pbs.twimg.com/profile_banners/3289033827/1593205283")</f>
        <v>https://pbs.twimg.com/profile_banners/3289033827/1593205283</v>
      </c>
      <c r="BI164" s="76"/>
      <c r="BJ164" s="76" t="s">
        <v>27595</v>
      </c>
      <c r="BK164" s="76" t="b">
        <v>0</v>
      </c>
      <c r="BL164" s="76"/>
      <c r="BM164" s="76" t="s">
        <v>66</v>
      </c>
      <c r="BN164" s="76" t="s">
        <v>27597</v>
      </c>
      <c r="BO164" s="82" t="str">
        <f>HYPERLINK("https://twitter.com/mil21tuits")</f>
        <v>https://twitter.com/mil21tuits</v>
      </c>
      <c r="BP164" s="2"/>
    </row>
    <row r="165" spans="1:68" x14ac:dyDescent="0.25">
      <c r="A165" s="62" t="s">
        <v>335</v>
      </c>
      <c r="B165" s="63"/>
      <c r="C165" s="63"/>
      <c r="D165" s="64"/>
      <c r="E165" s="66"/>
      <c r="F165" s="103" t="str">
        <f>HYPERLINK("https://pbs.twimg.com/profile_images/1595619689304133634/eozao4nO_normal.jpg")</f>
        <v>https://pbs.twimg.com/profile_images/1595619689304133634/eozao4nO_normal.jpg</v>
      </c>
      <c r="G165" s="63"/>
      <c r="H165" s="67"/>
      <c r="I165" s="68"/>
      <c r="J165" s="68"/>
      <c r="K165" s="67" t="s">
        <v>27759</v>
      </c>
      <c r="L165" s="71"/>
      <c r="M165" s="72"/>
      <c r="N165" s="72"/>
      <c r="O165" s="73"/>
      <c r="P165" s="74"/>
      <c r="Q165" s="74"/>
      <c r="R165" s="87"/>
      <c r="S165" s="87"/>
      <c r="T165" s="87"/>
      <c r="U165" s="87"/>
      <c r="V165" s="48"/>
      <c r="W165" s="48"/>
      <c r="X165" s="48"/>
      <c r="Y165" s="48"/>
      <c r="Z165" s="47"/>
      <c r="AA165" s="69">
        <v>165</v>
      </c>
      <c r="AB165" s="69"/>
      <c r="AC165" s="70"/>
      <c r="AD165" s="76" t="s">
        <v>21410</v>
      </c>
      <c r="AE165" s="81" t="s">
        <v>20555</v>
      </c>
      <c r="AF165" s="76">
        <v>13</v>
      </c>
      <c r="AG165" s="76">
        <v>102</v>
      </c>
      <c r="AH165" s="76">
        <v>2704</v>
      </c>
      <c r="AI165" s="76">
        <v>0</v>
      </c>
      <c r="AJ165" s="76">
        <v>9984</v>
      </c>
      <c r="AK165" s="76">
        <v>3</v>
      </c>
      <c r="AL165" s="76" t="b">
        <v>0</v>
      </c>
      <c r="AM165" s="78">
        <v>44889.142974537041</v>
      </c>
      <c r="AN165" s="76"/>
      <c r="AO165" s="76"/>
      <c r="AP165" s="76"/>
      <c r="AQ165" s="76"/>
      <c r="AR165" s="76"/>
      <c r="AS165" s="76"/>
      <c r="AT165" s="76"/>
      <c r="AU165" s="76"/>
      <c r="AV165" s="76"/>
      <c r="AW165" s="76"/>
      <c r="AX165" s="76" t="b">
        <v>0</v>
      </c>
      <c r="AY165" s="76"/>
      <c r="AZ165" s="76"/>
      <c r="BA165" s="76" t="b">
        <v>1</v>
      </c>
      <c r="BB165" s="76" t="b">
        <v>1</v>
      </c>
      <c r="BC165" s="76" t="b">
        <v>1</v>
      </c>
      <c r="BD165" s="76" t="b">
        <v>0</v>
      </c>
      <c r="BE165" s="76" t="b">
        <v>0</v>
      </c>
      <c r="BF165" s="76" t="b">
        <v>0</v>
      </c>
      <c r="BG165" s="76" t="b">
        <v>0</v>
      </c>
      <c r="BH165" s="76"/>
      <c r="BI165" s="76"/>
      <c r="BJ165" s="76" t="s">
        <v>27595</v>
      </c>
      <c r="BK165" s="76" t="b">
        <v>0</v>
      </c>
      <c r="BL165" s="76"/>
      <c r="BM165" s="76" t="s">
        <v>66</v>
      </c>
      <c r="BN165" s="76" t="s">
        <v>27597</v>
      </c>
      <c r="BO165" s="82" t="str">
        <f>HYPERLINK("https://twitter.com/dljr_22")</f>
        <v>https://twitter.com/dljr_22</v>
      </c>
      <c r="BP165" s="2"/>
    </row>
    <row r="166" spans="1:68" x14ac:dyDescent="0.25">
      <c r="A166" s="62" t="s">
        <v>336</v>
      </c>
      <c r="B166" s="63"/>
      <c r="C166" s="63"/>
      <c r="D166" s="64"/>
      <c r="E166" s="66"/>
      <c r="F166" s="103" t="str">
        <f>HYPERLINK("https://pbs.twimg.com/profile_images/1701971102207983616/LKaAH6mm_normal.png")</f>
        <v>https://pbs.twimg.com/profile_images/1701971102207983616/LKaAH6mm_normal.png</v>
      </c>
      <c r="G166" s="63"/>
      <c r="H166" s="67"/>
      <c r="I166" s="68"/>
      <c r="J166" s="68"/>
      <c r="K166" s="67" t="s">
        <v>27760</v>
      </c>
      <c r="L166" s="71"/>
      <c r="M166" s="72"/>
      <c r="N166" s="72"/>
      <c r="O166" s="73"/>
      <c r="P166" s="74"/>
      <c r="Q166" s="74"/>
      <c r="R166" s="87"/>
      <c r="S166" s="87"/>
      <c r="T166" s="87"/>
      <c r="U166" s="87"/>
      <c r="V166" s="48"/>
      <c r="W166" s="48"/>
      <c r="X166" s="48"/>
      <c r="Y166" s="48"/>
      <c r="Z166" s="47"/>
      <c r="AA166" s="69">
        <v>166</v>
      </c>
      <c r="AB166" s="69"/>
      <c r="AC166" s="70"/>
      <c r="AD166" s="76" t="s">
        <v>21411</v>
      </c>
      <c r="AE166" s="81" t="s">
        <v>20556</v>
      </c>
      <c r="AF166" s="76">
        <v>1</v>
      </c>
      <c r="AG166" s="76">
        <v>9</v>
      </c>
      <c r="AH166" s="76">
        <v>45</v>
      </c>
      <c r="AI166" s="76">
        <v>0</v>
      </c>
      <c r="AJ166" s="76">
        <v>29</v>
      </c>
      <c r="AK166" s="76">
        <v>15</v>
      </c>
      <c r="AL166" s="76" t="b">
        <v>0</v>
      </c>
      <c r="AM166" s="78">
        <v>45182.608159722222</v>
      </c>
      <c r="AN166" s="76"/>
      <c r="AO166" s="76" t="s">
        <v>24854</v>
      </c>
      <c r="AP166" s="76"/>
      <c r="AQ166" s="76"/>
      <c r="AR166" s="76"/>
      <c r="AS166" s="76"/>
      <c r="AT166" s="76"/>
      <c r="AU166" s="76"/>
      <c r="AV166" s="76"/>
      <c r="AW166" s="76"/>
      <c r="AX166" s="76" t="b">
        <v>0</v>
      </c>
      <c r="AY166" s="76"/>
      <c r="AZ166" s="76"/>
      <c r="BA166" s="76" t="b">
        <v>0</v>
      </c>
      <c r="BB166" s="76" t="b">
        <v>1</v>
      </c>
      <c r="BC166" s="76" t="b">
        <v>1</v>
      </c>
      <c r="BD166" s="76" t="b">
        <v>0</v>
      </c>
      <c r="BE166" s="76" t="b">
        <v>0</v>
      </c>
      <c r="BF166" s="76" t="b">
        <v>0</v>
      </c>
      <c r="BG166" s="76" t="b">
        <v>0</v>
      </c>
      <c r="BH166" s="82" t="str">
        <f>HYPERLINK("https://pbs.twimg.com/profile_banners/1701967711482335232/1695209888")</f>
        <v>https://pbs.twimg.com/profile_banners/1701967711482335232/1695209888</v>
      </c>
      <c r="BI166" s="76"/>
      <c r="BJ166" s="76" t="s">
        <v>27595</v>
      </c>
      <c r="BK166" s="76" t="b">
        <v>0</v>
      </c>
      <c r="BL166" s="76"/>
      <c r="BM166" s="76" t="s">
        <v>66</v>
      </c>
      <c r="BN166" s="76" t="s">
        <v>27597</v>
      </c>
      <c r="BO166" s="82" t="str">
        <f>HYPERLINK("https://twitter.com/ativosgarantem")</f>
        <v>https://twitter.com/ativosgarantem</v>
      </c>
      <c r="BP166" s="2"/>
    </row>
    <row r="167" spans="1:68" x14ac:dyDescent="0.25">
      <c r="A167" s="62" t="s">
        <v>337</v>
      </c>
      <c r="B167" s="63"/>
      <c r="C167" s="63"/>
      <c r="D167" s="64"/>
      <c r="E167" s="66"/>
      <c r="F167" s="103" t="str">
        <f>HYPERLINK("https://pbs.twimg.com/profile_images/1327596702950371329/2UbkAk9V_normal.jpg")</f>
        <v>https://pbs.twimg.com/profile_images/1327596702950371329/2UbkAk9V_normal.jpg</v>
      </c>
      <c r="G167" s="63"/>
      <c r="H167" s="67"/>
      <c r="I167" s="68"/>
      <c r="J167" s="68"/>
      <c r="K167" s="67" t="s">
        <v>27761</v>
      </c>
      <c r="L167" s="71"/>
      <c r="M167" s="72"/>
      <c r="N167" s="72"/>
      <c r="O167" s="73"/>
      <c r="P167" s="74"/>
      <c r="Q167" s="74"/>
      <c r="R167" s="87"/>
      <c r="S167" s="87"/>
      <c r="T167" s="87"/>
      <c r="U167" s="87"/>
      <c r="V167" s="48"/>
      <c r="W167" s="48"/>
      <c r="X167" s="48"/>
      <c r="Y167" s="48"/>
      <c r="Z167" s="47"/>
      <c r="AA167" s="69">
        <v>167</v>
      </c>
      <c r="AB167" s="69"/>
      <c r="AC167" s="70"/>
      <c r="AD167" s="76" t="s">
        <v>21412</v>
      </c>
      <c r="AE167" s="81" t="s">
        <v>23144</v>
      </c>
      <c r="AF167" s="76">
        <v>167</v>
      </c>
      <c r="AG167" s="76">
        <v>51</v>
      </c>
      <c r="AH167" s="76">
        <v>241</v>
      </c>
      <c r="AI167" s="76">
        <v>1</v>
      </c>
      <c r="AJ167" s="76">
        <v>109</v>
      </c>
      <c r="AK167" s="76">
        <v>72</v>
      </c>
      <c r="AL167" s="76" t="b">
        <v>0</v>
      </c>
      <c r="AM167" s="78">
        <v>41272.952581018515</v>
      </c>
      <c r="AN167" s="76" t="s">
        <v>24142</v>
      </c>
      <c r="AO167" s="76" t="s">
        <v>24855</v>
      </c>
      <c r="AP167" s="82" t="str">
        <f>HYPERLINK("http://t.co/cg7Oj172")</f>
        <v>http://t.co/cg7Oj172</v>
      </c>
      <c r="AQ167" s="82" t="str">
        <f>HYPERLINK("http://www.bni.co.mz")</f>
        <v>http://www.bni.co.mz</v>
      </c>
      <c r="AR167" s="76" t="s">
        <v>26460</v>
      </c>
      <c r="AS167" s="76"/>
      <c r="AT167" s="76"/>
      <c r="AU167" s="76"/>
      <c r="AV167" s="76"/>
      <c r="AW167" s="82" t="str">
        <f>HYPERLINK("http://t.co/cg7Oj172")</f>
        <v>http://t.co/cg7Oj172</v>
      </c>
      <c r="AX167" s="76" t="b">
        <v>0</v>
      </c>
      <c r="AY167" s="76"/>
      <c r="AZ167" s="76"/>
      <c r="BA167" s="76" t="b">
        <v>0</v>
      </c>
      <c r="BB167" s="76" t="b">
        <v>1</v>
      </c>
      <c r="BC167" s="76" t="b">
        <v>0</v>
      </c>
      <c r="BD167" s="76" t="b">
        <v>0</v>
      </c>
      <c r="BE167" s="76" t="b">
        <v>0</v>
      </c>
      <c r="BF167" s="76" t="b">
        <v>0</v>
      </c>
      <c r="BG167" s="76" t="b">
        <v>0</v>
      </c>
      <c r="BH167" s="82" t="str">
        <f>HYPERLINK("https://pbs.twimg.com/profile_banners/1046199176/1609148919")</f>
        <v>https://pbs.twimg.com/profile_banners/1046199176/1609148919</v>
      </c>
      <c r="BI167" s="76"/>
      <c r="BJ167" s="76" t="s">
        <v>27595</v>
      </c>
      <c r="BK167" s="76" t="b">
        <v>0</v>
      </c>
      <c r="BL167" s="76"/>
      <c r="BM167" s="76" t="s">
        <v>66</v>
      </c>
      <c r="BN167" s="76" t="s">
        <v>27597</v>
      </c>
      <c r="BO167" s="82" t="str">
        <f>HYPERLINK("https://twitter.com/bni_mozambique")</f>
        <v>https://twitter.com/bni_mozambique</v>
      </c>
      <c r="BP167" s="2"/>
    </row>
    <row r="168" spans="1:68" x14ac:dyDescent="0.25">
      <c r="A168" s="62" t="s">
        <v>338</v>
      </c>
      <c r="B168" s="63"/>
      <c r="C168" s="63"/>
      <c r="D168" s="64"/>
      <c r="E168" s="66"/>
      <c r="F168" s="103" t="str">
        <f>HYPERLINK("https://pbs.twimg.com/profile_images/1665032232732327936/PnoguSZS_normal.jpg")</f>
        <v>https://pbs.twimg.com/profile_images/1665032232732327936/PnoguSZS_normal.jpg</v>
      </c>
      <c r="G168" s="63"/>
      <c r="H168" s="67"/>
      <c r="I168" s="68"/>
      <c r="J168" s="68"/>
      <c r="K168" s="67" t="s">
        <v>27762</v>
      </c>
      <c r="L168" s="71"/>
      <c r="M168" s="72"/>
      <c r="N168" s="72"/>
      <c r="O168" s="73"/>
      <c r="P168" s="74"/>
      <c r="Q168" s="74"/>
      <c r="R168" s="87"/>
      <c r="S168" s="87"/>
      <c r="T168" s="87"/>
      <c r="U168" s="87"/>
      <c r="V168" s="48"/>
      <c r="W168" s="48"/>
      <c r="X168" s="48"/>
      <c r="Y168" s="48"/>
      <c r="Z168" s="47"/>
      <c r="AA168" s="69">
        <v>168</v>
      </c>
      <c r="AB168" s="69"/>
      <c r="AC168" s="70"/>
      <c r="AD168" s="76" t="s">
        <v>21413</v>
      </c>
      <c r="AE168" s="81" t="s">
        <v>20557</v>
      </c>
      <c r="AF168" s="76">
        <v>1163</v>
      </c>
      <c r="AG168" s="76">
        <v>1035</v>
      </c>
      <c r="AH168" s="76">
        <v>3219</v>
      </c>
      <c r="AI168" s="76">
        <v>2</v>
      </c>
      <c r="AJ168" s="76">
        <v>13880</v>
      </c>
      <c r="AK168" s="76">
        <v>1790</v>
      </c>
      <c r="AL168" s="76" t="b">
        <v>0</v>
      </c>
      <c r="AM168" s="78">
        <v>43636.583252314813</v>
      </c>
      <c r="AN168" s="76"/>
      <c r="AO168" s="76" t="s">
        <v>24856</v>
      </c>
      <c r="AP168" s="76"/>
      <c r="AQ168" s="76"/>
      <c r="AR168" s="76"/>
      <c r="AS168" s="76"/>
      <c r="AT168" s="76"/>
      <c r="AU168" s="76"/>
      <c r="AV168" s="76">
        <v>1.32855492891523E+18</v>
      </c>
      <c r="AW168" s="76"/>
      <c r="AX168" s="76" t="b">
        <v>0</v>
      </c>
      <c r="AY168" s="76"/>
      <c r="AZ168" s="76"/>
      <c r="BA168" s="76" t="b">
        <v>1</v>
      </c>
      <c r="BB168" s="76" t="b">
        <v>1</v>
      </c>
      <c r="BC168" s="76" t="b">
        <v>1</v>
      </c>
      <c r="BD168" s="76" t="b">
        <v>0</v>
      </c>
      <c r="BE168" s="76" t="b">
        <v>1</v>
      </c>
      <c r="BF168" s="76" t="b">
        <v>0</v>
      </c>
      <c r="BG168" s="76" t="b">
        <v>0</v>
      </c>
      <c r="BH168" s="82" t="str">
        <f>HYPERLINK("https://pbs.twimg.com/profile_banners/1141707243114704897/1691531568")</f>
        <v>https://pbs.twimg.com/profile_banners/1141707243114704897/1691531568</v>
      </c>
      <c r="BI168" s="76"/>
      <c r="BJ168" s="76" t="s">
        <v>27595</v>
      </c>
      <c r="BK168" s="76" t="b">
        <v>0</v>
      </c>
      <c r="BL168" s="76"/>
      <c r="BM168" s="76" t="s">
        <v>66</v>
      </c>
      <c r="BN168" s="76" t="s">
        <v>27597</v>
      </c>
      <c r="BO168" s="82" t="str">
        <f>HYPERLINK("https://twitter.com/davidem281")</f>
        <v>https://twitter.com/davidem281</v>
      </c>
      <c r="BP168" s="2"/>
    </row>
    <row r="169" spans="1:68" x14ac:dyDescent="0.25">
      <c r="A169" s="62" t="s">
        <v>339</v>
      </c>
      <c r="B169" s="63"/>
      <c r="C169" s="63"/>
      <c r="D169" s="64"/>
      <c r="E169" s="66"/>
      <c r="F169" s="103" t="str">
        <f>HYPERLINK("https://pbs.twimg.com/profile_images/1560242863908216834/r-NRObTd_normal.jpg")</f>
        <v>https://pbs.twimg.com/profile_images/1560242863908216834/r-NRObTd_normal.jpg</v>
      </c>
      <c r="G169" s="63"/>
      <c r="H169" s="67"/>
      <c r="I169" s="68"/>
      <c r="J169" s="68"/>
      <c r="K169" s="67" t="s">
        <v>27763</v>
      </c>
      <c r="L169" s="71"/>
      <c r="M169" s="72"/>
      <c r="N169" s="72"/>
      <c r="O169" s="73"/>
      <c r="P169" s="74"/>
      <c r="Q169" s="74"/>
      <c r="R169" s="87"/>
      <c r="S169" s="87"/>
      <c r="T169" s="87"/>
      <c r="U169" s="87"/>
      <c r="V169" s="48"/>
      <c r="W169" s="48"/>
      <c r="X169" s="48"/>
      <c r="Y169" s="48"/>
      <c r="Z169" s="47"/>
      <c r="AA169" s="69">
        <v>169</v>
      </c>
      <c r="AB169" s="69"/>
      <c r="AC169" s="70"/>
      <c r="AD169" s="76" t="s">
        <v>21414</v>
      </c>
      <c r="AE169" s="81" t="s">
        <v>20558</v>
      </c>
      <c r="AF169" s="76">
        <v>47</v>
      </c>
      <c r="AG169" s="76">
        <v>245</v>
      </c>
      <c r="AH169" s="76">
        <v>11195</v>
      </c>
      <c r="AI169" s="76">
        <v>0</v>
      </c>
      <c r="AJ169" s="76">
        <v>10037</v>
      </c>
      <c r="AK169" s="76">
        <v>44</v>
      </c>
      <c r="AL169" s="76" t="b">
        <v>0</v>
      </c>
      <c r="AM169" s="78">
        <v>44641.710324074076</v>
      </c>
      <c r="AN169" s="76"/>
      <c r="AO169" s="76" t="s">
        <v>24857</v>
      </c>
      <c r="AP169" s="76"/>
      <c r="AQ169" s="76"/>
      <c r="AR169" s="76"/>
      <c r="AS169" s="76"/>
      <c r="AT169" s="76"/>
      <c r="AU169" s="76"/>
      <c r="AV169" s="76"/>
      <c r="AW169" s="76"/>
      <c r="AX169" s="76" t="b">
        <v>0</v>
      </c>
      <c r="AY169" s="76"/>
      <c r="AZ169" s="76"/>
      <c r="BA169" s="76" t="b">
        <v>0</v>
      </c>
      <c r="BB169" s="76" t="b">
        <v>1</v>
      </c>
      <c r="BC169" s="76" t="b">
        <v>1</v>
      </c>
      <c r="BD169" s="76" t="b">
        <v>0</v>
      </c>
      <c r="BE169" s="76" t="b">
        <v>0</v>
      </c>
      <c r="BF169" s="76" t="b">
        <v>0</v>
      </c>
      <c r="BG169" s="76" t="b">
        <v>0</v>
      </c>
      <c r="BH169" s="82" t="str">
        <f>HYPERLINK("https://pbs.twimg.com/profile_banners/1505953005274898437/1694654377")</f>
        <v>https://pbs.twimg.com/profile_banners/1505953005274898437/1694654377</v>
      </c>
      <c r="BI169" s="76"/>
      <c r="BJ169" s="76" t="s">
        <v>27595</v>
      </c>
      <c r="BK169" s="76" t="b">
        <v>0</v>
      </c>
      <c r="BL169" s="76"/>
      <c r="BM169" s="76" t="s">
        <v>66</v>
      </c>
      <c r="BN169" s="76" t="s">
        <v>27597</v>
      </c>
      <c r="BO169" s="82" t="str">
        <f>HYPERLINK("https://twitter.com/fjglanes")</f>
        <v>https://twitter.com/fjglanes</v>
      </c>
      <c r="BP169" s="2"/>
    </row>
    <row r="170" spans="1:68" x14ac:dyDescent="0.25">
      <c r="A170" s="62" t="s">
        <v>340</v>
      </c>
      <c r="B170" s="63"/>
      <c r="C170" s="63"/>
      <c r="D170" s="64"/>
      <c r="E170" s="66"/>
      <c r="F170" s="103" t="str">
        <f>HYPERLINK("https://pbs.twimg.com/profile_images/1447916541496922113/OTanuVSI_normal.jpg")</f>
        <v>https://pbs.twimg.com/profile_images/1447916541496922113/OTanuVSI_normal.jpg</v>
      </c>
      <c r="G170" s="63"/>
      <c r="H170" s="67"/>
      <c r="I170" s="68"/>
      <c r="J170" s="68"/>
      <c r="K170" s="67" t="s">
        <v>27764</v>
      </c>
      <c r="L170" s="71"/>
      <c r="M170" s="72"/>
      <c r="N170" s="72"/>
      <c r="O170" s="73"/>
      <c r="P170" s="74"/>
      <c r="Q170" s="74"/>
      <c r="R170" s="87"/>
      <c r="S170" s="87"/>
      <c r="T170" s="87"/>
      <c r="U170" s="87"/>
      <c r="V170" s="48"/>
      <c r="W170" s="48"/>
      <c r="X170" s="48"/>
      <c r="Y170" s="48"/>
      <c r="Z170" s="47"/>
      <c r="AA170" s="69">
        <v>170</v>
      </c>
      <c r="AB170" s="69"/>
      <c r="AC170" s="70"/>
      <c r="AD170" s="76" t="s">
        <v>21415</v>
      </c>
      <c r="AE170" s="81" t="s">
        <v>23145</v>
      </c>
      <c r="AF170" s="76">
        <v>17197</v>
      </c>
      <c r="AG170" s="76">
        <v>6503</v>
      </c>
      <c r="AH170" s="76">
        <v>27939</v>
      </c>
      <c r="AI170" s="76">
        <v>116</v>
      </c>
      <c r="AJ170" s="76">
        <v>1499</v>
      </c>
      <c r="AK170" s="76">
        <v>8406</v>
      </c>
      <c r="AL170" s="76" t="b">
        <v>0</v>
      </c>
      <c r="AM170" s="78">
        <v>40646.676921296297</v>
      </c>
      <c r="AN170" s="76" t="s">
        <v>14420</v>
      </c>
      <c r="AO170" s="76" t="s">
        <v>24858</v>
      </c>
      <c r="AP170" s="82" t="str">
        <f>HYPERLINK("https://t.co/Nrqzm2BCQy")</f>
        <v>https://t.co/Nrqzm2BCQy</v>
      </c>
      <c r="AQ170" s="82" t="str">
        <f>HYPERLINK("http://www.puntoapunto.com.ar")</f>
        <v>http://www.puntoapunto.com.ar</v>
      </c>
      <c r="AR170" s="76" t="s">
        <v>26461</v>
      </c>
      <c r="AS170" s="76"/>
      <c r="AT170" s="76"/>
      <c r="AU170" s="76"/>
      <c r="AV170" s="76"/>
      <c r="AW170" s="82" t="str">
        <f>HYPERLINK("https://t.co/Nrqzm2BCQy")</f>
        <v>https://t.co/Nrqzm2BCQy</v>
      </c>
      <c r="AX170" s="76" t="b">
        <v>0</v>
      </c>
      <c r="AY170" s="76"/>
      <c r="AZ170" s="76"/>
      <c r="BA170" s="76" t="b">
        <v>0</v>
      </c>
      <c r="BB170" s="76" t="b">
        <v>1</v>
      </c>
      <c r="BC170" s="76" t="b">
        <v>0</v>
      </c>
      <c r="BD170" s="76" t="b">
        <v>0</v>
      </c>
      <c r="BE170" s="76" t="b">
        <v>1</v>
      </c>
      <c r="BF170" s="76" t="b">
        <v>0</v>
      </c>
      <c r="BG170" s="76" t="b">
        <v>0</v>
      </c>
      <c r="BH170" s="82" t="str">
        <f>HYPERLINK("https://pbs.twimg.com/profile_banners/281604717/1634045180")</f>
        <v>https://pbs.twimg.com/profile_banners/281604717/1634045180</v>
      </c>
      <c r="BI170" s="76"/>
      <c r="BJ170" s="76" t="s">
        <v>27595</v>
      </c>
      <c r="BK170" s="76" t="b">
        <v>0</v>
      </c>
      <c r="BL170" s="76"/>
      <c r="BM170" s="76" t="s">
        <v>66</v>
      </c>
      <c r="BN170" s="76" t="s">
        <v>27597</v>
      </c>
      <c r="BO170" s="82" t="str">
        <f>HYPERLINK("https://twitter.com/puntoapuntocba")</f>
        <v>https://twitter.com/puntoapuntocba</v>
      </c>
      <c r="BP170" s="2"/>
    </row>
    <row r="171" spans="1:68" x14ac:dyDescent="0.25">
      <c r="A171" s="62" t="s">
        <v>1727</v>
      </c>
      <c r="B171" s="63"/>
      <c r="C171" s="63"/>
      <c r="D171" s="64"/>
      <c r="E171" s="66"/>
      <c r="F171" s="103" t="str">
        <f>HYPERLINK("https://pbs.twimg.com/profile_images/1040590304351608832/5m350FFj_normal.jpg")</f>
        <v>https://pbs.twimg.com/profile_images/1040590304351608832/5m350FFj_normal.jpg</v>
      </c>
      <c r="G171" s="63"/>
      <c r="H171" s="67"/>
      <c r="I171" s="68"/>
      <c r="J171" s="68"/>
      <c r="K171" s="67" t="s">
        <v>27765</v>
      </c>
      <c r="L171" s="71"/>
      <c r="M171" s="72"/>
      <c r="N171" s="72"/>
      <c r="O171" s="73"/>
      <c r="P171" s="74"/>
      <c r="Q171" s="74"/>
      <c r="R171" s="87"/>
      <c r="S171" s="87"/>
      <c r="T171" s="87"/>
      <c r="U171" s="87"/>
      <c r="V171" s="48"/>
      <c r="W171" s="48"/>
      <c r="X171" s="48"/>
      <c r="Y171" s="48"/>
      <c r="Z171" s="47"/>
      <c r="AA171" s="69">
        <v>171</v>
      </c>
      <c r="AB171" s="69"/>
      <c r="AC171" s="70"/>
      <c r="AD171" s="76" t="s">
        <v>21416</v>
      </c>
      <c r="AE171" s="81" t="s">
        <v>23146</v>
      </c>
      <c r="AF171" s="76">
        <v>41992</v>
      </c>
      <c r="AG171" s="76">
        <v>922</v>
      </c>
      <c r="AH171" s="76">
        <v>11347</v>
      </c>
      <c r="AI171" s="76">
        <v>264</v>
      </c>
      <c r="AJ171" s="76">
        <v>23625</v>
      </c>
      <c r="AK171" s="76">
        <v>1049</v>
      </c>
      <c r="AL171" s="76" t="b">
        <v>0</v>
      </c>
      <c r="AM171" s="78">
        <v>40500.81832175926</v>
      </c>
      <c r="AN171" s="76"/>
      <c r="AO171" s="76" t="s">
        <v>24859</v>
      </c>
      <c r="AP171" s="76"/>
      <c r="AQ171" s="76"/>
      <c r="AR171" s="76"/>
      <c r="AS171" s="76"/>
      <c r="AT171" s="76"/>
      <c r="AU171" s="76"/>
      <c r="AV171" s="76"/>
      <c r="AW171" s="76"/>
      <c r="AX171" s="76" t="b">
        <v>1</v>
      </c>
      <c r="AY171" s="76"/>
      <c r="AZ171" s="76"/>
      <c r="BA171" s="76" t="b">
        <v>1</v>
      </c>
      <c r="BB171" s="76" t="b">
        <v>0</v>
      </c>
      <c r="BC171" s="76" t="b">
        <v>1</v>
      </c>
      <c r="BD171" s="76" t="b">
        <v>0</v>
      </c>
      <c r="BE171" s="76" t="b">
        <v>0</v>
      </c>
      <c r="BF171" s="76" t="b">
        <v>0</v>
      </c>
      <c r="BG171" s="76" t="b">
        <v>0</v>
      </c>
      <c r="BH171" s="82" t="str">
        <f>HYPERLINK("https://pbs.twimg.com/profile_banners/217169311/1678654296")</f>
        <v>https://pbs.twimg.com/profile_banners/217169311/1678654296</v>
      </c>
      <c r="BI171" s="76"/>
      <c r="BJ171" s="76" t="s">
        <v>27595</v>
      </c>
      <c r="BK171" s="76" t="b">
        <v>0</v>
      </c>
      <c r="BL171" s="76"/>
      <c r="BM171" s="76" t="s">
        <v>65</v>
      </c>
      <c r="BN171" s="76" t="s">
        <v>27597</v>
      </c>
      <c r="BO171" s="82" t="str">
        <f>HYPERLINK("https://twitter.com/gsandleris")</f>
        <v>https://twitter.com/gsandleris</v>
      </c>
      <c r="BP171" s="2"/>
    </row>
    <row r="172" spans="1:68" x14ac:dyDescent="0.25">
      <c r="A172" s="62" t="s">
        <v>1728</v>
      </c>
      <c r="B172" s="63"/>
      <c r="C172" s="63"/>
      <c r="D172" s="64"/>
      <c r="E172" s="66"/>
      <c r="F172" s="103" t="str">
        <f>HYPERLINK("https://pbs.twimg.com/profile_images/1510452272420909061/EM_Li6-S_normal.jpg")</f>
        <v>https://pbs.twimg.com/profile_images/1510452272420909061/EM_Li6-S_normal.jpg</v>
      </c>
      <c r="G172" s="63"/>
      <c r="H172" s="67"/>
      <c r="I172" s="68"/>
      <c r="J172" s="68"/>
      <c r="K172" s="67" t="s">
        <v>27766</v>
      </c>
      <c r="L172" s="71"/>
      <c r="M172" s="72"/>
      <c r="N172" s="72"/>
      <c r="O172" s="73"/>
      <c r="P172" s="74"/>
      <c r="Q172" s="74"/>
      <c r="R172" s="87"/>
      <c r="S172" s="87"/>
      <c r="T172" s="87"/>
      <c r="U172" s="87"/>
      <c r="V172" s="48"/>
      <c r="W172" s="48"/>
      <c r="X172" s="48"/>
      <c r="Y172" s="48"/>
      <c r="Z172" s="47"/>
      <c r="AA172" s="69">
        <v>172</v>
      </c>
      <c r="AB172" s="69"/>
      <c r="AC172" s="70"/>
      <c r="AD172" s="76" t="s">
        <v>21417</v>
      </c>
      <c r="AE172" s="81" t="s">
        <v>23147</v>
      </c>
      <c r="AF172" s="76">
        <v>2306457</v>
      </c>
      <c r="AG172" s="76">
        <v>7092</v>
      </c>
      <c r="AH172" s="76">
        <v>33058</v>
      </c>
      <c r="AI172" s="76">
        <v>0</v>
      </c>
      <c r="AJ172" s="76">
        <v>8841</v>
      </c>
      <c r="AK172" s="76">
        <v>3505</v>
      </c>
      <c r="AL172" s="76" t="b">
        <v>0</v>
      </c>
      <c r="AM172" s="78">
        <v>40328.818518518521</v>
      </c>
      <c r="AN172" s="76" t="s">
        <v>24128</v>
      </c>
      <c r="AO172" s="76" t="s">
        <v>24860</v>
      </c>
      <c r="AP172" s="82" t="str">
        <f>HYPERLINK("https://t.co/rBbjJeNNnN")</f>
        <v>https://t.co/rBbjJeNNnN</v>
      </c>
      <c r="AQ172" s="82" t="str">
        <f>HYPERLINK("http://www.tiktok.com/@alferdez")</f>
        <v>http://www.tiktok.com/@alferdez</v>
      </c>
      <c r="AR172" s="76" t="s">
        <v>26462</v>
      </c>
      <c r="AS172" s="76"/>
      <c r="AT172" s="76"/>
      <c r="AU172" s="76"/>
      <c r="AV172" s="76"/>
      <c r="AW172" s="82" t="str">
        <f>HYPERLINK("https://t.co/rBbjJeNNnN")</f>
        <v>https://t.co/rBbjJeNNnN</v>
      </c>
      <c r="AX172" s="76" t="b">
        <v>1</v>
      </c>
      <c r="AY172" s="76"/>
      <c r="AZ172" s="76"/>
      <c r="BA172" s="76" t="b">
        <v>1</v>
      </c>
      <c r="BB172" s="76" t="b">
        <v>1</v>
      </c>
      <c r="BC172" s="76" t="b">
        <v>0</v>
      </c>
      <c r="BD172" s="76" t="b">
        <v>0</v>
      </c>
      <c r="BE172" s="76" t="b">
        <v>1</v>
      </c>
      <c r="BF172" s="76" t="b">
        <v>0</v>
      </c>
      <c r="BG172" s="76" t="b">
        <v>0</v>
      </c>
      <c r="BH172" s="82" t="str">
        <f>HYPERLINK("https://pbs.twimg.com/profile_banners/149991703/1670631679")</f>
        <v>https://pbs.twimg.com/profile_banners/149991703/1670631679</v>
      </c>
      <c r="BI172" s="76"/>
      <c r="BJ172" s="76" t="s">
        <v>27595</v>
      </c>
      <c r="BK172" s="76" t="b">
        <v>0</v>
      </c>
      <c r="BL172" s="76"/>
      <c r="BM172" s="76" t="s">
        <v>65</v>
      </c>
      <c r="BN172" s="76" t="s">
        <v>27597</v>
      </c>
      <c r="BO172" s="82" t="str">
        <f>HYPERLINK("https://twitter.com/alferdez")</f>
        <v>https://twitter.com/alferdez</v>
      </c>
      <c r="BP172" s="2"/>
    </row>
    <row r="173" spans="1:68" x14ac:dyDescent="0.25">
      <c r="A173" s="62" t="s">
        <v>341</v>
      </c>
      <c r="B173" s="63"/>
      <c r="C173" s="63"/>
      <c r="D173" s="64"/>
      <c r="E173" s="66"/>
      <c r="F173" s="103" t="str">
        <f>HYPERLINK("https://pbs.twimg.com/profile_images/1631123379922059265/tQ9m-v7H_normal.jpg")</f>
        <v>https://pbs.twimg.com/profile_images/1631123379922059265/tQ9m-v7H_normal.jpg</v>
      </c>
      <c r="G173" s="63"/>
      <c r="H173" s="67"/>
      <c r="I173" s="68"/>
      <c r="J173" s="68"/>
      <c r="K173" s="67" t="s">
        <v>27767</v>
      </c>
      <c r="L173" s="71"/>
      <c r="M173" s="72"/>
      <c r="N173" s="72"/>
      <c r="O173" s="73"/>
      <c r="P173" s="74"/>
      <c r="Q173" s="74"/>
      <c r="R173" s="87"/>
      <c r="S173" s="87"/>
      <c r="T173" s="87"/>
      <c r="U173" s="87"/>
      <c r="V173" s="48"/>
      <c r="W173" s="48"/>
      <c r="X173" s="48"/>
      <c r="Y173" s="48"/>
      <c r="Z173" s="47"/>
      <c r="AA173" s="69">
        <v>173</v>
      </c>
      <c r="AB173" s="69"/>
      <c r="AC173" s="70"/>
      <c r="AD173" s="76" t="s">
        <v>21418</v>
      </c>
      <c r="AE173" s="81" t="s">
        <v>23148</v>
      </c>
      <c r="AF173" s="76">
        <v>3082</v>
      </c>
      <c r="AG173" s="76">
        <v>565</v>
      </c>
      <c r="AH173" s="76">
        <v>19161</v>
      </c>
      <c r="AI173" s="76">
        <v>47</v>
      </c>
      <c r="AJ173" s="76">
        <v>2454</v>
      </c>
      <c r="AK173" s="76">
        <v>1948</v>
      </c>
      <c r="AL173" s="76" t="b">
        <v>0</v>
      </c>
      <c r="AM173" s="78">
        <v>41147.864016203705</v>
      </c>
      <c r="AN173" s="76"/>
      <c r="AO173" s="76" t="s">
        <v>24861</v>
      </c>
      <c r="AP173" s="82" t="str">
        <f>HYPERLINK("https://t.co/PdwoXQEEAd")</f>
        <v>https://t.co/PdwoXQEEAd</v>
      </c>
      <c r="AQ173" s="82" t="str">
        <f>HYPERLINK("https://www.minhaoperadora.com.br")</f>
        <v>https://www.minhaoperadora.com.br</v>
      </c>
      <c r="AR173" s="76" t="s">
        <v>26463</v>
      </c>
      <c r="AS173" s="76"/>
      <c r="AT173" s="76"/>
      <c r="AU173" s="76"/>
      <c r="AV173" s="76"/>
      <c r="AW173" s="82" t="str">
        <f>HYPERLINK("https://t.co/PdwoXQEEAd")</f>
        <v>https://t.co/PdwoXQEEAd</v>
      </c>
      <c r="AX173" s="76" t="b">
        <v>0</v>
      </c>
      <c r="AY173" s="76"/>
      <c r="AZ173" s="76"/>
      <c r="BA173" s="76" t="b">
        <v>0</v>
      </c>
      <c r="BB173" s="76" t="b">
        <v>1</v>
      </c>
      <c r="BC173" s="76" t="b">
        <v>0</v>
      </c>
      <c r="BD173" s="76" t="b">
        <v>0</v>
      </c>
      <c r="BE173" s="76" t="b">
        <v>0</v>
      </c>
      <c r="BF173" s="76" t="b">
        <v>0</v>
      </c>
      <c r="BG173" s="76" t="b">
        <v>0</v>
      </c>
      <c r="BH173" s="82" t="str">
        <f>HYPERLINK("https://pbs.twimg.com/profile_banners/783159774/1677725160")</f>
        <v>https://pbs.twimg.com/profile_banners/783159774/1677725160</v>
      </c>
      <c r="BI173" s="76"/>
      <c r="BJ173" s="76" t="s">
        <v>27595</v>
      </c>
      <c r="BK173" s="76" t="b">
        <v>0</v>
      </c>
      <c r="BL173" s="76"/>
      <c r="BM173" s="76" t="s">
        <v>66</v>
      </c>
      <c r="BN173" s="76" t="s">
        <v>27597</v>
      </c>
      <c r="BO173" s="82" t="str">
        <f>HYPERLINK("https://twitter.com/minhaoperadora")</f>
        <v>https://twitter.com/minhaoperadora</v>
      </c>
      <c r="BP173" s="2"/>
    </row>
    <row r="174" spans="1:68" x14ac:dyDescent="0.25">
      <c r="A174" s="62" t="s">
        <v>342</v>
      </c>
      <c r="B174" s="63"/>
      <c r="C174" s="63"/>
      <c r="D174" s="64"/>
      <c r="E174" s="66"/>
      <c r="F174" s="103" t="str">
        <f>HYPERLINK("https://pbs.twimg.com/profile_images/1687970883745218560/AeddCnRp_normal.jpg")</f>
        <v>https://pbs.twimg.com/profile_images/1687970883745218560/AeddCnRp_normal.jpg</v>
      </c>
      <c r="G174" s="63"/>
      <c r="H174" s="67"/>
      <c r="I174" s="68"/>
      <c r="J174" s="68"/>
      <c r="K174" s="67" t="s">
        <v>27768</v>
      </c>
      <c r="L174" s="71"/>
      <c r="M174" s="72"/>
      <c r="N174" s="72"/>
      <c r="O174" s="73"/>
      <c r="P174" s="74"/>
      <c r="Q174" s="74"/>
      <c r="R174" s="87"/>
      <c r="S174" s="87"/>
      <c r="T174" s="87"/>
      <c r="U174" s="87"/>
      <c r="V174" s="48"/>
      <c r="W174" s="48"/>
      <c r="X174" s="48"/>
      <c r="Y174" s="48"/>
      <c r="Z174" s="47"/>
      <c r="AA174" s="69">
        <v>174</v>
      </c>
      <c r="AB174" s="69"/>
      <c r="AC174" s="70"/>
      <c r="AD174" s="76" t="s">
        <v>21419</v>
      </c>
      <c r="AE174" s="81" t="s">
        <v>20559</v>
      </c>
      <c r="AF174" s="76">
        <v>9</v>
      </c>
      <c r="AG174" s="76">
        <v>11</v>
      </c>
      <c r="AH174" s="76">
        <v>565</v>
      </c>
      <c r="AI174" s="76">
        <v>0</v>
      </c>
      <c r="AJ174" s="76">
        <v>1337</v>
      </c>
      <c r="AK174" s="76">
        <v>52</v>
      </c>
      <c r="AL174" s="76" t="b">
        <v>0</v>
      </c>
      <c r="AM174" s="78">
        <v>45102.561273148145</v>
      </c>
      <c r="AN174" s="76" t="s">
        <v>14385</v>
      </c>
      <c r="AO174" s="76" t="s">
        <v>24862</v>
      </c>
      <c r="AP174" s="76"/>
      <c r="AQ174" s="76"/>
      <c r="AR174" s="76"/>
      <c r="AS174" s="76"/>
      <c r="AT174" s="76"/>
      <c r="AU174" s="76"/>
      <c r="AV174" s="76"/>
      <c r="AW174" s="76"/>
      <c r="AX174" s="76" t="b">
        <v>0</v>
      </c>
      <c r="AY174" s="76"/>
      <c r="AZ174" s="76"/>
      <c r="BA174" s="76" t="b">
        <v>1</v>
      </c>
      <c r="BB174" s="76" t="b">
        <v>1</v>
      </c>
      <c r="BC174" s="76" t="b">
        <v>1</v>
      </c>
      <c r="BD174" s="76" t="b">
        <v>0</v>
      </c>
      <c r="BE174" s="76" t="b">
        <v>0</v>
      </c>
      <c r="BF174" s="76" t="b">
        <v>0</v>
      </c>
      <c r="BG174" s="76" t="b">
        <v>0</v>
      </c>
      <c r="BH174" s="82" t="str">
        <f>HYPERLINK("https://pbs.twimg.com/profile_banners/1672959830896648193/1691278595")</f>
        <v>https://pbs.twimg.com/profile_banners/1672959830896648193/1691278595</v>
      </c>
      <c r="BI174" s="76"/>
      <c r="BJ174" s="76" t="s">
        <v>27595</v>
      </c>
      <c r="BK174" s="76" t="b">
        <v>0</v>
      </c>
      <c r="BL174" s="76"/>
      <c r="BM174" s="76" t="s">
        <v>66</v>
      </c>
      <c r="BN174" s="76" t="s">
        <v>27597</v>
      </c>
      <c r="BO174" s="82" t="str">
        <f>HYPERLINK("https://twitter.com/tengolibertad7")</f>
        <v>https://twitter.com/tengolibertad7</v>
      </c>
      <c r="BP174" s="2"/>
    </row>
    <row r="175" spans="1:68" x14ac:dyDescent="0.25">
      <c r="A175" s="62" t="s">
        <v>343</v>
      </c>
      <c r="B175" s="63"/>
      <c r="C175" s="63"/>
      <c r="D175" s="64"/>
      <c r="E175" s="66"/>
      <c r="F175" s="103" t="str">
        <f>HYPERLINK("https://pbs.twimg.com/profile_images/1589303976385810434/dqFzyb9L_normal.jpg")</f>
        <v>https://pbs.twimg.com/profile_images/1589303976385810434/dqFzyb9L_normal.jpg</v>
      </c>
      <c r="G175" s="63"/>
      <c r="H175" s="67"/>
      <c r="I175" s="68"/>
      <c r="J175" s="68"/>
      <c r="K175" s="67" t="s">
        <v>27769</v>
      </c>
      <c r="L175" s="71"/>
      <c r="M175" s="72"/>
      <c r="N175" s="72"/>
      <c r="O175" s="73"/>
      <c r="P175" s="74"/>
      <c r="Q175" s="74"/>
      <c r="R175" s="87"/>
      <c r="S175" s="87"/>
      <c r="T175" s="87"/>
      <c r="U175" s="87"/>
      <c r="V175" s="48"/>
      <c r="W175" s="48"/>
      <c r="X175" s="48"/>
      <c r="Y175" s="48"/>
      <c r="Z175" s="47"/>
      <c r="AA175" s="69">
        <v>175</v>
      </c>
      <c r="AB175" s="69"/>
      <c r="AC175" s="70"/>
      <c r="AD175" s="76" t="s">
        <v>21420</v>
      </c>
      <c r="AE175" s="81" t="s">
        <v>23149</v>
      </c>
      <c r="AF175" s="76">
        <v>1182</v>
      </c>
      <c r="AG175" s="76">
        <v>4886</v>
      </c>
      <c r="AH175" s="76">
        <v>13471</v>
      </c>
      <c r="AI175" s="76">
        <v>3</v>
      </c>
      <c r="AJ175" s="76">
        <v>5995</v>
      </c>
      <c r="AK175" s="76">
        <v>1318</v>
      </c>
      <c r="AL175" s="76" t="b">
        <v>0</v>
      </c>
      <c r="AM175" s="78">
        <v>40044.005902777775</v>
      </c>
      <c r="AN175" s="76" t="s">
        <v>24143</v>
      </c>
      <c r="AO175" s="76" t="s">
        <v>24863</v>
      </c>
      <c r="AP175" s="82" t="str">
        <f>HYPERLINK("https://t.co/2aQ6AYU40k")</f>
        <v>https://t.co/2aQ6AYU40k</v>
      </c>
      <c r="AQ175" s="82" t="str">
        <f>HYPERLINK("http://Instagram.com/marcos_welber_fox")</f>
        <v>http://Instagram.com/marcos_welber_fox</v>
      </c>
      <c r="AR175" s="76" t="s">
        <v>26464</v>
      </c>
      <c r="AS175" s="76"/>
      <c r="AT175" s="76"/>
      <c r="AU175" s="76"/>
      <c r="AV175" s="76"/>
      <c r="AW175" s="82" t="str">
        <f>HYPERLINK("https://t.co/2aQ6AYU40k")</f>
        <v>https://t.co/2aQ6AYU40k</v>
      </c>
      <c r="AX175" s="76" t="b">
        <v>0</v>
      </c>
      <c r="AY175" s="76"/>
      <c r="AZ175" s="76"/>
      <c r="BA175" s="76" t="b">
        <v>1</v>
      </c>
      <c r="BB175" s="76" t="b">
        <v>0</v>
      </c>
      <c r="BC175" s="76" t="b">
        <v>0</v>
      </c>
      <c r="BD175" s="76" t="b">
        <v>0</v>
      </c>
      <c r="BE175" s="76" t="b">
        <v>1</v>
      </c>
      <c r="BF175" s="76" t="b">
        <v>0</v>
      </c>
      <c r="BG175" s="76" t="b">
        <v>0</v>
      </c>
      <c r="BH175" s="82" t="str">
        <f>HYPERLINK("https://pbs.twimg.com/profile_banners/66848542/1509793026")</f>
        <v>https://pbs.twimg.com/profile_banners/66848542/1509793026</v>
      </c>
      <c r="BI175" s="76"/>
      <c r="BJ175" s="76" t="s">
        <v>27595</v>
      </c>
      <c r="BK175" s="76" t="b">
        <v>0</v>
      </c>
      <c r="BL175" s="76"/>
      <c r="BM175" s="76" t="s">
        <v>66</v>
      </c>
      <c r="BN175" s="76" t="s">
        <v>27597</v>
      </c>
      <c r="BO175" s="82" t="str">
        <f>HYPERLINK("https://twitter.com/marcoswelber")</f>
        <v>https://twitter.com/marcoswelber</v>
      </c>
      <c r="BP175" s="2"/>
    </row>
    <row r="176" spans="1:68" x14ac:dyDescent="0.25">
      <c r="A176" s="62" t="s">
        <v>344</v>
      </c>
      <c r="B176" s="63"/>
      <c r="C176" s="63"/>
      <c r="D176" s="64"/>
      <c r="E176" s="66"/>
      <c r="F176" s="103" t="str">
        <f>HYPERLINK("https://pbs.twimg.com/profile_images/1259258175376838656/nt_5OKjN_normal.jpg")</f>
        <v>https://pbs.twimg.com/profile_images/1259258175376838656/nt_5OKjN_normal.jpg</v>
      </c>
      <c r="G176" s="63"/>
      <c r="H176" s="67"/>
      <c r="I176" s="68"/>
      <c r="J176" s="68"/>
      <c r="K176" s="67" t="s">
        <v>27770</v>
      </c>
      <c r="L176" s="71"/>
      <c r="M176" s="72"/>
      <c r="N176" s="72"/>
      <c r="O176" s="73"/>
      <c r="P176" s="74"/>
      <c r="Q176" s="74"/>
      <c r="R176" s="87"/>
      <c r="S176" s="87"/>
      <c r="T176" s="87"/>
      <c r="U176" s="87"/>
      <c r="V176" s="48"/>
      <c r="W176" s="48"/>
      <c r="X176" s="48"/>
      <c r="Y176" s="48"/>
      <c r="Z176" s="47"/>
      <c r="AA176" s="69">
        <v>176</v>
      </c>
      <c r="AB176" s="69"/>
      <c r="AC176" s="70"/>
      <c r="AD176" s="76" t="s">
        <v>21421</v>
      </c>
      <c r="AE176" s="81" t="s">
        <v>23150</v>
      </c>
      <c r="AF176" s="76">
        <v>8818</v>
      </c>
      <c r="AG176" s="76">
        <v>7416</v>
      </c>
      <c r="AH176" s="76">
        <v>334416</v>
      </c>
      <c r="AI176" s="76">
        <v>64</v>
      </c>
      <c r="AJ176" s="76">
        <v>107983</v>
      </c>
      <c r="AK176" s="76">
        <v>20315</v>
      </c>
      <c r="AL176" s="76" t="b">
        <v>0</v>
      </c>
      <c r="AM176" s="78">
        <v>39933.045312499999</v>
      </c>
      <c r="AN176" s="76" t="s">
        <v>24144</v>
      </c>
      <c r="AO176" s="76" t="s">
        <v>24864</v>
      </c>
      <c r="AP176" s="82" t="str">
        <f>HYPERLINK("https://t.co/XYA45R9JHx")</f>
        <v>https://t.co/XYA45R9JHx</v>
      </c>
      <c r="AQ176" s="82" t="str">
        <f>HYPERLINK("http://noticiasguasabara.blogspot.com")</f>
        <v>http://noticiasguasabara.blogspot.com</v>
      </c>
      <c r="AR176" s="76" t="s">
        <v>26465</v>
      </c>
      <c r="AS176" s="76"/>
      <c r="AT176" s="76"/>
      <c r="AU176" s="76"/>
      <c r="AV176" s="76">
        <v>1.6693644987365901E+18</v>
      </c>
      <c r="AW176" s="82" t="str">
        <f>HYPERLINK("https://t.co/XYA45R9JHx")</f>
        <v>https://t.co/XYA45R9JHx</v>
      </c>
      <c r="AX176" s="76" t="b">
        <v>0</v>
      </c>
      <c r="AY176" s="76"/>
      <c r="AZ176" s="76"/>
      <c r="BA176" s="76" t="b">
        <v>0</v>
      </c>
      <c r="BB176" s="76" t="b">
        <v>1</v>
      </c>
      <c r="BC176" s="76" t="b">
        <v>0</v>
      </c>
      <c r="BD176" s="76" t="b">
        <v>0</v>
      </c>
      <c r="BE176" s="76" t="b">
        <v>1</v>
      </c>
      <c r="BF176" s="76" t="b">
        <v>0</v>
      </c>
      <c r="BG176" s="76" t="b">
        <v>0</v>
      </c>
      <c r="BH176" s="82" t="str">
        <f>HYPERLINK("https://pbs.twimg.com/profile_banners/36545286/1397344498")</f>
        <v>https://pbs.twimg.com/profile_banners/36545286/1397344498</v>
      </c>
      <c r="BI176" s="76"/>
      <c r="BJ176" s="76" t="s">
        <v>27595</v>
      </c>
      <c r="BK176" s="76" t="b">
        <v>0</v>
      </c>
      <c r="BL176" s="76"/>
      <c r="BM176" s="76" t="s">
        <v>66</v>
      </c>
      <c r="BN176" s="76" t="s">
        <v>27597</v>
      </c>
      <c r="BO176" s="82" t="str">
        <f>HYPERLINK("https://twitter.com/guasabaraeditor")</f>
        <v>https://twitter.com/guasabaraeditor</v>
      </c>
      <c r="BP176" s="2"/>
    </row>
    <row r="177" spans="1:68" x14ac:dyDescent="0.25">
      <c r="A177" s="62" t="s">
        <v>519</v>
      </c>
      <c r="B177" s="63"/>
      <c r="C177" s="63"/>
      <c r="D177" s="64"/>
      <c r="E177" s="66"/>
      <c r="F177" s="103" t="str">
        <f>HYPERLINK("https://pbs.twimg.com/profile_images/1612423167682682880/PDI49old_normal.jpg")</f>
        <v>https://pbs.twimg.com/profile_images/1612423167682682880/PDI49old_normal.jpg</v>
      </c>
      <c r="G177" s="63"/>
      <c r="H177" s="67"/>
      <c r="I177" s="68"/>
      <c r="J177" s="68"/>
      <c r="K177" s="67" t="s">
        <v>27771</v>
      </c>
      <c r="L177" s="71"/>
      <c r="M177" s="72"/>
      <c r="N177" s="72"/>
      <c r="O177" s="73"/>
      <c r="P177" s="74"/>
      <c r="Q177" s="74"/>
      <c r="R177" s="87"/>
      <c r="S177" s="87"/>
      <c r="T177" s="87"/>
      <c r="U177" s="87"/>
      <c r="V177" s="48"/>
      <c r="W177" s="48"/>
      <c r="X177" s="48"/>
      <c r="Y177" s="48"/>
      <c r="Z177" s="47"/>
      <c r="AA177" s="69">
        <v>177</v>
      </c>
      <c r="AB177" s="69"/>
      <c r="AC177" s="70"/>
      <c r="AD177" s="76" t="s">
        <v>21422</v>
      </c>
      <c r="AE177" s="81" t="s">
        <v>23151</v>
      </c>
      <c r="AF177" s="76">
        <v>415391</v>
      </c>
      <c r="AG177" s="76">
        <v>3109</v>
      </c>
      <c r="AH177" s="76">
        <v>309460</v>
      </c>
      <c r="AI177" s="76">
        <v>843</v>
      </c>
      <c r="AJ177" s="76">
        <v>2884</v>
      </c>
      <c r="AK177" s="76">
        <v>166281</v>
      </c>
      <c r="AL177" s="76" t="b">
        <v>0</v>
      </c>
      <c r="AM177" s="78">
        <v>40310.832754629628</v>
      </c>
      <c r="AN177" s="76" t="s">
        <v>24145</v>
      </c>
      <c r="AO177" s="76" t="s">
        <v>24865</v>
      </c>
      <c r="AP177" s="82" t="str">
        <f>HYPERLINK("https://t.co/TZz1mXX83B")</f>
        <v>https://t.co/TZz1mXX83B</v>
      </c>
      <c r="AQ177" s="82" t="str">
        <f>HYPERLINK("http://www.eldia.com.do/")</f>
        <v>http://www.eldia.com.do/</v>
      </c>
      <c r="AR177" s="76" t="s">
        <v>26466</v>
      </c>
      <c r="AS177" s="76"/>
      <c r="AT177" s="76"/>
      <c r="AU177" s="76"/>
      <c r="AV177" s="76">
        <v>1.6937982009964401E+18</v>
      </c>
      <c r="AW177" s="82" t="str">
        <f>HYPERLINK("https://t.co/TZz1mXX83B")</f>
        <v>https://t.co/TZz1mXX83B</v>
      </c>
      <c r="AX177" s="76" t="b">
        <v>0</v>
      </c>
      <c r="AY177" s="76"/>
      <c r="AZ177" s="76"/>
      <c r="BA177" s="76" t="b">
        <v>0</v>
      </c>
      <c r="BB177" s="76" t="b">
        <v>0</v>
      </c>
      <c r="BC177" s="76" t="b">
        <v>0</v>
      </c>
      <c r="BD177" s="76" t="b">
        <v>0</v>
      </c>
      <c r="BE177" s="76" t="b">
        <v>1</v>
      </c>
      <c r="BF177" s="76" t="b">
        <v>0</v>
      </c>
      <c r="BG177" s="76" t="b">
        <v>0</v>
      </c>
      <c r="BH177" s="82" t="str">
        <f>HYPERLINK("https://pbs.twimg.com/profile_banners/143173757/1667308422")</f>
        <v>https://pbs.twimg.com/profile_banners/143173757/1667308422</v>
      </c>
      <c r="BI177" s="76"/>
      <c r="BJ177" s="76" t="s">
        <v>27595</v>
      </c>
      <c r="BK177" s="76" t="b">
        <v>0</v>
      </c>
      <c r="BL177" s="76"/>
      <c r="BM177" s="76" t="s">
        <v>66</v>
      </c>
      <c r="BN177" s="76" t="s">
        <v>27597</v>
      </c>
      <c r="BO177" s="82" t="str">
        <f>HYPERLINK("https://twitter.com/eldia_do")</f>
        <v>https://twitter.com/eldia_do</v>
      </c>
      <c r="BP177" s="2"/>
    </row>
    <row r="178" spans="1:68" x14ac:dyDescent="0.25">
      <c r="A178" s="62" t="s">
        <v>345</v>
      </c>
      <c r="B178" s="63"/>
      <c r="C178" s="63"/>
      <c r="D178" s="64"/>
      <c r="E178" s="66"/>
      <c r="F178" s="103" t="str">
        <f>HYPERLINK("https://pbs.twimg.com/profile_images/1661776630858100747/3Z5IUjS5_normal.jpg")</f>
        <v>https://pbs.twimg.com/profile_images/1661776630858100747/3Z5IUjS5_normal.jpg</v>
      </c>
      <c r="G178" s="63"/>
      <c r="H178" s="67"/>
      <c r="I178" s="68"/>
      <c r="J178" s="68"/>
      <c r="K178" s="67" t="s">
        <v>27772</v>
      </c>
      <c r="L178" s="71"/>
      <c r="M178" s="72"/>
      <c r="N178" s="72"/>
      <c r="O178" s="73"/>
      <c r="P178" s="74"/>
      <c r="Q178" s="74"/>
      <c r="R178" s="87"/>
      <c r="S178" s="87"/>
      <c r="T178" s="87"/>
      <c r="U178" s="87"/>
      <c r="V178" s="48"/>
      <c r="W178" s="48"/>
      <c r="X178" s="48"/>
      <c r="Y178" s="48"/>
      <c r="Z178" s="47"/>
      <c r="AA178" s="69">
        <v>178</v>
      </c>
      <c r="AB178" s="69"/>
      <c r="AC178" s="70"/>
      <c r="AD178" s="76" t="s">
        <v>21423</v>
      </c>
      <c r="AE178" s="81" t="s">
        <v>23152</v>
      </c>
      <c r="AF178" s="76">
        <v>165</v>
      </c>
      <c r="AG178" s="76">
        <v>107</v>
      </c>
      <c r="AH178" s="76">
        <v>15049</v>
      </c>
      <c r="AI178" s="76">
        <v>0</v>
      </c>
      <c r="AJ178" s="76">
        <v>157</v>
      </c>
      <c r="AK178" s="76">
        <v>6223</v>
      </c>
      <c r="AL178" s="76" t="b">
        <v>0</v>
      </c>
      <c r="AM178" s="78">
        <v>41671.126307870371</v>
      </c>
      <c r="AN178" s="76" t="s">
        <v>24146</v>
      </c>
      <c r="AO178" s="76" t="s">
        <v>24866</v>
      </c>
      <c r="AP178" s="76"/>
      <c r="AQ178" s="76"/>
      <c r="AR178" s="76"/>
      <c r="AS178" s="76"/>
      <c r="AT178" s="76"/>
      <c r="AU178" s="76"/>
      <c r="AV178" s="76"/>
      <c r="AW178" s="76"/>
      <c r="AX178" s="76" t="b">
        <v>0</v>
      </c>
      <c r="AY178" s="76"/>
      <c r="AZ178" s="76"/>
      <c r="BA178" s="76" t="b">
        <v>0</v>
      </c>
      <c r="BB178" s="76" t="b">
        <v>1</v>
      </c>
      <c r="BC178" s="76" t="b">
        <v>1</v>
      </c>
      <c r="BD178" s="76" t="b">
        <v>0</v>
      </c>
      <c r="BE178" s="76" t="b">
        <v>1</v>
      </c>
      <c r="BF178" s="76" t="b">
        <v>0</v>
      </c>
      <c r="BG178" s="76" t="b">
        <v>0</v>
      </c>
      <c r="BH178" s="82" t="str">
        <f>HYPERLINK("https://pbs.twimg.com/profile_banners/2321672670/1694986835")</f>
        <v>https://pbs.twimg.com/profile_banners/2321672670/1694986835</v>
      </c>
      <c r="BI178" s="76"/>
      <c r="BJ178" s="76" t="s">
        <v>27595</v>
      </c>
      <c r="BK178" s="76" t="b">
        <v>0</v>
      </c>
      <c r="BL178" s="76"/>
      <c r="BM178" s="76" t="s">
        <v>66</v>
      </c>
      <c r="BN178" s="76" t="s">
        <v>27597</v>
      </c>
      <c r="BO178" s="82" t="str">
        <f>HYPERLINK("https://twitter.com/zorroplateado23")</f>
        <v>https://twitter.com/zorroplateado23</v>
      </c>
      <c r="BP178" s="2"/>
    </row>
    <row r="179" spans="1:68" x14ac:dyDescent="0.25">
      <c r="A179" s="62" t="s">
        <v>346</v>
      </c>
      <c r="B179" s="63"/>
      <c r="C179" s="63"/>
      <c r="D179" s="64"/>
      <c r="E179" s="66"/>
      <c r="F179" s="103" t="str">
        <f>HYPERLINK("https://pbs.twimg.com/profile_images/1362881914512830464/bTs_6a0y_normal.jpg")</f>
        <v>https://pbs.twimg.com/profile_images/1362881914512830464/bTs_6a0y_normal.jpg</v>
      </c>
      <c r="G179" s="63"/>
      <c r="H179" s="67"/>
      <c r="I179" s="68"/>
      <c r="J179" s="68"/>
      <c r="K179" s="67" t="s">
        <v>27773</v>
      </c>
      <c r="L179" s="71"/>
      <c r="M179" s="72"/>
      <c r="N179" s="72"/>
      <c r="O179" s="73"/>
      <c r="P179" s="74"/>
      <c r="Q179" s="74"/>
      <c r="R179" s="87"/>
      <c r="S179" s="87"/>
      <c r="T179" s="87"/>
      <c r="U179" s="87"/>
      <c r="V179" s="48"/>
      <c r="W179" s="48"/>
      <c r="X179" s="48"/>
      <c r="Y179" s="48"/>
      <c r="Z179" s="47"/>
      <c r="AA179" s="69">
        <v>179</v>
      </c>
      <c r="AB179" s="69"/>
      <c r="AC179" s="70"/>
      <c r="AD179" s="76" t="s">
        <v>21424</v>
      </c>
      <c r="AE179" s="81" t="s">
        <v>20560</v>
      </c>
      <c r="AF179" s="76">
        <v>1898</v>
      </c>
      <c r="AG179" s="76">
        <v>1876</v>
      </c>
      <c r="AH179" s="76">
        <v>1956</v>
      </c>
      <c r="AI179" s="76">
        <v>0</v>
      </c>
      <c r="AJ179" s="76">
        <v>5616</v>
      </c>
      <c r="AK179" s="76">
        <v>22</v>
      </c>
      <c r="AL179" s="76" t="b">
        <v>0</v>
      </c>
      <c r="AM179" s="78">
        <v>43764.892696759256</v>
      </c>
      <c r="AN179" s="76"/>
      <c r="AO179" s="76" t="s">
        <v>24867</v>
      </c>
      <c r="AP179" s="76"/>
      <c r="AQ179" s="76"/>
      <c r="AR179" s="76"/>
      <c r="AS179" s="76"/>
      <c r="AT179" s="76"/>
      <c r="AU179" s="76"/>
      <c r="AV179" s="76">
        <v>1.65288117075169E+18</v>
      </c>
      <c r="AW179" s="76"/>
      <c r="AX179" s="76" t="b">
        <v>0</v>
      </c>
      <c r="AY179" s="76"/>
      <c r="AZ179" s="76"/>
      <c r="BA179" s="76" t="b">
        <v>0</v>
      </c>
      <c r="BB179" s="76" t="b">
        <v>0</v>
      </c>
      <c r="BC179" s="76" t="b">
        <v>1</v>
      </c>
      <c r="BD179" s="76" t="b">
        <v>0</v>
      </c>
      <c r="BE179" s="76" t="b">
        <v>1</v>
      </c>
      <c r="BF179" s="76" t="b">
        <v>0</v>
      </c>
      <c r="BG179" s="76" t="b">
        <v>0</v>
      </c>
      <c r="BH179" s="76"/>
      <c r="BI179" s="76"/>
      <c r="BJ179" s="76" t="s">
        <v>27595</v>
      </c>
      <c r="BK179" s="76" t="b">
        <v>0</v>
      </c>
      <c r="BL179" s="76"/>
      <c r="BM179" s="76" t="s">
        <v>66</v>
      </c>
      <c r="BN179" s="76" t="s">
        <v>27597</v>
      </c>
      <c r="BO179" s="82" t="str">
        <f>HYPERLINK("https://twitter.com/mster87322547")</f>
        <v>https://twitter.com/mster87322547</v>
      </c>
      <c r="BP179" s="2"/>
    </row>
    <row r="180" spans="1:68" x14ac:dyDescent="0.25">
      <c r="A180" s="62" t="s">
        <v>1729</v>
      </c>
      <c r="B180" s="63"/>
      <c r="C180" s="63"/>
      <c r="D180" s="64"/>
      <c r="E180" s="66"/>
      <c r="F180" s="103" t="str">
        <f>HYPERLINK("https://pbs.twimg.com/profile_images/1357335309285871617/wAXw5T0n_normal.jpg")</f>
        <v>https://pbs.twimg.com/profile_images/1357335309285871617/wAXw5T0n_normal.jpg</v>
      </c>
      <c r="G180" s="63"/>
      <c r="H180" s="67"/>
      <c r="I180" s="68"/>
      <c r="J180" s="68"/>
      <c r="K180" s="67" t="s">
        <v>27774</v>
      </c>
      <c r="L180" s="71"/>
      <c r="M180" s="72"/>
      <c r="N180" s="72"/>
      <c r="O180" s="73"/>
      <c r="P180" s="74"/>
      <c r="Q180" s="74"/>
      <c r="R180" s="87"/>
      <c r="S180" s="87"/>
      <c r="T180" s="87"/>
      <c r="U180" s="87"/>
      <c r="V180" s="48"/>
      <c r="W180" s="48"/>
      <c r="X180" s="48"/>
      <c r="Y180" s="48"/>
      <c r="Z180" s="47"/>
      <c r="AA180" s="69">
        <v>180</v>
      </c>
      <c r="AB180" s="69"/>
      <c r="AC180" s="70"/>
      <c r="AD180" s="76" t="s">
        <v>21425</v>
      </c>
      <c r="AE180" s="81" t="s">
        <v>23153</v>
      </c>
      <c r="AF180" s="76">
        <v>7964</v>
      </c>
      <c r="AG180" s="76">
        <v>897</v>
      </c>
      <c r="AH180" s="76">
        <v>4045</v>
      </c>
      <c r="AI180" s="76">
        <v>19</v>
      </c>
      <c r="AJ180" s="76">
        <v>3708</v>
      </c>
      <c r="AK180" s="76">
        <v>684</v>
      </c>
      <c r="AL180" s="76" t="b">
        <v>0</v>
      </c>
      <c r="AM180" s="78">
        <v>42936.971076388887</v>
      </c>
      <c r="AN180" s="76" t="s">
        <v>24147</v>
      </c>
      <c r="AO180" s="76" t="s">
        <v>24868</v>
      </c>
      <c r="AP180" s="82" t="str">
        <f>HYPERLINK("https://t.co/YoFBz1dgG1")</f>
        <v>https://t.co/YoFBz1dgG1</v>
      </c>
      <c r="AQ180" s="82" t="str">
        <f>HYPERLINK("http://quilpue.cl")</f>
        <v>http://quilpue.cl</v>
      </c>
      <c r="AR180" s="76" t="s">
        <v>26467</v>
      </c>
      <c r="AS180" s="76"/>
      <c r="AT180" s="76"/>
      <c r="AU180" s="76"/>
      <c r="AV180" s="76">
        <v>1.67845615524318E+18</v>
      </c>
      <c r="AW180" s="82" t="str">
        <f>HYPERLINK("https://t.co/YoFBz1dgG1")</f>
        <v>https://t.co/YoFBz1dgG1</v>
      </c>
      <c r="AX180" s="76" t="b">
        <v>0</v>
      </c>
      <c r="AY180" s="76"/>
      <c r="AZ180" s="76"/>
      <c r="BA180" s="76" t="b">
        <v>0</v>
      </c>
      <c r="BB180" s="76" t="b">
        <v>1</v>
      </c>
      <c r="BC180" s="76" t="b">
        <v>0</v>
      </c>
      <c r="BD180" s="76" t="b">
        <v>0</v>
      </c>
      <c r="BE180" s="76" t="b">
        <v>1</v>
      </c>
      <c r="BF180" s="76" t="b">
        <v>0</v>
      </c>
      <c r="BG180" s="76" t="b">
        <v>0</v>
      </c>
      <c r="BH180" s="82" t="str">
        <f>HYPERLINK("https://pbs.twimg.com/profile_banners/888176281107521537/1641931008")</f>
        <v>https://pbs.twimg.com/profile_banners/888176281107521537/1641931008</v>
      </c>
      <c r="BI180" s="76"/>
      <c r="BJ180" s="76" t="s">
        <v>27595</v>
      </c>
      <c r="BK180" s="76" t="b">
        <v>0</v>
      </c>
      <c r="BL180" s="76"/>
      <c r="BM180" s="76" t="s">
        <v>65</v>
      </c>
      <c r="BN180" s="76" t="s">
        <v>27597</v>
      </c>
      <c r="BO180" s="82" t="str">
        <f>HYPERLINK("https://twitter.com/valemelipillan")</f>
        <v>https://twitter.com/valemelipillan</v>
      </c>
      <c r="BP180" s="2"/>
    </row>
    <row r="181" spans="1:68" x14ac:dyDescent="0.25">
      <c r="A181" s="62" t="s">
        <v>1026</v>
      </c>
      <c r="B181" s="63"/>
      <c r="C181" s="63"/>
      <c r="D181" s="64"/>
      <c r="E181" s="66"/>
      <c r="F181" s="103" t="str">
        <f>HYPERLINK("https://pbs.twimg.com/profile_images/1572981920920702978/wPJkSk5T_normal.jpg")</f>
        <v>https://pbs.twimg.com/profile_images/1572981920920702978/wPJkSk5T_normal.jpg</v>
      </c>
      <c r="G181" s="63"/>
      <c r="H181" s="67"/>
      <c r="I181" s="68"/>
      <c r="J181" s="68"/>
      <c r="K181" s="67" t="s">
        <v>27775</v>
      </c>
      <c r="L181" s="71"/>
      <c r="M181" s="72"/>
      <c r="N181" s="72"/>
      <c r="O181" s="73"/>
      <c r="P181" s="74"/>
      <c r="Q181" s="74"/>
      <c r="R181" s="87"/>
      <c r="S181" s="87"/>
      <c r="T181" s="87"/>
      <c r="U181" s="87"/>
      <c r="V181" s="48"/>
      <c r="W181" s="48"/>
      <c r="X181" s="48"/>
      <c r="Y181" s="48"/>
      <c r="Z181" s="47"/>
      <c r="AA181" s="69">
        <v>181</v>
      </c>
      <c r="AB181" s="69"/>
      <c r="AC181" s="70"/>
      <c r="AD181" s="76" t="s">
        <v>21426</v>
      </c>
      <c r="AE181" s="81" t="s">
        <v>23154</v>
      </c>
      <c r="AF181" s="76">
        <v>2578</v>
      </c>
      <c r="AG181" s="76">
        <v>90</v>
      </c>
      <c r="AH181" s="76">
        <v>2741</v>
      </c>
      <c r="AI181" s="76">
        <v>8</v>
      </c>
      <c r="AJ181" s="76">
        <v>708</v>
      </c>
      <c r="AK181" s="76">
        <v>1513</v>
      </c>
      <c r="AL181" s="76" t="b">
        <v>0</v>
      </c>
      <c r="AM181" s="78">
        <v>40668.848935185182</v>
      </c>
      <c r="AN181" s="76" t="s">
        <v>24147</v>
      </c>
      <c r="AO181" s="76" t="s">
        <v>24869</v>
      </c>
      <c r="AP181" s="82" t="str">
        <f>HYPERLINK("https://t.co/eVMMihcurz")</f>
        <v>https://t.co/eVMMihcurz</v>
      </c>
      <c r="AQ181" s="82" t="str">
        <f>HYPERLINK("http://www.cmq.cl/site/")</f>
        <v>http://www.cmq.cl/site/</v>
      </c>
      <c r="AR181" s="76" t="s">
        <v>26468</v>
      </c>
      <c r="AS181" s="76"/>
      <c r="AT181" s="76"/>
      <c r="AU181" s="76"/>
      <c r="AV181" s="76">
        <v>1.6672943999763999E+18</v>
      </c>
      <c r="AW181" s="82" t="str">
        <f>HYPERLINK("https://t.co/eVMMihcurz")</f>
        <v>https://t.co/eVMMihcurz</v>
      </c>
      <c r="AX181" s="76" t="b">
        <v>0</v>
      </c>
      <c r="AY181" s="76"/>
      <c r="AZ181" s="76"/>
      <c r="BA181" s="76" t="b">
        <v>0</v>
      </c>
      <c r="BB181" s="76" t="b">
        <v>1</v>
      </c>
      <c r="BC181" s="76" t="b">
        <v>1</v>
      </c>
      <c r="BD181" s="76" t="b">
        <v>0</v>
      </c>
      <c r="BE181" s="76" t="b">
        <v>0</v>
      </c>
      <c r="BF181" s="76" t="b">
        <v>0</v>
      </c>
      <c r="BG181" s="76" t="b">
        <v>0</v>
      </c>
      <c r="BH181" s="82" t="str">
        <f>HYPERLINK("https://pbs.twimg.com/profile_banners/293698120/1669234556")</f>
        <v>https://pbs.twimg.com/profile_banners/293698120/1669234556</v>
      </c>
      <c r="BI181" s="76"/>
      <c r="BJ181" s="76" t="s">
        <v>27595</v>
      </c>
      <c r="BK181" s="76" t="b">
        <v>0</v>
      </c>
      <c r="BL181" s="76"/>
      <c r="BM181" s="76" t="s">
        <v>66</v>
      </c>
      <c r="BN181" s="76" t="s">
        <v>27597</v>
      </c>
      <c r="BO181" s="82" t="str">
        <f>HYPERLINK("https://twitter.com/cmquilpue")</f>
        <v>https://twitter.com/cmquilpue</v>
      </c>
      <c r="BP181" s="2"/>
    </row>
    <row r="182" spans="1:68" x14ac:dyDescent="0.25">
      <c r="A182" s="62" t="s">
        <v>347</v>
      </c>
      <c r="B182" s="63"/>
      <c r="C182" s="63"/>
      <c r="D182" s="64"/>
      <c r="E182" s="66"/>
      <c r="F182" s="103" t="str">
        <f>HYPERLINK("https://pbs.twimg.com/profile_images/782183093209817088/JmuKIFk6_normal.jpg")</f>
        <v>https://pbs.twimg.com/profile_images/782183093209817088/JmuKIFk6_normal.jpg</v>
      </c>
      <c r="G182" s="63"/>
      <c r="H182" s="67"/>
      <c r="I182" s="68"/>
      <c r="J182" s="68"/>
      <c r="K182" s="67" t="s">
        <v>27776</v>
      </c>
      <c r="L182" s="71"/>
      <c r="M182" s="72"/>
      <c r="N182" s="72"/>
      <c r="O182" s="73"/>
      <c r="P182" s="74"/>
      <c r="Q182" s="74"/>
      <c r="R182" s="87"/>
      <c r="S182" s="87"/>
      <c r="T182" s="87"/>
      <c r="U182" s="87"/>
      <c r="V182" s="48"/>
      <c r="W182" s="48"/>
      <c r="X182" s="48"/>
      <c r="Y182" s="48"/>
      <c r="Z182" s="47"/>
      <c r="AA182" s="69">
        <v>182</v>
      </c>
      <c r="AB182" s="69"/>
      <c r="AC182" s="70"/>
      <c r="AD182" s="76" t="s">
        <v>21427</v>
      </c>
      <c r="AE182" s="81" t="s">
        <v>23155</v>
      </c>
      <c r="AF182" s="76">
        <v>401</v>
      </c>
      <c r="AG182" s="76">
        <v>400</v>
      </c>
      <c r="AH182" s="76">
        <v>30109</v>
      </c>
      <c r="AI182" s="76">
        <v>11</v>
      </c>
      <c r="AJ182" s="76">
        <v>8729</v>
      </c>
      <c r="AK182" s="76">
        <v>1382</v>
      </c>
      <c r="AL182" s="76" t="b">
        <v>0</v>
      </c>
      <c r="AM182" s="78">
        <v>40092.491620370369</v>
      </c>
      <c r="AN182" s="76"/>
      <c r="AO182" s="76" t="s">
        <v>24870</v>
      </c>
      <c r="AP182" s="76"/>
      <c r="AQ182" s="76"/>
      <c r="AR182" s="76"/>
      <c r="AS182" s="76"/>
      <c r="AT182" s="76"/>
      <c r="AU182" s="76"/>
      <c r="AV182" s="76">
        <v>1.70701040474275E+18</v>
      </c>
      <c r="AW182" s="76"/>
      <c r="AX182" s="76" t="b">
        <v>0</v>
      </c>
      <c r="AY182" s="76"/>
      <c r="AZ182" s="76"/>
      <c r="BA182" s="76" t="b">
        <v>0</v>
      </c>
      <c r="BB182" s="76" t="b">
        <v>0</v>
      </c>
      <c r="BC182" s="76" t="b">
        <v>0</v>
      </c>
      <c r="BD182" s="76" t="b">
        <v>0</v>
      </c>
      <c r="BE182" s="76" t="b">
        <v>1</v>
      </c>
      <c r="BF182" s="76" t="b">
        <v>0</v>
      </c>
      <c r="BG182" s="76" t="b">
        <v>1</v>
      </c>
      <c r="BH182" s="82" t="str">
        <f>HYPERLINK("https://pbs.twimg.com/profile_banners/80281517/1640277988")</f>
        <v>https://pbs.twimg.com/profile_banners/80281517/1640277988</v>
      </c>
      <c r="BI182" s="76"/>
      <c r="BJ182" s="76" t="s">
        <v>27595</v>
      </c>
      <c r="BK182" s="76" t="b">
        <v>0</v>
      </c>
      <c r="BL182" s="76"/>
      <c r="BM182" s="76" t="s">
        <v>66</v>
      </c>
      <c r="BN182" s="76" t="s">
        <v>27597</v>
      </c>
      <c r="BO182" s="82" t="str">
        <f>HYPERLINK("https://twitter.com/maureengubbins")</f>
        <v>https://twitter.com/maureengubbins</v>
      </c>
      <c r="BP182" s="2"/>
    </row>
    <row r="183" spans="1:68" x14ac:dyDescent="0.25">
      <c r="A183" s="62" t="s">
        <v>348</v>
      </c>
      <c r="B183" s="63"/>
      <c r="C183" s="63"/>
      <c r="D183" s="64"/>
      <c r="E183" s="66"/>
      <c r="F183" s="103" t="str">
        <f>HYPERLINK("https://pbs.twimg.com/profile_images/1542863891151069186/LKLtR-ja_normal.png")</f>
        <v>https://pbs.twimg.com/profile_images/1542863891151069186/LKLtR-ja_normal.png</v>
      </c>
      <c r="G183" s="63"/>
      <c r="H183" s="67"/>
      <c r="I183" s="68"/>
      <c r="J183" s="68"/>
      <c r="K183" s="67" t="s">
        <v>27777</v>
      </c>
      <c r="L183" s="71"/>
      <c r="M183" s="72"/>
      <c r="N183" s="72"/>
      <c r="O183" s="73"/>
      <c r="P183" s="74"/>
      <c r="Q183" s="74"/>
      <c r="R183" s="87"/>
      <c r="S183" s="87"/>
      <c r="T183" s="87"/>
      <c r="U183" s="87"/>
      <c r="V183" s="48"/>
      <c r="W183" s="48"/>
      <c r="X183" s="48"/>
      <c r="Y183" s="48"/>
      <c r="Z183" s="47"/>
      <c r="AA183" s="69">
        <v>183</v>
      </c>
      <c r="AB183" s="69"/>
      <c r="AC183" s="70"/>
      <c r="AD183" s="76" t="s">
        <v>21428</v>
      </c>
      <c r="AE183" s="81" t="s">
        <v>20561</v>
      </c>
      <c r="AF183" s="76">
        <v>40</v>
      </c>
      <c r="AG183" s="76">
        <v>77</v>
      </c>
      <c r="AH183" s="76">
        <v>56140</v>
      </c>
      <c r="AI183" s="76">
        <v>0</v>
      </c>
      <c r="AJ183" s="76">
        <v>23754</v>
      </c>
      <c r="AK183" s="76">
        <v>731</v>
      </c>
      <c r="AL183" s="76" t="b">
        <v>0</v>
      </c>
      <c r="AM183" s="78">
        <v>44743.564710648148</v>
      </c>
      <c r="AN183" s="76"/>
      <c r="AO183" s="76"/>
      <c r="AP183" s="76"/>
      <c r="AQ183" s="76"/>
      <c r="AR183" s="76"/>
      <c r="AS183" s="76"/>
      <c r="AT183" s="76"/>
      <c r="AU183" s="76"/>
      <c r="AV183" s="76"/>
      <c r="AW183" s="76"/>
      <c r="AX183" s="76" t="b">
        <v>0</v>
      </c>
      <c r="AY183" s="76"/>
      <c r="AZ183" s="76"/>
      <c r="BA183" s="76" t="b">
        <v>0</v>
      </c>
      <c r="BB183" s="76" t="b">
        <v>1</v>
      </c>
      <c r="BC183" s="76" t="b">
        <v>1</v>
      </c>
      <c r="BD183" s="76" t="b">
        <v>0</v>
      </c>
      <c r="BE183" s="76" t="b">
        <v>0</v>
      </c>
      <c r="BF183" s="76" t="b">
        <v>0</v>
      </c>
      <c r="BG183" s="76" t="b">
        <v>0</v>
      </c>
      <c r="BH183" s="76"/>
      <c r="BI183" s="76"/>
      <c r="BJ183" s="76" t="s">
        <v>27595</v>
      </c>
      <c r="BK183" s="76" t="b">
        <v>0</v>
      </c>
      <c r="BL183" s="76"/>
      <c r="BM183" s="76" t="s">
        <v>66</v>
      </c>
      <c r="BN183" s="76" t="s">
        <v>27597</v>
      </c>
      <c r="BO183" s="82" t="str">
        <f>HYPERLINK("https://twitter.com/wrseelent")</f>
        <v>https://twitter.com/wrseelent</v>
      </c>
      <c r="BP183" s="2"/>
    </row>
    <row r="184" spans="1:68" x14ac:dyDescent="0.25">
      <c r="A184" s="62" t="s">
        <v>349</v>
      </c>
      <c r="B184" s="63"/>
      <c r="C184" s="63"/>
      <c r="D184" s="64"/>
      <c r="E184" s="66"/>
      <c r="F184" s="103" t="str">
        <f>HYPERLINK("https://pbs.twimg.com/profile_images/1654927959994540032/0kbGiUW6_normal.jpg")</f>
        <v>https://pbs.twimg.com/profile_images/1654927959994540032/0kbGiUW6_normal.jpg</v>
      </c>
      <c r="G184" s="63"/>
      <c r="H184" s="67"/>
      <c r="I184" s="68"/>
      <c r="J184" s="68"/>
      <c r="K184" s="67" t="s">
        <v>27778</v>
      </c>
      <c r="L184" s="71"/>
      <c r="M184" s="72"/>
      <c r="N184" s="72"/>
      <c r="O184" s="73"/>
      <c r="P184" s="74"/>
      <c r="Q184" s="74"/>
      <c r="R184" s="87"/>
      <c r="S184" s="87"/>
      <c r="T184" s="87"/>
      <c r="U184" s="87"/>
      <c r="V184" s="48"/>
      <c r="W184" s="48"/>
      <c r="X184" s="48"/>
      <c r="Y184" s="48"/>
      <c r="Z184" s="47"/>
      <c r="AA184" s="69">
        <v>184</v>
      </c>
      <c r="AB184" s="69"/>
      <c r="AC184" s="70"/>
      <c r="AD184" s="76" t="s">
        <v>21429</v>
      </c>
      <c r="AE184" s="81" t="s">
        <v>20562</v>
      </c>
      <c r="AF184" s="76">
        <v>8</v>
      </c>
      <c r="AG184" s="76">
        <v>111</v>
      </c>
      <c r="AH184" s="76">
        <v>38</v>
      </c>
      <c r="AI184" s="76">
        <v>0</v>
      </c>
      <c r="AJ184" s="76">
        <v>129</v>
      </c>
      <c r="AK184" s="76">
        <v>17</v>
      </c>
      <c r="AL184" s="76" t="b">
        <v>0</v>
      </c>
      <c r="AM184" s="78">
        <v>43397.613703703704</v>
      </c>
      <c r="AN184" s="76"/>
      <c r="AO184" s="76" t="s">
        <v>24871</v>
      </c>
      <c r="AP184" s="76"/>
      <c r="AQ184" s="76"/>
      <c r="AR184" s="76"/>
      <c r="AS184" s="76"/>
      <c r="AT184" s="76"/>
      <c r="AU184" s="76"/>
      <c r="AV184" s="76"/>
      <c r="AW184" s="76"/>
      <c r="AX184" s="76" t="b">
        <v>0</v>
      </c>
      <c r="AY184" s="76"/>
      <c r="AZ184" s="76"/>
      <c r="BA184" s="76" t="b">
        <v>0</v>
      </c>
      <c r="BB184" s="76" t="b">
        <v>1</v>
      </c>
      <c r="BC184" s="76" t="b">
        <v>1</v>
      </c>
      <c r="BD184" s="76" t="b">
        <v>0</v>
      </c>
      <c r="BE184" s="76" t="b">
        <v>0</v>
      </c>
      <c r="BF184" s="76" t="b">
        <v>0</v>
      </c>
      <c r="BG184" s="76" t="b">
        <v>0</v>
      </c>
      <c r="BH184" s="82" t="str">
        <f>HYPERLINK("https://pbs.twimg.com/profile_banners/1055107578533986304/1540394016")</f>
        <v>https://pbs.twimg.com/profile_banners/1055107578533986304/1540394016</v>
      </c>
      <c r="BI184" s="76"/>
      <c r="BJ184" s="76" t="s">
        <v>27595</v>
      </c>
      <c r="BK184" s="76" t="b">
        <v>0</v>
      </c>
      <c r="BL184" s="76"/>
      <c r="BM184" s="76" t="s">
        <v>66</v>
      </c>
      <c r="BN184" s="76" t="s">
        <v>27597</v>
      </c>
      <c r="BO184" s="82" t="str">
        <f>HYPERLINK("https://twitter.com/investidoranarq")</f>
        <v>https://twitter.com/investidoranarq</v>
      </c>
      <c r="BP184" s="2"/>
    </row>
    <row r="185" spans="1:68" x14ac:dyDescent="0.25">
      <c r="A185" s="62" t="s">
        <v>350</v>
      </c>
      <c r="B185" s="63"/>
      <c r="C185" s="63"/>
      <c r="D185" s="64"/>
      <c r="E185" s="66"/>
      <c r="F185" s="103" t="str">
        <f>HYPERLINK("https://pbs.twimg.com/profile_images/1679694283119501313/o-0iWvUX_normal.png")</f>
        <v>https://pbs.twimg.com/profile_images/1679694283119501313/o-0iWvUX_normal.png</v>
      </c>
      <c r="G185" s="63"/>
      <c r="H185" s="67"/>
      <c r="I185" s="68"/>
      <c r="J185" s="68"/>
      <c r="K185" s="67" t="s">
        <v>27779</v>
      </c>
      <c r="L185" s="71"/>
      <c r="M185" s="72"/>
      <c r="N185" s="72"/>
      <c r="O185" s="73"/>
      <c r="P185" s="74"/>
      <c r="Q185" s="74"/>
      <c r="R185" s="87"/>
      <c r="S185" s="87"/>
      <c r="T185" s="87"/>
      <c r="U185" s="87"/>
      <c r="V185" s="48"/>
      <c r="W185" s="48"/>
      <c r="X185" s="48"/>
      <c r="Y185" s="48"/>
      <c r="Z185" s="47"/>
      <c r="AA185" s="69">
        <v>185</v>
      </c>
      <c r="AB185" s="69"/>
      <c r="AC185" s="70"/>
      <c r="AD185" s="76" t="s">
        <v>21430</v>
      </c>
      <c r="AE185" s="81" t="s">
        <v>20563</v>
      </c>
      <c r="AF185" s="76">
        <v>144</v>
      </c>
      <c r="AG185" s="76">
        <v>62</v>
      </c>
      <c r="AH185" s="76">
        <v>369</v>
      </c>
      <c r="AI185" s="76">
        <v>0</v>
      </c>
      <c r="AJ185" s="76">
        <v>255</v>
      </c>
      <c r="AK185" s="76">
        <v>295</v>
      </c>
      <c r="AL185" s="76" t="b">
        <v>0</v>
      </c>
      <c r="AM185" s="78">
        <v>45037.804467592592</v>
      </c>
      <c r="AN185" s="76" t="s">
        <v>24148</v>
      </c>
      <c r="AO185" s="76" t="s">
        <v>24872</v>
      </c>
      <c r="AP185" s="82" t="str">
        <f>HYPERLINK("https://t.co/NUCwczwWQ9")</f>
        <v>https://t.co/NUCwczwWQ9</v>
      </c>
      <c r="AQ185" s="82" t="str">
        <f>HYPERLINK("https://linktr.ee/sniders")</f>
        <v>https://linktr.ee/sniders</v>
      </c>
      <c r="AR185" s="76" t="s">
        <v>26469</v>
      </c>
      <c r="AS185" s="76"/>
      <c r="AT185" s="76"/>
      <c r="AU185" s="76"/>
      <c r="AV185" s="76">
        <v>1.65022776877537E+18</v>
      </c>
      <c r="AW185" s="82" t="str">
        <f>HYPERLINK("https://t.co/NUCwczwWQ9")</f>
        <v>https://t.co/NUCwczwWQ9</v>
      </c>
      <c r="AX185" s="76" t="b">
        <v>0</v>
      </c>
      <c r="AY185" s="76"/>
      <c r="AZ185" s="76"/>
      <c r="BA185" s="76" t="b">
        <v>1</v>
      </c>
      <c r="BB185" s="76" t="b">
        <v>1</v>
      </c>
      <c r="BC185" s="76" t="b">
        <v>1</v>
      </c>
      <c r="BD185" s="76" t="b">
        <v>0</v>
      </c>
      <c r="BE185" s="76" t="b">
        <v>0</v>
      </c>
      <c r="BF185" s="76" t="b">
        <v>0</v>
      </c>
      <c r="BG185" s="76" t="b">
        <v>0</v>
      </c>
      <c r="BH185" s="82" t="str">
        <f>HYPERLINK("https://pbs.twimg.com/profile_banners/1649492750281199632/1689304941")</f>
        <v>https://pbs.twimg.com/profile_banners/1649492750281199632/1689304941</v>
      </c>
      <c r="BI185" s="76"/>
      <c r="BJ185" s="76" t="s">
        <v>27595</v>
      </c>
      <c r="BK185" s="76" t="b">
        <v>0</v>
      </c>
      <c r="BL185" s="76"/>
      <c r="BM185" s="76" t="s">
        <v>66</v>
      </c>
      <c r="BN185" s="76" t="s">
        <v>27597</v>
      </c>
      <c r="BO185" s="82" t="str">
        <f>HYPERLINK("https://twitter.com/centralsniders")</f>
        <v>https://twitter.com/centralsniders</v>
      </c>
      <c r="BP185" s="2"/>
    </row>
    <row r="186" spans="1:68" x14ac:dyDescent="0.25">
      <c r="A186" s="62" t="s">
        <v>351</v>
      </c>
      <c r="B186" s="63"/>
      <c r="C186" s="63"/>
      <c r="D186" s="64"/>
      <c r="E186" s="66"/>
      <c r="F186" s="103" t="str">
        <f>HYPERLINK("https://pbs.twimg.com/profile_images/889558618755956736/Yhu7OTb3_normal.jpg")</f>
        <v>https://pbs.twimg.com/profile_images/889558618755956736/Yhu7OTb3_normal.jpg</v>
      </c>
      <c r="G186" s="63"/>
      <c r="H186" s="67"/>
      <c r="I186" s="68"/>
      <c r="J186" s="68"/>
      <c r="K186" s="67" t="s">
        <v>27780</v>
      </c>
      <c r="L186" s="71"/>
      <c r="M186" s="72"/>
      <c r="N186" s="72"/>
      <c r="O186" s="73"/>
      <c r="P186" s="74"/>
      <c r="Q186" s="74"/>
      <c r="R186" s="87"/>
      <c r="S186" s="87"/>
      <c r="T186" s="87"/>
      <c r="U186" s="87"/>
      <c r="V186" s="48"/>
      <c r="W186" s="48"/>
      <c r="X186" s="48"/>
      <c r="Y186" s="48"/>
      <c r="Z186" s="47"/>
      <c r="AA186" s="69">
        <v>186</v>
      </c>
      <c r="AB186" s="69"/>
      <c r="AC186" s="70"/>
      <c r="AD186" s="76" t="s">
        <v>21431</v>
      </c>
      <c r="AE186" s="81" t="s">
        <v>23156</v>
      </c>
      <c r="AF186" s="76">
        <v>7577</v>
      </c>
      <c r="AG186" s="76">
        <v>3011</v>
      </c>
      <c r="AH186" s="76">
        <v>40322</v>
      </c>
      <c r="AI186" s="76">
        <v>194</v>
      </c>
      <c r="AJ186" s="76">
        <v>43</v>
      </c>
      <c r="AK186" s="76">
        <v>15572</v>
      </c>
      <c r="AL186" s="76" t="b">
        <v>0</v>
      </c>
      <c r="AM186" s="78">
        <v>40000.773043981484</v>
      </c>
      <c r="AN186" s="76" t="s">
        <v>24149</v>
      </c>
      <c r="AO186" s="76" t="s">
        <v>24873</v>
      </c>
      <c r="AP186" s="82" t="str">
        <f>HYPERLINK("https://t.co/8mV9Jy3lmn")</f>
        <v>https://t.co/8mV9Jy3lmn</v>
      </c>
      <c r="AQ186" s="82" t="str">
        <f>HYPERLINK("https://linkme.bio/diariodoestadogo/")</f>
        <v>https://linkme.bio/diariodoestadogo/</v>
      </c>
      <c r="AR186" s="76" t="s">
        <v>26470</v>
      </c>
      <c r="AS186" s="76"/>
      <c r="AT186" s="76"/>
      <c r="AU186" s="76"/>
      <c r="AV186" s="76"/>
      <c r="AW186" s="82" t="str">
        <f>HYPERLINK("https://t.co/8mV9Jy3lmn")</f>
        <v>https://t.co/8mV9Jy3lmn</v>
      </c>
      <c r="AX186" s="76" t="b">
        <v>0</v>
      </c>
      <c r="AY186" s="76"/>
      <c r="AZ186" s="76"/>
      <c r="BA186" s="76" t="b">
        <v>1</v>
      </c>
      <c r="BB186" s="76" t="b">
        <v>1</v>
      </c>
      <c r="BC186" s="76" t="b">
        <v>0</v>
      </c>
      <c r="BD186" s="76" t="b">
        <v>0</v>
      </c>
      <c r="BE186" s="76" t="b">
        <v>1</v>
      </c>
      <c r="BF186" s="76" t="b">
        <v>0</v>
      </c>
      <c r="BG186" s="76" t="b">
        <v>0</v>
      </c>
      <c r="BH186" s="82" t="str">
        <f>HYPERLINK("https://pbs.twimg.com/profile_banners/54290021/1659030946")</f>
        <v>https://pbs.twimg.com/profile_banners/54290021/1659030946</v>
      </c>
      <c r="BI186" s="76"/>
      <c r="BJ186" s="76" t="s">
        <v>27595</v>
      </c>
      <c r="BK186" s="76" t="b">
        <v>0</v>
      </c>
      <c r="BL186" s="76"/>
      <c r="BM186" s="76" t="s">
        <v>66</v>
      </c>
      <c r="BN186" s="76" t="s">
        <v>27597</v>
      </c>
      <c r="BO186" s="82" t="str">
        <f>HYPERLINK("https://twitter.com/diariodoestado")</f>
        <v>https://twitter.com/diariodoestado</v>
      </c>
      <c r="BP186" s="2"/>
    </row>
    <row r="187" spans="1:68" x14ac:dyDescent="0.25">
      <c r="A187" s="62" t="s">
        <v>352</v>
      </c>
      <c r="B187" s="63"/>
      <c r="C187" s="63"/>
      <c r="D187" s="64"/>
      <c r="E187" s="66"/>
      <c r="F187" s="103" t="str">
        <f>HYPERLINK("https://pbs.twimg.com/profile_images/931824576341954560/Qog7kFXu_normal.jpg")</f>
        <v>https://pbs.twimg.com/profile_images/931824576341954560/Qog7kFXu_normal.jpg</v>
      </c>
      <c r="G187" s="63"/>
      <c r="H187" s="67"/>
      <c r="I187" s="68"/>
      <c r="J187" s="68"/>
      <c r="K187" s="67" t="s">
        <v>27781</v>
      </c>
      <c r="L187" s="71"/>
      <c r="M187" s="72"/>
      <c r="N187" s="72"/>
      <c r="O187" s="73"/>
      <c r="P187" s="74"/>
      <c r="Q187" s="74"/>
      <c r="R187" s="87"/>
      <c r="S187" s="87"/>
      <c r="T187" s="87"/>
      <c r="U187" s="87"/>
      <c r="V187" s="48"/>
      <c r="W187" s="48"/>
      <c r="X187" s="48"/>
      <c r="Y187" s="48"/>
      <c r="Z187" s="47"/>
      <c r="AA187" s="69">
        <v>187</v>
      </c>
      <c r="AB187" s="69"/>
      <c r="AC187" s="70"/>
      <c r="AD187" s="76" t="s">
        <v>21432</v>
      </c>
      <c r="AE187" s="81" t="s">
        <v>23157</v>
      </c>
      <c r="AF187" s="76">
        <v>612</v>
      </c>
      <c r="AG187" s="76">
        <v>415</v>
      </c>
      <c r="AH187" s="76">
        <v>124485</v>
      </c>
      <c r="AI187" s="76">
        <v>3</v>
      </c>
      <c r="AJ187" s="76">
        <v>88646</v>
      </c>
      <c r="AK187" s="76">
        <v>346</v>
      </c>
      <c r="AL187" s="76" t="b">
        <v>0</v>
      </c>
      <c r="AM187" s="78">
        <v>41798.969201388885</v>
      </c>
      <c r="AN187" s="76" t="s">
        <v>24150</v>
      </c>
      <c r="AO187" s="76" t="s">
        <v>24874</v>
      </c>
      <c r="AP187" s="76"/>
      <c r="AQ187" s="76"/>
      <c r="AR187" s="76"/>
      <c r="AS187" s="76"/>
      <c r="AT187" s="76"/>
      <c r="AU187" s="76"/>
      <c r="AV187" s="76"/>
      <c r="AW187" s="76"/>
      <c r="AX187" s="76" t="b">
        <v>0</v>
      </c>
      <c r="AY187" s="76"/>
      <c r="AZ187" s="76"/>
      <c r="BA187" s="76" t="b">
        <v>0</v>
      </c>
      <c r="BB187" s="76" t="b">
        <v>0</v>
      </c>
      <c r="BC187" s="76" t="b">
        <v>1</v>
      </c>
      <c r="BD187" s="76" t="b">
        <v>0</v>
      </c>
      <c r="BE187" s="76" t="b">
        <v>1</v>
      </c>
      <c r="BF187" s="76" t="b">
        <v>0</v>
      </c>
      <c r="BG187" s="76" t="b">
        <v>0</v>
      </c>
      <c r="BH187" s="82" t="str">
        <f>HYPERLINK("https://pbs.twimg.com/profile_banners/2555667944/1477960657")</f>
        <v>https://pbs.twimg.com/profile_banners/2555667944/1477960657</v>
      </c>
      <c r="BI187" s="76"/>
      <c r="BJ187" s="76" t="s">
        <v>27595</v>
      </c>
      <c r="BK187" s="76" t="b">
        <v>0</v>
      </c>
      <c r="BL187" s="76"/>
      <c r="BM187" s="76" t="s">
        <v>66</v>
      </c>
      <c r="BN187" s="76" t="s">
        <v>27597</v>
      </c>
      <c r="BO187" s="82" t="str">
        <f>HYPERLINK("https://twitter.com/dan3636senda")</f>
        <v>https://twitter.com/dan3636senda</v>
      </c>
      <c r="BP187" s="2"/>
    </row>
    <row r="188" spans="1:68" x14ac:dyDescent="0.25">
      <c r="A188" s="62" t="s">
        <v>1313</v>
      </c>
      <c r="B188" s="63"/>
      <c r="C188" s="63"/>
      <c r="D188" s="64"/>
      <c r="E188" s="66"/>
      <c r="F188" s="103" t="str">
        <f>HYPERLINK("https://pbs.twimg.com/profile_images/1625157086563733505/oHecU7XH_normal.jpg")</f>
        <v>https://pbs.twimg.com/profile_images/1625157086563733505/oHecU7XH_normal.jpg</v>
      </c>
      <c r="G188" s="63"/>
      <c r="H188" s="67"/>
      <c r="I188" s="68"/>
      <c r="J188" s="68"/>
      <c r="K188" s="67" t="s">
        <v>27782</v>
      </c>
      <c r="L188" s="71"/>
      <c r="M188" s="72"/>
      <c r="N188" s="72"/>
      <c r="O188" s="73"/>
      <c r="P188" s="74"/>
      <c r="Q188" s="74"/>
      <c r="R188" s="87"/>
      <c r="S188" s="87"/>
      <c r="T188" s="87"/>
      <c r="U188" s="87"/>
      <c r="V188" s="48"/>
      <c r="W188" s="48"/>
      <c r="X188" s="48"/>
      <c r="Y188" s="48"/>
      <c r="Z188" s="47"/>
      <c r="AA188" s="69">
        <v>188</v>
      </c>
      <c r="AB188" s="69"/>
      <c r="AC188" s="70"/>
      <c r="AD188" s="76" t="s">
        <v>21433</v>
      </c>
      <c r="AE188" s="81" t="s">
        <v>23158</v>
      </c>
      <c r="AF188" s="76">
        <v>55948</v>
      </c>
      <c r="AG188" s="76">
        <v>1444</v>
      </c>
      <c r="AH188" s="76">
        <v>229161</v>
      </c>
      <c r="AI188" s="76">
        <v>829</v>
      </c>
      <c r="AJ188" s="76">
        <v>211</v>
      </c>
      <c r="AK188" s="76">
        <v>19373</v>
      </c>
      <c r="AL188" s="76" t="b">
        <v>0</v>
      </c>
      <c r="AM188" s="78">
        <v>40357.721875000003</v>
      </c>
      <c r="AN188" s="76" t="s">
        <v>24151</v>
      </c>
      <c r="AO188" s="76" t="s">
        <v>24875</v>
      </c>
      <c r="AP188" s="82" t="str">
        <f>HYPERLINK("https://t.co/Mb8PMAn8zU")</f>
        <v>https://t.co/Mb8PMAn8zU</v>
      </c>
      <c r="AQ188" s="82" t="str">
        <f>HYPERLINK("http://www.noticiasargentinas.com")</f>
        <v>http://www.noticiasargentinas.com</v>
      </c>
      <c r="AR188" s="76" t="s">
        <v>8828</v>
      </c>
      <c r="AS188" s="76"/>
      <c r="AT188" s="76"/>
      <c r="AU188" s="76"/>
      <c r="AV188" s="76"/>
      <c r="AW188" s="82" t="str">
        <f>HYPERLINK("https://t.co/Mb8PMAn8zU")</f>
        <v>https://t.co/Mb8PMAn8zU</v>
      </c>
      <c r="AX188" s="76" t="b">
        <v>0</v>
      </c>
      <c r="AY188" s="76"/>
      <c r="AZ188" s="76"/>
      <c r="BA188" s="76" t="b">
        <v>1</v>
      </c>
      <c r="BB188" s="76" t="b">
        <v>1</v>
      </c>
      <c r="BC188" s="76" t="b">
        <v>0</v>
      </c>
      <c r="BD188" s="76" t="b">
        <v>0</v>
      </c>
      <c r="BE188" s="76" t="b">
        <v>1</v>
      </c>
      <c r="BF188" s="76" t="b">
        <v>0</v>
      </c>
      <c r="BG188" s="76" t="b">
        <v>0</v>
      </c>
      <c r="BH188" s="82" t="str">
        <f>HYPERLINK("https://pbs.twimg.com/profile_banners/160609570/1692384925")</f>
        <v>https://pbs.twimg.com/profile_banners/160609570/1692384925</v>
      </c>
      <c r="BI188" s="76"/>
      <c r="BJ188" s="76" t="s">
        <v>27595</v>
      </c>
      <c r="BK188" s="76" t="b">
        <v>0</v>
      </c>
      <c r="BL188" s="76"/>
      <c r="BM188" s="76" t="s">
        <v>66</v>
      </c>
      <c r="BN188" s="76" t="s">
        <v>27597</v>
      </c>
      <c r="BO188" s="82" t="str">
        <f>HYPERLINK("https://twitter.com/naagencia")</f>
        <v>https://twitter.com/naagencia</v>
      </c>
      <c r="BP188" s="2"/>
    </row>
    <row r="189" spans="1:68" x14ac:dyDescent="0.25">
      <c r="A189" s="62" t="s">
        <v>353</v>
      </c>
      <c r="B189" s="63"/>
      <c r="C189" s="63"/>
      <c r="D189" s="64"/>
      <c r="E189" s="66"/>
      <c r="F189" s="103" t="str">
        <f>HYPERLINK("https://pbs.twimg.com/profile_images/1671937337687769091/yzdgs0Sf_normal.jpg")</f>
        <v>https://pbs.twimg.com/profile_images/1671937337687769091/yzdgs0Sf_normal.jpg</v>
      </c>
      <c r="G189" s="63"/>
      <c r="H189" s="67"/>
      <c r="I189" s="68"/>
      <c r="J189" s="68"/>
      <c r="K189" s="67" t="s">
        <v>27783</v>
      </c>
      <c r="L189" s="71"/>
      <c r="M189" s="72"/>
      <c r="N189" s="72"/>
      <c r="O189" s="73"/>
      <c r="P189" s="74"/>
      <c r="Q189" s="74"/>
      <c r="R189" s="87"/>
      <c r="S189" s="87"/>
      <c r="T189" s="87"/>
      <c r="U189" s="87"/>
      <c r="V189" s="48"/>
      <c r="W189" s="48"/>
      <c r="X189" s="48"/>
      <c r="Y189" s="48"/>
      <c r="Z189" s="47"/>
      <c r="AA189" s="69">
        <v>189</v>
      </c>
      <c r="AB189" s="69"/>
      <c r="AC189" s="70"/>
      <c r="AD189" s="76" t="s">
        <v>21434</v>
      </c>
      <c r="AE189" s="81" t="s">
        <v>20564</v>
      </c>
      <c r="AF189" s="76">
        <v>156</v>
      </c>
      <c r="AG189" s="76">
        <v>828</v>
      </c>
      <c r="AH189" s="76">
        <v>252</v>
      </c>
      <c r="AI189" s="76">
        <v>0</v>
      </c>
      <c r="AJ189" s="76">
        <v>37019</v>
      </c>
      <c r="AK189" s="76">
        <v>18</v>
      </c>
      <c r="AL189" s="76" t="b">
        <v>0</v>
      </c>
      <c r="AM189" s="78">
        <v>42855.182824074072</v>
      </c>
      <c r="AN189" s="76" t="s">
        <v>14382</v>
      </c>
      <c r="AO189" s="76" t="s">
        <v>24876</v>
      </c>
      <c r="AP189" s="82" t="str">
        <f>HYPERLINK("https://t.co/OeJFiHTQu8")</f>
        <v>https://t.co/OeJFiHTQu8</v>
      </c>
      <c r="AQ189" s="82" t="str">
        <f>HYPERLINK("https://linktr.ee/marlonklein")</f>
        <v>https://linktr.ee/marlonklein</v>
      </c>
      <c r="AR189" s="76" t="s">
        <v>26471</v>
      </c>
      <c r="AS189" s="76"/>
      <c r="AT189" s="76"/>
      <c r="AU189" s="76"/>
      <c r="AV189" s="76"/>
      <c r="AW189" s="82" t="str">
        <f>HYPERLINK("https://t.co/OeJFiHTQu8")</f>
        <v>https://t.co/OeJFiHTQu8</v>
      </c>
      <c r="AX189" s="76" t="b">
        <v>0</v>
      </c>
      <c r="AY189" s="76"/>
      <c r="AZ189" s="76"/>
      <c r="BA189" s="76" t="b">
        <v>0</v>
      </c>
      <c r="BB189" s="76" t="b">
        <v>1</v>
      </c>
      <c r="BC189" s="76" t="b">
        <v>1</v>
      </c>
      <c r="BD189" s="76" t="b">
        <v>0</v>
      </c>
      <c r="BE189" s="76" t="b">
        <v>0</v>
      </c>
      <c r="BF189" s="76" t="b">
        <v>0</v>
      </c>
      <c r="BG189" s="76" t="b">
        <v>0</v>
      </c>
      <c r="BH189" s="82" t="str">
        <f>HYPERLINK("https://pbs.twimg.com/profile_banners/858537209867247617/1687455911")</f>
        <v>https://pbs.twimg.com/profile_banners/858537209867247617/1687455911</v>
      </c>
      <c r="BI189" s="76"/>
      <c r="BJ189" s="76" t="s">
        <v>27595</v>
      </c>
      <c r="BK189" s="76" t="b">
        <v>0</v>
      </c>
      <c r="BL189" s="76"/>
      <c r="BM189" s="76" t="s">
        <v>66</v>
      </c>
      <c r="BN189" s="76" t="s">
        <v>27597</v>
      </c>
      <c r="BO189" s="82" t="str">
        <f>HYPERLINK("https://twitter.com/kleinmarlon_")</f>
        <v>https://twitter.com/kleinmarlon_</v>
      </c>
      <c r="BP189" s="2"/>
    </row>
    <row r="190" spans="1:68" x14ac:dyDescent="0.25">
      <c r="A190" s="62" t="s">
        <v>354</v>
      </c>
      <c r="B190" s="63"/>
      <c r="C190" s="63"/>
      <c r="D190" s="64"/>
      <c r="E190" s="66"/>
      <c r="F190" s="103" t="str">
        <f>HYPERLINK("https://pbs.twimg.com/profile_images/1572349390953627648/x1EuEBYW_normal.jpg")</f>
        <v>https://pbs.twimg.com/profile_images/1572349390953627648/x1EuEBYW_normal.jpg</v>
      </c>
      <c r="G190" s="63"/>
      <c r="H190" s="67"/>
      <c r="I190" s="68"/>
      <c r="J190" s="68"/>
      <c r="K190" s="67" t="s">
        <v>27784</v>
      </c>
      <c r="L190" s="71"/>
      <c r="M190" s="72"/>
      <c r="N190" s="72"/>
      <c r="O190" s="73"/>
      <c r="P190" s="74"/>
      <c r="Q190" s="74"/>
      <c r="R190" s="87"/>
      <c r="S190" s="87"/>
      <c r="T190" s="87"/>
      <c r="U190" s="87"/>
      <c r="V190" s="48"/>
      <c r="W190" s="48"/>
      <c r="X190" s="48"/>
      <c r="Y190" s="48"/>
      <c r="Z190" s="47"/>
      <c r="AA190" s="69">
        <v>190</v>
      </c>
      <c r="AB190" s="69"/>
      <c r="AC190" s="70"/>
      <c r="AD190" s="76" t="s">
        <v>21435</v>
      </c>
      <c r="AE190" s="81" t="s">
        <v>23159</v>
      </c>
      <c r="AF190" s="76">
        <v>1388</v>
      </c>
      <c r="AG190" s="76">
        <v>493</v>
      </c>
      <c r="AH190" s="76">
        <v>31749</v>
      </c>
      <c r="AI190" s="76">
        <v>2</v>
      </c>
      <c r="AJ190" s="76">
        <v>43484</v>
      </c>
      <c r="AK190" s="76">
        <v>13186</v>
      </c>
      <c r="AL190" s="76" t="b">
        <v>0</v>
      </c>
      <c r="AM190" s="78">
        <v>41888.922673611109</v>
      </c>
      <c r="AN190" s="76" t="s">
        <v>24152</v>
      </c>
      <c r="AO190" s="76" t="s">
        <v>24877</v>
      </c>
      <c r="AP190" s="76"/>
      <c r="AQ190" s="76"/>
      <c r="AR190" s="76"/>
      <c r="AS190" s="76"/>
      <c r="AT190" s="76"/>
      <c r="AU190" s="76"/>
      <c r="AV190" s="76">
        <v>1.28718518678707E+18</v>
      </c>
      <c r="AW190" s="76"/>
      <c r="AX190" s="76" t="b">
        <v>0</v>
      </c>
      <c r="AY190" s="76"/>
      <c r="AZ190" s="76"/>
      <c r="BA190" s="76" t="b">
        <v>1</v>
      </c>
      <c r="BB190" s="76" t="b">
        <v>0</v>
      </c>
      <c r="BC190" s="76" t="b">
        <v>0</v>
      </c>
      <c r="BD190" s="76" t="b">
        <v>0</v>
      </c>
      <c r="BE190" s="76" t="b">
        <v>0</v>
      </c>
      <c r="BF190" s="76" t="b">
        <v>0</v>
      </c>
      <c r="BG190" s="76" t="b">
        <v>0</v>
      </c>
      <c r="BH190" s="82" t="str">
        <f>HYPERLINK("https://pbs.twimg.com/profile_banners/2763468069/1490451375")</f>
        <v>https://pbs.twimg.com/profile_banners/2763468069/1490451375</v>
      </c>
      <c r="BI190" s="76"/>
      <c r="BJ190" s="76" t="s">
        <v>27595</v>
      </c>
      <c r="BK190" s="76" t="b">
        <v>0</v>
      </c>
      <c r="BL190" s="76"/>
      <c r="BM190" s="76" t="s">
        <v>66</v>
      </c>
      <c r="BN190" s="76" t="s">
        <v>27597</v>
      </c>
      <c r="BO190" s="82" t="str">
        <f>HYPERLINK("https://twitter.com/volvieron_peor")</f>
        <v>https://twitter.com/volvieron_peor</v>
      </c>
      <c r="BP190" s="2"/>
    </row>
    <row r="191" spans="1:68" x14ac:dyDescent="0.25">
      <c r="A191" s="62" t="s">
        <v>355</v>
      </c>
      <c r="B191" s="63"/>
      <c r="C191" s="63"/>
      <c r="D191" s="64"/>
      <c r="E191" s="66"/>
      <c r="F191" s="103" t="str">
        <f>HYPERLINK("https://pbs.twimg.com/profile_images/1689485197740564481/1-DabOgG_normal.jpg")</f>
        <v>https://pbs.twimg.com/profile_images/1689485197740564481/1-DabOgG_normal.jpg</v>
      </c>
      <c r="G191" s="63"/>
      <c r="H191" s="67"/>
      <c r="I191" s="68"/>
      <c r="J191" s="68"/>
      <c r="K191" s="67" t="s">
        <v>27785</v>
      </c>
      <c r="L191" s="71"/>
      <c r="M191" s="72"/>
      <c r="N191" s="72"/>
      <c r="O191" s="73"/>
      <c r="P191" s="74"/>
      <c r="Q191" s="74"/>
      <c r="R191" s="87"/>
      <c r="S191" s="87"/>
      <c r="T191" s="87"/>
      <c r="U191" s="87"/>
      <c r="V191" s="48"/>
      <c r="W191" s="48"/>
      <c r="X191" s="48"/>
      <c r="Y191" s="48"/>
      <c r="Z191" s="47"/>
      <c r="AA191" s="69">
        <v>191</v>
      </c>
      <c r="AB191" s="69"/>
      <c r="AC191" s="70"/>
      <c r="AD191" s="76" t="s">
        <v>21436</v>
      </c>
      <c r="AE191" s="81" t="s">
        <v>23160</v>
      </c>
      <c r="AF191" s="76">
        <v>2528</v>
      </c>
      <c r="AG191" s="76">
        <v>3606</v>
      </c>
      <c r="AH191" s="76">
        <v>42624</v>
      </c>
      <c r="AI191" s="76">
        <v>4</v>
      </c>
      <c r="AJ191" s="76">
        <v>16930</v>
      </c>
      <c r="AK191" s="76">
        <v>1341</v>
      </c>
      <c r="AL191" s="76" t="b">
        <v>0</v>
      </c>
      <c r="AM191" s="78">
        <v>41834.714745370373</v>
      </c>
      <c r="AN191" s="76"/>
      <c r="AO191" s="76"/>
      <c r="AP191" s="76"/>
      <c r="AQ191" s="76"/>
      <c r="AR191" s="76"/>
      <c r="AS191" s="76"/>
      <c r="AT191" s="76"/>
      <c r="AU191" s="76"/>
      <c r="AV191" s="76">
        <v>1.6680798840133199E+18</v>
      </c>
      <c r="AW191" s="76"/>
      <c r="AX191" s="76" t="b">
        <v>0</v>
      </c>
      <c r="AY191" s="76"/>
      <c r="AZ191" s="76"/>
      <c r="BA191" s="76" t="b">
        <v>0</v>
      </c>
      <c r="BB191" s="76" t="b">
        <v>0</v>
      </c>
      <c r="BC191" s="76" t="b">
        <v>1</v>
      </c>
      <c r="BD191" s="76" t="b">
        <v>0</v>
      </c>
      <c r="BE191" s="76" t="b">
        <v>1</v>
      </c>
      <c r="BF191" s="76" t="b">
        <v>0</v>
      </c>
      <c r="BG191" s="76" t="b">
        <v>0</v>
      </c>
      <c r="BH191" s="82" t="str">
        <f>HYPERLINK("https://pbs.twimg.com/profile_banners/2645975538/1655997200")</f>
        <v>https://pbs.twimg.com/profile_banners/2645975538/1655997200</v>
      </c>
      <c r="BI191" s="76"/>
      <c r="BJ191" s="76" t="s">
        <v>27595</v>
      </c>
      <c r="BK191" s="76" t="b">
        <v>0</v>
      </c>
      <c r="BL191" s="76"/>
      <c r="BM191" s="76" t="s">
        <v>66</v>
      </c>
      <c r="BN191" s="76" t="s">
        <v>27597</v>
      </c>
      <c r="BO191" s="82" t="str">
        <f>HYPERLINK("https://twitter.com/ny2ec")</f>
        <v>https://twitter.com/ny2ec</v>
      </c>
      <c r="BP191" s="2"/>
    </row>
    <row r="192" spans="1:68" x14ac:dyDescent="0.25">
      <c r="A192" s="62" t="s">
        <v>1538</v>
      </c>
      <c r="B192" s="63"/>
      <c r="C192" s="63"/>
      <c r="D192" s="64"/>
      <c r="E192" s="66"/>
      <c r="F192" s="103" t="str">
        <f>HYPERLINK("https://pbs.twimg.com/profile_images/529927799507652608/NTLeZSaX_normal.jpeg")</f>
        <v>https://pbs.twimg.com/profile_images/529927799507652608/NTLeZSaX_normal.jpeg</v>
      </c>
      <c r="G192" s="63"/>
      <c r="H192" s="67"/>
      <c r="I192" s="68"/>
      <c r="J192" s="68"/>
      <c r="K192" s="67" t="s">
        <v>27786</v>
      </c>
      <c r="L192" s="71"/>
      <c r="M192" s="72"/>
      <c r="N192" s="72"/>
      <c r="O192" s="73"/>
      <c r="P192" s="74"/>
      <c r="Q192" s="74"/>
      <c r="R192" s="87"/>
      <c r="S192" s="87"/>
      <c r="T192" s="87"/>
      <c r="U192" s="87"/>
      <c r="V192" s="48"/>
      <c r="W192" s="48"/>
      <c r="X192" s="48"/>
      <c r="Y192" s="48"/>
      <c r="Z192" s="47"/>
      <c r="AA192" s="69">
        <v>192</v>
      </c>
      <c r="AB192" s="69"/>
      <c r="AC192" s="70"/>
      <c r="AD192" s="76" t="s">
        <v>21437</v>
      </c>
      <c r="AE192" s="81" t="s">
        <v>23161</v>
      </c>
      <c r="AF192" s="76">
        <v>4065</v>
      </c>
      <c r="AG192" s="76">
        <v>10</v>
      </c>
      <c r="AH192" s="76">
        <v>818</v>
      </c>
      <c r="AI192" s="76">
        <v>24</v>
      </c>
      <c r="AJ192" s="76">
        <v>164</v>
      </c>
      <c r="AK192" s="76">
        <v>23</v>
      </c>
      <c r="AL192" s="76" t="b">
        <v>0</v>
      </c>
      <c r="AM192" s="78">
        <v>40946.666527777779</v>
      </c>
      <c r="AN192" s="76" t="s">
        <v>24153</v>
      </c>
      <c r="AO192" s="76" t="s">
        <v>24878</v>
      </c>
      <c r="AP192" s="82" t="str">
        <f>HYPERLINK("http://t.co/l3bc8IN6vD")</f>
        <v>http://t.co/l3bc8IN6vD</v>
      </c>
      <c r="AQ192" s="82" t="str">
        <f>HYPERLINK("http://www.claritoesta.com")</f>
        <v>http://www.claritoesta.com</v>
      </c>
      <c r="AR192" s="76" t="s">
        <v>26472</v>
      </c>
      <c r="AS192" s="76"/>
      <c r="AT192" s="76"/>
      <c r="AU192" s="76"/>
      <c r="AV192" s="76">
        <v>1.6534513790070001E+18</v>
      </c>
      <c r="AW192" s="82" t="str">
        <f>HYPERLINK("http://t.co/l3bc8IN6vD")</f>
        <v>http://t.co/l3bc8IN6vD</v>
      </c>
      <c r="AX192" s="76" t="b">
        <v>0</v>
      </c>
      <c r="AY192" s="76"/>
      <c r="AZ192" s="76"/>
      <c r="BA192" s="76" t="b">
        <v>0</v>
      </c>
      <c r="BB192" s="76" t="b">
        <v>1</v>
      </c>
      <c r="BC192" s="76" t="b">
        <v>0</v>
      </c>
      <c r="BD192" s="76" t="b">
        <v>0</v>
      </c>
      <c r="BE192" s="76" t="b">
        <v>0</v>
      </c>
      <c r="BF192" s="76" t="b">
        <v>0</v>
      </c>
      <c r="BG192" s="76" t="b">
        <v>0</v>
      </c>
      <c r="BH192" s="82" t="str">
        <f>HYPERLINK("https://pbs.twimg.com/profile_banners/485801670/1415181471")</f>
        <v>https://pbs.twimg.com/profile_banners/485801670/1415181471</v>
      </c>
      <c r="BI192" s="76"/>
      <c r="BJ192" s="76" t="s">
        <v>27595</v>
      </c>
      <c r="BK192" s="76" t="b">
        <v>0</v>
      </c>
      <c r="BL192" s="76"/>
      <c r="BM192" s="76" t="s">
        <v>66</v>
      </c>
      <c r="BN192" s="76" t="s">
        <v>27597</v>
      </c>
      <c r="BO192" s="82" t="str">
        <f>HYPERLINK("https://twitter.com/claritoesta")</f>
        <v>https://twitter.com/claritoesta</v>
      </c>
      <c r="BP192" s="2"/>
    </row>
    <row r="193" spans="1:68" x14ac:dyDescent="0.25">
      <c r="A193" s="62" t="s">
        <v>356</v>
      </c>
      <c r="B193" s="63"/>
      <c r="C193" s="63"/>
      <c r="D193" s="64"/>
      <c r="E193" s="66"/>
      <c r="F193" s="103" t="str">
        <f>HYPERLINK("https://pbs.twimg.com/profile_images/1656868581806678021/CHdSvSt-_normal.jpg")</f>
        <v>https://pbs.twimg.com/profile_images/1656868581806678021/CHdSvSt-_normal.jpg</v>
      </c>
      <c r="G193" s="63"/>
      <c r="H193" s="67"/>
      <c r="I193" s="68"/>
      <c r="J193" s="68"/>
      <c r="K193" s="67" t="s">
        <v>27787</v>
      </c>
      <c r="L193" s="71"/>
      <c r="M193" s="72"/>
      <c r="N193" s="72"/>
      <c r="O193" s="73"/>
      <c r="P193" s="74"/>
      <c r="Q193" s="74"/>
      <c r="R193" s="87"/>
      <c r="S193" s="87"/>
      <c r="T193" s="87"/>
      <c r="U193" s="87"/>
      <c r="V193" s="48"/>
      <c r="W193" s="48"/>
      <c r="X193" s="48"/>
      <c r="Y193" s="48"/>
      <c r="Z193" s="47"/>
      <c r="AA193" s="69">
        <v>193</v>
      </c>
      <c r="AB193" s="69"/>
      <c r="AC193" s="70"/>
      <c r="AD193" s="76" t="s">
        <v>21438</v>
      </c>
      <c r="AE193" s="81" t="s">
        <v>20226</v>
      </c>
      <c r="AF193" s="76">
        <v>75</v>
      </c>
      <c r="AG193" s="76">
        <v>287</v>
      </c>
      <c r="AH193" s="76">
        <v>1763</v>
      </c>
      <c r="AI193" s="76">
        <v>0</v>
      </c>
      <c r="AJ193" s="76">
        <v>1405</v>
      </c>
      <c r="AK193" s="76">
        <v>458</v>
      </c>
      <c r="AL193" s="76" t="b">
        <v>0</v>
      </c>
      <c r="AM193" s="78">
        <v>45058.10224537037</v>
      </c>
      <c r="AN193" s="76" t="s">
        <v>14382</v>
      </c>
      <c r="AO193" s="76" t="s">
        <v>24879</v>
      </c>
      <c r="AP193" s="76"/>
      <c r="AQ193" s="76"/>
      <c r="AR193" s="76"/>
      <c r="AS193" s="76"/>
      <c r="AT193" s="76"/>
      <c r="AU193" s="76"/>
      <c r="AV193" s="76"/>
      <c r="AW193" s="76"/>
      <c r="AX193" s="76" t="b">
        <v>1</v>
      </c>
      <c r="AY193" s="76"/>
      <c r="AZ193" s="76"/>
      <c r="BA193" s="76" t="b">
        <v>0</v>
      </c>
      <c r="BB193" s="76" t="b">
        <v>1</v>
      </c>
      <c r="BC193" s="76" t="b">
        <v>1</v>
      </c>
      <c r="BD193" s="76" t="b">
        <v>0</v>
      </c>
      <c r="BE193" s="76" t="b">
        <v>0</v>
      </c>
      <c r="BF193" s="76" t="b">
        <v>0</v>
      </c>
      <c r="BG193" s="76" t="b">
        <v>0</v>
      </c>
      <c r="BH193" s="82" t="str">
        <f>HYPERLINK("https://pbs.twimg.com/profile_banners/1656848433104257025/1683871258")</f>
        <v>https://pbs.twimg.com/profile_banners/1656848433104257025/1683871258</v>
      </c>
      <c r="BI193" s="76"/>
      <c r="BJ193" s="76" t="s">
        <v>27595</v>
      </c>
      <c r="BK193" s="76" t="b">
        <v>0</v>
      </c>
      <c r="BL193" s="76"/>
      <c r="BM193" s="76" t="s">
        <v>66</v>
      </c>
      <c r="BN193" s="76" t="s">
        <v>27597</v>
      </c>
      <c r="BO193" s="82" t="str">
        <f>HYPERLINK("https://twitter.com/speedybriefing")</f>
        <v>https://twitter.com/speedybriefing</v>
      </c>
      <c r="BP193" s="2"/>
    </row>
    <row r="194" spans="1:68" x14ac:dyDescent="0.25">
      <c r="A194" s="62" t="s">
        <v>357</v>
      </c>
      <c r="B194" s="63"/>
      <c r="C194" s="63"/>
      <c r="D194" s="64"/>
      <c r="E194" s="66"/>
      <c r="F194" s="103" t="str">
        <f>HYPERLINK("https://pbs.twimg.com/profile_images/1435243868413468672/gG-kSD5Z_normal.jpg")</f>
        <v>https://pbs.twimg.com/profile_images/1435243868413468672/gG-kSD5Z_normal.jpg</v>
      </c>
      <c r="G194" s="63"/>
      <c r="H194" s="67"/>
      <c r="I194" s="68"/>
      <c r="J194" s="68"/>
      <c r="K194" s="67" t="s">
        <v>27788</v>
      </c>
      <c r="L194" s="71"/>
      <c r="M194" s="72"/>
      <c r="N194" s="72"/>
      <c r="O194" s="73"/>
      <c r="P194" s="74"/>
      <c r="Q194" s="74"/>
      <c r="R194" s="87"/>
      <c r="S194" s="87"/>
      <c r="T194" s="87"/>
      <c r="U194" s="87"/>
      <c r="V194" s="48"/>
      <c r="W194" s="48"/>
      <c r="X194" s="48"/>
      <c r="Y194" s="48"/>
      <c r="Z194" s="47"/>
      <c r="AA194" s="69">
        <v>194</v>
      </c>
      <c r="AB194" s="69"/>
      <c r="AC194" s="70"/>
      <c r="AD194" s="76" t="s">
        <v>21439</v>
      </c>
      <c r="AE194" s="81" t="s">
        <v>20565</v>
      </c>
      <c r="AF194" s="76">
        <v>39</v>
      </c>
      <c r="AG194" s="76">
        <v>128</v>
      </c>
      <c r="AH194" s="76">
        <v>1542</v>
      </c>
      <c r="AI194" s="76">
        <v>0</v>
      </c>
      <c r="AJ194" s="76">
        <v>846</v>
      </c>
      <c r="AK194" s="76">
        <v>718</v>
      </c>
      <c r="AL194" s="76" t="b">
        <v>0</v>
      </c>
      <c r="AM194" s="78">
        <v>43118.5312962963</v>
      </c>
      <c r="AN194" s="76"/>
      <c r="AO194" s="76"/>
      <c r="AP194" s="76"/>
      <c r="AQ194" s="76"/>
      <c r="AR194" s="76"/>
      <c r="AS194" s="76"/>
      <c r="AT194" s="76"/>
      <c r="AU194" s="76"/>
      <c r="AV194" s="76"/>
      <c r="AW194" s="76"/>
      <c r="AX194" s="76" t="b">
        <v>0</v>
      </c>
      <c r="AY194" s="76"/>
      <c r="AZ194" s="76"/>
      <c r="BA194" s="76" t="b">
        <v>0</v>
      </c>
      <c r="BB194" s="76" t="b">
        <v>1</v>
      </c>
      <c r="BC194" s="76" t="b">
        <v>1</v>
      </c>
      <c r="BD194" s="76" t="b">
        <v>0</v>
      </c>
      <c r="BE194" s="76" t="b">
        <v>1</v>
      </c>
      <c r="BF194" s="76" t="b">
        <v>0</v>
      </c>
      <c r="BG194" s="76" t="b">
        <v>0</v>
      </c>
      <c r="BH194" s="82" t="str">
        <f>HYPERLINK("https://pbs.twimg.com/profile_banners/953971502231293954/1631023885")</f>
        <v>https://pbs.twimg.com/profile_banners/953971502231293954/1631023885</v>
      </c>
      <c r="BI194" s="76"/>
      <c r="BJ194" s="76" t="s">
        <v>27595</v>
      </c>
      <c r="BK194" s="76" t="b">
        <v>0</v>
      </c>
      <c r="BL194" s="76"/>
      <c r="BM194" s="76" t="s">
        <v>66</v>
      </c>
      <c r="BN194" s="76" t="s">
        <v>27597</v>
      </c>
      <c r="BO194" s="82" t="str">
        <f>HYPERLINK("https://twitter.com/edemilo")</f>
        <v>https://twitter.com/edemilo</v>
      </c>
      <c r="BP194" s="2"/>
    </row>
    <row r="195" spans="1:68" x14ac:dyDescent="0.25">
      <c r="A195" s="62" t="s">
        <v>1730</v>
      </c>
      <c r="B195" s="63"/>
      <c r="C195" s="63"/>
      <c r="D195" s="64"/>
      <c r="E195" s="66"/>
      <c r="F195" s="103" t="str">
        <f>HYPERLINK("https://pbs.twimg.com/profile_images/1605641193299316736/OrMKGf0K_normal.jpg")</f>
        <v>https://pbs.twimg.com/profile_images/1605641193299316736/OrMKGf0K_normal.jpg</v>
      </c>
      <c r="G195" s="63"/>
      <c r="H195" s="67"/>
      <c r="I195" s="68"/>
      <c r="J195" s="68"/>
      <c r="K195" s="67" t="s">
        <v>27789</v>
      </c>
      <c r="L195" s="71"/>
      <c r="M195" s="72"/>
      <c r="N195" s="72"/>
      <c r="O195" s="73"/>
      <c r="P195" s="74"/>
      <c r="Q195" s="74"/>
      <c r="R195" s="87"/>
      <c r="S195" s="87"/>
      <c r="T195" s="87"/>
      <c r="U195" s="87"/>
      <c r="V195" s="48"/>
      <c r="W195" s="48"/>
      <c r="X195" s="48"/>
      <c r="Y195" s="48"/>
      <c r="Z195" s="47"/>
      <c r="AA195" s="69">
        <v>195</v>
      </c>
      <c r="AB195" s="69"/>
      <c r="AC195" s="70"/>
      <c r="AD195" s="76" t="s">
        <v>21440</v>
      </c>
      <c r="AE195" s="81" t="s">
        <v>23162</v>
      </c>
      <c r="AF195" s="76">
        <v>3978957</v>
      </c>
      <c r="AG195" s="76">
        <v>240</v>
      </c>
      <c r="AH195" s="76">
        <v>514340</v>
      </c>
      <c r="AI195" s="76">
        <v>10978</v>
      </c>
      <c r="AJ195" s="76">
        <v>430</v>
      </c>
      <c r="AK195" s="76">
        <v>353439</v>
      </c>
      <c r="AL195" s="76" t="b">
        <v>0</v>
      </c>
      <c r="AM195" s="78">
        <v>39924.765092592592</v>
      </c>
      <c r="AN195" s="76" t="s">
        <v>14385</v>
      </c>
      <c r="AO195" s="76" t="s">
        <v>24880</v>
      </c>
      <c r="AP195" s="82" t="str">
        <f>HYPERLINK("https://t.co/WavER2vjwZ")</f>
        <v>https://t.co/WavER2vjwZ</v>
      </c>
      <c r="AQ195" s="82" t="str">
        <f>HYPERLINK("http://lanacion.com.ar")</f>
        <v>http://lanacion.com.ar</v>
      </c>
      <c r="AR195" s="76" t="s">
        <v>26473</v>
      </c>
      <c r="AS195" s="82" t="str">
        <f>HYPERLINK("https://t.co/jVcPj6smhw")</f>
        <v>https://t.co/jVcPj6smhw</v>
      </c>
      <c r="AT195" s="82" t="str">
        <f>HYPERLINK("http://bit.ly/3kYTs3i")</f>
        <v>http://bit.ly/3kYTs3i</v>
      </c>
      <c r="AU195" s="76" t="s">
        <v>27459</v>
      </c>
      <c r="AV195" s="76"/>
      <c r="AW195" s="82" t="str">
        <f>HYPERLINK("https://t.co/WavER2vjwZ")</f>
        <v>https://t.co/WavER2vjwZ</v>
      </c>
      <c r="AX195" s="76" t="b">
        <v>1</v>
      </c>
      <c r="AY195" s="76"/>
      <c r="AZ195" s="76"/>
      <c r="BA195" s="76" t="b">
        <v>0</v>
      </c>
      <c r="BB195" s="76" t="b">
        <v>1</v>
      </c>
      <c r="BC195" s="76" t="b">
        <v>0</v>
      </c>
      <c r="BD195" s="76" t="b">
        <v>0</v>
      </c>
      <c r="BE195" s="76" t="b">
        <v>1</v>
      </c>
      <c r="BF195" s="76" t="b">
        <v>0</v>
      </c>
      <c r="BG195" s="76" t="b">
        <v>0</v>
      </c>
      <c r="BH195" s="82" t="str">
        <f>HYPERLINK("https://pbs.twimg.com/profile_banners/33989170/1679495032")</f>
        <v>https://pbs.twimg.com/profile_banners/33989170/1679495032</v>
      </c>
      <c r="BI195" s="76"/>
      <c r="BJ195" s="76" t="s">
        <v>27595</v>
      </c>
      <c r="BK195" s="76" t="b">
        <v>0</v>
      </c>
      <c r="BL195" s="76"/>
      <c r="BM195" s="76" t="s">
        <v>65</v>
      </c>
      <c r="BN195" s="76" t="s">
        <v>27597</v>
      </c>
      <c r="BO195" s="82" t="str">
        <f>HYPERLINK("https://twitter.com/lanacion")</f>
        <v>https://twitter.com/lanacion</v>
      </c>
      <c r="BP195" s="2"/>
    </row>
    <row r="196" spans="1:68" x14ac:dyDescent="0.25">
      <c r="A196" s="62" t="s">
        <v>358</v>
      </c>
      <c r="B196" s="63"/>
      <c r="C196" s="63"/>
      <c r="D196" s="64"/>
      <c r="E196" s="66"/>
      <c r="F196" s="103" t="str">
        <f>HYPERLINK("https://pbs.twimg.com/profile_images/674695915773542400/gR8V_Fcn_normal.jpg")</f>
        <v>https://pbs.twimg.com/profile_images/674695915773542400/gR8V_Fcn_normal.jpg</v>
      </c>
      <c r="G196" s="63"/>
      <c r="H196" s="67"/>
      <c r="I196" s="68"/>
      <c r="J196" s="68"/>
      <c r="K196" s="67" t="s">
        <v>27790</v>
      </c>
      <c r="L196" s="71"/>
      <c r="M196" s="72"/>
      <c r="N196" s="72"/>
      <c r="O196" s="73"/>
      <c r="P196" s="74"/>
      <c r="Q196" s="74"/>
      <c r="R196" s="87"/>
      <c r="S196" s="87"/>
      <c r="T196" s="87"/>
      <c r="U196" s="87"/>
      <c r="V196" s="48"/>
      <c r="W196" s="48"/>
      <c r="X196" s="48"/>
      <c r="Y196" s="48"/>
      <c r="Z196" s="47"/>
      <c r="AA196" s="69">
        <v>196</v>
      </c>
      <c r="AB196" s="69"/>
      <c r="AC196" s="70"/>
      <c r="AD196" s="76" t="s">
        <v>21441</v>
      </c>
      <c r="AE196" s="81" t="s">
        <v>23163</v>
      </c>
      <c r="AF196" s="76">
        <v>726</v>
      </c>
      <c r="AG196" s="76">
        <v>421</v>
      </c>
      <c r="AH196" s="76">
        <v>29412</v>
      </c>
      <c r="AI196" s="76">
        <v>23</v>
      </c>
      <c r="AJ196" s="76">
        <v>14325</v>
      </c>
      <c r="AK196" s="76">
        <v>81</v>
      </c>
      <c r="AL196" s="76" t="b">
        <v>0</v>
      </c>
      <c r="AM196" s="78">
        <v>42335.431342592594</v>
      </c>
      <c r="AN196" s="76" t="s">
        <v>24154</v>
      </c>
      <c r="AO196" s="76" t="s">
        <v>24881</v>
      </c>
      <c r="AP196" s="82" t="str">
        <f>HYPERLINK("https://t.co/96EzXGZlkd")</f>
        <v>https://t.co/96EzXGZlkd</v>
      </c>
      <c r="AQ196" s="82" t="str">
        <f>HYPERLINK("https://www.e-global.pt")</f>
        <v>https://www.e-global.pt</v>
      </c>
      <c r="AR196" s="76" t="s">
        <v>8647</v>
      </c>
      <c r="AS196" s="76"/>
      <c r="AT196" s="76"/>
      <c r="AU196" s="76"/>
      <c r="AV196" s="76"/>
      <c r="AW196" s="82" t="str">
        <f>HYPERLINK("https://t.co/96EzXGZlkd")</f>
        <v>https://t.co/96EzXGZlkd</v>
      </c>
      <c r="AX196" s="76" t="b">
        <v>0</v>
      </c>
      <c r="AY196" s="76"/>
      <c r="AZ196" s="76"/>
      <c r="BA196" s="76" t="b">
        <v>1</v>
      </c>
      <c r="BB196" s="76" t="b">
        <v>0</v>
      </c>
      <c r="BC196" s="76" t="b">
        <v>0</v>
      </c>
      <c r="BD196" s="76" t="b">
        <v>0</v>
      </c>
      <c r="BE196" s="76" t="b">
        <v>0</v>
      </c>
      <c r="BF196" s="76" t="b">
        <v>0</v>
      </c>
      <c r="BG196" s="76" t="b">
        <v>0</v>
      </c>
      <c r="BH196" s="82" t="str">
        <f>HYPERLINK("https://pbs.twimg.com/profile_banners/4295131347/1454696925")</f>
        <v>https://pbs.twimg.com/profile_banners/4295131347/1454696925</v>
      </c>
      <c r="BI196" s="76"/>
      <c r="BJ196" s="76" t="s">
        <v>27595</v>
      </c>
      <c r="BK196" s="76" t="b">
        <v>0</v>
      </c>
      <c r="BL196" s="76"/>
      <c r="BM196" s="76" t="s">
        <v>66</v>
      </c>
      <c r="BN196" s="76" t="s">
        <v>27597</v>
      </c>
      <c r="BO196" s="82" t="str">
        <f>HYPERLINK("https://twitter.com/e_gnop")</f>
        <v>https://twitter.com/e_gnop</v>
      </c>
      <c r="BP196" s="2"/>
    </row>
    <row r="197" spans="1:68" x14ac:dyDescent="0.25">
      <c r="A197" s="62" t="s">
        <v>359</v>
      </c>
      <c r="B197" s="63"/>
      <c r="C197" s="63"/>
      <c r="D197" s="64"/>
      <c r="E197" s="66"/>
      <c r="F197" s="103" t="str">
        <f>HYPERLINK("https://pbs.twimg.com/profile_images/1674890323326128128/SJXVp4hL_normal.jpg")</f>
        <v>https://pbs.twimg.com/profile_images/1674890323326128128/SJXVp4hL_normal.jpg</v>
      </c>
      <c r="G197" s="63"/>
      <c r="H197" s="67"/>
      <c r="I197" s="68"/>
      <c r="J197" s="68"/>
      <c r="K197" s="67" t="s">
        <v>27791</v>
      </c>
      <c r="L197" s="71"/>
      <c r="M197" s="72"/>
      <c r="N197" s="72"/>
      <c r="O197" s="73"/>
      <c r="P197" s="74"/>
      <c r="Q197" s="74"/>
      <c r="R197" s="87"/>
      <c r="S197" s="87"/>
      <c r="T197" s="87"/>
      <c r="U197" s="87"/>
      <c r="V197" s="48"/>
      <c r="W197" s="48"/>
      <c r="X197" s="48"/>
      <c r="Y197" s="48"/>
      <c r="Z197" s="47"/>
      <c r="AA197" s="69">
        <v>197</v>
      </c>
      <c r="AB197" s="69"/>
      <c r="AC197" s="70"/>
      <c r="AD197" s="76" t="s">
        <v>21442</v>
      </c>
      <c r="AE197" s="81" t="s">
        <v>20227</v>
      </c>
      <c r="AF197" s="76">
        <v>3110</v>
      </c>
      <c r="AG197" s="76">
        <v>53</v>
      </c>
      <c r="AH197" s="76">
        <v>4697</v>
      </c>
      <c r="AI197" s="76">
        <v>42</v>
      </c>
      <c r="AJ197" s="76">
        <v>445</v>
      </c>
      <c r="AK197" s="76">
        <v>2150</v>
      </c>
      <c r="AL197" s="76" t="b">
        <v>0</v>
      </c>
      <c r="AM197" s="78">
        <v>42264.719884259262</v>
      </c>
      <c r="AN197" s="76" t="s">
        <v>14400</v>
      </c>
      <c r="AO197" s="76" t="s">
        <v>24882</v>
      </c>
      <c r="AP197" s="82" t="str">
        <f>HYPERLINK("https://t.co/N7sr51yefY")</f>
        <v>https://t.co/N7sr51yefY</v>
      </c>
      <c r="AQ197" s="82" t="str">
        <f>HYPERLINK("http://www.riobravo.com.br")</f>
        <v>http://www.riobravo.com.br</v>
      </c>
      <c r="AR197" s="76" t="s">
        <v>26474</v>
      </c>
      <c r="AS197" s="76"/>
      <c r="AT197" s="76"/>
      <c r="AU197" s="76"/>
      <c r="AV197" s="76"/>
      <c r="AW197" s="82" t="str">
        <f>HYPERLINK("https://t.co/N7sr51yefY")</f>
        <v>https://t.co/N7sr51yefY</v>
      </c>
      <c r="AX197" s="76" t="b">
        <v>0</v>
      </c>
      <c r="AY197" s="76"/>
      <c r="AZ197" s="76"/>
      <c r="BA197" s="76" t="b">
        <v>1</v>
      </c>
      <c r="BB197" s="76" t="b">
        <v>1</v>
      </c>
      <c r="BC197" s="76" t="b">
        <v>0</v>
      </c>
      <c r="BD197" s="76" t="b">
        <v>0</v>
      </c>
      <c r="BE197" s="76" t="b">
        <v>0</v>
      </c>
      <c r="BF197" s="76" t="b">
        <v>0</v>
      </c>
      <c r="BG197" s="76" t="b">
        <v>0</v>
      </c>
      <c r="BH197" s="82" t="str">
        <f>HYPERLINK("https://pbs.twimg.com/profile_banners/3687841756/1654030569")</f>
        <v>https://pbs.twimg.com/profile_banners/3687841756/1654030569</v>
      </c>
      <c r="BI197" s="76"/>
      <c r="BJ197" s="76" t="s">
        <v>27595</v>
      </c>
      <c r="BK197" s="76" t="b">
        <v>0</v>
      </c>
      <c r="BL197" s="76"/>
      <c r="BM197" s="76" t="s">
        <v>66</v>
      </c>
      <c r="BN197" s="76" t="s">
        <v>27597</v>
      </c>
      <c r="BO197" s="82" t="str">
        <f>HYPERLINK("https://twitter.com/rio_bravo")</f>
        <v>https://twitter.com/rio_bravo</v>
      </c>
      <c r="BP197" s="2"/>
    </row>
    <row r="198" spans="1:68" x14ac:dyDescent="0.25">
      <c r="A198" s="62" t="s">
        <v>360</v>
      </c>
      <c r="B198" s="63"/>
      <c r="C198" s="63"/>
      <c r="D198" s="64"/>
      <c r="E198" s="66"/>
      <c r="F198" s="103" t="str">
        <f>HYPERLINK("https://pbs.twimg.com/profile_images/1477829490357248008/_ONo6vMo_normal.jpg")</f>
        <v>https://pbs.twimg.com/profile_images/1477829490357248008/_ONo6vMo_normal.jpg</v>
      </c>
      <c r="G198" s="63"/>
      <c r="H198" s="67"/>
      <c r="I198" s="68"/>
      <c r="J198" s="68"/>
      <c r="K198" s="67" t="s">
        <v>27792</v>
      </c>
      <c r="L198" s="71"/>
      <c r="M198" s="72"/>
      <c r="N198" s="72"/>
      <c r="O198" s="73"/>
      <c r="P198" s="74"/>
      <c r="Q198" s="74"/>
      <c r="R198" s="87"/>
      <c r="S198" s="87"/>
      <c r="T198" s="87"/>
      <c r="U198" s="87"/>
      <c r="V198" s="48"/>
      <c r="W198" s="48"/>
      <c r="X198" s="48"/>
      <c r="Y198" s="48"/>
      <c r="Z198" s="47"/>
      <c r="AA198" s="69">
        <v>198</v>
      </c>
      <c r="AB198" s="69"/>
      <c r="AC198" s="70"/>
      <c r="AD198" s="76" t="s">
        <v>21443</v>
      </c>
      <c r="AE198" s="81" t="s">
        <v>20566</v>
      </c>
      <c r="AF198" s="76">
        <v>799</v>
      </c>
      <c r="AG198" s="76">
        <v>485</v>
      </c>
      <c r="AH198" s="76">
        <v>3152</v>
      </c>
      <c r="AI198" s="76">
        <v>1</v>
      </c>
      <c r="AJ198" s="76">
        <v>6322</v>
      </c>
      <c r="AK198" s="76">
        <v>274</v>
      </c>
      <c r="AL198" s="76" t="b">
        <v>0</v>
      </c>
      <c r="AM198" s="78">
        <v>44323.735729166663</v>
      </c>
      <c r="AN198" s="76" t="s">
        <v>14490</v>
      </c>
      <c r="AO198" s="76" t="s">
        <v>24883</v>
      </c>
      <c r="AP198" s="76"/>
      <c r="AQ198" s="76"/>
      <c r="AR198" s="76"/>
      <c r="AS198" s="76"/>
      <c r="AT198" s="76"/>
      <c r="AU198" s="76"/>
      <c r="AV198" s="76">
        <v>1.4870732002363699E+18</v>
      </c>
      <c r="AW198" s="76"/>
      <c r="AX198" s="76" t="b">
        <v>0</v>
      </c>
      <c r="AY198" s="76"/>
      <c r="AZ198" s="76"/>
      <c r="BA198" s="76" t="b">
        <v>0</v>
      </c>
      <c r="BB198" s="76" t="b">
        <v>1</v>
      </c>
      <c r="BC198" s="76" t="b">
        <v>1</v>
      </c>
      <c r="BD198" s="76" t="b">
        <v>0</v>
      </c>
      <c r="BE198" s="76" t="b">
        <v>0</v>
      </c>
      <c r="BF198" s="76" t="b">
        <v>0</v>
      </c>
      <c r="BG198" s="76" t="b">
        <v>0</v>
      </c>
      <c r="BH198" s="82" t="str">
        <f>HYPERLINK("https://pbs.twimg.com/profile_banners/1390722922365558789/1622126619")</f>
        <v>https://pbs.twimg.com/profile_banners/1390722922365558789/1622126619</v>
      </c>
      <c r="BI198" s="76"/>
      <c r="BJ198" s="76" t="s">
        <v>27595</v>
      </c>
      <c r="BK198" s="76" t="b">
        <v>0</v>
      </c>
      <c r="BL198" s="76"/>
      <c r="BM198" s="76" t="s">
        <v>66</v>
      </c>
      <c r="BN198" s="76" t="s">
        <v>27597</v>
      </c>
      <c r="BO198" s="82" t="str">
        <f>HYPERLINK("https://twitter.com/_rafaelsales")</f>
        <v>https://twitter.com/_rafaelsales</v>
      </c>
      <c r="BP198" s="2"/>
    </row>
    <row r="199" spans="1:68" x14ac:dyDescent="0.25">
      <c r="A199" s="62" t="s">
        <v>361</v>
      </c>
      <c r="B199" s="63"/>
      <c r="C199" s="63"/>
      <c r="D199" s="64"/>
      <c r="E199" s="66"/>
      <c r="F199" s="103" t="str">
        <f>HYPERLINK("https://pbs.twimg.com/profile_images/1518546307870339072/faobktri_normal.jpg")</f>
        <v>https://pbs.twimg.com/profile_images/1518546307870339072/faobktri_normal.jpg</v>
      </c>
      <c r="G199" s="63"/>
      <c r="H199" s="67"/>
      <c r="I199" s="68"/>
      <c r="J199" s="68"/>
      <c r="K199" s="67" t="s">
        <v>27793</v>
      </c>
      <c r="L199" s="71"/>
      <c r="M199" s="72"/>
      <c r="N199" s="72"/>
      <c r="O199" s="73"/>
      <c r="P199" s="74"/>
      <c r="Q199" s="74"/>
      <c r="R199" s="87"/>
      <c r="S199" s="87"/>
      <c r="T199" s="87"/>
      <c r="U199" s="87"/>
      <c r="V199" s="48"/>
      <c r="W199" s="48"/>
      <c r="X199" s="48"/>
      <c r="Y199" s="48"/>
      <c r="Z199" s="47"/>
      <c r="AA199" s="69">
        <v>199</v>
      </c>
      <c r="AB199" s="69"/>
      <c r="AC199" s="70"/>
      <c r="AD199" s="76" t="s">
        <v>21444</v>
      </c>
      <c r="AE199" s="81" t="s">
        <v>20567</v>
      </c>
      <c r="AF199" s="76">
        <v>7</v>
      </c>
      <c r="AG199" s="76">
        <v>18</v>
      </c>
      <c r="AH199" s="76">
        <v>4482</v>
      </c>
      <c r="AI199" s="76">
        <v>0</v>
      </c>
      <c r="AJ199" s="76">
        <v>4191</v>
      </c>
      <c r="AK199" s="76">
        <v>26</v>
      </c>
      <c r="AL199" s="76" t="b">
        <v>0</v>
      </c>
      <c r="AM199" s="78">
        <v>44676.432974537034</v>
      </c>
      <c r="AN199" s="76" t="s">
        <v>24155</v>
      </c>
      <c r="AO199" s="76" t="s">
        <v>24884</v>
      </c>
      <c r="AP199" s="76"/>
      <c r="AQ199" s="76"/>
      <c r="AR199" s="76"/>
      <c r="AS199" s="76"/>
      <c r="AT199" s="76"/>
      <c r="AU199" s="76"/>
      <c r="AV199" s="76"/>
      <c r="AW199" s="76"/>
      <c r="AX199" s="76" t="b">
        <v>0</v>
      </c>
      <c r="AY199" s="76"/>
      <c r="AZ199" s="76"/>
      <c r="BA199" s="76" t="b">
        <v>0</v>
      </c>
      <c r="BB199" s="76" t="b">
        <v>1</v>
      </c>
      <c r="BC199" s="76" t="b">
        <v>1</v>
      </c>
      <c r="BD199" s="76" t="b">
        <v>0</v>
      </c>
      <c r="BE199" s="76" t="b">
        <v>0</v>
      </c>
      <c r="BF199" s="76" t="b">
        <v>0</v>
      </c>
      <c r="BG199" s="76" t="b">
        <v>0</v>
      </c>
      <c r="BH199" s="76"/>
      <c r="BI199" s="76"/>
      <c r="BJ199" s="76" t="s">
        <v>27595</v>
      </c>
      <c r="BK199" s="76" t="b">
        <v>0</v>
      </c>
      <c r="BL199" s="76"/>
      <c r="BM199" s="76" t="s">
        <v>66</v>
      </c>
      <c r="BN199" s="76" t="s">
        <v>27597</v>
      </c>
      <c r="BO199" s="82" t="str">
        <f>HYPERLINK("https://twitter.com/tedeschidr")</f>
        <v>https://twitter.com/tedeschidr</v>
      </c>
      <c r="BP199" s="2"/>
    </row>
    <row r="200" spans="1:68" x14ac:dyDescent="0.25">
      <c r="A200" s="62" t="s">
        <v>362</v>
      </c>
      <c r="B200" s="63"/>
      <c r="C200" s="63"/>
      <c r="D200" s="64"/>
      <c r="E200" s="66"/>
      <c r="F200" s="103" t="str">
        <f>HYPERLINK("https://pbs.twimg.com/profile_images/1182034731132751872/LPfhkLI6_normal.png")</f>
        <v>https://pbs.twimg.com/profile_images/1182034731132751872/LPfhkLI6_normal.png</v>
      </c>
      <c r="G200" s="63"/>
      <c r="H200" s="67"/>
      <c r="I200" s="68"/>
      <c r="J200" s="68"/>
      <c r="K200" s="67" t="s">
        <v>27794</v>
      </c>
      <c r="L200" s="71"/>
      <c r="M200" s="72"/>
      <c r="N200" s="72"/>
      <c r="O200" s="73"/>
      <c r="P200" s="74"/>
      <c r="Q200" s="74"/>
      <c r="R200" s="87"/>
      <c r="S200" s="87"/>
      <c r="T200" s="87"/>
      <c r="U200" s="87"/>
      <c r="V200" s="48"/>
      <c r="W200" s="48"/>
      <c r="X200" s="48"/>
      <c r="Y200" s="48"/>
      <c r="Z200" s="47"/>
      <c r="AA200" s="69">
        <v>200</v>
      </c>
      <c r="AB200" s="69"/>
      <c r="AC200" s="70"/>
      <c r="AD200" s="76" t="s">
        <v>21445</v>
      </c>
      <c r="AE200" s="81" t="s">
        <v>20568</v>
      </c>
      <c r="AF200" s="76">
        <v>820</v>
      </c>
      <c r="AG200" s="76">
        <v>2007</v>
      </c>
      <c r="AH200" s="76">
        <v>2832</v>
      </c>
      <c r="AI200" s="76">
        <v>4</v>
      </c>
      <c r="AJ200" s="76">
        <v>70</v>
      </c>
      <c r="AK200" s="76">
        <v>6</v>
      </c>
      <c r="AL200" s="76" t="b">
        <v>0</v>
      </c>
      <c r="AM200" s="78">
        <v>43682.750347222223</v>
      </c>
      <c r="AN200" s="76"/>
      <c r="AO200" s="76" t="s">
        <v>24885</v>
      </c>
      <c r="AP200" s="76"/>
      <c r="AQ200" s="76"/>
      <c r="AR200" s="76"/>
      <c r="AS200" s="76"/>
      <c r="AT200" s="76"/>
      <c r="AU200" s="76"/>
      <c r="AV200" s="76"/>
      <c r="AW200" s="76"/>
      <c r="AX200" s="76" t="b">
        <v>0</v>
      </c>
      <c r="AY200" s="76"/>
      <c r="AZ200" s="76"/>
      <c r="BA200" s="76" t="b">
        <v>0</v>
      </c>
      <c r="BB200" s="76" t="b">
        <v>1</v>
      </c>
      <c r="BC200" s="76" t="b">
        <v>1</v>
      </c>
      <c r="BD200" s="76" t="b">
        <v>0</v>
      </c>
      <c r="BE200" s="76" t="b">
        <v>1</v>
      </c>
      <c r="BF200" s="76" t="b">
        <v>0</v>
      </c>
      <c r="BG200" s="76" t="b">
        <v>0</v>
      </c>
      <c r="BH200" s="76"/>
      <c r="BI200" s="76"/>
      <c r="BJ200" s="76" t="s">
        <v>27595</v>
      </c>
      <c r="BK200" s="76" t="b">
        <v>0</v>
      </c>
      <c r="BL200" s="76"/>
      <c r="BM200" s="76" t="s">
        <v>66</v>
      </c>
      <c r="BN200" s="76" t="s">
        <v>27597</v>
      </c>
      <c r="BO200" s="82" t="str">
        <f>HYPERLINK("https://twitter.com/flavisraraujo")</f>
        <v>https://twitter.com/flavisraraujo</v>
      </c>
      <c r="BP200" s="2"/>
    </row>
    <row r="201" spans="1:68" x14ac:dyDescent="0.25">
      <c r="A201" s="62" t="s">
        <v>363</v>
      </c>
      <c r="B201" s="63"/>
      <c r="C201" s="63"/>
      <c r="D201" s="64"/>
      <c r="E201" s="66"/>
      <c r="F201" s="103" t="str">
        <f>HYPERLINK("https://pbs.twimg.com/profile_images/1648063851257122816/RHDkRHdW_normal.jpg")</f>
        <v>https://pbs.twimg.com/profile_images/1648063851257122816/RHDkRHdW_normal.jpg</v>
      </c>
      <c r="G201" s="63"/>
      <c r="H201" s="67"/>
      <c r="I201" s="68"/>
      <c r="J201" s="68"/>
      <c r="K201" s="67" t="s">
        <v>27795</v>
      </c>
      <c r="L201" s="71"/>
      <c r="M201" s="72"/>
      <c r="N201" s="72"/>
      <c r="O201" s="73"/>
      <c r="P201" s="74"/>
      <c r="Q201" s="74"/>
      <c r="R201" s="87"/>
      <c r="S201" s="87"/>
      <c r="T201" s="87"/>
      <c r="U201" s="87"/>
      <c r="V201" s="48"/>
      <c r="W201" s="48"/>
      <c r="X201" s="48"/>
      <c r="Y201" s="48"/>
      <c r="Z201" s="47"/>
      <c r="AA201" s="69">
        <v>201</v>
      </c>
      <c r="AB201" s="69"/>
      <c r="AC201" s="70"/>
      <c r="AD201" s="76" t="s">
        <v>21446</v>
      </c>
      <c r="AE201" s="81" t="s">
        <v>20569</v>
      </c>
      <c r="AF201" s="76">
        <v>596</v>
      </c>
      <c r="AG201" s="76">
        <v>710</v>
      </c>
      <c r="AH201" s="76">
        <v>24555</v>
      </c>
      <c r="AI201" s="76">
        <v>1</v>
      </c>
      <c r="AJ201" s="76">
        <v>4377</v>
      </c>
      <c r="AK201" s="76">
        <v>13679</v>
      </c>
      <c r="AL201" s="76" t="b">
        <v>0</v>
      </c>
      <c r="AM201" s="78">
        <v>43695.842256944445</v>
      </c>
      <c r="AN201" s="76" t="s">
        <v>24063</v>
      </c>
      <c r="AO201" s="76" t="s">
        <v>24886</v>
      </c>
      <c r="AP201" s="82" t="str">
        <f>HYPERLINK("https://t.co/cq8Mo0cOUH")</f>
        <v>https://t.co/cq8Mo0cOUH</v>
      </c>
      <c r="AQ201" s="82" t="str">
        <f>HYPERLINK("http://www.htnoticias.com")</f>
        <v>http://www.htnoticias.com</v>
      </c>
      <c r="AR201" s="76" t="s">
        <v>26475</v>
      </c>
      <c r="AS201" s="76"/>
      <c r="AT201" s="76"/>
      <c r="AU201" s="76"/>
      <c r="AV201" s="76"/>
      <c r="AW201" s="82" t="str">
        <f>HYPERLINK("https://t.co/cq8Mo0cOUH")</f>
        <v>https://t.co/cq8Mo0cOUH</v>
      </c>
      <c r="AX201" s="76" t="b">
        <v>0</v>
      </c>
      <c r="AY201" s="76"/>
      <c r="AZ201" s="76"/>
      <c r="BA201" s="76" t="b">
        <v>0</v>
      </c>
      <c r="BB201" s="76" t="b">
        <v>1</v>
      </c>
      <c r="BC201" s="76" t="b">
        <v>1</v>
      </c>
      <c r="BD201" s="76" t="b">
        <v>0</v>
      </c>
      <c r="BE201" s="76" t="b">
        <v>1</v>
      </c>
      <c r="BF201" s="76" t="b">
        <v>0</v>
      </c>
      <c r="BG201" s="76" t="b">
        <v>0</v>
      </c>
      <c r="BH201" s="82" t="str">
        <f>HYPERLINK("https://pbs.twimg.com/profile_banners/1163181943657246722/1590122990")</f>
        <v>https://pbs.twimg.com/profile_banners/1163181943657246722/1590122990</v>
      </c>
      <c r="BI201" s="76"/>
      <c r="BJ201" s="76" t="s">
        <v>27595</v>
      </c>
      <c r="BK201" s="76" t="b">
        <v>0</v>
      </c>
      <c r="BL201" s="76"/>
      <c r="BM201" s="76" t="s">
        <v>66</v>
      </c>
      <c r="BN201" s="76" t="s">
        <v>27597</v>
      </c>
      <c r="BO201" s="82" t="str">
        <f>HYPERLINK("https://twitter.com/htnoticiasdo")</f>
        <v>https://twitter.com/htnoticiasdo</v>
      </c>
      <c r="BP201" s="2"/>
    </row>
    <row r="202" spans="1:68" x14ac:dyDescent="0.25">
      <c r="A202" s="62" t="s">
        <v>364</v>
      </c>
      <c r="B202" s="63"/>
      <c r="C202" s="63"/>
      <c r="D202" s="64"/>
      <c r="E202" s="66"/>
      <c r="F202" s="103" t="str">
        <f>HYPERLINK("https://pbs.twimg.com/profile_images/1591306206412275712/dq9elOdB_normal.jpg")</f>
        <v>https://pbs.twimg.com/profile_images/1591306206412275712/dq9elOdB_normal.jpg</v>
      </c>
      <c r="G202" s="63"/>
      <c r="H202" s="67"/>
      <c r="I202" s="68"/>
      <c r="J202" s="68"/>
      <c r="K202" s="67" t="s">
        <v>27796</v>
      </c>
      <c r="L202" s="71"/>
      <c r="M202" s="72"/>
      <c r="N202" s="72"/>
      <c r="O202" s="73"/>
      <c r="P202" s="74"/>
      <c r="Q202" s="74"/>
      <c r="R202" s="87"/>
      <c r="S202" s="87"/>
      <c r="T202" s="87"/>
      <c r="U202" s="87"/>
      <c r="V202" s="48"/>
      <c r="W202" s="48"/>
      <c r="X202" s="48"/>
      <c r="Y202" s="48"/>
      <c r="Z202" s="47"/>
      <c r="AA202" s="69">
        <v>202</v>
      </c>
      <c r="AB202" s="69"/>
      <c r="AC202" s="70"/>
      <c r="AD202" s="76" t="s">
        <v>21447</v>
      </c>
      <c r="AE202" s="81" t="s">
        <v>20570</v>
      </c>
      <c r="AF202" s="76">
        <v>8</v>
      </c>
      <c r="AG202" s="76">
        <v>49</v>
      </c>
      <c r="AH202" s="76">
        <v>454</v>
      </c>
      <c r="AI202" s="76">
        <v>0</v>
      </c>
      <c r="AJ202" s="76">
        <v>2190</v>
      </c>
      <c r="AK202" s="76">
        <v>24</v>
      </c>
      <c r="AL202" s="76" t="b">
        <v>0</v>
      </c>
      <c r="AM202" s="78">
        <v>44877.239606481482</v>
      </c>
      <c r="AN202" s="76"/>
      <c r="AO202" s="76"/>
      <c r="AP202" s="76"/>
      <c r="AQ202" s="76"/>
      <c r="AR202" s="76"/>
      <c r="AS202" s="76"/>
      <c r="AT202" s="76"/>
      <c r="AU202" s="76"/>
      <c r="AV202" s="76"/>
      <c r="AW202" s="76"/>
      <c r="AX202" s="76" t="b">
        <v>0</v>
      </c>
      <c r="AY202" s="76"/>
      <c r="AZ202" s="76"/>
      <c r="BA202" s="76" t="b">
        <v>0</v>
      </c>
      <c r="BB202" s="76" t="b">
        <v>1</v>
      </c>
      <c r="BC202" s="76" t="b">
        <v>1</v>
      </c>
      <c r="BD202" s="76" t="b">
        <v>0</v>
      </c>
      <c r="BE202" s="76" t="b">
        <v>1</v>
      </c>
      <c r="BF202" s="76" t="b">
        <v>0</v>
      </c>
      <c r="BG202" s="76" t="b">
        <v>0</v>
      </c>
      <c r="BH202" s="76"/>
      <c r="BI202" s="76"/>
      <c r="BJ202" s="76" t="s">
        <v>27595</v>
      </c>
      <c r="BK202" s="76" t="b">
        <v>0</v>
      </c>
      <c r="BL202" s="76"/>
      <c r="BM202" s="76" t="s">
        <v>66</v>
      </c>
      <c r="BN202" s="76" t="s">
        <v>27597</v>
      </c>
      <c r="BO202" s="82" t="str">
        <f>HYPERLINK("https://twitter.com/kefernandez133")</f>
        <v>https://twitter.com/kefernandez133</v>
      </c>
      <c r="BP202" s="2"/>
    </row>
    <row r="203" spans="1:68" x14ac:dyDescent="0.25">
      <c r="A203" s="62" t="s">
        <v>365</v>
      </c>
      <c r="B203" s="63"/>
      <c r="C203" s="63"/>
      <c r="D203" s="64"/>
      <c r="E203" s="66"/>
      <c r="F203" s="103" t="str">
        <f>HYPERLINK("https://pbs.twimg.com/profile_images/1115298704100089856/tTZ3O7DL_normal.png")</f>
        <v>https://pbs.twimg.com/profile_images/1115298704100089856/tTZ3O7DL_normal.png</v>
      </c>
      <c r="G203" s="63"/>
      <c r="H203" s="67"/>
      <c r="I203" s="68"/>
      <c r="J203" s="68"/>
      <c r="K203" s="67" t="s">
        <v>27797</v>
      </c>
      <c r="L203" s="71"/>
      <c r="M203" s="72"/>
      <c r="N203" s="72"/>
      <c r="O203" s="73"/>
      <c r="P203" s="74"/>
      <c r="Q203" s="74"/>
      <c r="R203" s="87"/>
      <c r="S203" s="87"/>
      <c r="T203" s="87"/>
      <c r="U203" s="87"/>
      <c r="V203" s="48"/>
      <c r="W203" s="48"/>
      <c r="X203" s="48"/>
      <c r="Y203" s="48"/>
      <c r="Z203" s="47"/>
      <c r="AA203" s="69">
        <v>203</v>
      </c>
      <c r="AB203" s="69"/>
      <c r="AC203" s="70"/>
      <c r="AD203" s="76" t="s">
        <v>21448</v>
      </c>
      <c r="AE203" s="81" t="s">
        <v>23164</v>
      </c>
      <c r="AF203" s="76">
        <v>762</v>
      </c>
      <c r="AG203" s="76">
        <v>3631</v>
      </c>
      <c r="AH203" s="76">
        <v>8158</v>
      </c>
      <c r="AI203" s="76">
        <v>9</v>
      </c>
      <c r="AJ203" s="76">
        <v>8147</v>
      </c>
      <c r="AK203" s="76">
        <v>338</v>
      </c>
      <c r="AL203" s="76" t="b">
        <v>0</v>
      </c>
      <c r="AM203" s="78">
        <v>40759.830150462964</v>
      </c>
      <c r="AN203" s="76" t="s">
        <v>24156</v>
      </c>
      <c r="AO203" s="76" t="s">
        <v>24887</v>
      </c>
      <c r="AP203" s="82" t="str">
        <f>HYPERLINK("https://t.co/POti18EFKe")</f>
        <v>https://t.co/POti18EFKe</v>
      </c>
      <c r="AQ203" s="82" t="str">
        <f>HYPERLINK("http://diarioprensadelinterior.com/")</f>
        <v>http://diarioprensadelinterior.com/</v>
      </c>
      <c r="AR203" s="76" t="s">
        <v>8651</v>
      </c>
      <c r="AS203" s="82" t="str">
        <f>HYPERLINK("https://t.co/hFpJ1HqGjX")</f>
        <v>https://t.co/hFpJ1HqGjX</v>
      </c>
      <c r="AT203" s="82" t="str">
        <f>HYPERLINK("http://instagram.com/diarioprensade")</f>
        <v>http://instagram.com/diarioprensade</v>
      </c>
      <c r="AU203" s="76" t="s">
        <v>27460</v>
      </c>
      <c r="AV203" s="76"/>
      <c r="AW203" s="82" t="str">
        <f>HYPERLINK("https://t.co/POti18EFKe")</f>
        <v>https://t.co/POti18EFKe</v>
      </c>
      <c r="AX203" s="76" t="b">
        <v>0</v>
      </c>
      <c r="AY203" s="76"/>
      <c r="AZ203" s="76"/>
      <c r="BA203" s="76" t="b">
        <v>0</v>
      </c>
      <c r="BB203" s="76" t="b">
        <v>1</v>
      </c>
      <c r="BC203" s="76" t="b">
        <v>0</v>
      </c>
      <c r="BD203" s="76" t="b">
        <v>0</v>
      </c>
      <c r="BE203" s="76" t="b">
        <v>0</v>
      </c>
      <c r="BF203" s="76" t="b">
        <v>0</v>
      </c>
      <c r="BG203" s="76" t="b">
        <v>0</v>
      </c>
      <c r="BH203" s="82" t="str">
        <f>HYPERLINK("https://pbs.twimg.com/profile_banners/348658631/1554743162")</f>
        <v>https://pbs.twimg.com/profile_banners/348658631/1554743162</v>
      </c>
      <c r="BI203" s="76"/>
      <c r="BJ203" s="76" t="s">
        <v>27595</v>
      </c>
      <c r="BK203" s="76" t="b">
        <v>0</v>
      </c>
      <c r="BL203" s="76"/>
      <c r="BM203" s="76" t="s">
        <v>66</v>
      </c>
      <c r="BN203" s="76" t="s">
        <v>27597</v>
      </c>
      <c r="BO203" s="82" t="str">
        <f>HYPERLINK("https://twitter.com/dpdelinterior")</f>
        <v>https://twitter.com/dpdelinterior</v>
      </c>
      <c r="BP203" s="2"/>
    </row>
    <row r="204" spans="1:68" x14ac:dyDescent="0.25">
      <c r="A204" s="62" t="s">
        <v>366</v>
      </c>
      <c r="B204" s="63"/>
      <c r="C204" s="63"/>
      <c r="D204" s="64"/>
      <c r="E204" s="66"/>
      <c r="F204" s="103" t="str">
        <f>HYPERLINK("https://pbs.twimg.com/profile_images/1641421751241375744/nDeLaIkd_normal.png")</f>
        <v>https://pbs.twimg.com/profile_images/1641421751241375744/nDeLaIkd_normal.png</v>
      </c>
      <c r="G204" s="63"/>
      <c r="H204" s="67"/>
      <c r="I204" s="68"/>
      <c r="J204" s="68"/>
      <c r="K204" s="67" t="s">
        <v>27798</v>
      </c>
      <c r="L204" s="71"/>
      <c r="M204" s="72"/>
      <c r="N204" s="72"/>
      <c r="O204" s="73"/>
      <c r="P204" s="74"/>
      <c r="Q204" s="74"/>
      <c r="R204" s="87"/>
      <c r="S204" s="87"/>
      <c r="T204" s="87"/>
      <c r="U204" s="87"/>
      <c r="V204" s="48"/>
      <c r="W204" s="48"/>
      <c r="X204" s="48"/>
      <c r="Y204" s="48"/>
      <c r="Z204" s="47"/>
      <c r="AA204" s="69">
        <v>204</v>
      </c>
      <c r="AB204" s="69"/>
      <c r="AC204" s="70"/>
      <c r="AD204" s="76" t="s">
        <v>21449</v>
      </c>
      <c r="AE204" s="81" t="s">
        <v>20571</v>
      </c>
      <c r="AF204" s="76">
        <v>0</v>
      </c>
      <c r="AG204" s="76">
        <v>12</v>
      </c>
      <c r="AH204" s="76">
        <v>9</v>
      </c>
      <c r="AI204" s="76">
        <v>0</v>
      </c>
      <c r="AJ204" s="76">
        <v>2</v>
      </c>
      <c r="AK204" s="76">
        <v>0</v>
      </c>
      <c r="AL204" s="76" t="b">
        <v>0</v>
      </c>
      <c r="AM204" s="78">
        <v>45015.532592592594</v>
      </c>
      <c r="AN204" s="76" t="s">
        <v>14386</v>
      </c>
      <c r="AO204" s="76" t="s">
        <v>24888</v>
      </c>
      <c r="AP204" s="82" t="str">
        <f>HYPERLINK("https://t.co/6TB9DyKS93")</f>
        <v>https://t.co/6TB9DyKS93</v>
      </c>
      <c r="AQ204" s="82" t="str">
        <f>HYPERLINK("http://www.auditable.cl")</f>
        <v>http://www.auditable.cl</v>
      </c>
      <c r="AR204" s="76" t="s">
        <v>26476</v>
      </c>
      <c r="AS204" s="82" t="str">
        <f>HYPERLINK("https://t.co/fOYcnZSxgS")</f>
        <v>https://t.co/fOYcnZSxgS</v>
      </c>
      <c r="AT204" s="82" t="str">
        <f>HYPERLINK("https://linktr.ee/auditableconsultores")</f>
        <v>https://linktr.ee/auditableconsultores</v>
      </c>
      <c r="AU204" s="76" t="s">
        <v>27461</v>
      </c>
      <c r="AV204" s="76"/>
      <c r="AW204" s="82" t="str">
        <f>HYPERLINK("https://t.co/6TB9DyKS93")</f>
        <v>https://t.co/6TB9DyKS93</v>
      </c>
      <c r="AX204" s="76" t="b">
        <v>0</v>
      </c>
      <c r="AY204" s="76"/>
      <c r="AZ204" s="76"/>
      <c r="BA204" s="76" t="b">
        <v>0</v>
      </c>
      <c r="BB204" s="76" t="b">
        <v>1</v>
      </c>
      <c r="BC204" s="76" t="b">
        <v>1</v>
      </c>
      <c r="BD204" s="76" t="b">
        <v>0</v>
      </c>
      <c r="BE204" s="76" t="b">
        <v>0</v>
      </c>
      <c r="BF204" s="76" t="b">
        <v>0</v>
      </c>
      <c r="BG204" s="76" t="b">
        <v>0</v>
      </c>
      <c r="BH204" s="76"/>
      <c r="BI204" s="76"/>
      <c r="BJ204" s="76" t="s">
        <v>27595</v>
      </c>
      <c r="BK204" s="76" t="b">
        <v>0</v>
      </c>
      <c r="BL204" s="76"/>
      <c r="BM204" s="76" t="s">
        <v>66</v>
      </c>
      <c r="BN204" s="76" t="s">
        <v>27597</v>
      </c>
      <c r="BO204" s="82" t="str">
        <f>HYPERLINK("https://twitter.com/auditablecl")</f>
        <v>https://twitter.com/auditablecl</v>
      </c>
      <c r="BP204" s="2"/>
    </row>
    <row r="205" spans="1:68" x14ac:dyDescent="0.25">
      <c r="A205" s="62" t="s">
        <v>367</v>
      </c>
      <c r="B205" s="63"/>
      <c r="C205" s="63"/>
      <c r="D205" s="64"/>
      <c r="E205" s="66"/>
      <c r="F205" s="103" t="str">
        <f>HYPERLINK("https://pbs.twimg.com/profile_images/1620767223236202496/T1H-9KnH_normal.jpg")</f>
        <v>https://pbs.twimg.com/profile_images/1620767223236202496/T1H-9KnH_normal.jpg</v>
      </c>
      <c r="G205" s="63"/>
      <c r="H205" s="67"/>
      <c r="I205" s="68"/>
      <c r="J205" s="68"/>
      <c r="K205" s="67" t="s">
        <v>27799</v>
      </c>
      <c r="L205" s="71"/>
      <c r="M205" s="72"/>
      <c r="N205" s="72"/>
      <c r="O205" s="73"/>
      <c r="P205" s="74"/>
      <c r="Q205" s="74"/>
      <c r="R205" s="87"/>
      <c r="S205" s="87"/>
      <c r="T205" s="87"/>
      <c r="U205" s="87"/>
      <c r="V205" s="48"/>
      <c r="W205" s="48"/>
      <c r="X205" s="48"/>
      <c r="Y205" s="48"/>
      <c r="Z205" s="47"/>
      <c r="AA205" s="69">
        <v>205</v>
      </c>
      <c r="AB205" s="69"/>
      <c r="AC205" s="70"/>
      <c r="AD205" s="76" t="s">
        <v>21450</v>
      </c>
      <c r="AE205" s="81" t="s">
        <v>23165</v>
      </c>
      <c r="AF205" s="76">
        <v>314</v>
      </c>
      <c r="AG205" s="76">
        <v>1181</v>
      </c>
      <c r="AH205" s="76">
        <v>17825</v>
      </c>
      <c r="AI205" s="76">
        <v>1</v>
      </c>
      <c r="AJ205" s="76">
        <v>33365</v>
      </c>
      <c r="AK205" s="76">
        <v>302</v>
      </c>
      <c r="AL205" s="76" t="b">
        <v>0</v>
      </c>
      <c r="AM205" s="78">
        <v>41284.739641203705</v>
      </c>
      <c r="AN205" s="76" t="s">
        <v>24114</v>
      </c>
      <c r="AO205" s="76" t="s">
        <v>24889</v>
      </c>
      <c r="AP205" s="76"/>
      <c r="AQ205" s="76"/>
      <c r="AR205" s="76"/>
      <c r="AS205" s="76"/>
      <c r="AT205" s="76"/>
      <c r="AU205" s="76"/>
      <c r="AV205" s="76">
        <v>1.63270282224754E+18</v>
      </c>
      <c r="AW205" s="76"/>
      <c r="AX205" s="76" t="b">
        <v>0</v>
      </c>
      <c r="AY205" s="76"/>
      <c r="AZ205" s="76"/>
      <c r="BA205" s="76" t="b">
        <v>1</v>
      </c>
      <c r="BB205" s="76" t="b">
        <v>0</v>
      </c>
      <c r="BC205" s="76" t="b">
        <v>0</v>
      </c>
      <c r="BD205" s="76" t="b">
        <v>0</v>
      </c>
      <c r="BE205" s="76" t="b">
        <v>0</v>
      </c>
      <c r="BF205" s="76" t="b">
        <v>0</v>
      </c>
      <c r="BG205" s="76" t="b">
        <v>0</v>
      </c>
      <c r="BH205" s="82" t="str">
        <f>HYPERLINK("https://pbs.twimg.com/profile_banners/1077217524/1675224538")</f>
        <v>https://pbs.twimg.com/profile_banners/1077217524/1675224538</v>
      </c>
      <c r="BI205" s="76"/>
      <c r="BJ205" s="76" t="s">
        <v>27595</v>
      </c>
      <c r="BK205" s="76" t="b">
        <v>0</v>
      </c>
      <c r="BL205" s="76"/>
      <c r="BM205" s="76" t="s">
        <v>66</v>
      </c>
      <c r="BN205" s="76" t="s">
        <v>27597</v>
      </c>
      <c r="BO205" s="82" t="str">
        <f>HYPERLINK("https://twitter.com/asintomatic4")</f>
        <v>https://twitter.com/asintomatic4</v>
      </c>
      <c r="BP205" s="2"/>
    </row>
    <row r="206" spans="1:68" x14ac:dyDescent="0.25">
      <c r="A206" s="62" t="s">
        <v>368</v>
      </c>
      <c r="B206" s="63"/>
      <c r="C206" s="63"/>
      <c r="D206" s="64"/>
      <c r="E206" s="66"/>
      <c r="F206" s="103" t="str">
        <f>HYPERLINK("https://pbs.twimg.com/profile_images/1635295786618720256/EfpF7cxZ_normal.jpg")</f>
        <v>https://pbs.twimg.com/profile_images/1635295786618720256/EfpF7cxZ_normal.jpg</v>
      </c>
      <c r="G206" s="63"/>
      <c r="H206" s="67"/>
      <c r="I206" s="68"/>
      <c r="J206" s="68"/>
      <c r="K206" s="67" t="s">
        <v>27800</v>
      </c>
      <c r="L206" s="71"/>
      <c r="M206" s="72"/>
      <c r="N206" s="72"/>
      <c r="O206" s="73"/>
      <c r="P206" s="74"/>
      <c r="Q206" s="74"/>
      <c r="R206" s="87"/>
      <c r="S206" s="87"/>
      <c r="T206" s="87"/>
      <c r="U206" s="87"/>
      <c r="V206" s="48"/>
      <c r="W206" s="48"/>
      <c r="X206" s="48"/>
      <c r="Y206" s="48"/>
      <c r="Z206" s="47"/>
      <c r="AA206" s="69">
        <v>206</v>
      </c>
      <c r="AB206" s="69"/>
      <c r="AC206" s="70"/>
      <c r="AD206" s="76" t="s">
        <v>21451</v>
      </c>
      <c r="AE206" s="81" t="s">
        <v>23166</v>
      </c>
      <c r="AF206" s="76">
        <v>113</v>
      </c>
      <c r="AG206" s="76">
        <v>243</v>
      </c>
      <c r="AH206" s="76">
        <v>8253</v>
      </c>
      <c r="AI206" s="76">
        <v>1</v>
      </c>
      <c r="AJ206" s="76">
        <v>11479</v>
      </c>
      <c r="AK206" s="76">
        <v>727</v>
      </c>
      <c r="AL206" s="76" t="b">
        <v>0</v>
      </c>
      <c r="AM206" s="78">
        <v>40357.54755787037</v>
      </c>
      <c r="AN206" s="76" t="s">
        <v>24157</v>
      </c>
      <c r="AO206" s="76" t="s">
        <v>24890</v>
      </c>
      <c r="AP206" s="82" t="str">
        <f>HYPERLINK("https://t.co/Y6eHbNnUIS")</f>
        <v>https://t.co/Y6eHbNnUIS</v>
      </c>
      <c r="AQ206" s="82" t="str">
        <f>HYPERLINK("http://www.lajespatagonia.com")</f>
        <v>http://www.lajespatagonia.com</v>
      </c>
      <c r="AR206" s="76" t="s">
        <v>26477</v>
      </c>
      <c r="AS206" s="76"/>
      <c r="AT206" s="76"/>
      <c r="AU206" s="76"/>
      <c r="AV206" s="76"/>
      <c r="AW206" s="82" t="str">
        <f>HYPERLINK("https://t.co/Y6eHbNnUIS")</f>
        <v>https://t.co/Y6eHbNnUIS</v>
      </c>
      <c r="AX206" s="76" t="b">
        <v>1</v>
      </c>
      <c r="AY206" s="76"/>
      <c r="AZ206" s="76"/>
      <c r="BA206" s="76" t="b">
        <v>0</v>
      </c>
      <c r="BB206" s="76" t="b">
        <v>1</v>
      </c>
      <c r="BC206" s="76" t="b">
        <v>0</v>
      </c>
      <c r="BD206" s="76" t="b">
        <v>0</v>
      </c>
      <c r="BE206" s="76" t="b">
        <v>1</v>
      </c>
      <c r="BF206" s="76" t="b">
        <v>0</v>
      </c>
      <c r="BG206" s="76" t="b">
        <v>1</v>
      </c>
      <c r="BH206" s="82" t="str">
        <f>HYPERLINK("https://pbs.twimg.com/profile_banners/160539410/1691770491")</f>
        <v>https://pbs.twimg.com/profile_banners/160539410/1691770491</v>
      </c>
      <c r="BI206" s="76"/>
      <c r="BJ206" s="76" t="s">
        <v>27595</v>
      </c>
      <c r="BK206" s="76" t="b">
        <v>0</v>
      </c>
      <c r="BL206" s="76"/>
      <c r="BM206" s="76" t="s">
        <v>66</v>
      </c>
      <c r="BN206" s="76" t="s">
        <v>27597</v>
      </c>
      <c r="BO206" s="82" t="str">
        <f>HYPERLINK("https://twitter.com/andrenmatte")</f>
        <v>https://twitter.com/andrenmatte</v>
      </c>
      <c r="BP206" s="2"/>
    </row>
    <row r="207" spans="1:68" x14ac:dyDescent="0.25">
      <c r="A207" s="62" t="s">
        <v>1731</v>
      </c>
      <c r="B207" s="63"/>
      <c r="C207" s="63"/>
      <c r="D207" s="64"/>
      <c r="E207" s="66"/>
      <c r="F207" s="103" t="str">
        <f>HYPERLINK("https://pbs.twimg.com/profile_images/1273356834011860996/-Ejc007h_normal.jpg")</f>
        <v>https://pbs.twimg.com/profile_images/1273356834011860996/-Ejc007h_normal.jpg</v>
      </c>
      <c r="G207" s="63"/>
      <c r="H207" s="67"/>
      <c r="I207" s="68"/>
      <c r="J207" s="68"/>
      <c r="K207" s="67" t="s">
        <v>27801</v>
      </c>
      <c r="L207" s="71"/>
      <c r="M207" s="72"/>
      <c r="N207" s="72"/>
      <c r="O207" s="73"/>
      <c r="P207" s="74"/>
      <c r="Q207" s="74"/>
      <c r="R207" s="87"/>
      <c r="S207" s="87"/>
      <c r="T207" s="87"/>
      <c r="U207" s="87"/>
      <c r="V207" s="48"/>
      <c r="W207" s="48"/>
      <c r="X207" s="48"/>
      <c r="Y207" s="48"/>
      <c r="Z207" s="47"/>
      <c r="AA207" s="69">
        <v>207</v>
      </c>
      <c r="AB207" s="69"/>
      <c r="AC207" s="70"/>
      <c r="AD207" s="76" t="s">
        <v>21452</v>
      </c>
      <c r="AE207" s="81" t="s">
        <v>20228</v>
      </c>
      <c r="AF207" s="76">
        <v>289423</v>
      </c>
      <c r="AG207" s="76">
        <v>399</v>
      </c>
      <c r="AH207" s="76">
        <v>18139</v>
      </c>
      <c r="AI207" s="76">
        <v>1698</v>
      </c>
      <c r="AJ207" s="76">
        <v>42170</v>
      </c>
      <c r="AK207" s="76">
        <v>7785</v>
      </c>
      <c r="AL207" s="76" t="b">
        <v>0</v>
      </c>
      <c r="AM207" s="78">
        <v>41721.999421296299</v>
      </c>
      <c r="AN207" s="76" t="s">
        <v>24158</v>
      </c>
      <c r="AO207" s="76" t="s">
        <v>24891</v>
      </c>
      <c r="AP207" s="82" t="str">
        <f>HYPERLINK("https://t.co/ykzAtM2B76")</f>
        <v>https://t.co/ykzAtM2B76</v>
      </c>
      <c r="AQ207" s="82" t="str">
        <f>HYPERLINK("https://www.xp.com.br/vaitourinho")</f>
        <v>https://www.xp.com.br/vaitourinho</v>
      </c>
      <c r="AR207" s="76" t="s">
        <v>26478</v>
      </c>
      <c r="AS207" s="76"/>
      <c r="AT207" s="76"/>
      <c r="AU207" s="76"/>
      <c r="AV207" s="76">
        <v>1.5899798810600599E+18</v>
      </c>
      <c r="AW207" s="82" t="str">
        <f>HYPERLINK("https://t.co/ykzAtM2B76")</f>
        <v>https://t.co/ykzAtM2B76</v>
      </c>
      <c r="AX207" s="76" t="b">
        <v>1</v>
      </c>
      <c r="AY207" s="76"/>
      <c r="AZ207" s="76"/>
      <c r="BA207" s="76" t="b">
        <v>0</v>
      </c>
      <c r="BB207" s="76" t="b">
        <v>0</v>
      </c>
      <c r="BC207" s="76" t="b">
        <v>0</v>
      </c>
      <c r="BD207" s="76" t="b">
        <v>0</v>
      </c>
      <c r="BE207" s="76" t="b">
        <v>1</v>
      </c>
      <c r="BF207" s="76" t="b">
        <v>0</v>
      </c>
      <c r="BG207" s="76" t="b">
        <v>0</v>
      </c>
      <c r="BH207" s="82" t="str">
        <f>HYPERLINK("https://pbs.twimg.com/profile_banners/2408015736/1633481433")</f>
        <v>https://pbs.twimg.com/profile_banners/2408015736/1633481433</v>
      </c>
      <c r="BI207" s="76"/>
      <c r="BJ207" s="76" t="s">
        <v>27595</v>
      </c>
      <c r="BK207" s="76" t="b">
        <v>0</v>
      </c>
      <c r="BL207" s="76"/>
      <c r="BM207" s="76" t="s">
        <v>65</v>
      </c>
      <c r="BN207" s="76" t="s">
        <v>27597</v>
      </c>
      <c r="BO207" s="82" t="str">
        <f>HYPERLINK("https://twitter.com/pablospyer")</f>
        <v>https://twitter.com/pablospyer</v>
      </c>
      <c r="BP207" s="2"/>
    </row>
    <row r="208" spans="1:68" x14ac:dyDescent="0.25">
      <c r="A208" s="62" t="s">
        <v>369</v>
      </c>
      <c r="B208" s="63"/>
      <c r="C208" s="63"/>
      <c r="D208" s="64"/>
      <c r="E208" s="66"/>
      <c r="F208" s="103" t="str">
        <f>HYPERLINK("https://pbs.twimg.com/profile_images/1584279996289384452/9wL3I0Id_normal.png")</f>
        <v>https://pbs.twimg.com/profile_images/1584279996289384452/9wL3I0Id_normal.png</v>
      </c>
      <c r="G208" s="63"/>
      <c r="H208" s="67"/>
      <c r="I208" s="68"/>
      <c r="J208" s="68"/>
      <c r="K208" s="67" t="s">
        <v>27802</v>
      </c>
      <c r="L208" s="71"/>
      <c r="M208" s="72"/>
      <c r="N208" s="72"/>
      <c r="O208" s="73"/>
      <c r="P208" s="74"/>
      <c r="Q208" s="74"/>
      <c r="R208" s="87"/>
      <c r="S208" s="87"/>
      <c r="T208" s="87"/>
      <c r="U208" s="87"/>
      <c r="V208" s="48"/>
      <c r="W208" s="48"/>
      <c r="X208" s="48"/>
      <c r="Y208" s="48"/>
      <c r="Z208" s="47"/>
      <c r="AA208" s="69">
        <v>208</v>
      </c>
      <c r="AB208" s="69"/>
      <c r="AC208" s="70"/>
      <c r="AD208" s="76" t="s">
        <v>21453</v>
      </c>
      <c r="AE208" s="81" t="s">
        <v>20572</v>
      </c>
      <c r="AF208" s="76">
        <v>15</v>
      </c>
      <c r="AG208" s="76">
        <v>12</v>
      </c>
      <c r="AH208" s="76">
        <v>615</v>
      </c>
      <c r="AI208" s="76">
        <v>0</v>
      </c>
      <c r="AJ208" s="76">
        <v>16</v>
      </c>
      <c r="AK208" s="76">
        <v>0</v>
      </c>
      <c r="AL208" s="76" t="b">
        <v>0</v>
      </c>
      <c r="AM208" s="78">
        <v>44857.851388888892</v>
      </c>
      <c r="AN208" s="76"/>
      <c r="AO208" s="76" t="s">
        <v>24892</v>
      </c>
      <c r="AP208" s="82" t="str">
        <f>HYPERLINK("https://t.co/FzymVOaqP2")</f>
        <v>https://t.co/FzymVOaqP2</v>
      </c>
      <c r="AQ208" s="82" t="str">
        <f>HYPERLINK("https://www.onoticiado.com.br/")</f>
        <v>https://www.onoticiado.com.br/</v>
      </c>
      <c r="AR208" s="76" t="s">
        <v>26479</v>
      </c>
      <c r="AS208" s="76"/>
      <c r="AT208" s="76"/>
      <c r="AU208" s="76"/>
      <c r="AV208" s="76"/>
      <c r="AW208" s="82" t="str">
        <f>HYPERLINK("https://t.co/FzymVOaqP2")</f>
        <v>https://t.co/FzymVOaqP2</v>
      </c>
      <c r="AX208" s="76" t="b">
        <v>0</v>
      </c>
      <c r="AY208" s="76"/>
      <c r="AZ208" s="76"/>
      <c r="BA208" s="76" t="b">
        <v>0</v>
      </c>
      <c r="BB208" s="76" t="b">
        <v>1</v>
      </c>
      <c r="BC208" s="76" t="b">
        <v>1</v>
      </c>
      <c r="BD208" s="76" t="b">
        <v>0</v>
      </c>
      <c r="BE208" s="76" t="b">
        <v>0</v>
      </c>
      <c r="BF208" s="76" t="b">
        <v>0</v>
      </c>
      <c r="BG208" s="76" t="b">
        <v>0</v>
      </c>
      <c r="BH208" s="82" t="str">
        <f>HYPERLINK("https://pbs.twimg.com/profile_banners/1584279931198078977/1666557230")</f>
        <v>https://pbs.twimg.com/profile_banners/1584279931198078977/1666557230</v>
      </c>
      <c r="BI208" s="76"/>
      <c r="BJ208" s="76" t="s">
        <v>27595</v>
      </c>
      <c r="BK208" s="76" t="b">
        <v>0</v>
      </c>
      <c r="BL208" s="76"/>
      <c r="BM208" s="76" t="s">
        <v>66</v>
      </c>
      <c r="BN208" s="76" t="s">
        <v>27597</v>
      </c>
      <c r="BO208" s="82" t="str">
        <f>HYPERLINK("https://twitter.com/o_noticiado")</f>
        <v>https://twitter.com/o_noticiado</v>
      </c>
      <c r="BP208" s="2"/>
    </row>
    <row r="209" spans="1:68" x14ac:dyDescent="0.25">
      <c r="A209" s="62" t="s">
        <v>370</v>
      </c>
      <c r="B209" s="63"/>
      <c r="C209" s="63"/>
      <c r="D209" s="64"/>
      <c r="E209" s="66"/>
      <c r="F209" s="103" t="str">
        <f>HYPERLINK("https://pbs.twimg.com/profile_images/1394701586606211074/LEsqn5Js_normal.jpg")</f>
        <v>https://pbs.twimg.com/profile_images/1394701586606211074/LEsqn5Js_normal.jpg</v>
      </c>
      <c r="G209" s="63"/>
      <c r="H209" s="67"/>
      <c r="I209" s="68"/>
      <c r="J209" s="68"/>
      <c r="K209" s="67" t="s">
        <v>27803</v>
      </c>
      <c r="L209" s="71"/>
      <c r="M209" s="72"/>
      <c r="N209" s="72"/>
      <c r="O209" s="73"/>
      <c r="P209" s="74"/>
      <c r="Q209" s="74"/>
      <c r="R209" s="87"/>
      <c r="S209" s="87"/>
      <c r="T209" s="87"/>
      <c r="U209" s="87"/>
      <c r="V209" s="48"/>
      <c r="W209" s="48"/>
      <c r="X209" s="48"/>
      <c r="Y209" s="48"/>
      <c r="Z209" s="47"/>
      <c r="AA209" s="69">
        <v>209</v>
      </c>
      <c r="AB209" s="69"/>
      <c r="AC209" s="70"/>
      <c r="AD209" s="76" t="s">
        <v>21454</v>
      </c>
      <c r="AE209" s="81" t="s">
        <v>20229</v>
      </c>
      <c r="AF209" s="76">
        <v>2966</v>
      </c>
      <c r="AG209" s="76">
        <v>2772</v>
      </c>
      <c r="AH209" s="76">
        <v>14984</v>
      </c>
      <c r="AI209" s="76">
        <v>1</v>
      </c>
      <c r="AJ209" s="76">
        <v>465</v>
      </c>
      <c r="AK209" s="76">
        <v>2907</v>
      </c>
      <c r="AL209" s="76" t="b">
        <v>0</v>
      </c>
      <c r="AM209" s="78">
        <v>44334.714201388888</v>
      </c>
      <c r="AN209" s="76" t="s">
        <v>24159</v>
      </c>
      <c r="AO209" s="76" t="s">
        <v>24893</v>
      </c>
      <c r="AP209" s="82" t="str">
        <f>HYPERLINK("https://t.co/icB2dVbiFC")</f>
        <v>https://t.co/icB2dVbiFC</v>
      </c>
      <c r="AQ209" s="82" t="str">
        <f>HYPERLINK("http://diarioredes.com.ar")</f>
        <v>http://diarioredes.com.ar</v>
      </c>
      <c r="AR209" s="76" t="s">
        <v>21454</v>
      </c>
      <c r="AS209" s="76"/>
      <c r="AT209" s="76"/>
      <c r="AU209" s="76"/>
      <c r="AV209" s="76"/>
      <c r="AW209" s="82" t="str">
        <f>HYPERLINK("https://t.co/icB2dVbiFC")</f>
        <v>https://t.co/icB2dVbiFC</v>
      </c>
      <c r="AX209" s="76" t="b">
        <v>0</v>
      </c>
      <c r="AY209" s="76"/>
      <c r="AZ209" s="76"/>
      <c r="BA209" s="76" t="b">
        <v>0</v>
      </c>
      <c r="BB209" s="76" t="b">
        <v>1</v>
      </c>
      <c r="BC209" s="76" t="b">
        <v>1</v>
      </c>
      <c r="BD209" s="76" t="b">
        <v>0</v>
      </c>
      <c r="BE209" s="76" t="b">
        <v>0</v>
      </c>
      <c r="BF209" s="76" t="b">
        <v>0</v>
      </c>
      <c r="BG209" s="76" t="b">
        <v>0</v>
      </c>
      <c r="BH209" s="82" t="str">
        <f>HYPERLINK("https://pbs.twimg.com/profile_banners/1394701168723603461/1621357921")</f>
        <v>https://pbs.twimg.com/profile_banners/1394701168723603461/1621357921</v>
      </c>
      <c r="BI209" s="76"/>
      <c r="BJ209" s="76" t="s">
        <v>27595</v>
      </c>
      <c r="BK209" s="76" t="b">
        <v>0</v>
      </c>
      <c r="BL209" s="76"/>
      <c r="BM209" s="76" t="s">
        <v>66</v>
      </c>
      <c r="BN209" s="76" t="s">
        <v>27597</v>
      </c>
      <c r="BO209" s="82" t="str">
        <f>HYPERLINK("https://twitter.com/diarioredesa")</f>
        <v>https://twitter.com/diarioredesa</v>
      </c>
      <c r="BP209" s="2"/>
    </row>
    <row r="210" spans="1:68" x14ac:dyDescent="0.25">
      <c r="A210" s="62" t="s">
        <v>400</v>
      </c>
      <c r="B210" s="63"/>
      <c r="C210" s="63"/>
      <c r="D210" s="64"/>
      <c r="E210" s="66"/>
      <c r="F210" s="103" t="str">
        <f>HYPERLINK("https://pbs.twimg.com/profile_images/1672439586411167745/O7QhRrbn_normal.jpg")</f>
        <v>https://pbs.twimg.com/profile_images/1672439586411167745/O7QhRrbn_normal.jpg</v>
      </c>
      <c r="G210" s="63"/>
      <c r="H210" s="67"/>
      <c r="I210" s="68"/>
      <c r="J210" s="68"/>
      <c r="K210" s="67" t="s">
        <v>27804</v>
      </c>
      <c r="L210" s="71"/>
      <c r="M210" s="72"/>
      <c r="N210" s="72"/>
      <c r="O210" s="73"/>
      <c r="P210" s="74"/>
      <c r="Q210" s="74"/>
      <c r="R210" s="87"/>
      <c r="S210" s="87"/>
      <c r="T210" s="87"/>
      <c r="U210" s="87"/>
      <c r="V210" s="48"/>
      <c r="W210" s="48"/>
      <c r="X210" s="48"/>
      <c r="Y210" s="48"/>
      <c r="Z210" s="47"/>
      <c r="AA210" s="69">
        <v>210</v>
      </c>
      <c r="AB210" s="69"/>
      <c r="AC210" s="70"/>
      <c r="AD210" s="76" t="s">
        <v>21455</v>
      </c>
      <c r="AE210" s="81" t="s">
        <v>23167</v>
      </c>
      <c r="AF210" s="76">
        <v>1765909</v>
      </c>
      <c r="AG210" s="76">
        <v>504</v>
      </c>
      <c r="AH210" s="76">
        <v>15690</v>
      </c>
      <c r="AI210" s="76">
        <v>2611</v>
      </c>
      <c r="AJ210" s="76">
        <v>1405</v>
      </c>
      <c r="AK210" s="76">
        <v>4370</v>
      </c>
      <c r="AL210" s="76" t="b">
        <v>0</v>
      </c>
      <c r="AM210" s="78">
        <v>40080.774502314816</v>
      </c>
      <c r="AN210" s="76" t="s">
        <v>24160</v>
      </c>
      <c r="AO210" s="76" t="s">
        <v>24894</v>
      </c>
      <c r="AP210" s="82" t="str">
        <f>HYPERLINK("https://t.co/6ui8kwP9ru")</f>
        <v>https://t.co/6ui8kwP9ru</v>
      </c>
      <c r="AQ210" s="82" t="str">
        <f>HYPERLINK("http://horaciorodriguezlarreta.com.ar/")</f>
        <v>http://horaciorodriguezlarreta.com.ar/</v>
      </c>
      <c r="AR210" s="76" t="s">
        <v>26480</v>
      </c>
      <c r="AS210" s="76"/>
      <c r="AT210" s="76"/>
      <c r="AU210" s="76"/>
      <c r="AV210" s="76"/>
      <c r="AW210" s="82" t="str">
        <f>HYPERLINK("https://t.co/6ui8kwP9ru")</f>
        <v>https://t.co/6ui8kwP9ru</v>
      </c>
      <c r="AX210" s="76" t="b">
        <v>1</v>
      </c>
      <c r="AY210" s="76"/>
      <c r="AZ210" s="76"/>
      <c r="BA210" s="76" t="b">
        <v>0</v>
      </c>
      <c r="BB210" s="76" t="b">
        <v>1</v>
      </c>
      <c r="BC210" s="76" t="b">
        <v>0</v>
      </c>
      <c r="BD210" s="76" t="b">
        <v>0</v>
      </c>
      <c r="BE210" s="76" t="b">
        <v>1</v>
      </c>
      <c r="BF210" s="76" t="b">
        <v>0</v>
      </c>
      <c r="BG210" s="76" t="b">
        <v>0</v>
      </c>
      <c r="BH210" s="82" t="str">
        <f>HYPERLINK("https://pbs.twimg.com/profile_banners/77009449/1687577755")</f>
        <v>https://pbs.twimg.com/profile_banners/77009449/1687577755</v>
      </c>
      <c r="BI210" s="76"/>
      <c r="BJ210" s="76" t="s">
        <v>27595</v>
      </c>
      <c r="BK210" s="76" t="b">
        <v>0</v>
      </c>
      <c r="BL210" s="76"/>
      <c r="BM210" s="76" t="s">
        <v>66</v>
      </c>
      <c r="BN210" s="76" t="s">
        <v>27597</v>
      </c>
      <c r="BO210" s="82" t="str">
        <f>HYPERLINK("https://twitter.com/horaciorlarreta")</f>
        <v>https://twitter.com/horaciorlarreta</v>
      </c>
      <c r="BP210" s="2"/>
    </row>
    <row r="211" spans="1:68" x14ac:dyDescent="0.25">
      <c r="A211" s="62" t="s">
        <v>371</v>
      </c>
      <c r="B211" s="63"/>
      <c r="C211" s="63"/>
      <c r="D211" s="64"/>
      <c r="E211" s="66"/>
      <c r="F211" s="103" t="str">
        <f>HYPERLINK("https://pbs.twimg.com/profile_images/1471803544898527237/XtYxjcnr_normal.jpg")</f>
        <v>https://pbs.twimg.com/profile_images/1471803544898527237/XtYxjcnr_normal.jpg</v>
      </c>
      <c r="G211" s="63"/>
      <c r="H211" s="67"/>
      <c r="I211" s="68"/>
      <c r="J211" s="68"/>
      <c r="K211" s="67" t="s">
        <v>27805</v>
      </c>
      <c r="L211" s="71"/>
      <c r="M211" s="72"/>
      <c r="N211" s="72"/>
      <c r="O211" s="73"/>
      <c r="P211" s="74"/>
      <c r="Q211" s="74"/>
      <c r="R211" s="87"/>
      <c r="S211" s="87"/>
      <c r="T211" s="87"/>
      <c r="U211" s="87"/>
      <c r="V211" s="48"/>
      <c r="W211" s="48"/>
      <c r="X211" s="48"/>
      <c r="Y211" s="48"/>
      <c r="Z211" s="47"/>
      <c r="AA211" s="69">
        <v>211</v>
      </c>
      <c r="AB211" s="69"/>
      <c r="AC211" s="70"/>
      <c r="AD211" s="76" t="s">
        <v>21456</v>
      </c>
      <c r="AE211" s="81" t="s">
        <v>20230</v>
      </c>
      <c r="AF211" s="76">
        <v>23</v>
      </c>
      <c r="AG211" s="76">
        <v>22</v>
      </c>
      <c r="AH211" s="76">
        <v>424</v>
      </c>
      <c r="AI211" s="76">
        <v>1</v>
      </c>
      <c r="AJ211" s="76">
        <v>1</v>
      </c>
      <c r="AK211" s="76">
        <v>69</v>
      </c>
      <c r="AL211" s="76" t="b">
        <v>0</v>
      </c>
      <c r="AM211" s="78">
        <v>44547.474965277775</v>
      </c>
      <c r="AN211" s="76"/>
      <c r="AO211" s="76" t="s">
        <v>24895</v>
      </c>
      <c r="AP211" s="82" t="str">
        <f>HYPERLINK("https://t.co/XpTILJtVmE")</f>
        <v>https://t.co/XpTILJtVmE</v>
      </c>
      <c r="AQ211" s="82" t="str">
        <f>HYPERLINK("https://elnuevorebelde.substack.com/?utm_source=discover_search")</f>
        <v>https://elnuevorebelde.substack.com/?utm_source=discover_search</v>
      </c>
      <c r="AR211" s="76" t="s">
        <v>26481</v>
      </c>
      <c r="AS211" s="76"/>
      <c r="AT211" s="76"/>
      <c r="AU211" s="76"/>
      <c r="AV211" s="76">
        <v>1.47759673720847E+18</v>
      </c>
      <c r="AW211" s="82" t="str">
        <f>HYPERLINK("https://t.co/XpTILJtVmE")</f>
        <v>https://t.co/XpTILJtVmE</v>
      </c>
      <c r="AX211" s="76" t="b">
        <v>0</v>
      </c>
      <c r="AY211" s="76"/>
      <c r="AZ211" s="76"/>
      <c r="BA211" s="76" t="b">
        <v>0</v>
      </c>
      <c r="BB211" s="76" t="b">
        <v>1</v>
      </c>
      <c r="BC211" s="76" t="b">
        <v>1</v>
      </c>
      <c r="BD211" s="76" t="b">
        <v>0</v>
      </c>
      <c r="BE211" s="76" t="b">
        <v>0</v>
      </c>
      <c r="BF211" s="76" t="b">
        <v>0</v>
      </c>
      <c r="BG211" s="76" t="b">
        <v>0</v>
      </c>
      <c r="BH211" s="82" t="str">
        <f>HYPERLINK("https://pbs.twimg.com/profile_banners/1471803260386349058/1643656762")</f>
        <v>https://pbs.twimg.com/profile_banners/1471803260386349058/1643656762</v>
      </c>
      <c r="BI211" s="76"/>
      <c r="BJ211" s="76" t="s">
        <v>27595</v>
      </c>
      <c r="BK211" s="76" t="b">
        <v>0</v>
      </c>
      <c r="BL211" s="76"/>
      <c r="BM211" s="76" t="s">
        <v>66</v>
      </c>
      <c r="BN211" s="76" t="s">
        <v>27597</v>
      </c>
      <c r="BO211" s="82" t="str">
        <f>HYPERLINK("https://twitter.com/rebelde_nuevo")</f>
        <v>https://twitter.com/rebelde_nuevo</v>
      </c>
      <c r="BP211" s="2"/>
    </row>
    <row r="212" spans="1:68" x14ac:dyDescent="0.25">
      <c r="A212" s="62" t="s">
        <v>372</v>
      </c>
      <c r="B212" s="63"/>
      <c r="C212" s="63"/>
      <c r="D212" s="64"/>
      <c r="E212" s="66"/>
      <c r="F212" s="103" t="str">
        <f>HYPERLINK("https://pbs.twimg.com/profile_images/950140092085100544/perr3e1y_normal.jpg")</f>
        <v>https://pbs.twimg.com/profile_images/950140092085100544/perr3e1y_normal.jpg</v>
      </c>
      <c r="G212" s="63"/>
      <c r="H212" s="67"/>
      <c r="I212" s="68"/>
      <c r="J212" s="68"/>
      <c r="K212" s="67" t="s">
        <v>27806</v>
      </c>
      <c r="L212" s="71"/>
      <c r="M212" s="72"/>
      <c r="N212" s="72"/>
      <c r="O212" s="73"/>
      <c r="P212" s="74"/>
      <c r="Q212" s="74"/>
      <c r="R212" s="87"/>
      <c r="S212" s="87"/>
      <c r="T212" s="87"/>
      <c r="U212" s="87"/>
      <c r="V212" s="48"/>
      <c r="W212" s="48"/>
      <c r="X212" s="48"/>
      <c r="Y212" s="48"/>
      <c r="Z212" s="47"/>
      <c r="AA212" s="69">
        <v>212</v>
      </c>
      <c r="AB212" s="69"/>
      <c r="AC212" s="70"/>
      <c r="AD212" s="76" t="s">
        <v>21457</v>
      </c>
      <c r="AE212" s="81" t="s">
        <v>23168</v>
      </c>
      <c r="AF212" s="76">
        <v>43130</v>
      </c>
      <c r="AG212" s="76">
        <v>5191</v>
      </c>
      <c r="AH212" s="76">
        <v>208563</v>
      </c>
      <c r="AI212" s="76">
        <v>187</v>
      </c>
      <c r="AJ212" s="76">
        <v>801</v>
      </c>
      <c r="AK212" s="76">
        <v>124923</v>
      </c>
      <c r="AL212" s="76" t="b">
        <v>0</v>
      </c>
      <c r="AM212" s="78">
        <v>41232.596504629626</v>
      </c>
      <c r="AN212" s="76" t="s">
        <v>24161</v>
      </c>
      <c r="AO212" s="76" t="s">
        <v>24896</v>
      </c>
      <c r="AP212" s="82" t="str">
        <f>HYPERLINK("https://t.co/l7U86vsXzl")</f>
        <v>https://t.co/l7U86vsXzl</v>
      </c>
      <c r="AQ212" s="82" t="str">
        <f>HYPERLINK("http://www.notiespartano.com")</f>
        <v>http://www.notiespartano.com</v>
      </c>
      <c r="AR212" s="76" t="s">
        <v>8653</v>
      </c>
      <c r="AS212" s="76"/>
      <c r="AT212" s="76"/>
      <c r="AU212" s="76"/>
      <c r="AV212" s="76"/>
      <c r="AW212" s="82" t="str">
        <f>HYPERLINK("https://t.co/l7U86vsXzl")</f>
        <v>https://t.co/l7U86vsXzl</v>
      </c>
      <c r="AX212" s="76" t="b">
        <v>0</v>
      </c>
      <c r="AY212" s="76"/>
      <c r="AZ212" s="76"/>
      <c r="BA212" s="76" t="b">
        <v>0</v>
      </c>
      <c r="BB212" s="76" t="b">
        <v>1</v>
      </c>
      <c r="BC212" s="76" t="b">
        <v>0</v>
      </c>
      <c r="BD212" s="76" t="b">
        <v>0</v>
      </c>
      <c r="BE212" s="76" t="b">
        <v>1</v>
      </c>
      <c r="BF212" s="76" t="b">
        <v>0</v>
      </c>
      <c r="BG212" s="76" t="b">
        <v>0</v>
      </c>
      <c r="BH212" s="82" t="str">
        <f>HYPERLINK("https://pbs.twimg.com/profile_banners/957510522/1650893809")</f>
        <v>https://pbs.twimg.com/profile_banners/957510522/1650893809</v>
      </c>
      <c r="BI212" s="76"/>
      <c r="BJ212" s="76" t="s">
        <v>27595</v>
      </c>
      <c r="BK212" s="76" t="b">
        <v>0</v>
      </c>
      <c r="BL212" s="76"/>
      <c r="BM212" s="76" t="s">
        <v>66</v>
      </c>
      <c r="BN212" s="76" t="s">
        <v>27597</v>
      </c>
      <c r="BO212" s="82" t="str">
        <f>HYPERLINK("https://twitter.com/notiespartano")</f>
        <v>https://twitter.com/notiespartano</v>
      </c>
      <c r="BP212" s="2"/>
    </row>
    <row r="213" spans="1:68" x14ac:dyDescent="0.25">
      <c r="A213" s="62" t="s">
        <v>373</v>
      </c>
      <c r="B213" s="63"/>
      <c r="C213" s="63"/>
      <c r="D213" s="64"/>
      <c r="E213" s="66"/>
      <c r="F213" s="103" t="str">
        <f>HYPERLINK("https://pbs.twimg.com/profile_images/1191368283003465729/C1kR9cpd_normal.jpg")</f>
        <v>https://pbs.twimg.com/profile_images/1191368283003465729/C1kR9cpd_normal.jpg</v>
      </c>
      <c r="G213" s="63"/>
      <c r="H213" s="67"/>
      <c r="I213" s="68"/>
      <c r="J213" s="68"/>
      <c r="K213" s="67" t="s">
        <v>27807</v>
      </c>
      <c r="L213" s="71"/>
      <c r="M213" s="72"/>
      <c r="N213" s="72"/>
      <c r="O213" s="73"/>
      <c r="P213" s="74"/>
      <c r="Q213" s="74"/>
      <c r="R213" s="87"/>
      <c r="S213" s="87"/>
      <c r="T213" s="87"/>
      <c r="U213" s="87"/>
      <c r="V213" s="48"/>
      <c r="W213" s="48"/>
      <c r="X213" s="48"/>
      <c r="Y213" s="48"/>
      <c r="Z213" s="47"/>
      <c r="AA213" s="69">
        <v>213</v>
      </c>
      <c r="AB213" s="69"/>
      <c r="AC213" s="70"/>
      <c r="AD213" s="76" t="s">
        <v>21458</v>
      </c>
      <c r="AE213" s="81" t="s">
        <v>23169</v>
      </c>
      <c r="AF213" s="76">
        <v>3418</v>
      </c>
      <c r="AG213" s="76">
        <v>1143</v>
      </c>
      <c r="AH213" s="76">
        <v>4802</v>
      </c>
      <c r="AI213" s="76">
        <v>45</v>
      </c>
      <c r="AJ213" s="76">
        <v>1083</v>
      </c>
      <c r="AK213" s="76">
        <v>3860</v>
      </c>
      <c r="AL213" s="76" t="b">
        <v>0</v>
      </c>
      <c r="AM213" s="78">
        <v>40381.127222222225</v>
      </c>
      <c r="AN213" s="76" t="s">
        <v>24113</v>
      </c>
      <c r="AO213" s="76" t="s">
        <v>24897</v>
      </c>
      <c r="AP213" s="82" t="str">
        <f>HYPERLINK("http://t.co/Sl0tN7jaSL")</f>
        <v>http://t.co/Sl0tN7jaSL</v>
      </c>
      <c r="AQ213" s="82" t="str">
        <f>HYPERLINK("http://www.pharmabiz.net")</f>
        <v>http://www.pharmabiz.net</v>
      </c>
      <c r="AR213" s="76" t="s">
        <v>8654</v>
      </c>
      <c r="AS213" s="76"/>
      <c r="AT213" s="76"/>
      <c r="AU213" s="76"/>
      <c r="AV213" s="76"/>
      <c r="AW213" s="82" t="str">
        <f>HYPERLINK("http://t.co/Sl0tN7jaSL")</f>
        <v>http://t.co/Sl0tN7jaSL</v>
      </c>
      <c r="AX213" s="76" t="b">
        <v>0</v>
      </c>
      <c r="AY213" s="76"/>
      <c r="AZ213" s="76"/>
      <c r="BA213" s="76" t="b">
        <v>0</v>
      </c>
      <c r="BB213" s="76" t="b">
        <v>0</v>
      </c>
      <c r="BC213" s="76" t="b">
        <v>0</v>
      </c>
      <c r="BD213" s="76" t="b">
        <v>0</v>
      </c>
      <c r="BE213" s="76" t="b">
        <v>1</v>
      </c>
      <c r="BF213" s="76" t="b">
        <v>0</v>
      </c>
      <c r="BG213" s="76" t="b">
        <v>0</v>
      </c>
      <c r="BH213" s="82" t="str">
        <f>HYPERLINK("https://pbs.twimg.com/profile_banners/169338130/1476723916")</f>
        <v>https://pbs.twimg.com/profile_banners/169338130/1476723916</v>
      </c>
      <c r="BI213" s="76"/>
      <c r="BJ213" s="76" t="s">
        <v>27595</v>
      </c>
      <c r="BK213" s="76" t="b">
        <v>0</v>
      </c>
      <c r="BL213" s="76"/>
      <c r="BM213" s="76" t="s">
        <v>66</v>
      </c>
      <c r="BN213" s="76" t="s">
        <v>27597</v>
      </c>
      <c r="BO213" s="82" t="str">
        <f>HYPERLINK("https://twitter.com/pharmabizweb")</f>
        <v>https://twitter.com/pharmabizweb</v>
      </c>
      <c r="BP213" s="2"/>
    </row>
    <row r="214" spans="1:68" x14ac:dyDescent="0.25">
      <c r="A214" s="62" t="s">
        <v>374</v>
      </c>
      <c r="B214" s="63"/>
      <c r="C214" s="63"/>
      <c r="D214" s="64"/>
      <c r="E214" s="66"/>
      <c r="F214" s="103" t="str">
        <f>HYPERLINK("https://pbs.twimg.com/profile_images/3513038525/e0c5bdc2d807d04a0af6b7b47aa3102f_normal.jpeg")</f>
        <v>https://pbs.twimg.com/profile_images/3513038525/e0c5bdc2d807d04a0af6b7b47aa3102f_normal.jpeg</v>
      </c>
      <c r="G214" s="63"/>
      <c r="H214" s="67"/>
      <c r="I214" s="68"/>
      <c r="J214" s="68"/>
      <c r="K214" s="67" t="s">
        <v>27808</v>
      </c>
      <c r="L214" s="71"/>
      <c r="M214" s="72"/>
      <c r="N214" s="72"/>
      <c r="O214" s="73"/>
      <c r="P214" s="74"/>
      <c r="Q214" s="74"/>
      <c r="R214" s="87"/>
      <c r="S214" s="87"/>
      <c r="T214" s="87"/>
      <c r="U214" s="87"/>
      <c r="V214" s="48"/>
      <c r="W214" s="48"/>
      <c r="X214" s="48"/>
      <c r="Y214" s="48"/>
      <c r="Z214" s="47"/>
      <c r="AA214" s="69">
        <v>214</v>
      </c>
      <c r="AB214" s="69"/>
      <c r="AC214" s="70"/>
      <c r="AD214" s="76" t="s">
        <v>21459</v>
      </c>
      <c r="AE214" s="81" t="s">
        <v>20231</v>
      </c>
      <c r="AF214" s="76">
        <v>200</v>
      </c>
      <c r="AG214" s="76">
        <v>97</v>
      </c>
      <c r="AH214" s="76">
        <v>2724</v>
      </c>
      <c r="AI214" s="76">
        <v>0</v>
      </c>
      <c r="AJ214" s="76">
        <v>10563</v>
      </c>
      <c r="AK214" s="76">
        <v>228</v>
      </c>
      <c r="AL214" s="76" t="b">
        <v>0</v>
      </c>
      <c r="AM214" s="78">
        <v>40066.90320601852</v>
      </c>
      <c r="AN214" s="76" t="s">
        <v>14386</v>
      </c>
      <c r="AO214" s="76"/>
      <c r="AP214" s="76"/>
      <c r="AQ214" s="76"/>
      <c r="AR214" s="76"/>
      <c r="AS214" s="76"/>
      <c r="AT214" s="76"/>
      <c r="AU214" s="76"/>
      <c r="AV214" s="76">
        <v>1.2230573154793999E+18</v>
      </c>
      <c r="AW214" s="76"/>
      <c r="AX214" s="76" t="b">
        <v>0</v>
      </c>
      <c r="AY214" s="76"/>
      <c r="AZ214" s="76"/>
      <c r="BA214" s="76" t="b">
        <v>0</v>
      </c>
      <c r="BB214" s="76" t="b">
        <v>1</v>
      </c>
      <c r="BC214" s="76" t="b">
        <v>1</v>
      </c>
      <c r="BD214" s="76" t="b">
        <v>0</v>
      </c>
      <c r="BE214" s="76" t="b">
        <v>0</v>
      </c>
      <c r="BF214" s="76" t="b">
        <v>0</v>
      </c>
      <c r="BG214" s="76" t="b">
        <v>0</v>
      </c>
      <c r="BH214" s="82" t="str">
        <f>HYPERLINK("https://pbs.twimg.com/profile_banners/73228178/1365814660")</f>
        <v>https://pbs.twimg.com/profile_banners/73228178/1365814660</v>
      </c>
      <c r="BI214" s="76"/>
      <c r="BJ214" s="76" t="s">
        <v>27595</v>
      </c>
      <c r="BK214" s="76" t="b">
        <v>0</v>
      </c>
      <c r="BL214" s="76"/>
      <c r="BM214" s="76" t="s">
        <v>66</v>
      </c>
      <c r="BN214" s="76" t="s">
        <v>27597</v>
      </c>
      <c r="BO214" s="82" t="str">
        <f>HYPERLINK("https://twitter.com/oberni")</f>
        <v>https://twitter.com/oberni</v>
      </c>
      <c r="BP214" s="2"/>
    </row>
    <row r="215" spans="1:68" x14ac:dyDescent="0.25">
      <c r="A215" s="62" t="s">
        <v>375</v>
      </c>
      <c r="B215" s="63"/>
      <c r="C215" s="63"/>
      <c r="D215" s="64"/>
      <c r="E215" s="66"/>
      <c r="F215" s="103" t="str">
        <f>HYPERLINK("https://pbs.twimg.com/profile_images/1499055108591599618/CML5zsA6_normal.jpg")</f>
        <v>https://pbs.twimg.com/profile_images/1499055108591599618/CML5zsA6_normal.jpg</v>
      </c>
      <c r="G215" s="63"/>
      <c r="H215" s="67"/>
      <c r="I215" s="68"/>
      <c r="J215" s="68"/>
      <c r="K215" s="67" t="s">
        <v>27809</v>
      </c>
      <c r="L215" s="71"/>
      <c r="M215" s="72"/>
      <c r="N215" s="72"/>
      <c r="O215" s="73"/>
      <c r="P215" s="74"/>
      <c r="Q215" s="74"/>
      <c r="R215" s="87"/>
      <c r="S215" s="87"/>
      <c r="T215" s="87"/>
      <c r="U215" s="87"/>
      <c r="V215" s="48"/>
      <c r="W215" s="48"/>
      <c r="X215" s="48"/>
      <c r="Y215" s="48"/>
      <c r="Z215" s="47"/>
      <c r="AA215" s="69">
        <v>215</v>
      </c>
      <c r="AB215" s="69"/>
      <c r="AC215" s="70"/>
      <c r="AD215" s="76" t="s">
        <v>21460</v>
      </c>
      <c r="AE215" s="81" t="s">
        <v>20232</v>
      </c>
      <c r="AF215" s="76">
        <v>432</v>
      </c>
      <c r="AG215" s="76">
        <v>172</v>
      </c>
      <c r="AH215" s="76">
        <v>7287</v>
      </c>
      <c r="AI215" s="76">
        <v>3</v>
      </c>
      <c r="AJ215" s="76">
        <v>140</v>
      </c>
      <c r="AK215" s="76">
        <v>1818</v>
      </c>
      <c r="AL215" s="76" t="b">
        <v>0</v>
      </c>
      <c r="AM215" s="78">
        <v>44260.896516203706</v>
      </c>
      <c r="AN215" s="76" t="s">
        <v>24162</v>
      </c>
      <c r="AO215" s="76" t="s">
        <v>24898</v>
      </c>
      <c r="AP215" s="76"/>
      <c r="AQ215" s="76"/>
      <c r="AR215" s="76"/>
      <c r="AS215" s="76"/>
      <c r="AT215" s="76"/>
      <c r="AU215" s="76"/>
      <c r="AV215" s="76"/>
      <c r="AW215" s="76"/>
      <c r="AX215" s="76" t="b">
        <v>0</v>
      </c>
      <c r="AY215" s="76"/>
      <c r="AZ215" s="76"/>
      <c r="BA215" s="76" t="b">
        <v>0</v>
      </c>
      <c r="BB215" s="76" t="b">
        <v>1</v>
      </c>
      <c r="BC215" s="76" t="b">
        <v>1</v>
      </c>
      <c r="BD215" s="76" t="b">
        <v>0</v>
      </c>
      <c r="BE215" s="76" t="b">
        <v>0</v>
      </c>
      <c r="BF215" s="76" t="b">
        <v>0</v>
      </c>
      <c r="BG215" s="76" t="b">
        <v>0</v>
      </c>
      <c r="BH215" s="82" t="str">
        <f>HYPERLINK("https://pbs.twimg.com/profile_banners/1367950662424813569/1646411705")</f>
        <v>https://pbs.twimg.com/profile_banners/1367950662424813569/1646411705</v>
      </c>
      <c r="BI215" s="76"/>
      <c r="BJ215" s="76" t="s">
        <v>27595</v>
      </c>
      <c r="BK215" s="76" t="b">
        <v>0</v>
      </c>
      <c r="BL215" s="76"/>
      <c r="BM215" s="76" t="s">
        <v>66</v>
      </c>
      <c r="BN215" s="76" t="s">
        <v>27597</v>
      </c>
      <c r="BO215" s="82" t="str">
        <f>HYPERLINK("https://twitter.com/actualidad2_0")</f>
        <v>https://twitter.com/actualidad2_0</v>
      </c>
      <c r="BP215" s="2"/>
    </row>
    <row r="216" spans="1:68" x14ac:dyDescent="0.25">
      <c r="A216" s="62" t="s">
        <v>1732</v>
      </c>
      <c r="B216" s="63"/>
      <c r="C216" s="63"/>
      <c r="D216" s="64"/>
      <c r="E216" s="66"/>
      <c r="F216" s="103" t="str">
        <f>HYPERLINK("https://pbs.twimg.com/profile_images/770436107662135301/b6Uqq8oL_normal.jpg")</f>
        <v>https://pbs.twimg.com/profile_images/770436107662135301/b6Uqq8oL_normal.jpg</v>
      </c>
      <c r="G216" s="63"/>
      <c r="H216" s="67"/>
      <c r="I216" s="68"/>
      <c r="J216" s="68"/>
      <c r="K216" s="67" t="s">
        <v>27810</v>
      </c>
      <c r="L216" s="71"/>
      <c r="M216" s="72"/>
      <c r="N216" s="72"/>
      <c r="O216" s="73"/>
      <c r="P216" s="74"/>
      <c r="Q216" s="74"/>
      <c r="R216" s="87"/>
      <c r="S216" s="87"/>
      <c r="T216" s="87"/>
      <c r="U216" s="87"/>
      <c r="V216" s="48"/>
      <c r="W216" s="48"/>
      <c r="X216" s="48"/>
      <c r="Y216" s="48"/>
      <c r="Z216" s="47"/>
      <c r="AA216" s="69">
        <v>216</v>
      </c>
      <c r="AB216" s="69"/>
      <c r="AC216" s="70"/>
      <c r="AD216" s="76" t="s">
        <v>21461</v>
      </c>
      <c r="AE216" s="81" t="s">
        <v>23170</v>
      </c>
      <c r="AF216" s="76">
        <v>3873</v>
      </c>
      <c r="AG216" s="76">
        <v>569</v>
      </c>
      <c r="AH216" s="76">
        <v>16191</v>
      </c>
      <c r="AI216" s="76">
        <v>24</v>
      </c>
      <c r="AJ216" s="76">
        <v>4132</v>
      </c>
      <c r="AK216" s="76">
        <v>168</v>
      </c>
      <c r="AL216" s="76" t="b">
        <v>0</v>
      </c>
      <c r="AM216" s="78">
        <v>40381.586527777778</v>
      </c>
      <c r="AN216" s="76" t="s">
        <v>24162</v>
      </c>
      <c r="AO216" s="76" t="s">
        <v>24899</v>
      </c>
      <c r="AP216" s="82" t="str">
        <f>HYPERLINK("https://t.co/Gq3yElGPMV")</f>
        <v>https://t.co/Gq3yElGPMV</v>
      </c>
      <c r="AQ216" s="82" t="str">
        <f>HYPERLINK("http://www.supledesarrollo.com.ar")</f>
        <v>http://www.supledesarrollo.com.ar</v>
      </c>
      <c r="AR216" s="76" t="s">
        <v>26482</v>
      </c>
      <c r="AS216" s="82" t="str">
        <f>HYPERLINK("https://t.co/3BmA58jSHm")</f>
        <v>https://t.co/3BmA58jSHm</v>
      </c>
      <c r="AT216" s="82" t="str">
        <f>HYPERLINK("http://www.adnsur.com.ar")</f>
        <v>http://www.adnsur.com.ar</v>
      </c>
      <c r="AU216" s="76" t="s">
        <v>27462</v>
      </c>
      <c r="AV216" s="76"/>
      <c r="AW216" s="82" t="str">
        <f>HYPERLINK("https://t.co/Gq3yElGPMV")</f>
        <v>https://t.co/Gq3yElGPMV</v>
      </c>
      <c r="AX216" s="76" t="b">
        <v>0</v>
      </c>
      <c r="AY216" s="76"/>
      <c r="AZ216" s="76"/>
      <c r="BA216" s="76" t="b">
        <v>0</v>
      </c>
      <c r="BB216" s="76" t="b">
        <v>1</v>
      </c>
      <c r="BC216" s="76" t="b">
        <v>0</v>
      </c>
      <c r="BD216" s="76" t="b">
        <v>0</v>
      </c>
      <c r="BE216" s="76" t="b">
        <v>0</v>
      </c>
      <c r="BF216" s="76" t="b">
        <v>0</v>
      </c>
      <c r="BG216" s="76" t="b">
        <v>0</v>
      </c>
      <c r="BH216" s="76"/>
      <c r="BI216" s="76"/>
      <c r="BJ216" s="76" t="s">
        <v>27595</v>
      </c>
      <c r="BK216" s="76" t="b">
        <v>0</v>
      </c>
      <c r="BL216" s="76"/>
      <c r="BM216" s="76" t="s">
        <v>65</v>
      </c>
      <c r="BN216" s="76" t="s">
        <v>27597</v>
      </c>
      <c r="BO216" s="82" t="str">
        <f>HYPERLINK("https://twitter.com/raulefi")</f>
        <v>https://twitter.com/raulefi</v>
      </c>
      <c r="BP216" s="2"/>
    </row>
    <row r="217" spans="1:68" x14ac:dyDescent="0.25">
      <c r="A217" s="62" t="s">
        <v>376</v>
      </c>
      <c r="B217" s="63"/>
      <c r="C217" s="63"/>
      <c r="D217" s="64"/>
      <c r="E217" s="66"/>
      <c r="F217" s="103" t="str">
        <f>HYPERLINK("https://pbs.twimg.com/profile_images/1695096176889020416/siqthmmn_normal.jpg")</f>
        <v>https://pbs.twimg.com/profile_images/1695096176889020416/siqthmmn_normal.jpg</v>
      </c>
      <c r="G217" s="63"/>
      <c r="H217" s="67"/>
      <c r="I217" s="68"/>
      <c r="J217" s="68"/>
      <c r="K217" s="67" t="s">
        <v>27811</v>
      </c>
      <c r="L217" s="71"/>
      <c r="M217" s="72"/>
      <c r="N217" s="72"/>
      <c r="O217" s="73"/>
      <c r="P217" s="74"/>
      <c r="Q217" s="74"/>
      <c r="R217" s="87"/>
      <c r="S217" s="87"/>
      <c r="T217" s="87"/>
      <c r="U217" s="87"/>
      <c r="V217" s="48"/>
      <c r="W217" s="48"/>
      <c r="X217" s="48"/>
      <c r="Y217" s="48"/>
      <c r="Z217" s="47"/>
      <c r="AA217" s="69">
        <v>217</v>
      </c>
      <c r="AB217" s="69"/>
      <c r="AC217" s="70"/>
      <c r="AD217" s="76" t="s">
        <v>21462</v>
      </c>
      <c r="AE217" s="81" t="s">
        <v>23171</v>
      </c>
      <c r="AF217" s="76">
        <v>79</v>
      </c>
      <c r="AG217" s="76">
        <v>28</v>
      </c>
      <c r="AH217" s="76">
        <v>1426</v>
      </c>
      <c r="AI217" s="76">
        <v>0</v>
      </c>
      <c r="AJ217" s="76">
        <v>463</v>
      </c>
      <c r="AK217" s="76">
        <v>556</v>
      </c>
      <c r="AL217" s="76" t="b">
        <v>0</v>
      </c>
      <c r="AM217" s="78">
        <v>41514.677997685183</v>
      </c>
      <c r="AN217" s="76" t="s">
        <v>24163</v>
      </c>
      <c r="AO217" s="76" t="s">
        <v>24900</v>
      </c>
      <c r="AP217" s="82" t="str">
        <f>HYPERLINK("https://t.co/JEmMit4K4i")</f>
        <v>https://t.co/JEmMit4K4i</v>
      </c>
      <c r="AQ217" s="82" t="str">
        <f>HYPERLINK("https://kontabil.net/")</f>
        <v>https://kontabil.net/</v>
      </c>
      <c r="AR217" s="76" t="s">
        <v>26483</v>
      </c>
      <c r="AS217" s="76"/>
      <c r="AT217" s="76"/>
      <c r="AU217" s="76"/>
      <c r="AV217" s="76">
        <v>1.6955777884832799E+18</v>
      </c>
      <c r="AW217" s="82" t="str">
        <f>HYPERLINK("https://t.co/JEmMit4K4i")</f>
        <v>https://t.co/JEmMit4K4i</v>
      </c>
      <c r="AX217" s="76" t="b">
        <v>0</v>
      </c>
      <c r="AY217" s="76"/>
      <c r="AZ217" s="76"/>
      <c r="BA217" s="76" t="b">
        <v>0</v>
      </c>
      <c r="BB217" s="76" t="b">
        <v>1</v>
      </c>
      <c r="BC217" s="76" t="b">
        <v>0</v>
      </c>
      <c r="BD217" s="76" t="b">
        <v>0</v>
      </c>
      <c r="BE217" s="76" t="b">
        <v>1</v>
      </c>
      <c r="BF217" s="76" t="b">
        <v>0</v>
      </c>
      <c r="BG217" s="76" t="b">
        <v>0</v>
      </c>
      <c r="BH217" s="82" t="str">
        <f>HYPERLINK("https://pbs.twimg.com/profile_banners/1707652002/1695067645")</f>
        <v>https://pbs.twimg.com/profile_banners/1707652002/1695067645</v>
      </c>
      <c r="BI217" s="76"/>
      <c r="BJ217" s="76" t="s">
        <v>27595</v>
      </c>
      <c r="BK217" s="76" t="b">
        <v>0</v>
      </c>
      <c r="BL217" s="76"/>
      <c r="BM217" s="76" t="s">
        <v>66</v>
      </c>
      <c r="BN217" s="76" t="s">
        <v>27597</v>
      </c>
      <c r="BO217" s="82" t="str">
        <f>HYPERLINK("https://twitter.com/contadorfred")</f>
        <v>https://twitter.com/contadorfred</v>
      </c>
      <c r="BP217" s="2"/>
    </row>
    <row r="218" spans="1:68" x14ac:dyDescent="0.25">
      <c r="A218" s="62" t="s">
        <v>377</v>
      </c>
      <c r="B218" s="63"/>
      <c r="C218" s="63"/>
      <c r="D218" s="64"/>
      <c r="E218" s="66"/>
      <c r="F218" s="103" t="str">
        <f>HYPERLINK("https://pbs.twimg.com/profile_images/1598073300034486274/_xgFA5ZR_normal.jpg")</f>
        <v>https://pbs.twimg.com/profile_images/1598073300034486274/_xgFA5ZR_normal.jpg</v>
      </c>
      <c r="G218" s="63"/>
      <c r="H218" s="67"/>
      <c r="I218" s="68"/>
      <c r="J218" s="68"/>
      <c r="K218" s="67" t="s">
        <v>27812</v>
      </c>
      <c r="L218" s="71"/>
      <c r="M218" s="72"/>
      <c r="N218" s="72"/>
      <c r="O218" s="73"/>
      <c r="P218" s="74"/>
      <c r="Q218" s="74"/>
      <c r="R218" s="87"/>
      <c r="S218" s="87"/>
      <c r="T218" s="87"/>
      <c r="U218" s="87"/>
      <c r="V218" s="48"/>
      <c r="W218" s="48"/>
      <c r="X218" s="48"/>
      <c r="Y218" s="48"/>
      <c r="Z218" s="47"/>
      <c r="AA218" s="69">
        <v>218</v>
      </c>
      <c r="AB218" s="69"/>
      <c r="AC218" s="70"/>
      <c r="AD218" s="76" t="s">
        <v>21463</v>
      </c>
      <c r="AE218" s="81" t="s">
        <v>20573</v>
      </c>
      <c r="AF218" s="76">
        <v>217</v>
      </c>
      <c r="AG218" s="76">
        <v>90</v>
      </c>
      <c r="AH218" s="76">
        <v>5241</v>
      </c>
      <c r="AI218" s="76">
        <v>4</v>
      </c>
      <c r="AJ218" s="76">
        <v>40</v>
      </c>
      <c r="AK218" s="76">
        <v>24</v>
      </c>
      <c r="AL218" s="76" t="b">
        <v>0</v>
      </c>
      <c r="AM218" s="78">
        <v>44895.878113425926</v>
      </c>
      <c r="AN218" s="76"/>
      <c r="AO218" s="76" t="s">
        <v>24901</v>
      </c>
      <c r="AP218" s="76"/>
      <c r="AQ218" s="76"/>
      <c r="AR218" s="76"/>
      <c r="AS218" s="76"/>
      <c r="AT218" s="76"/>
      <c r="AU218" s="76"/>
      <c r="AV218" s="76">
        <v>1.70680092575345E+18</v>
      </c>
      <c r="AW218" s="76"/>
      <c r="AX218" s="76" t="b">
        <v>0</v>
      </c>
      <c r="AY218" s="76"/>
      <c r="AZ218" s="76"/>
      <c r="BA218" s="76" t="b">
        <v>0</v>
      </c>
      <c r="BB218" s="76" t="b">
        <v>1</v>
      </c>
      <c r="BC218" s="76" t="b">
        <v>1</v>
      </c>
      <c r="BD218" s="76" t="b">
        <v>0</v>
      </c>
      <c r="BE218" s="76" t="b">
        <v>1</v>
      </c>
      <c r="BF218" s="76" t="b">
        <v>0</v>
      </c>
      <c r="BG218" s="76" t="b">
        <v>0</v>
      </c>
      <c r="BH218" s="82" t="str">
        <f>HYPERLINK("https://pbs.twimg.com/profile_banners/1598060295087333379/1669845107")</f>
        <v>https://pbs.twimg.com/profile_banners/1598060295087333379/1669845107</v>
      </c>
      <c r="BI218" s="76"/>
      <c r="BJ218" s="76" t="s">
        <v>27595</v>
      </c>
      <c r="BK218" s="76" t="b">
        <v>0</v>
      </c>
      <c r="BL218" s="76"/>
      <c r="BM218" s="76" t="s">
        <v>66</v>
      </c>
      <c r="BN218" s="76" t="s">
        <v>27597</v>
      </c>
      <c r="BO218" s="82" t="str">
        <f>HYPERLINK("https://twitter.com/destaquesqi")</f>
        <v>https://twitter.com/destaquesqi</v>
      </c>
      <c r="BP218" s="2"/>
    </row>
    <row r="219" spans="1:68" x14ac:dyDescent="0.25">
      <c r="A219" s="62" t="s">
        <v>378</v>
      </c>
      <c r="B219" s="63"/>
      <c r="C219" s="63"/>
      <c r="D219" s="64"/>
      <c r="E219" s="66"/>
      <c r="F219" s="103" t="str">
        <f>HYPERLINK("https://pbs.twimg.com/profile_images/1498786622913093632/c51iNztD_normal.jpg")</f>
        <v>https://pbs.twimg.com/profile_images/1498786622913093632/c51iNztD_normal.jpg</v>
      </c>
      <c r="G219" s="63"/>
      <c r="H219" s="67"/>
      <c r="I219" s="68"/>
      <c r="J219" s="68"/>
      <c r="K219" s="67" t="s">
        <v>27813</v>
      </c>
      <c r="L219" s="71"/>
      <c r="M219" s="72"/>
      <c r="N219" s="72"/>
      <c r="O219" s="73"/>
      <c r="P219" s="74"/>
      <c r="Q219" s="74"/>
      <c r="R219" s="87"/>
      <c r="S219" s="87"/>
      <c r="T219" s="87"/>
      <c r="U219" s="87"/>
      <c r="V219" s="48"/>
      <c r="W219" s="48"/>
      <c r="X219" s="48"/>
      <c r="Y219" s="48"/>
      <c r="Z219" s="47"/>
      <c r="AA219" s="69">
        <v>219</v>
      </c>
      <c r="AB219" s="69"/>
      <c r="AC219" s="70"/>
      <c r="AD219" s="76" t="s">
        <v>21464</v>
      </c>
      <c r="AE219" s="81" t="s">
        <v>23172</v>
      </c>
      <c r="AF219" s="76">
        <v>4000</v>
      </c>
      <c r="AG219" s="76">
        <v>4279</v>
      </c>
      <c r="AH219" s="76">
        <v>49345</v>
      </c>
      <c r="AI219" s="76">
        <v>53</v>
      </c>
      <c r="AJ219" s="76">
        <v>163526</v>
      </c>
      <c r="AK219" s="76">
        <v>5050</v>
      </c>
      <c r="AL219" s="76" t="b">
        <v>0</v>
      </c>
      <c r="AM219" s="78">
        <v>40914.611863425926</v>
      </c>
      <c r="AN219" s="76" t="s">
        <v>24164</v>
      </c>
      <c r="AO219" s="76" t="s">
        <v>24902</v>
      </c>
      <c r="AP219" s="82" t="str">
        <f>HYPERLINK("https://t.co/xB5hfesTJA")</f>
        <v>https://t.co/xB5hfesTJA</v>
      </c>
      <c r="AQ219" s="82" t="str">
        <f>HYPERLINK("https://linktr.ee/nfuster")</f>
        <v>https://linktr.ee/nfuster</v>
      </c>
      <c r="AR219" s="76" t="s">
        <v>26484</v>
      </c>
      <c r="AS219" s="76"/>
      <c r="AT219" s="76"/>
      <c r="AU219" s="76"/>
      <c r="AV219" s="76">
        <v>1.62251216753775E+18</v>
      </c>
      <c r="AW219" s="82" t="str">
        <f>HYPERLINK("https://t.co/xB5hfesTJA")</f>
        <v>https://t.co/xB5hfesTJA</v>
      </c>
      <c r="AX219" s="76" t="b">
        <v>0</v>
      </c>
      <c r="AY219" s="76"/>
      <c r="AZ219" s="76"/>
      <c r="BA219" s="76" t="b">
        <v>0</v>
      </c>
      <c r="BB219" s="76" t="b">
        <v>1</v>
      </c>
      <c r="BC219" s="76" t="b">
        <v>0</v>
      </c>
      <c r="BD219" s="76" t="b">
        <v>0</v>
      </c>
      <c r="BE219" s="76" t="b">
        <v>0</v>
      </c>
      <c r="BF219" s="76" t="b">
        <v>0</v>
      </c>
      <c r="BG219" s="76" t="b">
        <v>0</v>
      </c>
      <c r="BH219" s="82" t="str">
        <f>HYPERLINK("https://pbs.twimg.com/profile_banners/456677700/1672257932")</f>
        <v>https://pbs.twimg.com/profile_banners/456677700/1672257932</v>
      </c>
      <c r="BI219" s="76"/>
      <c r="BJ219" s="76" t="s">
        <v>27595</v>
      </c>
      <c r="BK219" s="76" t="b">
        <v>0</v>
      </c>
      <c r="BL219" s="76"/>
      <c r="BM219" s="76" t="s">
        <v>66</v>
      </c>
      <c r="BN219" s="76" t="s">
        <v>27597</v>
      </c>
      <c r="BO219" s="82" t="str">
        <f>HYPERLINK("https://twitter.com/mellamonicolas")</f>
        <v>https://twitter.com/mellamonicolas</v>
      </c>
      <c r="BP219" s="2"/>
    </row>
    <row r="220" spans="1:68" x14ac:dyDescent="0.25">
      <c r="A220" s="62" t="s">
        <v>985</v>
      </c>
      <c r="B220" s="63"/>
      <c r="C220" s="63"/>
      <c r="D220" s="64"/>
      <c r="E220" s="66"/>
      <c r="F220" s="103" t="str">
        <f>HYPERLINK("https://pbs.twimg.com/profile_images/875649264826724352/7ZsxO5yi_normal.jpg")</f>
        <v>https://pbs.twimg.com/profile_images/875649264826724352/7ZsxO5yi_normal.jpg</v>
      </c>
      <c r="G220" s="63"/>
      <c r="H220" s="67"/>
      <c r="I220" s="68"/>
      <c r="J220" s="68"/>
      <c r="K220" s="67" t="s">
        <v>27814</v>
      </c>
      <c r="L220" s="71"/>
      <c r="M220" s="72"/>
      <c r="N220" s="72"/>
      <c r="O220" s="73"/>
      <c r="P220" s="74"/>
      <c r="Q220" s="74"/>
      <c r="R220" s="87"/>
      <c r="S220" s="87"/>
      <c r="T220" s="87"/>
      <c r="U220" s="87"/>
      <c r="V220" s="48"/>
      <c r="W220" s="48"/>
      <c r="X220" s="48"/>
      <c r="Y220" s="48"/>
      <c r="Z220" s="47"/>
      <c r="AA220" s="69">
        <v>220</v>
      </c>
      <c r="AB220" s="69"/>
      <c r="AC220" s="70"/>
      <c r="AD220" s="76" t="s">
        <v>21465</v>
      </c>
      <c r="AE220" s="81" t="s">
        <v>20312</v>
      </c>
      <c r="AF220" s="76">
        <v>171523</v>
      </c>
      <c r="AG220" s="76">
        <v>676</v>
      </c>
      <c r="AH220" s="76">
        <v>105338</v>
      </c>
      <c r="AI220" s="76">
        <v>1389</v>
      </c>
      <c r="AJ220" s="76">
        <v>11314</v>
      </c>
      <c r="AK220" s="76">
        <v>57826</v>
      </c>
      <c r="AL220" s="76" t="b">
        <v>0</v>
      </c>
      <c r="AM220" s="78">
        <v>42586.338263888887</v>
      </c>
      <c r="AN220" s="76" t="s">
        <v>24165</v>
      </c>
      <c r="AO220" s="76" t="s">
        <v>24903</v>
      </c>
      <c r="AP220" s="82" t="str">
        <f>HYPERLINK("https://t.co/Np8cHR4kqV")</f>
        <v>https://t.co/Np8cHR4kqV</v>
      </c>
      <c r="AQ220" s="82" t="str">
        <f>HYPERLINK("https://t.me/France24_es")</f>
        <v>https://t.me/France24_es</v>
      </c>
      <c r="AR220" s="76" t="s">
        <v>26485</v>
      </c>
      <c r="AS220" s="82" t="str">
        <f>HYPERLINK("https://t.co/mVxdFurCcL")</f>
        <v>https://t.co/mVxdFurCcL</v>
      </c>
      <c r="AT220" s="82" t="str">
        <f>HYPERLINK("http://f24.my/YTliveES")</f>
        <v>http://f24.my/YTliveES</v>
      </c>
      <c r="AU220" s="76" t="s">
        <v>27463</v>
      </c>
      <c r="AV220" s="76"/>
      <c r="AW220" s="82" t="str">
        <f>HYPERLINK("https://t.co/Np8cHR4kqV")</f>
        <v>https://t.co/Np8cHR4kqV</v>
      </c>
      <c r="AX220" s="76" t="b">
        <v>1</v>
      </c>
      <c r="AY220" s="76"/>
      <c r="AZ220" s="76"/>
      <c r="BA220" s="76" t="b">
        <v>0</v>
      </c>
      <c r="BB220" s="76" t="b">
        <v>1</v>
      </c>
      <c r="BC220" s="76" t="b">
        <v>0</v>
      </c>
      <c r="BD220" s="76" t="b">
        <v>0</v>
      </c>
      <c r="BE220" s="76" t="b">
        <v>1</v>
      </c>
      <c r="BF220" s="76" t="b">
        <v>0</v>
      </c>
      <c r="BG220" s="76" t="b">
        <v>0</v>
      </c>
      <c r="BH220" s="82" t="str">
        <f>HYPERLINK("https://pbs.twimg.com/profile_banners/761111202541948928/1672615535")</f>
        <v>https://pbs.twimg.com/profile_banners/761111202541948928/1672615535</v>
      </c>
      <c r="BI220" s="76"/>
      <c r="BJ220" s="76" t="s">
        <v>27595</v>
      </c>
      <c r="BK220" s="76" t="b">
        <v>0</v>
      </c>
      <c r="BL220" s="76"/>
      <c r="BM220" s="76" t="s">
        <v>66</v>
      </c>
      <c r="BN220" s="76" t="s">
        <v>27597</v>
      </c>
      <c r="BO220" s="82" t="str">
        <f>HYPERLINK("https://twitter.com/france24_es")</f>
        <v>https://twitter.com/france24_es</v>
      </c>
      <c r="BP220" s="2"/>
    </row>
    <row r="221" spans="1:68" x14ac:dyDescent="0.25">
      <c r="A221" s="62" t="s">
        <v>1349</v>
      </c>
      <c r="B221" s="63"/>
      <c r="C221" s="63"/>
      <c r="D221" s="64"/>
      <c r="E221" s="66"/>
      <c r="F221" s="103" t="str">
        <f>HYPERLINK("https://pbs.twimg.com/profile_images/1349455482394726404/GolppWvy_normal.jpg")</f>
        <v>https://pbs.twimg.com/profile_images/1349455482394726404/GolppWvy_normal.jpg</v>
      </c>
      <c r="G221" s="63"/>
      <c r="H221" s="67"/>
      <c r="I221" s="68"/>
      <c r="J221" s="68"/>
      <c r="K221" s="67" t="s">
        <v>27815</v>
      </c>
      <c r="L221" s="71"/>
      <c r="M221" s="72"/>
      <c r="N221" s="72"/>
      <c r="O221" s="73"/>
      <c r="P221" s="74"/>
      <c r="Q221" s="74"/>
      <c r="R221" s="87"/>
      <c r="S221" s="87"/>
      <c r="T221" s="87"/>
      <c r="U221" s="87"/>
      <c r="V221" s="48"/>
      <c r="W221" s="48"/>
      <c r="X221" s="48"/>
      <c r="Y221" s="48"/>
      <c r="Z221" s="47"/>
      <c r="AA221" s="69">
        <v>221</v>
      </c>
      <c r="AB221" s="69"/>
      <c r="AC221" s="70"/>
      <c r="AD221" s="76" t="s">
        <v>21466</v>
      </c>
      <c r="AE221" s="81" t="s">
        <v>23173</v>
      </c>
      <c r="AF221" s="76">
        <v>39390</v>
      </c>
      <c r="AG221" s="76">
        <v>1263</v>
      </c>
      <c r="AH221" s="76">
        <v>26876</v>
      </c>
      <c r="AI221" s="76">
        <v>396</v>
      </c>
      <c r="AJ221" s="76">
        <v>29838</v>
      </c>
      <c r="AK221" s="76">
        <v>2571</v>
      </c>
      <c r="AL221" s="76" t="b">
        <v>0</v>
      </c>
      <c r="AM221" s="78">
        <v>40978.936747685184</v>
      </c>
      <c r="AN221" s="76"/>
      <c r="AO221" s="76" t="s">
        <v>24904</v>
      </c>
      <c r="AP221" s="82" t="str">
        <f>HYPERLINK("https://t.co/rpJoOXfcrt")</f>
        <v>https://t.co/rpJoOXfcrt</v>
      </c>
      <c r="AQ221" s="82" t="str">
        <f>HYPERLINK("https://fmya.com.ar")</f>
        <v>https://fmya.com.ar</v>
      </c>
      <c r="AR221" s="76" t="s">
        <v>26486</v>
      </c>
      <c r="AS221" s="76"/>
      <c r="AT221" s="76"/>
      <c r="AU221" s="76"/>
      <c r="AV221" s="76"/>
      <c r="AW221" s="82" t="str">
        <f>HYPERLINK("https://t.co/rpJoOXfcrt")</f>
        <v>https://t.co/rpJoOXfcrt</v>
      </c>
      <c r="AX221" s="76" t="b">
        <v>0</v>
      </c>
      <c r="AY221" s="76"/>
      <c r="AZ221" s="76"/>
      <c r="BA221" s="76" t="b">
        <v>1</v>
      </c>
      <c r="BB221" s="76" t="b">
        <v>1</v>
      </c>
      <c r="BC221" s="76" t="b">
        <v>1</v>
      </c>
      <c r="BD221" s="76" t="b">
        <v>0</v>
      </c>
      <c r="BE221" s="76" t="b">
        <v>1</v>
      </c>
      <c r="BF221" s="76" t="b">
        <v>0</v>
      </c>
      <c r="BG221" s="76" t="b">
        <v>0</v>
      </c>
      <c r="BH221" s="82" t="str">
        <f>HYPERLINK("https://pbs.twimg.com/profile_banners/520788894/1589391693")</f>
        <v>https://pbs.twimg.com/profile_banners/520788894/1589391693</v>
      </c>
      <c r="BI221" s="76"/>
      <c r="BJ221" s="76" t="s">
        <v>27595</v>
      </c>
      <c r="BK221" s="76" t="b">
        <v>0</v>
      </c>
      <c r="BL221" s="76"/>
      <c r="BM221" s="76" t="s">
        <v>66</v>
      </c>
      <c r="BN221" s="76" t="s">
        <v>27597</v>
      </c>
      <c r="BO221" s="82" t="str">
        <f>HYPERLINK("https://twitter.com/fernandomarull")</f>
        <v>https://twitter.com/fernandomarull</v>
      </c>
      <c r="BP221" s="2"/>
    </row>
    <row r="222" spans="1:68" x14ac:dyDescent="0.25">
      <c r="A222" s="62" t="s">
        <v>379</v>
      </c>
      <c r="B222" s="63"/>
      <c r="C222" s="63"/>
      <c r="D222" s="64"/>
      <c r="E222" s="66"/>
      <c r="F222" s="103" t="str">
        <f>HYPERLINK("https://pbs.twimg.com/profile_images/1663651183410511876/nxMLXQx3_normal.jpg")</f>
        <v>https://pbs.twimg.com/profile_images/1663651183410511876/nxMLXQx3_normal.jpg</v>
      </c>
      <c r="G222" s="63"/>
      <c r="H222" s="67"/>
      <c r="I222" s="68"/>
      <c r="J222" s="68"/>
      <c r="K222" s="67" t="s">
        <v>27816</v>
      </c>
      <c r="L222" s="71"/>
      <c r="M222" s="72"/>
      <c r="N222" s="72"/>
      <c r="O222" s="73"/>
      <c r="P222" s="74"/>
      <c r="Q222" s="74"/>
      <c r="R222" s="87"/>
      <c r="S222" s="87"/>
      <c r="T222" s="87"/>
      <c r="U222" s="87"/>
      <c r="V222" s="48"/>
      <c r="W222" s="48"/>
      <c r="X222" s="48"/>
      <c r="Y222" s="48"/>
      <c r="Z222" s="47"/>
      <c r="AA222" s="69">
        <v>222</v>
      </c>
      <c r="AB222" s="69"/>
      <c r="AC222" s="70"/>
      <c r="AD222" s="76" t="s">
        <v>21467</v>
      </c>
      <c r="AE222" s="81" t="s">
        <v>23174</v>
      </c>
      <c r="AF222" s="76">
        <v>166484</v>
      </c>
      <c r="AG222" s="76">
        <v>2430</v>
      </c>
      <c r="AH222" s="76">
        <v>377963</v>
      </c>
      <c r="AI222" s="76">
        <v>284</v>
      </c>
      <c r="AJ222" s="76">
        <v>12863</v>
      </c>
      <c r="AK222" s="76">
        <v>170180</v>
      </c>
      <c r="AL222" s="76" t="b">
        <v>0</v>
      </c>
      <c r="AM222" s="78">
        <v>40680.762604166666</v>
      </c>
      <c r="AN222" s="76" t="s">
        <v>24166</v>
      </c>
      <c r="AO222" s="76" t="s">
        <v>24905</v>
      </c>
      <c r="AP222" s="82" t="str">
        <f>HYPERLINK("https://t.co/61m1FuSpF3")</f>
        <v>https://t.co/61m1FuSpF3</v>
      </c>
      <c r="AQ222" s="82" t="str">
        <f>HYPERLINK("https://red92.com")</f>
        <v>https://red92.com</v>
      </c>
      <c r="AR222" s="76" t="s">
        <v>8655</v>
      </c>
      <c r="AS222" s="76"/>
      <c r="AT222" s="76"/>
      <c r="AU222" s="76"/>
      <c r="AV222" s="76"/>
      <c r="AW222" s="82" t="str">
        <f>HYPERLINK("https://t.co/61m1FuSpF3")</f>
        <v>https://t.co/61m1FuSpF3</v>
      </c>
      <c r="AX222" s="76" t="b">
        <v>1</v>
      </c>
      <c r="AY222" s="76"/>
      <c r="AZ222" s="76"/>
      <c r="BA222" s="76" t="b">
        <v>1</v>
      </c>
      <c r="BB222" s="76" t="b">
        <v>1</v>
      </c>
      <c r="BC222" s="76" t="b">
        <v>0</v>
      </c>
      <c r="BD222" s="76" t="b">
        <v>0</v>
      </c>
      <c r="BE222" s="76" t="b">
        <v>1</v>
      </c>
      <c r="BF222" s="76" t="b">
        <v>0</v>
      </c>
      <c r="BG222" s="76" t="b">
        <v>0</v>
      </c>
      <c r="BH222" s="82" t="str">
        <f>HYPERLINK("https://pbs.twimg.com/profile_banners/300405680/1597634531")</f>
        <v>https://pbs.twimg.com/profile_banners/300405680/1597634531</v>
      </c>
      <c r="BI222" s="76"/>
      <c r="BJ222" s="76" t="s">
        <v>27595</v>
      </c>
      <c r="BK222" s="76" t="b">
        <v>0</v>
      </c>
      <c r="BL222" s="76"/>
      <c r="BM222" s="76" t="s">
        <v>66</v>
      </c>
      <c r="BN222" s="76" t="s">
        <v>27597</v>
      </c>
      <c r="BO222" s="82" t="str">
        <f>HYPERLINK("https://twitter.com/red92cadadiamas")</f>
        <v>https://twitter.com/red92cadadiamas</v>
      </c>
      <c r="BP222" s="2"/>
    </row>
    <row r="223" spans="1:68" x14ac:dyDescent="0.25">
      <c r="A223" s="62" t="s">
        <v>380</v>
      </c>
      <c r="B223" s="63"/>
      <c r="C223" s="63"/>
      <c r="D223" s="64"/>
      <c r="E223" s="66"/>
      <c r="F223" s="103" t="str">
        <f>HYPERLINK("https://pbs.twimg.com/profile_images/1671976539091509249/8_i_Xc2Y_normal.jpg")</f>
        <v>https://pbs.twimg.com/profile_images/1671976539091509249/8_i_Xc2Y_normal.jpg</v>
      </c>
      <c r="G223" s="63"/>
      <c r="H223" s="67"/>
      <c r="I223" s="68"/>
      <c r="J223" s="68"/>
      <c r="K223" s="67" t="s">
        <v>27817</v>
      </c>
      <c r="L223" s="71"/>
      <c r="M223" s="72"/>
      <c r="N223" s="72"/>
      <c r="O223" s="73"/>
      <c r="P223" s="74"/>
      <c r="Q223" s="74"/>
      <c r="R223" s="87"/>
      <c r="S223" s="87"/>
      <c r="T223" s="87"/>
      <c r="U223" s="87"/>
      <c r="V223" s="48"/>
      <c r="W223" s="48"/>
      <c r="X223" s="48"/>
      <c r="Y223" s="48"/>
      <c r="Z223" s="47"/>
      <c r="AA223" s="69">
        <v>223</v>
      </c>
      <c r="AB223" s="69"/>
      <c r="AC223" s="70"/>
      <c r="AD223" s="76" t="s">
        <v>380</v>
      </c>
      <c r="AE223" s="81" t="s">
        <v>23175</v>
      </c>
      <c r="AF223" s="76">
        <v>2734</v>
      </c>
      <c r="AG223" s="76">
        <v>664</v>
      </c>
      <c r="AH223" s="76">
        <v>139305</v>
      </c>
      <c r="AI223" s="76">
        <v>17</v>
      </c>
      <c r="AJ223" s="76">
        <v>28777</v>
      </c>
      <c r="AK223" s="76">
        <v>6572</v>
      </c>
      <c r="AL223" s="76" t="b">
        <v>0</v>
      </c>
      <c r="AM223" s="78">
        <v>41228.560555555552</v>
      </c>
      <c r="AN223" s="76" t="s">
        <v>24167</v>
      </c>
      <c r="AO223" s="76" t="s">
        <v>24906</v>
      </c>
      <c r="AP223" s="82" t="str">
        <f>HYPERLINK("https://t.co/WUWDFtyIf0")</f>
        <v>https://t.co/WUWDFtyIf0</v>
      </c>
      <c r="AQ223" s="82" t="str">
        <f>HYPERLINK("https://esquinard.com")</f>
        <v>https://esquinard.com</v>
      </c>
      <c r="AR223" s="76" t="s">
        <v>8656</v>
      </c>
      <c r="AS223" s="82" t="str">
        <f>HYPERLINK("https://t.co/fvzePcPpiI")</f>
        <v>https://t.co/fvzePcPpiI</v>
      </c>
      <c r="AT223" s="82" t="str">
        <f>HYPERLINK("http://esquinard.com")</f>
        <v>http://esquinard.com</v>
      </c>
      <c r="AU223" s="76" t="s">
        <v>8656</v>
      </c>
      <c r="AV223" s="76"/>
      <c r="AW223" s="82" t="str">
        <f>HYPERLINK("https://t.co/WUWDFtyIf0")</f>
        <v>https://t.co/WUWDFtyIf0</v>
      </c>
      <c r="AX223" s="76" t="b">
        <v>0</v>
      </c>
      <c r="AY223" s="76"/>
      <c r="AZ223" s="76"/>
      <c r="BA223" s="76" t="b">
        <v>1</v>
      </c>
      <c r="BB223" s="76" t="b">
        <v>1</v>
      </c>
      <c r="BC223" s="76" t="b">
        <v>0</v>
      </c>
      <c r="BD223" s="76" t="b">
        <v>0</v>
      </c>
      <c r="BE223" s="76" t="b">
        <v>0</v>
      </c>
      <c r="BF223" s="76" t="b">
        <v>0</v>
      </c>
      <c r="BG223" s="76" t="b">
        <v>0</v>
      </c>
      <c r="BH223" s="82" t="str">
        <f>HYPERLINK("https://pbs.twimg.com/profile_banners/949742420/1687534666")</f>
        <v>https://pbs.twimg.com/profile_banners/949742420/1687534666</v>
      </c>
      <c r="BI223" s="76"/>
      <c r="BJ223" s="76" t="s">
        <v>27595</v>
      </c>
      <c r="BK223" s="76" t="b">
        <v>0</v>
      </c>
      <c r="BL223" s="76"/>
      <c r="BM223" s="76" t="s">
        <v>66</v>
      </c>
      <c r="BN223" s="76" t="s">
        <v>27597</v>
      </c>
      <c r="BO223" s="82" t="str">
        <f>HYPERLINK("https://twitter.com/esquinard")</f>
        <v>https://twitter.com/esquinard</v>
      </c>
      <c r="BP223" s="2"/>
    </row>
    <row r="224" spans="1:68" x14ac:dyDescent="0.25">
      <c r="A224" s="62" t="s">
        <v>381</v>
      </c>
      <c r="B224" s="63"/>
      <c r="C224" s="63"/>
      <c r="D224" s="64"/>
      <c r="E224" s="66"/>
      <c r="F224" s="103" t="str">
        <f>HYPERLINK("https://pbs.twimg.com/profile_images/1706337874935713793/CvBuOxlo_normal.jpg")</f>
        <v>https://pbs.twimg.com/profile_images/1706337874935713793/CvBuOxlo_normal.jpg</v>
      </c>
      <c r="G224" s="63"/>
      <c r="H224" s="67"/>
      <c r="I224" s="68"/>
      <c r="J224" s="68"/>
      <c r="K224" s="67" t="s">
        <v>27818</v>
      </c>
      <c r="L224" s="71"/>
      <c r="M224" s="72"/>
      <c r="N224" s="72"/>
      <c r="O224" s="73"/>
      <c r="P224" s="74"/>
      <c r="Q224" s="74"/>
      <c r="R224" s="87"/>
      <c r="S224" s="87"/>
      <c r="T224" s="87"/>
      <c r="U224" s="87"/>
      <c r="V224" s="48"/>
      <c r="W224" s="48"/>
      <c r="X224" s="48"/>
      <c r="Y224" s="48"/>
      <c r="Z224" s="47"/>
      <c r="AA224" s="69">
        <v>224</v>
      </c>
      <c r="AB224" s="69"/>
      <c r="AC224" s="70"/>
      <c r="AD224" s="76">
        <v>221</v>
      </c>
      <c r="AE224" s="81" t="s">
        <v>23176</v>
      </c>
      <c r="AF224" s="76">
        <v>39570</v>
      </c>
      <c r="AG224" s="76">
        <v>1097</v>
      </c>
      <c r="AH224" s="76">
        <v>99742</v>
      </c>
      <c r="AI224" s="76">
        <v>183</v>
      </c>
      <c r="AJ224" s="76">
        <v>3524</v>
      </c>
      <c r="AK224" s="76">
        <v>67221</v>
      </c>
      <c r="AL224" s="76" t="b">
        <v>0</v>
      </c>
      <c r="AM224" s="78">
        <v>40373.071342592593</v>
      </c>
      <c r="AN224" s="76" t="s">
        <v>24168</v>
      </c>
      <c r="AO224" s="76" t="s">
        <v>24907</v>
      </c>
      <c r="AP224" s="82" t="str">
        <f>HYPERLINK("https://t.co/o0UJx0UKQ1")</f>
        <v>https://t.co/o0UJx0UKQ1</v>
      </c>
      <c r="AQ224" s="82" t="str">
        <f>HYPERLINK("http://www.0221.com.ar")</f>
        <v>http://www.0221.com.ar</v>
      </c>
      <c r="AR224" s="76" t="s">
        <v>26487</v>
      </c>
      <c r="AS224" s="76"/>
      <c r="AT224" s="76"/>
      <c r="AU224" s="76"/>
      <c r="AV224" s="76">
        <v>1.7063376499867599E+18</v>
      </c>
      <c r="AW224" s="82" t="str">
        <f>HYPERLINK("https://t.co/o0UJx0UKQ1")</f>
        <v>https://t.co/o0UJx0UKQ1</v>
      </c>
      <c r="AX224" s="76" t="b">
        <v>0</v>
      </c>
      <c r="AY224" s="76"/>
      <c r="AZ224" s="76"/>
      <c r="BA224" s="76" t="b">
        <v>1</v>
      </c>
      <c r="BB224" s="76" t="b">
        <v>0</v>
      </c>
      <c r="BC224" s="76" t="b">
        <v>0</v>
      </c>
      <c r="BD224" s="76" t="b">
        <v>0</v>
      </c>
      <c r="BE224" s="76" t="b">
        <v>1</v>
      </c>
      <c r="BF224" s="76" t="b">
        <v>0</v>
      </c>
      <c r="BG224" s="76" t="b">
        <v>0</v>
      </c>
      <c r="BH224" s="82" t="str">
        <f>HYPERLINK("https://pbs.twimg.com/profile_banners/166395732/1695657627")</f>
        <v>https://pbs.twimg.com/profile_banners/166395732/1695657627</v>
      </c>
      <c r="BI224" s="76"/>
      <c r="BJ224" s="76" t="s">
        <v>27595</v>
      </c>
      <c r="BK224" s="76" t="b">
        <v>0</v>
      </c>
      <c r="BL224" s="76"/>
      <c r="BM224" s="76" t="s">
        <v>66</v>
      </c>
      <c r="BN224" s="76" t="s">
        <v>27597</v>
      </c>
      <c r="BO224" s="82" t="str">
        <f>HYPERLINK("https://twitter.com/0221comar")</f>
        <v>https://twitter.com/0221comar</v>
      </c>
      <c r="BP224" s="2"/>
    </row>
    <row r="225" spans="1:68" x14ac:dyDescent="0.25">
      <c r="A225" s="62" t="s">
        <v>382</v>
      </c>
      <c r="B225" s="63"/>
      <c r="C225" s="63"/>
      <c r="D225" s="64"/>
      <c r="E225" s="66"/>
      <c r="F225" s="103" t="str">
        <f>HYPERLINK("https://pbs.twimg.com/profile_images/1674450911819710464/vzdW1hws_normal.jpg")</f>
        <v>https://pbs.twimg.com/profile_images/1674450911819710464/vzdW1hws_normal.jpg</v>
      </c>
      <c r="G225" s="63"/>
      <c r="H225" s="67"/>
      <c r="I225" s="68"/>
      <c r="J225" s="68"/>
      <c r="K225" s="67" t="s">
        <v>27819</v>
      </c>
      <c r="L225" s="71"/>
      <c r="M225" s="72"/>
      <c r="N225" s="72"/>
      <c r="O225" s="73"/>
      <c r="P225" s="74"/>
      <c r="Q225" s="74"/>
      <c r="R225" s="87"/>
      <c r="S225" s="87"/>
      <c r="T225" s="87"/>
      <c r="U225" s="87"/>
      <c r="V225" s="48"/>
      <c r="W225" s="48"/>
      <c r="X225" s="48"/>
      <c r="Y225" s="48"/>
      <c r="Z225" s="47"/>
      <c r="AA225" s="69">
        <v>225</v>
      </c>
      <c r="AB225" s="69"/>
      <c r="AC225" s="70"/>
      <c r="AD225" s="76" t="s">
        <v>21468</v>
      </c>
      <c r="AE225" s="81" t="s">
        <v>20574</v>
      </c>
      <c r="AF225" s="76">
        <v>40</v>
      </c>
      <c r="AG225" s="76">
        <v>45</v>
      </c>
      <c r="AH225" s="76">
        <v>31</v>
      </c>
      <c r="AI225" s="76">
        <v>0</v>
      </c>
      <c r="AJ225" s="76">
        <v>1</v>
      </c>
      <c r="AK225" s="76">
        <v>10</v>
      </c>
      <c r="AL225" s="76" t="b">
        <v>0</v>
      </c>
      <c r="AM225" s="78">
        <v>45106.675497685188</v>
      </c>
      <c r="AN225" s="76"/>
      <c r="AO225" s="76" t="s">
        <v>24908</v>
      </c>
      <c r="AP225" s="76"/>
      <c r="AQ225" s="76"/>
      <c r="AR225" s="76"/>
      <c r="AS225" s="82" t="str">
        <f>HYPERLINK("https://t.co/w0qOr5XWTX")</f>
        <v>https://t.co/w0qOr5XWTX</v>
      </c>
      <c r="AT225" s="82" t="str">
        <f>HYPERLINK("http://www.financepros.com.co")</f>
        <v>http://www.financepros.com.co</v>
      </c>
      <c r="AU225" s="76" t="s">
        <v>27464</v>
      </c>
      <c r="AV225" s="76"/>
      <c r="AW225" s="76"/>
      <c r="AX225" s="76" t="b">
        <v>0</v>
      </c>
      <c r="AY225" s="76"/>
      <c r="AZ225" s="76"/>
      <c r="BA225" s="76" t="b">
        <v>0</v>
      </c>
      <c r="BB225" s="76" t="b">
        <v>1</v>
      </c>
      <c r="BC225" s="76" t="b">
        <v>1</v>
      </c>
      <c r="BD225" s="76" t="b">
        <v>0</v>
      </c>
      <c r="BE225" s="76" t="b">
        <v>0</v>
      </c>
      <c r="BF225" s="76" t="b">
        <v>0</v>
      </c>
      <c r="BG225" s="76" t="b">
        <v>0</v>
      </c>
      <c r="BH225" s="82" t="str">
        <f>HYPERLINK("https://pbs.twimg.com/profile_banners/1674450801752694794/1688056144")</f>
        <v>https://pbs.twimg.com/profile_banners/1674450801752694794/1688056144</v>
      </c>
      <c r="BI225" s="76"/>
      <c r="BJ225" s="76" t="s">
        <v>27595</v>
      </c>
      <c r="BK225" s="76" t="b">
        <v>0</v>
      </c>
      <c r="BL225" s="76"/>
      <c r="BM225" s="76" t="s">
        <v>66</v>
      </c>
      <c r="BN225" s="76" t="s">
        <v>27597</v>
      </c>
      <c r="BO225" s="82" t="str">
        <f>HYPERLINK("https://twitter.com/financepros_sas")</f>
        <v>https://twitter.com/financepros_sas</v>
      </c>
      <c r="BP225" s="2"/>
    </row>
    <row r="226" spans="1:68" x14ac:dyDescent="0.25">
      <c r="A226" s="62" t="s">
        <v>383</v>
      </c>
      <c r="B226" s="63"/>
      <c r="C226" s="63"/>
      <c r="D226" s="64"/>
      <c r="E226" s="66"/>
      <c r="F226" s="103" t="str">
        <f>HYPERLINK("https://pbs.twimg.com/profile_images/1603545636309241856/yvqEuSnz_normal.jpg")</f>
        <v>https://pbs.twimg.com/profile_images/1603545636309241856/yvqEuSnz_normal.jpg</v>
      </c>
      <c r="G226" s="63"/>
      <c r="H226" s="67"/>
      <c r="I226" s="68"/>
      <c r="J226" s="68"/>
      <c r="K226" s="67" t="s">
        <v>27820</v>
      </c>
      <c r="L226" s="71"/>
      <c r="M226" s="72"/>
      <c r="N226" s="72"/>
      <c r="O226" s="73"/>
      <c r="P226" s="74"/>
      <c r="Q226" s="74"/>
      <c r="R226" s="87"/>
      <c r="S226" s="87"/>
      <c r="T226" s="87"/>
      <c r="U226" s="87"/>
      <c r="V226" s="48"/>
      <c r="W226" s="48"/>
      <c r="X226" s="48"/>
      <c r="Y226" s="48"/>
      <c r="Z226" s="47"/>
      <c r="AA226" s="69">
        <v>226</v>
      </c>
      <c r="AB226" s="69"/>
      <c r="AC226" s="70"/>
      <c r="AD226" s="76" t="s">
        <v>21469</v>
      </c>
      <c r="AE226" s="81" t="s">
        <v>23177</v>
      </c>
      <c r="AF226" s="76">
        <v>122389</v>
      </c>
      <c r="AG226" s="76">
        <v>2603</v>
      </c>
      <c r="AH226" s="76">
        <v>355425</v>
      </c>
      <c r="AI226" s="76">
        <v>899</v>
      </c>
      <c r="AJ226" s="76">
        <v>624</v>
      </c>
      <c r="AK226" s="76">
        <v>44169</v>
      </c>
      <c r="AL226" s="76" t="b">
        <v>0</v>
      </c>
      <c r="AM226" s="78">
        <v>39543.722395833334</v>
      </c>
      <c r="AN226" s="76"/>
      <c r="AO226" s="76" t="s">
        <v>24909</v>
      </c>
      <c r="AP226" s="76"/>
      <c r="AQ226" s="76"/>
      <c r="AR226" s="76"/>
      <c r="AS226" s="76"/>
      <c r="AT226" s="76"/>
      <c r="AU226" s="76"/>
      <c r="AV226" s="76"/>
      <c r="AW226" s="76"/>
      <c r="AX226" s="76" t="b">
        <v>1</v>
      </c>
      <c r="AY226" s="76"/>
      <c r="AZ226" s="76"/>
      <c r="BA226" s="76" t="b">
        <v>1</v>
      </c>
      <c r="BB226" s="76" t="b">
        <v>1</v>
      </c>
      <c r="BC226" s="76" t="b">
        <v>0</v>
      </c>
      <c r="BD226" s="76" t="b">
        <v>0</v>
      </c>
      <c r="BE226" s="76" t="b">
        <v>1</v>
      </c>
      <c r="BF226" s="76" t="b">
        <v>0</v>
      </c>
      <c r="BG226" s="76" t="b">
        <v>0</v>
      </c>
      <c r="BH226" s="82" t="str">
        <f>HYPERLINK("https://pbs.twimg.com/profile_banners/14311308/1695317963")</f>
        <v>https://pbs.twimg.com/profile_banners/14311308/1695317963</v>
      </c>
      <c r="BI226" s="76"/>
      <c r="BJ226" s="76" t="s">
        <v>27595</v>
      </c>
      <c r="BK226" s="76" t="b">
        <v>0</v>
      </c>
      <c r="BL226" s="76"/>
      <c r="BM226" s="76" t="s">
        <v>66</v>
      </c>
      <c r="BN226" s="76" t="s">
        <v>27597</v>
      </c>
      <c r="BO226" s="82" t="str">
        <f>HYPERLINK("https://twitter.com/ig")</f>
        <v>https://twitter.com/ig</v>
      </c>
      <c r="BP226" s="2"/>
    </row>
    <row r="227" spans="1:68" x14ac:dyDescent="0.25">
      <c r="A227" s="62" t="s">
        <v>384</v>
      </c>
      <c r="B227" s="63"/>
      <c r="C227" s="63"/>
      <c r="D227" s="64"/>
      <c r="E227" s="66"/>
      <c r="F227" s="103" t="str">
        <f>HYPERLINK("https://pbs.twimg.com/profile_images/1653662822348255233/nsXFxRgB_normal.jpg")</f>
        <v>https://pbs.twimg.com/profile_images/1653662822348255233/nsXFxRgB_normal.jpg</v>
      </c>
      <c r="G227" s="63"/>
      <c r="H227" s="67"/>
      <c r="I227" s="68"/>
      <c r="J227" s="68"/>
      <c r="K227" s="67" t="s">
        <v>27821</v>
      </c>
      <c r="L227" s="71"/>
      <c r="M227" s="72"/>
      <c r="N227" s="72"/>
      <c r="O227" s="73"/>
      <c r="P227" s="74"/>
      <c r="Q227" s="74"/>
      <c r="R227" s="87"/>
      <c r="S227" s="87"/>
      <c r="T227" s="87"/>
      <c r="U227" s="87"/>
      <c r="V227" s="48"/>
      <c r="W227" s="48"/>
      <c r="X227" s="48"/>
      <c r="Y227" s="48"/>
      <c r="Z227" s="47"/>
      <c r="AA227" s="69">
        <v>227</v>
      </c>
      <c r="AB227" s="69"/>
      <c r="AC227" s="70"/>
      <c r="AD227" s="76" t="s">
        <v>21470</v>
      </c>
      <c r="AE227" s="81" t="s">
        <v>23178</v>
      </c>
      <c r="AF227" s="76">
        <v>2399</v>
      </c>
      <c r="AG227" s="76">
        <v>2647</v>
      </c>
      <c r="AH227" s="76">
        <v>169356</v>
      </c>
      <c r="AI227" s="76">
        <v>0</v>
      </c>
      <c r="AJ227" s="76">
        <v>478017</v>
      </c>
      <c r="AK227" s="76">
        <v>690</v>
      </c>
      <c r="AL227" s="76" t="b">
        <v>0</v>
      </c>
      <c r="AM227" s="78">
        <v>41745.045949074076</v>
      </c>
      <c r="AN227" s="76"/>
      <c r="AO227" s="76"/>
      <c r="AP227" s="76"/>
      <c r="AQ227" s="76"/>
      <c r="AR227" s="76"/>
      <c r="AS227" s="76"/>
      <c r="AT227" s="76"/>
      <c r="AU227" s="76"/>
      <c r="AV227" s="76">
        <v>1.5861047921070799E+18</v>
      </c>
      <c r="AW227" s="76"/>
      <c r="AX227" s="76" t="b">
        <v>0</v>
      </c>
      <c r="AY227" s="76"/>
      <c r="AZ227" s="76"/>
      <c r="BA227" s="76" t="b">
        <v>0</v>
      </c>
      <c r="BB227" s="76" t="b">
        <v>0</v>
      </c>
      <c r="BC227" s="76" t="b">
        <v>1</v>
      </c>
      <c r="BD227" s="76" t="b">
        <v>0</v>
      </c>
      <c r="BE227" s="76" t="b">
        <v>1</v>
      </c>
      <c r="BF227" s="76" t="b">
        <v>0</v>
      </c>
      <c r="BG227" s="76" t="b">
        <v>0</v>
      </c>
      <c r="BH227" s="82" t="str">
        <f>HYPERLINK("https://pbs.twimg.com/profile_banners/2446310036/1650106828")</f>
        <v>https://pbs.twimg.com/profile_banners/2446310036/1650106828</v>
      </c>
      <c r="BI227" s="76"/>
      <c r="BJ227" s="76" t="s">
        <v>27595</v>
      </c>
      <c r="BK227" s="76" t="b">
        <v>0</v>
      </c>
      <c r="BL227" s="76"/>
      <c r="BM227" s="76" t="s">
        <v>66</v>
      </c>
      <c r="BN227" s="76" t="s">
        <v>27597</v>
      </c>
      <c r="BO227" s="82" t="str">
        <f>HYPERLINK("https://twitter.com/beteamarall")</f>
        <v>https://twitter.com/beteamarall</v>
      </c>
      <c r="BP227" s="2"/>
    </row>
    <row r="228" spans="1:68" x14ac:dyDescent="0.25">
      <c r="A228" s="62" t="s">
        <v>385</v>
      </c>
      <c r="B228" s="63"/>
      <c r="C228" s="63"/>
      <c r="D228" s="64"/>
      <c r="E228" s="66"/>
      <c r="F228" s="103" t="str">
        <f>HYPERLINK("https://pbs.twimg.com/profile_images/1610747113096286213/WrT6JNvu_normal.jpg")</f>
        <v>https://pbs.twimg.com/profile_images/1610747113096286213/WrT6JNvu_normal.jpg</v>
      </c>
      <c r="G228" s="63"/>
      <c r="H228" s="67"/>
      <c r="I228" s="68"/>
      <c r="J228" s="68"/>
      <c r="K228" s="67" t="s">
        <v>27822</v>
      </c>
      <c r="L228" s="71"/>
      <c r="M228" s="72"/>
      <c r="N228" s="72"/>
      <c r="O228" s="73"/>
      <c r="P228" s="74"/>
      <c r="Q228" s="74"/>
      <c r="R228" s="87"/>
      <c r="S228" s="87"/>
      <c r="T228" s="87"/>
      <c r="U228" s="87"/>
      <c r="V228" s="48"/>
      <c r="W228" s="48"/>
      <c r="X228" s="48"/>
      <c r="Y228" s="48"/>
      <c r="Z228" s="47"/>
      <c r="AA228" s="69">
        <v>228</v>
      </c>
      <c r="AB228" s="69"/>
      <c r="AC228" s="70"/>
      <c r="AD228" s="76" t="s">
        <v>21471</v>
      </c>
      <c r="AE228" s="81" t="s">
        <v>20233</v>
      </c>
      <c r="AF228" s="76">
        <v>352</v>
      </c>
      <c r="AG228" s="76">
        <v>24</v>
      </c>
      <c r="AH228" s="76">
        <v>6675</v>
      </c>
      <c r="AI228" s="76">
        <v>2</v>
      </c>
      <c r="AJ228" s="76">
        <v>92</v>
      </c>
      <c r="AK228" s="76">
        <v>25</v>
      </c>
      <c r="AL228" s="76" t="b">
        <v>0</v>
      </c>
      <c r="AM228" s="78">
        <v>44637.732673611114</v>
      </c>
      <c r="AN228" s="76"/>
      <c r="AO228" s="76" t="s">
        <v>24910</v>
      </c>
      <c r="AP228" s="82" t="str">
        <f>HYPERLINK("https://t.co/2en2NBFwS4")</f>
        <v>https://t.co/2en2NBFwS4</v>
      </c>
      <c r="AQ228" s="82" t="str">
        <f>HYPERLINK("https://diariodacapital.com/")</f>
        <v>https://diariodacapital.com/</v>
      </c>
      <c r="AR228" s="76" t="s">
        <v>26488</v>
      </c>
      <c r="AS228" s="76"/>
      <c r="AT228" s="76"/>
      <c r="AU228" s="76"/>
      <c r="AV228" s="76"/>
      <c r="AW228" s="82" t="str">
        <f>HYPERLINK("https://t.co/2en2NBFwS4")</f>
        <v>https://t.co/2en2NBFwS4</v>
      </c>
      <c r="AX228" s="76" t="b">
        <v>0</v>
      </c>
      <c r="AY228" s="76"/>
      <c r="AZ228" s="76"/>
      <c r="BA228" s="76" t="b">
        <v>0</v>
      </c>
      <c r="BB228" s="76" t="b">
        <v>0</v>
      </c>
      <c r="BC228" s="76" t="b">
        <v>1</v>
      </c>
      <c r="BD228" s="76" t="b">
        <v>0</v>
      </c>
      <c r="BE228" s="76" t="b">
        <v>0</v>
      </c>
      <c r="BF228" s="76" t="b">
        <v>0</v>
      </c>
      <c r="BG228" s="76" t="b">
        <v>0</v>
      </c>
      <c r="BH228" s="82" t="str">
        <f>HYPERLINK("https://pbs.twimg.com/profile_banners/1504511519039627267/1685736569")</f>
        <v>https://pbs.twimg.com/profile_banners/1504511519039627267/1685736569</v>
      </c>
      <c r="BI228" s="76"/>
      <c r="BJ228" s="76" t="s">
        <v>27595</v>
      </c>
      <c r="BK228" s="76" t="b">
        <v>0</v>
      </c>
      <c r="BL228" s="76"/>
      <c r="BM228" s="76" t="s">
        <v>66</v>
      </c>
      <c r="BN228" s="76" t="s">
        <v>27597</v>
      </c>
      <c r="BO228" s="82" t="str">
        <f>HYPERLINK("https://twitter.com/diariocapitalam")</f>
        <v>https://twitter.com/diariocapitalam</v>
      </c>
      <c r="BP228" s="2"/>
    </row>
    <row r="229" spans="1:68" x14ac:dyDescent="0.25">
      <c r="A229" s="62" t="s">
        <v>386</v>
      </c>
      <c r="B229" s="63"/>
      <c r="C229" s="63"/>
      <c r="D229" s="64"/>
      <c r="E229" s="66"/>
      <c r="F229" s="103" t="str">
        <f>HYPERLINK("https://pbs.twimg.com/profile_images/1022688292368797698/Z1JClzB__normal.jpg")</f>
        <v>https://pbs.twimg.com/profile_images/1022688292368797698/Z1JClzB__normal.jpg</v>
      </c>
      <c r="G229" s="63"/>
      <c r="H229" s="67"/>
      <c r="I229" s="68"/>
      <c r="J229" s="68"/>
      <c r="K229" s="67" t="s">
        <v>27823</v>
      </c>
      <c r="L229" s="71"/>
      <c r="M229" s="72"/>
      <c r="N229" s="72"/>
      <c r="O229" s="73"/>
      <c r="P229" s="74"/>
      <c r="Q229" s="74"/>
      <c r="R229" s="87"/>
      <c r="S229" s="87"/>
      <c r="T229" s="87"/>
      <c r="U229" s="87"/>
      <c r="V229" s="48"/>
      <c r="W229" s="48"/>
      <c r="X229" s="48"/>
      <c r="Y229" s="48"/>
      <c r="Z229" s="47"/>
      <c r="AA229" s="69">
        <v>229</v>
      </c>
      <c r="AB229" s="69"/>
      <c r="AC229" s="70"/>
      <c r="AD229" s="76" t="s">
        <v>21472</v>
      </c>
      <c r="AE229" s="81" t="s">
        <v>23179</v>
      </c>
      <c r="AF229" s="76">
        <v>2036</v>
      </c>
      <c r="AG229" s="76">
        <v>3026</v>
      </c>
      <c r="AH229" s="76">
        <v>118144</v>
      </c>
      <c r="AI229" s="76">
        <v>13</v>
      </c>
      <c r="AJ229" s="76">
        <v>104790</v>
      </c>
      <c r="AK229" s="76">
        <v>3200</v>
      </c>
      <c r="AL229" s="76" t="b">
        <v>0</v>
      </c>
      <c r="AM229" s="78">
        <v>40559.072013888886</v>
      </c>
      <c r="AN229" s="76" t="s">
        <v>24169</v>
      </c>
      <c r="AO229" s="76" t="s">
        <v>24911</v>
      </c>
      <c r="AP229" s="82" t="str">
        <f>HYPERLINK("https://t.co/YknNANIici")</f>
        <v>https://t.co/YknNANIici</v>
      </c>
      <c r="AQ229" s="82" t="str">
        <f>HYPERLINK("http://mcvann21.blogspot.com")</f>
        <v>http://mcvann21.blogspot.com</v>
      </c>
      <c r="AR229" s="76" t="s">
        <v>26489</v>
      </c>
      <c r="AS229" s="76"/>
      <c r="AT229" s="76"/>
      <c r="AU229" s="76"/>
      <c r="AV229" s="76">
        <v>1.6869216873363799E+18</v>
      </c>
      <c r="AW229" s="82" t="str">
        <f>HYPERLINK("https://t.co/YknNANIici")</f>
        <v>https://t.co/YknNANIici</v>
      </c>
      <c r="AX229" s="76" t="b">
        <v>0</v>
      </c>
      <c r="AY229" s="76"/>
      <c r="AZ229" s="76"/>
      <c r="BA229" s="76" t="b">
        <v>0</v>
      </c>
      <c r="BB229" s="76" t="b">
        <v>0</v>
      </c>
      <c r="BC229" s="76" t="b">
        <v>0</v>
      </c>
      <c r="BD229" s="76" t="b">
        <v>0</v>
      </c>
      <c r="BE229" s="76" t="b">
        <v>1</v>
      </c>
      <c r="BF229" s="76" t="b">
        <v>0</v>
      </c>
      <c r="BG229" s="76" t="b">
        <v>0</v>
      </c>
      <c r="BH229" s="82" t="str">
        <f>HYPERLINK("https://pbs.twimg.com/profile_banners/238786165/1669844804")</f>
        <v>https://pbs.twimg.com/profile_banners/238786165/1669844804</v>
      </c>
      <c r="BI229" s="76"/>
      <c r="BJ229" s="76" t="s">
        <v>27595</v>
      </c>
      <c r="BK229" s="76" t="b">
        <v>0</v>
      </c>
      <c r="BL229" s="76"/>
      <c r="BM229" s="76" t="s">
        <v>66</v>
      </c>
      <c r="BN229" s="76" t="s">
        <v>27597</v>
      </c>
      <c r="BO229" s="82" t="str">
        <f>HYPERLINK("https://twitter.com/mcvann20111")</f>
        <v>https://twitter.com/mcvann20111</v>
      </c>
      <c r="BP229" s="2"/>
    </row>
    <row r="230" spans="1:68" x14ac:dyDescent="0.25">
      <c r="A230" s="62" t="s">
        <v>1733</v>
      </c>
      <c r="B230" s="63"/>
      <c r="C230" s="63"/>
      <c r="D230" s="64"/>
      <c r="E230" s="66"/>
      <c r="F230" s="103" t="str">
        <f>HYPERLINK("https://pbs.twimg.com/profile_images/1693841595773210625/gayIIxfu_normal.jpg")</f>
        <v>https://pbs.twimg.com/profile_images/1693841595773210625/gayIIxfu_normal.jpg</v>
      </c>
      <c r="G230" s="63"/>
      <c r="H230" s="67"/>
      <c r="I230" s="68"/>
      <c r="J230" s="68"/>
      <c r="K230" s="67" t="s">
        <v>27824</v>
      </c>
      <c r="L230" s="71"/>
      <c r="M230" s="72"/>
      <c r="N230" s="72"/>
      <c r="O230" s="73"/>
      <c r="P230" s="74"/>
      <c r="Q230" s="74"/>
      <c r="R230" s="87"/>
      <c r="S230" s="87"/>
      <c r="T230" s="87"/>
      <c r="U230" s="87"/>
      <c r="V230" s="48"/>
      <c r="W230" s="48"/>
      <c r="X230" s="48"/>
      <c r="Y230" s="48"/>
      <c r="Z230" s="47"/>
      <c r="AA230" s="69">
        <v>230</v>
      </c>
      <c r="AB230" s="69"/>
      <c r="AC230" s="70"/>
      <c r="AD230" s="76" t="s">
        <v>21473</v>
      </c>
      <c r="AE230" s="81" t="s">
        <v>23180</v>
      </c>
      <c r="AF230" s="76">
        <v>12003</v>
      </c>
      <c r="AG230" s="76">
        <v>1609</v>
      </c>
      <c r="AH230" s="76">
        <v>702046</v>
      </c>
      <c r="AI230" s="76">
        <v>56</v>
      </c>
      <c r="AJ230" s="76">
        <v>196</v>
      </c>
      <c r="AK230" s="76">
        <v>23748</v>
      </c>
      <c r="AL230" s="76" t="b">
        <v>0</v>
      </c>
      <c r="AM230" s="78">
        <v>40739.697835648149</v>
      </c>
      <c r="AN230" s="76" t="s">
        <v>24170</v>
      </c>
      <c r="AO230" s="76" t="s">
        <v>24912</v>
      </c>
      <c r="AP230" s="76"/>
      <c r="AQ230" s="76"/>
      <c r="AR230" s="76"/>
      <c r="AS230" s="76"/>
      <c r="AT230" s="76"/>
      <c r="AU230" s="76"/>
      <c r="AV230" s="76"/>
      <c r="AW230" s="76"/>
      <c r="AX230" s="76" t="b">
        <v>0</v>
      </c>
      <c r="AY230" s="76"/>
      <c r="AZ230" s="76"/>
      <c r="BA230" s="76" t="b">
        <v>0</v>
      </c>
      <c r="BB230" s="76" t="b">
        <v>0</v>
      </c>
      <c r="BC230" s="76" t="b">
        <v>0</v>
      </c>
      <c r="BD230" s="76" t="b">
        <v>0</v>
      </c>
      <c r="BE230" s="76" t="b">
        <v>1</v>
      </c>
      <c r="BF230" s="76" t="b">
        <v>0</v>
      </c>
      <c r="BG230" s="76" t="b">
        <v>0</v>
      </c>
      <c r="BH230" s="82" t="str">
        <f>HYPERLINK("https://pbs.twimg.com/profile_banners/336028105/1692766658")</f>
        <v>https://pbs.twimg.com/profile_banners/336028105/1692766658</v>
      </c>
      <c r="BI230" s="76"/>
      <c r="BJ230" s="76" t="s">
        <v>27595</v>
      </c>
      <c r="BK230" s="76" t="b">
        <v>0</v>
      </c>
      <c r="BL230" s="76"/>
      <c r="BM230" s="76" t="s">
        <v>65</v>
      </c>
      <c r="BN230" s="76" t="s">
        <v>27597</v>
      </c>
      <c r="BO230" s="82" t="str">
        <f>HYPERLINK("https://twitter.com/mis__notas")</f>
        <v>https://twitter.com/mis__notas</v>
      </c>
      <c r="BP230" s="2"/>
    </row>
    <row r="231" spans="1:68" x14ac:dyDescent="0.25">
      <c r="A231" s="62" t="s">
        <v>1734</v>
      </c>
      <c r="B231" s="63"/>
      <c r="C231" s="63"/>
      <c r="D231" s="64"/>
      <c r="E231" s="66"/>
      <c r="F231" s="103" t="str">
        <f>HYPERLINK("https://pbs.twimg.com/profile_images/1689725404360151041/wJkwCGG__normal.jpg")</f>
        <v>https://pbs.twimg.com/profile_images/1689725404360151041/wJkwCGG__normal.jpg</v>
      </c>
      <c r="G231" s="63"/>
      <c r="H231" s="67"/>
      <c r="I231" s="68"/>
      <c r="J231" s="68"/>
      <c r="K231" s="67" t="s">
        <v>27825</v>
      </c>
      <c r="L231" s="71"/>
      <c r="M231" s="72"/>
      <c r="N231" s="72"/>
      <c r="O231" s="73"/>
      <c r="P231" s="74"/>
      <c r="Q231" s="74"/>
      <c r="R231" s="87"/>
      <c r="S231" s="87"/>
      <c r="T231" s="87"/>
      <c r="U231" s="87"/>
      <c r="V231" s="48"/>
      <c r="W231" s="48"/>
      <c r="X231" s="48"/>
      <c r="Y231" s="48"/>
      <c r="Z231" s="47"/>
      <c r="AA231" s="69">
        <v>231</v>
      </c>
      <c r="AB231" s="69"/>
      <c r="AC231" s="70"/>
      <c r="AD231" s="76" t="s">
        <v>21474</v>
      </c>
      <c r="AE231" s="81" t="s">
        <v>23181</v>
      </c>
      <c r="AF231" s="76">
        <v>1090</v>
      </c>
      <c r="AG231" s="76">
        <v>919</v>
      </c>
      <c r="AH231" s="76">
        <v>146609</v>
      </c>
      <c r="AI231" s="76">
        <v>4</v>
      </c>
      <c r="AJ231" s="76">
        <v>141762</v>
      </c>
      <c r="AK231" s="76">
        <v>167</v>
      </c>
      <c r="AL231" s="76" t="b">
        <v>0</v>
      </c>
      <c r="AM231" s="78">
        <v>40362.459826388891</v>
      </c>
      <c r="AN231" s="76" t="s">
        <v>14389</v>
      </c>
      <c r="AO231" s="76" t="s">
        <v>24913</v>
      </c>
      <c r="AP231" s="76"/>
      <c r="AQ231" s="76"/>
      <c r="AR231" s="76"/>
      <c r="AS231" s="76"/>
      <c r="AT231" s="76"/>
      <c r="AU231" s="76"/>
      <c r="AV231" s="76"/>
      <c r="AW231" s="76"/>
      <c r="AX231" s="76" t="b">
        <v>0</v>
      </c>
      <c r="AY231" s="76"/>
      <c r="AZ231" s="76"/>
      <c r="BA231" s="76" t="b">
        <v>0</v>
      </c>
      <c r="BB231" s="76" t="b">
        <v>0</v>
      </c>
      <c r="BC231" s="76" t="b">
        <v>1</v>
      </c>
      <c r="BD231" s="76" t="b">
        <v>0</v>
      </c>
      <c r="BE231" s="76" t="b">
        <v>1</v>
      </c>
      <c r="BF231" s="76" t="b">
        <v>0</v>
      </c>
      <c r="BG231" s="76" t="b">
        <v>0</v>
      </c>
      <c r="BH231" s="82" t="str">
        <f>HYPERLINK("https://pbs.twimg.com/profile_banners/162342147/1691696871")</f>
        <v>https://pbs.twimg.com/profile_banners/162342147/1691696871</v>
      </c>
      <c r="BI231" s="76"/>
      <c r="BJ231" s="76" t="s">
        <v>27595</v>
      </c>
      <c r="BK231" s="76" t="b">
        <v>0</v>
      </c>
      <c r="BL231" s="76"/>
      <c r="BM231" s="76" t="s">
        <v>65</v>
      </c>
      <c r="BN231" s="76" t="s">
        <v>27597</v>
      </c>
      <c r="BO231" s="82" t="str">
        <f>HYPERLINK("https://twitter.com/emelec65")</f>
        <v>https://twitter.com/emelec65</v>
      </c>
      <c r="BP231" s="2"/>
    </row>
    <row r="232" spans="1:68" x14ac:dyDescent="0.25">
      <c r="A232" s="62" t="s">
        <v>1735</v>
      </c>
      <c r="B232" s="63"/>
      <c r="C232" s="63"/>
      <c r="D232" s="64"/>
      <c r="E232" s="66"/>
      <c r="F232" s="103" t="str">
        <f>HYPERLINK("https://pbs.twimg.com/profile_images/1660772134828875776/46mGr9H6_normal.jpg")</f>
        <v>https://pbs.twimg.com/profile_images/1660772134828875776/46mGr9H6_normal.jpg</v>
      </c>
      <c r="G232" s="63"/>
      <c r="H232" s="67"/>
      <c r="I232" s="68"/>
      <c r="J232" s="68"/>
      <c r="K232" s="67" t="s">
        <v>27826</v>
      </c>
      <c r="L232" s="71"/>
      <c r="M232" s="72"/>
      <c r="N232" s="72"/>
      <c r="O232" s="73"/>
      <c r="P232" s="74"/>
      <c r="Q232" s="74"/>
      <c r="R232" s="87"/>
      <c r="S232" s="87"/>
      <c r="T232" s="87"/>
      <c r="U232" s="87"/>
      <c r="V232" s="48"/>
      <c r="W232" s="48"/>
      <c r="X232" s="48"/>
      <c r="Y232" s="48"/>
      <c r="Z232" s="47"/>
      <c r="AA232" s="69">
        <v>232</v>
      </c>
      <c r="AB232" s="69"/>
      <c r="AC232" s="70"/>
      <c r="AD232" s="76" t="s">
        <v>21475</v>
      </c>
      <c r="AE232" s="81" t="s">
        <v>23182</v>
      </c>
      <c r="AF232" s="76">
        <v>1422</v>
      </c>
      <c r="AG232" s="76">
        <v>2304</v>
      </c>
      <c r="AH232" s="76">
        <v>30221</v>
      </c>
      <c r="AI232" s="76">
        <v>1</v>
      </c>
      <c r="AJ232" s="76">
        <v>68820</v>
      </c>
      <c r="AK232" s="76">
        <v>5918</v>
      </c>
      <c r="AL232" s="76" t="b">
        <v>0</v>
      </c>
      <c r="AM232" s="78">
        <v>41756.039837962962</v>
      </c>
      <c r="AN232" s="76"/>
      <c r="AO232" s="76" t="s">
        <v>24914</v>
      </c>
      <c r="AP232" s="76"/>
      <c r="AQ232" s="76"/>
      <c r="AR232" s="76"/>
      <c r="AS232" s="76"/>
      <c r="AT232" s="76"/>
      <c r="AU232" s="76"/>
      <c r="AV232" s="76"/>
      <c r="AW232" s="76"/>
      <c r="AX232" s="76" t="b">
        <v>0</v>
      </c>
      <c r="AY232" s="76"/>
      <c r="AZ232" s="76"/>
      <c r="BA232" s="76" t="b">
        <v>1</v>
      </c>
      <c r="BB232" s="76" t="b">
        <v>1</v>
      </c>
      <c r="BC232" s="76" t="b">
        <v>1</v>
      </c>
      <c r="BD232" s="76" t="b">
        <v>0</v>
      </c>
      <c r="BE232" s="76" t="b">
        <v>0</v>
      </c>
      <c r="BF232" s="76" t="b">
        <v>0</v>
      </c>
      <c r="BG232" s="76" t="b">
        <v>0</v>
      </c>
      <c r="BH232" s="82" t="str">
        <f>HYPERLINK("https://pbs.twimg.com/profile_banners/2511531616/1398563314")</f>
        <v>https://pbs.twimg.com/profile_banners/2511531616/1398563314</v>
      </c>
      <c r="BI232" s="76"/>
      <c r="BJ232" s="76" t="s">
        <v>27595</v>
      </c>
      <c r="BK232" s="76" t="b">
        <v>0</v>
      </c>
      <c r="BL232" s="76"/>
      <c r="BM232" s="76" t="s">
        <v>65</v>
      </c>
      <c r="BN232" s="76" t="s">
        <v>27597</v>
      </c>
      <c r="BO232" s="82" t="str">
        <f>HYPERLINK("https://twitter.com/chena1960")</f>
        <v>https://twitter.com/chena1960</v>
      </c>
      <c r="BP232" s="2"/>
    </row>
    <row r="233" spans="1:68" x14ac:dyDescent="0.25">
      <c r="A233" s="62" t="s">
        <v>1736</v>
      </c>
      <c r="B233" s="63"/>
      <c r="C233" s="63"/>
      <c r="D233" s="64"/>
      <c r="E233" s="66"/>
      <c r="F233" s="103" t="str">
        <f>HYPERLINK("https://pbs.twimg.com/profile_images/1558654039348355072/e-GivzXV_normal.jpg")</f>
        <v>https://pbs.twimg.com/profile_images/1558654039348355072/e-GivzXV_normal.jpg</v>
      </c>
      <c r="G233" s="63"/>
      <c r="H233" s="67"/>
      <c r="I233" s="68"/>
      <c r="J233" s="68"/>
      <c r="K233" s="67" t="s">
        <v>27827</v>
      </c>
      <c r="L233" s="71"/>
      <c r="M233" s="72"/>
      <c r="N233" s="72"/>
      <c r="O233" s="73"/>
      <c r="P233" s="74"/>
      <c r="Q233" s="74"/>
      <c r="R233" s="87"/>
      <c r="S233" s="87"/>
      <c r="T233" s="87"/>
      <c r="U233" s="87"/>
      <c r="V233" s="48"/>
      <c r="W233" s="48"/>
      <c r="X233" s="48"/>
      <c r="Y233" s="48"/>
      <c r="Z233" s="47"/>
      <c r="AA233" s="69">
        <v>233</v>
      </c>
      <c r="AB233" s="69"/>
      <c r="AC233" s="70"/>
      <c r="AD233" s="76" t="s">
        <v>21476</v>
      </c>
      <c r="AE233" s="81" t="s">
        <v>23183</v>
      </c>
      <c r="AF233" s="76">
        <v>887</v>
      </c>
      <c r="AG233" s="76">
        <v>1662</v>
      </c>
      <c r="AH233" s="76">
        <v>20870</v>
      </c>
      <c r="AI233" s="76">
        <v>1</v>
      </c>
      <c r="AJ233" s="76">
        <v>12321</v>
      </c>
      <c r="AK233" s="76">
        <v>2385</v>
      </c>
      <c r="AL233" s="76" t="b">
        <v>0</v>
      </c>
      <c r="AM233" s="78">
        <v>42973.710219907407</v>
      </c>
      <c r="AN233" s="76"/>
      <c r="AO233" s="76" t="s">
        <v>24915</v>
      </c>
      <c r="AP233" s="76"/>
      <c r="AQ233" s="76"/>
      <c r="AR233" s="76"/>
      <c r="AS233" s="76"/>
      <c r="AT233" s="76"/>
      <c r="AU233" s="76"/>
      <c r="AV233" s="76"/>
      <c r="AW233" s="76"/>
      <c r="AX233" s="76" t="b">
        <v>0</v>
      </c>
      <c r="AY233" s="76"/>
      <c r="AZ233" s="76"/>
      <c r="BA233" s="76" t="b">
        <v>1</v>
      </c>
      <c r="BB233" s="76" t="b">
        <v>0</v>
      </c>
      <c r="BC233" s="76" t="b">
        <v>1</v>
      </c>
      <c r="BD233" s="76" t="b">
        <v>0</v>
      </c>
      <c r="BE233" s="76" t="b">
        <v>1</v>
      </c>
      <c r="BF233" s="76" t="b">
        <v>0</v>
      </c>
      <c r="BG233" s="76" t="b">
        <v>0</v>
      </c>
      <c r="BH233" s="82" t="str">
        <f>HYPERLINK("https://pbs.twimg.com/profile_banners/901490098851774464/1504891953")</f>
        <v>https://pbs.twimg.com/profile_banners/901490098851774464/1504891953</v>
      </c>
      <c r="BI233" s="76"/>
      <c r="BJ233" s="76" t="s">
        <v>27595</v>
      </c>
      <c r="BK233" s="76" t="b">
        <v>0</v>
      </c>
      <c r="BL233" s="76"/>
      <c r="BM233" s="76" t="s">
        <v>65</v>
      </c>
      <c r="BN233" s="76" t="s">
        <v>27597</v>
      </c>
      <c r="BO233" s="82" t="str">
        <f>HYPERLINK("https://twitter.com/chichaypuro")</f>
        <v>https://twitter.com/chichaypuro</v>
      </c>
      <c r="BP233" s="2"/>
    </row>
    <row r="234" spans="1:68" x14ac:dyDescent="0.25">
      <c r="A234" s="62" t="s">
        <v>1737</v>
      </c>
      <c r="B234" s="63"/>
      <c r="C234" s="63"/>
      <c r="D234" s="64"/>
      <c r="E234" s="66"/>
      <c r="F234" s="103" t="str">
        <f>HYPERLINK("https://pbs.twimg.com/profile_images/1524246834272690177/44vXl_iI_normal.jpg")</f>
        <v>https://pbs.twimg.com/profile_images/1524246834272690177/44vXl_iI_normal.jpg</v>
      </c>
      <c r="G234" s="63"/>
      <c r="H234" s="67"/>
      <c r="I234" s="68"/>
      <c r="J234" s="68"/>
      <c r="K234" s="67" t="s">
        <v>27828</v>
      </c>
      <c r="L234" s="71"/>
      <c r="M234" s="72"/>
      <c r="N234" s="72"/>
      <c r="O234" s="73"/>
      <c r="P234" s="74"/>
      <c r="Q234" s="74"/>
      <c r="R234" s="87"/>
      <c r="S234" s="87"/>
      <c r="T234" s="87"/>
      <c r="U234" s="87"/>
      <c r="V234" s="48"/>
      <c r="W234" s="48"/>
      <c r="X234" s="48"/>
      <c r="Y234" s="48"/>
      <c r="Z234" s="47"/>
      <c r="AA234" s="69">
        <v>234</v>
      </c>
      <c r="AB234" s="69"/>
      <c r="AC234" s="70"/>
      <c r="AD234" s="76" t="s">
        <v>21477</v>
      </c>
      <c r="AE234" s="81" t="s">
        <v>23184</v>
      </c>
      <c r="AF234" s="76">
        <v>779</v>
      </c>
      <c r="AG234" s="76">
        <v>1608</v>
      </c>
      <c r="AH234" s="76">
        <v>15754</v>
      </c>
      <c r="AI234" s="76">
        <v>1</v>
      </c>
      <c r="AJ234" s="76">
        <v>7113</v>
      </c>
      <c r="AK234" s="76">
        <v>2661</v>
      </c>
      <c r="AL234" s="76" t="b">
        <v>0</v>
      </c>
      <c r="AM234" s="78">
        <v>44692.185034722221</v>
      </c>
      <c r="AN234" s="76" t="s">
        <v>24171</v>
      </c>
      <c r="AO234" s="76" t="s">
        <v>24916</v>
      </c>
      <c r="AP234" s="76"/>
      <c r="AQ234" s="76"/>
      <c r="AR234" s="76"/>
      <c r="AS234" s="76"/>
      <c r="AT234" s="76"/>
      <c r="AU234" s="76"/>
      <c r="AV234" s="76"/>
      <c r="AW234" s="76"/>
      <c r="AX234" s="76" t="b">
        <v>0</v>
      </c>
      <c r="AY234" s="76"/>
      <c r="AZ234" s="76"/>
      <c r="BA234" s="76" t="b">
        <v>0</v>
      </c>
      <c r="BB234" s="76" t="b">
        <v>1</v>
      </c>
      <c r="BC234" s="76" t="b">
        <v>1</v>
      </c>
      <c r="BD234" s="76" t="b">
        <v>0</v>
      </c>
      <c r="BE234" s="76" t="b">
        <v>0</v>
      </c>
      <c r="BF234" s="76" t="b">
        <v>0</v>
      </c>
      <c r="BG234" s="76" t="b">
        <v>0</v>
      </c>
      <c r="BH234" s="82" t="str">
        <f>HYPERLINK("https://pbs.twimg.com/profile_banners/1524244452897873920/1664690365")</f>
        <v>https://pbs.twimg.com/profile_banners/1524244452897873920/1664690365</v>
      </c>
      <c r="BI234" s="76"/>
      <c r="BJ234" s="76" t="s">
        <v>27595</v>
      </c>
      <c r="BK234" s="76" t="b">
        <v>0</v>
      </c>
      <c r="BL234" s="76"/>
      <c r="BM234" s="76" t="s">
        <v>65</v>
      </c>
      <c r="BN234" s="76" t="s">
        <v>27597</v>
      </c>
      <c r="BO234" s="82" t="str">
        <f>HYPERLINK("https://twitter.com/racuminvenenoso")</f>
        <v>https://twitter.com/racuminvenenoso</v>
      </c>
      <c r="BP234" s="2"/>
    </row>
    <row r="235" spans="1:68" x14ac:dyDescent="0.25">
      <c r="A235" s="62" t="s">
        <v>1738</v>
      </c>
      <c r="B235" s="63"/>
      <c r="C235" s="63"/>
      <c r="D235" s="64"/>
      <c r="E235" s="66"/>
      <c r="F235" s="103" t="str">
        <f>HYPERLINK("https://pbs.twimg.com/profile_images/1697637474531528704/v15umn9p_normal.jpg")</f>
        <v>https://pbs.twimg.com/profile_images/1697637474531528704/v15umn9p_normal.jpg</v>
      </c>
      <c r="G235" s="63"/>
      <c r="H235" s="67"/>
      <c r="I235" s="68"/>
      <c r="J235" s="68"/>
      <c r="K235" s="67" t="s">
        <v>27829</v>
      </c>
      <c r="L235" s="71"/>
      <c r="M235" s="72"/>
      <c r="N235" s="72"/>
      <c r="O235" s="73"/>
      <c r="P235" s="74"/>
      <c r="Q235" s="74"/>
      <c r="R235" s="87"/>
      <c r="S235" s="87"/>
      <c r="T235" s="87"/>
      <c r="U235" s="87"/>
      <c r="V235" s="48"/>
      <c r="W235" s="48"/>
      <c r="X235" s="48"/>
      <c r="Y235" s="48"/>
      <c r="Z235" s="47"/>
      <c r="AA235" s="69">
        <v>235</v>
      </c>
      <c r="AB235" s="69"/>
      <c r="AC235" s="70"/>
      <c r="AD235" s="76" t="s">
        <v>21478</v>
      </c>
      <c r="AE235" s="81" t="s">
        <v>23185</v>
      </c>
      <c r="AF235" s="76">
        <v>502</v>
      </c>
      <c r="AG235" s="76">
        <v>554</v>
      </c>
      <c r="AH235" s="76">
        <v>15921</v>
      </c>
      <c r="AI235" s="76">
        <v>0</v>
      </c>
      <c r="AJ235" s="76">
        <v>9871</v>
      </c>
      <c r="AK235" s="76">
        <v>5621</v>
      </c>
      <c r="AL235" s="76" t="b">
        <v>0</v>
      </c>
      <c r="AM235" s="78">
        <v>44669.578113425923</v>
      </c>
      <c r="AN235" s="76"/>
      <c r="AO235" s="76" t="s">
        <v>24917</v>
      </c>
      <c r="AP235" s="76"/>
      <c r="AQ235" s="76"/>
      <c r="AR235" s="76"/>
      <c r="AS235" s="76"/>
      <c r="AT235" s="76"/>
      <c r="AU235" s="76"/>
      <c r="AV235" s="76"/>
      <c r="AW235" s="76"/>
      <c r="AX235" s="76" t="b">
        <v>0</v>
      </c>
      <c r="AY235" s="76"/>
      <c r="AZ235" s="76"/>
      <c r="BA235" s="76" t="b">
        <v>0</v>
      </c>
      <c r="BB235" s="76" t="b">
        <v>1</v>
      </c>
      <c r="BC235" s="76" t="b">
        <v>1</v>
      </c>
      <c r="BD235" s="76" t="b">
        <v>0</v>
      </c>
      <c r="BE235" s="76" t="b">
        <v>1</v>
      </c>
      <c r="BF235" s="76" t="b">
        <v>0</v>
      </c>
      <c r="BG235" s="76" t="b">
        <v>0</v>
      </c>
      <c r="BH235" s="76"/>
      <c r="BI235" s="76"/>
      <c r="BJ235" s="76" t="s">
        <v>27595</v>
      </c>
      <c r="BK235" s="76" t="b">
        <v>0</v>
      </c>
      <c r="BL235" s="76"/>
      <c r="BM235" s="76" t="s">
        <v>65</v>
      </c>
      <c r="BN235" s="76" t="s">
        <v>27597</v>
      </c>
      <c r="BO235" s="82" t="str">
        <f>HYPERLINK("https://twitter.com/america81525537")</f>
        <v>https://twitter.com/america81525537</v>
      </c>
      <c r="BP235" s="2"/>
    </row>
    <row r="236" spans="1:68" x14ac:dyDescent="0.25">
      <c r="A236" s="62" t="s">
        <v>1739</v>
      </c>
      <c r="B236" s="63"/>
      <c r="C236" s="63"/>
      <c r="D236" s="64"/>
      <c r="E236" s="66"/>
      <c r="F236" s="103" t="str">
        <f>HYPERLINK("https://pbs.twimg.com/profile_images/1011034204627447809/z4BW1i2U_normal.jpg")</f>
        <v>https://pbs.twimg.com/profile_images/1011034204627447809/z4BW1i2U_normal.jpg</v>
      </c>
      <c r="G236" s="63"/>
      <c r="H236" s="67"/>
      <c r="I236" s="68"/>
      <c r="J236" s="68"/>
      <c r="K236" s="67" t="s">
        <v>27830</v>
      </c>
      <c r="L236" s="71"/>
      <c r="M236" s="72"/>
      <c r="N236" s="72"/>
      <c r="O236" s="73"/>
      <c r="P236" s="74"/>
      <c r="Q236" s="74"/>
      <c r="R236" s="87"/>
      <c r="S236" s="87"/>
      <c r="T236" s="87"/>
      <c r="U236" s="87"/>
      <c r="V236" s="48"/>
      <c r="W236" s="48"/>
      <c r="X236" s="48"/>
      <c r="Y236" s="48"/>
      <c r="Z236" s="47"/>
      <c r="AA236" s="69">
        <v>236</v>
      </c>
      <c r="AB236" s="69"/>
      <c r="AC236" s="70"/>
      <c r="AD236" s="76" t="s">
        <v>21479</v>
      </c>
      <c r="AE236" s="81" t="s">
        <v>23186</v>
      </c>
      <c r="AF236" s="76">
        <v>91</v>
      </c>
      <c r="AG236" s="76">
        <v>555</v>
      </c>
      <c r="AH236" s="76">
        <v>3805</v>
      </c>
      <c r="AI236" s="76">
        <v>0</v>
      </c>
      <c r="AJ236" s="76">
        <v>10772</v>
      </c>
      <c r="AK236" s="76">
        <v>36</v>
      </c>
      <c r="AL236" s="76" t="b">
        <v>0</v>
      </c>
      <c r="AM236" s="78">
        <v>42899.543634259258</v>
      </c>
      <c r="AN236" s="76" t="s">
        <v>24172</v>
      </c>
      <c r="AO236" s="76"/>
      <c r="AP236" s="76"/>
      <c r="AQ236" s="76"/>
      <c r="AR236" s="76"/>
      <c r="AS236" s="76"/>
      <c r="AT236" s="76"/>
      <c r="AU236" s="76"/>
      <c r="AV236" s="76">
        <v>1.2433731083854899E+18</v>
      </c>
      <c r="AW236" s="76"/>
      <c r="AX236" s="76" t="b">
        <v>0</v>
      </c>
      <c r="AY236" s="76"/>
      <c r="AZ236" s="76"/>
      <c r="BA236" s="76" t="b">
        <v>1</v>
      </c>
      <c r="BB236" s="76" t="b">
        <v>1</v>
      </c>
      <c r="BC236" s="76" t="b">
        <v>1</v>
      </c>
      <c r="BD236" s="76" t="b">
        <v>0</v>
      </c>
      <c r="BE236" s="76" t="b">
        <v>1</v>
      </c>
      <c r="BF236" s="76" t="b">
        <v>0</v>
      </c>
      <c r="BG236" s="76" t="b">
        <v>0</v>
      </c>
      <c r="BH236" s="76"/>
      <c r="BI236" s="76"/>
      <c r="BJ236" s="76" t="s">
        <v>27595</v>
      </c>
      <c r="BK236" s="76" t="b">
        <v>0</v>
      </c>
      <c r="BL236" s="76"/>
      <c r="BM236" s="76" t="s">
        <v>65</v>
      </c>
      <c r="BN236" s="76" t="s">
        <v>27597</v>
      </c>
      <c r="BO236" s="82" t="str">
        <f>HYPERLINK("https://twitter.com/adolfopena9")</f>
        <v>https://twitter.com/adolfopena9</v>
      </c>
      <c r="BP236" s="2"/>
    </row>
    <row r="237" spans="1:68" x14ac:dyDescent="0.25">
      <c r="A237" s="62" t="s">
        <v>1740</v>
      </c>
      <c r="B237" s="63"/>
      <c r="C237" s="63"/>
      <c r="D237" s="64"/>
      <c r="E237" s="66"/>
      <c r="F237" s="103" t="str">
        <f>HYPERLINK("https://pbs.twimg.com/profile_images/1693758390571241473/ULlM4-HQ_normal.jpg")</f>
        <v>https://pbs.twimg.com/profile_images/1693758390571241473/ULlM4-HQ_normal.jpg</v>
      </c>
      <c r="G237" s="63"/>
      <c r="H237" s="67"/>
      <c r="I237" s="68"/>
      <c r="J237" s="68"/>
      <c r="K237" s="67" t="s">
        <v>27831</v>
      </c>
      <c r="L237" s="71"/>
      <c r="M237" s="72"/>
      <c r="N237" s="72"/>
      <c r="O237" s="73"/>
      <c r="P237" s="74"/>
      <c r="Q237" s="74"/>
      <c r="R237" s="87"/>
      <c r="S237" s="87"/>
      <c r="T237" s="87"/>
      <c r="U237" s="87"/>
      <c r="V237" s="48"/>
      <c r="W237" s="48"/>
      <c r="X237" s="48"/>
      <c r="Y237" s="48"/>
      <c r="Z237" s="47"/>
      <c r="AA237" s="69">
        <v>237</v>
      </c>
      <c r="AB237" s="69"/>
      <c r="AC237" s="70"/>
      <c r="AD237" s="76" t="s">
        <v>21480</v>
      </c>
      <c r="AE237" s="81" t="s">
        <v>23187</v>
      </c>
      <c r="AF237" s="76">
        <v>1037</v>
      </c>
      <c r="AG237" s="76">
        <v>725</v>
      </c>
      <c r="AH237" s="76">
        <v>73223</v>
      </c>
      <c r="AI237" s="76">
        <v>3</v>
      </c>
      <c r="AJ237" s="76">
        <v>17166</v>
      </c>
      <c r="AK237" s="76">
        <v>3732</v>
      </c>
      <c r="AL237" s="76" t="b">
        <v>0</v>
      </c>
      <c r="AM237" s="78">
        <v>40826.644236111111</v>
      </c>
      <c r="AN237" s="76"/>
      <c r="AO237" s="76" t="s">
        <v>24918</v>
      </c>
      <c r="AP237" s="76"/>
      <c r="AQ237" s="76"/>
      <c r="AR237" s="76"/>
      <c r="AS237" s="76"/>
      <c r="AT237" s="76"/>
      <c r="AU237" s="76"/>
      <c r="AV237" s="76"/>
      <c r="AW237" s="76"/>
      <c r="AX237" s="76" t="b">
        <v>0</v>
      </c>
      <c r="AY237" s="76"/>
      <c r="AZ237" s="76"/>
      <c r="BA237" s="76" t="b">
        <v>0</v>
      </c>
      <c r="BB237" s="76" t="b">
        <v>0</v>
      </c>
      <c r="BC237" s="76" t="b">
        <v>1</v>
      </c>
      <c r="BD237" s="76" t="b">
        <v>0</v>
      </c>
      <c r="BE237" s="76" t="b">
        <v>1</v>
      </c>
      <c r="BF237" s="76" t="b">
        <v>0</v>
      </c>
      <c r="BG237" s="76" t="b">
        <v>0</v>
      </c>
      <c r="BH237" s="82" t="str">
        <f>HYPERLINK("https://pbs.twimg.com/profile_banners/388327906/1673896055")</f>
        <v>https://pbs.twimg.com/profile_banners/388327906/1673896055</v>
      </c>
      <c r="BI237" s="76"/>
      <c r="BJ237" s="76" t="s">
        <v>27595</v>
      </c>
      <c r="BK237" s="76" t="b">
        <v>0</v>
      </c>
      <c r="BL237" s="76"/>
      <c r="BM237" s="76" t="s">
        <v>65</v>
      </c>
      <c r="BN237" s="76" t="s">
        <v>27597</v>
      </c>
      <c r="BO237" s="82" t="str">
        <f>HYPERLINK("https://twitter.com/perezjuan1962")</f>
        <v>https://twitter.com/perezjuan1962</v>
      </c>
      <c r="BP237" s="2"/>
    </row>
    <row r="238" spans="1:68" x14ac:dyDescent="0.25">
      <c r="A238" s="62" t="s">
        <v>1741</v>
      </c>
      <c r="B238" s="63"/>
      <c r="C238" s="63"/>
      <c r="D238" s="64"/>
      <c r="E238" s="66"/>
      <c r="F238" s="103" t="str">
        <f>HYPERLINK("https://pbs.twimg.com/profile_images/1243273863296962560/hfXuYNYE_normal.jpg")</f>
        <v>https://pbs.twimg.com/profile_images/1243273863296962560/hfXuYNYE_normal.jpg</v>
      </c>
      <c r="G238" s="63"/>
      <c r="H238" s="67"/>
      <c r="I238" s="68"/>
      <c r="J238" s="68"/>
      <c r="K238" s="67" t="s">
        <v>27832</v>
      </c>
      <c r="L238" s="71"/>
      <c r="M238" s="72"/>
      <c r="N238" s="72"/>
      <c r="O238" s="73"/>
      <c r="P238" s="74"/>
      <c r="Q238" s="74"/>
      <c r="R238" s="87"/>
      <c r="S238" s="87"/>
      <c r="T238" s="87"/>
      <c r="U238" s="87"/>
      <c r="V238" s="48"/>
      <c r="W238" s="48"/>
      <c r="X238" s="48"/>
      <c r="Y238" s="48"/>
      <c r="Z238" s="47"/>
      <c r="AA238" s="69">
        <v>238</v>
      </c>
      <c r="AB238" s="69"/>
      <c r="AC238" s="70"/>
      <c r="AD238" s="76" t="s">
        <v>21481</v>
      </c>
      <c r="AE238" s="81" t="s">
        <v>20362</v>
      </c>
      <c r="AF238" s="76">
        <v>17061</v>
      </c>
      <c r="AG238" s="76">
        <v>16543</v>
      </c>
      <c r="AH238" s="76">
        <v>205986</v>
      </c>
      <c r="AI238" s="76">
        <v>11</v>
      </c>
      <c r="AJ238" s="76">
        <v>288422</v>
      </c>
      <c r="AK238" s="76">
        <v>11889</v>
      </c>
      <c r="AL238" s="76" t="b">
        <v>0</v>
      </c>
      <c r="AM238" s="78">
        <v>41237.698055555556</v>
      </c>
      <c r="AN238" s="76" t="s">
        <v>24173</v>
      </c>
      <c r="AO238" s="76" t="s">
        <v>24919</v>
      </c>
      <c r="AP238" s="76"/>
      <c r="AQ238" s="76"/>
      <c r="AR238" s="76"/>
      <c r="AS238" s="76"/>
      <c r="AT238" s="76"/>
      <c r="AU238" s="76"/>
      <c r="AV238" s="76"/>
      <c r="AW238" s="76"/>
      <c r="AX238" s="76" t="b">
        <v>0</v>
      </c>
      <c r="AY238" s="76"/>
      <c r="AZ238" s="76"/>
      <c r="BA238" s="76" t="b">
        <v>0</v>
      </c>
      <c r="BB238" s="76" t="b">
        <v>0</v>
      </c>
      <c r="BC238" s="76" t="b">
        <v>1</v>
      </c>
      <c r="BD238" s="76" t="b">
        <v>0</v>
      </c>
      <c r="BE238" s="76" t="b">
        <v>1</v>
      </c>
      <c r="BF238" s="76" t="b">
        <v>0</v>
      </c>
      <c r="BG238" s="76" t="b">
        <v>0</v>
      </c>
      <c r="BH238" s="76"/>
      <c r="BI238" s="76"/>
      <c r="BJ238" s="76" t="s">
        <v>27595</v>
      </c>
      <c r="BK238" s="76" t="b">
        <v>0</v>
      </c>
      <c r="BL238" s="76"/>
      <c r="BM238" s="76" t="s">
        <v>65</v>
      </c>
      <c r="BN238" s="76" t="s">
        <v>27597</v>
      </c>
      <c r="BO238" s="82" t="str">
        <f>HYPERLINK("https://twitter.com/aro_rojas")</f>
        <v>https://twitter.com/aro_rojas</v>
      </c>
      <c r="BP238" s="2"/>
    </row>
    <row r="239" spans="1:68" x14ac:dyDescent="0.25">
      <c r="A239" s="62" t="s">
        <v>1492</v>
      </c>
      <c r="B239" s="63"/>
      <c r="C239" s="63"/>
      <c r="D239" s="64"/>
      <c r="E239" s="66"/>
      <c r="F239" s="103" t="str">
        <f>HYPERLINK("https://pbs.twimg.com/profile_images/1707370509644550144/sHhgbQTO_normal.jpg")</f>
        <v>https://pbs.twimg.com/profile_images/1707370509644550144/sHhgbQTO_normal.jpg</v>
      </c>
      <c r="G239" s="63"/>
      <c r="H239" s="67"/>
      <c r="I239" s="68"/>
      <c r="J239" s="68"/>
      <c r="K239" s="67" t="s">
        <v>27833</v>
      </c>
      <c r="L239" s="71"/>
      <c r="M239" s="72"/>
      <c r="N239" s="72"/>
      <c r="O239" s="73"/>
      <c r="P239" s="74"/>
      <c r="Q239" s="74"/>
      <c r="R239" s="87"/>
      <c r="S239" s="87"/>
      <c r="T239" s="87"/>
      <c r="U239" s="87"/>
      <c r="V239" s="48"/>
      <c r="W239" s="48"/>
      <c r="X239" s="48"/>
      <c r="Y239" s="48"/>
      <c r="Z239" s="47"/>
      <c r="AA239" s="69">
        <v>239</v>
      </c>
      <c r="AB239" s="69"/>
      <c r="AC239" s="70"/>
      <c r="AD239" s="76" t="s">
        <v>21482</v>
      </c>
      <c r="AE239" s="81" t="s">
        <v>21117</v>
      </c>
      <c r="AF239" s="76">
        <v>151</v>
      </c>
      <c r="AG239" s="76">
        <v>182</v>
      </c>
      <c r="AH239" s="76">
        <v>11649</v>
      </c>
      <c r="AI239" s="76">
        <v>1</v>
      </c>
      <c r="AJ239" s="76">
        <v>9517</v>
      </c>
      <c r="AK239" s="76">
        <v>6923</v>
      </c>
      <c r="AL239" s="76" t="b">
        <v>0</v>
      </c>
      <c r="AM239" s="78">
        <v>45056.463726851849</v>
      </c>
      <c r="AN239" s="76"/>
      <c r="AO239" s="76" t="s">
        <v>24920</v>
      </c>
      <c r="AP239" s="76"/>
      <c r="AQ239" s="76"/>
      <c r="AR239" s="76"/>
      <c r="AS239" s="76"/>
      <c r="AT239" s="76"/>
      <c r="AU239" s="76"/>
      <c r="AV239" s="76">
        <v>1.7075027696685801E+18</v>
      </c>
      <c r="AW239" s="76"/>
      <c r="AX239" s="76" t="b">
        <v>0</v>
      </c>
      <c r="AY239" s="76"/>
      <c r="AZ239" s="76"/>
      <c r="BA239" s="76" t="b">
        <v>0</v>
      </c>
      <c r="BB239" s="76" t="b">
        <v>0</v>
      </c>
      <c r="BC239" s="76" t="b">
        <v>1</v>
      </c>
      <c r="BD239" s="76" t="b">
        <v>0</v>
      </c>
      <c r="BE239" s="76" t="b">
        <v>0</v>
      </c>
      <c r="BF239" s="76" t="b">
        <v>0</v>
      </c>
      <c r="BG239" s="76" t="b">
        <v>1</v>
      </c>
      <c r="BH239" s="82" t="str">
        <f>HYPERLINK("https://pbs.twimg.com/profile_banners/1656254523898224642/1695578880")</f>
        <v>https://pbs.twimg.com/profile_banners/1656254523898224642/1695578880</v>
      </c>
      <c r="BI239" s="76" t="s">
        <v>27594</v>
      </c>
      <c r="BJ239" s="76" t="s">
        <v>27595</v>
      </c>
      <c r="BK239" s="76" t="b">
        <v>0</v>
      </c>
      <c r="BL239" s="76"/>
      <c r="BM239" s="76" t="s">
        <v>66</v>
      </c>
      <c r="BN239" s="76" t="s">
        <v>27597</v>
      </c>
      <c r="BO239" s="82" t="str">
        <f>HYPERLINK("https://twitter.com/ratasyratones")</f>
        <v>https://twitter.com/ratasyratones</v>
      </c>
      <c r="BP239" s="2"/>
    </row>
    <row r="240" spans="1:68" x14ac:dyDescent="0.25">
      <c r="A240" s="62" t="s">
        <v>387</v>
      </c>
      <c r="B240" s="63"/>
      <c r="C240" s="63"/>
      <c r="D240" s="64"/>
      <c r="E240" s="66"/>
      <c r="F240" s="103" t="str">
        <f>HYPERLINK("https://pbs.twimg.com/profile_images/1571134042912821258/hNvTBvIm_normal.jpg")</f>
        <v>https://pbs.twimg.com/profile_images/1571134042912821258/hNvTBvIm_normal.jpg</v>
      </c>
      <c r="G240" s="63"/>
      <c r="H240" s="67"/>
      <c r="I240" s="68"/>
      <c r="J240" s="68"/>
      <c r="K240" s="67" t="s">
        <v>27834</v>
      </c>
      <c r="L240" s="71"/>
      <c r="M240" s="72"/>
      <c r="N240" s="72"/>
      <c r="O240" s="73"/>
      <c r="P240" s="74"/>
      <c r="Q240" s="74"/>
      <c r="R240" s="87"/>
      <c r="S240" s="87"/>
      <c r="T240" s="87"/>
      <c r="U240" s="87"/>
      <c r="V240" s="48"/>
      <c r="W240" s="48"/>
      <c r="X240" s="48"/>
      <c r="Y240" s="48"/>
      <c r="Z240" s="47"/>
      <c r="AA240" s="69">
        <v>240</v>
      </c>
      <c r="AB240" s="69"/>
      <c r="AC240" s="70"/>
      <c r="AD240" s="76" t="s">
        <v>21483</v>
      </c>
      <c r="AE240" s="81" t="s">
        <v>20575</v>
      </c>
      <c r="AF240" s="76">
        <v>1</v>
      </c>
      <c r="AG240" s="76">
        <v>15</v>
      </c>
      <c r="AH240" s="76">
        <v>104</v>
      </c>
      <c r="AI240" s="76">
        <v>0</v>
      </c>
      <c r="AJ240" s="76">
        <v>21</v>
      </c>
      <c r="AK240" s="76">
        <v>0</v>
      </c>
      <c r="AL240" s="76" t="b">
        <v>0</v>
      </c>
      <c r="AM240" s="78">
        <v>44821.574386574073</v>
      </c>
      <c r="AN240" s="76"/>
      <c r="AO240" s="76"/>
      <c r="AP240" s="76"/>
      <c r="AQ240" s="76"/>
      <c r="AR240" s="76"/>
      <c r="AS240" s="76"/>
      <c r="AT240" s="76"/>
      <c r="AU240" s="76"/>
      <c r="AV240" s="76"/>
      <c r="AW240" s="76"/>
      <c r="AX240" s="76" t="b">
        <v>0</v>
      </c>
      <c r="AY240" s="76"/>
      <c r="AZ240" s="76"/>
      <c r="BA240" s="76" t="b">
        <v>0</v>
      </c>
      <c r="BB240" s="76" t="b">
        <v>1</v>
      </c>
      <c r="BC240" s="76" t="b">
        <v>1</v>
      </c>
      <c r="BD240" s="76" t="b">
        <v>0</v>
      </c>
      <c r="BE240" s="76" t="b">
        <v>0</v>
      </c>
      <c r="BF240" s="76" t="b">
        <v>0</v>
      </c>
      <c r="BG240" s="76" t="b">
        <v>0</v>
      </c>
      <c r="BH240" s="76"/>
      <c r="BI240" s="76"/>
      <c r="BJ240" s="76" t="s">
        <v>27595</v>
      </c>
      <c r="BK240" s="76" t="b">
        <v>0</v>
      </c>
      <c r="BL240" s="76"/>
      <c r="BM240" s="76" t="s">
        <v>66</v>
      </c>
      <c r="BN240" s="76" t="s">
        <v>27597</v>
      </c>
      <c r="BO240" s="82" t="str">
        <f>HYPERLINK("https://twitter.com/twikarock")</f>
        <v>https://twitter.com/twikarock</v>
      </c>
      <c r="BP240" s="2"/>
    </row>
    <row r="241" spans="1:68" x14ac:dyDescent="0.25">
      <c r="A241" s="62" t="s">
        <v>388</v>
      </c>
      <c r="B241" s="63"/>
      <c r="C241" s="63"/>
      <c r="D241" s="64"/>
      <c r="E241" s="66"/>
      <c r="F241" s="103" t="str">
        <f>HYPERLINK("https://pbs.twimg.com/profile_images/1273964615530053632/qHcU0VHf_normal.jpg")</f>
        <v>https://pbs.twimg.com/profile_images/1273964615530053632/qHcU0VHf_normal.jpg</v>
      </c>
      <c r="G241" s="63"/>
      <c r="H241" s="67"/>
      <c r="I241" s="68"/>
      <c r="J241" s="68"/>
      <c r="K241" s="67" t="s">
        <v>27835</v>
      </c>
      <c r="L241" s="71"/>
      <c r="M241" s="72"/>
      <c r="N241" s="72"/>
      <c r="O241" s="73"/>
      <c r="P241" s="74"/>
      <c r="Q241" s="74"/>
      <c r="R241" s="87"/>
      <c r="S241" s="87"/>
      <c r="T241" s="87"/>
      <c r="U241" s="87"/>
      <c r="V241" s="48"/>
      <c r="W241" s="48"/>
      <c r="X241" s="48"/>
      <c r="Y241" s="48"/>
      <c r="Z241" s="47"/>
      <c r="AA241" s="69">
        <v>241</v>
      </c>
      <c r="AB241" s="69"/>
      <c r="AC241" s="70"/>
      <c r="AD241" s="76" t="s">
        <v>21484</v>
      </c>
      <c r="AE241" s="81" t="s">
        <v>20576</v>
      </c>
      <c r="AF241" s="76">
        <v>5791</v>
      </c>
      <c r="AG241" s="76">
        <v>111</v>
      </c>
      <c r="AH241" s="76">
        <v>6268</v>
      </c>
      <c r="AI241" s="76">
        <v>130</v>
      </c>
      <c r="AJ241" s="76">
        <v>1</v>
      </c>
      <c r="AK241" s="76">
        <v>9</v>
      </c>
      <c r="AL241" s="76" t="b">
        <v>0</v>
      </c>
      <c r="AM241" s="78">
        <v>43797.613379629627</v>
      </c>
      <c r="AN241" s="76"/>
      <c r="AO241" s="76" t="s">
        <v>24921</v>
      </c>
      <c r="AP241" s="82" t="str">
        <f>HYPERLINK("https://t.co/WNzFhQbBp9")</f>
        <v>https://t.co/WNzFhQbBp9</v>
      </c>
      <c r="AQ241" s="82" t="str">
        <f>HYPERLINK("https://www.moneytimes.com.br/cryptotimes/")</f>
        <v>https://www.moneytimes.com.br/cryptotimes/</v>
      </c>
      <c r="AR241" s="76" t="s">
        <v>26490</v>
      </c>
      <c r="AS241" s="76"/>
      <c r="AT241" s="76"/>
      <c r="AU241" s="76"/>
      <c r="AV241" s="76"/>
      <c r="AW241" s="82" t="str">
        <f>HYPERLINK("https://t.co/WNzFhQbBp9")</f>
        <v>https://t.co/WNzFhQbBp9</v>
      </c>
      <c r="AX241" s="76" t="b">
        <v>0</v>
      </c>
      <c r="AY241" s="76"/>
      <c r="AZ241" s="76"/>
      <c r="BA241" s="76" t="b">
        <v>0</v>
      </c>
      <c r="BB241" s="76" t="b">
        <v>1</v>
      </c>
      <c r="BC241" s="76" t="b">
        <v>1</v>
      </c>
      <c r="BD241" s="76" t="b">
        <v>0</v>
      </c>
      <c r="BE241" s="76" t="b">
        <v>1</v>
      </c>
      <c r="BF241" s="76" t="b">
        <v>0</v>
      </c>
      <c r="BG241" s="76" t="b">
        <v>0</v>
      </c>
      <c r="BH241" s="82" t="str">
        <f>HYPERLINK("https://pbs.twimg.com/profile_banners/1200062560306958336/1650380415")</f>
        <v>https://pbs.twimg.com/profile_banners/1200062560306958336/1650380415</v>
      </c>
      <c r="BI241" s="76"/>
      <c r="BJ241" s="76" t="s">
        <v>27595</v>
      </c>
      <c r="BK241" s="76" t="b">
        <v>0</v>
      </c>
      <c r="BL241" s="76"/>
      <c r="BM241" s="76" t="s">
        <v>66</v>
      </c>
      <c r="BN241" s="76" t="s">
        <v>27597</v>
      </c>
      <c r="BO241" s="82" t="str">
        <f>HYPERLINK("https://twitter.com/leiacryptotimes")</f>
        <v>https://twitter.com/leiacryptotimes</v>
      </c>
      <c r="BP241" s="2"/>
    </row>
    <row r="242" spans="1:68" x14ac:dyDescent="0.25">
      <c r="A242" s="62" t="s">
        <v>389</v>
      </c>
      <c r="B242" s="63"/>
      <c r="C242" s="63"/>
      <c r="D242" s="64"/>
      <c r="E242" s="66"/>
      <c r="F242" s="103" t="str">
        <f>HYPERLINK("https://pbs.twimg.com/profile_images/1039557751322681344/zizvm_r-_normal.jpg")</f>
        <v>https://pbs.twimg.com/profile_images/1039557751322681344/zizvm_r-_normal.jpg</v>
      </c>
      <c r="G242" s="63"/>
      <c r="H242" s="67"/>
      <c r="I242" s="68"/>
      <c r="J242" s="68"/>
      <c r="K242" s="67" t="s">
        <v>27836</v>
      </c>
      <c r="L242" s="71"/>
      <c r="M242" s="72"/>
      <c r="N242" s="72"/>
      <c r="O242" s="73"/>
      <c r="P242" s="74"/>
      <c r="Q242" s="74"/>
      <c r="R242" s="87"/>
      <c r="S242" s="87"/>
      <c r="T242" s="87"/>
      <c r="U242" s="87"/>
      <c r="V242" s="48"/>
      <c r="W242" s="48"/>
      <c r="X242" s="48"/>
      <c r="Y242" s="48"/>
      <c r="Z242" s="47"/>
      <c r="AA242" s="69">
        <v>242</v>
      </c>
      <c r="AB242" s="69"/>
      <c r="AC242" s="70"/>
      <c r="AD242" s="76" t="s">
        <v>21485</v>
      </c>
      <c r="AE242" s="81" t="s">
        <v>23188</v>
      </c>
      <c r="AF242" s="76">
        <v>95</v>
      </c>
      <c r="AG242" s="76">
        <v>347</v>
      </c>
      <c r="AH242" s="76">
        <v>10899</v>
      </c>
      <c r="AI242" s="76">
        <v>0</v>
      </c>
      <c r="AJ242" s="76">
        <v>24618</v>
      </c>
      <c r="AK242" s="76">
        <v>210</v>
      </c>
      <c r="AL242" s="76" t="b">
        <v>0</v>
      </c>
      <c r="AM242" s="78">
        <v>39969.507847222223</v>
      </c>
      <c r="AN242" s="76"/>
      <c r="AO242" s="76"/>
      <c r="AP242" s="76"/>
      <c r="AQ242" s="76"/>
      <c r="AR242" s="76"/>
      <c r="AS242" s="76"/>
      <c r="AT242" s="76"/>
      <c r="AU242" s="76"/>
      <c r="AV242" s="76"/>
      <c r="AW242" s="76"/>
      <c r="AX242" s="76" t="b">
        <v>0</v>
      </c>
      <c r="AY242" s="76"/>
      <c r="AZ242" s="76"/>
      <c r="BA242" s="76" t="b">
        <v>0</v>
      </c>
      <c r="BB242" s="76" t="b">
        <v>1</v>
      </c>
      <c r="BC242" s="76" t="b">
        <v>1</v>
      </c>
      <c r="BD242" s="76" t="b">
        <v>0</v>
      </c>
      <c r="BE242" s="76" t="b">
        <v>1</v>
      </c>
      <c r="BF242" s="76" t="b">
        <v>0</v>
      </c>
      <c r="BG242" s="76" t="b">
        <v>0</v>
      </c>
      <c r="BH242" s="76"/>
      <c r="BI242" s="76"/>
      <c r="BJ242" s="76" t="s">
        <v>27595</v>
      </c>
      <c r="BK242" s="76" t="b">
        <v>0</v>
      </c>
      <c r="BL242" s="76"/>
      <c r="BM242" s="76" t="s">
        <v>66</v>
      </c>
      <c r="BN242" s="76" t="s">
        <v>27597</v>
      </c>
      <c r="BO242" s="82" t="str">
        <f>HYPERLINK("https://twitter.com/dizobispo")</f>
        <v>https://twitter.com/dizobispo</v>
      </c>
      <c r="BP242" s="2"/>
    </row>
    <row r="243" spans="1:68" x14ac:dyDescent="0.25">
      <c r="A243" s="62" t="s">
        <v>952</v>
      </c>
      <c r="B243" s="63"/>
      <c r="C243" s="63"/>
      <c r="D243" s="64"/>
      <c r="E243" s="66"/>
      <c r="F243" s="103" t="str">
        <f>HYPERLINK("https://pbs.twimg.com/profile_images/1683542595606069272/unw4GIfa_normal.jpg")</f>
        <v>https://pbs.twimg.com/profile_images/1683542595606069272/unw4GIfa_normal.jpg</v>
      </c>
      <c r="G243" s="63"/>
      <c r="H243" s="67"/>
      <c r="I243" s="68"/>
      <c r="J243" s="68"/>
      <c r="K243" s="67" t="s">
        <v>27837</v>
      </c>
      <c r="L243" s="71"/>
      <c r="M243" s="72"/>
      <c r="N243" s="72"/>
      <c r="O243" s="73"/>
      <c r="P243" s="74"/>
      <c r="Q243" s="74"/>
      <c r="R243" s="87"/>
      <c r="S243" s="87"/>
      <c r="T243" s="87"/>
      <c r="U243" s="87"/>
      <c r="V243" s="48"/>
      <c r="W243" s="48"/>
      <c r="X243" s="48"/>
      <c r="Y243" s="48"/>
      <c r="Z243" s="47"/>
      <c r="AA243" s="69">
        <v>243</v>
      </c>
      <c r="AB243" s="69"/>
      <c r="AC243" s="70"/>
      <c r="AD243" s="76" t="s">
        <v>21486</v>
      </c>
      <c r="AE243" s="81" t="s">
        <v>23189</v>
      </c>
      <c r="AF243" s="76">
        <v>67267</v>
      </c>
      <c r="AG243" s="76">
        <v>18407</v>
      </c>
      <c r="AH243" s="76">
        <v>28333</v>
      </c>
      <c r="AI243" s="76">
        <v>83</v>
      </c>
      <c r="AJ243" s="76">
        <v>121887</v>
      </c>
      <c r="AK243" s="76">
        <v>5759</v>
      </c>
      <c r="AL243" s="76" t="b">
        <v>0</v>
      </c>
      <c r="AM243" s="78">
        <v>40105.679930555554</v>
      </c>
      <c r="AN243" s="76" t="s">
        <v>14400</v>
      </c>
      <c r="AO243" s="76" t="s">
        <v>24922</v>
      </c>
      <c r="AP243" s="76"/>
      <c r="AQ243" s="76"/>
      <c r="AR243" s="76"/>
      <c r="AS243" s="76"/>
      <c r="AT243" s="76"/>
      <c r="AU243" s="76"/>
      <c r="AV243" s="76"/>
      <c r="AW243" s="76"/>
      <c r="AX243" s="76" t="b">
        <v>1</v>
      </c>
      <c r="AY243" s="76"/>
      <c r="AZ243" s="76"/>
      <c r="BA243" s="76" t="b">
        <v>0</v>
      </c>
      <c r="BB243" s="76" t="b">
        <v>0</v>
      </c>
      <c r="BC243" s="76" t="b">
        <v>1</v>
      </c>
      <c r="BD243" s="76" t="b">
        <v>0</v>
      </c>
      <c r="BE243" s="76" t="b">
        <v>1</v>
      </c>
      <c r="BF243" s="76" t="b">
        <v>0</v>
      </c>
      <c r="BG243" s="76" t="b">
        <v>0</v>
      </c>
      <c r="BH243" s="82" t="str">
        <f>HYPERLINK("https://pbs.twimg.com/profile_banners/83633242/1694346947")</f>
        <v>https://pbs.twimg.com/profile_banners/83633242/1694346947</v>
      </c>
      <c r="BI243" s="76"/>
      <c r="BJ243" s="76" t="s">
        <v>27595</v>
      </c>
      <c r="BK243" s="76" t="b">
        <v>0</v>
      </c>
      <c r="BL243" s="76"/>
      <c r="BM243" s="76" t="s">
        <v>66</v>
      </c>
      <c r="BN243" s="76" t="s">
        <v>27597</v>
      </c>
      <c r="BO243" s="82" t="str">
        <f>HYPERLINK("https://twitter.com/rede_marco")</f>
        <v>https://twitter.com/rede_marco</v>
      </c>
      <c r="BP243" s="2"/>
    </row>
    <row r="244" spans="1:68" x14ac:dyDescent="0.25">
      <c r="A244" s="62" t="s">
        <v>390</v>
      </c>
      <c r="B244" s="63"/>
      <c r="C244" s="63"/>
      <c r="D244" s="64"/>
      <c r="E244" s="66"/>
      <c r="F244" s="103" t="str">
        <f>HYPERLINK("https://pbs.twimg.com/profile_images/1642894015942078466/aKbhY9_l_normal.jpg")</f>
        <v>https://pbs.twimg.com/profile_images/1642894015942078466/aKbhY9_l_normal.jpg</v>
      </c>
      <c r="G244" s="63"/>
      <c r="H244" s="67"/>
      <c r="I244" s="68"/>
      <c r="J244" s="68"/>
      <c r="K244" s="67" t="s">
        <v>27838</v>
      </c>
      <c r="L244" s="71"/>
      <c r="M244" s="72"/>
      <c r="N244" s="72"/>
      <c r="O244" s="73"/>
      <c r="P244" s="74"/>
      <c r="Q244" s="74"/>
      <c r="R244" s="87"/>
      <c r="S244" s="87"/>
      <c r="T244" s="87"/>
      <c r="U244" s="87"/>
      <c r="V244" s="48"/>
      <c r="W244" s="48"/>
      <c r="X244" s="48"/>
      <c r="Y244" s="48"/>
      <c r="Z244" s="47"/>
      <c r="AA244" s="69">
        <v>244</v>
      </c>
      <c r="AB244" s="69"/>
      <c r="AC244" s="70"/>
      <c r="AD244" s="76" t="s">
        <v>21487</v>
      </c>
      <c r="AE244" s="81" t="s">
        <v>20577</v>
      </c>
      <c r="AF244" s="76">
        <v>18</v>
      </c>
      <c r="AG244" s="76">
        <v>89</v>
      </c>
      <c r="AH244" s="76">
        <v>1998</v>
      </c>
      <c r="AI244" s="76">
        <v>0</v>
      </c>
      <c r="AJ244" s="76">
        <v>487</v>
      </c>
      <c r="AK244" s="76">
        <v>1338</v>
      </c>
      <c r="AL244" s="76" t="b">
        <v>0</v>
      </c>
      <c r="AM244" s="78">
        <v>45019.539918981478</v>
      </c>
      <c r="AN244" s="76" t="s">
        <v>24174</v>
      </c>
      <c r="AO244" s="76" t="s">
        <v>24923</v>
      </c>
      <c r="AP244" s="76"/>
      <c r="AQ244" s="76"/>
      <c r="AR244" s="76"/>
      <c r="AS244" s="76"/>
      <c r="AT244" s="76"/>
      <c r="AU244" s="76"/>
      <c r="AV244" s="76"/>
      <c r="AW244" s="76"/>
      <c r="AX244" s="76" t="b">
        <v>0</v>
      </c>
      <c r="AY244" s="76"/>
      <c r="AZ244" s="76"/>
      <c r="BA244" s="76" t="b">
        <v>0</v>
      </c>
      <c r="BB244" s="76" t="b">
        <v>1</v>
      </c>
      <c r="BC244" s="76" t="b">
        <v>1</v>
      </c>
      <c r="BD244" s="76" t="b">
        <v>0</v>
      </c>
      <c r="BE244" s="76" t="b">
        <v>0</v>
      </c>
      <c r="BF244" s="76" t="b">
        <v>0</v>
      </c>
      <c r="BG244" s="76" t="b">
        <v>0</v>
      </c>
      <c r="BH244" s="82" t="str">
        <f>HYPERLINK("https://pbs.twimg.com/profile_banners/1642873903805526018/1690586539")</f>
        <v>https://pbs.twimg.com/profile_banners/1642873903805526018/1690586539</v>
      </c>
      <c r="BI244" s="76"/>
      <c r="BJ244" s="76" t="s">
        <v>27595</v>
      </c>
      <c r="BK244" s="76" t="b">
        <v>0</v>
      </c>
      <c r="BL244" s="76"/>
      <c r="BM244" s="76" t="s">
        <v>66</v>
      </c>
      <c r="BN244" s="76" t="s">
        <v>27597</v>
      </c>
      <c r="BO244" s="82" t="str">
        <f>HYPERLINK("https://twitter.com/danilojulliao")</f>
        <v>https://twitter.com/danilojulliao</v>
      </c>
      <c r="BP244" s="2"/>
    </row>
    <row r="245" spans="1:68" x14ac:dyDescent="0.25">
      <c r="A245" s="62" t="s">
        <v>391</v>
      </c>
      <c r="B245" s="63"/>
      <c r="C245" s="63"/>
      <c r="D245" s="64"/>
      <c r="E245" s="66"/>
      <c r="F245" s="103" t="str">
        <f>HYPERLINK("https://pbs.twimg.com/profile_images/1250796079089627136/9sjd5p4H_normal.jpg")</f>
        <v>https://pbs.twimg.com/profile_images/1250796079089627136/9sjd5p4H_normal.jpg</v>
      </c>
      <c r="G245" s="63"/>
      <c r="H245" s="67"/>
      <c r="I245" s="68"/>
      <c r="J245" s="68"/>
      <c r="K245" s="67" t="s">
        <v>27839</v>
      </c>
      <c r="L245" s="71"/>
      <c r="M245" s="72"/>
      <c r="N245" s="72"/>
      <c r="O245" s="73"/>
      <c r="P245" s="74"/>
      <c r="Q245" s="74"/>
      <c r="R245" s="87"/>
      <c r="S245" s="87"/>
      <c r="T245" s="87"/>
      <c r="U245" s="87"/>
      <c r="V245" s="48"/>
      <c r="W245" s="48"/>
      <c r="X245" s="48"/>
      <c r="Y245" s="48"/>
      <c r="Z245" s="47"/>
      <c r="AA245" s="69">
        <v>245</v>
      </c>
      <c r="AB245" s="69"/>
      <c r="AC245" s="70"/>
      <c r="AD245" s="76" t="s">
        <v>21488</v>
      </c>
      <c r="AE245" s="81" t="s">
        <v>20578</v>
      </c>
      <c r="AF245" s="76">
        <v>211</v>
      </c>
      <c r="AG245" s="76">
        <v>320</v>
      </c>
      <c r="AH245" s="76">
        <v>11720</v>
      </c>
      <c r="AI245" s="76">
        <v>1</v>
      </c>
      <c r="AJ245" s="76">
        <v>705</v>
      </c>
      <c r="AK245" s="76">
        <v>2422</v>
      </c>
      <c r="AL245" s="76" t="b">
        <v>0</v>
      </c>
      <c r="AM245" s="78">
        <v>43858.031041666669</v>
      </c>
      <c r="AN245" s="76"/>
      <c r="AO245" s="76" t="s">
        <v>24924</v>
      </c>
      <c r="AP245" s="82" t="str">
        <f>HYPERLINK("https://t.co/PkXNcG0We6")</f>
        <v>https://t.co/PkXNcG0We6</v>
      </c>
      <c r="AQ245" s="82" t="str">
        <f>HYPERLINK("https://www.saltamasiva.com")</f>
        <v>https://www.saltamasiva.com</v>
      </c>
      <c r="AR245" s="76" t="s">
        <v>8658</v>
      </c>
      <c r="AS245" s="82" t="str">
        <f>HYPERLINK("https://t.co/IeiKZvM40e")</f>
        <v>https://t.co/IeiKZvM40e</v>
      </c>
      <c r="AT245" s="82" t="str">
        <f>HYPERLINK("http://taplink.cc/saltamasiva")</f>
        <v>http://taplink.cc/saltamasiva</v>
      </c>
      <c r="AU245" s="76" t="s">
        <v>27465</v>
      </c>
      <c r="AV245" s="76"/>
      <c r="AW245" s="82" t="str">
        <f>HYPERLINK("https://t.co/PkXNcG0We6")</f>
        <v>https://t.co/PkXNcG0We6</v>
      </c>
      <c r="AX245" s="76" t="b">
        <v>0</v>
      </c>
      <c r="AY245" s="76"/>
      <c r="AZ245" s="76"/>
      <c r="BA245" s="76" t="b">
        <v>1</v>
      </c>
      <c r="BB245" s="76" t="b">
        <v>1</v>
      </c>
      <c r="BC245" s="76" t="b">
        <v>1</v>
      </c>
      <c r="BD245" s="76" t="b">
        <v>0</v>
      </c>
      <c r="BE245" s="76" t="b">
        <v>0</v>
      </c>
      <c r="BF245" s="76" t="b">
        <v>0</v>
      </c>
      <c r="BG245" s="76" t="b">
        <v>0</v>
      </c>
      <c r="BH245" s="82" t="str">
        <f>HYPERLINK("https://pbs.twimg.com/profile_banners/1221956951548010501/1601938482")</f>
        <v>https://pbs.twimg.com/profile_banners/1221956951548010501/1601938482</v>
      </c>
      <c r="BI245" s="76"/>
      <c r="BJ245" s="76" t="s">
        <v>27595</v>
      </c>
      <c r="BK245" s="76" t="b">
        <v>0</v>
      </c>
      <c r="BL245" s="76"/>
      <c r="BM245" s="76" t="s">
        <v>66</v>
      </c>
      <c r="BN245" s="76" t="s">
        <v>27597</v>
      </c>
      <c r="BO245" s="82" t="str">
        <f>HYPERLINK("https://twitter.com/saltaiva")</f>
        <v>https://twitter.com/saltaiva</v>
      </c>
      <c r="BP245" s="2"/>
    </row>
    <row r="246" spans="1:68" x14ac:dyDescent="0.25">
      <c r="A246" s="62" t="s">
        <v>392</v>
      </c>
      <c r="B246" s="63"/>
      <c r="C246" s="63"/>
      <c r="D246" s="64"/>
      <c r="E246" s="66"/>
      <c r="F246" s="103" t="str">
        <f>HYPERLINK("https://pbs.twimg.com/profile_images/877766686174310400/gaV-lfUY_normal.jpg")</f>
        <v>https://pbs.twimg.com/profile_images/877766686174310400/gaV-lfUY_normal.jpg</v>
      </c>
      <c r="G246" s="63"/>
      <c r="H246" s="67"/>
      <c r="I246" s="68"/>
      <c r="J246" s="68"/>
      <c r="K246" s="67" t="s">
        <v>27840</v>
      </c>
      <c r="L246" s="71"/>
      <c r="M246" s="72"/>
      <c r="N246" s="72"/>
      <c r="O246" s="73"/>
      <c r="P246" s="74"/>
      <c r="Q246" s="74"/>
      <c r="R246" s="87"/>
      <c r="S246" s="87"/>
      <c r="T246" s="87"/>
      <c r="U246" s="87"/>
      <c r="V246" s="48"/>
      <c r="W246" s="48"/>
      <c r="X246" s="48"/>
      <c r="Y246" s="48"/>
      <c r="Z246" s="47"/>
      <c r="AA246" s="69">
        <v>246</v>
      </c>
      <c r="AB246" s="69"/>
      <c r="AC246" s="70"/>
      <c r="AD246" s="76" t="s">
        <v>21489</v>
      </c>
      <c r="AE246" s="81" t="s">
        <v>23190</v>
      </c>
      <c r="AF246" s="76">
        <v>2301</v>
      </c>
      <c r="AG246" s="76">
        <v>4430</v>
      </c>
      <c r="AH246" s="76">
        <v>142461</v>
      </c>
      <c r="AI246" s="76">
        <v>3</v>
      </c>
      <c r="AJ246" s="76">
        <v>216059</v>
      </c>
      <c r="AK246" s="76">
        <v>1518</v>
      </c>
      <c r="AL246" s="76" t="b">
        <v>0</v>
      </c>
      <c r="AM246" s="78">
        <v>40757.242569444446</v>
      </c>
      <c r="AN246" s="76"/>
      <c r="AO246" s="76" t="s">
        <v>24925</v>
      </c>
      <c r="AP246" s="76"/>
      <c r="AQ246" s="76"/>
      <c r="AR246" s="76"/>
      <c r="AS246" s="76"/>
      <c r="AT246" s="76"/>
      <c r="AU246" s="76"/>
      <c r="AV246" s="76">
        <v>1.5665747774767201E+18</v>
      </c>
      <c r="AW246" s="76"/>
      <c r="AX246" s="76" t="b">
        <v>0</v>
      </c>
      <c r="AY246" s="76"/>
      <c r="AZ246" s="76"/>
      <c r="BA246" s="76" t="b">
        <v>0</v>
      </c>
      <c r="BB246" s="76" t="b">
        <v>1</v>
      </c>
      <c r="BC246" s="76" t="b">
        <v>0</v>
      </c>
      <c r="BD246" s="76" t="b">
        <v>0</v>
      </c>
      <c r="BE246" s="76" t="b">
        <v>1</v>
      </c>
      <c r="BF246" s="76" t="b">
        <v>0</v>
      </c>
      <c r="BG246" s="76" t="b">
        <v>0</v>
      </c>
      <c r="BH246" s="82" t="str">
        <f>HYPERLINK("https://pbs.twimg.com/profile_banners/347038543/1396405491")</f>
        <v>https://pbs.twimg.com/profile_banners/347038543/1396405491</v>
      </c>
      <c r="BI246" s="76"/>
      <c r="BJ246" s="76" t="s">
        <v>27595</v>
      </c>
      <c r="BK246" s="76" t="b">
        <v>0</v>
      </c>
      <c r="BL246" s="76"/>
      <c r="BM246" s="76" t="s">
        <v>66</v>
      </c>
      <c r="BN246" s="76" t="s">
        <v>27597</v>
      </c>
      <c r="BO246" s="82" t="str">
        <f>HYPERLINK("https://twitter.com/ramirezarcadio")</f>
        <v>https://twitter.com/ramirezarcadio</v>
      </c>
      <c r="BP246" s="2"/>
    </row>
    <row r="247" spans="1:68" x14ac:dyDescent="0.25">
      <c r="A247" s="62" t="s">
        <v>1742</v>
      </c>
      <c r="B247" s="63"/>
      <c r="C247" s="63"/>
      <c r="D247" s="64"/>
      <c r="E247" s="66"/>
      <c r="F247" s="103" t="str">
        <f>HYPERLINK("https://pbs.twimg.com/profile_images/1651300768/color_normal.jpg")</f>
        <v>https://pbs.twimg.com/profile_images/1651300768/color_normal.jpg</v>
      </c>
      <c r="G247" s="63"/>
      <c r="H247" s="67"/>
      <c r="I247" s="68"/>
      <c r="J247" s="68"/>
      <c r="K247" s="67" t="s">
        <v>27841</v>
      </c>
      <c r="L247" s="71"/>
      <c r="M247" s="72"/>
      <c r="N247" s="72"/>
      <c r="O247" s="73"/>
      <c r="P247" s="74"/>
      <c r="Q247" s="74"/>
      <c r="R247" s="87"/>
      <c r="S247" s="87"/>
      <c r="T247" s="87"/>
      <c r="U247" s="87"/>
      <c r="V247" s="48"/>
      <c r="W247" s="48"/>
      <c r="X247" s="48"/>
      <c r="Y247" s="48"/>
      <c r="Z247" s="47"/>
      <c r="AA247" s="69">
        <v>247</v>
      </c>
      <c r="AB247" s="69"/>
      <c r="AC247" s="70"/>
      <c r="AD247" s="76" t="s">
        <v>21490</v>
      </c>
      <c r="AE247" s="81" t="s">
        <v>23191</v>
      </c>
      <c r="AF247" s="76">
        <v>4</v>
      </c>
      <c r="AG247" s="76">
        <v>8</v>
      </c>
      <c r="AH247" s="76">
        <v>4</v>
      </c>
      <c r="AI247" s="76">
        <v>0</v>
      </c>
      <c r="AJ247" s="76">
        <v>0</v>
      </c>
      <c r="AK247" s="76">
        <v>0</v>
      </c>
      <c r="AL247" s="76" t="b">
        <v>0</v>
      </c>
      <c r="AM247" s="78">
        <v>40869.007013888891</v>
      </c>
      <c r="AN247" s="76"/>
      <c r="AO247" s="76" t="s">
        <v>24926</v>
      </c>
      <c r="AP247" s="76"/>
      <c r="AQ247" s="76"/>
      <c r="AR247" s="76"/>
      <c r="AS247" s="76"/>
      <c r="AT247" s="76"/>
      <c r="AU247" s="76"/>
      <c r="AV247" s="76"/>
      <c r="AW247" s="76"/>
      <c r="AX247" s="76" t="b">
        <v>0</v>
      </c>
      <c r="AY247" s="76"/>
      <c r="AZ247" s="76"/>
      <c r="BA247" s="76" t="b">
        <v>0</v>
      </c>
      <c r="BB247" s="76" t="b">
        <v>1</v>
      </c>
      <c r="BC247" s="76" t="b">
        <v>1</v>
      </c>
      <c r="BD247" s="76" t="b">
        <v>0</v>
      </c>
      <c r="BE247" s="76" t="b">
        <v>0</v>
      </c>
      <c r="BF247" s="76" t="b">
        <v>0</v>
      </c>
      <c r="BG247" s="76" t="b">
        <v>0</v>
      </c>
      <c r="BH247" s="76"/>
      <c r="BI247" s="76"/>
      <c r="BJ247" s="76" t="s">
        <v>27595</v>
      </c>
      <c r="BK247" s="76" t="b">
        <v>0</v>
      </c>
      <c r="BL247" s="76"/>
      <c r="BM247" s="76" t="s">
        <v>65</v>
      </c>
      <c r="BN247" s="76" t="s">
        <v>27597</v>
      </c>
      <c r="BO247" s="82" t="str">
        <f>HYPERLINK("https://twitter.com/afpschile")</f>
        <v>https://twitter.com/afpschile</v>
      </c>
      <c r="BP247" s="2"/>
    </row>
    <row r="248" spans="1:68" x14ac:dyDescent="0.25">
      <c r="A248" s="62" t="s">
        <v>1743</v>
      </c>
      <c r="B248" s="63"/>
      <c r="C248" s="63"/>
      <c r="D248" s="64"/>
      <c r="E248" s="66"/>
      <c r="F248" s="103" t="str">
        <f>HYPERLINK("https://pbs.twimg.com/profile_images/1106605150209261568/W9INnjyq_normal.jpg")</f>
        <v>https://pbs.twimg.com/profile_images/1106605150209261568/W9INnjyq_normal.jpg</v>
      </c>
      <c r="G248" s="63"/>
      <c r="H248" s="67"/>
      <c r="I248" s="68"/>
      <c r="J248" s="68"/>
      <c r="K248" s="67" t="s">
        <v>27842</v>
      </c>
      <c r="L248" s="71"/>
      <c r="M248" s="72"/>
      <c r="N248" s="72"/>
      <c r="O248" s="73"/>
      <c r="P248" s="74"/>
      <c r="Q248" s="74"/>
      <c r="R248" s="87"/>
      <c r="S248" s="87"/>
      <c r="T248" s="87"/>
      <c r="U248" s="87"/>
      <c r="V248" s="48"/>
      <c r="W248" s="48"/>
      <c r="X248" s="48"/>
      <c r="Y248" s="48"/>
      <c r="Z248" s="47"/>
      <c r="AA248" s="69">
        <v>248</v>
      </c>
      <c r="AB248" s="69"/>
      <c r="AC248" s="70"/>
      <c r="AD248" s="76" t="s">
        <v>21491</v>
      </c>
      <c r="AE248" s="81" t="s">
        <v>23192</v>
      </c>
      <c r="AF248" s="76">
        <v>29738</v>
      </c>
      <c r="AG248" s="76">
        <v>975</v>
      </c>
      <c r="AH248" s="76">
        <v>5455</v>
      </c>
      <c r="AI248" s="76">
        <v>131</v>
      </c>
      <c r="AJ248" s="76">
        <v>27</v>
      </c>
      <c r="AK248" s="76">
        <v>510</v>
      </c>
      <c r="AL248" s="76" t="b">
        <v>0</v>
      </c>
      <c r="AM248" s="78">
        <v>39763.811574074076</v>
      </c>
      <c r="AN248" s="76" t="s">
        <v>24175</v>
      </c>
      <c r="AO248" s="76" t="s">
        <v>24927</v>
      </c>
      <c r="AP248" s="76"/>
      <c r="AQ248" s="76"/>
      <c r="AR248" s="76"/>
      <c r="AS248" s="76"/>
      <c r="AT248" s="76"/>
      <c r="AU248" s="76"/>
      <c r="AV248" s="76"/>
      <c r="AW248" s="76"/>
      <c r="AX248" s="76" t="b">
        <v>0</v>
      </c>
      <c r="AY248" s="76"/>
      <c r="AZ248" s="76"/>
      <c r="BA248" s="76" t="b">
        <v>0</v>
      </c>
      <c r="BB248" s="76" t="b">
        <v>1</v>
      </c>
      <c r="BC248" s="76" t="b">
        <v>1</v>
      </c>
      <c r="BD248" s="76" t="b">
        <v>0</v>
      </c>
      <c r="BE248" s="76" t="b">
        <v>1</v>
      </c>
      <c r="BF248" s="76" t="b">
        <v>0</v>
      </c>
      <c r="BG248" s="76" t="b">
        <v>0</v>
      </c>
      <c r="BH248" s="82" t="str">
        <f>HYPERLINK("https://pbs.twimg.com/profile_banners/17317080/1507896295")</f>
        <v>https://pbs.twimg.com/profile_banners/17317080/1507896295</v>
      </c>
      <c r="BI248" s="76"/>
      <c r="BJ248" s="76" t="s">
        <v>27595</v>
      </c>
      <c r="BK248" s="76" t="b">
        <v>0</v>
      </c>
      <c r="BL248" s="76"/>
      <c r="BM248" s="76" t="s">
        <v>65</v>
      </c>
      <c r="BN248" s="76" t="s">
        <v>27597</v>
      </c>
      <c r="BO248" s="82" t="str">
        <f>HYPERLINK("https://twitter.com/gmoramirez")</f>
        <v>https://twitter.com/gmoramirez</v>
      </c>
      <c r="BP248" s="2"/>
    </row>
    <row r="249" spans="1:68" x14ac:dyDescent="0.25">
      <c r="A249" s="62" t="s">
        <v>1744</v>
      </c>
      <c r="B249" s="63"/>
      <c r="C249" s="63"/>
      <c r="D249" s="64"/>
      <c r="E249" s="66"/>
      <c r="F249" s="103" t="str">
        <f>HYPERLINK("https://pbs.twimg.com/profile_images/1236842487295217670/HrbchS7W_normal.jpg")</f>
        <v>https://pbs.twimg.com/profile_images/1236842487295217670/HrbchS7W_normal.jpg</v>
      </c>
      <c r="G249" s="63"/>
      <c r="H249" s="67"/>
      <c r="I249" s="68"/>
      <c r="J249" s="68"/>
      <c r="K249" s="67" t="s">
        <v>27843</v>
      </c>
      <c r="L249" s="71"/>
      <c r="M249" s="72"/>
      <c r="N249" s="72"/>
      <c r="O249" s="73"/>
      <c r="P249" s="74"/>
      <c r="Q249" s="74"/>
      <c r="R249" s="87"/>
      <c r="S249" s="87"/>
      <c r="T249" s="87"/>
      <c r="U249" s="87"/>
      <c r="V249" s="48"/>
      <c r="W249" s="48"/>
      <c r="X249" s="48"/>
      <c r="Y249" s="48"/>
      <c r="Z249" s="47"/>
      <c r="AA249" s="69">
        <v>249</v>
      </c>
      <c r="AB249" s="69"/>
      <c r="AC249" s="70"/>
      <c r="AD249" s="76" t="s">
        <v>21492</v>
      </c>
      <c r="AE249" s="81" t="s">
        <v>23193</v>
      </c>
      <c r="AF249" s="76">
        <v>1990</v>
      </c>
      <c r="AG249" s="76">
        <v>4993</v>
      </c>
      <c r="AH249" s="76">
        <v>78046</v>
      </c>
      <c r="AI249" s="76">
        <v>0</v>
      </c>
      <c r="AJ249" s="76">
        <v>4186</v>
      </c>
      <c r="AK249" s="76">
        <v>448</v>
      </c>
      <c r="AL249" s="76" t="b">
        <v>0</v>
      </c>
      <c r="AM249" s="78">
        <v>43758.204097222224</v>
      </c>
      <c r="AN249" s="76"/>
      <c r="AO249" s="76"/>
      <c r="AP249" s="76"/>
      <c r="AQ249" s="76"/>
      <c r="AR249" s="76"/>
      <c r="AS249" s="76"/>
      <c r="AT249" s="76"/>
      <c r="AU249" s="76"/>
      <c r="AV249" s="76"/>
      <c r="AW249" s="76"/>
      <c r="AX249" s="76" t="b">
        <v>0</v>
      </c>
      <c r="AY249" s="76"/>
      <c r="AZ249" s="76"/>
      <c r="BA249" s="76" t="b">
        <v>0</v>
      </c>
      <c r="BB249" s="76" t="b">
        <v>1</v>
      </c>
      <c r="BC249" s="76" t="b">
        <v>1</v>
      </c>
      <c r="BD249" s="76" t="b">
        <v>0</v>
      </c>
      <c r="BE249" s="76" t="b">
        <v>1</v>
      </c>
      <c r="BF249" s="76" t="b">
        <v>0</v>
      </c>
      <c r="BG249" s="76" t="b">
        <v>0</v>
      </c>
      <c r="BH249" s="76"/>
      <c r="BI249" s="76"/>
      <c r="BJ249" s="76" t="s">
        <v>27595</v>
      </c>
      <c r="BK249" s="76" t="b">
        <v>0</v>
      </c>
      <c r="BL249" s="76"/>
      <c r="BM249" s="76" t="s">
        <v>65</v>
      </c>
      <c r="BN249" s="76" t="s">
        <v>27597</v>
      </c>
      <c r="BO249" s="82" t="str">
        <f>HYPERLINK("https://twitter.com/robertobustosoc")</f>
        <v>https://twitter.com/robertobustosoc</v>
      </c>
      <c r="BP249" s="2"/>
    </row>
    <row r="250" spans="1:68" x14ac:dyDescent="0.25">
      <c r="A250" s="62" t="s">
        <v>1745</v>
      </c>
      <c r="B250" s="63"/>
      <c r="C250" s="63"/>
      <c r="D250" s="64"/>
      <c r="E250" s="66"/>
      <c r="F250" s="103" t="str">
        <f>HYPERLINK("https://pbs.twimg.com/profile_images/1690807667814486016/CUYxcQuT_normal.jpg")</f>
        <v>https://pbs.twimg.com/profile_images/1690807667814486016/CUYxcQuT_normal.jpg</v>
      </c>
      <c r="G250" s="63"/>
      <c r="H250" s="67"/>
      <c r="I250" s="68"/>
      <c r="J250" s="68"/>
      <c r="K250" s="67" t="s">
        <v>27844</v>
      </c>
      <c r="L250" s="71"/>
      <c r="M250" s="72"/>
      <c r="N250" s="72"/>
      <c r="O250" s="73"/>
      <c r="P250" s="74"/>
      <c r="Q250" s="74"/>
      <c r="R250" s="87"/>
      <c r="S250" s="87"/>
      <c r="T250" s="87"/>
      <c r="U250" s="87"/>
      <c r="V250" s="48"/>
      <c r="W250" s="48"/>
      <c r="X250" s="48"/>
      <c r="Y250" s="48"/>
      <c r="Z250" s="47"/>
      <c r="AA250" s="69">
        <v>250</v>
      </c>
      <c r="AB250" s="69"/>
      <c r="AC250" s="70"/>
      <c r="AD250" s="76" t="s">
        <v>21493</v>
      </c>
      <c r="AE250" s="81" t="s">
        <v>20234</v>
      </c>
      <c r="AF250" s="76">
        <v>27508</v>
      </c>
      <c r="AG250" s="76">
        <v>501</v>
      </c>
      <c r="AH250" s="76">
        <v>25740</v>
      </c>
      <c r="AI250" s="76">
        <v>43</v>
      </c>
      <c r="AJ250" s="76">
        <v>29740</v>
      </c>
      <c r="AK250" s="76">
        <v>8560</v>
      </c>
      <c r="AL250" s="76" t="b">
        <v>0</v>
      </c>
      <c r="AM250" s="78">
        <v>42939.051990740743</v>
      </c>
      <c r="AN250" s="76" t="s">
        <v>14386</v>
      </c>
      <c r="AO250" s="76" t="s">
        <v>24928</v>
      </c>
      <c r="AP250" s="76"/>
      <c r="AQ250" s="76"/>
      <c r="AR250" s="76"/>
      <c r="AS250" s="76"/>
      <c r="AT250" s="76"/>
      <c r="AU250" s="76"/>
      <c r="AV250" s="76">
        <v>1.6904709676910999E+18</v>
      </c>
      <c r="AW250" s="76"/>
      <c r="AX250" s="76" t="b">
        <v>1</v>
      </c>
      <c r="AY250" s="76"/>
      <c r="AZ250" s="76"/>
      <c r="BA250" s="76" t="b">
        <v>1</v>
      </c>
      <c r="BB250" s="76" t="b">
        <v>0</v>
      </c>
      <c r="BC250" s="76" t="b">
        <v>1</v>
      </c>
      <c r="BD250" s="76" t="b">
        <v>0</v>
      </c>
      <c r="BE250" s="76" t="b">
        <v>1</v>
      </c>
      <c r="BF250" s="76" t="b">
        <v>0</v>
      </c>
      <c r="BG250" s="76" t="b">
        <v>0</v>
      </c>
      <c r="BH250" s="82" t="str">
        <f>HYPERLINK("https://pbs.twimg.com/profile_banners/888930378148438016/1500773008")</f>
        <v>https://pbs.twimg.com/profile_banners/888930378148438016/1500773008</v>
      </c>
      <c r="BI250" s="76"/>
      <c r="BJ250" s="76" t="s">
        <v>27595</v>
      </c>
      <c r="BK250" s="76" t="b">
        <v>0</v>
      </c>
      <c r="BL250" s="76"/>
      <c r="BM250" s="76" t="s">
        <v>65</v>
      </c>
      <c r="BN250" s="76" t="s">
        <v>27597</v>
      </c>
      <c r="BO250" s="82" t="str">
        <f>HYPERLINK("https://twitter.com/robertomerken")</f>
        <v>https://twitter.com/robertomerken</v>
      </c>
      <c r="BP250" s="2"/>
    </row>
    <row r="251" spans="1:68" x14ac:dyDescent="0.25">
      <c r="A251" s="62" t="s">
        <v>393</v>
      </c>
      <c r="B251" s="63"/>
      <c r="C251" s="63"/>
      <c r="D251" s="64"/>
      <c r="E251" s="66"/>
      <c r="F251" s="103" t="str">
        <f>HYPERLINK("https://pbs.twimg.com/profile_images/1704156922427977728/DWggOJTJ_normal.jpg")</f>
        <v>https://pbs.twimg.com/profile_images/1704156922427977728/DWggOJTJ_normal.jpg</v>
      </c>
      <c r="G251" s="63"/>
      <c r="H251" s="67"/>
      <c r="I251" s="68"/>
      <c r="J251" s="68"/>
      <c r="K251" s="67" t="s">
        <v>27845</v>
      </c>
      <c r="L251" s="71"/>
      <c r="M251" s="72"/>
      <c r="N251" s="72"/>
      <c r="O251" s="73"/>
      <c r="P251" s="74"/>
      <c r="Q251" s="74"/>
      <c r="R251" s="87"/>
      <c r="S251" s="87"/>
      <c r="T251" s="87"/>
      <c r="U251" s="87"/>
      <c r="V251" s="48"/>
      <c r="W251" s="48"/>
      <c r="X251" s="48"/>
      <c r="Y251" s="48"/>
      <c r="Z251" s="47"/>
      <c r="AA251" s="69">
        <v>251</v>
      </c>
      <c r="AB251" s="69"/>
      <c r="AC251" s="70"/>
      <c r="AD251" s="76" t="s">
        <v>21494</v>
      </c>
      <c r="AE251" s="81" t="s">
        <v>23194</v>
      </c>
      <c r="AF251" s="76">
        <v>1444</v>
      </c>
      <c r="AG251" s="76">
        <v>1242</v>
      </c>
      <c r="AH251" s="76">
        <v>26877</v>
      </c>
      <c r="AI251" s="76">
        <v>2</v>
      </c>
      <c r="AJ251" s="76">
        <v>233800</v>
      </c>
      <c r="AK251" s="76">
        <v>5285</v>
      </c>
      <c r="AL251" s="76" t="b">
        <v>0</v>
      </c>
      <c r="AM251" s="78">
        <v>41922.92627314815</v>
      </c>
      <c r="AN251" s="76" t="s">
        <v>24176</v>
      </c>
      <c r="AO251" s="76" t="s">
        <v>24929</v>
      </c>
      <c r="AP251" s="76"/>
      <c r="AQ251" s="76"/>
      <c r="AR251" s="76"/>
      <c r="AS251" s="76"/>
      <c r="AT251" s="76"/>
      <c r="AU251" s="76"/>
      <c r="AV251" s="76">
        <v>1.23223579453598E+18</v>
      </c>
      <c r="AW251" s="76"/>
      <c r="AX251" s="76" t="b">
        <v>0</v>
      </c>
      <c r="AY251" s="76"/>
      <c r="AZ251" s="76"/>
      <c r="BA251" s="76" t="b">
        <v>0</v>
      </c>
      <c r="BB251" s="76" t="b">
        <v>0</v>
      </c>
      <c r="BC251" s="76" t="b">
        <v>1</v>
      </c>
      <c r="BD251" s="76" t="b">
        <v>0</v>
      </c>
      <c r="BE251" s="76" t="b">
        <v>1</v>
      </c>
      <c r="BF251" s="76" t="b">
        <v>0</v>
      </c>
      <c r="BG251" s="76" t="b">
        <v>0</v>
      </c>
      <c r="BH251" s="82" t="str">
        <f>HYPERLINK("https://pbs.twimg.com/profile_banners/2821491213/1586231558")</f>
        <v>https://pbs.twimg.com/profile_banners/2821491213/1586231558</v>
      </c>
      <c r="BI251" s="76"/>
      <c r="BJ251" s="76" t="s">
        <v>27595</v>
      </c>
      <c r="BK251" s="76" t="b">
        <v>0</v>
      </c>
      <c r="BL251" s="76"/>
      <c r="BM251" s="76" t="s">
        <v>66</v>
      </c>
      <c r="BN251" s="76" t="s">
        <v>27597</v>
      </c>
      <c r="BO251" s="82" t="str">
        <f>HYPERLINK("https://twitter.com/lpmartinchus")</f>
        <v>https://twitter.com/lpmartinchus</v>
      </c>
      <c r="BP251" s="2"/>
    </row>
    <row r="252" spans="1:68" x14ac:dyDescent="0.25">
      <c r="A252" s="62" t="s">
        <v>394</v>
      </c>
      <c r="B252" s="63"/>
      <c r="C252" s="63"/>
      <c r="D252" s="64"/>
      <c r="E252" s="66"/>
      <c r="F252" s="103" t="str">
        <f>HYPERLINK("https://pbs.twimg.com/profile_images/1488147568148287497/lq0bEmoP_normal.jpg")</f>
        <v>https://pbs.twimg.com/profile_images/1488147568148287497/lq0bEmoP_normal.jpg</v>
      </c>
      <c r="G252" s="63"/>
      <c r="H252" s="67"/>
      <c r="I252" s="68"/>
      <c r="J252" s="68"/>
      <c r="K252" s="67" t="s">
        <v>27846</v>
      </c>
      <c r="L252" s="71"/>
      <c r="M252" s="72"/>
      <c r="N252" s="72"/>
      <c r="O252" s="73"/>
      <c r="P252" s="74"/>
      <c r="Q252" s="74"/>
      <c r="R252" s="87"/>
      <c r="S252" s="87"/>
      <c r="T252" s="87"/>
      <c r="U252" s="87"/>
      <c r="V252" s="48"/>
      <c r="W252" s="48"/>
      <c r="X252" s="48"/>
      <c r="Y252" s="48"/>
      <c r="Z252" s="47"/>
      <c r="AA252" s="69">
        <v>252</v>
      </c>
      <c r="AB252" s="69"/>
      <c r="AC252" s="70"/>
      <c r="AD252" s="76" t="s">
        <v>21495</v>
      </c>
      <c r="AE252" s="81" t="s">
        <v>23195</v>
      </c>
      <c r="AF252" s="76">
        <v>820</v>
      </c>
      <c r="AG252" s="76">
        <v>2000</v>
      </c>
      <c r="AH252" s="76">
        <v>13123</v>
      </c>
      <c r="AI252" s="76">
        <v>6</v>
      </c>
      <c r="AJ252" s="76">
        <v>157</v>
      </c>
      <c r="AK252" s="76">
        <v>771</v>
      </c>
      <c r="AL252" s="76" t="b">
        <v>0</v>
      </c>
      <c r="AM252" s="78">
        <v>42108.674027777779</v>
      </c>
      <c r="AN252" s="76" t="s">
        <v>24114</v>
      </c>
      <c r="AO252" s="76"/>
      <c r="AP252" s="82" t="str">
        <f>HYPERLINK("https://t.co/5iIYwfkyhv")</f>
        <v>https://t.co/5iIYwfkyhv</v>
      </c>
      <c r="AQ252" s="82" t="str">
        <f>HYPERLINK("https://laposta.ar/")</f>
        <v>https://laposta.ar/</v>
      </c>
      <c r="AR252" s="76" t="s">
        <v>8659</v>
      </c>
      <c r="AS252" s="76"/>
      <c r="AT252" s="76"/>
      <c r="AU252" s="76"/>
      <c r="AV252" s="76"/>
      <c r="AW252" s="82" t="str">
        <f>HYPERLINK("https://t.co/5iIYwfkyhv")</f>
        <v>https://t.co/5iIYwfkyhv</v>
      </c>
      <c r="AX252" s="76" t="b">
        <v>0</v>
      </c>
      <c r="AY252" s="76"/>
      <c r="AZ252" s="76"/>
      <c r="BA252" s="76" t="b">
        <v>0</v>
      </c>
      <c r="BB252" s="76" t="b">
        <v>1</v>
      </c>
      <c r="BC252" s="76" t="b">
        <v>0</v>
      </c>
      <c r="BD252" s="76" t="b">
        <v>0</v>
      </c>
      <c r="BE252" s="76" t="b">
        <v>0</v>
      </c>
      <c r="BF252" s="76" t="b">
        <v>0</v>
      </c>
      <c r="BG252" s="76" t="b">
        <v>0</v>
      </c>
      <c r="BH252" s="82" t="str">
        <f>HYPERLINK("https://pbs.twimg.com/profile_banners/3166196639/1562003320")</f>
        <v>https://pbs.twimg.com/profile_banners/3166196639/1562003320</v>
      </c>
      <c r="BI252" s="76"/>
      <c r="BJ252" s="76" t="s">
        <v>27595</v>
      </c>
      <c r="BK252" s="76" t="b">
        <v>0</v>
      </c>
      <c r="BL252" s="76"/>
      <c r="BM252" s="76" t="s">
        <v>66</v>
      </c>
      <c r="BN252" s="76" t="s">
        <v>27597</v>
      </c>
      <c r="BO252" s="82" t="str">
        <f>HYPERLINK("https://twitter.com/noticiaslaposta")</f>
        <v>https://twitter.com/noticiaslaposta</v>
      </c>
      <c r="BP252" s="2"/>
    </row>
    <row r="253" spans="1:68" x14ac:dyDescent="0.25">
      <c r="A253" s="62" t="s">
        <v>395</v>
      </c>
      <c r="B253" s="63"/>
      <c r="C253" s="63"/>
      <c r="D253" s="64"/>
      <c r="E253" s="66"/>
      <c r="F253" s="103" t="str">
        <f>HYPERLINK("https://pbs.twimg.com/profile_images/1673454130839396357/wHMV3OOC_normal.jpg")</f>
        <v>https://pbs.twimg.com/profile_images/1673454130839396357/wHMV3OOC_normal.jpg</v>
      </c>
      <c r="G253" s="63"/>
      <c r="H253" s="67"/>
      <c r="I253" s="68"/>
      <c r="J253" s="68"/>
      <c r="K253" s="67" t="s">
        <v>27847</v>
      </c>
      <c r="L253" s="71"/>
      <c r="M253" s="72"/>
      <c r="N253" s="72"/>
      <c r="O253" s="73"/>
      <c r="P253" s="74"/>
      <c r="Q253" s="74"/>
      <c r="R253" s="87"/>
      <c r="S253" s="87"/>
      <c r="T253" s="87"/>
      <c r="U253" s="87"/>
      <c r="V253" s="48"/>
      <c r="W253" s="48"/>
      <c r="X253" s="48"/>
      <c r="Y253" s="48"/>
      <c r="Z253" s="47"/>
      <c r="AA253" s="69">
        <v>253</v>
      </c>
      <c r="AB253" s="69"/>
      <c r="AC253" s="70"/>
      <c r="AD253" s="76" t="s">
        <v>21496</v>
      </c>
      <c r="AE253" s="81" t="s">
        <v>20579</v>
      </c>
      <c r="AF253" s="76">
        <v>38</v>
      </c>
      <c r="AG253" s="76">
        <v>127</v>
      </c>
      <c r="AH253" s="76">
        <v>215</v>
      </c>
      <c r="AI253" s="76">
        <v>0</v>
      </c>
      <c r="AJ253" s="76">
        <v>328</v>
      </c>
      <c r="AK253" s="76">
        <v>204</v>
      </c>
      <c r="AL253" s="76" t="b">
        <v>0</v>
      </c>
      <c r="AM253" s="78">
        <v>44488.143645833334</v>
      </c>
      <c r="AN253" s="76"/>
      <c r="AO253" s="76" t="s">
        <v>24930</v>
      </c>
      <c r="AP253" s="76"/>
      <c r="AQ253" s="76"/>
      <c r="AR253" s="76"/>
      <c r="AS253" s="76"/>
      <c r="AT253" s="76"/>
      <c r="AU253" s="76"/>
      <c r="AV253" s="76"/>
      <c r="AW253" s="76"/>
      <c r="AX253" s="76" t="b">
        <v>0</v>
      </c>
      <c r="AY253" s="76"/>
      <c r="AZ253" s="76"/>
      <c r="BA253" s="76" t="b">
        <v>0</v>
      </c>
      <c r="BB253" s="76" t="b">
        <v>1</v>
      </c>
      <c r="BC253" s="76" t="b">
        <v>1</v>
      </c>
      <c r="BD253" s="76" t="b">
        <v>0</v>
      </c>
      <c r="BE253" s="76" t="b">
        <v>0</v>
      </c>
      <c r="BF253" s="76" t="b">
        <v>0</v>
      </c>
      <c r="BG253" s="76" t="b">
        <v>0</v>
      </c>
      <c r="BH253" s="82" t="str">
        <f>HYPERLINK("https://pbs.twimg.com/profile_banners/1450302302712221700/1691599082")</f>
        <v>https://pbs.twimg.com/profile_banners/1450302302712221700/1691599082</v>
      </c>
      <c r="BI253" s="76"/>
      <c r="BJ253" s="76" t="s">
        <v>27595</v>
      </c>
      <c r="BK253" s="76" t="b">
        <v>0</v>
      </c>
      <c r="BL253" s="76"/>
      <c r="BM253" s="76" t="s">
        <v>66</v>
      </c>
      <c r="BN253" s="76" t="s">
        <v>27597</v>
      </c>
      <c r="BO253" s="82" t="str">
        <f>HYPERLINK("https://twitter.com/linsanchez583")</f>
        <v>https://twitter.com/linsanchez583</v>
      </c>
      <c r="BP253" s="2"/>
    </row>
    <row r="254" spans="1:68" x14ac:dyDescent="0.25">
      <c r="A254" s="62" t="s">
        <v>396</v>
      </c>
      <c r="B254" s="63"/>
      <c r="C254" s="63"/>
      <c r="D254" s="64"/>
      <c r="E254" s="66"/>
      <c r="F254" s="103" t="str">
        <f>HYPERLINK("https://pbs.twimg.com/profile_images/1638880651880329217/sTlebUyJ_normal.jpg")</f>
        <v>https://pbs.twimg.com/profile_images/1638880651880329217/sTlebUyJ_normal.jpg</v>
      </c>
      <c r="G254" s="63"/>
      <c r="H254" s="67"/>
      <c r="I254" s="68"/>
      <c r="J254" s="68"/>
      <c r="K254" s="67" t="s">
        <v>27848</v>
      </c>
      <c r="L254" s="71"/>
      <c r="M254" s="72"/>
      <c r="N254" s="72"/>
      <c r="O254" s="73"/>
      <c r="P254" s="74"/>
      <c r="Q254" s="74"/>
      <c r="R254" s="87"/>
      <c r="S254" s="87"/>
      <c r="T254" s="87"/>
      <c r="U254" s="87"/>
      <c r="V254" s="48"/>
      <c r="W254" s="48"/>
      <c r="X254" s="48"/>
      <c r="Y254" s="48"/>
      <c r="Z254" s="47"/>
      <c r="AA254" s="69">
        <v>254</v>
      </c>
      <c r="AB254" s="69"/>
      <c r="AC254" s="70"/>
      <c r="AD254" s="76" t="s">
        <v>21497</v>
      </c>
      <c r="AE254" s="81" t="s">
        <v>20580</v>
      </c>
      <c r="AF254" s="76">
        <v>125</v>
      </c>
      <c r="AG254" s="76">
        <v>634</v>
      </c>
      <c r="AH254" s="76">
        <v>23844</v>
      </c>
      <c r="AI254" s="76">
        <v>6</v>
      </c>
      <c r="AJ254" s="76">
        <v>27723</v>
      </c>
      <c r="AK254" s="76">
        <v>907</v>
      </c>
      <c r="AL254" s="76" t="b">
        <v>0</v>
      </c>
      <c r="AM254" s="78">
        <v>45007.679282407407</v>
      </c>
      <c r="AN254" s="76" t="s">
        <v>14400</v>
      </c>
      <c r="AO254" s="76" t="s">
        <v>24931</v>
      </c>
      <c r="AP254" s="82" t="str">
        <f>HYPERLINK("https://t.co/FxoPqhzTQm")</f>
        <v>https://t.co/FxoPqhzTQm</v>
      </c>
      <c r="AQ254" s="82" t="str">
        <f>HYPERLINK("https://sites.google.com/view/www-bedrock/bedrock")</f>
        <v>https://sites.google.com/view/www-bedrock/bedrock</v>
      </c>
      <c r="AR254" s="76" t="s">
        <v>26491</v>
      </c>
      <c r="AS254" s="76"/>
      <c r="AT254" s="76"/>
      <c r="AU254" s="76"/>
      <c r="AV254" s="76">
        <v>1.64957757998303E+18</v>
      </c>
      <c r="AW254" s="82" t="str">
        <f>HYPERLINK("https://t.co/FxoPqhzTQm")</f>
        <v>https://t.co/FxoPqhzTQm</v>
      </c>
      <c r="AX254" s="76" t="b">
        <v>1</v>
      </c>
      <c r="AY254" s="76"/>
      <c r="AZ254" s="76"/>
      <c r="BA254" s="76" t="b">
        <v>1</v>
      </c>
      <c r="BB254" s="76" t="b">
        <v>1</v>
      </c>
      <c r="BC254" s="76" t="b">
        <v>1</v>
      </c>
      <c r="BD254" s="76" t="b">
        <v>0</v>
      </c>
      <c r="BE254" s="76" t="b">
        <v>1</v>
      </c>
      <c r="BF254" s="76" t="b">
        <v>0</v>
      </c>
      <c r="BG254" s="76" t="b">
        <v>0</v>
      </c>
      <c r="BH254" s="82" t="str">
        <f>HYPERLINK("https://pbs.twimg.com/profile_banners/1638575699861569538/1679502616")</f>
        <v>https://pbs.twimg.com/profile_banners/1638575699861569538/1679502616</v>
      </c>
      <c r="BI254" s="76"/>
      <c r="BJ254" s="76" t="s">
        <v>27595</v>
      </c>
      <c r="BK254" s="76" t="b">
        <v>0</v>
      </c>
      <c r="BL254" s="76"/>
      <c r="BM254" s="76" t="s">
        <v>66</v>
      </c>
      <c r="BN254" s="76" t="s">
        <v>27597</v>
      </c>
      <c r="BO254" s="82" t="str">
        <f>HYPERLINK("https://twitter.com/bedrock079tm")</f>
        <v>https://twitter.com/bedrock079tm</v>
      </c>
      <c r="BP254" s="2"/>
    </row>
    <row r="255" spans="1:68" x14ac:dyDescent="0.25">
      <c r="A255" s="62" t="s">
        <v>397</v>
      </c>
      <c r="B255" s="63"/>
      <c r="C255" s="63"/>
      <c r="D255" s="64"/>
      <c r="E255" s="66"/>
      <c r="F255" s="103" t="str">
        <f>HYPERLINK("https://pbs.twimg.com/profile_images/1684173135803740160/okfsq2HN_normal.png")</f>
        <v>https://pbs.twimg.com/profile_images/1684173135803740160/okfsq2HN_normal.png</v>
      </c>
      <c r="G255" s="63"/>
      <c r="H255" s="67"/>
      <c r="I255" s="68"/>
      <c r="J255" s="68"/>
      <c r="K255" s="67" t="s">
        <v>27849</v>
      </c>
      <c r="L255" s="71"/>
      <c r="M255" s="72"/>
      <c r="N255" s="72"/>
      <c r="O255" s="73"/>
      <c r="P255" s="74"/>
      <c r="Q255" s="74"/>
      <c r="R255" s="87"/>
      <c r="S255" s="87"/>
      <c r="T255" s="87"/>
      <c r="U255" s="87"/>
      <c r="V255" s="48"/>
      <c r="W255" s="48"/>
      <c r="X255" s="48"/>
      <c r="Y255" s="48"/>
      <c r="Z255" s="47"/>
      <c r="AA255" s="69">
        <v>255</v>
      </c>
      <c r="AB255" s="69"/>
      <c r="AC255" s="70"/>
      <c r="AD255" s="76" t="s">
        <v>21498</v>
      </c>
      <c r="AE255" s="81" t="s">
        <v>20581</v>
      </c>
      <c r="AF255" s="76">
        <v>0</v>
      </c>
      <c r="AG255" s="76">
        <v>5</v>
      </c>
      <c r="AH255" s="76">
        <v>4</v>
      </c>
      <c r="AI255" s="76">
        <v>0</v>
      </c>
      <c r="AJ255" s="76">
        <v>2</v>
      </c>
      <c r="AK255" s="76">
        <v>0</v>
      </c>
      <c r="AL255" s="76" t="b">
        <v>0</v>
      </c>
      <c r="AM255" s="78">
        <v>45133.503935185188</v>
      </c>
      <c r="AN255" s="76"/>
      <c r="AO255" s="76"/>
      <c r="AP255" s="76"/>
      <c r="AQ255" s="76"/>
      <c r="AR255" s="76"/>
      <c r="AS255" s="76"/>
      <c r="AT255" s="76"/>
      <c r="AU255" s="76"/>
      <c r="AV255" s="76"/>
      <c r="AW255" s="76"/>
      <c r="AX255" s="76" t="b">
        <v>0</v>
      </c>
      <c r="AY255" s="76"/>
      <c r="AZ255" s="76"/>
      <c r="BA255" s="76" t="b">
        <v>0</v>
      </c>
      <c r="BB255" s="76" t="b">
        <v>1</v>
      </c>
      <c r="BC255" s="76" t="b">
        <v>1</v>
      </c>
      <c r="BD255" s="76" t="b">
        <v>0</v>
      </c>
      <c r="BE255" s="76" t="b">
        <v>0</v>
      </c>
      <c r="BF255" s="76" t="b">
        <v>0</v>
      </c>
      <c r="BG255" s="76" t="b">
        <v>0</v>
      </c>
      <c r="BH255" s="76"/>
      <c r="BI255" s="76"/>
      <c r="BJ255" s="76" t="s">
        <v>27595</v>
      </c>
      <c r="BK255" s="76" t="b">
        <v>0</v>
      </c>
      <c r="BL255" s="76"/>
      <c r="BM255" s="76" t="s">
        <v>66</v>
      </c>
      <c r="BN255" s="76" t="s">
        <v>27597</v>
      </c>
      <c r="BO255" s="82" t="str">
        <f>HYPERLINK("https://twitter.com/robertorvasco")</f>
        <v>https://twitter.com/robertorvasco</v>
      </c>
      <c r="BP255" s="2"/>
    </row>
    <row r="256" spans="1:68" x14ac:dyDescent="0.25">
      <c r="A256" s="62" t="s">
        <v>398</v>
      </c>
      <c r="B256" s="63"/>
      <c r="C256" s="63"/>
      <c r="D256" s="64"/>
      <c r="E256" s="66"/>
      <c r="F256" s="103" t="str">
        <f>HYPERLINK("https://pbs.twimg.com/profile_images/1613612449638252544/SUBoJ9sa_normal.jpg")</f>
        <v>https://pbs.twimg.com/profile_images/1613612449638252544/SUBoJ9sa_normal.jpg</v>
      </c>
      <c r="G256" s="63"/>
      <c r="H256" s="67"/>
      <c r="I256" s="68"/>
      <c r="J256" s="68"/>
      <c r="K256" s="67" t="s">
        <v>27850</v>
      </c>
      <c r="L256" s="71"/>
      <c r="M256" s="72"/>
      <c r="N256" s="72"/>
      <c r="O256" s="73"/>
      <c r="P256" s="74"/>
      <c r="Q256" s="74"/>
      <c r="R256" s="87"/>
      <c r="S256" s="87"/>
      <c r="T256" s="87"/>
      <c r="U256" s="87"/>
      <c r="V256" s="48"/>
      <c r="W256" s="48"/>
      <c r="X256" s="48"/>
      <c r="Y256" s="48"/>
      <c r="Z256" s="47"/>
      <c r="AA256" s="69">
        <v>256</v>
      </c>
      <c r="AB256" s="69"/>
      <c r="AC256" s="70"/>
      <c r="AD256" s="76" t="s">
        <v>21499</v>
      </c>
      <c r="AE256" s="81" t="s">
        <v>20582</v>
      </c>
      <c r="AF256" s="76">
        <v>75</v>
      </c>
      <c r="AG256" s="76">
        <v>3</v>
      </c>
      <c r="AH256" s="76">
        <v>41678</v>
      </c>
      <c r="AI256" s="76">
        <v>2</v>
      </c>
      <c r="AJ256" s="76">
        <v>1</v>
      </c>
      <c r="AK256" s="76">
        <v>13145</v>
      </c>
      <c r="AL256" s="76" t="b">
        <v>0</v>
      </c>
      <c r="AM256" s="78">
        <v>42866.975891203707</v>
      </c>
      <c r="AN256" s="76" t="s">
        <v>24177</v>
      </c>
      <c r="AO256" s="76" t="s">
        <v>24932</v>
      </c>
      <c r="AP256" s="82" t="str">
        <f>HYPERLINK("https://t.co/Wh0e5GY3Yg")</f>
        <v>https://t.co/Wh0e5GY3Yg</v>
      </c>
      <c r="AQ256" s="82" t="str">
        <f>HYPERLINK("https://novaeranews.com.br/")</f>
        <v>https://novaeranews.com.br/</v>
      </c>
      <c r="AR256" s="76" t="s">
        <v>26492</v>
      </c>
      <c r="AS256" s="76"/>
      <c r="AT256" s="76"/>
      <c r="AU256" s="76"/>
      <c r="AV256" s="76"/>
      <c r="AW256" s="82" t="str">
        <f>HYPERLINK("https://t.co/Wh0e5GY3Yg")</f>
        <v>https://t.co/Wh0e5GY3Yg</v>
      </c>
      <c r="AX256" s="76" t="b">
        <v>0</v>
      </c>
      <c r="AY256" s="76"/>
      <c r="AZ256" s="76"/>
      <c r="BA256" s="76" t="b">
        <v>0</v>
      </c>
      <c r="BB256" s="76" t="b">
        <v>1</v>
      </c>
      <c r="BC256" s="76" t="b">
        <v>0</v>
      </c>
      <c r="BD256" s="76" t="b">
        <v>0</v>
      </c>
      <c r="BE256" s="76" t="b">
        <v>0</v>
      </c>
      <c r="BF256" s="76" t="b">
        <v>0</v>
      </c>
      <c r="BG256" s="76" t="b">
        <v>0</v>
      </c>
      <c r="BH256" s="82" t="str">
        <f>HYPERLINK("https://pbs.twimg.com/profile_banners/862810875886960640/1671116146")</f>
        <v>https://pbs.twimg.com/profile_banners/862810875886960640/1671116146</v>
      </c>
      <c r="BI256" s="76"/>
      <c r="BJ256" s="76" t="s">
        <v>27595</v>
      </c>
      <c r="BK256" s="76" t="b">
        <v>0</v>
      </c>
      <c r="BL256" s="76"/>
      <c r="BM256" s="76" t="s">
        <v>66</v>
      </c>
      <c r="BN256" s="76" t="s">
        <v>27597</v>
      </c>
      <c r="BO256" s="82" t="str">
        <f>HYPERLINK("https://twitter.com/radionovaera975")</f>
        <v>https://twitter.com/radionovaera975</v>
      </c>
      <c r="BP256" s="2"/>
    </row>
    <row r="257" spans="1:68" x14ac:dyDescent="0.25">
      <c r="A257" s="62" t="s">
        <v>399</v>
      </c>
      <c r="B257" s="63"/>
      <c r="C257" s="63"/>
      <c r="D257" s="64"/>
      <c r="E257" s="66"/>
      <c r="F257" s="103" t="str">
        <f>HYPERLINK("https://pbs.twimg.com/profile_images/1645114542924652545/8QefcyAH_normal.jpg")</f>
        <v>https://pbs.twimg.com/profile_images/1645114542924652545/8QefcyAH_normal.jpg</v>
      </c>
      <c r="G257" s="63"/>
      <c r="H257" s="67"/>
      <c r="I257" s="68"/>
      <c r="J257" s="68"/>
      <c r="K257" s="67" t="s">
        <v>27851</v>
      </c>
      <c r="L257" s="71"/>
      <c r="M257" s="72"/>
      <c r="N257" s="72"/>
      <c r="O257" s="73"/>
      <c r="P257" s="74"/>
      <c r="Q257" s="74"/>
      <c r="R257" s="87"/>
      <c r="S257" s="87"/>
      <c r="T257" s="87"/>
      <c r="U257" s="87"/>
      <c r="V257" s="48"/>
      <c r="W257" s="48"/>
      <c r="X257" s="48"/>
      <c r="Y257" s="48"/>
      <c r="Z257" s="47"/>
      <c r="AA257" s="69">
        <v>257</v>
      </c>
      <c r="AB257" s="69"/>
      <c r="AC257" s="70"/>
      <c r="AD257" s="76" t="s">
        <v>21500</v>
      </c>
      <c r="AE257" s="81" t="s">
        <v>23196</v>
      </c>
      <c r="AF257" s="76">
        <v>101</v>
      </c>
      <c r="AG257" s="76">
        <v>348</v>
      </c>
      <c r="AH257" s="76">
        <v>1002</v>
      </c>
      <c r="AI257" s="76">
        <v>0</v>
      </c>
      <c r="AJ257" s="76">
        <v>5705</v>
      </c>
      <c r="AK257" s="76">
        <v>700</v>
      </c>
      <c r="AL257" s="76" t="b">
        <v>0</v>
      </c>
      <c r="AM257" s="78">
        <v>41082.107546296298</v>
      </c>
      <c r="AN257" s="76" t="s">
        <v>24178</v>
      </c>
      <c r="AO257" s="76" t="s">
        <v>24933</v>
      </c>
      <c r="AP257" s="82" t="str">
        <f>HYPERLINK("https://t.co/aWHA6ysqtC")</f>
        <v>https://t.co/aWHA6ysqtC</v>
      </c>
      <c r="AQ257" s="82" t="str">
        <f>HYPERLINK("https://youtube.com/@carlosovlad")</f>
        <v>https://youtube.com/@carlosovlad</v>
      </c>
      <c r="AR257" s="76" t="s">
        <v>26493</v>
      </c>
      <c r="AS257" s="82" t="str">
        <f>HYPERLINK("https://t.co/l9T27cmjjF")</f>
        <v>https://t.co/l9T27cmjjF</v>
      </c>
      <c r="AT257" s="82" t="str">
        <f>HYPERLINK("http://www.youtube.com/@carlosovlad")</f>
        <v>http://www.youtube.com/@carlosovlad</v>
      </c>
      <c r="AU257" s="76" t="s">
        <v>26493</v>
      </c>
      <c r="AV257" s="76">
        <v>1.62990424053661E+18</v>
      </c>
      <c r="AW257" s="82" t="str">
        <f>HYPERLINK("https://t.co/aWHA6ysqtC")</f>
        <v>https://t.co/aWHA6ysqtC</v>
      </c>
      <c r="AX257" s="76" t="b">
        <v>0</v>
      </c>
      <c r="AY257" s="76"/>
      <c r="AZ257" s="76"/>
      <c r="BA257" s="76" t="b">
        <v>0</v>
      </c>
      <c r="BB257" s="76" t="b">
        <v>1</v>
      </c>
      <c r="BC257" s="76" t="b">
        <v>1</v>
      </c>
      <c r="BD257" s="76" t="b">
        <v>0</v>
      </c>
      <c r="BE257" s="76" t="b">
        <v>1</v>
      </c>
      <c r="BF257" s="76" t="b">
        <v>0</v>
      </c>
      <c r="BG257" s="76" t="b">
        <v>0</v>
      </c>
      <c r="BH257" s="82" t="str">
        <f>HYPERLINK("https://pbs.twimg.com/profile_banners/614776874/1681149234")</f>
        <v>https://pbs.twimg.com/profile_banners/614776874/1681149234</v>
      </c>
      <c r="BI257" s="76"/>
      <c r="BJ257" s="76" t="s">
        <v>27595</v>
      </c>
      <c r="BK257" s="76" t="b">
        <v>0</v>
      </c>
      <c r="BL257" s="76"/>
      <c r="BM257" s="76" t="s">
        <v>66</v>
      </c>
      <c r="BN257" s="76" t="s">
        <v>27597</v>
      </c>
      <c r="BO257" s="82" t="str">
        <f>HYPERLINK("https://twitter.com/carlosovlad")</f>
        <v>https://twitter.com/carlosovlad</v>
      </c>
      <c r="BP257" s="2"/>
    </row>
    <row r="258" spans="1:68" x14ac:dyDescent="0.25">
      <c r="A258" s="62" t="s">
        <v>1746</v>
      </c>
      <c r="B258" s="63"/>
      <c r="C258" s="63"/>
      <c r="D258" s="64"/>
      <c r="E258" s="66"/>
      <c r="F258" s="103" t="str">
        <f>HYPERLINK("https://pbs.twimg.com/profile_images/1460653948591874060/wuK_ulg8_normal.jpg")</f>
        <v>https://pbs.twimg.com/profile_images/1460653948591874060/wuK_ulg8_normal.jpg</v>
      </c>
      <c r="G258" s="63"/>
      <c r="H258" s="67"/>
      <c r="I258" s="68"/>
      <c r="J258" s="68"/>
      <c r="K258" s="67" t="s">
        <v>27852</v>
      </c>
      <c r="L258" s="71"/>
      <c r="M258" s="72"/>
      <c r="N258" s="72"/>
      <c r="O258" s="73"/>
      <c r="P258" s="74"/>
      <c r="Q258" s="74"/>
      <c r="R258" s="87"/>
      <c r="S258" s="87"/>
      <c r="T258" s="87"/>
      <c r="U258" s="87"/>
      <c r="V258" s="48"/>
      <c r="W258" s="48"/>
      <c r="X258" s="48"/>
      <c r="Y258" s="48"/>
      <c r="Z258" s="47"/>
      <c r="AA258" s="69">
        <v>258</v>
      </c>
      <c r="AB258" s="69"/>
      <c r="AC258" s="70"/>
      <c r="AD258" s="76" t="s">
        <v>21501</v>
      </c>
      <c r="AE258" s="81" t="s">
        <v>23197</v>
      </c>
      <c r="AF258" s="76">
        <v>438992</v>
      </c>
      <c r="AG258" s="76">
        <v>473</v>
      </c>
      <c r="AH258" s="76">
        <v>14271</v>
      </c>
      <c r="AI258" s="76">
        <v>1273</v>
      </c>
      <c r="AJ258" s="76">
        <v>2480</v>
      </c>
      <c r="AK258" s="76">
        <v>4507</v>
      </c>
      <c r="AL258" s="76" t="b">
        <v>0</v>
      </c>
      <c r="AM258" s="78">
        <v>39926.007673611108</v>
      </c>
      <c r="AN258" s="76" t="s">
        <v>24179</v>
      </c>
      <c r="AO258" s="76" t="s">
        <v>24934</v>
      </c>
      <c r="AP258" s="82" t="str">
        <f>HYPERLINK("https://t.co/zFc24lJrSG")</f>
        <v>https://t.co/zFc24lJrSG</v>
      </c>
      <c r="AQ258" s="82" t="str">
        <f>HYPERLINK("http://Diegosantilli.com.ar")</f>
        <v>http://Diegosantilli.com.ar</v>
      </c>
      <c r="AR258" s="76" t="s">
        <v>26494</v>
      </c>
      <c r="AS258" s="76"/>
      <c r="AT258" s="76"/>
      <c r="AU258" s="76"/>
      <c r="AV258" s="76"/>
      <c r="AW258" s="82" t="str">
        <f>HYPERLINK("https://t.co/zFc24lJrSG")</f>
        <v>https://t.co/zFc24lJrSG</v>
      </c>
      <c r="AX258" s="76" t="b">
        <v>0</v>
      </c>
      <c r="AY258" s="76"/>
      <c r="AZ258" s="76"/>
      <c r="BA258" s="76" t="b">
        <v>0</v>
      </c>
      <c r="BB258" s="76" t="b">
        <v>1</v>
      </c>
      <c r="BC258" s="76" t="b">
        <v>0</v>
      </c>
      <c r="BD258" s="76" t="b">
        <v>0</v>
      </c>
      <c r="BE258" s="76" t="b">
        <v>1</v>
      </c>
      <c r="BF258" s="76" t="b">
        <v>0</v>
      </c>
      <c r="BG258" s="76" t="b">
        <v>0</v>
      </c>
      <c r="BH258" s="82" t="str">
        <f>HYPERLINK("https://pbs.twimg.com/profile_banners/34455479/1637083013")</f>
        <v>https://pbs.twimg.com/profile_banners/34455479/1637083013</v>
      </c>
      <c r="BI258" s="76"/>
      <c r="BJ258" s="76" t="s">
        <v>27595</v>
      </c>
      <c r="BK258" s="76" t="b">
        <v>0</v>
      </c>
      <c r="BL258" s="76"/>
      <c r="BM258" s="76" t="s">
        <v>65</v>
      </c>
      <c r="BN258" s="76" t="s">
        <v>27597</v>
      </c>
      <c r="BO258" s="82" t="str">
        <f>HYPERLINK("https://twitter.com/diegosantilli")</f>
        <v>https://twitter.com/diegosantilli</v>
      </c>
      <c r="BP258" s="2"/>
    </row>
    <row r="259" spans="1:68" x14ac:dyDescent="0.25">
      <c r="A259" s="62" t="s">
        <v>401</v>
      </c>
      <c r="B259" s="63"/>
      <c r="C259" s="63"/>
      <c r="D259" s="64"/>
      <c r="E259" s="66"/>
      <c r="F259" s="103" t="str">
        <f>HYPERLINK("https://pbs.twimg.com/profile_images/643063640124444672/dcshZMbk_normal.jpg")</f>
        <v>https://pbs.twimg.com/profile_images/643063640124444672/dcshZMbk_normal.jpg</v>
      </c>
      <c r="G259" s="63"/>
      <c r="H259" s="67"/>
      <c r="I259" s="68"/>
      <c r="J259" s="68"/>
      <c r="K259" s="67" t="s">
        <v>27853</v>
      </c>
      <c r="L259" s="71"/>
      <c r="M259" s="72"/>
      <c r="N259" s="72"/>
      <c r="O259" s="73"/>
      <c r="P259" s="74"/>
      <c r="Q259" s="74"/>
      <c r="R259" s="87"/>
      <c r="S259" s="87"/>
      <c r="T259" s="87"/>
      <c r="U259" s="87"/>
      <c r="V259" s="48"/>
      <c r="W259" s="48"/>
      <c r="X259" s="48"/>
      <c r="Y259" s="48"/>
      <c r="Z259" s="47"/>
      <c r="AA259" s="69">
        <v>259</v>
      </c>
      <c r="AB259" s="69"/>
      <c r="AC259" s="70"/>
      <c r="AD259" s="76" t="s">
        <v>21502</v>
      </c>
      <c r="AE259" s="81" t="s">
        <v>23198</v>
      </c>
      <c r="AF259" s="76">
        <v>41</v>
      </c>
      <c r="AG259" s="76">
        <v>102</v>
      </c>
      <c r="AH259" s="76">
        <v>1648</v>
      </c>
      <c r="AI259" s="76">
        <v>1</v>
      </c>
      <c r="AJ259" s="76">
        <v>2179</v>
      </c>
      <c r="AK259" s="76">
        <v>47</v>
      </c>
      <c r="AL259" s="76" t="b">
        <v>0</v>
      </c>
      <c r="AM259" s="78">
        <v>42260.582488425927</v>
      </c>
      <c r="AN259" s="76"/>
      <c r="AO259" s="76" t="s">
        <v>24935</v>
      </c>
      <c r="AP259" s="82" t="str">
        <f>HYPERLINK("http://t.co/9pr0hDVBOv")</f>
        <v>http://t.co/9pr0hDVBOv</v>
      </c>
      <c r="AQ259" s="82" t="str">
        <f>HYPERLINK("http://www.neuroinsights.org")</f>
        <v>http://www.neuroinsights.org</v>
      </c>
      <c r="AR259" s="76" t="s">
        <v>26495</v>
      </c>
      <c r="AS259" s="76"/>
      <c r="AT259" s="76"/>
      <c r="AU259" s="76"/>
      <c r="AV259" s="76"/>
      <c r="AW259" s="82" t="str">
        <f>HYPERLINK("http://t.co/9pr0hDVBOv")</f>
        <v>http://t.co/9pr0hDVBOv</v>
      </c>
      <c r="AX259" s="76" t="b">
        <v>0</v>
      </c>
      <c r="AY259" s="76"/>
      <c r="AZ259" s="76"/>
      <c r="BA259" s="76" t="b">
        <v>0</v>
      </c>
      <c r="BB259" s="76" t="b">
        <v>0</v>
      </c>
      <c r="BC259" s="76" t="b">
        <v>0</v>
      </c>
      <c r="BD259" s="76" t="b">
        <v>0</v>
      </c>
      <c r="BE259" s="76" t="b">
        <v>0</v>
      </c>
      <c r="BF259" s="76" t="b">
        <v>0</v>
      </c>
      <c r="BG259" s="76" t="b">
        <v>0</v>
      </c>
      <c r="BH259" s="82" t="str">
        <f>HYPERLINK("https://pbs.twimg.com/profile_banners/3642786376/1442315213")</f>
        <v>https://pbs.twimg.com/profile_banners/3642786376/1442315213</v>
      </c>
      <c r="BI259" s="76"/>
      <c r="BJ259" s="76" t="s">
        <v>27595</v>
      </c>
      <c r="BK259" s="76" t="b">
        <v>0</v>
      </c>
      <c r="BL259" s="76"/>
      <c r="BM259" s="76" t="s">
        <v>66</v>
      </c>
      <c r="BN259" s="76" t="s">
        <v>27597</v>
      </c>
      <c r="BO259" s="82" t="str">
        <f>HYPERLINK("https://twitter.com/gledes_marques")</f>
        <v>https://twitter.com/gledes_marques</v>
      </c>
      <c r="BP259" s="2"/>
    </row>
    <row r="260" spans="1:68" x14ac:dyDescent="0.25">
      <c r="A260" s="62" t="s">
        <v>1662</v>
      </c>
      <c r="B260" s="63"/>
      <c r="C260" s="63"/>
      <c r="D260" s="64"/>
      <c r="E260" s="66"/>
      <c r="F260" s="103" t="str">
        <f>HYPERLINK("https://pbs.twimg.com/profile_images/1202609722257485824/NcFn6f7X_normal.jpg")</f>
        <v>https://pbs.twimg.com/profile_images/1202609722257485824/NcFn6f7X_normal.jpg</v>
      </c>
      <c r="G260" s="63"/>
      <c r="H260" s="67"/>
      <c r="I260" s="68"/>
      <c r="J260" s="68"/>
      <c r="K260" s="67" t="s">
        <v>27854</v>
      </c>
      <c r="L260" s="71"/>
      <c r="M260" s="72"/>
      <c r="N260" s="72"/>
      <c r="O260" s="73"/>
      <c r="P260" s="74"/>
      <c r="Q260" s="74"/>
      <c r="R260" s="87"/>
      <c r="S260" s="87"/>
      <c r="T260" s="87"/>
      <c r="U260" s="87"/>
      <c r="V260" s="48"/>
      <c r="W260" s="48"/>
      <c r="X260" s="48"/>
      <c r="Y260" s="48"/>
      <c r="Z260" s="47"/>
      <c r="AA260" s="69">
        <v>260</v>
      </c>
      <c r="AB260" s="69"/>
      <c r="AC260" s="70"/>
      <c r="AD260" s="76" t="s">
        <v>21503</v>
      </c>
      <c r="AE260" s="81" t="s">
        <v>21190</v>
      </c>
      <c r="AF260" s="76">
        <v>2670282</v>
      </c>
      <c r="AG260" s="76">
        <v>4</v>
      </c>
      <c r="AH260" s="76">
        <v>190731</v>
      </c>
      <c r="AI260" s="76">
        <v>4570</v>
      </c>
      <c r="AJ260" s="76">
        <v>1678</v>
      </c>
      <c r="AK260" s="76">
        <v>66828</v>
      </c>
      <c r="AL260" s="76" t="b">
        <v>0</v>
      </c>
      <c r="AM260" s="78">
        <v>42718.829548611109</v>
      </c>
      <c r="AN260" s="76" t="s">
        <v>14400</v>
      </c>
      <c r="AO260" s="76" t="s">
        <v>24936</v>
      </c>
      <c r="AP260" s="82" t="str">
        <f>HYPERLINK("https://t.co/nUIWEQoWmR")</f>
        <v>https://t.co/nUIWEQoWmR</v>
      </c>
      <c r="AQ260" s="82" t="str">
        <f>HYPERLINK("http://www.cnnbrasil.com.br")</f>
        <v>http://www.cnnbrasil.com.br</v>
      </c>
      <c r="AR260" s="76" t="s">
        <v>26496</v>
      </c>
      <c r="AS260" s="76"/>
      <c r="AT260" s="76"/>
      <c r="AU260" s="76"/>
      <c r="AV260" s="76"/>
      <c r="AW260" s="82" t="str">
        <f>HYPERLINK("https://t.co/nUIWEQoWmR")</f>
        <v>https://t.co/nUIWEQoWmR</v>
      </c>
      <c r="AX260" s="76" t="b">
        <v>1</v>
      </c>
      <c r="AY260" s="76"/>
      <c r="AZ260" s="76"/>
      <c r="BA260" s="76" t="b">
        <v>0</v>
      </c>
      <c r="BB260" s="76" t="b">
        <v>1</v>
      </c>
      <c r="BC260" s="76" t="b">
        <v>1</v>
      </c>
      <c r="BD260" s="76" t="b">
        <v>0</v>
      </c>
      <c r="BE260" s="76" t="b">
        <v>1</v>
      </c>
      <c r="BF260" s="76" t="b">
        <v>0</v>
      </c>
      <c r="BG260" s="76" t="b">
        <v>0</v>
      </c>
      <c r="BH260" s="82" t="str">
        <f>HYPERLINK("https://pbs.twimg.com/profile_banners/809124436880322561/1695836635")</f>
        <v>https://pbs.twimg.com/profile_banners/809124436880322561/1695836635</v>
      </c>
      <c r="BI260" s="76"/>
      <c r="BJ260" s="76" t="s">
        <v>27595</v>
      </c>
      <c r="BK260" s="76" t="b">
        <v>0</v>
      </c>
      <c r="BL260" s="76"/>
      <c r="BM260" s="76" t="s">
        <v>66</v>
      </c>
      <c r="BN260" s="76" t="s">
        <v>27597</v>
      </c>
      <c r="BO260" s="82" t="str">
        <f>HYPERLINK("https://twitter.com/cnnbrasil")</f>
        <v>https://twitter.com/cnnbrasil</v>
      </c>
      <c r="BP260" s="2"/>
    </row>
    <row r="261" spans="1:68" x14ac:dyDescent="0.25">
      <c r="A261" s="62" t="s">
        <v>1747</v>
      </c>
      <c r="B261" s="63"/>
      <c r="C261" s="63"/>
      <c r="D261" s="64"/>
      <c r="E261" s="66"/>
      <c r="F261" s="103" t="str">
        <f>HYPERLINK("https://pbs.twimg.com/profile_images/1635339386563731466/B0cAkPp-_normal.jpg")</f>
        <v>https://pbs.twimg.com/profile_images/1635339386563731466/B0cAkPp-_normal.jpg</v>
      </c>
      <c r="G261" s="63"/>
      <c r="H261" s="67"/>
      <c r="I261" s="68"/>
      <c r="J261" s="68"/>
      <c r="K261" s="67" t="s">
        <v>27855</v>
      </c>
      <c r="L261" s="71"/>
      <c r="M261" s="72"/>
      <c r="N261" s="72"/>
      <c r="O261" s="73"/>
      <c r="P261" s="74"/>
      <c r="Q261" s="74"/>
      <c r="R261" s="87"/>
      <c r="S261" s="87"/>
      <c r="T261" s="87"/>
      <c r="U261" s="87"/>
      <c r="V261" s="48"/>
      <c r="W261" s="48"/>
      <c r="X261" s="48"/>
      <c r="Y261" s="48"/>
      <c r="Z261" s="47"/>
      <c r="AA261" s="69">
        <v>261</v>
      </c>
      <c r="AB261" s="69"/>
      <c r="AC261" s="70"/>
      <c r="AD261" s="76" t="s">
        <v>21504</v>
      </c>
      <c r="AE261" s="81" t="s">
        <v>20235</v>
      </c>
      <c r="AF261" s="76">
        <v>200219</v>
      </c>
      <c r="AG261" s="76">
        <v>25</v>
      </c>
      <c r="AH261" s="76">
        <v>45952</v>
      </c>
      <c r="AI261" s="76">
        <v>873</v>
      </c>
      <c r="AJ261" s="76">
        <v>0</v>
      </c>
      <c r="AK261" s="76">
        <v>9741</v>
      </c>
      <c r="AL261" s="76" t="b">
        <v>0</v>
      </c>
      <c r="AM261" s="78">
        <v>43746.746574074074</v>
      </c>
      <c r="AN261" s="76" t="s">
        <v>14479</v>
      </c>
      <c r="AO261" s="76" t="s">
        <v>24937</v>
      </c>
      <c r="AP261" s="82" t="str">
        <f>HYPERLINK("https://t.co/bbF3qh5Vy6")</f>
        <v>https://t.co/bbF3qh5Vy6</v>
      </c>
      <c r="AQ261" s="82" t="str">
        <f>HYPERLINK("https://www.cnnbrasil.com.br/economia/")</f>
        <v>https://www.cnnbrasil.com.br/economia/</v>
      </c>
      <c r="AR261" s="76" t="s">
        <v>26497</v>
      </c>
      <c r="AS261" s="76"/>
      <c r="AT261" s="76"/>
      <c r="AU261" s="76"/>
      <c r="AV261" s="76"/>
      <c r="AW261" s="82" t="str">
        <f>HYPERLINK("https://t.co/bbF3qh5Vy6")</f>
        <v>https://t.co/bbF3qh5Vy6</v>
      </c>
      <c r="AX261" s="76" t="b">
        <v>1</v>
      </c>
      <c r="AY261" s="76"/>
      <c r="AZ261" s="76"/>
      <c r="BA261" s="76" t="b">
        <v>0</v>
      </c>
      <c r="BB261" s="76" t="b">
        <v>1</v>
      </c>
      <c r="BC261" s="76" t="b">
        <v>1</v>
      </c>
      <c r="BD261" s="76" t="b">
        <v>0</v>
      </c>
      <c r="BE261" s="76" t="b">
        <v>1</v>
      </c>
      <c r="BF261" s="76" t="b">
        <v>0</v>
      </c>
      <c r="BG261" s="76" t="b">
        <v>0</v>
      </c>
      <c r="BH261" s="82" t="str">
        <f>HYPERLINK("https://pbs.twimg.com/profile_banners/1181629051309572096/1678730268")</f>
        <v>https://pbs.twimg.com/profile_banners/1181629051309572096/1678730268</v>
      </c>
      <c r="BI261" s="76"/>
      <c r="BJ261" s="76" t="s">
        <v>27595</v>
      </c>
      <c r="BK261" s="76" t="b">
        <v>0</v>
      </c>
      <c r="BL261" s="76"/>
      <c r="BM261" s="76" t="s">
        <v>65</v>
      </c>
      <c r="BN261" s="76" t="s">
        <v>27597</v>
      </c>
      <c r="BO261" s="82" t="str">
        <f>HYPERLINK("https://twitter.com/cnneconomia")</f>
        <v>https://twitter.com/cnneconomia</v>
      </c>
      <c r="BP261" s="2"/>
    </row>
    <row r="262" spans="1:68" x14ac:dyDescent="0.25">
      <c r="A262" s="62" t="s">
        <v>402</v>
      </c>
      <c r="B262" s="63"/>
      <c r="C262" s="63"/>
      <c r="D262" s="64"/>
      <c r="E262" s="66"/>
      <c r="F262" s="103" t="str">
        <f>HYPERLINK("https://pbs.twimg.com/profile_images/1676547298136842248/Qtt3D94S_normal.jpg")</f>
        <v>https://pbs.twimg.com/profile_images/1676547298136842248/Qtt3D94S_normal.jpg</v>
      </c>
      <c r="G262" s="63"/>
      <c r="H262" s="67"/>
      <c r="I262" s="68"/>
      <c r="J262" s="68"/>
      <c r="K262" s="67" t="s">
        <v>27856</v>
      </c>
      <c r="L262" s="71"/>
      <c r="M262" s="72"/>
      <c r="N262" s="72"/>
      <c r="O262" s="73"/>
      <c r="P262" s="74"/>
      <c r="Q262" s="74"/>
      <c r="R262" s="87"/>
      <c r="S262" s="87"/>
      <c r="T262" s="87"/>
      <c r="U262" s="87"/>
      <c r="V262" s="48"/>
      <c r="W262" s="48"/>
      <c r="X262" s="48"/>
      <c r="Y262" s="48"/>
      <c r="Z262" s="47"/>
      <c r="AA262" s="69">
        <v>262</v>
      </c>
      <c r="AB262" s="69"/>
      <c r="AC262" s="70"/>
      <c r="AD262" s="76" t="s">
        <v>21505</v>
      </c>
      <c r="AE262" s="81" t="s">
        <v>20583</v>
      </c>
      <c r="AF262" s="76">
        <v>0</v>
      </c>
      <c r="AG262" s="76">
        <v>4</v>
      </c>
      <c r="AH262" s="76">
        <v>8</v>
      </c>
      <c r="AI262" s="76">
        <v>0</v>
      </c>
      <c r="AJ262" s="76">
        <v>0</v>
      </c>
      <c r="AK262" s="76">
        <v>0</v>
      </c>
      <c r="AL262" s="76" t="b">
        <v>0</v>
      </c>
      <c r="AM262" s="78">
        <v>45112.46025462963</v>
      </c>
      <c r="AN262" s="76"/>
      <c r="AO262" s="76"/>
      <c r="AP262" s="76"/>
      <c r="AQ262" s="76"/>
      <c r="AR262" s="76"/>
      <c r="AS262" s="76"/>
      <c r="AT262" s="76"/>
      <c r="AU262" s="76"/>
      <c r="AV262" s="76"/>
      <c r="AW262" s="76"/>
      <c r="AX262" s="76" t="b">
        <v>0</v>
      </c>
      <c r="AY262" s="76"/>
      <c r="AZ262" s="76"/>
      <c r="BA262" s="76" t="b">
        <v>0</v>
      </c>
      <c r="BB262" s="76" t="b">
        <v>1</v>
      </c>
      <c r="BC262" s="76" t="b">
        <v>1</v>
      </c>
      <c r="BD262" s="76" t="b">
        <v>0</v>
      </c>
      <c r="BE262" s="76" t="b">
        <v>0</v>
      </c>
      <c r="BF262" s="76" t="b">
        <v>0</v>
      </c>
      <c r="BG262" s="76" t="b">
        <v>0</v>
      </c>
      <c r="BH262" s="76"/>
      <c r="BI262" s="76"/>
      <c r="BJ262" s="76" t="s">
        <v>27595</v>
      </c>
      <c r="BK262" s="76" t="b">
        <v>0</v>
      </c>
      <c r="BL262" s="76"/>
      <c r="BM262" s="76" t="s">
        <v>66</v>
      </c>
      <c r="BN262" s="76" t="s">
        <v>27597</v>
      </c>
      <c r="BO262" s="82" t="str">
        <f>HYPERLINK("https://twitter.com/joanaguima99936")</f>
        <v>https://twitter.com/joanaguima99936</v>
      </c>
      <c r="BP262" s="2"/>
    </row>
    <row r="263" spans="1:68" x14ac:dyDescent="0.25">
      <c r="A263" s="62" t="s">
        <v>1748</v>
      </c>
      <c r="B263" s="63"/>
      <c r="C263" s="63"/>
      <c r="D263" s="64"/>
      <c r="E263" s="66"/>
      <c r="F263" s="103" t="str">
        <f>HYPERLINK("https://pbs.twimg.com/profile_images/310653772/wave_normal.jpg")</f>
        <v>https://pbs.twimg.com/profile_images/310653772/wave_normal.jpg</v>
      </c>
      <c r="G263" s="63"/>
      <c r="H263" s="67"/>
      <c r="I263" s="68"/>
      <c r="J263" s="68"/>
      <c r="K263" s="67" t="s">
        <v>27857</v>
      </c>
      <c r="L263" s="71"/>
      <c r="M263" s="72"/>
      <c r="N263" s="72"/>
      <c r="O263" s="73"/>
      <c r="P263" s="74"/>
      <c r="Q263" s="74"/>
      <c r="R263" s="87"/>
      <c r="S263" s="87"/>
      <c r="T263" s="87"/>
      <c r="U263" s="87"/>
      <c r="V263" s="48"/>
      <c r="W263" s="48"/>
      <c r="X263" s="48"/>
      <c r="Y263" s="48"/>
      <c r="Z263" s="47"/>
      <c r="AA263" s="69">
        <v>263</v>
      </c>
      <c r="AB263" s="69"/>
      <c r="AC263" s="70"/>
      <c r="AD263" s="76" t="s">
        <v>21506</v>
      </c>
      <c r="AE263" s="81" t="s">
        <v>23199</v>
      </c>
      <c r="AF263" s="76">
        <v>1731</v>
      </c>
      <c r="AG263" s="76">
        <v>13</v>
      </c>
      <c r="AH263" s="76">
        <v>87</v>
      </c>
      <c r="AI263" s="76">
        <v>46</v>
      </c>
      <c r="AJ263" s="76">
        <v>16</v>
      </c>
      <c r="AK263" s="76">
        <v>0</v>
      </c>
      <c r="AL263" s="76" t="b">
        <v>0</v>
      </c>
      <c r="AM263" s="78">
        <v>39826.240844907406</v>
      </c>
      <c r="AN263" s="76" t="s">
        <v>24180</v>
      </c>
      <c r="AO263" s="76" t="s">
        <v>24938</v>
      </c>
      <c r="AP263" s="76"/>
      <c r="AQ263" s="76"/>
      <c r="AR263" s="76"/>
      <c r="AS263" s="76"/>
      <c r="AT263" s="76"/>
      <c r="AU263" s="76"/>
      <c r="AV263" s="76"/>
      <c r="AW263" s="76"/>
      <c r="AX263" s="76" t="b">
        <v>0</v>
      </c>
      <c r="AY263" s="76"/>
      <c r="AZ263" s="76"/>
      <c r="BA263" s="76" t="b">
        <v>0</v>
      </c>
      <c r="BB263" s="76" t="b">
        <v>0</v>
      </c>
      <c r="BC263" s="76" t="b">
        <v>1</v>
      </c>
      <c r="BD263" s="76" t="b">
        <v>0</v>
      </c>
      <c r="BE263" s="76" t="b">
        <v>0</v>
      </c>
      <c r="BF263" s="76" t="b">
        <v>0</v>
      </c>
      <c r="BG263" s="76" t="b">
        <v>0</v>
      </c>
      <c r="BH263" s="76"/>
      <c r="BI263" s="76"/>
      <c r="BJ263" s="76" t="s">
        <v>27595</v>
      </c>
      <c r="BK263" s="76" t="b">
        <v>0</v>
      </c>
      <c r="BL263" s="76"/>
      <c r="BM263" s="76" t="s">
        <v>65</v>
      </c>
      <c r="BN263" s="76" t="s">
        <v>27597</v>
      </c>
      <c r="BO263" s="82" t="str">
        <f>HYPERLINK("https://twitter.com/ba")</f>
        <v>https://twitter.com/ba</v>
      </c>
      <c r="BP263" s="2"/>
    </row>
    <row r="264" spans="1:68" x14ac:dyDescent="0.25">
      <c r="A264" s="62" t="s">
        <v>403</v>
      </c>
      <c r="B264" s="63"/>
      <c r="C264" s="63"/>
      <c r="D264" s="64"/>
      <c r="E264" s="66"/>
      <c r="F264" s="103" t="str">
        <f>HYPERLINK("https://pbs.twimg.com/profile_images/1686160422821408768/yN33Wtqy_normal.jpg")</f>
        <v>https://pbs.twimg.com/profile_images/1686160422821408768/yN33Wtqy_normal.jpg</v>
      </c>
      <c r="G264" s="63"/>
      <c r="H264" s="67"/>
      <c r="I264" s="68"/>
      <c r="J264" s="68"/>
      <c r="K264" s="67" t="s">
        <v>27858</v>
      </c>
      <c r="L264" s="71"/>
      <c r="M264" s="72"/>
      <c r="N264" s="72"/>
      <c r="O264" s="73"/>
      <c r="P264" s="74"/>
      <c r="Q264" s="74"/>
      <c r="R264" s="87"/>
      <c r="S264" s="87"/>
      <c r="T264" s="87"/>
      <c r="U264" s="87"/>
      <c r="V264" s="48"/>
      <c r="W264" s="48"/>
      <c r="X264" s="48"/>
      <c r="Y264" s="48"/>
      <c r="Z264" s="47"/>
      <c r="AA264" s="69">
        <v>264</v>
      </c>
      <c r="AB264" s="69"/>
      <c r="AC264" s="70"/>
      <c r="AD264" s="76" t="s">
        <v>21507</v>
      </c>
      <c r="AE264" s="81" t="s">
        <v>20584</v>
      </c>
      <c r="AF264" s="76">
        <v>9675</v>
      </c>
      <c r="AG264" s="76">
        <v>10570</v>
      </c>
      <c r="AH264" s="76">
        <v>8508</v>
      </c>
      <c r="AI264" s="76">
        <v>18</v>
      </c>
      <c r="AJ264" s="76">
        <v>8630</v>
      </c>
      <c r="AK264" s="76">
        <v>3470</v>
      </c>
      <c r="AL264" s="76" t="b">
        <v>0</v>
      </c>
      <c r="AM264" s="78">
        <v>44470.830937500003</v>
      </c>
      <c r="AN264" s="76" t="s">
        <v>24181</v>
      </c>
      <c r="AO264" s="76" t="s">
        <v>24939</v>
      </c>
      <c r="AP264" s="82" t="str">
        <f>HYPERLINK("https://t.co/GCDrMLn6YX")</f>
        <v>https://t.co/GCDrMLn6YX</v>
      </c>
      <c r="AQ264" s="82" t="str">
        <f>HYPERLINK("https://www.analiseagora.com/")</f>
        <v>https://www.analiseagora.com/</v>
      </c>
      <c r="AR264" s="76" t="s">
        <v>26498</v>
      </c>
      <c r="AS264" s="76" t="s">
        <v>27371</v>
      </c>
      <c r="AT264" s="76" t="s">
        <v>27410</v>
      </c>
      <c r="AU264" s="76" t="s">
        <v>27466</v>
      </c>
      <c r="AV264" s="76"/>
      <c r="AW264" s="82" t="str">
        <f>HYPERLINK("https://t.co/GCDrMLn6YX")</f>
        <v>https://t.co/GCDrMLn6YX</v>
      </c>
      <c r="AX264" s="76" t="b">
        <v>0</v>
      </c>
      <c r="AY264" s="76"/>
      <c r="AZ264" s="76"/>
      <c r="BA264" s="76" t="b">
        <v>0</v>
      </c>
      <c r="BB264" s="76" t="b">
        <v>1</v>
      </c>
      <c r="BC264" s="76" t="b">
        <v>1</v>
      </c>
      <c r="BD264" s="76" t="b">
        <v>0</v>
      </c>
      <c r="BE264" s="76" t="b">
        <v>0</v>
      </c>
      <c r="BF264" s="76" t="b">
        <v>0</v>
      </c>
      <c r="BG264" s="76" t="b">
        <v>0</v>
      </c>
      <c r="BH264" s="82" t="str">
        <f>HYPERLINK("https://pbs.twimg.com/profile_banners/1444027592772890626/1694138514")</f>
        <v>https://pbs.twimg.com/profile_banners/1444027592772890626/1694138514</v>
      </c>
      <c r="BI264" s="76"/>
      <c r="BJ264" s="76" t="s">
        <v>27595</v>
      </c>
      <c r="BK264" s="76" t="b">
        <v>0</v>
      </c>
      <c r="BL264" s="76"/>
      <c r="BM264" s="76" t="s">
        <v>66</v>
      </c>
      <c r="BN264" s="76" t="s">
        <v>27597</v>
      </c>
      <c r="BO264" s="82" t="str">
        <f>HYPERLINK("https://twitter.com/ciceroprofessor")</f>
        <v>https://twitter.com/ciceroprofessor</v>
      </c>
      <c r="BP264" s="2"/>
    </row>
    <row r="265" spans="1:68" x14ac:dyDescent="0.25">
      <c r="A265" s="62" t="s">
        <v>404</v>
      </c>
      <c r="B265" s="63"/>
      <c r="C265" s="63"/>
      <c r="D265" s="64"/>
      <c r="E265" s="66"/>
      <c r="F265" s="103" t="str">
        <f>HYPERLINK("https://pbs.twimg.com/profile_images/1457863800464498691/e3M3d2bb_normal.jpg")</f>
        <v>https://pbs.twimg.com/profile_images/1457863800464498691/e3M3d2bb_normal.jpg</v>
      </c>
      <c r="G265" s="63"/>
      <c r="H265" s="67"/>
      <c r="I265" s="68"/>
      <c r="J265" s="68"/>
      <c r="K265" s="67" t="s">
        <v>27859</v>
      </c>
      <c r="L265" s="71"/>
      <c r="M265" s="72"/>
      <c r="N265" s="72"/>
      <c r="O265" s="73"/>
      <c r="P265" s="74"/>
      <c r="Q265" s="74"/>
      <c r="R265" s="87"/>
      <c r="S265" s="87"/>
      <c r="T265" s="87"/>
      <c r="U265" s="87"/>
      <c r="V265" s="48"/>
      <c r="W265" s="48"/>
      <c r="X265" s="48"/>
      <c r="Y265" s="48"/>
      <c r="Z265" s="47"/>
      <c r="AA265" s="69">
        <v>265</v>
      </c>
      <c r="AB265" s="69"/>
      <c r="AC265" s="70"/>
      <c r="AD265" s="76" t="s">
        <v>21508</v>
      </c>
      <c r="AE265" s="81" t="s">
        <v>23200</v>
      </c>
      <c r="AF265" s="76">
        <v>564</v>
      </c>
      <c r="AG265" s="76">
        <v>2283</v>
      </c>
      <c r="AH265" s="76">
        <v>19884</v>
      </c>
      <c r="AI265" s="76">
        <v>13</v>
      </c>
      <c r="AJ265" s="76">
        <v>2931</v>
      </c>
      <c r="AK265" s="76">
        <v>1849</v>
      </c>
      <c r="AL265" s="76" t="b">
        <v>0</v>
      </c>
      <c r="AM265" s="78">
        <v>40408.683125000003</v>
      </c>
      <c r="AN265" s="76" t="s">
        <v>14382</v>
      </c>
      <c r="AO265" s="76" t="s">
        <v>24940</v>
      </c>
      <c r="AP265" s="82" t="str">
        <f>HYPERLINK("https://t.co/foCpTdlWX9")</f>
        <v>https://t.co/foCpTdlWX9</v>
      </c>
      <c r="AQ265" s="82" t="str">
        <f>HYPERLINK("http://www.youtube.com/soeconomia")</f>
        <v>http://www.youtube.com/soeconomia</v>
      </c>
      <c r="AR265" s="76" t="s">
        <v>26499</v>
      </c>
      <c r="AS265" s="76"/>
      <c r="AT265" s="76"/>
      <c r="AU265" s="76"/>
      <c r="AV265" s="76"/>
      <c r="AW265" s="82" t="str">
        <f>HYPERLINK("https://t.co/foCpTdlWX9")</f>
        <v>https://t.co/foCpTdlWX9</v>
      </c>
      <c r="AX265" s="76" t="b">
        <v>0</v>
      </c>
      <c r="AY265" s="76"/>
      <c r="AZ265" s="76"/>
      <c r="BA265" s="76" t="b">
        <v>1</v>
      </c>
      <c r="BB265" s="76" t="b">
        <v>0</v>
      </c>
      <c r="BC265" s="76" t="b">
        <v>0</v>
      </c>
      <c r="BD265" s="76" t="b">
        <v>0</v>
      </c>
      <c r="BE265" s="76" t="b">
        <v>1</v>
      </c>
      <c r="BF265" s="76" t="b">
        <v>0</v>
      </c>
      <c r="BG265" s="76" t="b">
        <v>0</v>
      </c>
      <c r="BH265" s="82" t="str">
        <f>HYPERLINK("https://pbs.twimg.com/profile_banners/180004018/1668656541")</f>
        <v>https://pbs.twimg.com/profile_banners/180004018/1668656541</v>
      </c>
      <c r="BI265" s="76"/>
      <c r="BJ265" s="76" t="s">
        <v>27595</v>
      </c>
      <c r="BK265" s="76" t="b">
        <v>0</v>
      </c>
      <c r="BL265" s="76"/>
      <c r="BM265" s="76" t="s">
        <v>66</v>
      </c>
      <c r="BN265" s="76" t="s">
        <v>27597</v>
      </c>
      <c r="BO265" s="82" t="str">
        <f>HYPERLINK("https://twitter.com/paulofrancarh")</f>
        <v>https://twitter.com/paulofrancarh</v>
      </c>
      <c r="BP265" s="2"/>
    </row>
    <row r="266" spans="1:68" x14ac:dyDescent="0.25">
      <c r="A266" s="62" t="s">
        <v>405</v>
      </c>
      <c r="B266" s="63"/>
      <c r="C266" s="63"/>
      <c r="D266" s="64"/>
      <c r="E266" s="66"/>
      <c r="F266" s="103" t="str">
        <f>HYPERLINK("https://pbs.twimg.com/profile_images/1577848923431002114/DdOeuC2c_normal.png")</f>
        <v>https://pbs.twimg.com/profile_images/1577848923431002114/DdOeuC2c_normal.png</v>
      </c>
      <c r="G266" s="63"/>
      <c r="H266" s="67"/>
      <c r="I266" s="68"/>
      <c r="J266" s="68"/>
      <c r="K266" s="67" t="s">
        <v>27860</v>
      </c>
      <c r="L266" s="71"/>
      <c r="M266" s="72"/>
      <c r="N266" s="72"/>
      <c r="O266" s="73"/>
      <c r="P266" s="74"/>
      <c r="Q266" s="74"/>
      <c r="R266" s="87"/>
      <c r="S266" s="87"/>
      <c r="T266" s="87"/>
      <c r="U266" s="87"/>
      <c r="V266" s="48"/>
      <c r="W266" s="48"/>
      <c r="X266" s="48"/>
      <c r="Y266" s="48"/>
      <c r="Z266" s="47"/>
      <c r="AA266" s="69">
        <v>266</v>
      </c>
      <c r="AB266" s="69"/>
      <c r="AC266" s="70"/>
      <c r="AD266" s="76" t="s">
        <v>21509</v>
      </c>
      <c r="AE266" s="81" t="s">
        <v>20585</v>
      </c>
      <c r="AF266" s="76">
        <v>10</v>
      </c>
      <c r="AG266" s="76">
        <v>4</v>
      </c>
      <c r="AH266" s="76">
        <v>3530</v>
      </c>
      <c r="AI266" s="76">
        <v>0</v>
      </c>
      <c r="AJ266" s="76">
        <v>5</v>
      </c>
      <c r="AK266" s="76">
        <v>618</v>
      </c>
      <c r="AL266" s="76" t="b">
        <v>0</v>
      </c>
      <c r="AM266" s="78">
        <v>43862.094560185185</v>
      </c>
      <c r="AN266" s="76" t="s">
        <v>24182</v>
      </c>
      <c r="AO266" s="76" t="s">
        <v>24941</v>
      </c>
      <c r="AP266" s="82" t="str">
        <f>HYPERLINK("https://t.co/GbvZsELGwE")</f>
        <v>https://t.co/GbvZsELGwE</v>
      </c>
      <c r="AQ266" s="82" t="str">
        <f>HYPERLINK("http://rodadecuia.com.br")</f>
        <v>http://rodadecuia.com.br</v>
      </c>
      <c r="AR266" s="76" t="s">
        <v>26500</v>
      </c>
      <c r="AS266" s="76"/>
      <c r="AT266" s="76"/>
      <c r="AU266" s="76"/>
      <c r="AV266" s="76"/>
      <c r="AW266" s="82" t="str">
        <f>HYPERLINK("https://t.co/GbvZsELGwE")</f>
        <v>https://t.co/GbvZsELGwE</v>
      </c>
      <c r="AX266" s="76" t="b">
        <v>0</v>
      </c>
      <c r="AY266" s="76"/>
      <c r="AZ266" s="76"/>
      <c r="BA266" s="76" t="b">
        <v>0</v>
      </c>
      <c r="BB266" s="76" t="b">
        <v>1</v>
      </c>
      <c r="BC266" s="76" t="b">
        <v>1</v>
      </c>
      <c r="BD266" s="76" t="b">
        <v>0</v>
      </c>
      <c r="BE266" s="76" t="b">
        <v>1</v>
      </c>
      <c r="BF266" s="76" t="b">
        <v>0</v>
      </c>
      <c r="BG266" s="76" t="b">
        <v>0</v>
      </c>
      <c r="BH266" s="76"/>
      <c r="BI266" s="76"/>
      <c r="BJ266" s="76" t="s">
        <v>27595</v>
      </c>
      <c r="BK266" s="76" t="b">
        <v>0</v>
      </c>
      <c r="BL266" s="76"/>
      <c r="BM266" s="76" t="s">
        <v>66</v>
      </c>
      <c r="BN266" s="76" t="s">
        <v>27597</v>
      </c>
      <c r="BO266" s="82" t="str">
        <f>HYPERLINK("https://twitter.com/rodadecuia")</f>
        <v>https://twitter.com/rodadecuia</v>
      </c>
      <c r="BP266" s="2"/>
    </row>
    <row r="267" spans="1:68" x14ac:dyDescent="0.25">
      <c r="A267" s="62" t="s">
        <v>406</v>
      </c>
      <c r="B267" s="63"/>
      <c r="C267" s="63"/>
      <c r="D267" s="64"/>
      <c r="E267" s="66"/>
      <c r="F267" s="103" t="str">
        <f>HYPERLINK("https://pbs.twimg.com/profile_images/1696927535873900557/V3mFnrdT_normal.jpg")</f>
        <v>https://pbs.twimg.com/profile_images/1696927535873900557/V3mFnrdT_normal.jpg</v>
      </c>
      <c r="G267" s="63"/>
      <c r="H267" s="67"/>
      <c r="I267" s="68"/>
      <c r="J267" s="68"/>
      <c r="K267" s="67" t="s">
        <v>27861</v>
      </c>
      <c r="L267" s="71"/>
      <c r="M267" s="72"/>
      <c r="N267" s="72"/>
      <c r="O267" s="73"/>
      <c r="P267" s="74"/>
      <c r="Q267" s="74"/>
      <c r="R267" s="87"/>
      <c r="S267" s="87"/>
      <c r="T267" s="87"/>
      <c r="U267" s="87"/>
      <c r="V267" s="48"/>
      <c r="W267" s="48"/>
      <c r="X267" s="48"/>
      <c r="Y267" s="48"/>
      <c r="Z267" s="47"/>
      <c r="AA267" s="69">
        <v>267</v>
      </c>
      <c r="AB267" s="69"/>
      <c r="AC267" s="70"/>
      <c r="AD267" s="76" t="s">
        <v>21510</v>
      </c>
      <c r="AE267" s="81" t="s">
        <v>23201</v>
      </c>
      <c r="AF267" s="76">
        <v>1810</v>
      </c>
      <c r="AG267" s="76">
        <v>3783</v>
      </c>
      <c r="AH267" s="76">
        <v>9001</v>
      </c>
      <c r="AI267" s="76">
        <v>3</v>
      </c>
      <c r="AJ267" s="76">
        <v>21949</v>
      </c>
      <c r="AK267" s="76">
        <v>621</v>
      </c>
      <c r="AL267" s="76" t="b">
        <v>0</v>
      </c>
      <c r="AM267" s="78">
        <v>40193.850428240738</v>
      </c>
      <c r="AN267" s="76" t="s">
        <v>14386</v>
      </c>
      <c r="AO267" s="76" t="s">
        <v>24942</v>
      </c>
      <c r="AP267" s="76"/>
      <c r="AQ267" s="76"/>
      <c r="AR267" s="76"/>
      <c r="AS267" s="76"/>
      <c r="AT267" s="76"/>
      <c r="AU267" s="76"/>
      <c r="AV267" s="76">
        <v>1.22399997557681E+18</v>
      </c>
      <c r="AW267" s="76"/>
      <c r="AX267" s="76" t="b">
        <v>0</v>
      </c>
      <c r="AY267" s="76"/>
      <c r="AZ267" s="76"/>
      <c r="BA267" s="76" t="b">
        <v>1</v>
      </c>
      <c r="BB267" s="76" t="b">
        <v>0</v>
      </c>
      <c r="BC267" s="76" t="b">
        <v>1</v>
      </c>
      <c r="BD267" s="76" t="b">
        <v>0</v>
      </c>
      <c r="BE267" s="76" t="b">
        <v>1</v>
      </c>
      <c r="BF267" s="76" t="b">
        <v>0</v>
      </c>
      <c r="BG267" s="76" t="b">
        <v>0</v>
      </c>
      <c r="BH267" s="82" t="str">
        <f>HYPERLINK("https://pbs.twimg.com/profile_banners/105246377/1649989823")</f>
        <v>https://pbs.twimg.com/profile_banners/105246377/1649989823</v>
      </c>
      <c r="BI267" s="76"/>
      <c r="BJ267" s="76" t="s">
        <v>27595</v>
      </c>
      <c r="BK267" s="76" t="b">
        <v>0</v>
      </c>
      <c r="BL267" s="76"/>
      <c r="BM267" s="76" t="s">
        <v>66</v>
      </c>
      <c r="BN267" s="76" t="s">
        <v>27597</v>
      </c>
      <c r="BO267" s="82" t="str">
        <f>HYPERLINK("https://twitter.com/cgvillarroelv")</f>
        <v>https://twitter.com/cgvillarroelv</v>
      </c>
      <c r="BP267" s="2"/>
    </row>
    <row r="268" spans="1:68" x14ac:dyDescent="0.25">
      <c r="A268" s="62" t="s">
        <v>407</v>
      </c>
      <c r="B268" s="63"/>
      <c r="C268" s="63"/>
      <c r="D268" s="64"/>
      <c r="E268" s="66"/>
      <c r="F268" s="103" t="str">
        <f>HYPERLINK("https://pbs.twimg.com/profile_images/1595054057403604997/guEZ67dp_normal.jpg")</f>
        <v>https://pbs.twimg.com/profile_images/1595054057403604997/guEZ67dp_normal.jpg</v>
      </c>
      <c r="G268" s="63"/>
      <c r="H268" s="67"/>
      <c r="I268" s="68"/>
      <c r="J268" s="68"/>
      <c r="K268" s="67" t="s">
        <v>27862</v>
      </c>
      <c r="L268" s="71"/>
      <c r="M268" s="72"/>
      <c r="N268" s="72"/>
      <c r="O268" s="73"/>
      <c r="P268" s="74"/>
      <c r="Q268" s="74"/>
      <c r="R268" s="87"/>
      <c r="S268" s="87"/>
      <c r="T268" s="87"/>
      <c r="U268" s="87"/>
      <c r="V268" s="48"/>
      <c r="W268" s="48"/>
      <c r="X268" s="48"/>
      <c r="Y268" s="48"/>
      <c r="Z268" s="47"/>
      <c r="AA268" s="69">
        <v>268</v>
      </c>
      <c r="AB268" s="69"/>
      <c r="AC268" s="70"/>
      <c r="AD268" s="76" t="s">
        <v>21511</v>
      </c>
      <c r="AE268" s="81" t="s">
        <v>20586</v>
      </c>
      <c r="AF268" s="76">
        <v>91</v>
      </c>
      <c r="AG268" s="76">
        <v>81</v>
      </c>
      <c r="AH268" s="76">
        <v>28695</v>
      </c>
      <c r="AI268" s="76">
        <v>1</v>
      </c>
      <c r="AJ268" s="76">
        <v>74768</v>
      </c>
      <c r="AK268" s="76">
        <v>11</v>
      </c>
      <c r="AL268" s="76" t="b">
        <v>0</v>
      </c>
      <c r="AM268" s="78">
        <v>43406.609652777777</v>
      </c>
      <c r="AN268" s="76"/>
      <c r="AO268" s="76"/>
      <c r="AP268" s="76"/>
      <c r="AQ268" s="76"/>
      <c r="AR268" s="76"/>
      <c r="AS268" s="76"/>
      <c r="AT268" s="76"/>
      <c r="AU268" s="76"/>
      <c r="AV268" s="76"/>
      <c r="AW268" s="76"/>
      <c r="AX268" s="76" t="b">
        <v>0</v>
      </c>
      <c r="AY268" s="76"/>
      <c r="AZ268" s="76"/>
      <c r="BA268" s="76" t="b">
        <v>0</v>
      </c>
      <c r="BB268" s="76" t="b">
        <v>1</v>
      </c>
      <c r="BC268" s="76" t="b">
        <v>1</v>
      </c>
      <c r="BD268" s="76" t="b">
        <v>0</v>
      </c>
      <c r="BE268" s="76" t="b">
        <v>1</v>
      </c>
      <c r="BF268" s="76" t="b">
        <v>0</v>
      </c>
      <c r="BG268" s="76" t="b">
        <v>0</v>
      </c>
      <c r="BH268" s="76"/>
      <c r="BI268" s="76"/>
      <c r="BJ268" s="76" t="s">
        <v>27595</v>
      </c>
      <c r="BK268" s="76" t="b">
        <v>0</v>
      </c>
      <c r="BL268" s="76"/>
      <c r="BM268" s="76" t="s">
        <v>66</v>
      </c>
      <c r="BN268" s="76" t="s">
        <v>27597</v>
      </c>
      <c r="BO268" s="82" t="str">
        <f>HYPERLINK("https://twitter.com/adelaircosta")</f>
        <v>https://twitter.com/adelaircosta</v>
      </c>
      <c r="BP268" s="2"/>
    </row>
    <row r="269" spans="1:68" x14ac:dyDescent="0.25">
      <c r="A269" s="62" t="s">
        <v>408</v>
      </c>
      <c r="B269" s="63"/>
      <c r="C269" s="63"/>
      <c r="D269" s="64"/>
      <c r="E269" s="66"/>
      <c r="F269" s="103" t="str">
        <f>HYPERLINK("https://pbs.twimg.com/profile_images/1131576243697201152/PfdkQM9Z_normal.jpg")</f>
        <v>https://pbs.twimg.com/profile_images/1131576243697201152/PfdkQM9Z_normal.jpg</v>
      </c>
      <c r="G269" s="63"/>
      <c r="H269" s="67"/>
      <c r="I269" s="68"/>
      <c r="J269" s="68"/>
      <c r="K269" s="67" t="s">
        <v>27863</v>
      </c>
      <c r="L269" s="71"/>
      <c r="M269" s="72"/>
      <c r="N269" s="72"/>
      <c r="O269" s="73"/>
      <c r="P269" s="74"/>
      <c r="Q269" s="74"/>
      <c r="R269" s="87"/>
      <c r="S269" s="87"/>
      <c r="T269" s="87"/>
      <c r="U269" s="87"/>
      <c r="V269" s="48"/>
      <c r="W269" s="48"/>
      <c r="X269" s="48"/>
      <c r="Y269" s="48"/>
      <c r="Z269" s="47"/>
      <c r="AA269" s="69">
        <v>269</v>
      </c>
      <c r="AB269" s="69"/>
      <c r="AC269" s="70"/>
      <c r="AD269" s="76" t="s">
        <v>21512</v>
      </c>
      <c r="AE269" s="81" t="s">
        <v>20587</v>
      </c>
      <c r="AF269" s="76">
        <v>36263</v>
      </c>
      <c r="AG269" s="76">
        <v>76</v>
      </c>
      <c r="AH269" s="76">
        <v>94145</v>
      </c>
      <c r="AI269" s="76">
        <v>228</v>
      </c>
      <c r="AJ269" s="76">
        <v>554</v>
      </c>
      <c r="AK269" s="76">
        <v>76007</v>
      </c>
      <c r="AL269" s="76" t="b">
        <v>0</v>
      </c>
      <c r="AM269" s="78">
        <v>43056.741087962961</v>
      </c>
      <c r="AN269" s="76"/>
      <c r="AO269" s="76" t="s">
        <v>24943</v>
      </c>
      <c r="AP269" s="82" t="str">
        <f>HYPERLINK("https://t.co/Wr5x5FVlka")</f>
        <v>https://t.co/Wr5x5FVlka</v>
      </c>
      <c r="AQ269" s="82" t="str">
        <f>HYPERLINK("http://cnnradio.com.ar")</f>
        <v>http://cnnradio.com.ar</v>
      </c>
      <c r="AR269" s="76" t="s">
        <v>26501</v>
      </c>
      <c r="AS269" s="76"/>
      <c r="AT269" s="76"/>
      <c r="AU269" s="76"/>
      <c r="AV269" s="76"/>
      <c r="AW269" s="82" t="str">
        <f>HYPERLINK("https://t.co/Wr5x5FVlka")</f>
        <v>https://t.co/Wr5x5FVlka</v>
      </c>
      <c r="AX269" s="76" t="b">
        <v>0</v>
      </c>
      <c r="AY269" s="76"/>
      <c r="AZ269" s="76"/>
      <c r="BA269" s="76" t="b">
        <v>0</v>
      </c>
      <c r="BB269" s="76" t="b">
        <v>1</v>
      </c>
      <c r="BC269" s="76" t="b">
        <v>1</v>
      </c>
      <c r="BD269" s="76" t="b">
        <v>0</v>
      </c>
      <c r="BE269" s="76" t="b">
        <v>0</v>
      </c>
      <c r="BF269" s="76" t="b">
        <v>0</v>
      </c>
      <c r="BG269" s="76" t="b">
        <v>0</v>
      </c>
      <c r="BH269" s="82" t="str">
        <f>HYPERLINK("https://pbs.twimg.com/profile_banners/931579478794555393/1688671724")</f>
        <v>https://pbs.twimg.com/profile_banners/931579478794555393/1688671724</v>
      </c>
      <c r="BI269" s="76"/>
      <c r="BJ269" s="76" t="s">
        <v>27595</v>
      </c>
      <c r="BK269" s="76" t="b">
        <v>0</v>
      </c>
      <c r="BL269" s="76"/>
      <c r="BM269" s="76" t="s">
        <v>66</v>
      </c>
      <c r="BN269" s="76" t="s">
        <v>27597</v>
      </c>
      <c r="BO269" s="82" t="str">
        <f>HYPERLINK("https://twitter.com/cnnradioarg")</f>
        <v>https://twitter.com/cnnradioarg</v>
      </c>
      <c r="BP269" s="2"/>
    </row>
    <row r="270" spans="1:68" x14ac:dyDescent="0.25">
      <c r="A270" s="62" t="s">
        <v>1749</v>
      </c>
      <c r="B270" s="63"/>
      <c r="C270" s="63"/>
      <c r="D270" s="64"/>
      <c r="E270" s="66"/>
      <c r="F270" s="103" t="str">
        <f>HYPERLINK("https://pbs.twimg.com/profile_images/1404522401896046600/5u62qmAh_normal.jpg")</f>
        <v>https://pbs.twimg.com/profile_images/1404522401896046600/5u62qmAh_normal.jpg</v>
      </c>
      <c r="G270" s="63"/>
      <c r="H270" s="67"/>
      <c r="I270" s="68"/>
      <c r="J270" s="68"/>
      <c r="K270" s="67" t="s">
        <v>27864</v>
      </c>
      <c r="L270" s="71"/>
      <c r="M270" s="72"/>
      <c r="N270" s="72"/>
      <c r="O270" s="73"/>
      <c r="P270" s="74"/>
      <c r="Q270" s="74"/>
      <c r="R270" s="87"/>
      <c r="S270" s="87"/>
      <c r="T270" s="87"/>
      <c r="U270" s="87"/>
      <c r="V270" s="48"/>
      <c r="W270" s="48"/>
      <c r="X270" s="48"/>
      <c r="Y270" s="48"/>
      <c r="Z270" s="47"/>
      <c r="AA270" s="69">
        <v>270</v>
      </c>
      <c r="AB270" s="69"/>
      <c r="AC270" s="70"/>
      <c r="AD270" s="76" t="s">
        <v>21513</v>
      </c>
      <c r="AE270" s="81" t="s">
        <v>23202</v>
      </c>
      <c r="AF270" s="76">
        <v>44047</v>
      </c>
      <c r="AG270" s="76">
        <v>2350</v>
      </c>
      <c r="AH270" s="76">
        <v>55045</v>
      </c>
      <c r="AI270" s="76">
        <v>275</v>
      </c>
      <c r="AJ270" s="76">
        <v>2733</v>
      </c>
      <c r="AK270" s="76">
        <v>4783</v>
      </c>
      <c r="AL270" s="76" t="b">
        <v>0</v>
      </c>
      <c r="AM270" s="78">
        <v>40275.161805555559</v>
      </c>
      <c r="AN270" s="76" t="s">
        <v>24114</v>
      </c>
      <c r="AO270" s="76" t="s">
        <v>24944</v>
      </c>
      <c r="AP270" s="82" t="str">
        <f>HYPERLINK("https://t.co/mA7UTmbFi4")</f>
        <v>https://t.co/mA7UTmbFi4</v>
      </c>
      <c r="AQ270" s="82" t="str">
        <f>HYPERLINK("http://www.nachogiron.com.ar")</f>
        <v>http://www.nachogiron.com.ar</v>
      </c>
      <c r="AR270" s="76" t="s">
        <v>26502</v>
      </c>
      <c r="AS270" s="76"/>
      <c r="AT270" s="76"/>
      <c r="AU270" s="76"/>
      <c r="AV270" s="76">
        <v>1.6270947336245801E+18</v>
      </c>
      <c r="AW270" s="82" t="str">
        <f>HYPERLINK("https://t.co/mA7UTmbFi4")</f>
        <v>https://t.co/mA7UTmbFi4</v>
      </c>
      <c r="AX270" s="76" t="b">
        <v>0</v>
      </c>
      <c r="AY270" s="76"/>
      <c r="AZ270" s="76"/>
      <c r="BA270" s="76" t="b">
        <v>1</v>
      </c>
      <c r="BB270" s="76" t="b">
        <v>1</v>
      </c>
      <c r="BC270" s="76" t="b">
        <v>0</v>
      </c>
      <c r="BD270" s="76" t="b">
        <v>0</v>
      </c>
      <c r="BE270" s="76" t="b">
        <v>1</v>
      </c>
      <c r="BF270" s="76" t="b">
        <v>0</v>
      </c>
      <c r="BG270" s="76" t="b">
        <v>0</v>
      </c>
      <c r="BH270" s="82" t="str">
        <f>HYPERLINK("https://pbs.twimg.com/profile_banners/130381198/1680894712")</f>
        <v>https://pbs.twimg.com/profile_banners/130381198/1680894712</v>
      </c>
      <c r="BI270" s="76"/>
      <c r="BJ270" s="76" t="s">
        <v>27595</v>
      </c>
      <c r="BK270" s="76" t="b">
        <v>0</v>
      </c>
      <c r="BL270" s="76"/>
      <c r="BM270" s="76" t="s">
        <v>65</v>
      </c>
      <c r="BN270" s="76" t="s">
        <v>27597</v>
      </c>
      <c r="BO270" s="82" t="str">
        <f>HYPERLINK("https://twitter.com/nachogiron")</f>
        <v>https://twitter.com/nachogiron</v>
      </c>
      <c r="BP270" s="2"/>
    </row>
    <row r="271" spans="1:68" x14ac:dyDescent="0.25">
      <c r="A271" s="62" t="s">
        <v>1750</v>
      </c>
      <c r="B271" s="63"/>
      <c r="C271" s="63"/>
      <c r="D271" s="64"/>
      <c r="E271" s="66"/>
      <c r="F271" s="103" t="str">
        <f>HYPERLINK("https://pbs.twimg.com/profile_images/1566871338324824066/bSSDqb8o_normal.jpg")</f>
        <v>https://pbs.twimg.com/profile_images/1566871338324824066/bSSDqb8o_normal.jpg</v>
      </c>
      <c r="G271" s="63"/>
      <c r="H271" s="67"/>
      <c r="I271" s="68"/>
      <c r="J271" s="68"/>
      <c r="K271" s="67" t="s">
        <v>27865</v>
      </c>
      <c r="L271" s="71"/>
      <c r="M271" s="72"/>
      <c r="N271" s="72"/>
      <c r="O271" s="73"/>
      <c r="P271" s="74"/>
      <c r="Q271" s="74"/>
      <c r="R271" s="87"/>
      <c r="S271" s="87"/>
      <c r="T271" s="87"/>
      <c r="U271" s="87"/>
      <c r="V271" s="48"/>
      <c r="W271" s="48"/>
      <c r="X271" s="48"/>
      <c r="Y271" s="48"/>
      <c r="Z271" s="47"/>
      <c r="AA271" s="69">
        <v>271</v>
      </c>
      <c r="AB271" s="69"/>
      <c r="AC271" s="70"/>
      <c r="AD271" s="76" t="s">
        <v>21514</v>
      </c>
      <c r="AE271" s="81" t="s">
        <v>23203</v>
      </c>
      <c r="AF271" s="76">
        <v>186009</v>
      </c>
      <c r="AG271" s="76">
        <v>5835</v>
      </c>
      <c r="AH271" s="76">
        <v>9770</v>
      </c>
      <c r="AI271" s="76">
        <v>1253</v>
      </c>
      <c r="AJ271" s="76">
        <v>5103</v>
      </c>
      <c r="AK271" s="76">
        <v>894</v>
      </c>
      <c r="AL271" s="76" t="b">
        <v>0</v>
      </c>
      <c r="AM271" s="78">
        <v>40311.772650462961</v>
      </c>
      <c r="AN271" s="76" t="s">
        <v>24114</v>
      </c>
      <c r="AO271" s="76" t="s">
        <v>24945</v>
      </c>
      <c r="AP271" s="82" t="str">
        <f>HYPERLINK("https://t.co/HSRFEs0rgg")</f>
        <v>https://t.co/HSRFEs0rgg</v>
      </c>
      <c r="AQ271" s="82" t="str">
        <f>HYPERLINK("http://martinredrado.com")</f>
        <v>http://martinredrado.com</v>
      </c>
      <c r="AR271" s="76" t="s">
        <v>26503</v>
      </c>
      <c r="AS271" s="76"/>
      <c r="AT271" s="76"/>
      <c r="AU271" s="76"/>
      <c r="AV271" s="76">
        <v>1.00010645440426E+18</v>
      </c>
      <c r="AW271" s="82" t="str">
        <f>HYPERLINK("https://t.co/HSRFEs0rgg")</f>
        <v>https://t.co/HSRFEs0rgg</v>
      </c>
      <c r="AX271" s="76" t="b">
        <v>0</v>
      </c>
      <c r="AY271" s="76"/>
      <c r="AZ271" s="76"/>
      <c r="BA271" s="76" t="b">
        <v>0</v>
      </c>
      <c r="BB271" s="76" t="b">
        <v>1</v>
      </c>
      <c r="BC271" s="76" t="b">
        <v>0</v>
      </c>
      <c r="BD271" s="76" t="b">
        <v>0</v>
      </c>
      <c r="BE271" s="76" t="b">
        <v>1</v>
      </c>
      <c r="BF271" s="76" t="b">
        <v>0</v>
      </c>
      <c r="BG271" s="76" t="b">
        <v>0</v>
      </c>
      <c r="BH271" s="82" t="str">
        <f>HYPERLINK("https://pbs.twimg.com/profile_banners/143529859/1646866348")</f>
        <v>https://pbs.twimg.com/profile_banners/143529859/1646866348</v>
      </c>
      <c r="BI271" s="76"/>
      <c r="BJ271" s="76" t="s">
        <v>27595</v>
      </c>
      <c r="BK271" s="76" t="b">
        <v>0</v>
      </c>
      <c r="BL271" s="76"/>
      <c r="BM271" s="76" t="s">
        <v>65</v>
      </c>
      <c r="BN271" s="76" t="s">
        <v>27597</v>
      </c>
      <c r="BO271" s="82" t="str">
        <f>HYPERLINK("https://twitter.com/martinredrado")</f>
        <v>https://twitter.com/martinredrado</v>
      </c>
      <c r="BP271" s="2"/>
    </row>
    <row r="272" spans="1:68" x14ac:dyDescent="0.25">
      <c r="A272" s="62" t="s">
        <v>409</v>
      </c>
      <c r="B272" s="63"/>
      <c r="C272" s="63"/>
      <c r="D272" s="64"/>
      <c r="E272" s="66"/>
      <c r="F272" s="103" t="str">
        <f>HYPERLINK("https://pbs.twimg.com/profile_images/1612623753145421826/MG1Y1O32_normal.jpg")</f>
        <v>https://pbs.twimg.com/profile_images/1612623753145421826/MG1Y1O32_normal.jpg</v>
      </c>
      <c r="G272" s="63"/>
      <c r="H272" s="67"/>
      <c r="I272" s="68"/>
      <c r="J272" s="68"/>
      <c r="K272" s="67" t="s">
        <v>27866</v>
      </c>
      <c r="L272" s="71"/>
      <c r="M272" s="72"/>
      <c r="N272" s="72"/>
      <c r="O272" s="73"/>
      <c r="P272" s="74"/>
      <c r="Q272" s="74"/>
      <c r="R272" s="87"/>
      <c r="S272" s="87"/>
      <c r="T272" s="87"/>
      <c r="U272" s="87"/>
      <c r="V272" s="48"/>
      <c r="W272" s="48"/>
      <c r="X272" s="48"/>
      <c r="Y272" s="48"/>
      <c r="Z272" s="47"/>
      <c r="AA272" s="69">
        <v>272</v>
      </c>
      <c r="AB272" s="69"/>
      <c r="AC272" s="70"/>
      <c r="AD272" s="76" t="s">
        <v>21515</v>
      </c>
      <c r="AE272" s="81" t="s">
        <v>23204</v>
      </c>
      <c r="AF272" s="76">
        <v>3624</v>
      </c>
      <c r="AG272" s="76">
        <v>286</v>
      </c>
      <c r="AH272" s="76">
        <v>26697</v>
      </c>
      <c r="AI272" s="76">
        <v>5</v>
      </c>
      <c r="AJ272" s="76">
        <v>574</v>
      </c>
      <c r="AK272" s="76">
        <v>8251</v>
      </c>
      <c r="AL272" s="76" t="b">
        <v>0</v>
      </c>
      <c r="AM272" s="78">
        <v>41038.787986111114</v>
      </c>
      <c r="AN272" s="76" t="s">
        <v>14381</v>
      </c>
      <c r="AO272" s="76" t="s">
        <v>24946</v>
      </c>
      <c r="AP272" s="82" t="str">
        <f>HYPERLINK("https://t.co/apghoXd7hW")</f>
        <v>https://t.co/apghoXd7hW</v>
      </c>
      <c r="AQ272" s="82" t="str">
        <f>HYPERLINK("https://linkin.bio/sumundotv")</f>
        <v>https://linkin.bio/sumundotv</v>
      </c>
      <c r="AR272" s="76" t="s">
        <v>26504</v>
      </c>
      <c r="AS272" s="76"/>
      <c r="AT272" s="76"/>
      <c r="AU272" s="76"/>
      <c r="AV272" s="76"/>
      <c r="AW272" s="82" t="str">
        <f>HYPERLINK("https://t.co/apghoXd7hW")</f>
        <v>https://t.co/apghoXd7hW</v>
      </c>
      <c r="AX272" s="76" t="b">
        <v>0</v>
      </c>
      <c r="AY272" s="76"/>
      <c r="AZ272" s="76"/>
      <c r="BA272" s="76" t="b">
        <v>0</v>
      </c>
      <c r="BB272" s="76" t="b">
        <v>1</v>
      </c>
      <c r="BC272" s="76" t="b">
        <v>0</v>
      </c>
      <c r="BD272" s="76" t="b">
        <v>0</v>
      </c>
      <c r="BE272" s="76" t="b">
        <v>0</v>
      </c>
      <c r="BF272" s="76" t="b">
        <v>0</v>
      </c>
      <c r="BG272" s="76" t="b">
        <v>0</v>
      </c>
      <c r="BH272" s="82" t="str">
        <f>HYPERLINK("https://pbs.twimg.com/profile_banners/575591153/1665600015")</f>
        <v>https://pbs.twimg.com/profile_banners/575591153/1665600015</v>
      </c>
      <c r="BI272" s="76"/>
      <c r="BJ272" s="76" t="s">
        <v>27595</v>
      </c>
      <c r="BK272" s="76" t="b">
        <v>0</v>
      </c>
      <c r="BL272" s="76"/>
      <c r="BM272" s="76" t="s">
        <v>66</v>
      </c>
      <c r="BN272" s="76" t="s">
        <v>27597</v>
      </c>
      <c r="BO272" s="82" t="str">
        <f>HYPERLINK("https://twitter.com/sumundotv")</f>
        <v>https://twitter.com/sumundotv</v>
      </c>
      <c r="BP272" s="2"/>
    </row>
    <row r="273" spans="1:68" x14ac:dyDescent="0.25">
      <c r="A273" s="62" t="s">
        <v>410</v>
      </c>
      <c r="B273" s="63"/>
      <c r="C273" s="63"/>
      <c r="D273" s="64"/>
      <c r="E273" s="66"/>
      <c r="F273" s="103" t="str">
        <f>HYPERLINK("https://pbs.twimg.com/profile_images/925544036445966336/1xbhGczB_normal.jpg")</f>
        <v>https://pbs.twimg.com/profile_images/925544036445966336/1xbhGczB_normal.jpg</v>
      </c>
      <c r="G273" s="63"/>
      <c r="H273" s="67"/>
      <c r="I273" s="68"/>
      <c r="J273" s="68"/>
      <c r="K273" s="67" t="s">
        <v>27867</v>
      </c>
      <c r="L273" s="71"/>
      <c r="M273" s="72"/>
      <c r="N273" s="72"/>
      <c r="O273" s="73"/>
      <c r="P273" s="74"/>
      <c r="Q273" s="74"/>
      <c r="R273" s="87"/>
      <c r="S273" s="87"/>
      <c r="T273" s="87"/>
      <c r="U273" s="87"/>
      <c r="V273" s="48"/>
      <c r="W273" s="48"/>
      <c r="X273" s="48"/>
      <c r="Y273" s="48"/>
      <c r="Z273" s="47"/>
      <c r="AA273" s="69">
        <v>273</v>
      </c>
      <c r="AB273" s="69"/>
      <c r="AC273" s="70"/>
      <c r="AD273" s="76" t="s">
        <v>21516</v>
      </c>
      <c r="AE273" s="81" t="s">
        <v>23205</v>
      </c>
      <c r="AF273" s="76">
        <v>128360</v>
      </c>
      <c r="AG273" s="76">
        <v>25497</v>
      </c>
      <c r="AH273" s="76">
        <v>13415</v>
      </c>
      <c r="AI273" s="76">
        <v>556</v>
      </c>
      <c r="AJ273" s="76">
        <v>1357</v>
      </c>
      <c r="AK273" s="76">
        <v>3593</v>
      </c>
      <c r="AL273" s="76" t="b">
        <v>0</v>
      </c>
      <c r="AM273" s="78">
        <v>40418.159456018519</v>
      </c>
      <c r="AN273" s="76" t="s">
        <v>24092</v>
      </c>
      <c r="AO273" s="76" t="s">
        <v>24947</v>
      </c>
      <c r="AP273" s="82" t="str">
        <f>HYPERLINK("https://t.co/yRy40SrjUI")</f>
        <v>https://t.co/yRy40SrjUI</v>
      </c>
      <c r="AQ273" s="82" t="str">
        <f>HYPERLINK("https://tugacetaoficial.com")</f>
        <v>https://tugacetaoficial.com</v>
      </c>
      <c r="AR273" s="76" t="s">
        <v>8662</v>
      </c>
      <c r="AS273" s="76"/>
      <c r="AT273" s="76"/>
      <c r="AU273" s="76"/>
      <c r="AV273" s="76">
        <v>1.70683241498563E+18</v>
      </c>
      <c r="AW273" s="82" t="str">
        <f>HYPERLINK("https://t.co/yRy40SrjUI")</f>
        <v>https://t.co/yRy40SrjUI</v>
      </c>
      <c r="AX273" s="76" t="b">
        <v>0</v>
      </c>
      <c r="AY273" s="76"/>
      <c r="AZ273" s="76"/>
      <c r="BA273" s="76" t="b">
        <v>1</v>
      </c>
      <c r="BB273" s="76" t="b">
        <v>1</v>
      </c>
      <c r="BC273" s="76" t="b">
        <v>0</v>
      </c>
      <c r="BD273" s="76" t="b">
        <v>0</v>
      </c>
      <c r="BE273" s="76" t="b">
        <v>1</v>
      </c>
      <c r="BF273" s="76" t="b">
        <v>0</v>
      </c>
      <c r="BG273" s="76" t="b">
        <v>0</v>
      </c>
      <c r="BH273" s="82" t="str">
        <f>HYPERLINK("https://pbs.twimg.com/profile_banners/183887762/1509501870")</f>
        <v>https://pbs.twimg.com/profile_banners/183887762/1509501870</v>
      </c>
      <c r="BI273" s="76"/>
      <c r="BJ273" s="76" t="s">
        <v>27595</v>
      </c>
      <c r="BK273" s="76" t="b">
        <v>0</v>
      </c>
      <c r="BL273" s="76"/>
      <c r="BM273" s="76" t="s">
        <v>66</v>
      </c>
      <c r="BN273" s="76" t="s">
        <v>27597</v>
      </c>
      <c r="BO273" s="82" t="str">
        <f>HYPERLINK("https://twitter.com/gacetaoficial")</f>
        <v>https://twitter.com/gacetaoficial</v>
      </c>
      <c r="BP273" s="2"/>
    </row>
    <row r="274" spans="1:68" x14ac:dyDescent="0.25">
      <c r="A274" s="62" t="s">
        <v>411</v>
      </c>
      <c r="B274" s="63"/>
      <c r="C274" s="63"/>
      <c r="D274" s="64"/>
      <c r="E274" s="66"/>
      <c r="F274" s="103" t="str">
        <f>HYPERLINK("https://pbs.twimg.com/profile_images/460458694262542336/gSW0A5B1_normal.jpeg")</f>
        <v>https://pbs.twimg.com/profile_images/460458694262542336/gSW0A5B1_normal.jpeg</v>
      </c>
      <c r="G274" s="63"/>
      <c r="H274" s="67"/>
      <c r="I274" s="68"/>
      <c r="J274" s="68"/>
      <c r="K274" s="67" t="s">
        <v>27868</v>
      </c>
      <c r="L274" s="71"/>
      <c r="M274" s="72"/>
      <c r="N274" s="72"/>
      <c r="O274" s="73"/>
      <c r="P274" s="74"/>
      <c r="Q274" s="74"/>
      <c r="R274" s="87"/>
      <c r="S274" s="87"/>
      <c r="T274" s="87"/>
      <c r="U274" s="87"/>
      <c r="V274" s="48"/>
      <c r="W274" s="48"/>
      <c r="X274" s="48"/>
      <c r="Y274" s="48"/>
      <c r="Z274" s="47"/>
      <c r="AA274" s="69">
        <v>274</v>
      </c>
      <c r="AB274" s="69"/>
      <c r="AC274" s="70"/>
      <c r="AD274" s="76" t="s">
        <v>21517</v>
      </c>
      <c r="AE274" s="81" t="s">
        <v>23206</v>
      </c>
      <c r="AF274" s="76">
        <v>6214</v>
      </c>
      <c r="AG274" s="76">
        <v>6829</v>
      </c>
      <c r="AH274" s="76">
        <v>75191</v>
      </c>
      <c r="AI274" s="76">
        <v>140</v>
      </c>
      <c r="AJ274" s="76">
        <v>22090</v>
      </c>
      <c r="AK274" s="76">
        <v>1923</v>
      </c>
      <c r="AL274" s="76" t="b">
        <v>0</v>
      </c>
      <c r="AM274" s="78">
        <v>40186.67291666667</v>
      </c>
      <c r="AN274" s="76" t="s">
        <v>24183</v>
      </c>
      <c r="AO274" s="76" t="s">
        <v>24948</v>
      </c>
      <c r="AP274" s="82" t="str">
        <f>HYPERLINK("https://t.co/pukTvS9PER")</f>
        <v>https://t.co/pukTvS9PER</v>
      </c>
      <c r="AQ274" s="82" t="str">
        <f>HYPERLINK("http://cinemabrasil.org.br")</f>
        <v>http://cinemabrasil.org.br</v>
      </c>
      <c r="AR274" s="76" t="s">
        <v>26505</v>
      </c>
      <c r="AS274" s="76"/>
      <c r="AT274" s="76"/>
      <c r="AU274" s="76"/>
      <c r="AV274" s="76"/>
      <c r="AW274" s="82" t="str">
        <f>HYPERLINK("https://t.co/pukTvS9PER")</f>
        <v>https://t.co/pukTvS9PER</v>
      </c>
      <c r="AX274" s="76" t="b">
        <v>0</v>
      </c>
      <c r="AY274" s="76"/>
      <c r="AZ274" s="76"/>
      <c r="BA274" s="76" t="b">
        <v>0</v>
      </c>
      <c r="BB274" s="76" t="b">
        <v>0</v>
      </c>
      <c r="BC274" s="76" t="b">
        <v>0</v>
      </c>
      <c r="BD274" s="76" t="b">
        <v>0</v>
      </c>
      <c r="BE274" s="76" t="b">
        <v>1</v>
      </c>
      <c r="BF274" s="76" t="b">
        <v>0</v>
      </c>
      <c r="BG274" s="76" t="b">
        <v>0</v>
      </c>
      <c r="BH274" s="82" t="str">
        <f>HYPERLINK("https://pbs.twimg.com/profile_banners/103020442/1398615812")</f>
        <v>https://pbs.twimg.com/profile_banners/103020442/1398615812</v>
      </c>
      <c r="BI274" s="76"/>
      <c r="BJ274" s="76" t="s">
        <v>27595</v>
      </c>
      <c r="BK274" s="76" t="b">
        <v>0</v>
      </c>
      <c r="BL274" s="76"/>
      <c r="BM274" s="76" t="s">
        <v>66</v>
      </c>
      <c r="BN274" s="76" t="s">
        <v>27597</v>
      </c>
      <c r="BO274" s="82" t="str">
        <f>HYPERLINK("https://twitter.com/cinema_brasil")</f>
        <v>https://twitter.com/cinema_brasil</v>
      </c>
      <c r="BP274" s="2"/>
    </row>
    <row r="275" spans="1:68" x14ac:dyDescent="0.25">
      <c r="A275" s="62" t="s">
        <v>412</v>
      </c>
      <c r="B275" s="63"/>
      <c r="C275" s="63"/>
      <c r="D275" s="64"/>
      <c r="E275" s="66"/>
      <c r="F275" s="103" t="str">
        <f>HYPERLINK("https://pbs.twimg.com/profile_images/1240744765609725956/LlMvYuRP_normal.jpg")</f>
        <v>https://pbs.twimg.com/profile_images/1240744765609725956/LlMvYuRP_normal.jpg</v>
      </c>
      <c r="G275" s="63"/>
      <c r="H275" s="67"/>
      <c r="I275" s="68"/>
      <c r="J275" s="68"/>
      <c r="K275" s="67" t="s">
        <v>27869</v>
      </c>
      <c r="L275" s="71"/>
      <c r="M275" s="72"/>
      <c r="N275" s="72"/>
      <c r="O275" s="73"/>
      <c r="P275" s="74"/>
      <c r="Q275" s="74"/>
      <c r="R275" s="87"/>
      <c r="S275" s="87"/>
      <c r="T275" s="87"/>
      <c r="U275" s="87"/>
      <c r="V275" s="48"/>
      <c r="W275" s="48"/>
      <c r="X275" s="48"/>
      <c r="Y275" s="48"/>
      <c r="Z275" s="47"/>
      <c r="AA275" s="69">
        <v>275</v>
      </c>
      <c r="AB275" s="69"/>
      <c r="AC275" s="70"/>
      <c r="AD275" s="76" t="s">
        <v>21518</v>
      </c>
      <c r="AE275" s="81" t="s">
        <v>23207</v>
      </c>
      <c r="AF275" s="76">
        <v>53</v>
      </c>
      <c r="AG275" s="76">
        <v>170</v>
      </c>
      <c r="AH275" s="76">
        <v>314</v>
      </c>
      <c r="AI275" s="76">
        <v>2</v>
      </c>
      <c r="AJ275" s="76">
        <v>57</v>
      </c>
      <c r="AK275" s="76">
        <v>178</v>
      </c>
      <c r="AL275" s="76" t="b">
        <v>0</v>
      </c>
      <c r="AM275" s="78">
        <v>41423.757743055554</v>
      </c>
      <c r="AN275" s="76" t="s">
        <v>24184</v>
      </c>
      <c r="AO275" s="76" t="s">
        <v>24949</v>
      </c>
      <c r="AP275" s="82" t="str">
        <f>HYPERLINK("https://t.co/CTUYE1wZMV")</f>
        <v>https://t.co/CTUYE1wZMV</v>
      </c>
      <c r="AQ275" s="82" t="str">
        <f>HYPERLINK("https://www.worldsys.co")</f>
        <v>https://www.worldsys.co</v>
      </c>
      <c r="AR275" s="76" t="s">
        <v>26506</v>
      </c>
      <c r="AS275" s="76"/>
      <c r="AT275" s="76"/>
      <c r="AU275" s="76"/>
      <c r="AV275" s="76">
        <v>1.5320192281943501E+18</v>
      </c>
      <c r="AW275" s="82" t="str">
        <f>HYPERLINK("https://t.co/CTUYE1wZMV")</f>
        <v>https://t.co/CTUYE1wZMV</v>
      </c>
      <c r="AX275" s="76" t="b">
        <v>0</v>
      </c>
      <c r="AY275" s="76"/>
      <c r="AZ275" s="76"/>
      <c r="BA275" s="76" t="b">
        <v>0</v>
      </c>
      <c r="BB275" s="76" t="b">
        <v>1</v>
      </c>
      <c r="BC275" s="76" t="b">
        <v>0</v>
      </c>
      <c r="BD275" s="76" t="b">
        <v>0</v>
      </c>
      <c r="BE275" s="76" t="b">
        <v>0</v>
      </c>
      <c r="BF275" s="76" t="b">
        <v>0</v>
      </c>
      <c r="BG275" s="76" t="b">
        <v>0</v>
      </c>
      <c r="BH275" s="82" t="str">
        <f>HYPERLINK("https://pbs.twimg.com/profile_banners/1467912842/1626300871")</f>
        <v>https://pbs.twimg.com/profile_banners/1467912842/1626300871</v>
      </c>
      <c r="BI275" s="76"/>
      <c r="BJ275" s="76" t="s">
        <v>27595</v>
      </c>
      <c r="BK275" s="76" t="b">
        <v>0</v>
      </c>
      <c r="BL275" s="76"/>
      <c r="BM275" s="76" t="s">
        <v>66</v>
      </c>
      <c r="BN275" s="76" t="s">
        <v>27597</v>
      </c>
      <c r="BO275" s="82" t="str">
        <f>HYPERLINK("https://twitter.com/worldsysregtech")</f>
        <v>https://twitter.com/worldsysregtech</v>
      </c>
      <c r="BP275" s="2"/>
    </row>
    <row r="276" spans="1:68" x14ac:dyDescent="0.25">
      <c r="A276" s="62" t="s">
        <v>413</v>
      </c>
      <c r="B276" s="63"/>
      <c r="C276" s="63"/>
      <c r="D276" s="64"/>
      <c r="E276" s="66"/>
      <c r="F276" s="103" t="str">
        <f>HYPERLINK("https://pbs.twimg.com/profile_images/1470159683126132736/IrmSaBqB_normal.jpg")</f>
        <v>https://pbs.twimg.com/profile_images/1470159683126132736/IrmSaBqB_normal.jpg</v>
      </c>
      <c r="G276" s="63"/>
      <c r="H276" s="67"/>
      <c r="I276" s="68"/>
      <c r="J276" s="68"/>
      <c r="K276" s="67" t="s">
        <v>27870</v>
      </c>
      <c r="L276" s="71"/>
      <c r="M276" s="72"/>
      <c r="N276" s="72"/>
      <c r="O276" s="73"/>
      <c r="P276" s="74"/>
      <c r="Q276" s="74"/>
      <c r="R276" s="87"/>
      <c r="S276" s="87"/>
      <c r="T276" s="87"/>
      <c r="U276" s="87"/>
      <c r="V276" s="48"/>
      <c r="W276" s="48"/>
      <c r="X276" s="48"/>
      <c r="Y276" s="48"/>
      <c r="Z276" s="47"/>
      <c r="AA276" s="69">
        <v>276</v>
      </c>
      <c r="AB276" s="69"/>
      <c r="AC276" s="70"/>
      <c r="AD276" s="76" t="s">
        <v>21519</v>
      </c>
      <c r="AE276" s="81" t="s">
        <v>20588</v>
      </c>
      <c r="AF276" s="76">
        <v>6987</v>
      </c>
      <c r="AG276" s="76">
        <v>5</v>
      </c>
      <c r="AH276" s="76">
        <v>22971</v>
      </c>
      <c r="AI276" s="76">
        <v>5</v>
      </c>
      <c r="AJ276" s="76">
        <v>68</v>
      </c>
      <c r="AK276" s="76">
        <v>1737</v>
      </c>
      <c r="AL276" s="76" t="b">
        <v>0</v>
      </c>
      <c r="AM276" s="78">
        <v>44525.635520833333</v>
      </c>
      <c r="AN276" s="76"/>
      <c r="AO276" s="76" t="s">
        <v>24950</v>
      </c>
      <c r="AP276" s="82" t="str">
        <f>HYPERLINK("https://t.co/jMkGo6BlLq")</f>
        <v>https://t.co/jMkGo6BlLq</v>
      </c>
      <c r="AQ276" s="82" t="str">
        <f>HYPERLINK("http://resumido.info")</f>
        <v>http://resumido.info</v>
      </c>
      <c r="AR276" s="76" t="s">
        <v>8663</v>
      </c>
      <c r="AS276" s="76"/>
      <c r="AT276" s="76"/>
      <c r="AU276" s="76"/>
      <c r="AV276" s="76"/>
      <c r="AW276" s="82" t="str">
        <f>HYPERLINK("https://t.co/jMkGo6BlLq")</f>
        <v>https://t.co/jMkGo6BlLq</v>
      </c>
      <c r="AX276" s="76" t="b">
        <v>1</v>
      </c>
      <c r="AY276" s="76"/>
      <c r="AZ276" s="76"/>
      <c r="BA276" s="76" t="b">
        <v>0</v>
      </c>
      <c r="BB276" s="76" t="b">
        <v>1</v>
      </c>
      <c r="BC276" s="76" t="b">
        <v>1</v>
      </c>
      <c r="BD276" s="76" t="b">
        <v>0</v>
      </c>
      <c r="BE276" s="76" t="b">
        <v>1</v>
      </c>
      <c r="BF276" s="76" t="b">
        <v>0</v>
      </c>
      <c r="BG276" s="76" t="b">
        <v>0</v>
      </c>
      <c r="BH276" s="82" t="str">
        <f>HYPERLINK("https://pbs.twimg.com/profile_banners/1463888738199691267/1657719672")</f>
        <v>https://pbs.twimg.com/profile_banners/1463888738199691267/1657719672</v>
      </c>
      <c r="BI276" s="76"/>
      <c r="BJ276" s="76" t="s">
        <v>27595</v>
      </c>
      <c r="BK276" s="76" t="b">
        <v>0</v>
      </c>
      <c r="BL276" s="76"/>
      <c r="BM276" s="76" t="s">
        <v>66</v>
      </c>
      <c r="BN276" s="76" t="s">
        <v>27597</v>
      </c>
      <c r="BO276" s="82" t="str">
        <f>HYPERLINK("https://twitter.com/resumidoinfo")</f>
        <v>https://twitter.com/resumidoinfo</v>
      </c>
      <c r="BP276" s="2"/>
    </row>
    <row r="277" spans="1:68" x14ac:dyDescent="0.25">
      <c r="A277" s="62" t="s">
        <v>414</v>
      </c>
      <c r="B277" s="63"/>
      <c r="C277" s="63"/>
      <c r="D277" s="64"/>
      <c r="E277" s="66"/>
      <c r="F277" s="103" t="str">
        <f>HYPERLINK("https://pbs.twimg.com/profile_images/1644573336758878215/D-qxpkze_normal.jpg")</f>
        <v>https://pbs.twimg.com/profile_images/1644573336758878215/D-qxpkze_normal.jpg</v>
      </c>
      <c r="G277" s="63"/>
      <c r="H277" s="67"/>
      <c r="I277" s="68"/>
      <c r="J277" s="68"/>
      <c r="K277" s="67" t="s">
        <v>27871</v>
      </c>
      <c r="L277" s="71"/>
      <c r="M277" s="72"/>
      <c r="N277" s="72"/>
      <c r="O277" s="73"/>
      <c r="P277" s="74"/>
      <c r="Q277" s="74"/>
      <c r="R277" s="87"/>
      <c r="S277" s="87"/>
      <c r="T277" s="87"/>
      <c r="U277" s="87"/>
      <c r="V277" s="48"/>
      <c r="W277" s="48"/>
      <c r="X277" s="48"/>
      <c r="Y277" s="48"/>
      <c r="Z277" s="47"/>
      <c r="AA277" s="69">
        <v>277</v>
      </c>
      <c r="AB277" s="69"/>
      <c r="AC277" s="70"/>
      <c r="AD277" s="76" t="s">
        <v>21520</v>
      </c>
      <c r="AE277" s="81" t="s">
        <v>20589</v>
      </c>
      <c r="AF277" s="76">
        <v>10</v>
      </c>
      <c r="AG277" s="76">
        <v>77</v>
      </c>
      <c r="AH277" s="76">
        <v>15</v>
      </c>
      <c r="AI277" s="76">
        <v>0</v>
      </c>
      <c r="AJ277" s="76">
        <v>42</v>
      </c>
      <c r="AK277" s="76">
        <v>4</v>
      </c>
      <c r="AL277" s="76" t="b">
        <v>0</v>
      </c>
      <c r="AM277" s="78">
        <v>45022.316446759258</v>
      </c>
      <c r="AN277" s="76" t="s">
        <v>24185</v>
      </c>
      <c r="AO277" s="76" t="s">
        <v>24951</v>
      </c>
      <c r="AP277" s="76"/>
      <c r="AQ277" s="76"/>
      <c r="AR277" s="76"/>
      <c r="AS277" s="76"/>
      <c r="AT277" s="76"/>
      <c r="AU277" s="76"/>
      <c r="AV277" s="76"/>
      <c r="AW277" s="76"/>
      <c r="AX277" s="76" t="b">
        <v>0</v>
      </c>
      <c r="AY277" s="76"/>
      <c r="AZ277" s="76"/>
      <c r="BA277" s="76" t="b">
        <v>0</v>
      </c>
      <c r="BB277" s="76" t="b">
        <v>1</v>
      </c>
      <c r="BC277" s="76" t="b">
        <v>1</v>
      </c>
      <c r="BD277" s="76" t="b">
        <v>0</v>
      </c>
      <c r="BE277" s="76" t="b">
        <v>0</v>
      </c>
      <c r="BF277" s="76" t="b">
        <v>0</v>
      </c>
      <c r="BG277" s="76" t="b">
        <v>0</v>
      </c>
      <c r="BH277" s="82" t="str">
        <f>HYPERLINK("https://pbs.twimg.com/profile_banners/1643879824652480514/1680932783")</f>
        <v>https://pbs.twimg.com/profile_banners/1643879824652480514/1680932783</v>
      </c>
      <c r="BI277" s="76"/>
      <c r="BJ277" s="76" t="s">
        <v>27595</v>
      </c>
      <c r="BK277" s="76" t="b">
        <v>0</v>
      </c>
      <c r="BL277" s="76"/>
      <c r="BM277" s="76" t="s">
        <v>66</v>
      </c>
      <c r="BN277" s="76" t="s">
        <v>27597</v>
      </c>
      <c r="BO277" s="82" t="str">
        <f>HYPERLINK("https://twitter.com/0x0dendi")</f>
        <v>https://twitter.com/0x0dendi</v>
      </c>
      <c r="BP277" s="2"/>
    </row>
    <row r="278" spans="1:68" x14ac:dyDescent="0.25">
      <c r="A278" s="62" t="s">
        <v>415</v>
      </c>
      <c r="B278" s="63"/>
      <c r="C278" s="63"/>
      <c r="D278" s="64"/>
      <c r="E278" s="66"/>
      <c r="F278" s="103" t="str">
        <f>HYPERLINK("https://pbs.twimg.com/profile_images/1453464781868969993/Z-GK7S8m_normal.jpg")</f>
        <v>https://pbs.twimg.com/profile_images/1453464781868969993/Z-GK7S8m_normal.jpg</v>
      </c>
      <c r="G278" s="63"/>
      <c r="H278" s="67"/>
      <c r="I278" s="68"/>
      <c r="J278" s="68"/>
      <c r="K278" s="67" t="s">
        <v>27872</v>
      </c>
      <c r="L278" s="71"/>
      <c r="M278" s="72"/>
      <c r="N278" s="72"/>
      <c r="O278" s="73"/>
      <c r="P278" s="74"/>
      <c r="Q278" s="74"/>
      <c r="R278" s="87"/>
      <c r="S278" s="87"/>
      <c r="T278" s="87"/>
      <c r="U278" s="87"/>
      <c r="V278" s="48"/>
      <c r="W278" s="48"/>
      <c r="X278" s="48"/>
      <c r="Y278" s="48"/>
      <c r="Z278" s="47"/>
      <c r="AA278" s="69">
        <v>278</v>
      </c>
      <c r="AB278" s="69"/>
      <c r="AC278" s="70"/>
      <c r="AD278" s="76" t="s">
        <v>21521</v>
      </c>
      <c r="AE278" s="81" t="s">
        <v>20590</v>
      </c>
      <c r="AF278" s="76">
        <v>2331</v>
      </c>
      <c r="AG278" s="76">
        <v>205</v>
      </c>
      <c r="AH278" s="76">
        <v>19443</v>
      </c>
      <c r="AI278" s="76">
        <v>13</v>
      </c>
      <c r="AJ278" s="76">
        <v>54</v>
      </c>
      <c r="AK278" s="76">
        <v>5556</v>
      </c>
      <c r="AL278" s="76" t="b">
        <v>0</v>
      </c>
      <c r="AM278" s="78">
        <v>44496.132835648146</v>
      </c>
      <c r="AN278" s="76" t="s">
        <v>24114</v>
      </c>
      <c r="AO278" s="76" t="s">
        <v>24952</v>
      </c>
      <c r="AP278" s="82" t="str">
        <f>HYPERLINK("https://t.co/bqxbDeSuMI")</f>
        <v>https://t.co/bqxbDeSuMI</v>
      </c>
      <c r="AQ278" s="82" t="str">
        <f>HYPERLINK("http://www.elbonaerense.news")</f>
        <v>http://www.elbonaerense.news</v>
      </c>
      <c r="AR278" s="76" t="s">
        <v>8664</v>
      </c>
      <c r="AS278" s="76"/>
      <c r="AT278" s="76"/>
      <c r="AU278" s="76"/>
      <c r="AV278" s="76">
        <v>1.6571481311825101E+18</v>
      </c>
      <c r="AW278" s="82" t="str">
        <f>HYPERLINK("https://t.co/bqxbDeSuMI")</f>
        <v>https://t.co/bqxbDeSuMI</v>
      </c>
      <c r="AX278" s="76" t="b">
        <v>0</v>
      </c>
      <c r="AY278" s="76"/>
      <c r="AZ278" s="76"/>
      <c r="BA278" s="76" t="b">
        <v>0</v>
      </c>
      <c r="BB278" s="76" t="b">
        <v>1</v>
      </c>
      <c r="BC278" s="76" t="b">
        <v>1</v>
      </c>
      <c r="BD278" s="76" t="b">
        <v>0</v>
      </c>
      <c r="BE278" s="76" t="b">
        <v>0</v>
      </c>
      <c r="BF278" s="76" t="b">
        <v>0</v>
      </c>
      <c r="BG278" s="76" t="b">
        <v>0</v>
      </c>
      <c r="BH278" s="82" t="str">
        <f>HYPERLINK("https://pbs.twimg.com/profile_banners/1453197538543083521/1676392482")</f>
        <v>https://pbs.twimg.com/profile_banners/1453197538543083521/1676392482</v>
      </c>
      <c r="BI278" s="76"/>
      <c r="BJ278" s="76" t="s">
        <v>27595</v>
      </c>
      <c r="BK278" s="76" t="b">
        <v>0</v>
      </c>
      <c r="BL278" s="76"/>
      <c r="BM278" s="76" t="s">
        <v>66</v>
      </c>
      <c r="BN278" s="76" t="s">
        <v>27597</v>
      </c>
      <c r="BO278" s="82" t="str">
        <f>HYPERLINK("https://twitter.com/elbonanews")</f>
        <v>https://twitter.com/elbonanews</v>
      </c>
      <c r="BP278" s="2"/>
    </row>
    <row r="279" spans="1:68" x14ac:dyDescent="0.25">
      <c r="A279" s="62" t="s">
        <v>416</v>
      </c>
      <c r="B279" s="63"/>
      <c r="C279" s="63"/>
      <c r="D279" s="64"/>
      <c r="E279" s="66"/>
      <c r="F279" s="103" t="str">
        <f>HYPERLINK("https://pbs.twimg.com/profile_images/1649597966120898561/ZWuZfNLr_normal.jpg")</f>
        <v>https://pbs.twimg.com/profile_images/1649597966120898561/ZWuZfNLr_normal.jpg</v>
      </c>
      <c r="G279" s="63"/>
      <c r="H279" s="67"/>
      <c r="I279" s="68"/>
      <c r="J279" s="68"/>
      <c r="K279" s="67" t="s">
        <v>27873</v>
      </c>
      <c r="L279" s="71"/>
      <c r="M279" s="72"/>
      <c r="N279" s="72"/>
      <c r="O279" s="73"/>
      <c r="P279" s="74"/>
      <c r="Q279" s="74"/>
      <c r="R279" s="87"/>
      <c r="S279" s="87"/>
      <c r="T279" s="87"/>
      <c r="U279" s="87"/>
      <c r="V279" s="48"/>
      <c r="W279" s="48"/>
      <c r="X279" s="48"/>
      <c r="Y279" s="48"/>
      <c r="Z279" s="47"/>
      <c r="AA279" s="69">
        <v>279</v>
      </c>
      <c r="AB279" s="69"/>
      <c r="AC279" s="70"/>
      <c r="AD279" s="76" t="s">
        <v>21522</v>
      </c>
      <c r="AE279" s="81" t="s">
        <v>23208</v>
      </c>
      <c r="AF279" s="76">
        <v>778</v>
      </c>
      <c r="AG279" s="76">
        <v>1287</v>
      </c>
      <c r="AH279" s="76">
        <v>24640</v>
      </c>
      <c r="AI279" s="76">
        <v>15</v>
      </c>
      <c r="AJ279" s="76">
        <v>31359</v>
      </c>
      <c r="AK279" s="76">
        <v>4227</v>
      </c>
      <c r="AL279" s="76" t="b">
        <v>0</v>
      </c>
      <c r="AM279" s="78">
        <v>41865.716111111113</v>
      </c>
      <c r="AN279" s="76" t="s">
        <v>24186</v>
      </c>
      <c r="AO279" s="76"/>
      <c r="AP279" s="76"/>
      <c r="AQ279" s="76"/>
      <c r="AR279" s="76"/>
      <c r="AS279" s="76"/>
      <c r="AT279" s="76"/>
      <c r="AU279" s="76"/>
      <c r="AV279" s="76">
        <v>1.66841786118897E+18</v>
      </c>
      <c r="AW279" s="76"/>
      <c r="AX279" s="76" t="b">
        <v>0</v>
      </c>
      <c r="AY279" s="76"/>
      <c r="AZ279" s="76"/>
      <c r="BA279" s="76" t="b">
        <v>0</v>
      </c>
      <c r="BB279" s="76" t="b">
        <v>0</v>
      </c>
      <c r="BC279" s="76" t="b">
        <v>0</v>
      </c>
      <c r="BD279" s="76" t="b">
        <v>0</v>
      </c>
      <c r="BE279" s="76" t="b">
        <v>1</v>
      </c>
      <c r="BF279" s="76" t="b">
        <v>0</v>
      </c>
      <c r="BG279" s="76" t="b">
        <v>0</v>
      </c>
      <c r="BH279" s="82" t="str">
        <f>HYPERLINK("https://pbs.twimg.com/profile_banners/2732290501/1461871779")</f>
        <v>https://pbs.twimg.com/profile_banners/2732290501/1461871779</v>
      </c>
      <c r="BI279" s="76"/>
      <c r="BJ279" s="76" t="s">
        <v>27595</v>
      </c>
      <c r="BK279" s="76" t="b">
        <v>0</v>
      </c>
      <c r="BL279" s="76"/>
      <c r="BM279" s="76" t="s">
        <v>66</v>
      </c>
      <c r="BN279" s="76" t="s">
        <v>27597</v>
      </c>
      <c r="BO279" s="82" t="str">
        <f>HYPERLINK("https://twitter.com/ameescudero")</f>
        <v>https://twitter.com/ameescudero</v>
      </c>
      <c r="BP279" s="2"/>
    </row>
    <row r="280" spans="1:68" x14ac:dyDescent="0.25">
      <c r="A280" s="62" t="s">
        <v>1751</v>
      </c>
      <c r="B280" s="63"/>
      <c r="C280" s="63"/>
      <c r="D280" s="64"/>
      <c r="E280" s="66"/>
      <c r="F280" s="103" t="str">
        <f>HYPERLINK("https://pbs.twimg.com/profile_images/1529226149380861952/67ORF2gw_normal.jpg")</f>
        <v>https://pbs.twimg.com/profile_images/1529226149380861952/67ORF2gw_normal.jpg</v>
      </c>
      <c r="G280" s="63"/>
      <c r="H280" s="67"/>
      <c r="I280" s="68"/>
      <c r="J280" s="68"/>
      <c r="K280" s="67" t="s">
        <v>27874</v>
      </c>
      <c r="L280" s="71"/>
      <c r="M280" s="72"/>
      <c r="N280" s="72"/>
      <c r="O280" s="73"/>
      <c r="P280" s="74"/>
      <c r="Q280" s="74"/>
      <c r="R280" s="87"/>
      <c r="S280" s="87"/>
      <c r="T280" s="87"/>
      <c r="U280" s="87"/>
      <c r="V280" s="48"/>
      <c r="W280" s="48"/>
      <c r="X280" s="48"/>
      <c r="Y280" s="48"/>
      <c r="Z280" s="47"/>
      <c r="AA280" s="69">
        <v>280</v>
      </c>
      <c r="AB280" s="69"/>
      <c r="AC280" s="70"/>
      <c r="AD280" s="76" t="s">
        <v>21523</v>
      </c>
      <c r="AE280" s="81" t="s">
        <v>20236</v>
      </c>
      <c r="AF280" s="76">
        <v>68195</v>
      </c>
      <c r="AG280" s="76">
        <v>6859</v>
      </c>
      <c r="AH280" s="76">
        <v>86147</v>
      </c>
      <c r="AI280" s="76">
        <v>240</v>
      </c>
      <c r="AJ280" s="76">
        <v>59280</v>
      </c>
      <c r="AK280" s="76">
        <v>4867</v>
      </c>
      <c r="AL280" s="76" t="b">
        <v>0</v>
      </c>
      <c r="AM280" s="78">
        <v>39930.66679398148</v>
      </c>
      <c r="AN280" s="76" t="s">
        <v>24187</v>
      </c>
      <c r="AO280" s="76" t="s">
        <v>24953</v>
      </c>
      <c r="AP280" s="76"/>
      <c r="AQ280" s="76"/>
      <c r="AR280" s="76"/>
      <c r="AS280" s="76"/>
      <c r="AT280" s="76"/>
      <c r="AU280" s="76"/>
      <c r="AV280" s="76"/>
      <c r="AW280" s="76"/>
      <c r="AX280" s="76" t="b">
        <v>1</v>
      </c>
      <c r="AY280" s="76"/>
      <c r="AZ280" s="76"/>
      <c r="BA280" s="76" t="b">
        <v>1</v>
      </c>
      <c r="BB280" s="76" t="b">
        <v>0</v>
      </c>
      <c r="BC280" s="76" t="b">
        <v>1</v>
      </c>
      <c r="BD280" s="76" t="b">
        <v>0</v>
      </c>
      <c r="BE280" s="76" t="b">
        <v>1</v>
      </c>
      <c r="BF280" s="76" t="b">
        <v>0</v>
      </c>
      <c r="BG280" s="76" t="b">
        <v>0</v>
      </c>
      <c r="BH280" s="82" t="str">
        <f>HYPERLINK("https://pbs.twimg.com/profile_banners/35777877/1573938605")</f>
        <v>https://pbs.twimg.com/profile_banners/35777877/1573938605</v>
      </c>
      <c r="BI280" s="76"/>
      <c r="BJ280" s="76" t="s">
        <v>27595</v>
      </c>
      <c r="BK280" s="76" t="b">
        <v>0</v>
      </c>
      <c r="BL280" s="76"/>
      <c r="BM280" s="76" t="s">
        <v>65</v>
      </c>
      <c r="BN280" s="76" t="s">
        <v>27597</v>
      </c>
      <c r="BO280" s="82" t="str">
        <f>HYPERLINK("https://twitter.com/martinyeza")</f>
        <v>https://twitter.com/martinyeza</v>
      </c>
      <c r="BP280" s="2"/>
    </row>
    <row r="281" spans="1:68" x14ac:dyDescent="0.25">
      <c r="A281" s="62" t="s">
        <v>417</v>
      </c>
      <c r="B281" s="63"/>
      <c r="C281" s="63"/>
      <c r="D281" s="64"/>
      <c r="E281" s="66"/>
      <c r="F281" s="103" t="str">
        <f>HYPERLINK("https://pbs.twimg.com/profile_images/907553643804667904/q0CANE5i_normal.jpg")</f>
        <v>https://pbs.twimg.com/profile_images/907553643804667904/q0CANE5i_normal.jpg</v>
      </c>
      <c r="G281" s="63"/>
      <c r="H281" s="67"/>
      <c r="I281" s="68"/>
      <c r="J281" s="68"/>
      <c r="K281" s="67" t="s">
        <v>27875</v>
      </c>
      <c r="L281" s="71"/>
      <c r="M281" s="72"/>
      <c r="N281" s="72"/>
      <c r="O281" s="73"/>
      <c r="P281" s="74"/>
      <c r="Q281" s="74"/>
      <c r="R281" s="87"/>
      <c r="S281" s="87"/>
      <c r="T281" s="87"/>
      <c r="U281" s="87"/>
      <c r="V281" s="48"/>
      <c r="W281" s="48"/>
      <c r="X281" s="48"/>
      <c r="Y281" s="48"/>
      <c r="Z281" s="47"/>
      <c r="AA281" s="69">
        <v>281</v>
      </c>
      <c r="AB281" s="69"/>
      <c r="AC281" s="70"/>
      <c r="AD281" s="76" t="s">
        <v>21524</v>
      </c>
      <c r="AE281" s="81" t="s">
        <v>20591</v>
      </c>
      <c r="AF281" s="76">
        <v>26</v>
      </c>
      <c r="AG281" s="76">
        <v>76</v>
      </c>
      <c r="AH281" s="76">
        <v>437</v>
      </c>
      <c r="AI281" s="76">
        <v>0</v>
      </c>
      <c r="AJ281" s="76">
        <v>171</v>
      </c>
      <c r="AK281" s="76">
        <v>39</v>
      </c>
      <c r="AL281" s="76" t="b">
        <v>0</v>
      </c>
      <c r="AM281" s="78">
        <v>42986.448206018518</v>
      </c>
      <c r="AN281" s="76" t="s">
        <v>24188</v>
      </c>
      <c r="AO281" s="76" t="s">
        <v>24954</v>
      </c>
      <c r="AP281" s="76"/>
      <c r="AQ281" s="76"/>
      <c r="AR281" s="76"/>
      <c r="AS281" s="76"/>
      <c r="AT281" s="76"/>
      <c r="AU281" s="76"/>
      <c r="AV281" s="76"/>
      <c r="AW281" s="76"/>
      <c r="AX281" s="76" t="b">
        <v>0</v>
      </c>
      <c r="AY281" s="76"/>
      <c r="AZ281" s="76"/>
      <c r="BA281" s="76" t="b">
        <v>0</v>
      </c>
      <c r="BB281" s="76" t="b">
        <v>1</v>
      </c>
      <c r="BC281" s="76" t="b">
        <v>0</v>
      </c>
      <c r="BD281" s="76" t="b">
        <v>0</v>
      </c>
      <c r="BE281" s="76" t="b">
        <v>1</v>
      </c>
      <c r="BF281" s="76" t="b">
        <v>0</v>
      </c>
      <c r="BG281" s="76" t="b">
        <v>0</v>
      </c>
      <c r="BH281" s="76"/>
      <c r="BI281" s="76"/>
      <c r="BJ281" s="76" t="s">
        <v>27595</v>
      </c>
      <c r="BK281" s="76" t="b">
        <v>0</v>
      </c>
      <c r="BL281" s="76"/>
      <c r="BM281" s="76" t="s">
        <v>66</v>
      </c>
      <c r="BN281" s="76" t="s">
        <v>27597</v>
      </c>
      <c r="BO281" s="82" t="str">
        <f>HYPERLINK("https://twitter.com/camisaez4")</f>
        <v>https://twitter.com/camisaez4</v>
      </c>
      <c r="BP281" s="2"/>
    </row>
    <row r="282" spans="1:68" x14ac:dyDescent="0.25">
      <c r="A282" s="62" t="s">
        <v>1752</v>
      </c>
      <c r="B282" s="63"/>
      <c r="C282" s="63"/>
      <c r="D282" s="64"/>
      <c r="E282" s="66"/>
      <c r="F282" s="103" t="str">
        <f>HYPERLINK("https://pbs.twimg.com/profile_images/1704505629480525824/fUT_c8Ab_normal.jpg")</f>
        <v>https://pbs.twimg.com/profile_images/1704505629480525824/fUT_c8Ab_normal.jpg</v>
      </c>
      <c r="G282" s="63"/>
      <c r="H282" s="67"/>
      <c r="I282" s="68"/>
      <c r="J282" s="68"/>
      <c r="K282" s="67" t="s">
        <v>27876</v>
      </c>
      <c r="L282" s="71"/>
      <c r="M282" s="72"/>
      <c r="N282" s="72"/>
      <c r="O282" s="73"/>
      <c r="P282" s="74"/>
      <c r="Q282" s="74"/>
      <c r="R282" s="87"/>
      <c r="S282" s="87"/>
      <c r="T282" s="87"/>
      <c r="U282" s="87"/>
      <c r="V282" s="48"/>
      <c r="W282" s="48"/>
      <c r="X282" s="48"/>
      <c r="Y282" s="48"/>
      <c r="Z282" s="47"/>
      <c r="AA282" s="69">
        <v>282</v>
      </c>
      <c r="AB282" s="69"/>
      <c r="AC282" s="70"/>
      <c r="AD282" s="76" t="s">
        <v>21525</v>
      </c>
      <c r="AE282" s="81" t="s">
        <v>20237</v>
      </c>
      <c r="AF282" s="76">
        <v>296903</v>
      </c>
      <c r="AG282" s="76">
        <v>4602</v>
      </c>
      <c r="AH282" s="76">
        <v>77514</v>
      </c>
      <c r="AI282" s="76">
        <v>1187</v>
      </c>
      <c r="AJ282" s="76">
        <v>30184</v>
      </c>
      <c r="AK282" s="76">
        <v>22434</v>
      </c>
      <c r="AL282" s="76" t="b">
        <v>0</v>
      </c>
      <c r="AM282" s="78">
        <v>39443.921412037038</v>
      </c>
      <c r="AN282" s="76" t="s">
        <v>14386</v>
      </c>
      <c r="AO282" s="76" t="s">
        <v>24955</v>
      </c>
      <c r="AP282" s="82" t="str">
        <f>HYPERLINK("https://t.co/zjB2swepeq")</f>
        <v>https://t.co/zjB2swepeq</v>
      </c>
      <c r="AQ282" s="82" t="str">
        <f>HYPERLINK("http://www.cultura.gob.cl")</f>
        <v>http://www.cultura.gob.cl</v>
      </c>
      <c r="AR282" s="76" t="s">
        <v>26507</v>
      </c>
      <c r="AS282" s="76"/>
      <c r="AT282" s="76"/>
      <c r="AU282" s="76"/>
      <c r="AV282" s="76">
        <v>1.69771918301696E+18</v>
      </c>
      <c r="AW282" s="82" t="str">
        <f>HYPERLINK("https://t.co/zjB2swepeq")</f>
        <v>https://t.co/zjB2swepeq</v>
      </c>
      <c r="AX282" s="76" t="b">
        <v>0</v>
      </c>
      <c r="AY282" s="76"/>
      <c r="AZ282" s="76"/>
      <c r="BA282" s="76" t="b">
        <v>1</v>
      </c>
      <c r="BB282" s="76" t="b">
        <v>1</v>
      </c>
      <c r="BC282" s="76" t="b">
        <v>0</v>
      </c>
      <c r="BD282" s="76" t="b">
        <v>0</v>
      </c>
      <c r="BE282" s="76" t="b">
        <v>1</v>
      </c>
      <c r="BF282" s="76" t="b">
        <v>0</v>
      </c>
      <c r="BG282" s="76" t="b">
        <v>0</v>
      </c>
      <c r="BH282" s="82" t="str">
        <f>HYPERLINK("https://pbs.twimg.com/profile_banners/11581562/1695220774")</f>
        <v>https://pbs.twimg.com/profile_banners/11581562/1695220774</v>
      </c>
      <c r="BI282" s="76"/>
      <c r="BJ282" s="76" t="s">
        <v>27595</v>
      </c>
      <c r="BK282" s="76" t="b">
        <v>0</v>
      </c>
      <c r="BL282" s="76"/>
      <c r="BM282" s="76" t="s">
        <v>65</v>
      </c>
      <c r="BN282" s="76" t="s">
        <v>27597</v>
      </c>
      <c r="BO282" s="82" t="str">
        <f>HYPERLINK("https://twitter.com/culturas_cl")</f>
        <v>https://twitter.com/culturas_cl</v>
      </c>
      <c r="BP282" s="2"/>
    </row>
    <row r="283" spans="1:68" x14ac:dyDescent="0.25">
      <c r="A283" s="62" t="s">
        <v>418</v>
      </c>
      <c r="B283" s="63"/>
      <c r="C283" s="63"/>
      <c r="D283" s="64"/>
      <c r="E283" s="66"/>
      <c r="F283" s="103" t="str">
        <f>HYPERLINK("https://pbs.twimg.com/profile_images/1477725477850783750/DVygjO5R_normal.jpg")</f>
        <v>https://pbs.twimg.com/profile_images/1477725477850783750/DVygjO5R_normal.jpg</v>
      </c>
      <c r="G283" s="63"/>
      <c r="H283" s="67"/>
      <c r="I283" s="68"/>
      <c r="J283" s="68"/>
      <c r="K283" s="67" t="s">
        <v>27877</v>
      </c>
      <c r="L283" s="71"/>
      <c r="M283" s="72"/>
      <c r="N283" s="72"/>
      <c r="O283" s="73"/>
      <c r="P283" s="74"/>
      <c r="Q283" s="74"/>
      <c r="R283" s="87"/>
      <c r="S283" s="87"/>
      <c r="T283" s="87"/>
      <c r="U283" s="87"/>
      <c r="V283" s="48"/>
      <c r="W283" s="48"/>
      <c r="X283" s="48"/>
      <c r="Y283" s="48"/>
      <c r="Z283" s="47"/>
      <c r="AA283" s="69">
        <v>283</v>
      </c>
      <c r="AB283" s="69"/>
      <c r="AC283" s="70"/>
      <c r="AD283" s="76" t="s">
        <v>21526</v>
      </c>
      <c r="AE283" s="81" t="s">
        <v>20238</v>
      </c>
      <c r="AF283" s="76">
        <v>856325</v>
      </c>
      <c r="AG283" s="76">
        <v>148</v>
      </c>
      <c r="AH283" s="76">
        <v>640387</v>
      </c>
      <c r="AI283" s="76">
        <v>3143</v>
      </c>
      <c r="AJ283" s="76">
        <v>43913</v>
      </c>
      <c r="AK283" s="76">
        <v>60908</v>
      </c>
      <c r="AL283" s="76" t="b">
        <v>0</v>
      </c>
      <c r="AM283" s="78">
        <v>40400.970682870371</v>
      </c>
      <c r="AN283" s="76" t="s">
        <v>24114</v>
      </c>
      <c r="AO283" s="76" t="s">
        <v>24956</v>
      </c>
      <c r="AP283" s="82" t="str">
        <f>HYPERLINK("http://t.co/HfJHRhgyyC")</f>
        <v>http://t.co/HfJHRhgyyC</v>
      </c>
      <c r="AQ283" s="82" t="str">
        <f>HYPERLINK("http://www.cronica.com.ar")</f>
        <v>http://www.cronica.com.ar</v>
      </c>
      <c r="AR283" s="76" t="s">
        <v>26508</v>
      </c>
      <c r="AS283" s="76"/>
      <c r="AT283" s="76"/>
      <c r="AU283" s="76"/>
      <c r="AV283" s="76"/>
      <c r="AW283" s="82" t="str">
        <f>HYPERLINK("http://t.co/HfJHRhgyyC")</f>
        <v>http://t.co/HfJHRhgyyC</v>
      </c>
      <c r="AX283" s="76" t="b">
        <v>1</v>
      </c>
      <c r="AY283" s="76"/>
      <c r="AZ283" s="76"/>
      <c r="BA283" s="76" t="b">
        <v>0</v>
      </c>
      <c r="BB283" s="76" t="b">
        <v>1</v>
      </c>
      <c r="BC283" s="76" t="b">
        <v>0</v>
      </c>
      <c r="BD283" s="76" t="b">
        <v>0</v>
      </c>
      <c r="BE283" s="76" t="b">
        <v>1</v>
      </c>
      <c r="BF283" s="76" t="b">
        <v>0</v>
      </c>
      <c r="BG283" s="76" t="b">
        <v>0</v>
      </c>
      <c r="BH283" s="82" t="str">
        <f>HYPERLINK("https://pbs.twimg.com/profile_banners/176979194/1562964202")</f>
        <v>https://pbs.twimg.com/profile_banners/176979194/1562964202</v>
      </c>
      <c r="BI283" s="76"/>
      <c r="BJ283" s="76" t="s">
        <v>27596</v>
      </c>
      <c r="BK283" s="76" t="b">
        <v>0</v>
      </c>
      <c r="BL283" s="76"/>
      <c r="BM283" s="76" t="s">
        <v>66</v>
      </c>
      <c r="BN283" s="76" t="s">
        <v>27597</v>
      </c>
      <c r="BO283" s="82" t="str">
        <f>HYPERLINK("https://twitter.com/cronica")</f>
        <v>https://twitter.com/cronica</v>
      </c>
      <c r="BP283" s="2"/>
    </row>
    <row r="284" spans="1:68" x14ac:dyDescent="0.25">
      <c r="A284" s="62" t="s">
        <v>419</v>
      </c>
      <c r="B284" s="63"/>
      <c r="C284" s="63"/>
      <c r="D284" s="64"/>
      <c r="E284" s="66"/>
      <c r="F284" s="103" t="str">
        <f>HYPERLINK("https://pbs.twimg.com/profile_images/1077602275512762369/-WONTgJ6_normal.jpg")</f>
        <v>https://pbs.twimg.com/profile_images/1077602275512762369/-WONTgJ6_normal.jpg</v>
      </c>
      <c r="G284" s="63"/>
      <c r="H284" s="67"/>
      <c r="I284" s="68"/>
      <c r="J284" s="68"/>
      <c r="K284" s="67" t="s">
        <v>27878</v>
      </c>
      <c r="L284" s="71"/>
      <c r="M284" s="72"/>
      <c r="N284" s="72"/>
      <c r="O284" s="73"/>
      <c r="P284" s="74"/>
      <c r="Q284" s="74"/>
      <c r="R284" s="87"/>
      <c r="S284" s="87"/>
      <c r="T284" s="87"/>
      <c r="U284" s="87"/>
      <c r="V284" s="48"/>
      <c r="W284" s="48"/>
      <c r="X284" s="48"/>
      <c r="Y284" s="48"/>
      <c r="Z284" s="47"/>
      <c r="AA284" s="69">
        <v>284</v>
      </c>
      <c r="AB284" s="69"/>
      <c r="AC284" s="70"/>
      <c r="AD284" s="76" t="s">
        <v>21527</v>
      </c>
      <c r="AE284" s="81" t="s">
        <v>20592</v>
      </c>
      <c r="AF284" s="76">
        <v>3016</v>
      </c>
      <c r="AG284" s="76">
        <v>2578</v>
      </c>
      <c r="AH284" s="76">
        <v>144340</v>
      </c>
      <c r="AI284" s="76">
        <v>129</v>
      </c>
      <c r="AJ284" s="76">
        <v>112123</v>
      </c>
      <c r="AK284" s="76">
        <v>4395</v>
      </c>
      <c r="AL284" s="76" t="b">
        <v>0</v>
      </c>
      <c r="AM284" s="78">
        <v>42584.698645833334</v>
      </c>
      <c r="AN284" s="76" t="s">
        <v>24189</v>
      </c>
      <c r="AO284" s="76" t="s">
        <v>24957</v>
      </c>
      <c r="AP284" s="76"/>
      <c r="AQ284" s="76"/>
      <c r="AR284" s="76"/>
      <c r="AS284" s="76"/>
      <c r="AT284" s="76"/>
      <c r="AU284" s="76"/>
      <c r="AV284" s="76">
        <v>1.21935684194113E+18</v>
      </c>
      <c r="AW284" s="76"/>
      <c r="AX284" s="76" t="b">
        <v>0</v>
      </c>
      <c r="AY284" s="76"/>
      <c r="AZ284" s="76"/>
      <c r="BA284" s="76" t="b">
        <v>0</v>
      </c>
      <c r="BB284" s="76" t="b">
        <v>1</v>
      </c>
      <c r="BC284" s="76" t="b">
        <v>1</v>
      </c>
      <c r="BD284" s="76" t="b">
        <v>0</v>
      </c>
      <c r="BE284" s="76" t="b">
        <v>0</v>
      </c>
      <c r="BF284" s="76" t="b">
        <v>0</v>
      </c>
      <c r="BG284" s="76" t="b">
        <v>0</v>
      </c>
      <c r="BH284" s="82" t="str">
        <f>HYPERLINK("https://pbs.twimg.com/profile_banners/760517027052199937/1568248366")</f>
        <v>https://pbs.twimg.com/profile_banners/760517027052199937/1568248366</v>
      </c>
      <c r="BI284" s="76"/>
      <c r="BJ284" s="76" t="s">
        <v>27595</v>
      </c>
      <c r="BK284" s="76" t="b">
        <v>0</v>
      </c>
      <c r="BL284" s="76"/>
      <c r="BM284" s="76" t="s">
        <v>66</v>
      </c>
      <c r="BN284" s="76" t="s">
        <v>27597</v>
      </c>
      <c r="BO284" s="82" t="str">
        <f>HYPERLINK("https://twitter.com/eldaka22")</f>
        <v>https://twitter.com/eldaka22</v>
      </c>
      <c r="BP284" s="2"/>
    </row>
    <row r="285" spans="1:68" x14ac:dyDescent="0.25">
      <c r="A285" s="62" t="s">
        <v>420</v>
      </c>
      <c r="B285" s="63"/>
      <c r="C285" s="63"/>
      <c r="D285" s="64"/>
      <c r="E285" s="66"/>
      <c r="F285" s="103" t="str">
        <f>HYPERLINK("https://pbs.twimg.com/profile_images/1615391011059933185/lH32rvQq_normal.jpg")</f>
        <v>https://pbs.twimg.com/profile_images/1615391011059933185/lH32rvQq_normal.jpg</v>
      </c>
      <c r="G285" s="63"/>
      <c r="H285" s="67"/>
      <c r="I285" s="68"/>
      <c r="J285" s="68"/>
      <c r="K285" s="67" t="s">
        <v>27879</v>
      </c>
      <c r="L285" s="71"/>
      <c r="M285" s="72"/>
      <c r="N285" s="72"/>
      <c r="O285" s="73"/>
      <c r="P285" s="74"/>
      <c r="Q285" s="74"/>
      <c r="R285" s="87"/>
      <c r="S285" s="87"/>
      <c r="T285" s="87"/>
      <c r="U285" s="87"/>
      <c r="V285" s="48"/>
      <c r="W285" s="48"/>
      <c r="X285" s="48"/>
      <c r="Y285" s="48"/>
      <c r="Z285" s="47"/>
      <c r="AA285" s="69">
        <v>285</v>
      </c>
      <c r="AB285" s="69"/>
      <c r="AC285" s="70"/>
      <c r="AD285" s="76" t="s">
        <v>21528</v>
      </c>
      <c r="AE285" s="81" t="s">
        <v>23209</v>
      </c>
      <c r="AF285" s="76">
        <v>1701438</v>
      </c>
      <c r="AG285" s="76">
        <v>407</v>
      </c>
      <c r="AH285" s="76">
        <v>530599</v>
      </c>
      <c r="AI285" s="76">
        <v>3174</v>
      </c>
      <c r="AJ285" s="76">
        <v>1886</v>
      </c>
      <c r="AK285" s="76">
        <v>111127</v>
      </c>
      <c r="AL285" s="76" t="b">
        <v>0</v>
      </c>
      <c r="AM285" s="78">
        <v>40004.869629629633</v>
      </c>
      <c r="AN285" s="76" t="s">
        <v>24063</v>
      </c>
      <c r="AO285" s="76" t="s">
        <v>24958</v>
      </c>
      <c r="AP285" s="82" t="str">
        <f>HYPERLINK("https://t.co/KxIw2ptcck")</f>
        <v>https://t.co/KxIw2ptcck</v>
      </c>
      <c r="AQ285" s="82" t="str">
        <f>HYPERLINK("http://www.noticiassin.com")</f>
        <v>http://www.noticiassin.com</v>
      </c>
      <c r="AR285" s="76" t="s">
        <v>8665</v>
      </c>
      <c r="AS285" s="76"/>
      <c r="AT285" s="76"/>
      <c r="AU285" s="76"/>
      <c r="AV285" s="76"/>
      <c r="AW285" s="82" t="str">
        <f>HYPERLINK("https://t.co/KxIw2ptcck")</f>
        <v>https://t.co/KxIw2ptcck</v>
      </c>
      <c r="AX285" s="76" t="b">
        <v>1</v>
      </c>
      <c r="AY285" s="76"/>
      <c r="AZ285" s="76"/>
      <c r="BA285" s="76" t="b">
        <v>0</v>
      </c>
      <c r="BB285" s="76" t="b">
        <v>1</v>
      </c>
      <c r="BC285" s="76" t="b">
        <v>0</v>
      </c>
      <c r="BD285" s="76" t="b">
        <v>0</v>
      </c>
      <c r="BE285" s="76" t="b">
        <v>1</v>
      </c>
      <c r="BF285" s="76" t="b">
        <v>0</v>
      </c>
      <c r="BG285" s="76" t="b">
        <v>0</v>
      </c>
      <c r="BH285" s="82" t="str">
        <f>HYPERLINK("https://pbs.twimg.com/profile_banners/55660696/1488811208")</f>
        <v>https://pbs.twimg.com/profile_banners/55660696/1488811208</v>
      </c>
      <c r="BI285" s="76"/>
      <c r="BJ285" s="76" t="s">
        <v>27595</v>
      </c>
      <c r="BK285" s="76" t="b">
        <v>0</v>
      </c>
      <c r="BL285" s="76"/>
      <c r="BM285" s="76" t="s">
        <v>66</v>
      </c>
      <c r="BN285" s="76" t="s">
        <v>27597</v>
      </c>
      <c r="BO285" s="82" t="str">
        <f>HYPERLINK("https://twitter.com/sin24horas")</f>
        <v>https://twitter.com/sin24horas</v>
      </c>
      <c r="BP285" s="2"/>
    </row>
    <row r="286" spans="1:68" x14ac:dyDescent="0.25">
      <c r="A286" s="62" t="s">
        <v>1753</v>
      </c>
      <c r="B286" s="63"/>
      <c r="C286" s="63"/>
      <c r="D286" s="64"/>
      <c r="E286" s="66"/>
      <c r="F286" s="103" t="str">
        <f>HYPERLINK("https://pbs.twimg.com/profile_images/567812038554955776/WuFqmhGI_normal.png")</f>
        <v>https://pbs.twimg.com/profile_images/567812038554955776/WuFqmhGI_normal.png</v>
      </c>
      <c r="G286" s="63"/>
      <c r="H286" s="67"/>
      <c r="I286" s="68"/>
      <c r="J286" s="68"/>
      <c r="K286" s="67" t="s">
        <v>27880</v>
      </c>
      <c r="L286" s="71"/>
      <c r="M286" s="72"/>
      <c r="N286" s="72"/>
      <c r="O286" s="73"/>
      <c r="P286" s="74"/>
      <c r="Q286" s="74"/>
      <c r="R286" s="87"/>
      <c r="S286" s="87"/>
      <c r="T286" s="87"/>
      <c r="U286" s="87"/>
      <c r="V286" s="48"/>
      <c r="W286" s="48"/>
      <c r="X286" s="48"/>
      <c r="Y286" s="48"/>
      <c r="Z286" s="47"/>
      <c r="AA286" s="69">
        <v>286</v>
      </c>
      <c r="AB286" s="69"/>
      <c r="AC286" s="70"/>
      <c r="AD286" s="76" t="s">
        <v>21529</v>
      </c>
      <c r="AE286" s="81" t="s">
        <v>23210</v>
      </c>
      <c r="AF286" s="76">
        <v>1243680</v>
      </c>
      <c r="AG286" s="76">
        <v>238</v>
      </c>
      <c r="AH286" s="76">
        <v>40053</v>
      </c>
      <c r="AI286" s="76">
        <v>1805</v>
      </c>
      <c r="AJ286" s="76">
        <v>133</v>
      </c>
      <c r="AK286" s="76">
        <v>395</v>
      </c>
      <c r="AL286" s="76" t="b">
        <v>0</v>
      </c>
      <c r="AM286" s="78">
        <v>40188.648900462962</v>
      </c>
      <c r="AN286" s="76" t="s">
        <v>14381</v>
      </c>
      <c r="AO286" s="76" t="s">
        <v>24959</v>
      </c>
      <c r="AP286" s="82" t="str">
        <f>HYPERLINK("https://t.co/DTByFv6gRW")</f>
        <v>https://t.co/DTByFv6gRW</v>
      </c>
      <c r="AQ286" s="82" t="str">
        <f>HYPERLINK("http://www.noticiassin.com")</f>
        <v>http://www.noticiassin.com</v>
      </c>
      <c r="AR286" s="76" t="s">
        <v>8665</v>
      </c>
      <c r="AS286" s="76"/>
      <c r="AT286" s="76"/>
      <c r="AU286" s="76"/>
      <c r="AV286" s="76"/>
      <c r="AW286" s="82" t="str">
        <f>HYPERLINK("https://t.co/DTByFv6gRW")</f>
        <v>https://t.co/DTByFv6gRW</v>
      </c>
      <c r="AX286" s="76" t="b">
        <v>1</v>
      </c>
      <c r="AY286" s="76"/>
      <c r="AZ286" s="76"/>
      <c r="BA286" s="76" t="b">
        <v>0</v>
      </c>
      <c r="BB286" s="76" t="b">
        <v>1</v>
      </c>
      <c r="BC286" s="76" t="b">
        <v>0</v>
      </c>
      <c r="BD286" s="76" t="b">
        <v>0</v>
      </c>
      <c r="BE286" s="76" t="b">
        <v>1</v>
      </c>
      <c r="BF286" s="76" t="b">
        <v>0</v>
      </c>
      <c r="BG286" s="76" t="b">
        <v>0</v>
      </c>
      <c r="BH286" s="82" t="str">
        <f>HYPERLINK("https://pbs.twimg.com/profile_banners/103594902/1424211884")</f>
        <v>https://pbs.twimg.com/profile_banners/103594902/1424211884</v>
      </c>
      <c r="BI286" s="76"/>
      <c r="BJ286" s="76" t="s">
        <v>27595</v>
      </c>
      <c r="BK286" s="76" t="b">
        <v>0</v>
      </c>
      <c r="BL286" s="76"/>
      <c r="BM286" s="76" t="s">
        <v>65</v>
      </c>
      <c r="BN286" s="76" t="s">
        <v>27597</v>
      </c>
      <c r="BO286" s="82" t="str">
        <f>HYPERLINK("https://twitter.com/aliciaortegah")</f>
        <v>https://twitter.com/aliciaortegah</v>
      </c>
      <c r="BP286" s="2"/>
    </row>
    <row r="287" spans="1:68" x14ac:dyDescent="0.25">
      <c r="A287" s="62" t="s">
        <v>1754</v>
      </c>
      <c r="B287" s="63"/>
      <c r="C287" s="63"/>
      <c r="D287" s="64"/>
      <c r="E287" s="66"/>
      <c r="F287" s="103" t="str">
        <f>HYPERLINK("https://pbs.twimg.com/profile_images/1647714856634548228/FpohcWi1_normal.jpg")</f>
        <v>https://pbs.twimg.com/profile_images/1647714856634548228/FpohcWi1_normal.jpg</v>
      </c>
      <c r="G287" s="63"/>
      <c r="H287" s="67"/>
      <c r="I287" s="68"/>
      <c r="J287" s="68"/>
      <c r="K287" s="67" t="s">
        <v>27881</v>
      </c>
      <c r="L287" s="71"/>
      <c r="M287" s="72"/>
      <c r="N287" s="72"/>
      <c r="O287" s="73"/>
      <c r="P287" s="74"/>
      <c r="Q287" s="74"/>
      <c r="R287" s="87"/>
      <c r="S287" s="87"/>
      <c r="T287" s="87"/>
      <c r="U287" s="87"/>
      <c r="V287" s="48"/>
      <c r="W287" s="48"/>
      <c r="X287" s="48"/>
      <c r="Y287" s="48"/>
      <c r="Z287" s="47"/>
      <c r="AA287" s="69">
        <v>287</v>
      </c>
      <c r="AB287" s="69"/>
      <c r="AC287" s="70"/>
      <c r="AD287" s="76" t="s">
        <v>21530</v>
      </c>
      <c r="AE287" s="81" t="s">
        <v>23211</v>
      </c>
      <c r="AF287" s="76">
        <v>12565</v>
      </c>
      <c r="AG287" s="76">
        <v>2638</v>
      </c>
      <c r="AH287" s="76">
        <v>23652</v>
      </c>
      <c r="AI287" s="76">
        <v>48</v>
      </c>
      <c r="AJ287" s="76">
        <v>7649</v>
      </c>
      <c r="AK287" s="76">
        <v>2606</v>
      </c>
      <c r="AL287" s="76" t="b">
        <v>0</v>
      </c>
      <c r="AM287" s="78">
        <v>40339.196412037039</v>
      </c>
      <c r="AN287" s="76" t="s">
        <v>24190</v>
      </c>
      <c r="AO287" s="76" t="s">
        <v>24960</v>
      </c>
      <c r="AP287" s="82" t="str">
        <f>HYPERLINK("https://t.co/BwQqqCnuj3")</f>
        <v>https://t.co/BwQqqCnuj3</v>
      </c>
      <c r="AQ287" s="82" t="str">
        <f>HYPERLINK("https://www.threads.net/@viktorbautista")</f>
        <v>https://www.threads.net/@viktorbautista</v>
      </c>
      <c r="AR287" s="76" t="s">
        <v>26509</v>
      </c>
      <c r="AS287" s="76"/>
      <c r="AT287" s="76"/>
      <c r="AU287" s="76"/>
      <c r="AV287" s="76">
        <v>1.7073185825252101E+18</v>
      </c>
      <c r="AW287" s="82" t="str">
        <f>HYPERLINK("https://t.co/BwQqqCnuj3")</f>
        <v>https://t.co/BwQqqCnuj3</v>
      </c>
      <c r="AX287" s="76" t="b">
        <v>0</v>
      </c>
      <c r="AY287" s="76"/>
      <c r="AZ287" s="76"/>
      <c r="BA287" s="76" t="b">
        <v>0</v>
      </c>
      <c r="BB287" s="76" t="b">
        <v>0</v>
      </c>
      <c r="BC287" s="76" t="b">
        <v>0</v>
      </c>
      <c r="BD287" s="76" t="b">
        <v>0</v>
      </c>
      <c r="BE287" s="76" t="b">
        <v>1</v>
      </c>
      <c r="BF287" s="76" t="b">
        <v>0</v>
      </c>
      <c r="BG287" s="76" t="b">
        <v>0</v>
      </c>
      <c r="BH287" s="82" t="str">
        <f>HYPERLINK("https://pbs.twimg.com/profile_banners/154021571/1650983042")</f>
        <v>https://pbs.twimg.com/profile_banners/154021571/1650983042</v>
      </c>
      <c r="BI287" s="76"/>
      <c r="BJ287" s="76" t="s">
        <v>27595</v>
      </c>
      <c r="BK287" s="76" t="b">
        <v>0</v>
      </c>
      <c r="BL287" s="76"/>
      <c r="BM287" s="76" t="s">
        <v>65</v>
      </c>
      <c r="BN287" s="76" t="s">
        <v>27597</v>
      </c>
      <c r="BO287" s="82" t="str">
        <f>HYPERLINK("https://twitter.com/viktorbautista")</f>
        <v>https://twitter.com/viktorbautista</v>
      </c>
      <c r="BP287" s="2"/>
    </row>
    <row r="288" spans="1:68" x14ac:dyDescent="0.25">
      <c r="A288" s="62" t="s">
        <v>421</v>
      </c>
      <c r="B288" s="63"/>
      <c r="C288" s="63"/>
      <c r="D288" s="64"/>
      <c r="E288" s="66"/>
      <c r="F288" s="103" t="str">
        <f>HYPERLINK("https://pbs.twimg.com/profile_images/1585689878083272713/F0oWl0AK_normal.png")</f>
        <v>https://pbs.twimg.com/profile_images/1585689878083272713/F0oWl0AK_normal.png</v>
      </c>
      <c r="G288" s="63"/>
      <c r="H288" s="67"/>
      <c r="I288" s="68"/>
      <c r="J288" s="68"/>
      <c r="K288" s="67" t="s">
        <v>27882</v>
      </c>
      <c r="L288" s="71"/>
      <c r="M288" s="72"/>
      <c r="N288" s="72"/>
      <c r="O288" s="73"/>
      <c r="P288" s="74"/>
      <c r="Q288" s="74"/>
      <c r="R288" s="87"/>
      <c r="S288" s="87"/>
      <c r="T288" s="87"/>
      <c r="U288" s="87"/>
      <c r="V288" s="48"/>
      <c r="W288" s="48"/>
      <c r="X288" s="48"/>
      <c r="Y288" s="48"/>
      <c r="Z288" s="47"/>
      <c r="AA288" s="69">
        <v>288</v>
      </c>
      <c r="AB288" s="69"/>
      <c r="AC288" s="70"/>
      <c r="AD288" s="76" t="s">
        <v>21531</v>
      </c>
      <c r="AE288" s="81" t="s">
        <v>20593</v>
      </c>
      <c r="AF288" s="76">
        <v>729</v>
      </c>
      <c r="AG288" s="76">
        <v>1027</v>
      </c>
      <c r="AH288" s="76">
        <v>17008</v>
      </c>
      <c r="AI288" s="76">
        <v>0</v>
      </c>
      <c r="AJ288" s="76">
        <v>15041</v>
      </c>
      <c r="AK288" s="76">
        <v>182</v>
      </c>
      <c r="AL288" s="76" t="b">
        <v>0</v>
      </c>
      <c r="AM288" s="78">
        <v>44861.7419212963</v>
      </c>
      <c r="AN288" s="76"/>
      <c r="AO288" s="76"/>
      <c r="AP288" s="76"/>
      <c r="AQ288" s="76"/>
      <c r="AR288" s="76"/>
      <c r="AS288" s="76"/>
      <c r="AT288" s="76"/>
      <c r="AU288" s="76"/>
      <c r="AV288" s="76"/>
      <c r="AW288" s="76"/>
      <c r="AX288" s="76" t="b">
        <v>0</v>
      </c>
      <c r="AY288" s="76"/>
      <c r="AZ288" s="76"/>
      <c r="BA288" s="76" t="b">
        <v>0</v>
      </c>
      <c r="BB288" s="76" t="b">
        <v>1</v>
      </c>
      <c r="BC288" s="76" t="b">
        <v>1</v>
      </c>
      <c r="BD288" s="76" t="b">
        <v>0</v>
      </c>
      <c r="BE288" s="76" t="b">
        <v>0</v>
      </c>
      <c r="BF288" s="76" t="b">
        <v>0</v>
      </c>
      <c r="BG288" s="76" t="b">
        <v>0</v>
      </c>
      <c r="BH288" s="76"/>
      <c r="BI288" s="76"/>
      <c r="BJ288" s="76" t="s">
        <v>27595</v>
      </c>
      <c r="BK288" s="76" t="b">
        <v>0</v>
      </c>
      <c r="BL288" s="76"/>
      <c r="BM288" s="76" t="s">
        <v>66</v>
      </c>
      <c r="BN288" s="76" t="s">
        <v>27597</v>
      </c>
      <c r="BO288" s="82" t="str">
        <f>HYPERLINK("https://twitter.com/ronaldo63238623")</f>
        <v>https://twitter.com/ronaldo63238623</v>
      </c>
      <c r="BP288" s="2"/>
    </row>
    <row r="289" spans="1:68" x14ac:dyDescent="0.25">
      <c r="A289" s="62" t="s">
        <v>422</v>
      </c>
      <c r="B289" s="63"/>
      <c r="C289" s="63"/>
      <c r="D289" s="64"/>
      <c r="E289" s="66"/>
      <c r="F289" s="103" t="str">
        <f>HYPERLINK("https://pbs.twimg.com/profile_images/1413209016700919813/xL84kV9H_normal.jpg")</f>
        <v>https://pbs.twimg.com/profile_images/1413209016700919813/xL84kV9H_normal.jpg</v>
      </c>
      <c r="G289" s="63"/>
      <c r="H289" s="67"/>
      <c r="I289" s="68"/>
      <c r="J289" s="68"/>
      <c r="K289" s="67" t="s">
        <v>27883</v>
      </c>
      <c r="L289" s="71"/>
      <c r="M289" s="72"/>
      <c r="N289" s="72"/>
      <c r="O289" s="73"/>
      <c r="P289" s="74"/>
      <c r="Q289" s="74"/>
      <c r="R289" s="87"/>
      <c r="S289" s="87"/>
      <c r="T289" s="87"/>
      <c r="U289" s="87"/>
      <c r="V289" s="48"/>
      <c r="W289" s="48"/>
      <c r="X289" s="48"/>
      <c r="Y289" s="48"/>
      <c r="Z289" s="47"/>
      <c r="AA289" s="69">
        <v>289</v>
      </c>
      <c r="AB289" s="69"/>
      <c r="AC289" s="70"/>
      <c r="AD289" s="76" t="s">
        <v>21532</v>
      </c>
      <c r="AE289" s="81" t="s">
        <v>20594</v>
      </c>
      <c r="AF289" s="76">
        <v>59</v>
      </c>
      <c r="AG289" s="76">
        <v>112</v>
      </c>
      <c r="AH289" s="76">
        <v>2516</v>
      </c>
      <c r="AI289" s="76">
        <v>0</v>
      </c>
      <c r="AJ289" s="76">
        <v>3399</v>
      </c>
      <c r="AK289" s="76">
        <v>117</v>
      </c>
      <c r="AL289" s="76" t="b">
        <v>0</v>
      </c>
      <c r="AM289" s="78">
        <v>44055.108263888891</v>
      </c>
      <c r="AN289" s="76" t="s">
        <v>24191</v>
      </c>
      <c r="AO289" s="76" t="s">
        <v>24961</v>
      </c>
      <c r="AP289" s="76"/>
      <c r="AQ289" s="76"/>
      <c r="AR289" s="76"/>
      <c r="AS289" s="76"/>
      <c r="AT289" s="76"/>
      <c r="AU289" s="76"/>
      <c r="AV289" s="76">
        <v>1.3574871014624E+18</v>
      </c>
      <c r="AW289" s="76"/>
      <c r="AX289" s="76" t="b">
        <v>0</v>
      </c>
      <c r="AY289" s="76"/>
      <c r="AZ289" s="76"/>
      <c r="BA289" s="76" t="b">
        <v>0</v>
      </c>
      <c r="BB289" s="76" t="b">
        <v>0</v>
      </c>
      <c r="BC289" s="76" t="b">
        <v>1</v>
      </c>
      <c r="BD289" s="76" t="b">
        <v>0</v>
      </c>
      <c r="BE289" s="76" t="b">
        <v>1</v>
      </c>
      <c r="BF289" s="76" t="b">
        <v>0</v>
      </c>
      <c r="BG289" s="76" t="b">
        <v>0</v>
      </c>
      <c r="BH289" s="82" t="str">
        <f>HYPERLINK("https://pbs.twimg.com/profile_banners/1293375569225232385/1597202322")</f>
        <v>https://pbs.twimg.com/profile_banners/1293375569225232385/1597202322</v>
      </c>
      <c r="BI289" s="76"/>
      <c r="BJ289" s="76" t="s">
        <v>27595</v>
      </c>
      <c r="BK289" s="76" t="b">
        <v>0</v>
      </c>
      <c r="BL289" s="76"/>
      <c r="BM289" s="76" t="s">
        <v>66</v>
      </c>
      <c r="BN289" s="76" t="s">
        <v>27597</v>
      </c>
      <c r="BO289" s="82" t="str">
        <f>HYPERLINK("https://twitter.com/celi_eugenia")</f>
        <v>https://twitter.com/celi_eugenia</v>
      </c>
      <c r="BP289" s="2"/>
    </row>
    <row r="290" spans="1:68" x14ac:dyDescent="0.25">
      <c r="A290" s="62" t="s">
        <v>423</v>
      </c>
      <c r="B290" s="63"/>
      <c r="C290" s="63"/>
      <c r="D290" s="64"/>
      <c r="E290" s="66"/>
      <c r="F290" s="103" t="str">
        <f>HYPERLINK("https://pbs.twimg.com/profile_images/1608581400659197952/HCpA1WzF_normal.jpg")</f>
        <v>https://pbs.twimg.com/profile_images/1608581400659197952/HCpA1WzF_normal.jpg</v>
      </c>
      <c r="G290" s="63"/>
      <c r="H290" s="67"/>
      <c r="I290" s="68"/>
      <c r="J290" s="68"/>
      <c r="K290" s="67" t="s">
        <v>27884</v>
      </c>
      <c r="L290" s="71"/>
      <c r="M290" s="72"/>
      <c r="N290" s="72"/>
      <c r="O290" s="73"/>
      <c r="P290" s="74"/>
      <c r="Q290" s="74"/>
      <c r="R290" s="87"/>
      <c r="S290" s="87"/>
      <c r="T290" s="87"/>
      <c r="U290" s="87"/>
      <c r="V290" s="48"/>
      <c r="W290" s="48"/>
      <c r="X290" s="48"/>
      <c r="Y290" s="48"/>
      <c r="Z290" s="47"/>
      <c r="AA290" s="69">
        <v>290</v>
      </c>
      <c r="AB290" s="69"/>
      <c r="AC290" s="70"/>
      <c r="AD290" s="76" t="s">
        <v>21533</v>
      </c>
      <c r="AE290" s="81" t="s">
        <v>20595</v>
      </c>
      <c r="AF290" s="76">
        <v>24</v>
      </c>
      <c r="AG290" s="76">
        <v>60</v>
      </c>
      <c r="AH290" s="76">
        <v>2449</v>
      </c>
      <c r="AI290" s="76">
        <v>0</v>
      </c>
      <c r="AJ290" s="76">
        <v>3</v>
      </c>
      <c r="AK290" s="76">
        <v>2396</v>
      </c>
      <c r="AL290" s="76" t="b">
        <v>0</v>
      </c>
      <c r="AM290" s="78">
        <v>44924.90824074074</v>
      </c>
      <c r="AN290" s="76"/>
      <c r="AO290" s="76" t="s">
        <v>24962</v>
      </c>
      <c r="AP290" s="82" t="str">
        <f>HYPERLINK("https://t.co/T0CIN3Im8I")</f>
        <v>https://t.co/T0CIN3Im8I</v>
      </c>
      <c r="AQ290" s="82" t="str">
        <f>HYPERLINK("http://www.regioncultural.com.ar")</f>
        <v>http://www.regioncultural.com.ar</v>
      </c>
      <c r="AR290" s="76" t="s">
        <v>26510</v>
      </c>
      <c r="AS290" s="76"/>
      <c r="AT290" s="76"/>
      <c r="AU290" s="76"/>
      <c r="AV290" s="76"/>
      <c r="AW290" s="82" t="str">
        <f>HYPERLINK("https://t.co/T0CIN3Im8I")</f>
        <v>https://t.co/T0CIN3Im8I</v>
      </c>
      <c r="AX290" s="76" t="b">
        <v>0</v>
      </c>
      <c r="AY290" s="76"/>
      <c r="AZ290" s="76"/>
      <c r="BA290" s="76" t="b">
        <v>0</v>
      </c>
      <c r="BB290" s="76" t="b">
        <v>1</v>
      </c>
      <c r="BC290" s="76" t="b">
        <v>1</v>
      </c>
      <c r="BD290" s="76" t="b">
        <v>0</v>
      </c>
      <c r="BE290" s="76" t="b">
        <v>0</v>
      </c>
      <c r="BF290" s="76" t="b">
        <v>0</v>
      </c>
      <c r="BG290" s="76" t="b">
        <v>0</v>
      </c>
      <c r="BH290" s="82" t="str">
        <f>HYPERLINK("https://pbs.twimg.com/profile_banners/1608580477429989376/1688484204")</f>
        <v>https://pbs.twimg.com/profile_banners/1608580477429989376/1688484204</v>
      </c>
      <c r="BI290" s="76"/>
      <c r="BJ290" s="76" t="s">
        <v>27595</v>
      </c>
      <c r="BK290" s="76" t="b">
        <v>0</v>
      </c>
      <c r="BL290" s="76"/>
      <c r="BM290" s="76" t="s">
        <v>66</v>
      </c>
      <c r="BN290" s="76" t="s">
        <v>27597</v>
      </c>
      <c r="BO290" s="82" t="str">
        <f>HYPERLINK("https://twitter.com/rculturalok")</f>
        <v>https://twitter.com/rculturalok</v>
      </c>
      <c r="BP290" s="2"/>
    </row>
    <row r="291" spans="1:68" x14ac:dyDescent="0.25">
      <c r="A291" s="62" t="s">
        <v>424</v>
      </c>
      <c r="B291" s="63"/>
      <c r="C291" s="63"/>
      <c r="D291" s="64"/>
      <c r="E291" s="66"/>
      <c r="F291" s="103" t="str">
        <f>HYPERLINK("https://pbs.twimg.com/profile_images/1585224604531974144/8VxSk2PB_normal.jpg")</f>
        <v>https://pbs.twimg.com/profile_images/1585224604531974144/8VxSk2PB_normal.jpg</v>
      </c>
      <c r="G291" s="63"/>
      <c r="H291" s="67"/>
      <c r="I291" s="68"/>
      <c r="J291" s="68"/>
      <c r="K291" s="67" t="s">
        <v>27885</v>
      </c>
      <c r="L291" s="71"/>
      <c r="M291" s="72"/>
      <c r="N291" s="72"/>
      <c r="O291" s="73"/>
      <c r="P291" s="74"/>
      <c r="Q291" s="74"/>
      <c r="R291" s="87"/>
      <c r="S291" s="87"/>
      <c r="T291" s="87"/>
      <c r="U291" s="87"/>
      <c r="V291" s="48"/>
      <c r="W291" s="48"/>
      <c r="X291" s="48"/>
      <c r="Y291" s="48"/>
      <c r="Z291" s="47"/>
      <c r="AA291" s="69">
        <v>291</v>
      </c>
      <c r="AB291" s="69"/>
      <c r="AC291" s="70"/>
      <c r="AD291" s="76" t="s">
        <v>21534</v>
      </c>
      <c r="AE291" s="81" t="s">
        <v>23212</v>
      </c>
      <c r="AF291" s="76">
        <v>261</v>
      </c>
      <c r="AG291" s="76">
        <v>220</v>
      </c>
      <c r="AH291" s="76">
        <v>2440</v>
      </c>
      <c r="AI291" s="76">
        <v>6</v>
      </c>
      <c r="AJ291" s="76">
        <v>3309</v>
      </c>
      <c r="AK291" s="76">
        <v>56</v>
      </c>
      <c r="AL291" s="76" t="b">
        <v>0</v>
      </c>
      <c r="AM291" s="78">
        <v>40243.918217592596</v>
      </c>
      <c r="AN291" s="76" t="s">
        <v>24192</v>
      </c>
      <c r="AO291" s="76" t="s">
        <v>24963</v>
      </c>
      <c r="AP291" s="82" t="str">
        <f>HYPERLINK("https://t.co/xFFeKqAgtf")</f>
        <v>https://t.co/xFFeKqAgtf</v>
      </c>
      <c r="AQ291" s="82" t="str">
        <f>HYPERLINK("http://instagram.com/matheusblins")</f>
        <v>http://instagram.com/matheusblins</v>
      </c>
      <c r="AR291" s="76" t="s">
        <v>26511</v>
      </c>
      <c r="AS291" s="76"/>
      <c r="AT291" s="76"/>
      <c r="AU291" s="76"/>
      <c r="AV291" s="76"/>
      <c r="AW291" s="82" t="str">
        <f>HYPERLINK("https://t.co/xFFeKqAgtf")</f>
        <v>https://t.co/xFFeKqAgtf</v>
      </c>
      <c r="AX291" s="76" t="b">
        <v>0</v>
      </c>
      <c r="AY291" s="76"/>
      <c r="AZ291" s="76"/>
      <c r="BA291" s="76" t="b">
        <v>0</v>
      </c>
      <c r="BB291" s="76" t="b">
        <v>0</v>
      </c>
      <c r="BC291" s="76" t="b">
        <v>0</v>
      </c>
      <c r="BD291" s="76" t="b">
        <v>0</v>
      </c>
      <c r="BE291" s="76" t="b">
        <v>1</v>
      </c>
      <c r="BF291" s="76" t="b">
        <v>0</v>
      </c>
      <c r="BG291" s="76" t="b">
        <v>0</v>
      </c>
      <c r="BH291" s="82" t="str">
        <f>HYPERLINK("https://pbs.twimg.com/profile_banners/120577823/1666781984")</f>
        <v>https://pbs.twimg.com/profile_banners/120577823/1666781984</v>
      </c>
      <c r="BI291" s="76"/>
      <c r="BJ291" s="76" t="s">
        <v>27595</v>
      </c>
      <c r="BK291" s="76" t="b">
        <v>0</v>
      </c>
      <c r="BL291" s="76"/>
      <c r="BM291" s="76" t="s">
        <v>66</v>
      </c>
      <c r="BN291" s="76" t="s">
        <v>27597</v>
      </c>
      <c r="BO291" s="82" t="str">
        <f>HYPERLINK("https://twitter.com/matheuslins_")</f>
        <v>https://twitter.com/matheuslins_</v>
      </c>
      <c r="BP291" s="2"/>
    </row>
    <row r="292" spans="1:68" x14ac:dyDescent="0.25">
      <c r="A292" s="62" t="s">
        <v>425</v>
      </c>
      <c r="B292" s="63"/>
      <c r="C292" s="63"/>
      <c r="D292" s="64"/>
      <c r="E292" s="66"/>
      <c r="F292" s="103" t="str">
        <f>HYPERLINK("https://pbs.twimg.com/profile_images/1625207115466870807/w5pTS7fv_normal.jpg")</f>
        <v>https://pbs.twimg.com/profile_images/1625207115466870807/w5pTS7fv_normal.jpg</v>
      </c>
      <c r="G292" s="63"/>
      <c r="H292" s="67"/>
      <c r="I292" s="68"/>
      <c r="J292" s="68"/>
      <c r="K292" s="67" t="s">
        <v>27886</v>
      </c>
      <c r="L292" s="71"/>
      <c r="M292" s="72"/>
      <c r="N292" s="72"/>
      <c r="O292" s="73"/>
      <c r="P292" s="74"/>
      <c r="Q292" s="74"/>
      <c r="R292" s="87"/>
      <c r="S292" s="87"/>
      <c r="T292" s="87"/>
      <c r="U292" s="87"/>
      <c r="V292" s="48"/>
      <c r="W292" s="48"/>
      <c r="X292" s="48"/>
      <c r="Y292" s="48"/>
      <c r="Z292" s="47"/>
      <c r="AA292" s="69">
        <v>292</v>
      </c>
      <c r="AB292" s="69"/>
      <c r="AC292" s="70"/>
      <c r="AD292" s="76" t="s">
        <v>21535</v>
      </c>
      <c r="AE292" s="81" t="s">
        <v>23213</v>
      </c>
      <c r="AF292" s="76">
        <v>7721</v>
      </c>
      <c r="AG292" s="76">
        <v>568</v>
      </c>
      <c r="AH292" s="76">
        <v>27529</v>
      </c>
      <c r="AI292" s="76">
        <v>48</v>
      </c>
      <c r="AJ292" s="76">
        <v>18346</v>
      </c>
      <c r="AK292" s="76">
        <v>5606</v>
      </c>
      <c r="AL292" s="76" t="b">
        <v>0</v>
      </c>
      <c r="AM292" s="78">
        <v>40039.839224537034</v>
      </c>
      <c r="AN292" s="76" t="s">
        <v>24110</v>
      </c>
      <c r="AO292" s="76" t="s">
        <v>24964</v>
      </c>
      <c r="AP292" s="82" t="str">
        <f>HYPERLINK("https://t.co/3cGCHSQ0sx")</f>
        <v>https://t.co/3cGCHSQ0sx</v>
      </c>
      <c r="AQ292" s="82" t="str">
        <f>HYPERLINK("http://www.fenae.org.br")</f>
        <v>http://www.fenae.org.br</v>
      </c>
      <c r="AR292" s="76" t="s">
        <v>26512</v>
      </c>
      <c r="AS292" s="76"/>
      <c r="AT292" s="76"/>
      <c r="AU292" s="76"/>
      <c r="AV292" s="76"/>
      <c r="AW292" s="82" t="str">
        <f>HYPERLINK("https://t.co/3cGCHSQ0sx")</f>
        <v>https://t.co/3cGCHSQ0sx</v>
      </c>
      <c r="AX292" s="76" t="b">
        <v>0</v>
      </c>
      <c r="AY292" s="76"/>
      <c r="AZ292" s="76"/>
      <c r="BA292" s="76" t="b">
        <v>0</v>
      </c>
      <c r="BB292" s="76" t="b">
        <v>1</v>
      </c>
      <c r="BC292" s="76" t="b">
        <v>0</v>
      </c>
      <c r="BD292" s="76" t="b">
        <v>0</v>
      </c>
      <c r="BE292" s="76" t="b">
        <v>1</v>
      </c>
      <c r="BF292" s="76" t="b">
        <v>0</v>
      </c>
      <c r="BG292" s="76" t="b">
        <v>0</v>
      </c>
      <c r="BH292" s="82" t="str">
        <f>HYPERLINK("https://pbs.twimg.com/profile_banners/65722618/1676316061")</f>
        <v>https://pbs.twimg.com/profile_banners/65722618/1676316061</v>
      </c>
      <c r="BI292" s="76"/>
      <c r="BJ292" s="76" t="s">
        <v>27595</v>
      </c>
      <c r="BK292" s="76" t="b">
        <v>0</v>
      </c>
      <c r="BL292" s="76"/>
      <c r="BM292" s="76" t="s">
        <v>66</v>
      </c>
      <c r="BN292" s="76" t="s">
        <v>27597</v>
      </c>
      <c r="BO292" s="82" t="str">
        <f>HYPERLINK("https://twitter.com/fenaefederacao")</f>
        <v>https://twitter.com/fenaefederacao</v>
      </c>
      <c r="BP292" s="2"/>
    </row>
    <row r="293" spans="1:68" x14ac:dyDescent="0.25">
      <c r="A293" s="62" t="s">
        <v>426</v>
      </c>
      <c r="B293" s="63"/>
      <c r="C293" s="63"/>
      <c r="D293" s="64"/>
      <c r="E293" s="66"/>
      <c r="F293" s="103" t="str">
        <f>HYPERLINK("https://pbs.twimg.com/profile_images/1336148507724558337/QWPYpGUQ_normal.jpg")</f>
        <v>https://pbs.twimg.com/profile_images/1336148507724558337/QWPYpGUQ_normal.jpg</v>
      </c>
      <c r="G293" s="63"/>
      <c r="H293" s="67"/>
      <c r="I293" s="68"/>
      <c r="J293" s="68"/>
      <c r="K293" s="67" t="s">
        <v>27887</v>
      </c>
      <c r="L293" s="71"/>
      <c r="M293" s="72"/>
      <c r="N293" s="72"/>
      <c r="O293" s="73"/>
      <c r="P293" s="74"/>
      <c r="Q293" s="74"/>
      <c r="R293" s="87"/>
      <c r="S293" s="87"/>
      <c r="T293" s="87"/>
      <c r="U293" s="87"/>
      <c r="V293" s="48"/>
      <c r="W293" s="48"/>
      <c r="X293" s="48"/>
      <c r="Y293" s="48"/>
      <c r="Z293" s="47"/>
      <c r="AA293" s="69">
        <v>293</v>
      </c>
      <c r="AB293" s="69"/>
      <c r="AC293" s="70"/>
      <c r="AD293" s="76" t="s">
        <v>21536</v>
      </c>
      <c r="AE293" s="81" t="s">
        <v>20596</v>
      </c>
      <c r="AF293" s="76">
        <v>3</v>
      </c>
      <c r="AG293" s="76">
        <v>114</v>
      </c>
      <c r="AH293" s="76">
        <v>184</v>
      </c>
      <c r="AI293" s="76">
        <v>0</v>
      </c>
      <c r="AJ293" s="76">
        <v>507</v>
      </c>
      <c r="AK293" s="76">
        <v>10</v>
      </c>
      <c r="AL293" s="76" t="b">
        <v>0</v>
      </c>
      <c r="AM293" s="78">
        <v>43462.681435185186</v>
      </c>
      <c r="AN293" s="76"/>
      <c r="AO293" s="76" t="s">
        <v>24965</v>
      </c>
      <c r="AP293" s="76"/>
      <c r="AQ293" s="76"/>
      <c r="AR293" s="76"/>
      <c r="AS293" s="76"/>
      <c r="AT293" s="76"/>
      <c r="AU293" s="76"/>
      <c r="AV293" s="76"/>
      <c r="AW293" s="76"/>
      <c r="AX293" s="76" t="b">
        <v>0</v>
      </c>
      <c r="AY293" s="76"/>
      <c r="AZ293" s="76"/>
      <c r="BA293" s="76" t="b">
        <v>0</v>
      </c>
      <c r="BB293" s="76" t="b">
        <v>1</v>
      </c>
      <c r="BC293" s="76" t="b">
        <v>1</v>
      </c>
      <c r="BD293" s="76" t="b">
        <v>0</v>
      </c>
      <c r="BE293" s="76" t="b">
        <v>1</v>
      </c>
      <c r="BF293" s="76" t="b">
        <v>0</v>
      </c>
      <c r="BG293" s="76" t="b">
        <v>0</v>
      </c>
      <c r="BH293" s="82" t="str">
        <f>HYPERLINK("https://pbs.twimg.com/profile_banners/1078687333166313473/1607397605")</f>
        <v>https://pbs.twimg.com/profile_banners/1078687333166313473/1607397605</v>
      </c>
      <c r="BI293" s="76"/>
      <c r="BJ293" s="76" t="s">
        <v>27595</v>
      </c>
      <c r="BK293" s="76" t="b">
        <v>0</v>
      </c>
      <c r="BL293" s="76"/>
      <c r="BM293" s="76" t="s">
        <v>66</v>
      </c>
      <c r="BN293" s="76" t="s">
        <v>27597</v>
      </c>
      <c r="BO293" s="82" t="str">
        <f>HYPERLINK("https://twitter.com/mariste91302118")</f>
        <v>https://twitter.com/mariste91302118</v>
      </c>
      <c r="BP293" s="2"/>
    </row>
    <row r="294" spans="1:68" x14ac:dyDescent="0.25">
      <c r="A294" s="62" t="s">
        <v>427</v>
      </c>
      <c r="B294" s="63"/>
      <c r="C294" s="63"/>
      <c r="D294" s="64"/>
      <c r="E294" s="66"/>
      <c r="F294" s="103" t="str">
        <f>HYPERLINK("https://pbs.twimg.com/profile_images/1664667758187913217/Oz1LxmnZ_normal.jpg")</f>
        <v>https://pbs.twimg.com/profile_images/1664667758187913217/Oz1LxmnZ_normal.jpg</v>
      </c>
      <c r="G294" s="63"/>
      <c r="H294" s="67"/>
      <c r="I294" s="68"/>
      <c r="J294" s="68"/>
      <c r="K294" s="67" t="s">
        <v>27888</v>
      </c>
      <c r="L294" s="71"/>
      <c r="M294" s="72"/>
      <c r="N294" s="72"/>
      <c r="O294" s="73"/>
      <c r="P294" s="74"/>
      <c r="Q294" s="74"/>
      <c r="R294" s="87"/>
      <c r="S294" s="87"/>
      <c r="T294" s="87"/>
      <c r="U294" s="87"/>
      <c r="V294" s="48"/>
      <c r="W294" s="48"/>
      <c r="X294" s="48"/>
      <c r="Y294" s="48"/>
      <c r="Z294" s="47"/>
      <c r="AA294" s="69">
        <v>294</v>
      </c>
      <c r="AB294" s="69"/>
      <c r="AC294" s="70"/>
      <c r="AD294" s="76" t="s">
        <v>21537</v>
      </c>
      <c r="AE294" s="81" t="s">
        <v>23214</v>
      </c>
      <c r="AF294" s="76">
        <v>7019</v>
      </c>
      <c r="AG294" s="76">
        <v>2750</v>
      </c>
      <c r="AH294" s="76">
        <v>23715</v>
      </c>
      <c r="AI294" s="76">
        <v>126</v>
      </c>
      <c r="AJ294" s="76">
        <v>2909</v>
      </c>
      <c r="AK294" s="76">
        <v>1601</v>
      </c>
      <c r="AL294" s="76" t="b">
        <v>0</v>
      </c>
      <c r="AM294" s="78">
        <v>40339.990416666667</v>
      </c>
      <c r="AN294" s="76" t="s">
        <v>24193</v>
      </c>
      <c r="AO294" s="76" t="s">
        <v>24966</v>
      </c>
      <c r="AP294" s="82" t="str">
        <f>HYPERLINK("https://t.co/9Diks6pjws")</f>
        <v>https://t.co/9Diks6pjws</v>
      </c>
      <c r="AQ294" s="82" t="str">
        <f>HYPERLINK("http://www.josiasgomes.com.br")</f>
        <v>http://www.josiasgomes.com.br</v>
      </c>
      <c r="AR294" s="76" t="s">
        <v>26513</v>
      </c>
      <c r="AS294" s="82" t="str">
        <f>HYPERLINK("https://t.co/9Diks6pjws")</f>
        <v>https://t.co/9Diks6pjws</v>
      </c>
      <c r="AT294" s="82" t="str">
        <f>HYPERLINK("http://www.josiasgomes.com.br")</f>
        <v>http://www.josiasgomes.com.br</v>
      </c>
      <c r="AU294" s="76" t="s">
        <v>26513</v>
      </c>
      <c r="AV294" s="76"/>
      <c r="AW294" s="82" t="str">
        <f>HYPERLINK("https://t.co/9Diks6pjws")</f>
        <v>https://t.co/9Diks6pjws</v>
      </c>
      <c r="AX294" s="76" t="b">
        <v>0</v>
      </c>
      <c r="AY294" s="76"/>
      <c r="AZ294" s="76"/>
      <c r="BA294" s="76" t="b">
        <v>1</v>
      </c>
      <c r="BB294" s="76" t="b">
        <v>1</v>
      </c>
      <c r="BC294" s="76" t="b">
        <v>0</v>
      </c>
      <c r="BD294" s="76" t="b">
        <v>0</v>
      </c>
      <c r="BE294" s="76" t="b">
        <v>1</v>
      </c>
      <c r="BF294" s="76" t="b">
        <v>0</v>
      </c>
      <c r="BG294" s="76" t="b">
        <v>0</v>
      </c>
      <c r="BH294" s="82" t="str">
        <f>HYPERLINK("https://pbs.twimg.com/profile_banners/154327424/1667589791")</f>
        <v>https://pbs.twimg.com/profile_banners/154327424/1667589791</v>
      </c>
      <c r="BI294" s="76"/>
      <c r="BJ294" s="76" t="s">
        <v>27595</v>
      </c>
      <c r="BK294" s="76" t="b">
        <v>0</v>
      </c>
      <c r="BL294" s="76"/>
      <c r="BM294" s="76" t="s">
        <v>66</v>
      </c>
      <c r="BN294" s="76" t="s">
        <v>27597</v>
      </c>
      <c r="BO294" s="82" t="str">
        <f>HYPERLINK("https://twitter.com/josiasgomesba")</f>
        <v>https://twitter.com/josiasgomesba</v>
      </c>
      <c r="BP294" s="2"/>
    </row>
    <row r="295" spans="1:68" x14ac:dyDescent="0.25">
      <c r="A295" s="62" t="s">
        <v>428</v>
      </c>
      <c r="B295" s="63"/>
      <c r="C295" s="63"/>
      <c r="D295" s="64"/>
      <c r="E295" s="66"/>
      <c r="F295" s="103" t="str">
        <f>HYPERLINK("https://pbs.twimg.com/profile_images/1070108150018269184/PVg5fGlw_normal.jpg")</f>
        <v>https://pbs.twimg.com/profile_images/1070108150018269184/PVg5fGlw_normal.jpg</v>
      </c>
      <c r="G295" s="63"/>
      <c r="H295" s="67"/>
      <c r="I295" s="68"/>
      <c r="J295" s="68"/>
      <c r="K295" s="67" t="s">
        <v>27889</v>
      </c>
      <c r="L295" s="71"/>
      <c r="M295" s="72"/>
      <c r="N295" s="72"/>
      <c r="O295" s="73"/>
      <c r="P295" s="74"/>
      <c r="Q295" s="74"/>
      <c r="R295" s="87"/>
      <c r="S295" s="87"/>
      <c r="T295" s="87"/>
      <c r="U295" s="87"/>
      <c r="V295" s="48"/>
      <c r="W295" s="48"/>
      <c r="X295" s="48"/>
      <c r="Y295" s="48"/>
      <c r="Z295" s="47"/>
      <c r="AA295" s="69">
        <v>295</v>
      </c>
      <c r="AB295" s="69"/>
      <c r="AC295" s="70"/>
      <c r="AD295" s="76" t="s">
        <v>21538</v>
      </c>
      <c r="AE295" s="81" t="s">
        <v>20597</v>
      </c>
      <c r="AF295" s="76">
        <v>168</v>
      </c>
      <c r="AG295" s="76">
        <v>534</v>
      </c>
      <c r="AH295" s="76">
        <v>6628</v>
      </c>
      <c r="AI295" s="76">
        <v>0</v>
      </c>
      <c r="AJ295" s="76">
        <v>14601</v>
      </c>
      <c r="AK295" s="76">
        <v>121</v>
      </c>
      <c r="AL295" s="76" t="b">
        <v>0</v>
      </c>
      <c r="AM295" s="78">
        <v>42963.793229166666</v>
      </c>
      <c r="AN295" s="76" t="s">
        <v>24194</v>
      </c>
      <c r="AO295" s="76" t="s">
        <v>24967</v>
      </c>
      <c r="AP295" s="76"/>
      <c r="AQ295" s="76"/>
      <c r="AR295" s="76"/>
      <c r="AS295" s="76"/>
      <c r="AT295" s="76"/>
      <c r="AU295" s="76"/>
      <c r="AV295" s="76">
        <v>1.51753479379744E+18</v>
      </c>
      <c r="AW295" s="76"/>
      <c r="AX295" s="76" t="b">
        <v>0</v>
      </c>
      <c r="AY295" s="76"/>
      <c r="AZ295" s="76"/>
      <c r="BA295" s="76" t="b">
        <v>0</v>
      </c>
      <c r="BB295" s="76" t="b">
        <v>1</v>
      </c>
      <c r="BC295" s="76" t="b">
        <v>0</v>
      </c>
      <c r="BD295" s="76" t="b">
        <v>0</v>
      </c>
      <c r="BE295" s="76" t="b">
        <v>1</v>
      </c>
      <c r="BF295" s="76" t="b">
        <v>0</v>
      </c>
      <c r="BG295" s="76" t="b">
        <v>0</v>
      </c>
      <c r="BH295" s="82" t="str">
        <f>HYPERLINK("https://pbs.twimg.com/profile_banners/897896303325261824/1514690155")</f>
        <v>https://pbs.twimg.com/profile_banners/897896303325261824/1514690155</v>
      </c>
      <c r="BI295" s="76"/>
      <c r="BJ295" s="76" t="s">
        <v>27595</v>
      </c>
      <c r="BK295" s="76" t="b">
        <v>0</v>
      </c>
      <c r="BL295" s="76"/>
      <c r="BM295" s="76" t="s">
        <v>66</v>
      </c>
      <c r="BN295" s="76" t="s">
        <v>27597</v>
      </c>
      <c r="BO295" s="82" t="str">
        <f>HYPERLINK("https://twitter.com/pastrian_jose")</f>
        <v>https://twitter.com/pastrian_jose</v>
      </c>
      <c r="BP295" s="2"/>
    </row>
    <row r="296" spans="1:68" x14ac:dyDescent="0.25">
      <c r="A296" s="62" t="s">
        <v>1110</v>
      </c>
      <c r="B296" s="63"/>
      <c r="C296" s="63"/>
      <c r="D296" s="64"/>
      <c r="E296" s="66"/>
      <c r="F296" s="103" t="str">
        <f>HYPERLINK("https://pbs.twimg.com/profile_images/1597947209684770816/nI2ZPjup_normal.jpg")</f>
        <v>https://pbs.twimg.com/profile_images/1597947209684770816/nI2ZPjup_normal.jpg</v>
      </c>
      <c r="G296" s="63"/>
      <c r="H296" s="67"/>
      <c r="I296" s="68"/>
      <c r="J296" s="68"/>
      <c r="K296" s="67" t="s">
        <v>27890</v>
      </c>
      <c r="L296" s="71"/>
      <c r="M296" s="72"/>
      <c r="N296" s="72"/>
      <c r="O296" s="73"/>
      <c r="P296" s="74"/>
      <c r="Q296" s="74"/>
      <c r="R296" s="87"/>
      <c r="S296" s="87"/>
      <c r="T296" s="87"/>
      <c r="U296" s="87"/>
      <c r="V296" s="48"/>
      <c r="W296" s="48"/>
      <c r="X296" s="48"/>
      <c r="Y296" s="48"/>
      <c r="Z296" s="47"/>
      <c r="AA296" s="69">
        <v>296</v>
      </c>
      <c r="AB296" s="69"/>
      <c r="AC296" s="70"/>
      <c r="AD296" s="76" t="s">
        <v>21539</v>
      </c>
      <c r="AE296" s="81" t="s">
        <v>20323</v>
      </c>
      <c r="AF296" s="76">
        <v>302152</v>
      </c>
      <c r="AG296" s="76">
        <v>1966</v>
      </c>
      <c r="AH296" s="76">
        <v>282522</v>
      </c>
      <c r="AI296" s="76">
        <v>2186</v>
      </c>
      <c r="AJ296" s="76">
        <v>1557</v>
      </c>
      <c r="AK296" s="76">
        <v>168014</v>
      </c>
      <c r="AL296" s="76" t="b">
        <v>0</v>
      </c>
      <c r="AM296" s="78">
        <v>40032.809687499997</v>
      </c>
      <c r="AN296" s="76" t="s">
        <v>14386</v>
      </c>
      <c r="AO296" s="76" t="s">
        <v>24968</v>
      </c>
      <c r="AP296" s="82" t="str">
        <f>HYPERLINK("https://t.co/cHwEXDQE3C")</f>
        <v>https://t.co/cHwEXDQE3C</v>
      </c>
      <c r="AQ296" s="82" t="str">
        <f>HYPERLINK("https://www.df.cl/")</f>
        <v>https://www.df.cl/</v>
      </c>
      <c r="AR296" s="76" t="s">
        <v>8801</v>
      </c>
      <c r="AS296" s="82" t="str">
        <f>HYPERLINK("https://t.co/1LRnMVPCmy")</f>
        <v>https://t.co/1LRnMVPCmy</v>
      </c>
      <c r="AT296" s="82" t="str">
        <f>HYPERLINK("http://ow.ly/gbt450zIeeE")</f>
        <v>http://ow.ly/gbt450zIeeE</v>
      </c>
      <c r="AU296" s="76" t="s">
        <v>27467</v>
      </c>
      <c r="AV296" s="76"/>
      <c r="AW296" s="82" t="str">
        <f>HYPERLINK("https://t.co/cHwEXDQE3C")</f>
        <v>https://t.co/cHwEXDQE3C</v>
      </c>
      <c r="AX296" s="76" t="b">
        <v>1</v>
      </c>
      <c r="AY296" s="76"/>
      <c r="AZ296" s="76"/>
      <c r="BA296" s="76" t="b">
        <v>1</v>
      </c>
      <c r="BB296" s="76" t="b">
        <v>1</v>
      </c>
      <c r="BC296" s="76" t="b">
        <v>0</v>
      </c>
      <c r="BD296" s="76" t="b">
        <v>0</v>
      </c>
      <c r="BE296" s="76" t="b">
        <v>1</v>
      </c>
      <c r="BF296" s="76" t="b">
        <v>0</v>
      </c>
      <c r="BG296" s="76" t="b">
        <v>0</v>
      </c>
      <c r="BH296" s="82" t="str">
        <f>HYPERLINK("https://pbs.twimg.com/profile_banners/63805938/1686610561")</f>
        <v>https://pbs.twimg.com/profile_banners/63805938/1686610561</v>
      </c>
      <c r="BI296" s="76"/>
      <c r="BJ296" s="76" t="s">
        <v>27595</v>
      </c>
      <c r="BK296" s="76" t="b">
        <v>0</v>
      </c>
      <c r="BL296" s="76"/>
      <c r="BM296" s="76" t="s">
        <v>66</v>
      </c>
      <c r="BN296" s="76" t="s">
        <v>27597</v>
      </c>
      <c r="BO296" s="82" t="str">
        <f>HYPERLINK("https://twitter.com/dfinanciero")</f>
        <v>https://twitter.com/dfinanciero</v>
      </c>
      <c r="BP296" s="2"/>
    </row>
    <row r="297" spans="1:68" x14ac:dyDescent="0.25">
      <c r="A297" s="62" t="s">
        <v>429</v>
      </c>
      <c r="B297" s="63"/>
      <c r="C297" s="63"/>
      <c r="D297" s="64"/>
      <c r="E297" s="66"/>
      <c r="F297" s="103" t="str">
        <f>HYPERLINK("https://pbs.twimg.com/profile_images/1690227431880187904/eSppIPQb_normal.jpg")</f>
        <v>https://pbs.twimg.com/profile_images/1690227431880187904/eSppIPQb_normal.jpg</v>
      </c>
      <c r="G297" s="63"/>
      <c r="H297" s="67"/>
      <c r="I297" s="68"/>
      <c r="J297" s="68"/>
      <c r="K297" s="67" t="s">
        <v>27891</v>
      </c>
      <c r="L297" s="71"/>
      <c r="M297" s="72"/>
      <c r="N297" s="72"/>
      <c r="O297" s="73"/>
      <c r="P297" s="74"/>
      <c r="Q297" s="74"/>
      <c r="R297" s="87"/>
      <c r="S297" s="87"/>
      <c r="T297" s="87"/>
      <c r="U297" s="87"/>
      <c r="V297" s="48"/>
      <c r="W297" s="48"/>
      <c r="X297" s="48"/>
      <c r="Y297" s="48"/>
      <c r="Z297" s="47"/>
      <c r="AA297" s="69">
        <v>297</v>
      </c>
      <c r="AB297" s="69"/>
      <c r="AC297" s="70"/>
      <c r="AD297" s="76" t="s">
        <v>21540</v>
      </c>
      <c r="AE297" s="81" t="s">
        <v>23215</v>
      </c>
      <c r="AF297" s="76">
        <v>852</v>
      </c>
      <c r="AG297" s="76">
        <v>1503</v>
      </c>
      <c r="AH297" s="76">
        <v>54606</v>
      </c>
      <c r="AI297" s="76">
        <v>13</v>
      </c>
      <c r="AJ297" s="76">
        <v>15841</v>
      </c>
      <c r="AK297" s="76">
        <v>2934</v>
      </c>
      <c r="AL297" s="76" t="b">
        <v>0</v>
      </c>
      <c r="AM297" s="78">
        <v>40473.713136574072</v>
      </c>
      <c r="AN297" s="76" t="s">
        <v>14420</v>
      </c>
      <c r="AO297" s="76" t="s">
        <v>24969</v>
      </c>
      <c r="AP297" s="82" t="str">
        <f>HYPERLINK("https://t.co/QqJxQwpkub")</f>
        <v>https://t.co/QqJxQwpkub</v>
      </c>
      <c r="AQ297" s="82" t="str">
        <f>HYPERLINK("http://www.radiosur901.com.ar/p/radio-sur.html")</f>
        <v>http://www.radiosur901.com.ar/p/radio-sur.html</v>
      </c>
      <c r="AR297" s="76" t="s">
        <v>26514</v>
      </c>
      <c r="AS297" s="76"/>
      <c r="AT297" s="76"/>
      <c r="AU297" s="76"/>
      <c r="AV297" s="76">
        <v>1.6434398519397E+18</v>
      </c>
      <c r="AW297" s="82" t="str">
        <f>HYPERLINK("https://t.co/QqJxQwpkub")</f>
        <v>https://t.co/QqJxQwpkub</v>
      </c>
      <c r="AX297" s="76" t="b">
        <v>0</v>
      </c>
      <c r="AY297" s="76"/>
      <c r="AZ297" s="76"/>
      <c r="BA297" s="76" t="b">
        <v>0</v>
      </c>
      <c r="BB297" s="76" t="b">
        <v>1</v>
      </c>
      <c r="BC297" s="76" t="b">
        <v>0</v>
      </c>
      <c r="BD297" s="76" t="b">
        <v>0</v>
      </c>
      <c r="BE297" s="76" t="b">
        <v>1</v>
      </c>
      <c r="BF297" s="76" t="b">
        <v>0</v>
      </c>
      <c r="BG297" s="76" t="b">
        <v>0</v>
      </c>
      <c r="BH297" s="82" t="str">
        <f>HYPERLINK("https://pbs.twimg.com/profile_banners/206286309/1449433275")</f>
        <v>https://pbs.twimg.com/profile_banners/206286309/1449433275</v>
      </c>
      <c r="BI297" s="76"/>
      <c r="BJ297" s="76" t="s">
        <v>27595</v>
      </c>
      <c r="BK297" s="76" t="b">
        <v>0</v>
      </c>
      <c r="BL297" s="76"/>
      <c r="BM297" s="76" t="s">
        <v>66</v>
      </c>
      <c r="BN297" s="76" t="s">
        <v>27597</v>
      </c>
      <c r="BO297" s="82" t="str">
        <f>HYPERLINK("https://twitter.com/casandra61")</f>
        <v>https://twitter.com/casandra61</v>
      </c>
      <c r="BP297" s="2"/>
    </row>
    <row r="298" spans="1:68" x14ac:dyDescent="0.25">
      <c r="A298" s="62" t="s">
        <v>430</v>
      </c>
      <c r="B298" s="63"/>
      <c r="C298" s="63"/>
      <c r="D298" s="64"/>
      <c r="E298" s="66"/>
      <c r="F298" s="103" t="str">
        <f>HYPERLINK("https://pbs.twimg.com/profile_images/1292914211681644546/2mQgvril_normal.jpg")</f>
        <v>https://pbs.twimg.com/profile_images/1292914211681644546/2mQgvril_normal.jpg</v>
      </c>
      <c r="G298" s="63"/>
      <c r="H298" s="67"/>
      <c r="I298" s="68"/>
      <c r="J298" s="68"/>
      <c r="K298" s="67" t="s">
        <v>27892</v>
      </c>
      <c r="L298" s="71"/>
      <c r="M298" s="72"/>
      <c r="N298" s="72"/>
      <c r="O298" s="73"/>
      <c r="P298" s="74"/>
      <c r="Q298" s="74"/>
      <c r="R298" s="87"/>
      <c r="S298" s="87"/>
      <c r="T298" s="87"/>
      <c r="U298" s="87"/>
      <c r="V298" s="48"/>
      <c r="W298" s="48"/>
      <c r="X298" s="48"/>
      <c r="Y298" s="48"/>
      <c r="Z298" s="47"/>
      <c r="AA298" s="69">
        <v>298</v>
      </c>
      <c r="AB298" s="69"/>
      <c r="AC298" s="70"/>
      <c r="AD298" s="76" t="s">
        <v>21541</v>
      </c>
      <c r="AE298" s="81" t="s">
        <v>20598</v>
      </c>
      <c r="AF298" s="76">
        <v>88</v>
      </c>
      <c r="AG298" s="76">
        <v>126</v>
      </c>
      <c r="AH298" s="76">
        <v>4424</v>
      </c>
      <c r="AI298" s="76">
        <v>0</v>
      </c>
      <c r="AJ298" s="76">
        <v>3241</v>
      </c>
      <c r="AK298" s="76">
        <v>323</v>
      </c>
      <c r="AL298" s="76" t="b">
        <v>0</v>
      </c>
      <c r="AM298" s="78">
        <v>43647.072905092595</v>
      </c>
      <c r="AN298" s="76"/>
      <c r="AO298" s="76" t="s">
        <v>24970</v>
      </c>
      <c r="AP298" s="82" t="str">
        <f>HYPERLINK("https://t.co/hxTwEmoazD")</f>
        <v>https://t.co/hxTwEmoazD</v>
      </c>
      <c r="AQ298" s="82" t="str">
        <f>HYPERLINK("http://eyr.com.do")</f>
        <v>http://eyr.com.do</v>
      </c>
      <c r="AR298" s="76" t="s">
        <v>26515</v>
      </c>
      <c r="AS298" s="76"/>
      <c r="AT298" s="76"/>
      <c r="AU298" s="76"/>
      <c r="AV298" s="76"/>
      <c r="AW298" s="82" t="str">
        <f>HYPERLINK("https://t.co/hxTwEmoazD")</f>
        <v>https://t.co/hxTwEmoazD</v>
      </c>
      <c r="AX298" s="76" t="b">
        <v>0</v>
      </c>
      <c r="AY298" s="76"/>
      <c r="AZ298" s="76"/>
      <c r="BA298" s="76" t="b">
        <v>0</v>
      </c>
      <c r="BB298" s="76" t="b">
        <v>1</v>
      </c>
      <c r="BC298" s="76" t="b">
        <v>1</v>
      </c>
      <c r="BD298" s="76" t="b">
        <v>0</v>
      </c>
      <c r="BE298" s="76" t="b">
        <v>0</v>
      </c>
      <c r="BF298" s="76" t="b">
        <v>0</v>
      </c>
      <c r="BG298" s="76" t="b">
        <v>0</v>
      </c>
      <c r="BH298" s="76"/>
      <c r="BI298" s="76"/>
      <c r="BJ298" s="76" t="s">
        <v>27595</v>
      </c>
      <c r="BK298" s="76" t="b">
        <v>0</v>
      </c>
      <c r="BL298" s="76"/>
      <c r="BM298" s="76" t="s">
        <v>66</v>
      </c>
      <c r="BN298" s="76" t="s">
        <v>27597</v>
      </c>
      <c r="BO298" s="82" t="str">
        <f>HYPERLINK("https://twitter.com/kevinmorillo2")</f>
        <v>https://twitter.com/kevinmorillo2</v>
      </c>
      <c r="BP298" s="2"/>
    </row>
    <row r="299" spans="1:68" x14ac:dyDescent="0.25">
      <c r="A299" s="62" t="s">
        <v>431</v>
      </c>
      <c r="B299" s="63"/>
      <c r="C299" s="63"/>
      <c r="D299" s="64"/>
      <c r="E299" s="66"/>
      <c r="F299" s="103" t="str">
        <f>HYPERLINK("https://pbs.twimg.com/profile_images/1664771053363535874/cpI26FXo_normal.jpg")</f>
        <v>https://pbs.twimg.com/profile_images/1664771053363535874/cpI26FXo_normal.jpg</v>
      </c>
      <c r="G299" s="63"/>
      <c r="H299" s="67"/>
      <c r="I299" s="68"/>
      <c r="J299" s="68"/>
      <c r="K299" s="67" t="s">
        <v>27893</v>
      </c>
      <c r="L299" s="71"/>
      <c r="M299" s="72"/>
      <c r="N299" s="72"/>
      <c r="O299" s="73"/>
      <c r="P299" s="74"/>
      <c r="Q299" s="74"/>
      <c r="R299" s="87"/>
      <c r="S299" s="87"/>
      <c r="T299" s="87"/>
      <c r="U299" s="87"/>
      <c r="V299" s="48"/>
      <c r="W299" s="48"/>
      <c r="X299" s="48"/>
      <c r="Y299" s="48"/>
      <c r="Z299" s="47"/>
      <c r="AA299" s="69">
        <v>299</v>
      </c>
      <c r="AB299" s="69"/>
      <c r="AC299" s="70"/>
      <c r="AD299" s="76" t="s">
        <v>21542</v>
      </c>
      <c r="AE299" s="81" t="s">
        <v>23216</v>
      </c>
      <c r="AF299" s="76">
        <v>2018</v>
      </c>
      <c r="AG299" s="76">
        <v>3016</v>
      </c>
      <c r="AH299" s="76">
        <v>35687</v>
      </c>
      <c r="AI299" s="76">
        <v>4</v>
      </c>
      <c r="AJ299" s="76">
        <v>27927</v>
      </c>
      <c r="AK299" s="76">
        <v>1698</v>
      </c>
      <c r="AL299" s="76" t="b">
        <v>0</v>
      </c>
      <c r="AM299" s="78">
        <v>40541.669548611113</v>
      </c>
      <c r="AN299" s="76" t="s">
        <v>24195</v>
      </c>
      <c r="AO299" s="76" t="s">
        <v>24971</v>
      </c>
      <c r="AP299" s="76"/>
      <c r="AQ299" s="76"/>
      <c r="AR299" s="76"/>
      <c r="AS299" s="76"/>
      <c r="AT299" s="76"/>
      <c r="AU299" s="76"/>
      <c r="AV299" s="76"/>
      <c r="AW299" s="76"/>
      <c r="AX299" s="76" t="b">
        <v>0</v>
      </c>
      <c r="AY299" s="76"/>
      <c r="AZ299" s="76"/>
      <c r="BA299" s="76" t="b">
        <v>1</v>
      </c>
      <c r="BB299" s="76" t="b">
        <v>1</v>
      </c>
      <c r="BC299" s="76" t="b">
        <v>0</v>
      </c>
      <c r="BD299" s="76" t="b">
        <v>0</v>
      </c>
      <c r="BE299" s="76" t="b">
        <v>1</v>
      </c>
      <c r="BF299" s="76" t="b">
        <v>0</v>
      </c>
      <c r="BG299" s="76" t="b">
        <v>0</v>
      </c>
      <c r="BH299" s="82" t="str">
        <f>HYPERLINK("https://pbs.twimg.com/profile_banners/231835121/1684704455")</f>
        <v>https://pbs.twimg.com/profile_banners/231835121/1684704455</v>
      </c>
      <c r="BI299" s="76"/>
      <c r="BJ299" s="76" t="s">
        <v>27595</v>
      </c>
      <c r="BK299" s="76" t="b">
        <v>0</v>
      </c>
      <c r="BL299" s="76"/>
      <c r="BM299" s="76" t="s">
        <v>66</v>
      </c>
      <c r="BN299" s="76" t="s">
        <v>27597</v>
      </c>
      <c r="BO299" s="82" t="str">
        <f>HYPERLINK("https://twitter.com/carlosrrene")</f>
        <v>https://twitter.com/carlosrrene</v>
      </c>
      <c r="BP299" s="2"/>
    </row>
    <row r="300" spans="1:68" x14ac:dyDescent="0.25">
      <c r="A300" s="62" t="s">
        <v>1372</v>
      </c>
      <c r="B300" s="63"/>
      <c r="C300" s="63"/>
      <c r="D300" s="64"/>
      <c r="E300" s="66"/>
      <c r="F300" s="103" t="str">
        <f>HYPERLINK("https://pbs.twimg.com/profile_images/1417481674053627906/j1ELIkj7_normal.jpg")</f>
        <v>https://pbs.twimg.com/profile_images/1417481674053627906/j1ELIkj7_normal.jpg</v>
      </c>
      <c r="G300" s="63"/>
      <c r="H300" s="67"/>
      <c r="I300" s="68"/>
      <c r="J300" s="68"/>
      <c r="K300" s="67" t="s">
        <v>27894</v>
      </c>
      <c r="L300" s="71"/>
      <c r="M300" s="72"/>
      <c r="N300" s="72"/>
      <c r="O300" s="73"/>
      <c r="P300" s="74"/>
      <c r="Q300" s="74"/>
      <c r="R300" s="87"/>
      <c r="S300" s="87"/>
      <c r="T300" s="87"/>
      <c r="U300" s="87"/>
      <c r="V300" s="48"/>
      <c r="W300" s="48"/>
      <c r="X300" s="48"/>
      <c r="Y300" s="48"/>
      <c r="Z300" s="47"/>
      <c r="AA300" s="69">
        <v>300</v>
      </c>
      <c r="AB300" s="69"/>
      <c r="AC300" s="70"/>
      <c r="AD300" s="76" t="s">
        <v>21543</v>
      </c>
      <c r="AE300" s="81" t="s">
        <v>21060</v>
      </c>
      <c r="AF300" s="76">
        <v>31558</v>
      </c>
      <c r="AG300" s="76">
        <v>11083</v>
      </c>
      <c r="AH300" s="76">
        <v>55338</v>
      </c>
      <c r="AI300" s="76">
        <v>32</v>
      </c>
      <c r="AJ300" s="76">
        <v>301237</v>
      </c>
      <c r="AK300" s="76">
        <v>12135</v>
      </c>
      <c r="AL300" s="76" t="b">
        <v>0</v>
      </c>
      <c r="AM300" s="78">
        <v>44397.573287037034</v>
      </c>
      <c r="AN300" s="76" t="s">
        <v>14386</v>
      </c>
      <c r="AO300" s="76" t="s">
        <v>24972</v>
      </c>
      <c r="AP300" s="76"/>
      <c r="AQ300" s="76"/>
      <c r="AR300" s="76"/>
      <c r="AS300" s="76"/>
      <c r="AT300" s="76"/>
      <c r="AU300" s="76"/>
      <c r="AV300" s="76"/>
      <c r="AW300" s="76"/>
      <c r="AX300" s="76" t="b">
        <v>0</v>
      </c>
      <c r="AY300" s="76"/>
      <c r="AZ300" s="76"/>
      <c r="BA300" s="76" t="b">
        <v>0</v>
      </c>
      <c r="BB300" s="76" t="b">
        <v>1</v>
      </c>
      <c r="BC300" s="76" t="b">
        <v>1</v>
      </c>
      <c r="BD300" s="76" t="b">
        <v>0</v>
      </c>
      <c r="BE300" s="76" t="b">
        <v>1</v>
      </c>
      <c r="BF300" s="76" t="b">
        <v>0</v>
      </c>
      <c r="BG300" s="76" t="b">
        <v>0</v>
      </c>
      <c r="BH300" s="82" t="str">
        <f>HYPERLINK("https://pbs.twimg.com/profile_banners/1417480369419526151/1626814843")</f>
        <v>https://pbs.twimg.com/profile_banners/1417480369419526151/1626814843</v>
      </c>
      <c r="BI300" s="76"/>
      <c r="BJ300" s="76" t="s">
        <v>27595</v>
      </c>
      <c r="BK300" s="76" t="b">
        <v>0</v>
      </c>
      <c r="BL300" s="76"/>
      <c r="BM300" s="76" t="s">
        <v>66</v>
      </c>
      <c r="BN300" s="76" t="s">
        <v>27597</v>
      </c>
      <c r="BO300" s="82" t="str">
        <f>HYPERLINK("https://twitter.com/sergiou01329861")</f>
        <v>https://twitter.com/sergiou01329861</v>
      </c>
      <c r="BP300" s="2"/>
    </row>
    <row r="301" spans="1:68" x14ac:dyDescent="0.25">
      <c r="A301" s="62" t="s">
        <v>432</v>
      </c>
      <c r="B301" s="63"/>
      <c r="C301" s="63"/>
      <c r="D301" s="64"/>
      <c r="E301" s="66"/>
      <c r="F301" s="103" t="str">
        <f>HYPERLINK("https://pbs.twimg.com/profile_images/1411890472830783489/H1eHCqZu_normal.jpg")</f>
        <v>https://pbs.twimg.com/profile_images/1411890472830783489/H1eHCqZu_normal.jpg</v>
      </c>
      <c r="G301" s="63"/>
      <c r="H301" s="67"/>
      <c r="I301" s="68"/>
      <c r="J301" s="68"/>
      <c r="K301" s="67" t="s">
        <v>27895</v>
      </c>
      <c r="L301" s="71"/>
      <c r="M301" s="72"/>
      <c r="N301" s="72"/>
      <c r="O301" s="73"/>
      <c r="P301" s="74"/>
      <c r="Q301" s="74"/>
      <c r="R301" s="87"/>
      <c r="S301" s="87"/>
      <c r="T301" s="87"/>
      <c r="U301" s="87"/>
      <c r="V301" s="48"/>
      <c r="W301" s="48"/>
      <c r="X301" s="48"/>
      <c r="Y301" s="48"/>
      <c r="Z301" s="47"/>
      <c r="AA301" s="69">
        <v>301</v>
      </c>
      <c r="AB301" s="69"/>
      <c r="AC301" s="70"/>
      <c r="AD301" s="76" t="s">
        <v>432</v>
      </c>
      <c r="AE301" s="81" t="s">
        <v>20599</v>
      </c>
      <c r="AF301" s="76">
        <v>157</v>
      </c>
      <c r="AG301" s="76">
        <v>99</v>
      </c>
      <c r="AH301" s="76">
        <v>1061</v>
      </c>
      <c r="AI301" s="76">
        <v>0</v>
      </c>
      <c r="AJ301" s="76">
        <v>11366</v>
      </c>
      <c r="AK301" s="76">
        <v>125</v>
      </c>
      <c r="AL301" s="76" t="b">
        <v>0</v>
      </c>
      <c r="AM301" s="78">
        <v>43173.912152777775</v>
      </c>
      <c r="AN301" s="76" t="s">
        <v>24196</v>
      </c>
      <c r="AO301" s="76" t="s">
        <v>24973</v>
      </c>
      <c r="AP301" s="82" t="str">
        <f>HYPERLINK("https://t.co/NrBNDwcS6W")</f>
        <v>https://t.co/NrBNDwcS6W</v>
      </c>
      <c r="AQ301" s="82" t="str">
        <f>HYPERLINK("https://www.facebook.com/spectrolu/")</f>
        <v>https://www.facebook.com/spectrolu/</v>
      </c>
      <c r="AR301" s="76" t="s">
        <v>26516</v>
      </c>
      <c r="AS301" s="76"/>
      <c r="AT301" s="76"/>
      <c r="AU301" s="76"/>
      <c r="AV301" s="76"/>
      <c r="AW301" s="82" t="str">
        <f>HYPERLINK("https://t.co/NrBNDwcS6W")</f>
        <v>https://t.co/NrBNDwcS6W</v>
      </c>
      <c r="AX301" s="76" t="b">
        <v>0</v>
      </c>
      <c r="AY301" s="76"/>
      <c r="AZ301" s="76"/>
      <c r="BA301" s="76" t="b">
        <v>0</v>
      </c>
      <c r="BB301" s="76" t="b">
        <v>1</v>
      </c>
      <c r="BC301" s="76" t="b">
        <v>0</v>
      </c>
      <c r="BD301" s="76" t="b">
        <v>0</v>
      </c>
      <c r="BE301" s="76" t="b">
        <v>0</v>
      </c>
      <c r="BF301" s="76" t="b">
        <v>0</v>
      </c>
      <c r="BG301" s="76" t="b">
        <v>0</v>
      </c>
      <c r="BH301" s="82" t="str">
        <f>HYPERLINK("https://pbs.twimg.com/profile_banners/974040851394555904/1521158999")</f>
        <v>https://pbs.twimg.com/profile_banners/974040851394555904/1521158999</v>
      </c>
      <c r="BI301" s="76"/>
      <c r="BJ301" s="76" t="s">
        <v>27595</v>
      </c>
      <c r="BK301" s="76" t="b">
        <v>0</v>
      </c>
      <c r="BL301" s="76"/>
      <c r="BM301" s="76" t="s">
        <v>66</v>
      </c>
      <c r="BN301" s="76" t="s">
        <v>27597</v>
      </c>
      <c r="BO301" s="82" t="str">
        <f>HYPERLINK("https://twitter.com/spectrolu")</f>
        <v>https://twitter.com/spectrolu</v>
      </c>
      <c r="BP301" s="2"/>
    </row>
    <row r="302" spans="1:68" x14ac:dyDescent="0.25">
      <c r="A302" s="62" t="s">
        <v>1755</v>
      </c>
      <c r="B302" s="63"/>
      <c r="C302" s="63"/>
      <c r="D302" s="64"/>
      <c r="E302" s="66"/>
      <c r="F302" s="103" t="str">
        <f>HYPERLINK("https://pbs.twimg.com/profile_images/1301221123816919040/9PS91us4_normal.jpg")</f>
        <v>https://pbs.twimg.com/profile_images/1301221123816919040/9PS91us4_normal.jpg</v>
      </c>
      <c r="G302" s="63"/>
      <c r="H302" s="67"/>
      <c r="I302" s="68"/>
      <c r="J302" s="68"/>
      <c r="K302" s="67" t="s">
        <v>27896</v>
      </c>
      <c r="L302" s="71"/>
      <c r="M302" s="72"/>
      <c r="N302" s="72"/>
      <c r="O302" s="73"/>
      <c r="P302" s="74"/>
      <c r="Q302" s="74"/>
      <c r="R302" s="87"/>
      <c r="S302" s="87"/>
      <c r="T302" s="87"/>
      <c r="U302" s="87"/>
      <c r="V302" s="48"/>
      <c r="W302" s="48"/>
      <c r="X302" s="48"/>
      <c r="Y302" s="48"/>
      <c r="Z302" s="47"/>
      <c r="AA302" s="69">
        <v>302</v>
      </c>
      <c r="AB302" s="69"/>
      <c r="AC302" s="70"/>
      <c r="AD302" s="76" t="s">
        <v>21544</v>
      </c>
      <c r="AE302" s="81" t="s">
        <v>23217</v>
      </c>
      <c r="AF302" s="76">
        <v>15222</v>
      </c>
      <c r="AG302" s="76">
        <v>1062</v>
      </c>
      <c r="AH302" s="76">
        <v>20744</v>
      </c>
      <c r="AI302" s="76">
        <v>250</v>
      </c>
      <c r="AJ302" s="76">
        <v>12655</v>
      </c>
      <c r="AK302" s="76">
        <v>5801</v>
      </c>
      <c r="AL302" s="76" t="b">
        <v>0</v>
      </c>
      <c r="AM302" s="78">
        <v>43312.565127314818</v>
      </c>
      <c r="AN302" s="76" t="s">
        <v>24197</v>
      </c>
      <c r="AO302" s="76" t="s">
        <v>24974</v>
      </c>
      <c r="AP302" s="82" t="str">
        <f>HYPERLINK("https://t.co/WbEBKEZm4T")</f>
        <v>https://t.co/WbEBKEZm4T</v>
      </c>
      <c r="AQ302" s="82" t="str">
        <f>HYPERLINK("https://bit.ly/2EY89Dq")</f>
        <v>https://bit.ly/2EY89Dq</v>
      </c>
      <c r="AR302" s="76" t="s">
        <v>26517</v>
      </c>
      <c r="AS302" s="76"/>
      <c r="AT302" s="76"/>
      <c r="AU302" s="76"/>
      <c r="AV302" s="76"/>
      <c r="AW302" s="82" t="str">
        <f>HYPERLINK("https://t.co/WbEBKEZm4T")</f>
        <v>https://t.co/WbEBKEZm4T</v>
      </c>
      <c r="AX302" s="76" t="b">
        <v>1</v>
      </c>
      <c r="AY302" s="76"/>
      <c r="AZ302" s="76"/>
      <c r="BA302" s="76" t="b">
        <v>1</v>
      </c>
      <c r="BB302" s="76" t="b">
        <v>1</v>
      </c>
      <c r="BC302" s="76" t="b">
        <v>1</v>
      </c>
      <c r="BD302" s="76" t="b">
        <v>0</v>
      </c>
      <c r="BE302" s="76" t="b">
        <v>1</v>
      </c>
      <c r="BF302" s="76" t="b">
        <v>0</v>
      </c>
      <c r="BG302" s="76" t="b">
        <v>0</v>
      </c>
      <c r="BH302" s="82" t="str">
        <f>HYPERLINK("https://pbs.twimg.com/profile_banners/1024287005058981888/1599070267")</f>
        <v>https://pbs.twimg.com/profile_banners/1024287005058981888/1599070267</v>
      </c>
      <c r="BI302" s="76"/>
      <c r="BJ302" s="76" t="s">
        <v>27595</v>
      </c>
      <c r="BK302" s="76" t="b">
        <v>0</v>
      </c>
      <c r="BL302" s="76"/>
      <c r="BM302" s="76" t="s">
        <v>65</v>
      </c>
      <c r="BN302" s="76" t="s">
        <v>27597</v>
      </c>
      <c r="BO302" s="82" t="str">
        <f>HYPERLINK("https://twitter.com/_robertomotta")</f>
        <v>https://twitter.com/_robertomotta</v>
      </c>
      <c r="BP302" s="2"/>
    </row>
    <row r="303" spans="1:68" x14ac:dyDescent="0.25">
      <c r="A303" s="62" t="s">
        <v>433</v>
      </c>
      <c r="B303" s="63"/>
      <c r="C303" s="63"/>
      <c r="D303" s="64"/>
      <c r="E303" s="66"/>
      <c r="F303" s="103" t="str">
        <f>HYPERLINK("https://pbs.twimg.com/profile_images/1591626456353759233/7q3JLTDz_normal.jpg")</f>
        <v>https://pbs.twimg.com/profile_images/1591626456353759233/7q3JLTDz_normal.jpg</v>
      </c>
      <c r="G303" s="63"/>
      <c r="H303" s="67"/>
      <c r="I303" s="68"/>
      <c r="J303" s="68"/>
      <c r="K303" s="67" t="s">
        <v>27897</v>
      </c>
      <c r="L303" s="71"/>
      <c r="M303" s="72"/>
      <c r="N303" s="72"/>
      <c r="O303" s="73"/>
      <c r="P303" s="74"/>
      <c r="Q303" s="74"/>
      <c r="R303" s="87"/>
      <c r="S303" s="87"/>
      <c r="T303" s="87"/>
      <c r="U303" s="87"/>
      <c r="V303" s="48"/>
      <c r="W303" s="48"/>
      <c r="X303" s="48"/>
      <c r="Y303" s="48"/>
      <c r="Z303" s="47"/>
      <c r="AA303" s="69">
        <v>303</v>
      </c>
      <c r="AB303" s="69"/>
      <c r="AC303" s="70"/>
      <c r="AD303" s="76" t="s">
        <v>21545</v>
      </c>
      <c r="AE303" s="81" t="s">
        <v>23218</v>
      </c>
      <c r="AF303" s="76">
        <v>4670</v>
      </c>
      <c r="AG303" s="76">
        <v>3251</v>
      </c>
      <c r="AH303" s="76">
        <v>71499</v>
      </c>
      <c r="AI303" s="76">
        <v>32</v>
      </c>
      <c r="AJ303" s="76">
        <v>36775</v>
      </c>
      <c r="AK303" s="76">
        <v>11423</v>
      </c>
      <c r="AL303" s="76" t="b">
        <v>0</v>
      </c>
      <c r="AM303" s="78">
        <v>40836.970138888886</v>
      </c>
      <c r="AN303" s="76" t="s">
        <v>24198</v>
      </c>
      <c r="AO303" s="76" t="s">
        <v>24975</v>
      </c>
      <c r="AP303" s="76"/>
      <c r="AQ303" s="76"/>
      <c r="AR303" s="76"/>
      <c r="AS303" s="76"/>
      <c r="AT303" s="76"/>
      <c r="AU303" s="76"/>
      <c r="AV303" s="76">
        <v>7.3375067622488806E+17</v>
      </c>
      <c r="AW303" s="76"/>
      <c r="AX303" s="76" t="b">
        <v>0</v>
      </c>
      <c r="AY303" s="76"/>
      <c r="AZ303" s="76"/>
      <c r="BA303" s="76" t="b">
        <v>0</v>
      </c>
      <c r="BB303" s="76" t="b">
        <v>0</v>
      </c>
      <c r="BC303" s="76" t="b">
        <v>0</v>
      </c>
      <c r="BD303" s="76" t="b">
        <v>0</v>
      </c>
      <c r="BE303" s="76" t="b">
        <v>1</v>
      </c>
      <c r="BF303" s="76" t="b">
        <v>0</v>
      </c>
      <c r="BG303" s="76" t="b">
        <v>0</v>
      </c>
      <c r="BH303" s="82" t="str">
        <f>HYPERLINK("https://pbs.twimg.com/profile_banners/394987728/1576075997")</f>
        <v>https://pbs.twimg.com/profile_banners/394987728/1576075997</v>
      </c>
      <c r="BI303" s="76"/>
      <c r="BJ303" s="76" t="s">
        <v>27595</v>
      </c>
      <c r="BK303" s="76" t="b">
        <v>0</v>
      </c>
      <c r="BL303" s="76"/>
      <c r="BM303" s="76" t="s">
        <v>66</v>
      </c>
      <c r="BN303" s="76" t="s">
        <v>27597</v>
      </c>
      <c r="BO303" s="82" t="str">
        <f>HYPERLINK("https://twitter.com/anfiorillo")</f>
        <v>https://twitter.com/anfiorillo</v>
      </c>
      <c r="BP303" s="2"/>
    </row>
    <row r="304" spans="1:68" x14ac:dyDescent="0.25">
      <c r="A304" s="62" t="s">
        <v>434</v>
      </c>
      <c r="B304" s="63"/>
      <c r="C304" s="63"/>
      <c r="D304" s="64"/>
      <c r="E304" s="66"/>
      <c r="F304" s="103" t="str">
        <f>HYPERLINK("https://pbs.twimg.com/profile_images/942754997846073344/vwwQyfoL_normal.jpg")</f>
        <v>https://pbs.twimg.com/profile_images/942754997846073344/vwwQyfoL_normal.jpg</v>
      </c>
      <c r="G304" s="63"/>
      <c r="H304" s="67"/>
      <c r="I304" s="68"/>
      <c r="J304" s="68"/>
      <c r="K304" s="67" t="s">
        <v>27898</v>
      </c>
      <c r="L304" s="71"/>
      <c r="M304" s="72"/>
      <c r="N304" s="72"/>
      <c r="O304" s="73"/>
      <c r="P304" s="74"/>
      <c r="Q304" s="74"/>
      <c r="R304" s="87"/>
      <c r="S304" s="87"/>
      <c r="T304" s="87"/>
      <c r="U304" s="87"/>
      <c r="V304" s="48"/>
      <c r="W304" s="48"/>
      <c r="X304" s="48"/>
      <c r="Y304" s="48"/>
      <c r="Z304" s="47"/>
      <c r="AA304" s="69">
        <v>304</v>
      </c>
      <c r="AB304" s="69"/>
      <c r="AC304" s="70"/>
      <c r="AD304" s="76" t="s">
        <v>21546</v>
      </c>
      <c r="AE304" s="81" t="s">
        <v>23219</v>
      </c>
      <c r="AF304" s="76">
        <v>3183</v>
      </c>
      <c r="AG304" s="76">
        <v>7</v>
      </c>
      <c r="AH304" s="76">
        <v>10026</v>
      </c>
      <c r="AI304" s="76">
        <v>26</v>
      </c>
      <c r="AJ304" s="76">
        <v>56</v>
      </c>
      <c r="AK304" s="76">
        <v>9179</v>
      </c>
      <c r="AL304" s="76" t="b">
        <v>0</v>
      </c>
      <c r="AM304" s="78">
        <v>41576.615833333337</v>
      </c>
      <c r="AN304" s="76"/>
      <c r="AO304" s="76" t="s">
        <v>24976</v>
      </c>
      <c r="AP304" s="76"/>
      <c r="AQ304" s="76"/>
      <c r="AR304" s="76"/>
      <c r="AS304" s="76"/>
      <c r="AT304" s="76"/>
      <c r="AU304" s="76"/>
      <c r="AV304" s="76"/>
      <c r="AW304" s="76"/>
      <c r="AX304" s="76" t="b">
        <v>0</v>
      </c>
      <c r="AY304" s="76"/>
      <c r="AZ304" s="76"/>
      <c r="BA304" s="76" t="b">
        <v>0</v>
      </c>
      <c r="BB304" s="76" t="b">
        <v>1</v>
      </c>
      <c r="BC304" s="76" t="b">
        <v>0</v>
      </c>
      <c r="BD304" s="76" t="b">
        <v>0</v>
      </c>
      <c r="BE304" s="76" t="b">
        <v>0</v>
      </c>
      <c r="BF304" s="76" t="b">
        <v>0</v>
      </c>
      <c r="BG304" s="76" t="b">
        <v>0</v>
      </c>
      <c r="BH304" s="82" t="str">
        <f>HYPERLINK("https://pbs.twimg.com/profile_banners/2162997787/1626880046")</f>
        <v>https://pbs.twimg.com/profile_banners/2162997787/1626880046</v>
      </c>
      <c r="BI304" s="76"/>
      <c r="BJ304" s="76" t="s">
        <v>27595</v>
      </c>
      <c r="BK304" s="76" t="b">
        <v>0</v>
      </c>
      <c r="BL304" s="76"/>
      <c r="BM304" s="76" t="s">
        <v>66</v>
      </c>
      <c r="BN304" s="76" t="s">
        <v>27597</v>
      </c>
      <c r="BO304" s="82" t="str">
        <f>HYPERLINK("https://twitter.com/midiainformal")</f>
        <v>https://twitter.com/midiainformal</v>
      </c>
      <c r="BP304" s="2"/>
    </row>
    <row r="305" spans="1:68" x14ac:dyDescent="0.25">
      <c r="A305" s="62" t="s">
        <v>1756</v>
      </c>
      <c r="B305" s="63"/>
      <c r="C305" s="63"/>
      <c r="D305" s="64"/>
      <c r="E305" s="66"/>
      <c r="F305" s="103" t="str">
        <f>HYPERLINK("https://pbs.twimg.com/profile_images/887009084230303745/v7zl_DQ1_normal.jpg")</f>
        <v>https://pbs.twimg.com/profile_images/887009084230303745/v7zl_DQ1_normal.jpg</v>
      </c>
      <c r="G305" s="63"/>
      <c r="H305" s="67"/>
      <c r="I305" s="68"/>
      <c r="J305" s="68"/>
      <c r="K305" s="67" t="s">
        <v>27899</v>
      </c>
      <c r="L305" s="71"/>
      <c r="M305" s="72"/>
      <c r="N305" s="72"/>
      <c r="O305" s="73"/>
      <c r="P305" s="74"/>
      <c r="Q305" s="74"/>
      <c r="R305" s="87"/>
      <c r="S305" s="87"/>
      <c r="T305" s="87"/>
      <c r="U305" s="87"/>
      <c r="V305" s="48"/>
      <c r="W305" s="48"/>
      <c r="X305" s="48"/>
      <c r="Y305" s="48"/>
      <c r="Z305" s="47"/>
      <c r="AA305" s="69">
        <v>305</v>
      </c>
      <c r="AB305" s="69"/>
      <c r="AC305" s="70"/>
      <c r="AD305" s="76" t="s">
        <v>21547</v>
      </c>
      <c r="AE305" s="81" t="s">
        <v>23220</v>
      </c>
      <c r="AF305" s="76">
        <v>215017</v>
      </c>
      <c r="AG305" s="76">
        <v>242</v>
      </c>
      <c r="AH305" s="76">
        <v>517247</v>
      </c>
      <c r="AI305" s="76">
        <v>438</v>
      </c>
      <c r="AJ305" s="76">
        <v>3887</v>
      </c>
      <c r="AK305" s="76">
        <v>62299</v>
      </c>
      <c r="AL305" s="76" t="b">
        <v>0</v>
      </c>
      <c r="AM305" s="78">
        <v>40654.202905092592</v>
      </c>
      <c r="AN305" s="76" t="s">
        <v>14511</v>
      </c>
      <c r="AO305" s="76" t="s">
        <v>24977</v>
      </c>
      <c r="AP305" s="82" t="str">
        <f>HYPERLINK("https://t.co/rU1V9w1JPR")</f>
        <v>https://t.co/rU1V9w1JPR</v>
      </c>
      <c r="AQ305" s="82" t="str">
        <f>HYPERLINK("http://www.informerjo.com.br/")</f>
        <v>http://www.informerjo.com.br/</v>
      </c>
      <c r="AR305" s="76" t="s">
        <v>26518</v>
      </c>
      <c r="AS305" s="76"/>
      <c r="AT305" s="76"/>
      <c r="AU305" s="76"/>
      <c r="AV305" s="76"/>
      <c r="AW305" s="82" t="str">
        <f>HYPERLINK("https://t.co/rU1V9w1JPR")</f>
        <v>https://t.co/rU1V9w1JPR</v>
      </c>
      <c r="AX305" s="76" t="b">
        <v>0</v>
      </c>
      <c r="AY305" s="76"/>
      <c r="AZ305" s="76"/>
      <c r="BA305" s="76" t="b">
        <v>0</v>
      </c>
      <c r="BB305" s="76" t="b">
        <v>1</v>
      </c>
      <c r="BC305" s="76" t="b">
        <v>0</v>
      </c>
      <c r="BD305" s="76" t="b">
        <v>0</v>
      </c>
      <c r="BE305" s="76" t="b">
        <v>1</v>
      </c>
      <c r="BF305" s="76" t="b">
        <v>0</v>
      </c>
      <c r="BG305" s="76" t="b">
        <v>0</v>
      </c>
      <c r="BH305" s="82" t="str">
        <f>HYPERLINK("https://pbs.twimg.com/profile_banners/285443624/1500314410")</f>
        <v>https://pbs.twimg.com/profile_banners/285443624/1500314410</v>
      </c>
      <c r="BI305" s="76"/>
      <c r="BJ305" s="76" t="s">
        <v>27595</v>
      </c>
      <c r="BK305" s="76" t="b">
        <v>0</v>
      </c>
      <c r="BL305" s="76"/>
      <c r="BM305" s="76" t="s">
        <v>65</v>
      </c>
      <c r="BN305" s="76" t="s">
        <v>27597</v>
      </c>
      <c r="BO305" s="82" t="str">
        <f>HYPERLINK("https://twitter.com/informerjo")</f>
        <v>https://twitter.com/informerjo</v>
      </c>
      <c r="BP305" s="2"/>
    </row>
    <row r="306" spans="1:68" x14ac:dyDescent="0.25">
      <c r="A306" s="62" t="s">
        <v>435</v>
      </c>
      <c r="B306" s="63"/>
      <c r="C306" s="63"/>
      <c r="D306" s="64"/>
      <c r="E306" s="66"/>
      <c r="F306" s="103" t="str">
        <f>HYPERLINK("https://pbs.twimg.com/profile_images/1375108267358232576/3mpV1Aqi_normal.jpg")</f>
        <v>https://pbs.twimg.com/profile_images/1375108267358232576/3mpV1Aqi_normal.jpg</v>
      </c>
      <c r="G306" s="63"/>
      <c r="H306" s="67"/>
      <c r="I306" s="68"/>
      <c r="J306" s="68"/>
      <c r="K306" s="67" t="s">
        <v>27900</v>
      </c>
      <c r="L306" s="71"/>
      <c r="M306" s="72"/>
      <c r="N306" s="72"/>
      <c r="O306" s="73"/>
      <c r="P306" s="74"/>
      <c r="Q306" s="74"/>
      <c r="R306" s="87"/>
      <c r="S306" s="87"/>
      <c r="T306" s="87"/>
      <c r="U306" s="87"/>
      <c r="V306" s="48"/>
      <c r="W306" s="48"/>
      <c r="X306" s="48"/>
      <c r="Y306" s="48"/>
      <c r="Z306" s="47"/>
      <c r="AA306" s="69">
        <v>306</v>
      </c>
      <c r="AB306" s="69"/>
      <c r="AC306" s="70"/>
      <c r="AD306" s="76" t="s">
        <v>21548</v>
      </c>
      <c r="AE306" s="81" t="s">
        <v>23221</v>
      </c>
      <c r="AF306" s="76">
        <v>753</v>
      </c>
      <c r="AG306" s="76">
        <v>1480</v>
      </c>
      <c r="AH306" s="76">
        <v>9398</v>
      </c>
      <c r="AI306" s="76">
        <v>2</v>
      </c>
      <c r="AJ306" s="76">
        <v>45</v>
      </c>
      <c r="AK306" s="76">
        <v>66</v>
      </c>
      <c r="AL306" s="76" t="b">
        <v>0</v>
      </c>
      <c r="AM306" s="78">
        <v>40270.918275462966</v>
      </c>
      <c r="AN306" s="76"/>
      <c r="AO306" s="76"/>
      <c r="AP306" s="82" t="str">
        <f>HYPERLINK("http://t.co/MhjhvLvFa6")</f>
        <v>http://t.co/MhjhvLvFa6</v>
      </c>
      <c r="AQ306" s="82" t="str">
        <f>HYPERLINK("http://www.sdnews.com.br")</f>
        <v>http://www.sdnews.com.br</v>
      </c>
      <c r="AR306" s="76" t="s">
        <v>26519</v>
      </c>
      <c r="AS306" s="76"/>
      <c r="AT306" s="76"/>
      <c r="AU306" s="76"/>
      <c r="AV306" s="76"/>
      <c r="AW306" s="82" t="str">
        <f>HYPERLINK("http://t.co/MhjhvLvFa6")</f>
        <v>http://t.co/MhjhvLvFa6</v>
      </c>
      <c r="AX306" s="76" t="b">
        <v>0</v>
      </c>
      <c r="AY306" s="76"/>
      <c r="AZ306" s="76"/>
      <c r="BA306" s="76" t="b">
        <v>0</v>
      </c>
      <c r="BB306" s="76" t="b">
        <v>1</v>
      </c>
      <c r="BC306" s="76" t="b">
        <v>1</v>
      </c>
      <c r="BD306" s="76" t="b">
        <v>0</v>
      </c>
      <c r="BE306" s="76" t="b">
        <v>0</v>
      </c>
      <c r="BF306" s="76" t="b">
        <v>0</v>
      </c>
      <c r="BG306" s="76" t="b">
        <v>0</v>
      </c>
      <c r="BH306" s="82" t="str">
        <f>HYPERLINK("https://pbs.twimg.com/profile_banners/129002495/1616686335")</f>
        <v>https://pbs.twimg.com/profile_banners/129002495/1616686335</v>
      </c>
      <c r="BI306" s="76"/>
      <c r="BJ306" s="76" t="s">
        <v>27595</v>
      </c>
      <c r="BK306" s="76" t="b">
        <v>0</v>
      </c>
      <c r="BL306" s="76"/>
      <c r="BM306" s="76" t="s">
        <v>66</v>
      </c>
      <c r="BN306" s="76" t="s">
        <v>27597</v>
      </c>
      <c r="BO306" s="82" t="str">
        <f>HYPERLINK("https://twitter.com/sdnewscatalao")</f>
        <v>https://twitter.com/sdnewscatalao</v>
      </c>
      <c r="BP306" s="2"/>
    </row>
    <row r="307" spans="1:68" x14ac:dyDescent="0.25">
      <c r="A307" s="62" t="s">
        <v>436</v>
      </c>
      <c r="B307" s="63"/>
      <c r="C307" s="63"/>
      <c r="D307" s="64"/>
      <c r="E307" s="66"/>
      <c r="F307" s="103" t="str">
        <f>HYPERLINK("https://pbs.twimg.com/profile_images/1692217044622585870/QgFpIhV2_normal.jpg")</f>
        <v>https://pbs.twimg.com/profile_images/1692217044622585870/QgFpIhV2_normal.jpg</v>
      </c>
      <c r="G307" s="63"/>
      <c r="H307" s="67"/>
      <c r="I307" s="68"/>
      <c r="J307" s="68"/>
      <c r="K307" s="67" t="s">
        <v>27901</v>
      </c>
      <c r="L307" s="71"/>
      <c r="M307" s="72"/>
      <c r="N307" s="72"/>
      <c r="O307" s="73"/>
      <c r="P307" s="74"/>
      <c r="Q307" s="74"/>
      <c r="R307" s="87"/>
      <c r="S307" s="87"/>
      <c r="T307" s="87"/>
      <c r="U307" s="87"/>
      <c r="V307" s="48"/>
      <c r="W307" s="48"/>
      <c r="X307" s="48"/>
      <c r="Y307" s="48"/>
      <c r="Z307" s="47"/>
      <c r="AA307" s="69">
        <v>307</v>
      </c>
      <c r="AB307" s="69"/>
      <c r="AC307" s="70"/>
      <c r="AD307" s="76" t="s">
        <v>21549</v>
      </c>
      <c r="AE307" s="81" t="s">
        <v>20600</v>
      </c>
      <c r="AF307" s="76">
        <v>15</v>
      </c>
      <c r="AG307" s="76">
        <v>46</v>
      </c>
      <c r="AH307" s="76">
        <v>220</v>
      </c>
      <c r="AI307" s="76">
        <v>0</v>
      </c>
      <c r="AJ307" s="76">
        <v>368</v>
      </c>
      <c r="AK307" s="76">
        <v>44</v>
      </c>
      <c r="AL307" s="76" t="b">
        <v>0</v>
      </c>
      <c r="AM307" s="78">
        <v>45155.699733796297</v>
      </c>
      <c r="AN307" s="76" t="s">
        <v>24199</v>
      </c>
      <c r="AO307" s="76" t="s">
        <v>24978</v>
      </c>
      <c r="AP307" s="82" t="str">
        <f>HYPERLINK("https://t.co/oq8bdF1K6t")</f>
        <v>https://t.co/oq8bdF1K6t</v>
      </c>
      <c r="AQ307" s="82" t="str">
        <f>HYPERLINK("http://linktr.ee/tiago.roberto.oficial")</f>
        <v>http://linktr.ee/tiago.roberto.oficial</v>
      </c>
      <c r="AR307" s="76" t="s">
        <v>26520</v>
      </c>
      <c r="AS307" s="76"/>
      <c r="AT307" s="76"/>
      <c r="AU307" s="76"/>
      <c r="AV307" s="76"/>
      <c r="AW307" s="82" t="str">
        <f>HYPERLINK("https://t.co/oq8bdF1K6t")</f>
        <v>https://t.co/oq8bdF1K6t</v>
      </c>
      <c r="AX307" s="76" t="b">
        <v>0</v>
      </c>
      <c r="AY307" s="76"/>
      <c r="AZ307" s="76"/>
      <c r="BA307" s="76" t="b">
        <v>0</v>
      </c>
      <c r="BB307" s="76" t="b">
        <v>1</v>
      </c>
      <c r="BC307" s="76" t="b">
        <v>1</v>
      </c>
      <c r="BD307" s="76" t="b">
        <v>0</v>
      </c>
      <c r="BE307" s="76" t="b">
        <v>0</v>
      </c>
      <c r="BF307" s="76" t="b">
        <v>0</v>
      </c>
      <c r="BG307" s="76" t="b">
        <v>0</v>
      </c>
      <c r="BH307" s="82" t="str">
        <f>HYPERLINK("https://pbs.twimg.com/profile_banners/1692216582485782548/1692291434")</f>
        <v>https://pbs.twimg.com/profile_banners/1692216582485782548/1692291434</v>
      </c>
      <c r="BI307" s="76"/>
      <c r="BJ307" s="76" t="s">
        <v>27595</v>
      </c>
      <c r="BK307" s="76" t="b">
        <v>0</v>
      </c>
      <c r="BL307" s="76"/>
      <c r="BM307" s="76" t="s">
        <v>66</v>
      </c>
      <c r="BN307" s="76" t="s">
        <v>27597</v>
      </c>
      <c r="BO307" s="82" t="str">
        <f>HYPERLINK("https://twitter.com/tiago_roberto_")</f>
        <v>https://twitter.com/tiago_roberto_</v>
      </c>
      <c r="BP307" s="2"/>
    </row>
    <row r="308" spans="1:68" x14ac:dyDescent="0.25">
      <c r="A308" s="62" t="s">
        <v>437</v>
      </c>
      <c r="B308" s="63"/>
      <c r="C308" s="63"/>
      <c r="D308" s="64"/>
      <c r="E308" s="66"/>
      <c r="F308" s="103" t="str">
        <f>HYPERLINK("https://pbs.twimg.com/profile_images/1610040094081122305/ZkZVYVnd_normal.jpg")</f>
        <v>https://pbs.twimg.com/profile_images/1610040094081122305/ZkZVYVnd_normal.jpg</v>
      </c>
      <c r="G308" s="63"/>
      <c r="H308" s="67"/>
      <c r="I308" s="68"/>
      <c r="J308" s="68"/>
      <c r="K308" s="67" t="s">
        <v>27902</v>
      </c>
      <c r="L308" s="71"/>
      <c r="M308" s="72"/>
      <c r="N308" s="72"/>
      <c r="O308" s="73"/>
      <c r="P308" s="74"/>
      <c r="Q308" s="74"/>
      <c r="R308" s="87"/>
      <c r="S308" s="87"/>
      <c r="T308" s="87"/>
      <c r="U308" s="87"/>
      <c r="V308" s="48"/>
      <c r="W308" s="48"/>
      <c r="X308" s="48"/>
      <c r="Y308" s="48"/>
      <c r="Z308" s="47"/>
      <c r="AA308" s="69">
        <v>308</v>
      </c>
      <c r="AB308" s="69"/>
      <c r="AC308" s="70"/>
      <c r="AD308" s="76" t="s">
        <v>21550</v>
      </c>
      <c r="AE308" s="81" t="s">
        <v>20601</v>
      </c>
      <c r="AF308" s="76">
        <v>39</v>
      </c>
      <c r="AG308" s="76">
        <v>7</v>
      </c>
      <c r="AH308" s="76">
        <v>197</v>
      </c>
      <c r="AI308" s="76">
        <v>0</v>
      </c>
      <c r="AJ308" s="76">
        <v>40</v>
      </c>
      <c r="AK308" s="76">
        <v>179</v>
      </c>
      <c r="AL308" s="76" t="b">
        <v>0</v>
      </c>
      <c r="AM308" s="78">
        <v>44928.935543981483</v>
      </c>
      <c r="AN308" s="76"/>
      <c r="AO308" s="76" t="s">
        <v>24979</v>
      </c>
      <c r="AP308" s="82" t="str">
        <f>HYPERLINK("https://t.co/A3V8ASNbrG")</f>
        <v>https://t.co/A3V8ASNbrG</v>
      </c>
      <c r="AQ308" s="82" t="str">
        <f>HYPERLINK("https://instagram.com/bravonius?igshid=YmMyMTA2M2Y=")</f>
        <v>https://instagram.com/bravonius?igshid=YmMyMTA2M2Y=</v>
      </c>
      <c r="AR308" s="76" t="s">
        <v>26521</v>
      </c>
      <c r="AS308" s="76"/>
      <c r="AT308" s="76"/>
      <c r="AU308" s="76"/>
      <c r="AV308" s="76"/>
      <c r="AW308" s="82" t="str">
        <f>HYPERLINK("https://t.co/A3V8ASNbrG")</f>
        <v>https://t.co/A3V8ASNbrG</v>
      </c>
      <c r="AX308" s="76" t="b">
        <v>0</v>
      </c>
      <c r="AY308" s="76"/>
      <c r="AZ308" s="76"/>
      <c r="BA308" s="76" t="b">
        <v>0</v>
      </c>
      <c r="BB308" s="76" t="b">
        <v>1</v>
      </c>
      <c r="BC308" s="76" t="b">
        <v>1</v>
      </c>
      <c r="BD308" s="76" t="b">
        <v>0</v>
      </c>
      <c r="BE308" s="76" t="b">
        <v>0</v>
      </c>
      <c r="BF308" s="76" t="b">
        <v>0</v>
      </c>
      <c r="BG308" s="76" t="b">
        <v>0</v>
      </c>
      <c r="BH308" s="82" t="str">
        <f>HYPERLINK("https://pbs.twimg.com/profile_banners/1610039997561819146/1674603238")</f>
        <v>https://pbs.twimg.com/profile_banners/1610039997561819146/1674603238</v>
      </c>
      <c r="BI308" s="76"/>
      <c r="BJ308" s="76" t="s">
        <v>27595</v>
      </c>
      <c r="BK308" s="76" t="b">
        <v>0</v>
      </c>
      <c r="BL308" s="76"/>
      <c r="BM308" s="76" t="s">
        <v>66</v>
      </c>
      <c r="BN308" s="76" t="s">
        <v>27597</v>
      </c>
      <c r="BO308" s="82" t="str">
        <f>HYPERLINK("https://twitter.com/bravonius")</f>
        <v>https://twitter.com/bravonius</v>
      </c>
      <c r="BP308" s="2"/>
    </row>
    <row r="309" spans="1:68" x14ac:dyDescent="0.25">
      <c r="A309" s="62" t="s">
        <v>1757</v>
      </c>
      <c r="B309" s="63"/>
      <c r="C309" s="63"/>
      <c r="D309" s="64"/>
      <c r="E309" s="66"/>
      <c r="F309" s="103" t="str">
        <f>HYPERLINK("https://pbs.twimg.com/profile_images/1624566547715960834/tB9C5DTO_normal.jpg")</f>
        <v>https://pbs.twimg.com/profile_images/1624566547715960834/tB9C5DTO_normal.jpg</v>
      </c>
      <c r="G309" s="63"/>
      <c r="H309" s="67"/>
      <c r="I309" s="68"/>
      <c r="J309" s="68"/>
      <c r="K309" s="67" t="s">
        <v>27903</v>
      </c>
      <c r="L309" s="71"/>
      <c r="M309" s="72"/>
      <c r="N309" s="72"/>
      <c r="O309" s="73"/>
      <c r="P309" s="74"/>
      <c r="Q309" s="74"/>
      <c r="R309" s="87"/>
      <c r="S309" s="87"/>
      <c r="T309" s="87"/>
      <c r="U309" s="87"/>
      <c r="V309" s="48"/>
      <c r="W309" s="48"/>
      <c r="X309" s="48"/>
      <c r="Y309" s="48"/>
      <c r="Z309" s="47"/>
      <c r="AA309" s="69">
        <v>309</v>
      </c>
      <c r="AB309" s="69"/>
      <c r="AC309" s="70"/>
      <c r="AD309" s="76" t="s">
        <v>21551</v>
      </c>
      <c r="AE309" s="81" t="s">
        <v>23222</v>
      </c>
      <c r="AF309" s="76">
        <v>4772</v>
      </c>
      <c r="AG309" s="76">
        <v>2661</v>
      </c>
      <c r="AH309" s="76">
        <v>11078</v>
      </c>
      <c r="AI309" s="76">
        <v>45</v>
      </c>
      <c r="AJ309" s="76">
        <v>24282</v>
      </c>
      <c r="AK309" s="76">
        <v>1513</v>
      </c>
      <c r="AL309" s="76" t="b">
        <v>0</v>
      </c>
      <c r="AM309" s="78">
        <v>40220.844490740739</v>
      </c>
      <c r="AN309" s="76" t="s">
        <v>24128</v>
      </c>
      <c r="AO309" s="76" t="s">
        <v>24980</v>
      </c>
      <c r="AP309" s="82" t="str">
        <f>HYPERLINK("https://t.co/DzfcvRRS9a")</f>
        <v>https://t.co/DzfcvRRS9a</v>
      </c>
      <c r="AQ309" s="82" t="str">
        <f>HYPERLINK("https://www.linkedin.com/in/javierborelli/")</f>
        <v>https://www.linkedin.com/in/javierborelli/</v>
      </c>
      <c r="AR309" s="76" t="s">
        <v>26522</v>
      </c>
      <c r="AS309" s="76"/>
      <c r="AT309" s="76"/>
      <c r="AU309" s="76"/>
      <c r="AV309" s="76"/>
      <c r="AW309" s="82" t="str">
        <f>HYPERLINK("https://t.co/DzfcvRRS9a")</f>
        <v>https://t.co/DzfcvRRS9a</v>
      </c>
      <c r="AX309" s="76" t="b">
        <v>0</v>
      </c>
      <c r="AY309" s="76"/>
      <c r="AZ309" s="76"/>
      <c r="BA309" s="76" t="b">
        <v>0</v>
      </c>
      <c r="BB309" s="76" t="b">
        <v>1</v>
      </c>
      <c r="BC309" s="76" t="b">
        <v>0</v>
      </c>
      <c r="BD309" s="76" t="b">
        <v>0</v>
      </c>
      <c r="BE309" s="76" t="b">
        <v>1</v>
      </c>
      <c r="BF309" s="76" t="b">
        <v>0</v>
      </c>
      <c r="BG309" s="76" t="b">
        <v>0</v>
      </c>
      <c r="BH309" s="82" t="str">
        <f>HYPERLINK("https://pbs.twimg.com/profile_banners/113450919/1688126298")</f>
        <v>https://pbs.twimg.com/profile_banners/113450919/1688126298</v>
      </c>
      <c r="BI309" s="76"/>
      <c r="BJ309" s="76" t="s">
        <v>27595</v>
      </c>
      <c r="BK309" s="76" t="b">
        <v>0</v>
      </c>
      <c r="BL309" s="76"/>
      <c r="BM309" s="76" t="s">
        <v>65</v>
      </c>
      <c r="BN309" s="76" t="s">
        <v>27597</v>
      </c>
      <c r="BO309" s="82" t="str">
        <f>HYPERLINK("https://twitter.com/javiborelli")</f>
        <v>https://twitter.com/javiborelli</v>
      </c>
      <c r="BP309" s="2"/>
    </row>
    <row r="310" spans="1:68" x14ac:dyDescent="0.25">
      <c r="A310" s="62" t="s">
        <v>1758</v>
      </c>
      <c r="B310" s="63"/>
      <c r="C310" s="63"/>
      <c r="D310" s="64"/>
      <c r="E310" s="66"/>
      <c r="F310" s="103" t="str">
        <f>HYPERLINK("https://pbs.twimg.com/profile_images/1412553599540924429/p5N4ngaH_normal.jpg")</f>
        <v>https://pbs.twimg.com/profile_images/1412553599540924429/p5N4ngaH_normal.jpg</v>
      </c>
      <c r="G310" s="63"/>
      <c r="H310" s="67"/>
      <c r="I310" s="68"/>
      <c r="J310" s="68"/>
      <c r="K310" s="67" t="s">
        <v>27904</v>
      </c>
      <c r="L310" s="71"/>
      <c r="M310" s="72"/>
      <c r="N310" s="72"/>
      <c r="O310" s="73"/>
      <c r="P310" s="74"/>
      <c r="Q310" s="74"/>
      <c r="R310" s="87"/>
      <c r="S310" s="87"/>
      <c r="T310" s="87"/>
      <c r="U310" s="87"/>
      <c r="V310" s="48"/>
      <c r="W310" s="48"/>
      <c r="X310" s="48"/>
      <c r="Y310" s="48"/>
      <c r="Z310" s="47"/>
      <c r="AA310" s="69">
        <v>310</v>
      </c>
      <c r="AB310" s="69"/>
      <c r="AC310" s="70"/>
      <c r="AD310" s="76" t="s">
        <v>21552</v>
      </c>
      <c r="AE310" s="81" t="s">
        <v>23223</v>
      </c>
      <c r="AF310" s="76">
        <v>12997</v>
      </c>
      <c r="AG310" s="76">
        <v>1861</v>
      </c>
      <c r="AH310" s="76">
        <v>65079</v>
      </c>
      <c r="AI310" s="76">
        <v>120</v>
      </c>
      <c r="AJ310" s="76">
        <v>34434</v>
      </c>
      <c r="AK310" s="76">
        <v>3599</v>
      </c>
      <c r="AL310" s="76" t="b">
        <v>0</v>
      </c>
      <c r="AM310" s="78">
        <v>40237.735972222225</v>
      </c>
      <c r="AN310" s="76" t="s">
        <v>24126</v>
      </c>
      <c r="AO310" s="76" t="s">
        <v>24981</v>
      </c>
      <c r="AP310" s="82" t="str">
        <f>HYPERLINK("https://t.co/WbNtVMFl7i")</f>
        <v>https://t.co/WbNtVMFl7i</v>
      </c>
      <c r="AQ310" s="82" t="str">
        <f>HYPERLINK("https://www.youtube.com/channel/UCHzqm4DZWPZQEeu1x37_EtQ?view_as=subscriber")</f>
        <v>https://www.youtube.com/channel/UCHzqm4DZWPZQEeu1x37_EtQ?view_as=subscriber</v>
      </c>
      <c r="AR310" s="76" t="s">
        <v>26523</v>
      </c>
      <c r="AS310" s="76"/>
      <c r="AT310" s="76"/>
      <c r="AU310" s="76"/>
      <c r="AV310" s="76">
        <v>1.29219380085775E+18</v>
      </c>
      <c r="AW310" s="82" t="str">
        <f>HYPERLINK("https://t.co/WbNtVMFl7i")</f>
        <v>https://t.co/WbNtVMFl7i</v>
      </c>
      <c r="AX310" s="76" t="b">
        <v>0</v>
      </c>
      <c r="AY310" s="76"/>
      <c r="AZ310" s="76"/>
      <c r="BA310" s="76" t="b">
        <v>0</v>
      </c>
      <c r="BB310" s="76" t="b">
        <v>1</v>
      </c>
      <c r="BC310" s="76" t="b">
        <v>0</v>
      </c>
      <c r="BD310" s="76" t="b">
        <v>0</v>
      </c>
      <c r="BE310" s="76" t="b">
        <v>1</v>
      </c>
      <c r="BF310" s="76" t="b">
        <v>0</v>
      </c>
      <c r="BG310" s="76" t="b">
        <v>0</v>
      </c>
      <c r="BH310" s="82" t="str">
        <f>HYPERLINK("https://pbs.twimg.com/profile_banners/118432991/1578076276")</f>
        <v>https://pbs.twimg.com/profile_banners/118432991/1578076276</v>
      </c>
      <c r="BI310" s="76"/>
      <c r="BJ310" s="76" t="s">
        <v>27595</v>
      </c>
      <c r="BK310" s="76" t="b">
        <v>0</v>
      </c>
      <c r="BL310" s="76"/>
      <c r="BM310" s="76" t="s">
        <v>65</v>
      </c>
      <c r="BN310" s="76" t="s">
        <v>27597</v>
      </c>
      <c r="BO310" s="82" t="str">
        <f>HYPERLINK("https://twitter.com/loretoso")</f>
        <v>https://twitter.com/loretoso</v>
      </c>
      <c r="BP310" s="2"/>
    </row>
    <row r="311" spans="1:68" x14ac:dyDescent="0.25">
      <c r="A311" s="62" t="s">
        <v>438</v>
      </c>
      <c r="B311" s="63"/>
      <c r="C311" s="63"/>
      <c r="D311" s="64"/>
      <c r="E311" s="66"/>
      <c r="F311" s="103" t="str">
        <f>HYPERLINK("https://pbs.twimg.com/profile_images/1642877829246271489/C1WFDDOE_normal.jpg")</f>
        <v>https://pbs.twimg.com/profile_images/1642877829246271489/C1WFDDOE_normal.jpg</v>
      </c>
      <c r="G311" s="63"/>
      <c r="H311" s="67"/>
      <c r="I311" s="68"/>
      <c r="J311" s="68"/>
      <c r="K311" s="67" t="s">
        <v>27905</v>
      </c>
      <c r="L311" s="71"/>
      <c r="M311" s="72"/>
      <c r="N311" s="72"/>
      <c r="O311" s="73"/>
      <c r="P311" s="74"/>
      <c r="Q311" s="74"/>
      <c r="R311" s="87"/>
      <c r="S311" s="87"/>
      <c r="T311" s="87"/>
      <c r="U311" s="87"/>
      <c r="V311" s="48"/>
      <c r="W311" s="48"/>
      <c r="X311" s="48"/>
      <c r="Y311" s="48"/>
      <c r="Z311" s="47"/>
      <c r="AA311" s="69">
        <v>311</v>
      </c>
      <c r="AB311" s="69"/>
      <c r="AC311" s="70"/>
      <c r="AD311" s="76" t="s">
        <v>21553</v>
      </c>
      <c r="AE311" s="81" t="s">
        <v>23224</v>
      </c>
      <c r="AF311" s="76">
        <v>15052</v>
      </c>
      <c r="AG311" s="76">
        <v>1300</v>
      </c>
      <c r="AH311" s="76">
        <v>89851</v>
      </c>
      <c r="AI311" s="76">
        <v>82</v>
      </c>
      <c r="AJ311" s="76">
        <v>3002</v>
      </c>
      <c r="AK311" s="76">
        <v>41268</v>
      </c>
      <c r="AL311" s="76" t="b">
        <v>0</v>
      </c>
      <c r="AM311" s="78">
        <v>41418.877314814818</v>
      </c>
      <c r="AN311" s="76" t="s">
        <v>14420</v>
      </c>
      <c r="AO311" s="76" t="s">
        <v>24982</v>
      </c>
      <c r="AP311" s="82" t="str">
        <f>HYPERLINK("https://t.co/oxen115rWt")</f>
        <v>https://t.co/oxen115rWt</v>
      </c>
      <c r="AQ311" s="82" t="str">
        <f>HYPERLINK("http://www.canalc.com.ar")</f>
        <v>http://www.canalc.com.ar</v>
      </c>
      <c r="AR311" s="76" t="s">
        <v>26524</v>
      </c>
      <c r="AS311" s="76"/>
      <c r="AT311" s="76"/>
      <c r="AU311" s="76"/>
      <c r="AV311" s="76">
        <v>1.7070569504819999E+18</v>
      </c>
      <c r="AW311" s="82" t="str">
        <f>HYPERLINK("https://t.co/oxen115rWt")</f>
        <v>https://t.co/oxen115rWt</v>
      </c>
      <c r="AX311" s="76" t="b">
        <v>1</v>
      </c>
      <c r="AY311" s="76"/>
      <c r="AZ311" s="76"/>
      <c r="BA311" s="76" t="b">
        <v>0</v>
      </c>
      <c r="BB311" s="76" t="b">
        <v>1</v>
      </c>
      <c r="BC311" s="76" t="b">
        <v>0</v>
      </c>
      <c r="BD311" s="76" t="b">
        <v>0</v>
      </c>
      <c r="BE311" s="76" t="b">
        <v>1</v>
      </c>
      <c r="BF311" s="76" t="b">
        <v>0</v>
      </c>
      <c r="BG311" s="76" t="b">
        <v>0</v>
      </c>
      <c r="BH311" s="82" t="str">
        <f>HYPERLINK("https://pbs.twimg.com/profile_banners/1455253418/1680527584")</f>
        <v>https://pbs.twimg.com/profile_banners/1455253418/1680527584</v>
      </c>
      <c r="BI311" s="76"/>
      <c r="BJ311" s="76" t="s">
        <v>27595</v>
      </c>
      <c r="BK311" s="76" t="b">
        <v>0</v>
      </c>
      <c r="BL311" s="76"/>
      <c r="BM311" s="76" t="s">
        <v>66</v>
      </c>
      <c r="BN311" s="76" t="s">
        <v>27597</v>
      </c>
      <c r="BO311" s="82" t="str">
        <f>HYPERLINK("https://twitter.com/canalccordoba")</f>
        <v>https://twitter.com/canalccordoba</v>
      </c>
      <c r="BP311" s="2"/>
    </row>
    <row r="312" spans="1:68" x14ac:dyDescent="0.25">
      <c r="A312" s="62" t="s">
        <v>439</v>
      </c>
      <c r="B312" s="63"/>
      <c r="C312" s="63"/>
      <c r="D312" s="64"/>
      <c r="E312" s="66"/>
      <c r="F312" s="103" t="str">
        <f>HYPERLINK("https://pbs.twimg.com/profile_images/1245487249774596103/QjPE88kN_normal.jpg")</f>
        <v>https://pbs.twimg.com/profile_images/1245487249774596103/QjPE88kN_normal.jpg</v>
      </c>
      <c r="G312" s="63"/>
      <c r="H312" s="67"/>
      <c r="I312" s="68"/>
      <c r="J312" s="68"/>
      <c r="K312" s="67" t="s">
        <v>27906</v>
      </c>
      <c r="L312" s="71"/>
      <c r="M312" s="72"/>
      <c r="N312" s="72"/>
      <c r="O312" s="73"/>
      <c r="P312" s="74"/>
      <c r="Q312" s="74"/>
      <c r="R312" s="87"/>
      <c r="S312" s="87"/>
      <c r="T312" s="87"/>
      <c r="U312" s="87"/>
      <c r="V312" s="48"/>
      <c r="W312" s="48"/>
      <c r="X312" s="48"/>
      <c r="Y312" s="48"/>
      <c r="Z312" s="47"/>
      <c r="AA312" s="69">
        <v>312</v>
      </c>
      <c r="AB312" s="69"/>
      <c r="AC312" s="70"/>
      <c r="AD312" s="76" t="s">
        <v>21554</v>
      </c>
      <c r="AE312" s="81" t="s">
        <v>23225</v>
      </c>
      <c r="AF312" s="76">
        <v>35</v>
      </c>
      <c r="AG312" s="76">
        <v>371</v>
      </c>
      <c r="AH312" s="76">
        <v>3868</v>
      </c>
      <c r="AI312" s="76">
        <v>0</v>
      </c>
      <c r="AJ312" s="76">
        <v>4010</v>
      </c>
      <c r="AK312" s="76">
        <v>331</v>
      </c>
      <c r="AL312" s="76" t="b">
        <v>0</v>
      </c>
      <c r="AM312" s="78">
        <v>40533.025104166663</v>
      </c>
      <c r="AN312" s="76" t="s">
        <v>24200</v>
      </c>
      <c r="AO312" s="76" t="s">
        <v>24983</v>
      </c>
      <c r="AP312" s="76"/>
      <c r="AQ312" s="76"/>
      <c r="AR312" s="76"/>
      <c r="AS312" s="76"/>
      <c r="AT312" s="76"/>
      <c r="AU312" s="76"/>
      <c r="AV312" s="76"/>
      <c r="AW312" s="76"/>
      <c r="AX312" s="76" t="b">
        <v>0</v>
      </c>
      <c r="AY312" s="76"/>
      <c r="AZ312" s="76"/>
      <c r="BA312" s="76" t="b">
        <v>1</v>
      </c>
      <c r="BB312" s="76" t="b">
        <v>1</v>
      </c>
      <c r="BC312" s="76" t="b">
        <v>0</v>
      </c>
      <c r="BD312" s="76" t="b">
        <v>0</v>
      </c>
      <c r="BE312" s="76" t="b">
        <v>0</v>
      </c>
      <c r="BF312" s="76" t="b">
        <v>0</v>
      </c>
      <c r="BG312" s="76" t="b">
        <v>0</v>
      </c>
      <c r="BH312" s="82" t="str">
        <f>HYPERLINK("https://pbs.twimg.com/profile_banners/228903372/1585198488")</f>
        <v>https://pbs.twimg.com/profile_banners/228903372/1585198488</v>
      </c>
      <c r="BI312" s="76"/>
      <c r="BJ312" s="76" t="s">
        <v>27595</v>
      </c>
      <c r="BK312" s="76" t="b">
        <v>0</v>
      </c>
      <c r="BL312" s="76"/>
      <c r="BM312" s="76" t="s">
        <v>66</v>
      </c>
      <c r="BN312" s="76" t="s">
        <v>27597</v>
      </c>
      <c r="BO312" s="82" t="str">
        <f>HYPERLINK("https://twitter.com/admedmar")</f>
        <v>https://twitter.com/admedmar</v>
      </c>
      <c r="BP312" s="2"/>
    </row>
    <row r="313" spans="1:68" x14ac:dyDescent="0.25">
      <c r="A313" s="62" t="s">
        <v>441</v>
      </c>
      <c r="B313" s="63"/>
      <c r="C313" s="63"/>
      <c r="D313" s="64"/>
      <c r="E313" s="66"/>
      <c r="F313" s="103" t="str">
        <f>HYPERLINK("https://pbs.twimg.com/profile_images/1609926586156961796/l0JL9KvN_normal.jpg")</f>
        <v>https://pbs.twimg.com/profile_images/1609926586156961796/l0JL9KvN_normal.jpg</v>
      </c>
      <c r="G313" s="63"/>
      <c r="H313" s="67"/>
      <c r="I313" s="68"/>
      <c r="J313" s="68"/>
      <c r="K313" s="67" t="s">
        <v>27907</v>
      </c>
      <c r="L313" s="71"/>
      <c r="M313" s="72"/>
      <c r="N313" s="72"/>
      <c r="O313" s="73"/>
      <c r="P313" s="74"/>
      <c r="Q313" s="74"/>
      <c r="R313" s="87"/>
      <c r="S313" s="87"/>
      <c r="T313" s="87"/>
      <c r="U313" s="87"/>
      <c r="V313" s="48"/>
      <c r="W313" s="48"/>
      <c r="X313" s="48"/>
      <c r="Y313" s="48"/>
      <c r="Z313" s="47"/>
      <c r="AA313" s="69">
        <v>313</v>
      </c>
      <c r="AB313" s="69"/>
      <c r="AC313" s="70"/>
      <c r="AD313" s="76" t="s">
        <v>21555</v>
      </c>
      <c r="AE313" s="81" t="s">
        <v>20603</v>
      </c>
      <c r="AF313" s="76">
        <v>264</v>
      </c>
      <c r="AG313" s="76">
        <v>27</v>
      </c>
      <c r="AH313" s="76">
        <v>3896</v>
      </c>
      <c r="AI313" s="76">
        <v>2</v>
      </c>
      <c r="AJ313" s="76">
        <v>90</v>
      </c>
      <c r="AK313" s="76">
        <v>3009</v>
      </c>
      <c r="AL313" s="76" t="b">
        <v>0</v>
      </c>
      <c r="AM313" s="78">
        <v>44743.624386574076</v>
      </c>
      <c r="AN313" s="76" t="s">
        <v>24064</v>
      </c>
      <c r="AO313" s="76" t="s">
        <v>24984</v>
      </c>
      <c r="AP313" s="82" t="str">
        <f>HYPERLINK("https://t.co/6noKXGpW5k")</f>
        <v>https://t.co/6noKXGpW5k</v>
      </c>
      <c r="AQ313" s="82" t="str">
        <f>HYPERLINK("https://bit.ly/3AppboA")</f>
        <v>https://bit.ly/3AppboA</v>
      </c>
      <c r="AR313" s="76" t="s">
        <v>26525</v>
      </c>
      <c r="AS313" s="76"/>
      <c r="AT313" s="76"/>
      <c r="AU313" s="76"/>
      <c r="AV313" s="76"/>
      <c r="AW313" s="82" t="str">
        <f>HYPERLINK("https://t.co/6noKXGpW5k")</f>
        <v>https://t.co/6noKXGpW5k</v>
      </c>
      <c r="AX313" s="76" t="b">
        <v>0</v>
      </c>
      <c r="AY313" s="76"/>
      <c r="AZ313" s="76"/>
      <c r="BA313" s="76" t="b">
        <v>0</v>
      </c>
      <c r="BB313" s="76" t="b">
        <v>1</v>
      </c>
      <c r="BC313" s="76" t="b">
        <v>1</v>
      </c>
      <c r="BD313" s="76" t="b">
        <v>0</v>
      </c>
      <c r="BE313" s="76" t="b">
        <v>0</v>
      </c>
      <c r="BF313" s="76" t="b">
        <v>0</v>
      </c>
      <c r="BG313" s="76" t="b">
        <v>0</v>
      </c>
      <c r="BH313" s="82" t="str">
        <f>HYPERLINK("https://pbs.twimg.com/profile_banners/1542885309033086979/1657726444")</f>
        <v>https://pbs.twimg.com/profile_banners/1542885309033086979/1657726444</v>
      </c>
      <c r="BI313" s="76"/>
      <c r="BJ313" s="76" t="s">
        <v>27595</v>
      </c>
      <c r="BK313" s="76" t="b">
        <v>0</v>
      </c>
      <c r="BL313" s="76"/>
      <c r="BM313" s="76" t="s">
        <v>66</v>
      </c>
      <c r="BN313" s="76" t="s">
        <v>27597</v>
      </c>
      <c r="BO313" s="82" t="str">
        <f>HYPERLINK("https://twitter.com/7diasrd")</f>
        <v>https://twitter.com/7diasrd</v>
      </c>
      <c r="BP313" s="2"/>
    </row>
    <row r="314" spans="1:68" x14ac:dyDescent="0.25">
      <c r="A314" s="62" t="s">
        <v>442</v>
      </c>
      <c r="B314" s="63"/>
      <c r="C314" s="63"/>
      <c r="D314" s="64"/>
      <c r="E314" s="66"/>
      <c r="F314" s="103" t="str">
        <f>HYPERLINK("https://pbs.twimg.com/profile_images/1588719882778050561/MpseKA3U_normal.jpg")</f>
        <v>https://pbs.twimg.com/profile_images/1588719882778050561/MpseKA3U_normal.jpg</v>
      </c>
      <c r="G314" s="63"/>
      <c r="H314" s="67"/>
      <c r="I314" s="68"/>
      <c r="J314" s="68"/>
      <c r="K314" s="67" t="s">
        <v>27908</v>
      </c>
      <c r="L314" s="71"/>
      <c r="M314" s="72"/>
      <c r="N314" s="72"/>
      <c r="O314" s="73"/>
      <c r="P314" s="74"/>
      <c r="Q314" s="74"/>
      <c r="R314" s="87"/>
      <c r="S314" s="87"/>
      <c r="T314" s="87"/>
      <c r="U314" s="87"/>
      <c r="V314" s="48"/>
      <c r="W314" s="48"/>
      <c r="X314" s="48"/>
      <c r="Y314" s="48"/>
      <c r="Z314" s="47"/>
      <c r="AA314" s="69">
        <v>314</v>
      </c>
      <c r="AB314" s="69"/>
      <c r="AC314" s="70"/>
      <c r="AD314" s="76" t="s">
        <v>21556</v>
      </c>
      <c r="AE314" s="81" t="s">
        <v>20604</v>
      </c>
      <c r="AF314" s="76">
        <v>112</v>
      </c>
      <c r="AG314" s="76">
        <v>458</v>
      </c>
      <c r="AH314" s="76">
        <v>1426</v>
      </c>
      <c r="AI314" s="76">
        <v>0</v>
      </c>
      <c r="AJ314" s="76">
        <v>1639</v>
      </c>
      <c r="AK314" s="76">
        <v>239</v>
      </c>
      <c r="AL314" s="76" t="b">
        <v>0</v>
      </c>
      <c r="AM314" s="78">
        <v>44359.331354166665</v>
      </c>
      <c r="AN314" s="76" t="s">
        <v>14400</v>
      </c>
      <c r="AO314" s="76" t="s">
        <v>24985</v>
      </c>
      <c r="AP314" s="76"/>
      <c r="AQ314" s="76"/>
      <c r="AR314" s="76"/>
      <c r="AS314" s="76"/>
      <c r="AT314" s="76"/>
      <c r="AU314" s="76"/>
      <c r="AV314" s="76"/>
      <c r="AW314" s="76"/>
      <c r="AX314" s="76" t="b">
        <v>0</v>
      </c>
      <c r="AY314" s="76"/>
      <c r="AZ314" s="76"/>
      <c r="BA314" s="76" t="b">
        <v>1</v>
      </c>
      <c r="BB314" s="76" t="b">
        <v>0</v>
      </c>
      <c r="BC314" s="76" t="b">
        <v>1</v>
      </c>
      <c r="BD314" s="76" t="b">
        <v>0</v>
      </c>
      <c r="BE314" s="76" t="b">
        <v>1</v>
      </c>
      <c r="BF314" s="76" t="b">
        <v>0</v>
      </c>
      <c r="BG314" s="76" t="b">
        <v>0</v>
      </c>
      <c r="BH314" s="82" t="str">
        <f>HYPERLINK("https://pbs.twimg.com/profile_banners/1403622332191608835/1674095195")</f>
        <v>https://pbs.twimg.com/profile_banners/1403622332191608835/1674095195</v>
      </c>
      <c r="BI314" s="76"/>
      <c r="BJ314" s="76" t="s">
        <v>27595</v>
      </c>
      <c r="BK314" s="76" t="b">
        <v>0</v>
      </c>
      <c r="BL314" s="76"/>
      <c r="BM314" s="76" t="s">
        <v>66</v>
      </c>
      <c r="BN314" s="76" t="s">
        <v>27597</v>
      </c>
      <c r="BO314" s="82" t="str">
        <f>HYPERLINK("https://twitter.com/thatasou_")</f>
        <v>https://twitter.com/thatasou_</v>
      </c>
      <c r="BP314" s="2"/>
    </row>
    <row r="315" spans="1:68" x14ac:dyDescent="0.25">
      <c r="A315" s="62" t="s">
        <v>1759</v>
      </c>
      <c r="B315" s="63"/>
      <c r="C315" s="63"/>
      <c r="D315" s="64"/>
      <c r="E315" s="66"/>
      <c r="F315" s="103" t="str">
        <f>HYPERLINK("https://pbs.twimg.com/profile_images/1656733093309317134/svNWwww3_normal.jpg")</f>
        <v>https://pbs.twimg.com/profile_images/1656733093309317134/svNWwww3_normal.jpg</v>
      </c>
      <c r="G315" s="63"/>
      <c r="H315" s="67"/>
      <c r="I315" s="68"/>
      <c r="J315" s="68"/>
      <c r="K315" s="67" t="s">
        <v>27909</v>
      </c>
      <c r="L315" s="71"/>
      <c r="M315" s="72"/>
      <c r="N315" s="72"/>
      <c r="O315" s="73"/>
      <c r="P315" s="74"/>
      <c r="Q315" s="74"/>
      <c r="R315" s="87"/>
      <c r="S315" s="87"/>
      <c r="T315" s="87"/>
      <c r="U315" s="87"/>
      <c r="V315" s="48"/>
      <c r="W315" s="48"/>
      <c r="X315" s="48"/>
      <c r="Y315" s="48"/>
      <c r="Z315" s="47"/>
      <c r="AA315" s="69">
        <v>315</v>
      </c>
      <c r="AB315" s="69"/>
      <c r="AC315" s="70"/>
      <c r="AD315" s="76" t="s">
        <v>21557</v>
      </c>
      <c r="AE315" s="81" t="s">
        <v>23226</v>
      </c>
      <c r="AF315" s="76">
        <v>20488</v>
      </c>
      <c r="AG315" s="76">
        <v>28</v>
      </c>
      <c r="AH315" s="76">
        <v>31979</v>
      </c>
      <c r="AI315" s="76">
        <v>44</v>
      </c>
      <c r="AJ315" s="76">
        <v>2580</v>
      </c>
      <c r="AK315" s="76">
        <v>1205</v>
      </c>
      <c r="AL315" s="76" t="b">
        <v>0</v>
      </c>
      <c r="AM315" s="78">
        <v>43557.628819444442</v>
      </c>
      <c r="AN315" s="76"/>
      <c r="AO315" s="76" t="s">
        <v>24986</v>
      </c>
      <c r="AP315" s="82" t="str">
        <f>HYPERLINK("https://t.co/rKcBWXCkaQ")</f>
        <v>https://t.co/rKcBWXCkaQ</v>
      </c>
      <c r="AQ315" s="82" t="str">
        <f>HYPERLINK("https://iti.itau/link/fazumiti")</f>
        <v>https://iti.itau/link/fazumiti</v>
      </c>
      <c r="AR315" s="76" t="s">
        <v>26526</v>
      </c>
      <c r="AS315" s="76"/>
      <c r="AT315" s="76"/>
      <c r="AU315" s="76"/>
      <c r="AV315" s="76"/>
      <c r="AW315" s="82" t="str">
        <f>HYPERLINK("https://t.co/rKcBWXCkaQ")</f>
        <v>https://t.co/rKcBWXCkaQ</v>
      </c>
      <c r="AX315" s="76" t="b">
        <v>0</v>
      </c>
      <c r="AY315" s="76"/>
      <c r="AZ315" s="76"/>
      <c r="BA315" s="76" t="b">
        <v>1</v>
      </c>
      <c r="BB315" s="76" t="b">
        <v>1</v>
      </c>
      <c r="BC315" s="76" t="b">
        <v>1</v>
      </c>
      <c r="BD315" s="76" t="b">
        <v>0</v>
      </c>
      <c r="BE315" s="76" t="b">
        <v>1</v>
      </c>
      <c r="BF315" s="76" t="b">
        <v>0</v>
      </c>
      <c r="BG315" s="76" t="b">
        <v>0</v>
      </c>
      <c r="BH315" s="82" t="str">
        <f>HYPERLINK("https://pbs.twimg.com/profile_banners/1113095113268494336/1683830927")</f>
        <v>https://pbs.twimg.com/profile_banners/1113095113268494336/1683830927</v>
      </c>
      <c r="BI315" s="76"/>
      <c r="BJ315" s="76" t="s">
        <v>27595</v>
      </c>
      <c r="BK315" s="76" t="b">
        <v>0</v>
      </c>
      <c r="BL315" s="76"/>
      <c r="BM315" s="76" t="s">
        <v>65</v>
      </c>
      <c r="BN315" s="76" t="s">
        <v>27597</v>
      </c>
      <c r="BO315" s="82" t="str">
        <f>HYPERLINK("https://twitter.com/fazumiti")</f>
        <v>https://twitter.com/fazumiti</v>
      </c>
      <c r="BP315" s="2"/>
    </row>
    <row r="316" spans="1:68" x14ac:dyDescent="0.25">
      <c r="A316" s="62" t="s">
        <v>1760</v>
      </c>
      <c r="B316" s="63"/>
      <c r="C316" s="63"/>
      <c r="D316" s="64"/>
      <c r="E316" s="66"/>
      <c r="F316" s="103" t="str">
        <f>HYPERLINK("https://pbs.twimg.com/profile_images/1640373537415340035/yaM4b3bj_normal.jpg")</f>
        <v>https://pbs.twimg.com/profile_images/1640373537415340035/yaM4b3bj_normal.jpg</v>
      </c>
      <c r="G316" s="63"/>
      <c r="H316" s="67"/>
      <c r="I316" s="68"/>
      <c r="J316" s="68"/>
      <c r="K316" s="67" t="s">
        <v>27910</v>
      </c>
      <c r="L316" s="71"/>
      <c r="M316" s="72"/>
      <c r="N316" s="72"/>
      <c r="O316" s="73"/>
      <c r="P316" s="74"/>
      <c r="Q316" s="74"/>
      <c r="R316" s="87"/>
      <c r="S316" s="87"/>
      <c r="T316" s="87"/>
      <c r="U316" s="87"/>
      <c r="V316" s="48"/>
      <c r="W316" s="48"/>
      <c r="X316" s="48"/>
      <c r="Y316" s="48"/>
      <c r="Z316" s="47"/>
      <c r="AA316" s="69">
        <v>316</v>
      </c>
      <c r="AB316" s="69"/>
      <c r="AC316" s="70"/>
      <c r="AD316" s="76" t="s">
        <v>21558</v>
      </c>
      <c r="AE316" s="81" t="s">
        <v>20288</v>
      </c>
      <c r="AF316" s="76">
        <v>683440</v>
      </c>
      <c r="AG316" s="76">
        <v>0</v>
      </c>
      <c r="AH316" s="76">
        <v>729755</v>
      </c>
      <c r="AI316" s="76">
        <v>771</v>
      </c>
      <c r="AJ316" s="76">
        <v>15506</v>
      </c>
      <c r="AK316" s="76">
        <v>5250</v>
      </c>
      <c r="AL316" s="76" t="b">
        <v>0</v>
      </c>
      <c r="AM316" s="78">
        <v>40407.223854166667</v>
      </c>
      <c r="AN316" s="76"/>
      <c r="AO316" s="76" t="s">
        <v>24987</v>
      </c>
      <c r="AP316" s="82" t="str">
        <f>HYPERLINK("https://t.co/Cpk5WoSY6u")</f>
        <v>https://t.co/Cpk5WoSY6u</v>
      </c>
      <c r="AQ316" s="82" t="str">
        <f>HYPERLINK("https://www.itau.com.br/")</f>
        <v>https://www.itau.com.br/</v>
      </c>
      <c r="AR316" s="76" t="s">
        <v>26527</v>
      </c>
      <c r="AS316" s="76"/>
      <c r="AT316" s="76"/>
      <c r="AU316" s="76"/>
      <c r="AV316" s="76"/>
      <c r="AW316" s="82" t="str">
        <f>HYPERLINK("https://t.co/Cpk5WoSY6u")</f>
        <v>https://t.co/Cpk5WoSY6u</v>
      </c>
      <c r="AX316" s="76" t="b">
        <v>0</v>
      </c>
      <c r="AY316" s="76"/>
      <c r="AZ316" s="76"/>
      <c r="BA316" s="76" t="b">
        <v>1</v>
      </c>
      <c r="BB316" s="76" t="b">
        <v>1</v>
      </c>
      <c r="BC316" s="76" t="b">
        <v>0</v>
      </c>
      <c r="BD316" s="76" t="b">
        <v>0</v>
      </c>
      <c r="BE316" s="76" t="b">
        <v>1</v>
      </c>
      <c r="BF316" s="76" t="b">
        <v>0</v>
      </c>
      <c r="BG316" s="76" t="b">
        <v>0</v>
      </c>
      <c r="BH316" s="82" t="str">
        <f>HYPERLINK("https://pbs.twimg.com/profile_banners/179398386/1695941657")</f>
        <v>https://pbs.twimg.com/profile_banners/179398386/1695941657</v>
      </c>
      <c r="BI316" s="76"/>
      <c r="BJ316" s="76" t="s">
        <v>27595</v>
      </c>
      <c r="BK316" s="76" t="b">
        <v>0</v>
      </c>
      <c r="BL316" s="76"/>
      <c r="BM316" s="76" t="s">
        <v>65</v>
      </c>
      <c r="BN316" s="76" t="s">
        <v>27597</v>
      </c>
      <c r="BO316" s="82" t="str">
        <f>HYPERLINK("https://twitter.com/itau")</f>
        <v>https://twitter.com/itau</v>
      </c>
      <c r="BP316" s="2"/>
    </row>
    <row r="317" spans="1:68" x14ac:dyDescent="0.25">
      <c r="A317" s="62" t="s">
        <v>443</v>
      </c>
      <c r="B317" s="63"/>
      <c r="C317" s="63"/>
      <c r="D317" s="64"/>
      <c r="E317" s="66"/>
      <c r="F317" s="103" t="str">
        <f>HYPERLINK("https://pbs.twimg.com/profile_images/378800000464456164/83560586c062ed96b5ca10d3393558c4_normal.jpeg")</f>
        <v>https://pbs.twimg.com/profile_images/378800000464456164/83560586c062ed96b5ca10d3393558c4_normal.jpeg</v>
      </c>
      <c r="G317" s="63"/>
      <c r="H317" s="67"/>
      <c r="I317" s="68"/>
      <c r="J317" s="68"/>
      <c r="K317" s="67" t="s">
        <v>27911</v>
      </c>
      <c r="L317" s="71"/>
      <c r="M317" s="72"/>
      <c r="N317" s="72"/>
      <c r="O317" s="73"/>
      <c r="P317" s="74"/>
      <c r="Q317" s="74"/>
      <c r="R317" s="87"/>
      <c r="S317" s="87"/>
      <c r="T317" s="87"/>
      <c r="U317" s="87"/>
      <c r="V317" s="48"/>
      <c r="W317" s="48"/>
      <c r="X317" s="48"/>
      <c r="Y317" s="48"/>
      <c r="Z317" s="47"/>
      <c r="AA317" s="69">
        <v>317</v>
      </c>
      <c r="AB317" s="69"/>
      <c r="AC317" s="70"/>
      <c r="AD317" s="76" t="s">
        <v>21559</v>
      </c>
      <c r="AE317" s="81" t="s">
        <v>23227</v>
      </c>
      <c r="AF317" s="76">
        <v>304</v>
      </c>
      <c r="AG317" s="76">
        <v>581</v>
      </c>
      <c r="AH317" s="76">
        <v>27191</v>
      </c>
      <c r="AI317" s="76">
        <v>2</v>
      </c>
      <c r="AJ317" s="76">
        <v>2785</v>
      </c>
      <c r="AK317" s="76">
        <v>11233</v>
      </c>
      <c r="AL317" s="76" t="b">
        <v>0</v>
      </c>
      <c r="AM317" s="78">
        <v>40959.836770833332</v>
      </c>
      <c r="AN317" s="76" t="s">
        <v>24201</v>
      </c>
      <c r="AO317" s="76" t="s">
        <v>24988</v>
      </c>
      <c r="AP317" s="82" t="str">
        <f>HYPERLINK("https://t.co/jMjv0lF3Zw")</f>
        <v>https://t.co/jMjv0lF3Zw</v>
      </c>
      <c r="AQ317" s="82" t="str">
        <f>HYPERLINK("http://www.soydelejido.com")</f>
        <v>http://www.soydelejido.com</v>
      </c>
      <c r="AR317" s="76" t="s">
        <v>26528</v>
      </c>
      <c r="AS317" s="76"/>
      <c r="AT317" s="76"/>
      <c r="AU317" s="76"/>
      <c r="AV317" s="76"/>
      <c r="AW317" s="82" t="str">
        <f>HYPERLINK("https://t.co/jMjv0lF3Zw")</f>
        <v>https://t.co/jMjv0lF3Zw</v>
      </c>
      <c r="AX317" s="76" t="b">
        <v>0</v>
      </c>
      <c r="AY317" s="76"/>
      <c r="AZ317" s="76"/>
      <c r="BA317" s="76" t="b">
        <v>0</v>
      </c>
      <c r="BB317" s="76" t="b">
        <v>1</v>
      </c>
      <c r="BC317" s="76" t="b">
        <v>0</v>
      </c>
      <c r="BD317" s="76" t="b">
        <v>0</v>
      </c>
      <c r="BE317" s="76" t="b">
        <v>0</v>
      </c>
      <c r="BF317" s="76" t="b">
        <v>0</v>
      </c>
      <c r="BG317" s="76" t="b">
        <v>1</v>
      </c>
      <c r="BH317" s="82" t="str">
        <f>HYPERLINK("https://pbs.twimg.com/profile_banners/498202732/1379299509")</f>
        <v>https://pbs.twimg.com/profile_banners/498202732/1379299509</v>
      </c>
      <c r="BI317" s="76"/>
      <c r="BJ317" s="76" t="s">
        <v>27595</v>
      </c>
      <c r="BK317" s="76" t="b">
        <v>0</v>
      </c>
      <c r="BL317" s="76"/>
      <c r="BM317" s="76" t="s">
        <v>66</v>
      </c>
      <c r="BN317" s="76" t="s">
        <v>27597</v>
      </c>
      <c r="BO317" s="82" t="str">
        <f>HYPERLINK("https://twitter.com/soydelejido")</f>
        <v>https://twitter.com/soydelejido</v>
      </c>
      <c r="BP317" s="2"/>
    </row>
    <row r="318" spans="1:68" x14ac:dyDescent="0.25">
      <c r="A318" s="62" t="s">
        <v>444</v>
      </c>
      <c r="B318" s="63"/>
      <c r="C318" s="63"/>
      <c r="D318" s="64"/>
      <c r="E318" s="66"/>
      <c r="F318" s="103" t="str">
        <f>HYPERLINK("https://pbs.twimg.com/profile_images/1253363185891053570/fFLVU2tX_normal.jpg")</f>
        <v>https://pbs.twimg.com/profile_images/1253363185891053570/fFLVU2tX_normal.jpg</v>
      </c>
      <c r="G318" s="63"/>
      <c r="H318" s="67"/>
      <c r="I318" s="68"/>
      <c r="J318" s="68"/>
      <c r="K318" s="67" t="s">
        <v>27912</v>
      </c>
      <c r="L318" s="71"/>
      <c r="M318" s="72"/>
      <c r="N318" s="72"/>
      <c r="O318" s="73"/>
      <c r="P318" s="74"/>
      <c r="Q318" s="74"/>
      <c r="R318" s="87"/>
      <c r="S318" s="87"/>
      <c r="T318" s="87"/>
      <c r="U318" s="87"/>
      <c r="V318" s="48"/>
      <c r="W318" s="48"/>
      <c r="X318" s="48"/>
      <c r="Y318" s="48"/>
      <c r="Z318" s="47"/>
      <c r="AA318" s="69">
        <v>318</v>
      </c>
      <c r="AB318" s="69"/>
      <c r="AC318" s="70"/>
      <c r="AD318" s="76" t="s">
        <v>21560</v>
      </c>
      <c r="AE318" s="81" t="s">
        <v>20605</v>
      </c>
      <c r="AF318" s="76">
        <v>143</v>
      </c>
      <c r="AG318" s="76">
        <v>385</v>
      </c>
      <c r="AH318" s="76">
        <v>13982</v>
      </c>
      <c r="AI318" s="76">
        <v>0</v>
      </c>
      <c r="AJ318" s="76">
        <v>7734</v>
      </c>
      <c r="AK318" s="76">
        <v>596</v>
      </c>
      <c r="AL318" s="76" t="b">
        <v>0</v>
      </c>
      <c r="AM318" s="78">
        <v>43944.161736111113</v>
      </c>
      <c r="AN318" s="76"/>
      <c r="AO318" s="76" t="s">
        <v>24989</v>
      </c>
      <c r="AP318" s="76"/>
      <c r="AQ318" s="76"/>
      <c r="AR318" s="76"/>
      <c r="AS318" s="76"/>
      <c r="AT318" s="76"/>
      <c r="AU318" s="76"/>
      <c r="AV318" s="76"/>
      <c r="AW318" s="76"/>
      <c r="AX318" s="76" t="b">
        <v>0</v>
      </c>
      <c r="AY318" s="76"/>
      <c r="AZ318" s="76"/>
      <c r="BA318" s="76" t="b">
        <v>0</v>
      </c>
      <c r="BB318" s="76" t="b">
        <v>1</v>
      </c>
      <c r="BC318" s="76" t="b">
        <v>1</v>
      </c>
      <c r="BD318" s="76" t="b">
        <v>0</v>
      </c>
      <c r="BE318" s="76" t="b">
        <v>0</v>
      </c>
      <c r="BF318" s="76" t="b">
        <v>0</v>
      </c>
      <c r="BG318" s="76" t="b">
        <v>0</v>
      </c>
      <c r="BH318" s="82" t="str">
        <f>HYPERLINK("https://pbs.twimg.com/profile_banners/1253169902577430529/1587660181")</f>
        <v>https://pbs.twimg.com/profile_banners/1253169902577430529/1587660181</v>
      </c>
      <c r="BI318" s="76"/>
      <c r="BJ318" s="76" t="s">
        <v>27595</v>
      </c>
      <c r="BK318" s="76" t="b">
        <v>0</v>
      </c>
      <c r="BL318" s="76"/>
      <c r="BM318" s="76" t="s">
        <v>66</v>
      </c>
      <c r="BN318" s="76" t="s">
        <v>27597</v>
      </c>
      <c r="BO318" s="82" t="str">
        <f>HYPERLINK("https://twitter.com/valb38")</f>
        <v>https://twitter.com/valb38</v>
      </c>
      <c r="BP318" s="2"/>
    </row>
    <row r="319" spans="1:68" x14ac:dyDescent="0.25">
      <c r="A319" s="62" t="s">
        <v>445</v>
      </c>
      <c r="B319" s="63"/>
      <c r="C319" s="63"/>
      <c r="D319" s="64"/>
      <c r="E319" s="66"/>
      <c r="F319" s="103" t="str">
        <f>HYPERLINK("https://pbs.twimg.com/profile_images/1529617001802612739/Lk_qtwby_normal.jpg")</f>
        <v>https://pbs.twimg.com/profile_images/1529617001802612739/Lk_qtwby_normal.jpg</v>
      </c>
      <c r="G319" s="63"/>
      <c r="H319" s="67"/>
      <c r="I319" s="68"/>
      <c r="J319" s="68"/>
      <c r="K319" s="67" t="s">
        <v>27913</v>
      </c>
      <c r="L319" s="71"/>
      <c r="M319" s="72"/>
      <c r="N319" s="72"/>
      <c r="O319" s="73"/>
      <c r="P319" s="74"/>
      <c r="Q319" s="74"/>
      <c r="R319" s="87"/>
      <c r="S319" s="87"/>
      <c r="T319" s="87"/>
      <c r="U319" s="87"/>
      <c r="V319" s="48"/>
      <c r="W319" s="48"/>
      <c r="X319" s="48"/>
      <c r="Y319" s="48"/>
      <c r="Z319" s="47"/>
      <c r="AA319" s="69">
        <v>319</v>
      </c>
      <c r="AB319" s="69"/>
      <c r="AC319" s="70"/>
      <c r="AD319" s="76" t="s">
        <v>21561</v>
      </c>
      <c r="AE319" s="81" t="s">
        <v>23228</v>
      </c>
      <c r="AF319" s="76">
        <v>235</v>
      </c>
      <c r="AG319" s="76">
        <v>1529</v>
      </c>
      <c r="AH319" s="76">
        <v>16411</v>
      </c>
      <c r="AI319" s="76">
        <v>2</v>
      </c>
      <c r="AJ319" s="76">
        <v>16933</v>
      </c>
      <c r="AK319" s="76">
        <v>1162</v>
      </c>
      <c r="AL319" s="76" t="b">
        <v>0</v>
      </c>
      <c r="AM319" s="78">
        <v>40929.975173611114</v>
      </c>
      <c r="AN319" s="76"/>
      <c r="AO319" s="76" t="s">
        <v>24990</v>
      </c>
      <c r="AP319" s="76"/>
      <c r="AQ319" s="76"/>
      <c r="AR319" s="76"/>
      <c r="AS319" s="76"/>
      <c r="AT319" s="76"/>
      <c r="AU319" s="76"/>
      <c r="AV319" s="76"/>
      <c r="AW319" s="76"/>
      <c r="AX319" s="76" t="b">
        <v>0</v>
      </c>
      <c r="AY319" s="76"/>
      <c r="AZ319" s="76"/>
      <c r="BA319" s="76" t="b">
        <v>1</v>
      </c>
      <c r="BB319" s="76" t="b">
        <v>1</v>
      </c>
      <c r="BC319" s="76" t="b">
        <v>0</v>
      </c>
      <c r="BD319" s="76" t="b">
        <v>0</v>
      </c>
      <c r="BE319" s="76" t="b">
        <v>0</v>
      </c>
      <c r="BF319" s="76" t="b">
        <v>0</v>
      </c>
      <c r="BG319" s="76" t="b">
        <v>0</v>
      </c>
      <c r="BH319" s="82" t="str">
        <f>HYPERLINK("https://pbs.twimg.com/profile_banners/470606768/1392598149")</f>
        <v>https://pbs.twimg.com/profile_banners/470606768/1392598149</v>
      </c>
      <c r="BI319" s="76"/>
      <c r="BJ319" s="76" t="s">
        <v>27595</v>
      </c>
      <c r="BK319" s="76" t="b">
        <v>0</v>
      </c>
      <c r="BL319" s="76"/>
      <c r="BM319" s="76" t="s">
        <v>66</v>
      </c>
      <c r="BN319" s="76" t="s">
        <v>27597</v>
      </c>
      <c r="BO319" s="82" t="str">
        <f>HYPERLINK("https://twitter.com/pinaademir")</f>
        <v>https://twitter.com/pinaademir</v>
      </c>
      <c r="BP319" s="2"/>
    </row>
    <row r="320" spans="1:68" x14ac:dyDescent="0.25">
      <c r="A320" s="62" t="s">
        <v>1761</v>
      </c>
      <c r="B320" s="63"/>
      <c r="C320" s="63"/>
      <c r="D320" s="64"/>
      <c r="E320" s="66"/>
      <c r="F320" s="103" t="str">
        <f>HYPERLINK("https://pbs.twimg.com/profile_images/1642966741138415647/fHdgQUGl_normal.jpg")</f>
        <v>https://pbs.twimg.com/profile_images/1642966741138415647/fHdgQUGl_normal.jpg</v>
      </c>
      <c r="G320" s="63"/>
      <c r="H320" s="67"/>
      <c r="I320" s="68"/>
      <c r="J320" s="68"/>
      <c r="K320" s="67" t="s">
        <v>27914</v>
      </c>
      <c r="L320" s="71"/>
      <c r="M320" s="72"/>
      <c r="N320" s="72"/>
      <c r="O320" s="73"/>
      <c r="P320" s="74"/>
      <c r="Q320" s="74"/>
      <c r="R320" s="87"/>
      <c r="S320" s="87"/>
      <c r="T320" s="87"/>
      <c r="U320" s="87"/>
      <c r="V320" s="48"/>
      <c r="W320" s="48"/>
      <c r="X320" s="48"/>
      <c r="Y320" s="48"/>
      <c r="Z320" s="47"/>
      <c r="AA320" s="69">
        <v>320</v>
      </c>
      <c r="AB320" s="69"/>
      <c r="AC320" s="70"/>
      <c r="AD320" s="76" t="s">
        <v>21562</v>
      </c>
      <c r="AE320" s="81" t="s">
        <v>20239</v>
      </c>
      <c r="AF320" s="76">
        <v>1044808</v>
      </c>
      <c r="AG320" s="76">
        <v>1622</v>
      </c>
      <c r="AH320" s="76">
        <v>307516</v>
      </c>
      <c r="AI320" s="76">
        <v>1890</v>
      </c>
      <c r="AJ320" s="76">
        <v>46217</v>
      </c>
      <c r="AK320" s="76">
        <v>187423</v>
      </c>
      <c r="AL320" s="76" t="b">
        <v>0</v>
      </c>
      <c r="AM320" s="78">
        <v>42172.610844907409</v>
      </c>
      <c r="AN320" s="76" t="s">
        <v>14411</v>
      </c>
      <c r="AO320" s="76" t="s">
        <v>24991</v>
      </c>
      <c r="AP320" s="82" t="str">
        <f>HYPERLINK("https://t.co/bH1TESRwr6")</f>
        <v>https://t.co/bH1TESRwr6</v>
      </c>
      <c r="AQ320" s="82" t="str">
        <f>HYPERLINK("http://www.metropoles.com")</f>
        <v>http://www.metropoles.com</v>
      </c>
      <c r="AR320" s="76" t="s">
        <v>26529</v>
      </c>
      <c r="AS320" s="76"/>
      <c r="AT320" s="76"/>
      <c r="AU320" s="76"/>
      <c r="AV320" s="76"/>
      <c r="AW320" s="82" t="str">
        <f>HYPERLINK("https://t.co/bH1TESRwr6")</f>
        <v>https://t.co/bH1TESRwr6</v>
      </c>
      <c r="AX320" s="76" t="b">
        <v>0</v>
      </c>
      <c r="AY320" s="76"/>
      <c r="AZ320" s="76"/>
      <c r="BA320" s="76" t="b">
        <v>1</v>
      </c>
      <c r="BB320" s="76" t="b">
        <v>1</v>
      </c>
      <c r="BC320" s="76" t="b">
        <v>0</v>
      </c>
      <c r="BD320" s="76" t="b">
        <v>0</v>
      </c>
      <c r="BE320" s="76" t="b">
        <v>1</v>
      </c>
      <c r="BF320" s="76" t="b">
        <v>0</v>
      </c>
      <c r="BG320" s="76" t="b">
        <v>0</v>
      </c>
      <c r="BH320" s="82" t="str">
        <f>HYPERLINK("https://pbs.twimg.com/profile_banners/3331429624/1680548700")</f>
        <v>https://pbs.twimg.com/profile_banners/3331429624/1680548700</v>
      </c>
      <c r="BI320" s="76"/>
      <c r="BJ320" s="76" t="s">
        <v>27595</v>
      </c>
      <c r="BK320" s="76" t="b">
        <v>0</v>
      </c>
      <c r="BL320" s="76"/>
      <c r="BM320" s="76" t="s">
        <v>65</v>
      </c>
      <c r="BN320" s="76" t="s">
        <v>27597</v>
      </c>
      <c r="BO320" s="82" t="str">
        <f>HYPERLINK("https://twitter.com/metropoles")</f>
        <v>https://twitter.com/metropoles</v>
      </c>
      <c r="BP320" s="2"/>
    </row>
    <row r="321" spans="1:68" x14ac:dyDescent="0.25">
      <c r="A321" s="62" t="s">
        <v>446</v>
      </c>
      <c r="B321" s="63"/>
      <c r="C321" s="63"/>
      <c r="D321" s="64"/>
      <c r="E321" s="66"/>
      <c r="F321" s="103" t="str">
        <f>HYPERLINK("https://pbs.twimg.com/profile_images/1658449839917608961/AFmoNy5z_normal.jpg")</f>
        <v>https://pbs.twimg.com/profile_images/1658449839917608961/AFmoNy5z_normal.jpg</v>
      </c>
      <c r="G321" s="63"/>
      <c r="H321" s="67"/>
      <c r="I321" s="68"/>
      <c r="J321" s="68"/>
      <c r="K321" s="67" t="s">
        <v>27915</v>
      </c>
      <c r="L321" s="71"/>
      <c r="M321" s="72"/>
      <c r="N321" s="72"/>
      <c r="O321" s="73"/>
      <c r="P321" s="74"/>
      <c r="Q321" s="74"/>
      <c r="R321" s="87"/>
      <c r="S321" s="87"/>
      <c r="T321" s="87"/>
      <c r="U321" s="87"/>
      <c r="V321" s="48"/>
      <c r="W321" s="48"/>
      <c r="X321" s="48"/>
      <c r="Y321" s="48"/>
      <c r="Z321" s="47"/>
      <c r="AA321" s="69">
        <v>321</v>
      </c>
      <c r="AB321" s="69"/>
      <c r="AC321" s="70"/>
      <c r="AD321" s="76" t="s">
        <v>21563</v>
      </c>
      <c r="AE321" s="81" t="s">
        <v>20606</v>
      </c>
      <c r="AF321" s="76">
        <v>772</v>
      </c>
      <c r="AG321" s="76">
        <v>124</v>
      </c>
      <c r="AH321" s="76">
        <v>22344</v>
      </c>
      <c r="AI321" s="76">
        <v>8</v>
      </c>
      <c r="AJ321" s="76">
        <v>63</v>
      </c>
      <c r="AK321" s="76">
        <v>16239</v>
      </c>
      <c r="AL321" s="76" t="b">
        <v>0</v>
      </c>
      <c r="AM321" s="78">
        <v>42583.811562499999</v>
      </c>
      <c r="AN321" s="76" t="s">
        <v>24138</v>
      </c>
      <c r="AO321" s="76" t="s">
        <v>24992</v>
      </c>
      <c r="AP321" s="82" t="str">
        <f>HYPERLINK("https://t.co/28ebz9kR5W")</f>
        <v>https://t.co/28ebz9kR5W</v>
      </c>
      <c r="AQ321" s="82" t="str">
        <f>HYPERLINK("https://diaonline.ig.com.br/")</f>
        <v>https://diaonline.ig.com.br/</v>
      </c>
      <c r="AR321" s="76" t="s">
        <v>26530</v>
      </c>
      <c r="AS321" s="76"/>
      <c r="AT321" s="76"/>
      <c r="AU321" s="76"/>
      <c r="AV321" s="76"/>
      <c r="AW321" s="82" t="str">
        <f>HYPERLINK("https://t.co/28ebz9kR5W")</f>
        <v>https://t.co/28ebz9kR5W</v>
      </c>
      <c r="AX321" s="76" t="b">
        <v>0</v>
      </c>
      <c r="AY321" s="76"/>
      <c r="AZ321" s="76"/>
      <c r="BA321" s="76" t="b">
        <v>1</v>
      </c>
      <c r="BB321" s="76" t="b">
        <v>1</v>
      </c>
      <c r="BC321" s="76" t="b">
        <v>0</v>
      </c>
      <c r="BD321" s="76" t="b">
        <v>0</v>
      </c>
      <c r="BE321" s="76" t="b">
        <v>0</v>
      </c>
      <c r="BF321" s="76" t="b">
        <v>0</v>
      </c>
      <c r="BG321" s="76" t="b">
        <v>0</v>
      </c>
      <c r="BH321" s="82" t="str">
        <f>HYPERLINK("https://pbs.twimg.com/profile_banners/760195556144717824/1684247188")</f>
        <v>https://pbs.twimg.com/profile_banners/760195556144717824/1684247188</v>
      </c>
      <c r="BI321" s="76"/>
      <c r="BJ321" s="76" t="s">
        <v>27595</v>
      </c>
      <c r="BK321" s="76" t="b">
        <v>0</v>
      </c>
      <c r="BL321" s="76"/>
      <c r="BM321" s="76" t="s">
        <v>66</v>
      </c>
      <c r="BN321" s="76" t="s">
        <v>27597</v>
      </c>
      <c r="BO321" s="82" t="str">
        <f>HYPERLINK("https://twitter.com/portaldia_")</f>
        <v>https://twitter.com/portaldia_</v>
      </c>
      <c r="BP321" s="2"/>
    </row>
    <row r="322" spans="1:68" x14ac:dyDescent="0.25">
      <c r="A322" s="62" t="s">
        <v>447</v>
      </c>
      <c r="B322" s="63"/>
      <c r="C322" s="63"/>
      <c r="D322" s="64"/>
      <c r="E322" s="66"/>
      <c r="F322" s="103" t="str">
        <f>HYPERLINK("https://pbs.twimg.com/profile_images/1577415422399647744/nnfSTyTl_normal.jpg")</f>
        <v>https://pbs.twimg.com/profile_images/1577415422399647744/nnfSTyTl_normal.jpg</v>
      </c>
      <c r="G322" s="63"/>
      <c r="H322" s="67"/>
      <c r="I322" s="68"/>
      <c r="J322" s="68"/>
      <c r="K322" s="67" t="s">
        <v>27916</v>
      </c>
      <c r="L322" s="71"/>
      <c r="M322" s="72"/>
      <c r="N322" s="72"/>
      <c r="O322" s="73"/>
      <c r="P322" s="74"/>
      <c r="Q322" s="74"/>
      <c r="R322" s="87"/>
      <c r="S322" s="87"/>
      <c r="T322" s="87"/>
      <c r="U322" s="87"/>
      <c r="V322" s="48"/>
      <c r="W322" s="48"/>
      <c r="X322" s="48"/>
      <c r="Y322" s="48"/>
      <c r="Z322" s="47"/>
      <c r="AA322" s="69">
        <v>322</v>
      </c>
      <c r="AB322" s="69"/>
      <c r="AC322" s="70"/>
      <c r="AD322" s="76" t="s">
        <v>21564</v>
      </c>
      <c r="AE322" s="81" t="s">
        <v>23229</v>
      </c>
      <c r="AF322" s="76">
        <v>43032</v>
      </c>
      <c r="AG322" s="76">
        <v>1449</v>
      </c>
      <c r="AH322" s="76">
        <v>5209</v>
      </c>
      <c r="AI322" s="76">
        <v>159</v>
      </c>
      <c r="AJ322" s="76">
        <v>2108</v>
      </c>
      <c r="AK322" s="76">
        <v>2301</v>
      </c>
      <c r="AL322" s="76" t="b">
        <v>0</v>
      </c>
      <c r="AM322" s="78">
        <v>40330.859120370369</v>
      </c>
      <c r="AN322" s="76" t="s">
        <v>24202</v>
      </c>
      <c r="AO322" s="76" t="s">
        <v>24993</v>
      </c>
      <c r="AP322" s="76"/>
      <c r="AQ322" s="76"/>
      <c r="AR322" s="76"/>
      <c r="AS322" s="76"/>
      <c r="AT322" s="76"/>
      <c r="AU322" s="76"/>
      <c r="AV322" s="76"/>
      <c r="AW322" s="76"/>
      <c r="AX322" s="76" t="b">
        <v>1</v>
      </c>
      <c r="AY322" s="76"/>
      <c r="AZ322" s="76"/>
      <c r="BA322" s="76" t="b">
        <v>0</v>
      </c>
      <c r="BB322" s="76" t="b">
        <v>1</v>
      </c>
      <c r="BC322" s="76" t="b">
        <v>0</v>
      </c>
      <c r="BD322" s="76" t="b">
        <v>0</v>
      </c>
      <c r="BE322" s="76" t="b">
        <v>0</v>
      </c>
      <c r="BF322" s="76" t="b">
        <v>0</v>
      </c>
      <c r="BG322" s="76" t="b">
        <v>0</v>
      </c>
      <c r="BH322" s="82" t="str">
        <f>HYPERLINK("https://pbs.twimg.com/profile_banners/150786349/1666715509")</f>
        <v>https://pbs.twimg.com/profile_banners/150786349/1666715509</v>
      </c>
      <c r="BI322" s="76"/>
      <c r="BJ322" s="76" t="s">
        <v>27595</v>
      </c>
      <c r="BK322" s="76" t="b">
        <v>0</v>
      </c>
      <c r="BL322" s="76"/>
      <c r="BM322" s="76" t="s">
        <v>66</v>
      </c>
      <c r="BN322" s="76" t="s">
        <v>27597</v>
      </c>
      <c r="BO322" s="82" t="str">
        <f>HYPERLINK("https://twitter.com/delatorrej")</f>
        <v>https://twitter.com/delatorrej</v>
      </c>
      <c r="BP322" s="2"/>
    </row>
    <row r="323" spans="1:68" x14ac:dyDescent="0.25">
      <c r="A323" s="62" t="s">
        <v>448</v>
      </c>
      <c r="B323" s="63"/>
      <c r="C323" s="63"/>
      <c r="D323" s="64"/>
      <c r="E323" s="66"/>
      <c r="F323" s="103" t="str">
        <f>HYPERLINK("https://pbs.twimg.com/profile_images/1650944742706872320/pNzLyy26_normal.jpg")</f>
        <v>https://pbs.twimg.com/profile_images/1650944742706872320/pNzLyy26_normal.jpg</v>
      </c>
      <c r="G323" s="63"/>
      <c r="H323" s="67"/>
      <c r="I323" s="68"/>
      <c r="J323" s="68"/>
      <c r="K323" s="67" t="s">
        <v>27917</v>
      </c>
      <c r="L323" s="71"/>
      <c r="M323" s="72"/>
      <c r="N323" s="72"/>
      <c r="O323" s="73"/>
      <c r="P323" s="74"/>
      <c r="Q323" s="74"/>
      <c r="R323" s="87"/>
      <c r="S323" s="87"/>
      <c r="T323" s="87"/>
      <c r="U323" s="87"/>
      <c r="V323" s="48"/>
      <c r="W323" s="48"/>
      <c r="X323" s="48"/>
      <c r="Y323" s="48"/>
      <c r="Z323" s="47"/>
      <c r="AA323" s="69">
        <v>323</v>
      </c>
      <c r="AB323" s="69"/>
      <c r="AC323" s="70"/>
      <c r="AD323" s="76" t="s">
        <v>21565</v>
      </c>
      <c r="AE323" s="81" t="s">
        <v>23230</v>
      </c>
      <c r="AF323" s="76">
        <v>1310</v>
      </c>
      <c r="AG323" s="76">
        <v>1479</v>
      </c>
      <c r="AH323" s="76">
        <v>67383</v>
      </c>
      <c r="AI323" s="76">
        <v>1</v>
      </c>
      <c r="AJ323" s="76">
        <v>127952</v>
      </c>
      <c r="AK323" s="76">
        <v>830</v>
      </c>
      <c r="AL323" s="76" t="b">
        <v>0</v>
      </c>
      <c r="AM323" s="78">
        <v>41530.932824074072</v>
      </c>
      <c r="AN323" s="76" t="s">
        <v>24203</v>
      </c>
      <c r="AO323" s="76" t="s">
        <v>24994</v>
      </c>
      <c r="AP323" s="76"/>
      <c r="AQ323" s="76"/>
      <c r="AR323" s="76"/>
      <c r="AS323" s="76"/>
      <c r="AT323" s="76"/>
      <c r="AU323" s="76"/>
      <c r="AV323" s="76">
        <v>7.5474196391254003E+17</v>
      </c>
      <c r="AW323" s="76"/>
      <c r="AX323" s="76" t="b">
        <v>0</v>
      </c>
      <c r="AY323" s="76"/>
      <c r="AZ323" s="76"/>
      <c r="BA323" s="76" t="b">
        <v>1</v>
      </c>
      <c r="BB323" s="76" t="b">
        <v>0</v>
      </c>
      <c r="BC323" s="76" t="b">
        <v>0</v>
      </c>
      <c r="BD323" s="76" t="b">
        <v>0</v>
      </c>
      <c r="BE323" s="76" t="b">
        <v>1</v>
      </c>
      <c r="BF323" s="76" t="b">
        <v>0</v>
      </c>
      <c r="BG323" s="76" t="b">
        <v>0</v>
      </c>
      <c r="BH323" s="82" t="str">
        <f>HYPERLINK("https://pbs.twimg.com/profile_banners/1861864728/1685739975")</f>
        <v>https://pbs.twimg.com/profile_banners/1861864728/1685739975</v>
      </c>
      <c r="BI323" s="76"/>
      <c r="BJ323" s="76" t="s">
        <v>27595</v>
      </c>
      <c r="BK323" s="76" t="b">
        <v>0</v>
      </c>
      <c r="BL323" s="76"/>
      <c r="BM323" s="76" t="s">
        <v>66</v>
      </c>
      <c r="BN323" s="76" t="s">
        <v>27597</v>
      </c>
      <c r="BO323" s="82" t="str">
        <f>HYPERLINK("https://twitter.com/blueandwhite")</f>
        <v>https://twitter.com/blueandwhite</v>
      </c>
      <c r="BP323" s="2"/>
    </row>
    <row r="324" spans="1:68" x14ac:dyDescent="0.25">
      <c r="A324" s="62" t="s">
        <v>449</v>
      </c>
      <c r="B324" s="63"/>
      <c r="C324" s="63"/>
      <c r="D324" s="64"/>
      <c r="E324" s="66"/>
      <c r="F324" s="103" t="str">
        <f>HYPERLINK("https://pbs.twimg.com/profile_images/1646705228371095552/8nh6Pcs-_normal.jpg")</f>
        <v>https://pbs.twimg.com/profile_images/1646705228371095552/8nh6Pcs-_normal.jpg</v>
      </c>
      <c r="G324" s="63"/>
      <c r="H324" s="67"/>
      <c r="I324" s="68"/>
      <c r="J324" s="68"/>
      <c r="K324" s="67" t="s">
        <v>27918</v>
      </c>
      <c r="L324" s="71"/>
      <c r="M324" s="72"/>
      <c r="N324" s="72"/>
      <c r="O324" s="73"/>
      <c r="P324" s="74"/>
      <c r="Q324" s="74"/>
      <c r="R324" s="87"/>
      <c r="S324" s="87"/>
      <c r="T324" s="87"/>
      <c r="U324" s="87"/>
      <c r="V324" s="48"/>
      <c r="W324" s="48"/>
      <c r="X324" s="48"/>
      <c r="Y324" s="48"/>
      <c r="Z324" s="47"/>
      <c r="AA324" s="69">
        <v>324</v>
      </c>
      <c r="AB324" s="69"/>
      <c r="AC324" s="70"/>
      <c r="AD324" s="76" t="s">
        <v>21566</v>
      </c>
      <c r="AE324" s="81" t="s">
        <v>23231</v>
      </c>
      <c r="AF324" s="76">
        <v>415</v>
      </c>
      <c r="AG324" s="76">
        <v>1013</v>
      </c>
      <c r="AH324" s="76">
        <v>6571</v>
      </c>
      <c r="AI324" s="76">
        <v>20</v>
      </c>
      <c r="AJ324" s="76">
        <v>1818</v>
      </c>
      <c r="AK324" s="76">
        <v>869</v>
      </c>
      <c r="AL324" s="76" t="b">
        <v>0</v>
      </c>
      <c r="AM324" s="78">
        <v>39987.797569444447</v>
      </c>
      <c r="AN324" s="76" t="s">
        <v>14432</v>
      </c>
      <c r="AO324" s="76" t="s">
        <v>24995</v>
      </c>
      <c r="AP324" s="82" t="str">
        <f>HYPERLINK("https://t.co/HdeKAXS0De")</f>
        <v>https://t.co/HdeKAXS0De</v>
      </c>
      <c r="AQ324" s="82" t="str">
        <f>HYPERLINK("http://instagram.com/LeoMorenno")</f>
        <v>http://instagram.com/LeoMorenno</v>
      </c>
      <c r="AR324" s="76" t="s">
        <v>26531</v>
      </c>
      <c r="AS324" s="76"/>
      <c r="AT324" s="76"/>
      <c r="AU324" s="76"/>
      <c r="AV324" s="76"/>
      <c r="AW324" s="82" t="str">
        <f>HYPERLINK("https://t.co/HdeKAXS0De")</f>
        <v>https://t.co/HdeKAXS0De</v>
      </c>
      <c r="AX324" s="76" t="b">
        <v>0</v>
      </c>
      <c r="AY324" s="76"/>
      <c r="AZ324" s="76"/>
      <c r="BA324" s="76" t="b">
        <v>1</v>
      </c>
      <c r="BB324" s="76" t="b">
        <v>0</v>
      </c>
      <c r="BC324" s="76" t="b">
        <v>0</v>
      </c>
      <c r="BD324" s="76" t="b">
        <v>0</v>
      </c>
      <c r="BE324" s="76" t="b">
        <v>1</v>
      </c>
      <c r="BF324" s="76" t="b">
        <v>0</v>
      </c>
      <c r="BG324" s="76" t="b">
        <v>0</v>
      </c>
      <c r="BH324" s="82" t="str">
        <f>HYPERLINK("https://pbs.twimg.com/profile_banners/50068402/1695073666")</f>
        <v>https://pbs.twimg.com/profile_banners/50068402/1695073666</v>
      </c>
      <c r="BI324" s="76"/>
      <c r="BJ324" s="76" t="s">
        <v>27595</v>
      </c>
      <c r="BK324" s="76" t="b">
        <v>0</v>
      </c>
      <c r="BL324" s="76"/>
      <c r="BM324" s="76" t="s">
        <v>66</v>
      </c>
      <c r="BN324" s="76" t="s">
        <v>27597</v>
      </c>
      <c r="BO324" s="82" t="str">
        <f>HYPERLINK("https://twitter.com/sigaleonnardo")</f>
        <v>https://twitter.com/sigaleonnardo</v>
      </c>
      <c r="BP324" s="2"/>
    </row>
    <row r="325" spans="1:68" x14ac:dyDescent="0.25">
      <c r="A325" s="62" t="s">
        <v>450</v>
      </c>
      <c r="B325" s="63"/>
      <c r="C325" s="63"/>
      <c r="D325" s="64"/>
      <c r="E325" s="66"/>
      <c r="F325" s="103" t="str">
        <f>HYPERLINK("https://pbs.twimg.com/profile_images/1353806094951395329/FTQS1Nld_normal.jpg")</f>
        <v>https://pbs.twimg.com/profile_images/1353806094951395329/FTQS1Nld_normal.jpg</v>
      </c>
      <c r="G325" s="63"/>
      <c r="H325" s="67"/>
      <c r="I325" s="68"/>
      <c r="J325" s="68"/>
      <c r="K325" s="67" t="s">
        <v>27919</v>
      </c>
      <c r="L325" s="71"/>
      <c r="M325" s="72"/>
      <c r="N325" s="72"/>
      <c r="O325" s="73"/>
      <c r="P325" s="74"/>
      <c r="Q325" s="74"/>
      <c r="R325" s="87"/>
      <c r="S325" s="87"/>
      <c r="T325" s="87"/>
      <c r="U325" s="87"/>
      <c r="V325" s="48"/>
      <c r="W325" s="48"/>
      <c r="X325" s="48"/>
      <c r="Y325" s="48"/>
      <c r="Z325" s="47"/>
      <c r="AA325" s="69">
        <v>325</v>
      </c>
      <c r="AB325" s="69"/>
      <c r="AC325" s="70"/>
      <c r="AD325" s="76" t="s">
        <v>21567</v>
      </c>
      <c r="AE325" s="81" t="s">
        <v>20240</v>
      </c>
      <c r="AF325" s="76">
        <v>0</v>
      </c>
      <c r="AG325" s="76">
        <v>5</v>
      </c>
      <c r="AH325" s="76">
        <v>8</v>
      </c>
      <c r="AI325" s="76">
        <v>0</v>
      </c>
      <c r="AJ325" s="76">
        <v>3</v>
      </c>
      <c r="AK325" s="76">
        <v>0</v>
      </c>
      <c r="AL325" s="76" t="b">
        <v>0</v>
      </c>
      <c r="AM325" s="78">
        <v>41107.55736111111</v>
      </c>
      <c r="AN325" s="76"/>
      <c r="AO325" s="76" t="s">
        <v>24996</v>
      </c>
      <c r="AP325" s="76"/>
      <c r="AQ325" s="76"/>
      <c r="AR325" s="76"/>
      <c r="AS325" s="76"/>
      <c r="AT325" s="76"/>
      <c r="AU325" s="76"/>
      <c r="AV325" s="76"/>
      <c r="AW325" s="76"/>
      <c r="AX325" s="76" t="b">
        <v>0</v>
      </c>
      <c r="AY325" s="76"/>
      <c r="AZ325" s="76"/>
      <c r="BA325" s="76" t="b">
        <v>0</v>
      </c>
      <c r="BB325" s="76" t="b">
        <v>1</v>
      </c>
      <c r="BC325" s="76" t="b">
        <v>1</v>
      </c>
      <c r="BD325" s="76" t="b">
        <v>0</v>
      </c>
      <c r="BE325" s="76" t="b">
        <v>0</v>
      </c>
      <c r="BF325" s="76" t="b">
        <v>0</v>
      </c>
      <c r="BG325" s="76" t="b">
        <v>0</v>
      </c>
      <c r="BH325" s="76"/>
      <c r="BI325" s="76"/>
      <c r="BJ325" s="76" t="s">
        <v>27595</v>
      </c>
      <c r="BK325" s="76" t="b">
        <v>0</v>
      </c>
      <c r="BL325" s="76"/>
      <c r="BM325" s="76" t="s">
        <v>66</v>
      </c>
      <c r="BN325" s="76" t="s">
        <v>27597</v>
      </c>
      <c r="BO325" s="82" t="str">
        <f>HYPERLINK("https://twitter.com/ronnymultani")</f>
        <v>https://twitter.com/ronnymultani</v>
      </c>
      <c r="BP325" s="2"/>
    </row>
    <row r="326" spans="1:68" x14ac:dyDescent="0.25">
      <c r="A326" s="62" t="s">
        <v>451</v>
      </c>
      <c r="B326" s="63"/>
      <c r="C326" s="63"/>
      <c r="D326" s="64"/>
      <c r="E326" s="66"/>
      <c r="F326" s="103" t="str">
        <f>HYPERLINK("https://pbs.twimg.com/profile_images/1322770735446806529/7mFWvtz-_normal.jpg")</f>
        <v>https://pbs.twimg.com/profile_images/1322770735446806529/7mFWvtz-_normal.jpg</v>
      </c>
      <c r="G326" s="63"/>
      <c r="H326" s="67"/>
      <c r="I326" s="68"/>
      <c r="J326" s="68"/>
      <c r="K326" s="67" t="s">
        <v>27920</v>
      </c>
      <c r="L326" s="71"/>
      <c r="M326" s="72"/>
      <c r="N326" s="72"/>
      <c r="O326" s="73"/>
      <c r="P326" s="74"/>
      <c r="Q326" s="74"/>
      <c r="R326" s="87"/>
      <c r="S326" s="87"/>
      <c r="T326" s="87"/>
      <c r="U326" s="87"/>
      <c r="V326" s="48"/>
      <c r="W326" s="48"/>
      <c r="X326" s="48"/>
      <c r="Y326" s="48"/>
      <c r="Z326" s="47"/>
      <c r="AA326" s="69">
        <v>326</v>
      </c>
      <c r="AB326" s="69"/>
      <c r="AC326" s="70"/>
      <c r="AD326" s="76" t="s">
        <v>21568</v>
      </c>
      <c r="AE326" s="81" t="s">
        <v>20607</v>
      </c>
      <c r="AF326" s="76">
        <v>7</v>
      </c>
      <c r="AG326" s="76">
        <v>50</v>
      </c>
      <c r="AH326" s="76">
        <v>101</v>
      </c>
      <c r="AI326" s="76">
        <v>1</v>
      </c>
      <c r="AJ326" s="76">
        <v>25</v>
      </c>
      <c r="AK326" s="76">
        <v>10</v>
      </c>
      <c r="AL326" s="76" t="b">
        <v>0</v>
      </c>
      <c r="AM326" s="78">
        <v>44136.222812499997</v>
      </c>
      <c r="AN326" s="76"/>
      <c r="AO326" s="76"/>
      <c r="AP326" s="76"/>
      <c r="AQ326" s="76"/>
      <c r="AR326" s="76"/>
      <c r="AS326" s="76"/>
      <c r="AT326" s="76"/>
      <c r="AU326" s="76"/>
      <c r="AV326" s="76"/>
      <c r="AW326" s="76"/>
      <c r="AX326" s="76" t="b">
        <v>0</v>
      </c>
      <c r="AY326" s="76"/>
      <c r="AZ326" s="76"/>
      <c r="BA326" s="76" t="b">
        <v>0</v>
      </c>
      <c r="BB326" s="76" t="b">
        <v>1</v>
      </c>
      <c r="BC326" s="76" t="b">
        <v>1</v>
      </c>
      <c r="BD326" s="76" t="b">
        <v>0</v>
      </c>
      <c r="BE326" s="76" t="b">
        <v>0</v>
      </c>
      <c r="BF326" s="76" t="b">
        <v>0</v>
      </c>
      <c r="BG326" s="76" t="b">
        <v>0</v>
      </c>
      <c r="BH326" s="76"/>
      <c r="BI326" s="76"/>
      <c r="BJ326" s="76" t="s">
        <v>27595</v>
      </c>
      <c r="BK326" s="76" t="b">
        <v>0</v>
      </c>
      <c r="BL326" s="76"/>
      <c r="BM326" s="76" t="s">
        <v>66</v>
      </c>
      <c r="BN326" s="76" t="s">
        <v>27597</v>
      </c>
      <c r="BO326" s="82" t="str">
        <f>HYPERLINK("https://twitter.com/villagramanu")</f>
        <v>https://twitter.com/villagramanu</v>
      </c>
      <c r="BP326" s="2"/>
    </row>
    <row r="327" spans="1:68" x14ac:dyDescent="0.25">
      <c r="A327" s="62" t="s">
        <v>1762</v>
      </c>
      <c r="B327" s="63"/>
      <c r="C327" s="63"/>
      <c r="D327" s="64"/>
      <c r="E327" s="66"/>
      <c r="F327" s="103" t="str">
        <f>HYPERLINK("https://pbs.twimg.com/profile_images/1676592990767251457/ZsUo6cje_normal.jpg")</f>
        <v>https://pbs.twimg.com/profile_images/1676592990767251457/ZsUo6cje_normal.jpg</v>
      </c>
      <c r="G327" s="63"/>
      <c r="H327" s="67"/>
      <c r="I327" s="68"/>
      <c r="J327" s="68"/>
      <c r="K327" s="67" t="s">
        <v>27921</v>
      </c>
      <c r="L327" s="71"/>
      <c r="M327" s="72"/>
      <c r="N327" s="72"/>
      <c r="O327" s="73"/>
      <c r="P327" s="74"/>
      <c r="Q327" s="74"/>
      <c r="R327" s="87"/>
      <c r="S327" s="87"/>
      <c r="T327" s="87"/>
      <c r="U327" s="87"/>
      <c r="V327" s="48"/>
      <c r="W327" s="48"/>
      <c r="X327" s="48"/>
      <c r="Y327" s="48"/>
      <c r="Z327" s="47"/>
      <c r="AA327" s="69">
        <v>327</v>
      </c>
      <c r="AB327" s="69"/>
      <c r="AC327" s="70"/>
      <c r="AD327" s="76" t="s">
        <v>21569</v>
      </c>
      <c r="AE327" s="81" t="s">
        <v>20241</v>
      </c>
      <c r="AF327" s="76">
        <v>117046</v>
      </c>
      <c r="AG327" s="76">
        <v>36013</v>
      </c>
      <c r="AH327" s="76">
        <v>173658</v>
      </c>
      <c r="AI327" s="76">
        <v>182</v>
      </c>
      <c r="AJ327" s="76">
        <v>1097</v>
      </c>
      <c r="AK327" s="76">
        <v>2672</v>
      </c>
      <c r="AL327" s="76" t="b">
        <v>0</v>
      </c>
      <c r="AM327" s="78">
        <v>40457.724351851852</v>
      </c>
      <c r="AN327" s="76"/>
      <c r="AO327" s="76" t="s">
        <v>24997</v>
      </c>
      <c r="AP327" s="82" t="str">
        <f>HYPERLINK("https://t.co/VSjLlPmeUK")</f>
        <v>https://t.co/VSjLlPmeUK</v>
      </c>
      <c r="AQ327" s="82" t="str">
        <f>HYPERLINK("https://linktr.ee/santander_ar?utm_source=linktree_profile_share&amp;ltsid=f8206ec8-96d5-4e80-b55b-01114")</f>
        <v>https://linktr.ee/santander_ar?utm_source=linktree_profile_share&amp;ltsid=f8206ec8-96d5-4e80-b55b-01114</v>
      </c>
      <c r="AR327" s="76" t="s">
        <v>26532</v>
      </c>
      <c r="AS327" s="76"/>
      <c r="AT327" s="76"/>
      <c r="AU327" s="76"/>
      <c r="AV327" s="76"/>
      <c r="AW327" s="82" t="str">
        <f>HYPERLINK("https://t.co/VSjLlPmeUK")</f>
        <v>https://t.co/VSjLlPmeUK</v>
      </c>
      <c r="AX327" s="76" t="b">
        <v>1</v>
      </c>
      <c r="AY327" s="76"/>
      <c r="AZ327" s="76"/>
      <c r="BA327" s="76" t="b">
        <v>1</v>
      </c>
      <c r="BB327" s="76" t="b">
        <v>1</v>
      </c>
      <c r="BC327" s="76" t="b">
        <v>0</v>
      </c>
      <c r="BD327" s="76" t="b">
        <v>0</v>
      </c>
      <c r="BE327" s="76" t="b">
        <v>1</v>
      </c>
      <c r="BF327" s="76" t="b">
        <v>0</v>
      </c>
      <c r="BG327" s="76" t="b">
        <v>0</v>
      </c>
      <c r="BH327" s="82" t="str">
        <f>HYPERLINK("https://pbs.twimg.com/profile_banners/199358175/1689600595")</f>
        <v>https://pbs.twimg.com/profile_banners/199358175/1689600595</v>
      </c>
      <c r="BI327" s="76"/>
      <c r="BJ327" s="76" t="s">
        <v>27596</v>
      </c>
      <c r="BK327" s="76" t="b">
        <v>0</v>
      </c>
      <c r="BL327" s="76"/>
      <c r="BM327" s="76" t="s">
        <v>65</v>
      </c>
      <c r="BN327" s="76" t="s">
        <v>27597</v>
      </c>
      <c r="BO327" s="82" t="str">
        <f>HYPERLINK("https://twitter.com/santander_ar")</f>
        <v>https://twitter.com/santander_ar</v>
      </c>
      <c r="BP327" s="2"/>
    </row>
    <row r="328" spans="1:68" x14ac:dyDescent="0.25">
      <c r="A328" s="62" t="s">
        <v>452</v>
      </c>
      <c r="B328" s="63"/>
      <c r="C328" s="63"/>
      <c r="D328" s="64"/>
      <c r="E328" s="66"/>
      <c r="F328" s="103" t="str">
        <f>HYPERLINK("https://pbs.twimg.com/profile_images/1589827540708827136/c6_jto_k_normal.jpg")</f>
        <v>https://pbs.twimg.com/profile_images/1589827540708827136/c6_jto_k_normal.jpg</v>
      </c>
      <c r="G328" s="63"/>
      <c r="H328" s="67"/>
      <c r="I328" s="68"/>
      <c r="J328" s="68"/>
      <c r="K328" s="67" t="s">
        <v>27922</v>
      </c>
      <c r="L328" s="71"/>
      <c r="M328" s="72"/>
      <c r="N328" s="72"/>
      <c r="O328" s="73"/>
      <c r="P328" s="74"/>
      <c r="Q328" s="74"/>
      <c r="R328" s="87"/>
      <c r="S328" s="87"/>
      <c r="T328" s="87"/>
      <c r="U328" s="87"/>
      <c r="V328" s="48"/>
      <c r="W328" s="48"/>
      <c r="X328" s="48"/>
      <c r="Y328" s="48"/>
      <c r="Z328" s="47"/>
      <c r="AA328" s="69">
        <v>328</v>
      </c>
      <c r="AB328" s="69"/>
      <c r="AC328" s="70"/>
      <c r="AD328" s="76" t="s">
        <v>21570</v>
      </c>
      <c r="AE328" s="81" t="s">
        <v>23232</v>
      </c>
      <c r="AF328" s="76">
        <v>20926</v>
      </c>
      <c r="AG328" s="76">
        <v>4786</v>
      </c>
      <c r="AH328" s="76">
        <v>3456</v>
      </c>
      <c r="AI328" s="76">
        <v>11</v>
      </c>
      <c r="AJ328" s="76">
        <v>257</v>
      </c>
      <c r="AK328" s="76">
        <v>3229</v>
      </c>
      <c r="AL328" s="76" t="b">
        <v>0</v>
      </c>
      <c r="AM328" s="78">
        <v>41176.956724537034</v>
      </c>
      <c r="AN328" s="76" t="s">
        <v>14386</v>
      </c>
      <c r="AO328" s="76" t="s">
        <v>24998</v>
      </c>
      <c r="AP328" s="82" t="str">
        <f>HYPERLINK("https://t.co/T1Chgupj4x")</f>
        <v>https://t.co/T1Chgupj4x</v>
      </c>
      <c r="AQ328" s="82" t="str">
        <f>HYPERLINK("http://www.noticiaslivechile.cl")</f>
        <v>http://www.noticiaslivechile.cl</v>
      </c>
      <c r="AR328" s="76" t="s">
        <v>26533</v>
      </c>
      <c r="AS328" s="82" t="str">
        <f>HYPERLINK("https://t.co/WywVuyBhwZ")</f>
        <v>https://t.co/WywVuyBhwZ</v>
      </c>
      <c r="AT328" s="82" t="str">
        <f>HYPERLINK("http://instagram.com/noticiaslivech")</f>
        <v>http://instagram.com/noticiaslivech</v>
      </c>
      <c r="AU328" s="76" t="s">
        <v>27468</v>
      </c>
      <c r="AV328" s="76"/>
      <c r="AW328" s="82" t="str">
        <f>HYPERLINK("https://t.co/T1Chgupj4x")</f>
        <v>https://t.co/T1Chgupj4x</v>
      </c>
      <c r="AX328" s="76" t="b">
        <v>1</v>
      </c>
      <c r="AY328" s="76"/>
      <c r="AZ328" s="76"/>
      <c r="BA328" s="76" t="b">
        <v>0</v>
      </c>
      <c r="BB328" s="76" t="b">
        <v>1</v>
      </c>
      <c r="BC328" s="76" t="b">
        <v>1</v>
      </c>
      <c r="BD328" s="76" t="b">
        <v>0</v>
      </c>
      <c r="BE328" s="76" t="b">
        <v>1</v>
      </c>
      <c r="BF328" s="76" t="b">
        <v>0</v>
      </c>
      <c r="BG328" s="76" t="b">
        <v>0</v>
      </c>
      <c r="BH328" s="82" t="str">
        <f>HYPERLINK("https://pbs.twimg.com/profile_banners/844451234/1655355451")</f>
        <v>https://pbs.twimg.com/profile_banners/844451234/1655355451</v>
      </c>
      <c r="BI328" s="76"/>
      <c r="BJ328" s="76" t="s">
        <v>27595</v>
      </c>
      <c r="BK328" s="76" t="b">
        <v>0</v>
      </c>
      <c r="BL328" s="76"/>
      <c r="BM328" s="76" t="s">
        <v>66</v>
      </c>
      <c r="BN328" s="76" t="s">
        <v>27597</v>
      </c>
      <c r="BO328" s="82" t="str">
        <f>HYPERLINK("https://twitter.com/noticiaslivech")</f>
        <v>https://twitter.com/noticiaslivech</v>
      </c>
      <c r="BP328" s="2"/>
    </row>
    <row r="329" spans="1:68" x14ac:dyDescent="0.25">
      <c r="A329" s="62" t="s">
        <v>453</v>
      </c>
      <c r="B329" s="63"/>
      <c r="C329" s="63"/>
      <c r="D329" s="64"/>
      <c r="E329" s="66"/>
      <c r="F329" s="103" t="str">
        <f>HYPERLINK("https://pbs.twimg.com/profile_images/1651952473068716033/KixrVrY0_normal.jpg")</f>
        <v>https://pbs.twimg.com/profile_images/1651952473068716033/KixrVrY0_normal.jpg</v>
      </c>
      <c r="G329" s="63"/>
      <c r="H329" s="67"/>
      <c r="I329" s="68"/>
      <c r="J329" s="68"/>
      <c r="K329" s="67" t="s">
        <v>27923</v>
      </c>
      <c r="L329" s="71"/>
      <c r="M329" s="72"/>
      <c r="N329" s="72"/>
      <c r="O329" s="73"/>
      <c r="P329" s="74"/>
      <c r="Q329" s="74"/>
      <c r="R329" s="87"/>
      <c r="S329" s="87"/>
      <c r="T329" s="87"/>
      <c r="U329" s="87"/>
      <c r="V329" s="48"/>
      <c r="W329" s="48"/>
      <c r="X329" s="48"/>
      <c r="Y329" s="48"/>
      <c r="Z329" s="47"/>
      <c r="AA329" s="69">
        <v>329</v>
      </c>
      <c r="AB329" s="69"/>
      <c r="AC329" s="70"/>
      <c r="AD329" s="76" t="s">
        <v>21571</v>
      </c>
      <c r="AE329" s="81" t="s">
        <v>20608</v>
      </c>
      <c r="AF329" s="76">
        <v>3</v>
      </c>
      <c r="AG329" s="76">
        <v>37</v>
      </c>
      <c r="AH329" s="76">
        <v>4</v>
      </c>
      <c r="AI329" s="76">
        <v>0</v>
      </c>
      <c r="AJ329" s="76">
        <v>2</v>
      </c>
      <c r="AK329" s="76">
        <v>0</v>
      </c>
      <c r="AL329" s="76" t="b">
        <v>0</v>
      </c>
      <c r="AM329" s="78">
        <v>45044.591307870367</v>
      </c>
      <c r="AN329" s="76" t="s">
        <v>24204</v>
      </c>
      <c r="AO329" s="76" t="s">
        <v>24999</v>
      </c>
      <c r="AP329" s="82" t="str">
        <f>HYPERLINK("https://t.co/Nj061zRj6L")</f>
        <v>https://t.co/Nj061zRj6L</v>
      </c>
      <c r="AQ329" s="82" t="str">
        <f>HYPERLINK("https://teddydigital.io/")</f>
        <v>https://teddydigital.io/</v>
      </c>
      <c r="AR329" s="76" t="s">
        <v>26534</v>
      </c>
      <c r="AS329" s="82" t="str">
        <f>HYPERLINK("https://t.co/u7OsYIQovB")</f>
        <v>https://t.co/u7OsYIQovB</v>
      </c>
      <c r="AT329" s="82" t="str">
        <f>HYPERLINK("http://teddydigital.io/teddy-360/")</f>
        <v>http://teddydigital.io/teddy-360/</v>
      </c>
      <c r="AU329" s="76" t="s">
        <v>27469</v>
      </c>
      <c r="AV329" s="76"/>
      <c r="AW329" s="82" t="str">
        <f>HYPERLINK("https://t.co/Nj061zRj6L")</f>
        <v>https://t.co/Nj061zRj6L</v>
      </c>
      <c r="AX329" s="76" t="b">
        <v>0</v>
      </c>
      <c r="AY329" s="76"/>
      <c r="AZ329" s="76"/>
      <c r="BA329" s="76" t="b">
        <v>0</v>
      </c>
      <c r="BB329" s="76" t="b">
        <v>1</v>
      </c>
      <c r="BC329" s="76" t="b">
        <v>1</v>
      </c>
      <c r="BD329" s="76" t="b">
        <v>0</v>
      </c>
      <c r="BE329" s="76" t="b">
        <v>0</v>
      </c>
      <c r="BF329" s="76" t="b">
        <v>0</v>
      </c>
      <c r="BG329" s="76" t="b">
        <v>0</v>
      </c>
      <c r="BH329" s="76"/>
      <c r="BI329" s="76"/>
      <c r="BJ329" s="76" t="s">
        <v>27595</v>
      </c>
      <c r="BK329" s="76" t="b">
        <v>0</v>
      </c>
      <c r="BL329" s="76"/>
      <c r="BM329" s="76" t="s">
        <v>66</v>
      </c>
      <c r="BN329" s="76" t="s">
        <v>27597</v>
      </c>
      <c r="BO329" s="82" t="str">
        <f>HYPERLINK("https://twitter.com/teddyopen")</f>
        <v>https://twitter.com/teddyopen</v>
      </c>
      <c r="BP329" s="2"/>
    </row>
    <row r="330" spans="1:68" x14ac:dyDescent="0.25">
      <c r="A330" s="62" t="s">
        <v>454</v>
      </c>
      <c r="B330" s="63"/>
      <c r="C330" s="63"/>
      <c r="D330" s="64"/>
      <c r="E330" s="66"/>
      <c r="F330" s="103" t="str">
        <f>HYPERLINK("https://pbs.twimg.com/profile_images/1385362133953748996/CS6Db7wU_normal.jpg")</f>
        <v>https://pbs.twimg.com/profile_images/1385362133953748996/CS6Db7wU_normal.jpg</v>
      </c>
      <c r="G330" s="63"/>
      <c r="H330" s="67"/>
      <c r="I330" s="68"/>
      <c r="J330" s="68"/>
      <c r="K330" s="67" t="s">
        <v>27924</v>
      </c>
      <c r="L330" s="71"/>
      <c r="M330" s="72"/>
      <c r="N330" s="72"/>
      <c r="O330" s="73"/>
      <c r="P330" s="74"/>
      <c r="Q330" s="74"/>
      <c r="R330" s="87"/>
      <c r="S330" s="87"/>
      <c r="T330" s="87"/>
      <c r="U330" s="87"/>
      <c r="V330" s="48"/>
      <c r="W330" s="48"/>
      <c r="X330" s="48"/>
      <c r="Y330" s="48"/>
      <c r="Z330" s="47"/>
      <c r="AA330" s="69">
        <v>330</v>
      </c>
      <c r="AB330" s="69"/>
      <c r="AC330" s="70"/>
      <c r="AD330" s="76" t="s">
        <v>21572</v>
      </c>
      <c r="AE330" s="81" t="s">
        <v>23233</v>
      </c>
      <c r="AF330" s="76">
        <v>980</v>
      </c>
      <c r="AG330" s="76">
        <v>706</v>
      </c>
      <c r="AH330" s="76">
        <v>3544</v>
      </c>
      <c r="AI330" s="76">
        <v>6</v>
      </c>
      <c r="AJ330" s="76">
        <v>3547</v>
      </c>
      <c r="AK330" s="76">
        <v>2109</v>
      </c>
      <c r="AL330" s="76" t="b">
        <v>0</v>
      </c>
      <c r="AM330" s="78">
        <v>39983.895335648151</v>
      </c>
      <c r="AN330" s="76" t="s">
        <v>24205</v>
      </c>
      <c r="AO330" s="76" t="s">
        <v>25000</v>
      </c>
      <c r="AP330" s="82" t="str">
        <f>HYPERLINK("https://t.co/S9WSvzETE3")</f>
        <v>https://t.co/S9WSvzETE3</v>
      </c>
      <c r="AQ330" s="82" t="str">
        <f>HYPERLINK("http://www.jornalponto.com")</f>
        <v>http://www.jornalponto.com</v>
      </c>
      <c r="AR330" s="76" t="s">
        <v>8673</v>
      </c>
      <c r="AS330" s="76"/>
      <c r="AT330" s="76"/>
      <c r="AU330" s="76"/>
      <c r="AV330" s="76"/>
      <c r="AW330" s="82" t="str">
        <f>HYPERLINK("https://t.co/S9WSvzETE3")</f>
        <v>https://t.co/S9WSvzETE3</v>
      </c>
      <c r="AX330" s="76" t="b">
        <v>0</v>
      </c>
      <c r="AY330" s="76"/>
      <c r="AZ330" s="76"/>
      <c r="BA330" s="76" t="b">
        <v>0</v>
      </c>
      <c r="BB330" s="76" t="b">
        <v>1</v>
      </c>
      <c r="BC330" s="76" t="b">
        <v>0</v>
      </c>
      <c r="BD330" s="76" t="b">
        <v>0</v>
      </c>
      <c r="BE330" s="76" t="b">
        <v>1</v>
      </c>
      <c r="BF330" s="76" t="b">
        <v>0</v>
      </c>
      <c r="BG330" s="76" t="b">
        <v>0</v>
      </c>
      <c r="BH330" s="82" t="str">
        <f>HYPERLINK("https://pbs.twimg.com/profile_banners/48835475/1619131047")</f>
        <v>https://pbs.twimg.com/profile_banners/48835475/1619131047</v>
      </c>
      <c r="BI330" s="76"/>
      <c r="BJ330" s="76" t="s">
        <v>27595</v>
      </c>
      <c r="BK330" s="76" t="b">
        <v>0</v>
      </c>
      <c r="BL330" s="76"/>
      <c r="BM330" s="76" t="s">
        <v>66</v>
      </c>
      <c r="BN330" s="76" t="s">
        <v>27597</v>
      </c>
      <c r="BO330" s="82" t="str">
        <f>HYPERLINK("https://twitter.com/mouralocutor")</f>
        <v>https://twitter.com/mouralocutor</v>
      </c>
      <c r="BP330" s="2"/>
    </row>
    <row r="331" spans="1:68" x14ac:dyDescent="0.25">
      <c r="A331" s="62" t="s">
        <v>455</v>
      </c>
      <c r="B331" s="63"/>
      <c r="C331" s="63"/>
      <c r="D331" s="64"/>
      <c r="E331" s="66"/>
      <c r="F331" s="103" t="str">
        <f>HYPERLINK("https://pbs.twimg.com/profile_images/1041725334431952896/uaPtkYSp_normal.jpg")</f>
        <v>https://pbs.twimg.com/profile_images/1041725334431952896/uaPtkYSp_normal.jpg</v>
      </c>
      <c r="G331" s="63"/>
      <c r="H331" s="67"/>
      <c r="I331" s="68"/>
      <c r="J331" s="68"/>
      <c r="K331" s="67" t="s">
        <v>27925</v>
      </c>
      <c r="L331" s="71"/>
      <c r="M331" s="72"/>
      <c r="N331" s="72"/>
      <c r="O331" s="73"/>
      <c r="P331" s="74"/>
      <c r="Q331" s="74"/>
      <c r="R331" s="87"/>
      <c r="S331" s="87"/>
      <c r="T331" s="87"/>
      <c r="U331" s="87"/>
      <c r="V331" s="48"/>
      <c r="W331" s="48"/>
      <c r="X331" s="48"/>
      <c r="Y331" s="48"/>
      <c r="Z331" s="47"/>
      <c r="AA331" s="69">
        <v>331</v>
      </c>
      <c r="AB331" s="69"/>
      <c r="AC331" s="70"/>
      <c r="AD331" s="76" t="s">
        <v>21573</v>
      </c>
      <c r="AE331" s="81" t="s">
        <v>20609</v>
      </c>
      <c r="AF331" s="76">
        <v>13875</v>
      </c>
      <c r="AG331" s="76">
        <v>34</v>
      </c>
      <c r="AH331" s="76">
        <v>24407</v>
      </c>
      <c r="AI331" s="76">
        <v>251</v>
      </c>
      <c r="AJ331" s="76">
        <v>409</v>
      </c>
      <c r="AK331" s="76">
        <v>5791</v>
      </c>
      <c r="AL331" s="76" t="b">
        <v>0</v>
      </c>
      <c r="AM331" s="78">
        <v>43360.684699074074</v>
      </c>
      <c r="AN331" s="76" t="s">
        <v>14400</v>
      </c>
      <c r="AO331" s="76" t="s">
        <v>25001</v>
      </c>
      <c r="AP331" s="82" t="str">
        <f>HYPERLINK("https://t.co/nXFGfCwP7j")</f>
        <v>https://t.co/nXFGfCwP7j</v>
      </c>
      <c r="AQ331" s="82" t="str">
        <f>HYPERLINK("https://www.seudinheiro.com/")</f>
        <v>https://www.seudinheiro.com/</v>
      </c>
      <c r="AR331" s="76" t="s">
        <v>8674</v>
      </c>
      <c r="AS331" s="76"/>
      <c r="AT331" s="76"/>
      <c r="AU331" s="76"/>
      <c r="AV331" s="76"/>
      <c r="AW331" s="82" t="str">
        <f>HYPERLINK("https://t.co/nXFGfCwP7j")</f>
        <v>https://t.co/nXFGfCwP7j</v>
      </c>
      <c r="AX331" s="76" t="b">
        <v>0</v>
      </c>
      <c r="AY331" s="76"/>
      <c r="AZ331" s="76"/>
      <c r="BA331" s="76" t="b">
        <v>0</v>
      </c>
      <c r="BB331" s="76" t="b">
        <v>1</v>
      </c>
      <c r="BC331" s="76" t="b">
        <v>1</v>
      </c>
      <c r="BD331" s="76" t="b">
        <v>0</v>
      </c>
      <c r="BE331" s="76" t="b">
        <v>1</v>
      </c>
      <c r="BF331" s="76" t="b">
        <v>0</v>
      </c>
      <c r="BG331" s="76" t="b">
        <v>0</v>
      </c>
      <c r="BH331" s="82" t="str">
        <f>HYPERLINK("https://pbs.twimg.com/profile_banners/1041724956839698433/1600351810")</f>
        <v>https://pbs.twimg.com/profile_banners/1041724956839698433/1600351810</v>
      </c>
      <c r="BI331" s="76"/>
      <c r="BJ331" s="76" t="s">
        <v>27595</v>
      </c>
      <c r="BK331" s="76" t="b">
        <v>0</v>
      </c>
      <c r="BL331" s="76"/>
      <c r="BM331" s="76" t="s">
        <v>66</v>
      </c>
      <c r="BN331" s="76" t="s">
        <v>27597</v>
      </c>
      <c r="BO331" s="82" t="str">
        <f>HYPERLINK("https://twitter.com/seu_dinheiro_br")</f>
        <v>https://twitter.com/seu_dinheiro_br</v>
      </c>
      <c r="BP331" s="2"/>
    </row>
    <row r="332" spans="1:68" x14ac:dyDescent="0.25">
      <c r="A332" s="62" t="s">
        <v>456</v>
      </c>
      <c r="B332" s="63"/>
      <c r="C332" s="63"/>
      <c r="D332" s="64"/>
      <c r="E332" s="66"/>
      <c r="F332" s="103" t="str">
        <f>HYPERLINK("https://pbs.twimg.com/profile_images/1458050438868180993/1pMIAhQM_normal.jpg")</f>
        <v>https://pbs.twimg.com/profile_images/1458050438868180993/1pMIAhQM_normal.jpg</v>
      </c>
      <c r="G332" s="63"/>
      <c r="H332" s="67"/>
      <c r="I332" s="68"/>
      <c r="J332" s="68"/>
      <c r="K332" s="67" t="s">
        <v>27926</v>
      </c>
      <c r="L332" s="71"/>
      <c r="M332" s="72"/>
      <c r="N332" s="72"/>
      <c r="O332" s="73"/>
      <c r="P332" s="74"/>
      <c r="Q332" s="74"/>
      <c r="R332" s="87"/>
      <c r="S332" s="87"/>
      <c r="T332" s="87"/>
      <c r="U332" s="87"/>
      <c r="V332" s="48"/>
      <c r="W332" s="48"/>
      <c r="X332" s="48"/>
      <c r="Y332" s="48"/>
      <c r="Z332" s="47"/>
      <c r="AA332" s="69">
        <v>332</v>
      </c>
      <c r="AB332" s="69"/>
      <c r="AC332" s="70"/>
      <c r="AD332" s="76" t="s">
        <v>21574</v>
      </c>
      <c r="AE332" s="81" t="s">
        <v>20610</v>
      </c>
      <c r="AF332" s="76">
        <v>50</v>
      </c>
      <c r="AG332" s="76">
        <v>139</v>
      </c>
      <c r="AH332" s="76">
        <v>57149</v>
      </c>
      <c r="AI332" s="76">
        <v>0</v>
      </c>
      <c r="AJ332" s="76">
        <v>6362</v>
      </c>
      <c r="AK332" s="76">
        <v>21701</v>
      </c>
      <c r="AL332" s="76" t="b">
        <v>0</v>
      </c>
      <c r="AM332" s="78">
        <v>44402.948750000003</v>
      </c>
      <c r="AN332" s="76"/>
      <c r="AO332" s="76" t="s">
        <v>25002</v>
      </c>
      <c r="AP332" s="76"/>
      <c r="AQ332" s="76"/>
      <c r="AR332" s="76"/>
      <c r="AS332" s="76"/>
      <c r="AT332" s="76"/>
      <c r="AU332" s="76"/>
      <c r="AV332" s="76">
        <v>1.5784627116081101E+18</v>
      </c>
      <c r="AW332" s="76"/>
      <c r="AX332" s="76" t="b">
        <v>0</v>
      </c>
      <c r="AY332" s="76"/>
      <c r="AZ332" s="76"/>
      <c r="BA332" s="76" t="b">
        <v>0</v>
      </c>
      <c r="BB332" s="76" t="b">
        <v>1</v>
      </c>
      <c r="BC332" s="76" t="b">
        <v>1</v>
      </c>
      <c r="BD332" s="76" t="b">
        <v>0</v>
      </c>
      <c r="BE332" s="76" t="b">
        <v>0</v>
      </c>
      <c r="BF332" s="76" t="b">
        <v>0</v>
      </c>
      <c r="BG332" s="76" t="b">
        <v>0</v>
      </c>
      <c r="BH332" s="76"/>
      <c r="BI332" s="76"/>
      <c r="BJ332" s="76" t="s">
        <v>27595</v>
      </c>
      <c r="BK332" s="76" t="b">
        <v>0</v>
      </c>
      <c r="BL332" s="76"/>
      <c r="BM332" s="76" t="s">
        <v>66</v>
      </c>
      <c r="BN332" s="76" t="s">
        <v>27597</v>
      </c>
      <c r="BO332" s="82" t="str">
        <f>HYPERLINK("https://twitter.com/glaucijuca")</f>
        <v>https://twitter.com/glaucijuca</v>
      </c>
      <c r="BP332" s="2"/>
    </row>
    <row r="333" spans="1:68" x14ac:dyDescent="0.25">
      <c r="A333" s="62" t="s">
        <v>457</v>
      </c>
      <c r="B333" s="63"/>
      <c r="C333" s="63"/>
      <c r="D333" s="64"/>
      <c r="E333" s="66"/>
      <c r="F333" s="103" t="str">
        <f>HYPERLINK("https://pbs.twimg.com/profile_images/1681775145470369793/lgpJ5VsQ_normal.jpg")</f>
        <v>https://pbs.twimg.com/profile_images/1681775145470369793/lgpJ5VsQ_normal.jpg</v>
      </c>
      <c r="G333" s="63"/>
      <c r="H333" s="67"/>
      <c r="I333" s="68"/>
      <c r="J333" s="68"/>
      <c r="K333" s="67" t="s">
        <v>27927</v>
      </c>
      <c r="L333" s="71"/>
      <c r="M333" s="72"/>
      <c r="N333" s="72"/>
      <c r="O333" s="73"/>
      <c r="P333" s="74"/>
      <c r="Q333" s="74"/>
      <c r="R333" s="87"/>
      <c r="S333" s="87"/>
      <c r="T333" s="87"/>
      <c r="U333" s="87"/>
      <c r="V333" s="48"/>
      <c r="W333" s="48"/>
      <c r="X333" s="48"/>
      <c r="Y333" s="48"/>
      <c r="Z333" s="47"/>
      <c r="AA333" s="69">
        <v>333</v>
      </c>
      <c r="AB333" s="69"/>
      <c r="AC333" s="70"/>
      <c r="AD333" s="76" t="s">
        <v>21575</v>
      </c>
      <c r="AE333" s="81" t="s">
        <v>20611</v>
      </c>
      <c r="AF333" s="76">
        <v>12011</v>
      </c>
      <c r="AG333" s="76">
        <v>60</v>
      </c>
      <c r="AH333" s="76">
        <v>22722</v>
      </c>
      <c r="AI333" s="76">
        <v>37</v>
      </c>
      <c r="AJ333" s="76">
        <v>70</v>
      </c>
      <c r="AK333" s="76">
        <v>3156</v>
      </c>
      <c r="AL333" s="76" t="b">
        <v>0</v>
      </c>
      <c r="AM333" s="78">
        <v>44095.813217592593</v>
      </c>
      <c r="AN333" s="76"/>
      <c r="AO333" s="76" t="s">
        <v>25003</v>
      </c>
      <c r="AP333" s="82" t="str">
        <f>HYPERLINK("https://t.co/NMOQttwxFl")</f>
        <v>https://t.co/NMOQttwxFl</v>
      </c>
      <c r="AQ333" s="82" t="str">
        <f>HYPERLINK("http://politicargentina.com")</f>
        <v>http://politicargentina.com</v>
      </c>
      <c r="AR333" s="76" t="s">
        <v>8675</v>
      </c>
      <c r="AS333" s="76"/>
      <c r="AT333" s="76"/>
      <c r="AU333" s="76"/>
      <c r="AV333" s="76"/>
      <c r="AW333" s="82" t="str">
        <f>HYPERLINK("https://t.co/NMOQttwxFl")</f>
        <v>https://t.co/NMOQttwxFl</v>
      </c>
      <c r="AX333" s="76" t="b">
        <v>0</v>
      </c>
      <c r="AY333" s="76"/>
      <c r="AZ333" s="76"/>
      <c r="BA333" s="76" t="b">
        <v>0</v>
      </c>
      <c r="BB333" s="76" t="b">
        <v>1</v>
      </c>
      <c r="BC333" s="76" t="b">
        <v>1</v>
      </c>
      <c r="BD333" s="76" t="b">
        <v>0</v>
      </c>
      <c r="BE333" s="76" t="b">
        <v>0</v>
      </c>
      <c r="BF333" s="76" t="b">
        <v>0</v>
      </c>
      <c r="BG333" s="76" t="b">
        <v>0</v>
      </c>
      <c r="BH333" s="82" t="str">
        <f>HYPERLINK("https://pbs.twimg.com/profile_banners/1308126441167560705/1623158745")</f>
        <v>https://pbs.twimg.com/profile_banners/1308126441167560705/1623158745</v>
      </c>
      <c r="BI333" s="76"/>
      <c r="BJ333" s="76" t="s">
        <v>27595</v>
      </c>
      <c r="BK333" s="76" t="b">
        <v>0</v>
      </c>
      <c r="BL333" s="76"/>
      <c r="BM333" s="76" t="s">
        <v>66</v>
      </c>
      <c r="BN333" s="76" t="s">
        <v>27597</v>
      </c>
      <c r="BO333" s="82" t="str">
        <f>HYPERLINK("https://twitter.com/pol_arg")</f>
        <v>https://twitter.com/pol_arg</v>
      </c>
      <c r="BP333" s="2"/>
    </row>
    <row r="334" spans="1:68" x14ac:dyDescent="0.25">
      <c r="A334" s="62" t="s">
        <v>458</v>
      </c>
      <c r="B334" s="63"/>
      <c r="C334" s="63"/>
      <c r="D334" s="64"/>
      <c r="E334" s="66"/>
      <c r="F334" s="103" t="str">
        <f>HYPERLINK("https://pbs.twimg.com/profile_images/1140802955161067521/nsFZCbgC_normal.jpg")</f>
        <v>https://pbs.twimg.com/profile_images/1140802955161067521/nsFZCbgC_normal.jpg</v>
      </c>
      <c r="G334" s="63"/>
      <c r="H334" s="67"/>
      <c r="I334" s="68"/>
      <c r="J334" s="68"/>
      <c r="K334" s="67" t="s">
        <v>27928</v>
      </c>
      <c r="L334" s="71"/>
      <c r="M334" s="72"/>
      <c r="N334" s="72"/>
      <c r="O334" s="73"/>
      <c r="P334" s="74"/>
      <c r="Q334" s="74"/>
      <c r="R334" s="87"/>
      <c r="S334" s="87"/>
      <c r="T334" s="87"/>
      <c r="U334" s="87"/>
      <c r="V334" s="48"/>
      <c r="W334" s="48"/>
      <c r="X334" s="48"/>
      <c r="Y334" s="48"/>
      <c r="Z334" s="47"/>
      <c r="AA334" s="69">
        <v>334</v>
      </c>
      <c r="AB334" s="69"/>
      <c r="AC334" s="70"/>
      <c r="AD334" s="76" t="s">
        <v>21576</v>
      </c>
      <c r="AE334" s="81" t="s">
        <v>23234</v>
      </c>
      <c r="AF334" s="76">
        <v>167</v>
      </c>
      <c r="AG334" s="76">
        <v>660</v>
      </c>
      <c r="AH334" s="76">
        <v>20646</v>
      </c>
      <c r="AI334" s="76">
        <v>8</v>
      </c>
      <c r="AJ334" s="76">
        <v>1220</v>
      </c>
      <c r="AK334" s="76">
        <v>868</v>
      </c>
      <c r="AL334" s="76" t="b">
        <v>0</v>
      </c>
      <c r="AM334" s="78">
        <v>39909.891435185185</v>
      </c>
      <c r="AN334" s="76"/>
      <c r="AO334" s="76"/>
      <c r="AP334" s="76"/>
      <c r="AQ334" s="76"/>
      <c r="AR334" s="76"/>
      <c r="AS334" s="76"/>
      <c r="AT334" s="76"/>
      <c r="AU334" s="76"/>
      <c r="AV334" s="76">
        <v>1.5586526948138601E+18</v>
      </c>
      <c r="AW334" s="76"/>
      <c r="AX334" s="76" t="b">
        <v>0</v>
      </c>
      <c r="AY334" s="76"/>
      <c r="AZ334" s="76"/>
      <c r="BA334" s="76" t="b">
        <v>1</v>
      </c>
      <c r="BB334" s="76" t="b">
        <v>1</v>
      </c>
      <c r="BC334" s="76" t="b">
        <v>0</v>
      </c>
      <c r="BD334" s="76" t="b">
        <v>0</v>
      </c>
      <c r="BE334" s="76" t="b">
        <v>1</v>
      </c>
      <c r="BF334" s="76" t="b">
        <v>0</v>
      </c>
      <c r="BG334" s="76" t="b">
        <v>0</v>
      </c>
      <c r="BH334" s="82" t="str">
        <f>HYPERLINK("https://pbs.twimg.com/profile_banners/29297040/1670647622")</f>
        <v>https://pbs.twimg.com/profile_banners/29297040/1670647622</v>
      </c>
      <c r="BI334" s="76"/>
      <c r="BJ334" s="76" t="s">
        <v>27595</v>
      </c>
      <c r="BK334" s="76" t="b">
        <v>0</v>
      </c>
      <c r="BL334" s="76"/>
      <c r="BM334" s="76" t="s">
        <v>66</v>
      </c>
      <c r="BN334" s="76" t="s">
        <v>27597</v>
      </c>
      <c r="BO334" s="82" t="str">
        <f>HYPERLINK("https://twitter.com/troff10")</f>
        <v>https://twitter.com/troff10</v>
      </c>
      <c r="BP334" s="2"/>
    </row>
    <row r="335" spans="1:68" x14ac:dyDescent="0.25">
      <c r="A335" s="62" t="s">
        <v>1763</v>
      </c>
      <c r="B335" s="63"/>
      <c r="C335" s="63"/>
      <c r="D335" s="64"/>
      <c r="E335" s="66"/>
      <c r="F335" s="103" t="str">
        <f>HYPERLINK("https://pbs.twimg.com/profile_images/635942625/brasil_normal.jpg")</f>
        <v>https://pbs.twimg.com/profile_images/635942625/brasil_normal.jpg</v>
      </c>
      <c r="G335" s="63"/>
      <c r="H335" s="67"/>
      <c r="I335" s="68"/>
      <c r="J335" s="68"/>
      <c r="K335" s="67" t="s">
        <v>27929</v>
      </c>
      <c r="L335" s="71"/>
      <c r="M335" s="72"/>
      <c r="N335" s="72"/>
      <c r="O335" s="73"/>
      <c r="P335" s="74"/>
      <c r="Q335" s="74"/>
      <c r="R335" s="87"/>
      <c r="S335" s="87"/>
      <c r="T335" s="87"/>
      <c r="U335" s="87"/>
      <c r="V335" s="48"/>
      <c r="W335" s="48"/>
      <c r="X335" s="48"/>
      <c r="Y335" s="48"/>
      <c r="Z335" s="47"/>
      <c r="AA335" s="69">
        <v>335</v>
      </c>
      <c r="AB335" s="69"/>
      <c r="AC335" s="70"/>
      <c r="AD335" s="76" t="s">
        <v>21577</v>
      </c>
      <c r="AE335" s="81" t="s">
        <v>23235</v>
      </c>
      <c r="AF335" s="76">
        <v>1998</v>
      </c>
      <c r="AG335" s="76">
        <v>1363</v>
      </c>
      <c r="AH335" s="76">
        <v>17</v>
      </c>
      <c r="AI335" s="76">
        <v>17</v>
      </c>
      <c r="AJ335" s="76">
        <v>0</v>
      </c>
      <c r="AK335" s="76">
        <v>0</v>
      </c>
      <c r="AL335" s="76" t="b">
        <v>0</v>
      </c>
      <c r="AM335" s="78">
        <v>40194.942129629628</v>
      </c>
      <c r="AN335" s="76"/>
      <c r="AO335" s="76"/>
      <c r="AP335" s="76"/>
      <c r="AQ335" s="76"/>
      <c r="AR335" s="76"/>
      <c r="AS335" s="76"/>
      <c r="AT335" s="76"/>
      <c r="AU335" s="76"/>
      <c r="AV335" s="76"/>
      <c r="AW335" s="76"/>
      <c r="AX335" s="76" t="b">
        <v>0</v>
      </c>
      <c r="AY335" s="76"/>
      <c r="AZ335" s="76"/>
      <c r="BA335" s="76" t="b">
        <v>0</v>
      </c>
      <c r="BB335" s="76" t="b">
        <v>1</v>
      </c>
      <c r="BC335" s="76" t="b">
        <v>0</v>
      </c>
      <c r="BD335" s="76" t="b">
        <v>0</v>
      </c>
      <c r="BE335" s="76" t="b">
        <v>0</v>
      </c>
      <c r="BF335" s="76" t="b">
        <v>0</v>
      </c>
      <c r="BG335" s="76" t="b">
        <v>0</v>
      </c>
      <c r="BH335" s="76"/>
      <c r="BI335" s="76"/>
      <c r="BJ335" s="76" t="s">
        <v>27595</v>
      </c>
      <c r="BK335" s="76" t="b">
        <v>0</v>
      </c>
      <c r="BL335" s="76"/>
      <c r="BM335" s="76" t="s">
        <v>65</v>
      </c>
      <c r="BN335" s="76" t="s">
        <v>27597</v>
      </c>
      <c r="BO335" s="82" t="str">
        <f>HYPERLINK("https://twitter.com/congressobr")</f>
        <v>https://twitter.com/congressobr</v>
      </c>
      <c r="BP335" s="2"/>
    </row>
    <row r="336" spans="1:68" x14ac:dyDescent="0.25">
      <c r="A336" s="62" t="s">
        <v>1764</v>
      </c>
      <c r="B336" s="63"/>
      <c r="C336" s="63"/>
      <c r="D336" s="64"/>
      <c r="E336" s="66"/>
      <c r="F336" s="103" t="str">
        <f>HYPERLINK("https://pbs.twimg.com/profile_images/1542328100159102978/TY95Pzzw_normal.jpg")</f>
        <v>https://pbs.twimg.com/profile_images/1542328100159102978/TY95Pzzw_normal.jpg</v>
      </c>
      <c r="G336" s="63"/>
      <c r="H336" s="67"/>
      <c r="I336" s="68"/>
      <c r="J336" s="68"/>
      <c r="K336" s="67" t="s">
        <v>27930</v>
      </c>
      <c r="L336" s="71"/>
      <c r="M336" s="72"/>
      <c r="N336" s="72"/>
      <c r="O336" s="73"/>
      <c r="P336" s="74"/>
      <c r="Q336" s="74"/>
      <c r="R336" s="87"/>
      <c r="S336" s="87"/>
      <c r="T336" s="87"/>
      <c r="U336" s="87"/>
      <c r="V336" s="48"/>
      <c r="W336" s="48"/>
      <c r="X336" s="48"/>
      <c r="Y336" s="48"/>
      <c r="Z336" s="47"/>
      <c r="AA336" s="69">
        <v>336</v>
      </c>
      <c r="AB336" s="69"/>
      <c r="AC336" s="70"/>
      <c r="AD336" s="76" t="s">
        <v>21578</v>
      </c>
      <c r="AE336" s="81" t="s">
        <v>20251</v>
      </c>
      <c r="AF336" s="76">
        <v>8887052</v>
      </c>
      <c r="AG336" s="76">
        <v>168451</v>
      </c>
      <c r="AH336" s="76">
        <v>685051</v>
      </c>
      <c r="AI336" s="76">
        <v>14191</v>
      </c>
      <c r="AJ336" s="76">
        <v>46</v>
      </c>
      <c r="AK336" s="76">
        <v>123002</v>
      </c>
      <c r="AL336" s="76" t="b">
        <v>0</v>
      </c>
      <c r="AM336" s="78">
        <v>39568.10670138889</v>
      </c>
      <c r="AN336" s="76" t="s">
        <v>24087</v>
      </c>
      <c r="AO336" s="76" t="s">
        <v>25004</v>
      </c>
      <c r="AP336" s="82" t="str">
        <f>HYPERLINK("https://t.co/uhZvE5yacH")</f>
        <v>https://t.co/uhZvE5yacH</v>
      </c>
      <c r="AQ336" s="82" t="str">
        <f>HYPERLINK("http://www.folha.com.br")</f>
        <v>http://www.folha.com.br</v>
      </c>
      <c r="AR336" s="76" t="s">
        <v>26535</v>
      </c>
      <c r="AS336" s="76" t="s">
        <v>27372</v>
      </c>
      <c r="AT336" s="76" t="s">
        <v>27411</v>
      </c>
      <c r="AU336" s="76" t="s">
        <v>27470</v>
      </c>
      <c r="AV336" s="76">
        <v>1.08386201273049E+18</v>
      </c>
      <c r="AW336" s="82" t="str">
        <f>HYPERLINK("https://t.co/uhZvE5yacH")</f>
        <v>https://t.co/uhZvE5yacH</v>
      </c>
      <c r="AX336" s="76" t="b">
        <v>1</v>
      </c>
      <c r="AY336" s="76"/>
      <c r="AZ336" s="76"/>
      <c r="BA336" s="76" t="b">
        <v>0</v>
      </c>
      <c r="BB336" s="76" t="b">
        <v>1</v>
      </c>
      <c r="BC336" s="76" t="b">
        <v>0</v>
      </c>
      <c r="BD336" s="76" t="b">
        <v>0</v>
      </c>
      <c r="BE336" s="76" t="b">
        <v>1</v>
      </c>
      <c r="BF336" s="76" t="b">
        <v>0</v>
      </c>
      <c r="BG336" s="76" t="b">
        <v>0</v>
      </c>
      <c r="BH336" s="82" t="str">
        <f>HYPERLINK("https://pbs.twimg.com/profile_banners/14594813/1651254420")</f>
        <v>https://pbs.twimg.com/profile_banners/14594813/1651254420</v>
      </c>
      <c r="BI336" s="76"/>
      <c r="BJ336" s="76" t="s">
        <v>27595</v>
      </c>
      <c r="BK336" s="76" t="b">
        <v>0</v>
      </c>
      <c r="BL336" s="76"/>
      <c r="BM336" s="76" t="s">
        <v>65</v>
      </c>
      <c r="BN336" s="76" t="s">
        <v>27597</v>
      </c>
      <c r="BO336" s="82" t="str">
        <f>HYPERLINK("https://twitter.com/folha")</f>
        <v>https://twitter.com/folha</v>
      </c>
      <c r="BP336" s="2"/>
    </row>
    <row r="337" spans="1:68" x14ac:dyDescent="0.25">
      <c r="A337" s="62" t="s">
        <v>459</v>
      </c>
      <c r="B337" s="63"/>
      <c r="C337" s="63"/>
      <c r="D337" s="64"/>
      <c r="E337" s="66"/>
      <c r="F337" s="103" t="str">
        <f>HYPERLINK("https://pbs.twimg.com/profile_images/1671254668716941312/B-U8yYmK_normal.jpg")</f>
        <v>https://pbs.twimg.com/profile_images/1671254668716941312/B-U8yYmK_normal.jpg</v>
      </c>
      <c r="G337" s="63"/>
      <c r="H337" s="67"/>
      <c r="I337" s="68"/>
      <c r="J337" s="68"/>
      <c r="K337" s="67" t="s">
        <v>27931</v>
      </c>
      <c r="L337" s="71"/>
      <c r="M337" s="72"/>
      <c r="N337" s="72"/>
      <c r="O337" s="73"/>
      <c r="P337" s="74"/>
      <c r="Q337" s="74"/>
      <c r="R337" s="87"/>
      <c r="S337" s="87"/>
      <c r="T337" s="87"/>
      <c r="U337" s="87"/>
      <c r="V337" s="48"/>
      <c r="W337" s="48"/>
      <c r="X337" s="48"/>
      <c r="Y337" s="48"/>
      <c r="Z337" s="47"/>
      <c r="AA337" s="69">
        <v>337</v>
      </c>
      <c r="AB337" s="69"/>
      <c r="AC337" s="70"/>
      <c r="AD337" s="76" t="s">
        <v>21579</v>
      </c>
      <c r="AE337" s="81" t="s">
        <v>23236</v>
      </c>
      <c r="AF337" s="76">
        <v>2981</v>
      </c>
      <c r="AG337" s="76">
        <v>4940</v>
      </c>
      <c r="AH337" s="76">
        <v>18383</v>
      </c>
      <c r="AI337" s="76">
        <v>69</v>
      </c>
      <c r="AJ337" s="76">
        <v>32272</v>
      </c>
      <c r="AK337" s="76">
        <v>1731</v>
      </c>
      <c r="AL337" s="76" t="b">
        <v>0</v>
      </c>
      <c r="AM337" s="78">
        <v>40050.687847222223</v>
      </c>
      <c r="AN337" s="76" t="s">
        <v>24206</v>
      </c>
      <c r="AO337" s="76" t="s">
        <v>25005</v>
      </c>
      <c r="AP337" s="82" t="str">
        <f>HYPERLINK("https://t.co/Fwa57QAhlh")</f>
        <v>https://t.co/Fwa57QAhlh</v>
      </c>
      <c r="AQ337" s="82" t="str">
        <f>HYPERLINK("http://chargesbira.blogspot.com.br")</f>
        <v>http://chargesbira.blogspot.com.br</v>
      </c>
      <c r="AR337" s="76" t="s">
        <v>26536</v>
      </c>
      <c r="AS337" s="76"/>
      <c r="AT337" s="76"/>
      <c r="AU337" s="76"/>
      <c r="AV337" s="76">
        <v>1.2979214147255401E+18</v>
      </c>
      <c r="AW337" s="82" t="str">
        <f>HYPERLINK("https://t.co/Fwa57QAhlh")</f>
        <v>https://t.co/Fwa57QAhlh</v>
      </c>
      <c r="AX337" s="76" t="b">
        <v>0</v>
      </c>
      <c r="AY337" s="76"/>
      <c r="AZ337" s="76"/>
      <c r="BA337" s="76" t="b">
        <v>0</v>
      </c>
      <c r="BB337" s="76" t="b">
        <v>1</v>
      </c>
      <c r="BC337" s="76" t="b">
        <v>1</v>
      </c>
      <c r="BD337" s="76" t="b">
        <v>0</v>
      </c>
      <c r="BE337" s="76" t="b">
        <v>1</v>
      </c>
      <c r="BF337" s="76" t="b">
        <v>0</v>
      </c>
      <c r="BG337" s="76" t="b">
        <v>0</v>
      </c>
      <c r="BH337" s="82" t="str">
        <f>HYPERLINK("https://pbs.twimg.com/profile_banners/68736733/1665512591")</f>
        <v>https://pbs.twimg.com/profile_banners/68736733/1665512591</v>
      </c>
      <c r="BI337" s="76"/>
      <c r="BJ337" s="76" t="s">
        <v>27595</v>
      </c>
      <c r="BK337" s="76" t="b">
        <v>0</v>
      </c>
      <c r="BL337" s="76"/>
      <c r="BM337" s="76" t="s">
        <v>66</v>
      </c>
      <c r="BN337" s="76" t="s">
        <v>27597</v>
      </c>
      <c r="BO337" s="82" t="str">
        <f>HYPERLINK("https://twitter.com/biradantas")</f>
        <v>https://twitter.com/biradantas</v>
      </c>
      <c r="BP337" s="2"/>
    </row>
    <row r="338" spans="1:68" x14ac:dyDescent="0.25">
      <c r="A338" s="62" t="s">
        <v>460</v>
      </c>
      <c r="B338" s="63"/>
      <c r="C338" s="63"/>
      <c r="D338" s="64"/>
      <c r="E338" s="66"/>
      <c r="F338" s="103" t="str">
        <f>HYPERLINK("https://pbs.twimg.com/profile_images/1451290328275824652/XYOIdtja_normal.jpg")</f>
        <v>https://pbs.twimg.com/profile_images/1451290328275824652/XYOIdtja_normal.jpg</v>
      </c>
      <c r="G338" s="63"/>
      <c r="H338" s="67"/>
      <c r="I338" s="68"/>
      <c r="J338" s="68"/>
      <c r="K338" s="67" t="s">
        <v>27932</v>
      </c>
      <c r="L338" s="71"/>
      <c r="M338" s="72"/>
      <c r="N338" s="72"/>
      <c r="O338" s="73"/>
      <c r="P338" s="74"/>
      <c r="Q338" s="74"/>
      <c r="R338" s="87"/>
      <c r="S338" s="87"/>
      <c r="T338" s="87"/>
      <c r="U338" s="87"/>
      <c r="V338" s="48"/>
      <c r="W338" s="48"/>
      <c r="X338" s="48"/>
      <c r="Y338" s="48"/>
      <c r="Z338" s="47"/>
      <c r="AA338" s="69">
        <v>338</v>
      </c>
      <c r="AB338" s="69"/>
      <c r="AC338" s="70"/>
      <c r="AD338" s="76" t="s">
        <v>21580</v>
      </c>
      <c r="AE338" s="81" t="s">
        <v>23237</v>
      </c>
      <c r="AF338" s="76">
        <v>68148</v>
      </c>
      <c r="AG338" s="76">
        <v>359</v>
      </c>
      <c r="AH338" s="76">
        <v>67927</v>
      </c>
      <c r="AI338" s="76">
        <v>181</v>
      </c>
      <c r="AJ338" s="76">
        <v>10950</v>
      </c>
      <c r="AK338" s="76">
        <v>30246</v>
      </c>
      <c r="AL338" s="76" t="b">
        <v>0</v>
      </c>
      <c r="AM338" s="78">
        <v>41016.563946759263</v>
      </c>
      <c r="AN338" s="76"/>
      <c r="AO338" s="76" t="s">
        <v>25006</v>
      </c>
      <c r="AP338" s="82" t="str">
        <f>HYPERLINK("https://t.co/68BhrfWbs9")</f>
        <v>https://t.co/68BhrfWbs9</v>
      </c>
      <c r="AQ338" s="82" t="str">
        <f>HYPERLINK("http://www.cba24n.com.ar")</f>
        <v>http://www.cba24n.com.ar</v>
      </c>
      <c r="AR338" s="76" t="s">
        <v>26537</v>
      </c>
      <c r="AS338" s="82" t="str">
        <f>HYPERLINK("https://t.co/4LIqgWfjhA")</f>
        <v>https://t.co/4LIqgWfjhA</v>
      </c>
      <c r="AT338" s="82" t="str">
        <f>HYPERLINK("http://cba24n.com.ar")</f>
        <v>http://cba24n.com.ar</v>
      </c>
      <c r="AU338" s="76" t="s">
        <v>26537</v>
      </c>
      <c r="AV338" s="76"/>
      <c r="AW338" s="82" t="str">
        <f>HYPERLINK("https://t.co/68BhrfWbs9")</f>
        <v>https://t.co/68BhrfWbs9</v>
      </c>
      <c r="AX338" s="76" t="b">
        <v>0</v>
      </c>
      <c r="AY338" s="76"/>
      <c r="AZ338" s="76"/>
      <c r="BA338" s="76" t="b">
        <v>0</v>
      </c>
      <c r="BB338" s="76" t="b">
        <v>1</v>
      </c>
      <c r="BC338" s="76" t="b">
        <v>0</v>
      </c>
      <c r="BD338" s="76" t="b">
        <v>0</v>
      </c>
      <c r="BE338" s="76" t="b">
        <v>1</v>
      </c>
      <c r="BF338" s="76" t="b">
        <v>0</v>
      </c>
      <c r="BG338" s="76" t="b">
        <v>0</v>
      </c>
      <c r="BH338" s="82" t="str">
        <f>HYPERLINK("https://pbs.twimg.com/profile_banners/555971617/1691675317")</f>
        <v>https://pbs.twimg.com/profile_banners/555971617/1691675317</v>
      </c>
      <c r="BI338" s="76"/>
      <c r="BJ338" s="76" t="s">
        <v>27595</v>
      </c>
      <c r="BK338" s="76" t="b">
        <v>0</v>
      </c>
      <c r="BL338" s="76"/>
      <c r="BM338" s="76" t="s">
        <v>66</v>
      </c>
      <c r="BN338" s="76" t="s">
        <v>27597</v>
      </c>
      <c r="BO338" s="82" t="str">
        <f>HYPERLINK("https://twitter.com/canal10cba")</f>
        <v>https://twitter.com/canal10cba</v>
      </c>
      <c r="BP338" s="2"/>
    </row>
    <row r="339" spans="1:68" x14ac:dyDescent="0.25">
      <c r="A339" s="62" t="s">
        <v>461</v>
      </c>
      <c r="B339" s="63"/>
      <c r="C339" s="63"/>
      <c r="D339" s="64"/>
      <c r="E339" s="66"/>
      <c r="F339" s="103" t="str">
        <f>HYPERLINK("https://pbs.twimg.com/profile_images/1647034568375975936/yp9-_I5b_normal.jpg")</f>
        <v>https://pbs.twimg.com/profile_images/1647034568375975936/yp9-_I5b_normal.jpg</v>
      </c>
      <c r="G339" s="63"/>
      <c r="H339" s="67"/>
      <c r="I339" s="68"/>
      <c r="J339" s="68"/>
      <c r="K339" s="67" t="s">
        <v>27933</v>
      </c>
      <c r="L339" s="71"/>
      <c r="M339" s="72"/>
      <c r="N339" s="72"/>
      <c r="O339" s="73"/>
      <c r="P339" s="74"/>
      <c r="Q339" s="74"/>
      <c r="R339" s="87"/>
      <c r="S339" s="87"/>
      <c r="T339" s="87"/>
      <c r="U339" s="87"/>
      <c r="V339" s="48"/>
      <c r="W339" s="48"/>
      <c r="X339" s="48"/>
      <c r="Y339" s="48"/>
      <c r="Z339" s="47"/>
      <c r="AA339" s="69">
        <v>339</v>
      </c>
      <c r="AB339" s="69"/>
      <c r="AC339" s="70"/>
      <c r="AD339" s="76" t="s">
        <v>21581</v>
      </c>
      <c r="AE339" s="81" t="s">
        <v>20612</v>
      </c>
      <c r="AF339" s="76">
        <v>177</v>
      </c>
      <c r="AG339" s="76">
        <v>13</v>
      </c>
      <c r="AH339" s="76">
        <v>309</v>
      </c>
      <c r="AI339" s="76">
        <v>0</v>
      </c>
      <c r="AJ339" s="76">
        <v>34</v>
      </c>
      <c r="AK339" s="76">
        <v>3</v>
      </c>
      <c r="AL339" s="76" t="b">
        <v>0</v>
      </c>
      <c r="AM339" s="78">
        <v>45031.018449074072</v>
      </c>
      <c r="AN339" s="76" t="s">
        <v>14382</v>
      </c>
      <c r="AO339" s="76" t="s">
        <v>25007</v>
      </c>
      <c r="AP339" s="82" t="str">
        <f>HYPERLINK("https://t.co/rTSi3nSmiQ")</f>
        <v>https://t.co/rTSi3nSmiQ</v>
      </c>
      <c r="AQ339" s="82" t="str">
        <f>HYPERLINK("https://coinstopics.com/")</f>
        <v>https://coinstopics.com/</v>
      </c>
      <c r="AR339" s="76" t="s">
        <v>8676</v>
      </c>
      <c r="AS339" s="76"/>
      <c r="AT339" s="76"/>
      <c r="AU339" s="76"/>
      <c r="AV339" s="76"/>
      <c r="AW339" s="82" t="str">
        <f>HYPERLINK("https://t.co/rTSi3nSmiQ")</f>
        <v>https://t.co/rTSi3nSmiQ</v>
      </c>
      <c r="AX339" s="76" t="b">
        <v>0</v>
      </c>
      <c r="AY339" s="76"/>
      <c r="AZ339" s="76"/>
      <c r="BA339" s="76" t="b">
        <v>0</v>
      </c>
      <c r="BB339" s="76" t="b">
        <v>1</v>
      </c>
      <c r="BC339" s="76" t="b">
        <v>1</v>
      </c>
      <c r="BD339" s="76" t="b">
        <v>0</v>
      </c>
      <c r="BE339" s="76" t="b">
        <v>0</v>
      </c>
      <c r="BF339" s="76" t="b">
        <v>0</v>
      </c>
      <c r="BG339" s="76" t="b">
        <v>0</v>
      </c>
      <c r="BH339" s="82" t="str">
        <f>HYPERLINK("https://pbs.twimg.com/profile_banners/1647033489022124033/1681518617")</f>
        <v>https://pbs.twimg.com/profile_banners/1647033489022124033/1681518617</v>
      </c>
      <c r="BI339" s="76"/>
      <c r="BJ339" s="76" t="s">
        <v>27595</v>
      </c>
      <c r="BK339" s="76" t="b">
        <v>0</v>
      </c>
      <c r="BL339" s="76"/>
      <c r="BM339" s="76" t="s">
        <v>66</v>
      </c>
      <c r="BN339" s="76" t="s">
        <v>27597</v>
      </c>
      <c r="BO339" s="82" t="str">
        <f>HYPERLINK("https://twitter.com/coinstopics")</f>
        <v>https://twitter.com/coinstopics</v>
      </c>
      <c r="BP339" s="2"/>
    </row>
    <row r="340" spans="1:68" x14ac:dyDescent="0.25">
      <c r="A340" s="62" t="s">
        <v>462</v>
      </c>
      <c r="B340" s="63"/>
      <c r="C340" s="63"/>
      <c r="D340" s="64"/>
      <c r="E340" s="66"/>
      <c r="F340" s="103" t="str">
        <f>HYPERLINK("https://pbs.twimg.com/profile_images/1519535467674456070/RAU0YZBB_normal.jpg")</f>
        <v>https://pbs.twimg.com/profile_images/1519535467674456070/RAU0YZBB_normal.jpg</v>
      </c>
      <c r="G340" s="63"/>
      <c r="H340" s="67"/>
      <c r="I340" s="68"/>
      <c r="J340" s="68"/>
      <c r="K340" s="67" t="s">
        <v>27934</v>
      </c>
      <c r="L340" s="71"/>
      <c r="M340" s="72"/>
      <c r="N340" s="72"/>
      <c r="O340" s="73"/>
      <c r="P340" s="74"/>
      <c r="Q340" s="74"/>
      <c r="R340" s="87"/>
      <c r="S340" s="87"/>
      <c r="T340" s="87"/>
      <c r="U340" s="87"/>
      <c r="V340" s="48"/>
      <c r="W340" s="48"/>
      <c r="X340" s="48"/>
      <c r="Y340" s="48"/>
      <c r="Z340" s="47"/>
      <c r="AA340" s="69">
        <v>340</v>
      </c>
      <c r="AB340" s="69"/>
      <c r="AC340" s="70"/>
      <c r="AD340" s="76" t="s">
        <v>21582</v>
      </c>
      <c r="AE340" s="81" t="s">
        <v>20613</v>
      </c>
      <c r="AF340" s="76">
        <v>2449</v>
      </c>
      <c r="AG340" s="76">
        <v>3178</v>
      </c>
      <c r="AH340" s="76">
        <v>75669</v>
      </c>
      <c r="AI340" s="76">
        <v>2</v>
      </c>
      <c r="AJ340" s="76">
        <v>88533</v>
      </c>
      <c r="AK340" s="76">
        <v>7797</v>
      </c>
      <c r="AL340" s="76" t="b">
        <v>0</v>
      </c>
      <c r="AM340" s="78">
        <v>42846.187071759261</v>
      </c>
      <c r="AN340" s="76" t="s">
        <v>24207</v>
      </c>
      <c r="AO340" s="76" t="s">
        <v>25008</v>
      </c>
      <c r="AP340" s="82" t="str">
        <f>HYPERLINK("https://t.co/n88ecWGY1g")</f>
        <v>https://t.co/n88ecWGY1g</v>
      </c>
      <c r="AQ340" s="82" t="str">
        <f>HYPERLINK("https://www.facebook.com/profile.php?id=100015682750846")</f>
        <v>https://www.facebook.com/profile.php?id=100015682750846</v>
      </c>
      <c r="AR340" s="76" t="s">
        <v>26538</v>
      </c>
      <c r="AS340" s="76"/>
      <c r="AT340" s="76"/>
      <c r="AU340" s="76"/>
      <c r="AV340" s="76">
        <v>1.70489883763712E+18</v>
      </c>
      <c r="AW340" s="82" t="str">
        <f>HYPERLINK("https://t.co/n88ecWGY1g")</f>
        <v>https://t.co/n88ecWGY1g</v>
      </c>
      <c r="AX340" s="76" t="b">
        <v>0</v>
      </c>
      <c r="AY340" s="76"/>
      <c r="AZ340" s="76"/>
      <c r="BA340" s="76" t="b">
        <v>0</v>
      </c>
      <c r="BB340" s="76" t="b">
        <v>1</v>
      </c>
      <c r="BC340" s="76" t="b">
        <v>1</v>
      </c>
      <c r="BD340" s="76" t="b">
        <v>0</v>
      </c>
      <c r="BE340" s="76" t="b">
        <v>1</v>
      </c>
      <c r="BF340" s="76" t="b">
        <v>0</v>
      </c>
      <c r="BG340" s="76" t="b">
        <v>0</v>
      </c>
      <c r="BH340" s="82" t="str">
        <f>HYPERLINK("https://pbs.twimg.com/profile_banners/855277258235301888/1675920592")</f>
        <v>https://pbs.twimg.com/profile_banners/855277258235301888/1675920592</v>
      </c>
      <c r="BI340" s="76"/>
      <c r="BJ340" s="76" t="s">
        <v>27595</v>
      </c>
      <c r="BK340" s="76" t="b">
        <v>0</v>
      </c>
      <c r="BL340" s="76"/>
      <c r="BM340" s="76" t="s">
        <v>66</v>
      </c>
      <c r="BN340" s="76" t="s">
        <v>27597</v>
      </c>
      <c r="BO340" s="82" t="str">
        <f>HYPERLINK("https://twitter.com/cmbortowski")</f>
        <v>https://twitter.com/cmbortowski</v>
      </c>
      <c r="BP340" s="2"/>
    </row>
    <row r="341" spans="1:68" x14ac:dyDescent="0.25">
      <c r="A341" s="62" t="s">
        <v>463</v>
      </c>
      <c r="B341" s="63"/>
      <c r="C341" s="63"/>
      <c r="D341" s="64"/>
      <c r="E341" s="66"/>
      <c r="F341" s="103" t="str">
        <f>HYPERLINK("https://pbs.twimg.com/profile_images/483835142784286721/qfznLNQ0_normal.png")</f>
        <v>https://pbs.twimg.com/profile_images/483835142784286721/qfznLNQ0_normal.png</v>
      </c>
      <c r="G341" s="63"/>
      <c r="H341" s="67"/>
      <c r="I341" s="68"/>
      <c r="J341" s="68"/>
      <c r="K341" s="67" t="s">
        <v>27935</v>
      </c>
      <c r="L341" s="71"/>
      <c r="M341" s="72"/>
      <c r="N341" s="72"/>
      <c r="O341" s="73"/>
      <c r="P341" s="74"/>
      <c r="Q341" s="74"/>
      <c r="R341" s="87"/>
      <c r="S341" s="87"/>
      <c r="T341" s="87"/>
      <c r="U341" s="87"/>
      <c r="V341" s="48"/>
      <c r="W341" s="48"/>
      <c r="X341" s="48"/>
      <c r="Y341" s="48"/>
      <c r="Z341" s="47"/>
      <c r="AA341" s="69">
        <v>341</v>
      </c>
      <c r="AB341" s="69"/>
      <c r="AC341" s="70"/>
      <c r="AD341" s="76" t="s">
        <v>21583</v>
      </c>
      <c r="AE341" s="81" t="s">
        <v>23238</v>
      </c>
      <c r="AF341" s="76">
        <v>3397</v>
      </c>
      <c r="AG341" s="76">
        <v>2254</v>
      </c>
      <c r="AH341" s="76">
        <v>1635344</v>
      </c>
      <c r="AI341" s="76">
        <v>78</v>
      </c>
      <c r="AJ341" s="76">
        <v>170</v>
      </c>
      <c r="AK341" s="76">
        <v>4</v>
      </c>
      <c r="AL341" s="76" t="b">
        <v>0</v>
      </c>
      <c r="AM341" s="78">
        <v>40141.851365740738</v>
      </c>
      <c r="AN341" s="76" t="s">
        <v>24076</v>
      </c>
      <c r="AO341" s="76" t="s">
        <v>25009</v>
      </c>
      <c r="AP341" s="82" t="str">
        <f>HYPERLINK("https://t.co/K6BnvBdZRG")</f>
        <v>https://t.co/K6BnvBdZRG</v>
      </c>
      <c r="AQ341" s="82" t="str">
        <f>HYPERLINK("https://lado.mx")</f>
        <v>https://lado.mx</v>
      </c>
      <c r="AR341" s="76" t="s">
        <v>8677</v>
      </c>
      <c r="AS341" s="82" t="str">
        <f>HYPERLINK("https://t.co/RC2nuEFqp2")</f>
        <v>https://t.co/RC2nuEFqp2</v>
      </c>
      <c r="AT341" s="82" t="str">
        <f>HYPERLINK("http://lado.mx")</f>
        <v>http://lado.mx</v>
      </c>
      <c r="AU341" s="76" t="s">
        <v>8677</v>
      </c>
      <c r="AV341" s="76">
        <v>1.04424418936877E+18</v>
      </c>
      <c r="AW341" s="82" t="str">
        <f>HYPERLINK("https://t.co/K6BnvBdZRG")</f>
        <v>https://t.co/K6BnvBdZRG</v>
      </c>
      <c r="AX341" s="76" t="b">
        <v>0</v>
      </c>
      <c r="AY341" s="76"/>
      <c r="AZ341" s="76"/>
      <c r="BA341" s="76" t="b">
        <v>0</v>
      </c>
      <c r="BB341" s="76" t="b">
        <v>1</v>
      </c>
      <c r="BC341" s="76" t="b">
        <v>0</v>
      </c>
      <c r="BD341" s="76" t="b">
        <v>0</v>
      </c>
      <c r="BE341" s="76" t="b">
        <v>1</v>
      </c>
      <c r="BF341" s="76" t="b">
        <v>0</v>
      </c>
      <c r="BG341" s="76" t="b">
        <v>1</v>
      </c>
      <c r="BH341" s="82" t="str">
        <f>HYPERLINK("https://pbs.twimg.com/profile_banners/92356864/1404190278")</f>
        <v>https://pbs.twimg.com/profile_banners/92356864/1404190278</v>
      </c>
      <c r="BI341" s="76"/>
      <c r="BJ341" s="76" t="s">
        <v>27595</v>
      </c>
      <c r="BK341" s="76" t="b">
        <v>0</v>
      </c>
      <c r="BL341" s="76"/>
      <c r="BM341" s="76" t="s">
        <v>66</v>
      </c>
      <c r="BN341" s="76" t="s">
        <v>27597</v>
      </c>
      <c r="BO341" s="82" t="str">
        <f>HYPERLINK("https://twitter.com/lado_mx")</f>
        <v>https://twitter.com/lado_mx</v>
      </c>
      <c r="BP341" s="2"/>
    </row>
    <row r="342" spans="1:68" x14ac:dyDescent="0.25">
      <c r="A342" s="62" t="s">
        <v>464</v>
      </c>
      <c r="B342" s="63"/>
      <c r="C342" s="63"/>
      <c r="D342" s="64"/>
      <c r="E342" s="66"/>
      <c r="F342" s="103" t="str">
        <f>HYPERLINK("https://pbs.twimg.com/profile_images/1632444353409892352/MpxaQjgQ_normal.jpg")</f>
        <v>https://pbs.twimg.com/profile_images/1632444353409892352/MpxaQjgQ_normal.jpg</v>
      </c>
      <c r="G342" s="63"/>
      <c r="H342" s="67"/>
      <c r="I342" s="68"/>
      <c r="J342" s="68"/>
      <c r="K342" s="67" t="s">
        <v>27936</v>
      </c>
      <c r="L342" s="71"/>
      <c r="M342" s="72"/>
      <c r="N342" s="72"/>
      <c r="O342" s="73"/>
      <c r="P342" s="74"/>
      <c r="Q342" s="74"/>
      <c r="R342" s="87"/>
      <c r="S342" s="87"/>
      <c r="T342" s="87"/>
      <c r="U342" s="87"/>
      <c r="V342" s="48"/>
      <c r="W342" s="48"/>
      <c r="X342" s="48"/>
      <c r="Y342" s="48"/>
      <c r="Z342" s="47"/>
      <c r="AA342" s="69">
        <v>342</v>
      </c>
      <c r="AB342" s="69"/>
      <c r="AC342" s="70"/>
      <c r="AD342" s="76" t="s">
        <v>21584</v>
      </c>
      <c r="AE342" s="81" t="s">
        <v>23239</v>
      </c>
      <c r="AF342" s="76">
        <v>3594</v>
      </c>
      <c r="AG342" s="76">
        <v>4165</v>
      </c>
      <c r="AH342" s="76">
        <v>60573</v>
      </c>
      <c r="AI342" s="76">
        <v>11</v>
      </c>
      <c r="AJ342" s="76">
        <v>11765</v>
      </c>
      <c r="AK342" s="76">
        <v>1935</v>
      </c>
      <c r="AL342" s="76" t="b">
        <v>0</v>
      </c>
      <c r="AM342" s="78">
        <v>39819.495312500003</v>
      </c>
      <c r="AN342" s="76" t="s">
        <v>24208</v>
      </c>
      <c r="AO342" s="76" t="s">
        <v>25010</v>
      </c>
      <c r="AP342" s="82" t="str">
        <f>HYPERLINK("https://t.co/AcGiIpPpok")</f>
        <v>https://t.co/AcGiIpPpok</v>
      </c>
      <c r="AQ342" s="82" t="str">
        <f>HYPERLINK("http://www.fortecultural.wordpress.com")</f>
        <v>http://www.fortecultural.wordpress.com</v>
      </c>
      <c r="AR342" s="76" t="s">
        <v>26539</v>
      </c>
      <c r="AS342" s="76" t="s">
        <v>27373</v>
      </c>
      <c r="AT342" s="76" t="s">
        <v>27412</v>
      </c>
      <c r="AU342" s="76" t="s">
        <v>27471</v>
      </c>
      <c r="AV342" s="76">
        <v>1.66458972127459E+18</v>
      </c>
      <c r="AW342" s="82" t="str">
        <f>HYPERLINK("https://t.co/AcGiIpPpok")</f>
        <v>https://t.co/AcGiIpPpok</v>
      </c>
      <c r="AX342" s="76" t="b">
        <v>0</v>
      </c>
      <c r="AY342" s="76"/>
      <c r="AZ342" s="76"/>
      <c r="BA342" s="76" t="b">
        <v>0</v>
      </c>
      <c r="BB342" s="76" t="b">
        <v>1</v>
      </c>
      <c r="BC342" s="76" t="b">
        <v>0</v>
      </c>
      <c r="BD342" s="76" t="b">
        <v>0</v>
      </c>
      <c r="BE342" s="76" t="b">
        <v>1</v>
      </c>
      <c r="BF342" s="76" t="b">
        <v>0</v>
      </c>
      <c r="BG342" s="76" t="b">
        <v>0</v>
      </c>
      <c r="BH342" s="82" t="str">
        <f>HYPERLINK("https://pbs.twimg.com/profile_banners/18671212/1672319831")</f>
        <v>https://pbs.twimg.com/profile_banners/18671212/1672319831</v>
      </c>
      <c r="BI342" s="76"/>
      <c r="BJ342" s="76" t="s">
        <v>27595</v>
      </c>
      <c r="BK342" s="76" t="b">
        <v>0</v>
      </c>
      <c r="BL342" s="76"/>
      <c r="BM342" s="76" t="s">
        <v>66</v>
      </c>
      <c r="BN342" s="76" t="s">
        <v>27597</v>
      </c>
      <c r="BO342" s="82" t="str">
        <f>HYPERLINK("https://twitter.com/edisilva64")</f>
        <v>https://twitter.com/edisilva64</v>
      </c>
      <c r="BP342" s="2"/>
    </row>
    <row r="343" spans="1:68" x14ac:dyDescent="0.25">
      <c r="A343" s="62" t="s">
        <v>465</v>
      </c>
      <c r="B343" s="63"/>
      <c r="C343" s="63"/>
      <c r="D343" s="64"/>
      <c r="E343" s="66"/>
      <c r="F343" s="103" t="str">
        <f>HYPERLINK("https://pbs.twimg.com/profile_images/1508524172837892101/t5raHjdl_normal.jpg")</f>
        <v>https://pbs.twimg.com/profile_images/1508524172837892101/t5raHjdl_normal.jpg</v>
      </c>
      <c r="G343" s="63"/>
      <c r="H343" s="67"/>
      <c r="I343" s="68"/>
      <c r="J343" s="68"/>
      <c r="K343" s="67" t="s">
        <v>27937</v>
      </c>
      <c r="L343" s="71"/>
      <c r="M343" s="72"/>
      <c r="N343" s="72"/>
      <c r="O343" s="73"/>
      <c r="P343" s="74"/>
      <c r="Q343" s="74"/>
      <c r="R343" s="87"/>
      <c r="S343" s="87"/>
      <c r="T343" s="87"/>
      <c r="U343" s="87"/>
      <c r="V343" s="48"/>
      <c r="W343" s="48"/>
      <c r="X343" s="48"/>
      <c r="Y343" s="48"/>
      <c r="Z343" s="47"/>
      <c r="AA343" s="69">
        <v>343</v>
      </c>
      <c r="AB343" s="69"/>
      <c r="AC343" s="70"/>
      <c r="AD343" s="76" t="s">
        <v>21585</v>
      </c>
      <c r="AE343" s="81" t="s">
        <v>20242</v>
      </c>
      <c r="AF343" s="76">
        <v>42</v>
      </c>
      <c r="AG343" s="76">
        <v>46</v>
      </c>
      <c r="AH343" s="76">
        <v>198</v>
      </c>
      <c r="AI343" s="76">
        <v>0</v>
      </c>
      <c r="AJ343" s="76">
        <v>59</v>
      </c>
      <c r="AK343" s="76">
        <v>52</v>
      </c>
      <c r="AL343" s="76" t="b">
        <v>0</v>
      </c>
      <c r="AM343" s="78">
        <v>43897.691840277781</v>
      </c>
      <c r="AN343" s="76"/>
      <c r="AO343" s="76" t="s">
        <v>25011</v>
      </c>
      <c r="AP343" s="76"/>
      <c r="AQ343" s="76"/>
      <c r="AR343" s="76"/>
      <c r="AS343" s="76"/>
      <c r="AT343" s="76"/>
      <c r="AU343" s="76"/>
      <c r="AV343" s="76"/>
      <c r="AW343" s="76"/>
      <c r="AX343" s="76" t="b">
        <v>0</v>
      </c>
      <c r="AY343" s="76"/>
      <c r="AZ343" s="76"/>
      <c r="BA343" s="76" t="b">
        <v>0</v>
      </c>
      <c r="BB343" s="76" t="b">
        <v>1</v>
      </c>
      <c r="BC343" s="76" t="b">
        <v>1</v>
      </c>
      <c r="BD343" s="76" t="b">
        <v>0</v>
      </c>
      <c r="BE343" s="76" t="b">
        <v>0</v>
      </c>
      <c r="BF343" s="76" t="b">
        <v>0</v>
      </c>
      <c r="BG343" s="76" t="b">
        <v>0</v>
      </c>
      <c r="BH343" s="82" t="str">
        <f>HYPERLINK("https://pbs.twimg.com/profile_banners/1236329544061157376/1648569223")</f>
        <v>https://pbs.twimg.com/profile_banners/1236329544061157376/1648569223</v>
      </c>
      <c r="BI343" s="76"/>
      <c r="BJ343" s="76" t="s">
        <v>27595</v>
      </c>
      <c r="BK343" s="76" t="b">
        <v>0</v>
      </c>
      <c r="BL343" s="76"/>
      <c r="BM343" s="76" t="s">
        <v>66</v>
      </c>
      <c r="BN343" s="76" t="s">
        <v>27597</v>
      </c>
      <c r="BO343" s="82" t="str">
        <f>HYPERLINK("https://twitter.com/drdotrade")</f>
        <v>https://twitter.com/drdotrade</v>
      </c>
      <c r="BP343" s="2"/>
    </row>
    <row r="344" spans="1:68" x14ac:dyDescent="0.25">
      <c r="A344" s="62" t="s">
        <v>466</v>
      </c>
      <c r="B344" s="63"/>
      <c r="C344" s="63"/>
      <c r="D344" s="64"/>
      <c r="E344" s="66"/>
      <c r="F344" s="103" t="str">
        <f>HYPERLINK("https://pbs.twimg.com/profile_images/1618704448913645585/SRa-pW4s_normal.jpg")</f>
        <v>https://pbs.twimg.com/profile_images/1618704448913645585/SRa-pW4s_normal.jpg</v>
      </c>
      <c r="G344" s="63"/>
      <c r="H344" s="67"/>
      <c r="I344" s="68"/>
      <c r="J344" s="68"/>
      <c r="K344" s="67" t="s">
        <v>27938</v>
      </c>
      <c r="L344" s="71"/>
      <c r="M344" s="72"/>
      <c r="N344" s="72"/>
      <c r="O344" s="73"/>
      <c r="P344" s="74"/>
      <c r="Q344" s="74"/>
      <c r="R344" s="87"/>
      <c r="S344" s="87"/>
      <c r="T344" s="87"/>
      <c r="U344" s="87"/>
      <c r="V344" s="48"/>
      <c r="W344" s="48"/>
      <c r="X344" s="48"/>
      <c r="Y344" s="48"/>
      <c r="Z344" s="47"/>
      <c r="AA344" s="69">
        <v>344</v>
      </c>
      <c r="AB344" s="69"/>
      <c r="AC344" s="70"/>
      <c r="AD344" s="76" t="s">
        <v>21586</v>
      </c>
      <c r="AE344" s="81" t="s">
        <v>23240</v>
      </c>
      <c r="AF344" s="76">
        <v>14784</v>
      </c>
      <c r="AG344" s="76">
        <v>270</v>
      </c>
      <c r="AH344" s="76">
        <v>47174</v>
      </c>
      <c r="AI344" s="76">
        <v>44</v>
      </c>
      <c r="AJ344" s="76">
        <v>143</v>
      </c>
      <c r="AK344" s="76">
        <v>14412</v>
      </c>
      <c r="AL344" s="76" t="b">
        <v>0</v>
      </c>
      <c r="AM344" s="78">
        <v>40489.528587962966</v>
      </c>
      <c r="AN344" s="76" t="s">
        <v>14382</v>
      </c>
      <c r="AO344" s="82" t="str">
        <f>HYPERLINK("https://t.co/qlnZ5UsZ7Y")</f>
        <v>https://t.co/qlnZ5UsZ7Y</v>
      </c>
      <c r="AP344" s="82" t="str">
        <f>HYPERLINK("https://t.co/3JGflcEKcN")</f>
        <v>https://t.co/3JGflcEKcN</v>
      </c>
      <c r="AQ344" s="82" t="str">
        <f>HYPERLINK("http://www.jornalcontabil.com.br")</f>
        <v>http://www.jornalcontabil.com.br</v>
      </c>
      <c r="AR344" s="76" t="s">
        <v>26540</v>
      </c>
      <c r="AS344" s="82" t="str">
        <f>HYPERLINK("https://t.co/qlnZ5UsZ7Y")</f>
        <v>https://t.co/qlnZ5UsZ7Y</v>
      </c>
      <c r="AT344" s="82" t="str">
        <f>HYPERLINK("http://jornalcontabil.com.br")</f>
        <v>http://jornalcontabil.com.br</v>
      </c>
      <c r="AU344" s="76" t="s">
        <v>26540</v>
      </c>
      <c r="AV344" s="76"/>
      <c r="AW344" s="82" t="str">
        <f>HYPERLINK("https://t.co/3JGflcEKcN")</f>
        <v>https://t.co/3JGflcEKcN</v>
      </c>
      <c r="AX344" s="76" t="b">
        <v>0</v>
      </c>
      <c r="AY344" s="76"/>
      <c r="AZ344" s="76"/>
      <c r="BA344" s="76" t="b">
        <v>0</v>
      </c>
      <c r="BB344" s="76" t="b">
        <v>1</v>
      </c>
      <c r="BC344" s="76" t="b">
        <v>0</v>
      </c>
      <c r="BD344" s="76" t="b">
        <v>0</v>
      </c>
      <c r="BE344" s="76" t="b">
        <v>1</v>
      </c>
      <c r="BF344" s="76" t="b">
        <v>0</v>
      </c>
      <c r="BG344" s="76" t="b">
        <v>0</v>
      </c>
      <c r="BH344" s="82" t="str">
        <f>HYPERLINK("https://pbs.twimg.com/profile_banners/212916157/1666613705")</f>
        <v>https://pbs.twimg.com/profile_banners/212916157/1666613705</v>
      </c>
      <c r="BI344" s="76"/>
      <c r="BJ344" s="76" t="s">
        <v>27595</v>
      </c>
      <c r="BK344" s="76" t="b">
        <v>0</v>
      </c>
      <c r="BL344" s="76"/>
      <c r="BM344" s="76" t="s">
        <v>66</v>
      </c>
      <c r="BN344" s="76" t="s">
        <v>27597</v>
      </c>
      <c r="BO344" s="82" t="str">
        <f>HYPERLINK("https://twitter.com/jornalcontabil_")</f>
        <v>https://twitter.com/jornalcontabil_</v>
      </c>
      <c r="BP344" s="2"/>
    </row>
    <row r="345" spans="1:68" x14ac:dyDescent="0.25">
      <c r="A345" s="62" t="s">
        <v>467</v>
      </c>
      <c r="B345" s="63"/>
      <c r="C345" s="63"/>
      <c r="D345" s="64"/>
      <c r="E345" s="66"/>
      <c r="F345" s="103" t="str">
        <f>HYPERLINK("https://pbs.twimg.com/profile_images/1135998081374154752/dRo8H2pk_normal.png")</f>
        <v>https://pbs.twimg.com/profile_images/1135998081374154752/dRo8H2pk_normal.png</v>
      </c>
      <c r="G345" s="63"/>
      <c r="H345" s="67"/>
      <c r="I345" s="68"/>
      <c r="J345" s="68"/>
      <c r="K345" s="67" t="s">
        <v>27939</v>
      </c>
      <c r="L345" s="71"/>
      <c r="M345" s="72"/>
      <c r="N345" s="72"/>
      <c r="O345" s="73"/>
      <c r="P345" s="74"/>
      <c r="Q345" s="74"/>
      <c r="R345" s="87"/>
      <c r="S345" s="87"/>
      <c r="T345" s="87"/>
      <c r="U345" s="87"/>
      <c r="V345" s="48"/>
      <c r="W345" s="48"/>
      <c r="X345" s="48"/>
      <c r="Y345" s="48"/>
      <c r="Z345" s="47"/>
      <c r="AA345" s="69">
        <v>345</v>
      </c>
      <c r="AB345" s="69"/>
      <c r="AC345" s="70"/>
      <c r="AD345" s="76" t="s">
        <v>21587</v>
      </c>
      <c r="AE345" s="81" t="s">
        <v>23241</v>
      </c>
      <c r="AF345" s="76">
        <v>81</v>
      </c>
      <c r="AG345" s="76">
        <v>127</v>
      </c>
      <c r="AH345" s="76">
        <v>1407</v>
      </c>
      <c r="AI345" s="76">
        <v>4</v>
      </c>
      <c r="AJ345" s="76">
        <v>10</v>
      </c>
      <c r="AK345" s="76">
        <v>460</v>
      </c>
      <c r="AL345" s="76" t="b">
        <v>0</v>
      </c>
      <c r="AM345" s="78">
        <v>42258.790844907409</v>
      </c>
      <c r="AN345" s="76" t="s">
        <v>24209</v>
      </c>
      <c r="AO345" s="76" t="s">
        <v>25012</v>
      </c>
      <c r="AP345" s="82" t="str">
        <f>HYPERLINK("https://t.co/ppE0m3PGxG")</f>
        <v>https://t.co/ppE0m3PGxG</v>
      </c>
      <c r="AQ345" s="82" t="str">
        <f>HYPERLINK("http://www.newcapitalsecurities.com/")</f>
        <v>http://www.newcapitalsecurities.com/</v>
      </c>
      <c r="AR345" s="76" t="s">
        <v>26541</v>
      </c>
      <c r="AS345" s="76"/>
      <c r="AT345" s="76"/>
      <c r="AU345" s="76"/>
      <c r="AV345" s="76"/>
      <c r="AW345" s="82" t="str">
        <f>HYPERLINK("https://t.co/ppE0m3PGxG")</f>
        <v>https://t.co/ppE0m3PGxG</v>
      </c>
      <c r="AX345" s="76" t="b">
        <v>0</v>
      </c>
      <c r="AY345" s="76"/>
      <c r="AZ345" s="76"/>
      <c r="BA345" s="76" t="b">
        <v>1</v>
      </c>
      <c r="BB345" s="76" t="b">
        <v>1</v>
      </c>
      <c r="BC345" s="76" t="b">
        <v>1</v>
      </c>
      <c r="BD345" s="76" t="b">
        <v>0</v>
      </c>
      <c r="BE345" s="76" t="b">
        <v>1</v>
      </c>
      <c r="BF345" s="76" t="b">
        <v>0</v>
      </c>
      <c r="BG345" s="76" t="b">
        <v>0</v>
      </c>
      <c r="BH345" s="82" t="str">
        <f>HYPERLINK("https://pbs.twimg.com/profile_banners/3623168115/1470844701")</f>
        <v>https://pbs.twimg.com/profile_banners/3623168115/1470844701</v>
      </c>
      <c r="BI345" s="76"/>
      <c r="BJ345" s="76" t="s">
        <v>27595</v>
      </c>
      <c r="BK345" s="76" t="b">
        <v>0</v>
      </c>
      <c r="BL345" s="76"/>
      <c r="BM345" s="76" t="s">
        <v>66</v>
      </c>
      <c r="BN345" s="76" t="s">
        <v>27597</v>
      </c>
      <c r="BO345" s="82" t="str">
        <f>HYPERLINK("https://twitter.com/newcapsec")</f>
        <v>https://twitter.com/newcapsec</v>
      </c>
      <c r="BP345" s="2"/>
    </row>
    <row r="346" spans="1:68" x14ac:dyDescent="0.25">
      <c r="A346" s="62" t="s">
        <v>468</v>
      </c>
      <c r="B346" s="63"/>
      <c r="C346" s="63"/>
      <c r="D346" s="64"/>
      <c r="E346" s="66"/>
      <c r="F346" s="103" t="str">
        <f>HYPERLINK("https://pbs.twimg.com/profile_images/1528118188000567300/8P0Mle2h_normal.jpg")</f>
        <v>https://pbs.twimg.com/profile_images/1528118188000567300/8P0Mle2h_normal.jpg</v>
      </c>
      <c r="G346" s="63"/>
      <c r="H346" s="67"/>
      <c r="I346" s="68"/>
      <c r="J346" s="68"/>
      <c r="K346" s="67" t="s">
        <v>27940</v>
      </c>
      <c r="L346" s="71"/>
      <c r="M346" s="72"/>
      <c r="N346" s="72"/>
      <c r="O346" s="73"/>
      <c r="P346" s="74"/>
      <c r="Q346" s="74"/>
      <c r="R346" s="87"/>
      <c r="S346" s="87"/>
      <c r="T346" s="87"/>
      <c r="U346" s="87"/>
      <c r="V346" s="48"/>
      <c r="W346" s="48"/>
      <c r="X346" s="48"/>
      <c r="Y346" s="48"/>
      <c r="Z346" s="47"/>
      <c r="AA346" s="69">
        <v>346</v>
      </c>
      <c r="AB346" s="69"/>
      <c r="AC346" s="70"/>
      <c r="AD346" s="76" t="s">
        <v>21588</v>
      </c>
      <c r="AE346" s="81" t="s">
        <v>23242</v>
      </c>
      <c r="AF346" s="76">
        <v>4214</v>
      </c>
      <c r="AG346" s="76">
        <v>1334</v>
      </c>
      <c r="AH346" s="76">
        <v>1341</v>
      </c>
      <c r="AI346" s="76">
        <v>17</v>
      </c>
      <c r="AJ346" s="76">
        <v>1688</v>
      </c>
      <c r="AK346" s="76">
        <v>185</v>
      </c>
      <c r="AL346" s="76" t="b">
        <v>0</v>
      </c>
      <c r="AM346" s="78">
        <v>40390.538680555554</v>
      </c>
      <c r="AN346" s="76" t="s">
        <v>14385</v>
      </c>
      <c r="AO346" s="76" t="s">
        <v>25013</v>
      </c>
      <c r="AP346" s="76"/>
      <c r="AQ346" s="76"/>
      <c r="AR346" s="76"/>
      <c r="AS346" s="76"/>
      <c r="AT346" s="76"/>
      <c r="AU346" s="76"/>
      <c r="AV346" s="76">
        <v>1.52812973015474E+18</v>
      </c>
      <c r="AW346" s="76"/>
      <c r="AX346" s="76" t="b">
        <v>0</v>
      </c>
      <c r="AY346" s="76"/>
      <c r="AZ346" s="76"/>
      <c r="BA346" s="76" t="b">
        <v>0</v>
      </c>
      <c r="BB346" s="76" t="b">
        <v>1</v>
      </c>
      <c r="BC346" s="76" t="b">
        <v>0</v>
      </c>
      <c r="BD346" s="76" t="b">
        <v>0</v>
      </c>
      <c r="BE346" s="76" t="b">
        <v>1</v>
      </c>
      <c r="BF346" s="76" t="b">
        <v>0</v>
      </c>
      <c r="BG346" s="76" t="b">
        <v>0</v>
      </c>
      <c r="BH346" s="82" t="str">
        <f>HYPERLINK("https://pbs.twimg.com/profile_banners/173104465/1653166967")</f>
        <v>https://pbs.twimg.com/profile_banners/173104465/1653166967</v>
      </c>
      <c r="BI346" s="76"/>
      <c r="BJ346" s="76" t="s">
        <v>27595</v>
      </c>
      <c r="BK346" s="76" t="b">
        <v>0</v>
      </c>
      <c r="BL346" s="76"/>
      <c r="BM346" s="76" t="s">
        <v>66</v>
      </c>
      <c r="BN346" s="76" t="s">
        <v>27597</v>
      </c>
      <c r="BO346" s="82" t="str">
        <f>HYPERLINK("https://twitter.com/chavoramello")</f>
        <v>https://twitter.com/chavoramello</v>
      </c>
      <c r="BP346" s="2"/>
    </row>
    <row r="347" spans="1:68" x14ac:dyDescent="0.25">
      <c r="A347" s="62" t="s">
        <v>1765</v>
      </c>
      <c r="B347" s="63"/>
      <c r="C347" s="63"/>
      <c r="D347" s="64"/>
      <c r="E347" s="66"/>
      <c r="F347" s="103" t="str">
        <f>HYPERLINK("https://pbs.twimg.com/profile_images/1488687170214895617/ESZxplRK_normal.jpg")</f>
        <v>https://pbs.twimg.com/profile_images/1488687170214895617/ESZxplRK_normal.jpg</v>
      </c>
      <c r="G347" s="63"/>
      <c r="H347" s="67"/>
      <c r="I347" s="68"/>
      <c r="J347" s="68"/>
      <c r="K347" s="67" t="s">
        <v>27941</v>
      </c>
      <c r="L347" s="71"/>
      <c r="M347" s="72"/>
      <c r="N347" s="72"/>
      <c r="O347" s="73"/>
      <c r="P347" s="74"/>
      <c r="Q347" s="74"/>
      <c r="R347" s="87"/>
      <c r="S347" s="87"/>
      <c r="T347" s="87"/>
      <c r="U347" s="87"/>
      <c r="V347" s="48"/>
      <c r="W347" s="48"/>
      <c r="X347" s="48"/>
      <c r="Y347" s="48"/>
      <c r="Z347" s="47"/>
      <c r="AA347" s="69">
        <v>347</v>
      </c>
      <c r="AB347" s="69"/>
      <c r="AC347" s="70"/>
      <c r="AD347" s="76" t="s">
        <v>21589</v>
      </c>
      <c r="AE347" s="81" t="s">
        <v>23243</v>
      </c>
      <c r="AF347" s="76">
        <v>721</v>
      </c>
      <c r="AG347" s="76">
        <v>691</v>
      </c>
      <c r="AH347" s="76">
        <v>755</v>
      </c>
      <c r="AI347" s="76">
        <v>0</v>
      </c>
      <c r="AJ347" s="76">
        <v>342</v>
      </c>
      <c r="AK347" s="76">
        <v>145</v>
      </c>
      <c r="AL347" s="76" t="b">
        <v>0</v>
      </c>
      <c r="AM347" s="78">
        <v>44594.065196759257</v>
      </c>
      <c r="AN347" s="76"/>
      <c r="AO347" s="76" t="s">
        <v>25014</v>
      </c>
      <c r="AP347" s="82" t="str">
        <f>HYPERLINK("https://t.co/oDWLRgqTSm")</f>
        <v>https://t.co/oDWLRgqTSm</v>
      </c>
      <c r="AQ347" s="82" t="str">
        <f>HYPERLINK("http://www.demosargentina.com")</f>
        <v>http://www.demosargentina.com</v>
      </c>
      <c r="AR347" s="76" t="s">
        <v>26542</v>
      </c>
      <c r="AS347" s="76"/>
      <c r="AT347" s="76"/>
      <c r="AU347" s="76"/>
      <c r="AV347" s="76"/>
      <c r="AW347" s="82" t="str">
        <f>HYPERLINK("https://t.co/oDWLRgqTSm")</f>
        <v>https://t.co/oDWLRgqTSm</v>
      </c>
      <c r="AX347" s="76" t="b">
        <v>0</v>
      </c>
      <c r="AY347" s="76"/>
      <c r="AZ347" s="76"/>
      <c r="BA347" s="76" t="b">
        <v>0</v>
      </c>
      <c r="BB347" s="76" t="b">
        <v>1</v>
      </c>
      <c r="BC347" s="76" t="b">
        <v>1</v>
      </c>
      <c r="BD347" s="76" t="b">
        <v>0</v>
      </c>
      <c r="BE347" s="76" t="b">
        <v>0</v>
      </c>
      <c r="BF347" s="76" t="b">
        <v>0</v>
      </c>
      <c r="BG347" s="76" t="b">
        <v>0</v>
      </c>
      <c r="BH347" s="82" t="str">
        <f>HYPERLINK("https://pbs.twimg.com/profile_banners/1488687022550175745/1687992364")</f>
        <v>https://pbs.twimg.com/profile_banners/1488687022550175745/1687992364</v>
      </c>
      <c r="BI347" s="76"/>
      <c r="BJ347" s="76" t="s">
        <v>27595</v>
      </c>
      <c r="BK347" s="76" t="b">
        <v>0</v>
      </c>
      <c r="BL347" s="76"/>
      <c r="BM347" s="76" t="s">
        <v>65</v>
      </c>
      <c r="BN347" s="76" t="s">
        <v>27597</v>
      </c>
      <c r="BO347" s="82" t="str">
        <f>HYPERLINK("https://twitter.com/demosargok")</f>
        <v>https://twitter.com/demosargok</v>
      </c>
      <c r="BP347" s="2"/>
    </row>
    <row r="348" spans="1:68" x14ac:dyDescent="0.25">
      <c r="A348" s="62" t="s">
        <v>1766</v>
      </c>
      <c r="B348" s="63"/>
      <c r="C348" s="63"/>
      <c r="D348" s="64"/>
      <c r="E348" s="66"/>
      <c r="F348" s="103" t="str">
        <f>HYPERLINK("https://pbs.twimg.com/profile_images/1460049463339225091/dDmpq84p_normal.jpg")</f>
        <v>https://pbs.twimg.com/profile_images/1460049463339225091/dDmpq84p_normal.jpg</v>
      </c>
      <c r="G348" s="63"/>
      <c r="H348" s="67"/>
      <c r="I348" s="68"/>
      <c r="J348" s="68"/>
      <c r="K348" s="67" t="s">
        <v>27942</v>
      </c>
      <c r="L348" s="71"/>
      <c r="M348" s="72"/>
      <c r="N348" s="72"/>
      <c r="O348" s="73"/>
      <c r="P348" s="74"/>
      <c r="Q348" s="74"/>
      <c r="R348" s="87"/>
      <c r="S348" s="87"/>
      <c r="T348" s="87"/>
      <c r="U348" s="87"/>
      <c r="V348" s="48"/>
      <c r="W348" s="48"/>
      <c r="X348" s="48"/>
      <c r="Y348" s="48"/>
      <c r="Z348" s="47"/>
      <c r="AA348" s="69">
        <v>348</v>
      </c>
      <c r="AB348" s="69"/>
      <c r="AC348" s="70"/>
      <c r="AD348" s="76" t="s">
        <v>21590</v>
      </c>
      <c r="AE348" s="81" t="s">
        <v>23244</v>
      </c>
      <c r="AF348" s="76">
        <v>152277</v>
      </c>
      <c r="AG348" s="76">
        <v>208</v>
      </c>
      <c r="AH348" s="76">
        <v>10955</v>
      </c>
      <c r="AI348" s="76">
        <v>387</v>
      </c>
      <c r="AJ348" s="76">
        <v>293</v>
      </c>
      <c r="AK348" s="76">
        <v>2538</v>
      </c>
      <c r="AL348" s="76" t="b">
        <v>0</v>
      </c>
      <c r="AM348" s="78">
        <v>42339.721782407411</v>
      </c>
      <c r="AN348" s="76" t="s">
        <v>14385</v>
      </c>
      <c r="AO348" s="76" t="s">
        <v>25015</v>
      </c>
      <c r="AP348" s="82" t="str">
        <f>HYPERLINK("https://t.co/psh0EmxYha")</f>
        <v>https://t.co/psh0EmxYha</v>
      </c>
      <c r="AQ348" s="82" t="str">
        <f>HYPERLINK("https://linktr.ee/juntoscambioar")</f>
        <v>https://linktr.ee/juntoscambioar</v>
      </c>
      <c r="AR348" s="76" t="s">
        <v>26543</v>
      </c>
      <c r="AS348" s="76"/>
      <c r="AT348" s="76"/>
      <c r="AU348" s="76"/>
      <c r="AV348" s="76"/>
      <c r="AW348" s="82" t="str">
        <f>HYPERLINK("https://t.co/psh0EmxYha")</f>
        <v>https://t.co/psh0EmxYha</v>
      </c>
      <c r="AX348" s="76" t="b">
        <v>0</v>
      </c>
      <c r="AY348" s="76"/>
      <c r="AZ348" s="76"/>
      <c r="BA348" s="76" t="b">
        <v>1</v>
      </c>
      <c r="BB348" s="76" t="b">
        <v>1</v>
      </c>
      <c r="BC348" s="76" t="b">
        <v>1</v>
      </c>
      <c r="BD348" s="76" t="b">
        <v>0</v>
      </c>
      <c r="BE348" s="76" t="b">
        <v>0</v>
      </c>
      <c r="BF348" s="76" t="b">
        <v>0</v>
      </c>
      <c r="BG348" s="76" t="b">
        <v>0</v>
      </c>
      <c r="BH348" s="82" t="str">
        <f>HYPERLINK("https://pbs.twimg.com/profile_banners/4341845367/1575171389")</f>
        <v>https://pbs.twimg.com/profile_banners/4341845367/1575171389</v>
      </c>
      <c r="BI348" s="76"/>
      <c r="BJ348" s="76" t="s">
        <v>27595</v>
      </c>
      <c r="BK348" s="76" t="b">
        <v>0</v>
      </c>
      <c r="BL348" s="76"/>
      <c r="BM348" s="76" t="s">
        <v>65</v>
      </c>
      <c r="BN348" s="76" t="s">
        <v>27597</v>
      </c>
      <c r="BO348" s="82" t="str">
        <f>HYPERLINK("https://twitter.com/juntoscambioar")</f>
        <v>https://twitter.com/juntoscambioar</v>
      </c>
      <c r="BP348" s="2"/>
    </row>
    <row r="349" spans="1:68" x14ac:dyDescent="0.25">
      <c r="A349" s="62" t="s">
        <v>1767</v>
      </c>
      <c r="B349" s="63"/>
      <c r="C349" s="63"/>
      <c r="D349" s="64"/>
      <c r="E349" s="66"/>
      <c r="F349" s="103" t="str">
        <f>HYPERLINK("https://pbs.twimg.com/profile_images/1422950434751369222/njQmVapA_normal.jpg")</f>
        <v>https://pbs.twimg.com/profile_images/1422950434751369222/njQmVapA_normal.jpg</v>
      </c>
      <c r="G349" s="63"/>
      <c r="H349" s="67"/>
      <c r="I349" s="68"/>
      <c r="J349" s="68"/>
      <c r="K349" s="67" t="s">
        <v>27943</v>
      </c>
      <c r="L349" s="71"/>
      <c r="M349" s="72"/>
      <c r="N349" s="72"/>
      <c r="O349" s="73"/>
      <c r="P349" s="74"/>
      <c r="Q349" s="74"/>
      <c r="R349" s="87"/>
      <c r="S349" s="87"/>
      <c r="T349" s="87"/>
      <c r="U349" s="87"/>
      <c r="V349" s="48"/>
      <c r="W349" s="48"/>
      <c r="X349" s="48"/>
      <c r="Y349" s="48"/>
      <c r="Z349" s="47"/>
      <c r="AA349" s="69">
        <v>349</v>
      </c>
      <c r="AB349" s="69"/>
      <c r="AC349" s="70"/>
      <c r="AD349" s="76" t="s">
        <v>21591</v>
      </c>
      <c r="AE349" s="81" t="s">
        <v>23245</v>
      </c>
      <c r="AF349" s="76">
        <v>255138</v>
      </c>
      <c r="AG349" s="76">
        <v>139</v>
      </c>
      <c r="AH349" s="76">
        <v>1766</v>
      </c>
      <c r="AI349" s="76">
        <v>211</v>
      </c>
      <c r="AJ349" s="76">
        <v>1798</v>
      </c>
      <c r="AK349" s="76">
        <v>693</v>
      </c>
      <c r="AL349" s="76" t="b">
        <v>0</v>
      </c>
      <c r="AM349" s="78">
        <v>40644.820393518516</v>
      </c>
      <c r="AN349" s="76" t="s">
        <v>14385</v>
      </c>
      <c r="AO349" s="76" t="s">
        <v>25016</v>
      </c>
      <c r="AP349" s="82" t="str">
        <f>HYPERLINK("https://t.co/2gyTGUmJcJ")</f>
        <v>https://t.co/2gyTGUmJcJ</v>
      </c>
      <c r="AQ349" s="82" t="str">
        <f>HYPERLINK("https://www.tiktok.com/@llibertadavanza")</f>
        <v>https://www.tiktok.com/@llibertadavanza</v>
      </c>
      <c r="AR349" s="76" t="s">
        <v>26544</v>
      </c>
      <c r="AS349" s="76"/>
      <c r="AT349" s="76"/>
      <c r="AU349" s="76"/>
      <c r="AV349" s="76">
        <v>1.6396996345944901E+18</v>
      </c>
      <c r="AW349" s="82" t="str">
        <f>HYPERLINK("https://t.co/2gyTGUmJcJ")</f>
        <v>https://t.co/2gyTGUmJcJ</v>
      </c>
      <c r="AX349" s="76" t="b">
        <v>1</v>
      </c>
      <c r="AY349" s="76"/>
      <c r="AZ349" s="76"/>
      <c r="BA349" s="76" t="b">
        <v>1</v>
      </c>
      <c r="BB349" s="76" t="b">
        <v>1</v>
      </c>
      <c r="BC349" s="76" t="b">
        <v>0</v>
      </c>
      <c r="BD349" s="76" t="b">
        <v>0</v>
      </c>
      <c r="BE349" s="76" t="b">
        <v>0</v>
      </c>
      <c r="BF349" s="76" t="b">
        <v>0</v>
      </c>
      <c r="BG349" s="76" t="b">
        <v>0</v>
      </c>
      <c r="BH349" s="82" t="str">
        <f>HYPERLINK("https://pbs.twimg.com/profile_banners/280656430/1628642849")</f>
        <v>https://pbs.twimg.com/profile_banners/280656430/1628642849</v>
      </c>
      <c r="BI349" s="76"/>
      <c r="BJ349" s="76" t="s">
        <v>27595</v>
      </c>
      <c r="BK349" s="76" t="b">
        <v>0</v>
      </c>
      <c r="BL349" s="76"/>
      <c r="BM349" s="76" t="s">
        <v>65</v>
      </c>
      <c r="BN349" s="76" t="s">
        <v>27597</v>
      </c>
      <c r="BO349" s="82" t="str">
        <f>HYPERLINK("https://twitter.com/llibertadavanza")</f>
        <v>https://twitter.com/llibertadavanza</v>
      </c>
      <c r="BP349" s="2"/>
    </row>
    <row r="350" spans="1:68" x14ac:dyDescent="0.25">
      <c r="A350" s="62" t="s">
        <v>469</v>
      </c>
      <c r="B350" s="63"/>
      <c r="C350" s="63"/>
      <c r="D350" s="64"/>
      <c r="E350" s="66"/>
      <c r="F350" s="103" t="str">
        <f>HYPERLINK("https://pbs.twimg.com/profile_images/378800000105045836/6fd764b5e145fb7b89d90ad93e841b61_normal.jpeg")</f>
        <v>https://pbs.twimg.com/profile_images/378800000105045836/6fd764b5e145fb7b89d90ad93e841b61_normal.jpeg</v>
      </c>
      <c r="G350" s="63"/>
      <c r="H350" s="67"/>
      <c r="I350" s="68"/>
      <c r="J350" s="68"/>
      <c r="K350" s="67" t="s">
        <v>27944</v>
      </c>
      <c r="L350" s="71"/>
      <c r="M350" s="72"/>
      <c r="N350" s="72"/>
      <c r="O350" s="73"/>
      <c r="P350" s="74"/>
      <c r="Q350" s="74"/>
      <c r="R350" s="87"/>
      <c r="S350" s="87"/>
      <c r="T350" s="87"/>
      <c r="U350" s="87"/>
      <c r="V350" s="48"/>
      <c r="W350" s="48"/>
      <c r="X350" s="48"/>
      <c r="Y350" s="48"/>
      <c r="Z350" s="47"/>
      <c r="AA350" s="69">
        <v>350</v>
      </c>
      <c r="AB350" s="69"/>
      <c r="AC350" s="70"/>
      <c r="AD350" s="76" t="s">
        <v>21592</v>
      </c>
      <c r="AE350" s="81" t="s">
        <v>23246</v>
      </c>
      <c r="AF350" s="76">
        <v>297</v>
      </c>
      <c r="AG350" s="76">
        <v>1035</v>
      </c>
      <c r="AH350" s="76">
        <v>12333</v>
      </c>
      <c r="AI350" s="76">
        <v>1</v>
      </c>
      <c r="AJ350" s="76">
        <v>42590</v>
      </c>
      <c r="AK350" s="76">
        <v>165</v>
      </c>
      <c r="AL350" s="76" t="b">
        <v>0</v>
      </c>
      <c r="AM350" s="78">
        <v>41379.07912037037</v>
      </c>
      <c r="AN350" s="76"/>
      <c r="AO350" s="76"/>
      <c r="AP350" s="76"/>
      <c r="AQ350" s="76"/>
      <c r="AR350" s="76"/>
      <c r="AS350" s="76"/>
      <c r="AT350" s="76"/>
      <c r="AU350" s="76"/>
      <c r="AV350" s="76"/>
      <c r="AW350" s="76"/>
      <c r="AX350" s="76" t="b">
        <v>0</v>
      </c>
      <c r="AY350" s="76"/>
      <c r="AZ350" s="76"/>
      <c r="BA350" s="76" t="b">
        <v>0</v>
      </c>
      <c r="BB350" s="76" t="b">
        <v>0</v>
      </c>
      <c r="BC350" s="76" t="b">
        <v>1</v>
      </c>
      <c r="BD350" s="76" t="b">
        <v>0</v>
      </c>
      <c r="BE350" s="76" t="b">
        <v>1</v>
      </c>
      <c r="BF350" s="76" t="b">
        <v>0</v>
      </c>
      <c r="BG350" s="76" t="b">
        <v>0</v>
      </c>
      <c r="BH350" s="76"/>
      <c r="BI350" s="76"/>
      <c r="BJ350" s="76" t="s">
        <v>27595</v>
      </c>
      <c r="BK350" s="76" t="b">
        <v>0</v>
      </c>
      <c r="BL350" s="76"/>
      <c r="BM350" s="76" t="s">
        <v>66</v>
      </c>
      <c r="BN350" s="76" t="s">
        <v>27597</v>
      </c>
      <c r="BO350" s="82" t="str">
        <f>HYPERLINK("https://twitter.com/pcanelonh")</f>
        <v>https://twitter.com/pcanelonh</v>
      </c>
      <c r="BP350" s="2"/>
    </row>
    <row r="351" spans="1:68" x14ac:dyDescent="0.25">
      <c r="A351" s="62" t="s">
        <v>470</v>
      </c>
      <c r="B351" s="63"/>
      <c r="C351" s="63"/>
      <c r="D351" s="64"/>
      <c r="E351" s="66"/>
      <c r="F351" s="103" t="str">
        <f>HYPERLINK("https://pbs.twimg.com/profile_images/1511387401247240194/U2I_NFyw_normal.jpg")</f>
        <v>https://pbs.twimg.com/profile_images/1511387401247240194/U2I_NFyw_normal.jpg</v>
      </c>
      <c r="G351" s="63"/>
      <c r="H351" s="67"/>
      <c r="I351" s="68"/>
      <c r="J351" s="68"/>
      <c r="K351" s="67" t="s">
        <v>27945</v>
      </c>
      <c r="L351" s="71"/>
      <c r="M351" s="72"/>
      <c r="N351" s="72"/>
      <c r="O351" s="73"/>
      <c r="P351" s="74"/>
      <c r="Q351" s="74"/>
      <c r="R351" s="87"/>
      <c r="S351" s="87"/>
      <c r="T351" s="87"/>
      <c r="U351" s="87"/>
      <c r="V351" s="48"/>
      <c r="W351" s="48"/>
      <c r="X351" s="48"/>
      <c r="Y351" s="48"/>
      <c r="Z351" s="47"/>
      <c r="AA351" s="69">
        <v>351</v>
      </c>
      <c r="AB351" s="69"/>
      <c r="AC351" s="70"/>
      <c r="AD351" s="76" t="s">
        <v>21593</v>
      </c>
      <c r="AE351" s="81" t="s">
        <v>23247</v>
      </c>
      <c r="AF351" s="76">
        <v>8203</v>
      </c>
      <c r="AG351" s="76">
        <v>493</v>
      </c>
      <c r="AH351" s="76">
        <v>23676</v>
      </c>
      <c r="AI351" s="76">
        <v>78</v>
      </c>
      <c r="AJ351" s="76">
        <v>5327</v>
      </c>
      <c r="AK351" s="76">
        <v>10285</v>
      </c>
      <c r="AL351" s="76" t="b">
        <v>0</v>
      </c>
      <c r="AM351" s="78">
        <v>40399.681689814817</v>
      </c>
      <c r="AN351" s="76" t="s">
        <v>14479</v>
      </c>
      <c r="AO351" s="76" t="s">
        <v>25017</v>
      </c>
      <c r="AP351" s="82" t="str">
        <f>HYPERLINK("https://t.co/5RRyG4WNY2")</f>
        <v>https://t.co/5RRyG4WNY2</v>
      </c>
      <c r="AQ351" s="82" t="str">
        <f>HYPERLINK("https://sp.cut.org.br/")</f>
        <v>https://sp.cut.org.br/</v>
      </c>
      <c r="AR351" s="76" t="s">
        <v>26545</v>
      </c>
      <c r="AS351" s="76"/>
      <c r="AT351" s="76"/>
      <c r="AU351" s="76"/>
      <c r="AV351" s="76"/>
      <c r="AW351" s="82" t="str">
        <f>HYPERLINK("https://t.co/5RRyG4WNY2")</f>
        <v>https://t.co/5RRyG4WNY2</v>
      </c>
      <c r="AX351" s="76" t="b">
        <v>0</v>
      </c>
      <c r="AY351" s="76"/>
      <c r="AZ351" s="76"/>
      <c r="BA351" s="76" t="b">
        <v>0</v>
      </c>
      <c r="BB351" s="76" t="b">
        <v>1</v>
      </c>
      <c r="BC351" s="76" t="b">
        <v>0</v>
      </c>
      <c r="BD351" s="76" t="b">
        <v>0</v>
      </c>
      <c r="BE351" s="76" t="b">
        <v>1</v>
      </c>
      <c r="BF351" s="76" t="b">
        <v>0</v>
      </c>
      <c r="BG351" s="76" t="b">
        <v>0</v>
      </c>
      <c r="BH351" s="82" t="str">
        <f>HYPERLINK("https://pbs.twimg.com/profile_banners/176464755/1694464948")</f>
        <v>https://pbs.twimg.com/profile_banners/176464755/1694464948</v>
      </c>
      <c r="BI351" s="76"/>
      <c r="BJ351" s="76" t="s">
        <v>27595</v>
      </c>
      <c r="BK351" s="76" t="b">
        <v>0</v>
      </c>
      <c r="BL351" s="76"/>
      <c r="BM351" s="76" t="s">
        <v>66</v>
      </c>
      <c r="BN351" s="76" t="s">
        <v>27597</v>
      </c>
      <c r="BO351" s="82" t="str">
        <f>HYPERLINK("https://twitter.com/cutsaopaulo")</f>
        <v>https://twitter.com/cutsaopaulo</v>
      </c>
      <c r="BP351" s="2"/>
    </row>
    <row r="352" spans="1:68" x14ac:dyDescent="0.25">
      <c r="A352" s="62" t="s">
        <v>1768</v>
      </c>
      <c r="B352" s="63"/>
      <c r="C352" s="63"/>
      <c r="D352" s="64"/>
      <c r="E352" s="66"/>
      <c r="F352" s="103" t="str">
        <f>HYPERLINK("https://pbs.twimg.com/profile_images/1656780849004593152/qMg1zyiF_normal.jpg")</f>
        <v>https://pbs.twimg.com/profile_images/1656780849004593152/qMg1zyiF_normal.jpg</v>
      </c>
      <c r="G352" s="63"/>
      <c r="H352" s="67"/>
      <c r="I352" s="68"/>
      <c r="J352" s="68"/>
      <c r="K352" s="67" t="s">
        <v>27946</v>
      </c>
      <c r="L352" s="71"/>
      <c r="M352" s="72"/>
      <c r="N352" s="72"/>
      <c r="O352" s="73"/>
      <c r="P352" s="74"/>
      <c r="Q352" s="74"/>
      <c r="R352" s="87"/>
      <c r="S352" s="87"/>
      <c r="T352" s="87"/>
      <c r="U352" s="87"/>
      <c r="V352" s="48"/>
      <c r="W352" s="48"/>
      <c r="X352" s="48"/>
      <c r="Y352" s="48"/>
      <c r="Z352" s="47"/>
      <c r="AA352" s="69">
        <v>352</v>
      </c>
      <c r="AB352" s="69"/>
      <c r="AC352" s="70"/>
      <c r="AD352" s="76" t="s">
        <v>21594</v>
      </c>
      <c r="AE352" s="81" t="s">
        <v>23248</v>
      </c>
      <c r="AF352" s="76">
        <v>130333</v>
      </c>
      <c r="AG352" s="76">
        <v>1902</v>
      </c>
      <c r="AH352" s="76">
        <v>52165</v>
      </c>
      <c r="AI352" s="76">
        <v>735</v>
      </c>
      <c r="AJ352" s="76">
        <v>46799</v>
      </c>
      <c r="AK352" s="76">
        <v>13914</v>
      </c>
      <c r="AL352" s="76" t="b">
        <v>0</v>
      </c>
      <c r="AM352" s="78">
        <v>40000.888379629629</v>
      </c>
      <c r="AN352" s="76" t="s">
        <v>14382</v>
      </c>
      <c r="AO352" s="76"/>
      <c r="AP352" s="82" t="str">
        <f>HYPERLINK("https://t.co/AO1w4RkA4P")</f>
        <v>https://t.co/AO1w4RkA4P</v>
      </c>
      <c r="AQ352" s="82" t="str">
        <f>HYPERLINK("http://www.cut.org.br")</f>
        <v>http://www.cut.org.br</v>
      </c>
      <c r="AR352" s="76" t="s">
        <v>26546</v>
      </c>
      <c r="AS352" s="76"/>
      <c r="AT352" s="76"/>
      <c r="AU352" s="76"/>
      <c r="AV352" s="76"/>
      <c r="AW352" s="82" t="str">
        <f>HYPERLINK("https://t.co/AO1w4RkA4P")</f>
        <v>https://t.co/AO1w4RkA4P</v>
      </c>
      <c r="AX352" s="76" t="b">
        <v>0</v>
      </c>
      <c r="AY352" s="76"/>
      <c r="AZ352" s="76"/>
      <c r="BA352" s="76" t="b">
        <v>1</v>
      </c>
      <c r="BB352" s="76" t="b">
        <v>1</v>
      </c>
      <c r="BC352" s="76" t="b">
        <v>0</v>
      </c>
      <c r="BD352" s="76" t="b">
        <v>0</v>
      </c>
      <c r="BE352" s="76" t="b">
        <v>1</v>
      </c>
      <c r="BF352" s="76" t="b">
        <v>0</v>
      </c>
      <c r="BG352" s="76" t="b">
        <v>0</v>
      </c>
      <c r="BH352" s="82" t="str">
        <f>HYPERLINK("https://pbs.twimg.com/profile_banners/54336513/1688564951")</f>
        <v>https://pbs.twimg.com/profile_banners/54336513/1688564951</v>
      </c>
      <c r="BI352" s="76"/>
      <c r="BJ352" s="76" t="s">
        <v>27595</v>
      </c>
      <c r="BK352" s="76" t="b">
        <v>0</v>
      </c>
      <c r="BL352" s="76"/>
      <c r="BM352" s="76" t="s">
        <v>65</v>
      </c>
      <c r="BN352" s="76" t="s">
        <v>27597</v>
      </c>
      <c r="BO352" s="82" t="str">
        <f>HYPERLINK("https://twitter.com/cut_brasil")</f>
        <v>https://twitter.com/cut_brasil</v>
      </c>
      <c r="BP352" s="2"/>
    </row>
    <row r="353" spans="1:68" x14ac:dyDescent="0.25">
      <c r="A353" s="62" t="s">
        <v>471</v>
      </c>
      <c r="B353" s="63"/>
      <c r="C353" s="63"/>
      <c r="D353" s="64"/>
      <c r="E353" s="66"/>
      <c r="F353" s="103" t="str">
        <f>HYPERLINK("https://pbs.twimg.com/profile_images/1634222638359883776/DPp6taPm_normal.jpg")</f>
        <v>https://pbs.twimg.com/profile_images/1634222638359883776/DPp6taPm_normal.jpg</v>
      </c>
      <c r="G353" s="63"/>
      <c r="H353" s="67"/>
      <c r="I353" s="68"/>
      <c r="J353" s="68"/>
      <c r="K353" s="67" t="s">
        <v>27947</v>
      </c>
      <c r="L353" s="71"/>
      <c r="M353" s="72"/>
      <c r="N353" s="72"/>
      <c r="O353" s="73"/>
      <c r="P353" s="74"/>
      <c r="Q353" s="74"/>
      <c r="R353" s="87"/>
      <c r="S353" s="87"/>
      <c r="T353" s="87"/>
      <c r="U353" s="87"/>
      <c r="V353" s="48"/>
      <c r="W353" s="48"/>
      <c r="X353" s="48"/>
      <c r="Y353" s="48"/>
      <c r="Z353" s="47"/>
      <c r="AA353" s="69">
        <v>353</v>
      </c>
      <c r="AB353" s="69"/>
      <c r="AC353" s="70"/>
      <c r="AD353" s="76" t="s">
        <v>21595</v>
      </c>
      <c r="AE353" s="81" t="s">
        <v>20614</v>
      </c>
      <c r="AF353" s="76">
        <v>7</v>
      </c>
      <c r="AG353" s="76">
        <v>41</v>
      </c>
      <c r="AH353" s="76">
        <v>187</v>
      </c>
      <c r="AI353" s="76">
        <v>0</v>
      </c>
      <c r="AJ353" s="76">
        <v>17</v>
      </c>
      <c r="AK353" s="76">
        <v>186</v>
      </c>
      <c r="AL353" s="76" t="b">
        <v>0</v>
      </c>
      <c r="AM353" s="78">
        <v>44995.664710648147</v>
      </c>
      <c r="AN353" s="76"/>
      <c r="AO353" s="76"/>
      <c r="AP353" s="82" t="str">
        <f>HYPERLINK("https://t.co/s1PjZEqZ0k")</f>
        <v>https://t.co/s1PjZEqZ0k</v>
      </c>
      <c r="AQ353" s="82" t="str">
        <f>HYPERLINK("https://bolsainteligente.com.br/")</f>
        <v>https://bolsainteligente.com.br/</v>
      </c>
      <c r="AR353" s="76" t="s">
        <v>26547</v>
      </c>
      <c r="AS353" s="76"/>
      <c r="AT353" s="76"/>
      <c r="AU353" s="76"/>
      <c r="AV353" s="76"/>
      <c r="AW353" s="82" t="str">
        <f>HYPERLINK("https://t.co/s1PjZEqZ0k")</f>
        <v>https://t.co/s1PjZEqZ0k</v>
      </c>
      <c r="AX353" s="76" t="b">
        <v>0</v>
      </c>
      <c r="AY353" s="76"/>
      <c r="AZ353" s="76"/>
      <c r="BA353" s="76" t="b">
        <v>0</v>
      </c>
      <c r="BB353" s="76" t="b">
        <v>1</v>
      </c>
      <c r="BC353" s="76" t="b">
        <v>1</v>
      </c>
      <c r="BD353" s="76" t="b">
        <v>0</v>
      </c>
      <c r="BE353" s="76" t="b">
        <v>0</v>
      </c>
      <c r="BF353" s="76" t="b">
        <v>0</v>
      </c>
      <c r="BG353" s="76" t="b">
        <v>0</v>
      </c>
      <c r="BH353" s="82" t="str">
        <f>HYPERLINK("https://pbs.twimg.com/profile_banners/1634221834966106113/1694440453")</f>
        <v>https://pbs.twimg.com/profile_banners/1634221834966106113/1694440453</v>
      </c>
      <c r="BI353" s="76"/>
      <c r="BJ353" s="76" t="s">
        <v>27595</v>
      </c>
      <c r="BK353" s="76" t="b">
        <v>0</v>
      </c>
      <c r="BL353" s="76"/>
      <c r="BM353" s="76" t="s">
        <v>66</v>
      </c>
      <c r="BN353" s="76" t="s">
        <v>27597</v>
      </c>
      <c r="BO353" s="82" t="str">
        <f>HYPERLINK("https://twitter.com/inteligentbolsa")</f>
        <v>https://twitter.com/inteligentbolsa</v>
      </c>
      <c r="BP353" s="2"/>
    </row>
    <row r="354" spans="1:68" x14ac:dyDescent="0.25">
      <c r="A354" s="62" t="s">
        <v>472</v>
      </c>
      <c r="B354" s="63"/>
      <c r="C354" s="63"/>
      <c r="D354" s="64"/>
      <c r="E354" s="66"/>
      <c r="F354" s="103" t="str">
        <f>HYPERLINK("https://pbs.twimg.com/profile_images/2971862156/245177d499f40cc179e7bee96315041c_normal.jpeg")</f>
        <v>https://pbs.twimg.com/profile_images/2971862156/245177d499f40cc179e7bee96315041c_normal.jpeg</v>
      </c>
      <c r="G354" s="63"/>
      <c r="H354" s="67"/>
      <c r="I354" s="68"/>
      <c r="J354" s="68"/>
      <c r="K354" s="67" t="s">
        <v>27948</v>
      </c>
      <c r="L354" s="71"/>
      <c r="M354" s="72"/>
      <c r="N354" s="72"/>
      <c r="O354" s="73"/>
      <c r="P354" s="74"/>
      <c r="Q354" s="74"/>
      <c r="R354" s="87"/>
      <c r="S354" s="87"/>
      <c r="T354" s="87"/>
      <c r="U354" s="87"/>
      <c r="V354" s="48"/>
      <c r="W354" s="48"/>
      <c r="X354" s="48"/>
      <c r="Y354" s="48"/>
      <c r="Z354" s="47"/>
      <c r="AA354" s="69">
        <v>354</v>
      </c>
      <c r="AB354" s="69"/>
      <c r="AC354" s="70"/>
      <c r="AD354" s="76" t="s">
        <v>21596</v>
      </c>
      <c r="AE354" s="81" t="s">
        <v>23249</v>
      </c>
      <c r="AF354" s="76">
        <v>3223</v>
      </c>
      <c r="AG354" s="76">
        <v>1069</v>
      </c>
      <c r="AH354" s="76">
        <v>54329</v>
      </c>
      <c r="AI354" s="76">
        <v>76</v>
      </c>
      <c r="AJ354" s="76">
        <v>890</v>
      </c>
      <c r="AK354" s="76">
        <v>50613</v>
      </c>
      <c r="AL354" s="76" t="b">
        <v>0</v>
      </c>
      <c r="AM354" s="78">
        <v>41256.836631944447</v>
      </c>
      <c r="AN354" s="76" t="s">
        <v>14420</v>
      </c>
      <c r="AO354" s="76" t="s">
        <v>25018</v>
      </c>
      <c r="AP354" s="82" t="str">
        <f>HYPERLINK("http://t.co/UZsBMipg")</f>
        <v>http://t.co/UZsBMipg</v>
      </c>
      <c r="AQ354" s="82" t="str">
        <f>HYPERLINK("http://www.agenda4p.com.ar")</f>
        <v>http://www.agenda4p.com.ar</v>
      </c>
      <c r="AR354" s="76" t="s">
        <v>26548</v>
      </c>
      <c r="AS354" s="76"/>
      <c r="AT354" s="76"/>
      <c r="AU354" s="76"/>
      <c r="AV354" s="76"/>
      <c r="AW354" s="82" t="str">
        <f>HYPERLINK("http://t.co/UZsBMipg")</f>
        <v>http://t.co/UZsBMipg</v>
      </c>
      <c r="AX354" s="76" t="b">
        <v>0</v>
      </c>
      <c r="AY354" s="76"/>
      <c r="AZ354" s="76"/>
      <c r="BA354" s="76" t="b">
        <v>0</v>
      </c>
      <c r="BB354" s="76" t="b">
        <v>1</v>
      </c>
      <c r="BC354" s="76" t="b">
        <v>1</v>
      </c>
      <c r="BD354" s="76" t="b">
        <v>0</v>
      </c>
      <c r="BE354" s="76" t="b">
        <v>1</v>
      </c>
      <c r="BF354" s="76" t="b">
        <v>0</v>
      </c>
      <c r="BG354" s="76" t="b">
        <v>0</v>
      </c>
      <c r="BH354" s="76"/>
      <c r="BI354" s="76"/>
      <c r="BJ354" s="76" t="s">
        <v>27595</v>
      </c>
      <c r="BK354" s="76" t="b">
        <v>0</v>
      </c>
      <c r="BL354" s="76"/>
      <c r="BM354" s="76" t="s">
        <v>66</v>
      </c>
      <c r="BN354" s="76" t="s">
        <v>27597</v>
      </c>
      <c r="BO354" s="82" t="str">
        <f>HYPERLINK("https://twitter.com/4pagenda")</f>
        <v>https://twitter.com/4pagenda</v>
      </c>
      <c r="BP354" s="2"/>
    </row>
    <row r="355" spans="1:68" x14ac:dyDescent="0.25">
      <c r="A355" s="62" t="s">
        <v>473</v>
      </c>
      <c r="B355" s="63"/>
      <c r="C355" s="63"/>
      <c r="D355" s="64"/>
      <c r="E355" s="66"/>
      <c r="F355" s="103" t="str">
        <f>HYPERLINK("https://pbs.twimg.com/profile_images/1233188351127113729/N2WppeN1_normal.jpg")</f>
        <v>https://pbs.twimg.com/profile_images/1233188351127113729/N2WppeN1_normal.jpg</v>
      </c>
      <c r="G355" s="63"/>
      <c r="H355" s="67"/>
      <c r="I355" s="68"/>
      <c r="J355" s="68"/>
      <c r="K355" s="67" t="s">
        <v>27949</v>
      </c>
      <c r="L355" s="71"/>
      <c r="M355" s="72"/>
      <c r="N355" s="72"/>
      <c r="O355" s="73"/>
      <c r="P355" s="74"/>
      <c r="Q355" s="74"/>
      <c r="R355" s="87"/>
      <c r="S355" s="87"/>
      <c r="T355" s="87"/>
      <c r="U355" s="87"/>
      <c r="V355" s="48"/>
      <c r="W355" s="48"/>
      <c r="X355" s="48"/>
      <c r="Y355" s="48"/>
      <c r="Z355" s="47"/>
      <c r="AA355" s="69">
        <v>355</v>
      </c>
      <c r="AB355" s="69"/>
      <c r="AC355" s="70"/>
      <c r="AD355" s="76" t="s">
        <v>21597</v>
      </c>
      <c r="AE355" s="81" t="s">
        <v>23250</v>
      </c>
      <c r="AF355" s="76">
        <v>451</v>
      </c>
      <c r="AG355" s="76">
        <v>550</v>
      </c>
      <c r="AH355" s="76">
        <v>162524</v>
      </c>
      <c r="AI355" s="76">
        <v>1</v>
      </c>
      <c r="AJ355" s="76">
        <v>1012</v>
      </c>
      <c r="AK355" s="76">
        <v>1002</v>
      </c>
      <c r="AL355" s="76" t="b">
        <v>0</v>
      </c>
      <c r="AM355" s="78">
        <v>40503.932789351849</v>
      </c>
      <c r="AN355" s="76" t="s">
        <v>24086</v>
      </c>
      <c r="AO355" s="76" t="s">
        <v>25019</v>
      </c>
      <c r="AP355" s="76"/>
      <c r="AQ355" s="76"/>
      <c r="AR355" s="76"/>
      <c r="AS355" s="76"/>
      <c r="AT355" s="76"/>
      <c r="AU355" s="76"/>
      <c r="AV355" s="76"/>
      <c r="AW355" s="76"/>
      <c r="AX355" s="76" t="b">
        <v>0</v>
      </c>
      <c r="AY355" s="76"/>
      <c r="AZ355" s="76"/>
      <c r="BA355" s="76" t="b">
        <v>1</v>
      </c>
      <c r="BB355" s="76" t="b">
        <v>1</v>
      </c>
      <c r="BC355" s="76" t="b">
        <v>0</v>
      </c>
      <c r="BD355" s="76" t="b">
        <v>0</v>
      </c>
      <c r="BE355" s="76" t="b">
        <v>1</v>
      </c>
      <c r="BF355" s="76" t="b">
        <v>0</v>
      </c>
      <c r="BG355" s="76" t="b">
        <v>0</v>
      </c>
      <c r="BH355" s="82" t="str">
        <f>HYPERLINK("https://pbs.twimg.com/profile_banners/218277336/1610394522")</f>
        <v>https://pbs.twimg.com/profile_banners/218277336/1610394522</v>
      </c>
      <c r="BI355" s="76"/>
      <c r="BJ355" s="76" t="s">
        <v>27595</v>
      </c>
      <c r="BK355" s="76" t="b">
        <v>0</v>
      </c>
      <c r="BL355" s="76"/>
      <c r="BM355" s="76" t="s">
        <v>66</v>
      </c>
      <c r="BN355" s="76" t="s">
        <v>27597</v>
      </c>
      <c r="BO355" s="82" t="str">
        <f>HYPERLINK("https://twitter.com/baiano_robo")</f>
        <v>https://twitter.com/baiano_robo</v>
      </c>
      <c r="BP355" s="2"/>
    </row>
    <row r="356" spans="1:68" x14ac:dyDescent="0.25">
      <c r="A356" s="62" t="s">
        <v>474</v>
      </c>
      <c r="B356" s="63"/>
      <c r="C356" s="63"/>
      <c r="D356" s="64"/>
      <c r="E356" s="66"/>
      <c r="F356" s="103" t="str">
        <f>HYPERLINK("https://pbs.twimg.com/profile_images/1612487235764424712/EYYczzfR_normal.png")</f>
        <v>https://pbs.twimg.com/profile_images/1612487235764424712/EYYczzfR_normal.png</v>
      </c>
      <c r="G356" s="63"/>
      <c r="H356" s="67"/>
      <c r="I356" s="68"/>
      <c r="J356" s="68"/>
      <c r="K356" s="67" t="s">
        <v>27950</v>
      </c>
      <c r="L356" s="71"/>
      <c r="M356" s="72"/>
      <c r="N356" s="72"/>
      <c r="O356" s="73"/>
      <c r="P356" s="74"/>
      <c r="Q356" s="74"/>
      <c r="R356" s="87"/>
      <c r="S356" s="87"/>
      <c r="T356" s="87"/>
      <c r="U356" s="87"/>
      <c r="V356" s="48"/>
      <c r="W356" s="48"/>
      <c r="X356" s="48"/>
      <c r="Y356" s="48"/>
      <c r="Z356" s="47"/>
      <c r="AA356" s="69">
        <v>356</v>
      </c>
      <c r="AB356" s="69"/>
      <c r="AC356" s="70"/>
      <c r="AD356" s="76" t="s">
        <v>21598</v>
      </c>
      <c r="AE356" s="81" t="s">
        <v>20615</v>
      </c>
      <c r="AF356" s="76">
        <v>964</v>
      </c>
      <c r="AG356" s="76">
        <v>40</v>
      </c>
      <c r="AH356" s="76">
        <v>430</v>
      </c>
      <c r="AI356" s="76">
        <v>6</v>
      </c>
      <c r="AJ356" s="76">
        <v>402</v>
      </c>
      <c r="AK356" s="76">
        <v>244</v>
      </c>
      <c r="AL356" s="76" t="b">
        <v>0</v>
      </c>
      <c r="AM356" s="78">
        <v>44348.671284722222</v>
      </c>
      <c r="AN356" s="76"/>
      <c r="AO356" s="76" t="s">
        <v>25020</v>
      </c>
      <c r="AP356" s="82" t="str">
        <f>HYPERLINK("https://t.co/BPCH9oPM7w")</f>
        <v>https://t.co/BPCH9oPM7w</v>
      </c>
      <c r="AQ356" s="82" t="str">
        <f>HYPERLINK("https://bingx.com/pt-br/partner/Portugues/")</f>
        <v>https://bingx.com/pt-br/partner/Portugues/</v>
      </c>
      <c r="AR356" s="76" t="s">
        <v>26549</v>
      </c>
      <c r="AS356" s="82" t="str">
        <f>HYPERLINK("https://t.co/2OHsia2lUg")</f>
        <v>https://t.co/2OHsia2lUg</v>
      </c>
      <c r="AT356" s="82" t="str">
        <f>HYPERLINK("http://t.me/BingXBrasil")</f>
        <v>http://t.me/BingXBrasil</v>
      </c>
      <c r="AU356" s="76" t="s">
        <v>27472</v>
      </c>
      <c r="AV356" s="76">
        <v>1.70528650392289E+18</v>
      </c>
      <c r="AW356" s="82" t="str">
        <f>HYPERLINK("https://t.co/BPCH9oPM7w")</f>
        <v>https://t.co/BPCH9oPM7w</v>
      </c>
      <c r="AX356" s="76" t="b">
        <v>1</v>
      </c>
      <c r="AY356" s="76"/>
      <c r="AZ356" s="76"/>
      <c r="BA356" s="76" t="b">
        <v>0</v>
      </c>
      <c r="BB356" s="76" t="b">
        <v>1</v>
      </c>
      <c r="BC356" s="76" t="b">
        <v>1</v>
      </c>
      <c r="BD356" s="76" t="b">
        <v>0</v>
      </c>
      <c r="BE356" s="76" t="b">
        <v>1</v>
      </c>
      <c r="BF356" s="76" t="b">
        <v>0</v>
      </c>
      <c r="BG356" s="76" t="b">
        <v>0</v>
      </c>
      <c r="BH356" s="82" t="str">
        <f>HYPERLINK("https://pbs.twimg.com/profile_banners/1399759224285061124/1683897211")</f>
        <v>https://pbs.twimg.com/profile_banners/1399759224285061124/1683897211</v>
      </c>
      <c r="BI356" s="76"/>
      <c r="BJ356" s="76" t="s">
        <v>27595</v>
      </c>
      <c r="BK356" s="76" t="b">
        <v>0</v>
      </c>
      <c r="BL356" s="76"/>
      <c r="BM356" s="76" t="s">
        <v>66</v>
      </c>
      <c r="BN356" s="76" t="s">
        <v>27597</v>
      </c>
      <c r="BO356" s="82" t="str">
        <f>HYPERLINK("https://twitter.com/bingxportuguese")</f>
        <v>https://twitter.com/bingxportuguese</v>
      </c>
      <c r="BP356" s="2"/>
    </row>
    <row r="357" spans="1:68" x14ac:dyDescent="0.25">
      <c r="A357" s="62" t="s">
        <v>475</v>
      </c>
      <c r="B357" s="63"/>
      <c r="C357" s="63"/>
      <c r="D357" s="64"/>
      <c r="E357" s="66"/>
      <c r="F357" s="103" t="str">
        <f>HYPERLINK("https://pbs.twimg.com/profile_images/581465844787507201/kXuIJTJf_normal.jpg")</f>
        <v>https://pbs.twimg.com/profile_images/581465844787507201/kXuIJTJf_normal.jpg</v>
      </c>
      <c r="G357" s="63"/>
      <c r="H357" s="67"/>
      <c r="I357" s="68"/>
      <c r="J357" s="68"/>
      <c r="K357" s="67" t="s">
        <v>27951</v>
      </c>
      <c r="L357" s="71"/>
      <c r="M357" s="72"/>
      <c r="N357" s="72"/>
      <c r="O357" s="73"/>
      <c r="P357" s="74"/>
      <c r="Q357" s="74"/>
      <c r="R357" s="87"/>
      <c r="S357" s="87"/>
      <c r="T357" s="87"/>
      <c r="U357" s="87"/>
      <c r="V357" s="48"/>
      <c r="W357" s="48"/>
      <c r="X357" s="48"/>
      <c r="Y357" s="48"/>
      <c r="Z357" s="47"/>
      <c r="AA357" s="69">
        <v>357</v>
      </c>
      <c r="AB357" s="69"/>
      <c r="AC357" s="70"/>
      <c r="AD357" s="76" t="s">
        <v>21599</v>
      </c>
      <c r="AE357" s="81" t="s">
        <v>23251</v>
      </c>
      <c r="AF357" s="76">
        <v>22</v>
      </c>
      <c r="AG357" s="76">
        <v>83</v>
      </c>
      <c r="AH357" s="76">
        <v>1808</v>
      </c>
      <c r="AI357" s="76">
        <v>0</v>
      </c>
      <c r="AJ357" s="76">
        <v>99</v>
      </c>
      <c r="AK357" s="76">
        <v>813</v>
      </c>
      <c r="AL357" s="76" t="b">
        <v>0</v>
      </c>
      <c r="AM357" s="78">
        <v>41193.514849537038</v>
      </c>
      <c r="AN357" s="76"/>
      <c r="AO357" s="76"/>
      <c r="AP357" s="76"/>
      <c r="AQ357" s="76"/>
      <c r="AR357" s="76"/>
      <c r="AS357" s="76"/>
      <c r="AT357" s="76"/>
      <c r="AU357" s="76"/>
      <c r="AV357" s="76"/>
      <c r="AW357" s="76"/>
      <c r="AX357" s="76" t="b">
        <v>0</v>
      </c>
      <c r="AY357" s="76"/>
      <c r="AZ357" s="76"/>
      <c r="BA357" s="76" t="b">
        <v>0</v>
      </c>
      <c r="BB357" s="76" t="b">
        <v>1</v>
      </c>
      <c r="BC357" s="76" t="b">
        <v>1</v>
      </c>
      <c r="BD357" s="76" t="b">
        <v>0</v>
      </c>
      <c r="BE357" s="76" t="b">
        <v>0</v>
      </c>
      <c r="BF357" s="76" t="b">
        <v>0</v>
      </c>
      <c r="BG357" s="76" t="b">
        <v>0</v>
      </c>
      <c r="BH357" s="82" t="str">
        <f>HYPERLINK("https://pbs.twimg.com/profile_banners/873515538/1427467300")</f>
        <v>https://pbs.twimg.com/profile_banners/873515538/1427467300</v>
      </c>
      <c r="BI357" s="76"/>
      <c r="BJ357" s="76" t="s">
        <v>27595</v>
      </c>
      <c r="BK357" s="76" t="b">
        <v>0</v>
      </c>
      <c r="BL357" s="76"/>
      <c r="BM357" s="76" t="s">
        <v>66</v>
      </c>
      <c r="BN357" s="76" t="s">
        <v>27597</v>
      </c>
      <c r="BO357" s="82" t="str">
        <f>HYPERLINK("https://twitter.com/fermanciniv")</f>
        <v>https://twitter.com/fermanciniv</v>
      </c>
      <c r="BP357" s="2"/>
    </row>
    <row r="358" spans="1:68" x14ac:dyDescent="0.25">
      <c r="A358" s="62" t="s">
        <v>476</v>
      </c>
      <c r="B358" s="63"/>
      <c r="C358" s="63"/>
      <c r="D358" s="64"/>
      <c r="E358" s="66"/>
      <c r="F358" s="103" t="str">
        <f>HYPERLINK("https://pbs.twimg.com/profile_images/1629603104890003456/HvZhDCxj_normal.jpg")</f>
        <v>https://pbs.twimg.com/profile_images/1629603104890003456/HvZhDCxj_normal.jpg</v>
      </c>
      <c r="G358" s="63"/>
      <c r="H358" s="67"/>
      <c r="I358" s="68"/>
      <c r="J358" s="68"/>
      <c r="K358" s="67" t="s">
        <v>27952</v>
      </c>
      <c r="L358" s="71"/>
      <c r="M358" s="72"/>
      <c r="N358" s="72"/>
      <c r="O358" s="73"/>
      <c r="P358" s="74"/>
      <c r="Q358" s="74"/>
      <c r="R358" s="87"/>
      <c r="S358" s="87"/>
      <c r="T358" s="87"/>
      <c r="U358" s="87"/>
      <c r="V358" s="48"/>
      <c r="W358" s="48"/>
      <c r="X358" s="48"/>
      <c r="Y358" s="48"/>
      <c r="Z358" s="47"/>
      <c r="AA358" s="69">
        <v>358</v>
      </c>
      <c r="AB358" s="69"/>
      <c r="AC358" s="70"/>
      <c r="AD358" s="76" t="s">
        <v>21600</v>
      </c>
      <c r="AE358" s="81" t="s">
        <v>20243</v>
      </c>
      <c r="AF358" s="76">
        <v>111805</v>
      </c>
      <c r="AG358" s="76">
        <v>303</v>
      </c>
      <c r="AH358" s="76">
        <v>8302</v>
      </c>
      <c r="AI358" s="76">
        <v>26</v>
      </c>
      <c r="AJ358" s="76">
        <v>253</v>
      </c>
      <c r="AK358" s="76">
        <v>3824</v>
      </c>
      <c r="AL358" s="76" t="b">
        <v>0</v>
      </c>
      <c r="AM358" s="78">
        <v>43928.555763888886</v>
      </c>
      <c r="AN358" s="76" t="s">
        <v>14385</v>
      </c>
      <c r="AO358" s="76" t="s">
        <v>25021</v>
      </c>
      <c r="AP358" s="82" t="str">
        <f>HYPERLINK("https://t.co/m4HTQhAWDn")</f>
        <v>https://t.co/m4HTQhAWDn</v>
      </c>
      <c r="AQ358" s="82" t="str">
        <f>HYPERLINK("http://datadiario.com")</f>
        <v>http://datadiario.com</v>
      </c>
      <c r="AR358" s="76" t="s">
        <v>26550</v>
      </c>
      <c r="AS358" s="76"/>
      <c r="AT358" s="76"/>
      <c r="AU358" s="76"/>
      <c r="AV358" s="76">
        <v>1.7053480986150899E+18</v>
      </c>
      <c r="AW358" s="82" t="str">
        <f>HYPERLINK("https://t.co/m4HTQhAWDn")</f>
        <v>https://t.co/m4HTQhAWDn</v>
      </c>
      <c r="AX358" s="76" t="b">
        <v>1</v>
      </c>
      <c r="AY358" s="76"/>
      <c r="AZ358" s="76"/>
      <c r="BA358" s="76" t="b">
        <v>1</v>
      </c>
      <c r="BB358" s="76" t="b">
        <v>1</v>
      </c>
      <c r="BC358" s="76" t="b">
        <v>1</v>
      </c>
      <c r="BD358" s="76" t="b">
        <v>0</v>
      </c>
      <c r="BE358" s="76" t="b">
        <v>1</v>
      </c>
      <c r="BF358" s="76" t="b">
        <v>0</v>
      </c>
      <c r="BG358" s="76" t="b">
        <v>0</v>
      </c>
      <c r="BH358" s="82" t="str">
        <f>HYPERLINK("https://pbs.twimg.com/profile_banners/1247514475210723329/1677362632")</f>
        <v>https://pbs.twimg.com/profile_banners/1247514475210723329/1677362632</v>
      </c>
      <c r="BI358" s="76"/>
      <c r="BJ358" s="76" t="s">
        <v>27595</v>
      </c>
      <c r="BK358" s="76" t="b">
        <v>0</v>
      </c>
      <c r="BL358" s="76"/>
      <c r="BM358" s="76" t="s">
        <v>66</v>
      </c>
      <c r="BN358" s="76" t="s">
        <v>27597</v>
      </c>
      <c r="BO358" s="82" t="str">
        <f>HYPERLINK("https://twitter.com/datadiario")</f>
        <v>https://twitter.com/datadiario</v>
      </c>
      <c r="BP358" s="2"/>
    </row>
    <row r="359" spans="1:68" x14ac:dyDescent="0.25">
      <c r="A359" s="62" t="s">
        <v>1769</v>
      </c>
      <c r="B359" s="63"/>
      <c r="C359" s="63"/>
      <c r="D359" s="64"/>
      <c r="E359" s="66"/>
      <c r="F359" s="103" t="str">
        <f>HYPERLINK("https://pbs.twimg.com/profile_images/1636356479190966273/3VB9Iw1j_normal.jpg")</f>
        <v>https://pbs.twimg.com/profile_images/1636356479190966273/3VB9Iw1j_normal.jpg</v>
      </c>
      <c r="G359" s="63"/>
      <c r="H359" s="67"/>
      <c r="I359" s="68"/>
      <c r="J359" s="68"/>
      <c r="K359" s="67" t="s">
        <v>27953</v>
      </c>
      <c r="L359" s="71"/>
      <c r="M359" s="72"/>
      <c r="N359" s="72"/>
      <c r="O359" s="73"/>
      <c r="P359" s="74"/>
      <c r="Q359" s="74"/>
      <c r="R359" s="87"/>
      <c r="S359" s="87"/>
      <c r="T359" s="87"/>
      <c r="U359" s="87"/>
      <c r="V359" s="48"/>
      <c r="W359" s="48"/>
      <c r="X359" s="48"/>
      <c r="Y359" s="48"/>
      <c r="Z359" s="47"/>
      <c r="AA359" s="69">
        <v>359</v>
      </c>
      <c r="AB359" s="69"/>
      <c r="AC359" s="70"/>
      <c r="AD359" s="76" t="s">
        <v>21601</v>
      </c>
      <c r="AE359" s="81" t="s">
        <v>23252</v>
      </c>
      <c r="AF359" s="76">
        <v>3022324</v>
      </c>
      <c r="AG359" s="76">
        <v>32618</v>
      </c>
      <c r="AH359" s="76">
        <v>389223</v>
      </c>
      <c r="AI359" s="76">
        <v>4608</v>
      </c>
      <c r="AJ359" s="76">
        <v>52025</v>
      </c>
      <c r="AK359" s="76">
        <v>209593</v>
      </c>
      <c r="AL359" s="76" t="b">
        <v>0</v>
      </c>
      <c r="AM359" s="78">
        <v>40334.703148148146</v>
      </c>
      <c r="AN359" s="76" t="s">
        <v>24114</v>
      </c>
      <c r="AO359" s="76" t="s">
        <v>25022</v>
      </c>
      <c r="AP359" s="82" t="str">
        <f>HYPERLINK("https://t.co/stla2Z29Ey")</f>
        <v>https://t.co/stla2Z29Ey</v>
      </c>
      <c r="AQ359" s="82" t="str">
        <f>HYPERLINK("http://www.c5n.com")</f>
        <v>http://www.c5n.com</v>
      </c>
      <c r="AR359" s="76" t="s">
        <v>26551</v>
      </c>
      <c r="AS359" s="76"/>
      <c r="AT359" s="76"/>
      <c r="AU359" s="76"/>
      <c r="AV359" s="76"/>
      <c r="AW359" s="82" t="str">
        <f>HYPERLINK("https://t.co/stla2Z29Ey")</f>
        <v>https://t.co/stla2Z29Ey</v>
      </c>
      <c r="AX359" s="76" t="b">
        <v>1</v>
      </c>
      <c r="AY359" s="76"/>
      <c r="AZ359" s="76"/>
      <c r="BA359" s="76" t="b">
        <v>0</v>
      </c>
      <c r="BB359" s="76" t="b">
        <v>1</v>
      </c>
      <c r="BC359" s="76" t="b">
        <v>0</v>
      </c>
      <c r="BD359" s="76" t="b">
        <v>0</v>
      </c>
      <c r="BE359" s="76" t="b">
        <v>1</v>
      </c>
      <c r="BF359" s="76" t="b">
        <v>0</v>
      </c>
      <c r="BG359" s="76" t="b">
        <v>0</v>
      </c>
      <c r="BH359" s="82" t="str">
        <f>HYPERLINK("https://pbs.twimg.com/profile_banners/152325528/1691988706")</f>
        <v>https://pbs.twimg.com/profile_banners/152325528/1691988706</v>
      </c>
      <c r="BI359" s="76"/>
      <c r="BJ359" s="76" t="s">
        <v>27596</v>
      </c>
      <c r="BK359" s="76" t="b">
        <v>0</v>
      </c>
      <c r="BL359" s="76"/>
      <c r="BM359" s="76" t="s">
        <v>65</v>
      </c>
      <c r="BN359" s="76" t="s">
        <v>27597</v>
      </c>
      <c r="BO359" s="82" t="str">
        <f>HYPERLINK("https://twitter.com/c5n")</f>
        <v>https://twitter.com/c5n</v>
      </c>
      <c r="BP359" s="2"/>
    </row>
    <row r="360" spans="1:68" x14ac:dyDescent="0.25">
      <c r="A360" s="62" t="s">
        <v>477</v>
      </c>
      <c r="B360" s="63"/>
      <c r="C360" s="63"/>
      <c r="D360" s="64"/>
      <c r="E360" s="66"/>
      <c r="F360" s="103" t="str">
        <f>HYPERLINK("https://pbs.twimg.com/profile_images/1649576576143568896/pBsgzvsj_normal.jpg")</f>
        <v>https://pbs.twimg.com/profile_images/1649576576143568896/pBsgzvsj_normal.jpg</v>
      </c>
      <c r="G360" s="63"/>
      <c r="H360" s="67"/>
      <c r="I360" s="68"/>
      <c r="J360" s="68"/>
      <c r="K360" s="67" t="s">
        <v>27954</v>
      </c>
      <c r="L360" s="71"/>
      <c r="M360" s="72"/>
      <c r="N360" s="72"/>
      <c r="O360" s="73"/>
      <c r="P360" s="74"/>
      <c r="Q360" s="74"/>
      <c r="R360" s="87"/>
      <c r="S360" s="87"/>
      <c r="T360" s="87"/>
      <c r="U360" s="87"/>
      <c r="V360" s="48"/>
      <c r="W360" s="48"/>
      <c r="X360" s="48"/>
      <c r="Y360" s="48"/>
      <c r="Z360" s="47"/>
      <c r="AA360" s="69">
        <v>360</v>
      </c>
      <c r="AB360" s="69"/>
      <c r="AC360" s="70"/>
      <c r="AD360" s="76" t="s">
        <v>21602</v>
      </c>
      <c r="AE360" s="81" t="s">
        <v>20616</v>
      </c>
      <c r="AF360" s="76">
        <v>11</v>
      </c>
      <c r="AG360" s="76">
        <v>32</v>
      </c>
      <c r="AH360" s="76">
        <v>106</v>
      </c>
      <c r="AI360" s="76">
        <v>0</v>
      </c>
      <c r="AJ360" s="76">
        <v>139</v>
      </c>
      <c r="AK360" s="76">
        <v>30</v>
      </c>
      <c r="AL360" s="76" t="b">
        <v>0</v>
      </c>
      <c r="AM360" s="78">
        <v>45038.026354166665</v>
      </c>
      <c r="AN360" s="76" t="s">
        <v>24210</v>
      </c>
      <c r="AO360" s="76" t="s">
        <v>25023</v>
      </c>
      <c r="AP360" s="76"/>
      <c r="AQ360" s="76"/>
      <c r="AR360" s="76"/>
      <c r="AS360" s="76"/>
      <c r="AT360" s="76"/>
      <c r="AU360" s="76"/>
      <c r="AV360" s="76"/>
      <c r="AW360" s="76"/>
      <c r="AX360" s="76" t="b">
        <v>0</v>
      </c>
      <c r="AY360" s="76"/>
      <c r="AZ360" s="76"/>
      <c r="BA360" s="76" t="b">
        <v>0</v>
      </c>
      <c r="BB360" s="76" t="b">
        <v>1</v>
      </c>
      <c r="BC360" s="76" t="b">
        <v>1</v>
      </c>
      <c r="BD360" s="76" t="b">
        <v>0</v>
      </c>
      <c r="BE360" s="76" t="b">
        <v>0</v>
      </c>
      <c r="BF360" s="76" t="b">
        <v>0</v>
      </c>
      <c r="BG360" s="76" t="b">
        <v>0</v>
      </c>
      <c r="BH360" s="82" t="str">
        <f>HYPERLINK("https://pbs.twimg.com/profile_banners/1649573121832243206/1682124691")</f>
        <v>https://pbs.twimg.com/profile_banners/1649573121832243206/1682124691</v>
      </c>
      <c r="BI360" s="76"/>
      <c r="BJ360" s="76" t="s">
        <v>27595</v>
      </c>
      <c r="BK360" s="76" t="b">
        <v>0</v>
      </c>
      <c r="BL360" s="76"/>
      <c r="BM360" s="76" t="s">
        <v>66</v>
      </c>
      <c r="BN360" s="76" t="s">
        <v>27597</v>
      </c>
      <c r="BO360" s="82" t="str">
        <f>HYPERLINK("https://twitter.com/mate124cru")</f>
        <v>https://twitter.com/mate124cru</v>
      </c>
      <c r="BP360" s="2"/>
    </row>
    <row r="361" spans="1:68" x14ac:dyDescent="0.25">
      <c r="A361" s="62" t="s">
        <v>1425</v>
      </c>
      <c r="B361" s="63"/>
      <c r="C361" s="63"/>
      <c r="D361" s="64"/>
      <c r="E361" s="66"/>
      <c r="F361" s="103" t="str">
        <f>HYPERLINK("https://pbs.twimg.com/profile_images/1655719753627959297/pBA7RYXE_normal.jpg")</f>
        <v>https://pbs.twimg.com/profile_images/1655719753627959297/pBA7RYXE_normal.jpg</v>
      </c>
      <c r="G361" s="63"/>
      <c r="H361" s="67"/>
      <c r="I361" s="68"/>
      <c r="J361" s="68"/>
      <c r="K361" s="67" t="s">
        <v>27955</v>
      </c>
      <c r="L361" s="71"/>
      <c r="M361" s="72"/>
      <c r="N361" s="72"/>
      <c r="O361" s="73"/>
      <c r="P361" s="74"/>
      <c r="Q361" s="74"/>
      <c r="R361" s="87"/>
      <c r="S361" s="87"/>
      <c r="T361" s="87"/>
      <c r="U361" s="87"/>
      <c r="V361" s="48"/>
      <c r="W361" s="48"/>
      <c r="X361" s="48"/>
      <c r="Y361" s="48"/>
      <c r="Z361" s="47"/>
      <c r="AA361" s="69">
        <v>361</v>
      </c>
      <c r="AB361" s="69"/>
      <c r="AC361" s="70"/>
      <c r="AD361" s="76" t="s">
        <v>21603</v>
      </c>
      <c r="AE361" s="81" t="s">
        <v>21079</v>
      </c>
      <c r="AF361" s="76">
        <v>5526</v>
      </c>
      <c r="AG361" s="76">
        <v>2</v>
      </c>
      <c r="AH361" s="76">
        <v>2159</v>
      </c>
      <c r="AI361" s="76">
        <v>114</v>
      </c>
      <c r="AJ361" s="76">
        <v>0</v>
      </c>
      <c r="AK361" s="76">
        <v>2156</v>
      </c>
      <c r="AL361" s="76" t="b">
        <v>0</v>
      </c>
      <c r="AM361" s="78">
        <v>45054.686307870368</v>
      </c>
      <c r="AN361" s="76" t="s">
        <v>24211</v>
      </c>
      <c r="AO361" s="76" t="s">
        <v>25024</v>
      </c>
      <c r="AP361" s="82" t="str">
        <f>HYPERLINK("https://t.co/BHJYNjnSZ2")</f>
        <v>https://t.co/BHJYNjnSZ2</v>
      </c>
      <c r="AQ361" s="82" t="str">
        <f>HYPERLINK("https://elmacheteperu.com/")</f>
        <v>https://elmacheteperu.com/</v>
      </c>
      <c r="AR361" s="76" t="s">
        <v>26552</v>
      </c>
      <c r="AS361" s="76"/>
      <c r="AT361" s="76"/>
      <c r="AU361" s="76"/>
      <c r="AV361" s="76">
        <v>1.68181220151279E+18</v>
      </c>
      <c r="AW361" s="82" t="str">
        <f>HYPERLINK("https://t.co/BHJYNjnSZ2")</f>
        <v>https://t.co/BHJYNjnSZ2</v>
      </c>
      <c r="AX361" s="76" t="b">
        <v>0</v>
      </c>
      <c r="AY361" s="76"/>
      <c r="AZ361" s="76"/>
      <c r="BA361" s="76" t="b">
        <v>0</v>
      </c>
      <c r="BB361" s="76" t="b">
        <v>1</v>
      </c>
      <c r="BC361" s="76" t="b">
        <v>1</v>
      </c>
      <c r="BD361" s="76" t="b">
        <v>0</v>
      </c>
      <c r="BE361" s="76" t="b">
        <v>0</v>
      </c>
      <c r="BF361" s="76" t="b">
        <v>0</v>
      </c>
      <c r="BG361" s="76" t="b">
        <v>0</v>
      </c>
      <c r="BH361" s="82" t="str">
        <f>HYPERLINK("https://pbs.twimg.com/profile_banners/1655610549378461708/1683589334")</f>
        <v>https://pbs.twimg.com/profile_banners/1655610549378461708/1683589334</v>
      </c>
      <c r="BI361" s="76"/>
      <c r="BJ361" s="76" t="s">
        <v>27595</v>
      </c>
      <c r="BK361" s="76" t="b">
        <v>0</v>
      </c>
      <c r="BL361" s="76"/>
      <c r="BM361" s="76" t="s">
        <v>66</v>
      </c>
      <c r="BN361" s="76" t="s">
        <v>27597</v>
      </c>
      <c r="BO361" s="82" t="str">
        <f>HYPERLINK("https://twitter.com/perumachete")</f>
        <v>https://twitter.com/perumachete</v>
      </c>
      <c r="BP361" s="2"/>
    </row>
    <row r="362" spans="1:68" x14ac:dyDescent="0.25">
      <c r="A362" s="62" t="s">
        <v>478</v>
      </c>
      <c r="B362" s="63"/>
      <c r="C362" s="63"/>
      <c r="D362" s="64"/>
      <c r="E362" s="66"/>
      <c r="F362" s="103" t="str">
        <f>HYPERLINK("https://pbs.twimg.com/profile_images/1650837777649418241/jnGKtY2v_normal.jpg")</f>
        <v>https://pbs.twimg.com/profile_images/1650837777649418241/jnGKtY2v_normal.jpg</v>
      </c>
      <c r="G362" s="63"/>
      <c r="H362" s="67"/>
      <c r="I362" s="68"/>
      <c r="J362" s="68"/>
      <c r="K362" s="67" t="s">
        <v>27956</v>
      </c>
      <c r="L362" s="71"/>
      <c r="M362" s="72"/>
      <c r="N362" s="72"/>
      <c r="O362" s="73"/>
      <c r="P362" s="74"/>
      <c r="Q362" s="74"/>
      <c r="R362" s="87"/>
      <c r="S362" s="87"/>
      <c r="T362" s="87"/>
      <c r="U362" s="87"/>
      <c r="V362" s="48"/>
      <c r="W362" s="48"/>
      <c r="X362" s="48"/>
      <c r="Y362" s="48"/>
      <c r="Z362" s="47"/>
      <c r="AA362" s="69">
        <v>362</v>
      </c>
      <c r="AB362" s="69"/>
      <c r="AC362" s="70"/>
      <c r="AD362" s="76" t="s">
        <v>21604</v>
      </c>
      <c r="AE362" s="81" t="s">
        <v>20617</v>
      </c>
      <c r="AF362" s="76">
        <v>52</v>
      </c>
      <c r="AG362" s="76">
        <v>392</v>
      </c>
      <c r="AH362" s="76">
        <v>848</v>
      </c>
      <c r="AI362" s="76">
        <v>0</v>
      </c>
      <c r="AJ362" s="76">
        <v>1499</v>
      </c>
      <c r="AK362" s="76">
        <v>155</v>
      </c>
      <c r="AL362" s="76" t="b">
        <v>0</v>
      </c>
      <c r="AM362" s="78">
        <v>45041.51494212963</v>
      </c>
      <c r="AN362" s="76" t="s">
        <v>14382</v>
      </c>
      <c r="AO362" s="76" t="s">
        <v>25025</v>
      </c>
      <c r="AP362" s="82" t="str">
        <f>HYPERLINK("https://t.co/uFvdnjRFW6")</f>
        <v>https://t.co/uFvdnjRFW6</v>
      </c>
      <c r="AQ362" s="82" t="str">
        <f>HYPERLINK("https://moneymarkets.com.br/")</f>
        <v>https://moneymarkets.com.br/</v>
      </c>
      <c r="AR362" s="76" t="s">
        <v>26553</v>
      </c>
      <c r="AS362" s="76"/>
      <c r="AT362" s="76"/>
      <c r="AU362" s="76"/>
      <c r="AV362" s="76"/>
      <c r="AW362" s="82" t="str">
        <f>HYPERLINK("https://t.co/uFvdnjRFW6")</f>
        <v>https://t.co/uFvdnjRFW6</v>
      </c>
      <c r="AX362" s="76" t="b">
        <v>0</v>
      </c>
      <c r="AY362" s="76"/>
      <c r="AZ362" s="76"/>
      <c r="BA362" s="76" t="b">
        <v>0</v>
      </c>
      <c r="BB362" s="76" t="b">
        <v>1</v>
      </c>
      <c r="BC362" s="76" t="b">
        <v>1</v>
      </c>
      <c r="BD362" s="76" t="b">
        <v>0</v>
      </c>
      <c r="BE362" s="76" t="b">
        <v>0</v>
      </c>
      <c r="BF362" s="76" t="b">
        <v>0</v>
      </c>
      <c r="BG362" s="76" t="b">
        <v>0</v>
      </c>
      <c r="BH362" s="82" t="str">
        <f>HYPERLINK("https://pbs.twimg.com/profile_banners/1650837402607386624/1682429229")</f>
        <v>https://pbs.twimg.com/profile_banners/1650837402607386624/1682429229</v>
      </c>
      <c r="BI362" s="76"/>
      <c r="BJ362" s="76" t="s">
        <v>27595</v>
      </c>
      <c r="BK362" s="76" t="b">
        <v>0</v>
      </c>
      <c r="BL362" s="76"/>
      <c r="BM362" s="76" t="s">
        <v>66</v>
      </c>
      <c r="BN362" s="76" t="s">
        <v>27597</v>
      </c>
      <c r="BO362" s="82" t="str">
        <f>HYPERLINK("https://twitter.com/moneymarkets_br")</f>
        <v>https://twitter.com/moneymarkets_br</v>
      </c>
      <c r="BP362" s="2"/>
    </row>
    <row r="363" spans="1:68" x14ac:dyDescent="0.25">
      <c r="A363" s="62" t="s">
        <v>479</v>
      </c>
      <c r="B363" s="63"/>
      <c r="C363" s="63"/>
      <c r="D363" s="64"/>
      <c r="E363" s="66"/>
      <c r="F363" s="103" t="str">
        <f>HYPERLINK("https://pbs.twimg.com/profile_images/1652842304233717762/voTDspqo_normal.jpg")</f>
        <v>https://pbs.twimg.com/profile_images/1652842304233717762/voTDspqo_normal.jpg</v>
      </c>
      <c r="G363" s="63"/>
      <c r="H363" s="67"/>
      <c r="I363" s="68"/>
      <c r="J363" s="68"/>
      <c r="K363" s="67" t="s">
        <v>27957</v>
      </c>
      <c r="L363" s="71"/>
      <c r="M363" s="72"/>
      <c r="N363" s="72"/>
      <c r="O363" s="73"/>
      <c r="P363" s="74"/>
      <c r="Q363" s="74"/>
      <c r="R363" s="87"/>
      <c r="S363" s="87"/>
      <c r="T363" s="87"/>
      <c r="U363" s="87"/>
      <c r="V363" s="48"/>
      <c r="W363" s="48"/>
      <c r="X363" s="48"/>
      <c r="Y363" s="48"/>
      <c r="Z363" s="47"/>
      <c r="AA363" s="69">
        <v>363</v>
      </c>
      <c r="AB363" s="69"/>
      <c r="AC363" s="70"/>
      <c r="AD363" s="76" t="s">
        <v>21605</v>
      </c>
      <c r="AE363" s="81" t="s">
        <v>20618</v>
      </c>
      <c r="AF363" s="76">
        <v>40</v>
      </c>
      <c r="AG363" s="76">
        <v>115</v>
      </c>
      <c r="AH363" s="76">
        <v>282</v>
      </c>
      <c r="AI363" s="76">
        <v>0</v>
      </c>
      <c r="AJ363" s="76">
        <v>272</v>
      </c>
      <c r="AK363" s="76">
        <v>50</v>
      </c>
      <c r="AL363" s="76" t="b">
        <v>0</v>
      </c>
      <c r="AM363" s="78">
        <v>45047.046493055554</v>
      </c>
      <c r="AN363" s="76" t="s">
        <v>24212</v>
      </c>
      <c r="AO363" s="76" t="s">
        <v>25026</v>
      </c>
      <c r="AP363" s="76"/>
      <c r="AQ363" s="76"/>
      <c r="AR363" s="76"/>
      <c r="AS363" s="76"/>
      <c r="AT363" s="76"/>
      <c r="AU363" s="76"/>
      <c r="AV363" s="76"/>
      <c r="AW363" s="76"/>
      <c r="AX363" s="76" t="b">
        <v>0</v>
      </c>
      <c r="AY363" s="76"/>
      <c r="AZ363" s="76"/>
      <c r="BA363" s="76" t="b">
        <v>0</v>
      </c>
      <c r="BB363" s="76" t="b">
        <v>0</v>
      </c>
      <c r="BC363" s="76" t="b">
        <v>1</v>
      </c>
      <c r="BD363" s="76" t="b">
        <v>0</v>
      </c>
      <c r="BE363" s="76" t="b">
        <v>0</v>
      </c>
      <c r="BF363" s="76" t="b">
        <v>0</v>
      </c>
      <c r="BG363" s="76" t="b">
        <v>0</v>
      </c>
      <c r="BH363" s="82" t="str">
        <f>HYPERLINK("https://pbs.twimg.com/profile_banners/1652841964918693888/1682903328")</f>
        <v>https://pbs.twimg.com/profile_banners/1652841964918693888/1682903328</v>
      </c>
      <c r="BI363" s="76"/>
      <c r="BJ363" s="76" t="s">
        <v>27595</v>
      </c>
      <c r="BK363" s="76" t="b">
        <v>0</v>
      </c>
      <c r="BL363" s="76"/>
      <c r="BM363" s="76" t="s">
        <v>66</v>
      </c>
      <c r="BN363" s="76" t="s">
        <v>27597</v>
      </c>
      <c r="BO363" s="82" t="str">
        <f>HYPERLINK("https://twitter.com/maribel_036")</f>
        <v>https://twitter.com/maribel_036</v>
      </c>
      <c r="BP363" s="2"/>
    </row>
    <row r="364" spans="1:68" x14ac:dyDescent="0.25">
      <c r="A364" s="62" t="s">
        <v>480</v>
      </c>
      <c r="B364" s="63"/>
      <c r="C364" s="63"/>
      <c r="D364" s="64"/>
      <c r="E364" s="66"/>
      <c r="F364" s="103" t="str">
        <f>HYPERLINK("https://pbs.twimg.com/profile_images/1432089963030581258/xV0RCajI_normal.jpg")</f>
        <v>https://pbs.twimg.com/profile_images/1432089963030581258/xV0RCajI_normal.jpg</v>
      </c>
      <c r="G364" s="63"/>
      <c r="H364" s="67"/>
      <c r="I364" s="68"/>
      <c r="J364" s="68"/>
      <c r="K364" s="67" t="s">
        <v>27958</v>
      </c>
      <c r="L364" s="71"/>
      <c r="M364" s="72"/>
      <c r="N364" s="72"/>
      <c r="O364" s="73"/>
      <c r="P364" s="74"/>
      <c r="Q364" s="74"/>
      <c r="R364" s="87"/>
      <c r="S364" s="87"/>
      <c r="T364" s="87"/>
      <c r="U364" s="87"/>
      <c r="V364" s="48"/>
      <c r="W364" s="48"/>
      <c r="X364" s="48"/>
      <c r="Y364" s="48"/>
      <c r="Z364" s="47"/>
      <c r="AA364" s="69">
        <v>364</v>
      </c>
      <c r="AB364" s="69"/>
      <c r="AC364" s="70"/>
      <c r="AD364" s="76" t="s">
        <v>21606</v>
      </c>
      <c r="AE364" s="81" t="s">
        <v>20619</v>
      </c>
      <c r="AF364" s="76">
        <v>111</v>
      </c>
      <c r="AG364" s="76">
        <v>35</v>
      </c>
      <c r="AH364" s="76">
        <v>930</v>
      </c>
      <c r="AI364" s="76">
        <v>0</v>
      </c>
      <c r="AJ364" s="76">
        <v>170</v>
      </c>
      <c r="AK364" s="76">
        <v>688</v>
      </c>
      <c r="AL364" s="76" t="b">
        <v>0</v>
      </c>
      <c r="AM364" s="78">
        <v>43466.507835648146</v>
      </c>
      <c r="AN364" s="76" t="s">
        <v>24118</v>
      </c>
      <c r="AO364" s="76" t="s">
        <v>25027</v>
      </c>
      <c r="AP364" s="82" t="str">
        <f>HYPERLINK("https://t.co/svhDBoNys5")</f>
        <v>https://t.co/svhDBoNys5</v>
      </c>
      <c r="AQ364" s="82" t="str">
        <f>HYPERLINK("http://www.youtube.com/jmjornalmetropolitano")</f>
        <v>http://www.youtube.com/jmjornalmetropolitano</v>
      </c>
      <c r="AR364" s="76" t="s">
        <v>26554</v>
      </c>
      <c r="AS364" s="82" t="str">
        <f>HYPERLINK("https://t.co/HdbfyG9nOP")</f>
        <v>https://t.co/HdbfyG9nOP</v>
      </c>
      <c r="AT364" s="82" t="str">
        <f>HYPERLINK("http://youtube.com/jmjornalmetropolitano")</f>
        <v>http://youtube.com/jmjornalmetropolitano</v>
      </c>
      <c r="AU364" s="76" t="s">
        <v>26554</v>
      </c>
      <c r="AV364" s="76"/>
      <c r="AW364" s="82" t="str">
        <f>HYPERLINK("https://t.co/svhDBoNys5")</f>
        <v>https://t.co/svhDBoNys5</v>
      </c>
      <c r="AX364" s="76" t="b">
        <v>0</v>
      </c>
      <c r="AY364" s="76"/>
      <c r="AZ364" s="76"/>
      <c r="BA364" s="76" t="b">
        <v>0</v>
      </c>
      <c r="BB364" s="76" t="b">
        <v>1</v>
      </c>
      <c r="BC364" s="76" t="b">
        <v>1</v>
      </c>
      <c r="BD364" s="76" t="b">
        <v>0</v>
      </c>
      <c r="BE364" s="76" t="b">
        <v>1</v>
      </c>
      <c r="BF364" s="76" t="b">
        <v>0</v>
      </c>
      <c r="BG364" s="76" t="b">
        <v>0</v>
      </c>
      <c r="BH364" s="82" t="str">
        <f>HYPERLINK("https://pbs.twimg.com/profile_banners/1080073977656213504/1630271859")</f>
        <v>https://pbs.twimg.com/profile_banners/1080073977656213504/1630271859</v>
      </c>
      <c r="BI364" s="76"/>
      <c r="BJ364" s="76" t="s">
        <v>27595</v>
      </c>
      <c r="BK364" s="76" t="b">
        <v>0</v>
      </c>
      <c r="BL364" s="76"/>
      <c r="BM364" s="76" t="s">
        <v>66</v>
      </c>
      <c r="BN364" s="76" t="s">
        <v>27597</v>
      </c>
      <c r="BO364" s="82" t="str">
        <f>HYPERLINK("https://twitter.com/jmjornalmetrop")</f>
        <v>https://twitter.com/jmjornalmetrop</v>
      </c>
      <c r="BP364" s="2"/>
    </row>
    <row r="365" spans="1:68" x14ac:dyDescent="0.25">
      <c r="A365" s="62" t="s">
        <v>481</v>
      </c>
      <c r="B365" s="63"/>
      <c r="C365" s="63"/>
      <c r="D365" s="64"/>
      <c r="E365" s="66"/>
      <c r="F365" s="103" t="str">
        <f>HYPERLINK("https://pbs.twimg.com/profile_images/1647438672277524481/aGYUNjd1_normal.jpg")</f>
        <v>https://pbs.twimg.com/profile_images/1647438672277524481/aGYUNjd1_normal.jpg</v>
      </c>
      <c r="G365" s="63"/>
      <c r="H365" s="67"/>
      <c r="I365" s="68"/>
      <c r="J365" s="68"/>
      <c r="K365" s="67" t="s">
        <v>27959</v>
      </c>
      <c r="L365" s="71"/>
      <c r="M365" s="72"/>
      <c r="N365" s="72"/>
      <c r="O365" s="73"/>
      <c r="P365" s="74"/>
      <c r="Q365" s="74"/>
      <c r="R365" s="87"/>
      <c r="S365" s="87"/>
      <c r="T365" s="87"/>
      <c r="U365" s="87"/>
      <c r="V365" s="48"/>
      <c r="W365" s="48"/>
      <c r="X365" s="48"/>
      <c r="Y365" s="48"/>
      <c r="Z365" s="47"/>
      <c r="AA365" s="69">
        <v>365</v>
      </c>
      <c r="AB365" s="69"/>
      <c r="AC365" s="70"/>
      <c r="AD365" s="76" t="s">
        <v>21607</v>
      </c>
      <c r="AE365" s="81" t="s">
        <v>20620</v>
      </c>
      <c r="AF365" s="76">
        <v>2654</v>
      </c>
      <c r="AG365" s="76">
        <v>2653</v>
      </c>
      <c r="AH365" s="76">
        <v>42695</v>
      </c>
      <c r="AI365" s="76">
        <v>0</v>
      </c>
      <c r="AJ365" s="76">
        <v>181543</v>
      </c>
      <c r="AK365" s="76">
        <v>209</v>
      </c>
      <c r="AL365" s="76" t="b">
        <v>0</v>
      </c>
      <c r="AM365" s="78">
        <v>42708.045208333337</v>
      </c>
      <c r="AN365" s="76" t="s">
        <v>24213</v>
      </c>
      <c r="AO365" s="76" t="s">
        <v>25028</v>
      </c>
      <c r="AP365" s="76"/>
      <c r="AQ365" s="76"/>
      <c r="AR365" s="76"/>
      <c r="AS365" s="76"/>
      <c r="AT365" s="76"/>
      <c r="AU365" s="76"/>
      <c r="AV365" s="76">
        <v>1.26497116238528E+18</v>
      </c>
      <c r="AW365" s="76"/>
      <c r="AX365" s="76" t="b">
        <v>0</v>
      </c>
      <c r="AY365" s="76"/>
      <c r="AZ365" s="76"/>
      <c r="BA365" s="76" t="b">
        <v>0</v>
      </c>
      <c r="BB365" s="76" t="b">
        <v>1</v>
      </c>
      <c r="BC365" s="76" t="b">
        <v>1</v>
      </c>
      <c r="BD365" s="76" t="b">
        <v>0</v>
      </c>
      <c r="BE365" s="76" t="b">
        <v>0</v>
      </c>
      <c r="BF365" s="76" t="b">
        <v>0</v>
      </c>
      <c r="BG365" s="76" t="b">
        <v>0</v>
      </c>
      <c r="BH365" s="82" t="str">
        <f>HYPERLINK("https://pbs.twimg.com/profile_banners/805216324620259329/1514405263")</f>
        <v>https://pbs.twimg.com/profile_banners/805216324620259329/1514405263</v>
      </c>
      <c r="BI365" s="76"/>
      <c r="BJ365" s="76" t="s">
        <v>27595</v>
      </c>
      <c r="BK365" s="76" t="b">
        <v>0</v>
      </c>
      <c r="BL365" s="76"/>
      <c r="BM365" s="76" t="s">
        <v>66</v>
      </c>
      <c r="BN365" s="76" t="s">
        <v>27597</v>
      </c>
      <c r="BO365" s="82" t="str">
        <f>HYPERLINK("https://twitter.com/keumendess")</f>
        <v>https://twitter.com/keumendess</v>
      </c>
      <c r="BP365" s="2"/>
    </row>
    <row r="366" spans="1:68" x14ac:dyDescent="0.25">
      <c r="A366" s="62" t="s">
        <v>482</v>
      </c>
      <c r="B366" s="63"/>
      <c r="C366" s="63"/>
      <c r="D366" s="64"/>
      <c r="E366" s="66"/>
      <c r="F366" s="103" t="str">
        <f>HYPERLINK("https://pbs.twimg.com/profile_images/1388525167454957570/h4VU4DUZ_normal.jpg")</f>
        <v>https://pbs.twimg.com/profile_images/1388525167454957570/h4VU4DUZ_normal.jpg</v>
      </c>
      <c r="G366" s="63"/>
      <c r="H366" s="67"/>
      <c r="I366" s="68"/>
      <c r="J366" s="68"/>
      <c r="K366" s="67" t="s">
        <v>27960</v>
      </c>
      <c r="L366" s="71"/>
      <c r="M366" s="72"/>
      <c r="N366" s="72"/>
      <c r="O366" s="73"/>
      <c r="P366" s="74"/>
      <c r="Q366" s="74"/>
      <c r="R366" s="87"/>
      <c r="S366" s="87"/>
      <c r="T366" s="87"/>
      <c r="U366" s="87"/>
      <c r="V366" s="48"/>
      <c r="W366" s="48"/>
      <c r="X366" s="48"/>
      <c r="Y366" s="48"/>
      <c r="Z366" s="47"/>
      <c r="AA366" s="69">
        <v>366</v>
      </c>
      <c r="AB366" s="69"/>
      <c r="AC366" s="70"/>
      <c r="AD366" s="76" t="s">
        <v>21608</v>
      </c>
      <c r="AE366" s="81" t="s">
        <v>20621</v>
      </c>
      <c r="AF366" s="76">
        <v>330</v>
      </c>
      <c r="AG366" s="76">
        <v>361</v>
      </c>
      <c r="AH366" s="76">
        <v>6369</v>
      </c>
      <c r="AI366" s="76">
        <v>0</v>
      </c>
      <c r="AJ366" s="76">
        <v>6462</v>
      </c>
      <c r="AK366" s="76">
        <v>9</v>
      </c>
      <c r="AL366" s="76" t="b">
        <v>0</v>
      </c>
      <c r="AM366" s="78">
        <v>43714.210381944446</v>
      </c>
      <c r="AN366" s="76" t="s">
        <v>24214</v>
      </c>
      <c r="AO366" s="76" t="s">
        <v>25029</v>
      </c>
      <c r="AP366" s="82" t="str">
        <f>HYPERLINK("https://t.co/ZxSOomuggP")</f>
        <v>https://t.co/ZxSOomuggP</v>
      </c>
      <c r="AQ366" s="82" t="str">
        <f>HYPERLINK("http://sergiovillanova.com.br")</f>
        <v>http://sergiovillanova.com.br</v>
      </c>
      <c r="AR366" s="76" t="s">
        <v>26555</v>
      </c>
      <c r="AS366" s="76"/>
      <c r="AT366" s="76"/>
      <c r="AU366" s="76"/>
      <c r="AV366" s="76"/>
      <c r="AW366" s="82" t="str">
        <f>HYPERLINK("https://t.co/ZxSOomuggP")</f>
        <v>https://t.co/ZxSOomuggP</v>
      </c>
      <c r="AX366" s="76" t="b">
        <v>0</v>
      </c>
      <c r="AY366" s="76"/>
      <c r="AZ366" s="76"/>
      <c r="BA366" s="76" t="b">
        <v>0</v>
      </c>
      <c r="BB366" s="76" t="b">
        <v>1</v>
      </c>
      <c r="BC366" s="76" t="b">
        <v>1</v>
      </c>
      <c r="BD366" s="76" t="b">
        <v>0</v>
      </c>
      <c r="BE366" s="76" t="b">
        <v>1</v>
      </c>
      <c r="BF366" s="76" t="b">
        <v>0</v>
      </c>
      <c r="BG366" s="76" t="b">
        <v>0</v>
      </c>
      <c r="BH366" s="82" t="str">
        <f>HYPERLINK("https://pbs.twimg.com/profile_banners/1169838324019650562/1619886365")</f>
        <v>https://pbs.twimg.com/profile_banners/1169838324019650562/1619886365</v>
      </c>
      <c r="BI366" s="76"/>
      <c r="BJ366" s="76" t="s">
        <v>27595</v>
      </c>
      <c r="BK366" s="76" t="b">
        <v>0</v>
      </c>
      <c r="BL366" s="76"/>
      <c r="BM366" s="76" t="s">
        <v>66</v>
      </c>
      <c r="BN366" s="76" t="s">
        <v>27597</v>
      </c>
      <c r="BO366" s="82" t="str">
        <f>HYPERLINK("https://twitter.com/sergiovillanov4")</f>
        <v>https://twitter.com/sergiovillanov4</v>
      </c>
      <c r="BP366" s="2"/>
    </row>
    <row r="367" spans="1:68" x14ac:dyDescent="0.25">
      <c r="A367" s="62" t="s">
        <v>483</v>
      </c>
      <c r="B367" s="63"/>
      <c r="C367" s="63"/>
      <c r="D367" s="64"/>
      <c r="E367" s="66"/>
      <c r="F367" s="103" t="str">
        <f>HYPERLINK("https://pbs.twimg.com/profile_images/491008923802275841/JQkFuZct_normal.jpeg")</f>
        <v>https://pbs.twimg.com/profile_images/491008923802275841/JQkFuZct_normal.jpeg</v>
      </c>
      <c r="G367" s="63"/>
      <c r="H367" s="67"/>
      <c r="I367" s="68"/>
      <c r="J367" s="68"/>
      <c r="K367" s="67" t="s">
        <v>27961</v>
      </c>
      <c r="L367" s="71"/>
      <c r="M367" s="72"/>
      <c r="N367" s="72"/>
      <c r="O367" s="73"/>
      <c r="P367" s="74"/>
      <c r="Q367" s="74"/>
      <c r="R367" s="87"/>
      <c r="S367" s="87"/>
      <c r="T367" s="87"/>
      <c r="U367" s="87"/>
      <c r="V367" s="48"/>
      <c r="W367" s="48"/>
      <c r="X367" s="48"/>
      <c r="Y367" s="48"/>
      <c r="Z367" s="47"/>
      <c r="AA367" s="69">
        <v>367</v>
      </c>
      <c r="AB367" s="69"/>
      <c r="AC367" s="70"/>
      <c r="AD367" s="76" t="s">
        <v>21609</v>
      </c>
      <c r="AE367" s="81" t="s">
        <v>23253</v>
      </c>
      <c r="AF367" s="76">
        <v>288</v>
      </c>
      <c r="AG367" s="76">
        <v>331</v>
      </c>
      <c r="AH367" s="76">
        <v>3962</v>
      </c>
      <c r="AI367" s="76">
        <v>0</v>
      </c>
      <c r="AJ367" s="76">
        <v>31</v>
      </c>
      <c r="AK367" s="76">
        <v>13</v>
      </c>
      <c r="AL367" s="76" t="b">
        <v>0</v>
      </c>
      <c r="AM367" s="78">
        <v>40911.573993055557</v>
      </c>
      <c r="AN367" s="76" t="s">
        <v>24215</v>
      </c>
      <c r="AO367" s="76" t="s">
        <v>25030</v>
      </c>
      <c r="AP367" s="82" t="str">
        <f>HYPERLINK("https://t.co/GCXLVOaJV7")</f>
        <v>https://t.co/GCXLVOaJV7</v>
      </c>
      <c r="AQ367" s="82" t="str">
        <f>HYPERLINK("https://www.seridohost.com.br")</f>
        <v>https://www.seridohost.com.br</v>
      </c>
      <c r="AR367" s="76" t="s">
        <v>26556</v>
      </c>
      <c r="AS367" s="82" t="str">
        <f>HYPERLINK("https://t.co/GCXLVOaJV7")</f>
        <v>https://t.co/GCXLVOaJV7</v>
      </c>
      <c r="AT367" s="82" t="str">
        <f>HYPERLINK("https://www.seridohost.com.br")</f>
        <v>https://www.seridohost.com.br</v>
      </c>
      <c r="AU367" s="76" t="s">
        <v>26556</v>
      </c>
      <c r="AV367" s="76"/>
      <c r="AW367" s="82" t="str">
        <f>HYPERLINK("https://t.co/GCXLVOaJV7")</f>
        <v>https://t.co/GCXLVOaJV7</v>
      </c>
      <c r="AX367" s="76" t="b">
        <v>0</v>
      </c>
      <c r="AY367" s="76"/>
      <c r="AZ367" s="76"/>
      <c r="BA367" s="76" t="b">
        <v>0</v>
      </c>
      <c r="BB367" s="76" t="b">
        <v>0</v>
      </c>
      <c r="BC367" s="76" t="b">
        <v>0</v>
      </c>
      <c r="BD367" s="76" t="b">
        <v>0</v>
      </c>
      <c r="BE367" s="76" t="b">
        <v>0</v>
      </c>
      <c r="BF367" s="76" t="b">
        <v>0</v>
      </c>
      <c r="BG367" s="76" t="b">
        <v>0</v>
      </c>
      <c r="BH367" s="76"/>
      <c r="BI367" s="76"/>
      <c r="BJ367" s="76" t="s">
        <v>27595</v>
      </c>
      <c r="BK367" s="76" t="b">
        <v>0</v>
      </c>
      <c r="BL367" s="76"/>
      <c r="BM367" s="76" t="s">
        <v>66</v>
      </c>
      <c r="BN367" s="76" t="s">
        <v>27597</v>
      </c>
      <c r="BO367" s="82" t="str">
        <f>HYPERLINK("https://twitter.com/leydsonti")</f>
        <v>https://twitter.com/leydsonti</v>
      </c>
      <c r="BP367" s="2"/>
    </row>
    <row r="368" spans="1:68" x14ac:dyDescent="0.25">
      <c r="A368" s="62" t="s">
        <v>484</v>
      </c>
      <c r="B368" s="63"/>
      <c r="C368" s="63"/>
      <c r="D368" s="64"/>
      <c r="E368" s="66"/>
      <c r="F368" s="103" t="str">
        <f>HYPERLINK("https://pbs.twimg.com/profile_images/1550556401830871046/JAWMhdzO_normal.jpg")</f>
        <v>https://pbs.twimg.com/profile_images/1550556401830871046/JAWMhdzO_normal.jpg</v>
      </c>
      <c r="G368" s="63"/>
      <c r="H368" s="67"/>
      <c r="I368" s="68"/>
      <c r="J368" s="68"/>
      <c r="K368" s="67" t="s">
        <v>27962</v>
      </c>
      <c r="L368" s="71"/>
      <c r="M368" s="72"/>
      <c r="N368" s="72"/>
      <c r="O368" s="73"/>
      <c r="P368" s="74"/>
      <c r="Q368" s="74"/>
      <c r="R368" s="87"/>
      <c r="S368" s="87"/>
      <c r="T368" s="87"/>
      <c r="U368" s="87"/>
      <c r="V368" s="48"/>
      <c r="W368" s="48"/>
      <c r="X368" s="48"/>
      <c r="Y368" s="48"/>
      <c r="Z368" s="47"/>
      <c r="AA368" s="69">
        <v>368</v>
      </c>
      <c r="AB368" s="69"/>
      <c r="AC368" s="70"/>
      <c r="AD368" s="76" t="s">
        <v>484</v>
      </c>
      <c r="AE368" s="81" t="s">
        <v>20622</v>
      </c>
      <c r="AF368" s="76">
        <v>26</v>
      </c>
      <c r="AG368" s="76">
        <v>18</v>
      </c>
      <c r="AH368" s="76">
        <v>238</v>
      </c>
      <c r="AI368" s="76">
        <v>0</v>
      </c>
      <c r="AJ368" s="76">
        <v>225</v>
      </c>
      <c r="AK368" s="76">
        <v>158</v>
      </c>
      <c r="AL368" s="76" t="b">
        <v>0</v>
      </c>
      <c r="AM368" s="78">
        <v>44761.807175925926</v>
      </c>
      <c r="AN368" s="76"/>
      <c r="AO368" s="76" t="s">
        <v>25031</v>
      </c>
      <c r="AP368" s="76"/>
      <c r="AQ368" s="76"/>
      <c r="AR368" s="76"/>
      <c r="AS368" s="76"/>
      <c r="AT368" s="76"/>
      <c r="AU368" s="76"/>
      <c r="AV368" s="76">
        <v>1.70393579969827E+18</v>
      </c>
      <c r="AW368" s="76"/>
      <c r="AX368" s="76" t="b">
        <v>0</v>
      </c>
      <c r="AY368" s="76"/>
      <c r="AZ368" s="76"/>
      <c r="BA368" s="76" t="b">
        <v>0</v>
      </c>
      <c r="BB368" s="76" t="b">
        <v>1</v>
      </c>
      <c r="BC368" s="76" t="b">
        <v>1</v>
      </c>
      <c r="BD368" s="76" t="b">
        <v>0</v>
      </c>
      <c r="BE368" s="76" t="b">
        <v>0</v>
      </c>
      <c r="BF368" s="76" t="b">
        <v>0</v>
      </c>
      <c r="BG368" s="76" t="b">
        <v>0</v>
      </c>
      <c r="BH368" s="82" t="str">
        <f>HYPERLINK("https://pbs.twimg.com/profile_banners/1549474582402301953/1658516429")</f>
        <v>https://pbs.twimg.com/profile_banners/1549474582402301953/1658516429</v>
      </c>
      <c r="BI368" s="76"/>
      <c r="BJ368" s="76" t="s">
        <v>27595</v>
      </c>
      <c r="BK368" s="76" t="b">
        <v>0</v>
      </c>
      <c r="BL368" s="76"/>
      <c r="BM368" s="76" t="s">
        <v>66</v>
      </c>
      <c r="BN368" s="76" t="s">
        <v>27597</v>
      </c>
      <c r="BO368" s="82" t="str">
        <f>HYPERLINK("https://twitter.com/trukamelo")</f>
        <v>https://twitter.com/trukamelo</v>
      </c>
      <c r="BP368" s="2"/>
    </row>
    <row r="369" spans="1:68" x14ac:dyDescent="0.25">
      <c r="A369" s="62" t="s">
        <v>1770</v>
      </c>
      <c r="B369" s="63"/>
      <c r="C369" s="63"/>
      <c r="D369" s="64"/>
      <c r="E369" s="66"/>
      <c r="F369" s="103" t="str">
        <f>HYPERLINK("https://pbs.twimg.com/profile_images/1652686801193037824/K_bLflvG_normal.jpg")</f>
        <v>https://pbs.twimg.com/profile_images/1652686801193037824/K_bLflvG_normal.jpg</v>
      </c>
      <c r="G369" s="63"/>
      <c r="H369" s="67"/>
      <c r="I369" s="68"/>
      <c r="J369" s="68"/>
      <c r="K369" s="67" t="s">
        <v>27963</v>
      </c>
      <c r="L369" s="71"/>
      <c r="M369" s="72"/>
      <c r="N369" s="72"/>
      <c r="O369" s="73"/>
      <c r="P369" s="74"/>
      <c r="Q369" s="74"/>
      <c r="R369" s="87"/>
      <c r="S369" s="87"/>
      <c r="T369" s="87"/>
      <c r="U369" s="87"/>
      <c r="V369" s="48"/>
      <c r="W369" s="48"/>
      <c r="X369" s="48"/>
      <c r="Y369" s="48"/>
      <c r="Z369" s="47"/>
      <c r="AA369" s="69">
        <v>369</v>
      </c>
      <c r="AB369" s="69"/>
      <c r="AC369" s="70"/>
      <c r="AD369" s="76" t="s">
        <v>21610</v>
      </c>
      <c r="AE369" s="81" t="s">
        <v>23254</v>
      </c>
      <c r="AF369" s="76">
        <v>1869</v>
      </c>
      <c r="AG369" s="76">
        <v>3369</v>
      </c>
      <c r="AH369" s="76">
        <v>19865</v>
      </c>
      <c r="AI369" s="76">
        <v>8</v>
      </c>
      <c r="AJ369" s="76">
        <v>10963</v>
      </c>
      <c r="AK369" s="76">
        <v>1764</v>
      </c>
      <c r="AL369" s="76" t="b">
        <v>0</v>
      </c>
      <c r="AM369" s="78">
        <v>40141.185358796298</v>
      </c>
      <c r="AN369" s="76" t="s">
        <v>24216</v>
      </c>
      <c r="AO369" s="76" t="s">
        <v>25032</v>
      </c>
      <c r="AP369" s="82" t="str">
        <f>HYPERLINK("https://t.co/a5IQmg7bgi")</f>
        <v>https://t.co/a5IQmg7bgi</v>
      </c>
      <c r="AQ369" s="82" t="str">
        <f>HYPERLINK("http://www.facebook.com/kristynathaly")</f>
        <v>http://www.facebook.com/kristynathaly</v>
      </c>
      <c r="AR369" s="76" t="s">
        <v>26557</v>
      </c>
      <c r="AS369" s="76"/>
      <c r="AT369" s="76"/>
      <c r="AU369" s="76"/>
      <c r="AV369" s="76">
        <v>1.7016095585973399E+18</v>
      </c>
      <c r="AW369" s="82" t="str">
        <f>HYPERLINK("https://t.co/a5IQmg7bgi")</f>
        <v>https://t.co/a5IQmg7bgi</v>
      </c>
      <c r="AX369" s="76" t="b">
        <v>0</v>
      </c>
      <c r="AY369" s="76"/>
      <c r="AZ369" s="76"/>
      <c r="BA369" s="76" t="b">
        <v>0</v>
      </c>
      <c r="BB369" s="76" t="b">
        <v>1</v>
      </c>
      <c r="BC369" s="76" t="b">
        <v>0</v>
      </c>
      <c r="BD369" s="76" t="b">
        <v>0</v>
      </c>
      <c r="BE369" s="76" t="b">
        <v>1</v>
      </c>
      <c r="BF369" s="76" t="b">
        <v>0</v>
      </c>
      <c r="BG369" s="76" t="b">
        <v>0</v>
      </c>
      <c r="BH369" s="82" t="str">
        <f>HYPERLINK("https://pbs.twimg.com/profile_banners/92199079/1684710252")</f>
        <v>https://pbs.twimg.com/profile_banners/92199079/1684710252</v>
      </c>
      <c r="BI369" s="76"/>
      <c r="BJ369" s="76" t="s">
        <v>27595</v>
      </c>
      <c r="BK369" s="76" t="b">
        <v>0</v>
      </c>
      <c r="BL369" s="76"/>
      <c r="BM369" s="76" t="s">
        <v>65</v>
      </c>
      <c r="BN369" s="76" t="s">
        <v>27597</v>
      </c>
      <c r="BO369" s="82" t="str">
        <f>HYPERLINK("https://twitter.com/kristynathaly05")</f>
        <v>https://twitter.com/kristynathaly05</v>
      </c>
      <c r="BP369" s="2"/>
    </row>
    <row r="370" spans="1:68" x14ac:dyDescent="0.25">
      <c r="A370" s="62" t="s">
        <v>1771</v>
      </c>
      <c r="B370" s="63"/>
      <c r="C370" s="63"/>
      <c r="D370" s="64"/>
      <c r="E370" s="66"/>
      <c r="F370" s="103" t="str">
        <f>HYPERLINK("https://pbs.twimg.com/profile_images/1611799953659027459/cGSvIYD5_normal.jpg")</f>
        <v>https://pbs.twimg.com/profile_images/1611799953659027459/cGSvIYD5_normal.jpg</v>
      </c>
      <c r="G370" s="63"/>
      <c r="H370" s="67"/>
      <c r="I370" s="68"/>
      <c r="J370" s="68"/>
      <c r="K370" s="67" t="s">
        <v>27964</v>
      </c>
      <c r="L370" s="71"/>
      <c r="M370" s="72"/>
      <c r="N370" s="72"/>
      <c r="O370" s="73"/>
      <c r="P370" s="74"/>
      <c r="Q370" s="74"/>
      <c r="R370" s="87"/>
      <c r="S370" s="87"/>
      <c r="T370" s="87"/>
      <c r="U370" s="87"/>
      <c r="V370" s="48"/>
      <c r="W370" s="48"/>
      <c r="X370" s="48"/>
      <c r="Y370" s="48"/>
      <c r="Z370" s="47"/>
      <c r="AA370" s="69">
        <v>370</v>
      </c>
      <c r="AB370" s="69"/>
      <c r="AC370" s="70"/>
      <c r="AD370" s="76" t="s">
        <v>21611</v>
      </c>
      <c r="AE370" s="81" t="s">
        <v>23255</v>
      </c>
      <c r="AF370" s="76">
        <v>19677</v>
      </c>
      <c r="AG370" s="76">
        <v>3259</v>
      </c>
      <c r="AH370" s="76">
        <v>43594</v>
      </c>
      <c r="AI370" s="76">
        <v>25</v>
      </c>
      <c r="AJ370" s="76">
        <v>121910</v>
      </c>
      <c r="AK370" s="76">
        <v>4800</v>
      </c>
      <c r="AL370" s="76" t="b">
        <v>0</v>
      </c>
      <c r="AM370" s="78">
        <v>40482.713807870372</v>
      </c>
      <c r="AN370" s="76" t="s">
        <v>24217</v>
      </c>
      <c r="AO370" s="76" t="s">
        <v>25033</v>
      </c>
      <c r="AP370" s="76"/>
      <c r="AQ370" s="76"/>
      <c r="AR370" s="76"/>
      <c r="AS370" s="76"/>
      <c r="AT370" s="76"/>
      <c r="AU370" s="76"/>
      <c r="AV370" s="76">
        <v>1.7074293226492201E+18</v>
      </c>
      <c r="AW370" s="76"/>
      <c r="AX370" s="76" t="b">
        <v>0</v>
      </c>
      <c r="AY370" s="76"/>
      <c r="AZ370" s="76"/>
      <c r="BA370" s="76" t="b">
        <v>0</v>
      </c>
      <c r="BB370" s="76" t="b">
        <v>1</v>
      </c>
      <c r="BC370" s="76" t="b">
        <v>1</v>
      </c>
      <c r="BD370" s="76" t="b">
        <v>0</v>
      </c>
      <c r="BE370" s="76" t="b">
        <v>1</v>
      </c>
      <c r="BF370" s="76" t="b">
        <v>0</v>
      </c>
      <c r="BG370" s="76" t="b">
        <v>0</v>
      </c>
      <c r="BH370" s="82" t="str">
        <f>HYPERLINK("https://pbs.twimg.com/profile_banners/210526560/1658953254")</f>
        <v>https://pbs.twimg.com/profile_banners/210526560/1658953254</v>
      </c>
      <c r="BI370" s="76"/>
      <c r="BJ370" s="76" t="s">
        <v>27595</v>
      </c>
      <c r="BK370" s="76" t="b">
        <v>0</v>
      </c>
      <c r="BL370" s="76"/>
      <c r="BM370" s="76" t="s">
        <v>65</v>
      </c>
      <c r="BN370" s="76" t="s">
        <v>27597</v>
      </c>
      <c r="BO370" s="82" t="str">
        <f>HYPERLINK("https://twitter.com/rdporloalto")</f>
        <v>https://twitter.com/rdporloalto</v>
      </c>
      <c r="BP370" s="2"/>
    </row>
    <row r="371" spans="1:68" x14ac:dyDescent="0.25">
      <c r="A371" s="62" t="s">
        <v>1772</v>
      </c>
      <c r="B371" s="63"/>
      <c r="C371" s="63"/>
      <c r="D371" s="64"/>
      <c r="E371" s="66"/>
      <c r="F371" s="103" t="str">
        <f>HYPERLINK("https://pbs.twimg.com/profile_images/1252761633878872071/inOvxfX0_normal.jpg")</f>
        <v>https://pbs.twimg.com/profile_images/1252761633878872071/inOvxfX0_normal.jpg</v>
      </c>
      <c r="G371" s="63"/>
      <c r="H371" s="67"/>
      <c r="I371" s="68"/>
      <c r="J371" s="68"/>
      <c r="K371" s="67" t="s">
        <v>27965</v>
      </c>
      <c r="L371" s="71"/>
      <c r="M371" s="72"/>
      <c r="N371" s="72"/>
      <c r="O371" s="73"/>
      <c r="P371" s="74"/>
      <c r="Q371" s="74"/>
      <c r="R371" s="87"/>
      <c r="S371" s="87"/>
      <c r="T371" s="87"/>
      <c r="U371" s="87"/>
      <c r="V371" s="48"/>
      <c r="W371" s="48"/>
      <c r="X371" s="48"/>
      <c r="Y371" s="48"/>
      <c r="Z371" s="47"/>
      <c r="AA371" s="69">
        <v>371</v>
      </c>
      <c r="AB371" s="69"/>
      <c r="AC371" s="70"/>
      <c r="AD371" s="76" t="s">
        <v>21612</v>
      </c>
      <c r="AE371" s="81" t="s">
        <v>23256</v>
      </c>
      <c r="AF371" s="76">
        <v>75</v>
      </c>
      <c r="AG371" s="76">
        <v>187</v>
      </c>
      <c r="AH371" s="76">
        <v>22</v>
      </c>
      <c r="AI371" s="76">
        <v>0</v>
      </c>
      <c r="AJ371" s="76">
        <v>102</v>
      </c>
      <c r="AK371" s="76">
        <v>5</v>
      </c>
      <c r="AL371" s="76" t="b">
        <v>0</v>
      </c>
      <c r="AM371" s="78">
        <v>41133.035462962966</v>
      </c>
      <c r="AN371" s="76"/>
      <c r="AO371" s="76" t="s">
        <v>25034</v>
      </c>
      <c r="AP371" s="76"/>
      <c r="AQ371" s="76"/>
      <c r="AR371" s="76"/>
      <c r="AS371" s="76"/>
      <c r="AT371" s="76"/>
      <c r="AU371" s="76"/>
      <c r="AV371" s="76"/>
      <c r="AW371" s="76"/>
      <c r="AX371" s="76" t="b">
        <v>0</v>
      </c>
      <c r="AY371" s="76"/>
      <c r="AZ371" s="76"/>
      <c r="BA371" s="76" t="b">
        <v>0</v>
      </c>
      <c r="BB371" s="76" t="b">
        <v>1</v>
      </c>
      <c r="BC371" s="76" t="b">
        <v>1</v>
      </c>
      <c r="BD371" s="76" t="b">
        <v>0</v>
      </c>
      <c r="BE371" s="76" t="b">
        <v>0</v>
      </c>
      <c r="BF371" s="76" t="b">
        <v>0</v>
      </c>
      <c r="BG371" s="76" t="b">
        <v>0</v>
      </c>
      <c r="BH371" s="76"/>
      <c r="BI371" s="76"/>
      <c r="BJ371" s="76" t="s">
        <v>27595</v>
      </c>
      <c r="BK371" s="76" t="b">
        <v>0</v>
      </c>
      <c r="BL371" s="76"/>
      <c r="BM371" s="76" t="s">
        <v>65</v>
      </c>
      <c r="BN371" s="76" t="s">
        <v>27597</v>
      </c>
      <c r="BO371" s="82" t="str">
        <f>HYPERLINK("https://twitter.com/victordume1")</f>
        <v>https://twitter.com/victordume1</v>
      </c>
      <c r="BP371" s="2"/>
    </row>
    <row r="372" spans="1:68" x14ac:dyDescent="0.25">
      <c r="A372" s="62" t="s">
        <v>1773</v>
      </c>
      <c r="B372" s="63"/>
      <c r="C372" s="63"/>
      <c r="D372" s="64"/>
      <c r="E372" s="66"/>
      <c r="F372" s="103" t="str">
        <f>HYPERLINK("https://pbs.twimg.com/profile_images/1457500316056932353/6hUGsVBy_normal.jpg")</f>
        <v>https://pbs.twimg.com/profile_images/1457500316056932353/6hUGsVBy_normal.jpg</v>
      </c>
      <c r="G372" s="63"/>
      <c r="H372" s="67"/>
      <c r="I372" s="68"/>
      <c r="J372" s="68"/>
      <c r="K372" s="67" t="s">
        <v>27966</v>
      </c>
      <c r="L372" s="71"/>
      <c r="M372" s="72"/>
      <c r="N372" s="72"/>
      <c r="O372" s="73"/>
      <c r="P372" s="74"/>
      <c r="Q372" s="74"/>
      <c r="R372" s="87"/>
      <c r="S372" s="87"/>
      <c r="T372" s="87"/>
      <c r="U372" s="87"/>
      <c r="V372" s="48"/>
      <c r="W372" s="48"/>
      <c r="X372" s="48"/>
      <c r="Y372" s="48"/>
      <c r="Z372" s="47"/>
      <c r="AA372" s="69">
        <v>372</v>
      </c>
      <c r="AB372" s="69"/>
      <c r="AC372" s="70"/>
      <c r="AD372" s="76" t="s">
        <v>21613</v>
      </c>
      <c r="AE372" s="81" t="s">
        <v>23257</v>
      </c>
      <c r="AF372" s="76">
        <v>16798</v>
      </c>
      <c r="AG372" s="76">
        <v>18</v>
      </c>
      <c r="AH372" s="76">
        <v>4529</v>
      </c>
      <c r="AI372" s="76">
        <v>25</v>
      </c>
      <c r="AJ372" s="76">
        <v>479</v>
      </c>
      <c r="AK372" s="76">
        <v>360</v>
      </c>
      <c r="AL372" s="76" t="b">
        <v>0</v>
      </c>
      <c r="AM372" s="78">
        <v>44425.011550925927</v>
      </c>
      <c r="AN372" s="76" t="s">
        <v>14381</v>
      </c>
      <c r="AO372" s="76" t="s">
        <v>25035</v>
      </c>
      <c r="AP372" s="82" t="str">
        <f>HYPERLINK("https://t.co/SYjCkLvLyr")</f>
        <v>https://t.co/SYjCkLvLyr</v>
      </c>
      <c r="AQ372" s="82" t="str">
        <f>HYPERLINK("http://www.arajet.com")</f>
        <v>http://www.arajet.com</v>
      </c>
      <c r="AR372" s="76" t="s">
        <v>26558</v>
      </c>
      <c r="AS372" s="76"/>
      <c r="AT372" s="76"/>
      <c r="AU372" s="76"/>
      <c r="AV372" s="76"/>
      <c r="AW372" s="82" t="str">
        <f>HYPERLINK("https://t.co/SYjCkLvLyr")</f>
        <v>https://t.co/SYjCkLvLyr</v>
      </c>
      <c r="AX372" s="76" t="b">
        <v>0</v>
      </c>
      <c r="AY372" s="76"/>
      <c r="AZ372" s="76"/>
      <c r="BA372" s="76" t="b">
        <v>0</v>
      </c>
      <c r="BB372" s="76" t="b">
        <v>1</v>
      </c>
      <c r="BC372" s="76" t="b">
        <v>1</v>
      </c>
      <c r="BD372" s="76" t="b">
        <v>0</v>
      </c>
      <c r="BE372" s="76" t="b">
        <v>0</v>
      </c>
      <c r="BF372" s="76" t="b">
        <v>0</v>
      </c>
      <c r="BG372" s="76" t="b">
        <v>0</v>
      </c>
      <c r="BH372" s="82" t="str">
        <f>HYPERLINK("https://pbs.twimg.com/profile_banners/1427423584620851205/1680188375")</f>
        <v>https://pbs.twimg.com/profile_banners/1427423584620851205/1680188375</v>
      </c>
      <c r="BI372" s="76"/>
      <c r="BJ372" s="76" t="s">
        <v>27595</v>
      </c>
      <c r="BK372" s="76" t="b">
        <v>0</v>
      </c>
      <c r="BL372" s="76"/>
      <c r="BM372" s="76" t="s">
        <v>65</v>
      </c>
      <c r="BN372" s="76" t="s">
        <v>27597</v>
      </c>
      <c r="BO372" s="82" t="str">
        <f>HYPERLINK("https://twitter.com/arajetairlines")</f>
        <v>https://twitter.com/arajetairlines</v>
      </c>
      <c r="BP372" s="2"/>
    </row>
    <row r="373" spans="1:68" x14ac:dyDescent="0.25">
      <c r="A373" s="62" t="s">
        <v>1774</v>
      </c>
      <c r="B373" s="63"/>
      <c r="C373" s="63"/>
      <c r="D373" s="64"/>
      <c r="E373" s="66"/>
      <c r="F373" s="103" t="str">
        <f>HYPERLINK("https://pbs.twimg.com/profile_images/1586934801910611968/2vnJvtu__normal.jpg")</f>
        <v>https://pbs.twimg.com/profile_images/1586934801910611968/2vnJvtu__normal.jpg</v>
      </c>
      <c r="G373" s="63"/>
      <c r="H373" s="67"/>
      <c r="I373" s="68"/>
      <c r="J373" s="68"/>
      <c r="K373" s="67" t="s">
        <v>27967</v>
      </c>
      <c r="L373" s="71"/>
      <c r="M373" s="72"/>
      <c r="N373" s="72"/>
      <c r="O373" s="73"/>
      <c r="P373" s="74"/>
      <c r="Q373" s="74"/>
      <c r="R373" s="87"/>
      <c r="S373" s="87"/>
      <c r="T373" s="87"/>
      <c r="U373" s="87"/>
      <c r="V373" s="48"/>
      <c r="W373" s="48"/>
      <c r="X373" s="48"/>
      <c r="Y373" s="48"/>
      <c r="Z373" s="47"/>
      <c r="AA373" s="69">
        <v>373</v>
      </c>
      <c r="AB373" s="69"/>
      <c r="AC373" s="70"/>
      <c r="AD373" s="76" t="s">
        <v>21614</v>
      </c>
      <c r="AE373" s="81" t="s">
        <v>23258</v>
      </c>
      <c r="AF373" s="76">
        <v>500</v>
      </c>
      <c r="AG373" s="76">
        <v>883</v>
      </c>
      <c r="AH373" s="76">
        <v>1800</v>
      </c>
      <c r="AI373" s="76">
        <v>0</v>
      </c>
      <c r="AJ373" s="76">
        <v>4172</v>
      </c>
      <c r="AK373" s="76">
        <v>339</v>
      </c>
      <c r="AL373" s="76" t="b">
        <v>0</v>
      </c>
      <c r="AM373" s="78">
        <v>44698.013206018521</v>
      </c>
      <c r="AN373" s="76"/>
      <c r="AO373" s="76" t="s">
        <v>25036</v>
      </c>
      <c r="AP373" s="76"/>
      <c r="AQ373" s="76"/>
      <c r="AR373" s="76"/>
      <c r="AS373" s="76"/>
      <c r="AT373" s="76"/>
      <c r="AU373" s="76"/>
      <c r="AV373" s="76"/>
      <c r="AW373" s="76"/>
      <c r="AX373" s="76" t="b">
        <v>0</v>
      </c>
      <c r="AY373" s="76"/>
      <c r="AZ373" s="76"/>
      <c r="BA373" s="76" t="b">
        <v>0</v>
      </c>
      <c r="BB373" s="76" t="b">
        <v>1</v>
      </c>
      <c r="BC373" s="76" t="b">
        <v>1</v>
      </c>
      <c r="BD373" s="76" t="b">
        <v>0</v>
      </c>
      <c r="BE373" s="76" t="b">
        <v>0</v>
      </c>
      <c r="BF373" s="76" t="b">
        <v>0</v>
      </c>
      <c r="BG373" s="76" t="b">
        <v>0</v>
      </c>
      <c r="BH373" s="82" t="str">
        <f>HYPERLINK("https://pbs.twimg.com/profile_banners/1526356506391859200/1667189726")</f>
        <v>https://pbs.twimg.com/profile_banners/1526356506391859200/1667189726</v>
      </c>
      <c r="BI373" s="76"/>
      <c r="BJ373" s="76" t="s">
        <v>27595</v>
      </c>
      <c r="BK373" s="76" t="b">
        <v>0</v>
      </c>
      <c r="BL373" s="76"/>
      <c r="BM373" s="76" t="s">
        <v>65</v>
      </c>
      <c r="BN373" s="76" t="s">
        <v>27597</v>
      </c>
      <c r="BO373" s="82" t="str">
        <f>HYPERLINK("https://twitter.com/almontevega")</f>
        <v>https://twitter.com/almontevega</v>
      </c>
      <c r="BP373" s="2"/>
    </row>
    <row r="374" spans="1:68" x14ac:dyDescent="0.25">
      <c r="A374" s="62" t="s">
        <v>485</v>
      </c>
      <c r="B374" s="63"/>
      <c r="C374" s="63"/>
      <c r="D374" s="64"/>
      <c r="E374" s="66"/>
      <c r="F374" s="103" t="str">
        <f>HYPERLINK("https://pbs.twimg.com/profile_images/1703712117403107328/YcSYkHob_normal.jpg")</f>
        <v>https://pbs.twimg.com/profile_images/1703712117403107328/YcSYkHob_normal.jpg</v>
      </c>
      <c r="G374" s="63"/>
      <c r="H374" s="67"/>
      <c r="I374" s="68"/>
      <c r="J374" s="68"/>
      <c r="K374" s="67" t="s">
        <v>27968</v>
      </c>
      <c r="L374" s="71"/>
      <c r="M374" s="72"/>
      <c r="N374" s="72"/>
      <c r="O374" s="73"/>
      <c r="P374" s="74"/>
      <c r="Q374" s="74"/>
      <c r="R374" s="87"/>
      <c r="S374" s="87"/>
      <c r="T374" s="87"/>
      <c r="U374" s="87"/>
      <c r="V374" s="48"/>
      <c r="W374" s="48"/>
      <c r="X374" s="48"/>
      <c r="Y374" s="48"/>
      <c r="Z374" s="47"/>
      <c r="AA374" s="69">
        <v>374</v>
      </c>
      <c r="AB374" s="69"/>
      <c r="AC374" s="70"/>
      <c r="AD374" s="76" t="s">
        <v>21615</v>
      </c>
      <c r="AE374" s="81" t="s">
        <v>20623</v>
      </c>
      <c r="AF374" s="76">
        <v>939</v>
      </c>
      <c r="AG374" s="76">
        <v>424</v>
      </c>
      <c r="AH374" s="76">
        <v>27880</v>
      </c>
      <c r="AI374" s="76">
        <v>0</v>
      </c>
      <c r="AJ374" s="76">
        <v>58284</v>
      </c>
      <c r="AK374" s="76">
        <v>944</v>
      </c>
      <c r="AL374" s="76" t="b">
        <v>0</v>
      </c>
      <c r="AM374" s="78">
        <v>44680.629062499997</v>
      </c>
      <c r="AN374" s="76" t="s">
        <v>14432</v>
      </c>
      <c r="AO374" s="76" t="s">
        <v>25037</v>
      </c>
      <c r="AP374" s="76"/>
      <c r="AQ374" s="76"/>
      <c r="AR374" s="76"/>
      <c r="AS374" s="76"/>
      <c r="AT374" s="76"/>
      <c r="AU374" s="76"/>
      <c r="AV374" s="76">
        <v>1.6894795298850199E+18</v>
      </c>
      <c r="AW374" s="76"/>
      <c r="AX374" s="76" t="b">
        <v>0</v>
      </c>
      <c r="AY374" s="76"/>
      <c r="AZ374" s="76"/>
      <c r="BA374" s="76" t="b">
        <v>0</v>
      </c>
      <c r="BB374" s="76" t="b">
        <v>0</v>
      </c>
      <c r="BC374" s="76" t="b">
        <v>1</v>
      </c>
      <c r="BD374" s="76" t="b">
        <v>0</v>
      </c>
      <c r="BE374" s="76" t="b">
        <v>1</v>
      </c>
      <c r="BF374" s="76" t="b">
        <v>0</v>
      </c>
      <c r="BG374" s="76" t="b">
        <v>0</v>
      </c>
      <c r="BH374" s="82" t="str">
        <f>HYPERLINK("https://pbs.twimg.com/profile_banners/1520056716821422080/1693861681")</f>
        <v>https://pbs.twimg.com/profile_banners/1520056716821422080/1693861681</v>
      </c>
      <c r="BI374" s="76"/>
      <c r="BJ374" s="76" t="s">
        <v>27595</v>
      </c>
      <c r="BK374" s="76" t="b">
        <v>0</v>
      </c>
      <c r="BL374" s="76"/>
      <c r="BM374" s="76" t="s">
        <v>66</v>
      </c>
      <c r="BN374" s="76" t="s">
        <v>27597</v>
      </c>
      <c r="BO374" s="82" t="str">
        <f>HYPERLINK("https://twitter.com/sonya250122")</f>
        <v>https://twitter.com/sonya250122</v>
      </c>
      <c r="BP374" s="2"/>
    </row>
    <row r="375" spans="1:68" x14ac:dyDescent="0.25">
      <c r="A375" s="62" t="s">
        <v>486</v>
      </c>
      <c r="B375" s="63"/>
      <c r="C375" s="63"/>
      <c r="D375" s="64"/>
      <c r="E375" s="66"/>
      <c r="F375" s="103" t="str">
        <f>HYPERLINK("https://pbs.twimg.com/profile_images/1691250631762202624/xzxFOKic_normal.jpg")</f>
        <v>https://pbs.twimg.com/profile_images/1691250631762202624/xzxFOKic_normal.jpg</v>
      </c>
      <c r="G375" s="63"/>
      <c r="H375" s="67"/>
      <c r="I375" s="68"/>
      <c r="J375" s="68"/>
      <c r="K375" s="67" t="s">
        <v>27969</v>
      </c>
      <c r="L375" s="71"/>
      <c r="M375" s="72"/>
      <c r="N375" s="72"/>
      <c r="O375" s="73"/>
      <c r="P375" s="74"/>
      <c r="Q375" s="74"/>
      <c r="R375" s="87"/>
      <c r="S375" s="87"/>
      <c r="T375" s="87"/>
      <c r="U375" s="87"/>
      <c r="V375" s="48"/>
      <c r="W375" s="48"/>
      <c r="X375" s="48"/>
      <c r="Y375" s="48"/>
      <c r="Z375" s="47"/>
      <c r="AA375" s="69">
        <v>375</v>
      </c>
      <c r="AB375" s="69"/>
      <c r="AC375" s="70"/>
      <c r="AD375" s="76" t="s">
        <v>21616</v>
      </c>
      <c r="AE375" s="81" t="s">
        <v>20244</v>
      </c>
      <c r="AF375" s="76">
        <v>251</v>
      </c>
      <c r="AG375" s="76">
        <v>570</v>
      </c>
      <c r="AH375" s="76">
        <v>676</v>
      </c>
      <c r="AI375" s="76">
        <v>0</v>
      </c>
      <c r="AJ375" s="76">
        <v>87</v>
      </c>
      <c r="AK375" s="76">
        <v>4</v>
      </c>
      <c r="AL375" s="76" t="b">
        <v>0</v>
      </c>
      <c r="AM375" s="78">
        <v>45040.110497685186</v>
      </c>
      <c r="AN375" s="76" t="s">
        <v>14479</v>
      </c>
      <c r="AO375" s="76" t="s">
        <v>25038</v>
      </c>
      <c r="AP375" s="76"/>
      <c r="AQ375" s="76"/>
      <c r="AR375" s="76"/>
      <c r="AS375" s="76"/>
      <c r="AT375" s="76"/>
      <c r="AU375" s="76"/>
      <c r="AV375" s="76">
        <v>1.6905394837818601E+18</v>
      </c>
      <c r="AW375" s="76"/>
      <c r="AX375" s="76" t="b">
        <v>0</v>
      </c>
      <c r="AY375" s="76"/>
      <c r="AZ375" s="76"/>
      <c r="BA375" s="76" t="b">
        <v>0</v>
      </c>
      <c r="BB375" s="76" t="b">
        <v>1</v>
      </c>
      <c r="BC375" s="76" t="b">
        <v>1</v>
      </c>
      <c r="BD375" s="76" t="b">
        <v>0</v>
      </c>
      <c r="BE375" s="76" t="b">
        <v>0</v>
      </c>
      <c r="BF375" s="76" t="b">
        <v>0</v>
      </c>
      <c r="BG375" s="76" t="b">
        <v>0</v>
      </c>
      <c r="BH375" s="82" t="str">
        <f>HYPERLINK("https://pbs.twimg.com/profile_banners/1650328432914333696/1685489767")</f>
        <v>https://pbs.twimg.com/profile_banners/1650328432914333696/1685489767</v>
      </c>
      <c r="BI375" s="76"/>
      <c r="BJ375" s="76" t="s">
        <v>27595</v>
      </c>
      <c r="BK375" s="76" t="b">
        <v>0</v>
      </c>
      <c r="BL375" s="76"/>
      <c r="BM375" s="76" t="s">
        <v>66</v>
      </c>
      <c r="BN375" s="76" t="s">
        <v>27597</v>
      </c>
      <c r="BO375" s="82" t="str">
        <f>HYPERLINK("https://twitter.com/eliasbuggmann")</f>
        <v>https://twitter.com/eliasbuggmann</v>
      </c>
      <c r="BP375" s="2"/>
    </row>
    <row r="376" spans="1:68" x14ac:dyDescent="0.25">
      <c r="A376" s="62" t="s">
        <v>487</v>
      </c>
      <c r="B376" s="63"/>
      <c r="C376" s="63"/>
      <c r="D376" s="64"/>
      <c r="E376" s="66"/>
      <c r="F376" s="103" t="str">
        <f>HYPERLINK("https://pbs.twimg.com/profile_images/1263198629373923328/VEPuq-1z_normal.jpg")</f>
        <v>https://pbs.twimg.com/profile_images/1263198629373923328/VEPuq-1z_normal.jpg</v>
      </c>
      <c r="G376" s="63"/>
      <c r="H376" s="67"/>
      <c r="I376" s="68"/>
      <c r="J376" s="68"/>
      <c r="K376" s="67" t="s">
        <v>27970</v>
      </c>
      <c r="L376" s="71"/>
      <c r="M376" s="72"/>
      <c r="N376" s="72"/>
      <c r="O376" s="73"/>
      <c r="P376" s="74"/>
      <c r="Q376" s="74"/>
      <c r="R376" s="87"/>
      <c r="S376" s="87"/>
      <c r="T376" s="87"/>
      <c r="U376" s="87"/>
      <c r="V376" s="48"/>
      <c r="W376" s="48"/>
      <c r="X376" s="48"/>
      <c r="Y376" s="48"/>
      <c r="Z376" s="47"/>
      <c r="AA376" s="69">
        <v>376</v>
      </c>
      <c r="AB376" s="69"/>
      <c r="AC376" s="70"/>
      <c r="AD376" s="76" t="s">
        <v>21617</v>
      </c>
      <c r="AE376" s="81" t="s">
        <v>20624</v>
      </c>
      <c r="AF376" s="76">
        <v>107</v>
      </c>
      <c r="AG376" s="76">
        <v>136</v>
      </c>
      <c r="AH376" s="76">
        <v>411</v>
      </c>
      <c r="AI376" s="76">
        <v>1</v>
      </c>
      <c r="AJ376" s="76">
        <v>673</v>
      </c>
      <c r="AK376" s="76">
        <v>24</v>
      </c>
      <c r="AL376" s="76" t="b">
        <v>0</v>
      </c>
      <c r="AM376" s="78">
        <v>43971.83384259259</v>
      </c>
      <c r="AN376" s="76"/>
      <c r="AO376" s="76" t="s">
        <v>25039</v>
      </c>
      <c r="AP376" s="76"/>
      <c r="AQ376" s="76"/>
      <c r="AR376" s="76"/>
      <c r="AS376" s="76"/>
      <c r="AT376" s="76"/>
      <c r="AU376" s="76"/>
      <c r="AV376" s="76"/>
      <c r="AW376" s="76"/>
      <c r="AX376" s="76" t="b">
        <v>0</v>
      </c>
      <c r="AY376" s="76"/>
      <c r="AZ376" s="76"/>
      <c r="BA376" s="76" t="b">
        <v>0</v>
      </c>
      <c r="BB376" s="76" t="b">
        <v>1</v>
      </c>
      <c r="BC376" s="76" t="b">
        <v>1</v>
      </c>
      <c r="BD376" s="76" t="b">
        <v>0</v>
      </c>
      <c r="BE376" s="76" t="b">
        <v>0</v>
      </c>
      <c r="BF376" s="76" t="b">
        <v>0</v>
      </c>
      <c r="BG376" s="76" t="b">
        <v>0</v>
      </c>
      <c r="BH376" s="76"/>
      <c r="BI376" s="76"/>
      <c r="BJ376" s="76" t="s">
        <v>27595</v>
      </c>
      <c r="BK376" s="76" t="b">
        <v>0</v>
      </c>
      <c r="BL376" s="76"/>
      <c r="BM376" s="76" t="s">
        <v>66</v>
      </c>
      <c r="BN376" s="76" t="s">
        <v>27597</v>
      </c>
      <c r="BO376" s="82" t="str">
        <f>HYPERLINK("https://twitter.com/arturo883056")</f>
        <v>https://twitter.com/arturo883056</v>
      </c>
      <c r="BP376" s="2"/>
    </row>
    <row r="377" spans="1:68" x14ac:dyDescent="0.25">
      <c r="A377" s="62" t="s">
        <v>1630</v>
      </c>
      <c r="B377" s="63"/>
      <c r="C377" s="63"/>
      <c r="D377" s="64"/>
      <c r="E377" s="66"/>
      <c r="F377" s="103" t="str">
        <f>HYPERLINK("https://pbs.twimg.com/profile_images/1459950413646635010/tYVJaOKA_normal.jpg")</f>
        <v>https://pbs.twimg.com/profile_images/1459950413646635010/tYVJaOKA_normal.jpg</v>
      </c>
      <c r="G377" s="63"/>
      <c r="H377" s="67"/>
      <c r="I377" s="68"/>
      <c r="J377" s="68"/>
      <c r="K377" s="67" t="s">
        <v>27971</v>
      </c>
      <c r="L377" s="71"/>
      <c r="M377" s="72"/>
      <c r="N377" s="72"/>
      <c r="O377" s="73"/>
      <c r="P377" s="74"/>
      <c r="Q377" s="74"/>
      <c r="R377" s="87"/>
      <c r="S377" s="87"/>
      <c r="T377" s="87"/>
      <c r="U377" s="87"/>
      <c r="V377" s="48"/>
      <c r="W377" s="48"/>
      <c r="X377" s="48"/>
      <c r="Y377" s="48"/>
      <c r="Z377" s="47"/>
      <c r="AA377" s="69">
        <v>377</v>
      </c>
      <c r="AB377" s="69"/>
      <c r="AC377" s="70"/>
      <c r="AD377" s="76" t="s">
        <v>21618</v>
      </c>
      <c r="AE377" s="81" t="s">
        <v>21175</v>
      </c>
      <c r="AF377" s="76">
        <v>780</v>
      </c>
      <c r="AG377" s="76">
        <v>1684</v>
      </c>
      <c r="AH377" s="76">
        <v>5367</v>
      </c>
      <c r="AI377" s="76">
        <v>3</v>
      </c>
      <c r="AJ377" s="76">
        <v>1813</v>
      </c>
      <c r="AK377" s="76">
        <v>387</v>
      </c>
      <c r="AL377" s="76" t="b">
        <v>0</v>
      </c>
      <c r="AM377" s="78">
        <v>43436.08216435185</v>
      </c>
      <c r="AN377" s="76" t="s">
        <v>24124</v>
      </c>
      <c r="AO377" s="76" t="s">
        <v>25040</v>
      </c>
      <c r="AP377" s="76"/>
      <c r="AQ377" s="76"/>
      <c r="AR377" s="76"/>
      <c r="AS377" s="76"/>
      <c r="AT377" s="76"/>
      <c r="AU377" s="76"/>
      <c r="AV377" s="76"/>
      <c r="AW377" s="76"/>
      <c r="AX377" s="76" t="b">
        <v>0</v>
      </c>
      <c r="AY377" s="76"/>
      <c r="AZ377" s="76"/>
      <c r="BA377" s="76" t="b">
        <v>1</v>
      </c>
      <c r="BB377" s="76" t="b">
        <v>1</v>
      </c>
      <c r="BC377" s="76" t="b">
        <v>1</v>
      </c>
      <c r="BD377" s="76" t="b">
        <v>0</v>
      </c>
      <c r="BE377" s="76" t="b">
        <v>1</v>
      </c>
      <c r="BF377" s="76" t="b">
        <v>0</v>
      </c>
      <c r="BG377" s="76" t="b">
        <v>0</v>
      </c>
      <c r="BH377" s="82" t="str">
        <f>HYPERLINK("https://pbs.twimg.com/profile_banners/1069048082329976838/1636914707")</f>
        <v>https://pbs.twimg.com/profile_banners/1069048082329976838/1636914707</v>
      </c>
      <c r="BI377" s="76"/>
      <c r="BJ377" s="76" t="s">
        <v>27595</v>
      </c>
      <c r="BK377" s="76" t="b">
        <v>0</v>
      </c>
      <c r="BL377" s="76"/>
      <c r="BM377" s="76" t="s">
        <v>66</v>
      </c>
      <c r="BN377" s="76" t="s">
        <v>27597</v>
      </c>
      <c r="BO377" s="82" t="str">
        <f>HYPERLINK("https://twitter.com/nunezreyniel")</f>
        <v>https://twitter.com/nunezreyniel</v>
      </c>
      <c r="BP377" s="2"/>
    </row>
    <row r="378" spans="1:68" x14ac:dyDescent="0.25">
      <c r="A378" s="62" t="s">
        <v>488</v>
      </c>
      <c r="B378" s="63"/>
      <c r="C378" s="63"/>
      <c r="D378" s="64"/>
      <c r="E378" s="66"/>
      <c r="F378" s="103" t="str">
        <f>HYPERLINK("https://pbs.twimg.com/profile_images/1591596356069728256/ynrg3RAf_normal.jpg")</f>
        <v>https://pbs.twimg.com/profile_images/1591596356069728256/ynrg3RAf_normal.jpg</v>
      </c>
      <c r="G378" s="63"/>
      <c r="H378" s="67"/>
      <c r="I378" s="68"/>
      <c r="J378" s="68"/>
      <c r="K378" s="67" t="s">
        <v>27972</v>
      </c>
      <c r="L378" s="71"/>
      <c r="M378" s="72"/>
      <c r="N378" s="72"/>
      <c r="O378" s="73"/>
      <c r="P378" s="74"/>
      <c r="Q378" s="74"/>
      <c r="R378" s="87"/>
      <c r="S378" s="87"/>
      <c r="T378" s="87"/>
      <c r="U378" s="87"/>
      <c r="V378" s="48"/>
      <c r="W378" s="48"/>
      <c r="X378" s="48"/>
      <c r="Y378" s="48"/>
      <c r="Z378" s="47"/>
      <c r="AA378" s="69">
        <v>378</v>
      </c>
      <c r="AB378" s="69"/>
      <c r="AC378" s="70"/>
      <c r="AD378" s="76" t="s">
        <v>21619</v>
      </c>
      <c r="AE378" s="81" t="s">
        <v>20625</v>
      </c>
      <c r="AF378" s="76">
        <v>1</v>
      </c>
      <c r="AG378" s="76">
        <v>50</v>
      </c>
      <c r="AH378" s="76">
        <v>238</v>
      </c>
      <c r="AI378" s="76">
        <v>0</v>
      </c>
      <c r="AJ378" s="76">
        <v>22</v>
      </c>
      <c r="AK378" s="76">
        <v>59</v>
      </c>
      <c r="AL378" s="76" t="b">
        <v>0</v>
      </c>
      <c r="AM378" s="78">
        <v>43530.860891203702</v>
      </c>
      <c r="AN378" s="76" t="s">
        <v>14382</v>
      </c>
      <c r="AO378" s="76" t="s">
        <v>25041</v>
      </c>
      <c r="AP378" s="76"/>
      <c r="AQ378" s="76"/>
      <c r="AR378" s="76"/>
      <c r="AS378" s="76"/>
      <c r="AT378" s="76"/>
      <c r="AU378" s="76"/>
      <c r="AV378" s="76"/>
      <c r="AW378" s="76"/>
      <c r="AX378" s="76" t="b">
        <v>0</v>
      </c>
      <c r="AY378" s="76"/>
      <c r="AZ378" s="76"/>
      <c r="BA378" s="76" t="b">
        <v>0</v>
      </c>
      <c r="BB378" s="76" t="b">
        <v>1</v>
      </c>
      <c r="BC378" s="76" t="b">
        <v>1</v>
      </c>
      <c r="BD378" s="76" t="b">
        <v>0</v>
      </c>
      <c r="BE378" s="76" t="b">
        <v>0</v>
      </c>
      <c r="BF378" s="76" t="b">
        <v>0</v>
      </c>
      <c r="BG378" s="76" t="b">
        <v>0</v>
      </c>
      <c r="BH378" s="82" t="str">
        <f>HYPERLINK("https://pbs.twimg.com/profile_banners/1103394741289447430/1668300690")</f>
        <v>https://pbs.twimg.com/profile_banners/1103394741289447430/1668300690</v>
      </c>
      <c r="BI378" s="76"/>
      <c r="BJ378" s="76" t="s">
        <v>27595</v>
      </c>
      <c r="BK378" s="76" t="b">
        <v>0</v>
      </c>
      <c r="BL378" s="76"/>
      <c r="BM378" s="76" t="s">
        <v>66</v>
      </c>
      <c r="BN378" s="76" t="s">
        <v>27597</v>
      </c>
      <c r="BO378" s="82" t="str">
        <f>HYPERLINK("https://twitter.com/ezequieldf33")</f>
        <v>https://twitter.com/ezequieldf33</v>
      </c>
      <c r="BP378" s="2"/>
    </row>
    <row r="379" spans="1:68" x14ac:dyDescent="0.25">
      <c r="A379" s="62" t="s">
        <v>1624</v>
      </c>
      <c r="B379" s="63"/>
      <c r="C379" s="63"/>
      <c r="D379" s="64"/>
      <c r="E379" s="66"/>
      <c r="F379" s="103" t="str">
        <f>HYPERLINK("https://pbs.twimg.com/profile_images/1630217574100213762/SAMK-BnB_normal.jpg")</f>
        <v>https://pbs.twimg.com/profile_images/1630217574100213762/SAMK-BnB_normal.jpg</v>
      </c>
      <c r="G379" s="63"/>
      <c r="H379" s="67"/>
      <c r="I379" s="68"/>
      <c r="J379" s="68"/>
      <c r="K379" s="67" t="s">
        <v>27973</v>
      </c>
      <c r="L379" s="71"/>
      <c r="M379" s="72"/>
      <c r="N379" s="72"/>
      <c r="O379" s="73"/>
      <c r="P379" s="74"/>
      <c r="Q379" s="74"/>
      <c r="R379" s="87"/>
      <c r="S379" s="87"/>
      <c r="T379" s="87"/>
      <c r="U379" s="87"/>
      <c r="V379" s="48"/>
      <c r="W379" s="48"/>
      <c r="X379" s="48"/>
      <c r="Y379" s="48"/>
      <c r="Z379" s="47"/>
      <c r="AA379" s="69">
        <v>379</v>
      </c>
      <c r="AB379" s="69"/>
      <c r="AC379" s="70"/>
      <c r="AD379" s="76" t="s">
        <v>21620</v>
      </c>
      <c r="AE379" s="81" t="s">
        <v>20245</v>
      </c>
      <c r="AF379" s="76">
        <v>8247206</v>
      </c>
      <c r="AG379" s="76">
        <v>2902</v>
      </c>
      <c r="AH379" s="76">
        <v>32062</v>
      </c>
      <c r="AI379" s="76">
        <v>5631</v>
      </c>
      <c r="AJ379" s="76">
        <v>15829</v>
      </c>
      <c r="AK379" s="76">
        <v>6458</v>
      </c>
      <c r="AL379" s="76" t="b">
        <v>0</v>
      </c>
      <c r="AM379" s="78">
        <v>41842.900578703702</v>
      </c>
      <c r="AN379" s="76" t="s">
        <v>14411</v>
      </c>
      <c r="AO379" s="76" t="s">
        <v>25042</v>
      </c>
      <c r="AP379" s="82" t="str">
        <f>HYPERLINK("https://t.co/FWDIwBcWRa")</f>
        <v>https://t.co/FWDIwBcWRa</v>
      </c>
      <c r="AQ379" s="82" t="str">
        <f>HYPERLINK("https://lula.com.br/siga-o-lula/")</f>
        <v>https://lula.com.br/siga-o-lula/</v>
      </c>
      <c r="AR379" s="76" t="s">
        <v>26559</v>
      </c>
      <c r="AS379" s="76"/>
      <c r="AT379" s="76"/>
      <c r="AU379" s="76"/>
      <c r="AV379" s="76">
        <v>1.66105073773486E+18</v>
      </c>
      <c r="AW379" s="82" t="str">
        <f>HYPERLINK("https://t.co/FWDIwBcWRa")</f>
        <v>https://t.co/FWDIwBcWRa</v>
      </c>
      <c r="AX379" s="76" t="b">
        <v>1</v>
      </c>
      <c r="AY379" s="76"/>
      <c r="AZ379" s="76"/>
      <c r="BA379" s="76" t="b">
        <v>0</v>
      </c>
      <c r="BB379" s="76" t="b">
        <v>1</v>
      </c>
      <c r="BC379" s="76" t="b">
        <v>1</v>
      </c>
      <c r="BD379" s="76" t="b">
        <v>0</v>
      </c>
      <c r="BE379" s="76" t="b">
        <v>1</v>
      </c>
      <c r="BF379" s="76" t="b">
        <v>0</v>
      </c>
      <c r="BG379" s="76" t="b">
        <v>0</v>
      </c>
      <c r="BH379" s="82" t="str">
        <f>HYPERLINK("https://pbs.twimg.com/profile_banners/2670726740/1672662238")</f>
        <v>https://pbs.twimg.com/profile_banners/2670726740/1672662238</v>
      </c>
      <c r="BI379" s="76"/>
      <c r="BJ379" s="76" t="s">
        <v>27595</v>
      </c>
      <c r="BK379" s="76" t="b">
        <v>0</v>
      </c>
      <c r="BL379" s="76"/>
      <c r="BM379" s="76" t="s">
        <v>66</v>
      </c>
      <c r="BN379" s="76" t="s">
        <v>27597</v>
      </c>
      <c r="BO379" s="82" t="str">
        <f>HYPERLINK("https://twitter.com/lulaoficial")</f>
        <v>https://twitter.com/lulaoficial</v>
      </c>
      <c r="BP379" s="2"/>
    </row>
    <row r="380" spans="1:68" x14ac:dyDescent="0.25">
      <c r="A380" s="62" t="s">
        <v>489</v>
      </c>
      <c r="B380" s="63"/>
      <c r="C380" s="63"/>
      <c r="D380" s="64"/>
      <c r="E380" s="66"/>
      <c r="F380" s="103" t="str">
        <f>HYPERLINK("https://pbs.twimg.com/profile_images/1681794337833644033/ppN4ENjp_normal.jpg")</f>
        <v>https://pbs.twimg.com/profile_images/1681794337833644033/ppN4ENjp_normal.jpg</v>
      </c>
      <c r="G380" s="63"/>
      <c r="H380" s="67"/>
      <c r="I380" s="68"/>
      <c r="J380" s="68"/>
      <c r="K380" s="67" t="s">
        <v>27974</v>
      </c>
      <c r="L380" s="71"/>
      <c r="M380" s="72"/>
      <c r="N380" s="72"/>
      <c r="O380" s="73"/>
      <c r="P380" s="74"/>
      <c r="Q380" s="74"/>
      <c r="R380" s="87"/>
      <c r="S380" s="87"/>
      <c r="T380" s="87"/>
      <c r="U380" s="87"/>
      <c r="V380" s="48"/>
      <c r="W380" s="48"/>
      <c r="X380" s="48"/>
      <c r="Y380" s="48"/>
      <c r="Z380" s="47"/>
      <c r="AA380" s="69">
        <v>380</v>
      </c>
      <c r="AB380" s="69"/>
      <c r="AC380" s="70"/>
      <c r="AD380" s="76" t="s">
        <v>21621</v>
      </c>
      <c r="AE380" s="81" t="s">
        <v>20246</v>
      </c>
      <c r="AF380" s="76">
        <v>207</v>
      </c>
      <c r="AG380" s="76">
        <v>306</v>
      </c>
      <c r="AH380" s="76">
        <v>4034</v>
      </c>
      <c r="AI380" s="76">
        <v>0</v>
      </c>
      <c r="AJ380" s="76">
        <v>7068</v>
      </c>
      <c r="AK380" s="76">
        <v>382</v>
      </c>
      <c r="AL380" s="76" t="b">
        <v>0</v>
      </c>
      <c r="AM380" s="78">
        <v>43502.521863425929</v>
      </c>
      <c r="AN380" s="76"/>
      <c r="AO380" s="76" t="s">
        <v>25043</v>
      </c>
      <c r="AP380" s="76"/>
      <c r="AQ380" s="76"/>
      <c r="AR380" s="76"/>
      <c r="AS380" s="76"/>
      <c r="AT380" s="76"/>
      <c r="AU380" s="76"/>
      <c r="AV380" s="76">
        <v>1.3942540075443E+18</v>
      </c>
      <c r="AW380" s="76"/>
      <c r="AX380" s="76" t="b">
        <v>0</v>
      </c>
      <c r="AY380" s="76"/>
      <c r="AZ380" s="76"/>
      <c r="BA380" s="76" t="b">
        <v>1</v>
      </c>
      <c r="BB380" s="76" t="b">
        <v>1</v>
      </c>
      <c r="BC380" s="76" t="b">
        <v>1</v>
      </c>
      <c r="BD380" s="76" t="b">
        <v>0</v>
      </c>
      <c r="BE380" s="76" t="b">
        <v>1</v>
      </c>
      <c r="BF380" s="76" t="b">
        <v>0</v>
      </c>
      <c r="BG380" s="76" t="b">
        <v>0</v>
      </c>
      <c r="BH380" s="82" t="str">
        <f>HYPERLINK("https://pbs.twimg.com/profile_banners/1093125024880488448/1663875272")</f>
        <v>https://pbs.twimg.com/profile_banners/1093125024880488448/1663875272</v>
      </c>
      <c r="BI380" s="76"/>
      <c r="BJ380" s="76" t="s">
        <v>27595</v>
      </c>
      <c r="BK380" s="76" t="b">
        <v>0</v>
      </c>
      <c r="BL380" s="76"/>
      <c r="BM380" s="76" t="s">
        <v>66</v>
      </c>
      <c r="BN380" s="76" t="s">
        <v>27597</v>
      </c>
      <c r="BO380" s="82" t="str">
        <f>HYPERLINK("https://twitter.com/hudson_dourado")</f>
        <v>https://twitter.com/hudson_dourado</v>
      </c>
      <c r="BP380" s="2"/>
    </row>
    <row r="381" spans="1:68" x14ac:dyDescent="0.25">
      <c r="A381" s="62" t="s">
        <v>1775</v>
      </c>
      <c r="B381" s="63"/>
      <c r="C381" s="63"/>
      <c r="D381" s="64"/>
      <c r="E381" s="66"/>
      <c r="F381" s="103" t="str">
        <f>HYPERLINK("https://pbs.twimg.com/profile_images/1605198751085330434/UA6nxH1G_normal.jpg")</f>
        <v>https://pbs.twimg.com/profile_images/1605198751085330434/UA6nxH1G_normal.jpg</v>
      </c>
      <c r="G381" s="63"/>
      <c r="H381" s="67"/>
      <c r="I381" s="68"/>
      <c r="J381" s="68"/>
      <c r="K381" s="67" t="s">
        <v>27975</v>
      </c>
      <c r="L381" s="71"/>
      <c r="M381" s="72"/>
      <c r="N381" s="72"/>
      <c r="O381" s="73"/>
      <c r="P381" s="74"/>
      <c r="Q381" s="74"/>
      <c r="R381" s="87"/>
      <c r="S381" s="87"/>
      <c r="T381" s="87"/>
      <c r="U381" s="87"/>
      <c r="V381" s="48"/>
      <c r="W381" s="48"/>
      <c r="X381" s="48"/>
      <c r="Y381" s="48"/>
      <c r="Z381" s="47"/>
      <c r="AA381" s="69">
        <v>381</v>
      </c>
      <c r="AB381" s="69"/>
      <c r="AC381" s="70"/>
      <c r="AD381" s="76" t="s">
        <v>21622</v>
      </c>
      <c r="AE381" s="81" t="s">
        <v>23259</v>
      </c>
      <c r="AF381" s="76">
        <v>124989</v>
      </c>
      <c r="AG381" s="76">
        <v>15</v>
      </c>
      <c r="AH381" s="76">
        <v>150711</v>
      </c>
      <c r="AI381" s="76">
        <v>166</v>
      </c>
      <c r="AJ381" s="76">
        <v>6700</v>
      </c>
      <c r="AK381" s="76">
        <v>5260</v>
      </c>
      <c r="AL381" s="76" t="b">
        <v>0</v>
      </c>
      <c r="AM381" s="78">
        <v>41710.118333333332</v>
      </c>
      <c r="AN381" s="76"/>
      <c r="AO381" s="76" t="s">
        <v>25044</v>
      </c>
      <c r="AP381" s="82" t="str">
        <f>HYPERLINK("https://t.co/0pD6IiSRop")</f>
        <v>https://t.co/0pD6IiSRop</v>
      </c>
      <c r="AQ381" s="82" t="str">
        <f>HYPERLINK("http://www.picpay.com")</f>
        <v>http://www.picpay.com</v>
      </c>
      <c r="AR381" s="76" t="s">
        <v>26560</v>
      </c>
      <c r="AS381" s="76"/>
      <c r="AT381" s="76"/>
      <c r="AU381" s="76"/>
      <c r="AV381" s="76"/>
      <c r="AW381" s="82" t="str">
        <f>HYPERLINK("https://t.co/0pD6IiSRop")</f>
        <v>https://t.co/0pD6IiSRop</v>
      </c>
      <c r="AX381" s="76" t="b">
        <v>0</v>
      </c>
      <c r="AY381" s="76"/>
      <c r="AZ381" s="76"/>
      <c r="BA381" s="76" t="b">
        <v>1</v>
      </c>
      <c r="BB381" s="76" t="b">
        <v>1</v>
      </c>
      <c r="BC381" s="76" t="b">
        <v>0</v>
      </c>
      <c r="BD381" s="76" t="b">
        <v>0</v>
      </c>
      <c r="BE381" s="76" t="b">
        <v>0</v>
      </c>
      <c r="BF381" s="76" t="b">
        <v>0</v>
      </c>
      <c r="BG381" s="76" t="b">
        <v>0</v>
      </c>
      <c r="BH381" s="82" t="str">
        <f>HYPERLINK("https://pbs.twimg.com/profile_banners/2403733330/1690827997")</f>
        <v>https://pbs.twimg.com/profile_banners/2403733330/1690827997</v>
      </c>
      <c r="BI381" s="76"/>
      <c r="BJ381" s="76" t="s">
        <v>27596</v>
      </c>
      <c r="BK381" s="76" t="b">
        <v>0</v>
      </c>
      <c r="BL381" s="76"/>
      <c r="BM381" s="76" t="s">
        <v>65</v>
      </c>
      <c r="BN381" s="76" t="s">
        <v>27597</v>
      </c>
      <c r="BO381" s="82" t="str">
        <f>HYPERLINK("https://twitter.com/picpay")</f>
        <v>https://twitter.com/picpay</v>
      </c>
      <c r="BP381" s="2"/>
    </row>
    <row r="382" spans="1:68" x14ac:dyDescent="0.25">
      <c r="A382" s="62" t="s">
        <v>490</v>
      </c>
      <c r="B382" s="63"/>
      <c r="C382" s="63"/>
      <c r="D382" s="64"/>
      <c r="E382" s="66"/>
      <c r="F382" s="103" t="str">
        <f>HYPERLINK("https://pbs.twimg.com/profile_images/1400474468506607618/gTXkzzb5_normal.jpg")</f>
        <v>https://pbs.twimg.com/profile_images/1400474468506607618/gTXkzzb5_normal.jpg</v>
      </c>
      <c r="G382" s="63"/>
      <c r="H382" s="67"/>
      <c r="I382" s="68"/>
      <c r="J382" s="68"/>
      <c r="K382" s="67" t="s">
        <v>27976</v>
      </c>
      <c r="L382" s="71"/>
      <c r="M382" s="72"/>
      <c r="N382" s="72"/>
      <c r="O382" s="73"/>
      <c r="P382" s="74"/>
      <c r="Q382" s="74"/>
      <c r="R382" s="87"/>
      <c r="S382" s="87"/>
      <c r="T382" s="87"/>
      <c r="U382" s="87"/>
      <c r="V382" s="48"/>
      <c r="W382" s="48"/>
      <c r="X382" s="48"/>
      <c r="Y382" s="48"/>
      <c r="Z382" s="47"/>
      <c r="AA382" s="69">
        <v>382</v>
      </c>
      <c r="AB382" s="69"/>
      <c r="AC382" s="70"/>
      <c r="AD382" s="76" t="s">
        <v>21623</v>
      </c>
      <c r="AE382" s="81" t="s">
        <v>20626</v>
      </c>
      <c r="AF382" s="76">
        <v>29</v>
      </c>
      <c r="AG382" s="76">
        <v>80</v>
      </c>
      <c r="AH382" s="76">
        <v>1522</v>
      </c>
      <c r="AI382" s="76">
        <v>0</v>
      </c>
      <c r="AJ382" s="76">
        <v>189</v>
      </c>
      <c r="AK382" s="76">
        <v>195</v>
      </c>
      <c r="AL382" s="76" t="b">
        <v>0</v>
      </c>
      <c r="AM382" s="78">
        <v>44350.644502314812</v>
      </c>
      <c r="AN382" s="76"/>
      <c r="AO382" s="76" t="s">
        <v>25045</v>
      </c>
      <c r="AP382" s="82" t="str">
        <f>HYPERLINK("https://t.co/uA86Bl02Mu")</f>
        <v>https://t.co/uA86Bl02Mu</v>
      </c>
      <c r="AQ382" s="82" t="str">
        <f>HYPERLINK("http://jwnews.com.br")</f>
        <v>http://jwnews.com.br</v>
      </c>
      <c r="AR382" s="76" t="s">
        <v>26561</v>
      </c>
      <c r="AS382" s="76"/>
      <c r="AT382" s="76"/>
      <c r="AU382" s="76"/>
      <c r="AV382" s="76"/>
      <c r="AW382" s="82" t="str">
        <f>HYPERLINK("https://t.co/uA86Bl02Mu")</f>
        <v>https://t.co/uA86Bl02Mu</v>
      </c>
      <c r="AX382" s="76" t="b">
        <v>0</v>
      </c>
      <c r="AY382" s="76"/>
      <c r="AZ382" s="76"/>
      <c r="BA382" s="76" t="b">
        <v>0</v>
      </c>
      <c r="BB382" s="76" t="b">
        <v>1</v>
      </c>
      <c r="BC382" s="76" t="b">
        <v>1</v>
      </c>
      <c r="BD382" s="76" t="b">
        <v>0</v>
      </c>
      <c r="BE382" s="76" t="b">
        <v>0</v>
      </c>
      <c r="BF382" s="76" t="b">
        <v>0</v>
      </c>
      <c r="BG382" s="76" t="b">
        <v>0</v>
      </c>
      <c r="BH382" s="82" t="str">
        <f>HYPERLINK("https://pbs.twimg.com/profile_banners/1400474321076822016/1622734427")</f>
        <v>https://pbs.twimg.com/profile_banners/1400474321076822016/1622734427</v>
      </c>
      <c r="BI382" s="76"/>
      <c r="BJ382" s="76" t="s">
        <v>27595</v>
      </c>
      <c r="BK382" s="76" t="b">
        <v>0</v>
      </c>
      <c r="BL382" s="76"/>
      <c r="BM382" s="76" t="s">
        <v>66</v>
      </c>
      <c r="BN382" s="76" t="s">
        <v>27597</v>
      </c>
      <c r="BO382" s="82" t="str">
        <f>HYPERLINK("https://twitter.com/jwnews_abc")</f>
        <v>https://twitter.com/jwnews_abc</v>
      </c>
      <c r="BP382" s="2"/>
    </row>
    <row r="383" spans="1:68" x14ac:dyDescent="0.25">
      <c r="A383" s="62" t="s">
        <v>491</v>
      </c>
      <c r="B383" s="63"/>
      <c r="C383" s="63"/>
      <c r="D383" s="64"/>
      <c r="E383" s="66"/>
      <c r="F383" s="103" t="str">
        <f>HYPERLINK("https://pbs.twimg.com/profile_images/1655697381671706624/5b7rgpt3_normal.jpg")</f>
        <v>https://pbs.twimg.com/profile_images/1655697381671706624/5b7rgpt3_normal.jpg</v>
      </c>
      <c r="G383" s="63"/>
      <c r="H383" s="67"/>
      <c r="I383" s="68"/>
      <c r="J383" s="68"/>
      <c r="K383" s="67" t="s">
        <v>27977</v>
      </c>
      <c r="L383" s="71"/>
      <c r="M383" s="72"/>
      <c r="N383" s="72"/>
      <c r="O383" s="73"/>
      <c r="P383" s="74"/>
      <c r="Q383" s="74"/>
      <c r="R383" s="87"/>
      <c r="S383" s="87"/>
      <c r="T383" s="87"/>
      <c r="U383" s="87"/>
      <c r="V383" s="48"/>
      <c r="W383" s="48"/>
      <c r="X383" s="48"/>
      <c r="Y383" s="48"/>
      <c r="Z383" s="47"/>
      <c r="AA383" s="69">
        <v>383</v>
      </c>
      <c r="AB383" s="69"/>
      <c r="AC383" s="70"/>
      <c r="AD383" s="76" t="s">
        <v>21624</v>
      </c>
      <c r="AE383" s="81" t="s">
        <v>20627</v>
      </c>
      <c r="AF383" s="76">
        <v>2746</v>
      </c>
      <c r="AG383" s="76">
        <v>1</v>
      </c>
      <c r="AH383" s="76">
        <v>2284</v>
      </c>
      <c r="AI383" s="76">
        <v>237</v>
      </c>
      <c r="AJ383" s="76">
        <v>0</v>
      </c>
      <c r="AK383" s="76">
        <v>2276</v>
      </c>
      <c r="AL383" s="76" t="b">
        <v>0</v>
      </c>
      <c r="AM383" s="78">
        <v>45054.635844907411</v>
      </c>
      <c r="AN383" s="76" t="s">
        <v>24211</v>
      </c>
      <c r="AO383" s="76" t="s">
        <v>25046</v>
      </c>
      <c r="AP383" s="82" t="str">
        <f>HYPERLINK("https://t.co/iycAORA7iV")</f>
        <v>https://t.co/iycAORA7iV</v>
      </c>
      <c r="AQ383" s="82" t="str">
        <f>HYPERLINK("https://soyindependiente.com/")</f>
        <v>https://soyindependiente.com/</v>
      </c>
      <c r="AR383" s="76" t="s">
        <v>26562</v>
      </c>
      <c r="AS383" s="76"/>
      <c r="AT383" s="76"/>
      <c r="AU383" s="76"/>
      <c r="AV383" s="76"/>
      <c r="AW383" s="82" t="str">
        <f>HYPERLINK("https://t.co/iycAORA7iV")</f>
        <v>https://t.co/iycAORA7iV</v>
      </c>
      <c r="AX383" s="76" t="b">
        <v>0</v>
      </c>
      <c r="AY383" s="76"/>
      <c r="AZ383" s="76"/>
      <c r="BA383" s="76" t="b">
        <v>0</v>
      </c>
      <c r="BB383" s="76" t="b">
        <v>1</v>
      </c>
      <c r="BC383" s="76" t="b">
        <v>1</v>
      </c>
      <c r="BD383" s="76" t="b">
        <v>0</v>
      </c>
      <c r="BE383" s="76" t="b">
        <v>0</v>
      </c>
      <c r="BF383" s="76" t="b">
        <v>0</v>
      </c>
      <c r="BG383" s="76" t="b">
        <v>0</v>
      </c>
      <c r="BH383" s="82" t="str">
        <f>HYPERLINK("https://pbs.twimg.com/profile_banners/1655592242919112704/1683584002")</f>
        <v>https://pbs.twimg.com/profile_banners/1655592242919112704/1683584002</v>
      </c>
      <c r="BI383" s="76"/>
      <c r="BJ383" s="76" t="s">
        <v>27595</v>
      </c>
      <c r="BK383" s="76" t="b">
        <v>0</v>
      </c>
      <c r="BL383" s="76"/>
      <c r="BM383" s="76" t="s">
        <v>66</v>
      </c>
      <c r="BN383" s="76" t="s">
        <v>27597</v>
      </c>
      <c r="BO383" s="82" t="str">
        <f>HYPERLINK("https://twitter.com/independientsoy")</f>
        <v>https://twitter.com/independientsoy</v>
      </c>
      <c r="BP383" s="2"/>
    </row>
    <row r="384" spans="1:68" x14ac:dyDescent="0.25">
      <c r="A384" s="62" t="s">
        <v>492</v>
      </c>
      <c r="B384" s="63"/>
      <c r="C384" s="63"/>
      <c r="D384" s="64"/>
      <c r="E384" s="66"/>
      <c r="F384" s="103" t="str">
        <f>HYPERLINK("https://pbs.twimg.com/profile_images/1612210209128071170/NN8f7ffQ_normal.jpg")</f>
        <v>https://pbs.twimg.com/profile_images/1612210209128071170/NN8f7ffQ_normal.jpg</v>
      </c>
      <c r="G384" s="63"/>
      <c r="H384" s="67"/>
      <c r="I384" s="68"/>
      <c r="J384" s="68"/>
      <c r="K384" s="67" t="s">
        <v>27978</v>
      </c>
      <c r="L384" s="71"/>
      <c r="M384" s="72"/>
      <c r="N384" s="72"/>
      <c r="O384" s="73"/>
      <c r="P384" s="74"/>
      <c r="Q384" s="74"/>
      <c r="R384" s="87"/>
      <c r="S384" s="87"/>
      <c r="T384" s="87"/>
      <c r="U384" s="87"/>
      <c r="V384" s="48"/>
      <c r="W384" s="48"/>
      <c r="X384" s="48"/>
      <c r="Y384" s="48"/>
      <c r="Z384" s="47"/>
      <c r="AA384" s="69">
        <v>384</v>
      </c>
      <c r="AB384" s="69"/>
      <c r="AC384" s="70"/>
      <c r="AD384" s="76" t="s">
        <v>21625</v>
      </c>
      <c r="AE384" s="81" t="s">
        <v>20247</v>
      </c>
      <c r="AF384" s="76">
        <v>69</v>
      </c>
      <c r="AG384" s="76">
        <v>142</v>
      </c>
      <c r="AH384" s="76">
        <v>329</v>
      </c>
      <c r="AI384" s="76">
        <v>0</v>
      </c>
      <c r="AJ384" s="76">
        <v>26</v>
      </c>
      <c r="AK384" s="76">
        <v>175</v>
      </c>
      <c r="AL384" s="76" t="b">
        <v>0</v>
      </c>
      <c r="AM384" s="78">
        <v>40500.858425925922</v>
      </c>
      <c r="AN384" s="76"/>
      <c r="AO384" s="76"/>
      <c r="AP384" s="76"/>
      <c r="AQ384" s="76"/>
      <c r="AR384" s="76"/>
      <c r="AS384" s="76"/>
      <c r="AT384" s="76"/>
      <c r="AU384" s="76"/>
      <c r="AV384" s="76"/>
      <c r="AW384" s="76"/>
      <c r="AX384" s="76" t="b">
        <v>0</v>
      </c>
      <c r="AY384" s="76"/>
      <c r="AZ384" s="76"/>
      <c r="BA384" s="76" t="b">
        <v>0</v>
      </c>
      <c r="BB384" s="76" t="b">
        <v>1</v>
      </c>
      <c r="BC384" s="76" t="b">
        <v>1</v>
      </c>
      <c r="BD384" s="76" t="b">
        <v>0</v>
      </c>
      <c r="BE384" s="76" t="b">
        <v>0</v>
      </c>
      <c r="BF384" s="76" t="b">
        <v>0</v>
      </c>
      <c r="BG384" s="76" t="b">
        <v>0</v>
      </c>
      <c r="BH384" s="76"/>
      <c r="BI384" s="76"/>
      <c r="BJ384" s="76" t="s">
        <v>27595</v>
      </c>
      <c r="BK384" s="76" t="b">
        <v>0</v>
      </c>
      <c r="BL384" s="76"/>
      <c r="BM384" s="76" t="s">
        <v>66</v>
      </c>
      <c r="BN384" s="76" t="s">
        <v>27597</v>
      </c>
      <c r="BO384" s="82" t="str">
        <f>HYPERLINK("https://twitter.com/wellingtonsmabc")</f>
        <v>https://twitter.com/wellingtonsmabc</v>
      </c>
      <c r="BP384" s="2"/>
    </row>
    <row r="385" spans="1:68" x14ac:dyDescent="0.25">
      <c r="A385" s="62" t="s">
        <v>493</v>
      </c>
      <c r="B385" s="63"/>
      <c r="C385" s="63"/>
      <c r="D385" s="64"/>
      <c r="E385" s="66"/>
      <c r="F385" s="103" t="str">
        <f>HYPERLINK("https://pbs.twimg.com/profile_images/1574725391159369729/tnbYzrAp_normal.jpg")</f>
        <v>https://pbs.twimg.com/profile_images/1574725391159369729/tnbYzrAp_normal.jpg</v>
      </c>
      <c r="G385" s="63"/>
      <c r="H385" s="67"/>
      <c r="I385" s="68"/>
      <c r="J385" s="68"/>
      <c r="K385" s="67" t="s">
        <v>27979</v>
      </c>
      <c r="L385" s="71"/>
      <c r="M385" s="72"/>
      <c r="N385" s="72"/>
      <c r="O385" s="73"/>
      <c r="P385" s="74"/>
      <c r="Q385" s="74"/>
      <c r="R385" s="87"/>
      <c r="S385" s="87"/>
      <c r="T385" s="87"/>
      <c r="U385" s="87"/>
      <c r="V385" s="48"/>
      <c r="W385" s="48"/>
      <c r="X385" s="48"/>
      <c r="Y385" s="48"/>
      <c r="Z385" s="47"/>
      <c r="AA385" s="69">
        <v>385</v>
      </c>
      <c r="AB385" s="69"/>
      <c r="AC385" s="70"/>
      <c r="AD385" s="76" t="s">
        <v>21626</v>
      </c>
      <c r="AE385" s="81" t="s">
        <v>20628</v>
      </c>
      <c r="AF385" s="76">
        <v>251</v>
      </c>
      <c r="AG385" s="76">
        <v>635</v>
      </c>
      <c r="AH385" s="76">
        <v>1583</v>
      </c>
      <c r="AI385" s="76">
        <v>2</v>
      </c>
      <c r="AJ385" s="76">
        <v>285</v>
      </c>
      <c r="AK385" s="76">
        <v>584</v>
      </c>
      <c r="AL385" s="76" t="b">
        <v>0</v>
      </c>
      <c r="AM385" s="78">
        <v>42660.554386574076</v>
      </c>
      <c r="AN385" s="76" t="s">
        <v>14400</v>
      </c>
      <c r="AO385" s="76" t="s">
        <v>25047</v>
      </c>
      <c r="AP385" s="76"/>
      <c r="AQ385" s="76"/>
      <c r="AR385" s="76"/>
      <c r="AS385" s="76"/>
      <c r="AT385" s="76"/>
      <c r="AU385" s="76"/>
      <c r="AV385" s="76"/>
      <c r="AW385" s="76"/>
      <c r="AX385" s="76" t="b">
        <v>0</v>
      </c>
      <c r="AY385" s="76"/>
      <c r="AZ385" s="76"/>
      <c r="BA385" s="76" t="b">
        <v>0</v>
      </c>
      <c r="BB385" s="76" t="b">
        <v>1</v>
      </c>
      <c r="BC385" s="76" t="b">
        <v>1</v>
      </c>
      <c r="BD385" s="76" t="b">
        <v>0</v>
      </c>
      <c r="BE385" s="76" t="b">
        <v>0</v>
      </c>
      <c r="BF385" s="76" t="b">
        <v>0</v>
      </c>
      <c r="BG385" s="76" t="b">
        <v>1</v>
      </c>
      <c r="BH385" s="82" t="str">
        <f>HYPERLINK("https://pbs.twimg.com/profile_banners/788006223937404929/1669126590")</f>
        <v>https://pbs.twimg.com/profile_banners/788006223937404929/1669126590</v>
      </c>
      <c r="BI385" s="76" t="s">
        <v>27594</v>
      </c>
      <c r="BJ385" s="76" t="s">
        <v>27595</v>
      </c>
      <c r="BK385" s="76" t="b">
        <v>0</v>
      </c>
      <c r="BL385" s="76"/>
      <c r="BM385" s="76" t="s">
        <v>66</v>
      </c>
      <c r="BN385" s="76" t="s">
        <v>27597</v>
      </c>
      <c r="BO385" s="82" t="str">
        <f>HYPERLINK("https://twitter.com/osbereanos")</f>
        <v>https://twitter.com/osbereanos</v>
      </c>
      <c r="BP385" s="2"/>
    </row>
    <row r="386" spans="1:68" x14ac:dyDescent="0.25">
      <c r="A386" s="62" t="s">
        <v>494</v>
      </c>
      <c r="B386" s="63"/>
      <c r="C386" s="63"/>
      <c r="D386" s="64"/>
      <c r="E386" s="66"/>
      <c r="F386" s="103" t="str">
        <f>HYPERLINK("https://pbs.twimg.com/profile_images/1374370450885783553/ahZa3O2j_normal.jpg")</f>
        <v>https://pbs.twimg.com/profile_images/1374370450885783553/ahZa3O2j_normal.jpg</v>
      </c>
      <c r="G386" s="63"/>
      <c r="H386" s="67"/>
      <c r="I386" s="68"/>
      <c r="J386" s="68"/>
      <c r="K386" s="67" t="s">
        <v>27980</v>
      </c>
      <c r="L386" s="71"/>
      <c r="M386" s="72"/>
      <c r="N386" s="72"/>
      <c r="O386" s="73"/>
      <c r="P386" s="74"/>
      <c r="Q386" s="74"/>
      <c r="R386" s="87"/>
      <c r="S386" s="87"/>
      <c r="T386" s="87"/>
      <c r="U386" s="87"/>
      <c r="V386" s="48"/>
      <c r="W386" s="48"/>
      <c r="X386" s="48"/>
      <c r="Y386" s="48"/>
      <c r="Z386" s="47"/>
      <c r="AA386" s="69">
        <v>386</v>
      </c>
      <c r="AB386" s="69"/>
      <c r="AC386" s="70"/>
      <c r="AD386" s="76" t="s">
        <v>21627</v>
      </c>
      <c r="AE386" s="81" t="s">
        <v>23260</v>
      </c>
      <c r="AF386" s="76">
        <v>960</v>
      </c>
      <c r="AG386" s="76">
        <v>2085</v>
      </c>
      <c r="AH386" s="76">
        <v>6830</v>
      </c>
      <c r="AI386" s="76">
        <v>14</v>
      </c>
      <c r="AJ386" s="76">
        <v>13341</v>
      </c>
      <c r="AK386" s="76">
        <v>385</v>
      </c>
      <c r="AL386" s="76" t="b">
        <v>0</v>
      </c>
      <c r="AM386" s="78">
        <v>39910.575185185182</v>
      </c>
      <c r="AN386" s="76" t="s">
        <v>24218</v>
      </c>
      <c r="AO386" s="76" t="s">
        <v>25048</v>
      </c>
      <c r="AP386" s="82" t="str">
        <f>HYPERLINK("https://t.co/Sl0bI0ATg3")</f>
        <v>https://t.co/Sl0bI0ATg3</v>
      </c>
      <c r="AQ386" s="82" t="str">
        <f>HYPERLINK("http://www.cgratereaux.blogspot.com")</f>
        <v>http://www.cgratereaux.blogspot.com</v>
      </c>
      <c r="AR386" s="76" t="s">
        <v>26563</v>
      </c>
      <c r="AS386" s="76"/>
      <c r="AT386" s="76"/>
      <c r="AU386" s="76"/>
      <c r="AV386" s="76">
        <v>1.66974230863437E+18</v>
      </c>
      <c r="AW386" s="82" t="str">
        <f>HYPERLINK("https://t.co/Sl0bI0ATg3")</f>
        <v>https://t.co/Sl0bI0ATg3</v>
      </c>
      <c r="AX386" s="76" t="b">
        <v>1</v>
      </c>
      <c r="AY386" s="76"/>
      <c r="AZ386" s="76"/>
      <c r="BA386" s="76" t="b">
        <v>1</v>
      </c>
      <c r="BB386" s="76" t="b">
        <v>1</v>
      </c>
      <c r="BC386" s="76" t="b">
        <v>0</v>
      </c>
      <c r="BD386" s="76" t="b">
        <v>0</v>
      </c>
      <c r="BE386" s="76" t="b">
        <v>1</v>
      </c>
      <c r="BF386" s="76" t="b">
        <v>0</v>
      </c>
      <c r="BG386" s="76" t="b">
        <v>0</v>
      </c>
      <c r="BH386" s="82" t="str">
        <f>HYPERLINK("https://pbs.twimg.com/profile_banners/29450646/1512930202")</f>
        <v>https://pbs.twimg.com/profile_banners/29450646/1512930202</v>
      </c>
      <c r="BI386" s="76"/>
      <c r="BJ386" s="76" t="s">
        <v>27595</v>
      </c>
      <c r="BK386" s="76" t="b">
        <v>0</v>
      </c>
      <c r="BL386" s="76"/>
      <c r="BM386" s="76" t="s">
        <v>66</v>
      </c>
      <c r="BN386" s="76" t="s">
        <v>27597</v>
      </c>
      <c r="BO386" s="82" t="str">
        <f>HYPERLINK("https://twitter.com/cgratereaux")</f>
        <v>https://twitter.com/cgratereaux</v>
      </c>
      <c r="BP386" s="2"/>
    </row>
    <row r="387" spans="1:68" x14ac:dyDescent="0.25">
      <c r="A387" s="62" t="s">
        <v>1776</v>
      </c>
      <c r="B387" s="63"/>
      <c r="C387" s="63"/>
      <c r="D387" s="64"/>
      <c r="E387" s="66"/>
      <c r="F387" s="103" t="str">
        <f>HYPERLINK("https://pbs.twimg.com/profile_images/1643947424799498246/fYixANvX_normal.jpg")</f>
        <v>https://pbs.twimg.com/profile_images/1643947424799498246/fYixANvX_normal.jpg</v>
      </c>
      <c r="G387" s="63"/>
      <c r="H387" s="67"/>
      <c r="I387" s="68"/>
      <c r="J387" s="68"/>
      <c r="K387" s="67" t="s">
        <v>27981</v>
      </c>
      <c r="L387" s="71"/>
      <c r="M387" s="72"/>
      <c r="N387" s="72"/>
      <c r="O387" s="73"/>
      <c r="P387" s="74"/>
      <c r="Q387" s="74"/>
      <c r="R387" s="87"/>
      <c r="S387" s="87"/>
      <c r="T387" s="87"/>
      <c r="U387" s="87"/>
      <c r="V387" s="48"/>
      <c r="W387" s="48"/>
      <c r="X387" s="48"/>
      <c r="Y387" s="48"/>
      <c r="Z387" s="47"/>
      <c r="AA387" s="69">
        <v>387</v>
      </c>
      <c r="AB387" s="69"/>
      <c r="AC387" s="70"/>
      <c r="AD387" s="76" t="s">
        <v>21628</v>
      </c>
      <c r="AE387" s="81" t="s">
        <v>23261</v>
      </c>
      <c r="AF387" s="76">
        <v>95535</v>
      </c>
      <c r="AG387" s="76">
        <v>5571</v>
      </c>
      <c r="AH387" s="76">
        <v>236252</v>
      </c>
      <c r="AI387" s="76">
        <v>277</v>
      </c>
      <c r="AJ387" s="76">
        <v>5959</v>
      </c>
      <c r="AK387" s="76">
        <v>39679</v>
      </c>
      <c r="AL387" s="76" t="b">
        <v>0</v>
      </c>
      <c r="AM387" s="78">
        <v>39700.387037037035</v>
      </c>
      <c r="AN387" s="76" t="s">
        <v>24063</v>
      </c>
      <c r="AO387" s="76" t="s">
        <v>25049</v>
      </c>
      <c r="AP387" s="82" t="str">
        <f>HYPERLINK("https://t.co/FF6g6v2JCZ")</f>
        <v>https://t.co/FF6g6v2JCZ</v>
      </c>
      <c r="AQ387" s="82" t="str">
        <f>HYPERLINK("https://linktr.ee/josepeguero")</f>
        <v>https://linktr.ee/josepeguero</v>
      </c>
      <c r="AR387" s="76" t="s">
        <v>26564</v>
      </c>
      <c r="AS387" s="82" t="str">
        <f>HYPERLINK("https://t.co/jnMwt1TVBe")</f>
        <v>https://t.co/jnMwt1TVBe</v>
      </c>
      <c r="AT387" s="82" t="str">
        <f>HYPERLINK("http://ensegundos.do")</f>
        <v>http://ensegundos.do</v>
      </c>
      <c r="AU387" s="76" t="s">
        <v>27473</v>
      </c>
      <c r="AV387" s="76">
        <v>1.7064379878090601E+18</v>
      </c>
      <c r="AW387" s="82" t="str">
        <f>HYPERLINK("https://t.co/FF6g6v2JCZ")</f>
        <v>https://t.co/FF6g6v2JCZ</v>
      </c>
      <c r="AX387" s="76" t="b">
        <v>1</v>
      </c>
      <c r="AY387" s="76"/>
      <c r="AZ387" s="76"/>
      <c r="BA387" s="76" t="b">
        <v>0</v>
      </c>
      <c r="BB387" s="76" t="b">
        <v>0</v>
      </c>
      <c r="BC387" s="76" t="b">
        <v>0</v>
      </c>
      <c r="BD387" s="76" t="b">
        <v>0</v>
      </c>
      <c r="BE387" s="76" t="b">
        <v>1</v>
      </c>
      <c r="BF387" s="76" t="b">
        <v>0</v>
      </c>
      <c r="BG387" s="76" t="b">
        <v>0</v>
      </c>
      <c r="BH387" s="82" t="str">
        <f>HYPERLINK("https://pbs.twimg.com/profile_banners/16199942/1657547949")</f>
        <v>https://pbs.twimg.com/profile_banners/16199942/1657547949</v>
      </c>
      <c r="BI387" s="76"/>
      <c r="BJ387" s="76" t="s">
        <v>27595</v>
      </c>
      <c r="BK387" s="76" t="b">
        <v>0</v>
      </c>
      <c r="BL387" s="76"/>
      <c r="BM387" s="76" t="s">
        <v>65</v>
      </c>
      <c r="BN387" s="76" t="s">
        <v>27597</v>
      </c>
      <c r="BO387" s="82" t="str">
        <f>HYPERLINK("https://twitter.com/josepeguero")</f>
        <v>https://twitter.com/josepeguero</v>
      </c>
      <c r="BP387" s="2"/>
    </row>
    <row r="388" spans="1:68" x14ac:dyDescent="0.25">
      <c r="A388" s="62" t="s">
        <v>496</v>
      </c>
      <c r="B388" s="63"/>
      <c r="C388" s="63"/>
      <c r="D388" s="64"/>
      <c r="E388" s="66"/>
      <c r="F388" s="103" t="str">
        <f>HYPERLINK("https://pbs.twimg.com/profile_images/1380641387130019840/KFcgL1Rj_normal.jpg")</f>
        <v>https://pbs.twimg.com/profile_images/1380641387130019840/KFcgL1Rj_normal.jpg</v>
      </c>
      <c r="G388" s="63"/>
      <c r="H388" s="67"/>
      <c r="I388" s="68"/>
      <c r="J388" s="68"/>
      <c r="K388" s="67" t="s">
        <v>27982</v>
      </c>
      <c r="L388" s="71"/>
      <c r="M388" s="72"/>
      <c r="N388" s="72"/>
      <c r="O388" s="73"/>
      <c r="P388" s="74"/>
      <c r="Q388" s="74"/>
      <c r="R388" s="87"/>
      <c r="S388" s="87"/>
      <c r="T388" s="87"/>
      <c r="U388" s="87"/>
      <c r="V388" s="48"/>
      <c r="W388" s="48"/>
      <c r="X388" s="48"/>
      <c r="Y388" s="48"/>
      <c r="Z388" s="47"/>
      <c r="AA388" s="69">
        <v>388</v>
      </c>
      <c r="AB388" s="69"/>
      <c r="AC388" s="70"/>
      <c r="AD388" s="76" t="s">
        <v>21629</v>
      </c>
      <c r="AE388" s="81" t="s">
        <v>20629</v>
      </c>
      <c r="AF388" s="76">
        <v>445</v>
      </c>
      <c r="AG388" s="76">
        <v>410</v>
      </c>
      <c r="AH388" s="76">
        <v>4870</v>
      </c>
      <c r="AI388" s="76">
        <v>12</v>
      </c>
      <c r="AJ388" s="76">
        <v>5171</v>
      </c>
      <c r="AK388" s="76">
        <v>1081</v>
      </c>
      <c r="AL388" s="76" t="b">
        <v>0</v>
      </c>
      <c r="AM388" s="78">
        <v>43852.132800925923</v>
      </c>
      <c r="AN388" s="76" t="s">
        <v>14382</v>
      </c>
      <c r="AO388" s="76" t="s">
        <v>25050</v>
      </c>
      <c r="AP388" s="76"/>
      <c r="AQ388" s="76"/>
      <c r="AR388" s="76"/>
      <c r="AS388" s="76"/>
      <c r="AT388" s="76"/>
      <c r="AU388" s="76"/>
      <c r="AV388" s="76">
        <v>1.51675321127681E+18</v>
      </c>
      <c r="AW388" s="76"/>
      <c r="AX388" s="76" t="b">
        <v>0</v>
      </c>
      <c r="AY388" s="76"/>
      <c r="AZ388" s="76"/>
      <c r="BA388" s="76" t="b">
        <v>0</v>
      </c>
      <c r="BB388" s="76" t="b">
        <v>0</v>
      </c>
      <c r="BC388" s="76" t="b">
        <v>1</v>
      </c>
      <c r="BD388" s="76" t="b">
        <v>0</v>
      </c>
      <c r="BE388" s="76" t="b">
        <v>1</v>
      </c>
      <c r="BF388" s="76" t="b">
        <v>0</v>
      </c>
      <c r="BG388" s="76" t="b">
        <v>0</v>
      </c>
      <c r="BH388" s="82" t="str">
        <f>HYPERLINK("https://pbs.twimg.com/profile_banners/1219819742346842112/1627677835")</f>
        <v>https://pbs.twimg.com/profile_banners/1219819742346842112/1627677835</v>
      </c>
      <c r="BI388" s="76"/>
      <c r="BJ388" s="76" t="s">
        <v>27595</v>
      </c>
      <c r="BK388" s="76" t="b">
        <v>0</v>
      </c>
      <c r="BL388" s="76"/>
      <c r="BM388" s="76" t="s">
        <v>66</v>
      </c>
      <c r="BN388" s="76" t="s">
        <v>27597</v>
      </c>
      <c r="BO388" s="82" t="str">
        <f>HYPERLINK("https://twitter.com/raphael08402245")</f>
        <v>https://twitter.com/raphael08402245</v>
      </c>
      <c r="BP388" s="2"/>
    </row>
    <row r="389" spans="1:68" x14ac:dyDescent="0.25">
      <c r="A389" s="62" t="s">
        <v>1777</v>
      </c>
      <c r="B389" s="63"/>
      <c r="C389" s="63"/>
      <c r="D389" s="64"/>
      <c r="E389" s="66"/>
      <c r="F389" s="103" t="str">
        <f>HYPERLINK("https://pbs.twimg.com/profile_images/1611374196835098624/Nk1fc8gM_normal.jpg")</f>
        <v>https://pbs.twimg.com/profile_images/1611374196835098624/Nk1fc8gM_normal.jpg</v>
      </c>
      <c r="G389" s="63"/>
      <c r="H389" s="67"/>
      <c r="I389" s="68"/>
      <c r="J389" s="68"/>
      <c r="K389" s="67" t="s">
        <v>27983</v>
      </c>
      <c r="L389" s="71"/>
      <c r="M389" s="72"/>
      <c r="N389" s="72"/>
      <c r="O389" s="73"/>
      <c r="P389" s="74"/>
      <c r="Q389" s="74"/>
      <c r="R389" s="87"/>
      <c r="S389" s="87"/>
      <c r="T389" s="87"/>
      <c r="U389" s="87"/>
      <c r="V389" s="48"/>
      <c r="W389" s="48"/>
      <c r="X389" s="48"/>
      <c r="Y389" s="48"/>
      <c r="Z389" s="47"/>
      <c r="AA389" s="69">
        <v>389</v>
      </c>
      <c r="AB389" s="69"/>
      <c r="AC389" s="70"/>
      <c r="AD389" s="76" t="s">
        <v>21630</v>
      </c>
      <c r="AE389" s="81" t="s">
        <v>23262</v>
      </c>
      <c r="AF389" s="76">
        <v>1064172</v>
      </c>
      <c r="AG389" s="76">
        <v>266</v>
      </c>
      <c r="AH389" s="76">
        <v>3888</v>
      </c>
      <c r="AI389" s="76">
        <v>1378</v>
      </c>
      <c r="AJ389" s="76">
        <v>17616</v>
      </c>
      <c r="AK389" s="76">
        <v>700</v>
      </c>
      <c r="AL389" s="76" t="b">
        <v>0</v>
      </c>
      <c r="AM389" s="78">
        <v>41778.864571759259</v>
      </c>
      <c r="AN389" s="76"/>
      <c r="AO389" s="76" t="s">
        <v>25051</v>
      </c>
      <c r="AP389" s="82" t="str">
        <f>HYPERLINK("https://t.co/rwP9w5yik6")</f>
        <v>https://t.co/rwP9w5yik6</v>
      </c>
      <c r="AQ389" s="82" t="str">
        <f>HYPERLINK("http://www.simonetebet.com.br")</f>
        <v>http://www.simonetebet.com.br</v>
      </c>
      <c r="AR389" s="76" t="s">
        <v>26565</v>
      </c>
      <c r="AS389" s="76"/>
      <c r="AT389" s="76"/>
      <c r="AU389" s="76"/>
      <c r="AV389" s="76"/>
      <c r="AW389" s="82" t="str">
        <f>HYPERLINK("https://t.co/rwP9w5yik6")</f>
        <v>https://t.co/rwP9w5yik6</v>
      </c>
      <c r="AX389" s="76" t="b">
        <v>1</v>
      </c>
      <c r="AY389" s="76"/>
      <c r="AZ389" s="76"/>
      <c r="BA389" s="76" t="b">
        <v>0</v>
      </c>
      <c r="BB389" s="76" t="b">
        <v>1</v>
      </c>
      <c r="BC389" s="76" t="b">
        <v>1</v>
      </c>
      <c r="BD389" s="76" t="b">
        <v>0</v>
      </c>
      <c r="BE389" s="76" t="b">
        <v>1</v>
      </c>
      <c r="BF389" s="76" t="b">
        <v>0</v>
      </c>
      <c r="BG389" s="76" t="b">
        <v>0</v>
      </c>
      <c r="BH389" s="82" t="str">
        <f>HYPERLINK("https://pbs.twimg.com/profile_banners/2508415207/1674846843")</f>
        <v>https://pbs.twimg.com/profile_banners/2508415207/1674846843</v>
      </c>
      <c r="BI389" s="76"/>
      <c r="BJ389" s="76" t="s">
        <v>27595</v>
      </c>
      <c r="BK389" s="76" t="b">
        <v>0</v>
      </c>
      <c r="BL389" s="76"/>
      <c r="BM389" s="76" t="s">
        <v>65</v>
      </c>
      <c r="BN389" s="76" t="s">
        <v>27597</v>
      </c>
      <c r="BO389" s="82" t="str">
        <f>HYPERLINK("https://twitter.com/simonetebetbr")</f>
        <v>https://twitter.com/simonetebetbr</v>
      </c>
      <c r="BP389" s="2"/>
    </row>
    <row r="390" spans="1:68" x14ac:dyDescent="0.25">
      <c r="A390" s="62" t="s">
        <v>1778</v>
      </c>
      <c r="B390" s="63"/>
      <c r="C390" s="63"/>
      <c r="D390" s="64"/>
      <c r="E390" s="66"/>
      <c r="F390" s="103" t="str">
        <f>HYPERLINK("https://pbs.twimg.com/profile_images/1580018698961690624/BKkWfeFV_normal.jpg")</f>
        <v>https://pbs.twimg.com/profile_images/1580018698961690624/BKkWfeFV_normal.jpg</v>
      </c>
      <c r="G390" s="63"/>
      <c r="H390" s="67"/>
      <c r="I390" s="68"/>
      <c r="J390" s="68"/>
      <c r="K390" s="67" t="s">
        <v>27984</v>
      </c>
      <c r="L390" s="71"/>
      <c r="M390" s="72"/>
      <c r="N390" s="72"/>
      <c r="O390" s="73"/>
      <c r="P390" s="74"/>
      <c r="Q390" s="74"/>
      <c r="R390" s="87"/>
      <c r="S390" s="87"/>
      <c r="T390" s="87"/>
      <c r="U390" s="87"/>
      <c r="V390" s="48"/>
      <c r="W390" s="48"/>
      <c r="X390" s="48"/>
      <c r="Y390" s="48"/>
      <c r="Z390" s="47"/>
      <c r="AA390" s="69">
        <v>390</v>
      </c>
      <c r="AB390" s="69"/>
      <c r="AC390" s="70"/>
      <c r="AD390" s="76" t="s">
        <v>21631</v>
      </c>
      <c r="AE390" s="81" t="s">
        <v>20328</v>
      </c>
      <c r="AF390" s="76">
        <v>2857952</v>
      </c>
      <c r="AG390" s="76">
        <v>679</v>
      </c>
      <c r="AH390" s="76">
        <v>7797</v>
      </c>
      <c r="AI390" s="76">
        <v>3163</v>
      </c>
      <c r="AJ390" s="76">
        <v>6628</v>
      </c>
      <c r="AK390" s="76">
        <v>1257</v>
      </c>
      <c r="AL390" s="76" t="b">
        <v>0</v>
      </c>
      <c r="AM390" s="78">
        <v>40768.16065972222</v>
      </c>
      <c r="AN390" s="76" t="s">
        <v>14479</v>
      </c>
      <c r="AO390" s="76" t="s">
        <v>25052</v>
      </c>
      <c r="AP390" s="76"/>
      <c r="AQ390" s="76"/>
      <c r="AR390" s="76"/>
      <c r="AS390" s="76"/>
      <c r="AT390" s="76"/>
      <c r="AU390" s="76"/>
      <c r="AV390" s="76"/>
      <c r="AW390" s="76"/>
      <c r="AX390" s="76" t="b">
        <v>1</v>
      </c>
      <c r="AY390" s="76"/>
      <c r="AZ390" s="76"/>
      <c r="BA390" s="76" t="b">
        <v>0</v>
      </c>
      <c r="BB390" s="76" t="b">
        <v>1</v>
      </c>
      <c r="BC390" s="76" t="b">
        <v>0</v>
      </c>
      <c r="BD390" s="76" t="b">
        <v>0</v>
      </c>
      <c r="BE390" s="76" t="b">
        <v>1</v>
      </c>
      <c r="BF390" s="76" t="b">
        <v>0</v>
      </c>
      <c r="BG390" s="76" t="b">
        <v>0</v>
      </c>
      <c r="BH390" s="82" t="str">
        <f>HYPERLINK("https://pbs.twimg.com/profile_banners/354095556/1670597787")</f>
        <v>https://pbs.twimg.com/profile_banners/354095556/1670597787</v>
      </c>
      <c r="BI390" s="76"/>
      <c r="BJ390" s="76" t="s">
        <v>27595</v>
      </c>
      <c r="BK390" s="76" t="b">
        <v>0</v>
      </c>
      <c r="BL390" s="76"/>
      <c r="BM390" s="76" t="s">
        <v>65</v>
      </c>
      <c r="BN390" s="76" t="s">
        <v>27597</v>
      </c>
      <c r="BO390" s="82" t="str">
        <f>HYPERLINK("https://twitter.com/haddad_fernando")</f>
        <v>https://twitter.com/haddad_fernando</v>
      </c>
      <c r="BP390" s="2"/>
    </row>
    <row r="391" spans="1:68" x14ac:dyDescent="0.25">
      <c r="A391" s="62" t="s">
        <v>497</v>
      </c>
      <c r="B391" s="63"/>
      <c r="C391" s="63"/>
      <c r="D391" s="64"/>
      <c r="E391" s="66"/>
      <c r="F391" s="103" t="str">
        <f>HYPERLINK("https://pbs.twimg.com/profile_images/1323767298386178050/rFfemO6i_normal.jpg")</f>
        <v>https://pbs.twimg.com/profile_images/1323767298386178050/rFfemO6i_normal.jpg</v>
      </c>
      <c r="G391" s="63"/>
      <c r="H391" s="67"/>
      <c r="I391" s="68"/>
      <c r="J391" s="68"/>
      <c r="K391" s="67" t="s">
        <v>27985</v>
      </c>
      <c r="L391" s="71"/>
      <c r="M391" s="72"/>
      <c r="N391" s="72"/>
      <c r="O391" s="73"/>
      <c r="P391" s="74"/>
      <c r="Q391" s="74"/>
      <c r="R391" s="87"/>
      <c r="S391" s="87"/>
      <c r="T391" s="87"/>
      <c r="U391" s="87"/>
      <c r="V391" s="48"/>
      <c r="W391" s="48"/>
      <c r="X391" s="48"/>
      <c r="Y391" s="48"/>
      <c r="Z391" s="47"/>
      <c r="AA391" s="69">
        <v>391</v>
      </c>
      <c r="AB391" s="69"/>
      <c r="AC391" s="70"/>
      <c r="AD391" s="76" t="s">
        <v>21632</v>
      </c>
      <c r="AE391" s="81" t="s">
        <v>23263</v>
      </c>
      <c r="AF391" s="76">
        <v>1350</v>
      </c>
      <c r="AG391" s="76">
        <v>108</v>
      </c>
      <c r="AH391" s="76">
        <v>55799</v>
      </c>
      <c r="AI391" s="76">
        <v>45</v>
      </c>
      <c r="AJ391" s="76">
        <v>70</v>
      </c>
      <c r="AK391" s="76">
        <v>1347</v>
      </c>
      <c r="AL391" s="76" t="b">
        <v>0</v>
      </c>
      <c r="AM391" s="78">
        <v>40014.742372685185</v>
      </c>
      <c r="AN391" s="76" t="s">
        <v>14402</v>
      </c>
      <c r="AO391" s="76" t="s">
        <v>25053</v>
      </c>
      <c r="AP391" s="82" t="str">
        <f>HYPERLINK("https://t.co/acV6c6VkbP")</f>
        <v>https://t.co/acV6c6VkbP</v>
      </c>
      <c r="AQ391" s="82" t="str">
        <f>HYPERLINK("https://www.jornale.com.br/")</f>
        <v>https://www.jornale.com.br/</v>
      </c>
      <c r="AR391" s="76" t="s">
        <v>26566</v>
      </c>
      <c r="AS391" s="76"/>
      <c r="AT391" s="76"/>
      <c r="AU391" s="76"/>
      <c r="AV391" s="76"/>
      <c r="AW391" s="82" t="str">
        <f>HYPERLINK("https://t.co/acV6c6VkbP")</f>
        <v>https://t.co/acV6c6VkbP</v>
      </c>
      <c r="AX391" s="76" t="b">
        <v>0</v>
      </c>
      <c r="AY391" s="76"/>
      <c r="AZ391" s="76"/>
      <c r="BA391" s="76" t="b">
        <v>0</v>
      </c>
      <c r="BB391" s="76" t="b">
        <v>1</v>
      </c>
      <c r="BC391" s="76" t="b">
        <v>0</v>
      </c>
      <c r="BD391" s="76" t="b">
        <v>0</v>
      </c>
      <c r="BE391" s="76" t="b">
        <v>1</v>
      </c>
      <c r="BF391" s="76" t="b">
        <v>0</v>
      </c>
      <c r="BG391" s="76" t="b">
        <v>0</v>
      </c>
      <c r="BH391" s="82" t="str">
        <f>HYPERLINK("https://pbs.twimg.com/profile_banners/58538112/1604445694")</f>
        <v>https://pbs.twimg.com/profile_banners/58538112/1604445694</v>
      </c>
      <c r="BI391" s="76"/>
      <c r="BJ391" s="76" t="s">
        <v>27595</v>
      </c>
      <c r="BK391" s="76" t="b">
        <v>0</v>
      </c>
      <c r="BL391" s="76"/>
      <c r="BM391" s="76" t="s">
        <v>66</v>
      </c>
      <c r="BN391" s="76" t="s">
        <v>27597</v>
      </c>
      <c r="BO391" s="82" t="str">
        <f>HYPERLINK("https://twitter.com/jornale_")</f>
        <v>https://twitter.com/jornale_</v>
      </c>
      <c r="BP391" s="2"/>
    </row>
    <row r="392" spans="1:68" x14ac:dyDescent="0.25">
      <c r="A392" s="62" t="s">
        <v>498</v>
      </c>
      <c r="B392" s="63"/>
      <c r="C392" s="63"/>
      <c r="D392" s="64"/>
      <c r="E392" s="66"/>
      <c r="F392" s="103" t="str">
        <f>HYPERLINK("https://pbs.twimg.com/profile_images/1621259762053545984/3Kzoss3a_normal.jpg")</f>
        <v>https://pbs.twimg.com/profile_images/1621259762053545984/3Kzoss3a_normal.jpg</v>
      </c>
      <c r="G392" s="63"/>
      <c r="H392" s="67"/>
      <c r="I392" s="68"/>
      <c r="J392" s="68"/>
      <c r="K392" s="67" t="s">
        <v>27986</v>
      </c>
      <c r="L392" s="71"/>
      <c r="M392" s="72"/>
      <c r="N392" s="72"/>
      <c r="O392" s="73"/>
      <c r="P392" s="74"/>
      <c r="Q392" s="74"/>
      <c r="R392" s="87"/>
      <c r="S392" s="87"/>
      <c r="T392" s="87"/>
      <c r="U392" s="87"/>
      <c r="V392" s="48"/>
      <c r="W392" s="48"/>
      <c r="X392" s="48"/>
      <c r="Y392" s="48"/>
      <c r="Z392" s="47"/>
      <c r="AA392" s="69">
        <v>392</v>
      </c>
      <c r="AB392" s="69"/>
      <c r="AC392" s="70"/>
      <c r="AD392" s="76" t="s">
        <v>21633</v>
      </c>
      <c r="AE392" s="81" t="s">
        <v>23264</v>
      </c>
      <c r="AF392" s="76">
        <v>309934</v>
      </c>
      <c r="AG392" s="76">
        <v>120</v>
      </c>
      <c r="AH392" s="76">
        <v>117734</v>
      </c>
      <c r="AI392" s="76">
        <v>440</v>
      </c>
      <c r="AJ392" s="76">
        <v>676</v>
      </c>
      <c r="AK392" s="76">
        <v>50917</v>
      </c>
      <c r="AL392" s="76" t="b">
        <v>0</v>
      </c>
      <c r="AM392" s="78">
        <v>39964.957233796296</v>
      </c>
      <c r="AN392" s="76" t="s">
        <v>14512</v>
      </c>
      <c r="AO392" s="76" t="s">
        <v>25054</v>
      </c>
      <c r="AP392" s="82" t="str">
        <f>HYPERLINK("https://t.co/uh7aBbOgMJ")</f>
        <v>https://t.co/uh7aBbOgMJ</v>
      </c>
      <c r="AQ392" s="82" t="str">
        <f>HYPERLINK("http://www.radiojornal.com.br")</f>
        <v>http://www.radiojornal.com.br</v>
      </c>
      <c r="AR392" s="76" t="s">
        <v>26567</v>
      </c>
      <c r="AS392" s="76"/>
      <c r="AT392" s="76"/>
      <c r="AU392" s="76"/>
      <c r="AV392" s="76"/>
      <c r="AW392" s="82" t="str">
        <f>HYPERLINK("https://t.co/uh7aBbOgMJ")</f>
        <v>https://t.co/uh7aBbOgMJ</v>
      </c>
      <c r="AX392" s="76" t="b">
        <v>0</v>
      </c>
      <c r="AY392" s="76"/>
      <c r="AZ392" s="76"/>
      <c r="BA392" s="76" t="b">
        <v>1</v>
      </c>
      <c r="BB392" s="76" t="b">
        <v>1</v>
      </c>
      <c r="BC392" s="76" t="b">
        <v>0</v>
      </c>
      <c r="BD392" s="76" t="b">
        <v>0</v>
      </c>
      <c r="BE392" s="76" t="b">
        <v>1</v>
      </c>
      <c r="BF392" s="76" t="b">
        <v>0</v>
      </c>
      <c r="BG392" s="76" t="b">
        <v>0</v>
      </c>
      <c r="BH392" s="82" t="str">
        <f>HYPERLINK("https://pbs.twimg.com/profile_banners/43774330/1465323655")</f>
        <v>https://pbs.twimg.com/profile_banners/43774330/1465323655</v>
      </c>
      <c r="BI392" s="76"/>
      <c r="BJ392" s="76" t="s">
        <v>27595</v>
      </c>
      <c r="BK392" s="76" t="b">
        <v>0</v>
      </c>
      <c r="BL392" s="76"/>
      <c r="BM392" s="76" t="s">
        <v>66</v>
      </c>
      <c r="BN392" s="76" t="s">
        <v>27597</v>
      </c>
      <c r="BO392" s="82" t="str">
        <f>HYPERLINK("https://twitter.com/radiojornalpe")</f>
        <v>https://twitter.com/radiojornalpe</v>
      </c>
      <c r="BP392" s="2"/>
    </row>
    <row r="393" spans="1:68" x14ac:dyDescent="0.25">
      <c r="A393" s="62" t="s">
        <v>499</v>
      </c>
      <c r="B393" s="63"/>
      <c r="C393" s="63"/>
      <c r="D393" s="64"/>
      <c r="E393" s="66"/>
      <c r="F393" s="103" t="str">
        <f>HYPERLINK("https://pbs.twimg.com/profile_images/1699394689411977216/aXoxZY4n_normal.jpg")</f>
        <v>https://pbs.twimg.com/profile_images/1699394689411977216/aXoxZY4n_normal.jpg</v>
      </c>
      <c r="G393" s="63"/>
      <c r="H393" s="67"/>
      <c r="I393" s="68"/>
      <c r="J393" s="68"/>
      <c r="K393" s="67" t="s">
        <v>27987</v>
      </c>
      <c r="L393" s="71"/>
      <c r="M393" s="72"/>
      <c r="N393" s="72"/>
      <c r="O393" s="73"/>
      <c r="P393" s="74"/>
      <c r="Q393" s="74"/>
      <c r="R393" s="87"/>
      <c r="S393" s="87"/>
      <c r="T393" s="87"/>
      <c r="U393" s="87"/>
      <c r="V393" s="48"/>
      <c r="W393" s="48"/>
      <c r="X393" s="48"/>
      <c r="Y393" s="48"/>
      <c r="Z393" s="47"/>
      <c r="AA393" s="69">
        <v>393</v>
      </c>
      <c r="AB393" s="69"/>
      <c r="AC393" s="70"/>
      <c r="AD393" s="76" t="s">
        <v>21634</v>
      </c>
      <c r="AE393" s="81" t="s">
        <v>23265</v>
      </c>
      <c r="AF393" s="76">
        <v>35</v>
      </c>
      <c r="AG393" s="76">
        <v>98</v>
      </c>
      <c r="AH393" s="76">
        <v>42028</v>
      </c>
      <c r="AI393" s="76">
        <v>0</v>
      </c>
      <c r="AJ393" s="76">
        <v>16670</v>
      </c>
      <c r="AK393" s="76">
        <v>360</v>
      </c>
      <c r="AL393" s="76" t="b">
        <v>0</v>
      </c>
      <c r="AM393" s="78">
        <v>40966.644375000003</v>
      </c>
      <c r="AN393" s="76" t="s">
        <v>14400</v>
      </c>
      <c r="AO393" s="76" t="s">
        <v>25055</v>
      </c>
      <c r="AP393" s="82" t="str">
        <f>HYPERLINK("https://t.co/2WOnq8n4T1")</f>
        <v>https://t.co/2WOnq8n4T1</v>
      </c>
      <c r="AQ393" s="82" t="str">
        <f>HYPERLINK("https://www.linkedin.com/in/roberto-dardis/")</f>
        <v>https://www.linkedin.com/in/roberto-dardis/</v>
      </c>
      <c r="AR393" s="76" t="s">
        <v>26568</v>
      </c>
      <c r="AS393" s="76"/>
      <c r="AT393" s="76"/>
      <c r="AU393" s="76"/>
      <c r="AV393" s="76">
        <v>1.7073847958843E+18</v>
      </c>
      <c r="AW393" s="82" t="str">
        <f>HYPERLINK("https://t.co/2WOnq8n4T1")</f>
        <v>https://t.co/2WOnq8n4T1</v>
      </c>
      <c r="AX393" s="76" t="b">
        <v>0</v>
      </c>
      <c r="AY393" s="76"/>
      <c r="AZ393" s="76"/>
      <c r="BA393" s="76" t="b">
        <v>1</v>
      </c>
      <c r="BB393" s="76" t="b">
        <v>1</v>
      </c>
      <c r="BC393" s="76" t="b">
        <v>1</v>
      </c>
      <c r="BD393" s="76" t="b">
        <v>0</v>
      </c>
      <c r="BE393" s="76" t="b">
        <v>1</v>
      </c>
      <c r="BF393" s="76" t="b">
        <v>0</v>
      </c>
      <c r="BG393" s="76" t="b">
        <v>0</v>
      </c>
      <c r="BH393" s="82" t="str">
        <f>HYPERLINK("https://pbs.twimg.com/profile_banners/505991842/1690917241")</f>
        <v>https://pbs.twimg.com/profile_banners/505991842/1690917241</v>
      </c>
      <c r="BI393" s="76"/>
      <c r="BJ393" s="76" t="s">
        <v>27595</v>
      </c>
      <c r="BK393" s="76" t="b">
        <v>0</v>
      </c>
      <c r="BL393" s="76"/>
      <c r="BM393" s="76" t="s">
        <v>66</v>
      </c>
      <c r="BN393" s="76" t="s">
        <v>27597</v>
      </c>
      <c r="BO393" s="82" t="str">
        <f>HYPERLINK("https://twitter.com/rkcdardis")</f>
        <v>https://twitter.com/rkcdardis</v>
      </c>
      <c r="BP393" s="2"/>
    </row>
    <row r="394" spans="1:68" x14ac:dyDescent="0.25">
      <c r="A394" s="62" t="s">
        <v>500</v>
      </c>
      <c r="B394" s="63"/>
      <c r="C394" s="63"/>
      <c r="D394" s="64"/>
      <c r="E394" s="66"/>
      <c r="F394" s="103" t="str">
        <f>HYPERLINK("https://pbs.twimg.com/profile_images/1463947605642289157/SczbUqGN_normal.jpg")</f>
        <v>https://pbs.twimg.com/profile_images/1463947605642289157/SczbUqGN_normal.jpg</v>
      </c>
      <c r="G394" s="63"/>
      <c r="H394" s="67"/>
      <c r="I394" s="68"/>
      <c r="J394" s="68"/>
      <c r="K394" s="67" t="s">
        <v>27988</v>
      </c>
      <c r="L394" s="71"/>
      <c r="M394" s="72"/>
      <c r="N394" s="72"/>
      <c r="O394" s="73"/>
      <c r="P394" s="74"/>
      <c r="Q394" s="74"/>
      <c r="R394" s="87"/>
      <c r="S394" s="87"/>
      <c r="T394" s="87"/>
      <c r="U394" s="87"/>
      <c r="V394" s="48"/>
      <c r="W394" s="48"/>
      <c r="X394" s="48"/>
      <c r="Y394" s="48"/>
      <c r="Z394" s="47"/>
      <c r="AA394" s="69">
        <v>394</v>
      </c>
      <c r="AB394" s="69"/>
      <c r="AC394" s="70"/>
      <c r="AD394" s="76" t="s">
        <v>21635</v>
      </c>
      <c r="AE394" s="81" t="s">
        <v>23266</v>
      </c>
      <c r="AF394" s="76">
        <v>387</v>
      </c>
      <c r="AG394" s="76">
        <v>839</v>
      </c>
      <c r="AH394" s="76">
        <v>23922</v>
      </c>
      <c r="AI394" s="76">
        <v>2</v>
      </c>
      <c r="AJ394" s="76">
        <v>26023</v>
      </c>
      <c r="AK394" s="76">
        <v>1497</v>
      </c>
      <c r="AL394" s="76" t="b">
        <v>0</v>
      </c>
      <c r="AM394" s="78">
        <v>40715.133738425924</v>
      </c>
      <c r="AN394" s="76" t="s">
        <v>24219</v>
      </c>
      <c r="AO394" s="76" t="s">
        <v>25056</v>
      </c>
      <c r="AP394" s="76"/>
      <c r="AQ394" s="76"/>
      <c r="AR394" s="76"/>
      <c r="AS394" s="76"/>
      <c r="AT394" s="76"/>
      <c r="AU394" s="76"/>
      <c r="AV394" s="76"/>
      <c r="AW394" s="76"/>
      <c r="AX394" s="76" t="b">
        <v>0</v>
      </c>
      <c r="AY394" s="76"/>
      <c r="AZ394" s="76"/>
      <c r="BA394" s="76" t="b">
        <v>1</v>
      </c>
      <c r="BB394" s="76" t="b">
        <v>1</v>
      </c>
      <c r="BC394" s="76" t="b">
        <v>0</v>
      </c>
      <c r="BD394" s="76" t="b">
        <v>0</v>
      </c>
      <c r="BE394" s="76" t="b">
        <v>1</v>
      </c>
      <c r="BF394" s="76" t="b">
        <v>0</v>
      </c>
      <c r="BG394" s="76" t="b">
        <v>0</v>
      </c>
      <c r="BH394" s="82" t="str">
        <f>HYPERLINK("https://pbs.twimg.com/profile_banners/321150024/1447996399")</f>
        <v>https://pbs.twimg.com/profile_banners/321150024/1447996399</v>
      </c>
      <c r="BI394" s="76"/>
      <c r="BJ394" s="76" t="s">
        <v>27595</v>
      </c>
      <c r="BK394" s="76" t="b">
        <v>0</v>
      </c>
      <c r="BL394" s="76"/>
      <c r="BM394" s="76" t="s">
        <v>66</v>
      </c>
      <c r="BN394" s="76" t="s">
        <v>27597</v>
      </c>
      <c r="BO394" s="82" t="str">
        <f>HYPERLINK("https://twitter.com/fenrir09750071")</f>
        <v>https://twitter.com/fenrir09750071</v>
      </c>
      <c r="BP394" s="2"/>
    </row>
    <row r="395" spans="1:68" x14ac:dyDescent="0.25">
      <c r="A395" s="62" t="s">
        <v>501</v>
      </c>
      <c r="B395" s="63"/>
      <c r="C395" s="63"/>
      <c r="D395" s="64"/>
      <c r="E395" s="66"/>
      <c r="F395" s="103" t="str">
        <f>HYPERLINK("https://pbs.twimg.com/profile_images/1300821246947528706/uXBJXQgK_normal.jpg")</f>
        <v>https://pbs.twimg.com/profile_images/1300821246947528706/uXBJXQgK_normal.jpg</v>
      </c>
      <c r="G395" s="63"/>
      <c r="H395" s="67"/>
      <c r="I395" s="68"/>
      <c r="J395" s="68"/>
      <c r="K395" s="67" t="s">
        <v>27989</v>
      </c>
      <c r="L395" s="71"/>
      <c r="M395" s="72"/>
      <c r="N395" s="72"/>
      <c r="O395" s="73"/>
      <c r="P395" s="74"/>
      <c r="Q395" s="74"/>
      <c r="R395" s="87"/>
      <c r="S395" s="87"/>
      <c r="T395" s="87"/>
      <c r="U395" s="87"/>
      <c r="V395" s="48"/>
      <c r="W395" s="48"/>
      <c r="X395" s="48"/>
      <c r="Y395" s="48"/>
      <c r="Z395" s="47"/>
      <c r="AA395" s="69">
        <v>395</v>
      </c>
      <c r="AB395" s="69"/>
      <c r="AC395" s="70"/>
      <c r="AD395" s="76" t="s">
        <v>21636</v>
      </c>
      <c r="AE395" s="81" t="s">
        <v>20630</v>
      </c>
      <c r="AF395" s="76">
        <v>99</v>
      </c>
      <c r="AG395" s="76">
        <v>15</v>
      </c>
      <c r="AH395" s="76">
        <v>1294</v>
      </c>
      <c r="AI395" s="76">
        <v>0</v>
      </c>
      <c r="AJ395" s="76">
        <v>194</v>
      </c>
      <c r="AK395" s="76">
        <v>732</v>
      </c>
      <c r="AL395" s="76" t="b">
        <v>0</v>
      </c>
      <c r="AM395" s="78">
        <v>42814.548576388886</v>
      </c>
      <c r="AN395" s="76" t="s">
        <v>14416</v>
      </c>
      <c r="AO395" s="76" t="s">
        <v>25057</v>
      </c>
      <c r="AP395" s="82" t="str">
        <f>HYPERLINK("https://t.co/y3yOL2Ve2R")</f>
        <v>https://t.co/y3yOL2Ve2R</v>
      </c>
      <c r="AQ395" s="82" t="str">
        <f>HYPERLINK("https://www.maisnews.com.br")</f>
        <v>https://www.maisnews.com.br</v>
      </c>
      <c r="AR395" s="76" t="s">
        <v>26569</v>
      </c>
      <c r="AS395" s="76"/>
      <c r="AT395" s="76"/>
      <c r="AU395" s="76"/>
      <c r="AV395" s="76"/>
      <c r="AW395" s="82" t="str">
        <f>HYPERLINK("https://t.co/y3yOL2Ve2R")</f>
        <v>https://t.co/y3yOL2Ve2R</v>
      </c>
      <c r="AX395" s="76" t="b">
        <v>0</v>
      </c>
      <c r="AY395" s="76"/>
      <c r="AZ395" s="76"/>
      <c r="BA395" s="76" t="b">
        <v>0</v>
      </c>
      <c r="BB395" s="76" t="b">
        <v>1</v>
      </c>
      <c r="BC395" s="76" t="b">
        <v>0</v>
      </c>
      <c r="BD395" s="76" t="b">
        <v>0</v>
      </c>
      <c r="BE395" s="76" t="b">
        <v>0</v>
      </c>
      <c r="BF395" s="76" t="b">
        <v>0</v>
      </c>
      <c r="BG395" s="76" t="b">
        <v>0</v>
      </c>
      <c r="BH395" s="82" t="str">
        <f>HYPERLINK("https://pbs.twimg.com/profile_banners/843811850643013632/1598974929")</f>
        <v>https://pbs.twimg.com/profile_banners/843811850643013632/1598974929</v>
      </c>
      <c r="BI395" s="76"/>
      <c r="BJ395" s="76" t="s">
        <v>27595</v>
      </c>
      <c r="BK395" s="76" t="b">
        <v>0</v>
      </c>
      <c r="BL395" s="76"/>
      <c r="BM395" s="76" t="s">
        <v>66</v>
      </c>
      <c r="BN395" s="76" t="s">
        <v>27597</v>
      </c>
      <c r="BO395" s="82" t="str">
        <f>HYPERLINK("https://twitter.com/maisnewsoficial")</f>
        <v>https://twitter.com/maisnewsoficial</v>
      </c>
      <c r="BP395" s="2"/>
    </row>
    <row r="396" spans="1:68" x14ac:dyDescent="0.25">
      <c r="A396" s="62" t="s">
        <v>502</v>
      </c>
      <c r="B396" s="63"/>
      <c r="C396" s="63"/>
      <c r="D396" s="64"/>
      <c r="E396" s="66"/>
      <c r="F396" s="103" t="str">
        <f>HYPERLINK("https://pbs.twimg.com/profile_images/1652089890237042688/3_LRRCjG_normal.jpg")</f>
        <v>https://pbs.twimg.com/profile_images/1652089890237042688/3_LRRCjG_normal.jpg</v>
      </c>
      <c r="G396" s="63"/>
      <c r="H396" s="67"/>
      <c r="I396" s="68"/>
      <c r="J396" s="68"/>
      <c r="K396" s="67" t="s">
        <v>27990</v>
      </c>
      <c r="L396" s="71"/>
      <c r="M396" s="72"/>
      <c r="N396" s="72"/>
      <c r="O396" s="73"/>
      <c r="P396" s="74"/>
      <c r="Q396" s="74"/>
      <c r="R396" s="87"/>
      <c r="S396" s="87"/>
      <c r="T396" s="87"/>
      <c r="U396" s="87"/>
      <c r="V396" s="48"/>
      <c r="W396" s="48"/>
      <c r="X396" s="48"/>
      <c r="Y396" s="48"/>
      <c r="Z396" s="47"/>
      <c r="AA396" s="69">
        <v>396</v>
      </c>
      <c r="AB396" s="69"/>
      <c r="AC396" s="70"/>
      <c r="AD396" s="76" t="s">
        <v>21637</v>
      </c>
      <c r="AE396" s="81" t="s">
        <v>20631</v>
      </c>
      <c r="AF396" s="76">
        <v>178</v>
      </c>
      <c r="AG396" s="76">
        <v>2</v>
      </c>
      <c r="AH396" s="76">
        <v>2809</v>
      </c>
      <c r="AI396" s="76">
        <v>0</v>
      </c>
      <c r="AJ396" s="76">
        <v>0</v>
      </c>
      <c r="AK396" s="76">
        <v>168</v>
      </c>
      <c r="AL396" s="76" t="b">
        <v>0</v>
      </c>
      <c r="AM396" s="78">
        <v>45044.96980324074</v>
      </c>
      <c r="AN396" s="76"/>
      <c r="AO396" s="76" t="s">
        <v>25058</v>
      </c>
      <c r="AP396" s="82" t="str">
        <f>HYPERLINK("https://t.co/K7rqZtJSGs")</f>
        <v>https://t.co/K7rqZtJSGs</v>
      </c>
      <c r="AQ396" s="82" t="str">
        <f>HYPERLINK("https://viuu.com.br")</f>
        <v>https://viuu.com.br</v>
      </c>
      <c r="AR396" s="76" t="s">
        <v>26570</v>
      </c>
      <c r="AS396" s="76"/>
      <c r="AT396" s="76"/>
      <c r="AU396" s="76"/>
      <c r="AV396" s="76">
        <v>1.6661386195583601E+18</v>
      </c>
      <c r="AW396" s="82" t="str">
        <f>HYPERLINK("https://t.co/K7rqZtJSGs")</f>
        <v>https://t.co/K7rqZtJSGs</v>
      </c>
      <c r="AX396" s="76" t="b">
        <v>1</v>
      </c>
      <c r="AY396" s="76"/>
      <c r="AZ396" s="76"/>
      <c r="BA396" s="76" t="b">
        <v>0</v>
      </c>
      <c r="BB396" s="76" t="b">
        <v>1</v>
      </c>
      <c r="BC396" s="76" t="b">
        <v>1</v>
      </c>
      <c r="BD396" s="76" t="b">
        <v>0</v>
      </c>
      <c r="BE396" s="76" t="b">
        <v>0</v>
      </c>
      <c r="BF396" s="76" t="b">
        <v>0</v>
      </c>
      <c r="BG396" s="76" t="b">
        <v>0</v>
      </c>
      <c r="BH396" s="82" t="str">
        <f>HYPERLINK("https://pbs.twimg.com/profile_banners/1652089388044517377/1685370671")</f>
        <v>https://pbs.twimg.com/profile_banners/1652089388044517377/1685370671</v>
      </c>
      <c r="BI396" s="76"/>
      <c r="BJ396" s="76" t="s">
        <v>27595</v>
      </c>
      <c r="BK396" s="76" t="b">
        <v>0</v>
      </c>
      <c r="BL396" s="76"/>
      <c r="BM396" s="76" t="s">
        <v>66</v>
      </c>
      <c r="BN396" s="76" t="s">
        <v>27597</v>
      </c>
      <c r="BO396" s="82" t="str">
        <f>HYPERLINK("https://twitter.com/viuuoficial")</f>
        <v>https://twitter.com/viuuoficial</v>
      </c>
      <c r="BP396" s="2"/>
    </row>
    <row r="397" spans="1:68" x14ac:dyDescent="0.25">
      <c r="A397" s="62" t="s">
        <v>503</v>
      </c>
      <c r="B397" s="63"/>
      <c r="C397" s="63"/>
      <c r="D397" s="64"/>
      <c r="E397" s="66"/>
      <c r="F397" s="103" t="str">
        <f>HYPERLINK("https://pbs.twimg.com/profile_images/1660714314804633600/2zXCKTw2_normal.jpg")</f>
        <v>https://pbs.twimg.com/profile_images/1660714314804633600/2zXCKTw2_normal.jpg</v>
      </c>
      <c r="G397" s="63"/>
      <c r="H397" s="67"/>
      <c r="I397" s="68"/>
      <c r="J397" s="68"/>
      <c r="K397" s="67" t="s">
        <v>27991</v>
      </c>
      <c r="L397" s="71"/>
      <c r="M397" s="72"/>
      <c r="N397" s="72"/>
      <c r="O397" s="73"/>
      <c r="P397" s="74"/>
      <c r="Q397" s="74"/>
      <c r="R397" s="87"/>
      <c r="S397" s="87"/>
      <c r="T397" s="87"/>
      <c r="U397" s="87"/>
      <c r="V397" s="48"/>
      <c r="W397" s="48"/>
      <c r="X397" s="48"/>
      <c r="Y397" s="48"/>
      <c r="Z397" s="47"/>
      <c r="AA397" s="69">
        <v>397</v>
      </c>
      <c r="AB397" s="69"/>
      <c r="AC397" s="70"/>
      <c r="AD397" s="76" t="s">
        <v>21638</v>
      </c>
      <c r="AE397" s="81" t="s">
        <v>23267</v>
      </c>
      <c r="AF397" s="76">
        <v>6610</v>
      </c>
      <c r="AG397" s="76">
        <v>1585</v>
      </c>
      <c r="AH397" s="76">
        <v>8422</v>
      </c>
      <c r="AI397" s="76">
        <v>10</v>
      </c>
      <c r="AJ397" s="76">
        <v>44019</v>
      </c>
      <c r="AK397" s="76">
        <v>1003</v>
      </c>
      <c r="AL397" s="76" t="b">
        <v>0</v>
      </c>
      <c r="AM397" s="78">
        <v>40855.845949074072</v>
      </c>
      <c r="AN397" s="76" t="s">
        <v>14381</v>
      </c>
      <c r="AO397" s="76" t="s">
        <v>25059</v>
      </c>
      <c r="AP397" s="82" t="str">
        <f>HYPERLINK("https://t.co/SWWemQuQCQ")</f>
        <v>https://t.co/SWWemQuQCQ</v>
      </c>
      <c r="AQ397" s="82" t="str">
        <f>HYPERLINK("https://defensordelpueblo.do")</f>
        <v>https://defensordelpueblo.do</v>
      </c>
      <c r="AR397" s="76" t="s">
        <v>26571</v>
      </c>
      <c r="AS397" s="76"/>
      <c r="AT397" s="76"/>
      <c r="AU397" s="76"/>
      <c r="AV397" s="76"/>
      <c r="AW397" s="82" t="str">
        <f>HYPERLINK("https://t.co/SWWemQuQCQ")</f>
        <v>https://t.co/SWWemQuQCQ</v>
      </c>
      <c r="AX397" s="76" t="b">
        <v>0</v>
      </c>
      <c r="AY397" s="76"/>
      <c r="AZ397" s="76"/>
      <c r="BA397" s="76" t="b">
        <v>0</v>
      </c>
      <c r="BB397" s="76" t="b">
        <v>0</v>
      </c>
      <c r="BC397" s="76" t="b">
        <v>1</v>
      </c>
      <c r="BD397" s="76" t="b">
        <v>0</v>
      </c>
      <c r="BE397" s="76" t="b">
        <v>0</v>
      </c>
      <c r="BF397" s="76" t="b">
        <v>0</v>
      </c>
      <c r="BG397" s="76" t="b">
        <v>0</v>
      </c>
      <c r="BH397" s="82" t="str">
        <f>HYPERLINK("https://pbs.twimg.com/profile_banners/407974351/1677673023")</f>
        <v>https://pbs.twimg.com/profile_banners/407974351/1677673023</v>
      </c>
      <c r="BI397" s="76"/>
      <c r="BJ397" s="76" t="s">
        <v>27595</v>
      </c>
      <c r="BK397" s="76" t="b">
        <v>0</v>
      </c>
      <c r="BL397" s="76"/>
      <c r="BM397" s="76" t="s">
        <v>66</v>
      </c>
      <c r="BN397" s="76" t="s">
        <v>27597</v>
      </c>
      <c r="BO397" s="82" t="str">
        <f>HYPERLINK("https://twitter.com/peulloa")</f>
        <v>https://twitter.com/peulloa</v>
      </c>
      <c r="BP397" s="2"/>
    </row>
    <row r="398" spans="1:68" x14ac:dyDescent="0.25">
      <c r="A398" s="62" t="s">
        <v>1779</v>
      </c>
      <c r="B398" s="63"/>
      <c r="C398" s="63"/>
      <c r="D398" s="64"/>
      <c r="E398" s="66"/>
      <c r="F398" s="103" t="str">
        <f>HYPERLINK("https://pbs.twimg.com/profile_images/1449078674553180161/0abxpQoU_normal.jpg")</f>
        <v>https://pbs.twimg.com/profile_images/1449078674553180161/0abxpQoU_normal.jpg</v>
      </c>
      <c r="G398" s="63"/>
      <c r="H398" s="67"/>
      <c r="I398" s="68"/>
      <c r="J398" s="68"/>
      <c r="K398" s="67" t="s">
        <v>27992</v>
      </c>
      <c r="L398" s="71"/>
      <c r="M398" s="72"/>
      <c r="N398" s="72"/>
      <c r="O398" s="73"/>
      <c r="P398" s="74"/>
      <c r="Q398" s="74"/>
      <c r="R398" s="87"/>
      <c r="S398" s="87"/>
      <c r="T398" s="87"/>
      <c r="U398" s="87"/>
      <c r="V398" s="48"/>
      <c r="W398" s="48"/>
      <c r="X398" s="48"/>
      <c r="Y398" s="48"/>
      <c r="Z398" s="47"/>
      <c r="AA398" s="69">
        <v>398</v>
      </c>
      <c r="AB398" s="69"/>
      <c r="AC398" s="70"/>
      <c r="AD398" s="76" t="s">
        <v>21639</v>
      </c>
      <c r="AE398" s="81" t="s">
        <v>23268</v>
      </c>
      <c r="AF398" s="76">
        <v>3633</v>
      </c>
      <c r="AG398" s="76">
        <v>238</v>
      </c>
      <c r="AH398" s="76">
        <v>7604</v>
      </c>
      <c r="AI398" s="76">
        <v>18</v>
      </c>
      <c r="AJ398" s="76">
        <v>658</v>
      </c>
      <c r="AK398" s="76">
        <v>5306</v>
      </c>
      <c r="AL398" s="76" t="b">
        <v>0</v>
      </c>
      <c r="AM398" s="78">
        <v>41872.653541666667</v>
      </c>
      <c r="AN398" s="76" t="s">
        <v>24220</v>
      </c>
      <c r="AO398" s="76" t="s">
        <v>25060</v>
      </c>
      <c r="AP398" s="82" t="str">
        <f>HYPERLINK("https://t.co/gsDG26iNIS")</f>
        <v>https://t.co/gsDG26iNIS</v>
      </c>
      <c r="AQ398" s="82" t="str">
        <f>HYPERLINK("http://defensordelpueblo.gob.do/")</f>
        <v>http://defensordelpueblo.gob.do/</v>
      </c>
      <c r="AR398" s="76" t="s">
        <v>26572</v>
      </c>
      <c r="AS398" s="76"/>
      <c r="AT398" s="76"/>
      <c r="AU398" s="76"/>
      <c r="AV398" s="76"/>
      <c r="AW398" s="82" t="str">
        <f>HYPERLINK("https://t.co/gsDG26iNIS")</f>
        <v>https://t.co/gsDG26iNIS</v>
      </c>
      <c r="AX398" s="76" t="b">
        <v>0</v>
      </c>
      <c r="AY398" s="76"/>
      <c r="AZ398" s="76"/>
      <c r="BA398" s="76" t="b">
        <v>1</v>
      </c>
      <c r="BB398" s="76" t="b">
        <v>0</v>
      </c>
      <c r="BC398" s="76" t="b">
        <v>1</v>
      </c>
      <c r="BD398" s="76" t="b">
        <v>0</v>
      </c>
      <c r="BE398" s="76" t="b">
        <v>1</v>
      </c>
      <c r="BF398" s="76" t="b">
        <v>0</v>
      </c>
      <c r="BG398" s="76" t="b">
        <v>1</v>
      </c>
      <c r="BH398" s="82" t="str">
        <f>HYPERLINK("https://pbs.twimg.com/profile_banners/2752388762/1636047589")</f>
        <v>https://pbs.twimg.com/profile_banners/2752388762/1636047589</v>
      </c>
      <c r="BI398" s="76"/>
      <c r="BJ398" s="76" t="s">
        <v>27595</v>
      </c>
      <c r="BK398" s="76" t="b">
        <v>0</v>
      </c>
      <c r="BL398" s="76"/>
      <c r="BM398" s="76" t="s">
        <v>65</v>
      </c>
      <c r="BN398" s="76" t="s">
        <v>27597</v>
      </c>
      <c r="BO398" s="82" t="str">
        <f>HYPERLINK("https://twitter.com/defensorrd")</f>
        <v>https://twitter.com/defensorrd</v>
      </c>
      <c r="BP398" s="2"/>
    </row>
    <row r="399" spans="1:68" x14ac:dyDescent="0.25">
      <c r="A399" s="62" t="s">
        <v>504</v>
      </c>
      <c r="B399" s="63"/>
      <c r="C399" s="63"/>
      <c r="D399" s="64"/>
      <c r="E399" s="66"/>
      <c r="F399" s="103" t="str">
        <f>HYPERLINK("https://pbs.twimg.com/profile_images/1692569055096356864/xFtfoBg3_normal.jpg")</f>
        <v>https://pbs.twimg.com/profile_images/1692569055096356864/xFtfoBg3_normal.jpg</v>
      </c>
      <c r="G399" s="63"/>
      <c r="H399" s="67"/>
      <c r="I399" s="68"/>
      <c r="J399" s="68"/>
      <c r="K399" s="67" t="s">
        <v>27993</v>
      </c>
      <c r="L399" s="71"/>
      <c r="M399" s="72"/>
      <c r="N399" s="72"/>
      <c r="O399" s="73"/>
      <c r="P399" s="74"/>
      <c r="Q399" s="74"/>
      <c r="R399" s="87"/>
      <c r="S399" s="87"/>
      <c r="T399" s="87"/>
      <c r="U399" s="87"/>
      <c r="V399" s="48"/>
      <c r="W399" s="48"/>
      <c r="X399" s="48"/>
      <c r="Y399" s="48"/>
      <c r="Z399" s="47"/>
      <c r="AA399" s="69">
        <v>399</v>
      </c>
      <c r="AB399" s="69"/>
      <c r="AC399" s="70"/>
      <c r="AD399" s="76" t="s">
        <v>21640</v>
      </c>
      <c r="AE399" s="81" t="s">
        <v>20632</v>
      </c>
      <c r="AF399" s="76">
        <v>8</v>
      </c>
      <c r="AG399" s="76">
        <v>69</v>
      </c>
      <c r="AH399" s="76">
        <v>271</v>
      </c>
      <c r="AI399" s="76">
        <v>0</v>
      </c>
      <c r="AJ399" s="76">
        <v>17</v>
      </c>
      <c r="AK399" s="76">
        <v>266</v>
      </c>
      <c r="AL399" s="76" t="b">
        <v>0</v>
      </c>
      <c r="AM399" s="78">
        <v>44959.980300925927</v>
      </c>
      <c r="AN399" s="76" t="s">
        <v>24221</v>
      </c>
      <c r="AO399" s="76" t="s">
        <v>25061</v>
      </c>
      <c r="AP399" s="82" t="str">
        <f>HYPERLINK("https://t.co/EImVW4jsWX")</f>
        <v>https://t.co/EImVW4jsWX</v>
      </c>
      <c r="AQ399" s="82" t="str">
        <f>HYPERLINK("http://elcirculotv.com")</f>
        <v>http://elcirculotv.com</v>
      </c>
      <c r="AR399" s="76" t="s">
        <v>8684</v>
      </c>
      <c r="AS399" s="76"/>
      <c r="AT399" s="76"/>
      <c r="AU399" s="76"/>
      <c r="AV399" s="76"/>
      <c r="AW399" s="82" t="str">
        <f>HYPERLINK("https://t.co/EImVW4jsWX")</f>
        <v>https://t.co/EImVW4jsWX</v>
      </c>
      <c r="AX399" s="76" t="b">
        <v>0</v>
      </c>
      <c r="AY399" s="76"/>
      <c r="AZ399" s="76"/>
      <c r="BA399" s="76" t="b">
        <v>0</v>
      </c>
      <c r="BB399" s="76" t="b">
        <v>1</v>
      </c>
      <c r="BC399" s="76" t="b">
        <v>1</v>
      </c>
      <c r="BD399" s="76" t="b">
        <v>0</v>
      </c>
      <c r="BE399" s="76" t="b">
        <v>0</v>
      </c>
      <c r="BF399" s="76" t="b">
        <v>0</v>
      </c>
      <c r="BG399" s="76" t="b">
        <v>0</v>
      </c>
      <c r="BH399" s="82" t="str">
        <f>HYPERLINK("https://pbs.twimg.com/profile_banners/1621289799280640001/1691507597")</f>
        <v>https://pbs.twimg.com/profile_banners/1621289799280640001/1691507597</v>
      </c>
      <c r="BI399" s="76"/>
      <c r="BJ399" s="76" t="s">
        <v>27595</v>
      </c>
      <c r="BK399" s="76" t="b">
        <v>0</v>
      </c>
      <c r="BL399" s="76"/>
      <c r="BM399" s="76" t="s">
        <v>66</v>
      </c>
      <c r="BN399" s="76" t="s">
        <v>27597</v>
      </c>
      <c r="BO399" s="82" t="str">
        <f>HYPERLINK("https://twitter.com/elcirculotv_")</f>
        <v>https://twitter.com/elcirculotv_</v>
      </c>
      <c r="BP399" s="2"/>
    </row>
    <row r="400" spans="1:68" x14ac:dyDescent="0.25">
      <c r="A400" s="62" t="s">
        <v>505</v>
      </c>
      <c r="B400" s="63"/>
      <c r="C400" s="63"/>
      <c r="D400" s="64"/>
      <c r="E400" s="66"/>
      <c r="F400" s="103" t="str">
        <f>HYPERLINK("https://pbs.twimg.com/profile_images/1333751179814330368/Dez-jO7O_normal.jpg")</f>
        <v>https://pbs.twimg.com/profile_images/1333751179814330368/Dez-jO7O_normal.jpg</v>
      </c>
      <c r="G400" s="63"/>
      <c r="H400" s="67"/>
      <c r="I400" s="68"/>
      <c r="J400" s="68"/>
      <c r="K400" s="67" t="s">
        <v>27994</v>
      </c>
      <c r="L400" s="71"/>
      <c r="M400" s="72"/>
      <c r="N400" s="72"/>
      <c r="O400" s="73"/>
      <c r="P400" s="74"/>
      <c r="Q400" s="74"/>
      <c r="R400" s="87"/>
      <c r="S400" s="87"/>
      <c r="T400" s="87"/>
      <c r="U400" s="87"/>
      <c r="V400" s="48"/>
      <c r="W400" s="48"/>
      <c r="X400" s="48"/>
      <c r="Y400" s="48"/>
      <c r="Z400" s="47"/>
      <c r="AA400" s="69">
        <v>400</v>
      </c>
      <c r="AB400" s="69"/>
      <c r="AC400" s="70"/>
      <c r="AD400" s="76" t="s">
        <v>21641</v>
      </c>
      <c r="AE400" s="81" t="s">
        <v>20633</v>
      </c>
      <c r="AF400" s="76">
        <v>130</v>
      </c>
      <c r="AG400" s="76">
        <v>60</v>
      </c>
      <c r="AH400" s="76">
        <v>2637</v>
      </c>
      <c r="AI400" s="76">
        <v>1</v>
      </c>
      <c r="AJ400" s="76">
        <v>72</v>
      </c>
      <c r="AK400" s="76">
        <v>2578</v>
      </c>
      <c r="AL400" s="76" t="b">
        <v>0</v>
      </c>
      <c r="AM400" s="78">
        <v>43860.753148148149</v>
      </c>
      <c r="AN400" s="76"/>
      <c r="AO400" s="76" t="s">
        <v>25062</v>
      </c>
      <c r="AP400" s="82" t="str">
        <f>HYPERLINK("https://t.co/kcekXRs3Gd")</f>
        <v>https://t.co/kcekXRs3Gd</v>
      </c>
      <c r="AQ400" s="82" t="str">
        <f>HYPERLINK("http://www.forumservicopublicoceara.org.br")</f>
        <v>http://www.forumservicopublicoceara.org.br</v>
      </c>
      <c r="AR400" s="76" t="s">
        <v>26573</v>
      </c>
      <c r="AS400" s="76"/>
      <c r="AT400" s="76"/>
      <c r="AU400" s="76"/>
      <c r="AV400" s="76"/>
      <c r="AW400" s="82" t="str">
        <f>HYPERLINK("https://t.co/kcekXRs3Gd")</f>
        <v>https://t.co/kcekXRs3Gd</v>
      </c>
      <c r="AX400" s="76" t="b">
        <v>0</v>
      </c>
      <c r="AY400" s="76"/>
      <c r="AZ400" s="76"/>
      <c r="BA400" s="76" t="b">
        <v>0</v>
      </c>
      <c r="BB400" s="76" t="b">
        <v>1</v>
      </c>
      <c r="BC400" s="76" t="b">
        <v>1</v>
      </c>
      <c r="BD400" s="76" t="b">
        <v>0</v>
      </c>
      <c r="BE400" s="76" t="b">
        <v>0</v>
      </c>
      <c r="BF400" s="76" t="b">
        <v>0</v>
      </c>
      <c r="BG400" s="76" t="b">
        <v>0</v>
      </c>
      <c r="BH400" s="82" t="str">
        <f>HYPERLINK("https://pbs.twimg.com/profile_banners/1222943466423975936/1606826037")</f>
        <v>https://pbs.twimg.com/profile_banners/1222943466423975936/1606826037</v>
      </c>
      <c r="BI400" s="76"/>
      <c r="BJ400" s="76" t="s">
        <v>27595</v>
      </c>
      <c r="BK400" s="76" t="b">
        <v>0</v>
      </c>
      <c r="BL400" s="76"/>
      <c r="BM400" s="76" t="s">
        <v>66</v>
      </c>
      <c r="BN400" s="76" t="s">
        <v>27597</v>
      </c>
      <c r="BO400" s="82" t="str">
        <f>HYPERLINK("https://twitter.com/forumdefesa")</f>
        <v>https://twitter.com/forumdefesa</v>
      </c>
      <c r="BP400" s="2"/>
    </row>
    <row r="401" spans="1:68" x14ac:dyDescent="0.25">
      <c r="A401" s="62" t="s">
        <v>506</v>
      </c>
      <c r="B401" s="63"/>
      <c r="C401" s="63"/>
      <c r="D401" s="64"/>
      <c r="E401" s="66"/>
      <c r="F401" s="103" t="str">
        <f>HYPERLINK("https://pbs.twimg.com/profile_images/1168319560119984129/q_puPvkw_normal.jpg")</f>
        <v>https://pbs.twimg.com/profile_images/1168319560119984129/q_puPvkw_normal.jpg</v>
      </c>
      <c r="G401" s="63"/>
      <c r="H401" s="67"/>
      <c r="I401" s="68"/>
      <c r="J401" s="68"/>
      <c r="K401" s="67" t="s">
        <v>27995</v>
      </c>
      <c r="L401" s="71"/>
      <c r="M401" s="72"/>
      <c r="N401" s="72"/>
      <c r="O401" s="73"/>
      <c r="P401" s="74"/>
      <c r="Q401" s="74"/>
      <c r="R401" s="87"/>
      <c r="S401" s="87"/>
      <c r="T401" s="87"/>
      <c r="U401" s="87"/>
      <c r="V401" s="48"/>
      <c r="W401" s="48"/>
      <c r="X401" s="48"/>
      <c r="Y401" s="48"/>
      <c r="Z401" s="47"/>
      <c r="AA401" s="69">
        <v>401</v>
      </c>
      <c r="AB401" s="69"/>
      <c r="AC401" s="70"/>
      <c r="AD401" s="76" t="s">
        <v>21642</v>
      </c>
      <c r="AE401" s="81" t="s">
        <v>20634</v>
      </c>
      <c r="AF401" s="76">
        <v>395</v>
      </c>
      <c r="AG401" s="76">
        <v>791</v>
      </c>
      <c r="AH401" s="76">
        <v>4566</v>
      </c>
      <c r="AI401" s="76">
        <v>1</v>
      </c>
      <c r="AJ401" s="76">
        <v>247</v>
      </c>
      <c r="AK401" s="76">
        <v>1735</v>
      </c>
      <c r="AL401" s="76" t="b">
        <v>0</v>
      </c>
      <c r="AM401" s="78">
        <v>43555.765405092592</v>
      </c>
      <c r="AN401" s="76" t="s">
        <v>14435</v>
      </c>
      <c r="AO401" s="76" t="s">
        <v>25063</v>
      </c>
      <c r="AP401" s="82" t="str">
        <f>HYPERLINK("https://t.co/K0NPDSp7nb")</f>
        <v>https://t.co/K0NPDSp7nb</v>
      </c>
      <c r="AQ401" s="82" t="str">
        <f>HYPERLINK("https://linktr.ee/revistatrinchera")</f>
        <v>https://linktr.ee/revistatrinchera</v>
      </c>
      <c r="AR401" s="76" t="s">
        <v>26574</v>
      </c>
      <c r="AS401" s="76"/>
      <c r="AT401" s="76"/>
      <c r="AU401" s="76"/>
      <c r="AV401" s="76"/>
      <c r="AW401" s="82" t="str">
        <f>HYPERLINK("https://t.co/K0NPDSp7nb")</f>
        <v>https://t.co/K0NPDSp7nb</v>
      </c>
      <c r="AX401" s="76" t="b">
        <v>0</v>
      </c>
      <c r="AY401" s="76"/>
      <c r="AZ401" s="76"/>
      <c r="BA401" s="76" t="b">
        <v>0</v>
      </c>
      <c r="BB401" s="76" t="b">
        <v>1</v>
      </c>
      <c r="BC401" s="76" t="b">
        <v>0</v>
      </c>
      <c r="BD401" s="76" t="b">
        <v>0</v>
      </c>
      <c r="BE401" s="76" t="b">
        <v>0</v>
      </c>
      <c r="BF401" s="76" t="b">
        <v>0</v>
      </c>
      <c r="BG401" s="76" t="b">
        <v>0</v>
      </c>
      <c r="BH401" s="82" t="str">
        <f>HYPERLINK("https://pbs.twimg.com/profile_banners/1112419838222323712/1567384066")</f>
        <v>https://pbs.twimg.com/profile_banners/1112419838222323712/1567384066</v>
      </c>
      <c r="BI401" s="76"/>
      <c r="BJ401" s="76" t="s">
        <v>27595</v>
      </c>
      <c r="BK401" s="76" t="b">
        <v>0</v>
      </c>
      <c r="BL401" s="76"/>
      <c r="BM401" s="76" t="s">
        <v>66</v>
      </c>
      <c r="BN401" s="76" t="s">
        <v>27597</v>
      </c>
      <c r="BO401" s="82" t="str">
        <f>HYPERLINK("https://twitter.com/revtrinchera")</f>
        <v>https://twitter.com/revtrinchera</v>
      </c>
      <c r="BP401" s="2"/>
    </row>
    <row r="402" spans="1:68" x14ac:dyDescent="0.25">
      <c r="A402" s="62" t="s">
        <v>507</v>
      </c>
      <c r="B402" s="63"/>
      <c r="C402" s="63"/>
      <c r="D402" s="64"/>
      <c r="E402" s="66"/>
      <c r="F402" s="103" t="str">
        <f>HYPERLINK("https://pbs.twimg.com/profile_images/1373348274288099328/X9OehZDj_normal.jpg")</f>
        <v>https://pbs.twimg.com/profile_images/1373348274288099328/X9OehZDj_normal.jpg</v>
      </c>
      <c r="G402" s="63"/>
      <c r="H402" s="67"/>
      <c r="I402" s="68"/>
      <c r="J402" s="68"/>
      <c r="K402" s="67" t="s">
        <v>27996</v>
      </c>
      <c r="L402" s="71"/>
      <c r="M402" s="72"/>
      <c r="N402" s="72"/>
      <c r="O402" s="73"/>
      <c r="P402" s="74"/>
      <c r="Q402" s="74"/>
      <c r="R402" s="87"/>
      <c r="S402" s="87"/>
      <c r="T402" s="87"/>
      <c r="U402" s="87"/>
      <c r="V402" s="48"/>
      <c r="W402" s="48"/>
      <c r="X402" s="48"/>
      <c r="Y402" s="48"/>
      <c r="Z402" s="47"/>
      <c r="AA402" s="69">
        <v>402</v>
      </c>
      <c r="AB402" s="69"/>
      <c r="AC402" s="70"/>
      <c r="AD402" s="76" t="s">
        <v>21643</v>
      </c>
      <c r="AE402" s="81" t="s">
        <v>20635</v>
      </c>
      <c r="AF402" s="76">
        <v>179</v>
      </c>
      <c r="AG402" s="76">
        <v>137</v>
      </c>
      <c r="AH402" s="76">
        <v>17429</v>
      </c>
      <c r="AI402" s="76">
        <v>4</v>
      </c>
      <c r="AJ402" s="76">
        <v>16</v>
      </c>
      <c r="AK402" s="76">
        <v>245</v>
      </c>
      <c r="AL402" s="76" t="b">
        <v>0</v>
      </c>
      <c r="AM402" s="78">
        <v>44259.75640046296</v>
      </c>
      <c r="AN402" s="76" t="s">
        <v>14382</v>
      </c>
      <c r="AO402" s="76" t="s">
        <v>25064</v>
      </c>
      <c r="AP402" s="82" t="str">
        <f>HYPERLINK("https://t.co/QXlH6gxih5")</f>
        <v>https://t.co/QXlH6gxih5</v>
      </c>
      <c r="AQ402" s="82" t="str">
        <f>HYPERLINK("https://brasil.perfil.com/")</f>
        <v>https://brasil.perfil.com/</v>
      </c>
      <c r="AR402" s="76" t="s">
        <v>26575</v>
      </c>
      <c r="AS402" s="76"/>
      <c r="AT402" s="76"/>
      <c r="AU402" s="76"/>
      <c r="AV402" s="76"/>
      <c r="AW402" s="82" t="str">
        <f>HYPERLINK("https://t.co/QXlH6gxih5")</f>
        <v>https://t.co/QXlH6gxih5</v>
      </c>
      <c r="AX402" s="76" t="b">
        <v>0</v>
      </c>
      <c r="AY402" s="76"/>
      <c r="AZ402" s="76"/>
      <c r="BA402" s="76" t="b">
        <v>0</v>
      </c>
      <c r="BB402" s="76" t="b">
        <v>1</v>
      </c>
      <c r="BC402" s="76" t="b">
        <v>1</v>
      </c>
      <c r="BD402" s="76" t="b">
        <v>0</v>
      </c>
      <c r="BE402" s="76" t="b">
        <v>1</v>
      </c>
      <c r="BF402" s="76" t="b">
        <v>0</v>
      </c>
      <c r="BG402" s="76" t="b">
        <v>0</v>
      </c>
      <c r="BH402" s="82" t="str">
        <f>HYPERLINK("https://pbs.twimg.com/profile_banners/1367537445529657353/1615406722")</f>
        <v>https://pbs.twimg.com/profile_banners/1367537445529657353/1615406722</v>
      </c>
      <c r="BI402" s="76"/>
      <c r="BJ402" s="76" t="s">
        <v>27595</v>
      </c>
      <c r="BK402" s="76" t="b">
        <v>0</v>
      </c>
      <c r="BL402" s="76"/>
      <c r="BM402" s="76" t="s">
        <v>66</v>
      </c>
      <c r="BN402" s="76" t="s">
        <v>27597</v>
      </c>
      <c r="BO402" s="82" t="str">
        <f>HYPERLINK("https://twitter.com/perfilcombrasil")</f>
        <v>https://twitter.com/perfilcombrasil</v>
      </c>
      <c r="BP402" s="2"/>
    </row>
    <row r="403" spans="1:68" x14ac:dyDescent="0.25">
      <c r="A403" s="62" t="s">
        <v>508</v>
      </c>
      <c r="B403" s="63"/>
      <c r="C403" s="63"/>
      <c r="D403" s="64"/>
      <c r="E403" s="66"/>
      <c r="F403" s="103" t="str">
        <f>HYPERLINK("https://pbs.twimg.com/profile_images/857251391374544898/G_fc0PBO_normal.jpg")</f>
        <v>https://pbs.twimg.com/profile_images/857251391374544898/G_fc0PBO_normal.jpg</v>
      </c>
      <c r="G403" s="63"/>
      <c r="H403" s="67"/>
      <c r="I403" s="68"/>
      <c r="J403" s="68"/>
      <c r="K403" s="67" t="s">
        <v>27997</v>
      </c>
      <c r="L403" s="71"/>
      <c r="M403" s="72"/>
      <c r="N403" s="72"/>
      <c r="O403" s="73"/>
      <c r="P403" s="74"/>
      <c r="Q403" s="74"/>
      <c r="R403" s="87"/>
      <c r="S403" s="87"/>
      <c r="T403" s="87"/>
      <c r="U403" s="87"/>
      <c r="V403" s="48"/>
      <c r="W403" s="48"/>
      <c r="X403" s="48"/>
      <c r="Y403" s="48"/>
      <c r="Z403" s="47"/>
      <c r="AA403" s="69">
        <v>403</v>
      </c>
      <c r="AB403" s="69"/>
      <c r="AC403" s="70"/>
      <c r="AD403" s="76" t="s">
        <v>21644</v>
      </c>
      <c r="AE403" s="81" t="s">
        <v>23269</v>
      </c>
      <c r="AF403" s="76">
        <v>2242</v>
      </c>
      <c r="AG403" s="76">
        <v>1601</v>
      </c>
      <c r="AH403" s="76">
        <v>113535</v>
      </c>
      <c r="AI403" s="76">
        <v>18</v>
      </c>
      <c r="AJ403" s="76">
        <v>2918</v>
      </c>
      <c r="AK403" s="76">
        <v>62717</v>
      </c>
      <c r="AL403" s="76" t="b">
        <v>0</v>
      </c>
      <c r="AM403" s="78">
        <v>41070.646851851852</v>
      </c>
      <c r="AN403" s="76" t="s">
        <v>24128</v>
      </c>
      <c r="AO403" s="76" t="s">
        <v>25065</v>
      </c>
      <c r="AP403" s="82" t="str">
        <f>HYPERLINK("https://t.co/ID7wnAP0Ir")</f>
        <v>https://t.co/ID7wnAP0Ir</v>
      </c>
      <c r="AQ403" s="82" t="str">
        <f>HYPERLINK("http://bairesparatodos.com.ar")</f>
        <v>http://bairesparatodos.com.ar</v>
      </c>
      <c r="AR403" s="76" t="s">
        <v>26576</v>
      </c>
      <c r="AS403" s="82" t="str">
        <f>HYPERLINK("https://t.co/iB32bftFYj")</f>
        <v>https://t.co/iB32bftFYj</v>
      </c>
      <c r="AT403" s="82" t="str">
        <f>HYPERLINK("http://facebook.com/baires.paratod")</f>
        <v>http://facebook.com/baires.paratod</v>
      </c>
      <c r="AU403" s="76" t="s">
        <v>27474</v>
      </c>
      <c r="AV403" s="76"/>
      <c r="AW403" s="82" t="str">
        <f>HYPERLINK("https://t.co/ID7wnAP0Ir")</f>
        <v>https://t.co/ID7wnAP0Ir</v>
      </c>
      <c r="AX403" s="76" t="b">
        <v>0</v>
      </c>
      <c r="AY403" s="76"/>
      <c r="AZ403" s="76"/>
      <c r="BA403" s="76" t="b">
        <v>0</v>
      </c>
      <c r="BB403" s="76" t="b">
        <v>1</v>
      </c>
      <c r="BC403" s="76" t="b">
        <v>0</v>
      </c>
      <c r="BD403" s="76" t="b">
        <v>0</v>
      </c>
      <c r="BE403" s="76" t="b">
        <v>1</v>
      </c>
      <c r="BF403" s="76" t="b">
        <v>0</v>
      </c>
      <c r="BG403" s="76" t="b">
        <v>0</v>
      </c>
      <c r="BH403" s="82" t="str">
        <f>HYPERLINK("https://pbs.twimg.com/profile_banners/604685700/1493287075")</f>
        <v>https://pbs.twimg.com/profile_banners/604685700/1493287075</v>
      </c>
      <c r="BI403" s="76"/>
      <c r="BJ403" s="76" t="s">
        <v>27595</v>
      </c>
      <c r="BK403" s="76" t="b">
        <v>0</v>
      </c>
      <c r="BL403" s="76"/>
      <c r="BM403" s="76" t="s">
        <v>66</v>
      </c>
      <c r="BN403" s="76" t="s">
        <v>27597</v>
      </c>
      <c r="BO403" s="82" t="str">
        <f>HYPERLINK("https://twitter.com/bairesparatodos")</f>
        <v>https://twitter.com/bairesparatodos</v>
      </c>
      <c r="BP403" s="2"/>
    </row>
    <row r="404" spans="1:68" x14ac:dyDescent="0.25">
      <c r="A404" s="62" t="s">
        <v>509</v>
      </c>
      <c r="B404" s="63"/>
      <c r="C404" s="63"/>
      <c r="D404" s="64"/>
      <c r="E404" s="66"/>
      <c r="F404" s="103" t="str">
        <f>HYPERLINK("https://pbs.twimg.com/profile_images/1686834655801024512/sVEKXAB3_normal.jpg")</f>
        <v>https://pbs.twimg.com/profile_images/1686834655801024512/sVEKXAB3_normal.jpg</v>
      </c>
      <c r="G404" s="63"/>
      <c r="H404" s="67"/>
      <c r="I404" s="68"/>
      <c r="J404" s="68"/>
      <c r="K404" s="67" t="s">
        <v>27998</v>
      </c>
      <c r="L404" s="71"/>
      <c r="M404" s="72"/>
      <c r="N404" s="72"/>
      <c r="O404" s="73"/>
      <c r="P404" s="74"/>
      <c r="Q404" s="74"/>
      <c r="R404" s="87"/>
      <c r="S404" s="87"/>
      <c r="T404" s="87"/>
      <c r="U404" s="87"/>
      <c r="V404" s="48"/>
      <c r="W404" s="48"/>
      <c r="X404" s="48"/>
      <c r="Y404" s="48"/>
      <c r="Z404" s="47"/>
      <c r="AA404" s="69">
        <v>404</v>
      </c>
      <c r="AB404" s="69"/>
      <c r="AC404" s="70"/>
      <c r="AD404" s="76" t="s">
        <v>21645</v>
      </c>
      <c r="AE404" s="81" t="s">
        <v>23270</v>
      </c>
      <c r="AF404" s="76">
        <v>1390</v>
      </c>
      <c r="AG404" s="76">
        <v>698</v>
      </c>
      <c r="AH404" s="76">
        <v>83173</v>
      </c>
      <c r="AI404" s="76">
        <v>6</v>
      </c>
      <c r="AJ404" s="76">
        <v>198</v>
      </c>
      <c r="AK404" s="76">
        <v>155</v>
      </c>
      <c r="AL404" s="76" t="b">
        <v>0</v>
      </c>
      <c r="AM404" s="78">
        <v>41030.754837962966</v>
      </c>
      <c r="AN404" s="76" t="s">
        <v>24222</v>
      </c>
      <c r="AO404" s="76" t="s">
        <v>25066</v>
      </c>
      <c r="AP404" s="82" t="str">
        <f>HYPERLINK("https://t.co/lrtTeHT5T6")</f>
        <v>https://t.co/lrtTeHT5T6</v>
      </c>
      <c r="AQ404" s="82" t="str">
        <f>HYPERLINK("https://blogdojuares.com.br")</f>
        <v>https://blogdojuares.com.br</v>
      </c>
      <c r="AR404" s="76" t="s">
        <v>26577</v>
      </c>
      <c r="AS404" s="76"/>
      <c r="AT404" s="76"/>
      <c r="AU404" s="76"/>
      <c r="AV404" s="76"/>
      <c r="AW404" s="82" t="str">
        <f>HYPERLINK("https://t.co/lrtTeHT5T6")</f>
        <v>https://t.co/lrtTeHT5T6</v>
      </c>
      <c r="AX404" s="76" t="b">
        <v>0</v>
      </c>
      <c r="AY404" s="76"/>
      <c r="AZ404" s="76"/>
      <c r="BA404" s="76" t="b">
        <v>0</v>
      </c>
      <c r="BB404" s="76" t="b">
        <v>1</v>
      </c>
      <c r="BC404" s="76" t="b">
        <v>0</v>
      </c>
      <c r="BD404" s="76" t="b">
        <v>0</v>
      </c>
      <c r="BE404" s="76" t="b">
        <v>0</v>
      </c>
      <c r="BF404" s="76" t="b">
        <v>0</v>
      </c>
      <c r="BG404" s="76" t="b">
        <v>0</v>
      </c>
      <c r="BH404" s="82" t="str">
        <f>HYPERLINK("https://pbs.twimg.com/profile_banners/568494327/1634061488")</f>
        <v>https://pbs.twimg.com/profile_banners/568494327/1634061488</v>
      </c>
      <c r="BI404" s="76"/>
      <c r="BJ404" s="76" t="s">
        <v>27595</v>
      </c>
      <c r="BK404" s="76" t="b">
        <v>0</v>
      </c>
      <c r="BL404" s="76"/>
      <c r="BM404" s="76" t="s">
        <v>66</v>
      </c>
      <c r="BN404" s="76" t="s">
        <v>27597</v>
      </c>
      <c r="BO404" s="82" t="str">
        <f>HYPERLINK("https://twitter.com/blogdojuares")</f>
        <v>https://twitter.com/blogdojuares</v>
      </c>
      <c r="BP404" s="2"/>
    </row>
    <row r="405" spans="1:68" x14ac:dyDescent="0.25">
      <c r="A405" s="62" t="s">
        <v>510</v>
      </c>
      <c r="B405" s="63"/>
      <c r="C405" s="63"/>
      <c r="D405" s="64"/>
      <c r="E405" s="66"/>
      <c r="F405" s="103" t="str">
        <f>HYPERLINK("https://pbs.twimg.com/profile_images/1546459673259393027/ygnGbDsQ_normal.jpg")</f>
        <v>https://pbs.twimg.com/profile_images/1546459673259393027/ygnGbDsQ_normal.jpg</v>
      </c>
      <c r="G405" s="63"/>
      <c r="H405" s="67"/>
      <c r="I405" s="68"/>
      <c r="J405" s="68"/>
      <c r="K405" s="67" t="s">
        <v>27999</v>
      </c>
      <c r="L405" s="71"/>
      <c r="M405" s="72"/>
      <c r="N405" s="72"/>
      <c r="O405" s="73"/>
      <c r="P405" s="74"/>
      <c r="Q405" s="74"/>
      <c r="R405" s="87"/>
      <c r="S405" s="87"/>
      <c r="T405" s="87"/>
      <c r="U405" s="87"/>
      <c r="V405" s="48"/>
      <c r="W405" s="48"/>
      <c r="X405" s="48"/>
      <c r="Y405" s="48"/>
      <c r="Z405" s="47"/>
      <c r="AA405" s="69">
        <v>405</v>
      </c>
      <c r="AB405" s="69"/>
      <c r="AC405" s="70"/>
      <c r="AD405" s="76" t="s">
        <v>21646</v>
      </c>
      <c r="AE405" s="81" t="s">
        <v>20636</v>
      </c>
      <c r="AF405" s="76">
        <v>3151</v>
      </c>
      <c r="AG405" s="76">
        <v>2332</v>
      </c>
      <c r="AH405" s="76">
        <v>52350</v>
      </c>
      <c r="AI405" s="76">
        <v>19</v>
      </c>
      <c r="AJ405" s="76">
        <v>623</v>
      </c>
      <c r="AK405" s="76">
        <v>6557</v>
      </c>
      <c r="AL405" s="76" t="b">
        <v>0</v>
      </c>
      <c r="AM405" s="78">
        <v>42460.168611111112</v>
      </c>
      <c r="AN405" s="76"/>
      <c r="AO405" s="76" t="s">
        <v>25067</v>
      </c>
      <c r="AP405" s="82" t="str">
        <f>HYPERLINK("https://t.co/WCsuoWNDlQ")</f>
        <v>https://t.co/WCsuoWNDlQ</v>
      </c>
      <c r="AQ405" s="82" t="str">
        <f>HYPERLINK("https://diputadosbsas.com.ar/")</f>
        <v>https://diputadosbsas.com.ar/</v>
      </c>
      <c r="AR405" s="76" t="s">
        <v>26578</v>
      </c>
      <c r="AS405" s="76"/>
      <c r="AT405" s="76"/>
      <c r="AU405" s="76"/>
      <c r="AV405" s="76">
        <v>1.70747189435661E+18</v>
      </c>
      <c r="AW405" s="82" t="str">
        <f>HYPERLINK("https://t.co/WCsuoWNDlQ")</f>
        <v>https://t.co/WCsuoWNDlQ</v>
      </c>
      <c r="AX405" s="76" t="b">
        <v>0</v>
      </c>
      <c r="AY405" s="76"/>
      <c r="AZ405" s="76"/>
      <c r="BA405" s="76" t="b">
        <v>0</v>
      </c>
      <c r="BB405" s="76" t="b">
        <v>1</v>
      </c>
      <c r="BC405" s="76" t="b">
        <v>1</v>
      </c>
      <c r="BD405" s="76" t="b">
        <v>0</v>
      </c>
      <c r="BE405" s="76" t="b">
        <v>1</v>
      </c>
      <c r="BF405" s="76" t="b">
        <v>0</v>
      </c>
      <c r="BG405" s="76" t="b">
        <v>0</v>
      </c>
      <c r="BH405" s="82" t="str">
        <f>HYPERLINK("https://pbs.twimg.com/profile_banners/715388852832051200/1474340920")</f>
        <v>https://pbs.twimg.com/profile_banners/715388852832051200/1474340920</v>
      </c>
      <c r="BI405" s="76"/>
      <c r="BJ405" s="76" t="s">
        <v>27595</v>
      </c>
      <c r="BK405" s="76" t="b">
        <v>0</v>
      </c>
      <c r="BL405" s="76"/>
      <c r="BM405" s="76" t="s">
        <v>66</v>
      </c>
      <c r="BN405" s="76" t="s">
        <v>27597</v>
      </c>
      <c r="BO405" s="82" t="str">
        <f>HYPERLINK("https://twitter.com/dipbonaerenses")</f>
        <v>https://twitter.com/dipbonaerenses</v>
      </c>
      <c r="BP405" s="2"/>
    </row>
    <row r="406" spans="1:68" x14ac:dyDescent="0.25">
      <c r="A406" s="62" t="s">
        <v>511</v>
      </c>
      <c r="B406" s="63"/>
      <c r="C406" s="63"/>
      <c r="D406" s="64"/>
      <c r="E406" s="66"/>
      <c r="F406" s="103" t="str">
        <f>HYPERLINK("https://pbs.twimg.com/profile_images/1602463421445902336/yYPkHWoK_normal.jpg")</f>
        <v>https://pbs.twimg.com/profile_images/1602463421445902336/yYPkHWoK_normal.jpg</v>
      </c>
      <c r="G406" s="63"/>
      <c r="H406" s="67"/>
      <c r="I406" s="68"/>
      <c r="J406" s="68"/>
      <c r="K406" s="67" t="s">
        <v>28000</v>
      </c>
      <c r="L406" s="71"/>
      <c r="M406" s="72"/>
      <c r="N406" s="72"/>
      <c r="O406" s="73"/>
      <c r="P406" s="74"/>
      <c r="Q406" s="74"/>
      <c r="R406" s="87"/>
      <c r="S406" s="87"/>
      <c r="T406" s="87"/>
      <c r="U406" s="87"/>
      <c r="V406" s="48"/>
      <c r="W406" s="48"/>
      <c r="X406" s="48"/>
      <c r="Y406" s="48"/>
      <c r="Z406" s="47"/>
      <c r="AA406" s="69">
        <v>406</v>
      </c>
      <c r="AB406" s="69"/>
      <c r="AC406" s="70"/>
      <c r="AD406" s="76" t="s">
        <v>21647</v>
      </c>
      <c r="AE406" s="81" t="s">
        <v>20637</v>
      </c>
      <c r="AF406" s="76">
        <v>5084</v>
      </c>
      <c r="AG406" s="76">
        <v>508</v>
      </c>
      <c r="AH406" s="76">
        <v>539840</v>
      </c>
      <c r="AI406" s="76">
        <v>9</v>
      </c>
      <c r="AJ406" s="76">
        <v>509648</v>
      </c>
      <c r="AK406" s="76">
        <v>7089</v>
      </c>
      <c r="AL406" s="76" t="b">
        <v>0</v>
      </c>
      <c r="AM406" s="78">
        <v>43907.687754629631</v>
      </c>
      <c r="AN406" s="76"/>
      <c r="AO406" s="76" t="s">
        <v>25068</v>
      </c>
      <c r="AP406" s="76"/>
      <c r="AQ406" s="76"/>
      <c r="AR406" s="76"/>
      <c r="AS406" s="76"/>
      <c r="AT406" s="76"/>
      <c r="AU406" s="76"/>
      <c r="AV406" s="76"/>
      <c r="AW406" s="76"/>
      <c r="AX406" s="76" t="b">
        <v>0</v>
      </c>
      <c r="AY406" s="76"/>
      <c r="AZ406" s="76"/>
      <c r="BA406" s="76" t="b">
        <v>1</v>
      </c>
      <c r="BB406" s="76" t="b">
        <v>0</v>
      </c>
      <c r="BC406" s="76" t="b">
        <v>1</v>
      </c>
      <c r="BD406" s="76" t="b">
        <v>0</v>
      </c>
      <c r="BE406" s="76" t="b">
        <v>1</v>
      </c>
      <c r="BF406" s="76" t="b">
        <v>0</v>
      </c>
      <c r="BG406" s="76" t="b">
        <v>0</v>
      </c>
      <c r="BH406" s="82" t="str">
        <f>HYPERLINK("https://pbs.twimg.com/profile_banners/1239952087527706634/1686103308")</f>
        <v>https://pbs.twimg.com/profile_banners/1239952087527706634/1686103308</v>
      </c>
      <c r="BI406" s="76"/>
      <c r="BJ406" s="76" t="s">
        <v>27595</v>
      </c>
      <c r="BK406" s="76" t="b">
        <v>0</v>
      </c>
      <c r="BL406" s="76"/>
      <c r="BM406" s="76" t="s">
        <v>66</v>
      </c>
      <c r="BN406" s="76" t="s">
        <v>27597</v>
      </c>
      <c r="BO406" s="82" t="str">
        <f>HYPERLINK("https://twitter.com/gaylulista13")</f>
        <v>https://twitter.com/gaylulista13</v>
      </c>
      <c r="BP406" s="2"/>
    </row>
    <row r="407" spans="1:68" x14ac:dyDescent="0.25">
      <c r="A407" s="62" t="s">
        <v>512</v>
      </c>
      <c r="B407" s="63"/>
      <c r="C407" s="63"/>
      <c r="D407" s="64"/>
      <c r="E407" s="66"/>
      <c r="F407" s="103" t="str">
        <f>HYPERLINK("https://pbs.twimg.com/profile_images/1635921545007710214/FGd4EiP2_normal.jpg")</f>
        <v>https://pbs.twimg.com/profile_images/1635921545007710214/FGd4EiP2_normal.jpg</v>
      </c>
      <c r="G407" s="63"/>
      <c r="H407" s="67"/>
      <c r="I407" s="68"/>
      <c r="J407" s="68"/>
      <c r="K407" s="67" t="s">
        <v>28001</v>
      </c>
      <c r="L407" s="71"/>
      <c r="M407" s="72"/>
      <c r="N407" s="72"/>
      <c r="O407" s="73"/>
      <c r="P407" s="74"/>
      <c r="Q407" s="74"/>
      <c r="R407" s="87"/>
      <c r="S407" s="87"/>
      <c r="T407" s="87"/>
      <c r="U407" s="87"/>
      <c r="V407" s="48"/>
      <c r="W407" s="48"/>
      <c r="X407" s="48"/>
      <c r="Y407" s="48"/>
      <c r="Z407" s="47"/>
      <c r="AA407" s="69">
        <v>407</v>
      </c>
      <c r="AB407" s="69"/>
      <c r="AC407" s="70"/>
      <c r="AD407" s="76" t="s">
        <v>21648</v>
      </c>
      <c r="AE407" s="81" t="s">
        <v>20638</v>
      </c>
      <c r="AF407" s="76">
        <v>10</v>
      </c>
      <c r="AG407" s="76">
        <v>41</v>
      </c>
      <c r="AH407" s="76">
        <v>179</v>
      </c>
      <c r="AI407" s="76">
        <v>1</v>
      </c>
      <c r="AJ407" s="76">
        <v>279</v>
      </c>
      <c r="AK407" s="76">
        <v>37</v>
      </c>
      <c r="AL407" s="76" t="b">
        <v>0</v>
      </c>
      <c r="AM407" s="78">
        <v>45000.354756944442</v>
      </c>
      <c r="AN407" s="76" t="s">
        <v>14386</v>
      </c>
      <c r="AO407" s="76" t="s">
        <v>25069</v>
      </c>
      <c r="AP407" s="82" t="str">
        <f>HYPERLINK("https://t.co/jRrZLy8qqj")</f>
        <v>https://t.co/jRrZLy8qqj</v>
      </c>
      <c r="AQ407" s="82" t="str">
        <f>HYPERLINK("http://youtube.com/@osmelernesto")</f>
        <v>http://youtube.com/@osmelernesto</v>
      </c>
      <c r="AR407" s="76" t="s">
        <v>26579</v>
      </c>
      <c r="AS407" s="76"/>
      <c r="AT407" s="76"/>
      <c r="AU407" s="76"/>
      <c r="AV407" s="76"/>
      <c r="AW407" s="82" t="str">
        <f>HYPERLINK("https://t.co/jRrZLy8qqj")</f>
        <v>https://t.co/jRrZLy8qqj</v>
      </c>
      <c r="AX407" s="76" t="b">
        <v>0</v>
      </c>
      <c r="AY407" s="76"/>
      <c r="AZ407" s="76"/>
      <c r="BA407" s="76" t="b">
        <v>0</v>
      </c>
      <c r="BB407" s="76" t="b">
        <v>1</v>
      </c>
      <c r="BC407" s="76" t="b">
        <v>1</v>
      </c>
      <c r="BD407" s="76" t="b">
        <v>0</v>
      </c>
      <c r="BE407" s="76" t="b">
        <v>1</v>
      </c>
      <c r="BF407" s="76" t="b">
        <v>0</v>
      </c>
      <c r="BG407" s="76" t="b">
        <v>0</v>
      </c>
      <c r="BH407" s="82" t="str">
        <f>HYPERLINK("https://pbs.twimg.com/profile_banners/1635921435267940354/1678871304")</f>
        <v>https://pbs.twimg.com/profile_banners/1635921435267940354/1678871304</v>
      </c>
      <c r="BI407" s="76"/>
      <c r="BJ407" s="76" t="s">
        <v>27595</v>
      </c>
      <c r="BK407" s="76" t="b">
        <v>0</v>
      </c>
      <c r="BL407" s="76"/>
      <c r="BM407" s="76" t="s">
        <v>66</v>
      </c>
      <c r="BN407" s="76" t="s">
        <v>27597</v>
      </c>
      <c r="BO407" s="82" t="str">
        <f>HYPERLINK("https://twitter.com/osmelernesto")</f>
        <v>https://twitter.com/osmelernesto</v>
      </c>
      <c r="BP407" s="2"/>
    </row>
    <row r="408" spans="1:68" x14ac:dyDescent="0.25">
      <c r="A408" s="62" t="s">
        <v>513</v>
      </c>
      <c r="B408" s="63"/>
      <c r="C408" s="63"/>
      <c r="D408" s="64"/>
      <c r="E408" s="66"/>
      <c r="F408" s="103" t="str">
        <f>HYPERLINK("https://pbs.twimg.com/profile_images/1691056909720203265/j6I2j7Oa_normal.jpg")</f>
        <v>https://pbs.twimg.com/profile_images/1691056909720203265/j6I2j7Oa_normal.jpg</v>
      </c>
      <c r="G408" s="63"/>
      <c r="H408" s="67"/>
      <c r="I408" s="68"/>
      <c r="J408" s="68"/>
      <c r="K408" s="67" t="s">
        <v>28002</v>
      </c>
      <c r="L408" s="71"/>
      <c r="M408" s="72"/>
      <c r="N408" s="72"/>
      <c r="O408" s="73"/>
      <c r="P408" s="74"/>
      <c r="Q408" s="74"/>
      <c r="R408" s="87"/>
      <c r="S408" s="87"/>
      <c r="T408" s="87"/>
      <c r="U408" s="87"/>
      <c r="V408" s="48"/>
      <c r="W408" s="48"/>
      <c r="X408" s="48"/>
      <c r="Y408" s="48"/>
      <c r="Z408" s="47"/>
      <c r="AA408" s="69">
        <v>408</v>
      </c>
      <c r="AB408" s="69"/>
      <c r="AC408" s="70"/>
      <c r="AD408" s="76" t="s">
        <v>21649</v>
      </c>
      <c r="AE408" s="81" t="s">
        <v>20639</v>
      </c>
      <c r="AF408" s="76">
        <v>46</v>
      </c>
      <c r="AG408" s="76">
        <v>428</v>
      </c>
      <c r="AH408" s="76">
        <v>6365</v>
      </c>
      <c r="AI408" s="76">
        <v>1</v>
      </c>
      <c r="AJ408" s="76">
        <v>3031</v>
      </c>
      <c r="AK408" s="76">
        <v>782</v>
      </c>
      <c r="AL408" s="76" t="b">
        <v>0</v>
      </c>
      <c r="AM408" s="78">
        <v>44807.595659722225</v>
      </c>
      <c r="AN408" s="76" t="s">
        <v>14385</v>
      </c>
      <c r="AO408" s="76" t="s">
        <v>25070</v>
      </c>
      <c r="AP408" s="76"/>
      <c r="AQ408" s="76"/>
      <c r="AR408" s="76"/>
      <c r="AS408" s="76"/>
      <c r="AT408" s="76"/>
      <c r="AU408" s="76"/>
      <c r="AV408" s="76">
        <v>1.70394374536705E+18</v>
      </c>
      <c r="AW408" s="76"/>
      <c r="AX408" s="76" t="b">
        <v>0</v>
      </c>
      <c r="AY408" s="76"/>
      <c r="AZ408" s="76"/>
      <c r="BA408" s="76" t="b">
        <v>0</v>
      </c>
      <c r="BB408" s="76" t="b">
        <v>1</v>
      </c>
      <c r="BC408" s="76" t="b">
        <v>1</v>
      </c>
      <c r="BD408" s="76" t="b">
        <v>0</v>
      </c>
      <c r="BE408" s="76" t="b">
        <v>1</v>
      </c>
      <c r="BF408" s="76" t="b">
        <v>0</v>
      </c>
      <c r="BG408" s="76" t="b">
        <v>0</v>
      </c>
      <c r="BH408" s="82" t="str">
        <f>HYPERLINK("https://pbs.twimg.com/profile_banners/1566067902737956867/1671645708")</f>
        <v>https://pbs.twimg.com/profile_banners/1566067902737956867/1671645708</v>
      </c>
      <c r="BI408" s="76"/>
      <c r="BJ408" s="76" t="s">
        <v>27595</v>
      </c>
      <c r="BK408" s="76" t="b">
        <v>0</v>
      </c>
      <c r="BL408" s="76"/>
      <c r="BM408" s="76" t="s">
        <v>66</v>
      </c>
      <c r="BN408" s="76" t="s">
        <v>27597</v>
      </c>
      <c r="BO408" s="82" t="str">
        <f>HYPERLINK("https://twitter.com/facucaza")</f>
        <v>https://twitter.com/facucaza</v>
      </c>
      <c r="BP408" s="2"/>
    </row>
    <row r="409" spans="1:68" x14ac:dyDescent="0.25">
      <c r="A409" s="62" t="s">
        <v>1504</v>
      </c>
      <c r="B409" s="63"/>
      <c r="C409" s="63"/>
      <c r="D409" s="64"/>
      <c r="E409" s="66"/>
      <c r="F409" s="103" t="str">
        <f>HYPERLINK("https://pbs.twimg.com/profile_images/1678858604034641923/zitkg4Uc_normal.jpg")</f>
        <v>https://pbs.twimg.com/profile_images/1678858604034641923/zitkg4Uc_normal.jpg</v>
      </c>
      <c r="G409" s="63"/>
      <c r="H409" s="67"/>
      <c r="I409" s="68"/>
      <c r="J409" s="68"/>
      <c r="K409" s="67" t="s">
        <v>28003</v>
      </c>
      <c r="L409" s="71"/>
      <c r="M409" s="72"/>
      <c r="N409" s="72"/>
      <c r="O409" s="73"/>
      <c r="P409" s="74"/>
      <c r="Q409" s="74"/>
      <c r="R409" s="87"/>
      <c r="S409" s="87"/>
      <c r="T409" s="87"/>
      <c r="U409" s="87"/>
      <c r="V409" s="48"/>
      <c r="W409" s="48"/>
      <c r="X409" s="48"/>
      <c r="Y409" s="48"/>
      <c r="Z409" s="47"/>
      <c r="AA409" s="69">
        <v>409</v>
      </c>
      <c r="AB409" s="69"/>
      <c r="AC409" s="70"/>
      <c r="AD409" s="76" t="s">
        <v>21650</v>
      </c>
      <c r="AE409" s="81" t="s">
        <v>23271</v>
      </c>
      <c r="AF409" s="76">
        <v>157435</v>
      </c>
      <c r="AG409" s="76">
        <v>3097</v>
      </c>
      <c r="AH409" s="76">
        <v>8665</v>
      </c>
      <c r="AI409" s="76">
        <v>373</v>
      </c>
      <c r="AJ409" s="76">
        <v>17272</v>
      </c>
      <c r="AK409" s="76">
        <v>1793</v>
      </c>
      <c r="AL409" s="76" t="b">
        <v>0</v>
      </c>
      <c r="AM409" s="78">
        <v>42114.699201388888</v>
      </c>
      <c r="AN409" s="76" t="s">
        <v>24114</v>
      </c>
      <c r="AO409" s="76" t="s">
        <v>25071</v>
      </c>
      <c r="AP409" s="82" t="str">
        <f>HYPERLINK("https://t.co/nvYmrcTN9n")</f>
        <v>https://t.co/nvYmrcTN9n</v>
      </c>
      <c r="AQ409" s="82" t="str">
        <f>HYPERLINK("http://instagram.com/julia.strada")</f>
        <v>http://instagram.com/julia.strada</v>
      </c>
      <c r="AR409" s="76" t="s">
        <v>26580</v>
      </c>
      <c r="AS409" s="76"/>
      <c r="AT409" s="76"/>
      <c r="AU409" s="76"/>
      <c r="AV409" s="76"/>
      <c r="AW409" s="82" t="str">
        <f>HYPERLINK("https://t.co/nvYmrcTN9n")</f>
        <v>https://t.co/nvYmrcTN9n</v>
      </c>
      <c r="AX409" s="76" t="b">
        <v>0</v>
      </c>
      <c r="AY409" s="76"/>
      <c r="AZ409" s="76"/>
      <c r="BA409" s="76" t="b">
        <v>0</v>
      </c>
      <c r="BB409" s="76" t="b">
        <v>1</v>
      </c>
      <c r="BC409" s="76" t="b">
        <v>0</v>
      </c>
      <c r="BD409" s="76" t="b">
        <v>0</v>
      </c>
      <c r="BE409" s="76" t="b">
        <v>1</v>
      </c>
      <c r="BF409" s="76" t="b">
        <v>0</v>
      </c>
      <c r="BG409" s="76" t="b">
        <v>0</v>
      </c>
      <c r="BH409" s="82" t="str">
        <f>HYPERLINK("https://pbs.twimg.com/profile_banners/3187616987/1582062845")</f>
        <v>https://pbs.twimg.com/profile_banners/3187616987/1582062845</v>
      </c>
      <c r="BI409" s="76"/>
      <c r="BJ409" s="76" t="s">
        <v>27595</v>
      </c>
      <c r="BK409" s="76" t="b">
        <v>0</v>
      </c>
      <c r="BL409" s="76"/>
      <c r="BM409" s="76" t="s">
        <v>66</v>
      </c>
      <c r="BN409" s="76" t="s">
        <v>27597</v>
      </c>
      <c r="BO409" s="82" t="str">
        <f>HYPERLINK("https://twitter.com/juli_strada")</f>
        <v>https://twitter.com/juli_strada</v>
      </c>
      <c r="BP409" s="2"/>
    </row>
    <row r="410" spans="1:68" x14ac:dyDescent="0.25">
      <c r="A410" s="62" t="s">
        <v>514</v>
      </c>
      <c r="B410" s="63"/>
      <c r="C410" s="63"/>
      <c r="D410" s="64"/>
      <c r="E410" s="66"/>
      <c r="F410" s="103" t="str">
        <f>HYPERLINK("https://pbs.twimg.com/profile_images/1526238345080217602/h41eSuCK_normal.jpg")</f>
        <v>https://pbs.twimg.com/profile_images/1526238345080217602/h41eSuCK_normal.jpg</v>
      </c>
      <c r="G410" s="63"/>
      <c r="H410" s="67"/>
      <c r="I410" s="68"/>
      <c r="J410" s="68"/>
      <c r="K410" s="67" t="s">
        <v>28004</v>
      </c>
      <c r="L410" s="71"/>
      <c r="M410" s="72"/>
      <c r="N410" s="72"/>
      <c r="O410" s="73"/>
      <c r="P410" s="74"/>
      <c r="Q410" s="74"/>
      <c r="R410" s="87"/>
      <c r="S410" s="87"/>
      <c r="T410" s="87"/>
      <c r="U410" s="87"/>
      <c r="V410" s="48"/>
      <c r="W410" s="48"/>
      <c r="X410" s="48"/>
      <c r="Y410" s="48"/>
      <c r="Z410" s="47"/>
      <c r="AA410" s="69">
        <v>410</v>
      </c>
      <c r="AB410" s="69"/>
      <c r="AC410" s="70"/>
      <c r="AD410" s="76" t="s">
        <v>21651</v>
      </c>
      <c r="AE410" s="81" t="s">
        <v>20640</v>
      </c>
      <c r="AF410" s="76">
        <v>26</v>
      </c>
      <c r="AG410" s="76">
        <v>68</v>
      </c>
      <c r="AH410" s="76">
        <v>411</v>
      </c>
      <c r="AI410" s="76">
        <v>0</v>
      </c>
      <c r="AJ410" s="76">
        <v>65</v>
      </c>
      <c r="AK410" s="76">
        <v>98</v>
      </c>
      <c r="AL410" s="76" t="b">
        <v>0</v>
      </c>
      <c r="AM410" s="78">
        <v>44690.825312499997</v>
      </c>
      <c r="AN410" s="76"/>
      <c r="AO410" s="76" t="s">
        <v>25072</v>
      </c>
      <c r="AP410" s="82" t="str">
        <f>HYPERLINK("https://t.co/22uiDhgXro")</f>
        <v>https://t.co/22uiDhgXro</v>
      </c>
      <c r="AQ410" s="82" t="str">
        <f>HYPERLINK("https://linktr.ee/quecontaee")</f>
        <v>https://linktr.ee/quecontaee</v>
      </c>
      <c r="AR410" s="76" t="s">
        <v>26581</v>
      </c>
      <c r="AS410" s="76"/>
      <c r="AT410" s="76"/>
      <c r="AU410" s="76"/>
      <c r="AV410" s="76"/>
      <c r="AW410" s="82" t="str">
        <f>HYPERLINK("https://t.co/22uiDhgXro")</f>
        <v>https://t.co/22uiDhgXro</v>
      </c>
      <c r="AX410" s="76" t="b">
        <v>0</v>
      </c>
      <c r="AY410" s="76"/>
      <c r="AZ410" s="76"/>
      <c r="BA410" s="76" t="b">
        <v>0</v>
      </c>
      <c r="BB410" s="76" t="b">
        <v>1</v>
      </c>
      <c r="BC410" s="76" t="b">
        <v>1</v>
      </c>
      <c r="BD410" s="76" t="b">
        <v>0</v>
      </c>
      <c r="BE410" s="76" t="b">
        <v>0</v>
      </c>
      <c r="BF410" s="76" t="b">
        <v>0</v>
      </c>
      <c r="BG410" s="76" t="b">
        <v>0</v>
      </c>
      <c r="BH410" s="82" t="str">
        <f>HYPERLINK("https://pbs.twimg.com/profile_banners/1523751435166523393/1652718555")</f>
        <v>https://pbs.twimg.com/profile_banners/1523751435166523393/1652718555</v>
      </c>
      <c r="BI410" s="76"/>
      <c r="BJ410" s="76" t="s">
        <v>27595</v>
      </c>
      <c r="BK410" s="76" t="b">
        <v>0</v>
      </c>
      <c r="BL410" s="76"/>
      <c r="BM410" s="76" t="s">
        <v>66</v>
      </c>
      <c r="BN410" s="76" t="s">
        <v>27597</v>
      </c>
      <c r="BO410" s="82" t="str">
        <f>HYPERLINK("https://twitter.com/quecontaee")</f>
        <v>https://twitter.com/quecontaee</v>
      </c>
      <c r="BP410" s="2"/>
    </row>
    <row r="411" spans="1:68" x14ac:dyDescent="0.25">
      <c r="A411" s="62" t="s">
        <v>515</v>
      </c>
      <c r="B411" s="63"/>
      <c r="C411" s="63"/>
      <c r="D411" s="64"/>
      <c r="E411" s="66"/>
      <c r="F411" s="103" t="str">
        <f>HYPERLINK("https://pbs.twimg.com/profile_images/1686928093028483072/AbAnmWfe_normal.jpg")</f>
        <v>https://pbs.twimg.com/profile_images/1686928093028483072/AbAnmWfe_normal.jpg</v>
      </c>
      <c r="G411" s="63"/>
      <c r="H411" s="67"/>
      <c r="I411" s="68"/>
      <c r="J411" s="68"/>
      <c r="K411" s="67" t="s">
        <v>28005</v>
      </c>
      <c r="L411" s="71"/>
      <c r="M411" s="72"/>
      <c r="N411" s="72"/>
      <c r="O411" s="73"/>
      <c r="P411" s="74"/>
      <c r="Q411" s="74"/>
      <c r="R411" s="87"/>
      <c r="S411" s="87"/>
      <c r="T411" s="87"/>
      <c r="U411" s="87"/>
      <c r="V411" s="48"/>
      <c r="W411" s="48"/>
      <c r="X411" s="48"/>
      <c r="Y411" s="48"/>
      <c r="Z411" s="47"/>
      <c r="AA411" s="69">
        <v>411</v>
      </c>
      <c r="AB411" s="69"/>
      <c r="AC411" s="70"/>
      <c r="AD411" s="76" t="s">
        <v>21652</v>
      </c>
      <c r="AE411" s="81" t="s">
        <v>23272</v>
      </c>
      <c r="AF411" s="76">
        <v>879</v>
      </c>
      <c r="AG411" s="76">
        <v>2333</v>
      </c>
      <c r="AH411" s="76">
        <v>22939</v>
      </c>
      <c r="AI411" s="76">
        <v>3</v>
      </c>
      <c r="AJ411" s="76">
        <v>11958</v>
      </c>
      <c r="AK411" s="76">
        <v>1278</v>
      </c>
      <c r="AL411" s="76" t="b">
        <v>0</v>
      </c>
      <c r="AM411" s="78">
        <v>41131.552581018521</v>
      </c>
      <c r="AN411" s="76" t="s">
        <v>24223</v>
      </c>
      <c r="AO411" s="76" t="s">
        <v>25073</v>
      </c>
      <c r="AP411" s="82" t="str">
        <f>HYPERLINK("https://t.co/tPSK3cDgQ0")</f>
        <v>https://t.co/tPSK3cDgQ0</v>
      </c>
      <c r="AQ411" s="82" t="str">
        <f>HYPERLINK("https://enertronic.es/es/marcas/chint/")</f>
        <v>https://enertronic.es/es/marcas/chint/</v>
      </c>
      <c r="AR411" s="76" t="s">
        <v>26582</v>
      </c>
      <c r="AS411" s="76"/>
      <c r="AT411" s="76"/>
      <c r="AU411" s="76"/>
      <c r="AV411" s="76"/>
      <c r="AW411" s="82" t="str">
        <f>HYPERLINK("https://t.co/tPSK3cDgQ0")</f>
        <v>https://t.co/tPSK3cDgQ0</v>
      </c>
      <c r="AX411" s="76" t="b">
        <v>0</v>
      </c>
      <c r="AY411" s="76"/>
      <c r="AZ411" s="76"/>
      <c r="BA411" s="76" t="b">
        <v>0</v>
      </c>
      <c r="BB411" s="76" t="b">
        <v>1</v>
      </c>
      <c r="BC411" s="76" t="b">
        <v>0</v>
      </c>
      <c r="BD411" s="76" t="b">
        <v>0</v>
      </c>
      <c r="BE411" s="76" t="b">
        <v>1</v>
      </c>
      <c r="BF411" s="76" t="b">
        <v>0</v>
      </c>
      <c r="BG411" s="76" t="b">
        <v>1</v>
      </c>
      <c r="BH411" s="82" t="str">
        <f>HYPERLINK("https://pbs.twimg.com/profile_banners/749346631/1625247753")</f>
        <v>https://pbs.twimg.com/profile_banners/749346631/1625247753</v>
      </c>
      <c r="BI411" s="76"/>
      <c r="BJ411" s="76" t="s">
        <v>27595</v>
      </c>
      <c r="BK411" s="76" t="b">
        <v>0</v>
      </c>
      <c r="BL411" s="76"/>
      <c r="BM411" s="76" t="s">
        <v>66</v>
      </c>
      <c r="BN411" s="76" t="s">
        <v>27597</v>
      </c>
      <c r="BO411" s="82" t="str">
        <f>HYPERLINK("https://twitter.com/vbgaikon")</f>
        <v>https://twitter.com/vbgaikon</v>
      </c>
      <c r="BP411" s="2"/>
    </row>
    <row r="412" spans="1:68" x14ac:dyDescent="0.25">
      <c r="A412" s="62" t="s">
        <v>1780</v>
      </c>
      <c r="B412" s="63"/>
      <c r="C412" s="63"/>
      <c r="D412" s="64"/>
      <c r="E412" s="66"/>
      <c r="F412" s="103" t="str">
        <f>HYPERLINK("https://pbs.twimg.com/profile_images/1024142307363364865/B_t-0xO5_normal.jpg")</f>
        <v>https://pbs.twimg.com/profile_images/1024142307363364865/B_t-0xO5_normal.jpg</v>
      </c>
      <c r="G412" s="63"/>
      <c r="H412" s="67"/>
      <c r="I412" s="68"/>
      <c r="J412" s="68"/>
      <c r="K412" s="67" t="s">
        <v>28006</v>
      </c>
      <c r="L412" s="71"/>
      <c r="M412" s="72"/>
      <c r="N412" s="72"/>
      <c r="O412" s="73"/>
      <c r="P412" s="74"/>
      <c r="Q412" s="74"/>
      <c r="R412" s="87"/>
      <c r="S412" s="87"/>
      <c r="T412" s="87"/>
      <c r="U412" s="87"/>
      <c r="V412" s="48"/>
      <c r="W412" s="48"/>
      <c r="X412" s="48"/>
      <c r="Y412" s="48"/>
      <c r="Z412" s="47"/>
      <c r="AA412" s="69">
        <v>412</v>
      </c>
      <c r="AB412" s="69"/>
      <c r="AC412" s="70"/>
      <c r="AD412" s="76" t="s">
        <v>21653</v>
      </c>
      <c r="AE412" s="81" t="s">
        <v>20248</v>
      </c>
      <c r="AF412" s="76">
        <v>96920</v>
      </c>
      <c r="AG412" s="76">
        <v>64432</v>
      </c>
      <c r="AH412" s="76">
        <v>354866</v>
      </c>
      <c r="AI412" s="76">
        <v>131</v>
      </c>
      <c r="AJ412" s="76">
        <v>174860</v>
      </c>
      <c r="AK412" s="76">
        <v>8217</v>
      </c>
      <c r="AL412" s="76" t="b">
        <v>0</v>
      </c>
      <c r="AM412" s="78">
        <v>41064.667881944442</v>
      </c>
      <c r="AN412" s="76" t="s">
        <v>24224</v>
      </c>
      <c r="AO412" s="76" t="s">
        <v>25074</v>
      </c>
      <c r="AP412" s="82" t="str">
        <f>HYPERLINK("https://t.co/Ntg1kzBA3v")</f>
        <v>https://t.co/Ntg1kzBA3v</v>
      </c>
      <c r="AQ412" s="82" t="str">
        <f>HYPERLINK("http://www.chiquiavalos.com")</f>
        <v>http://www.chiquiavalos.com</v>
      </c>
      <c r="AR412" s="76" t="s">
        <v>26583</v>
      </c>
      <c r="AS412" s="76"/>
      <c r="AT412" s="76"/>
      <c r="AU412" s="76"/>
      <c r="AV412" s="76"/>
      <c r="AW412" s="82" t="str">
        <f>HYPERLINK("https://t.co/Ntg1kzBA3v")</f>
        <v>https://t.co/Ntg1kzBA3v</v>
      </c>
      <c r="AX412" s="76" t="b">
        <v>0</v>
      </c>
      <c r="AY412" s="76"/>
      <c r="AZ412" s="76"/>
      <c r="BA412" s="76" t="b">
        <v>0</v>
      </c>
      <c r="BB412" s="76" t="b">
        <v>0</v>
      </c>
      <c r="BC412" s="76" t="b">
        <v>0</v>
      </c>
      <c r="BD412" s="76" t="b">
        <v>0</v>
      </c>
      <c r="BE412" s="76" t="b">
        <v>1</v>
      </c>
      <c r="BF412" s="76" t="b">
        <v>0</v>
      </c>
      <c r="BG412" s="76" t="b">
        <v>0</v>
      </c>
      <c r="BH412" s="82" t="str">
        <f>HYPERLINK("https://pbs.twimg.com/profile_banners/599355988/1667489114")</f>
        <v>https://pbs.twimg.com/profile_banners/599355988/1667489114</v>
      </c>
      <c r="BI412" s="76"/>
      <c r="BJ412" s="76" t="s">
        <v>27595</v>
      </c>
      <c r="BK412" s="76" t="b">
        <v>0</v>
      </c>
      <c r="BL412" s="76"/>
      <c r="BM412" s="76" t="s">
        <v>65</v>
      </c>
      <c r="BN412" s="76" t="s">
        <v>27597</v>
      </c>
      <c r="BO412" s="82" t="str">
        <f>HYPERLINK("https://twitter.com/chiqui_avalos")</f>
        <v>https://twitter.com/chiqui_avalos</v>
      </c>
      <c r="BP412" s="2"/>
    </row>
    <row r="413" spans="1:68" x14ac:dyDescent="0.25">
      <c r="A413" s="62" t="s">
        <v>516</v>
      </c>
      <c r="B413" s="63"/>
      <c r="C413" s="63"/>
      <c r="D413" s="64"/>
      <c r="E413" s="66"/>
      <c r="F413" s="103" t="str">
        <f>HYPERLINK("https://pbs.twimg.com/profile_images/1642663980597379074/Qtc8M2PG_normal.jpg")</f>
        <v>https://pbs.twimg.com/profile_images/1642663980597379074/Qtc8M2PG_normal.jpg</v>
      </c>
      <c r="G413" s="63"/>
      <c r="H413" s="67"/>
      <c r="I413" s="68"/>
      <c r="J413" s="68"/>
      <c r="K413" s="67" t="s">
        <v>28007</v>
      </c>
      <c r="L413" s="71"/>
      <c r="M413" s="72"/>
      <c r="N413" s="72"/>
      <c r="O413" s="73"/>
      <c r="P413" s="74"/>
      <c r="Q413" s="74"/>
      <c r="R413" s="87"/>
      <c r="S413" s="87"/>
      <c r="T413" s="87"/>
      <c r="U413" s="87"/>
      <c r="V413" s="48"/>
      <c r="W413" s="48"/>
      <c r="X413" s="48"/>
      <c r="Y413" s="48"/>
      <c r="Z413" s="47"/>
      <c r="AA413" s="69">
        <v>413</v>
      </c>
      <c r="AB413" s="69"/>
      <c r="AC413" s="70"/>
      <c r="AD413" s="76" t="s">
        <v>21654</v>
      </c>
      <c r="AE413" s="81" t="s">
        <v>20641</v>
      </c>
      <c r="AF413" s="76">
        <v>1159</v>
      </c>
      <c r="AG413" s="76">
        <v>387</v>
      </c>
      <c r="AH413" s="76">
        <v>2530</v>
      </c>
      <c r="AI413" s="76">
        <v>12</v>
      </c>
      <c r="AJ413" s="76">
        <v>37</v>
      </c>
      <c r="AK413" s="76">
        <v>32</v>
      </c>
      <c r="AL413" s="76" t="b">
        <v>0</v>
      </c>
      <c r="AM413" s="78">
        <v>45018.957696759258</v>
      </c>
      <c r="AN413" s="76"/>
      <c r="AO413" s="76" t="s">
        <v>25075</v>
      </c>
      <c r="AP413" s="82" t="str">
        <f>HYPERLINK("https://t.co/4VATFaNTlw")</f>
        <v>https://t.co/4VATFaNTlw</v>
      </c>
      <c r="AQ413" s="82" t="str">
        <f>HYPERLINK("http://perfil.com/canal-e")</f>
        <v>http://perfil.com/canal-e</v>
      </c>
      <c r="AR413" s="76" t="s">
        <v>26584</v>
      </c>
      <c r="AS413" s="76"/>
      <c r="AT413" s="76"/>
      <c r="AU413" s="76"/>
      <c r="AV413" s="76"/>
      <c r="AW413" s="82" t="str">
        <f>HYPERLINK("https://t.co/4VATFaNTlw")</f>
        <v>https://t.co/4VATFaNTlw</v>
      </c>
      <c r="AX413" s="76" t="b">
        <v>0</v>
      </c>
      <c r="AY413" s="76"/>
      <c r="AZ413" s="76"/>
      <c r="BA413" s="76" t="b">
        <v>0</v>
      </c>
      <c r="BB413" s="76" t="b">
        <v>1</v>
      </c>
      <c r="BC413" s="76" t="b">
        <v>1</v>
      </c>
      <c r="BD413" s="76" t="b">
        <v>0</v>
      </c>
      <c r="BE413" s="76" t="b">
        <v>0</v>
      </c>
      <c r="BF413" s="76" t="b">
        <v>0</v>
      </c>
      <c r="BG413" s="76" t="b">
        <v>0</v>
      </c>
      <c r="BH413" s="82" t="str">
        <f>HYPERLINK("https://pbs.twimg.com/profile_banners/1642662868393906185/1680476588")</f>
        <v>https://pbs.twimg.com/profile_banners/1642662868393906185/1680476588</v>
      </c>
      <c r="BI413" s="76"/>
      <c r="BJ413" s="76" t="s">
        <v>27595</v>
      </c>
      <c r="BK413" s="76" t="b">
        <v>0</v>
      </c>
      <c r="BL413" s="76"/>
      <c r="BM413" s="76" t="s">
        <v>66</v>
      </c>
      <c r="BN413" s="76" t="s">
        <v>27597</v>
      </c>
      <c r="BO413" s="82" t="str">
        <f>HYPERLINK("https://twitter.com/canaleconomico")</f>
        <v>https://twitter.com/canaleconomico</v>
      </c>
      <c r="BP413" s="2"/>
    </row>
    <row r="414" spans="1:68" x14ac:dyDescent="0.25">
      <c r="A414" s="62" t="s">
        <v>1781</v>
      </c>
      <c r="B414" s="63"/>
      <c r="C414" s="63"/>
      <c r="D414" s="64"/>
      <c r="E414" s="66"/>
      <c r="F414" s="103" t="str">
        <f>HYPERLINK("https://pbs.twimg.com/profile_images/1425871673291587590/_5i-olci_normal.jpg")</f>
        <v>https://pbs.twimg.com/profile_images/1425871673291587590/_5i-olci_normal.jpg</v>
      </c>
      <c r="G414" s="63"/>
      <c r="H414" s="67"/>
      <c r="I414" s="68"/>
      <c r="J414" s="68"/>
      <c r="K414" s="67" t="s">
        <v>28008</v>
      </c>
      <c r="L414" s="71"/>
      <c r="M414" s="72"/>
      <c r="N414" s="72"/>
      <c r="O414" s="73"/>
      <c r="P414" s="74"/>
      <c r="Q414" s="74"/>
      <c r="R414" s="87"/>
      <c r="S414" s="87"/>
      <c r="T414" s="87"/>
      <c r="U414" s="87"/>
      <c r="V414" s="48"/>
      <c r="W414" s="48"/>
      <c r="X414" s="48"/>
      <c r="Y414" s="48"/>
      <c r="Z414" s="47"/>
      <c r="AA414" s="69">
        <v>414</v>
      </c>
      <c r="AB414" s="69"/>
      <c r="AC414" s="70"/>
      <c r="AD414" s="76" t="s">
        <v>21655</v>
      </c>
      <c r="AE414" s="81" t="s">
        <v>23273</v>
      </c>
      <c r="AF414" s="76">
        <v>1206</v>
      </c>
      <c r="AG414" s="76">
        <v>373</v>
      </c>
      <c r="AH414" s="76">
        <v>21240</v>
      </c>
      <c r="AI414" s="76">
        <v>9</v>
      </c>
      <c r="AJ414" s="76">
        <v>47480</v>
      </c>
      <c r="AK414" s="76">
        <v>1247</v>
      </c>
      <c r="AL414" s="76" t="b">
        <v>0</v>
      </c>
      <c r="AM414" s="78">
        <v>40347.813321759262</v>
      </c>
      <c r="AN414" s="76" t="s">
        <v>24225</v>
      </c>
      <c r="AO414" s="76" t="s">
        <v>25076</v>
      </c>
      <c r="AP414" s="76"/>
      <c r="AQ414" s="76"/>
      <c r="AR414" s="76"/>
      <c r="AS414" s="76"/>
      <c r="AT414" s="76"/>
      <c r="AU414" s="76"/>
      <c r="AV414" s="76">
        <v>1.7074084501314701E+18</v>
      </c>
      <c r="AW414" s="76"/>
      <c r="AX414" s="76" t="b">
        <v>0</v>
      </c>
      <c r="AY414" s="76"/>
      <c r="AZ414" s="76"/>
      <c r="BA414" s="76" t="b">
        <v>0</v>
      </c>
      <c r="BB414" s="76" t="b">
        <v>1</v>
      </c>
      <c r="BC414" s="76" t="b">
        <v>0</v>
      </c>
      <c r="BD414" s="76" t="b">
        <v>0</v>
      </c>
      <c r="BE414" s="76" t="b">
        <v>1</v>
      </c>
      <c r="BF414" s="76" t="b">
        <v>0</v>
      </c>
      <c r="BG414" s="76" t="b">
        <v>0</v>
      </c>
      <c r="BH414" s="82" t="str">
        <f>HYPERLINK("https://pbs.twimg.com/profile_banners/157070584/1632684468")</f>
        <v>https://pbs.twimg.com/profile_banners/157070584/1632684468</v>
      </c>
      <c r="BI414" s="76"/>
      <c r="BJ414" s="76" t="s">
        <v>27595</v>
      </c>
      <c r="BK414" s="76" t="b">
        <v>0</v>
      </c>
      <c r="BL414" s="76"/>
      <c r="BM414" s="76" t="s">
        <v>65</v>
      </c>
      <c r="BN414" s="76" t="s">
        <v>27597</v>
      </c>
      <c r="BO414" s="82" t="str">
        <f>HYPERLINK("https://twitter.com/herno7")</f>
        <v>https://twitter.com/herno7</v>
      </c>
      <c r="BP414" s="2"/>
    </row>
    <row r="415" spans="1:68" x14ac:dyDescent="0.25">
      <c r="A415" s="62" t="s">
        <v>1782</v>
      </c>
      <c r="B415" s="63"/>
      <c r="C415" s="63"/>
      <c r="D415" s="64"/>
      <c r="E415" s="66"/>
      <c r="F415" s="103" t="str">
        <f>HYPERLINK("https://pbs.twimg.com/profile_images/1660774861852008448/LCPlZqFX_normal.jpg")</f>
        <v>https://pbs.twimg.com/profile_images/1660774861852008448/LCPlZqFX_normal.jpg</v>
      </c>
      <c r="G415" s="63"/>
      <c r="H415" s="67"/>
      <c r="I415" s="68"/>
      <c r="J415" s="68"/>
      <c r="K415" s="67" t="s">
        <v>28009</v>
      </c>
      <c r="L415" s="71"/>
      <c r="M415" s="72"/>
      <c r="N415" s="72"/>
      <c r="O415" s="73"/>
      <c r="P415" s="74"/>
      <c r="Q415" s="74"/>
      <c r="R415" s="87"/>
      <c r="S415" s="87"/>
      <c r="T415" s="87"/>
      <c r="U415" s="87"/>
      <c r="V415" s="48"/>
      <c r="W415" s="48"/>
      <c r="X415" s="48"/>
      <c r="Y415" s="48"/>
      <c r="Z415" s="47"/>
      <c r="AA415" s="69">
        <v>415</v>
      </c>
      <c r="AB415" s="69"/>
      <c r="AC415" s="70"/>
      <c r="AD415" s="76" t="s">
        <v>21656</v>
      </c>
      <c r="AE415" s="81" t="s">
        <v>23274</v>
      </c>
      <c r="AF415" s="76">
        <v>1394</v>
      </c>
      <c r="AG415" s="76">
        <v>288</v>
      </c>
      <c r="AH415" s="76">
        <v>24352</v>
      </c>
      <c r="AI415" s="76">
        <v>14</v>
      </c>
      <c r="AJ415" s="76">
        <v>6291</v>
      </c>
      <c r="AK415" s="76">
        <v>4262</v>
      </c>
      <c r="AL415" s="76" t="b">
        <v>0</v>
      </c>
      <c r="AM415" s="78">
        <v>40302.002187500002</v>
      </c>
      <c r="AN415" s="76" t="s">
        <v>24084</v>
      </c>
      <c r="AO415" s="76" t="s">
        <v>25077</v>
      </c>
      <c r="AP415" s="82" t="str">
        <f>HYPERLINK("https://t.co/Pm3FT0z6Zz")</f>
        <v>https://t.co/Pm3FT0z6Zz</v>
      </c>
      <c r="AQ415" s="82" t="str">
        <f>HYPERLINK("https://www.youtube.com/@menamartin")</f>
        <v>https://www.youtube.com/@menamartin</v>
      </c>
      <c r="AR415" s="76" t="s">
        <v>26585</v>
      </c>
      <c r="AS415" s="82" t="str">
        <f>HYPERLINK("https://t.co/VCtiJbuuA6")</f>
        <v>https://t.co/VCtiJbuuA6</v>
      </c>
      <c r="AT415" s="82" t="str">
        <f>HYPERLINK("https://www.instagram.com/menamartin")</f>
        <v>https://www.instagram.com/menamartin</v>
      </c>
      <c r="AU415" s="76" t="s">
        <v>27475</v>
      </c>
      <c r="AV415" s="76"/>
      <c r="AW415" s="82" t="str">
        <f>HYPERLINK("https://t.co/Pm3FT0z6Zz")</f>
        <v>https://t.co/Pm3FT0z6Zz</v>
      </c>
      <c r="AX415" s="76" t="b">
        <v>0</v>
      </c>
      <c r="AY415" s="76"/>
      <c r="AZ415" s="76"/>
      <c r="BA415" s="76" t="b">
        <v>1</v>
      </c>
      <c r="BB415" s="76" t="b">
        <v>1</v>
      </c>
      <c r="BC415" s="76" t="b">
        <v>0</v>
      </c>
      <c r="BD415" s="76" t="b">
        <v>0</v>
      </c>
      <c r="BE415" s="76" t="b">
        <v>0</v>
      </c>
      <c r="BF415" s="76" t="b">
        <v>0</v>
      </c>
      <c r="BG415" s="76" t="b">
        <v>0</v>
      </c>
      <c r="BH415" s="82" t="str">
        <f>HYPERLINK("https://pbs.twimg.com/profile_banners/139890276/1581614214")</f>
        <v>https://pbs.twimg.com/profile_banners/139890276/1581614214</v>
      </c>
      <c r="BI415" s="76"/>
      <c r="BJ415" s="76" t="s">
        <v>27596</v>
      </c>
      <c r="BK415" s="76" t="b">
        <v>0</v>
      </c>
      <c r="BL415" s="76"/>
      <c r="BM415" s="76" t="s">
        <v>65</v>
      </c>
      <c r="BN415" s="76" t="s">
        <v>27597</v>
      </c>
      <c r="BO415" s="82" t="str">
        <f>HYPERLINK("https://twitter.com/martinnmena")</f>
        <v>https://twitter.com/martinnmena</v>
      </c>
      <c r="BP415" s="2"/>
    </row>
    <row r="416" spans="1:68" x14ac:dyDescent="0.25">
      <c r="A416" s="62" t="s">
        <v>1783</v>
      </c>
      <c r="B416" s="63"/>
      <c r="C416" s="63"/>
      <c r="D416" s="64"/>
      <c r="E416" s="66"/>
      <c r="F416" s="103" t="str">
        <f>HYPERLINK("https://pbs.twimg.com/profile_images/1529277448310796292/4AOnuQ_0_normal.jpg")</f>
        <v>https://pbs.twimg.com/profile_images/1529277448310796292/4AOnuQ_0_normal.jpg</v>
      </c>
      <c r="G416" s="63"/>
      <c r="H416" s="67"/>
      <c r="I416" s="68"/>
      <c r="J416" s="68"/>
      <c r="K416" s="67" t="s">
        <v>28010</v>
      </c>
      <c r="L416" s="71"/>
      <c r="M416" s="72"/>
      <c r="N416" s="72"/>
      <c r="O416" s="73"/>
      <c r="P416" s="74"/>
      <c r="Q416" s="74"/>
      <c r="R416" s="87"/>
      <c r="S416" s="87"/>
      <c r="T416" s="87"/>
      <c r="U416" s="87"/>
      <c r="V416" s="48"/>
      <c r="W416" s="48"/>
      <c r="X416" s="48"/>
      <c r="Y416" s="48"/>
      <c r="Z416" s="47"/>
      <c r="AA416" s="69">
        <v>416</v>
      </c>
      <c r="AB416" s="69"/>
      <c r="AC416" s="70"/>
      <c r="AD416" s="76" t="s">
        <v>21657</v>
      </c>
      <c r="AE416" s="81" t="s">
        <v>23275</v>
      </c>
      <c r="AF416" s="76">
        <v>171</v>
      </c>
      <c r="AG416" s="76">
        <v>98</v>
      </c>
      <c r="AH416" s="76">
        <v>387</v>
      </c>
      <c r="AI416" s="76">
        <v>4</v>
      </c>
      <c r="AJ416" s="76">
        <v>3031</v>
      </c>
      <c r="AK416" s="76">
        <v>128</v>
      </c>
      <c r="AL416" s="76" t="b">
        <v>0</v>
      </c>
      <c r="AM416" s="78">
        <v>44572.028009259258</v>
      </c>
      <c r="AN416" s="76" t="s">
        <v>24226</v>
      </c>
      <c r="AO416" s="76" t="s">
        <v>25078</v>
      </c>
      <c r="AP416" s="82" t="str">
        <f>HYPERLINK("https://t.co/gLhiS3l1NH")</f>
        <v>https://t.co/gLhiS3l1NH</v>
      </c>
      <c r="AQ416" s="82" t="str">
        <f>HYPERLINK("https://mechilearning.com/home")</f>
        <v>https://mechilearning.com/home</v>
      </c>
      <c r="AR416" s="76" t="s">
        <v>26586</v>
      </c>
      <c r="AS416" s="76"/>
      <c r="AT416" s="76"/>
      <c r="AU416" s="76"/>
      <c r="AV416" s="76"/>
      <c r="AW416" s="82" t="str">
        <f>HYPERLINK("https://t.co/gLhiS3l1NH")</f>
        <v>https://t.co/gLhiS3l1NH</v>
      </c>
      <c r="AX416" s="76" t="b">
        <v>0</v>
      </c>
      <c r="AY416" s="76"/>
      <c r="AZ416" s="76"/>
      <c r="BA416" s="76" t="b">
        <v>0</v>
      </c>
      <c r="BB416" s="76" t="b">
        <v>1</v>
      </c>
      <c r="BC416" s="76" t="b">
        <v>1</v>
      </c>
      <c r="BD416" s="76" t="b">
        <v>0</v>
      </c>
      <c r="BE416" s="76" t="b">
        <v>1</v>
      </c>
      <c r="BF416" s="76" t="b">
        <v>0</v>
      </c>
      <c r="BG416" s="76" t="b">
        <v>0</v>
      </c>
      <c r="BH416" s="82" t="str">
        <f>HYPERLINK("https://pbs.twimg.com/profile_banners/1480701004341559297/1654307743")</f>
        <v>https://pbs.twimg.com/profile_banners/1480701004341559297/1654307743</v>
      </c>
      <c r="BI416" s="76"/>
      <c r="BJ416" s="76" t="s">
        <v>27595</v>
      </c>
      <c r="BK416" s="76" t="b">
        <v>0</v>
      </c>
      <c r="BL416" s="76"/>
      <c r="BM416" s="76" t="s">
        <v>65</v>
      </c>
      <c r="BN416" s="76" t="s">
        <v>27597</v>
      </c>
      <c r="BO416" s="82" t="str">
        <f>HYPERLINK("https://twitter.com/mechilearning")</f>
        <v>https://twitter.com/mechilearning</v>
      </c>
      <c r="BP416" s="2"/>
    </row>
    <row r="417" spans="1:68" x14ac:dyDescent="0.25">
      <c r="A417" s="62" t="s">
        <v>1784</v>
      </c>
      <c r="B417" s="63"/>
      <c r="C417" s="63"/>
      <c r="D417" s="64"/>
      <c r="E417" s="66"/>
      <c r="F417" s="103" t="str">
        <f>HYPERLINK("https://pbs.twimg.com/profile_images/1626319193862819841/i8-RVdCF_normal.jpg")</f>
        <v>https://pbs.twimg.com/profile_images/1626319193862819841/i8-RVdCF_normal.jpg</v>
      </c>
      <c r="G417" s="63"/>
      <c r="H417" s="67"/>
      <c r="I417" s="68"/>
      <c r="J417" s="68"/>
      <c r="K417" s="67" t="s">
        <v>28011</v>
      </c>
      <c r="L417" s="71"/>
      <c r="M417" s="72"/>
      <c r="N417" s="72"/>
      <c r="O417" s="73"/>
      <c r="P417" s="74"/>
      <c r="Q417" s="74"/>
      <c r="R417" s="87"/>
      <c r="S417" s="87"/>
      <c r="T417" s="87"/>
      <c r="U417" s="87"/>
      <c r="V417" s="48"/>
      <c r="W417" s="48"/>
      <c r="X417" s="48"/>
      <c r="Y417" s="48"/>
      <c r="Z417" s="47"/>
      <c r="AA417" s="69">
        <v>417</v>
      </c>
      <c r="AB417" s="69"/>
      <c r="AC417" s="70"/>
      <c r="AD417" s="76" t="s">
        <v>21658</v>
      </c>
      <c r="AE417" s="81" t="s">
        <v>23276</v>
      </c>
      <c r="AF417" s="76">
        <v>13522</v>
      </c>
      <c r="AG417" s="76">
        <v>1842</v>
      </c>
      <c r="AH417" s="76">
        <v>5701</v>
      </c>
      <c r="AI417" s="76">
        <v>84</v>
      </c>
      <c r="AJ417" s="76">
        <v>61362</v>
      </c>
      <c r="AK417" s="76">
        <v>531</v>
      </c>
      <c r="AL417" s="76" t="b">
        <v>0</v>
      </c>
      <c r="AM417" s="78">
        <v>43197.541944444441</v>
      </c>
      <c r="AN417" s="76"/>
      <c r="AO417" s="76" t="s">
        <v>25079</v>
      </c>
      <c r="AP417" s="82" t="str">
        <f>HYPERLINK("https://t.co/gG691dmb6h")</f>
        <v>https://t.co/gG691dmb6h</v>
      </c>
      <c r="AQ417" s="82" t="str">
        <f>HYPERLINK("http://www.arklems.org")</f>
        <v>http://www.arklems.org</v>
      </c>
      <c r="AR417" s="76" t="s">
        <v>26587</v>
      </c>
      <c r="AS417" s="76"/>
      <c r="AT417" s="76"/>
      <c r="AU417" s="76"/>
      <c r="AV417" s="76">
        <v>1.6650719164266199E+18</v>
      </c>
      <c r="AW417" s="82" t="str">
        <f>HYPERLINK("https://t.co/gG691dmb6h")</f>
        <v>https://t.co/gG691dmb6h</v>
      </c>
      <c r="AX417" s="76" t="b">
        <v>0</v>
      </c>
      <c r="AY417" s="76"/>
      <c r="AZ417" s="76"/>
      <c r="BA417" s="76" t="b">
        <v>0</v>
      </c>
      <c r="BB417" s="76" t="b">
        <v>1</v>
      </c>
      <c r="BC417" s="76" t="b">
        <v>1</v>
      </c>
      <c r="BD417" s="76" t="b">
        <v>0</v>
      </c>
      <c r="BE417" s="76" t="b">
        <v>1</v>
      </c>
      <c r="BF417" s="76" t="b">
        <v>0</v>
      </c>
      <c r="BG417" s="76" t="b">
        <v>0</v>
      </c>
      <c r="BH417" s="82" t="str">
        <f>HYPERLINK("https://pbs.twimg.com/profile_banners/982604001387728896/1676579791")</f>
        <v>https://pbs.twimg.com/profile_banners/982604001387728896/1676579791</v>
      </c>
      <c r="BI417" s="76"/>
      <c r="BJ417" s="76" t="s">
        <v>27595</v>
      </c>
      <c r="BK417" s="76" t="b">
        <v>0</v>
      </c>
      <c r="BL417" s="76"/>
      <c r="BM417" s="76" t="s">
        <v>65</v>
      </c>
      <c r="BN417" s="76" t="s">
        <v>27597</v>
      </c>
      <c r="BO417" s="82" t="str">
        <f>HYPERLINK("https://twitter.com/arielcoremberg")</f>
        <v>https://twitter.com/arielcoremberg</v>
      </c>
      <c r="BP417" s="2"/>
    </row>
    <row r="418" spans="1:68" x14ac:dyDescent="0.25">
      <c r="A418" s="62" t="s">
        <v>1785</v>
      </c>
      <c r="B418" s="63"/>
      <c r="C418" s="63"/>
      <c r="D418" s="64"/>
      <c r="E418" s="66"/>
      <c r="F418" s="103" t="str">
        <f>HYPERLINK("https://pbs.twimg.com/profile_images/3623676433/968d0c528852f43d5f46da2f995926b0_normal.jpeg")</f>
        <v>https://pbs.twimg.com/profile_images/3623676433/968d0c528852f43d5f46da2f995926b0_normal.jpeg</v>
      </c>
      <c r="G418" s="63"/>
      <c r="H418" s="67"/>
      <c r="I418" s="68"/>
      <c r="J418" s="68"/>
      <c r="K418" s="67" t="s">
        <v>28012</v>
      </c>
      <c r="L418" s="71"/>
      <c r="M418" s="72"/>
      <c r="N418" s="72"/>
      <c r="O418" s="73"/>
      <c r="P418" s="74"/>
      <c r="Q418" s="74"/>
      <c r="R418" s="87"/>
      <c r="S418" s="87"/>
      <c r="T418" s="87"/>
      <c r="U418" s="87"/>
      <c r="V418" s="48"/>
      <c r="W418" s="48"/>
      <c r="X418" s="48"/>
      <c r="Y418" s="48"/>
      <c r="Z418" s="47"/>
      <c r="AA418" s="69">
        <v>418</v>
      </c>
      <c r="AB418" s="69"/>
      <c r="AC418" s="70"/>
      <c r="AD418" s="76" t="s">
        <v>21659</v>
      </c>
      <c r="AE418" s="81" t="s">
        <v>23277</v>
      </c>
      <c r="AF418" s="76">
        <v>4551</v>
      </c>
      <c r="AG418" s="76">
        <v>189</v>
      </c>
      <c r="AH418" s="76">
        <v>252</v>
      </c>
      <c r="AI418" s="76">
        <v>23</v>
      </c>
      <c r="AJ418" s="76">
        <v>64</v>
      </c>
      <c r="AK418" s="76">
        <v>0</v>
      </c>
      <c r="AL418" s="76" t="b">
        <v>0</v>
      </c>
      <c r="AM418" s="78">
        <v>41400.845763888887</v>
      </c>
      <c r="AN418" s="76" t="s">
        <v>14385</v>
      </c>
      <c r="AO418" s="76" t="s">
        <v>25080</v>
      </c>
      <c r="AP418" s="82" t="str">
        <f>HYPERLINK("https://t.co/sTKRsuzZJ2")</f>
        <v>https://t.co/sTKRsuzZJ2</v>
      </c>
      <c r="AQ418" s="82" t="str">
        <f>HYPERLINK("https://www.facebook.com/joseantoniogilvidal?ref=hl")</f>
        <v>https://www.facebook.com/joseantoniogilvidal?ref=hl</v>
      </c>
      <c r="AR418" s="76" t="s">
        <v>26588</v>
      </c>
      <c r="AS418" s="76" t="s">
        <v>27374</v>
      </c>
      <c r="AT418" s="76" t="s">
        <v>27413</v>
      </c>
      <c r="AU418" s="76" t="s">
        <v>27476</v>
      </c>
      <c r="AV418" s="76"/>
      <c r="AW418" s="82" t="str">
        <f>HYPERLINK("https://t.co/sTKRsuzZJ2")</f>
        <v>https://t.co/sTKRsuzZJ2</v>
      </c>
      <c r="AX418" s="76" t="b">
        <v>0</v>
      </c>
      <c r="AY418" s="76"/>
      <c r="AZ418" s="76"/>
      <c r="BA418" s="76" t="b">
        <v>0</v>
      </c>
      <c r="BB418" s="76" t="b">
        <v>1</v>
      </c>
      <c r="BC418" s="76" t="b">
        <v>0</v>
      </c>
      <c r="BD418" s="76" t="b">
        <v>0</v>
      </c>
      <c r="BE418" s="76" t="b">
        <v>0</v>
      </c>
      <c r="BF418" s="76" t="b">
        <v>0</v>
      </c>
      <c r="BG418" s="76" t="b">
        <v>0</v>
      </c>
      <c r="BH418" s="82" t="str">
        <f>HYPERLINK("https://pbs.twimg.com/profile_banners/1408646317/1407007166")</f>
        <v>https://pbs.twimg.com/profile_banners/1408646317/1407007166</v>
      </c>
      <c r="BI418" s="76"/>
      <c r="BJ418" s="76" t="s">
        <v>27595</v>
      </c>
      <c r="BK418" s="76" t="b">
        <v>0</v>
      </c>
      <c r="BL418" s="76"/>
      <c r="BM418" s="76" t="s">
        <v>65</v>
      </c>
      <c r="BN418" s="76" t="s">
        <v>27597</v>
      </c>
      <c r="BO418" s="82" t="str">
        <f>HYPERLINK("https://twitter.com/pepegilvidal")</f>
        <v>https://twitter.com/pepegilvidal</v>
      </c>
      <c r="BP418" s="2"/>
    </row>
    <row r="419" spans="1:68" x14ac:dyDescent="0.25">
      <c r="A419" s="62" t="s">
        <v>1786</v>
      </c>
      <c r="B419" s="63"/>
      <c r="C419" s="63"/>
      <c r="D419" s="64"/>
      <c r="E419" s="66"/>
      <c r="F419" s="103" t="str">
        <f>HYPERLINK("https://pbs.twimg.com/profile_images/648855771954987008/Ieao7qa__normal.jpg")</f>
        <v>https://pbs.twimg.com/profile_images/648855771954987008/Ieao7qa__normal.jpg</v>
      </c>
      <c r="G419" s="63"/>
      <c r="H419" s="67"/>
      <c r="I419" s="68"/>
      <c r="J419" s="68"/>
      <c r="K419" s="67" t="s">
        <v>28013</v>
      </c>
      <c r="L419" s="71"/>
      <c r="M419" s="72"/>
      <c r="N419" s="72"/>
      <c r="O419" s="73"/>
      <c r="P419" s="74"/>
      <c r="Q419" s="74"/>
      <c r="R419" s="87"/>
      <c r="S419" s="87"/>
      <c r="T419" s="87"/>
      <c r="U419" s="87"/>
      <c r="V419" s="48"/>
      <c r="W419" s="48"/>
      <c r="X419" s="48"/>
      <c r="Y419" s="48"/>
      <c r="Z419" s="47"/>
      <c r="AA419" s="69">
        <v>419</v>
      </c>
      <c r="AB419" s="69"/>
      <c r="AC419" s="70"/>
      <c r="AD419" s="76" t="s">
        <v>21660</v>
      </c>
      <c r="AE419" s="81" t="s">
        <v>23278</v>
      </c>
      <c r="AF419" s="76">
        <v>11</v>
      </c>
      <c r="AG419" s="76">
        <v>76</v>
      </c>
      <c r="AH419" s="76">
        <v>75</v>
      </c>
      <c r="AI419" s="76">
        <v>0</v>
      </c>
      <c r="AJ419" s="76">
        <v>46</v>
      </c>
      <c r="AK419" s="76">
        <v>2</v>
      </c>
      <c r="AL419" s="76" t="b">
        <v>0</v>
      </c>
      <c r="AM419" s="78">
        <v>42276.548993055556</v>
      </c>
      <c r="AN419" s="76" t="s">
        <v>14403</v>
      </c>
      <c r="AO419" s="76" t="s">
        <v>25081</v>
      </c>
      <c r="AP419" s="82" t="str">
        <f>HYPERLINK("https://t.co/0dOEnAo3vq")</f>
        <v>https://t.co/0dOEnAo3vq</v>
      </c>
      <c r="AQ419" s="82" t="str">
        <f>HYPERLINK("http://www.libertadyprogreso.com")</f>
        <v>http://www.libertadyprogreso.com</v>
      </c>
      <c r="AR419" s="76" t="s">
        <v>26589</v>
      </c>
      <c r="AS419" s="76"/>
      <c r="AT419" s="76"/>
      <c r="AU419" s="76"/>
      <c r="AV419" s="76"/>
      <c r="AW419" s="82" t="str">
        <f>HYPERLINK("https://t.co/0dOEnAo3vq")</f>
        <v>https://t.co/0dOEnAo3vq</v>
      </c>
      <c r="AX419" s="76" t="b">
        <v>0</v>
      </c>
      <c r="AY419" s="76"/>
      <c r="AZ419" s="76"/>
      <c r="BA419" s="76" t="b">
        <v>0</v>
      </c>
      <c r="BB419" s="76" t="b">
        <v>0</v>
      </c>
      <c r="BC419" s="76" t="b">
        <v>1</v>
      </c>
      <c r="BD419" s="76" t="b">
        <v>0</v>
      </c>
      <c r="BE419" s="76" t="b">
        <v>0</v>
      </c>
      <c r="BF419" s="76" t="b">
        <v>0</v>
      </c>
      <c r="BG419" s="76" t="b">
        <v>0</v>
      </c>
      <c r="BH419" s="82" t="str">
        <f>HYPERLINK("https://pbs.twimg.com/profile_banners/3814801875/1450213353")</f>
        <v>https://pbs.twimg.com/profile_banners/3814801875/1450213353</v>
      </c>
      <c r="BI419" s="76"/>
      <c r="BJ419" s="76" t="s">
        <v>27595</v>
      </c>
      <c r="BK419" s="76" t="b">
        <v>0</v>
      </c>
      <c r="BL419" s="76"/>
      <c r="BM419" s="76" t="s">
        <v>65</v>
      </c>
      <c r="BN419" s="76" t="s">
        <v>27597</v>
      </c>
      <c r="BO419" s="82" t="str">
        <f>HYPERLINK("https://twitter.com/lpfundacion")</f>
        <v>https://twitter.com/lpfundacion</v>
      </c>
      <c r="BP419" s="2"/>
    </row>
    <row r="420" spans="1:68" x14ac:dyDescent="0.25">
      <c r="A420" s="62" t="s">
        <v>1787</v>
      </c>
      <c r="B420" s="63"/>
      <c r="C420" s="63"/>
      <c r="D420" s="64"/>
      <c r="E420" s="66"/>
      <c r="F420" s="103" t="str">
        <f>HYPERLINK("https://pbs.twimg.com/profile_images/1379156094/MG_3623_ForoRepublicano-LibertadyProgreso1-150x150_normal.jpg")</f>
        <v>https://pbs.twimg.com/profile_images/1379156094/MG_3623_ForoRepublicano-LibertadyProgreso1-150x150_normal.jpg</v>
      </c>
      <c r="G420" s="63"/>
      <c r="H420" s="67"/>
      <c r="I420" s="68"/>
      <c r="J420" s="68"/>
      <c r="K420" s="67" t="s">
        <v>28014</v>
      </c>
      <c r="L420" s="71"/>
      <c r="M420" s="72"/>
      <c r="N420" s="72"/>
      <c r="O420" s="73"/>
      <c r="P420" s="74"/>
      <c r="Q420" s="74"/>
      <c r="R420" s="87"/>
      <c r="S420" s="87"/>
      <c r="T420" s="87"/>
      <c r="U420" s="87"/>
      <c r="V420" s="48"/>
      <c r="W420" s="48"/>
      <c r="X420" s="48"/>
      <c r="Y420" s="48"/>
      <c r="Z420" s="47"/>
      <c r="AA420" s="69">
        <v>420</v>
      </c>
      <c r="AB420" s="69"/>
      <c r="AC420" s="70"/>
      <c r="AD420" s="76" t="s">
        <v>21661</v>
      </c>
      <c r="AE420" s="81" t="s">
        <v>23279</v>
      </c>
      <c r="AF420" s="76">
        <v>32281</v>
      </c>
      <c r="AG420" s="76">
        <v>2441</v>
      </c>
      <c r="AH420" s="76">
        <v>47360</v>
      </c>
      <c r="AI420" s="76">
        <v>238</v>
      </c>
      <c r="AJ420" s="76">
        <v>12280</v>
      </c>
      <c r="AK420" s="76">
        <v>5091</v>
      </c>
      <c r="AL420" s="76" t="b">
        <v>0</v>
      </c>
      <c r="AM420" s="78">
        <v>40696.764872685184</v>
      </c>
      <c r="AN420" s="76" t="s">
        <v>24114</v>
      </c>
      <c r="AO420" s="76" t="s">
        <v>25082</v>
      </c>
      <c r="AP420" s="82" t="str">
        <f>HYPERLINK("http://t.co/brUh8KdRBB")</f>
        <v>http://t.co/brUh8KdRBB</v>
      </c>
      <c r="AQ420" s="82" t="str">
        <f>HYPERLINK("http://www.libertadyprogreso.org")</f>
        <v>http://www.libertadyprogreso.org</v>
      </c>
      <c r="AR420" s="76" t="s">
        <v>26590</v>
      </c>
      <c r="AS420" s="76"/>
      <c r="AT420" s="76"/>
      <c r="AU420" s="76"/>
      <c r="AV420" s="76">
        <v>1.68391023376717E+18</v>
      </c>
      <c r="AW420" s="82" t="str">
        <f>HYPERLINK("http://t.co/brUh8KdRBB")</f>
        <v>http://t.co/brUh8KdRBB</v>
      </c>
      <c r="AX420" s="76" t="b">
        <v>0</v>
      </c>
      <c r="AY420" s="76"/>
      <c r="AZ420" s="76"/>
      <c r="BA420" s="76" t="b">
        <v>0</v>
      </c>
      <c r="BB420" s="76" t="b">
        <v>1</v>
      </c>
      <c r="BC420" s="76" t="b">
        <v>0</v>
      </c>
      <c r="BD420" s="76" t="b">
        <v>0</v>
      </c>
      <c r="BE420" s="76" t="b">
        <v>1</v>
      </c>
      <c r="BF420" s="76" t="b">
        <v>0</v>
      </c>
      <c r="BG420" s="76" t="b">
        <v>0</v>
      </c>
      <c r="BH420" s="82" t="str">
        <f>HYPERLINK("https://pbs.twimg.com/profile_banners/309812848/1516284782")</f>
        <v>https://pbs.twimg.com/profile_banners/309812848/1516284782</v>
      </c>
      <c r="BI420" s="76"/>
      <c r="BJ420" s="76" t="s">
        <v>27595</v>
      </c>
      <c r="BK420" s="76" t="b">
        <v>0</v>
      </c>
      <c r="BL420" s="76"/>
      <c r="BM420" s="76" t="s">
        <v>65</v>
      </c>
      <c r="BN420" s="76" t="s">
        <v>27597</v>
      </c>
      <c r="BO420" s="82" t="str">
        <f>HYPERLINK("https://twitter.com/abramaldo")</f>
        <v>https://twitter.com/abramaldo</v>
      </c>
      <c r="BP420" s="2"/>
    </row>
    <row r="421" spans="1:68" x14ac:dyDescent="0.25">
      <c r="A421" s="62" t="s">
        <v>1788</v>
      </c>
      <c r="B421" s="63"/>
      <c r="C421" s="63"/>
      <c r="D421" s="64"/>
      <c r="E421" s="66"/>
      <c r="F421" s="103" t="str">
        <f>HYPERLINK("https://pbs.twimg.com/profile_images/1622313278473904134/omY7pF-F_normal.jpg")</f>
        <v>https://pbs.twimg.com/profile_images/1622313278473904134/omY7pF-F_normal.jpg</v>
      </c>
      <c r="G421" s="63"/>
      <c r="H421" s="67"/>
      <c r="I421" s="68"/>
      <c r="J421" s="68"/>
      <c r="K421" s="67" t="s">
        <v>28015</v>
      </c>
      <c r="L421" s="71"/>
      <c r="M421" s="72"/>
      <c r="N421" s="72"/>
      <c r="O421" s="73"/>
      <c r="P421" s="74"/>
      <c r="Q421" s="74"/>
      <c r="R421" s="87"/>
      <c r="S421" s="87"/>
      <c r="T421" s="87"/>
      <c r="U421" s="87"/>
      <c r="V421" s="48"/>
      <c r="W421" s="48"/>
      <c r="X421" s="48"/>
      <c r="Y421" s="48"/>
      <c r="Z421" s="47"/>
      <c r="AA421" s="69">
        <v>421</v>
      </c>
      <c r="AB421" s="69"/>
      <c r="AC421" s="70"/>
      <c r="AD421" s="76" t="s">
        <v>21662</v>
      </c>
      <c r="AE421" s="81" t="s">
        <v>23280</v>
      </c>
      <c r="AF421" s="76">
        <v>1673</v>
      </c>
      <c r="AG421" s="76">
        <v>635</v>
      </c>
      <c r="AH421" s="76">
        <v>18791</v>
      </c>
      <c r="AI421" s="76">
        <v>6</v>
      </c>
      <c r="AJ421" s="76">
        <v>8926</v>
      </c>
      <c r="AK421" s="76">
        <v>594</v>
      </c>
      <c r="AL421" s="76" t="b">
        <v>0</v>
      </c>
      <c r="AM421" s="78">
        <v>40682.044756944444</v>
      </c>
      <c r="AN421" s="76" t="s">
        <v>24227</v>
      </c>
      <c r="AO421" s="76" t="s">
        <v>25083</v>
      </c>
      <c r="AP421" s="82" t="str">
        <f>HYPERLINK("https://t.co/U25hOdPI9m")</f>
        <v>https://t.co/U25hOdPI9m</v>
      </c>
      <c r="AQ421" s="82" t="str">
        <f>HYPERLINK("http://www.adduc.org.ar")</f>
        <v>http://www.adduc.org.ar</v>
      </c>
      <c r="AR421" s="76" t="s">
        <v>26591</v>
      </c>
      <c r="AS421" s="76"/>
      <c r="AT421" s="76"/>
      <c r="AU421" s="76"/>
      <c r="AV421" s="76"/>
      <c r="AW421" s="82" t="str">
        <f>HYPERLINK("https://t.co/U25hOdPI9m")</f>
        <v>https://t.co/U25hOdPI9m</v>
      </c>
      <c r="AX421" s="76" t="b">
        <v>0</v>
      </c>
      <c r="AY421" s="76"/>
      <c r="AZ421" s="76"/>
      <c r="BA421" s="76" t="b">
        <v>0</v>
      </c>
      <c r="BB421" s="76" t="b">
        <v>1</v>
      </c>
      <c r="BC421" s="76" t="b">
        <v>1</v>
      </c>
      <c r="BD421" s="76" t="b">
        <v>0</v>
      </c>
      <c r="BE421" s="76" t="b">
        <v>1</v>
      </c>
      <c r="BF421" s="76" t="b">
        <v>0</v>
      </c>
      <c r="BG421" s="76" t="b">
        <v>0</v>
      </c>
      <c r="BH421" s="82" t="str">
        <f>HYPERLINK("https://pbs.twimg.com/profile_banners/301178278/1675624765")</f>
        <v>https://pbs.twimg.com/profile_banners/301178278/1675624765</v>
      </c>
      <c r="BI421" s="76"/>
      <c r="BJ421" s="76" t="s">
        <v>27595</v>
      </c>
      <c r="BK421" s="76" t="b">
        <v>0</v>
      </c>
      <c r="BL421" s="76"/>
      <c r="BM421" s="76" t="s">
        <v>65</v>
      </c>
      <c r="BN421" s="76" t="s">
        <v>27597</v>
      </c>
      <c r="BO421" s="82" t="str">
        <f>HYPERLINK("https://twitter.com/osvaldohbassano")</f>
        <v>https://twitter.com/osvaldohbassano</v>
      </c>
      <c r="BP421" s="2"/>
    </row>
    <row r="422" spans="1:68" x14ac:dyDescent="0.25">
      <c r="A422" s="62" t="s">
        <v>1789</v>
      </c>
      <c r="B422" s="63"/>
      <c r="C422" s="63"/>
      <c r="D422" s="64"/>
      <c r="E422" s="66"/>
      <c r="F422" s="103" t="str">
        <f>HYPERLINK("https://pbs.twimg.com/profile_images/1439018020739948555/sJTecwQH_normal.jpg")</f>
        <v>https://pbs.twimg.com/profile_images/1439018020739948555/sJTecwQH_normal.jpg</v>
      </c>
      <c r="G422" s="63"/>
      <c r="H422" s="67"/>
      <c r="I422" s="68"/>
      <c r="J422" s="68"/>
      <c r="K422" s="67" t="s">
        <v>28016</v>
      </c>
      <c r="L422" s="71"/>
      <c r="M422" s="72"/>
      <c r="N422" s="72"/>
      <c r="O422" s="73"/>
      <c r="P422" s="74"/>
      <c r="Q422" s="74"/>
      <c r="R422" s="87"/>
      <c r="S422" s="87"/>
      <c r="T422" s="87"/>
      <c r="U422" s="87"/>
      <c r="V422" s="48"/>
      <c r="W422" s="48"/>
      <c r="X422" s="48"/>
      <c r="Y422" s="48"/>
      <c r="Z422" s="47"/>
      <c r="AA422" s="69">
        <v>422</v>
      </c>
      <c r="AB422" s="69"/>
      <c r="AC422" s="70"/>
      <c r="AD422" s="76" t="s">
        <v>21663</v>
      </c>
      <c r="AE422" s="81" t="s">
        <v>23281</v>
      </c>
      <c r="AF422" s="76">
        <v>32352</v>
      </c>
      <c r="AG422" s="76">
        <v>3006</v>
      </c>
      <c r="AH422" s="76">
        <v>11426</v>
      </c>
      <c r="AI422" s="76">
        <v>155</v>
      </c>
      <c r="AJ422" s="76">
        <v>8122</v>
      </c>
      <c r="AK422" s="76">
        <v>2436</v>
      </c>
      <c r="AL422" s="76" t="b">
        <v>0</v>
      </c>
      <c r="AM422" s="78">
        <v>41929.57980324074</v>
      </c>
      <c r="AN422" s="76" t="s">
        <v>24113</v>
      </c>
      <c r="AO422" s="76" t="s">
        <v>25084</v>
      </c>
      <c r="AP422" s="82" t="str">
        <f>HYPERLINK("https://t.co/Hz2ZJhEtEW")</f>
        <v>https://t.co/Hz2ZJhEtEW</v>
      </c>
      <c r="AQ422" s="82" t="str">
        <f>HYPERLINK("https://www.instagram.com/el_lobo_bueno_de_la_city/")</f>
        <v>https://www.instagram.com/el_lobo_bueno_de_la_city/</v>
      </c>
      <c r="AR422" s="76" t="s">
        <v>26592</v>
      </c>
      <c r="AS422" s="76"/>
      <c r="AT422" s="76"/>
      <c r="AU422" s="76"/>
      <c r="AV422" s="76"/>
      <c r="AW422" s="82" t="str">
        <f>HYPERLINK("https://t.co/Hz2ZJhEtEW")</f>
        <v>https://t.co/Hz2ZJhEtEW</v>
      </c>
      <c r="AX422" s="76" t="b">
        <v>0</v>
      </c>
      <c r="AY422" s="76"/>
      <c r="AZ422" s="76"/>
      <c r="BA422" s="76" t="b">
        <v>1</v>
      </c>
      <c r="BB422" s="76" t="b">
        <v>1</v>
      </c>
      <c r="BC422" s="76" t="b">
        <v>0</v>
      </c>
      <c r="BD422" s="76" t="b">
        <v>0</v>
      </c>
      <c r="BE422" s="76" t="b">
        <v>1</v>
      </c>
      <c r="BF422" s="76" t="b">
        <v>0</v>
      </c>
      <c r="BG422" s="76" t="b">
        <v>0</v>
      </c>
      <c r="BH422" s="82" t="str">
        <f>HYPERLINK("https://pbs.twimg.com/profile_banners/2835075677/1626609343")</f>
        <v>https://pbs.twimg.com/profile_banners/2835075677/1626609343</v>
      </c>
      <c r="BI422" s="76"/>
      <c r="BJ422" s="76" t="s">
        <v>27595</v>
      </c>
      <c r="BK422" s="76" t="b">
        <v>0</v>
      </c>
      <c r="BL422" s="76"/>
      <c r="BM422" s="76" t="s">
        <v>65</v>
      </c>
      <c r="BN422" s="76" t="s">
        <v>27597</v>
      </c>
      <c r="BO422" s="82" t="str">
        <f>HYPERLINK("https://twitter.com/santiagollull")</f>
        <v>https://twitter.com/santiagollull</v>
      </c>
      <c r="BP422" s="2"/>
    </row>
    <row r="423" spans="1:68" x14ac:dyDescent="0.25">
      <c r="A423" s="62" t="s">
        <v>1790</v>
      </c>
      <c r="B423" s="63"/>
      <c r="C423" s="63"/>
      <c r="D423" s="64"/>
      <c r="E423" s="66"/>
      <c r="F423" s="103" t="str">
        <f>HYPERLINK("https://pbs.twimg.com/profile_images/1120282504878018560/Ga4DyHSz_normal.jpg")</f>
        <v>https://pbs.twimg.com/profile_images/1120282504878018560/Ga4DyHSz_normal.jpg</v>
      </c>
      <c r="G423" s="63"/>
      <c r="H423" s="67"/>
      <c r="I423" s="68"/>
      <c r="J423" s="68"/>
      <c r="K423" s="67" t="s">
        <v>28017</v>
      </c>
      <c r="L423" s="71"/>
      <c r="M423" s="72"/>
      <c r="N423" s="72"/>
      <c r="O423" s="73"/>
      <c r="P423" s="74"/>
      <c r="Q423" s="74"/>
      <c r="R423" s="87"/>
      <c r="S423" s="87"/>
      <c r="T423" s="87"/>
      <c r="U423" s="87"/>
      <c r="V423" s="48"/>
      <c r="W423" s="48"/>
      <c r="X423" s="48"/>
      <c r="Y423" s="48"/>
      <c r="Z423" s="47"/>
      <c r="AA423" s="69">
        <v>423</v>
      </c>
      <c r="AB423" s="69"/>
      <c r="AC423" s="70"/>
      <c r="AD423" s="76" t="s">
        <v>21664</v>
      </c>
      <c r="AE423" s="81" t="s">
        <v>23282</v>
      </c>
      <c r="AF423" s="76">
        <v>2047</v>
      </c>
      <c r="AG423" s="76">
        <v>2456</v>
      </c>
      <c r="AH423" s="76">
        <v>7691</v>
      </c>
      <c r="AI423" s="76">
        <v>30</v>
      </c>
      <c r="AJ423" s="76">
        <v>7799</v>
      </c>
      <c r="AK423" s="76">
        <v>81</v>
      </c>
      <c r="AL423" s="76" t="b">
        <v>0</v>
      </c>
      <c r="AM423" s="78">
        <v>40306.96371527778</v>
      </c>
      <c r="AN423" s="76" t="s">
        <v>24128</v>
      </c>
      <c r="AO423" s="76" t="s">
        <v>25085</v>
      </c>
      <c r="AP423" s="82" t="str">
        <f>HYPERLINK("https://t.co/ITnpfLr8zu")</f>
        <v>https://t.co/ITnpfLr8zu</v>
      </c>
      <c r="AQ423" s="82" t="str">
        <f>HYPERLINK("http://www.diarioconurbano.com/")</f>
        <v>http://www.diarioconurbano.com/</v>
      </c>
      <c r="AR423" s="76" t="s">
        <v>26593</v>
      </c>
      <c r="AS423" s="76" t="s">
        <v>27375</v>
      </c>
      <c r="AT423" s="76" t="s">
        <v>27414</v>
      </c>
      <c r="AU423" s="76" t="s">
        <v>27477</v>
      </c>
      <c r="AV423" s="76"/>
      <c r="AW423" s="82" t="str">
        <f>HYPERLINK("https://t.co/ITnpfLr8zu")</f>
        <v>https://t.co/ITnpfLr8zu</v>
      </c>
      <c r="AX423" s="76" t="b">
        <v>0</v>
      </c>
      <c r="AY423" s="76"/>
      <c r="AZ423" s="76"/>
      <c r="BA423" s="76" t="b">
        <v>0</v>
      </c>
      <c r="BB423" s="76" t="b">
        <v>0</v>
      </c>
      <c r="BC423" s="76" t="b">
        <v>1</v>
      </c>
      <c r="BD423" s="76" t="b">
        <v>0</v>
      </c>
      <c r="BE423" s="76" t="b">
        <v>1</v>
      </c>
      <c r="BF423" s="76" t="b">
        <v>0</v>
      </c>
      <c r="BG423" s="76" t="b">
        <v>0</v>
      </c>
      <c r="BH423" s="82" t="str">
        <f>HYPERLINK("https://pbs.twimg.com/profile_banners/141746750/1508507317")</f>
        <v>https://pbs.twimg.com/profile_banners/141746750/1508507317</v>
      </c>
      <c r="BI423" s="76"/>
      <c r="BJ423" s="76" t="s">
        <v>27595</v>
      </c>
      <c r="BK423" s="76" t="b">
        <v>0</v>
      </c>
      <c r="BL423" s="76"/>
      <c r="BM423" s="76" t="s">
        <v>65</v>
      </c>
      <c r="BN423" s="76" t="s">
        <v>27597</v>
      </c>
      <c r="BO423" s="82" t="str">
        <f>HYPERLINK("https://twitter.com/arielgmaciel")</f>
        <v>https://twitter.com/arielgmaciel</v>
      </c>
      <c r="BP423" s="2"/>
    </row>
    <row r="424" spans="1:68" x14ac:dyDescent="0.25">
      <c r="A424" s="62" t="s">
        <v>1791</v>
      </c>
      <c r="B424" s="63"/>
      <c r="C424" s="63"/>
      <c r="D424" s="64"/>
      <c r="E424" s="66"/>
      <c r="F424" s="103" t="str">
        <f>HYPERLINK("https://pbs.twimg.com/profile_images/791996514390466560/86BcUtBJ_normal.jpg")</f>
        <v>https://pbs.twimg.com/profile_images/791996514390466560/86BcUtBJ_normal.jpg</v>
      </c>
      <c r="G424" s="63"/>
      <c r="H424" s="67"/>
      <c r="I424" s="68"/>
      <c r="J424" s="68"/>
      <c r="K424" s="67" t="s">
        <v>28018</v>
      </c>
      <c r="L424" s="71"/>
      <c r="M424" s="72"/>
      <c r="N424" s="72"/>
      <c r="O424" s="73"/>
      <c r="P424" s="74"/>
      <c r="Q424" s="74"/>
      <c r="R424" s="87"/>
      <c r="S424" s="87"/>
      <c r="T424" s="87"/>
      <c r="U424" s="87"/>
      <c r="V424" s="48"/>
      <c r="W424" s="48"/>
      <c r="X424" s="48"/>
      <c r="Y424" s="48"/>
      <c r="Z424" s="47"/>
      <c r="AA424" s="69">
        <v>424</v>
      </c>
      <c r="AB424" s="69"/>
      <c r="AC424" s="70"/>
      <c r="AD424" s="76" t="s">
        <v>21665</v>
      </c>
      <c r="AE424" s="81" t="s">
        <v>23283</v>
      </c>
      <c r="AF424" s="76">
        <v>38755</v>
      </c>
      <c r="AG424" s="76">
        <v>496</v>
      </c>
      <c r="AH424" s="76">
        <v>18273</v>
      </c>
      <c r="AI424" s="76">
        <v>192</v>
      </c>
      <c r="AJ424" s="76">
        <v>26651</v>
      </c>
      <c r="AK424" s="76">
        <v>3940</v>
      </c>
      <c r="AL424" s="76" t="b">
        <v>0</v>
      </c>
      <c r="AM424" s="78">
        <v>41911.681261574071</v>
      </c>
      <c r="AN424" s="76" t="s">
        <v>24228</v>
      </c>
      <c r="AO424" s="76" t="s">
        <v>25086</v>
      </c>
      <c r="AP424" s="82" t="str">
        <f>HYPERLINK("https://t.co/mWSVg4P8m3")</f>
        <v>https://t.co/mWSVg4P8m3</v>
      </c>
      <c r="AQ424" s="82" t="str">
        <f>HYPERLINK("http://www.focusmarket.com.ar/")</f>
        <v>http://www.focusmarket.com.ar/</v>
      </c>
      <c r="AR424" s="76" t="s">
        <v>26594</v>
      </c>
      <c r="AS424" s="76"/>
      <c r="AT424" s="76"/>
      <c r="AU424" s="76"/>
      <c r="AV424" s="76">
        <v>1.1787561565813801E+18</v>
      </c>
      <c r="AW424" s="82" t="str">
        <f>HYPERLINK("https://t.co/mWSVg4P8m3")</f>
        <v>https://t.co/mWSVg4P8m3</v>
      </c>
      <c r="AX424" s="76" t="b">
        <v>0</v>
      </c>
      <c r="AY424" s="76"/>
      <c r="AZ424" s="76"/>
      <c r="BA424" s="76" t="b">
        <v>0</v>
      </c>
      <c r="BB424" s="76" t="b">
        <v>1</v>
      </c>
      <c r="BC424" s="76" t="b">
        <v>0</v>
      </c>
      <c r="BD424" s="76" t="b">
        <v>0</v>
      </c>
      <c r="BE424" s="76" t="b">
        <v>1</v>
      </c>
      <c r="BF424" s="76" t="b">
        <v>0</v>
      </c>
      <c r="BG424" s="76" t="b">
        <v>0</v>
      </c>
      <c r="BH424" s="82" t="str">
        <f>HYPERLINK("https://pbs.twimg.com/profile_banners/2792117080/1590370216")</f>
        <v>https://pbs.twimg.com/profile_banners/2792117080/1590370216</v>
      </c>
      <c r="BI424" s="76"/>
      <c r="BJ424" s="76" t="s">
        <v>27595</v>
      </c>
      <c r="BK424" s="76" t="b">
        <v>0</v>
      </c>
      <c r="BL424" s="76"/>
      <c r="BM424" s="76" t="s">
        <v>65</v>
      </c>
      <c r="BN424" s="76" t="s">
        <v>27597</v>
      </c>
      <c r="BO424" s="82" t="str">
        <f>HYPERLINK("https://twitter.com/dipace4")</f>
        <v>https://twitter.com/dipace4</v>
      </c>
      <c r="BP424" s="2"/>
    </row>
    <row r="425" spans="1:68" x14ac:dyDescent="0.25">
      <c r="A425" s="62" t="s">
        <v>1792</v>
      </c>
      <c r="B425" s="63"/>
      <c r="C425" s="63"/>
      <c r="D425" s="64"/>
      <c r="E425" s="66"/>
      <c r="F425" s="103" t="str">
        <f>HYPERLINK("https://pbs.twimg.com/profile_images/1243197635428847618/VGSGxdHi_normal.jpg")</f>
        <v>https://pbs.twimg.com/profile_images/1243197635428847618/VGSGxdHi_normal.jpg</v>
      </c>
      <c r="G425" s="63"/>
      <c r="H425" s="67"/>
      <c r="I425" s="68"/>
      <c r="J425" s="68"/>
      <c r="K425" s="67" t="s">
        <v>28019</v>
      </c>
      <c r="L425" s="71"/>
      <c r="M425" s="72"/>
      <c r="N425" s="72"/>
      <c r="O425" s="73"/>
      <c r="P425" s="74"/>
      <c r="Q425" s="74"/>
      <c r="R425" s="87"/>
      <c r="S425" s="87"/>
      <c r="T425" s="87"/>
      <c r="U425" s="87"/>
      <c r="V425" s="48"/>
      <c r="W425" s="48"/>
      <c r="X425" s="48"/>
      <c r="Y425" s="48"/>
      <c r="Z425" s="47"/>
      <c r="AA425" s="69">
        <v>425</v>
      </c>
      <c r="AB425" s="69"/>
      <c r="AC425" s="70"/>
      <c r="AD425" s="76" t="s">
        <v>1792</v>
      </c>
      <c r="AE425" s="81" t="s">
        <v>23284</v>
      </c>
      <c r="AF425" s="76">
        <v>190</v>
      </c>
      <c r="AG425" s="76">
        <v>26</v>
      </c>
      <c r="AH425" s="76">
        <v>112</v>
      </c>
      <c r="AI425" s="76">
        <v>3</v>
      </c>
      <c r="AJ425" s="76">
        <v>143</v>
      </c>
      <c r="AK425" s="76">
        <v>0</v>
      </c>
      <c r="AL425" s="76" t="b">
        <v>0</v>
      </c>
      <c r="AM425" s="78">
        <v>43809.81050925926</v>
      </c>
      <c r="AN425" s="76"/>
      <c r="AO425" s="76" t="s">
        <v>25087</v>
      </c>
      <c r="AP425" s="76"/>
      <c r="AQ425" s="76"/>
      <c r="AR425" s="76"/>
      <c r="AS425" s="76"/>
      <c r="AT425" s="76"/>
      <c r="AU425" s="76"/>
      <c r="AV425" s="76"/>
      <c r="AW425" s="76"/>
      <c r="AX425" s="76" t="b">
        <v>0</v>
      </c>
      <c r="AY425" s="76"/>
      <c r="AZ425" s="76"/>
      <c r="BA425" s="76" t="b">
        <v>1</v>
      </c>
      <c r="BB425" s="76" t="b">
        <v>1</v>
      </c>
      <c r="BC425" s="76" t="b">
        <v>1</v>
      </c>
      <c r="BD425" s="76" t="b">
        <v>0</v>
      </c>
      <c r="BE425" s="76" t="b">
        <v>0</v>
      </c>
      <c r="BF425" s="76" t="b">
        <v>0</v>
      </c>
      <c r="BG425" s="76" t="b">
        <v>0</v>
      </c>
      <c r="BH425" s="76"/>
      <c r="BI425" s="76"/>
      <c r="BJ425" s="76" t="s">
        <v>27595</v>
      </c>
      <c r="BK425" s="76" t="b">
        <v>0</v>
      </c>
      <c r="BL425" s="76"/>
      <c r="BM425" s="76" t="s">
        <v>65</v>
      </c>
      <c r="BN425" s="76" t="s">
        <v>27597</v>
      </c>
      <c r="BO425" s="82" t="str">
        <f>HYPERLINK("https://twitter.com/rociokalenok")</f>
        <v>https://twitter.com/rociokalenok</v>
      </c>
      <c r="BP425" s="2"/>
    </row>
    <row r="426" spans="1:68" x14ac:dyDescent="0.25">
      <c r="A426" s="62" t="s">
        <v>1793</v>
      </c>
      <c r="B426" s="63"/>
      <c r="C426" s="63"/>
      <c r="D426" s="64"/>
      <c r="E426" s="66"/>
      <c r="F426" s="103" t="str">
        <f>HYPERLINK("https://pbs.twimg.com/profile_images/1444283839413633031/PYprY9IA_normal.jpg")</f>
        <v>https://pbs.twimg.com/profile_images/1444283839413633031/PYprY9IA_normal.jpg</v>
      </c>
      <c r="G426" s="63"/>
      <c r="H426" s="67"/>
      <c r="I426" s="68"/>
      <c r="J426" s="68"/>
      <c r="K426" s="67" t="s">
        <v>28020</v>
      </c>
      <c r="L426" s="71"/>
      <c r="M426" s="72"/>
      <c r="N426" s="72"/>
      <c r="O426" s="73"/>
      <c r="P426" s="74"/>
      <c r="Q426" s="74"/>
      <c r="R426" s="87"/>
      <c r="S426" s="87"/>
      <c r="T426" s="87"/>
      <c r="U426" s="87"/>
      <c r="V426" s="48"/>
      <c r="W426" s="48"/>
      <c r="X426" s="48"/>
      <c r="Y426" s="48"/>
      <c r="Z426" s="47"/>
      <c r="AA426" s="69">
        <v>426</v>
      </c>
      <c r="AB426" s="69"/>
      <c r="AC426" s="70"/>
      <c r="AD426" s="76" t="s">
        <v>21666</v>
      </c>
      <c r="AE426" s="81" t="s">
        <v>23285</v>
      </c>
      <c r="AF426" s="76">
        <v>32521</v>
      </c>
      <c r="AG426" s="76">
        <v>850</v>
      </c>
      <c r="AH426" s="76">
        <v>25184</v>
      </c>
      <c r="AI426" s="76">
        <v>212</v>
      </c>
      <c r="AJ426" s="76">
        <v>4500</v>
      </c>
      <c r="AK426" s="76">
        <v>1675</v>
      </c>
      <c r="AL426" s="76" t="b">
        <v>0</v>
      </c>
      <c r="AM426" s="78">
        <v>40378.743171296293</v>
      </c>
      <c r="AN426" s="76"/>
      <c r="AO426" s="76" t="s">
        <v>25088</v>
      </c>
      <c r="AP426" s="82" t="str">
        <f>HYPERLINK("https://t.co/A2jaQ9asVk")</f>
        <v>https://t.co/A2jaQ9asVk</v>
      </c>
      <c r="AQ426" s="82" t="str">
        <f>HYPERLINK("https://mobilebook.com.ar/p/como-invertir-ya")</f>
        <v>https://mobilebook.com.ar/p/como-invertir-ya</v>
      </c>
      <c r="AR426" s="76" t="s">
        <v>26595</v>
      </c>
      <c r="AS426" s="82" t="str">
        <f>HYPERLINK("https://t.co/oZZJAUFFSZ")</f>
        <v>https://t.co/oZZJAUFFSZ</v>
      </c>
      <c r="AT426" s="82" t="str">
        <f>HYPERLINK("https://www.youtube.com/channel/UCP0a1HOL__SCwVXoAHPddsQ")</f>
        <v>https://www.youtube.com/channel/UCP0a1HOL__SCwVXoAHPddsQ</v>
      </c>
      <c r="AU426" s="76" t="s">
        <v>27478</v>
      </c>
      <c r="AV426" s="76"/>
      <c r="AW426" s="82" t="str">
        <f>HYPERLINK("https://t.co/A2jaQ9asVk")</f>
        <v>https://t.co/A2jaQ9asVk</v>
      </c>
      <c r="AX426" s="76" t="b">
        <v>0</v>
      </c>
      <c r="AY426" s="76"/>
      <c r="AZ426" s="76"/>
      <c r="BA426" s="76" t="b">
        <v>0</v>
      </c>
      <c r="BB426" s="76" t="b">
        <v>1</v>
      </c>
      <c r="BC426" s="76" t="b">
        <v>1</v>
      </c>
      <c r="BD426" s="76" t="b">
        <v>0</v>
      </c>
      <c r="BE426" s="76" t="b">
        <v>0</v>
      </c>
      <c r="BF426" s="76" t="b">
        <v>0</v>
      </c>
      <c r="BG426" s="76" t="b">
        <v>0</v>
      </c>
      <c r="BH426" s="82" t="str">
        <f>HYPERLINK("https://pbs.twimg.com/profile_banners/168549091/1632447078")</f>
        <v>https://pbs.twimg.com/profile_banners/168549091/1632447078</v>
      </c>
      <c r="BI426" s="76"/>
      <c r="BJ426" s="76" t="s">
        <v>27595</v>
      </c>
      <c r="BK426" s="76" t="b">
        <v>0</v>
      </c>
      <c r="BL426" s="76"/>
      <c r="BM426" s="76" t="s">
        <v>65</v>
      </c>
      <c r="BN426" s="76" t="s">
        <v>27597</v>
      </c>
      <c r="BO426" s="82" t="str">
        <f>HYPERLINK("https://twitter.com/marianogoro")</f>
        <v>https://twitter.com/marianogoro</v>
      </c>
      <c r="BP426" s="2"/>
    </row>
    <row r="427" spans="1:68" x14ac:dyDescent="0.25">
      <c r="A427" s="62" t="s">
        <v>1794</v>
      </c>
      <c r="B427" s="63"/>
      <c r="C427" s="63"/>
      <c r="D427" s="64"/>
      <c r="E427" s="66"/>
      <c r="F427" s="103" t="str">
        <f>HYPERLINK("https://pbs.twimg.com/profile_images/1678460729656066048/0qV-wb4M_normal.jpg")</f>
        <v>https://pbs.twimg.com/profile_images/1678460729656066048/0qV-wb4M_normal.jpg</v>
      </c>
      <c r="G427" s="63"/>
      <c r="H427" s="67"/>
      <c r="I427" s="68"/>
      <c r="J427" s="68"/>
      <c r="K427" s="67" t="s">
        <v>28021</v>
      </c>
      <c r="L427" s="71"/>
      <c r="M427" s="72"/>
      <c r="N427" s="72"/>
      <c r="O427" s="73"/>
      <c r="P427" s="74"/>
      <c r="Q427" s="74"/>
      <c r="R427" s="87"/>
      <c r="S427" s="87"/>
      <c r="T427" s="87"/>
      <c r="U427" s="87"/>
      <c r="V427" s="48"/>
      <c r="W427" s="48"/>
      <c r="X427" s="48"/>
      <c r="Y427" s="48"/>
      <c r="Z427" s="47"/>
      <c r="AA427" s="69">
        <v>427</v>
      </c>
      <c r="AB427" s="69"/>
      <c r="AC427" s="70"/>
      <c r="AD427" s="76" t="s">
        <v>21667</v>
      </c>
      <c r="AE427" s="81" t="s">
        <v>23286</v>
      </c>
      <c r="AF427" s="76">
        <v>9439</v>
      </c>
      <c r="AG427" s="76">
        <v>4969</v>
      </c>
      <c r="AH427" s="76">
        <v>35883</v>
      </c>
      <c r="AI427" s="76">
        <v>37</v>
      </c>
      <c r="AJ427" s="76">
        <v>9077</v>
      </c>
      <c r="AK427" s="76">
        <v>5358</v>
      </c>
      <c r="AL427" s="76" t="b">
        <v>0</v>
      </c>
      <c r="AM427" s="78">
        <v>39675.631423611114</v>
      </c>
      <c r="AN427" s="76" t="s">
        <v>24126</v>
      </c>
      <c r="AO427" s="76" t="s">
        <v>25089</v>
      </c>
      <c r="AP427" s="82" t="str">
        <f>HYPERLINK("https://t.co/CKrGTzxayF")</f>
        <v>https://t.co/CKrGTzxayF</v>
      </c>
      <c r="AQ427" s="82" t="str">
        <f>HYPERLINK("http://bit.ly/ingmiguelponce")</f>
        <v>http://bit.ly/ingmiguelponce</v>
      </c>
      <c r="AR427" s="76" t="s">
        <v>26596</v>
      </c>
      <c r="AS427" s="76"/>
      <c r="AT427" s="76"/>
      <c r="AU427" s="76"/>
      <c r="AV427" s="76">
        <v>1.70699882459662E+18</v>
      </c>
      <c r="AW427" s="82" t="str">
        <f>HYPERLINK("https://t.co/CKrGTzxayF")</f>
        <v>https://t.co/CKrGTzxayF</v>
      </c>
      <c r="AX427" s="76" t="b">
        <v>0</v>
      </c>
      <c r="AY427" s="76"/>
      <c r="AZ427" s="76"/>
      <c r="BA427" s="76" t="b">
        <v>0</v>
      </c>
      <c r="BB427" s="76" t="b">
        <v>1</v>
      </c>
      <c r="BC427" s="76" t="b">
        <v>1</v>
      </c>
      <c r="BD427" s="76" t="b">
        <v>0</v>
      </c>
      <c r="BE427" s="76" t="b">
        <v>1</v>
      </c>
      <c r="BF427" s="76" t="b">
        <v>0</v>
      </c>
      <c r="BG427" s="76" t="b">
        <v>0</v>
      </c>
      <c r="BH427" s="82" t="str">
        <f>HYPERLINK("https://pbs.twimg.com/profile_banners/15863741/1530732752")</f>
        <v>https://pbs.twimg.com/profile_banners/15863741/1530732752</v>
      </c>
      <c r="BI427" s="76"/>
      <c r="BJ427" s="76" t="s">
        <v>27595</v>
      </c>
      <c r="BK427" s="76" t="b">
        <v>0</v>
      </c>
      <c r="BL427" s="76"/>
      <c r="BM427" s="76" t="s">
        <v>65</v>
      </c>
      <c r="BN427" s="76" t="s">
        <v>27597</v>
      </c>
      <c r="BO427" s="82" t="str">
        <f>HYPERLINK("https://twitter.com/ingmiguelponce")</f>
        <v>https://twitter.com/ingmiguelponce</v>
      </c>
      <c r="BP427" s="2"/>
    </row>
    <row r="428" spans="1:68" x14ac:dyDescent="0.25">
      <c r="A428" s="62" t="s">
        <v>517</v>
      </c>
      <c r="B428" s="63"/>
      <c r="C428" s="63"/>
      <c r="D428" s="64"/>
      <c r="E428" s="66"/>
      <c r="F428" s="103" t="str">
        <f>HYPERLINK("https://pbs.twimg.com/profile_images/1260232629112188930/UsGyY6IL_normal.jpg")</f>
        <v>https://pbs.twimg.com/profile_images/1260232629112188930/UsGyY6IL_normal.jpg</v>
      </c>
      <c r="G428" s="63"/>
      <c r="H428" s="67"/>
      <c r="I428" s="68"/>
      <c r="J428" s="68"/>
      <c r="K428" s="67" t="s">
        <v>28022</v>
      </c>
      <c r="L428" s="71"/>
      <c r="M428" s="72"/>
      <c r="N428" s="72"/>
      <c r="O428" s="73"/>
      <c r="P428" s="74"/>
      <c r="Q428" s="74"/>
      <c r="R428" s="87"/>
      <c r="S428" s="87"/>
      <c r="T428" s="87"/>
      <c r="U428" s="87"/>
      <c r="V428" s="48"/>
      <c r="W428" s="48"/>
      <c r="X428" s="48"/>
      <c r="Y428" s="48"/>
      <c r="Z428" s="47"/>
      <c r="AA428" s="69">
        <v>428</v>
      </c>
      <c r="AB428" s="69"/>
      <c r="AC428" s="70"/>
      <c r="AD428" s="76" t="s">
        <v>21668</v>
      </c>
      <c r="AE428" s="81" t="s">
        <v>23287</v>
      </c>
      <c r="AF428" s="76">
        <v>12</v>
      </c>
      <c r="AG428" s="76">
        <v>133</v>
      </c>
      <c r="AH428" s="76">
        <v>151</v>
      </c>
      <c r="AI428" s="76">
        <v>0</v>
      </c>
      <c r="AJ428" s="76">
        <v>32</v>
      </c>
      <c r="AK428" s="76">
        <v>47</v>
      </c>
      <c r="AL428" s="76" t="b">
        <v>0</v>
      </c>
      <c r="AM428" s="78">
        <v>40189.943449074075</v>
      </c>
      <c r="AN428" s="76" t="s">
        <v>24229</v>
      </c>
      <c r="AO428" s="82" t="str">
        <f>HYPERLINK("https://t.co/V01U9tUG5R")</f>
        <v>https://t.co/V01U9tUG5R</v>
      </c>
      <c r="AP428" s="82" t="str">
        <f>HYPERLINK("https://t.co/D47lpQjGCu")</f>
        <v>https://t.co/D47lpQjGCu</v>
      </c>
      <c r="AQ428" s="82" t="str">
        <f>HYPERLINK("https://JuanPimentel.com")</f>
        <v>https://JuanPimentel.com</v>
      </c>
      <c r="AR428" s="76" t="s">
        <v>26597</v>
      </c>
      <c r="AS428" s="82" t="str">
        <f>HYPERLINK("https://t.co/V01U9tUG5R")</f>
        <v>https://t.co/V01U9tUG5R</v>
      </c>
      <c r="AT428" s="82" t="str">
        <f>HYPERLINK("https://youtube.com/@juanpimentel")</f>
        <v>https://youtube.com/@juanpimentel</v>
      </c>
      <c r="AU428" s="76" t="s">
        <v>27479</v>
      </c>
      <c r="AV428" s="76"/>
      <c r="AW428" s="82" t="str">
        <f>HYPERLINK("https://t.co/D47lpQjGCu")</f>
        <v>https://t.co/D47lpQjGCu</v>
      </c>
      <c r="AX428" s="76" t="b">
        <v>0</v>
      </c>
      <c r="AY428" s="76"/>
      <c r="AZ428" s="76"/>
      <c r="BA428" s="76" t="b">
        <v>0</v>
      </c>
      <c r="BB428" s="76" t="b">
        <v>1</v>
      </c>
      <c r="BC428" s="76" t="b">
        <v>0</v>
      </c>
      <c r="BD428" s="76" t="b">
        <v>0</v>
      </c>
      <c r="BE428" s="76" t="b">
        <v>0</v>
      </c>
      <c r="BF428" s="76" t="b">
        <v>0</v>
      </c>
      <c r="BG428" s="76" t="b">
        <v>0</v>
      </c>
      <c r="BH428" s="82" t="str">
        <f>HYPERLINK("https://pbs.twimg.com/profile_banners/103990421/1589297849")</f>
        <v>https://pbs.twimg.com/profile_banners/103990421/1589297849</v>
      </c>
      <c r="BI428" s="76"/>
      <c r="BJ428" s="76" t="s">
        <v>27595</v>
      </c>
      <c r="BK428" s="76" t="b">
        <v>0</v>
      </c>
      <c r="BL428" s="76"/>
      <c r="BM428" s="76" t="s">
        <v>66</v>
      </c>
      <c r="BN428" s="76" t="s">
        <v>27597</v>
      </c>
      <c r="BO428" s="82" t="str">
        <f>HYPERLINK("https://twitter.com/juanwpimentel")</f>
        <v>https://twitter.com/juanwpimentel</v>
      </c>
      <c r="BP428" s="2"/>
    </row>
    <row r="429" spans="1:68" x14ac:dyDescent="0.25">
      <c r="A429" s="62" t="s">
        <v>518</v>
      </c>
      <c r="B429" s="63"/>
      <c r="C429" s="63"/>
      <c r="D429" s="64"/>
      <c r="E429" s="66"/>
      <c r="F429" s="103" t="str">
        <f>HYPERLINK("https://pbs.twimg.com/profile_images/1641808016273035267/OwHmiN9Y_normal.jpg")</f>
        <v>https://pbs.twimg.com/profile_images/1641808016273035267/OwHmiN9Y_normal.jpg</v>
      </c>
      <c r="G429" s="63"/>
      <c r="H429" s="67"/>
      <c r="I429" s="68"/>
      <c r="J429" s="68"/>
      <c r="K429" s="67" t="s">
        <v>28023</v>
      </c>
      <c r="L429" s="71"/>
      <c r="M429" s="72"/>
      <c r="N429" s="72"/>
      <c r="O429" s="73"/>
      <c r="P429" s="74"/>
      <c r="Q429" s="74"/>
      <c r="R429" s="87"/>
      <c r="S429" s="87"/>
      <c r="T429" s="87"/>
      <c r="U429" s="87"/>
      <c r="V429" s="48"/>
      <c r="W429" s="48"/>
      <c r="X429" s="48"/>
      <c r="Y429" s="48"/>
      <c r="Z429" s="47"/>
      <c r="AA429" s="69">
        <v>429</v>
      </c>
      <c r="AB429" s="69"/>
      <c r="AC429" s="70"/>
      <c r="AD429" s="76" t="s">
        <v>21669</v>
      </c>
      <c r="AE429" s="81" t="s">
        <v>23288</v>
      </c>
      <c r="AF429" s="76">
        <v>76</v>
      </c>
      <c r="AG429" s="76">
        <v>79</v>
      </c>
      <c r="AH429" s="76">
        <v>1196</v>
      </c>
      <c r="AI429" s="76">
        <v>1</v>
      </c>
      <c r="AJ429" s="76">
        <v>45</v>
      </c>
      <c r="AK429" s="76">
        <v>405</v>
      </c>
      <c r="AL429" s="76" t="b">
        <v>0</v>
      </c>
      <c r="AM429" s="78">
        <v>42131.674942129626</v>
      </c>
      <c r="AN429" s="76"/>
      <c r="AO429" s="76"/>
      <c r="AP429" s="76"/>
      <c r="AQ429" s="76"/>
      <c r="AR429" s="76"/>
      <c r="AS429" s="76"/>
      <c r="AT429" s="76"/>
      <c r="AU429" s="76"/>
      <c r="AV429" s="76">
        <v>1.5785372725000499E+18</v>
      </c>
      <c r="AW429" s="76"/>
      <c r="AX429" s="76" t="b">
        <v>0</v>
      </c>
      <c r="AY429" s="76"/>
      <c r="AZ429" s="76"/>
      <c r="BA429" s="76" t="b">
        <v>0</v>
      </c>
      <c r="BB429" s="76" t="b">
        <v>1</v>
      </c>
      <c r="BC429" s="76" t="b">
        <v>1</v>
      </c>
      <c r="BD429" s="76" t="b">
        <v>0</v>
      </c>
      <c r="BE429" s="76" t="b">
        <v>0</v>
      </c>
      <c r="BF429" s="76" t="b">
        <v>0</v>
      </c>
      <c r="BG429" s="76" t="b">
        <v>0</v>
      </c>
      <c r="BH429" s="76"/>
      <c r="BI429" s="76"/>
      <c r="BJ429" s="76" t="s">
        <v>27595</v>
      </c>
      <c r="BK429" s="76" t="b">
        <v>0</v>
      </c>
      <c r="BL429" s="76"/>
      <c r="BM429" s="76" t="s">
        <v>66</v>
      </c>
      <c r="BN429" s="76" t="s">
        <v>27597</v>
      </c>
      <c r="BO429" s="82" t="str">
        <f>HYPERLINK("https://twitter.com/mondinthalles")</f>
        <v>https://twitter.com/mondinthalles</v>
      </c>
      <c r="BP429" s="2"/>
    </row>
    <row r="430" spans="1:68" x14ac:dyDescent="0.25">
      <c r="A430" s="62" t="s">
        <v>520</v>
      </c>
      <c r="B430" s="63"/>
      <c r="C430" s="63"/>
      <c r="D430" s="64"/>
      <c r="E430" s="66"/>
      <c r="F430" s="103" t="str">
        <f>HYPERLINK("https://pbs.twimg.com/profile_images/1394696474697609216/qP6rN0iE_normal.jpg")</f>
        <v>https://pbs.twimg.com/profile_images/1394696474697609216/qP6rN0iE_normal.jpg</v>
      </c>
      <c r="G430" s="63"/>
      <c r="H430" s="67"/>
      <c r="I430" s="68"/>
      <c r="J430" s="68"/>
      <c r="K430" s="67" t="s">
        <v>28024</v>
      </c>
      <c r="L430" s="71"/>
      <c r="M430" s="72"/>
      <c r="N430" s="72"/>
      <c r="O430" s="73"/>
      <c r="P430" s="74"/>
      <c r="Q430" s="74"/>
      <c r="R430" s="87"/>
      <c r="S430" s="87"/>
      <c r="T430" s="87"/>
      <c r="U430" s="87"/>
      <c r="V430" s="48"/>
      <c r="W430" s="48"/>
      <c r="X430" s="48"/>
      <c r="Y430" s="48"/>
      <c r="Z430" s="47"/>
      <c r="AA430" s="69">
        <v>430</v>
      </c>
      <c r="AB430" s="69"/>
      <c r="AC430" s="70"/>
      <c r="AD430" s="76" t="s">
        <v>21670</v>
      </c>
      <c r="AE430" s="81" t="s">
        <v>20642</v>
      </c>
      <c r="AF430" s="76">
        <v>2156</v>
      </c>
      <c r="AG430" s="76">
        <v>3395</v>
      </c>
      <c r="AH430" s="76">
        <v>25503</v>
      </c>
      <c r="AI430" s="76">
        <v>1</v>
      </c>
      <c r="AJ430" s="76">
        <v>33316</v>
      </c>
      <c r="AK430" s="76">
        <v>1930</v>
      </c>
      <c r="AL430" s="76" t="b">
        <v>0</v>
      </c>
      <c r="AM430" s="78">
        <v>43394.342048611114</v>
      </c>
      <c r="AN430" s="76" t="s">
        <v>24230</v>
      </c>
      <c r="AO430" s="76" t="s">
        <v>25090</v>
      </c>
      <c r="AP430" s="82" t="str">
        <f>HYPERLINK("https://t.co/zlVJhbrQB1")</f>
        <v>https://t.co/zlVJhbrQB1</v>
      </c>
      <c r="AQ430" s="82" t="str">
        <f>HYPERLINK("https://www.instagram.com/si.las.br/")</f>
        <v>https://www.instagram.com/si.las.br/</v>
      </c>
      <c r="AR430" s="76" t="s">
        <v>26598</v>
      </c>
      <c r="AS430" s="76"/>
      <c r="AT430" s="76"/>
      <c r="AU430" s="76"/>
      <c r="AV430" s="76">
        <v>1.62596829487533E+18</v>
      </c>
      <c r="AW430" s="82" t="str">
        <f>HYPERLINK("https://t.co/zlVJhbrQB1")</f>
        <v>https://t.co/zlVJhbrQB1</v>
      </c>
      <c r="AX430" s="76" t="b">
        <v>0</v>
      </c>
      <c r="AY430" s="76"/>
      <c r="AZ430" s="76"/>
      <c r="BA430" s="76" t="b">
        <v>1</v>
      </c>
      <c r="BB430" s="76" t="b">
        <v>1</v>
      </c>
      <c r="BC430" s="76" t="b">
        <v>0</v>
      </c>
      <c r="BD430" s="76" t="b">
        <v>0</v>
      </c>
      <c r="BE430" s="76" t="b">
        <v>1</v>
      </c>
      <c r="BF430" s="76" t="b">
        <v>0</v>
      </c>
      <c r="BG430" s="76" t="b">
        <v>1</v>
      </c>
      <c r="BH430" s="82" t="str">
        <f>HYPERLINK("https://pbs.twimg.com/profile_banners/1053921972479057921/1634988045")</f>
        <v>https://pbs.twimg.com/profile_banners/1053921972479057921/1634988045</v>
      </c>
      <c r="BI430" s="76"/>
      <c r="BJ430" s="76" t="s">
        <v>27595</v>
      </c>
      <c r="BK430" s="76" t="b">
        <v>0</v>
      </c>
      <c r="BL430" s="76"/>
      <c r="BM430" s="76" t="s">
        <v>66</v>
      </c>
      <c r="BN430" s="76" t="s">
        <v>27597</v>
      </c>
      <c r="BO430" s="82" t="str">
        <f>HYPERLINK("https://twitter.com/silasv2")</f>
        <v>https://twitter.com/silasv2</v>
      </c>
      <c r="BP430" s="2"/>
    </row>
    <row r="431" spans="1:68" x14ac:dyDescent="0.25">
      <c r="A431" s="62" t="s">
        <v>521</v>
      </c>
      <c r="B431" s="63"/>
      <c r="C431" s="63"/>
      <c r="D431" s="64"/>
      <c r="E431" s="66"/>
      <c r="F431" s="103" t="str">
        <f>HYPERLINK("https://pbs.twimg.com/profile_images/184525755/Logo_GP1_normal.png")</f>
        <v>https://pbs.twimg.com/profile_images/184525755/Logo_GP1_normal.png</v>
      </c>
      <c r="G431" s="63"/>
      <c r="H431" s="67"/>
      <c r="I431" s="68"/>
      <c r="J431" s="68"/>
      <c r="K431" s="67" t="s">
        <v>28025</v>
      </c>
      <c r="L431" s="71"/>
      <c r="M431" s="72"/>
      <c r="N431" s="72"/>
      <c r="O431" s="73"/>
      <c r="P431" s="74"/>
      <c r="Q431" s="74"/>
      <c r="R431" s="87"/>
      <c r="S431" s="87"/>
      <c r="T431" s="87"/>
      <c r="U431" s="87"/>
      <c r="V431" s="48"/>
      <c r="W431" s="48"/>
      <c r="X431" s="48"/>
      <c r="Y431" s="48"/>
      <c r="Z431" s="47"/>
      <c r="AA431" s="69">
        <v>431</v>
      </c>
      <c r="AB431" s="69"/>
      <c r="AC431" s="70"/>
      <c r="AD431" s="76" t="s">
        <v>21671</v>
      </c>
      <c r="AE431" s="81" t="s">
        <v>23289</v>
      </c>
      <c r="AF431" s="76">
        <v>75</v>
      </c>
      <c r="AG431" s="76">
        <v>309</v>
      </c>
      <c r="AH431" s="76">
        <v>2407</v>
      </c>
      <c r="AI431" s="76">
        <v>2</v>
      </c>
      <c r="AJ431" s="76">
        <v>963</v>
      </c>
      <c r="AK431" s="76">
        <v>1868</v>
      </c>
      <c r="AL431" s="76" t="b">
        <v>0</v>
      </c>
      <c r="AM431" s="78">
        <v>39929.655219907407</v>
      </c>
      <c r="AN431" s="76" t="s">
        <v>24231</v>
      </c>
      <c r="AO431" s="76" t="s">
        <v>25091</v>
      </c>
      <c r="AP431" s="82" t="str">
        <f>HYPERLINK("http://t.co/C3qgdXmYxj")</f>
        <v>http://t.co/C3qgdXmYxj</v>
      </c>
      <c r="AQ431" s="82" t="str">
        <f>HYPERLINK("http://www.graphpress.com")</f>
        <v>http://www.graphpress.com</v>
      </c>
      <c r="AR431" s="76" t="s">
        <v>26599</v>
      </c>
      <c r="AS431" s="76"/>
      <c r="AT431" s="76"/>
      <c r="AU431" s="76"/>
      <c r="AV431" s="76"/>
      <c r="AW431" s="82" t="str">
        <f>HYPERLINK("http://t.co/C3qgdXmYxj")</f>
        <v>http://t.co/C3qgdXmYxj</v>
      </c>
      <c r="AX431" s="76" t="b">
        <v>0</v>
      </c>
      <c r="AY431" s="76"/>
      <c r="AZ431" s="76"/>
      <c r="BA431" s="76" t="b">
        <v>0</v>
      </c>
      <c r="BB431" s="76" t="b">
        <v>1</v>
      </c>
      <c r="BC431" s="76" t="b">
        <v>1</v>
      </c>
      <c r="BD431" s="76" t="b">
        <v>0</v>
      </c>
      <c r="BE431" s="76" t="b">
        <v>0</v>
      </c>
      <c r="BF431" s="76" t="b">
        <v>0</v>
      </c>
      <c r="BG431" s="76" t="b">
        <v>0</v>
      </c>
      <c r="BH431" s="76"/>
      <c r="BI431" s="76"/>
      <c r="BJ431" s="76" t="s">
        <v>27595</v>
      </c>
      <c r="BK431" s="76" t="b">
        <v>0</v>
      </c>
      <c r="BL431" s="76"/>
      <c r="BM431" s="76" t="s">
        <v>66</v>
      </c>
      <c r="BN431" s="76" t="s">
        <v>27597</v>
      </c>
      <c r="BO431" s="82" t="str">
        <f>HYPERLINK("https://twitter.com/targonis")</f>
        <v>https://twitter.com/targonis</v>
      </c>
      <c r="BP431" s="2"/>
    </row>
    <row r="432" spans="1:68" x14ac:dyDescent="0.25">
      <c r="A432" s="62" t="s">
        <v>522</v>
      </c>
      <c r="B432" s="63"/>
      <c r="C432" s="63"/>
      <c r="D432" s="64"/>
      <c r="E432" s="66"/>
      <c r="F432" s="103" t="str">
        <f>HYPERLINK("https://pbs.twimg.com/profile_images/1262792255976472578/pAOEVdNV_normal.jpg")</f>
        <v>https://pbs.twimg.com/profile_images/1262792255976472578/pAOEVdNV_normal.jpg</v>
      </c>
      <c r="G432" s="63"/>
      <c r="H432" s="67"/>
      <c r="I432" s="68"/>
      <c r="J432" s="68"/>
      <c r="K432" s="67" t="s">
        <v>28026</v>
      </c>
      <c r="L432" s="71"/>
      <c r="M432" s="72"/>
      <c r="N432" s="72"/>
      <c r="O432" s="73"/>
      <c r="P432" s="74"/>
      <c r="Q432" s="74"/>
      <c r="R432" s="87"/>
      <c r="S432" s="87"/>
      <c r="T432" s="87"/>
      <c r="U432" s="87"/>
      <c r="V432" s="48"/>
      <c r="W432" s="48"/>
      <c r="X432" s="48"/>
      <c r="Y432" s="48"/>
      <c r="Z432" s="47"/>
      <c r="AA432" s="69">
        <v>432</v>
      </c>
      <c r="AB432" s="69"/>
      <c r="AC432" s="70"/>
      <c r="AD432" s="76" t="s">
        <v>21672</v>
      </c>
      <c r="AE432" s="81" t="s">
        <v>23290</v>
      </c>
      <c r="AF432" s="76">
        <v>970</v>
      </c>
      <c r="AG432" s="76">
        <v>1263</v>
      </c>
      <c r="AH432" s="76">
        <v>7772</v>
      </c>
      <c r="AI432" s="76">
        <v>0</v>
      </c>
      <c r="AJ432" s="76">
        <v>17703</v>
      </c>
      <c r="AK432" s="76">
        <v>238</v>
      </c>
      <c r="AL432" s="76" t="b">
        <v>0</v>
      </c>
      <c r="AM432" s="78">
        <v>40033.978715277779</v>
      </c>
      <c r="AN432" s="76"/>
      <c r="AO432" s="76" t="s">
        <v>25092</v>
      </c>
      <c r="AP432" s="76"/>
      <c r="AQ432" s="76"/>
      <c r="AR432" s="76"/>
      <c r="AS432" s="76"/>
      <c r="AT432" s="76"/>
      <c r="AU432" s="76"/>
      <c r="AV432" s="76"/>
      <c r="AW432" s="76"/>
      <c r="AX432" s="76" t="b">
        <v>0</v>
      </c>
      <c r="AY432" s="76"/>
      <c r="AZ432" s="76"/>
      <c r="BA432" s="76" t="b">
        <v>0</v>
      </c>
      <c r="BB432" s="76" t="b">
        <v>1</v>
      </c>
      <c r="BC432" s="76" t="b">
        <v>1</v>
      </c>
      <c r="BD432" s="76" t="b">
        <v>0</v>
      </c>
      <c r="BE432" s="76" t="b">
        <v>1</v>
      </c>
      <c r="BF432" s="76" t="b">
        <v>0</v>
      </c>
      <c r="BG432" s="76" t="b">
        <v>0</v>
      </c>
      <c r="BH432" s="76"/>
      <c r="BI432" s="76"/>
      <c r="BJ432" s="76" t="s">
        <v>27595</v>
      </c>
      <c r="BK432" s="76" t="b">
        <v>0</v>
      </c>
      <c r="BL432" s="76"/>
      <c r="BM432" s="76" t="s">
        <v>66</v>
      </c>
      <c r="BN432" s="76" t="s">
        <v>27597</v>
      </c>
      <c r="BO432" s="82" t="str">
        <f>HYPERLINK("https://twitter.com/robrape")</f>
        <v>https://twitter.com/robrape</v>
      </c>
      <c r="BP432" s="2"/>
    </row>
    <row r="433" spans="1:68" x14ac:dyDescent="0.25">
      <c r="A433" s="62" t="s">
        <v>1324</v>
      </c>
      <c r="B433" s="63"/>
      <c r="C433" s="63"/>
      <c r="D433" s="64"/>
      <c r="E433" s="66"/>
      <c r="F433" s="103" t="str">
        <f>HYPERLINK("https://pbs.twimg.com/profile_images/1649568132392951809/KkK292VO_normal.jpg")</f>
        <v>https://pbs.twimg.com/profile_images/1649568132392951809/KkK292VO_normal.jpg</v>
      </c>
      <c r="G433" s="63"/>
      <c r="H433" s="67"/>
      <c r="I433" s="68"/>
      <c r="J433" s="68"/>
      <c r="K433" s="67" t="s">
        <v>28027</v>
      </c>
      <c r="L433" s="71"/>
      <c r="M433" s="72"/>
      <c r="N433" s="72"/>
      <c r="O433" s="73"/>
      <c r="P433" s="74"/>
      <c r="Q433" s="74"/>
      <c r="R433" s="87"/>
      <c r="S433" s="87"/>
      <c r="T433" s="87"/>
      <c r="U433" s="87"/>
      <c r="V433" s="48"/>
      <c r="W433" s="48"/>
      <c r="X433" s="48"/>
      <c r="Y433" s="48"/>
      <c r="Z433" s="47"/>
      <c r="AA433" s="69">
        <v>433</v>
      </c>
      <c r="AB433" s="69"/>
      <c r="AC433" s="70"/>
      <c r="AD433" s="76" t="s">
        <v>21673</v>
      </c>
      <c r="AE433" s="81" t="s">
        <v>23291</v>
      </c>
      <c r="AF433" s="76">
        <v>17533</v>
      </c>
      <c r="AG433" s="76">
        <v>19261</v>
      </c>
      <c r="AH433" s="76">
        <v>456601</v>
      </c>
      <c r="AI433" s="76">
        <v>23</v>
      </c>
      <c r="AJ433" s="76">
        <v>184194</v>
      </c>
      <c r="AK433" s="76">
        <v>38658</v>
      </c>
      <c r="AL433" s="76" t="b">
        <v>0</v>
      </c>
      <c r="AM433" s="78">
        <v>40673.13480324074</v>
      </c>
      <c r="AN433" s="76" t="s">
        <v>14382</v>
      </c>
      <c r="AO433" s="76" t="s">
        <v>25093</v>
      </c>
      <c r="AP433" s="76"/>
      <c r="AQ433" s="76"/>
      <c r="AR433" s="76"/>
      <c r="AS433" s="76"/>
      <c r="AT433" s="76"/>
      <c r="AU433" s="76"/>
      <c r="AV433" s="76"/>
      <c r="AW433" s="76"/>
      <c r="AX433" s="76" t="b">
        <v>0</v>
      </c>
      <c r="AY433" s="76"/>
      <c r="AZ433" s="76"/>
      <c r="BA433" s="76" t="b">
        <v>1</v>
      </c>
      <c r="BB433" s="76" t="b">
        <v>1</v>
      </c>
      <c r="BC433" s="76" t="b">
        <v>0</v>
      </c>
      <c r="BD433" s="76" t="b">
        <v>0</v>
      </c>
      <c r="BE433" s="76" t="b">
        <v>1</v>
      </c>
      <c r="BF433" s="76" t="b">
        <v>0</v>
      </c>
      <c r="BG433" s="76" t="b">
        <v>0</v>
      </c>
      <c r="BH433" s="82" t="str">
        <f>HYPERLINK("https://pbs.twimg.com/profile_banners/296044994/1672699472")</f>
        <v>https://pbs.twimg.com/profile_banners/296044994/1672699472</v>
      </c>
      <c r="BI433" s="76"/>
      <c r="BJ433" s="76" t="s">
        <v>27596</v>
      </c>
      <c r="BK433" s="76" t="b">
        <v>0</v>
      </c>
      <c r="BL433" s="76"/>
      <c r="BM433" s="76" t="s">
        <v>66</v>
      </c>
      <c r="BN433" s="76" t="s">
        <v>27597</v>
      </c>
      <c r="BO433" s="82" t="str">
        <f>HYPERLINK("https://twitter.com/marcianobrito13")</f>
        <v>https://twitter.com/marcianobrito13</v>
      </c>
      <c r="BP433" s="2"/>
    </row>
    <row r="434" spans="1:68" x14ac:dyDescent="0.25">
      <c r="A434" s="62" t="s">
        <v>523</v>
      </c>
      <c r="B434" s="63"/>
      <c r="C434" s="63"/>
      <c r="D434" s="64"/>
      <c r="E434" s="66"/>
      <c r="F434" s="103" t="str">
        <f>HYPERLINK("https://pbs.twimg.com/profile_images/1369748302854504453/ShpJasNI_normal.jpg")</f>
        <v>https://pbs.twimg.com/profile_images/1369748302854504453/ShpJasNI_normal.jpg</v>
      </c>
      <c r="G434" s="63"/>
      <c r="H434" s="67"/>
      <c r="I434" s="68"/>
      <c r="J434" s="68"/>
      <c r="K434" s="67" t="s">
        <v>28028</v>
      </c>
      <c r="L434" s="71"/>
      <c r="M434" s="72"/>
      <c r="N434" s="72"/>
      <c r="O434" s="73"/>
      <c r="P434" s="74"/>
      <c r="Q434" s="74"/>
      <c r="R434" s="87"/>
      <c r="S434" s="87"/>
      <c r="T434" s="87"/>
      <c r="U434" s="87"/>
      <c r="V434" s="48"/>
      <c r="W434" s="48"/>
      <c r="X434" s="48"/>
      <c r="Y434" s="48"/>
      <c r="Z434" s="47"/>
      <c r="AA434" s="69">
        <v>434</v>
      </c>
      <c r="AB434" s="69"/>
      <c r="AC434" s="70"/>
      <c r="AD434" s="76" t="s">
        <v>21674</v>
      </c>
      <c r="AE434" s="81" t="s">
        <v>20249</v>
      </c>
      <c r="AF434" s="76">
        <v>461</v>
      </c>
      <c r="AG434" s="76">
        <v>16</v>
      </c>
      <c r="AH434" s="76">
        <v>1433</v>
      </c>
      <c r="AI434" s="76">
        <v>7</v>
      </c>
      <c r="AJ434" s="76">
        <v>69</v>
      </c>
      <c r="AK434" s="76">
        <v>727</v>
      </c>
      <c r="AL434" s="76" t="b">
        <v>0</v>
      </c>
      <c r="AM434" s="78">
        <v>43332.60193287037</v>
      </c>
      <c r="AN434" s="76"/>
      <c r="AO434" s="76" t="s">
        <v>25094</v>
      </c>
      <c r="AP434" s="82" t="str">
        <f>HYPERLINK("https://t.co/zUigTqdEgn")</f>
        <v>https://t.co/zUigTqdEgn</v>
      </c>
      <c r="AQ434" s="82" t="str">
        <f>HYPERLINK("https://linktr.ee/sonartradeoficial")</f>
        <v>https://linktr.ee/sonartradeoficial</v>
      </c>
      <c r="AR434" s="76" t="s">
        <v>26600</v>
      </c>
      <c r="AS434" s="76"/>
      <c r="AT434" s="76"/>
      <c r="AU434" s="76"/>
      <c r="AV434" s="76"/>
      <c r="AW434" s="82" t="str">
        <f>HYPERLINK("https://t.co/zUigTqdEgn")</f>
        <v>https://t.co/zUigTqdEgn</v>
      </c>
      <c r="AX434" s="76" t="b">
        <v>1</v>
      </c>
      <c r="AY434" s="76"/>
      <c r="AZ434" s="76"/>
      <c r="BA434" s="76" t="b">
        <v>0</v>
      </c>
      <c r="BB434" s="76" t="b">
        <v>1</v>
      </c>
      <c r="BC434" s="76" t="b">
        <v>0</v>
      </c>
      <c r="BD434" s="76" t="b">
        <v>0</v>
      </c>
      <c r="BE434" s="76" t="b">
        <v>0</v>
      </c>
      <c r="BF434" s="76" t="b">
        <v>0</v>
      </c>
      <c r="BG434" s="76" t="b">
        <v>0</v>
      </c>
      <c r="BH434" s="82" t="str">
        <f>HYPERLINK("https://pbs.twimg.com/profile_banners/1031548103416049675/1615488663")</f>
        <v>https://pbs.twimg.com/profile_banners/1031548103416049675/1615488663</v>
      </c>
      <c r="BI434" s="76"/>
      <c r="BJ434" s="76" t="s">
        <v>27595</v>
      </c>
      <c r="BK434" s="76" t="b">
        <v>0</v>
      </c>
      <c r="BL434" s="76"/>
      <c r="BM434" s="76" t="s">
        <v>66</v>
      </c>
      <c r="BN434" s="76" t="s">
        <v>27597</v>
      </c>
      <c r="BO434" s="82" t="str">
        <f>HYPERLINK("https://twitter.com/sonartrade")</f>
        <v>https://twitter.com/sonartrade</v>
      </c>
      <c r="BP434" s="2"/>
    </row>
    <row r="435" spans="1:68" x14ac:dyDescent="0.25">
      <c r="A435" s="62" t="s">
        <v>524</v>
      </c>
      <c r="B435" s="63"/>
      <c r="C435" s="63"/>
      <c r="D435" s="64"/>
      <c r="E435" s="66"/>
      <c r="F435" s="103" t="str">
        <f>HYPERLINK("https://pbs.twimg.com/profile_images/975212210283835394/pWWEI0mw_normal.jpg")</f>
        <v>https://pbs.twimg.com/profile_images/975212210283835394/pWWEI0mw_normal.jpg</v>
      </c>
      <c r="G435" s="63"/>
      <c r="H435" s="67"/>
      <c r="I435" s="68"/>
      <c r="J435" s="68"/>
      <c r="K435" s="67" t="s">
        <v>28029</v>
      </c>
      <c r="L435" s="71"/>
      <c r="M435" s="72"/>
      <c r="N435" s="72"/>
      <c r="O435" s="73"/>
      <c r="P435" s="74"/>
      <c r="Q435" s="74"/>
      <c r="R435" s="87"/>
      <c r="S435" s="87"/>
      <c r="T435" s="87"/>
      <c r="U435" s="87"/>
      <c r="V435" s="48"/>
      <c r="W435" s="48"/>
      <c r="X435" s="48"/>
      <c r="Y435" s="48"/>
      <c r="Z435" s="47"/>
      <c r="AA435" s="69">
        <v>435</v>
      </c>
      <c r="AB435" s="69"/>
      <c r="AC435" s="70"/>
      <c r="AD435" s="76" t="s">
        <v>21675</v>
      </c>
      <c r="AE435" s="81" t="s">
        <v>23292</v>
      </c>
      <c r="AF435" s="76">
        <v>337</v>
      </c>
      <c r="AG435" s="76">
        <v>1252</v>
      </c>
      <c r="AH435" s="76">
        <v>12707</v>
      </c>
      <c r="AI435" s="76">
        <v>46</v>
      </c>
      <c r="AJ435" s="76">
        <v>14548</v>
      </c>
      <c r="AK435" s="76">
        <v>246</v>
      </c>
      <c r="AL435" s="76" t="b">
        <v>0</v>
      </c>
      <c r="AM435" s="78">
        <v>40128.564710648148</v>
      </c>
      <c r="AN435" s="76" t="s">
        <v>24232</v>
      </c>
      <c r="AO435" s="76" t="s">
        <v>25095</v>
      </c>
      <c r="AP435" s="76"/>
      <c r="AQ435" s="76"/>
      <c r="AR435" s="76"/>
      <c r="AS435" s="76"/>
      <c r="AT435" s="76"/>
      <c r="AU435" s="76"/>
      <c r="AV435" s="76">
        <v>1.46896142585903E+18</v>
      </c>
      <c r="AW435" s="76"/>
      <c r="AX435" s="76" t="b">
        <v>0</v>
      </c>
      <c r="AY435" s="76"/>
      <c r="AZ435" s="76"/>
      <c r="BA435" s="76" t="b">
        <v>0</v>
      </c>
      <c r="BB435" s="76" t="b">
        <v>1</v>
      </c>
      <c r="BC435" s="76" t="b">
        <v>0</v>
      </c>
      <c r="BD435" s="76" t="b">
        <v>0</v>
      </c>
      <c r="BE435" s="76" t="b">
        <v>1</v>
      </c>
      <c r="BF435" s="76" t="b">
        <v>0</v>
      </c>
      <c r="BG435" s="76" t="b">
        <v>0</v>
      </c>
      <c r="BH435" s="82" t="str">
        <f>HYPERLINK("https://pbs.twimg.com/profile_banners/89185161/1439006658")</f>
        <v>https://pbs.twimg.com/profile_banners/89185161/1439006658</v>
      </c>
      <c r="BI435" s="76"/>
      <c r="BJ435" s="76" t="s">
        <v>27595</v>
      </c>
      <c r="BK435" s="76" t="b">
        <v>0</v>
      </c>
      <c r="BL435" s="76"/>
      <c r="BM435" s="76" t="s">
        <v>66</v>
      </c>
      <c r="BN435" s="76" t="s">
        <v>27597</v>
      </c>
      <c r="BO435" s="82" t="str">
        <f>HYPERLINK("https://twitter.com/shermanwarrior")</f>
        <v>https://twitter.com/shermanwarrior</v>
      </c>
      <c r="BP435" s="2"/>
    </row>
    <row r="436" spans="1:68" x14ac:dyDescent="0.25">
      <c r="A436" s="62" t="s">
        <v>525</v>
      </c>
      <c r="B436" s="63"/>
      <c r="C436" s="63"/>
      <c r="D436" s="64"/>
      <c r="E436" s="66"/>
      <c r="F436" s="103" t="str">
        <f>HYPERLINK("https://pbs.twimg.com/profile_images/1346761110549102599/yGZFxteq_normal.png")</f>
        <v>https://pbs.twimg.com/profile_images/1346761110549102599/yGZFxteq_normal.png</v>
      </c>
      <c r="G436" s="63"/>
      <c r="H436" s="67"/>
      <c r="I436" s="68"/>
      <c r="J436" s="68"/>
      <c r="K436" s="67" t="s">
        <v>28030</v>
      </c>
      <c r="L436" s="71"/>
      <c r="M436" s="72"/>
      <c r="N436" s="72"/>
      <c r="O436" s="73"/>
      <c r="P436" s="74"/>
      <c r="Q436" s="74"/>
      <c r="R436" s="87"/>
      <c r="S436" s="87"/>
      <c r="T436" s="87"/>
      <c r="U436" s="87"/>
      <c r="V436" s="48"/>
      <c r="W436" s="48"/>
      <c r="X436" s="48"/>
      <c r="Y436" s="48"/>
      <c r="Z436" s="47"/>
      <c r="AA436" s="69">
        <v>436</v>
      </c>
      <c r="AB436" s="69"/>
      <c r="AC436" s="70"/>
      <c r="AD436" s="76" t="s">
        <v>21676</v>
      </c>
      <c r="AE436" s="81" t="s">
        <v>20643</v>
      </c>
      <c r="AF436" s="76">
        <v>229</v>
      </c>
      <c r="AG436" s="76">
        <v>98</v>
      </c>
      <c r="AH436" s="76">
        <v>4695</v>
      </c>
      <c r="AI436" s="76">
        <v>2</v>
      </c>
      <c r="AJ436" s="76">
        <v>42</v>
      </c>
      <c r="AK436" s="76">
        <v>4641</v>
      </c>
      <c r="AL436" s="76" t="b">
        <v>0</v>
      </c>
      <c r="AM436" s="78">
        <v>44202.420555555553</v>
      </c>
      <c r="AN436" s="76"/>
      <c r="AO436" s="76" t="s">
        <v>25096</v>
      </c>
      <c r="AP436" s="82" t="str">
        <f>HYPERLINK("https://t.co/221C1q6tGi")</f>
        <v>https://t.co/221C1q6tGi</v>
      </c>
      <c r="AQ436" s="82" t="str">
        <f>HYPERLINK("http://investidoresbrasil.com.br")</f>
        <v>http://investidoresbrasil.com.br</v>
      </c>
      <c r="AR436" s="76" t="s">
        <v>26601</v>
      </c>
      <c r="AS436" s="76"/>
      <c r="AT436" s="76"/>
      <c r="AU436" s="76"/>
      <c r="AV436" s="76"/>
      <c r="AW436" s="82" t="str">
        <f>HYPERLINK("https://t.co/221C1q6tGi")</f>
        <v>https://t.co/221C1q6tGi</v>
      </c>
      <c r="AX436" s="76" t="b">
        <v>0</v>
      </c>
      <c r="AY436" s="76"/>
      <c r="AZ436" s="76"/>
      <c r="BA436" s="76" t="b">
        <v>0</v>
      </c>
      <c r="BB436" s="76" t="b">
        <v>1</v>
      </c>
      <c r="BC436" s="76" t="b">
        <v>1</v>
      </c>
      <c r="BD436" s="76" t="b">
        <v>0</v>
      </c>
      <c r="BE436" s="76" t="b">
        <v>1</v>
      </c>
      <c r="BF436" s="76" t="b">
        <v>0</v>
      </c>
      <c r="BG436" s="76" t="b">
        <v>0</v>
      </c>
      <c r="BH436" s="82" t="str">
        <f>HYPERLINK("https://pbs.twimg.com/profile_banners/1346759748188831747/1667842319")</f>
        <v>https://pbs.twimg.com/profile_banners/1346759748188831747/1667842319</v>
      </c>
      <c r="BI436" s="76"/>
      <c r="BJ436" s="76" t="s">
        <v>27595</v>
      </c>
      <c r="BK436" s="76" t="b">
        <v>0</v>
      </c>
      <c r="BL436" s="76"/>
      <c r="BM436" s="76" t="s">
        <v>66</v>
      </c>
      <c r="BN436" s="76" t="s">
        <v>27597</v>
      </c>
      <c r="BO436" s="82" t="str">
        <f>HYPERLINK("https://twitter.com/investidoreso")</f>
        <v>https://twitter.com/investidoreso</v>
      </c>
      <c r="BP436" s="2"/>
    </row>
    <row r="437" spans="1:68" x14ac:dyDescent="0.25">
      <c r="A437" s="62" t="s">
        <v>526</v>
      </c>
      <c r="B437" s="63"/>
      <c r="C437" s="63"/>
      <c r="D437" s="64"/>
      <c r="E437" s="66"/>
      <c r="F437" s="103" t="str">
        <f>HYPERLINK("https://pbs.twimg.com/profile_images/1604167677370564610/Vm5qt1NU_normal.jpg")</f>
        <v>https://pbs.twimg.com/profile_images/1604167677370564610/Vm5qt1NU_normal.jpg</v>
      </c>
      <c r="G437" s="63"/>
      <c r="H437" s="67"/>
      <c r="I437" s="68"/>
      <c r="J437" s="68"/>
      <c r="K437" s="67" t="s">
        <v>28031</v>
      </c>
      <c r="L437" s="71"/>
      <c r="M437" s="72"/>
      <c r="N437" s="72"/>
      <c r="O437" s="73"/>
      <c r="P437" s="74"/>
      <c r="Q437" s="74"/>
      <c r="R437" s="87"/>
      <c r="S437" s="87"/>
      <c r="T437" s="87"/>
      <c r="U437" s="87"/>
      <c r="V437" s="48"/>
      <c r="W437" s="48"/>
      <c r="X437" s="48"/>
      <c r="Y437" s="48"/>
      <c r="Z437" s="47"/>
      <c r="AA437" s="69">
        <v>437</v>
      </c>
      <c r="AB437" s="69"/>
      <c r="AC437" s="70"/>
      <c r="AD437" s="76" t="s">
        <v>21677</v>
      </c>
      <c r="AE437" s="81" t="s">
        <v>23293</v>
      </c>
      <c r="AF437" s="76">
        <v>375</v>
      </c>
      <c r="AG437" s="76">
        <v>138</v>
      </c>
      <c r="AH437" s="76">
        <v>108076</v>
      </c>
      <c r="AI437" s="76">
        <v>11</v>
      </c>
      <c r="AJ437" s="76">
        <v>73392</v>
      </c>
      <c r="AK437" s="76">
        <v>6476</v>
      </c>
      <c r="AL437" s="76" t="b">
        <v>0</v>
      </c>
      <c r="AM437" s="78">
        <v>39926.370057870372</v>
      </c>
      <c r="AN437" s="76" t="s">
        <v>24233</v>
      </c>
      <c r="AO437" s="76" t="s">
        <v>25097</v>
      </c>
      <c r="AP437" s="82" t="str">
        <f>HYPERLINK("https://t.co/F5yJMehwIQ")</f>
        <v>https://t.co/F5yJMehwIQ</v>
      </c>
      <c r="AQ437" s="82" t="str">
        <f>HYPERLINK("http://youtube.com/@SergipeCycling")</f>
        <v>http://youtube.com/@SergipeCycling</v>
      </c>
      <c r="AR437" s="76" t="s">
        <v>26602</v>
      </c>
      <c r="AS437" s="76"/>
      <c r="AT437" s="76"/>
      <c r="AU437" s="76"/>
      <c r="AV437" s="76">
        <v>1.7033163558803E+18</v>
      </c>
      <c r="AW437" s="82" t="str">
        <f>HYPERLINK("https://t.co/F5yJMehwIQ")</f>
        <v>https://t.co/F5yJMehwIQ</v>
      </c>
      <c r="AX437" s="76" t="b">
        <v>0</v>
      </c>
      <c r="AY437" s="76"/>
      <c r="AZ437" s="76"/>
      <c r="BA437" s="76" t="b">
        <v>0</v>
      </c>
      <c r="BB437" s="76" t="b">
        <v>0</v>
      </c>
      <c r="BC437" s="76" t="b">
        <v>0</v>
      </c>
      <c r="BD437" s="76" t="b">
        <v>0</v>
      </c>
      <c r="BE437" s="76" t="b">
        <v>1</v>
      </c>
      <c r="BF437" s="76" t="b">
        <v>0</v>
      </c>
      <c r="BG437" s="76" t="b">
        <v>0</v>
      </c>
      <c r="BH437" s="82" t="str">
        <f>HYPERLINK("https://pbs.twimg.com/profile_banners/34570207/1667185070")</f>
        <v>https://pbs.twimg.com/profile_banners/34570207/1667185070</v>
      </c>
      <c r="BI437" s="76"/>
      <c r="BJ437" s="76" t="s">
        <v>27595</v>
      </c>
      <c r="BK437" s="76" t="b">
        <v>0</v>
      </c>
      <c r="BL437" s="76"/>
      <c r="BM437" s="76" t="s">
        <v>66</v>
      </c>
      <c r="BN437" s="76" t="s">
        <v>27597</v>
      </c>
      <c r="BO437" s="82" t="str">
        <f>HYPERLINK("https://twitter.com/ruygtr")</f>
        <v>https://twitter.com/ruygtr</v>
      </c>
      <c r="BP437" s="2"/>
    </row>
    <row r="438" spans="1:68" x14ac:dyDescent="0.25">
      <c r="A438" s="62" t="s">
        <v>1795</v>
      </c>
      <c r="B438" s="63"/>
      <c r="C438" s="63"/>
      <c r="D438" s="64"/>
      <c r="E438" s="66"/>
      <c r="F438" s="103" t="str">
        <f>HYPERLINK("https://pbs.twimg.com/profile_images/1601472366944681984/pah5rBHM_normal.png")</f>
        <v>https://pbs.twimg.com/profile_images/1601472366944681984/pah5rBHM_normal.png</v>
      </c>
      <c r="G438" s="63"/>
      <c r="H438" s="67"/>
      <c r="I438" s="68"/>
      <c r="J438" s="68"/>
      <c r="K438" s="67" t="s">
        <v>28032</v>
      </c>
      <c r="L438" s="71"/>
      <c r="M438" s="72"/>
      <c r="N438" s="72"/>
      <c r="O438" s="73"/>
      <c r="P438" s="74"/>
      <c r="Q438" s="74"/>
      <c r="R438" s="87"/>
      <c r="S438" s="87"/>
      <c r="T438" s="87"/>
      <c r="U438" s="87"/>
      <c r="V438" s="48"/>
      <c r="W438" s="48"/>
      <c r="X438" s="48"/>
      <c r="Y438" s="48"/>
      <c r="Z438" s="47"/>
      <c r="AA438" s="69">
        <v>438</v>
      </c>
      <c r="AB438" s="69"/>
      <c r="AC438" s="70"/>
      <c r="AD438" s="76" t="s">
        <v>21678</v>
      </c>
      <c r="AE438" s="81" t="s">
        <v>20250</v>
      </c>
      <c r="AF438" s="76">
        <v>309724</v>
      </c>
      <c r="AG438" s="76">
        <v>310</v>
      </c>
      <c r="AH438" s="76">
        <v>29127</v>
      </c>
      <c r="AI438" s="76">
        <v>1126</v>
      </c>
      <c r="AJ438" s="76">
        <v>20</v>
      </c>
      <c r="AK438" s="76">
        <v>10124</v>
      </c>
      <c r="AL438" s="76" t="b">
        <v>0</v>
      </c>
      <c r="AM438" s="78">
        <v>43994.737013888887</v>
      </c>
      <c r="AN438" s="76" t="s">
        <v>14382</v>
      </c>
      <c r="AO438" s="76" t="s">
        <v>25098</v>
      </c>
      <c r="AP438" s="82" t="str">
        <f>HYPERLINK("https://t.co/ig3UVuBmkc")</f>
        <v>https://t.co/ig3UVuBmkc</v>
      </c>
      <c r="AQ438" s="82" t="str">
        <f>HYPERLINK("https://www.instagram.com/eixo.politico/")</f>
        <v>https://www.instagram.com/eixo.politico/</v>
      </c>
      <c r="AR438" s="76" t="s">
        <v>26603</v>
      </c>
      <c r="AS438" s="76"/>
      <c r="AT438" s="76"/>
      <c r="AU438" s="76"/>
      <c r="AV438" s="76"/>
      <c r="AW438" s="82" t="str">
        <f>HYPERLINK("https://t.co/ig3UVuBmkc")</f>
        <v>https://t.co/ig3UVuBmkc</v>
      </c>
      <c r="AX438" s="76" t="b">
        <v>1</v>
      </c>
      <c r="AY438" s="76"/>
      <c r="AZ438" s="76"/>
      <c r="BA438" s="76" t="b">
        <v>1</v>
      </c>
      <c r="BB438" s="76" t="b">
        <v>1</v>
      </c>
      <c r="BC438" s="76" t="b">
        <v>1</v>
      </c>
      <c r="BD438" s="76" t="b">
        <v>0</v>
      </c>
      <c r="BE438" s="76" t="b">
        <v>1</v>
      </c>
      <c r="BF438" s="76" t="b">
        <v>0</v>
      </c>
      <c r="BG438" s="76" t="b">
        <v>0</v>
      </c>
      <c r="BH438" s="82" t="str">
        <f>HYPERLINK("https://pbs.twimg.com/profile_banners/1271497757455499264/1683990256")</f>
        <v>https://pbs.twimg.com/profile_banners/1271497757455499264/1683990256</v>
      </c>
      <c r="BI438" s="76"/>
      <c r="BJ438" s="76" t="s">
        <v>27595</v>
      </c>
      <c r="BK438" s="76" t="b">
        <v>0</v>
      </c>
      <c r="BL438" s="76"/>
      <c r="BM438" s="76" t="s">
        <v>65</v>
      </c>
      <c r="BN438" s="76" t="s">
        <v>27597</v>
      </c>
      <c r="BO438" s="82" t="str">
        <f>HYPERLINK("https://twitter.com/eixopolitico")</f>
        <v>https://twitter.com/eixopolitico</v>
      </c>
      <c r="BP438" s="2"/>
    </row>
    <row r="439" spans="1:68" x14ac:dyDescent="0.25">
      <c r="A439" s="62" t="s">
        <v>1468</v>
      </c>
      <c r="B439" s="63"/>
      <c r="C439" s="63"/>
      <c r="D439" s="64"/>
      <c r="E439" s="66"/>
      <c r="F439" s="103" t="str">
        <f>HYPERLINK("https://pbs.twimg.com/profile_images/1630729958262800384/OLQagmRR_normal.jpg")</f>
        <v>https://pbs.twimg.com/profile_images/1630729958262800384/OLQagmRR_normal.jpg</v>
      </c>
      <c r="G439" s="63"/>
      <c r="H439" s="67"/>
      <c r="I439" s="68"/>
      <c r="J439" s="68"/>
      <c r="K439" s="67" t="s">
        <v>28033</v>
      </c>
      <c r="L439" s="71"/>
      <c r="M439" s="72"/>
      <c r="N439" s="72"/>
      <c r="O439" s="73"/>
      <c r="P439" s="74"/>
      <c r="Q439" s="74"/>
      <c r="R439" s="87"/>
      <c r="S439" s="87"/>
      <c r="T439" s="87"/>
      <c r="U439" s="87"/>
      <c r="V439" s="48"/>
      <c r="W439" s="48"/>
      <c r="X439" s="48"/>
      <c r="Y439" s="48"/>
      <c r="Z439" s="47"/>
      <c r="AA439" s="69">
        <v>439</v>
      </c>
      <c r="AB439" s="69"/>
      <c r="AC439" s="70"/>
      <c r="AD439" s="76" t="s">
        <v>21679</v>
      </c>
      <c r="AE439" s="81" t="s">
        <v>23294</v>
      </c>
      <c r="AF439" s="76">
        <v>1230487</v>
      </c>
      <c r="AG439" s="76">
        <v>860</v>
      </c>
      <c r="AH439" s="76">
        <v>20118</v>
      </c>
      <c r="AI439" s="76">
        <v>2371</v>
      </c>
      <c r="AJ439" s="76">
        <v>4547</v>
      </c>
      <c r="AK439" s="76">
        <v>3596</v>
      </c>
      <c r="AL439" s="76" t="b">
        <v>0</v>
      </c>
      <c r="AM439" s="78">
        <v>39917.622187499997</v>
      </c>
      <c r="AN439" s="76" t="s">
        <v>24234</v>
      </c>
      <c r="AO439" s="76" t="s">
        <v>25099</v>
      </c>
      <c r="AP439" s="82" t="str">
        <f>HYPERLINK("https://t.co/7lvOknltKs")</f>
        <v>https://t.co/7lvOknltKs</v>
      </c>
      <c r="AQ439" s="82" t="str">
        <f>HYPERLINK("https://linktr.ee/gleisi.hoffmann")</f>
        <v>https://linktr.ee/gleisi.hoffmann</v>
      </c>
      <c r="AR439" s="76" t="s">
        <v>26604</v>
      </c>
      <c r="AS439" s="76"/>
      <c r="AT439" s="76"/>
      <c r="AU439" s="76"/>
      <c r="AV439" s="76"/>
      <c r="AW439" s="82" t="str">
        <f>HYPERLINK("https://t.co/7lvOknltKs")</f>
        <v>https://t.co/7lvOknltKs</v>
      </c>
      <c r="AX439" s="76" t="b">
        <v>1</v>
      </c>
      <c r="AY439" s="76"/>
      <c r="AZ439" s="76"/>
      <c r="BA439" s="76" t="b">
        <v>0</v>
      </c>
      <c r="BB439" s="76" t="b">
        <v>1</v>
      </c>
      <c r="BC439" s="76" t="b">
        <v>0</v>
      </c>
      <c r="BD439" s="76" t="b">
        <v>0</v>
      </c>
      <c r="BE439" s="76" t="b">
        <v>1</v>
      </c>
      <c r="BF439" s="76" t="b">
        <v>0</v>
      </c>
      <c r="BG439" s="76" t="b">
        <v>0</v>
      </c>
      <c r="BH439" s="82" t="str">
        <f>HYPERLINK("https://pbs.twimg.com/profile_banners/31139434/1678304933")</f>
        <v>https://pbs.twimg.com/profile_banners/31139434/1678304933</v>
      </c>
      <c r="BI439" s="76"/>
      <c r="BJ439" s="76" t="s">
        <v>27595</v>
      </c>
      <c r="BK439" s="76" t="b">
        <v>0</v>
      </c>
      <c r="BL439" s="76"/>
      <c r="BM439" s="76" t="s">
        <v>66</v>
      </c>
      <c r="BN439" s="76" t="s">
        <v>27597</v>
      </c>
      <c r="BO439" s="82" t="str">
        <f>HYPERLINK("https://twitter.com/gleisi")</f>
        <v>https://twitter.com/gleisi</v>
      </c>
      <c r="BP439" s="2"/>
    </row>
    <row r="440" spans="1:68" x14ac:dyDescent="0.25">
      <c r="A440" s="62" t="s">
        <v>527</v>
      </c>
      <c r="B440" s="63"/>
      <c r="C440" s="63"/>
      <c r="D440" s="64"/>
      <c r="E440" s="66"/>
      <c r="F440" s="103" t="str">
        <f>HYPERLINK("https://pbs.twimg.com/profile_images/1663755333968490502/x4A4khGO_normal.jpg")</f>
        <v>https://pbs.twimg.com/profile_images/1663755333968490502/x4A4khGO_normal.jpg</v>
      </c>
      <c r="G440" s="63"/>
      <c r="H440" s="67"/>
      <c r="I440" s="68"/>
      <c r="J440" s="68"/>
      <c r="K440" s="67" t="s">
        <v>28034</v>
      </c>
      <c r="L440" s="71"/>
      <c r="M440" s="72"/>
      <c r="N440" s="72"/>
      <c r="O440" s="73"/>
      <c r="P440" s="74"/>
      <c r="Q440" s="74"/>
      <c r="R440" s="87"/>
      <c r="S440" s="87"/>
      <c r="T440" s="87"/>
      <c r="U440" s="87"/>
      <c r="V440" s="48"/>
      <c r="W440" s="48"/>
      <c r="X440" s="48"/>
      <c r="Y440" s="48"/>
      <c r="Z440" s="47"/>
      <c r="AA440" s="69">
        <v>440</v>
      </c>
      <c r="AB440" s="69"/>
      <c r="AC440" s="70"/>
      <c r="AD440" s="76" t="s">
        <v>21680</v>
      </c>
      <c r="AE440" s="81" t="s">
        <v>23295</v>
      </c>
      <c r="AF440" s="76">
        <v>172</v>
      </c>
      <c r="AG440" s="76">
        <v>1363</v>
      </c>
      <c r="AH440" s="76">
        <v>5059</v>
      </c>
      <c r="AI440" s="76">
        <v>3</v>
      </c>
      <c r="AJ440" s="76">
        <v>9366</v>
      </c>
      <c r="AK440" s="76">
        <v>101</v>
      </c>
      <c r="AL440" s="76" t="b">
        <v>0</v>
      </c>
      <c r="AM440" s="78">
        <v>41573.664386574077</v>
      </c>
      <c r="AN440" s="76" t="s">
        <v>24235</v>
      </c>
      <c r="AO440" s="76" t="s">
        <v>25100</v>
      </c>
      <c r="AP440" s="82" t="str">
        <f>HYPERLINK("https://t.co/KIlKIlndke")</f>
        <v>https://t.co/KIlKIlndke</v>
      </c>
      <c r="AQ440" s="82" t="str">
        <f>HYPERLINK("https://linktr.ee/MatrixGlobalForex")</f>
        <v>https://linktr.ee/MatrixGlobalForex</v>
      </c>
      <c r="AR440" s="76" t="s">
        <v>26605</v>
      </c>
      <c r="AS440" s="76"/>
      <c r="AT440" s="76"/>
      <c r="AU440" s="76"/>
      <c r="AV440" s="76">
        <v>1.69599282287966E+18</v>
      </c>
      <c r="AW440" s="82" t="str">
        <f>HYPERLINK("https://t.co/KIlKIlndke")</f>
        <v>https://t.co/KIlKIlndke</v>
      </c>
      <c r="AX440" s="76" t="b">
        <v>0</v>
      </c>
      <c r="AY440" s="76"/>
      <c r="AZ440" s="76"/>
      <c r="BA440" s="76" t="b">
        <v>0</v>
      </c>
      <c r="BB440" s="76" t="b">
        <v>1</v>
      </c>
      <c r="BC440" s="76" t="b">
        <v>0</v>
      </c>
      <c r="BD440" s="76" t="b">
        <v>0</v>
      </c>
      <c r="BE440" s="76" t="b">
        <v>1</v>
      </c>
      <c r="BF440" s="76" t="b">
        <v>0</v>
      </c>
      <c r="BG440" s="76" t="b">
        <v>0</v>
      </c>
      <c r="BH440" s="82" t="str">
        <f>HYPERLINK("https://pbs.twimg.com/profile_banners/2157106536/1685515545")</f>
        <v>https://pbs.twimg.com/profile_banners/2157106536/1685515545</v>
      </c>
      <c r="BI440" s="76"/>
      <c r="BJ440" s="76" t="s">
        <v>27595</v>
      </c>
      <c r="BK440" s="76" t="b">
        <v>0</v>
      </c>
      <c r="BL440" s="76"/>
      <c r="BM440" s="76" t="s">
        <v>66</v>
      </c>
      <c r="BN440" s="76" t="s">
        <v>27597</v>
      </c>
      <c r="BO440" s="82" t="str">
        <f>HYPERLINK("https://twitter.com/benbusi18")</f>
        <v>https://twitter.com/benbusi18</v>
      </c>
      <c r="BP440" s="2"/>
    </row>
    <row r="441" spans="1:68" x14ac:dyDescent="0.25">
      <c r="A441" s="62" t="s">
        <v>528</v>
      </c>
      <c r="B441" s="63"/>
      <c r="C441" s="63"/>
      <c r="D441" s="64"/>
      <c r="E441" s="66"/>
      <c r="F441" s="103" t="str">
        <f>HYPERLINK("https://pbs.twimg.com/profile_images/1541626130414899200/CVUWG46T_normal.jpg")</f>
        <v>https://pbs.twimg.com/profile_images/1541626130414899200/CVUWG46T_normal.jpg</v>
      </c>
      <c r="G441" s="63"/>
      <c r="H441" s="67"/>
      <c r="I441" s="68"/>
      <c r="J441" s="68"/>
      <c r="K441" s="67" t="s">
        <v>28035</v>
      </c>
      <c r="L441" s="71"/>
      <c r="M441" s="72"/>
      <c r="N441" s="72"/>
      <c r="O441" s="73"/>
      <c r="P441" s="74"/>
      <c r="Q441" s="74"/>
      <c r="R441" s="87"/>
      <c r="S441" s="87"/>
      <c r="T441" s="87"/>
      <c r="U441" s="87"/>
      <c r="V441" s="48"/>
      <c r="W441" s="48"/>
      <c r="X441" s="48"/>
      <c r="Y441" s="48"/>
      <c r="Z441" s="47"/>
      <c r="AA441" s="69">
        <v>441</v>
      </c>
      <c r="AB441" s="69"/>
      <c r="AC441" s="70"/>
      <c r="AD441" s="76" t="s">
        <v>21681</v>
      </c>
      <c r="AE441" s="81" t="s">
        <v>20644</v>
      </c>
      <c r="AF441" s="76">
        <v>4</v>
      </c>
      <c r="AG441" s="76">
        <v>14</v>
      </c>
      <c r="AH441" s="76">
        <v>135</v>
      </c>
      <c r="AI441" s="76">
        <v>0</v>
      </c>
      <c r="AJ441" s="76">
        <v>553</v>
      </c>
      <c r="AK441" s="76">
        <v>30</v>
      </c>
      <c r="AL441" s="76" t="b">
        <v>0</v>
      </c>
      <c r="AM441" s="78">
        <v>44740.116898148146</v>
      </c>
      <c r="AN441" s="76"/>
      <c r="AO441" s="76" t="s">
        <v>25101</v>
      </c>
      <c r="AP441" s="76"/>
      <c r="AQ441" s="76"/>
      <c r="AR441" s="76"/>
      <c r="AS441" s="76"/>
      <c r="AT441" s="76"/>
      <c r="AU441" s="76"/>
      <c r="AV441" s="76">
        <v>1.6037026333441999E+18</v>
      </c>
      <c r="AW441" s="76"/>
      <c r="AX441" s="76" t="b">
        <v>0</v>
      </c>
      <c r="AY441" s="76"/>
      <c r="AZ441" s="76"/>
      <c r="BA441" s="76" t="b">
        <v>0</v>
      </c>
      <c r="BB441" s="76" t="b">
        <v>1</v>
      </c>
      <c r="BC441" s="76" t="b">
        <v>1</v>
      </c>
      <c r="BD441" s="76" t="b">
        <v>0</v>
      </c>
      <c r="BE441" s="76" t="b">
        <v>0</v>
      </c>
      <c r="BF441" s="76" t="b">
        <v>0</v>
      </c>
      <c r="BG441" s="76" t="b">
        <v>0</v>
      </c>
      <c r="BH441" s="82" t="str">
        <f>HYPERLINK("https://pbs.twimg.com/profile_banners/1541614345418936322/1656387284")</f>
        <v>https://pbs.twimg.com/profile_banners/1541614345418936322/1656387284</v>
      </c>
      <c r="BI441" s="76"/>
      <c r="BJ441" s="76" t="s">
        <v>27595</v>
      </c>
      <c r="BK441" s="76" t="b">
        <v>0</v>
      </c>
      <c r="BL441" s="76"/>
      <c r="BM441" s="76" t="s">
        <v>66</v>
      </c>
      <c r="BN441" s="76" t="s">
        <v>27597</v>
      </c>
      <c r="BO441" s="82" t="str">
        <f>HYPERLINK("https://twitter.com/alimikaok")</f>
        <v>https://twitter.com/alimikaok</v>
      </c>
      <c r="BP441" s="2"/>
    </row>
    <row r="442" spans="1:68" x14ac:dyDescent="0.25">
      <c r="A442" s="62" t="s">
        <v>529</v>
      </c>
      <c r="B442" s="63"/>
      <c r="C442" s="63"/>
      <c r="D442" s="64"/>
      <c r="E442" s="66"/>
      <c r="F442" s="103" t="str">
        <f>HYPERLINK("https://pbs.twimg.com/profile_images/1634111021009739776/EjgCXmx6_normal.jpg")</f>
        <v>https://pbs.twimg.com/profile_images/1634111021009739776/EjgCXmx6_normal.jpg</v>
      </c>
      <c r="G442" s="63"/>
      <c r="H442" s="67"/>
      <c r="I442" s="68"/>
      <c r="J442" s="68"/>
      <c r="K442" s="67" t="s">
        <v>28036</v>
      </c>
      <c r="L442" s="71"/>
      <c r="M442" s="72"/>
      <c r="N442" s="72"/>
      <c r="O442" s="73"/>
      <c r="P442" s="74"/>
      <c r="Q442" s="74"/>
      <c r="R442" s="87"/>
      <c r="S442" s="87"/>
      <c r="T442" s="87"/>
      <c r="U442" s="87"/>
      <c r="V442" s="48"/>
      <c r="W442" s="48"/>
      <c r="X442" s="48"/>
      <c r="Y442" s="48"/>
      <c r="Z442" s="47"/>
      <c r="AA442" s="69">
        <v>442</v>
      </c>
      <c r="AB442" s="69"/>
      <c r="AC442" s="70"/>
      <c r="AD442" s="76" t="s">
        <v>21682</v>
      </c>
      <c r="AE442" s="81" t="s">
        <v>23296</v>
      </c>
      <c r="AF442" s="76">
        <v>3366</v>
      </c>
      <c r="AG442" s="76">
        <v>819</v>
      </c>
      <c r="AH442" s="76">
        <v>73716</v>
      </c>
      <c r="AI442" s="76">
        <v>22</v>
      </c>
      <c r="AJ442" s="76">
        <v>3003</v>
      </c>
      <c r="AK442" s="76">
        <v>1758</v>
      </c>
      <c r="AL442" s="76" t="b">
        <v>0</v>
      </c>
      <c r="AM442" s="78">
        <v>40389.570659722223</v>
      </c>
      <c r="AN442" s="76" t="s">
        <v>24236</v>
      </c>
      <c r="AO442" s="76" t="s">
        <v>25102</v>
      </c>
      <c r="AP442" s="76"/>
      <c r="AQ442" s="76"/>
      <c r="AR442" s="76"/>
      <c r="AS442" s="76"/>
      <c r="AT442" s="76"/>
      <c r="AU442" s="76"/>
      <c r="AV442" s="76"/>
      <c r="AW442" s="76"/>
      <c r="AX442" s="76" t="b">
        <v>0</v>
      </c>
      <c r="AY442" s="76"/>
      <c r="AZ442" s="76"/>
      <c r="BA442" s="76" t="b">
        <v>1</v>
      </c>
      <c r="BB442" s="76" t="b">
        <v>0</v>
      </c>
      <c r="BC442" s="76" t="b">
        <v>0</v>
      </c>
      <c r="BD442" s="76" t="b">
        <v>0</v>
      </c>
      <c r="BE442" s="76" t="b">
        <v>1</v>
      </c>
      <c r="BF442" s="76" t="b">
        <v>0</v>
      </c>
      <c r="BG442" s="76" t="b">
        <v>0</v>
      </c>
      <c r="BH442" s="82" t="str">
        <f>HYPERLINK("https://pbs.twimg.com/profile_banners/172738509/1448610829")</f>
        <v>https://pbs.twimg.com/profile_banners/172738509/1448610829</v>
      </c>
      <c r="BI442" s="76"/>
      <c r="BJ442" s="76" t="s">
        <v>27595</v>
      </c>
      <c r="BK442" s="76" t="b">
        <v>0</v>
      </c>
      <c r="BL442" s="76"/>
      <c r="BM442" s="76" t="s">
        <v>66</v>
      </c>
      <c r="BN442" s="76" t="s">
        <v>27597</v>
      </c>
      <c r="BO442" s="82" t="str">
        <f>HYPERLINK("https://twitter.com/why_pi_mrfaces")</f>
        <v>https://twitter.com/why_pi_mrfaces</v>
      </c>
      <c r="BP442" s="2"/>
    </row>
    <row r="443" spans="1:68" x14ac:dyDescent="0.25">
      <c r="A443" s="62" t="s">
        <v>530</v>
      </c>
      <c r="B443" s="63"/>
      <c r="C443" s="63"/>
      <c r="D443" s="64"/>
      <c r="E443" s="66"/>
      <c r="F443" s="103" t="str">
        <f>HYPERLINK("https://pbs.twimg.com/profile_images/2709925189/ed3f111cc3808fa643ad2850c7f3d17b_normal.png")</f>
        <v>https://pbs.twimg.com/profile_images/2709925189/ed3f111cc3808fa643ad2850c7f3d17b_normal.png</v>
      </c>
      <c r="G443" s="63"/>
      <c r="H443" s="67"/>
      <c r="I443" s="68"/>
      <c r="J443" s="68"/>
      <c r="K443" s="67" t="s">
        <v>28037</v>
      </c>
      <c r="L443" s="71"/>
      <c r="M443" s="72"/>
      <c r="N443" s="72"/>
      <c r="O443" s="73"/>
      <c r="P443" s="74"/>
      <c r="Q443" s="74"/>
      <c r="R443" s="87"/>
      <c r="S443" s="87"/>
      <c r="T443" s="87"/>
      <c r="U443" s="87"/>
      <c r="V443" s="48"/>
      <c r="W443" s="48"/>
      <c r="X443" s="48"/>
      <c r="Y443" s="48"/>
      <c r="Z443" s="47"/>
      <c r="AA443" s="69">
        <v>443</v>
      </c>
      <c r="AB443" s="69"/>
      <c r="AC443" s="70"/>
      <c r="AD443" s="76" t="s">
        <v>21683</v>
      </c>
      <c r="AE443" s="81" t="s">
        <v>23297</v>
      </c>
      <c r="AF443" s="76">
        <v>3086</v>
      </c>
      <c r="AG443" s="76">
        <v>4676</v>
      </c>
      <c r="AH443" s="76">
        <v>328925</v>
      </c>
      <c r="AI443" s="76">
        <v>0</v>
      </c>
      <c r="AJ443" s="76">
        <v>355045</v>
      </c>
      <c r="AK443" s="76">
        <v>177</v>
      </c>
      <c r="AL443" s="76" t="b">
        <v>0</v>
      </c>
      <c r="AM443" s="78">
        <v>41163.555821759262</v>
      </c>
      <c r="AN443" s="76" t="s">
        <v>24237</v>
      </c>
      <c r="AO443" s="76"/>
      <c r="AP443" s="76"/>
      <c r="AQ443" s="76"/>
      <c r="AR443" s="76"/>
      <c r="AS443" s="76"/>
      <c r="AT443" s="76"/>
      <c r="AU443" s="76"/>
      <c r="AV443" s="76"/>
      <c r="AW443" s="76"/>
      <c r="AX443" s="76" t="b">
        <v>0</v>
      </c>
      <c r="AY443" s="76"/>
      <c r="AZ443" s="76"/>
      <c r="BA443" s="76" t="b">
        <v>1</v>
      </c>
      <c r="BB443" s="76" t="b">
        <v>1</v>
      </c>
      <c r="BC443" s="76" t="b">
        <v>0</v>
      </c>
      <c r="BD443" s="76" t="b">
        <v>0</v>
      </c>
      <c r="BE443" s="76" t="b">
        <v>1</v>
      </c>
      <c r="BF443" s="76" t="b">
        <v>0</v>
      </c>
      <c r="BG443" s="76" t="b">
        <v>0</v>
      </c>
      <c r="BH443" s="76"/>
      <c r="BI443" s="76"/>
      <c r="BJ443" s="76" t="s">
        <v>27595</v>
      </c>
      <c r="BK443" s="76" t="b">
        <v>0</v>
      </c>
      <c r="BL443" s="76"/>
      <c r="BM443" s="76" t="s">
        <v>66</v>
      </c>
      <c r="BN443" s="76" t="s">
        <v>27597</v>
      </c>
      <c r="BO443" s="82" t="str">
        <f>HYPERLINK("https://twitter.com/dinicamargo")</f>
        <v>https://twitter.com/dinicamargo</v>
      </c>
      <c r="BP443" s="2"/>
    </row>
    <row r="444" spans="1:68" x14ac:dyDescent="0.25">
      <c r="A444" s="62" t="s">
        <v>531</v>
      </c>
      <c r="B444" s="63"/>
      <c r="C444" s="63"/>
      <c r="D444" s="64"/>
      <c r="E444" s="66"/>
      <c r="F444" s="103" t="str">
        <f>HYPERLINK("https://pbs.twimg.com/profile_images/1586562355768528896/JDDGKDwQ_normal.jpg")</f>
        <v>https://pbs.twimg.com/profile_images/1586562355768528896/JDDGKDwQ_normal.jpg</v>
      </c>
      <c r="G444" s="63"/>
      <c r="H444" s="67"/>
      <c r="I444" s="68"/>
      <c r="J444" s="68"/>
      <c r="K444" s="67" t="s">
        <v>28038</v>
      </c>
      <c r="L444" s="71"/>
      <c r="M444" s="72"/>
      <c r="N444" s="72"/>
      <c r="O444" s="73"/>
      <c r="P444" s="74"/>
      <c r="Q444" s="74"/>
      <c r="R444" s="87"/>
      <c r="S444" s="87"/>
      <c r="T444" s="87"/>
      <c r="U444" s="87"/>
      <c r="V444" s="48"/>
      <c r="W444" s="48"/>
      <c r="X444" s="48"/>
      <c r="Y444" s="48"/>
      <c r="Z444" s="47"/>
      <c r="AA444" s="69">
        <v>444</v>
      </c>
      <c r="AB444" s="69"/>
      <c r="AC444" s="70"/>
      <c r="AD444" s="76" t="s">
        <v>21684</v>
      </c>
      <c r="AE444" s="81" t="s">
        <v>20645</v>
      </c>
      <c r="AF444" s="76">
        <v>371</v>
      </c>
      <c r="AG444" s="76">
        <v>1109</v>
      </c>
      <c r="AH444" s="76">
        <v>14968</v>
      </c>
      <c r="AI444" s="76">
        <v>5</v>
      </c>
      <c r="AJ444" s="76">
        <v>32291</v>
      </c>
      <c r="AK444" s="76">
        <v>638</v>
      </c>
      <c r="AL444" s="76" t="b">
        <v>0</v>
      </c>
      <c r="AM444" s="78">
        <v>43360.073981481481</v>
      </c>
      <c r="AN444" s="76"/>
      <c r="AO444" s="76" t="s">
        <v>25103</v>
      </c>
      <c r="AP444" s="82" t="str">
        <f>HYPERLINK("https://t.co/aBWsVHemyr")</f>
        <v>https://t.co/aBWsVHemyr</v>
      </c>
      <c r="AQ444" s="82" t="str">
        <f>HYPERLINK("https://www.youtube.com/channel/UCIQPnsFakGrH4OdjTGSXBfw")</f>
        <v>https://www.youtube.com/channel/UCIQPnsFakGrH4OdjTGSXBfw</v>
      </c>
      <c r="AR444" s="76" t="s">
        <v>26606</v>
      </c>
      <c r="AS444" s="76"/>
      <c r="AT444" s="76"/>
      <c r="AU444" s="76"/>
      <c r="AV444" s="76">
        <v>1.4942208814506501E+18</v>
      </c>
      <c r="AW444" s="82" t="str">
        <f>HYPERLINK("https://t.co/aBWsVHemyr")</f>
        <v>https://t.co/aBWsVHemyr</v>
      </c>
      <c r="AX444" s="76" t="b">
        <v>0</v>
      </c>
      <c r="AY444" s="76"/>
      <c r="AZ444" s="76"/>
      <c r="BA444" s="76" t="b">
        <v>0</v>
      </c>
      <c r="BB444" s="76" t="b">
        <v>0</v>
      </c>
      <c r="BC444" s="76" t="b">
        <v>1</v>
      </c>
      <c r="BD444" s="76" t="b">
        <v>0</v>
      </c>
      <c r="BE444" s="76" t="b">
        <v>1</v>
      </c>
      <c r="BF444" s="76" t="b">
        <v>0</v>
      </c>
      <c r="BG444" s="76" t="b">
        <v>0</v>
      </c>
      <c r="BH444" s="82" t="str">
        <f>HYPERLINK("https://pbs.twimg.com/profile_banners/1041503637757845506/1639338008")</f>
        <v>https://pbs.twimg.com/profile_banners/1041503637757845506/1639338008</v>
      </c>
      <c r="BI444" s="76"/>
      <c r="BJ444" s="76" t="s">
        <v>27595</v>
      </c>
      <c r="BK444" s="76" t="b">
        <v>0</v>
      </c>
      <c r="BL444" s="76"/>
      <c r="BM444" s="76" t="s">
        <v>66</v>
      </c>
      <c r="BN444" s="76" t="s">
        <v>27597</v>
      </c>
      <c r="BO444" s="82" t="str">
        <f>HYPERLINK("https://twitter.com/victaodobitcoin")</f>
        <v>https://twitter.com/victaodobitcoin</v>
      </c>
      <c r="BP444" s="2"/>
    </row>
    <row r="445" spans="1:68" x14ac:dyDescent="0.25">
      <c r="A445" s="62" t="s">
        <v>532</v>
      </c>
      <c r="B445" s="63"/>
      <c r="C445" s="63"/>
      <c r="D445" s="64"/>
      <c r="E445" s="66"/>
      <c r="F445" s="103" t="str">
        <f>HYPERLINK("https://pbs.twimg.com/profile_images/1514924424037904387/bk7020wY_normal.jpg")</f>
        <v>https://pbs.twimg.com/profile_images/1514924424037904387/bk7020wY_normal.jpg</v>
      </c>
      <c r="G445" s="63"/>
      <c r="H445" s="67"/>
      <c r="I445" s="68"/>
      <c r="J445" s="68"/>
      <c r="K445" s="67" t="s">
        <v>28039</v>
      </c>
      <c r="L445" s="71"/>
      <c r="M445" s="72"/>
      <c r="N445" s="72"/>
      <c r="O445" s="73"/>
      <c r="P445" s="74"/>
      <c r="Q445" s="74"/>
      <c r="R445" s="87"/>
      <c r="S445" s="87"/>
      <c r="T445" s="87"/>
      <c r="U445" s="87"/>
      <c r="V445" s="48"/>
      <c r="W445" s="48"/>
      <c r="X445" s="48"/>
      <c r="Y445" s="48"/>
      <c r="Z445" s="47"/>
      <c r="AA445" s="69">
        <v>445</v>
      </c>
      <c r="AB445" s="69"/>
      <c r="AC445" s="70"/>
      <c r="AD445" s="76" t="s">
        <v>21685</v>
      </c>
      <c r="AE445" s="81" t="s">
        <v>20646</v>
      </c>
      <c r="AF445" s="76">
        <v>91</v>
      </c>
      <c r="AG445" s="76">
        <v>277</v>
      </c>
      <c r="AH445" s="76">
        <v>4597</v>
      </c>
      <c r="AI445" s="76">
        <v>0</v>
      </c>
      <c r="AJ445" s="76">
        <v>198</v>
      </c>
      <c r="AK445" s="76">
        <v>4495</v>
      </c>
      <c r="AL445" s="76" t="b">
        <v>0</v>
      </c>
      <c r="AM445" s="78">
        <v>43617.795324074075</v>
      </c>
      <c r="AN445" s="76" t="s">
        <v>24238</v>
      </c>
      <c r="AO445" s="76" t="s">
        <v>25104</v>
      </c>
      <c r="AP445" s="82" t="str">
        <f>HYPERLINK("https://t.co/juVCw0DApX")</f>
        <v>https://t.co/juVCw0DApX</v>
      </c>
      <c r="AQ445" s="82" t="str">
        <f>HYPERLINK("http://noticiasdeimpacto.com.do/")</f>
        <v>http://noticiasdeimpacto.com.do/</v>
      </c>
      <c r="AR445" s="76" t="s">
        <v>26607</v>
      </c>
      <c r="AS445" s="76"/>
      <c r="AT445" s="76"/>
      <c r="AU445" s="76"/>
      <c r="AV445" s="76">
        <v>1.6182277193761001E+18</v>
      </c>
      <c r="AW445" s="82" t="str">
        <f>HYPERLINK("https://t.co/juVCw0DApX")</f>
        <v>https://t.co/juVCw0DApX</v>
      </c>
      <c r="AX445" s="76" t="b">
        <v>0</v>
      </c>
      <c r="AY445" s="76"/>
      <c r="AZ445" s="76"/>
      <c r="BA445" s="76" t="b">
        <v>0</v>
      </c>
      <c r="BB445" s="76" t="b">
        <v>1</v>
      </c>
      <c r="BC445" s="76" t="b">
        <v>1</v>
      </c>
      <c r="BD445" s="76" t="b">
        <v>0</v>
      </c>
      <c r="BE445" s="76" t="b">
        <v>0</v>
      </c>
      <c r="BF445" s="76" t="b">
        <v>0</v>
      </c>
      <c r="BG445" s="76" t="b">
        <v>0</v>
      </c>
      <c r="BH445" s="82" t="str">
        <f>HYPERLINK("https://pbs.twimg.com/profile_banners/1134898724960899076/1650021103")</f>
        <v>https://pbs.twimg.com/profile_banners/1134898724960899076/1650021103</v>
      </c>
      <c r="BI445" s="76"/>
      <c r="BJ445" s="76" t="s">
        <v>27595</v>
      </c>
      <c r="BK445" s="76" t="b">
        <v>0</v>
      </c>
      <c r="BL445" s="76"/>
      <c r="BM445" s="76" t="s">
        <v>66</v>
      </c>
      <c r="BN445" s="76" t="s">
        <v>27597</v>
      </c>
      <c r="BO445" s="82" t="str">
        <f>HYPERLINK("https://twitter.com/noticiasimpac")</f>
        <v>https://twitter.com/noticiasimpac</v>
      </c>
      <c r="BP445" s="2"/>
    </row>
    <row r="446" spans="1:68" x14ac:dyDescent="0.25">
      <c r="A446" s="62" t="s">
        <v>1796</v>
      </c>
      <c r="B446" s="63"/>
      <c r="C446" s="63"/>
      <c r="D446" s="64"/>
      <c r="E446" s="66"/>
      <c r="F446" s="103" t="str">
        <f>HYPERLINK("https://pbs.twimg.com/profile_images/1541591302340485127/IxhaFOqs_normal.jpg")</f>
        <v>https://pbs.twimg.com/profile_images/1541591302340485127/IxhaFOqs_normal.jpg</v>
      </c>
      <c r="G446" s="63"/>
      <c r="H446" s="67"/>
      <c r="I446" s="68"/>
      <c r="J446" s="68"/>
      <c r="K446" s="67" t="s">
        <v>28040</v>
      </c>
      <c r="L446" s="71"/>
      <c r="M446" s="72"/>
      <c r="N446" s="72"/>
      <c r="O446" s="73"/>
      <c r="P446" s="74"/>
      <c r="Q446" s="74"/>
      <c r="R446" s="87"/>
      <c r="S446" s="87"/>
      <c r="T446" s="87"/>
      <c r="U446" s="87"/>
      <c r="V446" s="48"/>
      <c r="W446" s="48"/>
      <c r="X446" s="48"/>
      <c r="Y446" s="48"/>
      <c r="Z446" s="47"/>
      <c r="AA446" s="69">
        <v>446</v>
      </c>
      <c r="AB446" s="69"/>
      <c r="AC446" s="70"/>
      <c r="AD446" s="76" t="s">
        <v>21686</v>
      </c>
      <c r="AE446" s="81" t="s">
        <v>23298</v>
      </c>
      <c r="AF446" s="76">
        <v>594779</v>
      </c>
      <c r="AG446" s="76">
        <v>964</v>
      </c>
      <c r="AH446" s="76">
        <v>5084</v>
      </c>
      <c r="AI446" s="76">
        <v>468</v>
      </c>
      <c r="AJ446" s="76">
        <v>1792</v>
      </c>
      <c r="AK446" s="76">
        <v>2659</v>
      </c>
      <c r="AL446" s="76" t="b">
        <v>0</v>
      </c>
      <c r="AM446" s="78">
        <v>41500.244525462964</v>
      </c>
      <c r="AN446" s="76" t="s">
        <v>24144</v>
      </c>
      <c r="AO446" s="76" t="s">
        <v>25105</v>
      </c>
      <c r="AP446" s="82" t="str">
        <f>HYPERLINK("https://t.co/B0YLXawDo6")</f>
        <v>https://t.co/B0YLXawDo6</v>
      </c>
      <c r="AQ446" s="82" t="str">
        <f>HYPERLINK("http://www.leonelfernandez.com")</f>
        <v>http://www.leonelfernandez.com</v>
      </c>
      <c r="AR446" s="76" t="s">
        <v>26608</v>
      </c>
      <c r="AS446" s="76"/>
      <c r="AT446" s="76"/>
      <c r="AU446" s="76"/>
      <c r="AV446" s="76"/>
      <c r="AW446" s="82" t="str">
        <f>HYPERLINK("https://t.co/B0YLXawDo6")</f>
        <v>https://t.co/B0YLXawDo6</v>
      </c>
      <c r="AX446" s="76" t="b">
        <v>1</v>
      </c>
      <c r="AY446" s="76"/>
      <c r="AZ446" s="76"/>
      <c r="BA446" s="76" t="b">
        <v>0</v>
      </c>
      <c r="BB446" s="76" t="b">
        <v>0</v>
      </c>
      <c r="BC446" s="76" t="b">
        <v>0</v>
      </c>
      <c r="BD446" s="76" t="b">
        <v>0</v>
      </c>
      <c r="BE446" s="76" t="b">
        <v>1</v>
      </c>
      <c r="BF446" s="76" t="b">
        <v>0</v>
      </c>
      <c r="BG446" s="76" t="b">
        <v>0</v>
      </c>
      <c r="BH446" s="82" t="str">
        <f>HYPERLINK("https://pbs.twimg.com/profile_banners/1669631264/1652365546")</f>
        <v>https://pbs.twimg.com/profile_banners/1669631264/1652365546</v>
      </c>
      <c r="BI446" s="76"/>
      <c r="BJ446" s="76" t="s">
        <v>27596</v>
      </c>
      <c r="BK446" s="76" t="b">
        <v>0</v>
      </c>
      <c r="BL446" s="76"/>
      <c r="BM446" s="76" t="s">
        <v>65</v>
      </c>
      <c r="BN446" s="76" t="s">
        <v>27597</v>
      </c>
      <c r="BO446" s="82" t="str">
        <f>HYPERLINK("https://twitter.com/leonelfernandez")</f>
        <v>https://twitter.com/leonelfernandez</v>
      </c>
      <c r="BP446" s="2"/>
    </row>
    <row r="447" spans="1:68" x14ac:dyDescent="0.25">
      <c r="A447" s="62" t="s">
        <v>533</v>
      </c>
      <c r="B447" s="63"/>
      <c r="C447" s="63"/>
      <c r="D447" s="64"/>
      <c r="E447" s="66"/>
      <c r="F447" s="103" t="str">
        <f>HYPERLINK("https://pbs.twimg.com/profile_images/1295731542208192513/MmuqOScW_normal.jpg")</f>
        <v>https://pbs.twimg.com/profile_images/1295731542208192513/MmuqOScW_normal.jpg</v>
      </c>
      <c r="G447" s="63"/>
      <c r="H447" s="67"/>
      <c r="I447" s="68"/>
      <c r="J447" s="68"/>
      <c r="K447" s="67" t="s">
        <v>28041</v>
      </c>
      <c r="L447" s="71"/>
      <c r="M447" s="72"/>
      <c r="N447" s="72"/>
      <c r="O447" s="73"/>
      <c r="P447" s="74"/>
      <c r="Q447" s="74"/>
      <c r="R447" s="87"/>
      <c r="S447" s="87"/>
      <c r="T447" s="87"/>
      <c r="U447" s="87"/>
      <c r="V447" s="48"/>
      <c r="W447" s="48"/>
      <c r="X447" s="48"/>
      <c r="Y447" s="48"/>
      <c r="Z447" s="47"/>
      <c r="AA447" s="69">
        <v>447</v>
      </c>
      <c r="AB447" s="69"/>
      <c r="AC447" s="70"/>
      <c r="AD447" s="76" t="s">
        <v>21687</v>
      </c>
      <c r="AE447" s="81" t="s">
        <v>20647</v>
      </c>
      <c r="AF447" s="76">
        <v>3601</v>
      </c>
      <c r="AG447" s="76">
        <v>4965</v>
      </c>
      <c r="AH447" s="76">
        <v>22363</v>
      </c>
      <c r="AI447" s="76">
        <v>0</v>
      </c>
      <c r="AJ447" s="76">
        <v>13345</v>
      </c>
      <c r="AK447" s="76">
        <v>5999</v>
      </c>
      <c r="AL447" s="76" t="b">
        <v>0</v>
      </c>
      <c r="AM447" s="78">
        <v>43818.877743055556</v>
      </c>
      <c r="AN447" s="76"/>
      <c r="AO447" s="76" t="s">
        <v>25106</v>
      </c>
      <c r="AP447" s="76"/>
      <c r="AQ447" s="76"/>
      <c r="AR447" s="76"/>
      <c r="AS447" s="76"/>
      <c r="AT447" s="76"/>
      <c r="AU447" s="76"/>
      <c r="AV447" s="76"/>
      <c r="AW447" s="76"/>
      <c r="AX447" s="76" t="b">
        <v>0</v>
      </c>
      <c r="AY447" s="76"/>
      <c r="AZ447" s="76"/>
      <c r="BA447" s="76" t="b">
        <v>1</v>
      </c>
      <c r="BB447" s="76" t="b">
        <v>1</v>
      </c>
      <c r="BC447" s="76" t="b">
        <v>1</v>
      </c>
      <c r="BD447" s="76" t="b">
        <v>0</v>
      </c>
      <c r="BE447" s="76" t="b">
        <v>1</v>
      </c>
      <c r="BF447" s="76" t="b">
        <v>0</v>
      </c>
      <c r="BG447" s="76" t="b">
        <v>0</v>
      </c>
      <c r="BH447" s="82" t="str">
        <f>HYPERLINK("https://pbs.twimg.com/profile_banners/1207768400564563969/1642875536")</f>
        <v>https://pbs.twimg.com/profile_banners/1207768400564563969/1642875536</v>
      </c>
      <c r="BI447" s="76"/>
      <c r="BJ447" s="76" t="s">
        <v>27595</v>
      </c>
      <c r="BK447" s="76" t="b">
        <v>0</v>
      </c>
      <c r="BL447" s="76"/>
      <c r="BM447" s="76" t="s">
        <v>66</v>
      </c>
      <c r="BN447" s="76" t="s">
        <v>27597</v>
      </c>
      <c r="BO447" s="82" t="str">
        <f>HYPERLINK("https://twitter.com/fiususy")</f>
        <v>https://twitter.com/fiususy</v>
      </c>
      <c r="BP447" s="2"/>
    </row>
    <row r="448" spans="1:68" x14ac:dyDescent="0.25">
      <c r="A448" s="62" t="s">
        <v>534</v>
      </c>
      <c r="B448" s="63"/>
      <c r="C448" s="63"/>
      <c r="D448" s="64"/>
      <c r="E448" s="66"/>
      <c r="F448" s="103" t="str">
        <f>HYPERLINK("https://pbs.twimg.com/profile_images/1617279879950524419/CuogDvZc_normal.jpg")</f>
        <v>https://pbs.twimg.com/profile_images/1617279879950524419/CuogDvZc_normal.jpg</v>
      </c>
      <c r="G448" s="63"/>
      <c r="H448" s="67"/>
      <c r="I448" s="68"/>
      <c r="J448" s="68"/>
      <c r="K448" s="67" t="s">
        <v>28042</v>
      </c>
      <c r="L448" s="71"/>
      <c r="M448" s="72"/>
      <c r="N448" s="72"/>
      <c r="O448" s="73"/>
      <c r="P448" s="74"/>
      <c r="Q448" s="74"/>
      <c r="R448" s="87"/>
      <c r="S448" s="87"/>
      <c r="T448" s="87"/>
      <c r="U448" s="87"/>
      <c r="V448" s="48"/>
      <c r="W448" s="48"/>
      <c r="X448" s="48"/>
      <c r="Y448" s="48"/>
      <c r="Z448" s="47"/>
      <c r="AA448" s="69">
        <v>448</v>
      </c>
      <c r="AB448" s="69"/>
      <c r="AC448" s="70"/>
      <c r="AD448" s="76" t="s">
        <v>8688</v>
      </c>
      <c r="AE448" s="81" t="s">
        <v>20648</v>
      </c>
      <c r="AF448" s="76">
        <v>27</v>
      </c>
      <c r="AG448" s="76">
        <v>71</v>
      </c>
      <c r="AH448" s="76">
        <v>6203</v>
      </c>
      <c r="AI448" s="76">
        <v>0</v>
      </c>
      <c r="AJ448" s="76">
        <v>30</v>
      </c>
      <c r="AK448" s="76">
        <v>2491</v>
      </c>
      <c r="AL448" s="76" t="b">
        <v>0</v>
      </c>
      <c r="AM448" s="78">
        <v>44915.841273148151</v>
      </c>
      <c r="AN448" s="76" t="s">
        <v>24239</v>
      </c>
      <c r="AO448" s="76" t="s">
        <v>25107</v>
      </c>
      <c r="AP448" s="82" t="str">
        <f>HYPERLINK("https://t.co/AVEQDQOGoY")</f>
        <v>https://t.co/AVEQDQOGoY</v>
      </c>
      <c r="AQ448" s="82" t="str">
        <f>HYPERLINK("https://manaustime.com")</f>
        <v>https://manaustime.com</v>
      </c>
      <c r="AR448" s="76" t="s">
        <v>8688</v>
      </c>
      <c r="AS448" s="76"/>
      <c r="AT448" s="76"/>
      <c r="AU448" s="76"/>
      <c r="AV448" s="76"/>
      <c r="AW448" s="82" t="str">
        <f>HYPERLINK("https://t.co/AVEQDQOGoY")</f>
        <v>https://t.co/AVEQDQOGoY</v>
      </c>
      <c r="AX448" s="76" t="b">
        <v>0</v>
      </c>
      <c r="AY448" s="76"/>
      <c r="AZ448" s="76"/>
      <c r="BA448" s="76" t="b">
        <v>0</v>
      </c>
      <c r="BB448" s="76" t="b">
        <v>1</v>
      </c>
      <c r="BC448" s="76" t="b">
        <v>1</v>
      </c>
      <c r="BD448" s="76" t="b">
        <v>0</v>
      </c>
      <c r="BE448" s="76" t="b">
        <v>0</v>
      </c>
      <c r="BF448" s="76" t="b">
        <v>0</v>
      </c>
      <c r="BG448" s="76" t="b">
        <v>0</v>
      </c>
      <c r="BH448" s="82" t="str">
        <f>HYPERLINK("https://pbs.twimg.com/profile_banners/1605294783953375232/1681255532")</f>
        <v>https://pbs.twimg.com/profile_banners/1605294783953375232/1681255532</v>
      </c>
      <c r="BI448" s="76"/>
      <c r="BJ448" s="76" t="s">
        <v>27595</v>
      </c>
      <c r="BK448" s="76" t="b">
        <v>0</v>
      </c>
      <c r="BL448" s="76"/>
      <c r="BM448" s="76" t="s">
        <v>66</v>
      </c>
      <c r="BN448" s="76" t="s">
        <v>27597</v>
      </c>
      <c r="BO448" s="82" t="str">
        <f>HYPERLINK("https://twitter.com/manaustime")</f>
        <v>https://twitter.com/manaustime</v>
      </c>
      <c r="BP448" s="2"/>
    </row>
    <row r="449" spans="1:68" x14ac:dyDescent="0.25">
      <c r="A449" s="62" t="s">
        <v>535</v>
      </c>
      <c r="B449" s="63"/>
      <c r="C449" s="63"/>
      <c r="D449" s="64"/>
      <c r="E449" s="66"/>
      <c r="F449" s="103" t="str">
        <f>HYPERLINK("https://pbs.twimg.com/profile_images/1303036155676459008/49QgLTWO_normal.jpg")</f>
        <v>https://pbs.twimg.com/profile_images/1303036155676459008/49QgLTWO_normal.jpg</v>
      </c>
      <c r="G449" s="63"/>
      <c r="H449" s="67"/>
      <c r="I449" s="68"/>
      <c r="J449" s="68"/>
      <c r="K449" s="67" t="s">
        <v>28043</v>
      </c>
      <c r="L449" s="71"/>
      <c r="M449" s="72"/>
      <c r="N449" s="72"/>
      <c r="O449" s="73"/>
      <c r="P449" s="74"/>
      <c r="Q449" s="74"/>
      <c r="R449" s="87"/>
      <c r="S449" s="87"/>
      <c r="T449" s="87"/>
      <c r="U449" s="87"/>
      <c r="V449" s="48"/>
      <c r="W449" s="48"/>
      <c r="X449" s="48"/>
      <c r="Y449" s="48"/>
      <c r="Z449" s="47"/>
      <c r="AA449" s="69">
        <v>449</v>
      </c>
      <c r="AB449" s="69"/>
      <c r="AC449" s="70"/>
      <c r="AD449" s="76" t="s">
        <v>8689</v>
      </c>
      <c r="AE449" s="81" t="s">
        <v>20649</v>
      </c>
      <c r="AF449" s="76">
        <v>3740</v>
      </c>
      <c r="AG449" s="76">
        <v>1200</v>
      </c>
      <c r="AH449" s="76">
        <v>16687</v>
      </c>
      <c r="AI449" s="76">
        <v>18</v>
      </c>
      <c r="AJ449" s="76">
        <v>173</v>
      </c>
      <c r="AK449" s="76">
        <v>293</v>
      </c>
      <c r="AL449" s="76" t="b">
        <v>0</v>
      </c>
      <c r="AM449" s="78">
        <v>43447.755659722221</v>
      </c>
      <c r="AN449" s="76" t="s">
        <v>14386</v>
      </c>
      <c r="AO449" s="76" t="s">
        <v>25108</v>
      </c>
      <c r="AP449" s="82" t="str">
        <f>HYPERLINK("https://t.co/5WC1Sh3vv3")</f>
        <v>https://t.co/5WC1Sh3vv3</v>
      </c>
      <c r="AQ449" s="82" t="str">
        <f>HYPERLINK("http://elcontraste.cl")</f>
        <v>http://elcontraste.cl</v>
      </c>
      <c r="AR449" s="76" t="s">
        <v>8689</v>
      </c>
      <c r="AS449" s="76"/>
      <c r="AT449" s="76"/>
      <c r="AU449" s="76"/>
      <c r="AV449" s="76"/>
      <c r="AW449" s="82" t="str">
        <f>HYPERLINK("https://t.co/5WC1Sh3vv3")</f>
        <v>https://t.co/5WC1Sh3vv3</v>
      </c>
      <c r="AX449" s="76" t="b">
        <v>0</v>
      </c>
      <c r="AY449" s="76"/>
      <c r="AZ449" s="76"/>
      <c r="BA449" s="76" t="b">
        <v>1</v>
      </c>
      <c r="BB449" s="76" t="b">
        <v>1</v>
      </c>
      <c r="BC449" s="76" t="b">
        <v>1</v>
      </c>
      <c r="BD449" s="76" t="b">
        <v>0</v>
      </c>
      <c r="BE449" s="76" t="b">
        <v>1</v>
      </c>
      <c r="BF449" s="76" t="b">
        <v>0</v>
      </c>
      <c r="BG449" s="76" t="b">
        <v>0</v>
      </c>
      <c r="BH449" s="82" t="str">
        <f>HYPERLINK("https://pbs.twimg.com/profile_banners/1073278413652267014/1599503005")</f>
        <v>https://pbs.twimg.com/profile_banners/1073278413652267014/1599503005</v>
      </c>
      <c r="BI449" s="76"/>
      <c r="BJ449" s="76" t="s">
        <v>27595</v>
      </c>
      <c r="BK449" s="76" t="b">
        <v>0</v>
      </c>
      <c r="BL449" s="76"/>
      <c r="BM449" s="76" t="s">
        <v>66</v>
      </c>
      <c r="BN449" s="76" t="s">
        <v>27597</v>
      </c>
      <c r="BO449" s="82" t="str">
        <f>HYPERLINK("https://twitter.com/elcontrastecl")</f>
        <v>https://twitter.com/elcontrastecl</v>
      </c>
      <c r="BP449" s="2"/>
    </row>
    <row r="450" spans="1:68" x14ac:dyDescent="0.25">
      <c r="A450" s="62" t="s">
        <v>536</v>
      </c>
      <c r="B450" s="63"/>
      <c r="C450" s="63"/>
      <c r="D450" s="64"/>
      <c r="E450" s="66"/>
      <c r="F450" s="103" t="str">
        <f>HYPERLINK("https://pbs.twimg.com/profile_images/1609914022144393219/we74VFnn_normal.jpg")</f>
        <v>https://pbs.twimg.com/profile_images/1609914022144393219/we74VFnn_normal.jpg</v>
      </c>
      <c r="G450" s="63"/>
      <c r="H450" s="67"/>
      <c r="I450" s="68"/>
      <c r="J450" s="68"/>
      <c r="K450" s="67" t="s">
        <v>28044</v>
      </c>
      <c r="L450" s="71"/>
      <c r="M450" s="72"/>
      <c r="N450" s="72"/>
      <c r="O450" s="73"/>
      <c r="P450" s="74"/>
      <c r="Q450" s="74"/>
      <c r="R450" s="87"/>
      <c r="S450" s="87"/>
      <c r="T450" s="87"/>
      <c r="U450" s="87"/>
      <c r="V450" s="48"/>
      <c r="W450" s="48"/>
      <c r="X450" s="48"/>
      <c r="Y450" s="48"/>
      <c r="Z450" s="47"/>
      <c r="AA450" s="69">
        <v>450</v>
      </c>
      <c r="AB450" s="69"/>
      <c r="AC450" s="70"/>
      <c r="AD450" s="76" t="s">
        <v>21688</v>
      </c>
      <c r="AE450" s="81" t="s">
        <v>23299</v>
      </c>
      <c r="AF450" s="76">
        <v>8574</v>
      </c>
      <c r="AG450" s="76">
        <v>30</v>
      </c>
      <c r="AH450" s="76">
        <v>8740</v>
      </c>
      <c r="AI450" s="76">
        <v>96</v>
      </c>
      <c r="AJ450" s="76">
        <v>17</v>
      </c>
      <c r="AK450" s="76">
        <v>1888</v>
      </c>
      <c r="AL450" s="76" t="b">
        <v>0</v>
      </c>
      <c r="AM450" s="78">
        <v>40330.624212962961</v>
      </c>
      <c r="AN450" s="76" t="s">
        <v>24240</v>
      </c>
      <c r="AO450" s="76" t="s">
        <v>25109</v>
      </c>
      <c r="AP450" s="82" t="str">
        <f>HYPERLINK("https://t.co/fTJv82UyWk")</f>
        <v>https://t.co/fTJv82UyWk</v>
      </c>
      <c r="AQ450" s="82" t="str">
        <f>HYPERLINK("http://www.centraldeconcursos.com.br")</f>
        <v>http://www.centraldeconcursos.com.br</v>
      </c>
      <c r="AR450" s="76" t="s">
        <v>26609</v>
      </c>
      <c r="AS450" s="76"/>
      <c r="AT450" s="76"/>
      <c r="AU450" s="76"/>
      <c r="AV450" s="76"/>
      <c r="AW450" s="82" t="str">
        <f>HYPERLINK("https://t.co/fTJv82UyWk")</f>
        <v>https://t.co/fTJv82UyWk</v>
      </c>
      <c r="AX450" s="76" t="b">
        <v>0</v>
      </c>
      <c r="AY450" s="76"/>
      <c r="AZ450" s="76"/>
      <c r="BA450" s="76" t="b">
        <v>0</v>
      </c>
      <c r="BB450" s="76" t="b">
        <v>1</v>
      </c>
      <c r="BC450" s="76" t="b">
        <v>0</v>
      </c>
      <c r="BD450" s="76" t="b">
        <v>0</v>
      </c>
      <c r="BE450" s="76" t="b">
        <v>1</v>
      </c>
      <c r="BF450" s="76" t="b">
        <v>0</v>
      </c>
      <c r="BG450" s="76" t="b">
        <v>0</v>
      </c>
      <c r="BH450" s="82" t="str">
        <f>HYPERLINK("https://pbs.twimg.com/profile_banners/150680335/1685567395")</f>
        <v>https://pbs.twimg.com/profile_banners/150680335/1685567395</v>
      </c>
      <c r="BI450" s="76"/>
      <c r="BJ450" s="76" t="s">
        <v>27595</v>
      </c>
      <c r="BK450" s="76" t="b">
        <v>0</v>
      </c>
      <c r="BL450" s="76"/>
      <c r="BM450" s="76" t="s">
        <v>66</v>
      </c>
      <c r="BN450" s="76" t="s">
        <v>27597</v>
      </c>
      <c r="BO450" s="82" t="str">
        <f>HYPERLINK("https://twitter.com/passanacentral")</f>
        <v>https://twitter.com/passanacentral</v>
      </c>
      <c r="BP450" s="2"/>
    </row>
    <row r="451" spans="1:68" x14ac:dyDescent="0.25">
      <c r="A451" s="62" t="s">
        <v>537</v>
      </c>
      <c r="B451" s="63"/>
      <c r="C451" s="63"/>
      <c r="D451" s="64"/>
      <c r="E451" s="66"/>
      <c r="F451" s="103" t="str">
        <f>HYPERLINK("https://pbs.twimg.com/profile_images/1349114822844145665/g1zq6-8N_normal.png")</f>
        <v>https://pbs.twimg.com/profile_images/1349114822844145665/g1zq6-8N_normal.png</v>
      </c>
      <c r="G451" s="63"/>
      <c r="H451" s="67"/>
      <c r="I451" s="68"/>
      <c r="J451" s="68"/>
      <c r="K451" s="67" t="s">
        <v>28045</v>
      </c>
      <c r="L451" s="71"/>
      <c r="M451" s="72"/>
      <c r="N451" s="72"/>
      <c r="O451" s="73"/>
      <c r="P451" s="74"/>
      <c r="Q451" s="74"/>
      <c r="R451" s="87"/>
      <c r="S451" s="87"/>
      <c r="T451" s="87"/>
      <c r="U451" s="87"/>
      <c r="V451" s="48"/>
      <c r="W451" s="48"/>
      <c r="X451" s="48"/>
      <c r="Y451" s="48"/>
      <c r="Z451" s="47"/>
      <c r="AA451" s="69">
        <v>451</v>
      </c>
      <c r="AB451" s="69"/>
      <c r="AC451" s="70"/>
      <c r="AD451" s="76" t="s">
        <v>21689</v>
      </c>
      <c r="AE451" s="81" t="s">
        <v>23300</v>
      </c>
      <c r="AF451" s="76">
        <v>31251</v>
      </c>
      <c r="AG451" s="76">
        <v>573</v>
      </c>
      <c r="AH451" s="76">
        <v>312310</v>
      </c>
      <c r="AI451" s="76">
        <v>199</v>
      </c>
      <c r="AJ451" s="76">
        <v>807</v>
      </c>
      <c r="AK451" s="76">
        <v>143657</v>
      </c>
      <c r="AL451" s="76" t="b">
        <v>0</v>
      </c>
      <c r="AM451" s="78">
        <v>40302.560266203705</v>
      </c>
      <c r="AN451" s="76" t="s">
        <v>24241</v>
      </c>
      <c r="AO451" s="76" t="s">
        <v>25110</v>
      </c>
      <c r="AP451" s="82" t="str">
        <f>HYPERLINK("http://t.co/AZUHJnoseH")</f>
        <v>http://t.co/AZUHJnoseH</v>
      </c>
      <c r="AQ451" s="82" t="str">
        <f>HYPERLINK("http://www.noticiasdel6.com/")</f>
        <v>http://www.noticiasdel6.com/</v>
      </c>
      <c r="AR451" s="76" t="s">
        <v>26610</v>
      </c>
      <c r="AS451" s="76" t="s">
        <v>27376</v>
      </c>
      <c r="AT451" s="76" t="s">
        <v>27415</v>
      </c>
      <c r="AU451" s="76" t="s">
        <v>27480</v>
      </c>
      <c r="AV451" s="76"/>
      <c r="AW451" s="82" t="str">
        <f>HYPERLINK("http://t.co/AZUHJnoseH")</f>
        <v>http://t.co/AZUHJnoseH</v>
      </c>
      <c r="AX451" s="76" t="b">
        <v>0</v>
      </c>
      <c r="AY451" s="76"/>
      <c r="AZ451" s="76"/>
      <c r="BA451" s="76" t="b">
        <v>0</v>
      </c>
      <c r="BB451" s="76" t="b">
        <v>1</v>
      </c>
      <c r="BC451" s="76" t="b">
        <v>0</v>
      </c>
      <c r="BD451" s="76" t="b">
        <v>0</v>
      </c>
      <c r="BE451" s="76" t="b">
        <v>1</v>
      </c>
      <c r="BF451" s="76" t="b">
        <v>0</v>
      </c>
      <c r="BG451" s="76" t="b">
        <v>0</v>
      </c>
      <c r="BH451" s="82" t="str">
        <f>HYPERLINK("https://pbs.twimg.com/profile_banners/140065192/1501183494")</f>
        <v>https://pbs.twimg.com/profile_banners/140065192/1501183494</v>
      </c>
      <c r="BI451" s="76"/>
      <c r="BJ451" s="76" t="s">
        <v>27595</v>
      </c>
      <c r="BK451" s="76" t="b">
        <v>0</v>
      </c>
      <c r="BL451" s="76"/>
      <c r="BM451" s="76" t="s">
        <v>66</v>
      </c>
      <c r="BN451" s="76" t="s">
        <v>27597</v>
      </c>
      <c r="BO451" s="82" t="str">
        <f>HYPERLINK("https://twitter.com/noticiasdel6")</f>
        <v>https://twitter.com/noticiasdel6</v>
      </c>
      <c r="BP451" s="2"/>
    </row>
    <row r="452" spans="1:68" x14ac:dyDescent="0.25">
      <c r="A452" s="62" t="s">
        <v>538</v>
      </c>
      <c r="B452" s="63"/>
      <c r="C452" s="63"/>
      <c r="D452" s="64"/>
      <c r="E452" s="66"/>
      <c r="F452" s="103" t="str">
        <f>HYPERLINK("https://pbs.twimg.com/profile_images/1698707669324865536/LaFA3ty7_normal.jpg")</f>
        <v>https://pbs.twimg.com/profile_images/1698707669324865536/LaFA3ty7_normal.jpg</v>
      </c>
      <c r="G452" s="63"/>
      <c r="H452" s="67"/>
      <c r="I452" s="68"/>
      <c r="J452" s="68"/>
      <c r="K452" s="67" t="s">
        <v>28046</v>
      </c>
      <c r="L452" s="71"/>
      <c r="M452" s="72"/>
      <c r="N452" s="72"/>
      <c r="O452" s="73"/>
      <c r="P452" s="74"/>
      <c r="Q452" s="74"/>
      <c r="R452" s="87"/>
      <c r="S452" s="87"/>
      <c r="T452" s="87"/>
      <c r="U452" s="87"/>
      <c r="V452" s="48"/>
      <c r="W452" s="48"/>
      <c r="X452" s="48"/>
      <c r="Y452" s="48"/>
      <c r="Z452" s="47"/>
      <c r="AA452" s="69">
        <v>452</v>
      </c>
      <c r="AB452" s="69"/>
      <c r="AC452" s="70"/>
      <c r="AD452" s="76" t="s">
        <v>21690</v>
      </c>
      <c r="AE452" s="81" t="s">
        <v>23301</v>
      </c>
      <c r="AF452" s="76">
        <v>508</v>
      </c>
      <c r="AG452" s="76">
        <v>495</v>
      </c>
      <c r="AH452" s="76">
        <v>33534</v>
      </c>
      <c r="AI452" s="76">
        <v>7</v>
      </c>
      <c r="AJ452" s="76">
        <v>10205</v>
      </c>
      <c r="AK452" s="76">
        <v>934</v>
      </c>
      <c r="AL452" s="76" t="b">
        <v>0</v>
      </c>
      <c r="AM452" s="78">
        <v>39969.035520833335</v>
      </c>
      <c r="AN452" s="76" t="s">
        <v>24242</v>
      </c>
      <c r="AO452" s="76" t="s">
        <v>25111</v>
      </c>
      <c r="AP452" s="76"/>
      <c r="AQ452" s="76"/>
      <c r="AR452" s="76"/>
      <c r="AS452" s="76"/>
      <c r="AT452" s="76"/>
      <c r="AU452" s="76"/>
      <c r="AV452" s="76">
        <v>1.5637434552762399E+18</v>
      </c>
      <c r="AW452" s="76"/>
      <c r="AX452" s="76" t="b">
        <v>0</v>
      </c>
      <c r="AY452" s="76"/>
      <c r="AZ452" s="76"/>
      <c r="BA452" s="76" t="b">
        <v>0</v>
      </c>
      <c r="BB452" s="76" t="b">
        <v>1</v>
      </c>
      <c r="BC452" s="76" t="b">
        <v>1</v>
      </c>
      <c r="BD452" s="76" t="b">
        <v>0</v>
      </c>
      <c r="BE452" s="76" t="b">
        <v>1</v>
      </c>
      <c r="BF452" s="76" t="b">
        <v>0</v>
      </c>
      <c r="BG452" s="76" t="b">
        <v>0</v>
      </c>
      <c r="BH452" s="82" t="str">
        <f>HYPERLINK("https://pbs.twimg.com/profile_banners/44778941/1693838443")</f>
        <v>https://pbs.twimg.com/profile_banners/44778941/1693838443</v>
      </c>
      <c r="BI452" s="76"/>
      <c r="BJ452" s="76" t="s">
        <v>27595</v>
      </c>
      <c r="BK452" s="76" t="b">
        <v>0</v>
      </c>
      <c r="BL452" s="76"/>
      <c r="BM452" s="76" t="s">
        <v>66</v>
      </c>
      <c r="BN452" s="76" t="s">
        <v>27597</v>
      </c>
      <c r="BO452" s="82" t="str">
        <f>HYPERLINK("https://twitter.com/hadrianus_63")</f>
        <v>https://twitter.com/hadrianus_63</v>
      </c>
      <c r="BP452" s="2"/>
    </row>
    <row r="453" spans="1:68" x14ac:dyDescent="0.25">
      <c r="A453" s="62" t="s">
        <v>1797</v>
      </c>
      <c r="B453" s="63"/>
      <c r="C453" s="63"/>
      <c r="D453" s="64"/>
      <c r="E453" s="66"/>
      <c r="F453" s="103" t="str">
        <f>HYPERLINK("https://pbs.twimg.com/profile_images/798301504209817601/nwExdw-Y_normal.jpg")</f>
        <v>https://pbs.twimg.com/profile_images/798301504209817601/nwExdw-Y_normal.jpg</v>
      </c>
      <c r="G453" s="63"/>
      <c r="H453" s="67"/>
      <c r="I453" s="68"/>
      <c r="J453" s="68"/>
      <c r="K453" s="67" t="s">
        <v>28047</v>
      </c>
      <c r="L453" s="71"/>
      <c r="M453" s="72"/>
      <c r="N453" s="72"/>
      <c r="O453" s="73"/>
      <c r="P453" s="74"/>
      <c r="Q453" s="74"/>
      <c r="R453" s="87"/>
      <c r="S453" s="87"/>
      <c r="T453" s="87"/>
      <c r="U453" s="87"/>
      <c r="V453" s="48"/>
      <c r="W453" s="48"/>
      <c r="X453" s="48"/>
      <c r="Y453" s="48"/>
      <c r="Z453" s="47"/>
      <c r="AA453" s="69">
        <v>453</v>
      </c>
      <c r="AB453" s="69"/>
      <c r="AC453" s="70"/>
      <c r="AD453" s="76" t="s">
        <v>21691</v>
      </c>
      <c r="AE453" s="81" t="s">
        <v>20252</v>
      </c>
      <c r="AF453" s="76">
        <v>22220</v>
      </c>
      <c r="AG453" s="76">
        <v>972</v>
      </c>
      <c r="AH453" s="76">
        <v>8022</v>
      </c>
      <c r="AI453" s="76">
        <v>116</v>
      </c>
      <c r="AJ453" s="76">
        <v>2072</v>
      </c>
      <c r="AK453" s="76">
        <v>292</v>
      </c>
      <c r="AL453" s="76" t="b">
        <v>0</v>
      </c>
      <c r="AM453" s="78">
        <v>40343.631712962961</v>
      </c>
      <c r="AN453" s="76" t="s">
        <v>24112</v>
      </c>
      <c r="AO453" s="76" t="s">
        <v>25112</v>
      </c>
      <c r="AP453" s="76"/>
      <c r="AQ453" s="76"/>
      <c r="AR453" s="76"/>
      <c r="AS453" s="76"/>
      <c r="AT453" s="76"/>
      <c r="AU453" s="76"/>
      <c r="AV453" s="76"/>
      <c r="AW453" s="76"/>
      <c r="AX453" s="76" t="b">
        <v>0</v>
      </c>
      <c r="AY453" s="76"/>
      <c r="AZ453" s="76"/>
      <c r="BA453" s="76" t="b">
        <v>0</v>
      </c>
      <c r="BB453" s="76" t="b">
        <v>0</v>
      </c>
      <c r="BC453" s="76" t="b">
        <v>1</v>
      </c>
      <c r="BD453" s="76" t="b">
        <v>0</v>
      </c>
      <c r="BE453" s="76" t="b">
        <v>1</v>
      </c>
      <c r="BF453" s="76" t="b">
        <v>0</v>
      </c>
      <c r="BG453" s="76" t="b">
        <v>0</v>
      </c>
      <c r="BH453" s="82" t="str">
        <f>HYPERLINK("https://pbs.twimg.com/profile_banners/155588752/1531956982")</f>
        <v>https://pbs.twimg.com/profile_banners/155588752/1531956982</v>
      </c>
      <c r="BI453" s="76"/>
      <c r="BJ453" s="76" t="s">
        <v>27595</v>
      </c>
      <c r="BK453" s="76" t="b">
        <v>0</v>
      </c>
      <c r="BL453" s="76"/>
      <c r="BM453" s="76" t="s">
        <v>65</v>
      </c>
      <c r="BN453" s="76" t="s">
        <v>27597</v>
      </c>
      <c r="BO453" s="82" t="str">
        <f>HYPERLINK("https://twitter.com/nicopaut")</f>
        <v>https://twitter.com/nicopaut</v>
      </c>
      <c r="BP453" s="2"/>
    </row>
    <row r="454" spans="1:68" x14ac:dyDescent="0.25">
      <c r="A454" s="62" t="s">
        <v>539</v>
      </c>
      <c r="B454" s="63"/>
      <c r="C454" s="63"/>
      <c r="D454" s="64"/>
      <c r="E454" s="66"/>
      <c r="F454" s="103" t="str">
        <f>HYPERLINK("https://pbs.twimg.com/profile_images/1699149387606220800/rpvUB7XC_normal.jpg")</f>
        <v>https://pbs.twimg.com/profile_images/1699149387606220800/rpvUB7XC_normal.jpg</v>
      </c>
      <c r="G454" s="63"/>
      <c r="H454" s="67"/>
      <c r="I454" s="68"/>
      <c r="J454" s="68"/>
      <c r="K454" s="67" t="s">
        <v>28048</v>
      </c>
      <c r="L454" s="71"/>
      <c r="M454" s="72"/>
      <c r="N454" s="72"/>
      <c r="O454" s="73"/>
      <c r="P454" s="74"/>
      <c r="Q454" s="74"/>
      <c r="R454" s="87"/>
      <c r="S454" s="87"/>
      <c r="T454" s="87"/>
      <c r="U454" s="87"/>
      <c r="V454" s="48"/>
      <c r="W454" s="48"/>
      <c r="X454" s="48"/>
      <c r="Y454" s="48"/>
      <c r="Z454" s="47"/>
      <c r="AA454" s="69">
        <v>454</v>
      </c>
      <c r="AB454" s="69"/>
      <c r="AC454" s="70"/>
      <c r="AD454" s="76" t="s">
        <v>21692</v>
      </c>
      <c r="AE454" s="81" t="s">
        <v>23302</v>
      </c>
      <c r="AF454" s="76">
        <v>78275</v>
      </c>
      <c r="AG454" s="76">
        <v>662</v>
      </c>
      <c r="AH454" s="76">
        <v>55126</v>
      </c>
      <c r="AI454" s="76">
        <v>867</v>
      </c>
      <c r="AJ454" s="76">
        <v>824</v>
      </c>
      <c r="AK454" s="76">
        <v>7094</v>
      </c>
      <c r="AL454" s="76" t="b">
        <v>0</v>
      </c>
      <c r="AM454" s="78">
        <v>40074.592523148145</v>
      </c>
      <c r="AN454" s="76" t="s">
        <v>14400</v>
      </c>
      <c r="AO454" s="76" t="s">
        <v>25113</v>
      </c>
      <c r="AP454" s="82" t="str">
        <f>HYPERLINK("https://t.co/28r129w1GH")</f>
        <v>https://t.co/28r129w1GH</v>
      </c>
      <c r="AQ454" s="82" t="str">
        <f>HYPERLINK("http://www.broadcast.com.br")</f>
        <v>http://www.broadcast.com.br</v>
      </c>
      <c r="AR454" s="76" t="s">
        <v>26611</v>
      </c>
      <c r="AS454" s="76"/>
      <c r="AT454" s="76"/>
      <c r="AU454" s="76"/>
      <c r="AV454" s="76"/>
      <c r="AW454" s="82" t="str">
        <f>HYPERLINK("https://t.co/28r129w1GH")</f>
        <v>https://t.co/28r129w1GH</v>
      </c>
      <c r="AX454" s="76" t="b">
        <v>1</v>
      </c>
      <c r="AY454" s="76"/>
      <c r="AZ454" s="76"/>
      <c r="BA454" s="76" t="b">
        <v>0</v>
      </c>
      <c r="BB454" s="76" t="b">
        <v>1</v>
      </c>
      <c r="BC454" s="76" t="b">
        <v>0</v>
      </c>
      <c r="BD454" s="76" t="b">
        <v>0</v>
      </c>
      <c r="BE454" s="76" t="b">
        <v>1</v>
      </c>
      <c r="BF454" s="76" t="b">
        <v>0</v>
      </c>
      <c r="BG454" s="76" t="b">
        <v>0</v>
      </c>
      <c r="BH454" s="82" t="str">
        <f>HYPERLINK("https://pbs.twimg.com/profile_banners/75289487/1693927107")</f>
        <v>https://pbs.twimg.com/profile_banners/75289487/1693927107</v>
      </c>
      <c r="BI454" s="76"/>
      <c r="BJ454" s="76" t="s">
        <v>27595</v>
      </c>
      <c r="BK454" s="76" t="b">
        <v>0</v>
      </c>
      <c r="BL454" s="76"/>
      <c r="BM454" s="76" t="s">
        <v>66</v>
      </c>
      <c r="BN454" s="76" t="s">
        <v>27597</v>
      </c>
      <c r="BO454" s="82" t="str">
        <f>HYPERLINK("https://twitter.com/agenciaestado")</f>
        <v>https://twitter.com/agenciaestado</v>
      </c>
      <c r="BP454" s="2"/>
    </row>
    <row r="455" spans="1:68" x14ac:dyDescent="0.25">
      <c r="A455" s="62" t="s">
        <v>540</v>
      </c>
      <c r="B455" s="63"/>
      <c r="C455" s="63"/>
      <c r="D455" s="64"/>
      <c r="E455" s="66"/>
      <c r="F455" s="103" t="str">
        <f>HYPERLINK("https://pbs.twimg.com/profile_images/925696313387376640/ba-1XUdl_normal.jpg")</f>
        <v>https://pbs.twimg.com/profile_images/925696313387376640/ba-1XUdl_normal.jpg</v>
      </c>
      <c r="G455" s="63"/>
      <c r="H455" s="67"/>
      <c r="I455" s="68"/>
      <c r="J455" s="68"/>
      <c r="K455" s="67" t="s">
        <v>28049</v>
      </c>
      <c r="L455" s="71"/>
      <c r="M455" s="72"/>
      <c r="N455" s="72"/>
      <c r="O455" s="73"/>
      <c r="P455" s="74"/>
      <c r="Q455" s="74"/>
      <c r="R455" s="87"/>
      <c r="S455" s="87"/>
      <c r="T455" s="87"/>
      <c r="U455" s="87"/>
      <c r="V455" s="48"/>
      <c r="W455" s="48"/>
      <c r="X455" s="48"/>
      <c r="Y455" s="48"/>
      <c r="Z455" s="47"/>
      <c r="AA455" s="69">
        <v>455</v>
      </c>
      <c r="AB455" s="69"/>
      <c r="AC455" s="70"/>
      <c r="AD455" s="76" t="s">
        <v>21693</v>
      </c>
      <c r="AE455" s="81" t="s">
        <v>20650</v>
      </c>
      <c r="AF455" s="76">
        <v>1491</v>
      </c>
      <c r="AG455" s="76">
        <v>753</v>
      </c>
      <c r="AH455" s="76">
        <v>917</v>
      </c>
      <c r="AI455" s="76">
        <v>11</v>
      </c>
      <c r="AJ455" s="76">
        <v>4947</v>
      </c>
      <c r="AK455" s="76">
        <v>181</v>
      </c>
      <c r="AL455" s="76" t="b">
        <v>0</v>
      </c>
      <c r="AM455" s="78">
        <v>43040.358842592592</v>
      </c>
      <c r="AN455" s="76" t="s">
        <v>14400</v>
      </c>
      <c r="AO455" s="76" t="s">
        <v>25114</v>
      </c>
      <c r="AP455" s="82" t="str">
        <f>HYPERLINK("https://t.co/cn1TjdIopy")</f>
        <v>https://t.co/cn1TjdIopy</v>
      </c>
      <c r="AQ455" s="82" t="str">
        <f>HYPERLINK("https://eesp.fgv.br/integrante/marcelo-kfoury-muinhos")</f>
        <v>https://eesp.fgv.br/integrante/marcelo-kfoury-muinhos</v>
      </c>
      <c r="AR455" s="76" t="s">
        <v>26612</v>
      </c>
      <c r="AS455" s="76"/>
      <c r="AT455" s="76"/>
      <c r="AU455" s="76"/>
      <c r="AV455" s="76"/>
      <c r="AW455" s="82" t="str">
        <f>HYPERLINK("https://t.co/cn1TjdIopy")</f>
        <v>https://t.co/cn1TjdIopy</v>
      </c>
      <c r="AX455" s="76" t="b">
        <v>0</v>
      </c>
      <c r="AY455" s="76"/>
      <c r="AZ455" s="76"/>
      <c r="BA455" s="76" t="b">
        <v>0</v>
      </c>
      <c r="BB455" s="76" t="b">
        <v>1</v>
      </c>
      <c r="BC455" s="76" t="b">
        <v>0</v>
      </c>
      <c r="BD455" s="76" t="b">
        <v>0</v>
      </c>
      <c r="BE455" s="76" t="b">
        <v>1</v>
      </c>
      <c r="BF455" s="76" t="b">
        <v>0</v>
      </c>
      <c r="BG455" s="76" t="b">
        <v>0</v>
      </c>
      <c r="BH455" s="82" t="str">
        <f>HYPERLINK("https://pbs.twimg.com/profile_banners/925642750711787520/1509538286")</f>
        <v>https://pbs.twimg.com/profile_banners/925642750711787520/1509538286</v>
      </c>
      <c r="BI455" s="76"/>
      <c r="BJ455" s="76" t="s">
        <v>27595</v>
      </c>
      <c r="BK455" s="76" t="b">
        <v>0</v>
      </c>
      <c r="BL455" s="76"/>
      <c r="BM455" s="76" t="s">
        <v>66</v>
      </c>
      <c r="BN455" s="76" t="s">
        <v>27597</v>
      </c>
      <c r="BO455" s="82" t="str">
        <f>HYPERLINK("https://twitter.com/kfourymarcelo")</f>
        <v>https://twitter.com/kfourymarcelo</v>
      </c>
      <c r="BP455" s="2"/>
    </row>
    <row r="456" spans="1:68" x14ac:dyDescent="0.25">
      <c r="A456" s="62" t="s">
        <v>541</v>
      </c>
      <c r="B456" s="63"/>
      <c r="C456" s="63"/>
      <c r="D456" s="64"/>
      <c r="E456" s="66"/>
      <c r="F456" s="103" t="str">
        <f>HYPERLINK("https://pbs.twimg.com/profile_images/1589989538872557569/aCYVLfnb_normal.jpg")</f>
        <v>https://pbs.twimg.com/profile_images/1589989538872557569/aCYVLfnb_normal.jpg</v>
      </c>
      <c r="G456" s="63"/>
      <c r="H456" s="67"/>
      <c r="I456" s="68"/>
      <c r="J456" s="68"/>
      <c r="K456" s="67" t="s">
        <v>28050</v>
      </c>
      <c r="L456" s="71"/>
      <c r="M456" s="72"/>
      <c r="N456" s="72"/>
      <c r="O456" s="73"/>
      <c r="P456" s="74"/>
      <c r="Q456" s="74"/>
      <c r="R456" s="87"/>
      <c r="S456" s="87"/>
      <c r="T456" s="87"/>
      <c r="U456" s="87"/>
      <c r="V456" s="48"/>
      <c r="W456" s="48"/>
      <c r="X456" s="48"/>
      <c r="Y456" s="48"/>
      <c r="Z456" s="47"/>
      <c r="AA456" s="69">
        <v>456</v>
      </c>
      <c r="AB456" s="69"/>
      <c r="AC456" s="70"/>
      <c r="AD456" s="76" t="s">
        <v>21694</v>
      </c>
      <c r="AE456" s="81" t="s">
        <v>23303</v>
      </c>
      <c r="AF456" s="76">
        <v>25869</v>
      </c>
      <c r="AG456" s="76">
        <v>4204</v>
      </c>
      <c r="AH456" s="76">
        <v>37923</v>
      </c>
      <c r="AI456" s="76">
        <v>212</v>
      </c>
      <c r="AJ456" s="76">
        <v>17908</v>
      </c>
      <c r="AK456" s="76">
        <v>13064</v>
      </c>
      <c r="AL456" s="76" t="b">
        <v>0</v>
      </c>
      <c r="AM456" s="78">
        <v>41843.731620370374</v>
      </c>
      <c r="AN456" s="76" t="s">
        <v>14479</v>
      </c>
      <c r="AO456" s="76" t="s">
        <v>25115</v>
      </c>
      <c r="AP456" s="82" t="str">
        <f>HYPERLINK("https://t.co/uK6hhNvXf3")</f>
        <v>https://t.co/uK6hhNvXf3</v>
      </c>
      <c r="AQ456" s="82" t="str">
        <f>HYPERLINK("http://www.niltotatto.com.br")</f>
        <v>http://www.niltotatto.com.br</v>
      </c>
      <c r="AR456" s="76" t="s">
        <v>26613</v>
      </c>
      <c r="AS456" s="76"/>
      <c r="AT456" s="76"/>
      <c r="AU456" s="76"/>
      <c r="AV456" s="76"/>
      <c r="AW456" s="82" t="str">
        <f>HYPERLINK("https://t.co/uK6hhNvXf3")</f>
        <v>https://t.co/uK6hhNvXf3</v>
      </c>
      <c r="AX456" s="76" t="b">
        <v>1</v>
      </c>
      <c r="AY456" s="76"/>
      <c r="AZ456" s="76"/>
      <c r="BA456" s="76" t="b">
        <v>0</v>
      </c>
      <c r="BB456" s="76" t="b">
        <v>1</v>
      </c>
      <c r="BC456" s="76" t="b">
        <v>0</v>
      </c>
      <c r="BD456" s="76" t="b">
        <v>0</v>
      </c>
      <c r="BE456" s="76" t="b">
        <v>1</v>
      </c>
      <c r="BF456" s="76" t="b">
        <v>0</v>
      </c>
      <c r="BG456" s="76" t="b">
        <v>0</v>
      </c>
      <c r="BH456" s="82" t="str">
        <f>HYPERLINK("https://pbs.twimg.com/profile_banners/2674564802/1678988953")</f>
        <v>https://pbs.twimg.com/profile_banners/2674564802/1678988953</v>
      </c>
      <c r="BI456" s="76"/>
      <c r="BJ456" s="76" t="s">
        <v>27595</v>
      </c>
      <c r="BK456" s="76" t="b">
        <v>0</v>
      </c>
      <c r="BL456" s="76"/>
      <c r="BM456" s="76" t="s">
        <v>66</v>
      </c>
      <c r="BN456" s="76" t="s">
        <v>27597</v>
      </c>
      <c r="BO456" s="82" t="str">
        <f>HYPERLINK("https://twitter.com/niltotatto")</f>
        <v>https://twitter.com/niltotatto</v>
      </c>
      <c r="BP456" s="2"/>
    </row>
    <row r="457" spans="1:68" x14ac:dyDescent="0.25">
      <c r="A457" s="62" t="s">
        <v>1798</v>
      </c>
      <c r="B457" s="63"/>
      <c r="C457" s="63"/>
      <c r="D457" s="64"/>
      <c r="E457" s="66"/>
      <c r="F457" s="103" t="str">
        <f>HYPERLINK("https://pbs.twimg.com/profile_images/1600562147368525824/lkfuZuu5_normal.jpg")</f>
        <v>https://pbs.twimg.com/profile_images/1600562147368525824/lkfuZuu5_normal.jpg</v>
      </c>
      <c r="G457" s="63"/>
      <c r="H457" s="67"/>
      <c r="I457" s="68"/>
      <c r="J457" s="68"/>
      <c r="K457" s="67" t="s">
        <v>28051</v>
      </c>
      <c r="L457" s="71"/>
      <c r="M457" s="72"/>
      <c r="N457" s="72"/>
      <c r="O457" s="73"/>
      <c r="P457" s="74"/>
      <c r="Q457" s="74"/>
      <c r="R457" s="87"/>
      <c r="S457" s="87"/>
      <c r="T457" s="87"/>
      <c r="U457" s="87"/>
      <c r="V457" s="48"/>
      <c r="W457" s="48"/>
      <c r="X457" s="48"/>
      <c r="Y457" s="48"/>
      <c r="Z457" s="47"/>
      <c r="AA457" s="69">
        <v>457</v>
      </c>
      <c r="AB457" s="69"/>
      <c r="AC457" s="70"/>
      <c r="AD457" s="76" t="s">
        <v>21695</v>
      </c>
      <c r="AE457" s="81" t="s">
        <v>23304</v>
      </c>
      <c r="AF457" s="76">
        <v>1540759</v>
      </c>
      <c r="AG457" s="76">
        <v>182</v>
      </c>
      <c r="AH457" s="76">
        <v>26691</v>
      </c>
      <c r="AI457" s="76">
        <v>4793</v>
      </c>
      <c r="AJ457" s="76">
        <v>1028</v>
      </c>
      <c r="AK457" s="76">
        <v>5430</v>
      </c>
      <c r="AL457" s="76" t="b">
        <v>0</v>
      </c>
      <c r="AM457" s="78">
        <v>39884.53533564815</v>
      </c>
      <c r="AN457" s="76" t="s">
        <v>14382</v>
      </c>
      <c r="AO457" s="76" t="s">
        <v>25116</v>
      </c>
      <c r="AP457" s="82" t="str">
        <f>HYPERLINK("https://t.co/LlBSlX0Sdj")</f>
        <v>https://t.co/LlBSlX0Sdj</v>
      </c>
      <c r="AQ457" s="82" t="str">
        <f>HYPERLINK("http://revistapiaui.com.br")</f>
        <v>http://revistapiaui.com.br</v>
      </c>
      <c r="AR457" s="76" t="s">
        <v>26614</v>
      </c>
      <c r="AS457" s="76"/>
      <c r="AT457" s="76"/>
      <c r="AU457" s="76"/>
      <c r="AV457" s="76"/>
      <c r="AW457" s="82" t="str">
        <f>HYPERLINK("https://t.co/LlBSlX0Sdj")</f>
        <v>https://t.co/LlBSlX0Sdj</v>
      </c>
      <c r="AX457" s="76" t="b">
        <v>1</v>
      </c>
      <c r="AY457" s="76"/>
      <c r="AZ457" s="76"/>
      <c r="BA457" s="76" t="b">
        <v>1</v>
      </c>
      <c r="BB457" s="76" t="b">
        <v>0</v>
      </c>
      <c r="BC457" s="76" t="b">
        <v>0</v>
      </c>
      <c r="BD457" s="76" t="b">
        <v>0</v>
      </c>
      <c r="BE457" s="76" t="b">
        <v>1</v>
      </c>
      <c r="BF457" s="76" t="b">
        <v>0</v>
      </c>
      <c r="BG457" s="76" t="b">
        <v>0</v>
      </c>
      <c r="BH457" s="82" t="str">
        <f>HYPERLINK("https://pbs.twimg.com/profile_banners/23941036/1693537513")</f>
        <v>https://pbs.twimg.com/profile_banners/23941036/1693537513</v>
      </c>
      <c r="BI457" s="76"/>
      <c r="BJ457" s="76" t="s">
        <v>27595</v>
      </c>
      <c r="BK457" s="76" t="b">
        <v>0</v>
      </c>
      <c r="BL457" s="76"/>
      <c r="BM457" s="76" t="s">
        <v>65</v>
      </c>
      <c r="BN457" s="76" t="s">
        <v>27597</v>
      </c>
      <c r="BO457" s="82" t="str">
        <f>HYPERLINK("https://twitter.com/revistapiaui")</f>
        <v>https://twitter.com/revistapiaui</v>
      </c>
      <c r="BP457" s="2"/>
    </row>
    <row r="458" spans="1:68" x14ac:dyDescent="0.25">
      <c r="A458" s="62" t="s">
        <v>542</v>
      </c>
      <c r="B458" s="63"/>
      <c r="C458" s="63"/>
      <c r="D458" s="64"/>
      <c r="E458" s="66"/>
      <c r="F458" s="103" t="str">
        <f>HYPERLINK("https://pbs.twimg.com/profile_images/1582325865597337600/TvhC0JZv_normal.jpg")</f>
        <v>https://pbs.twimg.com/profile_images/1582325865597337600/TvhC0JZv_normal.jpg</v>
      </c>
      <c r="G458" s="63"/>
      <c r="H458" s="67"/>
      <c r="I458" s="68"/>
      <c r="J458" s="68"/>
      <c r="K458" s="67" t="s">
        <v>28052</v>
      </c>
      <c r="L458" s="71"/>
      <c r="M458" s="72"/>
      <c r="N458" s="72"/>
      <c r="O458" s="73"/>
      <c r="P458" s="74"/>
      <c r="Q458" s="74"/>
      <c r="R458" s="87"/>
      <c r="S458" s="87"/>
      <c r="T458" s="87"/>
      <c r="U458" s="87"/>
      <c r="V458" s="48"/>
      <c r="W458" s="48"/>
      <c r="X458" s="48"/>
      <c r="Y458" s="48"/>
      <c r="Z458" s="47"/>
      <c r="AA458" s="69">
        <v>458</v>
      </c>
      <c r="AB458" s="69"/>
      <c r="AC458" s="70"/>
      <c r="AD458" s="76" t="s">
        <v>21696</v>
      </c>
      <c r="AE458" s="81" t="s">
        <v>20651</v>
      </c>
      <c r="AF458" s="76">
        <v>62</v>
      </c>
      <c r="AG458" s="76">
        <v>94</v>
      </c>
      <c r="AH458" s="76">
        <v>229</v>
      </c>
      <c r="AI458" s="76">
        <v>3</v>
      </c>
      <c r="AJ458" s="76">
        <v>66</v>
      </c>
      <c r="AK458" s="76">
        <v>56</v>
      </c>
      <c r="AL458" s="76" t="b">
        <v>0</v>
      </c>
      <c r="AM458" s="78">
        <v>44838.405115740738</v>
      </c>
      <c r="AN458" s="76" t="s">
        <v>24243</v>
      </c>
      <c r="AO458" s="76" t="s">
        <v>25117</v>
      </c>
      <c r="AP458" s="82" t="str">
        <f>HYPERLINK("https://t.co/jHeRKJGmvq")</f>
        <v>https://t.co/jHeRKJGmvq</v>
      </c>
      <c r="AQ458" s="82" t="str">
        <f>HYPERLINK("https://dunascapital.com")</f>
        <v>https://dunascapital.com</v>
      </c>
      <c r="AR458" s="76" t="s">
        <v>26615</v>
      </c>
      <c r="AS458" s="76"/>
      <c r="AT458" s="76"/>
      <c r="AU458" s="76"/>
      <c r="AV458" s="76"/>
      <c r="AW458" s="82" t="str">
        <f>HYPERLINK("https://t.co/jHeRKJGmvq")</f>
        <v>https://t.co/jHeRKJGmvq</v>
      </c>
      <c r="AX458" s="76" t="b">
        <v>0</v>
      </c>
      <c r="AY458" s="76"/>
      <c r="AZ458" s="76"/>
      <c r="BA458" s="76" t="b">
        <v>0</v>
      </c>
      <c r="BB458" s="76" t="b">
        <v>1</v>
      </c>
      <c r="BC458" s="76" t="b">
        <v>1</v>
      </c>
      <c r="BD458" s="76" t="b">
        <v>0</v>
      </c>
      <c r="BE458" s="76" t="b">
        <v>0</v>
      </c>
      <c r="BF458" s="76" t="b">
        <v>0</v>
      </c>
      <c r="BG458" s="76" t="b">
        <v>0</v>
      </c>
      <c r="BH458" s="82" t="str">
        <f>HYPERLINK("https://pbs.twimg.com/profile_banners/1577232827250315267/1676479296")</f>
        <v>https://pbs.twimg.com/profile_banners/1577232827250315267/1676479296</v>
      </c>
      <c r="BI458" s="76"/>
      <c r="BJ458" s="76" t="s">
        <v>27595</v>
      </c>
      <c r="BK458" s="76" t="b">
        <v>0</v>
      </c>
      <c r="BL458" s="76"/>
      <c r="BM458" s="76" t="s">
        <v>66</v>
      </c>
      <c r="BN458" s="76" t="s">
        <v>27597</v>
      </c>
      <c r="BO458" s="82" t="str">
        <f>HYPERLINK("https://twitter.com/dunascapital")</f>
        <v>https://twitter.com/dunascapital</v>
      </c>
      <c r="BP458" s="2"/>
    </row>
    <row r="459" spans="1:68" x14ac:dyDescent="0.25">
      <c r="A459" s="62" t="s">
        <v>543</v>
      </c>
      <c r="B459" s="63"/>
      <c r="C459" s="63"/>
      <c r="D459" s="64"/>
      <c r="E459" s="66"/>
      <c r="F459" s="103" t="str">
        <f>HYPERLINK("https://pbs.twimg.com/profile_images/1704289114311561216/E2N0WlTM_normal.jpg")</f>
        <v>https://pbs.twimg.com/profile_images/1704289114311561216/E2N0WlTM_normal.jpg</v>
      </c>
      <c r="G459" s="63"/>
      <c r="H459" s="67"/>
      <c r="I459" s="68"/>
      <c r="J459" s="68"/>
      <c r="K459" s="67" t="s">
        <v>28053</v>
      </c>
      <c r="L459" s="71"/>
      <c r="M459" s="72"/>
      <c r="N459" s="72"/>
      <c r="O459" s="73"/>
      <c r="P459" s="74"/>
      <c r="Q459" s="74"/>
      <c r="R459" s="87"/>
      <c r="S459" s="87"/>
      <c r="T459" s="87"/>
      <c r="U459" s="87"/>
      <c r="V459" s="48"/>
      <c r="W459" s="48"/>
      <c r="X459" s="48"/>
      <c r="Y459" s="48"/>
      <c r="Z459" s="47"/>
      <c r="AA459" s="69">
        <v>459</v>
      </c>
      <c r="AB459" s="69"/>
      <c r="AC459" s="70"/>
      <c r="AD459" s="76" t="s">
        <v>21697</v>
      </c>
      <c r="AE459" s="81" t="s">
        <v>20652</v>
      </c>
      <c r="AF459" s="76">
        <v>271</v>
      </c>
      <c r="AG459" s="76">
        <v>18</v>
      </c>
      <c r="AH459" s="76">
        <v>3295</v>
      </c>
      <c r="AI459" s="76">
        <v>0</v>
      </c>
      <c r="AJ459" s="76">
        <v>3381</v>
      </c>
      <c r="AK459" s="76">
        <v>7</v>
      </c>
      <c r="AL459" s="76" t="b">
        <v>0</v>
      </c>
      <c r="AM459" s="78">
        <v>44755.784722222219</v>
      </c>
      <c r="AN459" s="76"/>
      <c r="AO459" s="76" t="s">
        <v>25118</v>
      </c>
      <c r="AP459" s="82" t="str">
        <f>HYPERLINK("https://t.co/i7O8oY6oNs")</f>
        <v>https://t.co/i7O8oY6oNs</v>
      </c>
      <c r="AQ459" s="82" t="str">
        <f>HYPERLINK("https://www.instagram.com/torodebitcoin")</f>
        <v>https://www.instagram.com/torodebitcoin</v>
      </c>
      <c r="AR459" s="76" t="s">
        <v>26616</v>
      </c>
      <c r="AS459" s="76"/>
      <c r="AT459" s="76"/>
      <c r="AU459" s="76"/>
      <c r="AV459" s="76">
        <v>1.6695390466858099E+18</v>
      </c>
      <c r="AW459" s="82" t="str">
        <f>HYPERLINK("https://t.co/i7O8oY6oNs")</f>
        <v>https://t.co/i7O8oY6oNs</v>
      </c>
      <c r="AX459" s="76" t="b">
        <v>0</v>
      </c>
      <c r="AY459" s="76"/>
      <c r="AZ459" s="76"/>
      <c r="BA459" s="76" t="b">
        <v>1</v>
      </c>
      <c r="BB459" s="76" t="b">
        <v>0</v>
      </c>
      <c r="BC459" s="76" t="b">
        <v>1</v>
      </c>
      <c r="BD459" s="76" t="b">
        <v>0</v>
      </c>
      <c r="BE459" s="76" t="b">
        <v>0</v>
      </c>
      <c r="BF459" s="76" t="b">
        <v>0</v>
      </c>
      <c r="BG459" s="76" t="b">
        <v>0</v>
      </c>
      <c r="BH459" s="82" t="str">
        <f>HYPERLINK("https://pbs.twimg.com/profile_banners/1547292233132490753/1687948795")</f>
        <v>https://pbs.twimg.com/profile_banners/1547292233132490753/1687948795</v>
      </c>
      <c r="BI459" s="76"/>
      <c r="BJ459" s="76" t="s">
        <v>27595</v>
      </c>
      <c r="BK459" s="76" t="b">
        <v>0</v>
      </c>
      <c r="BL459" s="76"/>
      <c r="BM459" s="76" t="s">
        <v>66</v>
      </c>
      <c r="BN459" s="76" t="s">
        <v>27597</v>
      </c>
      <c r="BO459" s="82" t="str">
        <f>HYPERLINK("https://twitter.com/torodebitcoin")</f>
        <v>https://twitter.com/torodebitcoin</v>
      </c>
      <c r="BP459" s="2"/>
    </row>
    <row r="460" spans="1:68" x14ac:dyDescent="0.25">
      <c r="A460" s="62" t="s">
        <v>544</v>
      </c>
      <c r="B460" s="63"/>
      <c r="C460" s="63"/>
      <c r="D460" s="64"/>
      <c r="E460" s="66"/>
      <c r="F460" s="103" t="str">
        <f>HYPERLINK("https://pbs.twimg.com/profile_images/1522658760552067072/-xkvStzA_normal.jpg")</f>
        <v>https://pbs.twimg.com/profile_images/1522658760552067072/-xkvStzA_normal.jpg</v>
      </c>
      <c r="G460" s="63"/>
      <c r="H460" s="67"/>
      <c r="I460" s="68"/>
      <c r="J460" s="68"/>
      <c r="K460" s="67" t="s">
        <v>28054</v>
      </c>
      <c r="L460" s="71"/>
      <c r="M460" s="72"/>
      <c r="N460" s="72"/>
      <c r="O460" s="73"/>
      <c r="P460" s="74"/>
      <c r="Q460" s="74"/>
      <c r="R460" s="87"/>
      <c r="S460" s="87"/>
      <c r="T460" s="87"/>
      <c r="U460" s="87"/>
      <c r="V460" s="48"/>
      <c r="W460" s="48"/>
      <c r="X460" s="48"/>
      <c r="Y460" s="48"/>
      <c r="Z460" s="47"/>
      <c r="AA460" s="69">
        <v>460</v>
      </c>
      <c r="AB460" s="69"/>
      <c r="AC460" s="70"/>
      <c r="AD460" s="76" t="s">
        <v>21698</v>
      </c>
      <c r="AE460" s="81" t="s">
        <v>20653</v>
      </c>
      <c r="AF460" s="76">
        <v>1636</v>
      </c>
      <c r="AG460" s="76">
        <v>301</v>
      </c>
      <c r="AH460" s="76">
        <v>25746</v>
      </c>
      <c r="AI460" s="76">
        <v>1</v>
      </c>
      <c r="AJ460" s="76">
        <v>186527</v>
      </c>
      <c r="AK460" s="76">
        <v>537</v>
      </c>
      <c r="AL460" s="76" t="b">
        <v>0</v>
      </c>
      <c r="AM460" s="78">
        <v>42966.333680555559</v>
      </c>
      <c r="AN460" s="76"/>
      <c r="AO460" s="76" t="s">
        <v>25119</v>
      </c>
      <c r="AP460" s="82" t="str">
        <f>HYPERLINK("https://t.co/Dh1xRylgV4")</f>
        <v>https://t.co/Dh1xRylgV4</v>
      </c>
      <c r="AQ460" s="82" t="str">
        <f>HYPERLINK("http://es.azvision.az")</f>
        <v>http://es.azvision.az</v>
      </c>
      <c r="AR460" s="76" t="s">
        <v>26617</v>
      </c>
      <c r="AS460" s="76"/>
      <c r="AT460" s="76"/>
      <c r="AU460" s="76"/>
      <c r="AV460" s="76">
        <v>1.65594611284142E+18</v>
      </c>
      <c r="AW460" s="82" t="str">
        <f>HYPERLINK("https://t.co/Dh1xRylgV4")</f>
        <v>https://t.co/Dh1xRylgV4</v>
      </c>
      <c r="AX460" s="76" t="b">
        <v>0</v>
      </c>
      <c r="AY460" s="76"/>
      <c r="AZ460" s="76"/>
      <c r="BA460" s="76" t="b">
        <v>1</v>
      </c>
      <c r="BB460" s="76" t="b">
        <v>1</v>
      </c>
      <c r="BC460" s="76" t="b">
        <v>1</v>
      </c>
      <c r="BD460" s="76" t="b">
        <v>0</v>
      </c>
      <c r="BE460" s="76" t="b">
        <v>1</v>
      </c>
      <c r="BF460" s="76" t="b">
        <v>0</v>
      </c>
      <c r="BG460" s="76" t="b">
        <v>0</v>
      </c>
      <c r="BH460" s="82" t="str">
        <f>HYPERLINK("https://pbs.twimg.com/profile_banners/898816932794818560/1603398232")</f>
        <v>https://pbs.twimg.com/profile_banners/898816932794818560/1603398232</v>
      </c>
      <c r="BI460" s="76"/>
      <c r="BJ460" s="76" t="s">
        <v>27595</v>
      </c>
      <c r="BK460" s="76" t="b">
        <v>0</v>
      </c>
      <c r="BL460" s="76"/>
      <c r="BM460" s="76" t="s">
        <v>66</v>
      </c>
      <c r="BN460" s="76" t="s">
        <v>27597</v>
      </c>
      <c r="BO460" s="82" t="str">
        <f>HYPERLINK("https://twitter.com/sevdabekirova")</f>
        <v>https://twitter.com/sevdabekirova</v>
      </c>
      <c r="BP460" s="2"/>
    </row>
    <row r="461" spans="1:68" x14ac:dyDescent="0.25">
      <c r="A461" s="62" t="s">
        <v>545</v>
      </c>
      <c r="B461" s="63"/>
      <c r="C461" s="63"/>
      <c r="D461" s="64"/>
      <c r="E461" s="66"/>
      <c r="F461" s="103" t="str">
        <f>HYPERLINK("https://pbs.twimg.com/profile_images/1547591606374608896/OOA1_CSN_normal.jpg")</f>
        <v>https://pbs.twimg.com/profile_images/1547591606374608896/OOA1_CSN_normal.jpg</v>
      </c>
      <c r="G461" s="63"/>
      <c r="H461" s="67"/>
      <c r="I461" s="68"/>
      <c r="J461" s="68"/>
      <c r="K461" s="67" t="s">
        <v>28055</v>
      </c>
      <c r="L461" s="71"/>
      <c r="M461" s="72"/>
      <c r="N461" s="72"/>
      <c r="O461" s="73"/>
      <c r="P461" s="74"/>
      <c r="Q461" s="74"/>
      <c r="R461" s="87"/>
      <c r="S461" s="87"/>
      <c r="T461" s="87"/>
      <c r="U461" s="87"/>
      <c r="V461" s="48"/>
      <c r="W461" s="48"/>
      <c r="X461" s="48"/>
      <c r="Y461" s="48"/>
      <c r="Z461" s="47"/>
      <c r="AA461" s="69">
        <v>461</v>
      </c>
      <c r="AB461" s="69"/>
      <c r="AC461" s="70"/>
      <c r="AD461" s="76" t="s">
        <v>21699</v>
      </c>
      <c r="AE461" s="81" t="s">
        <v>23305</v>
      </c>
      <c r="AF461" s="76">
        <v>2026</v>
      </c>
      <c r="AG461" s="76">
        <v>12</v>
      </c>
      <c r="AH461" s="76">
        <v>2327</v>
      </c>
      <c r="AI461" s="76">
        <v>58</v>
      </c>
      <c r="AJ461" s="76">
        <v>145</v>
      </c>
      <c r="AK461" s="76">
        <v>533</v>
      </c>
      <c r="AL461" s="76" t="b">
        <v>0</v>
      </c>
      <c r="AM461" s="78">
        <v>39933.050775462965</v>
      </c>
      <c r="AN461" s="76" t="s">
        <v>24244</v>
      </c>
      <c r="AO461" s="76" t="s">
        <v>25120</v>
      </c>
      <c r="AP461" s="82" t="str">
        <f>HYPERLINK("https://t.co/H8Jfc5dhgi")</f>
        <v>https://t.co/H8Jfc5dhgi</v>
      </c>
      <c r="AQ461" s="82" t="str">
        <f>HYPERLINK("http://cpqd.com.br")</f>
        <v>http://cpqd.com.br</v>
      </c>
      <c r="AR461" s="76" t="s">
        <v>26618</v>
      </c>
      <c r="AS461" s="76"/>
      <c r="AT461" s="76"/>
      <c r="AU461" s="76"/>
      <c r="AV461" s="76"/>
      <c r="AW461" s="82" t="str">
        <f>HYPERLINK("https://t.co/H8Jfc5dhgi")</f>
        <v>https://t.co/H8Jfc5dhgi</v>
      </c>
      <c r="AX461" s="76" t="b">
        <v>0</v>
      </c>
      <c r="AY461" s="76"/>
      <c r="AZ461" s="76"/>
      <c r="BA461" s="76" t="b">
        <v>0</v>
      </c>
      <c r="BB461" s="76" t="b">
        <v>1</v>
      </c>
      <c r="BC461" s="76" t="b">
        <v>0</v>
      </c>
      <c r="BD461" s="76" t="b">
        <v>0</v>
      </c>
      <c r="BE461" s="76" t="b">
        <v>0</v>
      </c>
      <c r="BF461" s="76" t="b">
        <v>0</v>
      </c>
      <c r="BG461" s="76" t="b">
        <v>0</v>
      </c>
      <c r="BH461" s="82" t="str">
        <f>HYPERLINK("https://pbs.twimg.com/profile_banners/36547354/1674132573")</f>
        <v>https://pbs.twimg.com/profile_banners/36547354/1674132573</v>
      </c>
      <c r="BI461" s="76"/>
      <c r="BJ461" s="76" t="s">
        <v>27595</v>
      </c>
      <c r="BK461" s="76" t="b">
        <v>0</v>
      </c>
      <c r="BL461" s="76"/>
      <c r="BM461" s="76" t="s">
        <v>66</v>
      </c>
      <c r="BN461" s="76" t="s">
        <v>27597</v>
      </c>
      <c r="BO461" s="82" t="str">
        <f>HYPERLINK("https://twitter.com/cpqd")</f>
        <v>https://twitter.com/cpqd</v>
      </c>
      <c r="BP461" s="2"/>
    </row>
    <row r="462" spans="1:68" x14ac:dyDescent="0.25">
      <c r="A462" s="62" t="s">
        <v>546</v>
      </c>
      <c r="B462" s="63"/>
      <c r="C462" s="63"/>
      <c r="D462" s="64"/>
      <c r="E462" s="66"/>
      <c r="F462" s="103" t="str">
        <f>HYPERLINK("https://abs.twimg.com/sticky/default_profile_images/default_profile_normal.png")</f>
        <v>https://abs.twimg.com/sticky/default_profile_images/default_profile_normal.png</v>
      </c>
      <c r="G462" s="63"/>
      <c r="H462" s="67"/>
      <c r="I462" s="68"/>
      <c r="J462" s="68"/>
      <c r="K462" s="67" t="s">
        <v>28056</v>
      </c>
      <c r="L462" s="71"/>
      <c r="M462" s="72"/>
      <c r="N462" s="72"/>
      <c r="O462" s="73"/>
      <c r="P462" s="74"/>
      <c r="Q462" s="74"/>
      <c r="R462" s="87"/>
      <c r="S462" s="87"/>
      <c r="T462" s="87"/>
      <c r="U462" s="87"/>
      <c r="V462" s="48"/>
      <c r="W462" s="48"/>
      <c r="X462" s="48"/>
      <c r="Y462" s="48"/>
      <c r="Z462" s="47"/>
      <c r="AA462" s="69">
        <v>462</v>
      </c>
      <c r="AB462" s="69"/>
      <c r="AC462" s="70"/>
      <c r="AD462" s="76" t="s">
        <v>21700</v>
      </c>
      <c r="AE462" s="81" t="s">
        <v>23306</v>
      </c>
      <c r="AF462" s="76">
        <v>192</v>
      </c>
      <c r="AG462" s="76">
        <v>102</v>
      </c>
      <c r="AH462" s="76">
        <v>47346</v>
      </c>
      <c r="AI462" s="76">
        <v>3</v>
      </c>
      <c r="AJ462" s="76">
        <v>60742</v>
      </c>
      <c r="AK462" s="76">
        <v>34</v>
      </c>
      <c r="AL462" s="76" t="b">
        <v>0</v>
      </c>
      <c r="AM462" s="78">
        <v>40751.608807870369</v>
      </c>
      <c r="AN462" s="76"/>
      <c r="AO462" s="76"/>
      <c r="AP462" s="76"/>
      <c r="AQ462" s="76"/>
      <c r="AR462" s="76"/>
      <c r="AS462" s="76"/>
      <c r="AT462" s="76"/>
      <c r="AU462" s="76"/>
      <c r="AV462" s="76"/>
      <c r="AW462" s="76"/>
      <c r="AX462" s="76" t="b">
        <v>0</v>
      </c>
      <c r="AY462" s="76"/>
      <c r="AZ462" s="76"/>
      <c r="BA462" s="76" t="b">
        <v>0</v>
      </c>
      <c r="BB462" s="76" t="b">
        <v>1</v>
      </c>
      <c r="BC462" s="76" t="b">
        <v>1</v>
      </c>
      <c r="BD462" s="76" t="b">
        <v>1</v>
      </c>
      <c r="BE462" s="76" t="b">
        <v>0</v>
      </c>
      <c r="BF462" s="76" t="b">
        <v>0</v>
      </c>
      <c r="BG462" s="76" t="b">
        <v>0</v>
      </c>
      <c r="BH462" s="76"/>
      <c r="BI462" s="76"/>
      <c r="BJ462" s="76" t="s">
        <v>27595</v>
      </c>
      <c r="BK462" s="76" t="b">
        <v>0</v>
      </c>
      <c r="BL462" s="76"/>
      <c r="BM462" s="76" t="s">
        <v>66</v>
      </c>
      <c r="BN462" s="76" t="s">
        <v>27597</v>
      </c>
      <c r="BO462" s="82" t="str">
        <f>HYPERLINK("https://twitter.com/195177")</f>
        <v>https://twitter.com/195177</v>
      </c>
      <c r="BP462" s="2"/>
    </row>
    <row r="463" spans="1:68" x14ac:dyDescent="0.25">
      <c r="A463" s="62" t="s">
        <v>547</v>
      </c>
      <c r="B463" s="63"/>
      <c r="C463" s="63"/>
      <c r="D463" s="64"/>
      <c r="E463" s="66"/>
      <c r="F463" s="103" t="str">
        <f>HYPERLINK("https://pbs.twimg.com/profile_images/1559102712435933185/mYnEVnNs_normal.jpg")</f>
        <v>https://pbs.twimg.com/profile_images/1559102712435933185/mYnEVnNs_normal.jpg</v>
      </c>
      <c r="G463" s="63"/>
      <c r="H463" s="67"/>
      <c r="I463" s="68"/>
      <c r="J463" s="68"/>
      <c r="K463" s="67" t="s">
        <v>28057</v>
      </c>
      <c r="L463" s="71"/>
      <c r="M463" s="72"/>
      <c r="N463" s="72"/>
      <c r="O463" s="73"/>
      <c r="P463" s="74"/>
      <c r="Q463" s="74"/>
      <c r="R463" s="87"/>
      <c r="S463" s="87"/>
      <c r="T463" s="87"/>
      <c r="U463" s="87"/>
      <c r="V463" s="48"/>
      <c r="W463" s="48"/>
      <c r="X463" s="48"/>
      <c r="Y463" s="48"/>
      <c r="Z463" s="47"/>
      <c r="AA463" s="69">
        <v>463</v>
      </c>
      <c r="AB463" s="69"/>
      <c r="AC463" s="70"/>
      <c r="AD463" s="76" t="s">
        <v>21701</v>
      </c>
      <c r="AE463" s="81" t="s">
        <v>20321</v>
      </c>
      <c r="AF463" s="76">
        <v>5730046</v>
      </c>
      <c r="AG463" s="76">
        <v>103</v>
      </c>
      <c r="AH463" s="76">
        <v>190669</v>
      </c>
      <c r="AI463" s="76">
        <v>8472</v>
      </c>
      <c r="AJ463" s="76">
        <v>462</v>
      </c>
      <c r="AK463" s="76">
        <v>71632</v>
      </c>
      <c r="AL463" s="76" t="b">
        <v>0</v>
      </c>
      <c r="AM463" s="78">
        <v>40308.813634259262</v>
      </c>
      <c r="AN463" s="76" t="s">
        <v>14382</v>
      </c>
      <c r="AO463" s="76" t="s">
        <v>25121</v>
      </c>
      <c r="AP463" s="82" t="str">
        <f>HYPERLINK("https://t.co/NZMBwbRM0D")</f>
        <v>https://t.co/NZMBwbRM0D</v>
      </c>
      <c r="AQ463" s="82" t="str">
        <f>HYPERLINK("http://g1.com.br/globonews")</f>
        <v>http://g1.com.br/globonews</v>
      </c>
      <c r="AR463" s="76" t="s">
        <v>26619</v>
      </c>
      <c r="AS463" s="76"/>
      <c r="AT463" s="76"/>
      <c r="AU463" s="76"/>
      <c r="AV463" s="76">
        <v>1.70422845236511E+18</v>
      </c>
      <c r="AW463" s="82" t="str">
        <f>HYPERLINK("https://t.co/NZMBwbRM0D")</f>
        <v>https://t.co/NZMBwbRM0D</v>
      </c>
      <c r="AX463" s="76" t="b">
        <v>1</v>
      </c>
      <c r="AY463" s="76"/>
      <c r="AZ463" s="76"/>
      <c r="BA463" s="76" t="b">
        <v>0</v>
      </c>
      <c r="BB463" s="76" t="b">
        <v>0</v>
      </c>
      <c r="BC463" s="76" t="b">
        <v>0</v>
      </c>
      <c r="BD463" s="76" t="b">
        <v>0</v>
      </c>
      <c r="BE463" s="76" t="b">
        <v>1</v>
      </c>
      <c r="BF463" s="76" t="b">
        <v>0</v>
      </c>
      <c r="BG463" s="76" t="b">
        <v>0</v>
      </c>
      <c r="BH463" s="82" t="str">
        <f>HYPERLINK("https://pbs.twimg.com/profile_banners/142393421/1660554029")</f>
        <v>https://pbs.twimg.com/profile_banners/142393421/1660554029</v>
      </c>
      <c r="BI463" s="76"/>
      <c r="BJ463" s="76" t="s">
        <v>27595</v>
      </c>
      <c r="BK463" s="76" t="b">
        <v>0</v>
      </c>
      <c r="BL463" s="76"/>
      <c r="BM463" s="76" t="s">
        <v>66</v>
      </c>
      <c r="BN463" s="76" t="s">
        <v>27597</v>
      </c>
      <c r="BO463" s="82" t="str">
        <f>HYPERLINK("https://twitter.com/globonews")</f>
        <v>https://twitter.com/globonews</v>
      </c>
      <c r="BP463" s="2"/>
    </row>
    <row r="464" spans="1:68" x14ac:dyDescent="0.25">
      <c r="A464" s="62" t="s">
        <v>1799</v>
      </c>
      <c r="B464" s="63"/>
      <c r="C464" s="63"/>
      <c r="D464" s="64"/>
      <c r="E464" s="66"/>
      <c r="F464" s="103" t="str">
        <f>HYPERLINK("https://pbs.twimg.com/profile_images/1506027782521991169/wszsngW7_normal.jpg")</f>
        <v>https://pbs.twimg.com/profile_images/1506027782521991169/wszsngW7_normal.jpg</v>
      </c>
      <c r="G464" s="63"/>
      <c r="H464" s="67"/>
      <c r="I464" s="68"/>
      <c r="J464" s="68"/>
      <c r="K464" s="67" t="s">
        <v>28058</v>
      </c>
      <c r="L464" s="71"/>
      <c r="M464" s="72"/>
      <c r="N464" s="72"/>
      <c r="O464" s="73"/>
      <c r="P464" s="74"/>
      <c r="Q464" s="74"/>
      <c r="R464" s="87"/>
      <c r="S464" s="87"/>
      <c r="T464" s="87"/>
      <c r="U464" s="87"/>
      <c r="V464" s="48"/>
      <c r="W464" s="48"/>
      <c r="X464" s="48"/>
      <c r="Y464" s="48"/>
      <c r="Z464" s="47"/>
      <c r="AA464" s="69">
        <v>464</v>
      </c>
      <c r="AB464" s="69"/>
      <c r="AC464" s="70"/>
      <c r="AD464" s="76" t="s">
        <v>21702</v>
      </c>
      <c r="AE464" s="81" t="s">
        <v>23307</v>
      </c>
      <c r="AF464" s="76">
        <v>16155</v>
      </c>
      <c r="AG464" s="76">
        <v>575</v>
      </c>
      <c r="AH464" s="76">
        <v>4347</v>
      </c>
      <c r="AI464" s="76">
        <v>49</v>
      </c>
      <c r="AJ464" s="76">
        <v>15214</v>
      </c>
      <c r="AK464" s="76">
        <v>469</v>
      </c>
      <c r="AL464" s="76" t="b">
        <v>0</v>
      </c>
      <c r="AM464" s="78">
        <v>41005.814085648148</v>
      </c>
      <c r="AN464" s="76"/>
      <c r="AO464" s="76" t="s">
        <v>25122</v>
      </c>
      <c r="AP464" s="82" t="str">
        <f>HYPERLINK("https://t.co/dKm60VoXE8")</f>
        <v>https://t.co/dKm60VoXE8</v>
      </c>
      <c r="AQ464" s="82" t="str">
        <f>HYPERLINK("http://g1.com.br/globonews")</f>
        <v>http://g1.com.br/globonews</v>
      </c>
      <c r="AR464" s="76" t="s">
        <v>26619</v>
      </c>
      <c r="AS464" s="76"/>
      <c r="AT464" s="76"/>
      <c r="AU464" s="76"/>
      <c r="AV464" s="76"/>
      <c r="AW464" s="82" t="str">
        <f>HYPERLINK("https://t.co/dKm60VoXE8")</f>
        <v>https://t.co/dKm60VoXE8</v>
      </c>
      <c r="AX464" s="76" t="b">
        <v>0</v>
      </c>
      <c r="AY464" s="76"/>
      <c r="AZ464" s="76"/>
      <c r="BA464" s="76" t="b">
        <v>1</v>
      </c>
      <c r="BB464" s="76" t="b">
        <v>1</v>
      </c>
      <c r="BC464" s="76" t="b">
        <v>1</v>
      </c>
      <c r="BD464" s="76" t="b">
        <v>0</v>
      </c>
      <c r="BE464" s="76" t="b">
        <v>1</v>
      </c>
      <c r="BF464" s="76" t="b">
        <v>0</v>
      </c>
      <c r="BG464" s="76" t="b">
        <v>0</v>
      </c>
      <c r="BH464" s="82" t="str">
        <f>HYPERLINK("https://pbs.twimg.com/profile_banners/547051556/1540756956")</f>
        <v>https://pbs.twimg.com/profile_banners/547051556/1540756956</v>
      </c>
      <c r="BI464" s="76"/>
      <c r="BJ464" s="76" t="s">
        <v>27595</v>
      </c>
      <c r="BK464" s="76" t="b">
        <v>0</v>
      </c>
      <c r="BL464" s="76"/>
      <c r="BM464" s="76" t="s">
        <v>65</v>
      </c>
      <c r="BN464" s="76" t="s">
        <v>27597</v>
      </c>
      <c r="BO464" s="82" t="str">
        <f>HYPERLINK("https://twitter.com/erickbang1")</f>
        <v>https://twitter.com/erickbang1</v>
      </c>
      <c r="BP464" s="2"/>
    </row>
    <row r="465" spans="1:68" x14ac:dyDescent="0.25">
      <c r="A465" s="62" t="s">
        <v>1800</v>
      </c>
      <c r="B465" s="63"/>
      <c r="C465" s="63"/>
      <c r="D465" s="64"/>
      <c r="E465" s="66"/>
      <c r="F465" s="103" t="str">
        <f>HYPERLINK("https://pbs.twimg.com/profile_images/701983932498239489/sgx1zYiV_normal.jpg")</f>
        <v>https://pbs.twimg.com/profile_images/701983932498239489/sgx1zYiV_normal.jpg</v>
      </c>
      <c r="G465" s="63"/>
      <c r="H465" s="67"/>
      <c r="I465" s="68"/>
      <c r="J465" s="68"/>
      <c r="K465" s="67" t="s">
        <v>28059</v>
      </c>
      <c r="L465" s="71"/>
      <c r="M465" s="72"/>
      <c r="N465" s="72"/>
      <c r="O465" s="73"/>
      <c r="P465" s="74"/>
      <c r="Q465" s="74"/>
      <c r="R465" s="87"/>
      <c r="S465" s="87"/>
      <c r="T465" s="87"/>
      <c r="U465" s="87"/>
      <c r="V465" s="48"/>
      <c r="W465" s="48"/>
      <c r="X465" s="48"/>
      <c r="Y465" s="48"/>
      <c r="Z465" s="47"/>
      <c r="AA465" s="69">
        <v>465</v>
      </c>
      <c r="AB465" s="69"/>
      <c r="AC465" s="70"/>
      <c r="AD465" s="76" t="s">
        <v>21703</v>
      </c>
      <c r="AE465" s="81" t="s">
        <v>23308</v>
      </c>
      <c r="AF465" s="76">
        <v>178939</v>
      </c>
      <c r="AG465" s="76">
        <v>1396</v>
      </c>
      <c r="AH465" s="76">
        <v>40491</v>
      </c>
      <c r="AI465" s="76">
        <v>409</v>
      </c>
      <c r="AJ465" s="76">
        <v>75845</v>
      </c>
      <c r="AK465" s="76">
        <v>4415</v>
      </c>
      <c r="AL465" s="76" t="b">
        <v>0</v>
      </c>
      <c r="AM465" s="78">
        <v>40949.735439814816</v>
      </c>
      <c r="AN465" s="76" t="s">
        <v>14400</v>
      </c>
      <c r="AO465" s="76" t="s">
        <v>25123</v>
      </c>
      <c r="AP465" s="82" t="str">
        <f>HYPERLINK("https://t.co/LzBa4Kgq0L")</f>
        <v>https://t.co/LzBa4Kgq0L</v>
      </c>
      <c r="AQ465" s="82" t="str">
        <f>HYPERLINK("http://g1.globo.com/globo-news")</f>
        <v>http://g1.globo.com/globo-news</v>
      </c>
      <c r="AR465" s="76" t="s">
        <v>26620</v>
      </c>
      <c r="AS465" s="82" t="str">
        <f>HYPERLINK("https://t.co/F2JPyB64Np")</f>
        <v>https://t.co/F2JPyB64Np</v>
      </c>
      <c r="AT465" s="82" t="str">
        <f>HYPERLINK("https://www.instagram.com/betepacheco/?hl=pt-br")</f>
        <v>https://www.instagram.com/betepacheco/?hl=pt-br</v>
      </c>
      <c r="AU465" s="76" t="s">
        <v>27481</v>
      </c>
      <c r="AV465" s="76">
        <v>1.5415955596051799E+18</v>
      </c>
      <c r="AW465" s="82" t="str">
        <f>HYPERLINK("https://t.co/LzBa4Kgq0L")</f>
        <v>https://t.co/LzBa4Kgq0L</v>
      </c>
      <c r="AX465" s="76" t="b">
        <v>0</v>
      </c>
      <c r="AY465" s="76"/>
      <c r="AZ465" s="76"/>
      <c r="BA465" s="76" t="b">
        <v>1</v>
      </c>
      <c r="BB465" s="76" t="b">
        <v>0</v>
      </c>
      <c r="BC465" s="76" t="b">
        <v>0</v>
      </c>
      <c r="BD465" s="76" t="b">
        <v>0</v>
      </c>
      <c r="BE465" s="76" t="b">
        <v>1</v>
      </c>
      <c r="BF465" s="76" t="b">
        <v>0</v>
      </c>
      <c r="BG465" s="76" t="b">
        <v>0</v>
      </c>
      <c r="BH465" s="82" t="str">
        <f>HYPERLINK("https://pbs.twimg.com/profile_banners/488642013/1414751129")</f>
        <v>https://pbs.twimg.com/profile_banners/488642013/1414751129</v>
      </c>
      <c r="BI465" s="76"/>
      <c r="BJ465" s="76" t="s">
        <v>27595</v>
      </c>
      <c r="BK465" s="76" t="b">
        <v>0</v>
      </c>
      <c r="BL465" s="76"/>
      <c r="BM465" s="76" t="s">
        <v>65</v>
      </c>
      <c r="BN465" s="76" t="s">
        <v>27597</v>
      </c>
      <c r="BO465" s="82" t="str">
        <f>HYPERLINK("https://twitter.com/betepacheco_")</f>
        <v>https://twitter.com/betepacheco_</v>
      </c>
      <c r="BP465" s="2"/>
    </row>
    <row r="466" spans="1:68" x14ac:dyDescent="0.25">
      <c r="A466" s="62" t="s">
        <v>1801</v>
      </c>
      <c r="B466" s="63"/>
      <c r="C466" s="63"/>
      <c r="D466" s="64"/>
      <c r="E466" s="66"/>
      <c r="F466" s="103" t="str">
        <f>HYPERLINK("https://pbs.twimg.com/profile_images/1666080916417159172/YGoGbvBr_normal.jpg")</f>
        <v>https://pbs.twimg.com/profile_images/1666080916417159172/YGoGbvBr_normal.jpg</v>
      </c>
      <c r="G466" s="63"/>
      <c r="H466" s="67"/>
      <c r="I466" s="68"/>
      <c r="J466" s="68"/>
      <c r="K466" s="67" t="s">
        <v>28060</v>
      </c>
      <c r="L466" s="71"/>
      <c r="M466" s="72"/>
      <c r="N466" s="72"/>
      <c r="O466" s="73"/>
      <c r="P466" s="74"/>
      <c r="Q466" s="74"/>
      <c r="R466" s="87"/>
      <c r="S466" s="87"/>
      <c r="T466" s="87"/>
      <c r="U466" s="87"/>
      <c r="V466" s="48"/>
      <c r="W466" s="48"/>
      <c r="X466" s="48"/>
      <c r="Y466" s="48"/>
      <c r="Z466" s="47"/>
      <c r="AA466" s="69">
        <v>466</v>
      </c>
      <c r="AB466" s="69"/>
      <c r="AC466" s="70"/>
      <c r="AD466" s="76" t="s">
        <v>21704</v>
      </c>
      <c r="AE466" s="81" t="s">
        <v>23309</v>
      </c>
      <c r="AF466" s="76">
        <v>110918</v>
      </c>
      <c r="AG466" s="76">
        <v>461</v>
      </c>
      <c r="AH466" s="76">
        <v>6119</v>
      </c>
      <c r="AI466" s="76">
        <v>296</v>
      </c>
      <c r="AJ466" s="76">
        <v>2066</v>
      </c>
      <c r="AK466" s="76">
        <v>508</v>
      </c>
      <c r="AL466" s="76" t="b">
        <v>0</v>
      </c>
      <c r="AM466" s="78">
        <v>40022.008993055555</v>
      </c>
      <c r="AN466" s="76" t="s">
        <v>14432</v>
      </c>
      <c r="AO466" s="76" t="s">
        <v>25124</v>
      </c>
      <c r="AP466" s="82" t="str">
        <f>HYPERLINK("https://t.co/PgUdsZkihl")</f>
        <v>https://t.co/PgUdsZkihl</v>
      </c>
      <c r="AQ466" s="82" t="str">
        <f>HYPERLINK("http://g1.com.br/Globonews")</f>
        <v>http://g1.com.br/Globonews</v>
      </c>
      <c r="AR466" s="76" t="s">
        <v>26621</v>
      </c>
      <c r="AS466" s="76"/>
      <c r="AT466" s="76"/>
      <c r="AU466" s="76"/>
      <c r="AV466" s="76"/>
      <c r="AW466" s="82" t="str">
        <f>HYPERLINK("https://t.co/PgUdsZkihl")</f>
        <v>https://t.co/PgUdsZkihl</v>
      </c>
      <c r="AX466" s="76" t="b">
        <v>0</v>
      </c>
      <c r="AY466" s="76"/>
      <c r="AZ466" s="76"/>
      <c r="BA466" s="76" t="b">
        <v>0</v>
      </c>
      <c r="BB466" s="76" t="b">
        <v>1</v>
      </c>
      <c r="BC466" s="76" t="b">
        <v>0</v>
      </c>
      <c r="BD466" s="76" t="b">
        <v>0</v>
      </c>
      <c r="BE466" s="76" t="b">
        <v>0</v>
      </c>
      <c r="BF466" s="76" t="b">
        <v>0</v>
      </c>
      <c r="BG466" s="76" t="b">
        <v>0</v>
      </c>
      <c r="BH466" s="82" t="str">
        <f>HYPERLINK("https://pbs.twimg.com/profile_banners/60754470/1607002148")</f>
        <v>https://pbs.twimg.com/profile_banners/60754470/1607002148</v>
      </c>
      <c r="BI466" s="76"/>
      <c r="BJ466" s="76" t="s">
        <v>27595</v>
      </c>
      <c r="BK466" s="76" t="b">
        <v>0</v>
      </c>
      <c r="BL466" s="76"/>
      <c r="BM466" s="76" t="s">
        <v>65</v>
      </c>
      <c r="BN466" s="76" t="s">
        <v>27597</v>
      </c>
      <c r="BO466" s="82" t="str">
        <f>HYPERLINK("https://twitter.com/cosmemarcelo")</f>
        <v>https://twitter.com/cosmemarcelo</v>
      </c>
      <c r="BP466" s="2"/>
    </row>
    <row r="467" spans="1:68" x14ac:dyDescent="0.25">
      <c r="A467" s="62" t="s">
        <v>1802</v>
      </c>
      <c r="B467" s="63"/>
      <c r="C467" s="63"/>
      <c r="D467" s="64"/>
      <c r="E467" s="66"/>
      <c r="F467" s="103" t="str">
        <f>HYPERLINK("https://pbs.twimg.com/profile_images/1559129372757561344/OYVatc3b_normal.jpg")</f>
        <v>https://pbs.twimg.com/profile_images/1559129372757561344/OYVatc3b_normal.jpg</v>
      </c>
      <c r="G467" s="63"/>
      <c r="H467" s="67"/>
      <c r="I467" s="68"/>
      <c r="J467" s="68"/>
      <c r="K467" s="67" t="s">
        <v>28061</v>
      </c>
      <c r="L467" s="71"/>
      <c r="M467" s="72"/>
      <c r="N467" s="72"/>
      <c r="O467" s="73"/>
      <c r="P467" s="74"/>
      <c r="Q467" s="74"/>
      <c r="R467" s="87"/>
      <c r="S467" s="87"/>
      <c r="T467" s="87"/>
      <c r="U467" s="87"/>
      <c r="V467" s="48"/>
      <c r="W467" s="48"/>
      <c r="X467" s="48"/>
      <c r="Y467" s="48"/>
      <c r="Z467" s="47"/>
      <c r="AA467" s="69">
        <v>467</v>
      </c>
      <c r="AB467" s="69"/>
      <c r="AC467" s="70"/>
      <c r="AD467" s="76" t="s">
        <v>21705</v>
      </c>
      <c r="AE467" s="81" t="s">
        <v>23310</v>
      </c>
      <c r="AF467" s="76">
        <v>173141</v>
      </c>
      <c r="AG467" s="76">
        <v>290</v>
      </c>
      <c r="AH467" s="76">
        <v>19348</v>
      </c>
      <c r="AI467" s="76">
        <v>524</v>
      </c>
      <c r="AJ467" s="76">
        <v>1820</v>
      </c>
      <c r="AK467" s="76">
        <v>1709</v>
      </c>
      <c r="AL467" s="76" t="b">
        <v>0</v>
      </c>
      <c r="AM467" s="78">
        <v>39954.579826388886</v>
      </c>
      <c r="AN467" s="76" t="s">
        <v>14382</v>
      </c>
      <c r="AO467" s="76" t="s">
        <v>25125</v>
      </c>
      <c r="AP467" s="82" t="str">
        <f>HYPERLINK("https://t.co/e3PCVXYfJ8")</f>
        <v>https://t.co/e3PCVXYfJ8</v>
      </c>
      <c r="AQ467" s="82" t="str">
        <f>HYPERLINK("https://bit.ly/estudioignews")</f>
        <v>https://bit.ly/estudioignews</v>
      </c>
      <c r="AR467" s="76" t="s">
        <v>26622</v>
      </c>
      <c r="AS467" s="76"/>
      <c r="AT467" s="76"/>
      <c r="AU467" s="76"/>
      <c r="AV467" s="76"/>
      <c r="AW467" s="82" t="str">
        <f>HYPERLINK("https://t.co/e3PCVXYfJ8")</f>
        <v>https://t.co/e3PCVXYfJ8</v>
      </c>
      <c r="AX467" s="76" t="b">
        <v>0</v>
      </c>
      <c r="AY467" s="76"/>
      <c r="AZ467" s="76"/>
      <c r="BA467" s="76" t="b">
        <v>0</v>
      </c>
      <c r="BB467" s="76" t="b">
        <v>1</v>
      </c>
      <c r="BC467" s="76" t="b">
        <v>0</v>
      </c>
      <c r="BD467" s="76" t="b">
        <v>0</v>
      </c>
      <c r="BE467" s="76" t="b">
        <v>0</v>
      </c>
      <c r="BF467" s="76" t="b">
        <v>0</v>
      </c>
      <c r="BG467" s="76" t="b">
        <v>0</v>
      </c>
      <c r="BH467" s="82" t="str">
        <f>HYPERLINK("https://pbs.twimg.com/profile_banners/41589948/1654523177")</f>
        <v>https://pbs.twimg.com/profile_banners/41589948/1654523177</v>
      </c>
      <c r="BI467" s="76"/>
      <c r="BJ467" s="76" t="s">
        <v>27595</v>
      </c>
      <c r="BK467" s="76" t="b">
        <v>0</v>
      </c>
      <c r="BL467" s="76"/>
      <c r="BM467" s="76" t="s">
        <v>65</v>
      </c>
      <c r="BN467" s="76" t="s">
        <v>27597</v>
      </c>
      <c r="BO467" s="82" t="str">
        <f>HYPERLINK("https://twitter.com/estudioi")</f>
        <v>https://twitter.com/estudioi</v>
      </c>
      <c r="BP467" s="2"/>
    </row>
    <row r="468" spans="1:68" x14ac:dyDescent="0.25">
      <c r="A468" s="62" t="s">
        <v>1803</v>
      </c>
      <c r="B468" s="63"/>
      <c r="C468" s="63"/>
      <c r="D468" s="64"/>
      <c r="E468" s="66"/>
      <c r="F468" s="103" t="str">
        <f>HYPERLINK("https://pbs.twimg.com/profile_images/1547576840910278664/dK19-Q8m_normal.jpg")</f>
        <v>https://pbs.twimg.com/profile_images/1547576840910278664/dK19-Q8m_normal.jpg</v>
      </c>
      <c r="G468" s="63"/>
      <c r="H468" s="67"/>
      <c r="I468" s="68"/>
      <c r="J468" s="68"/>
      <c r="K468" s="67" t="s">
        <v>28062</v>
      </c>
      <c r="L468" s="71"/>
      <c r="M468" s="72"/>
      <c r="N468" s="72"/>
      <c r="O468" s="73"/>
      <c r="P468" s="74"/>
      <c r="Q468" s="74"/>
      <c r="R468" s="87"/>
      <c r="S468" s="87"/>
      <c r="T468" s="87"/>
      <c r="U468" s="87"/>
      <c r="V468" s="48"/>
      <c r="W468" s="48"/>
      <c r="X468" s="48"/>
      <c r="Y468" s="48"/>
      <c r="Z468" s="47"/>
      <c r="AA468" s="69">
        <v>468</v>
      </c>
      <c r="AB468" s="69"/>
      <c r="AC468" s="70"/>
      <c r="AD468" s="76" t="s">
        <v>21706</v>
      </c>
      <c r="AE468" s="81" t="s">
        <v>23311</v>
      </c>
      <c r="AF468" s="76">
        <v>112059</v>
      </c>
      <c r="AG468" s="76">
        <v>3488</v>
      </c>
      <c r="AH468" s="76">
        <v>10094</v>
      </c>
      <c r="AI468" s="76">
        <v>490</v>
      </c>
      <c r="AJ468" s="76">
        <v>43646</v>
      </c>
      <c r="AK468" s="76">
        <v>937</v>
      </c>
      <c r="AL468" s="76" t="b">
        <v>0</v>
      </c>
      <c r="AM468" s="78">
        <v>39923.642696759256</v>
      </c>
      <c r="AN468" s="76" t="s">
        <v>14432</v>
      </c>
      <c r="AO468" s="76" t="s">
        <v>25126</v>
      </c>
      <c r="AP468" s="82" t="str">
        <f>HYPERLINK("https://t.co/6vaZiGKpCa")</f>
        <v>https://t.co/6vaZiGKpCa</v>
      </c>
      <c r="AQ468" s="82" t="str">
        <f>HYPERLINK("https://linktr.ee/sousadaniel")</f>
        <v>https://linktr.ee/sousadaniel</v>
      </c>
      <c r="AR468" s="76" t="s">
        <v>26623</v>
      </c>
      <c r="AS468" s="76"/>
      <c r="AT468" s="76"/>
      <c r="AU468" s="76"/>
      <c r="AV468" s="76">
        <v>1.2001468820241001E+18</v>
      </c>
      <c r="AW468" s="82" t="str">
        <f>HYPERLINK("https://t.co/6vaZiGKpCa")</f>
        <v>https://t.co/6vaZiGKpCa</v>
      </c>
      <c r="AX468" s="76" t="b">
        <v>0</v>
      </c>
      <c r="AY468" s="76"/>
      <c r="AZ468" s="76"/>
      <c r="BA468" s="76" t="b">
        <v>1</v>
      </c>
      <c r="BB468" s="76" t="b">
        <v>1</v>
      </c>
      <c r="BC468" s="76" t="b">
        <v>0</v>
      </c>
      <c r="BD468" s="76" t="b">
        <v>0</v>
      </c>
      <c r="BE468" s="76" t="b">
        <v>1</v>
      </c>
      <c r="BF468" s="76" t="b">
        <v>0</v>
      </c>
      <c r="BG468" s="76" t="b">
        <v>0</v>
      </c>
      <c r="BH468" s="82" t="str">
        <f>HYPERLINK("https://pbs.twimg.com/profile_banners/33548687/1519151264")</f>
        <v>https://pbs.twimg.com/profile_banners/33548687/1519151264</v>
      </c>
      <c r="BI468" s="76"/>
      <c r="BJ468" s="76" t="s">
        <v>27595</v>
      </c>
      <c r="BK468" s="76" t="b">
        <v>0</v>
      </c>
      <c r="BL468" s="76"/>
      <c r="BM468" s="76" t="s">
        <v>65</v>
      </c>
      <c r="BN468" s="76" t="s">
        <v>27597</v>
      </c>
      <c r="BO468" s="82" t="str">
        <f>HYPERLINK("https://twitter.com/danielhrs")</f>
        <v>https://twitter.com/danielhrs</v>
      </c>
      <c r="BP468" s="2"/>
    </row>
    <row r="469" spans="1:68" x14ac:dyDescent="0.25">
      <c r="A469" s="62" t="s">
        <v>1804</v>
      </c>
      <c r="B469" s="63"/>
      <c r="C469" s="63"/>
      <c r="D469" s="64"/>
      <c r="E469" s="66"/>
      <c r="F469" s="103" t="str">
        <f>HYPERLINK("https://pbs.twimg.com/profile_images/1552315259565838336/QBAPZH57_normal.jpg")</f>
        <v>https://pbs.twimg.com/profile_images/1552315259565838336/QBAPZH57_normal.jpg</v>
      </c>
      <c r="G469" s="63"/>
      <c r="H469" s="67"/>
      <c r="I469" s="68"/>
      <c r="J469" s="68"/>
      <c r="K469" s="67" t="s">
        <v>28063</v>
      </c>
      <c r="L469" s="71"/>
      <c r="M469" s="72"/>
      <c r="N469" s="72"/>
      <c r="O469" s="73"/>
      <c r="P469" s="74"/>
      <c r="Q469" s="74"/>
      <c r="R469" s="87"/>
      <c r="S469" s="87"/>
      <c r="T469" s="87"/>
      <c r="U469" s="87"/>
      <c r="V469" s="48"/>
      <c r="W469" s="48"/>
      <c r="X469" s="48"/>
      <c r="Y469" s="48"/>
      <c r="Z469" s="47"/>
      <c r="AA469" s="69">
        <v>469</v>
      </c>
      <c r="AB469" s="69"/>
      <c r="AC469" s="70"/>
      <c r="AD469" s="76" t="s">
        <v>21707</v>
      </c>
      <c r="AE469" s="81" t="s">
        <v>23312</v>
      </c>
      <c r="AF469" s="76">
        <v>70817</v>
      </c>
      <c r="AG469" s="76">
        <v>706</v>
      </c>
      <c r="AH469" s="76">
        <v>3988</v>
      </c>
      <c r="AI469" s="76">
        <v>271</v>
      </c>
      <c r="AJ469" s="76">
        <v>4484</v>
      </c>
      <c r="AK469" s="76">
        <v>305</v>
      </c>
      <c r="AL469" s="76" t="b">
        <v>0</v>
      </c>
      <c r="AM469" s="78">
        <v>40067.00744212963</v>
      </c>
      <c r="AN469" s="76" t="s">
        <v>14411</v>
      </c>
      <c r="AO469" s="76" t="s">
        <v>25127</v>
      </c>
      <c r="AP469" s="82" t="str">
        <f>HYPERLINK("https://t.co/5Pj4lIGfbA")</f>
        <v>https://t.co/5Pj4lIGfbA</v>
      </c>
      <c r="AQ469" s="82" t="str">
        <f>HYPERLINK("http://www.g1.com.br/globonews")</f>
        <v>http://www.g1.com.br/globonews</v>
      </c>
      <c r="AR469" s="76" t="s">
        <v>26619</v>
      </c>
      <c r="AS469" s="76"/>
      <c r="AT469" s="76"/>
      <c r="AU469" s="76"/>
      <c r="AV469" s="76"/>
      <c r="AW469" s="82" t="str">
        <f>HYPERLINK("https://t.co/5Pj4lIGfbA")</f>
        <v>https://t.co/5Pj4lIGfbA</v>
      </c>
      <c r="AX469" s="76" t="b">
        <v>0</v>
      </c>
      <c r="AY469" s="76"/>
      <c r="AZ469" s="76"/>
      <c r="BA469" s="76" t="b">
        <v>0</v>
      </c>
      <c r="BB469" s="76" t="b">
        <v>1</v>
      </c>
      <c r="BC469" s="76" t="b">
        <v>0</v>
      </c>
      <c r="BD469" s="76" t="b">
        <v>0</v>
      </c>
      <c r="BE469" s="76" t="b">
        <v>1</v>
      </c>
      <c r="BF469" s="76" t="b">
        <v>0</v>
      </c>
      <c r="BG469" s="76" t="b">
        <v>0</v>
      </c>
      <c r="BH469" s="82" t="str">
        <f>HYPERLINK("https://pbs.twimg.com/profile_banners/73259704/1633771309")</f>
        <v>https://pbs.twimg.com/profile_banners/73259704/1633771309</v>
      </c>
      <c r="BI469" s="76"/>
      <c r="BJ469" s="76" t="s">
        <v>27595</v>
      </c>
      <c r="BK469" s="76" t="b">
        <v>0</v>
      </c>
      <c r="BL469" s="76"/>
      <c r="BM469" s="76" t="s">
        <v>65</v>
      </c>
      <c r="BN469" s="76" t="s">
        <v>27597</v>
      </c>
      <c r="BO469" s="82" t="str">
        <f>HYPERLINK("https://twitter.com/nilsonklava")</f>
        <v>https://twitter.com/nilsonklava</v>
      </c>
      <c r="BP469" s="2"/>
    </row>
    <row r="470" spans="1:68" x14ac:dyDescent="0.25">
      <c r="A470" s="62" t="s">
        <v>548</v>
      </c>
      <c r="B470" s="63"/>
      <c r="C470" s="63"/>
      <c r="D470" s="64"/>
      <c r="E470" s="66"/>
      <c r="F470" s="103" t="str">
        <f>HYPERLINK("https://pbs.twimg.com/profile_images/1671583559792959497/2e1N46Vq_normal.jpg")</f>
        <v>https://pbs.twimg.com/profile_images/1671583559792959497/2e1N46Vq_normal.jpg</v>
      </c>
      <c r="G470" s="63"/>
      <c r="H470" s="67"/>
      <c r="I470" s="68"/>
      <c r="J470" s="68"/>
      <c r="K470" s="67" t="s">
        <v>28064</v>
      </c>
      <c r="L470" s="71"/>
      <c r="M470" s="72"/>
      <c r="N470" s="72"/>
      <c r="O470" s="73"/>
      <c r="P470" s="74"/>
      <c r="Q470" s="74"/>
      <c r="R470" s="87"/>
      <c r="S470" s="87"/>
      <c r="T470" s="87"/>
      <c r="U470" s="87"/>
      <c r="V470" s="48"/>
      <c r="W470" s="48"/>
      <c r="X470" s="48"/>
      <c r="Y470" s="48"/>
      <c r="Z470" s="47"/>
      <c r="AA470" s="69">
        <v>470</v>
      </c>
      <c r="AB470" s="69"/>
      <c r="AC470" s="70"/>
      <c r="AD470" s="76" t="s">
        <v>21708</v>
      </c>
      <c r="AE470" s="81" t="s">
        <v>20654</v>
      </c>
      <c r="AF470" s="76">
        <v>43</v>
      </c>
      <c r="AG470" s="76">
        <v>94</v>
      </c>
      <c r="AH470" s="76">
        <v>2923</v>
      </c>
      <c r="AI470" s="76">
        <v>2</v>
      </c>
      <c r="AJ470" s="76">
        <v>20</v>
      </c>
      <c r="AK470" s="76">
        <v>259</v>
      </c>
      <c r="AL470" s="76" t="b">
        <v>0</v>
      </c>
      <c r="AM470" s="78">
        <v>43888.511990740742</v>
      </c>
      <c r="AN470" s="76" t="s">
        <v>24193</v>
      </c>
      <c r="AO470" s="76" t="s">
        <v>25128</v>
      </c>
      <c r="AP470" s="82" t="str">
        <f>HYPERLINK("https://t.co/MGDole6oX7")</f>
        <v>https://t.co/MGDole6oX7</v>
      </c>
      <c r="AQ470" s="82" t="str">
        <f>HYPERLINK("https://www.hojebahia.com.br/")</f>
        <v>https://www.hojebahia.com.br/</v>
      </c>
      <c r="AR470" s="76" t="s">
        <v>26624</v>
      </c>
      <c r="AS470" s="76"/>
      <c r="AT470" s="76"/>
      <c r="AU470" s="76"/>
      <c r="AV470" s="76"/>
      <c r="AW470" s="82" t="str">
        <f>HYPERLINK("https://t.co/MGDole6oX7")</f>
        <v>https://t.co/MGDole6oX7</v>
      </c>
      <c r="AX470" s="76" t="b">
        <v>0</v>
      </c>
      <c r="AY470" s="76"/>
      <c r="AZ470" s="76"/>
      <c r="BA470" s="76" t="b">
        <v>0</v>
      </c>
      <c r="BB470" s="76" t="b">
        <v>1</v>
      </c>
      <c r="BC470" s="76" t="b">
        <v>1</v>
      </c>
      <c r="BD470" s="76" t="b">
        <v>0</v>
      </c>
      <c r="BE470" s="76" t="b">
        <v>1</v>
      </c>
      <c r="BF470" s="76" t="b">
        <v>0</v>
      </c>
      <c r="BG470" s="76" t="b">
        <v>0</v>
      </c>
      <c r="BH470" s="82" t="str">
        <f>HYPERLINK("https://pbs.twimg.com/profile_banners/1233003066670145543/1687371618")</f>
        <v>https://pbs.twimg.com/profile_banners/1233003066670145543/1687371618</v>
      </c>
      <c r="BI470" s="76"/>
      <c r="BJ470" s="76" t="s">
        <v>27595</v>
      </c>
      <c r="BK470" s="76" t="b">
        <v>0</v>
      </c>
      <c r="BL470" s="76"/>
      <c r="BM470" s="76" t="s">
        <v>66</v>
      </c>
      <c r="BN470" s="76" t="s">
        <v>27597</v>
      </c>
      <c r="BO470" s="82" t="str">
        <f>HYPERLINK("https://twitter.com/hojebahia")</f>
        <v>https://twitter.com/hojebahia</v>
      </c>
      <c r="BP470" s="2"/>
    </row>
    <row r="471" spans="1:68" x14ac:dyDescent="0.25">
      <c r="A471" s="62" t="s">
        <v>549</v>
      </c>
      <c r="B471" s="63"/>
      <c r="C471" s="63"/>
      <c r="D471" s="64"/>
      <c r="E471" s="66"/>
      <c r="F471" s="103" t="str">
        <f>HYPERLINK("https://pbs.twimg.com/profile_images/1459895377935716356/mTaybhA3_normal.jpg")</f>
        <v>https://pbs.twimg.com/profile_images/1459895377935716356/mTaybhA3_normal.jpg</v>
      </c>
      <c r="G471" s="63"/>
      <c r="H471" s="67"/>
      <c r="I471" s="68"/>
      <c r="J471" s="68"/>
      <c r="K471" s="67" t="s">
        <v>28065</v>
      </c>
      <c r="L471" s="71"/>
      <c r="M471" s="72"/>
      <c r="N471" s="72"/>
      <c r="O471" s="73"/>
      <c r="P471" s="74"/>
      <c r="Q471" s="74"/>
      <c r="R471" s="87"/>
      <c r="S471" s="87"/>
      <c r="T471" s="87"/>
      <c r="U471" s="87"/>
      <c r="V471" s="48"/>
      <c r="W471" s="48"/>
      <c r="X471" s="48"/>
      <c r="Y471" s="48"/>
      <c r="Z471" s="47"/>
      <c r="AA471" s="69">
        <v>471</v>
      </c>
      <c r="AB471" s="69"/>
      <c r="AC471" s="70"/>
      <c r="AD471" s="76" t="s">
        <v>21709</v>
      </c>
      <c r="AE471" s="81" t="s">
        <v>23313</v>
      </c>
      <c r="AF471" s="76">
        <v>4017</v>
      </c>
      <c r="AG471" s="76">
        <v>1865</v>
      </c>
      <c r="AH471" s="76">
        <v>18801</v>
      </c>
      <c r="AI471" s="76">
        <v>0</v>
      </c>
      <c r="AJ471" s="76">
        <v>1638</v>
      </c>
      <c r="AK471" s="76">
        <v>1273</v>
      </c>
      <c r="AL471" s="76" t="b">
        <v>0</v>
      </c>
      <c r="AM471" s="78">
        <v>39946.583634259259</v>
      </c>
      <c r="AN471" s="76" t="s">
        <v>24245</v>
      </c>
      <c r="AO471" s="76" t="s">
        <v>25129</v>
      </c>
      <c r="AP471" s="82" t="str">
        <f>HYPERLINK("https://t.co/E14Od9DwOa")</f>
        <v>https://t.co/E14Od9DwOa</v>
      </c>
      <c r="AQ471" s="82" t="str">
        <f>HYPERLINK("http://www.noticiasdecruceros.com")</f>
        <v>http://www.noticiasdecruceros.com</v>
      </c>
      <c r="AR471" s="76" t="s">
        <v>26625</v>
      </c>
      <c r="AS471" s="76"/>
      <c r="AT471" s="76"/>
      <c r="AU471" s="76"/>
      <c r="AV471" s="76"/>
      <c r="AW471" s="82" t="str">
        <f>HYPERLINK("https://t.co/E14Od9DwOa")</f>
        <v>https://t.co/E14Od9DwOa</v>
      </c>
      <c r="AX471" s="76" t="b">
        <v>0</v>
      </c>
      <c r="AY471" s="76"/>
      <c r="AZ471" s="76"/>
      <c r="BA471" s="76" t="b">
        <v>0</v>
      </c>
      <c r="BB471" s="76" t="b">
        <v>1</v>
      </c>
      <c r="BC471" s="76" t="b">
        <v>0</v>
      </c>
      <c r="BD471" s="76" t="b">
        <v>0</v>
      </c>
      <c r="BE471" s="76" t="b">
        <v>0</v>
      </c>
      <c r="BF471" s="76" t="b">
        <v>0</v>
      </c>
      <c r="BG471" s="76" t="b">
        <v>0</v>
      </c>
      <c r="BH471" s="82" t="str">
        <f>HYPERLINK("https://pbs.twimg.com/profile_banners/39755430/1636901155")</f>
        <v>https://pbs.twimg.com/profile_banners/39755430/1636901155</v>
      </c>
      <c r="BI471" s="76"/>
      <c r="BJ471" s="76" t="s">
        <v>27595</v>
      </c>
      <c r="BK471" s="76" t="b">
        <v>0</v>
      </c>
      <c r="BL471" s="76"/>
      <c r="BM471" s="76" t="s">
        <v>66</v>
      </c>
      <c r="BN471" s="76" t="s">
        <v>27597</v>
      </c>
      <c r="BO471" s="82" t="str">
        <f>HYPERLINK("https://twitter.com/noticiasdecruce")</f>
        <v>https://twitter.com/noticiasdecruce</v>
      </c>
      <c r="BP471" s="2"/>
    </row>
    <row r="472" spans="1:68" x14ac:dyDescent="0.25">
      <c r="A472" s="62" t="s">
        <v>550</v>
      </c>
      <c r="B472" s="63"/>
      <c r="C472" s="63"/>
      <c r="D472" s="64"/>
      <c r="E472" s="66"/>
      <c r="F472" s="103" t="str">
        <f>HYPERLINK("https://pbs.twimg.com/profile_images/1594016099003240455/RJthcspw_normal.png")</f>
        <v>https://pbs.twimg.com/profile_images/1594016099003240455/RJthcspw_normal.png</v>
      </c>
      <c r="G472" s="63"/>
      <c r="H472" s="67"/>
      <c r="I472" s="68"/>
      <c r="J472" s="68"/>
      <c r="K472" s="67" t="s">
        <v>28066</v>
      </c>
      <c r="L472" s="71"/>
      <c r="M472" s="72"/>
      <c r="N472" s="72"/>
      <c r="O472" s="73"/>
      <c r="P472" s="74"/>
      <c r="Q472" s="74"/>
      <c r="R472" s="87"/>
      <c r="S472" s="87"/>
      <c r="T472" s="87"/>
      <c r="U472" s="87"/>
      <c r="V472" s="48"/>
      <c r="W472" s="48"/>
      <c r="X472" s="48"/>
      <c r="Y472" s="48"/>
      <c r="Z472" s="47"/>
      <c r="AA472" s="69">
        <v>472</v>
      </c>
      <c r="AB472" s="69"/>
      <c r="AC472" s="70"/>
      <c r="AD472" s="76" t="s">
        <v>21710</v>
      </c>
      <c r="AE472" s="81" t="s">
        <v>20655</v>
      </c>
      <c r="AF472" s="76">
        <v>157</v>
      </c>
      <c r="AG472" s="76">
        <v>1764</v>
      </c>
      <c r="AH472" s="76">
        <v>8309</v>
      </c>
      <c r="AI472" s="76">
        <v>1</v>
      </c>
      <c r="AJ472" s="76">
        <v>5676</v>
      </c>
      <c r="AK472" s="76">
        <v>4423</v>
      </c>
      <c r="AL472" s="76" t="b">
        <v>0</v>
      </c>
      <c r="AM472" s="78">
        <v>42558.122025462966</v>
      </c>
      <c r="AN472" s="76"/>
      <c r="AO472" s="76" t="s">
        <v>25130</v>
      </c>
      <c r="AP472" s="76"/>
      <c r="AQ472" s="76"/>
      <c r="AR472" s="76"/>
      <c r="AS472" s="76"/>
      <c r="AT472" s="76"/>
      <c r="AU472" s="76"/>
      <c r="AV472" s="76">
        <v>1.1950977338975501E+18</v>
      </c>
      <c r="AW472" s="76"/>
      <c r="AX472" s="76" t="b">
        <v>0</v>
      </c>
      <c r="AY472" s="76"/>
      <c r="AZ472" s="76"/>
      <c r="BA472" s="76" t="b">
        <v>0</v>
      </c>
      <c r="BB472" s="76" t="b">
        <v>0</v>
      </c>
      <c r="BC472" s="76" t="b">
        <v>0</v>
      </c>
      <c r="BD472" s="76" t="b">
        <v>0</v>
      </c>
      <c r="BE472" s="76" t="b">
        <v>1</v>
      </c>
      <c r="BF472" s="76" t="b">
        <v>0</v>
      </c>
      <c r="BG472" s="76" t="b">
        <v>0</v>
      </c>
      <c r="BH472" s="82" t="str">
        <f>HYPERLINK("https://pbs.twimg.com/profile_banners/750885979012096000/1522270943")</f>
        <v>https://pbs.twimg.com/profile_banners/750885979012096000/1522270943</v>
      </c>
      <c r="BI472" s="76"/>
      <c r="BJ472" s="76" t="s">
        <v>27595</v>
      </c>
      <c r="BK472" s="76" t="b">
        <v>0</v>
      </c>
      <c r="BL472" s="76"/>
      <c r="BM472" s="76" t="s">
        <v>66</v>
      </c>
      <c r="BN472" s="76" t="s">
        <v>27597</v>
      </c>
      <c r="BO472" s="82" t="str">
        <f>HYPERLINK("https://twitter.com/tentritetrisqui")</f>
        <v>https://twitter.com/tentritetrisqui</v>
      </c>
      <c r="BP472" s="2"/>
    </row>
    <row r="473" spans="1:68" x14ac:dyDescent="0.25">
      <c r="A473" s="62" t="s">
        <v>551</v>
      </c>
      <c r="B473" s="63"/>
      <c r="C473" s="63"/>
      <c r="D473" s="64"/>
      <c r="E473" s="66"/>
      <c r="F473" s="103" t="str">
        <f>HYPERLINK("https://pbs.twimg.com/profile_images/1326832897186205696/PSBUYWV4_normal.jpg")</f>
        <v>https://pbs.twimg.com/profile_images/1326832897186205696/PSBUYWV4_normal.jpg</v>
      </c>
      <c r="G473" s="63"/>
      <c r="H473" s="67"/>
      <c r="I473" s="68"/>
      <c r="J473" s="68"/>
      <c r="K473" s="67" t="s">
        <v>28067</v>
      </c>
      <c r="L473" s="71"/>
      <c r="M473" s="72"/>
      <c r="N473" s="72"/>
      <c r="O473" s="73"/>
      <c r="P473" s="74"/>
      <c r="Q473" s="74"/>
      <c r="R473" s="87"/>
      <c r="S473" s="87"/>
      <c r="T473" s="87"/>
      <c r="U473" s="87"/>
      <c r="V473" s="48"/>
      <c r="W473" s="48"/>
      <c r="X473" s="48"/>
      <c r="Y473" s="48"/>
      <c r="Z473" s="47"/>
      <c r="AA473" s="69">
        <v>473</v>
      </c>
      <c r="AB473" s="69"/>
      <c r="AC473" s="70"/>
      <c r="AD473" s="76" t="s">
        <v>21711</v>
      </c>
      <c r="AE473" s="81" t="s">
        <v>20656</v>
      </c>
      <c r="AF473" s="76">
        <v>3070</v>
      </c>
      <c r="AG473" s="76">
        <v>4997</v>
      </c>
      <c r="AH473" s="76">
        <v>82884</v>
      </c>
      <c r="AI473" s="76">
        <v>0</v>
      </c>
      <c r="AJ473" s="76">
        <v>32792</v>
      </c>
      <c r="AK473" s="76">
        <v>304</v>
      </c>
      <c r="AL473" s="76" t="b">
        <v>0</v>
      </c>
      <c r="AM473" s="78">
        <v>43978.736087962963</v>
      </c>
      <c r="AN473" s="76"/>
      <c r="AO473" s="76"/>
      <c r="AP473" s="76"/>
      <c r="AQ473" s="76"/>
      <c r="AR473" s="76"/>
      <c r="AS473" s="76"/>
      <c r="AT473" s="76"/>
      <c r="AU473" s="76"/>
      <c r="AV473" s="76"/>
      <c r="AW473" s="76"/>
      <c r="AX473" s="76" t="b">
        <v>0</v>
      </c>
      <c r="AY473" s="76"/>
      <c r="AZ473" s="76"/>
      <c r="BA473" s="76" t="b">
        <v>0</v>
      </c>
      <c r="BB473" s="76" t="b">
        <v>1</v>
      </c>
      <c r="BC473" s="76" t="b">
        <v>1</v>
      </c>
      <c r="BD473" s="76" t="b">
        <v>0</v>
      </c>
      <c r="BE473" s="76" t="b">
        <v>1</v>
      </c>
      <c r="BF473" s="76" t="b">
        <v>0</v>
      </c>
      <c r="BG473" s="76" t="b">
        <v>0</v>
      </c>
      <c r="BH473" s="76"/>
      <c r="BI473" s="76"/>
      <c r="BJ473" s="76" t="s">
        <v>27595</v>
      </c>
      <c r="BK473" s="76" t="b">
        <v>0</v>
      </c>
      <c r="BL473" s="76"/>
      <c r="BM473" s="76" t="s">
        <v>66</v>
      </c>
      <c r="BN473" s="76" t="s">
        <v>27597</v>
      </c>
      <c r="BO473" s="82" t="str">
        <f>HYPERLINK("https://twitter.com/rosangelaleme3")</f>
        <v>https://twitter.com/rosangelaleme3</v>
      </c>
      <c r="BP473" s="2"/>
    </row>
    <row r="474" spans="1:68" x14ac:dyDescent="0.25">
      <c r="A474" s="62" t="s">
        <v>552</v>
      </c>
      <c r="B474" s="63"/>
      <c r="C474" s="63"/>
      <c r="D474" s="64"/>
      <c r="E474" s="66"/>
      <c r="F474" s="103" t="str">
        <f>HYPERLINK("https://pbs.twimg.com/profile_images/1241147984924082183/gZgx_hL-_normal.jpg")</f>
        <v>https://pbs.twimg.com/profile_images/1241147984924082183/gZgx_hL-_normal.jpg</v>
      </c>
      <c r="G474" s="63"/>
      <c r="H474" s="67"/>
      <c r="I474" s="68"/>
      <c r="J474" s="68"/>
      <c r="K474" s="67" t="s">
        <v>28068</v>
      </c>
      <c r="L474" s="71"/>
      <c r="M474" s="72"/>
      <c r="N474" s="72"/>
      <c r="O474" s="73"/>
      <c r="P474" s="74"/>
      <c r="Q474" s="74"/>
      <c r="R474" s="87"/>
      <c r="S474" s="87"/>
      <c r="T474" s="87"/>
      <c r="U474" s="87"/>
      <c r="V474" s="48"/>
      <c r="W474" s="48"/>
      <c r="X474" s="48"/>
      <c r="Y474" s="48"/>
      <c r="Z474" s="47"/>
      <c r="AA474" s="69">
        <v>474</v>
      </c>
      <c r="AB474" s="69"/>
      <c r="AC474" s="70"/>
      <c r="AD474" s="76" t="s">
        <v>21712</v>
      </c>
      <c r="AE474" s="81" t="s">
        <v>20657</v>
      </c>
      <c r="AF474" s="76">
        <v>71151</v>
      </c>
      <c r="AG474" s="76">
        <v>28</v>
      </c>
      <c r="AH474" s="76">
        <v>28378</v>
      </c>
      <c r="AI474" s="76">
        <v>327</v>
      </c>
      <c r="AJ474" s="76">
        <v>359</v>
      </c>
      <c r="AK474" s="76">
        <v>2643</v>
      </c>
      <c r="AL474" s="76" t="b">
        <v>0</v>
      </c>
      <c r="AM474" s="78">
        <v>43896.790462962963</v>
      </c>
      <c r="AN474" s="76" t="s">
        <v>14382</v>
      </c>
      <c r="AO474" s="76" t="s">
        <v>25131</v>
      </c>
      <c r="AP474" s="82" t="str">
        <f>HYPERLINK("https://t.co/UXpU15u2ux")</f>
        <v>https://t.co/UXpU15u2ux</v>
      </c>
      <c r="AQ474" s="82" t="str">
        <f>HYPERLINK("https://mla.bs/c1acb5b4")</f>
        <v>https://mla.bs/c1acb5b4</v>
      </c>
      <c r="AR474" s="76" t="s">
        <v>26626</v>
      </c>
      <c r="AS474" s="76"/>
      <c r="AT474" s="76"/>
      <c r="AU474" s="76"/>
      <c r="AV474" s="76">
        <v>1.6658505570456499E+18</v>
      </c>
      <c r="AW474" s="82" t="str">
        <f>HYPERLINK("https://t.co/UXpU15u2ux")</f>
        <v>https://t.co/UXpU15u2ux</v>
      </c>
      <c r="AX474" s="76" t="b">
        <v>0</v>
      </c>
      <c r="AY474" s="76"/>
      <c r="AZ474" s="76"/>
      <c r="BA474" s="76" t="b">
        <v>1</v>
      </c>
      <c r="BB474" s="76" t="b">
        <v>1</v>
      </c>
      <c r="BC474" s="76" t="b">
        <v>1</v>
      </c>
      <c r="BD474" s="76" t="b">
        <v>0</v>
      </c>
      <c r="BE474" s="76" t="b">
        <v>1</v>
      </c>
      <c r="BF474" s="76" t="b">
        <v>0</v>
      </c>
      <c r="BG474" s="76" t="b">
        <v>0</v>
      </c>
      <c r="BH474" s="82" t="str">
        <f>HYPERLINK("https://pbs.twimg.com/profile_banners/1236003131244392448/1685619312")</f>
        <v>https://pbs.twimg.com/profile_banners/1236003131244392448/1685619312</v>
      </c>
      <c r="BI474" s="76"/>
      <c r="BJ474" s="76" t="s">
        <v>27595</v>
      </c>
      <c r="BK474" s="76" t="b">
        <v>0</v>
      </c>
      <c r="BL474" s="76"/>
      <c r="BM474" s="76" t="s">
        <v>66</v>
      </c>
      <c r="BN474" s="76" t="s">
        <v>27597</v>
      </c>
      <c r="BO474" s="82" t="str">
        <f>HYPERLINK("https://twitter.com/einvestidor")</f>
        <v>https://twitter.com/einvestidor</v>
      </c>
      <c r="BP474" s="2"/>
    </row>
    <row r="475" spans="1:68" x14ac:dyDescent="0.25">
      <c r="A475" s="62" t="s">
        <v>553</v>
      </c>
      <c r="B475" s="63"/>
      <c r="C475" s="63"/>
      <c r="D475" s="64"/>
      <c r="E475" s="66"/>
      <c r="F475" s="103" t="str">
        <f>HYPERLINK("https://pbs.twimg.com/profile_images/1312039121540575233/VcLTHQmo_normal.jpg")</f>
        <v>https://pbs.twimg.com/profile_images/1312039121540575233/VcLTHQmo_normal.jpg</v>
      </c>
      <c r="G475" s="63"/>
      <c r="H475" s="67"/>
      <c r="I475" s="68"/>
      <c r="J475" s="68"/>
      <c r="K475" s="67" t="s">
        <v>28069</v>
      </c>
      <c r="L475" s="71"/>
      <c r="M475" s="72"/>
      <c r="N475" s="72"/>
      <c r="O475" s="73"/>
      <c r="P475" s="74"/>
      <c r="Q475" s="74"/>
      <c r="R475" s="87"/>
      <c r="S475" s="87"/>
      <c r="T475" s="87"/>
      <c r="U475" s="87"/>
      <c r="V475" s="48"/>
      <c r="W475" s="48"/>
      <c r="X475" s="48"/>
      <c r="Y475" s="48"/>
      <c r="Z475" s="47"/>
      <c r="AA475" s="69">
        <v>475</v>
      </c>
      <c r="AB475" s="69"/>
      <c r="AC475" s="70"/>
      <c r="AD475" s="76" t="s">
        <v>21713</v>
      </c>
      <c r="AE475" s="81" t="s">
        <v>23314</v>
      </c>
      <c r="AF475" s="76">
        <v>14106</v>
      </c>
      <c r="AG475" s="76">
        <v>1472</v>
      </c>
      <c r="AH475" s="76">
        <v>8076</v>
      </c>
      <c r="AI475" s="76">
        <v>114</v>
      </c>
      <c r="AJ475" s="76">
        <v>1405</v>
      </c>
      <c r="AK475" s="76">
        <v>1388</v>
      </c>
      <c r="AL475" s="76" t="b">
        <v>0</v>
      </c>
      <c r="AM475" s="78">
        <v>40349.146701388891</v>
      </c>
      <c r="AN475" s="76" t="s">
        <v>24246</v>
      </c>
      <c r="AO475" s="76" t="s">
        <v>25132</v>
      </c>
      <c r="AP475" s="82" t="str">
        <f>HYPERLINK("https://t.co/sLhQQR22cq")</f>
        <v>https://t.co/sLhQQR22cq</v>
      </c>
      <c r="AQ475" s="82" t="str">
        <f>HYPERLINK("http://www.chile21.cl/")</f>
        <v>http://www.chile21.cl/</v>
      </c>
      <c r="AR475" s="76" t="s">
        <v>26627</v>
      </c>
      <c r="AS475" s="76"/>
      <c r="AT475" s="76"/>
      <c r="AU475" s="76"/>
      <c r="AV475" s="76">
        <v>1.3549044237393001E+18</v>
      </c>
      <c r="AW475" s="82" t="str">
        <f>HYPERLINK("https://t.co/sLhQQR22cq")</f>
        <v>https://t.co/sLhQQR22cq</v>
      </c>
      <c r="AX475" s="76" t="b">
        <v>0</v>
      </c>
      <c r="AY475" s="76"/>
      <c r="AZ475" s="76"/>
      <c r="BA475" s="76" t="b">
        <v>0</v>
      </c>
      <c r="BB475" s="76" t="b">
        <v>1</v>
      </c>
      <c r="BC475" s="76" t="b">
        <v>0</v>
      </c>
      <c r="BD475" s="76" t="b">
        <v>0</v>
      </c>
      <c r="BE475" s="76" t="b">
        <v>0</v>
      </c>
      <c r="BF475" s="76" t="b">
        <v>0</v>
      </c>
      <c r="BG475" s="76" t="b">
        <v>0</v>
      </c>
      <c r="BH475" s="82" t="str">
        <f>HYPERLINK("https://pbs.twimg.com/profile_banners/157536579/1599068099")</f>
        <v>https://pbs.twimg.com/profile_banners/157536579/1599068099</v>
      </c>
      <c r="BI475" s="76"/>
      <c r="BJ475" s="76" t="s">
        <v>27595</v>
      </c>
      <c r="BK475" s="76" t="b">
        <v>0</v>
      </c>
      <c r="BL475" s="76"/>
      <c r="BM475" s="76" t="s">
        <v>66</v>
      </c>
      <c r="BN475" s="76" t="s">
        <v>27597</v>
      </c>
      <c r="BO475" s="82" t="str">
        <f>HYPERLINK("https://twitter.com/chile_21")</f>
        <v>https://twitter.com/chile_21</v>
      </c>
      <c r="BP475" s="2"/>
    </row>
    <row r="476" spans="1:68" x14ac:dyDescent="0.25">
      <c r="A476" s="62" t="s">
        <v>1805</v>
      </c>
      <c r="B476" s="63"/>
      <c r="C476" s="63"/>
      <c r="D476" s="64"/>
      <c r="E476" s="66"/>
      <c r="F476" s="103" t="str">
        <f>HYPERLINK("https://pbs.twimg.com/profile_images/1274231375256866816/uklT0awS_normal.jpg")</f>
        <v>https://pbs.twimg.com/profile_images/1274231375256866816/uklT0awS_normal.jpg</v>
      </c>
      <c r="G476" s="63"/>
      <c r="H476" s="67"/>
      <c r="I476" s="68"/>
      <c r="J476" s="68"/>
      <c r="K476" s="67" t="s">
        <v>28070</v>
      </c>
      <c r="L476" s="71"/>
      <c r="M476" s="72"/>
      <c r="N476" s="72"/>
      <c r="O476" s="73"/>
      <c r="P476" s="74"/>
      <c r="Q476" s="74"/>
      <c r="R476" s="87"/>
      <c r="S476" s="87"/>
      <c r="T476" s="87"/>
      <c r="U476" s="87"/>
      <c r="V476" s="48"/>
      <c r="W476" s="48"/>
      <c r="X476" s="48"/>
      <c r="Y476" s="48"/>
      <c r="Z476" s="47"/>
      <c r="AA476" s="69">
        <v>476</v>
      </c>
      <c r="AB476" s="69"/>
      <c r="AC476" s="70"/>
      <c r="AD476" s="76" t="s">
        <v>21714</v>
      </c>
      <c r="AE476" s="81" t="s">
        <v>23315</v>
      </c>
      <c r="AF476" s="76">
        <v>542</v>
      </c>
      <c r="AG476" s="76">
        <v>363</v>
      </c>
      <c r="AH476" s="76">
        <v>652</v>
      </c>
      <c r="AI476" s="76">
        <v>5</v>
      </c>
      <c r="AJ476" s="76">
        <v>51</v>
      </c>
      <c r="AK476" s="76">
        <v>249</v>
      </c>
      <c r="AL476" s="76" t="b">
        <v>0</v>
      </c>
      <c r="AM476" s="78">
        <v>44002.279328703706</v>
      </c>
      <c r="AN476" s="76" t="s">
        <v>14386</v>
      </c>
      <c r="AO476" s="76" t="s">
        <v>25133</v>
      </c>
      <c r="AP476" s="82" t="str">
        <f>HYPERLINK("https://t.co/Bi4Sy6AnKs")</f>
        <v>https://t.co/Bi4Sy6AnKs</v>
      </c>
      <c r="AQ476" s="82" t="str">
        <f>HYPERLINK("https://mtr.bio/foro-para-un-desarrollo-justo-y-sostenible")</f>
        <v>https://mtr.bio/foro-para-un-desarrollo-justo-y-sostenible</v>
      </c>
      <c r="AR476" s="76" t="s">
        <v>26628</v>
      </c>
      <c r="AS476" s="76"/>
      <c r="AT476" s="76"/>
      <c r="AU476" s="76"/>
      <c r="AV476" s="76"/>
      <c r="AW476" s="82" t="str">
        <f>HYPERLINK("https://t.co/Bi4Sy6AnKs")</f>
        <v>https://t.co/Bi4Sy6AnKs</v>
      </c>
      <c r="AX476" s="76" t="b">
        <v>0</v>
      </c>
      <c r="AY476" s="76"/>
      <c r="AZ476" s="76"/>
      <c r="BA476" s="76" t="b">
        <v>0</v>
      </c>
      <c r="BB476" s="76" t="b">
        <v>1</v>
      </c>
      <c r="BC476" s="76" t="b">
        <v>1</v>
      </c>
      <c r="BD476" s="76" t="b">
        <v>0</v>
      </c>
      <c r="BE476" s="76" t="b">
        <v>0</v>
      </c>
      <c r="BF476" s="76" t="b">
        <v>0</v>
      </c>
      <c r="BG476" s="76" t="b">
        <v>0</v>
      </c>
      <c r="BH476" s="82" t="str">
        <f>HYPERLINK("https://pbs.twimg.com/profile_banners/1274231033253298176/1599829238")</f>
        <v>https://pbs.twimg.com/profile_banners/1274231033253298176/1599829238</v>
      </c>
      <c r="BI476" s="76"/>
      <c r="BJ476" s="76" t="s">
        <v>27595</v>
      </c>
      <c r="BK476" s="76" t="b">
        <v>0</v>
      </c>
      <c r="BL476" s="76"/>
      <c r="BM476" s="76" t="s">
        <v>65</v>
      </c>
      <c r="BN476" s="76" t="s">
        <v>27597</v>
      </c>
      <c r="BO476" s="82" t="str">
        <f>HYPERLINK("https://twitter.com/foroeconomicocl")</f>
        <v>https://twitter.com/foroeconomicocl</v>
      </c>
      <c r="BP476" s="2"/>
    </row>
    <row r="477" spans="1:68" x14ac:dyDescent="0.25">
      <c r="A477" s="62" t="s">
        <v>554</v>
      </c>
      <c r="B477" s="63"/>
      <c r="C477" s="63"/>
      <c r="D477" s="64"/>
      <c r="E477" s="66"/>
      <c r="F477" s="103" t="str">
        <f>HYPERLINK("https://pbs.twimg.com/profile_images/1440765029859557385/XRag9n-b_normal.jpg")</f>
        <v>https://pbs.twimg.com/profile_images/1440765029859557385/XRag9n-b_normal.jpg</v>
      </c>
      <c r="G477" s="63"/>
      <c r="H477" s="67"/>
      <c r="I477" s="68"/>
      <c r="J477" s="68"/>
      <c r="K477" s="67" t="s">
        <v>28071</v>
      </c>
      <c r="L477" s="71"/>
      <c r="M477" s="72"/>
      <c r="N477" s="72"/>
      <c r="O477" s="73"/>
      <c r="P477" s="74"/>
      <c r="Q477" s="74"/>
      <c r="R477" s="87"/>
      <c r="S477" s="87"/>
      <c r="T477" s="87"/>
      <c r="U477" s="87"/>
      <c r="V477" s="48"/>
      <c r="W477" s="48"/>
      <c r="X477" s="48"/>
      <c r="Y477" s="48"/>
      <c r="Z477" s="47"/>
      <c r="AA477" s="69">
        <v>477</v>
      </c>
      <c r="AB477" s="69"/>
      <c r="AC477" s="70"/>
      <c r="AD477" s="76" t="s">
        <v>21715</v>
      </c>
      <c r="AE477" s="81" t="s">
        <v>23316</v>
      </c>
      <c r="AF477" s="76">
        <v>16826</v>
      </c>
      <c r="AG477" s="76">
        <v>3436</v>
      </c>
      <c r="AH477" s="76">
        <v>34326</v>
      </c>
      <c r="AI477" s="76">
        <v>194</v>
      </c>
      <c r="AJ477" s="76">
        <v>77168</v>
      </c>
      <c r="AK477" s="76">
        <v>2094</v>
      </c>
      <c r="AL477" s="76" t="b">
        <v>0</v>
      </c>
      <c r="AM477" s="78">
        <v>41191.685648148145</v>
      </c>
      <c r="AN477" s="76" t="s">
        <v>24128</v>
      </c>
      <c r="AO477" s="76" t="s">
        <v>25134</v>
      </c>
      <c r="AP477" s="82" t="str">
        <f>HYPERLINK("https://t.co/U3WENZtBOZ")</f>
        <v>https://t.co/U3WENZtBOZ</v>
      </c>
      <c r="AQ477" s="82" t="str">
        <f>HYPERLINK("http://www.instagram.com/martinkalos")</f>
        <v>http://www.instagram.com/martinkalos</v>
      </c>
      <c r="AR477" s="76" t="s">
        <v>26629</v>
      </c>
      <c r="AS477" s="76"/>
      <c r="AT477" s="76"/>
      <c r="AU477" s="76"/>
      <c r="AV477" s="76">
        <v>1.68784678603391E+18</v>
      </c>
      <c r="AW477" s="82" t="str">
        <f>HYPERLINK("https://t.co/U3WENZtBOZ")</f>
        <v>https://t.co/U3WENZtBOZ</v>
      </c>
      <c r="AX477" s="76" t="b">
        <v>0</v>
      </c>
      <c r="AY477" s="76"/>
      <c r="AZ477" s="76"/>
      <c r="BA477" s="76" t="b">
        <v>1</v>
      </c>
      <c r="BB477" s="76" t="b">
        <v>1</v>
      </c>
      <c r="BC477" s="76" t="b">
        <v>0</v>
      </c>
      <c r="BD477" s="76" t="b">
        <v>0</v>
      </c>
      <c r="BE477" s="76" t="b">
        <v>1</v>
      </c>
      <c r="BF477" s="76" t="b">
        <v>0</v>
      </c>
      <c r="BG477" s="76" t="b">
        <v>0</v>
      </c>
      <c r="BH477" s="82" t="str">
        <f>HYPERLINK("https://pbs.twimg.com/profile_banners/870178758/1566263286")</f>
        <v>https://pbs.twimg.com/profile_banners/870178758/1566263286</v>
      </c>
      <c r="BI477" s="76"/>
      <c r="BJ477" s="76" t="s">
        <v>27595</v>
      </c>
      <c r="BK477" s="76" t="b">
        <v>0</v>
      </c>
      <c r="BL477" s="76"/>
      <c r="BM477" s="76" t="s">
        <v>66</v>
      </c>
      <c r="BN477" s="76" t="s">
        <v>27597</v>
      </c>
      <c r="BO477" s="82" t="str">
        <f>HYPERLINK("https://twitter.com/martinkalos")</f>
        <v>https://twitter.com/martinkalos</v>
      </c>
      <c r="BP477" s="2"/>
    </row>
    <row r="478" spans="1:68" x14ac:dyDescent="0.25">
      <c r="A478" s="62" t="s">
        <v>1217</v>
      </c>
      <c r="B478" s="63"/>
      <c r="C478" s="63"/>
      <c r="D478" s="64"/>
      <c r="E478" s="66"/>
      <c r="F478" s="103" t="str">
        <f>HYPERLINK("https://pbs.twimg.com/profile_images/1639838528828743683/VNWk-4Ps_normal.jpg")</f>
        <v>https://pbs.twimg.com/profile_images/1639838528828743683/VNWk-4Ps_normal.jpg</v>
      </c>
      <c r="G478" s="63"/>
      <c r="H478" s="67"/>
      <c r="I478" s="68"/>
      <c r="J478" s="68"/>
      <c r="K478" s="67" t="s">
        <v>28072</v>
      </c>
      <c r="L478" s="71"/>
      <c r="M478" s="72"/>
      <c r="N478" s="72"/>
      <c r="O478" s="73"/>
      <c r="P478" s="74"/>
      <c r="Q478" s="74"/>
      <c r="R478" s="87"/>
      <c r="S478" s="87"/>
      <c r="T478" s="87"/>
      <c r="U478" s="87"/>
      <c r="V478" s="48"/>
      <c r="W478" s="48"/>
      <c r="X478" s="48"/>
      <c r="Y478" s="48"/>
      <c r="Z478" s="47"/>
      <c r="AA478" s="69">
        <v>478</v>
      </c>
      <c r="AB478" s="69"/>
      <c r="AC478" s="70"/>
      <c r="AD478" s="76" t="s">
        <v>21716</v>
      </c>
      <c r="AE478" s="81" t="s">
        <v>23317</v>
      </c>
      <c r="AF478" s="76">
        <v>16183</v>
      </c>
      <c r="AG478" s="76">
        <v>5571</v>
      </c>
      <c r="AH478" s="76">
        <v>19828</v>
      </c>
      <c r="AI478" s="76">
        <v>121</v>
      </c>
      <c r="AJ478" s="76">
        <v>46468</v>
      </c>
      <c r="AK478" s="76">
        <v>1270</v>
      </c>
      <c r="AL478" s="76" t="b">
        <v>0</v>
      </c>
      <c r="AM478" s="78">
        <v>40567.575543981482</v>
      </c>
      <c r="AN478" s="76" t="s">
        <v>24113</v>
      </c>
      <c r="AO478" s="76" t="s">
        <v>25135</v>
      </c>
      <c r="AP478" s="82" t="str">
        <f>HYPERLINK("https://t.co/lx2sajYA9f")</f>
        <v>https://t.co/lx2sajYA9f</v>
      </c>
      <c r="AQ478" s="82" t="str">
        <f>HYPERLINK("https://linktr.ee/fer_peirano")</f>
        <v>https://linktr.ee/fer_peirano</v>
      </c>
      <c r="AR478" s="76" t="s">
        <v>26630</v>
      </c>
      <c r="AS478" s="76"/>
      <c r="AT478" s="76"/>
      <c r="AU478" s="76"/>
      <c r="AV478" s="76">
        <v>1.22953566032067E+18</v>
      </c>
      <c r="AW478" s="82" t="str">
        <f>HYPERLINK("https://t.co/lx2sajYA9f")</f>
        <v>https://t.co/lx2sajYA9f</v>
      </c>
      <c r="AX478" s="76" t="b">
        <v>0</v>
      </c>
      <c r="AY478" s="76"/>
      <c r="AZ478" s="76"/>
      <c r="BA478" s="76" t="b">
        <v>0</v>
      </c>
      <c r="BB478" s="76" t="b">
        <v>1</v>
      </c>
      <c r="BC478" s="76" t="b">
        <v>0</v>
      </c>
      <c r="BD478" s="76" t="b">
        <v>0</v>
      </c>
      <c r="BE478" s="76" t="b">
        <v>1</v>
      </c>
      <c r="BF478" s="76" t="b">
        <v>0</v>
      </c>
      <c r="BG478" s="76" t="b">
        <v>0</v>
      </c>
      <c r="BH478" s="82" t="str">
        <f>HYPERLINK("https://pbs.twimg.com/profile_banners/242311942/1408501397")</f>
        <v>https://pbs.twimg.com/profile_banners/242311942/1408501397</v>
      </c>
      <c r="BI478" s="76"/>
      <c r="BJ478" s="76" t="s">
        <v>27595</v>
      </c>
      <c r="BK478" s="76" t="b">
        <v>0</v>
      </c>
      <c r="BL478" s="76"/>
      <c r="BM478" s="76" t="s">
        <v>66</v>
      </c>
      <c r="BN478" s="76" t="s">
        <v>27597</v>
      </c>
      <c r="BO478" s="82" t="str">
        <f>HYPERLINK("https://twitter.com/ferpeirano")</f>
        <v>https://twitter.com/ferpeirano</v>
      </c>
      <c r="BP478" s="2"/>
    </row>
    <row r="479" spans="1:68" x14ac:dyDescent="0.25">
      <c r="A479" s="62" t="s">
        <v>555</v>
      </c>
      <c r="B479" s="63"/>
      <c r="C479" s="63"/>
      <c r="D479" s="64"/>
      <c r="E479" s="66"/>
      <c r="F479" s="103" t="str">
        <f>HYPERLINK("https://pbs.twimg.com/profile_images/1680001645827031040/y9xGZWR7_normal.jpg")</f>
        <v>https://pbs.twimg.com/profile_images/1680001645827031040/y9xGZWR7_normal.jpg</v>
      </c>
      <c r="G479" s="63"/>
      <c r="H479" s="67"/>
      <c r="I479" s="68"/>
      <c r="J479" s="68"/>
      <c r="K479" s="67" t="s">
        <v>28073</v>
      </c>
      <c r="L479" s="71"/>
      <c r="M479" s="72"/>
      <c r="N479" s="72"/>
      <c r="O479" s="73"/>
      <c r="P479" s="74"/>
      <c r="Q479" s="74"/>
      <c r="R479" s="87"/>
      <c r="S479" s="87"/>
      <c r="T479" s="87"/>
      <c r="U479" s="87"/>
      <c r="V479" s="48"/>
      <c r="W479" s="48"/>
      <c r="X479" s="48"/>
      <c r="Y479" s="48"/>
      <c r="Z479" s="47"/>
      <c r="AA479" s="69">
        <v>479</v>
      </c>
      <c r="AB479" s="69"/>
      <c r="AC479" s="70"/>
      <c r="AD479" s="76" t="s">
        <v>21717</v>
      </c>
      <c r="AE479" s="81" t="s">
        <v>20658</v>
      </c>
      <c r="AF479" s="76">
        <v>70</v>
      </c>
      <c r="AG479" s="76">
        <v>99</v>
      </c>
      <c r="AH479" s="76">
        <v>241</v>
      </c>
      <c r="AI479" s="76">
        <v>0</v>
      </c>
      <c r="AJ479" s="76">
        <v>59</v>
      </c>
      <c r="AK479" s="76">
        <v>100</v>
      </c>
      <c r="AL479" s="76" t="b">
        <v>0</v>
      </c>
      <c r="AM479" s="78">
        <v>44642.129965277774</v>
      </c>
      <c r="AN479" s="76"/>
      <c r="AO479" s="76" t="s">
        <v>25136</v>
      </c>
      <c r="AP479" s="82" t="str">
        <f>HYPERLINK("https://t.co/a5MZLaxL9t")</f>
        <v>https://t.co/a5MZLaxL9t</v>
      </c>
      <c r="AQ479" s="82" t="str">
        <f>HYPERLINK("https://ntsp.start.page")</f>
        <v>https://ntsp.start.page</v>
      </c>
      <c r="AR479" s="76" t="s">
        <v>26631</v>
      </c>
      <c r="AS479" s="76"/>
      <c r="AT479" s="76"/>
      <c r="AU479" s="76"/>
      <c r="AV479" s="76">
        <v>1.6898319317922801E+18</v>
      </c>
      <c r="AW479" s="82" t="str">
        <f>HYPERLINK("https://t.co/a5MZLaxL9t")</f>
        <v>https://t.co/a5MZLaxL9t</v>
      </c>
      <c r="AX479" s="76" t="b">
        <v>0</v>
      </c>
      <c r="AY479" s="76"/>
      <c r="AZ479" s="76"/>
      <c r="BA479" s="76" t="b">
        <v>1</v>
      </c>
      <c r="BB479" s="76" t="b">
        <v>1</v>
      </c>
      <c r="BC479" s="76" t="b">
        <v>1</v>
      </c>
      <c r="BD479" s="76" t="b">
        <v>0</v>
      </c>
      <c r="BE479" s="76" t="b">
        <v>1</v>
      </c>
      <c r="BF479" s="76" t="b">
        <v>0</v>
      </c>
      <c r="BG479" s="76" t="b">
        <v>0</v>
      </c>
      <c r="BH479" s="82" t="str">
        <f>HYPERLINK("https://pbs.twimg.com/profile_banners/1506105074619191296/1688931432")</f>
        <v>https://pbs.twimg.com/profile_banners/1506105074619191296/1688931432</v>
      </c>
      <c r="BI479" s="76"/>
      <c r="BJ479" s="76" t="s">
        <v>27595</v>
      </c>
      <c r="BK479" s="76" t="b">
        <v>0</v>
      </c>
      <c r="BL479" s="76"/>
      <c r="BM479" s="76" t="s">
        <v>66</v>
      </c>
      <c r="BN479" s="76" t="s">
        <v>27597</v>
      </c>
      <c r="BO479" s="82" t="str">
        <f>HYPERLINK("https://twitter.com/ntsp_es")</f>
        <v>https://twitter.com/ntsp_es</v>
      </c>
      <c r="BP479" s="2"/>
    </row>
    <row r="480" spans="1:68" x14ac:dyDescent="0.25">
      <c r="A480" s="62" t="s">
        <v>556</v>
      </c>
      <c r="B480" s="63"/>
      <c r="C480" s="63"/>
      <c r="D480" s="64"/>
      <c r="E480" s="66"/>
      <c r="F480" s="103" t="str">
        <f>HYPERLINK("https://pbs.twimg.com/profile_images/1598423978082705410/jU-vUeHf_normal.jpg")</f>
        <v>https://pbs.twimg.com/profile_images/1598423978082705410/jU-vUeHf_normal.jpg</v>
      </c>
      <c r="G480" s="63"/>
      <c r="H480" s="67"/>
      <c r="I480" s="68"/>
      <c r="J480" s="68"/>
      <c r="K480" s="67" t="s">
        <v>28074</v>
      </c>
      <c r="L480" s="71"/>
      <c r="M480" s="72"/>
      <c r="N480" s="72"/>
      <c r="O480" s="73"/>
      <c r="P480" s="74"/>
      <c r="Q480" s="74"/>
      <c r="R480" s="87"/>
      <c r="S480" s="87"/>
      <c r="T480" s="87"/>
      <c r="U480" s="87"/>
      <c r="V480" s="48"/>
      <c r="W480" s="48"/>
      <c r="X480" s="48"/>
      <c r="Y480" s="48"/>
      <c r="Z480" s="47"/>
      <c r="AA480" s="69">
        <v>480</v>
      </c>
      <c r="AB480" s="69"/>
      <c r="AC480" s="70"/>
      <c r="AD480" s="76" t="s">
        <v>21718</v>
      </c>
      <c r="AE480" s="81" t="s">
        <v>20253</v>
      </c>
      <c r="AF480" s="76">
        <v>208</v>
      </c>
      <c r="AG480" s="76">
        <v>925</v>
      </c>
      <c r="AH480" s="76">
        <v>4628</v>
      </c>
      <c r="AI480" s="76">
        <v>0</v>
      </c>
      <c r="AJ480" s="76">
        <v>11130</v>
      </c>
      <c r="AK480" s="76">
        <v>494</v>
      </c>
      <c r="AL480" s="76" t="b">
        <v>0</v>
      </c>
      <c r="AM480" s="78">
        <v>43441.077384259261</v>
      </c>
      <c r="AN480" s="76"/>
      <c r="AO480" s="76" t="s">
        <v>25137</v>
      </c>
      <c r="AP480" s="76"/>
      <c r="AQ480" s="76"/>
      <c r="AR480" s="76"/>
      <c r="AS480" s="76"/>
      <c r="AT480" s="76"/>
      <c r="AU480" s="76"/>
      <c r="AV480" s="76">
        <v>1.36359864083775E+18</v>
      </c>
      <c r="AW480" s="76"/>
      <c r="AX480" s="76" t="b">
        <v>0</v>
      </c>
      <c r="AY480" s="76"/>
      <c r="AZ480" s="76"/>
      <c r="BA480" s="76" t="b">
        <v>0</v>
      </c>
      <c r="BB480" s="76" t="b">
        <v>1</v>
      </c>
      <c r="BC480" s="76" t="b">
        <v>0</v>
      </c>
      <c r="BD480" s="76" t="b">
        <v>0</v>
      </c>
      <c r="BE480" s="76" t="b">
        <v>1</v>
      </c>
      <c r="BF480" s="76" t="b">
        <v>0</v>
      </c>
      <c r="BG480" s="76" t="b">
        <v>0</v>
      </c>
      <c r="BH480" s="82" t="str">
        <f>HYPERLINK("https://pbs.twimg.com/profile_banners/1070858287447449601/1619274581")</f>
        <v>https://pbs.twimg.com/profile_banners/1070858287447449601/1619274581</v>
      </c>
      <c r="BI480" s="76"/>
      <c r="BJ480" s="76" t="s">
        <v>27595</v>
      </c>
      <c r="BK480" s="76" t="b">
        <v>0</v>
      </c>
      <c r="BL480" s="76"/>
      <c r="BM480" s="76" t="s">
        <v>66</v>
      </c>
      <c r="BN480" s="76" t="s">
        <v>27597</v>
      </c>
      <c r="BO480" s="82" t="str">
        <f>HYPERLINK("https://twitter.com/danielg_s6")</f>
        <v>https://twitter.com/danielg_s6</v>
      </c>
      <c r="BP480" s="2"/>
    </row>
    <row r="481" spans="1:68" x14ac:dyDescent="0.25">
      <c r="A481" s="62" t="s">
        <v>557</v>
      </c>
      <c r="B481" s="63"/>
      <c r="C481" s="63"/>
      <c r="D481" s="64"/>
      <c r="E481" s="66"/>
      <c r="F481" s="103" t="str">
        <f>HYPERLINK("https://pbs.twimg.com/profile_images/1651675615265714198/4D9rIgXW_normal.jpg")</f>
        <v>https://pbs.twimg.com/profile_images/1651675615265714198/4D9rIgXW_normal.jpg</v>
      </c>
      <c r="G481" s="63"/>
      <c r="H481" s="67"/>
      <c r="I481" s="68"/>
      <c r="J481" s="68"/>
      <c r="K481" s="67" t="s">
        <v>28075</v>
      </c>
      <c r="L481" s="71"/>
      <c r="M481" s="72"/>
      <c r="N481" s="72"/>
      <c r="O481" s="73"/>
      <c r="P481" s="74"/>
      <c r="Q481" s="74"/>
      <c r="R481" s="87"/>
      <c r="S481" s="87"/>
      <c r="T481" s="87"/>
      <c r="U481" s="87"/>
      <c r="V481" s="48"/>
      <c r="W481" s="48"/>
      <c r="X481" s="48"/>
      <c r="Y481" s="48"/>
      <c r="Z481" s="47"/>
      <c r="AA481" s="69">
        <v>481</v>
      </c>
      <c r="AB481" s="69"/>
      <c r="AC481" s="70"/>
      <c r="AD481" s="76" t="s">
        <v>21719</v>
      </c>
      <c r="AE481" s="81" t="s">
        <v>20659</v>
      </c>
      <c r="AF481" s="76">
        <v>90</v>
      </c>
      <c r="AG481" s="76">
        <v>282</v>
      </c>
      <c r="AH481" s="76">
        <v>295</v>
      </c>
      <c r="AI481" s="76">
        <v>0</v>
      </c>
      <c r="AJ481" s="76">
        <v>286</v>
      </c>
      <c r="AK481" s="76">
        <v>37</v>
      </c>
      <c r="AL481" s="76" t="b">
        <v>0</v>
      </c>
      <c r="AM481" s="78">
        <v>45043.824652777781</v>
      </c>
      <c r="AN481" s="76" t="s">
        <v>24247</v>
      </c>
      <c r="AO481" s="76" t="s">
        <v>25138</v>
      </c>
      <c r="AP481" s="76"/>
      <c r="AQ481" s="76"/>
      <c r="AR481" s="76"/>
      <c r="AS481" s="76"/>
      <c r="AT481" s="76"/>
      <c r="AU481" s="76"/>
      <c r="AV481" s="76"/>
      <c r="AW481" s="76"/>
      <c r="AX481" s="76" t="b">
        <v>0</v>
      </c>
      <c r="AY481" s="76"/>
      <c r="AZ481" s="76"/>
      <c r="BA481" s="76" t="b">
        <v>0</v>
      </c>
      <c r="BB481" s="76" t="b">
        <v>1</v>
      </c>
      <c r="BC481" s="76" t="b">
        <v>1</v>
      </c>
      <c r="BD481" s="76" t="b">
        <v>0</v>
      </c>
      <c r="BE481" s="76" t="b">
        <v>0</v>
      </c>
      <c r="BF481" s="76" t="b">
        <v>0</v>
      </c>
      <c r="BG481" s="76" t="b">
        <v>0</v>
      </c>
      <c r="BH481" s="82" t="str">
        <f>HYPERLINK("https://pbs.twimg.com/profile_banners/1651674422489624576/1682625135")</f>
        <v>https://pbs.twimg.com/profile_banners/1651674422489624576/1682625135</v>
      </c>
      <c r="BI481" s="76"/>
      <c r="BJ481" s="76" t="s">
        <v>27595</v>
      </c>
      <c r="BK481" s="76" t="b">
        <v>0</v>
      </c>
      <c r="BL481" s="76"/>
      <c r="BM481" s="76" t="s">
        <v>66</v>
      </c>
      <c r="BN481" s="76" t="s">
        <v>27597</v>
      </c>
      <c r="BO481" s="82" t="str">
        <f>HYPERLINK("https://twitter.com/rosario_con94")</f>
        <v>https://twitter.com/rosario_con94</v>
      </c>
      <c r="BP481" s="2"/>
    </row>
    <row r="482" spans="1:68" x14ac:dyDescent="0.25">
      <c r="A482" s="62" t="s">
        <v>558</v>
      </c>
      <c r="B482" s="63"/>
      <c r="C482" s="63"/>
      <c r="D482" s="64"/>
      <c r="E482" s="66"/>
      <c r="F482" s="103" t="str">
        <f>HYPERLINK("https://pbs.twimg.com/profile_images/1401625360240975878/TIlMykI9_normal.jpg")</f>
        <v>https://pbs.twimg.com/profile_images/1401625360240975878/TIlMykI9_normal.jpg</v>
      </c>
      <c r="G482" s="63"/>
      <c r="H482" s="67"/>
      <c r="I482" s="68"/>
      <c r="J482" s="68"/>
      <c r="K482" s="67" t="s">
        <v>28076</v>
      </c>
      <c r="L482" s="71"/>
      <c r="M482" s="72"/>
      <c r="N482" s="72"/>
      <c r="O482" s="73"/>
      <c r="P482" s="74"/>
      <c r="Q482" s="74"/>
      <c r="R482" s="87"/>
      <c r="S482" s="87"/>
      <c r="T482" s="87"/>
      <c r="U482" s="87"/>
      <c r="V482" s="48"/>
      <c r="W482" s="48"/>
      <c r="X482" s="48"/>
      <c r="Y482" s="48"/>
      <c r="Z482" s="47"/>
      <c r="AA482" s="69">
        <v>482</v>
      </c>
      <c r="AB482" s="69"/>
      <c r="AC482" s="70"/>
      <c r="AD482" s="76" t="s">
        <v>21720</v>
      </c>
      <c r="AE482" s="81" t="s">
        <v>23318</v>
      </c>
      <c r="AF482" s="76">
        <v>14</v>
      </c>
      <c r="AG482" s="76">
        <v>94</v>
      </c>
      <c r="AH482" s="76">
        <v>993</v>
      </c>
      <c r="AI482" s="76">
        <v>0</v>
      </c>
      <c r="AJ482" s="76">
        <v>143</v>
      </c>
      <c r="AK482" s="76">
        <v>80</v>
      </c>
      <c r="AL482" s="76" t="b">
        <v>0</v>
      </c>
      <c r="AM482" s="78">
        <v>41796.67827546296</v>
      </c>
      <c r="AN482" s="76"/>
      <c r="AO482" s="76" t="s">
        <v>25139</v>
      </c>
      <c r="AP482" s="76"/>
      <c r="AQ482" s="76"/>
      <c r="AR482" s="76"/>
      <c r="AS482" s="76"/>
      <c r="AT482" s="76"/>
      <c r="AU482" s="76"/>
      <c r="AV482" s="76"/>
      <c r="AW482" s="76"/>
      <c r="AX482" s="76" t="b">
        <v>0</v>
      </c>
      <c r="AY482" s="76"/>
      <c r="AZ482" s="76"/>
      <c r="BA482" s="76" t="b">
        <v>0</v>
      </c>
      <c r="BB482" s="76" t="b">
        <v>1</v>
      </c>
      <c r="BC482" s="76" t="b">
        <v>1</v>
      </c>
      <c r="BD482" s="76" t="b">
        <v>0</v>
      </c>
      <c r="BE482" s="76" t="b">
        <v>1</v>
      </c>
      <c r="BF482" s="76" t="b">
        <v>0</v>
      </c>
      <c r="BG482" s="76" t="b">
        <v>0</v>
      </c>
      <c r="BH482" s="82" t="str">
        <f>HYPERLINK("https://pbs.twimg.com/profile_banners/2587374441/1689902987")</f>
        <v>https://pbs.twimg.com/profile_banners/2587374441/1689902987</v>
      </c>
      <c r="BI482" s="76"/>
      <c r="BJ482" s="76" t="s">
        <v>27595</v>
      </c>
      <c r="BK482" s="76" t="b">
        <v>0</v>
      </c>
      <c r="BL482" s="76"/>
      <c r="BM482" s="76" t="s">
        <v>66</v>
      </c>
      <c r="BN482" s="76" t="s">
        <v>27597</v>
      </c>
      <c r="BO482" s="82" t="str">
        <f>HYPERLINK("https://twitter.com/higorsantos568")</f>
        <v>https://twitter.com/higorsantos568</v>
      </c>
      <c r="BP482" s="2"/>
    </row>
    <row r="483" spans="1:68" x14ac:dyDescent="0.25">
      <c r="A483" s="62" t="s">
        <v>559</v>
      </c>
      <c r="B483" s="63"/>
      <c r="C483" s="63"/>
      <c r="D483" s="64"/>
      <c r="E483" s="66"/>
      <c r="F483" s="103" t="str">
        <f>HYPERLINK("https://pbs.twimg.com/profile_images/1471442566243663880/MsfMW_eL_normal.jpg")</f>
        <v>https://pbs.twimg.com/profile_images/1471442566243663880/MsfMW_eL_normal.jpg</v>
      </c>
      <c r="G483" s="63"/>
      <c r="H483" s="67"/>
      <c r="I483" s="68"/>
      <c r="J483" s="68"/>
      <c r="K483" s="67" t="s">
        <v>28077</v>
      </c>
      <c r="L483" s="71"/>
      <c r="M483" s="72"/>
      <c r="N483" s="72"/>
      <c r="O483" s="73"/>
      <c r="P483" s="74"/>
      <c r="Q483" s="74"/>
      <c r="R483" s="87"/>
      <c r="S483" s="87"/>
      <c r="T483" s="87"/>
      <c r="U483" s="87"/>
      <c r="V483" s="48"/>
      <c r="W483" s="48"/>
      <c r="X483" s="48"/>
      <c r="Y483" s="48"/>
      <c r="Z483" s="47"/>
      <c r="AA483" s="69">
        <v>483</v>
      </c>
      <c r="AB483" s="69"/>
      <c r="AC483" s="70"/>
      <c r="AD483" s="76" t="s">
        <v>21721</v>
      </c>
      <c r="AE483" s="81" t="s">
        <v>23319</v>
      </c>
      <c r="AF483" s="76">
        <v>273</v>
      </c>
      <c r="AG483" s="76">
        <v>293</v>
      </c>
      <c r="AH483" s="76">
        <v>21424</v>
      </c>
      <c r="AI483" s="76">
        <v>0</v>
      </c>
      <c r="AJ483" s="76">
        <v>4691</v>
      </c>
      <c r="AK483" s="76">
        <v>2049</v>
      </c>
      <c r="AL483" s="76" t="b">
        <v>0</v>
      </c>
      <c r="AM483" s="78">
        <v>39651.860798611109</v>
      </c>
      <c r="AN483" s="76" t="s">
        <v>24248</v>
      </c>
      <c r="AO483" s="76" t="s">
        <v>25140</v>
      </c>
      <c r="AP483" s="82" t="str">
        <f>HYPERLINK("https://t.co/IJY9PgL08D")</f>
        <v>https://t.co/IJY9PgL08D</v>
      </c>
      <c r="AQ483" s="82" t="str">
        <f>HYPERLINK("http://esron.com.br")</f>
        <v>http://esron.com.br</v>
      </c>
      <c r="AR483" s="76" t="s">
        <v>26632</v>
      </c>
      <c r="AS483" s="76"/>
      <c r="AT483" s="76"/>
      <c r="AU483" s="76"/>
      <c r="AV483" s="76">
        <v>1.65864749940015E+18</v>
      </c>
      <c r="AW483" s="82" t="str">
        <f>HYPERLINK("https://t.co/IJY9PgL08D")</f>
        <v>https://t.co/IJY9PgL08D</v>
      </c>
      <c r="AX483" s="76" t="b">
        <v>0</v>
      </c>
      <c r="AY483" s="76"/>
      <c r="AZ483" s="76"/>
      <c r="BA483" s="76" t="b">
        <v>1</v>
      </c>
      <c r="BB483" s="76" t="b">
        <v>1</v>
      </c>
      <c r="BC483" s="76" t="b">
        <v>0</v>
      </c>
      <c r="BD483" s="76" t="b">
        <v>0</v>
      </c>
      <c r="BE483" s="76" t="b">
        <v>1</v>
      </c>
      <c r="BF483" s="76" t="b">
        <v>0</v>
      </c>
      <c r="BG483" s="76" t="b">
        <v>0</v>
      </c>
      <c r="BH483" s="82" t="str">
        <f>HYPERLINK("https://pbs.twimg.com/profile_banners/15536888/1649388512")</f>
        <v>https://pbs.twimg.com/profile_banners/15536888/1649388512</v>
      </c>
      <c r="BI483" s="76"/>
      <c r="BJ483" s="76" t="s">
        <v>27595</v>
      </c>
      <c r="BK483" s="76" t="b">
        <v>0</v>
      </c>
      <c r="BL483" s="76"/>
      <c r="BM483" s="76" t="s">
        <v>66</v>
      </c>
      <c r="BN483" s="76" t="s">
        <v>27597</v>
      </c>
      <c r="BO483" s="82" t="str">
        <f>HYPERLINK("https://twitter.com/esron")</f>
        <v>https://twitter.com/esron</v>
      </c>
      <c r="BP483" s="2"/>
    </row>
    <row r="484" spans="1:68" x14ac:dyDescent="0.25">
      <c r="A484" s="62" t="s">
        <v>560</v>
      </c>
      <c r="B484" s="63"/>
      <c r="C484" s="63"/>
      <c r="D484" s="64"/>
      <c r="E484" s="66"/>
      <c r="F484" s="103" t="str">
        <f>HYPERLINK("https://pbs.twimg.com/profile_images/1707457447563014144/VLeu6PxL_normal.jpg")</f>
        <v>https://pbs.twimg.com/profile_images/1707457447563014144/VLeu6PxL_normal.jpg</v>
      </c>
      <c r="G484" s="63"/>
      <c r="H484" s="67"/>
      <c r="I484" s="68"/>
      <c r="J484" s="68"/>
      <c r="K484" s="67" t="s">
        <v>28078</v>
      </c>
      <c r="L484" s="71"/>
      <c r="M484" s="72"/>
      <c r="N484" s="72"/>
      <c r="O484" s="73"/>
      <c r="P484" s="74"/>
      <c r="Q484" s="74"/>
      <c r="R484" s="87"/>
      <c r="S484" s="87"/>
      <c r="T484" s="87"/>
      <c r="U484" s="87"/>
      <c r="V484" s="48"/>
      <c r="W484" s="48"/>
      <c r="X484" s="48"/>
      <c r="Y484" s="48"/>
      <c r="Z484" s="47"/>
      <c r="AA484" s="69">
        <v>484</v>
      </c>
      <c r="AB484" s="69"/>
      <c r="AC484" s="70"/>
      <c r="AD484" s="76" t="s">
        <v>21722</v>
      </c>
      <c r="AE484" s="81" t="s">
        <v>20254</v>
      </c>
      <c r="AF484" s="76">
        <v>1083</v>
      </c>
      <c r="AG484" s="76">
        <v>890</v>
      </c>
      <c r="AH484" s="76">
        <v>2206</v>
      </c>
      <c r="AI484" s="76">
        <v>25</v>
      </c>
      <c r="AJ484" s="76">
        <v>4157</v>
      </c>
      <c r="AK484" s="76">
        <v>137</v>
      </c>
      <c r="AL484" s="76" t="b">
        <v>0</v>
      </c>
      <c r="AM484" s="78">
        <v>41843.783958333333</v>
      </c>
      <c r="AN484" s="76" t="s">
        <v>14479</v>
      </c>
      <c r="AO484" s="76" t="s">
        <v>25141</v>
      </c>
      <c r="AP484" s="82" t="str">
        <f>HYPERLINK("https://t.co/CvIC7zZnNC")</f>
        <v>https://t.co/CvIC7zZnNC</v>
      </c>
      <c r="AQ484" s="82" t="str">
        <f>HYPERLINK("https://substack.com/@tatianarevoredo")</f>
        <v>https://substack.com/@tatianarevoredo</v>
      </c>
      <c r="AR484" s="76" t="s">
        <v>26633</v>
      </c>
      <c r="AS484" s="76"/>
      <c r="AT484" s="76"/>
      <c r="AU484" s="76"/>
      <c r="AV484" s="76">
        <v>1.7059167712937001E+18</v>
      </c>
      <c r="AW484" s="82" t="str">
        <f>HYPERLINK("https://t.co/CvIC7zZnNC")</f>
        <v>https://t.co/CvIC7zZnNC</v>
      </c>
      <c r="AX484" s="76" t="b">
        <v>0</v>
      </c>
      <c r="AY484" s="76"/>
      <c r="AZ484" s="76"/>
      <c r="BA484" s="76" t="b">
        <v>0</v>
      </c>
      <c r="BB484" s="76" t="b">
        <v>0</v>
      </c>
      <c r="BC484" s="76" t="b">
        <v>1</v>
      </c>
      <c r="BD484" s="76" t="b">
        <v>0</v>
      </c>
      <c r="BE484" s="76" t="b">
        <v>1</v>
      </c>
      <c r="BF484" s="76" t="b">
        <v>0</v>
      </c>
      <c r="BG484" s="76" t="b">
        <v>0</v>
      </c>
      <c r="BH484" s="82" t="str">
        <f>HYPERLINK("https://pbs.twimg.com/profile_banners/2674796114/1695928217")</f>
        <v>https://pbs.twimg.com/profile_banners/2674796114/1695928217</v>
      </c>
      <c r="BI484" s="76"/>
      <c r="BJ484" s="76" t="s">
        <v>27595</v>
      </c>
      <c r="BK484" s="76" t="b">
        <v>0</v>
      </c>
      <c r="BL484" s="76"/>
      <c r="BM484" s="76" t="s">
        <v>66</v>
      </c>
      <c r="BN484" s="76" t="s">
        <v>27597</v>
      </c>
      <c r="BO484" s="82" t="str">
        <f>HYPERLINK("https://twitter.com/tatianarevoredo")</f>
        <v>https://twitter.com/tatianarevoredo</v>
      </c>
      <c r="BP484" s="2"/>
    </row>
    <row r="485" spans="1:68" x14ac:dyDescent="0.25">
      <c r="A485" s="62" t="s">
        <v>561</v>
      </c>
      <c r="B485" s="63"/>
      <c r="C485" s="63"/>
      <c r="D485" s="64"/>
      <c r="E485" s="66"/>
      <c r="F485" s="103" t="str">
        <f>HYPERLINK("https://pbs.twimg.com/profile_images/1490726030239219715/NsSY2E9c_normal.jpg")</f>
        <v>https://pbs.twimg.com/profile_images/1490726030239219715/NsSY2E9c_normal.jpg</v>
      </c>
      <c r="G485" s="63"/>
      <c r="H485" s="67"/>
      <c r="I485" s="68"/>
      <c r="J485" s="68"/>
      <c r="K485" s="67" t="s">
        <v>28079</v>
      </c>
      <c r="L485" s="71"/>
      <c r="M485" s="72"/>
      <c r="N485" s="72"/>
      <c r="O485" s="73"/>
      <c r="P485" s="74"/>
      <c r="Q485" s="74"/>
      <c r="R485" s="87"/>
      <c r="S485" s="87"/>
      <c r="T485" s="87"/>
      <c r="U485" s="87"/>
      <c r="V485" s="48"/>
      <c r="W485" s="48"/>
      <c r="X485" s="48"/>
      <c r="Y485" s="48"/>
      <c r="Z485" s="47"/>
      <c r="AA485" s="69">
        <v>485</v>
      </c>
      <c r="AB485" s="69"/>
      <c r="AC485" s="70"/>
      <c r="AD485" s="76" t="s">
        <v>21723</v>
      </c>
      <c r="AE485" s="81" t="s">
        <v>23320</v>
      </c>
      <c r="AF485" s="76">
        <v>435376</v>
      </c>
      <c r="AG485" s="76">
        <v>217</v>
      </c>
      <c r="AH485" s="76">
        <v>148357</v>
      </c>
      <c r="AI485" s="76">
        <v>2293</v>
      </c>
      <c r="AJ485" s="76">
        <v>1131</v>
      </c>
      <c r="AK485" s="76">
        <v>10134</v>
      </c>
      <c r="AL485" s="76" t="b">
        <v>0</v>
      </c>
      <c r="AM485" s="78">
        <v>41149.036550925928</v>
      </c>
      <c r="AN485" s="76"/>
      <c r="AO485" s="76" t="s">
        <v>25142</v>
      </c>
      <c r="AP485" s="82" t="str">
        <f>HYPERLINK("https://t.co/jP5TXoTaSm")</f>
        <v>https://t.co/jP5TXoTaSm</v>
      </c>
      <c r="AQ485" s="82" t="str">
        <f>HYPERLINK("http://www.cbn.com.br")</f>
        <v>http://www.cbn.com.br</v>
      </c>
      <c r="AR485" s="76" t="s">
        <v>26634</v>
      </c>
      <c r="AS485" s="76"/>
      <c r="AT485" s="76"/>
      <c r="AU485" s="76"/>
      <c r="AV485" s="76"/>
      <c r="AW485" s="82" t="str">
        <f>HYPERLINK("https://t.co/jP5TXoTaSm")</f>
        <v>https://t.co/jP5TXoTaSm</v>
      </c>
      <c r="AX485" s="76" t="b">
        <v>0</v>
      </c>
      <c r="AY485" s="76"/>
      <c r="AZ485" s="76"/>
      <c r="BA485" s="76" t="b">
        <v>0</v>
      </c>
      <c r="BB485" s="76" t="b">
        <v>1</v>
      </c>
      <c r="BC485" s="76" t="b">
        <v>0</v>
      </c>
      <c r="BD485" s="76" t="b">
        <v>0</v>
      </c>
      <c r="BE485" s="76" t="b">
        <v>1</v>
      </c>
      <c r="BF485" s="76" t="b">
        <v>0</v>
      </c>
      <c r="BG485" s="76" t="b">
        <v>0</v>
      </c>
      <c r="BH485" s="82" t="str">
        <f>HYPERLINK("https://pbs.twimg.com/profile_banners/785833176/1644251758")</f>
        <v>https://pbs.twimg.com/profile_banners/785833176/1644251758</v>
      </c>
      <c r="BI485" s="76"/>
      <c r="BJ485" s="76" t="s">
        <v>27595</v>
      </c>
      <c r="BK485" s="76" t="b">
        <v>0</v>
      </c>
      <c r="BL485" s="76"/>
      <c r="BM485" s="76" t="s">
        <v>66</v>
      </c>
      <c r="BN485" s="76" t="s">
        <v>27597</v>
      </c>
      <c r="BO485" s="82" t="str">
        <f>HYPERLINK("https://twitter.com/cbnoficial")</f>
        <v>https://twitter.com/cbnoficial</v>
      </c>
      <c r="BP485" s="2"/>
    </row>
    <row r="486" spans="1:68" x14ac:dyDescent="0.25">
      <c r="A486" s="62" t="s">
        <v>1806</v>
      </c>
      <c r="B486" s="63"/>
      <c r="C486" s="63"/>
      <c r="D486" s="64"/>
      <c r="E486" s="66"/>
      <c r="F486" s="103" t="str">
        <f>HYPERLINK("https://pbs.twimg.com/profile_images/1682022330716020737/L0DDI0gk_normal.jpg")</f>
        <v>https://pbs.twimg.com/profile_images/1682022330716020737/L0DDI0gk_normal.jpg</v>
      </c>
      <c r="G486" s="63"/>
      <c r="H486" s="67"/>
      <c r="I486" s="68"/>
      <c r="J486" s="68"/>
      <c r="K486" s="67" t="s">
        <v>28080</v>
      </c>
      <c r="L486" s="71"/>
      <c r="M486" s="72"/>
      <c r="N486" s="72"/>
      <c r="O486" s="73"/>
      <c r="P486" s="74"/>
      <c r="Q486" s="74"/>
      <c r="R486" s="87"/>
      <c r="S486" s="87"/>
      <c r="T486" s="87"/>
      <c r="U486" s="87"/>
      <c r="V486" s="48"/>
      <c r="W486" s="48"/>
      <c r="X486" s="48"/>
      <c r="Y486" s="48"/>
      <c r="Z486" s="47"/>
      <c r="AA486" s="69">
        <v>486</v>
      </c>
      <c r="AB486" s="69"/>
      <c r="AC486" s="70"/>
      <c r="AD486" s="76" t="s">
        <v>21724</v>
      </c>
      <c r="AE486" s="81" t="s">
        <v>23321</v>
      </c>
      <c r="AF486" s="76">
        <v>253245</v>
      </c>
      <c r="AG486" s="76">
        <v>1051</v>
      </c>
      <c r="AH486" s="76">
        <v>45535</v>
      </c>
      <c r="AI486" s="76">
        <v>1497</v>
      </c>
      <c r="AJ486" s="76">
        <v>4</v>
      </c>
      <c r="AK486" s="76">
        <v>31651</v>
      </c>
      <c r="AL486" s="76" t="b">
        <v>0</v>
      </c>
      <c r="AM486" s="78">
        <v>40469.626527777778</v>
      </c>
      <c r="AN486" s="76" t="s">
        <v>14511</v>
      </c>
      <c r="AO486" s="76" t="s">
        <v>25143</v>
      </c>
      <c r="AP486" s="82" t="str">
        <f>HYPERLINK("https://t.co/s2cBvBT2Qg")</f>
        <v>https://t.co/s2cBvBT2Qg</v>
      </c>
      <c r="AQ486" s="82" t="str">
        <f>HYPERLINK("https://oglobo.globo.com/blogs/lauro-jardim/")</f>
        <v>https://oglobo.globo.com/blogs/lauro-jardim/</v>
      </c>
      <c r="AR486" s="76" t="s">
        <v>26635</v>
      </c>
      <c r="AS486" s="76"/>
      <c r="AT486" s="76"/>
      <c r="AU486" s="76"/>
      <c r="AV486" s="76"/>
      <c r="AW486" s="82" t="str">
        <f>HYPERLINK("https://t.co/s2cBvBT2Qg")</f>
        <v>https://t.co/s2cBvBT2Qg</v>
      </c>
      <c r="AX486" s="76" t="b">
        <v>0</v>
      </c>
      <c r="AY486" s="76"/>
      <c r="AZ486" s="76"/>
      <c r="BA486" s="76" t="b">
        <v>0</v>
      </c>
      <c r="BB486" s="76" t="b">
        <v>1</v>
      </c>
      <c r="BC486" s="76" t="b">
        <v>0</v>
      </c>
      <c r="BD486" s="76" t="b">
        <v>0</v>
      </c>
      <c r="BE486" s="76" t="b">
        <v>0</v>
      </c>
      <c r="BF486" s="76" t="b">
        <v>0</v>
      </c>
      <c r="BG486" s="76" t="b">
        <v>0</v>
      </c>
      <c r="BH486" s="82" t="str">
        <f>HYPERLINK("https://pbs.twimg.com/profile_banners/204368952/1444745846")</f>
        <v>https://pbs.twimg.com/profile_banners/204368952/1444745846</v>
      </c>
      <c r="BI486" s="76"/>
      <c r="BJ486" s="76" t="s">
        <v>27595</v>
      </c>
      <c r="BK486" s="76" t="b">
        <v>0</v>
      </c>
      <c r="BL486" s="76"/>
      <c r="BM486" s="76" t="s">
        <v>65</v>
      </c>
      <c r="BN486" s="76" t="s">
        <v>27597</v>
      </c>
      <c r="BO486" s="82" t="str">
        <f>HYPERLINK("https://twitter.com/laurojardim")</f>
        <v>https://twitter.com/laurojardim</v>
      </c>
      <c r="BP486" s="2"/>
    </row>
    <row r="487" spans="1:68" x14ac:dyDescent="0.25">
      <c r="A487" s="62" t="s">
        <v>1807</v>
      </c>
      <c r="B487" s="63"/>
      <c r="C487" s="63"/>
      <c r="D487" s="64"/>
      <c r="E487" s="66"/>
      <c r="F487" s="103" t="str">
        <f>HYPERLINK("https://pbs.twimg.com/profile_images/1166817519711260679/UjyrWpvZ_normal.jpg")</f>
        <v>https://pbs.twimg.com/profile_images/1166817519711260679/UjyrWpvZ_normal.jpg</v>
      </c>
      <c r="G487" s="63"/>
      <c r="H487" s="67"/>
      <c r="I487" s="68"/>
      <c r="J487" s="68"/>
      <c r="K487" s="67" t="s">
        <v>28081</v>
      </c>
      <c r="L487" s="71"/>
      <c r="M487" s="72"/>
      <c r="N487" s="72"/>
      <c r="O487" s="73"/>
      <c r="P487" s="74"/>
      <c r="Q487" s="74"/>
      <c r="R487" s="87"/>
      <c r="S487" s="87"/>
      <c r="T487" s="87"/>
      <c r="U487" s="87"/>
      <c r="V487" s="48"/>
      <c r="W487" s="48"/>
      <c r="X487" s="48"/>
      <c r="Y487" s="48"/>
      <c r="Z487" s="47"/>
      <c r="AA487" s="69">
        <v>487</v>
      </c>
      <c r="AB487" s="69"/>
      <c r="AC487" s="70"/>
      <c r="AD487" s="76" t="s">
        <v>21725</v>
      </c>
      <c r="AE487" s="81" t="s">
        <v>23322</v>
      </c>
      <c r="AF487" s="76">
        <v>563802</v>
      </c>
      <c r="AG487" s="76">
        <v>2178</v>
      </c>
      <c r="AH487" s="76">
        <v>42349</v>
      </c>
      <c r="AI487" s="76">
        <v>2756</v>
      </c>
      <c r="AJ487" s="76">
        <v>2111</v>
      </c>
      <c r="AK487" s="76">
        <v>5709</v>
      </c>
      <c r="AL487" s="76" t="b">
        <v>0</v>
      </c>
      <c r="AM487" s="78">
        <v>39969.66815972222</v>
      </c>
      <c r="AN487" s="76" t="s">
        <v>14382</v>
      </c>
      <c r="AO487" s="76" t="s">
        <v>25144</v>
      </c>
      <c r="AP487" s="82" t="str">
        <f>HYPERLINK("https://t.co/l0HxPLXWq4")</f>
        <v>https://t.co/l0HxPLXWq4</v>
      </c>
      <c r="AQ487" s="82" t="str">
        <f>HYPERLINK("https://cbn.globoradio.globo.com/")</f>
        <v>https://cbn.globoradio.globo.com/</v>
      </c>
      <c r="AR487" s="76" t="s">
        <v>26636</v>
      </c>
      <c r="AS487" s="76"/>
      <c r="AT487" s="76"/>
      <c r="AU487" s="76"/>
      <c r="AV487" s="76">
        <v>1.2942612391917499E+18</v>
      </c>
      <c r="AW487" s="82" t="str">
        <f>HYPERLINK("https://t.co/l0HxPLXWq4")</f>
        <v>https://t.co/l0HxPLXWq4</v>
      </c>
      <c r="AX487" s="76" t="b">
        <v>0</v>
      </c>
      <c r="AY487" s="76"/>
      <c r="AZ487" s="76"/>
      <c r="BA487" s="76" t="b">
        <v>0</v>
      </c>
      <c r="BB487" s="76" t="b">
        <v>1</v>
      </c>
      <c r="BC487" s="76" t="b">
        <v>0</v>
      </c>
      <c r="BD487" s="76" t="b">
        <v>0</v>
      </c>
      <c r="BE487" s="76" t="b">
        <v>0</v>
      </c>
      <c r="BF487" s="76" t="b">
        <v>0</v>
      </c>
      <c r="BG487" s="76" t="b">
        <v>0</v>
      </c>
      <c r="BH487" s="82" t="str">
        <f>HYPERLINK("https://pbs.twimg.com/profile_banners/44924110/1664448828")</f>
        <v>https://pbs.twimg.com/profile_banners/44924110/1664448828</v>
      </c>
      <c r="BI487" s="76"/>
      <c r="BJ487" s="76" t="s">
        <v>27595</v>
      </c>
      <c r="BK487" s="76" t="b">
        <v>0</v>
      </c>
      <c r="BL487" s="76"/>
      <c r="BM487" s="76" t="s">
        <v>65</v>
      </c>
      <c r="BN487" s="76" t="s">
        <v>27597</v>
      </c>
      <c r="BO487" s="82" t="str">
        <f>HYPERLINK("https://twitter.com/jornaldacbn")</f>
        <v>https://twitter.com/jornaldacbn</v>
      </c>
      <c r="BP487" s="2"/>
    </row>
    <row r="488" spans="1:68" x14ac:dyDescent="0.25">
      <c r="A488" s="62" t="s">
        <v>562</v>
      </c>
      <c r="B488" s="63"/>
      <c r="C488" s="63"/>
      <c r="D488" s="64"/>
      <c r="E488" s="66"/>
      <c r="F488" s="103" t="str">
        <f>HYPERLINK("https://pbs.twimg.com/profile_images/1674440544028688385/FyiqOt7f_normal.jpg")</f>
        <v>https://pbs.twimg.com/profile_images/1674440544028688385/FyiqOt7f_normal.jpg</v>
      </c>
      <c r="G488" s="63"/>
      <c r="H488" s="67"/>
      <c r="I488" s="68"/>
      <c r="J488" s="68"/>
      <c r="K488" s="67" t="s">
        <v>28082</v>
      </c>
      <c r="L488" s="71"/>
      <c r="M488" s="72"/>
      <c r="N488" s="72"/>
      <c r="O488" s="73"/>
      <c r="P488" s="74"/>
      <c r="Q488" s="74"/>
      <c r="R488" s="87"/>
      <c r="S488" s="87"/>
      <c r="T488" s="87"/>
      <c r="U488" s="87"/>
      <c r="V488" s="48"/>
      <c r="W488" s="48"/>
      <c r="X488" s="48"/>
      <c r="Y488" s="48"/>
      <c r="Z488" s="47"/>
      <c r="AA488" s="69">
        <v>488</v>
      </c>
      <c r="AB488" s="69"/>
      <c r="AC488" s="70"/>
      <c r="AD488" s="76" t="s">
        <v>21726</v>
      </c>
      <c r="AE488" s="81" t="s">
        <v>23323</v>
      </c>
      <c r="AF488" s="76">
        <v>512051</v>
      </c>
      <c r="AG488" s="76">
        <v>143</v>
      </c>
      <c r="AH488" s="76">
        <v>654873</v>
      </c>
      <c r="AI488" s="76">
        <v>994</v>
      </c>
      <c r="AJ488" s="76">
        <v>11124</v>
      </c>
      <c r="AK488" s="76">
        <v>32586</v>
      </c>
      <c r="AL488" s="76" t="b">
        <v>0</v>
      </c>
      <c r="AM488" s="78">
        <v>39785.925486111111</v>
      </c>
      <c r="AN488" s="76" t="s">
        <v>14479</v>
      </c>
      <c r="AO488" s="76" t="s">
        <v>25145</v>
      </c>
      <c r="AP488" s="82" t="str">
        <f>HYPERLINK("https://t.co/ZskqtSWzAO")</f>
        <v>https://t.co/ZskqtSWzAO</v>
      </c>
      <c r="AQ488" s="82" t="str">
        <f>HYPERLINK("http://www.redetv.uol.com.br")</f>
        <v>http://www.redetv.uol.com.br</v>
      </c>
      <c r="AR488" s="76" t="s">
        <v>26637</v>
      </c>
      <c r="AS488" s="76"/>
      <c r="AT488" s="76"/>
      <c r="AU488" s="76"/>
      <c r="AV488" s="76">
        <v>1.7075086322024399E+18</v>
      </c>
      <c r="AW488" s="82" t="str">
        <f>HYPERLINK("https://t.co/ZskqtSWzAO")</f>
        <v>https://t.co/ZskqtSWzAO</v>
      </c>
      <c r="AX488" s="76" t="b">
        <v>0</v>
      </c>
      <c r="AY488" s="76"/>
      <c r="AZ488" s="76"/>
      <c r="BA488" s="76" t="b">
        <v>0</v>
      </c>
      <c r="BB488" s="76" t="b">
        <v>1</v>
      </c>
      <c r="BC488" s="76" t="b">
        <v>0</v>
      </c>
      <c r="BD488" s="76" t="b">
        <v>0</v>
      </c>
      <c r="BE488" s="76" t="b">
        <v>1</v>
      </c>
      <c r="BF488" s="76" t="b">
        <v>0</v>
      </c>
      <c r="BG488" s="76" t="b">
        <v>0</v>
      </c>
      <c r="BH488" s="82" t="str">
        <f>HYPERLINK("https://pbs.twimg.com/profile_banners/17850880/1667914141")</f>
        <v>https://pbs.twimg.com/profile_banners/17850880/1667914141</v>
      </c>
      <c r="BI488" s="76"/>
      <c r="BJ488" s="76" t="s">
        <v>27595</v>
      </c>
      <c r="BK488" s="76" t="b">
        <v>0</v>
      </c>
      <c r="BL488" s="76"/>
      <c r="BM488" s="76" t="s">
        <v>66</v>
      </c>
      <c r="BN488" s="76" t="s">
        <v>27597</v>
      </c>
      <c r="BO488" s="82" t="str">
        <f>HYPERLINK("https://twitter.com/redetv")</f>
        <v>https://twitter.com/redetv</v>
      </c>
      <c r="BP488" s="2"/>
    </row>
    <row r="489" spans="1:68" x14ac:dyDescent="0.25">
      <c r="A489" s="62" t="s">
        <v>912</v>
      </c>
      <c r="B489" s="63"/>
      <c r="C489" s="63"/>
      <c r="D489" s="64"/>
      <c r="E489" s="66"/>
      <c r="F489" s="103" t="str">
        <f>HYPERLINK("https://pbs.twimg.com/profile_images/1544047959410606080/0sJKn-Iz_normal.jpg")</f>
        <v>https://pbs.twimg.com/profile_images/1544047959410606080/0sJKn-Iz_normal.jpg</v>
      </c>
      <c r="G489" s="63"/>
      <c r="H489" s="67"/>
      <c r="I489" s="68"/>
      <c r="J489" s="68"/>
      <c r="K489" s="67" t="s">
        <v>28083</v>
      </c>
      <c r="L489" s="71"/>
      <c r="M489" s="72"/>
      <c r="N489" s="72"/>
      <c r="O489" s="73"/>
      <c r="P489" s="74"/>
      <c r="Q489" s="74"/>
      <c r="R489" s="87"/>
      <c r="S489" s="87"/>
      <c r="T489" s="87"/>
      <c r="U489" s="87"/>
      <c r="V489" s="48"/>
      <c r="W489" s="48"/>
      <c r="X489" s="48"/>
      <c r="Y489" s="48"/>
      <c r="Z489" s="47"/>
      <c r="AA489" s="69">
        <v>489</v>
      </c>
      <c r="AB489" s="69"/>
      <c r="AC489" s="70"/>
      <c r="AD489" s="76" t="s">
        <v>21727</v>
      </c>
      <c r="AE489" s="81" t="s">
        <v>20827</v>
      </c>
      <c r="AF489" s="76">
        <v>3025</v>
      </c>
      <c r="AG489" s="76">
        <v>5</v>
      </c>
      <c r="AH489" s="76">
        <v>15806</v>
      </c>
      <c r="AI489" s="76">
        <v>16</v>
      </c>
      <c r="AJ489" s="76">
        <v>720</v>
      </c>
      <c r="AK489" s="76">
        <v>42</v>
      </c>
      <c r="AL489" s="76" t="b">
        <v>0</v>
      </c>
      <c r="AM489" s="78">
        <v>44732.675138888888</v>
      </c>
      <c r="AN489" s="76"/>
      <c r="AO489" s="76" t="s">
        <v>25146</v>
      </c>
      <c r="AP489" s="82" t="str">
        <f>HYPERLINK("https://t.co/oXUvs8eaCJ")</f>
        <v>https://t.co/oXUvs8eaCJ</v>
      </c>
      <c r="AQ489" s="82" t="str">
        <f>HYPERLINK("https://www.redetv.uol.com.br/jornalismo")</f>
        <v>https://www.redetv.uol.com.br/jornalismo</v>
      </c>
      <c r="AR489" s="76" t="s">
        <v>26638</v>
      </c>
      <c r="AS489" s="76"/>
      <c r="AT489" s="76"/>
      <c r="AU489" s="76"/>
      <c r="AV489" s="76"/>
      <c r="AW489" s="82" t="str">
        <f>HYPERLINK("https://t.co/oXUvs8eaCJ")</f>
        <v>https://t.co/oXUvs8eaCJ</v>
      </c>
      <c r="AX489" s="76" t="b">
        <v>0</v>
      </c>
      <c r="AY489" s="76"/>
      <c r="AZ489" s="76"/>
      <c r="BA489" s="76" t="b">
        <v>0</v>
      </c>
      <c r="BB489" s="76" t="b">
        <v>1</v>
      </c>
      <c r="BC489" s="76" t="b">
        <v>1</v>
      </c>
      <c r="BD489" s="76" t="b">
        <v>0</v>
      </c>
      <c r="BE489" s="76" t="b">
        <v>0</v>
      </c>
      <c r="BF489" s="76" t="b">
        <v>0</v>
      </c>
      <c r="BG489" s="76" t="b">
        <v>0</v>
      </c>
      <c r="BH489" s="82" t="str">
        <f>HYPERLINK("https://pbs.twimg.com/profile_banners/1538917583218409475/1656009703")</f>
        <v>https://pbs.twimg.com/profile_banners/1538917583218409475/1656009703</v>
      </c>
      <c r="BI489" s="76"/>
      <c r="BJ489" s="76" t="s">
        <v>27595</v>
      </c>
      <c r="BK489" s="76" t="b">
        <v>0</v>
      </c>
      <c r="BL489" s="76"/>
      <c r="BM489" s="76" t="s">
        <v>66</v>
      </c>
      <c r="BN489" s="76" t="s">
        <v>27597</v>
      </c>
      <c r="BO489" s="82" t="str">
        <f>HYPERLINK("https://twitter.com/noticiasredetv")</f>
        <v>https://twitter.com/noticiasredetv</v>
      </c>
      <c r="BP489" s="2"/>
    </row>
    <row r="490" spans="1:68" x14ac:dyDescent="0.25">
      <c r="A490" s="62" t="s">
        <v>563</v>
      </c>
      <c r="B490" s="63"/>
      <c r="C490" s="63"/>
      <c r="D490" s="64"/>
      <c r="E490" s="66"/>
      <c r="F490" s="103" t="str">
        <f>HYPERLINK("https://pbs.twimg.com/profile_images/1452757245675118593/__7461BF_normal.jpg")</f>
        <v>https://pbs.twimg.com/profile_images/1452757245675118593/__7461BF_normal.jpg</v>
      </c>
      <c r="G490" s="63"/>
      <c r="H490" s="67"/>
      <c r="I490" s="68"/>
      <c r="J490" s="68"/>
      <c r="K490" s="67" t="s">
        <v>28084</v>
      </c>
      <c r="L490" s="71"/>
      <c r="M490" s="72"/>
      <c r="N490" s="72"/>
      <c r="O490" s="73"/>
      <c r="P490" s="74"/>
      <c r="Q490" s="74"/>
      <c r="R490" s="87"/>
      <c r="S490" s="87"/>
      <c r="T490" s="87"/>
      <c r="U490" s="87"/>
      <c r="V490" s="48"/>
      <c r="W490" s="48"/>
      <c r="X490" s="48"/>
      <c r="Y490" s="48"/>
      <c r="Z490" s="47"/>
      <c r="AA490" s="69">
        <v>490</v>
      </c>
      <c r="AB490" s="69"/>
      <c r="AC490" s="70"/>
      <c r="AD490" s="76" t="s">
        <v>21728</v>
      </c>
      <c r="AE490" s="81" t="s">
        <v>20660</v>
      </c>
      <c r="AF490" s="76">
        <v>1888</v>
      </c>
      <c r="AG490" s="76">
        <v>24</v>
      </c>
      <c r="AH490" s="76">
        <v>5430</v>
      </c>
      <c r="AI490" s="76">
        <v>5</v>
      </c>
      <c r="AJ490" s="76">
        <v>9</v>
      </c>
      <c r="AK490" s="76">
        <v>347</v>
      </c>
      <c r="AL490" s="76" t="b">
        <v>0</v>
      </c>
      <c r="AM490" s="78">
        <v>44165.822048611109</v>
      </c>
      <c r="AN490" s="76"/>
      <c r="AO490" s="76" t="s">
        <v>25147</v>
      </c>
      <c r="AP490" s="82" t="str">
        <f>HYPERLINK("https://t.co/gykkqqNfWg")</f>
        <v>https://t.co/gykkqqNfWg</v>
      </c>
      <c r="AQ490" s="82" t="str">
        <f>HYPERLINK("http://linktr.ee/estoaresearch")</f>
        <v>http://linktr.ee/estoaresearch</v>
      </c>
      <c r="AR490" s="76" t="s">
        <v>26639</v>
      </c>
      <c r="AS490" s="76"/>
      <c r="AT490" s="76"/>
      <c r="AU490" s="76"/>
      <c r="AV490" s="76"/>
      <c r="AW490" s="82" t="str">
        <f>HYPERLINK("https://t.co/gykkqqNfWg")</f>
        <v>https://t.co/gykkqqNfWg</v>
      </c>
      <c r="AX490" s="76" t="b">
        <v>0</v>
      </c>
      <c r="AY490" s="76"/>
      <c r="AZ490" s="76"/>
      <c r="BA490" s="76" t="b">
        <v>0</v>
      </c>
      <c r="BB490" s="76" t="b">
        <v>1</v>
      </c>
      <c r="BC490" s="76" t="b">
        <v>1</v>
      </c>
      <c r="BD490" s="76" t="b">
        <v>0</v>
      </c>
      <c r="BE490" s="76" t="b">
        <v>1</v>
      </c>
      <c r="BF490" s="76" t="b">
        <v>0</v>
      </c>
      <c r="BG490" s="76" t="b">
        <v>0</v>
      </c>
      <c r="BH490" s="82" t="str">
        <f>HYPERLINK("https://pbs.twimg.com/profile_banners/1333496862435893250/1635199294")</f>
        <v>https://pbs.twimg.com/profile_banners/1333496862435893250/1635199294</v>
      </c>
      <c r="BI490" s="76"/>
      <c r="BJ490" s="76" t="s">
        <v>27595</v>
      </c>
      <c r="BK490" s="76" t="b">
        <v>0</v>
      </c>
      <c r="BL490" s="76"/>
      <c r="BM490" s="76" t="s">
        <v>66</v>
      </c>
      <c r="BN490" s="76" t="s">
        <v>27597</v>
      </c>
      <c r="BO490" s="82" t="str">
        <f>HYPERLINK("https://twitter.com/estoaresearch")</f>
        <v>https://twitter.com/estoaresearch</v>
      </c>
      <c r="BP490" s="2"/>
    </row>
    <row r="491" spans="1:68" x14ac:dyDescent="0.25">
      <c r="A491" s="62" t="s">
        <v>564</v>
      </c>
      <c r="B491" s="63"/>
      <c r="C491" s="63"/>
      <c r="D491" s="64"/>
      <c r="E491" s="66"/>
      <c r="F491" s="103" t="str">
        <f>HYPERLINK("https://pbs.twimg.com/profile_images/1621734737218871297/otoFfeYu_normal.jpg")</f>
        <v>https://pbs.twimg.com/profile_images/1621734737218871297/otoFfeYu_normal.jpg</v>
      </c>
      <c r="G491" s="63"/>
      <c r="H491" s="67"/>
      <c r="I491" s="68"/>
      <c r="J491" s="68"/>
      <c r="K491" s="67" t="s">
        <v>28085</v>
      </c>
      <c r="L491" s="71"/>
      <c r="M491" s="72"/>
      <c r="N491" s="72"/>
      <c r="O491" s="73"/>
      <c r="P491" s="74"/>
      <c r="Q491" s="74"/>
      <c r="R491" s="87"/>
      <c r="S491" s="87"/>
      <c r="T491" s="87"/>
      <c r="U491" s="87"/>
      <c r="V491" s="48"/>
      <c r="W491" s="48"/>
      <c r="X491" s="48"/>
      <c r="Y491" s="48"/>
      <c r="Z491" s="47"/>
      <c r="AA491" s="69">
        <v>491</v>
      </c>
      <c r="AB491" s="69"/>
      <c r="AC491" s="70"/>
      <c r="AD491" s="76" t="s">
        <v>21729</v>
      </c>
      <c r="AE491" s="81" t="s">
        <v>23324</v>
      </c>
      <c r="AF491" s="76">
        <v>7322</v>
      </c>
      <c r="AG491" s="76">
        <v>7615</v>
      </c>
      <c r="AH491" s="76">
        <v>55890</v>
      </c>
      <c r="AI491" s="76">
        <v>5</v>
      </c>
      <c r="AJ491" s="76">
        <v>42891</v>
      </c>
      <c r="AK491" s="76">
        <v>23911</v>
      </c>
      <c r="AL491" s="76" t="b">
        <v>0</v>
      </c>
      <c r="AM491" s="78">
        <v>40119.641053240739</v>
      </c>
      <c r="AN491" s="76" t="s">
        <v>24249</v>
      </c>
      <c r="AO491" s="76" t="s">
        <v>25148</v>
      </c>
      <c r="AP491" s="76"/>
      <c r="AQ491" s="76"/>
      <c r="AR491" s="76"/>
      <c r="AS491" s="76"/>
      <c r="AT491" s="76"/>
      <c r="AU491" s="76"/>
      <c r="AV491" s="76">
        <v>1.68934405519117E+18</v>
      </c>
      <c r="AW491" s="76"/>
      <c r="AX491" s="76" t="b">
        <v>0</v>
      </c>
      <c r="AY491" s="76"/>
      <c r="AZ491" s="76"/>
      <c r="BA491" s="76" t="b">
        <v>0</v>
      </c>
      <c r="BB491" s="76" t="b">
        <v>1</v>
      </c>
      <c r="BC491" s="76" t="b">
        <v>0</v>
      </c>
      <c r="BD491" s="76" t="b">
        <v>0</v>
      </c>
      <c r="BE491" s="76" t="b">
        <v>0</v>
      </c>
      <c r="BF491" s="76" t="b">
        <v>0</v>
      </c>
      <c r="BG491" s="76" t="b">
        <v>0</v>
      </c>
      <c r="BH491" s="82" t="str">
        <f>HYPERLINK("https://pbs.twimg.com/profile_banners/86962550/1675486771")</f>
        <v>https://pbs.twimg.com/profile_banners/86962550/1675486771</v>
      </c>
      <c r="BI491" s="76"/>
      <c r="BJ491" s="76" t="s">
        <v>27595</v>
      </c>
      <c r="BK491" s="76" t="b">
        <v>0</v>
      </c>
      <c r="BL491" s="76"/>
      <c r="BM491" s="76" t="s">
        <v>66</v>
      </c>
      <c r="BN491" s="76" t="s">
        <v>27597</v>
      </c>
      <c r="BO491" s="82" t="str">
        <f>HYPERLINK("https://twitter.com/arrcanjjo")</f>
        <v>https://twitter.com/arrcanjjo</v>
      </c>
      <c r="BP491" s="2"/>
    </row>
    <row r="492" spans="1:68" x14ac:dyDescent="0.25">
      <c r="A492" s="62" t="s">
        <v>565</v>
      </c>
      <c r="B492" s="63"/>
      <c r="C492" s="63"/>
      <c r="D492" s="64"/>
      <c r="E492" s="66"/>
      <c r="F492" s="103" t="str">
        <f>HYPERLINK("https://pbs.twimg.com/profile_images/1587536748292280321/o7UDTLUU_normal.jpg")</f>
        <v>https://pbs.twimg.com/profile_images/1587536748292280321/o7UDTLUU_normal.jpg</v>
      </c>
      <c r="G492" s="63"/>
      <c r="H492" s="67"/>
      <c r="I492" s="68"/>
      <c r="J492" s="68"/>
      <c r="K492" s="67" t="s">
        <v>28086</v>
      </c>
      <c r="L492" s="71"/>
      <c r="M492" s="72"/>
      <c r="N492" s="72"/>
      <c r="O492" s="73"/>
      <c r="P492" s="74"/>
      <c r="Q492" s="74"/>
      <c r="R492" s="87"/>
      <c r="S492" s="87"/>
      <c r="T492" s="87"/>
      <c r="U492" s="87"/>
      <c r="V492" s="48"/>
      <c r="W492" s="48"/>
      <c r="X492" s="48"/>
      <c r="Y492" s="48"/>
      <c r="Z492" s="47"/>
      <c r="AA492" s="69">
        <v>492</v>
      </c>
      <c r="AB492" s="69"/>
      <c r="AC492" s="70"/>
      <c r="AD492" s="76" t="s">
        <v>21730</v>
      </c>
      <c r="AE492" s="81" t="s">
        <v>23325</v>
      </c>
      <c r="AF492" s="76">
        <v>24</v>
      </c>
      <c r="AG492" s="76">
        <v>92</v>
      </c>
      <c r="AH492" s="76">
        <v>207</v>
      </c>
      <c r="AI492" s="76">
        <v>0</v>
      </c>
      <c r="AJ492" s="76">
        <v>8</v>
      </c>
      <c r="AK492" s="76">
        <v>29</v>
      </c>
      <c r="AL492" s="76" t="b">
        <v>0</v>
      </c>
      <c r="AM492" s="78">
        <v>40131.838252314818</v>
      </c>
      <c r="AN492" s="76" t="s">
        <v>24250</v>
      </c>
      <c r="AO492" s="76" t="s">
        <v>25149</v>
      </c>
      <c r="AP492" s="82" t="str">
        <f>HYPERLINK("https://t.co/qpU9IpXEXk")</f>
        <v>https://t.co/qpU9IpXEXk</v>
      </c>
      <c r="AQ492" s="82" t="str">
        <f>HYPERLINK("https://tradenews.com.br/rodrigo-spider/")</f>
        <v>https://tradenews.com.br/rodrigo-spider/</v>
      </c>
      <c r="AR492" s="76" t="s">
        <v>26640</v>
      </c>
      <c r="AS492" s="76"/>
      <c r="AT492" s="76"/>
      <c r="AU492" s="76"/>
      <c r="AV492" s="76">
        <v>1.70274661877091E+18</v>
      </c>
      <c r="AW492" s="82" t="str">
        <f>HYPERLINK("https://t.co/qpU9IpXEXk")</f>
        <v>https://t.co/qpU9IpXEXk</v>
      </c>
      <c r="AX492" s="76" t="b">
        <v>0</v>
      </c>
      <c r="AY492" s="76"/>
      <c r="AZ492" s="76"/>
      <c r="BA492" s="76" t="b">
        <v>0</v>
      </c>
      <c r="BB492" s="76" t="b">
        <v>0</v>
      </c>
      <c r="BC492" s="76" t="b">
        <v>1</v>
      </c>
      <c r="BD492" s="76" t="b">
        <v>0</v>
      </c>
      <c r="BE492" s="76" t="b">
        <v>0</v>
      </c>
      <c r="BF492" s="76" t="b">
        <v>0</v>
      </c>
      <c r="BG492" s="76" t="b">
        <v>0</v>
      </c>
      <c r="BH492" s="82" t="str">
        <f>HYPERLINK("https://pbs.twimg.com/profile_banners/90010417/1689891422")</f>
        <v>https://pbs.twimg.com/profile_banners/90010417/1689891422</v>
      </c>
      <c r="BI492" s="76"/>
      <c r="BJ492" s="76" t="s">
        <v>27595</v>
      </c>
      <c r="BK492" s="76" t="b">
        <v>0</v>
      </c>
      <c r="BL492" s="76"/>
      <c r="BM492" s="76" t="s">
        <v>66</v>
      </c>
      <c r="BN492" s="76" t="s">
        <v>27597</v>
      </c>
      <c r="BO492" s="82" t="str">
        <f>HYPERLINK("https://twitter.com/rodrigo__correa")</f>
        <v>https://twitter.com/rodrigo__correa</v>
      </c>
      <c r="BP492" s="2"/>
    </row>
    <row r="493" spans="1:68" x14ac:dyDescent="0.25">
      <c r="A493" s="62" t="s">
        <v>1808</v>
      </c>
      <c r="B493" s="63"/>
      <c r="C493" s="63"/>
      <c r="D493" s="64"/>
      <c r="E493" s="66"/>
      <c r="F493" s="103" t="str">
        <f>HYPERLINK("https://pbs.twimg.com/profile_images/1622616993416286209/-XHvA0N7_normal.jpg")</f>
        <v>https://pbs.twimg.com/profile_images/1622616993416286209/-XHvA0N7_normal.jpg</v>
      </c>
      <c r="G493" s="63"/>
      <c r="H493" s="67"/>
      <c r="I493" s="68"/>
      <c r="J493" s="68"/>
      <c r="K493" s="67" t="s">
        <v>28087</v>
      </c>
      <c r="L493" s="71"/>
      <c r="M493" s="72"/>
      <c r="N493" s="72"/>
      <c r="O493" s="73"/>
      <c r="P493" s="74"/>
      <c r="Q493" s="74"/>
      <c r="R493" s="87"/>
      <c r="S493" s="87"/>
      <c r="T493" s="87"/>
      <c r="U493" s="87"/>
      <c r="V493" s="48"/>
      <c r="W493" s="48"/>
      <c r="X493" s="48"/>
      <c r="Y493" s="48"/>
      <c r="Z493" s="47"/>
      <c r="AA493" s="69">
        <v>493</v>
      </c>
      <c r="AB493" s="69"/>
      <c r="AC493" s="70"/>
      <c r="AD493" s="76" t="s">
        <v>21731</v>
      </c>
      <c r="AE493" s="81" t="s">
        <v>23326</v>
      </c>
      <c r="AF493" s="76">
        <v>773</v>
      </c>
      <c r="AG493" s="76">
        <v>28</v>
      </c>
      <c r="AH493" s="76">
        <v>2263</v>
      </c>
      <c r="AI493" s="76">
        <v>15</v>
      </c>
      <c r="AJ493" s="76">
        <v>64</v>
      </c>
      <c r="AK493" s="76">
        <v>434</v>
      </c>
      <c r="AL493" s="76" t="b">
        <v>0</v>
      </c>
      <c r="AM493" s="78">
        <v>43178.583252314813</v>
      </c>
      <c r="AN493" s="76"/>
      <c r="AO493" s="76" t="s">
        <v>25150</v>
      </c>
      <c r="AP493" s="82" t="str">
        <f>HYPERLINK("https://t.co/MzLpPKIGD5")</f>
        <v>https://t.co/MzLpPKIGD5</v>
      </c>
      <c r="AQ493" s="82" t="str">
        <f>HYPERLINK("https://somosnomos.com.br/")</f>
        <v>https://somosnomos.com.br/</v>
      </c>
      <c r="AR493" s="76" t="s">
        <v>26641</v>
      </c>
      <c r="AS493" s="76"/>
      <c r="AT493" s="76"/>
      <c r="AU493" s="76"/>
      <c r="AV493" s="76">
        <v>1.6226162214587599E+18</v>
      </c>
      <c r="AW493" s="82" t="str">
        <f>HYPERLINK("https://t.co/MzLpPKIGD5")</f>
        <v>https://t.co/MzLpPKIGD5</v>
      </c>
      <c r="AX493" s="76" t="b">
        <v>0</v>
      </c>
      <c r="AY493" s="76"/>
      <c r="AZ493" s="76"/>
      <c r="BA493" s="76" t="b">
        <v>0</v>
      </c>
      <c r="BB493" s="76" t="b">
        <v>1</v>
      </c>
      <c r="BC493" s="76" t="b">
        <v>1</v>
      </c>
      <c r="BD493" s="76" t="b">
        <v>0</v>
      </c>
      <c r="BE493" s="76" t="b">
        <v>0</v>
      </c>
      <c r="BF493" s="76" t="b">
        <v>0</v>
      </c>
      <c r="BG493" s="76" t="b">
        <v>0</v>
      </c>
      <c r="BH493" s="82" t="str">
        <f>HYPERLINK("https://pbs.twimg.com/profile_banners/975733599147315201/1675697134")</f>
        <v>https://pbs.twimg.com/profile_banners/975733599147315201/1675697134</v>
      </c>
      <c r="BI493" s="76"/>
      <c r="BJ493" s="76" t="s">
        <v>27595</v>
      </c>
      <c r="BK493" s="76" t="b">
        <v>0</v>
      </c>
      <c r="BL493" s="76"/>
      <c r="BM493" s="76" t="s">
        <v>65</v>
      </c>
      <c r="BN493" s="76" t="s">
        <v>27597</v>
      </c>
      <c r="BO493" s="82" t="str">
        <f>HYPERLINK("https://twitter.com/somosnomos")</f>
        <v>https://twitter.com/somosnomos</v>
      </c>
      <c r="BP493" s="2"/>
    </row>
    <row r="494" spans="1:68" x14ac:dyDescent="0.25">
      <c r="A494" s="62" t="s">
        <v>566</v>
      </c>
      <c r="B494" s="63"/>
      <c r="C494" s="63"/>
      <c r="D494" s="64"/>
      <c r="E494" s="66"/>
      <c r="F494" s="103" t="str">
        <f>HYPERLINK("https://pbs.twimg.com/profile_images/1587151048497659907/OVEWHA5T_normal.jpg")</f>
        <v>https://pbs.twimg.com/profile_images/1587151048497659907/OVEWHA5T_normal.jpg</v>
      </c>
      <c r="G494" s="63"/>
      <c r="H494" s="67"/>
      <c r="I494" s="68"/>
      <c r="J494" s="68"/>
      <c r="K494" s="67" t="s">
        <v>28088</v>
      </c>
      <c r="L494" s="71"/>
      <c r="M494" s="72"/>
      <c r="N494" s="72"/>
      <c r="O494" s="73"/>
      <c r="P494" s="74"/>
      <c r="Q494" s="74"/>
      <c r="R494" s="87"/>
      <c r="S494" s="87"/>
      <c r="T494" s="87"/>
      <c r="U494" s="87"/>
      <c r="V494" s="48"/>
      <c r="W494" s="48"/>
      <c r="X494" s="48"/>
      <c r="Y494" s="48"/>
      <c r="Z494" s="47"/>
      <c r="AA494" s="69">
        <v>494</v>
      </c>
      <c r="AB494" s="69"/>
      <c r="AC494" s="70"/>
      <c r="AD494" s="76" t="s">
        <v>21732</v>
      </c>
      <c r="AE494" s="81" t="s">
        <v>20661</v>
      </c>
      <c r="AF494" s="76">
        <v>3323</v>
      </c>
      <c r="AG494" s="76">
        <v>4962</v>
      </c>
      <c r="AH494" s="76">
        <v>7190</v>
      </c>
      <c r="AI494" s="76">
        <v>14</v>
      </c>
      <c r="AJ494" s="76">
        <v>33067</v>
      </c>
      <c r="AK494" s="76">
        <v>315</v>
      </c>
      <c r="AL494" s="76" t="b">
        <v>0</v>
      </c>
      <c r="AM494" s="78">
        <v>43431.681122685186</v>
      </c>
      <c r="AN494" s="76" t="s">
        <v>14432</v>
      </c>
      <c r="AO494" s="76" t="s">
        <v>25151</v>
      </c>
      <c r="AP494" s="82" t="str">
        <f>HYPERLINK("https://t.co/wonBZrPYmT")</f>
        <v>https://t.co/wonBZrPYmT</v>
      </c>
      <c r="AQ494" s="82" t="str">
        <f>HYPERLINK("http://sintomazul.blogspot.com.br")</f>
        <v>http://sintomazul.blogspot.com.br</v>
      </c>
      <c r="AR494" s="76" t="s">
        <v>26642</v>
      </c>
      <c r="AS494" s="76"/>
      <c r="AT494" s="76"/>
      <c r="AU494" s="76"/>
      <c r="AV494" s="76"/>
      <c r="AW494" s="82" t="str">
        <f>HYPERLINK("https://t.co/wonBZrPYmT")</f>
        <v>https://t.co/wonBZrPYmT</v>
      </c>
      <c r="AX494" s="76" t="b">
        <v>0</v>
      </c>
      <c r="AY494" s="76"/>
      <c r="AZ494" s="76"/>
      <c r="BA494" s="76" t="b">
        <v>0</v>
      </c>
      <c r="BB494" s="76" t="b">
        <v>1</v>
      </c>
      <c r="BC494" s="76" t="b">
        <v>1</v>
      </c>
      <c r="BD494" s="76" t="b">
        <v>0</v>
      </c>
      <c r="BE494" s="76" t="b">
        <v>0</v>
      </c>
      <c r="BF494" s="76" t="b">
        <v>0</v>
      </c>
      <c r="BG494" s="76" t="b">
        <v>0</v>
      </c>
      <c r="BH494" s="82" t="str">
        <f>HYPERLINK("https://pbs.twimg.com/profile_banners/1067453198653431808/1590980117")</f>
        <v>https://pbs.twimg.com/profile_banners/1067453198653431808/1590980117</v>
      </c>
      <c r="BI494" s="76"/>
      <c r="BJ494" s="76" t="s">
        <v>27595</v>
      </c>
      <c r="BK494" s="76" t="b">
        <v>0</v>
      </c>
      <c r="BL494" s="76"/>
      <c r="BM494" s="76" t="s">
        <v>66</v>
      </c>
      <c r="BN494" s="76" t="s">
        <v>27597</v>
      </c>
      <c r="BO494" s="82" t="str">
        <f>HYPERLINK("https://twitter.com/reginaldoprofe")</f>
        <v>https://twitter.com/reginaldoprofe</v>
      </c>
      <c r="BP494" s="2"/>
    </row>
    <row r="495" spans="1:68" x14ac:dyDescent="0.25">
      <c r="A495" s="62" t="s">
        <v>567</v>
      </c>
      <c r="B495" s="63"/>
      <c r="C495" s="63"/>
      <c r="D495" s="64"/>
      <c r="E495" s="66"/>
      <c r="F495" s="103" t="str">
        <f>HYPERLINK("https://abs.twimg.com/sticky/default_profile_images/default_profile_normal.png")</f>
        <v>https://abs.twimg.com/sticky/default_profile_images/default_profile_normal.png</v>
      </c>
      <c r="G495" s="63"/>
      <c r="H495" s="67"/>
      <c r="I495" s="68"/>
      <c r="J495" s="68"/>
      <c r="K495" s="67" t="s">
        <v>28089</v>
      </c>
      <c r="L495" s="71"/>
      <c r="M495" s="72"/>
      <c r="N495" s="72"/>
      <c r="O495" s="73"/>
      <c r="P495" s="74"/>
      <c r="Q495" s="74"/>
      <c r="R495" s="87"/>
      <c r="S495" s="87"/>
      <c r="T495" s="87"/>
      <c r="U495" s="87"/>
      <c r="V495" s="48"/>
      <c r="W495" s="48"/>
      <c r="X495" s="48"/>
      <c r="Y495" s="48"/>
      <c r="Z495" s="47"/>
      <c r="AA495" s="69">
        <v>495</v>
      </c>
      <c r="AB495" s="69"/>
      <c r="AC495" s="70"/>
      <c r="AD495" s="76" t="s">
        <v>21733</v>
      </c>
      <c r="AE495" s="81" t="s">
        <v>23327</v>
      </c>
      <c r="AF495" s="76">
        <v>144</v>
      </c>
      <c r="AG495" s="76">
        <v>61</v>
      </c>
      <c r="AH495" s="76">
        <v>12059</v>
      </c>
      <c r="AI495" s="76">
        <v>0</v>
      </c>
      <c r="AJ495" s="76">
        <v>34697</v>
      </c>
      <c r="AK495" s="76">
        <v>333</v>
      </c>
      <c r="AL495" s="76" t="b">
        <v>0</v>
      </c>
      <c r="AM495" s="78">
        <v>40344.794189814813</v>
      </c>
      <c r="AN495" s="76"/>
      <c r="AO495" s="76"/>
      <c r="AP495" s="76"/>
      <c r="AQ495" s="76"/>
      <c r="AR495" s="76"/>
      <c r="AS495" s="76"/>
      <c r="AT495" s="76"/>
      <c r="AU495" s="76"/>
      <c r="AV495" s="76"/>
      <c r="AW495" s="76"/>
      <c r="AX495" s="76" t="b">
        <v>0</v>
      </c>
      <c r="AY495" s="76"/>
      <c r="AZ495" s="76"/>
      <c r="BA495" s="76" t="b">
        <v>0</v>
      </c>
      <c r="BB495" s="76" t="b">
        <v>0</v>
      </c>
      <c r="BC495" s="76" t="b">
        <v>1</v>
      </c>
      <c r="BD495" s="76" t="b">
        <v>1</v>
      </c>
      <c r="BE495" s="76" t="b">
        <v>1</v>
      </c>
      <c r="BF495" s="76" t="b">
        <v>0</v>
      </c>
      <c r="BG495" s="76" t="b">
        <v>1</v>
      </c>
      <c r="BH495" s="76"/>
      <c r="BI495" s="76"/>
      <c r="BJ495" s="76" t="s">
        <v>27595</v>
      </c>
      <c r="BK495" s="76" t="b">
        <v>0</v>
      </c>
      <c r="BL495" s="76"/>
      <c r="BM495" s="76" t="s">
        <v>66</v>
      </c>
      <c r="BN495" s="76" t="s">
        <v>27597</v>
      </c>
      <c r="BO495" s="82" t="str">
        <f>HYPERLINK("https://twitter.com/juliaview")</f>
        <v>https://twitter.com/juliaview</v>
      </c>
      <c r="BP495" s="2"/>
    </row>
    <row r="496" spans="1:68" x14ac:dyDescent="0.25">
      <c r="A496" s="62" t="s">
        <v>568</v>
      </c>
      <c r="B496" s="63"/>
      <c r="C496" s="63"/>
      <c r="D496" s="64"/>
      <c r="E496" s="66"/>
      <c r="F496" s="103" t="str">
        <f>HYPERLINK("https://pbs.twimg.com/profile_images/1617612555911892995/xrioXfzw_normal.jpg")</f>
        <v>https://pbs.twimg.com/profile_images/1617612555911892995/xrioXfzw_normal.jpg</v>
      </c>
      <c r="G496" s="63"/>
      <c r="H496" s="67"/>
      <c r="I496" s="68"/>
      <c r="J496" s="68"/>
      <c r="K496" s="67" t="s">
        <v>28090</v>
      </c>
      <c r="L496" s="71"/>
      <c r="M496" s="72"/>
      <c r="N496" s="72"/>
      <c r="O496" s="73"/>
      <c r="P496" s="74"/>
      <c r="Q496" s="74"/>
      <c r="R496" s="87"/>
      <c r="S496" s="87"/>
      <c r="T496" s="87"/>
      <c r="U496" s="87"/>
      <c r="V496" s="48"/>
      <c r="W496" s="48"/>
      <c r="X496" s="48"/>
      <c r="Y496" s="48"/>
      <c r="Z496" s="47"/>
      <c r="AA496" s="69">
        <v>496</v>
      </c>
      <c r="AB496" s="69"/>
      <c r="AC496" s="70"/>
      <c r="AD496" s="76" t="s">
        <v>21734</v>
      </c>
      <c r="AE496" s="81" t="s">
        <v>23328</v>
      </c>
      <c r="AF496" s="76">
        <v>2940</v>
      </c>
      <c r="AG496" s="76">
        <v>1137</v>
      </c>
      <c r="AH496" s="76">
        <v>33347</v>
      </c>
      <c r="AI496" s="76">
        <v>14</v>
      </c>
      <c r="AJ496" s="76">
        <v>5009</v>
      </c>
      <c r="AK496" s="76">
        <v>11511</v>
      </c>
      <c r="AL496" s="76" t="b">
        <v>0</v>
      </c>
      <c r="AM496" s="78">
        <v>40858.674560185187</v>
      </c>
      <c r="AN496" s="76" t="s">
        <v>24251</v>
      </c>
      <c r="AO496" s="76" t="s">
        <v>25152</v>
      </c>
      <c r="AP496" s="82" t="str">
        <f>HYPERLINK("https://t.co/oDTqSL9KgC")</f>
        <v>https://t.co/oDTqSL9KgC</v>
      </c>
      <c r="AQ496" s="82" t="str">
        <f>HYPERLINK("http://www.aterionegro.org.ar")</f>
        <v>http://www.aterionegro.org.ar</v>
      </c>
      <c r="AR496" s="76" t="s">
        <v>26643</v>
      </c>
      <c r="AS496" s="76"/>
      <c r="AT496" s="76"/>
      <c r="AU496" s="76"/>
      <c r="AV496" s="76">
        <v>1.7070367925730601E+18</v>
      </c>
      <c r="AW496" s="82" t="str">
        <f>HYPERLINK("https://t.co/oDTqSL9KgC")</f>
        <v>https://t.co/oDTqSL9KgC</v>
      </c>
      <c r="AX496" s="76" t="b">
        <v>0</v>
      </c>
      <c r="AY496" s="76"/>
      <c r="AZ496" s="76"/>
      <c r="BA496" s="76" t="b">
        <v>0</v>
      </c>
      <c r="BB496" s="76" t="b">
        <v>1</v>
      </c>
      <c r="BC496" s="76" t="b">
        <v>0</v>
      </c>
      <c r="BD496" s="76" t="b">
        <v>0</v>
      </c>
      <c r="BE496" s="76" t="b">
        <v>0</v>
      </c>
      <c r="BF496" s="76" t="b">
        <v>0</v>
      </c>
      <c r="BG496" s="76" t="b">
        <v>0</v>
      </c>
      <c r="BH496" s="82" t="str">
        <f>HYPERLINK("https://pbs.twimg.com/profile_banners/410074244/1674503863")</f>
        <v>https://pbs.twimg.com/profile_banners/410074244/1674503863</v>
      </c>
      <c r="BI496" s="76"/>
      <c r="BJ496" s="76" t="s">
        <v>27595</v>
      </c>
      <c r="BK496" s="76" t="b">
        <v>0</v>
      </c>
      <c r="BL496" s="76"/>
      <c r="BM496" s="76" t="s">
        <v>66</v>
      </c>
      <c r="BN496" s="76" t="s">
        <v>27597</v>
      </c>
      <c r="BO496" s="82" t="str">
        <f>HYPERLINK("https://twitter.com/aterionegro")</f>
        <v>https://twitter.com/aterionegro</v>
      </c>
      <c r="BP496" s="2"/>
    </row>
    <row r="497" spans="1:68" x14ac:dyDescent="0.25">
      <c r="A497" s="62" t="s">
        <v>569</v>
      </c>
      <c r="B497" s="63"/>
      <c r="C497" s="63"/>
      <c r="D497" s="64"/>
      <c r="E497" s="66"/>
      <c r="F497" s="103" t="str">
        <f>HYPERLINK("https://pbs.twimg.com/profile_images/1598787011636301842/PNeEZ4fz_normal.jpg")</f>
        <v>https://pbs.twimg.com/profile_images/1598787011636301842/PNeEZ4fz_normal.jpg</v>
      </c>
      <c r="G497" s="63"/>
      <c r="H497" s="67"/>
      <c r="I497" s="68"/>
      <c r="J497" s="68"/>
      <c r="K497" s="67" t="s">
        <v>28091</v>
      </c>
      <c r="L497" s="71"/>
      <c r="M497" s="72"/>
      <c r="N497" s="72"/>
      <c r="O497" s="73"/>
      <c r="P497" s="74"/>
      <c r="Q497" s="74"/>
      <c r="R497" s="87"/>
      <c r="S497" s="87"/>
      <c r="T497" s="87"/>
      <c r="U497" s="87"/>
      <c r="V497" s="48"/>
      <c r="W497" s="48"/>
      <c r="X497" s="48"/>
      <c r="Y497" s="48"/>
      <c r="Z497" s="47"/>
      <c r="AA497" s="69">
        <v>497</v>
      </c>
      <c r="AB497" s="69"/>
      <c r="AC497" s="70"/>
      <c r="AD497" s="76" t="s">
        <v>21735</v>
      </c>
      <c r="AE497" s="81" t="s">
        <v>23329</v>
      </c>
      <c r="AF497" s="76">
        <v>477738</v>
      </c>
      <c r="AG497" s="76">
        <v>167</v>
      </c>
      <c r="AH497" s="76">
        <v>279702</v>
      </c>
      <c r="AI497" s="76">
        <v>609</v>
      </c>
      <c r="AJ497" s="76">
        <v>1447</v>
      </c>
      <c r="AK497" s="76">
        <v>144060</v>
      </c>
      <c r="AL497" s="76" t="b">
        <v>0</v>
      </c>
      <c r="AM497" s="78">
        <v>40575.754247685189</v>
      </c>
      <c r="AN497" s="76" t="s">
        <v>24252</v>
      </c>
      <c r="AO497" s="76" t="s">
        <v>25153</v>
      </c>
      <c r="AP497" s="82" t="str">
        <f>HYPERLINK("https://t.co/9p4frhcuSp")</f>
        <v>https://t.co/9p4frhcuSp</v>
      </c>
      <c r="AQ497" s="82" t="str">
        <f>HYPERLINK("http://jc.com.br")</f>
        <v>http://jc.com.br</v>
      </c>
      <c r="AR497" s="76" t="s">
        <v>26644</v>
      </c>
      <c r="AS497" s="76"/>
      <c r="AT497" s="76"/>
      <c r="AU497" s="76"/>
      <c r="AV497" s="76"/>
      <c r="AW497" s="82" t="str">
        <f>HYPERLINK("https://t.co/9p4frhcuSp")</f>
        <v>https://t.co/9p4frhcuSp</v>
      </c>
      <c r="AX497" s="76" t="b">
        <v>0</v>
      </c>
      <c r="AY497" s="76"/>
      <c r="AZ497" s="76"/>
      <c r="BA497" s="76" t="b">
        <v>0</v>
      </c>
      <c r="BB497" s="76" t="b">
        <v>1</v>
      </c>
      <c r="BC497" s="76" t="b">
        <v>0</v>
      </c>
      <c r="BD497" s="76" t="b">
        <v>0</v>
      </c>
      <c r="BE497" s="76" t="b">
        <v>1</v>
      </c>
      <c r="BF497" s="76" t="b">
        <v>0</v>
      </c>
      <c r="BG497" s="76" t="b">
        <v>0</v>
      </c>
      <c r="BH497" s="82" t="str">
        <f>HYPERLINK("https://pbs.twimg.com/profile_banners/245896728/1659965934")</f>
        <v>https://pbs.twimg.com/profile_banners/245896728/1659965934</v>
      </c>
      <c r="BI497" s="76"/>
      <c r="BJ497" s="76" t="s">
        <v>27595</v>
      </c>
      <c r="BK497" s="76" t="b">
        <v>0</v>
      </c>
      <c r="BL497" s="76"/>
      <c r="BM497" s="76" t="s">
        <v>66</v>
      </c>
      <c r="BN497" s="76" t="s">
        <v>27597</v>
      </c>
      <c r="BO497" s="82" t="str">
        <f>HYPERLINK("https://twitter.com/jc_pe")</f>
        <v>https://twitter.com/jc_pe</v>
      </c>
      <c r="BP497" s="2"/>
    </row>
    <row r="498" spans="1:68" x14ac:dyDescent="0.25">
      <c r="A498" s="62" t="s">
        <v>1809</v>
      </c>
      <c r="B498" s="63"/>
      <c r="C498" s="63"/>
      <c r="D498" s="64"/>
      <c r="E498" s="66"/>
      <c r="F498" s="103" t="str">
        <f>HYPERLINK("https://pbs.twimg.com/profile_images/457579971083395072/CB7wZrqa_normal.jpeg")</f>
        <v>https://pbs.twimg.com/profile_images/457579971083395072/CB7wZrqa_normal.jpeg</v>
      </c>
      <c r="G498" s="63"/>
      <c r="H498" s="67"/>
      <c r="I498" s="68"/>
      <c r="J498" s="68"/>
      <c r="K498" s="67" t="s">
        <v>28092</v>
      </c>
      <c r="L498" s="71"/>
      <c r="M498" s="72"/>
      <c r="N498" s="72"/>
      <c r="O498" s="73"/>
      <c r="P498" s="74"/>
      <c r="Q498" s="74"/>
      <c r="R498" s="87"/>
      <c r="S498" s="87"/>
      <c r="T498" s="87"/>
      <c r="U498" s="87"/>
      <c r="V498" s="48"/>
      <c r="W498" s="48"/>
      <c r="X498" s="48"/>
      <c r="Y498" s="48"/>
      <c r="Z498" s="47"/>
      <c r="AA498" s="69">
        <v>498</v>
      </c>
      <c r="AB498" s="69"/>
      <c r="AC498" s="70"/>
      <c r="AD498" s="76" t="s">
        <v>21736</v>
      </c>
      <c r="AE498" s="81" t="s">
        <v>23330</v>
      </c>
      <c r="AF498" s="76">
        <v>50</v>
      </c>
      <c r="AG498" s="76">
        <v>1</v>
      </c>
      <c r="AH498" s="76">
        <v>0</v>
      </c>
      <c r="AI498" s="76">
        <v>2</v>
      </c>
      <c r="AJ498" s="76">
        <v>0</v>
      </c>
      <c r="AK498" s="76">
        <v>0</v>
      </c>
      <c r="AL498" s="76" t="b">
        <v>0</v>
      </c>
      <c r="AM498" s="78">
        <v>41748.748807870368</v>
      </c>
      <c r="AN498" s="76"/>
      <c r="AO498" s="76"/>
      <c r="AP498" s="76"/>
      <c r="AQ498" s="76"/>
      <c r="AR498" s="76"/>
      <c r="AS498" s="76"/>
      <c r="AT498" s="76"/>
      <c r="AU498" s="76"/>
      <c r="AV498" s="76"/>
      <c r="AW498" s="76"/>
      <c r="AX498" s="76" t="b">
        <v>0</v>
      </c>
      <c r="AY498" s="76"/>
      <c r="AZ498" s="76"/>
      <c r="BA498" s="76" t="b">
        <v>0</v>
      </c>
      <c r="BB498" s="76" t="b">
        <v>1</v>
      </c>
      <c r="BC498" s="76" t="b">
        <v>1</v>
      </c>
      <c r="BD498" s="76" t="b">
        <v>0</v>
      </c>
      <c r="BE498" s="76" t="b">
        <v>0</v>
      </c>
      <c r="BF498" s="76" t="b">
        <v>0</v>
      </c>
      <c r="BG498" s="76" t="b">
        <v>0</v>
      </c>
      <c r="BH498" s="76"/>
      <c r="BI498" s="76"/>
      <c r="BJ498" s="76" t="s">
        <v>27595</v>
      </c>
      <c r="BK498" s="76" t="b">
        <v>0</v>
      </c>
      <c r="BL498" s="76"/>
      <c r="BM498" s="76" t="s">
        <v>65</v>
      </c>
      <c r="BN498" s="76" t="s">
        <v>27597</v>
      </c>
      <c r="BO498" s="82" t="str">
        <f>HYPERLINK("https://twitter.com/thiagochargista")</f>
        <v>https://twitter.com/thiagochargista</v>
      </c>
      <c r="BP498" s="2"/>
    </row>
    <row r="499" spans="1:68" x14ac:dyDescent="0.25">
      <c r="A499" s="62" t="s">
        <v>570</v>
      </c>
      <c r="B499" s="63"/>
      <c r="C499" s="63"/>
      <c r="D499" s="64"/>
      <c r="E499" s="66"/>
      <c r="F499" s="103" t="str">
        <f>HYPERLINK("https://pbs.twimg.com/profile_images/1633529079541497857/FMmvalyf_normal.jpg")</f>
        <v>https://pbs.twimg.com/profile_images/1633529079541497857/FMmvalyf_normal.jpg</v>
      </c>
      <c r="G499" s="63"/>
      <c r="H499" s="67"/>
      <c r="I499" s="68"/>
      <c r="J499" s="68"/>
      <c r="K499" s="67" t="s">
        <v>28093</v>
      </c>
      <c r="L499" s="71"/>
      <c r="M499" s="72"/>
      <c r="N499" s="72"/>
      <c r="O499" s="73"/>
      <c r="P499" s="74"/>
      <c r="Q499" s="74"/>
      <c r="R499" s="87"/>
      <c r="S499" s="87"/>
      <c r="T499" s="87"/>
      <c r="U499" s="87"/>
      <c r="V499" s="48"/>
      <c r="W499" s="48"/>
      <c r="X499" s="48"/>
      <c r="Y499" s="48"/>
      <c r="Z499" s="47"/>
      <c r="AA499" s="69">
        <v>499</v>
      </c>
      <c r="AB499" s="69"/>
      <c r="AC499" s="70"/>
      <c r="AD499" s="76" t="s">
        <v>570</v>
      </c>
      <c r="AE499" s="81" t="s">
        <v>23331</v>
      </c>
      <c r="AF499" s="76">
        <v>13811</v>
      </c>
      <c r="AG499" s="76">
        <v>340</v>
      </c>
      <c r="AH499" s="76">
        <v>23835</v>
      </c>
      <c r="AI499" s="76">
        <v>347</v>
      </c>
      <c r="AJ499" s="76">
        <v>1158</v>
      </c>
      <c r="AK499" s="76">
        <v>4060</v>
      </c>
      <c r="AL499" s="76" t="b">
        <v>0</v>
      </c>
      <c r="AM499" s="78">
        <v>40522.514502314814</v>
      </c>
      <c r="AN499" s="76" t="s">
        <v>24253</v>
      </c>
      <c r="AO499" s="76" t="s">
        <v>25154</v>
      </c>
      <c r="AP499" s="82" t="str">
        <f>HYPERLINK("https://t.co/UzTP7v1lTK")</f>
        <v>https://t.co/UzTP7v1lTK</v>
      </c>
      <c r="AQ499" s="82" t="str">
        <f>HYPERLINK("http://www.ecommercebrasil.com.br/")</f>
        <v>http://www.ecommercebrasil.com.br/</v>
      </c>
      <c r="AR499" s="76" t="s">
        <v>26645</v>
      </c>
      <c r="AS499" s="82" t="str">
        <f>HYPERLINK("https://t.co/f1J0IzBgW5")</f>
        <v>https://t.co/f1J0IzBgW5</v>
      </c>
      <c r="AT499" s="82" t="str">
        <f>HYPERLINK("http://youtube.com/ecommercebrasil")</f>
        <v>http://youtube.com/ecommercebrasil</v>
      </c>
      <c r="AU499" s="76" t="s">
        <v>27482</v>
      </c>
      <c r="AV499" s="76"/>
      <c r="AW499" s="82" t="str">
        <f>HYPERLINK("https://t.co/UzTP7v1lTK")</f>
        <v>https://t.co/UzTP7v1lTK</v>
      </c>
      <c r="AX499" s="76" t="b">
        <v>0</v>
      </c>
      <c r="AY499" s="76"/>
      <c r="AZ499" s="76"/>
      <c r="BA499" s="76" t="b">
        <v>0</v>
      </c>
      <c r="BB499" s="76" t="b">
        <v>0</v>
      </c>
      <c r="BC499" s="76" t="b">
        <v>0</v>
      </c>
      <c r="BD499" s="76" t="b">
        <v>0</v>
      </c>
      <c r="BE499" s="76" t="b">
        <v>1</v>
      </c>
      <c r="BF499" s="76" t="b">
        <v>0</v>
      </c>
      <c r="BG499" s="76" t="b">
        <v>0</v>
      </c>
      <c r="BH499" s="82" t="str">
        <f>HYPERLINK("https://pbs.twimg.com/profile_banners/225006023/1678298657")</f>
        <v>https://pbs.twimg.com/profile_banners/225006023/1678298657</v>
      </c>
      <c r="BI499" s="76"/>
      <c r="BJ499" s="76" t="s">
        <v>27595</v>
      </c>
      <c r="BK499" s="76" t="b">
        <v>0</v>
      </c>
      <c r="BL499" s="76"/>
      <c r="BM499" s="76" t="s">
        <v>66</v>
      </c>
      <c r="BN499" s="76" t="s">
        <v>27597</v>
      </c>
      <c r="BO499" s="82" t="str">
        <f>HYPERLINK("https://twitter.com/ecommerce_br")</f>
        <v>https://twitter.com/ecommerce_br</v>
      </c>
      <c r="BP499" s="2"/>
    </row>
    <row r="500" spans="1:68" x14ac:dyDescent="0.25">
      <c r="A500" s="62" t="s">
        <v>571</v>
      </c>
      <c r="B500" s="63"/>
      <c r="C500" s="63"/>
      <c r="D500" s="64"/>
      <c r="E500" s="66"/>
      <c r="F500" s="103" t="str">
        <f>HYPERLINK("https://pbs.twimg.com/profile_images/757351321477455872/GHkIjCFW_normal.jpg")</f>
        <v>https://pbs.twimg.com/profile_images/757351321477455872/GHkIjCFW_normal.jpg</v>
      </c>
      <c r="G500" s="63"/>
      <c r="H500" s="67"/>
      <c r="I500" s="68"/>
      <c r="J500" s="68"/>
      <c r="K500" s="67" t="s">
        <v>28094</v>
      </c>
      <c r="L500" s="71"/>
      <c r="M500" s="72"/>
      <c r="N500" s="72"/>
      <c r="O500" s="73"/>
      <c r="P500" s="74"/>
      <c r="Q500" s="74"/>
      <c r="R500" s="87"/>
      <c r="S500" s="87"/>
      <c r="T500" s="87"/>
      <c r="U500" s="87"/>
      <c r="V500" s="48"/>
      <c r="W500" s="48"/>
      <c r="X500" s="48"/>
      <c r="Y500" s="48"/>
      <c r="Z500" s="47"/>
      <c r="AA500" s="69">
        <v>500</v>
      </c>
      <c r="AB500" s="69"/>
      <c r="AC500" s="70"/>
      <c r="AD500" s="76" t="s">
        <v>21737</v>
      </c>
      <c r="AE500" s="81" t="s">
        <v>23332</v>
      </c>
      <c r="AF500" s="76">
        <v>218</v>
      </c>
      <c r="AG500" s="76">
        <v>941</v>
      </c>
      <c r="AH500" s="76">
        <v>1395</v>
      </c>
      <c r="AI500" s="76">
        <v>3</v>
      </c>
      <c r="AJ500" s="76">
        <v>336</v>
      </c>
      <c r="AK500" s="76">
        <v>635</v>
      </c>
      <c r="AL500" s="76" t="b">
        <v>0</v>
      </c>
      <c r="AM500" s="78">
        <v>41776.857488425929</v>
      </c>
      <c r="AN500" s="76"/>
      <c r="AO500" s="76"/>
      <c r="AP500" s="76"/>
      <c r="AQ500" s="76"/>
      <c r="AR500" s="76"/>
      <c r="AS500" s="76"/>
      <c r="AT500" s="76"/>
      <c r="AU500" s="76"/>
      <c r="AV500" s="76"/>
      <c r="AW500" s="76"/>
      <c r="AX500" s="76" t="b">
        <v>0</v>
      </c>
      <c r="AY500" s="76"/>
      <c r="AZ500" s="76"/>
      <c r="BA500" s="76" t="b">
        <v>0</v>
      </c>
      <c r="BB500" s="76" t="b">
        <v>1</v>
      </c>
      <c r="BC500" s="76" t="b">
        <v>1</v>
      </c>
      <c r="BD500" s="76" t="b">
        <v>0</v>
      </c>
      <c r="BE500" s="76" t="b">
        <v>0</v>
      </c>
      <c r="BF500" s="76" t="b">
        <v>0</v>
      </c>
      <c r="BG500" s="76" t="b">
        <v>0</v>
      </c>
      <c r="BH500" s="82" t="str">
        <f>HYPERLINK("https://pbs.twimg.com/profile_banners/2502473281/1469401643")</f>
        <v>https://pbs.twimg.com/profile_banners/2502473281/1469401643</v>
      </c>
      <c r="BI500" s="76"/>
      <c r="BJ500" s="76" t="s">
        <v>27595</v>
      </c>
      <c r="BK500" s="76" t="b">
        <v>0</v>
      </c>
      <c r="BL500" s="76"/>
      <c r="BM500" s="76" t="s">
        <v>66</v>
      </c>
      <c r="BN500" s="76" t="s">
        <v>27597</v>
      </c>
      <c r="BO500" s="82" t="str">
        <f>HYPERLINK("https://twitter.com/blogdobrito1")</f>
        <v>https://twitter.com/blogdobrito1</v>
      </c>
      <c r="BP500" s="2"/>
    </row>
    <row r="501" spans="1:68" x14ac:dyDescent="0.25">
      <c r="A501" s="62" t="s">
        <v>572</v>
      </c>
      <c r="B501" s="63"/>
      <c r="C501" s="63"/>
      <c r="D501" s="64"/>
      <c r="E501" s="66"/>
      <c r="F501" s="103" t="str">
        <f>HYPERLINK("https://pbs.twimg.com/profile_images/1671411209713664001/qNy7updk_normal.jpg")</f>
        <v>https://pbs.twimg.com/profile_images/1671411209713664001/qNy7updk_normal.jpg</v>
      </c>
      <c r="G501" s="63"/>
      <c r="H501" s="67"/>
      <c r="I501" s="68"/>
      <c r="J501" s="68"/>
      <c r="K501" s="67" t="s">
        <v>28095</v>
      </c>
      <c r="L501" s="71"/>
      <c r="M501" s="72"/>
      <c r="N501" s="72"/>
      <c r="O501" s="73"/>
      <c r="P501" s="74"/>
      <c r="Q501" s="74"/>
      <c r="R501" s="87"/>
      <c r="S501" s="87"/>
      <c r="T501" s="87"/>
      <c r="U501" s="87"/>
      <c r="V501" s="48"/>
      <c r="W501" s="48"/>
      <c r="X501" s="48"/>
      <c r="Y501" s="48"/>
      <c r="Z501" s="47"/>
      <c r="AA501" s="69">
        <v>501</v>
      </c>
      <c r="AB501" s="69"/>
      <c r="AC501" s="70"/>
      <c r="AD501" s="76" t="s">
        <v>21738</v>
      </c>
      <c r="AE501" s="81" t="s">
        <v>20662</v>
      </c>
      <c r="AF501" s="76">
        <v>2</v>
      </c>
      <c r="AG501" s="76">
        <v>20</v>
      </c>
      <c r="AH501" s="76">
        <v>6</v>
      </c>
      <c r="AI501" s="76">
        <v>0</v>
      </c>
      <c r="AJ501" s="76">
        <v>6</v>
      </c>
      <c r="AK501" s="76">
        <v>6</v>
      </c>
      <c r="AL501" s="76" t="b">
        <v>0</v>
      </c>
      <c r="AM501" s="78">
        <v>45098.046134259261</v>
      </c>
      <c r="AN501" s="76"/>
      <c r="AO501" s="76" t="s">
        <v>25155</v>
      </c>
      <c r="AP501" s="76"/>
      <c r="AQ501" s="76"/>
      <c r="AR501" s="76"/>
      <c r="AS501" s="76"/>
      <c r="AT501" s="76"/>
      <c r="AU501" s="76"/>
      <c r="AV501" s="76">
        <v>1.6720400129619799E+18</v>
      </c>
      <c r="AW501" s="76"/>
      <c r="AX501" s="76" t="b">
        <v>0</v>
      </c>
      <c r="AY501" s="76"/>
      <c r="AZ501" s="76"/>
      <c r="BA501" s="76" t="b">
        <v>0</v>
      </c>
      <c r="BB501" s="76" t="b">
        <v>1</v>
      </c>
      <c r="BC501" s="76" t="b">
        <v>1</v>
      </c>
      <c r="BD501" s="76" t="b">
        <v>0</v>
      </c>
      <c r="BE501" s="76" t="b">
        <v>0</v>
      </c>
      <c r="BF501" s="76" t="b">
        <v>0</v>
      </c>
      <c r="BG501" s="76" t="b">
        <v>0</v>
      </c>
      <c r="BH501" s="82" t="str">
        <f>HYPERLINK("https://pbs.twimg.com/profile_banners/1671323590929596416/1687314938")</f>
        <v>https://pbs.twimg.com/profile_banners/1671323590929596416/1687314938</v>
      </c>
      <c r="BI501" s="76"/>
      <c r="BJ501" s="76" t="s">
        <v>27595</v>
      </c>
      <c r="BK501" s="76" t="b">
        <v>0</v>
      </c>
      <c r="BL501" s="76"/>
      <c r="BM501" s="76" t="s">
        <v>66</v>
      </c>
      <c r="BN501" s="76" t="s">
        <v>27597</v>
      </c>
      <c r="BO501" s="82" t="str">
        <f>HYPERLINK("https://twitter.com/radiojujuylibre")</f>
        <v>https://twitter.com/radiojujuylibre</v>
      </c>
      <c r="BP501" s="2"/>
    </row>
    <row r="502" spans="1:68" x14ac:dyDescent="0.25">
      <c r="A502" s="62" t="s">
        <v>1810</v>
      </c>
      <c r="B502" s="63"/>
      <c r="C502" s="63"/>
      <c r="D502" s="64"/>
      <c r="E502" s="66"/>
      <c r="F502" s="103" t="str">
        <f>HYPERLINK("https://pbs.twimg.com/profile_images/1553931112262549505/XTcdwp0b_normal.jpg")</f>
        <v>https://pbs.twimg.com/profile_images/1553931112262549505/XTcdwp0b_normal.jpg</v>
      </c>
      <c r="G502" s="63"/>
      <c r="H502" s="67"/>
      <c r="I502" s="68"/>
      <c r="J502" s="68"/>
      <c r="K502" s="67" t="s">
        <v>28096</v>
      </c>
      <c r="L502" s="71"/>
      <c r="M502" s="72"/>
      <c r="N502" s="72"/>
      <c r="O502" s="73"/>
      <c r="P502" s="74"/>
      <c r="Q502" s="74"/>
      <c r="R502" s="87"/>
      <c r="S502" s="87"/>
      <c r="T502" s="87"/>
      <c r="U502" s="87"/>
      <c r="V502" s="48"/>
      <c r="W502" s="48"/>
      <c r="X502" s="48"/>
      <c r="Y502" s="48"/>
      <c r="Z502" s="47"/>
      <c r="AA502" s="69">
        <v>502</v>
      </c>
      <c r="AB502" s="69"/>
      <c r="AC502" s="70"/>
      <c r="AD502" s="76" t="s">
        <v>21739</v>
      </c>
      <c r="AE502" s="81" t="s">
        <v>20273</v>
      </c>
      <c r="AF502" s="76">
        <v>959138</v>
      </c>
      <c r="AG502" s="76">
        <v>1128</v>
      </c>
      <c r="AH502" s="76">
        <v>210581</v>
      </c>
      <c r="AI502" s="76">
        <v>1630</v>
      </c>
      <c r="AJ502" s="76">
        <v>416968</v>
      </c>
      <c r="AK502" s="76">
        <v>4442</v>
      </c>
      <c r="AL502" s="76" t="b">
        <v>0</v>
      </c>
      <c r="AM502" s="78">
        <v>42299.991516203707</v>
      </c>
      <c r="AN502" s="76" t="s">
        <v>24114</v>
      </c>
      <c r="AO502" s="76" t="s">
        <v>25156</v>
      </c>
      <c r="AP502" s="76"/>
      <c r="AQ502" s="76"/>
      <c r="AR502" s="76"/>
      <c r="AS502" s="76"/>
      <c r="AT502" s="76"/>
      <c r="AU502" s="76"/>
      <c r="AV502" s="76">
        <v>1.67271159361907E+18</v>
      </c>
      <c r="AW502" s="76"/>
      <c r="AX502" s="76" t="b">
        <v>1</v>
      </c>
      <c r="AY502" s="76"/>
      <c r="AZ502" s="76"/>
      <c r="BA502" s="76" t="b">
        <v>0</v>
      </c>
      <c r="BB502" s="76" t="b">
        <v>1</v>
      </c>
      <c r="BC502" s="76" t="b">
        <v>1</v>
      </c>
      <c r="BD502" s="76" t="b">
        <v>0</v>
      </c>
      <c r="BE502" s="76" t="b">
        <v>1</v>
      </c>
      <c r="BF502" s="76" t="b">
        <v>0</v>
      </c>
      <c r="BG502" s="76" t="b">
        <v>0</v>
      </c>
      <c r="BH502" s="82" t="str">
        <f>HYPERLINK("https://pbs.twimg.com/profile_banners/4020276615/1458666862")</f>
        <v>https://pbs.twimg.com/profile_banners/4020276615/1458666862</v>
      </c>
      <c r="BI502" s="76"/>
      <c r="BJ502" s="76" t="s">
        <v>27595</v>
      </c>
      <c r="BK502" s="76" t="b">
        <v>0</v>
      </c>
      <c r="BL502" s="76"/>
      <c r="BM502" s="76" t="s">
        <v>65</v>
      </c>
      <c r="BN502" s="76" t="s">
        <v>27597</v>
      </c>
      <c r="BO502" s="82" t="str">
        <f>HYPERLINK("https://twitter.com/jmilei")</f>
        <v>https://twitter.com/jmilei</v>
      </c>
      <c r="BP502" s="2"/>
    </row>
    <row r="503" spans="1:68" x14ac:dyDescent="0.25">
      <c r="A503" s="62" t="s">
        <v>573</v>
      </c>
      <c r="B503" s="63"/>
      <c r="C503" s="63"/>
      <c r="D503" s="64"/>
      <c r="E503" s="66"/>
      <c r="F503" s="103" t="str">
        <f>HYPERLINK("https://pbs.twimg.com/profile_images/1520205867458732032/dZz2ya0Q_normal.jpg")</f>
        <v>https://pbs.twimg.com/profile_images/1520205867458732032/dZz2ya0Q_normal.jpg</v>
      </c>
      <c r="G503" s="63"/>
      <c r="H503" s="67"/>
      <c r="I503" s="68"/>
      <c r="J503" s="68"/>
      <c r="K503" s="67" t="s">
        <v>28097</v>
      </c>
      <c r="L503" s="71"/>
      <c r="M503" s="72"/>
      <c r="N503" s="72"/>
      <c r="O503" s="73"/>
      <c r="P503" s="74"/>
      <c r="Q503" s="74"/>
      <c r="R503" s="87"/>
      <c r="S503" s="87"/>
      <c r="T503" s="87"/>
      <c r="U503" s="87"/>
      <c r="V503" s="48"/>
      <c r="W503" s="48"/>
      <c r="X503" s="48"/>
      <c r="Y503" s="48"/>
      <c r="Z503" s="47"/>
      <c r="AA503" s="69">
        <v>503</v>
      </c>
      <c r="AB503" s="69"/>
      <c r="AC503" s="70"/>
      <c r="AD503" s="76" t="s">
        <v>21740</v>
      </c>
      <c r="AE503" s="81" t="s">
        <v>23333</v>
      </c>
      <c r="AF503" s="76">
        <v>201</v>
      </c>
      <c r="AG503" s="76">
        <v>230</v>
      </c>
      <c r="AH503" s="76">
        <v>2365</v>
      </c>
      <c r="AI503" s="76">
        <v>0</v>
      </c>
      <c r="AJ503" s="76">
        <v>11250</v>
      </c>
      <c r="AK503" s="76">
        <v>128</v>
      </c>
      <c r="AL503" s="76" t="b">
        <v>0</v>
      </c>
      <c r="AM503" s="78">
        <v>42103.602592592593</v>
      </c>
      <c r="AN503" s="76" t="s">
        <v>14493</v>
      </c>
      <c r="AO503" s="76" t="s">
        <v>25157</v>
      </c>
      <c r="AP503" s="76"/>
      <c r="AQ503" s="76"/>
      <c r="AR503" s="76"/>
      <c r="AS503" s="76"/>
      <c r="AT503" s="76"/>
      <c r="AU503" s="76"/>
      <c r="AV503" s="76"/>
      <c r="AW503" s="76"/>
      <c r="AX503" s="76" t="b">
        <v>0</v>
      </c>
      <c r="AY503" s="76"/>
      <c r="AZ503" s="76"/>
      <c r="BA503" s="76" t="b">
        <v>1</v>
      </c>
      <c r="BB503" s="76" t="b">
        <v>1</v>
      </c>
      <c r="BC503" s="76" t="b">
        <v>1</v>
      </c>
      <c r="BD503" s="76" t="b">
        <v>0</v>
      </c>
      <c r="BE503" s="76" t="b">
        <v>1</v>
      </c>
      <c r="BF503" s="76" t="b">
        <v>0</v>
      </c>
      <c r="BG503" s="76" t="b">
        <v>0</v>
      </c>
      <c r="BH503" s="82" t="str">
        <f>HYPERLINK("https://pbs.twimg.com/profile_banners/3151796591/1651370698")</f>
        <v>https://pbs.twimg.com/profile_banners/3151796591/1651370698</v>
      </c>
      <c r="BI503" s="76"/>
      <c r="BJ503" s="76" t="s">
        <v>27595</v>
      </c>
      <c r="BK503" s="76" t="b">
        <v>0</v>
      </c>
      <c r="BL503" s="76"/>
      <c r="BM503" s="76" t="s">
        <v>66</v>
      </c>
      <c r="BN503" s="76" t="s">
        <v>27597</v>
      </c>
      <c r="BO503" s="82" t="str">
        <f>HYPERLINK("https://twitter.com/alvero_oficial")</f>
        <v>https://twitter.com/alvero_oficial</v>
      </c>
      <c r="BP503" s="2"/>
    </row>
    <row r="504" spans="1:68" x14ac:dyDescent="0.25">
      <c r="A504" s="62" t="s">
        <v>1811</v>
      </c>
      <c r="B504" s="63"/>
      <c r="C504" s="63"/>
      <c r="D504" s="64"/>
      <c r="E504" s="66"/>
      <c r="F504" s="103" t="str">
        <f>HYPERLINK("https://pbs.twimg.com/profile_images/1596171709387784193/EXmywa-I_normal.jpg")</f>
        <v>https://pbs.twimg.com/profile_images/1596171709387784193/EXmywa-I_normal.jpg</v>
      </c>
      <c r="G504" s="63"/>
      <c r="H504" s="67"/>
      <c r="I504" s="68"/>
      <c r="J504" s="68"/>
      <c r="K504" s="67" t="s">
        <v>28098</v>
      </c>
      <c r="L504" s="71"/>
      <c r="M504" s="72"/>
      <c r="N504" s="72"/>
      <c r="O504" s="73"/>
      <c r="P504" s="74"/>
      <c r="Q504" s="74"/>
      <c r="R504" s="87"/>
      <c r="S504" s="87"/>
      <c r="T504" s="87"/>
      <c r="U504" s="87"/>
      <c r="V504" s="48"/>
      <c r="W504" s="48"/>
      <c r="X504" s="48"/>
      <c r="Y504" s="48"/>
      <c r="Z504" s="47"/>
      <c r="AA504" s="69">
        <v>504</v>
      </c>
      <c r="AB504" s="69"/>
      <c r="AC504" s="70"/>
      <c r="AD504" s="76" t="s">
        <v>21741</v>
      </c>
      <c r="AE504" s="81" t="s">
        <v>23334</v>
      </c>
      <c r="AF504" s="76">
        <v>49935</v>
      </c>
      <c r="AG504" s="76">
        <v>253</v>
      </c>
      <c r="AH504" s="76">
        <v>13773</v>
      </c>
      <c r="AI504" s="76">
        <v>271</v>
      </c>
      <c r="AJ504" s="76">
        <v>395</v>
      </c>
      <c r="AK504" s="76">
        <v>2855</v>
      </c>
      <c r="AL504" s="76" t="b">
        <v>0</v>
      </c>
      <c r="AM504" s="78">
        <v>39983.862314814818</v>
      </c>
      <c r="AN504" s="76" t="s">
        <v>24087</v>
      </c>
      <c r="AO504" s="76" t="s">
        <v>25158</v>
      </c>
      <c r="AP504" s="82" t="str">
        <f>HYPERLINK("https://t.co/obadq1jBby")</f>
        <v>https://t.co/obadq1jBby</v>
      </c>
      <c r="AQ504" s="82" t="str">
        <f>HYPERLINK("http://www.febraban.org.br/")</f>
        <v>http://www.febraban.org.br/</v>
      </c>
      <c r="AR504" s="76" t="s">
        <v>26646</v>
      </c>
      <c r="AS504" s="76"/>
      <c r="AT504" s="76"/>
      <c r="AU504" s="76"/>
      <c r="AV504" s="76">
        <v>1.6408156876556201E+18</v>
      </c>
      <c r="AW504" s="82" t="str">
        <f>HYPERLINK("https://t.co/obadq1jBby")</f>
        <v>https://t.co/obadq1jBby</v>
      </c>
      <c r="AX504" s="76" t="b">
        <v>0</v>
      </c>
      <c r="AY504" s="76"/>
      <c r="AZ504" s="76"/>
      <c r="BA504" s="76" t="b">
        <v>1</v>
      </c>
      <c r="BB504" s="76" t="b">
        <v>1</v>
      </c>
      <c r="BC504" s="76" t="b">
        <v>0</v>
      </c>
      <c r="BD504" s="76" t="b">
        <v>0</v>
      </c>
      <c r="BE504" s="76" t="b">
        <v>1</v>
      </c>
      <c r="BF504" s="76" t="b">
        <v>0</v>
      </c>
      <c r="BG504" s="76" t="b">
        <v>0</v>
      </c>
      <c r="BH504" s="82" t="str">
        <f>HYPERLINK("https://pbs.twimg.com/profile_banners/48821743/1669393850")</f>
        <v>https://pbs.twimg.com/profile_banners/48821743/1669393850</v>
      </c>
      <c r="BI504" s="76"/>
      <c r="BJ504" s="76" t="s">
        <v>27595</v>
      </c>
      <c r="BK504" s="76" t="b">
        <v>0</v>
      </c>
      <c r="BL504" s="76"/>
      <c r="BM504" s="76" t="s">
        <v>65</v>
      </c>
      <c r="BN504" s="76" t="s">
        <v>27597</v>
      </c>
      <c r="BO504" s="82" t="str">
        <f>HYPERLINK("https://twitter.com/febraban")</f>
        <v>https://twitter.com/febraban</v>
      </c>
      <c r="BP504" s="2"/>
    </row>
    <row r="505" spans="1:68" x14ac:dyDescent="0.25">
      <c r="A505" s="62" t="s">
        <v>1812</v>
      </c>
      <c r="B505" s="63"/>
      <c r="C505" s="63"/>
      <c r="D505" s="64"/>
      <c r="E505" s="66"/>
      <c r="F505" s="103" t="str">
        <f>HYPERLINK("https://pbs.twimg.com/profile_images/1676330841947996160/dO3j1Doi_normal.jpg")</f>
        <v>https://pbs.twimg.com/profile_images/1676330841947996160/dO3j1Doi_normal.jpg</v>
      </c>
      <c r="G505" s="63"/>
      <c r="H505" s="67"/>
      <c r="I505" s="68"/>
      <c r="J505" s="68"/>
      <c r="K505" s="67" t="s">
        <v>28099</v>
      </c>
      <c r="L505" s="71"/>
      <c r="M505" s="72"/>
      <c r="N505" s="72"/>
      <c r="O505" s="73"/>
      <c r="P505" s="74"/>
      <c r="Q505" s="74"/>
      <c r="R505" s="87"/>
      <c r="S505" s="87"/>
      <c r="T505" s="87"/>
      <c r="U505" s="87"/>
      <c r="V505" s="48"/>
      <c r="W505" s="48"/>
      <c r="X505" s="48"/>
      <c r="Y505" s="48"/>
      <c r="Z505" s="47"/>
      <c r="AA505" s="69">
        <v>505</v>
      </c>
      <c r="AB505" s="69"/>
      <c r="AC505" s="70"/>
      <c r="AD505" s="76" t="s">
        <v>21742</v>
      </c>
      <c r="AE505" s="81" t="s">
        <v>23335</v>
      </c>
      <c r="AF505" s="76">
        <v>38982</v>
      </c>
      <c r="AG505" s="76">
        <v>409</v>
      </c>
      <c r="AH505" s="76">
        <v>13229</v>
      </c>
      <c r="AI505" s="76">
        <v>354</v>
      </c>
      <c r="AJ505" s="76">
        <v>138</v>
      </c>
      <c r="AK505" s="76">
        <v>2134</v>
      </c>
      <c r="AL505" s="76" t="b">
        <v>0</v>
      </c>
      <c r="AM505" s="78">
        <v>39948.94054398148</v>
      </c>
      <c r="AN505" s="76" t="s">
        <v>24254</v>
      </c>
      <c r="AO505" s="76" t="s">
        <v>25159</v>
      </c>
      <c r="AP505" s="82" t="str">
        <f>HYPERLINK("https://t.co/p0Hf0M9xUe")</f>
        <v>https://t.co/p0Hf0M9xUe</v>
      </c>
      <c r="AQ505" s="82" t="str">
        <f>HYPERLINK("http://www.fiesp.com.br")</f>
        <v>http://www.fiesp.com.br</v>
      </c>
      <c r="AR505" s="76" t="s">
        <v>26647</v>
      </c>
      <c r="AS505" s="76"/>
      <c r="AT505" s="76"/>
      <c r="AU505" s="76"/>
      <c r="AV505" s="76"/>
      <c r="AW505" s="82" t="str">
        <f>HYPERLINK("https://t.co/p0Hf0M9xUe")</f>
        <v>https://t.co/p0Hf0M9xUe</v>
      </c>
      <c r="AX505" s="76" t="b">
        <v>0</v>
      </c>
      <c r="AY505" s="76"/>
      <c r="AZ505" s="76"/>
      <c r="BA505" s="76" t="b">
        <v>0</v>
      </c>
      <c r="BB505" s="76" t="b">
        <v>0</v>
      </c>
      <c r="BC505" s="76" t="b">
        <v>0</v>
      </c>
      <c r="BD505" s="76" t="b">
        <v>0</v>
      </c>
      <c r="BE505" s="76" t="b">
        <v>1</v>
      </c>
      <c r="BF505" s="76" t="b">
        <v>0</v>
      </c>
      <c r="BG505" s="76" t="b">
        <v>0</v>
      </c>
      <c r="BH505" s="82" t="str">
        <f>HYPERLINK("https://pbs.twimg.com/profile_banners/40351060/1675878128")</f>
        <v>https://pbs.twimg.com/profile_banners/40351060/1675878128</v>
      </c>
      <c r="BI505" s="76"/>
      <c r="BJ505" s="76" t="s">
        <v>27595</v>
      </c>
      <c r="BK505" s="76" t="b">
        <v>0</v>
      </c>
      <c r="BL505" s="76"/>
      <c r="BM505" s="76" t="s">
        <v>65</v>
      </c>
      <c r="BN505" s="76" t="s">
        <v>27597</v>
      </c>
      <c r="BO505" s="82" t="str">
        <f>HYPERLINK("https://twitter.com/fiesp")</f>
        <v>https://twitter.com/fiesp</v>
      </c>
      <c r="BP505" s="2"/>
    </row>
    <row r="506" spans="1:68" x14ac:dyDescent="0.25">
      <c r="A506" s="62" t="s">
        <v>1813</v>
      </c>
      <c r="B506" s="63"/>
      <c r="C506" s="63"/>
      <c r="D506" s="64"/>
      <c r="E506" s="66"/>
      <c r="F506" s="103" t="str">
        <f>HYPERLINK("https://pbs.twimg.com/profile_images/1671523017057267712/1040HDcc_normal.jpg")</f>
        <v>https://pbs.twimg.com/profile_images/1671523017057267712/1040HDcc_normal.jpg</v>
      </c>
      <c r="G506" s="63"/>
      <c r="H506" s="67"/>
      <c r="I506" s="68"/>
      <c r="J506" s="68"/>
      <c r="K506" s="67" t="s">
        <v>28100</v>
      </c>
      <c r="L506" s="71"/>
      <c r="M506" s="72"/>
      <c r="N506" s="72"/>
      <c r="O506" s="73"/>
      <c r="P506" s="74"/>
      <c r="Q506" s="74"/>
      <c r="R506" s="87"/>
      <c r="S506" s="87"/>
      <c r="T506" s="87"/>
      <c r="U506" s="87"/>
      <c r="V506" s="48"/>
      <c r="W506" s="48"/>
      <c r="X506" s="48"/>
      <c r="Y506" s="48"/>
      <c r="Z506" s="47"/>
      <c r="AA506" s="69">
        <v>506</v>
      </c>
      <c r="AB506" s="69"/>
      <c r="AC506" s="70"/>
      <c r="AD506" s="76" t="s">
        <v>21743</v>
      </c>
      <c r="AE506" s="81" t="s">
        <v>23336</v>
      </c>
      <c r="AF506" s="76">
        <v>1158174</v>
      </c>
      <c r="AG506" s="76">
        <v>442</v>
      </c>
      <c r="AH506" s="76">
        <v>56752</v>
      </c>
      <c r="AI506" s="76">
        <v>3473</v>
      </c>
      <c r="AJ506" s="76">
        <v>1979</v>
      </c>
      <c r="AK506" s="76">
        <v>15193</v>
      </c>
      <c r="AL506" s="76" t="b">
        <v>0</v>
      </c>
      <c r="AM506" s="78">
        <v>40025.780740740738</v>
      </c>
      <c r="AN506" s="76" t="s">
        <v>14411</v>
      </c>
      <c r="AO506" s="76" t="s">
        <v>25160</v>
      </c>
      <c r="AP506" s="82" t="str">
        <f>HYPERLINK("https://t.co/cSijSefeRq")</f>
        <v>https://t.co/cSijSefeRq</v>
      </c>
      <c r="AQ506" s="82" t="str">
        <f>HYPERLINK("http://www.camara.leg.br")</f>
        <v>http://www.camara.leg.br</v>
      </c>
      <c r="AR506" s="76" t="s">
        <v>26648</v>
      </c>
      <c r="AS506" s="76"/>
      <c r="AT506" s="76"/>
      <c r="AU506" s="76"/>
      <c r="AV506" s="76"/>
      <c r="AW506" s="82" t="str">
        <f>HYPERLINK("https://t.co/cSijSefeRq")</f>
        <v>https://t.co/cSijSefeRq</v>
      </c>
      <c r="AX506" s="76" t="b">
        <v>1</v>
      </c>
      <c r="AY506" s="76"/>
      <c r="AZ506" s="76"/>
      <c r="BA506" s="76" t="b">
        <v>0</v>
      </c>
      <c r="BB506" s="76" t="b">
        <v>1</v>
      </c>
      <c r="BC506" s="76" t="b">
        <v>0</v>
      </c>
      <c r="BD506" s="76" t="b">
        <v>0</v>
      </c>
      <c r="BE506" s="76" t="b">
        <v>1</v>
      </c>
      <c r="BF506" s="76" t="b">
        <v>0</v>
      </c>
      <c r="BG506" s="76" t="b">
        <v>0</v>
      </c>
      <c r="BH506" s="82" t="str">
        <f>HYPERLINK("https://pbs.twimg.com/profile_banners/61843152/1687357118")</f>
        <v>https://pbs.twimg.com/profile_banners/61843152/1687357118</v>
      </c>
      <c r="BI506" s="76"/>
      <c r="BJ506" s="76" t="s">
        <v>27595</v>
      </c>
      <c r="BK506" s="76" t="b">
        <v>0</v>
      </c>
      <c r="BL506" s="76"/>
      <c r="BM506" s="76" t="s">
        <v>65</v>
      </c>
      <c r="BN506" s="76" t="s">
        <v>27597</v>
      </c>
      <c r="BO506" s="82" t="str">
        <f>HYPERLINK("https://twitter.com/camaradeputados")</f>
        <v>https://twitter.com/camaradeputados</v>
      </c>
      <c r="BP506" s="2"/>
    </row>
    <row r="507" spans="1:68" x14ac:dyDescent="0.25">
      <c r="A507" s="62" t="s">
        <v>1130</v>
      </c>
      <c r="B507" s="63"/>
      <c r="C507" s="63"/>
      <c r="D507" s="64"/>
      <c r="E507" s="66"/>
      <c r="F507" s="103" t="str">
        <f>HYPERLINK("https://pbs.twimg.com/profile_images/1399382728362102786/_wBHKEhc_normal.jpg")</f>
        <v>https://pbs.twimg.com/profile_images/1399382728362102786/_wBHKEhc_normal.jpg</v>
      </c>
      <c r="G507" s="63"/>
      <c r="H507" s="67"/>
      <c r="I507" s="68"/>
      <c r="J507" s="68"/>
      <c r="K507" s="67" t="s">
        <v>28101</v>
      </c>
      <c r="L507" s="71"/>
      <c r="M507" s="72"/>
      <c r="N507" s="72"/>
      <c r="O507" s="73"/>
      <c r="P507" s="74"/>
      <c r="Q507" s="74"/>
      <c r="R507" s="87"/>
      <c r="S507" s="87"/>
      <c r="T507" s="87"/>
      <c r="U507" s="87"/>
      <c r="V507" s="48"/>
      <c r="W507" s="48"/>
      <c r="X507" s="48"/>
      <c r="Y507" s="48"/>
      <c r="Z507" s="47"/>
      <c r="AA507" s="69">
        <v>507</v>
      </c>
      <c r="AB507" s="69"/>
      <c r="AC507" s="70"/>
      <c r="AD507" s="76" t="s">
        <v>21744</v>
      </c>
      <c r="AE507" s="81" t="s">
        <v>23337</v>
      </c>
      <c r="AF507" s="76">
        <v>1323302</v>
      </c>
      <c r="AG507" s="76">
        <v>86</v>
      </c>
      <c r="AH507" s="76">
        <v>98148</v>
      </c>
      <c r="AI507" s="76">
        <v>3780</v>
      </c>
      <c r="AJ507" s="76">
        <v>21</v>
      </c>
      <c r="AK507" s="76">
        <v>41589</v>
      </c>
      <c r="AL507" s="76" t="b">
        <v>0</v>
      </c>
      <c r="AM507" s="78">
        <v>39947.913865740738</v>
      </c>
      <c r="AN507" s="76" t="s">
        <v>14490</v>
      </c>
      <c r="AO507" s="76" t="s">
        <v>25161</v>
      </c>
      <c r="AP507" s="82" t="str">
        <f>HYPERLINK("https://t.co/HKbsIPrZQ3")</f>
        <v>https://t.co/HKbsIPrZQ3</v>
      </c>
      <c r="AQ507" s="82" t="str">
        <f>HYPERLINK("https://www12.senado.leg.br/")</f>
        <v>https://www12.senado.leg.br/</v>
      </c>
      <c r="AR507" s="76" t="s">
        <v>26649</v>
      </c>
      <c r="AS507" s="76"/>
      <c r="AT507" s="76"/>
      <c r="AU507" s="76"/>
      <c r="AV507" s="76"/>
      <c r="AW507" s="82" t="str">
        <f>HYPERLINK("https://t.co/HKbsIPrZQ3")</f>
        <v>https://t.co/HKbsIPrZQ3</v>
      </c>
      <c r="AX507" s="76" t="b">
        <v>1</v>
      </c>
      <c r="AY507" s="76"/>
      <c r="AZ507" s="76"/>
      <c r="BA507" s="76" t="b">
        <v>0</v>
      </c>
      <c r="BB507" s="76" t="b">
        <v>0</v>
      </c>
      <c r="BC507" s="76" t="b">
        <v>0</v>
      </c>
      <c r="BD507" s="76" t="b">
        <v>0</v>
      </c>
      <c r="BE507" s="76" t="b">
        <v>1</v>
      </c>
      <c r="BF507" s="76" t="b">
        <v>0</v>
      </c>
      <c r="BG507" s="76" t="b">
        <v>0</v>
      </c>
      <c r="BH507" s="82" t="str">
        <f>HYPERLINK("https://pbs.twimg.com/profile_banners/40095953/1626445625")</f>
        <v>https://pbs.twimg.com/profile_banners/40095953/1626445625</v>
      </c>
      <c r="BI507" s="76"/>
      <c r="BJ507" s="76" t="s">
        <v>27595</v>
      </c>
      <c r="BK507" s="76" t="b">
        <v>0</v>
      </c>
      <c r="BL507" s="76"/>
      <c r="BM507" s="76" t="s">
        <v>66</v>
      </c>
      <c r="BN507" s="76" t="s">
        <v>27597</v>
      </c>
      <c r="BO507" s="82" t="str">
        <f>HYPERLINK("https://twitter.com/senadofederal")</f>
        <v>https://twitter.com/senadofederal</v>
      </c>
      <c r="BP507" s="2"/>
    </row>
    <row r="508" spans="1:68" x14ac:dyDescent="0.25">
      <c r="A508" s="62" t="s">
        <v>1294</v>
      </c>
      <c r="B508" s="63"/>
      <c r="C508" s="63"/>
      <c r="D508" s="64"/>
      <c r="E508" s="66"/>
      <c r="F508" s="103" t="str">
        <f>HYPERLINK("https://pbs.twimg.com/profile_images/1629249757473345537/wcxv5Ogi_normal.jpg")</f>
        <v>https://pbs.twimg.com/profile_images/1629249757473345537/wcxv5Ogi_normal.jpg</v>
      </c>
      <c r="G508" s="63"/>
      <c r="H508" s="67"/>
      <c r="I508" s="68"/>
      <c r="J508" s="68"/>
      <c r="K508" s="67" t="s">
        <v>28102</v>
      </c>
      <c r="L508" s="71"/>
      <c r="M508" s="72"/>
      <c r="N508" s="72"/>
      <c r="O508" s="73"/>
      <c r="P508" s="74"/>
      <c r="Q508" s="74"/>
      <c r="R508" s="87"/>
      <c r="S508" s="87"/>
      <c r="T508" s="87"/>
      <c r="U508" s="87"/>
      <c r="V508" s="48"/>
      <c r="W508" s="48"/>
      <c r="X508" s="48"/>
      <c r="Y508" s="48"/>
      <c r="Z508" s="47"/>
      <c r="AA508" s="69">
        <v>508</v>
      </c>
      <c r="AB508" s="69"/>
      <c r="AC508" s="70"/>
      <c r="AD508" s="76" t="s">
        <v>21745</v>
      </c>
      <c r="AE508" s="81" t="s">
        <v>20255</v>
      </c>
      <c r="AF508" s="76">
        <v>65103</v>
      </c>
      <c r="AG508" s="76">
        <v>729</v>
      </c>
      <c r="AH508" s="76">
        <v>3852</v>
      </c>
      <c r="AI508" s="76">
        <v>190</v>
      </c>
      <c r="AJ508" s="76">
        <v>1860</v>
      </c>
      <c r="AK508" s="76">
        <v>1140</v>
      </c>
      <c r="AL508" s="76" t="b">
        <v>0</v>
      </c>
      <c r="AM508" s="78">
        <v>42971.893784722219</v>
      </c>
      <c r="AN508" s="76" t="s">
        <v>14400</v>
      </c>
      <c r="AO508" s="76" t="s">
        <v>25162</v>
      </c>
      <c r="AP508" s="82" t="str">
        <f>HYPERLINK("https://t.co/1Qr4S5DrXX")</f>
        <v>https://t.co/1Qr4S5DrXX</v>
      </c>
      <c r="AQ508" s="82" t="str">
        <f>HYPERLINK("https://www.almedina.com.br/produto/por-que-as-democracias-triunfam-11082")</f>
        <v>https://www.almedina.com.br/produto/por-que-as-democracias-triunfam-11082</v>
      </c>
      <c r="AR508" s="76" t="s">
        <v>26650</v>
      </c>
      <c r="AS508" s="76"/>
      <c r="AT508" s="76"/>
      <c r="AU508" s="76"/>
      <c r="AV508" s="76">
        <v>1.6534857350333299E+18</v>
      </c>
      <c r="AW508" s="82" t="str">
        <f>HYPERLINK("https://t.co/1Qr4S5DrXX")</f>
        <v>https://t.co/1Qr4S5DrXX</v>
      </c>
      <c r="AX508" s="76" t="b">
        <v>1</v>
      </c>
      <c r="AY508" s="76"/>
      <c r="AZ508" s="76"/>
      <c r="BA508" s="76" t="b">
        <v>1</v>
      </c>
      <c r="BB508" s="76" t="b">
        <v>1</v>
      </c>
      <c r="BC508" s="76" t="b">
        <v>1</v>
      </c>
      <c r="BD508" s="76" t="b">
        <v>0</v>
      </c>
      <c r="BE508" s="76" t="b">
        <v>1</v>
      </c>
      <c r="BF508" s="76" t="b">
        <v>0</v>
      </c>
      <c r="BG508" s="76" t="b">
        <v>0</v>
      </c>
      <c r="BH508" s="82" t="str">
        <f>HYPERLINK("https://pbs.twimg.com/profile_banners/900831846258413568/1693232818")</f>
        <v>https://pbs.twimg.com/profile_banners/900831846258413568/1693232818</v>
      </c>
      <c r="BI508" s="76"/>
      <c r="BJ508" s="76" t="s">
        <v>27595</v>
      </c>
      <c r="BK508" s="76" t="b">
        <v>0</v>
      </c>
      <c r="BL508" s="76"/>
      <c r="BM508" s="76" t="s">
        <v>66</v>
      </c>
      <c r="BN508" s="76" t="s">
        <v>27597</v>
      </c>
      <c r="BO508" s="82" t="str">
        <f>HYPERLINK("https://twitter.com/fdavilaoficial")</f>
        <v>https://twitter.com/fdavilaoficial</v>
      </c>
      <c r="BP508" s="2"/>
    </row>
    <row r="509" spans="1:68" x14ac:dyDescent="0.25">
      <c r="A509" s="62" t="s">
        <v>574</v>
      </c>
      <c r="B509" s="63"/>
      <c r="C509" s="63"/>
      <c r="D509" s="64"/>
      <c r="E509" s="66"/>
      <c r="F509" s="103" t="str">
        <f>HYPERLINK("https://pbs.twimg.com/profile_images/1704841609429278720/BXl8LCzG_normal.jpg")</f>
        <v>https://pbs.twimg.com/profile_images/1704841609429278720/BXl8LCzG_normal.jpg</v>
      </c>
      <c r="G509" s="63"/>
      <c r="H509" s="67"/>
      <c r="I509" s="68"/>
      <c r="J509" s="68"/>
      <c r="K509" s="67" t="s">
        <v>28103</v>
      </c>
      <c r="L509" s="71"/>
      <c r="M509" s="72"/>
      <c r="N509" s="72"/>
      <c r="O509" s="73"/>
      <c r="P509" s="74"/>
      <c r="Q509" s="74"/>
      <c r="R509" s="87"/>
      <c r="S509" s="87"/>
      <c r="T509" s="87"/>
      <c r="U509" s="87"/>
      <c r="V509" s="48"/>
      <c r="W509" s="48"/>
      <c r="X509" s="48"/>
      <c r="Y509" s="48"/>
      <c r="Z509" s="47"/>
      <c r="AA509" s="69">
        <v>509</v>
      </c>
      <c r="AB509" s="69"/>
      <c r="AC509" s="70"/>
      <c r="AD509" s="76" t="s">
        <v>21746</v>
      </c>
      <c r="AE509" s="81" t="s">
        <v>23338</v>
      </c>
      <c r="AF509" s="76">
        <v>3545</v>
      </c>
      <c r="AG509" s="76">
        <v>92</v>
      </c>
      <c r="AH509" s="76">
        <v>144556</v>
      </c>
      <c r="AI509" s="76">
        <v>36</v>
      </c>
      <c r="AJ509" s="76">
        <v>86676</v>
      </c>
      <c r="AK509" s="76">
        <v>84732</v>
      </c>
      <c r="AL509" s="76" t="b">
        <v>0</v>
      </c>
      <c r="AM509" s="78">
        <v>40698.573599537034</v>
      </c>
      <c r="AN509" s="76" t="s">
        <v>24255</v>
      </c>
      <c r="AO509" s="76" t="s">
        <v>25163</v>
      </c>
      <c r="AP509" s="82" t="str">
        <f>HYPERLINK("https://t.co/cpQlOmN7fQ")</f>
        <v>https://t.co/cpQlOmN7fQ</v>
      </c>
      <c r="AQ509" s="82" t="str">
        <f>HYPERLINK("https://diario33.com.ar/")</f>
        <v>https://diario33.com.ar/</v>
      </c>
      <c r="AR509" s="76" t="s">
        <v>26651</v>
      </c>
      <c r="AS509" s="76"/>
      <c r="AT509" s="76"/>
      <c r="AU509" s="76"/>
      <c r="AV509" s="76"/>
      <c r="AW509" s="82" t="str">
        <f>HYPERLINK("https://t.co/cpQlOmN7fQ")</f>
        <v>https://t.co/cpQlOmN7fQ</v>
      </c>
      <c r="AX509" s="76" t="b">
        <v>0</v>
      </c>
      <c r="AY509" s="76"/>
      <c r="AZ509" s="76"/>
      <c r="BA509" s="76" t="b">
        <v>0</v>
      </c>
      <c r="BB509" s="76" t="b">
        <v>0</v>
      </c>
      <c r="BC509" s="76" t="b">
        <v>0</v>
      </c>
      <c r="BD509" s="76" t="b">
        <v>0</v>
      </c>
      <c r="BE509" s="76" t="b">
        <v>1</v>
      </c>
      <c r="BF509" s="76" t="b">
        <v>0</v>
      </c>
      <c r="BG509" s="76" t="b">
        <v>0</v>
      </c>
      <c r="BH509" s="82" t="str">
        <f>HYPERLINK("https://pbs.twimg.com/profile_banners/310861879/1695299694")</f>
        <v>https://pbs.twimg.com/profile_banners/310861879/1695299694</v>
      </c>
      <c r="BI509" s="76"/>
      <c r="BJ509" s="76" t="s">
        <v>27595</v>
      </c>
      <c r="BK509" s="76" t="b">
        <v>0</v>
      </c>
      <c r="BL509" s="76"/>
      <c r="BM509" s="76" t="s">
        <v>66</v>
      </c>
      <c r="BN509" s="76" t="s">
        <v>27597</v>
      </c>
      <c r="BO509" s="82" t="str">
        <f>HYPERLINK("https://twitter.com/radiotrestres")</f>
        <v>https://twitter.com/radiotrestres</v>
      </c>
      <c r="BP509" s="2"/>
    </row>
    <row r="510" spans="1:68" x14ac:dyDescent="0.25">
      <c r="A510" s="62" t="s">
        <v>575</v>
      </c>
      <c r="B510" s="63"/>
      <c r="C510" s="63"/>
      <c r="D510" s="64"/>
      <c r="E510" s="66"/>
      <c r="F510" s="103" t="str">
        <f>HYPERLINK("https://pbs.twimg.com/profile_images/1658820549949128704/kw4-iEAM_normal.jpg")</f>
        <v>https://pbs.twimg.com/profile_images/1658820549949128704/kw4-iEAM_normal.jpg</v>
      </c>
      <c r="G510" s="63"/>
      <c r="H510" s="67"/>
      <c r="I510" s="68"/>
      <c r="J510" s="68"/>
      <c r="K510" s="67" t="s">
        <v>28104</v>
      </c>
      <c r="L510" s="71"/>
      <c r="M510" s="72"/>
      <c r="N510" s="72"/>
      <c r="O510" s="73"/>
      <c r="P510" s="74"/>
      <c r="Q510" s="74"/>
      <c r="R510" s="87"/>
      <c r="S510" s="87"/>
      <c r="T510" s="87"/>
      <c r="U510" s="87"/>
      <c r="V510" s="48"/>
      <c r="W510" s="48"/>
      <c r="X510" s="48"/>
      <c r="Y510" s="48"/>
      <c r="Z510" s="47"/>
      <c r="AA510" s="69">
        <v>510</v>
      </c>
      <c r="AB510" s="69"/>
      <c r="AC510" s="70"/>
      <c r="AD510" s="76" t="s">
        <v>21747</v>
      </c>
      <c r="AE510" s="81" t="s">
        <v>20663</v>
      </c>
      <c r="AF510" s="76">
        <v>875</v>
      </c>
      <c r="AG510" s="76">
        <v>841</v>
      </c>
      <c r="AH510" s="76">
        <v>42500</v>
      </c>
      <c r="AI510" s="76">
        <v>7</v>
      </c>
      <c r="AJ510" s="76">
        <v>8107</v>
      </c>
      <c r="AK510" s="76">
        <v>23303</v>
      </c>
      <c r="AL510" s="76" t="b">
        <v>0</v>
      </c>
      <c r="AM510" s="78">
        <v>44161.628275462965</v>
      </c>
      <c r="AN510" s="76"/>
      <c r="AO510" s="76" t="s">
        <v>25164</v>
      </c>
      <c r="AP510" s="82" t="str">
        <f>HYPERLINK("https://t.co/V6BnHVKeeM")</f>
        <v>https://t.co/V6BnHVKeeM</v>
      </c>
      <c r="AQ510" s="82" t="str">
        <f>HYPERLINK("https://www.instagram.com/tradingalerts.official/")</f>
        <v>https://www.instagram.com/tradingalerts.official/</v>
      </c>
      <c r="AR510" s="76" t="s">
        <v>26652</v>
      </c>
      <c r="AS510" s="76"/>
      <c r="AT510" s="76"/>
      <c r="AU510" s="76"/>
      <c r="AV510" s="76">
        <v>1.6208407806245399E+18</v>
      </c>
      <c r="AW510" s="82" t="str">
        <f>HYPERLINK("https://t.co/V6BnHVKeeM")</f>
        <v>https://t.co/V6BnHVKeeM</v>
      </c>
      <c r="AX510" s="76" t="b">
        <v>1</v>
      </c>
      <c r="AY510" s="76"/>
      <c r="AZ510" s="76"/>
      <c r="BA510" s="76" t="b">
        <v>1</v>
      </c>
      <c r="BB510" s="76" t="b">
        <v>1</v>
      </c>
      <c r="BC510" s="76" t="b">
        <v>1</v>
      </c>
      <c r="BD510" s="76" t="b">
        <v>0</v>
      </c>
      <c r="BE510" s="76" t="b">
        <v>1</v>
      </c>
      <c r="BF510" s="76" t="b">
        <v>0</v>
      </c>
      <c r="BG510" s="76" t="b">
        <v>0</v>
      </c>
      <c r="BH510" s="82" t="str">
        <f>HYPERLINK("https://pbs.twimg.com/profile_banners/1331977101403172866/1684328615")</f>
        <v>https://pbs.twimg.com/profile_banners/1331977101403172866/1684328615</v>
      </c>
      <c r="BI510" s="76"/>
      <c r="BJ510" s="76" t="s">
        <v>27595</v>
      </c>
      <c r="BK510" s="76" t="b">
        <v>0</v>
      </c>
      <c r="BL510" s="76"/>
      <c r="BM510" s="76" t="s">
        <v>66</v>
      </c>
      <c r="BN510" s="76" t="s">
        <v>27597</v>
      </c>
      <c r="BO510" s="82" t="str">
        <f>HYPERLINK("https://twitter.com/trading_alerts_")</f>
        <v>https://twitter.com/trading_alerts_</v>
      </c>
      <c r="BP510" s="2"/>
    </row>
    <row r="511" spans="1:68" x14ac:dyDescent="0.25">
      <c r="A511" s="62" t="s">
        <v>576</v>
      </c>
      <c r="B511" s="63"/>
      <c r="C511" s="63"/>
      <c r="D511" s="64"/>
      <c r="E511" s="66"/>
      <c r="F511" s="103" t="str">
        <f>HYPERLINK("https://pbs.twimg.com/profile_images/1461818210479710210/tJDcz0Ll_normal.jpg")</f>
        <v>https://pbs.twimg.com/profile_images/1461818210479710210/tJDcz0Ll_normal.jpg</v>
      </c>
      <c r="G511" s="63"/>
      <c r="H511" s="67"/>
      <c r="I511" s="68"/>
      <c r="J511" s="68"/>
      <c r="K511" s="67" t="s">
        <v>28105</v>
      </c>
      <c r="L511" s="71"/>
      <c r="M511" s="72"/>
      <c r="N511" s="72"/>
      <c r="O511" s="73"/>
      <c r="P511" s="74"/>
      <c r="Q511" s="74"/>
      <c r="R511" s="87"/>
      <c r="S511" s="87"/>
      <c r="T511" s="87"/>
      <c r="U511" s="87"/>
      <c r="V511" s="48"/>
      <c r="W511" s="48"/>
      <c r="X511" s="48"/>
      <c r="Y511" s="48"/>
      <c r="Z511" s="47"/>
      <c r="AA511" s="69">
        <v>511</v>
      </c>
      <c r="AB511" s="69"/>
      <c r="AC511" s="70"/>
      <c r="AD511" s="76" t="s">
        <v>21748</v>
      </c>
      <c r="AE511" s="81" t="s">
        <v>23339</v>
      </c>
      <c r="AF511" s="76">
        <v>1292396</v>
      </c>
      <c r="AG511" s="76">
        <v>670</v>
      </c>
      <c r="AH511" s="76">
        <v>207616</v>
      </c>
      <c r="AI511" s="76">
        <v>5148</v>
      </c>
      <c r="AJ511" s="76">
        <v>19383</v>
      </c>
      <c r="AK511" s="76">
        <v>62544</v>
      </c>
      <c r="AL511" s="76" t="b">
        <v>0</v>
      </c>
      <c r="AM511" s="78">
        <v>39903.672500000001</v>
      </c>
      <c r="AN511" s="76" t="s">
        <v>14382</v>
      </c>
      <c r="AO511" s="76" t="s">
        <v>25165</v>
      </c>
      <c r="AP511" s="82" t="str">
        <f>HYPERLINK("https://t.co/Xw8Qrbky3g")</f>
        <v>https://t.co/Xw8Qrbky3g</v>
      </c>
      <c r="AQ511" s="82" t="str">
        <f>HYPERLINK("https://jovempan.com.br/entretenimento")</f>
        <v>https://jovempan.com.br/entretenimento</v>
      </c>
      <c r="AR511" s="76" t="s">
        <v>26653</v>
      </c>
      <c r="AS511" s="76"/>
      <c r="AT511" s="76"/>
      <c r="AU511" s="76"/>
      <c r="AV511" s="76"/>
      <c r="AW511" s="82" t="str">
        <f>HYPERLINK("https://t.co/Xw8Qrbky3g")</f>
        <v>https://t.co/Xw8Qrbky3g</v>
      </c>
      <c r="AX511" s="76" t="b">
        <v>1</v>
      </c>
      <c r="AY511" s="76"/>
      <c r="AZ511" s="76"/>
      <c r="BA511" s="76" t="b">
        <v>0</v>
      </c>
      <c r="BB511" s="76" t="b">
        <v>1</v>
      </c>
      <c r="BC511" s="76" t="b">
        <v>0</v>
      </c>
      <c r="BD511" s="76" t="b">
        <v>0</v>
      </c>
      <c r="BE511" s="76" t="b">
        <v>1</v>
      </c>
      <c r="BF511" s="76" t="b">
        <v>0</v>
      </c>
      <c r="BG511" s="76" t="b">
        <v>0</v>
      </c>
      <c r="BH511" s="82" t="str">
        <f>HYPERLINK("https://pbs.twimg.com/profile_banners/27900594/1645209750")</f>
        <v>https://pbs.twimg.com/profile_banners/27900594/1645209750</v>
      </c>
      <c r="BI511" s="76"/>
      <c r="BJ511" s="76" t="s">
        <v>27595</v>
      </c>
      <c r="BK511" s="76" t="b">
        <v>0</v>
      </c>
      <c r="BL511" s="76"/>
      <c r="BM511" s="76" t="s">
        <v>66</v>
      </c>
      <c r="BN511" s="76" t="s">
        <v>27597</v>
      </c>
      <c r="BO511" s="82" t="str">
        <f>HYPERLINK("https://twitter.com/jovempanentrete")</f>
        <v>https://twitter.com/jovempanentrete</v>
      </c>
      <c r="BP511" s="2"/>
    </row>
    <row r="512" spans="1:68" x14ac:dyDescent="0.25">
      <c r="A512" s="62" t="s">
        <v>577</v>
      </c>
      <c r="B512" s="63"/>
      <c r="C512" s="63"/>
      <c r="D512" s="64"/>
      <c r="E512" s="66"/>
      <c r="F512" s="103" t="str">
        <f>HYPERLINK("https://pbs.twimg.com/profile_images/1418686401395269636/aYOrY29y_normal.jpg")</f>
        <v>https://pbs.twimg.com/profile_images/1418686401395269636/aYOrY29y_normal.jpg</v>
      </c>
      <c r="G512" s="63"/>
      <c r="H512" s="67"/>
      <c r="I512" s="68"/>
      <c r="J512" s="68"/>
      <c r="K512" s="67" t="s">
        <v>28106</v>
      </c>
      <c r="L512" s="71"/>
      <c r="M512" s="72"/>
      <c r="N512" s="72"/>
      <c r="O512" s="73"/>
      <c r="P512" s="74"/>
      <c r="Q512" s="74"/>
      <c r="R512" s="87"/>
      <c r="S512" s="87"/>
      <c r="T512" s="87"/>
      <c r="U512" s="87"/>
      <c r="V512" s="48"/>
      <c r="W512" s="48"/>
      <c r="X512" s="48"/>
      <c r="Y512" s="48"/>
      <c r="Z512" s="47"/>
      <c r="AA512" s="69">
        <v>512</v>
      </c>
      <c r="AB512" s="69"/>
      <c r="AC512" s="70"/>
      <c r="AD512" s="76" t="s">
        <v>21749</v>
      </c>
      <c r="AE512" s="81" t="s">
        <v>20664</v>
      </c>
      <c r="AF512" s="76">
        <v>506</v>
      </c>
      <c r="AG512" s="76">
        <v>826</v>
      </c>
      <c r="AH512" s="76">
        <v>39737</v>
      </c>
      <c r="AI512" s="76">
        <v>0</v>
      </c>
      <c r="AJ512" s="76">
        <v>144962</v>
      </c>
      <c r="AK512" s="76">
        <v>1376</v>
      </c>
      <c r="AL512" s="76" t="b">
        <v>0</v>
      </c>
      <c r="AM512" s="78">
        <v>44312.172685185185</v>
      </c>
      <c r="AN512" s="76"/>
      <c r="AO512" s="76" t="s">
        <v>25166</v>
      </c>
      <c r="AP512" s="76"/>
      <c r="AQ512" s="76"/>
      <c r="AR512" s="76"/>
      <c r="AS512" s="76"/>
      <c r="AT512" s="76"/>
      <c r="AU512" s="76"/>
      <c r="AV512" s="76"/>
      <c r="AW512" s="76"/>
      <c r="AX512" s="76" t="b">
        <v>0</v>
      </c>
      <c r="AY512" s="76"/>
      <c r="AZ512" s="76"/>
      <c r="BA512" s="76" t="b">
        <v>0</v>
      </c>
      <c r="BB512" s="76" t="b">
        <v>1</v>
      </c>
      <c r="BC512" s="76" t="b">
        <v>1</v>
      </c>
      <c r="BD512" s="76" t="b">
        <v>0</v>
      </c>
      <c r="BE512" s="76" t="b">
        <v>1</v>
      </c>
      <c r="BF512" s="76" t="b">
        <v>0</v>
      </c>
      <c r="BG512" s="76" t="b">
        <v>0</v>
      </c>
      <c r="BH512" s="76"/>
      <c r="BI512" s="76"/>
      <c r="BJ512" s="76" t="s">
        <v>27595</v>
      </c>
      <c r="BK512" s="76" t="b">
        <v>0</v>
      </c>
      <c r="BL512" s="76"/>
      <c r="BM512" s="76" t="s">
        <v>66</v>
      </c>
      <c r="BN512" s="76" t="s">
        <v>27597</v>
      </c>
      <c r="BO512" s="82" t="str">
        <f>HYPERLINK("https://twitter.com/copuchento5")</f>
        <v>https://twitter.com/copuchento5</v>
      </c>
      <c r="BP512" s="2"/>
    </row>
    <row r="513" spans="1:68" x14ac:dyDescent="0.25">
      <c r="A513" s="62" t="s">
        <v>578</v>
      </c>
      <c r="B513" s="63"/>
      <c r="C513" s="63"/>
      <c r="D513" s="64"/>
      <c r="E513" s="66"/>
      <c r="F513" s="103" t="str">
        <f>HYPERLINK("https://pbs.twimg.com/profile_images/1639259989247229952/NWhCRbdY_normal.jpg")</f>
        <v>https://pbs.twimg.com/profile_images/1639259989247229952/NWhCRbdY_normal.jpg</v>
      </c>
      <c r="G513" s="63"/>
      <c r="H513" s="67"/>
      <c r="I513" s="68"/>
      <c r="J513" s="68"/>
      <c r="K513" s="67" t="s">
        <v>28107</v>
      </c>
      <c r="L513" s="71"/>
      <c r="M513" s="72"/>
      <c r="N513" s="72"/>
      <c r="O513" s="73"/>
      <c r="P513" s="74"/>
      <c r="Q513" s="74"/>
      <c r="R513" s="87"/>
      <c r="S513" s="87"/>
      <c r="T513" s="87"/>
      <c r="U513" s="87"/>
      <c r="V513" s="48"/>
      <c r="W513" s="48"/>
      <c r="X513" s="48"/>
      <c r="Y513" s="48"/>
      <c r="Z513" s="47"/>
      <c r="AA513" s="69">
        <v>513</v>
      </c>
      <c r="AB513" s="69"/>
      <c r="AC513" s="70"/>
      <c r="AD513" s="76" t="s">
        <v>21750</v>
      </c>
      <c r="AE513" s="81" t="s">
        <v>20665</v>
      </c>
      <c r="AF513" s="76">
        <v>0</v>
      </c>
      <c r="AG513" s="76">
        <v>17</v>
      </c>
      <c r="AH513" s="76">
        <v>7</v>
      </c>
      <c r="AI513" s="76">
        <v>0</v>
      </c>
      <c r="AJ513" s="76">
        <v>0</v>
      </c>
      <c r="AK513" s="76">
        <v>7</v>
      </c>
      <c r="AL513" s="76" t="b">
        <v>0</v>
      </c>
      <c r="AM513" s="78">
        <v>45009.566504629627</v>
      </c>
      <c r="AN513" s="76"/>
      <c r="AO513" s="76"/>
      <c r="AP513" s="76"/>
      <c r="AQ513" s="76"/>
      <c r="AR513" s="76"/>
      <c r="AS513" s="76"/>
      <c r="AT513" s="76"/>
      <c r="AU513" s="76"/>
      <c r="AV513" s="76"/>
      <c r="AW513" s="76"/>
      <c r="AX513" s="76" t="b">
        <v>0</v>
      </c>
      <c r="AY513" s="76"/>
      <c r="AZ513" s="76"/>
      <c r="BA513" s="76" t="b">
        <v>0</v>
      </c>
      <c r="BB513" s="76" t="b">
        <v>1</v>
      </c>
      <c r="BC513" s="76" t="b">
        <v>1</v>
      </c>
      <c r="BD513" s="76" t="b">
        <v>0</v>
      </c>
      <c r="BE513" s="76" t="b">
        <v>0</v>
      </c>
      <c r="BF513" s="76" t="b">
        <v>0</v>
      </c>
      <c r="BG513" s="76" t="b">
        <v>0</v>
      </c>
      <c r="BH513" s="76"/>
      <c r="BI513" s="76"/>
      <c r="BJ513" s="76" t="s">
        <v>27595</v>
      </c>
      <c r="BK513" s="76" t="b">
        <v>0</v>
      </c>
      <c r="BL513" s="76"/>
      <c r="BM513" s="76" t="s">
        <v>66</v>
      </c>
      <c r="BN513" s="76" t="s">
        <v>27597</v>
      </c>
      <c r="BO513" s="82" t="str">
        <f>HYPERLINK("https://twitter.com/starcapitalofc")</f>
        <v>https://twitter.com/starcapitalofc</v>
      </c>
      <c r="BP513" s="2"/>
    </row>
    <row r="514" spans="1:68" x14ac:dyDescent="0.25">
      <c r="A514" s="62" t="s">
        <v>579</v>
      </c>
      <c r="B514" s="63"/>
      <c r="C514" s="63"/>
      <c r="D514" s="64"/>
      <c r="E514" s="66"/>
      <c r="F514" s="103" t="str">
        <f>HYPERLINK("https://pbs.twimg.com/profile_images/1267822783586680845/3LD42WeB_normal.jpg")</f>
        <v>https://pbs.twimg.com/profile_images/1267822783586680845/3LD42WeB_normal.jpg</v>
      </c>
      <c r="G514" s="63"/>
      <c r="H514" s="67"/>
      <c r="I514" s="68"/>
      <c r="J514" s="68"/>
      <c r="K514" s="67" t="s">
        <v>28108</v>
      </c>
      <c r="L514" s="71"/>
      <c r="M514" s="72"/>
      <c r="N514" s="72"/>
      <c r="O514" s="73"/>
      <c r="P514" s="74"/>
      <c r="Q514" s="74"/>
      <c r="R514" s="87"/>
      <c r="S514" s="87"/>
      <c r="T514" s="87"/>
      <c r="U514" s="87"/>
      <c r="V514" s="48"/>
      <c r="W514" s="48"/>
      <c r="X514" s="48"/>
      <c r="Y514" s="48"/>
      <c r="Z514" s="47"/>
      <c r="AA514" s="69">
        <v>514</v>
      </c>
      <c r="AB514" s="69"/>
      <c r="AC514" s="70"/>
      <c r="AD514" s="76" t="s">
        <v>21751</v>
      </c>
      <c r="AE514" s="81" t="s">
        <v>20666</v>
      </c>
      <c r="AF514" s="76">
        <v>1429</v>
      </c>
      <c r="AG514" s="76">
        <v>4771</v>
      </c>
      <c r="AH514" s="76">
        <v>6961</v>
      </c>
      <c r="AI514" s="76">
        <v>6</v>
      </c>
      <c r="AJ514" s="76">
        <v>148</v>
      </c>
      <c r="AK514" s="76">
        <v>1711</v>
      </c>
      <c r="AL514" s="76" t="b">
        <v>0</v>
      </c>
      <c r="AM514" s="78">
        <v>43984.594976851855</v>
      </c>
      <c r="AN514" s="76" t="s">
        <v>24128</v>
      </c>
      <c r="AO514" s="76" t="s">
        <v>25167</v>
      </c>
      <c r="AP514" s="82" t="str">
        <f>HYPERLINK("https://t.co/Xy8vBGYpCC")</f>
        <v>https://t.co/Xy8vBGYpCC</v>
      </c>
      <c r="AQ514" s="82" t="str">
        <f>HYPERLINK("http://www.agencianova.com")</f>
        <v>http://www.agencianova.com</v>
      </c>
      <c r="AR514" s="76" t="s">
        <v>8697</v>
      </c>
      <c r="AS514" s="76"/>
      <c r="AT514" s="76"/>
      <c r="AU514" s="76"/>
      <c r="AV514" s="76"/>
      <c r="AW514" s="82" t="str">
        <f>HYPERLINK("https://t.co/Xy8vBGYpCC")</f>
        <v>https://t.co/Xy8vBGYpCC</v>
      </c>
      <c r="AX514" s="76" t="b">
        <v>1</v>
      </c>
      <c r="AY514" s="76"/>
      <c r="AZ514" s="76"/>
      <c r="BA514" s="76" t="b">
        <v>1</v>
      </c>
      <c r="BB514" s="76" t="b">
        <v>1</v>
      </c>
      <c r="BC514" s="76" t="b">
        <v>1</v>
      </c>
      <c r="BD514" s="76" t="b">
        <v>0</v>
      </c>
      <c r="BE514" s="76" t="b">
        <v>0</v>
      </c>
      <c r="BF514" s="76" t="b">
        <v>0</v>
      </c>
      <c r="BG514" s="76" t="b">
        <v>1</v>
      </c>
      <c r="BH514" s="82" t="str">
        <f>HYPERLINK("https://pbs.twimg.com/profile_banners/1267822393600270349/1591107745")</f>
        <v>https://pbs.twimg.com/profile_banners/1267822393600270349/1591107745</v>
      </c>
      <c r="BI514" s="76" t="s">
        <v>27594</v>
      </c>
      <c r="BJ514" s="76" t="s">
        <v>27595</v>
      </c>
      <c r="BK514" s="76" t="b">
        <v>0</v>
      </c>
      <c r="BL514" s="76"/>
      <c r="BM514" s="76" t="s">
        <v>66</v>
      </c>
      <c r="BN514" s="76" t="s">
        <v>27597</v>
      </c>
      <c r="BO514" s="82" t="str">
        <f>HYPERLINK("https://twitter.com/mariocasalongue")</f>
        <v>https://twitter.com/mariocasalongue</v>
      </c>
      <c r="BP514" s="2"/>
    </row>
    <row r="515" spans="1:68" x14ac:dyDescent="0.25">
      <c r="A515" s="62" t="s">
        <v>1814</v>
      </c>
      <c r="B515" s="63"/>
      <c r="C515" s="63"/>
      <c r="D515" s="64"/>
      <c r="E515" s="66"/>
      <c r="F515" s="103" t="str">
        <f>HYPERLINK("https://pbs.twimg.com/profile_images/1509628861885005826/-D3L-uXJ_normal.jpg")</f>
        <v>https://pbs.twimg.com/profile_images/1509628861885005826/-D3L-uXJ_normal.jpg</v>
      </c>
      <c r="G515" s="63"/>
      <c r="H515" s="67"/>
      <c r="I515" s="68"/>
      <c r="J515" s="68"/>
      <c r="K515" s="67" t="s">
        <v>28109</v>
      </c>
      <c r="L515" s="71"/>
      <c r="M515" s="72"/>
      <c r="N515" s="72"/>
      <c r="O515" s="73"/>
      <c r="P515" s="74"/>
      <c r="Q515" s="74"/>
      <c r="R515" s="87"/>
      <c r="S515" s="87"/>
      <c r="T515" s="87"/>
      <c r="U515" s="87"/>
      <c r="V515" s="48"/>
      <c r="W515" s="48"/>
      <c r="X515" s="48"/>
      <c r="Y515" s="48"/>
      <c r="Z515" s="47"/>
      <c r="AA515" s="69">
        <v>515</v>
      </c>
      <c r="AB515" s="69"/>
      <c r="AC515" s="70"/>
      <c r="AD515" s="76" t="s">
        <v>21752</v>
      </c>
      <c r="AE515" s="81" t="s">
        <v>23340</v>
      </c>
      <c r="AF515" s="76">
        <v>207022</v>
      </c>
      <c r="AG515" s="76">
        <v>257</v>
      </c>
      <c r="AH515" s="76">
        <v>79004</v>
      </c>
      <c r="AI515" s="76">
        <v>361</v>
      </c>
      <c r="AJ515" s="76">
        <v>203</v>
      </c>
      <c r="AK515" s="76">
        <v>32136</v>
      </c>
      <c r="AL515" s="76" t="b">
        <v>0</v>
      </c>
      <c r="AM515" s="78">
        <v>40907.686747685184</v>
      </c>
      <c r="AN515" s="76" t="s">
        <v>24256</v>
      </c>
      <c r="AO515" s="76" t="s">
        <v>25168</v>
      </c>
      <c r="AP515" s="82" t="str">
        <f>HYPERLINK("https://t.co/IgWLVUwDQX")</f>
        <v>https://t.co/IgWLVUwDQX</v>
      </c>
      <c r="AQ515" s="82" t="str">
        <f>HYPERLINK("https://www.cba.gov.ar/")</f>
        <v>https://www.cba.gov.ar/</v>
      </c>
      <c r="AR515" s="76" t="s">
        <v>26654</v>
      </c>
      <c r="AS515" s="76"/>
      <c r="AT515" s="76"/>
      <c r="AU515" s="76"/>
      <c r="AV515" s="76"/>
      <c r="AW515" s="82" t="str">
        <f>HYPERLINK("https://t.co/IgWLVUwDQX")</f>
        <v>https://t.co/IgWLVUwDQX</v>
      </c>
      <c r="AX515" s="76" t="b">
        <v>0</v>
      </c>
      <c r="AY515" s="76"/>
      <c r="AZ515" s="76"/>
      <c r="BA515" s="76" t="b">
        <v>1</v>
      </c>
      <c r="BB515" s="76" t="b">
        <v>1</v>
      </c>
      <c r="BC515" s="76" t="b">
        <v>0</v>
      </c>
      <c r="BD515" s="76" t="b">
        <v>0</v>
      </c>
      <c r="BE515" s="76" t="b">
        <v>1</v>
      </c>
      <c r="BF515" s="76" t="b">
        <v>0</v>
      </c>
      <c r="BG515" s="76" t="b">
        <v>0</v>
      </c>
      <c r="BH515" s="82" t="str">
        <f>HYPERLINK("https://pbs.twimg.com/profile_banners/450753390/1685282670")</f>
        <v>https://pbs.twimg.com/profile_banners/450753390/1685282670</v>
      </c>
      <c r="BI515" s="76"/>
      <c r="BJ515" s="76" t="s">
        <v>27595</v>
      </c>
      <c r="BK515" s="76" t="b">
        <v>0</v>
      </c>
      <c r="BL515" s="76"/>
      <c r="BM515" s="76" t="s">
        <v>65</v>
      </c>
      <c r="BN515" s="76" t="s">
        <v>27597</v>
      </c>
      <c r="BO515" s="82" t="str">
        <f>HYPERLINK("https://twitter.com/gobdecordoba")</f>
        <v>https://twitter.com/gobdecordoba</v>
      </c>
      <c r="BP515" s="2"/>
    </row>
    <row r="516" spans="1:68" x14ac:dyDescent="0.25">
      <c r="A516" s="62" t="s">
        <v>1815</v>
      </c>
      <c r="B516" s="63"/>
      <c r="C516" s="63"/>
      <c r="D516" s="64"/>
      <c r="E516" s="66"/>
      <c r="F516" s="103" t="str">
        <f>HYPERLINK("https://pbs.twimg.com/profile_images/1217797675510325248/vzolqGx2_normal.jpg")</f>
        <v>https://pbs.twimg.com/profile_images/1217797675510325248/vzolqGx2_normal.jpg</v>
      </c>
      <c r="G516" s="63"/>
      <c r="H516" s="67"/>
      <c r="I516" s="68"/>
      <c r="J516" s="68"/>
      <c r="K516" s="67" t="s">
        <v>28110</v>
      </c>
      <c r="L516" s="71"/>
      <c r="M516" s="72"/>
      <c r="N516" s="72"/>
      <c r="O516" s="73"/>
      <c r="P516" s="74"/>
      <c r="Q516" s="74"/>
      <c r="R516" s="87"/>
      <c r="S516" s="87"/>
      <c r="T516" s="87"/>
      <c r="U516" s="87"/>
      <c r="V516" s="48"/>
      <c r="W516" s="48"/>
      <c r="X516" s="48"/>
      <c r="Y516" s="48"/>
      <c r="Z516" s="47"/>
      <c r="AA516" s="69">
        <v>516</v>
      </c>
      <c r="AB516" s="69"/>
      <c r="AC516" s="70"/>
      <c r="AD516" s="76" t="s">
        <v>21753</v>
      </c>
      <c r="AE516" s="81" t="s">
        <v>23341</v>
      </c>
      <c r="AF516" s="76">
        <v>91970</v>
      </c>
      <c r="AG516" s="76">
        <v>108</v>
      </c>
      <c r="AH516" s="76">
        <v>10879</v>
      </c>
      <c r="AI516" s="76">
        <v>355</v>
      </c>
      <c r="AJ516" s="76">
        <v>532</v>
      </c>
      <c r="AK516" s="76">
        <v>5928</v>
      </c>
      <c r="AL516" s="76" t="b">
        <v>0</v>
      </c>
      <c r="AM516" s="78">
        <v>41934.854456018518</v>
      </c>
      <c r="AN516" s="76" t="s">
        <v>14499</v>
      </c>
      <c r="AO516" s="76" t="s">
        <v>25169</v>
      </c>
      <c r="AP516" s="82" t="str">
        <f>HYPERLINK("https://t.co/dRDO4NFMpp")</f>
        <v>https://t.co/dRDO4NFMpp</v>
      </c>
      <c r="AQ516" s="82" t="str">
        <f>HYPERLINK("https://www.facebook.com/SchiarettiOk")</f>
        <v>https://www.facebook.com/SchiarettiOk</v>
      </c>
      <c r="AR516" s="76" t="s">
        <v>26655</v>
      </c>
      <c r="AS516" s="76"/>
      <c r="AT516" s="76"/>
      <c r="AU516" s="76"/>
      <c r="AV516" s="76"/>
      <c r="AW516" s="82" t="str">
        <f>HYPERLINK("https://t.co/dRDO4NFMpp")</f>
        <v>https://t.co/dRDO4NFMpp</v>
      </c>
      <c r="AX516" s="76" t="b">
        <v>1</v>
      </c>
      <c r="AY516" s="76"/>
      <c r="AZ516" s="76"/>
      <c r="BA516" s="76" t="b">
        <v>0</v>
      </c>
      <c r="BB516" s="76" t="b">
        <v>1</v>
      </c>
      <c r="BC516" s="76" t="b">
        <v>0</v>
      </c>
      <c r="BD516" s="76" t="b">
        <v>0</v>
      </c>
      <c r="BE516" s="76" t="b">
        <v>0</v>
      </c>
      <c r="BF516" s="76" t="b">
        <v>0</v>
      </c>
      <c r="BG516" s="76" t="b">
        <v>0</v>
      </c>
      <c r="BH516" s="82" t="str">
        <f>HYPERLINK("https://pbs.twimg.com/profile_banners/2841506345/1663101335")</f>
        <v>https://pbs.twimg.com/profile_banners/2841506345/1663101335</v>
      </c>
      <c r="BI516" s="76"/>
      <c r="BJ516" s="76" t="s">
        <v>27595</v>
      </c>
      <c r="BK516" s="76" t="b">
        <v>0</v>
      </c>
      <c r="BL516" s="76"/>
      <c r="BM516" s="76" t="s">
        <v>65</v>
      </c>
      <c r="BN516" s="76" t="s">
        <v>27597</v>
      </c>
      <c r="BO516" s="82" t="str">
        <f>HYPERLINK("https://twitter.com/jschiaretti")</f>
        <v>https://twitter.com/jschiaretti</v>
      </c>
      <c r="BP516" s="2"/>
    </row>
    <row r="517" spans="1:68" x14ac:dyDescent="0.25">
      <c r="A517" s="62" t="s">
        <v>580</v>
      </c>
      <c r="B517" s="63"/>
      <c r="C517" s="63"/>
      <c r="D517" s="64"/>
      <c r="E517" s="66"/>
      <c r="F517" s="103" t="str">
        <f>HYPERLINK("https://pbs.twimg.com/profile_images/1693101030848843776/7WXcAMBv_normal.jpg")</f>
        <v>https://pbs.twimg.com/profile_images/1693101030848843776/7WXcAMBv_normal.jpg</v>
      </c>
      <c r="G517" s="63"/>
      <c r="H517" s="67"/>
      <c r="I517" s="68"/>
      <c r="J517" s="68"/>
      <c r="K517" s="67" t="s">
        <v>28111</v>
      </c>
      <c r="L517" s="71"/>
      <c r="M517" s="72"/>
      <c r="N517" s="72"/>
      <c r="O517" s="73"/>
      <c r="P517" s="74"/>
      <c r="Q517" s="74"/>
      <c r="R517" s="87"/>
      <c r="S517" s="87"/>
      <c r="T517" s="87"/>
      <c r="U517" s="87"/>
      <c r="V517" s="48"/>
      <c r="W517" s="48"/>
      <c r="X517" s="48"/>
      <c r="Y517" s="48"/>
      <c r="Z517" s="47"/>
      <c r="AA517" s="69">
        <v>517</v>
      </c>
      <c r="AB517" s="69"/>
      <c r="AC517" s="70"/>
      <c r="AD517" s="76" t="s">
        <v>21754</v>
      </c>
      <c r="AE517" s="81" t="s">
        <v>20667</v>
      </c>
      <c r="AF517" s="76">
        <v>764</v>
      </c>
      <c r="AG517" s="76">
        <v>2684</v>
      </c>
      <c r="AH517" s="76">
        <v>11334</v>
      </c>
      <c r="AI517" s="76">
        <v>5</v>
      </c>
      <c r="AJ517" s="76">
        <v>3287</v>
      </c>
      <c r="AK517" s="76">
        <v>3282</v>
      </c>
      <c r="AL517" s="76" t="b">
        <v>0</v>
      </c>
      <c r="AM517" s="78">
        <v>44424.040277777778</v>
      </c>
      <c r="AN517" s="76" t="s">
        <v>24257</v>
      </c>
      <c r="AO517" s="76" t="s">
        <v>25170</v>
      </c>
      <c r="AP517" s="76"/>
      <c r="AQ517" s="76"/>
      <c r="AR517" s="76"/>
      <c r="AS517" s="76"/>
      <c r="AT517" s="76"/>
      <c r="AU517" s="76"/>
      <c r="AV517" s="76">
        <v>1.6864350662918999E+18</v>
      </c>
      <c r="AW517" s="76"/>
      <c r="AX517" s="76" t="b">
        <v>0</v>
      </c>
      <c r="AY517" s="76"/>
      <c r="AZ517" s="76"/>
      <c r="BA517" s="76" t="b">
        <v>1</v>
      </c>
      <c r="BB517" s="76" t="b">
        <v>1</v>
      </c>
      <c r="BC517" s="76" t="b">
        <v>1</v>
      </c>
      <c r="BD517" s="76" t="b">
        <v>0</v>
      </c>
      <c r="BE517" s="76" t="b">
        <v>1</v>
      </c>
      <c r="BF517" s="76" t="b">
        <v>0</v>
      </c>
      <c r="BG517" s="76" t="b">
        <v>1</v>
      </c>
      <c r="BH517" s="82" t="str">
        <f>HYPERLINK("https://pbs.twimg.com/profile_banners/1427071967929290767/1689634114")</f>
        <v>https://pbs.twimg.com/profile_banners/1427071967929290767/1689634114</v>
      </c>
      <c r="BI517" s="76" t="s">
        <v>27594</v>
      </c>
      <c r="BJ517" s="76" t="s">
        <v>27595</v>
      </c>
      <c r="BK517" s="76" t="b">
        <v>0</v>
      </c>
      <c r="BL517" s="76"/>
      <c r="BM517" s="76" t="s">
        <v>66</v>
      </c>
      <c r="BN517" s="76" t="s">
        <v>27597</v>
      </c>
      <c r="BO517" s="82" t="str">
        <f>HYPERLINK("https://twitter.com/enriquewacker")</f>
        <v>https://twitter.com/enriquewacker</v>
      </c>
      <c r="BP517" s="2"/>
    </row>
    <row r="518" spans="1:68" x14ac:dyDescent="0.25">
      <c r="A518" s="62" t="s">
        <v>581</v>
      </c>
      <c r="B518" s="63"/>
      <c r="C518" s="63"/>
      <c r="D518" s="64"/>
      <c r="E518" s="66"/>
      <c r="F518" s="103" t="str">
        <f>HYPERLINK("https://pbs.twimg.com/profile_images/1524490174071246849/Ts-pJmFi_normal.jpg")</f>
        <v>https://pbs.twimg.com/profile_images/1524490174071246849/Ts-pJmFi_normal.jpg</v>
      </c>
      <c r="G518" s="63"/>
      <c r="H518" s="67"/>
      <c r="I518" s="68"/>
      <c r="J518" s="68"/>
      <c r="K518" s="67" t="s">
        <v>28112</v>
      </c>
      <c r="L518" s="71"/>
      <c r="M518" s="72"/>
      <c r="N518" s="72"/>
      <c r="O518" s="73"/>
      <c r="P518" s="74"/>
      <c r="Q518" s="74"/>
      <c r="R518" s="87"/>
      <c r="S518" s="87"/>
      <c r="T518" s="87"/>
      <c r="U518" s="87"/>
      <c r="V518" s="48"/>
      <c r="W518" s="48"/>
      <c r="X518" s="48"/>
      <c r="Y518" s="48"/>
      <c r="Z518" s="47"/>
      <c r="AA518" s="69">
        <v>518</v>
      </c>
      <c r="AB518" s="69"/>
      <c r="AC518" s="70"/>
      <c r="AD518" s="76" t="s">
        <v>21755</v>
      </c>
      <c r="AE518" s="81" t="s">
        <v>23342</v>
      </c>
      <c r="AF518" s="76">
        <v>442504</v>
      </c>
      <c r="AG518" s="76">
        <v>844</v>
      </c>
      <c r="AH518" s="76">
        <v>163904</v>
      </c>
      <c r="AI518" s="76">
        <v>473</v>
      </c>
      <c r="AJ518" s="76">
        <v>910</v>
      </c>
      <c r="AK518" s="76">
        <v>23848</v>
      </c>
      <c r="AL518" s="76" t="b">
        <v>0</v>
      </c>
      <c r="AM518" s="78">
        <v>39674.575462962966</v>
      </c>
      <c r="AN518" s="76" t="s">
        <v>24258</v>
      </c>
      <c r="AO518" s="76" t="s">
        <v>25171</v>
      </c>
      <c r="AP518" s="82" t="str">
        <f>HYPERLINK("https://t.co/ndQS7kDEh8")</f>
        <v>https://t.co/ndQS7kDEh8</v>
      </c>
      <c r="AQ518" s="82" t="str">
        <f>HYPERLINK("http://www.ibahia.com")</f>
        <v>http://www.ibahia.com</v>
      </c>
      <c r="AR518" s="76" t="s">
        <v>26656</v>
      </c>
      <c r="AS518" s="76"/>
      <c r="AT518" s="76"/>
      <c r="AU518" s="76"/>
      <c r="AV518" s="76">
        <v>1.70495416153869E+18</v>
      </c>
      <c r="AW518" s="82" t="str">
        <f>HYPERLINK("https://t.co/ndQS7kDEh8")</f>
        <v>https://t.co/ndQS7kDEh8</v>
      </c>
      <c r="AX518" s="76" t="b">
        <v>0</v>
      </c>
      <c r="AY518" s="76"/>
      <c r="AZ518" s="76"/>
      <c r="BA518" s="76" t="b">
        <v>0</v>
      </c>
      <c r="BB518" s="76" t="b">
        <v>1</v>
      </c>
      <c r="BC518" s="76" t="b">
        <v>0</v>
      </c>
      <c r="BD518" s="76" t="b">
        <v>0</v>
      </c>
      <c r="BE518" s="76" t="b">
        <v>1</v>
      </c>
      <c r="BF518" s="76" t="b">
        <v>0</v>
      </c>
      <c r="BG518" s="76" t="b">
        <v>0</v>
      </c>
      <c r="BH518" s="82" t="str">
        <f>HYPERLINK("https://pbs.twimg.com/profile_banners/15850306/1683074505")</f>
        <v>https://pbs.twimg.com/profile_banners/15850306/1683074505</v>
      </c>
      <c r="BI518" s="76"/>
      <c r="BJ518" s="76" t="s">
        <v>27595</v>
      </c>
      <c r="BK518" s="76" t="b">
        <v>0</v>
      </c>
      <c r="BL518" s="76"/>
      <c r="BM518" s="76" t="s">
        <v>66</v>
      </c>
      <c r="BN518" s="76" t="s">
        <v>27597</v>
      </c>
      <c r="BO518" s="82" t="str">
        <f>HYPERLINK("https://twitter.com/ibahia")</f>
        <v>https://twitter.com/ibahia</v>
      </c>
      <c r="BP518" s="2"/>
    </row>
    <row r="519" spans="1:68" x14ac:dyDescent="0.25">
      <c r="A519" s="62" t="s">
        <v>582</v>
      </c>
      <c r="B519" s="63"/>
      <c r="C519" s="63"/>
      <c r="D519" s="64"/>
      <c r="E519" s="66"/>
      <c r="F519" s="103" t="str">
        <f>HYPERLINK("https://pbs.twimg.com/profile_images/1674087280112287746/RcIezjxx_normal.jpg")</f>
        <v>https://pbs.twimg.com/profile_images/1674087280112287746/RcIezjxx_normal.jpg</v>
      </c>
      <c r="G519" s="63"/>
      <c r="H519" s="67"/>
      <c r="I519" s="68"/>
      <c r="J519" s="68"/>
      <c r="K519" s="67" t="s">
        <v>28113</v>
      </c>
      <c r="L519" s="71"/>
      <c r="M519" s="72"/>
      <c r="N519" s="72"/>
      <c r="O519" s="73"/>
      <c r="P519" s="74"/>
      <c r="Q519" s="74"/>
      <c r="R519" s="87"/>
      <c r="S519" s="87"/>
      <c r="T519" s="87"/>
      <c r="U519" s="87"/>
      <c r="V519" s="48"/>
      <c r="W519" s="48"/>
      <c r="X519" s="48"/>
      <c r="Y519" s="48"/>
      <c r="Z519" s="47"/>
      <c r="AA519" s="69">
        <v>519</v>
      </c>
      <c r="AB519" s="69"/>
      <c r="AC519" s="70"/>
      <c r="AD519" s="76" t="s">
        <v>21756</v>
      </c>
      <c r="AE519" s="81" t="s">
        <v>20668</v>
      </c>
      <c r="AF519" s="76">
        <v>575</v>
      </c>
      <c r="AG519" s="76">
        <v>60</v>
      </c>
      <c r="AH519" s="76">
        <v>4111</v>
      </c>
      <c r="AI519" s="76">
        <v>3</v>
      </c>
      <c r="AJ519" s="76">
        <v>293</v>
      </c>
      <c r="AK519" s="76">
        <v>1168</v>
      </c>
      <c r="AL519" s="76" t="b">
        <v>0</v>
      </c>
      <c r="AM519" s="78">
        <v>43248.652280092596</v>
      </c>
      <c r="AN519" s="76" t="s">
        <v>14420</v>
      </c>
      <c r="AO519" s="76" t="s">
        <v>25172</v>
      </c>
      <c r="AP519" s="82" t="str">
        <f>HYPERLINK("https://t.co/uUWfQDl3PW")</f>
        <v>https://t.co/uUWfQDl3PW</v>
      </c>
      <c r="AQ519" s="82" t="str">
        <f>HYPERLINK("http://www.fedecom.org.ar")</f>
        <v>http://www.fedecom.org.ar</v>
      </c>
      <c r="AR519" s="76" t="s">
        <v>26657</v>
      </c>
      <c r="AS519" s="76"/>
      <c r="AT519" s="76"/>
      <c r="AU519" s="76"/>
      <c r="AV519" s="76"/>
      <c r="AW519" s="82" t="str">
        <f>HYPERLINK("https://t.co/uUWfQDl3PW")</f>
        <v>https://t.co/uUWfQDl3PW</v>
      </c>
      <c r="AX519" s="76" t="b">
        <v>0</v>
      </c>
      <c r="AY519" s="76"/>
      <c r="AZ519" s="76"/>
      <c r="BA519" s="76" t="b">
        <v>0</v>
      </c>
      <c r="BB519" s="76" t="b">
        <v>0</v>
      </c>
      <c r="BC519" s="76" t="b">
        <v>0</v>
      </c>
      <c r="BD519" s="76" t="b">
        <v>0</v>
      </c>
      <c r="BE519" s="76" t="b">
        <v>0</v>
      </c>
      <c r="BF519" s="76" t="b">
        <v>0</v>
      </c>
      <c r="BG519" s="76" t="b">
        <v>0</v>
      </c>
      <c r="BH519" s="82" t="str">
        <f>HYPERLINK("https://pbs.twimg.com/profile_banners/1001125765960826880/1569266605")</f>
        <v>https://pbs.twimg.com/profile_banners/1001125765960826880/1569266605</v>
      </c>
      <c r="BI519" s="76"/>
      <c r="BJ519" s="76" t="s">
        <v>27595</v>
      </c>
      <c r="BK519" s="76" t="b">
        <v>0</v>
      </c>
      <c r="BL519" s="76"/>
      <c r="BM519" s="76" t="s">
        <v>66</v>
      </c>
      <c r="BN519" s="76" t="s">
        <v>27597</v>
      </c>
      <c r="BO519" s="82" t="str">
        <f>HYPERLINK("https://twitter.com/fedecomcba")</f>
        <v>https://twitter.com/fedecomcba</v>
      </c>
      <c r="BP519" s="2"/>
    </row>
    <row r="520" spans="1:68" x14ac:dyDescent="0.25">
      <c r="A520" s="62" t="s">
        <v>583</v>
      </c>
      <c r="B520" s="63"/>
      <c r="C520" s="63"/>
      <c r="D520" s="64"/>
      <c r="E520" s="66"/>
      <c r="F520" s="103" t="str">
        <f>HYPERLINK("https://pbs.twimg.com/profile_images/1426264913488531461/aupqFjdw_normal.jpg")</f>
        <v>https://pbs.twimg.com/profile_images/1426264913488531461/aupqFjdw_normal.jpg</v>
      </c>
      <c r="G520" s="63"/>
      <c r="H520" s="67"/>
      <c r="I520" s="68"/>
      <c r="J520" s="68"/>
      <c r="K520" s="67" t="s">
        <v>28114</v>
      </c>
      <c r="L520" s="71"/>
      <c r="M520" s="72"/>
      <c r="N520" s="72"/>
      <c r="O520" s="73"/>
      <c r="P520" s="74"/>
      <c r="Q520" s="74"/>
      <c r="R520" s="87"/>
      <c r="S520" s="87"/>
      <c r="T520" s="87"/>
      <c r="U520" s="87"/>
      <c r="V520" s="48"/>
      <c r="W520" s="48"/>
      <c r="X520" s="48"/>
      <c r="Y520" s="48"/>
      <c r="Z520" s="47"/>
      <c r="AA520" s="69">
        <v>520</v>
      </c>
      <c r="AB520" s="69"/>
      <c r="AC520" s="70"/>
      <c r="AD520" s="76" t="s">
        <v>21757</v>
      </c>
      <c r="AE520" s="81" t="s">
        <v>23343</v>
      </c>
      <c r="AF520" s="76">
        <v>1933</v>
      </c>
      <c r="AG520" s="76">
        <v>4805</v>
      </c>
      <c r="AH520" s="76">
        <v>118786</v>
      </c>
      <c r="AI520" s="76">
        <v>65</v>
      </c>
      <c r="AJ520" s="76">
        <v>172</v>
      </c>
      <c r="AK520" s="76">
        <v>21328</v>
      </c>
      <c r="AL520" s="76" t="b">
        <v>0</v>
      </c>
      <c r="AM520" s="78">
        <v>41352.793124999997</v>
      </c>
      <c r="AN520" s="76" t="s">
        <v>24063</v>
      </c>
      <c r="AO520" s="76" t="s">
        <v>25173</v>
      </c>
      <c r="AP520" s="82" t="str">
        <f>HYPERLINK("https://t.co/q5cBmsH7bs")</f>
        <v>https://t.co/q5cBmsH7bs</v>
      </c>
      <c r="AQ520" s="82" t="str">
        <f>HYPERLINK("http://hechosnews.com")</f>
        <v>http://hechosnews.com</v>
      </c>
      <c r="AR520" s="76" t="s">
        <v>26658</v>
      </c>
      <c r="AS520" s="76"/>
      <c r="AT520" s="76"/>
      <c r="AU520" s="76"/>
      <c r="AV520" s="76">
        <v>1.5994237035524401E+18</v>
      </c>
      <c r="AW520" s="82" t="str">
        <f>HYPERLINK("https://t.co/q5cBmsH7bs")</f>
        <v>https://t.co/q5cBmsH7bs</v>
      </c>
      <c r="AX520" s="76" t="b">
        <v>0</v>
      </c>
      <c r="AY520" s="76"/>
      <c r="AZ520" s="76"/>
      <c r="BA520" s="76" t="b">
        <v>0</v>
      </c>
      <c r="BB520" s="76" t="b">
        <v>1</v>
      </c>
      <c r="BC520" s="76" t="b">
        <v>0</v>
      </c>
      <c r="BD520" s="76" t="b">
        <v>0</v>
      </c>
      <c r="BE520" s="76" t="b">
        <v>1</v>
      </c>
      <c r="BF520" s="76" t="b">
        <v>0</v>
      </c>
      <c r="BG520" s="76" t="b">
        <v>0</v>
      </c>
      <c r="BH520" s="82" t="str">
        <f>HYPERLINK("https://pbs.twimg.com/profile_banners/1281250640/1628885641")</f>
        <v>https://pbs.twimg.com/profile_banners/1281250640/1628885641</v>
      </c>
      <c r="BI520" s="76"/>
      <c r="BJ520" s="76" t="s">
        <v>27595</v>
      </c>
      <c r="BK520" s="76" t="b">
        <v>0</v>
      </c>
      <c r="BL520" s="76"/>
      <c r="BM520" s="76" t="s">
        <v>66</v>
      </c>
      <c r="BN520" s="76" t="s">
        <v>27597</v>
      </c>
      <c r="BO520" s="82" t="str">
        <f>HYPERLINK("https://twitter.com/hechosnews_")</f>
        <v>https://twitter.com/hechosnews_</v>
      </c>
      <c r="BP520" s="2"/>
    </row>
    <row r="521" spans="1:68" x14ac:dyDescent="0.25">
      <c r="A521" s="62" t="s">
        <v>1816</v>
      </c>
      <c r="B521" s="63"/>
      <c r="C521" s="63"/>
      <c r="D521" s="64"/>
      <c r="E521" s="66"/>
      <c r="F521" s="103" t="str">
        <f>HYPERLINK("https://pbs.twimg.com/profile_images/1542147071930781698/csq9CUPJ_normal.jpg")</f>
        <v>https://pbs.twimg.com/profile_images/1542147071930781698/csq9CUPJ_normal.jpg</v>
      </c>
      <c r="G521" s="63"/>
      <c r="H521" s="67"/>
      <c r="I521" s="68"/>
      <c r="J521" s="68"/>
      <c r="K521" s="67" t="s">
        <v>28115</v>
      </c>
      <c r="L521" s="71"/>
      <c r="M521" s="72"/>
      <c r="N521" s="72"/>
      <c r="O521" s="73"/>
      <c r="P521" s="74"/>
      <c r="Q521" s="74"/>
      <c r="R521" s="87"/>
      <c r="S521" s="87"/>
      <c r="T521" s="87"/>
      <c r="U521" s="87"/>
      <c r="V521" s="48"/>
      <c r="W521" s="48"/>
      <c r="X521" s="48"/>
      <c r="Y521" s="48"/>
      <c r="Z521" s="47"/>
      <c r="AA521" s="69">
        <v>521</v>
      </c>
      <c r="AB521" s="69"/>
      <c r="AC521" s="70"/>
      <c r="AD521" s="76" t="s">
        <v>21758</v>
      </c>
      <c r="AE521" s="81" t="s">
        <v>23344</v>
      </c>
      <c r="AF521" s="76">
        <v>40787</v>
      </c>
      <c r="AG521" s="76">
        <v>1380</v>
      </c>
      <c r="AH521" s="76">
        <v>14196</v>
      </c>
      <c r="AI521" s="76">
        <v>154</v>
      </c>
      <c r="AJ521" s="76">
        <v>5647</v>
      </c>
      <c r="AK521" s="76">
        <v>5449</v>
      </c>
      <c r="AL521" s="76" t="b">
        <v>0</v>
      </c>
      <c r="AM521" s="78">
        <v>40106.587719907409</v>
      </c>
      <c r="AN521" s="76" t="s">
        <v>24063</v>
      </c>
      <c r="AO521" s="76" t="s">
        <v>25174</v>
      </c>
      <c r="AP521" s="82" t="str">
        <f>HYPERLINK("https://t.co/RGGPmqXtVv")</f>
        <v>https://t.co/RGGPmqXtVv</v>
      </c>
      <c r="AQ521" s="82" t="str">
        <f>HYPERLINK("https://prodominicana.gob.do")</f>
        <v>https://prodominicana.gob.do</v>
      </c>
      <c r="AR521" s="76" t="s">
        <v>26659</v>
      </c>
      <c r="AS521" s="76"/>
      <c r="AT521" s="76"/>
      <c r="AU521" s="76"/>
      <c r="AV521" s="76"/>
      <c r="AW521" s="82" t="str">
        <f>HYPERLINK("https://t.co/RGGPmqXtVv")</f>
        <v>https://t.co/RGGPmqXtVv</v>
      </c>
      <c r="AX521" s="76" t="b">
        <v>0</v>
      </c>
      <c r="AY521" s="76"/>
      <c r="AZ521" s="76"/>
      <c r="BA521" s="76" t="b">
        <v>1</v>
      </c>
      <c r="BB521" s="76" t="b">
        <v>0</v>
      </c>
      <c r="BC521" s="76" t="b">
        <v>0</v>
      </c>
      <c r="BD521" s="76" t="b">
        <v>0</v>
      </c>
      <c r="BE521" s="76" t="b">
        <v>1</v>
      </c>
      <c r="BF521" s="76" t="b">
        <v>0</v>
      </c>
      <c r="BG521" s="76" t="b">
        <v>1</v>
      </c>
      <c r="BH521" s="82" t="str">
        <f>HYPERLINK("https://pbs.twimg.com/profile_banners/83850737/1647889880")</f>
        <v>https://pbs.twimg.com/profile_banners/83850737/1647889880</v>
      </c>
      <c r="BI521" s="76"/>
      <c r="BJ521" s="76" t="s">
        <v>27596</v>
      </c>
      <c r="BK521" s="76" t="b">
        <v>0</v>
      </c>
      <c r="BL521" s="76"/>
      <c r="BM521" s="76" t="s">
        <v>65</v>
      </c>
      <c r="BN521" s="76" t="s">
        <v>27597</v>
      </c>
      <c r="BO521" s="82" t="str">
        <f>HYPERLINK("https://twitter.com/prodominicana")</f>
        <v>https://twitter.com/prodominicana</v>
      </c>
      <c r="BP521" s="2"/>
    </row>
    <row r="522" spans="1:68" x14ac:dyDescent="0.25">
      <c r="A522" s="62" t="s">
        <v>584</v>
      </c>
      <c r="B522" s="63"/>
      <c r="C522" s="63"/>
      <c r="D522" s="64"/>
      <c r="E522" s="66"/>
      <c r="F522" s="103" t="str">
        <f>HYPERLINK("https://pbs.twimg.com/profile_images/604674720978497536/uPhkXcdu_normal.jpg")</f>
        <v>https://pbs.twimg.com/profile_images/604674720978497536/uPhkXcdu_normal.jpg</v>
      </c>
      <c r="G522" s="63"/>
      <c r="H522" s="67"/>
      <c r="I522" s="68"/>
      <c r="J522" s="68"/>
      <c r="K522" s="67" t="s">
        <v>28116</v>
      </c>
      <c r="L522" s="71"/>
      <c r="M522" s="72"/>
      <c r="N522" s="72"/>
      <c r="O522" s="73"/>
      <c r="P522" s="74"/>
      <c r="Q522" s="74"/>
      <c r="R522" s="87"/>
      <c r="S522" s="87"/>
      <c r="T522" s="87"/>
      <c r="U522" s="87"/>
      <c r="V522" s="48"/>
      <c r="W522" s="48"/>
      <c r="X522" s="48"/>
      <c r="Y522" s="48"/>
      <c r="Z522" s="47"/>
      <c r="AA522" s="69">
        <v>522</v>
      </c>
      <c r="AB522" s="69"/>
      <c r="AC522" s="70"/>
      <c r="AD522" s="76" t="s">
        <v>21759</v>
      </c>
      <c r="AE522" s="81" t="s">
        <v>23345</v>
      </c>
      <c r="AF522" s="76">
        <v>422</v>
      </c>
      <c r="AG522" s="76">
        <v>414</v>
      </c>
      <c r="AH522" s="76">
        <v>1497</v>
      </c>
      <c r="AI522" s="76">
        <v>2</v>
      </c>
      <c r="AJ522" s="76">
        <v>918</v>
      </c>
      <c r="AK522" s="76">
        <v>77</v>
      </c>
      <c r="AL522" s="76" t="b">
        <v>0</v>
      </c>
      <c r="AM522" s="78">
        <v>42154.655162037037</v>
      </c>
      <c r="AN522" s="76" t="s">
        <v>24259</v>
      </c>
      <c r="AO522" s="76" t="s">
        <v>25175</v>
      </c>
      <c r="AP522" s="82" t="str">
        <f>HYPERLINK("https://t.co/TVhP7IyXKO")</f>
        <v>https://t.co/TVhP7IyXKO</v>
      </c>
      <c r="AQ522" s="82" t="str">
        <f>HYPERLINK("http://www.ecured.cu/CADECA")</f>
        <v>http://www.ecured.cu/CADECA</v>
      </c>
      <c r="AR522" s="76" t="s">
        <v>26660</v>
      </c>
      <c r="AS522" s="76"/>
      <c r="AT522" s="76"/>
      <c r="AU522" s="76"/>
      <c r="AV522" s="76"/>
      <c r="AW522" s="82" t="str">
        <f>HYPERLINK("https://t.co/TVhP7IyXKO")</f>
        <v>https://t.co/TVhP7IyXKO</v>
      </c>
      <c r="AX522" s="76" t="b">
        <v>0</v>
      </c>
      <c r="AY522" s="76"/>
      <c r="AZ522" s="76"/>
      <c r="BA522" s="76" t="b">
        <v>0</v>
      </c>
      <c r="BB522" s="76" t="b">
        <v>1</v>
      </c>
      <c r="BC522" s="76" t="b">
        <v>1</v>
      </c>
      <c r="BD522" s="76" t="b">
        <v>0</v>
      </c>
      <c r="BE522" s="76" t="b">
        <v>0</v>
      </c>
      <c r="BF522" s="76" t="b">
        <v>0</v>
      </c>
      <c r="BG522" s="76" t="b">
        <v>0</v>
      </c>
      <c r="BH522" s="82" t="str">
        <f>HYPERLINK("https://pbs.twimg.com/profile_banners/3230839742/1433000903")</f>
        <v>https://pbs.twimg.com/profile_banners/3230839742/1433000903</v>
      </c>
      <c r="BI522" s="76"/>
      <c r="BJ522" s="76" t="s">
        <v>27595</v>
      </c>
      <c r="BK522" s="76" t="b">
        <v>0</v>
      </c>
      <c r="BL522" s="76"/>
      <c r="BM522" s="76" t="s">
        <v>66</v>
      </c>
      <c r="BN522" s="76" t="s">
        <v>27597</v>
      </c>
      <c r="BO522" s="82" t="str">
        <f>HYPERLINK("https://twitter.com/cadecacuba")</f>
        <v>https://twitter.com/cadecacuba</v>
      </c>
      <c r="BP522" s="2"/>
    </row>
    <row r="523" spans="1:68" x14ac:dyDescent="0.25">
      <c r="A523" s="62" t="s">
        <v>585</v>
      </c>
      <c r="B523" s="63"/>
      <c r="C523" s="63"/>
      <c r="D523" s="64"/>
      <c r="E523" s="66"/>
      <c r="F523" s="103" t="str">
        <f>HYPERLINK("https://pbs.twimg.com/profile_images/1150607096595013632/vWpjUbsU_normal.png")</f>
        <v>https://pbs.twimg.com/profile_images/1150607096595013632/vWpjUbsU_normal.png</v>
      </c>
      <c r="G523" s="63"/>
      <c r="H523" s="67"/>
      <c r="I523" s="68"/>
      <c r="J523" s="68"/>
      <c r="K523" s="67" t="s">
        <v>28117</v>
      </c>
      <c r="L523" s="71"/>
      <c r="M523" s="72"/>
      <c r="N523" s="72"/>
      <c r="O523" s="73"/>
      <c r="P523" s="74"/>
      <c r="Q523" s="74"/>
      <c r="R523" s="87"/>
      <c r="S523" s="87"/>
      <c r="T523" s="87"/>
      <c r="U523" s="87"/>
      <c r="V523" s="48"/>
      <c r="W523" s="48"/>
      <c r="X523" s="48"/>
      <c r="Y523" s="48"/>
      <c r="Z523" s="47"/>
      <c r="AA523" s="69">
        <v>523</v>
      </c>
      <c r="AB523" s="69"/>
      <c r="AC523" s="70"/>
      <c r="AD523" s="76" t="s">
        <v>21760</v>
      </c>
      <c r="AE523" s="81" t="s">
        <v>20669</v>
      </c>
      <c r="AF523" s="76">
        <v>89</v>
      </c>
      <c r="AG523" s="76">
        <v>625</v>
      </c>
      <c r="AH523" s="76">
        <v>8391</v>
      </c>
      <c r="AI523" s="76">
        <v>1</v>
      </c>
      <c r="AJ523" s="76">
        <v>15284</v>
      </c>
      <c r="AK523" s="76">
        <v>895</v>
      </c>
      <c r="AL523" s="76" t="b">
        <v>0</v>
      </c>
      <c r="AM523" s="78">
        <v>43661.081805555557</v>
      </c>
      <c r="AN523" s="76" t="s">
        <v>14432</v>
      </c>
      <c r="AO523" s="76" t="s">
        <v>25176</v>
      </c>
      <c r="AP523" s="76"/>
      <c r="AQ523" s="76"/>
      <c r="AR523" s="76"/>
      <c r="AS523" s="76"/>
      <c r="AT523" s="76"/>
      <c r="AU523" s="76"/>
      <c r="AV523" s="76"/>
      <c r="AW523" s="76"/>
      <c r="AX523" s="76" t="b">
        <v>0</v>
      </c>
      <c r="AY523" s="76"/>
      <c r="AZ523" s="76"/>
      <c r="BA523" s="76" t="b">
        <v>0</v>
      </c>
      <c r="BB523" s="76" t="b">
        <v>1</v>
      </c>
      <c r="BC523" s="76" t="b">
        <v>1</v>
      </c>
      <c r="BD523" s="76" t="b">
        <v>0</v>
      </c>
      <c r="BE523" s="76" t="b">
        <v>1</v>
      </c>
      <c r="BF523" s="76" t="b">
        <v>0</v>
      </c>
      <c r="BG523" s="76" t="b">
        <v>0</v>
      </c>
      <c r="BH523" s="82" t="str">
        <f>HYPERLINK("https://pbs.twimg.com/profile_banners/1150585220158099456/1563161034")</f>
        <v>https://pbs.twimg.com/profile_banners/1150585220158099456/1563161034</v>
      </c>
      <c r="BI523" s="76"/>
      <c r="BJ523" s="76" t="s">
        <v>27595</v>
      </c>
      <c r="BK523" s="76" t="b">
        <v>0</v>
      </c>
      <c r="BL523" s="76"/>
      <c r="BM523" s="76" t="s">
        <v>66</v>
      </c>
      <c r="BN523" s="76" t="s">
        <v>27597</v>
      </c>
      <c r="BO523" s="82" t="str">
        <f>HYPERLINK("https://twitter.com/barzelbrit")</f>
        <v>https://twitter.com/barzelbrit</v>
      </c>
      <c r="BP523" s="2"/>
    </row>
    <row r="524" spans="1:68" x14ac:dyDescent="0.25">
      <c r="A524" s="62" t="s">
        <v>586</v>
      </c>
      <c r="B524" s="63"/>
      <c r="C524" s="63"/>
      <c r="D524" s="64"/>
      <c r="E524" s="66"/>
      <c r="F524" s="103" t="str">
        <f>HYPERLINK("https://pbs.twimg.com/profile_images/1594757327395110927/8lETs7UB_normal.jpg")</f>
        <v>https://pbs.twimg.com/profile_images/1594757327395110927/8lETs7UB_normal.jpg</v>
      </c>
      <c r="G524" s="63"/>
      <c r="H524" s="67"/>
      <c r="I524" s="68"/>
      <c r="J524" s="68"/>
      <c r="K524" s="67" t="s">
        <v>28118</v>
      </c>
      <c r="L524" s="71"/>
      <c r="M524" s="72"/>
      <c r="N524" s="72"/>
      <c r="O524" s="73"/>
      <c r="P524" s="74"/>
      <c r="Q524" s="74"/>
      <c r="R524" s="87"/>
      <c r="S524" s="87"/>
      <c r="T524" s="87"/>
      <c r="U524" s="87"/>
      <c r="V524" s="48"/>
      <c r="W524" s="48"/>
      <c r="X524" s="48"/>
      <c r="Y524" s="48"/>
      <c r="Z524" s="47"/>
      <c r="AA524" s="69">
        <v>524</v>
      </c>
      <c r="AB524" s="69"/>
      <c r="AC524" s="70"/>
      <c r="AD524" s="76" t="s">
        <v>21761</v>
      </c>
      <c r="AE524" s="81" t="s">
        <v>20670</v>
      </c>
      <c r="AF524" s="76">
        <v>10478</v>
      </c>
      <c r="AG524" s="76">
        <v>26</v>
      </c>
      <c r="AH524" s="76">
        <v>7470</v>
      </c>
      <c r="AI524" s="76">
        <v>80</v>
      </c>
      <c r="AJ524" s="76">
        <v>1270</v>
      </c>
      <c r="AK524" s="76">
        <v>1489</v>
      </c>
      <c r="AL524" s="76" t="b">
        <v>0</v>
      </c>
      <c r="AM524" s="78">
        <v>42657.847071759257</v>
      </c>
      <c r="AN524" s="76" t="s">
        <v>14400</v>
      </c>
      <c r="AO524" s="76" t="s">
        <v>25177</v>
      </c>
      <c r="AP524" s="82" t="str">
        <f>HYPERLINK("https://t.co/8Rd0ODLzLt")</f>
        <v>https://t.co/8Rd0ODLzLt</v>
      </c>
      <c r="AQ524" s="82" t="str">
        <f>HYPERLINK("https://gorila.com.br/")</f>
        <v>https://gorila.com.br/</v>
      </c>
      <c r="AR524" s="76" t="s">
        <v>26661</v>
      </c>
      <c r="AS524" s="76"/>
      <c r="AT524" s="76"/>
      <c r="AU524" s="76"/>
      <c r="AV524" s="76">
        <v>1.6002357025784699E+18</v>
      </c>
      <c r="AW524" s="82" t="str">
        <f>HYPERLINK("https://t.co/8Rd0ODLzLt")</f>
        <v>https://t.co/8Rd0ODLzLt</v>
      </c>
      <c r="AX524" s="76" t="b">
        <v>1</v>
      </c>
      <c r="AY524" s="76"/>
      <c r="AZ524" s="76"/>
      <c r="BA524" s="76" t="b">
        <v>1</v>
      </c>
      <c r="BB524" s="76" t="b">
        <v>1</v>
      </c>
      <c r="BC524" s="76" t="b">
        <v>0</v>
      </c>
      <c r="BD524" s="76" t="b">
        <v>0</v>
      </c>
      <c r="BE524" s="76" t="b">
        <v>1</v>
      </c>
      <c r="BF524" s="76" t="b">
        <v>0</v>
      </c>
      <c r="BG524" s="76" t="b">
        <v>0</v>
      </c>
      <c r="BH524" s="82" t="str">
        <f>HYPERLINK("https://pbs.twimg.com/profile_banners/787025129729646592/1682373413")</f>
        <v>https://pbs.twimg.com/profile_banners/787025129729646592/1682373413</v>
      </c>
      <c r="BI524" s="76"/>
      <c r="BJ524" s="76" t="s">
        <v>27595</v>
      </c>
      <c r="BK524" s="76" t="b">
        <v>0</v>
      </c>
      <c r="BL524" s="76"/>
      <c r="BM524" s="76" t="s">
        <v>66</v>
      </c>
      <c r="BN524" s="76" t="s">
        <v>27597</v>
      </c>
      <c r="BO524" s="82" t="str">
        <f>HYPERLINK("https://twitter.com/gorilainvest")</f>
        <v>https://twitter.com/gorilainvest</v>
      </c>
      <c r="BP524" s="2"/>
    </row>
    <row r="525" spans="1:68" x14ac:dyDescent="0.25">
      <c r="A525" s="62" t="s">
        <v>587</v>
      </c>
      <c r="B525" s="63"/>
      <c r="C525" s="63"/>
      <c r="D525" s="64"/>
      <c r="E525" s="66"/>
      <c r="F525" s="103" t="str">
        <f>HYPERLINK("https://pbs.twimg.com/profile_images/1647423633600524290/2cYZZOmO_normal.jpg")</f>
        <v>https://pbs.twimg.com/profile_images/1647423633600524290/2cYZZOmO_normal.jpg</v>
      </c>
      <c r="G525" s="63"/>
      <c r="H525" s="67"/>
      <c r="I525" s="68"/>
      <c r="J525" s="68"/>
      <c r="K525" s="67" t="s">
        <v>28119</v>
      </c>
      <c r="L525" s="71"/>
      <c r="M525" s="72"/>
      <c r="N525" s="72"/>
      <c r="O525" s="73"/>
      <c r="P525" s="74"/>
      <c r="Q525" s="74"/>
      <c r="R525" s="87"/>
      <c r="S525" s="87"/>
      <c r="T525" s="87"/>
      <c r="U525" s="87"/>
      <c r="V525" s="48"/>
      <c r="W525" s="48"/>
      <c r="X525" s="48"/>
      <c r="Y525" s="48"/>
      <c r="Z525" s="47"/>
      <c r="AA525" s="69">
        <v>525</v>
      </c>
      <c r="AB525" s="69"/>
      <c r="AC525" s="70"/>
      <c r="AD525" s="76" t="s">
        <v>21762</v>
      </c>
      <c r="AE525" s="81" t="s">
        <v>23346</v>
      </c>
      <c r="AF525" s="76">
        <v>27263</v>
      </c>
      <c r="AG525" s="76">
        <v>9144</v>
      </c>
      <c r="AH525" s="76">
        <v>11208</v>
      </c>
      <c r="AI525" s="76">
        <v>52</v>
      </c>
      <c r="AJ525" s="76">
        <v>5234</v>
      </c>
      <c r="AK525" s="76">
        <v>3100</v>
      </c>
      <c r="AL525" s="76" t="b">
        <v>0</v>
      </c>
      <c r="AM525" s="78">
        <v>41417.825370370374</v>
      </c>
      <c r="AN525" s="76" t="s">
        <v>24260</v>
      </c>
      <c r="AO525" s="76" t="s">
        <v>25178</v>
      </c>
      <c r="AP525" s="76"/>
      <c r="AQ525" s="76"/>
      <c r="AR525" s="76"/>
      <c r="AS525" s="76"/>
      <c r="AT525" s="76"/>
      <c r="AU525" s="76"/>
      <c r="AV525" s="76"/>
      <c r="AW525" s="76"/>
      <c r="AX525" s="76" t="b">
        <v>0</v>
      </c>
      <c r="AY525" s="76"/>
      <c r="AZ525" s="76"/>
      <c r="BA525" s="76" t="b">
        <v>0</v>
      </c>
      <c r="BB525" s="76" t="b">
        <v>0</v>
      </c>
      <c r="BC525" s="76" t="b">
        <v>0</v>
      </c>
      <c r="BD525" s="76" t="b">
        <v>0</v>
      </c>
      <c r="BE525" s="76" t="b">
        <v>1</v>
      </c>
      <c r="BF525" s="76" t="b">
        <v>0</v>
      </c>
      <c r="BG525" s="76" t="b">
        <v>0</v>
      </c>
      <c r="BH525" s="82" t="str">
        <f>HYPERLINK("https://pbs.twimg.com/profile_banners/1452353106/1688873741")</f>
        <v>https://pbs.twimg.com/profile_banners/1452353106/1688873741</v>
      </c>
      <c r="BI525" s="76"/>
      <c r="BJ525" s="76" t="s">
        <v>27595</v>
      </c>
      <c r="BK525" s="76" t="b">
        <v>0</v>
      </c>
      <c r="BL525" s="76"/>
      <c r="BM525" s="76" t="s">
        <v>66</v>
      </c>
      <c r="BN525" s="76" t="s">
        <v>27597</v>
      </c>
      <c r="BO525" s="82" t="str">
        <f>HYPERLINK("https://twitter.com/derechanews")</f>
        <v>https://twitter.com/derechanews</v>
      </c>
      <c r="BP525" s="2"/>
    </row>
    <row r="526" spans="1:68" x14ac:dyDescent="0.25">
      <c r="A526" s="62" t="s">
        <v>588</v>
      </c>
      <c r="B526" s="63"/>
      <c r="C526" s="63"/>
      <c r="D526" s="64"/>
      <c r="E526" s="66"/>
      <c r="F526" s="103" t="str">
        <f>HYPERLINK("https://pbs.twimg.com/profile_images/884435440467677184/8hP6XcAD_normal.jpg")</f>
        <v>https://pbs.twimg.com/profile_images/884435440467677184/8hP6XcAD_normal.jpg</v>
      </c>
      <c r="G526" s="63"/>
      <c r="H526" s="67"/>
      <c r="I526" s="68"/>
      <c r="J526" s="68"/>
      <c r="K526" s="67" t="s">
        <v>28120</v>
      </c>
      <c r="L526" s="71"/>
      <c r="M526" s="72"/>
      <c r="N526" s="72"/>
      <c r="O526" s="73"/>
      <c r="P526" s="74"/>
      <c r="Q526" s="74"/>
      <c r="R526" s="87"/>
      <c r="S526" s="87"/>
      <c r="T526" s="87"/>
      <c r="U526" s="87"/>
      <c r="V526" s="48"/>
      <c r="W526" s="48"/>
      <c r="X526" s="48"/>
      <c r="Y526" s="48"/>
      <c r="Z526" s="47"/>
      <c r="AA526" s="69">
        <v>526</v>
      </c>
      <c r="AB526" s="69"/>
      <c r="AC526" s="70"/>
      <c r="AD526" s="76" t="s">
        <v>21763</v>
      </c>
      <c r="AE526" s="81" t="s">
        <v>20671</v>
      </c>
      <c r="AF526" s="76">
        <v>1194</v>
      </c>
      <c r="AG526" s="76">
        <v>74</v>
      </c>
      <c r="AH526" s="76">
        <v>24526</v>
      </c>
      <c r="AI526" s="76">
        <v>13</v>
      </c>
      <c r="AJ526" s="76">
        <v>12</v>
      </c>
      <c r="AK526" s="76">
        <v>7128</v>
      </c>
      <c r="AL526" s="76" t="b">
        <v>0</v>
      </c>
      <c r="AM526" s="78">
        <v>42926.635069444441</v>
      </c>
      <c r="AN526" s="76"/>
      <c r="AO526" s="76"/>
      <c r="AP526" s="76"/>
      <c r="AQ526" s="76"/>
      <c r="AR526" s="76"/>
      <c r="AS526" s="76"/>
      <c r="AT526" s="76"/>
      <c r="AU526" s="76"/>
      <c r="AV526" s="76"/>
      <c r="AW526" s="76"/>
      <c r="AX526" s="76" t="b">
        <v>0</v>
      </c>
      <c r="AY526" s="76"/>
      <c r="AZ526" s="76"/>
      <c r="BA526" s="76" t="b">
        <v>0</v>
      </c>
      <c r="BB526" s="76" t="b">
        <v>1</v>
      </c>
      <c r="BC526" s="76" t="b">
        <v>1</v>
      </c>
      <c r="BD526" s="76" t="b">
        <v>0</v>
      </c>
      <c r="BE526" s="76" t="b">
        <v>0</v>
      </c>
      <c r="BF526" s="76" t="b">
        <v>0</v>
      </c>
      <c r="BG526" s="76" t="b">
        <v>0</v>
      </c>
      <c r="BH526" s="82" t="str">
        <f>HYPERLINK("https://pbs.twimg.com/profile_banners/884430635288453120/1499700861")</f>
        <v>https://pbs.twimg.com/profile_banners/884430635288453120/1499700861</v>
      </c>
      <c r="BI526" s="76"/>
      <c r="BJ526" s="76" t="s">
        <v>27595</v>
      </c>
      <c r="BK526" s="76" t="b">
        <v>0</v>
      </c>
      <c r="BL526" s="76"/>
      <c r="BM526" s="76" t="s">
        <v>66</v>
      </c>
      <c r="BN526" s="76" t="s">
        <v>27597</v>
      </c>
      <c r="BO526" s="82" t="str">
        <f>HYPERLINK("https://twitter.com/contraponto_jor")</f>
        <v>https://twitter.com/contraponto_jor</v>
      </c>
      <c r="BP526" s="2"/>
    </row>
    <row r="527" spans="1:68" x14ac:dyDescent="0.25">
      <c r="A527" s="62" t="s">
        <v>589</v>
      </c>
      <c r="B527" s="63"/>
      <c r="C527" s="63"/>
      <c r="D527" s="64"/>
      <c r="E527" s="66"/>
      <c r="F527" s="103" t="str">
        <f>HYPERLINK("https://pbs.twimg.com/profile_images/1628602176741249025/MD8F8JlE_normal.jpg")</f>
        <v>https://pbs.twimg.com/profile_images/1628602176741249025/MD8F8JlE_normal.jpg</v>
      </c>
      <c r="G527" s="63"/>
      <c r="H527" s="67"/>
      <c r="I527" s="68"/>
      <c r="J527" s="68"/>
      <c r="K527" s="67" t="s">
        <v>28121</v>
      </c>
      <c r="L527" s="71"/>
      <c r="M527" s="72"/>
      <c r="N527" s="72"/>
      <c r="O527" s="73"/>
      <c r="P527" s="74"/>
      <c r="Q527" s="74"/>
      <c r="R527" s="87"/>
      <c r="S527" s="87"/>
      <c r="T527" s="87"/>
      <c r="U527" s="87"/>
      <c r="V527" s="48"/>
      <c r="W527" s="48"/>
      <c r="X527" s="48"/>
      <c r="Y527" s="48"/>
      <c r="Z527" s="47"/>
      <c r="AA527" s="69">
        <v>527</v>
      </c>
      <c r="AB527" s="69"/>
      <c r="AC527" s="70"/>
      <c r="AD527" s="76" t="s">
        <v>21764</v>
      </c>
      <c r="AE527" s="81" t="s">
        <v>23347</v>
      </c>
      <c r="AF527" s="76">
        <v>2762</v>
      </c>
      <c r="AG527" s="76">
        <v>2852</v>
      </c>
      <c r="AH527" s="76">
        <v>839</v>
      </c>
      <c r="AI527" s="76">
        <v>0</v>
      </c>
      <c r="AJ527" s="76">
        <v>309</v>
      </c>
      <c r="AK527" s="76">
        <v>340</v>
      </c>
      <c r="AL527" s="76" t="b">
        <v>0</v>
      </c>
      <c r="AM527" s="78">
        <v>41007.986377314817</v>
      </c>
      <c r="AN527" s="76" t="s">
        <v>24261</v>
      </c>
      <c r="AO527" s="76" t="s">
        <v>25179</v>
      </c>
      <c r="AP527" s="76"/>
      <c r="AQ527" s="76"/>
      <c r="AR527" s="76"/>
      <c r="AS527" s="76"/>
      <c r="AT527" s="76"/>
      <c r="AU527" s="76"/>
      <c r="AV527" s="76">
        <v>1.69485806656547E+18</v>
      </c>
      <c r="AW527" s="76"/>
      <c r="AX527" s="76" t="b">
        <v>0</v>
      </c>
      <c r="AY527" s="76"/>
      <c r="AZ527" s="76"/>
      <c r="BA527" s="76" t="b">
        <v>1</v>
      </c>
      <c r="BB527" s="76" t="b">
        <v>0</v>
      </c>
      <c r="BC527" s="76" t="b">
        <v>1</v>
      </c>
      <c r="BD527" s="76" t="b">
        <v>0</v>
      </c>
      <c r="BE527" s="76" t="b">
        <v>0</v>
      </c>
      <c r="BF527" s="76" t="b">
        <v>0</v>
      </c>
      <c r="BG527" s="76" t="b">
        <v>0</v>
      </c>
      <c r="BH527" s="82" t="str">
        <f>HYPERLINK("https://pbs.twimg.com/profile_banners/548797708/1674586278")</f>
        <v>https://pbs.twimg.com/profile_banners/548797708/1674586278</v>
      </c>
      <c r="BI527" s="76"/>
      <c r="BJ527" s="76" t="s">
        <v>27595</v>
      </c>
      <c r="BK527" s="76" t="b">
        <v>0</v>
      </c>
      <c r="BL527" s="76"/>
      <c r="BM527" s="76" t="s">
        <v>66</v>
      </c>
      <c r="BN527" s="76" t="s">
        <v>27597</v>
      </c>
      <c r="BO527" s="82" t="str">
        <f>HYPERLINK("https://twitter.com/augustotuy")</f>
        <v>https://twitter.com/augustotuy</v>
      </c>
      <c r="BP527" s="2"/>
    </row>
    <row r="528" spans="1:68" x14ac:dyDescent="0.25">
      <c r="A528" s="62" t="s">
        <v>590</v>
      </c>
      <c r="B528" s="63"/>
      <c r="C528" s="63"/>
      <c r="D528" s="64"/>
      <c r="E528" s="66"/>
      <c r="F528" s="103" t="str">
        <f>HYPERLINK("https://pbs.twimg.com/profile_images/1689809239022120960/Nk_arQ3i_normal.jpg")</f>
        <v>https://pbs.twimg.com/profile_images/1689809239022120960/Nk_arQ3i_normal.jpg</v>
      </c>
      <c r="G528" s="63"/>
      <c r="H528" s="67"/>
      <c r="I528" s="68"/>
      <c r="J528" s="68"/>
      <c r="K528" s="67" t="s">
        <v>28122</v>
      </c>
      <c r="L528" s="71"/>
      <c r="M528" s="72"/>
      <c r="N528" s="72"/>
      <c r="O528" s="73"/>
      <c r="P528" s="74"/>
      <c r="Q528" s="74"/>
      <c r="R528" s="87"/>
      <c r="S528" s="87"/>
      <c r="T528" s="87"/>
      <c r="U528" s="87"/>
      <c r="V528" s="48"/>
      <c r="W528" s="48"/>
      <c r="X528" s="48"/>
      <c r="Y528" s="48"/>
      <c r="Z528" s="47"/>
      <c r="AA528" s="69">
        <v>528</v>
      </c>
      <c r="AB528" s="69"/>
      <c r="AC528" s="70"/>
      <c r="AD528" s="76" t="s">
        <v>21765</v>
      </c>
      <c r="AE528" s="81" t="s">
        <v>20672</v>
      </c>
      <c r="AF528" s="76">
        <v>3</v>
      </c>
      <c r="AG528" s="76">
        <v>3</v>
      </c>
      <c r="AH528" s="76">
        <v>248</v>
      </c>
      <c r="AI528" s="76">
        <v>0</v>
      </c>
      <c r="AJ528" s="76">
        <v>37</v>
      </c>
      <c r="AK528" s="76">
        <v>156</v>
      </c>
      <c r="AL528" s="76" t="b">
        <v>0</v>
      </c>
      <c r="AM528" s="78">
        <v>44636.646516203706</v>
      </c>
      <c r="AN528" s="76" t="s">
        <v>14382</v>
      </c>
      <c r="AO528" s="76" t="s">
        <v>25180</v>
      </c>
      <c r="AP528" s="82" t="str">
        <f>HYPERLINK("https://t.co/jJb8myDA8C")</f>
        <v>https://t.co/jJb8myDA8C</v>
      </c>
      <c r="AQ528" s="82" t="str">
        <f>HYPERLINK("https://youtube.com/@leidopovo")</f>
        <v>https://youtube.com/@leidopovo</v>
      </c>
      <c r="AR528" s="76" t="s">
        <v>26662</v>
      </c>
      <c r="AS528" s="76"/>
      <c r="AT528" s="76"/>
      <c r="AU528" s="76"/>
      <c r="AV528" s="76"/>
      <c r="AW528" s="82" t="str">
        <f>HYPERLINK("https://t.co/jJb8myDA8C")</f>
        <v>https://t.co/jJb8myDA8C</v>
      </c>
      <c r="AX528" s="76" t="b">
        <v>0</v>
      </c>
      <c r="AY528" s="76"/>
      <c r="AZ528" s="76"/>
      <c r="BA528" s="76" t="b">
        <v>0</v>
      </c>
      <c r="BB528" s="76" t="b">
        <v>1</v>
      </c>
      <c r="BC528" s="76" t="b">
        <v>1</v>
      </c>
      <c r="BD528" s="76" t="b">
        <v>0</v>
      </c>
      <c r="BE528" s="76" t="b">
        <v>1</v>
      </c>
      <c r="BF528" s="76" t="b">
        <v>0</v>
      </c>
      <c r="BG528" s="76" t="b">
        <v>0</v>
      </c>
      <c r="BH528" s="82" t="str">
        <f>HYPERLINK("https://pbs.twimg.com/profile_banners/1504117893289717764/1687282871")</f>
        <v>https://pbs.twimg.com/profile_banners/1504117893289717764/1687282871</v>
      </c>
      <c r="BI528" s="76"/>
      <c r="BJ528" s="76" t="s">
        <v>27595</v>
      </c>
      <c r="BK528" s="76" t="b">
        <v>0</v>
      </c>
      <c r="BL528" s="76"/>
      <c r="BM528" s="76" t="s">
        <v>66</v>
      </c>
      <c r="BN528" s="76" t="s">
        <v>27597</v>
      </c>
      <c r="BO528" s="82" t="str">
        <f>HYPERLINK("https://twitter.com/brasilpelopoder")</f>
        <v>https://twitter.com/brasilpelopoder</v>
      </c>
      <c r="BP528" s="2"/>
    </row>
    <row r="529" spans="1:68" x14ac:dyDescent="0.25">
      <c r="A529" s="62" t="s">
        <v>591</v>
      </c>
      <c r="B529" s="63"/>
      <c r="C529" s="63"/>
      <c r="D529" s="64"/>
      <c r="E529" s="66"/>
      <c r="F529" s="103" t="str">
        <f>HYPERLINK("https://pbs.twimg.com/profile_images/1600073612421046273/ddw9cg1p_normal.jpg")</f>
        <v>https://pbs.twimg.com/profile_images/1600073612421046273/ddw9cg1p_normal.jpg</v>
      </c>
      <c r="G529" s="63"/>
      <c r="H529" s="67"/>
      <c r="I529" s="68"/>
      <c r="J529" s="68"/>
      <c r="K529" s="67" t="s">
        <v>28123</v>
      </c>
      <c r="L529" s="71"/>
      <c r="M529" s="72"/>
      <c r="N529" s="72"/>
      <c r="O529" s="73"/>
      <c r="P529" s="74"/>
      <c r="Q529" s="74"/>
      <c r="R529" s="87"/>
      <c r="S529" s="87"/>
      <c r="T529" s="87"/>
      <c r="U529" s="87"/>
      <c r="V529" s="48"/>
      <c r="W529" s="48"/>
      <c r="X529" s="48"/>
      <c r="Y529" s="48"/>
      <c r="Z529" s="47"/>
      <c r="AA529" s="69">
        <v>529</v>
      </c>
      <c r="AB529" s="69"/>
      <c r="AC529" s="70"/>
      <c r="AD529" s="76" t="s">
        <v>21766</v>
      </c>
      <c r="AE529" s="81" t="s">
        <v>23348</v>
      </c>
      <c r="AF529" s="76">
        <v>660</v>
      </c>
      <c r="AG529" s="76">
        <v>1974</v>
      </c>
      <c r="AH529" s="76">
        <v>1355</v>
      </c>
      <c r="AI529" s="76">
        <v>11</v>
      </c>
      <c r="AJ529" s="76">
        <v>209</v>
      </c>
      <c r="AK529" s="76">
        <v>179</v>
      </c>
      <c r="AL529" s="76" t="b">
        <v>0</v>
      </c>
      <c r="AM529" s="78">
        <v>40409.857858796298</v>
      </c>
      <c r="AN529" s="76" t="s">
        <v>14386</v>
      </c>
      <c r="AO529" s="76" t="s">
        <v>25181</v>
      </c>
      <c r="AP529" s="82" t="str">
        <f>HYPERLINK("https://t.co/2XOHA4o2oC")</f>
        <v>https://t.co/2XOHA4o2oC</v>
      </c>
      <c r="AQ529" s="82" t="str">
        <f>HYPERLINK("http://www.madigitalexperts.com")</f>
        <v>http://www.madigitalexperts.com</v>
      </c>
      <c r="AR529" s="76" t="s">
        <v>26663</v>
      </c>
      <c r="AS529" s="76"/>
      <c r="AT529" s="76"/>
      <c r="AU529" s="76"/>
      <c r="AV529" s="76"/>
      <c r="AW529" s="82" t="str">
        <f>HYPERLINK("https://t.co/2XOHA4o2oC")</f>
        <v>https://t.co/2XOHA4o2oC</v>
      </c>
      <c r="AX529" s="76" t="b">
        <v>0</v>
      </c>
      <c r="AY529" s="76"/>
      <c r="AZ529" s="76"/>
      <c r="BA529" s="76" t="b">
        <v>0</v>
      </c>
      <c r="BB529" s="76" t="b">
        <v>0</v>
      </c>
      <c r="BC529" s="76" t="b">
        <v>0</v>
      </c>
      <c r="BD529" s="76" t="b">
        <v>0</v>
      </c>
      <c r="BE529" s="76" t="b">
        <v>0</v>
      </c>
      <c r="BF529" s="76" t="b">
        <v>0</v>
      </c>
      <c r="BG529" s="76" t="b">
        <v>0</v>
      </c>
      <c r="BH529" s="82" t="str">
        <f>HYPERLINK("https://pbs.twimg.com/profile_banners/180513473/1455894822")</f>
        <v>https://pbs.twimg.com/profile_banners/180513473/1455894822</v>
      </c>
      <c r="BI529" s="76"/>
      <c r="BJ529" s="76" t="s">
        <v>27595</v>
      </c>
      <c r="BK529" s="76" t="b">
        <v>0</v>
      </c>
      <c r="BL529" s="76"/>
      <c r="BM529" s="76" t="s">
        <v>66</v>
      </c>
      <c r="BN529" s="76" t="s">
        <v>27597</v>
      </c>
      <c r="BO529" s="82" t="str">
        <f>HYPERLINK("https://twitter.com/alvarojcepeda")</f>
        <v>https://twitter.com/alvarojcepeda</v>
      </c>
      <c r="BP529" s="2"/>
    </row>
    <row r="530" spans="1:68" x14ac:dyDescent="0.25">
      <c r="A530" s="62" t="s">
        <v>592</v>
      </c>
      <c r="B530" s="63"/>
      <c r="C530" s="63"/>
      <c r="D530" s="64"/>
      <c r="E530" s="66"/>
      <c r="F530" s="103" t="str">
        <f>HYPERLINK("https://pbs.twimg.com/profile_images/1409839009426194433/cW8j2Q7b_normal.jpg")</f>
        <v>https://pbs.twimg.com/profile_images/1409839009426194433/cW8j2Q7b_normal.jpg</v>
      </c>
      <c r="G530" s="63"/>
      <c r="H530" s="67"/>
      <c r="I530" s="68"/>
      <c r="J530" s="68"/>
      <c r="K530" s="67" t="s">
        <v>28124</v>
      </c>
      <c r="L530" s="71"/>
      <c r="M530" s="72"/>
      <c r="N530" s="72"/>
      <c r="O530" s="73"/>
      <c r="P530" s="74"/>
      <c r="Q530" s="74"/>
      <c r="R530" s="87"/>
      <c r="S530" s="87"/>
      <c r="T530" s="87"/>
      <c r="U530" s="87"/>
      <c r="V530" s="48"/>
      <c r="W530" s="48"/>
      <c r="X530" s="48"/>
      <c r="Y530" s="48"/>
      <c r="Z530" s="47"/>
      <c r="AA530" s="69">
        <v>530</v>
      </c>
      <c r="AB530" s="69"/>
      <c r="AC530" s="70"/>
      <c r="AD530" s="76" t="s">
        <v>21767</v>
      </c>
      <c r="AE530" s="81" t="s">
        <v>23349</v>
      </c>
      <c r="AF530" s="76">
        <v>75</v>
      </c>
      <c r="AG530" s="76">
        <v>102</v>
      </c>
      <c r="AH530" s="76">
        <v>355</v>
      </c>
      <c r="AI530" s="76">
        <v>2</v>
      </c>
      <c r="AJ530" s="76">
        <v>521</v>
      </c>
      <c r="AK530" s="76">
        <v>13</v>
      </c>
      <c r="AL530" s="76" t="b">
        <v>0</v>
      </c>
      <c r="AM530" s="78">
        <v>40014.236666666664</v>
      </c>
      <c r="AN530" s="76" t="s">
        <v>14511</v>
      </c>
      <c r="AO530" s="76" t="s">
        <v>25182</v>
      </c>
      <c r="AP530" s="76"/>
      <c r="AQ530" s="76"/>
      <c r="AR530" s="76"/>
      <c r="AS530" s="76"/>
      <c r="AT530" s="76"/>
      <c r="AU530" s="76"/>
      <c r="AV530" s="76">
        <v>1.6140067634051599E+18</v>
      </c>
      <c r="AW530" s="76"/>
      <c r="AX530" s="76" t="b">
        <v>0</v>
      </c>
      <c r="AY530" s="76"/>
      <c r="AZ530" s="76"/>
      <c r="BA530" s="76" t="b">
        <v>0</v>
      </c>
      <c r="BB530" s="76" t="b">
        <v>1</v>
      </c>
      <c r="BC530" s="76" t="b">
        <v>0</v>
      </c>
      <c r="BD530" s="76" t="b">
        <v>0</v>
      </c>
      <c r="BE530" s="76" t="b">
        <v>0</v>
      </c>
      <c r="BF530" s="76" t="b">
        <v>0</v>
      </c>
      <c r="BG530" s="76" t="b">
        <v>0</v>
      </c>
      <c r="BH530" s="82" t="str">
        <f>HYPERLINK("https://pbs.twimg.com/profile_banners/58401477/1441085822")</f>
        <v>https://pbs.twimg.com/profile_banners/58401477/1441085822</v>
      </c>
      <c r="BI530" s="76"/>
      <c r="BJ530" s="76" t="s">
        <v>27595</v>
      </c>
      <c r="BK530" s="76" t="b">
        <v>0</v>
      </c>
      <c r="BL530" s="76"/>
      <c r="BM530" s="76" t="s">
        <v>66</v>
      </c>
      <c r="BN530" s="76" t="s">
        <v>27597</v>
      </c>
      <c r="BO530" s="82" t="str">
        <f>HYPERLINK("https://twitter.com/kanygia")</f>
        <v>https://twitter.com/kanygia</v>
      </c>
      <c r="BP530" s="2"/>
    </row>
    <row r="531" spans="1:68" x14ac:dyDescent="0.25">
      <c r="A531" s="62" t="s">
        <v>593</v>
      </c>
      <c r="B531" s="63"/>
      <c r="C531" s="63"/>
      <c r="D531" s="64"/>
      <c r="E531" s="66"/>
      <c r="F531" s="103" t="str">
        <f>HYPERLINK("https://pbs.twimg.com/profile_images/1661083818474782767/xj8MuqTA_normal.jpg")</f>
        <v>https://pbs.twimg.com/profile_images/1661083818474782767/xj8MuqTA_normal.jpg</v>
      </c>
      <c r="G531" s="63"/>
      <c r="H531" s="67"/>
      <c r="I531" s="68"/>
      <c r="J531" s="68"/>
      <c r="K531" s="67" t="s">
        <v>28125</v>
      </c>
      <c r="L531" s="71"/>
      <c r="M531" s="72"/>
      <c r="N531" s="72"/>
      <c r="O531" s="73"/>
      <c r="P531" s="74"/>
      <c r="Q531" s="74"/>
      <c r="R531" s="87"/>
      <c r="S531" s="87"/>
      <c r="T531" s="87"/>
      <c r="U531" s="87"/>
      <c r="V531" s="48"/>
      <c r="W531" s="48"/>
      <c r="X531" s="48"/>
      <c r="Y531" s="48"/>
      <c r="Z531" s="47"/>
      <c r="AA531" s="69">
        <v>531</v>
      </c>
      <c r="AB531" s="69"/>
      <c r="AC531" s="70"/>
      <c r="AD531" s="76" t="s">
        <v>21768</v>
      </c>
      <c r="AE531" s="81" t="s">
        <v>20673</v>
      </c>
      <c r="AF531" s="76">
        <v>3</v>
      </c>
      <c r="AG531" s="76">
        <v>23</v>
      </c>
      <c r="AH531" s="76">
        <v>6</v>
      </c>
      <c r="AI531" s="76">
        <v>0</v>
      </c>
      <c r="AJ531" s="76">
        <v>0</v>
      </c>
      <c r="AK531" s="76">
        <v>5</v>
      </c>
      <c r="AL531" s="76" t="b">
        <v>0</v>
      </c>
      <c r="AM531" s="78">
        <v>45069.785578703704</v>
      </c>
      <c r="AN531" s="76"/>
      <c r="AO531" s="76" t="s">
        <v>25183</v>
      </c>
      <c r="AP531" s="82" t="str">
        <f>HYPERLINK("https://t.co/7vRpQ2bgxU")</f>
        <v>https://t.co/7vRpQ2bgxU</v>
      </c>
      <c r="AQ531" s="82" t="str">
        <f>HYPERLINK("https://linktr.ee/fbs.chile")</f>
        <v>https://linktr.ee/fbs.chile</v>
      </c>
      <c r="AR531" s="76" t="s">
        <v>26664</v>
      </c>
      <c r="AS531" s="76"/>
      <c r="AT531" s="76"/>
      <c r="AU531" s="76"/>
      <c r="AV531" s="76"/>
      <c r="AW531" s="82" t="str">
        <f>HYPERLINK("https://t.co/7vRpQ2bgxU")</f>
        <v>https://t.co/7vRpQ2bgxU</v>
      </c>
      <c r="AX531" s="76" t="b">
        <v>0</v>
      </c>
      <c r="AY531" s="76"/>
      <c r="AZ531" s="76"/>
      <c r="BA531" s="76" t="b">
        <v>0</v>
      </c>
      <c r="BB531" s="76" t="b">
        <v>1</v>
      </c>
      <c r="BC531" s="76" t="b">
        <v>1</v>
      </c>
      <c r="BD531" s="76" t="b">
        <v>0</v>
      </c>
      <c r="BE531" s="76" t="b">
        <v>0</v>
      </c>
      <c r="BF531" s="76" t="b">
        <v>0</v>
      </c>
      <c r="BG531" s="76" t="b">
        <v>0</v>
      </c>
      <c r="BH531" s="82" t="str">
        <f>HYPERLINK("https://pbs.twimg.com/profile_banners/1661082288610766851/1684892882")</f>
        <v>https://pbs.twimg.com/profile_banners/1661082288610766851/1684892882</v>
      </c>
      <c r="BI531" s="76"/>
      <c r="BJ531" s="76" t="s">
        <v>27595</v>
      </c>
      <c r="BK531" s="76" t="b">
        <v>0</v>
      </c>
      <c r="BL531" s="76"/>
      <c r="BM531" s="76" t="s">
        <v>66</v>
      </c>
      <c r="BN531" s="76" t="s">
        <v>27597</v>
      </c>
      <c r="BO531" s="82" t="str">
        <f>HYPERLINK("https://twitter.com/fbs_chile")</f>
        <v>https://twitter.com/fbs_chile</v>
      </c>
      <c r="BP531" s="2"/>
    </row>
    <row r="532" spans="1:68" x14ac:dyDescent="0.25">
      <c r="A532" s="62" t="s">
        <v>594</v>
      </c>
      <c r="B532" s="63"/>
      <c r="C532" s="63"/>
      <c r="D532" s="64"/>
      <c r="E532" s="66"/>
      <c r="F532" s="103" t="str">
        <f>HYPERLINK("https://pbs.twimg.com/profile_images/1703901655190712320/pDeuaAoR_normal.jpg")</f>
        <v>https://pbs.twimg.com/profile_images/1703901655190712320/pDeuaAoR_normal.jpg</v>
      </c>
      <c r="G532" s="63"/>
      <c r="H532" s="67"/>
      <c r="I532" s="68"/>
      <c r="J532" s="68"/>
      <c r="K532" s="67" t="s">
        <v>28126</v>
      </c>
      <c r="L532" s="71"/>
      <c r="M532" s="72"/>
      <c r="N532" s="72"/>
      <c r="O532" s="73"/>
      <c r="P532" s="74"/>
      <c r="Q532" s="74"/>
      <c r="R532" s="87"/>
      <c r="S532" s="87"/>
      <c r="T532" s="87"/>
      <c r="U532" s="87"/>
      <c r="V532" s="48"/>
      <c r="W532" s="48"/>
      <c r="X532" s="48"/>
      <c r="Y532" s="48"/>
      <c r="Z532" s="47"/>
      <c r="AA532" s="69">
        <v>532</v>
      </c>
      <c r="AB532" s="69"/>
      <c r="AC532" s="70"/>
      <c r="AD532" s="76" t="s">
        <v>21769</v>
      </c>
      <c r="AE532" s="81" t="s">
        <v>20256</v>
      </c>
      <c r="AF532" s="76">
        <v>95</v>
      </c>
      <c r="AG532" s="76">
        <v>386</v>
      </c>
      <c r="AH532" s="76">
        <v>1482</v>
      </c>
      <c r="AI532" s="76">
        <v>2</v>
      </c>
      <c r="AJ532" s="76">
        <v>3064</v>
      </c>
      <c r="AK532" s="76">
        <v>93</v>
      </c>
      <c r="AL532" s="76" t="b">
        <v>0</v>
      </c>
      <c r="AM532" s="78">
        <v>40628.726354166669</v>
      </c>
      <c r="AN532" s="76" t="s">
        <v>24262</v>
      </c>
      <c r="AO532" s="76" t="s">
        <v>25184</v>
      </c>
      <c r="AP532" s="76"/>
      <c r="AQ532" s="76"/>
      <c r="AR532" s="76"/>
      <c r="AS532" s="76"/>
      <c r="AT532" s="76"/>
      <c r="AU532" s="76"/>
      <c r="AV532" s="76"/>
      <c r="AW532" s="76"/>
      <c r="AX532" s="76" t="b">
        <v>0</v>
      </c>
      <c r="AY532" s="76"/>
      <c r="AZ532" s="76"/>
      <c r="BA532" s="76" t="b">
        <v>0</v>
      </c>
      <c r="BB532" s="76" t="b">
        <v>1</v>
      </c>
      <c r="BC532" s="76" t="b">
        <v>1</v>
      </c>
      <c r="BD532" s="76" t="b">
        <v>0</v>
      </c>
      <c r="BE532" s="76" t="b">
        <v>1</v>
      </c>
      <c r="BF532" s="76" t="b">
        <v>0</v>
      </c>
      <c r="BG532" s="76" t="b">
        <v>0</v>
      </c>
      <c r="BH532" s="76"/>
      <c r="BI532" s="76"/>
      <c r="BJ532" s="76" t="s">
        <v>27595</v>
      </c>
      <c r="BK532" s="76" t="b">
        <v>0</v>
      </c>
      <c r="BL532" s="76"/>
      <c r="BM532" s="76" t="s">
        <v>66</v>
      </c>
      <c r="BN532" s="76" t="s">
        <v>27597</v>
      </c>
      <c r="BO532" s="82" t="str">
        <f>HYPERLINK("https://twitter.com/j_henrique_")</f>
        <v>https://twitter.com/j_henrique_</v>
      </c>
      <c r="BP532" s="2"/>
    </row>
    <row r="533" spans="1:68" x14ac:dyDescent="0.25">
      <c r="A533" s="62" t="s">
        <v>595</v>
      </c>
      <c r="B533" s="63"/>
      <c r="C533" s="63"/>
      <c r="D533" s="64"/>
      <c r="E533" s="66"/>
      <c r="F533" s="103" t="str">
        <f>HYPERLINK("https://pbs.twimg.com/profile_images/1327606670453854211/QxCVNmHW_normal.jpg")</f>
        <v>https://pbs.twimg.com/profile_images/1327606670453854211/QxCVNmHW_normal.jpg</v>
      </c>
      <c r="G533" s="63"/>
      <c r="H533" s="67"/>
      <c r="I533" s="68"/>
      <c r="J533" s="68"/>
      <c r="K533" s="67" t="s">
        <v>28127</v>
      </c>
      <c r="L533" s="71"/>
      <c r="M533" s="72"/>
      <c r="N533" s="72"/>
      <c r="O533" s="73"/>
      <c r="P533" s="74"/>
      <c r="Q533" s="74"/>
      <c r="R533" s="87"/>
      <c r="S533" s="87"/>
      <c r="T533" s="87"/>
      <c r="U533" s="87"/>
      <c r="V533" s="48"/>
      <c r="W533" s="48"/>
      <c r="X533" s="48"/>
      <c r="Y533" s="48"/>
      <c r="Z533" s="47"/>
      <c r="AA533" s="69">
        <v>533</v>
      </c>
      <c r="AB533" s="69"/>
      <c r="AC533" s="70"/>
      <c r="AD533" s="76" t="s">
        <v>21770</v>
      </c>
      <c r="AE533" s="81" t="s">
        <v>23350</v>
      </c>
      <c r="AF533" s="76">
        <v>1512287</v>
      </c>
      <c r="AG533" s="76">
        <v>3324</v>
      </c>
      <c r="AH533" s="76">
        <v>36729</v>
      </c>
      <c r="AI533" s="76">
        <v>2126</v>
      </c>
      <c r="AJ533" s="76">
        <v>13094</v>
      </c>
      <c r="AK533" s="76">
        <v>11569</v>
      </c>
      <c r="AL533" s="76" t="b">
        <v>0</v>
      </c>
      <c r="AM533" s="78">
        <v>40358.541250000002</v>
      </c>
      <c r="AN533" s="76" t="s">
        <v>14479</v>
      </c>
      <c r="AO533" s="76" t="s">
        <v>25185</v>
      </c>
      <c r="AP533" s="82" t="str">
        <f>HYPERLINK("https://t.co/vtmLbaLKTi")</f>
        <v>https://t.co/vtmLbaLKTi</v>
      </c>
      <c r="AQ533" s="82" t="str">
        <f>HYPERLINK("https://linkme.bio/ibest-ricardo-amorim")</f>
        <v>https://linkme.bio/ibest-ricardo-amorim</v>
      </c>
      <c r="AR533" s="76" t="s">
        <v>26665</v>
      </c>
      <c r="AS533" s="76"/>
      <c r="AT533" s="76"/>
      <c r="AU533" s="76"/>
      <c r="AV533" s="76">
        <v>1.6896123717135501E+18</v>
      </c>
      <c r="AW533" s="82" t="str">
        <f>HYPERLINK("https://t.co/vtmLbaLKTi")</f>
        <v>https://t.co/vtmLbaLKTi</v>
      </c>
      <c r="AX533" s="76" t="b">
        <v>1</v>
      </c>
      <c r="AY533" s="76"/>
      <c r="AZ533" s="76"/>
      <c r="BA533" s="76" t="b">
        <v>0</v>
      </c>
      <c r="BB533" s="76" t="b">
        <v>1</v>
      </c>
      <c r="BC533" s="76" t="b">
        <v>0</v>
      </c>
      <c r="BD533" s="76" t="b">
        <v>0</v>
      </c>
      <c r="BE533" s="76" t="b">
        <v>1</v>
      </c>
      <c r="BF533" s="76" t="b">
        <v>0</v>
      </c>
      <c r="BG533" s="76" t="b">
        <v>0</v>
      </c>
      <c r="BH533" s="82" t="str">
        <f>HYPERLINK("https://pbs.twimg.com/profile_banners/160910872/1671805771")</f>
        <v>https://pbs.twimg.com/profile_banners/160910872/1671805771</v>
      </c>
      <c r="BI533" s="76"/>
      <c r="BJ533" s="76" t="s">
        <v>27595</v>
      </c>
      <c r="BK533" s="76" t="b">
        <v>0</v>
      </c>
      <c r="BL533" s="76"/>
      <c r="BM533" s="76" t="s">
        <v>66</v>
      </c>
      <c r="BN533" s="76" t="s">
        <v>27597</v>
      </c>
      <c r="BO533" s="82" t="str">
        <f>HYPERLINK("https://twitter.com/ricamconsult")</f>
        <v>https://twitter.com/ricamconsult</v>
      </c>
      <c r="BP533" s="2"/>
    </row>
    <row r="534" spans="1:68" x14ac:dyDescent="0.25">
      <c r="A534" s="62" t="s">
        <v>596</v>
      </c>
      <c r="B534" s="63"/>
      <c r="C534" s="63"/>
      <c r="D534" s="64"/>
      <c r="E534" s="66"/>
      <c r="F534" s="103" t="str">
        <f>HYPERLINK("https://pbs.twimg.com/profile_images/1681100209055576064/Ixd4yw-r_normal.jpg")</f>
        <v>https://pbs.twimg.com/profile_images/1681100209055576064/Ixd4yw-r_normal.jpg</v>
      </c>
      <c r="G534" s="63"/>
      <c r="H534" s="67"/>
      <c r="I534" s="68"/>
      <c r="J534" s="68"/>
      <c r="K534" s="67" t="s">
        <v>28128</v>
      </c>
      <c r="L534" s="71"/>
      <c r="M534" s="72"/>
      <c r="N534" s="72"/>
      <c r="O534" s="73"/>
      <c r="P534" s="74"/>
      <c r="Q534" s="74"/>
      <c r="R534" s="87"/>
      <c r="S534" s="87"/>
      <c r="T534" s="87"/>
      <c r="U534" s="87"/>
      <c r="V534" s="48"/>
      <c r="W534" s="48"/>
      <c r="X534" s="48"/>
      <c r="Y534" s="48"/>
      <c r="Z534" s="47"/>
      <c r="AA534" s="69">
        <v>534</v>
      </c>
      <c r="AB534" s="69"/>
      <c r="AC534" s="70"/>
      <c r="AD534" s="76" t="s">
        <v>21771</v>
      </c>
      <c r="AE534" s="81" t="s">
        <v>20674</v>
      </c>
      <c r="AF534" s="76">
        <v>198</v>
      </c>
      <c r="AG534" s="76">
        <v>402</v>
      </c>
      <c r="AH534" s="76">
        <v>2234</v>
      </c>
      <c r="AI534" s="76">
        <v>0</v>
      </c>
      <c r="AJ534" s="76">
        <v>13384</v>
      </c>
      <c r="AK534" s="76">
        <v>1</v>
      </c>
      <c r="AL534" s="76" t="b">
        <v>0</v>
      </c>
      <c r="AM534" s="78">
        <v>44871.463263888887</v>
      </c>
      <c r="AN534" s="76" t="s">
        <v>24263</v>
      </c>
      <c r="AO534" s="76" t="s">
        <v>25186</v>
      </c>
      <c r="AP534" s="76"/>
      <c r="AQ534" s="76"/>
      <c r="AR534" s="76"/>
      <c r="AS534" s="76"/>
      <c r="AT534" s="76"/>
      <c r="AU534" s="76"/>
      <c r="AV534" s="76"/>
      <c r="AW534" s="76"/>
      <c r="AX534" s="76" t="b">
        <v>0</v>
      </c>
      <c r="AY534" s="76"/>
      <c r="AZ534" s="76"/>
      <c r="BA534" s="76" t="b">
        <v>0</v>
      </c>
      <c r="BB534" s="76" t="b">
        <v>1</v>
      </c>
      <c r="BC534" s="76" t="b">
        <v>1</v>
      </c>
      <c r="BD534" s="76" t="b">
        <v>0</v>
      </c>
      <c r="BE534" s="76" t="b">
        <v>1</v>
      </c>
      <c r="BF534" s="76" t="b">
        <v>0</v>
      </c>
      <c r="BG534" s="76" t="b">
        <v>0</v>
      </c>
      <c r="BH534" s="82" t="str">
        <f>HYPERLINK("https://pbs.twimg.com/profile_banners/1589212717663109120/1667733526")</f>
        <v>https://pbs.twimg.com/profile_banners/1589212717663109120/1667733526</v>
      </c>
      <c r="BI534" s="76"/>
      <c r="BJ534" s="76" t="s">
        <v>27595</v>
      </c>
      <c r="BK534" s="76" t="b">
        <v>0</v>
      </c>
      <c r="BL534" s="76"/>
      <c r="BM534" s="76" t="s">
        <v>66</v>
      </c>
      <c r="BN534" s="76" t="s">
        <v>27597</v>
      </c>
      <c r="BO534" s="82" t="str">
        <f>HYPERLINK("https://twitter.com/elietea74435432")</f>
        <v>https://twitter.com/elietea74435432</v>
      </c>
      <c r="BP534" s="2"/>
    </row>
    <row r="535" spans="1:68" x14ac:dyDescent="0.25">
      <c r="A535" s="62" t="s">
        <v>597</v>
      </c>
      <c r="B535" s="63"/>
      <c r="C535" s="63"/>
      <c r="D535" s="64"/>
      <c r="E535" s="66"/>
      <c r="F535" s="103" t="str">
        <f>HYPERLINK("https://pbs.twimg.com/profile_images/1688959691978682370/6YSnvuAh_normal.jpg")</f>
        <v>https://pbs.twimg.com/profile_images/1688959691978682370/6YSnvuAh_normal.jpg</v>
      </c>
      <c r="G535" s="63"/>
      <c r="H535" s="67"/>
      <c r="I535" s="68"/>
      <c r="J535" s="68"/>
      <c r="K535" s="67" t="s">
        <v>28129</v>
      </c>
      <c r="L535" s="71"/>
      <c r="M535" s="72"/>
      <c r="N535" s="72"/>
      <c r="O535" s="73"/>
      <c r="P535" s="74"/>
      <c r="Q535" s="74"/>
      <c r="R535" s="87"/>
      <c r="S535" s="87"/>
      <c r="T535" s="87"/>
      <c r="U535" s="87"/>
      <c r="V535" s="48"/>
      <c r="W535" s="48"/>
      <c r="X535" s="48"/>
      <c r="Y535" s="48"/>
      <c r="Z535" s="47"/>
      <c r="AA535" s="69">
        <v>535</v>
      </c>
      <c r="AB535" s="69"/>
      <c r="AC535" s="70"/>
      <c r="AD535" s="76" t="s">
        <v>21772</v>
      </c>
      <c r="AE535" s="81" t="s">
        <v>20675</v>
      </c>
      <c r="AF535" s="76">
        <v>16</v>
      </c>
      <c r="AG535" s="76">
        <v>11</v>
      </c>
      <c r="AH535" s="76">
        <v>1896</v>
      </c>
      <c r="AI535" s="76">
        <v>0</v>
      </c>
      <c r="AJ535" s="76">
        <v>16</v>
      </c>
      <c r="AK535" s="76">
        <v>1017</v>
      </c>
      <c r="AL535" s="76" t="b">
        <v>0</v>
      </c>
      <c r="AM535" s="78">
        <v>45146.71193287037</v>
      </c>
      <c r="AN535" s="76" t="s">
        <v>24264</v>
      </c>
      <c r="AO535" s="76" t="s">
        <v>25187</v>
      </c>
      <c r="AP535" s="76"/>
      <c r="AQ535" s="76"/>
      <c r="AR535" s="76"/>
      <c r="AS535" s="76"/>
      <c r="AT535" s="76"/>
      <c r="AU535" s="76"/>
      <c r="AV535" s="76"/>
      <c r="AW535" s="76"/>
      <c r="AX535" s="76" t="b">
        <v>0</v>
      </c>
      <c r="AY535" s="76"/>
      <c r="AZ535" s="76"/>
      <c r="BA535" s="76" t="b">
        <v>0</v>
      </c>
      <c r="BB535" s="76" t="b">
        <v>1</v>
      </c>
      <c r="BC535" s="76" t="b">
        <v>1</v>
      </c>
      <c r="BD535" s="76" t="b">
        <v>0</v>
      </c>
      <c r="BE535" s="76" t="b">
        <v>0</v>
      </c>
      <c r="BF535" s="76" t="b">
        <v>0</v>
      </c>
      <c r="BG535" s="76" t="b">
        <v>0</v>
      </c>
      <c r="BH535" s="82" t="str">
        <f>HYPERLINK("https://pbs.twimg.com/profile_banners/1688959489599283200/1691516428")</f>
        <v>https://pbs.twimg.com/profile_banners/1688959489599283200/1691516428</v>
      </c>
      <c r="BI535" s="76"/>
      <c r="BJ535" s="76" t="s">
        <v>27595</v>
      </c>
      <c r="BK535" s="76" t="b">
        <v>0</v>
      </c>
      <c r="BL535" s="76"/>
      <c r="BM535" s="76" t="s">
        <v>66</v>
      </c>
      <c r="BN535" s="76" t="s">
        <v>27597</v>
      </c>
      <c r="BO535" s="82" t="str">
        <f>HYPERLINK("https://twitter.com/topnewses")</f>
        <v>https://twitter.com/topnewses</v>
      </c>
      <c r="BP535" s="2"/>
    </row>
    <row r="536" spans="1:68" x14ac:dyDescent="0.25">
      <c r="A536" s="62" t="s">
        <v>598</v>
      </c>
      <c r="B536" s="63"/>
      <c r="C536" s="63"/>
      <c r="D536" s="64"/>
      <c r="E536" s="66"/>
      <c r="F536" s="103" t="str">
        <f>HYPERLINK("https://pbs.twimg.com/profile_images/906342306315464704/iuPk2Hxo_normal.jpg")</f>
        <v>https://pbs.twimg.com/profile_images/906342306315464704/iuPk2Hxo_normal.jpg</v>
      </c>
      <c r="G536" s="63"/>
      <c r="H536" s="67"/>
      <c r="I536" s="68"/>
      <c r="J536" s="68"/>
      <c r="K536" s="67" t="s">
        <v>28130</v>
      </c>
      <c r="L536" s="71"/>
      <c r="M536" s="72"/>
      <c r="N536" s="72"/>
      <c r="O536" s="73"/>
      <c r="P536" s="74"/>
      <c r="Q536" s="74"/>
      <c r="R536" s="87"/>
      <c r="S536" s="87"/>
      <c r="T536" s="87"/>
      <c r="U536" s="87"/>
      <c r="V536" s="48"/>
      <c r="W536" s="48"/>
      <c r="X536" s="48"/>
      <c r="Y536" s="48"/>
      <c r="Z536" s="47"/>
      <c r="AA536" s="69">
        <v>536</v>
      </c>
      <c r="AB536" s="69"/>
      <c r="AC536" s="70"/>
      <c r="AD536" s="76" t="s">
        <v>21773</v>
      </c>
      <c r="AE536" s="81" t="s">
        <v>20676</v>
      </c>
      <c r="AF536" s="76">
        <v>531</v>
      </c>
      <c r="AG536" s="76">
        <v>62</v>
      </c>
      <c r="AH536" s="76">
        <v>22030</v>
      </c>
      <c r="AI536" s="76">
        <v>10</v>
      </c>
      <c r="AJ536" s="76">
        <v>168</v>
      </c>
      <c r="AK536" s="76">
        <v>20780</v>
      </c>
      <c r="AL536" s="76" t="b">
        <v>0</v>
      </c>
      <c r="AM536" s="78">
        <v>42979.702291666668</v>
      </c>
      <c r="AN536" s="76" t="s">
        <v>24265</v>
      </c>
      <c r="AO536" s="76" t="s">
        <v>25188</v>
      </c>
      <c r="AP536" s="82" t="str">
        <f>HYPERLINK("https://t.co/32UG9KDZY4")</f>
        <v>https://t.co/32UG9KDZY4</v>
      </c>
      <c r="AQ536" s="82" t="str">
        <f>HYPERLINK("http://agenciasertao.com")</f>
        <v>http://agenciasertao.com</v>
      </c>
      <c r="AR536" s="76" t="s">
        <v>26666</v>
      </c>
      <c r="AS536" s="76"/>
      <c r="AT536" s="76"/>
      <c r="AU536" s="76"/>
      <c r="AV536" s="76"/>
      <c r="AW536" s="82" t="str">
        <f>HYPERLINK("https://t.co/32UG9KDZY4")</f>
        <v>https://t.co/32UG9KDZY4</v>
      </c>
      <c r="AX536" s="76" t="b">
        <v>0</v>
      </c>
      <c r="AY536" s="76"/>
      <c r="AZ536" s="76"/>
      <c r="BA536" s="76" t="b">
        <v>0</v>
      </c>
      <c r="BB536" s="76" t="b">
        <v>1</v>
      </c>
      <c r="BC536" s="76" t="b">
        <v>1</v>
      </c>
      <c r="BD536" s="76" t="b">
        <v>0</v>
      </c>
      <c r="BE536" s="76" t="b">
        <v>0</v>
      </c>
      <c r="BF536" s="76" t="b">
        <v>0</v>
      </c>
      <c r="BG536" s="76" t="b">
        <v>0</v>
      </c>
      <c r="BH536" s="82" t="str">
        <f>HYPERLINK("https://pbs.twimg.com/profile_banners/903661555434356737/1504923948")</f>
        <v>https://pbs.twimg.com/profile_banners/903661555434356737/1504923948</v>
      </c>
      <c r="BI536" s="76"/>
      <c r="BJ536" s="76" t="s">
        <v>27595</v>
      </c>
      <c r="BK536" s="76" t="b">
        <v>0</v>
      </c>
      <c r="BL536" s="76"/>
      <c r="BM536" s="76" t="s">
        <v>66</v>
      </c>
      <c r="BN536" s="76" t="s">
        <v>27597</v>
      </c>
      <c r="BO536" s="82" t="str">
        <f>HYPERLINK("https://twitter.com/agenciasertao_")</f>
        <v>https://twitter.com/agenciasertao_</v>
      </c>
      <c r="BP536" s="2"/>
    </row>
    <row r="537" spans="1:68" x14ac:dyDescent="0.25">
      <c r="A537" s="62" t="s">
        <v>599</v>
      </c>
      <c r="B537" s="63"/>
      <c r="C537" s="63"/>
      <c r="D537" s="64"/>
      <c r="E537" s="66"/>
      <c r="F537" s="103" t="str">
        <f>HYPERLINK("https://pbs.twimg.com/profile_images/1620416878366842880/hF3un4XC_normal.jpg")</f>
        <v>https://pbs.twimg.com/profile_images/1620416878366842880/hF3un4XC_normal.jpg</v>
      </c>
      <c r="G537" s="63"/>
      <c r="H537" s="67"/>
      <c r="I537" s="68"/>
      <c r="J537" s="68"/>
      <c r="K537" s="67" t="s">
        <v>28131</v>
      </c>
      <c r="L537" s="71"/>
      <c r="M537" s="72"/>
      <c r="N537" s="72"/>
      <c r="O537" s="73"/>
      <c r="P537" s="74"/>
      <c r="Q537" s="74"/>
      <c r="R537" s="87"/>
      <c r="S537" s="87"/>
      <c r="T537" s="87"/>
      <c r="U537" s="87"/>
      <c r="V537" s="48"/>
      <c r="W537" s="48"/>
      <c r="X537" s="48"/>
      <c r="Y537" s="48"/>
      <c r="Z537" s="47"/>
      <c r="AA537" s="69">
        <v>537</v>
      </c>
      <c r="AB537" s="69"/>
      <c r="AC537" s="70"/>
      <c r="AD537" s="76" t="s">
        <v>21774</v>
      </c>
      <c r="AE537" s="81" t="s">
        <v>23351</v>
      </c>
      <c r="AF537" s="76">
        <v>10912870</v>
      </c>
      <c r="AG537" s="76">
        <v>1780</v>
      </c>
      <c r="AH537" s="76">
        <v>67432</v>
      </c>
      <c r="AI537" s="76">
        <v>30175</v>
      </c>
      <c r="AJ537" s="76">
        <v>907</v>
      </c>
      <c r="AK537" s="76">
        <v>11408</v>
      </c>
      <c r="AL537" s="76" t="b">
        <v>0</v>
      </c>
      <c r="AM537" s="78">
        <v>39930.63354166667</v>
      </c>
      <c r="AN537" s="76" t="s">
        <v>14382</v>
      </c>
      <c r="AO537" s="76" t="s">
        <v>25189</v>
      </c>
      <c r="AP537" s="82" t="str">
        <f>HYPERLINK("https://t.co/gpTLnUGoEK")</f>
        <v>https://t.co/gpTLnUGoEK</v>
      </c>
      <c r="AQ537" s="82" t="str">
        <f>HYPERLINK("https://www.youtube.com/PanicoJovemPan")</f>
        <v>https://www.youtube.com/PanicoJovemPan</v>
      </c>
      <c r="AR537" s="76" t="s">
        <v>26667</v>
      </c>
      <c r="AS537" s="76"/>
      <c r="AT537" s="76"/>
      <c r="AU537" s="76"/>
      <c r="AV537" s="76"/>
      <c r="AW537" s="82" t="str">
        <f>HYPERLINK("https://t.co/gpTLnUGoEK")</f>
        <v>https://t.co/gpTLnUGoEK</v>
      </c>
      <c r="AX537" s="76" t="b">
        <v>1</v>
      </c>
      <c r="AY537" s="76"/>
      <c r="AZ537" s="76"/>
      <c r="BA537" s="76" t="b">
        <v>0</v>
      </c>
      <c r="BB537" s="76" t="b">
        <v>1</v>
      </c>
      <c r="BC537" s="76" t="b">
        <v>0</v>
      </c>
      <c r="BD537" s="76" t="b">
        <v>0</v>
      </c>
      <c r="BE537" s="76" t="b">
        <v>1</v>
      </c>
      <c r="BF537" s="76" t="b">
        <v>0</v>
      </c>
      <c r="BG537" s="76" t="b">
        <v>0</v>
      </c>
      <c r="BH537" s="82" t="str">
        <f>HYPERLINK("https://pbs.twimg.com/profile_banners/35765232/1675193152")</f>
        <v>https://pbs.twimg.com/profile_banners/35765232/1675193152</v>
      </c>
      <c r="BI537" s="76"/>
      <c r="BJ537" s="76" t="s">
        <v>27595</v>
      </c>
      <c r="BK537" s="76" t="b">
        <v>0</v>
      </c>
      <c r="BL537" s="76"/>
      <c r="BM537" s="76" t="s">
        <v>66</v>
      </c>
      <c r="BN537" s="76" t="s">
        <v>27597</v>
      </c>
      <c r="BO537" s="82" t="str">
        <f>HYPERLINK("https://twitter.com/programapanico")</f>
        <v>https://twitter.com/programapanico</v>
      </c>
      <c r="BP537" s="2"/>
    </row>
    <row r="538" spans="1:68" x14ac:dyDescent="0.25">
      <c r="A538" s="62" t="s">
        <v>1817</v>
      </c>
      <c r="B538" s="63"/>
      <c r="C538" s="63"/>
      <c r="D538" s="64"/>
      <c r="E538" s="66"/>
      <c r="F538" s="103" t="str">
        <f>HYPERLINK("https://pbs.twimg.com/profile_images/1636679167923068928/qcrs4Xm__normal.jpg")</f>
        <v>https://pbs.twimg.com/profile_images/1636679167923068928/qcrs4Xm__normal.jpg</v>
      </c>
      <c r="G538" s="63"/>
      <c r="H538" s="67"/>
      <c r="I538" s="68"/>
      <c r="J538" s="68"/>
      <c r="K538" s="67" t="s">
        <v>28132</v>
      </c>
      <c r="L538" s="71"/>
      <c r="M538" s="72"/>
      <c r="N538" s="72"/>
      <c r="O538" s="73"/>
      <c r="P538" s="74"/>
      <c r="Q538" s="74"/>
      <c r="R538" s="87"/>
      <c r="S538" s="87"/>
      <c r="T538" s="87"/>
      <c r="U538" s="87"/>
      <c r="V538" s="48"/>
      <c r="W538" s="48"/>
      <c r="X538" s="48"/>
      <c r="Y538" s="48"/>
      <c r="Z538" s="47"/>
      <c r="AA538" s="69">
        <v>538</v>
      </c>
      <c r="AB538" s="69"/>
      <c r="AC538" s="70"/>
      <c r="AD538" s="76" t="s">
        <v>21775</v>
      </c>
      <c r="AE538" s="81" t="s">
        <v>23352</v>
      </c>
      <c r="AF538" s="76">
        <v>60972</v>
      </c>
      <c r="AG538" s="76">
        <v>1112</v>
      </c>
      <c r="AH538" s="76">
        <v>9667</v>
      </c>
      <c r="AI538" s="76">
        <v>365</v>
      </c>
      <c r="AJ538" s="76">
        <v>5075</v>
      </c>
      <c r="AK538" s="76">
        <v>1198</v>
      </c>
      <c r="AL538" s="76" t="b">
        <v>0</v>
      </c>
      <c r="AM538" s="78">
        <v>43401.644895833335</v>
      </c>
      <c r="AN538" s="76" t="s">
        <v>24158</v>
      </c>
      <c r="AO538" s="76" t="s">
        <v>25190</v>
      </c>
      <c r="AP538" s="82" t="str">
        <f>HYPERLINK("https://t.co/28oQ7RPF8N")</f>
        <v>https://t.co/28oQ7RPF8N</v>
      </c>
      <c r="AQ538" s="82" t="str">
        <f>HYPERLINK("http://leonardosiqueirabr.com.br/")</f>
        <v>http://leonardosiqueirabr.com.br/</v>
      </c>
      <c r="AR538" s="76" t="s">
        <v>26668</v>
      </c>
      <c r="AS538" s="76"/>
      <c r="AT538" s="76"/>
      <c r="AU538" s="76"/>
      <c r="AV538" s="76"/>
      <c r="AW538" s="82" t="str">
        <f>HYPERLINK("https://t.co/28oQ7RPF8N")</f>
        <v>https://t.co/28oQ7RPF8N</v>
      </c>
      <c r="AX538" s="76" t="b">
        <v>1</v>
      </c>
      <c r="AY538" s="76"/>
      <c r="AZ538" s="76"/>
      <c r="BA538" s="76" t="b">
        <v>1</v>
      </c>
      <c r="BB538" s="76" t="b">
        <v>1</v>
      </c>
      <c r="BC538" s="76" t="b">
        <v>0</v>
      </c>
      <c r="BD538" s="76" t="b">
        <v>0</v>
      </c>
      <c r="BE538" s="76" t="b">
        <v>1</v>
      </c>
      <c r="BF538" s="76" t="b">
        <v>0</v>
      </c>
      <c r="BG538" s="76" t="b">
        <v>0</v>
      </c>
      <c r="BH538" s="82" t="str">
        <f>HYPERLINK("https://pbs.twimg.com/profile_banners/1056568434266439680/1669294857")</f>
        <v>https://pbs.twimg.com/profile_banners/1056568434266439680/1669294857</v>
      </c>
      <c r="BI538" s="76"/>
      <c r="BJ538" s="76" t="s">
        <v>27595</v>
      </c>
      <c r="BK538" s="76" t="b">
        <v>0</v>
      </c>
      <c r="BL538" s="76"/>
      <c r="BM538" s="76" t="s">
        <v>65</v>
      </c>
      <c r="BN538" s="76" t="s">
        <v>27597</v>
      </c>
      <c r="BO538" s="82" t="str">
        <f>HYPERLINK("https://twitter.com/leosiqueirabr")</f>
        <v>https://twitter.com/leosiqueirabr</v>
      </c>
      <c r="BP538" s="2"/>
    </row>
    <row r="539" spans="1:68" x14ac:dyDescent="0.25">
      <c r="A539" s="62" t="s">
        <v>600</v>
      </c>
      <c r="B539" s="63"/>
      <c r="C539" s="63"/>
      <c r="D539" s="64"/>
      <c r="E539" s="66"/>
      <c r="F539" s="103" t="str">
        <f>HYPERLINK("https://pbs.twimg.com/profile_images/1612872150414725146/hkpL0aG9_normal.jpg")</f>
        <v>https://pbs.twimg.com/profile_images/1612872150414725146/hkpL0aG9_normal.jpg</v>
      </c>
      <c r="G539" s="63"/>
      <c r="H539" s="67"/>
      <c r="I539" s="68"/>
      <c r="J539" s="68"/>
      <c r="K539" s="67" t="s">
        <v>28133</v>
      </c>
      <c r="L539" s="71"/>
      <c r="M539" s="72"/>
      <c r="N539" s="72"/>
      <c r="O539" s="73"/>
      <c r="P539" s="74"/>
      <c r="Q539" s="74"/>
      <c r="R539" s="87"/>
      <c r="S539" s="87"/>
      <c r="T539" s="87"/>
      <c r="U539" s="87"/>
      <c r="V539" s="48"/>
      <c r="W539" s="48"/>
      <c r="X539" s="48"/>
      <c r="Y539" s="48"/>
      <c r="Z539" s="47"/>
      <c r="AA539" s="69">
        <v>539</v>
      </c>
      <c r="AB539" s="69"/>
      <c r="AC539" s="70"/>
      <c r="AD539" s="76" t="s">
        <v>21776</v>
      </c>
      <c r="AE539" s="81" t="s">
        <v>20677</v>
      </c>
      <c r="AF539" s="76">
        <v>49</v>
      </c>
      <c r="AG539" s="76">
        <v>204</v>
      </c>
      <c r="AH539" s="76">
        <v>4947</v>
      </c>
      <c r="AI539" s="76">
        <v>0</v>
      </c>
      <c r="AJ539" s="76">
        <v>5401</v>
      </c>
      <c r="AK539" s="76">
        <v>136</v>
      </c>
      <c r="AL539" s="76" t="b">
        <v>0</v>
      </c>
      <c r="AM539" s="78">
        <v>44818.553842592592</v>
      </c>
      <c r="AN539" s="76"/>
      <c r="AO539" s="76" t="s">
        <v>25191</v>
      </c>
      <c r="AP539" s="76"/>
      <c r="AQ539" s="76"/>
      <c r="AR539" s="76"/>
      <c r="AS539" s="76"/>
      <c r="AT539" s="76"/>
      <c r="AU539" s="76"/>
      <c r="AV539" s="76">
        <v>1.6314072962228401E+18</v>
      </c>
      <c r="AW539" s="76"/>
      <c r="AX539" s="76" t="b">
        <v>0</v>
      </c>
      <c r="AY539" s="76"/>
      <c r="AZ539" s="76"/>
      <c r="BA539" s="76" t="b">
        <v>0</v>
      </c>
      <c r="BB539" s="76" t="b">
        <v>1</v>
      </c>
      <c r="BC539" s="76" t="b">
        <v>1</v>
      </c>
      <c r="BD539" s="76" t="b">
        <v>0</v>
      </c>
      <c r="BE539" s="76" t="b">
        <v>0</v>
      </c>
      <c r="BF539" s="76" t="b">
        <v>0</v>
      </c>
      <c r="BG539" s="76" t="b">
        <v>0</v>
      </c>
      <c r="BH539" s="82" t="str">
        <f>HYPERLINK("https://pbs.twimg.com/profile_banners/1570038939771076609/1673373456")</f>
        <v>https://pbs.twimg.com/profile_banners/1570038939771076609/1673373456</v>
      </c>
      <c r="BI539" s="76"/>
      <c r="BJ539" s="76" t="s">
        <v>27595</v>
      </c>
      <c r="BK539" s="76" t="b">
        <v>0</v>
      </c>
      <c r="BL539" s="76"/>
      <c r="BM539" s="76" t="s">
        <v>66</v>
      </c>
      <c r="BN539" s="76" t="s">
        <v>27597</v>
      </c>
      <c r="BO539" s="82" t="str">
        <f>HYPERLINK("https://twitter.com/marioestay8")</f>
        <v>https://twitter.com/marioestay8</v>
      </c>
      <c r="BP539" s="2"/>
    </row>
    <row r="540" spans="1:68" x14ac:dyDescent="0.25">
      <c r="A540" s="62" t="s">
        <v>602</v>
      </c>
      <c r="B540" s="63"/>
      <c r="C540" s="63"/>
      <c r="D540" s="64"/>
      <c r="E540" s="66"/>
      <c r="F540" s="103" t="str">
        <f>HYPERLINK("https://pbs.twimg.com/profile_images/1567657257264873474/2kjoW6p__normal.jpg")</f>
        <v>https://pbs.twimg.com/profile_images/1567657257264873474/2kjoW6p__normal.jpg</v>
      </c>
      <c r="G540" s="63"/>
      <c r="H540" s="67"/>
      <c r="I540" s="68"/>
      <c r="J540" s="68"/>
      <c r="K540" s="67" t="s">
        <v>28134</v>
      </c>
      <c r="L540" s="71"/>
      <c r="M540" s="72"/>
      <c r="N540" s="72"/>
      <c r="O540" s="73"/>
      <c r="P540" s="74"/>
      <c r="Q540" s="74"/>
      <c r="R540" s="87"/>
      <c r="S540" s="87"/>
      <c r="T540" s="87"/>
      <c r="U540" s="87"/>
      <c r="V540" s="48"/>
      <c r="W540" s="48"/>
      <c r="X540" s="48"/>
      <c r="Y540" s="48"/>
      <c r="Z540" s="47"/>
      <c r="AA540" s="69">
        <v>540</v>
      </c>
      <c r="AB540" s="69"/>
      <c r="AC540" s="70"/>
      <c r="AD540" s="76" t="s">
        <v>21777</v>
      </c>
      <c r="AE540" s="81" t="s">
        <v>23353</v>
      </c>
      <c r="AF540" s="76">
        <v>10386</v>
      </c>
      <c r="AG540" s="76">
        <v>1051</v>
      </c>
      <c r="AH540" s="76">
        <v>2449</v>
      </c>
      <c r="AI540" s="76">
        <v>43</v>
      </c>
      <c r="AJ540" s="76">
        <v>183</v>
      </c>
      <c r="AK540" s="76">
        <v>797</v>
      </c>
      <c r="AL540" s="76" t="b">
        <v>0</v>
      </c>
      <c r="AM540" s="78">
        <v>40761.065358796295</v>
      </c>
      <c r="AN540" s="76"/>
      <c r="AO540" s="76" t="s">
        <v>25192</v>
      </c>
      <c r="AP540" s="76"/>
      <c r="AQ540" s="76"/>
      <c r="AR540" s="76"/>
      <c r="AS540" s="76"/>
      <c r="AT540" s="76"/>
      <c r="AU540" s="76"/>
      <c r="AV540" s="76">
        <v>1.6588728437219E+18</v>
      </c>
      <c r="AW540" s="76"/>
      <c r="AX540" s="76" t="b">
        <v>0</v>
      </c>
      <c r="AY540" s="76"/>
      <c r="AZ540" s="76"/>
      <c r="BA540" s="76" t="b">
        <v>1</v>
      </c>
      <c r="BB540" s="76" t="b">
        <v>1</v>
      </c>
      <c r="BC540" s="76" t="b">
        <v>1</v>
      </c>
      <c r="BD540" s="76" t="b">
        <v>0</v>
      </c>
      <c r="BE540" s="76" t="b">
        <v>0</v>
      </c>
      <c r="BF540" s="76" t="b">
        <v>0</v>
      </c>
      <c r="BG540" s="76" t="b">
        <v>0</v>
      </c>
      <c r="BH540" s="82" t="str">
        <f>HYPERLINK("https://pbs.twimg.com/profile_banners/349397588/1685500414")</f>
        <v>https://pbs.twimg.com/profile_banners/349397588/1685500414</v>
      </c>
      <c r="BI540" s="76"/>
      <c r="BJ540" s="76" t="s">
        <v>27595</v>
      </c>
      <c r="BK540" s="76" t="b">
        <v>0</v>
      </c>
      <c r="BL540" s="76"/>
      <c r="BM540" s="76" t="s">
        <v>66</v>
      </c>
      <c r="BN540" s="76" t="s">
        <v>27597</v>
      </c>
      <c r="BO540" s="82" t="str">
        <f>HYPERLINK("https://twitter.com/arturoclaro")</f>
        <v>https://twitter.com/arturoclaro</v>
      </c>
      <c r="BP540" s="2"/>
    </row>
    <row r="541" spans="1:68" x14ac:dyDescent="0.25">
      <c r="A541" s="62" t="s">
        <v>601</v>
      </c>
      <c r="B541" s="63"/>
      <c r="C541" s="63"/>
      <c r="D541" s="64"/>
      <c r="E541" s="66"/>
      <c r="F541" s="103" t="str">
        <f>HYPERLINK("https://pbs.twimg.com/profile_images/1642941503747047424/2ph_GjIX_normal.jpg")</f>
        <v>https://pbs.twimg.com/profile_images/1642941503747047424/2ph_GjIX_normal.jpg</v>
      </c>
      <c r="G541" s="63"/>
      <c r="H541" s="67"/>
      <c r="I541" s="68"/>
      <c r="J541" s="68"/>
      <c r="K541" s="67" t="s">
        <v>28135</v>
      </c>
      <c r="L541" s="71"/>
      <c r="M541" s="72"/>
      <c r="N541" s="72"/>
      <c r="O541" s="73"/>
      <c r="P541" s="74"/>
      <c r="Q541" s="74"/>
      <c r="R541" s="87"/>
      <c r="S541" s="87"/>
      <c r="T541" s="87"/>
      <c r="U541" s="87"/>
      <c r="V541" s="48"/>
      <c r="W541" s="48"/>
      <c r="X541" s="48"/>
      <c r="Y541" s="48"/>
      <c r="Z541" s="47"/>
      <c r="AA541" s="69">
        <v>541</v>
      </c>
      <c r="AB541" s="69"/>
      <c r="AC541" s="70"/>
      <c r="AD541" s="76" t="s">
        <v>21778</v>
      </c>
      <c r="AE541" s="81" t="s">
        <v>23354</v>
      </c>
      <c r="AF541" s="76">
        <v>88</v>
      </c>
      <c r="AG541" s="76">
        <v>670</v>
      </c>
      <c r="AH541" s="76">
        <v>9898</v>
      </c>
      <c r="AI541" s="76">
        <v>1</v>
      </c>
      <c r="AJ541" s="76">
        <v>41174</v>
      </c>
      <c r="AK541" s="76">
        <v>128</v>
      </c>
      <c r="AL541" s="76" t="b">
        <v>0</v>
      </c>
      <c r="AM541" s="78">
        <v>41053.859618055554</v>
      </c>
      <c r="AN541" s="76" t="s">
        <v>24159</v>
      </c>
      <c r="AO541" s="76"/>
      <c r="AP541" s="76"/>
      <c r="AQ541" s="76"/>
      <c r="AR541" s="76"/>
      <c r="AS541" s="76"/>
      <c r="AT541" s="76"/>
      <c r="AU541" s="76"/>
      <c r="AV541" s="76"/>
      <c r="AW541" s="76"/>
      <c r="AX541" s="76" t="b">
        <v>0</v>
      </c>
      <c r="AY541" s="76"/>
      <c r="AZ541" s="76"/>
      <c r="BA541" s="76" t="b">
        <v>0</v>
      </c>
      <c r="BB541" s="76" t="b">
        <v>0</v>
      </c>
      <c r="BC541" s="76" t="b">
        <v>0</v>
      </c>
      <c r="BD541" s="76" t="b">
        <v>0</v>
      </c>
      <c r="BE541" s="76" t="b">
        <v>1</v>
      </c>
      <c r="BF541" s="76" t="b">
        <v>0</v>
      </c>
      <c r="BG541" s="76" t="b">
        <v>0</v>
      </c>
      <c r="BH541" s="82" t="str">
        <f>HYPERLINK("https://pbs.twimg.com/profile_banners/589408423/1672869869")</f>
        <v>https://pbs.twimg.com/profile_banners/589408423/1672869869</v>
      </c>
      <c r="BI541" s="76"/>
      <c r="BJ541" s="76" t="s">
        <v>27595</v>
      </c>
      <c r="BK541" s="76" t="b">
        <v>0</v>
      </c>
      <c r="BL541" s="76"/>
      <c r="BM541" s="76" t="s">
        <v>66</v>
      </c>
      <c r="BN541" s="76" t="s">
        <v>27597</v>
      </c>
      <c r="BO541" s="82" t="str">
        <f>HYPERLINK("https://twitter.com/atlantisbor33")</f>
        <v>https://twitter.com/atlantisbor33</v>
      </c>
      <c r="BP541" s="2"/>
    </row>
    <row r="542" spans="1:68" x14ac:dyDescent="0.25">
      <c r="A542" s="62" t="s">
        <v>1678</v>
      </c>
      <c r="B542" s="63"/>
      <c r="C542" s="63"/>
      <c r="D542" s="64"/>
      <c r="E542" s="66"/>
      <c r="F542" s="103" t="str">
        <f>HYPERLINK("https://pbs.twimg.com/profile_images/1640576919354716160/V478sHjL_normal.jpg")</f>
        <v>https://pbs.twimg.com/profile_images/1640576919354716160/V478sHjL_normal.jpg</v>
      </c>
      <c r="G542" s="63"/>
      <c r="H542" s="67"/>
      <c r="I542" s="68"/>
      <c r="J542" s="68"/>
      <c r="K542" s="67" t="s">
        <v>28136</v>
      </c>
      <c r="L542" s="71"/>
      <c r="M542" s="72"/>
      <c r="N542" s="72"/>
      <c r="O542" s="73"/>
      <c r="P542" s="74"/>
      <c r="Q542" s="74"/>
      <c r="R542" s="87"/>
      <c r="S542" s="87"/>
      <c r="T542" s="87"/>
      <c r="U542" s="87"/>
      <c r="V542" s="48"/>
      <c r="W542" s="48"/>
      <c r="X542" s="48"/>
      <c r="Y542" s="48"/>
      <c r="Z542" s="47"/>
      <c r="AA542" s="69">
        <v>542</v>
      </c>
      <c r="AB542" s="69"/>
      <c r="AC542" s="70"/>
      <c r="AD542" s="76" t="s">
        <v>21779</v>
      </c>
      <c r="AE542" s="81" t="s">
        <v>21195</v>
      </c>
      <c r="AF542" s="76">
        <v>144414</v>
      </c>
      <c r="AG542" s="76">
        <v>235</v>
      </c>
      <c r="AH542" s="76">
        <v>47765</v>
      </c>
      <c r="AI542" s="76">
        <v>255</v>
      </c>
      <c r="AJ542" s="76">
        <v>19943</v>
      </c>
      <c r="AK542" s="76">
        <v>17875</v>
      </c>
      <c r="AL542" s="76" t="b">
        <v>0</v>
      </c>
      <c r="AM542" s="78">
        <v>43681.861446759256</v>
      </c>
      <c r="AN542" s="76" t="s">
        <v>24266</v>
      </c>
      <c r="AO542" s="76" t="s">
        <v>25193</v>
      </c>
      <c r="AP542" s="82" t="str">
        <f>HYPERLINK("https://t.co/IGZXSFEjKg")</f>
        <v>https://t.co/IGZXSFEjKg</v>
      </c>
      <c r="AQ542" s="82" t="str">
        <f>HYPERLINK("https://m.twitch.tv/the_real_buni")</f>
        <v>https://m.twitch.tv/the_real_buni</v>
      </c>
      <c r="AR542" s="76" t="s">
        <v>26669</v>
      </c>
      <c r="AS542" s="76"/>
      <c r="AT542" s="76"/>
      <c r="AU542" s="76"/>
      <c r="AV542" s="76">
        <v>1.6751971252468201E+18</v>
      </c>
      <c r="AW542" s="82" t="str">
        <f>HYPERLINK("https://t.co/IGZXSFEjKg")</f>
        <v>https://t.co/IGZXSFEjKg</v>
      </c>
      <c r="AX542" s="76" t="b">
        <v>1</v>
      </c>
      <c r="AY542" s="76"/>
      <c r="AZ542" s="76"/>
      <c r="BA542" s="76" t="b">
        <v>1</v>
      </c>
      <c r="BB542" s="76" t="b">
        <v>0</v>
      </c>
      <c r="BC542" s="76" t="b">
        <v>1</v>
      </c>
      <c r="BD542" s="76" t="b">
        <v>0</v>
      </c>
      <c r="BE542" s="76" t="b">
        <v>1</v>
      </c>
      <c r="BF542" s="76" t="b">
        <v>0</v>
      </c>
      <c r="BG542" s="76" t="b">
        <v>0</v>
      </c>
      <c r="BH542" s="82" t="str">
        <f>HYPERLINK("https://pbs.twimg.com/profile_banners/1158115510606815232/1620835895")</f>
        <v>https://pbs.twimg.com/profile_banners/1158115510606815232/1620835895</v>
      </c>
      <c r="BI542" s="76"/>
      <c r="BJ542" s="76" t="s">
        <v>27595</v>
      </c>
      <c r="BK542" s="76" t="b">
        <v>0</v>
      </c>
      <c r="BL542" s="76"/>
      <c r="BM542" s="76" t="s">
        <v>66</v>
      </c>
      <c r="BN542" s="76" t="s">
        <v>27597</v>
      </c>
      <c r="BO542" s="82" t="str">
        <f>HYPERLINK("https://twitter.com/therealbuni")</f>
        <v>https://twitter.com/therealbuni</v>
      </c>
      <c r="BP542" s="2"/>
    </row>
    <row r="543" spans="1:68" x14ac:dyDescent="0.25">
      <c r="A543" s="62" t="s">
        <v>603</v>
      </c>
      <c r="B543" s="63"/>
      <c r="C543" s="63"/>
      <c r="D543" s="64"/>
      <c r="E543" s="66"/>
      <c r="F543" s="103" t="str">
        <f>HYPERLINK("https://pbs.twimg.com/profile_images/1532813758086651905/CNdvCNV7_normal.jpg")</f>
        <v>https://pbs.twimg.com/profile_images/1532813758086651905/CNdvCNV7_normal.jpg</v>
      </c>
      <c r="G543" s="63"/>
      <c r="H543" s="67"/>
      <c r="I543" s="68"/>
      <c r="J543" s="68"/>
      <c r="K543" s="67" t="s">
        <v>28137</v>
      </c>
      <c r="L543" s="71"/>
      <c r="M543" s="72"/>
      <c r="N543" s="72"/>
      <c r="O543" s="73"/>
      <c r="P543" s="74"/>
      <c r="Q543" s="74"/>
      <c r="R543" s="87"/>
      <c r="S543" s="87"/>
      <c r="T543" s="87"/>
      <c r="U543" s="87"/>
      <c r="V543" s="48"/>
      <c r="W543" s="48"/>
      <c r="X543" s="48"/>
      <c r="Y543" s="48"/>
      <c r="Z543" s="47"/>
      <c r="AA543" s="69">
        <v>543</v>
      </c>
      <c r="AB543" s="69"/>
      <c r="AC543" s="70"/>
      <c r="AD543" s="76" t="s">
        <v>21780</v>
      </c>
      <c r="AE543" s="81" t="s">
        <v>20678</v>
      </c>
      <c r="AF543" s="76">
        <v>44</v>
      </c>
      <c r="AG543" s="76">
        <v>78</v>
      </c>
      <c r="AH543" s="76">
        <v>445</v>
      </c>
      <c r="AI543" s="76">
        <v>1</v>
      </c>
      <c r="AJ543" s="76">
        <v>147</v>
      </c>
      <c r="AK543" s="76">
        <v>62</v>
      </c>
      <c r="AL543" s="76" t="b">
        <v>0</v>
      </c>
      <c r="AM543" s="78">
        <v>44708.87903935185</v>
      </c>
      <c r="AN543" s="76"/>
      <c r="AO543" s="76" t="s">
        <v>25194</v>
      </c>
      <c r="AP543" s="76"/>
      <c r="AQ543" s="76"/>
      <c r="AR543" s="76"/>
      <c r="AS543" s="76"/>
      <c r="AT543" s="76"/>
      <c r="AU543" s="76"/>
      <c r="AV543" s="76"/>
      <c r="AW543" s="76"/>
      <c r="AX543" s="76" t="b">
        <v>0</v>
      </c>
      <c r="AY543" s="76"/>
      <c r="AZ543" s="76"/>
      <c r="BA543" s="76" t="b">
        <v>0</v>
      </c>
      <c r="BB543" s="76" t="b">
        <v>1</v>
      </c>
      <c r="BC543" s="76" t="b">
        <v>1</v>
      </c>
      <c r="BD543" s="76" t="b">
        <v>0</v>
      </c>
      <c r="BE543" s="76" t="b">
        <v>0</v>
      </c>
      <c r="BF543" s="76" t="b">
        <v>0</v>
      </c>
      <c r="BG543" s="76" t="b">
        <v>0</v>
      </c>
      <c r="BH543" s="82" t="str">
        <f>HYPERLINK("https://pbs.twimg.com/profile_banners/1530294175190720512/1654286421")</f>
        <v>https://pbs.twimg.com/profile_banners/1530294175190720512/1654286421</v>
      </c>
      <c r="BI543" s="76"/>
      <c r="BJ543" s="76" t="s">
        <v>27595</v>
      </c>
      <c r="BK543" s="76" t="b">
        <v>0</v>
      </c>
      <c r="BL543" s="76"/>
      <c r="BM543" s="76" t="s">
        <v>66</v>
      </c>
      <c r="BN543" s="76" t="s">
        <v>27597</v>
      </c>
      <c r="BO543" s="82" t="str">
        <f>HYPERLINK("https://twitter.com/economistadebar")</f>
        <v>https://twitter.com/economistadebar</v>
      </c>
      <c r="BP543" s="2"/>
    </row>
    <row r="544" spans="1:68" x14ac:dyDescent="0.25">
      <c r="A544" s="62" t="s">
        <v>604</v>
      </c>
      <c r="B544" s="63"/>
      <c r="C544" s="63"/>
      <c r="D544" s="64"/>
      <c r="E544" s="66"/>
      <c r="F544" s="103" t="str">
        <f>HYPERLINK("https://pbs.twimg.com/profile_images/1632756752507600900/lNXy6DOG_normal.jpg")</f>
        <v>https://pbs.twimg.com/profile_images/1632756752507600900/lNXy6DOG_normal.jpg</v>
      </c>
      <c r="G544" s="63"/>
      <c r="H544" s="67"/>
      <c r="I544" s="68"/>
      <c r="J544" s="68"/>
      <c r="K544" s="67" t="s">
        <v>28138</v>
      </c>
      <c r="L544" s="71"/>
      <c r="M544" s="72"/>
      <c r="N544" s="72"/>
      <c r="O544" s="73"/>
      <c r="P544" s="74"/>
      <c r="Q544" s="74"/>
      <c r="R544" s="87"/>
      <c r="S544" s="87"/>
      <c r="T544" s="87"/>
      <c r="U544" s="87"/>
      <c r="V544" s="48"/>
      <c r="W544" s="48"/>
      <c r="X544" s="48"/>
      <c r="Y544" s="48"/>
      <c r="Z544" s="47"/>
      <c r="AA544" s="69">
        <v>544</v>
      </c>
      <c r="AB544" s="69"/>
      <c r="AC544" s="70"/>
      <c r="AD544" s="76" t="s">
        <v>21781</v>
      </c>
      <c r="AE544" s="81" t="s">
        <v>20679</v>
      </c>
      <c r="AF544" s="76">
        <v>1209</v>
      </c>
      <c r="AG544" s="76">
        <v>992</v>
      </c>
      <c r="AH544" s="76">
        <v>609</v>
      </c>
      <c r="AI544" s="76">
        <v>4</v>
      </c>
      <c r="AJ544" s="76">
        <v>244</v>
      </c>
      <c r="AK544" s="76">
        <v>6</v>
      </c>
      <c r="AL544" s="76" t="b">
        <v>0</v>
      </c>
      <c r="AM544" s="78">
        <v>43100.492395833331</v>
      </c>
      <c r="AN544" s="76" t="s">
        <v>24113</v>
      </c>
      <c r="AO544" s="76" t="s">
        <v>25195</v>
      </c>
      <c r="AP544" s="82" t="str">
        <f>HYPERLINK("https://t.co/EyU3zdVuaD")</f>
        <v>https://t.co/EyU3zdVuaD</v>
      </c>
      <c r="AQ544" s="82" t="str">
        <f>HYPERLINK("http://master-cryptoclub.com")</f>
        <v>http://master-cryptoclub.com</v>
      </c>
      <c r="AR544" s="76" t="s">
        <v>26670</v>
      </c>
      <c r="AS544" s="76"/>
      <c r="AT544" s="76"/>
      <c r="AU544" s="76"/>
      <c r="AV544" s="76">
        <v>9.4760571293868403E+17</v>
      </c>
      <c r="AW544" s="82" t="str">
        <f>HYPERLINK("https://t.co/EyU3zdVuaD")</f>
        <v>https://t.co/EyU3zdVuaD</v>
      </c>
      <c r="AX544" s="76" t="b">
        <v>0</v>
      </c>
      <c r="AY544" s="76"/>
      <c r="AZ544" s="76"/>
      <c r="BA544" s="76" t="b">
        <v>0</v>
      </c>
      <c r="BB544" s="76" t="b">
        <v>1</v>
      </c>
      <c r="BC544" s="76" t="b">
        <v>0</v>
      </c>
      <c r="BD544" s="76" t="b">
        <v>0</v>
      </c>
      <c r="BE544" s="76" t="b">
        <v>1</v>
      </c>
      <c r="BF544" s="76" t="b">
        <v>0</v>
      </c>
      <c r="BG544" s="76" t="b">
        <v>0</v>
      </c>
      <c r="BH544" s="82" t="str">
        <f>HYPERLINK("https://pbs.twimg.com/profile_banners/947434421745012737/1694203891")</f>
        <v>https://pbs.twimg.com/profile_banners/947434421745012737/1694203891</v>
      </c>
      <c r="BI544" s="76"/>
      <c r="BJ544" s="76" t="s">
        <v>27595</v>
      </c>
      <c r="BK544" s="76" t="b">
        <v>0</v>
      </c>
      <c r="BL544" s="76"/>
      <c r="BM544" s="76" t="s">
        <v>66</v>
      </c>
      <c r="BN544" s="76" t="s">
        <v>27597</v>
      </c>
      <c r="BO544" s="82" t="str">
        <f>HYPERLINK("https://twitter.com/tucu_egea")</f>
        <v>https://twitter.com/tucu_egea</v>
      </c>
      <c r="BP544" s="2"/>
    </row>
    <row r="545" spans="1:68" x14ac:dyDescent="0.25">
      <c r="A545" s="62" t="s">
        <v>605</v>
      </c>
      <c r="B545" s="63"/>
      <c r="C545" s="63"/>
      <c r="D545" s="64"/>
      <c r="E545" s="66"/>
      <c r="F545" s="103" t="str">
        <f>HYPERLINK("https://pbs.twimg.com/profile_images/1610035675365089283/UCbYnYgt_normal.jpg")</f>
        <v>https://pbs.twimg.com/profile_images/1610035675365089283/UCbYnYgt_normal.jpg</v>
      </c>
      <c r="G545" s="63"/>
      <c r="H545" s="67"/>
      <c r="I545" s="68"/>
      <c r="J545" s="68"/>
      <c r="K545" s="67" t="s">
        <v>28139</v>
      </c>
      <c r="L545" s="71"/>
      <c r="M545" s="72"/>
      <c r="N545" s="72"/>
      <c r="O545" s="73"/>
      <c r="P545" s="74"/>
      <c r="Q545" s="74"/>
      <c r="R545" s="87"/>
      <c r="S545" s="87"/>
      <c r="T545" s="87"/>
      <c r="U545" s="87"/>
      <c r="V545" s="48"/>
      <c r="W545" s="48"/>
      <c r="X545" s="48"/>
      <c r="Y545" s="48"/>
      <c r="Z545" s="47"/>
      <c r="AA545" s="69">
        <v>545</v>
      </c>
      <c r="AB545" s="69"/>
      <c r="AC545" s="70"/>
      <c r="AD545" s="76" t="s">
        <v>21782</v>
      </c>
      <c r="AE545" s="81" t="s">
        <v>20680</v>
      </c>
      <c r="AF545" s="76">
        <v>273</v>
      </c>
      <c r="AG545" s="76">
        <v>33</v>
      </c>
      <c r="AH545" s="76">
        <v>17208</v>
      </c>
      <c r="AI545" s="76">
        <v>2</v>
      </c>
      <c r="AJ545" s="76">
        <v>362</v>
      </c>
      <c r="AK545" s="76">
        <v>9944</v>
      </c>
      <c r="AL545" s="76" t="b">
        <v>0</v>
      </c>
      <c r="AM545" s="78">
        <v>42854.89775462963</v>
      </c>
      <c r="AN545" s="76" t="s">
        <v>24267</v>
      </c>
      <c r="AO545" s="76" t="s">
        <v>25196</v>
      </c>
      <c r="AP545" s="82" t="str">
        <f>HYPERLINK("https://t.co/X8TORtCoad")</f>
        <v>https://t.co/X8TORtCoad</v>
      </c>
      <c r="AQ545" s="82" t="str">
        <f>HYPERLINK("https://iguazuahora.com/")</f>
        <v>https://iguazuahora.com/</v>
      </c>
      <c r="AR545" s="76" t="s">
        <v>8702</v>
      </c>
      <c r="AS545" s="82" t="str">
        <f>HYPERLINK("https://t.co/45DOachDRH")</f>
        <v>https://t.co/45DOachDRH</v>
      </c>
      <c r="AT545" s="82" t="str">
        <f>HYPERLINK("http://facebook.com/Iguazu.Ahora.N")</f>
        <v>http://facebook.com/Iguazu.Ahora.N</v>
      </c>
      <c r="AU545" s="76" t="s">
        <v>27483</v>
      </c>
      <c r="AV545" s="76"/>
      <c r="AW545" s="82" t="str">
        <f>HYPERLINK("https://t.co/X8TORtCoad")</f>
        <v>https://t.co/X8TORtCoad</v>
      </c>
      <c r="AX545" s="76" t="b">
        <v>0</v>
      </c>
      <c r="AY545" s="76"/>
      <c r="AZ545" s="76"/>
      <c r="BA545" s="76" t="b">
        <v>0</v>
      </c>
      <c r="BB545" s="76" t="b">
        <v>1</v>
      </c>
      <c r="BC545" s="76" t="b">
        <v>1</v>
      </c>
      <c r="BD545" s="76" t="b">
        <v>0</v>
      </c>
      <c r="BE545" s="76" t="b">
        <v>1</v>
      </c>
      <c r="BF545" s="76" t="b">
        <v>0</v>
      </c>
      <c r="BG545" s="76" t="b">
        <v>0</v>
      </c>
      <c r="BH545" s="82" t="str">
        <f>HYPERLINK("https://pbs.twimg.com/profile_banners/858433905002770432/1672697427")</f>
        <v>https://pbs.twimg.com/profile_banners/858433905002770432/1672697427</v>
      </c>
      <c r="BI545" s="76"/>
      <c r="BJ545" s="76" t="s">
        <v>27595</v>
      </c>
      <c r="BK545" s="76" t="b">
        <v>0</v>
      </c>
      <c r="BL545" s="76"/>
      <c r="BM545" s="76" t="s">
        <v>66</v>
      </c>
      <c r="BN545" s="76" t="s">
        <v>27597</v>
      </c>
      <c r="BO545" s="82" t="str">
        <f>HYPERLINK("https://twitter.com/iguazu_ahora")</f>
        <v>https://twitter.com/iguazu_ahora</v>
      </c>
      <c r="BP545" s="2"/>
    </row>
    <row r="546" spans="1:68" x14ac:dyDescent="0.25">
      <c r="A546" s="62" t="s">
        <v>606</v>
      </c>
      <c r="B546" s="63"/>
      <c r="C546" s="63"/>
      <c r="D546" s="64"/>
      <c r="E546" s="66"/>
      <c r="F546" s="103" t="str">
        <f>HYPERLINK("https://pbs.twimg.com/profile_images/1203072671/mono_normal.png")</f>
        <v>https://pbs.twimg.com/profile_images/1203072671/mono_normal.png</v>
      </c>
      <c r="G546" s="63"/>
      <c r="H546" s="67"/>
      <c r="I546" s="68"/>
      <c r="J546" s="68"/>
      <c r="K546" s="67" t="s">
        <v>28140</v>
      </c>
      <c r="L546" s="71"/>
      <c r="M546" s="72"/>
      <c r="N546" s="72"/>
      <c r="O546" s="73"/>
      <c r="P546" s="74"/>
      <c r="Q546" s="74"/>
      <c r="R546" s="87"/>
      <c r="S546" s="87"/>
      <c r="T546" s="87"/>
      <c r="U546" s="87"/>
      <c r="V546" s="48"/>
      <c r="W546" s="48"/>
      <c r="X546" s="48"/>
      <c r="Y546" s="48"/>
      <c r="Z546" s="47"/>
      <c r="AA546" s="69">
        <v>546</v>
      </c>
      <c r="AB546" s="69"/>
      <c r="AC546" s="70"/>
      <c r="AD546" s="76" t="s">
        <v>21783</v>
      </c>
      <c r="AE546" s="81" t="s">
        <v>23355</v>
      </c>
      <c r="AF546" s="76">
        <v>1260</v>
      </c>
      <c r="AG546" s="76">
        <v>1363</v>
      </c>
      <c r="AH546" s="76">
        <v>57854</v>
      </c>
      <c r="AI546" s="76">
        <v>24</v>
      </c>
      <c r="AJ546" s="76">
        <v>6018</v>
      </c>
      <c r="AK546" s="76">
        <v>236</v>
      </c>
      <c r="AL546" s="76" t="b">
        <v>0</v>
      </c>
      <c r="AM546" s="78">
        <v>40543.241284722222</v>
      </c>
      <c r="AN546" s="76" t="s">
        <v>14386</v>
      </c>
      <c r="AO546" s="76" t="s">
        <v>25197</v>
      </c>
      <c r="AP546" s="76"/>
      <c r="AQ546" s="76"/>
      <c r="AR546" s="76"/>
      <c r="AS546" s="76"/>
      <c r="AT546" s="76"/>
      <c r="AU546" s="76"/>
      <c r="AV546" s="76"/>
      <c r="AW546" s="76"/>
      <c r="AX546" s="76" t="b">
        <v>0</v>
      </c>
      <c r="AY546" s="76"/>
      <c r="AZ546" s="76"/>
      <c r="BA546" s="76" t="b">
        <v>0</v>
      </c>
      <c r="BB546" s="76" t="b">
        <v>0</v>
      </c>
      <c r="BC546" s="76" t="b">
        <v>0</v>
      </c>
      <c r="BD546" s="76" t="b">
        <v>0</v>
      </c>
      <c r="BE546" s="76" t="b">
        <v>0</v>
      </c>
      <c r="BF546" s="76" t="b">
        <v>0</v>
      </c>
      <c r="BG546" s="76" t="b">
        <v>0</v>
      </c>
      <c r="BH546" s="82" t="str">
        <f>HYPERLINK("https://pbs.twimg.com/profile_banners/232458636/1629346034")</f>
        <v>https://pbs.twimg.com/profile_banners/232458636/1629346034</v>
      </c>
      <c r="BI546" s="76"/>
      <c r="BJ546" s="76" t="s">
        <v>27595</v>
      </c>
      <c r="BK546" s="76" t="b">
        <v>0</v>
      </c>
      <c r="BL546" s="76"/>
      <c r="BM546" s="76" t="s">
        <v>66</v>
      </c>
      <c r="BN546" s="76" t="s">
        <v>27597</v>
      </c>
      <c r="BO546" s="82" t="str">
        <f>HYPERLINK("https://twitter.com/monoaries")</f>
        <v>https://twitter.com/monoaries</v>
      </c>
      <c r="BP546" s="2"/>
    </row>
    <row r="547" spans="1:68" x14ac:dyDescent="0.25">
      <c r="A547" s="62" t="s">
        <v>1818</v>
      </c>
      <c r="B547" s="63"/>
      <c r="C547" s="63"/>
      <c r="D547" s="64"/>
      <c r="E547" s="66"/>
      <c r="F547" s="103" t="str">
        <f>HYPERLINK("https://pbs.twimg.com/profile_images/1674837614510108672/qKMcEOVY_normal.jpg")</f>
        <v>https://pbs.twimg.com/profile_images/1674837614510108672/qKMcEOVY_normal.jpg</v>
      </c>
      <c r="G547" s="63"/>
      <c r="H547" s="67"/>
      <c r="I547" s="68"/>
      <c r="J547" s="68"/>
      <c r="K547" s="67" t="s">
        <v>28141</v>
      </c>
      <c r="L547" s="71"/>
      <c r="M547" s="72"/>
      <c r="N547" s="72"/>
      <c r="O547" s="73"/>
      <c r="P547" s="74"/>
      <c r="Q547" s="74"/>
      <c r="R547" s="87"/>
      <c r="S547" s="87"/>
      <c r="T547" s="87"/>
      <c r="U547" s="87"/>
      <c r="V547" s="48"/>
      <c r="W547" s="48"/>
      <c r="X547" s="48"/>
      <c r="Y547" s="48"/>
      <c r="Z547" s="47"/>
      <c r="AA547" s="69">
        <v>547</v>
      </c>
      <c r="AB547" s="69"/>
      <c r="AC547" s="70"/>
      <c r="AD547" s="76" t="s">
        <v>21784</v>
      </c>
      <c r="AE547" s="81" t="s">
        <v>23356</v>
      </c>
      <c r="AF547" s="76">
        <v>2911</v>
      </c>
      <c r="AG547" s="76">
        <v>2418</v>
      </c>
      <c r="AH547" s="76">
        <v>34071</v>
      </c>
      <c r="AI547" s="76">
        <v>4</v>
      </c>
      <c r="AJ547" s="76">
        <v>84154</v>
      </c>
      <c r="AK547" s="76">
        <v>1575</v>
      </c>
      <c r="AL547" s="76" t="b">
        <v>0</v>
      </c>
      <c r="AM547" s="78">
        <v>44546.860601851855</v>
      </c>
      <c r="AN547" s="76" t="s">
        <v>24268</v>
      </c>
      <c r="AO547" s="76" t="s">
        <v>25198</v>
      </c>
      <c r="AP547" s="82" t="str">
        <f>HYPERLINK("https://t.co/qjuiGNSsjg")</f>
        <v>https://t.co/qjuiGNSsjg</v>
      </c>
      <c r="AQ547" s="82" t="str">
        <f>HYPERLINK("http://www.hispantv.com")</f>
        <v>http://www.hispantv.com</v>
      </c>
      <c r="AR547" s="76" t="s">
        <v>26671</v>
      </c>
      <c r="AS547" s="76"/>
      <c r="AT547" s="76"/>
      <c r="AU547" s="76"/>
      <c r="AV547" s="76">
        <v>1.6538807333440699E+18</v>
      </c>
      <c r="AW547" s="82" t="str">
        <f>HYPERLINK("https://t.co/qjuiGNSsjg")</f>
        <v>https://t.co/qjuiGNSsjg</v>
      </c>
      <c r="AX547" s="76" t="b">
        <v>0</v>
      </c>
      <c r="AY547" s="76"/>
      <c r="AZ547" s="76"/>
      <c r="BA547" s="76" t="b">
        <v>0</v>
      </c>
      <c r="BB547" s="76" t="b">
        <v>1</v>
      </c>
      <c r="BC547" s="76" t="b">
        <v>1</v>
      </c>
      <c r="BD547" s="76" t="b">
        <v>0</v>
      </c>
      <c r="BE547" s="76" t="b">
        <v>1</v>
      </c>
      <c r="BF547" s="76" t="b">
        <v>0</v>
      </c>
      <c r="BG547" s="76" t="b">
        <v>0</v>
      </c>
      <c r="BH547" s="82" t="str">
        <f>HYPERLINK("https://pbs.twimg.com/profile_banners/1471580293714923529/1681780346")</f>
        <v>https://pbs.twimg.com/profile_banners/1471580293714923529/1681780346</v>
      </c>
      <c r="BI547" s="76"/>
      <c r="BJ547" s="76" t="s">
        <v>27595</v>
      </c>
      <c r="BK547" s="76" t="b">
        <v>0</v>
      </c>
      <c r="BL547" s="76"/>
      <c r="BM547" s="76" t="s">
        <v>65</v>
      </c>
      <c r="BN547" s="76" t="s">
        <v>27597</v>
      </c>
      <c r="BO547" s="82" t="str">
        <f>HYPERLINK("https://twitter.com/memoriasdechile")</f>
        <v>https://twitter.com/memoriasdechile</v>
      </c>
      <c r="BP547" s="2"/>
    </row>
    <row r="548" spans="1:68" x14ac:dyDescent="0.25">
      <c r="A548" s="62" t="s">
        <v>1819</v>
      </c>
      <c r="B548" s="63"/>
      <c r="C548" s="63"/>
      <c r="D548" s="64"/>
      <c r="E548" s="66"/>
      <c r="F548" s="103" t="str">
        <f>HYPERLINK("https://pbs.twimg.com/profile_images/1570154311002234886/JpiVJ0LN_normal.jpg")</f>
        <v>https://pbs.twimg.com/profile_images/1570154311002234886/JpiVJ0LN_normal.jpg</v>
      </c>
      <c r="G548" s="63"/>
      <c r="H548" s="67"/>
      <c r="I548" s="68"/>
      <c r="J548" s="68"/>
      <c r="K548" s="67" t="s">
        <v>28142</v>
      </c>
      <c r="L548" s="71"/>
      <c r="M548" s="72"/>
      <c r="N548" s="72"/>
      <c r="O548" s="73"/>
      <c r="P548" s="74"/>
      <c r="Q548" s="74"/>
      <c r="R548" s="87"/>
      <c r="S548" s="87"/>
      <c r="T548" s="87"/>
      <c r="U548" s="87"/>
      <c r="V548" s="48"/>
      <c r="W548" s="48"/>
      <c r="X548" s="48"/>
      <c r="Y548" s="48"/>
      <c r="Z548" s="47"/>
      <c r="AA548" s="69">
        <v>548</v>
      </c>
      <c r="AB548" s="69"/>
      <c r="AC548" s="70"/>
      <c r="AD548" s="76" t="s">
        <v>21785</v>
      </c>
      <c r="AE548" s="81" t="s">
        <v>20257</v>
      </c>
      <c r="AF548" s="76">
        <v>79731</v>
      </c>
      <c r="AG548" s="76">
        <v>1992</v>
      </c>
      <c r="AH548" s="76">
        <v>24083</v>
      </c>
      <c r="AI548" s="76">
        <v>222</v>
      </c>
      <c r="AJ548" s="76">
        <v>3083</v>
      </c>
      <c r="AK548" s="76">
        <v>6771</v>
      </c>
      <c r="AL548" s="76" t="b">
        <v>0</v>
      </c>
      <c r="AM548" s="78">
        <v>41300.507349537038</v>
      </c>
      <c r="AN548" s="76" t="s">
        <v>24269</v>
      </c>
      <c r="AO548" s="76" t="s">
        <v>25199</v>
      </c>
      <c r="AP548" s="76"/>
      <c r="AQ548" s="76"/>
      <c r="AR548" s="76"/>
      <c r="AS548" s="76"/>
      <c r="AT548" s="76"/>
      <c r="AU548" s="76"/>
      <c r="AV548" s="76"/>
      <c r="AW548" s="76"/>
      <c r="AX548" s="76" t="b">
        <v>0</v>
      </c>
      <c r="AY548" s="76"/>
      <c r="AZ548" s="76"/>
      <c r="BA548" s="76" t="b">
        <v>0</v>
      </c>
      <c r="BB548" s="76" t="b">
        <v>0</v>
      </c>
      <c r="BC548" s="76" t="b">
        <v>0</v>
      </c>
      <c r="BD548" s="76" t="b">
        <v>0</v>
      </c>
      <c r="BE548" s="76" t="b">
        <v>1</v>
      </c>
      <c r="BF548" s="76" t="b">
        <v>0</v>
      </c>
      <c r="BG548" s="76" t="b">
        <v>0</v>
      </c>
      <c r="BH548" s="82" t="str">
        <f>HYPERLINK("https://pbs.twimg.com/profile_banners/1121791488/1663188946")</f>
        <v>https://pbs.twimg.com/profile_banners/1121791488/1663188946</v>
      </c>
      <c r="BI548" s="76"/>
      <c r="BJ548" s="76" t="s">
        <v>27595</v>
      </c>
      <c r="BK548" s="76" t="b">
        <v>0</v>
      </c>
      <c r="BL548" s="76"/>
      <c r="BM548" s="76" t="s">
        <v>65</v>
      </c>
      <c r="BN548" s="76" t="s">
        <v>27597</v>
      </c>
      <c r="BO548" s="82" t="str">
        <f>HYPERLINK("https://twitter.com/daniel_nunez_a")</f>
        <v>https://twitter.com/daniel_nunez_a</v>
      </c>
      <c r="BP548" s="2"/>
    </row>
    <row r="549" spans="1:68" x14ac:dyDescent="0.25">
      <c r="A549" s="62" t="s">
        <v>1820</v>
      </c>
      <c r="B549" s="63"/>
      <c r="C549" s="63"/>
      <c r="D549" s="64"/>
      <c r="E549" s="66"/>
      <c r="F549" s="103" t="str">
        <f>HYPERLINK("https://pbs.twimg.com/profile_images/1615429070811979786/b5zs63Kg_normal.jpg")</f>
        <v>https://pbs.twimg.com/profile_images/1615429070811979786/b5zs63Kg_normal.jpg</v>
      </c>
      <c r="G549" s="63"/>
      <c r="H549" s="67"/>
      <c r="I549" s="68"/>
      <c r="J549" s="68"/>
      <c r="K549" s="67" t="s">
        <v>28143</v>
      </c>
      <c r="L549" s="71"/>
      <c r="M549" s="72"/>
      <c r="N549" s="72"/>
      <c r="O549" s="73"/>
      <c r="P549" s="74"/>
      <c r="Q549" s="74"/>
      <c r="R549" s="87"/>
      <c r="S549" s="87"/>
      <c r="T549" s="87"/>
      <c r="U549" s="87"/>
      <c r="V549" s="48"/>
      <c r="W549" s="48"/>
      <c r="X549" s="48"/>
      <c r="Y549" s="48"/>
      <c r="Z549" s="47"/>
      <c r="AA549" s="69">
        <v>549</v>
      </c>
      <c r="AB549" s="69"/>
      <c r="AC549" s="70"/>
      <c r="AD549" s="76" t="s">
        <v>21786</v>
      </c>
      <c r="AE549" s="81" t="s">
        <v>23357</v>
      </c>
      <c r="AF549" s="76">
        <v>3475574</v>
      </c>
      <c r="AG549" s="76">
        <v>632347</v>
      </c>
      <c r="AH549" s="76">
        <v>1464043</v>
      </c>
      <c r="AI549" s="76">
        <v>8559</v>
      </c>
      <c r="AJ549" s="76">
        <v>2030</v>
      </c>
      <c r="AK549" s="76">
        <v>688333</v>
      </c>
      <c r="AL549" s="76" t="b">
        <v>0</v>
      </c>
      <c r="AM549" s="78">
        <v>39286.938356481478</v>
      </c>
      <c r="AN549" s="76" t="s">
        <v>24188</v>
      </c>
      <c r="AO549" s="76" t="s">
        <v>25200</v>
      </c>
      <c r="AP549" s="82" t="str">
        <f>HYPERLINK("https://t.co/AEsY5xjqBf")</f>
        <v>https://t.co/AEsY5xjqBf</v>
      </c>
      <c r="AQ549" s="82" t="str">
        <f>HYPERLINK("http://cooperativa.cl/")</f>
        <v>http://cooperativa.cl/</v>
      </c>
      <c r="AR549" s="76" t="s">
        <v>26672</v>
      </c>
      <c r="AS549" s="76" t="s">
        <v>27377</v>
      </c>
      <c r="AT549" s="76" t="s">
        <v>27416</v>
      </c>
      <c r="AU549" s="76" t="s">
        <v>27484</v>
      </c>
      <c r="AV549" s="76"/>
      <c r="AW549" s="82" t="str">
        <f>HYPERLINK("https://t.co/AEsY5xjqBf")</f>
        <v>https://t.co/AEsY5xjqBf</v>
      </c>
      <c r="AX549" s="76" t="b">
        <v>1</v>
      </c>
      <c r="AY549" s="76"/>
      <c r="AZ549" s="76"/>
      <c r="BA549" s="76" t="b">
        <v>0</v>
      </c>
      <c r="BB549" s="76" t="b">
        <v>1</v>
      </c>
      <c r="BC549" s="76" t="b">
        <v>0</v>
      </c>
      <c r="BD549" s="76" t="b">
        <v>0</v>
      </c>
      <c r="BE549" s="76" t="b">
        <v>1</v>
      </c>
      <c r="BF549" s="76" t="b">
        <v>0</v>
      </c>
      <c r="BG549" s="76" t="b">
        <v>0</v>
      </c>
      <c r="BH549" s="82" t="str">
        <f>HYPERLINK("https://pbs.twimg.com/profile_banners/7668952/1695386766")</f>
        <v>https://pbs.twimg.com/profile_banners/7668952/1695386766</v>
      </c>
      <c r="BI549" s="76"/>
      <c r="BJ549" s="76" t="s">
        <v>27596</v>
      </c>
      <c r="BK549" s="76" t="b">
        <v>0</v>
      </c>
      <c r="BL549" s="76"/>
      <c r="BM549" s="76" t="s">
        <v>65</v>
      </c>
      <c r="BN549" s="76" t="s">
        <v>27597</v>
      </c>
      <c r="BO549" s="82" t="str">
        <f>HYPERLINK("https://twitter.com/cooperativa")</f>
        <v>https://twitter.com/cooperativa</v>
      </c>
      <c r="BP549" s="2"/>
    </row>
    <row r="550" spans="1:68" x14ac:dyDescent="0.25">
      <c r="A550" s="62" t="s">
        <v>607</v>
      </c>
      <c r="B550" s="63"/>
      <c r="C550" s="63"/>
      <c r="D550" s="64"/>
      <c r="E550" s="66"/>
      <c r="F550" s="103" t="str">
        <f>HYPERLINK("https://pbs.twimg.com/profile_images/1691983965681319936/WdVSJaSh_normal.jpg")</f>
        <v>https://pbs.twimg.com/profile_images/1691983965681319936/WdVSJaSh_normal.jpg</v>
      </c>
      <c r="G550" s="63"/>
      <c r="H550" s="67"/>
      <c r="I550" s="68"/>
      <c r="J550" s="68"/>
      <c r="K550" s="67" t="s">
        <v>28144</v>
      </c>
      <c r="L550" s="71"/>
      <c r="M550" s="72"/>
      <c r="N550" s="72"/>
      <c r="O550" s="73"/>
      <c r="P550" s="74"/>
      <c r="Q550" s="74"/>
      <c r="R550" s="87"/>
      <c r="S550" s="87"/>
      <c r="T550" s="87"/>
      <c r="U550" s="87"/>
      <c r="V550" s="48"/>
      <c r="W550" s="48"/>
      <c r="X550" s="48"/>
      <c r="Y550" s="48"/>
      <c r="Z550" s="47"/>
      <c r="AA550" s="69">
        <v>550</v>
      </c>
      <c r="AB550" s="69"/>
      <c r="AC550" s="70"/>
      <c r="AD550" s="76" t="s">
        <v>21787</v>
      </c>
      <c r="AE550" s="81" t="s">
        <v>20681</v>
      </c>
      <c r="AF550" s="76">
        <v>120</v>
      </c>
      <c r="AG550" s="76">
        <v>208</v>
      </c>
      <c r="AH550" s="76">
        <v>1275</v>
      </c>
      <c r="AI550" s="76">
        <v>0</v>
      </c>
      <c r="AJ550" s="76">
        <v>1240</v>
      </c>
      <c r="AK550" s="76">
        <v>1151</v>
      </c>
      <c r="AL550" s="76" t="b">
        <v>0</v>
      </c>
      <c r="AM550" s="78">
        <v>45101.73233796296</v>
      </c>
      <c r="AN550" s="76"/>
      <c r="AO550" s="76" t="s">
        <v>25201</v>
      </c>
      <c r="AP550" s="76"/>
      <c r="AQ550" s="76"/>
      <c r="AR550" s="76"/>
      <c r="AS550" s="76"/>
      <c r="AT550" s="76"/>
      <c r="AU550" s="76"/>
      <c r="AV550" s="76"/>
      <c r="AW550" s="76"/>
      <c r="AX550" s="76" t="b">
        <v>0</v>
      </c>
      <c r="AY550" s="76"/>
      <c r="AZ550" s="76"/>
      <c r="BA550" s="76" t="b">
        <v>0</v>
      </c>
      <c r="BB550" s="76" t="b">
        <v>0</v>
      </c>
      <c r="BC550" s="76" t="b">
        <v>1</v>
      </c>
      <c r="BD550" s="76" t="b">
        <v>0</v>
      </c>
      <c r="BE550" s="76" t="b">
        <v>0</v>
      </c>
      <c r="BF550" s="76" t="b">
        <v>0</v>
      </c>
      <c r="BG550" s="76" t="b">
        <v>0</v>
      </c>
      <c r="BH550" s="82" t="str">
        <f>HYPERLINK("https://pbs.twimg.com/profile_banners/1672659444419657728/1688596079")</f>
        <v>https://pbs.twimg.com/profile_banners/1672659444419657728/1688596079</v>
      </c>
      <c r="BI550" s="76"/>
      <c r="BJ550" s="76" t="s">
        <v>27595</v>
      </c>
      <c r="BK550" s="76" t="b">
        <v>0</v>
      </c>
      <c r="BL550" s="76"/>
      <c r="BM550" s="76" t="s">
        <v>66</v>
      </c>
      <c r="BN550" s="76" t="s">
        <v>27597</v>
      </c>
      <c r="BO550" s="82" t="str">
        <f>HYPERLINK("https://twitter.com/thebabikianpost")</f>
        <v>https://twitter.com/thebabikianpost</v>
      </c>
      <c r="BP550" s="2"/>
    </row>
    <row r="551" spans="1:68" x14ac:dyDescent="0.25">
      <c r="A551" s="62" t="s">
        <v>608</v>
      </c>
      <c r="B551" s="63"/>
      <c r="C551" s="63"/>
      <c r="D551" s="64"/>
      <c r="E551" s="66"/>
      <c r="F551" s="103" t="str">
        <f>HYPERLINK("https://pbs.twimg.com/profile_images/904886194827403264/HaFvsjKl_normal.jpg")</f>
        <v>https://pbs.twimg.com/profile_images/904886194827403264/HaFvsjKl_normal.jpg</v>
      </c>
      <c r="G551" s="63"/>
      <c r="H551" s="67"/>
      <c r="I551" s="68"/>
      <c r="J551" s="68"/>
      <c r="K551" s="67" t="s">
        <v>28145</v>
      </c>
      <c r="L551" s="71"/>
      <c r="M551" s="72"/>
      <c r="N551" s="72"/>
      <c r="O551" s="73"/>
      <c r="P551" s="74"/>
      <c r="Q551" s="74"/>
      <c r="R551" s="87"/>
      <c r="S551" s="87"/>
      <c r="T551" s="87"/>
      <c r="U551" s="87"/>
      <c r="V551" s="48"/>
      <c r="W551" s="48"/>
      <c r="X551" s="48"/>
      <c r="Y551" s="48"/>
      <c r="Z551" s="47"/>
      <c r="AA551" s="69">
        <v>551</v>
      </c>
      <c r="AB551" s="69"/>
      <c r="AC551" s="70"/>
      <c r="AD551" s="76" t="s">
        <v>21788</v>
      </c>
      <c r="AE551" s="81" t="s">
        <v>23358</v>
      </c>
      <c r="AF551" s="76">
        <v>253</v>
      </c>
      <c r="AG551" s="76">
        <v>2055</v>
      </c>
      <c r="AH551" s="76">
        <v>20076</v>
      </c>
      <c r="AI551" s="76">
        <v>1</v>
      </c>
      <c r="AJ551" s="76">
        <v>142250</v>
      </c>
      <c r="AK551" s="76">
        <v>593</v>
      </c>
      <c r="AL551" s="76" t="b">
        <v>0</v>
      </c>
      <c r="AM551" s="78">
        <v>41704.857777777775</v>
      </c>
      <c r="AN551" s="76"/>
      <c r="AO551" s="76"/>
      <c r="AP551" s="76"/>
      <c r="AQ551" s="76"/>
      <c r="AR551" s="76"/>
      <c r="AS551" s="76"/>
      <c r="AT551" s="76"/>
      <c r="AU551" s="76"/>
      <c r="AV551" s="76"/>
      <c r="AW551" s="76"/>
      <c r="AX551" s="76" t="b">
        <v>0</v>
      </c>
      <c r="AY551" s="76"/>
      <c r="AZ551" s="76"/>
      <c r="BA551" s="76" t="b">
        <v>0</v>
      </c>
      <c r="BB551" s="76" t="b">
        <v>1</v>
      </c>
      <c r="BC551" s="76" t="b">
        <v>1</v>
      </c>
      <c r="BD551" s="76" t="b">
        <v>0</v>
      </c>
      <c r="BE551" s="76" t="b">
        <v>1</v>
      </c>
      <c r="BF551" s="76" t="b">
        <v>0</v>
      </c>
      <c r="BG551" s="76" t="b">
        <v>0</v>
      </c>
      <c r="BH551" s="82" t="str">
        <f>HYPERLINK("https://pbs.twimg.com/profile_banners/2375877338/1495218050")</f>
        <v>https://pbs.twimg.com/profile_banners/2375877338/1495218050</v>
      </c>
      <c r="BI551" s="76"/>
      <c r="BJ551" s="76" t="s">
        <v>27595</v>
      </c>
      <c r="BK551" s="76" t="b">
        <v>0</v>
      </c>
      <c r="BL551" s="76"/>
      <c r="BM551" s="76" t="s">
        <v>66</v>
      </c>
      <c r="BN551" s="76" t="s">
        <v>27597</v>
      </c>
      <c r="BO551" s="82" t="str">
        <f>HYPERLINK("https://twitter.com/agergastn")</f>
        <v>https://twitter.com/agergastn</v>
      </c>
      <c r="BP551" s="2"/>
    </row>
    <row r="552" spans="1:68" x14ac:dyDescent="0.25">
      <c r="A552" s="62" t="s">
        <v>1539</v>
      </c>
      <c r="B552" s="63"/>
      <c r="C552" s="63"/>
      <c r="D552" s="64"/>
      <c r="E552" s="66"/>
      <c r="F552" s="103" t="str">
        <f>HYPERLINK("https://pbs.twimg.com/profile_images/1057625610741211136/xE3oL4y1_normal.jpg")</f>
        <v>https://pbs.twimg.com/profile_images/1057625610741211136/xE3oL4y1_normal.jpg</v>
      </c>
      <c r="G552" s="63"/>
      <c r="H552" s="67"/>
      <c r="I552" s="68"/>
      <c r="J552" s="68"/>
      <c r="K552" s="67" t="s">
        <v>28146</v>
      </c>
      <c r="L552" s="71"/>
      <c r="M552" s="72"/>
      <c r="N552" s="72"/>
      <c r="O552" s="73"/>
      <c r="P552" s="74"/>
      <c r="Q552" s="74"/>
      <c r="R552" s="87"/>
      <c r="S552" s="87"/>
      <c r="T552" s="87"/>
      <c r="U552" s="87"/>
      <c r="V552" s="48"/>
      <c r="W552" s="48"/>
      <c r="X552" s="48"/>
      <c r="Y552" s="48"/>
      <c r="Z552" s="47"/>
      <c r="AA552" s="69">
        <v>552</v>
      </c>
      <c r="AB552" s="69"/>
      <c r="AC552" s="70"/>
      <c r="AD552" s="76" t="s">
        <v>21789</v>
      </c>
      <c r="AE552" s="81" t="s">
        <v>21137</v>
      </c>
      <c r="AF552" s="76">
        <v>108437</v>
      </c>
      <c r="AG552" s="76">
        <v>634</v>
      </c>
      <c r="AH552" s="76">
        <v>130575</v>
      </c>
      <c r="AI552" s="76">
        <v>262</v>
      </c>
      <c r="AJ552" s="76">
        <v>2276</v>
      </c>
      <c r="AK552" s="76">
        <v>18366</v>
      </c>
      <c r="AL552" s="76" t="b">
        <v>0</v>
      </c>
      <c r="AM552" s="78">
        <v>42708.134976851848</v>
      </c>
      <c r="AN552" s="76"/>
      <c r="AO552" s="76" t="s">
        <v>25202</v>
      </c>
      <c r="AP552" s="82" t="str">
        <f>HYPERLINK("https://t.co/YBrcdkjdO9")</f>
        <v>https://t.co/YBrcdkjdO9</v>
      </c>
      <c r="AQ552" s="82" t="str">
        <f>HYPERLINK("http://www.filo.news")</f>
        <v>http://www.filo.news</v>
      </c>
      <c r="AR552" s="76" t="s">
        <v>26673</v>
      </c>
      <c r="AS552" s="76"/>
      <c r="AT552" s="76"/>
      <c r="AU552" s="76"/>
      <c r="AV552" s="76">
        <v>1.7046388115509299E+18</v>
      </c>
      <c r="AW552" s="82" t="str">
        <f>HYPERLINK("https://t.co/YBrcdkjdO9")</f>
        <v>https://t.co/YBrcdkjdO9</v>
      </c>
      <c r="AX552" s="76" t="b">
        <v>1</v>
      </c>
      <c r="AY552" s="76"/>
      <c r="AZ552" s="76"/>
      <c r="BA552" s="76" t="b">
        <v>1</v>
      </c>
      <c r="BB552" s="76" t="b">
        <v>1</v>
      </c>
      <c r="BC552" s="76" t="b">
        <v>0</v>
      </c>
      <c r="BD552" s="76" t="b">
        <v>0</v>
      </c>
      <c r="BE552" s="76" t="b">
        <v>1</v>
      </c>
      <c r="BF552" s="76" t="b">
        <v>0</v>
      </c>
      <c r="BG552" s="76" t="b">
        <v>0</v>
      </c>
      <c r="BH552" s="82" t="str">
        <f>HYPERLINK("https://pbs.twimg.com/profile_banners/805248855990292480/1603459216")</f>
        <v>https://pbs.twimg.com/profile_banners/805248855990292480/1603459216</v>
      </c>
      <c r="BI552" s="76"/>
      <c r="BJ552" s="76" t="s">
        <v>27595</v>
      </c>
      <c r="BK552" s="76" t="b">
        <v>0</v>
      </c>
      <c r="BL552" s="76"/>
      <c r="BM552" s="76" t="s">
        <v>66</v>
      </c>
      <c r="BN552" s="76" t="s">
        <v>27597</v>
      </c>
      <c r="BO552" s="82" t="str">
        <f>HYPERLINK("https://twitter.com/filonewsok")</f>
        <v>https://twitter.com/filonewsok</v>
      </c>
      <c r="BP552" s="2"/>
    </row>
    <row r="553" spans="1:68" x14ac:dyDescent="0.25">
      <c r="A553" s="62" t="s">
        <v>609</v>
      </c>
      <c r="B553" s="63"/>
      <c r="C553" s="63"/>
      <c r="D553" s="64"/>
      <c r="E553" s="66"/>
      <c r="F553" s="103" t="str">
        <f>HYPERLINK("https://pbs.twimg.com/profile_images/1528057620531126274/UBue87Z3_normal.jpg")</f>
        <v>https://pbs.twimg.com/profile_images/1528057620531126274/UBue87Z3_normal.jpg</v>
      </c>
      <c r="G553" s="63"/>
      <c r="H553" s="67"/>
      <c r="I553" s="68"/>
      <c r="J553" s="68"/>
      <c r="K553" s="67" t="s">
        <v>28147</v>
      </c>
      <c r="L553" s="71"/>
      <c r="M553" s="72"/>
      <c r="N553" s="72"/>
      <c r="O553" s="73"/>
      <c r="P553" s="74"/>
      <c r="Q553" s="74"/>
      <c r="R553" s="87"/>
      <c r="S553" s="87"/>
      <c r="T553" s="87"/>
      <c r="U553" s="87"/>
      <c r="V553" s="48"/>
      <c r="W553" s="48"/>
      <c r="X553" s="48"/>
      <c r="Y553" s="48"/>
      <c r="Z553" s="47"/>
      <c r="AA553" s="69">
        <v>553</v>
      </c>
      <c r="AB553" s="69"/>
      <c r="AC553" s="70"/>
      <c r="AD553" s="76" t="s">
        <v>21790</v>
      </c>
      <c r="AE553" s="81" t="s">
        <v>23359</v>
      </c>
      <c r="AF553" s="76">
        <v>1230</v>
      </c>
      <c r="AG553" s="76">
        <v>1160</v>
      </c>
      <c r="AH553" s="76">
        <v>1720</v>
      </c>
      <c r="AI553" s="76">
        <v>6</v>
      </c>
      <c r="AJ553" s="76">
        <v>1347</v>
      </c>
      <c r="AK553" s="76">
        <v>249</v>
      </c>
      <c r="AL553" s="76" t="b">
        <v>0</v>
      </c>
      <c r="AM553" s="78">
        <v>40429.485601851855</v>
      </c>
      <c r="AN553" s="76" t="s">
        <v>24270</v>
      </c>
      <c r="AO553" s="76" t="s">
        <v>25203</v>
      </c>
      <c r="AP553" s="76"/>
      <c r="AQ553" s="76"/>
      <c r="AR553" s="76"/>
      <c r="AS553" s="76"/>
      <c r="AT553" s="76"/>
      <c r="AU553" s="76"/>
      <c r="AV553" s="76"/>
      <c r="AW553" s="76"/>
      <c r="AX553" s="76" t="b">
        <v>0</v>
      </c>
      <c r="AY553" s="76"/>
      <c r="AZ553" s="76"/>
      <c r="BA553" s="76" t="b">
        <v>0</v>
      </c>
      <c r="BB553" s="76" t="b">
        <v>1</v>
      </c>
      <c r="BC553" s="76" t="b">
        <v>0</v>
      </c>
      <c r="BD553" s="76" t="b">
        <v>0</v>
      </c>
      <c r="BE553" s="76" t="b">
        <v>1</v>
      </c>
      <c r="BF553" s="76" t="b">
        <v>0</v>
      </c>
      <c r="BG553" s="76" t="b">
        <v>0</v>
      </c>
      <c r="BH553" s="82" t="str">
        <f>HYPERLINK("https://pbs.twimg.com/profile_banners/188293356/1458560470")</f>
        <v>https://pbs.twimg.com/profile_banners/188293356/1458560470</v>
      </c>
      <c r="BI553" s="76"/>
      <c r="BJ553" s="76" t="s">
        <v>27595</v>
      </c>
      <c r="BK553" s="76" t="b">
        <v>0</v>
      </c>
      <c r="BL553" s="76"/>
      <c r="BM553" s="76" t="s">
        <v>66</v>
      </c>
      <c r="BN553" s="76" t="s">
        <v>27597</v>
      </c>
      <c r="BO553" s="82" t="str">
        <f>HYPERLINK("https://twitter.com/colon121078")</f>
        <v>https://twitter.com/colon121078</v>
      </c>
      <c r="BP553" s="2"/>
    </row>
    <row r="554" spans="1:68" x14ac:dyDescent="0.25">
      <c r="A554" s="62" t="s">
        <v>610</v>
      </c>
      <c r="B554" s="63"/>
      <c r="C554" s="63"/>
      <c r="D554" s="64"/>
      <c r="E554" s="66"/>
      <c r="F554" s="103" t="str">
        <f>HYPERLINK("https://pbs.twimg.com/profile_images/1583598807476047872/AFuhjxPN_normal.png")</f>
        <v>https://pbs.twimg.com/profile_images/1583598807476047872/AFuhjxPN_normal.png</v>
      </c>
      <c r="G554" s="63"/>
      <c r="H554" s="67"/>
      <c r="I554" s="68"/>
      <c r="J554" s="68"/>
      <c r="K554" s="67" t="s">
        <v>28148</v>
      </c>
      <c r="L554" s="71"/>
      <c r="M554" s="72"/>
      <c r="N554" s="72"/>
      <c r="O554" s="73"/>
      <c r="P554" s="74"/>
      <c r="Q554" s="74"/>
      <c r="R554" s="87"/>
      <c r="S554" s="87"/>
      <c r="T554" s="87"/>
      <c r="U554" s="87"/>
      <c r="V554" s="48"/>
      <c r="W554" s="48"/>
      <c r="X554" s="48"/>
      <c r="Y554" s="48"/>
      <c r="Z554" s="47"/>
      <c r="AA554" s="69">
        <v>554</v>
      </c>
      <c r="AB554" s="69"/>
      <c r="AC554" s="70"/>
      <c r="AD554" s="76" t="s">
        <v>21791</v>
      </c>
      <c r="AE554" s="81" t="s">
        <v>20682</v>
      </c>
      <c r="AF554" s="76">
        <v>6</v>
      </c>
      <c r="AG554" s="76">
        <v>22</v>
      </c>
      <c r="AH554" s="76">
        <v>1098</v>
      </c>
      <c r="AI554" s="76">
        <v>0</v>
      </c>
      <c r="AJ554" s="76">
        <v>0</v>
      </c>
      <c r="AK554" s="76">
        <v>610</v>
      </c>
      <c r="AL554" s="76" t="b">
        <v>0</v>
      </c>
      <c r="AM554" s="78">
        <v>44855.968692129631</v>
      </c>
      <c r="AN554" s="76" t="s">
        <v>24271</v>
      </c>
      <c r="AO554" s="76" t="s">
        <v>25204</v>
      </c>
      <c r="AP554" s="82" t="str">
        <f>HYPERLINK("https://t.co/HjO1ZssAp4")</f>
        <v>https://t.co/HjO1ZssAp4</v>
      </c>
      <c r="AQ554" s="82" t="str">
        <f>HYPERLINK("https://newspiaui.com")</f>
        <v>https://newspiaui.com</v>
      </c>
      <c r="AR554" s="76" t="s">
        <v>8704</v>
      </c>
      <c r="AS554" s="76"/>
      <c r="AT554" s="76"/>
      <c r="AU554" s="76"/>
      <c r="AV554" s="76"/>
      <c r="AW554" s="82" t="str">
        <f>HYPERLINK("https://t.co/HjO1ZssAp4")</f>
        <v>https://t.co/HjO1ZssAp4</v>
      </c>
      <c r="AX554" s="76" t="b">
        <v>0</v>
      </c>
      <c r="AY554" s="76"/>
      <c r="AZ554" s="76"/>
      <c r="BA554" s="76" t="b">
        <v>0</v>
      </c>
      <c r="BB554" s="76" t="b">
        <v>1</v>
      </c>
      <c r="BC554" s="76" t="b">
        <v>1</v>
      </c>
      <c r="BD554" s="76" t="b">
        <v>0</v>
      </c>
      <c r="BE554" s="76" t="b">
        <v>0</v>
      </c>
      <c r="BF554" s="76" t="b">
        <v>0</v>
      </c>
      <c r="BG554" s="76" t="b">
        <v>0</v>
      </c>
      <c r="BH554" s="82" t="str">
        <f>HYPERLINK("https://pbs.twimg.com/profile_banners/1583597616369221632/1666394410")</f>
        <v>https://pbs.twimg.com/profile_banners/1583597616369221632/1666394410</v>
      </c>
      <c r="BI554" s="76"/>
      <c r="BJ554" s="76" t="s">
        <v>27595</v>
      </c>
      <c r="BK554" s="76" t="b">
        <v>0</v>
      </c>
      <c r="BL554" s="76"/>
      <c r="BM554" s="76" t="s">
        <v>66</v>
      </c>
      <c r="BN554" s="76" t="s">
        <v>27597</v>
      </c>
      <c r="BO554" s="82" t="str">
        <f>HYPERLINK("https://twitter.com/news_piaui")</f>
        <v>https://twitter.com/news_piaui</v>
      </c>
      <c r="BP554" s="2"/>
    </row>
    <row r="555" spans="1:68" x14ac:dyDescent="0.25">
      <c r="A555" s="62" t="s">
        <v>611</v>
      </c>
      <c r="B555" s="63"/>
      <c r="C555" s="63"/>
      <c r="D555" s="64"/>
      <c r="E555" s="66"/>
      <c r="F555" s="103" t="str">
        <f>HYPERLINK("https://pbs.twimg.com/profile_images/1435362682006351872/LQpJR9EQ_normal.jpg")</f>
        <v>https://pbs.twimg.com/profile_images/1435362682006351872/LQpJR9EQ_normal.jpg</v>
      </c>
      <c r="G555" s="63"/>
      <c r="H555" s="67"/>
      <c r="I555" s="68"/>
      <c r="J555" s="68"/>
      <c r="K555" s="67" t="s">
        <v>28149</v>
      </c>
      <c r="L555" s="71"/>
      <c r="M555" s="72"/>
      <c r="N555" s="72"/>
      <c r="O555" s="73"/>
      <c r="P555" s="74"/>
      <c r="Q555" s="74"/>
      <c r="R555" s="87"/>
      <c r="S555" s="87"/>
      <c r="T555" s="87"/>
      <c r="U555" s="87"/>
      <c r="V555" s="48"/>
      <c r="W555" s="48"/>
      <c r="X555" s="48"/>
      <c r="Y555" s="48"/>
      <c r="Z555" s="47"/>
      <c r="AA555" s="69">
        <v>555</v>
      </c>
      <c r="AB555" s="69"/>
      <c r="AC555" s="70"/>
      <c r="AD555" s="76" t="s">
        <v>21792</v>
      </c>
      <c r="AE555" s="81" t="s">
        <v>23360</v>
      </c>
      <c r="AF555" s="76">
        <v>1117</v>
      </c>
      <c r="AG555" s="76">
        <v>130</v>
      </c>
      <c r="AH555" s="76">
        <v>30053</v>
      </c>
      <c r="AI555" s="76">
        <v>12</v>
      </c>
      <c r="AJ555" s="76">
        <v>3557</v>
      </c>
      <c r="AK555" s="76">
        <v>9824</v>
      </c>
      <c r="AL555" s="76" t="b">
        <v>0</v>
      </c>
      <c r="AM555" s="78">
        <v>42403.695428240739</v>
      </c>
      <c r="AN555" s="76" t="s">
        <v>24124</v>
      </c>
      <c r="AO555" s="76" t="s">
        <v>25205</v>
      </c>
      <c r="AP555" s="82" t="str">
        <f>HYPERLINK("https://t.co/jwdLdcjNDm")</f>
        <v>https://t.co/jwdLdcjNDm</v>
      </c>
      <c r="AQ555" s="82" t="str">
        <f>HYPERLINK("https://www.cubaenresumen.org")</f>
        <v>https://www.cubaenresumen.org</v>
      </c>
      <c r="AR555" s="76" t="s">
        <v>8705</v>
      </c>
      <c r="AS555" s="76"/>
      <c r="AT555" s="76"/>
      <c r="AU555" s="76"/>
      <c r="AV555" s="76"/>
      <c r="AW555" s="82" t="str">
        <f>HYPERLINK("https://t.co/jwdLdcjNDm")</f>
        <v>https://t.co/jwdLdcjNDm</v>
      </c>
      <c r="AX555" s="76" t="b">
        <v>0</v>
      </c>
      <c r="AY555" s="76"/>
      <c r="AZ555" s="76"/>
      <c r="BA555" s="76" t="b">
        <v>0</v>
      </c>
      <c r="BB555" s="76" t="b">
        <v>1</v>
      </c>
      <c r="BC555" s="76" t="b">
        <v>0</v>
      </c>
      <c r="BD555" s="76" t="b">
        <v>0</v>
      </c>
      <c r="BE555" s="76" t="b">
        <v>1</v>
      </c>
      <c r="BF555" s="76" t="b">
        <v>0</v>
      </c>
      <c r="BG555" s="76" t="b">
        <v>0</v>
      </c>
      <c r="BH555" s="82" t="str">
        <f>HYPERLINK("https://pbs.twimg.com/profile_banners/4854937214/1616975315")</f>
        <v>https://pbs.twimg.com/profile_banners/4854937214/1616975315</v>
      </c>
      <c r="BI555" s="76"/>
      <c r="BJ555" s="76" t="s">
        <v>27595</v>
      </c>
      <c r="BK555" s="76" t="b">
        <v>0</v>
      </c>
      <c r="BL555" s="76"/>
      <c r="BM555" s="76" t="s">
        <v>66</v>
      </c>
      <c r="BN555" s="76" t="s">
        <v>27597</v>
      </c>
      <c r="BO555" s="82" t="str">
        <f>HYPERLINK("https://twitter.com/cuba_enresumen")</f>
        <v>https://twitter.com/cuba_enresumen</v>
      </c>
      <c r="BP555" s="2"/>
    </row>
    <row r="556" spans="1:68" x14ac:dyDescent="0.25">
      <c r="A556" s="62" t="s">
        <v>612</v>
      </c>
      <c r="B556" s="63"/>
      <c r="C556" s="63"/>
      <c r="D556" s="64"/>
      <c r="E556" s="66"/>
      <c r="F556" s="103" t="str">
        <f>HYPERLINK("https://pbs.twimg.com/profile_images/1249502783558111238/cdb1XIkR_normal.jpg")</f>
        <v>https://pbs.twimg.com/profile_images/1249502783558111238/cdb1XIkR_normal.jpg</v>
      </c>
      <c r="G556" s="63"/>
      <c r="H556" s="67"/>
      <c r="I556" s="68"/>
      <c r="J556" s="68"/>
      <c r="K556" s="67" t="s">
        <v>28150</v>
      </c>
      <c r="L556" s="71"/>
      <c r="M556" s="72"/>
      <c r="N556" s="72"/>
      <c r="O556" s="73"/>
      <c r="P556" s="74"/>
      <c r="Q556" s="74"/>
      <c r="R556" s="87"/>
      <c r="S556" s="87"/>
      <c r="T556" s="87"/>
      <c r="U556" s="87"/>
      <c r="V556" s="48"/>
      <c r="W556" s="48"/>
      <c r="X556" s="48"/>
      <c r="Y556" s="48"/>
      <c r="Z556" s="47"/>
      <c r="AA556" s="69">
        <v>556</v>
      </c>
      <c r="AB556" s="69"/>
      <c r="AC556" s="70"/>
      <c r="AD556" s="76" t="s">
        <v>21793</v>
      </c>
      <c r="AE556" s="81" t="s">
        <v>23361</v>
      </c>
      <c r="AF556" s="76">
        <v>67457</v>
      </c>
      <c r="AG556" s="76">
        <v>60364</v>
      </c>
      <c r="AH556" s="76">
        <v>134786</v>
      </c>
      <c r="AI556" s="76">
        <v>400</v>
      </c>
      <c r="AJ556" s="76">
        <v>126</v>
      </c>
      <c r="AK556" s="76">
        <v>130947</v>
      </c>
      <c r="AL556" s="76" t="b">
        <v>0</v>
      </c>
      <c r="AM556" s="78">
        <v>42147.083067129628</v>
      </c>
      <c r="AN556" s="76" t="s">
        <v>24272</v>
      </c>
      <c r="AO556" s="76" t="s">
        <v>25206</v>
      </c>
      <c r="AP556" s="82" t="str">
        <f>HYPERLINK("https://t.co/5ouLpNgRXv")</f>
        <v>https://t.co/5ouLpNgRXv</v>
      </c>
      <c r="AQ556" s="82" t="str">
        <f>HYPERLINK("http://themexicopost.mx")</f>
        <v>http://themexicopost.mx</v>
      </c>
      <c r="AR556" s="76" t="s">
        <v>8706</v>
      </c>
      <c r="AS556" s="76"/>
      <c r="AT556" s="76"/>
      <c r="AU556" s="76"/>
      <c r="AV556" s="76"/>
      <c r="AW556" s="82" t="str">
        <f>HYPERLINK("https://t.co/5ouLpNgRXv")</f>
        <v>https://t.co/5ouLpNgRXv</v>
      </c>
      <c r="AX556" s="76" t="b">
        <v>0</v>
      </c>
      <c r="AY556" s="76"/>
      <c r="AZ556" s="76"/>
      <c r="BA556" s="76" t="b">
        <v>1</v>
      </c>
      <c r="BB556" s="76" t="b">
        <v>1</v>
      </c>
      <c r="BC556" s="76" t="b">
        <v>1</v>
      </c>
      <c r="BD556" s="76" t="b">
        <v>0</v>
      </c>
      <c r="BE556" s="76" t="b">
        <v>0</v>
      </c>
      <c r="BF556" s="76" t="b">
        <v>0</v>
      </c>
      <c r="BG556" s="76" t="b">
        <v>0</v>
      </c>
      <c r="BH556" s="82" t="str">
        <f>HYPERLINK("https://pbs.twimg.com/profile_banners/3223746900/1689745124")</f>
        <v>https://pbs.twimg.com/profile_banners/3223746900/1689745124</v>
      </c>
      <c r="BI556" s="76"/>
      <c r="BJ556" s="76" t="s">
        <v>27595</v>
      </c>
      <c r="BK556" s="76" t="b">
        <v>0</v>
      </c>
      <c r="BL556" s="76"/>
      <c r="BM556" s="76" t="s">
        <v>66</v>
      </c>
      <c r="BN556" s="76" t="s">
        <v>27597</v>
      </c>
      <c r="BO556" s="82" t="str">
        <f>HYPERLINK("https://twitter.com/mexicopost")</f>
        <v>https://twitter.com/mexicopost</v>
      </c>
      <c r="BP556" s="2"/>
    </row>
    <row r="557" spans="1:68" x14ac:dyDescent="0.25">
      <c r="A557" s="62" t="s">
        <v>613</v>
      </c>
      <c r="B557" s="63"/>
      <c r="C557" s="63"/>
      <c r="D557" s="64"/>
      <c r="E557" s="66"/>
      <c r="F557" s="103" t="str">
        <f>HYPERLINK("https://pbs.twimg.com/profile_images/1447210293252272130/pdF89RWc_normal.jpg")</f>
        <v>https://pbs.twimg.com/profile_images/1447210293252272130/pdF89RWc_normal.jpg</v>
      </c>
      <c r="G557" s="63"/>
      <c r="H557" s="67"/>
      <c r="I557" s="68"/>
      <c r="J557" s="68"/>
      <c r="K557" s="67" t="s">
        <v>28151</v>
      </c>
      <c r="L557" s="71"/>
      <c r="M557" s="72"/>
      <c r="N557" s="72"/>
      <c r="O557" s="73"/>
      <c r="P557" s="74"/>
      <c r="Q557" s="74"/>
      <c r="R557" s="87"/>
      <c r="S557" s="87"/>
      <c r="T557" s="87"/>
      <c r="U557" s="87"/>
      <c r="V557" s="48"/>
      <c r="W557" s="48"/>
      <c r="X557" s="48"/>
      <c r="Y557" s="48"/>
      <c r="Z557" s="47"/>
      <c r="AA557" s="69">
        <v>557</v>
      </c>
      <c r="AB557" s="69"/>
      <c r="AC557" s="70"/>
      <c r="AD557" s="76" t="s">
        <v>21794</v>
      </c>
      <c r="AE557" s="81" t="s">
        <v>23362</v>
      </c>
      <c r="AF557" s="76">
        <v>19344</v>
      </c>
      <c r="AG557" s="76">
        <v>2138</v>
      </c>
      <c r="AH557" s="76">
        <v>23576</v>
      </c>
      <c r="AI557" s="76">
        <v>774</v>
      </c>
      <c r="AJ557" s="76">
        <v>5715</v>
      </c>
      <c r="AK557" s="76">
        <v>6299</v>
      </c>
      <c r="AL557" s="76" t="b">
        <v>0</v>
      </c>
      <c r="AM557" s="78">
        <v>39997.592974537038</v>
      </c>
      <c r="AN557" s="76" t="s">
        <v>24059</v>
      </c>
      <c r="AO557" s="76" t="s">
        <v>25207</v>
      </c>
      <c r="AP557" s="82" t="str">
        <f>HYPERLINK("https://t.co/5cx7a4DHGR")</f>
        <v>https://t.co/5cx7a4DHGR</v>
      </c>
      <c r="AQ557" s="82" t="str">
        <f>HYPERLINK("http://www.esglobal.org/")</f>
        <v>http://www.esglobal.org/</v>
      </c>
      <c r="AR557" s="76" t="s">
        <v>8707</v>
      </c>
      <c r="AS557" s="76"/>
      <c r="AT557" s="76"/>
      <c r="AU557" s="76"/>
      <c r="AV557" s="76"/>
      <c r="AW557" s="82" t="str">
        <f>HYPERLINK("https://t.co/5cx7a4DHGR")</f>
        <v>https://t.co/5cx7a4DHGR</v>
      </c>
      <c r="AX557" s="76" t="b">
        <v>0</v>
      </c>
      <c r="AY557" s="76"/>
      <c r="AZ557" s="76"/>
      <c r="BA557" s="76" t="b">
        <v>1</v>
      </c>
      <c r="BB557" s="76" t="b">
        <v>1</v>
      </c>
      <c r="BC557" s="76" t="b">
        <v>0</v>
      </c>
      <c r="BD557" s="76" t="b">
        <v>0</v>
      </c>
      <c r="BE557" s="76" t="b">
        <v>1</v>
      </c>
      <c r="BF557" s="76" t="b">
        <v>0</v>
      </c>
      <c r="BG557" s="76" t="b">
        <v>0</v>
      </c>
      <c r="BH557" s="82" t="str">
        <f>HYPERLINK("https://pbs.twimg.com/profile_banners/53394788/1633337126")</f>
        <v>https://pbs.twimg.com/profile_banners/53394788/1633337126</v>
      </c>
      <c r="BI557" s="76"/>
      <c r="BJ557" s="76" t="s">
        <v>27595</v>
      </c>
      <c r="BK557" s="76" t="b">
        <v>0</v>
      </c>
      <c r="BL557" s="76"/>
      <c r="BM557" s="76" t="s">
        <v>66</v>
      </c>
      <c r="BN557" s="76" t="s">
        <v>27597</v>
      </c>
      <c r="BO557" s="82" t="str">
        <f>HYPERLINK("https://twitter.com/esglobal_org")</f>
        <v>https://twitter.com/esglobal_org</v>
      </c>
      <c r="BP557" s="2"/>
    </row>
    <row r="558" spans="1:68" x14ac:dyDescent="0.25">
      <c r="A558" s="62" t="s">
        <v>1821</v>
      </c>
      <c r="B558" s="63"/>
      <c r="C558" s="63"/>
      <c r="D558" s="64"/>
      <c r="E558" s="66"/>
      <c r="F558" s="103" t="str">
        <f>HYPERLINK("https://pbs.twimg.com/profile_images/1435227235405996034/JAGyMUqT_normal.jpg")</f>
        <v>https://pbs.twimg.com/profile_images/1435227235405996034/JAGyMUqT_normal.jpg</v>
      </c>
      <c r="G558" s="63"/>
      <c r="H558" s="67"/>
      <c r="I558" s="68"/>
      <c r="J558" s="68"/>
      <c r="K558" s="67" t="s">
        <v>28152</v>
      </c>
      <c r="L558" s="71"/>
      <c r="M558" s="72"/>
      <c r="N558" s="72"/>
      <c r="O558" s="73"/>
      <c r="P558" s="74"/>
      <c r="Q558" s="74"/>
      <c r="R558" s="87"/>
      <c r="S558" s="87"/>
      <c r="T558" s="87"/>
      <c r="U558" s="87"/>
      <c r="V558" s="48"/>
      <c r="W558" s="48"/>
      <c r="X558" s="48"/>
      <c r="Y558" s="48"/>
      <c r="Z558" s="47"/>
      <c r="AA558" s="69">
        <v>558</v>
      </c>
      <c r="AB558" s="69"/>
      <c r="AC558" s="70"/>
      <c r="AD558" s="76" t="s">
        <v>21795</v>
      </c>
      <c r="AE558" s="81" t="s">
        <v>23363</v>
      </c>
      <c r="AF558" s="76">
        <v>1056</v>
      </c>
      <c r="AG558" s="76">
        <v>2031</v>
      </c>
      <c r="AH558" s="76">
        <v>4107</v>
      </c>
      <c r="AI558" s="76">
        <v>7</v>
      </c>
      <c r="AJ558" s="76">
        <v>20050</v>
      </c>
      <c r="AK558" s="76">
        <v>207</v>
      </c>
      <c r="AL558" s="76" t="b">
        <v>0</v>
      </c>
      <c r="AM558" s="78">
        <v>41605.889143518521</v>
      </c>
      <c r="AN558" s="76" t="s">
        <v>24273</v>
      </c>
      <c r="AO558" s="76" t="s">
        <v>25208</v>
      </c>
      <c r="AP558" s="82" t="str">
        <f>HYPERLINK("https://t.co/Ukntx8qsUo")</f>
        <v>https://t.co/Ukntx8qsUo</v>
      </c>
      <c r="AQ558" s="82" t="str">
        <f>HYPERLINK("http://www.instagram.com/andrealopezpast")</f>
        <v>http://www.instagram.com/andrealopezpast</v>
      </c>
      <c r="AR558" s="76" t="s">
        <v>26674</v>
      </c>
      <c r="AS558" s="76"/>
      <c r="AT558" s="76"/>
      <c r="AU558" s="76"/>
      <c r="AV558" s="76"/>
      <c r="AW558" s="82" t="str">
        <f>HYPERLINK("https://t.co/Ukntx8qsUo")</f>
        <v>https://t.co/Ukntx8qsUo</v>
      </c>
      <c r="AX558" s="76" t="b">
        <v>0</v>
      </c>
      <c r="AY558" s="76"/>
      <c r="AZ558" s="76"/>
      <c r="BA558" s="76" t="b">
        <v>1</v>
      </c>
      <c r="BB558" s="76" t="b">
        <v>1</v>
      </c>
      <c r="BC558" s="76" t="b">
        <v>0</v>
      </c>
      <c r="BD558" s="76" t="b">
        <v>0</v>
      </c>
      <c r="BE558" s="76" t="b">
        <v>1</v>
      </c>
      <c r="BF558" s="76" t="b">
        <v>0</v>
      </c>
      <c r="BG558" s="76" t="b">
        <v>0</v>
      </c>
      <c r="BH558" s="82" t="str">
        <f>HYPERLINK("https://pbs.twimg.com/profile_banners/2218449720/1550757581")</f>
        <v>https://pbs.twimg.com/profile_banners/2218449720/1550757581</v>
      </c>
      <c r="BI558" s="76"/>
      <c r="BJ558" s="76" t="s">
        <v>27595</v>
      </c>
      <c r="BK558" s="76" t="b">
        <v>0</v>
      </c>
      <c r="BL558" s="76"/>
      <c r="BM558" s="76" t="s">
        <v>65</v>
      </c>
      <c r="BN558" s="76" t="s">
        <v>27597</v>
      </c>
      <c r="BO558" s="82" t="str">
        <f>HYPERLINK("https://twitter.com/andrealopezpast")</f>
        <v>https://twitter.com/andrealopezpast</v>
      </c>
      <c r="BP558" s="2"/>
    </row>
    <row r="559" spans="1:68" x14ac:dyDescent="0.25">
      <c r="A559" s="62" t="s">
        <v>614</v>
      </c>
      <c r="B559" s="63"/>
      <c r="C559" s="63"/>
      <c r="D559" s="64"/>
      <c r="E559" s="66"/>
      <c r="F559" s="103" t="str">
        <f>HYPERLINK("https://pbs.twimg.com/profile_images/1637223676788588546/H4P4kByS_normal.png")</f>
        <v>https://pbs.twimg.com/profile_images/1637223676788588546/H4P4kByS_normal.png</v>
      </c>
      <c r="G559" s="63"/>
      <c r="H559" s="67"/>
      <c r="I559" s="68"/>
      <c r="J559" s="68"/>
      <c r="K559" s="67" t="s">
        <v>28153</v>
      </c>
      <c r="L559" s="71"/>
      <c r="M559" s="72"/>
      <c r="N559" s="72"/>
      <c r="O559" s="73"/>
      <c r="P559" s="74"/>
      <c r="Q559" s="74"/>
      <c r="R559" s="87"/>
      <c r="S559" s="87"/>
      <c r="T559" s="87"/>
      <c r="U559" s="87"/>
      <c r="V559" s="48"/>
      <c r="W559" s="48"/>
      <c r="X559" s="48"/>
      <c r="Y559" s="48"/>
      <c r="Z559" s="47"/>
      <c r="AA559" s="69">
        <v>559</v>
      </c>
      <c r="AB559" s="69"/>
      <c r="AC559" s="70"/>
      <c r="AD559" s="76" t="s">
        <v>21796</v>
      </c>
      <c r="AE559" s="81" t="s">
        <v>20683</v>
      </c>
      <c r="AF559" s="76">
        <v>826</v>
      </c>
      <c r="AG559" s="76">
        <v>271</v>
      </c>
      <c r="AH559" s="76">
        <v>84955</v>
      </c>
      <c r="AI559" s="76">
        <v>8</v>
      </c>
      <c r="AJ559" s="76">
        <v>28</v>
      </c>
      <c r="AK559" s="76">
        <v>9</v>
      </c>
      <c r="AL559" s="76" t="b">
        <v>0</v>
      </c>
      <c r="AM559" s="78">
        <v>43893.867650462962</v>
      </c>
      <c r="AN559" s="76" t="s">
        <v>24274</v>
      </c>
      <c r="AO559" s="76" t="s">
        <v>25209</v>
      </c>
      <c r="AP559" s="82" t="str">
        <f>HYPERLINK("https://t.co/XevhvoCCpC")</f>
        <v>https://t.co/XevhvoCCpC</v>
      </c>
      <c r="AQ559" s="82" t="str">
        <f>HYPERLINK("https://linktr.ee/somosfan")</f>
        <v>https://linktr.ee/somosfan</v>
      </c>
      <c r="AR559" s="76" t="s">
        <v>26675</v>
      </c>
      <c r="AS559" s="76"/>
      <c r="AT559" s="76"/>
      <c r="AU559" s="76"/>
      <c r="AV559" s="76"/>
      <c r="AW559" s="82" t="str">
        <f>HYPERLINK("https://t.co/XevhvoCCpC")</f>
        <v>https://t.co/XevhvoCCpC</v>
      </c>
      <c r="AX559" s="76" t="b">
        <v>0</v>
      </c>
      <c r="AY559" s="76"/>
      <c r="AZ559" s="76"/>
      <c r="BA559" s="76" t="b">
        <v>0</v>
      </c>
      <c r="BB559" s="76" t="b">
        <v>1</v>
      </c>
      <c r="BC559" s="76" t="b">
        <v>1</v>
      </c>
      <c r="BD559" s="76" t="b">
        <v>0</v>
      </c>
      <c r="BE559" s="76" t="b">
        <v>1</v>
      </c>
      <c r="BF559" s="76" t="b">
        <v>0</v>
      </c>
      <c r="BG559" s="76" t="b">
        <v>0</v>
      </c>
      <c r="BH559" s="82" t="str">
        <f>HYPERLINK("https://pbs.twimg.com/profile_banners/1234943918229393411/1679179519")</f>
        <v>https://pbs.twimg.com/profile_banners/1234943918229393411/1679179519</v>
      </c>
      <c r="BI559" s="76"/>
      <c r="BJ559" s="76" t="s">
        <v>27595</v>
      </c>
      <c r="BK559" s="76" t="b">
        <v>0</v>
      </c>
      <c r="BL559" s="76"/>
      <c r="BM559" s="76" t="s">
        <v>66</v>
      </c>
      <c r="BN559" s="76" t="s">
        <v>27597</v>
      </c>
      <c r="BO559" s="82" t="str">
        <f>HYPERLINK("https://twitter.com/somosfancom")</f>
        <v>https://twitter.com/somosfancom</v>
      </c>
      <c r="BP559" s="2"/>
    </row>
    <row r="560" spans="1:68" x14ac:dyDescent="0.25">
      <c r="A560" s="62" t="s">
        <v>616</v>
      </c>
      <c r="B560" s="63"/>
      <c r="C560" s="63"/>
      <c r="D560" s="64"/>
      <c r="E560" s="66"/>
      <c r="F560" s="103" t="str">
        <f>HYPERLINK("https://pbs.twimg.com/profile_images/1267211803743916036/6bqlRAN6_normal.jpg")</f>
        <v>https://pbs.twimg.com/profile_images/1267211803743916036/6bqlRAN6_normal.jpg</v>
      </c>
      <c r="G560" s="63"/>
      <c r="H560" s="67"/>
      <c r="I560" s="68"/>
      <c r="J560" s="68"/>
      <c r="K560" s="67" t="s">
        <v>28154</v>
      </c>
      <c r="L560" s="71"/>
      <c r="M560" s="72"/>
      <c r="N560" s="72"/>
      <c r="O560" s="73"/>
      <c r="P560" s="74"/>
      <c r="Q560" s="74"/>
      <c r="R560" s="87"/>
      <c r="S560" s="87"/>
      <c r="T560" s="87"/>
      <c r="U560" s="87"/>
      <c r="V560" s="48"/>
      <c r="W560" s="48"/>
      <c r="X560" s="48"/>
      <c r="Y560" s="48"/>
      <c r="Z560" s="47"/>
      <c r="AA560" s="69">
        <v>560</v>
      </c>
      <c r="AB560" s="69"/>
      <c r="AC560" s="70"/>
      <c r="AD560" s="76" t="s">
        <v>21797</v>
      </c>
      <c r="AE560" s="81" t="s">
        <v>20685</v>
      </c>
      <c r="AF560" s="76">
        <v>71</v>
      </c>
      <c r="AG560" s="76">
        <v>346</v>
      </c>
      <c r="AH560" s="76">
        <v>317</v>
      </c>
      <c r="AI560" s="76">
        <v>1</v>
      </c>
      <c r="AJ560" s="76">
        <v>7622</v>
      </c>
      <c r="AK560" s="76">
        <v>23</v>
      </c>
      <c r="AL560" s="76" t="b">
        <v>0</v>
      </c>
      <c r="AM560" s="78">
        <v>43816.050763888888</v>
      </c>
      <c r="AN560" s="76" t="s">
        <v>24275</v>
      </c>
      <c r="AO560" s="76" t="s">
        <v>25210</v>
      </c>
      <c r="AP560" s="76"/>
      <c r="AQ560" s="76"/>
      <c r="AR560" s="76"/>
      <c r="AS560" s="76"/>
      <c r="AT560" s="76"/>
      <c r="AU560" s="76"/>
      <c r="AV560" s="76"/>
      <c r="AW560" s="76"/>
      <c r="AX560" s="76" t="b">
        <v>0</v>
      </c>
      <c r="AY560" s="76"/>
      <c r="AZ560" s="76"/>
      <c r="BA560" s="76" t="b">
        <v>0</v>
      </c>
      <c r="BB560" s="76" t="b">
        <v>0</v>
      </c>
      <c r="BC560" s="76" t="b">
        <v>1</v>
      </c>
      <c r="BD560" s="76" t="b">
        <v>0</v>
      </c>
      <c r="BE560" s="76" t="b">
        <v>1</v>
      </c>
      <c r="BF560" s="76" t="b">
        <v>0</v>
      </c>
      <c r="BG560" s="76" t="b">
        <v>0</v>
      </c>
      <c r="BH560" s="76"/>
      <c r="BI560" s="76"/>
      <c r="BJ560" s="76" t="s">
        <v>27595</v>
      </c>
      <c r="BK560" s="76" t="b">
        <v>0</v>
      </c>
      <c r="BL560" s="76"/>
      <c r="BM560" s="76" t="s">
        <v>66</v>
      </c>
      <c r="BN560" s="76" t="s">
        <v>27597</v>
      </c>
      <c r="BO560" s="82" t="str">
        <f>HYPERLINK("https://twitter.com/drdanielvicente")</f>
        <v>https://twitter.com/drdanielvicente</v>
      </c>
      <c r="BP560" s="2"/>
    </row>
    <row r="561" spans="1:68" x14ac:dyDescent="0.25">
      <c r="A561" s="62" t="s">
        <v>617</v>
      </c>
      <c r="B561" s="63"/>
      <c r="C561" s="63"/>
      <c r="D561" s="64"/>
      <c r="E561" s="66"/>
      <c r="F561" s="103" t="str">
        <f>HYPERLINK("https://pbs.twimg.com/profile_images/1686699093790523392/QCRGuRGS_normal.jpg")</f>
        <v>https://pbs.twimg.com/profile_images/1686699093790523392/QCRGuRGS_normal.jpg</v>
      </c>
      <c r="G561" s="63"/>
      <c r="H561" s="67"/>
      <c r="I561" s="68"/>
      <c r="J561" s="68"/>
      <c r="K561" s="67" t="s">
        <v>28155</v>
      </c>
      <c r="L561" s="71"/>
      <c r="M561" s="72"/>
      <c r="N561" s="72"/>
      <c r="O561" s="73"/>
      <c r="P561" s="74"/>
      <c r="Q561" s="74"/>
      <c r="R561" s="87"/>
      <c r="S561" s="87"/>
      <c r="T561" s="87"/>
      <c r="U561" s="87"/>
      <c r="V561" s="48"/>
      <c r="W561" s="48"/>
      <c r="X561" s="48"/>
      <c r="Y561" s="48"/>
      <c r="Z561" s="47"/>
      <c r="AA561" s="69">
        <v>561</v>
      </c>
      <c r="AB561" s="69"/>
      <c r="AC561" s="70"/>
      <c r="AD561" s="76" t="s">
        <v>21798</v>
      </c>
      <c r="AE561" s="81" t="s">
        <v>20686</v>
      </c>
      <c r="AF561" s="76">
        <v>20</v>
      </c>
      <c r="AG561" s="76">
        <v>810</v>
      </c>
      <c r="AH561" s="76">
        <v>647</v>
      </c>
      <c r="AI561" s="76">
        <v>0</v>
      </c>
      <c r="AJ561" s="76">
        <v>662</v>
      </c>
      <c r="AK561" s="76">
        <v>0</v>
      </c>
      <c r="AL561" s="76" t="b">
        <v>0</v>
      </c>
      <c r="AM561" s="78">
        <v>44891.988333333335</v>
      </c>
      <c r="AN561" s="76"/>
      <c r="AO561" s="76" t="s">
        <v>25211</v>
      </c>
      <c r="AP561" s="76"/>
      <c r="AQ561" s="76"/>
      <c r="AR561" s="76"/>
      <c r="AS561" s="76"/>
      <c r="AT561" s="76"/>
      <c r="AU561" s="76"/>
      <c r="AV561" s="76">
        <v>1.6866992812422899E+18</v>
      </c>
      <c r="AW561" s="76"/>
      <c r="AX561" s="76" t="b">
        <v>0</v>
      </c>
      <c r="AY561" s="76"/>
      <c r="AZ561" s="76"/>
      <c r="BA561" s="76" t="b">
        <v>0</v>
      </c>
      <c r="BB561" s="76" t="b">
        <v>1</v>
      </c>
      <c r="BC561" s="76" t="b">
        <v>1</v>
      </c>
      <c r="BD561" s="76" t="b">
        <v>0</v>
      </c>
      <c r="BE561" s="76" t="b">
        <v>0</v>
      </c>
      <c r="BF561" s="76" t="b">
        <v>0</v>
      </c>
      <c r="BG561" s="76" t="b">
        <v>0</v>
      </c>
      <c r="BH561" s="82" t="str">
        <f>HYPERLINK("https://pbs.twimg.com/profile_banners/1596650780643143680/1690975410")</f>
        <v>https://pbs.twimg.com/profile_banners/1596650780643143680/1690975410</v>
      </c>
      <c r="BI561" s="76"/>
      <c r="BJ561" s="76" t="s">
        <v>27595</v>
      </c>
      <c r="BK561" s="76" t="b">
        <v>0</v>
      </c>
      <c r="BL561" s="76"/>
      <c r="BM561" s="76" t="s">
        <v>66</v>
      </c>
      <c r="BN561" s="76" t="s">
        <v>27597</v>
      </c>
      <c r="BO561" s="82" t="str">
        <f>HYPERLINK("https://twitter.com/ameliacarson28")</f>
        <v>https://twitter.com/ameliacarson28</v>
      </c>
      <c r="BP561" s="2"/>
    </row>
    <row r="562" spans="1:68" x14ac:dyDescent="0.25">
      <c r="A562" s="62" t="s">
        <v>618</v>
      </c>
      <c r="B562" s="63"/>
      <c r="C562" s="63"/>
      <c r="D562" s="64"/>
      <c r="E562" s="66"/>
      <c r="F562" s="103" t="str">
        <f>HYPERLINK("https://pbs.twimg.com/profile_images/1664096165070028801/PSJeAwx__normal.jpg")</f>
        <v>https://pbs.twimg.com/profile_images/1664096165070028801/PSJeAwx__normal.jpg</v>
      </c>
      <c r="G562" s="63"/>
      <c r="H562" s="67"/>
      <c r="I562" s="68"/>
      <c r="J562" s="68"/>
      <c r="K562" s="67" t="s">
        <v>28156</v>
      </c>
      <c r="L562" s="71"/>
      <c r="M562" s="72"/>
      <c r="N562" s="72"/>
      <c r="O562" s="73"/>
      <c r="P562" s="74"/>
      <c r="Q562" s="74"/>
      <c r="R562" s="87"/>
      <c r="S562" s="87"/>
      <c r="T562" s="87"/>
      <c r="U562" s="87"/>
      <c r="V562" s="48"/>
      <c r="W562" s="48"/>
      <c r="X562" s="48"/>
      <c r="Y562" s="48"/>
      <c r="Z562" s="47"/>
      <c r="AA562" s="69">
        <v>562</v>
      </c>
      <c r="AB562" s="69"/>
      <c r="AC562" s="70"/>
      <c r="AD562" s="76" t="s">
        <v>21799</v>
      </c>
      <c r="AE562" s="81" t="s">
        <v>20687</v>
      </c>
      <c r="AF562" s="76">
        <v>1263</v>
      </c>
      <c r="AG562" s="76">
        <v>30</v>
      </c>
      <c r="AH562" s="76">
        <v>3543</v>
      </c>
      <c r="AI562" s="76">
        <v>2</v>
      </c>
      <c r="AJ562" s="76">
        <v>4</v>
      </c>
      <c r="AK562" s="76">
        <v>1334</v>
      </c>
      <c r="AL562" s="76" t="b">
        <v>0</v>
      </c>
      <c r="AM562" s="78">
        <v>44309.834710648145</v>
      </c>
      <c r="AN562" s="76"/>
      <c r="AO562" s="76" t="s">
        <v>25212</v>
      </c>
      <c r="AP562" s="76"/>
      <c r="AQ562" s="76"/>
      <c r="AR562" s="76"/>
      <c r="AS562" s="76"/>
      <c r="AT562" s="76"/>
      <c r="AU562" s="76"/>
      <c r="AV562" s="76">
        <v>1.6693259074152499E+18</v>
      </c>
      <c r="AW562" s="76"/>
      <c r="AX562" s="76" t="b">
        <v>1</v>
      </c>
      <c r="AY562" s="76"/>
      <c r="AZ562" s="76"/>
      <c r="BA562" s="76" t="b">
        <v>0</v>
      </c>
      <c r="BB562" s="76" t="b">
        <v>0</v>
      </c>
      <c r="BC562" s="76" t="b">
        <v>1</v>
      </c>
      <c r="BD562" s="76" t="b">
        <v>0</v>
      </c>
      <c r="BE562" s="76" t="b">
        <v>0</v>
      </c>
      <c r="BF562" s="76" t="b">
        <v>0</v>
      </c>
      <c r="BG562" s="76" t="b">
        <v>0</v>
      </c>
      <c r="BH562" s="82" t="str">
        <f>HYPERLINK("https://pbs.twimg.com/profile_banners/1385685363952324609/1685586420")</f>
        <v>https://pbs.twimg.com/profile_banners/1385685363952324609/1685586420</v>
      </c>
      <c r="BI562" s="76"/>
      <c r="BJ562" s="76" t="s">
        <v>27595</v>
      </c>
      <c r="BK562" s="76" t="b">
        <v>0</v>
      </c>
      <c r="BL562" s="76"/>
      <c r="BM562" s="76" t="s">
        <v>66</v>
      </c>
      <c r="BN562" s="76" t="s">
        <v>27597</v>
      </c>
      <c r="BO562" s="82" t="str">
        <f>HYPERLINK("https://twitter.com/theinfoveritas")</f>
        <v>https://twitter.com/theinfoveritas</v>
      </c>
      <c r="BP562" s="2"/>
    </row>
    <row r="563" spans="1:68" x14ac:dyDescent="0.25">
      <c r="A563" s="62" t="s">
        <v>619</v>
      </c>
      <c r="B563" s="63"/>
      <c r="C563" s="63"/>
      <c r="D563" s="64"/>
      <c r="E563" s="66"/>
      <c r="F563" s="103" t="str">
        <f>HYPERLINK("https://pbs.twimg.com/profile_images/1673699690531913729/T0B-hj8__normal.jpg")</f>
        <v>https://pbs.twimg.com/profile_images/1673699690531913729/T0B-hj8__normal.jpg</v>
      </c>
      <c r="G563" s="63"/>
      <c r="H563" s="67"/>
      <c r="I563" s="68"/>
      <c r="J563" s="68"/>
      <c r="K563" s="67" t="s">
        <v>28157</v>
      </c>
      <c r="L563" s="71"/>
      <c r="M563" s="72"/>
      <c r="N563" s="72"/>
      <c r="O563" s="73"/>
      <c r="P563" s="74"/>
      <c r="Q563" s="74"/>
      <c r="R563" s="87"/>
      <c r="S563" s="87"/>
      <c r="T563" s="87"/>
      <c r="U563" s="87"/>
      <c r="V563" s="48"/>
      <c r="W563" s="48"/>
      <c r="X563" s="48"/>
      <c r="Y563" s="48"/>
      <c r="Z563" s="47"/>
      <c r="AA563" s="69">
        <v>563</v>
      </c>
      <c r="AB563" s="69"/>
      <c r="AC563" s="70"/>
      <c r="AD563" s="76" t="s">
        <v>21800</v>
      </c>
      <c r="AE563" s="81" t="s">
        <v>23364</v>
      </c>
      <c r="AF563" s="76">
        <v>1038</v>
      </c>
      <c r="AG563" s="76">
        <v>1394</v>
      </c>
      <c r="AH563" s="76">
        <v>5994</v>
      </c>
      <c r="AI563" s="76">
        <v>32</v>
      </c>
      <c r="AJ563" s="76">
        <v>71</v>
      </c>
      <c r="AK563" s="76">
        <v>772</v>
      </c>
      <c r="AL563" s="76" t="b">
        <v>0</v>
      </c>
      <c r="AM563" s="78">
        <v>40302.63658564815</v>
      </c>
      <c r="AN563" s="76" t="s">
        <v>24063</v>
      </c>
      <c r="AO563" s="76" t="s">
        <v>25213</v>
      </c>
      <c r="AP563" s="82" t="str">
        <f>HYPERLINK("https://t.co/poT3lrnvKK")</f>
        <v>https://t.co/poT3lrnvKK</v>
      </c>
      <c r="AQ563" s="82" t="str">
        <f>HYPERLINK("http://www.noriegagroup.com")</f>
        <v>http://www.noriegagroup.com</v>
      </c>
      <c r="AR563" s="76" t="s">
        <v>26676</v>
      </c>
      <c r="AS563" s="76"/>
      <c r="AT563" s="76"/>
      <c r="AU563" s="76"/>
      <c r="AV563" s="76"/>
      <c r="AW563" s="82" t="str">
        <f>HYPERLINK("https://t.co/poT3lrnvKK")</f>
        <v>https://t.co/poT3lrnvKK</v>
      </c>
      <c r="AX563" s="76" t="b">
        <v>1</v>
      </c>
      <c r="AY563" s="76"/>
      <c r="AZ563" s="76"/>
      <c r="BA563" s="76" t="b">
        <v>1</v>
      </c>
      <c r="BB563" s="76" t="b">
        <v>1</v>
      </c>
      <c r="BC563" s="76" t="b">
        <v>0</v>
      </c>
      <c r="BD563" s="76" t="b">
        <v>0</v>
      </c>
      <c r="BE563" s="76" t="b">
        <v>0</v>
      </c>
      <c r="BF563" s="76" t="b">
        <v>0</v>
      </c>
      <c r="BG563" s="76" t="b">
        <v>0</v>
      </c>
      <c r="BH563" s="82" t="str">
        <f>HYPERLINK("https://pbs.twimg.com/profile_banners/140094070/1684280068")</f>
        <v>https://pbs.twimg.com/profile_banners/140094070/1684280068</v>
      </c>
      <c r="BI563" s="76"/>
      <c r="BJ563" s="76" t="s">
        <v>27595</v>
      </c>
      <c r="BK563" s="76" t="b">
        <v>0</v>
      </c>
      <c r="BL563" s="76"/>
      <c r="BM563" s="76" t="s">
        <v>66</v>
      </c>
      <c r="BN563" s="76" t="s">
        <v>27597</v>
      </c>
      <c r="BO563" s="82" t="str">
        <f>HYPERLINK("https://twitter.com/noriegagroup")</f>
        <v>https://twitter.com/noriegagroup</v>
      </c>
      <c r="BP563" s="2"/>
    </row>
    <row r="564" spans="1:68" x14ac:dyDescent="0.25">
      <c r="A564" s="62" t="s">
        <v>620</v>
      </c>
      <c r="B564" s="63"/>
      <c r="C564" s="63"/>
      <c r="D564" s="64"/>
      <c r="E564" s="66"/>
      <c r="F564" s="103" t="str">
        <f>HYPERLINK("https://pbs.twimg.com/profile_images/1661767209159479296/Sbr91vn9_normal.png")</f>
        <v>https://pbs.twimg.com/profile_images/1661767209159479296/Sbr91vn9_normal.png</v>
      </c>
      <c r="G564" s="63"/>
      <c r="H564" s="67"/>
      <c r="I564" s="68"/>
      <c r="J564" s="68"/>
      <c r="K564" s="67" t="s">
        <v>28158</v>
      </c>
      <c r="L564" s="71"/>
      <c r="M564" s="72"/>
      <c r="N564" s="72"/>
      <c r="O564" s="73"/>
      <c r="P564" s="74"/>
      <c r="Q564" s="74"/>
      <c r="R564" s="87"/>
      <c r="S564" s="87"/>
      <c r="T564" s="87"/>
      <c r="U564" s="87"/>
      <c r="V564" s="48"/>
      <c r="W564" s="48"/>
      <c r="X564" s="48"/>
      <c r="Y564" s="48"/>
      <c r="Z564" s="47"/>
      <c r="AA564" s="69">
        <v>564</v>
      </c>
      <c r="AB564" s="69"/>
      <c r="AC564" s="70"/>
      <c r="AD564" s="76" t="s">
        <v>21801</v>
      </c>
      <c r="AE564" s="81" t="s">
        <v>20688</v>
      </c>
      <c r="AF564" s="76">
        <v>2</v>
      </c>
      <c r="AG564" s="76">
        <v>10</v>
      </c>
      <c r="AH564" s="76">
        <v>202</v>
      </c>
      <c r="AI564" s="76">
        <v>1</v>
      </c>
      <c r="AJ564" s="76">
        <v>17</v>
      </c>
      <c r="AK564" s="76">
        <v>0</v>
      </c>
      <c r="AL564" s="76" t="b">
        <v>0</v>
      </c>
      <c r="AM564" s="78">
        <v>45071.675358796296</v>
      </c>
      <c r="AN564" s="76"/>
      <c r="AO564" s="76"/>
      <c r="AP564" s="76"/>
      <c r="AQ564" s="76"/>
      <c r="AR564" s="76"/>
      <c r="AS564" s="76"/>
      <c r="AT564" s="76"/>
      <c r="AU564" s="76"/>
      <c r="AV564" s="76"/>
      <c r="AW564" s="76"/>
      <c r="AX564" s="76" t="b">
        <v>0</v>
      </c>
      <c r="AY564" s="76"/>
      <c r="AZ564" s="76"/>
      <c r="BA564" s="76" t="b">
        <v>0</v>
      </c>
      <c r="BB564" s="76" t="b">
        <v>1</v>
      </c>
      <c r="BC564" s="76" t="b">
        <v>1</v>
      </c>
      <c r="BD564" s="76" t="b">
        <v>0</v>
      </c>
      <c r="BE564" s="76" t="b">
        <v>0</v>
      </c>
      <c r="BF564" s="76" t="b">
        <v>0</v>
      </c>
      <c r="BG564" s="76" t="b">
        <v>0</v>
      </c>
      <c r="BH564" s="76"/>
      <c r="BI564" s="76"/>
      <c r="BJ564" s="76" t="s">
        <v>27595</v>
      </c>
      <c r="BK564" s="76" t="b">
        <v>0</v>
      </c>
      <c r="BL564" s="76"/>
      <c r="BM564" s="76" t="s">
        <v>66</v>
      </c>
      <c r="BN564" s="76" t="s">
        <v>27597</v>
      </c>
      <c r="BO564" s="82" t="str">
        <f>HYPERLINK("https://twitter.com/jorgeoscar9909")</f>
        <v>https://twitter.com/jorgeoscar9909</v>
      </c>
      <c r="BP564" s="2"/>
    </row>
    <row r="565" spans="1:68" x14ac:dyDescent="0.25">
      <c r="A565" s="62" t="s">
        <v>1149</v>
      </c>
      <c r="B565" s="63"/>
      <c r="C565" s="63"/>
      <c r="D565" s="64"/>
      <c r="E565" s="66"/>
      <c r="F565" s="103" t="str">
        <f>HYPERLINK("https://pbs.twimg.com/profile_images/1686066444893634572/KwoXd4OH_normal.jpg")</f>
        <v>https://pbs.twimg.com/profile_images/1686066444893634572/KwoXd4OH_normal.jpg</v>
      </c>
      <c r="G565" s="63"/>
      <c r="H565" s="67"/>
      <c r="I565" s="68"/>
      <c r="J565" s="68"/>
      <c r="K565" s="67" t="s">
        <v>28159</v>
      </c>
      <c r="L565" s="71"/>
      <c r="M565" s="72"/>
      <c r="N565" s="72"/>
      <c r="O565" s="73"/>
      <c r="P565" s="74"/>
      <c r="Q565" s="74"/>
      <c r="R565" s="87"/>
      <c r="S565" s="87"/>
      <c r="T565" s="87"/>
      <c r="U565" s="87"/>
      <c r="V565" s="48"/>
      <c r="W565" s="48"/>
      <c r="X565" s="48"/>
      <c r="Y565" s="48"/>
      <c r="Z565" s="47"/>
      <c r="AA565" s="69">
        <v>565</v>
      </c>
      <c r="AB565" s="69"/>
      <c r="AC565" s="70"/>
      <c r="AD565" s="76" t="s">
        <v>21802</v>
      </c>
      <c r="AE565" s="81" t="s">
        <v>20953</v>
      </c>
      <c r="AF565" s="76">
        <v>235912</v>
      </c>
      <c r="AG565" s="76">
        <v>518</v>
      </c>
      <c r="AH565" s="76">
        <v>31119</v>
      </c>
      <c r="AI565" s="76">
        <v>357</v>
      </c>
      <c r="AJ565" s="76">
        <v>6836</v>
      </c>
      <c r="AK565" s="76">
        <v>5144</v>
      </c>
      <c r="AL565" s="76" t="b">
        <v>0</v>
      </c>
      <c r="AM565" s="78">
        <v>43741.611620370371</v>
      </c>
      <c r="AN565" s="76" t="s">
        <v>24124</v>
      </c>
      <c r="AO565" s="76" t="s">
        <v>25214</v>
      </c>
      <c r="AP565" s="82" t="str">
        <f>HYPERLINK("https://t.co/G4ugqjcce8")</f>
        <v>https://t.co/G4ugqjcce8</v>
      </c>
      <c r="AQ565" s="82" t="str">
        <f>HYPERLINK("http://www.cubadebate.cu")</f>
        <v>http://www.cubadebate.cu</v>
      </c>
      <c r="AR565" s="76" t="s">
        <v>8710</v>
      </c>
      <c r="AS565" s="76"/>
      <c r="AT565" s="76"/>
      <c r="AU565" s="76"/>
      <c r="AV565" s="76"/>
      <c r="AW565" s="82" t="str">
        <f>HYPERLINK("https://t.co/G4ugqjcce8")</f>
        <v>https://t.co/G4ugqjcce8</v>
      </c>
      <c r="AX565" s="76" t="b">
        <v>0</v>
      </c>
      <c r="AY565" s="76"/>
      <c r="AZ565" s="76"/>
      <c r="BA565" s="76" t="b">
        <v>0</v>
      </c>
      <c r="BB565" s="76" t="b">
        <v>1</v>
      </c>
      <c r="BC565" s="76" t="b">
        <v>1</v>
      </c>
      <c r="BD565" s="76" t="b">
        <v>0</v>
      </c>
      <c r="BE565" s="76" t="b">
        <v>0</v>
      </c>
      <c r="BF565" s="76" t="b">
        <v>0</v>
      </c>
      <c r="BG565" s="76" t="b">
        <v>0</v>
      </c>
      <c r="BH565" s="82" t="str">
        <f>HYPERLINK("https://pbs.twimg.com/profile_banners/1179768099442171910/1661013272")</f>
        <v>https://pbs.twimg.com/profile_banners/1179768099442171910/1661013272</v>
      </c>
      <c r="BI565" s="76"/>
      <c r="BJ565" s="76" t="s">
        <v>27595</v>
      </c>
      <c r="BK565" s="76" t="b">
        <v>0</v>
      </c>
      <c r="BL565" s="76"/>
      <c r="BM565" s="76" t="s">
        <v>66</v>
      </c>
      <c r="BN565" s="76" t="s">
        <v>27597</v>
      </c>
      <c r="BO565" s="82" t="str">
        <f>HYPERLINK("https://twitter.com/cubadebatecu")</f>
        <v>https://twitter.com/cubadebatecu</v>
      </c>
      <c r="BP565" s="2"/>
    </row>
    <row r="566" spans="1:68" x14ac:dyDescent="0.25">
      <c r="A566" s="62" t="s">
        <v>621</v>
      </c>
      <c r="B566" s="63"/>
      <c r="C566" s="63"/>
      <c r="D566" s="64"/>
      <c r="E566" s="66"/>
      <c r="F566" s="103" t="str">
        <f>HYPERLINK("https://pbs.twimg.com/profile_images/1603570520410185731/SdEVxpE9_normal.jpg")</f>
        <v>https://pbs.twimg.com/profile_images/1603570520410185731/SdEVxpE9_normal.jpg</v>
      </c>
      <c r="G566" s="63"/>
      <c r="H566" s="67"/>
      <c r="I566" s="68"/>
      <c r="J566" s="68"/>
      <c r="K566" s="67" t="s">
        <v>28160</v>
      </c>
      <c r="L566" s="71"/>
      <c r="M566" s="72"/>
      <c r="N566" s="72"/>
      <c r="O566" s="73"/>
      <c r="P566" s="74"/>
      <c r="Q566" s="74"/>
      <c r="R566" s="87"/>
      <c r="S566" s="87"/>
      <c r="T566" s="87"/>
      <c r="U566" s="87"/>
      <c r="V566" s="48"/>
      <c r="W566" s="48"/>
      <c r="X566" s="48"/>
      <c r="Y566" s="48"/>
      <c r="Z566" s="47"/>
      <c r="AA566" s="69">
        <v>566</v>
      </c>
      <c r="AB566" s="69"/>
      <c r="AC566" s="70"/>
      <c r="AD566" s="76" t="s">
        <v>21803</v>
      </c>
      <c r="AE566" s="81" t="s">
        <v>23365</v>
      </c>
      <c r="AF566" s="76">
        <v>911748</v>
      </c>
      <c r="AG566" s="76">
        <v>117</v>
      </c>
      <c r="AH566" s="76">
        <v>275395</v>
      </c>
      <c r="AI566" s="76">
        <v>2450</v>
      </c>
      <c r="AJ566" s="76">
        <v>790</v>
      </c>
      <c r="AK566" s="76">
        <v>16667</v>
      </c>
      <c r="AL566" s="76" t="b">
        <v>0</v>
      </c>
      <c r="AM566" s="78">
        <v>39779.467719907407</v>
      </c>
      <c r="AN566" s="76"/>
      <c r="AO566" s="76" t="s">
        <v>25215</v>
      </c>
      <c r="AP566" s="76"/>
      <c r="AQ566" s="76"/>
      <c r="AR566" s="76"/>
      <c r="AS566" s="76"/>
      <c r="AT566" s="76"/>
      <c r="AU566" s="76"/>
      <c r="AV566" s="76">
        <v>1.70529181056045E+18</v>
      </c>
      <c r="AW566" s="76"/>
      <c r="AX566" s="76" t="b">
        <v>1</v>
      </c>
      <c r="AY566" s="76"/>
      <c r="AZ566" s="76"/>
      <c r="BA566" s="76" t="b">
        <v>0</v>
      </c>
      <c r="BB566" s="76" t="b">
        <v>1</v>
      </c>
      <c r="BC566" s="76" t="b">
        <v>0</v>
      </c>
      <c r="BD566" s="76" t="b">
        <v>0</v>
      </c>
      <c r="BE566" s="76" t="b">
        <v>1</v>
      </c>
      <c r="BF566" s="76" t="b">
        <v>0</v>
      </c>
      <c r="BG566" s="76" t="b">
        <v>0</v>
      </c>
      <c r="BH566" s="82" t="str">
        <f>HYPERLINK("https://pbs.twimg.com/profile_banners/17675497/1675194524")</f>
        <v>https://pbs.twimg.com/profile_banners/17675497/1675194524</v>
      </c>
      <c r="BI566" s="76"/>
      <c r="BJ566" s="76" t="s">
        <v>27595</v>
      </c>
      <c r="BK566" s="76" t="b">
        <v>0</v>
      </c>
      <c r="BL566" s="76"/>
      <c r="BM566" s="76" t="s">
        <v>66</v>
      </c>
      <c r="BN566" s="76" t="s">
        <v>27597</v>
      </c>
      <c r="BO566" s="82" t="str">
        <f>HYPERLINK("https://twitter.com/jornalodia")</f>
        <v>https://twitter.com/jornalodia</v>
      </c>
      <c r="BP566" s="2"/>
    </row>
    <row r="567" spans="1:68" x14ac:dyDescent="0.25">
      <c r="A567" s="62" t="s">
        <v>622</v>
      </c>
      <c r="B567" s="63"/>
      <c r="C567" s="63"/>
      <c r="D567" s="64"/>
      <c r="E567" s="66"/>
      <c r="F567" s="103" t="str">
        <f>HYPERLINK("https://pbs.twimg.com/profile_images/1641465538059665410/f1Mn1wFs_normal.jpg")</f>
        <v>https://pbs.twimg.com/profile_images/1641465538059665410/f1Mn1wFs_normal.jpg</v>
      </c>
      <c r="G567" s="63"/>
      <c r="H567" s="67"/>
      <c r="I567" s="68"/>
      <c r="J567" s="68"/>
      <c r="K567" s="67" t="s">
        <v>28161</v>
      </c>
      <c r="L567" s="71"/>
      <c r="M567" s="72"/>
      <c r="N567" s="72"/>
      <c r="O567" s="73"/>
      <c r="P567" s="74"/>
      <c r="Q567" s="74"/>
      <c r="R567" s="87"/>
      <c r="S567" s="87"/>
      <c r="T567" s="87"/>
      <c r="U567" s="87"/>
      <c r="V567" s="48"/>
      <c r="W567" s="48"/>
      <c r="X567" s="48"/>
      <c r="Y567" s="48"/>
      <c r="Z567" s="47"/>
      <c r="AA567" s="69">
        <v>567</v>
      </c>
      <c r="AB567" s="69"/>
      <c r="AC567" s="70"/>
      <c r="AD567" s="76" t="s">
        <v>21804</v>
      </c>
      <c r="AE567" s="81" t="s">
        <v>23366</v>
      </c>
      <c r="AF567" s="76">
        <v>72340</v>
      </c>
      <c r="AG567" s="76">
        <v>564</v>
      </c>
      <c r="AH567" s="76">
        <v>36417</v>
      </c>
      <c r="AI567" s="76">
        <v>444</v>
      </c>
      <c r="AJ567" s="76">
        <v>22</v>
      </c>
      <c r="AK567" s="76">
        <v>16971</v>
      </c>
      <c r="AL567" s="76" t="b">
        <v>0</v>
      </c>
      <c r="AM567" s="78">
        <v>39932.660312499997</v>
      </c>
      <c r="AN567" s="76" t="s">
        <v>14490</v>
      </c>
      <c r="AO567" s="76" t="s">
        <v>25216</v>
      </c>
      <c r="AP567" s="82" t="str">
        <f>HYPERLINK("https://t.co/iqlxuNVLrw")</f>
        <v>https://t.co/iqlxuNVLrw</v>
      </c>
      <c r="AQ567" s="82" t="str">
        <f>HYPERLINK("http://www.radio.camara.leg.br")</f>
        <v>http://www.radio.camara.leg.br</v>
      </c>
      <c r="AR567" s="76" t="s">
        <v>26677</v>
      </c>
      <c r="AS567" s="76"/>
      <c r="AT567" s="76"/>
      <c r="AU567" s="76"/>
      <c r="AV567" s="76"/>
      <c r="AW567" s="82" t="str">
        <f>HYPERLINK("https://t.co/iqlxuNVLrw")</f>
        <v>https://t.co/iqlxuNVLrw</v>
      </c>
      <c r="AX567" s="76" t="b">
        <v>0</v>
      </c>
      <c r="AY567" s="76"/>
      <c r="AZ567" s="76"/>
      <c r="BA567" s="76" t="b">
        <v>0</v>
      </c>
      <c r="BB567" s="76" t="b">
        <v>0</v>
      </c>
      <c r="BC567" s="76" t="b">
        <v>0</v>
      </c>
      <c r="BD567" s="76" t="b">
        <v>0</v>
      </c>
      <c r="BE567" s="76" t="b">
        <v>0</v>
      </c>
      <c r="BF567" s="76" t="b">
        <v>0</v>
      </c>
      <c r="BG567" s="76" t="b">
        <v>0</v>
      </c>
      <c r="BH567" s="82" t="str">
        <f>HYPERLINK("https://pbs.twimg.com/profile_banners/36390281/1593173690")</f>
        <v>https://pbs.twimg.com/profile_banners/36390281/1593173690</v>
      </c>
      <c r="BI567" s="76"/>
      <c r="BJ567" s="76" t="s">
        <v>27595</v>
      </c>
      <c r="BK567" s="76" t="b">
        <v>0</v>
      </c>
      <c r="BL567" s="76"/>
      <c r="BM567" s="76" t="s">
        <v>66</v>
      </c>
      <c r="BN567" s="76" t="s">
        <v>27597</v>
      </c>
      <c r="BO567" s="82" t="str">
        <f>HYPERLINK("https://twitter.com/radiocamara")</f>
        <v>https://twitter.com/radiocamara</v>
      </c>
      <c r="BP567" s="2"/>
    </row>
    <row r="568" spans="1:68" x14ac:dyDescent="0.25">
      <c r="A568" s="62" t="s">
        <v>623</v>
      </c>
      <c r="B568" s="63"/>
      <c r="C568" s="63"/>
      <c r="D568" s="64"/>
      <c r="E568" s="66"/>
      <c r="F568" s="103" t="str">
        <f>HYPERLINK("https://pbs.twimg.com/profile_images/1705573814283706368/2w-jWHL7_normal.jpg")</f>
        <v>https://pbs.twimg.com/profile_images/1705573814283706368/2w-jWHL7_normal.jpg</v>
      </c>
      <c r="G568" s="63"/>
      <c r="H568" s="67"/>
      <c r="I568" s="68"/>
      <c r="J568" s="68"/>
      <c r="K568" s="67" t="s">
        <v>28162</v>
      </c>
      <c r="L568" s="71"/>
      <c r="M568" s="72"/>
      <c r="N568" s="72"/>
      <c r="O568" s="73"/>
      <c r="P568" s="74"/>
      <c r="Q568" s="74"/>
      <c r="R568" s="87"/>
      <c r="S568" s="87"/>
      <c r="T568" s="87"/>
      <c r="U568" s="87"/>
      <c r="V568" s="48"/>
      <c r="W568" s="48"/>
      <c r="X568" s="48"/>
      <c r="Y568" s="48"/>
      <c r="Z568" s="47"/>
      <c r="AA568" s="69">
        <v>568</v>
      </c>
      <c r="AB568" s="69"/>
      <c r="AC568" s="70"/>
      <c r="AD568" s="76" t="s">
        <v>21805</v>
      </c>
      <c r="AE568" s="81" t="s">
        <v>20689</v>
      </c>
      <c r="AF568" s="76">
        <v>26271</v>
      </c>
      <c r="AG568" s="76">
        <v>27660</v>
      </c>
      <c r="AH568" s="76">
        <v>194223</v>
      </c>
      <c r="AI568" s="76">
        <v>13</v>
      </c>
      <c r="AJ568" s="76">
        <v>205268</v>
      </c>
      <c r="AK568" s="76">
        <v>10550</v>
      </c>
      <c r="AL568" s="76" t="b">
        <v>0</v>
      </c>
      <c r="AM568" s="78">
        <v>42567.958101851851</v>
      </c>
      <c r="AN568" s="76" t="s">
        <v>24276</v>
      </c>
      <c r="AO568" s="76" t="s">
        <v>25217</v>
      </c>
      <c r="AP568" s="82" t="str">
        <f>HYPERLINK("https://t.co/eJyr16hkf0")</f>
        <v>https://t.co/eJyr16hkf0</v>
      </c>
      <c r="AQ568" s="82" t="str">
        <f>HYPERLINK("https://estefanolopesoficial.wordpress.com/")</f>
        <v>https://estefanolopesoficial.wordpress.com/</v>
      </c>
      <c r="AR568" s="76" t="s">
        <v>26678</v>
      </c>
      <c r="AS568" s="76"/>
      <c r="AT568" s="76"/>
      <c r="AU568" s="76"/>
      <c r="AV568" s="76">
        <v>1.7072078639600599E+18</v>
      </c>
      <c r="AW568" s="82" t="str">
        <f>HYPERLINK("https://t.co/eJyr16hkf0")</f>
        <v>https://t.co/eJyr16hkf0</v>
      </c>
      <c r="AX568" s="76" t="b">
        <v>0</v>
      </c>
      <c r="AY568" s="76"/>
      <c r="AZ568" s="76"/>
      <c r="BA568" s="76" t="b">
        <v>1</v>
      </c>
      <c r="BB568" s="76" t="b">
        <v>0</v>
      </c>
      <c r="BC568" s="76" t="b">
        <v>1</v>
      </c>
      <c r="BD568" s="76" t="b">
        <v>0</v>
      </c>
      <c r="BE568" s="76" t="b">
        <v>1</v>
      </c>
      <c r="BF568" s="76" t="b">
        <v>0</v>
      </c>
      <c r="BG568" s="76" t="b">
        <v>0</v>
      </c>
      <c r="BH568" s="82" t="str">
        <f>HYPERLINK("https://pbs.twimg.com/profile_banners/754450453778272256/1695475460")</f>
        <v>https://pbs.twimg.com/profile_banners/754450453778272256/1695475460</v>
      </c>
      <c r="BI568" s="76"/>
      <c r="BJ568" s="76" t="s">
        <v>27595</v>
      </c>
      <c r="BK568" s="76" t="b">
        <v>0</v>
      </c>
      <c r="BL568" s="76"/>
      <c r="BM568" s="76" t="s">
        <v>66</v>
      </c>
      <c r="BN568" s="76" t="s">
        <v>27597</v>
      </c>
      <c r="BO568" s="82" t="str">
        <f>HYPERLINK("https://twitter.com/agentedel1984")</f>
        <v>https://twitter.com/agentedel1984</v>
      </c>
      <c r="BP568" s="2"/>
    </row>
    <row r="569" spans="1:68" x14ac:dyDescent="0.25">
      <c r="A569" s="62" t="s">
        <v>624</v>
      </c>
      <c r="B569" s="63"/>
      <c r="C569" s="63"/>
      <c r="D569" s="64"/>
      <c r="E569" s="66"/>
      <c r="F569" s="103" t="str">
        <f>HYPERLINK("https://pbs.twimg.com/profile_images/1513691260833382409/pqGb9IqL_normal.jpg")</f>
        <v>https://pbs.twimg.com/profile_images/1513691260833382409/pqGb9IqL_normal.jpg</v>
      </c>
      <c r="G569" s="63"/>
      <c r="H569" s="67"/>
      <c r="I569" s="68"/>
      <c r="J569" s="68"/>
      <c r="K569" s="67" t="s">
        <v>28163</v>
      </c>
      <c r="L569" s="71"/>
      <c r="M569" s="72"/>
      <c r="N569" s="72"/>
      <c r="O569" s="73"/>
      <c r="P569" s="74"/>
      <c r="Q569" s="74"/>
      <c r="R569" s="87"/>
      <c r="S569" s="87"/>
      <c r="T569" s="87"/>
      <c r="U569" s="87"/>
      <c r="V569" s="48"/>
      <c r="W569" s="48"/>
      <c r="X569" s="48"/>
      <c r="Y569" s="48"/>
      <c r="Z569" s="47"/>
      <c r="AA569" s="69">
        <v>569</v>
      </c>
      <c r="AB569" s="69"/>
      <c r="AC569" s="70"/>
      <c r="AD569" s="76" t="s">
        <v>21806</v>
      </c>
      <c r="AE569" s="81" t="s">
        <v>23367</v>
      </c>
      <c r="AF569" s="76">
        <v>5129</v>
      </c>
      <c r="AG569" s="76">
        <v>4277</v>
      </c>
      <c r="AH569" s="76">
        <v>12731</v>
      </c>
      <c r="AI569" s="76">
        <v>28</v>
      </c>
      <c r="AJ569" s="76">
        <v>13656</v>
      </c>
      <c r="AK569" s="76">
        <v>3209</v>
      </c>
      <c r="AL569" s="76" t="b">
        <v>0</v>
      </c>
      <c r="AM569" s="78">
        <v>41331.628460648149</v>
      </c>
      <c r="AN569" s="76"/>
      <c r="AO569" s="76" t="s">
        <v>25218</v>
      </c>
      <c r="AP569" s="76"/>
      <c r="AQ569" s="76"/>
      <c r="AR569" s="76"/>
      <c r="AS569" s="76"/>
      <c r="AT569" s="76"/>
      <c r="AU569" s="76"/>
      <c r="AV569" s="76"/>
      <c r="AW569" s="76"/>
      <c r="AX569" s="76" t="b">
        <v>0</v>
      </c>
      <c r="AY569" s="76"/>
      <c r="AZ569" s="76"/>
      <c r="BA569" s="76" t="b">
        <v>0</v>
      </c>
      <c r="BB569" s="76" t="b">
        <v>1</v>
      </c>
      <c r="BC569" s="76" t="b">
        <v>0</v>
      </c>
      <c r="BD569" s="76" t="b">
        <v>0</v>
      </c>
      <c r="BE569" s="76" t="b">
        <v>1</v>
      </c>
      <c r="BF569" s="76" t="b">
        <v>0</v>
      </c>
      <c r="BG569" s="76" t="b">
        <v>0</v>
      </c>
      <c r="BH569" s="82" t="str">
        <f>HYPERLINK("https://pbs.twimg.com/profile_banners/1222046371/1572536242")</f>
        <v>https://pbs.twimg.com/profile_banners/1222046371/1572536242</v>
      </c>
      <c r="BI569" s="76"/>
      <c r="BJ569" s="76" t="s">
        <v>27595</v>
      </c>
      <c r="BK569" s="76" t="b">
        <v>0</v>
      </c>
      <c r="BL569" s="76"/>
      <c r="BM569" s="76" t="s">
        <v>66</v>
      </c>
      <c r="BN569" s="76" t="s">
        <v>27597</v>
      </c>
      <c r="BO569" s="82" t="str">
        <f>HYPERLINK("https://twitter.com/podemossenado")</f>
        <v>https://twitter.com/podemossenado</v>
      </c>
      <c r="BP569" s="2"/>
    </row>
    <row r="570" spans="1:68" x14ac:dyDescent="0.25">
      <c r="A570" s="62" t="s">
        <v>1822</v>
      </c>
      <c r="B570" s="63"/>
      <c r="C570" s="63"/>
      <c r="D570" s="64"/>
      <c r="E570" s="66"/>
      <c r="F570" s="103" t="str">
        <f>HYPERLINK("https://pbs.twimg.com/profile_images/1686368514720813056/Xs8MozT8_normal.jpg")</f>
        <v>https://pbs.twimg.com/profile_images/1686368514720813056/Xs8MozT8_normal.jpg</v>
      </c>
      <c r="G570" s="63"/>
      <c r="H570" s="67"/>
      <c r="I570" s="68"/>
      <c r="J570" s="68"/>
      <c r="K570" s="67" t="s">
        <v>28164</v>
      </c>
      <c r="L570" s="71"/>
      <c r="M570" s="72"/>
      <c r="N570" s="72"/>
      <c r="O570" s="73"/>
      <c r="P570" s="74"/>
      <c r="Q570" s="74"/>
      <c r="R570" s="87"/>
      <c r="S570" s="87"/>
      <c r="T570" s="87"/>
      <c r="U570" s="87"/>
      <c r="V570" s="48"/>
      <c r="W570" s="48"/>
      <c r="X570" s="48"/>
      <c r="Y570" s="48"/>
      <c r="Z570" s="47"/>
      <c r="AA570" s="69">
        <v>570</v>
      </c>
      <c r="AB570" s="69"/>
      <c r="AC570" s="70"/>
      <c r="AD570" s="76" t="s">
        <v>21807</v>
      </c>
      <c r="AE570" s="81" t="s">
        <v>23368</v>
      </c>
      <c r="AF570" s="76">
        <v>32060</v>
      </c>
      <c r="AG570" s="76">
        <v>846</v>
      </c>
      <c r="AH570" s="76">
        <v>3421</v>
      </c>
      <c r="AI570" s="76">
        <v>254</v>
      </c>
      <c r="AJ570" s="76">
        <v>4024</v>
      </c>
      <c r="AK570" s="76">
        <v>790</v>
      </c>
      <c r="AL570" s="76" t="b">
        <v>0</v>
      </c>
      <c r="AM570" s="78">
        <v>43266.551990740743</v>
      </c>
      <c r="AN570" s="76" t="s">
        <v>24277</v>
      </c>
      <c r="AO570" s="76" t="s">
        <v>25219</v>
      </c>
      <c r="AP570" s="82" t="str">
        <f>HYPERLINK("https://t.co/xSYJcJG0qI")</f>
        <v>https://t.co/xSYJcJG0qI</v>
      </c>
      <c r="AQ570" s="82" t="str">
        <f>HYPERLINK("http://www.oriovistoguimaraes.com.br")</f>
        <v>http://www.oriovistoguimaraes.com.br</v>
      </c>
      <c r="AR570" s="76" t="s">
        <v>26679</v>
      </c>
      <c r="AS570" s="76"/>
      <c r="AT570" s="76"/>
      <c r="AU570" s="76"/>
      <c r="AV570" s="76"/>
      <c r="AW570" s="82" t="str">
        <f>HYPERLINK("https://t.co/xSYJcJG0qI")</f>
        <v>https://t.co/xSYJcJG0qI</v>
      </c>
      <c r="AX570" s="76" t="b">
        <v>0</v>
      </c>
      <c r="AY570" s="76"/>
      <c r="AZ570" s="76"/>
      <c r="BA570" s="76" t="b">
        <v>0</v>
      </c>
      <c r="BB570" s="76" t="b">
        <v>0</v>
      </c>
      <c r="BC570" s="76" t="b">
        <v>1</v>
      </c>
      <c r="BD570" s="76" t="b">
        <v>0</v>
      </c>
      <c r="BE570" s="76" t="b">
        <v>0</v>
      </c>
      <c r="BF570" s="76" t="b">
        <v>0</v>
      </c>
      <c r="BG570" s="76" t="b">
        <v>0</v>
      </c>
      <c r="BH570" s="82" t="str">
        <f>HYPERLINK("https://pbs.twimg.com/profile_banners/1007612404484726784/1690901337")</f>
        <v>https://pbs.twimg.com/profile_banners/1007612404484726784/1690901337</v>
      </c>
      <c r="BI570" s="76"/>
      <c r="BJ570" s="76" t="s">
        <v>27595</v>
      </c>
      <c r="BK570" s="76" t="b">
        <v>0</v>
      </c>
      <c r="BL570" s="76"/>
      <c r="BM570" s="76" t="s">
        <v>65</v>
      </c>
      <c r="BN570" s="76" t="s">
        <v>27597</v>
      </c>
      <c r="BO570" s="82" t="str">
        <f>HYPERLINK("https://twitter.com/sen_oriovisto")</f>
        <v>https://twitter.com/sen_oriovisto</v>
      </c>
      <c r="BP570" s="2"/>
    </row>
    <row r="571" spans="1:68" x14ac:dyDescent="0.25">
      <c r="A571" s="62" t="s">
        <v>625</v>
      </c>
      <c r="B571" s="63"/>
      <c r="C571" s="63"/>
      <c r="D571" s="64"/>
      <c r="E571" s="66"/>
      <c r="F571" s="103" t="str">
        <f>HYPERLINK("https://pbs.twimg.com/profile_images/1366102382644506627/zRU7OQGd_normal.jpg")</f>
        <v>https://pbs.twimg.com/profile_images/1366102382644506627/zRU7OQGd_normal.jpg</v>
      </c>
      <c r="G571" s="63"/>
      <c r="H571" s="67"/>
      <c r="I571" s="68"/>
      <c r="J571" s="68"/>
      <c r="K571" s="67" t="s">
        <v>28165</v>
      </c>
      <c r="L571" s="71"/>
      <c r="M571" s="72"/>
      <c r="N571" s="72"/>
      <c r="O571" s="73"/>
      <c r="P571" s="74"/>
      <c r="Q571" s="74"/>
      <c r="R571" s="87"/>
      <c r="S571" s="87"/>
      <c r="T571" s="87"/>
      <c r="U571" s="87"/>
      <c r="V571" s="48"/>
      <c r="W571" s="48"/>
      <c r="X571" s="48"/>
      <c r="Y571" s="48"/>
      <c r="Z571" s="47"/>
      <c r="AA571" s="69">
        <v>571</v>
      </c>
      <c r="AB571" s="69"/>
      <c r="AC571" s="70"/>
      <c r="AD571" s="76" t="s">
        <v>21808</v>
      </c>
      <c r="AE571" s="81" t="s">
        <v>20690</v>
      </c>
      <c r="AF571" s="76">
        <v>25</v>
      </c>
      <c r="AG571" s="76">
        <v>147</v>
      </c>
      <c r="AH571" s="76">
        <v>369</v>
      </c>
      <c r="AI571" s="76">
        <v>0</v>
      </c>
      <c r="AJ571" s="76">
        <v>33</v>
      </c>
      <c r="AK571" s="76">
        <v>69</v>
      </c>
      <c r="AL571" s="76" t="b">
        <v>0</v>
      </c>
      <c r="AM571" s="78">
        <v>43902.556944444441</v>
      </c>
      <c r="AN571" s="76" t="s">
        <v>24278</v>
      </c>
      <c r="AO571" s="76" t="s">
        <v>25220</v>
      </c>
      <c r="AP571" s="76"/>
      <c r="AQ571" s="76"/>
      <c r="AR571" s="76"/>
      <c r="AS571" s="76"/>
      <c r="AT571" s="76"/>
      <c r="AU571" s="76"/>
      <c r="AV571" s="76">
        <v>1.36653153792E+18</v>
      </c>
      <c r="AW571" s="76"/>
      <c r="AX571" s="76" t="b">
        <v>0</v>
      </c>
      <c r="AY571" s="76"/>
      <c r="AZ571" s="76"/>
      <c r="BA571" s="76" t="b">
        <v>0</v>
      </c>
      <c r="BB571" s="76" t="b">
        <v>1</v>
      </c>
      <c r="BC571" s="76" t="b">
        <v>1</v>
      </c>
      <c r="BD571" s="76" t="b">
        <v>0</v>
      </c>
      <c r="BE571" s="76" t="b">
        <v>0</v>
      </c>
      <c r="BF571" s="76" t="b">
        <v>0</v>
      </c>
      <c r="BG571" s="76" t="b">
        <v>0</v>
      </c>
      <c r="BH571" s="82" t="str">
        <f>HYPERLINK("https://pbs.twimg.com/profile_banners/1238092829777420288/1614539165")</f>
        <v>https://pbs.twimg.com/profile_banners/1238092829777420288/1614539165</v>
      </c>
      <c r="BI571" s="76"/>
      <c r="BJ571" s="76" t="s">
        <v>27595</v>
      </c>
      <c r="BK571" s="76" t="b">
        <v>0</v>
      </c>
      <c r="BL571" s="76"/>
      <c r="BM571" s="76" t="s">
        <v>66</v>
      </c>
      <c r="BN571" s="76" t="s">
        <v>27597</v>
      </c>
      <c r="BO571" s="82" t="str">
        <f>HYPERLINK("https://twitter.com/mantenelalinea")</f>
        <v>https://twitter.com/mantenelalinea</v>
      </c>
      <c r="BP571" s="2"/>
    </row>
    <row r="572" spans="1:68" x14ac:dyDescent="0.25">
      <c r="A572" s="62" t="s">
        <v>626</v>
      </c>
      <c r="B572" s="63"/>
      <c r="C572" s="63"/>
      <c r="D572" s="64"/>
      <c r="E572" s="66"/>
      <c r="F572" s="103" t="str">
        <f>HYPERLINK("https://pbs.twimg.com/profile_images/1221623222208167939/gBEiFuCM_normal.jpg")</f>
        <v>https://pbs.twimg.com/profile_images/1221623222208167939/gBEiFuCM_normal.jpg</v>
      </c>
      <c r="G572" s="63"/>
      <c r="H572" s="67"/>
      <c r="I572" s="68"/>
      <c r="J572" s="68"/>
      <c r="K572" s="67" t="s">
        <v>28166</v>
      </c>
      <c r="L572" s="71"/>
      <c r="M572" s="72"/>
      <c r="N572" s="72"/>
      <c r="O572" s="73"/>
      <c r="P572" s="74"/>
      <c r="Q572" s="74"/>
      <c r="R572" s="87"/>
      <c r="S572" s="87"/>
      <c r="T572" s="87"/>
      <c r="U572" s="87"/>
      <c r="V572" s="48"/>
      <c r="W572" s="48"/>
      <c r="X572" s="48"/>
      <c r="Y572" s="48"/>
      <c r="Z572" s="47"/>
      <c r="AA572" s="69">
        <v>572</v>
      </c>
      <c r="AB572" s="69"/>
      <c r="AC572" s="70"/>
      <c r="AD572" s="76" t="s">
        <v>21809</v>
      </c>
      <c r="AE572" s="81" t="s">
        <v>20691</v>
      </c>
      <c r="AF572" s="76">
        <v>27</v>
      </c>
      <c r="AG572" s="76">
        <v>0</v>
      </c>
      <c r="AH572" s="76">
        <v>922</v>
      </c>
      <c r="AI572" s="76">
        <v>0</v>
      </c>
      <c r="AJ572" s="76">
        <v>0</v>
      </c>
      <c r="AK572" s="76">
        <v>919</v>
      </c>
      <c r="AL572" s="76" t="b">
        <v>0</v>
      </c>
      <c r="AM572" s="78">
        <v>43857.106099537035</v>
      </c>
      <c r="AN572" s="76"/>
      <c r="AO572" s="76" t="s">
        <v>25221</v>
      </c>
      <c r="AP572" s="76"/>
      <c r="AQ572" s="76"/>
      <c r="AR572" s="76"/>
      <c r="AS572" s="76"/>
      <c r="AT572" s="76"/>
      <c r="AU572" s="76"/>
      <c r="AV572" s="76"/>
      <c r="AW572" s="76"/>
      <c r="AX572" s="76" t="b">
        <v>0</v>
      </c>
      <c r="AY572" s="76"/>
      <c r="AZ572" s="76"/>
      <c r="BA572" s="76" t="b">
        <v>0</v>
      </c>
      <c r="BB572" s="76" t="b">
        <v>1</v>
      </c>
      <c r="BC572" s="76" t="b">
        <v>1</v>
      </c>
      <c r="BD572" s="76" t="b">
        <v>0</v>
      </c>
      <c r="BE572" s="76" t="b">
        <v>0</v>
      </c>
      <c r="BF572" s="76" t="b">
        <v>0</v>
      </c>
      <c r="BG572" s="76" t="b">
        <v>0</v>
      </c>
      <c r="BH572" s="82" t="str">
        <f>HYPERLINK("https://pbs.twimg.com/profile_banners/1221621620021874688/1674829143")</f>
        <v>https://pbs.twimg.com/profile_banners/1221621620021874688/1674829143</v>
      </c>
      <c r="BI572" s="76"/>
      <c r="BJ572" s="76" t="s">
        <v>27595</v>
      </c>
      <c r="BK572" s="76" t="b">
        <v>0</v>
      </c>
      <c r="BL572" s="76"/>
      <c r="BM572" s="76" t="s">
        <v>66</v>
      </c>
      <c r="BN572" s="76" t="s">
        <v>27597</v>
      </c>
      <c r="BO572" s="82" t="str">
        <f>HYPERLINK("https://twitter.com/banhcafe_hn")</f>
        <v>https://twitter.com/banhcafe_hn</v>
      </c>
      <c r="BP572" s="2"/>
    </row>
    <row r="573" spans="1:68" x14ac:dyDescent="0.25">
      <c r="A573" s="62" t="s">
        <v>627</v>
      </c>
      <c r="B573" s="63"/>
      <c r="C573" s="63"/>
      <c r="D573" s="64"/>
      <c r="E573" s="66"/>
      <c r="F573" s="103" t="str">
        <f>HYPERLINK("https://pbs.twimg.com/profile_images/1681837105729683456/Ujl540Sk_normal.jpg")</f>
        <v>https://pbs.twimg.com/profile_images/1681837105729683456/Ujl540Sk_normal.jpg</v>
      </c>
      <c r="G573" s="63"/>
      <c r="H573" s="67"/>
      <c r="I573" s="68"/>
      <c r="J573" s="68"/>
      <c r="K573" s="67" t="s">
        <v>28167</v>
      </c>
      <c r="L573" s="71"/>
      <c r="M573" s="72"/>
      <c r="N573" s="72"/>
      <c r="O573" s="73"/>
      <c r="P573" s="74"/>
      <c r="Q573" s="74"/>
      <c r="R573" s="87"/>
      <c r="S573" s="87"/>
      <c r="T573" s="87"/>
      <c r="U573" s="87"/>
      <c r="V573" s="48"/>
      <c r="W573" s="48"/>
      <c r="X573" s="48"/>
      <c r="Y573" s="48"/>
      <c r="Z573" s="47"/>
      <c r="AA573" s="69">
        <v>573</v>
      </c>
      <c r="AB573" s="69"/>
      <c r="AC573" s="70"/>
      <c r="AD573" s="76" t="s">
        <v>21810</v>
      </c>
      <c r="AE573" s="81" t="s">
        <v>20692</v>
      </c>
      <c r="AF573" s="76">
        <v>170</v>
      </c>
      <c r="AG573" s="76">
        <v>285</v>
      </c>
      <c r="AH573" s="76">
        <v>5366</v>
      </c>
      <c r="AI573" s="76">
        <v>1</v>
      </c>
      <c r="AJ573" s="76">
        <v>5862</v>
      </c>
      <c r="AK573" s="76">
        <v>427</v>
      </c>
      <c r="AL573" s="76" t="b">
        <v>0</v>
      </c>
      <c r="AM573" s="78">
        <v>43879.723437499997</v>
      </c>
      <c r="AN573" s="76" t="s">
        <v>24279</v>
      </c>
      <c r="AO573" s="76" t="s">
        <v>25222</v>
      </c>
      <c r="AP573" s="82" t="str">
        <f>HYPERLINK("https://t.co/0WWFweDbYm")</f>
        <v>https://t.co/0WWFweDbYm</v>
      </c>
      <c r="AQ573" s="82" t="str">
        <f>HYPERLINK("http://www.marquesereisimoveis.com.br")</f>
        <v>http://www.marquesereisimoveis.com.br</v>
      </c>
      <c r="AR573" s="76" t="s">
        <v>26680</v>
      </c>
      <c r="AS573" s="76"/>
      <c r="AT573" s="76"/>
      <c r="AU573" s="76"/>
      <c r="AV573" s="76"/>
      <c r="AW573" s="82" t="str">
        <f>HYPERLINK("https://t.co/0WWFweDbYm")</f>
        <v>https://t.co/0WWFweDbYm</v>
      </c>
      <c r="AX573" s="76" t="b">
        <v>0</v>
      </c>
      <c r="AY573" s="76"/>
      <c r="AZ573" s="76"/>
      <c r="BA573" s="76" t="b">
        <v>0</v>
      </c>
      <c r="BB573" s="76" t="b">
        <v>1</v>
      </c>
      <c r="BC573" s="76" t="b">
        <v>1</v>
      </c>
      <c r="BD573" s="76" t="b">
        <v>0</v>
      </c>
      <c r="BE573" s="76" t="b">
        <v>1</v>
      </c>
      <c r="BF573" s="76" t="b">
        <v>0</v>
      </c>
      <c r="BG573" s="76" t="b">
        <v>0</v>
      </c>
      <c r="BH573" s="82" t="str">
        <f>HYPERLINK("https://pbs.twimg.com/profile_banners/1229818184594751493/1587209263")</f>
        <v>https://pbs.twimg.com/profile_banners/1229818184594751493/1587209263</v>
      </c>
      <c r="BI573" s="76"/>
      <c r="BJ573" s="76" t="s">
        <v>27595</v>
      </c>
      <c r="BK573" s="76" t="b">
        <v>0</v>
      </c>
      <c r="BL573" s="76"/>
      <c r="BM573" s="76" t="s">
        <v>66</v>
      </c>
      <c r="BN573" s="76" t="s">
        <v>27597</v>
      </c>
      <c r="BO573" s="82" t="str">
        <f>HYPERLINK("https://twitter.com/biancam33772085")</f>
        <v>https://twitter.com/biancam33772085</v>
      </c>
      <c r="BP573" s="2"/>
    </row>
    <row r="574" spans="1:68" x14ac:dyDescent="0.25">
      <c r="A574" s="62" t="s">
        <v>628</v>
      </c>
      <c r="B574" s="63"/>
      <c r="C574" s="63"/>
      <c r="D574" s="64"/>
      <c r="E574" s="66"/>
      <c r="F574" s="103" t="str">
        <f>HYPERLINK("https://pbs.twimg.com/profile_images/1605660312929243138/mPQ6M7ey_normal.jpg")</f>
        <v>https://pbs.twimg.com/profile_images/1605660312929243138/mPQ6M7ey_normal.jpg</v>
      </c>
      <c r="G574" s="63"/>
      <c r="H574" s="67"/>
      <c r="I574" s="68"/>
      <c r="J574" s="68"/>
      <c r="K574" s="67" t="s">
        <v>28168</v>
      </c>
      <c r="L574" s="71"/>
      <c r="M574" s="72"/>
      <c r="N574" s="72"/>
      <c r="O574" s="73"/>
      <c r="P574" s="74"/>
      <c r="Q574" s="74"/>
      <c r="R574" s="87"/>
      <c r="S574" s="87"/>
      <c r="T574" s="87"/>
      <c r="U574" s="87"/>
      <c r="V574" s="48"/>
      <c r="W574" s="48"/>
      <c r="X574" s="48"/>
      <c r="Y574" s="48"/>
      <c r="Z574" s="47"/>
      <c r="AA574" s="69">
        <v>574</v>
      </c>
      <c r="AB574" s="69"/>
      <c r="AC574" s="70"/>
      <c r="AD574" s="76" t="s">
        <v>21811</v>
      </c>
      <c r="AE574" s="81" t="s">
        <v>23369</v>
      </c>
      <c r="AF574" s="76">
        <v>32209</v>
      </c>
      <c r="AG574" s="76">
        <v>708</v>
      </c>
      <c r="AH574" s="76">
        <v>221395</v>
      </c>
      <c r="AI574" s="76">
        <v>209</v>
      </c>
      <c r="AJ574" s="76">
        <v>3613</v>
      </c>
      <c r="AK574" s="76">
        <v>156336</v>
      </c>
      <c r="AL574" s="76" t="b">
        <v>0</v>
      </c>
      <c r="AM574" s="78">
        <v>39930.522152777776</v>
      </c>
      <c r="AN574" s="76" t="s">
        <v>24280</v>
      </c>
      <c r="AO574" s="76" t="s">
        <v>25223</v>
      </c>
      <c r="AP574" s="82" t="str">
        <f>HYPERLINK("https://t.co/ZfbNJDpYKM")</f>
        <v>https://t.co/ZfbNJDpYKM</v>
      </c>
      <c r="AQ574" s="82" t="str">
        <f>HYPERLINK("http://www.lt10.com.ar")</f>
        <v>http://www.lt10.com.ar</v>
      </c>
      <c r="AR574" s="76" t="s">
        <v>26681</v>
      </c>
      <c r="AS574" s="76"/>
      <c r="AT574" s="76"/>
      <c r="AU574" s="76"/>
      <c r="AV574" s="76"/>
      <c r="AW574" s="82" t="str">
        <f>HYPERLINK("https://t.co/ZfbNJDpYKM")</f>
        <v>https://t.co/ZfbNJDpYKM</v>
      </c>
      <c r="AX574" s="76" t="b">
        <v>0</v>
      </c>
      <c r="AY574" s="76"/>
      <c r="AZ574" s="76"/>
      <c r="BA574" s="76" t="b">
        <v>1</v>
      </c>
      <c r="BB574" s="76" t="b">
        <v>1</v>
      </c>
      <c r="BC574" s="76" t="b">
        <v>0</v>
      </c>
      <c r="BD574" s="76" t="b">
        <v>0</v>
      </c>
      <c r="BE574" s="76" t="b">
        <v>1</v>
      </c>
      <c r="BF574" s="76" t="b">
        <v>0</v>
      </c>
      <c r="BG574" s="76" t="b">
        <v>0</v>
      </c>
      <c r="BH574" s="82" t="str">
        <f>HYPERLINK("https://pbs.twimg.com/profile_banners/35729682/1566595480")</f>
        <v>https://pbs.twimg.com/profile_banners/35729682/1566595480</v>
      </c>
      <c r="BI574" s="76"/>
      <c r="BJ574" s="76" t="s">
        <v>27595</v>
      </c>
      <c r="BK574" s="76" t="b">
        <v>0</v>
      </c>
      <c r="BL574" s="76"/>
      <c r="BM574" s="76" t="s">
        <v>66</v>
      </c>
      <c r="BN574" s="76" t="s">
        <v>27597</v>
      </c>
      <c r="BO574" s="82" t="str">
        <f>HYPERLINK("https://twitter.com/radiolt10")</f>
        <v>https://twitter.com/radiolt10</v>
      </c>
      <c r="BP574" s="2"/>
    </row>
    <row r="575" spans="1:68" x14ac:dyDescent="0.25">
      <c r="A575" s="62" t="s">
        <v>629</v>
      </c>
      <c r="B575" s="63"/>
      <c r="C575" s="63"/>
      <c r="D575" s="64"/>
      <c r="E575" s="66"/>
      <c r="F575" s="103" t="str">
        <f>HYPERLINK("https://pbs.twimg.com/profile_images/1660820273128431616/I0toJaPz_normal.jpg")</f>
        <v>https://pbs.twimg.com/profile_images/1660820273128431616/I0toJaPz_normal.jpg</v>
      </c>
      <c r="G575" s="63"/>
      <c r="H575" s="67"/>
      <c r="I575" s="68"/>
      <c r="J575" s="68"/>
      <c r="K575" s="67" t="s">
        <v>28169</v>
      </c>
      <c r="L575" s="71"/>
      <c r="M575" s="72"/>
      <c r="N575" s="72"/>
      <c r="O575" s="73"/>
      <c r="P575" s="74"/>
      <c r="Q575" s="74"/>
      <c r="R575" s="87"/>
      <c r="S575" s="87"/>
      <c r="T575" s="87"/>
      <c r="U575" s="87"/>
      <c r="V575" s="48"/>
      <c r="W575" s="48"/>
      <c r="X575" s="48"/>
      <c r="Y575" s="48"/>
      <c r="Z575" s="47"/>
      <c r="AA575" s="69">
        <v>575</v>
      </c>
      <c r="AB575" s="69"/>
      <c r="AC575" s="70"/>
      <c r="AD575" s="76" t="s">
        <v>21812</v>
      </c>
      <c r="AE575" s="81" t="s">
        <v>23370</v>
      </c>
      <c r="AF575" s="76">
        <v>312</v>
      </c>
      <c r="AG575" s="76">
        <v>691</v>
      </c>
      <c r="AH575" s="76">
        <v>3806</v>
      </c>
      <c r="AI575" s="76">
        <v>3</v>
      </c>
      <c r="AJ575" s="76">
        <v>10726</v>
      </c>
      <c r="AK575" s="76">
        <v>306</v>
      </c>
      <c r="AL575" s="76" t="b">
        <v>0</v>
      </c>
      <c r="AM575" s="78">
        <v>40686.193981481483</v>
      </c>
      <c r="AN575" s="76" t="s">
        <v>24281</v>
      </c>
      <c r="AO575" s="76" t="s">
        <v>25224</v>
      </c>
      <c r="AP575" s="82" t="str">
        <f>HYPERLINK("https://t.co/33K4Hsb7ov")</f>
        <v>https://t.co/33K4Hsb7ov</v>
      </c>
      <c r="AQ575" s="82" t="str">
        <f>HYPERLINK("https://ens.vision/0x/marcusajr.eth")</f>
        <v>https://ens.vision/0x/marcusajr.eth</v>
      </c>
      <c r="AR575" s="76" t="s">
        <v>26682</v>
      </c>
      <c r="AS575" s="76" t="s">
        <v>27378</v>
      </c>
      <c r="AT575" s="76" t="s">
        <v>27417</v>
      </c>
      <c r="AU575" s="76" t="s">
        <v>27485</v>
      </c>
      <c r="AV575" s="76">
        <v>1.66102061745661E+18</v>
      </c>
      <c r="AW575" s="82" t="str">
        <f>HYPERLINK("https://t.co/33K4Hsb7ov")</f>
        <v>https://t.co/33K4Hsb7ov</v>
      </c>
      <c r="AX575" s="76" t="b">
        <v>0</v>
      </c>
      <c r="AY575" s="76"/>
      <c r="AZ575" s="76"/>
      <c r="BA575" s="76" t="b">
        <v>1</v>
      </c>
      <c r="BB575" s="76" t="b">
        <v>1</v>
      </c>
      <c r="BC575" s="76" t="b">
        <v>0</v>
      </c>
      <c r="BD575" s="76" t="b">
        <v>0</v>
      </c>
      <c r="BE575" s="76" t="b">
        <v>1</v>
      </c>
      <c r="BF575" s="76" t="b">
        <v>0</v>
      </c>
      <c r="BG575" s="76" t="b">
        <v>0</v>
      </c>
      <c r="BH575" s="82" t="str">
        <f>HYPERLINK("https://pbs.twimg.com/profile_banners/303597941/1689206111")</f>
        <v>https://pbs.twimg.com/profile_banners/303597941/1689206111</v>
      </c>
      <c r="BI575" s="76"/>
      <c r="BJ575" s="76" t="s">
        <v>27595</v>
      </c>
      <c r="BK575" s="76" t="b">
        <v>0</v>
      </c>
      <c r="BL575" s="76"/>
      <c r="BM575" s="76" t="s">
        <v>66</v>
      </c>
      <c r="BN575" s="76" t="s">
        <v>27597</v>
      </c>
      <c r="BO575" s="82" t="str">
        <f>HYPERLINK("https://twitter.com/marcusajreth")</f>
        <v>https://twitter.com/marcusajreth</v>
      </c>
      <c r="BP575" s="2"/>
    </row>
    <row r="576" spans="1:68" x14ac:dyDescent="0.25">
      <c r="A576" s="62" t="s">
        <v>630</v>
      </c>
      <c r="B576" s="63"/>
      <c r="C576" s="63"/>
      <c r="D576" s="64"/>
      <c r="E576" s="66"/>
      <c r="F576" s="103" t="str">
        <f>HYPERLINK("https://pbs.twimg.com/profile_images/1013111931647987712/BaT6jOJW_normal.jpg")</f>
        <v>https://pbs.twimg.com/profile_images/1013111931647987712/BaT6jOJW_normal.jpg</v>
      </c>
      <c r="G576" s="63"/>
      <c r="H576" s="67"/>
      <c r="I576" s="68"/>
      <c r="J576" s="68"/>
      <c r="K576" s="67" t="s">
        <v>28170</v>
      </c>
      <c r="L576" s="71"/>
      <c r="M576" s="72"/>
      <c r="N576" s="72"/>
      <c r="O576" s="73"/>
      <c r="P576" s="74"/>
      <c r="Q576" s="74"/>
      <c r="R576" s="87"/>
      <c r="S576" s="87"/>
      <c r="T576" s="87"/>
      <c r="U576" s="87"/>
      <c r="V576" s="48"/>
      <c r="W576" s="48"/>
      <c r="X576" s="48"/>
      <c r="Y576" s="48"/>
      <c r="Z576" s="47"/>
      <c r="AA576" s="69">
        <v>576</v>
      </c>
      <c r="AB576" s="69"/>
      <c r="AC576" s="70"/>
      <c r="AD576" s="76" t="s">
        <v>21813</v>
      </c>
      <c r="AE576" s="81" t="s">
        <v>23371</v>
      </c>
      <c r="AF576" s="76">
        <v>6477</v>
      </c>
      <c r="AG576" s="76">
        <v>1228</v>
      </c>
      <c r="AH576" s="76">
        <v>79443</v>
      </c>
      <c r="AI576" s="76">
        <v>90</v>
      </c>
      <c r="AJ576" s="76">
        <v>49</v>
      </c>
      <c r="AK576" s="76">
        <v>7193</v>
      </c>
      <c r="AL576" s="76" t="b">
        <v>0</v>
      </c>
      <c r="AM576" s="78">
        <v>40736.830393518518</v>
      </c>
      <c r="AN576" s="76" t="s">
        <v>24114</v>
      </c>
      <c r="AO576" s="76" t="s">
        <v>25225</v>
      </c>
      <c r="AP576" s="82" t="str">
        <f>HYPERLINK("https://t.co/JYtnyA4602")</f>
        <v>https://t.co/JYtnyA4602</v>
      </c>
      <c r="AQ576" s="82" t="str">
        <f>HYPERLINK("http://www.inforegion.com.ar")</f>
        <v>http://www.inforegion.com.ar</v>
      </c>
      <c r="AR576" s="76" t="s">
        <v>26683</v>
      </c>
      <c r="AS576" s="76"/>
      <c r="AT576" s="76"/>
      <c r="AU576" s="76"/>
      <c r="AV576" s="76">
        <v>8.7286799832289203E+17</v>
      </c>
      <c r="AW576" s="82" t="str">
        <f>HYPERLINK("https://t.co/JYtnyA4602")</f>
        <v>https://t.co/JYtnyA4602</v>
      </c>
      <c r="AX576" s="76" t="b">
        <v>0</v>
      </c>
      <c r="AY576" s="76"/>
      <c r="AZ576" s="76"/>
      <c r="BA576" s="76" t="b">
        <v>0</v>
      </c>
      <c r="BB576" s="76" t="b">
        <v>0</v>
      </c>
      <c r="BC576" s="76" t="b">
        <v>0</v>
      </c>
      <c r="BD576" s="76" t="b">
        <v>0</v>
      </c>
      <c r="BE576" s="76" t="b">
        <v>1</v>
      </c>
      <c r="BF576" s="76" t="b">
        <v>0</v>
      </c>
      <c r="BG576" s="76" t="b">
        <v>0</v>
      </c>
      <c r="BH576" s="82" t="str">
        <f>HYPERLINK("https://pbs.twimg.com/profile_banners/334241034/1633458356")</f>
        <v>https://pbs.twimg.com/profile_banners/334241034/1633458356</v>
      </c>
      <c r="BI576" s="76"/>
      <c r="BJ576" s="76" t="s">
        <v>27595</v>
      </c>
      <c r="BK576" s="76" t="b">
        <v>0</v>
      </c>
      <c r="BL576" s="76"/>
      <c r="BM576" s="76" t="s">
        <v>66</v>
      </c>
      <c r="BN576" s="76" t="s">
        <v>27597</v>
      </c>
      <c r="BO576" s="82" t="str">
        <f>HYPERLINK("https://twitter.com/inforegionarg")</f>
        <v>https://twitter.com/inforegionarg</v>
      </c>
      <c r="BP576" s="2"/>
    </row>
    <row r="577" spans="1:68" x14ac:dyDescent="0.25">
      <c r="A577" s="62" t="s">
        <v>631</v>
      </c>
      <c r="B577" s="63"/>
      <c r="C577" s="63"/>
      <c r="D577" s="64"/>
      <c r="E577" s="66"/>
      <c r="F577" s="103" t="str">
        <f>HYPERLINK("https://pbs.twimg.com/profile_images/1415720073029955586/x-B5PUrB_normal.jpg")</f>
        <v>https://pbs.twimg.com/profile_images/1415720073029955586/x-B5PUrB_normal.jpg</v>
      </c>
      <c r="G577" s="63"/>
      <c r="H577" s="67"/>
      <c r="I577" s="68"/>
      <c r="J577" s="68"/>
      <c r="K577" s="67" t="s">
        <v>28171</v>
      </c>
      <c r="L577" s="71"/>
      <c r="M577" s="72"/>
      <c r="N577" s="72"/>
      <c r="O577" s="73"/>
      <c r="P577" s="74"/>
      <c r="Q577" s="74"/>
      <c r="R577" s="87"/>
      <c r="S577" s="87"/>
      <c r="T577" s="87"/>
      <c r="U577" s="87"/>
      <c r="V577" s="48"/>
      <c r="W577" s="48"/>
      <c r="X577" s="48"/>
      <c r="Y577" s="48"/>
      <c r="Z577" s="47"/>
      <c r="AA577" s="69">
        <v>577</v>
      </c>
      <c r="AB577" s="69"/>
      <c r="AC577" s="70"/>
      <c r="AD577" s="76" t="s">
        <v>21814</v>
      </c>
      <c r="AE577" s="81" t="s">
        <v>23372</v>
      </c>
      <c r="AF577" s="76">
        <v>291</v>
      </c>
      <c r="AG577" s="76">
        <v>423</v>
      </c>
      <c r="AH577" s="76">
        <v>4772</v>
      </c>
      <c r="AI577" s="76">
        <v>3</v>
      </c>
      <c r="AJ577" s="76">
        <v>3568</v>
      </c>
      <c r="AK577" s="76">
        <v>119</v>
      </c>
      <c r="AL577" s="76" t="b">
        <v>0</v>
      </c>
      <c r="AM577" s="78">
        <v>40142.598865740743</v>
      </c>
      <c r="AN577" s="76" t="s">
        <v>24282</v>
      </c>
      <c r="AO577" s="76" t="s">
        <v>25226</v>
      </c>
      <c r="AP577" s="82" t="str">
        <f>HYPERLINK("https://t.co/2MSLzLcTHy")</f>
        <v>https://t.co/2MSLzLcTHy</v>
      </c>
      <c r="AQ577" s="82" t="str">
        <f>HYPERLINK("http://escribirnoesnormal.net")</f>
        <v>http://escribirnoesnormal.net</v>
      </c>
      <c r="AR577" s="76" t="s">
        <v>26684</v>
      </c>
      <c r="AS577" s="76"/>
      <c r="AT577" s="76"/>
      <c r="AU577" s="76"/>
      <c r="AV577" s="76"/>
      <c r="AW577" s="82" t="str">
        <f>HYPERLINK("https://t.co/2MSLzLcTHy")</f>
        <v>https://t.co/2MSLzLcTHy</v>
      </c>
      <c r="AX577" s="76" t="b">
        <v>0</v>
      </c>
      <c r="AY577" s="76"/>
      <c r="AZ577" s="76"/>
      <c r="BA577" s="76" t="b">
        <v>0</v>
      </c>
      <c r="BB577" s="76" t="b">
        <v>1</v>
      </c>
      <c r="BC577" s="76" t="b">
        <v>0</v>
      </c>
      <c r="BD577" s="76" t="b">
        <v>0</v>
      </c>
      <c r="BE577" s="76" t="b">
        <v>1</v>
      </c>
      <c r="BF577" s="76" t="b">
        <v>0</v>
      </c>
      <c r="BG577" s="76" t="b">
        <v>0</v>
      </c>
      <c r="BH577" s="82" t="str">
        <f>HYPERLINK("https://pbs.twimg.com/profile_banners/92531526/1460637441")</f>
        <v>https://pbs.twimg.com/profile_banners/92531526/1460637441</v>
      </c>
      <c r="BI577" s="76"/>
      <c r="BJ577" s="76" t="s">
        <v>27595</v>
      </c>
      <c r="BK577" s="76" t="b">
        <v>0</v>
      </c>
      <c r="BL577" s="76"/>
      <c r="BM577" s="76" t="s">
        <v>66</v>
      </c>
      <c r="BN577" s="76" t="s">
        <v>27597</v>
      </c>
      <c r="BO577" s="82" t="str">
        <f>HYPERLINK("https://twitter.com/solemio63")</f>
        <v>https://twitter.com/solemio63</v>
      </c>
      <c r="BP577" s="2"/>
    </row>
    <row r="578" spans="1:68" x14ac:dyDescent="0.25">
      <c r="A578" s="62" t="s">
        <v>632</v>
      </c>
      <c r="B578" s="63"/>
      <c r="C578" s="63"/>
      <c r="D578" s="64"/>
      <c r="E578" s="66"/>
      <c r="F578" s="103" t="str">
        <f>HYPERLINK("https://pbs.twimg.com/profile_images/1686725619801866240/xXbpp3ay_normal.png")</f>
        <v>https://pbs.twimg.com/profile_images/1686725619801866240/xXbpp3ay_normal.png</v>
      </c>
      <c r="G578" s="63"/>
      <c r="H578" s="67"/>
      <c r="I578" s="68"/>
      <c r="J578" s="68"/>
      <c r="K578" s="67" t="s">
        <v>28172</v>
      </c>
      <c r="L578" s="71"/>
      <c r="M578" s="72"/>
      <c r="N578" s="72"/>
      <c r="O578" s="73"/>
      <c r="P578" s="74"/>
      <c r="Q578" s="74"/>
      <c r="R578" s="87"/>
      <c r="S578" s="87"/>
      <c r="T578" s="87"/>
      <c r="U578" s="87"/>
      <c r="V578" s="48"/>
      <c r="W578" s="48"/>
      <c r="X578" s="48"/>
      <c r="Y578" s="48"/>
      <c r="Z578" s="47"/>
      <c r="AA578" s="69">
        <v>578</v>
      </c>
      <c r="AB578" s="69"/>
      <c r="AC578" s="70"/>
      <c r="AD578" s="76" t="s">
        <v>21815</v>
      </c>
      <c r="AE578" s="81" t="s">
        <v>20693</v>
      </c>
      <c r="AF578" s="76">
        <v>0</v>
      </c>
      <c r="AG578" s="76">
        <v>10</v>
      </c>
      <c r="AH578" s="76">
        <v>2</v>
      </c>
      <c r="AI578" s="76">
        <v>0</v>
      </c>
      <c r="AJ578" s="76">
        <v>0</v>
      </c>
      <c r="AK578" s="76">
        <v>0</v>
      </c>
      <c r="AL578" s="76" t="b">
        <v>0</v>
      </c>
      <c r="AM578" s="78">
        <v>45140.547442129631</v>
      </c>
      <c r="AN578" s="76"/>
      <c r="AO578" s="76" t="s">
        <v>25227</v>
      </c>
      <c r="AP578" s="76"/>
      <c r="AQ578" s="76"/>
      <c r="AR578" s="76"/>
      <c r="AS578" s="76"/>
      <c r="AT578" s="76"/>
      <c r="AU578" s="76"/>
      <c r="AV578" s="76"/>
      <c r="AW578" s="76"/>
      <c r="AX578" s="76" t="b">
        <v>0</v>
      </c>
      <c r="AY578" s="76"/>
      <c r="AZ578" s="76"/>
      <c r="BA578" s="76" t="b">
        <v>1</v>
      </c>
      <c r="BB578" s="76" t="b">
        <v>1</v>
      </c>
      <c r="BC578" s="76" t="b">
        <v>1</v>
      </c>
      <c r="BD578" s="76" t="b">
        <v>0</v>
      </c>
      <c r="BE578" s="76" t="b">
        <v>0</v>
      </c>
      <c r="BF578" s="76" t="b">
        <v>0</v>
      </c>
      <c r="BG578" s="76" t="b">
        <v>0</v>
      </c>
      <c r="BH578" s="76"/>
      <c r="BI578" s="76"/>
      <c r="BJ578" s="76" t="s">
        <v>27595</v>
      </c>
      <c r="BK578" s="76" t="b">
        <v>0</v>
      </c>
      <c r="BL578" s="76"/>
      <c r="BM578" s="76" t="s">
        <v>66</v>
      </c>
      <c r="BN578" s="76" t="s">
        <v>27597</v>
      </c>
      <c r="BO578" s="82" t="str">
        <f>HYPERLINK("https://twitter.com/perei61657tiago")</f>
        <v>https://twitter.com/perei61657tiago</v>
      </c>
      <c r="BP578" s="2"/>
    </row>
    <row r="579" spans="1:68" x14ac:dyDescent="0.25">
      <c r="A579" s="62" t="s">
        <v>633</v>
      </c>
      <c r="B579" s="63"/>
      <c r="C579" s="63"/>
      <c r="D579" s="64"/>
      <c r="E579" s="66"/>
      <c r="F579" s="103" t="str">
        <f>HYPERLINK("https://pbs.twimg.com/profile_images/1124506675329867776/bIw0Ay3j_normal.jpg")</f>
        <v>https://pbs.twimg.com/profile_images/1124506675329867776/bIw0Ay3j_normal.jpg</v>
      </c>
      <c r="G579" s="63"/>
      <c r="H579" s="67"/>
      <c r="I579" s="68"/>
      <c r="J579" s="68"/>
      <c r="K579" s="67" t="s">
        <v>28173</v>
      </c>
      <c r="L579" s="71"/>
      <c r="M579" s="72"/>
      <c r="N579" s="72"/>
      <c r="O579" s="73"/>
      <c r="P579" s="74"/>
      <c r="Q579" s="74"/>
      <c r="R579" s="87"/>
      <c r="S579" s="87"/>
      <c r="T579" s="87"/>
      <c r="U579" s="87"/>
      <c r="V579" s="48"/>
      <c r="W579" s="48"/>
      <c r="X579" s="48"/>
      <c r="Y579" s="48"/>
      <c r="Z579" s="47"/>
      <c r="AA579" s="69">
        <v>579</v>
      </c>
      <c r="AB579" s="69"/>
      <c r="AC579" s="70"/>
      <c r="AD579" s="76" t="s">
        <v>21816</v>
      </c>
      <c r="AE579" s="81" t="s">
        <v>20694</v>
      </c>
      <c r="AF579" s="76">
        <v>2338</v>
      </c>
      <c r="AG579" s="76">
        <v>954</v>
      </c>
      <c r="AH579" s="76">
        <v>51314</v>
      </c>
      <c r="AI579" s="76">
        <v>14</v>
      </c>
      <c r="AJ579" s="76">
        <v>224</v>
      </c>
      <c r="AK579" s="76">
        <v>4263</v>
      </c>
      <c r="AL579" s="76" t="b">
        <v>0</v>
      </c>
      <c r="AM579" s="78">
        <v>43265.528958333336</v>
      </c>
      <c r="AN579" s="76" t="s">
        <v>24283</v>
      </c>
      <c r="AO579" s="76" t="s">
        <v>25228</v>
      </c>
      <c r="AP579" s="82" t="str">
        <f>HYPERLINK("https://t.co/0ZhyWVwpLB")</f>
        <v>https://t.co/0ZhyWVwpLB</v>
      </c>
      <c r="AQ579" s="82" t="str">
        <f>HYPERLINK("http://www.consellopatagonico.com")</f>
        <v>http://www.consellopatagonico.com</v>
      </c>
      <c r="AR579" s="76" t="s">
        <v>8713</v>
      </c>
      <c r="AS579" s="76"/>
      <c r="AT579" s="76"/>
      <c r="AU579" s="76"/>
      <c r="AV579" s="76"/>
      <c r="AW579" s="82" t="str">
        <f>HYPERLINK("https://t.co/0ZhyWVwpLB")</f>
        <v>https://t.co/0ZhyWVwpLB</v>
      </c>
      <c r="AX579" s="76" t="b">
        <v>0</v>
      </c>
      <c r="AY579" s="76"/>
      <c r="AZ579" s="76"/>
      <c r="BA579" s="76" t="b">
        <v>0</v>
      </c>
      <c r="BB579" s="76" t="b">
        <v>1</v>
      </c>
      <c r="BC579" s="76" t="b">
        <v>0</v>
      </c>
      <c r="BD579" s="76" t="b">
        <v>0</v>
      </c>
      <c r="BE579" s="76" t="b">
        <v>1</v>
      </c>
      <c r="BF579" s="76" t="b">
        <v>0</v>
      </c>
      <c r="BG579" s="76" t="b">
        <v>0</v>
      </c>
      <c r="BH579" s="82" t="str">
        <f>HYPERLINK("https://pbs.twimg.com/profile_banners/1007241667857043456/1556938258")</f>
        <v>https://pbs.twimg.com/profile_banners/1007241667857043456/1556938258</v>
      </c>
      <c r="BI579" s="76"/>
      <c r="BJ579" s="76" t="s">
        <v>27595</v>
      </c>
      <c r="BK579" s="76" t="b">
        <v>0</v>
      </c>
      <c r="BL579" s="76"/>
      <c r="BM579" s="76" t="s">
        <v>66</v>
      </c>
      <c r="BN579" s="76" t="s">
        <v>27597</v>
      </c>
      <c r="BO579" s="82" t="str">
        <f>HYPERLINK("https://twitter.com/con_sello")</f>
        <v>https://twitter.com/con_sello</v>
      </c>
      <c r="BP579" s="2"/>
    </row>
    <row r="580" spans="1:68" x14ac:dyDescent="0.25">
      <c r="A580" s="62" t="s">
        <v>634</v>
      </c>
      <c r="B580" s="63"/>
      <c r="C580" s="63"/>
      <c r="D580" s="64"/>
      <c r="E580" s="66"/>
      <c r="F580" s="103" t="str">
        <f>HYPERLINK("https://pbs.twimg.com/profile_images/1677352601778638850/MByTRQ5v_normal.jpg")</f>
        <v>https://pbs.twimg.com/profile_images/1677352601778638850/MByTRQ5v_normal.jpg</v>
      </c>
      <c r="G580" s="63"/>
      <c r="H580" s="67"/>
      <c r="I580" s="68"/>
      <c r="J580" s="68"/>
      <c r="K580" s="67" t="s">
        <v>28174</v>
      </c>
      <c r="L580" s="71"/>
      <c r="M580" s="72"/>
      <c r="N580" s="72"/>
      <c r="O580" s="73"/>
      <c r="P580" s="74"/>
      <c r="Q580" s="74"/>
      <c r="R580" s="87"/>
      <c r="S580" s="87"/>
      <c r="T580" s="87"/>
      <c r="U580" s="87"/>
      <c r="V580" s="48"/>
      <c r="W580" s="48"/>
      <c r="X580" s="48"/>
      <c r="Y580" s="48"/>
      <c r="Z580" s="47"/>
      <c r="AA580" s="69">
        <v>580</v>
      </c>
      <c r="AB580" s="69"/>
      <c r="AC580" s="70"/>
      <c r="AD580" s="76" t="s">
        <v>21817</v>
      </c>
      <c r="AE580" s="81" t="s">
        <v>20695</v>
      </c>
      <c r="AF580" s="76">
        <v>100</v>
      </c>
      <c r="AG580" s="76">
        <v>85</v>
      </c>
      <c r="AH580" s="76">
        <v>1027</v>
      </c>
      <c r="AI580" s="76">
        <v>1</v>
      </c>
      <c r="AJ580" s="76">
        <v>411</v>
      </c>
      <c r="AK580" s="76">
        <v>831</v>
      </c>
      <c r="AL580" s="76" t="b">
        <v>0</v>
      </c>
      <c r="AM580" s="78">
        <v>44781.547418981485</v>
      </c>
      <c r="AN580" s="76" t="s">
        <v>24128</v>
      </c>
      <c r="AO580" s="76" t="s">
        <v>25229</v>
      </c>
      <c r="AP580" s="82" t="str">
        <f>HYPERLINK("https://t.co/7WQEiIo1iQ")</f>
        <v>https://t.co/7WQEiIo1iQ</v>
      </c>
      <c r="AQ580" s="82" t="str">
        <f>HYPERLINK("https://periodismolibre.com.ar/")</f>
        <v>https://periodismolibre.com.ar/</v>
      </c>
      <c r="AR580" s="76" t="s">
        <v>26685</v>
      </c>
      <c r="AS580" s="76"/>
      <c r="AT580" s="76"/>
      <c r="AU580" s="76"/>
      <c r="AV580" s="76"/>
      <c r="AW580" s="82" t="str">
        <f>HYPERLINK("https://t.co/7WQEiIo1iQ")</f>
        <v>https://t.co/7WQEiIo1iQ</v>
      </c>
      <c r="AX580" s="76" t="b">
        <v>0</v>
      </c>
      <c r="AY580" s="76"/>
      <c r="AZ580" s="76"/>
      <c r="BA580" s="76" t="b">
        <v>0</v>
      </c>
      <c r="BB580" s="76" t="b">
        <v>1</v>
      </c>
      <c r="BC580" s="76" t="b">
        <v>1</v>
      </c>
      <c r="BD580" s="76" t="b">
        <v>0</v>
      </c>
      <c r="BE580" s="76" t="b">
        <v>0</v>
      </c>
      <c r="BF580" s="76" t="b">
        <v>0</v>
      </c>
      <c r="BG580" s="76" t="b">
        <v>0</v>
      </c>
      <c r="BH580" s="82" t="str">
        <f>HYPERLINK("https://pbs.twimg.com/profile_banners/1556628239912734721/1694089812")</f>
        <v>https://pbs.twimg.com/profile_banners/1556628239912734721/1694089812</v>
      </c>
      <c r="BI580" s="76"/>
      <c r="BJ580" s="76" t="s">
        <v>27595</v>
      </c>
      <c r="BK580" s="76" t="b">
        <v>0</v>
      </c>
      <c r="BL580" s="76"/>
      <c r="BM580" s="76" t="s">
        <v>66</v>
      </c>
      <c r="BN580" s="76" t="s">
        <v>27597</v>
      </c>
      <c r="BO580" s="82" t="str">
        <f>HYPERLINK("https://twitter.com/periodistaslib")</f>
        <v>https://twitter.com/periodistaslib</v>
      </c>
      <c r="BP580" s="2"/>
    </row>
    <row r="581" spans="1:68" x14ac:dyDescent="0.25">
      <c r="A581" s="62" t="s">
        <v>635</v>
      </c>
      <c r="B581" s="63"/>
      <c r="C581" s="63"/>
      <c r="D581" s="64"/>
      <c r="E581" s="66"/>
      <c r="F581" s="103" t="str">
        <f>HYPERLINK("https://pbs.twimg.com/profile_images/1436846249685159937/RqX11XIM_normal.jpg")</f>
        <v>https://pbs.twimg.com/profile_images/1436846249685159937/RqX11XIM_normal.jpg</v>
      </c>
      <c r="G581" s="63"/>
      <c r="H581" s="67"/>
      <c r="I581" s="68"/>
      <c r="J581" s="68"/>
      <c r="K581" s="67" t="s">
        <v>28175</v>
      </c>
      <c r="L581" s="71"/>
      <c r="M581" s="72"/>
      <c r="N581" s="72"/>
      <c r="O581" s="73"/>
      <c r="P581" s="74"/>
      <c r="Q581" s="74"/>
      <c r="R581" s="87"/>
      <c r="S581" s="87"/>
      <c r="T581" s="87"/>
      <c r="U581" s="87"/>
      <c r="V581" s="48"/>
      <c r="W581" s="48"/>
      <c r="X581" s="48"/>
      <c r="Y581" s="48"/>
      <c r="Z581" s="47"/>
      <c r="AA581" s="69">
        <v>581</v>
      </c>
      <c r="AB581" s="69"/>
      <c r="AC581" s="70"/>
      <c r="AD581" s="76" t="s">
        <v>21818</v>
      </c>
      <c r="AE581" s="81" t="s">
        <v>23373</v>
      </c>
      <c r="AF581" s="76">
        <v>277</v>
      </c>
      <c r="AG581" s="76">
        <v>204</v>
      </c>
      <c r="AH581" s="76">
        <v>1301</v>
      </c>
      <c r="AI581" s="76">
        <v>10</v>
      </c>
      <c r="AJ581" s="76">
        <v>2303</v>
      </c>
      <c r="AK581" s="76">
        <v>160</v>
      </c>
      <c r="AL581" s="76" t="b">
        <v>0</v>
      </c>
      <c r="AM581" s="78">
        <v>40467.852638888886</v>
      </c>
      <c r="AN581" s="76" t="s">
        <v>24073</v>
      </c>
      <c r="AO581" s="76" t="s">
        <v>25230</v>
      </c>
      <c r="AP581" s="76"/>
      <c r="AQ581" s="76"/>
      <c r="AR581" s="76"/>
      <c r="AS581" s="76"/>
      <c r="AT581" s="76"/>
      <c r="AU581" s="76"/>
      <c r="AV581" s="76"/>
      <c r="AW581" s="76"/>
      <c r="AX581" s="76" t="b">
        <v>0</v>
      </c>
      <c r="AY581" s="76"/>
      <c r="AZ581" s="76"/>
      <c r="BA581" s="76" t="b">
        <v>0</v>
      </c>
      <c r="BB581" s="76" t="b">
        <v>1</v>
      </c>
      <c r="BC581" s="76" t="b">
        <v>1</v>
      </c>
      <c r="BD581" s="76" t="b">
        <v>0</v>
      </c>
      <c r="BE581" s="76" t="b">
        <v>0</v>
      </c>
      <c r="BF581" s="76" t="b">
        <v>0</v>
      </c>
      <c r="BG581" s="76" t="b">
        <v>0</v>
      </c>
      <c r="BH581" s="82" t="str">
        <f>HYPERLINK("https://pbs.twimg.com/profile_banners/203665693/1631405816")</f>
        <v>https://pbs.twimg.com/profile_banners/203665693/1631405816</v>
      </c>
      <c r="BI581" s="76"/>
      <c r="BJ581" s="76" t="s">
        <v>27595</v>
      </c>
      <c r="BK581" s="76" t="b">
        <v>0</v>
      </c>
      <c r="BL581" s="76"/>
      <c r="BM581" s="76" t="s">
        <v>66</v>
      </c>
      <c r="BN581" s="76" t="s">
        <v>27597</v>
      </c>
      <c r="BO581" s="82" t="str">
        <f>HYPERLINK("https://twitter.com/pedrotads")</f>
        <v>https://twitter.com/pedrotads</v>
      </c>
      <c r="BP581" s="2"/>
    </row>
    <row r="582" spans="1:68" x14ac:dyDescent="0.25">
      <c r="A582" s="62" t="s">
        <v>636</v>
      </c>
      <c r="B582" s="63"/>
      <c r="C582" s="63"/>
      <c r="D582" s="64"/>
      <c r="E582" s="66"/>
      <c r="F582" s="103" t="str">
        <f>HYPERLINK("https://pbs.twimg.com/profile_images/1599864199336845357/S71XaJ6D_normal.jpg")</f>
        <v>https://pbs.twimg.com/profile_images/1599864199336845357/S71XaJ6D_normal.jpg</v>
      </c>
      <c r="G582" s="63"/>
      <c r="H582" s="67"/>
      <c r="I582" s="68"/>
      <c r="J582" s="68"/>
      <c r="K582" s="67" t="s">
        <v>28176</v>
      </c>
      <c r="L582" s="71"/>
      <c r="M582" s="72"/>
      <c r="N582" s="72"/>
      <c r="O582" s="73"/>
      <c r="P582" s="74"/>
      <c r="Q582" s="74"/>
      <c r="R582" s="87"/>
      <c r="S582" s="87"/>
      <c r="T582" s="87"/>
      <c r="U582" s="87"/>
      <c r="V582" s="48"/>
      <c r="W582" s="48"/>
      <c r="X582" s="48"/>
      <c r="Y582" s="48"/>
      <c r="Z582" s="47"/>
      <c r="AA582" s="69">
        <v>582</v>
      </c>
      <c r="AB582" s="69"/>
      <c r="AC582" s="70"/>
      <c r="AD582" s="76" t="s">
        <v>21819</v>
      </c>
      <c r="AE582" s="81" t="s">
        <v>20696</v>
      </c>
      <c r="AF582" s="76">
        <v>91</v>
      </c>
      <c r="AG582" s="76">
        <v>15</v>
      </c>
      <c r="AH582" s="76">
        <v>5914</v>
      </c>
      <c r="AI582" s="76">
        <v>0</v>
      </c>
      <c r="AJ582" s="76">
        <v>797</v>
      </c>
      <c r="AK582" s="76">
        <v>3957</v>
      </c>
      <c r="AL582" s="76" t="b">
        <v>0</v>
      </c>
      <c r="AM582" s="78">
        <v>42565.846041666664</v>
      </c>
      <c r="AN582" s="76"/>
      <c r="AO582" s="76"/>
      <c r="AP582" s="82" t="str">
        <f>HYPERLINK("https://t.co/S0VVnolzdg")</f>
        <v>https://t.co/S0VVnolzdg</v>
      </c>
      <c r="AQ582" s="82" t="str">
        <f>HYPERLINK("http://www.infopaisRD.com")</f>
        <v>http://www.infopaisRD.com</v>
      </c>
      <c r="AR582" s="76" t="s">
        <v>26686</v>
      </c>
      <c r="AS582" s="76"/>
      <c r="AT582" s="76"/>
      <c r="AU582" s="76"/>
      <c r="AV582" s="76"/>
      <c r="AW582" s="82" t="str">
        <f>HYPERLINK("https://t.co/S0VVnolzdg")</f>
        <v>https://t.co/S0VVnolzdg</v>
      </c>
      <c r="AX582" s="76" t="b">
        <v>0</v>
      </c>
      <c r="AY582" s="76"/>
      <c r="AZ582" s="76"/>
      <c r="BA582" s="76" t="b">
        <v>0</v>
      </c>
      <c r="BB582" s="76" t="b">
        <v>1</v>
      </c>
      <c r="BC582" s="76" t="b">
        <v>0</v>
      </c>
      <c r="BD582" s="76" t="b">
        <v>0</v>
      </c>
      <c r="BE582" s="76" t="b">
        <v>0</v>
      </c>
      <c r="BF582" s="76" t="b">
        <v>0</v>
      </c>
      <c r="BG582" s="76" t="b">
        <v>0</v>
      </c>
      <c r="BH582" s="82" t="str">
        <f>HYPERLINK("https://pbs.twimg.com/profile_banners/753685072805437440/1670272334")</f>
        <v>https://pbs.twimg.com/profile_banners/753685072805437440/1670272334</v>
      </c>
      <c r="BI582" s="76"/>
      <c r="BJ582" s="76" t="s">
        <v>27595</v>
      </c>
      <c r="BK582" s="76" t="b">
        <v>0</v>
      </c>
      <c r="BL582" s="76"/>
      <c r="BM582" s="76" t="s">
        <v>66</v>
      </c>
      <c r="BN582" s="76" t="s">
        <v>27597</v>
      </c>
      <c r="BO582" s="82" t="str">
        <f>HYPERLINK("https://twitter.com/infopaisrd")</f>
        <v>https://twitter.com/infopaisrd</v>
      </c>
      <c r="BP582" s="2"/>
    </row>
    <row r="583" spans="1:68" x14ac:dyDescent="0.25">
      <c r="A583" s="62" t="s">
        <v>637</v>
      </c>
      <c r="B583" s="63"/>
      <c r="C583" s="63"/>
      <c r="D583" s="64"/>
      <c r="E583" s="66"/>
      <c r="F583" s="103" t="str">
        <f>HYPERLINK("https://pbs.twimg.com/profile_images/1678408124284248069/rpDKwdbU_normal.jpg")</f>
        <v>https://pbs.twimg.com/profile_images/1678408124284248069/rpDKwdbU_normal.jpg</v>
      </c>
      <c r="G583" s="63"/>
      <c r="H583" s="67"/>
      <c r="I583" s="68"/>
      <c r="J583" s="68"/>
      <c r="K583" s="67" t="s">
        <v>28177</v>
      </c>
      <c r="L583" s="71"/>
      <c r="M583" s="72"/>
      <c r="N583" s="72"/>
      <c r="O583" s="73"/>
      <c r="P583" s="74"/>
      <c r="Q583" s="74"/>
      <c r="R583" s="87"/>
      <c r="S583" s="87"/>
      <c r="T583" s="87"/>
      <c r="U583" s="87"/>
      <c r="V583" s="48"/>
      <c r="W583" s="48"/>
      <c r="X583" s="48"/>
      <c r="Y583" s="48"/>
      <c r="Z583" s="47"/>
      <c r="AA583" s="69">
        <v>583</v>
      </c>
      <c r="AB583" s="69"/>
      <c r="AC583" s="70"/>
      <c r="AD583" s="76" t="s">
        <v>21820</v>
      </c>
      <c r="AE583" s="81" t="s">
        <v>20697</v>
      </c>
      <c r="AF583" s="76">
        <v>31</v>
      </c>
      <c r="AG583" s="76">
        <v>165</v>
      </c>
      <c r="AH583" s="76">
        <v>257</v>
      </c>
      <c r="AI583" s="76">
        <v>0</v>
      </c>
      <c r="AJ583" s="76">
        <v>253</v>
      </c>
      <c r="AK583" s="76">
        <v>19</v>
      </c>
      <c r="AL583" s="76" t="b">
        <v>0</v>
      </c>
      <c r="AM583" s="78">
        <v>45000.130590277775</v>
      </c>
      <c r="AN583" s="76" t="s">
        <v>14381</v>
      </c>
      <c r="AO583" s="76" t="s">
        <v>25231</v>
      </c>
      <c r="AP583" s="82" t="str">
        <f>HYPERLINK("https://t.co/AwtUlj1Mum")</f>
        <v>https://t.co/AwtUlj1Mum</v>
      </c>
      <c r="AQ583" s="82" t="str">
        <f>HYPERLINK("http://www.ejecutivovirtualdr.com")</f>
        <v>http://www.ejecutivovirtualdr.com</v>
      </c>
      <c r="AR583" s="76" t="s">
        <v>26687</v>
      </c>
      <c r="AS583" s="76"/>
      <c r="AT583" s="76"/>
      <c r="AU583" s="76"/>
      <c r="AV583" s="76"/>
      <c r="AW583" s="82" t="str">
        <f>HYPERLINK("https://t.co/AwtUlj1Mum")</f>
        <v>https://t.co/AwtUlj1Mum</v>
      </c>
      <c r="AX583" s="76" t="b">
        <v>0</v>
      </c>
      <c r="AY583" s="76"/>
      <c r="AZ583" s="76"/>
      <c r="BA583" s="76" t="b">
        <v>0</v>
      </c>
      <c r="BB583" s="76" t="b">
        <v>1</v>
      </c>
      <c r="BC583" s="76" t="b">
        <v>1</v>
      </c>
      <c r="BD583" s="76" t="b">
        <v>0</v>
      </c>
      <c r="BE583" s="76" t="b">
        <v>1</v>
      </c>
      <c r="BF583" s="76" t="b">
        <v>0</v>
      </c>
      <c r="BG583" s="76" t="b">
        <v>0</v>
      </c>
      <c r="BH583" s="82" t="str">
        <f>HYPERLINK("https://pbs.twimg.com/profile_banners/1635840144191238145/1689031867")</f>
        <v>https://pbs.twimg.com/profile_banners/1635840144191238145/1689031867</v>
      </c>
      <c r="BI583" s="76"/>
      <c r="BJ583" s="76" t="s">
        <v>27595</v>
      </c>
      <c r="BK583" s="76" t="b">
        <v>0</v>
      </c>
      <c r="BL583" s="76"/>
      <c r="BM583" s="76" t="s">
        <v>66</v>
      </c>
      <c r="BN583" s="76" t="s">
        <v>27597</v>
      </c>
      <c r="BO583" s="82" t="str">
        <f>HYPERLINK("https://twitter.com/juandicentjr")</f>
        <v>https://twitter.com/juandicentjr</v>
      </c>
      <c r="BP583" s="2"/>
    </row>
    <row r="584" spans="1:68" x14ac:dyDescent="0.25">
      <c r="A584" s="62" t="s">
        <v>638</v>
      </c>
      <c r="B584" s="63"/>
      <c r="C584" s="63"/>
      <c r="D584" s="64"/>
      <c r="E584" s="66"/>
      <c r="F584" s="103" t="str">
        <f>HYPERLINK("https://pbs.twimg.com/profile_images/1701956030047956992/0f14gURa_normal.jpg")</f>
        <v>https://pbs.twimg.com/profile_images/1701956030047956992/0f14gURa_normal.jpg</v>
      </c>
      <c r="G584" s="63"/>
      <c r="H584" s="67"/>
      <c r="I584" s="68"/>
      <c r="J584" s="68"/>
      <c r="K584" s="67" t="s">
        <v>28178</v>
      </c>
      <c r="L584" s="71"/>
      <c r="M584" s="72"/>
      <c r="N584" s="72"/>
      <c r="O584" s="73"/>
      <c r="P584" s="74"/>
      <c r="Q584" s="74"/>
      <c r="R584" s="87"/>
      <c r="S584" s="87"/>
      <c r="T584" s="87"/>
      <c r="U584" s="87"/>
      <c r="V584" s="48"/>
      <c r="W584" s="48"/>
      <c r="X584" s="48"/>
      <c r="Y584" s="48"/>
      <c r="Z584" s="47"/>
      <c r="AA584" s="69">
        <v>584</v>
      </c>
      <c r="AB584" s="69"/>
      <c r="AC584" s="70"/>
      <c r="AD584" s="76" t="s">
        <v>21821</v>
      </c>
      <c r="AE584" s="81" t="s">
        <v>20698</v>
      </c>
      <c r="AF584" s="76">
        <v>50</v>
      </c>
      <c r="AG584" s="76">
        <v>107</v>
      </c>
      <c r="AH584" s="76">
        <v>10646</v>
      </c>
      <c r="AI584" s="76">
        <v>1</v>
      </c>
      <c r="AJ584" s="76">
        <v>2474</v>
      </c>
      <c r="AK584" s="76">
        <v>945</v>
      </c>
      <c r="AL584" s="76" t="b">
        <v>0</v>
      </c>
      <c r="AM584" s="78">
        <v>44588.68550925926</v>
      </c>
      <c r="AN584" s="76" t="s">
        <v>24284</v>
      </c>
      <c r="AO584" s="76" t="s">
        <v>25232</v>
      </c>
      <c r="AP584" s="82" t="str">
        <f>HYPERLINK("https://t.co/piunyOr7Xm")</f>
        <v>https://t.co/piunyOr7Xm</v>
      </c>
      <c r="AQ584" s="82" t="str">
        <f>HYPERLINK("https://telegram.org/blog")</f>
        <v>https://telegram.org/blog</v>
      </c>
      <c r="AR584" s="76" t="s">
        <v>26688</v>
      </c>
      <c r="AS584" s="76"/>
      <c r="AT584" s="76"/>
      <c r="AU584" s="76"/>
      <c r="AV584" s="76"/>
      <c r="AW584" s="82" t="str">
        <f>HYPERLINK("https://t.co/piunyOr7Xm")</f>
        <v>https://t.co/piunyOr7Xm</v>
      </c>
      <c r="AX584" s="76" t="b">
        <v>0</v>
      </c>
      <c r="AY584" s="76"/>
      <c r="AZ584" s="76"/>
      <c r="BA584" s="76" t="b">
        <v>0</v>
      </c>
      <c r="BB584" s="76" t="b">
        <v>1</v>
      </c>
      <c r="BC584" s="76" t="b">
        <v>1</v>
      </c>
      <c r="BD584" s="76" t="b">
        <v>0</v>
      </c>
      <c r="BE584" s="76" t="b">
        <v>1</v>
      </c>
      <c r="BF584" s="76" t="b">
        <v>0</v>
      </c>
      <c r="BG584" s="76" t="b">
        <v>0</v>
      </c>
      <c r="BH584" s="76"/>
      <c r="BI584" s="76"/>
      <c r="BJ584" s="76" t="s">
        <v>27595</v>
      </c>
      <c r="BK584" s="76" t="b">
        <v>0</v>
      </c>
      <c r="BL584" s="76"/>
      <c r="BM584" s="76" t="s">
        <v>66</v>
      </c>
      <c r="BN584" s="76" t="s">
        <v>27597</v>
      </c>
      <c r="BO584" s="82" t="str">
        <f>HYPERLINK("https://twitter.com/oicommie")</f>
        <v>https://twitter.com/oicommie</v>
      </c>
      <c r="BP584" s="2"/>
    </row>
    <row r="585" spans="1:68" x14ac:dyDescent="0.25">
      <c r="A585" s="62" t="s">
        <v>917</v>
      </c>
      <c r="B585" s="63"/>
      <c r="C585" s="63"/>
      <c r="D585" s="64"/>
      <c r="E585" s="66"/>
      <c r="F585" s="103" t="str">
        <f>HYPERLINK("https://pbs.twimg.com/profile_images/1699099430044012553/zDiZ_Zwq_normal.jpg")</f>
        <v>https://pbs.twimg.com/profile_images/1699099430044012553/zDiZ_Zwq_normal.jpg</v>
      </c>
      <c r="G585" s="63"/>
      <c r="H585" s="67"/>
      <c r="I585" s="68"/>
      <c r="J585" s="68"/>
      <c r="K585" s="67" t="s">
        <v>28179</v>
      </c>
      <c r="L585" s="71"/>
      <c r="M585" s="72"/>
      <c r="N585" s="72"/>
      <c r="O585" s="73"/>
      <c r="P585" s="74"/>
      <c r="Q585" s="74"/>
      <c r="R585" s="87"/>
      <c r="S585" s="87"/>
      <c r="T585" s="87"/>
      <c r="U585" s="87"/>
      <c r="V585" s="48"/>
      <c r="W585" s="48"/>
      <c r="X585" s="48"/>
      <c r="Y585" s="48"/>
      <c r="Z585" s="47"/>
      <c r="AA585" s="69">
        <v>585</v>
      </c>
      <c r="AB585" s="69"/>
      <c r="AC585" s="70"/>
      <c r="AD585" s="76" t="s">
        <v>21822</v>
      </c>
      <c r="AE585" s="81" t="s">
        <v>20258</v>
      </c>
      <c r="AF585" s="76">
        <v>13440</v>
      </c>
      <c r="AG585" s="76">
        <v>646</v>
      </c>
      <c r="AH585" s="76">
        <v>4086</v>
      </c>
      <c r="AI585" s="76">
        <v>89</v>
      </c>
      <c r="AJ585" s="76">
        <v>1414</v>
      </c>
      <c r="AK585" s="76">
        <v>726</v>
      </c>
      <c r="AL585" s="76" t="b">
        <v>0</v>
      </c>
      <c r="AM585" s="78">
        <v>43192.692326388889</v>
      </c>
      <c r="AN585" s="76" t="s">
        <v>24285</v>
      </c>
      <c r="AO585" s="76" t="s">
        <v>25233</v>
      </c>
      <c r="AP585" s="82" t="str">
        <f>HYPERLINK("https://t.co/ttireDsKjN")</f>
        <v>https://t.co/ttireDsKjN</v>
      </c>
      <c r="AQ585" s="82" t="str">
        <f>HYPERLINK("http://www.julialucy.com.br")</f>
        <v>http://www.julialucy.com.br</v>
      </c>
      <c r="AR585" s="76" t="s">
        <v>26689</v>
      </c>
      <c r="AS585" s="76"/>
      <c r="AT585" s="76"/>
      <c r="AU585" s="76"/>
      <c r="AV585" s="76"/>
      <c r="AW585" s="82" t="str">
        <f>HYPERLINK("https://t.co/ttireDsKjN")</f>
        <v>https://t.co/ttireDsKjN</v>
      </c>
      <c r="AX585" s="76" t="b">
        <v>0</v>
      </c>
      <c r="AY585" s="76"/>
      <c r="AZ585" s="76"/>
      <c r="BA585" s="76" t="b">
        <v>1</v>
      </c>
      <c r="BB585" s="76" t="b">
        <v>1</v>
      </c>
      <c r="BC585" s="76" t="b">
        <v>0</v>
      </c>
      <c r="BD585" s="76" t="b">
        <v>0</v>
      </c>
      <c r="BE585" s="76" t="b">
        <v>1</v>
      </c>
      <c r="BF585" s="76" t="b">
        <v>0</v>
      </c>
      <c r="BG585" s="76" t="b">
        <v>0</v>
      </c>
      <c r="BH585" s="82" t="str">
        <f>HYPERLINK("https://pbs.twimg.com/profile_banners/980846559444291585/1670959188")</f>
        <v>https://pbs.twimg.com/profile_banners/980846559444291585/1670959188</v>
      </c>
      <c r="BI585" s="76"/>
      <c r="BJ585" s="76" t="s">
        <v>27595</v>
      </c>
      <c r="BK585" s="76" t="b">
        <v>0</v>
      </c>
      <c r="BL585" s="76"/>
      <c r="BM585" s="76" t="s">
        <v>66</v>
      </c>
      <c r="BN585" s="76" t="s">
        <v>27597</v>
      </c>
      <c r="BO585" s="82" t="str">
        <f>HYPERLINK("https://twitter.com/julialucydf")</f>
        <v>https://twitter.com/julialucydf</v>
      </c>
      <c r="BP585" s="2"/>
    </row>
    <row r="586" spans="1:68" x14ac:dyDescent="0.25">
      <c r="A586" s="62" t="s">
        <v>639</v>
      </c>
      <c r="B586" s="63"/>
      <c r="C586" s="63"/>
      <c r="D586" s="64"/>
      <c r="E586" s="66"/>
      <c r="F586" s="103" t="str">
        <f>HYPERLINK("https://pbs.twimg.com/profile_images/908129062903795712/RvNJO62h_normal.jpg")</f>
        <v>https://pbs.twimg.com/profile_images/908129062903795712/RvNJO62h_normal.jpg</v>
      </c>
      <c r="G586" s="63"/>
      <c r="H586" s="67"/>
      <c r="I586" s="68"/>
      <c r="J586" s="68"/>
      <c r="K586" s="67" t="s">
        <v>28180</v>
      </c>
      <c r="L586" s="71"/>
      <c r="M586" s="72"/>
      <c r="N586" s="72"/>
      <c r="O586" s="73"/>
      <c r="P586" s="74"/>
      <c r="Q586" s="74"/>
      <c r="R586" s="87"/>
      <c r="S586" s="87"/>
      <c r="T586" s="87"/>
      <c r="U586" s="87"/>
      <c r="V586" s="48"/>
      <c r="W586" s="48"/>
      <c r="X586" s="48"/>
      <c r="Y586" s="48"/>
      <c r="Z586" s="47"/>
      <c r="AA586" s="69">
        <v>586</v>
      </c>
      <c r="AB586" s="69"/>
      <c r="AC586" s="70"/>
      <c r="AD586" s="76" t="s">
        <v>21823</v>
      </c>
      <c r="AE586" s="81" t="s">
        <v>23374</v>
      </c>
      <c r="AF586" s="76">
        <v>4965</v>
      </c>
      <c r="AG586" s="76">
        <v>5085</v>
      </c>
      <c r="AH586" s="76">
        <v>120362</v>
      </c>
      <c r="AI586" s="76">
        <v>13</v>
      </c>
      <c r="AJ586" s="76">
        <v>9585</v>
      </c>
      <c r="AK586" s="76">
        <v>11265</v>
      </c>
      <c r="AL586" s="76" t="b">
        <v>0</v>
      </c>
      <c r="AM586" s="78">
        <v>40376.824583333335</v>
      </c>
      <c r="AN586" s="76" t="s">
        <v>14385</v>
      </c>
      <c r="AO586" s="76" t="s">
        <v>25234</v>
      </c>
      <c r="AP586" s="76"/>
      <c r="AQ586" s="76"/>
      <c r="AR586" s="76"/>
      <c r="AS586" s="76"/>
      <c r="AT586" s="76"/>
      <c r="AU586" s="76"/>
      <c r="AV586" s="76"/>
      <c r="AW586" s="76"/>
      <c r="AX586" s="76" t="b">
        <v>0</v>
      </c>
      <c r="AY586" s="76"/>
      <c r="AZ586" s="76"/>
      <c r="BA586" s="76" t="b">
        <v>0</v>
      </c>
      <c r="BB586" s="76" t="b">
        <v>0</v>
      </c>
      <c r="BC586" s="76" t="b">
        <v>0</v>
      </c>
      <c r="BD586" s="76" t="b">
        <v>0</v>
      </c>
      <c r="BE586" s="76" t="b">
        <v>1</v>
      </c>
      <c r="BF586" s="76" t="b">
        <v>0</v>
      </c>
      <c r="BG586" s="76" t="b">
        <v>1</v>
      </c>
      <c r="BH586" s="82" t="str">
        <f>HYPERLINK("https://pbs.twimg.com/profile_banners/167884870/1406261236")</f>
        <v>https://pbs.twimg.com/profile_banners/167884870/1406261236</v>
      </c>
      <c r="BI586" s="76"/>
      <c r="BJ586" s="76" t="s">
        <v>27595</v>
      </c>
      <c r="BK586" s="76" t="b">
        <v>0</v>
      </c>
      <c r="BL586" s="76"/>
      <c r="BM586" s="76" t="s">
        <v>66</v>
      </c>
      <c r="BN586" s="76" t="s">
        <v>27597</v>
      </c>
      <c r="BO586" s="82" t="str">
        <f>HYPERLINK("https://twitter.com/elpirata_007")</f>
        <v>https://twitter.com/elpirata_007</v>
      </c>
      <c r="BP586" s="2"/>
    </row>
    <row r="587" spans="1:68" x14ac:dyDescent="0.25">
      <c r="A587" s="62" t="s">
        <v>1823</v>
      </c>
      <c r="B587" s="63"/>
      <c r="C587" s="63"/>
      <c r="D587" s="64"/>
      <c r="E587" s="66"/>
      <c r="F587" s="103" t="str">
        <f>HYPERLINK("https://pbs.twimg.com/profile_images/1622017804701519872/V7UVESgd_normal.jpg")</f>
        <v>https://pbs.twimg.com/profile_images/1622017804701519872/V7UVESgd_normal.jpg</v>
      </c>
      <c r="G587" s="63"/>
      <c r="H587" s="67"/>
      <c r="I587" s="68"/>
      <c r="J587" s="68"/>
      <c r="K587" s="67" t="s">
        <v>28181</v>
      </c>
      <c r="L587" s="71"/>
      <c r="M587" s="72"/>
      <c r="N587" s="72"/>
      <c r="O587" s="73"/>
      <c r="P587" s="74"/>
      <c r="Q587" s="74"/>
      <c r="R587" s="87"/>
      <c r="S587" s="87"/>
      <c r="T587" s="87"/>
      <c r="U587" s="87"/>
      <c r="V587" s="48"/>
      <c r="W587" s="48"/>
      <c r="X587" s="48"/>
      <c r="Y587" s="48"/>
      <c r="Z587" s="47"/>
      <c r="AA587" s="69">
        <v>587</v>
      </c>
      <c r="AB587" s="69"/>
      <c r="AC587" s="70"/>
      <c r="AD587" s="76" t="s">
        <v>21824</v>
      </c>
      <c r="AE587" s="81" t="s">
        <v>20259</v>
      </c>
      <c r="AF587" s="76">
        <v>237978</v>
      </c>
      <c r="AG587" s="76">
        <v>3130</v>
      </c>
      <c r="AH587" s="76">
        <v>26626</v>
      </c>
      <c r="AI587" s="76">
        <v>868</v>
      </c>
      <c r="AJ587" s="76">
        <v>5408</v>
      </c>
      <c r="AK587" s="76">
        <v>1694</v>
      </c>
      <c r="AL587" s="76" t="b">
        <v>0</v>
      </c>
      <c r="AM587" s="78">
        <v>39992.503738425927</v>
      </c>
      <c r="AN587" s="76"/>
      <c r="AO587" s="76" t="s">
        <v>25235</v>
      </c>
      <c r="AP587" s="82" t="str">
        <f>HYPERLINK("https://t.co/N79TxwEOwp")</f>
        <v>https://t.co/N79TxwEOwp</v>
      </c>
      <c r="AQ587" s="82" t="str">
        <f>HYPERLINK("http://www.pablorossi.news")</f>
        <v>http://www.pablorossi.news</v>
      </c>
      <c r="AR587" s="76" t="s">
        <v>26690</v>
      </c>
      <c r="AS587" s="76"/>
      <c r="AT587" s="76"/>
      <c r="AU587" s="76"/>
      <c r="AV587" s="76"/>
      <c r="AW587" s="82" t="str">
        <f>HYPERLINK("https://t.co/N79TxwEOwp")</f>
        <v>https://t.co/N79TxwEOwp</v>
      </c>
      <c r="AX587" s="76" t="b">
        <v>0</v>
      </c>
      <c r="AY587" s="76"/>
      <c r="AZ587" s="76"/>
      <c r="BA587" s="76" t="b">
        <v>0</v>
      </c>
      <c r="BB587" s="76" t="b">
        <v>0</v>
      </c>
      <c r="BC587" s="76" t="b">
        <v>1</v>
      </c>
      <c r="BD587" s="76" t="b">
        <v>0</v>
      </c>
      <c r="BE587" s="76" t="b">
        <v>1</v>
      </c>
      <c r="BF587" s="76" t="b">
        <v>0</v>
      </c>
      <c r="BG587" s="76" t="b">
        <v>0</v>
      </c>
      <c r="BH587" s="82" t="str">
        <f>HYPERLINK("https://pbs.twimg.com/profile_banners/51714340/1695681985")</f>
        <v>https://pbs.twimg.com/profile_banners/51714340/1695681985</v>
      </c>
      <c r="BI587" s="76"/>
      <c r="BJ587" s="76" t="s">
        <v>27595</v>
      </c>
      <c r="BK587" s="76" t="b">
        <v>0</v>
      </c>
      <c r="BL587" s="76"/>
      <c r="BM587" s="76" t="s">
        <v>65</v>
      </c>
      <c r="BN587" s="76" t="s">
        <v>27597</v>
      </c>
      <c r="BO587" s="82" t="str">
        <f>HYPERLINK("https://twitter.com/prossioficial")</f>
        <v>https://twitter.com/prossioficial</v>
      </c>
      <c r="BP587" s="2"/>
    </row>
    <row r="588" spans="1:68" x14ac:dyDescent="0.25">
      <c r="A588" s="62" t="s">
        <v>1824</v>
      </c>
      <c r="B588" s="63"/>
      <c r="C588" s="63"/>
      <c r="D588" s="64"/>
      <c r="E588" s="66"/>
      <c r="F588" s="103" t="str">
        <f>HYPERLINK("https://pbs.twimg.com/profile_images/1330737341720371202/79pdaBCU_normal.jpg")</f>
        <v>https://pbs.twimg.com/profile_images/1330737341720371202/79pdaBCU_normal.jpg</v>
      </c>
      <c r="G588" s="63"/>
      <c r="H588" s="67"/>
      <c r="I588" s="68"/>
      <c r="J588" s="68"/>
      <c r="K588" s="67" t="s">
        <v>28182</v>
      </c>
      <c r="L588" s="71"/>
      <c r="M588" s="72"/>
      <c r="N588" s="72"/>
      <c r="O588" s="73"/>
      <c r="P588" s="74"/>
      <c r="Q588" s="74"/>
      <c r="R588" s="87"/>
      <c r="S588" s="87"/>
      <c r="T588" s="87"/>
      <c r="U588" s="87"/>
      <c r="V588" s="48"/>
      <c r="W588" s="48"/>
      <c r="X588" s="48"/>
      <c r="Y588" s="48"/>
      <c r="Z588" s="47"/>
      <c r="AA588" s="69">
        <v>588</v>
      </c>
      <c r="AB588" s="69"/>
      <c r="AC588" s="70"/>
      <c r="AD588" s="76" t="s">
        <v>21825</v>
      </c>
      <c r="AE588" s="81" t="s">
        <v>23375</v>
      </c>
      <c r="AF588" s="76">
        <v>91348</v>
      </c>
      <c r="AG588" s="76">
        <v>755</v>
      </c>
      <c r="AH588" s="76">
        <v>8125</v>
      </c>
      <c r="AI588" s="76">
        <v>198</v>
      </c>
      <c r="AJ588" s="76">
        <v>42194</v>
      </c>
      <c r="AK588" s="76">
        <v>645</v>
      </c>
      <c r="AL588" s="76" t="b">
        <v>0</v>
      </c>
      <c r="AM588" s="78">
        <v>41950.724143518521</v>
      </c>
      <c r="AN588" s="76" t="s">
        <v>24114</v>
      </c>
      <c r="AO588" s="76" t="s">
        <v>25236</v>
      </c>
      <c r="AP588" s="82" t="str">
        <f>HYPERLINK("https://t.co/2vzNr6Akvy")</f>
        <v>https://t.co/2vzNr6Akvy</v>
      </c>
      <c r="AQ588" s="82" t="str">
        <f>HYPERLINK("https://www.marialaurasantillan.com")</f>
        <v>https://www.marialaurasantillan.com</v>
      </c>
      <c r="AR588" s="76" t="s">
        <v>26691</v>
      </c>
      <c r="AS588" s="76"/>
      <c r="AT588" s="76"/>
      <c r="AU588" s="76"/>
      <c r="AV588" s="76"/>
      <c r="AW588" s="82" t="str">
        <f>HYPERLINK("https://t.co/2vzNr6Akvy")</f>
        <v>https://t.co/2vzNr6Akvy</v>
      </c>
      <c r="AX588" s="76" t="b">
        <v>0</v>
      </c>
      <c r="AY588" s="76"/>
      <c r="AZ588" s="76"/>
      <c r="BA588" s="76" t="b">
        <v>0</v>
      </c>
      <c r="BB588" s="76" t="b">
        <v>0</v>
      </c>
      <c r="BC588" s="76" t="b">
        <v>0</v>
      </c>
      <c r="BD588" s="76" t="b">
        <v>0</v>
      </c>
      <c r="BE588" s="76" t="b">
        <v>1</v>
      </c>
      <c r="BF588" s="76" t="b">
        <v>0</v>
      </c>
      <c r="BG588" s="76" t="b">
        <v>0</v>
      </c>
      <c r="BH588" s="82" t="str">
        <f>HYPERLINK("https://pbs.twimg.com/profile_banners/2865924063/1606107481")</f>
        <v>https://pbs.twimg.com/profile_banners/2865924063/1606107481</v>
      </c>
      <c r="BI588" s="76"/>
      <c r="BJ588" s="76" t="s">
        <v>27595</v>
      </c>
      <c r="BK588" s="76" t="b">
        <v>0</v>
      </c>
      <c r="BL588" s="76"/>
      <c r="BM588" s="76" t="s">
        <v>65</v>
      </c>
      <c r="BN588" s="76" t="s">
        <v>27597</v>
      </c>
      <c r="BO588" s="82" t="str">
        <f>HYPERLINK("https://twitter.com/marialauratv")</f>
        <v>https://twitter.com/marialauratv</v>
      </c>
      <c r="BP588" s="2"/>
    </row>
    <row r="589" spans="1:68" x14ac:dyDescent="0.25">
      <c r="A589" s="62" t="s">
        <v>1825</v>
      </c>
      <c r="B589" s="63"/>
      <c r="C589" s="63"/>
      <c r="D589" s="64"/>
      <c r="E589" s="66"/>
      <c r="F589" s="103" t="str">
        <f>HYPERLINK("https://pbs.twimg.com/profile_images/1676257427459837953/zoqx8Sv2_normal.jpg")</f>
        <v>https://pbs.twimg.com/profile_images/1676257427459837953/zoqx8Sv2_normal.jpg</v>
      </c>
      <c r="G589" s="63"/>
      <c r="H589" s="67"/>
      <c r="I589" s="68"/>
      <c r="J589" s="68"/>
      <c r="K589" s="67" t="s">
        <v>28183</v>
      </c>
      <c r="L589" s="71"/>
      <c r="M589" s="72"/>
      <c r="N589" s="72"/>
      <c r="O589" s="73"/>
      <c r="P589" s="74"/>
      <c r="Q589" s="74"/>
      <c r="R589" s="87"/>
      <c r="S589" s="87"/>
      <c r="T589" s="87"/>
      <c r="U589" s="87"/>
      <c r="V589" s="48"/>
      <c r="W589" s="48"/>
      <c r="X589" s="48"/>
      <c r="Y589" s="48"/>
      <c r="Z589" s="47"/>
      <c r="AA589" s="69">
        <v>589</v>
      </c>
      <c r="AB589" s="69"/>
      <c r="AC589" s="70"/>
      <c r="AD589" s="76" t="s">
        <v>21826</v>
      </c>
      <c r="AE589" s="81" t="s">
        <v>23376</v>
      </c>
      <c r="AF589" s="76">
        <v>82571</v>
      </c>
      <c r="AG589" s="76">
        <v>957</v>
      </c>
      <c r="AH589" s="76">
        <v>1652</v>
      </c>
      <c r="AI589" s="76">
        <v>110</v>
      </c>
      <c r="AJ589" s="76">
        <v>8040</v>
      </c>
      <c r="AK589" s="76">
        <v>313</v>
      </c>
      <c r="AL589" s="76" t="b">
        <v>0</v>
      </c>
      <c r="AM589" s="78">
        <v>40997.933171296296</v>
      </c>
      <c r="AN589" s="76" t="s">
        <v>24113</v>
      </c>
      <c r="AO589" s="76" t="s">
        <v>25237</v>
      </c>
      <c r="AP589" s="82" t="str">
        <f>HYPERLINK("https://t.co/XNkpfG2JuX")</f>
        <v>https://t.co/XNkpfG2JuX</v>
      </c>
      <c r="AQ589" s="82" t="str">
        <f>HYPERLINK("https://www.legislatura.gov.ar/legislador/garc%C3%ADamorit%C3%A1nroberto")</f>
        <v>https://www.legislatura.gov.ar/legislador/garc%C3%ADamorit%C3%A1nroberto</v>
      </c>
      <c r="AR589" s="76" t="s">
        <v>26692</v>
      </c>
      <c r="AS589" s="76"/>
      <c r="AT589" s="76"/>
      <c r="AU589" s="76"/>
      <c r="AV589" s="76">
        <v>1.53244339499934E+18</v>
      </c>
      <c r="AW589" s="82" t="str">
        <f>HYPERLINK("https://t.co/XNkpfG2JuX")</f>
        <v>https://t.co/XNkpfG2JuX</v>
      </c>
      <c r="AX589" s="76" t="b">
        <v>1</v>
      </c>
      <c r="AY589" s="76"/>
      <c r="AZ589" s="76"/>
      <c r="BA589" s="76" t="b">
        <v>1</v>
      </c>
      <c r="BB589" s="76" t="b">
        <v>1</v>
      </c>
      <c r="BC589" s="76" t="b">
        <v>0</v>
      </c>
      <c r="BD589" s="76" t="b">
        <v>0</v>
      </c>
      <c r="BE589" s="76" t="b">
        <v>1</v>
      </c>
      <c r="BF589" s="76" t="b">
        <v>0</v>
      </c>
      <c r="BG589" s="76" t="b">
        <v>0</v>
      </c>
      <c r="BH589" s="82" t="str">
        <f>HYPERLINK("https://pbs.twimg.com/profile_banners/540325082/1690679328")</f>
        <v>https://pbs.twimg.com/profile_banners/540325082/1690679328</v>
      </c>
      <c r="BI589" s="76"/>
      <c r="BJ589" s="76" t="s">
        <v>27595</v>
      </c>
      <c r="BK589" s="76" t="b">
        <v>0</v>
      </c>
      <c r="BL589" s="76"/>
      <c r="BM589" s="76" t="s">
        <v>65</v>
      </c>
      <c r="BN589" s="76" t="s">
        <v>27597</v>
      </c>
      <c r="BO589" s="82" t="str">
        <f>HYPERLINK("https://twitter.com/robergmoritan")</f>
        <v>https://twitter.com/robergmoritan</v>
      </c>
      <c r="BP589" s="2"/>
    </row>
    <row r="590" spans="1:68" x14ac:dyDescent="0.25">
      <c r="A590" s="62" t="s">
        <v>1826</v>
      </c>
      <c r="B590" s="63"/>
      <c r="C590" s="63"/>
      <c r="D590" s="64"/>
      <c r="E590" s="66"/>
      <c r="F590" s="103" t="str">
        <f>HYPERLINK("https://pbs.twimg.com/profile_images/1421221924580044800/YV3QcaCT_normal.jpg")</f>
        <v>https://pbs.twimg.com/profile_images/1421221924580044800/YV3QcaCT_normal.jpg</v>
      </c>
      <c r="G590" s="63"/>
      <c r="H590" s="67"/>
      <c r="I590" s="68"/>
      <c r="J590" s="68"/>
      <c r="K590" s="67" t="s">
        <v>28184</v>
      </c>
      <c r="L590" s="71"/>
      <c r="M590" s="72"/>
      <c r="N590" s="72"/>
      <c r="O590" s="73"/>
      <c r="P590" s="74"/>
      <c r="Q590" s="74"/>
      <c r="R590" s="87"/>
      <c r="S590" s="87"/>
      <c r="T590" s="87"/>
      <c r="U590" s="87"/>
      <c r="V590" s="48"/>
      <c r="W590" s="48"/>
      <c r="X590" s="48"/>
      <c r="Y590" s="48"/>
      <c r="Z590" s="47"/>
      <c r="AA590" s="69">
        <v>590</v>
      </c>
      <c r="AB590" s="69"/>
      <c r="AC590" s="70"/>
      <c r="AD590" s="76" t="s">
        <v>21827</v>
      </c>
      <c r="AE590" s="81" t="s">
        <v>20260</v>
      </c>
      <c r="AF590" s="76">
        <v>244645</v>
      </c>
      <c r="AG590" s="76">
        <v>199</v>
      </c>
      <c r="AH590" s="76">
        <v>31448</v>
      </c>
      <c r="AI590" s="76">
        <v>547</v>
      </c>
      <c r="AJ590" s="76">
        <v>282</v>
      </c>
      <c r="AK590" s="76">
        <v>29035</v>
      </c>
      <c r="AL590" s="76" t="b">
        <v>0</v>
      </c>
      <c r="AM590" s="78">
        <v>42640.82953703704</v>
      </c>
      <c r="AN590" s="76" t="s">
        <v>24114</v>
      </c>
      <c r="AO590" s="76" t="s">
        <v>25238</v>
      </c>
      <c r="AP590" s="82" t="str">
        <f>HYPERLINK("https://t.co/j2k3v8ywAc")</f>
        <v>https://t.co/j2k3v8ywAc</v>
      </c>
      <c r="AQ590" s="82" t="str">
        <f>HYPERLINK("https://lnmas.lanacion.com.ar/")</f>
        <v>https://lnmas.lanacion.com.ar/</v>
      </c>
      <c r="AR590" s="76" t="s">
        <v>26693</v>
      </c>
      <c r="AS590" s="76"/>
      <c r="AT590" s="76"/>
      <c r="AU590" s="76"/>
      <c r="AV590" s="76"/>
      <c r="AW590" s="82" t="str">
        <f>HYPERLINK("https://t.co/j2k3v8ywAc")</f>
        <v>https://t.co/j2k3v8ywAc</v>
      </c>
      <c r="AX590" s="76" t="b">
        <v>0</v>
      </c>
      <c r="AY590" s="76"/>
      <c r="AZ590" s="76"/>
      <c r="BA590" s="76" t="b">
        <v>0</v>
      </c>
      <c r="BB590" s="76" t="b">
        <v>0</v>
      </c>
      <c r="BC590" s="76" t="b">
        <v>1</v>
      </c>
      <c r="BD590" s="76" t="b">
        <v>0</v>
      </c>
      <c r="BE590" s="76" t="b">
        <v>1</v>
      </c>
      <c r="BF590" s="76" t="b">
        <v>0</v>
      </c>
      <c r="BG590" s="76" t="b">
        <v>0</v>
      </c>
      <c r="BH590" s="82" t="str">
        <f>HYPERLINK("https://pbs.twimg.com/profile_banners/780858179018035200/1692108145")</f>
        <v>https://pbs.twimg.com/profile_banners/780858179018035200/1692108145</v>
      </c>
      <c r="BI590" s="76"/>
      <c r="BJ590" s="76" t="s">
        <v>27595</v>
      </c>
      <c r="BK590" s="76" t="b">
        <v>0</v>
      </c>
      <c r="BL590" s="76"/>
      <c r="BM590" s="76" t="s">
        <v>65</v>
      </c>
      <c r="BN590" s="76" t="s">
        <v>27597</v>
      </c>
      <c r="BO590" s="82" t="str">
        <f>HYPERLINK("https://twitter.com/lanacionmas")</f>
        <v>https://twitter.com/lanacionmas</v>
      </c>
      <c r="BP590" s="2"/>
    </row>
    <row r="591" spans="1:68" x14ac:dyDescent="0.25">
      <c r="A591" s="62" t="s">
        <v>640</v>
      </c>
      <c r="B591" s="63"/>
      <c r="C591" s="63"/>
      <c r="D591" s="64"/>
      <c r="E591" s="66"/>
      <c r="F591" s="103" t="str">
        <f>HYPERLINK("https://pbs.twimg.com/profile_images/1514999650545070097/6u8HJhIi_normal.jpg")</f>
        <v>https://pbs.twimg.com/profile_images/1514999650545070097/6u8HJhIi_normal.jpg</v>
      </c>
      <c r="G591" s="63"/>
      <c r="H591" s="67"/>
      <c r="I591" s="68"/>
      <c r="J591" s="68"/>
      <c r="K591" s="67" t="s">
        <v>28185</v>
      </c>
      <c r="L591" s="71"/>
      <c r="M591" s="72"/>
      <c r="N591" s="72"/>
      <c r="O591" s="73"/>
      <c r="P591" s="74"/>
      <c r="Q591" s="74"/>
      <c r="R591" s="87"/>
      <c r="S591" s="87"/>
      <c r="T591" s="87"/>
      <c r="U591" s="87"/>
      <c r="V591" s="48"/>
      <c r="W591" s="48"/>
      <c r="X591" s="48"/>
      <c r="Y591" s="48"/>
      <c r="Z591" s="47"/>
      <c r="AA591" s="69">
        <v>591</v>
      </c>
      <c r="AB591" s="69"/>
      <c r="AC591" s="70"/>
      <c r="AD591" s="76" t="s">
        <v>21828</v>
      </c>
      <c r="AE591" s="81" t="s">
        <v>23377</v>
      </c>
      <c r="AF591" s="76">
        <v>10410</v>
      </c>
      <c r="AG591" s="76">
        <v>981</v>
      </c>
      <c r="AH591" s="76">
        <v>67800</v>
      </c>
      <c r="AI591" s="76">
        <v>56</v>
      </c>
      <c r="AJ591" s="76">
        <v>10397</v>
      </c>
      <c r="AK591" s="76">
        <v>19062</v>
      </c>
      <c r="AL591" s="76" t="b">
        <v>0</v>
      </c>
      <c r="AM591" s="78">
        <v>41043.657013888886</v>
      </c>
      <c r="AN591" s="76" t="s">
        <v>24286</v>
      </c>
      <c r="AO591" s="76" t="s">
        <v>25239</v>
      </c>
      <c r="AP591" s="76"/>
      <c r="AQ591" s="76"/>
      <c r="AR591" s="76"/>
      <c r="AS591" s="76"/>
      <c r="AT591" s="76"/>
      <c r="AU591" s="76"/>
      <c r="AV591" s="76"/>
      <c r="AW591" s="76"/>
      <c r="AX591" s="76" t="b">
        <v>0</v>
      </c>
      <c r="AY591" s="76"/>
      <c r="AZ591" s="76"/>
      <c r="BA591" s="76" t="b">
        <v>0</v>
      </c>
      <c r="BB591" s="76" t="b">
        <v>0</v>
      </c>
      <c r="BC591" s="76" t="b">
        <v>1</v>
      </c>
      <c r="BD591" s="76" t="b">
        <v>0</v>
      </c>
      <c r="BE591" s="76" t="b">
        <v>1</v>
      </c>
      <c r="BF591" s="76" t="b">
        <v>0</v>
      </c>
      <c r="BG591" s="76" t="b">
        <v>0</v>
      </c>
      <c r="BH591" s="82" t="str">
        <f>HYPERLINK("https://pbs.twimg.com/profile_banners/580067334/1556392302")</f>
        <v>https://pbs.twimg.com/profile_banners/580067334/1556392302</v>
      </c>
      <c r="BI591" s="76"/>
      <c r="BJ591" s="76" t="s">
        <v>27595</v>
      </c>
      <c r="BK591" s="76" t="b">
        <v>0</v>
      </c>
      <c r="BL591" s="76"/>
      <c r="BM591" s="76" t="s">
        <v>66</v>
      </c>
      <c r="BN591" s="76" t="s">
        <v>27597</v>
      </c>
      <c r="BO591" s="82" t="str">
        <f>HYPERLINK("https://twitter.com/rperiodismo")</f>
        <v>https://twitter.com/rperiodismo</v>
      </c>
      <c r="BP591" s="2"/>
    </row>
    <row r="592" spans="1:68" x14ac:dyDescent="0.25">
      <c r="A592" s="62" t="s">
        <v>641</v>
      </c>
      <c r="B592" s="63"/>
      <c r="C592" s="63"/>
      <c r="D592" s="64"/>
      <c r="E592" s="66"/>
      <c r="F592" s="103" t="str">
        <f>HYPERLINK("https://pbs.twimg.com/profile_images/1693409906907402240/knBwP3Tj_normal.jpg")</f>
        <v>https://pbs.twimg.com/profile_images/1693409906907402240/knBwP3Tj_normal.jpg</v>
      </c>
      <c r="G592" s="63"/>
      <c r="H592" s="67"/>
      <c r="I592" s="68"/>
      <c r="J592" s="68"/>
      <c r="K592" s="67" t="s">
        <v>28186</v>
      </c>
      <c r="L592" s="71"/>
      <c r="M592" s="72"/>
      <c r="N592" s="72"/>
      <c r="O592" s="73"/>
      <c r="P592" s="74"/>
      <c r="Q592" s="74"/>
      <c r="R592" s="87"/>
      <c r="S592" s="87"/>
      <c r="T592" s="87"/>
      <c r="U592" s="87"/>
      <c r="V592" s="48"/>
      <c r="W592" s="48"/>
      <c r="X592" s="48"/>
      <c r="Y592" s="48"/>
      <c r="Z592" s="47"/>
      <c r="AA592" s="69">
        <v>592</v>
      </c>
      <c r="AB592" s="69"/>
      <c r="AC592" s="70"/>
      <c r="AD592" s="76" t="s">
        <v>21829</v>
      </c>
      <c r="AE592" s="81" t="s">
        <v>20699</v>
      </c>
      <c r="AF592" s="76">
        <v>59</v>
      </c>
      <c r="AG592" s="76">
        <v>123</v>
      </c>
      <c r="AH592" s="76">
        <v>560</v>
      </c>
      <c r="AI592" s="76">
        <v>0</v>
      </c>
      <c r="AJ592" s="76">
        <v>3230</v>
      </c>
      <c r="AK592" s="76">
        <v>101</v>
      </c>
      <c r="AL592" s="76" t="b">
        <v>0</v>
      </c>
      <c r="AM592" s="78">
        <v>43075.671111111114</v>
      </c>
      <c r="AN592" s="76"/>
      <c r="AO592" s="76"/>
      <c r="AP592" s="76"/>
      <c r="AQ592" s="76"/>
      <c r="AR592" s="76"/>
      <c r="AS592" s="76"/>
      <c r="AT592" s="76"/>
      <c r="AU592" s="76"/>
      <c r="AV592" s="76"/>
      <c r="AW592" s="76"/>
      <c r="AX592" s="76" t="b">
        <v>0</v>
      </c>
      <c r="AY592" s="76"/>
      <c r="AZ592" s="76"/>
      <c r="BA592" s="76" t="b">
        <v>1</v>
      </c>
      <c r="BB592" s="76" t="b">
        <v>1</v>
      </c>
      <c r="BC592" s="76" t="b">
        <v>1</v>
      </c>
      <c r="BD592" s="76" t="b">
        <v>0</v>
      </c>
      <c r="BE592" s="76" t="b">
        <v>1</v>
      </c>
      <c r="BF592" s="76" t="b">
        <v>0</v>
      </c>
      <c r="BG592" s="76" t="b">
        <v>0</v>
      </c>
      <c r="BH592" s="82" t="str">
        <f>HYPERLINK("https://pbs.twimg.com/profile_banners/938439491131461632/1692575405")</f>
        <v>https://pbs.twimg.com/profile_banners/938439491131461632/1692575405</v>
      </c>
      <c r="BI592" s="76"/>
      <c r="BJ592" s="76" t="s">
        <v>27595</v>
      </c>
      <c r="BK592" s="76" t="b">
        <v>0</v>
      </c>
      <c r="BL592" s="76"/>
      <c r="BM592" s="76" t="s">
        <v>66</v>
      </c>
      <c r="BN592" s="76" t="s">
        <v>27597</v>
      </c>
      <c r="BO592" s="82" t="str">
        <f>HYPERLINK("https://twitter.com/victorpmarques7")</f>
        <v>https://twitter.com/victorpmarques7</v>
      </c>
      <c r="BP592" s="2"/>
    </row>
    <row r="593" spans="1:68" x14ac:dyDescent="0.25">
      <c r="A593" s="62" t="s">
        <v>642</v>
      </c>
      <c r="B593" s="63"/>
      <c r="C593" s="63"/>
      <c r="D593" s="64"/>
      <c r="E593" s="66"/>
      <c r="F593" s="103" t="str">
        <f>HYPERLINK("https://pbs.twimg.com/profile_images/1600909727545933824/NX4vDp0M_normal.jpg")</f>
        <v>https://pbs.twimg.com/profile_images/1600909727545933824/NX4vDp0M_normal.jpg</v>
      </c>
      <c r="G593" s="63"/>
      <c r="H593" s="67"/>
      <c r="I593" s="68"/>
      <c r="J593" s="68"/>
      <c r="K593" s="67" t="s">
        <v>28187</v>
      </c>
      <c r="L593" s="71"/>
      <c r="M593" s="72"/>
      <c r="N593" s="72"/>
      <c r="O593" s="73"/>
      <c r="P593" s="74"/>
      <c r="Q593" s="74"/>
      <c r="R593" s="87"/>
      <c r="S593" s="87"/>
      <c r="T593" s="87"/>
      <c r="U593" s="87"/>
      <c r="V593" s="48"/>
      <c r="W593" s="48"/>
      <c r="X593" s="48"/>
      <c r="Y593" s="48"/>
      <c r="Z593" s="47"/>
      <c r="AA593" s="69">
        <v>593</v>
      </c>
      <c r="AB593" s="69"/>
      <c r="AC593" s="70"/>
      <c r="AD593" s="76" t="s">
        <v>21830</v>
      </c>
      <c r="AE593" s="81" t="s">
        <v>20700</v>
      </c>
      <c r="AF593" s="76">
        <v>28</v>
      </c>
      <c r="AG593" s="76">
        <v>190</v>
      </c>
      <c r="AH593" s="76">
        <v>2726</v>
      </c>
      <c r="AI593" s="76">
        <v>0</v>
      </c>
      <c r="AJ593" s="76">
        <v>16</v>
      </c>
      <c r="AK593" s="76">
        <v>2546</v>
      </c>
      <c r="AL593" s="76" t="b">
        <v>0</v>
      </c>
      <c r="AM593" s="78">
        <v>44903.737835648149</v>
      </c>
      <c r="AN593" s="76" t="s">
        <v>24287</v>
      </c>
      <c r="AO593" s="76" t="s">
        <v>25240</v>
      </c>
      <c r="AP593" s="82" t="str">
        <f>HYPERLINK("https://t.co/kCnmjmzmuf")</f>
        <v>https://t.co/kCnmjmzmuf</v>
      </c>
      <c r="AQ593" s="82" t="str">
        <f>HYPERLINK("https://blogpdanoticia.blogspot.com")</f>
        <v>https://blogpdanoticia.blogspot.com</v>
      </c>
      <c r="AR593" s="76" t="s">
        <v>26694</v>
      </c>
      <c r="AS593" s="76"/>
      <c r="AT593" s="76"/>
      <c r="AU593" s="76"/>
      <c r="AV593" s="76"/>
      <c r="AW593" s="82" t="str">
        <f>HYPERLINK("https://t.co/kCnmjmzmuf")</f>
        <v>https://t.co/kCnmjmzmuf</v>
      </c>
      <c r="AX593" s="76" t="b">
        <v>0</v>
      </c>
      <c r="AY593" s="76"/>
      <c r="AZ593" s="76"/>
      <c r="BA593" s="76" t="b">
        <v>0</v>
      </c>
      <c r="BB593" s="76" t="b">
        <v>1</v>
      </c>
      <c r="BC593" s="76" t="b">
        <v>1</v>
      </c>
      <c r="BD593" s="76" t="b">
        <v>0</v>
      </c>
      <c r="BE593" s="76" t="b">
        <v>0</v>
      </c>
      <c r="BF593" s="76" t="b">
        <v>0</v>
      </c>
      <c r="BG593" s="76" t="b">
        <v>0</v>
      </c>
      <c r="BH593" s="82" t="str">
        <f>HYPERLINK("https://pbs.twimg.com/profile_banners/1600908543795888128/1670521485")</f>
        <v>https://pbs.twimg.com/profile_banners/1600908543795888128/1670521485</v>
      </c>
      <c r="BI593" s="76"/>
      <c r="BJ593" s="76" t="s">
        <v>27595</v>
      </c>
      <c r="BK593" s="76" t="b">
        <v>0</v>
      </c>
      <c r="BL593" s="76"/>
      <c r="BM593" s="76" t="s">
        <v>66</v>
      </c>
      <c r="BN593" s="76" t="s">
        <v>27597</v>
      </c>
      <c r="BO593" s="82" t="str">
        <f>HYPERLINK("https://twitter.com/blogpdnoticia")</f>
        <v>https://twitter.com/blogpdnoticia</v>
      </c>
      <c r="BP593" s="2"/>
    </row>
    <row r="594" spans="1:68" x14ac:dyDescent="0.25">
      <c r="A594" s="62" t="s">
        <v>643</v>
      </c>
      <c r="B594" s="63"/>
      <c r="C594" s="63"/>
      <c r="D594" s="64"/>
      <c r="E594" s="66"/>
      <c r="F594" s="103" t="str">
        <f>HYPERLINK("https://pbs.twimg.com/profile_images/1654625094965030912/ROZsUgq7_normal.jpg")</f>
        <v>https://pbs.twimg.com/profile_images/1654625094965030912/ROZsUgq7_normal.jpg</v>
      </c>
      <c r="G594" s="63"/>
      <c r="H594" s="67"/>
      <c r="I594" s="68"/>
      <c r="J594" s="68"/>
      <c r="K594" s="67" t="s">
        <v>28188</v>
      </c>
      <c r="L594" s="71"/>
      <c r="M594" s="72"/>
      <c r="N594" s="72"/>
      <c r="O594" s="73"/>
      <c r="P594" s="74"/>
      <c r="Q594" s="74"/>
      <c r="R594" s="87"/>
      <c r="S594" s="87"/>
      <c r="T594" s="87"/>
      <c r="U594" s="87"/>
      <c r="V594" s="48"/>
      <c r="W594" s="48"/>
      <c r="X594" s="48"/>
      <c r="Y594" s="48"/>
      <c r="Z594" s="47"/>
      <c r="AA594" s="69">
        <v>594</v>
      </c>
      <c r="AB594" s="69"/>
      <c r="AC594" s="70"/>
      <c r="AD594" s="76" t="s">
        <v>21831</v>
      </c>
      <c r="AE594" s="81" t="s">
        <v>20701</v>
      </c>
      <c r="AF594" s="76">
        <v>0</v>
      </c>
      <c r="AG594" s="76">
        <v>66</v>
      </c>
      <c r="AH594" s="76">
        <v>66</v>
      </c>
      <c r="AI594" s="76">
        <v>0</v>
      </c>
      <c r="AJ594" s="76">
        <v>28</v>
      </c>
      <c r="AK594" s="76">
        <v>32</v>
      </c>
      <c r="AL594" s="76" t="b">
        <v>0</v>
      </c>
      <c r="AM594" s="78">
        <v>44612.907997685186</v>
      </c>
      <c r="AN594" s="76"/>
      <c r="AO594" s="76" t="s">
        <v>25241</v>
      </c>
      <c r="AP594" s="82" t="str">
        <f>HYPERLINK("https://t.co/4rUgkz8Ira")</f>
        <v>https://t.co/4rUgkz8Ira</v>
      </c>
      <c r="AQ594" s="82" t="str">
        <f>HYPERLINK("https://soutorres.blogspot.com/?zx=58b38b5b7e2022d3")</f>
        <v>https://soutorres.blogspot.com/?zx=58b38b5b7e2022d3</v>
      </c>
      <c r="AR594" s="76" t="s">
        <v>26695</v>
      </c>
      <c r="AS594" s="76"/>
      <c r="AT594" s="76"/>
      <c r="AU594" s="76"/>
      <c r="AV594" s="76"/>
      <c r="AW594" s="82" t="str">
        <f>HYPERLINK("https://t.co/4rUgkz8Ira")</f>
        <v>https://t.co/4rUgkz8Ira</v>
      </c>
      <c r="AX594" s="76" t="b">
        <v>0</v>
      </c>
      <c r="AY594" s="76"/>
      <c r="AZ594" s="76"/>
      <c r="BA594" s="76" t="b">
        <v>0</v>
      </c>
      <c r="BB594" s="76" t="b">
        <v>1</v>
      </c>
      <c r="BC594" s="76" t="b">
        <v>1</v>
      </c>
      <c r="BD594" s="76" t="b">
        <v>0</v>
      </c>
      <c r="BE594" s="76" t="b">
        <v>0</v>
      </c>
      <c r="BF594" s="76" t="b">
        <v>0</v>
      </c>
      <c r="BG594" s="76" t="b">
        <v>0</v>
      </c>
      <c r="BH594" s="82" t="str">
        <f>HYPERLINK("https://pbs.twimg.com/profile_banners/1495515406374690816/1676230726")</f>
        <v>https://pbs.twimg.com/profile_banners/1495515406374690816/1676230726</v>
      </c>
      <c r="BI594" s="76"/>
      <c r="BJ594" s="76" t="s">
        <v>27595</v>
      </c>
      <c r="BK594" s="76" t="b">
        <v>0</v>
      </c>
      <c r="BL594" s="76"/>
      <c r="BM594" s="76" t="s">
        <v>66</v>
      </c>
      <c r="BN594" s="76" t="s">
        <v>27597</v>
      </c>
      <c r="BO594" s="82" t="str">
        <f>HYPERLINK("https://twitter.com/andreluiztorr11")</f>
        <v>https://twitter.com/andreluiztorr11</v>
      </c>
      <c r="BP594" s="2"/>
    </row>
    <row r="595" spans="1:68" x14ac:dyDescent="0.25">
      <c r="A595" s="62" t="s">
        <v>644</v>
      </c>
      <c r="B595" s="63"/>
      <c r="C595" s="63"/>
      <c r="D595" s="64"/>
      <c r="E595" s="66"/>
      <c r="F595" s="103" t="str">
        <f>HYPERLINK("https://pbs.twimg.com/profile_images/1704968839010668544/X8jJMWNr_normal.jpg")</f>
        <v>https://pbs.twimg.com/profile_images/1704968839010668544/X8jJMWNr_normal.jpg</v>
      </c>
      <c r="G595" s="63"/>
      <c r="H595" s="67"/>
      <c r="I595" s="68"/>
      <c r="J595" s="68"/>
      <c r="K595" s="67" t="s">
        <v>28189</v>
      </c>
      <c r="L595" s="71"/>
      <c r="M595" s="72"/>
      <c r="N595" s="72"/>
      <c r="O595" s="73"/>
      <c r="P595" s="74"/>
      <c r="Q595" s="74"/>
      <c r="R595" s="87"/>
      <c r="S595" s="87"/>
      <c r="T595" s="87"/>
      <c r="U595" s="87"/>
      <c r="V595" s="48"/>
      <c r="W595" s="48"/>
      <c r="X595" s="48"/>
      <c r="Y595" s="48"/>
      <c r="Z595" s="47"/>
      <c r="AA595" s="69">
        <v>595</v>
      </c>
      <c r="AB595" s="69"/>
      <c r="AC595" s="70"/>
      <c r="AD595" s="76" t="s">
        <v>21832</v>
      </c>
      <c r="AE595" s="81" t="s">
        <v>23378</v>
      </c>
      <c r="AF595" s="76">
        <v>45516</v>
      </c>
      <c r="AG595" s="76">
        <v>2765</v>
      </c>
      <c r="AH595" s="76">
        <v>60145</v>
      </c>
      <c r="AI595" s="76">
        <v>234</v>
      </c>
      <c r="AJ595" s="76">
        <v>1163</v>
      </c>
      <c r="AK595" s="76">
        <v>17087</v>
      </c>
      <c r="AL595" s="76" t="b">
        <v>0</v>
      </c>
      <c r="AM595" s="78">
        <v>40170.846435185187</v>
      </c>
      <c r="AN595" s="76" t="s">
        <v>24288</v>
      </c>
      <c r="AO595" s="76" t="s">
        <v>25242</v>
      </c>
      <c r="AP595" s="82" t="str">
        <f>HYPERLINK("https://t.co/MSRmBUszee")</f>
        <v>https://t.co/MSRmBUszee</v>
      </c>
      <c r="AQ595" s="82" t="str">
        <f>HYPERLINK("http://www.diarioelcentro.cl")</f>
        <v>http://www.diarioelcentro.cl</v>
      </c>
      <c r="AR595" s="76" t="s">
        <v>8714</v>
      </c>
      <c r="AS595" s="76" t="s">
        <v>27379</v>
      </c>
      <c r="AT595" s="76" t="s">
        <v>27418</v>
      </c>
      <c r="AU595" s="76" t="s">
        <v>27486</v>
      </c>
      <c r="AV595" s="76">
        <v>1.7019722394180401E+18</v>
      </c>
      <c r="AW595" s="82" t="str">
        <f>HYPERLINK("https://t.co/MSRmBUszee")</f>
        <v>https://t.co/MSRmBUszee</v>
      </c>
      <c r="AX595" s="76" t="b">
        <v>1</v>
      </c>
      <c r="AY595" s="76"/>
      <c r="AZ595" s="76"/>
      <c r="BA595" s="76" t="b">
        <v>0</v>
      </c>
      <c r="BB595" s="76" t="b">
        <v>1</v>
      </c>
      <c r="BC595" s="76" t="b">
        <v>0</v>
      </c>
      <c r="BD595" s="76" t="b">
        <v>0</v>
      </c>
      <c r="BE595" s="76" t="b">
        <v>1</v>
      </c>
      <c r="BF595" s="76" t="b">
        <v>0</v>
      </c>
      <c r="BG595" s="76" t="b">
        <v>0</v>
      </c>
      <c r="BH595" s="82" t="str">
        <f>HYPERLINK("https://pbs.twimg.com/profile_banners/98952456/1682574648")</f>
        <v>https://pbs.twimg.com/profile_banners/98952456/1682574648</v>
      </c>
      <c r="BI595" s="76"/>
      <c r="BJ595" s="76" t="s">
        <v>27595</v>
      </c>
      <c r="BK595" s="76" t="b">
        <v>0</v>
      </c>
      <c r="BL595" s="76"/>
      <c r="BM595" s="76" t="s">
        <v>66</v>
      </c>
      <c r="BN595" s="76" t="s">
        <v>27597</v>
      </c>
      <c r="BO595" s="82" t="str">
        <f>HYPERLINK("https://twitter.com/diarioelcentro")</f>
        <v>https://twitter.com/diarioelcentro</v>
      </c>
      <c r="BP595" s="2"/>
    </row>
    <row r="596" spans="1:68" x14ac:dyDescent="0.25">
      <c r="A596" s="62" t="s">
        <v>645</v>
      </c>
      <c r="B596" s="63"/>
      <c r="C596" s="63"/>
      <c r="D596" s="64"/>
      <c r="E596" s="66"/>
      <c r="F596" s="103" t="str">
        <f>HYPERLINK("https://pbs.twimg.com/profile_images/734540003255197696/5ojVTgof_normal.jpg")</f>
        <v>https://pbs.twimg.com/profile_images/734540003255197696/5ojVTgof_normal.jpg</v>
      </c>
      <c r="G596" s="63"/>
      <c r="H596" s="67"/>
      <c r="I596" s="68"/>
      <c r="J596" s="68"/>
      <c r="K596" s="67" t="s">
        <v>28190</v>
      </c>
      <c r="L596" s="71"/>
      <c r="M596" s="72"/>
      <c r="N596" s="72"/>
      <c r="O596" s="73"/>
      <c r="P596" s="74"/>
      <c r="Q596" s="74"/>
      <c r="R596" s="87"/>
      <c r="S596" s="87"/>
      <c r="T596" s="87"/>
      <c r="U596" s="87"/>
      <c r="V596" s="48"/>
      <c r="W596" s="48"/>
      <c r="X596" s="48"/>
      <c r="Y596" s="48"/>
      <c r="Z596" s="47"/>
      <c r="AA596" s="69">
        <v>596</v>
      </c>
      <c r="AB596" s="69"/>
      <c r="AC596" s="70"/>
      <c r="AD596" s="76" t="s">
        <v>21833</v>
      </c>
      <c r="AE596" s="81" t="s">
        <v>23379</v>
      </c>
      <c r="AF596" s="76">
        <v>2282</v>
      </c>
      <c r="AG596" s="76">
        <v>382</v>
      </c>
      <c r="AH596" s="76">
        <v>4821</v>
      </c>
      <c r="AI596" s="76">
        <v>6</v>
      </c>
      <c r="AJ596" s="76">
        <v>2938</v>
      </c>
      <c r="AK596" s="76">
        <v>1048</v>
      </c>
      <c r="AL596" s="76" t="b">
        <v>0</v>
      </c>
      <c r="AM596" s="78">
        <v>41176.968622685185</v>
      </c>
      <c r="AN596" s="76" t="s">
        <v>24289</v>
      </c>
      <c r="AO596" s="76" t="s">
        <v>25243</v>
      </c>
      <c r="AP596" s="76"/>
      <c r="AQ596" s="76"/>
      <c r="AR596" s="76"/>
      <c r="AS596" s="76"/>
      <c r="AT596" s="76"/>
      <c r="AU596" s="76"/>
      <c r="AV596" s="76"/>
      <c r="AW596" s="76"/>
      <c r="AX596" s="76" t="b">
        <v>0</v>
      </c>
      <c r="AY596" s="76"/>
      <c r="AZ596" s="76"/>
      <c r="BA596" s="76" t="b">
        <v>1</v>
      </c>
      <c r="BB596" s="76" t="b">
        <v>1</v>
      </c>
      <c r="BC596" s="76" t="b">
        <v>1</v>
      </c>
      <c r="BD596" s="76" t="b">
        <v>0</v>
      </c>
      <c r="BE596" s="76" t="b">
        <v>0</v>
      </c>
      <c r="BF596" s="76" t="b">
        <v>0</v>
      </c>
      <c r="BG596" s="76" t="b">
        <v>0</v>
      </c>
      <c r="BH596" s="82" t="str">
        <f>HYPERLINK("https://pbs.twimg.com/profile_banners/844465704/1616344899")</f>
        <v>https://pbs.twimg.com/profile_banners/844465704/1616344899</v>
      </c>
      <c r="BI596" s="76"/>
      <c r="BJ596" s="76" t="s">
        <v>27595</v>
      </c>
      <c r="BK596" s="76" t="b">
        <v>0</v>
      </c>
      <c r="BL596" s="76"/>
      <c r="BM596" s="76" t="s">
        <v>66</v>
      </c>
      <c r="BN596" s="76" t="s">
        <v>27597</v>
      </c>
      <c r="BO596" s="82" t="str">
        <f>HYPERLINK("https://twitter.com/ronyfeeneykraus")</f>
        <v>https://twitter.com/ronyfeeneykraus</v>
      </c>
      <c r="BP596" s="2"/>
    </row>
    <row r="597" spans="1:68" x14ac:dyDescent="0.25">
      <c r="A597" s="62" t="s">
        <v>646</v>
      </c>
      <c r="B597" s="63"/>
      <c r="C597" s="63"/>
      <c r="D597" s="64"/>
      <c r="E597" s="66"/>
      <c r="F597" s="103" t="str">
        <f>HYPERLINK("https://pbs.twimg.com/profile_images/1258752055545659392/zaDrAhJX_normal.jpg")</f>
        <v>https://pbs.twimg.com/profile_images/1258752055545659392/zaDrAhJX_normal.jpg</v>
      </c>
      <c r="G597" s="63"/>
      <c r="H597" s="67"/>
      <c r="I597" s="68"/>
      <c r="J597" s="68"/>
      <c r="K597" s="67" t="s">
        <v>28191</v>
      </c>
      <c r="L597" s="71"/>
      <c r="M597" s="72"/>
      <c r="N597" s="72"/>
      <c r="O597" s="73"/>
      <c r="P597" s="74"/>
      <c r="Q597" s="74"/>
      <c r="R597" s="87"/>
      <c r="S597" s="87"/>
      <c r="T597" s="87"/>
      <c r="U597" s="87"/>
      <c r="V597" s="48"/>
      <c r="W597" s="48"/>
      <c r="X597" s="48"/>
      <c r="Y597" s="48"/>
      <c r="Z597" s="47"/>
      <c r="AA597" s="69">
        <v>597</v>
      </c>
      <c r="AB597" s="69"/>
      <c r="AC597" s="70"/>
      <c r="AD597" s="76" t="s">
        <v>21834</v>
      </c>
      <c r="AE597" s="81" t="s">
        <v>23380</v>
      </c>
      <c r="AF597" s="76">
        <v>102</v>
      </c>
      <c r="AG597" s="76">
        <v>431</v>
      </c>
      <c r="AH597" s="76">
        <v>3243</v>
      </c>
      <c r="AI597" s="76">
        <v>0</v>
      </c>
      <c r="AJ597" s="76">
        <v>186</v>
      </c>
      <c r="AK597" s="76">
        <v>98</v>
      </c>
      <c r="AL597" s="76" t="b">
        <v>0</v>
      </c>
      <c r="AM597" s="78">
        <v>40817.308483796296</v>
      </c>
      <c r="AN597" s="76" t="s">
        <v>24290</v>
      </c>
      <c r="AO597" s="76" t="s">
        <v>25244</v>
      </c>
      <c r="AP597" s="82" t="str">
        <f>HYPERLINK("https://t.co/PnWm016GVF")</f>
        <v>https://t.co/PnWm016GVF</v>
      </c>
      <c r="AQ597" s="82" t="str">
        <f>HYPERLINK("http://smarturl.it/ajn")</f>
        <v>http://smarturl.it/ajn</v>
      </c>
      <c r="AR597" s="76" t="s">
        <v>26696</v>
      </c>
      <c r="AS597" s="76"/>
      <c r="AT597" s="76"/>
      <c r="AU597" s="76"/>
      <c r="AV597" s="76">
        <v>1.12641443610805E+18</v>
      </c>
      <c r="AW597" s="82" t="str">
        <f>HYPERLINK("https://t.co/PnWm016GVF")</f>
        <v>https://t.co/PnWm016GVF</v>
      </c>
      <c r="AX597" s="76" t="b">
        <v>0</v>
      </c>
      <c r="AY597" s="76"/>
      <c r="AZ597" s="76"/>
      <c r="BA597" s="76" t="b">
        <v>0</v>
      </c>
      <c r="BB597" s="76" t="b">
        <v>1</v>
      </c>
      <c r="BC597" s="76" t="b">
        <v>0</v>
      </c>
      <c r="BD597" s="76" t="b">
        <v>0</v>
      </c>
      <c r="BE597" s="76" t="b">
        <v>1</v>
      </c>
      <c r="BF597" s="76" t="b">
        <v>0</v>
      </c>
      <c r="BG597" s="76" t="b">
        <v>0</v>
      </c>
      <c r="BH597" s="82" t="str">
        <f>HYPERLINK("https://pbs.twimg.com/profile_banners/383085815/1587485076")</f>
        <v>https://pbs.twimg.com/profile_banners/383085815/1587485076</v>
      </c>
      <c r="BI597" s="76"/>
      <c r="BJ597" s="76" t="s">
        <v>27595</v>
      </c>
      <c r="BK597" s="76" t="b">
        <v>0</v>
      </c>
      <c r="BL597" s="76"/>
      <c r="BM597" s="76" t="s">
        <v>66</v>
      </c>
      <c r="BN597" s="76" t="s">
        <v>27597</v>
      </c>
      <c r="BO597" s="82" t="str">
        <f>HYPERLINK("https://twitter.com/iamaureo")</f>
        <v>https://twitter.com/iamaureo</v>
      </c>
      <c r="BP597" s="2"/>
    </row>
    <row r="598" spans="1:68" x14ac:dyDescent="0.25">
      <c r="A598" s="62" t="s">
        <v>647</v>
      </c>
      <c r="B598" s="63"/>
      <c r="C598" s="63"/>
      <c r="D598" s="64"/>
      <c r="E598" s="66"/>
      <c r="F598" s="103" t="str">
        <f>HYPERLINK("https://pbs.twimg.com/profile_images/1473113888371576833/aobJkV8Q_normal.jpg")</f>
        <v>https://pbs.twimg.com/profile_images/1473113888371576833/aobJkV8Q_normal.jpg</v>
      </c>
      <c r="G598" s="63"/>
      <c r="H598" s="67"/>
      <c r="I598" s="68"/>
      <c r="J598" s="68"/>
      <c r="K598" s="67" t="s">
        <v>28192</v>
      </c>
      <c r="L598" s="71"/>
      <c r="M598" s="72"/>
      <c r="N598" s="72"/>
      <c r="O598" s="73"/>
      <c r="P598" s="74"/>
      <c r="Q598" s="74"/>
      <c r="R598" s="87"/>
      <c r="S598" s="87"/>
      <c r="T598" s="87"/>
      <c r="U598" s="87"/>
      <c r="V598" s="48"/>
      <c r="W598" s="48"/>
      <c r="X598" s="48"/>
      <c r="Y598" s="48"/>
      <c r="Z598" s="47"/>
      <c r="AA598" s="69">
        <v>598</v>
      </c>
      <c r="AB598" s="69"/>
      <c r="AC598" s="70"/>
      <c r="AD598" s="76" t="s">
        <v>21835</v>
      </c>
      <c r="AE598" s="81" t="s">
        <v>20702</v>
      </c>
      <c r="AF598" s="76">
        <v>92</v>
      </c>
      <c r="AG598" s="76">
        <v>158</v>
      </c>
      <c r="AH598" s="76">
        <v>15473</v>
      </c>
      <c r="AI598" s="76">
        <v>0</v>
      </c>
      <c r="AJ598" s="76">
        <v>1125</v>
      </c>
      <c r="AK598" s="76">
        <v>877</v>
      </c>
      <c r="AL598" s="76" t="b">
        <v>0</v>
      </c>
      <c r="AM598" s="78">
        <v>44551.085914351854</v>
      </c>
      <c r="AN598" s="76"/>
      <c r="AO598" s="76" t="s">
        <v>25245</v>
      </c>
      <c r="AP598" s="76"/>
      <c r="AQ598" s="76"/>
      <c r="AR598" s="76"/>
      <c r="AS598" s="76"/>
      <c r="AT598" s="76"/>
      <c r="AU598" s="76"/>
      <c r="AV598" s="76"/>
      <c r="AW598" s="76"/>
      <c r="AX598" s="76" t="b">
        <v>0</v>
      </c>
      <c r="AY598" s="76"/>
      <c r="AZ598" s="76"/>
      <c r="BA598" s="76" t="b">
        <v>0</v>
      </c>
      <c r="BB598" s="76" t="b">
        <v>1</v>
      </c>
      <c r="BC598" s="76" t="b">
        <v>1</v>
      </c>
      <c r="BD598" s="76" t="b">
        <v>0</v>
      </c>
      <c r="BE598" s="76" t="b">
        <v>1</v>
      </c>
      <c r="BF598" s="76" t="b">
        <v>0</v>
      </c>
      <c r="BG598" s="76" t="b">
        <v>0</v>
      </c>
      <c r="BH598" s="76"/>
      <c r="BI598" s="76"/>
      <c r="BJ598" s="76" t="s">
        <v>27595</v>
      </c>
      <c r="BK598" s="76" t="b">
        <v>0</v>
      </c>
      <c r="BL598" s="76"/>
      <c r="BM598" s="76" t="s">
        <v>66</v>
      </c>
      <c r="BN598" s="76" t="s">
        <v>27597</v>
      </c>
      <c r="BO598" s="82" t="str">
        <f>HYPERLINK("https://twitter.com/humbertomayora8")</f>
        <v>https://twitter.com/humbertomayora8</v>
      </c>
      <c r="BP598" s="2"/>
    </row>
    <row r="599" spans="1:68" x14ac:dyDescent="0.25">
      <c r="A599" s="62" t="s">
        <v>1827</v>
      </c>
      <c r="B599" s="63"/>
      <c r="C599" s="63"/>
      <c r="D599" s="64"/>
      <c r="E599" s="66"/>
      <c r="F599" s="103" t="str">
        <f>HYPERLINK("https://pbs.twimg.com/profile_images/1427292844612595720/RC1YSvuT_normal.jpg")</f>
        <v>https://pbs.twimg.com/profile_images/1427292844612595720/RC1YSvuT_normal.jpg</v>
      </c>
      <c r="G599" s="63"/>
      <c r="H599" s="67"/>
      <c r="I599" s="68"/>
      <c r="J599" s="68"/>
      <c r="K599" s="67" t="s">
        <v>28193</v>
      </c>
      <c r="L599" s="71"/>
      <c r="M599" s="72"/>
      <c r="N599" s="72"/>
      <c r="O599" s="73"/>
      <c r="P599" s="74"/>
      <c r="Q599" s="74"/>
      <c r="R599" s="87"/>
      <c r="S599" s="87"/>
      <c r="T599" s="87"/>
      <c r="U599" s="87"/>
      <c r="V599" s="48"/>
      <c r="W599" s="48"/>
      <c r="X599" s="48"/>
      <c r="Y599" s="48"/>
      <c r="Z599" s="47"/>
      <c r="AA599" s="69">
        <v>599</v>
      </c>
      <c r="AB599" s="69"/>
      <c r="AC599" s="70"/>
      <c r="AD599" s="76" t="s">
        <v>21836</v>
      </c>
      <c r="AE599" s="81" t="s">
        <v>23381</v>
      </c>
      <c r="AF599" s="76">
        <v>79312780</v>
      </c>
      <c r="AG599" s="76">
        <v>1179</v>
      </c>
      <c r="AH599" s="76">
        <v>56614</v>
      </c>
      <c r="AI599" s="76">
        <v>79879</v>
      </c>
      <c r="AJ599" s="76">
        <v>6177</v>
      </c>
      <c r="AK599" s="76">
        <v>15682</v>
      </c>
      <c r="AL599" s="76" t="b">
        <v>0</v>
      </c>
      <c r="AM599" s="78">
        <v>39399.905393518522</v>
      </c>
      <c r="AN599" s="76" t="s">
        <v>24291</v>
      </c>
      <c r="AO599" s="76" t="s">
        <v>25246</v>
      </c>
      <c r="AP599" s="82" t="str">
        <f>HYPERLINK("https://t.co/bUisN3Y1A6")</f>
        <v>https://t.co/bUisN3Y1A6</v>
      </c>
      <c r="AQ599" s="82" t="str">
        <f>HYPERLINK("http://youtube.com")</f>
        <v>http://youtube.com</v>
      </c>
      <c r="AR599" s="76" t="s">
        <v>8612</v>
      </c>
      <c r="AS599" s="76"/>
      <c r="AT599" s="76"/>
      <c r="AU599" s="76"/>
      <c r="AV599" s="76"/>
      <c r="AW599" s="82" t="str">
        <f>HYPERLINK("https://t.co/bUisN3Y1A6")</f>
        <v>https://t.co/bUisN3Y1A6</v>
      </c>
      <c r="AX599" s="76" t="b">
        <v>1</v>
      </c>
      <c r="AY599" s="76"/>
      <c r="AZ599" s="76"/>
      <c r="BA599" s="76" t="b">
        <v>0</v>
      </c>
      <c r="BB599" s="76" t="b">
        <v>1</v>
      </c>
      <c r="BC599" s="76" t="b">
        <v>0</v>
      </c>
      <c r="BD599" s="76" t="b">
        <v>0</v>
      </c>
      <c r="BE599" s="76" t="b">
        <v>1</v>
      </c>
      <c r="BF599" s="76" t="b">
        <v>0</v>
      </c>
      <c r="BG599" s="76" t="b">
        <v>0</v>
      </c>
      <c r="BH599" s="82" t="str">
        <f>HYPERLINK("https://pbs.twimg.com/profile_banners/10228272/1694793799")</f>
        <v>https://pbs.twimg.com/profile_banners/10228272/1694793799</v>
      </c>
      <c r="BI599" s="76"/>
      <c r="BJ599" s="76" t="s">
        <v>27596</v>
      </c>
      <c r="BK599" s="76" t="b">
        <v>0</v>
      </c>
      <c r="BL599" s="76"/>
      <c r="BM599" s="76" t="s">
        <v>65</v>
      </c>
      <c r="BN599" s="76" t="s">
        <v>27597</v>
      </c>
      <c r="BO599" s="82" t="str">
        <f>HYPERLINK("https://twitter.com/youtube")</f>
        <v>https://twitter.com/youtube</v>
      </c>
      <c r="BP599" s="2"/>
    </row>
    <row r="600" spans="1:68" x14ac:dyDescent="0.25">
      <c r="A600" s="62" t="s">
        <v>1828</v>
      </c>
      <c r="B600" s="63"/>
      <c r="C600" s="63"/>
      <c r="D600" s="64"/>
      <c r="E600" s="66"/>
      <c r="F600" s="103" t="str">
        <f>HYPERLINK("https://pbs.twimg.com/profile_images/1503799337897373702/f7UlmR1e_normal.jpg")</f>
        <v>https://pbs.twimg.com/profile_images/1503799337897373702/f7UlmR1e_normal.jpg</v>
      </c>
      <c r="G600" s="63"/>
      <c r="H600" s="67"/>
      <c r="I600" s="68"/>
      <c r="J600" s="68"/>
      <c r="K600" s="67" t="s">
        <v>28194</v>
      </c>
      <c r="L600" s="71"/>
      <c r="M600" s="72"/>
      <c r="N600" s="72"/>
      <c r="O600" s="73"/>
      <c r="P600" s="74"/>
      <c r="Q600" s="74"/>
      <c r="R600" s="87"/>
      <c r="S600" s="87"/>
      <c r="T600" s="87"/>
      <c r="U600" s="87"/>
      <c r="V600" s="48"/>
      <c r="W600" s="48"/>
      <c r="X600" s="48"/>
      <c r="Y600" s="48"/>
      <c r="Z600" s="47"/>
      <c r="AA600" s="69">
        <v>600</v>
      </c>
      <c r="AB600" s="69"/>
      <c r="AC600" s="70"/>
      <c r="AD600" s="76" t="s">
        <v>21837</v>
      </c>
      <c r="AE600" s="81" t="s">
        <v>20366</v>
      </c>
      <c r="AF600" s="76">
        <v>923697</v>
      </c>
      <c r="AG600" s="76">
        <v>18</v>
      </c>
      <c r="AH600" s="76">
        <v>28860</v>
      </c>
      <c r="AI600" s="76">
        <v>3264</v>
      </c>
      <c r="AJ600" s="76">
        <v>6370</v>
      </c>
      <c r="AK600" s="76">
        <v>1779</v>
      </c>
      <c r="AL600" s="76" t="b">
        <v>0</v>
      </c>
      <c r="AM600" s="78">
        <v>40103.208379629628</v>
      </c>
      <c r="AN600" s="76" t="s">
        <v>24292</v>
      </c>
      <c r="AO600" s="76" t="s">
        <v>25247</v>
      </c>
      <c r="AP600" s="82" t="str">
        <f>HYPERLINK("https://t.co/OS7JaavI4h")</f>
        <v>https://t.co/OS7JaavI4h</v>
      </c>
      <c r="AQ600" s="82" t="str">
        <f>HYPERLINK("http://www.banxico.org.mx")</f>
        <v>http://www.banxico.org.mx</v>
      </c>
      <c r="AR600" s="76" t="s">
        <v>26697</v>
      </c>
      <c r="AS600" s="82" t="str">
        <f>HYPERLINK("https://t.co/OS7JaavI4h")</f>
        <v>https://t.co/OS7JaavI4h</v>
      </c>
      <c r="AT600" s="82" t="str">
        <f>HYPERLINK("http://www.banxico.org.mx")</f>
        <v>http://www.banxico.org.mx</v>
      </c>
      <c r="AU600" s="76" t="s">
        <v>26697</v>
      </c>
      <c r="AV600" s="76">
        <v>1.70747052015185E+18</v>
      </c>
      <c r="AW600" s="82" t="str">
        <f>HYPERLINK("https://t.co/OS7JaavI4h")</f>
        <v>https://t.co/OS7JaavI4h</v>
      </c>
      <c r="AX600" s="76" t="b">
        <v>0</v>
      </c>
      <c r="AY600" s="76"/>
      <c r="AZ600" s="76"/>
      <c r="BA600" s="76" t="b">
        <v>0</v>
      </c>
      <c r="BB600" s="76" t="b">
        <v>1</v>
      </c>
      <c r="BC600" s="76" t="b">
        <v>0</v>
      </c>
      <c r="BD600" s="76" t="b">
        <v>0</v>
      </c>
      <c r="BE600" s="76" t="b">
        <v>1</v>
      </c>
      <c r="BF600" s="76" t="b">
        <v>0</v>
      </c>
      <c r="BG600" s="76" t="b">
        <v>0</v>
      </c>
      <c r="BH600" s="82" t="str">
        <f>HYPERLINK("https://pbs.twimg.com/profile_banners/83060037/1609816461")</f>
        <v>https://pbs.twimg.com/profile_banners/83060037/1609816461</v>
      </c>
      <c r="BI600" s="76"/>
      <c r="BJ600" s="76" t="s">
        <v>27595</v>
      </c>
      <c r="BK600" s="76" t="b">
        <v>0</v>
      </c>
      <c r="BL600" s="76"/>
      <c r="BM600" s="76" t="s">
        <v>65</v>
      </c>
      <c r="BN600" s="76" t="s">
        <v>27597</v>
      </c>
      <c r="BO600" s="82" t="str">
        <f>HYPERLINK("https://twitter.com/banxico")</f>
        <v>https://twitter.com/banxico</v>
      </c>
      <c r="BP600" s="2"/>
    </row>
    <row r="601" spans="1:68" x14ac:dyDescent="0.25">
      <c r="A601" s="62" t="s">
        <v>648</v>
      </c>
      <c r="B601" s="63"/>
      <c r="C601" s="63"/>
      <c r="D601" s="64"/>
      <c r="E601" s="66"/>
      <c r="F601" s="103" t="str">
        <f>HYPERLINK("https://pbs.twimg.com/profile_images/1568369012194639872/FrTx_b9p_normal.jpg")</f>
        <v>https://pbs.twimg.com/profile_images/1568369012194639872/FrTx_b9p_normal.jpg</v>
      </c>
      <c r="G601" s="63"/>
      <c r="H601" s="67"/>
      <c r="I601" s="68"/>
      <c r="J601" s="68"/>
      <c r="K601" s="67" t="s">
        <v>28195</v>
      </c>
      <c r="L601" s="71"/>
      <c r="M601" s="72"/>
      <c r="N601" s="72"/>
      <c r="O601" s="73"/>
      <c r="P601" s="74"/>
      <c r="Q601" s="74"/>
      <c r="R601" s="87"/>
      <c r="S601" s="87"/>
      <c r="T601" s="87"/>
      <c r="U601" s="87"/>
      <c r="V601" s="48"/>
      <c r="W601" s="48"/>
      <c r="X601" s="48"/>
      <c r="Y601" s="48"/>
      <c r="Z601" s="47"/>
      <c r="AA601" s="69">
        <v>601</v>
      </c>
      <c r="AB601" s="69"/>
      <c r="AC601" s="70"/>
      <c r="AD601" s="76" t="s">
        <v>21838</v>
      </c>
      <c r="AE601" s="81" t="s">
        <v>23382</v>
      </c>
      <c r="AF601" s="76">
        <v>788</v>
      </c>
      <c r="AG601" s="76">
        <v>834</v>
      </c>
      <c r="AH601" s="76">
        <v>116957</v>
      </c>
      <c r="AI601" s="76">
        <v>3</v>
      </c>
      <c r="AJ601" s="76">
        <v>6824</v>
      </c>
      <c r="AK601" s="76">
        <v>4049</v>
      </c>
      <c r="AL601" s="76" t="b">
        <v>0</v>
      </c>
      <c r="AM601" s="78">
        <v>40093.999247685184</v>
      </c>
      <c r="AN601" s="76" t="s">
        <v>24293</v>
      </c>
      <c r="AO601" s="76" t="s">
        <v>25248</v>
      </c>
      <c r="AP601" s="76"/>
      <c r="AQ601" s="76"/>
      <c r="AR601" s="76"/>
      <c r="AS601" s="76"/>
      <c r="AT601" s="76"/>
      <c r="AU601" s="76"/>
      <c r="AV601" s="76"/>
      <c r="AW601" s="76"/>
      <c r="AX601" s="76" t="b">
        <v>0</v>
      </c>
      <c r="AY601" s="76"/>
      <c r="AZ601" s="76"/>
      <c r="BA601" s="76" t="b">
        <v>0</v>
      </c>
      <c r="BB601" s="76" t="b">
        <v>0</v>
      </c>
      <c r="BC601" s="76" t="b">
        <v>0</v>
      </c>
      <c r="BD601" s="76" t="b">
        <v>0</v>
      </c>
      <c r="BE601" s="76" t="b">
        <v>1</v>
      </c>
      <c r="BF601" s="76" t="b">
        <v>0</v>
      </c>
      <c r="BG601" s="76" t="b">
        <v>0</v>
      </c>
      <c r="BH601" s="82" t="str">
        <f>HYPERLINK("https://pbs.twimg.com/profile_banners/80714028/1529775430")</f>
        <v>https://pbs.twimg.com/profile_banners/80714028/1529775430</v>
      </c>
      <c r="BI601" s="76"/>
      <c r="BJ601" s="76" t="s">
        <v>27595</v>
      </c>
      <c r="BK601" s="76" t="b">
        <v>0</v>
      </c>
      <c r="BL601" s="76"/>
      <c r="BM601" s="76" t="s">
        <v>66</v>
      </c>
      <c r="BN601" s="76" t="s">
        <v>27597</v>
      </c>
      <c r="BO601" s="82" t="str">
        <f>HYPERLINK("https://twitter.com/rafaelpahim")</f>
        <v>https://twitter.com/rafaelpahim</v>
      </c>
      <c r="BP601" s="2"/>
    </row>
    <row r="602" spans="1:68" x14ac:dyDescent="0.25">
      <c r="A602" s="62" t="s">
        <v>649</v>
      </c>
      <c r="B602" s="63"/>
      <c r="C602" s="63"/>
      <c r="D602" s="64"/>
      <c r="E602" s="66"/>
      <c r="F602" s="103" t="str">
        <f>HYPERLINK("https://pbs.twimg.com/profile_images/1586065071960113153/hExMRFGV_normal.jpg")</f>
        <v>https://pbs.twimg.com/profile_images/1586065071960113153/hExMRFGV_normal.jpg</v>
      </c>
      <c r="G602" s="63"/>
      <c r="H602" s="67"/>
      <c r="I602" s="68"/>
      <c r="J602" s="68"/>
      <c r="K602" s="67" t="s">
        <v>28196</v>
      </c>
      <c r="L602" s="71"/>
      <c r="M602" s="72"/>
      <c r="N602" s="72"/>
      <c r="O602" s="73"/>
      <c r="P602" s="74"/>
      <c r="Q602" s="74"/>
      <c r="R602" s="87"/>
      <c r="S602" s="87"/>
      <c r="T602" s="87"/>
      <c r="U602" s="87"/>
      <c r="V602" s="48"/>
      <c r="W602" s="48"/>
      <c r="X602" s="48"/>
      <c r="Y602" s="48"/>
      <c r="Z602" s="47"/>
      <c r="AA602" s="69">
        <v>602</v>
      </c>
      <c r="AB602" s="69"/>
      <c r="AC602" s="70"/>
      <c r="AD602" s="76" t="s">
        <v>21839</v>
      </c>
      <c r="AE602" s="81" t="s">
        <v>23383</v>
      </c>
      <c r="AF602" s="76">
        <v>2621</v>
      </c>
      <c r="AG602" s="76">
        <v>2718</v>
      </c>
      <c r="AH602" s="76">
        <v>17606</v>
      </c>
      <c r="AI602" s="76">
        <v>13</v>
      </c>
      <c r="AJ602" s="76">
        <v>4838</v>
      </c>
      <c r="AK602" s="76">
        <v>2636</v>
      </c>
      <c r="AL602" s="76" t="b">
        <v>0</v>
      </c>
      <c r="AM602" s="78">
        <v>40161.433854166666</v>
      </c>
      <c r="AN602" s="76" t="s">
        <v>24294</v>
      </c>
      <c r="AO602" s="76" t="s">
        <v>25249</v>
      </c>
      <c r="AP602" s="82" t="str">
        <f>HYPERLINK("https://t.co/BV191wI8l0")</f>
        <v>https://t.co/BV191wI8l0</v>
      </c>
      <c r="AQ602" s="82" t="str">
        <f>HYPERLINK("https://linktr.ee/prof.wellitonresende")</f>
        <v>https://linktr.ee/prof.wellitonresende</v>
      </c>
      <c r="AR602" s="76" t="s">
        <v>26698</v>
      </c>
      <c r="AS602" s="76"/>
      <c r="AT602" s="76"/>
      <c r="AU602" s="76"/>
      <c r="AV602" s="76"/>
      <c r="AW602" s="82" t="str">
        <f>HYPERLINK("https://t.co/BV191wI8l0")</f>
        <v>https://t.co/BV191wI8l0</v>
      </c>
      <c r="AX602" s="76" t="b">
        <v>0</v>
      </c>
      <c r="AY602" s="76"/>
      <c r="AZ602" s="76"/>
      <c r="BA602" s="76" t="b">
        <v>1</v>
      </c>
      <c r="BB602" s="76" t="b">
        <v>1</v>
      </c>
      <c r="BC602" s="76" t="b">
        <v>0</v>
      </c>
      <c r="BD602" s="76" t="b">
        <v>0</v>
      </c>
      <c r="BE602" s="76" t="b">
        <v>1</v>
      </c>
      <c r="BF602" s="76" t="b">
        <v>0</v>
      </c>
      <c r="BG602" s="76" t="b">
        <v>0</v>
      </c>
      <c r="BH602" s="82" t="str">
        <f>HYPERLINK("https://pbs.twimg.com/profile_banners/96735923/1692013676")</f>
        <v>https://pbs.twimg.com/profile_banners/96735923/1692013676</v>
      </c>
      <c r="BI602" s="76"/>
      <c r="BJ602" s="76" t="s">
        <v>27595</v>
      </c>
      <c r="BK602" s="76" t="b">
        <v>0</v>
      </c>
      <c r="BL602" s="76"/>
      <c r="BM602" s="76" t="s">
        <v>66</v>
      </c>
      <c r="BN602" s="76" t="s">
        <v>27597</v>
      </c>
      <c r="BO602" s="82" t="str">
        <f>HYPERLINK("https://twitter.com/wellitonresende")</f>
        <v>https://twitter.com/wellitonresende</v>
      </c>
      <c r="BP602" s="2"/>
    </row>
    <row r="603" spans="1:68" x14ac:dyDescent="0.25">
      <c r="A603" s="62" t="s">
        <v>650</v>
      </c>
      <c r="B603" s="63"/>
      <c r="C603" s="63"/>
      <c r="D603" s="64"/>
      <c r="E603" s="66"/>
      <c r="F603" s="103" t="str">
        <f>HYPERLINK("https://pbs.twimg.com/profile_images/1631773527178194948/BqacXnjd_normal.jpg")</f>
        <v>https://pbs.twimg.com/profile_images/1631773527178194948/BqacXnjd_normal.jpg</v>
      </c>
      <c r="G603" s="63"/>
      <c r="H603" s="67"/>
      <c r="I603" s="68"/>
      <c r="J603" s="68"/>
      <c r="K603" s="67" t="s">
        <v>28197</v>
      </c>
      <c r="L603" s="71"/>
      <c r="M603" s="72"/>
      <c r="N603" s="72"/>
      <c r="O603" s="73"/>
      <c r="P603" s="74"/>
      <c r="Q603" s="74"/>
      <c r="R603" s="87"/>
      <c r="S603" s="87"/>
      <c r="T603" s="87"/>
      <c r="U603" s="87"/>
      <c r="V603" s="48"/>
      <c r="W603" s="48"/>
      <c r="X603" s="48"/>
      <c r="Y603" s="48"/>
      <c r="Z603" s="47"/>
      <c r="AA603" s="69">
        <v>603</v>
      </c>
      <c r="AB603" s="69"/>
      <c r="AC603" s="70"/>
      <c r="AD603" s="76" t="s">
        <v>21840</v>
      </c>
      <c r="AE603" s="81" t="s">
        <v>20261</v>
      </c>
      <c r="AF603" s="76">
        <v>7</v>
      </c>
      <c r="AG603" s="76">
        <v>27</v>
      </c>
      <c r="AH603" s="76">
        <v>634</v>
      </c>
      <c r="AI603" s="76">
        <v>0</v>
      </c>
      <c r="AJ603" s="76">
        <v>38</v>
      </c>
      <c r="AK603" s="76">
        <v>160</v>
      </c>
      <c r="AL603" s="76" t="b">
        <v>0</v>
      </c>
      <c r="AM603" s="78">
        <v>44986.689282407409</v>
      </c>
      <c r="AN603" s="76" t="s">
        <v>24295</v>
      </c>
      <c r="AO603" s="76" t="s">
        <v>25250</v>
      </c>
      <c r="AP603" s="82" t="str">
        <f>HYPERLINK("https://t.co/NIkd4Pjclk")</f>
        <v>https://t.co/NIkd4Pjclk</v>
      </c>
      <c r="AQ603" s="82" t="str">
        <f>HYPERLINK("http://manausolimpica.com.br")</f>
        <v>http://manausolimpica.com.br</v>
      </c>
      <c r="AR603" s="76" t="s">
        <v>26699</v>
      </c>
      <c r="AS603" s="76"/>
      <c r="AT603" s="76"/>
      <c r="AU603" s="76"/>
      <c r="AV603" s="76"/>
      <c r="AW603" s="82" t="str">
        <f>HYPERLINK("https://t.co/NIkd4Pjclk")</f>
        <v>https://t.co/NIkd4Pjclk</v>
      </c>
      <c r="AX603" s="76" t="b">
        <v>0</v>
      </c>
      <c r="AY603" s="76"/>
      <c r="AZ603" s="76"/>
      <c r="BA603" s="76" t="b">
        <v>0</v>
      </c>
      <c r="BB603" s="76" t="b">
        <v>1</v>
      </c>
      <c r="BC603" s="76" t="b">
        <v>1</v>
      </c>
      <c r="BD603" s="76" t="b">
        <v>0</v>
      </c>
      <c r="BE603" s="76" t="b">
        <v>0</v>
      </c>
      <c r="BF603" s="76" t="b">
        <v>0</v>
      </c>
      <c r="BG603" s="76" t="b">
        <v>0</v>
      </c>
      <c r="BH603" s="82" t="str">
        <f>HYPERLINK("https://pbs.twimg.com/profile_banners/1630969246464241664/1677809547")</f>
        <v>https://pbs.twimg.com/profile_banners/1630969246464241664/1677809547</v>
      </c>
      <c r="BI603" s="76"/>
      <c r="BJ603" s="76" t="s">
        <v>27595</v>
      </c>
      <c r="BK603" s="76" t="b">
        <v>0</v>
      </c>
      <c r="BL603" s="76"/>
      <c r="BM603" s="76" t="s">
        <v>66</v>
      </c>
      <c r="BN603" s="76" t="s">
        <v>27597</v>
      </c>
      <c r="BO603" s="82" t="str">
        <f>HYPERLINK("https://twitter.com/manausolimpica")</f>
        <v>https://twitter.com/manausolimpica</v>
      </c>
      <c r="BP603" s="2"/>
    </row>
    <row r="604" spans="1:68" x14ac:dyDescent="0.25">
      <c r="A604" s="62" t="s">
        <v>651</v>
      </c>
      <c r="B604" s="63"/>
      <c r="C604" s="63"/>
      <c r="D604" s="64"/>
      <c r="E604" s="66"/>
      <c r="F604" s="103" t="str">
        <f>HYPERLINK("https://pbs.twimg.com/profile_images/1542932472694030342/xWAKJe4m_normal.jpg")</f>
        <v>https://pbs.twimg.com/profile_images/1542932472694030342/xWAKJe4m_normal.jpg</v>
      </c>
      <c r="G604" s="63"/>
      <c r="H604" s="67"/>
      <c r="I604" s="68"/>
      <c r="J604" s="68"/>
      <c r="K604" s="67" t="s">
        <v>28198</v>
      </c>
      <c r="L604" s="71"/>
      <c r="M604" s="72"/>
      <c r="N604" s="72"/>
      <c r="O604" s="73"/>
      <c r="P604" s="74"/>
      <c r="Q604" s="74"/>
      <c r="R604" s="87"/>
      <c r="S604" s="87"/>
      <c r="T604" s="87"/>
      <c r="U604" s="87"/>
      <c r="V604" s="48"/>
      <c r="W604" s="48"/>
      <c r="X604" s="48"/>
      <c r="Y604" s="48"/>
      <c r="Z604" s="47"/>
      <c r="AA604" s="69">
        <v>604</v>
      </c>
      <c r="AB604" s="69"/>
      <c r="AC604" s="70"/>
      <c r="AD604" s="76" t="s">
        <v>21841</v>
      </c>
      <c r="AE604" s="81" t="s">
        <v>20703</v>
      </c>
      <c r="AF604" s="76">
        <v>1</v>
      </c>
      <c r="AG604" s="76">
        <v>38</v>
      </c>
      <c r="AH604" s="76">
        <v>140</v>
      </c>
      <c r="AI604" s="76">
        <v>1</v>
      </c>
      <c r="AJ604" s="76">
        <v>2</v>
      </c>
      <c r="AK604" s="76">
        <v>13</v>
      </c>
      <c r="AL604" s="76" t="b">
        <v>0</v>
      </c>
      <c r="AM604" s="78">
        <v>44600.862118055556</v>
      </c>
      <c r="AN604" s="76" t="s">
        <v>24296</v>
      </c>
      <c r="AO604" s="76" t="s">
        <v>25251</v>
      </c>
      <c r="AP604" s="82" t="str">
        <f>HYPERLINK("https://t.co/QDA9EY1Jdw")</f>
        <v>https://t.co/QDA9EY1Jdw</v>
      </c>
      <c r="AQ604" s="82" t="str">
        <f>HYPERLINK("https://zeno.fm/radio/difusora-web-news/")</f>
        <v>https://zeno.fm/radio/difusora-web-news/</v>
      </c>
      <c r="AR604" s="76" t="s">
        <v>26700</v>
      </c>
      <c r="AS604" s="76"/>
      <c r="AT604" s="76"/>
      <c r="AU604" s="76"/>
      <c r="AV604" s="76">
        <v>1.6139024552714501E+18</v>
      </c>
      <c r="AW604" s="82" t="str">
        <f>HYPERLINK("https://t.co/QDA9EY1Jdw")</f>
        <v>https://t.co/QDA9EY1Jdw</v>
      </c>
      <c r="AX604" s="76" t="b">
        <v>0</v>
      </c>
      <c r="AY604" s="76"/>
      <c r="AZ604" s="76"/>
      <c r="BA604" s="76" t="b">
        <v>0</v>
      </c>
      <c r="BB604" s="76" t="b">
        <v>1</v>
      </c>
      <c r="BC604" s="76" t="b">
        <v>1</v>
      </c>
      <c r="BD604" s="76" t="b">
        <v>0</v>
      </c>
      <c r="BE604" s="76" t="b">
        <v>1</v>
      </c>
      <c r="BF604" s="76" t="b">
        <v>0</v>
      </c>
      <c r="BG604" s="76" t="b">
        <v>0</v>
      </c>
      <c r="BH604" s="82" t="str">
        <f>HYPERLINK("https://pbs.twimg.com/profile_banners/1491150047676968965/1656698743")</f>
        <v>https://pbs.twimg.com/profile_banners/1491150047676968965/1656698743</v>
      </c>
      <c r="BI604" s="76"/>
      <c r="BJ604" s="76" t="s">
        <v>27595</v>
      </c>
      <c r="BK604" s="76" t="b">
        <v>0</v>
      </c>
      <c r="BL604" s="76"/>
      <c r="BM604" s="76" t="s">
        <v>66</v>
      </c>
      <c r="BN604" s="76" t="s">
        <v>27597</v>
      </c>
      <c r="BO604" s="82" t="str">
        <f>HYPERLINK("https://twitter.com/difusorawebnews")</f>
        <v>https://twitter.com/difusorawebnews</v>
      </c>
      <c r="BP604" s="2"/>
    </row>
    <row r="605" spans="1:68" x14ac:dyDescent="0.25">
      <c r="A605" s="62" t="s">
        <v>652</v>
      </c>
      <c r="B605" s="63"/>
      <c r="C605" s="63"/>
      <c r="D605" s="64"/>
      <c r="E605" s="66"/>
      <c r="F605" s="103" t="str">
        <f>HYPERLINK("https://pbs.twimg.com/profile_images/1642495024553181185/akaJ5Ia__normal.png")</f>
        <v>https://pbs.twimg.com/profile_images/1642495024553181185/akaJ5Ia__normal.png</v>
      </c>
      <c r="G605" s="63"/>
      <c r="H605" s="67"/>
      <c r="I605" s="68"/>
      <c r="J605" s="68"/>
      <c r="K605" s="67" t="s">
        <v>28199</v>
      </c>
      <c r="L605" s="71"/>
      <c r="M605" s="72"/>
      <c r="N605" s="72"/>
      <c r="O605" s="73"/>
      <c r="P605" s="74"/>
      <c r="Q605" s="74"/>
      <c r="R605" s="87"/>
      <c r="S605" s="87"/>
      <c r="T605" s="87"/>
      <c r="U605" s="87"/>
      <c r="V605" s="48"/>
      <c r="W605" s="48"/>
      <c r="X605" s="48"/>
      <c r="Y605" s="48"/>
      <c r="Z605" s="47"/>
      <c r="AA605" s="69">
        <v>605</v>
      </c>
      <c r="AB605" s="69"/>
      <c r="AC605" s="70"/>
      <c r="AD605" s="76" t="s">
        <v>21842</v>
      </c>
      <c r="AE605" s="81" t="s">
        <v>20704</v>
      </c>
      <c r="AF605" s="76">
        <v>5</v>
      </c>
      <c r="AG605" s="76">
        <v>0</v>
      </c>
      <c r="AH605" s="76">
        <v>173</v>
      </c>
      <c r="AI605" s="76">
        <v>0</v>
      </c>
      <c r="AJ605" s="76">
        <v>0</v>
      </c>
      <c r="AK605" s="76">
        <v>173</v>
      </c>
      <c r="AL605" s="76" t="b">
        <v>0</v>
      </c>
      <c r="AM605" s="78">
        <v>45008.7268287037</v>
      </c>
      <c r="AN605" s="76" t="s">
        <v>14382</v>
      </c>
      <c r="AO605" s="76" t="s">
        <v>25252</v>
      </c>
      <c r="AP605" s="82" t="str">
        <f>HYPERLINK("https://t.co/LX8ZphlfWE")</f>
        <v>https://t.co/LX8ZphlfWE</v>
      </c>
      <c r="AQ605" s="82" t="str">
        <f>HYPERLINK("https://www.cachorromordido.com.br")</f>
        <v>https://www.cachorromordido.com.br</v>
      </c>
      <c r="AR605" s="76" t="s">
        <v>26701</v>
      </c>
      <c r="AS605" s="76"/>
      <c r="AT605" s="76"/>
      <c r="AU605" s="76"/>
      <c r="AV605" s="76"/>
      <c r="AW605" s="82" t="str">
        <f>HYPERLINK("https://t.co/LX8ZphlfWE")</f>
        <v>https://t.co/LX8ZphlfWE</v>
      </c>
      <c r="AX605" s="76" t="b">
        <v>0</v>
      </c>
      <c r="AY605" s="76"/>
      <c r="AZ605" s="76"/>
      <c r="BA605" s="76" t="b">
        <v>0</v>
      </c>
      <c r="BB605" s="76" t="b">
        <v>1</v>
      </c>
      <c r="BC605" s="76" t="b">
        <v>1</v>
      </c>
      <c r="BD605" s="76" t="b">
        <v>0</v>
      </c>
      <c r="BE605" s="76" t="b">
        <v>0</v>
      </c>
      <c r="BF605" s="76" t="b">
        <v>0</v>
      </c>
      <c r="BG605" s="76" t="b">
        <v>0</v>
      </c>
      <c r="BH605" s="82" t="str">
        <f>HYPERLINK("https://pbs.twimg.com/profile_banners/1638955286823051274/1680712367")</f>
        <v>https://pbs.twimg.com/profile_banners/1638955286823051274/1680712367</v>
      </c>
      <c r="BI605" s="76"/>
      <c r="BJ605" s="76" t="s">
        <v>27595</v>
      </c>
      <c r="BK605" s="76" t="b">
        <v>0</v>
      </c>
      <c r="BL605" s="76"/>
      <c r="BM605" s="76" t="s">
        <v>66</v>
      </c>
      <c r="BN605" s="76" t="s">
        <v>27597</v>
      </c>
      <c r="BO605" s="82" t="str">
        <f>HYPERLINK("https://twitter.com/cachorromordido")</f>
        <v>https://twitter.com/cachorromordido</v>
      </c>
      <c r="BP605" s="2"/>
    </row>
    <row r="606" spans="1:68" x14ac:dyDescent="0.25">
      <c r="A606" s="62" t="s">
        <v>653</v>
      </c>
      <c r="B606" s="63"/>
      <c r="C606" s="63"/>
      <c r="D606" s="64"/>
      <c r="E606" s="66"/>
      <c r="F606" s="103" t="str">
        <f>HYPERLINK("https://pbs.twimg.com/profile_images/1583462152752578562/IgOqfeS__normal.jpg")</f>
        <v>https://pbs.twimg.com/profile_images/1583462152752578562/IgOqfeS__normal.jpg</v>
      </c>
      <c r="G606" s="63"/>
      <c r="H606" s="67"/>
      <c r="I606" s="68"/>
      <c r="J606" s="68"/>
      <c r="K606" s="67" t="s">
        <v>28200</v>
      </c>
      <c r="L606" s="71"/>
      <c r="M606" s="72"/>
      <c r="N606" s="72"/>
      <c r="O606" s="73"/>
      <c r="P606" s="74"/>
      <c r="Q606" s="74"/>
      <c r="R606" s="87"/>
      <c r="S606" s="87"/>
      <c r="T606" s="87"/>
      <c r="U606" s="87"/>
      <c r="V606" s="48"/>
      <c r="W606" s="48"/>
      <c r="X606" s="48"/>
      <c r="Y606" s="48"/>
      <c r="Z606" s="47"/>
      <c r="AA606" s="69">
        <v>606</v>
      </c>
      <c r="AB606" s="69"/>
      <c r="AC606" s="70"/>
      <c r="AD606" s="76" t="s">
        <v>21843</v>
      </c>
      <c r="AE606" s="81" t="s">
        <v>23384</v>
      </c>
      <c r="AF606" s="76">
        <v>6798</v>
      </c>
      <c r="AG606" s="76">
        <v>168</v>
      </c>
      <c r="AH606" s="76">
        <v>208853</v>
      </c>
      <c r="AI606" s="76">
        <v>45</v>
      </c>
      <c r="AJ606" s="76">
        <v>34</v>
      </c>
      <c r="AK606" s="76">
        <v>376</v>
      </c>
      <c r="AL606" s="76" t="b">
        <v>0</v>
      </c>
      <c r="AM606" s="78">
        <v>40086.841851851852</v>
      </c>
      <c r="AN606" s="76" t="s">
        <v>24297</v>
      </c>
      <c r="AO606" s="76" t="s">
        <v>25253</v>
      </c>
      <c r="AP606" s="82" t="str">
        <f>HYPERLINK("https://t.co/enJujayrr8")</f>
        <v>https://t.co/enJujayrr8</v>
      </c>
      <c r="AQ606" s="82" t="str">
        <f>HYPERLINK("https://www.gp1.com.br/")</f>
        <v>https://www.gp1.com.br/</v>
      </c>
      <c r="AR606" s="76" t="s">
        <v>26702</v>
      </c>
      <c r="AS606" s="76"/>
      <c r="AT606" s="76"/>
      <c r="AU606" s="76"/>
      <c r="AV606" s="76"/>
      <c r="AW606" s="82" t="str">
        <f>HYPERLINK("https://t.co/enJujayrr8")</f>
        <v>https://t.co/enJujayrr8</v>
      </c>
      <c r="AX606" s="76" t="b">
        <v>1</v>
      </c>
      <c r="AY606" s="76"/>
      <c r="AZ606" s="76"/>
      <c r="BA606" s="76" t="b">
        <v>0</v>
      </c>
      <c r="BB606" s="76" t="b">
        <v>1</v>
      </c>
      <c r="BC606" s="76" t="b">
        <v>0</v>
      </c>
      <c r="BD606" s="76" t="b">
        <v>0</v>
      </c>
      <c r="BE606" s="76" t="b">
        <v>1</v>
      </c>
      <c r="BF606" s="76" t="b">
        <v>0</v>
      </c>
      <c r="BG606" s="76" t="b">
        <v>0</v>
      </c>
      <c r="BH606" s="82" t="str">
        <f>HYPERLINK("https://pbs.twimg.com/profile_banners/78697019/1667653565")</f>
        <v>https://pbs.twimg.com/profile_banners/78697019/1667653565</v>
      </c>
      <c r="BI606" s="76"/>
      <c r="BJ606" s="76" t="s">
        <v>27595</v>
      </c>
      <c r="BK606" s="76" t="b">
        <v>0</v>
      </c>
      <c r="BL606" s="76"/>
      <c r="BM606" s="76" t="s">
        <v>66</v>
      </c>
      <c r="BN606" s="76" t="s">
        <v>27597</v>
      </c>
      <c r="BO606" s="82" t="str">
        <f>HYPERLINK("https://twitter.com/portalgp1")</f>
        <v>https://twitter.com/portalgp1</v>
      </c>
      <c r="BP606" s="2"/>
    </row>
    <row r="607" spans="1:68" x14ac:dyDescent="0.25">
      <c r="A607" s="62" t="s">
        <v>654</v>
      </c>
      <c r="B607" s="63"/>
      <c r="C607" s="63"/>
      <c r="D607" s="64"/>
      <c r="E607" s="66"/>
      <c r="F607" s="103" t="str">
        <f>HYPERLINK("https://pbs.twimg.com/profile_images/1507858472947302408/EqVftcSr_normal.jpg")</f>
        <v>https://pbs.twimg.com/profile_images/1507858472947302408/EqVftcSr_normal.jpg</v>
      </c>
      <c r="G607" s="63"/>
      <c r="H607" s="67"/>
      <c r="I607" s="68"/>
      <c r="J607" s="68"/>
      <c r="K607" s="67" t="s">
        <v>28201</v>
      </c>
      <c r="L607" s="71"/>
      <c r="M607" s="72"/>
      <c r="N607" s="72"/>
      <c r="O607" s="73"/>
      <c r="P607" s="74"/>
      <c r="Q607" s="74"/>
      <c r="R607" s="87"/>
      <c r="S607" s="87"/>
      <c r="T607" s="87"/>
      <c r="U607" s="87"/>
      <c r="V607" s="48"/>
      <c r="W607" s="48"/>
      <c r="X607" s="48"/>
      <c r="Y607" s="48"/>
      <c r="Z607" s="47"/>
      <c r="AA607" s="69">
        <v>607</v>
      </c>
      <c r="AB607" s="69"/>
      <c r="AC607" s="70"/>
      <c r="AD607" s="76" t="s">
        <v>21844</v>
      </c>
      <c r="AE607" s="81" t="s">
        <v>20705</v>
      </c>
      <c r="AF607" s="76">
        <v>148</v>
      </c>
      <c r="AG607" s="76">
        <v>279</v>
      </c>
      <c r="AH607" s="76">
        <v>4181</v>
      </c>
      <c r="AI607" s="76">
        <v>0</v>
      </c>
      <c r="AJ607" s="76">
        <v>10811</v>
      </c>
      <c r="AK607" s="76">
        <v>399</v>
      </c>
      <c r="AL607" s="76" t="b">
        <v>0</v>
      </c>
      <c r="AM607" s="78">
        <v>44522.676180555558</v>
      </c>
      <c r="AN607" s="76" t="s">
        <v>24298</v>
      </c>
      <c r="AO607" s="76"/>
      <c r="AP607" s="76"/>
      <c r="AQ607" s="76"/>
      <c r="AR607" s="76"/>
      <c r="AS607" s="76"/>
      <c r="AT607" s="76"/>
      <c r="AU607" s="76"/>
      <c r="AV607" s="76">
        <v>1.49553002661122E+18</v>
      </c>
      <c r="AW607" s="76"/>
      <c r="AX607" s="76" t="b">
        <v>0</v>
      </c>
      <c r="AY607" s="76"/>
      <c r="AZ607" s="76"/>
      <c r="BA607" s="76" t="b">
        <v>0</v>
      </c>
      <c r="BB607" s="76" t="b">
        <v>1</v>
      </c>
      <c r="BC607" s="76" t="b">
        <v>1</v>
      </c>
      <c r="BD607" s="76" t="b">
        <v>0</v>
      </c>
      <c r="BE607" s="76" t="b">
        <v>1</v>
      </c>
      <c r="BF607" s="76" t="b">
        <v>0</v>
      </c>
      <c r="BG607" s="76" t="b">
        <v>0</v>
      </c>
      <c r="BH607" s="82" t="str">
        <f>HYPERLINK("https://pbs.twimg.com/profile_banners/1462816470484885513/1674745207")</f>
        <v>https://pbs.twimg.com/profile_banners/1462816470484885513/1674745207</v>
      </c>
      <c r="BI607" s="76"/>
      <c r="BJ607" s="76" t="s">
        <v>27595</v>
      </c>
      <c r="BK607" s="76" t="b">
        <v>0</v>
      </c>
      <c r="BL607" s="76"/>
      <c r="BM607" s="76" t="s">
        <v>66</v>
      </c>
      <c r="BN607" s="76" t="s">
        <v>27597</v>
      </c>
      <c r="BO607" s="82" t="str">
        <f>HYPERLINK("https://twitter.com/gri86649406")</f>
        <v>https://twitter.com/gri86649406</v>
      </c>
      <c r="BP607" s="2"/>
    </row>
    <row r="608" spans="1:68" x14ac:dyDescent="0.25">
      <c r="A608" s="62" t="s">
        <v>655</v>
      </c>
      <c r="B608" s="63"/>
      <c r="C608" s="63"/>
      <c r="D608" s="64"/>
      <c r="E608" s="66"/>
      <c r="F608" s="103" t="str">
        <f>HYPERLINK("https://pbs.twimg.com/profile_images/1008039944072417280/jwFmtPx-_normal.jpg")</f>
        <v>https://pbs.twimg.com/profile_images/1008039944072417280/jwFmtPx-_normal.jpg</v>
      </c>
      <c r="G608" s="63"/>
      <c r="H608" s="67"/>
      <c r="I608" s="68"/>
      <c r="J608" s="68"/>
      <c r="K608" s="67" t="s">
        <v>28202</v>
      </c>
      <c r="L608" s="71"/>
      <c r="M608" s="72"/>
      <c r="N608" s="72"/>
      <c r="O608" s="73"/>
      <c r="P608" s="74"/>
      <c r="Q608" s="74"/>
      <c r="R608" s="87"/>
      <c r="S608" s="87"/>
      <c r="T608" s="87"/>
      <c r="U608" s="87"/>
      <c r="V608" s="48"/>
      <c r="W608" s="48"/>
      <c r="X608" s="48"/>
      <c r="Y608" s="48"/>
      <c r="Z608" s="47"/>
      <c r="AA608" s="69">
        <v>608</v>
      </c>
      <c r="AB608" s="69"/>
      <c r="AC608" s="70"/>
      <c r="AD608" s="76" t="s">
        <v>21845</v>
      </c>
      <c r="AE608" s="81" t="s">
        <v>23385</v>
      </c>
      <c r="AF608" s="76">
        <v>119000</v>
      </c>
      <c r="AG608" s="76">
        <v>893</v>
      </c>
      <c r="AH608" s="76">
        <v>15806</v>
      </c>
      <c r="AI608" s="76">
        <v>245</v>
      </c>
      <c r="AJ608" s="76">
        <v>15249</v>
      </c>
      <c r="AK608" s="76">
        <v>805</v>
      </c>
      <c r="AL608" s="76" t="b">
        <v>0</v>
      </c>
      <c r="AM608" s="78">
        <v>40113.859386574077</v>
      </c>
      <c r="AN608" s="76" t="s">
        <v>14400</v>
      </c>
      <c r="AO608" s="76" t="s">
        <v>25254</v>
      </c>
      <c r="AP608" s="82" t="str">
        <f>HYPERLINK("https://t.co/77JCv1yewT")</f>
        <v>https://t.co/77JCv1yewT</v>
      </c>
      <c r="AQ608" s="82" t="str">
        <f>HYPERLINK("http://www.linktr.ee/julianarosaoficial")</f>
        <v>http://www.linktr.ee/julianarosaoficial</v>
      </c>
      <c r="AR608" s="76" t="s">
        <v>26703</v>
      </c>
      <c r="AS608" s="76"/>
      <c r="AT608" s="76"/>
      <c r="AU608" s="76"/>
      <c r="AV608" s="76"/>
      <c r="AW608" s="82" t="str">
        <f>HYPERLINK("https://t.co/77JCv1yewT")</f>
        <v>https://t.co/77JCv1yewT</v>
      </c>
      <c r="AX608" s="76" t="b">
        <v>0</v>
      </c>
      <c r="AY608" s="76"/>
      <c r="AZ608" s="76"/>
      <c r="BA608" s="76" t="b">
        <v>0</v>
      </c>
      <c r="BB608" s="76" t="b">
        <v>1</v>
      </c>
      <c r="BC608" s="76" t="b">
        <v>0</v>
      </c>
      <c r="BD608" s="76" t="b">
        <v>0</v>
      </c>
      <c r="BE608" s="76" t="b">
        <v>1</v>
      </c>
      <c r="BF608" s="76" t="b">
        <v>0</v>
      </c>
      <c r="BG608" s="76" t="b">
        <v>0</v>
      </c>
      <c r="BH608" s="82" t="str">
        <f>HYPERLINK("https://pbs.twimg.com/profile_banners/85656359/1679682293")</f>
        <v>https://pbs.twimg.com/profile_banners/85656359/1679682293</v>
      </c>
      <c r="BI608" s="76"/>
      <c r="BJ608" s="76" t="s">
        <v>27595</v>
      </c>
      <c r="BK608" s="76" t="b">
        <v>0</v>
      </c>
      <c r="BL608" s="76"/>
      <c r="BM608" s="76" t="s">
        <v>66</v>
      </c>
      <c r="BN608" s="76" t="s">
        <v>27597</v>
      </c>
      <c r="BO608" s="82" t="str">
        <f>HYPERLINK("https://twitter.com/julianarosa_")</f>
        <v>https://twitter.com/julianarosa_</v>
      </c>
      <c r="BP608" s="2"/>
    </row>
    <row r="609" spans="1:68" x14ac:dyDescent="0.25">
      <c r="A609" s="62" t="s">
        <v>656</v>
      </c>
      <c r="B609" s="63"/>
      <c r="C609" s="63"/>
      <c r="D609" s="64"/>
      <c r="E609" s="66"/>
      <c r="F609" s="103" t="str">
        <f>HYPERLINK("https://pbs.twimg.com/profile_images/1686192583431573504/BBk5qgFf_normal.jpg")</f>
        <v>https://pbs.twimg.com/profile_images/1686192583431573504/BBk5qgFf_normal.jpg</v>
      </c>
      <c r="G609" s="63"/>
      <c r="H609" s="67"/>
      <c r="I609" s="68"/>
      <c r="J609" s="68"/>
      <c r="K609" s="67" t="s">
        <v>28203</v>
      </c>
      <c r="L609" s="71"/>
      <c r="M609" s="72"/>
      <c r="N609" s="72"/>
      <c r="O609" s="73"/>
      <c r="P609" s="74"/>
      <c r="Q609" s="74"/>
      <c r="R609" s="87"/>
      <c r="S609" s="87"/>
      <c r="T609" s="87"/>
      <c r="U609" s="87"/>
      <c r="V609" s="48"/>
      <c r="W609" s="48"/>
      <c r="X609" s="48"/>
      <c r="Y609" s="48"/>
      <c r="Z609" s="47"/>
      <c r="AA609" s="69">
        <v>609</v>
      </c>
      <c r="AB609" s="69"/>
      <c r="AC609" s="70"/>
      <c r="AD609" s="76" t="s">
        <v>21846</v>
      </c>
      <c r="AE609" s="81" t="s">
        <v>20706</v>
      </c>
      <c r="AF609" s="76">
        <v>1</v>
      </c>
      <c r="AG609" s="76">
        <v>8</v>
      </c>
      <c r="AH609" s="76">
        <v>16</v>
      </c>
      <c r="AI609" s="76">
        <v>0</v>
      </c>
      <c r="AJ609" s="76">
        <v>7</v>
      </c>
      <c r="AK609" s="76">
        <v>15</v>
      </c>
      <c r="AL609" s="76" t="b">
        <v>0</v>
      </c>
      <c r="AM609" s="78">
        <v>45133.977650462963</v>
      </c>
      <c r="AN609" s="76"/>
      <c r="AO609" s="76" t="s">
        <v>25255</v>
      </c>
      <c r="AP609" s="82" t="str">
        <f>HYPERLINK("https://t.co/xzR9a3YvLi")</f>
        <v>https://t.co/xzR9a3YvLi</v>
      </c>
      <c r="AQ609" s="82" t="str">
        <f>HYPERLINK("http://linktr.ee/jornadacapital")</f>
        <v>http://linktr.ee/jornadacapital</v>
      </c>
      <c r="AR609" s="76" t="s">
        <v>26704</v>
      </c>
      <c r="AS609" s="76"/>
      <c r="AT609" s="76"/>
      <c r="AU609" s="76"/>
      <c r="AV609" s="76"/>
      <c r="AW609" s="82" t="str">
        <f>HYPERLINK("https://t.co/xzR9a3YvLi")</f>
        <v>https://t.co/xzR9a3YvLi</v>
      </c>
      <c r="AX609" s="76" t="b">
        <v>0</v>
      </c>
      <c r="AY609" s="76"/>
      <c r="AZ609" s="76"/>
      <c r="BA609" s="76" t="b">
        <v>0</v>
      </c>
      <c r="BB609" s="76" t="b">
        <v>1</v>
      </c>
      <c r="BC609" s="76" t="b">
        <v>1</v>
      </c>
      <c r="BD609" s="76" t="b">
        <v>0</v>
      </c>
      <c r="BE609" s="76" t="b">
        <v>0</v>
      </c>
      <c r="BF609" s="76" t="b">
        <v>0</v>
      </c>
      <c r="BG609" s="76" t="b">
        <v>0</v>
      </c>
      <c r="BH609" s="76"/>
      <c r="BI609" s="76"/>
      <c r="BJ609" s="76" t="s">
        <v>27595</v>
      </c>
      <c r="BK609" s="76" t="b">
        <v>0</v>
      </c>
      <c r="BL609" s="76"/>
      <c r="BM609" s="76" t="s">
        <v>66</v>
      </c>
      <c r="BN609" s="76" t="s">
        <v>27597</v>
      </c>
      <c r="BO609" s="82" t="str">
        <f>HYPERLINK("https://twitter.com/jornadacapital")</f>
        <v>https://twitter.com/jornadacapital</v>
      </c>
      <c r="BP609" s="2"/>
    </row>
    <row r="610" spans="1:68" x14ac:dyDescent="0.25">
      <c r="A610" s="62" t="s">
        <v>1829</v>
      </c>
      <c r="B610" s="63"/>
      <c r="C610" s="63"/>
      <c r="D610" s="64"/>
      <c r="E610" s="66"/>
      <c r="F610" s="103" t="str">
        <f>HYPERLINK("https://pbs.twimg.com/profile_images/1532044350019907585/Oo1-e1N2_normal.jpg")</f>
        <v>https://pbs.twimg.com/profile_images/1532044350019907585/Oo1-e1N2_normal.jpg</v>
      </c>
      <c r="G610" s="63"/>
      <c r="H610" s="67"/>
      <c r="I610" s="68"/>
      <c r="J610" s="68"/>
      <c r="K610" s="67" t="s">
        <v>28204</v>
      </c>
      <c r="L610" s="71"/>
      <c r="M610" s="72"/>
      <c r="N610" s="72"/>
      <c r="O610" s="73"/>
      <c r="P610" s="74"/>
      <c r="Q610" s="74"/>
      <c r="R610" s="87"/>
      <c r="S610" s="87"/>
      <c r="T610" s="87"/>
      <c r="U610" s="87"/>
      <c r="V610" s="48"/>
      <c r="W610" s="48"/>
      <c r="X610" s="48"/>
      <c r="Y610" s="48"/>
      <c r="Z610" s="47"/>
      <c r="AA610" s="69">
        <v>610</v>
      </c>
      <c r="AB610" s="69"/>
      <c r="AC610" s="70"/>
      <c r="AD610" s="76" t="s">
        <v>21847</v>
      </c>
      <c r="AE610" s="81" t="s">
        <v>23386</v>
      </c>
      <c r="AF610" s="76">
        <v>9868866</v>
      </c>
      <c r="AG610" s="76">
        <v>120</v>
      </c>
      <c r="AH610" s="76">
        <v>38556</v>
      </c>
      <c r="AI610" s="76">
        <v>11507</v>
      </c>
      <c r="AJ610" s="76">
        <v>7001</v>
      </c>
      <c r="AK610" s="76">
        <v>3293</v>
      </c>
      <c r="AL610" s="76" t="b">
        <v>0</v>
      </c>
      <c r="AM610" s="78">
        <v>40865.938402777778</v>
      </c>
      <c r="AN610" s="76" t="s">
        <v>24299</v>
      </c>
      <c r="AO610" s="76" t="s">
        <v>25256</v>
      </c>
      <c r="AP610" s="82" t="str">
        <f>HYPERLINK("https://t.co/keUPAvTfId")</f>
        <v>https://t.co/keUPAvTfId</v>
      </c>
      <c r="AQ610" s="82" t="str">
        <f>HYPERLINK("http://nike.com")</f>
        <v>http://nike.com</v>
      </c>
      <c r="AR610" s="76" t="s">
        <v>26705</v>
      </c>
      <c r="AS610" s="76"/>
      <c r="AT610" s="76"/>
      <c r="AU610" s="76"/>
      <c r="AV610" s="76"/>
      <c r="AW610" s="82" t="str">
        <f>HYPERLINK("https://t.co/keUPAvTfId")</f>
        <v>https://t.co/keUPAvTfId</v>
      </c>
      <c r="AX610" s="76" t="b">
        <v>1</v>
      </c>
      <c r="AY610" s="76"/>
      <c r="AZ610" s="76"/>
      <c r="BA610" s="76" t="b">
        <v>0</v>
      </c>
      <c r="BB610" s="76" t="b">
        <v>1</v>
      </c>
      <c r="BC610" s="76" t="b">
        <v>0</v>
      </c>
      <c r="BD610" s="76" t="b">
        <v>0</v>
      </c>
      <c r="BE610" s="76" t="b">
        <v>1</v>
      </c>
      <c r="BF610" s="76" t="b">
        <v>0</v>
      </c>
      <c r="BG610" s="76" t="b">
        <v>0</v>
      </c>
      <c r="BH610" s="82" t="str">
        <f>HYPERLINK("https://pbs.twimg.com/profile_banners/415859364/1654102812")</f>
        <v>https://pbs.twimg.com/profile_banners/415859364/1654102812</v>
      </c>
      <c r="BI610" s="76"/>
      <c r="BJ610" s="76" t="s">
        <v>27595</v>
      </c>
      <c r="BK610" s="76" t="b">
        <v>0</v>
      </c>
      <c r="BL610" s="76"/>
      <c r="BM610" s="76" t="s">
        <v>65</v>
      </c>
      <c r="BN610" s="76" t="s">
        <v>27597</v>
      </c>
      <c r="BO610" s="82" t="str">
        <f>HYPERLINK("https://twitter.com/nike")</f>
        <v>https://twitter.com/nike</v>
      </c>
      <c r="BP610" s="2"/>
    </row>
    <row r="611" spans="1:68" x14ac:dyDescent="0.25">
      <c r="A611" s="62" t="s">
        <v>657</v>
      </c>
      <c r="B611" s="63"/>
      <c r="C611" s="63"/>
      <c r="D611" s="64"/>
      <c r="E611" s="66"/>
      <c r="F611" s="103" t="str">
        <f>HYPERLINK("https://pbs.twimg.com/profile_images/1179730636644454402/lEcDRpIC_normal.jpg")</f>
        <v>https://pbs.twimg.com/profile_images/1179730636644454402/lEcDRpIC_normal.jpg</v>
      </c>
      <c r="G611" s="63"/>
      <c r="H611" s="67"/>
      <c r="I611" s="68"/>
      <c r="J611" s="68"/>
      <c r="K611" s="67" t="s">
        <v>28205</v>
      </c>
      <c r="L611" s="71"/>
      <c r="M611" s="72"/>
      <c r="N611" s="72"/>
      <c r="O611" s="73"/>
      <c r="P611" s="74"/>
      <c r="Q611" s="74"/>
      <c r="R611" s="87"/>
      <c r="S611" s="87"/>
      <c r="T611" s="87"/>
      <c r="U611" s="87"/>
      <c r="V611" s="48"/>
      <c r="W611" s="48"/>
      <c r="X611" s="48"/>
      <c r="Y611" s="48"/>
      <c r="Z611" s="47"/>
      <c r="AA611" s="69">
        <v>611</v>
      </c>
      <c r="AB611" s="69"/>
      <c r="AC611" s="70"/>
      <c r="AD611" s="76" t="s">
        <v>21848</v>
      </c>
      <c r="AE611" s="81" t="s">
        <v>23387</v>
      </c>
      <c r="AF611" s="76">
        <v>5147626</v>
      </c>
      <c r="AG611" s="76">
        <v>72</v>
      </c>
      <c r="AH611" s="76">
        <v>578987</v>
      </c>
      <c r="AI611" s="76">
        <v>12067</v>
      </c>
      <c r="AJ611" s="76">
        <v>1722</v>
      </c>
      <c r="AK611" s="76">
        <v>206117</v>
      </c>
      <c r="AL611" s="76" t="b">
        <v>0</v>
      </c>
      <c r="AM611" s="78">
        <v>40038.896666666667</v>
      </c>
      <c r="AN611" s="76" t="s">
        <v>14382</v>
      </c>
      <c r="AO611" s="76" t="s">
        <v>25257</v>
      </c>
      <c r="AP611" s="82" t="str">
        <f>HYPERLINK("https://t.co/1rXKSjWJi1")</f>
        <v>https://t.co/1rXKSjWJi1</v>
      </c>
      <c r="AQ611" s="82" t="str">
        <f>HYPERLINK("http://www.r7.com")</f>
        <v>http://www.r7.com</v>
      </c>
      <c r="AR611" s="76" t="s">
        <v>8717</v>
      </c>
      <c r="AS611" s="76"/>
      <c r="AT611" s="76"/>
      <c r="AU611" s="76"/>
      <c r="AV611" s="76"/>
      <c r="AW611" s="82" t="str">
        <f>HYPERLINK("https://t.co/1rXKSjWJi1")</f>
        <v>https://t.co/1rXKSjWJi1</v>
      </c>
      <c r="AX611" s="76" t="b">
        <v>1</v>
      </c>
      <c r="AY611" s="76"/>
      <c r="AZ611" s="76"/>
      <c r="BA611" s="76" t="b">
        <v>0</v>
      </c>
      <c r="BB611" s="76" t="b">
        <v>1</v>
      </c>
      <c r="BC611" s="76" t="b">
        <v>0</v>
      </c>
      <c r="BD611" s="76" t="b">
        <v>0</v>
      </c>
      <c r="BE611" s="76" t="b">
        <v>1</v>
      </c>
      <c r="BF611" s="76" t="b">
        <v>0</v>
      </c>
      <c r="BG611" s="76" t="b">
        <v>0</v>
      </c>
      <c r="BH611" s="82" t="str">
        <f>HYPERLINK("https://pbs.twimg.com/profile_banners/65473559/1695852631")</f>
        <v>https://pbs.twimg.com/profile_banners/65473559/1695852631</v>
      </c>
      <c r="BI611" s="76"/>
      <c r="BJ611" s="76" t="s">
        <v>27596</v>
      </c>
      <c r="BK611" s="76" t="b">
        <v>0</v>
      </c>
      <c r="BL611" s="76"/>
      <c r="BM611" s="76" t="s">
        <v>66</v>
      </c>
      <c r="BN611" s="76" t="s">
        <v>27597</v>
      </c>
      <c r="BO611" s="82" t="str">
        <f>HYPERLINK("https://twitter.com/portalr7")</f>
        <v>https://twitter.com/portalr7</v>
      </c>
      <c r="BP611" s="2"/>
    </row>
    <row r="612" spans="1:68" x14ac:dyDescent="0.25">
      <c r="A612" s="62" t="s">
        <v>658</v>
      </c>
      <c r="B612" s="63"/>
      <c r="C612" s="63"/>
      <c r="D612" s="64"/>
      <c r="E612" s="66"/>
      <c r="F612" s="103" t="str">
        <f>HYPERLINK("https://pbs.twimg.com/profile_images/1349443550040252418/D7UpBBnw_normal.jpg")</f>
        <v>https://pbs.twimg.com/profile_images/1349443550040252418/D7UpBBnw_normal.jpg</v>
      </c>
      <c r="G612" s="63"/>
      <c r="H612" s="67"/>
      <c r="I612" s="68"/>
      <c r="J612" s="68"/>
      <c r="K612" s="67" t="s">
        <v>28206</v>
      </c>
      <c r="L612" s="71"/>
      <c r="M612" s="72"/>
      <c r="N612" s="72"/>
      <c r="O612" s="73"/>
      <c r="P612" s="74"/>
      <c r="Q612" s="74"/>
      <c r="R612" s="87"/>
      <c r="S612" s="87"/>
      <c r="T612" s="87"/>
      <c r="U612" s="87"/>
      <c r="V612" s="48"/>
      <c r="W612" s="48"/>
      <c r="X612" s="48"/>
      <c r="Y612" s="48"/>
      <c r="Z612" s="47"/>
      <c r="AA612" s="69">
        <v>612</v>
      </c>
      <c r="AB612" s="69"/>
      <c r="AC612" s="70"/>
      <c r="AD612" s="76" t="s">
        <v>21849</v>
      </c>
      <c r="AE612" s="81" t="s">
        <v>23388</v>
      </c>
      <c r="AF612" s="76">
        <v>816</v>
      </c>
      <c r="AG612" s="76">
        <v>2831</v>
      </c>
      <c r="AH612" s="76">
        <v>12827</v>
      </c>
      <c r="AI612" s="76">
        <v>4</v>
      </c>
      <c r="AJ612" s="76">
        <v>39567</v>
      </c>
      <c r="AK612" s="76">
        <v>1746</v>
      </c>
      <c r="AL612" s="76" t="b">
        <v>0</v>
      </c>
      <c r="AM612" s="78">
        <v>40006.129108796296</v>
      </c>
      <c r="AN612" s="76" t="s">
        <v>14511</v>
      </c>
      <c r="AO612" s="76" t="s">
        <v>25258</v>
      </c>
      <c r="AP612" s="82" t="str">
        <f>HYPERLINK("https://t.co/hVuBfNRYka")</f>
        <v>https://t.co/hVuBfNRYka</v>
      </c>
      <c r="AQ612" s="82" t="str">
        <f>HYPERLINK("https://www.linkedin.com/feed/update/urn:li:activity:6555066615547904000")</f>
        <v>https://www.linkedin.com/feed/update/urn:li:activity:6555066615547904000</v>
      </c>
      <c r="AR612" s="76" t="s">
        <v>26706</v>
      </c>
      <c r="AS612" s="76"/>
      <c r="AT612" s="76"/>
      <c r="AU612" s="76"/>
      <c r="AV612" s="76">
        <v>1.5855742685234801E+18</v>
      </c>
      <c r="AW612" s="82" t="str">
        <f>HYPERLINK("https://t.co/hVuBfNRYka")</f>
        <v>https://t.co/hVuBfNRYka</v>
      </c>
      <c r="AX612" s="76" t="b">
        <v>0</v>
      </c>
      <c r="AY612" s="76"/>
      <c r="AZ612" s="76"/>
      <c r="BA612" s="76" t="b">
        <v>0</v>
      </c>
      <c r="BB612" s="76" t="b">
        <v>1</v>
      </c>
      <c r="BC612" s="76" t="b">
        <v>0</v>
      </c>
      <c r="BD612" s="76" t="b">
        <v>0</v>
      </c>
      <c r="BE612" s="76" t="b">
        <v>1</v>
      </c>
      <c r="BF612" s="76" t="b">
        <v>0</v>
      </c>
      <c r="BG612" s="76" t="b">
        <v>0</v>
      </c>
      <c r="BH612" s="82" t="str">
        <f>HYPERLINK("https://pbs.twimg.com/profile_banners/56002324/1474974996")</f>
        <v>https://pbs.twimg.com/profile_banners/56002324/1474974996</v>
      </c>
      <c r="BI612" s="76"/>
      <c r="BJ612" s="76" t="s">
        <v>27595</v>
      </c>
      <c r="BK612" s="76" t="b">
        <v>0</v>
      </c>
      <c r="BL612" s="76"/>
      <c r="BM612" s="76" t="s">
        <v>66</v>
      </c>
      <c r="BN612" s="76" t="s">
        <v>27597</v>
      </c>
      <c r="BO612" s="82" t="str">
        <f>HYPERLINK("https://twitter.com/jairwalter")</f>
        <v>https://twitter.com/jairwalter</v>
      </c>
      <c r="BP612" s="2"/>
    </row>
    <row r="613" spans="1:68" x14ac:dyDescent="0.25">
      <c r="A613" s="62" t="s">
        <v>1830</v>
      </c>
      <c r="B613" s="63"/>
      <c r="C613" s="63"/>
      <c r="D613" s="64"/>
      <c r="E613" s="66"/>
      <c r="F613" s="103" t="str">
        <f>HYPERLINK("https://pbs.twimg.com/profile_images/1614784189462618112/EUGqFFah_normal.jpg")</f>
        <v>https://pbs.twimg.com/profile_images/1614784189462618112/EUGqFFah_normal.jpg</v>
      </c>
      <c r="G613" s="63"/>
      <c r="H613" s="67"/>
      <c r="I613" s="68"/>
      <c r="J613" s="68"/>
      <c r="K613" s="67" t="s">
        <v>28207</v>
      </c>
      <c r="L613" s="71"/>
      <c r="M613" s="72"/>
      <c r="N613" s="72"/>
      <c r="O613" s="73"/>
      <c r="P613" s="74"/>
      <c r="Q613" s="74"/>
      <c r="R613" s="87"/>
      <c r="S613" s="87"/>
      <c r="T613" s="87"/>
      <c r="U613" s="87"/>
      <c r="V613" s="48"/>
      <c r="W613" s="48"/>
      <c r="X613" s="48"/>
      <c r="Y613" s="48"/>
      <c r="Z613" s="47"/>
      <c r="AA613" s="69">
        <v>613</v>
      </c>
      <c r="AB613" s="69"/>
      <c r="AC613" s="70"/>
      <c r="AD613" s="76" t="s">
        <v>21850</v>
      </c>
      <c r="AE613" s="81" t="s">
        <v>23389</v>
      </c>
      <c r="AF613" s="76">
        <v>11603692</v>
      </c>
      <c r="AG613" s="76">
        <v>486</v>
      </c>
      <c r="AH613" s="76">
        <v>16223</v>
      </c>
      <c r="AI613" s="76">
        <v>8967</v>
      </c>
      <c r="AJ613" s="76">
        <v>6048</v>
      </c>
      <c r="AK613" s="76">
        <v>6670</v>
      </c>
      <c r="AL613" s="76" t="b">
        <v>0</v>
      </c>
      <c r="AM613" s="78">
        <v>40268.967870370368</v>
      </c>
      <c r="AN613" s="76" t="s">
        <v>14411</v>
      </c>
      <c r="AO613" s="76" t="s">
        <v>25259</v>
      </c>
      <c r="AP613" s="82" t="str">
        <f>HYPERLINK("https://t.co/DzletgH0tv")</f>
        <v>https://t.co/DzletgH0tv</v>
      </c>
      <c r="AQ613" s="82" t="str">
        <f>HYPERLINK("https://t.me/jairbolsonarobrasil")</f>
        <v>https://t.me/jairbolsonarobrasil</v>
      </c>
      <c r="AR613" s="76" t="s">
        <v>26707</v>
      </c>
      <c r="AS613" s="76"/>
      <c r="AT613" s="76"/>
      <c r="AU613" s="76"/>
      <c r="AV613" s="76">
        <v>1.7073608330160499E+18</v>
      </c>
      <c r="AW613" s="82" t="str">
        <f>HYPERLINK("https://t.co/DzletgH0tv")</f>
        <v>https://t.co/DzletgH0tv</v>
      </c>
      <c r="AX613" s="76" t="b">
        <v>1</v>
      </c>
      <c r="AY613" s="76"/>
      <c r="AZ613" s="76"/>
      <c r="BA613" s="76" t="b">
        <v>0</v>
      </c>
      <c r="BB613" s="76" t="b">
        <v>1</v>
      </c>
      <c r="BC613" s="76" t="b">
        <v>0</v>
      </c>
      <c r="BD613" s="76" t="b">
        <v>0</v>
      </c>
      <c r="BE613" s="76" t="b">
        <v>1</v>
      </c>
      <c r="BF613" s="76" t="b">
        <v>0</v>
      </c>
      <c r="BG613" s="76" t="b">
        <v>0</v>
      </c>
      <c r="BH613" s="82" t="str">
        <f>HYPERLINK("https://pbs.twimg.com/profile_banners/128372940/1673624335")</f>
        <v>https://pbs.twimg.com/profile_banners/128372940/1673624335</v>
      </c>
      <c r="BI613" s="76"/>
      <c r="BJ613" s="76" t="s">
        <v>27595</v>
      </c>
      <c r="BK613" s="76" t="b">
        <v>0</v>
      </c>
      <c r="BL613" s="76"/>
      <c r="BM613" s="76" t="s">
        <v>65</v>
      </c>
      <c r="BN613" s="76" t="s">
        <v>27597</v>
      </c>
      <c r="BO613" s="82" t="str">
        <f>HYPERLINK("https://twitter.com/jairbolsonaro")</f>
        <v>https://twitter.com/jairbolsonaro</v>
      </c>
      <c r="BP613" s="2"/>
    </row>
    <row r="614" spans="1:68" x14ac:dyDescent="0.25">
      <c r="A614" s="62" t="s">
        <v>659</v>
      </c>
      <c r="B614" s="63"/>
      <c r="C614" s="63"/>
      <c r="D614" s="64"/>
      <c r="E614" s="66"/>
      <c r="F614" s="103" t="str">
        <f>HYPERLINK("https://pbs.twimg.com/profile_images/1544089581653528585/YHCDkEg__normal.jpg")</f>
        <v>https://pbs.twimg.com/profile_images/1544089581653528585/YHCDkEg__normal.jpg</v>
      </c>
      <c r="G614" s="63"/>
      <c r="H614" s="67"/>
      <c r="I614" s="68"/>
      <c r="J614" s="68"/>
      <c r="K614" s="67" t="s">
        <v>28208</v>
      </c>
      <c r="L614" s="71"/>
      <c r="M614" s="72"/>
      <c r="N614" s="72"/>
      <c r="O614" s="73"/>
      <c r="P614" s="74"/>
      <c r="Q614" s="74"/>
      <c r="R614" s="87"/>
      <c r="S614" s="87"/>
      <c r="T614" s="87"/>
      <c r="U614" s="87"/>
      <c r="V614" s="48"/>
      <c r="W614" s="48"/>
      <c r="X614" s="48"/>
      <c r="Y614" s="48"/>
      <c r="Z614" s="47"/>
      <c r="AA614" s="69">
        <v>614</v>
      </c>
      <c r="AB614" s="69"/>
      <c r="AC614" s="70"/>
      <c r="AD614" s="76" t="s">
        <v>21851</v>
      </c>
      <c r="AE614" s="81" t="s">
        <v>20707</v>
      </c>
      <c r="AF614" s="76">
        <v>574</v>
      </c>
      <c r="AG614" s="76">
        <v>95</v>
      </c>
      <c r="AH614" s="76">
        <v>13410</v>
      </c>
      <c r="AI614" s="76">
        <v>3</v>
      </c>
      <c r="AJ614" s="76">
        <v>45</v>
      </c>
      <c r="AK614" s="76">
        <v>149</v>
      </c>
      <c r="AL614" s="76" t="b">
        <v>0</v>
      </c>
      <c r="AM614" s="78">
        <v>44439.93172453704</v>
      </c>
      <c r="AN614" s="76" t="s">
        <v>24300</v>
      </c>
      <c r="AO614" s="76" t="s">
        <v>25260</v>
      </c>
      <c r="AP614" s="82" t="str">
        <f>HYPERLINK("https://t.co/jSJB6CV4Y4")</f>
        <v>https://t.co/jSJB6CV4Y4</v>
      </c>
      <c r="AQ614" s="82" t="str">
        <f>HYPERLINK("http://vovetucuman.com")</f>
        <v>http://vovetucuman.com</v>
      </c>
      <c r="AR614" s="76" t="s">
        <v>8718</v>
      </c>
      <c r="AS614" s="76"/>
      <c r="AT614" s="76"/>
      <c r="AU614" s="76"/>
      <c r="AV614" s="76"/>
      <c r="AW614" s="82" t="str">
        <f>HYPERLINK("https://t.co/jSJB6CV4Y4")</f>
        <v>https://t.co/jSJB6CV4Y4</v>
      </c>
      <c r="AX614" s="76" t="b">
        <v>0</v>
      </c>
      <c r="AY614" s="76"/>
      <c r="AZ614" s="76"/>
      <c r="BA614" s="76" t="b">
        <v>0</v>
      </c>
      <c r="BB614" s="76" t="b">
        <v>1</v>
      </c>
      <c r="BC614" s="76" t="b">
        <v>1</v>
      </c>
      <c r="BD614" s="76" t="b">
        <v>0</v>
      </c>
      <c r="BE614" s="76" t="b">
        <v>0</v>
      </c>
      <c r="BF614" s="76" t="b">
        <v>0</v>
      </c>
      <c r="BG614" s="76" t="b">
        <v>0</v>
      </c>
      <c r="BH614" s="82" t="str">
        <f>HYPERLINK("https://pbs.twimg.com/profile_banners/1432830922584436738/1632620191")</f>
        <v>https://pbs.twimg.com/profile_banners/1432830922584436738/1632620191</v>
      </c>
      <c r="BI614" s="76"/>
      <c r="BJ614" s="76" t="s">
        <v>27595</v>
      </c>
      <c r="BK614" s="76" t="b">
        <v>0</v>
      </c>
      <c r="BL614" s="76"/>
      <c r="BM614" s="76" t="s">
        <v>66</v>
      </c>
      <c r="BN614" s="76" t="s">
        <v>27597</v>
      </c>
      <c r="BO614" s="82" t="str">
        <f>HYPERLINK("https://twitter.com/vovetucuman")</f>
        <v>https://twitter.com/vovetucuman</v>
      </c>
      <c r="BP614" s="2"/>
    </row>
    <row r="615" spans="1:68" x14ac:dyDescent="0.25">
      <c r="A615" s="62" t="s">
        <v>660</v>
      </c>
      <c r="B615" s="63"/>
      <c r="C615" s="63"/>
      <c r="D615" s="64"/>
      <c r="E615" s="66"/>
      <c r="F615" s="103" t="str">
        <f>HYPERLINK("https://pbs.twimg.com/profile_images/1693049422840492032/LNPrug43_normal.jpg")</f>
        <v>https://pbs.twimg.com/profile_images/1693049422840492032/LNPrug43_normal.jpg</v>
      </c>
      <c r="G615" s="63"/>
      <c r="H615" s="67"/>
      <c r="I615" s="68"/>
      <c r="J615" s="68"/>
      <c r="K615" s="67" t="s">
        <v>28209</v>
      </c>
      <c r="L615" s="71"/>
      <c r="M615" s="72"/>
      <c r="N615" s="72"/>
      <c r="O615" s="73"/>
      <c r="P615" s="74"/>
      <c r="Q615" s="74"/>
      <c r="R615" s="87"/>
      <c r="S615" s="87"/>
      <c r="T615" s="87"/>
      <c r="U615" s="87"/>
      <c r="V615" s="48"/>
      <c r="W615" s="48"/>
      <c r="X615" s="48"/>
      <c r="Y615" s="48"/>
      <c r="Z615" s="47"/>
      <c r="AA615" s="69">
        <v>615</v>
      </c>
      <c r="AB615" s="69"/>
      <c r="AC615" s="70"/>
      <c r="AD615" s="76" t="s">
        <v>21852</v>
      </c>
      <c r="AE615" s="81" t="s">
        <v>23390</v>
      </c>
      <c r="AF615" s="76">
        <v>9296</v>
      </c>
      <c r="AG615" s="76">
        <v>9502</v>
      </c>
      <c r="AH615" s="76">
        <v>2511</v>
      </c>
      <c r="AI615" s="76">
        <v>1</v>
      </c>
      <c r="AJ615" s="76">
        <v>8237</v>
      </c>
      <c r="AK615" s="76">
        <v>125</v>
      </c>
      <c r="AL615" s="76" t="b">
        <v>0</v>
      </c>
      <c r="AM615" s="78">
        <v>41918.726180555554</v>
      </c>
      <c r="AN615" s="76" t="s">
        <v>14400</v>
      </c>
      <c r="AO615" s="76" t="s">
        <v>25261</v>
      </c>
      <c r="AP615" s="76"/>
      <c r="AQ615" s="76"/>
      <c r="AR615" s="76"/>
      <c r="AS615" s="76"/>
      <c r="AT615" s="76"/>
      <c r="AU615" s="76"/>
      <c r="AV615" s="76">
        <v>1.6102394165087501E+18</v>
      </c>
      <c r="AW615" s="76"/>
      <c r="AX615" s="76" t="b">
        <v>0</v>
      </c>
      <c r="AY615" s="76"/>
      <c r="AZ615" s="76"/>
      <c r="BA615" s="76" t="b">
        <v>1</v>
      </c>
      <c r="BB615" s="76" t="b">
        <v>0</v>
      </c>
      <c r="BC615" s="76" t="b">
        <v>1</v>
      </c>
      <c r="BD615" s="76" t="b">
        <v>0</v>
      </c>
      <c r="BE615" s="76" t="b">
        <v>1</v>
      </c>
      <c r="BF615" s="76" t="b">
        <v>0</v>
      </c>
      <c r="BG615" s="76" t="b">
        <v>0</v>
      </c>
      <c r="BH615" s="82" t="str">
        <f>HYPERLINK("https://pbs.twimg.com/profile_banners/2810838677/1682108238")</f>
        <v>https://pbs.twimg.com/profile_banners/2810838677/1682108238</v>
      </c>
      <c r="BI615" s="76"/>
      <c r="BJ615" s="76" t="s">
        <v>27595</v>
      </c>
      <c r="BK615" s="76" t="b">
        <v>0</v>
      </c>
      <c r="BL615" s="76"/>
      <c r="BM615" s="76" t="s">
        <v>66</v>
      </c>
      <c r="BN615" s="76" t="s">
        <v>27597</v>
      </c>
      <c r="BO615" s="82" t="str">
        <f>HYPERLINK("https://twitter.com/luizcgferreira")</f>
        <v>https://twitter.com/luizcgferreira</v>
      </c>
      <c r="BP615" s="2"/>
    </row>
    <row r="616" spans="1:68" x14ac:dyDescent="0.25">
      <c r="A616" s="62" t="s">
        <v>1831</v>
      </c>
      <c r="B616" s="63"/>
      <c r="C616" s="63"/>
      <c r="D616" s="64"/>
      <c r="E616" s="66"/>
      <c r="F616" s="103" t="str">
        <f>HYPERLINK("https://pbs.twimg.com/profile_images/1041985306579357697/L4lZTs9s_normal.jpg")</f>
        <v>https://pbs.twimg.com/profile_images/1041985306579357697/L4lZTs9s_normal.jpg</v>
      </c>
      <c r="G616" s="63"/>
      <c r="H616" s="67"/>
      <c r="I616" s="68"/>
      <c r="J616" s="68"/>
      <c r="K616" s="67" t="s">
        <v>28210</v>
      </c>
      <c r="L616" s="71"/>
      <c r="M616" s="72"/>
      <c r="N616" s="72"/>
      <c r="O616" s="73"/>
      <c r="P616" s="74"/>
      <c r="Q616" s="74"/>
      <c r="R616" s="87"/>
      <c r="S616" s="87"/>
      <c r="T616" s="87"/>
      <c r="U616" s="87"/>
      <c r="V616" s="48"/>
      <c r="W616" s="48"/>
      <c r="X616" s="48"/>
      <c r="Y616" s="48"/>
      <c r="Z616" s="47"/>
      <c r="AA616" s="69">
        <v>616</v>
      </c>
      <c r="AB616" s="69"/>
      <c r="AC616" s="70"/>
      <c r="AD616" s="76" t="s">
        <v>21853</v>
      </c>
      <c r="AE616" s="81" t="s">
        <v>23391</v>
      </c>
      <c r="AF616" s="76">
        <v>9066</v>
      </c>
      <c r="AG616" s="76">
        <v>9251</v>
      </c>
      <c r="AH616" s="76">
        <v>3188</v>
      </c>
      <c r="AI616" s="76">
        <v>1</v>
      </c>
      <c r="AJ616" s="76">
        <v>3074</v>
      </c>
      <c r="AK616" s="76">
        <v>39</v>
      </c>
      <c r="AL616" s="76" t="b">
        <v>0</v>
      </c>
      <c r="AM616" s="78">
        <v>43156.961585648147</v>
      </c>
      <c r="AN616" s="76" t="s">
        <v>24301</v>
      </c>
      <c r="AO616" s="76" t="s">
        <v>25262</v>
      </c>
      <c r="AP616" s="76"/>
      <c r="AQ616" s="76"/>
      <c r="AR616" s="76"/>
      <c r="AS616" s="76"/>
      <c r="AT616" s="76"/>
      <c r="AU616" s="76"/>
      <c r="AV616" s="76"/>
      <c r="AW616" s="76"/>
      <c r="AX616" s="76" t="b">
        <v>0</v>
      </c>
      <c r="AY616" s="76"/>
      <c r="AZ616" s="76"/>
      <c r="BA616" s="76" t="b">
        <v>1</v>
      </c>
      <c r="BB616" s="76" t="b">
        <v>1</v>
      </c>
      <c r="BC616" s="76" t="b">
        <v>1</v>
      </c>
      <c r="BD616" s="76" t="b">
        <v>0</v>
      </c>
      <c r="BE616" s="76" t="b">
        <v>1</v>
      </c>
      <c r="BF616" s="76" t="b">
        <v>0</v>
      </c>
      <c r="BG616" s="76" t="b">
        <v>0</v>
      </c>
      <c r="BH616" s="76"/>
      <c r="BI616" s="76"/>
      <c r="BJ616" s="76" t="s">
        <v>27595</v>
      </c>
      <c r="BK616" s="76" t="b">
        <v>0</v>
      </c>
      <c r="BL616" s="76"/>
      <c r="BM616" s="76" t="s">
        <v>65</v>
      </c>
      <c r="BN616" s="76" t="s">
        <v>27597</v>
      </c>
      <c r="BO616" s="82" t="str">
        <f>HYPERLINK("https://twitter.com/n3tt0")</f>
        <v>https://twitter.com/n3tt0</v>
      </c>
      <c r="BP616" s="2"/>
    </row>
    <row r="617" spans="1:68" x14ac:dyDescent="0.25">
      <c r="A617" s="62" t="s">
        <v>1832</v>
      </c>
      <c r="B617" s="63"/>
      <c r="C617" s="63"/>
      <c r="D617" s="64"/>
      <c r="E617" s="66"/>
      <c r="F617" s="103" t="str">
        <f>HYPERLINK("https://pbs.twimg.com/profile_images/1647235805872631809/TMnICqvC_normal.jpg")</f>
        <v>https://pbs.twimg.com/profile_images/1647235805872631809/TMnICqvC_normal.jpg</v>
      </c>
      <c r="G617" s="63"/>
      <c r="H617" s="67"/>
      <c r="I617" s="68"/>
      <c r="J617" s="68"/>
      <c r="K617" s="67" t="s">
        <v>28211</v>
      </c>
      <c r="L617" s="71"/>
      <c r="M617" s="72"/>
      <c r="N617" s="72"/>
      <c r="O617" s="73"/>
      <c r="P617" s="74"/>
      <c r="Q617" s="74"/>
      <c r="R617" s="87"/>
      <c r="S617" s="87"/>
      <c r="T617" s="87"/>
      <c r="U617" s="87"/>
      <c r="V617" s="48"/>
      <c r="W617" s="48"/>
      <c r="X617" s="48"/>
      <c r="Y617" s="48"/>
      <c r="Z617" s="47"/>
      <c r="AA617" s="69">
        <v>617</v>
      </c>
      <c r="AB617" s="69"/>
      <c r="AC617" s="70"/>
      <c r="AD617" s="76" t="s">
        <v>21854</v>
      </c>
      <c r="AE617" s="81" t="s">
        <v>23392</v>
      </c>
      <c r="AF617" s="76">
        <v>188</v>
      </c>
      <c r="AG617" s="76">
        <v>220</v>
      </c>
      <c r="AH617" s="76">
        <v>1843</v>
      </c>
      <c r="AI617" s="76">
        <v>1</v>
      </c>
      <c r="AJ617" s="76">
        <v>9511</v>
      </c>
      <c r="AK617" s="76">
        <v>46</v>
      </c>
      <c r="AL617" s="76" t="b">
        <v>0</v>
      </c>
      <c r="AM617" s="78">
        <v>45031.575277777774</v>
      </c>
      <c r="AN617" s="76"/>
      <c r="AO617" s="76" t="s">
        <v>25263</v>
      </c>
      <c r="AP617" s="76"/>
      <c r="AQ617" s="76"/>
      <c r="AR617" s="76"/>
      <c r="AS617" s="76"/>
      <c r="AT617" s="76"/>
      <c r="AU617" s="76"/>
      <c r="AV617" s="76"/>
      <c r="AW617" s="76"/>
      <c r="AX617" s="76" t="b">
        <v>0</v>
      </c>
      <c r="AY617" s="76"/>
      <c r="AZ617" s="76"/>
      <c r="BA617" s="76" t="b">
        <v>0</v>
      </c>
      <c r="BB617" s="76" t="b">
        <v>1</v>
      </c>
      <c r="BC617" s="76" t="b">
        <v>1</v>
      </c>
      <c r="BD617" s="76" t="b">
        <v>0</v>
      </c>
      <c r="BE617" s="76" t="b">
        <v>0</v>
      </c>
      <c r="BF617" s="76" t="b">
        <v>0</v>
      </c>
      <c r="BG617" s="76" t="b">
        <v>0</v>
      </c>
      <c r="BH617" s="82" t="str">
        <f>HYPERLINK("https://pbs.twimg.com/profile_banners/1647235316225327105/1681575682")</f>
        <v>https://pbs.twimg.com/profile_banners/1647235316225327105/1681575682</v>
      </c>
      <c r="BI617" s="76"/>
      <c r="BJ617" s="76" t="s">
        <v>27595</v>
      </c>
      <c r="BK617" s="76" t="b">
        <v>0</v>
      </c>
      <c r="BL617" s="76"/>
      <c r="BM617" s="76" t="s">
        <v>65</v>
      </c>
      <c r="BN617" s="76" t="s">
        <v>27597</v>
      </c>
      <c r="BO617" s="82" t="str">
        <f>HYPERLINK("https://twitter.com/reinesouza1")</f>
        <v>https://twitter.com/reinesouza1</v>
      </c>
      <c r="BP617" s="2"/>
    </row>
    <row r="618" spans="1:68" x14ac:dyDescent="0.25">
      <c r="A618" s="62" t="s">
        <v>1833</v>
      </c>
      <c r="B618" s="63"/>
      <c r="C618" s="63"/>
      <c r="D618" s="64"/>
      <c r="E618" s="66"/>
      <c r="F618" s="103" t="str">
        <f>HYPERLINK("https://pbs.twimg.com/profile_images/1704102020351680512/tWI6IbmY_normal.jpg")</f>
        <v>https://pbs.twimg.com/profile_images/1704102020351680512/tWI6IbmY_normal.jpg</v>
      </c>
      <c r="G618" s="63"/>
      <c r="H618" s="67"/>
      <c r="I618" s="68"/>
      <c r="J618" s="68"/>
      <c r="K618" s="67" t="s">
        <v>28212</v>
      </c>
      <c r="L618" s="71"/>
      <c r="M618" s="72"/>
      <c r="N618" s="72"/>
      <c r="O618" s="73"/>
      <c r="P618" s="74"/>
      <c r="Q618" s="74"/>
      <c r="R618" s="87"/>
      <c r="S618" s="87"/>
      <c r="T618" s="87"/>
      <c r="U618" s="87"/>
      <c r="V618" s="48"/>
      <c r="W618" s="48"/>
      <c r="X618" s="48"/>
      <c r="Y618" s="48"/>
      <c r="Z618" s="47"/>
      <c r="AA618" s="69">
        <v>618</v>
      </c>
      <c r="AB618" s="69"/>
      <c r="AC618" s="70"/>
      <c r="AD618" s="76" t="s">
        <v>21855</v>
      </c>
      <c r="AE618" s="81" t="s">
        <v>23393</v>
      </c>
      <c r="AF618" s="76">
        <v>33657</v>
      </c>
      <c r="AG618" s="76">
        <v>22355</v>
      </c>
      <c r="AH618" s="76">
        <v>128397</v>
      </c>
      <c r="AI618" s="76">
        <v>27</v>
      </c>
      <c r="AJ618" s="76">
        <v>147338</v>
      </c>
      <c r="AK618" s="76">
        <v>15209</v>
      </c>
      <c r="AL618" s="76" t="b">
        <v>0</v>
      </c>
      <c r="AM618" s="78">
        <v>40707.893240740741</v>
      </c>
      <c r="AN618" s="76" t="s">
        <v>24302</v>
      </c>
      <c r="AO618" s="76" t="s">
        <v>25264</v>
      </c>
      <c r="AP618" s="82" t="str">
        <f>HYPERLINK("https://t.co/aQwjEP4wXD")</f>
        <v>https://t.co/aQwjEP4wXD</v>
      </c>
      <c r="AQ618" s="82" t="str">
        <f>HYPERLINK("https://bsky.app/profile/omarxista.bsky.social")</f>
        <v>https://bsky.app/profile/omarxista.bsky.social</v>
      </c>
      <c r="AR618" s="76" t="s">
        <v>26708</v>
      </c>
      <c r="AS618" s="76"/>
      <c r="AT618" s="76"/>
      <c r="AU618" s="76"/>
      <c r="AV618" s="76">
        <v>1.70734557317344E+18</v>
      </c>
      <c r="AW618" s="82" t="str">
        <f>HYPERLINK("https://t.co/aQwjEP4wXD")</f>
        <v>https://t.co/aQwjEP4wXD</v>
      </c>
      <c r="AX618" s="76" t="b">
        <v>0</v>
      </c>
      <c r="AY618" s="76"/>
      <c r="AZ618" s="76"/>
      <c r="BA618" s="76" t="b">
        <v>0</v>
      </c>
      <c r="BB618" s="76" t="b">
        <v>0</v>
      </c>
      <c r="BC618" s="76" t="b">
        <v>1</v>
      </c>
      <c r="BD618" s="76" t="b">
        <v>0</v>
      </c>
      <c r="BE618" s="76" t="b">
        <v>1</v>
      </c>
      <c r="BF618" s="76" t="b">
        <v>0</v>
      </c>
      <c r="BG618" s="76" t="b">
        <v>0</v>
      </c>
      <c r="BH618" s="82" t="str">
        <f>HYPERLINK("https://pbs.twimg.com/profile_banners/316716766/1692839163")</f>
        <v>https://pbs.twimg.com/profile_banners/316716766/1692839163</v>
      </c>
      <c r="BI618" s="76"/>
      <c r="BJ618" s="76" t="s">
        <v>27595</v>
      </c>
      <c r="BK618" s="76" t="b">
        <v>0</v>
      </c>
      <c r="BL618" s="76"/>
      <c r="BM618" s="76" t="s">
        <v>65</v>
      </c>
      <c r="BN618" s="76" t="s">
        <v>27597</v>
      </c>
      <c r="BO618" s="82" t="str">
        <f>HYPERLINK("https://twitter.com/omarxista")</f>
        <v>https://twitter.com/omarxista</v>
      </c>
      <c r="BP618" s="2"/>
    </row>
    <row r="619" spans="1:68" x14ac:dyDescent="0.25">
      <c r="A619" s="62" t="s">
        <v>1834</v>
      </c>
      <c r="B619" s="63"/>
      <c r="C619" s="63"/>
      <c r="D619" s="64"/>
      <c r="E619" s="66"/>
      <c r="F619" s="103" t="str">
        <f>HYPERLINK("https://pbs.twimg.com/profile_images/1660133476773818371/jQb8kncf_normal.jpg")</f>
        <v>https://pbs.twimg.com/profile_images/1660133476773818371/jQb8kncf_normal.jpg</v>
      </c>
      <c r="G619" s="63"/>
      <c r="H619" s="67"/>
      <c r="I619" s="68"/>
      <c r="J619" s="68"/>
      <c r="K619" s="67" t="s">
        <v>28213</v>
      </c>
      <c r="L619" s="71"/>
      <c r="M619" s="72"/>
      <c r="N619" s="72"/>
      <c r="O619" s="73"/>
      <c r="P619" s="74"/>
      <c r="Q619" s="74"/>
      <c r="R619" s="87"/>
      <c r="S619" s="87"/>
      <c r="T619" s="87"/>
      <c r="U619" s="87"/>
      <c r="V619" s="48"/>
      <c r="W619" s="48"/>
      <c r="X619" s="48"/>
      <c r="Y619" s="48"/>
      <c r="Z619" s="47"/>
      <c r="AA619" s="69">
        <v>619</v>
      </c>
      <c r="AB619" s="69"/>
      <c r="AC619" s="70"/>
      <c r="AD619" s="76" t="s">
        <v>21856</v>
      </c>
      <c r="AE619" s="81" t="s">
        <v>23394</v>
      </c>
      <c r="AF619" s="76">
        <v>3214</v>
      </c>
      <c r="AG619" s="76">
        <v>5003</v>
      </c>
      <c r="AH619" s="76">
        <v>10666</v>
      </c>
      <c r="AI619" s="76">
        <v>0</v>
      </c>
      <c r="AJ619" s="76">
        <v>8520</v>
      </c>
      <c r="AK619" s="76">
        <v>1008</v>
      </c>
      <c r="AL619" s="76" t="b">
        <v>0</v>
      </c>
      <c r="AM619" s="78">
        <v>40474.055717592593</v>
      </c>
      <c r="AN619" s="76" t="s">
        <v>24303</v>
      </c>
      <c r="AO619" s="76" t="s">
        <v>25265</v>
      </c>
      <c r="AP619" s="76"/>
      <c r="AQ619" s="76"/>
      <c r="AR619" s="76"/>
      <c r="AS619" s="76"/>
      <c r="AT619" s="76"/>
      <c r="AU619" s="76"/>
      <c r="AV619" s="76"/>
      <c r="AW619" s="76"/>
      <c r="AX619" s="76" t="b">
        <v>0</v>
      </c>
      <c r="AY619" s="76"/>
      <c r="AZ619" s="76"/>
      <c r="BA619" s="76" t="b">
        <v>1</v>
      </c>
      <c r="BB619" s="76" t="b">
        <v>1</v>
      </c>
      <c r="BC619" s="76" t="b">
        <v>1</v>
      </c>
      <c r="BD619" s="76" t="b">
        <v>0</v>
      </c>
      <c r="BE619" s="76" t="b">
        <v>0</v>
      </c>
      <c r="BF619" s="76" t="b">
        <v>0</v>
      </c>
      <c r="BG619" s="76" t="b">
        <v>0</v>
      </c>
      <c r="BH619" s="82" t="str">
        <f>HYPERLINK("https://pbs.twimg.com/profile_banners/206471012/1684641640")</f>
        <v>https://pbs.twimg.com/profile_banners/206471012/1684641640</v>
      </c>
      <c r="BI619" s="76"/>
      <c r="BJ619" s="76" t="s">
        <v>27595</v>
      </c>
      <c r="BK619" s="76" t="b">
        <v>0</v>
      </c>
      <c r="BL619" s="76"/>
      <c r="BM619" s="76" t="s">
        <v>65</v>
      </c>
      <c r="BN619" s="76" t="s">
        <v>27597</v>
      </c>
      <c r="BO619" s="82" t="str">
        <f>HYPERLINK("https://twitter.com/pminchio")</f>
        <v>https://twitter.com/pminchio</v>
      </c>
      <c r="BP619" s="2"/>
    </row>
    <row r="620" spans="1:68" x14ac:dyDescent="0.25">
      <c r="A620" s="62" t="s">
        <v>1835</v>
      </c>
      <c r="B620" s="63"/>
      <c r="C620" s="63"/>
      <c r="D620" s="64"/>
      <c r="E620" s="66"/>
      <c r="F620" s="103" t="str">
        <f>HYPERLINK("https://pbs.twimg.com/profile_images/1658236552831463425/LaX08SUT_normal.jpg")</f>
        <v>https://pbs.twimg.com/profile_images/1658236552831463425/LaX08SUT_normal.jpg</v>
      </c>
      <c r="G620" s="63"/>
      <c r="H620" s="67"/>
      <c r="I620" s="68"/>
      <c r="J620" s="68"/>
      <c r="K620" s="67" t="s">
        <v>28214</v>
      </c>
      <c r="L620" s="71"/>
      <c r="M620" s="72"/>
      <c r="N620" s="72"/>
      <c r="O620" s="73"/>
      <c r="P620" s="74"/>
      <c r="Q620" s="74"/>
      <c r="R620" s="87"/>
      <c r="S620" s="87"/>
      <c r="T620" s="87"/>
      <c r="U620" s="87"/>
      <c r="V620" s="48"/>
      <c r="W620" s="48"/>
      <c r="X620" s="48"/>
      <c r="Y620" s="48"/>
      <c r="Z620" s="47"/>
      <c r="AA620" s="69">
        <v>620</v>
      </c>
      <c r="AB620" s="69"/>
      <c r="AC620" s="70"/>
      <c r="AD620" s="76" t="s">
        <v>21857</v>
      </c>
      <c r="AE620" s="81" t="s">
        <v>23395</v>
      </c>
      <c r="AF620" s="76">
        <v>2392</v>
      </c>
      <c r="AG620" s="76">
        <v>2534</v>
      </c>
      <c r="AH620" s="76">
        <v>12114</v>
      </c>
      <c r="AI620" s="76">
        <v>1</v>
      </c>
      <c r="AJ620" s="76">
        <v>12842</v>
      </c>
      <c r="AK620" s="76">
        <v>2745</v>
      </c>
      <c r="AL620" s="76" t="b">
        <v>0</v>
      </c>
      <c r="AM620" s="78">
        <v>43071.980439814812</v>
      </c>
      <c r="AN620" s="76" t="s">
        <v>14402</v>
      </c>
      <c r="AO620" s="76" t="s">
        <v>25266</v>
      </c>
      <c r="AP620" s="82" t="str">
        <f>HYPERLINK("https://t.co/znJ7vp6ufU")</f>
        <v>https://t.co/znJ7vp6ufU</v>
      </c>
      <c r="AQ620" s="82" t="str">
        <f>HYPERLINK("https://www.instagram.com/acopelenossa/")</f>
        <v>https://www.instagram.com/acopelenossa/</v>
      </c>
      <c r="AR620" s="76" t="s">
        <v>26709</v>
      </c>
      <c r="AS620" s="76"/>
      <c r="AT620" s="76"/>
      <c r="AU620" s="76"/>
      <c r="AV620" s="76">
        <v>1.6911137439402199E+18</v>
      </c>
      <c r="AW620" s="82" t="str">
        <f>HYPERLINK("https://t.co/znJ7vp6ufU")</f>
        <v>https://t.co/znJ7vp6ufU</v>
      </c>
      <c r="AX620" s="76" t="b">
        <v>0</v>
      </c>
      <c r="AY620" s="76"/>
      <c r="AZ620" s="76"/>
      <c r="BA620" s="76" t="b">
        <v>0</v>
      </c>
      <c r="BB620" s="76" t="b">
        <v>1</v>
      </c>
      <c r="BC620" s="76" t="b">
        <v>1</v>
      </c>
      <c r="BD620" s="76" t="b">
        <v>0</v>
      </c>
      <c r="BE620" s="76" t="b">
        <v>0</v>
      </c>
      <c r="BF620" s="76" t="b">
        <v>0</v>
      </c>
      <c r="BG620" s="76" t="b">
        <v>0</v>
      </c>
      <c r="BH620" s="82" t="str">
        <f>HYPERLINK("https://pbs.twimg.com/profile_banners/937102033718562816/1684189388")</f>
        <v>https://pbs.twimg.com/profile_banners/937102033718562816/1684189388</v>
      </c>
      <c r="BI620" s="76"/>
      <c r="BJ620" s="76" t="s">
        <v>27595</v>
      </c>
      <c r="BK620" s="76" t="b">
        <v>0</v>
      </c>
      <c r="BL620" s="76"/>
      <c r="BM620" s="76" t="s">
        <v>65</v>
      </c>
      <c r="BN620" s="76" t="s">
        <v>27597</v>
      </c>
      <c r="BO620" s="82" t="str">
        <f>HYPERLINK("https://twitter.com/acopelenossa")</f>
        <v>https://twitter.com/acopelenossa</v>
      </c>
      <c r="BP620" s="2"/>
    </row>
    <row r="621" spans="1:68" x14ac:dyDescent="0.25">
      <c r="A621" s="62" t="s">
        <v>1836</v>
      </c>
      <c r="B621" s="63"/>
      <c r="C621" s="63"/>
      <c r="D621" s="64"/>
      <c r="E621" s="66"/>
      <c r="F621" s="103" t="str">
        <f>HYPERLINK("https://pbs.twimg.com/profile_images/917758581579055112/Wg7ye6w3_normal.jpg")</f>
        <v>https://pbs.twimg.com/profile_images/917758581579055112/Wg7ye6w3_normal.jpg</v>
      </c>
      <c r="G621" s="63"/>
      <c r="H621" s="67"/>
      <c r="I621" s="68"/>
      <c r="J621" s="68"/>
      <c r="K621" s="67" t="s">
        <v>28215</v>
      </c>
      <c r="L621" s="71"/>
      <c r="M621" s="72"/>
      <c r="N621" s="72"/>
      <c r="O621" s="73"/>
      <c r="P621" s="74"/>
      <c r="Q621" s="74"/>
      <c r="R621" s="87"/>
      <c r="S621" s="87"/>
      <c r="T621" s="87"/>
      <c r="U621" s="87"/>
      <c r="V621" s="48"/>
      <c r="W621" s="48"/>
      <c r="X621" s="48"/>
      <c r="Y621" s="48"/>
      <c r="Z621" s="47"/>
      <c r="AA621" s="69">
        <v>621</v>
      </c>
      <c r="AB621" s="69"/>
      <c r="AC621" s="70"/>
      <c r="AD621" s="76" t="s">
        <v>21858</v>
      </c>
      <c r="AE621" s="81" t="s">
        <v>23396</v>
      </c>
      <c r="AF621" s="76">
        <v>2348</v>
      </c>
      <c r="AG621" s="76">
        <v>4542</v>
      </c>
      <c r="AH621" s="76">
        <v>26996</v>
      </c>
      <c r="AI621" s="76">
        <v>0</v>
      </c>
      <c r="AJ621" s="76">
        <v>21936</v>
      </c>
      <c r="AK621" s="76">
        <v>822</v>
      </c>
      <c r="AL621" s="76" t="b">
        <v>0</v>
      </c>
      <c r="AM621" s="78">
        <v>42927.429884259262</v>
      </c>
      <c r="AN621" s="76"/>
      <c r="AO621" s="76" t="s">
        <v>25267</v>
      </c>
      <c r="AP621" s="76"/>
      <c r="AQ621" s="76"/>
      <c r="AR621" s="76"/>
      <c r="AS621" s="76"/>
      <c r="AT621" s="76"/>
      <c r="AU621" s="76"/>
      <c r="AV621" s="76"/>
      <c r="AW621" s="76"/>
      <c r="AX621" s="76" t="b">
        <v>0</v>
      </c>
      <c r="AY621" s="76"/>
      <c r="AZ621" s="76"/>
      <c r="BA621" s="76" t="b">
        <v>0</v>
      </c>
      <c r="BB621" s="76" t="b">
        <v>0</v>
      </c>
      <c r="BC621" s="76" t="b">
        <v>0</v>
      </c>
      <c r="BD621" s="76" t="b">
        <v>0</v>
      </c>
      <c r="BE621" s="76" t="b">
        <v>1</v>
      </c>
      <c r="BF621" s="76" t="b">
        <v>0</v>
      </c>
      <c r="BG621" s="76" t="b">
        <v>0</v>
      </c>
      <c r="BH621" s="82" t="str">
        <f>HYPERLINK("https://pbs.twimg.com/profile_banners/884718668231430148/1574032512")</f>
        <v>https://pbs.twimg.com/profile_banners/884718668231430148/1574032512</v>
      </c>
      <c r="BI621" s="76"/>
      <c r="BJ621" s="76" t="s">
        <v>27595</v>
      </c>
      <c r="BK621" s="76" t="b">
        <v>0</v>
      </c>
      <c r="BL621" s="76"/>
      <c r="BM621" s="76" t="s">
        <v>65</v>
      </c>
      <c r="BN621" s="76" t="s">
        <v>27597</v>
      </c>
      <c r="BO621" s="82" t="str">
        <f>HYPERLINK("https://twitter.com/naziscore")</f>
        <v>https://twitter.com/naziscore</v>
      </c>
      <c r="BP621" s="2"/>
    </row>
    <row r="622" spans="1:68" x14ac:dyDescent="0.25">
      <c r="A622" s="62" t="s">
        <v>1837</v>
      </c>
      <c r="B622" s="63"/>
      <c r="C622" s="63"/>
      <c r="D622" s="64"/>
      <c r="E622" s="66"/>
      <c r="F622" s="103" t="str">
        <f>HYPERLINK("https://pbs.twimg.com/profile_images/1628117150429859840/Pc_pgEkb_normal.jpg")</f>
        <v>https://pbs.twimg.com/profile_images/1628117150429859840/Pc_pgEkb_normal.jpg</v>
      </c>
      <c r="G622" s="63"/>
      <c r="H622" s="67"/>
      <c r="I622" s="68"/>
      <c r="J622" s="68"/>
      <c r="K622" s="67" t="s">
        <v>28216</v>
      </c>
      <c r="L622" s="71"/>
      <c r="M622" s="72"/>
      <c r="N622" s="72"/>
      <c r="O622" s="73"/>
      <c r="P622" s="74"/>
      <c r="Q622" s="74"/>
      <c r="R622" s="87"/>
      <c r="S622" s="87"/>
      <c r="T622" s="87"/>
      <c r="U622" s="87"/>
      <c r="V622" s="48"/>
      <c r="W622" s="48"/>
      <c r="X622" s="48"/>
      <c r="Y622" s="48"/>
      <c r="Z622" s="47"/>
      <c r="AA622" s="69">
        <v>622</v>
      </c>
      <c r="AB622" s="69"/>
      <c r="AC622" s="70"/>
      <c r="AD622" s="76" t="s">
        <v>21859</v>
      </c>
      <c r="AE622" s="81" t="s">
        <v>23397</v>
      </c>
      <c r="AF622" s="76">
        <v>17010</v>
      </c>
      <c r="AG622" s="76">
        <v>18102</v>
      </c>
      <c r="AH622" s="76">
        <v>14537</v>
      </c>
      <c r="AI622" s="76">
        <v>6</v>
      </c>
      <c r="AJ622" s="76">
        <v>37848</v>
      </c>
      <c r="AK622" s="76">
        <v>2326</v>
      </c>
      <c r="AL622" s="76" t="b">
        <v>0</v>
      </c>
      <c r="AM622" s="78">
        <v>44566.984490740739</v>
      </c>
      <c r="AN622" s="76" t="s">
        <v>24304</v>
      </c>
      <c r="AO622" s="76" t="s">
        <v>25268</v>
      </c>
      <c r="AP622" s="76"/>
      <c r="AQ622" s="76"/>
      <c r="AR622" s="76"/>
      <c r="AS622" s="76"/>
      <c r="AT622" s="76"/>
      <c r="AU622" s="76"/>
      <c r="AV622" s="76">
        <v>1.70601241394479E+18</v>
      </c>
      <c r="AW622" s="76"/>
      <c r="AX622" s="76" t="b">
        <v>1</v>
      </c>
      <c r="AY622" s="76"/>
      <c r="AZ622" s="76"/>
      <c r="BA622" s="76" t="b">
        <v>0</v>
      </c>
      <c r="BB622" s="76" t="b">
        <v>1</v>
      </c>
      <c r="BC622" s="76" t="b">
        <v>1</v>
      </c>
      <c r="BD622" s="76" t="b">
        <v>0</v>
      </c>
      <c r="BE622" s="76" t="b">
        <v>1</v>
      </c>
      <c r="BF622" s="76" t="b">
        <v>0</v>
      </c>
      <c r="BG622" s="76" t="b">
        <v>0</v>
      </c>
      <c r="BH622" s="82" t="str">
        <f>HYPERLINK("https://pbs.twimg.com/profile_banners/1478873305402818561/1672609562")</f>
        <v>https://pbs.twimg.com/profile_banners/1478873305402818561/1672609562</v>
      </c>
      <c r="BI622" s="76"/>
      <c r="BJ622" s="76" t="s">
        <v>27595</v>
      </c>
      <c r="BK622" s="76" t="b">
        <v>0</v>
      </c>
      <c r="BL622" s="76"/>
      <c r="BM622" s="76" t="s">
        <v>65</v>
      </c>
      <c r="BN622" s="76" t="s">
        <v>27597</v>
      </c>
      <c r="BO622" s="82" t="str">
        <f>HYPERLINK("https://twitter.com/arc_maiana")</f>
        <v>https://twitter.com/arc_maiana</v>
      </c>
      <c r="BP622" s="2"/>
    </row>
    <row r="623" spans="1:68" x14ac:dyDescent="0.25">
      <c r="A623" s="62" t="s">
        <v>1838</v>
      </c>
      <c r="B623" s="63"/>
      <c r="C623" s="63"/>
      <c r="D623" s="64"/>
      <c r="E623" s="66"/>
      <c r="F623" s="103" t="str">
        <f>HYPERLINK("https://pbs.twimg.com/profile_images/1699821738203267076/zI5zcVuJ_normal.jpg")</f>
        <v>https://pbs.twimg.com/profile_images/1699821738203267076/zI5zcVuJ_normal.jpg</v>
      </c>
      <c r="G623" s="63"/>
      <c r="H623" s="67"/>
      <c r="I623" s="68"/>
      <c r="J623" s="68"/>
      <c r="K623" s="67" t="s">
        <v>28217</v>
      </c>
      <c r="L623" s="71"/>
      <c r="M623" s="72"/>
      <c r="N623" s="72"/>
      <c r="O623" s="73"/>
      <c r="P623" s="74"/>
      <c r="Q623" s="74"/>
      <c r="R623" s="87"/>
      <c r="S623" s="87"/>
      <c r="T623" s="87"/>
      <c r="U623" s="87"/>
      <c r="V623" s="48"/>
      <c r="W623" s="48"/>
      <c r="X623" s="48"/>
      <c r="Y623" s="48"/>
      <c r="Z623" s="47"/>
      <c r="AA623" s="69">
        <v>623</v>
      </c>
      <c r="AB623" s="69"/>
      <c r="AC623" s="70"/>
      <c r="AD623" s="76" t="s">
        <v>21860</v>
      </c>
      <c r="AE623" s="81" t="s">
        <v>23398</v>
      </c>
      <c r="AF623" s="76">
        <v>945</v>
      </c>
      <c r="AG623" s="76">
        <v>1369</v>
      </c>
      <c r="AH623" s="76">
        <v>24491</v>
      </c>
      <c r="AI623" s="76">
        <v>2</v>
      </c>
      <c r="AJ623" s="76">
        <v>17601</v>
      </c>
      <c r="AK623" s="76">
        <v>658</v>
      </c>
      <c r="AL623" s="76" t="b">
        <v>0</v>
      </c>
      <c r="AM623" s="78">
        <v>44940.657210648147</v>
      </c>
      <c r="AN623" s="76" t="s">
        <v>24305</v>
      </c>
      <c r="AO623" s="76" t="s">
        <v>25269</v>
      </c>
      <c r="AP623" s="76"/>
      <c r="AQ623" s="76"/>
      <c r="AR623" s="76"/>
      <c r="AS623" s="76"/>
      <c r="AT623" s="76"/>
      <c r="AU623" s="76"/>
      <c r="AV623" s="76"/>
      <c r="AW623" s="76"/>
      <c r="AX623" s="76" t="b">
        <v>0</v>
      </c>
      <c r="AY623" s="76"/>
      <c r="AZ623" s="76"/>
      <c r="BA623" s="76" t="b">
        <v>0</v>
      </c>
      <c r="BB623" s="76" t="b">
        <v>1</v>
      </c>
      <c r="BC623" s="76" t="b">
        <v>1</v>
      </c>
      <c r="BD623" s="76" t="b">
        <v>0</v>
      </c>
      <c r="BE623" s="76" t="b">
        <v>1</v>
      </c>
      <c r="BF623" s="76" t="b">
        <v>0</v>
      </c>
      <c r="BG623" s="76" t="b">
        <v>0</v>
      </c>
      <c r="BH623" s="82" t="str">
        <f>HYPERLINK("https://pbs.twimg.com/profile_banners/1614286453382545410/1676077347")</f>
        <v>https://pbs.twimg.com/profile_banners/1614286453382545410/1676077347</v>
      </c>
      <c r="BI623" s="76"/>
      <c r="BJ623" s="76" t="s">
        <v>27595</v>
      </c>
      <c r="BK623" s="76" t="b">
        <v>0</v>
      </c>
      <c r="BL623" s="76"/>
      <c r="BM623" s="76" t="s">
        <v>65</v>
      </c>
      <c r="BN623" s="76" t="s">
        <v>27597</v>
      </c>
      <c r="BO623" s="82" t="str">
        <f>HYPERLINK("https://twitter.com/rosalia02965899")</f>
        <v>https://twitter.com/rosalia02965899</v>
      </c>
      <c r="BP623" s="2"/>
    </row>
    <row r="624" spans="1:68" x14ac:dyDescent="0.25">
      <c r="A624" s="62" t="s">
        <v>1839</v>
      </c>
      <c r="B624" s="63"/>
      <c r="C624" s="63"/>
      <c r="D624" s="64"/>
      <c r="E624" s="66"/>
      <c r="F624" s="103" t="str">
        <f>HYPERLINK("https://pbs.twimg.com/profile_images/1599623889512009728/OHbk_RKs_normal.jpg")</f>
        <v>https://pbs.twimg.com/profile_images/1599623889512009728/OHbk_RKs_normal.jpg</v>
      </c>
      <c r="G624" s="63"/>
      <c r="H624" s="67"/>
      <c r="I624" s="68"/>
      <c r="J624" s="68"/>
      <c r="K624" s="67" t="s">
        <v>28218</v>
      </c>
      <c r="L624" s="71"/>
      <c r="M624" s="72"/>
      <c r="N624" s="72"/>
      <c r="O624" s="73"/>
      <c r="P624" s="74"/>
      <c r="Q624" s="74"/>
      <c r="R624" s="87"/>
      <c r="S624" s="87"/>
      <c r="T624" s="87"/>
      <c r="U624" s="87"/>
      <c r="V624" s="48"/>
      <c r="W624" s="48"/>
      <c r="X624" s="48"/>
      <c r="Y624" s="48"/>
      <c r="Z624" s="47"/>
      <c r="AA624" s="69">
        <v>624</v>
      </c>
      <c r="AB624" s="69"/>
      <c r="AC624" s="70"/>
      <c r="AD624" s="76" t="s">
        <v>21861</v>
      </c>
      <c r="AE624" s="81" t="s">
        <v>23399</v>
      </c>
      <c r="AF624" s="76">
        <v>15519</v>
      </c>
      <c r="AG624" s="76">
        <v>15449</v>
      </c>
      <c r="AH624" s="76">
        <v>28694</v>
      </c>
      <c r="AI624" s="76">
        <v>4</v>
      </c>
      <c r="AJ624" s="76">
        <v>70903</v>
      </c>
      <c r="AK624" s="76">
        <v>6160</v>
      </c>
      <c r="AL624" s="76" t="b">
        <v>0</v>
      </c>
      <c r="AM624" s="78">
        <v>43925.204745370371</v>
      </c>
      <c r="AN624" s="76" t="s">
        <v>24306</v>
      </c>
      <c r="AO624" s="76" t="s">
        <v>25270</v>
      </c>
      <c r="AP624" s="76"/>
      <c r="AQ624" s="76"/>
      <c r="AR624" s="76"/>
      <c r="AS624" s="76"/>
      <c r="AT624" s="76"/>
      <c r="AU624" s="76"/>
      <c r="AV624" s="76"/>
      <c r="AW624" s="76"/>
      <c r="AX624" s="76" t="b">
        <v>0</v>
      </c>
      <c r="AY624" s="76"/>
      <c r="AZ624" s="76"/>
      <c r="BA624" s="76" t="b">
        <v>0</v>
      </c>
      <c r="BB624" s="76" t="b">
        <v>1</v>
      </c>
      <c r="BC624" s="76" t="b">
        <v>1</v>
      </c>
      <c r="BD624" s="76" t="b">
        <v>0</v>
      </c>
      <c r="BE624" s="76" t="b">
        <v>1</v>
      </c>
      <c r="BF624" s="76" t="b">
        <v>0</v>
      </c>
      <c r="BG624" s="76" t="b">
        <v>0</v>
      </c>
      <c r="BH624" s="82" t="str">
        <f>HYPERLINK("https://pbs.twimg.com/profile_banners/1246300108548947968/1688680793")</f>
        <v>https://pbs.twimg.com/profile_banners/1246300108548947968/1688680793</v>
      </c>
      <c r="BI624" s="76"/>
      <c r="BJ624" s="76" t="s">
        <v>27595</v>
      </c>
      <c r="BK624" s="76" t="b">
        <v>0</v>
      </c>
      <c r="BL624" s="76"/>
      <c r="BM624" s="76" t="s">
        <v>65</v>
      </c>
      <c r="BN624" s="76" t="s">
        <v>27597</v>
      </c>
      <c r="BO624" s="82" t="str">
        <f>HYPERLINK("https://twitter.com/mello1400")</f>
        <v>https://twitter.com/mello1400</v>
      </c>
      <c r="BP624" s="2"/>
    </row>
    <row r="625" spans="1:68" x14ac:dyDescent="0.25">
      <c r="A625" s="62" t="s">
        <v>1840</v>
      </c>
      <c r="B625" s="63"/>
      <c r="C625" s="63"/>
      <c r="D625" s="64"/>
      <c r="E625" s="66"/>
      <c r="F625" s="103" t="str">
        <f>HYPERLINK("https://pbs.twimg.com/profile_images/1596876510337662976/JsNwvTGh_normal.jpg")</f>
        <v>https://pbs.twimg.com/profile_images/1596876510337662976/JsNwvTGh_normal.jpg</v>
      </c>
      <c r="G625" s="63"/>
      <c r="H625" s="67"/>
      <c r="I625" s="68"/>
      <c r="J625" s="68"/>
      <c r="K625" s="67" t="s">
        <v>28219</v>
      </c>
      <c r="L625" s="71"/>
      <c r="M625" s="72"/>
      <c r="N625" s="72"/>
      <c r="O625" s="73"/>
      <c r="P625" s="74"/>
      <c r="Q625" s="74"/>
      <c r="R625" s="87"/>
      <c r="S625" s="87"/>
      <c r="T625" s="87"/>
      <c r="U625" s="87"/>
      <c r="V625" s="48"/>
      <c r="W625" s="48"/>
      <c r="X625" s="48"/>
      <c r="Y625" s="48"/>
      <c r="Z625" s="47"/>
      <c r="AA625" s="69">
        <v>625</v>
      </c>
      <c r="AB625" s="69"/>
      <c r="AC625" s="70"/>
      <c r="AD625" s="76" t="s">
        <v>21862</v>
      </c>
      <c r="AE625" s="81" t="s">
        <v>23400</v>
      </c>
      <c r="AF625" s="76">
        <v>4567</v>
      </c>
      <c r="AG625" s="76">
        <v>5017</v>
      </c>
      <c r="AH625" s="76">
        <v>60313</v>
      </c>
      <c r="AI625" s="76">
        <v>1</v>
      </c>
      <c r="AJ625" s="76">
        <v>175867</v>
      </c>
      <c r="AK625" s="76">
        <v>284</v>
      </c>
      <c r="AL625" s="76" t="b">
        <v>0</v>
      </c>
      <c r="AM625" s="78">
        <v>44506.640011574076</v>
      </c>
      <c r="AN625" s="76"/>
      <c r="AO625" s="76" t="s">
        <v>25271</v>
      </c>
      <c r="AP625" s="76"/>
      <c r="AQ625" s="76"/>
      <c r="AR625" s="76"/>
      <c r="AS625" s="76"/>
      <c r="AT625" s="76"/>
      <c r="AU625" s="76"/>
      <c r="AV625" s="76"/>
      <c r="AW625" s="76"/>
      <c r="AX625" s="76" t="b">
        <v>0</v>
      </c>
      <c r="AY625" s="76"/>
      <c r="AZ625" s="76"/>
      <c r="BA625" s="76" t="b">
        <v>0</v>
      </c>
      <c r="BB625" s="76" t="b">
        <v>1</v>
      </c>
      <c r="BC625" s="76" t="b">
        <v>1</v>
      </c>
      <c r="BD625" s="76" t="b">
        <v>0</v>
      </c>
      <c r="BE625" s="76" t="b">
        <v>1</v>
      </c>
      <c r="BF625" s="76" t="b">
        <v>0</v>
      </c>
      <c r="BG625" s="76" t="b">
        <v>0</v>
      </c>
      <c r="BH625" s="82" t="str">
        <f>HYPERLINK("https://pbs.twimg.com/profile_banners/1457005158832001032/1652806822")</f>
        <v>https://pbs.twimg.com/profile_banners/1457005158832001032/1652806822</v>
      </c>
      <c r="BI625" s="76"/>
      <c r="BJ625" s="76" t="s">
        <v>27595</v>
      </c>
      <c r="BK625" s="76" t="b">
        <v>0</v>
      </c>
      <c r="BL625" s="76"/>
      <c r="BM625" s="76" t="s">
        <v>65</v>
      </c>
      <c r="BN625" s="76" t="s">
        <v>27597</v>
      </c>
      <c r="BO625" s="82" t="str">
        <f>HYPERLINK("https://twitter.com/mariacleunice3")</f>
        <v>https://twitter.com/mariacleunice3</v>
      </c>
      <c r="BP625" s="2"/>
    </row>
    <row r="626" spans="1:68" x14ac:dyDescent="0.25">
      <c r="A626" s="62" t="s">
        <v>1841</v>
      </c>
      <c r="B626" s="63"/>
      <c r="C626" s="63"/>
      <c r="D626" s="64"/>
      <c r="E626" s="66"/>
      <c r="F626" s="103" t="str">
        <f>HYPERLINK("https://pbs.twimg.com/profile_images/1657061686694608898/XFZFSIGa_normal.jpg")</f>
        <v>https://pbs.twimg.com/profile_images/1657061686694608898/XFZFSIGa_normal.jpg</v>
      </c>
      <c r="G626" s="63"/>
      <c r="H626" s="67"/>
      <c r="I626" s="68"/>
      <c r="J626" s="68"/>
      <c r="K626" s="67" t="s">
        <v>28220</v>
      </c>
      <c r="L626" s="71"/>
      <c r="M626" s="72"/>
      <c r="N626" s="72"/>
      <c r="O626" s="73"/>
      <c r="P626" s="74"/>
      <c r="Q626" s="74"/>
      <c r="R626" s="87"/>
      <c r="S626" s="87"/>
      <c r="T626" s="87"/>
      <c r="U626" s="87"/>
      <c r="V626" s="48"/>
      <c r="W626" s="48"/>
      <c r="X626" s="48"/>
      <c r="Y626" s="48"/>
      <c r="Z626" s="47"/>
      <c r="AA626" s="69">
        <v>626</v>
      </c>
      <c r="AB626" s="69"/>
      <c r="AC626" s="70"/>
      <c r="AD626" s="76" t="s">
        <v>21863</v>
      </c>
      <c r="AE626" s="81" t="s">
        <v>23401</v>
      </c>
      <c r="AF626" s="76">
        <v>1976</v>
      </c>
      <c r="AG626" s="76">
        <v>2888</v>
      </c>
      <c r="AH626" s="76">
        <v>451</v>
      </c>
      <c r="AI626" s="76">
        <v>2</v>
      </c>
      <c r="AJ626" s="76">
        <v>41035</v>
      </c>
      <c r="AK626" s="76">
        <v>28</v>
      </c>
      <c r="AL626" s="76" t="b">
        <v>0</v>
      </c>
      <c r="AM626" s="78">
        <v>44206.654097222221</v>
      </c>
      <c r="AN626" s="76" t="s">
        <v>14400</v>
      </c>
      <c r="AO626" s="76" t="s">
        <v>25272</v>
      </c>
      <c r="AP626" s="76"/>
      <c r="AQ626" s="76"/>
      <c r="AR626" s="76"/>
      <c r="AS626" s="76"/>
      <c r="AT626" s="76"/>
      <c r="AU626" s="76"/>
      <c r="AV626" s="76"/>
      <c r="AW626" s="76"/>
      <c r="AX626" s="76" t="b">
        <v>0</v>
      </c>
      <c r="AY626" s="76"/>
      <c r="AZ626" s="76"/>
      <c r="BA626" s="76" t="b">
        <v>0</v>
      </c>
      <c r="BB626" s="76" t="b">
        <v>0</v>
      </c>
      <c r="BC626" s="76" t="b">
        <v>1</v>
      </c>
      <c r="BD626" s="76" t="b">
        <v>0</v>
      </c>
      <c r="BE626" s="76" t="b">
        <v>0</v>
      </c>
      <c r="BF626" s="76" t="b">
        <v>0</v>
      </c>
      <c r="BG626" s="76" t="b">
        <v>0</v>
      </c>
      <c r="BH626" s="82" t="str">
        <f>HYPERLINK("https://pbs.twimg.com/profile_banners/1348293317386268673/1683909266")</f>
        <v>https://pbs.twimg.com/profile_banners/1348293317386268673/1683909266</v>
      </c>
      <c r="BI626" s="76"/>
      <c r="BJ626" s="76" t="s">
        <v>27595</v>
      </c>
      <c r="BK626" s="76" t="b">
        <v>0</v>
      </c>
      <c r="BL626" s="76"/>
      <c r="BM626" s="76" t="s">
        <v>65</v>
      </c>
      <c r="BN626" s="76" t="s">
        <v>27597</v>
      </c>
      <c r="BO626" s="82" t="str">
        <f>HYPERLINK("https://twitter.com/laelsonalves8")</f>
        <v>https://twitter.com/laelsonalves8</v>
      </c>
      <c r="BP626" s="2"/>
    </row>
    <row r="627" spans="1:68" x14ac:dyDescent="0.25">
      <c r="A627" s="62" t="s">
        <v>1842</v>
      </c>
      <c r="B627" s="63"/>
      <c r="C627" s="63"/>
      <c r="D627" s="64"/>
      <c r="E627" s="66"/>
      <c r="F627" s="103" t="str">
        <f>HYPERLINK("https://pbs.twimg.com/profile_images/1661410732934561798/OQFKPB15_normal.jpg")</f>
        <v>https://pbs.twimg.com/profile_images/1661410732934561798/OQFKPB15_normal.jpg</v>
      </c>
      <c r="G627" s="63"/>
      <c r="H627" s="67"/>
      <c r="I627" s="68"/>
      <c r="J627" s="68"/>
      <c r="K627" s="67" t="s">
        <v>28221</v>
      </c>
      <c r="L627" s="71"/>
      <c r="M627" s="72"/>
      <c r="N627" s="72"/>
      <c r="O627" s="73"/>
      <c r="P627" s="74"/>
      <c r="Q627" s="74"/>
      <c r="R627" s="87"/>
      <c r="S627" s="87"/>
      <c r="T627" s="87"/>
      <c r="U627" s="87"/>
      <c r="V627" s="48"/>
      <c r="W627" s="48"/>
      <c r="X627" s="48"/>
      <c r="Y627" s="48"/>
      <c r="Z627" s="47"/>
      <c r="AA627" s="69">
        <v>627</v>
      </c>
      <c r="AB627" s="69"/>
      <c r="AC627" s="70"/>
      <c r="AD627" s="76" t="s">
        <v>21864</v>
      </c>
      <c r="AE627" s="81" t="s">
        <v>23402</v>
      </c>
      <c r="AF627" s="76">
        <v>1024</v>
      </c>
      <c r="AG627" s="76">
        <v>1042</v>
      </c>
      <c r="AH627" s="76">
        <v>619</v>
      </c>
      <c r="AI627" s="76">
        <v>0</v>
      </c>
      <c r="AJ627" s="76">
        <v>1753</v>
      </c>
      <c r="AK627" s="76">
        <v>42</v>
      </c>
      <c r="AL627" s="76" t="b">
        <v>0</v>
      </c>
      <c r="AM627" s="78">
        <v>44682.451145833336</v>
      </c>
      <c r="AN627" s="76" t="s">
        <v>24307</v>
      </c>
      <c r="AO627" s="76" t="s">
        <v>25273</v>
      </c>
      <c r="AP627" s="76"/>
      <c r="AQ627" s="76"/>
      <c r="AR627" s="76"/>
      <c r="AS627" s="76"/>
      <c r="AT627" s="76"/>
      <c r="AU627" s="76"/>
      <c r="AV627" s="76"/>
      <c r="AW627" s="76"/>
      <c r="AX627" s="76" t="b">
        <v>0</v>
      </c>
      <c r="AY627" s="76"/>
      <c r="AZ627" s="76"/>
      <c r="BA627" s="76" t="b">
        <v>1</v>
      </c>
      <c r="BB627" s="76" t="b">
        <v>1</v>
      </c>
      <c r="BC627" s="76" t="b">
        <v>1</v>
      </c>
      <c r="BD627" s="76" t="b">
        <v>0</v>
      </c>
      <c r="BE627" s="76" t="b">
        <v>0</v>
      </c>
      <c r="BF627" s="76" t="b">
        <v>0</v>
      </c>
      <c r="BG627" s="76" t="b">
        <v>1</v>
      </c>
      <c r="BH627" s="82" t="str">
        <f>HYPERLINK("https://pbs.twimg.com/profile_banners/1520716396778381312/1693231058")</f>
        <v>https://pbs.twimg.com/profile_banners/1520716396778381312/1693231058</v>
      </c>
      <c r="BI627" s="76"/>
      <c r="BJ627" s="76" t="s">
        <v>27595</v>
      </c>
      <c r="BK627" s="76" t="b">
        <v>0</v>
      </c>
      <c r="BL627" s="76"/>
      <c r="BM627" s="76" t="s">
        <v>65</v>
      </c>
      <c r="BN627" s="76" t="s">
        <v>27597</v>
      </c>
      <c r="BO627" s="82" t="str">
        <f>HYPERLINK("https://twitter.com/abraaofaisca")</f>
        <v>https://twitter.com/abraaofaisca</v>
      </c>
      <c r="BP627" s="2"/>
    </row>
    <row r="628" spans="1:68" x14ac:dyDescent="0.25">
      <c r="A628" s="62" t="s">
        <v>1843</v>
      </c>
      <c r="B628" s="63"/>
      <c r="C628" s="63"/>
      <c r="D628" s="64"/>
      <c r="E628" s="66"/>
      <c r="F628" s="103" t="str">
        <f>HYPERLINK("https://pbs.twimg.com/profile_images/1672646029932371969/HFNRWQsD_normal.jpg")</f>
        <v>https://pbs.twimg.com/profile_images/1672646029932371969/HFNRWQsD_normal.jpg</v>
      </c>
      <c r="G628" s="63"/>
      <c r="H628" s="67"/>
      <c r="I628" s="68"/>
      <c r="J628" s="68"/>
      <c r="K628" s="67" t="s">
        <v>28222</v>
      </c>
      <c r="L628" s="71"/>
      <c r="M628" s="72"/>
      <c r="N628" s="72"/>
      <c r="O628" s="73"/>
      <c r="P628" s="74"/>
      <c r="Q628" s="74"/>
      <c r="R628" s="87"/>
      <c r="S628" s="87"/>
      <c r="T628" s="87"/>
      <c r="U628" s="87"/>
      <c r="V628" s="48"/>
      <c r="W628" s="48"/>
      <c r="X628" s="48"/>
      <c r="Y628" s="48"/>
      <c r="Z628" s="47"/>
      <c r="AA628" s="69">
        <v>628</v>
      </c>
      <c r="AB628" s="69"/>
      <c r="AC628" s="70"/>
      <c r="AD628" s="76" t="s">
        <v>21865</v>
      </c>
      <c r="AE628" s="81" t="s">
        <v>23403</v>
      </c>
      <c r="AF628" s="76">
        <v>2831</v>
      </c>
      <c r="AG628" s="76">
        <v>3659</v>
      </c>
      <c r="AH628" s="76">
        <v>1051</v>
      </c>
      <c r="AI628" s="76">
        <v>2</v>
      </c>
      <c r="AJ628" s="76">
        <v>10818</v>
      </c>
      <c r="AK628" s="76">
        <v>29</v>
      </c>
      <c r="AL628" s="76" t="b">
        <v>0</v>
      </c>
      <c r="AM628" s="78">
        <v>43916.94027777778</v>
      </c>
      <c r="AN628" s="76"/>
      <c r="AO628" s="76"/>
      <c r="AP628" s="76"/>
      <c r="AQ628" s="76"/>
      <c r="AR628" s="76"/>
      <c r="AS628" s="76"/>
      <c r="AT628" s="76"/>
      <c r="AU628" s="76"/>
      <c r="AV628" s="76"/>
      <c r="AW628" s="76"/>
      <c r="AX628" s="76" t="b">
        <v>0</v>
      </c>
      <c r="AY628" s="76"/>
      <c r="AZ628" s="76"/>
      <c r="BA628" s="76" t="b">
        <v>0</v>
      </c>
      <c r="BB628" s="76" t="b">
        <v>1</v>
      </c>
      <c r="BC628" s="76" t="b">
        <v>1</v>
      </c>
      <c r="BD628" s="76" t="b">
        <v>0</v>
      </c>
      <c r="BE628" s="76" t="b">
        <v>1</v>
      </c>
      <c r="BF628" s="76" t="b">
        <v>0</v>
      </c>
      <c r="BG628" s="76" t="b">
        <v>0</v>
      </c>
      <c r="BH628" s="82" t="str">
        <f>HYPERLINK("https://pbs.twimg.com/profile_banners/1243305145863110657/1682503429")</f>
        <v>https://pbs.twimg.com/profile_banners/1243305145863110657/1682503429</v>
      </c>
      <c r="BI628" s="76"/>
      <c r="BJ628" s="76" t="s">
        <v>27595</v>
      </c>
      <c r="BK628" s="76" t="b">
        <v>0</v>
      </c>
      <c r="BL628" s="76"/>
      <c r="BM628" s="76" t="s">
        <v>65</v>
      </c>
      <c r="BN628" s="76" t="s">
        <v>27597</v>
      </c>
      <c r="BO628" s="82" t="str">
        <f>HYPERLINK("https://twitter.com/a_lua_tah_linda")</f>
        <v>https://twitter.com/a_lua_tah_linda</v>
      </c>
      <c r="BP628" s="2"/>
    </row>
    <row r="629" spans="1:68" x14ac:dyDescent="0.25">
      <c r="A629" s="62" t="s">
        <v>1844</v>
      </c>
      <c r="B629" s="63"/>
      <c r="C629" s="63"/>
      <c r="D629" s="64"/>
      <c r="E629" s="66"/>
      <c r="F629" s="103" t="str">
        <f>HYPERLINK("https://pbs.twimg.com/profile_images/1575326651902300160/oQCkSWLk_normal.jpg")</f>
        <v>https://pbs.twimg.com/profile_images/1575326651902300160/oQCkSWLk_normal.jpg</v>
      </c>
      <c r="G629" s="63"/>
      <c r="H629" s="67"/>
      <c r="I629" s="68"/>
      <c r="J629" s="68"/>
      <c r="K629" s="67" t="s">
        <v>28223</v>
      </c>
      <c r="L629" s="71"/>
      <c r="M629" s="72"/>
      <c r="N629" s="72"/>
      <c r="O629" s="73"/>
      <c r="P629" s="74"/>
      <c r="Q629" s="74"/>
      <c r="R629" s="87"/>
      <c r="S629" s="87"/>
      <c r="T629" s="87"/>
      <c r="U629" s="87"/>
      <c r="V629" s="48"/>
      <c r="W629" s="48"/>
      <c r="X629" s="48"/>
      <c r="Y629" s="48"/>
      <c r="Z629" s="47"/>
      <c r="AA629" s="69">
        <v>629</v>
      </c>
      <c r="AB629" s="69"/>
      <c r="AC629" s="70"/>
      <c r="AD629" s="76" t="s">
        <v>21866</v>
      </c>
      <c r="AE629" s="81" t="s">
        <v>23404</v>
      </c>
      <c r="AF629" s="76">
        <v>5244</v>
      </c>
      <c r="AG629" s="76">
        <v>5506</v>
      </c>
      <c r="AH629" s="76">
        <v>46472</v>
      </c>
      <c r="AI629" s="76">
        <v>8</v>
      </c>
      <c r="AJ629" s="76">
        <v>102467</v>
      </c>
      <c r="AK629" s="76">
        <v>2468</v>
      </c>
      <c r="AL629" s="76" t="b">
        <v>0</v>
      </c>
      <c r="AM629" s="78">
        <v>40036.223136574074</v>
      </c>
      <c r="AN629" s="76"/>
      <c r="AO629" s="76" t="s">
        <v>25274</v>
      </c>
      <c r="AP629" s="76"/>
      <c r="AQ629" s="76"/>
      <c r="AR629" s="76"/>
      <c r="AS629" s="76"/>
      <c r="AT629" s="76"/>
      <c r="AU629" s="76"/>
      <c r="AV629" s="76">
        <v>1.5830241596425101E+18</v>
      </c>
      <c r="AW629" s="76"/>
      <c r="AX629" s="76" t="b">
        <v>0</v>
      </c>
      <c r="AY629" s="76"/>
      <c r="AZ629" s="76"/>
      <c r="BA629" s="76" t="b">
        <v>0</v>
      </c>
      <c r="BB629" s="76" t="b">
        <v>1</v>
      </c>
      <c r="BC629" s="76" t="b">
        <v>0</v>
      </c>
      <c r="BD629" s="76" t="b">
        <v>0</v>
      </c>
      <c r="BE629" s="76" t="b">
        <v>1</v>
      </c>
      <c r="BF629" s="76" t="b">
        <v>0</v>
      </c>
      <c r="BG629" s="76" t="b">
        <v>0</v>
      </c>
      <c r="BH629" s="82" t="str">
        <f>HYPERLINK("https://pbs.twimg.com/profile_banners/64634612/1673191077")</f>
        <v>https://pbs.twimg.com/profile_banners/64634612/1673191077</v>
      </c>
      <c r="BI629" s="76"/>
      <c r="BJ629" s="76" t="s">
        <v>27595</v>
      </c>
      <c r="BK629" s="76" t="b">
        <v>0</v>
      </c>
      <c r="BL629" s="76"/>
      <c r="BM629" s="76" t="s">
        <v>65</v>
      </c>
      <c r="BN629" s="76" t="s">
        <v>27597</v>
      </c>
      <c r="BO629" s="82" t="str">
        <f>HYPERLINK("https://twitter.com/wittigenstein")</f>
        <v>https://twitter.com/wittigenstein</v>
      </c>
      <c r="BP629" s="2"/>
    </row>
    <row r="630" spans="1:68" x14ac:dyDescent="0.25">
      <c r="A630" s="62" t="s">
        <v>1845</v>
      </c>
      <c r="B630" s="63"/>
      <c r="C630" s="63"/>
      <c r="D630" s="64"/>
      <c r="E630" s="66"/>
      <c r="F630" s="103" t="str">
        <f>HYPERLINK("https://pbs.twimg.com/profile_images/1695577733919584256/YrYqSNmv_normal.jpg")</f>
        <v>https://pbs.twimg.com/profile_images/1695577733919584256/YrYqSNmv_normal.jpg</v>
      </c>
      <c r="G630" s="63"/>
      <c r="H630" s="67"/>
      <c r="I630" s="68"/>
      <c r="J630" s="68"/>
      <c r="K630" s="67" t="s">
        <v>28224</v>
      </c>
      <c r="L630" s="71"/>
      <c r="M630" s="72"/>
      <c r="N630" s="72"/>
      <c r="O630" s="73"/>
      <c r="P630" s="74"/>
      <c r="Q630" s="74"/>
      <c r="R630" s="87"/>
      <c r="S630" s="87"/>
      <c r="T630" s="87"/>
      <c r="U630" s="87"/>
      <c r="V630" s="48"/>
      <c r="W630" s="48"/>
      <c r="X630" s="48"/>
      <c r="Y630" s="48"/>
      <c r="Z630" s="47"/>
      <c r="AA630" s="69">
        <v>630</v>
      </c>
      <c r="AB630" s="69"/>
      <c r="AC630" s="70"/>
      <c r="AD630" s="76" t="s">
        <v>21867</v>
      </c>
      <c r="AE630" s="81" t="s">
        <v>23405</v>
      </c>
      <c r="AF630" s="76">
        <v>13352</v>
      </c>
      <c r="AG630" s="76">
        <v>14579</v>
      </c>
      <c r="AH630" s="76">
        <v>23954</v>
      </c>
      <c r="AI630" s="76">
        <v>2</v>
      </c>
      <c r="AJ630" s="76">
        <v>47590</v>
      </c>
      <c r="AK630" s="76">
        <v>5043</v>
      </c>
      <c r="AL630" s="76" t="b">
        <v>0</v>
      </c>
      <c r="AM630" s="78">
        <v>44865.824050925927</v>
      </c>
      <c r="AN630" s="76" t="s">
        <v>24308</v>
      </c>
      <c r="AO630" s="76" t="s">
        <v>25275</v>
      </c>
      <c r="AP630" s="76"/>
      <c r="AQ630" s="76"/>
      <c r="AR630" s="76"/>
      <c r="AS630" s="76"/>
      <c r="AT630" s="76"/>
      <c r="AU630" s="76"/>
      <c r="AV630" s="76">
        <v>1.5872273854091799E+18</v>
      </c>
      <c r="AW630" s="76"/>
      <c r="AX630" s="76" t="b">
        <v>0</v>
      </c>
      <c r="AY630" s="76"/>
      <c r="AZ630" s="76"/>
      <c r="BA630" s="76" t="b">
        <v>0</v>
      </c>
      <c r="BB630" s="76" t="b">
        <v>1</v>
      </c>
      <c r="BC630" s="76" t="b">
        <v>1</v>
      </c>
      <c r="BD630" s="76" t="b">
        <v>0</v>
      </c>
      <c r="BE630" s="76" t="b">
        <v>0</v>
      </c>
      <c r="BF630" s="76" t="b">
        <v>0</v>
      </c>
      <c r="BG630" s="76" t="b">
        <v>0</v>
      </c>
      <c r="BH630" s="76"/>
      <c r="BI630" s="76"/>
      <c r="BJ630" s="76" t="s">
        <v>27595</v>
      </c>
      <c r="BK630" s="76" t="b">
        <v>0</v>
      </c>
      <c r="BL630" s="76"/>
      <c r="BM630" s="76" t="s">
        <v>65</v>
      </c>
      <c r="BN630" s="76" t="s">
        <v>27597</v>
      </c>
      <c r="BO630" s="82" t="str">
        <f>HYPERLINK("https://twitter.com/waniacbot")</f>
        <v>https://twitter.com/waniacbot</v>
      </c>
      <c r="BP630" s="2"/>
    </row>
    <row r="631" spans="1:68" x14ac:dyDescent="0.25">
      <c r="A631" s="62" t="s">
        <v>1846</v>
      </c>
      <c r="B631" s="63"/>
      <c r="C631" s="63"/>
      <c r="D631" s="64"/>
      <c r="E631" s="66"/>
      <c r="F631" s="103" t="str">
        <f>HYPERLINK("https://abs.twimg.com/sticky/default_profile_images/default_profile_normal.png")</f>
        <v>https://abs.twimg.com/sticky/default_profile_images/default_profile_normal.png</v>
      </c>
      <c r="G631" s="63"/>
      <c r="H631" s="67"/>
      <c r="I631" s="68"/>
      <c r="J631" s="68"/>
      <c r="K631" s="67" t="s">
        <v>28225</v>
      </c>
      <c r="L631" s="71"/>
      <c r="M631" s="72"/>
      <c r="N631" s="72"/>
      <c r="O631" s="73"/>
      <c r="P631" s="74"/>
      <c r="Q631" s="74"/>
      <c r="R631" s="87"/>
      <c r="S631" s="87"/>
      <c r="T631" s="87"/>
      <c r="U631" s="87"/>
      <c r="V631" s="48"/>
      <c r="W631" s="48"/>
      <c r="X631" s="48"/>
      <c r="Y631" s="48"/>
      <c r="Z631" s="47"/>
      <c r="AA631" s="69">
        <v>631</v>
      </c>
      <c r="AB631" s="69"/>
      <c r="AC631" s="70"/>
      <c r="AD631" s="76" t="s">
        <v>21868</v>
      </c>
      <c r="AE631" s="81" t="s">
        <v>23406</v>
      </c>
      <c r="AF631" s="76">
        <v>3229</v>
      </c>
      <c r="AG631" s="76">
        <v>4919</v>
      </c>
      <c r="AH631" s="76">
        <v>13049</v>
      </c>
      <c r="AI631" s="76">
        <v>0</v>
      </c>
      <c r="AJ631" s="76">
        <v>14750</v>
      </c>
      <c r="AK631" s="76">
        <v>380</v>
      </c>
      <c r="AL631" s="76" t="b">
        <v>0</v>
      </c>
      <c r="AM631" s="78">
        <v>42978.317407407405</v>
      </c>
      <c r="AN631" s="76"/>
      <c r="AO631" s="76"/>
      <c r="AP631" s="76"/>
      <c r="AQ631" s="76"/>
      <c r="AR631" s="76"/>
      <c r="AS631" s="76"/>
      <c r="AT631" s="76"/>
      <c r="AU631" s="76"/>
      <c r="AV631" s="76"/>
      <c r="AW631" s="76"/>
      <c r="AX631" s="76" t="b">
        <v>0</v>
      </c>
      <c r="AY631" s="76"/>
      <c r="AZ631" s="76"/>
      <c r="BA631" s="76" t="b">
        <v>0</v>
      </c>
      <c r="BB631" s="76" t="b">
        <v>1</v>
      </c>
      <c r="BC631" s="76" t="b">
        <v>1</v>
      </c>
      <c r="BD631" s="76" t="b">
        <v>1</v>
      </c>
      <c r="BE631" s="76" t="b">
        <v>1</v>
      </c>
      <c r="BF631" s="76" t="b">
        <v>0</v>
      </c>
      <c r="BG631" s="76" t="b">
        <v>0</v>
      </c>
      <c r="BH631" s="76"/>
      <c r="BI631" s="76"/>
      <c r="BJ631" s="76" t="s">
        <v>27595</v>
      </c>
      <c r="BK631" s="76" t="b">
        <v>0</v>
      </c>
      <c r="BL631" s="76"/>
      <c r="BM631" s="76" t="s">
        <v>65</v>
      </c>
      <c r="BN631" s="76" t="s">
        <v>27597</v>
      </c>
      <c r="BO631" s="82" t="str">
        <f>HYPERLINK("https://twitter.com/urbluciene")</f>
        <v>https://twitter.com/urbluciene</v>
      </c>
      <c r="BP631" s="2"/>
    </row>
    <row r="632" spans="1:68" x14ac:dyDescent="0.25">
      <c r="A632" s="62" t="s">
        <v>1847</v>
      </c>
      <c r="B632" s="63"/>
      <c r="C632" s="63"/>
      <c r="D632" s="64"/>
      <c r="E632" s="66"/>
      <c r="F632" s="103" t="str">
        <f>HYPERLINK("https://pbs.twimg.com/profile_images/1595409107107909633/rsTt6fsC_normal.jpg")</f>
        <v>https://pbs.twimg.com/profile_images/1595409107107909633/rsTt6fsC_normal.jpg</v>
      </c>
      <c r="G632" s="63"/>
      <c r="H632" s="67"/>
      <c r="I632" s="68"/>
      <c r="J632" s="68"/>
      <c r="K632" s="67" t="s">
        <v>28226</v>
      </c>
      <c r="L632" s="71"/>
      <c r="M632" s="72"/>
      <c r="N632" s="72"/>
      <c r="O632" s="73"/>
      <c r="P632" s="74"/>
      <c r="Q632" s="74"/>
      <c r="R632" s="87"/>
      <c r="S632" s="87"/>
      <c r="T632" s="87"/>
      <c r="U632" s="87"/>
      <c r="V632" s="48"/>
      <c r="W632" s="48"/>
      <c r="X632" s="48"/>
      <c r="Y632" s="48"/>
      <c r="Z632" s="47"/>
      <c r="AA632" s="69">
        <v>632</v>
      </c>
      <c r="AB632" s="69"/>
      <c r="AC632" s="70"/>
      <c r="AD632" s="76" t="s">
        <v>21869</v>
      </c>
      <c r="AE632" s="81" t="s">
        <v>20262</v>
      </c>
      <c r="AF632" s="76">
        <v>19395</v>
      </c>
      <c r="AG632" s="76">
        <v>19056</v>
      </c>
      <c r="AH632" s="76">
        <v>29198</v>
      </c>
      <c r="AI632" s="76">
        <v>1</v>
      </c>
      <c r="AJ632" s="76">
        <v>44835</v>
      </c>
      <c r="AK632" s="76">
        <v>2768</v>
      </c>
      <c r="AL632" s="76" t="b">
        <v>0</v>
      </c>
      <c r="AM632" s="78">
        <v>42467.486712962964</v>
      </c>
      <c r="AN632" s="76" t="s">
        <v>24309</v>
      </c>
      <c r="AO632" s="76" t="s">
        <v>25276</v>
      </c>
      <c r="AP632" s="76"/>
      <c r="AQ632" s="76"/>
      <c r="AR632" s="76"/>
      <c r="AS632" s="76"/>
      <c r="AT632" s="76"/>
      <c r="AU632" s="76"/>
      <c r="AV632" s="76"/>
      <c r="AW632" s="76"/>
      <c r="AX632" s="76" t="b">
        <v>0</v>
      </c>
      <c r="AY632" s="76"/>
      <c r="AZ632" s="76"/>
      <c r="BA632" s="76" t="b">
        <v>0</v>
      </c>
      <c r="BB632" s="76" t="b">
        <v>1</v>
      </c>
      <c r="BC632" s="76" t="b">
        <v>1</v>
      </c>
      <c r="BD632" s="76" t="b">
        <v>0</v>
      </c>
      <c r="BE632" s="76" t="b">
        <v>1</v>
      </c>
      <c r="BF632" s="76" t="b">
        <v>0</v>
      </c>
      <c r="BG632" s="76" t="b">
        <v>0</v>
      </c>
      <c r="BH632" s="82" t="str">
        <f>HYPERLINK("https://pbs.twimg.com/profile_banners/718040841831464961/1672600241")</f>
        <v>https://pbs.twimg.com/profile_banners/718040841831464961/1672600241</v>
      </c>
      <c r="BI632" s="76"/>
      <c r="BJ632" s="76" t="s">
        <v>27595</v>
      </c>
      <c r="BK632" s="76" t="b">
        <v>0</v>
      </c>
      <c r="BL632" s="76"/>
      <c r="BM632" s="76" t="s">
        <v>65</v>
      </c>
      <c r="BN632" s="76" t="s">
        <v>27597</v>
      </c>
      <c r="BO632" s="82" t="str">
        <f>HYPERLINK("https://twitter.com/pauloquinti1")</f>
        <v>https://twitter.com/pauloquinti1</v>
      </c>
      <c r="BP632" s="2"/>
    </row>
    <row r="633" spans="1:68" x14ac:dyDescent="0.25">
      <c r="A633" s="62" t="s">
        <v>661</v>
      </c>
      <c r="B633" s="63"/>
      <c r="C633" s="63"/>
      <c r="D633" s="64"/>
      <c r="E633" s="66"/>
      <c r="F633" s="103" t="str">
        <f>HYPERLINK("https://pbs.twimg.com/profile_images/1686278375340683264/27OekRb1_normal.jpg")</f>
        <v>https://pbs.twimg.com/profile_images/1686278375340683264/27OekRb1_normal.jpg</v>
      </c>
      <c r="G633" s="63"/>
      <c r="H633" s="67"/>
      <c r="I633" s="68"/>
      <c r="J633" s="68"/>
      <c r="K633" s="67" t="s">
        <v>28227</v>
      </c>
      <c r="L633" s="71"/>
      <c r="M633" s="72"/>
      <c r="N633" s="72"/>
      <c r="O633" s="73"/>
      <c r="P633" s="74"/>
      <c r="Q633" s="74"/>
      <c r="R633" s="87"/>
      <c r="S633" s="87"/>
      <c r="T633" s="87"/>
      <c r="U633" s="87"/>
      <c r="V633" s="48"/>
      <c r="W633" s="48"/>
      <c r="X633" s="48"/>
      <c r="Y633" s="48"/>
      <c r="Z633" s="47"/>
      <c r="AA633" s="69">
        <v>633</v>
      </c>
      <c r="AB633" s="69"/>
      <c r="AC633" s="70"/>
      <c r="AD633" s="76" t="s">
        <v>21870</v>
      </c>
      <c r="AE633" s="81" t="s">
        <v>20708</v>
      </c>
      <c r="AF633" s="76">
        <v>8</v>
      </c>
      <c r="AG633" s="76">
        <v>919</v>
      </c>
      <c r="AH633" s="76">
        <v>682</v>
      </c>
      <c r="AI633" s="76">
        <v>0</v>
      </c>
      <c r="AJ633" s="76">
        <v>672</v>
      </c>
      <c r="AK633" s="76">
        <v>0</v>
      </c>
      <c r="AL633" s="76" t="b">
        <v>0</v>
      </c>
      <c r="AM633" s="78">
        <v>44866.831273148149</v>
      </c>
      <c r="AN633" s="76"/>
      <c r="AO633" s="76" t="s">
        <v>25277</v>
      </c>
      <c r="AP633" s="76"/>
      <c r="AQ633" s="76"/>
      <c r="AR633" s="76"/>
      <c r="AS633" s="76"/>
      <c r="AT633" s="76"/>
      <c r="AU633" s="76"/>
      <c r="AV633" s="76">
        <v>1.68667208171358E+18</v>
      </c>
      <c r="AW633" s="76"/>
      <c r="AX633" s="76" t="b">
        <v>0</v>
      </c>
      <c r="AY633" s="76"/>
      <c r="AZ633" s="76"/>
      <c r="BA633" s="76" t="b">
        <v>0</v>
      </c>
      <c r="BB633" s="76" t="b">
        <v>1</v>
      </c>
      <c r="BC633" s="76" t="b">
        <v>1</v>
      </c>
      <c r="BD633" s="76" t="b">
        <v>0</v>
      </c>
      <c r="BE633" s="76" t="b">
        <v>0</v>
      </c>
      <c r="BF633" s="76" t="b">
        <v>0</v>
      </c>
      <c r="BG633" s="76" t="b">
        <v>0</v>
      </c>
      <c r="BH633" s="82" t="str">
        <f>HYPERLINK("https://pbs.twimg.com/profile_banners/1587534176156352515/1690968930")</f>
        <v>https://pbs.twimg.com/profile_banners/1587534176156352515/1690968930</v>
      </c>
      <c r="BI633" s="76"/>
      <c r="BJ633" s="76" t="s">
        <v>27595</v>
      </c>
      <c r="BK633" s="76" t="b">
        <v>0</v>
      </c>
      <c r="BL633" s="76"/>
      <c r="BM633" s="76" t="s">
        <v>66</v>
      </c>
      <c r="BN633" s="76" t="s">
        <v>27597</v>
      </c>
      <c r="BO633" s="82" t="str">
        <f>HYPERLINK("https://twitter.com/honor_541")</f>
        <v>https://twitter.com/honor_541</v>
      </c>
      <c r="BP633" s="2"/>
    </row>
    <row r="634" spans="1:68" x14ac:dyDescent="0.25">
      <c r="A634" s="62" t="s">
        <v>1238</v>
      </c>
      <c r="B634" s="63"/>
      <c r="C634" s="63"/>
      <c r="D634" s="64"/>
      <c r="E634" s="66"/>
      <c r="F634" s="103" t="str">
        <f>HYPERLINK("https://pbs.twimg.com/profile_images/1429325693222068227/RxJawUo__normal.jpg")</f>
        <v>https://pbs.twimg.com/profile_images/1429325693222068227/RxJawUo__normal.jpg</v>
      </c>
      <c r="G634" s="63"/>
      <c r="H634" s="67"/>
      <c r="I634" s="68"/>
      <c r="J634" s="68"/>
      <c r="K634" s="67" t="s">
        <v>28228</v>
      </c>
      <c r="L634" s="71"/>
      <c r="M634" s="72"/>
      <c r="N634" s="72"/>
      <c r="O634" s="73"/>
      <c r="P634" s="74"/>
      <c r="Q634" s="74"/>
      <c r="R634" s="87"/>
      <c r="S634" s="87"/>
      <c r="T634" s="87"/>
      <c r="U634" s="87"/>
      <c r="V634" s="48"/>
      <c r="W634" s="48"/>
      <c r="X634" s="48"/>
      <c r="Y634" s="48"/>
      <c r="Z634" s="47"/>
      <c r="AA634" s="69">
        <v>634</v>
      </c>
      <c r="AB634" s="69"/>
      <c r="AC634" s="70"/>
      <c r="AD634" s="76" t="s">
        <v>21871</v>
      </c>
      <c r="AE634" s="81" t="s">
        <v>23407</v>
      </c>
      <c r="AF634" s="76">
        <v>58</v>
      </c>
      <c r="AG634" s="76">
        <v>165</v>
      </c>
      <c r="AH634" s="76">
        <v>379</v>
      </c>
      <c r="AI634" s="76">
        <v>0</v>
      </c>
      <c r="AJ634" s="76">
        <v>2128</v>
      </c>
      <c r="AK634" s="76">
        <v>14</v>
      </c>
      <c r="AL634" s="76" t="b">
        <v>0</v>
      </c>
      <c r="AM634" s="78">
        <v>41086.877627314818</v>
      </c>
      <c r="AN634" s="76"/>
      <c r="AO634" s="76" t="s">
        <v>25278</v>
      </c>
      <c r="AP634" s="76"/>
      <c r="AQ634" s="76"/>
      <c r="AR634" s="76"/>
      <c r="AS634" s="76"/>
      <c r="AT634" s="76"/>
      <c r="AU634" s="76"/>
      <c r="AV634" s="76"/>
      <c r="AW634" s="76"/>
      <c r="AX634" s="76" t="b">
        <v>0</v>
      </c>
      <c r="AY634" s="76"/>
      <c r="AZ634" s="76"/>
      <c r="BA634" s="76" t="b">
        <v>0</v>
      </c>
      <c r="BB634" s="76" t="b">
        <v>1</v>
      </c>
      <c r="BC634" s="76" t="b">
        <v>0</v>
      </c>
      <c r="BD634" s="76" t="b">
        <v>0</v>
      </c>
      <c r="BE634" s="76" t="b">
        <v>1</v>
      </c>
      <c r="BF634" s="76" t="b">
        <v>0</v>
      </c>
      <c r="BG634" s="76" t="b">
        <v>0</v>
      </c>
      <c r="BH634" s="82" t="str">
        <f>HYPERLINK("https://pbs.twimg.com/profile_banners/619420076/1374246857")</f>
        <v>https://pbs.twimg.com/profile_banners/619420076/1374246857</v>
      </c>
      <c r="BI634" s="76"/>
      <c r="BJ634" s="76" t="s">
        <v>27595</v>
      </c>
      <c r="BK634" s="76" t="b">
        <v>0</v>
      </c>
      <c r="BL634" s="76"/>
      <c r="BM634" s="76" t="s">
        <v>66</v>
      </c>
      <c r="BN634" s="76" t="s">
        <v>27597</v>
      </c>
      <c r="BO634" s="82" t="str">
        <f>HYPERLINK("https://twitter.com/jmbismark")</f>
        <v>https://twitter.com/jmbismark</v>
      </c>
      <c r="BP634" s="2"/>
    </row>
    <row r="635" spans="1:68" x14ac:dyDescent="0.25">
      <c r="A635" s="62" t="s">
        <v>662</v>
      </c>
      <c r="B635" s="63"/>
      <c r="C635" s="63"/>
      <c r="D635" s="64"/>
      <c r="E635" s="66"/>
      <c r="F635" s="103" t="str">
        <f>HYPERLINK("https://pbs.twimg.com/profile_images/1090633829704962048/xoUQxABh_normal.jpg")</f>
        <v>https://pbs.twimg.com/profile_images/1090633829704962048/xoUQxABh_normal.jpg</v>
      </c>
      <c r="G635" s="63"/>
      <c r="H635" s="67"/>
      <c r="I635" s="68"/>
      <c r="J635" s="68"/>
      <c r="K635" s="67" t="s">
        <v>28229</v>
      </c>
      <c r="L635" s="71"/>
      <c r="M635" s="72"/>
      <c r="N635" s="72"/>
      <c r="O635" s="73"/>
      <c r="P635" s="74"/>
      <c r="Q635" s="74"/>
      <c r="R635" s="87"/>
      <c r="S635" s="87"/>
      <c r="T635" s="87"/>
      <c r="U635" s="87"/>
      <c r="V635" s="48"/>
      <c r="W635" s="48"/>
      <c r="X635" s="48"/>
      <c r="Y635" s="48"/>
      <c r="Z635" s="47"/>
      <c r="AA635" s="69">
        <v>635</v>
      </c>
      <c r="AB635" s="69"/>
      <c r="AC635" s="70"/>
      <c r="AD635" s="76" t="s">
        <v>21872</v>
      </c>
      <c r="AE635" s="81" t="s">
        <v>23408</v>
      </c>
      <c r="AF635" s="76">
        <v>90165</v>
      </c>
      <c r="AG635" s="76">
        <v>1140</v>
      </c>
      <c r="AH635" s="76">
        <v>84807</v>
      </c>
      <c r="AI635" s="76">
        <v>227</v>
      </c>
      <c r="AJ635" s="76">
        <v>929</v>
      </c>
      <c r="AK635" s="76">
        <v>33649</v>
      </c>
      <c r="AL635" s="76" t="b">
        <v>0</v>
      </c>
      <c r="AM635" s="78">
        <v>40190.952453703707</v>
      </c>
      <c r="AN635" s="76" t="s">
        <v>24310</v>
      </c>
      <c r="AO635" s="76" t="s">
        <v>25279</v>
      </c>
      <c r="AP635" s="82" t="str">
        <f>HYPERLINK("https://t.co/frtHDei7oV")</f>
        <v>https://t.co/frtHDei7oV</v>
      </c>
      <c r="AQ635" s="82" t="str">
        <f>HYPERLINK("http://www.unsion.tv")</f>
        <v>http://www.unsion.tv</v>
      </c>
      <c r="AR635" s="76" t="s">
        <v>26710</v>
      </c>
      <c r="AS635" s="76"/>
      <c r="AT635" s="76"/>
      <c r="AU635" s="76"/>
      <c r="AV635" s="76"/>
      <c r="AW635" s="82" t="str">
        <f>HYPERLINK("https://t.co/frtHDei7oV")</f>
        <v>https://t.co/frtHDei7oV</v>
      </c>
      <c r="AX635" s="76" t="b">
        <v>0</v>
      </c>
      <c r="AY635" s="76"/>
      <c r="AZ635" s="76"/>
      <c r="BA635" s="76" t="b">
        <v>1</v>
      </c>
      <c r="BB635" s="76" t="b">
        <v>0</v>
      </c>
      <c r="BC635" s="76" t="b">
        <v>0</v>
      </c>
      <c r="BD635" s="76" t="b">
        <v>0</v>
      </c>
      <c r="BE635" s="76" t="b">
        <v>1</v>
      </c>
      <c r="BF635" s="76" t="b">
        <v>0</v>
      </c>
      <c r="BG635" s="76" t="b">
        <v>0</v>
      </c>
      <c r="BH635" s="82" t="str">
        <f>HYPERLINK("https://pbs.twimg.com/profile_banners/104297856/1649709030")</f>
        <v>https://pbs.twimg.com/profile_banners/104297856/1649709030</v>
      </c>
      <c r="BI635" s="76"/>
      <c r="BJ635" s="76" t="s">
        <v>27595</v>
      </c>
      <c r="BK635" s="76" t="b">
        <v>0</v>
      </c>
      <c r="BL635" s="76"/>
      <c r="BM635" s="76" t="s">
        <v>66</v>
      </c>
      <c r="BN635" s="76" t="s">
        <v>27597</v>
      </c>
      <c r="BO635" s="82" t="str">
        <f>HYPERLINK("https://twitter.com/unsiontv")</f>
        <v>https://twitter.com/unsiontv</v>
      </c>
      <c r="BP635" s="2"/>
    </row>
    <row r="636" spans="1:68" x14ac:dyDescent="0.25">
      <c r="A636" s="62" t="s">
        <v>663</v>
      </c>
      <c r="B636" s="63"/>
      <c r="C636" s="63"/>
      <c r="D636" s="64"/>
      <c r="E636" s="66"/>
      <c r="F636" s="103" t="str">
        <f>HYPERLINK("https://pbs.twimg.com/profile_images/1275236945518563333/M46AVTHd_normal.jpg")</f>
        <v>https://pbs.twimg.com/profile_images/1275236945518563333/M46AVTHd_normal.jpg</v>
      </c>
      <c r="G636" s="63"/>
      <c r="H636" s="67"/>
      <c r="I636" s="68"/>
      <c r="J636" s="68"/>
      <c r="K636" s="67" t="s">
        <v>28230</v>
      </c>
      <c r="L636" s="71"/>
      <c r="M636" s="72"/>
      <c r="N636" s="72"/>
      <c r="O636" s="73"/>
      <c r="P636" s="74"/>
      <c r="Q636" s="74"/>
      <c r="R636" s="87"/>
      <c r="S636" s="87"/>
      <c r="T636" s="87"/>
      <c r="U636" s="87"/>
      <c r="V636" s="48"/>
      <c r="W636" s="48"/>
      <c r="X636" s="48"/>
      <c r="Y636" s="48"/>
      <c r="Z636" s="47"/>
      <c r="AA636" s="69">
        <v>636</v>
      </c>
      <c r="AB636" s="69"/>
      <c r="AC636" s="70"/>
      <c r="AD636" s="76" t="s">
        <v>21873</v>
      </c>
      <c r="AE636" s="81" t="s">
        <v>23409</v>
      </c>
      <c r="AF636" s="76">
        <v>313</v>
      </c>
      <c r="AG636" s="76">
        <v>589</v>
      </c>
      <c r="AH636" s="76">
        <v>7378</v>
      </c>
      <c r="AI636" s="76">
        <v>5</v>
      </c>
      <c r="AJ636" s="76">
        <v>7958</v>
      </c>
      <c r="AK636" s="76">
        <v>282</v>
      </c>
      <c r="AL636" s="76" t="b">
        <v>0</v>
      </c>
      <c r="AM636" s="78">
        <v>40041.88009259259</v>
      </c>
      <c r="AN636" s="76" t="s">
        <v>24311</v>
      </c>
      <c r="AO636" s="76" t="s">
        <v>25280</v>
      </c>
      <c r="AP636" s="76"/>
      <c r="AQ636" s="76"/>
      <c r="AR636" s="76"/>
      <c r="AS636" s="76"/>
      <c r="AT636" s="76"/>
      <c r="AU636" s="76"/>
      <c r="AV636" s="76"/>
      <c r="AW636" s="76"/>
      <c r="AX636" s="76" t="b">
        <v>0</v>
      </c>
      <c r="AY636" s="76"/>
      <c r="AZ636" s="76"/>
      <c r="BA636" s="76" t="b">
        <v>0</v>
      </c>
      <c r="BB636" s="76" t="b">
        <v>1</v>
      </c>
      <c r="BC636" s="76" t="b">
        <v>1</v>
      </c>
      <c r="BD636" s="76" t="b">
        <v>0</v>
      </c>
      <c r="BE636" s="76" t="b">
        <v>1</v>
      </c>
      <c r="BF636" s="76" t="b">
        <v>0</v>
      </c>
      <c r="BG636" s="76" t="b">
        <v>0</v>
      </c>
      <c r="BH636" s="76"/>
      <c r="BI636" s="76"/>
      <c r="BJ636" s="76" t="s">
        <v>27595</v>
      </c>
      <c r="BK636" s="76" t="b">
        <v>0</v>
      </c>
      <c r="BL636" s="76"/>
      <c r="BM636" s="76" t="s">
        <v>66</v>
      </c>
      <c r="BN636" s="76" t="s">
        <v>27597</v>
      </c>
      <c r="BO636" s="82" t="str">
        <f>HYPERLINK("https://twitter.com/adrianotxavier")</f>
        <v>https://twitter.com/adrianotxavier</v>
      </c>
      <c r="BP636" s="2"/>
    </row>
    <row r="637" spans="1:68" x14ac:dyDescent="0.25">
      <c r="A637" s="62" t="s">
        <v>1848</v>
      </c>
      <c r="B637" s="63"/>
      <c r="C637" s="63"/>
      <c r="D637" s="64"/>
      <c r="E637" s="66"/>
      <c r="F637" s="103" t="str">
        <f>HYPERLINK("https://pbs.twimg.com/profile_images/1640489075890167808/_liIy-Tk_normal.jpg")</f>
        <v>https://pbs.twimg.com/profile_images/1640489075890167808/_liIy-Tk_normal.jpg</v>
      </c>
      <c r="G637" s="63"/>
      <c r="H637" s="67"/>
      <c r="I637" s="68"/>
      <c r="J637" s="68"/>
      <c r="K637" s="67" t="s">
        <v>28231</v>
      </c>
      <c r="L637" s="71"/>
      <c r="M637" s="72"/>
      <c r="N637" s="72"/>
      <c r="O637" s="73"/>
      <c r="P637" s="74"/>
      <c r="Q637" s="74"/>
      <c r="R637" s="87"/>
      <c r="S637" s="87"/>
      <c r="T637" s="87"/>
      <c r="U637" s="87"/>
      <c r="V637" s="48"/>
      <c r="W637" s="48"/>
      <c r="X637" s="48"/>
      <c r="Y637" s="48"/>
      <c r="Z637" s="47"/>
      <c r="AA637" s="69">
        <v>637</v>
      </c>
      <c r="AB637" s="69"/>
      <c r="AC637" s="70"/>
      <c r="AD637" s="76" t="s">
        <v>21874</v>
      </c>
      <c r="AE637" s="81" t="s">
        <v>20263</v>
      </c>
      <c r="AF637" s="76">
        <v>996282</v>
      </c>
      <c r="AG637" s="76">
        <v>1575</v>
      </c>
      <c r="AH637" s="76">
        <v>32426</v>
      </c>
      <c r="AI637" s="76">
        <v>1743</v>
      </c>
      <c r="AJ637" s="76">
        <v>4654</v>
      </c>
      <c r="AK637" s="76">
        <v>3344</v>
      </c>
      <c r="AL637" s="76" t="b">
        <v>0</v>
      </c>
      <c r="AM637" s="78">
        <v>40112.603912037041</v>
      </c>
      <c r="AN637" s="76" t="s">
        <v>24312</v>
      </c>
      <c r="AO637" s="76" t="s">
        <v>25281</v>
      </c>
      <c r="AP637" s="82" t="str">
        <f>HYPERLINK("https://t.co/pi0mXBJndD")</f>
        <v>https://t.co/pi0mXBJndD</v>
      </c>
      <c r="AQ637" s="82" t="str">
        <f>HYPERLINK("https://randolferodrigues.com.br/")</f>
        <v>https://randolferodrigues.com.br/</v>
      </c>
      <c r="AR637" s="76" t="s">
        <v>26711</v>
      </c>
      <c r="AS637" s="76"/>
      <c r="AT637" s="76"/>
      <c r="AU637" s="76"/>
      <c r="AV637" s="76"/>
      <c r="AW637" s="82" t="str">
        <f>HYPERLINK("https://t.co/pi0mXBJndD")</f>
        <v>https://t.co/pi0mXBJndD</v>
      </c>
      <c r="AX637" s="76" t="b">
        <v>1</v>
      </c>
      <c r="AY637" s="76"/>
      <c r="AZ637" s="76"/>
      <c r="BA637" s="76" t="b">
        <v>0</v>
      </c>
      <c r="BB637" s="76" t="b">
        <v>1</v>
      </c>
      <c r="BC637" s="76" t="b">
        <v>0</v>
      </c>
      <c r="BD637" s="76" t="b">
        <v>0</v>
      </c>
      <c r="BE637" s="76" t="b">
        <v>1</v>
      </c>
      <c r="BF637" s="76" t="b">
        <v>0</v>
      </c>
      <c r="BG637" s="76" t="b">
        <v>0</v>
      </c>
      <c r="BH637" s="82" t="str">
        <f>HYPERLINK("https://pbs.twimg.com/profile_banners/85327394/1693750058")</f>
        <v>https://pbs.twimg.com/profile_banners/85327394/1693750058</v>
      </c>
      <c r="BI637" s="76"/>
      <c r="BJ637" s="76" t="s">
        <v>27595</v>
      </c>
      <c r="BK637" s="76" t="b">
        <v>0</v>
      </c>
      <c r="BL637" s="76"/>
      <c r="BM637" s="76" t="s">
        <v>65</v>
      </c>
      <c r="BN637" s="76" t="s">
        <v>27597</v>
      </c>
      <c r="BO637" s="82" t="str">
        <f>HYPERLINK("https://twitter.com/randolfeap")</f>
        <v>https://twitter.com/randolfeap</v>
      </c>
      <c r="BP637" s="2"/>
    </row>
    <row r="638" spans="1:68" x14ac:dyDescent="0.25">
      <c r="A638" s="62" t="s">
        <v>664</v>
      </c>
      <c r="B638" s="63"/>
      <c r="C638" s="63"/>
      <c r="D638" s="64"/>
      <c r="E638" s="66"/>
      <c r="F638" s="103" t="str">
        <f>HYPERLINK("https://pbs.twimg.com/profile_images/679297630598471681/jEMWcsj9_normal.jpg")</f>
        <v>https://pbs.twimg.com/profile_images/679297630598471681/jEMWcsj9_normal.jpg</v>
      </c>
      <c r="G638" s="63"/>
      <c r="H638" s="67"/>
      <c r="I638" s="68"/>
      <c r="J638" s="68"/>
      <c r="K638" s="67" t="s">
        <v>28232</v>
      </c>
      <c r="L638" s="71"/>
      <c r="M638" s="72"/>
      <c r="N638" s="72"/>
      <c r="O638" s="73"/>
      <c r="P638" s="74"/>
      <c r="Q638" s="74"/>
      <c r="R638" s="87"/>
      <c r="S638" s="87"/>
      <c r="T638" s="87"/>
      <c r="U638" s="87"/>
      <c r="V638" s="48"/>
      <c r="W638" s="48"/>
      <c r="X638" s="48"/>
      <c r="Y638" s="48"/>
      <c r="Z638" s="47"/>
      <c r="AA638" s="69">
        <v>638</v>
      </c>
      <c r="AB638" s="69"/>
      <c r="AC638" s="70"/>
      <c r="AD638" s="76" t="s">
        <v>21875</v>
      </c>
      <c r="AE638" s="81" t="s">
        <v>23410</v>
      </c>
      <c r="AF638" s="76">
        <v>23993</v>
      </c>
      <c r="AG638" s="76">
        <v>842</v>
      </c>
      <c r="AH638" s="76">
        <v>39441</v>
      </c>
      <c r="AI638" s="76">
        <v>339</v>
      </c>
      <c r="AJ638" s="76">
        <v>33</v>
      </c>
      <c r="AK638" s="76">
        <v>10479</v>
      </c>
      <c r="AL638" s="76" t="b">
        <v>0</v>
      </c>
      <c r="AM638" s="78">
        <v>40806.864710648151</v>
      </c>
      <c r="AN638" s="76" t="s">
        <v>24188</v>
      </c>
      <c r="AO638" s="76" t="s">
        <v>25282</v>
      </c>
      <c r="AP638" s="82" t="str">
        <f>HYPERLINK("https://t.co/OZDMua4uye")</f>
        <v>https://t.co/OZDMua4uye</v>
      </c>
      <c r="AQ638" s="82" t="str">
        <f>HYPERLINK("http://www.elmostrador.cl/mercados/")</f>
        <v>http://www.elmostrador.cl/mercados/</v>
      </c>
      <c r="AR638" s="76" t="s">
        <v>26712</v>
      </c>
      <c r="AS638" s="76"/>
      <c r="AT638" s="76"/>
      <c r="AU638" s="76"/>
      <c r="AV638" s="76"/>
      <c r="AW638" s="82" t="str">
        <f>HYPERLINK("https://t.co/OZDMua4uye")</f>
        <v>https://t.co/OZDMua4uye</v>
      </c>
      <c r="AX638" s="76" t="b">
        <v>0</v>
      </c>
      <c r="AY638" s="76"/>
      <c r="AZ638" s="76"/>
      <c r="BA638" s="76" t="b">
        <v>0</v>
      </c>
      <c r="BB638" s="76" t="b">
        <v>0</v>
      </c>
      <c r="BC638" s="76" t="b">
        <v>0</v>
      </c>
      <c r="BD638" s="76" t="b">
        <v>0</v>
      </c>
      <c r="BE638" s="76" t="b">
        <v>0</v>
      </c>
      <c r="BF638" s="76" t="b">
        <v>0</v>
      </c>
      <c r="BG638" s="76" t="b">
        <v>0</v>
      </c>
      <c r="BH638" s="82" t="str">
        <f>HYPERLINK("https://pbs.twimg.com/profile_banners/376989408/1523380663")</f>
        <v>https://pbs.twimg.com/profile_banners/376989408/1523380663</v>
      </c>
      <c r="BI638" s="76"/>
      <c r="BJ638" s="76" t="s">
        <v>27595</v>
      </c>
      <c r="BK638" s="76" t="b">
        <v>0</v>
      </c>
      <c r="BL638" s="76"/>
      <c r="BM638" s="76" t="s">
        <v>66</v>
      </c>
      <c r="BN638" s="76" t="s">
        <v>27597</v>
      </c>
      <c r="BO638" s="82" t="str">
        <f>HYPERLINK("https://twitter.com/elmomercados")</f>
        <v>https://twitter.com/elmomercados</v>
      </c>
      <c r="BP638" s="2"/>
    </row>
    <row r="639" spans="1:68" x14ac:dyDescent="0.25">
      <c r="A639" s="62" t="s">
        <v>665</v>
      </c>
      <c r="B639" s="63"/>
      <c r="C639" s="63"/>
      <c r="D639" s="64"/>
      <c r="E639" s="66"/>
      <c r="F639" s="103" t="str">
        <f>HYPERLINK("https://pbs.twimg.com/profile_images/1698779432159248384/l24_1xzq_normal.jpg")</f>
        <v>https://pbs.twimg.com/profile_images/1698779432159248384/l24_1xzq_normal.jpg</v>
      </c>
      <c r="G639" s="63"/>
      <c r="H639" s="67"/>
      <c r="I639" s="68"/>
      <c r="J639" s="68"/>
      <c r="K639" s="67" t="s">
        <v>28233</v>
      </c>
      <c r="L639" s="71"/>
      <c r="M639" s="72"/>
      <c r="N639" s="72"/>
      <c r="O639" s="73"/>
      <c r="P639" s="74"/>
      <c r="Q639" s="74"/>
      <c r="R639" s="87"/>
      <c r="S639" s="87"/>
      <c r="T639" s="87"/>
      <c r="U639" s="87"/>
      <c r="V639" s="48"/>
      <c r="W639" s="48"/>
      <c r="X639" s="48"/>
      <c r="Y639" s="48"/>
      <c r="Z639" s="47"/>
      <c r="AA639" s="69">
        <v>639</v>
      </c>
      <c r="AB639" s="69"/>
      <c r="AC639" s="70"/>
      <c r="AD639" s="76" t="s">
        <v>21876</v>
      </c>
      <c r="AE639" s="81" t="s">
        <v>23411</v>
      </c>
      <c r="AF639" s="76">
        <v>11241</v>
      </c>
      <c r="AG639" s="76">
        <v>1174</v>
      </c>
      <c r="AH639" s="76">
        <v>29367</v>
      </c>
      <c r="AI639" s="76">
        <v>423</v>
      </c>
      <c r="AJ639" s="76">
        <v>6183</v>
      </c>
      <c r="AK639" s="76">
        <v>307</v>
      </c>
      <c r="AL639" s="76" t="b">
        <v>0</v>
      </c>
      <c r="AM639" s="78">
        <v>40034.361354166664</v>
      </c>
      <c r="AN639" s="76" t="s">
        <v>24313</v>
      </c>
      <c r="AO639" s="76" t="s">
        <v>25283</v>
      </c>
      <c r="AP639" s="76"/>
      <c r="AQ639" s="76"/>
      <c r="AR639" s="76"/>
      <c r="AS639" s="76"/>
      <c r="AT639" s="76"/>
      <c r="AU639" s="76"/>
      <c r="AV639" s="76"/>
      <c r="AW639" s="76"/>
      <c r="AX639" s="76" t="b">
        <v>0</v>
      </c>
      <c r="AY639" s="76"/>
      <c r="AZ639" s="76"/>
      <c r="BA639" s="76" t="b">
        <v>1</v>
      </c>
      <c r="BB639" s="76" t="b">
        <v>0</v>
      </c>
      <c r="BC639" s="76" t="b">
        <v>0</v>
      </c>
      <c r="BD639" s="76" t="b">
        <v>0</v>
      </c>
      <c r="BE639" s="76" t="b">
        <v>1</v>
      </c>
      <c r="BF639" s="76" t="b">
        <v>0</v>
      </c>
      <c r="BG639" s="76" t="b">
        <v>0</v>
      </c>
      <c r="BH639" s="82" t="str">
        <f>HYPERLINK("https://pbs.twimg.com/profile_banners/64139935/1693855552")</f>
        <v>https://pbs.twimg.com/profile_banners/64139935/1693855552</v>
      </c>
      <c r="BI639" s="76"/>
      <c r="BJ639" s="76" t="s">
        <v>27595</v>
      </c>
      <c r="BK639" s="76" t="b">
        <v>0</v>
      </c>
      <c r="BL639" s="76"/>
      <c r="BM639" s="76" t="s">
        <v>66</v>
      </c>
      <c r="BN639" s="76" t="s">
        <v>27597</v>
      </c>
      <c r="BO639" s="82" t="str">
        <f>HYPERLINK("https://twitter.com/olharjus")</f>
        <v>https://twitter.com/olharjus</v>
      </c>
      <c r="BP639" s="2"/>
    </row>
    <row r="640" spans="1:68" x14ac:dyDescent="0.25">
      <c r="A640" s="62" t="s">
        <v>666</v>
      </c>
      <c r="B640" s="63"/>
      <c r="C640" s="63"/>
      <c r="D640" s="64"/>
      <c r="E640" s="66"/>
      <c r="F640" s="103" t="str">
        <f>HYPERLINK("https://pbs.twimg.com/profile_images/1362106981675335680/1Wl7cSjk_normal.jpg")</f>
        <v>https://pbs.twimg.com/profile_images/1362106981675335680/1Wl7cSjk_normal.jpg</v>
      </c>
      <c r="G640" s="63"/>
      <c r="H640" s="67"/>
      <c r="I640" s="68"/>
      <c r="J640" s="68"/>
      <c r="K640" s="67" t="s">
        <v>28234</v>
      </c>
      <c r="L640" s="71"/>
      <c r="M640" s="72"/>
      <c r="N640" s="72"/>
      <c r="O640" s="73"/>
      <c r="P640" s="74"/>
      <c r="Q640" s="74"/>
      <c r="R640" s="87"/>
      <c r="S640" s="87"/>
      <c r="T640" s="87"/>
      <c r="U640" s="87"/>
      <c r="V640" s="48"/>
      <c r="W640" s="48"/>
      <c r="X640" s="48"/>
      <c r="Y640" s="48"/>
      <c r="Z640" s="47"/>
      <c r="AA640" s="69">
        <v>640</v>
      </c>
      <c r="AB640" s="69"/>
      <c r="AC640" s="70"/>
      <c r="AD640" s="76" t="s">
        <v>21877</v>
      </c>
      <c r="AE640" s="81" t="s">
        <v>20709</v>
      </c>
      <c r="AF640" s="76">
        <v>457</v>
      </c>
      <c r="AG640" s="76">
        <v>1</v>
      </c>
      <c r="AH640" s="76">
        <v>5088</v>
      </c>
      <c r="AI640" s="76">
        <v>6</v>
      </c>
      <c r="AJ640" s="76">
        <v>0</v>
      </c>
      <c r="AK640" s="76">
        <v>369</v>
      </c>
      <c r="AL640" s="76" t="b">
        <v>0</v>
      </c>
      <c r="AM640" s="78">
        <v>44244.77034722222</v>
      </c>
      <c r="AN640" s="76" t="s">
        <v>24314</v>
      </c>
      <c r="AO640" s="76" t="s">
        <v>25284</v>
      </c>
      <c r="AP640" s="82" t="str">
        <f>HYPERLINK("https://t.co/dXFenWdVgi")</f>
        <v>https://t.co/dXFenWdVgi</v>
      </c>
      <c r="AQ640" s="82" t="str">
        <f>HYPERLINK("http://mase.lmneuquen.com")</f>
        <v>http://mase.lmneuquen.com</v>
      </c>
      <c r="AR640" s="76" t="s">
        <v>26713</v>
      </c>
      <c r="AS640" s="76"/>
      <c r="AT640" s="76"/>
      <c r="AU640" s="76"/>
      <c r="AV640" s="76"/>
      <c r="AW640" s="82" t="str">
        <f>HYPERLINK("https://t.co/dXFenWdVgi")</f>
        <v>https://t.co/dXFenWdVgi</v>
      </c>
      <c r="AX640" s="76" t="b">
        <v>0</v>
      </c>
      <c r="AY640" s="76"/>
      <c r="AZ640" s="76"/>
      <c r="BA640" s="76" t="b">
        <v>0</v>
      </c>
      <c r="BB640" s="76" t="b">
        <v>1</v>
      </c>
      <c r="BC640" s="76" t="b">
        <v>1</v>
      </c>
      <c r="BD640" s="76" t="b">
        <v>0</v>
      </c>
      <c r="BE640" s="76" t="b">
        <v>0</v>
      </c>
      <c r="BF640" s="76" t="b">
        <v>0</v>
      </c>
      <c r="BG640" s="76" t="b">
        <v>0</v>
      </c>
      <c r="BH640" s="82" t="str">
        <f>HYPERLINK("https://pbs.twimg.com/profile_banners/1362106762082607106/1623957843")</f>
        <v>https://pbs.twimg.com/profile_banners/1362106762082607106/1623957843</v>
      </c>
      <c r="BI640" s="76"/>
      <c r="BJ640" s="76" t="s">
        <v>27595</v>
      </c>
      <c r="BK640" s="76" t="b">
        <v>0</v>
      </c>
      <c r="BL640" s="76"/>
      <c r="BM640" s="76" t="s">
        <v>66</v>
      </c>
      <c r="BN640" s="76" t="s">
        <v>27597</v>
      </c>
      <c r="BO640" s="82" t="str">
        <f>HYPERLINK("https://twitter.com/masenergialmn")</f>
        <v>https://twitter.com/masenergialmn</v>
      </c>
      <c r="BP640" s="2"/>
    </row>
    <row r="641" spans="1:68" x14ac:dyDescent="0.25">
      <c r="A641" s="62" t="s">
        <v>667</v>
      </c>
      <c r="B641" s="63"/>
      <c r="C641" s="63"/>
      <c r="D641" s="64"/>
      <c r="E641" s="66"/>
      <c r="F641" s="103" t="str">
        <f>HYPERLINK("https://pbs.twimg.com/profile_images/1479113791044341760/667uE5Gg_normal.jpg")</f>
        <v>https://pbs.twimg.com/profile_images/1479113791044341760/667uE5Gg_normal.jpg</v>
      </c>
      <c r="G641" s="63"/>
      <c r="H641" s="67"/>
      <c r="I641" s="68"/>
      <c r="J641" s="68"/>
      <c r="K641" s="67" t="s">
        <v>28235</v>
      </c>
      <c r="L641" s="71"/>
      <c r="M641" s="72"/>
      <c r="N641" s="72"/>
      <c r="O641" s="73"/>
      <c r="P641" s="74"/>
      <c r="Q641" s="74"/>
      <c r="R641" s="87"/>
      <c r="S641" s="87"/>
      <c r="T641" s="87"/>
      <c r="U641" s="87"/>
      <c r="V641" s="48"/>
      <c r="W641" s="48"/>
      <c r="X641" s="48"/>
      <c r="Y641" s="48"/>
      <c r="Z641" s="47"/>
      <c r="AA641" s="69">
        <v>641</v>
      </c>
      <c r="AB641" s="69"/>
      <c r="AC641" s="70"/>
      <c r="AD641" s="76" t="s">
        <v>21878</v>
      </c>
      <c r="AE641" s="81" t="s">
        <v>20710</v>
      </c>
      <c r="AF641" s="76">
        <v>1592</v>
      </c>
      <c r="AG641" s="76">
        <v>238</v>
      </c>
      <c r="AH641" s="76">
        <v>34028</v>
      </c>
      <c r="AI641" s="76">
        <v>29</v>
      </c>
      <c r="AJ641" s="76">
        <v>353</v>
      </c>
      <c r="AK641" s="76">
        <v>24924</v>
      </c>
      <c r="AL641" s="76" t="b">
        <v>0</v>
      </c>
      <c r="AM641" s="78">
        <v>43260.715462962966</v>
      </c>
      <c r="AN641" s="76" t="s">
        <v>24315</v>
      </c>
      <c r="AO641" s="76" t="s">
        <v>25285</v>
      </c>
      <c r="AP641" s="82" t="str">
        <f>HYPERLINK("https://t.co/d13pxgD2BW")</f>
        <v>https://t.co/d13pxgD2BW</v>
      </c>
      <c r="AQ641" s="82" t="str">
        <f>HYPERLINK("http://edntvhn.com")</f>
        <v>http://edntvhn.com</v>
      </c>
      <c r="AR641" s="76" t="s">
        <v>26714</v>
      </c>
      <c r="AS641" s="76"/>
      <c r="AT641" s="76"/>
      <c r="AU641" s="76"/>
      <c r="AV641" s="76"/>
      <c r="AW641" s="82" t="str">
        <f>HYPERLINK("https://t.co/d13pxgD2BW")</f>
        <v>https://t.co/d13pxgD2BW</v>
      </c>
      <c r="AX641" s="76" t="b">
        <v>0</v>
      </c>
      <c r="AY641" s="76"/>
      <c r="AZ641" s="76"/>
      <c r="BA641" s="76" t="b">
        <v>1</v>
      </c>
      <c r="BB641" s="76" t="b">
        <v>1</v>
      </c>
      <c r="BC641" s="76" t="b">
        <v>0</v>
      </c>
      <c r="BD641" s="76" t="b">
        <v>0</v>
      </c>
      <c r="BE641" s="76" t="b">
        <v>1</v>
      </c>
      <c r="BF641" s="76" t="b">
        <v>0</v>
      </c>
      <c r="BG641" s="76" t="b">
        <v>0</v>
      </c>
      <c r="BH641" s="82" t="str">
        <f>HYPERLINK("https://pbs.twimg.com/profile_banners/1005497319561859073/1693576495")</f>
        <v>https://pbs.twimg.com/profile_banners/1005497319561859073/1693576495</v>
      </c>
      <c r="BI641" s="76"/>
      <c r="BJ641" s="76" t="s">
        <v>27595</v>
      </c>
      <c r="BK641" s="76" t="b">
        <v>0</v>
      </c>
      <c r="BL641" s="76"/>
      <c r="BM641" s="76" t="s">
        <v>66</v>
      </c>
      <c r="BN641" s="76" t="s">
        <v>27597</v>
      </c>
      <c r="BO641" s="82" t="str">
        <f>HYPERLINK("https://twitter.com/edntvhn")</f>
        <v>https://twitter.com/edntvhn</v>
      </c>
      <c r="BP641" s="2"/>
    </row>
    <row r="642" spans="1:68" x14ac:dyDescent="0.25">
      <c r="A642" s="62" t="s">
        <v>668</v>
      </c>
      <c r="B642" s="63"/>
      <c r="C642" s="63"/>
      <c r="D642" s="64"/>
      <c r="E642" s="66"/>
      <c r="F642" s="103" t="str">
        <f>HYPERLINK("https://pbs.twimg.com/profile_images/1610966493453340673/291LBtTV_normal.jpg")</f>
        <v>https://pbs.twimg.com/profile_images/1610966493453340673/291LBtTV_normal.jpg</v>
      </c>
      <c r="G642" s="63"/>
      <c r="H642" s="67"/>
      <c r="I642" s="68"/>
      <c r="J642" s="68"/>
      <c r="K642" s="67" t="s">
        <v>28236</v>
      </c>
      <c r="L642" s="71"/>
      <c r="M642" s="72"/>
      <c r="N642" s="72"/>
      <c r="O642" s="73"/>
      <c r="P642" s="74"/>
      <c r="Q642" s="74"/>
      <c r="R642" s="87"/>
      <c r="S642" s="87"/>
      <c r="T642" s="87"/>
      <c r="U642" s="87"/>
      <c r="V642" s="48"/>
      <c r="W642" s="48"/>
      <c r="X642" s="48"/>
      <c r="Y642" s="48"/>
      <c r="Z642" s="47"/>
      <c r="AA642" s="69">
        <v>642</v>
      </c>
      <c r="AB642" s="69"/>
      <c r="AC642" s="70"/>
      <c r="AD642" s="76" t="s">
        <v>21879</v>
      </c>
      <c r="AE642" s="81" t="s">
        <v>20711</v>
      </c>
      <c r="AF642" s="76">
        <v>18</v>
      </c>
      <c r="AG642" s="76">
        <v>116</v>
      </c>
      <c r="AH642" s="76">
        <v>143</v>
      </c>
      <c r="AI642" s="76">
        <v>0</v>
      </c>
      <c r="AJ642" s="76">
        <v>143</v>
      </c>
      <c r="AK642" s="76">
        <v>0</v>
      </c>
      <c r="AL642" s="76" t="b">
        <v>0</v>
      </c>
      <c r="AM642" s="78">
        <v>44556.5153587963</v>
      </c>
      <c r="AN642" s="76" t="s">
        <v>24316</v>
      </c>
      <c r="AO642" s="76" t="s">
        <v>25286</v>
      </c>
      <c r="AP642" s="82" t="str">
        <f>HYPERLINK("https://t.co/cJJY4DvrmF")</f>
        <v>https://t.co/cJJY4DvrmF</v>
      </c>
      <c r="AQ642" s="82" t="str">
        <f>HYPERLINK("https://perfil.psicologiaviva.com.br/anereudaferreira/")</f>
        <v>https://perfil.psicologiaviva.com.br/anereudaferreira/</v>
      </c>
      <c r="AR642" s="76" t="s">
        <v>26715</v>
      </c>
      <c r="AS642" s="76"/>
      <c r="AT642" s="76"/>
      <c r="AU642" s="76"/>
      <c r="AV642" s="76"/>
      <c r="AW642" s="82" t="str">
        <f>HYPERLINK("https://t.co/cJJY4DvrmF")</f>
        <v>https://t.co/cJJY4DvrmF</v>
      </c>
      <c r="AX642" s="76" t="b">
        <v>0</v>
      </c>
      <c r="AY642" s="76"/>
      <c r="AZ642" s="76"/>
      <c r="BA642" s="76" t="b">
        <v>0</v>
      </c>
      <c r="BB642" s="76" t="b">
        <v>1</v>
      </c>
      <c r="BC642" s="76" t="b">
        <v>1</v>
      </c>
      <c r="BD642" s="76" t="b">
        <v>0</v>
      </c>
      <c r="BE642" s="76" t="b">
        <v>0</v>
      </c>
      <c r="BF642" s="76" t="b">
        <v>0</v>
      </c>
      <c r="BG642" s="76" t="b">
        <v>0</v>
      </c>
      <c r="BH642" s="82" t="str">
        <f>HYPERLINK("https://pbs.twimg.com/profile_banners/1475079346196996096/1672919318")</f>
        <v>https://pbs.twimg.com/profile_banners/1475079346196996096/1672919318</v>
      </c>
      <c r="BI642" s="76"/>
      <c r="BJ642" s="76" t="s">
        <v>27595</v>
      </c>
      <c r="BK642" s="76" t="b">
        <v>0</v>
      </c>
      <c r="BL642" s="76"/>
      <c r="BM642" s="76" t="s">
        <v>66</v>
      </c>
      <c r="BN642" s="76" t="s">
        <v>27597</v>
      </c>
      <c r="BO642" s="82" t="str">
        <f>HYPERLINK("https://twitter.com/psicoanereuda")</f>
        <v>https://twitter.com/psicoanereuda</v>
      </c>
      <c r="BP642" s="2"/>
    </row>
    <row r="643" spans="1:68" x14ac:dyDescent="0.25">
      <c r="A643" s="62" t="s">
        <v>669</v>
      </c>
      <c r="B643" s="63"/>
      <c r="C643" s="63"/>
      <c r="D643" s="64"/>
      <c r="E643" s="66"/>
      <c r="F643" s="103" t="str">
        <f>HYPERLINK("https://pbs.twimg.com/profile_images/1357205571397632004/0678sJRN_normal.jpg")</f>
        <v>https://pbs.twimg.com/profile_images/1357205571397632004/0678sJRN_normal.jpg</v>
      </c>
      <c r="G643" s="63"/>
      <c r="H643" s="67"/>
      <c r="I643" s="68"/>
      <c r="J643" s="68"/>
      <c r="K643" s="67" t="s">
        <v>28237</v>
      </c>
      <c r="L643" s="71"/>
      <c r="M643" s="72"/>
      <c r="N643" s="72"/>
      <c r="O643" s="73"/>
      <c r="P643" s="74"/>
      <c r="Q643" s="74"/>
      <c r="R643" s="87"/>
      <c r="S643" s="87"/>
      <c r="T643" s="87"/>
      <c r="U643" s="87"/>
      <c r="V643" s="48"/>
      <c r="W643" s="48"/>
      <c r="X643" s="48"/>
      <c r="Y643" s="48"/>
      <c r="Z643" s="47"/>
      <c r="AA643" s="69">
        <v>643</v>
      </c>
      <c r="AB643" s="69"/>
      <c r="AC643" s="70"/>
      <c r="AD643" s="76" t="s">
        <v>21880</v>
      </c>
      <c r="AE643" s="81" t="s">
        <v>20712</v>
      </c>
      <c r="AF643" s="76">
        <v>86</v>
      </c>
      <c r="AG643" s="76">
        <v>334</v>
      </c>
      <c r="AH643" s="76">
        <v>4585</v>
      </c>
      <c r="AI643" s="76">
        <v>0</v>
      </c>
      <c r="AJ643" s="76">
        <v>13833</v>
      </c>
      <c r="AK643" s="76">
        <v>795</v>
      </c>
      <c r="AL643" s="76" t="b">
        <v>0</v>
      </c>
      <c r="AM643" s="78">
        <v>42894.946956018517</v>
      </c>
      <c r="AN643" s="76" t="s">
        <v>24317</v>
      </c>
      <c r="AO643" s="76" t="s">
        <v>25287</v>
      </c>
      <c r="AP643" s="76"/>
      <c r="AQ643" s="76"/>
      <c r="AR643" s="76"/>
      <c r="AS643" s="76"/>
      <c r="AT643" s="76"/>
      <c r="AU643" s="76"/>
      <c r="AV643" s="76"/>
      <c r="AW643" s="76"/>
      <c r="AX643" s="76" t="b">
        <v>0</v>
      </c>
      <c r="AY643" s="76"/>
      <c r="AZ643" s="76"/>
      <c r="BA643" s="76" t="b">
        <v>0</v>
      </c>
      <c r="BB643" s="76" t="b">
        <v>1</v>
      </c>
      <c r="BC643" s="76" t="b">
        <v>1</v>
      </c>
      <c r="BD643" s="76" t="b">
        <v>0</v>
      </c>
      <c r="BE643" s="76" t="b">
        <v>1</v>
      </c>
      <c r="BF643" s="76" t="b">
        <v>0</v>
      </c>
      <c r="BG643" s="76" t="b">
        <v>0</v>
      </c>
      <c r="BH643" s="82" t="str">
        <f>HYPERLINK("https://pbs.twimg.com/profile_banners/872947249738911744/1612418002")</f>
        <v>https://pbs.twimg.com/profile_banners/872947249738911744/1612418002</v>
      </c>
      <c r="BI643" s="76"/>
      <c r="BJ643" s="76" t="s">
        <v>27595</v>
      </c>
      <c r="BK643" s="76" t="b">
        <v>0</v>
      </c>
      <c r="BL643" s="76"/>
      <c r="BM643" s="76" t="s">
        <v>66</v>
      </c>
      <c r="BN643" s="76" t="s">
        <v>27597</v>
      </c>
      <c r="BO643" s="82" t="str">
        <f>HYPERLINK("https://twitter.com/hugoroldan69")</f>
        <v>https://twitter.com/hugoroldan69</v>
      </c>
      <c r="BP643" s="2"/>
    </row>
    <row r="644" spans="1:68" x14ac:dyDescent="0.25">
      <c r="A644" s="62" t="s">
        <v>670</v>
      </c>
      <c r="B644" s="63"/>
      <c r="C644" s="63"/>
      <c r="D644" s="64"/>
      <c r="E644" s="66"/>
      <c r="F644" s="103" t="str">
        <f>HYPERLINK("https://pbs.twimg.com/profile_images/1665768657601847296/iN_m-pEL_normal.jpg")</f>
        <v>https://pbs.twimg.com/profile_images/1665768657601847296/iN_m-pEL_normal.jpg</v>
      </c>
      <c r="G644" s="63"/>
      <c r="H644" s="67"/>
      <c r="I644" s="68"/>
      <c r="J644" s="68"/>
      <c r="K644" s="67" t="s">
        <v>28238</v>
      </c>
      <c r="L644" s="71"/>
      <c r="M644" s="72"/>
      <c r="N644" s="72"/>
      <c r="O644" s="73"/>
      <c r="P644" s="74"/>
      <c r="Q644" s="74"/>
      <c r="R644" s="87"/>
      <c r="S644" s="87"/>
      <c r="T644" s="87"/>
      <c r="U644" s="87"/>
      <c r="V644" s="48"/>
      <c r="W644" s="48"/>
      <c r="X644" s="48"/>
      <c r="Y644" s="48"/>
      <c r="Z644" s="47"/>
      <c r="AA644" s="69">
        <v>644</v>
      </c>
      <c r="AB644" s="69"/>
      <c r="AC644" s="70"/>
      <c r="AD644" s="76" t="s">
        <v>21881</v>
      </c>
      <c r="AE644" s="81" t="s">
        <v>23412</v>
      </c>
      <c r="AF644" s="76">
        <v>6542</v>
      </c>
      <c r="AG644" s="76">
        <v>938</v>
      </c>
      <c r="AH644" s="76">
        <v>10709</v>
      </c>
      <c r="AI644" s="76">
        <v>34</v>
      </c>
      <c r="AJ644" s="76">
        <v>16569</v>
      </c>
      <c r="AK644" s="76">
        <v>634</v>
      </c>
      <c r="AL644" s="76" t="b">
        <v>0</v>
      </c>
      <c r="AM644" s="78">
        <v>41601.08935185185</v>
      </c>
      <c r="AN644" s="76" t="s">
        <v>24062</v>
      </c>
      <c r="AO644" s="76" t="s">
        <v>25288</v>
      </c>
      <c r="AP644" s="82" t="str">
        <f>HYPERLINK("https://t.co/JZcru8Xzcf")</f>
        <v>https://t.co/JZcru8Xzcf</v>
      </c>
      <c r="AQ644" s="82" t="str">
        <f>HYPERLINK("http://youtube.com/@eupvfaria")</f>
        <v>http://youtube.com/@eupvfaria</v>
      </c>
      <c r="AR644" s="76" t="s">
        <v>26716</v>
      </c>
      <c r="AS644" s="76"/>
      <c r="AT644" s="76"/>
      <c r="AU644" s="76"/>
      <c r="AV644" s="76"/>
      <c r="AW644" s="82" t="str">
        <f>HYPERLINK("https://t.co/JZcru8Xzcf")</f>
        <v>https://t.co/JZcru8Xzcf</v>
      </c>
      <c r="AX644" s="76" t="b">
        <v>0</v>
      </c>
      <c r="AY644" s="76"/>
      <c r="AZ644" s="76"/>
      <c r="BA644" s="76" t="b">
        <v>0</v>
      </c>
      <c r="BB644" s="76" t="b">
        <v>0</v>
      </c>
      <c r="BC644" s="76" t="b">
        <v>1</v>
      </c>
      <c r="BD644" s="76" t="b">
        <v>0</v>
      </c>
      <c r="BE644" s="76" t="b">
        <v>1</v>
      </c>
      <c r="BF644" s="76" t="b">
        <v>0</v>
      </c>
      <c r="BG644" s="76" t="b">
        <v>0</v>
      </c>
      <c r="BH644" s="82" t="str">
        <f>HYPERLINK("https://pbs.twimg.com/profile_banners/2192200168/1531830267")</f>
        <v>https://pbs.twimg.com/profile_banners/2192200168/1531830267</v>
      </c>
      <c r="BI644" s="76"/>
      <c r="BJ644" s="76" t="s">
        <v>27595</v>
      </c>
      <c r="BK644" s="76" t="b">
        <v>0</v>
      </c>
      <c r="BL644" s="76"/>
      <c r="BM644" s="76" t="s">
        <v>66</v>
      </c>
      <c r="BN644" s="76" t="s">
        <v>27597</v>
      </c>
      <c r="BO644" s="82" t="str">
        <f>HYPERLINK("https://twitter.com/eupvfaria")</f>
        <v>https://twitter.com/eupvfaria</v>
      </c>
      <c r="BP644" s="2"/>
    </row>
    <row r="645" spans="1:68" x14ac:dyDescent="0.25">
      <c r="A645" s="62" t="s">
        <v>671</v>
      </c>
      <c r="B645" s="63"/>
      <c r="C645" s="63"/>
      <c r="D645" s="64"/>
      <c r="E645" s="66"/>
      <c r="F645" s="103" t="str">
        <f>HYPERLINK("https://pbs.twimg.com/profile_images/1643581489445994496/0M_hVxip_normal.jpg")</f>
        <v>https://pbs.twimg.com/profile_images/1643581489445994496/0M_hVxip_normal.jpg</v>
      </c>
      <c r="G645" s="63"/>
      <c r="H645" s="67"/>
      <c r="I645" s="68"/>
      <c r="J645" s="68"/>
      <c r="K645" s="67" t="s">
        <v>28239</v>
      </c>
      <c r="L645" s="71"/>
      <c r="M645" s="72"/>
      <c r="N645" s="72"/>
      <c r="O645" s="73"/>
      <c r="P645" s="74"/>
      <c r="Q645" s="74"/>
      <c r="R645" s="87"/>
      <c r="S645" s="87"/>
      <c r="T645" s="87"/>
      <c r="U645" s="87"/>
      <c r="V645" s="48"/>
      <c r="W645" s="48"/>
      <c r="X645" s="48"/>
      <c r="Y645" s="48"/>
      <c r="Z645" s="47"/>
      <c r="AA645" s="69">
        <v>645</v>
      </c>
      <c r="AB645" s="69"/>
      <c r="AC645" s="70"/>
      <c r="AD645" s="76" t="s">
        <v>21882</v>
      </c>
      <c r="AE645" s="81" t="s">
        <v>23413</v>
      </c>
      <c r="AF645" s="76">
        <v>1346</v>
      </c>
      <c r="AG645" s="76">
        <v>1929</v>
      </c>
      <c r="AH645" s="76">
        <v>114037</v>
      </c>
      <c r="AI645" s="76">
        <v>9</v>
      </c>
      <c r="AJ645" s="76">
        <v>249871</v>
      </c>
      <c r="AK645" s="76">
        <v>5674</v>
      </c>
      <c r="AL645" s="76" t="b">
        <v>0</v>
      </c>
      <c r="AM645" s="78">
        <v>40007.868090277778</v>
      </c>
      <c r="AN645" s="76"/>
      <c r="AO645" s="76" t="s">
        <v>25289</v>
      </c>
      <c r="AP645" s="76"/>
      <c r="AQ645" s="76"/>
      <c r="AR645" s="76"/>
      <c r="AS645" s="76"/>
      <c r="AT645" s="76"/>
      <c r="AU645" s="76"/>
      <c r="AV645" s="76">
        <v>1.69118567092286E+18</v>
      </c>
      <c r="AW645" s="76"/>
      <c r="AX645" s="76" t="b">
        <v>0</v>
      </c>
      <c r="AY645" s="76"/>
      <c r="AZ645" s="76"/>
      <c r="BA645" s="76" t="b">
        <v>1</v>
      </c>
      <c r="BB645" s="76" t="b">
        <v>0</v>
      </c>
      <c r="BC645" s="76" t="b">
        <v>0</v>
      </c>
      <c r="BD645" s="76" t="b">
        <v>0</v>
      </c>
      <c r="BE645" s="76" t="b">
        <v>1</v>
      </c>
      <c r="BF645" s="76" t="b">
        <v>0</v>
      </c>
      <c r="BG645" s="76" t="b">
        <v>0</v>
      </c>
      <c r="BH645" s="82" t="str">
        <f>HYPERLINK("https://pbs.twimg.com/profile_banners/56488485/1680694633")</f>
        <v>https://pbs.twimg.com/profile_banners/56488485/1680694633</v>
      </c>
      <c r="BI645" s="76"/>
      <c r="BJ645" s="76" t="s">
        <v>27595</v>
      </c>
      <c r="BK645" s="76" t="b">
        <v>0</v>
      </c>
      <c r="BL645" s="76"/>
      <c r="BM645" s="76" t="s">
        <v>66</v>
      </c>
      <c r="BN645" s="76" t="s">
        <v>27597</v>
      </c>
      <c r="BO645" s="82" t="str">
        <f>HYPERLINK("https://twitter.com/dezenov")</f>
        <v>https://twitter.com/dezenov</v>
      </c>
      <c r="BP645" s="2"/>
    </row>
    <row r="646" spans="1:68" x14ac:dyDescent="0.25">
      <c r="A646" s="62" t="s">
        <v>672</v>
      </c>
      <c r="B646" s="63"/>
      <c r="C646" s="63"/>
      <c r="D646" s="64"/>
      <c r="E646" s="66"/>
      <c r="F646" s="103" t="str">
        <f>HYPERLINK("https://pbs.twimg.com/profile_images/1256962587746545670/5qqL5Kd__normal.jpg")</f>
        <v>https://pbs.twimg.com/profile_images/1256962587746545670/5qqL5Kd__normal.jpg</v>
      </c>
      <c r="G646" s="63"/>
      <c r="H646" s="67"/>
      <c r="I646" s="68"/>
      <c r="J646" s="68"/>
      <c r="K646" s="67" t="s">
        <v>28240</v>
      </c>
      <c r="L646" s="71"/>
      <c r="M646" s="72"/>
      <c r="N646" s="72"/>
      <c r="O646" s="73"/>
      <c r="P646" s="74"/>
      <c r="Q646" s="74"/>
      <c r="R646" s="87"/>
      <c r="S646" s="87"/>
      <c r="T646" s="87"/>
      <c r="U646" s="87"/>
      <c r="V646" s="48"/>
      <c r="W646" s="48"/>
      <c r="X646" s="48"/>
      <c r="Y646" s="48"/>
      <c r="Z646" s="47"/>
      <c r="AA646" s="69">
        <v>646</v>
      </c>
      <c r="AB646" s="69"/>
      <c r="AC646" s="70"/>
      <c r="AD646" s="76" t="s">
        <v>21883</v>
      </c>
      <c r="AE646" s="81" t="s">
        <v>23414</v>
      </c>
      <c r="AF646" s="76">
        <v>1057</v>
      </c>
      <c r="AG646" s="76">
        <v>2338</v>
      </c>
      <c r="AH646" s="76">
        <v>5747</v>
      </c>
      <c r="AI646" s="76">
        <v>12</v>
      </c>
      <c r="AJ646" s="76">
        <v>2731</v>
      </c>
      <c r="AK646" s="76">
        <v>385</v>
      </c>
      <c r="AL646" s="76" t="b">
        <v>0</v>
      </c>
      <c r="AM646" s="78">
        <v>39886.695497685185</v>
      </c>
      <c r="AN646" s="76" t="s">
        <v>24318</v>
      </c>
      <c r="AO646" s="82" t="str">
        <f>HYPERLINK("https://t.co/L0mhOvTxpR")</f>
        <v>https://t.co/L0mhOvTxpR</v>
      </c>
      <c r="AP646" s="82" t="str">
        <f>HYPERLINK("https://t.co/5M19ckB9xO")</f>
        <v>https://t.co/5M19ckB9xO</v>
      </c>
      <c r="AQ646" s="82" t="str">
        <f>HYPERLINK("http://museumofthefuturefoundation.org/")</f>
        <v>http://museumofthefuturefoundation.org/</v>
      </c>
      <c r="AR646" s="76" t="s">
        <v>26717</v>
      </c>
      <c r="AS646" s="82" t="str">
        <f>HYPERLINK("https://t.co/L0mhOvTxpR")</f>
        <v>https://t.co/L0mhOvTxpR</v>
      </c>
      <c r="AT646" s="82" t="str">
        <f>HYPERLINK("https://museudofuturo.org.br/")</f>
        <v>https://museudofuturo.org.br/</v>
      </c>
      <c r="AU646" s="76" t="s">
        <v>27088</v>
      </c>
      <c r="AV646" s="76">
        <v>1.6976205746908201E+18</v>
      </c>
      <c r="AW646" s="82" t="str">
        <f>HYPERLINK("https://t.co/5M19ckB9xO")</f>
        <v>https://t.co/5M19ckB9xO</v>
      </c>
      <c r="AX646" s="76" t="b">
        <v>0</v>
      </c>
      <c r="AY646" s="76"/>
      <c r="AZ646" s="76"/>
      <c r="BA646" s="76" t="b">
        <v>0</v>
      </c>
      <c r="BB646" s="76" t="b">
        <v>1</v>
      </c>
      <c r="BC646" s="76" t="b">
        <v>0</v>
      </c>
      <c r="BD646" s="76" t="b">
        <v>0</v>
      </c>
      <c r="BE646" s="76" t="b">
        <v>1</v>
      </c>
      <c r="BF646" s="76" t="b">
        <v>0</v>
      </c>
      <c r="BG646" s="76" t="b">
        <v>0</v>
      </c>
      <c r="BH646" s="82" t="str">
        <f>HYPERLINK("https://pbs.twimg.com/profile_banners/24392800/1588518157")</f>
        <v>https://pbs.twimg.com/profile_banners/24392800/1588518157</v>
      </c>
      <c r="BI646" s="76"/>
      <c r="BJ646" s="76" t="s">
        <v>27595</v>
      </c>
      <c r="BK646" s="76" t="b">
        <v>0</v>
      </c>
      <c r="BL646" s="76"/>
      <c r="BM646" s="76" t="s">
        <v>66</v>
      </c>
      <c r="BN646" s="76" t="s">
        <v>27597</v>
      </c>
      <c r="BO646" s="82" t="str">
        <f>HYPERLINK("https://twitter.com/teresa_nacli")</f>
        <v>https://twitter.com/teresa_nacli</v>
      </c>
      <c r="BP646" s="2"/>
    </row>
    <row r="647" spans="1:68" x14ac:dyDescent="0.25">
      <c r="A647" s="62" t="s">
        <v>782</v>
      </c>
      <c r="B647" s="63"/>
      <c r="C647" s="63"/>
      <c r="D647" s="64"/>
      <c r="E647" s="66"/>
      <c r="F647" s="103" t="str">
        <f>HYPERLINK("https://pbs.twimg.com/profile_images/1623114146458791936/N7peJ_jC_normal.jpg")</f>
        <v>https://pbs.twimg.com/profile_images/1623114146458791936/N7peJ_jC_normal.jpg</v>
      </c>
      <c r="G647" s="63"/>
      <c r="H647" s="67"/>
      <c r="I647" s="68"/>
      <c r="J647" s="68"/>
      <c r="K647" s="67" t="s">
        <v>28241</v>
      </c>
      <c r="L647" s="71"/>
      <c r="M647" s="72"/>
      <c r="N647" s="72"/>
      <c r="O647" s="73"/>
      <c r="P647" s="74"/>
      <c r="Q647" s="74"/>
      <c r="R647" s="87"/>
      <c r="S647" s="87"/>
      <c r="T647" s="87"/>
      <c r="U647" s="87"/>
      <c r="V647" s="48"/>
      <c r="W647" s="48"/>
      <c r="X647" s="48"/>
      <c r="Y647" s="48"/>
      <c r="Z647" s="47"/>
      <c r="AA647" s="69">
        <v>647</v>
      </c>
      <c r="AB647" s="69"/>
      <c r="AC647" s="70"/>
      <c r="AD647" s="76" t="s">
        <v>21884</v>
      </c>
      <c r="AE647" s="81" t="s">
        <v>23415</v>
      </c>
      <c r="AF647" s="76">
        <v>436291</v>
      </c>
      <c r="AG647" s="76">
        <v>127</v>
      </c>
      <c r="AH647" s="76">
        <v>570226</v>
      </c>
      <c r="AI647" s="76">
        <v>1063</v>
      </c>
      <c r="AJ647" s="76">
        <v>2243</v>
      </c>
      <c r="AK647" s="76">
        <v>183227</v>
      </c>
      <c r="AL647" s="76" t="b">
        <v>0</v>
      </c>
      <c r="AM647" s="78">
        <v>39909.818113425928</v>
      </c>
      <c r="AN647" s="76" t="s">
        <v>24319</v>
      </c>
      <c r="AO647" s="76" t="s">
        <v>25290</v>
      </c>
      <c r="AP647" s="82" t="str">
        <f>HYPERLINK("https://t.co/eclS3Qy5Jw")</f>
        <v>https://t.co/eclS3Qy5Jw</v>
      </c>
      <c r="AQ647" s="82" t="str">
        <f>HYPERLINK("https://www.otempo.com.br")</f>
        <v>https://www.otempo.com.br</v>
      </c>
      <c r="AR647" s="76" t="s">
        <v>26718</v>
      </c>
      <c r="AS647" s="76"/>
      <c r="AT647" s="76"/>
      <c r="AU647" s="76"/>
      <c r="AV647" s="76"/>
      <c r="AW647" s="82" t="str">
        <f>HYPERLINK("https://t.co/eclS3Qy5Jw")</f>
        <v>https://t.co/eclS3Qy5Jw</v>
      </c>
      <c r="AX647" s="76" t="b">
        <v>0</v>
      </c>
      <c r="AY647" s="76"/>
      <c r="AZ647" s="76"/>
      <c r="BA647" s="76" t="b">
        <v>1</v>
      </c>
      <c r="BB647" s="76" t="b">
        <v>1</v>
      </c>
      <c r="BC647" s="76" t="b">
        <v>0</v>
      </c>
      <c r="BD647" s="76" t="b">
        <v>0</v>
      </c>
      <c r="BE647" s="76" t="b">
        <v>1</v>
      </c>
      <c r="BF647" s="76" t="b">
        <v>0</v>
      </c>
      <c r="BG647" s="76" t="b">
        <v>0</v>
      </c>
      <c r="BH647" s="82" t="str">
        <f>HYPERLINK("https://pbs.twimg.com/profile_banners/29274419/1675806449")</f>
        <v>https://pbs.twimg.com/profile_banners/29274419/1675806449</v>
      </c>
      <c r="BI647" s="76"/>
      <c r="BJ647" s="76" t="s">
        <v>27595</v>
      </c>
      <c r="BK647" s="76" t="b">
        <v>0</v>
      </c>
      <c r="BL647" s="76"/>
      <c r="BM647" s="76" t="s">
        <v>66</v>
      </c>
      <c r="BN647" s="76" t="s">
        <v>27597</v>
      </c>
      <c r="BO647" s="82" t="str">
        <f>HYPERLINK("https://twitter.com/otempo")</f>
        <v>https://twitter.com/otempo</v>
      </c>
      <c r="BP647" s="2"/>
    </row>
    <row r="648" spans="1:68" x14ac:dyDescent="0.25">
      <c r="A648" s="62" t="s">
        <v>673</v>
      </c>
      <c r="B648" s="63"/>
      <c r="C648" s="63"/>
      <c r="D648" s="64"/>
      <c r="E648" s="66"/>
      <c r="F648" s="103" t="str">
        <f>HYPERLINK("https://pbs.twimg.com/profile_images/1632254216398880768/xwTMGBik_normal.jpg")</f>
        <v>https://pbs.twimg.com/profile_images/1632254216398880768/xwTMGBik_normal.jpg</v>
      </c>
      <c r="G648" s="63"/>
      <c r="H648" s="67"/>
      <c r="I648" s="68"/>
      <c r="J648" s="68"/>
      <c r="K648" s="67" t="s">
        <v>28242</v>
      </c>
      <c r="L648" s="71"/>
      <c r="M648" s="72"/>
      <c r="N648" s="72"/>
      <c r="O648" s="73"/>
      <c r="P648" s="74"/>
      <c r="Q648" s="74"/>
      <c r="R648" s="87"/>
      <c r="S648" s="87"/>
      <c r="T648" s="87"/>
      <c r="U648" s="87"/>
      <c r="V648" s="48"/>
      <c r="W648" s="48"/>
      <c r="X648" s="48"/>
      <c r="Y648" s="48"/>
      <c r="Z648" s="47"/>
      <c r="AA648" s="69">
        <v>648</v>
      </c>
      <c r="AB648" s="69"/>
      <c r="AC648" s="70"/>
      <c r="AD648" s="76" t="s">
        <v>21885</v>
      </c>
      <c r="AE648" s="81" t="s">
        <v>20713</v>
      </c>
      <c r="AF648" s="76">
        <v>82</v>
      </c>
      <c r="AG648" s="76">
        <v>1</v>
      </c>
      <c r="AH648" s="76">
        <v>10751</v>
      </c>
      <c r="AI648" s="76">
        <v>0</v>
      </c>
      <c r="AJ648" s="76">
        <v>0</v>
      </c>
      <c r="AK648" s="76">
        <v>5746</v>
      </c>
      <c r="AL648" s="76" t="b">
        <v>0</v>
      </c>
      <c r="AM648" s="78">
        <v>43417.829791666663</v>
      </c>
      <c r="AN648" s="76" t="s">
        <v>14400</v>
      </c>
      <c r="AO648" s="76" t="s">
        <v>25291</v>
      </c>
      <c r="AP648" s="82" t="str">
        <f>HYPERLINK("https://t.co/VqoHeacpP7")</f>
        <v>https://t.co/VqoHeacpP7</v>
      </c>
      <c r="AQ648" s="82" t="str">
        <f>HYPERLINK("https://spagora.com.br")</f>
        <v>https://spagora.com.br</v>
      </c>
      <c r="AR648" s="76" t="s">
        <v>26719</v>
      </c>
      <c r="AS648" s="76"/>
      <c r="AT648" s="76"/>
      <c r="AU648" s="76"/>
      <c r="AV648" s="76"/>
      <c r="AW648" s="82" t="str">
        <f>HYPERLINK("https://t.co/VqoHeacpP7")</f>
        <v>https://t.co/VqoHeacpP7</v>
      </c>
      <c r="AX648" s="76" t="b">
        <v>1</v>
      </c>
      <c r="AY648" s="76"/>
      <c r="AZ648" s="76"/>
      <c r="BA648" s="76" t="b">
        <v>0</v>
      </c>
      <c r="BB648" s="76" t="b">
        <v>1</v>
      </c>
      <c r="BC648" s="76" t="b">
        <v>0</v>
      </c>
      <c r="BD648" s="76" t="b">
        <v>0</v>
      </c>
      <c r="BE648" s="76" t="b">
        <v>0</v>
      </c>
      <c r="BF648" s="76" t="b">
        <v>0</v>
      </c>
      <c r="BG648" s="76" t="b">
        <v>0</v>
      </c>
      <c r="BH648" s="82" t="str">
        <f>HYPERLINK("https://pbs.twimg.com/profile_banners/1062433641735864320/1677994770")</f>
        <v>https://pbs.twimg.com/profile_banners/1062433641735864320/1677994770</v>
      </c>
      <c r="BI648" s="76"/>
      <c r="BJ648" s="76" t="s">
        <v>27595</v>
      </c>
      <c r="BK648" s="76" t="b">
        <v>0</v>
      </c>
      <c r="BL648" s="76"/>
      <c r="BM648" s="76" t="s">
        <v>66</v>
      </c>
      <c r="BN648" s="76" t="s">
        <v>27597</v>
      </c>
      <c r="BO648" s="82" t="str">
        <f>HYPERLINK("https://twitter.com/portalspagora")</f>
        <v>https://twitter.com/portalspagora</v>
      </c>
      <c r="BP648" s="2"/>
    </row>
    <row r="649" spans="1:68" x14ac:dyDescent="0.25">
      <c r="A649" s="62" t="s">
        <v>674</v>
      </c>
      <c r="B649" s="63"/>
      <c r="C649" s="63"/>
      <c r="D649" s="64"/>
      <c r="E649" s="66"/>
      <c r="F649" s="103" t="str">
        <f>HYPERLINK("https://pbs.twimg.com/profile_images/1145370411934375939/BA-4arFe_normal.png")</f>
        <v>https://pbs.twimg.com/profile_images/1145370411934375939/BA-4arFe_normal.png</v>
      </c>
      <c r="G649" s="63"/>
      <c r="H649" s="67"/>
      <c r="I649" s="68"/>
      <c r="J649" s="68"/>
      <c r="K649" s="67" t="s">
        <v>28243</v>
      </c>
      <c r="L649" s="71"/>
      <c r="M649" s="72"/>
      <c r="N649" s="72"/>
      <c r="O649" s="73"/>
      <c r="P649" s="74"/>
      <c r="Q649" s="74"/>
      <c r="R649" s="87"/>
      <c r="S649" s="87"/>
      <c r="T649" s="87"/>
      <c r="U649" s="87"/>
      <c r="V649" s="48"/>
      <c r="W649" s="48"/>
      <c r="X649" s="48"/>
      <c r="Y649" s="48"/>
      <c r="Z649" s="47"/>
      <c r="AA649" s="69">
        <v>649</v>
      </c>
      <c r="AB649" s="69"/>
      <c r="AC649" s="70"/>
      <c r="AD649" s="76" t="s">
        <v>21886</v>
      </c>
      <c r="AE649" s="81" t="s">
        <v>23416</v>
      </c>
      <c r="AF649" s="76">
        <v>1810</v>
      </c>
      <c r="AG649" s="76">
        <v>71</v>
      </c>
      <c r="AH649" s="76">
        <v>28115</v>
      </c>
      <c r="AI649" s="76">
        <v>19</v>
      </c>
      <c r="AJ649" s="76">
        <v>926</v>
      </c>
      <c r="AK649" s="76">
        <v>3700</v>
      </c>
      <c r="AL649" s="76" t="b">
        <v>0</v>
      </c>
      <c r="AM649" s="78">
        <v>40206.68986111111</v>
      </c>
      <c r="AN649" s="76" t="s">
        <v>24320</v>
      </c>
      <c r="AO649" s="76" t="s">
        <v>25292</v>
      </c>
      <c r="AP649" s="82" t="str">
        <f>HYPERLINK("https://t.co/yIndi5Ulum")</f>
        <v>https://t.co/yIndi5Ulum</v>
      </c>
      <c r="AQ649" s="82" t="str">
        <f>HYPERLINK("https://linktr.ee/radiogazetaon")</f>
        <v>https://linktr.ee/radiogazetaon</v>
      </c>
      <c r="AR649" s="76" t="s">
        <v>26720</v>
      </c>
      <c r="AS649" s="76"/>
      <c r="AT649" s="76"/>
      <c r="AU649" s="76"/>
      <c r="AV649" s="76"/>
      <c r="AW649" s="82" t="str">
        <f>HYPERLINK("https://t.co/yIndi5Ulum")</f>
        <v>https://t.co/yIndi5Ulum</v>
      </c>
      <c r="AX649" s="76" t="b">
        <v>0</v>
      </c>
      <c r="AY649" s="76"/>
      <c r="AZ649" s="76"/>
      <c r="BA649" s="76" t="b">
        <v>0</v>
      </c>
      <c r="BB649" s="76" t="b">
        <v>1</v>
      </c>
      <c r="BC649" s="76" t="b">
        <v>0</v>
      </c>
      <c r="BD649" s="76" t="b">
        <v>0</v>
      </c>
      <c r="BE649" s="76" t="b">
        <v>0</v>
      </c>
      <c r="BF649" s="76" t="b">
        <v>0</v>
      </c>
      <c r="BG649" s="76" t="b">
        <v>0</v>
      </c>
      <c r="BH649" s="82" t="str">
        <f>HYPERLINK("https://pbs.twimg.com/profile_banners/109305787/1639585461")</f>
        <v>https://pbs.twimg.com/profile_banners/109305787/1639585461</v>
      </c>
      <c r="BI649" s="76"/>
      <c r="BJ649" s="76" t="s">
        <v>27595</v>
      </c>
      <c r="BK649" s="76" t="b">
        <v>0</v>
      </c>
      <c r="BL649" s="76"/>
      <c r="BM649" s="76" t="s">
        <v>66</v>
      </c>
      <c r="BN649" s="76" t="s">
        <v>27597</v>
      </c>
      <c r="BO649" s="82" t="str">
        <f>HYPERLINK("https://twitter.com/radiogazetaon")</f>
        <v>https://twitter.com/radiogazetaon</v>
      </c>
      <c r="BP649" s="2"/>
    </row>
    <row r="650" spans="1:68" x14ac:dyDescent="0.25">
      <c r="A650" s="62" t="s">
        <v>675</v>
      </c>
      <c r="B650" s="63"/>
      <c r="C650" s="63"/>
      <c r="D650" s="64"/>
      <c r="E650" s="66"/>
      <c r="F650" s="103" t="str">
        <f>HYPERLINK("https://pbs.twimg.com/profile_images/788072990474928129/WiLIGUc__normal.jpg")</f>
        <v>https://pbs.twimg.com/profile_images/788072990474928129/WiLIGUc__normal.jpg</v>
      </c>
      <c r="G650" s="63"/>
      <c r="H650" s="67"/>
      <c r="I650" s="68"/>
      <c r="J650" s="68"/>
      <c r="K650" s="67" t="s">
        <v>28244</v>
      </c>
      <c r="L650" s="71"/>
      <c r="M650" s="72"/>
      <c r="N650" s="72"/>
      <c r="O650" s="73"/>
      <c r="P650" s="74"/>
      <c r="Q650" s="74"/>
      <c r="R650" s="87"/>
      <c r="S650" s="87"/>
      <c r="T650" s="87"/>
      <c r="U650" s="87"/>
      <c r="V650" s="48"/>
      <c r="W650" s="48"/>
      <c r="X650" s="48"/>
      <c r="Y650" s="48"/>
      <c r="Z650" s="47"/>
      <c r="AA650" s="69">
        <v>650</v>
      </c>
      <c r="AB650" s="69"/>
      <c r="AC650" s="70"/>
      <c r="AD650" s="76" t="s">
        <v>21887</v>
      </c>
      <c r="AE650" s="81" t="s">
        <v>23417</v>
      </c>
      <c r="AF650" s="76">
        <v>1510</v>
      </c>
      <c r="AG650" s="76">
        <v>4988</v>
      </c>
      <c r="AH650" s="76">
        <v>15724</v>
      </c>
      <c r="AI650" s="76">
        <v>4</v>
      </c>
      <c r="AJ650" s="76">
        <v>9833</v>
      </c>
      <c r="AK650" s="76">
        <v>254</v>
      </c>
      <c r="AL650" s="76" t="b">
        <v>0</v>
      </c>
      <c r="AM650" s="78">
        <v>41016.608541666668</v>
      </c>
      <c r="AN650" s="76" t="s">
        <v>24321</v>
      </c>
      <c r="AO650" s="76" t="s">
        <v>25293</v>
      </c>
      <c r="AP650" s="76"/>
      <c r="AQ650" s="76"/>
      <c r="AR650" s="76"/>
      <c r="AS650" s="76"/>
      <c r="AT650" s="76"/>
      <c r="AU650" s="76"/>
      <c r="AV650" s="76">
        <v>1.6407509354408499E+18</v>
      </c>
      <c r="AW650" s="76"/>
      <c r="AX650" s="76" t="b">
        <v>0</v>
      </c>
      <c r="AY650" s="76"/>
      <c r="AZ650" s="76"/>
      <c r="BA650" s="76" t="b">
        <v>0</v>
      </c>
      <c r="BB650" s="76" t="b">
        <v>1</v>
      </c>
      <c r="BC650" s="76" t="b">
        <v>0</v>
      </c>
      <c r="BD650" s="76" t="b">
        <v>0</v>
      </c>
      <c r="BE650" s="76" t="b">
        <v>1</v>
      </c>
      <c r="BF650" s="76" t="b">
        <v>0</v>
      </c>
      <c r="BG650" s="76" t="b">
        <v>0</v>
      </c>
      <c r="BH650" s="82" t="str">
        <f>HYPERLINK("https://pbs.twimg.com/profile_banners/556018849/1408387107")</f>
        <v>https://pbs.twimg.com/profile_banners/556018849/1408387107</v>
      </c>
      <c r="BI650" s="76"/>
      <c r="BJ650" s="76" t="s">
        <v>27595</v>
      </c>
      <c r="BK650" s="76" t="b">
        <v>0</v>
      </c>
      <c r="BL650" s="76"/>
      <c r="BM650" s="76" t="s">
        <v>66</v>
      </c>
      <c r="BN650" s="76" t="s">
        <v>27597</v>
      </c>
      <c r="BO650" s="82" t="str">
        <f>HYPERLINK("https://twitter.com/5mentarium")</f>
        <v>https://twitter.com/5mentarium</v>
      </c>
      <c r="BP650" s="2"/>
    </row>
    <row r="651" spans="1:68" x14ac:dyDescent="0.25">
      <c r="A651" s="62" t="s">
        <v>1582</v>
      </c>
      <c r="B651" s="63"/>
      <c r="C651" s="63"/>
      <c r="D651" s="64"/>
      <c r="E651" s="66"/>
      <c r="F651" s="103" t="str">
        <f>HYPERLINK("https://pbs.twimg.com/profile_images/1683198957936160769/oBs2UDUz_normal.jpg")</f>
        <v>https://pbs.twimg.com/profile_images/1683198957936160769/oBs2UDUz_normal.jpg</v>
      </c>
      <c r="G651" s="63"/>
      <c r="H651" s="67"/>
      <c r="I651" s="68"/>
      <c r="J651" s="68"/>
      <c r="K651" s="67" t="s">
        <v>28245</v>
      </c>
      <c r="L651" s="71"/>
      <c r="M651" s="72"/>
      <c r="N651" s="72"/>
      <c r="O651" s="73"/>
      <c r="P651" s="74"/>
      <c r="Q651" s="74"/>
      <c r="R651" s="87"/>
      <c r="S651" s="87"/>
      <c r="T651" s="87"/>
      <c r="U651" s="87"/>
      <c r="V651" s="48"/>
      <c r="W651" s="48"/>
      <c r="X651" s="48"/>
      <c r="Y651" s="48"/>
      <c r="Z651" s="47"/>
      <c r="AA651" s="69">
        <v>651</v>
      </c>
      <c r="AB651" s="69"/>
      <c r="AC651" s="70"/>
      <c r="AD651" s="76" t="s">
        <v>21888</v>
      </c>
      <c r="AE651" s="81" t="s">
        <v>23418</v>
      </c>
      <c r="AF651" s="76">
        <v>24419</v>
      </c>
      <c r="AG651" s="76">
        <v>15874</v>
      </c>
      <c r="AH651" s="76">
        <v>176809</v>
      </c>
      <c r="AI651" s="76">
        <v>47</v>
      </c>
      <c r="AJ651" s="76">
        <v>316506</v>
      </c>
      <c r="AK651" s="76">
        <v>13794</v>
      </c>
      <c r="AL651" s="76" t="b">
        <v>0</v>
      </c>
      <c r="AM651" s="78">
        <v>41600.743680555555</v>
      </c>
      <c r="AN651" s="76"/>
      <c r="AO651" s="76" t="s">
        <v>25294</v>
      </c>
      <c r="AP651" s="76"/>
      <c r="AQ651" s="76"/>
      <c r="AR651" s="76"/>
      <c r="AS651" s="76"/>
      <c r="AT651" s="76"/>
      <c r="AU651" s="76"/>
      <c r="AV651" s="76">
        <v>1.3319476987616901E+18</v>
      </c>
      <c r="AW651" s="76"/>
      <c r="AX651" s="76" t="b">
        <v>0</v>
      </c>
      <c r="AY651" s="76"/>
      <c r="AZ651" s="76"/>
      <c r="BA651" s="76" t="b">
        <v>0</v>
      </c>
      <c r="BB651" s="76" t="b">
        <v>0</v>
      </c>
      <c r="BC651" s="76" t="b">
        <v>1</v>
      </c>
      <c r="BD651" s="76" t="b">
        <v>0</v>
      </c>
      <c r="BE651" s="76" t="b">
        <v>1</v>
      </c>
      <c r="BF651" s="76" t="b">
        <v>0</v>
      </c>
      <c r="BG651" s="76" t="b">
        <v>0</v>
      </c>
      <c r="BH651" s="82" t="str">
        <f>HYPERLINK("https://pbs.twimg.com/profile_banners/2209329607/1687121181")</f>
        <v>https://pbs.twimg.com/profile_banners/2209329607/1687121181</v>
      </c>
      <c r="BI651" s="76"/>
      <c r="BJ651" s="76" t="s">
        <v>27595</v>
      </c>
      <c r="BK651" s="76" t="b">
        <v>0</v>
      </c>
      <c r="BL651" s="76"/>
      <c r="BM651" s="76" t="s">
        <v>66</v>
      </c>
      <c r="BN651" s="76" t="s">
        <v>27597</v>
      </c>
      <c r="BO651" s="82" t="str">
        <f>HYPERLINK("https://twitter.com/aldunatefran")</f>
        <v>https://twitter.com/aldunatefran</v>
      </c>
      <c r="BP651" s="2"/>
    </row>
    <row r="652" spans="1:68" x14ac:dyDescent="0.25">
      <c r="A652" s="62" t="s">
        <v>676</v>
      </c>
      <c r="B652" s="63"/>
      <c r="C652" s="63"/>
      <c r="D652" s="64"/>
      <c r="E652" s="66"/>
      <c r="F652" s="103" t="str">
        <f>HYPERLINK("https://pbs.twimg.com/profile_images/1686903125049749504/4XRBpn1k_normal.jpg")</f>
        <v>https://pbs.twimg.com/profile_images/1686903125049749504/4XRBpn1k_normal.jpg</v>
      </c>
      <c r="G652" s="63"/>
      <c r="H652" s="67"/>
      <c r="I652" s="68"/>
      <c r="J652" s="68"/>
      <c r="K652" s="67" t="s">
        <v>28246</v>
      </c>
      <c r="L652" s="71"/>
      <c r="M652" s="72"/>
      <c r="N652" s="72"/>
      <c r="O652" s="73"/>
      <c r="P652" s="74"/>
      <c r="Q652" s="74"/>
      <c r="R652" s="87"/>
      <c r="S652" s="87"/>
      <c r="T652" s="87"/>
      <c r="U652" s="87"/>
      <c r="V652" s="48"/>
      <c r="W652" s="48"/>
      <c r="X652" s="48"/>
      <c r="Y652" s="48"/>
      <c r="Z652" s="47"/>
      <c r="AA652" s="69">
        <v>652</v>
      </c>
      <c r="AB652" s="69"/>
      <c r="AC652" s="70"/>
      <c r="AD652" s="76" t="s">
        <v>21889</v>
      </c>
      <c r="AE652" s="81" t="s">
        <v>23419</v>
      </c>
      <c r="AF652" s="76">
        <v>1376</v>
      </c>
      <c r="AG652" s="76">
        <v>255</v>
      </c>
      <c r="AH652" s="76">
        <v>12483</v>
      </c>
      <c r="AI652" s="76">
        <v>33</v>
      </c>
      <c r="AJ652" s="76">
        <v>550</v>
      </c>
      <c r="AK652" s="76">
        <v>1484</v>
      </c>
      <c r="AL652" s="76" t="b">
        <v>0</v>
      </c>
      <c r="AM652" s="78">
        <v>40023.446273148147</v>
      </c>
      <c r="AN652" s="76" t="s">
        <v>14382</v>
      </c>
      <c r="AO652" s="76" t="s">
        <v>25295</v>
      </c>
      <c r="AP652" s="82" t="str">
        <f>HYPERLINK("https://t.co/oHnPy6MpV5")</f>
        <v>https://t.co/oHnPy6MpV5</v>
      </c>
      <c r="AQ652" s="82" t="str">
        <f>HYPERLINK("http://www.contee.org.br")</f>
        <v>http://www.contee.org.br</v>
      </c>
      <c r="AR652" s="76" t="s">
        <v>26721</v>
      </c>
      <c r="AS652" s="76"/>
      <c r="AT652" s="76"/>
      <c r="AU652" s="76"/>
      <c r="AV652" s="76"/>
      <c r="AW652" s="82" t="str">
        <f>HYPERLINK("https://t.co/oHnPy6MpV5")</f>
        <v>https://t.co/oHnPy6MpV5</v>
      </c>
      <c r="AX652" s="76" t="b">
        <v>0</v>
      </c>
      <c r="AY652" s="76"/>
      <c r="AZ652" s="76"/>
      <c r="BA652" s="76" t="b">
        <v>0</v>
      </c>
      <c r="BB652" s="76" t="b">
        <v>1</v>
      </c>
      <c r="BC652" s="76" t="b">
        <v>1</v>
      </c>
      <c r="BD652" s="76" t="b">
        <v>0</v>
      </c>
      <c r="BE652" s="76" t="b">
        <v>0</v>
      </c>
      <c r="BF652" s="76" t="b">
        <v>0</v>
      </c>
      <c r="BG652" s="76" t="b">
        <v>0</v>
      </c>
      <c r="BH652" s="82" t="str">
        <f>HYPERLINK("https://pbs.twimg.com/profile_banners/61166178/1683322271")</f>
        <v>https://pbs.twimg.com/profile_banners/61166178/1683322271</v>
      </c>
      <c r="BI652" s="76"/>
      <c r="BJ652" s="76" t="s">
        <v>27595</v>
      </c>
      <c r="BK652" s="76" t="b">
        <v>0</v>
      </c>
      <c r="BL652" s="76"/>
      <c r="BM652" s="76" t="s">
        <v>66</v>
      </c>
      <c r="BN652" s="76" t="s">
        <v>27597</v>
      </c>
      <c r="BO652" s="82" t="str">
        <f>HYPERLINK("https://twitter.com/sigacontee")</f>
        <v>https://twitter.com/sigacontee</v>
      </c>
      <c r="BP652" s="2"/>
    </row>
    <row r="653" spans="1:68" x14ac:dyDescent="0.25">
      <c r="A653" s="62" t="s">
        <v>677</v>
      </c>
      <c r="B653" s="63"/>
      <c r="C653" s="63"/>
      <c r="D653" s="64"/>
      <c r="E653" s="66"/>
      <c r="F653" s="103" t="str">
        <f>HYPERLINK("https://pbs.twimg.com/profile_images/1587264411785388032/XVFeh52V_normal.jpg")</f>
        <v>https://pbs.twimg.com/profile_images/1587264411785388032/XVFeh52V_normal.jpg</v>
      </c>
      <c r="G653" s="63"/>
      <c r="H653" s="67"/>
      <c r="I653" s="68"/>
      <c r="J653" s="68"/>
      <c r="K653" s="67" t="s">
        <v>28247</v>
      </c>
      <c r="L653" s="71"/>
      <c r="M653" s="72"/>
      <c r="N653" s="72"/>
      <c r="O653" s="73"/>
      <c r="P653" s="74"/>
      <c r="Q653" s="74"/>
      <c r="R653" s="87"/>
      <c r="S653" s="87"/>
      <c r="T653" s="87"/>
      <c r="U653" s="87"/>
      <c r="V653" s="48"/>
      <c r="W653" s="48"/>
      <c r="X653" s="48"/>
      <c r="Y653" s="48"/>
      <c r="Z653" s="47"/>
      <c r="AA653" s="69">
        <v>653</v>
      </c>
      <c r="AB653" s="69"/>
      <c r="AC653" s="70"/>
      <c r="AD653" s="76" t="s">
        <v>21890</v>
      </c>
      <c r="AE653" s="81" t="s">
        <v>23420</v>
      </c>
      <c r="AF653" s="76">
        <v>122400</v>
      </c>
      <c r="AG653" s="76">
        <v>465</v>
      </c>
      <c r="AH653" s="76">
        <v>184124</v>
      </c>
      <c r="AI653" s="76">
        <v>827</v>
      </c>
      <c r="AJ653" s="76">
        <v>600</v>
      </c>
      <c r="AK653" s="76">
        <v>82848</v>
      </c>
      <c r="AL653" s="76" t="b">
        <v>0</v>
      </c>
      <c r="AM653" s="78">
        <v>40218.660358796296</v>
      </c>
      <c r="AN653" s="76" t="s">
        <v>24063</v>
      </c>
      <c r="AO653" s="76" t="s">
        <v>25296</v>
      </c>
      <c r="AP653" s="82" t="str">
        <f>HYPERLINK("https://t.co/nnnDRR2urk")</f>
        <v>https://t.co/nnnDRR2urk</v>
      </c>
      <c r="AQ653" s="82" t="str">
        <f>HYPERLINK("https://ntelemicro.com/")</f>
        <v>https://ntelemicro.com/</v>
      </c>
      <c r="AR653" s="76" t="s">
        <v>8724</v>
      </c>
      <c r="AS653" s="76"/>
      <c r="AT653" s="76"/>
      <c r="AU653" s="76"/>
      <c r="AV653" s="76"/>
      <c r="AW653" s="82" t="str">
        <f>HYPERLINK("https://t.co/nnnDRR2urk")</f>
        <v>https://t.co/nnnDRR2urk</v>
      </c>
      <c r="AX653" s="76" t="b">
        <v>1</v>
      </c>
      <c r="AY653" s="76"/>
      <c r="AZ653" s="76"/>
      <c r="BA653" s="76" t="b">
        <v>0</v>
      </c>
      <c r="BB653" s="76" t="b">
        <v>1</v>
      </c>
      <c r="BC653" s="76" t="b">
        <v>0</v>
      </c>
      <c r="BD653" s="76" t="b">
        <v>0</v>
      </c>
      <c r="BE653" s="76" t="b">
        <v>1</v>
      </c>
      <c r="BF653" s="76" t="b">
        <v>0</v>
      </c>
      <c r="BG653" s="76" t="b">
        <v>0</v>
      </c>
      <c r="BH653" s="82" t="str">
        <f>HYPERLINK("https://pbs.twimg.com/profile_banners/112750333/1695157905")</f>
        <v>https://pbs.twimg.com/profile_banners/112750333/1695157905</v>
      </c>
      <c r="BI653" s="76"/>
      <c r="BJ653" s="76" t="s">
        <v>27595</v>
      </c>
      <c r="BK653" s="76" t="b">
        <v>0</v>
      </c>
      <c r="BL653" s="76"/>
      <c r="BM653" s="76" t="s">
        <v>66</v>
      </c>
      <c r="BN653" s="76" t="s">
        <v>27597</v>
      </c>
      <c r="BO653" s="82" t="str">
        <f>HYPERLINK("https://twitter.com/ntelemicro5")</f>
        <v>https://twitter.com/ntelemicro5</v>
      </c>
      <c r="BP653" s="2"/>
    </row>
    <row r="654" spans="1:68" x14ac:dyDescent="0.25">
      <c r="A654" s="62" t="s">
        <v>678</v>
      </c>
      <c r="B654" s="63"/>
      <c r="C654" s="63"/>
      <c r="D654" s="64"/>
      <c r="E654" s="66"/>
      <c r="F654" s="103" t="str">
        <f>HYPERLINK("https://pbs.twimg.com/profile_images/1469056132941557760/yL0l3dEt_normal.jpg")</f>
        <v>https://pbs.twimg.com/profile_images/1469056132941557760/yL0l3dEt_normal.jpg</v>
      </c>
      <c r="G654" s="63"/>
      <c r="H654" s="67"/>
      <c r="I654" s="68"/>
      <c r="J654" s="68"/>
      <c r="K654" s="67" t="s">
        <v>28248</v>
      </c>
      <c r="L654" s="71"/>
      <c r="M654" s="72"/>
      <c r="N654" s="72"/>
      <c r="O654" s="73"/>
      <c r="P654" s="74"/>
      <c r="Q654" s="74"/>
      <c r="R654" s="87"/>
      <c r="S654" s="87"/>
      <c r="T654" s="87"/>
      <c r="U654" s="87"/>
      <c r="V654" s="48"/>
      <c r="W654" s="48"/>
      <c r="X654" s="48"/>
      <c r="Y654" s="48"/>
      <c r="Z654" s="47"/>
      <c r="AA654" s="69">
        <v>654</v>
      </c>
      <c r="AB654" s="69"/>
      <c r="AC654" s="70"/>
      <c r="AD654" s="76" t="s">
        <v>21891</v>
      </c>
      <c r="AE654" s="81" t="s">
        <v>20714</v>
      </c>
      <c r="AF654" s="76">
        <v>815</v>
      </c>
      <c r="AG654" s="76">
        <v>331</v>
      </c>
      <c r="AH654" s="76">
        <v>26667</v>
      </c>
      <c r="AI654" s="76">
        <v>0</v>
      </c>
      <c r="AJ654" s="76">
        <v>18837</v>
      </c>
      <c r="AK654" s="76">
        <v>2715</v>
      </c>
      <c r="AL654" s="76" t="b">
        <v>0</v>
      </c>
      <c r="AM654" s="78">
        <v>44408.527592592596</v>
      </c>
      <c r="AN654" s="76"/>
      <c r="AO654" s="76"/>
      <c r="AP654" s="76"/>
      <c r="AQ654" s="76"/>
      <c r="AR654" s="76"/>
      <c r="AS654" s="76"/>
      <c r="AT654" s="76"/>
      <c r="AU654" s="76"/>
      <c r="AV654" s="76"/>
      <c r="AW654" s="76"/>
      <c r="AX654" s="76" t="b">
        <v>0</v>
      </c>
      <c r="AY654" s="76"/>
      <c r="AZ654" s="76"/>
      <c r="BA654" s="76" t="b">
        <v>0</v>
      </c>
      <c r="BB654" s="76" t="b">
        <v>1</v>
      </c>
      <c r="BC654" s="76" t="b">
        <v>1</v>
      </c>
      <c r="BD654" s="76" t="b">
        <v>0</v>
      </c>
      <c r="BE654" s="76" t="b">
        <v>1</v>
      </c>
      <c r="BF654" s="76" t="b">
        <v>0</v>
      </c>
      <c r="BG654" s="76" t="b">
        <v>0</v>
      </c>
      <c r="BH654" s="82" t="str">
        <f>HYPERLINK("https://pbs.twimg.com/profile_banners/1421450361651466249/1694590553")</f>
        <v>https://pbs.twimg.com/profile_banners/1421450361651466249/1694590553</v>
      </c>
      <c r="BI654" s="76"/>
      <c r="BJ654" s="76" t="s">
        <v>27595</v>
      </c>
      <c r="BK654" s="76" t="b">
        <v>0</v>
      </c>
      <c r="BL654" s="76"/>
      <c r="BM654" s="76" t="s">
        <v>66</v>
      </c>
      <c r="BN654" s="76" t="s">
        <v>27597</v>
      </c>
      <c r="BO654" s="82" t="str">
        <f>HYPERLINK("https://twitter.com/celiolobo60")</f>
        <v>https://twitter.com/celiolobo60</v>
      </c>
      <c r="BP654" s="2"/>
    </row>
    <row r="655" spans="1:68" x14ac:dyDescent="0.25">
      <c r="A655" s="62" t="s">
        <v>679</v>
      </c>
      <c r="B655" s="63"/>
      <c r="C655" s="63"/>
      <c r="D655" s="64"/>
      <c r="E655" s="66"/>
      <c r="F655" s="103" t="str">
        <f>HYPERLINK("https://pbs.twimg.com/profile_images/996190956641816576/pmS7RgQI_normal.jpg")</f>
        <v>https://pbs.twimg.com/profile_images/996190956641816576/pmS7RgQI_normal.jpg</v>
      </c>
      <c r="G655" s="63"/>
      <c r="H655" s="67"/>
      <c r="I655" s="68"/>
      <c r="J655" s="68"/>
      <c r="K655" s="67" t="s">
        <v>28249</v>
      </c>
      <c r="L655" s="71"/>
      <c r="M655" s="72"/>
      <c r="N655" s="72"/>
      <c r="O655" s="73"/>
      <c r="P655" s="74"/>
      <c r="Q655" s="74"/>
      <c r="R655" s="87"/>
      <c r="S655" s="87"/>
      <c r="T655" s="87"/>
      <c r="U655" s="87"/>
      <c r="V655" s="48"/>
      <c r="W655" s="48"/>
      <c r="X655" s="48"/>
      <c r="Y655" s="48"/>
      <c r="Z655" s="47"/>
      <c r="AA655" s="69">
        <v>655</v>
      </c>
      <c r="AB655" s="69"/>
      <c r="AC655" s="70"/>
      <c r="AD655" s="76" t="s">
        <v>21892</v>
      </c>
      <c r="AE655" s="81" t="s">
        <v>23421</v>
      </c>
      <c r="AF655" s="76">
        <v>2785</v>
      </c>
      <c r="AG655" s="76">
        <v>160</v>
      </c>
      <c r="AH655" s="76">
        <v>12430</v>
      </c>
      <c r="AI655" s="76">
        <v>24</v>
      </c>
      <c r="AJ655" s="76">
        <v>54</v>
      </c>
      <c r="AK655" s="76">
        <v>3651</v>
      </c>
      <c r="AL655" s="76" t="b">
        <v>0</v>
      </c>
      <c r="AM655" s="78">
        <v>40956.031423611108</v>
      </c>
      <c r="AN655" s="76" t="s">
        <v>24322</v>
      </c>
      <c r="AO655" s="76" t="s">
        <v>25297</v>
      </c>
      <c r="AP655" s="82" t="str">
        <f>HYPERLINK("https://t.co/hseuxpgZrO")</f>
        <v>https://t.co/hseuxpgZrO</v>
      </c>
      <c r="AQ655" s="82" t="str">
        <f>HYPERLINK("http://informeblumenau.com")</f>
        <v>http://informeblumenau.com</v>
      </c>
      <c r="AR655" s="76" t="s">
        <v>26722</v>
      </c>
      <c r="AS655" s="76"/>
      <c r="AT655" s="76"/>
      <c r="AU655" s="76"/>
      <c r="AV655" s="76"/>
      <c r="AW655" s="82" t="str">
        <f>HYPERLINK("https://t.co/hseuxpgZrO")</f>
        <v>https://t.co/hseuxpgZrO</v>
      </c>
      <c r="AX655" s="76" t="b">
        <v>0</v>
      </c>
      <c r="AY655" s="76"/>
      <c r="AZ655" s="76"/>
      <c r="BA655" s="76" t="b">
        <v>0</v>
      </c>
      <c r="BB655" s="76" t="b">
        <v>1</v>
      </c>
      <c r="BC655" s="76" t="b">
        <v>1</v>
      </c>
      <c r="BD655" s="76" t="b">
        <v>0</v>
      </c>
      <c r="BE655" s="76" t="b">
        <v>1</v>
      </c>
      <c r="BF655" s="76" t="b">
        <v>0</v>
      </c>
      <c r="BG655" s="76" t="b">
        <v>0</v>
      </c>
      <c r="BH655" s="82" t="str">
        <f>HYPERLINK("https://pbs.twimg.com/profile_banners/494539258/1595339513")</f>
        <v>https://pbs.twimg.com/profile_banners/494539258/1595339513</v>
      </c>
      <c r="BI655" s="76"/>
      <c r="BJ655" s="76" t="s">
        <v>27595</v>
      </c>
      <c r="BK655" s="76" t="b">
        <v>0</v>
      </c>
      <c r="BL655" s="76"/>
      <c r="BM655" s="76" t="s">
        <v>66</v>
      </c>
      <c r="BN655" s="76" t="s">
        <v>27597</v>
      </c>
      <c r="BO655" s="82" t="str">
        <f>HYPERLINK("https://twitter.com/informeblu")</f>
        <v>https://twitter.com/informeblu</v>
      </c>
      <c r="BP655" s="2"/>
    </row>
    <row r="656" spans="1:68" x14ac:dyDescent="0.25">
      <c r="A656" s="62" t="s">
        <v>680</v>
      </c>
      <c r="B656" s="63"/>
      <c r="C656" s="63"/>
      <c r="D656" s="64"/>
      <c r="E656" s="66"/>
      <c r="F656" s="103" t="str">
        <f>HYPERLINK("https://pbs.twimg.com/profile_images/1602496076338135041/bTKs4eWZ_normal.jpg")</f>
        <v>https://pbs.twimg.com/profile_images/1602496076338135041/bTKs4eWZ_normal.jpg</v>
      </c>
      <c r="G656" s="63"/>
      <c r="H656" s="67"/>
      <c r="I656" s="68"/>
      <c r="J656" s="68"/>
      <c r="K656" s="67" t="s">
        <v>28250</v>
      </c>
      <c r="L656" s="71"/>
      <c r="M656" s="72"/>
      <c r="N656" s="72"/>
      <c r="O656" s="73"/>
      <c r="P656" s="74"/>
      <c r="Q656" s="74"/>
      <c r="R656" s="87"/>
      <c r="S656" s="87"/>
      <c r="T656" s="87"/>
      <c r="U656" s="87"/>
      <c r="V656" s="48"/>
      <c r="W656" s="48"/>
      <c r="X656" s="48"/>
      <c r="Y656" s="48"/>
      <c r="Z656" s="47"/>
      <c r="AA656" s="69">
        <v>656</v>
      </c>
      <c r="AB656" s="69"/>
      <c r="AC656" s="70"/>
      <c r="AD656" s="76" t="s">
        <v>21893</v>
      </c>
      <c r="AE656" s="81" t="s">
        <v>20715</v>
      </c>
      <c r="AF656" s="76">
        <v>3</v>
      </c>
      <c r="AG656" s="76">
        <v>25</v>
      </c>
      <c r="AH656" s="76">
        <v>54</v>
      </c>
      <c r="AI656" s="76">
        <v>0</v>
      </c>
      <c r="AJ656" s="76">
        <v>52</v>
      </c>
      <c r="AK656" s="76">
        <v>8</v>
      </c>
      <c r="AL656" s="76" t="b">
        <v>0</v>
      </c>
      <c r="AM656" s="78">
        <v>44908.11818287037</v>
      </c>
      <c r="AN656" s="76"/>
      <c r="AO656" s="76" t="s">
        <v>25298</v>
      </c>
      <c r="AP656" s="76"/>
      <c r="AQ656" s="76"/>
      <c r="AR656" s="76"/>
      <c r="AS656" s="76"/>
      <c r="AT656" s="76"/>
      <c r="AU656" s="76"/>
      <c r="AV656" s="76"/>
      <c r="AW656" s="76"/>
      <c r="AX656" s="76" t="b">
        <v>0</v>
      </c>
      <c r="AY656" s="76"/>
      <c r="AZ656" s="76"/>
      <c r="BA656" s="76" t="b">
        <v>0</v>
      </c>
      <c r="BB656" s="76" t="b">
        <v>1</v>
      </c>
      <c r="BC656" s="76" t="b">
        <v>1</v>
      </c>
      <c r="BD656" s="76" t="b">
        <v>0</v>
      </c>
      <c r="BE656" s="76" t="b">
        <v>0</v>
      </c>
      <c r="BF656" s="76" t="b">
        <v>0</v>
      </c>
      <c r="BG656" s="76" t="b">
        <v>0</v>
      </c>
      <c r="BH656" s="82" t="str">
        <f>HYPERLINK("https://pbs.twimg.com/profile_banners/1602495993437720576/1670933220")</f>
        <v>https://pbs.twimg.com/profile_banners/1602495993437720576/1670933220</v>
      </c>
      <c r="BI656" s="76"/>
      <c r="BJ656" s="76" t="s">
        <v>27595</v>
      </c>
      <c r="BK656" s="76" t="b">
        <v>0</v>
      </c>
      <c r="BL656" s="76"/>
      <c r="BM656" s="76" t="s">
        <v>66</v>
      </c>
      <c r="BN656" s="76" t="s">
        <v>27597</v>
      </c>
      <c r="BO656" s="82" t="str">
        <f>HYPERLINK("https://twitter.com/ticiaaman")</f>
        <v>https://twitter.com/ticiaaman</v>
      </c>
      <c r="BP656" s="2"/>
    </row>
    <row r="657" spans="1:68" x14ac:dyDescent="0.25">
      <c r="A657" s="62" t="s">
        <v>681</v>
      </c>
      <c r="B657" s="63"/>
      <c r="C657" s="63"/>
      <c r="D657" s="64"/>
      <c r="E657" s="66"/>
      <c r="F657" s="103" t="str">
        <f>HYPERLINK("https://pbs.twimg.com/profile_images/1610497490268176385/4joblRZv_normal.jpg")</f>
        <v>https://pbs.twimg.com/profile_images/1610497490268176385/4joblRZv_normal.jpg</v>
      </c>
      <c r="G657" s="63"/>
      <c r="H657" s="67"/>
      <c r="I657" s="68"/>
      <c r="J657" s="68"/>
      <c r="K657" s="67" t="s">
        <v>28251</v>
      </c>
      <c r="L657" s="71"/>
      <c r="M657" s="72"/>
      <c r="N657" s="72"/>
      <c r="O657" s="73"/>
      <c r="P657" s="74"/>
      <c r="Q657" s="74"/>
      <c r="R657" s="87"/>
      <c r="S657" s="87"/>
      <c r="T657" s="87"/>
      <c r="U657" s="87"/>
      <c r="V657" s="48"/>
      <c r="W657" s="48"/>
      <c r="X657" s="48"/>
      <c r="Y657" s="48"/>
      <c r="Z657" s="47"/>
      <c r="AA657" s="69">
        <v>657</v>
      </c>
      <c r="AB657" s="69"/>
      <c r="AC657" s="70"/>
      <c r="AD657" s="76" t="s">
        <v>21894</v>
      </c>
      <c r="AE657" s="81" t="s">
        <v>23422</v>
      </c>
      <c r="AF657" s="76">
        <v>2878</v>
      </c>
      <c r="AG657" s="76">
        <v>4788</v>
      </c>
      <c r="AH657" s="76">
        <v>7742</v>
      </c>
      <c r="AI657" s="76">
        <v>1</v>
      </c>
      <c r="AJ657" s="76">
        <v>747</v>
      </c>
      <c r="AK657" s="76">
        <v>2966</v>
      </c>
      <c r="AL657" s="76" t="b">
        <v>0</v>
      </c>
      <c r="AM657" s="78">
        <v>41840.745254629626</v>
      </c>
      <c r="AN657" s="76"/>
      <c r="AO657" s="76" t="s">
        <v>25299</v>
      </c>
      <c r="AP657" s="76"/>
      <c r="AQ657" s="76"/>
      <c r="AR657" s="76"/>
      <c r="AS657" s="76"/>
      <c r="AT657" s="76"/>
      <c r="AU657" s="76"/>
      <c r="AV657" s="76">
        <v>1.6932534901962299E+18</v>
      </c>
      <c r="AW657" s="76"/>
      <c r="AX657" s="76" t="b">
        <v>0</v>
      </c>
      <c r="AY657" s="76"/>
      <c r="AZ657" s="76"/>
      <c r="BA657" s="76" t="b">
        <v>0</v>
      </c>
      <c r="BB657" s="76" t="b">
        <v>1</v>
      </c>
      <c r="BC657" s="76" t="b">
        <v>1</v>
      </c>
      <c r="BD657" s="76" t="b">
        <v>0</v>
      </c>
      <c r="BE657" s="76" t="b">
        <v>0</v>
      </c>
      <c r="BF657" s="76" t="b">
        <v>0</v>
      </c>
      <c r="BG657" s="76" t="b">
        <v>0</v>
      </c>
      <c r="BH657" s="82" t="str">
        <f>HYPERLINK("https://pbs.twimg.com/profile_banners/2718924351/1406632542")</f>
        <v>https://pbs.twimg.com/profile_banners/2718924351/1406632542</v>
      </c>
      <c r="BI657" s="76"/>
      <c r="BJ657" s="76" t="s">
        <v>27595</v>
      </c>
      <c r="BK657" s="76" t="b">
        <v>0</v>
      </c>
      <c r="BL657" s="76"/>
      <c r="BM657" s="76" t="s">
        <v>66</v>
      </c>
      <c r="BN657" s="76" t="s">
        <v>27597</v>
      </c>
      <c r="BO657" s="82" t="str">
        <f>HYPERLINK("https://twitter.com/brutusdyoll")</f>
        <v>https://twitter.com/brutusdyoll</v>
      </c>
      <c r="BP657" s="2"/>
    </row>
    <row r="658" spans="1:68" x14ac:dyDescent="0.25">
      <c r="A658" s="62" t="s">
        <v>682</v>
      </c>
      <c r="B658" s="63"/>
      <c r="C658" s="63"/>
      <c r="D658" s="64"/>
      <c r="E658" s="66"/>
      <c r="F658" s="103" t="str">
        <f>HYPERLINK("https://pbs.twimg.com/profile_images/1682901605421654016/6g9x-8uF_normal.jpg")</f>
        <v>https://pbs.twimg.com/profile_images/1682901605421654016/6g9x-8uF_normal.jpg</v>
      </c>
      <c r="G658" s="63"/>
      <c r="H658" s="67"/>
      <c r="I658" s="68"/>
      <c r="J658" s="68"/>
      <c r="K658" s="67" t="s">
        <v>28252</v>
      </c>
      <c r="L658" s="71"/>
      <c r="M658" s="72"/>
      <c r="N658" s="72"/>
      <c r="O658" s="73"/>
      <c r="P658" s="74"/>
      <c r="Q658" s="74"/>
      <c r="R658" s="87"/>
      <c r="S658" s="87"/>
      <c r="T658" s="87"/>
      <c r="U658" s="87"/>
      <c r="V658" s="48"/>
      <c r="W658" s="48"/>
      <c r="X658" s="48"/>
      <c r="Y658" s="48"/>
      <c r="Z658" s="47"/>
      <c r="AA658" s="69">
        <v>658</v>
      </c>
      <c r="AB658" s="69"/>
      <c r="AC658" s="70"/>
      <c r="AD658" s="76" t="s">
        <v>21895</v>
      </c>
      <c r="AE658" s="81" t="s">
        <v>20716</v>
      </c>
      <c r="AF658" s="76">
        <v>10</v>
      </c>
      <c r="AG658" s="76">
        <v>99</v>
      </c>
      <c r="AH658" s="76">
        <v>109</v>
      </c>
      <c r="AI658" s="76">
        <v>0</v>
      </c>
      <c r="AJ658" s="76">
        <v>12</v>
      </c>
      <c r="AK658" s="76">
        <v>27</v>
      </c>
      <c r="AL658" s="76" t="b">
        <v>0</v>
      </c>
      <c r="AM658" s="78">
        <v>45129.99019675926</v>
      </c>
      <c r="AN658" s="76"/>
      <c r="AO658" s="76" t="s">
        <v>25300</v>
      </c>
      <c r="AP658" s="82" t="str">
        <f>HYPERLINK("https://t.co/BXN7ZbzvPm")</f>
        <v>https://t.co/BXN7ZbzvPm</v>
      </c>
      <c r="AQ658" s="82" t="str">
        <f>HYPERLINK("https://www.cryptotips.lat/")</f>
        <v>https://www.cryptotips.lat/</v>
      </c>
      <c r="AR658" s="76" t="s">
        <v>8725</v>
      </c>
      <c r="AS658" s="76"/>
      <c r="AT658" s="76"/>
      <c r="AU658" s="76"/>
      <c r="AV658" s="76"/>
      <c r="AW658" s="82" t="str">
        <f>HYPERLINK("https://t.co/BXN7ZbzvPm")</f>
        <v>https://t.co/BXN7ZbzvPm</v>
      </c>
      <c r="AX658" s="76" t="b">
        <v>0</v>
      </c>
      <c r="AY658" s="76"/>
      <c r="AZ658" s="76"/>
      <c r="BA658" s="76" t="b">
        <v>0</v>
      </c>
      <c r="BB658" s="76" t="b">
        <v>1</v>
      </c>
      <c r="BC658" s="76" t="b">
        <v>1</v>
      </c>
      <c r="BD658" s="76" t="b">
        <v>0</v>
      </c>
      <c r="BE658" s="76" t="b">
        <v>0</v>
      </c>
      <c r="BF658" s="76" t="b">
        <v>0</v>
      </c>
      <c r="BG658" s="76" t="b">
        <v>0</v>
      </c>
      <c r="BH658" s="82" t="str">
        <f>HYPERLINK("https://pbs.twimg.com/profile_banners/1682899738478223361/1690069998")</f>
        <v>https://pbs.twimg.com/profile_banners/1682899738478223361/1690069998</v>
      </c>
      <c r="BI658" s="76"/>
      <c r="BJ658" s="76" t="s">
        <v>27595</v>
      </c>
      <c r="BK658" s="76" t="b">
        <v>0</v>
      </c>
      <c r="BL658" s="76"/>
      <c r="BM658" s="76" t="s">
        <v>66</v>
      </c>
      <c r="BN658" s="76" t="s">
        <v>27597</v>
      </c>
      <c r="BO658" s="82" t="str">
        <f>HYPERLINK("https://twitter.com/cryptotips23")</f>
        <v>https://twitter.com/cryptotips23</v>
      </c>
      <c r="BP658" s="2"/>
    </row>
    <row r="659" spans="1:68" x14ac:dyDescent="0.25">
      <c r="A659" s="62" t="s">
        <v>683</v>
      </c>
      <c r="B659" s="63"/>
      <c r="C659" s="63"/>
      <c r="D659" s="64"/>
      <c r="E659" s="66"/>
      <c r="F659" s="103" t="str">
        <f>HYPERLINK("https://pbs.twimg.com/profile_images/1388871453630771202/ETd8tkO-_normal.jpg")</f>
        <v>https://pbs.twimg.com/profile_images/1388871453630771202/ETd8tkO-_normal.jpg</v>
      </c>
      <c r="G659" s="63"/>
      <c r="H659" s="67"/>
      <c r="I659" s="68"/>
      <c r="J659" s="68"/>
      <c r="K659" s="67" t="s">
        <v>28253</v>
      </c>
      <c r="L659" s="71"/>
      <c r="M659" s="72"/>
      <c r="N659" s="72"/>
      <c r="O659" s="73"/>
      <c r="P659" s="74"/>
      <c r="Q659" s="74"/>
      <c r="R659" s="87"/>
      <c r="S659" s="87"/>
      <c r="T659" s="87"/>
      <c r="U659" s="87"/>
      <c r="V659" s="48"/>
      <c r="W659" s="48"/>
      <c r="X659" s="48"/>
      <c r="Y659" s="48"/>
      <c r="Z659" s="47"/>
      <c r="AA659" s="69">
        <v>659</v>
      </c>
      <c r="AB659" s="69"/>
      <c r="AC659" s="70"/>
      <c r="AD659" s="76" t="s">
        <v>21896</v>
      </c>
      <c r="AE659" s="81" t="s">
        <v>20264</v>
      </c>
      <c r="AF659" s="76">
        <v>1136</v>
      </c>
      <c r="AG659" s="76">
        <v>1956</v>
      </c>
      <c r="AH659" s="76">
        <v>636</v>
      </c>
      <c r="AI659" s="76">
        <v>4</v>
      </c>
      <c r="AJ659" s="76">
        <v>212</v>
      </c>
      <c r="AK659" s="76">
        <v>145</v>
      </c>
      <c r="AL659" s="76" t="b">
        <v>0</v>
      </c>
      <c r="AM659" s="78">
        <v>44299.691782407404</v>
      </c>
      <c r="AN659" s="76" t="s">
        <v>14382</v>
      </c>
      <c r="AO659" s="76" t="s">
        <v>25301</v>
      </c>
      <c r="AP659" s="76"/>
      <c r="AQ659" s="76"/>
      <c r="AR659" s="76"/>
      <c r="AS659" s="76"/>
      <c r="AT659" s="76"/>
      <c r="AU659" s="76"/>
      <c r="AV659" s="76"/>
      <c r="AW659" s="76"/>
      <c r="AX659" s="76" t="b">
        <v>0</v>
      </c>
      <c r="AY659" s="76"/>
      <c r="AZ659" s="76"/>
      <c r="BA659" s="76" t="b">
        <v>0</v>
      </c>
      <c r="BB659" s="76" t="b">
        <v>1</v>
      </c>
      <c r="BC659" s="76" t="b">
        <v>1</v>
      </c>
      <c r="BD659" s="76" t="b">
        <v>0</v>
      </c>
      <c r="BE659" s="76" t="b">
        <v>0</v>
      </c>
      <c r="BF659" s="76" t="b">
        <v>0</v>
      </c>
      <c r="BG659" s="76" t="b">
        <v>0</v>
      </c>
      <c r="BH659" s="82" t="str">
        <f>HYPERLINK("https://pbs.twimg.com/profile_banners/1382009560651677699/1634569253")</f>
        <v>https://pbs.twimg.com/profile_banners/1382009560651677699/1634569253</v>
      </c>
      <c r="BI659" s="76"/>
      <c r="BJ659" s="76" t="s">
        <v>27595</v>
      </c>
      <c r="BK659" s="76" t="b">
        <v>0</v>
      </c>
      <c r="BL659" s="76"/>
      <c r="BM659" s="76" t="s">
        <v>66</v>
      </c>
      <c r="BN659" s="76" t="s">
        <v>27597</v>
      </c>
      <c r="BO659" s="82" t="str">
        <f>HYPERLINK("https://twitter.com/economicageff")</f>
        <v>https://twitter.com/economicageff</v>
      </c>
      <c r="BP659" s="2"/>
    </row>
    <row r="660" spans="1:68" x14ac:dyDescent="0.25">
      <c r="A660" s="62" t="s">
        <v>1849</v>
      </c>
      <c r="B660" s="63"/>
      <c r="C660" s="63"/>
      <c r="D660" s="64"/>
      <c r="E660" s="66"/>
      <c r="F660" s="103" t="str">
        <f>HYPERLINK("https://pbs.twimg.com/profile_images/1577433615012696064/XkW0urEF_normal.jpg")</f>
        <v>https://pbs.twimg.com/profile_images/1577433615012696064/XkW0urEF_normal.jpg</v>
      </c>
      <c r="G660" s="63"/>
      <c r="H660" s="67"/>
      <c r="I660" s="68"/>
      <c r="J660" s="68"/>
      <c r="K660" s="67" t="s">
        <v>28254</v>
      </c>
      <c r="L660" s="71"/>
      <c r="M660" s="72"/>
      <c r="N660" s="72"/>
      <c r="O660" s="73"/>
      <c r="P660" s="74"/>
      <c r="Q660" s="74"/>
      <c r="R660" s="87"/>
      <c r="S660" s="87"/>
      <c r="T660" s="87"/>
      <c r="U660" s="87"/>
      <c r="V660" s="48"/>
      <c r="W660" s="48"/>
      <c r="X660" s="48"/>
      <c r="Y660" s="48"/>
      <c r="Z660" s="47"/>
      <c r="AA660" s="69">
        <v>660</v>
      </c>
      <c r="AB660" s="69"/>
      <c r="AC660" s="70"/>
      <c r="AD660" s="76" t="s">
        <v>21897</v>
      </c>
      <c r="AE660" s="81" t="s">
        <v>23423</v>
      </c>
      <c r="AF660" s="76">
        <v>2815</v>
      </c>
      <c r="AG660" s="76">
        <v>677</v>
      </c>
      <c r="AH660" s="76">
        <v>6215</v>
      </c>
      <c r="AI660" s="76">
        <v>11</v>
      </c>
      <c r="AJ660" s="76">
        <v>12692</v>
      </c>
      <c r="AK660" s="76">
        <v>1415</v>
      </c>
      <c r="AL660" s="76" t="b">
        <v>0</v>
      </c>
      <c r="AM660" s="78">
        <v>43621.537488425929</v>
      </c>
      <c r="AN660" s="76"/>
      <c r="AO660" s="76" t="s">
        <v>25302</v>
      </c>
      <c r="AP660" s="82" t="str">
        <f>HYPERLINK("https://t.co/vvTlLSBDM6")</f>
        <v>https://t.co/vvTlLSBDM6</v>
      </c>
      <c r="AQ660" s="82" t="str">
        <f>HYPERLINK("https://linktr.ee/contrapoderbr")</f>
        <v>https://linktr.ee/contrapoderbr</v>
      </c>
      <c r="AR660" s="76" t="s">
        <v>26723</v>
      </c>
      <c r="AS660" s="76"/>
      <c r="AT660" s="76"/>
      <c r="AU660" s="76"/>
      <c r="AV660" s="76">
        <v>1.69699799779869E+18</v>
      </c>
      <c r="AW660" s="82" t="str">
        <f>HYPERLINK("https://t.co/vvTlLSBDM6")</f>
        <v>https://t.co/vvTlLSBDM6</v>
      </c>
      <c r="AX660" s="76" t="b">
        <v>0</v>
      </c>
      <c r="AY660" s="76"/>
      <c r="AZ660" s="76"/>
      <c r="BA660" s="76" t="b">
        <v>0</v>
      </c>
      <c r="BB660" s="76" t="b">
        <v>1</v>
      </c>
      <c r="BC660" s="76" t="b">
        <v>0</v>
      </c>
      <c r="BD660" s="76" t="b">
        <v>0</v>
      </c>
      <c r="BE660" s="76" t="b">
        <v>0</v>
      </c>
      <c r="BF660" s="76" t="b">
        <v>0</v>
      </c>
      <c r="BG660" s="76" t="b">
        <v>0</v>
      </c>
      <c r="BH660" s="82" t="str">
        <f>HYPERLINK("https://pbs.twimg.com/profile_banners/1136254840617787392/1651004950")</f>
        <v>https://pbs.twimg.com/profile_banners/1136254840617787392/1651004950</v>
      </c>
      <c r="BI660" s="76"/>
      <c r="BJ660" s="76" t="s">
        <v>27595</v>
      </c>
      <c r="BK660" s="76" t="b">
        <v>0</v>
      </c>
      <c r="BL660" s="76"/>
      <c r="BM660" s="76" t="s">
        <v>65</v>
      </c>
      <c r="BN660" s="76" t="s">
        <v>27597</v>
      </c>
      <c r="BO660" s="82" t="str">
        <f>HYPERLINK("https://twitter.com/contrapoderbr")</f>
        <v>https://twitter.com/contrapoderbr</v>
      </c>
      <c r="BP660" s="2"/>
    </row>
    <row r="661" spans="1:68" x14ac:dyDescent="0.25">
      <c r="A661" s="62" t="s">
        <v>684</v>
      </c>
      <c r="B661" s="63"/>
      <c r="C661" s="63"/>
      <c r="D661" s="64"/>
      <c r="E661" s="66"/>
      <c r="F661" s="103" t="str">
        <f>HYPERLINK("https://pbs.twimg.com/profile_images/1623045382350446614/nm9_uSn2_normal.jpg")</f>
        <v>https://pbs.twimg.com/profile_images/1623045382350446614/nm9_uSn2_normal.jpg</v>
      </c>
      <c r="G661" s="63"/>
      <c r="H661" s="67"/>
      <c r="I661" s="68"/>
      <c r="J661" s="68"/>
      <c r="K661" s="67" t="s">
        <v>28255</v>
      </c>
      <c r="L661" s="71"/>
      <c r="M661" s="72"/>
      <c r="N661" s="72"/>
      <c r="O661" s="73"/>
      <c r="P661" s="74"/>
      <c r="Q661" s="74"/>
      <c r="R661" s="87"/>
      <c r="S661" s="87"/>
      <c r="T661" s="87"/>
      <c r="U661" s="87"/>
      <c r="V661" s="48"/>
      <c r="W661" s="48"/>
      <c r="X661" s="48"/>
      <c r="Y661" s="48"/>
      <c r="Z661" s="47"/>
      <c r="AA661" s="69">
        <v>661</v>
      </c>
      <c r="AB661" s="69"/>
      <c r="AC661" s="70"/>
      <c r="AD661" s="76" t="s">
        <v>21898</v>
      </c>
      <c r="AE661" s="81" t="s">
        <v>23424</v>
      </c>
      <c r="AF661" s="76">
        <v>29844</v>
      </c>
      <c r="AG661" s="76">
        <v>945</v>
      </c>
      <c r="AH661" s="76">
        <v>13298</v>
      </c>
      <c r="AI661" s="76">
        <v>265</v>
      </c>
      <c r="AJ661" s="76">
        <v>7361</v>
      </c>
      <c r="AK661" s="76">
        <v>3788</v>
      </c>
      <c r="AL661" s="76" t="b">
        <v>0</v>
      </c>
      <c r="AM661" s="78">
        <v>39993.533217592594</v>
      </c>
      <c r="AN661" s="76" t="s">
        <v>24323</v>
      </c>
      <c r="AO661" s="76" t="s">
        <v>25303</v>
      </c>
      <c r="AP661" s="82" t="str">
        <f>HYPERLINK("https://t.co/Jl4TqOlw4N")</f>
        <v>https://t.co/Jl4TqOlw4N</v>
      </c>
      <c r="AQ661" s="82" t="str">
        <f>HYPERLINK("http://www.jilmartatto.com.br")</f>
        <v>http://www.jilmartatto.com.br</v>
      </c>
      <c r="AR661" s="76" t="s">
        <v>26724</v>
      </c>
      <c r="AS661" s="76"/>
      <c r="AT661" s="76"/>
      <c r="AU661" s="76"/>
      <c r="AV661" s="76"/>
      <c r="AW661" s="82" t="str">
        <f>HYPERLINK("https://t.co/Jl4TqOlw4N")</f>
        <v>https://t.co/Jl4TqOlw4N</v>
      </c>
      <c r="AX661" s="76" t="b">
        <v>0</v>
      </c>
      <c r="AY661" s="76"/>
      <c r="AZ661" s="76"/>
      <c r="BA661" s="76" t="b">
        <v>0</v>
      </c>
      <c r="BB661" s="76" t="b">
        <v>1</v>
      </c>
      <c r="BC661" s="76" t="b">
        <v>0</v>
      </c>
      <c r="BD661" s="76" t="b">
        <v>0</v>
      </c>
      <c r="BE661" s="76" t="b">
        <v>1</v>
      </c>
      <c r="BF661" s="76" t="b">
        <v>0</v>
      </c>
      <c r="BG661" s="76" t="b">
        <v>0</v>
      </c>
      <c r="BH661" s="82" t="str">
        <f>HYPERLINK("https://pbs.twimg.com/profile_banners/52045368/1676485855")</f>
        <v>https://pbs.twimg.com/profile_banners/52045368/1676485855</v>
      </c>
      <c r="BI661" s="76"/>
      <c r="BJ661" s="76" t="s">
        <v>27595</v>
      </c>
      <c r="BK661" s="76" t="b">
        <v>0</v>
      </c>
      <c r="BL661" s="76"/>
      <c r="BM661" s="76" t="s">
        <v>66</v>
      </c>
      <c r="BN661" s="76" t="s">
        <v>27597</v>
      </c>
      <c r="BO661" s="82" t="str">
        <f>HYPERLINK("https://twitter.com/jilmartatto")</f>
        <v>https://twitter.com/jilmartatto</v>
      </c>
      <c r="BP661" s="2"/>
    </row>
    <row r="662" spans="1:68" x14ac:dyDescent="0.25">
      <c r="A662" s="62" t="s">
        <v>685</v>
      </c>
      <c r="B662" s="63"/>
      <c r="C662" s="63"/>
      <c r="D662" s="64"/>
      <c r="E662" s="66"/>
      <c r="F662" s="103" t="str">
        <f>HYPERLINK("https://pbs.twimg.com/profile_images/1576768953493356546/VQ0gtL4x_normal.jpg")</f>
        <v>https://pbs.twimg.com/profile_images/1576768953493356546/VQ0gtL4x_normal.jpg</v>
      </c>
      <c r="G662" s="63"/>
      <c r="H662" s="67"/>
      <c r="I662" s="68"/>
      <c r="J662" s="68"/>
      <c r="K662" s="67" t="s">
        <v>28256</v>
      </c>
      <c r="L662" s="71"/>
      <c r="M662" s="72"/>
      <c r="N662" s="72"/>
      <c r="O662" s="73"/>
      <c r="P662" s="74"/>
      <c r="Q662" s="74"/>
      <c r="R662" s="87"/>
      <c r="S662" s="87"/>
      <c r="T662" s="87"/>
      <c r="U662" s="87"/>
      <c r="V662" s="48"/>
      <c r="W662" s="48"/>
      <c r="X662" s="48"/>
      <c r="Y662" s="48"/>
      <c r="Z662" s="47"/>
      <c r="AA662" s="69">
        <v>662</v>
      </c>
      <c r="AB662" s="69"/>
      <c r="AC662" s="70"/>
      <c r="AD662" s="76" t="s">
        <v>21899</v>
      </c>
      <c r="AE662" s="81" t="s">
        <v>23425</v>
      </c>
      <c r="AF662" s="76">
        <v>958</v>
      </c>
      <c r="AG662" s="76">
        <v>4986</v>
      </c>
      <c r="AH662" s="76">
        <v>166308</v>
      </c>
      <c r="AI662" s="76">
        <v>68</v>
      </c>
      <c r="AJ662" s="76">
        <v>4184</v>
      </c>
      <c r="AK662" s="76">
        <v>4057</v>
      </c>
      <c r="AL662" s="76" t="b">
        <v>0</v>
      </c>
      <c r="AM662" s="78">
        <v>39741.791539351849</v>
      </c>
      <c r="AN662" s="76" t="s">
        <v>24324</v>
      </c>
      <c r="AO662" s="76" t="s">
        <v>25304</v>
      </c>
      <c r="AP662" s="82" t="str">
        <f>HYPERLINK("https://t.co/FhAu1mBTge")</f>
        <v>https://t.co/FhAu1mBTge</v>
      </c>
      <c r="AQ662" s="82" t="str">
        <f>HYPERLINK("https://open.spotify.com/show/6QlzfWnrztDmrBgXW3LhmE?si=VaphW2n8QbeQL8wrR0p_ew")</f>
        <v>https://open.spotify.com/show/6QlzfWnrztDmrBgXW3LhmE?si=VaphW2n8QbeQL8wrR0p_ew</v>
      </c>
      <c r="AR662" s="76" t="s">
        <v>26725</v>
      </c>
      <c r="AS662" s="76"/>
      <c r="AT662" s="76"/>
      <c r="AU662" s="76"/>
      <c r="AV662" s="76">
        <v>1.6980287422269299E+18</v>
      </c>
      <c r="AW662" s="82" t="str">
        <f>HYPERLINK("https://t.co/FhAu1mBTge")</f>
        <v>https://t.co/FhAu1mBTge</v>
      </c>
      <c r="AX662" s="76" t="b">
        <v>0</v>
      </c>
      <c r="AY662" s="76"/>
      <c r="AZ662" s="76"/>
      <c r="BA662" s="76" t="b">
        <v>0</v>
      </c>
      <c r="BB662" s="76" t="b">
        <v>1</v>
      </c>
      <c r="BC662" s="76" t="b">
        <v>0</v>
      </c>
      <c r="BD662" s="76" t="b">
        <v>0</v>
      </c>
      <c r="BE662" s="76" t="b">
        <v>1</v>
      </c>
      <c r="BF662" s="76" t="b">
        <v>0</v>
      </c>
      <c r="BG662" s="76" t="b">
        <v>0</v>
      </c>
      <c r="BH662" s="82" t="str">
        <f>HYPERLINK("https://pbs.twimg.com/profile_banners/16872315/1475458545")</f>
        <v>https://pbs.twimg.com/profile_banners/16872315/1475458545</v>
      </c>
      <c r="BI662" s="76"/>
      <c r="BJ662" s="76" t="s">
        <v>27595</v>
      </c>
      <c r="BK662" s="76" t="b">
        <v>0</v>
      </c>
      <c r="BL662" s="76"/>
      <c r="BM662" s="76" t="s">
        <v>66</v>
      </c>
      <c r="BN662" s="76" t="s">
        <v>27597</v>
      </c>
      <c r="BO662" s="82" t="str">
        <f>HYPERLINK("https://twitter.com/florsete")</f>
        <v>https://twitter.com/florsete</v>
      </c>
      <c r="BP662" s="2"/>
    </row>
    <row r="663" spans="1:68" x14ac:dyDescent="0.25">
      <c r="A663" s="62" t="s">
        <v>1424</v>
      </c>
      <c r="B663" s="63"/>
      <c r="C663" s="63"/>
      <c r="D663" s="64"/>
      <c r="E663" s="66"/>
      <c r="F663" s="103" t="str">
        <f>HYPERLINK("https://pbs.twimg.com/profile_images/1624077655703166984/6lsgjIO4_normal.jpg")</f>
        <v>https://pbs.twimg.com/profile_images/1624077655703166984/6lsgjIO4_normal.jpg</v>
      </c>
      <c r="G663" s="63"/>
      <c r="H663" s="67"/>
      <c r="I663" s="68"/>
      <c r="J663" s="68"/>
      <c r="K663" s="67" t="s">
        <v>28257</v>
      </c>
      <c r="L663" s="71"/>
      <c r="M663" s="72"/>
      <c r="N663" s="72"/>
      <c r="O663" s="73"/>
      <c r="P663" s="74"/>
      <c r="Q663" s="74"/>
      <c r="R663" s="87"/>
      <c r="S663" s="87"/>
      <c r="T663" s="87"/>
      <c r="U663" s="87"/>
      <c r="V663" s="48"/>
      <c r="W663" s="48"/>
      <c r="X663" s="48"/>
      <c r="Y663" s="48"/>
      <c r="Z663" s="47"/>
      <c r="AA663" s="69">
        <v>663</v>
      </c>
      <c r="AB663" s="69"/>
      <c r="AC663" s="70"/>
      <c r="AD663" s="76" t="s">
        <v>21900</v>
      </c>
      <c r="AE663" s="81" t="s">
        <v>23426</v>
      </c>
      <c r="AF663" s="76">
        <v>51771</v>
      </c>
      <c r="AG663" s="76">
        <v>356</v>
      </c>
      <c r="AH663" s="76">
        <v>3292</v>
      </c>
      <c r="AI663" s="76">
        <v>87</v>
      </c>
      <c r="AJ663" s="76">
        <v>11680</v>
      </c>
      <c r="AK663" s="76">
        <v>747</v>
      </c>
      <c r="AL663" s="76" t="b">
        <v>0</v>
      </c>
      <c r="AM663" s="78">
        <v>42082.44635416667</v>
      </c>
      <c r="AN663" s="76"/>
      <c r="AO663" s="76" t="s">
        <v>25305</v>
      </c>
      <c r="AP663" s="82" t="str">
        <f>HYPERLINK("https://t.co/0QqBuOILAj")</f>
        <v>https://t.co/0QqBuOILAj</v>
      </c>
      <c r="AQ663" s="82" t="str">
        <f>HYPERLINK("https://linktr.ee/rosangelamoro")</f>
        <v>https://linktr.ee/rosangelamoro</v>
      </c>
      <c r="AR663" s="76" t="s">
        <v>26726</v>
      </c>
      <c r="AS663" s="76"/>
      <c r="AT663" s="76"/>
      <c r="AU663" s="76"/>
      <c r="AV663" s="76"/>
      <c r="AW663" s="82" t="str">
        <f>HYPERLINK("https://t.co/0QqBuOILAj")</f>
        <v>https://t.co/0QqBuOILAj</v>
      </c>
      <c r="AX663" s="76" t="b">
        <v>1</v>
      </c>
      <c r="AY663" s="76"/>
      <c r="AZ663" s="76"/>
      <c r="BA663" s="76" t="b">
        <v>1</v>
      </c>
      <c r="BB663" s="76" t="b">
        <v>1</v>
      </c>
      <c r="BC663" s="76" t="b">
        <v>1</v>
      </c>
      <c r="BD663" s="76" t="b">
        <v>0</v>
      </c>
      <c r="BE663" s="76" t="b">
        <v>1</v>
      </c>
      <c r="BF663" s="76" t="b">
        <v>0</v>
      </c>
      <c r="BG663" s="76" t="b">
        <v>0</v>
      </c>
      <c r="BH663" s="82" t="str">
        <f>HYPERLINK("https://pbs.twimg.com/profile_banners/3096479489/1678829457")</f>
        <v>https://pbs.twimg.com/profile_banners/3096479489/1678829457</v>
      </c>
      <c r="BI663" s="76"/>
      <c r="BJ663" s="76" t="s">
        <v>27595</v>
      </c>
      <c r="BK663" s="76" t="b">
        <v>0</v>
      </c>
      <c r="BL663" s="76"/>
      <c r="BM663" s="76" t="s">
        <v>66</v>
      </c>
      <c r="BN663" s="76" t="s">
        <v>27597</v>
      </c>
      <c r="BO663" s="82" t="str">
        <f>HYPERLINK("https://twitter.com/rosangelamorosp")</f>
        <v>https://twitter.com/rosangelamorosp</v>
      </c>
      <c r="BP663" s="2"/>
    </row>
    <row r="664" spans="1:68" x14ac:dyDescent="0.25">
      <c r="A664" s="62" t="s">
        <v>686</v>
      </c>
      <c r="B664" s="63"/>
      <c r="C664" s="63"/>
      <c r="D664" s="64"/>
      <c r="E664" s="66"/>
      <c r="F664" s="103" t="str">
        <f>HYPERLINK("https://pbs.twimg.com/profile_images/1686086918222589952/6Iva1pFO_normal.jpg")</f>
        <v>https://pbs.twimg.com/profile_images/1686086918222589952/6Iva1pFO_normal.jpg</v>
      </c>
      <c r="G664" s="63"/>
      <c r="H664" s="67"/>
      <c r="I664" s="68"/>
      <c r="J664" s="68"/>
      <c r="K664" s="67" t="s">
        <v>28258</v>
      </c>
      <c r="L664" s="71"/>
      <c r="M664" s="72"/>
      <c r="N664" s="72"/>
      <c r="O664" s="73"/>
      <c r="P664" s="74"/>
      <c r="Q664" s="74"/>
      <c r="R664" s="87"/>
      <c r="S664" s="87"/>
      <c r="T664" s="87"/>
      <c r="U664" s="87"/>
      <c r="V664" s="48"/>
      <c r="W664" s="48"/>
      <c r="X664" s="48"/>
      <c r="Y664" s="48"/>
      <c r="Z664" s="47"/>
      <c r="AA664" s="69">
        <v>664</v>
      </c>
      <c r="AB664" s="69"/>
      <c r="AC664" s="70"/>
      <c r="AD664" s="76" t="s">
        <v>21901</v>
      </c>
      <c r="AE664" s="81" t="s">
        <v>20265</v>
      </c>
      <c r="AF664" s="76">
        <v>11</v>
      </c>
      <c r="AG664" s="76">
        <v>15</v>
      </c>
      <c r="AH664" s="76">
        <v>338</v>
      </c>
      <c r="AI664" s="76">
        <v>1</v>
      </c>
      <c r="AJ664" s="76">
        <v>78</v>
      </c>
      <c r="AK664" s="76">
        <v>180</v>
      </c>
      <c r="AL664" s="76" t="b">
        <v>0</v>
      </c>
      <c r="AM664" s="78">
        <v>45138.783946759257</v>
      </c>
      <c r="AN664" s="76" t="s">
        <v>24325</v>
      </c>
      <c r="AO664" s="76" t="s">
        <v>25306</v>
      </c>
      <c r="AP664" s="82" t="str">
        <f>HYPERLINK("https://t.co/l1mZLmngwX")</f>
        <v>https://t.co/l1mZLmngwX</v>
      </c>
      <c r="AQ664" s="82" t="str">
        <f>HYPERLINK("https://linktr.ee/carlosteles_")</f>
        <v>https://linktr.ee/carlosteles_</v>
      </c>
      <c r="AR664" s="76" t="s">
        <v>26727</v>
      </c>
      <c r="AS664" s="76"/>
      <c r="AT664" s="76"/>
      <c r="AU664" s="76"/>
      <c r="AV664" s="76"/>
      <c r="AW664" s="82" t="str">
        <f>HYPERLINK("https://t.co/l1mZLmngwX")</f>
        <v>https://t.co/l1mZLmngwX</v>
      </c>
      <c r="AX664" s="76" t="b">
        <v>0</v>
      </c>
      <c r="AY664" s="76"/>
      <c r="AZ664" s="76"/>
      <c r="BA664" s="76" t="b">
        <v>0</v>
      </c>
      <c r="BB664" s="76" t="b">
        <v>1</v>
      </c>
      <c r="BC664" s="76" t="b">
        <v>1</v>
      </c>
      <c r="BD664" s="76" t="b">
        <v>0</v>
      </c>
      <c r="BE664" s="76" t="b">
        <v>0</v>
      </c>
      <c r="BF664" s="76" t="b">
        <v>0</v>
      </c>
      <c r="BG664" s="76" t="b">
        <v>0</v>
      </c>
      <c r="BH664" s="82" t="str">
        <f>HYPERLINK("https://pbs.twimg.com/profile_banners/1686086283305660417/1690833564")</f>
        <v>https://pbs.twimg.com/profile_banners/1686086283305660417/1690833564</v>
      </c>
      <c r="BI664" s="76"/>
      <c r="BJ664" s="76" t="s">
        <v>27595</v>
      </c>
      <c r="BK664" s="76" t="b">
        <v>0</v>
      </c>
      <c r="BL664" s="76"/>
      <c r="BM664" s="76" t="s">
        <v>66</v>
      </c>
      <c r="BN664" s="76" t="s">
        <v>27597</v>
      </c>
      <c r="BO664" s="82" t="str">
        <f>HYPERLINK("https://twitter.com/carlosteles__")</f>
        <v>https://twitter.com/carlosteles__</v>
      </c>
      <c r="BP664" s="2"/>
    </row>
    <row r="665" spans="1:68" x14ac:dyDescent="0.25">
      <c r="A665" s="62" t="s">
        <v>687</v>
      </c>
      <c r="B665" s="63"/>
      <c r="C665" s="63"/>
      <c r="D665" s="64"/>
      <c r="E665" s="66"/>
      <c r="F665" s="103" t="str">
        <f>HYPERLINK("https://pbs.twimg.com/profile_images/1395341441606557696/CYJwqum6_normal.png")</f>
        <v>https://pbs.twimg.com/profile_images/1395341441606557696/CYJwqum6_normal.png</v>
      </c>
      <c r="G665" s="63"/>
      <c r="H665" s="67"/>
      <c r="I665" s="68"/>
      <c r="J665" s="68"/>
      <c r="K665" s="67" t="s">
        <v>28259</v>
      </c>
      <c r="L665" s="71"/>
      <c r="M665" s="72"/>
      <c r="N665" s="72"/>
      <c r="O665" s="73"/>
      <c r="P665" s="74"/>
      <c r="Q665" s="74"/>
      <c r="R665" s="87"/>
      <c r="S665" s="87"/>
      <c r="T665" s="87"/>
      <c r="U665" s="87"/>
      <c r="V665" s="48"/>
      <c r="W665" s="48"/>
      <c r="X665" s="48"/>
      <c r="Y665" s="48"/>
      <c r="Z665" s="47"/>
      <c r="AA665" s="69">
        <v>665</v>
      </c>
      <c r="AB665" s="69"/>
      <c r="AC665" s="70"/>
      <c r="AD665" s="76" t="s">
        <v>21902</v>
      </c>
      <c r="AE665" s="81" t="s">
        <v>23427</v>
      </c>
      <c r="AF665" s="76">
        <v>4665</v>
      </c>
      <c r="AG665" s="76">
        <v>1567</v>
      </c>
      <c r="AH665" s="76">
        <v>121981</v>
      </c>
      <c r="AI665" s="76">
        <v>251</v>
      </c>
      <c r="AJ665" s="76">
        <v>186</v>
      </c>
      <c r="AK665" s="76">
        <v>62751</v>
      </c>
      <c r="AL665" s="76" t="b">
        <v>0</v>
      </c>
      <c r="AM665" s="78">
        <v>40624.517071759263</v>
      </c>
      <c r="AN665" s="76" t="s">
        <v>24059</v>
      </c>
      <c r="AO665" s="76" t="s">
        <v>25307</v>
      </c>
      <c r="AP665" s="82" t="str">
        <f>HYPERLINK("https://t.co/OgA62hAmhW")</f>
        <v>https://t.co/OgA62hAmhW</v>
      </c>
      <c r="AQ665" s="82" t="str">
        <f>HYPERLINK("http://www.consensodelmercado.com")</f>
        <v>http://www.consensodelmercado.com</v>
      </c>
      <c r="AR665" s="76" t="s">
        <v>26728</v>
      </c>
      <c r="AS665" s="76"/>
      <c r="AT665" s="76"/>
      <c r="AU665" s="76"/>
      <c r="AV665" s="76"/>
      <c r="AW665" s="82" t="str">
        <f>HYPERLINK("https://t.co/OgA62hAmhW")</f>
        <v>https://t.co/OgA62hAmhW</v>
      </c>
      <c r="AX665" s="76" t="b">
        <v>0</v>
      </c>
      <c r="AY665" s="76"/>
      <c r="AZ665" s="76"/>
      <c r="BA665" s="76" t="b">
        <v>0</v>
      </c>
      <c r="BB665" s="76" t="b">
        <v>1</v>
      </c>
      <c r="BC665" s="76" t="b">
        <v>0</v>
      </c>
      <c r="BD665" s="76" t="b">
        <v>0</v>
      </c>
      <c r="BE665" s="76" t="b">
        <v>0</v>
      </c>
      <c r="BF665" s="76" t="b">
        <v>0</v>
      </c>
      <c r="BG665" s="76" t="b">
        <v>0</v>
      </c>
      <c r="BH665" s="82" t="str">
        <f>HYPERLINK("https://pbs.twimg.com/profile_banners/270329897/1466767950")</f>
        <v>https://pbs.twimg.com/profile_banners/270329897/1466767950</v>
      </c>
      <c r="BI665" s="76"/>
      <c r="BJ665" s="76" t="s">
        <v>27595</v>
      </c>
      <c r="BK665" s="76" t="b">
        <v>0</v>
      </c>
      <c r="BL665" s="76"/>
      <c r="BM665" s="76" t="s">
        <v>66</v>
      </c>
      <c r="BN665" s="76" t="s">
        <v>27597</v>
      </c>
      <c r="BO665" s="82" t="str">
        <f>HYPERLINK("https://twitter.com/consensomercado")</f>
        <v>https://twitter.com/consensomercado</v>
      </c>
      <c r="BP665" s="2"/>
    </row>
    <row r="666" spans="1:68" x14ac:dyDescent="0.25">
      <c r="A666" s="62" t="s">
        <v>1850</v>
      </c>
      <c r="B666" s="63"/>
      <c r="C666" s="63"/>
      <c r="D666" s="64"/>
      <c r="E666" s="66"/>
      <c r="F666" s="103" t="str">
        <f>HYPERLINK("https://pbs.twimg.com/profile_images/1483384795665252352/gCOdsIs9_normal.jpg")</f>
        <v>https://pbs.twimg.com/profile_images/1483384795665252352/gCOdsIs9_normal.jpg</v>
      </c>
      <c r="G666" s="63"/>
      <c r="H666" s="67"/>
      <c r="I666" s="68"/>
      <c r="J666" s="68"/>
      <c r="K666" s="67" t="s">
        <v>28260</v>
      </c>
      <c r="L666" s="71"/>
      <c r="M666" s="72"/>
      <c r="N666" s="72"/>
      <c r="O666" s="73"/>
      <c r="P666" s="74"/>
      <c r="Q666" s="74"/>
      <c r="R666" s="87"/>
      <c r="S666" s="87"/>
      <c r="T666" s="87"/>
      <c r="U666" s="87"/>
      <c r="V666" s="48"/>
      <c r="W666" s="48"/>
      <c r="X666" s="48"/>
      <c r="Y666" s="48"/>
      <c r="Z666" s="47"/>
      <c r="AA666" s="69">
        <v>666</v>
      </c>
      <c r="AB666" s="69"/>
      <c r="AC666" s="70"/>
      <c r="AD666" s="76" t="s">
        <v>21903</v>
      </c>
      <c r="AE666" s="81" t="s">
        <v>23428</v>
      </c>
      <c r="AF666" s="76">
        <v>13155</v>
      </c>
      <c r="AG666" s="76">
        <v>227</v>
      </c>
      <c r="AH666" s="76">
        <v>26067</v>
      </c>
      <c r="AI666" s="76">
        <v>334</v>
      </c>
      <c r="AJ666" s="76">
        <v>9707</v>
      </c>
      <c r="AK666" s="76">
        <v>4514</v>
      </c>
      <c r="AL666" s="76" t="b">
        <v>0</v>
      </c>
      <c r="AM666" s="78">
        <v>40219.417141203703</v>
      </c>
      <c r="AN666" s="76" t="s">
        <v>24243</v>
      </c>
      <c r="AO666" s="76" t="s">
        <v>25308</v>
      </c>
      <c r="AP666" s="82" t="str">
        <f>HYPERLINK("https://t.co/HQxX1DrGNm")</f>
        <v>https://t.co/HQxX1DrGNm</v>
      </c>
      <c r="AQ666" s="82" t="str">
        <f>HYPERLINK("http://www.r4.com")</f>
        <v>http://www.r4.com</v>
      </c>
      <c r="AR666" s="76" t="s">
        <v>26729</v>
      </c>
      <c r="AS666" s="76"/>
      <c r="AT666" s="76"/>
      <c r="AU666" s="76"/>
      <c r="AV666" s="76">
        <v>1.7069722826088901E+18</v>
      </c>
      <c r="AW666" s="82" t="str">
        <f>HYPERLINK("https://t.co/HQxX1DrGNm")</f>
        <v>https://t.co/HQxX1DrGNm</v>
      </c>
      <c r="AX666" s="76" t="b">
        <v>1</v>
      </c>
      <c r="AY666" s="76"/>
      <c r="AZ666" s="76"/>
      <c r="BA666" s="76" t="b">
        <v>1</v>
      </c>
      <c r="BB666" s="76" t="b">
        <v>1</v>
      </c>
      <c r="BC666" s="76" t="b">
        <v>0</v>
      </c>
      <c r="BD666" s="76" t="b">
        <v>0</v>
      </c>
      <c r="BE666" s="76" t="b">
        <v>1</v>
      </c>
      <c r="BF666" s="76" t="b">
        <v>0</v>
      </c>
      <c r="BG666" s="76" t="b">
        <v>0</v>
      </c>
      <c r="BH666" s="82" t="str">
        <f>HYPERLINK("https://pbs.twimg.com/profile_banners/112987505/1694440472")</f>
        <v>https://pbs.twimg.com/profile_banners/112987505/1694440472</v>
      </c>
      <c r="BI666" s="76"/>
      <c r="BJ666" s="76" t="s">
        <v>27595</v>
      </c>
      <c r="BK666" s="76" t="b">
        <v>0</v>
      </c>
      <c r="BL666" s="76"/>
      <c r="BM666" s="76" t="s">
        <v>65</v>
      </c>
      <c r="BN666" s="76" t="s">
        <v>27597</v>
      </c>
      <c r="BO666" s="82" t="str">
        <f>HYPERLINK("https://twitter.com/renta4")</f>
        <v>https://twitter.com/renta4</v>
      </c>
      <c r="BP666" s="2"/>
    </row>
    <row r="667" spans="1:68" x14ac:dyDescent="0.25">
      <c r="A667" s="62" t="s">
        <v>1851</v>
      </c>
      <c r="B667" s="63"/>
      <c r="C667" s="63"/>
      <c r="D667" s="64"/>
      <c r="E667" s="66"/>
      <c r="F667" s="103" t="str">
        <f>HYPERLINK("https://pbs.twimg.com/profile_images/1631347869687898142/ATwo7QZZ_normal.jpg")</f>
        <v>https://pbs.twimg.com/profile_images/1631347869687898142/ATwo7QZZ_normal.jpg</v>
      </c>
      <c r="G667" s="63"/>
      <c r="H667" s="67"/>
      <c r="I667" s="68"/>
      <c r="J667" s="68"/>
      <c r="K667" s="67" t="s">
        <v>28261</v>
      </c>
      <c r="L667" s="71"/>
      <c r="M667" s="72"/>
      <c r="N667" s="72"/>
      <c r="O667" s="73"/>
      <c r="P667" s="74"/>
      <c r="Q667" s="74"/>
      <c r="R667" s="87"/>
      <c r="S667" s="87"/>
      <c r="T667" s="87"/>
      <c r="U667" s="87"/>
      <c r="V667" s="48"/>
      <c r="W667" s="48"/>
      <c r="X667" s="48"/>
      <c r="Y667" s="48"/>
      <c r="Z667" s="47"/>
      <c r="AA667" s="69">
        <v>667</v>
      </c>
      <c r="AB667" s="69"/>
      <c r="AC667" s="70"/>
      <c r="AD667" s="76" t="s">
        <v>21904</v>
      </c>
      <c r="AE667" s="81" t="s">
        <v>23429</v>
      </c>
      <c r="AF667" s="76">
        <v>691473</v>
      </c>
      <c r="AG667" s="76">
        <v>220</v>
      </c>
      <c r="AH667" s="76">
        <v>11550</v>
      </c>
      <c r="AI667" s="76">
        <v>4745</v>
      </c>
      <c r="AJ667" s="76">
        <v>9</v>
      </c>
      <c r="AK667" s="76">
        <v>5905</v>
      </c>
      <c r="AL667" s="76" t="b">
        <v>0</v>
      </c>
      <c r="AM667" s="78">
        <v>40878.933935185189</v>
      </c>
      <c r="AN667" s="76"/>
      <c r="AO667" s="76" t="s">
        <v>25309</v>
      </c>
      <c r="AP667" s="82" t="str">
        <f>HYPERLINK("https://t.co/vKrcEeG6Ux")</f>
        <v>https://t.co/vKrcEeG6Ux</v>
      </c>
      <c r="AQ667" s="82" t="str">
        <f>HYPERLINK("http://www.morganstanley.com")</f>
        <v>http://www.morganstanley.com</v>
      </c>
      <c r="AR667" s="76" t="s">
        <v>26730</v>
      </c>
      <c r="AS667" s="76"/>
      <c r="AT667" s="76"/>
      <c r="AU667" s="76"/>
      <c r="AV667" s="76"/>
      <c r="AW667" s="82" t="str">
        <f>HYPERLINK("https://t.co/vKrcEeG6Ux")</f>
        <v>https://t.co/vKrcEeG6Ux</v>
      </c>
      <c r="AX667" s="76" t="b">
        <v>0</v>
      </c>
      <c r="AY667" s="76"/>
      <c r="AZ667" s="76"/>
      <c r="BA667" s="76" t="b">
        <v>0</v>
      </c>
      <c r="BB667" s="76" t="b">
        <v>1</v>
      </c>
      <c r="BC667" s="76" t="b">
        <v>0</v>
      </c>
      <c r="BD667" s="76" t="b">
        <v>0</v>
      </c>
      <c r="BE667" s="76" t="b">
        <v>1</v>
      </c>
      <c r="BF667" s="76" t="b">
        <v>0</v>
      </c>
      <c r="BG667" s="76" t="b">
        <v>0</v>
      </c>
      <c r="BH667" s="82" t="str">
        <f>HYPERLINK("https://pbs.twimg.com/profile_banners/426159377/1674566672")</f>
        <v>https://pbs.twimg.com/profile_banners/426159377/1674566672</v>
      </c>
      <c r="BI667" s="76"/>
      <c r="BJ667" s="76" t="s">
        <v>27595</v>
      </c>
      <c r="BK667" s="76" t="b">
        <v>0</v>
      </c>
      <c r="BL667" s="76"/>
      <c r="BM667" s="76" t="s">
        <v>65</v>
      </c>
      <c r="BN667" s="76" t="s">
        <v>27597</v>
      </c>
      <c r="BO667" s="82" t="str">
        <f>HYPERLINK("https://twitter.com/morganstanley")</f>
        <v>https://twitter.com/morganstanley</v>
      </c>
      <c r="BP667" s="2"/>
    </row>
    <row r="668" spans="1:68" x14ac:dyDescent="0.25">
      <c r="A668" s="62" t="s">
        <v>1852</v>
      </c>
      <c r="B668" s="63"/>
      <c r="C668" s="63"/>
      <c r="D668" s="64"/>
      <c r="E668" s="66"/>
      <c r="F668" s="103" t="str">
        <f>HYPERLINK("https://pbs.twimg.com/profile_images/1668165926703837184/VmLKanS7_normal.png")</f>
        <v>https://pbs.twimg.com/profile_images/1668165926703837184/VmLKanS7_normal.png</v>
      </c>
      <c r="G668" s="63"/>
      <c r="H668" s="67"/>
      <c r="I668" s="68"/>
      <c r="J668" s="68"/>
      <c r="K668" s="67" t="s">
        <v>28262</v>
      </c>
      <c r="L668" s="71"/>
      <c r="M668" s="72"/>
      <c r="N668" s="72"/>
      <c r="O668" s="73"/>
      <c r="P668" s="74"/>
      <c r="Q668" s="74"/>
      <c r="R668" s="87"/>
      <c r="S668" s="87"/>
      <c r="T668" s="87"/>
      <c r="U668" s="87"/>
      <c r="V668" s="48"/>
      <c r="W668" s="48"/>
      <c r="X668" s="48"/>
      <c r="Y668" s="48"/>
      <c r="Z668" s="47"/>
      <c r="AA668" s="69">
        <v>668</v>
      </c>
      <c r="AB668" s="69"/>
      <c r="AC668" s="70"/>
      <c r="AD668" s="76" t="s">
        <v>21905</v>
      </c>
      <c r="AE668" s="81" t="s">
        <v>23430</v>
      </c>
      <c r="AF668" s="76">
        <v>574447</v>
      </c>
      <c r="AG668" s="76">
        <v>3</v>
      </c>
      <c r="AH668" s="76">
        <v>5617</v>
      </c>
      <c r="AI668" s="76">
        <v>1672</v>
      </c>
      <c r="AJ668" s="76">
        <v>0</v>
      </c>
      <c r="AK668" s="76">
        <v>3210</v>
      </c>
      <c r="AL668" s="76" t="b">
        <v>0</v>
      </c>
      <c r="AM668" s="78">
        <v>40847.936759259261</v>
      </c>
      <c r="AN668" s="76" t="s">
        <v>24326</v>
      </c>
      <c r="AO668" s="76" t="s">
        <v>25310</v>
      </c>
      <c r="AP668" s="82" t="str">
        <f>HYPERLINK("https://t.co/a56ckGPFta")</f>
        <v>https://t.co/a56ckGPFta</v>
      </c>
      <c r="AQ668" s="82" t="str">
        <f>HYPERLINK("http://www.tcmb.gov.tr")</f>
        <v>http://www.tcmb.gov.tr</v>
      </c>
      <c r="AR668" s="76" t="s">
        <v>26731</v>
      </c>
      <c r="AS668" s="76"/>
      <c r="AT668" s="76"/>
      <c r="AU668" s="76"/>
      <c r="AV668" s="76">
        <v>1.70482256369038E+18</v>
      </c>
      <c r="AW668" s="82" t="str">
        <f>HYPERLINK("https://t.co/a56ckGPFta")</f>
        <v>https://t.co/a56ckGPFta</v>
      </c>
      <c r="AX668" s="76" t="b">
        <v>0</v>
      </c>
      <c r="AY668" s="76"/>
      <c r="AZ668" s="76"/>
      <c r="BA668" s="76" t="b">
        <v>0</v>
      </c>
      <c r="BB668" s="76" t="b">
        <v>1</v>
      </c>
      <c r="BC668" s="76" t="b">
        <v>0</v>
      </c>
      <c r="BD668" s="76" t="b">
        <v>0</v>
      </c>
      <c r="BE668" s="76" t="b">
        <v>0</v>
      </c>
      <c r="BF668" s="76" t="b">
        <v>0</v>
      </c>
      <c r="BG668" s="76" t="b">
        <v>0</v>
      </c>
      <c r="BH668" s="82" t="str">
        <f>HYPERLINK("https://pbs.twimg.com/profile_banners/402337238/1608290328")</f>
        <v>https://pbs.twimg.com/profile_banners/402337238/1608290328</v>
      </c>
      <c r="BI668" s="76"/>
      <c r="BJ668" s="76" t="s">
        <v>27595</v>
      </c>
      <c r="BK668" s="76" t="b">
        <v>0</v>
      </c>
      <c r="BL668" s="76"/>
      <c r="BM668" s="76" t="s">
        <v>65</v>
      </c>
      <c r="BN668" s="76" t="s">
        <v>27597</v>
      </c>
      <c r="BO668" s="82" t="str">
        <f>HYPERLINK("https://twitter.com/merkez_bankasi")</f>
        <v>https://twitter.com/merkez_bankasi</v>
      </c>
      <c r="BP668" s="2"/>
    </row>
    <row r="669" spans="1:68" x14ac:dyDescent="0.25">
      <c r="A669" s="62" t="s">
        <v>1853</v>
      </c>
      <c r="B669" s="63"/>
      <c r="C669" s="63"/>
      <c r="D669" s="64"/>
      <c r="E669" s="66"/>
      <c r="F669" s="103" t="str">
        <f>HYPERLINK("https://pbs.twimg.com/profile_images/1573118374779179013/T7JWXueK_normal.png")</f>
        <v>https://pbs.twimg.com/profile_images/1573118374779179013/T7JWXueK_normal.png</v>
      </c>
      <c r="G669" s="63"/>
      <c r="H669" s="67"/>
      <c r="I669" s="68"/>
      <c r="J669" s="68"/>
      <c r="K669" s="67" t="s">
        <v>28263</v>
      </c>
      <c r="L669" s="71"/>
      <c r="M669" s="72"/>
      <c r="N669" s="72"/>
      <c r="O669" s="73"/>
      <c r="P669" s="74"/>
      <c r="Q669" s="74"/>
      <c r="R669" s="87"/>
      <c r="S669" s="87"/>
      <c r="T669" s="87"/>
      <c r="U669" s="87"/>
      <c r="V669" s="48"/>
      <c r="W669" s="48"/>
      <c r="X669" s="48"/>
      <c r="Y669" s="48"/>
      <c r="Z669" s="47"/>
      <c r="AA669" s="69">
        <v>669</v>
      </c>
      <c r="AB669" s="69"/>
      <c r="AC669" s="70"/>
      <c r="AD669" s="76" t="s">
        <v>21906</v>
      </c>
      <c r="AE669" s="81" t="s">
        <v>23431</v>
      </c>
      <c r="AF669" s="76">
        <v>70262</v>
      </c>
      <c r="AG669" s="76">
        <v>1</v>
      </c>
      <c r="AH669" s="76">
        <v>2850</v>
      </c>
      <c r="AI669" s="76">
        <v>1371</v>
      </c>
      <c r="AJ669" s="76">
        <v>23</v>
      </c>
      <c r="AK669" s="76">
        <v>700</v>
      </c>
      <c r="AL669" s="76" t="b">
        <v>0</v>
      </c>
      <c r="AM669" s="78">
        <v>40466.085798611108</v>
      </c>
      <c r="AN669" s="76" t="s">
        <v>24327</v>
      </c>
      <c r="AO669" s="76" t="s">
        <v>25311</v>
      </c>
      <c r="AP669" s="82" t="str">
        <f>HYPERLINK("https://t.co/q81ZqV9zqV")</f>
        <v>https://t.co/q81ZqV9zqV</v>
      </c>
      <c r="AQ669" s="82" t="str">
        <f>HYPERLINK("http://www.rba.gov.au")</f>
        <v>http://www.rba.gov.au</v>
      </c>
      <c r="AR669" s="76" t="s">
        <v>26732</v>
      </c>
      <c r="AS669" s="82" t="str">
        <f>HYPERLINK("https://t.co/ExsVRGm333")</f>
        <v>https://t.co/ExsVRGm333</v>
      </c>
      <c r="AT669" s="82" t="str">
        <f>HYPERLINK("http://bit.ly/3RgTFyH")</f>
        <v>http://bit.ly/3RgTFyH</v>
      </c>
      <c r="AU669" s="76" t="s">
        <v>27487</v>
      </c>
      <c r="AV669" s="76"/>
      <c r="AW669" s="82" t="str">
        <f>HYPERLINK("https://t.co/q81ZqV9zqV")</f>
        <v>https://t.co/q81ZqV9zqV</v>
      </c>
      <c r="AX669" s="76" t="b">
        <v>0</v>
      </c>
      <c r="AY669" s="76"/>
      <c r="AZ669" s="76"/>
      <c r="BA669" s="76" t="b">
        <v>1</v>
      </c>
      <c r="BB669" s="76" t="b">
        <v>1</v>
      </c>
      <c r="BC669" s="76" t="b">
        <v>0</v>
      </c>
      <c r="BD669" s="76" t="b">
        <v>0</v>
      </c>
      <c r="BE669" s="76" t="b">
        <v>0</v>
      </c>
      <c r="BF669" s="76" t="b">
        <v>0</v>
      </c>
      <c r="BG669" s="76" t="b">
        <v>0</v>
      </c>
      <c r="BH669" s="82" t="str">
        <f>HYPERLINK("https://pbs.twimg.com/profile_banners/202896989/1505880244")</f>
        <v>https://pbs.twimg.com/profile_banners/202896989/1505880244</v>
      </c>
      <c r="BI669" s="76"/>
      <c r="BJ669" s="76" t="s">
        <v>27595</v>
      </c>
      <c r="BK669" s="76" t="b">
        <v>0</v>
      </c>
      <c r="BL669" s="76"/>
      <c r="BM669" s="76" t="s">
        <v>65</v>
      </c>
      <c r="BN669" s="76" t="s">
        <v>27597</v>
      </c>
      <c r="BO669" s="82" t="str">
        <f>HYPERLINK("https://twitter.com/rbainfo")</f>
        <v>https://twitter.com/rbainfo</v>
      </c>
      <c r="BP669" s="2"/>
    </row>
    <row r="670" spans="1:68" x14ac:dyDescent="0.25">
      <c r="A670" s="62" t="s">
        <v>688</v>
      </c>
      <c r="B670" s="63"/>
      <c r="C670" s="63"/>
      <c r="D670" s="64"/>
      <c r="E670" s="66"/>
      <c r="F670" s="103" t="str">
        <f>HYPERLINK("https://pbs.twimg.com/profile_images/1450167674265288708/amzpuK_K_normal.jpg")</f>
        <v>https://pbs.twimg.com/profile_images/1450167674265288708/amzpuK_K_normal.jpg</v>
      </c>
      <c r="G670" s="63"/>
      <c r="H670" s="67"/>
      <c r="I670" s="68"/>
      <c r="J670" s="68"/>
      <c r="K670" s="67" t="s">
        <v>28264</v>
      </c>
      <c r="L670" s="71"/>
      <c r="M670" s="72"/>
      <c r="N670" s="72"/>
      <c r="O670" s="73"/>
      <c r="P670" s="74"/>
      <c r="Q670" s="74"/>
      <c r="R670" s="87"/>
      <c r="S670" s="87"/>
      <c r="T670" s="87"/>
      <c r="U670" s="87"/>
      <c r="V670" s="48"/>
      <c r="W670" s="48"/>
      <c r="X670" s="48"/>
      <c r="Y670" s="48"/>
      <c r="Z670" s="47"/>
      <c r="AA670" s="69">
        <v>670</v>
      </c>
      <c r="AB670" s="69"/>
      <c r="AC670" s="70"/>
      <c r="AD670" s="76" t="s">
        <v>21907</v>
      </c>
      <c r="AE670" s="81" t="s">
        <v>20717</v>
      </c>
      <c r="AF670" s="76">
        <v>2501</v>
      </c>
      <c r="AG670" s="76">
        <v>550</v>
      </c>
      <c r="AH670" s="76">
        <v>3850</v>
      </c>
      <c r="AI670" s="76">
        <v>0</v>
      </c>
      <c r="AJ670" s="76">
        <v>1184</v>
      </c>
      <c r="AK670" s="76">
        <v>1548</v>
      </c>
      <c r="AL670" s="76" t="b">
        <v>0</v>
      </c>
      <c r="AM670" s="78">
        <v>44302.786041666666</v>
      </c>
      <c r="AN670" s="76" t="s">
        <v>24328</v>
      </c>
      <c r="AO670" s="76" t="s">
        <v>25312</v>
      </c>
      <c r="AP670" s="82" t="str">
        <f>HYPERLINK("https://t.co/NEobNBXtwG")</f>
        <v>https://t.co/NEobNBXtwG</v>
      </c>
      <c r="AQ670" s="82" t="str">
        <f>HYPERLINK("https://discord.gg/qMQjEkCq")</f>
        <v>https://discord.gg/qMQjEkCq</v>
      </c>
      <c r="AR670" s="76" t="s">
        <v>26733</v>
      </c>
      <c r="AS670" s="76"/>
      <c r="AT670" s="76"/>
      <c r="AU670" s="76"/>
      <c r="AV670" s="76"/>
      <c r="AW670" s="82" t="str">
        <f>HYPERLINK("https://t.co/NEobNBXtwG")</f>
        <v>https://t.co/NEobNBXtwG</v>
      </c>
      <c r="AX670" s="76" t="b">
        <v>0</v>
      </c>
      <c r="AY670" s="76"/>
      <c r="AZ670" s="76"/>
      <c r="BA670" s="76" t="b">
        <v>0</v>
      </c>
      <c r="BB670" s="76" t="b">
        <v>1</v>
      </c>
      <c r="BC670" s="76" t="b">
        <v>1</v>
      </c>
      <c r="BD670" s="76" t="b">
        <v>0</v>
      </c>
      <c r="BE670" s="76" t="b">
        <v>0</v>
      </c>
      <c r="BF670" s="76" t="b">
        <v>0</v>
      </c>
      <c r="BG670" s="76" t="b">
        <v>0</v>
      </c>
      <c r="BH670" s="82" t="str">
        <f>HYPERLINK("https://pbs.twimg.com/profile_banners/1383130855732883459/1632168076")</f>
        <v>https://pbs.twimg.com/profile_banners/1383130855732883459/1632168076</v>
      </c>
      <c r="BI670" s="76"/>
      <c r="BJ670" s="76" t="s">
        <v>27595</v>
      </c>
      <c r="BK670" s="76" t="b">
        <v>0</v>
      </c>
      <c r="BL670" s="76"/>
      <c r="BM670" s="76" t="s">
        <v>66</v>
      </c>
      <c r="BN670" s="76" t="s">
        <v>27597</v>
      </c>
      <c r="BO670" s="82" t="str">
        <f>HYPERLINK("https://twitter.com/brasilnft")</f>
        <v>https://twitter.com/brasilnft</v>
      </c>
      <c r="BP670" s="2"/>
    </row>
    <row r="671" spans="1:68" x14ac:dyDescent="0.25">
      <c r="A671" s="62" t="s">
        <v>689</v>
      </c>
      <c r="B671" s="63"/>
      <c r="C671" s="63"/>
      <c r="D671" s="64"/>
      <c r="E671" s="66"/>
      <c r="F671" s="103" t="str">
        <f>HYPERLINK("https://pbs.twimg.com/profile_images/418807469477863424/OLeboMoW_normal.jpeg")</f>
        <v>https://pbs.twimg.com/profile_images/418807469477863424/OLeboMoW_normal.jpeg</v>
      </c>
      <c r="G671" s="63"/>
      <c r="H671" s="67"/>
      <c r="I671" s="68"/>
      <c r="J671" s="68"/>
      <c r="K671" s="67" t="s">
        <v>28265</v>
      </c>
      <c r="L671" s="71"/>
      <c r="M671" s="72"/>
      <c r="N671" s="72"/>
      <c r="O671" s="73"/>
      <c r="P671" s="74"/>
      <c r="Q671" s="74"/>
      <c r="R671" s="87"/>
      <c r="S671" s="87"/>
      <c r="T671" s="87"/>
      <c r="U671" s="87"/>
      <c r="V671" s="48"/>
      <c r="W671" s="48"/>
      <c r="X671" s="48"/>
      <c r="Y671" s="48"/>
      <c r="Z671" s="47"/>
      <c r="AA671" s="69">
        <v>671</v>
      </c>
      <c r="AB671" s="69"/>
      <c r="AC671" s="70"/>
      <c r="AD671" s="76" t="s">
        <v>21908</v>
      </c>
      <c r="AE671" s="81" t="s">
        <v>23432</v>
      </c>
      <c r="AF671" s="76">
        <v>104406</v>
      </c>
      <c r="AG671" s="76">
        <v>144</v>
      </c>
      <c r="AH671" s="76">
        <v>34864</v>
      </c>
      <c r="AI671" s="76">
        <v>958</v>
      </c>
      <c r="AJ671" s="76">
        <v>376</v>
      </c>
      <c r="AK671" s="76">
        <v>6496</v>
      </c>
      <c r="AL671" s="76" t="b">
        <v>0</v>
      </c>
      <c r="AM671" s="78">
        <v>39917.752627314818</v>
      </c>
      <c r="AN671" s="76" t="s">
        <v>24329</v>
      </c>
      <c r="AO671" s="76" t="s">
        <v>25313</v>
      </c>
      <c r="AP671" s="82" t="str">
        <f>HYPERLINK("https://t.co/khGnPCxeyA")</f>
        <v>https://t.co/khGnPCxeyA</v>
      </c>
      <c r="AQ671" s="82" t="str">
        <f>HYPERLINK("https://jcconcursos.com.br")</f>
        <v>https://jcconcursos.com.br</v>
      </c>
      <c r="AR671" s="76" t="s">
        <v>26734</v>
      </c>
      <c r="AS671" s="76"/>
      <c r="AT671" s="76"/>
      <c r="AU671" s="76"/>
      <c r="AV671" s="76">
        <v>1.6323164787152901E+18</v>
      </c>
      <c r="AW671" s="82" t="str">
        <f>HYPERLINK("https://t.co/khGnPCxeyA")</f>
        <v>https://t.co/khGnPCxeyA</v>
      </c>
      <c r="AX671" s="76" t="b">
        <v>0</v>
      </c>
      <c r="AY671" s="76"/>
      <c r="AZ671" s="76"/>
      <c r="BA671" s="76" t="b">
        <v>0</v>
      </c>
      <c r="BB671" s="76" t="b">
        <v>1</v>
      </c>
      <c r="BC671" s="76" t="b">
        <v>0</v>
      </c>
      <c r="BD671" s="76" t="b">
        <v>0</v>
      </c>
      <c r="BE671" s="76" t="b">
        <v>0</v>
      </c>
      <c r="BF671" s="76" t="b">
        <v>0</v>
      </c>
      <c r="BG671" s="76" t="b">
        <v>0</v>
      </c>
      <c r="BH671" s="82" t="str">
        <f>HYPERLINK("https://pbs.twimg.com/profile_banners/31182040/1568815554")</f>
        <v>https://pbs.twimg.com/profile_banners/31182040/1568815554</v>
      </c>
      <c r="BI671" s="76"/>
      <c r="BJ671" s="76" t="s">
        <v>27595</v>
      </c>
      <c r="BK671" s="76" t="b">
        <v>0</v>
      </c>
      <c r="BL671" s="76"/>
      <c r="BM671" s="76" t="s">
        <v>66</v>
      </c>
      <c r="BN671" s="76" t="s">
        <v>27597</v>
      </c>
      <c r="BO671" s="82" t="str">
        <f>HYPERLINK("https://twitter.com/jcconcursos")</f>
        <v>https://twitter.com/jcconcursos</v>
      </c>
      <c r="BP671" s="2"/>
    </row>
    <row r="672" spans="1:68" x14ac:dyDescent="0.25">
      <c r="A672" s="62" t="s">
        <v>690</v>
      </c>
      <c r="B672" s="63"/>
      <c r="C672" s="63"/>
      <c r="D672" s="64"/>
      <c r="E672" s="66"/>
      <c r="F672" s="103" t="str">
        <f>HYPERLINK("https://pbs.twimg.com/profile_images/1668083111282843648/8fEKSVJv_normal.jpg")</f>
        <v>https://pbs.twimg.com/profile_images/1668083111282843648/8fEKSVJv_normal.jpg</v>
      </c>
      <c r="G672" s="63"/>
      <c r="H672" s="67"/>
      <c r="I672" s="68"/>
      <c r="J672" s="68"/>
      <c r="K672" s="67" t="s">
        <v>28266</v>
      </c>
      <c r="L672" s="71"/>
      <c r="M672" s="72"/>
      <c r="N672" s="72"/>
      <c r="O672" s="73"/>
      <c r="P672" s="74"/>
      <c r="Q672" s="74"/>
      <c r="R672" s="87"/>
      <c r="S672" s="87"/>
      <c r="T672" s="87"/>
      <c r="U672" s="87"/>
      <c r="V672" s="48"/>
      <c r="W672" s="48"/>
      <c r="X672" s="48"/>
      <c r="Y672" s="48"/>
      <c r="Z672" s="47"/>
      <c r="AA672" s="69">
        <v>672</v>
      </c>
      <c r="AB672" s="69"/>
      <c r="AC672" s="70"/>
      <c r="AD672" s="76" t="s">
        <v>21909</v>
      </c>
      <c r="AE672" s="81" t="s">
        <v>20266</v>
      </c>
      <c r="AF672" s="76">
        <v>392</v>
      </c>
      <c r="AG672" s="76">
        <v>504</v>
      </c>
      <c r="AH672" s="76">
        <v>18466</v>
      </c>
      <c r="AI672" s="76">
        <v>0</v>
      </c>
      <c r="AJ672" s="76">
        <v>14249</v>
      </c>
      <c r="AK672" s="76">
        <v>9789</v>
      </c>
      <c r="AL672" s="76" t="b">
        <v>0</v>
      </c>
      <c r="AM672" s="78">
        <v>43881.989039351851</v>
      </c>
      <c r="AN672" s="76" t="s">
        <v>24330</v>
      </c>
      <c r="AO672" s="76" t="s">
        <v>25314</v>
      </c>
      <c r="AP672" s="76"/>
      <c r="AQ672" s="76"/>
      <c r="AR672" s="76"/>
      <c r="AS672" s="76"/>
      <c r="AT672" s="76"/>
      <c r="AU672" s="76"/>
      <c r="AV672" s="76"/>
      <c r="AW672" s="76"/>
      <c r="AX672" s="76" t="b">
        <v>0</v>
      </c>
      <c r="AY672" s="76"/>
      <c r="AZ672" s="76"/>
      <c r="BA672" s="76" t="b">
        <v>1</v>
      </c>
      <c r="BB672" s="76" t="b">
        <v>0</v>
      </c>
      <c r="BC672" s="76" t="b">
        <v>1</v>
      </c>
      <c r="BD672" s="76" t="b">
        <v>0</v>
      </c>
      <c r="BE672" s="76" t="b">
        <v>0</v>
      </c>
      <c r="BF672" s="76" t="b">
        <v>0</v>
      </c>
      <c r="BG672" s="76" t="b">
        <v>0</v>
      </c>
      <c r="BH672" s="82" t="str">
        <f>HYPERLINK("https://pbs.twimg.com/profile_banners/1230638870225702914/1686094941")</f>
        <v>https://pbs.twimg.com/profile_banners/1230638870225702914/1686094941</v>
      </c>
      <c r="BI672" s="76"/>
      <c r="BJ672" s="76" t="s">
        <v>27595</v>
      </c>
      <c r="BK672" s="76" t="b">
        <v>0</v>
      </c>
      <c r="BL672" s="76"/>
      <c r="BM672" s="76" t="s">
        <v>66</v>
      </c>
      <c r="BN672" s="76" t="s">
        <v>27597</v>
      </c>
      <c r="BO672" s="82" t="str">
        <f>HYPERLINK("https://twitter.com/elcatmanok")</f>
        <v>https://twitter.com/elcatmanok</v>
      </c>
      <c r="BP672" s="2"/>
    </row>
    <row r="673" spans="1:68" x14ac:dyDescent="0.25">
      <c r="A673" s="62" t="s">
        <v>691</v>
      </c>
      <c r="B673" s="63"/>
      <c r="C673" s="63"/>
      <c r="D673" s="64"/>
      <c r="E673" s="66"/>
      <c r="F673" s="103" t="str">
        <f>HYPERLINK("https://pbs.twimg.com/profile_images/674412315069063168/xGDSuErH_normal.jpg")</f>
        <v>https://pbs.twimg.com/profile_images/674412315069063168/xGDSuErH_normal.jpg</v>
      </c>
      <c r="G673" s="63"/>
      <c r="H673" s="67"/>
      <c r="I673" s="68"/>
      <c r="J673" s="68"/>
      <c r="K673" s="67" t="s">
        <v>28267</v>
      </c>
      <c r="L673" s="71"/>
      <c r="M673" s="72"/>
      <c r="N673" s="72"/>
      <c r="O673" s="73"/>
      <c r="P673" s="74"/>
      <c r="Q673" s="74"/>
      <c r="R673" s="87"/>
      <c r="S673" s="87"/>
      <c r="T673" s="87"/>
      <c r="U673" s="87"/>
      <c r="V673" s="48"/>
      <c r="W673" s="48"/>
      <c r="X673" s="48"/>
      <c r="Y673" s="48"/>
      <c r="Z673" s="47"/>
      <c r="AA673" s="69">
        <v>673</v>
      </c>
      <c r="AB673" s="69"/>
      <c r="AC673" s="70"/>
      <c r="AD673" s="76" t="s">
        <v>21910</v>
      </c>
      <c r="AE673" s="81" t="s">
        <v>23433</v>
      </c>
      <c r="AF673" s="76">
        <v>94</v>
      </c>
      <c r="AG673" s="76">
        <v>900</v>
      </c>
      <c r="AH673" s="76">
        <v>877</v>
      </c>
      <c r="AI673" s="76">
        <v>0</v>
      </c>
      <c r="AJ673" s="76">
        <v>2357</v>
      </c>
      <c r="AK673" s="76">
        <v>0</v>
      </c>
      <c r="AL673" s="76" t="b">
        <v>0</v>
      </c>
      <c r="AM673" s="78">
        <v>40563.237557870372</v>
      </c>
      <c r="AN673" s="76"/>
      <c r="AO673" s="76" t="s">
        <v>25315</v>
      </c>
      <c r="AP673" s="76"/>
      <c r="AQ673" s="76"/>
      <c r="AR673" s="76"/>
      <c r="AS673" s="76"/>
      <c r="AT673" s="76"/>
      <c r="AU673" s="76"/>
      <c r="AV673" s="76">
        <v>1.46652274139007E+18</v>
      </c>
      <c r="AW673" s="76"/>
      <c r="AX673" s="76" t="b">
        <v>0</v>
      </c>
      <c r="AY673" s="76"/>
      <c r="AZ673" s="76"/>
      <c r="BA673" s="76" t="b">
        <v>0</v>
      </c>
      <c r="BB673" s="76" t="b">
        <v>1</v>
      </c>
      <c r="BC673" s="76" t="b">
        <v>1</v>
      </c>
      <c r="BD673" s="76" t="b">
        <v>0</v>
      </c>
      <c r="BE673" s="76" t="b">
        <v>1</v>
      </c>
      <c r="BF673" s="76" t="b">
        <v>0</v>
      </c>
      <c r="BG673" s="76" t="b">
        <v>0</v>
      </c>
      <c r="BH673" s="76"/>
      <c r="BI673" s="76"/>
      <c r="BJ673" s="76" t="s">
        <v>27595</v>
      </c>
      <c r="BK673" s="76" t="b">
        <v>0</v>
      </c>
      <c r="BL673" s="76"/>
      <c r="BM673" s="76" t="s">
        <v>66</v>
      </c>
      <c r="BN673" s="76" t="s">
        <v>27597</v>
      </c>
      <c r="BO673" s="82" t="str">
        <f>HYPERLINK("https://twitter.com/rjezini")</f>
        <v>https://twitter.com/rjezini</v>
      </c>
      <c r="BP673" s="2"/>
    </row>
    <row r="674" spans="1:68" x14ac:dyDescent="0.25">
      <c r="A674" s="62" t="s">
        <v>692</v>
      </c>
      <c r="B674" s="63"/>
      <c r="C674" s="63"/>
      <c r="D674" s="64"/>
      <c r="E674" s="66"/>
      <c r="F674" s="103" t="str">
        <f>HYPERLINK("https://pbs.twimg.com/profile_images/551850746178588673/HubUEGIi_normal.jpeg")</f>
        <v>https://pbs.twimg.com/profile_images/551850746178588673/HubUEGIi_normal.jpeg</v>
      </c>
      <c r="G674" s="63"/>
      <c r="H674" s="67"/>
      <c r="I674" s="68"/>
      <c r="J674" s="68"/>
      <c r="K674" s="67" t="s">
        <v>28268</v>
      </c>
      <c r="L674" s="71"/>
      <c r="M674" s="72"/>
      <c r="N674" s="72"/>
      <c r="O674" s="73"/>
      <c r="P674" s="74"/>
      <c r="Q674" s="74"/>
      <c r="R674" s="87"/>
      <c r="S674" s="87"/>
      <c r="T674" s="87"/>
      <c r="U674" s="87"/>
      <c r="V674" s="48"/>
      <c r="W674" s="48"/>
      <c r="X674" s="48"/>
      <c r="Y674" s="48"/>
      <c r="Z674" s="47"/>
      <c r="AA674" s="69">
        <v>674</v>
      </c>
      <c r="AB674" s="69"/>
      <c r="AC674" s="70"/>
      <c r="AD674" s="76" t="s">
        <v>21911</v>
      </c>
      <c r="AE674" s="81" t="s">
        <v>23434</v>
      </c>
      <c r="AF674" s="76">
        <v>138</v>
      </c>
      <c r="AG674" s="76">
        <v>196</v>
      </c>
      <c r="AH674" s="76">
        <v>8888</v>
      </c>
      <c r="AI674" s="76">
        <v>0</v>
      </c>
      <c r="AJ674" s="76">
        <v>6717</v>
      </c>
      <c r="AK674" s="76">
        <v>2292</v>
      </c>
      <c r="AL674" s="76" t="b">
        <v>0</v>
      </c>
      <c r="AM674" s="78">
        <v>42008.885416666664</v>
      </c>
      <c r="AN674" s="76" t="s">
        <v>24331</v>
      </c>
      <c r="AO674" s="76" t="s">
        <v>25316</v>
      </c>
      <c r="AP674" s="82" t="str">
        <f>HYPERLINK("https://t.co/qXekpxlh1a")</f>
        <v>https://t.co/qXekpxlh1a</v>
      </c>
      <c r="AQ674" s="82" t="str">
        <f>HYPERLINK("https://www.facebook.com/cas2008")</f>
        <v>https://www.facebook.com/cas2008</v>
      </c>
      <c r="AR674" s="76" t="s">
        <v>26735</v>
      </c>
      <c r="AS674" s="76"/>
      <c r="AT674" s="76"/>
      <c r="AU674" s="76"/>
      <c r="AV674" s="76">
        <v>1.65083175131952E+18</v>
      </c>
      <c r="AW674" s="82" t="str">
        <f>HYPERLINK("https://t.co/qXekpxlh1a")</f>
        <v>https://t.co/qXekpxlh1a</v>
      </c>
      <c r="AX674" s="76" t="b">
        <v>0</v>
      </c>
      <c r="AY674" s="76"/>
      <c r="AZ674" s="76"/>
      <c r="BA674" s="76" t="b">
        <v>0</v>
      </c>
      <c r="BB674" s="76" t="b">
        <v>1</v>
      </c>
      <c r="BC674" s="76" t="b">
        <v>0</v>
      </c>
      <c r="BD674" s="76" t="b">
        <v>0</v>
      </c>
      <c r="BE674" s="76" t="b">
        <v>0</v>
      </c>
      <c r="BF674" s="76" t="b">
        <v>0</v>
      </c>
      <c r="BG674" s="76" t="b">
        <v>0</v>
      </c>
      <c r="BH674" s="82" t="str">
        <f>HYPERLINK("https://pbs.twimg.com/profile_banners/2960977114/1553219668")</f>
        <v>https://pbs.twimg.com/profile_banners/2960977114/1553219668</v>
      </c>
      <c r="BI674" s="76"/>
      <c r="BJ674" s="76" t="s">
        <v>27595</v>
      </c>
      <c r="BK674" s="76" t="b">
        <v>0</v>
      </c>
      <c r="BL674" s="76"/>
      <c r="BM674" s="76" t="s">
        <v>66</v>
      </c>
      <c r="BN674" s="76" t="s">
        <v>27597</v>
      </c>
      <c r="BO674" s="82" t="str">
        <f>HYPERLINK("https://twitter.com/carlosasosa1")</f>
        <v>https://twitter.com/carlosasosa1</v>
      </c>
      <c r="BP674" s="2"/>
    </row>
    <row r="675" spans="1:68" x14ac:dyDescent="0.25">
      <c r="A675" s="62" t="s">
        <v>693</v>
      </c>
      <c r="B675" s="63"/>
      <c r="C675" s="63"/>
      <c r="D675" s="64"/>
      <c r="E675" s="66"/>
      <c r="F675" s="103" t="str">
        <f>HYPERLINK("https://pbs.twimg.com/profile_images/1682392388562567170/Lwu2LFnV_normal.jpg")</f>
        <v>https://pbs.twimg.com/profile_images/1682392388562567170/Lwu2LFnV_normal.jpg</v>
      </c>
      <c r="G675" s="63"/>
      <c r="H675" s="67"/>
      <c r="I675" s="68"/>
      <c r="J675" s="68"/>
      <c r="K675" s="67" t="s">
        <v>28269</v>
      </c>
      <c r="L675" s="71"/>
      <c r="M675" s="72"/>
      <c r="N675" s="72"/>
      <c r="O675" s="73"/>
      <c r="P675" s="74"/>
      <c r="Q675" s="74"/>
      <c r="R675" s="87"/>
      <c r="S675" s="87"/>
      <c r="T675" s="87"/>
      <c r="U675" s="87"/>
      <c r="V675" s="48"/>
      <c r="W675" s="48"/>
      <c r="X675" s="48"/>
      <c r="Y675" s="48"/>
      <c r="Z675" s="47"/>
      <c r="AA675" s="69">
        <v>675</v>
      </c>
      <c r="AB675" s="69"/>
      <c r="AC675" s="70"/>
      <c r="AD675" s="76" t="s">
        <v>21912</v>
      </c>
      <c r="AE675" s="81" t="s">
        <v>20718</v>
      </c>
      <c r="AF675" s="76">
        <v>174</v>
      </c>
      <c r="AG675" s="76">
        <v>62</v>
      </c>
      <c r="AH675" s="76">
        <v>172</v>
      </c>
      <c r="AI675" s="76">
        <v>0</v>
      </c>
      <c r="AJ675" s="76">
        <v>77</v>
      </c>
      <c r="AK675" s="76">
        <v>125</v>
      </c>
      <c r="AL675" s="76" t="b">
        <v>0</v>
      </c>
      <c r="AM675" s="78">
        <v>45100.565104166664</v>
      </c>
      <c r="AN675" s="76" t="s">
        <v>14490</v>
      </c>
      <c r="AO675" s="76" t="s">
        <v>25317</v>
      </c>
      <c r="AP675" s="76"/>
      <c r="AQ675" s="76"/>
      <c r="AR675" s="76"/>
      <c r="AS675" s="76"/>
      <c r="AT675" s="76"/>
      <c r="AU675" s="76"/>
      <c r="AV675" s="76"/>
      <c r="AW675" s="76"/>
      <c r="AX675" s="76" t="b">
        <v>0</v>
      </c>
      <c r="AY675" s="76"/>
      <c r="AZ675" s="76"/>
      <c r="BA675" s="76" t="b">
        <v>0</v>
      </c>
      <c r="BB675" s="76" t="b">
        <v>1</v>
      </c>
      <c r="BC675" s="76" t="b">
        <v>1</v>
      </c>
      <c r="BD675" s="76" t="b">
        <v>0</v>
      </c>
      <c r="BE675" s="76" t="b">
        <v>0</v>
      </c>
      <c r="BF675" s="76" t="b">
        <v>0</v>
      </c>
      <c r="BG675" s="76" t="b">
        <v>0</v>
      </c>
      <c r="BH675" s="82" t="str">
        <f>HYPERLINK("https://pbs.twimg.com/profile_banners/1672236167167725568/1687529086")</f>
        <v>https://pbs.twimg.com/profile_banners/1672236167167725568/1687529086</v>
      </c>
      <c r="BI675" s="76"/>
      <c r="BJ675" s="76" t="s">
        <v>27595</v>
      </c>
      <c r="BK675" s="76" t="b">
        <v>0</v>
      </c>
      <c r="BL675" s="76"/>
      <c r="BM675" s="76" t="s">
        <v>66</v>
      </c>
      <c r="BN675" s="76" t="s">
        <v>27597</v>
      </c>
      <c r="BO675" s="82" t="str">
        <f>HYPERLINK("https://twitter.com/drancelmoramos")</f>
        <v>https://twitter.com/drancelmoramos</v>
      </c>
      <c r="BP675" s="2"/>
    </row>
    <row r="676" spans="1:68" x14ac:dyDescent="0.25">
      <c r="A676" s="62" t="s">
        <v>694</v>
      </c>
      <c r="B676" s="63"/>
      <c r="C676" s="63"/>
      <c r="D676" s="64"/>
      <c r="E676" s="66"/>
      <c r="F676" s="103" t="str">
        <f>HYPERLINK("https://pbs.twimg.com/profile_images/1296877862600028165/xMs0qQaA_normal.jpg")</f>
        <v>https://pbs.twimg.com/profile_images/1296877862600028165/xMs0qQaA_normal.jpg</v>
      </c>
      <c r="G676" s="63"/>
      <c r="H676" s="67"/>
      <c r="I676" s="68"/>
      <c r="J676" s="68"/>
      <c r="K676" s="67" t="s">
        <v>28270</v>
      </c>
      <c r="L676" s="71"/>
      <c r="M676" s="72"/>
      <c r="N676" s="72"/>
      <c r="O676" s="73"/>
      <c r="P676" s="74"/>
      <c r="Q676" s="74"/>
      <c r="R676" s="87"/>
      <c r="S676" s="87"/>
      <c r="T676" s="87"/>
      <c r="U676" s="87"/>
      <c r="V676" s="48"/>
      <c r="W676" s="48"/>
      <c r="X676" s="48"/>
      <c r="Y676" s="48"/>
      <c r="Z676" s="47"/>
      <c r="AA676" s="69">
        <v>676</v>
      </c>
      <c r="AB676" s="69"/>
      <c r="AC676" s="70"/>
      <c r="AD676" s="76" t="s">
        <v>21913</v>
      </c>
      <c r="AE676" s="81" t="s">
        <v>20719</v>
      </c>
      <c r="AF676" s="76">
        <v>3358</v>
      </c>
      <c r="AG676" s="76">
        <v>397</v>
      </c>
      <c r="AH676" s="76">
        <v>9362</v>
      </c>
      <c r="AI676" s="76">
        <v>8</v>
      </c>
      <c r="AJ676" s="76">
        <v>5</v>
      </c>
      <c r="AK676" s="76">
        <v>251</v>
      </c>
      <c r="AL676" s="76" t="b">
        <v>0</v>
      </c>
      <c r="AM676" s="78">
        <v>43953.843784722223</v>
      </c>
      <c r="AN676" s="76" t="s">
        <v>14385</v>
      </c>
      <c r="AO676" s="76" t="s">
        <v>25318</v>
      </c>
      <c r="AP676" s="82" t="str">
        <f>HYPERLINK("https://t.co/z7zuUsjdvP")</f>
        <v>https://t.co/z7zuUsjdvP</v>
      </c>
      <c r="AQ676" s="82" t="str">
        <f>HYPERLINK("https://www.neahoy.com")</f>
        <v>https://www.neahoy.com</v>
      </c>
      <c r="AR676" s="76" t="s">
        <v>8730</v>
      </c>
      <c r="AS676" s="76"/>
      <c r="AT676" s="76"/>
      <c r="AU676" s="76"/>
      <c r="AV676" s="76"/>
      <c r="AW676" s="82" t="str">
        <f>HYPERLINK("https://t.co/z7zuUsjdvP")</f>
        <v>https://t.co/z7zuUsjdvP</v>
      </c>
      <c r="AX676" s="76" t="b">
        <v>1</v>
      </c>
      <c r="AY676" s="76"/>
      <c r="AZ676" s="76"/>
      <c r="BA676" s="76" t="b">
        <v>0</v>
      </c>
      <c r="BB676" s="76" t="b">
        <v>1</v>
      </c>
      <c r="BC676" s="76" t="b">
        <v>1</v>
      </c>
      <c r="BD676" s="76" t="b">
        <v>0</v>
      </c>
      <c r="BE676" s="76" t="b">
        <v>0</v>
      </c>
      <c r="BF676" s="76" t="b">
        <v>0</v>
      </c>
      <c r="BG676" s="76" t="b">
        <v>0</v>
      </c>
      <c r="BH676" s="82" t="str">
        <f>HYPERLINK("https://pbs.twimg.com/profile_banners/1256678585945018368/1598034051")</f>
        <v>https://pbs.twimg.com/profile_banners/1256678585945018368/1598034051</v>
      </c>
      <c r="BI676" s="76"/>
      <c r="BJ676" s="76" t="s">
        <v>27595</v>
      </c>
      <c r="BK676" s="76" t="b">
        <v>0</v>
      </c>
      <c r="BL676" s="76"/>
      <c r="BM676" s="76" t="s">
        <v>66</v>
      </c>
      <c r="BN676" s="76" t="s">
        <v>27597</v>
      </c>
      <c r="BO676" s="82" t="str">
        <f>HYPERLINK("https://twitter.com/neahoycom")</f>
        <v>https://twitter.com/neahoycom</v>
      </c>
      <c r="BP676" s="2"/>
    </row>
    <row r="677" spans="1:68" x14ac:dyDescent="0.25">
      <c r="A677" s="62" t="s">
        <v>695</v>
      </c>
      <c r="B677" s="63"/>
      <c r="C677" s="63"/>
      <c r="D677" s="64"/>
      <c r="E677" s="66"/>
      <c r="F677" s="103" t="str">
        <f>HYPERLINK("https://pbs.twimg.com/profile_images/1698832046875918336/WWQGjory_normal.jpg")</f>
        <v>https://pbs.twimg.com/profile_images/1698832046875918336/WWQGjory_normal.jpg</v>
      </c>
      <c r="G677" s="63"/>
      <c r="H677" s="67"/>
      <c r="I677" s="68"/>
      <c r="J677" s="68"/>
      <c r="K677" s="67" t="s">
        <v>28271</v>
      </c>
      <c r="L677" s="71"/>
      <c r="M677" s="72"/>
      <c r="N677" s="72"/>
      <c r="O677" s="73"/>
      <c r="P677" s="74"/>
      <c r="Q677" s="74"/>
      <c r="R677" s="87"/>
      <c r="S677" s="87"/>
      <c r="T677" s="87"/>
      <c r="U677" s="87"/>
      <c r="V677" s="48"/>
      <c r="W677" s="48"/>
      <c r="X677" s="48"/>
      <c r="Y677" s="48"/>
      <c r="Z677" s="47"/>
      <c r="AA677" s="69">
        <v>677</v>
      </c>
      <c r="AB677" s="69"/>
      <c r="AC677" s="70"/>
      <c r="AD677" s="76" t="s">
        <v>21914</v>
      </c>
      <c r="AE677" s="81" t="s">
        <v>20267</v>
      </c>
      <c r="AF677" s="76">
        <v>47</v>
      </c>
      <c r="AG677" s="76">
        <v>208</v>
      </c>
      <c r="AH677" s="76">
        <v>754</v>
      </c>
      <c r="AI677" s="76">
        <v>0</v>
      </c>
      <c r="AJ677" s="76">
        <v>3476</v>
      </c>
      <c r="AK677" s="76">
        <v>18</v>
      </c>
      <c r="AL677" s="76" t="b">
        <v>0</v>
      </c>
      <c r="AM677" s="78">
        <v>42180.783831018518</v>
      </c>
      <c r="AN677" s="76" t="s">
        <v>24332</v>
      </c>
      <c r="AO677" s="76" t="s">
        <v>25319</v>
      </c>
      <c r="AP677" s="76"/>
      <c r="AQ677" s="76"/>
      <c r="AR677" s="76"/>
      <c r="AS677" s="76"/>
      <c r="AT677" s="76"/>
      <c r="AU677" s="76"/>
      <c r="AV677" s="76">
        <v>1.60999258353459E+18</v>
      </c>
      <c r="AW677" s="76"/>
      <c r="AX677" s="76" t="b">
        <v>0</v>
      </c>
      <c r="AY677" s="76"/>
      <c r="AZ677" s="76"/>
      <c r="BA677" s="76" t="b">
        <v>0</v>
      </c>
      <c r="BB677" s="76" t="b">
        <v>1</v>
      </c>
      <c r="BC677" s="76" t="b">
        <v>0</v>
      </c>
      <c r="BD677" s="76" t="b">
        <v>0</v>
      </c>
      <c r="BE677" s="76" t="b">
        <v>0</v>
      </c>
      <c r="BF677" s="76" t="b">
        <v>0</v>
      </c>
      <c r="BG677" s="76" t="b">
        <v>1</v>
      </c>
      <c r="BH677" s="82" t="str">
        <f>HYPERLINK("https://pbs.twimg.com/profile_banners/3345800861/1569605154")</f>
        <v>https://pbs.twimg.com/profile_banners/3345800861/1569605154</v>
      </c>
      <c r="BI677" s="76"/>
      <c r="BJ677" s="76" t="s">
        <v>27595</v>
      </c>
      <c r="BK677" s="76" t="b">
        <v>0</v>
      </c>
      <c r="BL677" s="76"/>
      <c r="BM677" s="76" t="s">
        <v>66</v>
      </c>
      <c r="BN677" s="76" t="s">
        <v>27597</v>
      </c>
      <c r="BO677" s="82" t="str">
        <f>HYPERLINK("https://twitter.com/barbruno8")</f>
        <v>https://twitter.com/barbruno8</v>
      </c>
      <c r="BP677" s="2"/>
    </row>
    <row r="678" spans="1:68" x14ac:dyDescent="0.25">
      <c r="A678" s="62" t="s">
        <v>696</v>
      </c>
      <c r="B678" s="63"/>
      <c r="C678" s="63"/>
      <c r="D678" s="64"/>
      <c r="E678" s="66"/>
      <c r="F678" s="103" t="str">
        <f>HYPERLINK("https://pbs.twimg.com/profile_images/1680681874203574273/He7sgewo_normal.jpg")</f>
        <v>https://pbs.twimg.com/profile_images/1680681874203574273/He7sgewo_normal.jpg</v>
      </c>
      <c r="G678" s="63"/>
      <c r="H678" s="67"/>
      <c r="I678" s="68"/>
      <c r="J678" s="68"/>
      <c r="K678" s="67" t="s">
        <v>28272</v>
      </c>
      <c r="L678" s="71"/>
      <c r="M678" s="72"/>
      <c r="N678" s="72"/>
      <c r="O678" s="73"/>
      <c r="P678" s="74"/>
      <c r="Q678" s="74"/>
      <c r="R678" s="87"/>
      <c r="S678" s="87"/>
      <c r="T678" s="87"/>
      <c r="U678" s="87"/>
      <c r="V678" s="48"/>
      <c r="W678" s="48"/>
      <c r="X678" s="48"/>
      <c r="Y678" s="48"/>
      <c r="Z678" s="47"/>
      <c r="AA678" s="69">
        <v>678</v>
      </c>
      <c r="AB678" s="69"/>
      <c r="AC678" s="70"/>
      <c r="AD678" s="76" t="s">
        <v>21915</v>
      </c>
      <c r="AE678" s="81" t="s">
        <v>23435</v>
      </c>
      <c r="AF678" s="76">
        <v>899</v>
      </c>
      <c r="AG678" s="76">
        <v>3077</v>
      </c>
      <c r="AH678" s="76">
        <v>25624</v>
      </c>
      <c r="AI678" s="76">
        <v>0</v>
      </c>
      <c r="AJ678" s="76">
        <v>58766</v>
      </c>
      <c r="AK678" s="76">
        <v>190</v>
      </c>
      <c r="AL678" s="76" t="b">
        <v>0</v>
      </c>
      <c r="AM678" s="78">
        <v>40536.175902777781</v>
      </c>
      <c r="AN678" s="76" t="s">
        <v>24333</v>
      </c>
      <c r="AO678" s="76" t="s">
        <v>25320</v>
      </c>
      <c r="AP678" s="82" t="str">
        <f>HYPERLINK("https://t.co/qYYi5aZtNy")</f>
        <v>https://t.co/qYYi5aZtNy</v>
      </c>
      <c r="AQ678" s="82" t="str">
        <f>HYPERLINK("https://www.aprendizaje.wiki/aprendizaje-significativo.htm")</f>
        <v>https://www.aprendizaje.wiki/aprendizaje-significativo.htm</v>
      </c>
      <c r="AR678" s="76" t="s">
        <v>26736</v>
      </c>
      <c r="AS678" s="76"/>
      <c r="AT678" s="76"/>
      <c r="AU678" s="76"/>
      <c r="AV678" s="76">
        <v>1.65599103446194E+18</v>
      </c>
      <c r="AW678" s="82" t="str">
        <f>HYPERLINK("https://t.co/qYYi5aZtNy")</f>
        <v>https://t.co/qYYi5aZtNy</v>
      </c>
      <c r="AX678" s="76" t="b">
        <v>0</v>
      </c>
      <c r="AY678" s="76"/>
      <c r="AZ678" s="76"/>
      <c r="BA678" s="76" t="b">
        <v>0</v>
      </c>
      <c r="BB678" s="76" t="b">
        <v>1</v>
      </c>
      <c r="BC678" s="76" t="b">
        <v>1</v>
      </c>
      <c r="BD678" s="76" t="b">
        <v>0</v>
      </c>
      <c r="BE678" s="76" t="b">
        <v>0</v>
      </c>
      <c r="BF678" s="76" t="b">
        <v>0</v>
      </c>
      <c r="BG678" s="76" t="b">
        <v>0</v>
      </c>
      <c r="BH678" s="82" t="str">
        <f>HYPERLINK("https://pbs.twimg.com/profile_banners/230057888/1657858403")</f>
        <v>https://pbs.twimg.com/profile_banners/230057888/1657858403</v>
      </c>
      <c r="BI678" s="76"/>
      <c r="BJ678" s="76" t="s">
        <v>27595</v>
      </c>
      <c r="BK678" s="76" t="b">
        <v>0</v>
      </c>
      <c r="BL678" s="76"/>
      <c r="BM678" s="76" t="s">
        <v>66</v>
      </c>
      <c r="BN678" s="76" t="s">
        <v>27597</v>
      </c>
      <c r="BO678" s="82" t="str">
        <f>HYPERLINK("https://twitter.com/fredkarma")</f>
        <v>https://twitter.com/fredkarma</v>
      </c>
      <c r="BP678" s="2"/>
    </row>
    <row r="679" spans="1:68" x14ac:dyDescent="0.25">
      <c r="A679" s="62" t="s">
        <v>697</v>
      </c>
      <c r="B679" s="63"/>
      <c r="C679" s="63"/>
      <c r="D679" s="64"/>
      <c r="E679" s="66"/>
      <c r="F679" s="103" t="str">
        <f>HYPERLINK("https://pbs.twimg.com/profile_images/1654893116501917696/kPctmXJg_normal.jpg")</f>
        <v>https://pbs.twimg.com/profile_images/1654893116501917696/kPctmXJg_normal.jpg</v>
      </c>
      <c r="G679" s="63"/>
      <c r="H679" s="67"/>
      <c r="I679" s="68"/>
      <c r="J679" s="68"/>
      <c r="K679" s="67" t="s">
        <v>28273</v>
      </c>
      <c r="L679" s="71"/>
      <c r="M679" s="72"/>
      <c r="N679" s="72"/>
      <c r="O679" s="73"/>
      <c r="P679" s="74"/>
      <c r="Q679" s="74"/>
      <c r="R679" s="87"/>
      <c r="S679" s="87"/>
      <c r="T679" s="87"/>
      <c r="U679" s="87"/>
      <c r="V679" s="48"/>
      <c r="W679" s="48"/>
      <c r="X679" s="48"/>
      <c r="Y679" s="48"/>
      <c r="Z679" s="47"/>
      <c r="AA679" s="69">
        <v>679</v>
      </c>
      <c r="AB679" s="69"/>
      <c r="AC679" s="70"/>
      <c r="AD679" s="76" t="s">
        <v>21916</v>
      </c>
      <c r="AE679" s="81" t="s">
        <v>23436</v>
      </c>
      <c r="AF679" s="76">
        <v>1085</v>
      </c>
      <c r="AG679" s="76">
        <v>2208</v>
      </c>
      <c r="AH679" s="76">
        <v>68545</v>
      </c>
      <c r="AI679" s="76">
        <v>96</v>
      </c>
      <c r="AJ679" s="76">
        <v>232303</v>
      </c>
      <c r="AK679" s="76">
        <v>2076</v>
      </c>
      <c r="AL679" s="76" t="b">
        <v>0</v>
      </c>
      <c r="AM679" s="78">
        <v>39763.736192129632</v>
      </c>
      <c r="AN679" s="76" t="s">
        <v>14479</v>
      </c>
      <c r="AO679" s="76" t="s">
        <v>25321</v>
      </c>
      <c r="AP679" s="82" t="str">
        <f>HYPERLINK("https://t.co/Q1mr3SuAki")</f>
        <v>https://t.co/Q1mr3SuAki</v>
      </c>
      <c r="AQ679" s="82" t="str">
        <f>HYPERLINK("http://gonzacoen.blogspot.com")</f>
        <v>http://gonzacoen.blogspot.com</v>
      </c>
      <c r="AR679" s="76" t="s">
        <v>26737</v>
      </c>
      <c r="AS679" s="76"/>
      <c r="AT679" s="76"/>
      <c r="AU679" s="76"/>
      <c r="AV679" s="76">
        <v>1.6434582191198899E+18</v>
      </c>
      <c r="AW679" s="82" t="str">
        <f>HYPERLINK("https://t.co/Q1mr3SuAki")</f>
        <v>https://t.co/Q1mr3SuAki</v>
      </c>
      <c r="AX679" s="76" t="b">
        <v>0</v>
      </c>
      <c r="AY679" s="76"/>
      <c r="AZ679" s="76"/>
      <c r="BA679" s="76" t="b">
        <v>1</v>
      </c>
      <c r="BB679" s="76" t="b">
        <v>0</v>
      </c>
      <c r="BC679" s="76" t="b">
        <v>0</v>
      </c>
      <c r="BD679" s="76" t="b">
        <v>0</v>
      </c>
      <c r="BE679" s="76" t="b">
        <v>1</v>
      </c>
      <c r="BF679" s="76" t="b">
        <v>0</v>
      </c>
      <c r="BG679" s="76" t="b">
        <v>0</v>
      </c>
      <c r="BH679" s="82" t="str">
        <f>HYPERLINK("https://pbs.twimg.com/profile_banners/17314674/1657542363")</f>
        <v>https://pbs.twimg.com/profile_banners/17314674/1657542363</v>
      </c>
      <c r="BI679" s="76"/>
      <c r="BJ679" s="76" t="s">
        <v>27595</v>
      </c>
      <c r="BK679" s="76" t="b">
        <v>0</v>
      </c>
      <c r="BL679" s="76"/>
      <c r="BM679" s="76" t="s">
        <v>66</v>
      </c>
      <c r="BN679" s="76" t="s">
        <v>27597</v>
      </c>
      <c r="BO679" s="82" t="str">
        <f>HYPERLINK("https://twitter.com/poetwittar")</f>
        <v>https://twitter.com/poetwittar</v>
      </c>
      <c r="BP679" s="2"/>
    </row>
    <row r="680" spans="1:68" x14ac:dyDescent="0.25">
      <c r="A680" s="62" t="s">
        <v>871</v>
      </c>
      <c r="B680" s="63"/>
      <c r="C680" s="63"/>
      <c r="D680" s="64"/>
      <c r="E680" s="66"/>
      <c r="F680" s="103" t="str">
        <f>HYPERLINK("https://pbs.twimg.com/profile_images/1609034821895946241/WVsO6SzU_normal.jpg")</f>
        <v>https://pbs.twimg.com/profile_images/1609034821895946241/WVsO6SzU_normal.jpg</v>
      </c>
      <c r="G680" s="63"/>
      <c r="H680" s="67"/>
      <c r="I680" s="68"/>
      <c r="J680" s="68"/>
      <c r="K680" s="67" t="s">
        <v>28274</v>
      </c>
      <c r="L680" s="71"/>
      <c r="M680" s="72"/>
      <c r="N680" s="72"/>
      <c r="O680" s="73"/>
      <c r="P680" s="74"/>
      <c r="Q680" s="74"/>
      <c r="R680" s="87"/>
      <c r="S680" s="87"/>
      <c r="T680" s="87"/>
      <c r="U680" s="87"/>
      <c r="V680" s="48"/>
      <c r="W680" s="48"/>
      <c r="X680" s="48"/>
      <c r="Y680" s="48"/>
      <c r="Z680" s="47"/>
      <c r="AA680" s="69">
        <v>680</v>
      </c>
      <c r="AB680" s="69"/>
      <c r="AC680" s="70"/>
      <c r="AD680" s="76" t="s">
        <v>21917</v>
      </c>
      <c r="AE680" s="81" t="s">
        <v>20799</v>
      </c>
      <c r="AF680" s="76">
        <v>327951</v>
      </c>
      <c r="AG680" s="76">
        <v>1524</v>
      </c>
      <c r="AH680" s="76">
        <v>46509</v>
      </c>
      <c r="AI680" s="76">
        <v>768</v>
      </c>
      <c r="AJ680" s="76">
        <v>18321</v>
      </c>
      <c r="AK680" s="76">
        <v>8215</v>
      </c>
      <c r="AL680" s="76" t="b">
        <v>0</v>
      </c>
      <c r="AM680" s="78">
        <v>44361.77039351852</v>
      </c>
      <c r="AN680" s="76"/>
      <c r="AO680" s="76" t="s">
        <v>25322</v>
      </c>
      <c r="AP680" s="82" t="str">
        <f>HYPERLINK("https://t.co/BYK1BU7aOJ")</f>
        <v>https://t.co/BYK1BU7aOJ</v>
      </c>
      <c r="AQ680" s="82" t="str">
        <f>HYPERLINK("https://instagram.com/centralpolitcs?igshid=YmMyMTA2M2Y=")</f>
        <v>https://instagram.com/centralpolitcs?igshid=YmMyMTA2M2Y=</v>
      </c>
      <c r="AR680" s="76" t="s">
        <v>26738</v>
      </c>
      <c r="AS680" s="76"/>
      <c r="AT680" s="76"/>
      <c r="AU680" s="76"/>
      <c r="AV680" s="76"/>
      <c r="AW680" s="82" t="str">
        <f>HYPERLINK("https://t.co/BYK1BU7aOJ")</f>
        <v>https://t.co/BYK1BU7aOJ</v>
      </c>
      <c r="AX680" s="76" t="b">
        <v>1</v>
      </c>
      <c r="AY680" s="76"/>
      <c r="AZ680" s="76"/>
      <c r="BA680" s="76" t="b">
        <v>1</v>
      </c>
      <c r="BB680" s="76" t="b">
        <v>1</v>
      </c>
      <c r="BC680" s="76" t="b">
        <v>1</v>
      </c>
      <c r="BD680" s="76" t="b">
        <v>0</v>
      </c>
      <c r="BE680" s="76" t="b">
        <v>1</v>
      </c>
      <c r="BF680" s="76" t="b">
        <v>0</v>
      </c>
      <c r="BG680" s="76" t="b">
        <v>0</v>
      </c>
      <c r="BH680" s="82" t="str">
        <f>HYPERLINK("https://pbs.twimg.com/profile_banners/1404506222892666885/1672458493")</f>
        <v>https://pbs.twimg.com/profile_banners/1404506222892666885/1672458493</v>
      </c>
      <c r="BI680" s="76"/>
      <c r="BJ680" s="76" t="s">
        <v>27595</v>
      </c>
      <c r="BK680" s="76" t="b">
        <v>0</v>
      </c>
      <c r="BL680" s="76"/>
      <c r="BM680" s="76" t="s">
        <v>66</v>
      </c>
      <c r="BN680" s="76" t="s">
        <v>27597</v>
      </c>
      <c r="BO680" s="82" t="str">
        <f>HYPERLINK("https://twitter.com/centralpolitcs")</f>
        <v>https://twitter.com/centralpolitcs</v>
      </c>
      <c r="BP680" s="2"/>
    </row>
    <row r="681" spans="1:68" x14ac:dyDescent="0.25">
      <c r="A681" s="62" t="s">
        <v>698</v>
      </c>
      <c r="B681" s="63"/>
      <c r="C681" s="63"/>
      <c r="D681" s="64"/>
      <c r="E681" s="66"/>
      <c r="F681" s="103" t="str">
        <f>HYPERLINK("https://pbs.twimg.com/profile_images/751593754356834304/bkYGMdsY_normal.jpg")</f>
        <v>https://pbs.twimg.com/profile_images/751593754356834304/bkYGMdsY_normal.jpg</v>
      </c>
      <c r="G681" s="63"/>
      <c r="H681" s="67"/>
      <c r="I681" s="68"/>
      <c r="J681" s="68"/>
      <c r="K681" s="67" t="s">
        <v>28275</v>
      </c>
      <c r="L681" s="71"/>
      <c r="M681" s="72"/>
      <c r="N681" s="72"/>
      <c r="O681" s="73"/>
      <c r="P681" s="74"/>
      <c r="Q681" s="74"/>
      <c r="R681" s="87"/>
      <c r="S681" s="87"/>
      <c r="T681" s="87"/>
      <c r="U681" s="87"/>
      <c r="V681" s="48"/>
      <c r="W681" s="48"/>
      <c r="X681" s="48"/>
      <c r="Y681" s="48"/>
      <c r="Z681" s="47"/>
      <c r="AA681" s="69">
        <v>681</v>
      </c>
      <c r="AB681" s="69"/>
      <c r="AC681" s="70"/>
      <c r="AD681" s="76" t="s">
        <v>21918</v>
      </c>
      <c r="AE681" s="81" t="s">
        <v>23437</v>
      </c>
      <c r="AF681" s="76">
        <v>3105</v>
      </c>
      <c r="AG681" s="76">
        <v>5001</v>
      </c>
      <c r="AH681" s="76">
        <v>49762</v>
      </c>
      <c r="AI681" s="76">
        <v>8</v>
      </c>
      <c r="AJ681" s="76">
        <v>1853</v>
      </c>
      <c r="AK681" s="76">
        <v>6420</v>
      </c>
      <c r="AL681" s="76" t="b">
        <v>0</v>
      </c>
      <c r="AM681" s="78">
        <v>41405.6483912037</v>
      </c>
      <c r="AN681" s="76"/>
      <c r="AO681" s="76" t="s">
        <v>25323</v>
      </c>
      <c r="AP681" s="82" t="str">
        <f>HYPERLINK("https://t.co/SAEaXzeAJr")</f>
        <v>https://t.co/SAEaXzeAJr</v>
      </c>
      <c r="AQ681" s="82" t="str">
        <f>HYPERLINK("http://www.tierramarillano.cl")</f>
        <v>http://www.tierramarillano.cl</v>
      </c>
      <c r="AR681" s="76" t="s">
        <v>26739</v>
      </c>
      <c r="AS681" s="76"/>
      <c r="AT681" s="76"/>
      <c r="AU681" s="76"/>
      <c r="AV681" s="76"/>
      <c r="AW681" s="82" t="str">
        <f>HYPERLINK("https://t.co/SAEaXzeAJr")</f>
        <v>https://t.co/SAEaXzeAJr</v>
      </c>
      <c r="AX681" s="76" t="b">
        <v>0</v>
      </c>
      <c r="AY681" s="76"/>
      <c r="AZ681" s="76"/>
      <c r="BA681" s="76" t="b">
        <v>0</v>
      </c>
      <c r="BB681" s="76" t="b">
        <v>1</v>
      </c>
      <c r="BC681" s="76" t="b">
        <v>1</v>
      </c>
      <c r="BD681" s="76" t="b">
        <v>0</v>
      </c>
      <c r="BE681" s="76" t="b">
        <v>0</v>
      </c>
      <c r="BF681" s="76" t="b">
        <v>0</v>
      </c>
      <c r="BG681" s="76" t="b">
        <v>0</v>
      </c>
      <c r="BH681" s="82" t="str">
        <f>HYPERLINK("https://pbs.twimg.com/profile_banners/1420922660/1604528305")</f>
        <v>https://pbs.twimg.com/profile_banners/1420922660/1604528305</v>
      </c>
      <c r="BI681" s="76"/>
      <c r="BJ681" s="76" t="s">
        <v>27595</v>
      </c>
      <c r="BK681" s="76" t="b">
        <v>0</v>
      </c>
      <c r="BL681" s="76"/>
      <c r="BM681" s="76" t="s">
        <v>66</v>
      </c>
      <c r="BN681" s="76" t="s">
        <v>27597</v>
      </c>
      <c r="BO681" s="82" t="str">
        <f>HYPERLINK("https://twitter.com/tamarillano")</f>
        <v>https://twitter.com/tamarillano</v>
      </c>
      <c r="BP681" s="2"/>
    </row>
    <row r="682" spans="1:68" x14ac:dyDescent="0.25">
      <c r="A682" s="62" t="s">
        <v>699</v>
      </c>
      <c r="B682" s="63"/>
      <c r="C682" s="63"/>
      <c r="D682" s="64"/>
      <c r="E682" s="66"/>
      <c r="F682" s="103" t="str">
        <f>HYPERLINK("https://pbs.twimg.com/profile_images/1479570680136052739/MPYzijZ2_normal.jpg")</f>
        <v>https://pbs.twimg.com/profile_images/1479570680136052739/MPYzijZ2_normal.jpg</v>
      </c>
      <c r="G682" s="63"/>
      <c r="H682" s="67"/>
      <c r="I682" s="68"/>
      <c r="J682" s="68"/>
      <c r="K682" s="67" t="s">
        <v>28276</v>
      </c>
      <c r="L682" s="71"/>
      <c r="M682" s="72"/>
      <c r="N682" s="72"/>
      <c r="O682" s="73"/>
      <c r="P682" s="74"/>
      <c r="Q682" s="74"/>
      <c r="R682" s="87"/>
      <c r="S682" s="87"/>
      <c r="T682" s="87"/>
      <c r="U682" s="87"/>
      <c r="V682" s="48"/>
      <c r="W682" s="48"/>
      <c r="X682" s="48"/>
      <c r="Y682" s="48"/>
      <c r="Z682" s="47"/>
      <c r="AA682" s="69">
        <v>682</v>
      </c>
      <c r="AB682" s="69"/>
      <c r="AC682" s="70"/>
      <c r="AD682" s="76" t="s">
        <v>21919</v>
      </c>
      <c r="AE682" s="81" t="s">
        <v>20720</v>
      </c>
      <c r="AF682" s="76">
        <v>68</v>
      </c>
      <c r="AG682" s="76">
        <v>53</v>
      </c>
      <c r="AH682" s="76">
        <v>6341</v>
      </c>
      <c r="AI682" s="76">
        <v>1</v>
      </c>
      <c r="AJ682" s="76">
        <v>2</v>
      </c>
      <c r="AK682" s="76">
        <v>6296</v>
      </c>
      <c r="AL682" s="76" t="b">
        <v>0</v>
      </c>
      <c r="AM682" s="78">
        <v>44568.908715277779</v>
      </c>
      <c r="AN682" s="76" t="s">
        <v>14501</v>
      </c>
      <c r="AO682" s="76" t="s">
        <v>25324</v>
      </c>
      <c r="AP682" s="82" t="str">
        <f>HYPERLINK("https://t.co/CM1JL28g2q")</f>
        <v>https://t.co/CM1JL28g2q</v>
      </c>
      <c r="AQ682" s="82" t="str">
        <f>HYPERLINK("http://www.saltaaldianoticias.com.ar")</f>
        <v>http://www.saltaaldianoticias.com.ar</v>
      </c>
      <c r="AR682" s="76" t="s">
        <v>26740</v>
      </c>
      <c r="AS682" s="76"/>
      <c r="AT682" s="76"/>
      <c r="AU682" s="76"/>
      <c r="AV682" s="76"/>
      <c r="AW682" s="82" t="str">
        <f>HYPERLINK("https://t.co/CM1JL28g2q")</f>
        <v>https://t.co/CM1JL28g2q</v>
      </c>
      <c r="AX682" s="76" t="b">
        <v>0</v>
      </c>
      <c r="AY682" s="76"/>
      <c r="AZ682" s="76"/>
      <c r="BA682" s="76" t="b">
        <v>0</v>
      </c>
      <c r="BB682" s="76" t="b">
        <v>1</v>
      </c>
      <c r="BC682" s="76" t="b">
        <v>1</v>
      </c>
      <c r="BD682" s="76" t="b">
        <v>0</v>
      </c>
      <c r="BE682" s="76" t="b">
        <v>0</v>
      </c>
      <c r="BF682" s="76" t="b">
        <v>0</v>
      </c>
      <c r="BG682" s="76" t="b">
        <v>0</v>
      </c>
      <c r="BH682" s="82" t="str">
        <f>HYPERLINK("https://pbs.twimg.com/profile_banners/1479570551958126596/1641593689")</f>
        <v>https://pbs.twimg.com/profile_banners/1479570551958126596/1641593689</v>
      </c>
      <c r="BI682" s="76"/>
      <c r="BJ682" s="76" t="s">
        <v>27595</v>
      </c>
      <c r="BK682" s="76" t="b">
        <v>0</v>
      </c>
      <c r="BL682" s="76"/>
      <c r="BM682" s="76" t="s">
        <v>66</v>
      </c>
      <c r="BN682" s="76" t="s">
        <v>27597</v>
      </c>
      <c r="BO682" s="82" t="str">
        <f>HYPERLINK("https://twitter.com/saltaaldiaok")</f>
        <v>https://twitter.com/saltaaldiaok</v>
      </c>
      <c r="BP682" s="2"/>
    </row>
    <row r="683" spans="1:68" x14ac:dyDescent="0.25">
      <c r="A683" s="62" t="s">
        <v>700</v>
      </c>
      <c r="B683" s="63"/>
      <c r="C683" s="63"/>
      <c r="D683" s="64"/>
      <c r="E683" s="66"/>
      <c r="F683" s="103" t="str">
        <f>HYPERLINK("https://pbs.twimg.com/profile_images/1268473977749540869/awqXuQj0_normal.jpg")</f>
        <v>https://pbs.twimg.com/profile_images/1268473977749540869/awqXuQj0_normal.jpg</v>
      </c>
      <c r="G683" s="63"/>
      <c r="H683" s="67"/>
      <c r="I683" s="68"/>
      <c r="J683" s="68"/>
      <c r="K683" s="67" t="s">
        <v>28277</v>
      </c>
      <c r="L683" s="71"/>
      <c r="M683" s="72"/>
      <c r="N683" s="72"/>
      <c r="O683" s="73"/>
      <c r="P683" s="74"/>
      <c r="Q683" s="74"/>
      <c r="R683" s="87"/>
      <c r="S683" s="87"/>
      <c r="T683" s="87"/>
      <c r="U683" s="87"/>
      <c r="V683" s="48"/>
      <c r="W683" s="48"/>
      <c r="X683" s="48"/>
      <c r="Y683" s="48"/>
      <c r="Z683" s="47"/>
      <c r="AA683" s="69">
        <v>683</v>
      </c>
      <c r="AB683" s="69"/>
      <c r="AC683" s="70"/>
      <c r="AD683" s="76" t="s">
        <v>21920</v>
      </c>
      <c r="AE683" s="81" t="s">
        <v>23438</v>
      </c>
      <c r="AF683" s="76">
        <v>1111</v>
      </c>
      <c r="AG683" s="76">
        <v>0</v>
      </c>
      <c r="AH683" s="76">
        <v>686</v>
      </c>
      <c r="AI683" s="76">
        <v>1</v>
      </c>
      <c r="AJ683" s="76">
        <v>284</v>
      </c>
      <c r="AK683" s="76">
        <v>583</v>
      </c>
      <c r="AL683" s="76" t="b">
        <v>0</v>
      </c>
      <c r="AM683" s="78">
        <v>40825.825868055559</v>
      </c>
      <c r="AN683" s="76" t="s">
        <v>24334</v>
      </c>
      <c r="AO683" s="76" t="s">
        <v>25325</v>
      </c>
      <c r="AP683" s="82" t="str">
        <f>HYPERLINK("https://t.co/SJ63Jvinjn")</f>
        <v>https://t.co/SJ63Jvinjn</v>
      </c>
      <c r="AQ683" s="82" t="str">
        <f>HYPERLINK("https://www.youtube.com/netsysmx/")</f>
        <v>https://www.youtube.com/netsysmx/</v>
      </c>
      <c r="AR683" s="76" t="s">
        <v>26741</v>
      </c>
      <c r="AS683" s="76"/>
      <c r="AT683" s="76"/>
      <c r="AU683" s="76"/>
      <c r="AV683" s="76">
        <v>1.70185804619907E+18</v>
      </c>
      <c r="AW683" s="82" t="str">
        <f>HYPERLINK("https://t.co/SJ63Jvinjn")</f>
        <v>https://t.co/SJ63Jvinjn</v>
      </c>
      <c r="AX683" s="76" t="b">
        <v>1</v>
      </c>
      <c r="AY683" s="76"/>
      <c r="AZ683" s="76"/>
      <c r="BA683" s="76" t="b">
        <v>0</v>
      </c>
      <c r="BB683" s="76" t="b">
        <v>1</v>
      </c>
      <c r="BC683" s="76" t="b">
        <v>0</v>
      </c>
      <c r="BD683" s="76" t="b">
        <v>0</v>
      </c>
      <c r="BE683" s="76" t="b">
        <v>0</v>
      </c>
      <c r="BF683" s="76" t="b">
        <v>0</v>
      </c>
      <c r="BG683" s="76" t="b">
        <v>0</v>
      </c>
      <c r="BH683" s="82" t="str">
        <f>HYPERLINK("https://pbs.twimg.com/profile_banners/387855674/1591262776")</f>
        <v>https://pbs.twimg.com/profile_banners/387855674/1591262776</v>
      </c>
      <c r="BI683" s="76"/>
      <c r="BJ683" s="76" t="s">
        <v>27595</v>
      </c>
      <c r="BK683" s="76" t="b">
        <v>0</v>
      </c>
      <c r="BL683" s="76"/>
      <c r="BM683" s="76" t="s">
        <v>66</v>
      </c>
      <c r="BN683" s="76" t="s">
        <v>27597</v>
      </c>
      <c r="BO683" s="82" t="str">
        <f>HYPERLINK("https://twitter.com/netsysmx1")</f>
        <v>https://twitter.com/netsysmx1</v>
      </c>
      <c r="BP683" s="2"/>
    </row>
    <row r="684" spans="1:68" x14ac:dyDescent="0.25">
      <c r="A684" s="62" t="s">
        <v>701</v>
      </c>
      <c r="B684" s="63"/>
      <c r="C684" s="63"/>
      <c r="D684" s="64"/>
      <c r="E684" s="66"/>
      <c r="F684" s="103" t="str">
        <f>HYPERLINK("https://pbs.twimg.com/profile_images/779866396918448128/y0ovyIDg_normal.jpg")</f>
        <v>https://pbs.twimg.com/profile_images/779866396918448128/y0ovyIDg_normal.jpg</v>
      </c>
      <c r="G684" s="63"/>
      <c r="H684" s="67"/>
      <c r="I684" s="68"/>
      <c r="J684" s="68"/>
      <c r="K684" s="67" t="s">
        <v>28278</v>
      </c>
      <c r="L684" s="71"/>
      <c r="M684" s="72"/>
      <c r="N684" s="72"/>
      <c r="O684" s="73"/>
      <c r="P684" s="74"/>
      <c r="Q684" s="74"/>
      <c r="R684" s="87"/>
      <c r="S684" s="87"/>
      <c r="T684" s="87"/>
      <c r="U684" s="87"/>
      <c r="V684" s="48"/>
      <c r="W684" s="48"/>
      <c r="X684" s="48"/>
      <c r="Y684" s="48"/>
      <c r="Z684" s="47"/>
      <c r="AA684" s="69">
        <v>684</v>
      </c>
      <c r="AB684" s="69"/>
      <c r="AC684" s="70"/>
      <c r="AD684" s="76" t="s">
        <v>21921</v>
      </c>
      <c r="AE684" s="81" t="s">
        <v>23439</v>
      </c>
      <c r="AF684" s="76">
        <v>23648</v>
      </c>
      <c r="AG684" s="76">
        <v>20213</v>
      </c>
      <c r="AH684" s="76">
        <v>878480</v>
      </c>
      <c r="AI684" s="76">
        <v>56</v>
      </c>
      <c r="AJ684" s="76">
        <v>806409</v>
      </c>
      <c r="AK684" s="76">
        <v>9960</v>
      </c>
      <c r="AL684" s="76" t="b">
        <v>0</v>
      </c>
      <c r="AM684" s="78">
        <v>41490.732523148145</v>
      </c>
      <c r="AN684" s="76" t="s">
        <v>14382</v>
      </c>
      <c r="AO684" s="76" t="s">
        <v>25326</v>
      </c>
      <c r="AP684" s="76"/>
      <c r="AQ684" s="76"/>
      <c r="AR684" s="76"/>
      <c r="AS684" s="76"/>
      <c r="AT684" s="76"/>
      <c r="AU684" s="76"/>
      <c r="AV684" s="76"/>
      <c r="AW684" s="76"/>
      <c r="AX684" s="76" t="b">
        <v>0</v>
      </c>
      <c r="AY684" s="76"/>
      <c r="AZ684" s="76"/>
      <c r="BA684" s="76" t="b">
        <v>0</v>
      </c>
      <c r="BB684" s="76" t="b">
        <v>0</v>
      </c>
      <c r="BC684" s="76" t="b">
        <v>0</v>
      </c>
      <c r="BD684" s="76" t="b">
        <v>0</v>
      </c>
      <c r="BE684" s="76" t="b">
        <v>1</v>
      </c>
      <c r="BF684" s="76" t="b">
        <v>0</v>
      </c>
      <c r="BG684" s="76" t="b">
        <v>0</v>
      </c>
      <c r="BH684" s="82" t="str">
        <f>HYPERLINK("https://pbs.twimg.com/profile_banners/1645736942/1455975158")</f>
        <v>https://pbs.twimg.com/profile_banners/1645736942/1455975158</v>
      </c>
      <c r="BI684" s="76"/>
      <c r="BJ684" s="76" t="s">
        <v>27595</v>
      </c>
      <c r="BK684" s="76" t="b">
        <v>0</v>
      </c>
      <c r="BL684" s="76"/>
      <c r="BM684" s="76" t="s">
        <v>66</v>
      </c>
      <c r="BN684" s="76" t="s">
        <v>27597</v>
      </c>
      <c r="BO684" s="82" t="str">
        <f>HYPERLINK("https://twitter.com/arte_prima")</f>
        <v>https://twitter.com/arte_prima</v>
      </c>
      <c r="BP684" s="2"/>
    </row>
    <row r="685" spans="1:68" x14ac:dyDescent="0.25">
      <c r="A685" s="62" t="s">
        <v>702</v>
      </c>
      <c r="B685" s="63"/>
      <c r="C685" s="63"/>
      <c r="D685" s="64"/>
      <c r="E685" s="66"/>
      <c r="F685" s="103" t="str">
        <f>HYPERLINK("https://pbs.twimg.com/profile_images/1654888059559636993/Iqc4kr6O_normal.jpg")</f>
        <v>https://pbs.twimg.com/profile_images/1654888059559636993/Iqc4kr6O_normal.jpg</v>
      </c>
      <c r="G685" s="63"/>
      <c r="H685" s="67"/>
      <c r="I685" s="68"/>
      <c r="J685" s="68"/>
      <c r="K685" s="67" t="s">
        <v>28279</v>
      </c>
      <c r="L685" s="71"/>
      <c r="M685" s="72"/>
      <c r="N685" s="72"/>
      <c r="O685" s="73"/>
      <c r="P685" s="74"/>
      <c r="Q685" s="74"/>
      <c r="R685" s="87"/>
      <c r="S685" s="87"/>
      <c r="T685" s="87"/>
      <c r="U685" s="87"/>
      <c r="V685" s="48"/>
      <c r="W685" s="48"/>
      <c r="X685" s="48"/>
      <c r="Y685" s="48"/>
      <c r="Z685" s="47"/>
      <c r="AA685" s="69">
        <v>685</v>
      </c>
      <c r="AB685" s="69"/>
      <c r="AC685" s="70"/>
      <c r="AD685" s="76" t="s">
        <v>21922</v>
      </c>
      <c r="AE685" s="81" t="s">
        <v>23440</v>
      </c>
      <c r="AF685" s="76">
        <v>13675</v>
      </c>
      <c r="AG685" s="76">
        <v>1479</v>
      </c>
      <c r="AH685" s="76">
        <v>54921</v>
      </c>
      <c r="AI685" s="76">
        <v>54</v>
      </c>
      <c r="AJ685" s="76">
        <v>29638</v>
      </c>
      <c r="AK685" s="76">
        <v>4394</v>
      </c>
      <c r="AL685" s="76" t="b">
        <v>0</v>
      </c>
      <c r="AM685" s="78">
        <v>41036.569050925929</v>
      </c>
      <c r="AN685" s="76" t="s">
        <v>24335</v>
      </c>
      <c r="AO685" s="76" t="s">
        <v>25327</v>
      </c>
      <c r="AP685" s="76"/>
      <c r="AQ685" s="76"/>
      <c r="AR685" s="76"/>
      <c r="AS685" s="76"/>
      <c r="AT685" s="76"/>
      <c r="AU685" s="76"/>
      <c r="AV685" s="76"/>
      <c r="AW685" s="76"/>
      <c r="AX685" s="76" t="b">
        <v>0</v>
      </c>
      <c r="AY685" s="76"/>
      <c r="AZ685" s="76"/>
      <c r="BA685" s="76" t="b">
        <v>1</v>
      </c>
      <c r="BB685" s="76" t="b">
        <v>1</v>
      </c>
      <c r="BC685" s="76" t="b">
        <v>0</v>
      </c>
      <c r="BD685" s="76" t="b">
        <v>0</v>
      </c>
      <c r="BE685" s="76" t="b">
        <v>1</v>
      </c>
      <c r="BF685" s="76" t="b">
        <v>0</v>
      </c>
      <c r="BG685" s="76" t="b">
        <v>0</v>
      </c>
      <c r="BH685" s="82" t="str">
        <f>HYPERLINK("https://pbs.twimg.com/profile_banners/573729744/1617582245")</f>
        <v>https://pbs.twimg.com/profile_banners/573729744/1617582245</v>
      </c>
      <c r="BI685" s="76"/>
      <c r="BJ685" s="76" t="s">
        <v>27595</v>
      </c>
      <c r="BK685" s="76" t="b">
        <v>0</v>
      </c>
      <c r="BL685" s="76"/>
      <c r="BM685" s="76" t="s">
        <v>66</v>
      </c>
      <c r="BN685" s="76" t="s">
        <v>27597</v>
      </c>
      <c r="BO685" s="82" t="str">
        <f>HYPERLINK("https://twitter.com/acostasamu")</f>
        <v>https://twitter.com/acostasamu</v>
      </c>
      <c r="BP685" s="2"/>
    </row>
    <row r="686" spans="1:68" x14ac:dyDescent="0.25">
      <c r="A686" s="62" t="s">
        <v>1667</v>
      </c>
      <c r="B686" s="63"/>
      <c r="C686" s="63"/>
      <c r="D686" s="64"/>
      <c r="E686" s="66"/>
      <c r="F686" s="103" t="str">
        <f>HYPERLINK("https://pbs.twimg.com/profile_images/1664286240819277826/Psh58k5C_normal.jpg")</f>
        <v>https://pbs.twimg.com/profile_images/1664286240819277826/Psh58k5C_normal.jpg</v>
      </c>
      <c r="G686" s="63"/>
      <c r="H686" s="67"/>
      <c r="I686" s="68"/>
      <c r="J686" s="68"/>
      <c r="K686" s="67" t="s">
        <v>28280</v>
      </c>
      <c r="L686" s="71"/>
      <c r="M686" s="72"/>
      <c r="N686" s="72"/>
      <c r="O686" s="73"/>
      <c r="P686" s="74"/>
      <c r="Q686" s="74"/>
      <c r="R686" s="87"/>
      <c r="S686" s="87"/>
      <c r="T686" s="87"/>
      <c r="U686" s="87"/>
      <c r="V686" s="48"/>
      <c r="W686" s="48"/>
      <c r="X686" s="48"/>
      <c r="Y686" s="48"/>
      <c r="Z686" s="47"/>
      <c r="AA686" s="69">
        <v>686</v>
      </c>
      <c r="AB686" s="69"/>
      <c r="AC686" s="70"/>
      <c r="AD686" s="76" t="s">
        <v>21923</v>
      </c>
      <c r="AE686" s="81" t="s">
        <v>23441</v>
      </c>
      <c r="AF686" s="76">
        <v>86423</v>
      </c>
      <c r="AG686" s="76">
        <v>3</v>
      </c>
      <c r="AH686" s="76">
        <v>4942</v>
      </c>
      <c r="AI686" s="76">
        <v>191</v>
      </c>
      <c r="AJ686" s="76">
        <v>73</v>
      </c>
      <c r="AK686" s="76">
        <v>3611</v>
      </c>
      <c r="AL686" s="76" t="b">
        <v>0</v>
      </c>
      <c r="AM686" s="78">
        <v>41551.527673611112</v>
      </c>
      <c r="AN686" s="76" t="s">
        <v>24335</v>
      </c>
      <c r="AO686" s="76" t="s">
        <v>25328</v>
      </c>
      <c r="AP686" s="82" t="str">
        <f>HYPERLINK("https://t.co/BpZdu57ETW")</f>
        <v>https://t.co/BpZdu57ETW</v>
      </c>
      <c r="AQ686" s="82" t="str">
        <f>HYPERLINK("http://www.bcp.gov.py")</f>
        <v>http://www.bcp.gov.py</v>
      </c>
      <c r="AR686" s="76" t="s">
        <v>26742</v>
      </c>
      <c r="AS686" s="76"/>
      <c r="AT686" s="76"/>
      <c r="AU686" s="76"/>
      <c r="AV686" s="76"/>
      <c r="AW686" s="82" t="str">
        <f>HYPERLINK("https://t.co/BpZdu57ETW")</f>
        <v>https://t.co/BpZdu57ETW</v>
      </c>
      <c r="AX686" s="76" t="b">
        <v>0</v>
      </c>
      <c r="AY686" s="76"/>
      <c r="AZ686" s="76"/>
      <c r="BA686" s="76" t="b">
        <v>0</v>
      </c>
      <c r="BB686" s="76" t="b">
        <v>1</v>
      </c>
      <c r="BC686" s="76" t="b">
        <v>0</v>
      </c>
      <c r="BD686" s="76" t="b">
        <v>0</v>
      </c>
      <c r="BE686" s="76" t="b">
        <v>0</v>
      </c>
      <c r="BF686" s="76" t="b">
        <v>0</v>
      </c>
      <c r="BG686" s="76" t="b">
        <v>0</v>
      </c>
      <c r="BH686" s="82" t="str">
        <f>HYPERLINK("https://pbs.twimg.com/profile_banners/1934121132/1643283055")</f>
        <v>https://pbs.twimg.com/profile_banners/1934121132/1643283055</v>
      </c>
      <c r="BI686" s="76"/>
      <c r="BJ686" s="76" t="s">
        <v>27595</v>
      </c>
      <c r="BK686" s="76" t="b">
        <v>0</v>
      </c>
      <c r="BL686" s="76"/>
      <c r="BM686" s="76" t="s">
        <v>66</v>
      </c>
      <c r="BN686" s="76" t="s">
        <v>27597</v>
      </c>
      <c r="BO686" s="82" t="str">
        <f>HYPERLINK("https://twitter.com/bcp_py")</f>
        <v>https://twitter.com/bcp_py</v>
      </c>
      <c r="BP686" s="2"/>
    </row>
    <row r="687" spans="1:68" x14ac:dyDescent="0.25">
      <c r="A687" s="62" t="s">
        <v>703</v>
      </c>
      <c r="B687" s="63"/>
      <c r="C687" s="63"/>
      <c r="D687" s="64"/>
      <c r="E687" s="66"/>
      <c r="F687" s="103" t="str">
        <f>HYPERLINK("https://pbs.twimg.com/profile_images/1201460821416665088/v14sLMOC_normal.png")</f>
        <v>https://pbs.twimg.com/profile_images/1201460821416665088/v14sLMOC_normal.png</v>
      </c>
      <c r="G687" s="63"/>
      <c r="H687" s="67"/>
      <c r="I687" s="68"/>
      <c r="J687" s="68"/>
      <c r="K687" s="67" t="s">
        <v>28281</v>
      </c>
      <c r="L687" s="71"/>
      <c r="M687" s="72"/>
      <c r="N687" s="72"/>
      <c r="O687" s="73"/>
      <c r="P687" s="74"/>
      <c r="Q687" s="74"/>
      <c r="R687" s="87"/>
      <c r="S687" s="87"/>
      <c r="T687" s="87"/>
      <c r="U687" s="87"/>
      <c r="V687" s="48"/>
      <c r="W687" s="48"/>
      <c r="X687" s="48"/>
      <c r="Y687" s="48"/>
      <c r="Z687" s="47"/>
      <c r="AA687" s="69">
        <v>687</v>
      </c>
      <c r="AB687" s="69"/>
      <c r="AC687" s="70"/>
      <c r="AD687" s="76" t="s">
        <v>21924</v>
      </c>
      <c r="AE687" s="81" t="s">
        <v>23442</v>
      </c>
      <c r="AF687" s="76">
        <v>260</v>
      </c>
      <c r="AG687" s="76">
        <v>218</v>
      </c>
      <c r="AH687" s="76">
        <v>2042</v>
      </c>
      <c r="AI687" s="76">
        <v>11</v>
      </c>
      <c r="AJ687" s="76">
        <v>300</v>
      </c>
      <c r="AK687" s="76">
        <v>812</v>
      </c>
      <c r="AL687" s="76" t="b">
        <v>0</v>
      </c>
      <c r="AM687" s="78">
        <v>40134.757025462961</v>
      </c>
      <c r="AN687" s="76" t="s">
        <v>14479</v>
      </c>
      <c r="AO687" s="76" t="s">
        <v>25329</v>
      </c>
      <c r="AP687" s="82" t="str">
        <f>HYPERLINK("http://t.co/q52FeYy9cW")</f>
        <v>http://t.co/q52FeYy9cW</v>
      </c>
      <c r="AQ687" s="82" t="str">
        <f>HYPERLINK("http://www.diamondbrasil.com")</f>
        <v>http://www.diamondbrasil.com</v>
      </c>
      <c r="AR687" s="76" t="s">
        <v>8731</v>
      </c>
      <c r="AS687" s="76"/>
      <c r="AT687" s="76"/>
      <c r="AU687" s="76"/>
      <c r="AV687" s="76"/>
      <c r="AW687" s="82" t="str">
        <f>HYPERLINK("http://t.co/q52FeYy9cW")</f>
        <v>http://t.co/q52FeYy9cW</v>
      </c>
      <c r="AX687" s="76" t="b">
        <v>0</v>
      </c>
      <c r="AY687" s="76"/>
      <c r="AZ687" s="76"/>
      <c r="BA687" s="76" t="b">
        <v>0</v>
      </c>
      <c r="BB687" s="76" t="b">
        <v>1</v>
      </c>
      <c r="BC687" s="76" t="b">
        <v>0</v>
      </c>
      <c r="BD687" s="76" t="b">
        <v>0</v>
      </c>
      <c r="BE687" s="76" t="b">
        <v>0</v>
      </c>
      <c r="BF687" s="76" t="b">
        <v>0</v>
      </c>
      <c r="BG687" s="76" t="b">
        <v>0</v>
      </c>
      <c r="BH687" s="82" t="str">
        <f>HYPERLINK("https://pbs.twimg.com/profile_banners/90683850/1610384498")</f>
        <v>https://pbs.twimg.com/profile_banners/90683850/1610384498</v>
      </c>
      <c r="BI687" s="76"/>
      <c r="BJ687" s="76" t="s">
        <v>27595</v>
      </c>
      <c r="BK687" s="76" t="b">
        <v>0</v>
      </c>
      <c r="BL687" s="76"/>
      <c r="BM687" s="76" t="s">
        <v>66</v>
      </c>
      <c r="BN687" s="76" t="s">
        <v>27597</v>
      </c>
      <c r="BO687" s="82" t="str">
        <f>HYPERLINK("https://twitter.com/diamondbrasil")</f>
        <v>https://twitter.com/diamondbrasil</v>
      </c>
      <c r="BP687" s="2"/>
    </row>
    <row r="688" spans="1:68" x14ac:dyDescent="0.25">
      <c r="A688" s="62" t="s">
        <v>704</v>
      </c>
      <c r="B688" s="63"/>
      <c r="C688" s="63"/>
      <c r="D688" s="64"/>
      <c r="E688" s="66"/>
      <c r="F688" s="103" t="str">
        <f>HYPERLINK("https://pbs.twimg.com/profile_images/1207764263403548673/YtW6Vm99_normal.jpg")</f>
        <v>https://pbs.twimg.com/profile_images/1207764263403548673/YtW6Vm99_normal.jpg</v>
      </c>
      <c r="G688" s="63"/>
      <c r="H688" s="67"/>
      <c r="I688" s="68"/>
      <c r="J688" s="68"/>
      <c r="K688" s="67" t="s">
        <v>28282</v>
      </c>
      <c r="L688" s="71"/>
      <c r="M688" s="72"/>
      <c r="N688" s="72"/>
      <c r="O688" s="73"/>
      <c r="P688" s="74"/>
      <c r="Q688" s="74"/>
      <c r="R688" s="87"/>
      <c r="S688" s="87"/>
      <c r="T688" s="87"/>
      <c r="U688" s="87"/>
      <c r="V688" s="48"/>
      <c r="W688" s="48"/>
      <c r="X688" s="48"/>
      <c r="Y688" s="48"/>
      <c r="Z688" s="47"/>
      <c r="AA688" s="69">
        <v>688</v>
      </c>
      <c r="AB688" s="69"/>
      <c r="AC688" s="70"/>
      <c r="AD688" s="76" t="s">
        <v>21925</v>
      </c>
      <c r="AE688" s="81" t="s">
        <v>20721</v>
      </c>
      <c r="AF688" s="76">
        <v>34</v>
      </c>
      <c r="AG688" s="76">
        <v>59</v>
      </c>
      <c r="AH688" s="76">
        <v>1153</v>
      </c>
      <c r="AI688" s="76">
        <v>0</v>
      </c>
      <c r="AJ688" s="76">
        <v>1</v>
      </c>
      <c r="AK688" s="76">
        <v>992</v>
      </c>
      <c r="AL688" s="76" t="b">
        <v>0</v>
      </c>
      <c r="AM688" s="78">
        <v>43818.865729166668</v>
      </c>
      <c r="AN688" s="76" t="s">
        <v>24336</v>
      </c>
      <c r="AO688" s="81" t="s">
        <v>25330</v>
      </c>
      <c r="AP688" s="76"/>
      <c r="AQ688" s="76"/>
      <c r="AR688" s="76"/>
      <c r="AS688" s="76"/>
      <c r="AT688" s="76"/>
      <c r="AU688" s="76"/>
      <c r="AV688" s="76">
        <v>1.2179268536646799E+18</v>
      </c>
      <c r="AW688" s="76"/>
      <c r="AX688" s="76" t="b">
        <v>0</v>
      </c>
      <c r="AY688" s="76"/>
      <c r="AZ688" s="76"/>
      <c r="BA688" s="76" t="b">
        <v>1</v>
      </c>
      <c r="BB688" s="76" t="b">
        <v>1</v>
      </c>
      <c r="BC688" s="76" t="b">
        <v>1</v>
      </c>
      <c r="BD688" s="76" t="b">
        <v>0</v>
      </c>
      <c r="BE688" s="76" t="b">
        <v>0</v>
      </c>
      <c r="BF688" s="76" t="b">
        <v>0</v>
      </c>
      <c r="BG688" s="76" t="b">
        <v>0</v>
      </c>
      <c r="BH688" s="76"/>
      <c r="BI688" s="76"/>
      <c r="BJ688" s="76" t="s">
        <v>27595</v>
      </c>
      <c r="BK688" s="76" t="b">
        <v>0</v>
      </c>
      <c r="BL688" s="76"/>
      <c r="BM688" s="76" t="s">
        <v>66</v>
      </c>
      <c r="BN688" s="76" t="s">
        <v>27597</v>
      </c>
      <c r="BO688" s="82" t="str">
        <f>HYPERLINK("https://twitter.com/ecuatorianalec")</f>
        <v>https://twitter.com/ecuatorianalec</v>
      </c>
      <c r="BP688" s="2"/>
    </row>
    <row r="689" spans="1:68" x14ac:dyDescent="0.25">
      <c r="A689" s="62" t="s">
        <v>705</v>
      </c>
      <c r="B689" s="63"/>
      <c r="C689" s="63"/>
      <c r="D689" s="64"/>
      <c r="E689" s="66"/>
      <c r="F689" s="103" t="str">
        <f>HYPERLINK("https://pbs.twimg.com/profile_images/1051054370161389568/1FDGLbT__normal.jpg")</f>
        <v>https://pbs.twimg.com/profile_images/1051054370161389568/1FDGLbT__normal.jpg</v>
      </c>
      <c r="G689" s="63"/>
      <c r="H689" s="67"/>
      <c r="I689" s="68"/>
      <c r="J689" s="68"/>
      <c r="K689" s="67" t="s">
        <v>28283</v>
      </c>
      <c r="L689" s="71"/>
      <c r="M689" s="72"/>
      <c r="N689" s="72"/>
      <c r="O689" s="73"/>
      <c r="P689" s="74"/>
      <c r="Q689" s="74"/>
      <c r="R689" s="87"/>
      <c r="S689" s="87"/>
      <c r="T689" s="87"/>
      <c r="U689" s="87"/>
      <c r="V689" s="48"/>
      <c r="W689" s="48"/>
      <c r="X689" s="48"/>
      <c r="Y689" s="48"/>
      <c r="Z689" s="47"/>
      <c r="AA689" s="69">
        <v>689</v>
      </c>
      <c r="AB689" s="69"/>
      <c r="AC689" s="70"/>
      <c r="AD689" s="76" t="s">
        <v>21926</v>
      </c>
      <c r="AE689" s="81" t="s">
        <v>20722</v>
      </c>
      <c r="AF689" s="76">
        <v>99</v>
      </c>
      <c r="AG689" s="76">
        <v>567</v>
      </c>
      <c r="AH689" s="76">
        <v>480</v>
      </c>
      <c r="AI689" s="76">
        <v>0</v>
      </c>
      <c r="AJ689" s="76">
        <v>97</v>
      </c>
      <c r="AK689" s="76">
        <v>72</v>
      </c>
      <c r="AL689" s="76" t="b">
        <v>0</v>
      </c>
      <c r="AM689" s="78">
        <v>43386.419259259259</v>
      </c>
      <c r="AN689" s="76" t="s">
        <v>24238</v>
      </c>
      <c r="AO689" s="76" t="s">
        <v>25331</v>
      </c>
      <c r="AP689" s="76"/>
      <c r="AQ689" s="76"/>
      <c r="AR689" s="76"/>
      <c r="AS689" s="76"/>
      <c r="AT689" s="76"/>
      <c r="AU689" s="76"/>
      <c r="AV689" s="76"/>
      <c r="AW689" s="76"/>
      <c r="AX689" s="76" t="b">
        <v>0</v>
      </c>
      <c r="AY689" s="76"/>
      <c r="AZ689" s="76"/>
      <c r="BA689" s="76" t="b">
        <v>0</v>
      </c>
      <c r="BB689" s="76" t="b">
        <v>1</v>
      </c>
      <c r="BC689" s="76" t="b">
        <v>0</v>
      </c>
      <c r="BD689" s="76" t="b">
        <v>0</v>
      </c>
      <c r="BE689" s="76" t="b">
        <v>0</v>
      </c>
      <c r="BF689" s="76" t="b">
        <v>0</v>
      </c>
      <c r="BG689" s="76" t="b">
        <v>0</v>
      </c>
      <c r="BH689" s="82" t="str">
        <f>HYPERLINK("https://pbs.twimg.com/profile_banners/1051050848426577920/1539425895")</f>
        <v>https://pbs.twimg.com/profile_banners/1051050848426577920/1539425895</v>
      </c>
      <c r="BI689" s="76"/>
      <c r="BJ689" s="76" t="s">
        <v>27595</v>
      </c>
      <c r="BK689" s="76" t="b">
        <v>0</v>
      </c>
      <c r="BL689" s="76"/>
      <c r="BM689" s="76" t="s">
        <v>66</v>
      </c>
      <c r="BN689" s="76" t="s">
        <v>27597</v>
      </c>
      <c r="BO689" s="82" t="str">
        <f>HYPERLINK("https://twitter.com/acarreras01")</f>
        <v>https://twitter.com/acarreras01</v>
      </c>
      <c r="BP689" s="2"/>
    </row>
    <row r="690" spans="1:68" x14ac:dyDescent="0.25">
      <c r="A690" s="62" t="s">
        <v>706</v>
      </c>
      <c r="B690" s="63"/>
      <c r="C690" s="63"/>
      <c r="D690" s="64"/>
      <c r="E690" s="66"/>
      <c r="F690" s="103" t="str">
        <f>HYPERLINK("https://pbs.twimg.com/profile_images/1475963690616860672/ht4hhZy5_normal.jpg")</f>
        <v>https://pbs.twimg.com/profile_images/1475963690616860672/ht4hhZy5_normal.jpg</v>
      </c>
      <c r="G690" s="63"/>
      <c r="H690" s="67"/>
      <c r="I690" s="68"/>
      <c r="J690" s="68"/>
      <c r="K690" s="67" t="s">
        <v>28284</v>
      </c>
      <c r="L690" s="71"/>
      <c r="M690" s="72"/>
      <c r="N690" s="72"/>
      <c r="O690" s="73"/>
      <c r="P690" s="74"/>
      <c r="Q690" s="74"/>
      <c r="R690" s="87"/>
      <c r="S690" s="87"/>
      <c r="T690" s="87"/>
      <c r="U690" s="87"/>
      <c r="V690" s="48"/>
      <c r="W690" s="48"/>
      <c r="X690" s="48"/>
      <c r="Y690" s="48"/>
      <c r="Z690" s="47"/>
      <c r="AA690" s="69">
        <v>690</v>
      </c>
      <c r="AB690" s="69"/>
      <c r="AC690" s="70"/>
      <c r="AD690" s="76" t="s">
        <v>21927</v>
      </c>
      <c r="AE690" s="81" t="s">
        <v>20723</v>
      </c>
      <c r="AF690" s="76">
        <v>614</v>
      </c>
      <c r="AG690" s="76">
        <v>1392</v>
      </c>
      <c r="AH690" s="76">
        <v>1172</v>
      </c>
      <c r="AI690" s="76">
        <v>0</v>
      </c>
      <c r="AJ690" s="76">
        <v>919</v>
      </c>
      <c r="AK690" s="76">
        <v>330</v>
      </c>
      <c r="AL690" s="76" t="b">
        <v>0</v>
      </c>
      <c r="AM690" s="78">
        <v>44242.755011574074</v>
      </c>
      <c r="AN690" s="76" t="s">
        <v>24337</v>
      </c>
      <c r="AO690" s="76" t="s">
        <v>25332</v>
      </c>
      <c r="AP690" s="76"/>
      <c r="AQ690" s="76"/>
      <c r="AR690" s="76"/>
      <c r="AS690" s="76"/>
      <c r="AT690" s="76"/>
      <c r="AU690" s="76"/>
      <c r="AV690" s="76"/>
      <c r="AW690" s="76"/>
      <c r="AX690" s="76" t="b">
        <v>0</v>
      </c>
      <c r="AY690" s="76"/>
      <c r="AZ690" s="76"/>
      <c r="BA690" s="76" t="b">
        <v>0</v>
      </c>
      <c r="BB690" s="76" t="b">
        <v>1</v>
      </c>
      <c r="BC690" s="76" t="b">
        <v>1</v>
      </c>
      <c r="BD690" s="76" t="b">
        <v>0</v>
      </c>
      <c r="BE690" s="76" t="b">
        <v>0</v>
      </c>
      <c r="BF690" s="76" t="b">
        <v>0</v>
      </c>
      <c r="BG690" s="76" t="b">
        <v>0</v>
      </c>
      <c r="BH690" s="82" t="str">
        <f>HYPERLINK("https://pbs.twimg.com/profile_banners/1361376441238175746/1665707892")</f>
        <v>https://pbs.twimg.com/profile_banners/1361376441238175746/1665707892</v>
      </c>
      <c r="BI690" s="76"/>
      <c r="BJ690" s="76" t="s">
        <v>27595</v>
      </c>
      <c r="BK690" s="76" t="b">
        <v>0</v>
      </c>
      <c r="BL690" s="76"/>
      <c r="BM690" s="76" t="s">
        <v>66</v>
      </c>
      <c r="BN690" s="76" t="s">
        <v>27597</v>
      </c>
      <c r="BO690" s="82" t="str">
        <f>HYPERLINK("https://twitter.com/empresaalgrec")</f>
        <v>https://twitter.com/empresaalgrec</v>
      </c>
      <c r="BP690" s="2"/>
    </row>
    <row r="691" spans="1:68" x14ac:dyDescent="0.25">
      <c r="A691" s="62" t="s">
        <v>707</v>
      </c>
      <c r="B691" s="63"/>
      <c r="C691" s="63"/>
      <c r="D691" s="64"/>
      <c r="E691" s="66"/>
      <c r="F691" s="103" t="str">
        <f>HYPERLINK("https://pbs.twimg.com/profile_images/1696629548434026496/WkyvvlFp_normal.jpg")</f>
        <v>https://pbs.twimg.com/profile_images/1696629548434026496/WkyvvlFp_normal.jpg</v>
      </c>
      <c r="G691" s="63"/>
      <c r="H691" s="67"/>
      <c r="I691" s="68"/>
      <c r="J691" s="68"/>
      <c r="K691" s="67" t="s">
        <v>28285</v>
      </c>
      <c r="L691" s="71"/>
      <c r="M691" s="72"/>
      <c r="N691" s="72"/>
      <c r="O691" s="73"/>
      <c r="P691" s="74"/>
      <c r="Q691" s="74"/>
      <c r="R691" s="87"/>
      <c r="S691" s="87"/>
      <c r="T691" s="87"/>
      <c r="U691" s="87"/>
      <c r="V691" s="48"/>
      <c r="W691" s="48"/>
      <c r="X691" s="48"/>
      <c r="Y691" s="48"/>
      <c r="Z691" s="47"/>
      <c r="AA691" s="69">
        <v>691</v>
      </c>
      <c r="AB691" s="69"/>
      <c r="AC691" s="70"/>
      <c r="AD691" s="76" t="s">
        <v>21928</v>
      </c>
      <c r="AE691" s="81" t="s">
        <v>20724</v>
      </c>
      <c r="AF691" s="76">
        <v>497</v>
      </c>
      <c r="AG691" s="76">
        <v>1128</v>
      </c>
      <c r="AH691" s="76">
        <v>915</v>
      </c>
      <c r="AI691" s="76">
        <v>0</v>
      </c>
      <c r="AJ691" s="76">
        <v>244</v>
      </c>
      <c r="AK691" s="76">
        <v>486</v>
      </c>
      <c r="AL691" s="76" t="b">
        <v>0</v>
      </c>
      <c r="AM691" s="78">
        <v>44181.847824074073</v>
      </c>
      <c r="AN691" s="76"/>
      <c r="AO691" s="76" t="s">
        <v>25333</v>
      </c>
      <c r="AP691" s="82" t="str">
        <f>HYPERLINK("https://t.co/Hh89jIKrcc")</f>
        <v>https://t.co/Hh89jIKrcc</v>
      </c>
      <c r="AQ691" s="82" t="str">
        <f>HYPERLINK("http://Allmylinks.com/FelipeFlorencio933")</f>
        <v>http://Allmylinks.com/FelipeFlorencio933</v>
      </c>
      <c r="AR691" s="76" t="s">
        <v>26743</v>
      </c>
      <c r="AS691" s="76"/>
      <c r="AT691" s="76"/>
      <c r="AU691" s="76"/>
      <c r="AV691" s="76"/>
      <c r="AW691" s="82" t="str">
        <f>HYPERLINK("https://t.co/Hh89jIKrcc")</f>
        <v>https://t.co/Hh89jIKrcc</v>
      </c>
      <c r="AX691" s="76" t="b">
        <v>0</v>
      </c>
      <c r="AY691" s="76"/>
      <c r="AZ691" s="76"/>
      <c r="BA691" s="76" t="b">
        <v>0</v>
      </c>
      <c r="BB691" s="76" t="b">
        <v>1</v>
      </c>
      <c r="BC691" s="76" t="b">
        <v>1</v>
      </c>
      <c r="BD691" s="76" t="b">
        <v>0</v>
      </c>
      <c r="BE691" s="76" t="b">
        <v>1</v>
      </c>
      <c r="BF691" s="76" t="b">
        <v>0</v>
      </c>
      <c r="BG691" s="76" t="b">
        <v>0</v>
      </c>
      <c r="BH691" s="82" t="str">
        <f>HYPERLINK("https://pbs.twimg.com/profile_banners/1339304445386088448/1633715838")</f>
        <v>https://pbs.twimg.com/profile_banners/1339304445386088448/1633715838</v>
      </c>
      <c r="BI691" s="76"/>
      <c r="BJ691" s="76" t="s">
        <v>27595</v>
      </c>
      <c r="BK691" s="76" t="b">
        <v>0</v>
      </c>
      <c r="BL691" s="76"/>
      <c r="BM691" s="76" t="s">
        <v>66</v>
      </c>
      <c r="BN691" s="76" t="s">
        <v>27597</v>
      </c>
      <c r="BO691" s="82" t="str">
        <f>HYPERLINK("https://twitter.com/felipefleandro")</f>
        <v>https://twitter.com/felipefleandro</v>
      </c>
      <c r="BP691" s="2"/>
    </row>
    <row r="692" spans="1:68" x14ac:dyDescent="0.25">
      <c r="A692" s="62" t="s">
        <v>708</v>
      </c>
      <c r="B692" s="63"/>
      <c r="C692" s="63"/>
      <c r="D692" s="64"/>
      <c r="E692" s="66"/>
      <c r="F692" s="103" t="str">
        <f>HYPERLINK("https://pbs.twimg.com/profile_images/1657196307327401987/8xBdGtwM_normal.jpg")</f>
        <v>https://pbs.twimg.com/profile_images/1657196307327401987/8xBdGtwM_normal.jpg</v>
      </c>
      <c r="G692" s="63"/>
      <c r="H692" s="67"/>
      <c r="I692" s="68"/>
      <c r="J692" s="68"/>
      <c r="K692" s="67" t="s">
        <v>28286</v>
      </c>
      <c r="L692" s="71"/>
      <c r="M692" s="72"/>
      <c r="N692" s="72"/>
      <c r="O692" s="73"/>
      <c r="P692" s="74"/>
      <c r="Q692" s="74"/>
      <c r="R692" s="87"/>
      <c r="S692" s="87"/>
      <c r="T692" s="87"/>
      <c r="U692" s="87"/>
      <c r="V692" s="48"/>
      <c r="W692" s="48"/>
      <c r="X692" s="48"/>
      <c r="Y692" s="48"/>
      <c r="Z692" s="47"/>
      <c r="AA692" s="69">
        <v>692</v>
      </c>
      <c r="AB692" s="69"/>
      <c r="AC692" s="70"/>
      <c r="AD692" s="76" t="s">
        <v>21929</v>
      </c>
      <c r="AE692" s="81" t="s">
        <v>20725</v>
      </c>
      <c r="AF692" s="76">
        <v>146</v>
      </c>
      <c r="AG692" s="76">
        <v>394</v>
      </c>
      <c r="AH692" s="76">
        <v>3048</v>
      </c>
      <c r="AI692" s="76">
        <v>2</v>
      </c>
      <c r="AJ692" s="76">
        <v>91</v>
      </c>
      <c r="AK692" s="76">
        <v>763</v>
      </c>
      <c r="AL692" s="76" t="b">
        <v>0</v>
      </c>
      <c r="AM692" s="78">
        <v>44602.612407407411</v>
      </c>
      <c r="AN692" s="76"/>
      <c r="AO692" s="76" t="s">
        <v>25334</v>
      </c>
      <c r="AP692" s="82" t="str">
        <f>HYPERLINK("https://t.co/xjjnCA5KAT")</f>
        <v>https://t.co/xjjnCA5KAT</v>
      </c>
      <c r="AQ692" s="82" t="str">
        <f>HYPERLINK("https://elconfidencialonline.com/")</f>
        <v>https://elconfidencialonline.com/</v>
      </c>
      <c r="AR692" s="76" t="s">
        <v>8733</v>
      </c>
      <c r="AS692" s="76"/>
      <c r="AT692" s="76"/>
      <c r="AU692" s="76"/>
      <c r="AV692" s="76"/>
      <c r="AW692" s="82" t="str">
        <f>HYPERLINK("https://t.co/xjjnCA5KAT")</f>
        <v>https://t.co/xjjnCA5KAT</v>
      </c>
      <c r="AX692" s="76" t="b">
        <v>0</v>
      </c>
      <c r="AY692" s="76"/>
      <c r="AZ692" s="76"/>
      <c r="BA692" s="76" t="b">
        <v>0</v>
      </c>
      <c r="BB692" s="76" t="b">
        <v>1</v>
      </c>
      <c r="BC692" s="76" t="b">
        <v>1</v>
      </c>
      <c r="BD692" s="76" t="b">
        <v>0</v>
      </c>
      <c r="BE692" s="76" t="b">
        <v>1</v>
      </c>
      <c r="BF692" s="76" t="b">
        <v>0</v>
      </c>
      <c r="BG692" s="76" t="b">
        <v>0</v>
      </c>
      <c r="BH692" s="82" t="str">
        <f>HYPERLINK("https://pbs.twimg.com/profile_banners/1491784377247797250/1683941645")</f>
        <v>https://pbs.twimg.com/profile_banners/1491784377247797250/1683941645</v>
      </c>
      <c r="BI692" s="76"/>
      <c r="BJ692" s="76" t="s">
        <v>27595</v>
      </c>
      <c r="BK692" s="76" t="b">
        <v>0</v>
      </c>
      <c r="BL692" s="76"/>
      <c r="BM692" s="76" t="s">
        <v>66</v>
      </c>
      <c r="BN692" s="76" t="s">
        <v>27597</v>
      </c>
      <c r="BO692" s="82" t="str">
        <f>HYPERLINK("https://twitter.com/confidencial_ol")</f>
        <v>https://twitter.com/confidencial_ol</v>
      </c>
      <c r="BP692" s="2"/>
    </row>
    <row r="693" spans="1:68" x14ac:dyDescent="0.25">
      <c r="A693" s="62" t="s">
        <v>709</v>
      </c>
      <c r="B693" s="63"/>
      <c r="C693" s="63"/>
      <c r="D693" s="64"/>
      <c r="E693" s="66"/>
      <c r="F693" s="103" t="str">
        <f>HYPERLINK("https://pbs.twimg.com/profile_images/1448786957706964994/gxdjDQ8A_normal.jpg")</f>
        <v>https://pbs.twimg.com/profile_images/1448786957706964994/gxdjDQ8A_normal.jpg</v>
      </c>
      <c r="G693" s="63"/>
      <c r="H693" s="67"/>
      <c r="I693" s="68"/>
      <c r="J693" s="68"/>
      <c r="K693" s="67" t="s">
        <v>28287</v>
      </c>
      <c r="L693" s="71"/>
      <c r="M693" s="72"/>
      <c r="N693" s="72"/>
      <c r="O693" s="73"/>
      <c r="P693" s="74"/>
      <c r="Q693" s="74"/>
      <c r="R693" s="87"/>
      <c r="S693" s="87"/>
      <c r="T693" s="87"/>
      <c r="U693" s="87"/>
      <c r="V693" s="48"/>
      <c r="W693" s="48"/>
      <c r="X693" s="48"/>
      <c r="Y693" s="48"/>
      <c r="Z693" s="47"/>
      <c r="AA693" s="69">
        <v>693</v>
      </c>
      <c r="AB693" s="69"/>
      <c r="AC693" s="70"/>
      <c r="AD693" s="76" t="s">
        <v>21930</v>
      </c>
      <c r="AE693" s="81" t="s">
        <v>20726</v>
      </c>
      <c r="AF693" s="76">
        <v>64</v>
      </c>
      <c r="AG693" s="76">
        <v>43</v>
      </c>
      <c r="AH693" s="76">
        <v>4753</v>
      </c>
      <c r="AI693" s="76">
        <v>1</v>
      </c>
      <c r="AJ693" s="76">
        <v>13</v>
      </c>
      <c r="AK693" s="76">
        <v>1956</v>
      </c>
      <c r="AL693" s="76" t="b">
        <v>0</v>
      </c>
      <c r="AM693" s="78">
        <v>42712.848171296297</v>
      </c>
      <c r="AN693" s="76" t="s">
        <v>14405</v>
      </c>
      <c r="AO693" s="76" t="s">
        <v>25335</v>
      </c>
      <c r="AP693" s="82" t="str">
        <f>HYPERLINK("https://t.co/gQaQYVeI0O")</f>
        <v>https://t.co/gQaQYVeI0O</v>
      </c>
      <c r="AQ693" s="82" t="str">
        <f>HYPERLINK("http://www.abcagora.com.br")</f>
        <v>http://www.abcagora.com.br</v>
      </c>
      <c r="AR693" s="76" t="s">
        <v>26744</v>
      </c>
      <c r="AS693" s="76"/>
      <c r="AT693" s="76"/>
      <c r="AU693" s="76"/>
      <c r="AV693" s="76"/>
      <c r="AW693" s="82" t="str">
        <f>HYPERLINK("https://t.co/gQaQYVeI0O")</f>
        <v>https://t.co/gQaQYVeI0O</v>
      </c>
      <c r="AX693" s="76" t="b">
        <v>0</v>
      </c>
      <c r="AY693" s="76"/>
      <c r="AZ693" s="76"/>
      <c r="BA693" s="76" t="b">
        <v>0</v>
      </c>
      <c r="BB693" s="76" t="b">
        <v>1</v>
      </c>
      <c r="BC693" s="76" t="b">
        <v>1</v>
      </c>
      <c r="BD693" s="76" t="b">
        <v>0</v>
      </c>
      <c r="BE693" s="76" t="b">
        <v>0</v>
      </c>
      <c r="BF693" s="76" t="b">
        <v>0</v>
      </c>
      <c r="BG693" s="76" t="b">
        <v>0</v>
      </c>
      <c r="BH693" s="82" t="str">
        <f>HYPERLINK("https://pbs.twimg.com/profile_banners/806956859844427776/1634252703")</f>
        <v>https://pbs.twimg.com/profile_banners/806956859844427776/1634252703</v>
      </c>
      <c r="BI693" s="76"/>
      <c r="BJ693" s="76" t="s">
        <v>27595</v>
      </c>
      <c r="BK693" s="76" t="b">
        <v>0</v>
      </c>
      <c r="BL693" s="76"/>
      <c r="BM693" s="76" t="s">
        <v>66</v>
      </c>
      <c r="BN693" s="76" t="s">
        <v>27597</v>
      </c>
      <c r="BO693" s="82" t="str">
        <f>HYPERLINK("https://twitter.com/abcagora_")</f>
        <v>https://twitter.com/abcagora_</v>
      </c>
      <c r="BP693" s="2"/>
    </row>
    <row r="694" spans="1:68" x14ac:dyDescent="0.25">
      <c r="A694" s="62" t="s">
        <v>710</v>
      </c>
      <c r="B694" s="63"/>
      <c r="C694" s="63"/>
      <c r="D694" s="64"/>
      <c r="E694" s="66"/>
      <c r="F694" s="103" t="str">
        <f>HYPERLINK("https://pbs.twimg.com/profile_images/1519107674918559755/X-qbWtgn_normal.jpg")</f>
        <v>https://pbs.twimg.com/profile_images/1519107674918559755/X-qbWtgn_normal.jpg</v>
      </c>
      <c r="G694" s="63"/>
      <c r="H694" s="67"/>
      <c r="I694" s="68"/>
      <c r="J694" s="68"/>
      <c r="K694" s="67" t="s">
        <v>28288</v>
      </c>
      <c r="L694" s="71"/>
      <c r="M694" s="72"/>
      <c r="N694" s="72"/>
      <c r="O694" s="73"/>
      <c r="P694" s="74"/>
      <c r="Q694" s="74"/>
      <c r="R694" s="87"/>
      <c r="S694" s="87"/>
      <c r="T694" s="87"/>
      <c r="U694" s="87"/>
      <c r="V694" s="48"/>
      <c r="W694" s="48"/>
      <c r="X694" s="48"/>
      <c r="Y694" s="48"/>
      <c r="Z694" s="47"/>
      <c r="AA694" s="69">
        <v>694</v>
      </c>
      <c r="AB694" s="69"/>
      <c r="AC694" s="70"/>
      <c r="AD694" s="76" t="s">
        <v>21931</v>
      </c>
      <c r="AE694" s="81" t="s">
        <v>20727</v>
      </c>
      <c r="AF694" s="76">
        <v>7</v>
      </c>
      <c r="AG694" s="76">
        <v>53</v>
      </c>
      <c r="AH694" s="76">
        <v>3017</v>
      </c>
      <c r="AI694" s="76">
        <v>0</v>
      </c>
      <c r="AJ694" s="76">
        <v>654</v>
      </c>
      <c r="AK694" s="76">
        <v>1309</v>
      </c>
      <c r="AL694" s="76" t="b">
        <v>0</v>
      </c>
      <c r="AM694" s="78">
        <v>44678.008981481478</v>
      </c>
      <c r="AN694" s="76"/>
      <c r="AO694" s="76"/>
      <c r="AP694" s="76"/>
      <c r="AQ694" s="76"/>
      <c r="AR694" s="76"/>
      <c r="AS694" s="76"/>
      <c r="AT694" s="76"/>
      <c r="AU694" s="76"/>
      <c r="AV694" s="76"/>
      <c r="AW694" s="76"/>
      <c r="AX694" s="76" t="b">
        <v>0</v>
      </c>
      <c r="AY694" s="76"/>
      <c r="AZ694" s="76"/>
      <c r="BA694" s="76" t="b">
        <v>0</v>
      </c>
      <c r="BB694" s="76" t="b">
        <v>1</v>
      </c>
      <c r="BC694" s="76" t="b">
        <v>1</v>
      </c>
      <c r="BD694" s="76" t="b">
        <v>0</v>
      </c>
      <c r="BE694" s="76" t="b">
        <v>0</v>
      </c>
      <c r="BF694" s="76" t="b">
        <v>0</v>
      </c>
      <c r="BG694" s="76" t="b">
        <v>0</v>
      </c>
      <c r="BH694" s="76"/>
      <c r="BI694" s="76"/>
      <c r="BJ694" s="76" t="s">
        <v>27595</v>
      </c>
      <c r="BK694" s="76" t="b">
        <v>0</v>
      </c>
      <c r="BL694" s="76"/>
      <c r="BM694" s="76" t="s">
        <v>66</v>
      </c>
      <c r="BN694" s="76" t="s">
        <v>27597</v>
      </c>
      <c r="BO694" s="82" t="str">
        <f>HYPERLINK("https://twitter.com/pastorjcnas")</f>
        <v>https://twitter.com/pastorjcnas</v>
      </c>
      <c r="BP694" s="2"/>
    </row>
    <row r="695" spans="1:68" x14ac:dyDescent="0.25">
      <c r="A695" s="62" t="s">
        <v>711</v>
      </c>
      <c r="B695" s="63"/>
      <c r="C695" s="63"/>
      <c r="D695" s="64"/>
      <c r="E695" s="66"/>
      <c r="F695" s="103" t="str">
        <f>HYPERLINK("https://pbs.twimg.com/profile_images/1611558816658735105/oi963nKH_normal.jpg")</f>
        <v>https://pbs.twimg.com/profile_images/1611558816658735105/oi963nKH_normal.jpg</v>
      </c>
      <c r="G695" s="63"/>
      <c r="H695" s="67"/>
      <c r="I695" s="68"/>
      <c r="J695" s="68"/>
      <c r="K695" s="67" t="s">
        <v>28289</v>
      </c>
      <c r="L695" s="71"/>
      <c r="M695" s="72"/>
      <c r="N695" s="72"/>
      <c r="O695" s="73"/>
      <c r="P695" s="74"/>
      <c r="Q695" s="74"/>
      <c r="R695" s="87"/>
      <c r="S695" s="87"/>
      <c r="T695" s="87"/>
      <c r="U695" s="87"/>
      <c r="V695" s="48"/>
      <c r="W695" s="48"/>
      <c r="X695" s="48"/>
      <c r="Y695" s="48"/>
      <c r="Z695" s="47"/>
      <c r="AA695" s="69">
        <v>695</v>
      </c>
      <c r="AB695" s="69"/>
      <c r="AC695" s="70"/>
      <c r="AD695" s="76" t="s">
        <v>21932</v>
      </c>
      <c r="AE695" s="81" t="s">
        <v>20728</v>
      </c>
      <c r="AF695" s="76">
        <v>14</v>
      </c>
      <c r="AG695" s="76">
        <v>98</v>
      </c>
      <c r="AH695" s="76">
        <v>4034</v>
      </c>
      <c r="AI695" s="76">
        <v>0</v>
      </c>
      <c r="AJ695" s="76">
        <v>5283</v>
      </c>
      <c r="AK695" s="76">
        <v>0</v>
      </c>
      <c r="AL695" s="76" t="b">
        <v>0</v>
      </c>
      <c r="AM695" s="78">
        <v>44933.126585648148</v>
      </c>
      <c r="AN695" s="76"/>
      <c r="AO695" s="76"/>
      <c r="AP695" s="76"/>
      <c r="AQ695" s="76"/>
      <c r="AR695" s="76"/>
      <c r="AS695" s="76"/>
      <c r="AT695" s="76"/>
      <c r="AU695" s="76"/>
      <c r="AV695" s="76"/>
      <c r="AW695" s="76"/>
      <c r="AX695" s="76" t="b">
        <v>0</v>
      </c>
      <c r="AY695" s="76"/>
      <c r="AZ695" s="76"/>
      <c r="BA695" s="76" t="b">
        <v>0</v>
      </c>
      <c r="BB695" s="76" t="b">
        <v>1</v>
      </c>
      <c r="BC695" s="76" t="b">
        <v>1</v>
      </c>
      <c r="BD695" s="76" t="b">
        <v>0</v>
      </c>
      <c r="BE695" s="76" t="b">
        <v>0</v>
      </c>
      <c r="BF695" s="76" t="b">
        <v>0</v>
      </c>
      <c r="BG695" s="76" t="b">
        <v>0</v>
      </c>
      <c r="BH695" s="76"/>
      <c r="BI695" s="76"/>
      <c r="BJ695" s="76" t="s">
        <v>27595</v>
      </c>
      <c r="BK695" s="76" t="b">
        <v>0</v>
      </c>
      <c r="BL695" s="76"/>
      <c r="BM695" s="76" t="s">
        <v>66</v>
      </c>
      <c r="BN695" s="76" t="s">
        <v>27597</v>
      </c>
      <c r="BO695" s="82" t="str">
        <f>HYPERLINK("https://twitter.com/ibarraibar1")</f>
        <v>https://twitter.com/ibarraibar1</v>
      </c>
      <c r="BP695" s="2"/>
    </row>
    <row r="696" spans="1:68" x14ac:dyDescent="0.25">
      <c r="A696" s="62" t="s">
        <v>713</v>
      </c>
      <c r="B696" s="63"/>
      <c r="C696" s="63"/>
      <c r="D696" s="64"/>
      <c r="E696" s="66"/>
      <c r="F696" s="103" t="str">
        <f>HYPERLINK("https://pbs.twimg.com/profile_images/1160017136217186304/a4xcHgYt_normal.jpg")</f>
        <v>https://pbs.twimg.com/profile_images/1160017136217186304/a4xcHgYt_normal.jpg</v>
      </c>
      <c r="G696" s="63"/>
      <c r="H696" s="67"/>
      <c r="I696" s="68"/>
      <c r="J696" s="68"/>
      <c r="K696" s="67" t="s">
        <v>28290</v>
      </c>
      <c r="L696" s="71"/>
      <c r="M696" s="72"/>
      <c r="N696" s="72"/>
      <c r="O696" s="73"/>
      <c r="P696" s="74"/>
      <c r="Q696" s="74"/>
      <c r="R696" s="87"/>
      <c r="S696" s="87"/>
      <c r="T696" s="87"/>
      <c r="U696" s="87"/>
      <c r="V696" s="48"/>
      <c r="W696" s="48"/>
      <c r="X696" s="48"/>
      <c r="Y696" s="48"/>
      <c r="Z696" s="47"/>
      <c r="AA696" s="69">
        <v>696</v>
      </c>
      <c r="AB696" s="69"/>
      <c r="AC696" s="70"/>
      <c r="AD696" s="76" t="s">
        <v>21933</v>
      </c>
      <c r="AE696" s="81" t="s">
        <v>23443</v>
      </c>
      <c r="AF696" s="76">
        <v>559</v>
      </c>
      <c r="AG696" s="76">
        <v>73</v>
      </c>
      <c r="AH696" s="76">
        <v>2182</v>
      </c>
      <c r="AI696" s="76">
        <v>4</v>
      </c>
      <c r="AJ696" s="76">
        <v>74</v>
      </c>
      <c r="AK696" s="76">
        <v>852</v>
      </c>
      <c r="AL696" s="76" t="b">
        <v>0</v>
      </c>
      <c r="AM696" s="78">
        <v>41912.572766203702</v>
      </c>
      <c r="AN696" s="76" t="s">
        <v>24175</v>
      </c>
      <c r="AO696" s="76" t="s">
        <v>25336</v>
      </c>
      <c r="AP696" s="82" t="str">
        <f>HYPERLINK("https://t.co/oaMfAyvrZR")</f>
        <v>https://t.co/oaMfAyvrZR</v>
      </c>
      <c r="AQ696" s="82" t="str">
        <f>HYPERLINK("https://www.fgmedia.cl")</f>
        <v>https://www.fgmedia.cl</v>
      </c>
      <c r="AR696" s="76" t="s">
        <v>26745</v>
      </c>
      <c r="AS696" s="82" t="str">
        <f>HYPERLINK("https://t.co/PJxlIEvHAl")</f>
        <v>https://t.co/PJxlIEvHAl</v>
      </c>
      <c r="AT696" s="82" t="str">
        <f>HYPERLINK("http://FGMEDIA.cl")</f>
        <v>http://FGMEDIA.cl</v>
      </c>
      <c r="AU696" s="76" t="s">
        <v>27488</v>
      </c>
      <c r="AV696" s="76"/>
      <c r="AW696" s="82" t="str">
        <f>HYPERLINK("https://t.co/oaMfAyvrZR")</f>
        <v>https://t.co/oaMfAyvrZR</v>
      </c>
      <c r="AX696" s="76" t="b">
        <v>0</v>
      </c>
      <c r="AY696" s="76"/>
      <c r="AZ696" s="76"/>
      <c r="BA696" s="76" t="b">
        <v>0</v>
      </c>
      <c r="BB696" s="76" t="b">
        <v>1</v>
      </c>
      <c r="BC696" s="76" t="b">
        <v>0</v>
      </c>
      <c r="BD696" s="76" t="b">
        <v>0</v>
      </c>
      <c r="BE696" s="76" t="b">
        <v>0</v>
      </c>
      <c r="BF696" s="76" t="b">
        <v>0</v>
      </c>
      <c r="BG696" s="76" t="b">
        <v>0</v>
      </c>
      <c r="BH696" s="82" t="str">
        <f>HYPERLINK("https://pbs.twimg.com/profile_banners/2794742326/1661554542")</f>
        <v>https://pbs.twimg.com/profile_banners/2794742326/1661554542</v>
      </c>
      <c r="BI696" s="76"/>
      <c r="BJ696" s="76" t="s">
        <v>27595</v>
      </c>
      <c r="BK696" s="76" t="b">
        <v>0</v>
      </c>
      <c r="BL696" s="76"/>
      <c r="BM696" s="76" t="s">
        <v>66</v>
      </c>
      <c r="BN696" s="76" t="s">
        <v>27597</v>
      </c>
      <c r="BO696" s="82" t="str">
        <f>HYPERLINK("https://twitter.com/fgmediacl")</f>
        <v>https://twitter.com/fgmediacl</v>
      </c>
      <c r="BP696" s="2"/>
    </row>
    <row r="697" spans="1:68" x14ac:dyDescent="0.25">
      <c r="A697" s="62" t="s">
        <v>714</v>
      </c>
      <c r="B697" s="63"/>
      <c r="C697" s="63"/>
      <c r="D697" s="64"/>
      <c r="E697" s="66"/>
      <c r="F697" s="103" t="str">
        <f>HYPERLINK("https://pbs.twimg.com/profile_images/1671233527365394432/L20yfc7f_normal.jpg")</f>
        <v>https://pbs.twimg.com/profile_images/1671233527365394432/L20yfc7f_normal.jpg</v>
      </c>
      <c r="G697" s="63"/>
      <c r="H697" s="67"/>
      <c r="I697" s="68"/>
      <c r="J697" s="68"/>
      <c r="K697" s="67" t="s">
        <v>28291</v>
      </c>
      <c r="L697" s="71"/>
      <c r="M697" s="72"/>
      <c r="N697" s="72"/>
      <c r="O697" s="73"/>
      <c r="P697" s="74"/>
      <c r="Q697" s="74"/>
      <c r="R697" s="87"/>
      <c r="S697" s="87"/>
      <c r="T697" s="87"/>
      <c r="U697" s="87"/>
      <c r="V697" s="48"/>
      <c r="W697" s="48"/>
      <c r="X697" s="48"/>
      <c r="Y697" s="48"/>
      <c r="Z697" s="47"/>
      <c r="AA697" s="69">
        <v>697</v>
      </c>
      <c r="AB697" s="69"/>
      <c r="AC697" s="70"/>
      <c r="AD697" s="76" t="s">
        <v>21934</v>
      </c>
      <c r="AE697" s="81" t="s">
        <v>20269</v>
      </c>
      <c r="AF697" s="76">
        <v>1089</v>
      </c>
      <c r="AG697" s="76">
        <v>82</v>
      </c>
      <c r="AH697" s="76">
        <v>22730</v>
      </c>
      <c r="AI697" s="76">
        <v>26</v>
      </c>
      <c r="AJ697" s="76">
        <v>7168</v>
      </c>
      <c r="AK697" s="76">
        <v>4289</v>
      </c>
      <c r="AL697" s="76" t="b">
        <v>0</v>
      </c>
      <c r="AM697" s="78">
        <v>40925.07372685185</v>
      </c>
      <c r="AN697" s="76" t="s">
        <v>24338</v>
      </c>
      <c r="AO697" s="76" t="s">
        <v>25337</v>
      </c>
      <c r="AP697" s="82" t="str">
        <f>HYPERLINK("https://t.co/udqAifQKVM")</f>
        <v>https://t.co/udqAifQKVM</v>
      </c>
      <c r="AQ697" s="82" t="str">
        <f>HYPERLINK("https://www.instagram.com/marcosmanguelli/")</f>
        <v>https://www.instagram.com/marcosmanguelli/</v>
      </c>
      <c r="AR697" s="76" t="s">
        <v>26746</v>
      </c>
      <c r="AS697" s="82" t="str">
        <f>HYPERLINK("https://t.co/FlWxKKbyNK")</f>
        <v>https://t.co/FlWxKKbyNK</v>
      </c>
      <c r="AT697" s="82" t="str">
        <f>HYPERLINK("https://linktr.ee/MarcosManguelli")</f>
        <v>https://linktr.ee/MarcosManguelli</v>
      </c>
      <c r="AU697" s="76" t="s">
        <v>27489</v>
      </c>
      <c r="AV697" s="76">
        <v>1.64179725906595E+18</v>
      </c>
      <c r="AW697" s="82" t="str">
        <f>HYPERLINK("https://t.co/udqAifQKVM")</f>
        <v>https://t.co/udqAifQKVM</v>
      </c>
      <c r="AX697" s="76" t="b">
        <v>0</v>
      </c>
      <c r="AY697" s="76"/>
      <c r="AZ697" s="76"/>
      <c r="BA697" s="76" t="b">
        <v>1</v>
      </c>
      <c r="BB697" s="76" t="b">
        <v>0</v>
      </c>
      <c r="BC697" s="76" t="b">
        <v>0</v>
      </c>
      <c r="BD697" s="76" t="b">
        <v>0</v>
      </c>
      <c r="BE697" s="76" t="b">
        <v>1</v>
      </c>
      <c r="BF697" s="76" t="b">
        <v>0</v>
      </c>
      <c r="BG697" s="76" t="b">
        <v>0</v>
      </c>
      <c r="BH697" s="82" t="str">
        <f>HYPERLINK("https://pbs.twimg.com/profile_banners/466084954/1624664222")</f>
        <v>https://pbs.twimg.com/profile_banners/466084954/1624664222</v>
      </c>
      <c r="BI697" s="76"/>
      <c r="BJ697" s="76" t="s">
        <v>27595</v>
      </c>
      <c r="BK697" s="76" t="b">
        <v>0</v>
      </c>
      <c r="BL697" s="76"/>
      <c r="BM697" s="76" t="s">
        <v>66</v>
      </c>
      <c r="BN697" s="76" t="s">
        <v>27597</v>
      </c>
      <c r="BO697" s="82" t="str">
        <f>HYPERLINK("https://twitter.com/marcosmanguelli")</f>
        <v>https://twitter.com/marcosmanguelli</v>
      </c>
      <c r="BP697" s="2"/>
    </row>
    <row r="698" spans="1:68" x14ac:dyDescent="0.25">
      <c r="A698" s="62" t="s">
        <v>715</v>
      </c>
      <c r="B698" s="63"/>
      <c r="C698" s="63"/>
      <c r="D698" s="64"/>
      <c r="E698" s="66"/>
      <c r="F698" s="103" t="str">
        <f>HYPERLINK("https://pbs.twimg.com/profile_images/1171870283462057985/PU6NnmZ0_normal.jpg")</f>
        <v>https://pbs.twimg.com/profile_images/1171870283462057985/PU6NnmZ0_normal.jpg</v>
      </c>
      <c r="G698" s="63"/>
      <c r="H698" s="67"/>
      <c r="I698" s="68"/>
      <c r="J698" s="68"/>
      <c r="K698" s="67" t="s">
        <v>28292</v>
      </c>
      <c r="L698" s="71"/>
      <c r="M698" s="72"/>
      <c r="N698" s="72"/>
      <c r="O698" s="73"/>
      <c r="P698" s="74"/>
      <c r="Q698" s="74"/>
      <c r="R698" s="87"/>
      <c r="S698" s="87"/>
      <c r="T698" s="87"/>
      <c r="U698" s="87"/>
      <c r="V698" s="48"/>
      <c r="W698" s="48"/>
      <c r="X698" s="48"/>
      <c r="Y698" s="48"/>
      <c r="Z698" s="47"/>
      <c r="AA698" s="69">
        <v>698</v>
      </c>
      <c r="AB698" s="69"/>
      <c r="AC698" s="70"/>
      <c r="AD698" s="76" t="s">
        <v>21935</v>
      </c>
      <c r="AE698" s="81" t="s">
        <v>23444</v>
      </c>
      <c r="AF698" s="76">
        <v>1468</v>
      </c>
      <c r="AG698" s="76">
        <v>588</v>
      </c>
      <c r="AH698" s="76">
        <v>14724</v>
      </c>
      <c r="AI698" s="76">
        <v>7</v>
      </c>
      <c r="AJ698" s="76">
        <v>1158</v>
      </c>
      <c r="AK698" s="76">
        <v>308</v>
      </c>
      <c r="AL698" s="76" t="b">
        <v>0</v>
      </c>
      <c r="AM698" s="78">
        <v>40742.045787037037</v>
      </c>
      <c r="AN698" s="76" t="s">
        <v>24064</v>
      </c>
      <c r="AO698" s="76" t="s">
        <v>25338</v>
      </c>
      <c r="AP698" s="82" t="str">
        <f>HYPERLINK("https://t.co/Q2FCSII4I6")</f>
        <v>https://t.co/Q2FCSII4I6</v>
      </c>
      <c r="AQ698" s="82" t="str">
        <f>HYPERLINK("http://radar24.do")</f>
        <v>http://radar24.do</v>
      </c>
      <c r="AR698" s="76" t="s">
        <v>8734</v>
      </c>
      <c r="AS698" s="76"/>
      <c r="AT698" s="76"/>
      <c r="AU698" s="76"/>
      <c r="AV698" s="76"/>
      <c r="AW698" s="82" t="str">
        <f>HYPERLINK("https://t.co/Q2FCSII4I6")</f>
        <v>https://t.co/Q2FCSII4I6</v>
      </c>
      <c r="AX698" s="76" t="b">
        <v>0</v>
      </c>
      <c r="AY698" s="76"/>
      <c r="AZ698" s="76"/>
      <c r="BA698" s="76" t="b">
        <v>0</v>
      </c>
      <c r="BB698" s="76" t="b">
        <v>1</v>
      </c>
      <c r="BC698" s="76" t="b">
        <v>0</v>
      </c>
      <c r="BD698" s="76" t="b">
        <v>0</v>
      </c>
      <c r="BE698" s="76" t="b">
        <v>1</v>
      </c>
      <c r="BF698" s="76" t="b">
        <v>0</v>
      </c>
      <c r="BG698" s="76" t="b">
        <v>0</v>
      </c>
      <c r="BH698" s="82" t="str">
        <f>HYPERLINK("https://pbs.twimg.com/profile_banners/337430562/1568230623")</f>
        <v>https://pbs.twimg.com/profile_banners/337430562/1568230623</v>
      </c>
      <c r="BI698" s="76"/>
      <c r="BJ698" s="76" t="s">
        <v>27595</v>
      </c>
      <c r="BK698" s="76" t="b">
        <v>0</v>
      </c>
      <c r="BL698" s="76"/>
      <c r="BM698" s="76" t="s">
        <v>66</v>
      </c>
      <c r="BN698" s="76" t="s">
        <v>27597</v>
      </c>
      <c r="BO698" s="82" t="str">
        <f>HYPERLINK("https://twitter.com/radar24rd")</f>
        <v>https://twitter.com/radar24rd</v>
      </c>
      <c r="BP698" s="2"/>
    </row>
    <row r="699" spans="1:68" x14ac:dyDescent="0.25">
      <c r="A699" s="62" t="s">
        <v>716</v>
      </c>
      <c r="B699" s="63"/>
      <c r="C699" s="63"/>
      <c r="D699" s="64"/>
      <c r="E699" s="66"/>
      <c r="F699" s="103" t="str">
        <f>HYPERLINK("https://pbs.twimg.com/profile_images/1366946309576527873/Yt6UMNKm_normal.jpg")</f>
        <v>https://pbs.twimg.com/profile_images/1366946309576527873/Yt6UMNKm_normal.jpg</v>
      </c>
      <c r="G699" s="63"/>
      <c r="H699" s="67"/>
      <c r="I699" s="68"/>
      <c r="J699" s="68"/>
      <c r="K699" s="67" t="s">
        <v>28293</v>
      </c>
      <c r="L699" s="71"/>
      <c r="M699" s="72"/>
      <c r="N699" s="72"/>
      <c r="O699" s="73"/>
      <c r="P699" s="74"/>
      <c r="Q699" s="74"/>
      <c r="R699" s="87"/>
      <c r="S699" s="87"/>
      <c r="T699" s="87"/>
      <c r="U699" s="87"/>
      <c r="V699" s="48"/>
      <c r="W699" s="48"/>
      <c r="X699" s="48"/>
      <c r="Y699" s="48"/>
      <c r="Z699" s="47"/>
      <c r="AA699" s="69">
        <v>699</v>
      </c>
      <c r="AB699" s="69"/>
      <c r="AC699" s="70"/>
      <c r="AD699" s="76" t="s">
        <v>21936</v>
      </c>
      <c r="AE699" s="81" t="s">
        <v>23445</v>
      </c>
      <c r="AF699" s="76">
        <v>170</v>
      </c>
      <c r="AG699" s="76">
        <v>463</v>
      </c>
      <c r="AH699" s="76">
        <v>459</v>
      </c>
      <c r="AI699" s="76">
        <v>2</v>
      </c>
      <c r="AJ699" s="76">
        <v>3225</v>
      </c>
      <c r="AK699" s="76">
        <v>330</v>
      </c>
      <c r="AL699" s="76" t="b">
        <v>0</v>
      </c>
      <c r="AM699" s="78">
        <v>40519.769293981481</v>
      </c>
      <c r="AN699" s="76" t="s">
        <v>24339</v>
      </c>
      <c r="AO699" s="76" t="s">
        <v>25339</v>
      </c>
      <c r="AP699" s="82" t="str">
        <f>HYPERLINK("https://t.co/IlIkujgN5q")</f>
        <v>https://t.co/IlIkujgN5q</v>
      </c>
      <c r="AQ699" s="82" t="str">
        <f>HYPERLINK("https://bit.ly/31QNkQi")</f>
        <v>https://bit.ly/31QNkQi</v>
      </c>
      <c r="AR699" s="76" t="s">
        <v>26747</v>
      </c>
      <c r="AS699" s="76"/>
      <c r="AT699" s="76"/>
      <c r="AU699" s="76"/>
      <c r="AV699" s="76">
        <v>1.6608528908172401E+18</v>
      </c>
      <c r="AW699" s="82" t="str">
        <f>HYPERLINK("https://t.co/IlIkujgN5q")</f>
        <v>https://t.co/IlIkujgN5q</v>
      </c>
      <c r="AX699" s="76" t="b">
        <v>0</v>
      </c>
      <c r="AY699" s="76"/>
      <c r="AZ699" s="76"/>
      <c r="BA699" s="76" t="b">
        <v>0</v>
      </c>
      <c r="BB699" s="76" t="b">
        <v>1</v>
      </c>
      <c r="BC699" s="76" t="b">
        <v>0</v>
      </c>
      <c r="BD699" s="76" t="b">
        <v>0</v>
      </c>
      <c r="BE699" s="76" t="b">
        <v>1</v>
      </c>
      <c r="BF699" s="76" t="b">
        <v>0</v>
      </c>
      <c r="BG699" s="76" t="b">
        <v>0</v>
      </c>
      <c r="BH699" s="82" t="str">
        <f>HYPERLINK("https://pbs.twimg.com/profile_banners/223932614/1616089249")</f>
        <v>https://pbs.twimg.com/profile_banners/223932614/1616089249</v>
      </c>
      <c r="BI699" s="76"/>
      <c r="BJ699" s="76" t="s">
        <v>27595</v>
      </c>
      <c r="BK699" s="76" t="b">
        <v>0</v>
      </c>
      <c r="BL699" s="76"/>
      <c r="BM699" s="76" t="s">
        <v>66</v>
      </c>
      <c r="BN699" s="76" t="s">
        <v>27597</v>
      </c>
      <c r="BO699" s="82" t="str">
        <f>HYPERLINK("https://twitter.com/alvaronass_arq")</f>
        <v>https://twitter.com/alvaronass_arq</v>
      </c>
      <c r="BP699" s="2"/>
    </row>
    <row r="700" spans="1:68" x14ac:dyDescent="0.25">
      <c r="A700" s="62" t="s">
        <v>717</v>
      </c>
      <c r="B700" s="63"/>
      <c r="C700" s="63"/>
      <c r="D700" s="64"/>
      <c r="E700" s="66"/>
      <c r="F700" s="103" t="str">
        <f>HYPERLINK("https://pbs.twimg.com/profile_images/1653480882445926450/mgDViI_P_normal.jpg")</f>
        <v>https://pbs.twimg.com/profile_images/1653480882445926450/mgDViI_P_normal.jpg</v>
      </c>
      <c r="G700" s="63"/>
      <c r="H700" s="67"/>
      <c r="I700" s="68"/>
      <c r="J700" s="68"/>
      <c r="K700" s="67" t="s">
        <v>28294</v>
      </c>
      <c r="L700" s="71"/>
      <c r="M700" s="72"/>
      <c r="N700" s="72"/>
      <c r="O700" s="73"/>
      <c r="P700" s="74"/>
      <c r="Q700" s="74"/>
      <c r="R700" s="87"/>
      <c r="S700" s="87"/>
      <c r="T700" s="87"/>
      <c r="U700" s="87"/>
      <c r="V700" s="48"/>
      <c r="W700" s="48"/>
      <c r="X700" s="48"/>
      <c r="Y700" s="48"/>
      <c r="Z700" s="47"/>
      <c r="AA700" s="69">
        <v>700</v>
      </c>
      <c r="AB700" s="69"/>
      <c r="AC700" s="70"/>
      <c r="AD700" s="76" t="s">
        <v>21937</v>
      </c>
      <c r="AE700" s="81" t="s">
        <v>20729</v>
      </c>
      <c r="AF700" s="76">
        <v>7</v>
      </c>
      <c r="AG700" s="76">
        <v>48</v>
      </c>
      <c r="AH700" s="76">
        <v>228</v>
      </c>
      <c r="AI700" s="76">
        <v>0</v>
      </c>
      <c r="AJ700" s="76">
        <v>10</v>
      </c>
      <c r="AK700" s="76">
        <v>39</v>
      </c>
      <c r="AL700" s="76" t="b">
        <v>0</v>
      </c>
      <c r="AM700" s="78">
        <v>45048.809363425928</v>
      </c>
      <c r="AN700" s="76" t="s">
        <v>24211</v>
      </c>
      <c r="AO700" s="76"/>
      <c r="AP700" s="76"/>
      <c r="AQ700" s="76"/>
      <c r="AR700" s="76"/>
      <c r="AS700" s="76"/>
      <c r="AT700" s="76"/>
      <c r="AU700" s="76"/>
      <c r="AV700" s="76"/>
      <c r="AW700" s="76"/>
      <c r="AX700" s="76" t="b">
        <v>0</v>
      </c>
      <c r="AY700" s="76"/>
      <c r="AZ700" s="76"/>
      <c r="BA700" s="76" t="b">
        <v>0</v>
      </c>
      <c r="BB700" s="76" t="b">
        <v>1</v>
      </c>
      <c r="BC700" s="76" t="b">
        <v>1</v>
      </c>
      <c r="BD700" s="76" t="b">
        <v>0</v>
      </c>
      <c r="BE700" s="76" t="b">
        <v>0</v>
      </c>
      <c r="BF700" s="76" t="b">
        <v>0</v>
      </c>
      <c r="BG700" s="76" t="b">
        <v>0</v>
      </c>
      <c r="BH700" s="82" t="str">
        <f>HYPERLINK("https://pbs.twimg.com/profile_banners/1653480819099353095/1683055659")</f>
        <v>https://pbs.twimg.com/profile_banners/1653480819099353095/1683055659</v>
      </c>
      <c r="BI700" s="76"/>
      <c r="BJ700" s="76" t="s">
        <v>27595</v>
      </c>
      <c r="BK700" s="76" t="b">
        <v>0</v>
      </c>
      <c r="BL700" s="76"/>
      <c r="BM700" s="76" t="s">
        <v>66</v>
      </c>
      <c r="BN700" s="76" t="s">
        <v>27597</v>
      </c>
      <c r="BO700" s="82" t="str">
        <f>HYPERLINK("https://twitter.com/ros_ro38")</f>
        <v>https://twitter.com/ros_ro38</v>
      </c>
      <c r="BP700" s="2"/>
    </row>
    <row r="701" spans="1:68" x14ac:dyDescent="0.25">
      <c r="A701" s="62" t="s">
        <v>718</v>
      </c>
      <c r="B701" s="63"/>
      <c r="C701" s="63"/>
      <c r="D701" s="64"/>
      <c r="E701" s="66"/>
      <c r="F701" s="103" t="str">
        <f>HYPERLINK("https://pbs.twimg.com/profile_images/1171040852988350464/1NB1RHgy_normal.jpg")</f>
        <v>https://pbs.twimg.com/profile_images/1171040852988350464/1NB1RHgy_normal.jpg</v>
      </c>
      <c r="G701" s="63"/>
      <c r="H701" s="67"/>
      <c r="I701" s="68"/>
      <c r="J701" s="68"/>
      <c r="K701" s="67" t="s">
        <v>28295</v>
      </c>
      <c r="L701" s="71"/>
      <c r="M701" s="72"/>
      <c r="N701" s="72"/>
      <c r="O701" s="73"/>
      <c r="P701" s="74"/>
      <c r="Q701" s="74"/>
      <c r="R701" s="87"/>
      <c r="S701" s="87"/>
      <c r="T701" s="87"/>
      <c r="U701" s="87"/>
      <c r="V701" s="48"/>
      <c r="W701" s="48"/>
      <c r="X701" s="48"/>
      <c r="Y701" s="48"/>
      <c r="Z701" s="47"/>
      <c r="AA701" s="69">
        <v>701</v>
      </c>
      <c r="AB701" s="69"/>
      <c r="AC701" s="70"/>
      <c r="AD701" s="76" t="s">
        <v>21938</v>
      </c>
      <c r="AE701" s="81" t="s">
        <v>20730</v>
      </c>
      <c r="AF701" s="76">
        <v>19</v>
      </c>
      <c r="AG701" s="76">
        <v>58</v>
      </c>
      <c r="AH701" s="76">
        <v>217</v>
      </c>
      <c r="AI701" s="76">
        <v>0</v>
      </c>
      <c r="AJ701" s="76">
        <v>207</v>
      </c>
      <c r="AK701" s="76">
        <v>8</v>
      </c>
      <c r="AL701" s="76" t="b">
        <v>0</v>
      </c>
      <c r="AM701" s="78">
        <v>43717.527581018519</v>
      </c>
      <c r="AN701" s="76"/>
      <c r="AO701" s="76" t="s">
        <v>25340</v>
      </c>
      <c r="AP701" s="76"/>
      <c r="AQ701" s="76"/>
      <c r="AR701" s="76"/>
      <c r="AS701" s="76"/>
      <c r="AT701" s="76"/>
      <c r="AU701" s="76"/>
      <c r="AV701" s="76"/>
      <c r="AW701" s="76"/>
      <c r="AX701" s="76" t="b">
        <v>0</v>
      </c>
      <c r="AY701" s="76"/>
      <c r="AZ701" s="76"/>
      <c r="BA701" s="76" t="b">
        <v>0</v>
      </c>
      <c r="BB701" s="76" t="b">
        <v>1</v>
      </c>
      <c r="BC701" s="76" t="b">
        <v>1</v>
      </c>
      <c r="BD701" s="76" t="b">
        <v>0</v>
      </c>
      <c r="BE701" s="76" t="b">
        <v>1</v>
      </c>
      <c r="BF701" s="76" t="b">
        <v>0</v>
      </c>
      <c r="BG701" s="76" t="b">
        <v>0</v>
      </c>
      <c r="BH701" s="76"/>
      <c r="BI701" s="76"/>
      <c r="BJ701" s="76" t="s">
        <v>27595</v>
      </c>
      <c r="BK701" s="76" t="b">
        <v>0</v>
      </c>
      <c r="BL701" s="76"/>
      <c r="BM701" s="76" t="s">
        <v>66</v>
      </c>
      <c r="BN701" s="76" t="s">
        <v>27597</v>
      </c>
      <c r="BO701" s="82" t="str">
        <f>HYPERLINK("https://twitter.com/fernandodelaco7")</f>
        <v>https://twitter.com/fernandodelaco7</v>
      </c>
      <c r="BP701" s="2"/>
    </row>
    <row r="702" spans="1:68" x14ac:dyDescent="0.25">
      <c r="A702" s="62" t="s">
        <v>719</v>
      </c>
      <c r="B702" s="63"/>
      <c r="C702" s="63"/>
      <c r="D702" s="64"/>
      <c r="E702" s="66"/>
      <c r="F702" s="103" t="str">
        <f>HYPERLINK("https://pbs.twimg.com/profile_images/1583911025790926854/99gqV-tK_normal.jpg")</f>
        <v>https://pbs.twimg.com/profile_images/1583911025790926854/99gqV-tK_normal.jpg</v>
      </c>
      <c r="G702" s="63"/>
      <c r="H702" s="67"/>
      <c r="I702" s="68"/>
      <c r="J702" s="68"/>
      <c r="K702" s="67" t="s">
        <v>28296</v>
      </c>
      <c r="L702" s="71"/>
      <c r="M702" s="72"/>
      <c r="N702" s="72"/>
      <c r="O702" s="73"/>
      <c r="P702" s="74"/>
      <c r="Q702" s="74"/>
      <c r="R702" s="87"/>
      <c r="S702" s="87"/>
      <c r="T702" s="87"/>
      <c r="U702" s="87"/>
      <c r="V702" s="48"/>
      <c r="W702" s="48"/>
      <c r="X702" s="48"/>
      <c r="Y702" s="48"/>
      <c r="Z702" s="47"/>
      <c r="AA702" s="69">
        <v>702</v>
      </c>
      <c r="AB702" s="69"/>
      <c r="AC702" s="70"/>
      <c r="AD702" s="76" t="s">
        <v>21939</v>
      </c>
      <c r="AE702" s="81" t="s">
        <v>23446</v>
      </c>
      <c r="AF702" s="76">
        <v>108</v>
      </c>
      <c r="AG702" s="76">
        <v>406</v>
      </c>
      <c r="AH702" s="76">
        <v>104</v>
      </c>
      <c r="AI702" s="76">
        <v>1</v>
      </c>
      <c r="AJ702" s="76">
        <v>7057</v>
      </c>
      <c r="AK702" s="76">
        <v>3</v>
      </c>
      <c r="AL702" s="76" t="b">
        <v>0</v>
      </c>
      <c r="AM702" s="78">
        <v>40319.036296296297</v>
      </c>
      <c r="AN702" s="76"/>
      <c r="AO702" s="76"/>
      <c r="AP702" s="76"/>
      <c r="AQ702" s="76"/>
      <c r="AR702" s="76"/>
      <c r="AS702" s="76"/>
      <c r="AT702" s="76"/>
      <c r="AU702" s="76"/>
      <c r="AV702" s="76"/>
      <c r="AW702" s="76"/>
      <c r="AX702" s="76" t="b">
        <v>0</v>
      </c>
      <c r="AY702" s="76"/>
      <c r="AZ702" s="76"/>
      <c r="BA702" s="76" t="b">
        <v>0</v>
      </c>
      <c r="BB702" s="76" t="b">
        <v>1</v>
      </c>
      <c r="BC702" s="76" t="b">
        <v>0</v>
      </c>
      <c r="BD702" s="76" t="b">
        <v>0</v>
      </c>
      <c r="BE702" s="76" t="b">
        <v>1</v>
      </c>
      <c r="BF702" s="76" t="b">
        <v>0</v>
      </c>
      <c r="BG702" s="76" t="b">
        <v>0</v>
      </c>
      <c r="BH702" s="76"/>
      <c r="BI702" s="76"/>
      <c r="BJ702" s="76" t="s">
        <v>27595</v>
      </c>
      <c r="BK702" s="76" t="b">
        <v>0</v>
      </c>
      <c r="BL702" s="76"/>
      <c r="BM702" s="76" t="s">
        <v>66</v>
      </c>
      <c r="BN702" s="76" t="s">
        <v>27597</v>
      </c>
      <c r="BO702" s="82" t="str">
        <f>HYPERLINK("https://twitter.com/facupa31")</f>
        <v>https://twitter.com/facupa31</v>
      </c>
      <c r="BP702" s="2"/>
    </row>
    <row r="703" spans="1:68" x14ac:dyDescent="0.25">
      <c r="A703" s="62" t="s">
        <v>720</v>
      </c>
      <c r="B703" s="63"/>
      <c r="C703" s="63"/>
      <c r="D703" s="64"/>
      <c r="E703" s="66"/>
      <c r="F703" s="103" t="str">
        <f>HYPERLINK("https://pbs.twimg.com/profile_images/1175414018795872261/56Vm4gR__normal.jpg")</f>
        <v>https://pbs.twimg.com/profile_images/1175414018795872261/56Vm4gR__normal.jpg</v>
      </c>
      <c r="G703" s="63"/>
      <c r="H703" s="67"/>
      <c r="I703" s="68"/>
      <c r="J703" s="68"/>
      <c r="K703" s="67" t="s">
        <v>28297</v>
      </c>
      <c r="L703" s="71"/>
      <c r="M703" s="72"/>
      <c r="N703" s="72"/>
      <c r="O703" s="73"/>
      <c r="P703" s="74"/>
      <c r="Q703" s="74"/>
      <c r="R703" s="87"/>
      <c r="S703" s="87"/>
      <c r="T703" s="87"/>
      <c r="U703" s="87"/>
      <c r="V703" s="48"/>
      <c r="W703" s="48"/>
      <c r="X703" s="48"/>
      <c r="Y703" s="48"/>
      <c r="Z703" s="47"/>
      <c r="AA703" s="69">
        <v>703</v>
      </c>
      <c r="AB703" s="69"/>
      <c r="AC703" s="70"/>
      <c r="AD703" s="76" t="s">
        <v>21940</v>
      </c>
      <c r="AE703" s="81" t="s">
        <v>20731</v>
      </c>
      <c r="AF703" s="76">
        <v>60</v>
      </c>
      <c r="AG703" s="76">
        <v>25</v>
      </c>
      <c r="AH703" s="76">
        <v>2292</v>
      </c>
      <c r="AI703" s="76">
        <v>1</v>
      </c>
      <c r="AJ703" s="76">
        <v>831</v>
      </c>
      <c r="AK703" s="76">
        <v>879</v>
      </c>
      <c r="AL703" s="76" t="b">
        <v>0</v>
      </c>
      <c r="AM703" s="78">
        <v>43729.582407407404</v>
      </c>
      <c r="AN703" s="76"/>
      <c r="AO703" s="76" t="s">
        <v>25341</v>
      </c>
      <c r="AP703" s="82" t="str">
        <f>HYPERLINK("https://t.co/hAnTmsEkXj")</f>
        <v>https://t.co/hAnTmsEkXj</v>
      </c>
      <c r="AQ703" s="82" t="str">
        <f>HYPERLINK("https://deultimahorard.com/")</f>
        <v>https://deultimahorard.com/</v>
      </c>
      <c r="AR703" s="76" t="s">
        <v>8735</v>
      </c>
      <c r="AS703" s="76"/>
      <c r="AT703" s="76"/>
      <c r="AU703" s="76"/>
      <c r="AV703" s="76"/>
      <c r="AW703" s="82" t="str">
        <f>HYPERLINK("https://t.co/hAnTmsEkXj")</f>
        <v>https://t.co/hAnTmsEkXj</v>
      </c>
      <c r="AX703" s="76" t="b">
        <v>0</v>
      </c>
      <c r="AY703" s="76"/>
      <c r="AZ703" s="76"/>
      <c r="BA703" s="76" t="b">
        <v>0</v>
      </c>
      <c r="BB703" s="76" t="b">
        <v>1</v>
      </c>
      <c r="BC703" s="76" t="b">
        <v>1</v>
      </c>
      <c r="BD703" s="76" t="b">
        <v>0</v>
      </c>
      <c r="BE703" s="76" t="b">
        <v>0</v>
      </c>
      <c r="BF703" s="76" t="b">
        <v>0</v>
      </c>
      <c r="BG703" s="76" t="b">
        <v>0</v>
      </c>
      <c r="BH703" s="82" t="str">
        <f>HYPERLINK("https://pbs.twimg.com/profile_banners/1175408933298741248/1588966236")</f>
        <v>https://pbs.twimg.com/profile_banners/1175408933298741248/1588966236</v>
      </c>
      <c r="BI703" s="76"/>
      <c r="BJ703" s="76" t="s">
        <v>27595</v>
      </c>
      <c r="BK703" s="76" t="b">
        <v>0</v>
      </c>
      <c r="BL703" s="76"/>
      <c r="BM703" s="76" t="s">
        <v>66</v>
      </c>
      <c r="BN703" s="76" t="s">
        <v>27597</v>
      </c>
      <c r="BO703" s="82" t="str">
        <f>HYPERLINK("https://twitter.com/deultimahorard")</f>
        <v>https://twitter.com/deultimahorard</v>
      </c>
      <c r="BP703" s="2"/>
    </row>
    <row r="704" spans="1:68" x14ac:dyDescent="0.25">
      <c r="A704" s="62" t="s">
        <v>721</v>
      </c>
      <c r="B704" s="63"/>
      <c r="C704" s="63"/>
      <c r="D704" s="64"/>
      <c r="E704" s="66"/>
      <c r="F704" s="103" t="str">
        <f>HYPERLINK("https://pbs.twimg.com/profile_images/1669798262604177429/LpswybIQ_normal.jpg")</f>
        <v>https://pbs.twimg.com/profile_images/1669798262604177429/LpswybIQ_normal.jpg</v>
      </c>
      <c r="G704" s="63"/>
      <c r="H704" s="67"/>
      <c r="I704" s="68"/>
      <c r="J704" s="68"/>
      <c r="K704" s="67" t="s">
        <v>28298</v>
      </c>
      <c r="L704" s="71"/>
      <c r="M704" s="72"/>
      <c r="N704" s="72"/>
      <c r="O704" s="73"/>
      <c r="P704" s="74"/>
      <c r="Q704" s="74"/>
      <c r="R704" s="87"/>
      <c r="S704" s="87"/>
      <c r="T704" s="87"/>
      <c r="U704" s="87"/>
      <c r="V704" s="48"/>
      <c r="W704" s="48"/>
      <c r="X704" s="48"/>
      <c r="Y704" s="48"/>
      <c r="Z704" s="47"/>
      <c r="AA704" s="69">
        <v>704</v>
      </c>
      <c r="AB704" s="69"/>
      <c r="AC704" s="70"/>
      <c r="AD704" s="76" t="s">
        <v>21941</v>
      </c>
      <c r="AE704" s="81" t="s">
        <v>23447</v>
      </c>
      <c r="AF704" s="76">
        <v>11847</v>
      </c>
      <c r="AG704" s="76">
        <v>10692</v>
      </c>
      <c r="AH704" s="76">
        <v>37347</v>
      </c>
      <c r="AI704" s="76">
        <v>70</v>
      </c>
      <c r="AJ704" s="76">
        <v>656</v>
      </c>
      <c r="AK704" s="76">
        <v>24888</v>
      </c>
      <c r="AL704" s="76" t="b">
        <v>0</v>
      </c>
      <c r="AM704" s="78">
        <v>40420.919409722221</v>
      </c>
      <c r="AN704" s="76" t="s">
        <v>24340</v>
      </c>
      <c r="AO704" s="76" t="s">
        <v>25342</v>
      </c>
      <c r="AP704" s="82" t="str">
        <f>HYPERLINK("https://t.co/jIorpsblxe")</f>
        <v>https://t.co/jIorpsblxe</v>
      </c>
      <c r="AQ704" s="82" t="str">
        <f>HYPERLINK("http://www.cunadelanoticia.com")</f>
        <v>http://www.cunadelanoticia.com</v>
      </c>
      <c r="AR704" s="76" t="s">
        <v>8736</v>
      </c>
      <c r="AS704" s="76"/>
      <c r="AT704" s="76"/>
      <c r="AU704" s="76"/>
      <c r="AV704" s="76">
        <v>1.10000313365107E+18</v>
      </c>
      <c r="AW704" s="82" t="str">
        <f>HYPERLINK("https://t.co/jIorpsblxe")</f>
        <v>https://t.co/jIorpsblxe</v>
      </c>
      <c r="AX704" s="76" t="b">
        <v>0</v>
      </c>
      <c r="AY704" s="76"/>
      <c r="AZ704" s="76"/>
      <c r="BA704" s="76" t="b">
        <v>0</v>
      </c>
      <c r="BB704" s="76" t="b">
        <v>1</v>
      </c>
      <c r="BC704" s="76" t="b">
        <v>1</v>
      </c>
      <c r="BD704" s="76" t="b">
        <v>0</v>
      </c>
      <c r="BE704" s="76" t="b">
        <v>1</v>
      </c>
      <c r="BF704" s="76" t="b">
        <v>0</v>
      </c>
      <c r="BG704" s="76" t="b">
        <v>0</v>
      </c>
      <c r="BH704" s="82" t="str">
        <f>HYPERLINK("https://pbs.twimg.com/profile_banners/184951603/1686945956")</f>
        <v>https://pbs.twimg.com/profile_banners/184951603/1686945956</v>
      </c>
      <c r="BI704" s="76"/>
      <c r="BJ704" s="76" t="s">
        <v>27595</v>
      </c>
      <c r="BK704" s="76" t="b">
        <v>0</v>
      </c>
      <c r="BL704" s="76"/>
      <c r="BM704" s="76" t="s">
        <v>66</v>
      </c>
      <c r="BN704" s="76" t="s">
        <v>27597</v>
      </c>
      <c r="BO704" s="82" t="str">
        <f>HYPERLINK("https://twitter.com/cunadelanoticia")</f>
        <v>https://twitter.com/cunadelanoticia</v>
      </c>
      <c r="BP704" s="2"/>
    </row>
    <row r="705" spans="1:68" x14ac:dyDescent="0.25">
      <c r="A705" s="62" t="s">
        <v>722</v>
      </c>
      <c r="B705" s="63"/>
      <c r="C705" s="63"/>
      <c r="D705" s="64"/>
      <c r="E705" s="66"/>
      <c r="F705" s="103" t="str">
        <f>HYPERLINK("https://pbs.twimg.com/profile_images/1433196728690384896/jyJeeKm7_normal.jpg")</f>
        <v>https://pbs.twimg.com/profile_images/1433196728690384896/jyJeeKm7_normal.jpg</v>
      </c>
      <c r="G705" s="63"/>
      <c r="H705" s="67"/>
      <c r="I705" s="68"/>
      <c r="J705" s="68"/>
      <c r="K705" s="67" t="s">
        <v>28299</v>
      </c>
      <c r="L705" s="71"/>
      <c r="M705" s="72"/>
      <c r="N705" s="72"/>
      <c r="O705" s="73"/>
      <c r="P705" s="74"/>
      <c r="Q705" s="74"/>
      <c r="R705" s="87"/>
      <c r="S705" s="87"/>
      <c r="T705" s="87"/>
      <c r="U705" s="87"/>
      <c r="V705" s="48"/>
      <c r="W705" s="48"/>
      <c r="X705" s="48"/>
      <c r="Y705" s="48"/>
      <c r="Z705" s="47"/>
      <c r="AA705" s="69">
        <v>705</v>
      </c>
      <c r="AB705" s="69"/>
      <c r="AC705" s="70"/>
      <c r="AD705" s="76" t="s">
        <v>21942</v>
      </c>
      <c r="AE705" s="81" t="s">
        <v>20732</v>
      </c>
      <c r="AF705" s="76">
        <v>6822</v>
      </c>
      <c r="AG705" s="76">
        <v>29</v>
      </c>
      <c r="AH705" s="76">
        <v>408</v>
      </c>
      <c r="AI705" s="76">
        <v>7</v>
      </c>
      <c r="AJ705" s="76">
        <v>39</v>
      </c>
      <c r="AK705" s="76">
        <v>315</v>
      </c>
      <c r="AL705" s="76" t="b">
        <v>0</v>
      </c>
      <c r="AM705" s="78">
        <v>44440.940208333333</v>
      </c>
      <c r="AN705" s="76"/>
      <c r="AO705" s="76" t="s">
        <v>25343</v>
      </c>
      <c r="AP705" s="82" t="str">
        <f>HYPERLINK("https://t.co/7pJKUZgOMt")</f>
        <v>https://t.co/7pJKUZgOMt</v>
      </c>
      <c r="AQ705" s="82" t="str">
        <f>HYPERLINK("https://www.estudiospublicos.cl/")</f>
        <v>https://www.estudiospublicos.cl/</v>
      </c>
      <c r="AR705" s="76" t="s">
        <v>8737</v>
      </c>
      <c r="AS705" s="76"/>
      <c r="AT705" s="76"/>
      <c r="AU705" s="76"/>
      <c r="AV705" s="76"/>
      <c r="AW705" s="82" t="str">
        <f>HYPERLINK("https://t.co/7pJKUZgOMt")</f>
        <v>https://t.co/7pJKUZgOMt</v>
      </c>
      <c r="AX705" s="76" t="b">
        <v>1</v>
      </c>
      <c r="AY705" s="76"/>
      <c r="AZ705" s="76"/>
      <c r="BA705" s="76" t="b">
        <v>0</v>
      </c>
      <c r="BB705" s="76" t="b">
        <v>1</v>
      </c>
      <c r="BC705" s="76" t="b">
        <v>1</v>
      </c>
      <c r="BD705" s="76" t="b">
        <v>0</v>
      </c>
      <c r="BE705" s="76" t="b">
        <v>0</v>
      </c>
      <c r="BF705" s="76" t="b">
        <v>0</v>
      </c>
      <c r="BG705" s="76" t="b">
        <v>0</v>
      </c>
      <c r="BH705" s="82" t="str">
        <f>HYPERLINK("https://pbs.twimg.com/profile_banners/1433196404432850945/1634084453")</f>
        <v>https://pbs.twimg.com/profile_banners/1433196404432850945/1634084453</v>
      </c>
      <c r="BI705" s="76"/>
      <c r="BJ705" s="76" t="s">
        <v>27595</v>
      </c>
      <c r="BK705" s="76" t="b">
        <v>0</v>
      </c>
      <c r="BL705" s="76"/>
      <c r="BM705" s="76" t="s">
        <v>66</v>
      </c>
      <c r="BN705" s="76" t="s">
        <v>27597</v>
      </c>
      <c r="BO705" s="82" t="str">
        <f>HYPERLINK("https://twitter.com/estpublicos")</f>
        <v>https://twitter.com/estpublicos</v>
      </c>
      <c r="BP705" s="2"/>
    </row>
    <row r="706" spans="1:68" x14ac:dyDescent="0.25">
      <c r="A706" s="62" t="s">
        <v>723</v>
      </c>
      <c r="B706" s="63"/>
      <c r="C706" s="63"/>
      <c r="D706" s="64"/>
      <c r="E706" s="66"/>
      <c r="F706" s="103" t="str">
        <f>HYPERLINK("https://pbs.twimg.com/profile_images/1413136186571296773/F2PEXIQ-_normal.jpg")</f>
        <v>https://pbs.twimg.com/profile_images/1413136186571296773/F2PEXIQ-_normal.jpg</v>
      </c>
      <c r="G706" s="63"/>
      <c r="H706" s="67"/>
      <c r="I706" s="68"/>
      <c r="J706" s="68"/>
      <c r="K706" s="67" t="s">
        <v>28300</v>
      </c>
      <c r="L706" s="71"/>
      <c r="M706" s="72"/>
      <c r="N706" s="72"/>
      <c r="O706" s="73"/>
      <c r="P706" s="74"/>
      <c r="Q706" s="74"/>
      <c r="R706" s="87"/>
      <c r="S706" s="87"/>
      <c r="T706" s="87"/>
      <c r="U706" s="87"/>
      <c r="V706" s="48"/>
      <c r="W706" s="48"/>
      <c r="X706" s="48"/>
      <c r="Y706" s="48"/>
      <c r="Z706" s="47"/>
      <c r="AA706" s="69">
        <v>706</v>
      </c>
      <c r="AB706" s="69"/>
      <c r="AC706" s="70"/>
      <c r="AD706" s="76" t="s">
        <v>21943</v>
      </c>
      <c r="AE706" s="81" t="s">
        <v>20733</v>
      </c>
      <c r="AF706" s="76">
        <v>102</v>
      </c>
      <c r="AG706" s="76">
        <v>65</v>
      </c>
      <c r="AH706" s="76">
        <v>2869</v>
      </c>
      <c r="AI706" s="76">
        <v>1</v>
      </c>
      <c r="AJ706" s="76">
        <v>11</v>
      </c>
      <c r="AK706" s="76">
        <v>4</v>
      </c>
      <c r="AL706" s="76" t="b">
        <v>0</v>
      </c>
      <c r="AM706" s="78">
        <v>44385.58357638889</v>
      </c>
      <c r="AN706" s="76" t="s">
        <v>24138</v>
      </c>
      <c r="AO706" s="76" t="s">
        <v>25344</v>
      </c>
      <c r="AP706" s="82" t="str">
        <f>HYPERLINK("https://t.co/3MXOGxPGev")</f>
        <v>https://t.co/3MXOGxPGev</v>
      </c>
      <c r="AQ706" s="82" t="str">
        <f>HYPERLINK("http://www.entrelinhasgoias.com.br")</f>
        <v>http://www.entrelinhasgoias.com.br</v>
      </c>
      <c r="AR706" s="76" t="s">
        <v>26748</v>
      </c>
      <c r="AS706" s="76"/>
      <c r="AT706" s="76"/>
      <c r="AU706" s="76"/>
      <c r="AV706" s="76"/>
      <c r="AW706" s="82" t="str">
        <f>HYPERLINK("https://t.co/3MXOGxPGev")</f>
        <v>https://t.co/3MXOGxPGev</v>
      </c>
      <c r="AX706" s="76" t="b">
        <v>0</v>
      </c>
      <c r="AY706" s="76"/>
      <c r="AZ706" s="76"/>
      <c r="BA706" s="76" t="b">
        <v>0</v>
      </c>
      <c r="BB706" s="76" t="b">
        <v>1</v>
      </c>
      <c r="BC706" s="76" t="b">
        <v>1</v>
      </c>
      <c r="BD706" s="76" t="b">
        <v>0</v>
      </c>
      <c r="BE706" s="76" t="b">
        <v>0</v>
      </c>
      <c r="BF706" s="76" t="b">
        <v>0</v>
      </c>
      <c r="BG706" s="76" t="b">
        <v>0</v>
      </c>
      <c r="BH706" s="82" t="str">
        <f>HYPERLINK("https://pbs.twimg.com/profile_banners/1413135841006800896/1632838717")</f>
        <v>https://pbs.twimg.com/profile_banners/1413135841006800896/1632838717</v>
      </c>
      <c r="BI706" s="76"/>
      <c r="BJ706" s="76" t="s">
        <v>27595</v>
      </c>
      <c r="BK706" s="76" t="b">
        <v>0</v>
      </c>
      <c r="BL706" s="76"/>
      <c r="BM706" s="76" t="s">
        <v>66</v>
      </c>
      <c r="BN706" s="76" t="s">
        <v>27597</v>
      </c>
      <c r="BO706" s="82" t="str">
        <f>HYPERLINK("https://twitter.com/entrelinhasg")</f>
        <v>https://twitter.com/entrelinhasg</v>
      </c>
      <c r="BP706" s="2"/>
    </row>
    <row r="707" spans="1:68" x14ac:dyDescent="0.25">
      <c r="A707" s="62" t="s">
        <v>724</v>
      </c>
      <c r="B707" s="63"/>
      <c r="C707" s="63"/>
      <c r="D707" s="64"/>
      <c r="E707" s="66"/>
      <c r="F707" s="103" t="str">
        <f>HYPERLINK("https://pbs.twimg.com/profile_images/1678779436647485440/_4xjIZIh_normal.jpg")</f>
        <v>https://pbs.twimg.com/profile_images/1678779436647485440/_4xjIZIh_normal.jpg</v>
      </c>
      <c r="G707" s="63"/>
      <c r="H707" s="67"/>
      <c r="I707" s="68"/>
      <c r="J707" s="68"/>
      <c r="K707" s="67" t="s">
        <v>28301</v>
      </c>
      <c r="L707" s="71"/>
      <c r="M707" s="72"/>
      <c r="N707" s="72"/>
      <c r="O707" s="73"/>
      <c r="P707" s="74"/>
      <c r="Q707" s="74"/>
      <c r="R707" s="87"/>
      <c r="S707" s="87"/>
      <c r="T707" s="87"/>
      <c r="U707" s="87"/>
      <c r="V707" s="48"/>
      <c r="W707" s="48"/>
      <c r="X707" s="48"/>
      <c r="Y707" s="48"/>
      <c r="Z707" s="47"/>
      <c r="AA707" s="69">
        <v>707</v>
      </c>
      <c r="AB707" s="69"/>
      <c r="AC707" s="70"/>
      <c r="AD707" s="76" t="s">
        <v>21944</v>
      </c>
      <c r="AE707" s="81" t="s">
        <v>23448</v>
      </c>
      <c r="AF707" s="76">
        <v>199137</v>
      </c>
      <c r="AG707" s="76">
        <v>1198</v>
      </c>
      <c r="AH707" s="76">
        <v>143551</v>
      </c>
      <c r="AI707" s="76">
        <v>872</v>
      </c>
      <c r="AJ707" s="76">
        <v>1816</v>
      </c>
      <c r="AK707" s="76">
        <v>88039</v>
      </c>
      <c r="AL707" s="76" t="b">
        <v>0</v>
      </c>
      <c r="AM707" s="78">
        <v>39988.969108796293</v>
      </c>
      <c r="AN707" s="76" t="s">
        <v>24341</v>
      </c>
      <c r="AO707" s="76" t="s">
        <v>25345</v>
      </c>
      <c r="AP707" s="82" t="str">
        <f>HYPERLINK("https://t.co/pwk7kt7Hku")</f>
        <v>https://t.co/pwk7kt7Hku</v>
      </c>
      <c r="AQ707" s="82" t="str">
        <f>HYPERLINK("http://www.larepublica.net")</f>
        <v>http://www.larepublica.net</v>
      </c>
      <c r="AR707" s="76" t="s">
        <v>8738</v>
      </c>
      <c r="AS707" s="76"/>
      <c r="AT707" s="76"/>
      <c r="AU707" s="76"/>
      <c r="AV707" s="76"/>
      <c r="AW707" s="82" t="str">
        <f>HYPERLINK("https://t.co/pwk7kt7Hku")</f>
        <v>https://t.co/pwk7kt7Hku</v>
      </c>
      <c r="AX707" s="76" t="b">
        <v>1</v>
      </c>
      <c r="AY707" s="76"/>
      <c r="AZ707" s="76"/>
      <c r="BA707" s="76" t="b">
        <v>0</v>
      </c>
      <c r="BB707" s="76" t="b">
        <v>1</v>
      </c>
      <c r="BC707" s="76" t="b">
        <v>0</v>
      </c>
      <c r="BD707" s="76" t="b">
        <v>0</v>
      </c>
      <c r="BE707" s="76" t="b">
        <v>1</v>
      </c>
      <c r="BF707" s="76" t="b">
        <v>0</v>
      </c>
      <c r="BG707" s="76" t="b">
        <v>0</v>
      </c>
      <c r="BH707" s="82" t="str">
        <f>HYPERLINK("https://pbs.twimg.com/profile_banners/50475393/1695669232")</f>
        <v>https://pbs.twimg.com/profile_banners/50475393/1695669232</v>
      </c>
      <c r="BI707" s="76"/>
      <c r="BJ707" s="76" t="s">
        <v>27595</v>
      </c>
      <c r="BK707" s="76" t="b">
        <v>0</v>
      </c>
      <c r="BL707" s="76"/>
      <c r="BM707" s="76" t="s">
        <v>66</v>
      </c>
      <c r="BN707" s="76" t="s">
        <v>27597</v>
      </c>
      <c r="BO707" s="82" t="str">
        <f>HYPERLINK("https://twitter.com/la_republica")</f>
        <v>https://twitter.com/la_republica</v>
      </c>
      <c r="BP707" s="2"/>
    </row>
    <row r="708" spans="1:68" x14ac:dyDescent="0.25">
      <c r="A708" s="62" t="s">
        <v>725</v>
      </c>
      <c r="B708" s="63"/>
      <c r="C708" s="63"/>
      <c r="D708" s="64"/>
      <c r="E708" s="66"/>
      <c r="F708" s="103" t="str">
        <f>HYPERLINK("https://pbs.twimg.com/profile_images/1478016741871652864/b_NJh157_normal.jpg")</f>
        <v>https://pbs.twimg.com/profile_images/1478016741871652864/b_NJh157_normal.jpg</v>
      </c>
      <c r="G708" s="63"/>
      <c r="H708" s="67"/>
      <c r="I708" s="68"/>
      <c r="J708" s="68"/>
      <c r="K708" s="67" t="s">
        <v>28302</v>
      </c>
      <c r="L708" s="71"/>
      <c r="M708" s="72"/>
      <c r="N708" s="72"/>
      <c r="O708" s="73"/>
      <c r="P708" s="74"/>
      <c r="Q708" s="74"/>
      <c r="R708" s="87"/>
      <c r="S708" s="87"/>
      <c r="T708" s="87"/>
      <c r="U708" s="87"/>
      <c r="V708" s="48"/>
      <c r="W708" s="48"/>
      <c r="X708" s="48"/>
      <c r="Y708" s="48"/>
      <c r="Z708" s="47"/>
      <c r="AA708" s="69">
        <v>708</v>
      </c>
      <c r="AB708" s="69"/>
      <c r="AC708" s="70"/>
      <c r="AD708" s="76" t="s">
        <v>21945</v>
      </c>
      <c r="AE708" s="81" t="s">
        <v>23449</v>
      </c>
      <c r="AF708" s="76">
        <v>4746</v>
      </c>
      <c r="AG708" s="76">
        <v>872</v>
      </c>
      <c r="AH708" s="76">
        <v>16971</v>
      </c>
      <c r="AI708" s="76">
        <v>48</v>
      </c>
      <c r="AJ708" s="76">
        <v>75</v>
      </c>
      <c r="AK708" s="76">
        <v>7289</v>
      </c>
      <c r="AL708" s="76" t="b">
        <v>0</v>
      </c>
      <c r="AM708" s="78">
        <v>39931.701643518521</v>
      </c>
      <c r="AN708" s="76" t="s">
        <v>24342</v>
      </c>
      <c r="AO708" s="76" t="s">
        <v>25346</v>
      </c>
      <c r="AP708" s="82" t="str">
        <f>HYPERLINK("https://t.co/WELxqGMSrh")</f>
        <v>https://t.co/WELxqGMSrh</v>
      </c>
      <c r="AQ708" s="82" t="str">
        <f>HYPERLINK("https://brasil61.com/")</f>
        <v>https://brasil61.com/</v>
      </c>
      <c r="AR708" s="76" t="s">
        <v>8739</v>
      </c>
      <c r="AS708" s="76"/>
      <c r="AT708" s="76"/>
      <c r="AU708" s="76"/>
      <c r="AV708" s="76"/>
      <c r="AW708" s="82" t="str">
        <f>HYPERLINK("https://t.co/WELxqGMSrh")</f>
        <v>https://t.co/WELxqGMSrh</v>
      </c>
      <c r="AX708" s="76" t="b">
        <v>0</v>
      </c>
      <c r="AY708" s="76"/>
      <c r="AZ708" s="76"/>
      <c r="BA708" s="76" t="b">
        <v>1</v>
      </c>
      <c r="BB708" s="76" t="b">
        <v>1</v>
      </c>
      <c r="BC708" s="76" t="b">
        <v>0</v>
      </c>
      <c r="BD708" s="76" t="b">
        <v>0</v>
      </c>
      <c r="BE708" s="76" t="b">
        <v>1</v>
      </c>
      <c r="BF708" s="76" t="b">
        <v>0</v>
      </c>
      <c r="BG708" s="76" t="b">
        <v>0</v>
      </c>
      <c r="BH708" s="82" t="str">
        <f>HYPERLINK("https://pbs.twimg.com/profile_banners/36115008/1641221639")</f>
        <v>https://pbs.twimg.com/profile_banners/36115008/1641221639</v>
      </c>
      <c r="BI708" s="76"/>
      <c r="BJ708" s="76" t="s">
        <v>27595</v>
      </c>
      <c r="BK708" s="76" t="b">
        <v>0</v>
      </c>
      <c r="BL708" s="76"/>
      <c r="BM708" s="76" t="s">
        <v>66</v>
      </c>
      <c r="BN708" s="76" t="s">
        <v>27597</v>
      </c>
      <c r="BO708" s="82" t="str">
        <f>HYPERLINK("https://twitter.com/brasil61_")</f>
        <v>https://twitter.com/brasil61_</v>
      </c>
      <c r="BP708" s="2"/>
    </row>
    <row r="709" spans="1:68" x14ac:dyDescent="0.25">
      <c r="A709" s="62" t="s">
        <v>726</v>
      </c>
      <c r="B709" s="63"/>
      <c r="C709" s="63"/>
      <c r="D709" s="64"/>
      <c r="E709" s="66"/>
      <c r="F709" s="103" t="str">
        <f>HYPERLINK("https://pbs.twimg.com/profile_images/1313063483827781632/gYYUIGAk_normal.jpg")</f>
        <v>https://pbs.twimg.com/profile_images/1313063483827781632/gYYUIGAk_normal.jpg</v>
      </c>
      <c r="G709" s="63"/>
      <c r="H709" s="67"/>
      <c r="I709" s="68"/>
      <c r="J709" s="68"/>
      <c r="K709" s="67" t="s">
        <v>28303</v>
      </c>
      <c r="L709" s="71"/>
      <c r="M709" s="72"/>
      <c r="N709" s="72"/>
      <c r="O709" s="73"/>
      <c r="P709" s="74"/>
      <c r="Q709" s="74"/>
      <c r="R709" s="87"/>
      <c r="S709" s="87"/>
      <c r="T709" s="87"/>
      <c r="U709" s="87"/>
      <c r="V709" s="48"/>
      <c r="W709" s="48"/>
      <c r="X709" s="48"/>
      <c r="Y709" s="48"/>
      <c r="Z709" s="47"/>
      <c r="AA709" s="69">
        <v>709</v>
      </c>
      <c r="AB709" s="69"/>
      <c r="AC709" s="70"/>
      <c r="AD709" s="76" t="s">
        <v>21946</v>
      </c>
      <c r="AE709" s="81" t="s">
        <v>20734</v>
      </c>
      <c r="AF709" s="76">
        <v>106</v>
      </c>
      <c r="AG709" s="76">
        <v>21</v>
      </c>
      <c r="AH709" s="76">
        <v>19735</v>
      </c>
      <c r="AI709" s="76">
        <v>0</v>
      </c>
      <c r="AJ709" s="76">
        <v>89</v>
      </c>
      <c r="AK709" s="76">
        <v>6703</v>
      </c>
      <c r="AL709" s="76" t="b">
        <v>0</v>
      </c>
      <c r="AM709" s="78">
        <v>43989.075648148151</v>
      </c>
      <c r="AN709" s="76" t="s">
        <v>24343</v>
      </c>
      <c r="AO709" s="76" t="s">
        <v>25347</v>
      </c>
      <c r="AP709" s="82" t="str">
        <f>HYPERLINK("https://t.co/JJ4EZkZZiY")</f>
        <v>https://t.co/JJ4EZkZZiY</v>
      </c>
      <c r="AQ709" s="82" t="str">
        <f>HYPERLINK("https://themoneypost.io")</f>
        <v>https://themoneypost.io</v>
      </c>
      <c r="AR709" s="76" t="s">
        <v>26749</v>
      </c>
      <c r="AS709" s="76"/>
      <c r="AT709" s="76"/>
      <c r="AU709" s="76"/>
      <c r="AV709" s="76"/>
      <c r="AW709" s="82" t="str">
        <f>HYPERLINK("https://t.co/JJ4EZkZZiY")</f>
        <v>https://t.co/JJ4EZkZZiY</v>
      </c>
      <c r="AX709" s="76" t="b">
        <v>0</v>
      </c>
      <c r="AY709" s="76"/>
      <c r="AZ709" s="76"/>
      <c r="BA709" s="76" t="b">
        <v>0</v>
      </c>
      <c r="BB709" s="76" t="b">
        <v>1</v>
      </c>
      <c r="BC709" s="76" t="b">
        <v>1</v>
      </c>
      <c r="BD709" s="76" t="b">
        <v>0</v>
      </c>
      <c r="BE709" s="76" t="b">
        <v>0</v>
      </c>
      <c r="BF709" s="76" t="b">
        <v>0</v>
      </c>
      <c r="BG709" s="76" t="b">
        <v>0</v>
      </c>
      <c r="BH709" s="82" t="str">
        <f>HYPERLINK("https://pbs.twimg.com/profile_banners/1269446109467901952/1648691471")</f>
        <v>https://pbs.twimg.com/profile_banners/1269446109467901952/1648691471</v>
      </c>
      <c r="BI709" s="76"/>
      <c r="BJ709" s="76" t="s">
        <v>27595</v>
      </c>
      <c r="BK709" s="76" t="b">
        <v>0</v>
      </c>
      <c r="BL709" s="76"/>
      <c r="BM709" s="76" t="s">
        <v>66</v>
      </c>
      <c r="BN709" s="76" t="s">
        <v>27597</v>
      </c>
      <c r="BO709" s="82" t="str">
        <f>HYPERLINK("https://twitter.com/themoneypost_")</f>
        <v>https://twitter.com/themoneypost_</v>
      </c>
      <c r="BP709" s="2"/>
    </row>
    <row r="710" spans="1:68" x14ac:dyDescent="0.25">
      <c r="A710" s="62" t="s">
        <v>727</v>
      </c>
      <c r="B710" s="63"/>
      <c r="C710" s="63"/>
      <c r="D710" s="64"/>
      <c r="E710" s="66"/>
      <c r="F710" s="103" t="str">
        <f>HYPERLINK("https://pbs.twimg.com/profile_images/1583173188179136533/jnPxWCVa_normal.jpg")</f>
        <v>https://pbs.twimg.com/profile_images/1583173188179136533/jnPxWCVa_normal.jpg</v>
      </c>
      <c r="G710" s="63"/>
      <c r="H710" s="67"/>
      <c r="I710" s="68"/>
      <c r="J710" s="68"/>
      <c r="K710" s="67" t="s">
        <v>28304</v>
      </c>
      <c r="L710" s="71"/>
      <c r="M710" s="72"/>
      <c r="N710" s="72"/>
      <c r="O710" s="73"/>
      <c r="P710" s="74"/>
      <c r="Q710" s="74"/>
      <c r="R710" s="87"/>
      <c r="S710" s="87"/>
      <c r="T710" s="87"/>
      <c r="U710" s="87"/>
      <c r="V710" s="48"/>
      <c r="W710" s="48"/>
      <c r="X710" s="48"/>
      <c r="Y710" s="48"/>
      <c r="Z710" s="47"/>
      <c r="AA710" s="69">
        <v>710</v>
      </c>
      <c r="AB710" s="69"/>
      <c r="AC710" s="70"/>
      <c r="AD710" s="76" t="s">
        <v>21947</v>
      </c>
      <c r="AE710" s="81" t="s">
        <v>20735</v>
      </c>
      <c r="AF710" s="76">
        <v>458</v>
      </c>
      <c r="AG710" s="76">
        <v>43</v>
      </c>
      <c r="AH710" s="76">
        <v>809</v>
      </c>
      <c r="AI710" s="76">
        <v>4</v>
      </c>
      <c r="AJ710" s="76">
        <v>51</v>
      </c>
      <c r="AK710" s="76">
        <v>350</v>
      </c>
      <c r="AL710" s="76" t="b">
        <v>0</v>
      </c>
      <c r="AM710" s="78">
        <v>43339.882175925923</v>
      </c>
      <c r="AN710" s="76" t="s">
        <v>14400</v>
      </c>
      <c r="AO710" s="76" t="s">
        <v>25348</v>
      </c>
      <c r="AP710" s="82" t="str">
        <f>HYPERLINK("https://t.co/xLqvuLE5eo")</f>
        <v>https://t.co/xLqvuLE5eo</v>
      </c>
      <c r="AQ710" s="82" t="str">
        <f>HYPERLINK("http://www.smartbrain.com.br")</f>
        <v>http://www.smartbrain.com.br</v>
      </c>
      <c r="AR710" s="76" t="s">
        <v>26750</v>
      </c>
      <c r="AS710" s="76"/>
      <c r="AT710" s="76"/>
      <c r="AU710" s="76"/>
      <c r="AV710" s="76"/>
      <c r="AW710" s="82" t="str">
        <f>HYPERLINK("https://t.co/xLqvuLE5eo")</f>
        <v>https://t.co/xLqvuLE5eo</v>
      </c>
      <c r="AX710" s="76" t="b">
        <v>0</v>
      </c>
      <c r="AY710" s="76"/>
      <c r="AZ710" s="76"/>
      <c r="BA710" s="76" t="b">
        <v>0</v>
      </c>
      <c r="BB710" s="76" t="b">
        <v>1</v>
      </c>
      <c r="BC710" s="76" t="b">
        <v>0</v>
      </c>
      <c r="BD710" s="76" t="b">
        <v>0</v>
      </c>
      <c r="BE710" s="76" t="b">
        <v>0</v>
      </c>
      <c r="BF710" s="76" t="b">
        <v>0</v>
      </c>
      <c r="BG710" s="76" t="b">
        <v>0</v>
      </c>
      <c r="BH710" s="82" t="str">
        <f>HYPERLINK("https://pbs.twimg.com/profile_banners/1034186374201663488/1666874992")</f>
        <v>https://pbs.twimg.com/profile_banners/1034186374201663488/1666874992</v>
      </c>
      <c r="BI710" s="76"/>
      <c r="BJ710" s="76" t="s">
        <v>27595</v>
      </c>
      <c r="BK710" s="76" t="b">
        <v>0</v>
      </c>
      <c r="BL710" s="76"/>
      <c r="BM710" s="76" t="s">
        <v>66</v>
      </c>
      <c r="BN710" s="76" t="s">
        <v>27597</v>
      </c>
      <c r="BO710" s="82" t="str">
        <f>HYPERLINK("https://twitter.com/smartbrain_br")</f>
        <v>https://twitter.com/smartbrain_br</v>
      </c>
      <c r="BP710" s="2"/>
    </row>
    <row r="711" spans="1:68" x14ac:dyDescent="0.25">
      <c r="A711" s="62" t="s">
        <v>728</v>
      </c>
      <c r="B711" s="63"/>
      <c r="C711" s="63"/>
      <c r="D711" s="64"/>
      <c r="E711" s="66"/>
      <c r="F711" s="103" t="str">
        <f>HYPERLINK("https://pbs.twimg.com/profile_images/1618192310080081922/lULdLmHS_normal.jpg")</f>
        <v>https://pbs.twimg.com/profile_images/1618192310080081922/lULdLmHS_normal.jpg</v>
      </c>
      <c r="G711" s="63"/>
      <c r="H711" s="67"/>
      <c r="I711" s="68"/>
      <c r="J711" s="68"/>
      <c r="K711" s="67" t="s">
        <v>28305</v>
      </c>
      <c r="L711" s="71"/>
      <c r="M711" s="72"/>
      <c r="N711" s="72"/>
      <c r="O711" s="73"/>
      <c r="P711" s="74"/>
      <c r="Q711" s="74"/>
      <c r="R711" s="87"/>
      <c r="S711" s="87"/>
      <c r="T711" s="87"/>
      <c r="U711" s="87"/>
      <c r="V711" s="48"/>
      <c r="W711" s="48"/>
      <c r="X711" s="48"/>
      <c r="Y711" s="48"/>
      <c r="Z711" s="47"/>
      <c r="AA711" s="69">
        <v>711</v>
      </c>
      <c r="AB711" s="69"/>
      <c r="AC711" s="70"/>
      <c r="AD711" s="76" t="s">
        <v>21948</v>
      </c>
      <c r="AE711" s="81" t="s">
        <v>20270</v>
      </c>
      <c r="AF711" s="76">
        <v>624</v>
      </c>
      <c r="AG711" s="76">
        <v>1008</v>
      </c>
      <c r="AH711" s="76">
        <v>3625</v>
      </c>
      <c r="AI711" s="76">
        <v>2</v>
      </c>
      <c r="AJ711" s="76">
        <v>7286</v>
      </c>
      <c r="AK711" s="76">
        <v>410</v>
      </c>
      <c r="AL711" s="76" t="b">
        <v>0</v>
      </c>
      <c r="AM711" s="78">
        <v>40193.953194444446</v>
      </c>
      <c r="AN711" s="76" t="s">
        <v>24344</v>
      </c>
      <c r="AO711" s="76" t="s">
        <v>25349</v>
      </c>
      <c r="AP711" s="76"/>
      <c r="AQ711" s="76"/>
      <c r="AR711" s="76"/>
      <c r="AS711" s="76"/>
      <c r="AT711" s="76"/>
      <c r="AU711" s="76"/>
      <c r="AV711" s="76"/>
      <c r="AW711" s="76"/>
      <c r="AX711" s="76" t="b">
        <v>0</v>
      </c>
      <c r="AY711" s="76"/>
      <c r="AZ711" s="76"/>
      <c r="BA711" s="76" t="b">
        <v>1</v>
      </c>
      <c r="BB711" s="76" t="b">
        <v>0</v>
      </c>
      <c r="BC711" s="76" t="b">
        <v>0</v>
      </c>
      <c r="BD711" s="76" t="b">
        <v>0</v>
      </c>
      <c r="BE711" s="76" t="b">
        <v>1</v>
      </c>
      <c r="BF711" s="76" t="b">
        <v>0</v>
      </c>
      <c r="BG711" s="76" t="b">
        <v>0</v>
      </c>
      <c r="BH711" s="82" t="str">
        <f>HYPERLINK("https://pbs.twimg.com/profile_banners/105283145/1674642097")</f>
        <v>https://pbs.twimg.com/profile_banners/105283145/1674642097</v>
      </c>
      <c r="BI711" s="76"/>
      <c r="BJ711" s="76" t="s">
        <v>27595</v>
      </c>
      <c r="BK711" s="76" t="b">
        <v>0</v>
      </c>
      <c r="BL711" s="76"/>
      <c r="BM711" s="76" t="s">
        <v>66</v>
      </c>
      <c r="BN711" s="76" t="s">
        <v>27597</v>
      </c>
      <c r="BO711" s="82" t="str">
        <f>HYPERLINK("https://twitter.com/michidenise")</f>
        <v>https://twitter.com/michidenise</v>
      </c>
      <c r="BP711" s="2"/>
    </row>
    <row r="712" spans="1:68" x14ac:dyDescent="0.25">
      <c r="A712" s="62" t="s">
        <v>729</v>
      </c>
      <c r="B712" s="63"/>
      <c r="C712" s="63"/>
      <c r="D712" s="64"/>
      <c r="E712" s="66"/>
      <c r="F712" s="103" t="str">
        <f>HYPERLINK("https://pbs.twimg.com/profile_images/1570157563047550977/0A92a2Vd_normal.jpg")</f>
        <v>https://pbs.twimg.com/profile_images/1570157563047550977/0A92a2Vd_normal.jpg</v>
      </c>
      <c r="G712" s="63"/>
      <c r="H712" s="67"/>
      <c r="I712" s="68"/>
      <c r="J712" s="68"/>
      <c r="K712" s="67" t="s">
        <v>28306</v>
      </c>
      <c r="L712" s="71"/>
      <c r="M712" s="72"/>
      <c r="N712" s="72"/>
      <c r="O712" s="73"/>
      <c r="P712" s="74"/>
      <c r="Q712" s="74"/>
      <c r="R712" s="87"/>
      <c r="S712" s="87"/>
      <c r="T712" s="87"/>
      <c r="U712" s="87"/>
      <c r="V712" s="48"/>
      <c r="W712" s="48"/>
      <c r="X712" s="48"/>
      <c r="Y712" s="48"/>
      <c r="Z712" s="47"/>
      <c r="AA712" s="69">
        <v>712</v>
      </c>
      <c r="AB712" s="69"/>
      <c r="AC712" s="70"/>
      <c r="AD712" s="76" t="s">
        <v>21949</v>
      </c>
      <c r="AE712" s="81" t="s">
        <v>23450</v>
      </c>
      <c r="AF712" s="76">
        <v>3071</v>
      </c>
      <c r="AG712" s="76">
        <v>739</v>
      </c>
      <c r="AH712" s="76">
        <v>56988</v>
      </c>
      <c r="AI712" s="76">
        <v>101</v>
      </c>
      <c r="AJ712" s="76">
        <v>11792</v>
      </c>
      <c r="AK712" s="76">
        <v>10441</v>
      </c>
      <c r="AL712" s="76" t="b">
        <v>0</v>
      </c>
      <c r="AM712" s="78">
        <v>41906.963391203702</v>
      </c>
      <c r="AN712" s="76" t="s">
        <v>24345</v>
      </c>
      <c r="AO712" s="76" t="s">
        <v>25350</v>
      </c>
      <c r="AP712" s="82" t="str">
        <f>HYPERLINK("https://t.co/n1SmpRYl5y")</f>
        <v>https://t.co/n1SmpRYl5y</v>
      </c>
      <c r="AQ712" s="82" t="str">
        <f>HYPERLINK("https://arabia.watch")</f>
        <v>https://arabia.watch</v>
      </c>
      <c r="AR712" s="76" t="s">
        <v>8740</v>
      </c>
      <c r="AS712" s="76"/>
      <c r="AT712" s="76"/>
      <c r="AU712" s="76"/>
      <c r="AV712" s="76">
        <v>1.65814477942579E+18</v>
      </c>
      <c r="AW712" s="82" t="str">
        <f>HYPERLINK("https://t.co/n1SmpRYl5y")</f>
        <v>https://t.co/n1SmpRYl5y</v>
      </c>
      <c r="AX712" s="76" t="b">
        <v>0</v>
      </c>
      <c r="AY712" s="76"/>
      <c r="AZ712" s="76"/>
      <c r="BA712" s="76" t="b">
        <v>0</v>
      </c>
      <c r="BB712" s="76" t="b">
        <v>1</v>
      </c>
      <c r="BC712" s="76" t="b">
        <v>1</v>
      </c>
      <c r="BD712" s="76" t="b">
        <v>0</v>
      </c>
      <c r="BE712" s="76" t="b">
        <v>0</v>
      </c>
      <c r="BF712" s="76" t="b">
        <v>0</v>
      </c>
      <c r="BG712" s="76" t="b">
        <v>0</v>
      </c>
      <c r="BH712" s="82" t="str">
        <f>HYPERLINK("https://pbs.twimg.com/profile_banners/2830654988/1663189711")</f>
        <v>https://pbs.twimg.com/profile_banners/2830654988/1663189711</v>
      </c>
      <c r="BI712" s="76"/>
      <c r="BJ712" s="76" t="s">
        <v>27595</v>
      </c>
      <c r="BK712" s="76" t="b">
        <v>0</v>
      </c>
      <c r="BL712" s="76"/>
      <c r="BM712" s="76" t="s">
        <v>66</v>
      </c>
      <c r="BN712" s="76" t="s">
        <v>27597</v>
      </c>
      <c r="BO712" s="82" t="str">
        <f>HYPERLINK("https://twitter.com/arabiawa")</f>
        <v>https://twitter.com/arabiawa</v>
      </c>
      <c r="BP712" s="2"/>
    </row>
    <row r="713" spans="1:68" x14ac:dyDescent="0.25">
      <c r="A713" s="62" t="s">
        <v>730</v>
      </c>
      <c r="B713" s="63"/>
      <c r="C713" s="63"/>
      <c r="D713" s="64"/>
      <c r="E713" s="66"/>
      <c r="F713" s="103" t="str">
        <f>HYPERLINK("https://pbs.twimg.com/profile_images/431178046930817024/__w8n2rt_normal.png")</f>
        <v>https://pbs.twimg.com/profile_images/431178046930817024/__w8n2rt_normal.png</v>
      </c>
      <c r="G713" s="63"/>
      <c r="H713" s="67"/>
      <c r="I713" s="68"/>
      <c r="J713" s="68"/>
      <c r="K713" s="67" t="s">
        <v>28307</v>
      </c>
      <c r="L713" s="71"/>
      <c r="M713" s="72"/>
      <c r="N713" s="72"/>
      <c r="O713" s="73"/>
      <c r="P713" s="74"/>
      <c r="Q713" s="74"/>
      <c r="R713" s="87"/>
      <c r="S713" s="87"/>
      <c r="T713" s="87"/>
      <c r="U713" s="87"/>
      <c r="V713" s="48"/>
      <c r="W713" s="48"/>
      <c r="X713" s="48"/>
      <c r="Y713" s="48"/>
      <c r="Z713" s="47"/>
      <c r="AA713" s="69">
        <v>713</v>
      </c>
      <c r="AB713" s="69"/>
      <c r="AC713" s="70"/>
      <c r="AD713" s="76" t="s">
        <v>21950</v>
      </c>
      <c r="AE713" s="81" t="s">
        <v>23451</v>
      </c>
      <c r="AF713" s="76">
        <v>110730</v>
      </c>
      <c r="AG713" s="76">
        <v>335</v>
      </c>
      <c r="AH713" s="76">
        <v>9904</v>
      </c>
      <c r="AI713" s="76">
        <v>61</v>
      </c>
      <c r="AJ713" s="76">
        <v>228</v>
      </c>
      <c r="AK713" s="76">
        <v>560</v>
      </c>
      <c r="AL713" s="76" t="b">
        <v>0</v>
      </c>
      <c r="AM713" s="78">
        <v>40001.756076388891</v>
      </c>
      <c r="AN713" s="76" t="s">
        <v>14479</v>
      </c>
      <c r="AO713" s="76" t="s">
        <v>25351</v>
      </c>
      <c r="AP713" s="82" t="str">
        <f>HYPERLINK("http://t.co/ATtZASl4aV")</f>
        <v>http://t.co/ATtZASl4aV</v>
      </c>
      <c r="AQ713" s="82" t="str">
        <f>HYPERLINK("http://www.migueldaoud.com.br")</f>
        <v>http://www.migueldaoud.com.br</v>
      </c>
      <c r="AR713" s="76" t="s">
        <v>26751</v>
      </c>
      <c r="AS713" s="76"/>
      <c r="AT713" s="76"/>
      <c r="AU713" s="76"/>
      <c r="AV713" s="76"/>
      <c r="AW713" s="82" t="str">
        <f>HYPERLINK("http://t.co/ATtZASl4aV")</f>
        <v>http://t.co/ATtZASl4aV</v>
      </c>
      <c r="AX713" s="76" t="b">
        <v>0</v>
      </c>
      <c r="AY713" s="76"/>
      <c r="AZ713" s="76"/>
      <c r="BA713" s="76" t="b">
        <v>0</v>
      </c>
      <c r="BB713" s="76" t="b">
        <v>1</v>
      </c>
      <c r="BC713" s="76" t="b">
        <v>0</v>
      </c>
      <c r="BD713" s="76" t="b">
        <v>0</v>
      </c>
      <c r="BE713" s="76" t="b">
        <v>1</v>
      </c>
      <c r="BF713" s="76" t="b">
        <v>0</v>
      </c>
      <c r="BG713" s="76" t="b">
        <v>0</v>
      </c>
      <c r="BH713" s="82" t="str">
        <f>HYPERLINK("https://pbs.twimg.com/profile_banners/54628339/1486512273")</f>
        <v>https://pbs.twimg.com/profile_banners/54628339/1486512273</v>
      </c>
      <c r="BI713" s="76"/>
      <c r="BJ713" s="76" t="s">
        <v>27595</v>
      </c>
      <c r="BK713" s="76" t="b">
        <v>0</v>
      </c>
      <c r="BL713" s="76"/>
      <c r="BM713" s="76" t="s">
        <v>66</v>
      </c>
      <c r="BN713" s="76" t="s">
        <v>27597</v>
      </c>
      <c r="BO713" s="82" t="str">
        <f>HYPERLINK("https://twitter.com/migueldaoud")</f>
        <v>https://twitter.com/migueldaoud</v>
      </c>
      <c r="BP713" s="2"/>
    </row>
    <row r="714" spans="1:68" x14ac:dyDescent="0.25">
      <c r="A714" s="62" t="s">
        <v>731</v>
      </c>
      <c r="B714" s="63"/>
      <c r="C714" s="63"/>
      <c r="D714" s="64"/>
      <c r="E714" s="66"/>
      <c r="F714" s="103" t="str">
        <f>HYPERLINK("https://pbs.twimg.com/profile_images/1134583033590423558/sl2JyfOI_normal.jpg")</f>
        <v>https://pbs.twimg.com/profile_images/1134583033590423558/sl2JyfOI_normal.jpg</v>
      </c>
      <c r="G714" s="63"/>
      <c r="H714" s="67"/>
      <c r="I714" s="68"/>
      <c r="J714" s="68"/>
      <c r="K714" s="67" t="s">
        <v>28308</v>
      </c>
      <c r="L714" s="71"/>
      <c r="M714" s="72"/>
      <c r="N714" s="72"/>
      <c r="O714" s="73"/>
      <c r="P714" s="74"/>
      <c r="Q714" s="74"/>
      <c r="R714" s="87"/>
      <c r="S714" s="87"/>
      <c r="T714" s="87"/>
      <c r="U714" s="87"/>
      <c r="V714" s="48"/>
      <c r="W714" s="48"/>
      <c r="X714" s="48"/>
      <c r="Y714" s="48"/>
      <c r="Z714" s="47"/>
      <c r="AA714" s="69">
        <v>714</v>
      </c>
      <c r="AB714" s="69"/>
      <c r="AC714" s="70"/>
      <c r="AD714" s="76" t="s">
        <v>21951</v>
      </c>
      <c r="AE714" s="81" t="s">
        <v>20736</v>
      </c>
      <c r="AF714" s="76">
        <v>821</v>
      </c>
      <c r="AG714" s="76">
        <v>885</v>
      </c>
      <c r="AH714" s="76">
        <v>2648</v>
      </c>
      <c r="AI714" s="76">
        <v>1</v>
      </c>
      <c r="AJ714" s="76">
        <v>1979</v>
      </c>
      <c r="AK714" s="76">
        <v>751</v>
      </c>
      <c r="AL714" s="76" t="b">
        <v>0</v>
      </c>
      <c r="AM714" s="78">
        <v>43616.923587962963</v>
      </c>
      <c r="AN714" s="76" t="s">
        <v>24113</v>
      </c>
      <c r="AO714" s="76" t="s">
        <v>25352</v>
      </c>
      <c r="AP714" s="76"/>
      <c r="AQ714" s="76"/>
      <c r="AR714" s="76"/>
      <c r="AS714" s="76"/>
      <c r="AT714" s="76"/>
      <c r="AU714" s="76"/>
      <c r="AV714" s="76">
        <v>1.13501093998249E+18</v>
      </c>
      <c r="AW714" s="76"/>
      <c r="AX714" s="76" t="b">
        <v>0</v>
      </c>
      <c r="AY714" s="76"/>
      <c r="AZ714" s="76"/>
      <c r="BA714" s="76" t="b">
        <v>0</v>
      </c>
      <c r="BB714" s="76" t="b">
        <v>0</v>
      </c>
      <c r="BC714" s="76" t="b">
        <v>1</v>
      </c>
      <c r="BD714" s="76" t="b">
        <v>0</v>
      </c>
      <c r="BE714" s="76" t="b">
        <v>0</v>
      </c>
      <c r="BF714" s="76" t="b">
        <v>0</v>
      </c>
      <c r="BG714" s="76" t="b">
        <v>0</v>
      </c>
      <c r="BH714" s="82" t="str">
        <f>HYPERLINK("https://pbs.twimg.com/profile_banners/1134582817751539712/1559445699")</f>
        <v>https://pbs.twimg.com/profile_banners/1134582817751539712/1559445699</v>
      </c>
      <c r="BI714" s="76"/>
      <c r="BJ714" s="76" t="s">
        <v>27595</v>
      </c>
      <c r="BK714" s="76" t="b">
        <v>0</v>
      </c>
      <c r="BL714" s="76"/>
      <c r="BM714" s="76" t="s">
        <v>66</v>
      </c>
      <c r="BN714" s="76" t="s">
        <v>27597</v>
      </c>
      <c r="BO714" s="82" t="str">
        <f>HYPERLINK("https://twitter.com/2016peka")</f>
        <v>https://twitter.com/2016peka</v>
      </c>
      <c r="BP714" s="2"/>
    </row>
    <row r="715" spans="1:68" x14ac:dyDescent="0.25">
      <c r="A715" s="62" t="s">
        <v>732</v>
      </c>
      <c r="B715" s="63"/>
      <c r="C715" s="63"/>
      <c r="D715" s="64"/>
      <c r="E715" s="66"/>
      <c r="F715" s="103" t="str">
        <f>HYPERLINK("https://pbs.twimg.com/profile_images/1647234694784724992/rI3YdJo9_normal.jpg")</f>
        <v>https://pbs.twimg.com/profile_images/1647234694784724992/rI3YdJo9_normal.jpg</v>
      </c>
      <c r="G715" s="63"/>
      <c r="H715" s="67"/>
      <c r="I715" s="68"/>
      <c r="J715" s="68"/>
      <c r="K715" s="67" t="s">
        <v>28309</v>
      </c>
      <c r="L715" s="71"/>
      <c r="M715" s="72"/>
      <c r="N715" s="72"/>
      <c r="O715" s="73"/>
      <c r="P715" s="74"/>
      <c r="Q715" s="74"/>
      <c r="R715" s="87"/>
      <c r="S715" s="87"/>
      <c r="T715" s="87"/>
      <c r="U715" s="87"/>
      <c r="V715" s="48"/>
      <c r="W715" s="48"/>
      <c r="X715" s="48"/>
      <c r="Y715" s="48"/>
      <c r="Z715" s="47"/>
      <c r="AA715" s="69">
        <v>715</v>
      </c>
      <c r="AB715" s="69"/>
      <c r="AC715" s="70"/>
      <c r="AD715" s="76" t="s">
        <v>21952</v>
      </c>
      <c r="AE715" s="81" t="s">
        <v>23452</v>
      </c>
      <c r="AF715" s="76">
        <v>1391</v>
      </c>
      <c r="AG715" s="76">
        <v>294</v>
      </c>
      <c r="AH715" s="76">
        <v>2229</v>
      </c>
      <c r="AI715" s="76">
        <v>2</v>
      </c>
      <c r="AJ715" s="76">
        <v>1870</v>
      </c>
      <c r="AK715" s="76">
        <v>131</v>
      </c>
      <c r="AL715" s="76" t="b">
        <v>0</v>
      </c>
      <c r="AM715" s="78">
        <v>40033.592858796299</v>
      </c>
      <c r="AN715" s="76" t="s">
        <v>14432</v>
      </c>
      <c r="AO715" s="76" t="s">
        <v>25353</v>
      </c>
      <c r="AP715" s="76"/>
      <c r="AQ715" s="76"/>
      <c r="AR715" s="76"/>
      <c r="AS715" s="76"/>
      <c r="AT715" s="76"/>
      <c r="AU715" s="76"/>
      <c r="AV715" s="76">
        <v>1.7025998235542001E+18</v>
      </c>
      <c r="AW715" s="76"/>
      <c r="AX715" s="76" t="b">
        <v>0</v>
      </c>
      <c r="AY715" s="76"/>
      <c r="AZ715" s="76"/>
      <c r="BA715" s="76" t="b">
        <v>1</v>
      </c>
      <c r="BB715" s="76" t="b">
        <v>1</v>
      </c>
      <c r="BC715" s="76" t="b">
        <v>1</v>
      </c>
      <c r="BD715" s="76" t="b">
        <v>0</v>
      </c>
      <c r="BE715" s="76" t="b">
        <v>1</v>
      </c>
      <c r="BF715" s="76" t="b">
        <v>0</v>
      </c>
      <c r="BG715" s="76" t="b">
        <v>0</v>
      </c>
      <c r="BH715" s="76"/>
      <c r="BI715" s="76"/>
      <c r="BJ715" s="76" t="s">
        <v>27595</v>
      </c>
      <c r="BK715" s="76" t="b">
        <v>0</v>
      </c>
      <c r="BL715" s="76"/>
      <c r="BM715" s="76" t="s">
        <v>66</v>
      </c>
      <c r="BN715" s="76" t="s">
        <v>27597</v>
      </c>
      <c r="BO715" s="82" t="str">
        <f>HYPERLINK("https://twitter.com/luizoc2001")</f>
        <v>https://twitter.com/luizoc2001</v>
      </c>
      <c r="BP715" s="2"/>
    </row>
    <row r="716" spans="1:68" x14ac:dyDescent="0.25">
      <c r="A716" s="62" t="s">
        <v>733</v>
      </c>
      <c r="B716" s="63"/>
      <c r="C716" s="63"/>
      <c r="D716" s="64"/>
      <c r="E716" s="66"/>
      <c r="F716" s="103" t="str">
        <f>HYPERLINK("https://pbs.twimg.com/profile_images/1627828949148438529/v1MXiqRN_normal.jpg")</f>
        <v>https://pbs.twimg.com/profile_images/1627828949148438529/v1MXiqRN_normal.jpg</v>
      </c>
      <c r="G716" s="63"/>
      <c r="H716" s="67"/>
      <c r="I716" s="68"/>
      <c r="J716" s="68"/>
      <c r="K716" s="67" t="s">
        <v>28310</v>
      </c>
      <c r="L716" s="71"/>
      <c r="M716" s="72"/>
      <c r="N716" s="72"/>
      <c r="O716" s="73"/>
      <c r="P716" s="74"/>
      <c r="Q716" s="74"/>
      <c r="R716" s="87"/>
      <c r="S716" s="87"/>
      <c r="T716" s="87"/>
      <c r="U716" s="87"/>
      <c r="V716" s="48"/>
      <c r="W716" s="48"/>
      <c r="X716" s="48"/>
      <c r="Y716" s="48"/>
      <c r="Z716" s="47"/>
      <c r="AA716" s="69">
        <v>716</v>
      </c>
      <c r="AB716" s="69"/>
      <c r="AC716" s="70"/>
      <c r="AD716" s="76" t="s">
        <v>21953</v>
      </c>
      <c r="AE716" s="81" t="s">
        <v>20737</v>
      </c>
      <c r="AF716" s="76">
        <v>2498</v>
      </c>
      <c r="AG716" s="76">
        <v>715</v>
      </c>
      <c r="AH716" s="76">
        <v>603</v>
      </c>
      <c r="AI716" s="76">
        <v>18</v>
      </c>
      <c r="AJ716" s="76">
        <v>902</v>
      </c>
      <c r="AK716" s="76">
        <v>134</v>
      </c>
      <c r="AL716" s="76" t="b">
        <v>0</v>
      </c>
      <c r="AM716" s="78">
        <v>44977.962418981479</v>
      </c>
      <c r="AN716" s="76" t="s">
        <v>24346</v>
      </c>
      <c r="AO716" s="76" t="s">
        <v>25354</v>
      </c>
      <c r="AP716" s="82" t="str">
        <f>HYPERLINK("https://t.co/xuKigU52Of")</f>
        <v>https://t.co/xuKigU52Of</v>
      </c>
      <c r="AQ716" s="82" t="str">
        <f>HYPERLINK("http://adninversionista.com")</f>
        <v>http://adninversionista.com</v>
      </c>
      <c r="AR716" s="76" t="s">
        <v>8741</v>
      </c>
      <c r="AS716" s="76"/>
      <c r="AT716" s="76"/>
      <c r="AU716" s="76"/>
      <c r="AV716" s="76">
        <v>1.6824639387247301E+18</v>
      </c>
      <c r="AW716" s="82" t="str">
        <f>HYPERLINK("https://t.co/xuKigU52Of")</f>
        <v>https://t.co/xuKigU52Of</v>
      </c>
      <c r="AX716" s="76" t="b">
        <v>1</v>
      </c>
      <c r="AY716" s="76"/>
      <c r="AZ716" s="76"/>
      <c r="BA716" s="76" t="b">
        <v>0</v>
      </c>
      <c r="BB716" s="76" t="b">
        <v>1</v>
      </c>
      <c r="BC716" s="76" t="b">
        <v>1</v>
      </c>
      <c r="BD716" s="76" t="b">
        <v>0</v>
      </c>
      <c r="BE716" s="76" t="b">
        <v>1</v>
      </c>
      <c r="BF716" s="76" t="b">
        <v>0</v>
      </c>
      <c r="BG716" s="76" t="b">
        <v>0</v>
      </c>
      <c r="BH716" s="82" t="str">
        <f>HYPERLINK("https://pbs.twimg.com/profile_banners/1627806747820802053/1679626995")</f>
        <v>https://pbs.twimg.com/profile_banners/1627806747820802053/1679626995</v>
      </c>
      <c r="BI716" s="76"/>
      <c r="BJ716" s="76" t="s">
        <v>27595</v>
      </c>
      <c r="BK716" s="76" t="b">
        <v>0</v>
      </c>
      <c r="BL716" s="76"/>
      <c r="BM716" s="76" t="s">
        <v>66</v>
      </c>
      <c r="BN716" s="76" t="s">
        <v>27597</v>
      </c>
      <c r="BO716" s="82" t="str">
        <f>HYPERLINK("https://twitter.com/adninversionist")</f>
        <v>https://twitter.com/adninversionist</v>
      </c>
      <c r="BP716" s="2"/>
    </row>
    <row r="717" spans="1:68" x14ac:dyDescent="0.25">
      <c r="A717" s="62" t="s">
        <v>1231</v>
      </c>
      <c r="B717" s="63"/>
      <c r="C717" s="63"/>
      <c r="D717" s="64"/>
      <c r="E717" s="66"/>
      <c r="F717" s="103" t="str">
        <f>HYPERLINK("https://pbs.twimg.com/profile_images/3636095001/fb945e54e14a7a6e7a6a70e56b2ec563_normal.png")</f>
        <v>https://pbs.twimg.com/profile_images/3636095001/fb945e54e14a7a6e7a6a70e56b2ec563_normal.png</v>
      </c>
      <c r="G717" s="63"/>
      <c r="H717" s="67"/>
      <c r="I717" s="68"/>
      <c r="J717" s="68"/>
      <c r="K717" s="67" t="s">
        <v>28311</v>
      </c>
      <c r="L717" s="71"/>
      <c r="M717" s="72"/>
      <c r="N717" s="72"/>
      <c r="O717" s="73"/>
      <c r="P717" s="74"/>
      <c r="Q717" s="74"/>
      <c r="R717" s="87"/>
      <c r="S717" s="87"/>
      <c r="T717" s="87"/>
      <c r="U717" s="87"/>
      <c r="V717" s="48"/>
      <c r="W717" s="48"/>
      <c r="X717" s="48"/>
      <c r="Y717" s="48"/>
      <c r="Z717" s="47"/>
      <c r="AA717" s="69">
        <v>717</v>
      </c>
      <c r="AB717" s="69"/>
      <c r="AC717" s="70"/>
      <c r="AD717" s="76" t="s">
        <v>21954</v>
      </c>
      <c r="AE717" s="81" t="s">
        <v>23453</v>
      </c>
      <c r="AF717" s="76">
        <v>32189</v>
      </c>
      <c r="AG717" s="76">
        <v>134</v>
      </c>
      <c r="AH717" s="76">
        <v>67465</v>
      </c>
      <c r="AI717" s="76">
        <v>259</v>
      </c>
      <c r="AJ717" s="76">
        <v>241</v>
      </c>
      <c r="AK717" s="76">
        <v>50121</v>
      </c>
      <c r="AL717" s="76" t="b">
        <v>0</v>
      </c>
      <c r="AM717" s="78">
        <v>41311.757881944446</v>
      </c>
      <c r="AN717" s="76" t="s">
        <v>24188</v>
      </c>
      <c r="AO717" s="76" t="s">
        <v>25355</v>
      </c>
      <c r="AP717" s="82" t="str">
        <f>HYPERLINK("https://t.co/QXp3LfUMFJ")</f>
        <v>https://t.co/QXp3LfUMFJ</v>
      </c>
      <c r="AQ717" s="82" t="str">
        <f>HYPERLINK("http://www.elmercurio.com/inversiones")</f>
        <v>http://www.elmercurio.com/inversiones</v>
      </c>
      <c r="AR717" s="76" t="s">
        <v>26752</v>
      </c>
      <c r="AS717" s="76"/>
      <c r="AT717" s="76"/>
      <c r="AU717" s="76"/>
      <c r="AV717" s="76">
        <v>1.2043977069295501E+18</v>
      </c>
      <c r="AW717" s="82" t="str">
        <f>HYPERLINK("https://t.co/QXp3LfUMFJ")</f>
        <v>https://t.co/QXp3LfUMFJ</v>
      </c>
      <c r="AX717" s="76" t="b">
        <v>0</v>
      </c>
      <c r="AY717" s="76"/>
      <c r="AZ717" s="76"/>
      <c r="BA717" s="76" t="b">
        <v>0</v>
      </c>
      <c r="BB717" s="76" t="b">
        <v>1</v>
      </c>
      <c r="BC717" s="76" t="b">
        <v>0</v>
      </c>
      <c r="BD717" s="76" t="b">
        <v>0</v>
      </c>
      <c r="BE717" s="76" t="b">
        <v>0</v>
      </c>
      <c r="BF717" s="76" t="b">
        <v>0</v>
      </c>
      <c r="BG717" s="76" t="b">
        <v>0</v>
      </c>
      <c r="BH717" s="82" t="str">
        <f>HYPERLINK("https://pbs.twimg.com/profile_banners/1154706350/1399586429")</f>
        <v>https://pbs.twimg.com/profile_banners/1154706350/1399586429</v>
      </c>
      <c r="BI717" s="76"/>
      <c r="BJ717" s="76" t="s">
        <v>27595</v>
      </c>
      <c r="BK717" s="76" t="b">
        <v>0</v>
      </c>
      <c r="BL717" s="76"/>
      <c r="BM717" s="76" t="s">
        <v>66</v>
      </c>
      <c r="BN717" s="76" t="s">
        <v>27597</v>
      </c>
      <c r="BO717" s="82" t="str">
        <f>HYPERLINK("https://twitter.com/em_inversiones")</f>
        <v>https://twitter.com/em_inversiones</v>
      </c>
      <c r="BP717" s="2"/>
    </row>
    <row r="718" spans="1:68" x14ac:dyDescent="0.25">
      <c r="A718" s="62" t="s">
        <v>734</v>
      </c>
      <c r="B718" s="63"/>
      <c r="C718" s="63"/>
      <c r="D718" s="64"/>
      <c r="E718" s="66"/>
      <c r="F718" s="103" t="str">
        <f>HYPERLINK("https://pbs.twimg.com/profile_images/1528780018901475328/J7K4KFHY_normal.jpg")</f>
        <v>https://pbs.twimg.com/profile_images/1528780018901475328/J7K4KFHY_normal.jpg</v>
      </c>
      <c r="G718" s="63"/>
      <c r="H718" s="67"/>
      <c r="I718" s="68"/>
      <c r="J718" s="68"/>
      <c r="K718" s="67" t="s">
        <v>28312</v>
      </c>
      <c r="L718" s="71"/>
      <c r="M718" s="72"/>
      <c r="N718" s="72"/>
      <c r="O718" s="73"/>
      <c r="P718" s="74"/>
      <c r="Q718" s="74"/>
      <c r="R718" s="87"/>
      <c r="S718" s="87"/>
      <c r="T718" s="87"/>
      <c r="U718" s="87"/>
      <c r="V718" s="48"/>
      <c r="W718" s="48"/>
      <c r="X718" s="48"/>
      <c r="Y718" s="48"/>
      <c r="Z718" s="47"/>
      <c r="AA718" s="69">
        <v>718</v>
      </c>
      <c r="AB718" s="69"/>
      <c r="AC718" s="70"/>
      <c r="AD718" s="76" t="s">
        <v>21955</v>
      </c>
      <c r="AE718" s="81" t="s">
        <v>20738</v>
      </c>
      <c r="AF718" s="76">
        <v>1425</v>
      </c>
      <c r="AG718" s="76">
        <v>810</v>
      </c>
      <c r="AH718" s="76">
        <v>34907</v>
      </c>
      <c r="AI718" s="76">
        <v>2</v>
      </c>
      <c r="AJ718" s="76">
        <v>32446</v>
      </c>
      <c r="AK718" s="76">
        <v>2803</v>
      </c>
      <c r="AL718" s="76" t="b">
        <v>0</v>
      </c>
      <c r="AM718" s="78">
        <v>44678.899699074071</v>
      </c>
      <c r="AN718" s="76"/>
      <c r="AO718" s="76"/>
      <c r="AP718" s="76"/>
      <c r="AQ718" s="76"/>
      <c r="AR718" s="76"/>
      <c r="AS718" s="76"/>
      <c r="AT718" s="76"/>
      <c r="AU718" s="76"/>
      <c r="AV718" s="76"/>
      <c r="AW718" s="76"/>
      <c r="AX718" s="76" t="b">
        <v>0</v>
      </c>
      <c r="AY718" s="76"/>
      <c r="AZ718" s="76"/>
      <c r="BA718" s="76" t="b">
        <v>0</v>
      </c>
      <c r="BB718" s="76" t="b">
        <v>1</v>
      </c>
      <c r="BC718" s="76" t="b">
        <v>1</v>
      </c>
      <c r="BD718" s="76" t="b">
        <v>0</v>
      </c>
      <c r="BE718" s="76" t="b">
        <v>1</v>
      </c>
      <c r="BF718" s="76" t="b">
        <v>0</v>
      </c>
      <c r="BG718" s="76" t="b">
        <v>0</v>
      </c>
      <c r="BH718" s="82" t="str">
        <f>HYPERLINK("https://pbs.twimg.com/profile_banners/1519430020187492352/1653324614")</f>
        <v>https://pbs.twimg.com/profile_banners/1519430020187492352/1653324614</v>
      </c>
      <c r="BI718" s="76"/>
      <c r="BJ718" s="76" t="s">
        <v>27595</v>
      </c>
      <c r="BK718" s="76" t="b">
        <v>0</v>
      </c>
      <c r="BL718" s="76"/>
      <c r="BM718" s="76" t="s">
        <v>66</v>
      </c>
      <c r="BN718" s="76" t="s">
        <v>27597</v>
      </c>
      <c r="BO718" s="82" t="str">
        <f>HYPERLINK("https://twitter.com/alejandrorodro8")</f>
        <v>https://twitter.com/alejandrorodro8</v>
      </c>
      <c r="BP718" s="2"/>
    </row>
    <row r="719" spans="1:68" x14ac:dyDescent="0.25">
      <c r="A719" s="62" t="s">
        <v>735</v>
      </c>
      <c r="B719" s="63"/>
      <c r="C719" s="63"/>
      <c r="D719" s="64"/>
      <c r="E719" s="66"/>
      <c r="F719" s="103" t="str">
        <f>HYPERLINK("https://pbs.twimg.com/profile_images/1615020806718865409/xlgYIKKG_normal.jpg")</f>
        <v>https://pbs.twimg.com/profile_images/1615020806718865409/xlgYIKKG_normal.jpg</v>
      </c>
      <c r="G719" s="63"/>
      <c r="H719" s="67"/>
      <c r="I719" s="68"/>
      <c r="J719" s="68"/>
      <c r="K719" s="67" t="s">
        <v>28313</v>
      </c>
      <c r="L719" s="71"/>
      <c r="M719" s="72"/>
      <c r="N719" s="72"/>
      <c r="O719" s="73"/>
      <c r="P719" s="74"/>
      <c r="Q719" s="74"/>
      <c r="R719" s="87"/>
      <c r="S719" s="87"/>
      <c r="T719" s="87"/>
      <c r="U719" s="87"/>
      <c r="V719" s="48"/>
      <c r="W719" s="48"/>
      <c r="X719" s="48"/>
      <c r="Y719" s="48"/>
      <c r="Z719" s="47"/>
      <c r="AA719" s="69">
        <v>719</v>
      </c>
      <c r="AB719" s="69"/>
      <c r="AC719" s="70"/>
      <c r="AD719" s="76" t="s">
        <v>21956</v>
      </c>
      <c r="AE719" s="81" t="s">
        <v>23454</v>
      </c>
      <c r="AF719" s="76">
        <v>4560</v>
      </c>
      <c r="AG719" s="76">
        <v>505</v>
      </c>
      <c r="AH719" s="76">
        <v>11116</v>
      </c>
      <c r="AI719" s="76">
        <v>44</v>
      </c>
      <c r="AJ719" s="76">
        <v>1505</v>
      </c>
      <c r="AK719" s="76">
        <v>4503</v>
      </c>
      <c r="AL719" s="76" t="b">
        <v>0</v>
      </c>
      <c r="AM719" s="78">
        <v>40140.631550925929</v>
      </c>
      <c r="AN719" s="76" t="s">
        <v>24347</v>
      </c>
      <c r="AO719" s="76" t="s">
        <v>25356</v>
      </c>
      <c r="AP719" s="82" t="str">
        <f>HYPERLINK("https://t.co/Z0QE4Y9VzB")</f>
        <v>https://t.co/Z0QE4Y9VzB</v>
      </c>
      <c r="AQ719" s="82" t="str">
        <f>HYPERLINK("https://sindbancarios.org.br")</f>
        <v>https://sindbancarios.org.br</v>
      </c>
      <c r="AR719" s="76" t="s">
        <v>26753</v>
      </c>
      <c r="AS719" s="76"/>
      <c r="AT719" s="76"/>
      <c r="AU719" s="76"/>
      <c r="AV719" s="76"/>
      <c r="AW719" s="82" t="str">
        <f>HYPERLINK("https://t.co/Z0QE4Y9VzB")</f>
        <v>https://t.co/Z0QE4Y9VzB</v>
      </c>
      <c r="AX719" s="76" t="b">
        <v>0</v>
      </c>
      <c r="AY719" s="76"/>
      <c r="AZ719" s="76"/>
      <c r="BA719" s="76" t="b">
        <v>1</v>
      </c>
      <c r="BB719" s="76" t="b">
        <v>1</v>
      </c>
      <c r="BC719" s="76" t="b">
        <v>0</v>
      </c>
      <c r="BD719" s="76" t="b">
        <v>0</v>
      </c>
      <c r="BE719" s="76" t="b">
        <v>1</v>
      </c>
      <c r="BF719" s="76" t="b">
        <v>0</v>
      </c>
      <c r="BG719" s="76" t="b">
        <v>0</v>
      </c>
      <c r="BH719" s="82" t="str">
        <f>HYPERLINK("https://pbs.twimg.com/profile_banners/92037820/1693577422")</f>
        <v>https://pbs.twimg.com/profile_banners/92037820/1693577422</v>
      </c>
      <c r="BI719" s="76"/>
      <c r="BJ719" s="76" t="s">
        <v>27595</v>
      </c>
      <c r="BK719" s="76" t="b">
        <v>0</v>
      </c>
      <c r="BL719" s="76"/>
      <c r="BM719" s="76" t="s">
        <v>66</v>
      </c>
      <c r="BN719" s="76" t="s">
        <v>27597</v>
      </c>
      <c r="BO719" s="82" t="str">
        <f>HYPERLINK("https://twitter.com/sindbancarios")</f>
        <v>https://twitter.com/sindbancarios</v>
      </c>
      <c r="BP719" s="2"/>
    </row>
    <row r="720" spans="1:68" x14ac:dyDescent="0.25">
      <c r="A720" s="62" t="s">
        <v>736</v>
      </c>
      <c r="B720" s="63"/>
      <c r="C720" s="63"/>
      <c r="D720" s="64"/>
      <c r="E720" s="66"/>
      <c r="F720" s="103" t="str">
        <f>HYPERLINK("https://pbs.twimg.com/profile_images/1704112849327378432/sST55-W3_normal.jpg")</f>
        <v>https://pbs.twimg.com/profile_images/1704112849327378432/sST55-W3_normal.jpg</v>
      </c>
      <c r="G720" s="63"/>
      <c r="H720" s="67"/>
      <c r="I720" s="68"/>
      <c r="J720" s="68"/>
      <c r="K720" s="67" t="s">
        <v>28314</v>
      </c>
      <c r="L720" s="71"/>
      <c r="M720" s="72"/>
      <c r="N720" s="72"/>
      <c r="O720" s="73"/>
      <c r="P720" s="74"/>
      <c r="Q720" s="74"/>
      <c r="R720" s="87"/>
      <c r="S720" s="87"/>
      <c r="T720" s="87"/>
      <c r="U720" s="87"/>
      <c r="V720" s="48"/>
      <c r="W720" s="48"/>
      <c r="X720" s="48"/>
      <c r="Y720" s="48"/>
      <c r="Z720" s="47"/>
      <c r="AA720" s="69">
        <v>720</v>
      </c>
      <c r="AB720" s="69"/>
      <c r="AC720" s="70"/>
      <c r="AD720" s="76" t="s">
        <v>21957</v>
      </c>
      <c r="AE720" s="81" t="s">
        <v>23455</v>
      </c>
      <c r="AF720" s="76">
        <v>2619</v>
      </c>
      <c r="AG720" s="76">
        <v>1300</v>
      </c>
      <c r="AH720" s="76">
        <v>240441</v>
      </c>
      <c r="AI720" s="76">
        <v>15</v>
      </c>
      <c r="AJ720" s="76">
        <v>170565</v>
      </c>
      <c r="AK720" s="76">
        <v>3381</v>
      </c>
      <c r="AL720" s="76" t="b">
        <v>0</v>
      </c>
      <c r="AM720" s="78">
        <v>41903.115104166667</v>
      </c>
      <c r="AN720" s="76" t="s">
        <v>14389</v>
      </c>
      <c r="AO720" s="76" t="s">
        <v>25357</v>
      </c>
      <c r="AP720" s="76"/>
      <c r="AQ720" s="76"/>
      <c r="AR720" s="76"/>
      <c r="AS720" s="76"/>
      <c r="AT720" s="76"/>
      <c r="AU720" s="76"/>
      <c r="AV720" s="76">
        <v>1.70426117402655E+18</v>
      </c>
      <c r="AW720" s="76"/>
      <c r="AX720" s="76" t="b">
        <v>0</v>
      </c>
      <c r="AY720" s="76"/>
      <c r="AZ720" s="76"/>
      <c r="BA720" s="76" t="b">
        <v>0</v>
      </c>
      <c r="BB720" s="76" t="b">
        <v>0</v>
      </c>
      <c r="BC720" s="76" t="b">
        <v>1</v>
      </c>
      <c r="BD720" s="76" t="b">
        <v>0</v>
      </c>
      <c r="BE720" s="76" t="b">
        <v>1</v>
      </c>
      <c r="BF720" s="76" t="b">
        <v>0</v>
      </c>
      <c r="BG720" s="76" t="b">
        <v>0</v>
      </c>
      <c r="BH720" s="82" t="str">
        <f>HYPERLINK("https://pbs.twimg.com/profile_banners/2778521722/1656502411")</f>
        <v>https://pbs.twimg.com/profile_banners/2778521722/1656502411</v>
      </c>
      <c r="BI720" s="76"/>
      <c r="BJ720" s="76" t="s">
        <v>27595</v>
      </c>
      <c r="BK720" s="76" t="b">
        <v>0</v>
      </c>
      <c r="BL720" s="76"/>
      <c r="BM720" s="76" t="s">
        <v>66</v>
      </c>
      <c r="BN720" s="76" t="s">
        <v>27597</v>
      </c>
      <c r="BO720" s="82" t="str">
        <f>HYPERLINK("https://twitter.com/alegriasc50")</f>
        <v>https://twitter.com/alegriasc50</v>
      </c>
      <c r="BP720" s="2"/>
    </row>
    <row r="721" spans="1:68" x14ac:dyDescent="0.25">
      <c r="A721" s="62" t="s">
        <v>737</v>
      </c>
      <c r="B721" s="63"/>
      <c r="C721" s="63"/>
      <c r="D721" s="64"/>
      <c r="E721" s="66"/>
      <c r="F721" s="103" t="str">
        <f>HYPERLINK("https://pbs.twimg.com/profile_images/1549463651861635076/U27gNkRO_normal.jpg")</f>
        <v>https://pbs.twimg.com/profile_images/1549463651861635076/U27gNkRO_normal.jpg</v>
      </c>
      <c r="G721" s="63"/>
      <c r="H721" s="67"/>
      <c r="I721" s="68"/>
      <c r="J721" s="68"/>
      <c r="K721" s="67" t="s">
        <v>28315</v>
      </c>
      <c r="L721" s="71"/>
      <c r="M721" s="72"/>
      <c r="N721" s="72"/>
      <c r="O721" s="73"/>
      <c r="P721" s="74"/>
      <c r="Q721" s="74"/>
      <c r="R721" s="87"/>
      <c r="S721" s="87"/>
      <c r="T721" s="87"/>
      <c r="U721" s="87"/>
      <c r="V721" s="48"/>
      <c r="W721" s="48"/>
      <c r="X721" s="48"/>
      <c r="Y721" s="48"/>
      <c r="Z721" s="47"/>
      <c r="AA721" s="69">
        <v>721</v>
      </c>
      <c r="AB721" s="69"/>
      <c r="AC721" s="70"/>
      <c r="AD721" s="76" t="s">
        <v>21958</v>
      </c>
      <c r="AE721" s="81" t="s">
        <v>23456</v>
      </c>
      <c r="AF721" s="76">
        <v>1238</v>
      </c>
      <c r="AG721" s="76">
        <v>3434</v>
      </c>
      <c r="AH721" s="76">
        <v>15031</v>
      </c>
      <c r="AI721" s="76">
        <v>2</v>
      </c>
      <c r="AJ721" s="76">
        <v>893</v>
      </c>
      <c r="AK721" s="76">
        <v>1820</v>
      </c>
      <c r="AL721" s="76" t="b">
        <v>0</v>
      </c>
      <c r="AM721" s="78">
        <v>41519.648252314815</v>
      </c>
      <c r="AN721" s="76" t="s">
        <v>24114</v>
      </c>
      <c r="AO721" s="76" t="s">
        <v>25358</v>
      </c>
      <c r="AP721" s="82" t="str">
        <f>HYPERLINK("https://t.co/SLKblqcjLu")</f>
        <v>https://t.co/SLKblqcjLu</v>
      </c>
      <c r="AQ721" s="82" t="str">
        <f>HYPERLINK("http://bairesenlinea.com")</f>
        <v>http://bairesenlinea.com</v>
      </c>
      <c r="AR721" s="76" t="s">
        <v>8742</v>
      </c>
      <c r="AS721" s="76"/>
      <c r="AT721" s="76"/>
      <c r="AU721" s="76"/>
      <c r="AV721" s="76"/>
      <c r="AW721" s="82" t="str">
        <f>HYPERLINK("https://t.co/SLKblqcjLu")</f>
        <v>https://t.co/SLKblqcjLu</v>
      </c>
      <c r="AX721" s="76" t="b">
        <v>0</v>
      </c>
      <c r="AY721" s="76"/>
      <c r="AZ721" s="76"/>
      <c r="BA721" s="76" t="b">
        <v>1</v>
      </c>
      <c r="BB721" s="76" t="b">
        <v>0</v>
      </c>
      <c r="BC721" s="76" t="b">
        <v>0</v>
      </c>
      <c r="BD721" s="76" t="b">
        <v>0</v>
      </c>
      <c r="BE721" s="76" t="b">
        <v>1</v>
      </c>
      <c r="BF721" s="76" t="b">
        <v>0</v>
      </c>
      <c r="BG721" s="76" t="b">
        <v>0</v>
      </c>
      <c r="BH721" s="82" t="str">
        <f>HYPERLINK("https://pbs.twimg.com/profile_banners/1722639798/1658255966")</f>
        <v>https://pbs.twimg.com/profile_banners/1722639798/1658255966</v>
      </c>
      <c r="BI721" s="76"/>
      <c r="BJ721" s="76" t="s">
        <v>27595</v>
      </c>
      <c r="BK721" s="76" t="b">
        <v>0</v>
      </c>
      <c r="BL721" s="76"/>
      <c r="BM721" s="76" t="s">
        <v>66</v>
      </c>
      <c r="BN721" s="76" t="s">
        <v>27597</v>
      </c>
      <c r="BO721" s="82" t="str">
        <f>HYPERLINK("https://twitter.com/baireslinea")</f>
        <v>https://twitter.com/baireslinea</v>
      </c>
      <c r="BP721" s="2"/>
    </row>
    <row r="722" spans="1:68" x14ac:dyDescent="0.25">
      <c r="A722" s="62" t="s">
        <v>738</v>
      </c>
      <c r="B722" s="63"/>
      <c r="C722" s="63"/>
      <c r="D722" s="64"/>
      <c r="E722" s="66"/>
      <c r="F722" s="103" t="str">
        <f>HYPERLINK("https://pbs.twimg.com/profile_images/1633702117398413313/8vRsR4Y2_normal.jpg")</f>
        <v>https://pbs.twimg.com/profile_images/1633702117398413313/8vRsR4Y2_normal.jpg</v>
      </c>
      <c r="G722" s="63"/>
      <c r="H722" s="67"/>
      <c r="I722" s="68"/>
      <c r="J722" s="68"/>
      <c r="K722" s="67" t="s">
        <v>28316</v>
      </c>
      <c r="L722" s="71"/>
      <c r="M722" s="72"/>
      <c r="N722" s="72"/>
      <c r="O722" s="73"/>
      <c r="P722" s="74"/>
      <c r="Q722" s="74"/>
      <c r="R722" s="87"/>
      <c r="S722" s="87"/>
      <c r="T722" s="87"/>
      <c r="U722" s="87"/>
      <c r="V722" s="48"/>
      <c r="W722" s="48"/>
      <c r="X722" s="48"/>
      <c r="Y722" s="48"/>
      <c r="Z722" s="47"/>
      <c r="AA722" s="69">
        <v>722</v>
      </c>
      <c r="AB722" s="69"/>
      <c r="AC722" s="70"/>
      <c r="AD722" s="76" t="s">
        <v>21959</v>
      </c>
      <c r="AE722" s="81" t="s">
        <v>20739</v>
      </c>
      <c r="AF722" s="76">
        <v>6</v>
      </c>
      <c r="AG722" s="76">
        <v>5</v>
      </c>
      <c r="AH722" s="76">
        <v>109</v>
      </c>
      <c r="AI722" s="76">
        <v>20</v>
      </c>
      <c r="AJ722" s="76">
        <v>137</v>
      </c>
      <c r="AK722" s="76">
        <v>79</v>
      </c>
      <c r="AL722" s="76" t="b">
        <v>0</v>
      </c>
      <c r="AM722" s="78">
        <v>44771.412881944445</v>
      </c>
      <c r="AN722" s="76"/>
      <c r="AO722" s="76"/>
      <c r="AP722" s="76"/>
      <c r="AQ722" s="76"/>
      <c r="AR722" s="76"/>
      <c r="AS722" s="76"/>
      <c r="AT722" s="76"/>
      <c r="AU722" s="76"/>
      <c r="AV722" s="76"/>
      <c r="AW722" s="76"/>
      <c r="AX722" s="76" t="b">
        <v>0</v>
      </c>
      <c r="AY722" s="76"/>
      <c r="AZ722" s="76"/>
      <c r="BA722" s="76" t="b">
        <v>0</v>
      </c>
      <c r="BB722" s="76" t="b">
        <v>1</v>
      </c>
      <c r="BC722" s="76" t="b">
        <v>1</v>
      </c>
      <c r="BD722" s="76" t="b">
        <v>0</v>
      </c>
      <c r="BE722" s="76" t="b">
        <v>0</v>
      </c>
      <c r="BF722" s="76" t="b">
        <v>0</v>
      </c>
      <c r="BG722" s="76" t="b">
        <v>0</v>
      </c>
      <c r="BH722" s="82" t="str">
        <f>HYPERLINK("https://pbs.twimg.com/profile_banners/1552955665345282050/1678339961")</f>
        <v>https://pbs.twimg.com/profile_banners/1552955665345282050/1678339961</v>
      </c>
      <c r="BI722" s="76"/>
      <c r="BJ722" s="76" t="s">
        <v>27595</v>
      </c>
      <c r="BK722" s="76" t="b">
        <v>0</v>
      </c>
      <c r="BL722" s="76"/>
      <c r="BM722" s="76" t="s">
        <v>66</v>
      </c>
      <c r="BN722" s="76" t="s">
        <v>27597</v>
      </c>
      <c r="BO722" s="82" t="str">
        <f>HYPERLINK("https://twitter.com/rintaroufx")</f>
        <v>https://twitter.com/rintaroufx</v>
      </c>
      <c r="BP722" s="2"/>
    </row>
    <row r="723" spans="1:68" x14ac:dyDescent="0.25">
      <c r="A723" s="62" t="s">
        <v>739</v>
      </c>
      <c r="B723" s="63"/>
      <c r="C723" s="63"/>
      <c r="D723" s="64"/>
      <c r="E723" s="66"/>
      <c r="F723" s="103" t="str">
        <f>HYPERLINK("https://pbs.twimg.com/profile_images/1587523640274321408/F7wvetK-_normal.jpg")</f>
        <v>https://pbs.twimg.com/profile_images/1587523640274321408/F7wvetK-_normal.jpg</v>
      </c>
      <c r="G723" s="63"/>
      <c r="H723" s="67"/>
      <c r="I723" s="68"/>
      <c r="J723" s="68"/>
      <c r="K723" s="67" t="s">
        <v>28317</v>
      </c>
      <c r="L723" s="71"/>
      <c r="M723" s="72"/>
      <c r="N723" s="72"/>
      <c r="O723" s="73"/>
      <c r="P723" s="74"/>
      <c r="Q723" s="74"/>
      <c r="R723" s="87"/>
      <c r="S723" s="87"/>
      <c r="T723" s="87"/>
      <c r="U723" s="87"/>
      <c r="V723" s="48"/>
      <c r="W723" s="48"/>
      <c r="X723" s="48"/>
      <c r="Y723" s="48"/>
      <c r="Z723" s="47"/>
      <c r="AA723" s="69">
        <v>723</v>
      </c>
      <c r="AB723" s="69"/>
      <c r="AC723" s="70"/>
      <c r="AD723" s="76" t="s">
        <v>21960</v>
      </c>
      <c r="AE723" s="81" t="s">
        <v>20740</v>
      </c>
      <c r="AF723" s="76">
        <v>56072</v>
      </c>
      <c r="AG723" s="76">
        <v>937</v>
      </c>
      <c r="AH723" s="76">
        <v>36859</v>
      </c>
      <c r="AI723" s="76">
        <v>353</v>
      </c>
      <c r="AJ723" s="76">
        <v>64664</v>
      </c>
      <c r="AK723" s="76">
        <v>858</v>
      </c>
      <c r="AL723" s="76" t="b">
        <v>0</v>
      </c>
      <c r="AM723" s="78">
        <v>44769.727592592593</v>
      </c>
      <c r="AN723" s="76"/>
      <c r="AO723" s="76" t="s">
        <v>25359</v>
      </c>
      <c r="AP723" s="76"/>
      <c r="AQ723" s="76"/>
      <c r="AR723" s="76"/>
      <c r="AS723" s="76"/>
      <c r="AT723" s="76"/>
      <c r="AU723" s="76"/>
      <c r="AV723" s="76">
        <v>1.691517001448E+18</v>
      </c>
      <c r="AW723" s="76"/>
      <c r="AX723" s="76" t="b">
        <v>1</v>
      </c>
      <c r="AY723" s="76"/>
      <c r="AZ723" s="76"/>
      <c r="BA723" s="76" t="b">
        <v>1</v>
      </c>
      <c r="BB723" s="76" t="b">
        <v>1</v>
      </c>
      <c r="BC723" s="76" t="b">
        <v>1</v>
      </c>
      <c r="BD723" s="76" t="b">
        <v>0</v>
      </c>
      <c r="BE723" s="76" t="b">
        <v>1</v>
      </c>
      <c r="BF723" s="76" t="b">
        <v>0</v>
      </c>
      <c r="BG723" s="76" t="b">
        <v>0</v>
      </c>
      <c r="BH723" s="82" t="str">
        <f>HYPERLINK("https://pbs.twimg.com/profile_banners/1552344810282958851/1661783543")</f>
        <v>https://pbs.twimg.com/profile_banners/1552344810282958851/1661783543</v>
      </c>
      <c r="BI723" s="76"/>
      <c r="BJ723" s="76" t="s">
        <v>27595</v>
      </c>
      <c r="BK723" s="76" t="b">
        <v>0</v>
      </c>
      <c r="BL723" s="76"/>
      <c r="BM723" s="76" t="s">
        <v>66</v>
      </c>
      <c r="BN723" s="76" t="s">
        <v>27597</v>
      </c>
      <c r="BO723" s="82" t="str">
        <f>HYPERLINK("https://twitter.com/smgestor")</f>
        <v>https://twitter.com/smgestor</v>
      </c>
      <c r="BP723" s="2"/>
    </row>
    <row r="724" spans="1:68" x14ac:dyDescent="0.25">
      <c r="A724" s="62" t="s">
        <v>740</v>
      </c>
      <c r="B724" s="63"/>
      <c r="C724" s="63"/>
      <c r="D724" s="64"/>
      <c r="E724" s="66"/>
      <c r="F724" s="103" t="str">
        <f>HYPERLINK("https://pbs.twimg.com/profile_images/1651600072566534144/j5Vpd-tH_normal.jpg")</f>
        <v>https://pbs.twimg.com/profile_images/1651600072566534144/j5Vpd-tH_normal.jpg</v>
      </c>
      <c r="G724" s="63"/>
      <c r="H724" s="67"/>
      <c r="I724" s="68"/>
      <c r="J724" s="68"/>
      <c r="K724" s="67" t="s">
        <v>28318</v>
      </c>
      <c r="L724" s="71"/>
      <c r="M724" s="72"/>
      <c r="N724" s="72"/>
      <c r="O724" s="73"/>
      <c r="P724" s="74"/>
      <c r="Q724" s="74"/>
      <c r="R724" s="87"/>
      <c r="S724" s="87"/>
      <c r="T724" s="87"/>
      <c r="U724" s="87"/>
      <c r="V724" s="48"/>
      <c r="W724" s="48"/>
      <c r="X724" s="48"/>
      <c r="Y724" s="48"/>
      <c r="Z724" s="47"/>
      <c r="AA724" s="69">
        <v>724</v>
      </c>
      <c r="AB724" s="69"/>
      <c r="AC724" s="70"/>
      <c r="AD724" s="76" t="s">
        <v>21961</v>
      </c>
      <c r="AE724" s="81" t="s">
        <v>20271</v>
      </c>
      <c r="AF724" s="76">
        <v>2</v>
      </c>
      <c r="AG724" s="76">
        <v>1</v>
      </c>
      <c r="AH724" s="76">
        <v>249</v>
      </c>
      <c r="AI724" s="76">
        <v>0</v>
      </c>
      <c r="AJ724" s="76">
        <v>61</v>
      </c>
      <c r="AK724" s="76">
        <v>175</v>
      </c>
      <c r="AL724" s="76" t="b">
        <v>0</v>
      </c>
      <c r="AM724" s="78">
        <v>45043.613391203704</v>
      </c>
      <c r="AN724" s="76"/>
      <c r="AO724" s="76" t="s">
        <v>25360</v>
      </c>
      <c r="AP724" s="82" t="str">
        <f>HYPERLINK("https://t.co/iBXR7UhEmi")</f>
        <v>https://t.co/iBXR7UhEmi</v>
      </c>
      <c r="AQ724" s="82" t="str">
        <f>HYPERLINK("https://linktr.ee/gruporecuperabrasil_")</f>
        <v>https://linktr.ee/gruporecuperabrasil_</v>
      </c>
      <c r="AR724" s="76" t="s">
        <v>26754</v>
      </c>
      <c r="AS724" s="76"/>
      <c r="AT724" s="76"/>
      <c r="AU724" s="76"/>
      <c r="AV724" s="76"/>
      <c r="AW724" s="82" t="str">
        <f>HYPERLINK("https://t.co/iBXR7UhEmi")</f>
        <v>https://t.co/iBXR7UhEmi</v>
      </c>
      <c r="AX724" s="76" t="b">
        <v>0</v>
      </c>
      <c r="AY724" s="76"/>
      <c r="AZ724" s="76"/>
      <c r="BA724" s="76" t="b">
        <v>0</v>
      </c>
      <c r="BB724" s="76" t="b">
        <v>1</v>
      </c>
      <c r="BC724" s="76" t="b">
        <v>1</v>
      </c>
      <c r="BD724" s="76" t="b">
        <v>0</v>
      </c>
      <c r="BE724" s="76" t="b">
        <v>0</v>
      </c>
      <c r="BF724" s="76" t="b">
        <v>0</v>
      </c>
      <c r="BG724" s="76" t="b">
        <v>0</v>
      </c>
      <c r="BH724" s="82" t="str">
        <f>HYPERLINK("https://pbs.twimg.com/profile_banners/1651597864420749315/1687874179")</f>
        <v>https://pbs.twimg.com/profile_banners/1651597864420749315/1687874179</v>
      </c>
      <c r="BI724" s="76"/>
      <c r="BJ724" s="76" t="s">
        <v>27595</v>
      </c>
      <c r="BK724" s="76" t="b">
        <v>0</v>
      </c>
      <c r="BL724" s="76"/>
      <c r="BM724" s="76" t="s">
        <v>66</v>
      </c>
      <c r="BN724" s="76" t="s">
        <v>27597</v>
      </c>
      <c r="BO724" s="82" t="str">
        <f>HYPERLINK("https://twitter.com/recuperabrasil_")</f>
        <v>https://twitter.com/recuperabrasil_</v>
      </c>
      <c r="BP724" s="2"/>
    </row>
    <row r="725" spans="1:68" x14ac:dyDescent="0.25">
      <c r="A725" s="62" t="s">
        <v>741</v>
      </c>
      <c r="B725" s="63"/>
      <c r="C725" s="63"/>
      <c r="D725" s="64"/>
      <c r="E725" s="66"/>
      <c r="F725" s="103" t="str">
        <f>HYPERLINK("https://pbs.twimg.com/profile_images/1381558528113053700/J57iE0RY_normal.jpg")</f>
        <v>https://pbs.twimg.com/profile_images/1381558528113053700/J57iE0RY_normal.jpg</v>
      </c>
      <c r="G725" s="63"/>
      <c r="H725" s="67"/>
      <c r="I725" s="68"/>
      <c r="J725" s="68"/>
      <c r="K725" s="67" t="s">
        <v>28319</v>
      </c>
      <c r="L725" s="71"/>
      <c r="M725" s="72"/>
      <c r="N725" s="72"/>
      <c r="O725" s="73"/>
      <c r="P725" s="74"/>
      <c r="Q725" s="74"/>
      <c r="R725" s="87"/>
      <c r="S725" s="87"/>
      <c r="T725" s="87"/>
      <c r="U725" s="87"/>
      <c r="V725" s="48"/>
      <c r="W725" s="48"/>
      <c r="X725" s="48"/>
      <c r="Y725" s="48"/>
      <c r="Z725" s="47"/>
      <c r="AA725" s="69">
        <v>725</v>
      </c>
      <c r="AB725" s="69"/>
      <c r="AC725" s="70"/>
      <c r="AD725" s="76" t="s">
        <v>21962</v>
      </c>
      <c r="AE725" s="81" t="s">
        <v>20741</v>
      </c>
      <c r="AF725" s="76">
        <v>176</v>
      </c>
      <c r="AG725" s="76">
        <v>25</v>
      </c>
      <c r="AH725" s="76">
        <v>14246</v>
      </c>
      <c r="AI725" s="76">
        <v>2</v>
      </c>
      <c r="AJ725" s="76">
        <v>4</v>
      </c>
      <c r="AK725" s="76">
        <v>44</v>
      </c>
      <c r="AL725" s="76" t="b">
        <v>0</v>
      </c>
      <c r="AM725" s="78">
        <v>43935.558148148149</v>
      </c>
      <c r="AN725" s="76"/>
      <c r="AO725" s="76" t="s">
        <v>25361</v>
      </c>
      <c r="AP725" s="82" t="str">
        <f>HYPERLINK("https://t.co/Ngxvti7v1j")</f>
        <v>https://t.co/Ngxvti7v1j</v>
      </c>
      <c r="AQ725" s="82" t="str">
        <f>HYPERLINK("http://www.cordobaahora.com")</f>
        <v>http://www.cordobaahora.com</v>
      </c>
      <c r="AR725" s="76" t="s">
        <v>8744</v>
      </c>
      <c r="AS725" s="76"/>
      <c r="AT725" s="76"/>
      <c r="AU725" s="76"/>
      <c r="AV725" s="76"/>
      <c r="AW725" s="82" t="str">
        <f>HYPERLINK("https://t.co/Ngxvti7v1j")</f>
        <v>https://t.co/Ngxvti7v1j</v>
      </c>
      <c r="AX725" s="76" t="b">
        <v>0</v>
      </c>
      <c r="AY725" s="76"/>
      <c r="AZ725" s="76"/>
      <c r="BA725" s="76" t="b">
        <v>0</v>
      </c>
      <c r="BB725" s="76" t="b">
        <v>1</v>
      </c>
      <c r="BC725" s="76" t="b">
        <v>1</v>
      </c>
      <c r="BD725" s="76" t="b">
        <v>0</v>
      </c>
      <c r="BE725" s="76" t="b">
        <v>0</v>
      </c>
      <c r="BF725" s="76" t="b">
        <v>0</v>
      </c>
      <c r="BG725" s="76" t="b">
        <v>0</v>
      </c>
      <c r="BH725" s="82" t="str">
        <f>HYPERLINK("https://pbs.twimg.com/profile_banners/1250052061800038400/1618224197")</f>
        <v>https://pbs.twimg.com/profile_banners/1250052061800038400/1618224197</v>
      </c>
      <c r="BI725" s="76"/>
      <c r="BJ725" s="76" t="s">
        <v>27595</v>
      </c>
      <c r="BK725" s="76" t="b">
        <v>0</v>
      </c>
      <c r="BL725" s="76"/>
      <c r="BM725" s="76" t="s">
        <v>66</v>
      </c>
      <c r="BN725" s="76" t="s">
        <v>27597</v>
      </c>
      <c r="BO725" s="82" t="str">
        <f>HYPERLINK("https://twitter.com/cordoba_ahora")</f>
        <v>https://twitter.com/cordoba_ahora</v>
      </c>
      <c r="BP725" s="2"/>
    </row>
    <row r="726" spans="1:68" x14ac:dyDescent="0.25">
      <c r="A726" s="62" t="s">
        <v>742</v>
      </c>
      <c r="B726" s="63"/>
      <c r="C726" s="63"/>
      <c r="D726" s="64"/>
      <c r="E726" s="66"/>
      <c r="F726" s="103" t="str">
        <f>HYPERLINK("https://pbs.twimg.com/profile_images/1150742845810270210/nMvJOtuA_normal.png")</f>
        <v>https://pbs.twimg.com/profile_images/1150742845810270210/nMvJOtuA_normal.png</v>
      </c>
      <c r="G726" s="63"/>
      <c r="H726" s="67"/>
      <c r="I726" s="68"/>
      <c r="J726" s="68"/>
      <c r="K726" s="67" t="s">
        <v>28320</v>
      </c>
      <c r="L726" s="71"/>
      <c r="M726" s="72"/>
      <c r="N726" s="72"/>
      <c r="O726" s="73"/>
      <c r="P726" s="74"/>
      <c r="Q726" s="74"/>
      <c r="R726" s="87"/>
      <c r="S726" s="87"/>
      <c r="T726" s="87"/>
      <c r="U726" s="87"/>
      <c r="V726" s="48"/>
      <c r="W726" s="48"/>
      <c r="X726" s="48"/>
      <c r="Y726" s="48"/>
      <c r="Z726" s="47"/>
      <c r="AA726" s="69">
        <v>726</v>
      </c>
      <c r="AB726" s="69"/>
      <c r="AC726" s="70"/>
      <c r="AD726" s="76" t="s">
        <v>21963</v>
      </c>
      <c r="AE726" s="81" t="s">
        <v>23457</v>
      </c>
      <c r="AF726" s="76">
        <v>9092</v>
      </c>
      <c r="AG726" s="76">
        <v>684</v>
      </c>
      <c r="AH726" s="76">
        <v>58224</v>
      </c>
      <c r="AI726" s="76">
        <v>57</v>
      </c>
      <c r="AJ726" s="76">
        <v>7432</v>
      </c>
      <c r="AK726" s="76">
        <v>32829</v>
      </c>
      <c r="AL726" s="76" t="b">
        <v>0</v>
      </c>
      <c r="AM726" s="78">
        <v>41269.555104166669</v>
      </c>
      <c r="AN726" s="76" t="s">
        <v>14435</v>
      </c>
      <c r="AO726" s="76" t="s">
        <v>25362</v>
      </c>
      <c r="AP726" s="82" t="str">
        <f>HYPERLINK("https://t.co/TPP6PsBxVv")</f>
        <v>https://t.co/TPP6PsBxVv</v>
      </c>
      <c r="AQ726" s="82" t="str">
        <f>HYPERLINK("http://www.lacielo.com.ar")</f>
        <v>http://www.lacielo.com.ar</v>
      </c>
      <c r="AR726" s="76" t="s">
        <v>26755</v>
      </c>
      <c r="AS726" s="76"/>
      <c r="AT726" s="76"/>
      <c r="AU726" s="76"/>
      <c r="AV726" s="76"/>
      <c r="AW726" s="82" t="str">
        <f>HYPERLINK("https://t.co/TPP6PsBxVv")</f>
        <v>https://t.co/TPP6PsBxVv</v>
      </c>
      <c r="AX726" s="76" t="b">
        <v>0</v>
      </c>
      <c r="AY726" s="76"/>
      <c r="AZ726" s="76"/>
      <c r="BA726" s="76" t="b">
        <v>0</v>
      </c>
      <c r="BB726" s="76" t="b">
        <v>1</v>
      </c>
      <c r="BC726" s="76" t="b">
        <v>0</v>
      </c>
      <c r="BD726" s="76" t="b">
        <v>0</v>
      </c>
      <c r="BE726" s="76" t="b">
        <v>1</v>
      </c>
      <c r="BF726" s="76" t="b">
        <v>0</v>
      </c>
      <c r="BG726" s="76" t="b">
        <v>0</v>
      </c>
      <c r="BH726" s="82" t="str">
        <f>HYPERLINK("https://pbs.twimg.com/profile_banners/1037124626/1563193542")</f>
        <v>https://pbs.twimg.com/profile_banners/1037124626/1563193542</v>
      </c>
      <c r="BI726" s="76"/>
      <c r="BJ726" s="76" t="s">
        <v>27595</v>
      </c>
      <c r="BK726" s="76" t="b">
        <v>0</v>
      </c>
      <c r="BL726" s="76"/>
      <c r="BM726" s="76" t="s">
        <v>66</v>
      </c>
      <c r="BN726" s="76" t="s">
        <v>27597</v>
      </c>
      <c r="BO726" s="82" t="str">
        <f>HYPERLINK("https://twitter.com/lacielo1035")</f>
        <v>https://twitter.com/lacielo1035</v>
      </c>
      <c r="BP726" s="2"/>
    </row>
    <row r="727" spans="1:68" x14ac:dyDescent="0.25">
      <c r="A727" s="62" t="s">
        <v>743</v>
      </c>
      <c r="B727" s="63"/>
      <c r="C727" s="63"/>
      <c r="D727" s="64"/>
      <c r="E727" s="66"/>
      <c r="F727" s="103" t="str">
        <f>HYPERLINK("https://pbs.twimg.com/profile_images/1670084588805271556/DFrk_DAK_normal.jpg")</f>
        <v>https://pbs.twimg.com/profile_images/1670084588805271556/DFrk_DAK_normal.jpg</v>
      </c>
      <c r="G727" s="63"/>
      <c r="H727" s="67"/>
      <c r="I727" s="68"/>
      <c r="J727" s="68"/>
      <c r="K727" s="67" t="s">
        <v>28321</v>
      </c>
      <c r="L727" s="71"/>
      <c r="M727" s="72"/>
      <c r="N727" s="72"/>
      <c r="O727" s="73"/>
      <c r="P727" s="74"/>
      <c r="Q727" s="74"/>
      <c r="R727" s="87"/>
      <c r="S727" s="87"/>
      <c r="T727" s="87"/>
      <c r="U727" s="87"/>
      <c r="V727" s="48"/>
      <c r="W727" s="48"/>
      <c r="X727" s="48"/>
      <c r="Y727" s="48"/>
      <c r="Z727" s="47"/>
      <c r="AA727" s="69">
        <v>727</v>
      </c>
      <c r="AB727" s="69"/>
      <c r="AC727" s="70"/>
      <c r="AD727" s="76" t="s">
        <v>21964</v>
      </c>
      <c r="AE727" s="81" t="s">
        <v>23458</v>
      </c>
      <c r="AF727" s="76">
        <v>18901</v>
      </c>
      <c r="AG727" s="76">
        <v>1520</v>
      </c>
      <c r="AH727" s="76">
        <v>160529</v>
      </c>
      <c r="AI727" s="76">
        <v>88</v>
      </c>
      <c r="AJ727" s="76">
        <v>32290</v>
      </c>
      <c r="AK727" s="76">
        <v>86785</v>
      </c>
      <c r="AL727" s="76" t="b">
        <v>0</v>
      </c>
      <c r="AM727" s="78">
        <v>40435.527303240742</v>
      </c>
      <c r="AN727" s="76" t="s">
        <v>24348</v>
      </c>
      <c r="AO727" s="76" t="s">
        <v>25363</v>
      </c>
      <c r="AP727" s="82" t="str">
        <f>HYPERLINK("https://t.co/jEiT2Kj0Qg")</f>
        <v>https://t.co/jEiT2Kj0Qg</v>
      </c>
      <c r="AQ727" s="82" t="str">
        <f>HYPERLINK("http://www.jorgekurrle.com.ar")</f>
        <v>http://www.jorgekurrle.com.ar</v>
      </c>
      <c r="AR727" s="76" t="s">
        <v>26756</v>
      </c>
      <c r="AS727" s="76"/>
      <c r="AT727" s="76"/>
      <c r="AU727" s="76"/>
      <c r="AV727" s="76"/>
      <c r="AW727" s="82" t="str">
        <f>HYPERLINK("https://t.co/jEiT2Kj0Qg")</f>
        <v>https://t.co/jEiT2Kj0Qg</v>
      </c>
      <c r="AX727" s="76" t="b">
        <v>0</v>
      </c>
      <c r="AY727" s="76"/>
      <c r="AZ727" s="76"/>
      <c r="BA727" s="76" t="b">
        <v>0</v>
      </c>
      <c r="BB727" s="76" t="b">
        <v>1</v>
      </c>
      <c r="BC727" s="76" t="b">
        <v>0</v>
      </c>
      <c r="BD727" s="76" t="b">
        <v>0</v>
      </c>
      <c r="BE727" s="76" t="b">
        <v>1</v>
      </c>
      <c r="BF727" s="76" t="b">
        <v>0</v>
      </c>
      <c r="BG727" s="76" t="b">
        <v>0</v>
      </c>
      <c r="BH727" s="82" t="str">
        <f>HYPERLINK("https://pbs.twimg.com/profile_banners/190622905/1488979196")</f>
        <v>https://pbs.twimg.com/profile_banners/190622905/1488979196</v>
      </c>
      <c r="BI727" s="76"/>
      <c r="BJ727" s="76" t="s">
        <v>27595</v>
      </c>
      <c r="BK727" s="76" t="b">
        <v>0</v>
      </c>
      <c r="BL727" s="76"/>
      <c r="BM727" s="76" t="s">
        <v>66</v>
      </c>
      <c r="BN727" s="76" t="s">
        <v>27597</v>
      </c>
      <c r="BO727" s="82" t="str">
        <f>HYPERLINK("https://twitter.com/jorgekurrle")</f>
        <v>https://twitter.com/jorgekurrle</v>
      </c>
      <c r="BP727" s="2"/>
    </row>
    <row r="728" spans="1:68" x14ac:dyDescent="0.25">
      <c r="A728" s="62" t="s">
        <v>744</v>
      </c>
      <c r="B728" s="63"/>
      <c r="C728" s="63"/>
      <c r="D728" s="64"/>
      <c r="E728" s="66"/>
      <c r="F728" s="103" t="str">
        <f>HYPERLINK("https://pbs.twimg.com/profile_images/988396751429267456/j_8bJ2ST_normal.jpg")</f>
        <v>https://pbs.twimg.com/profile_images/988396751429267456/j_8bJ2ST_normal.jpg</v>
      </c>
      <c r="G728" s="63"/>
      <c r="H728" s="67"/>
      <c r="I728" s="68"/>
      <c r="J728" s="68"/>
      <c r="K728" s="67" t="s">
        <v>28322</v>
      </c>
      <c r="L728" s="71"/>
      <c r="M728" s="72"/>
      <c r="N728" s="72"/>
      <c r="O728" s="73"/>
      <c r="P728" s="74"/>
      <c r="Q728" s="74"/>
      <c r="R728" s="87"/>
      <c r="S728" s="87"/>
      <c r="T728" s="87"/>
      <c r="U728" s="87"/>
      <c r="V728" s="48"/>
      <c r="W728" s="48"/>
      <c r="X728" s="48"/>
      <c r="Y728" s="48"/>
      <c r="Z728" s="47"/>
      <c r="AA728" s="69">
        <v>728</v>
      </c>
      <c r="AB728" s="69"/>
      <c r="AC728" s="70"/>
      <c r="AD728" s="76" t="s">
        <v>21965</v>
      </c>
      <c r="AE728" s="81" t="s">
        <v>23459</v>
      </c>
      <c r="AF728" s="76">
        <v>52331</v>
      </c>
      <c r="AG728" s="76">
        <v>33877</v>
      </c>
      <c r="AH728" s="76">
        <v>12583</v>
      </c>
      <c r="AI728" s="76">
        <v>109</v>
      </c>
      <c r="AJ728" s="76">
        <v>91</v>
      </c>
      <c r="AK728" s="76">
        <v>5273</v>
      </c>
      <c r="AL728" s="76" t="b">
        <v>0</v>
      </c>
      <c r="AM728" s="78">
        <v>41434.289780092593</v>
      </c>
      <c r="AN728" s="76" t="s">
        <v>24097</v>
      </c>
      <c r="AO728" s="76"/>
      <c r="AP728" s="82" t="str">
        <f>HYPERLINK("https://t.co/eIxpotnufn")</f>
        <v>https://t.co/eIxpotnufn</v>
      </c>
      <c r="AQ728" s="82" t="str">
        <f>HYPERLINK("http://www.dolarlido.com")</f>
        <v>http://www.dolarlido.com</v>
      </c>
      <c r="AR728" s="76" t="s">
        <v>8745</v>
      </c>
      <c r="AS728" s="76"/>
      <c r="AT728" s="76"/>
      <c r="AU728" s="76"/>
      <c r="AV728" s="76"/>
      <c r="AW728" s="82" t="str">
        <f>HYPERLINK("https://t.co/eIxpotnufn")</f>
        <v>https://t.co/eIxpotnufn</v>
      </c>
      <c r="AX728" s="76" t="b">
        <v>0</v>
      </c>
      <c r="AY728" s="76"/>
      <c r="AZ728" s="76"/>
      <c r="BA728" s="76" t="b">
        <v>0</v>
      </c>
      <c r="BB728" s="76" t="b">
        <v>1</v>
      </c>
      <c r="BC728" s="76" t="b">
        <v>0</v>
      </c>
      <c r="BD728" s="76" t="b">
        <v>0</v>
      </c>
      <c r="BE728" s="76" t="b">
        <v>0</v>
      </c>
      <c r="BF728" s="76" t="b">
        <v>0</v>
      </c>
      <c r="BG728" s="76" t="b">
        <v>0</v>
      </c>
      <c r="BH728" s="82" t="str">
        <f>HYPERLINK("https://pbs.twimg.com/profile_banners/1494862898/1524487026")</f>
        <v>https://pbs.twimg.com/profile_banners/1494862898/1524487026</v>
      </c>
      <c r="BI728" s="76"/>
      <c r="BJ728" s="76" t="s">
        <v>27595</v>
      </c>
      <c r="BK728" s="76" t="b">
        <v>0</v>
      </c>
      <c r="BL728" s="76"/>
      <c r="BM728" s="76" t="s">
        <v>66</v>
      </c>
      <c r="BN728" s="76" t="s">
        <v>27597</v>
      </c>
      <c r="BO728" s="82" t="str">
        <f>HYPERLINK("https://twitter.com/dolarlido")</f>
        <v>https://twitter.com/dolarlido</v>
      </c>
      <c r="BP728" s="2"/>
    </row>
    <row r="729" spans="1:68" x14ac:dyDescent="0.25">
      <c r="A729" s="62" t="s">
        <v>745</v>
      </c>
      <c r="B729" s="63"/>
      <c r="C729" s="63"/>
      <c r="D729" s="64"/>
      <c r="E729" s="66"/>
      <c r="F729" s="103" t="str">
        <f>HYPERLINK("https://pbs.twimg.com/profile_images/1080512434635501569/kuYSZzx-_normal.jpg")</f>
        <v>https://pbs.twimg.com/profile_images/1080512434635501569/kuYSZzx-_normal.jpg</v>
      </c>
      <c r="G729" s="63"/>
      <c r="H729" s="67"/>
      <c r="I729" s="68"/>
      <c r="J729" s="68"/>
      <c r="K729" s="67" t="s">
        <v>28323</v>
      </c>
      <c r="L729" s="71"/>
      <c r="M729" s="72"/>
      <c r="N729" s="72"/>
      <c r="O729" s="73"/>
      <c r="P729" s="74"/>
      <c r="Q729" s="74"/>
      <c r="R729" s="87"/>
      <c r="S729" s="87"/>
      <c r="T729" s="87"/>
      <c r="U729" s="87"/>
      <c r="V729" s="48"/>
      <c r="W729" s="48"/>
      <c r="X729" s="48"/>
      <c r="Y729" s="48"/>
      <c r="Z729" s="47"/>
      <c r="AA729" s="69">
        <v>729</v>
      </c>
      <c r="AB729" s="69"/>
      <c r="AC729" s="70"/>
      <c r="AD729" s="76" t="s">
        <v>21966</v>
      </c>
      <c r="AE729" s="81" t="s">
        <v>23460</v>
      </c>
      <c r="AF729" s="76">
        <v>99144</v>
      </c>
      <c r="AG729" s="76">
        <v>5565</v>
      </c>
      <c r="AH729" s="76">
        <v>203520</v>
      </c>
      <c r="AI729" s="76">
        <v>854</v>
      </c>
      <c r="AJ729" s="76">
        <v>1304</v>
      </c>
      <c r="AK729" s="76">
        <v>5082</v>
      </c>
      <c r="AL729" s="76" t="b">
        <v>0</v>
      </c>
      <c r="AM729" s="78">
        <v>39857.522222222222</v>
      </c>
      <c r="AN729" s="76" t="s">
        <v>14511</v>
      </c>
      <c r="AO729" s="76" t="s">
        <v>25364</v>
      </c>
      <c r="AP729" s="82" t="str">
        <f>HYPERLINK("https://t.co/DpR5w9vIx2")</f>
        <v>https://t.co/DpR5w9vIx2</v>
      </c>
      <c r="AQ729" s="82" t="str">
        <f>HYPERLINK("http://www.meiahora.com")</f>
        <v>http://www.meiahora.com</v>
      </c>
      <c r="AR729" s="76" t="s">
        <v>26757</v>
      </c>
      <c r="AS729" s="76" t="s">
        <v>27380</v>
      </c>
      <c r="AT729" s="76" t="s">
        <v>27419</v>
      </c>
      <c r="AU729" s="76" t="s">
        <v>27490</v>
      </c>
      <c r="AV729" s="76"/>
      <c r="AW729" s="82" t="str">
        <f>HYPERLINK("https://t.co/DpR5w9vIx2")</f>
        <v>https://t.co/DpR5w9vIx2</v>
      </c>
      <c r="AX729" s="76" t="b">
        <v>1</v>
      </c>
      <c r="AY729" s="76"/>
      <c r="AZ729" s="76"/>
      <c r="BA729" s="76" t="b">
        <v>0</v>
      </c>
      <c r="BB729" s="76" t="b">
        <v>1</v>
      </c>
      <c r="BC729" s="76" t="b">
        <v>0</v>
      </c>
      <c r="BD729" s="76" t="b">
        <v>0</v>
      </c>
      <c r="BE729" s="76" t="b">
        <v>1</v>
      </c>
      <c r="BF729" s="76" t="b">
        <v>0</v>
      </c>
      <c r="BG729" s="76" t="b">
        <v>0</v>
      </c>
      <c r="BH729" s="82" t="str">
        <f>HYPERLINK("https://pbs.twimg.com/profile_banners/20766595/1688563381")</f>
        <v>https://pbs.twimg.com/profile_banners/20766595/1688563381</v>
      </c>
      <c r="BI729" s="76"/>
      <c r="BJ729" s="76" t="s">
        <v>27595</v>
      </c>
      <c r="BK729" s="76" t="b">
        <v>0</v>
      </c>
      <c r="BL729" s="76"/>
      <c r="BM729" s="76" t="s">
        <v>66</v>
      </c>
      <c r="BN729" s="76" t="s">
        <v>27597</v>
      </c>
      <c r="BO729" s="82" t="str">
        <f>HYPERLINK("https://twitter.com/meiahora")</f>
        <v>https://twitter.com/meiahora</v>
      </c>
      <c r="BP729" s="2"/>
    </row>
    <row r="730" spans="1:68" x14ac:dyDescent="0.25">
      <c r="A730" s="62" t="s">
        <v>746</v>
      </c>
      <c r="B730" s="63"/>
      <c r="C730" s="63"/>
      <c r="D730" s="64"/>
      <c r="E730" s="66"/>
      <c r="F730" s="103" t="str">
        <f>HYPERLINK("https://pbs.twimg.com/profile_images/1700596722433499137/3gnqLn6a_normal.png")</f>
        <v>https://pbs.twimg.com/profile_images/1700596722433499137/3gnqLn6a_normal.png</v>
      </c>
      <c r="G730" s="63"/>
      <c r="H730" s="67"/>
      <c r="I730" s="68"/>
      <c r="J730" s="68"/>
      <c r="K730" s="67" t="s">
        <v>28324</v>
      </c>
      <c r="L730" s="71"/>
      <c r="M730" s="72"/>
      <c r="N730" s="72"/>
      <c r="O730" s="73"/>
      <c r="P730" s="74"/>
      <c r="Q730" s="74"/>
      <c r="R730" s="87"/>
      <c r="S730" s="87"/>
      <c r="T730" s="87"/>
      <c r="U730" s="87"/>
      <c r="V730" s="48"/>
      <c r="W730" s="48"/>
      <c r="X730" s="48"/>
      <c r="Y730" s="48"/>
      <c r="Z730" s="47"/>
      <c r="AA730" s="69">
        <v>730</v>
      </c>
      <c r="AB730" s="69"/>
      <c r="AC730" s="70"/>
      <c r="AD730" s="76" t="s">
        <v>21967</v>
      </c>
      <c r="AE730" s="81" t="s">
        <v>20742</v>
      </c>
      <c r="AF730" s="76">
        <v>16</v>
      </c>
      <c r="AG730" s="76">
        <v>0</v>
      </c>
      <c r="AH730" s="76">
        <v>1441</v>
      </c>
      <c r="AI730" s="76">
        <v>0</v>
      </c>
      <c r="AJ730" s="76">
        <v>4</v>
      </c>
      <c r="AK730" s="76">
        <v>7</v>
      </c>
      <c r="AL730" s="76" t="b">
        <v>0</v>
      </c>
      <c r="AM730" s="78">
        <v>44856.706550925926</v>
      </c>
      <c r="AN730" s="76"/>
      <c r="AO730" s="76" t="s">
        <v>25365</v>
      </c>
      <c r="AP730" s="82" t="str">
        <f>HYPERLINK("https://t.co/ZvFN7ZzIhb")</f>
        <v>https://t.co/ZvFN7ZzIhb</v>
      </c>
      <c r="AQ730" s="82" t="str">
        <f>HYPERLINK("http://www.tagnoticias.com.br")</f>
        <v>http://www.tagnoticias.com.br</v>
      </c>
      <c r="AR730" s="76" t="s">
        <v>26758</v>
      </c>
      <c r="AS730" s="76"/>
      <c r="AT730" s="76"/>
      <c r="AU730" s="76"/>
      <c r="AV730" s="76"/>
      <c r="AW730" s="82" t="str">
        <f>HYPERLINK("https://t.co/ZvFN7ZzIhb")</f>
        <v>https://t.co/ZvFN7ZzIhb</v>
      </c>
      <c r="AX730" s="76" t="b">
        <v>0</v>
      </c>
      <c r="AY730" s="76"/>
      <c r="AZ730" s="76"/>
      <c r="BA730" s="76" t="b">
        <v>0</v>
      </c>
      <c r="BB730" s="76" t="b">
        <v>1</v>
      </c>
      <c r="BC730" s="76" t="b">
        <v>1</v>
      </c>
      <c r="BD730" s="76" t="b">
        <v>0</v>
      </c>
      <c r="BE730" s="76" t="b">
        <v>0</v>
      </c>
      <c r="BF730" s="76" t="b">
        <v>0</v>
      </c>
      <c r="BG730" s="76" t="b">
        <v>0</v>
      </c>
      <c r="BH730" s="82" t="str">
        <f>HYPERLINK("https://pbs.twimg.com/profile_banners/1583865070316036097/1695501903")</f>
        <v>https://pbs.twimg.com/profile_banners/1583865070316036097/1695501903</v>
      </c>
      <c r="BI730" s="76"/>
      <c r="BJ730" s="76" t="s">
        <v>27595</v>
      </c>
      <c r="BK730" s="76" t="b">
        <v>0</v>
      </c>
      <c r="BL730" s="76"/>
      <c r="BM730" s="76" t="s">
        <v>66</v>
      </c>
      <c r="BN730" s="76" t="s">
        <v>27597</v>
      </c>
      <c r="BO730" s="82" t="str">
        <f>HYPERLINK("https://twitter.com/tagnoticias")</f>
        <v>https://twitter.com/tagnoticias</v>
      </c>
      <c r="BP730" s="2"/>
    </row>
    <row r="731" spans="1:68" x14ac:dyDescent="0.25">
      <c r="A731" s="62" t="s">
        <v>747</v>
      </c>
      <c r="B731" s="63"/>
      <c r="C731" s="63"/>
      <c r="D731" s="64"/>
      <c r="E731" s="66"/>
      <c r="F731" s="103" t="str">
        <f>HYPERLINK("https://pbs.twimg.com/profile_images/1348463351819620355/Fw_bONDq_normal.jpg")</f>
        <v>https://pbs.twimg.com/profile_images/1348463351819620355/Fw_bONDq_normal.jpg</v>
      </c>
      <c r="G731" s="63"/>
      <c r="H731" s="67"/>
      <c r="I731" s="68"/>
      <c r="J731" s="68"/>
      <c r="K731" s="67" t="s">
        <v>28325</v>
      </c>
      <c r="L731" s="71"/>
      <c r="M731" s="72"/>
      <c r="N731" s="72"/>
      <c r="O731" s="73"/>
      <c r="P731" s="74"/>
      <c r="Q731" s="74"/>
      <c r="R731" s="87"/>
      <c r="S731" s="87"/>
      <c r="T731" s="87"/>
      <c r="U731" s="87"/>
      <c r="V731" s="48"/>
      <c r="W731" s="48"/>
      <c r="X731" s="48"/>
      <c r="Y731" s="48"/>
      <c r="Z731" s="47"/>
      <c r="AA731" s="69">
        <v>731</v>
      </c>
      <c r="AB731" s="69"/>
      <c r="AC731" s="70"/>
      <c r="AD731" s="76" t="s">
        <v>21968</v>
      </c>
      <c r="AE731" s="81" t="s">
        <v>23461</v>
      </c>
      <c r="AF731" s="76">
        <v>463</v>
      </c>
      <c r="AG731" s="76">
        <v>537</v>
      </c>
      <c r="AH731" s="76">
        <v>52368</v>
      </c>
      <c r="AI731" s="76">
        <v>40</v>
      </c>
      <c r="AJ731" s="76">
        <v>52533</v>
      </c>
      <c r="AK731" s="76">
        <v>2724</v>
      </c>
      <c r="AL731" s="76" t="b">
        <v>0</v>
      </c>
      <c r="AM731" s="78">
        <v>39861.01152777778</v>
      </c>
      <c r="AN731" s="76" t="s">
        <v>24349</v>
      </c>
      <c r="AO731" s="76" t="s">
        <v>25366</v>
      </c>
      <c r="AP731" s="82" t="str">
        <f>HYPERLINK("https://t.co/n2ZcsYKUFS")</f>
        <v>https://t.co/n2ZcsYKUFS</v>
      </c>
      <c r="AQ731" s="82" t="str">
        <f>HYPERLINK("https://soundcloud.com/robersoncassol")</f>
        <v>https://soundcloud.com/robersoncassol</v>
      </c>
      <c r="AR731" s="76" t="s">
        <v>26759</v>
      </c>
      <c r="AS731" s="76"/>
      <c r="AT731" s="76"/>
      <c r="AU731" s="76"/>
      <c r="AV731" s="76"/>
      <c r="AW731" s="82" t="str">
        <f>HYPERLINK("https://t.co/n2ZcsYKUFS")</f>
        <v>https://t.co/n2ZcsYKUFS</v>
      </c>
      <c r="AX731" s="76" t="b">
        <v>0</v>
      </c>
      <c r="AY731" s="76"/>
      <c r="AZ731" s="76"/>
      <c r="BA731" s="76" t="b">
        <v>0</v>
      </c>
      <c r="BB731" s="76" t="b">
        <v>0</v>
      </c>
      <c r="BC731" s="76" t="b">
        <v>0</v>
      </c>
      <c r="BD731" s="76" t="b">
        <v>0</v>
      </c>
      <c r="BE731" s="76" t="b">
        <v>1</v>
      </c>
      <c r="BF731" s="76" t="b">
        <v>0</v>
      </c>
      <c r="BG731" s="76" t="b">
        <v>0</v>
      </c>
      <c r="BH731" s="82" t="str">
        <f>HYPERLINK("https://pbs.twimg.com/profile_banners/21046784/1467048359")</f>
        <v>https://pbs.twimg.com/profile_banners/21046784/1467048359</v>
      </c>
      <c r="BI731" s="76"/>
      <c r="BJ731" s="76" t="s">
        <v>27595</v>
      </c>
      <c r="BK731" s="76" t="b">
        <v>0</v>
      </c>
      <c r="BL731" s="76"/>
      <c r="BM731" s="76" t="s">
        <v>66</v>
      </c>
      <c r="BN731" s="76" t="s">
        <v>27597</v>
      </c>
      <c r="BO731" s="82" t="str">
        <f>HYPERLINK("https://twitter.com/robersoncassol")</f>
        <v>https://twitter.com/robersoncassol</v>
      </c>
      <c r="BP731" s="2"/>
    </row>
    <row r="732" spans="1:68" x14ac:dyDescent="0.25">
      <c r="A732" s="62" t="s">
        <v>748</v>
      </c>
      <c r="B732" s="63"/>
      <c r="C732" s="63"/>
      <c r="D732" s="64"/>
      <c r="E732" s="66"/>
      <c r="F732" s="103" t="str">
        <f>HYPERLINK("https://pbs.twimg.com/profile_images/1660436438696050688/xCKLS7PO_normal.jpg")</f>
        <v>https://pbs.twimg.com/profile_images/1660436438696050688/xCKLS7PO_normal.jpg</v>
      </c>
      <c r="G732" s="63"/>
      <c r="H732" s="67"/>
      <c r="I732" s="68"/>
      <c r="J732" s="68"/>
      <c r="K732" s="67" t="s">
        <v>28326</v>
      </c>
      <c r="L732" s="71"/>
      <c r="M732" s="72"/>
      <c r="N732" s="72"/>
      <c r="O732" s="73"/>
      <c r="P732" s="74"/>
      <c r="Q732" s="74"/>
      <c r="R732" s="87"/>
      <c r="S732" s="87"/>
      <c r="T732" s="87"/>
      <c r="U732" s="87"/>
      <c r="V732" s="48"/>
      <c r="W732" s="48"/>
      <c r="X732" s="48"/>
      <c r="Y732" s="48"/>
      <c r="Z732" s="47"/>
      <c r="AA732" s="69">
        <v>732</v>
      </c>
      <c r="AB732" s="69"/>
      <c r="AC732" s="70"/>
      <c r="AD732" s="76" t="s">
        <v>21969</v>
      </c>
      <c r="AE732" s="81" t="s">
        <v>20743</v>
      </c>
      <c r="AF732" s="76">
        <v>612</v>
      </c>
      <c r="AG732" s="76">
        <v>472</v>
      </c>
      <c r="AH732" s="76">
        <v>64106</v>
      </c>
      <c r="AI732" s="76">
        <v>1</v>
      </c>
      <c r="AJ732" s="76">
        <v>64275</v>
      </c>
      <c r="AK732" s="76">
        <v>348</v>
      </c>
      <c r="AL732" s="76" t="b">
        <v>0</v>
      </c>
      <c r="AM732" s="78">
        <v>44293.671527777777</v>
      </c>
      <c r="AN732" s="76"/>
      <c r="AO732" s="76" t="s">
        <v>25367</v>
      </c>
      <c r="AP732" s="76"/>
      <c r="AQ732" s="76"/>
      <c r="AR732" s="76"/>
      <c r="AS732" s="76"/>
      <c r="AT732" s="76"/>
      <c r="AU732" s="76"/>
      <c r="AV732" s="76">
        <v>1.6604356522429901E+18</v>
      </c>
      <c r="AW732" s="76"/>
      <c r="AX732" s="76" t="b">
        <v>0</v>
      </c>
      <c r="AY732" s="76"/>
      <c r="AZ732" s="76"/>
      <c r="BA732" s="76" t="b">
        <v>0</v>
      </c>
      <c r="BB732" s="76" t="b">
        <v>1</v>
      </c>
      <c r="BC732" s="76" t="b">
        <v>1</v>
      </c>
      <c r="BD732" s="76" t="b">
        <v>0</v>
      </c>
      <c r="BE732" s="76" t="b">
        <v>1</v>
      </c>
      <c r="BF732" s="76" t="b">
        <v>0</v>
      </c>
      <c r="BG732" s="76" t="b">
        <v>0</v>
      </c>
      <c r="BH732" s="82" t="str">
        <f>HYPERLINK("https://pbs.twimg.com/profile_banners/1379827887780544516/1684713870")</f>
        <v>https://pbs.twimg.com/profile_banners/1379827887780544516/1684713870</v>
      </c>
      <c r="BI732" s="76"/>
      <c r="BJ732" s="76" t="s">
        <v>27595</v>
      </c>
      <c r="BK732" s="76" t="b">
        <v>0</v>
      </c>
      <c r="BL732" s="76"/>
      <c r="BM732" s="76" t="s">
        <v>66</v>
      </c>
      <c r="BN732" s="76" t="s">
        <v>27597</v>
      </c>
      <c r="BO732" s="82" t="str">
        <f>HYPERLINK("https://twitter.com/anamarialemete2")</f>
        <v>https://twitter.com/anamarialemete2</v>
      </c>
      <c r="BP732" s="2"/>
    </row>
    <row r="733" spans="1:68" x14ac:dyDescent="0.25">
      <c r="A733" s="62" t="s">
        <v>749</v>
      </c>
      <c r="B733" s="63"/>
      <c r="C733" s="63"/>
      <c r="D733" s="64"/>
      <c r="E733" s="66"/>
      <c r="F733" s="103" t="str">
        <f>HYPERLINK("https://pbs.twimg.com/profile_images/1653839139941261343/uNIE79ss_normal.jpg")</f>
        <v>https://pbs.twimg.com/profile_images/1653839139941261343/uNIE79ss_normal.jpg</v>
      </c>
      <c r="G733" s="63"/>
      <c r="H733" s="67"/>
      <c r="I733" s="68"/>
      <c r="J733" s="68"/>
      <c r="K733" s="67" t="s">
        <v>28327</v>
      </c>
      <c r="L733" s="71"/>
      <c r="M733" s="72"/>
      <c r="N733" s="72"/>
      <c r="O733" s="73"/>
      <c r="P733" s="74"/>
      <c r="Q733" s="74"/>
      <c r="R733" s="87"/>
      <c r="S733" s="87"/>
      <c r="T733" s="87"/>
      <c r="U733" s="87"/>
      <c r="V733" s="48"/>
      <c r="W733" s="48"/>
      <c r="X733" s="48"/>
      <c r="Y733" s="48"/>
      <c r="Z733" s="47"/>
      <c r="AA733" s="69">
        <v>733</v>
      </c>
      <c r="AB733" s="69"/>
      <c r="AC733" s="70"/>
      <c r="AD733" s="76" t="s">
        <v>21970</v>
      </c>
      <c r="AE733" s="81" t="s">
        <v>20744</v>
      </c>
      <c r="AF733" s="76">
        <v>13</v>
      </c>
      <c r="AG733" s="76">
        <v>52</v>
      </c>
      <c r="AH733" s="76">
        <v>124</v>
      </c>
      <c r="AI733" s="76">
        <v>0</v>
      </c>
      <c r="AJ733" s="76">
        <v>43</v>
      </c>
      <c r="AK733" s="76">
        <v>100</v>
      </c>
      <c r="AL733" s="76" t="b">
        <v>0</v>
      </c>
      <c r="AM733" s="78">
        <v>45045.609803240739</v>
      </c>
      <c r="AN733" s="76" t="s">
        <v>24350</v>
      </c>
      <c r="AO733" s="76" t="s">
        <v>25368</v>
      </c>
      <c r="AP733" s="82" t="str">
        <f>HYPERLINK("https://t.co/4NwS8c8SQn")</f>
        <v>https://t.co/4NwS8c8SQn</v>
      </c>
      <c r="AQ733" s="82" t="str">
        <f>HYPERLINK("https://voces1015fm.com/")</f>
        <v>https://voces1015fm.com/</v>
      </c>
      <c r="AR733" s="76" t="s">
        <v>26760</v>
      </c>
      <c r="AS733" s="76"/>
      <c r="AT733" s="76"/>
      <c r="AU733" s="76"/>
      <c r="AV733" s="76"/>
      <c r="AW733" s="82" t="str">
        <f>HYPERLINK("https://t.co/4NwS8c8SQn")</f>
        <v>https://t.co/4NwS8c8SQn</v>
      </c>
      <c r="AX733" s="76" t="b">
        <v>0</v>
      </c>
      <c r="AY733" s="76"/>
      <c r="AZ733" s="76"/>
      <c r="BA733" s="76" t="b">
        <v>0</v>
      </c>
      <c r="BB733" s="76" t="b">
        <v>1</v>
      </c>
      <c r="BC733" s="76" t="b">
        <v>1</v>
      </c>
      <c r="BD733" s="76" t="b">
        <v>0</v>
      </c>
      <c r="BE733" s="76" t="b">
        <v>0</v>
      </c>
      <c r="BF733" s="76" t="b">
        <v>0</v>
      </c>
      <c r="BG733" s="76" t="b">
        <v>0</v>
      </c>
      <c r="BH733" s="82" t="str">
        <f>HYPERLINK("https://pbs.twimg.com/profile_banners/1652321300008910851/1683155776")</f>
        <v>https://pbs.twimg.com/profile_banners/1652321300008910851/1683155776</v>
      </c>
      <c r="BI733" s="76"/>
      <c r="BJ733" s="76" t="s">
        <v>27595</v>
      </c>
      <c r="BK733" s="76" t="b">
        <v>0</v>
      </c>
      <c r="BL733" s="76"/>
      <c r="BM733" s="76" t="s">
        <v>66</v>
      </c>
      <c r="BN733" s="76" t="s">
        <v>27597</v>
      </c>
      <c r="BO733" s="82" t="str">
        <f>HYPERLINK("https://twitter.com/voces101")</f>
        <v>https://twitter.com/voces101</v>
      </c>
      <c r="BP733" s="2"/>
    </row>
    <row r="734" spans="1:68" x14ac:dyDescent="0.25">
      <c r="A734" s="62" t="s">
        <v>750</v>
      </c>
      <c r="B734" s="63"/>
      <c r="C734" s="63"/>
      <c r="D734" s="64"/>
      <c r="E734" s="66"/>
      <c r="F734" s="103" t="str">
        <f>HYPERLINK("https://pbs.twimg.com/profile_images/1277718802390753292/R_fWakMe_normal.jpg")</f>
        <v>https://pbs.twimg.com/profile_images/1277718802390753292/R_fWakMe_normal.jpg</v>
      </c>
      <c r="G734" s="63"/>
      <c r="H734" s="67"/>
      <c r="I734" s="68"/>
      <c r="J734" s="68"/>
      <c r="K734" s="67" t="s">
        <v>28328</v>
      </c>
      <c r="L734" s="71"/>
      <c r="M734" s="72"/>
      <c r="N734" s="72"/>
      <c r="O734" s="73"/>
      <c r="P734" s="74"/>
      <c r="Q734" s="74"/>
      <c r="R734" s="87"/>
      <c r="S734" s="87"/>
      <c r="T734" s="87"/>
      <c r="U734" s="87"/>
      <c r="V734" s="48"/>
      <c r="W734" s="48"/>
      <c r="X734" s="48"/>
      <c r="Y734" s="48"/>
      <c r="Z734" s="47"/>
      <c r="AA734" s="69">
        <v>734</v>
      </c>
      <c r="AB734" s="69"/>
      <c r="AC734" s="70"/>
      <c r="AD734" s="76" t="s">
        <v>21971</v>
      </c>
      <c r="AE734" s="81" t="s">
        <v>20745</v>
      </c>
      <c r="AF734" s="76">
        <v>1</v>
      </c>
      <c r="AG734" s="76">
        <v>38</v>
      </c>
      <c r="AH734" s="76">
        <v>7074</v>
      </c>
      <c r="AI734" s="76">
        <v>0</v>
      </c>
      <c r="AJ734" s="76">
        <v>4054</v>
      </c>
      <c r="AK734" s="76">
        <v>394</v>
      </c>
      <c r="AL734" s="76" t="b">
        <v>0</v>
      </c>
      <c r="AM734" s="78">
        <v>44011.89576388889</v>
      </c>
      <c r="AN734" s="76" t="s">
        <v>24351</v>
      </c>
      <c r="AO734" s="76" t="s">
        <v>25369</v>
      </c>
      <c r="AP734" s="76"/>
      <c r="AQ734" s="76"/>
      <c r="AR734" s="76"/>
      <c r="AS734" s="76"/>
      <c r="AT734" s="76"/>
      <c r="AU734" s="76"/>
      <c r="AV734" s="76">
        <v>1.6867069919917901E+18</v>
      </c>
      <c r="AW734" s="76"/>
      <c r="AX734" s="76" t="b">
        <v>0</v>
      </c>
      <c r="AY734" s="76"/>
      <c r="AZ734" s="76"/>
      <c r="BA734" s="76" t="b">
        <v>0</v>
      </c>
      <c r="BB734" s="76" t="b">
        <v>1</v>
      </c>
      <c r="BC734" s="76" t="b">
        <v>1</v>
      </c>
      <c r="BD734" s="76" t="b">
        <v>0</v>
      </c>
      <c r="BE734" s="76" t="b">
        <v>1</v>
      </c>
      <c r="BF734" s="76" t="b">
        <v>0</v>
      </c>
      <c r="BG734" s="76" t="b">
        <v>0</v>
      </c>
      <c r="BH734" s="76"/>
      <c r="BI734" s="76"/>
      <c r="BJ734" s="76" t="s">
        <v>27595</v>
      </c>
      <c r="BK734" s="76" t="b">
        <v>0</v>
      </c>
      <c r="BL734" s="76"/>
      <c r="BM734" s="76" t="s">
        <v>66</v>
      </c>
      <c r="BN734" s="76" t="s">
        <v>27597</v>
      </c>
      <c r="BO734" s="82" t="str">
        <f>HYPERLINK("https://twitter.com/jurandirsocolo1")</f>
        <v>https://twitter.com/jurandirsocolo1</v>
      </c>
      <c r="BP734" s="2"/>
    </row>
    <row r="735" spans="1:68" x14ac:dyDescent="0.25">
      <c r="A735" s="62" t="s">
        <v>751</v>
      </c>
      <c r="B735" s="63"/>
      <c r="C735" s="63"/>
      <c r="D735" s="64"/>
      <c r="E735" s="66"/>
      <c r="F735" s="103" t="str">
        <f>HYPERLINK("https://pbs.twimg.com/profile_images/1531831899341168640/DDaKPqzt_normal.jpg")</f>
        <v>https://pbs.twimg.com/profile_images/1531831899341168640/DDaKPqzt_normal.jpg</v>
      </c>
      <c r="G735" s="63"/>
      <c r="H735" s="67"/>
      <c r="I735" s="68"/>
      <c r="J735" s="68"/>
      <c r="K735" s="67" t="s">
        <v>28329</v>
      </c>
      <c r="L735" s="71"/>
      <c r="M735" s="72"/>
      <c r="N735" s="72"/>
      <c r="O735" s="73"/>
      <c r="P735" s="74"/>
      <c r="Q735" s="74"/>
      <c r="R735" s="87"/>
      <c r="S735" s="87"/>
      <c r="T735" s="87"/>
      <c r="U735" s="87"/>
      <c r="V735" s="48"/>
      <c r="W735" s="48"/>
      <c r="X735" s="48"/>
      <c r="Y735" s="48"/>
      <c r="Z735" s="47"/>
      <c r="AA735" s="69">
        <v>735</v>
      </c>
      <c r="AB735" s="69"/>
      <c r="AC735" s="70"/>
      <c r="AD735" s="76" t="s">
        <v>21972</v>
      </c>
      <c r="AE735" s="81" t="s">
        <v>23462</v>
      </c>
      <c r="AF735" s="76">
        <v>1394</v>
      </c>
      <c r="AG735" s="76">
        <v>931</v>
      </c>
      <c r="AH735" s="76">
        <v>44298</v>
      </c>
      <c r="AI735" s="76">
        <v>6</v>
      </c>
      <c r="AJ735" s="76">
        <v>10828</v>
      </c>
      <c r="AK735" s="76">
        <v>2090</v>
      </c>
      <c r="AL735" s="76" t="b">
        <v>0</v>
      </c>
      <c r="AM735" s="78">
        <v>40059.744745370372</v>
      </c>
      <c r="AN735" s="76" t="s">
        <v>24352</v>
      </c>
      <c r="AO735" s="76" t="s">
        <v>25370</v>
      </c>
      <c r="AP735" s="76"/>
      <c r="AQ735" s="76"/>
      <c r="AR735" s="76"/>
      <c r="AS735" s="76"/>
      <c r="AT735" s="76"/>
      <c r="AU735" s="76"/>
      <c r="AV735" s="76"/>
      <c r="AW735" s="76"/>
      <c r="AX735" s="76" t="b">
        <v>0</v>
      </c>
      <c r="AY735" s="76"/>
      <c r="AZ735" s="76"/>
      <c r="BA735" s="76" t="b">
        <v>1</v>
      </c>
      <c r="BB735" s="76" t="b">
        <v>1</v>
      </c>
      <c r="BC735" s="76" t="b">
        <v>0</v>
      </c>
      <c r="BD735" s="76" t="b">
        <v>0</v>
      </c>
      <c r="BE735" s="76" t="b">
        <v>1</v>
      </c>
      <c r="BF735" s="76" t="b">
        <v>0</v>
      </c>
      <c r="BG735" s="76" t="b">
        <v>0</v>
      </c>
      <c r="BH735" s="82" t="str">
        <f>HYPERLINK("https://pbs.twimg.com/profile_banners/71314398/1511289872")</f>
        <v>https://pbs.twimg.com/profile_banners/71314398/1511289872</v>
      </c>
      <c r="BI735" s="76"/>
      <c r="BJ735" s="76" t="s">
        <v>27595</v>
      </c>
      <c r="BK735" s="76" t="b">
        <v>0</v>
      </c>
      <c r="BL735" s="76"/>
      <c r="BM735" s="76" t="s">
        <v>66</v>
      </c>
      <c r="BN735" s="76" t="s">
        <v>27597</v>
      </c>
      <c r="BO735" s="82" t="str">
        <f>HYPERLINK("https://twitter.com/gylk")</f>
        <v>https://twitter.com/gylk</v>
      </c>
      <c r="BP735" s="2"/>
    </row>
    <row r="736" spans="1:68" x14ac:dyDescent="0.25">
      <c r="A736" s="62" t="s">
        <v>752</v>
      </c>
      <c r="B736" s="63"/>
      <c r="C736" s="63"/>
      <c r="D736" s="64"/>
      <c r="E736" s="66"/>
      <c r="F736" s="103" t="str">
        <f>HYPERLINK("https://pbs.twimg.com/profile_images/1215254201980186624/BTzelTID_normal.jpg")</f>
        <v>https://pbs.twimg.com/profile_images/1215254201980186624/BTzelTID_normal.jpg</v>
      </c>
      <c r="G736" s="63"/>
      <c r="H736" s="67"/>
      <c r="I736" s="68"/>
      <c r="J736" s="68"/>
      <c r="K736" s="67" t="s">
        <v>28330</v>
      </c>
      <c r="L736" s="71"/>
      <c r="M736" s="72"/>
      <c r="N736" s="72"/>
      <c r="O736" s="73"/>
      <c r="P736" s="74"/>
      <c r="Q736" s="74"/>
      <c r="R736" s="87"/>
      <c r="S736" s="87"/>
      <c r="T736" s="87"/>
      <c r="U736" s="87"/>
      <c r="V736" s="48"/>
      <c r="W736" s="48"/>
      <c r="X736" s="48"/>
      <c r="Y736" s="48"/>
      <c r="Z736" s="47"/>
      <c r="AA736" s="69">
        <v>736</v>
      </c>
      <c r="AB736" s="69"/>
      <c r="AC736" s="70"/>
      <c r="AD736" s="76" t="s">
        <v>21973</v>
      </c>
      <c r="AE736" s="81" t="s">
        <v>20746</v>
      </c>
      <c r="AF736" s="76">
        <v>454</v>
      </c>
      <c r="AG736" s="76">
        <v>319</v>
      </c>
      <c r="AH736" s="76">
        <v>7512</v>
      </c>
      <c r="AI736" s="76">
        <v>3</v>
      </c>
      <c r="AJ736" s="76">
        <v>384</v>
      </c>
      <c r="AK736" s="76">
        <v>3382</v>
      </c>
      <c r="AL736" s="76" t="b">
        <v>0</v>
      </c>
      <c r="AM736" s="78">
        <v>42928.907384259262</v>
      </c>
      <c r="AN736" s="76"/>
      <c r="AO736" s="76" t="s">
        <v>25371</v>
      </c>
      <c r="AP736" s="82" t="str">
        <f>HYPERLINK("https://t.co/jPSuchEQTd")</f>
        <v>https://t.co/jPSuchEQTd</v>
      </c>
      <c r="AQ736" s="82" t="str">
        <f>HYPERLINK("http://www.elcirculo.com.ar")</f>
        <v>http://www.elcirculo.com.ar</v>
      </c>
      <c r="AR736" s="76" t="s">
        <v>26761</v>
      </c>
      <c r="AS736" s="76"/>
      <c r="AT736" s="76"/>
      <c r="AU736" s="76"/>
      <c r="AV736" s="76"/>
      <c r="AW736" s="82" t="str">
        <f>HYPERLINK("https://t.co/jPSuchEQTd")</f>
        <v>https://t.co/jPSuchEQTd</v>
      </c>
      <c r="AX736" s="76" t="b">
        <v>0</v>
      </c>
      <c r="AY736" s="76"/>
      <c r="AZ736" s="76"/>
      <c r="BA736" s="76" t="b">
        <v>0</v>
      </c>
      <c r="BB736" s="76" t="b">
        <v>1</v>
      </c>
      <c r="BC736" s="76" t="b">
        <v>1</v>
      </c>
      <c r="BD736" s="76" t="b">
        <v>0</v>
      </c>
      <c r="BE736" s="76" t="b">
        <v>1</v>
      </c>
      <c r="BF736" s="76" t="b">
        <v>0</v>
      </c>
      <c r="BG736" s="76" t="b">
        <v>0</v>
      </c>
      <c r="BH736" s="82" t="str">
        <f>HYPERLINK("https://pbs.twimg.com/profile_banners/885254097280139265/1574857925")</f>
        <v>https://pbs.twimg.com/profile_banners/885254097280139265/1574857925</v>
      </c>
      <c r="BI736" s="76"/>
      <c r="BJ736" s="76" t="s">
        <v>27595</v>
      </c>
      <c r="BK736" s="76" t="b">
        <v>0</v>
      </c>
      <c r="BL736" s="76"/>
      <c r="BM736" s="76" t="s">
        <v>66</v>
      </c>
      <c r="BN736" s="76" t="s">
        <v>27597</v>
      </c>
      <c r="BO736" s="82" t="str">
        <f>HYPERLINK("https://twitter.com/ecperiodistas")</f>
        <v>https://twitter.com/ecperiodistas</v>
      </c>
      <c r="BP736" s="2"/>
    </row>
    <row r="737" spans="1:68" x14ac:dyDescent="0.25">
      <c r="A737" s="62" t="s">
        <v>753</v>
      </c>
      <c r="B737" s="63"/>
      <c r="C737" s="63"/>
      <c r="D737" s="64"/>
      <c r="E737" s="66"/>
      <c r="F737" s="103" t="str">
        <f>HYPERLINK("https://pbs.twimg.com/profile_images/422850352132521984/Sd5iWCT0_normal.png")</f>
        <v>https://pbs.twimg.com/profile_images/422850352132521984/Sd5iWCT0_normal.png</v>
      </c>
      <c r="G737" s="63"/>
      <c r="H737" s="67"/>
      <c r="I737" s="68"/>
      <c r="J737" s="68"/>
      <c r="K737" s="67" t="s">
        <v>28331</v>
      </c>
      <c r="L737" s="71"/>
      <c r="M737" s="72"/>
      <c r="N737" s="72"/>
      <c r="O737" s="73"/>
      <c r="P737" s="74"/>
      <c r="Q737" s="74"/>
      <c r="R737" s="87"/>
      <c r="S737" s="87"/>
      <c r="T737" s="87"/>
      <c r="U737" s="87"/>
      <c r="V737" s="48"/>
      <c r="W737" s="48"/>
      <c r="X737" s="48"/>
      <c r="Y737" s="48"/>
      <c r="Z737" s="47"/>
      <c r="AA737" s="69">
        <v>737</v>
      </c>
      <c r="AB737" s="69"/>
      <c r="AC737" s="70"/>
      <c r="AD737" s="76" t="s">
        <v>21974</v>
      </c>
      <c r="AE737" s="81" t="s">
        <v>23463</v>
      </c>
      <c r="AF737" s="76">
        <v>10173</v>
      </c>
      <c r="AG737" s="76">
        <v>679</v>
      </c>
      <c r="AH737" s="76">
        <v>52612</v>
      </c>
      <c r="AI737" s="76">
        <v>56</v>
      </c>
      <c r="AJ737" s="76">
        <v>73</v>
      </c>
      <c r="AK737" s="76">
        <v>12847</v>
      </c>
      <c r="AL737" s="76" t="b">
        <v>0</v>
      </c>
      <c r="AM737" s="78">
        <v>41642.087060185186</v>
      </c>
      <c r="AN737" s="76" t="s">
        <v>14386</v>
      </c>
      <c r="AO737" s="76" t="s">
        <v>25372</v>
      </c>
      <c r="AP737" s="82" t="str">
        <f>HYPERLINK("https://t.co/0wKiCcFDEq")</f>
        <v>https://t.co/0wKiCcFDEq</v>
      </c>
      <c r="AQ737" s="82" t="str">
        <f>HYPERLINK("http://www.mediabanco.com")</f>
        <v>http://www.mediabanco.com</v>
      </c>
      <c r="AR737" s="76" t="s">
        <v>8747</v>
      </c>
      <c r="AS737" s="76"/>
      <c r="AT737" s="76"/>
      <c r="AU737" s="76"/>
      <c r="AV737" s="76"/>
      <c r="AW737" s="82" t="str">
        <f>HYPERLINK("https://t.co/0wKiCcFDEq")</f>
        <v>https://t.co/0wKiCcFDEq</v>
      </c>
      <c r="AX737" s="76" t="b">
        <v>1</v>
      </c>
      <c r="AY737" s="76"/>
      <c r="AZ737" s="76"/>
      <c r="BA737" s="76" t="b">
        <v>0</v>
      </c>
      <c r="BB737" s="76" t="b">
        <v>0</v>
      </c>
      <c r="BC737" s="76" t="b">
        <v>1</v>
      </c>
      <c r="BD737" s="76" t="b">
        <v>0</v>
      </c>
      <c r="BE737" s="76" t="b">
        <v>0</v>
      </c>
      <c r="BF737" s="76" t="b">
        <v>0</v>
      </c>
      <c r="BG737" s="76" t="b">
        <v>0</v>
      </c>
      <c r="BH737" s="82" t="str">
        <f>HYPERLINK("https://pbs.twimg.com/profile_banners/2273826763/1676224072")</f>
        <v>https://pbs.twimg.com/profile_banners/2273826763/1676224072</v>
      </c>
      <c r="BI737" s="76"/>
      <c r="BJ737" s="76" t="s">
        <v>27595</v>
      </c>
      <c r="BK737" s="76" t="b">
        <v>0</v>
      </c>
      <c r="BL737" s="76"/>
      <c r="BM737" s="76" t="s">
        <v>66</v>
      </c>
      <c r="BN737" s="76" t="s">
        <v>27597</v>
      </c>
      <c r="BO737" s="82" t="str">
        <f>HYPERLINK("https://twitter.com/mediabanco")</f>
        <v>https://twitter.com/mediabanco</v>
      </c>
      <c r="BP737" s="2"/>
    </row>
    <row r="738" spans="1:68" x14ac:dyDescent="0.25">
      <c r="A738" s="62" t="s">
        <v>754</v>
      </c>
      <c r="B738" s="63"/>
      <c r="C738" s="63"/>
      <c r="D738" s="64"/>
      <c r="E738" s="66"/>
      <c r="F738" s="103" t="str">
        <f>HYPERLINK("https://pbs.twimg.com/profile_images/1690898446029398016/SGu1hkdg_normal.jpg")</f>
        <v>https://pbs.twimg.com/profile_images/1690898446029398016/SGu1hkdg_normal.jpg</v>
      </c>
      <c r="G738" s="63"/>
      <c r="H738" s="67"/>
      <c r="I738" s="68"/>
      <c r="J738" s="68"/>
      <c r="K738" s="67" t="s">
        <v>28332</v>
      </c>
      <c r="L738" s="71"/>
      <c r="M738" s="72"/>
      <c r="N738" s="72"/>
      <c r="O738" s="73"/>
      <c r="P738" s="74"/>
      <c r="Q738" s="74"/>
      <c r="R738" s="87"/>
      <c r="S738" s="87"/>
      <c r="T738" s="87"/>
      <c r="U738" s="87"/>
      <c r="V738" s="48"/>
      <c r="W738" s="48"/>
      <c r="X738" s="48"/>
      <c r="Y738" s="48"/>
      <c r="Z738" s="47"/>
      <c r="AA738" s="69">
        <v>738</v>
      </c>
      <c r="AB738" s="69"/>
      <c r="AC738" s="70"/>
      <c r="AD738" s="76" t="s">
        <v>21975</v>
      </c>
      <c r="AE738" s="81" t="s">
        <v>20747</v>
      </c>
      <c r="AF738" s="76">
        <v>1</v>
      </c>
      <c r="AG738" s="76">
        <v>71</v>
      </c>
      <c r="AH738" s="76">
        <v>16</v>
      </c>
      <c r="AI738" s="76">
        <v>0</v>
      </c>
      <c r="AJ738" s="76">
        <v>23</v>
      </c>
      <c r="AK738" s="76">
        <v>0</v>
      </c>
      <c r="AL738" s="76" t="b">
        <v>0</v>
      </c>
      <c r="AM738" s="78">
        <v>45152.039050925923</v>
      </c>
      <c r="AN738" s="76" t="s">
        <v>24353</v>
      </c>
      <c r="AO738" s="76" t="s">
        <v>25373</v>
      </c>
      <c r="AP738" s="76"/>
      <c r="AQ738" s="76"/>
      <c r="AR738" s="76"/>
      <c r="AS738" s="76"/>
      <c r="AT738" s="76"/>
      <c r="AU738" s="76"/>
      <c r="AV738" s="76"/>
      <c r="AW738" s="76"/>
      <c r="AX738" s="76" t="b">
        <v>0</v>
      </c>
      <c r="AY738" s="76"/>
      <c r="AZ738" s="76"/>
      <c r="BA738" s="76" t="b">
        <v>0</v>
      </c>
      <c r="BB738" s="76" t="b">
        <v>1</v>
      </c>
      <c r="BC738" s="76" t="b">
        <v>1</v>
      </c>
      <c r="BD738" s="76" t="b">
        <v>0</v>
      </c>
      <c r="BE738" s="76" t="b">
        <v>0</v>
      </c>
      <c r="BF738" s="76" t="b">
        <v>0</v>
      </c>
      <c r="BG738" s="76" t="b">
        <v>0</v>
      </c>
      <c r="BH738" s="76"/>
      <c r="BI738" s="76"/>
      <c r="BJ738" s="76" t="s">
        <v>27595</v>
      </c>
      <c r="BK738" s="76" t="b">
        <v>0</v>
      </c>
      <c r="BL738" s="76"/>
      <c r="BM738" s="76" t="s">
        <v>66</v>
      </c>
      <c r="BN738" s="76" t="s">
        <v>27597</v>
      </c>
      <c r="BO738" s="82" t="str">
        <f>HYPERLINK("https://twitter.com/hablarxpolitica")</f>
        <v>https://twitter.com/hablarxpolitica</v>
      </c>
      <c r="BP738" s="2"/>
    </row>
    <row r="739" spans="1:68" x14ac:dyDescent="0.25">
      <c r="A739" s="62" t="s">
        <v>755</v>
      </c>
      <c r="B739" s="63"/>
      <c r="C739" s="63"/>
      <c r="D739" s="64"/>
      <c r="E739" s="66"/>
      <c r="F739" s="103" t="str">
        <f>HYPERLINK("https://pbs.twimg.com/profile_images/1357708651700568069/o-_OPxPm_normal.jpg")</f>
        <v>https://pbs.twimg.com/profile_images/1357708651700568069/o-_OPxPm_normal.jpg</v>
      </c>
      <c r="G739" s="63"/>
      <c r="H739" s="67"/>
      <c r="I739" s="68"/>
      <c r="J739" s="68"/>
      <c r="K739" s="67" t="s">
        <v>28333</v>
      </c>
      <c r="L739" s="71"/>
      <c r="M739" s="72"/>
      <c r="N739" s="72"/>
      <c r="O739" s="73"/>
      <c r="P739" s="74"/>
      <c r="Q739" s="74"/>
      <c r="R739" s="87"/>
      <c r="S739" s="87"/>
      <c r="T739" s="87"/>
      <c r="U739" s="87"/>
      <c r="V739" s="48"/>
      <c r="W739" s="48"/>
      <c r="X739" s="48"/>
      <c r="Y739" s="48"/>
      <c r="Z739" s="47"/>
      <c r="AA739" s="69">
        <v>739</v>
      </c>
      <c r="AB739" s="69"/>
      <c r="AC739" s="70"/>
      <c r="AD739" s="76" t="s">
        <v>21976</v>
      </c>
      <c r="AE739" s="81" t="s">
        <v>23464</v>
      </c>
      <c r="AF739" s="76">
        <v>1898</v>
      </c>
      <c r="AG739" s="76">
        <v>536</v>
      </c>
      <c r="AH739" s="76">
        <v>40566</v>
      </c>
      <c r="AI739" s="76">
        <v>14</v>
      </c>
      <c r="AJ739" s="76">
        <v>178</v>
      </c>
      <c r="AK739" s="76">
        <v>11696</v>
      </c>
      <c r="AL739" s="76" t="b">
        <v>0</v>
      </c>
      <c r="AM739" s="78">
        <v>40593.700115740743</v>
      </c>
      <c r="AN739" s="76" t="s">
        <v>24354</v>
      </c>
      <c r="AO739" s="76" t="s">
        <v>25374</v>
      </c>
      <c r="AP739" s="82" t="str">
        <f>HYPERLINK("https://t.co/LJV6C8qemO")</f>
        <v>https://t.co/LJV6C8qemO</v>
      </c>
      <c r="AQ739" s="82" t="str">
        <f>HYPERLINK("https://www.elcucodigital.com/")</f>
        <v>https://www.elcucodigital.com/</v>
      </c>
      <c r="AR739" s="76" t="s">
        <v>8748</v>
      </c>
      <c r="AS739" s="76"/>
      <c r="AT739" s="76"/>
      <c r="AU739" s="76"/>
      <c r="AV739" s="76"/>
      <c r="AW739" s="82" t="str">
        <f>HYPERLINK("https://t.co/LJV6C8qemO")</f>
        <v>https://t.co/LJV6C8qemO</v>
      </c>
      <c r="AX739" s="76" t="b">
        <v>0</v>
      </c>
      <c r="AY739" s="76"/>
      <c r="AZ739" s="76"/>
      <c r="BA739" s="76" t="b">
        <v>0</v>
      </c>
      <c r="BB739" s="76" t="b">
        <v>1</v>
      </c>
      <c r="BC739" s="76" t="b">
        <v>0</v>
      </c>
      <c r="BD739" s="76" t="b">
        <v>0</v>
      </c>
      <c r="BE739" s="76" t="b">
        <v>0</v>
      </c>
      <c r="BF739" s="76" t="b">
        <v>0</v>
      </c>
      <c r="BG739" s="76" t="b">
        <v>0</v>
      </c>
      <c r="BH739" s="82" t="str">
        <f>HYPERLINK("https://pbs.twimg.com/profile_banners/254611669/1612537944")</f>
        <v>https://pbs.twimg.com/profile_banners/254611669/1612537944</v>
      </c>
      <c r="BI739" s="76"/>
      <c r="BJ739" s="76" t="s">
        <v>27595</v>
      </c>
      <c r="BK739" s="76" t="b">
        <v>0</v>
      </c>
      <c r="BL739" s="76"/>
      <c r="BM739" s="76" t="s">
        <v>66</v>
      </c>
      <c r="BN739" s="76" t="s">
        <v>27597</v>
      </c>
      <c r="BO739" s="82" t="str">
        <f>HYPERLINK("https://twitter.com/elcucodigital")</f>
        <v>https://twitter.com/elcucodigital</v>
      </c>
      <c r="BP739" s="2"/>
    </row>
    <row r="740" spans="1:68" x14ac:dyDescent="0.25">
      <c r="A740" s="62" t="s">
        <v>756</v>
      </c>
      <c r="B740" s="63"/>
      <c r="C740" s="63"/>
      <c r="D740" s="64"/>
      <c r="E740" s="66"/>
      <c r="F740" s="103" t="str">
        <f>HYPERLINK("https://pbs.twimg.com/profile_images/1228318282719121408/OcrZg7Vr_normal.jpg")</f>
        <v>https://pbs.twimg.com/profile_images/1228318282719121408/OcrZg7Vr_normal.jpg</v>
      </c>
      <c r="G740" s="63"/>
      <c r="H740" s="67"/>
      <c r="I740" s="68"/>
      <c r="J740" s="68"/>
      <c r="K740" s="67" t="s">
        <v>28334</v>
      </c>
      <c r="L740" s="71"/>
      <c r="M740" s="72"/>
      <c r="N740" s="72"/>
      <c r="O740" s="73"/>
      <c r="P740" s="74"/>
      <c r="Q740" s="74"/>
      <c r="R740" s="87"/>
      <c r="S740" s="87"/>
      <c r="T740" s="87"/>
      <c r="U740" s="87"/>
      <c r="V740" s="48"/>
      <c r="W740" s="48"/>
      <c r="X740" s="48"/>
      <c r="Y740" s="48"/>
      <c r="Z740" s="47"/>
      <c r="AA740" s="69">
        <v>740</v>
      </c>
      <c r="AB740" s="69"/>
      <c r="AC740" s="70"/>
      <c r="AD740" s="76" t="s">
        <v>21977</v>
      </c>
      <c r="AE740" s="81" t="s">
        <v>20748</v>
      </c>
      <c r="AF740" s="76">
        <v>353</v>
      </c>
      <c r="AG740" s="76">
        <v>24</v>
      </c>
      <c r="AH740" s="76">
        <v>32542</v>
      </c>
      <c r="AI740" s="76">
        <v>1</v>
      </c>
      <c r="AJ740" s="76">
        <v>21</v>
      </c>
      <c r="AK740" s="76">
        <v>6585</v>
      </c>
      <c r="AL740" s="76" t="b">
        <v>0</v>
      </c>
      <c r="AM740" s="78">
        <v>43755.841689814813</v>
      </c>
      <c r="AN740" s="76" t="s">
        <v>14382</v>
      </c>
      <c r="AO740" s="76" t="s">
        <v>25375</v>
      </c>
      <c r="AP740" s="82" t="str">
        <f>HYPERLINK("https://t.co/F8oRUZq9RY")</f>
        <v>https://t.co/F8oRUZq9RY</v>
      </c>
      <c r="AQ740" s="82" t="str">
        <f>HYPERLINK("http://www.selecoes.com.br")</f>
        <v>http://www.selecoes.com.br</v>
      </c>
      <c r="AR740" s="76" t="s">
        <v>26762</v>
      </c>
      <c r="AS740" s="82" t="str">
        <f>HYPERLINK("https://t.co/F8oRUZq9RY")</f>
        <v>https://t.co/F8oRUZq9RY</v>
      </c>
      <c r="AT740" s="82" t="str">
        <f>HYPERLINK("http://www.selecoes.com.br")</f>
        <v>http://www.selecoes.com.br</v>
      </c>
      <c r="AU740" s="76" t="s">
        <v>26762</v>
      </c>
      <c r="AV740" s="76"/>
      <c r="AW740" s="82" t="str">
        <f>HYPERLINK("https://t.co/F8oRUZq9RY")</f>
        <v>https://t.co/F8oRUZq9RY</v>
      </c>
      <c r="AX740" s="76" t="b">
        <v>0</v>
      </c>
      <c r="AY740" s="76"/>
      <c r="AZ740" s="76"/>
      <c r="BA740" s="76" t="b">
        <v>0</v>
      </c>
      <c r="BB740" s="76" t="b">
        <v>1</v>
      </c>
      <c r="BC740" s="76" t="b">
        <v>1</v>
      </c>
      <c r="BD740" s="76" t="b">
        <v>0</v>
      </c>
      <c r="BE740" s="76" t="b">
        <v>0</v>
      </c>
      <c r="BF740" s="76" t="b">
        <v>0</v>
      </c>
      <c r="BG740" s="76" t="b">
        <v>0</v>
      </c>
      <c r="BH740" s="82" t="str">
        <f>HYPERLINK("https://pbs.twimg.com/profile_banners/1184925010357637127/1572352701")</f>
        <v>https://pbs.twimg.com/profile_banners/1184925010357637127/1572352701</v>
      </c>
      <c r="BI740" s="76"/>
      <c r="BJ740" s="76" t="s">
        <v>27595</v>
      </c>
      <c r="BK740" s="76" t="b">
        <v>0</v>
      </c>
      <c r="BL740" s="76"/>
      <c r="BM740" s="76" t="s">
        <v>66</v>
      </c>
      <c r="BN740" s="76" t="s">
        <v>27597</v>
      </c>
      <c r="BO740" s="82" t="str">
        <f>HYPERLINK("https://twitter.com/selecoesbrasil")</f>
        <v>https://twitter.com/selecoesbrasil</v>
      </c>
      <c r="BP740" s="2"/>
    </row>
    <row r="741" spans="1:68" x14ac:dyDescent="0.25">
      <c r="A741" s="62" t="s">
        <v>757</v>
      </c>
      <c r="B741" s="63"/>
      <c r="C741" s="63"/>
      <c r="D741" s="64"/>
      <c r="E741" s="66"/>
      <c r="F741" s="103" t="str">
        <f>HYPERLINK("https://pbs.twimg.com/profile_images/1493579914796273667/ZltIBkdt_normal.jpg")</f>
        <v>https://pbs.twimg.com/profile_images/1493579914796273667/ZltIBkdt_normal.jpg</v>
      </c>
      <c r="G741" s="63"/>
      <c r="H741" s="67"/>
      <c r="I741" s="68"/>
      <c r="J741" s="68"/>
      <c r="K741" s="67" t="s">
        <v>28335</v>
      </c>
      <c r="L741" s="71"/>
      <c r="M741" s="72"/>
      <c r="N741" s="72"/>
      <c r="O741" s="73"/>
      <c r="P741" s="74"/>
      <c r="Q741" s="74"/>
      <c r="R741" s="87"/>
      <c r="S741" s="87"/>
      <c r="T741" s="87"/>
      <c r="U741" s="87"/>
      <c r="V741" s="48"/>
      <c r="W741" s="48"/>
      <c r="X741" s="48"/>
      <c r="Y741" s="48"/>
      <c r="Z741" s="47"/>
      <c r="AA741" s="69">
        <v>741</v>
      </c>
      <c r="AB741" s="69"/>
      <c r="AC741" s="70"/>
      <c r="AD741" s="76" t="s">
        <v>21978</v>
      </c>
      <c r="AE741" s="81" t="s">
        <v>23465</v>
      </c>
      <c r="AF741" s="76">
        <v>823</v>
      </c>
      <c r="AG741" s="76">
        <v>1244</v>
      </c>
      <c r="AH741" s="76">
        <v>21400</v>
      </c>
      <c r="AI741" s="76">
        <v>1</v>
      </c>
      <c r="AJ741" s="76">
        <v>24675</v>
      </c>
      <c r="AK741" s="76">
        <v>668</v>
      </c>
      <c r="AL741" s="76" t="b">
        <v>0</v>
      </c>
      <c r="AM741" s="78">
        <v>41016.123148148145</v>
      </c>
      <c r="AN741" s="76" t="s">
        <v>24355</v>
      </c>
      <c r="AO741" s="76" t="s">
        <v>25376</v>
      </c>
      <c r="AP741" s="76"/>
      <c r="AQ741" s="76"/>
      <c r="AR741" s="76"/>
      <c r="AS741" s="76"/>
      <c r="AT741" s="76"/>
      <c r="AU741" s="76"/>
      <c r="AV741" s="76"/>
      <c r="AW741" s="76"/>
      <c r="AX741" s="76" t="b">
        <v>0</v>
      </c>
      <c r="AY741" s="76"/>
      <c r="AZ741" s="76"/>
      <c r="BA741" s="76" t="b">
        <v>1</v>
      </c>
      <c r="BB741" s="76" t="b">
        <v>1</v>
      </c>
      <c r="BC741" s="76" t="b">
        <v>0</v>
      </c>
      <c r="BD741" s="76" t="b">
        <v>0</v>
      </c>
      <c r="BE741" s="76" t="b">
        <v>0</v>
      </c>
      <c r="BF741" s="76" t="b">
        <v>0</v>
      </c>
      <c r="BG741" s="76" t="b">
        <v>0</v>
      </c>
      <c r="BH741" s="82" t="str">
        <f>HYPERLINK("https://pbs.twimg.com/profile_banners/555622888/1622760351")</f>
        <v>https://pbs.twimg.com/profile_banners/555622888/1622760351</v>
      </c>
      <c r="BI741" s="76"/>
      <c r="BJ741" s="76" t="s">
        <v>27595</v>
      </c>
      <c r="BK741" s="76" t="b">
        <v>0</v>
      </c>
      <c r="BL741" s="76"/>
      <c r="BM741" s="76" t="s">
        <v>66</v>
      </c>
      <c r="BN741" s="76" t="s">
        <v>27597</v>
      </c>
      <c r="BO741" s="82" t="str">
        <f>HYPERLINK("https://twitter.com/odeiran")</f>
        <v>https://twitter.com/odeiran</v>
      </c>
      <c r="BP741" s="2"/>
    </row>
    <row r="742" spans="1:68" x14ac:dyDescent="0.25">
      <c r="A742" s="62" t="s">
        <v>1854</v>
      </c>
      <c r="B742" s="63"/>
      <c r="C742" s="63"/>
      <c r="D742" s="64"/>
      <c r="E742" s="66"/>
      <c r="F742" s="103" t="str">
        <f>HYPERLINK("https://pbs.twimg.com/profile_images/1589197248461787136/K_19hoKA_normal.jpg")</f>
        <v>https://pbs.twimg.com/profile_images/1589197248461787136/K_19hoKA_normal.jpg</v>
      </c>
      <c r="G742" s="63"/>
      <c r="H742" s="67"/>
      <c r="I742" s="68"/>
      <c r="J742" s="68"/>
      <c r="K742" s="67" t="s">
        <v>28336</v>
      </c>
      <c r="L742" s="71"/>
      <c r="M742" s="72"/>
      <c r="N742" s="72"/>
      <c r="O742" s="73"/>
      <c r="P742" s="74"/>
      <c r="Q742" s="74"/>
      <c r="R742" s="87"/>
      <c r="S742" s="87"/>
      <c r="T742" s="87"/>
      <c r="U742" s="87"/>
      <c r="V742" s="48"/>
      <c r="W742" s="48"/>
      <c r="X742" s="48"/>
      <c r="Y742" s="48"/>
      <c r="Z742" s="47"/>
      <c r="AA742" s="69">
        <v>742</v>
      </c>
      <c r="AB742" s="69"/>
      <c r="AC742" s="70"/>
      <c r="AD742" s="76" t="s">
        <v>21979</v>
      </c>
      <c r="AE742" s="81" t="s">
        <v>23466</v>
      </c>
      <c r="AF742" s="76">
        <v>1621464</v>
      </c>
      <c r="AG742" s="76">
        <v>405</v>
      </c>
      <c r="AH742" s="76">
        <v>13200</v>
      </c>
      <c r="AI742" s="76">
        <v>3286</v>
      </c>
      <c r="AJ742" s="76">
        <v>5818</v>
      </c>
      <c r="AK742" s="76">
        <v>5206</v>
      </c>
      <c r="AL742" s="76" t="b">
        <v>0</v>
      </c>
      <c r="AM742" s="78">
        <v>39923.073923611111</v>
      </c>
      <c r="AN742" s="76" t="s">
        <v>24143</v>
      </c>
      <c r="AO742" s="76" t="s">
        <v>25377</v>
      </c>
      <c r="AP742" s="82" t="str">
        <f>HYPERLINK("https://t.co/e9xQPGw8pB")</f>
        <v>https://t.co/e9xQPGw8pB</v>
      </c>
      <c r="AQ742" s="82" t="str">
        <f>HYPERLINK("https://linktr.ee/cirogomesoficial")</f>
        <v>https://linktr.ee/cirogomesoficial</v>
      </c>
      <c r="AR742" s="76" t="s">
        <v>26763</v>
      </c>
      <c r="AS742" s="76"/>
      <c r="AT742" s="76"/>
      <c r="AU742" s="76"/>
      <c r="AV742" s="76">
        <v>1.67837359110721E+18</v>
      </c>
      <c r="AW742" s="82" t="str">
        <f>HYPERLINK("https://t.co/e9xQPGw8pB")</f>
        <v>https://t.co/e9xQPGw8pB</v>
      </c>
      <c r="AX742" s="76" t="b">
        <v>1</v>
      </c>
      <c r="AY742" s="76"/>
      <c r="AZ742" s="76"/>
      <c r="BA742" s="76" t="b">
        <v>0</v>
      </c>
      <c r="BB742" s="76" t="b">
        <v>1</v>
      </c>
      <c r="BC742" s="76" t="b">
        <v>0</v>
      </c>
      <c r="BD742" s="76" t="b">
        <v>0</v>
      </c>
      <c r="BE742" s="76" t="b">
        <v>1</v>
      </c>
      <c r="BF742" s="76" t="b">
        <v>0</v>
      </c>
      <c r="BG742" s="76" t="b">
        <v>0</v>
      </c>
      <c r="BH742" s="82" t="str">
        <f>HYPERLINK("https://pbs.twimg.com/profile_banners/33374761/1667730663")</f>
        <v>https://pbs.twimg.com/profile_banners/33374761/1667730663</v>
      </c>
      <c r="BI742" s="76"/>
      <c r="BJ742" s="76" t="s">
        <v>27595</v>
      </c>
      <c r="BK742" s="76" t="b">
        <v>0</v>
      </c>
      <c r="BL742" s="76"/>
      <c r="BM742" s="76" t="s">
        <v>65</v>
      </c>
      <c r="BN742" s="76" t="s">
        <v>27597</v>
      </c>
      <c r="BO742" s="82" t="str">
        <f>HYPERLINK("https://twitter.com/cirogomes")</f>
        <v>https://twitter.com/cirogomes</v>
      </c>
      <c r="BP742" s="2"/>
    </row>
    <row r="743" spans="1:68" x14ac:dyDescent="0.25">
      <c r="A743" s="62" t="s">
        <v>758</v>
      </c>
      <c r="B743" s="63"/>
      <c r="C743" s="63"/>
      <c r="D743" s="64"/>
      <c r="E743" s="66"/>
      <c r="F743" s="103" t="str">
        <f>HYPERLINK("https://pbs.twimg.com/profile_images/1219013624590630914/IEpvfRLF_normal.jpg")</f>
        <v>https://pbs.twimg.com/profile_images/1219013624590630914/IEpvfRLF_normal.jpg</v>
      </c>
      <c r="G743" s="63"/>
      <c r="H743" s="67"/>
      <c r="I743" s="68"/>
      <c r="J743" s="68"/>
      <c r="K743" s="67" t="s">
        <v>28337</v>
      </c>
      <c r="L743" s="71"/>
      <c r="M743" s="72"/>
      <c r="N743" s="72"/>
      <c r="O743" s="73"/>
      <c r="P743" s="74"/>
      <c r="Q743" s="74"/>
      <c r="R743" s="87"/>
      <c r="S743" s="87"/>
      <c r="T743" s="87"/>
      <c r="U743" s="87"/>
      <c r="V743" s="48"/>
      <c r="W743" s="48"/>
      <c r="X743" s="48"/>
      <c r="Y743" s="48"/>
      <c r="Z743" s="47"/>
      <c r="AA743" s="69">
        <v>743</v>
      </c>
      <c r="AB743" s="69"/>
      <c r="AC743" s="70"/>
      <c r="AD743" s="76" t="s">
        <v>21980</v>
      </c>
      <c r="AE743" s="81" t="s">
        <v>20749</v>
      </c>
      <c r="AF743" s="76">
        <v>727</v>
      </c>
      <c r="AG743" s="76">
        <v>1216</v>
      </c>
      <c r="AH743" s="76">
        <v>27141</v>
      </c>
      <c r="AI743" s="76">
        <v>2</v>
      </c>
      <c r="AJ743" s="76">
        <v>8399</v>
      </c>
      <c r="AK743" s="76">
        <v>873</v>
      </c>
      <c r="AL743" s="76" t="b">
        <v>0</v>
      </c>
      <c r="AM743" s="78">
        <v>43849.464085648149</v>
      </c>
      <c r="AN743" s="76" t="s">
        <v>24356</v>
      </c>
      <c r="AO743" s="76" t="s">
        <v>25378</v>
      </c>
      <c r="AP743" s="76"/>
      <c r="AQ743" s="76"/>
      <c r="AR743" s="76"/>
      <c r="AS743" s="76"/>
      <c r="AT743" s="76"/>
      <c r="AU743" s="76"/>
      <c r="AV743" s="76"/>
      <c r="AW743" s="76"/>
      <c r="AX743" s="76" t="b">
        <v>0</v>
      </c>
      <c r="AY743" s="76"/>
      <c r="AZ743" s="76"/>
      <c r="BA743" s="76" t="b">
        <v>0</v>
      </c>
      <c r="BB743" s="76" t="b">
        <v>1</v>
      </c>
      <c r="BC743" s="76" t="b">
        <v>1</v>
      </c>
      <c r="BD743" s="76" t="b">
        <v>0</v>
      </c>
      <c r="BE743" s="76" t="b">
        <v>1</v>
      </c>
      <c r="BF743" s="76" t="b">
        <v>0</v>
      </c>
      <c r="BG743" s="76" t="b">
        <v>0</v>
      </c>
      <c r="BH743" s="76"/>
      <c r="BI743" s="76"/>
      <c r="BJ743" s="76" t="s">
        <v>27595</v>
      </c>
      <c r="BK743" s="76" t="b">
        <v>0</v>
      </c>
      <c r="BL743" s="76"/>
      <c r="BM743" s="76" t="s">
        <v>66</v>
      </c>
      <c r="BN743" s="76" t="s">
        <v>27597</v>
      </c>
      <c r="BO743" s="82" t="str">
        <f>HYPERLINK("https://twitter.com/levysil04752419")</f>
        <v>https://twitter.com/levysil04752419</v>
      </c>
      <c r="BP743" s="2"/>
    </row>
    <row r="744" spans="1:68" x14ac:dyDescent="0.25">
      <c r="A744" s="62" t="s">
        <v>759</v>
      </c>
      <c r="B744" s="63"/>
      <c r="C744" s="63"/>
      <c r="D744" s="64"/>
      <c r="E744" s="66"/>
      <c r="F744" s="103" t="str">
        <f>HYPERLINK("https://pbs.twimg.com/profile_images/1693751524160151552/gBjahoLH_normal.jpg")</f>
        <v>https://pbs.twimg.com/profile_images/1693751524160151552/gBjahoLH_normal.jpg</v>
      </c>
      <c r="G744" s="63"/>
      <c r="H744" s="67"/>
      <c r="I744" s="68"/>
      <c r="J744" s="68"/>
      <c r="K744" s="67" t="s">
        <v>28338</v>
      </c>
      <c r="L744" s="71"/>
      <c r="M744" s="72"/>
      <c r="N744" s="72"/>
      <c r="O744" s="73"/>
      <c r="P744" s="74"/>
      <c r="Q744" s="74"/>
      <c r="R744" s="87"/>
      <c r="S744" s="87"/>
      <c r="T744" s="87"/>
      <c r="U744" s="87"/>
      <c r="V744" s="48"/>
      <c r="W744" s="48"/>
      <c r="X744" s="48"/>
      <c r="Y744" s="48"/>
      <c r="Z744" s="47"/>
      <c r="AA744" s="69">
        <v>744</v>
      </c>
      <c r="AB744" s="69"/>
      <c r="AC744" s="70"/>
      <c r="AD744" s="76" t="s">
        <v>21981</v>
      </c>
      <c r="AE744" s="81" t="s">
        <v>23467</v>
      </c>
      <c r="AF744" s="76">
        <v>368</v>
      </c>
      <c r="AG744" s="76">
        <v>174</v>
      </c>
      <c r="AH744" s="76">
        <v>7900</v>
      </c>
      <c r="AI744" s="76">
        <v>5</v>
      </c>
      <c r="AJ744" s="76">
        <v>3326</v>
      </c>
      <c r="AK744" s="76">
        <v>550</v>
      </c>
      <c r="AL744" s="76" t="b">
        <v>0</v>
      </c>
      <c r="AM744" s="78">
        <v>40624.170405092591</v>
      </c>
      <c r="AN744" s="76" t="s">
        <v>24357</v>
      </c>
      <c r="AO744" s="76" t="s">
        <v>25379</v>
      </c>
      <c r="AP744" s="82" t="str">
        <f>HYPERLINK("https://t.co/hwVs9fIRer")</f>
        <v>https://t.co/hwVs9fIRer</v>
      </c>
      <c r="AQ744" s="82" t="str">
        <f>HYPERLINK("http://xiomaralara.blogspot.com")</f>
        <v>http://xiomaralara.blogspot.com</v>
      </c>
      <c r="AR744" s="76" t="s">
        <v>26764</v>
      </c>
      <c r="AS744" s="76"/>
      <c r="AT744" s="76"/>
      <c r="AU744" s="76"/>
      <c r="AV744" s="76"/>
      <c r="AW744" s="82" t="str">
        <f>HYPERLINK("https://t.co/hwVs9fIRer")</f>
        <v>https://t.co/hwVs9fIRer</v>
      </c>
      <c r="AX744" s="76" t="b">
        <v>0</v>
      </c>
      <c r="AY744" s="76"/>
      <c r="AZ744" s="76"/>
      <c r="BA744" s="76" t="b">
        <v>1</v>
      </c>
      <c r="BB744" s="76" t="b">
        <v>1</v>
      </c>
      <c r="BC744" s="76" t="b">
        <v>1</v>
      </c>
      <c r="BD744" s="76" t="b">
        <v>0</v>
      </c>
      <c r="BE744" s="76" t="b">
        <v>1</v>
      </c>
      <c r="BF744" s="76" t="b">
        <v>0</v>
      </c>
      <c r="BG744" s="76" t="b">
        <v>0</v>
      </c>
      <c r="BH744" s="82" t="str">
        <f>HYPERLINK("https://pbs.twimg.com/profile_banners/270178975/1571585134")</f>
        <v>https://pbs.twimg.com/profile_banners/270178975/1571585134</v>
      </c>
      <c r="BI744" s="76"/>
      <c r="BJ744" s="76" t="s">
        <v>27595</v>
      </c>
      <c r="BK744" s="76" t="b">
        <v>0</v>
      </c>
      <c r="BL744" s="76"/>
      <c r="BM744" s="76" t="s">
        <v>66</v>
      </c>
      <c r="BN744" s="76" t="s">
        <v>27597</v>
      </c>
      <c r="BO744" s="82" t="str">
        <f>HYPERLINK("https://twitter.com/xiomaralaran")</f>
        <v>https://twitter.com/xiomaralaran</v>
      </c>
      <c r="BP744" s="2"/>
    </row>
    <row r="745" spans="1:68" x14ac:dyDescent="0.25">
      <c r="A745" s="62" t="s">
        <v>760</v>
      </c>
      <c r="B745" s="63"/>
      <c r="C745" s="63"/>
      <c r="D745" s="64"/>
      <c r="E745" s="66"/>
      <c r="F745" s="103" t="str">
        <f>HYPERLINK("https://pbs.twimg.com/profile_images/1523726463530377222/qaYH9dMM_normal.jpg")</f>
        <v>https://pbs.twimg.com/profile_images/1523726463530377222/qaYH9dMM_normal.jpg</v>
      </c>
      <c r="G745" s="63"/>
      <c r="H745" s="67"/>
      <c r="I745" s="68"/>
      <c r="J745" s="68"/>
      <c r="K745" s="67" t="s">
        <v>28339</v>
      </c>
      <c r="L745" s="71"/>
      <c r="M745" s="72"/>
      <c r="N745" s="72"/>
      <c r="O745" s="73"/>
      <c r="P745" s="74"/>
      <c r="Q745" s="74"/>
      <c r="R745" s="87"/>
      <c r="S745" s="87"/>
      <c r="T745" s="87"/>
      <c r="U745" s="87"/>
      <c r="V745" s="48"/>
      <c r="W745" s="48"/>
      <c r="X745" s="48"/>
      <c r="Y745" s="48"/>
      <c r="Z745" s="47"/>
      <c r="AA745" s="69">
        <v>745</v>
      </c>
      <c r="AB745" s="69"/>
      <c r="AC745" s="70"/>
      <c r="AD745" s="76" t="s">
        <v>21982</v>
      </c>
      <c r="AE745" s="81" t="s">
        <v>20750</v>
      </c>
      <c r="AF745" s="76">
        <v>40</v>
      </c>
      <c r="AG745" s="76">
        <v>195</v>
      </c>
      <c r="AH745" s="76">
        <v>873</v>
      </c>
      <c r="AI745" s="76">
        <v>0</v>
      </c>
      <c r="AJ745" s="76">
        <v>2189</v>
      </c>
      <c r="AK745" s="76">
        <v>3</v>
      </c>
      <c r="AL745" s="76" t="b">
        <v>0</v>
      </c>
      <c r="AM745" s="78">
        <v>44690.688622685186</v>
      </c>
      <c r="AN745" s="76" t="s">
        <v>24064</v>
      </c>
      <c r="AO745" s="76"/>
      <c r="AP745" s="76"/>
      <c r="AQ745" s="76"/>
      <c r="AR745" s="76"/>
      <c r="AS745" s="76"/>
      <c r="AT745" s="76"/>
      <c r="AU745" s="76"/>
      <c r="AV745" s="76"/>
      <c r="AW745" s="76"/>
      <c r="AX745" s="76" t="b">
        <v>0</v>
      </c>
      <c r="AY745" s="76"/>
      <c r="AZ745" s="76"/>
      <c r="BA745" s="76" t="b">
        <v>0</v>
      </c>
      <c r="BB745" s="76" t="b">
        <v>1</v>
      </c>
      <c r="BC745" s="76" t="b">
        <v>1</v>
      </c>
      <c r="BD745" s="76" t="b">
        <v>0</v>
      </c>
      <c r="BE745" s="76" t="b">
        <v>1</v>
      </c>
      <c r="BF745" s="76" t="b">
        <v>0</v>
      </c>
      <c r="BG745" s="76" t="b">
        <v>0</v>
      </c>
      <c r="BH745" s="82" t="str">
        <f>HYPERLINK("https://pbs.twimg.com/profile_banners/1523701926218633216/1652119897")</f>
        <v>https://pbs.twimg.com/profile_banners/1523701926218633216/1652119897</v>
      </c>
      <c r="BI745" s="76"/>
      <c r="BJ745" s="76" t="s">
        <v>27595</v>
      </c>
      <c r="BK745" s="76" t="b">
        <v>0</v>
      </c>
      <c r="BL745" s="76"/>
      <c r="BM745" s="76" t="s">
        <v>66</v>
      </c>
      <c r="BN745" s="76" t="s">
        <v>27597</v>
      </c>
      <c r="BO745" s="82" t="str">
        <f>HYPERLINK("https://twitter.com/tonygom79227681")</f>
        <v>https://twitter.com/tonygom79227681</v>
      </c>
      <c r="BP745" s="2"/>
    </row>
    <row r="746" spans="1:68" x14ac:dyDescent="0.25">
      <c r="A746" s="62" t="s">
        <v>761</v>
      </c>
      <c r="B746" s="63"/>
      <c r="C746" s="63"/>
      <c r="D746" s="64"/>
      <c r="E746" s="66"/>
      <c r="F746" s="103" t="str">
        <f>HYPERLINK("https://pbs.twimg.com/profile_images/1418303743892799489/p3b8Lbh9_normal.jpg")</f>
        <v>https://pbs.twimg.com/profile_images/1418303743892799489/p3b8Lbh9_normal.jpg</v>
      </c>
      <c r="G746" s="63"/>
      <c r="H746" s="67"/>
      <c r="I746" s="68"/>
      <c r="J746" s="68"/>
      <c r="K746" s="67" t="s">
        <v>28340</v>
      </c>
      <c r="L746" s="71"/>
      <c r="M746" s="72"/>
      <c r="N746" s="72"/>
      <c r="O746" s="73"/>
      <c r="P746" s="74"/>
      <c r="Q746" s="74"/>
      <c r="R746" s="87"/>
      <c r="S746" s="87"/>
      <c r="T746" s="87"/>
      <c r="U746" s="87"/>
      <c r="V746" s="48"/>
      <c r="W746" s="48"/>
      <c r="X746" s="48"/>
      <c r="Y746" s="48"/>
      <c r="Z746" s="47"/>
      <c r="AA746" s="69">
        <v>746</v>
      </c>
      <c r="AB746" s="69"/>
      <c r="AC746" s="70"/>
      <c r="AD746" s="76" t="s">
        <v>21983</v>
      </c>
      <c r="AE746" s="81" t="s">
        <v>23468</v>
      </c>
      <c r="AF746" s="76">
        <v>149822</v>
      </c>
      <c r="AG746" s="76">
        <v>1735</v>
      </c>
      <c r="AH746" s="76">
        <v>144620</v>
      </c>
      <c r="AI746" s="76">
        <v>348</v>
      </c>
      <c r="AJ746" s="76">
        <v>13438</v>
      </c>
      <c r="AK746" s="76">
        <v>31037</v>
      </c>
      <c r="AL746" s="76" t="b">
        <v>0</v>
      </c>
      <c r="AM746" s="78">
        <v>40693.575810185182</v>
      </c>
      <c r="AN746" s="76" t="s">
        <v>14420</v>
      </c>
      <c r="AO746" s="76" t="s">
        <v>25380</v>
      </c>
      <c r="AP746" s="82" t="str">
        <f>HYPERLINK("https://t.co/w4bL4tPUOF")</f>
        <v>https://t.co/w4bL4tPUOF</v>
      </c>
      <c r="AQ746" s="82" t="str">
        <f>HYPERLINK("http://www.cba24n.com.ar")</f>
        <v>http://www.cba24n.com.ar</v>
      </c>
      <c r="AR746" s="76" t="s">
        <v>26537</v>
      </c>
      <c r="AS746" s="76"/>
      <c r="AT746" s="76"/>
      <c r="AU746" s="76"/>
      <c r="AV746" s="76"/>
      <c r="AW746" s="82" t="str">
        <f>HYPERLINK("https://t.co/w4bL4tPUOF")</f>
        <v>https://t.co/w4bL4tPUOF</v>
      </c>
      <c r="AX746" s="76" t="b">
        <v>0</v>
      </c>
      <c r="AY746" s="76"/>
      <c r="AZ746" s="76"/>
      <c r="BA746" s="76" t="b">
        <v>0</v>
      </c>
      <c r="BB746" s="76" t="b">
        <v>1</v>
      </c>
      <c r="BC746" s="76" t="b">
        <v>0</v>
      </c>
      <c r="BD746" s="76" t="b">
        <v>0</v>
      </c>
      <c r="BE746" s="76" t="b">
        <v>0</v>
      </c>
      <c r="BF746" s="76" t="b">
        <v>0</v>
      </c>
      <c r="BG746" s="76" t="b">
        <v>0</v>
      </c>
      <c r="BH746" s="82" t="str">
        <f>HYPERLINK("https://pbs.twimg.com/profile_banners/307897148/1691675148")</f>
        <v>https://pbs.twimg.com/profile_banners/307897148/1691675148</v>
      </c>
      <c r="BI746" s="76"/>
      <c r="BJ746" s="76" t="s">
        <v>27595</v>
      </c>
      <c r="BK746" s="76" t="b">
        <v>0</v>
      </c>
      <c r="BL746" s="76"/>
      <c r="BM746" s="76" t="s">
        <v>66</v>
      </c>
      <c r="BN746" s="76" t="s">
        <v>27597</v>
      </c>
      <c r="BO746" s="82" t="str">
        <f>HYPERLINK("https://twitter.com/cba24ncomar")</f>
        <v>https://twitter.com/cba24ncomar</v>
      </c>
      <c r="BP746" s="2"/>
    </row>
    <row r="747" spans="1:68" x14ac:dyDescent="0.25">
      <c r="A747" s="62" t="s">
        <v>762</v>
      </c>
      <c r="B747" s="63"/>
      <c r="C747" s="63"/>
      <c r="D747" s="64"/>
      <c r="E747" s="66"/>
      <c r="F747" s="103" t="str">
        <f>HYPERLINK("https://pbs.twimg.com/profile_images/1582970311527600128/ol1hR_i__normal.jpg")</f>
        <v>https://pbs.twimg.com/profile_images/1582970311527600128/ol1hR_i__normal.jpg</v>
      </c>
      <c r="G747" s="63"/>
      <c r="H747" s="67"/>
      <c r="I747" s="68"/>
      <c r="J747" s="68"/>
      <c r="K747" s="67" t="s">
        <v>28341</v>
      </c>
      <c r="L747" s="71"/>
      <c r="M747" s="72"/>
      <c r="N747" s="72"/>
      <c r="O747" s="73"/>
      <c r="P747" s="74"/>
      <c r="Q747" s="74"/>
      <c r="R747" s="87"/>
      <c r="S747" s="87"/>
      <c r="T747" s="87"/>
      <c r="U747" s="87"/>
      <c r="V747" s="48"/>
      <c r="W747" s="48"/>
      <c r="X747" s="48"/>
      <c r="Y747" s="48"/>
      <c r="Z747" s="47"/>
      <c r="AA747" s="69">
        <v>747</v>
      </c>
      <c r="AB747" s="69"/>
      <c r="AC747" s="70"/>
      <c r="AD747" s="76" t="s">
        <v>21984</v>
      </c>
      <c r="AE747" s="81" t="s">
        <v>23469</v>
      </c>
      <c r="AF747" s="76">
        <v>1087</v>
      </c>
      <c r="AG747" s="76">
        <v>1828</v>
      </c>
      <c r="AH747" s="76">
        <v>3456</v>
      </c>
      <c r="AI747" s="76">
        <v>0</v>
      </c>
      <c r="AJ747" s="76">
        <v>4906</v>
      </c>
      <c r="AK747" s="76">
        <v>23</v>
      </c>
      <c r="AL747" s="76" t="b">
        <v>0</v>
      </c>
      <c r="AM747" s="78">
        <v>42402.115254629629</v>
      </c>
      <c r="AN747" s="76" t="s">
        <v>24358</v>
      </c>
      <c r="AO747" s="76"/>
      <c r="AP747" s="76"/>
      <c r="AQ747" s="76"/>
      <c r="AR747" s="76"/>
      <c r="AS747" s="76"/>
      <c r="AT747" s="76"/>
      <c r="AU747" s="76"/>
      <c r="AV747" s="76">
        <v>1.7070233349430899E+18</v>
      </c>
      <c r="AW747" s="76"/>
      <c r="AX747" s="76" t="b">
        <v>0</v>
      </c>
      <c r="AY747" s="76"/>
      <c r="AZ747" s="76"/>
      <c r="BA747" s="76" t="b">
        <v>0</v>
      </c>
      <c r="BB747" s="76" t="b">
        <v>1</v>
      </c>
      <c r="BC747" s="76" t="b">
        <v>1</v>
      </c>
      <c r="BD747" s="76" t="b">
        <v>0</v>
      </c>
      <c r="BE747" s="76" t="b">
        <v>0</v>
      </c>
      <c r="BF747" s="76" t="b">
        <v>0</v>
      </c>
      <c r="BG747" s="76" t="b">
        <v>0</v>
      </c>
      <c r="BH747" s="82" t="str">
        <f>HYPERLINK("https://pbs.twimg.com/profile_banners/4847205360/1666244544")</f>
        <v>https://pbs.twimg.com/profile_banners/4847205360/1666244544</v>
      </c>
      <c r="BI747" s="76"/>
      <c r="BJ747" s="76" t="s">
        <v>27595</v>
      </c>
      <c r="BK747" s="76" t="b">
        <v>0</v>
      </c>
      <c r="BL747" s="76"/>
      <c r="BM747" s="76" t="s">
        <v>66</v>
      </c>
      <c r="BN747" s="76" t="s">
        <v>27597</v>
      </c>
      <c r="BO747" s="82" t="str">
        <f>HYPERLINK("https://twitter.com/conteolf2024")</f>
        <v>https://twitter.com/conteolf2024</v>
      </c>
      <c r="BP747" s="2"/>
    </row>
    <row r="748" spans="1:68" x14ac:dyDescent="0.25">
      <c r="A748" s="62" t="s">
        <v>763</v>
      </c>
      <c r="B748" s="63"/>
      <c r="C748" s="63"/>
      <c r="D748" s="64"/>
      <c r="E748" s="66"/>
      <c r="F748" s="103" t="str">
        <f>HYPERLINK("https://pbs.twimg.com/profile_images/720616826447728641/S793cCUo_normal.jpg")</f>
        <v>https://pbs.twimg.com/profile_images/720616826447728641/S793cCUo_normal.jpg</v>
      </c>
      <c r="G748" s="63"/>
      <c r="H748" s="67"/>
      <c r="I748" s="68"/>
      <c r="J748" s="68"/>
      <c r="K748" s="67" t="s">
        <v>28342</v>
      </c>
      <c r="L748" s="71"/>
      <c r="M748" s="72"/>
      <c r="N748" s="72"/>
      <c r="O748" s="73"/>
      <c r="P748" s="74"/>
      <c r="Q748" s="74"/>
      <c r="R748" s="87"/>
      <c r="S748" s="87"/>
      <c r="T748" s="87"/>
      <c r="U748" s="87"/>
      <c r="V748" s="48"/>
      <c r="W748" s="48"/>
      <c r="X748" s="48"/>
      <c r="Y748" s="48"/>
      <c r="Z748" s="47"/>
      <c r="AA748" s="69">
        <v>748</v>
      </c>
      <c r="AB748" s="69"/>
      <c r="AC748" s="70"/>
      <c r="AD748" s="76" t="s">
        <v>21985</v>
      </c>
      <c r="AE748" s="81" t="s">
        <v>23470</v>
      </c>
      <c r="AF748" s="76">
        <v>408</v>
      </c>
      <c r="AG748" s="76">
        <v>21</v>
      </c>
      <c r="AH748" s="76">
        <v>4367</v>
      </c>
      <c r="AI748" s="76">
        <v>10</v>
      </c>
      <c r="AJ748" s="76">
        <v>671</v>
      </c>
      <c r="AK748" s="76">
        <v>756</v>
      </c>
      <c r="AL748" s="76" t="b">
        <v>0</v>
      </c>
      <c r="AM748" s="78">
        <v>42394.758472222224</v>
      </c>
      <c r="AN748" s="76" t="s">
        <v>14400</v>
      </c>
      <c r="AO748" s="76" t="s">
        <v>25381</v>
      </c>
      <c r="AP748" s="82" t="str">
        <f>HYPERLINK("https://t.co/U8cdBSek0W")</f>
        <v>https://t.co/U8cdBSek0W</v>
      </c>
      <c r="AQ748" s="82" t="str">
        <f>HYPERLINK("http://www.vozdaturquia.com.br")</f>
        <v>http://www.vozdaturquia.com.br</v>
      </c>
      <c r="AR748" s="76" t="s">
        <v>26765</v>
      </c>
      <c r="AS748" s="82" t="str">
        <f>HYPERLINK("https://t.co/yqGeqA7BcG")</f>
        <v>https://t.co/yqGeqA7BcG</v>
      </c>
      <c r="AT748" s="82" t="str">
        <f>HYPERLINK("http://fb.com/vozdaturquia")</f>
        <v>http://fb.com/vozdaturquia</v>
      </c>
      <c r="AU748" s="76" t="s">
        <v>27491</v>
      </c>
      <c r="AV748" s="76"/>
      <c r="AW748" s="82" t="str">
        <f>HYPERLINK("https://t.co/U8cdBSek0W")</f>
        <v>https://t.co/U8cdBSek0W</v>
      </c>
      <c r="AX748" s="76" t="b">
        <v>0</v>
      </c>
      <c r="AY748" s="76"/>
      <c r="AZ748" s="76"/>
      <c r="BA748" s="76" t="b">
        <v>1</v>
      </c>
      <c r="BB748" s="76" t="b">
        <v>0</v>
      </c>
      <c r="BC748" s="76" t="b">
        <v>0</v>
      </c>
      <c r="BD748" s="76" t="b">
        <v>0</v>
      </c>
      <c r="BE748" s="76" t="b">
        <v>0</v>
      </c>
      <c r="BF748" s="76" t="b">
        <v>0</v>
      </c>
      <c r="BG748" s="76" t="b">
        <v>0</v>
      </c>
      <c r="BH748" s="82" t="str">
        <f>HYPERLINK("https://pbs.twimg.com/profile_banners/4846281429/1459473129")</f>
        <v>https://pbs.twimg.com/profile_banners/4846281429/1459473129</v>
      </c>
      <c r="BI748" s="76"/>
      <c r="BJ748" s="76" t="s">
        <v>27595</v>
      </c>
      <c r="BK748" s="76" t="b">
        <v>0</v>
      </c>
      <c r="BL748" s="76"/>
      <c r="BM748" s="76" t="s">
        <v>66</v>
      </c>
      <c r="BN748" s="76" t="s">
        <v>27597</v>
      </c>
      <c r="BO748" s="82" t="str">
        <f>HYPERLINK("https://twitter.com/vozdaturquia")</f>
        <v>https://twitter.com/vozdaturquia</v>
      </c>
      <c r="BP748" s="2"/>
    </row>
    <row r="749" spans="1:68" x14ac:dyDescent="0.25">
      <c r="A749" s="62" t="s">
        <v>764</v>
      </c>
      <c r="B749" s="63"/>
      <c r="C749" s="63"/>
      <c r="D749" s="64"/>
      <c r="E749" s="66"/>
      <c r="F749" s="103" t="str">
        <f>HYPERLINK("https://pbs.twimg.com/profile_images/378800000187044860/c0b288dd06cba186aecdde7fda5ff855_normal.jpeg")</f>
        <v>https://pbs.twimg.com/profile_images/378800000187044860/c0b288dd06cba186aecdde7fda5ff855_normal.jpeg</v>
      </c>
      <c r="G749" s="63"/>
      <c r="H749" s="67"/>
      <c r="I749" s="68"/>
      <c r="J749" s="68"/>
      <c r="K749" s="67" t="s">
        <v>28343</v>
      </c>
      <c r="L749" s="71"/>
      <c r="M749" s="72"/>
      <c r="N749" s="72"/>
      <c r="O749" s="73"/>
      <c r="P749" s="74"/>
      <c r="Q749" s="74"/>
      <c r="R749" s="87"/>
      <c r="S749" s="87"/>
      <c r="T749" s="87"/>
      <c r="U749" s="87"/>
      <c r="V749" s="48"/>
      <c r="W749" s="48"/>
      <c r="X749" s="48"/>
      <c r="Y749" s="48"/>
      <c r="Z749" s="47"/>
      <c r="AA749" s="69">
        <v>749</v>
      </c>
      <c r="AB749" s="69"/>
      <c r="AC749" s="70"/>
      <c r="AD749" s="76" t="s">
        <v>21986</v>
      </c>
      <c r="AE749" s="81" t="s">
        <v>23471</v>
      </c>
      <c r="AF749" s="76">
        <v>184</v>
      </c>
      <c r="AG749" s="76">
        <v>146</v>
      </c>
      <c r="AH749" s="76">
        <v>5686</v>
      </c>
      <c r="AI749" s="76">
        <v>2</v>
      </c>
      <c r="AJ749" s="76">
        <v>3598</v>
      </c>
      <c r="AK749" s="76">
        <v>659</v>
      </c>
      <c r="AL749" s="76" t="b">
        <v>0</v>
      </c>
      <c r="AM749" s="78">
        <v>41480.696458333332</v>
      </c>
      <c r="AN749" s="76" t="s">
        <v>14389</v>
      </c>
      <c r="AO749" s="76" t="s">
        <v>25382</v>
      </c>
      <c r="AP749" s="76"/>
      <c r="AQ749" s="76"/>
      <c r="AR749" s="76"/>
      <c r="AS749" s="76"/>
      <c r="AT749" s="76"/>
      <c r="AU749" s="76"/>
      <c r="AV749" s="76">
        <v>1.4527905678474701E+18</v>
      </c>
      <c r="AW749" s="76"/>
      <c r="AX749" s="76" t="b">
        <v>0</v>
      </c>
      <c r="AY749" s="76"/>
      <c r="AZ749" s="76"/>
      <c r="BA749" s="76" t="b">
        <v>0</v>
      </c>
      <c r="BB749" s="76" t="b">
        <v>1</v>
      </c>
      <c r="BC749" s="76" t="b">
        <v>1</v>
      </c>
      <c r="BD749" s="76" t="b">
        <v>0</v>
      </c>
      <c r="BE749" s="76" t="b">
        <v>1</v>
      </c>
      <c r="BF749" s="76" t="b">
        <v>0</v>
      </c>
      <c r="BG749" s="76" t="b">
        <v>0</v>
      </c>
      <c r="BH749" s="82" t="str">
        <f>HYPERLINK("https://pbs.twimg.com/profile_banners/1620819319/1376496611")</f>
        <v>https://pbs.twimg.com/profile_banners/1620819319/1376496611</v>
      </c>
      <c r="BI749" s="76"/>
      <c r="BJ749" s="76" t="s">
        <v>27595</v>
      </c>
      <c r="BK749" s="76" t="b">
        <v>0</v>
      </c>
      <c r="BL749" s="76"/>
      <c r="BM749" s="76" t="s">
        <v>66</v>
      </c>
      <c r="BN749" s="76" t="s">
        <v>27597</v>
      </c>
      <c r="BO749" s="82" t="str">
        <f>HYPERLINK("https://twitter.com/gedeon_33")</f>
        <v>https://twitter.com/gedeon_33</v>
      </c>
      <c r="BP749" s="2"/>
    </row>
    <row r="750" spans="1:68" x14ac:dyDescent="0.25">
      <c r="A750" s="62" t="s">
        <v>1855</v>
      </c>
      <c r="B750" s="63"/>
      <c r="C750" s="63"/>
      <c r="D750" s="64"/>
      <c r="E750" s="66"/>
      <c r="F750" s="103" t="str">
        <f>HYPERLINK("https://pbs.twimg.com/profile_images/1670891078944268298/tZ3cWfQ9_normal.jpg")</f>
        <v>https://pbs.twimg.com/profile_images/1670891078944268298/tZ3cWfQ9_normal.jpg</v>
      </c>
      <c r="G750" s="63"/>
      <c r="H750" s="67"/>
      <c r="I750" s="68"/>
      <c r="J750" s="68"/>
      <c r="K750" s="67" t="s">
        <v>28344</v>
      </c>
      <c r="L750" s="71"/>
      <c r="M750" s="72"/>
      <c r="N750" s="72"/>
      <c r="O750" s="73"/>
      <c r="P750" s="74"/>
      <c r="Q750" s="74"/>
      <c r="R750" s="87"/>
      <c r="S750" s="87"/>
      <c r="T750" s="87"/>
      <c r="U750" s="87"/>
      <c r="V750" s="48"/>
      <c r="W750" s="48"/>
      <c r="X750" s="48"/>
      <c r="Y750" s="48"/>
      <c r="Z750" s="47"/>
      <c r="AA750" s="69">
        <v>750</v>
      </c>
      <c r="AB750" s="69"/>
      <c r="AC750" s="70"/>
      <c r="AD750" s="76" t="s">
        <v>21987</v>
      </c>
      <c r="AE750" s="81" t="s">
        <v>23472</v>
      </c>
      <c r="AF750" s="76">
        <v>75425</v>
      </c>
      <c r="AG750" s="76">
        <v>797</v>
      </c>
      <c r="AH750" s="76">
        <v>62259</v>
      </c>
      <c r="AI750" s="76">
        <v>91</v>
      </c>
      <c r="AJ750" s="76">
        <v>30678</v>
      </c>
      <c r="AK750" s="76">
        <v>4547</v>
      </c>
      <c r="AL750" s="76" t="b">
        <v>0</v>
      </c>
      <c r="AM750" s="78">
        <v>43676.06145833333</v>
      </c>
      <c r="AN750" s="76" t="s">
        <v>14389</v>
      </c>
      <c r="AO750" s="76" t="s">
        <v>25383</v>
      </c>
      <c r="AP750" s="82" t="str">
        <f>HYPERLINK("https://t.co/SW7NLyNlBX")</f>
        <v>https://t.co/SW7NLyNlBX</v>
      </c>
      <c r="AQ750" s="82" t="str">
        <f>HYPERLINK("http://www.revolucionciudadana.com.ec")</f>
        <v>http://www.revolucionciudadana.com.ec</v>
      </c>
      <c r="AR750" s="76" t="s">
        <v>26766</v>
      </c>
      <c r="AS750" s="76"/>
      <c r="AT750" s="76"/>
      <c r="AU750" s="76"/>
      <c r="AV750" s="76">
        <v>1.7071229417654999E+18</v>
      </c>
      <c r="AW750" s="82" t="str">
        <f>HYPERLINK("https://t.co/SW7NLyNlBX")</f>
        <v>https://t.co/SW7NLyNlBX</v>
      </c>
      <c r="AX750" s="76" t="b">
        <v>0</v>
      </c>
      <c r="AY750" s="76"/>
      <c r="AZ750" s="76"/>
      <c r="BA750" s="76" t="b">
        <v>1</v>
      </c>
      <c r="BB750" s="76" t="b">
        <v>1</v>
      </c>
      <c r="BC750" s="76" t="b">
        <v>1</v>
      </c>
      <c r="BD750" s="76" t="b">
        <v>0</v>
      </c>
      <c r="BE750" s="76" t="b">
        <v>1</v>
      </c>
      <c r="BF750" s="76" t="b">
        <v>0</v>
      </c>
      <c r="BG750" s="76" t="b">
        <v>0</v>
      </c>
      <c r="BH750" s="82" t="str">
        <f>HYPERLINK("https://pbs.twimg.com/profile_banners/1156013664681353217/1687206463")</f>
        <v>https://pbs.twimg.com/profile_banners/1156013664681353217/1687206463</v>
      </c>
      <c r="BI750" s="76"/>
      <c r="BJ750" s="76" t="s">
        <v>27595</v>
      </c>
      <c r="BK750" s="76" t="b">
        <v>0</v>
      </c>
      <c r="BL750" s="76"/>
      <c r="BM750" s="76" t="s">
        <v>65</v>
      </c>
      <c r="BN750" s="76" t="s">
        <v>27597</v>
      </c>
      <c r="BO750" s="82" t="str">
        <f>HYPERLINK("https://twitter.com/rc5oficial")</f>
        <v>https://twitter.com/rc5oficial</v>
      </c>
      <c r="BP750" s="2"/>
    </row>
    <row r="751" spans="1:68" x14ac:dyDescent="0.25">
      <c r="A751" s="62" t="s">
        <v>1856</v>
      </c>
      <c r="B751" s="63"/>
      <c r="C751" s="63"/>
      <c r="D751" s="64"/>
      <c r="E751" s="66"/>
      <c r="F751" s="103" t="str">
        <f>HYPERLINK("https://pbs.twimg.com/profile_images/1684643170691219456/MiDh3LA-_normal.jpg")</f>
        <v>https://pbs.twimg.com/profile_images/1684643170691219456/MiDh3LA-_normal.jpg</v>
      </c>
      <c r="G751" s="63"/>
      <c r="H751" s="67"/>
      <c r="I751" s="68"/>
      <c r="J751" s="68"/>
      <c r="K751" s="67" t="s">
        <v>28345</v>
      </c>
      <c r="L751" s="71"/>
      <c r="M751" s="72"/>
      <c r="N751" s="72"/>
      <c r="O751" s="73"/>
      <c r="P751" s="74"/>
      <c r="Q751" s="74"/>
      <c r="R751" s="87"/>
      <c r="S751" s="87"/>
      <c r="T751" s="87"/>
      <c r="U751" s="87"/>
      <c r="V751" s="48"/>
      <c r="W751" s="48"/>
      <c r="X751" s="48"/>
      <c r="Y751" s="48"/>
      <c r="Z751" s="47"/>
      <c r="AA751" s="69">
        <v>751</v>
      </c>
      <c r="AB751" s="69"/>
      <c r="AC751" s="70"/>
      <c r="AD751" s="76" t="s">
        <v>21988</v>
      </c>
      <c r="AE751" s="81" t="s">
        <v>20272</v>
      </c>
      <c r="AF751" s="76">
        <v>166601</v>
      </c>
      <c r="AG751" s="76">
        <v>3172</v>
      </c>
      <c r="AH751" s="76">
        <v>20937</v>
      </c>
      <c r="AI751" s="76">
        <v>309</v>
      </c>
      <c r="AJ751" s="76">
        <v>6213</v>
      </c>
      <c r="AK751" s="76">
        <v>988</v>
      </c>
      <c r="AL751" s="76" t="b">
        <v>0</v>
      </c>
      <c r="AM751" s="78">
        <v>40551.940081018518</v>
      </c>
      <c r="AN751" s="76" t="s">
        <v>24359</v>
      </c>
      <c r="AO751" s="76" t="s">
        <v>25384</v>
      </c>
      <c r="AP751" s="82" t="str">
        <f>HYPERLINK("https://t.co/XaCHhacFJc")</f>
        <v>https://t.co/XaCHhacFJc</v>
      </c>
      <c r="AQ751" s="82" t="str">
        <f>HYPERLINK("https://bit.ly/3uUEe3f")</f>
        <v>https://bit.ly/3uUEe3f</v>
      </c>
      <c r="AR751" s="76" t="s">
        <v>26767</v>
      </c>
      <c r="AS751" s="76"/>
      <c r="AT751" s="76"/>
      <c r="AU751" s="76"/>
      <c r="AV751" s="76"/>
      <c r="AW751" s="82" t="str">
        <f>HYPERLINK("https://t.co/XaCHhacFJc")</f>
        <v>https://t.co/XaCHhacFJc</v>
      </c>
      <c r="AX751" s="76" t="b">
        <v>1</v>
      </c>
      <c r="AY751" s="76"/>
      <c r="AZ751" s="76"/>
      <c r="BA751" s="76" t="b">
        <v>0</v>
      </c>
      <c r="BB751" s="76" t="b">
        <v>0</v>
      </c>
      <c r="BC751" s="76" t="b">
        <v>0</v>
      </c>
      <c r="BD751" s="76" t="b">
        <v>0</v>
      </c>
      <c r="BE751" s="76" t="b">
        <v>1</v>
      </c>
      <c r="BF751" s="76" t="b">
        <v>0</v>
      </c>
      <c r="BG751" s="76" t="b">
        <v>0</v>
      </c>
      <c r="BH751" s="82" t="str">
        <f>HYPERLINK("https://pbs.twimg.com/profile_banners/235712666/1657424232")</f>
        <v>https://pbs.twimg.com/profile_banners/235712666/1657424232</v>
      </c>
      <c r="BI751" s="76"/>
      <c r="BJ751" s="76" t="s">
        <v>27595</v>
      </c>
      <c r="BK751" s="76" t="b">
        <v>0</v>
      </c>
      <c r="BL751" s="76"/>
      <c r="BM751" s="76" t="s">
        <v>65</v>
      </c>
      <c r="BN751" s="76" t="s">
        <v>27597</v>
      </c>
      <c r="BO751" s="82" t="str">
        <f>HYPERLINK("https://twitter.com/ecuarauz")</f>
        <v>https://twitter.com/ecuarauz</v>
      </c>
      <c r="BP751" s="2"/>
    </row>
    <row r="752" spans="1:68" x14ac:dyDescent="0.25">
      <c r="A752" s="62" t="s">
        <v>765</v>
      </c>
      <c r="B752" s="63"/>
      <c r="C752" s="63"/>
      <c r="D752" s="64"/>
      <c r="E752" s="66"/>
      <c r="F752" s="103" t="str">
        <f>HYPERLINK("https://pbs.twimg.com/profile_images/1594241223690272777/nNrpF1Uo_normal.jpg")</f>
        <v>https://pbs.twimg.com/profile_images/1594241223690272777/nNrpF1Uo_normal.jpg</v>
      </c>
      <c r="G752" s="63"/>
      <c r="H752" s="67"/>
      <c r="I752" s="68"/>
      <c r="J752" s="68"/>
      <c r="K752" s="67" t="s">
        <v>28346</v>
      </c>
      <c r="L752" s="71"/>
      <c r="M752" s="72"/>
      <c r="N752" s="72"/>
      <c r="O752" s="73"/>
      <c r="P752" s="74"/>
      <c r="Q752" s="74"/>
      <c r="R752" s="87"/>
      <c r="S752" s="87"/>
      <c r="T752" s="87"/>
      <c r="U752" s="87"/>
      <c r="V752" s="48"/>
      <c r="W752" s="48"/>
      <c r="X752" s="48"/>
      <c r="Y752" s="48"/>
      <c r="Z752" s="47"/>
      <c r="AA752" s="69">
        <v>752</v>
      </c>
      <c r="AB752" s="69"/>
      <c r="AC752" s="70"/>
      <c r="AD752" s="76" t="s">
        <v>21989</v>
      </c>
      <c r="AE752" s="81" t="s">
        <v>20751</v>
      </c>
      <c r="AF752" s="76">
        <v>1063</v>
      </c>
      <c r="AG752" s="76">
        <v>808</v>
      </c>
      <c r="AH752" s="76">
        <v>3102</v>
      </c>
      <c r="AI752" s="76">
        <v>2</v>
      </c>
      <c r="AJ752" s="76">
        <v>589</v>
      </c>
      <c r="AK752" s="76">
        <v>817</v>
      </c>
      <c r="AL752" s="76" t="b">
        <v>0</v>
      </c>
      <c r="AM752" s="78">
        <v>44076.097754629627</v>
      </c>
      <c r="AN752" s="76" t="s">
        <v>24113</v>
      </c>
      <c r="AO752" s="76" t="s">
        <v>25385</v>
      </c>
      <c r="AP752" s="76"/>
      <c r="AQ752" s="76"/>
      <c r="AR752" s="76"/>
      <c r="AS752" s="76"/>
      <c r="AT752" s="76"/>
      <c r="AU752" s="76"/>
      <c r="AV752" s="76">
        <v>1.54360823339442E+18</v>
      </c>
      <c r="AW752" s="76"/>
      <c r="AX752" s="76" t="b">
        <v>0</v>
      </c>
      <c r="AY752" s="76"/>
      <c r="AZ752" s="76"/>
      <c r="BA752" s="76" t="b">
        <v>0</v>
      </c>
      <c r="BB752" s="76" t="b">
        <v>1</v>
      </c>
      <c r="BC752" s="76" t="b">
        <v>1</v>
      </c>
      <c r="BD752" s="76" t="b">
        <v>0</v>
      </c>
      <c r="BE752" s="76" t="b">
        <v>0</v>
      </c>
      <c r="BF752" s="76" t="b">
        <v>0</v>
      </c>
      <c r="BG752" s="76" t="b">
        <v>0</v>
      </c>
      <c r="BH752" s="82" t="str">
        <f>HYPERLINK("https://pbs.twimg.com/profile_banners/1300981864392544256/1654969458")</f>
        <v>https://pbs.twimg.com/profile_banners/1300981864392544256/1654969458</v>
      </c>
      <c r="BI752" s="76"/>
      <c r="BJ752" s="76" t="s">
        <v>27595</v>
      </c>
      <c r="BK752" s="76" t="b">
        <v>0</v>
      </c>
      <c r="BL752" s="76"/>
      <c r="BM752" s="76" t="s">
        <v>66</v>
      </c>
      <c r="BN752" s="76" t="s">
        <v>27597</v>
      </c>
      <c r="BO752" s="82" t="str">
        <f>HYPERLINK("https://twitter.com/gitano99808444")</f>
        <v>https://twitter.com/gitano99808444</v>
      </c>
      <c r="BP752" s="2"/>
    </row>
    <row r="753" spans="1:68" x14ac:dyDescent="0.25">
      <c r="A753" s="62" t="s">
        <v>766</v>
      </c>
      <c r="B753" s="63"/>
      <c r="C753" s="63"/>
      <c r="D753" s="64"/>
      <c r="E753" s="66"/>
      <c r="F753" s="103" t="str">
        <f>HYPERLINK("https://pbs.twimg.com/profile_images/1681755290645983232/XYCqXxn7_normal.jpg")</f>
        <v>https://pbs.twimg.com/profile_images/1681755290645983232/XYCqXxn7_normal.jpg</v>
      </c>
      <c r="G753" s="63"/>
      <c r="H753" s="67"/>
      <c r="I753" s="68"/>
      <c r="J753" s="68"/>
      <c r="K753" s="67" t="s">
        <v>28347</v>
      </c>
      <c r="L753" s="71"/>
      <c r="M753" s="72"/>
      <c r="N753" s="72"/>
      <c r="O753" s="73"/>
      <c r="P753" s="74"/>
      <c r="Q753" s="74"/>
      <c r="R753" s="87"/>
      <c r="S753" s="87"/>
      <c r="T753" s="87"/>
      <c r="U753" s="87"/>
      <c r="V753" s="48"/>
      <c r="W753" s="48"/>
      <c r="X753" s="48"/>
      <c r="Y753" s="48"/>
      <c r="Z753" s="47"/>
      <c r="AA753" s="69">
        <v>753</v>
      </c>
      <c r="AB753" s="69"/>
      <c r="AC753" s="70"/>
      <c r="AD753" s="76" t="s">
        <v>21990</v>
      </c>
      <c r="AE753" s="81" t="s">
        <v>20752</v>
      </c>
      <c r="AF753" s="76">
        <v>41628</v>
      </c>
      <c r="AG753" s="76">
        <v>647</v>
      </c>
      <c r="AH753" s="76">
        <v>53492</v>
      </c>
      <c r="AI753" s="76">
        <v>148</v>
      </c>
      <c r="AJ753" s="76">
        <v>2519</v>
      </c>
      <c r="AK753" s="76">
        <v>12378</v>
      </c>
      <c r="AL753" s="76" t="b">
        <v>0</v>
      </c>
      <c r="AM753" s="78">
        <v>43388.67564814815</v>
      </c>
      <c r="AN753" s="76" t="s">
        <v>24360</v>
      </c>
      <c r="AO753" s="76" t="s">
        <v>25386</v>
      </c>
      <c r="AP753" s="82" t="str">
        <f>HYPERLINK("https://t.co/Pf3rCfEiw1")</f>
        <v>https://t.co/Pf3rCfEiw1</v>
      </c>
      <c r="AQ753" s="82" t="str">
        <f>HYPERLINK("https://centralfmequilibrio.com/")</f>
        <v>https://centralfmequilibrio.com/</v>
      </c>
      <c r="AR753" s="76" t="s">
        <v>26768</v>
      </c>
      <c r="AS753" s="76"/>
      <c r="AT753" s="76"/>
      <c r="AU753" s="76"/>
      <c r="AV753" s="76">
        <v>1.6864507657897999E+18</v>
      </c>
      <c r="AW753" s="82" t="str">
        <f>HYPERLINK("https://t.co/Pf3rCfEiw1")</f>
        <v>https://t.co/Pf3rCfEiw1</v>
      </c>
      <c r="AX753" s="76" t="b">
        <v>0</v>
      </c>
      <c r="AY753" s="76"/>
      <c r="AZ753" s="76"/>
      <c r="BA753" s="76" t="b">
        <v>0</v>
      </c>
      <c r="BB753" s="76" t="b">
        <v>1</v>
      </c>
      <c r="BC753" s="76" t="b">
        <v>0</v>
      </c>
      <c r="BD753" s="76" t="b">
        <v>0</v>
      </c>
      <c r="BE753" s="76" t="b">
        <v>1</v>
      </c>
      <c r="BF753" s="76" t="b">
        <v>0</v>
      </c>
      <c r="BG753" s="76" t="b">
        <v>0</v>
      </c>
      <c r="BH753" s="82" t="str">
        <f>HYPERLINK("https://pbs.twimg.com/profile_banners/1051868537692856323/1689797963")</f>
        <v>https://pbs.twimg.com/profile_banners/1051868537692856323/1689797963</v>
      </c>
      <c r="BI753" s="76"/>
      <c r="BJ753" s="76" t="s">
        <v>27595</v>
      </c>
      <c r="BK753" s="76" t="b">
        <v>0</v>
      </c>
      <c r="BL753" s="76"/>
      <c r="BM753" s="76" t="s">
        <v>66</v>
      </c>
      <c r="BN753" s="76" t="s">
        <v>27597</v>
      </c>
      <c r="BO753" s="82" t="str">
        <f>HYPERLINK("https://twitter.com/centraleq")</f>
        <v>https://twitter.com/centraleq</v>
      </c>
      <c r="BP753" s="2"/>
    </row>
    <row r="754" spans="1:68" x14ac:dyDescent="0.25">
      <c r="A754" s="62" t="s">
        <v>1857</v>
      </c>
      <c r="B754" s="63"/>
      <c r="C754" s="63"/>
      <c r="D754" s="64"/>
      <c r="E754" s="66"/>
      <c r="F754" s="103" t="str">
        <f>HYPERLINK("https://pbs.twimg.com/profile_images/1412003782192472066/-I2a8aCs_normal.jpg")</f>
        <v>https://pbs.twimg.com/profile_images/1412003782192472066/-I2a8aCs_normal.jpg</v>
      </c>
      <c r="G754" s="63"/>
      <c r="H754" s="67"/>
      <c r="I754" s="68"/>
      <c r="J754" s="68"/>
      <c r="K754" s="67" t="s">
        <v>28348</v>
      </c>
      <c r="L754" s="71"/>
      <c r="M754" s="72"/>
      <c r="N754" s="72"/>
      <c r="O754" s="73"/>
      <c r="P754" s="74"/>
      <c r="Q754" s="74"/>
      <c r="R754" s="87"/>
      <c r="S754" s="87"/>
      <c r="T754" s="87"/>
      <c r="U754" s="87"/>
      <c r="V754" s="48"/>
      <c r="W754" s="48"/>
      <c r="X754" s="48"/>
      <c r="Y754" s="48"/>
      <c r="Z754" s="47"/>
      <c r="AA754" s="69">
        <v>754</v>
      </c>
      <c r="AB754" s="69"/>
      <c r="AC754" s="70"/>
      <c r="AD754" s="76" t="s">
        <v>10582</v>
      </c>
      <c r="AE754" s="81" t="s">
        <v>23473</v>
      </c>
      <c r="AF754" s="76">
        <v>49508</v>
      </c>
      <c r="AG754" s="76">
        <v>3866</v>
      </c>
      <c r="AH754" s="76">
        <v>20560</v>
      </c>
      <c r="AI754" s="76">
        <v>764</v>
      </c>
      <c r="AJ754" s="76">
        <v>6588</v>
      </c>
      <c r="AK754" s="76">
        <v>2325</v>
      </c>
      <c r="AL754" s="76" t="b">
        <v>0</v>
      </c>
      <c r="AM754" s="78">
        <v>39997.7966087963</v>
      </c>
      <c r="AN754" s="76" t="s">
        <v>24361</v>
      </c>
      <c r="AO754" s="76" t="s">
        <v>25387</v>
      </c>
      <c r="AP754" s="82" t="str">
        <f>HYPERLINK("https://t.co/dxhtyZ6j55")</f>
        <v>https://t.co/dxhtyZ6j55</v>
      </c>
      <c r="AQ754" s="82" t="str">
        <f>HYPERLINK("https://linktr.ee/spreaker")</f>
        <v>https://linktr.ee/spreaker</v>
      </c>
      <c r="AR754" s="76" t="s">
        <v>26769</v>
      </c>
      <c r="AS754" s="76"/>
      <c r="AT754" s="76"/>
      <c r="AU754" s="76"/>
      <c r="AV754" s="76"/>
      <c r="AW754" s="82" t="str">
        <f>HYPERLINK("https://t.co/dxhtyZ6j55")</f>
        <v>https://t.co/dxhtyZ6j55</v>
      </c>
      <c r="AX754" s="76" t="b">
        <v>0</v>
      </c>
      <c r="AY754" s="76"/>
      <c r="AZ754" s="76"/>
      <c r="BA754" s="76" t="b">
        <v>0</v>
      </c>
      <c r="BB754" s="76" t="b">
        <v>1</v>
      </c>
      <c r="BC754" s="76" t="b">
        <v>0</v>
      </c>
      <c r="BD754" s="76" t="b">
        <v>0</v>
      </c>
      <c r="BE754" s="76" t="b">
        <v>0</v>
      </c>
      <c r="BF754" s="76" t="b">
        <v>0</v>
      </c>
      <c r="BG754" s="76" t="b">
        <v>0</v>
      </c>
      <c r="BH754" s="82" t="str">
        <f>HYPERLINK("https://pbs.twimg.com/profile_banners/53469538/1656604190")</f>
        <v>https://pbs.twimg.com/profile_banners/53469538/1656604190</v>
      </c>
      <c r="BI754" s="76"/>
      <c r="BJ754" s="76" t="s">
        <v>27595</v>
      </c>
      <c r="BK754" s="76" t="b">
        <v>0</v>
      </c>
      <c r="BL754" s="76"/>
      <c r="BM754" s="76" t="s">
        <v>65</v>
      </c>
      <c r="BN754" s="76" t="s">
        <v>27597</v>
      </c>
      <c r="BO754" s="82" t="str">
        <f>HYPERLINK("https://twitter.com/spreaker")</f>
        <v>https://twitter.com/spreaker</v>
      </c>
      <c r="BP754" s="2"/>
    </row>
    <row r="755" spans="1:68" x14ac:dyDescent="0.25">
      <c r="A755" s="62" t="s">
        <v>767</v>
      </c>
      <c r="B755" s="63"/>
      <c r="C755" s="63"/>
      <c r="D755" s="64"/>
      <c r="E755" s="66"/>
      <c r="F755" s="103" t="str">
        <f>HYPERLINK("https://pbs.twimg.com/profile_images/1280935979331858433/Ozq6z0Dv_normal.jpg")</f>
        <v>https://pbs.twimg.com/profile_images/1280935979331858433/Ozq6z0Dv_normal.jpg</v>
      </c>
      <c r="G755" s="63"/>
      <c r="H755" s="67"/>
      <c r="I755" s="68"/>
      <c r="J755" s="68"/>
      <c r="K755" s="67" t="s">
        <v>28349</v>
      </c>
      <c r="L755" s="71"/>
      <c r="M755" s="72"/>
      <c r="N755" s="72"/>
      <c r="O755" s="73"/>
      <c r="P755" s="74"/>
      <c r="Q755" s="74"/>
      <c r="R755" s="87"/>
      <c r="S755" s="87"/>
      <c r="T755" s="87"/>
      <c r="U755" s="87"/>
      <c r="V755" s="48"/>
      <c r="W755" s="48"/>
      <c r="X755" s="48"/>
      <c r="Y755" s="48"/>
      <c r="Z755" s="47"/>
      <c r="AA755" s="69">
        <v>755</v>
      </c>
      <c r="AB755" s="69"/>
      <c r="AC755" s="70"/>
      <c r="AD755" s="76" t="s">
        <v>21991</v>
      </c>
      <c r="AE755" s="81" t="s">
        <v>23474</v>
      </c>
      <c r="AF755" s="76">
        <v>298</v>
      </c>
      <c r="AG755" s="76">
        <v>365</v>
      </c>
      <c r="AH755" s="76">
        <v>507</v>
      </c>
      <c r="AI755" s="76">
        <v>6</v>
      </c>
      <c r="AJ755" s="76">
        <v>100</v>
      </c>
      <c r="AK755" s="76">
        <v>12</v>
      </c>
      <c r="AL755" s="76" t="b">
        <v>0</v>
      </c>
      <c r="AM755" s="78">
        <v>40366.758055555554</v>
      </c>
      <c r="AN755" s="76" t="s">
        <v>24076</v>
      </c>
      <c r="AO755" s="76" t="s">
        <v>25388</v>
      </c>
      <c r="AP755" s="76"/>
      <c r="AQ755" s="76"/>
      <c r="AR755" s="76"/>
      <c r="AS755" s="76"/>
      <c r="AT755" s="76"/>
      <c r="AU755" s="76"/>
      <c r="AV755" s="76">
        <v>1.65702172594142E+18</v>
      </c>
      <c r="AW755" s="76"/>
      <c r="AX755" s="76" t="b">
        <v>0</v>
      </c>
      <c r="AY755" s="76"/>
      <c r="AZ755" s="76"/>
      <c r="BA755" s="76" t="b">
        <v>0</v>
      </c>
      <c r="BB755" s="76" t="b">
        <v>1</v>
      </c>
      <c r="BC755" s="76" t="b">
        <v>0</v>
      </c>
      <c r="BD755" s="76" t="b">
        <v>0</v>
      </c>
      <c r="BE755" s="76" t="b">
        <v>0</v>
      </c>
      <c r="BF755" s="76" t="b">
        <v>0</v>
      </c>
      <c r="BG755" s="76" t="b">
        <v>0</v>
      </c>
      <c r="BH755" s="82" t="str">
        <f>HYPERLINK("https://pbs.twimg.com/profile_banners/163963180/1584644355")</f>
        <v>https://pbs.twimg.com/profile_banners/163963180/1584644355</v>
      </c>
      <c r="BI755" s="76"/>
      <c r="BJ755" s="76" t="s">
        <v>27595</v>
      </c>
      <c r="BK755" s="76" t="b">
        <v>0</v>
      </c>
      <c r="BL755" s="76"/>
      <c r="BM755" s="76" t="s">
        <v>66</v>
      </c>
      <c r="BN755" s="76" t="s">
        <v>27597</v>
      </c>
      <c r="BO755" s="82" t="str">
        <f>HYPERLINK("https://twitter.com/miriamacunar")</f>
        <v>https://twitter.com/miriamacunar</v>
      </c>
      <c r="BP755" s="2"/>
    </row>
    <row r="756" spans="1:68" x14ac:dyDescent="0.25">
      <c r="A756" s="62" t="s">
        <v>768</v>
      </c>
      <c r="B756" s="63"/>
      <c r="C756" s="63"/>
      <c r="D756" s="64"/>
      <c r="E756" s="66"/>
      <c r="F756" s="103" t="str">
        <f>HYPERLINK("https://pbs.twimg.com/profile_images/1687813043952975873/JbYc6nAt_normal.jpg")</f>
        <v>https://pbs.twimg.com/profile_images/1687813043952975873/JbYc6nAt_normal.jpg</v>
      </c>
      <c r="G756" s="63"/>
      <c r="H756" s="67"/>
      <c r="I756" s="68"/>
      <c r="J756" s="68"/>
      <c r="K756" s="67" t="s">
        <v>28350</v>
      </c>
      <c r="L756" s="71"/>
      <c r="M756" s="72"/>
      <c r="N756" s="72"/>
      <c r="O756" s="73"/>
      <c r="P756" s="74"/>
      <c r="Q756" s="74"/>
      <c r="R756" s="87"/>
      <c r="S756" s="87"/>
      <c r="T756" s="87"/>
      <c r="U756" s="87"/>
      <c r="V756" s="48"/>
      <c r="W756" s="48"/>
      <c r="X756" s="48"/>
      <c r="Y756" s="48"/>
      <c r="Z756" s="47"/>
      <c r="AA756" s="69">
        <v>756</v>
      </c>
      <c r="AB756" s="69"/>
      <c r="AC756" s="70"/>
      <c r="AD756" s="76" t="s">
        <v>21992</v>
      </c>
      <c r="AE756" s="81" t="s">
        <v>20753</v>
      </c>
      <c r="AF756" s="76">
        <v>2</v>
      </c>
      <c r="AG756" s="76">
        <v>65</v>
      </c>
      <c r="AH756" s="76">
        <v>361</v>
      </c>
      <c r="AI756" s="76">
        <v>0</v>
      </c>
      <c r="AJ756" s="76">
        <v>0</v>
      </c>
      <c r="AK756" s="76">
        <v>357</v>
      </c>
      <c r="AL756" s="76" t="b">
        <v>0</v>
      </c>
      <c r="AM756" s="78">
        <v>45143.54115740741</v>
      </c>
      <c r="AN756" s="76" t="s">
        <v>24362</v>
      </c>
      <c r="AO756" s="76" t="s">
        <v>25389</v>
      </c>
      <c r="AP756" s="82" t="str">
        <f>HYPERLINK("https://t.co/E4JVwMo8nW")</f>
        <v>https://t.co/E4JVwMo8nW</v>
      </c>
      <c r="AQ756" s="82" t="str">
        <f>HYPERLINK("https://jornaldiadia.com.br")</f>
        <v>https://jornaldiadia.com.br</v>
      </c>
      <c r="AR756" s="76" t="s">
        <v>26770</v>
      </c>
      <c r="AS756" s="76"/>
      <c r="AT756" s="76"/>
      <c r="AU756" s="76"/>
      <c r="AV756" s="76"/>
      <c r="AW756" s="82" t="str">
        <f>HYPERLINK("https://t.co/E4JVwMo8nW")</f>
        <v>https://t.co/E4JVwMo8nW</v>
      </c>
      <c r="AX756" s="76" t="b">
        <v>0</v>
      </c>
      <c r="AY756" s="76"/>
      <c r="AZ756" s="76"/>
      <c r="BA756" s="76" t="b">
        <v>0</v>
      </c>
      <c r="BB756" s="76" t="b">
        <v>1</v>
      </c>
      <c r="BC756" s="76" t="b">
        <v>1</v>
      </c>
      <c r="BD756" s="76" t="b">
        <v>0</v>
      </c>
      <c r="BE756" s="76" t="b">
        <v>0</v>
      </c>
      <c r="BF756" s="76" t="b">
        <v>0</v>
      </c>
      <c r="BG756" s="76" t="b">
        <v>0</v>
      </c>
      <c r="BH756" s="82" t="str">
        <f>HYPERLINK("https://pbs.twimg.com/profile_banners/1687810441030881281/1691266350")</f>
        <v>https://pbs.twimg.com/profile_banners/1687810441030881281/1691266350</v>
      </c>
      <c r="BI756" s="76"/>
      <c r="BJ756" s="76" t="s">
        <v>27595</v>
      </c>
      <c r="BK756" s="76" t="b">
        <v>0</v>
      </c>
      <c r="BL756" s="76"/>
      <c r="BM756" s="76" t="s">
        <v>66</v>
      </c>
      <c r="BN756" s="76" t="s">
        <v>27597</v>
      </c>
      <c r="BO756" s="82" t="str">
        <f>HYPERLINK("https://twitter.com/jornaldiadiams")</f>
        <v>https://twitter.com/jornaldiadiams</v>
      </c>
      <c r="BP756" s="2"/>
    </row>
    <row r="757" spans="1:68" x14ac:dyDescent="0.25">
      <c r="A757" s="62" t="s">
        <v>769</v>
      </c>
      <c r="B757" s="63"/>
      <c r="C757" s="63"/>
      <c r="D757" s="64"/>
      <c r="E757" s="66"/>
      <c r="F757" s="103" t="str">
        <f>HYPERLINK("https://pbs.twimg.com/profile_images/1347439829542428677/qcnooOPn_normal.jpg")</f>
        <v>https://pbs.twimg.com/profile_images/1347439829542428677/qcnooOPn_normal.jpg</v>
      </c>
      <c r="G757" s="63"/>
      <c r="H757" s="67"/>
      <c r="I757" s="68"/>
      <c r="J757" s="68"/>
      <c r="K757" s="67" t="s">
        <v>28351</v>
      </c>
      <c r="L757" s="71"/>
      <c r="M757" s="72"/>
      <c r="N757" s="72"/>
      <c r="O757" s="73"/>
      <c r="P757" s="74"/>
      <c r="Q757" s="74"/>
      <c r="R757" s="87"/>
      <c r="S757" s="87"/>
      <c r="T757" s="87"/>
      <c r="U757" s="87"/>
      <c r="V757" s="48"/>
      <c r="W757" s="48"/>
      <c r="X757" s="48"/>
      <c r="Y757" s="48"/>
      <c r="Z757" s="47"/>
      <c r="AA757" s="69">
        <v>757</v>
      </c>
      <c r="AB757" s="69"/>
      <c r="AC757" s="70"/>
      <c r="AD757" s="76" t="s">
        <v>21993</v>
      </c>
      <c r="AE757" s="81" t="s">
        <v>20754</v>
      </c>
      <c r="AF757" s="76">
        <v>923</v>
      </c>
      <c r="AG757" s="76">
        <v>123</v>
      </c>
      <c r="AH757" s="76">
        <v>14718</v>
      </c>
      <c r="AI757" s="76">
        <v>4</v>
      </c>
      <c r="AJ757" s="76">
        <v>26247</v>
      </c>
      <c r="AK757" s="76">
        <v>2343</v>
      </c>
      <c r="AL757" s="76" t="b">
        <v>0</v>
      </c>
      <c r="AM757" s="78">
        <v>44204.296909722223</v>
      </c>
      <c r="AN757" s="76" t="s">
        <v>24363</v>
      </c>
      <c r="AO757" s="76" t="s">
        <v>25390</v>
      </c>
      <c r="AP757" s="82" t="str">
        <f>HYPERLINK("https://t.co/raizgvWBDd")</f>
        <v>https://t.co/raizgvWBDd</v>
      </c>
      <c r="AQ757" s="82" t="str">
        <f>HYPERLINK("http://es.azvision.az")</f>
        <v>http://es.azvision.az</v>
      </c>
      <c r="AR757" s="76" t="s">
        <v>26617</v>
      </c>
      <c r="AS757" s="82" t="str">
        <f>HYPERLINK("https://t.co/uOqq5FmVTR")</f>
        <v>https://t.co/uOqq5FmVTR</v>
      </c>
      <c r="AT757" s="82" t="str">
        <f>HYPERLINK("http://bit.ly/3bwGI1R")</f>
        <v>http://bit.ly/3bwGI1R</v>
      </c>
      <c r="AU757" s="76" t="s">
        <v>27492</v>
      </c>
      <c r="AV757" s="76">
        <v>1.65551586926963E+18</v>
      </c>
      <c r="AW757" s="82" t="str">
        <f>HYPERLINK("https://t.co/raizgvWBDd")</f>
        <v>https://t.co/raizgvWBDd</v>
      </c>
      <c r="AX757" s="76" t="b">
        <v>0</v>
      </c>
      <c r="AY757" s="76"/>
      <c r="AZ757" s="76"/>
      <c r="BA757" s="76" t="b">
        <v>1</v>
      </c>
      <c r="BB757" s="76" t="b">
        <v>1</v>
      </c>
      <c r="BC757" s="76" t="b">
        <v>1</v>
      </c>
      <c r="BD757" s="76" t="b">
        <v>0</v>
      </c>
      <c r="BE757" s="76" t="b">
        <v>0</v>
      </c>
      <c r="BF757" s="76" t="b">
        <v>0</v>
      </c>
      <c r="BG757" s="76" t="b">
        <v>0</v>
      </c>
      <c r="BH757" s="82" t="str">
        <f>HYPERLINK("https://pbs.twimg.com/profile_banners/1347439632917606400/1610090740")</f>
        <v>https://pbs.twimg.com/profile_banners/1347439632917606400/1610090740</v>
      </c>
      <c r="BI757" s="76"/>
      <c r="BJ757" s="76" t="s">
        <v>27595</v>
      </c>
      <c r="BK757" s="76" t="b">
        <v>0</v>
      </c>
      <c r="BL757" s="76"/>
      <c r="BM757" s="76" t="s">
        <v>66</v>
      </c>
      <c r="BN757" s="76" t="s">
        <v>27597</v>
      </c>
      <c r="BO757" s="82" t="str">
        <f>HYPERLINK("https://twitter.com/esazvision")</f>
        <v>https://twitter.com/esazvision</v>
      </c>
      <c r="BP757" s="2"/>
    </row>
    <row r="758" spans="1:68" x14ac:dyDescent="0.25">
      <c r="A758" s="62" t="s">
        <v>770</v>
      </c>
      <c r="B758" s="63"/>
      <c r="C758" s="63"/>
      <c r="D758" s="64"/>
      <c r="E758" s="66"/>
      <c r="F758" s="103" t="str">
        <f>HYPERLINK("https://pbs.twimg.com/profile_images/378800000569200688/6b15b2a088aab8bcd4691359b7fff4df_normal.jpeg")</f>
        <v>https://pbs.twimg.com/profile_images/378800000569200688/6b15b2a088aab8bcd4691359b7fff4df_normal.jpeg</v>
      </c>
      <c r="G758" s="63"/>
      <c r="H758" s="67"/>
      <c r="I758" s="68"/>
      <c r="J758" s="68"/>
      <c r="K758" s="67" t="s">
        <v>28352</v>
      </c>
      <c r="L758" s="71"/>
      <c r="M758" s="72"/>
      <c r="N758" s="72"/>
      <c r="O758" s="73"/>
      <c r="P758" s="74"/>
      <c r="Q758" s="74"/>
      <c r="R758" s="87"/>
      <c r="S758" s="87"/>
      <c r="T758" s="87"/>
      <c r="U758" s="87"/>
      <c r="V758" s="48"/>
      <c r="W758" s="48"/>
      <c r="X758" s="48"/>
      <c r="Y758" s="48"/>
      <c r="Z758" s="47"/>
      <c r="AA758" s="69">
        <v>758</v>
      </c>
      <c r="AB758" s="69"/>
      <c r="AC758" s="70"/>
      <c r="AD758" s="76" t="s">
        <v>21994</v>
      </c>
      <c r="AE758" s="81" t="s">
        <v>23475</v>
      </c>
      <c r="AF758" s="76">
        <v>1731</v>
      </c>
      <c r="AG758" s="76">
        <v>2818</v>
      </c>
      <c r="AH758" s="76">
        <v>56147</v>
      </c>
      <c r="AI758" s="76">
        <v>20</v>
      </c>
      <c r="AJ758" s="76">
        <v>3491</v>
      </c>
      <c r="AK758" s="76">
        <v>419</v>
      </c>
      <c r="AL758" s="76" t="b">
        <v>0</v>
      </c>
      <c r="AM758" s="78">
        <v>40185.861192129632</v>
      </c>
      <c r="AN758" s="76" t="s">
        <v>24364</v>
      </c>
      <c r="AO758" s="76"/>
      <c r="AP758" s="76"/>
      <c r="AQ758" s="76"/>
      <c r="AR758" s="76"/>
      <c r="AS758" s="76"/>
      <c r="AT758" s="76"/>
      <c r="AU758" s="76"/>
      <c r="AV758" s="76">
        <v>7.4882376733029094E+17</v>
      </c>
      <c r="AW758" s="76"/>
      <c r="AX758" s="76" t="b">
        <v>0</v>
      </c>
      <c r="AY758" s="76"/>
      <c r="AZ758" s="76"/>
      <c r="BA758" s="76" t="b">
        <v>0</v>
      </c>
      <c r="BB758" s="76" t="b">
        <v>1</v>
      </c>
      <c r="BC758" s="76" t="b">
        <v>0</v>
      </c>
      <c r="BD758" s="76" t="b">
        <v>0</v>
      </c>
      <c r="BE758" s="76" t="b">
        <v>1</v>
      </c>
      <c r="BF758" s="76" t="b">
        <v>0</v>
      </c>
      <c r="BG758" s="76" t="b">
        <v>0</v>
      </c>
      <c r="BH758" s="82" t="str">
        <f>HYPERLINK("https://pbs.twimg.com/profile_banners/102784519/1447460793")</f>
        <v>https://pbs.twimg.com/profile_banners/102784519/1447460793</v>
      </c>
      <c r="BI758" s="76"/>
      <c r="BJ758" s="76" t="s">
        <v>27595</v>
      </c>
      <c r="BK758" s="76" t="b">
        <v>0</v>
      </c>
      <c r="BL758" s="76"/>
      <c r="BM758" s="76" t="s">
        <v>66</v>
      </c>
      <c r="BN758" s="76" t="s">
        <v>27597</v>
      </c>
      <c r="BO758" s="82" t="str">
        <f>HYPERLINK("https://twitter.com/chicoreisjr")</f>
        <v>https://twitter.com/chicoreisjr</v>
      </c>
      <c r="BP758" s="2"/>
    </row>
    <row r="759" spans="1:68" x14ac:dyDescent="0.25">
      <c r="A759" s="62" t="s">
        <v>771</v>
      </c>
      <c r="B759" s="63"/>
      <c r="C759" s="63"/>
      <c r="D759" s="64"/>
      <c r="E759" s="66"/>
      <c r="F759" s="103" t="str">
        <f>HYPERLINK("https://pbs.twimg.com/profile_images/1664270324488347648/WGgRbln9_normal.jpg")</f>
        <v>https://pbs.twimg.com/profile_images/1664270324488347648/WGgRbln9_normal.jpg</v>
      </c>
      <c r="G759" s="63"/>
      <c r="H759" s="67"/>
      <c r="I759" s="68"/>
      <c r="J759" s="68"/>
      <c r="K759" s="67" t="s">
        <v>28353</v>
      </c>
      <c r="L759" s="71"/>
      <c r="M759" s="72"/>
      <c r="N759" s="72"/>
      <c r="O759" s="73"/>
      <c r="P759" s="74"/>
      <c r="Q759" s="74"/>
      <c r="R759" s="87"/>
      <c r="S759" s="87"/>
      <c r="T759" s="87"/>
      <c r="U759" s="87"/>
      <c r="V759" s="48"/>
      <c r="W759" s="48"/>
      <c r="X759" s="48"/>
      <c r="Y759" s="48"/>
      <c r="Z759" s="47"/>
      <c r="AA759" s="69">
        <v>759</v>
      </c>
      <c r="AB759" s="69"/>
      <c r="AC759" s="70"/>
      <c r="AD759" s="76" t="s">
        <v>21995</v>
      </c>
      <c r="AE759" s="81" t="s">
        <v>20755</v>
      </c>
      <c r="AF759" s="76">
        <v>54</v>
      </c>
      <c r="AG759" s="76">
        <v>314</v>
      </c>
      <c r="AH759" s="76">
        <v>7459</v>
      </c>
      <c r="AI759" s="76">
        <v>0</v>
      </c>
      <c r="AJ759" s="76">
        <v>18547</v>
      </c>
      <c r="AK759" s="76">
        <v>67</v>
      </c>
      <c r="AL759" s="76" t="b">
        <v>0</v>
      </c>
      <c r="AM759" s="78">
        <v>43281.656354166669</v>
      </c>
      <c r="AN759" s="76" t="s">
        <v>14420</v>
      </c>
      <c r="AO759" s="76" t="s">
        <v>25391</v>
      </c>
      <c r="AP759" s="76"/>
      <c r="AQ759" s="76"/>
      <c r="AR759" s="76"/>
      <c r="AS759" s="76"/>
      <c r="AT759" s="76"/>
      <c r="AU759" s="76"/>
      <c r="AV759" s="76"/>
      <c r="AW759" s="76"/>
      <c r="AX759" s="76" t="b">
        <v>0</v>
      </c>
      <c r="AY759" s="76"/>
      <c r="AZ759" s="76"/>
      <c r="BA759" s="76" t="b">
        <v>0</v>
      </c>
      <c r="BB759" s="76" t="b">
        <v>1</v>
      </c>
      <c r="BC759" s="76" t="b">
        <v>1</v>
      </c>
      <c r="BD759" s="76" t="b">
        <v>0</v>
      </c>
      <c r="BE759" s="76" t="b">
        <v>1</v>
      </c>
      <c r="BF759" s="76" t="b">
        <v>0</v>
      </c>
      <c r="BG759" s="76" t="b">
        <v>0</v>
      </c>
      <c r="BH759" s="82" t="str">
        <f>HYPERLINK("https://pbs.twimg.com/profile_banners/1013086040779886593/1530374145")</f>
        <v>https://pbs.twimg.com/profile_banners/1013086040779886593/1530374145</v>
      </c>
      <c r="BI759" s="76"/>
      <c r="BJ759" s="76" t="s">
        <v>27595</v>
      </c>
      <c r="BK759" s="76" t="b">
        <v>0</v>
      </c>
      <c r="BL759" s="76"/>
      <c r="BM759" s="76" t="s">
        <v>66</v>
      </c>
      <c r="BN759" s="76" t="s">
        <v>27597</v>
      </c>
      <c r="BO759" s="82" t="str">
        <f>HYPERLINK("https://twitter.com/conciroxana")</f>
        <v>https://twitter.com/conciroxana</v>
      </c>
      <c r="BP759" s="2"/>
    </row>
    <row r="760" spans="1:68" x14ac:dyDescent="0.25">
      <c r="A760" s="62" t="s">
        <v>1679</v>
      </c>
      <c r="B760" s="63"/>
      <c r="C760" s="63"/>
      <c r="D760" s="64"/>
      <c r="E760" s="66"/>
      <c r="F760" s="103" t="str">
        <f>HYPERLINK("https://pbs.twimg.com/profile_images/1664244097987608579/WP-sTy2n_normal.jpg")</f>
        <v>https://pbs.twimg.com/profile_images/1664244097987608579/WP-sTy2n_normal.jpg</v>
      </c>
      <c r="G760" s="63"/>
      <c r="H760" s="67"/>
      <c r="I760" s="68"/>
      <c r="J760" s="68"/>
      <c r="K760" s="67" t="s">
        <v>28354</v>
      </c>
      <c r="L760" s="71"/>
      <c r="M760" s="72"/>
      <c r="N760" s="72"/>
      <c r="O760" s="73"/>
      <c r="P760" s="74"/>
      <c r="Q760" s="74"/>
      <c r="R760" s="87"/>
      <c r="S760" s="87"/>
      <c r="T760" s="87"/>
      <c r="U760" s="87"/>
      <c r="V760" s="48"/>
      <c r="W760" s="48"/>
      <c r="X760" s="48"/>
      <c r="Y760" s="48"/>
      <c r="Z760" s="47"/>
      <c r="AA760" s="69">
        <v>760</v>
      </c>
      <c r="AB760" s="69"/>
      <c r="AC760" s="70"/>
      <c r="AD760" s="76" t="s">
        <v>21996</v>
      </c>
      <c r="AE760" s="81" t="s">
        <v>21196</v>
      </c>
      <c r="AF760" s="76">
        <v>9329</v>
      </c>
      <c r="AG760" s="76">
        <v>283</v>
      </c>
      <c r="AH760" s="76">
        <v>11964</v>
      </c>
      <c r="AI760" s="76">
        <v>32</v>
      </c>
      <c r="AJ760" s="76">
        <v>1211</v>
      </c>
      <c r="AK760" s="76">
        <v>1059</v>
      </c>
      <c r="AL760" s="76" t="b">
        <v>0</v>
      </c>
      <c r="AM760" s="78">
        <v>42877.97011574074</v>
      </c>
      <c r="AN760" s="76" t="s">
        <v>14420</v>
      </c>
      <c r="AO760" s="76" t="s">
        <v>25392</v>
      </c>
      <c r="AP760" s="82" t="str">
        <f>HYPERLINK("https://t.co/pMuVXbgHRT")</f>
        <v>https://t.co/pMuVXbgHRT</v>
      </c>
      <c r="AQ760" s="82" t="str">
        <f>HYPERLINK("http://perfil.com/cordoba")</f>
        <v>http://perfil.com/cordoba</v>
      </c>
      <c r="AR760" s="76" t="s">
        <v>26771</v>
      </c>
      <c r="AS760" s="76"/>
      <c r="AT760" s="76"/>
      <c r="AU760" s="76"/>
      <c r="AV760" s="76"/>
      <c r="AW760" s="82" t="str">
        <f>HYPERLINK("https://t.co/pMuVXbgHRT")</f>
        <v>https://t.co/pMuVXbgHRT</v>
      </c>
      <c r="AX760" s="76" t="b">
        <v>1</v>
      </c>
      <c r="AY760" s="76"/>
      <c r="AZ760" s="76"/>
      <c r="BA760" s="76" t="b">
        <v>0</v>
      </c>
      <c r="BB760" s="76" t="b">
        <v>1</v>
      </c>
      <c r="BC760" s="76" t="b">
        <v>1</v>
      </c>
      <c r="BD760" s="76" t="b">
        <v>0</v>
      </c>
      <c r="BE760" s="76" t="b">
        <v>1</v>
      </c>
      <c r="BF760" s="76" t="b">
        <v>0</v>
      </c>
      <c r="BG760" s="76" t="b">
        <v>0</v>
      </c>
      <c r="BH760" s="82" t="str">
        <f>HYPERLINK("https://pbs.twimg.com/profile_banners/866795046409994241/1685621701")</f>
        <v>https://pbs.twimg.com/profile_banners/866795046409994241/1685621701</v>
      </c>
      <c r="BI760" s="76"/>
      <c r="BJ760" s="76" t="s">
        <v>27595</v>
      </c>
      <c r="BK760" s="76" t="b">
        <v>0</v>
      </c>
      <c r="BL760" s="76"/>
      <c r="BM760" s="76" t="s">
        <v>66</v>
      </c>
      <c r="BN760" s="76" t="s">
        <v>27597</v>
      </c>
      <c r="BO760" s="82" t="str">
        <f>HYPERLINK("https://twitter.com/perfilcordoba")</f>
        <v>https://twitter.com/perfilcordoba</v>
      </c>
      <c r="BP760" s="2"/>
    </row>
    <row r="761" spans="1:68" x14ac:dyDescent="0.25">
      <c r="A761" s="62" t="s">
        <v>772</v>
      </c>
      <c r="B761" s="63"/>
      <c r="C761" s="63"/>
      <c r="D761" s="64"/>
      <c r="E761" s="66"/>
      <c r="F761" s="103" t="str">
        <f>HYPERLINK("https://pbs.twimg.com/profile_images/1637210700270432256/J688GnnM_normal.jpg")</f>
        <v>https://pbs.twimg.com/profile_images/1637210700270432256/J688GnnM_normal.jpg</v>
      </c>
      <c r="G761" s="63"/>
      <c r="H761" s="67"/>
      <c r="I761" s="68"/>
      <c r="J761" s="68"/>
      <c r="K761" s="67" t="s">
        <v>28355</v>
      </c>
      <c r="L761" s="71"/>
      <c r="M761" s="72"/>
      <c r="N761" s="72"/>
      <c r="O761" s="73"/>
      <c r="P761" s="74"/>
      <c r="Q761" s="74"/>
      <c r="R761" s="87"/>
      <c r="S761" s="87"/>
      <c r="T761" s="87"/>
      <c r="U761" s="87"/>
      <c r="V761" s="48"/>
      <c r="W761" s="48"/>
      <c r="X761" s="48"/>
      <c r="Y761" s="48"/>
      <c r="Z761" s="47"/>
      <c r="AA761" s="69">
        <v>761</v>
      </c>
      <c r="AB761" s="69"/>
      <c r="AC761" s="70"/>
      <c r="AD761" s="76" t="s">
        <v>21997</v>
      </c>
      <c r="AE761" s="81" t="s">
        <v>20756</v>
      </c>
      <c r="AF761" s="76">
        <v>11</v>
      </c>
      <c r="AG761" s="76">
        <v>128</v>
      </c>
      <c r="AH761" s="76">
        <v>286</v>
      </c>
      <c r="AI761" s="76">
        <v>0</v>
      </c>
      <c r="AJ761" s="76">
        <v>745</v>
      </c>
      <c r="AK761" s="76">
        <v>8</v>
      </c>
      <c r="AL761" s="76" t="b">
        <v>0</v>
      </c>
      <c r="AM761" s="78">
        <v>45003.911678240744</v>
      </c>
      <c r="AN761" s="76"/>
      <c r="AO761" s="76" t="s">
        <v>25393</v>
      </c>
      <c r="AP761" s="76"/>
      <c r="AQ761" s="76"/>
      <c r="AR761" s="76"/>
      <c r="AS761" s="76"/>
      <c r="AT761" s="76"/>
      <c r="AU761" s="76"/>
      <c r="AV761" s="76"/>
      <c r="AW761" s="76"/>
      <c r="AX761" s="76" t="b">
        <v>0</v>
      </c>
      <c r="AY761" s="76"/>
      <c r="AZ761" s="76"/>
      <c r="BA761" s="76" t="b">
        <v>0</v>
      </c>
      <c r="BB761" s="76" t="b">
        <v>1</v>
      </c>
      <c r="BC761" s="76" t="b">
        <v>1</v>
      </c>
      <c r="BD761" s="76" t="b">
        <v>0</v>
      </c>
      <c r="BE761" s="76" t="b">
        <v>0</v>
      </c>
      <c r="BF761" s="76" t="b">
        <v>0</v>
      </c>
      <c r="BG761" s="76" t="b">
        <v>0</v>
      </c>
      <c r="BH761" s="76"/>
      <c r="BI761" s="76"/>
      <c r="BJ761" s="76" t="s">
        <v>27595</v>
      </c>
      <c r="BK761" s="76" t="b">
        <v>0</v>
      </c>
      <c r="BL761" s="76"/>
      <c r="BM761" s="76" t="s">
        <v>66</v>
      </c>
      <c r="BN761" s="76" t="s">
        <v>27597</v>
      </c>
      <c r="BO761" s="82" t="str">
        <f>HYPERLINK("https://twitter.com/notearrobonada")</f>
        <v>https://twitter.com/notearrobonada</v>
      </c>
      <c r="BP761" s="2"/>
    </row>
    <row r="762" spans="1:68" x14ac:dyDescent="0.25">
      <c r="A762" s="62" t="s">
        <v>773</v>
      </c>
      <c r="B762" s="63"/>
      <c r="C762" s="63"/>
      <c r="D762" s="64"/>
      <c r="E762" s="66"/>
      <c r="F762" s="103" t="str">
        <f>HYPERLINK("https://pbs.twimg.com/profile_images/1638143792480935937/RRuYLYph_normal.jpg")</f>
        <v>https://pbs.twimg.com/profile_images/1638143792480935937/RRuYLYph_normal.jpg</v>
      </c>
      <c r="G762" s="63"/>
      <c r="H762" s="67"/>
      <c r="I762" s="68"/>
      <c r="J762" s="68"/>
      <c r="K762" s="67" t="s">
        <v>28356</v>
      </c>
      <c r="L762" s="71"/>
      <c r="M762" s="72"/>
      <c r="N762" s="72"/>
      <c r="O762" s="73"/>
      <c r="P762" s="74"/>
      <c r="Q762" s="74"/>
      <c r="R762" s="87"/>
      <c r="S762" s="87"/>
      <c r="T762" s="87"/>
      <c r="U762" s="87"/>
      <c r="V762" s="48"/>
      <c r="W762" s="48"/>
      <c r="X762" s="48"/>
      <c r="Y762" s="48"/>
      <c r="Z762" s="47"/>
      <c r="AA762" s="69">
        <v>762</v>
      </c>
      <c r="AB762" s="69"/>
      <c r="AC762" s="70"/>
      <c r="AD762" s="76" t="s">
        <v>21998</v>
      </c>
      <c r="AE762" s="81" t="s">
        <v>20757</v>
      </c>
      <c r="AF762" s="76">
        <v>185</v>
      </c>
      <c r="AG762" s="76">
        <v>1040</v>
      </c>
      <c r="AH762" s="76">
        <v>1333</v>
      </c>
      <c r="AI762" s="76">
        <v>0</v>
      </c>
      <c r="AJ762" s="76">
        <v>1254</v>
      </c>
      <c r="AK762" s="76">
        <v>149</v>
      </c>
      <c r="AL762" s="76" t="b">
        <v>0</v>
      </c>
      <c r="AM762" s="78">
        <v>44780.688796296294</v>
      </c>
      <c r="AN762" s="76"/>
      <c r="AO762" s="76" t="s">
        <v>25394</v>
      </c>
      <c r="AP762" s="76"/>
      <c r="AQ762" s="76"/>
      <c r="AR762" s="76"/>
      <c r="AS762" s="76"/>
      <c r="AT762" s="76"/>
      <c r="AU762" s="76"/>
      <c r="AV762" s="76"/>
      <c r="AW762" s="76"/>
      <c r="AX762" s="76" t="b">
        <v>0</v>
      </c>
      <c r="AY762" s="76"/>
      <c r="AZ762" s="76"/>
      <c r="BA762" s="76" t="b">
        <v>0</v>
      </c>
      <c r="BB762" s="76" t="b">
        <v>1</v>
      </c>
      <c r="BC762" s="76" t="b">
        <v>1</v>
      </c>
      <c r="BD762" s="76" t="b">
        <v>0</v>
      </c>
      <c r="BE762" s="76" t="b">
        <v>1</v>
      </c>
      <c r="BF762" s="76" t="b">
        <v>0</v>
      </c>
      <c r="BG762" s="76" t="b">
        <v>0</v>
      </c>
      <c r="BH762" s="82" t="str">
        <f>HYPERLINK("https://pbs.twimg.com/profile_banners/1556317089237028866/1690410430")</f>
        <v>https://pbs.twimg.com/profile_banners/1556317089237028866/1690410430</v>
      </c>
      <c r="BI762" s="76"/>
      <c r="BJ762" s="76" t="s">
        <v>27595</v>
      </c>
      <c r="BK762" s="76" t="b">
        <v>0</v>
      </c>
      <c r="BL762" s="76"/>
      <c r="BM762" s="76" t="s">
        <v>66</v>
      </c>
      <c r="BN762" s="76" t="s">
        <v>27597</v>
      </c>
      <c r="BO762" s="82" t="str">
        <f>HYPERLINK("https://twitter.com/gerardoureta")</f>
        <v>https://twitter.com/gerardoureta</v>
      </c>
      <c r="BP762" s="2"/>
    </row>
    <row r="763" spans="1:68" x14ac:dyDescent="0.25">
      <c r="A763" s="62" t="s">
        <v>774</v>
      </c>
      <c r="B763" s="63"/>
      <c r="C763" s="63"/>
      <c r="D763" s="64"/>
      <c r="E763" s="66"/>
      <c r="F763" s="103" t="str">
        <f>HYPERLINK("https://pbs.twimg.com/profile_images/1583487800917245953/rXtW8XBV_normal.jpg")</f>
        <v>https://pbs.twimg.com/profile_images/1583487800917245953/rXtW8XBV_normal.jpg</v>
      </c>
      <c r="G763" s="63"/>
      <c r="H763" s="67"/>
      <c r="I763" s="68"/>
      <c r="J763" s="68"/>
      <c r="K763" s="67" t="s">
        <v>28357</v>
      </c>
      <c r="L763" s="71"/>
      <c r="M763" s="72"/>
      <c r="N763" s="72"/>
      <c r="O763" s="73"/>
      <c r="P763" s="74"/>
      <c r="Q763" s="74"/>
      <c r="R763" s="87"/>
      <c r="S763" s="87"/>
      <c r="T763" s="87"/>
      <c r="U763" s="87"/>
      <c r="V763" s="48"/>
      <c r="W763" s="48"/>
      <c r="X763" s="48"/>
      <c r="Y763" s="48"/>
      <c r="Z763" s="47"/>
      <c r="AA763" s="69">
        <v>763</v>
      </c>
      <c r="AB763" s="69"/>
      <c r="AC763" s="70"/>
      <c r="AD763" s="76" t="s">
        <v>21999</v>
      </c>
      <c r="AE763" s="81" t="s">
        <v>23476</v>
      </c>
      <c r="AF763" s="76">
        <v>530624</v>
      </c>
      <c r="AG763" s="76">
        <v>1211</v>
      </c>
      <c r="AH763" s="76">
        <v>140957</v>
      </c>
      <c r="AI763" s="76">
        <v>2306</v>
      </c>
      <c r="AJ763" s="76">
        <v>442</v>
      </c>
      <c r="AK763" s="76">
        <v>47339</v>
      </c>
      <c r="AL763" s="76" t="b">
        <v>0</v>
      </c>
      <c r="AM763" s="78">
        <v>39840.598773148151</v>
      </c>
      <c r="AN763" s="76" t="s">
        <v>14382</v>
      </c>
      <c r="AO763" s="76" t="s">
        <v>25395</v>
      </c>
      <c r="AP763" s="82" t="str">
        <f>HYPERLINK("https://t.co/s0rijra82A")</f>
        <v>https://t.co/s0rijra82A</v>
      </c>
      <c r="AQ763" s="82" t="str">
        <f>HYPERLINK("http://www.revistaforum.com.br")</f>
        <v>http://www.revistaforum.com.br</v>
      </c>
      <c r="AR763" s="76" t="s">
        <v>26772</v>
      </c>
      <c r="AS763" s="82" t="str">
        <f>HYPERLINK("https://t.co/I9Mcgi2Snn")</f>
        <v>https://t.co/I9Mcgi2Snn</v>
      </c>
      <c r="AT763" s="82" t="str">
        <f>HYPERLINK("https://youtu.be/xixa3q0lUZ4")</f>
        <v>https://youtu.be/xixa3q0lUZ4</v>
      </c>
      <c r="AU763" s="76" t="s">
        <v>27493</v>
      </c>
      <c r="AV763" s="76">
        <v>1.70537339370354E+18</v>
      </c>
      <c r="AW763" s="82" t="str">
        <f>HYPERLINK("https://t.co/s0rijra82A")</f>
        <v>https://t.co/s0rijra82A</v>
      </c>
      <c r="AX763" s="76" t="b">
        <v>1</v>
      </c>
      <c r="AY763" s="76"/>
      <c r="AZ763" s="76"/>
      <c r="BA763" s="76" t="b">
        <v>0</v>
      </c>
      <c r="BB763" s="76" t="b">
        <v>1</v>
      </c>
      <c r="BC763" s="76" t="b">
        <v>0</v>
      </c>
      <c r="BD763" s="76" t="b">
        <v>0</v>
      </c>
      <c r="BE763" s="76" t="b">
        <v>1</v>
      </c>
      <c r="BF763" s="76" t="b">
        <v>0</v>
      </c>
      <c r="BG763" s="76" t="b">
        <v>0</v>
      </c>
      <c r="BH763" s="82" t="str">
        <f>HYPERLINK("https://pbs.twimg.com/profile_banners/19593634/1675365553")</f>
        <v>https://pbs.twimg.com/profile_banners/19593634/1675365553</v>
      </c>
      <c r="BI763" s="76"/>
      <c r="BJ763" s="76" t="s">
        <v>27595</v>
      </c>
      <c r="BK763" s="76" t="b">
        <v>0</v>
      </c>
      <c r="BL763" s="76"/>
      <c r="BM763" s="76" t="s">
        <v>66</v>
      </c>
      <c r="BN763" s="76" t="s">
        <v>27597</v>
      </c>
      <c r="BO763" s="82" t="str">
        <f>HYPERLINK("https://twitter.com/revistaforum")</f>
        <v>https://twitter.com/revistaforum</v>
      </c>
      <c r="BP763" s="2"/>
    </row>
    <row r="764" spans="1:68" x14ac:dyDescent="0.25">
      <c r="A764" s="62" t="s">
        <v>775</v>
      </c>
      <c r="B764" s="63"/>
      <c r="C764" s="63"/>
      <c r="D764" s="64"/>
      <c r="E764" s="66"/>
      <c r="F764" s="103" t="str">
        <f>HYPERLINK("https://pbs.twimg.com/profile_images/860900851002507266/f3JagG98_normal.jpg")</f>
        <v>https://pbs.twimg.com/profile_images/860900851002507266/f3JagG98_normal.jpg</v>
      </c>
      <c r="G764" s="63"/>
      <c r="H764" s="67"/>
      <c r="I764" s="68"/>
      <c r="J764" s="68"/>
      <c r="K764" s="67" t="s">
        <v>28358</v>
      </c>
      <c r="L764" s="71"/>
      <c r="M764" s="72"/>
      <c r="N764" s="72"/>
      <c r="O764" s="73"/>
      <c r="P764" s="74"/>
      <c r="Q764" s="74"/>
      <c r="R764" s="87"/>
      <c r="S764" s="87"/>
      <c r="T764" s="87"/>
      <c r="U764" s="87"/>
      <c r="V764" s="48"/>
      <c r="W764" s="48"/>
      <c r="X764" s="48"/>
      <c r="Y764" s="48"/>
      <c r="Z764" s="47"/>
      <c r="AA764" s="69">
        <v>764</v>
      </c>
      <c r="AB764" s="69"/>
      <c r="AC764" s="70"/>
      <c r="AD764" s="76" t="s">
        <v>22000</v>
      </c>
      <c r="AE764" s="81" t="s">
        <v>20758</v>
      </c>
      <c r="AF764" s="76">
        <v>351</v>
      </c>
      <c r="AG764" s="76">
        <v>1865</v>
      </c>
      <c r="AH764" s="76">
        <v>19390</v>
      </c>
      <c r="AI764" s="76">
        <v>1</v>
      </c>
      <c r="AJ764" s="76">
        <v>35434</v>
      </c>
      <c r="AK764" s="76">
        <v>960</v>
      </c>
      <c r="AL764" s="76" t="b">
        <v>0</v>
      </c>
      <c r="AM764" s="78">
        <v>42861.691192129627</v>
      </c>
      <c r="AN764" s="76" t="s">
        <v>24365</v>
      </c>
      <c r="AO764" s="76" t="s">
        <v>25396</v>
      </c>
      <c r="AP764" s="76"/>
      <c r="AQ764" s="76"/>
      <c r="AR764" s="76"/>
      <c r="AS764" s="76"/>
      <c r="AT764" s="76"/>
      <c r="AU764" s="76"/>
      <c r="AV764" s="76"/>
      <c r="AW764" s="76"/>
      <c r="AX764" s="76" t="b">
        <v>0</v>
      </c>
      <c r="AY764" s="76"/>
      <c r="AZ764" s="76"/>
      <c r="BA764" s="76" t="b">
        <v>0</v>
      </c>
      <c r="BB764" s="76" t="b">
        <v>1</v>
      </c>
      <c r="BC764" s="76" t="b">
        <v>0</v>
      </c>
      <c r="BD764" s="76" t="b">
        <v>0</v>
      </c>
      <c r="BE764" s="76" t="b">
        <v>1</v>
      </c>
      <c r="BF764" s="76" t="b">
        <v>0</v>
      </c>
      <c r="BG764" s="76" t="b">
        <v>0</v>
      </c>
      <c r="BH764" s="82" t="str">
        <f>HYPERLINK("https://pbs.twimg.com/profile_banners/860895764670763010/1602464539")</f>
        <v>https://pbs.twimg.com/profile_banners/860895764670763010/1602464539</v>
      </c>
      <c r="BI764" s="76"/>
      <c r="BJ764" s="76" t="s">
        <v>27595</v>
      </c>
      <c r="BK764" s="76" t="b">
        <v>0</v>
      </c>
      <c r="BL764" s="76"/>
      <c r="BM764" s="76" t="s">
        <v>66</v>
      </c>
      <c r="BN764" s="76" t="s">
        <v>27597</v>
      </c>
      <c r="BO764" s="82" t="str">
        <f>HYPERLINK("https://twitter.com/comodetudo")</f>
        <v>https://twitter.com/comodetudo</v>
      </c>
      <c r="BP764" s="2"/>
    </row>
    <row r="765" spans="1:68" x14ac:dyDescent="0.25">
      <c r="A765" s="62" t="s">
        <v>776</v>
      </c>
      <c r="B765" s="63"/>
      <c r="C765" s="63"/>
      <c r="D765" s="64"/>
      <c r="E765" s="66"/>
      <c r="F765" s="103" t="str">
        <f>HYPERLINK("https://pbs.twimg.com/profile_images/1686016553148456961/7DkWLskQ_normal.jpg")</f>
        <v>https://pbs.twimg.com/profile_images/1686016553148456961/7DkWLskQ_normal.jpg</v>
      </c>
      <c r="G765" s="63"/>
      <c r="H765" s="67"/>
      <c r="I765" s="68"/>
      <c r="J765" s="68"/>
      <c r="K765" s="67" t="s">
        <v>28359</v>
      </c>
      <c r="L765" s="71"/>
      <c r="M765" s="72"/>
      <c r="N765" s="72"/>
      <c r="O765" s="73"/>
      <c r="P765" s="74"/>
      <c r="Q765" s="74"/>
      <c r="R765" s="87"/>
      <c r="S765" s="87"/>
      <c r="T765" s="87"/>
      <c r="U765" s="87"/>
      <c r="V765" s="48"/>
      <c r="W765" s="48"/>
      <c r="X765" s="48"/>
      <c r="Y765" s="48"/>
      <c r="Z765" s="47"/>
      <c r="AA765" s="69">
        <v>765</v>
      </c>
      <c r="AB765" s="69"/>
      <c r="AC765" s="70"/>
      <c r="AD765" s="76" t="s">
        <v>22001</v>
      </c>
      <c r="AE765" s="81" t="s">
        <v>23477</v>
      </c>
      <c r="AF765" s="76">
        <v>404</v>
      </c>
      <c r="AG765" s="76">
        <v>601</v>
      </c>
      <c r="AH765" s="76">
        <v>11942</v>
      </c>
      <c r="AI765" s="76">
        <v>21</v>
      </c>
      <c r="AJ765" s="76">
        <v>16687</v>
      </c>
      <c r="AK765" s="76">
        <v>301</v>
      </c>
      <c r="AL765" s="76" t="b">
        <v>0</v>
      </c>
      <c r="AM765" s="78">
        <v>40636.836944444447</v>
      </c>
      <c r="AN765" s="76" t="s">
        <v>24366</v>
      </c>
      <c r="AO765" s="76" t="s">
        <v>25397</v>
      </c>
      <c r="AP765" s="82" t="str">
        <f>HYPERLINK("https://t.co/EiVdWsQ6Sp")</f>
        <v>https://t.co/EiVdWsQ6Sp</v>
      </c>
      <c r="AQ765" s="82" t="str">
        <f>HYPERLINK("http://www.ssacarnaval.com.br")</f>
        <v>http://www.ssacarnaval.com.br</v>
      </c>
      <c r="AR765" s="76" t="s">
        <v>26773</v>
      </c>
      <c r="AS765" s="76"/>
      <c r="AT765" s="76"/>
      <c r="AU765" s="76"/>
      <c r="AV765" s="76">
        <v>1.6635030072569201E+18</v>
      </c>
      <c r="AW765" s="82" t="str">
        <f>HYPERLINK("https://t.co/EiVdWsQ6Sp")</f>
        <v>https://t.co/EiVdWsQ6Sp</v>
      </c>
      <c r="AX765" s="76" t="b">
        <v>0</v>
      </c>
      <c r="AY765" s="76"/>
      <c r="AZ765" s="76"/>
      <c r="BA765" s="76" t="b">
        <v>1</v>
      </c>
      <c r="BB765" s="76" t="b">
        <v>0</v>
      </c>
      <c r="BC765" s="76" t="b">
        <v>0</v>
      </c>
      <c r="BD765" s="76" t="b">
        <v>0</v>
      </c>
      <c r="BE765" s="76" t="b">
        <v>1</v>
      </c>
      <c r="BF765" s="76" t="b">
        <v>0</v>
      </c>
      <c r="BG765" s="76" t="b">
        <v>0</v>
      </c>
      <c r="BH765" s="82" t="str">
        <f>HYPERLINK("https://pbs.twimg.com/profile_banners/276649540/1690282234")</f>
        <v>https://pbs.twimg.com/profile_banners/276649540/1690282234</v>
      </c>
      <c r="BI765" s="76"/>
      <c r="BJ765" s="76" t="s">
        <v>27595</v>
      </c>
      <c r="BK765" s="76" t="b">
        <v>0</v>
      </c>
      <c r="BL765" s="76"/>
      <c r="BM765" s="76" t="s">
        <v>66</v>
      </c>
      <c r="BN765" s="76" t="s">
        <v>27597</v>
      </c>
      <c r="BO765" s="82" t="str">
        <f>HYPERLINK("https://twitter.com/brunoalefbigode")</f>
        <v>https://twitter.com/brunoalefbigode</v>
      </c>
      <c r="BP765" s="2"/>
    </row>
    <row r="766" spans="1:68" x14ac:dyDescent="0.25">
      <c r="A766" s="62" t="s">
        <v>1858</v>
      </c>
      <c r="B766" s="63"/>
      <c r="C766" s="63"/>
      <c r="D766" s="64"/>
      <c r="E766" s="66"/>
      <c r="F766" s="103" t="str">
        <f>HYPERLINK("https://pbs.twimg.com/profile_images/1589998488888434688/LWh7bZ2W_normal.jpg")</f>
        <v>https://pbs.twimg.com/profile_images/1589998488888434688/LWh7bZ2W_normal.jpg</v>
      </c>
      <c r="G766" s="63"/>
      <c r="H766" s="67"/>
      <c r="I766" s="68"/>
      <c r="J766" s="68"/>
      <c r="K766" s="67" t="s">
        <v>28360</v>
      </c>
      <c r="L766" s="71"/>
      <c r="M766" s="72"/>
      <c r="N766" s="72"/>
      <c r="O766" s="73"/>
      <c r="P766" s="74"/>
      <c r="Q766" s="74"/>
      <c r="R766" s="87"/>
      <c r="S766" s="87"/>
      <c r="T766" s="87"/>
      <c r="U766" s="87"/>
      <c r="V766" s="48"/>
      <c r="W766" s="48"/>
      <c r="X766" s="48"/>
      <c r="Y766" s="48"/>
      <c r="Z766" s="47"/>
      <c r="AA766" s="69">
        <v>766</v>
      </c>
      <c r="AB766" s="69"/>
      <c r="AC766" s="70"/>
      <c r="AD766" s="76" t="s">
        <v>22002</v>
      </c>
      <c r="AE766" s="81" t="s">
        <v>23478</v>
      </c>
      <c r="AF766" s="76">
        <v>234755</v>
      </c>
      <c r="AG766" s="76">
        <v>1431</v>
      </c>
      <c r="AH766" s="76">
        <v>75394</v>
      </c>
      <c r="AI766" s="76">
        <v>347</v>
      </c>
      <c r="AJ766" s="76">
        <v>2426</v>
      </c>
      <c r="AK766" s="76">
        <v>19480</v>
      </c>
      <c r="AL766" s="76" t="b">
        <v>0</v>
      </c>
      <c r="AM766" s="78">
        <v>40748.638564814813</v>
      </c>
      <c r="AN766" s="76" t="s">
        <v>24367</v>
      </c>
      <c r="AO766" s="76" t="s">
        <v>25398</v>
      </c>
      <c r="AP766" s="82" t="str">
        <f>HYPERLINK("https://t.co/6po7BdqEhO")</f>
        <v>https://t.co/6po7BdqEhO</v>
      </c>
      <c r="AQ766" s="82" t="str">
        <f>HYPERLINK("http://www.proconsumidor.gob.do")</f>
        <v>http://www.proconsumidor.gob.do</v>
      </c>
      <c r="AR766" s="76" t="s">
        <v>26774</v>
      </c>
      <c r="AS766" s="76"/>
      <c r="AT766" s="76"/>
      <c r="AU766" s="76"/>
      <c r="AV766" s="76"/>
      <c r="AW766" s="82" t="str">
        <f>HYPERLINK("https://t.co/6po7BdqEhO")</f>
        <v>https://t.co/6po7BdqEhO</v>
      </c>
      <c r="AX766" s="76" t="b">
        <v>0</v>
      </c>
      <c r="AY766" s="76"/>
      <c r="AZ766" s="76"/>
      <c r="BA766" s="76" t="b">
        <v>1</v>
      </c>
      <c r="BB766" s="76" t="b">
        <v>1</v>
      </c>
      <c r="BC766" s="76" t="b">
        <v>0</v>
      </c>
      <c r="BD766" s="76" t="b">
        <v>0</v>
      </c>
      <c r="BE766" s="76" t="b">
        <v>1</v>
      </c>
      <c r="BF766" s="76" t="b">
        <v>0</v>
      </c>
      <c r="BG766" s="76" t="b">
        <v>0</v>
      </c>
      <c r="BH766" s="82" t="str">
        <f>HYPERLINK("https://pbs.twimg.com/profile_banners/341554432/1509464856")</f>
        <v>https://pbs.twimg.com/profile_banners/341554432/1509464856</v>
      </c>
      <c r="BI766" s="76"/>
      <c r="BJ766" s="76" t="s">
        <v>27595</v>
      </c>
      <c r="BK766" s="76" t="b">
        <v>0</v>
      </c>
      <c r="BL766" s="76"/>
      <c r="BM766" s="76" t="s">
        <v>65</v>
      </c>
      <c r="BN766" s="76" t="s">
        <v>27597</v>
      </c>
      <c r="BO766" s="82" t="str">
        <f>HYPERLINK("https://twitter.com/proconsumidorrd")</f>
        <v>https://twitter.com/proconsumidorrd</v>
      </c>
      <c r="BP766" s="2"/>
    </row>
    <row r="767" spans="1:68" x14ac:dyDescent="0.25">
      <c r="A767" s="62" t="s">
        <v>1859</v>
      </c>
      <c r="B767" s="63"/>
      <c r="C767" s="63"/>
      <c r="D767" s="64"/>
      <c r="E767" s="66"/>
      <c r="F767" s="103" t="str">
        <f>HYPERLINK("https://pbs.twimg.com/profile_images/1671232266998038548/akTS0GAr_normal.jpg")</f>
        <v>https://pbs.twimg.com/profile_images/1671232266998038548/akTS0GAr_normal.jpg</v>
      </c>
      <c r="G767" s="63"/>
      <c r="H767" s="67"/>
      <c r="I767" s="68"/>
      <c r="J767" s="68"/>
      <c r="K767" s="67" t="s">
        <v>28361</v>
      </c>
      <c r="L767" s="71"/>
      <c r="M767" s="72"/>
      <c r="N767" s="72"/>
      <c r="O767" s="73"/>
      <c r="P767" s="74"/>
      <c r="Q767" s="74"/>
      <c r="R767" s="87"/>
      <c r="S767" s="87"/>
      <c r="T767" s="87"/>
      <c r="U767" s="87"/>
      <c r="V767" s="48"/>
      <c r="W767" s="48"/>
      <c r="X767" s="48"/>
      <c r="Y767" s="48"/>
      <c r="Z767" s="47"/>
      <c r="AA767" s="69">
        <v>767</v>
      </c>
      <c r="AB767" s="69"/>
      <c r="AC767" s="70"/>
      <c r="AD767" s="76" t="s">
        <v>22003</v>
      </c>
      <c r="AE767" s="81" t="s">
        <v>23479</v>
      </c>
      <c r="AF767" s="76">
        <v>39748</v>
      </c>
      <c r="AG767" s="76">
        <v>113</v>
      </c>
      <c r="AH767" s="76">
        <v>4425</v>
      </c>
      <c r="AI767" s="76">
        <v>100</v>
      </c>
      <c r="AJ767" s="76">
        <v>119</v>
      </c>
      <c r="AK767" s="76">
        <v>538</v>
      </c>
      <c r="AL767" s="76" t="b">
        <v>0</v>
      </c>
      <c r="AM767" s="78">
        <v>41291.664930555555</v>
      </c>
      <c r="AN767" s="76"/>
      <c r="AO767" s="76" t="s">
        <v>25399</v>
      </c>
      <c r="AP767" s="82" t="str">
        <f>HYPERLINK("https://t.co/j7kqXQDY1g")</f>
        <v>https://t.co/j7kqXQDY1g</v>
      </c>
      <c r="AQ767" s="82" t="str">
        <f>HYPERLINK("http://www.procon.rj.gov.br")</f>
        <v>http://www.procon.rj.gov.br</v>
      </c>
      <c r="AR767" s="76" t="s">
        <v>26775</v>
      </c>
      <c r="AS767" s="76"/>
      <c r="AT767" s="76"/>
      <c r="AU767" s="76"/>
      <c r="AV767" s="76"/>
      <c r="AW767" s="82" t="str">
        <f>HYPERLINK("https://t.co/j7kqXQDY1g")</f>
        <v>https://t.co/j7kqXQDY1g</v>
      </c>
      <c r="AX767" s="76" t="b">
        <v>0</v>
      </c>
      <c r="AY767" s="76"/>
      <c r="AZ767" s="76"/>
      <c r="BA767" s="76" t="b">
        <v>0</v>
      </c>
      <c r="BB767" s="76" t="b">
        <v>1</v>
      </c>
      <c r="BC767" s="76" t="b">
        <v>0</v>
      </c>
      <c r="BD767" s="76" t="b">
        <v>0</v>
      </c>
      <c r="BE767" s="76" t="b">
        <v>0</v>
      </c>
      <c r="BF767" s="76" t="b">
        <v>0</v>
      </c>
      <c r="BG767" s="76" t="b">
        <v>0</v>
      </c>
      <c r="BH767" s="82" t="str">
        <f>HYPERLINK("https://pbs.twimg.com/profile_banners/1098533610/1548860391")</f>
        <v>https://pbs.twimg.com/profile_banners/1098533610/1548860391</v>
      </c>
      <c r="BI767" s="76"/>
      <c r="BJ767" s="76" t="s">
        <v>27595</v>
      </c>
      <c r="BK767" s="76" t="b">
        <v>0</v>
      </c>
      <c r="BL767" s="76"/>
      <c r="BM767" s="76" t="s">
        <v>65</v>
      </c>
      <c r="BN767" s="76" t="s">
        <v>27597</v>
      </c>
      <c r="BO767" s="82" t="str">
        <f>HYPERLINK("https://twitter.com/proconrj")</f>
        <v>https://twitter.com/proconrj</v>
      </c>
      <c r="BP767" s="2"/>
    </row>
    <row r="768" spans="1:68" x14ac:dyDescent="0.25">
      <c r="A768" s="62" t="s">
        <v>1860</v>
      </c>
      <c r="B768" s="63"/>
      <c r="C768" s="63"/>
      <c r="D768" s="64"/>
      <c r="E768" s="66"/>
      <c r="F768" s="103" t="str">
        <f>HYPERLINK("https://pbs.twimg.com/profile_images/1210180596124848129/XFLcR4Au_normal.jpg")</f>
        <v>https://pbs.twimg.com/profile_images/1210180596124848129/XFLcR4Au_normal.jpg</v>
      </c>
      <c r="G768" s="63"/>
      <c r="H768" s="67"/>
      <c r="I768" s="68"/>
      <c r="J768" s="68"/>
      <c r="K768" s="67" t="s">
        <v>28362</v>
      </c>
      <c r="L768" s="71"/>
      <c r="M768" s="72"/>
      <c r="N768" s="72"/>
      <c r="O768" s="73"/>
      <c r="P768" s="74"/>
      <c r="Q768" s="74"/>
      <c r="R768" s="87"/>
      <c r="S768" s="87"/>
      <c r="T768" s="87"/>
      <c r="U768" s="87"/>
      <c r="V768" s="48"/>
      <c r="W768" s="48"/>
      <c r="X768" s="48"/>
      <c r="Y768" s="48"/>
      <c r="Z768" s="47"/>
      <c r="AA768" s="69">
        <v>768</v>
      </c>
      <c r="AB768" s="69"/>
      <c r="AC768" s="70"/>
      <c r="AD768" s="76" t="s">
        <v>22004</v>
      </c>
      <c r="AE768" s="81" t="s">
        <v>23480</v>
      </c>
      <c r="AF768" s="76">
        <v>69587</v>
      </c>
      <c r="AG768" s="76">
        <v>190</v>
      </c>
      <c r="AH768" s="76">
        <v>149836</v>
      </c>
      <c r="AI768" s="76">
        <v>190</v>
      </c>
      <c r="AJ768" s="76">
        <v>2914</v>
      </c>
      <c r="AK768" s="76">
        <v>2883</v>
      </c>
      <c r="AL768" s="76" t="b">
        <v>0</v>
      </c>
      <c r="AM768" s="78">
        <v>40856.568124999998</v>
      </c>
      <c r="AN768" s="76" t="s">
        <v>14479</v>
      </c>
      <c r="AO768" s="76" t="s">
        <v>25400</v>
      </c>
      <c r="AP768" s="82" t="str">
        <f>HYPERLINK("https://t.co/Uw3yJEGsW2")</f>
        <v>https://t.co/Uw3yJEGsW2</v>
      </c>
      <c r="AQ768" s="82" t="str">
        <f>HYPERLINK("http://www.procon.sp.gov.br")</f>
        <v>http://www.procon.sp.gov.br</v>
      </c>
      <c r="AR768" s="76" t="s">
        <v>26776</v>
      </c>
      <c r="AS768" s="76" t="s">
        <v>27381</v>
      </c>
      <c r="AT768" s="76" t="s">
        <v>27420</v>
      </c>
      <c r="AU768" s="76" t="s">
        <v>27494</v>
      </c>
      <c r="AV768" s="76"/>
      <c r="AW768" s="82" t="str">
        <f>HYPERLINK("https://t.co/Uw3yJEGsW2")</f>
        <v>https://t.co/Uw3yJEGsW2</v>
      </c>
      <c r="AX768" s="76" t="b">
        <v>0</v>
      </c>
      <c r="AY768" s="76"/>
      <c r="AZ768" s="76"/>
      <c r="BA768" s="76" t="b">
        <v>1</v>
      </c>
      <c r="BB768" s="76" t="b">
        <v>0</v>
      </c>
      <c r="BC768" s="76" t="b">
        <v>0</v>
      </c>
      <c r="BD768" s="76" t="b">
        <v>0</v>
      </c>
      <c r="BE768" s="76" t="b">
        <v>1</v>
      </c>
      <c r="BF768" s="76" t="b">
        <v>0</v>
      </c>
      <c r="BG768" s="76" t="b">
        <v>0</v>
      </c>
      <c r="BH768" s="82" t="str">
        <f>HYPERLINK("https://pbs.twimg.com/profile_banners/408478004/1582817179")</f>
        <v>https://pbs.twimg.com/profile_banners/408478004/1582817179</v>
      </c>
      <c r="BI768" s="76"/>
      <c r="BJ768" s="76" t="s">
        <v>27595</v>
      </c>
      <c r="BK768" s="76" t="b">
        <v>0</v>
      </c>
      <c r="BL768" s="76"/>
      <c r="BM768" s="76" t="s">
        <v>65</v>
      </c>
      <c r="BN768" s="76" t="s">
        <v>27597</v>
      </c>
      <c r="BO768" s="82" t="str">
        <f>HYPERLINK("https://twitter.com/proconspoficial")</f>
        <v>https://twitter.com/proconspoficial</v>
      </c>
      <c r="BP768" s="2"/>
    </row>
    <row r="769" spans="1:68" x14ac:dyDescent="0.25">
      <c r="A769" s="62" t="s">
        <v>1861</v>
      </c>
      <c r="B769" s="63"/>
      <c r="C769" s="63"/>
      <c r="D769" s="64"/>
      <c r="E769" s="66"/>
      <c r="F769" s="103" t="str">
        <f>HYPERLINK("https://pbs.twimg.com/profile_images/1558119298287247365/0zM49F8D_normal.jpg")</f>
        <v>https://pbs.twimg.com/profile_images/1558119298287247365/0zM49F8D_normal.jpg</v>
      </c>
      <c r="G769" s="63"/>
      <c r="H769" s="67"/>
      <c r="I769" s="68"/>
      <c r="J769" s="68"/>
      <c r="K769" s="67" t="s">
        <v>28363</v>
      </c>
      <c r="L769" s="71"/>
      <c r="M769" s="72"/>
      <c r="N769" s="72"/>
      <c r="O769" s="73"/>
      <c r="P769" s="74"/>
      <c r="Q769" s="74"/>
      <c r="R769" s="87"/>
      <c r="S769" s="87"/>
      <c r="T769" s="87"/>
      <c r="U769" s="87"/>
      <c r="V769" s="48"/>
      <c r="W769" s="48"/>
      <c r="X769" s="48"/>
      <c r="Y769" s="48"/>
      <c r="Z769" s="47"/>
      <c r="AA769" s="69">
        <v>769</v>
      </c>
      <c r="AB769" s="69"/>
      <c r="AC769" s="70"/>
      <c r="AD769" s="76">
        <v>99</v>
      </c>
      <c r="AE769" s="81" t="s">
        <v>20275</v>
      </c>
      <c r="AF769" s="76">
        <v>112370</v>
      </c>
      <c r="AG769" s="76">
        <v>141</v>
      </c>
      <c r="AH769" s="76">
        <v>81601</v>
      </c>
      <c r="AI769" s="76">
        <v>127</v>
      </c>
      <c r="AJ769" s="76">
        <v>11383</v>
      </c>
      <c r="AK769" s="76">
        <v>6217</v>
      </c>
      <c r="AL769" s="76" t="b">
        <v>0</v>
      </c>
      <c r="AM769" s="78">
        <v>40995.827708333331</v>
      </c>
      <c r="AN769" s="76" t="s">
        <v>24368</v>
      </c>
      <c r="AO769" s="76" t="s">
        <v>25401</v>
      </c>
      <c r="AP769" s="82" t="str">
        <f>HYPERLINK("https://t.co/aGgAVVU744")</f>
        <v>https://t.co/aGgAVVU744</v>
      </c>
      <c r="AQ769" s="82" t="str">
        <f>HYPERLINK("https://99app.com/conta-com-a-99/")</f>
        <v>https://99app.com/conta-com-a-99/</v>
      </c>
      <c r="AR769" s="76" t="s">
        <v>26777</v>
      </c>
      <c r="AS769" s="76"/>
      <c r="AT769" s="76"/>
      <c r="AU769" s="76"/>
      <c r="AV769" s="76">
        <v>1.3070866635004001E+18</v>
      </c>
      <c r="AW769" s="82" t="str">
        <f>HYPERLINK("https://t.co/aGgAVVU744")</f>
        <v>https://t.co/aGgAVVU744</v>
      </c>
      <c r="AX769" s="76" t="b">
        <v>0</v>
      </c>
      <c r="AY769" s="76"/>
      <c r="AZ769" s="76"/>
      <c r="BA769" s="76" t="b">
        <v>1</v>
      </c>
      <c r="BB769" s="76" t="b">
        <v>1</v>
      </c>
      <c r="BC769" s="76" t="b">
        <v>0</v>
      </c>
      <c r="BD769" s="76" t="b">
        <v>0</v>
      </c>
      <c r="BE769" s="76" t="b">
        <v>1</v>
      </c>
      <c r="BF769" s="76" t="b">
        <v>0</v>
      </c>
      <c r="BG769" s="76" t="b">
        <v>0</v>
      </c>
      <c r="BH769" s="82" t="str">
        <f>HYPERLINK("https://pbs.twimg.com/profile_banners/538436683/1694460873")</f>
        <v>https://pbs.twimg.com/profile_banners/538436683/1694460873</v>
      </c>
      <c r="BI769" s="76"/>
      <c r="BJ769" s="76" t="s">
        <v>27595</v>
      </c>
      <c r="BK769" s="76" t="b">
        <v>0</v>
      </c>
      <c r="BL769" s="76"/>
      <c r="BM769" s="76" t="s">
        <v>65</v>
      </c>
      <c r="BN769" s="76" t="s">
        <v>27597</v>
      </c>
      <c r="BO769" s="82" t="str">
        <f>HYPERLINK("https://twitter.com/voude99")</f>
        <v>https://twitter.com/voude99</v>
      </c>
      <c r="BP769" s="2"/>
    </row>
    <row r="770" spans="1:68" x14ac:dyDescent="0.25">
      <c r="A770" s="62" t="s">
        <v>1862</v>
      </c>
      <c r="B770" s="63"/>
      <c r="C770" s="63"/>
      <c r="D770" s="64"/>
      <c r="E770" s="66"/>
      <c r="F770" s="103" t="str">
        <f>HYPERLINK("https://pbs.twimg.com/profile_images/1665420593284493312/uYPqfgDp_normal.jpg")</f>
        <v>https://pbs.twimg.com/profile_images/1665420593284493312/uYPqfgDp_normal.jpg</v>
      </c>
      <c r="G770" s="63"/>
      <c r="H770" s="67"/>
      <c r="I770" s="68"/>
      <c r="J770" s="68"/>
      <c r="K770" s="67" t="s">
        <v>28364</v>
      </c>
      <c r="L770" s="71"/>
      <c r="M770" s="72"/>
      <c r="N770" s="72"/>
      <c r="O770" s="73"/>
      <c r="P770" s="74"/>
      <c r="Q770" s="74"/>
      <c r="R770" s="87"/>
      <c r="S770" s="87"/>
      <c r="T770" s="87"/>
      <c r="U770" s="87"/>
      <c r="V770" s="48"/>
      <c r="W770" s="48"/>
      <c r="X770" s="48"/>
      <c r="Y770" s="48"/>
      <c r="Z770" s="47"/>
      <c r="AA770" s="69">
        <v>770</v>
      </c>
      <c r="AB770" s="69"/>
      <c r="AC770" s="70"/>
      <c r="AD770" s="76" t="s">
        <v>22005</v>
      </c>
      <c r="AE770" s="81" t="s">
        <v>20274</v>
      </c>
      <c r="AF770" s="76">
        <v>8</v>
      </c>
      <c r="AG770" s="76">
        <v>96</v>
      </c>
      <c r="AH770" s="76">
        <v>266</v>
      </c>
      <c r="AI770" s="76">
        <v>0</v>
      </c>
      <c r="AJ770" s="76">
        <v>1274</v>
      </c>
      <c r="AK770" s="76">
        <v>17</v>
      </c>
      <c r="AL770" s="76" t="b">
        <v>0</v>
      </c>
      <c r="AM770" s="78">
        <v>45005.764131944445</v>
      </c>
      <c r="AN770" s="76"/>
      <c r="AO770" s="76" t="s">
        <v>25402</v>
      </c>
      <c r="AP770" s="76"/>
      <c r="AQ770" s="76"/>
      <c r="AR770" s="76"/>
      <c r="AS770" s="76"/>
      <c r="AT770" s="76"/>
      <c r="AU770" s="76"/>
      <c r="AV770" s="76"/>
      <c r="AW770" s="76"/>
      <c r="AX770" s="76" t="b">
        <v>0</v>
      </c>
      <c r="AY770" s="76"/>
      <c r="AZ770" s="76"/>
      <c r="BA770" s="76" t="b">
        <v>0</v>
      </c>
      <c r="BB770" s="76" t="b">
        <v>1</v>
      </c>
      <c r="BC770" s="76" t="b">
        <v>1</v>
      </c>
      <c r="BD770" s="76" t="b">
        <v>0</v>
      </c>
      <c r="BE770" s="76" t="b">
        <v>0</v>
      </c>
      <c r="BF770" s="76" t="b">
        <v>0</v>
      </c>
      <c r="BG770" s="76" t="b">
        <v>0</v>
      </c>
      <c r="BH770" s="82" t="str">
        <f>HYPERLINK("https://pbs.twimg.com/profile_banners/1637881668533886977/1679800975")</f>
        <v>https://pbs.twimg.com/profile_banners/1637881668533886977/1679800975</v>
      </c>
      <c r="BI770" s="76"/>
      <c r="BJ770" s="76" t="s">
        <v>27595</v>
      </c>
      <c r="BK770" s="76" t="b">
        <v>0</v>
      </c>
      <c r="BL770" s="76"/>
      <c r="BM770" s="76" t="s">
        <v>65</v>
      </c>
      <c r="BN770" s="76" t="s">
        <v>27597</v>
      </c>
      <c r="BO770" s="82" t="str">
        <f>HYPERLINK("https://twitter.com/olimarcos81")</f>
        <v>https://twitter.com/olimarcos81</v>
      </c>
      <c r="BP770" s="2"/>
    </row>
    <row r="771" spans="1:68" x14ac:dyDescent="0.25">
      <c r="A771" s="62" t="s">
        <v>1863</v>
      </c>
      <c r="B771" s="63"/>
      <c r="C771" s="63"/>
      <c r="D771" s="64"/>
      <c r="E771" s="66"/>
      <c r="F771" s="103" t="str">
        <f>HYPERLINK("https://pbs.twimg.com/profile_images/1675436619216703489/3_gUygwv_normal.jpg")</f>
        <v>https://pbs.twimg.com/profile_images/1675436619216703489/3_gUygwv_normal.jpg</v>
      </c>
      <c r="G771" s="63"/>
      <c r="H771" s="67"/>
      <c r="I771" s="68"/>
      <c r="J771" s="68"/>
      <c r="K771" s="67" t="s">
        <v>28365</v>
      </c>
      <c r="L771" s="71"/>
      <c r="M771" s="72"/>
      <c r="N771" s="72"/>
      <c r="O771" s="73"/>
      <c r="P771" s="74"/>
      <c r="Q771" s="74"/>
      <c r="R771" s="87"/>
      <c r="S771" s="87"/>
      <c r="T771" s="87"/>
      <c r="U771" s="87"/>
      <c r="V771" s="48"/>
      <c r="W771" s="48"/>
      <c r="X771" s="48"/>
      <c r="Y771" s="48"/>
      <c r="Z771" s="47"/>
      <c r="AA771" s="69">
        <v>771</v>
      </c>
      <c r="AB771" s="69"/>
      <c r="AC771" s="70"/>
      <c r="AD771" s="76" t="s">
        <v>22006</v>
      </c>
      <c r="AE771" s="81" t="s">
        <v>20276</v>
      </c>
      <c r="AF771" s="76">
        <v>6270</v>
      </c>
      <c r="AG771" s="76">
        <v>4533</v>
      </c>
      <c r="AH771" s="76">
        <v>228957</v>
      </c>
      <c r="AI771" s="76">
        <v>9</v>
      </c>
      <c r="AJ771" s="76">
        <v>144959</v>
      </c>
      <c r="AK771" s="76">
        <v>2548</v>
      </c>
      <c r="AL771" s="76" t="b">
        <v>0</v>
      </c>
      <c r="AM771" s="78">
        <v>41243.863645833335</v>
      </c>
      <c r="AN771" s="76"/>
      <c r="AO771" s="76" t="s">
        <v>25403</v>
      </c>
      <c r="AP771" s="82" t="str">
        <f>HYPERLINK("https://t.co/sMWXpQOaDP")</f>
        <v>https://t.co/sMWXpQOaDP</v>
      </c>
      <c r="AQ771" s="82" t="str">
        <f>HYPERLINK("https://curiouscat.live/camren5th")</f>
        <v>https://curiouscat.live/camren5th</v>
      </c>
      <c r="AR771" s="76" t="s">
        <v>26778</v>
      </c>
      <c r="AS771" s="76"/>
      <c r="AT771" s="76"/>
      <c r="AU771" s="76"/>
      <c r="AV771" s="76">
        <v>1.6878093343553101E+18</v>
      </c>
      <c r="AW771" s="82" t="str">
        <f>HYPERLINK("https://t.co/sMWXpQOaDP")</f>
        <v>https://t.co/sMWXpQOaDP</v>
      </c>
      <c r="AX771" s="76" t="b">
        <v>0</v>
      </c>
      <c r="AY771" s="76"/>
      <c r="AZ771" s="76"/>
      <c r="BA771" s="76" t="b">
        <v>0</v>
      </c>
      <c r="BB771" s="76" t="b">
        <v>0</v>
      </c>
      <c r="BC771" s="76" t="b">
        <v>0</v>
      </c>
      <c r="BD771" s="76" t="b">
        <v>0</v>
      </c>
      <c r="BE771" s="76" t="b">
        <v>1</v>
      </c>
      <c r="BF771" s="76" t="b">
        <v>0</v>
      </c>
      <c r="BG771" s="76" t="b">
        <v>0</v>
      </c>
      <c r="BH771" s="82" t="str">
        <f>HYPERLINK("https://pbs.twimg.com/profile_banners/981189102/1688290267")</f>
        <v>https://pbs.twimg.com/profile_banners/981189102/1688290267</v>
      </c>
      <c r="BI771" s="76"/>
      <c r="BJ771" s="76" t="s">
        <v>27595</v>
      </c>
      <c r="BK771" s="76" t="b">
        <v>0</v>
      </c>
      <c r="BL771" s="76"/>
      <c r="BM771" s="76" t="s">
        <v>65</v>
      </c>
      <c r="BN771" s="76" t="s">
        <v>27597</v>
      </c>
      <c r="BO771" s="82" t="str">
        <f>HYPERLINK("https://twitter.com/camren5th")</f>
        <v>https://twitter.com/camren5th</v>
      </c>
      <c r="BP771" s="2"/>
    </row>
    <row r="772" spans="1:68" x14ac:dyDescent="0.25">
      <c r="A772" s="62" t="s">
        <v>1864</v>
      </c>
      <c r="B772" s="63"/>
      <c r="C772" s="63"/>
      <c r="D772" s="64"/>
      <c r="E772" s="66"/>
      <c r="F772" s="103" t="str">
        <f>HYPERLINK("https://pbs.twimg.com/profile_images/1590076086087450626/GldoEhrK_normal.png")</f>
        <v>https://pbs.twimg.com/profile_images/1590076086087450626/GldoEhrK_normal.png</v>
      </c>
      <c r="G772" s="63"/>
      <c r="H772" s="67"/>
      <c r="I772" s="68"/>
      <c r="J772" s="68"/>
      <c r="K772" s="67" t="s">
        <v>28366</v>
      </c>
      <c r="L772" s="71"/>
      <c r="M772" s="72"/>
      <c r="N772" s="72"/>
      <c r="O772" s="73"/>
      <c r="P772" s="74"/>
      <c r="Q772" s="74"/>
      <c r="R772" s="87"/>
      <c r="S772" s="87"/>
      <c r="T772" s="87"/>
      <c r="U772" s="87"/>
      <c r="V772" s="48"/>
      <c r="W772" s="48"/>
      <c r="X772" s="48"/>
      <c r="Y772" s="48"/>
      <c r="Z772" s="47"/>
      <c r="AA772" s="69">
        <v>772</v>
      </c>
      <c r="AB772" s="69"/>
      <c r="AC772" s="70"/>
      <c r="AD772" s="76" t="s">
        <v>22007</v>
      </c>
      <c r="AE772" s="81" t="s">
        <v>23481</v>
      </c>
      <c r="AF772" s="76">
        <v>3099</v>
      </c>
      <c r="AG772" s="76">
        <v>3</v>
      </c>
      <c r="AH772" s="76">
        <v>2931</v>
      </c>
      <c r="AI772" s="76">
        <v>5</v>
      </c>
      <c r="AJ772" s="76">
        <v>216</v>
      </c>
      <c r="AK772" s="76">
        <v>157</v>
      </c>
      <c r="AL772" s="76" t="b">
        <v>0</v>
      </c>
      <c r="AM772" s="78">
        <v>44447.861203703702</v>
      </c>
      <c r="AN772" s="76"/>
      <c r="AO772" s="76" t="s">
        <v>25404</v>
      </c>
      <c r="AP772" s="82" t="str">
        <f>HYPERLINK("https://t.co/meqksV9G81")</f>
        <v>https://t.co/meqksV9G81</v>
      </c>
      <c r="AQ772" s="82" t="str">
        <f>HYPERLINK("https://99app.com/99pay-links/")</f>
        <v>https://99app.com/99pay-links/</v>
      </c>
      <c r="AR772" s="76" t="s">
        <v>26779</v>
      </c>
      <c r="AS772" s="76"/>
      <c r="AT772" s="76"/>
      <c r="AU772" s="76"/>
      <c r="AV772" s="76"/>
      <c r="AW772" s="82" t="str">
        <f>HYPERLINK("https://t.co/meqksV9G81")</f>
        <v>https://t.co/meqksV9G81</v>
      </c>
      <c r="AX772" s="76" t="b">
        <v>0</v>
      </c>
      <c r="AY772" s="76"/>
      <c r="AZ772" s="76"/>
      <c r="BA772" s="76" t="b">
        <v>1</v>
      </c>
      <c r="BB772" s="76" t="b">
        <v>1</v>
      </c>
      <c r="BC772" s="76" t="b">
        <v>1</v>
      </c>
      <c r="BD772" s="76" t="b">
        <v>0</v>
      </c>
      <c r="BE772" s="76" t="b">
        <v>0</v>
      </c>
      <c r="BF772" s="76" t="b">
        <v>0</v>
      </c>
      <c r="BG772" s="76" t="b">
        <v>0</v>
      </c>
      <c r="BH772" s="82" t="str">
        <f>HYPERLINK("https://pbs.twimg.com/profile_banners/1435704301679267840/1694810486")</f>
        <v>https://pbs.twimg.com/profile_banners/1435704301679267840/1694810486</v>
      </c>
      <c r="BI772" s="76"/>
      <c r="BJ772" s="76" t="s">
        <v>27595</v>
      </c>
      <c r="BK772" s="76" t="b">
        <v>0</v>
      </c>
      <c r="BL772" s="76"/>
      <c r="BM772" s="76" t="s">
        <v>65</v>
      </c>
      <c r="BN772" s="76" t="s">
        <v>27597</v>
      </c>
      <c r="BO772" s="82" t="str">
        <f>HYPERLINK("https://twitter.com/99pay")</f>
        <v>https://twitter.com/99pay</v>
      </c>
      <c r="BP772" s="2"/>
    </row>
    <row r="773" spans="1:68" x14ac:dyDescent="0.25">
      <c r="A773" s="62" t="s">
        <v>1865</v>
      </c>
      <c r="B773" s="63"/>
      <c r="C773" s="63"/>
      <c r="D773" s="64"/>
      <c r="E773" s="66"/>
      <c r="F773" s="103" t="str">
        <f>HYPERLINK("https://pbs.twimg.com/profile_images/1288522080020041728/KFtUa2vA_normal.jpg")</f>
        <v>https://pbs.twimg.com/profile_images/1288522080020041728/KFtUa2vA_normal.jpg</v>
      </c>
      <c r="G773" s="63"/>
      <c r="H773" s="67"/>
      <c r="I773" s="68"/>
      <c r="J773" s="68"/>
      <c r="K773" s="67" t="s">
        <v>28367</v>
      </c>
      <c r="L773" s="71"/>
      <c r="M773" s="72"/>
      <c r="N773" s="72"/>
      <c r="O773" s="73"/>
      <c r="P773" s="74"/>
      <c r="Q773" s="74"/>
      <c r="R773" s="87"/>
      <c r="S773" s="87"/>
      <c r="T773" s="87"/>
      <c r="U773" s="87"/>
      <c r="V773" s="48"/>
      <c r="W773" s="48"/>
      <c r="X773" s="48"/>
      <c r="Y773" s="48"/>
      <c r="Z773" s="47"/>
      <c r="AA773" s="69">
        <v>773</v>
      </c>
      <c r="AB773" s="69"/>
      <c r="AC773" s="70"/>
      <c r="AD773" s="76" t="s">
        <v>22008</v>
      </c>
      <c r="AE773" s="81" t="s">
        <v>23482</v>
      </c>
      <c r="AF773" s="76">
        <v>94148</v>
      </c>
      <c r="AG773" s="76">
        <v>246</v>
      </c>
      <c r="AH773" s="76">
        <v>23746</v>
      </c>
      <c r="AI773" s="76">
        <v>357</v>
      </c>
      <c r="AJ773" s="76">
        <v>26944</v>
      </c>
      <c r="AK773" s="76">
        <v>3154</v>
      </c>
      <c r="AL773" s="76" t="b">
        <v>0</v>
      </c>
      <c r="AM773" s="78">
        <v>39983.861030092594</v>
      </c>
      <c r="AN773" s="76"/>
      <c r="AO773" s="76" t="s">
        <v>25405</v>
      </c>
      <c r="AP773" s="82" t="str">
        <f>HYPERLINK("https://t.co/2juUVnL3aC")</f>
        <v>https://t.co/2juUVnL3aC</v>
      </c>
      <c r="AQ773" s="82" t="str">
        <f>HYPERLINK("https://www.reclameaqui.com.br/")</f>
        <v>https://www.reclameaqui.com.br/</v>
      </c>
      <c r="AR773" s="76" t="s">
        <v>26780</v>
      </c>
      <c r="AS773" s="76"/>
      <c r="AT773" s="76"/>
      <c r="AU773" s="76"/>
      <c r="AV773" s="76"/>
      <c r="AW773" s="82" t="str">
        <f>HYPERLINK("https://t.co/2juUVnL3aC")</f>
        <v>https://t.co/2juUVnL3aC</v>
      </c>
      <c r="AX773" s="76" t="b">
        <v>0</v>
      </c>
      <c r="AY773" s="76"/>
      <c r="AZ773" s="76"/>
      <c r="BA773" s="76" t="b">
        <v>1</v>
      </c>
      <c r="BB773" s="76" t="b">
        <v>0</v>
      </c>
      <c r="BC773" s="76" t="b">
        <v>0</v>
      </c>
      <c r="BD773" s="76" t="b">
        <v>0</v>
      </c>
      <c r="BE773" s="76" t="b">
        <v>0</v>
      </c>
      <c r="BF773" s="76" t="b">
        <v>0</v>
      </c>
      <c r="BG773" s="76" t="b">
        <v>0</v>
      </c>
      <c r="BH773" s="82" t="str">
        <f>HYPERLINK("https://pbs.twimg.com/profile_banners/48821294/1607711961")</f>
        <v>https://pbs.twimg.com/profile_banners/48821294/1607711961</v>
      </c>
      <c r="BI773" s="76"/>
      <c r="BJ773" s="76" t="s">
        <v>27595</v>
      </c>
      <c r="BK773" s="76" t="b">
        <v>0</v>
      </c>
      <c r="BL773" s="76"/>
      <c r="BM773" s="76" t="s">
        <v>65</v>
      </c>
      <c r="BN773" s="76" t="s">
        <v>27597</v>
      </c>
      <c r="BO773" s="82" t="str">
        <f>HYPERLINK("https://twitter.com/reclameaqui")</f>
        <v>https://twitter.com/reclameaqui</v>
      </c>
      <c r="BP773" s="2"/>
    </row>
    <row r="774" spans="1:68" x14ac:dyDescent="0.25">
      <c r="A774" s="62" t="s">
        <v>1866</v>
      </c>
      <c r="B774" s="63"/>
      <c r="C774" s="63"/>
      <c r="D774" s="64"/>
      <c r="E774" s="66"/>
      <c r="F774" s="103" t="str">
        <f>HYPERLINK("https://pbs.twimg.com/profile_images/1696595564652060672/jGpAxth9_normal.jpg")</f>
        <v>https://pbs.twimg.com/profile_images/1696595564652060672/jGpAxth9_normal.jpg</v>
      </c>
      <c r="G774" s="63"/>
      <c r="H774" s="67"/>
      <c r="I774" s="68"/>
      <c r="J774" s="68"/>
      <c r="K774" s="67" t="s">
        <v>28368</v>
      </c>
      <c r="L774" s="71"/>
      <c r="M774" s="72"/>
      <c r="N774" s="72"/>
      <c r="O774" s="73"/>
      <c r="P774" s="74"/>
      <c r="Q774" s="74"/>
      <c r="R774" s="87"/>
      <c r="S774" s="87"/>
      <c r="T774" s="87"/>
      <c r="U774" s="87"/>
      <c r="V774" s="48"/>
      <c r="W774" s="48"/>
      <c r="X774" s="48"/>
      <c r="Y774" s="48"/>
      <c r="Z774" s="47"/>
      <c r="AA774" s="69">
        <v>774</v>
      </c>
      <c r="AB774" s="69"/>
      <c r="AC774" s="70"/>
      <c r="AD774" s="76" t="s">
        <v>1866</v>
      </c>
      <c r="AE774" s="81" t="s">
        <v>20277</v>
      </c>
      <c r="AF774" s="76">
        <v>211758</v>
      </c>
      <c r="AG774" s="76">
        <v>2</v>
      </c>
      <c r="AH774" s="76">
        <v>384125</v>
      </c>
      <c r="AI774" s="76">
        <v>667</v>
      </c>
      <c r="AJ774" s="76">
        <v>4436</v>
      </c>
      <c r="AK774" s="76">
        <v>2242</v>
      </c>
      <c r="AL774" s="76" t="b">
        <v>0</v>
      </c>
      <c r="AM774" s="78">
        <v>40088.573657407411</v>
      </c>
      <c r="AN774" s="76" t="s">
        <v>14382</v>
      </c>
      <c r="AO774" s="76" t="s">
        <v>25406</v>
      </c>
      <c r="AP774" s="82" t="str">
        <f>HYPERLINK("https://t.co/98FUsCeCf3")</f>
        <v>https://t.co/98FUsCeCf3</v>
      </c>
      <c r="AQ774" s="82" t="str">
        <f>HYPERLINK("http://banco.bradesco")</f>
        <v>http://banco.bradesco</v>
      </c>
      <c r="AR774" s="76" t="s">
        <v>26781</v>
      </c>
      <c r="AS774" s="76"/>
      <c r="AT774" s="76"/>
      <c r="AU774" s="76"/>
      <c r="AV774" s="76"/>
      <c r="AW774" s="82" t="str">
        <f>HYPERLINK("https://t.co/98FUsCeCf3")</f>
        <v>https://t.co/98FUsCeCf3</v>
      </c>
      <c r="AX774" s="76" t="b">
        <v>0</v>
      </c>
      <c r="AY774" s="76"/>
      <c r="AZ774" s="76"/>
      <c r="BA774" s="76" t="b">
        <v>1</v>
      </c>
      <c r="BB774" s="76" t="b">
        <v>1</v>
      </c>
      <c r="BC774" s="76" t="b">
        <v>0</v>
      </c>
      <c r="BD774" s="76" t="b">
        <v>0</v>
      </c>
      <c r="BE774" s="76" t="b">
        <v>1</v>
      </c>
      <c r="BF774" s="76" t="b">
        <v>0</v>
      </c>
      <c r="BG774" s="76" t="b">
        <v>0</v>
      </c>
      <c r="BH774" s="82" t="str">
        <f>HYPERLINK("https://pbs.twimg.com/profile_banners/79184083/1693334880")</f>
        <v>https://pbs.twimg.com/profile_banners/79184083/1693334880</v>
      </c>
      <c r="BI774" s="76"/>
      <c r="BJ774" s="76" t="s">
        <v>27595</v>
      </c>
      <c r="BK774" s="76" t="b">
        <v>0</v>
      </c>
      <c r="BL774" s="76"/>
      <c r="BM774" s="76" t="s">
        <v>65</v>
      </c>
      <c r="BN774" s="76" t="s">
        <v>27597</v>
      </c>
      <c r="BO774" s="82" t="str">
        <f>HYPERLINK("https://twitter.com/bradesco")</f>
        <v>https://twitter.com/bradesco</v>
      </c>
      <c r="BP774" s="2"/>
    </row>
    <row r="775" spans="1:68" x14ac:dyDescent="0.25">
      <c r="A775" s="62" t="s">
        <v>777</v>
      </c>
      <c r="B775" s="63"/>
      <c r="C775" s="63"/>
      <c r="D775" s="64"/>
      <c r="E775" s="66"/>
      <c r="F775" s="103" t="str">
        <f>HYPERLINK("https://pbs.twimg.com/profile_images/1593801634336985091/eHbYQ_nc_normal.jpg")</f>
        <v>https://pbs.twimg.com/profile_images/1593801634336985091/eHbYQ_nc_normal.jpg</v>
      </c>
      <c r="G775" s="63"/>
      <c r="H775" s="67"/>
      <c r="I775" s="68"/>
      <c r="J775" s="68"/>
      <c r="K775" s="67" t="s">
        <v>28369</v>
      </c>
      <c r="L775" s="71"/>
      <c r="M775" s="72"/>
      <c r="N775" s="72"/>
      <c r="O775" s="73"/>
      <c r="P775" s="74"/>
      <c r="Q775" s="74"/>
      <c r="R775" s="87"/>
      <c r="S775" s="87"/>
      <c r="T775" s="87"/>
      <c r="U775" s="87"/>
      <c r="V775" s="48"/>
      <c r="W775" s="48"/>
      <c r="X775" s="48"/>
      <c r="Y775" s="48"/>
      <c r="Z775" s="47"/>
      <c r="AA775" s="69">
        <v>775</v>
      </c>
      <c r="AB775" s="69"/>
      <c r="AC775" s="70"/>
      <c r="AD775" s="76" t="s">
        <v>22009</v>
      </c>
      <c r="AE775" s="81" t="s">
        <v>20759</v>
      </c>
      <c r="AF775" s="76">
        <v>207</v>
      </c>
      <c r="AG775" s="76">
        <v>625</v>
      </c>
      <c r="AH775" s="76">
        <v>160</v>
      </c>
      <c r="AI775" s="76">
        <v>2</v>
      </c>
      <c r="AJ775" s="76">
        <v>208</v>
      </c>
      <c r="AK775" s="76">
        <v>27</v>
      </c>
      <c r="AL775" s="76" t="b">
        <v>0</v>
      </c>
      <c r="AM775" s="78">
        <v>44868.663831018515</v>
      </c>
      <c r="AN775" s="76" t="s">
        <v>24118</v>
      </c>
      <c r="AO775" s="76" t="s">
        <v>25407</v>
      </c>
      <c r="AP775" s="76"/>
      <c r="AQ775" s="76"/>
      <c r="AR775" s="76"/>
      <c r="AS775" s="76"/>
      <c r="AT775" s="76"/>
      <c r="AU775" s="76"/>
      <c r="AV775" s="76">
        <v>1.65416198273853E+18</v>
      </c>
      <c r="AW775" s="76"/>
      <c r="AX775" s="76" t="b">
        <v>0</v>
      </c>
      <c r="AY775" s="76"/>
      <c r="AZ775" s="76"/>
      <c r="BA775" s="76" t="b">
        <v>0</v>
      </c>
      <c r="BB775" s="76" t="b">
        <v>1</v>
      </c>
      <c r="BC775" s="76" t="b">
        <v>1</v>
      </c>
      <c r="BD775" s="76" t="b">
        <v>0</v>
      </c>
      <c r="BE775" s="76" t="b">
        <v>1</v>
      </c>
      <c r="BF775" s="76" t="b">
        <v>0</v>
      </c>
      <c r="BG775" s="76" t="b">
        <v>1</v>
      </c>
      <c r="BH775" s="82" t="str">
        <f>HYPERLINK("https://pbs.twimg.com/profile_banners/1588198174396653569/1675472612")</f>
        <v>https://pbs.twimg.com/profile_banners/1588198174396653569/1675472612</v>
      </c>
      <c r="BI775" s="76"/>
      <c r="BJ775" s="76" t="s">
        <v>27595</v>
      </c>
      <c r="BK775" s="76" t="b">
        <v>0</v>
      </c>
      <c r="BL775" s="76"/>
      <c r="BM775" s="76" t="s">
        <v>66</v>
      </c>
      <c r="BN775" s="76" t="s">
        <v>27597</v>
      </c>
      <c r="BO775" s="82" t="str">
        <f>HYPERLINK("https://twitter.com/autorbrunorocha")</f>
        <v>https://twitter.com/autorbrunorocha</v>
      </c>
      <c r="BP775" s="2"/>
    </row>
    <row r="776" spans="1:68" x14ac:dyDescent="0.25">
      <c r="A776" s="62" t="s">
        <v>778</v>
      </c>
      <c r="B776" s="63"/>
      <c r="C776" s="63"/>
      <c r="D776" s="64"/>
      <c r="E776" s="66"/>
      <c r="F776" s="103" t="str">
        <f>HYPERLINK("https://pbs.twimg.com/profile_images/1664002488968654851/YTuvGDIw_normal.jpg")</f>
        <v>https://pbs.twimg.com/profile_images/1664002488968654851/YTuvGDIw_normal.jpg</v>
      </c>
      <c r="G776" s="63"/>
      <c r="H776" s="67"/>
      <c r="I776" s="68"/>
      <c r="J776" s="68"/>
      <c r="K776" s="67" t="s">
        <v>28370</v>
      </c>
      <c r="L776" s="71"/>
      <c r="M776" s="72"/>
      <c r="N776" s="72"/>
      <c r="O776" s="73"/>
      <c r="P776" s="74"/>
      <c r="Q776" s="74"/>
      <c r="R776" s="87"/>
      <c r="S776" s="87"/>
      <c r="T776" s="87"/>
      <c r="U776" s="87"/>
      <c r="V776" s="48"/>
      <c r="W776" s="48"/>
      <c r="X776" s="48"/>
      <c r="Y776" s="48"/>
      <c r="Z776" s="47"/>
      <c r="AA776" s="69">
        <v>776</v>
      </c>
      <c r="AB776" s="69"/>
      <c r="AC776" s="70"/>
      <c r="AD776" s="76" t="s">
        <v>22010</v>
      </c>
      <c r="AE776" s="81" t="s">
        <v>23483</v>
      </c>
      <c r="AF776" s="76">
        <v>1723153</v>
      </c>
      <c r="AG776" s="76">
        <v>22388</v>
      </c>
      <c r="AH776" s="76">
        <v>320216</v>
      </c>
      <c r="AI776" s="76">
        <v>2981</v>
      </c>
      <c r="AJ776" s="76">
        <v>1883</v>
      </c>
      <c r="AK776" s="76">
        <v>217624</v>
      </c>
      <c r="AL776" s="76" t="b">
        <v>0</v>
      </c>
      <c r="AM776" s="78">
        <v>39926.641342592593</v>
      </c>
      <c r="AN776" s="76" t="s">
        <v>24190</v>
      </c>
      <c r="AO776" s="76" t="s">
        <v>25408</v>
      </c>
      <c r="AP776" s="82" t="str">
        <f>HYPERLINK("https://t.co/a2s9k7C1U2")</f>
        <v>https://t.co/a2s9k7C1U2</v>
      </c>
      <c r="AQ776" s="82" t="str">
        <f>HYPERLINK("https://www.diariolibre.com/")</f>
        <v>https://www.diariolibre.com/</v>
      </c>
      <c r="AR776" s="76" t="s">
        <v>8858</v>
      </c>
      <c r="AS776" s="76"/>
      <c r="AT776" s="76"/>
      <c r="AU776" s="76"/>
      <c r="AV776" s="76">
        <v>1.70715748398098E+18</v>
      </c>
      <c r="AW776" s="82" t="str">
        <f>HYPERLINK("https://t.co/a2s9k7C1U2")</f>
        <v>https://t.co/a2s9k7C1U2</v>
      </c>
      <c r="AX776" s="76" t="b">
        <v>1</v>
      </c>
      <c r="AY776" s="76"/>
      <c r="AZ776" s="76"/>
      <c r="BA776" s="76" t="b">
        <v>1</v>
      </c>
      <c r="BB776" s="76" t="b">
        <v>1</v>
      </c>
      <c r="BC776" s="76" t="b">
        <v>1</v>
      </c>
      <c r="BD776" s="76" t="b">
        <v>0</v>
      </c>
      <c r="BE776" s="76" t="b">
        <v>0</v>
      </c>
      <c r="BF776" s="76" t="b">
        <v>0</v>
      </c>
      <c r="BG776" s="76" t="b">
        <v>0</v>
      </c>
      <c r="BH776" s="82" t="str">
        <f>HYPERLINK("https://pbs.twimg.com/profile_banners/34639484/1674828354")</f>
        <v>https://pbs.twimg.com/profile_banners/34639484/1674828354</v>
      </c>
      <c r="BI776" s="76"/>
      <c r="BJ776" s="76" t="s">
        <v>27595</v>
      </c>
      <c r="BK776" s="76" t="b">
        <v>0</v>
      </c>
      <c r="BL776" s="76"/>
      <c r="BM776" s="76" t="s">
        <v>66</v>
      </c>
      <c r="BN776" s="76" t="s">
        <v>27597</v>
      </c>
      <c r="BO776" s="82" t="str">
        <f>HYPERLINK("https://twitter.com/diariolibre")</f>
        <v>https://twitter.com/diariolibre</v>
      </c>
      <c r="BP776" s="2"/>
    </row>
    <row r="777" spans="1:68" x14ac:dyDescent="0.25">
      <c r="A777" s="62" t="s">
        <v>779</v>
      </c>
      <c r="B777" s="63"/>
      <c r="C777" s="63"/>
      <c r="D777" s="64"/>
      <c r="E777" s="66"/>
      <c r="F777" s="103" t="str">
        <f>HYPERLINK("https://pbs.twimg.com/profile_images/1570161185009319937/SG8piThY_normal.jpg")</f>
        <v>https://pbs.twimg.com/profile_images/1570161185009319937/SG8piThY_normal.jpg</v>
      </c>
      <c r="G777" s="63"/>
      <c r="H777" s="67"/>
      <c r="I777" s="68"/>
      <c r="J777" s="68"/>
      <c r="K777" s="67" t="s">
        <v>28371</v>
      </c>
      <c r="L777" s="71"/>
      <c r="M777" s="72"/>
      <c r="N777" s="72"/>
      <c r="O777" s="73"/>
      <c r="P777" s="74"/>
      <c r="Q777" s="74"/>
      <c r="R777" s="87"/>
      <c r="S777" s="87"/>
      <c r="T777" s="87"/>
      <c r="U777" s="87"/>
      <c r="V777" s="48"/>
      <c r="W777" s="48"/>
      <c r="X777" s="48"/>
      <c r="Y777" s="48"/>
      <c r="Z777" s="47"/>
      <c r="AA777" s="69">
        <v>777</v>
      </c>
      <c r="AB777" s="69"/>
      <c r="AC777" s="70"/>
      <c r="AD777" s="76" t="s">
        <v>22011</v>
      </c>
      <c r="AE777" s="81" t="s">
        <v>23484</v>
      </c>
      <c r="AF777" s="76">
        <v>75</v>
      </c>
      <c r="AG777" s="76">
        <v>233</v>
      </c>
      <c r="AH777" s="76">
        <v>1130</v>
      </c>
      <c r="AI777" s="76">
        <v>4</v>
      </c>
      <c r="AJ777" s="76">
        <v>1417</v>
      </c>
      <c r="AK777" s="76">
        <v>33</v>
      </c>
      <c r="AL777" s="76" t="b">
        <v>0</v>
      </c>
      <c r="AM777" s="78">
        <v>40436.819756944446</v>
      </c>
      <c r="AN777" s="76" t="s">
        <v>14411</v>
      </c>
      <c r="AO777" s="76" t="s">
        <v>25409</v>
      </c>
      <c r="AP777" s="82" t="str">
        <f>HYPERLINK("https://t.co/yWoivdIEll")</f>
        <v>https://t.co/yWoivdIEll</v>
      </c>
      <c r="AQ777" s="82" t="str">
        <f>HYPERLINK("https://instagram.com/elvis_eth?igshid=MjEwN2IyYWYwYw==")</f>
        <v>https://instagram.com/elvis_eth?igshid=MjEwN2IyYWYwYw==</v>
      </c>
      <c r="AR777" s="76" t="s">
        <v>26782</v>
      </c>
      <c r="AS777" s="76"/>
      <c r="AT777" s="76"/>
      <c r="AU777" s="76"/>
      <c r="AV777" s="76"/>
      <c r="AW777" s="82" t="str">
        <f>HYPERLINK("https://t.co/yWoivdIEll")</f>
        <v>https://t.co/yWoivdIEll</v>
      </c>
      <c r="AX777" s="76" t="b">
        <v>0</v>
      </c>
      <c r="AY777" s="76"/>
      <c r="AZ777" s="76"/>
      <c r="BA777" s="76" t="b">
        <v>0</v>
      </c>
      <c r="BB777" s="76" t="b">
        <v>0</v>
      </c>
      <c r="BC777" s="76" t="b">
        <v>1</v>
      </c>
      <c r="BD777" s="76" t="b">
        <v>0</v>
      </c>
      <c r="BE777" s="76" t="b">
        <v>0</v>
      </c>
      <c r="BF777" s="76" t="b">
        <v>0</v>
      </c>
      <c r="BG777" s="76" t="b">
        <v>0</v>
      </c>
      <c r="BH777" s="82" t="str">
        <f>HYPERLINK("https://pbs.twimg.com/profile_banners/191171142/1623085561")</f>
        <v>https://pbs.twimg.com/profile_banners/191171142/1623085561</v>
      </c>
      <c r="BI777" s="76"/>
      <c r="BJ777" s="76" t="s">
        <v>27595</v>
      </c>
      <c r="BK777" s="76" t="b">
        <v>0</v>
      </c>
      <c r="BL777" s="76"/>
      <c r="BM777" s="76" t="s">
        <v>66</v>
      </c>
      <c r="BN777" s="76" t="s">
        <v>27597</v>
      </c>
      <c r="BO777" s="82" t="str">
        <f>HYPERLINK("https://twitter.com/elvis_boateng")</f>
        <v>https://twitter.com/elvis_boateng</v>
      </c>
      <c r="BP777" s="2"/>
    </row>
    <row r="778" spans="1:68" x14ac:dyDescent="0.25">
      <c r="A778" s="62" t="s">
        <v>780</v>
      </c>
      <c r="B778" s="63"/>
      <c r="C778" s="63"/>
      <c r="D778" s="64"/>
      <c r="E778" s="66"/>
      <c r="F778" s="103" t="str">
        <f>HYPERLINK("https://pbs.twimg.com/profile_images/764447661328048128/Ax3zdHuv_normal.jpg")</f>
        <v>https://pbs.twimg.com/profile_images/764447661328048128/Ax3zdHuv_normal.jpg</v>
      </c>
      <c r="G778" s="63"/>
      <c r="H778" s="67"/>
      <c r="I778" s="68"/>
      <c r="J778" s="68"/>
      <c r="K778" s="67" t="s">
        <v>28372</v>
      </c>
      <c r="L778" s="71"/>
      <c r="M778" s="72"/>
      <c r="N778" s="72"/>
      <c r="O778" s="73"/>
      <c r="P778" s="74"/>
      <c r="Q778" s="74"/>
      <c r="R778" s="87"/>
      <c r="S778" s="87"/>
      <c r="T778" s="87"/>
      <c r="U778" s="87"/>
      <c r="V778" s="48"/>
      <c r="W778" s="48"/>
      <c r="X778" s="48"/>
      <c r="Y778" s="48"/>
      <c r="Z778" s="47"/>
      <c r="AA778" s="69">
        <v>778</v>
      </c>
      <c r="AB778" s="69"/>
      <c r="AC778" s="70"/>
      <c r="AD778" s="76" t="s">
        <v>22012</v>
      </c>
      <c r="AE778" s="81" t="s">
        <v>23485</v>
      </c>
      <c r="AF778" s="76">
        <v>324</v>
      </c>
      <c r="AG778" s="76">
        <v>3434</v>
      </c>
      <c r="AH778" s="76">
        <v>23643</v>
      </c>
      <c r="AI778" s="76">
        <v>14</v>
      </c>
      <c r="AJ778" s="76">
        <v>18813</v>
      </c>
      <c r="AK778" s="76">
        <v>149</v>
      </c>
      <c r="AL778" s="76" t="b">
        <v>0</v>
      </c>
      <c r="AM778" s="78">
        <v>39923.616585648146</v>
      </c>
      <c r="AN778" s="76" t="s">
        <v>24250</v>
      </c>
      <c r="AO778" s="76" t="s">
        <v>25410</v>
      </c>
      <c r="AP778" s="76"/>
      <c r="AQ778" s="76"/>
      <c r="AR778" s="76"/>
      <c r="AS778" s="76"/>
      <c r="AT778" s="76"/>
      <c r="AU778" s="76"/>
      <c r="AV778" s="76"/>
      <c r="AW778" s="76"/>
      <c r="AX778" s="76" t="b">
        <v>0</v>
      </c>
      <c r="AY778" s="76"/>
      <c r="AZ778" s="76"/>
      <c r="BA778" s="76" t="b">
        <v>0</v>
      </c>
      <c r="BB778" s="76" t="b">
        <v>1</v>
      </c>
      <c r="BC778" s="76" t="b">
        <v>0</v>
      </c>
      <c r="BD778" s="76" t="b">
        <v>0</v>
      </c>
      <c r="BE778" s="76" t="b">
        <v>1</v>
      </c>
      <c r="BF778" s="76" t="b">
        <v>0</v>
      </c>
      <c r="BG778" s="76" t="b">
        <v>0</v>
      </c>
      <c r="BH778" s="82" t="str">
        <f>HYPERLINK("https://pbs.twimg.com/profile_banners/33534495/1599335947")</f>
        <v>https://pbs.twimg.com/profile_banners/33534495/1599335947</v>
      </c>
      <c r="BI778" s="76"/>
      <c r="BJ778" s="76" t="s">
        <v>27595</v>
      </c>
      <c r="BK778" s="76" t="b">
        <v>0</v>
      </c>
      <c r="BL778" s="76"/>
      <c r="BM778" s="76" t="s">
        <v>66</v>
      </c>
      <c r="BN778" s="76" t="s">
        <v>27597</v>
      </c>
      <c r="BO778" s="82" t="str">
        <f>HYPERLINK("https://twitter.com/toniricardoes")</f>
        <v>https://twitter.com/toniricardoes</v>
      </c>
      <c r="BP778" s="2"/>
    </row>
    <row r="779" spans="1:68" x14ac:dyDescent="0.25">
      <c r="A779" s="62" t="s">
        <v>781</v>
      </c>
      <c r="B779" s="63"/>
      <c r="C779" s="63"/>
      <c r="D779" s="64"/>
      <c r="E779" s="66"/>
      <c r="F779" s="103" t="str">
        <f>HYPERLINK("https://pbs.twimg.com/profile_images/1686230982465142784/Wl6otbEc_normal.jpg")</f>
        <v>https://pbs.twimg.com/profile_images/1686230982465142784/Wl6otbEc_normal.jpg</v>
      </c>
      <c r="G779" s="63"/>
      <c r="H779" s="67"/>
      <c r="I779" s="68"/>
      <c r="J779" s="68"/>
      <c r="K779" s="67" t="s">
        <v>28373</v>
      </c>
      <c r="L779" s="71"/>
      <c r="M779" s="72"/>
      <c r="N779" s="72"/>
      <c r="O779" s="73"/>
      <c r="P779" s="74"/>
      <c r="Q779" s="74"/>
      <c r="R779" s="87"/>
      <c r="S779" s="87"/>
      <c r="T779" s="87"/>
      <c r="U779" s="87"/>
      <c r="V779" s="48"/>
      <c r="W779" s="48"/>
      <c r="X779" s="48"/>
      <c r="Y779" s="48"/>
      <c r="Z779" s="47"/>
      <c r="AA779" s="69">
        <v>779</v>
      </c>
      <c r="AB779" s="69"/>
      <c r="AC779" s="70"/>
      <c r="AD779" s="76" t="s">
        <v>22013</v>
      </c>
      <c r="AE779" s="81" t="s">
        <v>20760</v>
      </c>
      <c r="AF779" s="76">
        <v>2725</v>
      </c>
      <c r="AG779" s="76">
        <v>1341</v>
      </c>
      <c r="AH779" s="76">
        <v>12011</v>
      </c>
      <c r="AI779" s="76">
        <v>14</v>
      </c>
      <c r="AJ779" s="76">
        <v>1693</v>
      </c>
      <c r="AK779" s="76">
        <v>10905</v>
      </c>
      <c r="AL779" s="76" t="b">
        <v>0</v>
      </c>
      <c r="AM779" s="78">
        <v>44179.756168981483</v>
      </c>
      <c r="AN779" s="76"/>
      <c r="AO779" s="76" t="s">
        <v>25411</v>
      </c>
      <c r="AP779" s="76"/>
      <c r="AQ779" s="76"/>
      <c r="AR779" s="76"/>
      <c r="AS779" s="76"/>
      <c r="AT779" s="76"/>
      <c r="AU779" s="76"/>
      <c r="AV779" s="76">
        <v>1.6825885490050701E+18</v>
      </c>
      <c r="AW779" s="76"/>
      <c r="AX779" s="76" t="b">
        <v>0</v>
      </c>
      <c r="AY779" s="76"/>
      <c r="AZ779" s="76"/>
      <c r="BA779" s="76" t="b">
        <v>0</v>
      </c>
      <c r="BB779" s="76" t="b">
        <v>1</v>
      </c>
      <c r="BC779" s="76" t="b">
        <v>1</v>
      </c>
      <c r="BD779" s="76" t="b">
        <v>0</v>
      </c>
      <c r="BE779" s="76" t="b">
        <v>1</v>
      </c>
      <c r="BF779" s="76" t="b">
        <v>0</v>
      </c>
      <c r="BG779" s="76" t="b">
        <v>0</v>
      </c>
      <c r="BH779" s="82" t="str">
        <f>HYPERLINK("https://pbs.twimg.com/profile_banners/1338546450322632707/1671476132")</f>
        <v>https://pbs.twimg.com/profile_banners/1338546450322632707/1671476132</v>
      </c>
      <c r="BI779" s="76"/>
      <c r="BJ779" s="76" t="s">
        <v>27595</v>
      </c>
      <c r="BK779" s="76" t="b">
        <v>0</v>
      </c>
      <c r="BL779" s="76"/>
      <c r="BM779" s="76" t="s">
        <v>66</v>
      </c>
      <c r="BN779" s="76" t="s">
        <v>27597</v>
      </c>
      <c r="BO779" s="82" t="str">
        <f>HYPERLINK("https://twitter.com/ana_deportes")</f>
        <v>https://twitter.com/ana_deportes</v>
      </c>
      <c r="BP779" s="2"/>
    </row>
    <row r="780" spans="1:68" x14ac:dyDescent="0.25">
      <c r="A780" s="62" t="s">
        <v>1867</v>
      </c>
      <c r="B780" s="63"/>
      <c r="C780" s="63"/>
      <c r="D780" s="64"/>
      <c r="E780" s="66"/>
      <c r="F780" s="103" t="str">
        <f>HYPERLINK("https://pbs.twimg.com/profile_images/1344138333258190859/L5CzIuhv_normal.jpg")</f>
        <v>https://pbs.twimg.com/profile_images/1344138333258190859/L5CzIuhv_normal.jpg</v>
      </c>
      <c r="G780" s="63"/>
      <c r="H780" s="67"/>
      <c r="I780" s="68"/>
      <c r="J780" s="68"/>
      <c r="K780" s="67" t="s">
        <v>28374</v>
      </c>
      <c r="L780" s="71"/>
      <c r="M780" s="72"/>
      <c r="N780" s="72"/>
      <c r="O780" s="73"/>
      <c r="P780" s="74"/>
      <c r="Q780" s="74"/>
      <c r="R780" s="87"/>
      <c r="S780" s="87"/>
      <c r="T780" s="87"/>
      <c r="U780" s="87"/>
      <c r="V780" s="48"/>
      <c r="W780" s="48"/>
      <c r="X780" s="48"/>
      <c r="Y780" s="48"/>
      <c r="Z780" s="47"/>
      <c r="AA780" s="69">
        <v>780</v>
      </c>
      <c r="AB780" s="69"/>
      <c r="AC780" s="70"/>
      <c r="AD780" s="76" t="s">
        <v>22014</v>
      </c>
      <c r="AE780" s="81" t="s">
        <v>23486</v>
      </c>
      <c r="AF780" s="76">
        <v>560</v>
      </c>
      <c r="AG780" s="76">
        <v>370</v>
      </c>
      <c r="AH780" s="76">
        <v>1029</v>
      </c>
      <c r="AI780" s="76">
        <v>6</v>
      </c>
      <c r="AJ780" s="76">
        <v>5751</v>
      </c>
      <c r="AK780" s="76">
        <v>83</v>
      </c>
      <c r="AL780" s="76" t="b">
        <v>0</v>
      </c>
      <c r="AM780" s="78">
        <v>43387.632824074077</v>
      </c>
      <c r="AN780" s="76" t="s">
        <v>24118</v>
      </c>
      <c r="AO780" s="76" t="s">
        <v>25412</v>
      </c>
      <c r="AP780" s="76"/>
      <c r="AQ780" s="76"/>
      <c r="AR780" s="76"/>
      <c r="AS780" s="76"/>
      <c r="AT780" s="76"/>
      <c r="AU780" s="76"/>
      <c r="AV780" s="76"/>
      <c r="AW780" s="76"/>
      <c r="AX780" s="76" t="b">
        <v>0</v>
      </c>
      <c r="AY780" s="76"/>
      <c r="AZ780" s="76"/>
      <c r="BA780" s="76" t="b">
        <v>0</v>
      </c>
      <c r="BB780" s="76" t="b">
        <v>0</v>
      </c>
      <c r="BC780" s="76" t="b">
        <v>0</v>
      </c>
      <c r="BD780" s="76" t="b">
        <v>0</v>
      </c>
      <c r="BE780" s="76" t="b">
        <v>1</v>
      </c>
      <c r="BF780" s="76" t="b">
        <v>0</v>
      </c>
      <c r="BG780" s="76" t="b">
        <v>0</v>
      </c>
      <c r="BH780" s="82" t="str">
        <f>HYPERLINK("https://pbs.twimg.com/profile_banners/1051490627278569479/1584357924")</f>
        <v>https://pbs.twimg.com/profile_banners/1051490627278569479/1584357924</v>
      </c>
      <c r="BI780" s="76"/>
      <c r="BJ780" s="76" t="s">
        <v>27595</v>
      </c>
      <c r="BK780" s="76" t="b">
        <v>0</v>
      </c>
      <c r="BL780" s="76"/>
      <c r="BM780" s="76" t="s">
        <v>65</v>
      </c>
      <c r="BN780" s="76" t="s">
        <v>27597</v>
      </c>
      <c r="BO780" s="82" t="str">
        <f>HYPERLINK("https://twitter.com/danielefrancom")</f>
        <v>https://twitter.com/danielefrancom</v>
      </c>
      <c r="BP780" s="2"/>
    </row>
    <row r="781" spans="1:68" x14ac:dyDescent="0.25">
      <c r="A781" s="62" t="s">
        <v>783</v>
      </c>
      <c r="B781" s="63"/>
      <c r="C781" s="63"/>
      <c r="D781" s="64"/>
      <c r="E781" s="66"/>
      <c r="F781" s="103" t="str">
        <f>HYPERLINK("https://pbs.twimg.com/profile_images/1631749166748631050/Rgr4ToBl_normal.jpg")</f>
        <v>https://pbs.twimg.com/profile_images/1631749166748631050/Rgr4ToBl_normal.jpg</v>
      </c>
      <c r="G781" s="63"/>
      <c r="H781" s="67"/>
      <c r="I781" s="68"/>
      <c r="J781" s="68"/>
      <c r="K781" s="67" t="s">
        <v>28375</v>
      </c>
      <c r="L781" s="71"/>
      <c r="M781" s="72"/>
      <c r="N781" s="72"/>
      <c r="O781" s="73"/>
      <c r="P781" s="74"/>
      <c r="Q781" s="74"/>
      <c r="R781" s="87"/>
      <c r="S781" s="87"/>
      <c r="T781" s="87"/>
      <c r="U781" s="87"/>
      <c r="V781" s="48"/>
      <c r="W781" s="48"/>
      <c r="X781" s="48"/>
      <c r="Y781" s="48"/>
      <c r="Z781" s="47"/>
      <c r="AA781" s="69">
        <v>781</v>
      </c>
      <c r="AB781" s="69"/>
      <c r="AC781" s="70"/>
      <c r="AD781" s="76" t="s">
        <v>783</v>
      </c>
      <c r="AE781" s="81" t="s">
        <v>20761</v>
      </c>
      <c r="AF781" s="76">
        <v>42</v>
      </c>
      <c r="AG781" s="76">
        <v>213</v>
      </c>
      <c r="AH781" s="76">
        <v>419</v>
      </c>
      <c r="AI781" s="76">
        <v>0</v>
      </c>
      <c r="AJ781" s="76">
        <v>98</v>
      </c>
      <c r="AK781" s="76">
        <v>122</v>
      </c>
      <c r="AL781" s="76" t="b">
        <v>0</v>
      </c>
      <c r="AM781" s="78">
        <v>44988.841226851851</v>
      </c>
      <c r="AN781" s="76"/>
      <c r="AO781" s="76" t="s">
        <v>25413</v>
      </c>
      <c r="AP781" s="82" t="str">
        <f>HYPERLINK("https://t.co/21lDKwLfF6")</f>
        <v>https://t.co/21lDKwLfF6</v>
      </c>
      <c r="AQ781" s="82" t="str">
        <f>HYPERLINK("http://ovies.com.br")</f>
        <v>http://ovies.com.br</v>
      </c>
      <c r="AR781" s="76" t="s">
        <v>26783</v>
      </c>
      <c r="AS781" s="76"/>
      <c r="AT781" s="76"/>
      <c r="AU781" s="76"/>
      <c r="AV781" s="76"/>
      <c r="AW781" s="82" t="str">
        <f>HYPERLINK("https://t.co/21lDKwLfF6")</f>
        <v>https://t.co/21lDKwLfF6</v>
      </c>
      <c r="AX781" s="76" t="b">
        <v>0</v>
      </c>
      <c r="AY781" s="76"/>
      <c r="AZ781" s="76"/>
      <c r="BA781" s="76" t="b">
        <v>0</v>
      </c>
      <c r="BB781" s="76" t="b">
        <v>1</v>
      </c>
      <c r="BC781" s="76" t="b">
        <v>1</v>
      </c>
      <c r="BD781" s="76" t="b">
        <v>0</v>
      </c>
      <c r="BE781" s="76" t="b">
        <v>0</v>
      </c>
      <c r="BF781" s="76" t="b">
        <v>0</v>
      </c>
      <c r="BG781" s="76" t="b">
        <v>0</v>
      </c>
      <c r="BH781" s="82" t="str">
        <f>HYPERLINK("https://pbs.twimg.com/profile_banners/1631748852301660171/1679066633")</f>
        <v>https://pbs.twimg.com/profile_banners/1631748852301660171/1679066633</v>
      </c>
      <c r="BI781" s="76"/>
      <c r="BJ781" s="76" t="s">
        <v>27595</v>
      </c>
      <c r="BK781" s="76" t="b">
        <v>0</v>
      </c>
      <c r="BL781" s="76"/>
      <c r="BM781" s="76" t="s">
        <v>66</v>
      </c>
      <c r="BN781" s="76" t="s">
        <v>27597</v>
      </c>
      <c r="BO781" s="82" t="str">
        <f>HYPERLINK("https://twitter.com/viesdanoticia")</f>
        <v>https://twitter.com/viesdanoticia</v>
      </c>
      <c r="BP781" s="2"/>
    </row>
    <row r="782" spans="1:68" x14ac:dyDescent="0.25">
      <c r="A782" s="62" t="s">
        <v>784</v>
      </c>
      <c r="B782" s="63"/>
      <c r="C782" s="63"/>
      <c r="D782" s="64"/>
      <c r="E782" s="66"/>
      <c r="F782" s="103" t="str">
        <f>HYPERLINK("https://pbs.twimg.com/profile_images/1564093946833272833/4RFj0mm__normal.jpg")</f>
        <v>https://pbs.twimg.com/profile_images/1564093946833272833/4RFj0mm__normal.jpg</v>
      </c>
      <c r="G782" s="63"/>
      <c r="H782" s="67"/>
      <c r="I782" s="68"/>
      <c r="J782" s="68"/>
      <c r="K782" s="67" t="s">
        <v>28376</v>
      </c>
      <c r="L782" s="71"/>
      <c r="M782" s="72"/>
      <c r="N782" s="72"/>
      <c r="O782" s="73"/>
      <c r="P782" s="74"/>
      <c r="Q782" s="74"/>
      <c r="R782" s="87"/>
      <c r="S782" s="87"/>
      <c r="T782" s="87"/>
      <c r="U782" s="87"/>
      <c r="V782" s="48"/>
      <c r="W782" s="48"/>
      <c r="X782" s="48"/>
      <c r="Y782" s="48"/>
      <c r="Z782" s="47"/>
      <c r="AA782" s="69">
        <v>782</v>
      </c>
      <c r="AB782" s="69"/>
      <c r="AC782" s="70"/>
      <c r="AD782" s="76" t="s">
        <v>22015</v>
      </c>
      <c r="AE782" s="81" t="s">
        <v>23487</v>
      </c>
      <c r="AF782" s="76">
        <v>59</v>
      </c>
      <c r="AG782" s="76">
        <v>199</v>
      </c>
      <c r="AH782" s="76">
        <v>3196</v>
      </c>
      <c r="AI782" s="76">
        <v>0</v>
      </c>
      <c r="AJ782" s="76">
        <v>968</v>
      </c>
      <c r="AK782" s="76">
        <v>744</v>
      </c>
      <c r="AL782" s="76" t="b">
        <v>0</v>
      </c>
      <c r="AM782" s="78">
        <v>40023.166215277779</v>
      </c>
      <c r="AN782" s="76" t="s">
        <v>24369</v>
      </c>
      <c r="AO782" s="76" t="s">
        <v>25414</v>
      </c>
      <c r="AP782" s="76"/>
      <c r="AQ782" s="76"/>
      <c r="AR782" s="76"/>
      <c r="AS782" s="76"/>
      <c r="AT782" s="76"/>
      <c r="AU782" s="76"/>
      <c r="AV782" s="76"/>
      <c r="AW782" s="76"/>
      <c r="AX782" s="76" t="b">
        <v>0</v>
      </c>
      <c r="AY782" s="76"/>
      <c r="AZ782" s="76"/>
      <c r="BA782" s="76" t="b">
        <v>0</v>
      </c>
      <c r="BB782" s="76" t="b">
        <v>1</v>
      </c>
      <c r="BC782" s="76" t="b">
        <v>0</v>
      </c>
      <c r="BD782" s="76" t="b">
        <v>0</v>
      </c>
      <c r="BE782" s="76" t="b">
        <v>1</v>
      </c>
      <c r="BF782" s="76" t="b">
        <v>0</v>
      </c>
      <c r="BG782" s="76" t="b">
        <v>0</v>
      </c>
      <c r="BH782" s="82" t="str">
        <f>HYPERLINK("https://pbs.twimg.com/profile_banners/61106922/1661744030")</f>
        <v>https://pbs.twimg.com/profile_banners/61106922/1661744030</v>
      </c>
      <c r="BI782" s="76"/>
      <c r="BJ782" s="76" t="s">
        <v>27595</v>
      </c>
      <c r="BK782" s="76" t="b">
        <v>0</v>
      </c>
      <c r="BL782" s="76"/>
      <c r="BM782" s="76" t="s">
        <v>66</v>
      </c>
      <c r="BN782" s="76" t="s">
        <v>27597</v>
      </c>
      <c r="BO782" s="82" t="str">
        <f>HYPERLINK("https://twitter.com/umempreendedor")</f>
        <v>https://twitter.com/umempreendedor</v>
      </c>
      <c r="BP782" s="2"/>
    </row>
    <row r="783" spans="1:68" x14ac:dyDescent="0.25">
      <c r="A783" s="62" t="s">
        <v>785</v>
      </c>
      <c r="B783" s="63"/>
      <c r="C783" s="63"/>
      <c r="D783" s="64"/>
      <c r="E783" s="66"/>
      <c r="F783" s="103" t="str">
        <f>HYPERLINK("https://pbs.twimg.com/profile_images/1153725216138452992/MrbZ3nzs_normal.jpg")</f>
        <v>https://pbs.twimg.com/profile_images/1153725216138452992/MrbZ3nzs_normal.jpg</v>
      </c>
      <c r="G783" s="63"/>
      <c r="H783" s="67"/>
      <c r="I783" s="68"/>
      <c r="J783" s="68"/>
      <c r="K783" s="67" t="s">
        <v>28377</v>
      </c>
      <c r="L783" s="71"/>
      <c r="M783" s="72"/>
      <c r="N783" s="72"/>
      <c r="O783" s="73"/>
      <c r="P783" s="74"/>
      <c r="Q783" s="74"/>
      <c r="R783" s="87"/>
      <c r="S783" s="87"/>
      <c r="T783" s="87"/>
      <c r="U783" s="87"/>
      <c r="V783" s="48"/>
      <c r="W783" s="48"/>
      <c r="X783" s="48"/>
      <c r="Y783" s="48"/>
      <c r="Z783" s="47"/>
      <c r="AA783" s="69">
        <v>783</v>
      </c>
      <c r="AB783" s="69"/>
      <c r="AC783" s="70"/>
      <c r="AD783" s="76" t="s">
        <v>22016</v>
      </c>
      <c r="AE783" s="81" t="s">
        <v>20762</v>
      </c>
      <c r="AF783" s="76">
        <v>22</v>
      </c>
      <c r="AG783" s="76">
        <v>97</v>
      </c>
      <c r="AH783" s="76">
        <v>1568</v>
      </c>
      <c r="AI783" s="76">
        <v>0</v>
      </c>
      <c r="AJ783" s="76">
        <v>16362</v>
      </c>
      <c r="AK783" s="76">
        <v>85</v>
      </c>
      <c r="AL783" s="76" t="b">
        <v>0</v>
      </c>
      <c r="AM783" s="78">
        <v>43410.969039351854</v>
      </c>
      <c r="AN783" s="76"/>
      <c r="AO783" s="76"/>
      <c r="AP783" s="76"/>
      <c r="AQ783" s="76"/>
      <c r="AR783" s="76"/>
      <c r="AS783" s="76"/>
      <c r="AT783" s="76"/>
      <c r="AU783" s="76"/>
      <c r="AV783" s="76"/>
      <c r="AW783" s="76"/>
      <c r="AX783" s="76" t="b">
        <v>0</v>
      </c>
      <c r="AY783" s="76"/>
      <c r="AZ783" s="76"/>
      <c r="BA783" s="76" t="b">
        <v>0</v>
      </c>
      <c r="BB783" s="76" t="b">
        <v>1</v>
      </c>
      <c r="BC783" s="76" t="b">
        <v>1</v>
      </c>
      <c r="BD783" s="76" t="b">
        <v>0</v>
      </c>
      <c r="BE783" s="76" t="b">
        <v>1</v>
      </c>
      <c r="BF783" s="76" t="b">
        <v>0</v>
      </c>
      <c r="BG783" s="76" t="b">
        <v>0</v>
      </c>
      <c r="BH783" s="82" t="str">
        <f>HYPERLINK("https://pbs.twimg.com/profile_banners/1059947392131317761/1563904509")</f>
        <v>https://pbs.twimg.com/profile_banners/1059947392131317761/1563904509</v>
      </c>
      <c r="BI783" s="76"/>
      <c r="BJ783" s="76" t="s">
        <v>27595</v>
      </c>
      <c r="BK783" s="76" t="b">
        <v>0</v>
      </c>
      <c r="BL783" s="76"/>
      <c r="BM783" s="76" t="s">
        <v>66</v>
      </c>
      <c r="BN783" s="76" t="s">
        <v>27597</v>
      </c>
      <c r="BO783" s="82" t="str">
        <f>HYPERLINK("https://twitter.com/freireoni")</f>
        <v>https://twitter.com/freireoni</v>
      </c>
      <c r="BP783" s="2"/>
    </row>
    <row r="784" spans="1:68" x14ac:dyDescent="0.25">
      <c r="A784" s="62" t="s">
        <v>786</v>
      </c>
      <c r="B784" s="63"/>
      <c r="C784" s="63"/>
      <c r="D784" s="64"/>
      <c r="E784" s="66"/>
      <c r="F784" s="103" t="str">
        <f>HYPERLINK("https://pbs.twimg.com/profile_images/1519904131841855488/8bTL0yz__normal.jpg")</f>
        <v>https://pbs.twimg.com/profile_images/1519904131841855488/8bTL0yz__normal.jpg</v>
      </c>
      <c r="G784" s="63"/>
      <c r="H784" s="67"/>
      <c r="I784" s="68"/>
      <c r="J784" s="68"/>
      <c r="K784" s="67" t="s">
        <v>28378</v>
      </c>
      <c r="L784" s="71"/>
      <c r="M784" s="72"/>
      <c r="N784" s="72"/>
      <c r="O784" s="73"/>
      <c r="P784" s="74"/>
      <c r="Q784" s="74"/>
      <c r="R784" s="87"/>
      <c r="S784" s="87"/>
      <c r="T784" s="87"/>
      <c r="U784" s="87"/>
      <c r="V784" s="48"/>
      <c r="W784" s="48"/>
      <c r="X784" s="48"/>
      <c r="Y784" s="48"/>
      <c r="Z784" s="47"/>
      <c r="AA784" s="69">
        <v>784</v>
      </c>
      <c r="AB784" s="69"/>
      <c r="AC784" s="70"/>
      <c r="AD784" s="76" t="s">
        <v>22017</v>
      </c>
      <c r="AE784" s="81" t="s">
        <v>23488</v>
      </c>
      <c r="AF784" s="76">
        <v>3844</v>
      </c>
      <c r="AG784" s="76">
        <v>83</v>
      </c>
      <c r="AH784" s="76">
        <v>11648</v>
      </c>
      <c r="AI784" s="76">
        <v>33</v>
      </c>
      <c r="AJ784" s="76">
        <v>108</v>
      </c>
      <c r="AK784" s="76">
        <v>2671</v>
      </c>
      <c r="AL784" s="76" t="b">
        <v>0</v>
      </c>
      <c r="AM784" s="78">
        <v>40610.808611111112</v>
      </c>
      <c r="AN784" s="76" t="s">
        <v>24370</v>
      </c>
      <c r="AO784" s="76" t="s">
        <v>25415</v>
      </c>
      <c r="AP784" s="82" t="str">
        <f>HYPERLINK("https://t.co/UNkljN99Ny")</f>
        <v>https://t.co/UNkljN99Ny</v>
      </c>
      <c r="AQ784" s="82" t="str">
        <f>HYPERLINK("http://www.eldiariocba.com.ar")</f>
        <v>http://www.eldiariocba.com.ar</v>
      </c>
      <c r="AR784" s="76" t="s">
        <v>26784</v>
      </c>
      <c r="AS784" s="76"/>
      <c r="AT784" s="76"/>
      <c r="AU784" s="76"/>
      <c r="AV784" s="76"/>
      <c r="AW784" s="82" t="str">
        <f>HYPERLINK("https://t.co/UNkljN99Ny")</f>
        <v>https://t.co/UNkljN99Ny</v>
      </c>
      <c r="AX784" s="76" t="b">
        <v>0</v>
      </c>
      <c r="AY784" s="76"/>
      <c r="AZ784" s="76"/>
      <c r="BA784" s="76" t="b">
        <v>1</v>
      </c>
      <c r="BB784" s="76" t="b">
        <v>1</v>
      </c>
      <c r="BC784" s="76" t="b">
        <v>1</v>
      </c>
      <c r="BD784" s="76" t="b">
        <v>0</v>
      </c>
      <c r="BE784" s="76" t="b">
        <v>1</v>
      </c>
      <c r="BF784" s="76" t="b">
        <v>0</v>
      </c>
      <c r="BG784" s="76" t="b">
        <v>0</v>
      </c>
      <c r="BH784" s="82" t="str">
        <f>HYPERLINK("https://pbs.twimg.com/profile_banners/262788220/1519227234")</f>
        <v>https://pbs.twimg.com/profile_banners/262788220/1519227234</v>
      </c>
      <c r="BI784" s="76"/>
      <c r="BJ784" s="76" t="s">
        <v>27595</v>
      </c>
      <c r="BK784" s="76" t="b">
        <v>0</v>
      </c>
      <c r="BL784" s="76"/>
      <c r="BM784" s="76" t="s">
        <v>66</v>
      </c>
      <c r="BN784" s="76" t="s">
        <v>27597</v>
      </c>
      <c r="BO784" s="82" t="str">
        <f>HYPERLINK("https://twitter.com/eldiariocba")</f>
        <v>https://twitter.com/eldiariocba</v>
      </c>
      <c r="BP784" s="2"/>
    </row>
    <row r="785" spans="1:68" x14ac:dyDescent="0.25">
      <c r="A785" s="62" t="s">
        <v>787</v>
      </c>
      <c r="B785" s="63"/>
      <c r="C785" s="63"/>
      <c r="D785" s="64"/>
      <c r="E785" s="66"/>
      <c r="F785" s="103" t="str">
        <f>HYPERLINK("https://pbs.twimg.com/profile_images/1334572828058857473/oDSRmcPZ_normal.jpg")</f>
        <v>https://pbs.twimg.com/profile_images/1334572828058857473/oDSRmcPZ_normal.jpg</v>
      </c>
      <c r="G785" s="63"/>
      <c r="H785" s="67"/>
      <c r="I785" s="68"/>
      <c r="J785" s="68"/>
      <c r="K785" s="67" t="s">
        <v>28379</v>
      </c>
      <c r="L785" s="71"/>
      <c r="M785" s="72"/>
      <c r="N785" s="72"/>
      <c r="O785" s="73"/>
      <c r="P785" s="74"/>
      <c r="Q785" s="74"/>
      <c r="R785" s="87"/>
      <c r="S785" s="87"/>
      <c r="T785" s="87"/>
      <c r="U785" s="87"/>
      <c r="V785" s="48"/>
      <c r="W785" s="48"/>
      <c r="X785" s="48"/>
      <c r="Y785" s="48"/>
      <c r="Z785" s="47"/>
      <c r="AA785" s="69">
        <v>785</v>
      </c>
      <c r="AB785" s="69"/>
      <c r="AC785" s="70"/>
      <c r="AD785" s="76" t="s">
        <v>22018</v>
      </c>
      <c r="AE785" s="81" t="s">
        <v>20763</v>
      </c>
      <c r="AF785" s="76">
        <v>120</v>
      </c>
      <c r="AG785" s="76">
        <v>9</v>
      </c>
      <c r="AH785" s="76">
        <v>492</v>
      </c>
      <c r="AI785" s="76">
        <v>0</v>
      </c>
      <c r="AJ785" s="76">
        <v>268</v>
      </c>
      <c r="AK785" s="76">
        <v>401</v>
      </c>
      <c r="AL785" s="76" t="b">
        <v>0</v>
      </c>
      <c r="AM785" s="78">
        <v>44168.727523148147</v>
      </c>
      <c r="AN785" s="76" t="s">
        <v>24371</v>
      </c>
      <c r="AO785" s="76" t="s">
        <v>25416</v>
      </c>
      <c r="AP785" s="76"/>
      <c r="AQ785" s="76"/>
      <c r="AR785" s="76"/>
      <c r="AS785" s="82" t="str">
        <f>HYPERLINK("https://t.co/DtnYtqDVpz")</f>
        <v>https://t.co/DtnYtqDVpz</v>
      </c>
      <c r="AT785" s="82" t="str">
        <f>HYPERLINK("http://bolsadeteletrabajo.com")</f>
        <v>http://bolsadeteletrabajo.com</v>
      </c>
      <c r="AU785" s="76" t="s">
        <v>27495</v>
      </c>
      <c r="AV785" s="76"/>
      <c r="AW785" s="76"/>
      <c r="AX785" s="76" t="b">
        <v>0</v>
      </c>
      <c r="AY785" s="76"/>
      <c r="AZ785" s="76"/>
      <c r="BA785" s="76" t="b">
        <v>0</v>
      </c>
      <c r="BB785" s="76" t="b">
        <v>1</v>
      </c>
      <c r="BC785" s="76" t="b">
        <v>1</v>
      </c>
      <c r="BD785" s="76" t="b">
        <v>0</v>
      </c>
      <c r="BE785" s="76" t="b">
        <v>0</v>
      </c>
      <c r="BF785" s="76" t="b">
        <v>0</v>
      </c>
      <c r="BG785" s="76" t="b">
        <v>0</v>
      </c>
      <c r="BH785" s="82" t="str">
        <f>HYPERLINK("https://pbs.twimg.com/profile_banners/1334549834028691458/1682091584")</f>
        <v>https://pbs.twimg.com/profile_banners/1334549834028691458/1682091584</v>
      </c>
      <c r="BI785" s="76"/>
      <c r="BJ785" s="76" t="s">
        <v>27595</v>
      </c>
      <c r="BK785" s="76" t="b">
        <v>0</v>
      </c>
      <c r="BL785" s="76"/>
      <c r="BM785" s="76" t="s">
        <v>66</v>
      </c>
      <c r="BN785" s="76" t="s">
        <v>27597</v>
      </c>
      <c r="BO785" s="82" t="str">
        <f>HYPERLINK("https://twitter.com/bol_teletrabajo")</f>
        <v>https://twitter.com/bol_teletrabajo</v>
      </c>
      <c r="BP785" s="2"/>
    </row>
    <row r="786" spans="1:68" x14ac:dyDescent="0.25">
      <c r="A786" s="62" t="s">
        <v>788</v>
      </c>
      <c r="B786" s="63"/>
      <c r="C786" s="63"/>
      <c r="D786" s="64"/>
      <c r="E786" s="66"/>
      <c r="F786" s="103" t="str">
        <f>HYPERLINK("https://pbs.twimg.com/profile_images/1380373691993849856/gx3lkvMx_normal.jpg")</f>
        <v>https://pbs.twimg.com/profile_images/1380373691993849856/gx3lkvMx_normal.jpg</v>
      </c>
      <c r="G786" s="63"/>
      <c r="H786" s="67"/>
      <c r="I786" s="68"/>
      <c r="J786" s="68"/>
      <c r="K786" s="67" t="s">
        <v>28380</v>
      </c>
      <c r="L786" s="71"/>
      <c r="M786" s="72"/>
      <c r="N786" s="72"/>
      <c r="O786" s="73"/>
      <c r="P786" s="74"/>
      <c r="Q786" s="74"/>
      <c r="R786" s="87"/>
      <c r="S786" s="87"/>
      <c r="T786" s="87"/>
      <c r="U786" s="87"/>
      <c r="V786" s="48"/>
      <c r="W786" s="48"/>
      <c r="X786" s="48"/>
      <c r="Y786" s="48"/>
      <c r="Z786" s="47"/>
      <c r="AA786" s="69">
        <v>786</v>
      </c>
      <c r="AB786" s="69"/>
      <c r="AC786" s="70"/>
      <c r="AD786" s="76" t="s">
        <v>22019</v>
      </c>
      <c r="AE786" s="81" t="s">
        <v>23489</v>
      </c>
      <c r="AF786" s="76">
        <v>182</v>
      </c>
      <c r="AG786" s="76">
        <v>293</v>
      </c>
      <c r="AH786" s="76">
        <v>275</v>
      </c>
      <c r="AI786" s="76">
        <v>0</v>
      </c>
      <c r="AJ786" s="76">
        <v>10319</v>
      </c>
      <c r="AK786" s="76">
        <v>9</v>
      </c>
      <c r="AL786" s="76" t="b">
        <v>0</v>
      </c>
      <c r="AM786" s="78">
        <v>40493.887303240743</v>
      </c>
      <c r="AN786" s="76" t="s">
        <v>24372</v>
      </c>
      <c r="AO786" s="76"/>
      <c r="AP786" s="82" t="str">
        <f>HYPERLINK("https://t.co/YEdMvPT5pB")</f>
        <v>https://t.co/YEdMvPT5pB</v>
      </c>
      <c r="AQ786" s="82" t="str">
        <f>HYPERLINK("http://www.foxcapital.com.ar")</f>
        <v>http://www.foxcapital.com.ar</v>
      </c>
      <c r="AR786" s="76" t="s">
        <v>26785</v>
      </c>
      <c r="AS786" s="76"/>
      <c r="AT786" s="76"/>
      <c r="AU786" s="76"/>
      <c r="AV786" s="76">
        <v>1.5802062732360699E+18</v>
      </c>
      <c r="AW786" s="82" t="str">
        <f>HYPERLINK("https://t.co/YEdMvPT5pB")</f>
        <v>https://t.co/YEdMvPT5pB</v>
      </c>
      <c r="AX786" s="76" t="b">
        <v>0</v>
      </c>
      <c r="AY786" s="76"/>
      <c r="AZ786" s="76"/>
      <c r="BA786" s="76" t="b">
        <v>1</v>
      </c>
      <c r="BB786" s="76" t="b">
        <v>0</v>
      </c>
      <c r="BC786" s="76" t="b">
        <v>0</v>
      </c>
      <c r="BD786" s="76" t="b">
        <v>0</v>
      </c>
      <c r="BE786" s="76" t="b">
        <v>0</v>
      </c>
      <c r="BF786" s="76" t="b">
        <v>0</v>
      </c>
      <c r="BG786" s="76" t="b">
        <v>0</v>
      </c>
      <c r="BH786" s="82" t="str">
        <f>HYPERLINK("https://pbs.twimg.com/profile_banners/214626795/1548990183")</f>
        <v>https://pbs.twimg.com/profile_banners/214626795/1548990183</v>
      </c>
      <c r="BI786" s="76"/>
      <c r="BJ786" s="76" t="s">
        <v>27595</v>
      </c>
      <c r="BK786" s="76" t="b">
        <v>0</v>
      </c>
      <c r="BL786" s="76"/>
      <c r="BM786" s="76" t="s">
        <v>66</v>
      </c>
      <c r="BN786" s="76" t="s">
        <v>27597</v>
      </c>
      <c r="BO786" s="82" t="str">
        <f>HYPERLINK("https://twitter.com/miguelbraunn")</f>
        <v>https://twitter.com/miguelbraunn</v>
      </c>
      <c r="BP786" s="2"/>
    </row>
    <row r="787" spans="1:68" x14ac:dyDescent="0.25">
      <c r="A787" s="62" t="s">
        <v>789</v>
      </c>
      <c r="B787" s="63"/>
      <c r="C787" s="63"/>
      <c r="D787" s="64"/>
      <c r="E787" s="66"/>
      <c r="F787" s="103" t="str">
        <f>HYPERLINK("https://pbs.twimg.com/profile_images/914947150672474112/yccvY1T__normal.jpg")</f>
        <v>https://pbs.twimg.com/profile_images/914947150672474112/yccvY1T__normal.jpg</v>
      </c>
      <c r="G787" s="63"/>
      <c r="H787" s="67"/>
      <c r="I787" s="68"/>
      <c r="J787" s="68"/>
      <c r="K787" s="67" t="s">
        <v>28381</v>
      </c>
      <c r="L787" s="71"/>
      <c r="M787" s="72"/>
      <c r="N787" s="72"/>
      <c r="O787" s="73"/>
      <c r="P787" s="74"/>
      <c r="Q787" s="74"/>
      <c r="R787" s="87"/>
      <c r="S787" s="87"/>
      <c r="T787" s="87"/>
      <c r="U787" s="87"/>
      <c r="V787" s="48"/>
      <c r="W787" s="48"/>
      <c r="X787" s="48"/>
      <c r="Y787" s="48"/>
      <c r="Z787" s="47"/>
      <c r="AA787" s="69">
        <v>787</v>
      </c>
      <c r="AB787" s="69"/>
      <c r="AC787" s="70"/>
      <c r="AD787" s="76" t="s">
        <v>22020</v>
      </c>
      <c r="AE787" s="81" t="s">
        <v>20764</v>
      </c>
      <c r="AF787" s="76">
        <v>321</v>
      </c>
      <c r="AG787" s="76">
        <v>558</v>
      </c>
      <c r="AH787" s="76">
        <v>5545</v>
      </c>
      <c r="AI787" s="76">
        <v>0</v>
      </c>
      <c r="AJ787" s="76">
        <v>2935</v>
      </c>
      <c r="AK787" s="76">
        <v>1291</v>
      </c>
      <c r="AL787" s="76" t="b">
        <v>0</v>
      </c>
      <c r="AM787" s="78">
        <v>42814.597442129627</v>
      </c>
      <c r="AN787" s="76" t="s">
        <v>24373</v>
      </c>
      <c r="AO787" s="76" t="s">
        <v>25417</v>
      </c>
      <c r="AP787" s="82" t="str">
        <f>HYPERLINK("https://t.co/BVRjtCitAg")</f>
        <v>https://t.co/BVRjtCitAg</v>
      </c>
      <c r="AQ787" s="82" t="str">
        <f>HYPERLINK("http://www.informaciondemercados.cl")</f>
        <v>http://www.informaciondemercados.cl</v>
      </c>
      <c r="AR787" s="76" t="s">
        <v>8752</v>
      </c>
      <c r="AS787" s="76"/>
      <c r="AT787" s="76"/>
      <c r="AU787" s="76"/>
      <c r="AV787" s="76"/>
      <c r="AW787" s="82" t="str">
        <f>HYPERLINK("https://t.co/BVRjtCitAg")</f>
        <v>https://t.co/BVRjtCitAg</v>
      </c>
      <c r="AX787" s="76" t="b">
        <v>0</v>
      </c>
      <c r="AY787" s="76"/>
      <c r="AZ787" s="76"/>
      <c r="BA787" s="76" t="b">
        <v>0</v>
      </c>
      <c r="BB787" s="76" t="b">
        <v>1</v>
      </c>
      <c r="BC787" s="76" t="b">
        <v>0</v>
      </c>
      <c r="BD787" s="76" t="b">
        <v>0</v>
      </c>
      <c r="BE787" s="76" t="b">
        <v>0</v>
      </c>
      <c r="BF787" s="76" t="b">
        <v>0</v>
      </c>
      <c r="BG787" s="76" t="b">
        <v>0</v>
      </c>
      <c r="BH787" s="82" t="str">
        <f>HYPERLINK("https://pbs.twimg.com/profile_banners/843829560730963970/1506973179")</f>
        <v>https://pbs.twimg.com/profile_banners/843829560730963970/1506973179</v>
      </c>
      <c r="BI787" s="76"/>
      <c r="BJ787" s="76" t="s">
        <v>27595</v>
      </c>
      <c r="BK787" s="76" t="b">
        <v>0</v>
      </c>
      <c r="BL787" s="76"/>
      <c r="BM787" s="76" t="s">
        <v>66</v>
      </c>
      <c r="BN787" s="76" t="s">
        <v>27597</v>
      </c>
      <c r="BO787" s="82" t="str">
        <f>HYPERLINK("https://twitter.com/imercadoscl")</f>
        <v>https://twitter.com/imercadoscl</v>
      </c>
      <c r="BP787" s="2"/>
    </row>
    <row r="788" spans="1:68" x14ac:dyDescent="0.25">
      <c r="A788" s="62" t="s">
        <v>790</v>
      </c>
      <c r="B788" s="63"/>
      <c r="C788" s="63"/>
      <c r="D788" s="64"/>
      <c r="E788" s="66"/>
      <c r="F788" s="103" t="str">
        <f>HYPERLINK("https://pbs.twimg.com/profile_images/1559883556846977024/bXHnQFY0_normal.jpg")</f>
        <v>https://pbs.twimg.com/profile_images/1559883556846977024/bXHnQFY0_normal.jpg</v>
      </c>
      <c r="G788" s="63"/>
      <c r="H788" s="67"/>
      <c r="I788" s="68"/>
      <c r="J788" s="68"/>
      <c r="K788" s="67" t="s">
        <v>28382</v>
      </c>
      <c r="L788" s="71"/>
      <c r="M788" s="72"/>
      <c r="N788" s="72"/>
      <c r="O788" s="73"/>
      <c r="P788" s="74"/>
      <c r="Q788" s="74"/>
      <c r="R788" s="87"/>
      <c r="S788" s="87"/>
      <c r="T788" s="87"/>
      <c r="U788" s="87"/>
      <c r="V788" s="48"/>
      <c r="W788" s="48"/>
      <c r="X788" s="48"/>
      <c r="Y788" s="48"/>
      <c r="Z788" s="47"/>
      <c r="AA788" s="69">
        <v>788</v>
      </c>
      <c r="AB788" s="69"/>
      <c r="AC788" s="70"/>
      <c r="AD788" s="76" t="s">
        <v>22021</v>
      </c>
      <c r="AE788" s="81" t="s">
        <v>23490</v>
      </c>
      <c r="AF788" s="76">
        <v>142232</v>
      </c>
      <c r="AG788" s="76">
        <v>436</v>
      </c>
      <c r="AH788" s="76">
        <v>176791</v>
      </c>
      <c r="AI788" s="76">
        <v>1243</v>
      </c>
      <c r="AJ788" s="76">
        <v>1785</v>
      </c>
      <c r="AK788" s="76">
        <v>566</v>
      </c>
      <c r="AL788" s="76" t="b">
        <v>0</v>
      </c>
      <c r="AM788" s="78">
        <v>39990.739652777775</v>
      </c>
      <c r="AN788" s="76" t="s">
        <v>14400</v>
      </c>
      <c r="AO788" s="76" t="s">
        <v>25418</v>
      </c>
      <c r="AP788" s="82" t="str">
        <f>HYPERLINK("https://t.co/QCKDGJ5y1G")</f>
        <v>https://t.co/QCKDGJ5y1G</v>
      </c>
      <c r="AQ788" s="82" t="str">
        <f>HYPERLINK("https://www.moneytimes.com.br")</f>
        <v>https://www.moneytimes.com.br</v>
      </c>
      <c r="AR788" s="76" t="s">
        <v>26786</v>
      </c>
      <c r="AS788" s="76"/>
      <c r="AT788" s="76"/>
      <c r="AU788" s="76"/>
      <c r="AV788" s="76"/>
      <c r="AW788" s="82" t="str">
        <f>HYPERLINK("https://t.co/QCKDGJ5y1G")</f>
        <v>https://t.co/QCKDGJ5y1G</v>
      </c>
      <c r="AX788" s="76" t="b">
        <v>0</v>
      </c>
      <c r="AY788" s="76"/>
      <c r="AZ788" s="76"/>
      <c r="BA788" s="76" t="b">
        <v>0</v>
      </c>
      <c r="BB788" s="76" t="b">
        <v>1</v>
      </c>
      <c r="BC788" s="76" t="b">
        <v>1</v>
      </c>
      <c r="BD788" s="76" t="b">
        <v>0</v>
      </c>
      <c r="BE788" s="76" t="b">
        <v>1</v>
      </c>
      <c r="BF788" s="76" t="b">
        <v>0</v>
      </c>
      <c r="BG788" s="76" t="b">
        <v>0</v>
      </c>
      <c r="BH788" s="82" t="str">
        <f>HYPERLINK("https://pbs.twimg.com/profile_banners/51150679/1657567475")</f>
        <v>https://pbs.twimg.com/profile_banners/51150679/1657567475</v>
      </c>
      <c r="BI788" s="76"/>
      <c r="BJ788" s="76" t="s">
        <v>27595</v>
      </c>
      <c r="BK788" s="76" t="b">
        <v>0</v>
      </c>
      <c r="BL788" s="76"/>
      <c r="BM788" s="76" t="s">
        <v>66</v>
      </c>
      <c r="BN788" s="76" t="s">
        <v>27597</v>
      </c>
      <c r="BO788" s="82" t="str">
        <f>HYPERLINK("https://twitter.com/leiamoneytimes")</f>
        <v>https://twitter.com/leiamoneytimes</v>
      </c>
      <c r="BP788" s="2"/>
    </row>
    <row r="789" spans="1:68" x14ac:dyDescent="0.25">
      <c r="A789" s="62" t="s">
        <v>791</v>
      </c>
      <c r="B789" s="63"/>
      <c r="C789" s="63"/>
      <c r="D789" s="64"/>
      <c r="E789" s="66"/>
      <c r="F789" s="103" t="str">
        <f>HYPERLINK("https://pbs.twimg.com/profile_images/1283515836108541956/FXHZpLeW_normal.jpg")</f>
        <v>https://pbs.twimg.com/profile_images/1283515836108541956/FXHZpLeW_normal.jpg</v>
      </c>
      <c r="G789" s="63"/>
      <c r="H789" s="67"/>
      <c r="I789" s="68"/>
      <c r="J789" s="68"/>
      <c r="K789" s="67" t="s">
        <v>28383</v>
      </c>
      <c r="L789" s="71"/>
      <c r="M789" s="72"/>
      <c r="N789" s="72"/>
      <c r="O789" s="73"/>
      <c r="P789" s="74"/>
      <c r="Q789" s="74"/>
      <c r="R789" s="87"/>
      <c r="S789" s="87"/>
      <c r="T789" s="87"/>
      <c r="U789" s="87"/>
      <c r="V789" s="48"/>
      <c r="W789" s="48"/>
      <c r="X789" s="48"/>
      <c r="Y789" s="48"/>
      <c r="Z789" s="47"/>
      <c r="AA789" s="69">
        <v>789</v>
      </c>
      <c r="AB789" s="69"/>
      <c r="AC789" s="70"/>
      <c r="AD789" s="76" t="s">
        <v>22022</v>
      </c>
      <c r="AE789" s="81" t="s">
        <v>20765</v>
      </c>
      <c r="AF789" s="76">
        <v>955</v>
      </c>
      <c r="AG789" s="76">
        <v>174</v>
      </c>
      <c r="AH789" s="76">
        <v>6920</v>
      </c>
      <c r="AI789" s="76">
        <v>3</v>
      </c>
      <c r="AJ789" s="76">
        <v>503</v>
      </c>
      <c r="AK789" s="76">
        <v>1324</v>
      </c>
      <c r="AL789" s="76" t="b">
        <v>0</v>
      </c>
      <c r="AM789" s="78">
        <v>43541.764675925922</v>
      </c>
      <c r="AN789" s="76" t="s">
        <v>24113</v>
      </c>
      <c r="AO789" s="76" t="s">
        <v>25419</v>
      </c>
      <c r="AP789" s="82" t="str">
        <f>HYPERLINK("https://t.co/Jmhdg4tHsO")</f>
        <v>https://t.co/Jmhdg4tHsO</v>
      </c>
      <c r="AQ789" s="82" t="str">
        <f>HYPERLINK("http://www.nuevadata.com")</f>
        <v>http://www.nuevadata.com</v>
      </c>
      <c r="AR789" s="76" t="s">
        <v>8753</v>
      </c>
      <c r="AS789" s="82" t="str">
        <f>HYPERLINK("https://t.co/hqwG0wozMD")</f>
        <v>https://t.co/hqwG0wozMD</v>
      </c>
      <c r="AT789" s="82" t="str">
        <f>HYPERLINK("http://Instagram.com/nuevadata")</f>
        <v>http://Instagram.com/nuevadata</v>
      </c>
      <c r="AU789" s="76" t="s">
        <v>27496</v>
      </c>
      <c r="AV789" s="76">
        <v>1.53723863470509E+18</v>
      </c>
      <c r="AW789" s="82" t="str">
        <f>HYPERLINK("https://t.co/Jmhdg4tHsO")</f>
        <v>https://t.co/Jmhdg4tHsO</v>
      </c>
      <c r="AX789" s="76" t="b">
        <v>0</v>
      </c>
      <c r="AY789" s="76"/>
      <c r="AZ789" s="76"/>
      <c r="BA789" s="76" t="b">
        <v>0</v>
      </c>
      <c r="BB789" s="76" t="b">
        <v>1</v>
      </c>
      <c r="BC789" s="76" t="b">
        <v>1</v>
      </c>
      <c r="BD789" s="76" t="b">
        <v>0</v>
      </c>
      <c r="BE789" s="76" t="b">
        <v>0</v>
      </c>
      <c r="BF789" s="76" t="b">
        <v>0</v>
      </c>
      <c r="BG789" s="76" t="b">
        <v>0</v>
      </c>
      <c r="BH789" s="82" t="str">
        <f>HYPERLINK("https://pbs.twimg.com/profile_banners/1107346142738739202/1671459994")</f>
        <v>https://pbs.twimg.com/profile_banners/1107346142738739202/1671459994</v>
      </c>
      <c r="BI789" s="76"/>
      <c r="BJ789" s="76" t="s">
        <v>27595</v>
      </c>
      <c r="BK789" s="76" t="b">
        <v>0</v>
      </c>
      <c r="BL789" s="76"/>
      <c r="BM789" s="76" t="s">
        <v>66</v>
      </c>
      <c r="BN789" s="76" t="s">
        <v>27597</v>
      </c>
      <c r="BO789" s="82" t="str">
        <f>HYPERLINK("https://twitter.com/nuevadataok")</f>
        <v>https://twitter.com/nuevadataok</v>
      </c>
      <c r="BP789" s="2"/>
    </row>
    <row r="790" spans="1:68" x14ac:dyDescent="0.25">
      <c r="A790" s="62" t="s">
        <v>792</v>
      </c>
      <c r="B790" s="63"/>
      <c r="C790" s="63"/>
      <c r="D790" s="64"/>
      <c r="E790" s="66"/>
      <c r="F790" s="103" t="str">
        <f>HYPERLINK("https://pbs.twimg.com/profile_images/1649593737020948480/AkNbUUFc_normal.jpg")</f>
        <v>https://pbs.twimg.com/profile_images/1649593737020948480/AkNbUUFc_normal.jpg</v>
      </c>
      <c r="G790" s="63"/>
      <c r="H790" s="67"/>
      <c r="I790" s="68"/>
      <c r="J790" s="68"/>
      <c r="K790" s="67" t="s">
        <v>28384</v>
      </c>
      <c r="L790" s="71"/>
      <c r="M790" s="72"/>
      <c r="N790" s="72"/>
      <c r="O790" s="73"/>
      <c r="P790" s="74"/>
      <c r="Q790" s="74"/>
      <c r="R790" s="87"/>
      <c r="S790" s="87"/>
      <c r="T790" s="87"/>
      <c r="U790" s="87"/>
      <c r="V790" s="48"/>
      <c r="W790" s="48"/>
      <c r="X790" s="48"/>
      <c r="Y790" s="48"/>
      <c r="Z790" s="47"/>
      <c r="AA790" s="69">
        <v>790</v>
      </c>
      <c r="AB790" s="69"/>
      <c r="AC790" s="70"/>
      <c r="AD790" s="76" t="s">
        <v>22023</v>
      </c>
      <c r="AE790" s="81" t="s">
        <v>20766</v>
      </c>
      <c r="AF790" s="76">
        <v>3</v>
      </c>
      <c r="AG790" s="76">
        <v>87</v>
      </c>
      <c r="AH790" s="76">
        <v>9</v>
      </c>
      <c r="AI790" s="76">
        <v>0</v>
      </c>
      <c r="AJ790" s="76">
        <v>16</v>
      </c>
      <c r="AK790" s="76">
        <v>0</v>
      </c>
      <c r="AL790" s="76" t="b">
        <v>0</v>
      </c>
      <c r="AM790" s="78">
        <v>42810.14</v>
      </c>
      <c r="AN790" s="76" t="s">
        <v>24371</v>
      </c>
      <c r="AO790" s="76"/>
      <c r="AP790" s="76"/>
      <c r="AQ790" s="76"/>
      <c r="AR790" s="76"/>
      <c r="AS790" s="76"/>
      <c r="AT790" s="76"/>
      <c r="AU790" s="76"/>
      <c r="AV790" s="76"/>
      <c r="AW790" s="76"/>
      <c r="AX790" s="76" t="b">
        <v>0</v>
      </c>
      <c r="AY790" s="76"/>
      <c r="AZ790" s="76"/>
      <c r="BA790" s="76" t="b">
        <v>0</v>
      </c>
      <c r="BB790" s="76" t="b">
        <v>1</v>
      </c>
      <c r="BC790" s="76" t="b">
        <v>1</v>
      </c>
      <c r="BD790" s="76" t="b">
        <v>0</v>
      </c>
      <c r="BE790" s="76" t="b">
        <v>0</v>
      </c>
      <c r="BF790" s="76" t="b">
        <v>0</v>
      </c>
      <c r="BG790" s="76" t="b">
        <v>0</v>
      </c>
      <c r="BH790" s="76"/>
      <c r="BI790" s="76"/>
      <c r="BJ790" s="76" t="s">
        <v>27595</v>
      </c>
      <c r="BK790" s="76" t="b">
        <v>0</v>
      </c>
      <c r="BL790" s="76"/>
      <c r="BM790" s="76" t="s">
        <v>66</v>
      </c>
      <c r="BN790" s="76" t="s">
        <v>27597</v>
      </c>
      <c r="BO790" s="82" t="str">
        <f>HYPERLINK("https://twitter.com/george_hc1977")</f>
        <v>https://twitter.com/george_hc1977</v>
      </c>
      <c r="BP790" s="2"/>
    </row>
    <row r="791" spans="1:68" x14ac:dyDescent="0.25">
      <c r="A791" s="62" t="s">
        <v>1868</v>
      </c>
      <c r="B791" s="63"/>
      <c r="C791" s="63"/>
      <c r="D791" s="64"/>
      <c r="E791" s="66"/>
      <c r="F791" s="103" t="str">
        <f>HYPERLINK("https://pbs.twimg.com/profile_images/1605955366038159370/gd6y-5tK_normal.jpg")</f>
        <v>https://pbs.twimg.com/profile_images/1605955366038159370/gd6y-5tK_normal.jpg</v>
      </c>
      <c r="G791" s="63"/>
      <c r="H791" s="67"/>
      <c r="I791" s="68"/>
      <c r="J791" s="68"/>
      <c r="K791" s="67" t="s">
        <v>28385</v>
      </c>
      <c r="L791" s="71"/>
      <c r="M791" s="72"/>
      <c r="N791" s="72"/>
      <c r="O791" s="73"/>
      <c r="P791" s="74"/>
      <c r="Q791" s="74"/>
      <c r="R791" s="87"/>
      <c r="S791" s="87"/>
      <c r="T791" s="87"/>
      <c r="U791" s="87"/>
      <c r="V791" s="48"/>
      <c r="W791" s="48"/>
      <c r="X791" s="48"/>
      <c r="Y791" s="48"/>
      <c r="Z791" s="47"/>
      <c r="AA791" s="69">
        <v>791</v>
      </c>
      <c r="AB791" s="69"/>
      <c r="AC791" s="70"/>
      <c r="AD791" s="76" t="s">
        <v>22024</v>
      </c>
      <c r="AE791" s="81" t="s">
        <v>20278</v>
      </c>
      <c r="AF791" s="76">
        <v>67113</v>
      </c>
      <c r="AG791" s="76">
        <v>2692</v>
      </c>
      <c r="AH791" s="76">
        <v>21193</v>
      </c>
      <c r="AI791" s="76">
        <v>85</v>
      </c>
      <c r="AJ791" s="76">
        <v>22235</v>
      </c>
      <c r="AK791" s="76">
        <v>19419</v>
      </c>
      <c r="AL791" s="76" t="b">
        <v>0</v>
      </c>
      <c r="AM791" s="78">
        <v>44038.824155092596</v>
      </c>
      <c r="AN791" s="76" t="s">
        <v>14389</v>
      </c>
      <c r="AO791" s="76" t="s">
        <v>25420</v>
      </c>
      <c r="AP791" s="82" t="str">
        <f>HYPERLINK("https://t.co/ksSUvPOBaO")</f>
        <v>https://t.co/ksSUvPOBaO</v>
      </c>
      <c r="AQ791" s="82" t="str">
        <f>HYPERLINK("https://linktr.ee/ladataec")</f>
        <v>https://linktr.ee/ladataec</v>
      </c>
      <c r="AR791" s="76" t="s">
        <v>26787</v>
      </c>
      <c r="AS791" s="76"/>
      <c r="AT791" s="76"/>
      <c r="AU791" s="76"/>
      <c r="AV791" s="76">
        <v>1.65392375172814E+18</v>
      </c>
      <c r="AW791" s="82" t="str">
        <f>HYPERLINK("https://t.co/ksSUvPOBaO")</f>
        <v>https://t.co/ksSUvPOBaO</v>
      </c>
      <c r="AX791" s="76" t="b">
        <v>1</v>
      </c>
      <c r="AY791" s="76"/>
      <c r="AZ791" s="76"/>
      <c r="BA791" s="76" t="b">
        <v>0</v>
      </c>
      <c r="BB791" s="76" t="b">
        <v>0</v>
      </c>
      <c r="BC791" s="76" t="b">
        <v>1</v>
      </c>
      <c r="BD791" s="76" t="b">
        <v>0</v>
      </c>
      <c r="BE791" s="76" t="b">
        <v>1</v>
      </c>
      <c r="BF791" s="76" t="b">
        <v>0</v>
      </c>
      <c r="BG791" s="76" t="b">
        <v>0</v>
      </c>
      <c r="BH791" s="82" t="str">
        <f>HYPERLINK("https://pbs.twimg.com/profile_banners/1287473710174212096/1689116505")</f>
        <v>https://pbs.twimg.com/profile_banners/1287473710174212096/1689116505</v>
      </c>
      <c r="BI791" s="76"/>
      <c r="BJ791" s="76" t="s">
        <v>27595</v>
      </c>
      <c r="BK791" s="76" t="b">
        <v>0</v>
      </c>
      <c r="BL791" s="76"/>
      <c r="BM791" s="76" t="s">
        <v>65</v>
      </c>
      <c r="BN791" s="76" t="s">
        <v>27597</v>
      </c>
      <c r="BO791" s="82" t="str">
        <f>HYPERLINK("https://twitter.com/ladataec")</f>
        <v>https://twitter.com/ladataec</v>
      </c>
      <c r="BP791" s="2"/>
    </row>
    <row r="792" spans="1:68" x14ac:dyDescent="0.25">
      <c r="A792" s="62" t="s">
        <v>793</v>
      </c>
      <c r="B792" s="63"/>
      <c r="C792" s="63"/>
      <c r="D792" s="64"/>
      <c r="E792" s="66"/>
      <c r="F792" s="103" t="str">
        <f>HYPERLINK("https://pbs.twimg.com/profile_images/1657110554756931585/GcihPxa7_normal.jpg")</f>
        <v>https://pbs.twimg.com/profile_images/1657110554756931585/GcihPxa7_normal.jpg</v>
      </c>
      <c r="G792" s="63"/>
      <c r="H792" s="67"/>
      <c r="I792" s="68"/>
      <c r="J792" s="68"/>
      <c r="K792" s="67" t="s">
        <v>28386</v>
      </c>
      <c r="L792" s="71"/>
      <c r="M792" s="72"/>
      <c r="N792" s="72"/>
      <c r="O792" s="73"/>
      <c r="P792" s="74"/>
      <c r="Q792" s="74"/>
      <c r="R792" s="87"/>
      <c r="S792" s="87"/>
      <c r="T792" s="87"/>
      <c r="U792" s="87"/>
      <c r="V792" s="48"/>
      <c r="W792" s="48"/>
      <c r="X792" s="48"/>
      <c r="Y792" s="48"/>
      <c r="Z792" s="47"/>
      <c r="AA792" s="69">
        <v>792</v>
      </c>
      <c r="AB792" s="69"/>
      <c r="AC792" s="70"/>
      <c r="AD792" s="76" t="s">
        <v>22025</v>
      </c>
      <c r="AE792" s="81" t="s">
        <v>23491</v>
      </c>
      <c r="AF792" s="76">
        <v>12401</v>
      </c>
      <c r="AG792" s="76">
        <v>17</v>
      </c>
      <c r="AH792" s="76">
        <v>39484</v>
      </c>
      <c r="AI792" s="76">
        <v>178</v>
      </c>
      <c r="AJ792" s="76">
        <v>285</v>
      </c>
      <c r="AK792" s="76">
        <v>3549</v>
      </c>
      <c r="AL792" s="76" t="b">
        <v>0</v>
      </c>
      <c r="AM792" s="78">
        <v>40116.014374999999</v>
      </c>
      <c r="AN792" s="76" t="s">
        <v>14402</v>
      </c>
      <c r="AO792" s="76" t="s">
        <v>25421</v>
      </c>
      <c r="AP792" s="82" t="str">
        <f>HYPERLINK("https://t.co/zMKrXHR6Vf")</f>
        <v>https://t.co/zMKrXHR6Vf</v>
      </c>
      <c r="AQ792" s="82" t="str">
        <f>HYPERLINK("https://www.instagram.com/ricnoticias24h/")</f>
        <v>https://www.instagram.com/ricnoticias24h/</v>
      </c>
      <c r="AR792" s="76" t="s">
        <v>26788</v>
      </c>
      <c r="AS792" s="76"/>
      <c r="AT792" s="76"/>
      <c r="AU792" s="76"/>
      <c r="AV792" s="76">
        <v>1.6769761066735099E+18</v>
      </c>
      <c r="AW792" s="82" t="str">
        <f>HYPERLINK("https://t.co/zMKrXHR6Vf")</f>
        <v>https://t.co/zMKrXHR6Vf</v>
      </c>
      <c r="AX792" s="76" t="b">
        <v>0</v>
      </c>
      <c r="AY792" s="76"/>
      <c r="AZ792" s="76"/>
      <c r="BA792" s="76" t="b">
        <v>0</v>
      </c>
      <c r="BB792" s="76" t="b">
        <v>1</v>
      </c>
      <c r="BC792" s="76" t="b">
        <v>0</v>
      </c>
      <c r="BD792" s="76" t="b">
        <v>0</v>
      </c>
      <c r="BE792" s="76" t="b">
        <v>1</v>
      </c>
      <c r="BF792" s="76" t="b">
        <v>0</v>
      </c>
      <c r="BG792" s="76" t="b">
        <v>0</v>
      </c>
      <c r="BH792" s="82" t="str">
        <f>HYPERLINK("https://pbs.twimg.com/profile_banners/86200684/1683920919")</f>
        <v>https://pbs.twimg.com/profile_banners/86200684/1683920919</v>
      </c>
      <c r="BI792" s="76"/>
      <c r="BJ792" s="76" t="s">
        <v>27595</v>
      </c>
      <c r="BK792" s="76" t="b">
        <v>0</v>
      </c>
      <c r="BL792" s="76"/>
      <c r="BM792" s="76" t="s">
        <v>66</v>
      </c>
      <c r="BN792" s="76" t="s">
        <v>27597</v>
      </c>
      <c r="BO792" s="82" t="str">
        <f>HYPERLINK("https://twitter.com/ricnoticias24h")</f>
        <v>https://twitter.com/ricnoticias24h</v>
      </c>
      <c r="BP792" s="2"/>
    </row>
    <row r="793" spans="1:68" x14ac:dyDescent="0.25">
      <c r="A793" s="62" t="s">
        <v>794</v>
      </c>
      <c r="B793" s="63"/>
      <c r="C793" s="63"/>
      <c r="D793" s="64"/>
      <c r="E793" s="66"/>
      <c r="F793" s="103" t="str">
        <f>HYPERLINK("https://pbs.twimg.com/profile_images/1649476177248022529/nxfzc5AS_normal.png")</f>
        <v>https://pbs.twimg.com/profile_images/1649476177248022529/nxfzc5AS_normal.png</v>
      </c>
      <c r="G793" s="63"/>
      <c r="H793" s="67"/>
      <c r="I793" s="68"/>
      <c r="J793" s="68"/>
      <c r="K793" s="67" t="s">
        <v>28387</v>
      </c>
      <c r="L793" s="71"/>
      <c r="M793" s="72"/>
      <c r="N793" s="72"/>
      <c r="O793" s="73"/>
      <c r="P793" s="74"/>
      <c r="Q793" s="74"/>
      <c r="R793" s="87"/>
      <c r="S793" s="87"/>
      <c r="T793" s="87"/>
      <c r="U793" s="87"/>
      <c r="V793" s="48"/>
      <c r="W793" s="48"/>
      <c r="X793" s="48"/>
      <c r="Y793" s="48"/>
      <c r="Z793" s="47"/>
      <c r="AA793" s="69">
        <v>793</v>
      </c>
      <c r="AB793" s="69"/>
      <c r="AC793" s="70"/>
      <c r="AD793" s="76" t="s">
        <v>22026</v>
      </c>
      <c r="AE793" s="81" t="s">
        <v>20767</v>
      </c>
      <c r="AF793" s="76">
        <v>412</v>
      </c>
      <c r="AG793" s="76">
        <v>0</v>
      </c>
      <c r="AH793" s="76">
        <v>262</v>
      </c>
      <c r="AI793" s="76">
        <v>0</v>
      </c>
      <c r="AJ793" s="76">
        <v>51</v>
      </c>
      <c r="AK793" s="76">
        <v>213</v>
      </c>
      <c r="AL793" s="76" t="b">
        <v>0</v>
      </c>
      <c r="AM793" s="78">
        <v>45005.932199074072</v>
      </c>
      <c r="AN793" s="76" t="s">
        <v>14385</v>
      </c>
      <c r="AO793" s="76" t="s">
        <v>25422</v>
      </c>
      <c r="AP793" s="82" t="str">
        <f>HYPERLINK("https://t.co/Rs9O8bmDIB")</f>
        <v>https://t.co/Rs9O8bmDIB</v>
      </c>
      <c r="AQ793" s="82" t="str">
        <f>HYPERLINK("https://www.youtube.com/@estratosferaok")</f>
        <v>https://www.youtube.com/@estratosferaok</v>
      </c>
      <c r="AR793" s="76" t="s">
        <v>26789</v>
      </c>
      <c r="AS793" s="76"/>
      <c r="AT793" s="76"/>
      <c r="AU793" s="76"/>
      <c r="AV793" s="76"/>
      <c r="AW793" s="82" t="str">
        <f>HYPERLINK("https://t.co/Rs9O8bmDIB")</f>
        <v>https://t.co/Rs9O8bmDIB</v>
      </c>
      <c r="AX793" s="76" t="b">
        <v>1</v>
      </c>
      <c r="AY793" s="76"/>
      <c r="AZ793" s="76"/>
      <c r="BA793" s="76" t="b">
        <v>0</v>
      </c>
      <c r="BB793" s="76" t="b">
        <v>1</v>
      </c>
      <c r="BC793" s="76" t="b">
        <v>1</v>
      </c>
      <c r="BD793" s="76" t="b">
        <v>0</v>
      </c>
      <c r="BE793" s="76" t="b">
        <v>0</v>
      </c>
      <c r="BF793" s="76" t="b">
        <v>0</v>
      </c>
      <c r="BG793" s="76" t="b">
        <v>0</v>
      </c>
      <c r="BH793" s="82" t="str">
        <f>HYPERLINK("https://pbs.twimg.com/profile_banners/1637942300868333568/1682100767")</f>
        <v>https://pbs.twimg.com/profile_banners/1637942300868333568/1682100767</v>
      </c>
      <c r="BI793" s="76"/>
      <c r="BJ793" s="76" t="s">
        <v>27595</v>
      </c>
      <c r="BK793" s="76" t="b">
        <v>0</v>
      </c>
      <c r="BL793" s="76"/>
      <c r="BM793" s="76" t="s">
        <v>66</v>
      </c>
      <c r="BN793" s="76" t="s">
        <v>27597</v>
      </c>
      <c r="BO793" s="82" t="str">
        <f>HYPERLINK("https://twitter.com/estratosferaok")</f>
        <v>https://twitter.com/estratosferaok</v>
      </c>
      <c r="BP793" s="2"/>
    </row>
    <row r="794" spans="1:68" x14ac:dyDescent="0.25">
      <c r="A794" s="62" t="s">
        <v>795</v>
      </c>
      <c r="B794" s="63"/>
      <c r="C794" s="63"/>
      <c r="D794" s="64"/>
      <c r="E794" s="66"/>
      <c r="F794" s="103" t="str">
        <f>HYPERLINK("https://pbs.twimg.com/profile_images/1705318626570457088/1ZQacUzz_normal.jpg")</f>
        <v>https://pbs.twimg.com/profile_images/1705318626570457088/1ZQacUzz_normal.jpg</v>
      </c>
      <c r="G794" s="63"/>
      <c r="H794" s="67"/>
      <c r="I794" s="68"/>
      <c r="J794" s="68"/>
      <c r="K794" s="67" t="s">
        <v>28388</v>
      </c>
      <c r="L794" s="71"/>
      <c r="M794" s="72"/>
      <c r="N794" s="72"/>
      <c r="O794" s="73"/>
      <c r="P794" s="74"/>
      <c r="Q794" s="74"/>
      <c r="R794" s="87"/>
      <c r="S794" s="87"/>
      <c r="T794" s="87"/>
      <c r="U794" s="87"/>
      <c r="V794" s="48"/>
      <c r="W794" s="48"/>
      <c r="X794" s="48"/>
      <c r="Y794" s="48"/>
      <c r="Z794" s="47"/>
      <c r="AA794" s="69">
        <v>794</v>
      </c>
      <c r="AB794" s="69"/>
      <c r="AC794" s="70"/>
      <c r="AD794" s="76" t="s">
        <v>22027</v>
      </c>
      <c r="AE794" s="81" t="s">
        <v>23492</v>
      </c>
      <c r="AF794" s="76">
        <v>115</v>
      </c>
      <c r="AG794" s="76">
        <v>641</v>
      </c>
      <c r="AH794" s="76">
        <v>16651</v>
      </c>
      <c r="AI794" s="76">
        <v>0</v>
      </c>
      <c r="AJ794" s="76">
        <v>73582</v>
      </c>
      <c r="AK794" s="76">
        <v>1666</v>
      </c>
      <c r="AL794" s="76" t="b">
        <v>0</v>
      </c>
      <c r="AM794" s="78">
        <v>40535.891284722224</v>
      </c>
      <c r="AN794" s="76" t="s">
        <v>24292</v>
      </c>
      <c r="AO794" s="76" t="s">
        <v>25423</v>
      </c>
      <c r="AP794" s="76"/>
      <c r="AQ794" s="76"/>
      <c r="AR794" s="76"/>
      <c r="AS794" s="76"/>
      <c r="AT794" s="76"/>
      <c r="AU794" s="76"/>
      <c r="AV794" s="76">
        <v>1.60455834049891E+18</v>
      </c>
      <c r="AW794" s="76"/>
      <c r="AX794" s="76" t="b">
        <v>0</v>
      </c>
      <c r="AY794" s="76"/>
      <c r="AZ794" s="76"/>
      <c r="BA794" s="76" t="b">
        <v>1</v>
      </c>
      <c r="BB794" s="76" t="b">
        <v>0</v>
      </c>
      <c r="BC794" s="76" t="b">
        <v>0</v>
      </c>
      <c r="BD794" s="76" t="b">
        <v>0</v>
      </c>
      <c r="BE794" s="76" t="b">
        <v>0</v>
      </c>
      <c r="BF794" s="76" t="b">
        <v>0</v>
      </c>
      <c r="BG794" s="76" t="b">
        <v>1</v>
      </c>
      <c r="BH794" s="82" t="str">
        <f>HYPERLINK("https://pbs.twimg.com/profile_banners/229966200/1531868009")</f>
        <v>https://pbs.twimg.com/profile_banners/229966200/1531868009</v>
      </c>
      <c r="BI794" s="76"/>
      <c r="BJ794" s="76" t="s">
        <v>27595</v>
      </c>
      <c r="BK794" s="76" t="b">
        <v>0</v>
      </c>
      <c r="BL794" s="76"/>
      <c r="BM794" s="76" t="s">
        <v>66</v>
      </c>
      <c r="BN794" s="76" t="s">
        <v>27597</v>
      </c>
      <c r="BO794" s="82" t="str">
        <f>HYPERLINK("https://twitter.com/jano_barr")</f>
        <v>https://twitter.com/jano_barr</v>
      </c>
      <c r="BP794" s="2"/>
    </row>
    <row r="795" spans="1:68" x14ac:dyDescent="0.25">
      <c r="A795" s="62" t="s">
        <v>796</v>
      </c>
      <c r="B795" s="63"/>
      <c r="C795" s="63"/>
      <c r="D795" s="64"/>
      <c r="E795" s="66"/>
      <c r="F795" s="103" t="str">
        <f>HYPERLINK("https://pbs.twimg.com/profile_images/1523862026484916225/83e8KNXH_normal.jpg")</f>
        <v>https://pbs.twimg.com/profile_images/1523862026484916225/83e8KNXH_normal.jpg</v>
      </c>
      <c r="G795" s="63"/>
      <c r="H795" s="67"/>
      <c r="I795" s="68"/>
      <c r="J795" s="68"/>
      <c r="K795" s="67" t="s">
        <v>28389</v>
      </c>
      <c r="L795" s="71"/>
      <c r="M795" s="72"/>
      <c r="N795" s="72"/>
      <c r="O795" s="73"/>
      <c r="P795" s="74"/>
      <c r="Q795" s="74"/>
      <c r="R795" s="87"/>
      <c r="S795" s="87"/>
      <c r="T795" s="87"/>
      <c r="U795" s="87"/>
      <c r="V795" s="48"/>
      <c r="W795" s="48"/>
      <c r="X795" s="48"/>
      <c r="Y795" s="48"/>
      <c r="Z795" s="47"/>
      <c r="AA795" s="69">
        <v>795</v>
      </c>
      <c r="AB795" s="69"/>
      <c r="AC795" s="70"/>
      <c r="AD795" s="76" t="s">
        <v>22028</v>
      </c>
      <c r="AE795" s="81" t="s">
        <v>20768</v>
      </c>
      <c r="AF795" s="76">
        <v>89</v>
      </c>
      <c r="AG795" s="76">
        <v>51</v>
      </c>
      <c r="AH795" s="76">
        <v>8124</v>
      </c>
      <c r="AI795" s="76">
        <v>0</v>
      </c>
      <c r="AJ795" s="76">
        <v>45</v>
      </c>
      <c r="AK795" s="76">
        <v>69</v>
      </c>
      <c r="AL795" s="76" t="b">
        <v>0</v>
      </c>
      <c r="AM795" s="78">
        <v>42862.786249999997</v>
      </c>
      <c r="AN795" s="76"/>
      <c r="AO795" s="76" t="s">
        <v>25424</v>
      </c>
      <c r="AP795" s="76"/>
      <c r="AQ795" s="76"/>
      <c r="AR795" s="76"/>
      <c r="AS795" s="76"/>
      <c r="AT795" s="76"/>
      <c r="AU795" s="76"/>
      <c r="AV795" s="76"/>
      <c r="AW795" s="76"/>
      <c r="AX795" s="76" t="b">
        <v>0</v>
      </c>
      <c r="AY795" s="76"/>
      <c r="AZ795" s="76"/>
      <c r="BA795" s="76" t="b">
        <v>0</v>
      </c>
      <c r="BB795" s="76" t="b">
        <v>1</v>
      </c>
      <c r="BC795" s="76" t="b">
        <v>1</v>
      </c>
      <c r="BD795" s="76" t="b">
        <v>0</v>
      </c>
      <c r="BE795" s="76" t="b">
        <v>1</v>
      </c>
      <c r="BF795" s="76" t="b">
        <v>0</v>
      </c>
      <c r="BG795" s="76" t="b">
        <v>0</v>
      </c>
      <c r="BH795" s="82" t="str">
        <f>HYPERLINK("https://pbs.twimg.com/profile_banners/861292597368827904/1496188726")</f>
        <v>https://pbs.twimg.com/profile_banners/861292597368827904/1496188726</v>
      </c>
      <c r="BI795" s="76"/>
      <c r="BJ795" s="76" t="s">
        <v>27595</v>
      </c>
      <c r="BK795" s="76" t="b">
        <v>0</v>
      </c>
      <c r="BL795" s="76"/>
      <c r="BM795" s="76" t="s">
        <v>66</v>
      </c>
      <c r="BN795" s="76" t="s">
        <v>27597</v>
      </c>
      <c r="BO795" s="82" t="str">
        <f>HYPERLINK("https://twitter.com/nonocofre")</f>
        <v>https://twitter.com/nonocofre</v>
      </c>
      <c r="BP795" s="2"/>
    </row>
    <row r="796" spans="1:68" x14ac:dyDescent="0.25">
      <c r="A796" s="62" t="s">
        <v>797</v>
      </c>
      <c r="B796" s="63"/>
      <c r="C796" s="63"/>
      <c r="D796" s="64"/>
      <c r="E796" s="66"/>
      <c r="F796" s="103" t="str">
        <f>HYPERLINK("https://pbs.twimg.com/profile_images/1551903528985165826/sR-h2-u2_normal.jpg")</f>
        <v>https://pbs.twimg.com/profile_images/1551903528985165826/sR-h2-u2_normal.jpg</v>
      </c>
      <c r="G796" s="63"/>
      <c r="H796" s="67"/>
      <c r="I796" s="68"/>
      <c r="J796" s="68"/>
      <c r="K796" s="67" t="s">
        <v>28390</v>
      </c>
      <c r="L796" s="71"/>
      <c r="M796" s="72"/>
      <c r="N796" s="72"/>
      <c r="O796" s="73"/>
      <c r="P796" s="74"/>
      <c r="Q796" s="74"/>
      <c r="R796" s="87"/>
      <c r="S796" s="87"/>
      <c r="T796" s="87"/>
      <c r="U796" s="87"/>
      <c r="V796" s="48"/>
      <c r="W796" s="48"/>
      <c r="X796" s="48"/>
      <c r="Y796" s="48"/>
      <c r="Z796" s="47"/>
      <c r="AA796" s="69">
        <v>796</v>
      </c>
      <c r="AB796" s="69"/>
      <c r="AC796" s="70"/>
      <c r="AD796" s="76" t="s">
        <v>22029</v>
      </c>
      <c r="AE796" s="81" t="s">
        <v>23493</v>
      </c>
      <c r="AF796" s="76">
        <v>2186</v>
      </c>
      <c r="AG796" s="76">
        <v>207</v>
      </c>
      <c r="AH796" s="76">
        <v>59423</v>
      </c>
      <c r="AI796" s="76">
        <v>1</v>
      </c>
      <c r="AJ796" s="76">
        <v>11721</v>
      </c>
      <c r="AK796" s="76">
        <v>669</v>
      </c>
      <c r="AL796" s="76" t="b">
        <v>0</v>
      </c>
      <c r="AM796" s="78">
        <v>41765.87128472222</v>
      </c>
      <c r="AN796" s="76"/>
      <c r="AO796" s="76" t="s">
        <v>25425</v>
      </c>
      <c r="AP796" s="76"/>
      <c r="AQ796" s="76"/>
      <c r="AR796" s="76"/>
      <c r="AS796" s="76"/>
      <c r="AT796" s="76"/>
      <c r="AU796" s="76"/>
      <c r="AV796" s="76">
        <v>1.3817074967132401E+18</v>
      </c>
      <c r="AW796" s="76"/>
      <c r="AX796" s="76" t="b">
        <v>0</v>
      </c>
      <c r="AY796" s="76"/>
      <c r="AZ796" s="76"/>
      <c r="BA796" s="76" t="b">
        <v>1</v>
      </c>
      <c r="BB796" s="76" t="b">
        <v>0</v>
      </c>
      <c r="BC796" s="76" t="b">
        <v>1</v>
      </c>
      <c r="BD796" s="76" t="b">
        <v>0</v>
      </c>
      <c r="BE796" s="76" t="b">
        <v>1</v>
      </c>
      <c r="BF796" s="76" t="b">
        <v>0</v>
      </c>
      <c r="BG796" s="76" t="b">
        <v>0</v>
      </c>
      <c r="BH796" s="82" t="str">
        <f>HYPERLINK("https://pbs.twimg.com/profile_banners/2480376386/1596620345")</f>
        <v>https://pbs.twimg.com/profile_banners/2480376386/1596620345</v>
      </c>
      <c r="BI796" s="76"/>
      <c r="BJ796" s="76" t="s">
        <v>27595</v>
      </c>
      <c r="BK796" s="76" t="b">
        <v>0</v>
      </c>
      <c r="BL796" s="76"/>
      <c r="BM796" s="76" t="s">
        <v>66</v>
      </c>
      <c r="BN796" s="76" t="s">
        <v>27597</v>
      </c>
      <c r="BO796" s="82" t="str">
        <f>HYPERLINK("https://twitter.com/insaneisann__")</f>
        <v>https://twitter.com/insaneisann__</v>
      </c>
      <c r="BP796" s="2"/>
    </row>
    <row r="797" spans="1:68" x14ac:dyDescent="0.25">
      <c r="A797" s="62" t="s">
        <v>798</v>
      </c>
      <c r="B797" s="63"/>
      <c r="C797" s="63"/>
      <c r="D797" s="64"/>
      <c r="E797" s="66"/>
      <c r="F797" s="103" t="str">
        <f>HYPERLINK("https://abs.twimg.com/sticky/default_profile_images/default_profile_normal.png")</f>
        <v>https://abs.twimg.com/sticky/default_profile_images/default_profile_normal.png</v>
      </c>
      <c r="G797" s="63"/>
      <c r="H797" s="67"/>
      <c r="I797" s="68"/>
      <c r="J797" s="68"/>
      <c r="K797" s="67" t="s">
        <v>28391</v>
      </c>
      <c r="L797" s="71"/>
      <c r="M797" s="72"/>
      <c r="N797" s="72"/>
      <c r="O797" s="73"/>
      <c r="P797" s="74"/>
      <c r="Q797" s="74"/>
      <c r="R797" s="87"/>
      <c r="S797" s="87"/>
      <c r="T797" s="87"/>
      <c r="U797" s="87"/>
      <c r="V797" s="48"/>
      <c r="W797" s="48"/>
      <c r="X797" s="48"/>
      <c r="Y797" s="48"/>
      <c r="Z797" s="47"/>
      <c r="AA797" s="69">
        <v>797</v>
      </c>
      <c r="AB797" s="69"/>
      <c r="AC797" s="70"/>
      <c r="AD797" s="76" t="s">
        <v>22030</v>
      </c>
      <c r="AE797" s="81" t="s">
        <v>20769</v>
      </c>
      <c r="AF797" s="76">
        <v>38</v>
      </c>
      <c r="AG797" s="76">
        <v>154</v>
      </c>
      <c r="AH797" s="76">
        <v>10100</v>
      </c>
      <c r="AI797" s="76">
        <v>1</v>
      </c>
      <c r="AJ797" s="76">
        <v>22085</v>
      </c>
      <c r="AK797" s="76">
        <v>4</v>
      </c>
      <c r="AL797" s="76" t="b">
        <v>0</v>
      </c>
      <c r="AM797" s="78">
        <v>44619.925219907411</v>
      </c>
      <c r="AN797" s="76"/>
      <c r="AO797" s="76"/>
      <c r="AP797" s="76"/>
      <c r="AQ797" s="76"/>
      <c r="AR797" s="76"/>
      <c r="AS797" s="76"/>
      <c r="AT797" s="76"/>
      <c r="AU797" s="76"/>
      <c r="AV797" s="76"/>
      <c r="AW797" s="76"/>
      <c r="AX797" s="76" t="b">
        <v>0</v>
      </c>
      <c r="AY797" s="76"/>
      <c r="AZ797" s="76"/>
      <c r="BA797" s="76" t="b">
        <v>0</v>
      </c>
      <c r="BB797" s="76" t="b">
        <v>1</v>
      </c>
      <c r="BC797" s="76" t="b">
        <v>1</v>
      </c>
      <c r="BD797" s="76" t="b">
        <v>1</v>
      </c>
      <c r="BE797" s="76" t="b">
        <v>1</v>
      </c>
      <c r="BF797" s="76" t="b">
        <v>0</v>
      </c>
      <c r="BG797" s="76" t="b">
        <v>0</v>
      </c>
      <c r="BH797" s="76"/>
      <c r="BI797" s="76"/>
      <c r="BJ797" s="76" t="s">
        <v>27595</v>
      </c>
      <c r="BK797" s="76" t="b">
        <v>0</v>
      </c>
      <c r="BL797" s="76"/>
      <c r="BM797" s="76" t="s">
        <v>66</v>
      </c>
      <c r="BN797" s="76" t="s">
        <v>27597</v>
      </c>
      <c r="BO797" s="82" t="str">
        <f>HYPERLINK("https://twitter.com/jucamorro6")</f>
        <v>https://twitter.com/jucamorro6</v>
      </c>
      <c r="BP797" s="2"/>
    </row>
    <row r="798" spans="1:68" x14ac:dyDescent="0.25">
      <c r="A798" s="62" t="s">
        <v>1672</v>
      </c>
      <c r="B798" s="63"/>
      <c r="C798" s="63"/>
      <c r="D798" s="64"/>
      <c r="E798" s="66"/>
      <c r="F798" s="103" t="str">
        <f>HYPERLINK("https://pbs.twimg.com/profile_images/1686923153878966272/6FMLng-v_normal.jpg")</f>
        <v>https://pbs.twimg.com/profile_images/1686923153878966272/6FMLng-v_normal.jpg</v>
      </c>
      <c r="G798" s="63"/>
      <c r="H798" s="67"/>
      <c r="I798" s="68"/>
      <c r="J798" s="68"/>
      <c r="K798" s="67" t="s">
        <v>28392</v>
      </c>
      <c r="L798" s="71"/>
      <c r="M798" s="72"/>
      <c r="N798" s="72"/>
      <c r="O798" s="73"/>
      <c r="P798" s="74"/>
      <c r="Q798" s="74"/>
      <c r="R798" s="87"/>
      <c r="S798" s="87"/>
      <c r="T798" s="87"/>
      <c r="U798" s="87"/>
      <c r="V798" s="48"/>
      <c r="W798" s="48"/>
      <c r="X798" s="48"/>
      <c r="Y798" s="48"/>
      <c r="Z798" s="47"/>
      <c r="AA798" s="69">
        <v>798</v>
      </c>
      <c r="AB798" s="69"/>
      <c r="AC798" s="70"/>
      <c r="AD798" s="76" t="s">
        <v>22031</v>
      </c>
      <c r="AE798" s="81" t="s">
        <v>23494</v>
      </c>
      <c r="AF798" s="76">
        <v>13405</v>
      </c>
      <c r="AG798" s="76">
        <v>104</v>
      </c>
      <c r="AH798" s="76">
        <v>21018</v>
      </c>
      <c r="AI798" s="76">
        <v>39</v>
      </c>
      <c r="AJ798" s="76">
        <v>34876</v>
      </c>
      <c r="AK798" s="76">
        <v>3625</v>
      </c>
      <c r="AL798" s="76" t="b">
        <v>0</v>
      </c>
      <c r="AM798" s="78">
        <v>40062.72351851852</v>
      </c>
      <c r="AN798" s="76" t="s">
        <v>24374</v>
      </c>
      <c r="AO798" s="76" t="s">
        <v>25426</v>
      </c>
      <c r="AP798" s="82" t="str">
        <f>HYPERLINK("https://t.co/bJBGpxElfP")</f>
        <v>https://t.co/bJBGpxElfP</v>
      </c>
      <c r="AQ798" s="82" t="str">
        <f>HYPERLINK("https://www.facebook.com/danielsucharzomer/")</f>
        <v>https://www.facebook.com/danielsucharzomer/</v>
      </c>
      <c r="AR798" s="76" t="s">
        <v>26790</v>
      </c>
      <c r="AS798" s="76"/>
      <c r="AT798" s="76"/>
      <c r="AU798" s="76"/>
      <c r="AV798" s="76">
        <v>1.67727820733726E+18</v>
      </c>
      <c r="AW798" s="82" t="str">
        <f>HYPERLINK("https://t.co/bJBGpxElfP")</f>
        <v>https://t.co/bJBGpxElfP</v>
      </c>
      <c r="AX798" s="76" t="b">
        <v>0</v>
      </c>
      <c r="AY798" s="76"/>
      <c r="AZ798" s="76"/>
      <c r="BA798" s="76" t="b">
        <v>1</v>
      </c>
      <c r="BB798" s="76" t="b">
        <v>1</v>
      </c>
      <c r="BC798" s="76" t="b">
        <v>0</v>
      </c>
      <c r="BD798" s="76" t="b">
        <v>0</v>
      </c>
      <c r="BE798" s="76" t="b">
        <v>1</v>
      </c>
      <c r="BF798" s="76" t="b">
        <v>0</v>
      </c>
      <c r="BG798" s="76" t="b">
        <v>0</v>
      </c>
      <c r="BH798" s="82" t="str">
        <f>HYPERLINK("https://pbs.twimg.com/profile_banners/72079608/1604372848")</f>
        <v>https://pbs.twimg.com/profile_banners/72079608/1604372848</v>
      </c>
      <c r="BI798" s="76"/>
      <c r="BJ798" s="76" t="s">
        <v>27595</v>
      </c>
      <c r="BK798" s="76" t="b">
        <v>0</v>
      </c>
      <c r="BL798" s="76"/>
      <c r="BM798" s="76" t="s">
        <v>66</v>
      </c>
      <c r="BN798" s="76" t="s">
        <v>27597</v>
      </c>
      <c r="BO798" s="82" t="str">
        <f>HYPERLINK("https://twitter.com/danielsuchar")</f>
        <v>https://twitter.com/danielsuchar</v>
      </c>
      <c r="BP798" s="2"/>
    </row>
    <row r="799" spans="1:68" x14ac:dyDescent="0.25">
      <c r="A799" s="62" t="s">
        <v>799</v>
      </c>
      <c r="B799" s="63"/>
      <c r="C799" s="63"/>
      <c r="D799" s="64"/>
      <c r="E799" s="66"/>
      <c r="F799" s="103" t="str">
        <f>HYPERLINK("https://pbs.twimg.com/profile_images/1233022922056458245/vCXzMs8k_normal.jpg")</f>
        <v>https://pbs.twimg.com/profile_images/1233022922056458245/vCXzMs8k_normal.jpg</v>
      </c>
      <c r="G799" s="63"/>
      <c r="H799" s="67"/>
      <c r="I799" s="68"/>
      <c r="J799" s="68"/>
      <c r="K799" s="67" t="s">
        <v>28393</v>
      </c>
      <c r="L799" s="71"/>
      <c r="M799" s="72"/>
      <c r="N799" s="72"/>
      <c r="O799" s="73"/>
      <c r="P799" s="74"/>
      <c r="Q799" s="74"/>
      <c r="R799" s="87"/>
      <c r="S799" s="87"/>
      <c r="T799" s="87"/>
      <c r="U799" s="87"/>
      <c r="V799" s="48"/>
      <c r="W799" s="48"/>
      <c r="X799" s="48"/>
      <c r="Y799" s="48"/>
      <c r="Z799" s="47"/>
      <c r="AA799" s="69">
        <v>799</v>
      </c>
      <c r="AB799" s="69"/>
      <c r="AC799" s="70"/>
      <c r="AD799" s="76" t="s">
        <v>22032</v>
      </c>
      <c r="AE799" s="81" t="s">
        <v>20279</v>
      </c>
      <c r="AF799" s="76">
        <v>191</v>
      </c>
      <c r="AG799" s="76">
        <v>136</v>
      </c>
      <c r="AH799" s="76">
        <v>2589</v>
      </c>
      <c r="AI799" s="76">
        <v>1</v>
      </c>
      <c r="AJ799" s="76">
        <v>2157</v>
      </c>
      <c r="AK799" s="76">
        <v>275</v>
      </c>
      <c r="AL799" s="76" t="b">
        <v>0</v>
      </c>
      <c r="AM799" s="78">
        <v>40645.153124999997</v>
      </c>
      <c r="AN799" s="76" t="s">
        <v>14500</v>
      </c>
      <c r="AO799" s="76" t="s">
        <v>25427</v>
      </c>
      <c r="AP799" s="82" t="str">
        <f>HYPERLINK("https://t.co/1CfDqn4nNw")</f>
        <v>https://t.co/1CfDqn4nNw</v>
      </c>
      <c r="AQ799" s="82" t="str">
        <f>HYPERLINK("http://www.imperiolnj.com")</f>
        <v>http://www.imperiolnj.com</v>
      </c>
      <c r="AR799" s="76" t="s">
        <v>26791</v>
      </c>
      <c r="AS799" s="76"/>
      <c r="AT799" s="76"/>
      <c r="AU799" s="76"/>
      <c r="AV799" s="76">
        <v>1.61699075184128E+18</v>
      </c>
      <c r="AW799" s="82" t="str">
        <f>HYPERLINK("https://t.co/1CfDqn4nNw")</f>
        <v>https://t.co/1CfDqn4nNw</v>
      </c>
      <c r="AX799" s="76" t="b">
        <v>0</v>
      </c>
      <c r="AY799" s="76"/>
      <c r="AZ799" s="76"/>
      <c r="BA799" s="76" t="b">
        <v>0</v>
      </c>
      <c r="BB799" s="76" t="b">
        <v>1</v>
      </c>
      <c r="BC799" s="76" t="b">
        <v>1</v>
      </c>
      <c r="BD799" s="76" t="b">
        <v>0</v>
      </c>
      <c r="BE799" s="76" t="b">
        <v>1</v>
      </c>
      <c r="BF799" s="76" t="b">
        <v>0</v>
      </c>
      <c r="BG799" s="76" t="b">
        <v>0</v>
      </c>
      <c r="BH799" s="76"/>
      <c r="BI799" s="76"/>
      <c r="BJ799" s="76" t="s">
        <v>27595</v>
      </c>
      <c r="BK799" s="76" t="b">
        <v>0</v>
      </c>
      <c r="BL799" s="76"/>
      <c r="BM799" s="76" t="s">
        <v>66</v>
      </c>
      <c r="BN799" s="76" t="s">
        <v>27597</v>
      </c>
      <c r="BO799" s="82" t="str">
        <f>HYPERLINK("https://twitter.com/lnjgolsilver")</f>
        <v>https://twitter.com/lnjgolsilver</v>
      </c>
      <c r="BP799" s="2"/>
    </row>
    <row r="800" spans="1:68" x14ac:dyDescent="0.25">
      <c r="A800" s="62" t="s">
        <v>1869</v>
      </c>
      <c r="B800" s="63"/>
      <c r="C800" s="63"/>
      <c r="D800" s="64"/>
      <c r="E800" s="66"/>
      <c r="F800" s="103" t="str">
        <f>HYPERLINK("https://pbs.twimg.com/profile_images/1609933607006519297/JfQLdV9q_normal.jpg")</f>
        <v>https://pbs.twimg.com/profile_images/1609933607006519297/JfQLdV9q_normal.jpg</v>
      </c>
      <c r="G800" s="63"/>
      <c r="H800" s="67"/>
      <c r="I800" s="68"/>
      <c r="J800" s="68"/>
      <c r="K800" s="67" t="s">
        <v>28394</v>
      </c>
      <c r="L800" s="71"/>
      <c r="M800" s="72"/>
      <c r="N800" s="72"/>
      <c r="O800" s="73"/>
      <c r="P800" s="74"/>
      <c r="Q800" s="74"/>
      <c r="R800" s="87"/>
      <c r="S800" s="87"/>
      <c r="T800" s="87"/>
      <c r="U800" s="87"/>
      <c r="V800" s="48"/>
      <c r="W800" s="48"/>
      <c r="X800" s="48"/>
      <c r="Y800" s="48"/>
      <c r="Z800" s="47"/>
      <c r="AA800" s="69">
        <v>800</v>
      </c>
      <c r="AB800" s="69"/>
      <c r="AC800" s="70"/>
      <c r="AD800" s="76" t="s">
        <v>22033</v>
      </c>
      <c r="AE800" s="81" t="s">
        <v>23495</v>
      </c>
      <c r="AF800" s="76">
        <v>185827</v>
      </c>
      <c r="AG800" s="76">
        <v>22</v>
      </c>
      <c r="AH800" s="76">
        <v>189921</v>
      </c>
      <c r="AI800" s="76">
        <v>248</v>
      </c>
      <c r="AJ800" s="76">
        <v>1290</v>
      </c>
      <c r="AK800" s="76">
        <v>536</v>
      </c>
      <c r="AL800" s="76" t="b">
        <v>0</v>
      </c>
      <c r="AM800" s="78">
        <v>39610.352268518516</v>
      </c>
      <c r="AN800" s="76" t="s">
        <v>24375</v>
      </c>
      <c r="AO800" s="76" t="s">
        <v>25428</v>
      </c>
      <c r="AP800" s="82" t="str">
        <f>HYPERLINK("https://t.co/YhIseFCXkJ")</f>
        <v>https://t.co/YhIseFCXkJ</v>
      </c>
      <c r="AQ800" s="82" t="str">
        <f>HYPERLINK("https://www.mercadopago.com.ar/")</f>
        <v>https://www.mercadopago.com.ar/</v>
      </c>
      <c r="AR800" s="76" t="s">
        <v>26792</v>
      </c>
      <c r="AS800" s="82" t="str">
        <f>HYPERLINK("https://t.co/Jrqpmium7I")</f>
        <v>https://t.co/Jrqpmium7I</v>
      </c>
      <c r="AT800" s="82" t="str">
        <f>HYPERLINK("https://www.mercadopago.com.ar/ayuda/21527")</f>
        <v>https://www.mercadopago.com.ar/ayuda/21527</v>
      </c>
      <c r="AU800" s="76" t="s">
        <v>27497</v>
      </c>
      <c r="AV800" s="76"/>
      <c r="AW800" s="82" t="str">
        <f>HYPERLINK("https://t.co/YhIseFCXkJ")</f>
        <v>https://t.co/YhIseFCXkJ</v>
      </c>
      <c r="AX800" s="76" t="b">
        <v>1</v>
      </c>
      <c r="AY800" s="76"/>
      <c r="AZ800" s="76"/>
      <c r="BA800" s="76" t="b">
        <v>1</v>
      </c>
      <c r="BB800" s="76" t="b">
        <v>1</v>
      </c>
      <c r="BC800" s="76" t="b">
        <v>0</v>
      </c>
      <c r="BD800" s="76" t="b">
        <v>0</v>
      </c>
      <c r="BE800" s="76" t="b">
        <v>1</v>
      </c>
      <c r="BF800" s="76" t="b">
        <v>0</v>
      </c>
      <c r="BG800" s="76" t="b">
        <v>0</v>
      </c>
      <c r="BH800" s="82" t="str">
        <f>HYPERLINK("https://pbs.twimg.com/profile_banners/15082918/1638806136")</f>
        <v>https://pbs.twimg.com/profile_banners/15082918/1638806136</v>
      </c>
      <c r="BI800" s="76"/>
      <c r="BJ800" s="76" t="s">
        <v>27595</v>
      </c>
      <c r="BK800" s="76" t="b">
        <v>0</v>
      </c>
      <c r="BL800" s="76"/>
      <c r="BM800" s="76" t="s">
        <v>65</v>
      </c>
      <c r="BN800" s="76" t="s">
        <v>27597</v>
      </c>
      <c r="BO800" s="82" t="str">
        <f>HYPERLINK("https://twitter.com/mercadopago")</f>
        <v>https://twitter.com/mercadopago</v>
      </c>
      <c r="BP800" s="2"/>
    </row>
    <row r="801" spans="1:68" x14ac:dyDescent="0.25">
      <c r="A801" s="62" t="s">
        <v>1870</v>
      </c>
      <c r="B801" s="63"/>
      <c r="C801" s="63"/>
      <c r="D801" s="64"/>
      <c r="E801" s="66"/>
      <c r="F801" s="103" t="str">
        <f>HYPERLINK("https://pbs.twimg.com/profile_images/1572577776581967874/jr3WWCil_normal.jpg")</f>
        <v>https://pbs.twimg.com/profile_images/1572577776581967874/jr3WWCil_normal.jpg</v>
      </c>
      <c r="G801" s="63"/>
      <c r="H801" s="67"/>
      <c r="I801" s="68"/>
      <c r="J801" s="68"/>
      <c r="K801" s="67" t="s">
        <v>28395</v>
      </c>
      <c r="L801" s="71"/>
      <c r="M801" s="72"/>
      <c r="N801" s="72"/>
      <c r="O801" s="73"/>
      <c r="P801" s="74"/>
      <c r="Q801" s="74"/>
      <c r="R801" s="87"/>
      <c r="S801" s="87"/>
      <c r="T801" s="87"/>
      <c r="U801" s="87"/>
      <c r="V801" s="48"/>
      <c r="W801" s="48"/>
      <c r="X801" s="48"/>
      <c r="Y801" s="48"/>
      <c r="Z801" s="47"/>
      <c r="AA801" s="69">
        <v>801</v>
      </c>
      <c r="AB801" s="69"/>
      <c r="AC801" s="70"/>
      <c r="AD801" s="76" t="s">
        <v>22034</v>
      </c>
      <c r="AE801" s="81" t="s">
        <v>23496</v>
      </c>
      <c r="AF801" s="76">
        <v>312627</v>
      </c>
      <c r="AG801" s="76">
        <v>208</v>
      </c>
      <c r="AH801" s="76">
        <v>2207</v>
      </c>
      <c r="AI801" s="76">
        <v>703</v>
      </c>
      <c r="AJ801" s="76">
        <v>1964</v>
      </c>
      <c r="AK801" s="76">
        <v>266</v>
      </c>
      <c r="AL801" s="76" t="b">
        <v>0</v>
      </c>
      <c r="AM801" s="78">
        <v>39665.865601851852</v>
      </c>
      <c r="AN801" s="76"/>
      <c r="AO801" s="76" t="s">
        <v>25429</v>
      </c>
      <c r="AP801" s="76"/>
      <c r="AQ801" s="76"/>
      <c r="AR801" s="76"/>
      <c r="AS801" s="82" t="str">
        <f>HYPERLINK("https://t.co/hh282gZdrW")</f>
        <v>https://t.co/hh282gZdrW</v>
      </c>
      <c r="AT801" s="82" t="str">
        <f>HYPERLINK("http://MercadoLibre.com")</f>
        <v>http://MercadoLibre.com</v>
      </c>
      <c r="AU801" s="76" t="s">
        <v>27498</v>
      </c>
      <c r="AV801" s="76"/>
      <c r="AW801" s="76"/>
      <c r="AX801" s="76" t="b">
        <v>1</v>
      </c>
      <c r="AY801" s="76"/>
      <c r="AZ801" s="76"/>
      <c r="BA801" s="76" t="b">
        <v>0</v>
      </c>
      <c r="BB801" s="76" t="b">
        <v>0</v>
      </c>
      <c r="BC801" s="76" t="b">
        <v>0</v>
      </c>
      <c r="BD801" s="76" t="b">
        <v>0</v>
      </c>
      <c r="BE801" s="76" t="b">
        <v>1</v>
      </c>
      <c r="BF801" s="76" t="b">
        <v>0</v>
      </c>
      <c r="BG801" s="76" t="b">
        <v>0</v>
      </c>
      <c r="BH801" s="82" t="str">
        <f>HYPERLINK("https://pbs.twimg.com/profile_banners/15741523/1405698843")</f>
        <v>https://pbs.twimg.com/profile_banners/15741523/1405698843</v>
      </c>
      <c r="BI801" s="76"/>
      <c r="BJ801" s="76" t="s">
        <v>27595</v>
      </c>
      <c r="BK801" s="76" t="b">
        <v>0</v>
      </c>
      <c r="BL801" s="76"/>
      <c r="BM801" s="76" t="s">
        <v>65</v>
      </c>
      <c r="BN801" s="76" t="s">
        <v>27597</v>
      </c>
      <c r="BO801" s="82" t="str">
        <f>HYPERLINK("https://twitter.com/marcos_galperin")</f>
        <v>https://twitter.com/marcos_galperin</v>
      </c>
      <c r="BP801" s="2"/>
    </row>
    <row r="802" spans="1:68" x14ac:dyDescent="0.25">
      <c r="A802" s="62" t="s">
        <v>800</v>
      </c>
      <c r="B802" s="63"/>
      <c r="C802" s="63"/>
      <c r="D802" s="64"/>
      <c r="E802" s="66"/>
      <c r="F802" s="103" t="str">
        <f>HYPERLINK("https://pbs.twimg.com/profile_images/1699315013444341760/jJ706BEd_normal.jpg")</f>
        <v>https://pbs.twimg.com/profile_images/1699315013444341760/jJ706BEd_normal.jpg</v>
      </c>
      <c r="G802" s="63"/>
      <c r="H802" s="67"/>
      <c r="I802" s="68"/>
      <c r="J802" s="68"/>
      <c r="K802" s="67" t="s">
        <v>28396</v>
      </c>
      <c r="L802" s="71"/>
      <c r="M802" s="72"/>
      <c r="N802" s="72"/>
      <c r="O802" s="73"/>
      <c r="P802" s="74"/>
      <c r="Q802" s="74"/>
      <c r="R802" s="87"/>
      <c r="S802" s="87"/>
      <c r="T802" s="87"/>
      <c r="U802" s="87"/>
      <c r="V802" s="48"/>
      <c r="W802" s="48"/>
      <c r="X802" s="48"/>
      <c r="Y802" s="48"/>
      <c r="Z802" s="47"/>
      <c r="AA802" s="69">
        <v>802</v>
      </c>
      <c r="AB802" s="69"/>
      <c r="AC802" s="70"/>
      <c r="AD802" s="76" t="s">
        <v>22035</v>
      </c>
      <c r="AE802" s="81" t="s">
        <v>20770</v>
      </c>
      <c r="AF802" s="76">
        <v>631</v>
      </c>
      <c r="AG802" s="76">
        <v>2160</v>
      </c>
      <c r="AH802" s="76">
        <v>67574</v>
      </c>
      <c r="AI802" s="76">
        <v>5</v>
      </c>
      <c r="AJ802" s="76">
        <v>2415</v>
      </c>
      <c r="AK802" s="76">
        <v>30592</v>
      </c>
      <c r="AL802" s="76" t="b">
        <v>0</v>
      </c>
      <c r="AM802" s="78">
        <v>42900.741342592592</v>
      </c>
      <c r="AN802" s="76" t="s">
        <v>24376</v>
      </c>
      <c r="AO802" s="76" t="s">
        <v>25430</v>
      </c>
      <c r="AP802" s="82" t="str">
        <f>HYPERLINK("https://t.co/fKsbz8bw1X")</f>
        <v>https://t.co/fKsbz8bw1X</v>
      </c>
      <c r="AQ802" s="82" t="str">
        <f>HYPERLINK("http://mytuner-radio.com/es/embed/all-blues-radio-457103")</f>
        <v>http://mytuner-radio.com/es/embed/all-blues-radio-457103</v>
      </c>
      <c r="AR802" s="76" t="s">
        <v>26793</v>
      </c>
      <c r="AS802" s="76"/>
      <c r="AT802" s="76"/>
      <c r="AU802" s="76"/>
      <c r="AV802" s="76">
        <v>1.6319614022430001E+18</v>
      </c>
      <c r="AW802" s="82" t="str">
        <f>HYPERLINK("https://t.co/fKsbz8bw1X")</f>
        <v>https://t.co/fKsbz8bw1X</v>
      </c>
      <c r="AX802" s="76" t="b">
        <v>0</v>
      </c>
      <c r="AY802" s="76"/>
      <c r="AZ802" s="76"/>
      <c r="BA802" s="76" t="b">
        <v>0</v>
      </c>
      <c r="BB802" s="76" t="b">
        <v>1</v>
      </c>
      <c r="BC802" s="76" t="b">
        <v>1</v>
      </c>
      <c r="BD802" s="76" t="b">
        <v>0</v>
      </c>
      <c r="BE802" s="76" t="b">
        <v>0</v>
      </c>
      <c r="BF802" s="76" t="b">
        <v>0</v>
      </c>
      <c r="BG802" s="76" t="b">
        <v>1</v>
      </c>
      <c r="BH802" s="82" t="str">
        <f>HYPERLINK("https://pbs.twimg.com/profile_banners/875047064815710209/1600942483")</f>
        <v>https://pbs.twimg.com/profile_banners/875047064815710209/1600942483</v>
      </c>
      <c r="BI802" s="76" t="s">
        <v>27594</v>
      </c>
      <c r="BJ802" s="76" t="s">
        <v>27595</v>
      </c>
      <c r="BK802" s="76" t="b">
        <v>0</v>
      </c>
      <c r="BL802" s="76"/>
      <c r="BM802" s="76" t="s">
        <v>66</v>
      </c>
      <c r="BN802" s="76" t="s">
        <v>27597</v>
      </c>
      <c r="BO802" s="82" t="str">
        <f>HYPERLINK("https://twitter.com/putin_genocida")</f>
        <v>https://twitter.com/putin_genocida</v>
      </c>
      <c r="BP802" s="2"/>
    </row>
    <row r="803" spans="1:68" x14ac:dyDescent="0.25">
      <c r="A803" s="62" t="s">
        <v>1871</v>
      </c>
      <c r="B803" s="63"/>
      <c r="C803" s="63"/>
      <c r="D803" s="64"/>
      <c r="E803" s="66"/>
      <c r="F803" s="103" t="str">
        <f>HYPERLINK("https://pbs.twimg.com/profile_images/1554729553758756864/o0L77J1V_normal.jpg")</f>
        <v>https://pbs.twimg.com/profile_images/1554729553758756864/o0L77J1V_normal.jpg</v>
      </c>
      <c r="G803" s="63"/>
      <c r="H803" s="67"/>
      <c r="I803" s="68"/>
      <c r="J803" s="68"/>
      <c r="K803" s="67" t="s">
        <v>28397</v>
      </c>
      <c r="L803" s="71"/>
      <c r="M803" s="72"/>
      <c r="N803" s="72"/>
      <c r="O803" s="73"/>
      <c r="P803" s="74"/>
      <c r="Q803" s="74"/>
      <c r="R803" s="87"/>
      <c r="S803" s="87"/>
      <c r="T803" s="87"/>
      <c r="U803" s="87"/>
      <c r="V803" s="48"/>
      <c r="W803" s="48"/>
      <c r="X803" s="48"/>
      <c r="Y803" s="48"/>
      <c r="Z803" s="47"/>
      <c r="AA803" s="69">
        <v>803</v>
      </c>
      <c r="AB803" s="69"/>
      <c r="AC803" s="70"/>
      <c r="AD803" s="76" t="s">
        <v>22036</v>
      </c>
      <c r="AE803" s="81" t="s">
        <v>23497</v>
      </c>
      <c r="AF803" s="76">
        <v>770231</v>
      </c>
      <c r="AG803" s="76">
        <v>85</v>
      </c>
      <c r="AH803" s="76">
        <v>3041</v>
      </c>
      <c r="AI803" s="76">
        <v>7507</v>
      </c>
      <c r="AJ803" s="76">
        <v>204</v>
      </c>
      <c r="AK803" s="76">
        <v>1534</v>
      </c>
      <c r="AL803" s="76" t="b">
        <v>0</v>
      </c>
      <c r="AM803" s="78">
        <v>40688.402858796297</v>
      </c>
      <c r="AN803" s="76" t="s">
        <v>24377</v>
      </c>
      <c r="AO803" s="76" t="s">
        <v>25431</v>
      </c>
      <c r="AP803" s="82" t="str">
        <f>HYPERLINK("https://t.co/eKx9eJcd5P")</f>
        <v>https://t.co/eKx9eJcd5P</v>
      </c>
      <c r="AQ803" s="82" t="str">
        <f>HYPERLINK("http://www.ecb.europa.eu")</f>
        <v>http://www.ecb.europa.eu</v>
      </c>
      <c r="AR803" s="76" t="s">
        <v>26794</v>
      </c>
      <c r="AS803" s="76"/>
      <c r="AT803" s="76"/>
      <c r="AU803" s="76"/>
      <c r="AV803" s="76"/>
      <c r="AW803" s="82" t="str">
        <f>HYPERLINK("https://t.co/eKx9eJcd5P")</f>
        <v>https://t.co/eKx9eJcd5P</v>
      </c>
      <c r="AX803" s="76" t="b">
        <v>0</v>
      </c>
      <c r="AY803" s="76"/>
      <c r="AZ803" s="76"/>
      <c r="BA803" s="76" t="b">
        <v>0</v>
      </c>
      <c r="BB803" s="76" t="b">
        <v>1</v>
      </c>
      <c r="BC803" s="76" t="b">
        <v>0</v>
      </c>
      <c r="BD803" s="76" t="b">
        <v>0</v>
      </c>
      <c r="BE803" s="76" t="b">
        <v>1</v>
      </c>
      <c r="BF803" s="76" t="b">
        <v>0</v>
      </c>
      <c r="BG803" s="76" t="b">
        <v>0</v>
      </c>
      <c r="BH803" s="82" t="str">
        <f>HYPERLINK("https://pbs.twimg.com/profile_banners/304909941/1647610341")</f>
        <v>https://pbs.twimg.com/profile_banners/304909941/1647610341</v>
      </c>
      <c r="BI803" s="76"/>
      <c r="BJ803" s="76" t="s">
        <v>27595</v>
      </c>
      <c r="BK803" s="76" t="b">
        <v>0</v>
      </c>
      <c r="BL803" s="76"/>
      <c r="BM803" s="76" t="s">
        <v>65</v>
      </c>
      <c r="BN803" s="76" t="s">
        <v>27597</v>
      </c>
      <c r="BO803" s="82" t="str">
        <f>HYPERLINK("https://twitter.com/lagarde")</f>
        <v>https://twitter.com/lagarde</v>
      </c>
      <c r="BP803" s="2"/>
    </row>
    <row r="804" spans="1:68" x14ac:dyDescent="0.25">
      <c r="A804" s="62" t="s">
        <v>1872</v>
      </c>
      <c r="B804" s="63"/>
      <c r="C804" s="63"/>
      <c r="D804" s="64"/>
      <c r="E804" s="66"/>
      <c r="F804" s="103" t="str">
        <f>HYPERLINK("https://pbs.twimg.com/profile_images/1649341567566487552/aUTwNUYT_normal.jpg")</f>
        <v>https://pbs.twimg.com/profile_images/1649341567566487552/aUTwNUYT_normal.jpg</v>
      </c>
      <c r="G804" s="63"/>
      <c r="H804" s="67"/>
      <c r="I804" s="68"/>
      <c r="J804" s="68"/>
      <c r="K804" s="67" t="s">
        <v>28398</v>
      </c>
      <c r="L804" s="71"/>
      <c r="M804" s="72"/>
      <c r="N804" s="72"/>
      <c r="O804" s="73"/>
      <c r="P804" s="74"/>
      <c r="Q804" s="74"/>
      <c r="R804" s="87"/>
      <c r="S804" s="87"/>
      <c r="T804" s="87"/>
      <c r="U804" s="87"/>
      <c r="V804" s="48"/>
      <c r="W804" s="48"/>
      <c r="X804" s="48"/>
      <c r="Y804" s="48"/>
      <c r="Z804" s="47"/>
      <c r="AA804" s="69">
        <v>804</v>
      </c>
      <c r="AB804" s="69"/>
      <c r="AC804" s="70"/>
      <c r="AD804" s="76" t="s">
        <v>22037</v>
      </c>
      <c r="AE804" s="81" t="s">
        <v>23498</v>
      </c>
      <c r="AF804" s="76">
        <v>759273</v>
      </c>
      <c r="AG804" s="76">
        <v>129</v>
      </c>
      <c r="AH804" s="76">
        <v>20009</v>
      </c>
      <c r="AI804" s="76">
        <v>9633</v>
      </c>
      <c r="AJ804" s="76">
        <v>1058</v>
      </c>
      <c r="AK804" s="76">
        <v>4182</v>
      </c>
      <c r="AL804" s="76" t="b">
        <v>0</v>
      </c>
      <c r="AM804" s="78">
        <v>40104.952407407407</v>
      </c>
      <c r="AN804" s="76" t="s">
        <v>24377</v>
      </c>
      <c r="AO804" s="76" t="s">
        <v>25432</v>
      </c>
      <c r="AP804" s="82" t="str">
        <f>HYPERLINK("https://t.co/rCdI674PCt")</f>
        <v>https://t.co/rCdI674PCt</v>
      </c>
      <c r="AQ804" s="82" t="str">
        <f>HYPERLINK("http://www.ecb.europa.eu")</f>
        <v>http://www.ecb.europa.eu</v>
      </c>
      <c r="AR804" s="76" t="s">
        <v>26794</v>
      </c>
      <c r="AS804" s="76"/>
      <c r="AT804" s="76"/>
      <c r="AU804" s="76"/>
      <c r="AV804" s="76"/>
      <c r="AW804" s="82" t="str">
        <f>HYPERLINK("https://t.co/rCdI674PCt")</f>
        <v>https://t.co/rCdI674PCt</v>
      </c>
      <c r="AX804" s="76" t="b">
        <v>0</v>
      </c>
      <c r="AY804" s="76"/>
      <c r="AZ804" s="76"/>
      <c r="BA804" s="76" t="b">
        <v>0</v>
      </c>
      <c r="BB804" s="76" t="b">
        <v>1</v>
      </c>
      <c r="BC804" s="76" t="b">
        <v>0</v>
      </c>
      <c r="BD804" s="76" t="b">
        <v>0</v>
      </c>
      <c r="BE804" s="76" t="b">
        <v>1</v>
      </c>
      <c r="BF804" s="76" t="b">
        <v>0</v>
      </c>
      <c r="BG804" s="76" t="b">
        <v>0</v>
      </c>
      <c r="BH804" s="82" t="str">
        <f>HYPERLINK("https://pbs.twimg.com/profile_banners/83466368/1647610409")</f>
        <v>https://pbs.twimg.com/profile_banners/83466368/1647610409</v>
      </c>
      <c r="BI804" s="76"/>
      <c r="BJ804" s="76" t="s">
        <v>27595</v>
      </c>
      <c r="BK804" s="76" t="b">
        <v>0</v>
      </c>
      <c r="BL804" s="76"/>
      <c r="BM804" s="76" t="s">
        <v>65</v>
      </c>
      <c r="BN804" s="76" t="s">
        <v>27597</v>
      </c>
      <c r="BO804" s="82" t="str">
        <f>HYPERLINK("https://twitter.com/ecb")</f>
        <v>https://twitter.com/ecb</v>
      </c>
      <c r="BP804" s="2"/>
    </row>
    <row r="805" spans="1:68" x14ac:dyDescent="0.25">
      <c r="A805" s="62" t="s">
        <v>801</v>
      </c>
      <c r="B805" s="63"/>
      <c r="C805" s="63"/>
      <c r="D805" s="64"/>
      <c r="E805" s="66"/>
      <c r="F805" s="103" t="str">
        <f>HYPERLINK("https://pbs.twimg.com/profile_images/1550623331661086720/_ephbesn_normal.jpg")</f>
        <v>https://pbs.twimg.com/profile_images/1550623331661086720/_ephbesn_normal.jpg</v>
      </c>
      <c r="G805" s="63"/>
      <c r="H805" s="67"/>
      <c r="I805" s="68"/>
      <c r="J805" s="68"/>
      <c r="K805" s="67" t="s">
        <v>28399</v>
      </c>
      <c r="L805" s="71"/>
      <c r="M805" s="72"/>
      <c r="N805" s="72"/>
      <c r="O805" s="73"/>
      <c r="P805" s="74"/>
      <c r="Q805" s="74"/>
      <c r="R805" s="87"/>
      <c r="S805" s="87"/>
      <c r="T805" s="87"/>
      <c r="U805" s="87"/>
      <c r="V805" s="48"/>
      <c r="W805" s="48"/>
      <c r="X805" s="48"/>
      <c r="Y805" s="48"/>
      <c r="Z805" s="47"/>
      <c r="AA805" s="69">
        <v>805</v>
      </c>
      <c r="AB805" s="69"/>
      <c r="AC805" s="70"/>
      <c r="AD805" s="76" t="s">
        <v>22038</v>
      </c>
      <c r="AE805" s="81" t="s">
        <v>20771</v>
      </c>
      <c r="AF805" s="76">
        <v>115</v>
      </c>
      <c r="AG805" s="76">
        <v>32</v>
      </c>
      <c r="AH805" s="76">
        <v>1088</v>
      </c>
      <c r="AI805" s="76">
        <v>2</v>
      </c>
      <c r="AJ805" s="76">
        <v>15</v>
      </c>
      <c r="AK805" s="76">
        <v>826</v>
      </c>
      <c r="AL805" s="76" t="b">
        <v>0</v>
      </c>
      <c r="AM805" s="78">
        <v>42472.698680555557</v>
      </c>
      <c r="AN805" s="76" t="s">
        <v>14400</v>
      </c>
      <c r="AO805" s="76" t="s">
        <v>25433</v>
      </c>
      <c r="AP805" s="82" t="str">
        <f>HYPERLINK("https://t.co/fHWrnonPCB")</f>
        <v>https://t.co/fHWrnonPCB</v>
      </c>
      <c r="AQ805" s="82" t="str">
        <f>HYPERLINK("http://www.sindviarios.org.br")</f>
        <v>http://www.sindviarios.org.br</v>
      </c>
      <c r="AR805" s="76" t="s">
        <v>26795</v>
      </c>
      <c r="AS805" s="76"/>
      <c r="AT805" s="76"/>
      <c r="AU805" s="76"/>
      <c r="AV805" s="76">
        <v>7.3879062197299597E+17</v>
      </c>
      <c r="AW805" s="82" t="str">
        <f>HYPERLINK("https://t.co/fHWrnonPCB")</f>
        <v>https://t.co/fHWrnonPCB</v>
      </c>
      <c r="AX805" s="76" t="b">
        <v>0</v>
      </c>
      <c r="AY805" s="76"/>
      <c r="AZ805" s="76"/>
      <c r="BA805" s="76" t="b">
        <v>0</v>
      </c>
      <c r="BB805" s="76" t="b">
        <v>1</v>
      </c>
      <c r="BC805" s="76" t="b">
        <v>1</v>
      </c>
      <c r="BD805" s="76" t="b">
        <v>0</v>
      </c>
      <c r="BE805" s="76" t="b">
        <v>1</v>
      </c>
      <c r="BF805" s="76" t="b">
        <v>0</v>
      </c>
      <c r="BG805" s="76" t="b">
        <v>0</v>
      </c>
      <c r="BH805" s="82" t="str">
        <f>HYPERLINK("https://pbs.twimg.com/profile_banners/719929596767051777/1658605601")</f>
        <v>https://pbs.twimg.com/profile_banners/719929596767051777/1658605601</v>
      </c>
      <c r="BI805" s="76"/>
      <c r="BJ805" s="76" t="s">
        <v>27595</v>
      </c>
      <c r="BK805" s="76" t="b">
        <v>0</v>
      </c>
      <c r="BL805" s="76"/>
      <c r="BM805" s="76" t="s">
        <v>66</v>
      </c>
      <c r="BN805" s="76" t="s">
        <v>27597</v>
      </c>
      <c r="BO805" s="82" t="str">
        <f>HYPERLINK("https://twitter.com/sindviarioscut")</f>
        <v>https://twitter.com/sindviarioscut</v>
      </c>
      <c r="BP805" s="2"/>
    </row>
    <row r="806" spans="1:68" x14ac:dyDescent="0.25">
      <c r="A806" s="62" t="s">
        <v>802</v>
      </c>
      <c r="B806" s="63"/>
      <c r="C806" s="63"/>
      <c r="D806" s="64"/>
      <c r="E806" s="66"/>
      <c r="F806" s="103" t="str">
        <f>HYPERLINK("https://pbs.twimg.com/profile_images/1464564522547621892/7oalRsQT_normal.jpg")</f>
        <v>https://pbs.twimg.com/profile_images/1464564522547621892/7oalRsQT_normal.jpg</v>
      </c>
      <c r="G806" s="63"/>
      <c r="H806" s="67"/>
      <c r="I806" s="68"/>
      <c r="J806" s="68"/>
      <c r="K806" s="67" t="s">
        <v>28400</v>
      </c>
      <c r="L806" s="71"/>
      <c r="M806" s="72"/>
      <c r="N806" s="72"/>
      <c r="O806" s="73"/>
      <c r="P806" s="74"/>
      <c r="Q806" s="74"/>
      <c r="R806" s="87"/>
      <c r="S806" s="87"/>
      <c r="T806" s="87"/>
      <c r="U806" s="87"/>
      <c r="V806" s="48"/>
      <c r="W806" s="48"/>
      <c r="X806" s="48"/>
      <c r="Y806" s="48"/>
      <c r="Z806" s="47"/>
      <c r="AA806" s="69">
        <v>806</v>
      </c>
      <c r="AB806" s="69"/>
      <c r="AC806" s="70"/>
      <c r="AD806" s="76" t="s">
        <v>22039</v>
      </c>
      <c r="AE806" s="81" t="s">
        <v>20772</v>
      </c>
      <c r="AF806" s="76">
        <v>1766</v>
      </c>
      <c r="AG806" s="76">
        <v>4995</v>
      </c>
      <c r="AH806" s="76">
        <v>16100</v>
      </c>
      <c r="AI806" s="76">
        <v>0</v>
      </c>
      <c r="AJ806" s="76">
        <v>8968</v>
      </c>
      <c r="AK806" s="76">
        <v>766</v>
      </c>
      <c r="AL806" s="76" t="b">
        <v>0</v>
      </c>
      <c r="AM806" s="78">
        <v>43843.538356481484</v>
      </c>
      <c r="AN806" s="76"/>
      <c r="AO806" s="76" t="s">
        <v>25434</v>
      </c>
      <c r="AP806" s="76"/>
      <c r="AQ806" s="76"/>
      <c r="AR806" s="76"/>
      <c r="AS806" s="76"/>
      <c r="AT806" s="76"/>
      <c r="AU806" s="76"/>
      <c r="AV806" s="76">
        <v>1.4693551299629901E+18</v>
      </c>
      <c r="AW806" s="76"/>
      <c r="AX806" s="76" t="b">
        <v>0</v>
      </c>
      <c r="AY806" s="76"/>
      <c r="AZ806" s="76"/>
      <c r="BA806" s="76" t="b">
        <v>1</v>
      </c>
      <c r="BB806" s="76" t="b">
        <v>1</v>
      </c>
      <c r="BC806" s="76" t="b">
        <v>1</v>
      </c>
      <c r="BD806" s="76" t="b">
        <v>0</v>
      </c>
      <c r="BE806" s="76" t="b">
        <v>1</v>
      </c>
      <c r="BF806" s="76" t="b">
        <v>0</v>
      </c>
      <c r="BG806" s="76" t="b">
        <v>0</v>
      </c>
      <c r="BH806" s="76"/>
      <c r="BI806" s="76"/>
      <c r="BJ806" s="76" t="s">
        <v>27595</v>
      </c>
      <c r="BK806" s="76" t="b">
        <v>0</v>
      </c>
      <c r="BL806" s="76"/>
      <c r="BM806" s="76" t="s">
        <v>66</v>
      </c>
      <c r="BN806" s="76" t="s">
        <v>27597</v>
      </c>
      <c r="BO806" s="82" t="str">
        <f>HYPERLINK("https://twitter.com/antonio27072324")</f>
        <v>https://twitter.com/antonio27072324</v>
      </c>
      <c r="BP806" s="2"/>
    </row>
    <row r="807" spans="1:68" x14ac:dyDescent="0.25">
      <c r="A807" s="62" t="s">
        <v>1873</v>
      </c>
      <c r="B807" s="63"/>
      <c r="C807" s="63"/>
      <c r="D807" s="64"/>
      <c r="E807" s="66"/>
      <c r="F807" s="103" t="str">
        <f>HYPERLINK("https://pbs.twimg.com/profile_images/1645509158861516801/dYwYF_0a_normal.jpg")</f>
        <v>https://pbs.twimg.com/profile_images/1645509158861516801/dYwYF_0a_normal.jpg</v>
      </c>
      <c r="G807" s="63"/>
      <c r="H807" s="67"/>
      <c r="I807" s="68"/>
      <c r="J807" s="68"/>
      <c r="K807" s="67" t="s">
        <v>28401</v>
      </c>
      <c r="L807" s="71"/>
      <c r="M807" s="72"/>
      <c r="N807" s="72"/>
      <c r="O807" s="73"/>
      <c r="P807" s="74"/>
      <c r="Q807" s="74"/>
      <c r="R807" s="87"/>
      <c r="S807" s="87"/>
      <c r="T807" s="87"/>
      <c r="U807" s="87"/>
      <c r="V807" s="48"/>
      <c r="W807" s="48"/>
      <c r="X807" s="48"/>
      <c r="Y807" s="48"/>
      <c r="Z807" s="47"/>
      <c r="AA807" s="69">
        <v>807</v>
      </c>
      <c r="AB807" s="69"/>
      <c r="AC807" s="70"/>
      <c r="AD807" s="76" t="s">
        <v>22040</v>
      </c>
      <c r="AE807" s="81" t="s">
        <v>20280</v>
      </c>
      <c r="AF807" s="76">
        <v>200913</v>
      </c>
      <c r="AG807" s="76">
        <v>358</v>
      </c>
      <c r="AH807" s="76">
        <v>32614</v>
      </c>
      <c r="AI807" s="76">
        <v>211</v>
      </c>
      <c r="AJ807" s="76">
        <v>33212</v>
      </c>
      <c r="AK807" s="76">
        <v>13061</v>
      </c>
      <c r="AL807" s="76" t="b">
        <v>0</v>
      </c>
      <c r="AM807" s="78">
        <v>44866.480439814812</v>
      </c>
      <c r="AN807" s="76"/>
      <c r="AO807" s="76" t="s">
        <v>25435</v>
      </c>
      <c r="AP807" s="82" t="str">
        <f>HYPERLINK("https://t.co/jyHvc81Yvi")</f>
        <v>https://t.co/jyHvc81Yvi</v>
      </c>
      <c r="AQ807" s="82" t="str">
        <f>HYPERLINK("https://t.me/VanLiberdadeOficial")</f>
        <v>https://t.me/VanLiberdadeOficial</v>
      </c>
      <c r="AR807" s="76" t="s">
        <v>26796</v>
      </c>
      <c r="AS807" s="76"/>
      <c r="AT807" s="76"/>
      <c r="AU807" s="76"/>
      <c r="AV807" s="76"/>
      <c r="AW807" s="82" t="str">
        <f>HYPERLINK("https://t.co/jyHvc81Yvi")</f>
        <v>https://t.co/jyHvc81Yvi</v>
      </c>
      <c r="AX807" s="76" t="b">
        <v>1</v>
      </c>
      <c r="AY807" s="76"/>
      <c r="AZ807" s="76"/>
      <c r="BA807" s="76" t="b">
        <v>0</v>
      </c>
      <c r="BB807" s="76" t="b">
        <v>0</v>
      </c>
      <c r="BC807" s="76" t="b">
        <v>1</v>
      </c>
      <c r="BD807" s="76" t="b">
        <v>0</v>
      </c>
      <c r="BE807" s="76" t="b">
        <v>1</v>
      </c>
      <c r="BF807" s="76" t="b">
        <v>0</v>
      </c>
      <c r="BG807" s="76" t="b">
        <v>0</v>
      </c>
      <c r="BH807" s="82" t="str">
        <f>HYPERLINK("https://pbs.twimg.com/profile_banners/1587406936563130368/1695354630")</f>
        <v>https://pbs.twimg.com/profile_banners/1587406936563130368/1695354630</v>
      </c>
      <c r="BI807" s="76"/>
      <c r="BJ807" s="76" t="s">
        <v>27595</v>
      </c>
      <c r="BK807" s="76" t="b">
        <v>0</v>
      </c>
      <c r="BL807" s="76"/>
      <c r="BM807" s="76" t="s">
        <v>65</v>
      </c>
      <c r="BN807" s="76" t="s">
        <v>27597</v>
      </c>
      <c r="BO807" s="82" t="str">
        <f>HYPERLINK("https://twitter.com/vanliberdade")</f>
        <v>https://twitter.com/vanliberdade</v>
      </c>
      <c r="BP807" s="2"/>
    </row>
    <row r="808" spans="1:68" x14ac:dyDescent="0.25">
      <c r="A808" s="62" t="s">
        <v>1874</v>
      </c>
      <c r="B808" s="63"/>
      <c r="C808" s="63"/>
      <c r="D808" s="64"/>
      <c r="E808" s="66"/>
      <c r="F808" s="103" t="str">
        <f>HYPERLINK("https://pbs.twimg.com/profile_images/994303995467501568/lgtYfbKy_normal.jpg")</f>
        <v>https://pbs.twimg.com/profile_images/994303995467501568/lgtYfbKy_normal.jpg</v>
      </c>
      <c r="G808" s="63"/>
      <c r="H808" s="67"/>
      <c r="I808" s="68"/>
      <c r="J808" s="68"/>
      <c r="K808" s="67" t="s">
        <v>28402</v>
      </c>
      <c r="L808" s="71"/>
      <c r="M808" s="72"/>
      <c r="N808" s="72"/>
      <c r="O808" s="73"/>
      <c r="P808" s="74"/>
      <c r="Q808" s="74"/>
      <c r="R808" s="87"/>
      <c r="S808" s="87"/>
      <c r="T808" s="87"/>
      <c r="U808" s="87"/>
      <c r="V808" s="48"/>
      <c r="W808" s="48"/>
      <c r="X808" s="48"/>
      <c r="Y808" s="48"/>
      <c r="Z808" s="47"/>
      <c r="AA808" s="69">
        <v>808</v>
      </c>
      <c r="AB808" s="69"/>
      <c r="AC808" s="70"/>
      <c r="AD808" s="76" t="s">
        <v>22041</v>
      </c>
      <c r="AE808" s="81" t="s">
        <v>23499</v>
      </c>
      <c r="AF808" s="76">
        <v>630557</v>
      </c>
      <c r="AG808" s="76">
        <v>145</v>
      </c>
      <c r="AH808" s="76">
        <v>34556</v>
      </c>
      <c r="AI808" s="76">
        <v>885</v>
      </c>
      <c r="AJ808" s="76">
        <v>8</v>
      </c>
      <c r="AK808" s="76">
        <v>230</v>
      </c>
      <c r="AL808" s="76" t="b">
        <v>0</v>
      </c>
      <c r="AM808" s="78">
        <v>43229.825358796297</v>
      </c>
      <c r="AN808" s="76"/>
      <c r="AO808" s="76"/>
      <c r="AP808" s="82" t="str">
        <f>HYPERLINK("https://t.co/zQsQzPa6mz")</f>
        <v>https://t.co/zQsQzPa6mz</v>
      </c>
      <c r="AQ808" s="82" t="str">
        <f>HYPERLINK("https://www.jornaldacidadeonline.com.br/")</f>
        <v>https://www.jornaldacidadeonline.com.br/</v>
      </c>
      <c r="AR808" s="76" t="s">
        <v>26797</v>
      </c>
      <c r="AS808" s="76"/>
      <c r="AT808" s="76"/>
      <c r="AU808" s="76"/>
      <c r="AV808" s="76">
        <v>1.70739535467555E+18</v>
      </c>
      <c r="AW808" s="82" t="str">
        <f>HYPERLINK("https://t.co/zQsQzPa6mz")</f>
        <v>https://t.co/zQsQzPa6mz</v>
      </c>
      <c r="AX808" s="76" t="b">
        <v>1</v>
      </c>
      <c r="AY808" s="76"/>
      <c r="AZ808" s="76"/>
      <c r="BA808" s="76" t="b">
        <v>0</v>
      </c>
      <c r="BB808" s="76" t="b">
        <v>1</v>
      </c>
      <c r="BC808" s="76" t="b">
        <v>1</v>
      </c>
      <c r="BD808" s="76" t="b">
        <v>0</v>
      </c>
      <c r="BE808" s="76" t="b">
        <v>1</v>
      </c>
      <c r="BF808" s="76" t="b">
        <v>0</v>
      </c>
      <c r="BG808" s="76" t="b">
        <v>0</v>
      </c>
      <c r="BH808" s="82" t="str">
        <f>HYPERLINK("https://pbs.twimg.com/profile_banners/994303120376303616/1525895558")</f>
        <v>https://pbs.twimg.com/profile_banners/994303120376303616/1525895558</v>
      </c>
      <c r="BI808" s="76"/>
      <c r="BJ808" s="76" t="s">
        <v>27595</v>
      </c>
      <c r="BK808" s="76" t="b">
        <v>0</v>
      </c>
      <c r="BL808" s="76"/>
      <c r="BM808" s="76" t="s">
        <v>65</v>
      </c>
      <c r="BN808" s="76" t="s">
        <v>27597</v>
      </c>
      <c r="BO808" s="82" t="str">
        <f>HYPERLINK("https://twitter.com/jornaldacidadeo")</f>
        <v>https://twitter.com/jornaldacidadeo</v>
      </c>
      <c r="BP808" s="2"/>
    </row>
    <row r="809" spans="1:68" x14ac:dyDescent="0.25">
      <c r="A809" s="62" t="s">
        <v>1875</v>
      </c>
      <c r="B809" s="63"/>
      <c r="C809" s="63"/>
      <c r="D809" s="64"/>
      <c r="E809" s="66"/>
      <c r="F809" s="103" t="str">
        <f>HYPERLINK("https://pbs.twimg.com/profile_images/1384152837223903241/67NM0rtX_normal.jpg")</f>
        <v>https://pbs.twimg.com/profile_images/1384152837223903241/67NM0rtX_normal.jpg</v>
      </c>
      <c r="G809" s="63"/>
      <c r="H809" s="67"/>
      <c r="I809" s="68"/>
      <c r="J809" s="68"/>
      <c r="K809" s="67" t="s">
        <v>28403</v>
      </c>
      <c r="L809" s="71"/>
      <c r="M809" s="72"/>
      <c r="N809" s="72"/>
      <c r="O809" s="73"/>
      <c r="P809" s="74"/>
      <c r="Q809" s="74"/>
      <c r="R809" s="87"/>
      <c r="S809" s="87"/>
      <c r="T809" s="87"/>
      <c r="U809" s="87"/>
      <c r="V809" s="48"/>
      <c r="W809" s="48"/>
      <c r="X809" s="48"/>
      <c r="Y809" s="48"/>
      <c r="Z809" s="47"/>
      <c r="AA809" s="69">
        <v>809</v>
      </c>
      <c r="AB809" s="69"/>
      <c r="AC809" s="70"/>
      <c r="AD809" s="76" t="s">
        <v>22042</v>
      </c>
      <c r="AE809" s="81" t="s">
        <v>23500</v>
      </c>
      <c r="AF809" s="76">
        <v>1187026</v>
      </c>
      <c r="AG809" s="76">
        <v>224</v>
      </c>
      <c r="AH809" s="76">
        <v>53931</v>
      </c>
      <c r="AI809" s="76">
        <v>1300</v>
      </c>
      <c r="AJ809" s="76">
        <v>801</v>
      </c>
      <c r="AK809" s="76">
        <v>1354</v>
      </c>
      <c r="AL809" s="76" t="b">
        <v>0</v>
      </c>
      <c r="AM809" s="78">
        <v>43860.742812500001</v>
      </c>
      <c r="AN809" s="76" t="s">
        <v>14382</v>
      </c>
      <c r="AO809" s="76"/>
      <c r="AP809" s="82" t="str">
        <f>HYPERLINK("https://t.co/hwoe6S56Iz")</f>
        <v>https://t.co/hwoe6S56Iz</v>
      </c>
      <c r="AQ809" s="82" t="str">
        <f>HYPERLINK("http://bit.ly/tw_bio_revistaoeste")</f>
        <v>http://bit.ly/tw_bio_revistaoeste</v>
      </c>
      <c r="AR809" s="76" t="s">
        <v>26798</v>
      </c>
      <c r="AS809" s="76"/>
      <c r="AT809" s="76"/>
      <c r="AU809" s="76"/>
      <c r="AV809" s="76">
        <v>1.70521559785902E+18</v>
      </c>
      <c r="AW809" s="82" t="str">
        <f>HYPERLINK("https://t.co/hwoe6S56Iz")</f>
        <v>https://t.co/hwoe6S56Iz</v>
      </c>
      <c r="AX809" s="76" t="b">
        <v>1</v>
      </c>
      <c r="AY809" s="76"/>
      <c r="AZ809" s="76"/>
      <c r="BA809" s="76" t="b">
        <v>1</v>
      </c>
      <c r="BB809" s="76" t="b">
        <v>1</v>
      </c>
      <c r="BC809" s="76" t="b">
        <v>1</v>
      </c>
      <c r="BD809" s="76" t="b">
        <v>0</v>
      </c>
      <c r="BE809" s="76" t="b">
        <v>1</v>
      </c>
      <c r="BF809" s="76" t="b">
        <v>0</v>
      </c>
      <c r="BG809" s="76" t="b">
        <v>0</v>
      </c>
      <c r="BH809" s="82" t="str">
        <f>HYPERLINK("https://pbs.twimg.com/profile_banners/1222939896349970432/1584125714")</f>
        <v>https://pbs.twimg.com/profile_banners/1222939896349970432/1584125714</v>
      </c>
      <c r="BI809" s="76"/>
      <c r="BJ809" s="76" t="s">
        <v>27595</v>
      </c>
      <c r="BK809" s="76" t="b">
        <v>0</v>
      </c>
      <c r="BL809" s="76"/>
      <c r="BM809" s="76" t="s">
        <v>65</v>
      </c>
      <c r="BN809" s="76" t="s">
        <v>27597</v>
      </c>
      <c r="BO809" s="82" t="str">
        <f>HYPERLINK("https://twitter.com/revistaoeste")</f>
        <v>https://twitter.com/revistaoeste</v>
      </c>
      <c r="BP809" s="2"/>
    </row>
    <row r="810" spans="1:68" x14ac:dyDescent="0.25">
      <c r="A810" s="62" t="s">
        <v>1876</v>
      </c>
      <c r="B810" s="63"/>
      <c r="C810" s="63"/>
      <c r="D810" s="64"/>
      <c r="E810" s="66"/>
      <c r="F810" s="103" t="str">
        <f>HYPERLINK("https://pbs.twimg.com/profile_images/1643662627342516242/S823I9S3_normal.png")</f>
        <v>https://pbs.twimg.com/profile_images/1643662627342516242/S823I9S3_normal.png</v>
      </c>
      <c r="G810" s="63"/>
      <c r="H810" s="67"/>
      <c r="I810" s="68"/>
      <c r="J810" s="68"/>
      <c r="K810" s="67" t="s">
        <v>28404</v>
      </c>
      <c r="L810" s="71"/>
      <c r="M810" s="72"/>
      <c r="N810" s="72"/>
      <c r="O810" s="73"/>
      <c r="P810" s="74"/>
      <c r="Q810" s="74"/>
      <c r="R810" s="87"/>
      <c r="S810" s="87"/>
      <c r="T810" s="87"/>
      <c r="U810" s="87"/>
      <c r="V810" s="48"/>
      <c r="W810" s="48"/>
      <c r="X810" s="48"/>
      <c r="Y810" s="48"/>
      <c r="Z810" s="47"/>
      <c r="AA810" s="69">
        <v>810</v>
      </c>
      <c r="AB810" s="69"/>
      <c r="AC810" s="70"/>
      <c r="AD810" s="76" t="s">
        <v>22043</v>
      </c>
      <c r="AE810" s="81" t="s">
        <v>23501</v>
      </c>
      <c r="AF810" s="76">
        <v>741717</v>
      </c>
      <c r="AG810" s="76">
        <v>3568</v>
      </c>
      <c r="AH810" s="76">
        <v>314419</v>
      </c>
      <c r="AI810" s="76">
        <v>1949</v>
      </c>
      <c r="AJ810" s="76">
        <v>1962</v>
      </c>
      <c r="AK810" s="76">
        <v>73802</v>
      </c>
      <c r="AL810" s="76" t="b">
        <v>0</v>
      </c>
      <c r="AM810" s="78">
        <v>39610.582685185182</v>
      </c>
      <c r="AN810" s="76" t="s">
        <v>14382</v>
      </c>
      <c r="AO810" s="76" t="s">
        <v>25436</v>
      </c>
      <c r="AP810" s="82" t="str">
        <f>HYPERLINK("https://t.co/GeoZ4laMGy")</f>
        <v>https://t.co/GeoZ4laMGy</v>
      </c>
      <c r="AQ810" s="82" t="str">
        <f>HYPERLINK("http://www.gazetadopovo.com.br")</f>
        <v>http://www.gazetadopovo.com.br</v>
      </c>
      <c r="AR810" s="76" t="s">
        <v>26799</v>
      </c>
      <c r="AS810" s="82" t="str">
        <f>HYPERLINK("https://t.co/yVulxJJqIL")</f>
        <v>https://t.co/yVulxJJqIL</v>
      </c>
      <c r="AT810" s="82" t="str">
        <f>HYPERLINK("http://t.me/gazeta_do_povo")</f>
        <v>http://t.me/gazeta_do_povo</v>
      </c>
      <c r="AU810" s="76" t="s">
        <v>27499</v>
      </c>
      <c r="AV810" s="76">
        <v>1.7053638495522501E+18</v>
      </c>
      <c r="AW810" s="82" t="str">
        <f>HYPERLINK("https://t.co/GeoZ4laMGy")</f>
        <v>https://t.co/GeoZ4laMGy</v>
      </c>
      <c r="AX810" s="76" t="b">
        <v>1</v>
      </c>
      <c r="AY810" s="76"/>
      <c r="AZ810" s="76"/>
      <c r="BA810" s="76" t="b">
        <v>0</v>
      </c>
      <c r="BB810" s="76" t="b">
        <v>1</v>
      </c>
      <c r="BC810" s="76" t="b">
        <v>0</v>
      </c>
      <c r="BD810" s="76" t="b">
        <v>0</v>
      </c>
      <c r="BE810" s="76" t="b">
        <v>1</v>
      </c>
      <c r="BF810" s="76" t="b">
        <v>0</v>
      </c>
      <c r="BG810" s="76" t="b">
        <v>0</v>
      </c>
      <c r="BH810" s="82" t="str">
        <f>HYPERLINK("https://pbs.twimg.com/profile_banners/15084884/1680714753")</f>
        <v>https://pbs.twimg.com/profile_banners/15084884/1680714753</v>
      </c>
      <c r="BI810" s="76"/>
      <c r="BJ810" s="76" t="s">
        <v>27595</v>
      </c>
      <c r="BK810" s="76" t="b">
        <v>0</v>
      </c>
      <c r="BL810" s="76"/>
      <c r="BM810" s="76" t="s">
        <v>65</v>
      </c>
      <c r="BN810" s="76" t="s">
        <v>27597</v>
      </c>
      <c r="BO810" s="82" t="str">
        <f>HYPERLINK("https://twitter.com/gazetadopovo")</f>
        <v>https://twitter.com/gazetadopovo</v>
      </c>
      <c r="BP810" s="2"/>
    </row>
    <row r="811" spans="1:68" x14ac:dyDescent="0.25">
      <c r="A811" s="62" t="s">
        <v>803</v>
      </c>
      <c r="B811" s="63"/>
      <c r="C811" s="63"/>
      <c r="D811" s="64"/>
      <c r="E811" s="66"/>
      <c r="F811" s="103" t="str">
        <f>HYPERLINK("https://pbs.twimg.com/profile_images/1602344264251342848/kTLsCURa_normal.jpg")</f>
        <v>https://pbs.twimg.com/profile_images/1602344264251342848/kTLsCURa_normal.jpg</v>
      </c>
      <c r="G811" s="63"/>
      <c r="H811" s="67"/>
      <c r="I811" s="68"/>
      <c r="J811" s="68"/>
      <c r="K811" s="67" t="s">
        <v>28405</v>
      </c>
      <c r="L811" s="71"/>
      <c r="M811" s="72"/>
      <c r="N811" s="72"/>
      <c r="O811" s="73"/>
      <c r="P811" s="74"/>
      <c r="Q811" s="74"/>
      <c r="R811" s="87"/>
      <c r="S811" s="87"/>
      <c r="T811" s="87"/>
      <c r="U811" s="87"/>
      <c r="V811" s="48"/>
      <c r="W811" s="48"/>
      <c r="X811" s="48"/>
      <c r="Y811" s="48"/>
      <c r="Z811" s="47"/>
      <c r="AA811" s="69">
        <v>811</v>
      </c>
      <c r="AB811" s="69"/>
      <c r="AC811" s="70"/>
      <c r="AD811" s="76" t="s">
        <v>22044</v>
      </c>
      <c r="AE811" s="81" t="s">
        <v>20773</v>
      </c>
      <c r="AF811" s="76">
        <v>437226</v>
      </c>
      <c r="AG811" s="76">
        <v>890</v>
      </c>
      <c r="AH811" s="76">
        <v>80651</v>
      </c>
      <c r="AI811" s="76">
        <v>498</v>
      </c>
      <c r="AJ811" s="76">
        <v>11</v>
      </c>
      <c r="AK811" s="76">
        <v>2067</v>
      </c>
      <c r="AL811" s="76" t="b">
        <v>0</v>
      </c>
      <c r="AM811" s="78">
        <v>43494.703356481485</v>
      </c>
      <c r="AN811" s="76" t="s">
        <v>14382</v>
      </c>
      <c r="AO811" s="76" t="s">
        <v>25437</v>
      </c>
      <c r="AP811" s="82" t="str">
        <f>HYPERLINK("https://t.co/ECuG39VVpX")</f>
        <v>https://t.co/ECuG39VVpX</v>
      </c>
      <c r="AQ811" s="82" t="str">
        <f>HYPERLINK("https://gazetabrasil.com.br/")</f>
        <v>https://gazetabrasil.com.br/</v>
      </c>
      <c r="AR811" s="76" t="s">
        <v>26800</v>
      </c>
      <c r="AS811" s="76"/>
      <c r="AT811" s="76"/>
      <c r="AU811" s="76"/>
      <c r="AV811" s="76"/>
      <c r="AW811" s="82" t="str">
        <f>HYPERLINK("https://t.co/ECuG39VVpX")</f>
        <v>https://t.co/ECuG39VVpX</v>
      </c>
      <c r="AX811" s="76" t="b">
        <v>1</v>
      </c>
      <c r="AY811" s="76"/>
      <c r="AZ811" s="76"/>
      <c r="BA811" s="76" t="b">
        <v>1</v>
      </c>
      <c r="BB811" s="76" t="b">
        <v>1</v>
      </c>
      <c r="BC811" s="76" t="b">
        <v>0</v>
      </c>
      <c r="BD811" s="76" t="b">
        <v>0</v>
      </c>
      <c r="BE811" s="76" t="b">
        <v>1</v>
      </c>
      <c r="BF811" s="76" t="b">
        <v>0</v>
      </c>
      <c r="BG811" s="76" t="b">
        <v>0</v>
      </c>
      <c r="BH811" s="82" t="str">
        <f>HYPERLINK("https://pbs.twimg.com/profile_banners/1090291692744466433/1692382381")</f>
        <v>https://pbs.twimg.com/profile_banners/1090291692744466433/1692382381</v>
      </c>
      <c r="BI811" s="76"/>
      <c r="BJ811" s="76" t="s">
        <v>27595</v>
      </c>
      <c r="BK811" s="76" t="b">
        <v>0</v>
      </c>
      <c r="BL811" s="76"/>
      <c r="BM811" s="76" t="s">
        <v>66</v>
      </c>
      <c r="BN811" s="76" t="s">
        <v>27597</v>
      </c>
      <c r="BO811" s="82" t="str">
        <f>HYPERLINK("https://twitter.com/sigagazetabr")</f>
        <v>https://twitter.com/sigagazetabr</v>
      </c>
      <c r="BP811" s="2"/>
    </row>
    <row r="812" spans="1:68" x14ac:dyDescent="0.25">
      <c r="A812" s="62" t="s">
        <v>1877</v>
      </c>
      <c r="B812" s="63"/>
      <c r="C812" s="63"/>
      <c r="D812" s="64"/>
      <c r="E812" s="66"/>
      <c r="F812" s="103" t="str">
        <f>HYPERLINK("https://pbs.twimg.com/profile_images/1559475014470189058/3LP_RBGq_normal.jpg")</f>
        <v>https://pbs.twimg.com/profile_images/1559475014470189058/3LP_RBGq_normal.jpg</v>
      </c>
      <c r="G812" s="63"/>
      <c r="H812" s="67"/>
      <c r="I812" s="68"/>
      <c r="J812" s="68"/>
      <c r="K812" s="67" t="s">
        <v>28406</v>
      </c>
      <c r="L812" s="71"/>
      <c r="M812" s="72"/>
      <c r="N812" s="72"/>
      <c r="O812" s="73"/>
      <c r="P812" s="74"/>
      <c r="Q812" s="74"/>
      <c r="R812" s="87"/>
      <c r="S812" s="87"/>
      <c r="T812" s="87"/>
      <c r="U812" s="87"/>
      <c r="V812" s="48"/>
      <c r="W812" s="48"/>
      <c r="X812" s="48"/>
      <c r="Y812" s="48"/>
      <c r="Z812" s="47"/>
      <c r="AA812" s="69">
        <v>812</v>
      </c>
      <c r="AB812" s="69"/>
      <c r="AC812" s="70"/>
      <c r="AD812" s="76" t="s">
        <v>22045</v>
      </c>
      <c r="AE812" s="81" t="s">
        <v>23502</v>
      </c>
      <c r="AF812" s="76">
        <v>462128</v>
      </c>
      <c r="AG812" s="76">
        <v>7635</v>
      </c>
      <c r="AH812" s="76">
        <v>31392</v>
      </c>
      <c r="AI812" s="76">
        <v>909</v>
      </c>
      <c r="AJ812" s="76">
        <v>2271</v>
      </c>
      <c r="AK812" s="76">
        <v>6470</v>
      </c>
      <c r="AL812" s="76" t="b">
        <v>0</v>
      </c>
      <c r="AM812" s="78">
        <v>39993.881157407406</v>
      </c>
      <c r="AN812" s="76" t="s">
        <v>24378</v>
      </c>
      <c r="AO812" s="76" t="s">
        <v>25438</v>
      </c>
      <c r="AP812" s="82" t="str">
        <f>HYPERLINK("https://t.co/WnBPyQhguK")</f>
        <v>https://t.co/WnBPyQhguK</v>
      </c>
      <c r="AQ812" s="82" t="str">
        <f>HYPERLINK("https://linktr.ee/rogeriomarinho")</f>
        <v>https://linktr.ee/rogeriomarinho</v>
      </c>
      <c r="AR812" s="76" t="s">
        <v>26801</v>
      </c>
      <c r="AS812" s="76"/>
      <c r="AT812" s="76"/>
      <c r="AU812" s="76"/>
      <c r="AV812" s="76"/>
      <c r="AW812" s="82" t="str">
        <f>HYPERLINK("https://t.co/WnBPyQhguK")</f>
        <v>https://t.co/WnBPyQhguK</v>
      </c>
      <c r="AX812" s="76" t="b">
        <v>1</v>
      </c>
      <c r="AY812" s="76"/>
      <c r="AZ812" s="76"/>
      <c r="BA812" s="76" t="b">
        <v>0</v>
      </c>
      <c r="BB812" s="76" t="b">
        <v>1</v>
      </c>
      <c r="BC812" s="76" t="b">
        <v>0</v>
      </c>
      <c r="BD812" s="76" t="b">
        <v>0</v>
      </c>
      <c r="BE812" s="76" t="b">
        <v>1</v>
      </c>
      <c r="BF812" s="76" t="b">
        <v>0</v>
      </c>
      <c r="BG812" s="76" t="b">
        <v>0</v>
      </c>
      <c r="BH812" s="82" t="str">
        <f>HYPERLINK("https://pbs.twimg.com/profile_banners/52189996/1665935138")</f>
        <v>https://pbs.twimg.com/profile_banners/52189996/1665935138</v>
      </c>
      <c r="BI812" s="76"/>
      <c r="BJ812" s="76" t="s">
        <v>27595</v>
      </c>
      <c r="BK812" s="76" t="b">
        <v>0</v>
      </c>
      <c r="BL812" s="76"/>
      <c r="BM812" s="76" t="s">
        <v>65</v>
      </c>
      <c r="BN812" s="76" t="s">
        <v>27597</v>
      </c>
      <c r="BO812" s="82" t="str">
        <f>HYPERLINK("https://twitter.com/rogeriosmarinho")</f>
        <v>https://twitter.com/rogeriosmarinho</v>
      </c>
      <c r="BP812" s="2"/>
    </row>
    <row r="813" spans="1:68" x14ac:dyDescent="0.25">
      <c r="A813" s="62" t="s">
        <v>1878</v>
      </c>
      <c r="B813" s="63"/>
      <c r="C813" s="63"/>
      <c r="D813" s="64"/>
      <c r="E813" s="66"/>
      <c r="F813" s="103" t="str">
        <f>HYPERLINK("https://pbs.twimg.com/profile_images/1603004363160567811/vgi2thgm_normal.jpg")</f>
        <v>https://pbs.twimg.com/profile_images/1603004363160567811/vgi2thgm_normal.jpg</v>
      </c>
      <c r="G813" s="63"/>
      <c r="H813" s="67"/>
      <c r="I813" s="68"/>
      <c r="J813" s="68"/>
      <c r="K813" s="67" t="s">
        <v>28407</v>
      </c>
      <c r="L813" s="71"/>
      <c r="M813" s="72"/>
      <c r="N813" s="72"/>
      <c r="O813" s="73"/>
      <c r="P813" s="74"/>
      <c r="Q813" s="74"/>
      <c r="R813" s="87"/>
      <c r="S813" s="87"/>
      <c r="T813" s="87"/>
      <c r="U813" s="87"/>
      <c r="V813" s="48"/>
      <c r="W813" s="48"/>
      <c r="X813" s="48"/>
      <c r="Y813" s="48"/>
      <c r="Z813" s="47"/>
      <c r="AA813" s="69">
        <v>813</v>
      </c>
      <c r="AB813" s="69"/>
      <c r="AC813" s="70"/>
      <c r="AD813" s="76" t="s">
        <v>22046</v>
      </c>
      <c r="AE813" s="81" t="s">
        <v>23503</v>
      </c>
      <c r="AF813" s="76">
        <v>2637949</v>
      </c>
      <c r="AG813" s="76">
        <v>831</v>
      </c>
      <c r="AH813" s="76">
        <v>36856</v>
      </c>
      <c r="AI813" s="76">
        <v>3403</v>
      </c>
      <c r="AJ813" s="76">
        <v>28319</v>
      </c>
      <c r="AK813" s="76">
        <v>14000</v>
      </c>
      <c r="AL813" s="76" t="b">
        <v>0</v>
      </c>
      <c r="AM813" s="78">
        <v>40072.642511574071</v>
      </c>
      <c r="AN813" s="76" t="s">
        <v>24254</v>
      </c>
      <c r="AO813" s="76" t="s">
        <v>25439</v>
      </c>
      <c r="AP813" s="82" t="str">
        <f>HYPERLINK("https://t.co/oyc42cdljW")</f>
        <v>https://t.co/oyc42cdljW</v>
      </c>
      <c r="AQ813" s="82" t="str">
        <f>HYPERLINK("http://www.boletimconservador.com.br")</f>
        <v>http://www.boletimconservador.com.br</v>
      </c>
      <c r="AR813" s="76" t="s">
        <v>26802</v>
      </c>
      <c r="AS813" s="76"/>
      <c r="AT813" s="76"/>
      <c r="AU813" s="76"/>
      <c r="AV813" s="76">
        <v>1.6441189572285299E+18</v>
      </c>
      <c r="AW813" s="82" t="str">
        <f>HYPERLINK("https://t.co/oyc42cdljW")</f>
        <v>https://t.co/oyc42cdljW</v>
      </c>
      <c r="AX813" s="76" t="b">
        <v>1</v>
      </c>
      <c r="AY813" s="76"/>
      <c r="AZ813" s="76"/>
      <c r="BA813" s="76" t="b">
        <v>0</v>
      </c>
      <c r="BB813" s="76" t="b">
        <v>1</v>
      </c>
      <c r="BC813" s="76" t="b">
        <v>0</v>
      </c>
      <c r="BD813" s="76" t="b">
        <v>0</v>
      </c>
      <c r="BE813" s="76" t="b">
        <v>1</v>
      </c>
      <c r="BF813" s="76" t="b">
        <v>0</v>
      </c>
      <c r="BG813" s="76" t="b">
        <v>0</v>
      </c>
      <c r="BH813" s="82" t="str">
        <f>HYPERLINK("https://pbs.twimg.com/profile_banners/74756085/1676128110")</f>
        <v>https://pbs.twimg.com/profile_banners/74756085/1676128110</v>
      </c>
      <c r="BI813" s="76"/>
      <c r="BJ813" s="76" t="s">
        <v>27595</v>
      </c>
      <c r="BK813" s="76" t="b">
        <v>0</v>
      </c>
      <c r="BL813" s="76"/>
      <c r="BM813" s="76" t="s">
        <v>65</v>
      </c>
      <c r="BN813" s="76" t="s">
        <v>27597</v>
      </c>
      <c r="BO813" s="82" t="str">
        <f>HYPERLINK("https://twitter.com/bolsonarosp")</f>
        <v>https://twitter.com/bolsonarosp</v>
      </c>
      <c r="BP813" s="2"/>
    </row>
    <row r="814" spans="1:68" x14ac:dyDescent="0.25">
      <c r="A814" s="62" t="s">
        <v>1879</v>
      </c>
      <c r="B814" s="63"/>
      <c r="C814" s="63"/>
      <c r="D814" s="64"/>
      <c r="E814" s="66"/>
      <c r="F814" s="103" t="str">
        <f>HYPERLINK("https://pbs.twimg.com/profile_images/1615015742692270080/y8WZRbqR_normal.jpg")</f>
        <v>https://pbs.twimg.com/profile_images/1615015742692270080/y8WZRbqR_normal.jpg</v>
      </c>
      <c r="G814" s="63"/>
      <c r="H814" s="67"/>
      <c r="I814" s="68"/>
      <c r="J814" s="68"/>
      <c r="K814" s="67" t="s">
        <v>28408</v>
      </c>
      <c r="L814" s="71"/>
      <c r="M814" s="72"/>
      <c r="N814" s="72"/>
      <c r="O814" s="73"/>
      <c r="P814" s="74"/>
      <c r="Q814" s="74"/>
      <c r="R814" s="87"/>
      <c r="S814" s="87"/>
      <c r="T814" s="87"/>
      <c r="U814" s="87"/>
      <c r="V814" s="48"/>
      <c r="W814" s="48"/>
      <c r="X814" s="48"/>
      <c r="Y814" s="48"/>
      <c r="Z814" s="47"/>
      <c r="AA814" s="69">
        <v>814</v>
      </c>
      <c r="AB814" s="69"/>
      <c r="AC814" s="70"/>
      <c r="AD814" s="76" t="s">
        <v>22047</v>
      </c>
      <c r="AE814" s="81" t="s">
        <v>23504</v>
      </c>
      <c r="AF814" s="76">
        <v>3552400</v>
      </c>
      <c r="AG814" s="76">
        <v>641</v>
      </c>
      <c r="AH814" s="76">
        <v>27224</v>
      </c>
      <c r="AI814" s="76">
        <v>3617</v>
      </c>
      <c r="AJ814" s="76">
        <v>5983</v>
      </c>
      <c r="AK814" s="76">
        <v>8030</v>
      </c>
      <c r="AL814" s="76" t="b">
        <v>0</v>
      </c>
      <c r="AM814" s="78">
        <v>40050.620451388888</v>
      </c>
      <c r="AN814" s="76" t="s">
        <v>24379</v>
      </c>
      <c r="AO814" s="76" t="s">
        <v>25440</v>
      </c>
      <c r="AP814" s="82" t="str">
        <f>HYPERLINK("https://t.co/3tKZDXiTrn")</f>
        <v>https://t.co/3tKZDXiTrn</v>
      </c>
      <c r="AQ814" s="82" t="str">
        <f>HYPERLINK("https://carlos.bolsonaro.tv")</f>
        <v>https://carlos.bolsonaro.tv</v>
      </c>
      <c r="AR814" s="76" t="s">
        <v>26803</v>
      </c>
      <c r="AS814" s="76"/>
      <c r="AT814" s="76"/>
      <c r="AU814" s="76"/>
      <c r="AV814" s="76"/>
      <c r="AW814" s="82" t="str">
        <f>HYPERLINK("https://t.co/3tKZDXiTrn")</f>
        <v>https://t.co/3tKZDXiTrn</v>
      </c>
      <c r="AX814" s="76" t="b">
        <v>1</v>
      </c>
      <c r="AY814" s="76"/>
      <c r="AZ814" s="76"/>
      <c r="BA814" s="76" t="b">
        <v>0</v>
      </c>
      <c r="BB814" s="76" t="b">
        <v>1</v>
      </c>
      <c r="BC814" s="76" t="b">
        <v>0</v>
      </c>
      <c r="BD814" s="76" t="b">
        <v>0</v>
      </c>
      <c r="BE814" s="76" t="b">
        <v>1</v>
      </c>
      <c r="BF814" s="76" t="b">
        <v>0</v>
      </c>
      <c r="BG814" s="76" t="b">
        <v>0</v>
      </c>
      <c r="BH814" s="82" t="str">
        <f>HYPERLINK("https://pbs.twimg.com/profile_banners/68712576/1615208513")</f>
        <v>https://pbs.twimg.com/profile_banners/68712576/1615208513</v>
      </c>
      <c r="BI814" s="76"/>
      <c r="BJ814" s="76" t="s">
        <v>27595</v>
      </c>
      <c r="BK814" s="76" t="b">
        <v>0</v>
      </c>
      <c r="BL814" s="76"/>
      <c r="BM814" s="76" t="s">
        <v>65</v>
      </c>
      <c r="BN814" s="76" t="s">
        <v>27597</v>
      </c>
      <c r="BO814" s="82" t="str">
        <f>HYPERLINK("https://twitter.com/carlosbolsonaro")</f>
        <v>https://twitter.com/carlosbolsonaro</v>
      </c>
      <c r="BP814" s="2"/>
    </row>
    <row r="815" spans="1:68" x14ac:dyDescent="0.25">
      <c r="A815" s="62" t="s">
        <v>1880</v>
      </c>
      <c r="B815" s="63"/>
      <c r="C815" s="63"/>
      <c r="D815" s="64"/>
      <c r="E815" s="66"/>
      <c r="F815" s="103" t="str">
        <f>HYPERLINK("https://pbs.twimg.com/profile_images/1636406555007500291/Eg42W835_normal.jpg")</f>
        <v>https://pbs.twimg.com/profile_images/1636406555007500291/Eg42W835_normal.jpg</v>
      </c>
      <c r="G815" s="63"/>
      <c r="H815" s="67"/>
      <c r="I815" s="68"/>
      <c r="J815" s="68"/>
      <c r="K815" s="67" t="s">
        <v>28409</v>
      </c>
      <c r="L815" s="71"/>
      <c r="M815" s="72"/>
      <c r="N815" s="72"/>
      <c r="O815" s="73"/>
      <c r="P815" s="74"/>
      <c r="Q815" s="74"/>
      <c r="R815" s="87"/>
      <c r="S815" s="87"/>
      <c r="T815" s="87"/>
      <c r="U815" s="87"/>
      <c r="V815" s="48"/>
      <c r="W815" s="48"/>
      <c r="X815" s="48"/>
      <c r="Y815" s="48"/>
      <c r="Z815" s="47"/>
      <c r="AA815" s="69">
        <v>815</v>
      </c>
      <c r="AB815" s="69"/>
      <c r="AC815" s="70"/>
      <c r="AD815" s="76" t="s">
        <v>22048</v>
      </c>
      <c r="AE815" s="81" t="s">
        <v>23505</v>
      </c>
      <c r="AF815" s="76">
        <v>1139186</v>
      </c>
      <c r="AG815" s="76">
        <v>892</v>
      </c>
      <c r="AH815" s="76">
        <v>13286</v>
      </c>
      <c r="AI815" s="76">
        <v>1497</v>
      </c>
      <c r="AJ815" s="76">
        <v>16836</v>
      </c>
      <c r="AK815" s="76">
        <v>4329</v>
      </c>
      <c r="AL815" s="76" t="b">
        <v>0</v>
      </c>
      <c r="AM815" s="78">
        <v>40100.168553240743</v>
      </c>
      <c r="AN815" s="76" t="s">
        <v>24380</v>
      </c>
      <c r="AO815" s="76" t="s">
        <v>25441</v>
      </c>
      <c r="AP815" s="82" t="str">
        <f>HYPERLINK("https://t.co/wJBYDALP88")</f>
        <v>https://t.co/wJBYDALP88</v>
      </c>
      <c r="AQ815" s="82" t="str">
        <f>HYPERLINK("http://www.cursofle.com.br")</f>
        <v>http://www.cursofle.com.br</v>
      </c>
      <c r="AR815" s="76" t="s">
        <v>26804</v>
      </c>
      <c r="AS815" s="76"/>
      <c r="AT815" s="76"/>
      <c r="AU815" s="76"/>
      <c r="AV815" s="76">
        <v>1.6734921854658801E+18</v>
      </c>
      <c r="AW815" s="82" t="str">
        <f>HYPERLINK("https://t.co/wJBYDALP88")</f>
        <v>https://t.co/wJBYDALP88</v>
      </c>
      <c r="AX815" s="76" t="b">
        <v>1</v>
      </c>
      <c r="AY815" s="76"/>
      <c r="AZ815" s="76"/>
      <c r="BA815" s="76" t="b">
        <v>0</v>
      </c>
      <c r="BB815" s="76" t="b">
        <v>1</v>
      </c>
      <c r="BC815" s="76" t="b">
        <v>0</v>
      </c>
      <c r="BD815" s="76" t="b">
        <v>0</v>
      </c>
      <c r="BE815" s="76" t="b">
        <v>0</v>
      </c>
      <c r="BF815" s="76" t="b">
        <v>0</v>
      </c>
      <c r="BG815" s="76" t="b">
        <v>0</v>
      </c>
      <c r="BH815" s="82" t="str">
        <f>HYPERLINK("https://pbs.twimg.com/profile_banners/82271629/1683673523")</f>
        <v>https://pbs.twimg.com/profile_banners/82271629/1683673523</v>
      </c>
      <c r="BI815" s="76"/>
      <c r="BJ815" s="76" t="s">
        <v>27595</v>
      </c>
      <c r="BK815" s="76" t="b">
        <v>0</v>
      </c>
      <c r="BL815" s="76"/>
      <c r="BM815" s="76" t="s">
        <v>65</v>
      </c>
      <c r="BN815" s="76" t="s">
        <v>27597</v>
      </c>
      <c r="BO815" s="82" t="str">
        <f>HYPERLINK("https://twitter.com/carlosjordy")</f>
        <v>https://twitter.com/carlosjordy</v>
      </c>
      <c r="BP815" s="2"/>
    </row>
    <row r="816" spans="1:68" x14ac:dyDescent="0.25">
      <c r="A816" s="62" t="s">
        <v>1881</v>
      </c>
      <c r="B816" s="63"/>
      <c r="C816" s="63"/>
      <c r="D816" s="64"/>
      <c r="E816" s="66"/>
      <c r="F816" s="103" t="str">
        <f>HYPERLINK("https://pbs.twimg.com/profile_images/1577071569045790746/ToLuR8wA_normal.jpg")</f>
        <v>https://pbs.twimg.com/profile_images/1577071569045790746/ToLuR8wA_normal.jpg</v>
      </c>
      <c r="G816" s="63"/>
      <c r="H816" s="67"/>
      <c r="I816" s="68"/>
      <c r="J816" s="68"/>
      <c r="K816" s="67" t="s">
        <v>28410</v>
      </c>
      <c r="L816" s="71"/>
      <c r="M816" s="72"/>
      <c r="N816" s="72"/>
      <c r="O816" s="73"/>
      <c r="P816" s="74"/>
      <c r="Q816" s="74"/>
      <c r="R816" s="87"/>
      <c r="S816" s="87"/>
      <c r="T816" s="87"/>
      <c r="U816" s="87"/>
      <c r="V816" s="48"/>
      <c r="W816" s="48"/>
      <c r="X816" s="48"/>
      <c r="Y816" s="48"/>
      <c r="Z816" s="47"/>
      <c r="AA816" s="69">
        <v>816</v>
      </c>
      <c r="AB816" s="69"/>
      <c r="AC816" s="70"/>
      <c r="AD816" s="76" t="s">
        <v>22049</v>
      </c>
      <c r="AE816" s="81" t="s">
        <v>23506</v>
      </c>
      <c r="AF816" s="76">
        <v>431007</v>
      </c>
      <c r="AG816" s="76">
        <v>5638</v>
      </c>
      <c r="AH816" s="76">
        <v>62948</v>
      </c>
      <c r="AI816" s="76">
        <v>387</v>
      </c>
      <c r="AJ816" s="76">
        <v>35573</v>
      </c>
      <c r="AK816" s="76">
        <v>13736</v>
      </c>
      <c r="AL816" s="76" t="b">
        <v>0</v>
      </c>
      <c r="AM816" s="78">
        <v>41022.071863425925</v>
      </c>
      <c r="AN816" s="76" t="s">
        <v>24072</v>
      </c>
      <c r="AO816" s="76" t="s">
        <v>25442</v>
      </c>
      <c r="AP816" s="82" t="str">
        <f>HYPERLINK("https://t.co/g3HxL6a52p")</f>
        <v>https://t.co/g3HxL6a52p</v>
      </c>
      <c r="AQ816" s="82" t="str">
        <f>HYPERLINK("https://vlogdolisboa.com.br")</f>
        <v>https://vlogdolisboa.com.br</v>
      </c>
      <c r="AR816" s="76" t="s">
        <v>26805</v>
      </c>
      <c r="AS816" s="82" t="str">
        <f>HYPERLINK("https://t.co/d3pC1hULNX")</f>
        <v>https://t.co/d3pC1hULNX</v>
      </c>
      <c r="AT816" s="82" t="str">
        <f>HYPERLINK("http://paypal.me/vlogdolisboa")</f>
        <v>http://paypal.me/vlogdolisboa</v>
      </c>
      <c r="AU816" s="76" t="s">
        <v>27500</v>
      </c>
      <c r="AV816" s="76"/>
      <c r="AW816" s="82" t="str">
        <f>HYPERLINK("https://t.co/g3HxL6a52p")</f>
        <v>https://t.co/g3HxL6a52p</v>
      </c>
      <c r="AX816" s="76" t="b">
        <v>1</v>
      </c>
      <c r="AY816" s="76"/>
      <c r="AZ816" s="76"/>
      <c r="BA816" s="76" t="b">
        <v>0</v>
      </c>
      <c r="BB816" s="76" t="b">
        <v>0</v>
      </c>
      <c r="BC816" s="76" t="b">
        <v>0</v>
      </c>
      <c r="BD816" s="76" t="b">
        <v>0</v>
      </c>
      <c r="BE816" s="76" t="b">
        <v>1</v>
      </c>
      <c r="BF816" s="76" t="b">
        <v>0</v>
      </c>
      <c r="BG816" s="76" t="b">
        <v>0</v>
      </c>
      <c r="BH816" s="82" t="str">
        <f>HYPERLINK("https://pbs.twimg.com/profile_banners/560825868/1690941578")</f>
        <v>https://pbs.twimg.com/profile_banners/560825868/1690941578</v>
      </c>
      <c r="BI816" s="76"/>
      <c r="BJ816" s="76" t="s">
        <v>27595</v>
      </c>
      <c r="BK816" s="76" t="b">
        <v>0</v>
      </c>
      <c r="BL816" s="76"/>
      <c r="BM816" s="76" t="s">
        <v>65</v>
      </c>
      <c r="BN816" s="76" t="s">
        <v>27597</v>
      </c>
      <c r="BO816" s="82" t="str">
        <f>HYPERLINK("https://twitter.com/vlogdolisboa")</f>
        <v>https://twitter.com/vlogdolisboa</v>
      </c>
      <c r="BP816" s="2"/>
    </row>
    <row r="817" spans="1:68" x14ac:dyDescent="0.25">
      <c r="A817" s="62" t="s">
        <v>1882</v>
      </c>
      <c r="B817" s="63"/>
      <c r="C817" s="63"/>
      <c r="D817" s="64"/>
      <c r="E817" s="66"/>
      <c r="F817" s="103" t="str">
        <f>HYPERLINK("https://pbs.twimg.com/profile_images/1624593922298191874/1RmS6UpX_normal.jpg")</f>
        <v>https://pbs.twimg.com/profile_images/1624593922298191874/1RmS6UpX_normal.jpg</v>
      </c>
      <c r="G817" s="63"/>
      <c r="H817" s="67"/>
      <c r="I817" s="68"/>
      <c r="J817" s="68"/>
      <c r="K817" s="67" t="s">
        <v>28411</v>
      </c>
      <c r="L817" s="71"/>
      <c r="M817" s="72"/>
      <c r="N817" s="72"/>
      <c r="O817" s="73"/>
      <c r="P817" s="74"/>
      <c r="Q817" s="74"/>
      <c r="R817" s="87"/>
      <c r="S817" s="87"/>
      <c r="T817" s="87"/>
      <c r="U817" s="87"/>
      <c r="V817" s="48"/>
      <c r="W817" s="48"/>
      <c r="X817" s="48"/>
      <c r="Y817" s="48"/>
      <c r="Z817" s="47"/>
      <c r="AA817" s="69">
        <v>817</v>
      </c>
      <c r="AB817" s="69"/>
      <c r="AC817" s="70"/>
      <c r="AD817" s="76" t="s">
        <v>22050</v>
      </c>
      <c r="AE817" s="81" t="s">
        <v>20281</v>
      </c>
      <c r="AF817" s="76">
        <v>135259</v>
      </c>
      <c r="AG817" s="76">
        <v>1280</v>
      </c>
      <c r="AH817" s="76">
        <v>45720</v>
      </c>
      <c r="AI817" s="76">
        <v>1264</v>
      </c>
      <c r="AJ817" s="76">
        <v>5511</v>
      </c>
      <c r="AK817" s="76">
        <v>2144</v>
      </c>
      <c r="AL817" s="76" t="b">
        <v>0</v>
      </c>
      <c r="AM817" s="78">
        <v>40141.841099537036</v>
      </c>
      <c r="AN817" s="76" t="s">
        <v>24381</v>
      </c>
      <c r="AO817" s="76" t="s">
        <v>25443</v>
      </c>
      <c r="AP817" s="82" t="str">
        <f>HYPERLINK("https://t.co/5br6e3HAUG")</f>
        <v>https://t.co/5br6e3HAUG</v>
      </c>
      <c r="AQ817" s="82" t="str">
        <f>HYPERLINK("http://arthurvirgilionetoam.com.br")</f>
        <v>http://arthurvirgilionetoam.com.br</v>
      </c>
      <c r="AR817" s="76" t="s">
        <v>26806</v>
      </c>
      <c r="AS817" s="76"/>
      <c r="AT817" s="76"/>
      <c r="AU817" s="76"/>
      <c r="AV817" s="76"/>
      <c r="AW817" s="82" t="str">
        <f>HYPERLINK("https://t.co/5br6e3HAUG")</f>
        <v>https://t.co/5br6e3HAUG</v>
      </c>
      <c r="AX817" s="76" t="b">
        <v>1</v>
      </c>
      <c r="AY817" s="76"/>
      <c r="AZ817" s="76"/>
      <c r="BA817" s="76" t="b">
        <v>1</v>
      </c>
      <c r="BB817" s="76" t="b">
        <v>0</v>
      </c>
      <c r="BC817" s="76" t="b">
        <v>0</v>
      </c>
      <c r="BD817" s="76" t="b">
        <v>0</v>
      </c>
      <c r="BE817" s="76" t="b">
        <v>1</v>
      </c>
      <c r="BF817" s="76" t="b">
        <v>0</v>
      </c>
      <c r="BG817" s="76" t="b">
        <v>0</v>
      </c>
      <c r="BH817" s="82" t="str">
        <f>HYPERLINK("https://pbs.twimg.com/profile_banners/92353661/1675517181")</f>
        <v>https://pbs.twimg.com/profile_banners/92353661/1675517181</v>
      </c>
      <c r="BI817" s="76"/>
      <c r="BJ817" s="76" t="s">
        <v>27596</v>
      </c>
      <c r="BK817" s="76" t="b">
        <v>0</v>
      </c>
      <c r="BL817" s="76"/>
      <c r="BM817" s="76" t="s">
        <v>65</v>
      </c>
      <c r="BN817" s="76" t="s">
        <v>27597</v>
      </c>
      <c r="BO817" s="82" t="str">
        <f>HYPERLINK("https://twitter.com/arthurvneto")</f>
        <v>https://twitter.com/arthurvneto</v>
      </c>
      <c r="BP817" s="2"/>
    </row>
    <row r="818" spans="1:68" x14ac:dyDescent="0.25">
      <c r="A818" s="62" t="s">
        <v>804</v>
      </c>
      <c r="B818" s="63"/>
      <c r="C818" s="63"/>
      <c r="D818" s="64"/>
      <c r="E818" s="66"/>
      <c r="F818" s="103" t="str">
        <f>HYPERLINK("https://pbs.twimg.com/profile_images/1577800699668299777/q6Zd0E_x_normal.jpg")</f>
        <v>https://pbs.twimg.com/profile_images/1577800699668299777/q6Zd0E_x_normal.jpg</v>
      </c>
      <c r="G818" s="63"/>
      <c r="H818" s="67"/>
      <c r="I818" s="68"/>
      <c r="J818" s="68"/>
      <c r="K818" s="67" t="s">
        <v>28412</v>
      </c>
      <c r="L818" s="71"/>
      <c r="M818" s="72"/>
      <c r="N818" s="72"/>
      <c r="O818" s="73"/>
      <c r="P818" s="74"/>
      <c r="Q818" s="74"/>
      <c r="R818" s="87"/>
      <c r="S818" s="87"/>
      <c r="T818" s="87"/>
      <c r="U818" s="87"/>
      <c r="V818" s="48"/>
      <c r="W818" s="48"/>
      <c r="X818" s="48"/>
      <c r="Y818" s="48"/>
      <c r="Z818" s="47"/>
      <c r="AA818" s="69">
        <v>818</v>
      </c>
      <c r="AB818" s="69"/>
      <c r="AC818" s="70"/>
      <c r="AD818" s="76" t="s">
        <v>22051</v>
      </c>
      <c r="AE818" s="81" t="s">
        <v>20774</v>
      </c>
      <c r="AF818" s="76">
        <v>1486</v>
      </c>
      <c r="AG818" s="76">
        <v>1561</v>
      </c>
      <c r="AH818" s="76">
        <v>24300</v>
      </c>
      <c r="AI818" s="76">
        <v>1</v>
      </c>
      <c r="AJ818" s="76">
        <v>41899</v>
      </c>
      <c r="AK818" s="76">
        <v>1678</v>
      </c>
      <c r="AL818" s="76" t="b">
        <v>0</v>
      </c>
      <c r="AM818" s="78">
        <v>44010.941631944443</v>
      </c>
      <c r="AN818" s="76"/>
      <c r="AO818" s="76" t="s">
        <v>25444</v>
      </c>
      <c r="AP818" s="76"/>
      <c r="AQ818" s="76"/>
      <c r="AR818" s="76"/>
      <c r="AS818" s="76"/>
      <c r="AT818" s="76"/>
      <c r="AU818" s="76"/>
      <c r="AV818" s="76">
        <v>1.49249989068065E+18</v>
      </c>
      <c r="AW818" s="76"/>
      <c r="AX818" s="76" t="b">
        <v>0</v>
      </c>
      <c r="AY818" s="76"/>
      <c r="AZ818" s="76"/>
      <c r="BA818" s="76" t="b">
        <v>0</v>
      </c>
      <c r="BB818" s="76" t="b">
        <v>1</v>
      </c>
      <c r="BC818" s="76" t="b">
        <v>1</v>
      </c>
      <c r="BD818" s="76" t="b">
        <v>0</v>
      </c>
      <c r="BE818" s="76" t="b">
        <v>1</v>
      </c>
      <c r="BF818" s="76" t="b">
        <v>0</v>
      </c>
      <c r="BG818" s="76" t="b">
        <v>0</v>
      </c>
      <c r="BH818" s="76"/>
      <c r="BI818" s="76"/>
      <c r="BJ818" s="76" t="s">
        <v>27595</v>
      </c>
      <c r="BK818" s="76" t="b">
        <v>0</v>
      </c>
      <c r="BL818" s="76"/>
      <c r="BM818" s="76" t="s">
        <v>66</v>
      </c>
      <c r="BN818" s="76" t="s">
        <v>27597</v>
      </c>
      <c r="BO818" s="82" t="str">
        <f>HYPERLINK("https://twitter.com/pablofreedom2")</f>
        <v>https://twitter.com/pablofreedom2</v>
      </c>
      <c r="BP818" s="2"/>
    </row>
    <row r="819" spans="1:68" x14ac:dyDescent="0.25">
      <c r="A819" s="62" t="s">
        <v>805</v>
      </c>
      <c r="B819" s="63"/>
      <c r="C819" s="63"/>
      <c r="D819" s="64"/>
      <c r="E819" s="66"/>
      <c r="F819" s="103" t="str">
        <f>HYPERLINK("https://pbs.twimg.com/profile_images/1679983252398899200/0zb56_f__normal.jpg")</f>
        <v>https://pbs.twimg.com/profile_images/1679983252398899200/0zb56_f__normal.jpg</v>
      </c>
      <c r="G819" s="63"/>
      <c r="H819" s="67"/>
      <c r="I819" s="68"/>
      <c r="J819" s="68"/>
      <c r="K819" s="67" t="s">
        <v>28413</v>
      </c>
      <c r="L819" s="71"/>
      <c r="M819" s="72"/>
      <c r="N819" s="72"/>
      <c r="O819" s="73"/>
      <c r="P819" s="74"/>
      <c r="Q819" s="74"/>
      <c r="R819" s="87"/>
      <c r="S819" s="87"/>
      <c r="T819" s="87"/>
      <c r="U819" s="87"/>
      <c r="V819" s="48"/>
      <c r="W819" s="48"/>
      <c r="X819" s="48"/>
      <c r="Y819" s="48"/>
      <c r="Z819" s="47"/>
      <c r="AA819" s="69">
        <v>819</v>
      </c>
      <c r="AB819" s="69"/>
      <c r="AC819" s="70"/>
      <c r="AD819" s="76" t="s">
        <v>22052</v>
      </c>
      <c r="AE819" s="81" t="s">
        <v>23507</v>
      </c>
      <c r="AF819" s="76">
        <v>2580</v>
      </c>
      <c r="AG819" s="76">
        <v>1137</v>
      </c>
      <c r="AH819" s="76">
        <v>372076</v>
      </c>
      <c r="AI819" s="76">
        <v>1</v>
      </c>
      <c r="AJ819" s="76">
        <v>605927</v>
      </c>
      <c r="AK819" s="76">
        <v>10148</v>
      </c>
      <c r="AL819" s="76" t="b">
        <v>0</v>
      </c>
      <c r="AM819" s="78">
        <v>40367.042280092595</v>
      </c>
      <c r="AN819" s="76" t="s">
        <v>14432</v>
      </c>
      <c r="AO819" s="76" t="s">
        <v>25445</v>
      </c>
      <c r="AP819" s="76"/>
      <c r="AQ819" s="76"/>
      <c r="AR819" s="76"/>
      <c r="AS819" s="76"/>
      <c r="AT819" s="76"/>
      <c r="AU819" s="76"/>
      <c r="AV819" s="76">
        <v>1.58747886740881E+18</v>
      </c>
      <c r="AW819" s="76"/>
      <c r="AX819" s="76" t="b">
        <v>0</v>
      </c>
      <c r="AY819" s="76"/>
      <c r="AZ819" s="76"/>
      <c r="BA819" s="76" t="b">
        <v>0</v>
      </c>
      <c r="BB819" s="76" t="b">
        <v>0</v>
      </c>
      <c r="BC819" s="76" t="b">
        <v>0</v>
      </c>
      <c r="BD819" s="76" t="b">
        <v>0</v>
      </c>
      <c r="BE819" s="76" t="b">
        <v>1</v>
      </c>
      <c r="BF819" s="76" t="b">
        <v>0</v>
      </c>
      <c r="BG819" s="76" t="b">
        <v>0</v>
      </c>
      <c r="BH819" s="82" t="str">
        <f>HYPERLINK("https://pbs.twimg.com/profile_banners/164088786/1603339532")</f>
        <v>https://pbs.twimg.com/profile_banners/164088786/1603339532</v>
      </c>
      <c r="BI819" s="76"/>
      <c r="BJ819" s="76" t="s">
        <v>27595</v>
      </c>
      <c r="BK819" s="76" t="b">
        <v>0</v>
      </c>
      <c r="BL819" s="76"/>
      <c r="BM819" s="76" t="s">
        <v>66</v>
      </c>
      <c r="BN819" s="76" t="s">
        <v>27597</v>
      </c>
      <c r="BO819" s="82" t="str">
        <f>HYPERLINK("https://twitter.com/lucearaujo")</f>
        <v>https://twitter.com/lucearaujo</v>
      </c>
      <c r="BP819" s="2"/>
    </row>
    <row r="820" spans="1:68" x14ac:dyDescent="0.25">
      <c r="A820" s="62" t="s">
        <v>806</v>
      </c>
      <c r="B820" s="63"/>
      <c r="C820" s="63"/>
      <c r="D820" s="64"/>
      <c r="E820" s="66"/>
      <c r="F820" s="103" t="str">
        <f>HYPERLINK("https://pbs.twimg.com/profile_images/1180645656538558465/RPHpgHNk_normal.jpg")</f>
        <v>https://pbs.twimg.com/profile_images/1180645656538558465/RPHpgHNk_normal.jpg</v>
      </c>
      <c r="G820" s="63"/>
      <c r="H820" s="67"/>
      <c r="I820" s="68"/>
      <c r="J820" s="68"/>
      <c r="K820" s="67" t="s">
        <v>28414</v>
      </c>
      <c r="L820" s="71"/>
      <c r="M820" s="72"/>
      <c r="N820" s="72"/>
      <c r="O820" s="73"/>
      <c r="P820" s="74"/>
      <c r="Q820" s="74"/>
      <c r="R820" s="87"/>
      <c r="S820" s="87"/>
      <c r="T820" s="87"/>
      <c r="U820" s="87"/>
      <c r="V820" s="48"/>
      <c r="W820" s="48"/>
      <c r="X820" s="48"/>
      <c r="Y820" s="48"/>
      <c r="Z820" s="47"/>
      <c r="AA820" s="69">
        <v>820</v>
      </c>
      <c r="AB820" s="69"/>
      <c r="AC820" s="70"/>
      <c r="AD820" s="76" t="s">
        <v>22053</v>
      </c>
      <c r="AE820" s="81" t="s">
        <v>23508</v>
      </c>
      <c r="AF820" s="76">
        <v>192</v>
      </c>
      <c r="AG820" s="76">
        <v>482</v>
      </c>
      <c r="AH820" s="76">
        <v>10036</v>
      </c>
      <c r="AI820" s="76">
        <v>0</v>
      </c>
      <c r="AJ820" s="76">
        <v>100</v>
      </c>
      <c r="AK820" s="76">
        <v>1656</v>
      </c>
      <c r="AL820" s="76" t="b">
        <v>0</v>
      </c>
      <c r="AM820" s="78">
        <v>39983.115937499999</v>
      </c>
      <c r="AN820" s="76" t="s">
        <v>24382</v>
      </c>
      <c r="AO820" s="76" t="s">
        <v>25446</v>
      </c>
      <c r="AP820" s="82" t="str">
        <f>HYPERLINK("https://t.co/vTXfqabgws")</f>
        <v>https://t.co/vTXfqabgws</v>
      </c>
      <c r="AQ820" s="82" t="str">
        <f>HYPERLINK("http://www.tveradioregional.com.br")</f>
        <v>http://www.tveradioregional.com.br</v>
      </c>
      <c r="AR820" s="76" t="s">
        <v>26807</v>
      </c>
      <c r="AS820" s="76"/>
      <c r="AT820" s="76"/>
      <c r="AU820" s="76"/>
      <c r="AV820" s="76"/>
      <c r="AW820" s="82" t="str">
        <f>HYPERLINK("https://t.co/vTXfqabgws")</f>
        <v>https://t.co/vTXfqabgws</v>
      </c>
      <c r="AX820" s="76" t="b">
        <v>0</v>
      </c>
      <c r="AY820" s="76"/>
      <c r="AZ820" s="76"/>
      <c r="BA820" s="76" t="b">
        <v>1</v>
      </c>
      <c r="BB820" s="76" t="b">
        <v>1</v>
      </c>
      <c r="BC820" s="76" t="b">
        <v>1</v>
      </c>
      <c r="BD820" s="76" t="b">
        <v>0</v>
      </c>
      <c r="BE820" s="76" t="b">
        <v>0</v>
      </c>
      <c r="BF820" s="76" t="b">
        <v>0</v>
      </c>
      <c r="BG820" s="76" t="b">
        <v>0</v>
      </c>
      <c r="BH820" s="82" t="str">
        <f>HYPERLINK("https://pbs.twimg.com/profile_banners/48585389/1373161125")</f>
        <v>https://pbs.twimg.com/profile_banners/48585389/1373161125</v>
      </c>
      <c r="BI820" s="76"/>
      <c r="BJ820" s="76" t="s">
        <v>27595</v>
      </c>
      <c r="BK820" s="76" t="b">
        <v>0</v>
      </c>
      <c r="BL820" s="76"/>
      <c r="BM820" s="76" t="s">
        <v>66</v>
      </c>
      <c r="BN820" s="76" t="s">
        <v>27597</v>
      </c>
      <c r="BO820" s="82" t="str">
        <f>HYPERLINK("https://twitter.com/sandromoraesvp")</f>
        <v>https://twitter.com/sandromoraesvp</v>
      </c>
      <c r="BP820" s="2"/>
    </row>
    <row r="821" spans="1:68" x14ac:dyDescent="0.25">
      <c r="A821" s="62" t="s">
        <v>807</v>
      </c>
      <c r="B821" s="63"/>
      <c r="C821" s="63"/>
      <c r="D821" s="64"/>
      <c r="E821" s="66"/>
      <c r="F821" s="103" t="str">
        <f>HYPERLINK("https://pbs.twimg.com/profile_images/1636354527623278599/DwWgY4sa_normal.png")</f>
        <v>https://pbs.twimg.com/profile_images/1636354527623278599/DwWgY4sa_normal.png</v>
      </c>
      <c r="G821" s="63"/>
      <c r="H821" s="67"/>
      <c r="I821" s="68"/>
      <c r="J821" s="68"/>
      <c r="K821" s="67" t="s">
        <v>28415</v>
      </c>
      <c r="L821" s="71"/>
      <c r="M821" s="72"/>
      <c r="N821" s="72"/>
      <c r="O821" s="73"/>
      <c r="P821" s="74"/>
      <c r="Q821" s="74"/>
      <c r="R821" s="87"/>
      <c r="S821" s="87"/>
      <c r="T821" s="87"/>
      <c r="U821" s="87"/>
      <c r="V821" s="48"/>
      <c r="W821" s="48"/>
      <c r="X821" s="48"/>
      <c r="Y821" s="48"/>
      <c r="Z821" s="47"/>
      <c r="AA821" s="69">
        <v>821</v>
      </c>
      <c r="AB821" s="69"/>
      <c r="AC821" s="70"/>
      <c r="AD821" s="76" t="s">
        <v>22054</v>
      </c>
      <c r="AE821" s="81" t="s">
        <v>20775</v>
      </c>
      <c r="AF821" s="76">
        <v>12</v>
      </c>
      <c r="AG821" s="76">
        <v>11</v>
      </c>
      <c r="AH821" s="76">
        <v>239</v>
      </c>
      <c r="AI821" s="76">
        <v>0</v>
      </c>
      <c r="AJ821" s="76">
        <v>3854</v>
      </c>
      <c r="AK821" s="76">
        <v>74</v>
      </c>
      <c r="AL821" s="76" t="b">
        <v>0</v>
      </c>
      <c r="AM821" s="78">
        <v>45001.549710648149</v>
      </c>
      <c r="AN821" s="76"/>
      <c r="AO821" s="76"/>
      <c r="AP821" s="76"/>
      <c r="AQ821" s="76"/>
      <c r="AR821" s="76"/>
      <c r="AS821" s="76"/>
      <c r="AT821" s="76"/>
      <c r="AU821" s="76"/>
      <c r="AV821" s="76"/>
      <c r="AW821" s="76"/>
      <c r="AX821" s="76" t="b">
        <v>0</v>
      </c>
      <c r="AY821" s="76"/>
      <c r="AZ821" s="76"/>
      <c r="BA821" s="76" t="b">
        <v>0</v>
      </c>
      <c r="BB821" s="76" t="b">
        <v>1</v>
      </c>
      <c r="BC821" s="76" t="b">
        <v>1</v>
      </c>
      <c r="BD821" s="76" t="b">
        <v>0</v>
      </c>
      <c r="BE821" s="76" t="b">
        <v>0</v>
      </c>
      <c r="BF821" s="76" t="b">
        <v>0</v>
      </c>
      <c r="BG821" s="76" t="b">
        <v>0</v>
      </c>
      <c r="BH821" s="76"/>
      <c r="BI821" s="76"/>
      <c r="BJ821" s="76" t="s">
        <v>27595</v>
      </c>
      <c r="BK821" s="76" t="b">
        <v>0</v>
      </c>
      <c r="BL821" s="76"/>
      <c r="BM821" s="76" t="s">
        <v>66</v>
      </c>
      <c r="BN821" s="76" t="s">
        <v>27597</v>
      </c>
      <c r="BO821" s="82" t="str">
        <f>HYPERLINK("https://twitter.com/lucia19517")</f>
        <v>https://twitter.com/lucia19517</v>
      </c>
      <c r="BP821" s="2"/>
    </row>
    <row r="822" spans="1:68" x14ac:dyDescent="0.25">
      <c r="A822" s="62" t="s">
        <v>808</v>
      </c>
      <c r="B822" s="63"/>
      <c r="C822" s="63"/>
      <c r="D822" s="64"/>
      <c r="E822" s="66"/>
      <c r="F822" s="103" t="str">
        <f>HYPERLINK("https://pbs.twimg.com/profile_images/1560009383823671298/DH6jh0mV_normal.jpg")</f>
        <v>https://pbs.twimg.com/profile_images/1560009383823671298/DH6jh0mV_normal.jpg</v>
      </c>
      <c r="G822" s="63"/>
      <c r="H822" s="67"/>
      <c r="I822" s="68"/>
      <c r="J822" s="68"/>
      <c r="K822" s="67" t="s">
        <v>28416</v>
      </c>
      <c r="L822" s="71"/>
      <c r="M822" s="72"/>
      <c r="N822" s="72"/>
      <c r="O822" s="73"/>
      <c r="P822" s="74"/>
      <c r="Q822" s="74"/>
      <c r="R822" s="87"/>
      <c r="S822" s="87"/>
      <c r="T822" s="87"/>
      <c r="U822" s="87"/>
      <c r="V822" s="48"/>
      <c r="W822" s="48"/>
      <c r="X822" s="48"/>
      <c r="Y822" s="48"/>
      <c r="Z822" s="47"/>
      <c r="AA822" s="69">
        <v>822</v>
      </c>
      <c r="AB822" s="69"/>
      <c r="AC822" s="70"/>
      <c r="AD822" s="76" t="s">
        <v>22055</v>
      </c>
      <c r="AE822" s="81" t="s">
        <v>20776</v>
      </c>
      <c r="AF822" s="76">
        <v>564</v>
      </c>
      <c r="AG822" s="76">
        <v>267</v>
      </c>
      <c r="AH822" s="76">
        <v>76347</v>
      </c>
      <c r="AI822" s="76">
        <v>1</v>
      </c>
      <c r="AJ822" s="76">
        <v>20097</v>
      </c>
      <c r="AK822" s="76">
        <v>7816</v>
      </c>
      <c r="AL822" s="76" t="b">
        <v>0</v>
      </c>
      <c r="AM822" s="78">
        <v>43785.904351851852</v>
      </c>
      <c r="AN822" s="76"/>
      <c r="AO822" s="76" t="s">
        <v>25447</v>
      </c>
      <c r="AP822" s="76"/>
      <c r="AQ822" s="76"/>
      <c r="AR822" s="76"/>
      <c r="AS822" s="76"/>
      <c r="AT822" s="76"/>
      <c r="AU822" s="76"/>
      <c r="AV822" s="76"/>
      <c r="AW822" s="76"/>
      <c r="AX822" s="76" t="b">
        <v>0</v>
      </c>
      <c r="AY822" s="76"/>
      <c r="AZ822" s="76"/>
      <c r="BA822" s="76" t="b">
        <v>0</v>
      </c>
      <c r="BB822" s="76" t="b">
        <v>1</v>
      </c>
      <c r="BC822" s="76" t="b">
        <v>1</v>
      </c>
      <c r="BD822" s="76" t="b">
        <v>0</v>
      </c>
      <c r="BE822" s="76" t="b">
        <v>1</v>
      </c>
      <c r="BF822" s="76" t="b">
        <v>0</v>
      </c>
      <c r="BG822" s="76" t="b">
        <v>0</v>
      </c>
      <c r="BH822" s="82" t="str">
        <f>HYPERLINK("https://pbs.twimg.com/profile_banners/1195819318484914184/1669579020")</f>
        <v>https://pbs.twimg.com/profile_banners/1195819318484914184/1669579020</v>
      </c>
      <c r="BI822" s="76"/>
      <c r="BJ822" s="76" t="s">
        <v>27595</v>
      </c>
      <c r="BK822" s="76" t="b">
        <v>0</v>
      </c>
      <c r="BL822" s="76"/>
      <c r="BM822" s="76" t="s">
        <v>66</v>
      </c>
      <c r="BN822" s="76" t="s">
        <v>27597</v>
      </c>
      <c r="BO822" s="82" t="str">
        <f>HYPERLINK("https://twitter.com/riosrosineide")</f>
        <v>https://twitter.com/riosrosineide</v>
      </c>
      <c r="BP822" s="2"/>
    </row>
    <row r="823" spans="1:68" x14ac:dyDescent="0.25">
      <c r="A823" s="62" t="s">
        <v>1883</v>
      </c>
      <c r="B823" s="63"/>
      <c r="C823" s="63"/>
      <c r="D823" s="64"/>
      <c r="E823" s="66"/>
      <c r="F823" s="103" t="str">
        <f>HYPERLINK("https://pbs.twimg.com/profile_images/1633287947846811649/OOHameVY_normal.jpg")</f>
        <v>https://pbs.twimg.com/profile_images/1633287947846811649/OOHameVY_normal.jpg</v>
      </c>
      <c r="G823" s="63"/>
      <c r="H823" s="67"/>
      <c r="I823" s="68"/>
      <c r="J823" s="68"/>
      <c r="K823" s="67" t="s">
        <v>28417</v>
      </c>
      <c r="L823" s="71"/>
      <c r="M823" s="72"/>
      <c r="N823" s="72"/>
      <c r="O823" s="73"/>
      <c r="P823" s="74"/>
      <c r="Q823" s="74"/>
      <c r="R823" s="87"/>
      <c r="S823" s="87"/>
      <c r="T823" s="87"/>
      <c r="U823" s="87"/>
      <c r="V823" s="48"/>
      <c r="W823" s="48"/>
      <c r="X823" s="48"/>
      <c r="Y823" s="48"/>
      <c r="Z823" s="47"/>
      <c r="AA823" s="69">
        <v>823</v>
      </c>
      <c r="AB823" s="69"/>
      <c r="AC823" s="70"/>
      <c r="AD823" s="76" t="s">
        <v>22056</v>
      </c>
      <c r="AE823" s="81" t="s">
        <v>20282</v>
      </c>
      <c r="AF823" s="76">
        <v>1371</v>
      </c>
      <c r="AG823" s="76">
        <v>651</v>
      </c>
      <c r="AH823" s="76">
        <v>12434</v>
      </c>
      <c r="AI823" s="76">
        <v>5</v>
      </c>
      <c r="AJ823" s="76">
        <v>3093</v>
      </c>
      <c r="AK823" s="76">
        <v>295</v>
      </c>
      <c r="AL823" s="76" t="b">
        <v>0</v>
      </c>
      <c r="AM823" s="78">
        <v>44993.083240740743</v>
      </c>
      <c r="AN823" s="76" t="s">
        <v>24383</v>
      </c>
      <c r="AO823" s="76" t="s">
        <v>25448</v>
      </c>
      <c r="AP823" s="76"/>
      <c r="AQ823" s="76"/>
      <c r="AR823" s="76"/>
      <c r="AS823" s="76"/>
      <c r="AT823" s="76"/>
      <c r="AU823" s="76"/>
      <c r="AV823" s="76">
        <v>1.63328826374925E+18</v>
      </c>
      <c r="AW823" s="76"/>
      <c r="AX823" s="76" t="b">
        <v>0</v>
      </c>
      <c r="AY823" s="76"/>
      <c r="AZ823" s="76"/>
      <c r="BA823" s="76" t="b">
        <v>0</v>
      </c>
      <c r="BB823" s="76" t="b">
        <v>1</v>
      </c>
      <c r="BC823" s="76" t="b">
        <v>1</v>
      </c>
      <c r="BD823" s="76" t="b">
        <v>0</v>
      </c>
      <c r="BE823" s="76" t="b">
        <v>0</v>
      </c>
      <c r="BF823" s="76" t="b">
        <v>0</v>
      </c>
      <c r="BG823" s="76" t="b">
        <v>0</v>
      </c>
      <c r="BH823" s="76"/>
      <c r="BI823" s="76"/>
      <c r="BJ823" s="76" t="s">
        <v>27595</v>
      </c>
      <c r="BK823" s="76" t="b">
        <v>0</v>
      </c>
      <c r="BL823" s="76"/>
      <c r="BM823" s="76" t="s">
        <v>65</v>
      </c>
      <c r="BN823" s="76" t="s">
        <v>27597</v>
      </c>
      <c r="BO823" s="82" t="str">
        <f>HYPERLINK("https://twitter.com/edmilsonpapodez")</f>
        <v>https://twitter.com/edmilsonpapodez</v>
      </c>
      <c r="BP823" s="2"/>
    </row>
    <row r="824" spans="1:68" x14ac:dyDescent="0.25">
      <c r="A824" s="62" t="s">
        <v>809</v>
      </c>
      <c r="B824" s="63"/>
      <c r="C824" s="63"/>
      <c r="D824" s="64"/>
      <c r="E824" s="66"/>
      <c r="F824" s="103" t="str">
        <f>HYPERLINK("https://pbs.twimg.com/profile_images/1586156121882066944/cmW2LuoB_normal.jpg")</f>
        <v>https://pbs.twimg.com/profile_images/1586156121882066944/cmW2LuoB_normal.jpg</v>
      </c>
      <c r="G824" s="63"/>
      <c r="H824" s="67"/>
      <c r="I824" s="68"/>
      <c r="J824" s="68"/>
      <c r="K824" s="67" t="s">
        <v>28418</v>
      </c>
      <c r="L824" s="71"/>
      <c r="M824" s="72"/>
      <c r="N824" s="72"/>
      <c r="O824" s="73"/>
      <c r="P824" s="74"/>
      <c r="Q824" s="74"/>
      <c r="R824" s="87"/>
      <c r="S824" s="87"/>
      <c r="T824" s="87"/>
      <c r="U824" s="87"/>
      <c r="V824" s="48"/>
      <c r="W824" s="48"/>
      <c r="X824" s="48"/>
      <c r="Y824" s="48"/>
      <c r="Z824" s="47"/>
      <c r="AA824" s="69">
        <v>824</v>
      </c>
      <c r="AB824" s="69"/>
      <c r="AC824" s="70"/>
      <c r="AD824" s="76" t="s">
        <v>22057</v>
      </c>
      <c r="AE824" s="81" t="s">
        <v>20777</v>
      </c>
      <c r="AF824" s="76">
        <v>25</v>
      </c>
      <c r="AG824" s="76">
        <v>50</v>
      </c>
      <c r="AH824" s="76">
        <v>3349</v>
      </c>
      <c r="AI824" s="76">
        <v>1</v>
      </c>
      <c r="AJ824" s="76">
        <v>2</v>
      </c>
      <c r="AK824" s="76">
        <v>619</v>
      </c>
      <c r="AL824" s="76" t="b">
        <v>0</v>
      </c>
      <c r="AM824" s="78">
        <v>44705.910451388889</v>
      </c>
      <c r="AN824" s="76" t="s">
        <v>24384</v>
      </c>
      <c r="AO824" s="76" t="s">
        <v>25449</v>
      </c>
      <c r="AP824" s="82" t="str">
        <f>HYPERLINK("https://t.co/xYWzF3PDst")</f>
        <v>https://t.co/xYWzF3PDst</v>
      </c>
      <c r="AQ824" s="82" t="str">
        <f>HYPERLINK("https://nexosdigital.com.ar/")</f>
        <v>https://nexosdigital.com.ar/</v>
      </c>
      <c r="AR824" s="76" t="s">
        <v>26808</v>
      </c>
      <c r="AS824" s="76"/>
      <c r="AT824" s="76"/>
      <c r="AU824" s="76"/>
      <c r="AV824" s="76"/>
      <c r="AW824" s="82" t="str">
        <f>HYPERLINK("https://t.co/xYWzF3PDst")</f>
        <v>https://t.co/xYWzF3PDst</v>
      </c>
      <c r="AX824" s="76" t="b">
        <v>0</v>
      </c>
      <c r="AY824" s="76"/>
      <c r="AZ824" s="76"/>
      <c r="BA824" s="76" t="b">
        <v>0</v>
      </c>
      <c r="BB824" s="76" t="b">
        <v>1</v>
      </c>
      <c r="BC824" s="76" t="b">
        <v>1</v>
      </c>
      <c r="BD824" s="76" t="b">
        <v>0</v>
      </c>
      <c r="BE824" s="76" t="b">
        <v>0</v>
      </c>
      <c r="BF824" s="76" t="b">
        <v>0</v>
      </c>
      <c r="BG824" s="76" t="b">
        <v>0</v>
      </c>
      <c r="BH824" s="82" t="str">
        <f>HYPERLINK("https://pbs.twimg.com/profile_banners/1529218394234335232/1668550427")</f>
        <v>https://pbs.twimg.com/profile_banners/1529218394234335232/1668550427</v>
      </c>
      <c r="BI824" s="76"/>
      <c r="BJ824" s="76" t="s">
        <v>27595</v>
      </c>
      <c r="BK824" s="76" t="b">
        <v>0</v>
      </c>
      <c r="BL824" s="76"/>
      <c r="BM824" s="76" t="s">
        <v>66</v>
      </c>
      <c r="BN824" s="76" t="s">
        <v>27597</v>
      </c>
      <c r="BO824" s="82" t="str">
        <f>HYPERLINK("https://twitter.com/nexos_digital")</f>
        <v>https://twitter.com/nexos_digital</v>
      </c>
      <c r="BP824" s="2"/>
    </row>
    <row r="825" spans="1:68" x14ac:dyDescent="0.25">
      <c r="A825" s="62" t="s">
        <v>810</v>
      </c>
      <c r="B825" s="63"/>
      <c r="C825" s="63"/>
      <c r="D825" s="64"/>
      <c r="E825" s="66"/>
      <c r="F825" s="103" t="str">
        <f>HYPERLINK("https://pbs.twimg.com/profile_images/488773771914776576/907rHRaK_normal.png")</f>
        <v>https://pbs.twimg.com/profile_images/488773771914776576/907rHRaK_normal.png</v>
      </c>
      <c r="G825" s="63"/>
      <c r="H825" s="67"/>
      <c r="I825" s="68"/>
      <c r="J825" s="68"/>
      <c r="K825" s="67" t="s">
        <v>28419</v>
      </c>
      <c r="L825" s="71"/>
      <c r="M825" s="72"/>
      <c r="N825" s="72"/>
      <c r="O825" s="73"/>
      <c r="P825" s="74"/>
      <c r="Q825" s="74"/>
      <c r="R825" s="87"/>
      <c r="S825" s="87"/>
      <c r="T825" s="87"/>
      <c r="U825" s="87"/>
      <c r="V825" s="48"/>
      <c r="W825" s="48"/>
      <c r="X825" s="48"/>
      <c r="Y825" s="48"/>
      <c r="Z825" s="47"/>
      <c r="AA825" s="69">
        <v>825</v>
      </c>
      <c r="AB825" s="69"/>
      <c r="AC825" s="70"/>
      <c r="AD825" s="76" t="s">
        <v>22058</v>
      </c>
      <c r="AE825" s="81" t="s">
        <v>23509</v>
      </c>
      <c r="AF825" s="76">
        <v>18</v>
      </c>
      <c r="AG825" s="76">
        <v>30</v>
      </c>
      <c r="AH825" s="76">
        <v>353</v>
      </c>
      <c r="AI825" s="76">
        <v>15</v>
      </c>
      <c r="AJ825" s="76">
        <v>4</v>
      </c>
      <c r="AK825" s="76">
        <v>174</v>
      </c>
      <c r="AL825" s="76" t="b">
        <v>0</v>
      </c>
      <c r="AM825" s="78">
        <v>41673.736018518517</v>
      </c>
      <c r="AN825" s="76" t="s">
        <v>24385</v>
      </c>
      <c r="AO825" s="76" t="s">
        <v>25450</v>
      </c>
      <c r="AP825" s="82" t="str">
        <f>HYPERLINK("https://t.co/33rXfqsQc4")</f>
        <v>https://t.co/33rXfqsQc4</v>
      </c>
      <c r="AQ825" s="82" t="str">
        <f>HYPERLINK("https://heylink.me/cmsoftware/")</f>
        <v>https://heylink.me/cmsoftware/</v>
      </c>
      <c r="AR825" s="76" t="s">
        <v>26809</v>
      </c>
      <c r="AS825" s="76"/>
      <c r="AT825" s="76"/>
      <c r="AU825" s="76"/>
      <c r="AV825" s="76"/>
      <c r="AW825" s="82" t="str">
        <f>HYPERLINK("https://t.co/33rXfqsQc4")</f>
        <v>https://t.co/33rXfqsQc4</v>
      </c>
      <c r="AX825" s="76" t="b">
        <v>0</v>
      </c>
      <c r="AY825" s="76"/>
      <c r="AZ825" s="76"/>
      <c r="BA825" s="76" t="b">
        <v>0</v>
      </c>
      <c r="BB825" s="76" t="b">
        <v>1</v>
      </c>
      <c r="BC825" s="76" t="b">
        <v>1</v>
      </c>
      <c r="BD825" s="76" t="b">
        <v>0</v>
      </c>
      <c r="BE825" s="76" t="b">
        <v>0</v>
      </c>
      <c r="BF825" s="76" t="b">
        <v>0</v>
      </c>
      <c r="BG825" s="76" t="b">
        <v>0</v>
      </c>
      <c r="BH825" s="82" t="str">
        <f>HYPERLINK("https://pbs.twimg.com/profile_banners/2325810834/1693226275")</f>
        <v>https://pbs.twimg.com/profile_banners/2325810834/1693226275</v>
      </c>
      <c r="BI825" s="76"/>
      <c r="BJ825" s="76" t="s">
        <v>27595</v>
      </c>
      <c r="BK825" s="76" t="b">
        <v>0</v>
      </c>
      <c r="BL825" s="76"/>
      <c r="BM825" s="76" t="s">
        <v>66</v>
      </c>
      <c r="BN825" s="76" t="s">
        <v>27597</v>
      </c>
      <c r="BO825" s="82" t="str">
        <f>HYPERLINK("https://twitter.com/cmswbr")</f>
        <v>https://twitter.com/cmswbr</v>
      </c>
      <c r="BP825" s="2"/>
    </row>
    <row r="826" spans="1:68" x14ac:dyDescent="0.25">
      <c r="A826" s="62" t="s">
        <v>811</v>
      </c>
      <c r="B826" s="63"/>
      <c r="C826" s="63"/>
      <c r="D826" s="64"/>
      <c r="E826" s="66"/>
      <c r="F826" s="103" t="str">
        <f>HYPERLINK("https://pbs.twimg.com/profile_images/1536749083892887553/FcMZ9u4o_normal.jpg")</f>
        <v>https://pbs.twimg.com/profile_images/1536749083892887553/FcMZ9u4o_normal.jpg</v>
      </c>
      <c r="G826" s="63"/>
      <c r="H826" s="67"/>
      <c r="I826" s="68"/>
      <c r="J826" s="68"/>
      <c r="K826" s="67" t="s">
        <v>28420</v>
      </c>
      <c r="L826" s="71"/>
      <c r="M826" s="72"/>
      <c r="N826" s="72"/>
      <c r="O826" s="73"/>
      <c r="P826" s="74"/>
      <c r="Q826" s="74"/>
      <c r="R826" s="87"/>
      <c r="S826" s="87"/>
      <c r="T826" s="87"/>
      <c r="U826" s="87"/>
      <c r="V826" s="48"/>
      <c r="W826" s="48"/>
      <c r="X826" s="48"/>
      <c r="Y826" s="48"/>
      <c r="Z826" s="47"/>
      <c r="AA826" s="69">
        <v>826</v>
      </c>
      <c r="AB826" s="69"/>
      <c r="AC826" s="70"/>
      <c r="AD826" s="76" t="s">
        <v>22059</v>
      </c>
      <c r="AE826" s="81" t="s">
        <v>20778</v>
      </c>
      <c r="AF826" s="76">
        <v>11</v>
      </c>
      <c r="AG826" s="76">
        <v>64</v>
      </c>
      <c r="AH826" s="76">
        <v>1150</v>
      </c>
      <c r="AI826" s="76">
        <v>0</v>
      </c>
      <c r="AJ826" s="76">
        <v>22</v>
      </c>
      <c r="AK826" s="76">
        <v>9</v>
      </c>
      <c r="AL826" s="76" t="b">
        <v>0</v>
      </c>
      <c r="AM826" s="78">
        <v>44726.682673611111</v>
      </c>
      <c r="AN826" s="76"/>
      <c r="AO826" s="76" t="s">
        <v>25451</v>
      </c>
      <c r="AP826" s="82" t="str">
        <f>HYPERLINK("https://t.co/XO2hW1VzwN")</f>
        <v>https://t.co/XO2hW1VzwN</v>
      </c>
      <c r="AQ826" s="82" t="str">
        <f>HYPERLINK("http://www.planbit.ar")</f>
        <v>http://www.planbit.ar</v>
      </c>
      <c r="AR826" s="76" t="s">
        <v>26810</v>
      </c>
      <c r="AS826" s="76"/>
      <c r="AT826" s="76"/>
      <c r="AU826" s="76"/>
      <c r="AV826" s="76">
        <v>1.5392939244512901E+18</v>
      </c>
      <c r="AW826" s="82" t="str">
        <f>HYPERLINK("https://t.co/XO2hW1VzwN")</f>
        <v>https://t.co/XO2hW1VzwN</v>
      </c>
      <c r="AX826" s="76" t="b">
        <v>0</v>
      </c>
      <c r="AY826" s="76"/>
      <c r="AZ826" s="76"/>
      <c r="BA826" s="76" t="b">
        <v>0</v>
      </c>
      <c r="BB826" s="76" t="b">
        <v>1</v>
      </c>
      <c r="BC826" s="76" t="b">
        <v>1</v>
      </c>
      <c r="BD826" s="76" t="b">
        <v>0</v>
      </c>
      <c r="BE826" s="76" t="b">
        <v>0</v>
      </c>
      <c r="BF826" s="76" t="b">
        <v>0</v>
      </c>
      <c r="BG826" s="76" t="b">
        <v>0</v>
      </c>
      <c r="BH826" s="82" t="str">
        <f>HYPERLINK("https://pbs.twimg.com/profile_banners/1536745858036817920/1663350205")</f>
        <v>https://pbs.twimg.com/profile_banners/1536745858036817920/1663350205</v>
      </c>
      <c r="BI826" s="76"/>
      <c r="BJ826" s="76" t="s">
        <v>27595</v>
      </c>
      <c r="BK826" s="76" t="b">
        <v>0</v>
      </c>
      <c r="BL826" s="76"/>
      <c r="BM826" s="76" t="s">
        <v>66</v>
      </c>
      <c r="BN826" s="76" t="s">
        <v>27597</v>
      </c>
      <c r="BO826" s="82" t="str">
        <f>HYPERLINK("https://twitter.com/planbit_ar")</f>
        <v>https://twitter.com/planbit_ar</v>
      </c>
      <c r="BP826" s="2"/>
    </row>
    <row r="827" spans="1:68" x14ac:dyDescent="0.25">
      <c r="A827" s="62" t="s">
        <v>1884</v>
      </c>
      <c r="B827" s="63"/>
      <c r="C827" s="63"/>
      <c r="D827" s="64"/>
      <c r="E827" s="66"/>
      <c r="F827" s="103" t="str">
        <f>HYPERLINK("https://pbs.twimg.com/profile_images/809168662057943040/amh6diDo_normal.jpg")</f>
        <v>https://pbs.twimg.com/profile_images/809168662057943040/amh6diDo_normal.jpg</v>
      </c>
      <c r="G827" s="63"/>
      <c r="H827" s="67"/>
      <c r="I827" s="68"/>
      <c r="J827" s="68"/>
      <c r="K827" s="67" t="s">
        <v>28421</v>
      </c>
      <c r="L827" s="71"/>
      <c r="M827" s="72"/>
      <c r="N827" s="72"/>
      <c r="O827" s="73"/>
      <c r="P827" s="74"/>
      <c r="Q827" s="74"/>
      <c r="R827" s="87"/>
      <c r="S827" s="87"/>
      <c r="T827" s="87"/>
      <c r="U827" s="87"/>
      <c r="V827" s="48"/>
      <c r="W827" s="48"/>
      <c r="X827" s="48"/>
      <c r="Y827" s="48"/>
      <c r="Z827" s="47"/>
      <c r="AA827" s="69">
        <v>827</v>
      </c>
      <c r="AB827" s="69"/>
      <c r="AC827" s="70"/>
      <c r="AD827" s="76" t="s">
        <v>22060</v>
      </c>
      <c r="AE827" s="81" t="s">
        <v>23510</v>
      </c>
      <c r="AF827" s="76">
        <v>1836764</v>
      </c>
      <c r="AG827" s="76">
        <v>1158</v>
      </c>
      <c r="AH827" s="76">
        <v>9336</v>
      </c>
      <c r="AI827" s="76">
        <v>2880</v>
      </c>
      <c r="AJ827" s="76">
        <v>12187</v>
      </c>
      <c r="AK827" s="76">
        <v>2547</v>
      </c>
      <c r="AL827" s="76" t="b">
        <v>0</v>
      </c>
      <c r="AM827" s="78">
        <v>41004.662905092591</v>
      </c>
      <c r="AN827" s="76"/>
      <c r="AO827" s="76" t="s">
        <v>25452</v>
      </c>
      <c r="AP827" s="82" t="str">
        <f>HYPERLINK("https://t.co/wSpcv7tdDg")</f>
        <v>https://t.co/wSpcv7tdDg</v>
      </c>
      <c r="AQ827" s="82" t="str">
        <f>HYPERLINK("http://a24films.com")</f>
        <v>http://a24films.com</v>
      </c>
      <c r="AR827" s="76" t="s">
        <v>26811</v>
      </c>
      <c r="AS827" s="76"/>
      <c r="AT827" s="76"/>
      <c r="AU827" s="76"/>
      <c r="AV827" s="76">
        <v>1.7041181399263201E+18</v>
      </c>
      <c r="AW827" s="82" t="str">
        <f>HYPERLINK("https://t.co/wSpcv7tdDg")</f>
        <v>https://t.co/wSpcv7tdDg</v>
      </c>
      <c r="AX827" s="76" t="b">
        <v>1</v>
      </c>
      <c r="AY827" s="76"/>
      <c r="AZ827" s="76"/>
      <c r="BA827" s="76" t="b">
        <v>0</v>
      </c>
      <c r="BB827" s="76" t="b">
        <v>1</v>
      </c>
      <c r="BC827" s="76" t="b">
        <v>0</v>
      </c>
      <c r="BD827" s="76" t="b">
        <v>0</v>
      </c>
      <c r="BE827" s="76" t="b">
        <v>1</v>
      </c>
      <c r="BF827" s="76" t="b">
        <v>0</v>
      </c>
      <c r="BG827" s="76" t="b">
        <v>0</v>
      </c>
      <c r="BH827" s="82" t="str">
        <f>HYPERLINK("https://pbs.twimg.com/profile_banners/546076148/1655309912")</f>
        <v>https://pbs.twimg.com/profile_banners/546076148/1655309912</v>
      </c>
      <c r="BI827" s="76"/>
      <c r="BJ827" s="76" t="s">
        <v>27595</v>
      </c>
      <c r="BK827" s="76" t="b">
        <v>0</v>
      </c>
      <c r="BL827" s="76"/>
      <c r="BM827" s="76" t="s">
        <v>65</v>
      </c>
      <c r="BN827" s="76" t="s">
        <v>27597</v>
      </c>
      <c r="BO827" s="82" t="str">
        <f>HYPERLINK("https://twitter.com/a24")</f>
        <v>https://twitter.com/a24</v>
      </c>
      <c r="BP827" s="2"/>
    </row>
    <row r="828" spans="1:68" x14ac:dyDescent="0.25">
      <c r="A828" s="62" t="s">
        <v>1885</v>
      </c>
      <c r="B828" s="63"/>
      <c r="C828" s="63"/>
      <c r="D828" s="64"/>
      <c r="E828" s="66"/>
      <c r="F828" s="103" t="str">
        <f>HYPERLINK("https://pbs.twimg.com/profile_images/918275297388007431/fCdHsu2M_normal.jpg")</f>
        <v>https://pbs.twimg.com/profile_images/918275297388007431/fCdHsu2M_normal.jpg</v>
      </c>
      <c r="G828" s="63"/>
      <c r="H828" s="67"/>
      <c r="I828" s="68"/>
      <c r="J828" s="68"/>
      <c r="K828" s="67" t="s">
        <v>28422</v>
      </c>
      <c r="L828" s="71"/>
      <c r="M828" s="72"/>
      <c r="N828" s="72"/>
      <c r="O828" s="73"/>
      <c r="P828" s="74"/>
      <c r="Q828" s="74"/>
      <c r="R828" s="87"/>
      <c r="S828" s="87"/>
      <c r="T828" s="87"/>
      <c r="U828" s="87"/>
      <c r="V828" s="48"/>
      <c r="W828" s="48"/>
      <c r="X828" s="48"/>
      <c r="Y828" s="48"/>
      <c r="Z828" s="47"/>
      <c r="AA828" s="69">
        <v>828</v>
      </c>
      <c r="AB828" s="69"/>
      <c r="AC828" s="70"/>
      <c r="AD828" s="76" t="s">
        <v>1885</v>
      </c>
      <c r="AE828" s="81" t="s">
        <v>23511</v>
      </c>
      <c r="AF828" s="76">
        <v>662</v>
      </c>
      <c r="AG828" s="76">
        <v>249</v>
      </c>
      <c r="AH828" s="76">
        <v>2119</v>
      </c>
      <c r="AI828" s="76">
        <v>14</v>
      </c>
      <c r="AJ828" s="76">
        <v>650</v>
      </c>
      <c r="AK828" s="76">
        <v>1278</v>
      </c>
      <c r="AL828" s="76" t="b">
        <v>0</v>
      </c>
      <c r="AM828" s="78">
        <v>42898.577384259261</v>
      </c>
      <c r="AN828" s="76" t="s">
        <v>24361</v>
      </c>
      <c r="AO828" s="76" t="s">
        <v>25453</v>
      </c>
      <c r="AP828" s="82" t="str">
        <f>HYPERLINK("https://t.co/30EXsOmJfY")</f>
        <v>https://t.co/30EXsOmJfY</v>
      </c>
      <c r="AQ828" s="82" t="str">
        <f>HYPERLINK("https://bit.ly/35PwXeu")</f>
        <v>https://bit.ly/35PwXeu</v>
      </c>
      <c r="AR828" s="76" t="s">
        <v>26812</v>
      </c>
      <c r="AS828" s="82" t="str">
        <f>HYPERLINK("https://t.co/Oo9CvdWFYa")</f>
        <v>https://t.co/Oo9CvdWFYa</v>
      </c>
      <c r="AT828" s="82" t="str">
        <f>HYPERLINK("http://iupana.com")</f>
        <v>http://iupana.com</v>
      </c>
      <c r="AU828" s="76" t="s">
        <v>8756</v>
      </c>
      <c r="AV828" s="76"/>
      <c r="AW828" s="82" t="str">
        <f>HYPERLINK("https://t.co/30EXsOmJfY")</f>
        <v>https://t.co/30EXsOmJfY</v>
      </c>
      <c r="AX828" s="76" t="b">
        <v>0</v>
      </c>
      <c r="AY828" s="76"/>
      <c r="AZ828" s="76"/>
      <c r="BA828" s="76" t="b">
        <v>0</v>
      </c>
      <c r="BB828" s="76" t="b">
        <v>1</v>
      </c>
      <c r="BC828" s="76" t="b">
        <v>1</v>
      </c>
      <c r="BD828" s="76" t="b">
        <v>0</v>
      </c>
      <c r="BE828" s="76" t="b">
        <v>0</v>
      </c>
      <c r="BF828" s="76" t="b">
        <v>0</v>
      </c>
      <c r="BG828" s="76" t="b">
        <v>0</v>
      </c>
      <c r="BH828" s="82" t="str">
        <f>HYPERLINK("https://pbs.twimg.com/profile_banners/874262871076634626/1680282180")</f>
        <v>https://pbs.twimg.com/profile_banners/874262871076634626/1680282180</v>
      </c>
      <c r="BI828" s="76"/>
      <c r="BJ828" s="76" t="s">
        <v>27595</v>
      </c>
      <c r="BK828" s="76" t="b">
        <v>0</v>
      </c>
      <c r="BL828" s="76"/>
      <c r="BM828" s="76" t="s">
        <v>65</v>
      </c>
      <c r="BN828" s="76" t="s">
        <v>27597</v>
      </c>
      <c r="BO828" s="82" t="str">
        <f>HYPERLINK("https://twitter.com/iupana")</f>
        <v>https://twitter.com/iupana</v>
      </c>
      <c r="BP828" s="2"/>
    </row>
    <row r="829" spans="1:68" x14ac:dyDescent="0.25">
      <c r="A829" s="62" t="s">
        <v>812</v>
      </c>
      <c r="B829" s="63"/>
      <c r="C829" s="63"/>
      <c r="D829" s="64"/>
      <c r="E829" s="66"/>
      <c r="F829" s="103" t="str">
        <f>HYPERLINK("https://pbs.twimg.com/profile_images/1650494618440433665/nTeBxHny_normal.jpg")</f>
        <v>https://pbs.twimg.com/profile_images/1650494618440433665/nTeBxHny_normal.jpg</v>
      </c>
      <c r="G829" s="63"/>
      <c r="H829" s="67"/>
      <c r="I829" s="68"/>
      <c r="J829" s="68"/>
      <c r="K829" s="67" t="s">
        <v>28423</v>
      </c>
      <c r="L829" s="71"/>
      <c r="M829" s="72"/>
      <c r="N829" s="72"/>
      <c r="O829" s="73"/>
      <c r="P829" s="74"/>
      <c r="Q829" s="74"/>
      <c r="R829" s="87"/>
      <c r="S829" s="87"/>
      <c r="T829" s="87"/>
      <c r="U829" s="87"/>
      <c r="V829" s="48"/>
      <c r="W829" s="48"/>
      <c r="X829" s="48"/>
      <c r="Y829" s="48"/>
      <c r="Z829" s="47"/>
      <c r="AA829" s="69">
        <v>829</v>
      </c>
      <c r="AB829" s="69"/>
      <c r="AC829" s="70"/>
      <c r="AD829" s="76" t="s">
        <v>22061</v>
      </c>
      <c r="AE829" s="81" t="s">
        <v>20283</v>
      </c>
      <c r="AF829" s="76">
        <v>547</v>
      </c>
      <c r="AG829" s="76">
        <v>176</v>
      </c>
      <c r="AH829" s="76">
        <v>62108</v>
      </c>
      <c r="AI829" s="76">
        <v>0</v>
      </c>
      <c r="AJ829" s="76">
        <v>28946</v>
      </c>
      <c r="AK829" s="76">
        <v>13599</v>
      </c>
      <c r="AL829" s="76" t="b">
        <v>0</v>
      </c>
      <c r="AM829" s="78">
        <v>40548.850706018522</v>
      </c>
      <c r="AN829" s="76" t="s">
        <v>24386</v>
      </c>
      <c r="AO829" s="76" t="s">
        <v>25454</v>
      </c>
      <c r="AP829" s="82" t="str">
        <f>HYPERLINK("https://t.co/1Af6U6iGgD")</f>
        <v>https://t.co/1Af6U6iGgD</v>
      </c>
      <c r="AQ829" s="82" t="str">
        <f>HYPERLINK("http://NoMeToquesLosOvarios.Org")</f>
        <v>http://NoMeToquesLosOvarios.Org</v>
      </c>
      <c r="AR829" s="76" t="s">
        <v>26813</v>
      </c>
      <c r="AS829" s="76"/>
      <c r="AT829" s="76"/>
      <c r="AU829" s="76"/>
      <c r="AV829" s="76">
        <v>1.28164329698973E+18</v>
      </c>
      <c r="AW829" s="82" t="str">
        <f>HYPERLINK("https://t.co/1Af6U6iGgD")</f>
        <v>https://t.co/1Af6U6iGgD</v>
      </c>
      <c r="AX829" s="76" t="b">
        <v>0</v>
      </c>
      <c r="AY829" s="76"/>
      <c r="AZ829" s="76"/>
      <c r="BA829" s="76" t="b">
        <v>0</v>
      </c>
      <c r="BB829" s="76" t="b">
        <v>0</v>
      </c>
      <c r="BC829" s="76" t="b">
        <v>0</v>
      </c>
      <c r="BD829" s="76" t="b">
        <v>0</v>
      </c>
      <c r="BE829" s="76" t="b">
        <v>0</v>
      </c>
      <c r="BF829" s="76" t="b">
        <v>0</v>
      </c>
      <c r="BG829" s="76" t="b">
        <v>0</v>
      </c>
      <c r="BH829" s="82" t="str">
        <f>HYPERLINK("https://pbs.twimg.com/profile_banners/234499844/1675544995")</f>
        <v>https://pbs.twimg.com/profile_banners/234499844/1675544995</v>
      </c>
      <c r="BI829" s="76"/>
      <c r="BJ829" s="76" t="s">
        <v>27595</v>
      </c>
      <c r="BK829" s="76" t="b">
        <v>0</v>
      </c>
      <c r="BL829" s="76"/>
      <c r="BM829" s="76" t="s">
        <v>66</v>
      </c>
      <c r="BN829" s="76" t="s">
        <v>27597</v>
      </c>
      <c r="BO829" s="82" t="str">
        <f>HYPERLINK("https://twitter.com/kapmehxu")</f>
        <v>https://twitter.com/kapmehxu</v>
      </c>
      <c r="BP829" s="2"/>
    </row>
    <row r="830" spans="1:68" x14ac:dyDescent="0.25">
      <c r="A830" s="62" t="s">
        <v>813</v>
      </c>
      <c r="B830" s="63"/>
      <c r="C830" s="63"/>
      <c r="D830" s="64"/>
      <c r="E830" s="66"/>
      <c r="F830" s="103" t="str">
        <f>HYPERLINK("https://pbs.twimg.com/profile_images/1614444789163859975/WYB7NCjH_normal.jpg")</f>
        <v>https://pbs.twimg.com/profile_images/1614444789163859975/WYB7NCjH_normal.jpg</v>
      </c>
      <c r="G830" s="63"/>
      <c r="H830" s="67"/>
      <c r="I830" s="68"/>
      <c r="J830" s="68"/>
      <c r="K830" s="67" t="s">
        <v>28424</v>
      </c>
      <c r="L830" s="71"/>
      <c r="M830" s="72"/>
      <c r="N830" s="72"/>
      <c r="O830" s="73"/>
      <c r="P830" s="74"/>
      <c r="Q830" s="74"/>
      <c r="R830" s="87"/>
      <c r="S830" s="87"/>
      <c r="T830" s="87"/>
      <c r="U830" s="87"/>
      <c r="V830" s="48"/>
      <c r="W830" s="48"/>
      <c r="X830" s="48"/>
      <c r="Y830" s="48"/>
      <c r="Z830" s="47"/>
      <c r="AA830" s="69">
        <v>830</v>
      </c>
      <c r="AB830" s="69"/>
      <c r="AC830" s="70"/>
      <c r="AD830" s="76" t="s">
        <v>22062</v>
      </c>
      <c r="AE830" s="81" t="s">
        <v>23512</v>
      </c>
      <c r="AF830" s="76">
        <v>96</v>
      </c>
      <c r="AG830" s="76">
        <v>122</v>
      </c>
      <c r="AH830" s="76">
        <v>4747</v>
      </c>
      <c r="AI830" s="76">
        <v>2</v>
      </c>
      <c r="AJ830" s="76">
        <v>1401</v>
      </c>
      <c r="AK830" s="76">
        <v>231</v>
      </c>
      <c r="AL830" s="76" t="b">
        <v>0</v>
      </c>
      <c r="AM830" s="78">
        <v>40469.775069444448</v>
      </c>
      <c r="AN830" s="76" t="s">
        <v>14490</v>
      </c>
      <c r="AO830" s="76" t="s">
        <v>25455</v>
      </c>
      <c r="AP830" s="76"/>
      <c r="AQ830" s="76"/>
      <c r="AR830" s="76"/>
      <c r="AS830" s="76"/>
      <c r="AT830" s="76"/>
      <c r="AU830" s="76"/>
      <c r="AV830" s="76"/>
      <c r="AW830" s="76"/>
      <c r="AX830" s="76" t="b">
        <v>0</v>
      </c>
      <c r="AY830" s="76"/>
      <c r="AZ830" s="76"/>
      <c r="BA830" s="76" t="b">
        <v>0</v>
      </c>
      <c r="BB830" s="76" t="b">
        <v>1</v>
      </c>
      <c r="BC830" s="76" t="b">
        <v>0</v>
      </c>
      <c r="BD830" s="76" t="b">
        <v>0</v>
      </c>
      <c r="BE830" s="76" t="b">
        <v>0</v>
      </c>
      <c r="BF830" s="76" t="b">
        <v>0</v>
      </c>
      <c r="BG830" s="76" t="b">
        <v>0</v>
      </c>
      <c r="BH830" s="82" t="str">
        <f>HYPERLINK("https://pbs.twimg.com/profile_banners/204451183/1695350182")</f>
        <v>https://pbs.twimg.com/profile_banners/204451183/1695350182</v>
      </c>
      <c r="BI830" s="76"/>
      <c r="BJ830" s="76" t="s">
        <v>27595</v>
      </c>
      <c r="BK830" s="76" t="b">
        <v>0</v>
      </c>
      <c r="BL830" s="76"/>
      <c r="BM830" s="76" t="s">
        <v>66</v>
      </c>
      <c r="BN830" s="76" t="s">
        <v>27597</v>
      </c>
      <c r="BO830" s="82" t="str">
        <f>HYPERLINK("https://twitter.com/fabriciovelosoc")</f>
        <v>https://twitter.com/fabriciovelosoc</v>
      </c>
      <c r="BP830" s="2"/>
    </row>
    <row r="831" spans="1:68" x14ac:dyDescent="0.25">
      <c r="A831" s="62" t="s">
        <v>814</v>
      </c>
      <c r="B831" s="63"/>
      <c r="C831" s="63"/>
      <c r="D831" s="64"/>
      <c r="E831" s="66"/>
      <c r="F831" s="103" t="str">
        <f>HYPERLINK("https://pbs.twimg.com/profile_images/1248345700334796801/N1IFG0x5_normal.jpg")</f>
        <v>https://pbs.twimg.com/profile_images/1248345700334796801/N1IFG0x5_normal.jpg</v>
      </c>
      <c r="G831" s="63"/>
      <c r="H831" s="67"/>
      <c r="I831" s="68"/>
      <c r="J831" s="68"/>
      <c r="K831" s="67" t="s">
        <v>28425</v>
      </c>
      <c r="L831" s="71"/>
      <c r="M831" s="72"/>
      <c r="N831" s="72"/>
      <c r="O831" s="73"/>
      <c r="P831" s="74"/>
      <c r="Q831" s="74"/>
      <c r="R831" s="87"/>
      <c r="S831" s="87"/>
      <c r="T831" s="87"/>
      <c r="U831" s="87"/>
      <c r="V831" s="48"/>
      <c r="W831" s="48"/>
      <c r="X831" s="48"/>
      <c r="Y831" s="48"/>
      <c r="Z831" s="47"/>
      <c r="AA831" s="69">
        <v>831</v>
      </c>
      <c r="AB831" s="69"/>
      <c r="AC831" s="70"/>
      <c r="AD831" s="76" t="s">
        <v>22063</v>
      </c>
      <c r="AE831" s="81" t="s">
        <v>20779</v>
      </c>
      <c r="AF831" s="76">
        <v>224</v>
      </c>
      <c r="AG831" s="76">
        <v>947</v>
      </c>
      <c r="AH831" s="76">
        <v>3777</v>
      </c>
      <c r="AI831" s="76">
        <v>1</v>
      </c>
      <c r="AJ831" s="76">
        <v>2794</v>
      </c>
      <c r="AK831" s="76">
        <v>3208</v>
      </c>
      <c r="AL831" s="76" t="b">
        <v>0</v>
      </c>
      <c r="AM831" s="78">
        <v>43686.725462962961</v>
      </c>
      <c r="AN831" s="76"/>
      <c r="AO831" s="76" t="s">
        <v>25456</v>
      </c>
      <c r="AP831" s="82" t="str">
        <f>HYPERLINK("https://t.co/PoXT2qmLz9")</f>
        <v>https://t.co/PoXT2qmLz9</v>
      </c>
      <c r="AQ831" s="82" t="str">
        <f>HYPERLINK("http://genteba.com")</f>
        <v>http://genteba.com</v>
      </c>
      <c r="AR831" s="76" t="s">
        <v>8757</v>
      </c>
      <c r="AS831" s="76"/>
      <c r="AT831" s="76"/>
      <c r="AU831" s="76"/>
      <c r="AV831" s="76"/>
      <c r="AW831" s="82" t="str">
        <f>HYPERLINK("https://t.co/PoXT2qmLz9")</f>
        <v>https://t.co/PoXT2qmLz9</v>
      </c>
      <c r="AX831" s="76" t="b">
        <v>0</v>
      </c>
      <c r="AY831" s="76"/>
      <c r="AZ831" s="76"/>
      <c r="BA831" s="76" t="b">
        <v>0</v>
      </c>
      <c r="BB831" s="76" t="b">
        <v>1</v>
      </c>
      <c r="BC831" s="76" t="b">
        <v>1</v>
      </c>
      <c r="BD831" s="76" t="b">
        <v>0</v>
      </c>
      <c r="BE831" s="76" t="b">
        <v>1</v>
      </c>
      <c r="BF831" s="76" t="b">
        <v>0</v>
      </c>
      <c r="BG831" s="76" t="b">
        <v>0</v>
      </c>
      <c r="BH831" s="76"/>
      <c r="BI831" s="76"/>
      <c r="BJ831" s="76" t="s">
        <v>27595</v>
      </c>
      <c r="BK831" s="76" t="b">
        <v>0</v>
      </c>
      <c r="BL831" s="76"/>
      <c r="BM831" s="76" t="s">
        <v>66</v>
      </c>
      <c r="BN831" s="76" t="s">
        <v>27597</v>
      </c>
      <c r="BO831" s="82" t="str">
        <f>HYPERLINK("https://twitter.com/ba_gente")</f>
        <v>https://twitter.com/ba_gente</v>
      </c>
      <c r="BP831" s="2"/>
    </row>
    <row r="832" spans="1:68" x14ac:dyDescent="0.25">
      <c r="A832" s="62" t="s">
        <v>815</v>
      </c>
      <c r="B832" s="63"/>
      <c r="C832" s="63"/>
      <c r="D832" s="64"/>
      <c r="E832" s="66"/>
      <c r="F832" s="103" t="str">
        <f>HYPERLINK("https://pbs.twimg.com/profile_images/1068094830104985600/CpyLD1Sq_normal.jpg")</f>
        <v>https://pbs.twimg.com/profile_images/1068094830104985600/CpyLD1Sq_normal.jpg</v>
      </c>
      <c r="G832" s="63"/>
      <c r="H832" s="67"/>
      <c r="I832" s="68"/>
      <c r="J832" s="68"/>
      <c r="K832" s="67" t="s">
        <v>28426</v>
      </c>
      <c r="L832" s="71"/>
      <c r="M832" s="72"/>
      <c r="N832" s="72"/>
      <c r="O832" s="73"/>
      <c r="P832" s="74"/>
      <c r="Q832" s="74"/>
      <c r="R832" s="87"/>
      <c r="S832" s="87"/>
      <c r="T832" s="87"/>
      <c r="U832" s="87"/>
      <c r="V832" s="48"/>
      <c r="W832" s="48"/>
      <c r="X832" s="48"/>
      <c r="Y832" s="48"/>
      <c r="Z832" s="47"/>
      <c r="AA832" s="69">
        <v>832</v>
      </c>
      <c r="AB832" s="69"/>
      <c r="AC832" s="70"/>
      <c r="AD832" s="76" t="s">
        <v>22064</v>
      </c>
      <c r="AE832" s="81" t="s">
        <v>23513</v>
      </c>
      <c r="AF832" s="76">
        <v>873</v>
      </c>
      <c r="AG832" s="76">
        <v>210</v>
      </c>
      <c r="AH832" s="76">
        <v>958</v>
      </c>
      <c r="AI832" s="76">
        <v>17</v>
      </c>
      <c r="AJ832" s="76">
        <v>314</v>
      </c>
      <c r="AK832" s="76">
        <v>326</v>
      </c>
      <c r="AL832" s="76" t="b">
        <v>0</v>
      </c>
      <c r="AM832" s="78">
        <v>42347.418067129627</v>
      </c>
      <c r="AN832" s="76" t="s">
        <v>24387</v>
      </c>
      <c r="AO832" s="76" t="s">
        <v>25457</v>
      </c>
      <c r="AP832" s="82" t="str">
        <f>HYPERLINK("https://t.co/kxp6l8GtpN")</f>
        <v>https://t.co/kxp6l8GtpN</v>
      </c>
      <c r="AQ832" s="82" t="str">
        <f>HYPERLINK("http://croacia.oficinascomerciales.es")</f>
        <v>http://croacia.oficinascomerciales.es</v>
      </c>
      <c r="AR832" s="76" t="s">
        <v>26814</v>
      </c>
      <c r="AS832" s="76"/>
      <c r="AT832" s="76"/>
      <c r="AU832" s="76"/>
      <c r="AV832" s="76">
        <v>1.2371461639938601E+18</v>
      </c>
      <c r="AW832" s="82" t="str">
        <f>HYPERLINK("https://t.co/kxp6l8GtpN")</f>
        <v>https://t.co/kxp6l8GtpN</v>
      </c>
      <c r="AX832" s="76" t="b">
        <v>0</v>
      </c>
      <c r="AY832" s="76"/>
      <c r="AZ832" s="76"/>
      <c r="BA832" s="76" t="b">
        <v>1</v>
      </c>
      <c r="BB832" s="76" t="b">
        <v>0</v>
      </c>
      <c r="BC832" s="76" t="b">
        <v>0</v>
      </c>
      <c r="BD832" s="76" t="b">
        <v>0</v>
      </c>
      <c r="BE832" s="76" t="b">
        <v>0</v>
      </c>
      <c r="BF832" s="76" t="b">
        <v>0</v>
      </c>
      <c r="BG832" s="76" t="b">
        <v>0</v>
      </c>
      <c r="BH832" s="82" t="str">
        <f>HYPERLINK("https://pbs.twimg.com/profile_banners/4425377655/1454314282")</f>
        <v>https://pbs.twimg.com/profile_banners/4425377655/1454314282</v>
      </c>
      <c r="BI832" s="76"/>
      <c r="BJ832" s="76" t="s">
        <v>27595</v>
      </c>
      <c r="BK832" s="76" t="b">
        <v>0</v>
      </c>
      <c r="BL832" s="76"/>
      <c r="BM832" s="76" t="s">
        <v>66</v>
      </c>
      <c r="BN832" s="76" t="s">
        <v>27597</v>
      </c>
      <c r="BO832" s="82" t="str">
        <f>HYPERLINK("https://twitter.com/icexcroacia")</f>
        <v>https://twitter.com/icexcroacia</v>
      </c>
      <c r="BP832" s="2"/>
    </row>
    <row r="833" spans="1:68" x14ac:dyDescent="0.25">
      <c r="A833" s="62" t="s">
        <v>816</v>
      </c>
      <c r="B833" s="63"/>
      <c r="C833" s="63"/>
      <c r="D833" s="64"/>
      <c r="E833" s="66"/>
      <c r="F833" s="103" t="str">
        <f>HYPERLINK("https://pbs.twimg.com/profile_images/1705389401893937152/AtzB8cwJ_normal.jpg")</f>
        <v>https://pbs.twimg.com/profile_images/1705389401893937152/AtzB8cwJ_normal.jpg</v>
      </c>
      <c r="G833" s="63"/>
      <c r="H833" s="67"/>
      <c r="I833" s="68"/>
      <c r="J833" s="68"/>
      <c r="K833" s="67" t="s">
        <v>28427</v>
      </c>
      <c r="L833" s="71"/>
      <c r="M833" s="72"/>
      <c r="N833" s="72"/>
      <c r="O833" s="73"/>
      <c r="P833" s="74"/>
      <c r="Q833" s="74"/>
      <c r="R833" s="87"/>
      <c r="S833" s="87"/>
      <c r="T833" s="87"/>
      <c r="U833" s="87"/>
      <c r="V833" s="48"/>
      <c r="W833" s="48"/>
      <c r="X833" s="48"/>
      <c r="Y833" s="48"/>
      <c r="Z833" s="47"/>
      <c r="AA833" s="69">
        <v>833</v>
      </c>
      <c r="AB833" s="69"/>
      <c r="AC833" s="70"/>
      <c r="AD833" s="76" t="s">
        <v>22065</v>
      </c>
      <c r="AE833" s="81" t="s">
        <v>23514</v>
      </c>
      <c r="AF833" s="76">
        <v>4029</v>
      </c>
      <c r="AG833" s="76">
        <v>3993</v>
      </c>
      <c r="AH833" s="76">
        <v>4692</v>
      </c>
      <c r="AI833" s="76">
        <v>1</v>
      </c>
      <c r="AJ833" s="76">
        <v>3342</v>
      </c>
      <c r="AK833" s="76">
        <v>700</v>
      </c>
      <c r="AL833" s="76" t="b">
        <v>0</v>
      </c>
      <c r="AM833" s="78">
        <v>39971.053680555553</v>
      </c>
      <c r="AN833" s="76"/>
      <c r="AO833" s="76" t="s">
        <v>25458</v>
      </c>
      <c r="AP833" s="76"/>
      <c r="AQ833" s="76"/>
      <c r="AR833" s="76"/>
      <c r="AS833" s="76"/>
      <c r="AT833" s="76"/>
      <c r="AU833" s="76"/>
      <c r="AV833" s="76"/>
      <c r="AW833" s="76"/>
      <c r="AX833" s="76" t="b">
        <v>0</v>
      </c>
      <c r="AY833" s="76"/>
      <c r="AZ833" s="76"/>
      <c r="BA833" s="76" t="b">
        <v>0</v>
      </c>
      <c r="BB833" s="76" t="b">
        <v>1</v>
      </c>
      <c r="BC833" s="76" t="b">
        <v>0</v>
      </c>
      <c r="BD833" s="76" t="b">
        <v>0</v>
      </c>
      <c r="BE833" s="76" t="b">
        <v>0</v>
      </c>
      <c r="BF833" s="76" t="b">
        <v>0</v>
      </c>
      <c r="BG833" s="76" t="b">
        <v>0</v>
      </c>
      <c r="BH833" s="82" t="str">
        <f>HYPERLINK("https://pbs.twimg.com/profile_banners/45255097/1673657763")</f>
        <v>https://pbs.twimg.com/profile_banners/45255097/1673657763</v>
      </c>
      <c r="BI833" s="76"/>
      <c r="BJ833" s="76" t="s">
        <v>27595</v>
      </c>
      <c r="BK833" s="76" t="b">
        <v>0</v>
      </c>
      <c r="BL833" s="76"/>
      <c r="BM833" s="76" t="s">
        <v>66</v>
      </c>
      <c r="BN833" s="76" t="s">
        <v>27597</v>
      </c>
      <c r="BO833" s="82" t="str">
        <f>HYPERLINK("https://twitter.com/cnastrojr")</f>
        <v>https://twitter.com/cnastrojr</v>
      </c>
      <c r="BP833" s="2"/>
    </row>
    <row r="834" spans="1:68" x14ac:dyDescent="0.25">
      <c r="A834" s="62" t="s">
        <v>817</v>
      </c>
      <c r="B834" s="63"/>
      <c r="C834" s="63"/>
      <c r="D834" s="64"/>
      <c r="E834" s="66"/>
      <c r="F834" s="103" t="str">
        <f>HYPERLINK("https://pbs.twimg.com/profile_images/779491621775826944/xSg8QEJx_normal.jpg")</f>
        <v>https://pbs.twimg.com/profile_images/779491621775826944/xSg8QEJx_normal.jpg</v>
      </c>
      <c r="G834" s="63"/>
      <c r="H834" s="67"/>
      <c r="I834" s="68"/>
      <c r="J834" s="68"/>
      <c r="K834" s="67" t="s">
        <v>28428</v>
      </c>
      <c r="L834" s="71"/>
      <c r="M834" s="72"/>
      <c r="N834" s="72"/>
      <c r="O834" s="73"/>
      <c r="P834" s="74"/>
      <c r="Q834" s="74"/>
      <c r="R834" s="87"/>
      <c r="S834" s="87"/>
      <c r="T834" s="87"/>
      <c r="U834" s="87"/>
      <c r="V834" s="48"/>
      <c r="W834" s="48"/>
      <c r="X834" s="48"/>
      <c r="Y834" s="48"/>
      <c r="Z834" s="47"/>
      <c r="AA834" s="69">
        <v>834</v>
      </c>
      <c r="AB834" s="69"/>
      <c r="AC834" s="70"/>
      <c r="AD834" s="76" t="s">
        <v>21797</v>
      </c>
      <c r="AE834" s="81" t="s">
        <v>23515</v>
      </c>
      <c r="AF834" s="76">
        <v>612</v>
      </c>
      <c r="AG834" s="76">
        <v>674</v>
      </c>
      <c r="AH834" s="76">
        <v>213096</v>
      </c>
      <c r="AI834" s="76">
        <v>18</v>
      </c>
      <c r="AJ834" s="76">
        <v>2078</v>
      </c>
      <c r="AK834" s="76">
        <v>322</v>
      </c>
      <c r="AL834" s="76" t="b">
        <v>0</v>
      </c>
      <c r="AM834" s="78">
        <v>40793.104328703703</v>
      </c>
      <c r="AN834" s="76"/>
      <c r="AO834" s="76" t="s">
        <v>25459</v>
      </c>
      <c r="AP834" s="76"/>
      <c r="AQ834" s="76"/>
      <c r="AR834" s="76"/>
      <c r="AS834" s="76"/>
      <c r="AT834" s="76"/>
      <c r="AU834" s="76"/>
      <c r="AV834" s="76"/>
      <c r="AW834" s="76"/>
      <c r="AX834" s="76" t="b">
        <v>0</v>
      </c>
      <c r="AY834" s="76"/>
      <c r="AZ834" s="76"/>
      <c r="BA834" s="76" t="b">
        <v>1</v>
      </c>
      <c r="BB834" s="76" t="b">
        <v>1</v>
      </c>
      <c r="BC834" s="76" t="b">
        <v>0</v>
      </c>
      <c r="BD834" s="76" t="b">
        <v>0</v>
      </c>
      <c r="BE834" s="76" t="b">
        <v>1</v>
      </c>
      <c r="BF834" s="76" t="b">
        <v>0</v>
      </c>
      <c r="BG834" s="76" t="b">
        <v>1</v>
      </c>
      <c r="BH834" s="82" t="str">
        <f>HYPERLINK("https://pbs.twimg.com/profile_banners/369276324/1474680256")</f>
        <v>https://pbs.twimg.com/profile_banners/369276324/1474680256</v>
      </c>
      <c r="BI834" s="76"/>
      <c r="BJ834" s="76" t="s">
        <v>27595</v>
      </c>
      <c r="BK834" s="76" t="b">
        <v>0</v>
      </c>
      <c r="BL834" s="76"/>
      <c r="BM834" s="76" t="s">
        <v>66</v>
      </c>
      <c r="BN834" s="76" t="s">
        <v>27597</v>
      </c>
      <c r="BO834" s="82" t="str">
        <f>HYPERLINK("https://twitter.com/daneraz")</f>
        <v>https://twitter.com/daneraz</v>
      </c>
      <c r="BP834" s="2"/>
    </row>
    <row r="835" spans="1:68" x14ac:dyDescent="0.25">
      <c r="A835" s="62" t="s">
        <v>818</v>
      </c>
      <c r="B835" s="63"/>
      <c r="C835" s="63"/>
      <c r="D835" s="64"/>
      <c r="E835" s="66"/>
      <c r="F835" s="103" t="str">
        <f>HYPERLINK("https://pbs.twimg.com/profile_images/1582486922664050688/4ADiUlpw_normal.jpg")</f>
        <v>https://pbs.twimg.com/profile_images/1582486922664050688/4ADiUlpw_normal.jpg</v>
      </c>
      <c r="G835" s="63"/>
      <c r="H835" s="67"/>
      <c r="I835" s="68"/>
      <c r="J835" s="68"/>
      <c r="K835" s="67" t="s">
        <v>28429</v>
      </c>
      <c r="L835" s="71"/>
      <c r="M835" s="72"/>
      <c r="N835" s="72"/>
      <c r="O835" s="73"/>
      <c r="P835" s="74"/>
      <c r="Q835" s="74"/>
      <c r="R835" s="87"/>
      <c r="S835" s="87"/>
      <c r="T835" s="87"/>
      <c r="U835" s="87"/>
      <c r="V835" s="48"/>
      <c r="W835" s="48"/>
      <c r="X835" s="48"/>
      <c r="Y835" s="48"/>
      <c r="Z835" s="47"/>
      <c r="AA835" s="69">
        <v>835</v>
      </c>
      <c r="AB835" s="69"/>
      <c r="AC835" s="70"/>
      <c r="AD835" s="76" t="s">
        <v>22066</v>
      </c>
      <c r="AE835" s="81" t="s">
        <v>23516</v>
      </c>
      <c r="AF835" s="76">
        <v>748244</v>
      </c>
      <c r="AG835" s="76">
        <v>167</v>
      </c>
      <c r="AH835" s="76">
        <v>11658</v>
      </c>
      <c r="AI835" s="76">
        <v>1013</v>
      </c>
      <c r="AJ835" s="76">
        <v>1835</v>
      </c>
      <c r="AK835" s="76">
        <v>4341</v>
      </c>
      <c r="AL835" s="76" t="b">
        <v>0</v>
      </c>
      <c r="AM835" s="78">
        <v>42041.596041666664</v>
      </c>
      <c r="AN835" s="76" t="s">
        <v>24369</v>
      </c>
      <c r="AO835" s="76"/>
      <c r="AP835" s="82" t="str">
        <f>HYPERLINK("https://t.co/fvZnuRWV3R")</f>
        <v>https://t.co/fvZnuRWV3R</v>
      </c>
      <c r="AQ835" s="82" t="str">
        <f>HYPERLINK("http://www.professorvilla.com.br")</f>
        <v>http://www.professorvilla.com.br</v>
      </c>
      <c r="AR835" s="76" t="s">
        <v>26815</v>
      </c>
      <c r="AS835" s="76"/>
      <c r="AT835" s="76"/>
      <c r="AU835" s="76"/>
      <c r="AV835" s="76"/>
      <c r="AW835" s="82" t="str">
        <f>HYPERLINK("https://t.co/fvZnuRWV3R")</f>
        <v>https://t.co/fvZnuRWV3R</v>
      </c>
      <c r="AX835" s="76" t="b">
        <v>1</v>
      </c>
      <c r="AY835" s="76"/>
      <c r="AZ835" s="76"/>
      <c r="BA835" s="76" t="b">
        <v>0</v>
      </c>
      <c r="BB835" s="76" t="b">
        <v>1</v>
      </c>
      <c r="BC835" s="76" t="b">
        <v>0</v>
      </c>
      <c r="BD835" s="76" t="b">
        <v>0</v>
      </c>
      <c r="BE835" s="76" t="b">
        <v>1</v>
      </c>
      <c r="BF835" s="76" t="b">
        <v>0</v>
      </c>
      <c r="BG835" s="76" t="b">
        <v>0</v>
      </c>
      <c r="BH835" s="82" t="str">
        <f>HYPERLINK("https://pbs.twimg.com/profile_banners/3021556996/1666131066")</f>
        <v>https://pbs.twimg.com/profile_banners/3021556996/1666131066</v>
      </c>
      <c r="BI835" s="76"/>
      <c r="BJ835" s="76" t="s">
        <v>27595</v>
      </c>
      <c r="BK835" s="76" t="b">
        <v>0</v>
      </c>
      <c r="BL835" s="76"/>
      <c r="BM835" s="76" t="s">
        <v>66</v>
      </c>
      <c r="BN835" s="76" t="s">
        <v>27597</v>
      </c>
      <c r="BO835" s="82" t="str">
        <f>HYPERLINK("https://twitter.com/villamarcovilla")</f>
        <v>https://twitter.com/villamarcovilla</v>
      </c>
      <c r="BP835" s="2"/>
    </row>
    <row r="836" spans="1:68" x14ac:dyDescent="0.25">
      <c r="A836" s="62" t="s">
        <v>819</v>
      </c>
      <c r="B836" s="63"/>
      <c r="C836" s="63"/>
      <c r="D836" s="64"/>
      <c r="E836" s="66"/>
      <c r="F836" s="103" t="str">
        <f>HYPERLINK("https://pbs.twimg.com/profile_images/1455243752969314310/7UGPG-IP_normal.jpg")</f>
        <v>https://pbs.twimg.com/profile_images/1455243752969314310/7UGPG-IP_normal.jpg</v>
      </c>
      <c r="G836" s="63"/>
      <c r="H836" s="67"/>
      <c r="I836" s="68"/>
      <c r="J836" s="68"/>
      <c r="K836" s="67" t="s">
        <v>28430</v>
      </c>
      <c r="L836" s="71"/>
      <c r="M836" s="72"/>
      <c r="N836" s="72"/>
      <c r="O836" s="73"/>
      <c r="P836" s="74"/>
      <c r="Q836" s="74"/>
      <c r="R836" s="87"/>
      <c r="S836" s="87"/>
      <c r="T836" s="87"/>
      <c r="U836" s="87"/>
      <c r="V836" s="48"/>
      <c r="W836" s="48"/>
      <c r="X836" s="48"/>
      <c r="Y836" s="48"/>
      <c r="Z836" s="47"/>
      <c r="AA836" s="69">
        <v>836</v>
      </c>
      <c r="AB836" s="69"/>
      <c r="AC836" s="70"/>
      <c r="AD836" s="76" t="s">
        <v>22067</v>
      </c>
      <c r="AE836" s="81" t="s">
        <v>23517</v>
      </c>
      <c r="AF836" s="76">
        <v>210</v>
      </c>
      <c r="AG836" s="76">
        <v>21</v>
      </c>
      <c r="AH836" s="76">
        <v>1166</v>
      </c>
      <c r="AI836" s="76">
        <v>1</v>
      </c>
      <c r="AJ836" s="76">
        <v>1276</v>
      </c>
      <c r="AK836" s="76">
        <v>514</v>
      </c>
      <c r="AL836" s="76" t="b">
        <v>0</v>
      </c>
      <c r="AM836" s="78">
        <v>40280.667500000003</v>
      </c>
      <c r="AN836" s="76" t="s">
        <v>24388</v>
      </c>
      <c r="AO836" s="76" t="s">
        <v>25460</v>
      </c>
      <c r="AP836" s="82" t="str">
        <f>HYPERLINK("https://t.co/PFpJqfTt6r")</f>
        <v>https://t.co/PFpJqfTt6r</v>
      </c>
      <c r="AQ836" s="82" t="str">
        <f>HYPERLINK("http://www.fetrafrjes.org.br/")</f>
        <v>http://www.fetrafrjes.org.br/</v>
      </c>
      <c r="AR836" s="76" t="s">
        <v>26816</v>
      </c>
      <c r="AS836" s="76"/>
      <c r="AT836" s="76"/>
      <c r="AU836" s="76"/>
      <c r="AV836" s="76">
        <v>1.5392576642192499E+18</v>
      </c>
      <c r="AW836" s="82" t="str">
        <f>HYPERLINK("https://t.co/PFpJqfTt6r")</f>
        <v>https://t.co/PFpJqfTt6r</v>
      </c>
      <c r="AX836" s="76" t="b">
        <v>0</v>
      </c>
      <c r="AY836" s="76"/>
      <c r="AZ836" s="76"/>
      <c r="BA836" s="76" t="b">
        <v>0</v>
      </c>
      <c r="BB836" s="76" t="b">
        <v>1</v>
      </c>
      <c r="BC836" s="76" t="b">
        <v>0</v>
      </c>
      <c r="BD836" s="76" t="b">
        <v>0</v>
      </c>
      <c r="BE836" s="76" t="b">
        <v>0</v>
      </c>
      <c r="BF836" s="76" t="b">
        <v>0</v>
      </c>
      <c r="BG836" s="76" t="b">
        <v>1</v>
      </c>
      <c r="BH836" s="82" t="str">
        <f>HYPERLINK("https://pbs.twimg.com/profile_banners/132210617/1611763282")</f>
        <v>https://pbs.twimg.com/profile_banners/132210617/1611763282</v>
      </c>
      <c r="BI836" s="76"/>
      <c r="BJ836" s="76" t="s">
        <v>27595</v>
      </c>
      <c r="BK836" s="76" t="b">
        <v>0</v>
      </c>
      <c r="BL836" s="76"/>
      <c r="BM836" s="76" t="s">
        <v>66</v>
      </c>
      <c r="BN836" s="76" t="s">
        <v>27597</v>
      </c>
      <c r="BO836" s="82" t="str">
        <f>HYPERLINK("https://twitter.com/fetrafrjes")</f>
        <v>https://twitter.com/fetrafrjes</v>
      </c>
      <c r="BP836" s="2"/>
    </row>
    <row r="837" spans="1:68" x14ac:dyDescent="0.25">
      <c r="A837" s="62" t="s">
        <v>1886</v>
      </c>
      <c r="B837" s="63"/>
      <c r="C837" s="63"/>
      <c r="D837" s="64"/>
      <c r="E837" s="66"/>
      <c r="F837" s="103" t="str">
        <f>HYPERLINK("https://pbs.twimg.com/profile_images/1537416733371383810/HKEnoqbb_normal.jpg")</f>
        <v>https://pbs.twimg.com/profile_images/1537416733371383810/HKEnoqbb_normal.jpg</v>
      </c>
      <c r="G837" s="63"/>
      <c r="H837" s="67"/>
      <c r="I837" s="68"/>
      <c r="J837" s="68"/>
      <c r="K837" s="67" t="s">
        <v>28431</v>
      </c>
      <c r="L837" s="71"/>
      <c r="M837" s="72"/>
      <c r="N837" s="72"/>
      <c r="O837" s="73"/>
      <c r="P837" s="74"/>
      <c r="Q837" s="74"/>
      <c r="R837" s="87"/>
      <c r="S837" s="87"/>
      <c r="T837" s="87"/>
      <c r="U837" s="87"/>
      <c r="V837" s="48"/>
      <c r="W837" s="48"/>
      <c r="X837" s="48"/>
      <c r="Y837" s="48"/>
      <c r="Z837" s="47"/>
      <c r="AA837" s="69">
        <v>837</v>
      </c>
      <c r="AB837" s="69"/>
      <c r="AC837" s="70"/>
      <c r="AD837" s="76" t="s">
        <v>22068</v>
      </c>
      <c r="AE837" s="81" t="s">
        <v>23518</v>
      </c>
      <c r="AF837" s="76">
        <v>30</v>
      </c>
      <c r="AG837" s="76">
        <v>23</v>
      </c>
      <c r="AH837" s="76">
        <v>410</v>
      </c>
      <c r="AI837" s="76">
        <v>0</v>
      </c>
      <c r="AJ837" s="76">
        <v>388</v>
      </c>
      <c r="AK837" s="76">
        <v>9</v>
      </c>
      <c r="AL837" s="76" t="b">
        <v>0</v>
      </c>
      <c r="AM837" s="78">
        <v>44728.533414351848</v>
      </c>
      <c r="AN837" s="76"/>
      <c r="AO837" s="76"/>
      <c r="AP837" s="76"/>
      <c r="AQ837" s="76"/>
      <c r="AR837" s="76"/>
      <c r="AS837" s="76"/>
      <c r="AT837" s="76"/>
      <c r="AU837" s="76"/>
      <c r="AV837" s="76"/>
      <c r="AW837" s="76"/>
      <c r="AX837" s="76" t="b">
        <v>0</v>
      </c>
      <c r="AY837" s="76"/>
      <c r="AZ837" s="76"/>
      <c r="BA837" s="76" t="b">
        <v>0</v>
      </c>
      <c r="BB837" s="76" t="b">
        <v>1</v>
      </c>
      <c r="BC837" s="76" t="b">
        <v>1</v>
      </c>
      <c r="BD837" s="76" t="b">
        <v>0</v>
      </c>
      <c r="BE837" s="76" t="b">
        <v>0</v>
      </c>
      <c r="BF837" s="76" t="b">
        <v>0</v>
      </c>
      <c r="BG837" s="76" t="b">
        <v>0</v>
      </c>
      <c r="BH837" s="76"/>
      <c r="BI837" s="76"/>
      <c r="BJ837" s="76" t="s">
        <v>27595</v>
      </c>
      <c r="BK837" s="76" t="b">
        <v>0</v>
      </c>
      <c r="BL837" s="76"/>
      <c r="BM837" s="76" t="s">
        <v>65</v>
      </c>
      <c r="BN837" s="76" t="s">
        <v>27597</v>
      </c>
      <c r="BO837" s="82" t="str">
        <f>HYPERLINK("https://twitter.com/niltonesperana1")</f>
        <v>https://twitter.com/niltonesperana1</v>
      </c>
      <c r="BP837" s="2"/>
    </row>
    <row r="838" spans="1:68" x14ac:dyDescent="0.25">
      <c r="A838" s="62" t="s">
        <v>820</v>
      </c>
      <c r="B838" s="63"/>
      <c r="C838" s="63"/>
      <c r="D838" s="64"/>
      <c r="E838" s="66"/>
      <c r="F838" s="103" t="str">
        <f>HYPERLINK("https://pbs.twimg.com/profile_images/1558146747544764417/oAm-8iqL_normal.jpg")</f>
        <v>https://pbs.twimg.com/profile_images/1558146747544764417/oAm-8iqL_normal.jpg</v>
      </c>
      <c r="G838" s="63"/>
      <c r="H838" s="67"/>
      <c r="I838" s="68"/>
      <c r="J838" s="68"/>
      <c r="K838" s="67" t="s">
        <v>28432</v>
      </c>
      <c r="L838" s="71"/>
      <c r="M838" s="72"/>
      <c r="N838" s="72"/>
      <c r="O838" s="73"/>
      <c r="P838" s="74"/>
      <c r="Q838" s="74"/>
      <c r="R838" s="87"/>
      <c r="S838" s="87"/>
      <c r="T838" s="87"/>
      <c r="U838" s="87"/>
      <c r="V838" s="48"/>
      <c r="W838" s="48"/>
      <c r="X838" s="48"/>
      <c r="Y838" s="48"/>
      <c r="Z838" s="47"/>
      <c r="AA838" s="69">
        <v>838</v>
      </c>
      <c r="AB838" s="69"/>
      <c r="AC838" s="70"/>
      <c r="AD838" s="76" t="s">
        <v>22069</v>
      </c>
      <c r="AE838" s="81" t="s">
        <v>23519</v>
      </c>
      <c r="AF838" s="76">
        <v>735</v>
      </c>
      <c r="AG838" s="76">
        <v>378</v>
      </c>
      <c r="AH838" s="76">
        <v>222170</v>
      </c>
      <c r="AI838" s="76">
        <v>0</v>
      </c>
      <c r="AJ838" s="76">
        <v>237481</v>
      </c>
      <c r="AK838" s="76">
        <v>19959</v>
      </c>
      <c r="AL838" s="76" t="b">
        <v>0</v>
      </c>
      <c r="AM838" s="78">
        <v>39922.840486111112</v>
      </c>
      <c r="AN838" s="76" t="s">
        <v>24087</v>
      </c>
      <c r="AO838" s="76" t="s">
        <v>25461</v>
      </c>
      <c r="AP838" s="76"/>
      <c r="AQ838" s="76"/>
      <c r="AR838" s="76"/>
      <c r="AS838" s="76"/>
      <c r="AT838" s="76"/>
      <c r="AU838" s="76"/>
      <c r="AV838" s="76"/>
      <c r="AW838" s="76"/>
      <c r="AX838" s="76" t="b">
        <v>0</v>
      </c>
      <c r="AY838" s="76"/>
      <c r="AZ838" s="76"/>
      <c r="BA838" s="76" t="b">
        <v>0</v>
      </c>
      <c r="BB838" s="76" t="b">
        <v>1</v>
      </c>
      <c r="BC838" s="76" t="b">
        <v>0</v>
      </c>
      <c r="BD838" s="76" t="b">
        <v>0</v>
      </c>
      <c r="BE838" s="76" t="b">
        <v>1</v>
      </c>
      <c r="BF838" s="76" t="b">
        <v>0</v>
      </c>
      <c r="BG838" s="76" t="b">
        <v>0</v>
      </c>
      <c r="BH838" s="82" t="str">
        <f>HYPERLINK("https://pbs.twimg.com/profile_banners/33299033/1660326119")</f>
        <v>https://pbs.twimg.com/profile_banners/33299033/1660326119</v>
      </c>
      <c r="BI838" s="76"/>
      <c r="BJ838" s="76" t="s">
        <v>27595</v>
      </c>
      <c r="BK838" s="76" t="b">
        <v>0</v>
      </c>
      <c r="BL838" s="76"/>
      <c r="BM838" s="76" t="s">
        <v>66</v>
      </c>
      <c r="BN838" s="76" t="s">
        <v>27597</v>
      </c>
      <c r="BO838" s="82" t="str">
        <f>HYPERLINK("https://twitter.com/fernandodsantos")</f>
        <v>https://twitter.com/fernandodsantos</v>
      </c>
      <c r="BP838" s="2"/>
    </row>
    <row r="839" spans="1:68" x14ac:dyDescent="0.25">
      <c r="A839" s="62" t="s">
        <v>859</v>
      </c>
      <c r="B839" s="63"/>
      <c r="C839" s="63"/>
      <c r="D839" s="64"/>
      <c r="E839" s="66"/>
      <c r="F839" s="103" t="str">
        <f>HYPERLINK("https://pbs.twimg.com/profile_images/1313489698279567360/FTKDY8qH_normal.jpg")</f>
        <v>https://pbs.twimg.com/profile_images/1313489698279567360/FTKDY8qH_normal.jpg</v>
      </c>
      <c r="G839" s="63"/>
      <c r="H839" s="67"/>
      <c r="I839" s="68"/>
      <c r="J839" s="68"/>
      <c r="K839" s="67" t="s">
        <v>28433</v>
      </c>
      <c r="L839" s="71"/>
      <c r="M839" s="72"/>
      <c r="N839" s="72"/>
      <c r="O839" s="73"/>
      <c r="P839" s="74"/>
      <c r="Q839" s="74"/>
      <c r="R839" s="87"/>
      <c r="S839" s="87"/>
      <c r="T839" s="87"/>
      <c r="U839" s="87"/>
      <c r="V839" s="48"/>
      <c r="W839" s="48"/>
      <c r="X839" s="48"/>
      <c r="Y839" s="48"/>
      <c r="Z839" s="47"/>
      <c r="AA839" s="69">
        <v>839</v>
      </c>
      <c r="AB839" s="69"/>
      <c r="AC839" s="70"/>
      <c r="AD839" s="76" t="s">
        <v>22070</v>
      </c>
      <c r="AE839" s="81" t="s">
        <v>23520</v>
      </c>
      <c r="AF839" s="76">
        <v>42921</v>
      </c>
      <c r="AG839" s="76">
        <v>423</v>
      </c>
      <c r="AH839" s="76">
        <v>41874</v>
      </c>
      <c r="AI839" s="76">
        <v>277</v>
      </c>
      <c r="AJ839" s="76">
        <v>5124</v>
      </c>
      <c r="AK839" s="76">
        <v>26750</v>
      </c>
      <c r="AL839" s="76" t="b">
        <v>0</v>
      </c>
      <c r="AM839" s="78">
        <v>40382.583032407405</v>
      </c>
      <c r="AN839" s="76" t="s">
        <v>14382</v>
      </c>
      <c r="AO839" s="76" t="s">
        <v>25462</v>
      </c>
      <c r="AP839" s="82" t="str">
        <f>HYPERLINK("https://t.co/EzAa4xvaWP")</f>
        <v>https://t.co/EzAa4xvaWP</v>
      </c>
      <c r="AQ839" s="82" t="str">
        <f>HYPERLINK("http://www.tvt.org.br")</f>
        <v>http://www.tvt.org.br</v>
      </c>
      <c r="AR839" s="76" t="s">
        <v>26817</v>
      </c>
      <c r="AS839" s="82" t="str">
        <f>HYPERLINK("https://t.co/6mjfGkWOcG")</f>
        <v>https://t.co/6mjfGkWOcG</v>
      </c>
      <c r="AT839" s="82" t="str">
        <f>HYPERLINK("http://catarse.me/tvt")</f>
        <v>http://catarse.me/tvt</v>
      </c>
      <c r="AU839" s="76" t="s">
        <v>27501</v>
      </c>
      <c r="AV839" s="76"/>
      <c r="AW839" s="82" t="str">
        <f>HYPERLINK("https://t.co/EzAa4xvaWP")</f>
        <v>https://t.co/EzAa4xvaWP</v>
      </c>
      <c r="AX839" s="76" t="b">
        <v>0</v>
      </c>
      <c r="AY839" s="76"/>
      <c r="AZ839" s="76"/>
      <c r="BA839" s="76" t="b">
        <v>0</v>
      </c>
      <c r="BB839" s="76" t="b">
        <v>1</v>
      </c>
      <c r="BC839" s="76" t="b">
        <v>0</v>
      </c>
      <c r="BD839" s="76" t="b">
        <v>0</v>
      </c>
      <c r="BE839" s="76" t="b">
        <v>0</v>
      </c>
      <c r="BF839" s="76" t="b">
        <v>0</v>
      </c>
      <c r="BG839" s="76" t="b">
        <v>0</v>
      </c>
      <c r="BH839" s="82" t="str">
        <f>HYPERLINK("https://pbs.twimg.com/profile_banners/169918595/1671133237")</f>
        <v>https://pbs.twimg.com/profile_banners/169918595/1671133237</v>
      </c>
      <c r="BI839" s="76"/>
      <c r="BJ839" s="76" t="s">
        <v>27595</v>
      </c>
      <c r="BK839" s="76" t="b">
        <v>0</v>
      </c>
      <c r="BL839" s="76"/>
      <c r="BM839" s="76" t="s">
        <v>66</v>
      </c>
      <c r="BN839" s="76" t="s">
        <v>27597</v>
      </c>
      <c r="BO839" s="82" t="str">
        <f>HYPERLINK("https://twitter.com/redetvt")</f>
        <v>https://twitter.com/redetvt</v>
      </c>
      <c r="BP839" s="2"/>
    </row>
    <row r="840" spans="1:68" x14ac:dyDescent="0.25">
      <c r="A840" s="62" t="s">
        <v>821</v>
      </c>
      <c r="B840" s="63"/>
      <c r="C840" s="63"/>
      <c r="D840" s="64"/>
      <c r="E840" s="66"/>
      <c r="F840" s="103" t="str">
        <f>HYPERLINK("https://pbs.twimg.com/profile_images/1616813245897097218/j0ksfzyM_normal.jpg")</f>
        <v>https://pbs.twimg.com/profile_images/1616813245897097218/j0ksfzyM_normal.jpg</v>
      </c>
      <c r="G840" s="63"/>
      <c r="H840" s="67"/>
      <c r="I840" s="68"/>
      <c r="J840" s="68"/>
      <c r="K840" s="67" t="s">
        <v>28434</v>
      </c>
      <c r="L840" s="71"/>
      <c r="M840" s="72"/>
      <c r="N840" s="72"/>
      <c r="O840" s="73"/>
      <c r="P840" s="74"/>
      <c r="Q840" s="74"/>
      <c r="R840" s="87"/>
      <c r="S840" s="87"/>
      <c r="T840" s="87"/>
      <c r="U840" s="87"/>
      <c r="V840" s="48"/>
      <c r="W840" s="48"/>
      <c r="X840" s="48"/>
      <c r="Y840" s="48"/>
      <c r="Z840" s="47"/>
      <c r="AA840" s="69">
        <v>840</v>
      </c>
      <c r="AB840" s="69"/>
      <c r="AC840" s="70"/>
      <c r="AD840" s="76" t="s">
        <v>22071</v>
      </c>
      <c r="AE840" s="81" t="s">
        <v>23521</v>
      </c>
      <c r="AF840" s="76">
        <v>382</v>
      </c>
      <c r="AG840" s="76">
        <v>384</v>
      </c>
      <c r="AH840" s="76">
        <v>11345</v>
      </c>
      <c r="AI840" s="76">
        <v>1</v>
      </c>
      <c r="AJ840" s="76">
        <v>7507</v>
      </c>
      <c r="AK840" s="76">
        <v>379</v>
      </c>
      <c r="AL840" s="76" t="b">
        <v>0</v>
      </c>
      <c r="AM840" s="78">
        <v>41158.422627314816</v>
      </c>
      <c r="AN840" s="76" t="s">
        <v>24114</v>
      </c>
      <c r="AO840" s="76" t="s">
        <v>25463</v>
      </c>
      <c r="AP840" s="76"/>
      <c r="AQ840" s="76"/>
      <c r="AR840" s="76"/>
      <c r="AS840" s="82" t="str">
        <f>HYPERLINK("https://t.co/VpZihGQNeK")</f>
        <v>https://t.co/VpZihGQNeK</v>
      </c>
      <c r="AT840" s="82" t="str">
        <f>HYPERLINK("http://CepoCambiario.com")</f>
        <v>http://CepoCambiario.com</v>
      </c>
      <c r="AU840" s="76" t="s">
        <v>27502</v>
      </c>
      <c r="AV840" s="76">
        <v>1.7016731685727501E+18</v>
      </c>
      <c r="AW840" s="76"/>
      <c r="AX840" s="76" t="b">
        <v>1</v>
      </c>
      <c r="AY840" s="76"/>
      <c r="AZ840" s="76"/>
      <c r="BA840" s="76" t="b">
        <v>0</v>
      </c>
      <c r="BB840" s="76" t="b">
        <v>1</v>
      </c>
      <c r="BC840" s="76" t="b">
        <v>0</v>
      </c>
      <c r="BD840" s="76" t="b">
        <v>0</v>
      </c>
      <c r="BE840" s="76" t="b">
        <v>0</v>
      </c>
      <c r="BF840" s="76" t="b">
        <v>0</v>
      </c>
      <c r="BG840" s="76" t="b">
        <v>0</v>
      </c>
      <c r="BH840" s="82" t="str">
        <f>HYPERLINK("https://pbs.twimg.com/profile_banners/806493398/1684259526")</f>
        <v>https://pbs.twimg.com/profile_banners/806493398/1684259526</v>
      </c>
      <c r="BI840" s="76"/>
      <c r="BJ840" s="76" t="s">
        <v>27595</v>
      </c>
      <c r="BK840" s="76" t="b">
        <v>0</v>
      </c>
      <c r="BL840" s="76"/>
      <c r="BM840" s="76" t="s">
        <v>66</v>
      </c>
      <c r="BN840" s="76" t="s">
        <v>27597</v>
      </c>
      <c r="BO840" s="82" t="str">
        <f>HYPERLINK("https://twitter.com/cepocambiario")</f>
        <v>https://twitter.com/cepocambiario</v>
      </c>
      <c r="BP840" s="2"/>
    </row>
    <row r="841" spans="1:68" x14ac:dyDescent="0.25">
      <c r="A841" s="62" t="s">
        <v>822</v>
      </c>
      <c r="B841" s="63"/>
      <c r="C841" s="63"/>
      <c r="D841" s="64"/>
      <c r="E841" s="66"/>
      <c r="F841" s="103" t="str">
        <f>HYPERLINK("https://pbs.twimg.com/profile_images/1593085692103491584/TTGltA6Z_normal.jpg")</f>
        <v>https://pbs.twimg.com/profile_images/1593085692103491584/TTGltA6Z_normal.jpg</v>
      </c>
      <c r="G841" s="63"/>
      <c r="H841" s="67"/>
      <c r="I841" s="68"/>
      <c r="J841" s="68"/>
      <c r="K841" s="67" t="s">
        <v>28435</v>
      </c>
      <c r="L841" s="71"/>
      <c r="M841" s="72"/>
      <c r="N841" s="72"/>
      <c r="O841" s="73"/>
      <c r="P841" s="74"/>
      <c r="Q841" s="74"/>
      <c r="R841" s="87"/>
      <c r="S841" s="87"/>
      <c r="T841" s="87"/>
      <c r="U841" s="87"/>
      <c r="V841" s="48"/>
      <c r="W841" s="48"/>
      <c r="X841" s="48"/>
      <c r="Y841" s="48"/>
      <c r="Z841" s="47"/>
      <c r="AA841" s="69">
        <v>841</v>
      </c>
      <c r="AB841" s="69"/>
      <c r="AC841" s="70"/>
      <c r="AD841" s="76" t="s">
        <v>22072</v>
      </c>
      <c r="AE841" s="81" t="s">
        <v>23522</v>
      </c>
      <c r="AF841" s="76">
        <v>31</v>
      </c>
      <c r="AG841" s="76">
        <v>193</v>
      </c>
      <c r="AH841" s="76">
        <v>175</v>
      </c>
      <c r="AI841" s="76">
        <v>0</v>
      </c>
      <c r="AJ841" s="76">
        <v>193</v>
      </c>
      <c r="AK841" s="76">
        <v>2</v>
      </c>
      <c r="AL841" s="76" t="b">
        <v>0</v>
      </c>
      <c r="AM841" s="78">
        <v>41934.886597222219</v>
      </c>
      <c r="AN841" s="76"/>
      <c r="AO841" s="76" t="s">
        <v>25464</v>
      </c>
      <c r="AP841" s="82" t="str">
        <f>HYPERLINK("https://t.co/Bmw7oVQTiF")</f>
        <v>https://t.co/Bmw7oVQTiF</v>
      </c>
      <c r="AQ841" s="82" t="str">
        <f>HYPERLINK("https://linktr.ee/leandrocastelluccio")</f>
        <v>https://linktr.ee/leandrocastelluccio</v>
      </c>
      <c r="AR841" s="76" t="s">
        <v>26818</v>
      </c>
      <c r="AS841" s="76"/>
      <c r="AT841" s="76"/>
      <c r="AU841" s="76"/>
      <c r="AV841" s="76">
        <v>1.52844425180514E+18</v>
      </c>
      <c r="AW841" s="82" t="str">
        <f>HYPERLINK("https://t.co/Bmw7oVQTiF")</f>
        <v>https://t.co/Bmw7oVQTiF</v>
      </c>
      <c r="AX841" s="76" t="b">
        <v>0</v>
      </c>
      <c r="AY841" s="76"/>
      <c r="AZ841" s="76"/>
      <c r="BA841" s="76" t="b">
        <v>0</v>
      </c>
      <c r="BB841" s="76" t="b">
        <v>0</v>
      </c>
      <c r="BC841" s="76" t="b">
        <v>1</v>
      </c>
      <c r="BD841" s="76" t="b">
        <v>0</v>
      </c>
      <c r="BE841" s="76" t="b">
        <v>0</v>
      </c>
      <c r="BF841" s="76" t="b">
        <v>0</v>
      </c>
      <c r="BG841" s="76" t="b">
        <v>0</v>
      </c>
      <c r="BH841" s="82" t="str">
        <f>HYPERLINK("https://pbs.twimg.com/profile_banners/2871850902/1652141389")</f>
        <v>https://pbs.twimg.com/profile_banners/2871850902/1652141389</v>
      </c>
      <c r="BI841" s="76"/>
      <c r="BJ841" s="76" t="s">
        <v>27595</v>
      </c>
      <c r="BK841" s="76" t="b">
        <v>0</v>
      </c>
      <c r="BL841" s="76"/>
      <c r="BM841" s="76" t="s">
        <v>66</v>
      </c>
      <c r="BN841" s="76" t="s">
        <v>27597</v>
      </c>
      <c r="BO841" s="82" t="str">
        <f>HYPERLINK("https://twitter.com/lcasna1")</f>
        <v>https://twitter.com/lcasna1</v>
      </c>
      <c r="BP841" s="2"/>
    </row>
    <row r="842" spans="1:68" x14ac:dyDescent="0.25">
      <c r="A842" s="62" t="s">
        <v>823</v>
      </c>
      <c r="B842" s="63"/>
      <c r="C842" s="63"/>
      <c r="D842" s="64"/>
      <c r="E842" s="66"/>
      <c r="F842" s="103" t="str">
        <f>HYPERLINK("https://pbs.twimg.com/profile_images/1674207887629983745/wDLk8ehQ_normal.jpg")</f>
        <v>https://pbs.twimg.com/profile_images/1674207887629983745/wDLk8ehQ_normal.jpg</v>
      </c>
      <c r="G842" s="63"/>
      <c r="H842" s="67"/>
      <c r="I842" s="68"/>
      <c r="J842" s="68"/>
      <c r="K842" s="67" t="s">
        <v>28436</v>
      </c>
      <c r="L842" s="71"/>
      <c r="M842" s="72"/>
      <c r="N842" s="72"/>
      <c r="O842" s="73"/>
      <c r="P842" s="74"/>
      <c r="Q842" s="74"/>
      <c r="R842" s="87"/>
      <c r="S842" s="87"/>
      <c r="T842" s="87"/>
      <c r="U842" s="87"/>
      <c r="V842" s="48"/>
      <c r="W842" s="48"/>
      <c r="X842" s="48"/>
      <c r="Y842" s="48"/>
      <c r="Z842" s="47"/>
      <c r="AA842" s="69">
        <v>842</v>
      </c>
      <c r="AB842" s="69"/>
      <c r="AC842" s="70"/>
      <c r="AD842" s="76" t="s">
        <v>22073</v>
      </c>
      <c r="AE842" s="81" t="s">
        <v>20284</v>
      </c>
      <c r="AF842" s="76">
        <v>83066</v>
      </c>
      <c r="AG842" s="76">
        <v>197</v>
      </c>
      <c r="AH842" s="76">
        <v>63769</v>
      </c>
      <c r="AI842" s="76">
        <v>856</v>
      </c>
      <c r="AJ842" s="76">
        <v>330</v>
      </c>
      <c r="AK842" s="76">
        <v>13089</v>
      </c>
      <c r="AL842" s="76" t="b">
        <v>0</v>
      </c>
      <c r="AM842" s="78">
        <v>39990.599143518521</v>
      </c>
      <c r="AN842" s="76" t="s">
        <v>14490</v>
      </c>
      <c r="AO842" s="76" t="s">
        <v>25465</v>
      </c>
      <c r="AP842" s="82" t="str">
        <f>HYPERLINK("https://t.co/Axpbqu4uIB")</f>
        <v>https://t.co/Axpbqu4uIB</v>
      </c>
      <c r="AQ842" s="82" t="str">
        <f>HYPERLINK("http://www.senado.leg.br/tv")</f>
        <v>http://www.senado.leg.br/tv</v>
      </c>
      <c r="AR842" s="76" t="s">
        <v>26819</v>
      </c>
      <c r="AS842" s="76"/>
      <c r="AT842" s="76"/>
      <c r="AU842" s="76"/>
      <c r="AV842" s="76"/>
      <c r="AW842" s="82" t="str">
        <f>HYPERLINK("https://t.co/Axpbqu4uIB")</f>
        <v>https://t.co/Axpbqu4uIB</v>
      </c>
      <c r="AX842" s="76" t="b">
        <v>0</v>
      </c>
      <c r="AY842" s="76"/>
      <c r="AZ842" s="76"/>
      <c r="BA842" s="76" t="b">
        <v>0</v>
      </c>
      <c r="BB842" s="76" t="b">
        <v>1</v>
      </c>
      <c r="BC842" s="76" t="b">
        <v>0</v>
      </c>
      <c r="BD842" s="76" t="b">
        <v>0</v>
      </c>
      <c r="BE842" s="76" t="b">
        <v>1</v>
      </c>
      <c r="BF842" s="76" t="b">
        <v>0</v>
      </c>
      <c r="BG842" s="76" t="b">
        <v>0</v>
      </c>
      <c r="BH842" s="82" t="str">
        <f>HYPERLINK("https://pbs.twimg.com/profile_banners/51075078/1646338250")</f>
        <v>https://pbs.twimg.com/profile_banners/51075078/1646338250</v>
      </c>
      <c r="BI842" s="76"/>
      <c r="BJ842" s="76" t="s">
        <v>27595</v>
      </c>
      <c r="BK842" s="76" t="b">
        <v>0</v>
      </c>
      <c r="BL842" s="76"/>
      <c r="BM842" s="76" t="s">
        <v>66</v>
      </c>
      <c r="BN842" s="76" t="s">
        <v>27597</v>
      </c>
      <c r="BO842" s="82" t="str">
        <f>HYPERLINK("https://twitter.com/tvsenado")</f>
        <v>https://twitter.com/tvsenado</v>
      </c>
      <c r="BP842" s="2"/>
    </row>
    <row r="843" spans="1:68" x14ac:dyDescent="0.25">
      <c r="A843" s="62" t="s">
        <v>1887</v>
      </c>
      <c r="B843" s="63"/>
      <c r="C843" s="63"/>
      <c r="D843" s="64"/>
      <c r="E843" s="66"/>
      <c r="F843" s="103" t="str">
        <f>HYPERLINK("https://pbs.twimg.com/profile_images/1503871882960982016/YygVjDEO_normal.jpg")</f>
        <v>https://pbs.twimg.com/profile_images/1503871882960982016/YygVjDEO_normal.jpg</v>
      </c>
      <c r="G843" s="63"/>
      <c r="H843" s="67"/>
      <c r="I843" s="68"/>
      <c r="J843" s="68"/>
      <c r="K843" s="67" t="s">
        <v>28437</v>
      </c>
      <c r="L843" s="71"/>
      <c r="M843" s="72"/>
      <c r="N843" s="72"/>
      <c r="O843" s="73"/>
      <c r="P843" s="74"/>
      <c r="Q843" s="74"/>
      <c r="R843" s="87"/>
      <c r="S843" s="87"/>
      <c r="T843" s="87"/>
      <c r="U843" s="87"/>
      <c r="V843" s="48"/>
      <c r="W843" s="48"/>
      <c r="X843" s="48"/>
      <c r="Y843" s="48"/>
      <c r="Z843" s="47"/>
      <c r="AA843" s="69">
        <v>843</v>
      </c>
      <c r="AB843" s="69"/>
      <c r="AC843" s="70"/>
      <c r="AD843" s="76" t="s">
        <v>22074</v>
      </c>
      <c r="AE843" s="81" t="s">
        <v>23523</v>
      </c>
      <c r="AF843" s="76">
        <v>152365</v>
      </c>
      <c r="AG843" s="76">
        <v>891</v>
      </c>
      <c r="AH843" s="76">
        <v>5433</v>
      </c>
      <c r="AI843" s="76">
        <v>701</v>
      </c>
      <c r="AJ843" s="76">
        <v>1785</v>
      </c>
      <c r="AK843" s="76">
        <v>2058</v>
      </c>
      <c r="AL843" s="76" t="b">
        <v>0</v>
      </c>
      <c r="AM843" s="78">
        <v>42590.96234953704</v>
      </c>
      <c r="AN843" s="76" t="s">
        <v>24061</v>
      </c>
      <c r="AO843" s="76" t="s">
        <v>25466</v>
      </c>
      <c r="AP843" s="82" t="str">
        <f>HYPERLINK("https://t.co/4HqTsxjII4")</f>
        <v>https://t.co/4HqTsxjII4</v>
      </c>
      <c r="AQ843" s="82" t="str">
        <f>HYPERLINK("https://rodrigopachecomg.com.br/")</f>
        <v>https://rodrigopachecomg.com.br/</v>
      </c>
      <c r="AR843" s="76" t="s">
        <v>26820</v>
      </c>
      <c r="AS843" s="82" t="str">
        <f>HYPERLINK("https://t.co/jcgGMzpf2V")</f>
        <v>https://t.co/jcgGMzpf2V</v>
      </c>
      <c r="AT843" s="82" t="str">
        <f>HYPERLINK("http://t.me/rpsenador")</f>
        <v>http://t.me/rpsenador</v>
      </c>
      <c r="AU843" s="76" t="s">
        <v>27503</v>
      </c>
      <c r="AV843" s="76"/>
      <c r="AW843" s="82" t="str">
        <f>HYPERLINK("https://t.co/4HqTsxjII4")</f>
        <v>https://t.co/4HqTsxjII4</v>
      </c>
      <c r="AX843" s="76" t="b">
        <v>0</v>
      </c>
      <c r="AY843" s="76"/>
      <c r="AZ843" s="76"/>
      <c r="BA843" s="76" t="b">
        <v>0</v>
      </c>
      <c r="BB843" s="76" t="b">
        <v>0</v>
      </c>
      <c r="BC843" s="76" t="b">
        <v>1</v>
      </c>
      <c r="BD843" s="76" t="b">
        <v>0</v>
      </c>
      <c r="BE843" s="76" t="b">
        <v>0</v>
      </c>
      <c r="BF843" s="76" t="b">
        <v>0</v>
      </c>
      <c r="BG843" s="76" t="b">
        <v>0</v>
      </c>
      <c r="BH843" s="82" t="str">
        <f>HYPERLINK("https://pbs.twimg.com/profile_banners/762786918086180864/1647393778")</f>
        <v>https://pbs.twimg.com/profile_banners/762786918086180864/1647393778</v>
      </c>
      <c r="BI843" s="76"/>
      <c r="BJ843" s="76" t="s">
        <v>27595</v>
      </c>
      <c r="BK843" s="76" t="b">
        <v>0</v>
      </c>
      <c r="BL843" s="76"/>
      <c r="BM843" s="76" t="s">
        <v>65</v>
      </c>
      <c r="BN843" s="76" t="s">
        <v>27597</v>
      </c>
      <c r="BO843" s="82" t="str">
        <f>HYPERLINK("https://twitter.com/rodrigopacheco")</f>
        <v>https://twitter.com/rodrigopacheco</v>
      </c>
      <c r="BP843" s="2"/>
    </row>
    <row r="844" spans="1:68" x14ac:dyDescent="0.25">
      <c r="A844" s="62" t="s">
        <v>824</v>
      </c>
      <c r="B844" s="63"/>
      <c r="C844" s="63"/>
      <c r="D844" s="64"/>
      <c r="E844" s="66"/>
      <c r="F844" s="103" t="str">
        <f>HYPERLINK("https://pbs.twimg.com/profile_images/1531317937075806210/7oEvwlvr_normal.jpg")</f>
        <v>https://pbs.twimg.com/profile_images/1531317937075806210/7oEvwlvr_normal.jpg</v>
      </c>
      <c r="G844" s="63"/>
      <c r="H844" s="67"/>
      <c r="I844" s="68"/>
      <c r="J844" s="68"/>
      <c r="K844" s="67" t="s">
        <v>28438</v>
      </c>
      <c r="L844" s="71"/>
      <c r="M844" s="72"/>
      <c r="N844" s="72"/>
      <c r="O844" s="73"/>
      <c r="P844" s="74"/>
      <c r="Q844" s="74"/>
      <c r="R844" s="87"/>
      <c r="S844" s="87"/>
      <c r="T844" s="87"/>
      <c r="U844" s="87"/>
      <c r="V844" s="48"/>
      <c r="W844" s="48"/>
      <c r="X844" s="48"/>
      <c r="Y844" s="48"/>
      <c r="Z844" s="47"/>
      <c r="AA844" s="69">
        <v>844</v>
      </c>
      <c r="AB844" s="69"/>
      <c r="AC844" s="70"/>
      <c r="AD844" s="76" t="s">
        <v>22075</v>
      </c>
      <c r="AE844" s="81" t="s">
        <v>23524</v>
      </c>
      <c r="AF844" s="76">
        <v>79284</v>
      </c>
      <c r="AG844" s="76">
        <v>5434</v>
      </c>
      <c r="AH844" s="76">
        <v>136910</v>
      </c>
      <c r="AI844" s="76">
        <v>706</v>
      </c>
      <c r="AJ844" s="76">
        <v>4256</v>
      </c>
      <c r="AK844" s="76">
        <v>38795</v>
      </c>
      <c r="AL844" s="76" t="b">
        <v>0</v>
      </c>
      <c r="AM844" s="78">
        <v>39754.840763888889</v>
      </c>
      <c r="AN844" s="76" t="s">
        <v>24293</v>
      </c>
      <c r="AO844" s="76" t="s">
        <v>25467</v>
      </c>
      <c r="AP844" s="82" t="str">
        <f>HYPERLINK("https://t.co/yR8pzD6ApI")</f>
        <v>https://t.co/yR8pzD6ApI</v>
      </c>
      <c r="AQ844" s="82" t="str">
        <f>HYPERLINK("http://www.jornaldocomercio.com")</f>
        <v>http://www.jornaldocomercio.com</v>
      </c>
      <c r="AR844" s="76" t="s">
        <v>8759</v>
      </c>
      <c r="AS844" s="76"/>
      <c r="AT844" s="76"/>
      <c r="AU844" s="76"/>
      <c r="AV844" s="76"/>
      <c r="AW844" s="82" t="str">
        <f>HYPERLINK("https://t.co/yR8pzD6ApI")</f>
        <v>https://t.co/yR8pzD6ApI</v>
      </c>
      <c r="AX844" s="76" t="b">
        <v>0</v>
      </c>
      <c r="AY844" s="76"/>
      <c r="AZ844" s="76"/>
      <c r="BA844" s="76" t="b">
        <v>0</v>
      </c>
      <c r="BB844" s="76" t="b">
        <v>1</v>
      </c>
      <c r="BC844" s="76" t="b">
        <v>0</v>
      </c>
      <c r="BD844" s="76" t="b">
        <v>0</v>
      </c>
      <c r="BE844" s="76" t="b">
        <v>1</v>
      </c>
      <c r="BF844" s="76" t="b">
        <v>0</v>
      </c>
      <c r="BG844" s="76" t="b">
        <v>0</v>
      </c>
      <c r="BH844" s="82" t="str">
        <f>HYPERLINK("https://pbs.twimg.com/profile_banners/17118982/1683207252")</f>
        <v>https://pbs.twimg.com/profile_banners/17118982/1683207252</v>
      </c>
      <c r="BI844" s="76"/>
      <c r="BJ844" s="76" t="s">
        <v>27595</v>
      </c>
      <c r="BK844" s="76" t="b">
        <v>0</v>
      </c>
      <c r="BL844" s="76"/>
      <c r="BM844" s="76" t="s">
        <v>66</v>
      </c>
      <c r="BN844" s="76" t="s">
        <v>27597</v>
      </c>
      <c r="BO844" s="82" t="str">
        <f>HYPERLINK("https://twitter.com/jc_rs")</f>
        <v>https://twitter.com/jc_rs</v>
      </c>
      <c r="BP844" s="2"/>
    </row>
    <row r="845" spans="1:68" x14ac:dyDescent="0.25">
      <c r="A845" s="62" t="s">
        <v>825</v>
      </c>
      <c r="B845" s="63"/>
      <c r="C845" s="63"/>
      <c r="D845" s="64"/>
      <c r="E845" s="66"/>
      <c r="F845" s="103" t="str">
        <f>HYPERLINK("https://pbs.twimg.com/profile_images/1189555038735220737/oFTLMn1M_normal.jpg")</f>
        <v>https://pbs.twimg.com/profile_images/1189555038735220737/oFTLMn1M_normal.jpg</v>
      </c>
      <c r="G845" s="63"/>
      <c r="H845" s="67"/>
      <c r="I845" s="68"/>
      <c r="J845" s="68"/>
      <c r="K845" s="67" t="s">
        <v>28439</v>
      </c>
      <c r="L845" s="71"/>
      <c r="M845" s="72"/>
      <c r="N845" s="72"/>
      <c r="O845" s="73"/>
      <c r="P845" s="74"/>
      <c r="Q845" s="74"/>
      <c r="R845" s="87"/>
      <c r="S845" s="87"/>
      <c r="T845" s="87"/>
      <c r="U845" s="87"/>
      <c r="V845" s="48"/>
      <c r="W845" s="48"/>
      <c r="X845" s="48"/>
      <c r="Y845" s="48"/>
      <c r="Z845" s="47"/>
      <c r="AA845" s="69">
        <v>845</v>
      </c>
      <c r="AB845" s="69"/>
      <c r="AC845" s="70"/>
      <c r="AD845" s="76" t="s">
        <v>22076</v>
      </c>
      <c r="AE845" s="81" t="s">
        <v>20780</v>
      </c>
      <c r="AF845" s="76">
        <v>95</v>
      </c>
      <c r="AG845" s="76">
        <v>116</v>
      </c>
      <c r="AH845" s="76">
        <v>2529</v>
      </c>
      <c r="AI845" s="76">
        <v>0</v>
      </c>
      <c r="AJ845" s="76">
        <v>1420</v>
      </c>
      <c r="AK845" s="76">
        <v>976</v>
      </c>
      <c r="AL845" s="76" t="b">
        <v>0</v>
      </c>
      <c r="AM845" s="78">
        <v>43657.842986111114</v>
      </c>
      <c r="AN845" s="76" t="s">
        <v>24389</v>
      </c>
      <c r="AO845" s="76" t="s">
        <v>25468</v>
      </c>
      <c r="AP845" s="76"/>
      <c r="AQ845" s="76"/>
      <c r="AR845" s="76"/>
      <c r="AS845" s="76"/>
      <c r="AT845" s="76"/>
      <c r="AU845" s="76"/>
      <c r="AV845" s="76"/>
      <c r="AW845" s="76"/>
      <c r="AX845" s="76" t="b">
        <v>0</v>
      </c>
      <c r="AY845" s="76"/>
      <c r="AZ845" s="76"/>
      <c r="BA845" s="76" t="b">
        <v>0</v>
      </c>
      <c r="BB845" s="76" t="b">
        <v>1</v>
      </c>
      <c r="BC845" s="76" t="b">
        <v>1</v>
      </c>
      <c r="BD845" s="76" t="b">
        <v>0</v>
      </c>
      <c r="BE845" s="76" t="b">
        <v>1</v>
      </c>
      <c r="BF845" s="76" t="b">
        <v>0</v>
      </c>
      <c r="BG845" s="76" t="b">
        <v>0</v>
      </c>
      <c r="BH845" s="82" t="str">
        <f>HYPERLINK("https://pbs.twimg.com/profile_banners/1149411512236281859/1572446998")</f>
        <v>https://pbs.twimg.com/profile_banners/1149411512236281859/1572446998</v>
      </c>
      <c r="BI845" s="76"/>
      <c r="BJ845" s="76" t="s">
        <v>27595</v>
      </c>
      <c r="BK845" s="76" t="b">
        <v>0</v>
      </c>
      <c r="BL845" s="76"/>
      <c r="BM845" s="76" t="s">
        <v>66</v>
      </c>
      <c r="BN845" s="76" t="s">
        <v>27597</v>
      </c>
      <c r="BO845" s="82" t="str">
        <f>HYPERLINK("https://twitter.com/bastadefarsas")</f>
        <v>https://twitter.com/bastadefarsas</v>
      </c>
      <c r="BP845" s="2"/>
    </row>
    <row r="846" spans="1:68" x14ac:dyDescent="0.25">
      <c r="A846" s="62" t="s">
        <v>826</v>
      </c>
      <c r="B846" s="63"/>
      <c r="C846" s="63"/>
      <c r="D846" s="64"/>
      <c r="E846" s="66"/>
      <c r="F846" s="103" t="str">
        <f>HYPERLINK("https://pbs.twimg.com/profile_images/1583147997013196800/BxHZaIoU_normal.jpg")</f>
        <v>https://pbs.twimg.com/profile_images/1583147997013196800/BxHZaIoU_normal.jpg</v>
      </c>
      <c r="G846" s="63"/>
      <c r="H846" s="67"/>
      <c r="I846" s="68"/>
      <c r="J846" s="68"/>
      <c r="K846" s="67" t="s">
        <v>28440</v>
      </c>
      <c r="L846" s="71"/>
      <c r="M846" s="72"/>
      <c r="N846" s="72"/>
      <c r="O846" s="73"/>
      <c r="P846" s="74"/>
      <c r="Q846" s="74"/>
      <c r="R846" s="87"/>
      <c r="S846" s="87"/>
      <c r="T846" s="87"/>
      <c r="U846" s="87"/>
      <c r="V846" s="48"/>
      <c r="W846" s="48"/>
      <c r="X846" s="48"/>
      <c r="Y846" s="48"/>
      <c r="Z846" s="47"/>
      <c r="AA846" s="69">
        <v>846</v>
      </c>
      <c r="AB846" s="69"/>
      <c r="AC846" s="70"/>
      <c r="AD846" s="76" t="s">
        <v>22077</v>
      </c>
      <c r="AE846" s="81" t="s">
        <v>23525</v>
      </c>
      <c r="AF846" s="76">
        <v>13585</v>
      </c>
      <c r="AG846" s="76">
        <v>980</v>
      </c>
      <c r="AH846" s="76">
        <v>16504</v>
      </c>
      <c r="AI846" s="76">
        <v>244</v>
      </c>
      <c r="AJ846" s="76">
        <v>7114</v>
      </c>
      <c r="AK846" s="76">
        <v>4231</v>
      </c>
      <c r="AL846" s="76" t="b">
        <v>0</v>
      </c>
      <c r="AM846" s="78">
        <v>40363.787592592591</v>
      </c>
      <c r="AN846" s="76" t="s">
        <v>24138</v>
      </c>
      <c r="AO846" s="76" t="s">
        <v>25469</v>
      </c>
      <c r="AP846" s="82" t="str">
        <f>HYPERLINK("https://t.co/6BJts73PKY")</f>
        <v>https://t.co/6BJts73PKY</v>
      </c>
      <c r="AQ846" s="82" t="str">
        <f>HYPERLINK("https://www.vanderlan.com.br/")</f>
        <v>https://www.vanderlan.com.br/</v>
      </c>
      <c r="AR846" s="76" t="s">
        <v>26821</v>
      </c>
      <c r="AS846" s="76"/>
      <c r="AT846" s="76"/>
      <c r="AU846" s="76"/>
      <c r="AV846" s="76">
        <v>1.7053763785883799E+18</v>
      </c>
      <c r="AW846" s="82" t="str">
        <f>HYPERLINK("https://t.co/6BJts73PKY")</f>
        <v>https://t.co/6BJts73PKY</v>
      </c>
      <c r="AX846" s="76" t="b">
        <v>0</v>
      </c>
      <c r="AY846" s="76"/>
      <c r="AZ846" s="76"/>
      <c r="BA846" s="76" t="b">
        <v>0</v>
      </c>
      <c r="BB846" s="76" t="b">
        <v>0</v>
      </c>
      <c r="BC846" s="76" t="b">
        <v>0</v>
      </c>
      <c r="BD846" s="76" t="b">
        <v>0</v>
      </c>
      <c r="BE846" s="76" t="b">
        <v>1</v>
      </c>
      <c r="BF846" s="76" t="b">
        <v>0</v>
      </c>
      <c r="BG846" s="76" t="b">
        <v>0</v>
      </c>
      <c r="BH846" s="82" t="str">
        <f>HYPERLINK("https://pbs.twimg.com/profile_banners/162807255/1659520866")</f>
        <v>https://pbs.twimg.com/profile_banners/162807255/1659520866</v>
      </c>
      <c r="BI846" s="76"/>
      <c r="BJ846" s="76" t="s">
        <v>27595</v>
      </c>
      <c r="BK846" s="76" t="b">
        <v>0</v>
      </c>
      <c r="BL846" s="76"/>
      <c r="BM846" s="76" t="s">
        <v>66</v>
      </c>
      <c r="BN846" s="76" t="s">
        <v>27597</v>
      </c>
      <c r="BO846" s="82" t="str">
        <f>HYPERLINK("https://twitter.com/vanderlan_vc")</f>
        <v>https://twitter.com/vanderlan_vc</v>
      </c>
      <c r="BP846" s="2"/>
    </row>
    <row r="847" spans="1:68" x14ac:dyDescent="0.25">
      <c r="A847" s="62" t="s">
        <v>827</v>
      </c>
      <c r="B847" s="63"/>
      <c r="C847" s="63"/>
      <c r="D847" s="64"/>
      <c r="E847" s="66"/>
      <c r="F847" s="103" t="str">
        <f>HYPERLINK("https://pbs.twimg.com/profile_images/1677387698330386432/jnaFWNDi_normal.jpg")</f>
        <v>https://pbs.twimg.com/profile_images/1677387698330386432/jnaFWNDi_normal.jpg</v>
      </c>
      <c r="G847" s="63"/>
      <c r="H847" s="67"/>
      <c r="I847" s="68"/>
      <c r="J847" s="68"/>
      <c r="K847" s="67" t="s">
        <v>28441</v>
      </c>
      <c r="L847" s="71"/>
      <c r="M847" s="72"/>
      <c r="N847" s="72"/>
      <c r="O847" s="73"/>
      <c r="P847" s="74"/>
      <c r="Q847" s="74"/>
      <c r="R847" s="87"/>
      <c r="S847" s="87"/>
      <c r="T847" s="87"/>
      <c r="U847" s="87"/>
      <c r="V847" s="48"/>
      <c r="W847" s="48"/>
      <c r="X847" s="48"/>
      <c r="Y847" s="48"/>
      <c r="Z847" s="47"/>
      <c r="AA847" s="69">
        <v>847</v>
      </c>
      <c r="AB847" s="69"/>
      <c r="AC847" s="70"/>
      <c r="AD847" s="76" t="s">
        <v>22078</v>
      </c>
      <c r="AE847" s="81" t="s">
        <v>20781</v>
      </c>
      <c r="AF847" s="76">
        <v>45</v>
      </c>
      <c r="AG847" s="76">
        <v>115</v>
      </c>
      <c r="AH847" s="76">
        <v>587</v>
      </c>
      <c r="AI847" s="76">
        <v>0</v>
      </c>
      <c r="AJ847" s="76">
        <v>24</v>
      </c>
      <c r="AK847" s="76">
        <v>44</v>
      </c>
      <c r="AL847" s="76" t="b">
        <v>0</v>
      </c>
      <c r="AM847" s="78">
        <v>44477.832037037035</v>
      </c>
      <c r="AN847" s="76"/>
      <c r="AO847" s="76" t="s">
        <v>25470</v>
      </c>
      <c r="AP847" s="76"/>
      <c r="AQ847" s="76"/>
      <c r="AR847" s="76"/>
      <c r="AS847" s="76"/>
      <c r="AT847" s="76"/>
      <c r="AU847" s="76"/>
      <c r="AV847" s="76"/>
      <c r="AW847" s="76"/>
      <c r="AX847" s="76" t="b">
        <v>0</v>
      </c>
      <c r="AY847" s="76"/>
      <c r="AZ847" s="76"/>
      <c r="BA847" s="76" t="b">
        <v>0</v>
      </c>
      <c r="BB847" s="76" t="b">
        <v>1</v>
      </c>
      <c r="BC847" s="76" t="b">
        <v>1</v>
      </c>
      <c r="BD847" s="76" t="b">
        <v>0</v>
      </c>
      <c r="BE847" s="76" t="b">
        <v>0</v>
      </c>
      <c r="BF847" s="76" t="b">
        <v>0</v>
      </c>
      <c r="BG847" s="76" t="b">
        <v>0</v>
      </c>
      <c r="BH847" s="82" t="str">
        <f>HYPERLINK("https://pbs.twimg.com/profile_banners/1446565464247832576/1688755378")</f>
        <v>https://pbs.twimg.com/profile_banners/1446565464247832576/1688755378</v>
      </c>
      <c r="BI847" s="76"/>
      <c r="BJ847" s="76" t="s">
        <v>27595</v>
      </c>
      <c r="BK847" s="76" t="b">
        <v>0</v>
      </c>
      <c r="BL847" s="76"/>
      <c r="BM847" s="76" t="s">
        <v>66</v>
      </c>
      <c r="BN847" s="76" t="s">
        <v>27597</v>
      </c>
      <c r="BO847" s="82" t="str">
        <f>HYPERLINK("https://twitter.com/econometroprog1")</f>
        <v>https://twitter.com/econometroprog1</v>
      </c>
      <c r="BP847" s="2"/>
    </row>
    <row r="848" spans="1:68" x14ac:dyDescent="0.25">
      <c r="A848" s="62" t="s">
        <v>1888</v>
      </c>
      <c r="B848" s="63"/>
      <c r="C848" s="63"/>
      <c r="D848" s="64"/>
      <c r="E848" s="66"/>
      <c r="F848" s="103" t="str">
        <f>HYPERLINK("https://pbs.twimg.com/profile_images/1415776255731961858/qhI2r7s9_normal.jpg")</f>
        <v>https://pbs.twimg.com/profile_images/1415776255731961858/qhI2r7s9_normal.jpg</v>
      </c>
      <c r="G848" s="63"/>
      <c r="H848" s="67"/>
      <c r="I848" s="68"/>
      <c r="J848" s="68"/>
      <c r="K848" s="67" t="s">
        <v>28442</v>
      </c>
      <c r="L848" s="71"/>
      <c r="M848" s="72"/>
      <c r="N848" s="72"/>
      <c r="O848" s="73"/>
      <c r="P848" s="74"/>
      <c r="Q848" s="74"/>
      <c r="R848" s="87"/>
      <c r="S848" s="87"/>
      <c r="T848" s="87"/>
      <c r="U848" s="87"/>
      <c r="V848" s="48"/>
      <c r="W848" s="48"/>
      <c r="X848" s="48"/>
      <c r="Y848" s="48"/>
      <c r="Z848" s="47"/>
      <c r="AA848" s="69">
        <v>848</v>
      </c>
      <c r="AB848" s="69"/>
      <c r="AC848" s="70"/>
      <c r="AD848" s="76" t="s">
        <v>22079</v>
      </c>
      <c r="AE848" s="81" t="s">
        <v>23526</v>
      </c>
      <c r="AF848" s="76">
        <v>5369</v>
      </c>
      <c r="AG848" s="76">
        <v>265</v>
      </c>
      <c r="AH848" s="76">
        <v>10272</v>
      </c>
      <c r="AI848" s="76">
        <v>31</v>
      </c>
      <c r="AJ848" s="76">
        <v>1264</v>
      </c>
      <c r="AK848" s="76">
        <v>646</v>
      </c>
      <c r="AL848" s="76" t="b">
        <v>0</v>
      </c>
      <c r="AM848" s="78">
        <v>40933.533136574071</v>
      </c>
      <c r="AN848" s="76" t="s">
        <v>24085</v>
      </c>
      <c r="AO848" s="76" t="s">
        <v>25471</v>
      </c>
      <c r="AP848" s="82" t="str">
        <f>HYPERLINK("https://t.co/hbLgHt6i6H")</f>
        <v>https://t.co/hbLgHt6i6H</v>
      </c>
      <c r="AQ848" s="82" t="str">
        <f>HYPERLINK("http://laredmza.com.ar")</f>
        <v>http://laredmza.com.ar</v>
      </c>
      <c r="AR848" s="76" t="s">
        <v>26822</v>
      </c>
      <c r="AS848" s="76"/>
      <c r="AT848" s="76"/>
      <c r="AU848" s="76"/>
      <c r="AV848" s="76"/>
      <c r="AW848" s="82" t="str">
        <f>HYPERLINK("https://t.co/hbLgHt6i6H")</f>
        <v>https://t.co/hbLgHt6i6H</v>
      </c>
      <c r="AX848" s="76" t="b">
        <v>0</v>
      </c>
      <c r="AY848" s="76"/>
      <c r="AZ848" s="76"/>
      <c r="BA848" s="76" t="b">
        <v>0</v>
      </c>
      <c r="BB848" s="76" t="b">
        <v>1</v>
      </c>
      <c r="BC848" s="76" t="b">
        <v>0</v>
      </c>
      <c r="BD848" s="76" t="b">
        <v>0</v>
      </c>
      <c r="BE848" s="76" t="b">
        <v>0</v>
      </c>
      <c r="BF848" s="76" t="b">
        <v>0</v>
      </c>
      <c r="BG848" s="76" t="b">
        <v>0</v>
      </c>
      <c r="BH848" s="82" t="str">
        <f>HYPERLINK("https://pbs.twimg.com/profile_banners/473890640/1626382338")</f>
        <v>https://pbs.twimg.com/profile_banners/473890640/1626382338</v>
      </c>
      <c r="BI848" s="76"/>
      <c r="BJ848" s="76" t="s">
        <v>27595</v>
      </c>
      <c r="BK848" s="76" t="b">
        <v>0</v>
      </c>
      <c r="BL848" s="76"/>
      <c r="BM848" s="76" t="s">
        <v>65</v>
      </c>
      <c r="BN848" s="76" t="s">
        <v>27597</v>
      </c>
      <c r="BO848" s="82" t="str">
        <f>HYPERLINK("https://twitter.com/laredmendoza")</f>
        <v>https://twitter.com/laredmendoza</v>
      </c>
      <c r="BP848" s="2"/>
    </row>
    <row r="849" spans="1:68" x14ac:dyDescent="0.25">
      <c r="A849" s="62" t="s">
        <v>1889</v>
      </c>
      <c r="B849" s="63"/>
      <c r="C849" s="63"/>
      <c r="D849" s="64"/>
      <c r="E849" s="66"/>
      <c r="F849" s="103" t="str">
        <f>HYPERLINK("https://pbs.twimg.com/profile_images/378800000417693480/e459580b24899581b3b3b7657d0efef0_normal.jpeg")</f>
        <v>https://pbs.twimg.com/profile_images/378800000417693480/e459580b24899581b3b3b7657d0efef0_normal.jpeg</v>
      </c>
      <c r="G849" s="63"/>
      <c r="H849" s="67"/>
      <c r="I849" s="68"/>
      <c r="J849" s="68"/>
      <c r="K849" s="67" t="s">
        <v>28443</v>
      </c>
      <c r="L849" s="71"/>
      <c r="M849" s="72"/>
      <c r="N849" s="72"/>
      <c r="O849" s="73"/>
      <c r="P849" s="74"/>
      <c r="Q849" s="74"/>
      <c r="R849" s="87"/>
      <c r="S849" s="87"/>
      <c r="T849" s="87"/>
      <c r="U849" s="87"/>
      <c r="V849" s="48"/>
      <c r="W849" s="48"/>
      <c r="X849" s="48"/>
      <c r="Y849" s="48"/>
      <c r="Z849" s="47"/>
      <c r="AA849" s="69">
        <v>849</v>
      </c>
      <c r="AB849" s="69"/>
      <c r="AC849" s="70"/>
      <c r="AD849" s="76" t="s">
        <v>22080</v>
      </c>
      <c r="AE849" s="81" t="s">
        <v>23527</v>
      </c>
      <c r="AF849" s="76">
        <v>768</v>
      </c>
      <c r="AG849" s="76">
        <v>448</v>
      </c>
      <c r="AH849" s="76">
        <v>4384</v>
      </c>
      <c r="AI849" s="76">
        <v>3</v>
      </c>
      <c r="AJ849" s="76">
        <v>6285</v>
      </c>
      <c r="AK849" s="76">
        <v>108</v>
      </c>
      <c r="AL849" s="76" t="b">
        <v>0</v>
      </c>
      <c r="AM849" s="78">
        <v>41519.850949074076</v>
      </c>
      <c r="AN849" s="76" t="s">
        <v>24390</v>
      </c>
      <c r="AO849" s="76" t="s">
        <v>25472</v>
      </c>
      <c r="AP849" s="76"/>
      <c r="AQ849" s="76"/>
      <c r="AR849" s="76"/>
      <c r="AS849" s="76"/>
      <c r="AT849" s="76"/>
      <c r="AU849" s="76"/>
      <c r="AV849" s="76"/>
      <c r="AW849" s="76"/>
      <c r="AX849" s="76" t="b">
        <v>0</v>
      </c>
      <c r="AY849" s="76"/>
      <c r="AZ849" s="76"/>
      <c r="BA849" s="76" t="b">
        <v>0</v>
      </c>
      <c r="BB849" s="76" t="b">
        <v>1</v>
      </c>
      <c r="BC849" s="76" t="b">
        <v>1</v>
      </c>
      <c r="BD849" s="76" t="b">
        <v>0</v>
      </c>
      <c r="BE849" s="76" t="b">
        <v>1</v>
      </c>
      <c r="BF849" s="76" t="b">
        <v>0</v>
      </c>
      <c r="BG849" s="76" t="b">
        <v>0</v>
      </c>
      <c r="BH849" s="76"/>
      <c r="BI849" s="76"/>
      <c r="BJ849" s="76" t="s">
        <v>27595</v>
      </c>
      <c r="BK849" s="76" t="b">
        <v>0</v>
      </c>
      <c r="BL849" s="76"/>
      <c r="BM849" s="76" t="s">
        <v>65</v>
      </c>
      <c r="BN849" s="76" t="s">
        <v>27597</v>
      </c>
      <c r="BO849" s="82" t="str">
        <f>HYPERLINK("https://twitter.com/floresisuani")</f>
        <v>https://twitter.com/floresisuani</v>
      </c>
      <c r="BP849" s="2"/>
    </row>
    <row r="850" spans="1:68" x14ac:dyDescent="0.25">
      <c r="A850" s="62" t="s">
        <v>828</v>
      </c>
      <c r="B850" s="63"/>
      <c r="C850" s="63"/>
      <c r="D850" s="64"/>
      <c r="E850" s="66"/>
      <c r="F850" s="103" t="str">
        <f>HYPERLINK("https://pbs.twimg.com/profile_images/1661442581178318849/S9350vUs_normal.jpg")</f>
        <v>https://pbs.twimg.com/profile_images/1661442581178318849/S9350vUs_normal.jpg</v>
      </c>
      <c r="G850" s="63"/>
      <c r="H850" s="67"/>
      <c r="I850" s="68"/>
      <c r="J850" s="68"/>
      <c r="K850" s="67" t="s">
        <v>28444</v>
      </c>
      <c r="L850" s="71"/>
      <c r="M850" s="72"/>
      <c r="N850" s="72"/>
      <c r="O850" s="73"/>
      <c r="P850" s="74"/>
      <c r="Q850" s="74"/>
      <c r="R850" s="87"/>
      <c r="S850" s="87"/>
      <c r="T850" s="87"/>
      <c r="U850" s="87"/>
      <c r="V850" s="48"/>
      <c r="W850" s="48"/>
      <c r="X850" s="48"/>
      <c r="Y850" s="48"/>
      <c r="Z850" s="47"/>
      <c r="AA850" s="69">
        <v>850</v>
      </c>
      <c r="AB850" s="69"/>
      <c r="AC850" s="70"/>
      <c r="AD850" s="76" t="s">
        <v>22081</v>
      </c>
      <c r="AE850" s="81" t="s">
        <v>23528</v>
      </c>
      <c r="AF850" s="76">
        <v>10754</v>
      </c>
      <c r="AG850" s="76">
        <v>1134</v>
      </c>
      <c r="AH850" s="76">
        <v>2909</v>
      </c>
      <c r="AI850" s="76">
        <v>16</v>
      </c>
      <c r="AJ850" s="76">
        <v>9476</v>
      </c>
      <c r="AK850" s="76">
        <v>1023</v>
      </c>
      <c r="AL850" s="76" t="b">
        <v>0</v>
      </c>
      <c r="AM850" s="78">
        <v>40494.76357638889</v>
      </c>
      <c r="AN850" s="76" t="s">
        <v>24216</v>
      </c>
      <c r="AO850" s="76" t="s">
        <v>25473</v>
      </c>
      <c r="AP850" s="82" t="str">
        <f>HYPERLINK("https://t.co/E7CjLEdlci")</f>
        <v>https://t.co/E7CjLEdlci</v>
      </c>
      <c r="AQ850" s="82" t="str">
        <f>HYPERLINK("http://www.profeciasfm.com")</f>
        <v>http://www.profeciasfm.com</v>
      </c>
      <c r="AR850" s="76" t="s">
        <v>26823</v>
      </c>
      <c r="AS850" s="76"/>
      <c r="AT850" s="76"/>
      <c r="AU850" s="76"/>
      <c r="AV850" s="76">
        <v>1.6251482902232399E+18</v>
      </c>
      <c r="AW850" s="82" t="str">
        <f>HYPERLINK("https://t.co/E7CjLEdlci")</f>
        <v>https://t.co/E7CjLEdlci</v>
      </c>
      <c r="AX850" s="76" t="b">
        <v>1</v>
      </c>
      <c r="AY850" s="76"/>
      <c r="AZ850" s="76"/>
      <c r="BA850" s="76" t="b">
        <v>0</v>
      </c>
      <c r="BB850" s="76" t="b">
        <v>1</v>
      </c>
      <c r="BC850" s="76" t="b">
        <v>0</v>
      </c>
      <c r="BD850" s="76" t="b">
        <v>0</v>
      </c>
      <c r="BE850" s="76" t="b">
        <v>1</v>
      </c>
      <c r="BF850" s="76" t="b">
        <v>0</v>
      </c>
      <c r="BG850" s="76" t="b">
        <v>0</v>
      </c>
      <c r="BH850" s="82" t="str">
        <f>HYPERLINK("https://pbs.twimg.com/profile_banners/214981600/1433640793")</f>
        <v>https://pbs.twimg.com/profile_banners/214981600/1433640793</v>
      </c>
      <c r="BI850" s="76"/>
      <c r="BJ850" s="76" t="s">
        <v>27595</v>
      </c>
      <c r="BK850" s="76" t="b">
        <v>0</v>
      </c>
      <c r="BL850" s="76"/>
      <c r="BM850" s="76" t="s">
        <v>66</v>
      </c>
      <c r="BN850" s="76" t="s">
        <v>27597</v>
      </c>
      <c r="BO850" s="82" t="str">
        <f>HYPERLINK("https://twitter.com/miguelortega9")</f>
        <v>https://twitter.com/miguelortega9</v>
      </c>
      <c r="BP850" s="2"/>
    </row>
    <row r="851" spans="1:68" x14ac:dyDescent="0.25">
      <c r="A851" s="62" t="s">
        <v>1890</v>
      </c>
      <c r="B851" s="63"/>
      <c r="C851" s="63"/>
      <c r="D851" s="64"/>
      <c r="E851" s="66"/>
      <c r="F851" s="103" t="str">
        <f>HYPERLINK("https://pbs.twimg.com/profile_images/3257335538/12bfacc0ecbba9b4f55b8ccb7861be12_normal.jpeg")</f>
        <v>https://pbs.twimg.com/profile_images/3257335538/12bfacc0ecbba9b4f55b8ccb7861be12_normal.jpeg</v>
      </c>
      <c r="G851" s="63"/>
      <c r="H851" s="67"/>
      <c r="I851" s="68"/>
      <c r="J851" s="68"/>
      <c r="K851" s="67" t="s">
        <v>28445</v>
      </c>
      <c r="L851" s="71"/>
      <c r="M851" s="72"/>
      <c r="N851" s="72"/>
      <c r="O851" s="73"/>
      <c r="P851" s="74"/>
      <c r="Q851" s="74"/>
      <c r="R851" s="87"/>
      <c r="S851" s="87"/>
      <c r="T851" s="87"/>
      <c r="U851" s="87"/>
      <c r="V851" s="48"/>
      <c r="W851" s="48"/>
      <c r="X851" s="48"/>
      <c r="Y851" s="48"/>
      <c r="Z851" s="47"/>
      <c r="AA851" s="69">
        <v>851</v>
      </c>
      <c r="AB851" s="69"/>
      <c r="AC851" s="70"/>
      <c r="AD851" s="76" t="s">
        <v>22082</v>
      </c>
      <c r="AE851" s="81" t="s">
        <v>23529</v>
      </c>
      <c r="AF851" s="76">
        <v>9597</v>
      </c>
      <c r="AG851" s="76">
        <v>509</v>
      </c>
      <c r="AH851" s="76">
        <v>1152</v>
      </c>
      <c r="AI851" s="76">
        <v>10</v>
      </c>
      <c r="AJ851" s="76">
        <v>55</v>
      </c>
      <c r="AK851" s="76">
        <v>273</v>
      </c>
      <c r="AL851" s="76" t="b">
        <v>0</v>
      </c>
      <c r="AM851" s="78">
        <v>40982.961261574077</v>
      </c>
      <c r="AN851" s="76"/>
      <c r="AO851" s="76" t="s">
        <v>25474</v>
      </c>
      <c r="AP851" s="76"/>
      <c r="AQ851" s="76"/>
      <c r="AR851" s="76"/>
      <c r="AS851" s="76"/>
      <c r="AT851" s="76"/>
      <c r="AU851" s="76"/>
      <c r="AV851" s="76"/>
      <c r="AW851" s="76"/>
      <c r="AX851" s="76" t="b">
        <v>0</v>
      </c>
      <c r="AY851" s="76"/>
      <c r="AZ851" s="76"/>
      <c r="BA851" s="76" t="b">
        <v>0</v>
      </c>
      <c r="BB851" s="76" t="b">
        <v>1</v>
      </c>
      <c r="BC851" s="76" t="b">
        <v>1</v>
      </c>
      <c r="BD851" s="76" t="b">
        <v>0</v>
      </c>
      <c r="BE851" s="76" t="b">
        <v>1</v>
      </c>
      <c r="BF851" s="76" t="b">
        <v>0</v>
      </c>
      <c r="BG851" s="76" t="b">
        <v>0</v>
      </c>
      <c r="BH851" s="76"/>
      <c r="BI851" s="76"/>
      <c r="BJ851" s="76" t="s">
        <v>27595</v>
      </c>
      <c r="BK851" s="76" t="b">
        <v>0</v>
      </c>
      <c r="BL851" s="76"/>
      <c r="BM851" s="76" t="s">
        <v>65</v>
      </c>
      <c r="BN851" s="76" t="s">
        <v>27597</v>
      </c>
      <c r="BO851" s="82" t="str">
        <f>HYPERLINK("https://twitter.com/lirianoomar")</f>
        <v>https://twitter.com/lirianoomar</v>
      </c>
      <c r="BP851" s="2"/>
    </row>
    <row r="852" spans="1:68" x14ac:dyDescent="0.25">
      <c r="A852" s="62" t="s">
        <v>829</v>
      </c>
      <c r="B852" s="63"/>
      <c r="C852" s="63"/>
      <c r="D852" s="64"/>
      <c r="E852" s="66"/>
      <c r="F852" s="103" t="str">
        <f>HYPERLINK("https://pbs.twimg.com/profile_images/1092409519299354624/G1tnyr9H_normal.jpg")</f>
        <v>https://pbs.twimg.com/profile_images/1092409519299354624/G1tnyr9H_normal.jpg</v>
      </c>
      <c r="G852" s="63"/>
      <c r="H852" s="67"/>
      <c r="I852" s="68"/>
      <c r="J852" s="68"/>
      <c r="K852" s="67" t="s">
        <v>28446</v>
      </c>
      <c r="L852" s="71"/>
      <c r="M852" s="72"/>
      <c r="N852" s="72"/>
      <c r="O852" s="73"/>
      <c r="P852" s="74"/>
      <c r="Q852" s="74"/>
      <c r="R852" s="87"/>
      <c r="S852" s="87"/>
      <c r="T852" s="87"/>
      <c r="U852" s="87"/>
      <c r="V852" s="48"/>
      <c r="W852" s="48"/>
      <c r="X852" s="48"/>
      <c r="Y852" s="48"/>
      <c r="Z852" s="47"/>
      <c r="AA852" s="69">
        <v>852</v>
      </c>
      <c r="AB852" s="69"/>
      <c r="AC852" s="70"/>
      <c r="AD852" s="76" t="s">
        <v>22083</v>
      </c>
      <c r="AE852" s="81" t="s">
        <v>23530</v>
      </c>
      <c r="AF852" s="76">
        <v>3221</v>
      </c>
      <c r="AG852" s="76">
        <v>4673</v>
      </c>
      <c r="AH852" s="76">
        <v>44390</v>
      </c>
      <c r="AI852" s="76">
        <v>57</v>
      </c>
      <c r="AJ852" s="76">
        <v>10300</v>
      </c>
      <c r="AK852" s="76">
        <v>4364</v>
      </c>
      <c r="AL852" s="76" t="b">
        <v>0</v>
      </c>
      <c r="AM852" s="78">
        <v>40167.467245370368</v>
      </c>
      <c r="AN852" s="76" t="s">
        <v>24126</v>
      </c>
      <c r="AO852" s="76" t="s">
        <v>25475</v>
      </c>
      <c r="AP852" s="82" t="str">
        <f>HYPERLINK("https://t.co/YQUXavhm76")</f>
        <v>https://t.co/YQUXavhm76</v>
      </c>
      <c r="AQ852" s="82" t="str">
        <f>HYPERLINK("http://www.comunidadorganizada.org")</f>
        <v>http://www.comunidadorganizada.org</v>
      </c>
      <c r="AR852" s="76" t="s">
        <v>26824</v>
      </c>
      <c r="AS852" s="76"/>
      <c r="AT852" s="76"/>
      <c r="AU852" s="76"/>
      <c r="AV852" s="76">
        <v>9.2187164020352998E+17</v>
      </c>
      <c r="AW852" s="82" t="str">
        <f>HYPERLINK("https://t.co/YQUXavhm76")</f>
        <v>https://t.co/YQUXavhm76</v>
      </c>
      <c r="AX852" s="76" t="b">
        <v>0</v>
      </c>
      <c r="AY852" s="76"/>
      <c r="AZ852" s="76"/>
      <c r="BA852" s="76" t="b">
        <v>1</v>
      </c>
      <c r="BB852" s="76" t="b">
        <v>1</v>
      </c>
      <c r="BC852" s="76" t="b">
        <v>0</v>
      </c>
      <c r="BD852" s="76" t="b">
        <v>0</v>
      </c>
      <c r="BE852" s="76" t="b">
        <v>1</v>
      </c>
      <c r="BF852" s="76" t="b">
        <v>0</v>
      </c>
      <c r="BG852" s="76" t="b">
        <v>0</v>
      </c>
      <c r="BH852" s="82" t="str">
        <f>HYPERLINK("https://pbs.twimg.com/profile_banners/98105432/1549285671")</f>
        <v>https://pbs.twimg.com/profile_banners/98105432/1549285671</v>
      </c>
      <c r="BI852" s="76"/>
      <c r="BJ852" s="76" t="s">
        <v>27596</v>
      </c>
      <c r="BK852" s="76" t="b">
        <v>0</v>
      </c>
      <c r="BL852" s="76"/>
      <c r="BM852" s="76" t="s">
        <v>66</v>
      </c>
      <c r="BN852" s="76" t="s">
        <v>27597</v>
      </c>
      <c r="BO852" s="82" t="str">
        <f>HYPERLINK("https://twitter.com/planargentino")</f>
        <v>https://twitter.com/planargentino</v>
      </c>
      <c r="BP852" s="2"/>
    </row>
    <row r="853" spans="1:68" x14ac:dyDescent="0.25">
      <c r="A853" s="62" t="s">
        <v>830</v>
      </c>
      <c r="B853" s="63"/>
      <c r="C853" s="63"/>
      <c r="D853" s="64"/>
      <c r="E853" s="66"/>
      <c r="F853" s="103" t="str">
        <f>HYPERLINK("https://pbs.twimg.com/profile_images/1523068370383360000/krLgedLa_normal.jpg")</f>
        <v>https://pbs.twimg.com/profile_images/1523068370383360000/krLgedLa_normal.jpg</v>
      </c>
      <c r="G853" s="63"/>
      <c r="H853" s="67"/>
      <c r="I853" s="68"/>
      <c r="J853" s="68"/>
      <c r="K853" s="67" t="s">
        <v>28447</v>
      </c>
      <c r="L853" s="71"/>
      <c r="M853" s="72"/>
      <c r="N853" s="72"/>
      <c r="O853" s="73"/>
      <c r="P853" s="74"/>
      <c r="Q853" s="74"/>
      <c r="R853" s="87"/>
      <c r="S853" s="87"/>
      <c r="T853" s="87"/>
      <c r="U853" s="87"/>
      <c r="V853" s="48"/>
      <c r="W853" s="48"/>
      <c r="X853" s="48"/>
      <c r="Y853" s="48"/>
      <c r="Z853" s="47"/>
      <c r="AA853" s="69">
        <v>853</v>
      </c>
      <c r="AB853" s="69"/>
      <c r="AC853" s="70"/>
      <c r="AD853" s="76" t="s">
        <v>22084</v>
      </c>
      <c r="AE853" s="81" t="s">
        <v>23531</v>
      </c>
      <c r="AF853" s="76">
        <v>4100</v>
      </c>
      <c r="AG853" s="76">
        <v>4128</v>
      </c>
      <c r="AH853" s="76">
        <v>11694</v>
      </c>
      <c r="AI853" s="76">
        <v>1</v>
      </c>
      <c r="AJ853" s="76">
        <v>22786</v>
      </c>
      <c r="AK853" s="76">
        <v>895</v>
      </c>
      <c r="AL853" s="76" t="b">
        <v>0</v>
      </c>
      <c r="AM853" s="78">
        <v>42104.687199074076</v>
      </c>
      <c r="AN853" s="76"/>
      <c r="AO853" s="76" t="s">
        <v>25476</v>
      </c>
      <c r="AP853" s="76"/>
      <c r="AQ853" s="76"/>
      <c r="AR853" s="76"/>
      <c r="AS853" s="76"/>
      <c r="AT853" s="76"/>
      <c r="AU853" s="76"/>
      <c r="AV853" s="76">
        <v>1.31173694927166E+18</v>
      </c>
      <c r="AW853" s="76"/>
      <c r="AX853" s="76" t="b">
        <v>0</v>
      </c>
      <c r="AY853" s="76"/>
      <c r="AZ853" s="76"/>
      <c r="BA853" s="76" t="b">
        <v>0</v>
      </c>
      <c r="BB853" s="76" t="b">
        <v>0</v>
      </c>
      <c r="BC853" s="76" t="b">
        <v>1</v>
      </c>
      <c r="BD853" s="76" t="b">
        <v>0</v>
      </c>
      <c r="BE853" s="76" t="b">
        <v>1</v>
      </c>
      <c r="BF853" s="76" t="b">
        <v>0</v>
      </c>
      <c r="BG853" s="76" t="b">
        <v>0</v>
      </c>
      <c r="BH853" s="82" t="str">
        <f>HYPERLINK("https://pbs.twimg.com/profile_banners/3153998255/1579539368")</f>
        <v>https://pbs.twimg.com/profile_banners/3153998255/1579539368</v>
      </c>
      <c r="BI853" s="76"/>
      <c r="BJ853" s="76" t="s">
        <v>27595</v>
      </c>
      <c r="BK853" s="76" t="b">
        <v>0</v>
      </c>
      <c r="BL853" s="76"/>
      <c r="BM853" s="76" t="s">
        <v>66</v>
      </c>
      <c r="BN853" s="76" t="s">
        <v>27597</v>
      </c>
      <c r="BO853" s="82" t="str">
        <f>HYPERLINK("https://twitter.com/sill_dalla")</f>
        <v>https://twitter.com/sill_dalla</v>
      </c>
      <c r="BP853" s="2"/>
    </row>
    <row r="854" spans="1:68" x14ac:dyDescent="0.25">
      <c r="A854" s="62" t="s">
        <v>1891</v>
      </c>
      <c r="B854" s="63"/>
      <c r="C854" s="63"/>
      <c r="D854" s="64"/>
      <c r="E854" s="66"/>
      <c r="F854" s="103" t="str">
        <f>HYPERLINK("https://pbs.twimg.com/profile_images/1344324425785729025/xlml4zs__normal.jpg")</f>
        <v>https://pbs.twimg.com/profile_images/1344324425785729025/xlml4zs__normal.jpg</v>
      </c>
      <c r="G854" s="63"/>
      <c r="H854" s="67"/>
      <c r="I854" s="68"/>
      <c r="J854" s="68"/>
      <c r="K854" s="67" t="s">
        <v>28448</v>
      </c>
      <c r="L854" s="71"/>
      <c r="M854" s="72"/>
      <c r="N854" s="72"/>
      <c r="O854" s="73"/>
      <c r="P854" s="74"/>
      <c r="Q854" s="74"/>
      <c r="R854" s="87"/>
      <c r="S854" s="87"/>
      <c r="T854" s="87"/>
      <c r="U854" s="87"/>
      <c r="V854" s="48"/>
      <c r="W854" s="48"/>
      <c r="X854" s="48"/>
      <c r="Y854" s="48"/>
      <c r="Z854" s="47"/>
      <c r="AA854" s="69">
        <v>854</v>
      </c>
      <c r="AB854" s="69"/>
      <c r="AC854" s="70"/>
      <c r="AD854" s="76" t="s">
        <v>22085</v>
      </c>
      <c r="AE854" s="81" t="s">
        <v>20285</v>
      </c>
      <c r="AF854" s="76">
        <v>166026</v>
      </c>
      <c r="AG854" s="76">
        <v>1786</v>
      </c>
      <c r="AH854" s="76">
        <v>94101</v>
      </c>
      <c r="AI854" s="76">
        <v>538</v>
      </c>
      <c r="AJ854" s="76">
        <v>261420</v>
      </c>
      <c r="AK854" s="76">
        <v>4011</v>
      </c>
      <c r="AL854" s="76" t="b">
        <v>0</v>
      </c>
      <c r="AM854" s="78">
        <v>40351.90042824074</v>
      </c>
      <c r="AN854" s="76" t="s">
        <v>24114</v>
      </c>
      <c r="AO854" s="76" t="s">
        <v>25477</v>
      </c>
      <c r="AP854" s="82" t="str">
        <f>HYPERLINK("https://t.co/0Y06DEZdbt")</f>
        <v>https://t.co/0Y06DEZdbt</v>
      </c>
      <c r="AQ854" s="82" t="str">
        <f>HYPERLINK("https://instagram.com/nbg__")</f>
        <v>https://instagram.com/nbg__</v>
      </c>
      <c r="AR854" s="76" t="s">
        <v>26825</v>
      </c>
      <c r="AS854" s="76"/>
      <c r="AT854" s="76"/>
      <c r="AU854" s="76"/>
      <c r="AV854" s="76">
        <v>1.6050029434591201E+18</v>
      </c>
      <c r="AW854" s="82" t="str">
        <f>HYPERLINK("https://t.co/0Y06DEZdbt")</f>
        <v>https://t.co/0Y06DEZdbt</v>
      </c>
      <c r="AX854" s="76" t="b">
        <v>0</v>
      </c>
      <c r="AY854" s="76"/>
      <c r="AZ854" s="76"/>
      <c r="BA854" s="76" t="b">
        <v>1</v>
      </c>
      <c r="BB854" s="76" t="b">
        <v>1</v>
      </c>
      <c r="BC854" s="76" t="b">
        <v>0</v>
      </c>
      <c r="BD854" s="76" t="b">
        <v>0</v>
      </c>
      <c r="BE854" s="76" t="b">
        <v>1</v>
      </c>
      <c r="BF854" s="76" t="b">
        <v>0</v>
      </c>
      <c r="BG854" s="76" t="b">
        <v>0</v>
      </c>
      <c r="BH854" s="82" t="str">
        <f>HYPERLINK("https://pbs.twimg.com/profile_banners/158497464/1433201137")</f>
        <v>https://pbs.twimg.com/profile_banners/158497464/1433201137</v>
      </c>
      <c r="BI854" s="76"/>
      <c r="BJ854" s="76" t="s">
        <v>27595</v>
      </c>
      <c r="BK854" s="76" t="b">
        <v>0</v>
      </c>
      <c r="BL854" s="76"/>
      <c r="BM854" s="76" t="s">
        <v>65</v>
      </c>
      <c r="BN854" s="76" t="s">
        <v>27597</v>
      </c>
      <c r="BO854" s="82" t="str">
        <f>HYPERLINK("https://twitter.com/nbg__")</f>
        <v>https://twitter.com/nbg__</v>
      </c>
      <c r="BP854" s="2"/>
    </row>
    <row r="855" spans="1:68" x14ac:dyDescent="0.25">
      <c r="A855" s="62" t="s">
        <v>831</v>
      </c>
      <c r="B855" s="63"/>
      <c r="C855" s="63"/>
      <c r="D855" s="64"/>
      <c r="E855" s="66"/>
      <c r="F855" s="103" t="str">
        <f>HYPERLINK("https://pbs.twimg.com/profile_images/2167831865/Logo_FEN_azul_twitter_normal.jpg")</f>
        <v>https://pbs.twimg.com/profile_images/2167831865/Logo_FEN_azul_twitter_normal.jpg</v>
      </c>
      <c r="G855" s="63"/>
      <c r="H855" s="67"/>
      <c r="I855" s="68"/>
      <c r="J855" s="68"/>
      <c r="K855" s="67" t="s">
        <v>28449</v>
      </c>
      <c r="L855" s="71"/>
      <c r="M855" s="72"/>
      <c r="N855" s="72"/>
      <c r="O855" s="73"/>
      <c r="P855" s="74"/>
      <c r="Q855" s="74"/>
      <c r="R855" s="87"/>
      <c r="S855" s="87"/>
      <c r="T855" s="87"/>
      <c r="U855" s="87"/>
      <c r="V855" s="48"/>
      <c r="W855" s="48"/>
      <c r="X855" s="48"/>
      <c r="Y855" s="48"/>
      <c r="Z855" s="47"/>
      <c r="AA855" s="69">
        <v>855</v>
      </c>
      <c r="AB855" s="69"/>
      <c r="AC855" s="70"/>
      <c r="AD855" s="76" t="s">
        <v>22086</v>
      </c>
      <c r="AE855" s="81" t="s">
        <v>23532</v>
      </c>
      <c r="AF855" s="76">
        <v>3502</v>
      </c>
      <c r="AG855" s="76">
        <v>1388</v>
      </c>
      <c r="AH855" s="76">
        <v>6556</v>
      </c>
      <c r="AI855" s="76">
        <v>0</v>
      </c>
      <c r="AJ855" s="76">
        <v>172</v>
      </c>
      <c r="AK855" s="76">
        <v>3344</v>
      </c>
      <c r="AL855" s="76" t="b">
        <v>0</v>
      </c>
      <c r="AM855" s="78">
        <v>41023.669722222221</v>
      </c>
      <c r="AN855" s="76" t="s">
        <v>14386</v>
      </c>
      <c r="AO855" s="76" t="s">
        <v>25478</v>
      </c>
      <c r="AP855" s="82" t="str">
        <f>HYPERLINK("http://t.co/jxN9SyCUx0")</f>
        <v>http://t.co/jxN9SyCUx0</v>
      </c>
      <c r="AQ855" s="82" t="str">
        <f>HYPERLINK("http://negocios.udd.cl")</f>
        <v>http://negocios.udd.cl</v>
      </c>
      <c r="AR855" s="76" t="s">
        <v>26826</v>
      </c>
      <c r="AS855" s="76"/>
      <c r="AT855" s="76"/>
      <c r="AU855" s="76"/>
      <c r="AV855" s="76"/>
      <c r="AW855" s="82" t="str">
        <f>HYPERLINK("http://t.co/jxN9SyCUx0")</f>
        <v>http://t.co/jxN9SyCUx0</v>
      </c>
      <c r="AX855" s="76" t="b">
        <v>0</v>
      </c>
      <c r="AY855" s="76"/>
      <c r="AZ855" s="76"/>
      <c r="BA855" s="76" t="b">
        <v>0</v>
      </c>
      <c r="BB855" s="76" t="b">
        <v>1</v>
      </c>
      <c r="BC855" s="76" t="b">
        <v>0</v>
      </c>
      <c r="BD855" s="76" t="b">
        <v>0</v>
      </c>
      <c r="BE855" s="76" t="b">
        <v>1</v>
      </c>
      <c r="BF855" s="76" t="b">
        <v>0</v>
      </c>
      <c r="BG855" s="76" t="b">
        <v>0</v>
      </c>
      <c r="BH855" s="82" t="str">
        <f>HYPERLINK("https://pbs.twimg.com/profile_banners/562137836/1539183564")</f>
        <v>https://pbs.twimg.com/profile_banners/562137836/1539183564</v>
      </c>
      <c r="BI855" s="76"/>
      <c r="BJ855" s="76" t="s">
        <v>27595</v>
      </c>
      <c r="BK855" s="76" t="b">
        <v>0</v>
      </c>
      <c r="BL855" s="76"/>
      <c r="BM855" s="76" t="s">
        <v>66</v>
      </c>
      <c r="BN855" s="76" t="s">
        <v>27597</v>
      </c>
      <c r="BO855" s="82" t="str">
        <f>HYPERLINK("https://twitter.com/negociosudd")</f>
        <v>https://twitter.com/negociosudd</v>
      </c>
      <c r="BP855" s="2"/>
    </row>
    <row r="856" spans="1:68" x14ac:dyDescent="0.25">
      <c r="A856" s="62" t="s">
        <v>1892</v>
      </c>
      <c r="B856" s="63"/>
      <c r="C856" s="63"/>
      <c r="D856" s="64"/>
      <c r="E856" s="66"/>
      <c r="F856" s="103" t="str">
        <f>HYPERLINK("https://pbs.twimg.com/profile_images/1540019611927777283/3lhoPm62_normal.png")</f>
        <v>https://pbs.twimg.com/profile_images/1540019611927777283/3lhoPm62_normal.png</v>
      </c>
      <c r="G856" s="63"/>
      <c r="H856" s="67"/>
      <c r="I856" s="68"/>
      <c r="J856" s="68"/>
      <c r="K856" s="67" t="s">
        <v>28450</v>
      </c>
      <c r="L856" s="71"/>
      <c r="M856" s="72"/>
      <c r="N856" s="72"/>
      <c r="O856" s="73"/>
      <c r="P856" s="74"/>
      <c r="Q856" s="74"/>
      <c r="R856" s="87"/>
      <c r="S856" s="87"/>
      <c r="T856" s="87"/>
      <c r="U856" s="87"/>
      <c r="V856" s="48"/>
      <c r="W856" s="48"/>
      <c r="X856" s="48"/>
      <c r="Y856" s="48"/>
      <c r="Z856" s="47"/>
      <c r="AA856" s="69">
        <v>856</v>
      </c>
      <c r="AB856" s="69"/>
      <c r="AC856" s="70"/>
      <c r="AD856" s="76" t="s">
        <v>22087</v>
      </c>
      <c r="AE856" s="81" t="s">
        <v>23533</v>
      </c>
      <c r="AF856" s="76">
        <v>4321259</v>
      </c>
      <c r="AG856" s="76">
        <v>15353</v>
      </c>
      <c r="AH856" s="76">
        <v>979869</v>
      </c>
      <c r="AI856" s="76">
        <v>10612</v>
      </c>
      <c r="AJ856" s="76">
        <v>11742</v>
      </c>
      <c r="AK856" s="76">
        <v>211228</v>
      </c>
      <c r="AL856" s="76" t="b">
        <v>0</v>
      </c>
      <c r="AM856" s="78">
        <v>39571.63548611111</v>
      </c>
      <c r="AN856" s="76" t="s">
        <v>14386</v>
      </c>
      <c r="AO856" s="76" t="s">
        <v>25479</v>
      </c>
      <c r="AP856" s="82" t="str">
        <f>HYPERLINK("https://t.co/TZZ7k8ybd9")</f>
        <v>https://t.co/TZZ7k8ybd9</v>
      </c>
      <c r="AQ856" s="82" t="str">
        <f>HYPERLINK("http://www.biobiochile.cl")</f>
        <v>http://www.biobiochile.cl</v>
      </c>
      <c r="AR856" s="76" t="s">
        <v>26827</v>
      </c>
      <c r="AS856" s="76"/>
      <c r="AT856" s="76"/>
      <c r="AU856" s="76"/>
      <c r="AV856" s="76"/>
      <c r="AW856" s="82" t="str">
        <f>HYPERLINK("https://t.co/TZZ7k8ybd9")</f>
        <v>https://t.co/TZZ7k8ybd9</v>
      </c>
      <c r="AX856" s="76" t="b">
        <v>1</v>
      </c>
      <c r="AY856" s="76"/>
      <c r="AZ856" s="76"/>
      <c r="BA856" s="76" t="b">
        <v>0</v>
      </c>
      <c r="BB856" s="76" t="b">
        <v>1</v>
      </c>
      <c r="BC856" s="76" t="b">
        <v>0</v>
      </c>
      <c r="BD856" s="76" t="b">
        <v>0</v>
      </c>
      <c r="BE856" s="76" t="b">
        <v>1</v>
      </c>
      <c r="BF856" s="76" t="b">
        <v>0</v>
      </c>
      <c r="BG856" s="76" t="b">
        <v>0</v>
      </c>
      <c r="BH856" s="82" t="str">
        <f>HYPERLINK("https://pbs.twimg.com/profile_banners/14638581/1693574929")</f>
        <v>https://pbs.twimg.com/profile_banners/14638581/1693574929</v>
      </c>
      <c r="BI856" s="76"/>
      <c r="BJ856" s="76" t="s">
        <v>27595</v>
      </c>
      <c r="BK856" s="76" t="b">
        <v>0</v>
      </c>
      <c r="BL856" s="76"/>
      <c r="BM856" s="76" t="s">
        <v>65</v>
      </c>
      <c r="BN856" s="76" t="s">
        <v>27597</v>
      </c>
      <c r="BO856" s="82" t="str">
        <f>HYPERLINK("https://twitter.com/biobio")</f>
        <v>https://twitter.com/biobio</v>
      </c>
      <c r="BP856" s="2"/>
    </row>
    <row r="857" spans="1:68" x14ac:dyDescent="0.25">
      <c r="A857" s="62" t="s">
        <v>832</v>
      </c>
      <c r="B857" s="63"/>
      <c r="C857" s="63"/>
      <c r="D857" s="64"/>
      <c r="E857" s="66"/>
      <c r="F857" s="103" t="str">
        <f>HYPERLINK("https://pbs.twimg.com/profile_images/1562594520138760192/G5z85uGd_normal.jpg")</f>
        <v>https://pbs.twimg.com/profile_images/1562594520138760192/G5z85uGd_normal.jpg</v>
      </c>
      <c r="G857" s="63"/>
      <c r="H857" s="67"/>
      <c r="I857" s="68"/>
      <c r="J857" s="68"/>
      <c r="K857" s="67" t="s">
        <v>28451</v>
      </c>
      <c r="L857" s="71"/>
      <c r="M857" s="72"/>
      <c r="N857" s="72"/>
      <c r="O857" s="73"/>
      <c r="P857" s="74"/>
      <c r="Q857" s="74"/>
      <c r="R857" s="87"/>
      <c r="S857" s="87"/>
      <c r="T857" s="87"/>
      <c r="U857" s="87"/>
      <c r="V857" s="48"/>
      <c r="W857" s="48"/>
      <c r="X857" s="48"/>
      <c r="Y857" s="48"/>
      <c r="Z857" s="47"/>
      <c r="AA857" s="69">
        <v>857</v>
      </c>
      <c r="AB857" s="69"/>
      <c r="AC857" s="70"/>
      <c r="AD857" s="76" t="s">
        <v>22088</v>
      </c>
      <c r="AE857" s="81" t="s">
        <v>20782</v>
      </c>
      <c r="AF857" s="76">
        <v>94</v>
      </c>
      <c r="AG857" s="76">
        <v>1088</v>
      </c>
      <c r="AH857" s="76">
        <v>1685</v>
      </c>
      <c r="AI857" s="76">
        <v>3</v>
      </c>
      <c r="AJ857" s="76">
        <v>8791</v>
      </c>
      <c r="AK857" s="76">
        <v>194</v>
      </c>
      <c r="AL857" s="76" t="b">
        <v>0</v>
      </c>
      <c r="AM857" s="78">
        <v>44542.511493055557</v>
      </c>
      <c r="AN857" s="76"/>
      <c r="AO857" s="76" t="s">
        <v>25480</v>
      </c>
      <c r="AP857" s="76"/>
      <c r="AQ857" s="76"/>
      <c r="AR857" s="76"/>
      <c r="AS857" s="76"/>
      <c r="AT857" s="76"/>
      <c r="AU857" s="76"/>
      <c r="AV857" s="76">
        <v>1.5016804011479099E+18</v>
      </c>
      <c r="AW857" s="76"/>
      <c r="AX857" s="76" t="b">
        <v>0</v>
      </c>
      <c r="AY857" s="76"/>
      <c r="AZ857" s="76"/>
      <c r="BA857" s="76" t="b">
        <v>0</v>
      </c>
      <c r="BB857" s="76" t="b">
        <v>1</v>
      </c>
      <c r="BC857" s="76" t="b">
        <v>1</v>
      </c>
      <c r="BD857" s="76" t="b">
        <v>0</v>
      </c>
      <c r="BE857" s="76" t="b">
        <v>1</v>
      </c>
      <c r="BF857" s="76" t="b">
        <v>0</v>
      </c>
      <c r="BG857" s="76" t="b">
        <v>0</v>
      </c>
      <c r="BH857" s="82" t="str">
        <f>HYPERLINK("https://pbs.twimg.com/profile_banners/1470004575256068096/1641065666")</f>
        <v>https://pbs.twimg.com/profile_banners/1470004575256068096/1641065666</v>
      </c>
      <c r="BI857" s="76"/>
      <c r="BJ857" s="76" t="s">
        <v>27595</v>
      </c>
      <c r="BK857" s="76" t="b">
        <v>0</v>
      </c>
      <c r="BL857" s="76"/>
      <c r="BM857" s="76" t="s">
        <v>66</v>
      </c>
      <c r="BN857" s="76" t="s">
        <v>27597</v>
      </c>
      <c r="BO857" s="82" t="str">
        <f>HYPERLINK("https://twitter.com/leinsomniac")</f>
        <v>https://twitter.com/leinsomniac</v>
      </c>
      <c r="BP857" s="2"/>
    </row>
    <row r="858" spans="1:68" x14ac:dyDescent="0.25">
      <c r="A858" s="62" t="s">
        <v>1055</v>
      </c>
      <c r="B858" s="63"/>
      <c r="C858" s="63"/>
      <c r="D858" s="64"/>
      <c r="E858" s="66"/>
      <c r="F858" s="103" t="str">
        <f>HYPERLINK("https://pbs.twimg.com/profile_images/1611340721314844674/C-7sVw7-_normal.jpg")</f>
        <v>https://pbs.twimg.com/profile_images/1611340721314844674/C-7sVw7-_normal.jpg</v>
      </c>
      <c r="G858" s="63"/>
      <c r="H858" s="67"/>
      <c r="I858" s="68"/>
      <c r="J858" s="68"/>
      <c r="K858" s="67" t="s">
        <v>28452</v>
      </c>
      <c r="L858" s="71"/>
      <c r="M858" s="72"/>
      <c r="N858" s="72"/>
      <c r="O858" s="73"/>
      <c r="P858" s="74"/>
      <c r="Q858" s="74"/>
      <c r="R858" s="87"/>
      <c r="S858" s="87"/>
      <c r="T858" s="87"/>
      <c r="U858" s="87"/>
      <c r="V858" s="48"/>
      <c r="W858" s="48"/>
      <c r="X858" s="48"/>
      <c r="Y858" s="48"/>
      <c r="Z858" s="47"/>
      <c r="AA858" s="69">
        <v>858</v>
      </c>
      <c r="AB858" s="69"/>
      <c r="AC858" s="70"/>
      <c r="AD858" s="76" t="s">
        <v>22089</v>
      </c>
      <c r="AE858" s="81" t="s">
        <v>23534</v>
      </c>
      <c r="AF858" s="76">
        <v>620386</v>
      </c>
      <c r="AG858" s="76">
        <v>469</v>
      </c>
      <c r="AH858" s="76">
        <v>559220</v>
      </c>
      <c r="AI858" s="76">
        <v>1999</v>
      </c>
      <c r="AJ858" s="76">
        <v>265</v>
      </c>
      <c r="AK858" s="76">
        <v>68171</v>
      </c>
      <c r="AL858" s="76" t="b">
        <v>0</v>
      </c>
      <c r="AM858" s="78">
        <v>39330.127199074072</v>
      </c>
      <c r="AN858" s="76" t="s">
        <v>24154</v>
      </c>
      <c r="AO858" s="76" t="s">
        <v>25481</v>
      </c>
      <c r="AP858" s="82" t="str">
        <f>HYPERLINK("https://t.co/JDO3ba8CdF")</f>
        <v>https://t.co/JDO3ba8CdF</v>
      </c>
      <c r="AQ858" s="82" t="str">
        <f>HYPERLINK("https://expresso.pt")</f>
        <v>https://expresso.pt</v>
      </c>
      <c r="AR858" s="76" t="s">
        <v>8794</v>
      </c>
      <c r="AS858" s="76"/>
      <c r="AT858" s="76"/>
      <c r="AU858" s="76"/>
      <c r="AV858" s="76">
        <v>1.65377597913795E+18</v>
      </c>
      <c r="AW858" s="82" t="str">
        <f>HYPERLINK("https://t.co/JDO3ba8CdF")</f>
        <v>https://t.co/JDO3ba8CdF</v>
      </c>
      <c r="AX858" s="76" t="b">
        <v>0</v>
      </c>
      <c r="AY858" s="76"/>
      <c r="AZ858" s="76"/>
      <c r="BA858" s="76" t="b">
        <v>0</v>
      </c>
      <c r="BB858" s="76" t="b">
        <v>1</v>
      </c>
      <c r="BC858" s="76" t="b">
        <v>0</v>
      </c>
      <c r="BD858" s="76" t="b">
        <v>0</v>
      </c>
      <c r="BE858" s="76" t="b">
        <v>0</v>
      </c>
      <c r="BF858" s="76" t="b">
        <v>0</v>
      </c>
      <c r="BG858" s="76" t="b">
        <v>0</v>
      </c>
      <c r="BH858" s="82" t="str">
        <f>HYPERLINK("https://pbs.twimg.com/profile_banners/8665852/1673008638")</f>
        <v>https://pbs.twimg.com/profile_banners/8665852/1673008638</v>
      </c>
      <c r="BI858" s="76"/>
      <c r="BJ858" s="76" t="s">
        <v>27595</v>
      </c>
      <c r="BK858" s="76" t="b">
        <v>0</v>
      </c>
      <c r="BL858" s="76"/>
      <c r="BM858" s="76" t="s">
        <v>66</v>
      </c>
      <c r="BN858" s="76" t="s">
        <v>27597</v>
      </c>
      <c r="BO858" s="82" t="str">
        <f>HYPERLINK("https://twitter.com/expresso")</f>
        <v>https://twitter.com/expresso</v>
      </c>
      <c r="BP858" s="2"/>
    </row>
    <row r="859" spans="1:68" x14ac:dyDescent="0.25">
      <c r="A859" s="62" t="s">
        <v>833</v>
      </c>
      <c r="B859" s="63"/>
      <c r="C859" s="63"/>
      <c r="D859" s="64"/>
      <c r="E859" s="66"/>
      <c r="F859" s="103" t="str">
        <f>HYPERLINK("https://pbs.twimg.com/profile_images/1587236355255541765/xizHlygQ_normal.jpg")</f>
        <v>https://pbs.twimg.com/profile_images/1587236355255541765/xizHlygQ_normal.jpg</v>
      </c>
      <c r="G859" s="63"/>
      <c r="H859" s="67"/>
      <c r="I859" s="68"/>
      <c r="J859" s="68"/>
      <c r="K859" s="67" t="s">
        <v>28453</v>
      </c>
      <c r="L859" s="71"/>
      <c r="M859" s="72"/>
      <c r="N859" s="72"/>
      <c r="O859" s="73"/>
      <c r="P859" s="74"/>
      <c r="Q859" s="74"/>
      <c r="R859" s="87"/>
      <c r="S859" s="87"/>
      <c r="T859" s="87"/>
      <c r="U859" s="87"/>
      <c r="V859" s="48"/>
      <c r="W859" s="48"/>
      <c r="X859" s="48"/>
      <c r="Y859" s="48"/>
      <c r="Z859" s="47"/>
      <c r="AA859" s="69">
        <v>859</v>
      </c>
      <c r="AB859" s="69"/>
      <c r="AC859" s="70"/>
      <c r="AD859" s="76" t="s">
        <v>22090</v>
      </c>
      <c r="AE859" s="81" t="s">
        <v>20783</v>
      </c>
      <c r="AF859" s="76">
        <v>70</v>
      </c>
      <c r="AG859" s="76">
        <v>222</v>
      </c>
      <c r="AH859" s="76">
        <v>59384</v>
      </c>
      <c r="AI859" s="76">
        <v>0</v>
      </c>
      <c r="AJ859" s="76">
        <v>1007</v>
      </c>
      <c r="AK859" s="76">
        <v>1266</v>
      </c>
      <c r="AL859" s="76" t="b">
        <v>0</v>
      </c>
      <c r="AM859" s="78">
        <v>44812.939108796294</v>
      </c>
      <c r="AN859" s="76"/>
      <c r="AO859" s="76"/>
      <c r="AP859" s="76"/>
      <c r="AQ859" s="76"/>
      <c r="AR859" s="76"/>
      <c r="AS859" s="76"/>
      <c r="AT859" s="76"/>
      <c r="AU859" s="76"/>
      <c r="AV859" s="76"/>
      <c r="AW859" s="76"/>
      <c r="AX859" s="76" t="b">
        <v>0</v>
      </c>
      <c r="AY859" s="76"/>
      <c r="AZ859" s="76"/>
      <c r="BA859" s="76" t="b">
        <v>0</v>
      </c>
      <c r="BB859" s="76" t="b">
        <v>1</v>
      </c>
      <c r="BC859" s="76" t="b">
        <v>1</v>
      </c>
      <c r="BD859" s="76" t="b">
        <v>0</v>
      </c>
      <c r="BE859" s="76" t="b">
        <v>0</v>
      </c>
      <c r="BF859" s="76" t="b">
        <v>0</v>
      </c>
      <c r="BG859" s="76" t="b">
        <v>0</v>
      </c>
      <c r="BH859" s="82" t="str">
        <f>HYPERLINK("https://pbs.twimg.com/profile_banners/1568004252651454464/1662677407")</f>
        <v>https://pbs.twimg.com/profile_banners/1568004252651454464/1662677407</v>
      </c>
      <c r="BI859" s="76"/>
      <c r="BJ859" s="76" t="s">
        <v>27595</v>
      </c>
      <c r="BK859" s="76" t="b">
        <v>0</v>
      </c>
      <c r="BL859" s="76"/>
      <c r="BM859" s="76" t="s">
        <v>66</v>
      </c>
      <c r="BN859" s="76" t="s">
        <v>27597</v>
      </c>
      <c r="BO859" s="82" t="str">
        <f>HYPERLINK("https://twitter.com/jesusde69803209")</f>
        <v>https://twitter.com/jesusde69803209</v>
      </c>
      <c r="BP859" s="2"/>
    </row>
    <row r="860" spans="1:68" x14ac:dyDescent="0.25">
      <c r="A860" s="62" t="s">
        <v>834</v>
      </c>
      <c r="B860" s="63"/>
      <c r="C860" s="63"/>
      <c r="D860" s="64"/>
      <c r="E860" s="66"/>
      <c r="F860" s="103" t="str">
        <f>HYPERLINK("https://pbs.twimg.com/profile_images/1691003147114741760/CtORpLtz_normal.jpg")</f>
        <v>https://pbs.twimg.com/profile_images/1691003147114741760/CtORpLtz_normal.jpg</v>
      </c>
      <c r="G860" s="63"/>
      <c r="H860" s="67"/>
      <c r="I860" s="68"/>
      <c r="J860" s="68"/>
      <c r="K860" s="67" t="s">
        <v>28454</v>
      </c>
      <c r="L860" s="71"/>
      <c r="M860" s="72"/>
      <c r="N860" s="72"/>
      <c r="O860" s="73"/>
      <c r="P860" s="74"/>
      <c r="Q860" s="74"/>
      <c r="R860" s="87"/>
      <c r="S860" s="87"/>
      <c r="T860" s="87"/>
      <c r="U860" s="87"/>
      <c r="V860" s="48"/>
      <c r="W860" s="48"/>
      <c r="X860" s="48"/>
      <c r="Y860" s="48"/>
      <c r="Z860" s="47"/>
      <c r="AA860" s="69">
        <v>860</v>
      </c>
      <c r="AB860" s="69"/>
      <c r="AC860" s="70"/>
      <c r="AD860" s="76" t="s">
        <v>22091</v>
      </c>
      <c r="AE860" s="81" t="s">
        <v>20286</v>
      </c>
      <c r="AF860" s="76">
        <v>2179</v>
      </c>
      <c r="AG860" s="76">
        <v>2697</v>
      </c>
      <c r="AH860" s="76">
        <v>68485</v>
      </c>
      <c r="AI860" s="76">
        <v>41</v>
      </c>
      <c r="AJ860" s="76">
        <v>107003</v>
      </c>
      <c r="AK860" s="76">
        <v>9693</v>
      </c>
      <c r="AL860" s="76" t="b">
        <v>0</v>
      </c>
      <c r="AM860" s="78">
        <v>41510.069016203706</v>
      </c>
      <c r="AN860" s="76" t="s">
        <v>24391</v>
      </c>
      <c r="AO860" s="76" t="s">
        <v>25482</v>
      </c>
      <c r="AP860" s="76"/>
      <c r="AQ860" s="76"/>
      <c r="AR860" s="76"/>
      <c r="AS860" s="76"/>
      <c r="AT860" s="76"/>
      <c r="AU860" s="76"/>
      <c r="AV860" s="76">
        <v>1.7053103446949199E+18</v>
      </c>
      <c r="AW860" s="76"/>
      <c r="AX860" s="76" t="b">
        <v>0</v>
      </c>
      <c r="AY860" s="76"/>
      <c r="AZ860" s="76"/>
      <c r="BA860" s="76" t="b">
        <v>0</v>
      </c>
      <c r="BB860" s="76" t="b">
        <v>1</v>
      </c>
      <c r="BC860" s="76" t="b">
        <v>1</v>
      </c>
      <c r="BD860" s="76" t="b">
        <v>0</v>
      </c>
      <c r="BE860" s="76" t="b">
        <v>1</v>
      </c>
      <c r="BF860" s="76" t="b">
        <v>0</v>
      </c>
      <c r="BG860" s="76" t="b">
        <v>0</v>
      </c>
      <c r="BH860" s="82" t="str">
        <f>HYPERLINK("https://pbs.twimg.com/profile_banners/1695269539/1692361115")</f>
        <v>https://pbs.twimg.com/profile_banners/1695269539/1692361115</v>
      </c>
      <c r="BI860" s="76"/>
      <c r="BJ860" s="76" t="s">
        <v>27595</v>
      </c>
      <c r="BK860" s="76" t="b">
        <v>0</v>
      </c>
      <c r="BL860" s="76"/>
      <c r="BM860" s="76" t="s">
        <v>66</v>
      </c>
      <c r="BN860" s="76" t="s">
        <v>27597</v>
      </c>
      <c r="BO860" s="82" t="str">
        <f>HYPERLINK("https://twitter.com/reservadevalor")</f>
        <v>https://twitter.com/reservadevalor</v>
      </c>
      <c r="BP860" s="2"/>
    </row>
    <row r="861" spans="1:68" x14ac:dyDescent="0.25">
      <c r="A861" s="62" t="s">
        <v>835</v>
      </c>
      <c r="B861" s="63"/>
      <c r="C861" s="63"/>
      <c r="D861" s="64"/>
      <c r="E861" s="66"/>
      <c r="F861" s="103" t="str">
        <f>HYPERLINK("https://pbs.twimg.com/profile_images/1654551803554406401/umBPL-U3_normal.jpg")</f>
        <v>https://pbs.twimg.com/profile_images/1654551803554406401/umBPL-U3_normal.jpg</v>
      </c>
      <c r="G861" s="63"/>
      <c r="H861" s="67"/>
      <c r="I861" s="68"/>
      <c r="J861" s="68"/>
      <c r="K861" s="67" t="s">
        <v>28455</v>
      </c>
      <c r="L861" s="71"/>
      <c r="M861" s="72"/>
      <c r="N861" s="72"/>
      <c r="O861" s="73"/>
      <c r="P861" s="74"/>
      <c r="Q861" s="74"/>
      <c r="R861" s="87"/>
      <c r="S861" s="87"/>
      <c r="T861" s="87"/>
      <c r="U861" s="87"/>
      <c r="V861" s="48"/>
      <c r="W861" s="48"/>
      <c r="X861" s="48"/>
      <c r="Y861" s="48"/>
      <c r="Z861" s="47"/>
      <c r="AA861" s="69">
        <v>861</v>
      </c>
      <c r="AB861" s="69"/>
      <c r="AC861" s="70"/>
      <c r="AD861" s="76" t="s">
        <v>22092</v>
      </c>
      <c r="AE861" s="81" t="s">
        <v>23535</v>
      </c>
      <c r="AF861" s="76">
        <v>39</v>
      </c>
      <c r="AG861" s="76">
        <v>129</v>
      </c>
      <c r="AH861" s="76">
        <v>2025</v>
      </c>
      <c r="AI861" s="76">
        <v>0</v>
      </c>
      <c r="AJ861" s="76">
        <v>2361</v>
      </c>
      <c r="AK861" s="76">
        <v>559</v>
      </c>
      <c r="AL861" s="76" t="b">
        <v>0</v>
      </c>
      <c r="AM861" s="78">
        <v>40666.690555555557</v>
      </c>
      <c r="AN861" s="76"/>
      <c r="AO861" s="76" t="s">
        <v>25483</v>
      </c>
      <c r="AP861" s="76"/>
      <c r="AQ861" s="76"/>
      <c r="AR861" s="76"/>
      <c r="AS861" s="76"/>
      <c r="AT861" s="76"/>
      <c r="AU861" s="76"/>
      <c r="AV861" s="76">
        <v>1.6545653931077499E+18</v>
      </c>
      <c r="AW861" s="76"/>
      <c r="AX861" s="76" t="b">
        <v>0</v>
      </c>
      <c r="AY861" s="76"/>
      <c r="AZ861" s="76"/>
      <c r="BA861" s="76" t="b">
        <v>1</v>
      </c>
      <c r="BB861" s="76" t="b">
        <v>0</v>
      </c>
      <c r="BC861" s="76" t="b">
        <v>0</v>
      </c>
      <c r="BD861" s="76" t="b">
        <v>0</v>
      </c>
      <c r="BE861" s="76" t="b">
        <v>0</v>
      </c>
      <c r="BF861" s="76" t="b">
        <v>0</v>
      </c>
      <c r="BG861" s="76" t="b">
        <v>0</v>
      </c>
      <c r="BH861" s="82" t="str">
        <f>HYPERLINK("https://pbs.twimg.com/profile_banners/292421520/1686790402")</f>
        <v>https://pbs.twimg.com/profile_banners/292421520/1686790402</v>
      </c>
      <c r="BI861" s="76"/>
      <c r="BJ861" s="76" t="s">
        <v>27595</v>
      </c>
      <c r="BK861" s="76" t="b">
        <v>0</v>
      </c>
      <c r="BL861" s="76"/>
      <c r="BM861" s="76" t="s">
        <v>66</v>
      </c>
      <c r="BN861" s="76" t="s">
        <v>27597</v>
      </c>
      <c r="BO861" s="82" t="str">
        <f>HYPERLINK("https://twitter.com/dr_morfeoo")</f>
        <v>https://twitter.com/dr_morfeoo</v>
      </c>
      <c r="BP861" s="2"/>
    </row>
    <row r="862" spans="1:68" x14ac:dyDescent="0.25">
      <c r="A862" s="62" t="s">
        <v>836</v>
      </c>
      <c r="B862" s="63"/>
      <c r="C862" s="63"/>
      <c r="D862" s="64"/>
      <c r="E862" s="66"/>
      <c r="F862" s="103" t="str">
        <f>HYPERLINK("https://pbs.twimg.com/profile_images/1570215371319156737/y2cqv0DV_normal.jpg")</f>
        <v>https://pbs.twimg.com/profile_images/1570215371319156737/y2cqv0DV_normal.jpg</v>
      </c>
      <c r="G862" s="63"/>
      <c r="H862" s="67"/>
      <c r="I862" s="68"/>
      <c r="J862" s="68"/>
      <c r="K862" s="67" t="s">
        <v>28456</v>
      </c>
      <c r="L862" s="71"/>
      <c r="M862" s="72"/>
      <c r="N862" s="72"/>
      <c r="O862" s="73"/>
      <c r="P862" s="74"/>
      <c r="Q862" s="74"/>
      <c r="R862" s="87"/>
      <c r="S862" s="87"/>
      <c r="T862" s="87"/>
      <c r="U862" s="87"/>
      <c r="V862" s="48"/>
      <c r="W862" s="48"/>
      <c r="X862" s="48"/>
      <c r="Y862" s="48"/>
      <c r="Z862" s="47"/>
      <c r="AA862" s="69">
        <v>862</v>
      </c>
      <c r="AB862" s="69"/>
      <c r="AC862" s="70"/>
      <c r="AD862" s="76" t="s">
        <v>22093</v>
      </c>
      <c r="AE862" s="81" t="s">
        <v>23536</v>
      </c>
      <c r="AF862" s="76">
        <v>202146</v>
      </c>
      <c r="AG862" s="76">
        <v>301</v>
      </c>
      <c r="AH862" s="76">
        <v>84527</v>
      </c>
      <c r="AI862" s="76">
        <v>991</v>
      </c>
      <c r="AJ862" s="76">
        <v>141</v>
      </c>
      <c r="AK862" s="76">
        <v>35855</v>
      </c>
      <c r="AL862" s="76" t="b">
        <v>0</v>
      </c>
      <c r="AM862" s="78">
        <v>39772.687094907407</v>
      </c>
      <c r="AN862" s="76" t="s">
        <v>24343</v>
      </c>
      <c r="AO862" s="76" t="s">
        <v>25484</v>
      </c>
      <c r="AP862" s="82" t="str">
        <f>HYPERLINK("https://t.co/R82ul09Tg5")</f>
        <v>https://t.co/R82ul09Tg5</v>
      </c>
      <c r="AQ862" s="82" t="str">
        <f>HYPERLINK("https://www.elfinancierocr.com/")</f>
        <v>https://www.elfinancierocr.com/</v>
      </c>
      <c r="AR862" s="76" t="s">
        <v>8856</v>
      </c>
      <c r="AS862" s="82" t="str">
        <f>HYPERLINK("https://t.co/axHBZyuUdz")</f>
        <v>https://t.co/axHBZyuUdz</v>
      </c>
      <c r="AT862" s="82" t="str">
        <f>HYPERLINK("http://elfinancierocr.com")</f>
        <v>http://elfinancierocr.com</v>
      </c>
      <c r="AU862" s="76" t="s">
        <v>8856</v>
      </c>
      <c r="AV862" s="76"/>
      <c r="AW862" s="82" t="str">
        <f>HYPERLINK("https://t.co/R82ul09Tg5")</f>
        <v>https://t.co/R82ul09Tg5</v>
      </c>
      <c r="AX862" s="76" t="b">
        <v>0</v>
      </c>
      <c r="AY862" s="76"/>
      <c r="AZ862" s="76"/>
      <c r="BA862" s="76" t="b">
        <v>0</v>
      </c>
      <c r="BB862" s="76" t="b">
        <v>1</v>
      </c>
      <c r="BC862" s="76" t="b">
        <v>0</v>
      </c>
      <c r="BD862" s="76" t="b">
        <v>0</v>
      </c>
      <c r="BE862" s="76" t="b">
        <v>1</v>
      </c>
      <c r="BF862" s="76" t="b">
        <v>0</v>
      </c>
      <c r="BG862" s="76" t="b">
        <v>0</v>
      </c>
      <c r="BH862" s="82" t="str">
        <f>HYPERLINK("https://pbs.twimg.com/profile_banners/17514805/1663283410")</f>
        <v>https://pbs.twimg.com/profile_banners/17514805/1663283410</v>
      </c>
      <c r="BI862" s="76"/>
      <c r="BJ862" s="76" t="s">
        <v>27595</v>
      </c>
      <c r="BK862" s="76" t="b">
        <v>0</v>
      </c>
      <c r="BL862" s="76"/>
      <c r="BM862" s="76" t="s">
        <v>66</v>
      </c>
      <c r="BN862" s="76" t="s">
        <v>27597</v>
      </c>
      <c r="BO862" s="82" t="str">
        <f>HYPERLINK("https://twitter.com/elfinancierocr")</f>
        <v>https://twitter.com/elfinancierocr</v>
      </c>
      <c r="BP862" s="2"/>
    </row>
    <row r="863" spans="1:68" x14ac:dyDescent="0.25">
      <c r="A863" s="62" t="s">
        <v>837</v>
      </c>
      <c r="B863" s="63"/>
      <c r="C863" s="63"/>
      <c r="D863" s="64"/>
      <c r="E863" s="66"/>
      <c r="F863" s="103" t="str">
        <f>HYPERLINK("https://pbs.twimg.com/profile_images/1067588277073526784/JzJYg2CR_normal.jpg")</f>
        <v>https://pbs.twimg.com/profile_images/1067588277073526784/JzJYg2CR_normal.jpg</v>
      </c>
      <c r="G863" s="63"/>
      <c r="H863" s="67"/>
      <c r="I863" s="68"/>
      <c r="J863" s="68"/>
      <c r="K863" s="67" t="s">
        <v>28457</v>
      </c>
      <c r="L863" s="71"/>
      <c r="M863" s="72"/>
      <c r="N863" s="72"/>
      <c r="O863" s="73"/>
      <c r="P863" s="74"/>
      <c r="Q863" s="74"/>
      <c r="R863" s="87"/>
      <c r="S863" s="87"/>
      <c r="T863" s="87"/>
      <c r="U863" s="87"/>
      <c r="V863" s="48"/>
      <c r="W863" s="48"/>
      <c r="X863" s="48"/>
      <c r="Y863" s="48"/>
      <c r="Z863" s="47"/>
      <c r="AA863" s="69">
        <v>863</v>
      </c>
      <c r="AB863" s="69"/>
      <c r="AC863" s="70"/>
      <c r="AD863" s="76" t="s">
        <v>22094</v>
      </c>
      <c r="AE863" s="81" t="s">
        <v>20784</v>
      </c>
      <c r="AF863" s="76">
        <v>232</v>
      </c>
      <c r="AG863" s="76">
        <v>36</v>
      </c>
      <c r="AH863" s="76">
        <v>4420</v>
      </c>
      <c r="AI863" s="76">
        <v>2</v>
      </c>
      <c r="AJ863" s="76">
        <v>117</v>
      </c>
      <c r="AK863" s="76">
        <v>122</v>
      </c>
      <c r="AL863" s="76" t="b">
        <v>0</v>
      </c>
      <c r="AM863" s="78">
        <v>43431.705810185187</v>
      </c>
      <c r="AN863" s="76"/>
      <c r="AO863" s="76"/>
      <c r="AP863" s="82" t="str">
        <f>HYPERLINK("https://t.co/X69kz90SfD")</f>
        <v>https://t.co/X69kz90SfD</v>
      </c>
      <c r="AQ863" s="82" t="str">
        <f>HYPERLINK("http://MarianoMorenoNoticias.com.ar")</f>
        <v>http://MarianoMorenoNoticias.com.ar</v>
      </c>
      <c r="AR863" s="76" t="s">
        <v>26828</v>
      </c>
      <c r="AS863" s="76"/>
      <c r="AT863" s="76"/>
      <c r="AU863" s="76"/>
      <c r="AV863" s="76">
        <v>1.07228662974898E+18</v>
      </c>
      <c r="AW863" s="82" t="str">
        <f>HYPERLINK("https://t.co/X69kz90SfD")</f>
        <v>https://t.co/X69kz90SfD</v>
      </c>
      <c r="AX863" s="76" t="b">
        <v>0</v>
      </c>
      <c r="AY863" s="76"/>
      <c r="AZ863" s="76"/>
      <c r="BA863" s="76" t="b">
        <v>0</v>
      </c>
      <c r="BB863" s="76" t="b">
        <v>1</v>
      </c>
      <c r="BC863" s="76" t="b">
        <v>1</v>
      </c>
      <c r="BD863" s="76" t="b">
        <v>0</v>
      </c>
      <c r="BE863" s="76" t="b">
        <v>0</v>
      </c>
      <c r="BF863" s="76" t="b">
        <v>0</v>
      </c>
      <c r="BG863" s="76" t="b">
        <v>0</v>
      </c>
      <c r="BH863" s="82" t="str">
        <f>HYPERLINK("https://pbs.twimg.com/profile_banners/1067462142750859264/1543368869")</f>
        <v>https://pbs.twimg.com/profile_banners/1067462142750859264/1543368869</v>
      </c>
      <c r="BI863" s="76"/>
      <c r="BJ863" s="76" t="s">
        <v>27595</v>
      </c>
      <c r="BK863" s="76" t="b">
        <v>0</v>
      </c>
      <c r="BL863" s="76"/>
      <c r="BM863" s="76" t="s">
        <v>66</v>
      </c>
      <c r="BN863" s="76" t="s">
        <v>27597</v>
      </c>
      <c r="BO863" s="82" t="str">
        <f>HYPERLINK("https://twitter.com/mmorenonoticias")</f>
        <v>https://twitter.com/mmorenonoticias</v>
      </c>
      <c r="BP863" s="2"/>
    </row>
    <row r="864" spans="1:68" x14ac:dyDescent="0.25">
      <c r="A864" s="62" t="s">
        <v>838</v>
      </c>
      <c r="B864" s="63"/>
      <c r="C864" s="63"/>
      <c r="D864" s="64"/>
      <c r="E864" s="66"/>
      <c r="F864" s="103" t="str">
        <f>HYPERLINK("https://pbs.twimg.com/profile_images/1348764367962198016/bOqALDPi_normal.jpg")</f>
        <v>https://pbs.twimg.com/profile_images/1348764367962198016/bOqALDPi_normal.jpg</v>
      </c>
      <c r="G864" s="63"/>
      <c r="H864" s="67"/>
      <c r="I864" s="68"/>
      <c r="J864" s="68"/>
      <c r="K864" s="67" t="s">
        <v>28458</v>
      </c>
      <c r="L864" s="71"/>
      <c r="M864" s="72"/>
      <c r="N864" s="72"/>
      <c r="O864" s="73"/>
      <c r="P864" s="74"/>
      <c r="Q864" s="74"/>
      <c r="R864" s="87"/>
      <c r="S864" s="87"/>
      <c r="T864" s="87"/>
      <c r="U864" s="87"/>
      <c r="V864" s="48"/>
      <c r="W864" s="48"/>
      <c r="X864" s="48"/>
      <c r="Y864" s="48"/>
      <c r="Z864" s="47"/>
      <c r="AA864" s="69">
        <v>864</v>
      </c>
      <c r="AB864" s="69"/>
      <c r="AC864" s="70"/>
      <c r="AD864" s="76" t="s">
        <v>22095</v>
      </c>
      <c r="AE864" s="81" t="s">
        <v>20287</v>
      </c>
      <c r="AF864" s="76">
        <v>211</v>
      </c>
      <c r="AG864" s="76">
        <v>28</v>
      </c>
      <c r="AH864" s="76">
        <v>1935</v>
      </c>
      <c r="AI864" s="76">
        <v>1</v>
      </c>
      <c r="AJ864" s="76">
        <v>3834</v>
      </c>
      <c r="AK864" s="76">
        <v>1290</v>
      </c>
      <c r="AL864" s="76" t="b">
        <v>0</v>
      </c>
      <c r="AM864" s="78">
        <v>44207.949826388889</v>
      </c>
      <c r="AN864" s="76"/>
      <c r="AO864" s="76" t="s">
        <v>25485</v>
      </c>
      <c r="AP864" s="76"/>
      <c r="AQ864" s="76"/>
      <c r="AR864" s="76"/>
      <c r="AS864" s="76"/>
      <c r="AT864" s="76"/>
      <c r="AU864" s="76"/>
      <c r="AV864" s="76"/>
      <c r="AW864" s="76"/>
      <c r="AX864" s="76" t="b">
        <v>0</v>
      </c>
      <c r="AY864" s="76"/>
      <c r="AZ864" s="76"/>
      <c r="BA864" s="76" t="b">
        <v>0</v>
      </c>
      <c r="BB864" s="76" t="b">
        <v>1</v>
      </c>
      <c r="BC864" s="76" t="b">
        <v>1</v>
      </c>
      <c r="BD864" s="76" t="b">
        <v>0</v>
      </c>
      <c r="BE864" s="76" t="b">
        <v>1</v>
      </c>
      <c r="BF864" s="76" t="b">
        <v>0</v>
      </c>
      <c r="BG864" s="76" t="b">
        <v>0</v>
      </c>
      <c r="BH864" s="76"/>
      <c r="BI864" s="76"/>
      <c r="BJ864" s="76" t="s">
        <v>27595</v>
      </c>
      <c r="BK864" s="76" t="b">
        <v>0</v>
      </c>
      <c r="BL864" s="76"/>
      <c r="BM864" s="76" t="s">
        <v>66</v>
      </c>
      <c r="BN864" s="76" t="s">
        <v>27597</v>
      </c>
      <c r="BO864" s="82" t="str">
        <f>HYPERLINK("https://twitter.com/vivaned1")</f>
        <v>https://twitter.com/vivaned1</v>
      </c>
      <c r="BP864" s="2"/>
    </row>
    <row r="865" spans="1:68" x14ac:dyDescent="0.25">
      <c r="A865" s="62" t="s">
        <v>839</v>
      </c>
      <c r="B865" s="63"/>
      <c r="C865" s="63"/>
      <c r="D865" s="64"/>
      <c r="E865" s="66"/>
      <c r="F865" s="103" t="str">
        <f>HYPERLINK("https://pbs.twimg.com/profile_images/1662799395534827520/TkI4YbD2_normal.jpg")</f>
        <v>https://pbs.twimg.com/profile_images/1662799395534827520/TkI4YbD2_normal.jpg</v>
      </c>
      <c r="G865" s="63"/>
      <c r="H865" s="67"/>
      <c r="I865" s="68"/>
      <c r="J865" s="68"/>
      <c r="K865" s="67" t="s">
        <v>28459</v>
      </c>
      <c r="L865" s="71"/>
      <c r="M865" s="72"/>
      <c r="N865" s="72"/>
      <c r="O865" s="73"/>
      <c r="P865" s="74"/>
      <c r="Q865" s="74"/>
      <c r="R865" s="87"/>
      <c r="S865" s="87"/>
      <c r="T865" s="87"/>
      <c r="U865" s="87"/>
      <c r="V865" s="48"/>
      <c r="W865" s="48"/>
      <c r="X865" s="48"/>
      <c r="Y865" s="48"/>
      <c r="Z865" s="47"/>
      <c r="AA865" s="69">
        <v>865</v>
      </c>
      <c r="AB865" s="69"/>
      <c r="AC865" s="70"/>
      <c r="AD865" s="76" t="s">
        <v>22096</v>
      </c>
      <c r="AE865" s="81" t="s">
        <v>23537</v>
      </c>
      <c r="AF865" s="76">
        <v>1465</v>
      </c>
      <c r="AG865" s="76">
        <v>1575</v>
      </c>
      <c r="AH865" s="76">
        <v>4788</v>
      </c>
      <c r="AI865" s="76">
        <v>38</v>
      </c>
      <c r="AJ865" s="76">
        <v>4551</v>
      </c>
      <c r="AK865" s="76">
        <v>2275</v>
      </c>
      <c r="AL865" s="76" t="b">
        <v>0</v>
      </c>
      <c r="AM865" s="78">
        <v>40016.786226851851</v>
      </c>
      <c r="AN865" s="76" t="s">
        <v>14479</v>
      </c>
      <c r="AO865" s="76" t="s">
        <v>25486</v>
      </c>
      <c r="AP865" s="82" t="str">
        <f>HYPERLINK("https://t.co/hHxERfqgCX")</f>
        <v>https://t.co/hHxERfqgCX</v>
      </c>
      <c r="AQ865" s="82" t="str">
        <f>HYPERLINK("http://alessandroguedes.com/")</f>
        <v>http://alessandroguedes.com/</v>
      </c>
      <c r="AR865" s="76" t="s">
        <v>26829</v>
      </c>
      <c r="AS865" s="76"/>
      <c r="AT865" s="76"/>
      <c r="AU865" s="76"/>
      <c r="AV865" s="76">
        <v>1.7074504614002099E+18</v>
      </c>
      <c r="AW865" s="82" t="str">
        <f>HYPERLINK("https://t.co/hHxERfqgCX")</f>
        <v>https://t.co/hHxERfqgCX</v>
      </c>
      <c r="AX865" s="76" t="b">
        <v>0</v>
      </c>
      <c r="AY865" s="76"/>
      <c r="AZ865" s="76"/>
      <c r="BA865" s="76" t="b">
        <v>1</v>
      </c>
      <c r="BB865" s="76" t="b">
        <v>0</v>
      </c>
      <c r="BC865" s="76" t="b">
        <v>0</v>
      </c>
      <c r="BD865" s="76" t="b">
        <v>0</v>
      </c>
      <c r="BE865" s="76" t="b">
        <v>1</v>
      </c>
      <c r="BF865" s="76" t="b">
        <v>0</v>
      </c>
      <c r="BG865" s="76" t="b">
        <v>0</v>
      </c>
      <c r="BH865" s="82" t="str">
        <f>HYPERLINK("https://pbs.twimg.com/profile_banners/59211864/1688991908")</f>
        <v>https://pbs.twimg.com/profile_banners/59211864/1688991908</v>
      </c>
      <c r="BI865" s="76"/>
      <c r="BJ865" s="76" t="s">
        <v>27595</v>
      </c>
      <c r="BK865" s="76" t="b">
        <v>0</v>
      </c>
      <c r="BL865" s="76"/>
      <c r="BM865" s="76" t="s">
        <v>66</v>
      </c>
      <c r="BN865" s="76" t="s">
        <v>27597</v>
      </c>
      <c r="BO865" s="82" t="str">
        <f>HYPERLINK("https://twitter.com/alessandroguede")</f>
        <v>https://twitter.com/alessandroguede</v>
      </c>
      <c r="BP865" s="2"/>
    </row>
    <row r="866" spans="1:68" x14ac:dyDescent="0.25">
      <c r="A866" s="62" t="s">
        <v>1893</v>
      </c>
      <c r="B866" s="63"/>
      <c r="C866" s="63"/>
      <c r="D866" s="64"/>
      <c r="E866" s="66"/>
      <c r="F866" s="103" t="str">
        <f>HYPERLINK("https://pbs.twimg.com/profile_images/1454897943346130947/JttJ58uM_normal.jpg")</f>
        <v>https://pbs.twimg.com/profile_images/1454897943346130947/JttJ58uM_normal.jpg</v>
      </c>
      <c r="G866" s="63"/>
      <c r="H866" s="67"/>
      <c r="I866" s="68"/>
      <c r="J866" s="68"/>
      <c r="K866" s="67" t="s">
        <v>28460</v>
      </c>
      <c r="L866" s="71"/>
      <c r="M866" s="72"/>
      <c r="N866" s="72"/>
      <c r="O866" s="73"/>
      <c r="P866" s="74"/>
      <c r="Q866" s="74"/>
      <c r="R866" s="87"/>
      <c r="S866" s="87"/>
      <c r="T866" s="87"/>
      <c r="U866" s="87"/>
      <c r="V866" s="48"/>
      <c r="W866" s="48"/>
      <c r="X866" s="48"/>
      <c r="Y866" s="48"/>
      <c r="Z866" s="47"/>
      <c r="AA866" s="69">
        <v>866</v>
      </c>
      <c r="AB866" s="69"/>
      <c r="AC866" s="70"/>
      <c r="AD866" s="76" t="s">
        <v>22097</v>
      </c>
      <c r="AE866" s="81" t="s">
        <v>23538</v>
      </c>
      <c r="AF866" s="76">
        <v>39616</v>
      </c>
      <c r="AG866" s="76">
        <v>1303</v>
      </c>
      <c r="AH866" s="76">
        <v>3417</v>
      </c>
      <c r="AI866" s="76">
        <v>307</v>
      </c>
      <c r="AJ866" s="76">
        <v>2890</v>
      </c>
      <c r="AK866" s="76">
        <v>152</v>
      </c>
      <c r="AL866" s="76" t="b">
        <v>0</v>
      </c>
      <c r="AM866" s="78">
        <v>40650.876770833333</v>
      </c>
      <c r="AN866" s="76" t="s">
        <v>14400</v>
      </c>
      <c r="AO866" s="76" t="s">
        <v>25487</v>
      </c>
      <c r="AP866" s="82" t="str">
        <f>HYPERLINK("https://t.co/K5VIomHoZl")</f>
        <v>https://t.co/K5VIomHoZl</v>
      </c>
      <c r="AQ866" s="82" t="str">
        <f>HYPERLINK("http://www.valor.com.br")</f>
        <v>http://www.valor.com.br</v>
      </c>
      <c r="AR866" s="76" t="s">
        <v>26830</v>
      </c>
      <c r="AS866" s="76"/>
      <c r="AT866" s="76"/>
      <c r="AU866" s="76"/>
      <c r="AV866" s="76"/>
      <c r="AW866" s="82" t="str">
        <f>HYPERLINK("https://t.co/K5VIomHoZl")</f>
        <v>https://t.co/K5VIomHoZl</v>
      </c>
      <c r="AX866" s="76" t="b">
        <v>0</v>
      </c>
      <c r="AY866" s="76"/>
      <c r="AZ866" s="76"/>
      <c r="BA866" s="76" t="b">
        <v>0</v>
      </c>
      <c r="BB866" s="76" t="b">
        <v>0</v>
      </c>
      <c r="BC866" s="76" t="b">
        <v>1</v>
      </c>
      <c r="BD866" s="76" t="b">
        <v>0</v>
      </c>
      <c r="BE866" s="76" t="b">
        <v>1</v>
      </c>
      <c r="BF866" s="76" t="b">
        <v>0</v>
      </c>
      <c r="BG866" s="76" t="b">
        <v>0</v>
      </c>
      <c r="BH866" s="82" t="str">
        <f>HYPERLINK("https://pbs.twimg.com/profile_banners/283702864/1594056219")</f>
        <v>https://pbs.twimg.com/profile_banners/283702864/1594056219</v>
      </c>
      <c r="BI866" s="76"/>
      <c r="BJ866" s="76" t="s">
        <v>27595</v>
      </c>
      <c r="BK866" s="76" t="b">
        <v>0</v>
      </c>
      <c r="BL866" s="76"/>
      <c r="BM866" s="76" t="s">
        <v>65</v>
      </c>
      <c r="BN866" s="76" t="s">
        <v>27597</v>
      </c>
      <c r="BO866" s="82" t="str">
        <f>HYPERLINK("https://twitter.com/mcfernandes")</f>
        <v>https://twitter.com/mcfernandes</v>
      </c>
      <c r="BP866" s="2"/>
    </row>
    <row r="867" spans="1:68" x14ac:dyDescent="0.25">
      <c r="A867" s="62" t="s">
        <v>840</v>
      </c>
      <c r="B867" s="63"/>
      <c r="C867" s="63"/>
      <c r="D867" s="64"/>
      <c r="E867" s="66"/>
      <c r="F867" s="103" t="str">
        <f>HYPERLINK("https://pbs.twimg.com/profile_images/1653250790771810307/Bp92l1QI_normal.jpg")</f>
        <v>https://pbs.twimg.com/profile_images/1653250790771810307/Bp92l1QI_normal.jpg</v>
      </c>
      <c r="G867" s="63"/>
      <c r="H867" s="67"/>
      <c r="I867" s="68"/>
      <c r="J867" s="68"/>
      <c r="K867" s="67" t="s">
        <v>28461</v>
      </c>
      <c r="L867" s="71"/>
      <c r="M867" s="72"/>
      <c r="N867" s="72"/>
      <c r="O867" s="73"/>
      <c r="P867" s="74"/>
      <c r="Q867" s="74"/>
      <c r="R867" s="87"/>
      <c r="S867" s="87"/>
      <c r="T867" s="87"/>
      <c r="U867" s="87"/>
      <c r="V867" s="48"/>
      <c r="W867" s="48"/>
      <c r="X867" s="48"/>
      <c r="Y867" s="48"/>
      <c r="Z867" s="47"/>
      <c r="AA867" s="69">
        <v>867</v>
      </c>
      <c r="AB867" s="69"/>
      <c r="AC867" s="70"/>
      <c r="AD867" s="76" t="s">
        <v>22098</v>
      </c>
      <c r="AE867" s="81" t="s">
        <v>20785</v>
      </c>
      <c r="AF867" s="76">
        <v>401</v>
      </c>
      <c r="AG867" s="76">
        <v>1055</v>
      </c>
      <c r="AH867" s="76">
        <v>8406</v>
      </c>
      <c r="AI867" s="76">
        <v>3</v>
      </c>
      <c r="AJ867" s="76">
        <v>18086</v>
      </c>
      <c r="AK867" s="76">
        <v>83</v>
      </c>
      <c r="AL867" s="76" t="b">
        <v>0</v>
      </c>
      <c r="AM867" s="78">
        <v>44815.11755787037</v>
      </c>
      <c r="AN867" s="76"/>
      <c r="AO867" s="76"/>
      <c r="AP867" s="76"/>
      <c r="AQ867" s="76"/>
      <c r="AR867" s="76"/>
      <c r="AS867" s="76"/>
      <c r="AT867" s="76"/>
      <c r="AU867" s="76"/>
      <c r="AV867" s="76"/>
      <c r="AW867" s="76"/>
      <c r="AX867" s="76" t="b">
        <v>0</v>
      </c>
      <c r="AY867" s="76"/>
      <c r="AZ867" s="76"/>
      <c r="BA867" s="76" t="b">
        <v>0</v>
      </c>
      <c r="BB867" s="76" t="b">
        <v>1</v>
      </c>
      <c r="BC867" s="76" t="b">
        <v>1</v>
      </c>
      <c r="BD867" s="76" t="b">
        <v>0</v>
      </c>
      <c r="BE867" s="76" t="b">
        <v>1</v>
      </c>
      <c r="BF867" s="76" t="b">
        <v>0</v>
      </c>
      <c r="BG867" s="76" t="b">
        <v>0</v>
      </c>
      <c r="BH867" s="76"/>
      <c r="BI867" s="76"/>
      <c r="BJ867" s="76" t="s">
        <v>27595</v>
      </c>
      <c r="BK867" s="76" t="b">
        <v>0</v>
      </c>
      <c r="BL867" s="76"/>
      <c r="BM867" s="76" t="s">
        <v>66</v>
      </c>
      <c r="BN867" s="76" t="s">
        <v>27597</v>
      </c>
      <c r="BO867" s="82" t="str">
        <f>HYPERLINK("https://twitter.com/pguerreiro97")</f>
        <v>https://twitter.com/pguerreiro97</v>
      </c>
      <c r="BP867" s="2"/>
    </row>
    <row r="868" spans="1:68" x14ac:dyDescent="0.25">
      <c r="A868" s="62" t="s">
        <v>841</v>
      </c>
      <c r="B868" s="63"/>
      <c r="C868" s="63"/>
      <c r="D868" s="64"/>
      <c r="E868" s="66"/>
      <c r="F868" s="103" t="str">
        <f>HYPERLINK("https://pbs.twimg.com/profile_images/1705426040443551744/Tdci0ymF_normal.jpg")</f>
        <v>https://pbs.twimg.com/profile_images/1705426040443551744/Tdci0ymF_normal.jpg</v>
      </c>
      <c r="G868" s="63"/>
      <c r="H868" s="67"/>
      <c r="I868" s="68"/>
      <c r="J868" s="68"/>
      <c r="K868" s="67" t="s">
        <v>28462</v>
      </c>
      <c r="L868" s="71"/>
      <c r="M868" s="72"/>
      <c r="N868" s="72"/>
      <c r="O868" s="73"/>
      <c r="P868" s="74"/>
      <c r="Q868" s="74"/>
      <c r="R868" s="87"/>
      <c r="S868" s="87"/>
      <c r="T868" s="87"/>
      <c r="U868" s="87"/>
      <c r="V868" s="48"/>
      <c r="W868" s="48"/>
      <c r="X868" s="48"/>
      <c r="Y868" s="48"/>
      <c r="Z868" s="47"/>
      <c r="AA868" s="69">
        <v>868</v>
      </c>
      <c r="AB868" s="69"/>
      <c r="AC868" s="70"/>
      <c r="AD868" s="76" t="s">
        <v>22099</v>
      </c>
      <c r="AE868" s="81" t="s">
        <v>20786</v>
      </c>
      <c r="AF868" s="76">
        <v>13806</v>
      </c>
      <c r="AG868" s="76">
        <v>14030</v>
      </c>
      <c r="AH868" s="76">
        <v>19626</v>
      </c>
      <c r="AI868" s="76">
        <v>4</v>
      </c>
      <c r="AJ868" s="76">
        <v>28136</v>
      </c>
      <c r="AK868" s="76">
        <v>2993</v>
      </c>
      <c r="AL868" s="76" t="b">
        <v>0</v>
      </c>
      <c r="AM868" s="78">
        <v>44843.142164351855</v>
      </c>
      <c r="AN868" s="76" t="s">
        <v>14400</v>
      </c>
      <c r="AO868" s="76" t="s">
        <v>25488</v>
      </c>
      <c r="AP868" s="76"/>
      <c r="AQ868" s="76"/>
      <c r="AR868" s="76"/>
      <c r="AS868" s="76"/>
      <c r="AT868" s="76"/>
      <c r="AU868" s="76"/>
      <c r="AV868" s="76">
        <v>1.6894679291614999E+18</v>
      </c>
      <c r="AW868" s="76"/>
      <c r="AX868" s="76" t="b">
        <v>0</v>
      </c>
      <c r="AY868" s="76"/>
      <c r="AZ868" s="76"/>
      <c r="BA868" s="76" t="b">
        <v>1</v>
      </c>
      <c r="BB868" s="76" t="b">
        <v>1</v>
      </c>
      <c r="BC868" s="76" t="b">
        <v>1</v>
      </c>
      <c r="BD868" s="76" t="b">
        <v>0</v>
      </c>
      <c r="BE868" s="76" t="b">
        <v>0</v>
      </c>
      <c r="BF868" s="76" t="b">
        <v>0</v>
      </c>
      <c r="BG868" s="76" t="b">
        <v>0</v>
      </c>
      <c r="BH868" s="82" t="str">
        <f>HYPERLINK("https://pbs.twimg.com/profile_banners/1578949437182853122/1681831568")</f>
        <v>https://pbs.twimg.com/profile_banners/1578949437182853122/1681831568</v>
      </c>
      <c r="BI868" s="76"/>
      <c r="BJ868" s="76" t="s">
        <v>27595</v>
      </c>
      <c r="BK868" s="76" t="b">
        <v>0</v>
      </c>
      <c r="BL868" s="76"/>
      <c r="BM868" s="76" t="s">
        <v>66</v>
      </c>
      <c r="BN868" s="76" t="s">
        <v>27597</v>
      </c>
      <c r="BO868" s="82" t="str">
        <f>HYPERLINK("https://twitter.com/zilafusaro7")</f>
        <v>https://twitter.com/zilafusaro7</v>
      </c>
      <c r="BP868" s="2"/>
    </row>
    <row r="869" spans="1:68" x14ac:dyDescent="0.25">
      <c r="A869" s="62" t="s">
        <v>842</v>
      </c>
      <c r="B869" s="63"/>
      <c r="C869" s="63"/>
      <c r="D869" s="64"/>
      <c r="E869" s="66"/>
      <c r="F869" s="103" t="str">
        <f>HYPERLINK("https://pbs.twimg.com/profile_images/1436901543962464260/qpkNI8dD_normal.jpg")</f>
        <v>https://pbs.twimg.com/profile_images/1436901543962464260/qpkNI8dD_normal.jpg</v>
      </c>
      <c r="G869" s="63"/>
      <c r="H869" s="67"/>
      <c r="I869" s="68"/>
      <c r="J869" s="68"/>
      <c r="K869" s="67" t="s">
        <v>28463</v>
      </c>
      <c r="L869" s="71"/>
      <c r="M869" s="72"/>
      <c r="N869" s="72"/>
      <c r="O869" s="73"/>
      <c r="P869" s="74"/>
      <c r="Q869" s="74"/>
      <c r="R869" s="87"/>
      <c r="S869" s="87"/>
      <c r="T869" s="87"/>
      <c r="U869" s="87"/>
      <c r="V869" s="48"/>
      <c r="W869" s="48"/>
      <c r="X869" s="48"/>
      <c r="Y869" s="48"/>
      <c r="Z869" s="47"/>
      <c r="AA869" s="69">
        <v>869</v>
      </c>
      <c r="AB869" s="69"/>
      <c r="AC869" s="70"/>
      <c r="AD869" s="76" t="s">
        <v>22100</v>
      </c>
      <c r="AE869" s="81" t="s">
        <v>23539</v>
      </c>
      <c r="AF869" s="76">
        <v>88</v>
      </c>
      <c r="AG869" s="76">
        <v>79</v>
      </c>
      <c r="AH869" s="76">
        <v>315</v>
      </c>
      <c r="AI869" s="76">
        <v>0</v>
      </c>
      <c r="AJ869" s="76">
        <v>66</v>
      </c>
      <c r="AK869" s="76">
        <v>53</v>
      </c>
      <c r="AL869" s="76" t="b">
        <v>0</v>
      </c>
      <c r="AM869" s="78">
        <v>40319.191747685189</v>
      </c>
      <c r="AN869" s="76" t="s">
        <v>24392</v>
      </c>
      <c r="AO869" s="76" t="s">
        <v>25489</v>
      </c>
      <c r="AP869" s="76"/>
      <c r="AQ869" s="76"/>
      <c r="AR869" s="76"/>
      <c r="AS869" s="76"/>
      <c r="AT869" s="76"/>
      <c r="AU869" s="76"/>
      <c r="AV869" s="76"/>
      <c r="AW869" s="76"/>
      <c r="AX869" s="76" t="b">
        <v>0</v>
      </c>
      <c r="AY869" s="76"/>
      <c r="AZ869" s="76"/>
      <c r="BA869" s="76" t="b">
        <v>0</v>
      </c>
      <c r="BB869" s="76" t="b">
        <v>1</v>
      </c>
      <c r="BC869" s="76" t="b">
        <v>1</v>
      </c>
      <c r="BD869" s="76" t="b">
        <v>0</v>
      </c>
      <c r="BE869" s="76" t="b">
        <v>0</v>
      </c>
      <c r="BF869" s="76" t="b">
        <v>0</v>
      </c>
      <c r="BG869" s="76" t="b">
        <v>0</v>
      </c>
      <c r="BH869" s="82" t="str">
        <f>HYPERLINK("https://pbs.twimg.com/profile_banners/146325983/1631418998")</f>
        <v>https://pbs.twimg.com/profile_banners/146325983/1631418998</v>
      </c>
      <c r="BI869" s="76"/>
      <c r="BJ869" s="76" t="s">
        <v>27595</v>
      </c>
      <c r="BK869" s="76" t="b">
        <v>0</v>
      </c>
      <c r="BL869" s="76"/>
      <c r="BM869" s="76" t="s">
        <v>66</v>
      </c>
      <c r="BN869" s="76" t="s">
        <v>27597</v>
      </c>
      <c r="BO869" s="82" t="str">
        <f>HYPERLINK("https://twitter.com/yasnahm")</f>
        <v>https://twitter.com/yasnahm</v>
      </c>
      <c r="BP869" s="2"/>
    </row>
    <row r="870" spans="1:68" x14ac:dyDescent="0.25">
      <c r="A870" s="62" t="s">
        <v>843</v>
      </c>
      <c r="B870" s="63"/>
      <c r="C870" s="63"/>
      <c r="D870" s="64"/>
      <c r="E870" s="66"/>
      <c r="F870" s="103" t="str">
        <f>HYPERLINK("https://pbs.twimg.com/profile_images/1670573134037090308/6y5uXQN-_normal.jpg")</f>
        <v>https://pbs.twimg.com/profile_images/1670573134037090308/6y5uXQN-_normal.jpg</v>
      </c>
      <c r="G870" s="63"/>
      <c r="H870" s="67"/>
      <c r="I870" s="68"/>
      <c r="J870" s="68"/>
      <c r="K870" s="67" t="s">
        <v>28464</v>
      </c>
      <c r="L870" s="71"/>
      <c r="M870" s="72"/>
      <c r="N870" s="72"/>
      <c r="O870" s="73"/>
      <c r="P870" s="74"/>
      <c r="Q870" s="74"/>
      <c r="R870" s="87"/>
      <c r="S870" s="87"/>
      <c r="T870" s="87"/>
      <c r="U870" s="87"/>
      <c r="V870" s="48"/>
      <c r="W870" s="48"/>
      <c r="X870" s="48"/>
      <c r="Y870" s="48"/>
      <c r="Z870" s="47"/>
      <c r="AA870" s="69">
        <v>870</v>
      </c>
      <c r="AB870" s="69"/>
      <c r="AC870" s="70"/>
      <c r="AD870" s="76" t="s">
        <v>22101</v>
      </c>
      <c r="AE870" s="81" t="s">
        <v>20787</v>
      </c>
      <c r="AF870" s="76">
        <v>0</v>
      </c>
      <c r="AG870" s="76">
        <v>8</v>
      </c>
      <c r="AH870" s="76">
        <v>5</v>
      </c>
      <c r="AI870" s="76">
        <v>0</v>
      </c>
      <c r="AJ870" s="76">
        <v>2</v>
      </c>
      <c r="AK870" s="76">
        <v>0</v>
      </c>
      <c r="AL870" s="76" t="b">
        <v>0</v>
      </c>
      <c r="AM870" s="78">
        <v>45051.085474537038</v>
      </c>
      <c r="AN870" s="76" t="s">
        <v>24393</v>
      </c>
      <c r="AO870" s="76" t="s">
        <v>25490</v>
      </c>
      <c r="AP870" s="76"/>
      <c r="AQ870" s="76"/>
      <c r="AR870" s="76"/>
      <c r="AS870" s="76"/>
      <c r="AT870" s="76"/>
      <c r="AU870" s="76"/>
      <c r="AV870" s="76">
        <v>1.66333915264387E+18</v>
      </c>
      <c r="AW870" s="76"/>
      <c r="AX870" s="76" t="b">
        <v>0</v>
      </c>
      <c r="AY870" s="76"/>
      <c r="AZ870" s="76"/>
      <c r="BA870" s="76" t="b">
        <v>0</v>
      </c>
      <c r="BB870" s="76" t="b">
        <v>1</v>
      </c>
      <c r="BC870" s="76" t="b">
        <v>1</v>
      </c>
      <c r="BD870" s="76" t="b">
        <v>0</v>
      </c>
      <c r="BE870" s="76" t="b">
        <v>0</v>
      </c>
      <c r="BF870" s="76" t="b">
        <v>0</v>
      </c>
      <c r="BG870" s="76" t="b">
        <v>0</v>
      </c>
      <c r="BH870" s="82" t="str">
        <f>HYPERLINK("https://pbs.twimg.com/profile_banners/1654305620814622721/1687127836")</f>
        <v>https://pbs.twimg.com/profile_banners/1654305620814622721/1687127836</v>
      </c>
      <c r="BI870" s="76"/>
      <c r="BJ870" s="76" t="s">
        <v>27595</v>
      </c>
      <c r="BK870" s="76" t="b">
        <v>0</v>
      </c>
      <c r="BL870" s="76"/>
      <c r="BM870" s="76" t="s">
        <v>66</v>
      </c>
      <c r="BN870" s="76" t="s">
        <v>27597</v>
      </c>
      <c r="BO870" s="82" t="str">
        <f>HYPERLINK("https://twitter.com/drconsultingsrl")</f>
        <v>https://twitter.com/drconsultingsrl</v>
      </c>
      <c r="BP870" s="2"/>
    </row>
    <row r="871" spans="1:68" x14ac:dyDescent="0.25">
      <c r="A871" s="62" t="s">
        <v>844</v>
      </c>
      <c r="B871" s="63"/>
      <c r="C871" s="63"/>
      <c r="D871" s="64"/>
      <c r="E871" s="66"/>
      <c r="F871" s="103" t="str">
        <f>HYPERLINK("https://pbs.twimg.com/profile_images/998335927897341952/HMuCIvKi_normal.jpg")</f>
        <v>https://pbs.twimg.com/profile_images/998335927897341952/HMuCIvKi_normal.jpg</v>
      </c>
      <c r="G871" s="63"/>
      <c r="H871" s="67"/>
      <c r="I871" s="68"/>
      <c r="J871" s="68"/>
      <c r="K871" s="67" t="s">
        <v>28465</v>
      </c>
      <c r="L871" s="71"/>
      <c r="M871" s="72"/>
      <c r="N871" s="72"/>
      <c r="O871" s="73"/>
      <c r="P871" s="74"/>
      <c r="Q871" s="74"/>
      <c r="R871" s="87"/>
      <c r="S871" s="87"/>
      <c r="T871" s="87"/>
      <c r="U871" s="87"/>
      <c r="V871" s="48"/>
      <c r="W871" s="48"/>
      <c r="X871" s="48"/>
      <c r="Y871" s="48"/>
      <c r="Z871" s="47"/>
      <c r="AA871" s="69">
        <v>871</v>
      </c>
      <c r="AB871" s="69"/>
      <c r="AC871" s="70"/>
      <c r="AD871" s="76" t="s">
        <v>22102</v>
      </c>
      <c r="AE871" s="81" t="s">
        <v>23540</v>
      </c>
      <c r="AF871" s="76">
        <v>1758</v>
      </c>
      <c r="AG871" s="76">
        <v>4769</v>
      </c>
      <c r="AH871" s="76">
        <v>107686</v>
      </c>
      <c r="AI871" s="76">
        <v>1</v>
      </c>
      <c r="AJ871" s="76">
        <v>16268</v>
      </c>
      <c r="AK871" s="76">
        <v>7292</v>
      </c>
      <c r="AL871" s="76" t="b">
        <v>0</v>
      </c>
      <c r="AM871" s="78">
        <v>40332.897337962961</v>
      </c>
      <c r="AN871" s="76"/>
      <c r="AO871" s="76"/>
      <c r="AP871" s="76"/>
      <c r="AQ871" s="76"/>
      <c r="AR871" s="76"/>
      <c r="AS871" s="76"/>
      <c r="AT871" s="76"/>
      <c r="AU871" s="76"/>
      <c r="AV871" s="76">
        <v>1.3520778836578701E+18</v>
      </c>
      <c r="AW871" s="76"/>
      <c r="AX871" s="76" t="b">
        <v>0</v>
      </c>
      <c r="AY871" s="76"/>
      <c r="AZ871" s="76"/>
      <c r="BA871" s="76" t="b">
        <v>1</v>
      </c>
      <c r="BB871" s="76" t="b">
        <v>0</v>
      </c>
      <c r="BC871" s="76" t="b">
        <v>0</v>
      </c>
      <c r="BD871" s="76" t="b">
        <v>0</v>
      </c>
      <c r="BE871" s="76" t="b">
        <v>0</v>
      </c>
      <c r="BF871" s="76" t="b">
        <v>0</v>
      </c>
      <c r="BG871" s="76" t="b">
        <v>1</v>
      </c>
      <c r="BH871" s="82" t="str">
        <f>HYPERLINK("https://pbs.twimg.com/profile_banners/151627290/1543880278")</f>
        <v>https://pbs.twimg.com/profile_banners/151627290/1543880278</v>
      </c>
      <c r="BI871" s="76"/>
      <c r="BJ871" s="76" t="s">
        <v>27595</v>
      </c>
      <c r="BK871" s="76" t="b">
        <v>0</v>
      </c>
      <c r="BL871" s="76"/>
      <c r="BM871" s="76" t="s">
        <v>66</v>
      </c>
      <c r="BN871" s="76" t="s">
        <v>27597</v>
      </c>
      <c r="BO871" s="82" t="str">
        <f>HYPERLINK("https://twitter.com/1erjadiaz")</f>
        <v>https://twitter.com/1erjadiaz</v>
      </c>
      <c r="BP871" s="2"/>
    </row>
    <row r="872" spans="1:68" x14ac:dyDescent="0.25">
      <c r="A872" s="62" t="s">
        <v>955</v>
      </c>
      <c r="B872" s="63"/>
      <c r="C872" s="63"/>
      <c r="D872" s="64"/>
      <c r="E872" s="66"/>
      <c r="F872" s="103" t="str">
        <f>HYPERLINK("https://pbs.twimg.com/profile_images/1615693563676835841/UMUkqEGb_normal.jpg")</f>
        <v>https://pbs.twimg.com/profile_images/1615693563676835841/UMUkqEGb_normal.jpg</v>
      </c>
      <c r="G872" s="63"/>
      <c r="H872" s="67"/>
      <c r="I872" s="68"/>
      <c r="J872" s="68"/>
      <c r="K872" s="67" t="s">
        <v>28466</v>
      </c>
      <c r="L872" s="71"/>
      <c r="M872" s="72"/>
      <c r="N872" s="72"/>
      <c r="O872" s="73"/>
      <c r="P872" s="74"/>
      <c r="Q872" s="74"/>
      <c r="R872" s="87"/>
      <c r="S872" s="87"/>
      <c r="T872" s="87"/>
      <c r="U872" s="87"/>
      <c r="V872" s="48"/>
      <c r="W872" s="48"/>
      <c r="X872" s="48"/>
      <c r="Y872" s="48"/>
      <c r="Z872" s="47"/>
      <c r="AA872" s="69">
        <v>872</v>
      </c>
      <c r="AB872" s="69"/>
      <c r="AC872" s="70"/>
      <c r="AD872" s="76" t="s">
        <v>22103</v>
      </c>
      <c r="AE872" s="81" t="s">
        <v>23541</v>
      </c>
      <c r="AF872" s="76">
        <v>224404</v>
      </c>
      <c r="AG872" s="76">
        <v>3875</v>
      </c>
      <c r="AH872" s="76">
        <v>304503</v>
      </c>
      <c r="AI872" s="76">
        <v>2587</v>
      </c>
      <c r="AJ872" s="76">
        <v>415</v>
      </c>
      <c r="AK872" s="76">
        <v>97094</v>
      </c>
      <c r="AL872" s="76" t="b">
        <v>0</v>
      </c>
      <c r="AM872" s="78">
        <v>40029.529502314814</v>
      </c>
      <c r="AN872" s="76" t="s">
        <v>14385</v>
      </c>
      <c r="AO872" s="76" t="s">
        <v>25491</v>
      </c>
      <c r="AP872" s="82" t="str">
        <f>HYPERLINK("https://t.co/kWER3hSa15")</f>
        <v>https://t.co/kWER3hSa15</v>
      </c>
      <c r="AQ872" s="82" t="str">
        <f>HYPERLINK("http://www.Cronista.com")</f>
        <v>http://www.Cronista.com</v>
      </c>
      <c r="AR872" s="76" t="s">
        <v>26831</v>
      </c>
      <c r="AS872" s="76"/>
      <c r="AT872" s="76"/>
      <c r="AU872" s="76"/>
      <c r="AV872" s="76"/>
      <c r="AW872" s="82" t="str">
        <f>HYPERLINK("https://t.co/kWER3hSa15")</f>
        <v>https://t.co/kWER3hSa15</v>
      </c>
      <c r="AX872" s="76" t="b">
        <v>1</v>
      </c>
      <c r="AY872" s="76"/>
      <c r="AZ872" s="76"/>
      <c r="BA872" s="76" t="b">
        <v>0</v>
      </c>
      <c r="BB872" s="76" t="b">
        <v>1</v>
      </c>
      <c r="BC872" s="76" t="b">
        <v>0</v>
      </c>
      <c r="BD872" s="76" t="b">
        <v>0</v>
      </c>
      <c r="BE872" s="76" t="b">
        <v>1</v>
      </c>
      <c r="BF872" s="76" t="b">
        <v>0</v>
      </c>
      <c r="BG872" s="76" t="b">
        <v>0</v>
      </c>
      <c r="BH872" s="82" t="str">
        <f>HYPERLINK("https://pbs.twimg.com/profile_banners/62806842/1681485233")</f>
        <v>https://pbs.twimg.com/profile_banners/62806842/1681485233</v>
      </c>
      <c r="BI872" s="76"/>
      <c r="BJ872" s="76" t="s">
        <v>27595</v>
      </c>
      <c r="BK872" s="76" t="b">
        <v>0</v>
      </c>
      <c r="BL872" s="76"/>
      <c r="BM872" s="76" t="s">
        <v>66</v>
      </c>
      <c r="BN872" s="76" t="s">
        <v>27597</v>
      </c>
      <c r="BO872" s="82" t="str">
        <f>HYPERLINK("https://twitter.com/cronistacom")</f>
        <v>https://twitter.com/cronistacom</v>
      </c>
      <c r="BP872" s="2"/>
    </row>
    <row r="873" spans="1:68" x14ac:dyDescent="0.25">
      <c r="A873" s="62" t="s">
        <v>845</v>
      </c>
      <c r="B873" s="63"/>
      <c r="C873" s="63"/>
      <c r="D873" s="64"/>
      <c r="E873" s="66"/>
      <c r="F873" s="103" t="str">
        <f>HYPERLINK("https://pbs.twimg.com/profile_images/1602108157823787008/iE1fRkx5_normal.jpg")</f>
        <v>https://pbs.twimg.com/profile_images/1602108157823787008/iE1fRkx5_normal.jpg</v>
      </c>
      <c r="G873" s="63"/>
      <c r="H873" s="67"/>
      <c r="I873" s="68"/>
      <c r="J873" s="68"/>
      <c r="K873" s="67" t="s">
        <v>28467</v>
      </c>
      <c r="L873" s="71"/>
      <c r="M873" s="72"/>
      <c r="N873" s="72"/>
      <c r="O873" s="73"/>
      <c r="P873" s="74"/>
      <c r="Q873" s="74"/>
      <c r="R873" s="87"/>
      <c r="S873" s="87"/>
      <c r="T873" s="87"/>
      <c r="U873" s="87"/>
      <c r="V873" s="48"/>
      <c r="W873" s="48"/>
      <c r="X873" s="48"/>
      <c r="Y873" s="48"/>
      <c r="Z873" s="47"/>
      <c r="AA873" s="69">
        <v>873</v>
      </c>
      <c r="AB873" s="69"/>
      <c r="AC873" s="70"/>
      <c r="AD873" s="76" t="s">
        <v>845</v>
      </c>
      <c r="AE873" s="81" t="s">
        <v>20788</v>
      </c>
      <c r="AF873" s="76">
        <v>25</v>
      </c>
      <c r="AG873" s="76">
        <v>151</v>
      </c>
      <c r="AH873" s="76">
        <v>1142</v>
      </c>
      <c r="AI873" s="76">
        <v>0</v>
      </c>
      <c r="AJ873" s="76">
        <v>1</v>
      </c>
      <c r="AK873" s="76">
        <v>1102</v>
      </c>
      <c r="AL873" s="76" t="b">
        <v>0</v>
      </c>
      <c r="AM873" s="78">
        <v>44907.047511574077</v>
      </c>
      <c r="AN873" s="76" t="s">
        <v>24394</v>
      </c>
      <c r="AO873" s="76" t="s">
        <v>25492</v>
      </c>
      <c r="AP873" s="82" t="str">
        <f>HYPERLINK("https://t.co/f1tDTpcqld")</f>
        <v>https://t.co/f1tDTpcqld</v>
      </c>
      <c r="AQ873" s="82" t="str">
        <f>HYPERLINK("http://www.revistaforex.com")</f>
        <v>http://www.revistaforex.com</v>
      </c>
      <c r="AR873" s="76" t="s">
        <v>26832</v>
      </c>
      <c r="AS873" s="82" t="str">
        <f>HYPERLINK("https://t.co/hX2CMuAHZM")</f>
        <v>https://t.co/hX2CMuAHZM</v>
      </c>
      <c r="AT873" s="82" t="str">
        <f>HYPERLINK("https://t.me/revistaforex")</f>
        <v>https://t.me/revistaforex</v>
      </c>
      <c r="AU873" s="76" t="s">
        <v>27504</v>
      </c>
      <c r="AV873" s="76"/>
      <c r="AW873" s="82" t="str">
        <f>HYPERLINK("https://t.co/f1tDTpcqld")</f>
        <v>https://t.co/f1tDTpcqld</v>
      </c>
      <c r="AX873" s="76" t="b">
        <v>0</v>
      </c>
      <c r="AY873" s="76"/>
      <c r="AZ873" s="76"/>
      <c r="BA873" s="76" t="b">
        <v>0</v>
      </c>
      <c r="BB873" s="76" t="b">
        <v>1</v>
      </c>
      <c r="BC873" s="76" t="b">
        <v>1</v>
      </c>
      <c r="BD873" s="76" t="b">
        <v>0</v>
      </c>
      <c r="BE873" s="76" t="b">
        <v>0</v>
      </c>
      <c r="BF873" s="76" t="b">
        <v>0</v>
      </c>
      <c r="BG873" s="76" t="b">
        <v>0</v>
      </c>
      <c r="BH873" s="82" t="str">
        <f>HYPERLINK("https://pbs.twimg.com/profile_banners/1602107963312840706/1670807955")</f>
        <v>https://pbs.twimg.com/profile_banners/1602107963312840706/1670807955</v>
      </c>
      <c r="BI873" s="76"/>
      <c r="BJ873" s="76" t="s">
        <v>27595</v>
      </c>
      <c r="BK873" s="76" t="b">
        <v>0</v>
      </c>
      <c r="BL873" s="76"/>
      <c r="BM873" s="76" t="s">
        <v>66</v>
      </c>
      <c r="BN873" s="76" t="s">
        <v>27597</v>
      </c>
      <c r="BO873" s="82" t="str">
        <f>HYPERLINK("https://twitter.com/revistaforex")</f>
        <v>https://twitter.com/revistaforex</v>
      </c>
      <c r="BP873" s="2"/>
    </row>
    <row r="874" spans="1:68" x14ac:dyDescent="0.25">
      <c r="A874" s="62" t="s">
        <v>846</v>
      </c>
      <c r="B874" s="63"/>
      <c r="C874" s="63"/>
      <c r="D874" s="64"/>
      <c r="E874" s="66"/>
      <c r="F874" s="103" t="str">
        <f>HYPERLINK("https://pbs.twimg.com/profile_images/1641138641735909384/jBVBKD9-_normal.png")</f>
        <v>https://pbs.twimg.com/profile_images/1641138641735909384/jBVBKD9-_normal.png</v>
      </c>
      <c r="G874" s="63"/>
      <c r="H874" s="67"/>
      <c r="I874" s="68"/>
      <c r="J874" s="68"/>
      <c r="K874" s="67" t="s">
        <v>28468</v>
      </c>
      <c r="L874" s="71"/>
      <c r="M874" s="72"/>
      <c r="N874" s="72"/>
      <c r="O874" s="73"/>
      <c r="P874" s="74"/>
      <c r="Q874" s="74"/>
      <c r="R874" s="87"/>
      <c r="S874" s="87"/>
      <c r="T874" s="87"/>
      <c r="U874" s="87"/>
      <c r="V874" s="48"/>
      <c r="W874" s="48"/>
      <c r="X874" s="48"/>
      <c r="Y874" s="48"/>
      <c r="Z874" s="47"/>
      <c r="AA874" s="69">
        <v>874</v>
      </c>
      <c r="AB874" s="69"/>
      <c r="AC874" s="70"/>
      <c r="AD874" s="76" t="s">
        <v>22104</v>
      </c>
      <c r="AE874" s="81" t="s">
        <v>20789</v>
      </c>
      <c r="AF874" s="76">
        <v>3</v>
      </c>
      <c r="AG874" s="76">
        <v>64</v>
      </c>
      <c r="AH874" s="76">
        <v>68</v>
      </c>
      <c r="AI874" s="76">
        <v>0</v>
      </c>
      <c r="AJ874" s="76">
        <v>0</v>
      </c>
      <c r="AK874" s="76">
        <v>55</v>
      </c>
      <c r="AL874" s="76" t="b">
        <v>0</v>
      </c>
      <c r="AM874" s="78">
        <v>44939.561516203707</v>
      </c>
      <c r="AN874" s="76" t="s">
        <v>24062</v>
      </c>
      <c r="AO874" s="76" t="s">
        <v>25493</v>
      </c>
      <c r="AP874" s="82" t="str">
        <f>HYPERLINK("https://t.co/c8ib0zK5ld")</f>
        <v>https://t.co/c8ib0zK5ld</v>
      </c>
      <c r="AQ874" s="82" t="str">
        <f>HYPERLINK("https://www.galaxpay.com.br/")</f>
        <v>https://www.galaxpay.com.br/</v>
      </c>
      <c r="AR874" s="76" t="s">
        <v>26833</v>
      </c>
      <c r="AS874" s="76"/>
      <c r="AT874" s="76"/>
      <c r="AU874" s="76"/>
      <c r="AV874" s="76"/>
      <c r="AW874" s="82" t="str">
        <f>HYPERLINK("https://t.co/c8ib0zK5ld")</f>
        <v>https://t.co/c8ib0zK5ld</v>
      </c>
      <c r="AX874" s="76" t="b">
        <v>0</v>
      </c>
      <c r="AY874" s="76"/>
      <c r="AZ874" s="76"/>
      <c r="BA874" s="76" t="b">
        <v>0</v>
      </c>
      <c r="BB874" s="76" t="b">
        <v>1</v>
      </c>
      <c r="BC874" s="76" t="b">
        <v>1</v>
      </c>
      <c r="BD874" s="76" t="b">
        <v>0</v>
      </c>
      <c r="BE874" s="76" t="b">
        <v>0</v>
      </c>
      <c r="BF874" s="76" t="b">
        <v>0</v>
      </c>
      <c r="BG874" s="76" t="b">
        <v>0</v>
      </c>
      <c r="BH874" s="82" t="str">
        <f>HYPERLINK("https://pbs.twimg.com/profile_banners/1613890665183678464/1680112990")</f>
        <v>https://pbs.twimg.com/profile_banners/1613890665183678464/1680112990</v>
      </c>
      <c r="BI874" s="76"/>
      <c r="BJ874" s="76" t="s">
        <v>27595</v>
      </c>
      <c r="BK874" s="76" t="b">
        <v>0</v>
      </c>
      <c r="BL874" s="76"/>
      <c r="BM874" s="76" t="s">
        <v>66</v>
      </c>
      <c r="BN874" s="76" t="s">
        <v>27597</v>
      </c>
      <c r="BO874" s="82" t="str">
        <f>HYPERLINK("https://twitter.com/galaxpay")</f>
        <v>https://twitter.com/galaxpay</v>
      </c>
      <c r="BP874" s="2"/>
    </row>
    <row r="875" spans="1:68" x14ac:dyDescent="0.25">
      <c r="A875" s="62" t="s">
        <v>847</v>
      </c>
      <c r="B875" s="63"/>
      <c r="C875" s="63"/>
      <c r="D875" s="64"/>
      <c r="E875" s="66"/>
      <c r="F875" s="103" t="str">
        <f>HYPERLINK("https://pbs.twimg.com/profile_images/1455528531375575047/dFq6keZ__normal.jpg")</f>
        <v>https://pbs.twimg.com/profile_images/1455528531375575047/dFq6keZ__normal.jpg</v>
      </c>
      <c r="G875" s="63"/>
      <c r="H875" s="67"/>
      <c r="I875" s="68"/>
      <c r="J875" s="68"/>
      <c r="K875" s="67" t="s">
        <v>28469</v>
      </c>
      <c r="L875" s="71"/>
      <c r="M875" s="72"/>
      <c r="N875" s="72"/>
      <c r="O875" s="73"/>
      <c r="P875" s="74"/>
      <c r="Q875" s="74"/>
      <c r="R875" s="87"/>
      <c r="S875" s="87"/>
      <c r="T875" s="87"/>
      <c r="U875" s="87"/>
      <c r="V875" s="48"/>
      <c r="W875" s="48"/>
      <c r="X875" s="48"/>
      <c r="Y875" s="48"/>
      <c r="Z875" s="47"/>
      <c r="AA875" s="69">
        <v>875</v>
      </c>
      <c r="AB875" s="69"/>
      <c r="AC875" s="70"/>
      <c r="AD875" s="76" t="s">
        <v>22105</v>
      </c>
      <c r="AE875" s="81" t="s">
        <v>23542</v>
      </c>
      <c r="AF875" s="76">
        <v>473</v>
      </c>
      <c r="AG875" s="76">
        <v>537</v>
      </c>
      <c r="AH875" s="76">
        <v>12537</v>
      </c>
      <c r="AI875" s="76">
        <v>0</v>
      </c>
      <c r="AJ875" s="76">
        <v>32720</v>
      </c>
      <c r="AK875" s="76">
        <v>131</v>
      </c>
      <c r="AL875" s="76" t="b">
        <v>0</v>
      </c>
      <c r="AM875" s="78">
        <v>40675.985543981478</v>
      </c>
      <c r="AN875" s="76" t="s">
        <v>14400</v>
      </c>
      <c r="AO875" s="76"/>
      <c r="AP875" s="76"/>
      <c r="AQ875" s="76"/>
      <c r="AR875" s="76"/>
      <c r="AS875" s="76"/>
      <c r="AT875" s="76"/>
      <c r="AU875" s="76"/>
      <c r="AV875" s="76">
        <v>8.9910906785938598E+17</v>
      </c>
      <c r="AW875" s="76"/>
      <c r="AX875" s="76" t="b">
        <v>0</v>
      </c>
      <c r="AY875" s="76"/>
      <c r="AZ875" s="76"/>
      <c r="BA875" s="76" t="b">
        <v>1</v>
      </c>
      <c r="BB875" s="76" t="b">
        <v>0</v>
      </c>
      <c r="BC875" s="76" t="b">
        <v>0</v>
      </c>
      <c r="BD875" s="76" t="b">
        <v>0</v>
      </c>
      <c r="BE875" s="76" t="b">
        <v>0</v>
      </c>
      <c r="BF875" s="76" t="b">
        <v>0</v>
      </c>
      <c r="BG875" s="76" t="b">
        <v>0</v>
      </c>
      <c r="BH875" s="82" t="str">
        <f>HYPERLINK("https://pbs.twimg.com/profile_banners/297701533/1522357801")</f>
        <v>https://pbs.twimg.com/profile_banners/297701533/1522357801</v>
      </c>
      <c r="BI875" s="76"/>
      <c r="BJ875" s="76" t="s">
        <v>27595</v>
      </c>
      <c r="BK875" s="76" t="b">
        <v>0</v>
      </c>
      <c r="BL875" s="76"/>
      <c r="BM875" s="76" t="s">
        <v>66</v>
      </c>
      <c r="BN875" s="76" t="s">
        <v>27597</v>
      </c>
      <c r="BO875" s="82" t="str">
        <f>HYPERLINK("https://twitter.com/_srto21")</f>
        <v>https://twitter.com/_srto21</v>
      </c>
      <c r="BP875" s="2"/>
    </row>
    <row r="876" spans="1:68" x14ac:dyDescent="0.25">
      <c r="A876" s="62" t="s">
        <v>848</v>
      </c>
      <c r="B876" s="63"/>
      <c r="C876" s="63"/>
      <c r="D876" s="64"/>
      <c r="E876" s="66"/>
      <c r="F876" s="103" t="str">
        <f>HYPERLINK("https://pbs.twimg.com/profile_images/957678799788920832/MIrpVlHm_normal.jpg")</f>
        <v>https://pbs.twimg.com/profile_images/957678799788920832/MIrpVlHm_normal.jpg</v>
      </c>
      <c r="G876" s="63"/>
      <c r="H876" s="67"/>
      <c r="I876" s="68"/>
      <c r="J876" s="68"/>
      <c r="K876" s="67" t="s">
        <v>28470</v>
      </c>
      <c r="L876" s="71"/>
      <c r="M876" s="72"/>
      <c r="N876" s="72"/>
      <c r="O876" s="73"/>
      <c r="P876" s="74"/>
      <c r="Q876" s="74"/>
      <c r="R876" s="87"/>
      <c r="S876" s="87"/>
      <c r="T876" s="87"/>
      <c r="U876" s="87"/>
      <c r="V876" s="48"/>
      <c r="W876" s="48"/>
      <c r="X876" s="48"/>
      <c r="Y876" s="48"/>
      <c r="Z876" s="47"/>
      <c r="AA876" s="69">
        <v>876</v>
      </c>
      <c r="AB876" s="69"/>
      <c r="AC876" s="70"/>
      <c r="AD876" s="76" t="s">
        <v>22106</v>
      </c>
      <c r="AE876" s="81" t="s">
        <v>20790</v>
      </c>
      <c r="AF876" s="76">
        <v>12</v>
      </c>
      <c r="AG876" s="76">
        <v>47</v>
      </c>
      <c r="AH876" s="76">
        <v>53</v>
      </c>
      <c r="AI876" s="76">
        <v>0</v>
      </c>
      <c r="AJ876" s="76">
        <v>2777</v>
      </c>
      <c r="AK876" s="76">
        <v>4</v>
      </c>
      <c r="AL876" s="76" t="b">
        <v>0</v>
      </c>
      <c r="AM876" s="78">
        <v>43128.758784722224</v>
      </c>
      <c r="AN876" s="76" t="s">
        <v>24153</v>
      </c>
      <c r="AO876" s="76" t="s">
        <v>25494</v>
      </c>
      <c r="AP876" s="76"/>
      <c r="AQ876" s="76"/>
      <c r="AR876" s="76"/>
      <c r="AS876" s="76"/>
      <c r="AT876" s="76"/>
      <c r="AU876" s="76"/>
      <c r="AV876" s="76"/>
      <c r="AW876" s="76"/>
      <c r="AX876" s="76" t="b">
        <v>0</v>
      </c>
      <c r="AY876" s="76"/>
      <c r="AZ876" s="76"/>
      <c r="BA876" s="76" t="b">
        <v>0</v>
      </c>
      <c r="BB876" s="76" t="b">
        <v>1</v>
      </c>
      <c r="BC876" s="76" t="b">
        <v>0</v>
      </c>
      <c r="BD876" s="76" t="b">
        <v>0</v>
      </c>
      <c r="BE876" s="76" t="b">
        <v>0</v>
      </c>
      <c r="BF876" s="76" t="b">
        <v>0</v>
      </c>
      <c r="BG876" s="76" t="b">
        <v>0</v>
      </c>
      <c r="BH876" s="82" t="str">
        <f>HYPERLINK("https://pbs.twimg.com/profile_banners/957677817705254919/1517163932")</f>
        <v>https://pbs.twimg.com/profile_banners/957677817705254919/1517163932</v>
      </c>
      <c r="BI876" s="76"/>
      <c r="BJ876" s="76" t="s">
        <v>27595</v>
      </c>
      <c r="BK876" s="76" t="b">
        <v>0</v>
      </c>
      <c r="BL876" s="76"/>
      <c r="BM876" s="76" t="s">
        <v>66</v>
      </c>
      <c r="BN876" s="76" t="s">
        <v>27597</v>
      </c>
      <c r="BO876" s="82" t="str">
        <f>HYPERLINK("https://twitter.com/shirley51198078")</f>
        <v>https://twitter.com/shirley51198078</v>
      </c>
      <c r="BP876" s="2"/>
    </row>
    <row r="877" spans="1:68" x14ac:dyDescent="0.25">
      <c r="A877" s="62" t="s">
        <v>849</v>
      </c>
      <c r="B877" s="63"/>
      <c r="C877" s="63"/>
      <c r="D877" s="64"/>
      <c r="E877" s="66"/>
      <c r="F877" s="103" t="str">
        <f>HYPERLINK("https://pbs.twimg.com/profile_images/1643290543596683264/l6AAc9KY_normal.jpg")</f>
        <v>https://pbs.twimg.com/profile_images/1643290543596683264/l6AAc9KY_normal.jpg</v>
      </c>
      <c r="G877" s="63"/>
      <c r="H877" s="67"/>
      <c r="I877" s="68"/>
      <c r="J877" s="68"/>
      <c r="K877" s="67" t="s">
        <v>28471</v>
      </c>
      <c r="L877" s="71"/>
      <c r="M877" s="72"/>
      <c r="N877" s="72"/>
      <c r="O877" s="73"/>
      <c r="P877" s="74"/>
      <c r="Q877" s="74"/>
      <c r="R877" s="87"/>
      <c r="S877" s="87"/>
      <c r="T877" s="87"/>
      <c r="U877" s="87"/>
      <c r="V877" s="48"/>
      <c r="W877" s="48"/>
      <c r="X877" s="48"/>
      <c r="Y877" s="48"/>
      <c r="Z877" s="47"/>
      <c r="AA877" s="69">
        <v>877</v>
      </c>
      <c r="AB877" s="69"/>
      <c r="AC877" s="70"/>
      <c r="AD877" s="76" t="s">
        <v>22107</v>
      </c>
      <c r="AE877" s="81" t="s">
        <v>20791</v>
      </c>
      <c r="AF877" s="76">
        <v>11458</v>
      </c>
      <c r="AG877" s="76">
        <v>179</v>
      </c>
      <c r="AH877" s="76">
        <v>6680</v>
      </c>
      <c r="AI877" s="76">
        <v>48</v>
      </c>
      <c r="AJ877" s="76">
        <v>1278</v>
      </c>
      <c r="AK877" s="76">
        <v>3950</v>
      </c>
      <c r="AL877" s="76" t="b">
        <v>0</v>
      </c>
      <c r="AM877" s="78">
        <v>43717.697500000002</v>
      </c>
      <c r="AN877" s="76" t="s">
        <v>24395</v>
      </c>
      <c r="AO877" s="76" t="s">
        <v>25495</v>
      </c>
      <c r="AP877" s="82" t="str">
        <f>HYPERLINK("https://t.co/OyC2oRsClt")</f>
        <v>https://t.co/OyC2oRsClt</v>
      </c>
      <c r="AQ877" s="82" t="str">
        <f>HYPERLINK("http://contrafcut.com.br")</f>
        <v>http://contrafcut.com.br</v>
      </c>
      <c r="AR877" s="76" t="s">
        <v>26834</v>
      </c>
      <c r="AS877" s="76"/>
      <c r="AT877" s="76"/>
      <c r="AU877" s="76"/>
      <c r="AV877" s="76">
        <v>1.70234143612797E+18</v>
      </c>
      <c r="AW877" s="82" t="str">
        <f>HYPERLINK("https://t.co/OyC2oRsClt")</f>
        <v>https://t.co/OyC2oRsClt</v>
      </c>
      <c r="AX877" s="76" t="b">
        <v>1</v>
      </c>
      <c r="AY877" s="76"/>
      <c r="AZ877" s="76"/>
      <c r="BA877" s="76" t="b">
        <v>0</v>
      </c>
      <c r="BB877" s="76" t="b">
        <v>1</v>
      </c>
      <c r="BC877" s="76" t="b">
        <v>1</v>
      </c>
      <c r="BD877" s="76" t="b">
        <v>0</v>
      </c>
      <c r="BE877" s="76" t="b">
        <v>1</v>
      </c>
      <c r="BF877" s="76" t="b">
        <v>0</v>
      </c>
      <c r="BG877" s="76" t="b">
        <v>0</v>
      </c>
      <c r="BH877" s="82" t="str">
        <f>HYPERLINK("https://pbs.twimg.com/profile_banners/1171101995127726080/1680625982")</f>
        <v>https://pbs.twimg.com/profile_banners/1171101995127726080/1680625982</v>
      </c>
      <c r="BI877" s="76"/>
      <c r="BJ877" s="76" t="s">
        <v>27595</v>
      </c>
      <c r="BK877" s="76" t="b">
        <v>0</v>
      </c>
      <c r="BL877" s="76"/>
      <c r="BM877" s="76" t="s">
        <v>66</v>
      </c>
      <c r="BN877" s="76" t="s">
        <v>27597</v>
      </c>
      <c r="BO877" s="82" t="str">
        <f>HYPERLINK("https://twitter.com/contraf_cut")</f>
        <v>https://twitter.com/contraf_cut</v>
      </c>
      <c r="BP877" s="2"/>
    </row>
    <row r="878" spans="1:68" x14ac:dyDescent="0.25">
      <c r="A878" s="62" t="s">
        <v>850</v>
      </c>
      <c r="B878" s="63"/>
      <c r="C878" s="63"/>
      <c r="D878" s="64"/>
      <c r="E878" s="66"/>
      <c r="F878" s="103" t="str">
        <f>HYPERLINK("https://pbs.twimg.com/profile_images/1587115240214462474/Z_rJqBTq_normal.jpg")</f>
        <v>https://pbs.twimg.com/profile_images/1587115240214462474/Z_rJqBTq_normal.jpg</v>
      </c>
      <c r="G878" s="63"/>
      <c r="H878" s="67"/>
      <c r="I878" s="68"/>
      <c r="J878" s="68"/>
      <c r="K878" s="67" t="s">
        <v>28472</v>
      </c>
      <c r="L878" s="71"/>
      <c r="M878" s="72"/>
      <c r="N878" s="72"/>
      <c r="O878" s="73"/>
      <c r="P878" s="74"/>
      <c r="Q878" s="74"/>
      <c r="R878" s="87"/>
      <c r="S878" s="87"/>
      <c r="T878" s="87"/>
      <c r="U878" s="87"/>
      <c r="V878" s="48"/>
      <c r="W878" s="48"/>
      <c r="X878" s="48"/>
      <c r="Y878" s="48"/>
      <c r="Z878" s="47"/>
      <c r="AA878" s="69">
        <v>878</v>
      </c>
      <c r="AB878" s="69"/>
      <c r="AC878" s="70"/>
      <c r="AD878" s="76" t="s">
        <v>22108</v>
      </c>
      <c r="AE878" s="81" t="s">
        <v>20792</v>
      </c>
      <c r="AF878" s="76">
        <v>26578</v>
      </c>
      <c r="AG878" s="76">
        <v>2239</v>
      </c>
      <c r="AH878" s="76">
        <v>13095</v>
      </c>
      <c r="AI878" s="76">
        <v>1</v>
      </c>
      <c r="AJ878" s="76">
        <v>1451</v>
      </c>
      <c r="AK878" s="76">
        <v>6823</v>
      </c>
      <c r="AL878" s="76" t="b">
        <v>0</v>
      </c>
      <c r="AM878" s="78">
        <v>42502.014236111114</v>
      </c>
      <c r="AN878" s="76" t="s">
        <v>24396</v>
      </c>
      <c r="AO878" s="76" t="s">
        <v>25496</v>
      </c>
      <c r="AP878" s="82" t="str">
        <f>HYPERLINK("https://t.co/NCz7Lfa6hW")</f>
        <v>https://t.co/NCz7Lfa6hW</v>
      </c>
      <c r="AQ878" s="82" t="str">
        <f>HYPERLINK("https://jadsonlima.taplink.ws")</f>
        <v>https://jadsonlima.taplink.ws</v>
      </c>
      <c r="AR878" s="76" t="s">
        <v>26835</v>
      </c>
      <c r="AS878" s="82" t="str">
        <f>HYPERLINK("https://t.co/UHmcBoNW5O")</f>
        <v>https://t.co/UHmcBoNW5O</v>
      </c>
      <c r="AT878" s="82" t="str">
        <f>HYPERLINK("https://brasilempauta.com")</f>
        <v>https://brasilempauta.com</v>
      </c>
      <c r="AU878" s="76" t="s">
        <v>27505</v>
      </c>
      <c r="AV878" s="76">
        <v>1.6562881933128699E+18</v>
      </c>
      <c r="AW878" s="82" t="str">
        <f>HYPERLINK("https://t.co/NCz7Lfa6hW")</f>
        <v>https://t.co/NCz7Lfa6hW</v>
      </c>
      <c r="AX878" s="76" t="b">
        <v>0</v>
      </c>
      <c r="AY878" s="76"/>
      <c r="AZ878" s="76"/>
      <c r="BA878" s="76" t="b">
        <v>0</v>
      </c>
      <c r="BB878" s="76" t="b">
        <v>1</v>
      </c>
      <c r="BC878" s="76" t="b">
        <v>0</v>
      </c>
      <c r="BD878" s="76" t="b">
        <v>0</v>
      </c>
      <c r="BE878" s="76" t="b">
        <v>1</v>
      </c>
      <c r="BF878" s="76" t="b">
        <v>0</v>
      </c>
      <c r="BG878" s="76" t="b">
        <v>0</v>
      </c>
      <c r="BH878" s="82" t="str">
        <f>HYPERLINK("https://pbs.twimg.com/profile_banners/730553197584998400/1667232736")</f>
        <v>https://pbs.twimg.com/profile_banners/730553197584998400/1667232736</v>
      </c>
      <c r="BI878" s="76"/>
      <c r="BJ878" s="76" t="s">
        <v>27595</v>
      </c>
      <c r="BK878" s="76" t="b">
        <v>0</v>
      </c>
      <c r="BL878" s="76"/>
      <c r="BM878" s="76" t="s">
        <v>66</v>
      </c>
      <c r="BN878" s="76" t="s">
        <v>27597</v>
      </c>
      <c r="BO878" s="82" t="str">
        <f>HYPERLINK("https://twitter.com/jadsonlimanovo")</f>
        <v>https://twitter.com/jadsonlimanovo</v>
      </c>
      <c r="BP878" s="2"/>
    </row>
    <row r="879" spans="1:68" x14ac:dyDescent="0.25">
      <c r="A879" s="62" t="s">
        <v>851</v>
      </c>
      <c r="B879" s="63"/>
      <c r="C879" s="63"/>
      <c r="D879" s="64"/>
      <c r="E879" s="66"/>
      <c r="F879" s="103" t="str">
        <f>HYPERLINK("https://pbs.twimg.com/profile_images/1560283305966276611/neMjj7ZO_normal.jpg")</f>
        <v>https://pbs.twimg.com/profile_images/1560283305966276611/neMjj7ZO_normal.jpg</v>
      </c>
      <c r="G879" s="63"/>
      <c r="H879" s="67"/>
      <c r="I879" s="68"/>
      <c r="J879" s="68"/>
      <c r="K879" s="67" t="s">
        <v>28473</v>
      </c>
      <c r="L879" s="71"/>
      <c r="M879" s="72"/>
      <c r="N879" s="72"/>
      <c r="O879" s="73"/>
      <c r="P879" s="74"/>
      <c r="Q879" s="74"/>
      <c r="R879" s="87"/>
      <c r="S879" s="87"/>
      <c r="T879" s="87"/>
      <c r="U879" s="87"/>
      <c r="V879" s="48"/>
      <c r="W879" s="48"/>
      <c r="X879" s="48"/>
      <c r="Y879" s="48"/>
      <c r="Z879" s="47"/>
      <c r="AA879" s="69">
        <v>879</v>
      </c>
      <c r="AB879" s="69"/>
      <c r="AC879" s="70"/>
      <c r="AD879" s="76" t="s">
        <v>22109</v>
      </c>
      <c r="AE879" s="81" t="s">
        <v>23543</v>
      </c>
      <c r="AF879" s="76">
        <v>21868</v>
      </c>
      <c r="AG879" s="76">
        <v>419</v>
      </c>
      <c r="AH879" s="76">
        <v>158436</v>
      </c>
      <c r="AI879" s="76">
        <v>178</v>
      </c>
      <c r="AJ879" s="76">
        <v>2</v>
      </c>
      <c r="AK879" s="76">
        <v>12647</v>
      </c>
      <c r="AL879" s="76" t="b">
        <v>0</v>
      </c>
      <c r="AM879" s="78">
        <v>40309.481249999997</v>
      </c>
      <c r="AN879" s="76" t="s">
        <v>24397</v>
      </c>
      <c r="AO879" s="76" t="s">
        <v>25497</v>
      </c>
      <c r="AP879" s="82" t="str">
        <f>HYPERLINK("https://t.co/j1uhnx31aI")</f>
        <v>https://t.co/j1uhnx31aI</v>
      </c>
      <c r="AQ879" s="82" t="str">
        <f>HYPERLINK("http://diariochaco.com")</f>
        <v>http://diariochaco.com</v>
      </c>
      <c r="AR879" s="76" t="s">
        <v>8760</v>
      </c>
      <c r="AS879" s="76"/>
      <c r="AT879" s="76"/>
      <c r="AU879" s="76"/>
      <c r="AV879" s="76"/>
      <c r="AW879" s="82" t="str">
        <f>HYPERLINK("https://t.co/j1uhnx31aI")</f>
        <v>https://t.co/j1uhnx31aI</v>
      </c>
      <c r="AX879" s="76" t="b">
        <v>0</v>
      </c>
      <c r="AY879" s="76"/>
      <c r="AZ879" s="76"/>
      <c r="BA879" s="76" t="b">
        <v>0</v>
      </c>
      <c r="BB879" s="76" t="b">
        <v>1</v>
      </c>
      <c r="BC879" s="76" t="b">
        <v>0</v>
      </c>
      <c r="BD879" s="76" t="b">
        <v>0</v>
      </c>
      <c r="BE879" s="76" t="b">
        <v>1</v>
      </c>
      <c r="BF879" s="76" t="b">
        <v>0</v>
      </c>
      <c r="BG879" s="76" t="b">
        <v>0</v>
      </c>
      <c r="BH879" s="82" t="str">
        <f>HYPERLINK("https://pbs.twimg.com/profile_banners/142646733/1422886290")</f>
        <v>https://pbs.twimg.com/profile_banners/142646733/1422886290</v>
      </c>
      <c r="BI879" s="76"/>
      <c r="BJ879" s="76" t="s">
        <v>27595</v>
      </c>
      <c r="BK879" s="76" t="b">
        <v>0</v>
      </c>
      <c r="BL879" s="76"/>
      <c r="BM879" s="76" t="s">
        <v>66</v>
      </c>
      <c r="BN879" s="76" t="s">
        <v>27597</v>
      </c>
      <c r="BO879" s="82" t="str">
        <f>HYPERLINK("https://twitter.com/diarioch")</f>
        <v>https://twitter.com/diarioch</v>
      </c>
      <c r="BP879" s="2"/>
    </row>
    <row r="880" spans="1:68" x14ac:dyDescent="0.25">
      <c r="A880" s="62" t="s">
        <v>852</v>
      </c>
      <c r="B880" s="63"/>
      <c r="C880" s="63"/>
      <c r="D880" s="64"/>
      <c r="E880" s="66"/>
      <c r="F880" s="103" t="str">
        <f>HYPERLINK("https://pbs.twimg.com/profile_images/1663721036121010179/Jq985jk__normal.jpg")</f>
        <v>https://pbs.twimg.com/profile_images/1663721036121010179/Jq985jk__normal.jpg</v>
      </c>
      <c r="G880" s="63"/>
      <c r="H880" s="67"/>
      <c r="I880" s="68"/>
      <c r="J880" s="68"/>
      <c r="K880" s="67" t="s">
        <v>28474</v>
      </c>
      <c r="L880" s="71"/>
      <c r="M880" s="72"/>
      <c r="N880" s="72"/>
      <c r="O880" s="73"/>
      <c r="P880" s="74"/>
      <c r="Q880" s="74"/>
      <c r="R880" s="87"/>
      <c r="S880" s="87"/>
      <c r="T880" s="87"/>
      <c r="U880" s="87"/>
      <c r="V880" s="48"/>
      <c r="W880" s="48"/>
      <c r="X880" s="48"/>
      <c r="Y880" s="48"/>
      <c r="Z880" s="47"/>
      <c r="AA880" s="69">
        <v>880</v>
      </c>
      <c r="AB880" s="69"/>
      <c r="AC880" s="70"/>
      <c r="AD880" s="76" t="s">
        <v>22110</v>
      </c>
      <c r="AE880" s="81" t="s">
        <v>23544</v>
      </c>
      <c r="AF880" s="76">
        <v>0</v>
      </c>
      <c r="AG880" s="76">
        <v>39</v>
      </c>
      <c r="AH880" s="76">
        <v>41</v>
      </c>
      <c r="AI880" s="76">
        <v>0</v>
      </c>
      <c r="AJ880" s="76">
        <v>11</v>
      </c>
      <c r="AK880" s="76">
        <v>8</v>
      </c>
      <c r="AL880" s="76" t="b">
        <v>0</v>
      </c>
      <c r="AM880" s="78">
        <v>42063.671655092592</v>
      </c>
      <c r="AN880" s="76" t="s">
        <v>24398</v>
      </c>
      <c r="AO880" s="76" t="s">
        <v>25498</v>
      </c>
      <c r="AP880" s="76"/>
      <c r="AQ880" s="76"/>
      <c r="AR880" s="76"/>
      <c r="AS880" s="76"/>
      <c r="AT880" s="76"/>
      <c r="AU880" s="76"/>
      <c r="AV880" s="76"/>
      <c r="AW880" s="76"/>
      <c r="AX880" s="76" t="b">
        <v>0</v>
      </c>
      <c r="AY880" s="76"/>
      <c r="AZ880" s="76"/>
      <c r="BA880" s="76" t="b">
        <v>0</v>
      </c>
      <c r="BB880" s="76" t="b">
        <v>1</v>
      </c>
      <c r="BC880" s="76" t="b">
        <v>1</v>
      </c>
      <c r="BD880" s="76" t="b">
        <v>0</v>
      </c>
      <c r="BE880" s="76" t="b">
        <v>0</v>
      </c>
      <c r="BF880" s="76" t="b">
        <v>0</v>
      </c>
      <c r="BG880" s="76" t="b">
        <v>0</v>
      </c>
      <c r="BH880" s="82" t="str">
        <f>HYPERLINK("https://pbs.twimg.com/profile_banners/3050293225/1685496996")</f>
        <v>https://pbs.twimg.com/profile_banners/3050293225/1685496996</v>
      </c>
      <c r="BI880" s="76"/>
      <c r="BJ880" s="76" t="s">
        <v>27595</v>
      </c>
      <c r="BK880" s="76" t="b">
        <v>0</v>
      </c>
      <c r="BL880" s="76"/>
      <c r="BM880" s="76" t="s">
        <v>66</v>
      </c>
      <c r="BN880" s="76" t="s">
        <v>27597</v>
      </c>
      <c r="BO880" s="82" t="str">
        <f>HYPERLINK("https://twitter.com/el_gatu")</f>
        <v>https://twitter.com/el_gatu</v>
      </c>
      <c r="BP880" s="2"/>
    </row>
    <row r="881" spans="1:68" x14ac:dyDescent="0.25">
      <c r="A881" s="62" t="s">
        <v>853</v>
      </c>
      <c r="B881" s="63"/>
      <c r="C881" s="63"/>
      <c r="D881" s="64"/>
      <c r="E881" s="66"/>
      <c r="F881" s="103" t="str">
        <f>HYPERLINK("https://pbs.twimg.com/profile_images/1695798102781800448/nOPmKoUh_normal.jpg")</f>
        <v>https://pbs.twimg.com/profile_images/1695798102781800448/nOPmKoUh_normal.jpg</v>
      </c>
      <c r="G881" s="63"/>
      <c r="H881" s="67"/>
      <c r="I881" s="68"/>
      <c r="J881" s="68"/>
      <c r="K881" s="67" t="s">
        <v>28475</v>
      </c>
      <c r="L881" s="71"/>
      <c r="M881" s="72"/>
      <c r="N881" s="72"/>
      <c r="O881" s="73"/>
      <c r="P881" s="74"/>
      <c r="Q881" s="74"/>
      <c r="R881" s="87"/>
      <c r="S881" s="87"/>
      <c r="T881" s="87"/>
      <c r="U881" s="87"/>
      <c r="V881" s="48"/>
      <c r="W881" s="48"/>
      <c r="X881" s="48"/>
      <c r="Y881" s="48"/>
      <c r="Z881" s="47"/>
      <c r="AA881" s="69">
        <v>881</v>
      </c>
      <c r="AB881" s="69"/>
      <c r="AC881" s="70"/>
      <c r="AD881" s="76" t="s">
        <v>22111</v>
      </c>
      <c r="AE881" s="81" t="s">
        <v>23545</v>
      </c>
      <c r="AF881" s="76">
        <v>6037</v>
      </c>
      <c r="AG881" s="76">
        <v>6646</v>
      </c>
      <c r="AH881" s="76">
        <v>91881</v>
      </c>
      <c r="AI881" s="76">
        <v>33</v>
      </c>
      <c r="AJ881" s="76">
        <v>31556</v>
      </c>
      <c r="AK881" s="76">
        <v>9335</v>
      </c>
      <c r="AL881" s="76" t="b">
        <v>0</v>
      </c>
      <c r="AM881" s="78">
        <v>40815.726226851853</v>
      </c>
      <c r="AN881" s="76" t="s">
        <v>24216</v>
      </c>
      <c r="AO881" s="76" t="s">
        <v>25499</v>
      </c>
      <c r="AP881" s="82" t="str">
        <f>HYPERLINK("https://t.co/5BtU4banHe")</f>
        <v>https://t.co/5BtU4banHe</v>
      </c>
      <c r="AQ881" s="82" t="str">
        <f>HYPERLINK("http://www.lunavaliente.com")</f>
        <v>http://www.lunavaliente.com</v>
      </c>
      <c r="AR881" s="76" t="s">
        <v>26836</v>
      </c>
      <c r="AS881" s="76"/>
      <c r="AT881" s="76"/>
      <c r="AU881" s="76"/>
      <c r="AV881" s="76"/>
      <c r="AW881" s="82" t="str">
        <f>HYPERLINK("https://t.co/5BtU4banHe")</f>
        <v>https://t.co/5BtU4banHe</v>
      </c>
      <c r="AX881" s="76" t="b">
        <v>0</v>
      </c>
      <c r="AY881" s="76"/>
      <c r="AZ881" s="76"/>
      <c r="BA881" s="76" t="b">
        <v>1</v>
      </c>
      <c r="BB881" s="76" t="b">
        <v>1</v>
      </c>
      <c r="BC881" s="76" t="b">
        <v>0</v>
      </c>
      <c r="BD881" s="76" t="b">
        <v>0</v>
      </c>
      <c r="BE881" s="76" t="b">
        <v>1</v>
      </c>
      <c r="BF881" s="76" t="b">
        <v>0</v>
      </c>
      <c r="BG881" s="76" t="b">
        <v>0</v>
      </c>
      <c r="BH881" s="82" t="str">
        <f>HYPERLINK("https://pbs.twimg.com/profile_banners/382205673/1483934521")</f>
        <v>https://pbs.twimg.com/profile_banners/382205673/1483934521</v>
      </c>
      <c r="BI881" s="76"/>
      <c r="BJ881" s="76" t="s">
        <v>27595</v>
      </c>
      <c r="BK881" s="76" t="b">
        <v>0</v>
      </c>
      <c r="BL881" s="76"/>
      <c r="BM881" s="76" t="s">
        <v>66</v>
      </c>
      <c r="BN881" s="76" t="s">
        <v>27597</v>
      </c>
      <c r="BO881" s="82" t="str">
        <f>HYPERLINK("https://twitter.com/lunavalienterd")</f>
        <v>https://twitter.com/lunavalienterd</v>
      </c>
      <c r="BP881" s="2"/>
    </row>
    <row r="882" spans="1:68" x14ac:dyDescent="0.25">
      <c r="A882" s="62" t="s">
        <v>854</v>
      </c>
      <c r="B882" s="63"/>
      <c r="C882" s="63"/>
      <c r="D882" s="64"/>
      <c r="E882" s="66"/>
      <c r="F882" s="103" t="str">
        <f>HYPERLINK("https://pbs.twimg.com/profile_images/1270317289003499526/WD56gFgF_normal.jpg")</f>
        <v>https://pbs.twimg.com/profile_images/1270317289003499526/WD56gFgF_normal.jpg</v>
      </c>
      <c r="G882" s="63"/>
      <c r="H882" s="67"/>
      <c r="I882" s="68"/>
      <c r="J882" s="68"/>
      <c r="K882" s="67" t="s">
        <v>28476</v>
      </c>
      <c r="L882" s="71"/>
      <c r="M882" s="72"/>
      <c r="N882" s="72"/>
      <c r="O882" s="73"/>
      <c r="P882" s="74"/>
      <c r="Q882" s="74"/>
      <c r="R882" s="87"/>
      <c r="S882" s="87"/>
      <c r="T882" s="87"/>
      <c r="U882" s="87"/>
      <c r="V882" s="48"/>
      <c r="W882" s="48"/>
      <c r="X882" s="48"/>
      <c r="Y882" s="48"/>
      <c r="Z882" s="47"/>
      <c r="AA882" s="69">
        <v>882</v>
      </c>
      <c r="AB882" s="69"/>
      <c r="AC882" s="70"/>
      <c r="AD882" s="76" t="s">
        <v>22112</v>
      </c>
      <c r="AE882" s="81" t="s">
        <v>20793</v>
      </c>
      <c r="AF882" s="76">
        <v>47</v>
      </c>
      <c r="AG882" s="76">
        <v>231</v>
      </c>
      <c r="AH882" s="76">
        <v>6325</v>
      </c>
      <c r="AI882" s="76">
        <v>0</v>
      </c>
      <c r="AJ882" s="76">
        <v>5</v>
      </c>
      <c r="AK882" s="76">
        <v>1424</v>
      </c>
      <c r="AL882" s="76" t="b">
        <v>0</v>
      </c>
      <c r="AM882" s="78">
        <v>43991.478680555556</v>
      </c>
      <c r="AN882" s="76"/>
      <c r="AO882" s="76" t="s">
        <v>25500</v>
      </c>
      <c r="AP882" s="82" t="str">
        <f>HYPERLINK("https://t.co/wsIUqZmzJd")</f>
        <v>https://t.co/wsIUqZmzJd</v>
      </c>
      <c r="AQ882" s="82" t="str">
        <f>HYPERLINK("https://www.notici-as.com/")</f>
        <v>https://www.notici-as.com/</v>
      </c>
      <c r="AR882" s="76" t="s">
        <v>26837</v>
      </c>
      <c r="AS882" s="76"/>
      <c r="AT882" s="76"/>
      <c r="AU882" s="76"/>
      <c r="AV882" s="76"/>
      <c r="AW882" s="82" t="str">
        <f>HYPERLINK("https://t.co/wsIUqZmzJd")</f>
        <v>https://t.co/wsIUqZmzJd</v>
      </c>
      <c r="AX882" s="76" t="b">
        <v>0</v>
      </c>
      <c r="AY882" s="76"/>
      <c r="AZ882" s="76"/>
      <c r="BA882" s="76" t="b">
        <v>0</v>
      </c>
      <c r="BB882" s="76" t="b">
        <v>1</v>
      </c>
      <c r="BC882" s="76" t="b">
        <v>1</v>
      </c>
      <c r="BD882" s="76" t="b">
        <v>0</v>
      </c>
      <c r="BE882" s="76" t="b">
        <v>1</v>
      </c>
      <c r="BF882" s="76" t="b">
        <v>0</v>
      </c>
      <c r="BG882" s="76" t="b">
        <v>0</v>
      </c>
      <c r="BH882" s="82" t="str">
        <f>HYPERLINK("https://pbs.twimg.com/profile_banners/1270316997709045760/1593176905")</f>
        <v>https://pbs.twimg.com/profile_banners/1270316997709045760/1593176905</v>
      </c>
      <c r="BI882" s="76"/>
      <c r="BJ882" s="76" t="s">
        <v>27595</v>
      </c>
      <c r="BK882" s="76" t="b">
        <v>0</v>
      </c>
      <c r="BL882" s="76"/>
      <c r="BM882" s="76" t="s">
        <v>66</v>
      </c>
      <c r="BN882" s="76" t="s">
        <v>27597</v>
      </c>
      <c r="BO882" s="82" t="str">
        <f>HYPERLINK("https://twitter.com/asnotici")</f>
        <v>https://twitter.com/asnotici</v>
      </c>
      <c r="BP882" s="2"/>
    </row>
    <row r="883" spans="1:68" x14ac:dyDescent="0.25">
      <c r="A883" s="62" t="s">
        <v>855</v>
      </c>
      <c r="B883" s="63"/>
      <c r="C883" s="63"/>
      <c r="D883" s="64"/>
      <c r="E883" s="66"/>
      <c r="F883" s="103" t="str">
        <f>HYPERLINK("https://pbs.twimg.com/profile_images/1645831886533476353/XaFU2cRF_normal.jpg")</f>
        <v>https://pbs.twimg.com/profile_images/1645831886533476353/XaFU2cRF_normal.jpg</v>
      </c>
      <c r="G883" s="63"/>
      <c r="H883" s="67"/>
      <c r="I883" s="68"/>
      <c r="J883" s="68"/>
      <c r="K883" s="67" t="s">
        <v>28477</v>
      </c>
      <c r="L883" s="71"/>
      <c r="M883" s="72"/>
      <c r="N883" s="72"/>
      <c r="O883" s="73"/>
      <c r="P883" s="74"/>
      <c r="Q883" s="74"/>
      <c r="R883" s="87"/>
      <c r="S883" s="87"/>
      <c r="T883" s="87"/>
      <c r="U883" s="87"/>
      <c r="V883" s="48"/>
      <c r="W883" s="48"/>
      <c r="X883" s="48"/>
      <c r="Y883" s="48"/>
      <c r="Z883" s="47"/>
      <c r="AA883" s="69">
        <v>883</v>
      </c>
      <c r="AB883" s="69"/>
      <c r="AC883" s="70"/>
      <c r="AD883" s="76" t="s">
        <v>22113</v>
      </c>
      <c r="AE883" s="81" t="s">
        <v>20289</v>
      </c>
      <c r="AF883" s="76">
        <v>39</v>
      </c>
      <c r="AG883" s="76">
        <v>156</v>
      </c>
      <c r="AH883" s="76">
        <v>993</v>
      </c>
      <c r="AI883" s="76">
        <v>4</v>
      </c>
      <c r="AJ883" s="76">
        <v>449</v>
      </c>
      <c r="AK883" s="76">
        <v>173</v>
      </c>
      <c r="AL883" s="76" t="b">
        <v>0</v>
      </c>
      <c r="AM883" s="78">
        <v>44518.688009259262</v>
      </c>
      <c r="AN883" s="76" t="s">
        <v>24399</v>
      </c>
      <c r="AO883" s="76" t="s">
        <v>25501</v>
      </c>
      <c r="AP883" s="76"/>
      <c r="AQ883" s="76"/>
      <c r="AR883" s="76"/>
      <c r="AS883" s="76"/>
      <c r="AT883" s="76"/>
      <c r="AU883" s="76"/>
      <c r="AV883" s="76"/>
      <c r="AW883" s="76"/>
      <c r="AX883" s="76" t="b">
        <v>0</v>
      </c>
      <c r="AY883" s="76"/>
      <c r="AZ883" s="76"/>
      <c r="BA883" s="76" t="b">
        <v>1</v>
      </c>
      <c r="BB883" s="76" t="b">
        <v>1</v>
      </c>
      <c r="BC883" s="76" t="b">
        <v>1</v>
      </c>
      <c r="BD883" s="76" t="b">
        <v>0</v>
      </c>
      <c r="BE883" s="76" t="b">
        <v>1</v>
      </c>
      <c r="BF883" s="76" t="b">
        <v>0</v>
      </c>
      <c r="BG883" s="76" t="b">
        <v>0</v>
      </c>
      <c r="BH883" s="82" t="str">
        <f>HYPERLINK("https://pbs.twimg.com/profile_banners/1461371216632201222/1683317911")</f>
        <v>https://pbs.twimg.com/profile_banners/1461371216632201222/1683317911</v>
      </c>
      <c r="BI883" s="76"/>
      <c r="BJ883" s="76" t="s">
        <v>27595</v>
      </c>
      <c r="BK883" s="76" t="b">
        <v>0</v>
      </c>
      <c r="BL883" s="76"/>
      <c r="BM883" s="76" t="s">
        <v>66</v>
      </c>
      <c r="BN883" s="76" t="s">
        <v>27597</v>
      </c>
      <c r="BO883" s="82" t="str">
        <f>HYPERLINK("https://twitter.com/ismaelguerreir6")</f>
        <v>https://twitter.com/ismaelguerreir6</v>
      </c>
      <c r="BP883" s="2"/>
    </row>
    <row r="884" spans="1:68" x14ac:dyDescent="0.25">
      <c r="A884" s="62" t="s">
        <v>856</v>
      </c>
      <c r="B884" s="63"/>
      <c r="C884" s="63"/>
      <c r="D884" s="64"/>
      <c r="E884" s="66"/>
      <c r="F884" s="103" t="str">
        <f>HYPERLINK("https://pbs.twimg.com/profile_images/1547579885320753155/T6V48f9i_normal.jpg")</f>
        <v>https://pbs.twimg.com/profile_images/1547579885320753155/T6V48f9i_normal.jpg</v>
      </c>
      <c r="G884" s="63"/>
      <c r="H884" s="67"/>
      <c r="I884" s="68"/>
      <c r="J884" s="68"/>
      <c r="K884" s="67" t="s">
        <v>28478</v>
      </c>
      <c r="L884" s="71"/>
      <c r="M884" s="72"/>
      <c r="N884" s="72"/>
      <c r="O884" s="73"/>
      <c r="P884" s="74"/>
      <c r="Q884" s="74"/>
      <c r="R884" s="87"/>
      <c r="S884" s="87"/>
      <c r="T884" s="87"/>
      <c r="U884" s="87"/>
      <c r="V884" s="48"/>
      <c r="W884" s="48"/>
      <c r="X884" s="48"/>
      <c r="Y884" s="48"/>
      <c r="Z884" s="47"/>
      <c r="AA884" s="69">
        <v>884</v>
      </c>
      <c r="AB884" s="69"/>
      <c r="AC884" s="70"/>
      <c r="AD884" s="76" t="s">
        <v>22114</v>
      </c>
      <c r="AE884" s="81" t="s">
        <v>20794</v>
      </c>
      <c r="AF884" s="76">
        <v>20</v>
      </c>
      <c r="AG884" s="76">
        <v>108</v>
      </c>
      <c r="AH884" s="76">
        <v>576</v>
      </c>
      <c r="AI884" s="76">
        <v>0</v>
      </c>
      <c r="AJ884" s="76">
        <v>37</v>
      </c>
      <c r="AK884" s="76">
        <v>15</v>
      </c>
      <c r="AL884" s="76" t="b">
        <v>0</v>
      </c>
      <c r="AM884" s="78">
        <v>44724.911990740744</v>
      </c>
      <c r="AN884" s="76" t="s">
        <v>14385</v>
      </c>
      <c r="AO884" s="76" t="s">
        <v>25502</v>
      </c>
      <c r="AP884" s="82" t="str">
        <f>HYPERLINK("https://t.co/GgPK0AMd0d")</f>
        <v>https://t.co/GgPK0AMd0d</v>
      </c>
      <c r="AQ884" s="82" t="str">
        <f>HYPERLINK("http://www.elaguijonnoticias.com.ar")</f>
        <v>http://www.elaguijonnoticias.com.ar</v>
      </c>
      <c r="AR884" s="76" t="s">
        <v>26838</v>
      </c>
      <c r="AS884" s="76"/>
      <c r="AT884" s="76"/>
      <c r="AU884" s="76"/>
      <c r="AV884" s="76"/>
      <c r="AW884" s="82" t="str">
        <f>HYPERLINK("https://t.co/GgPK0AMd0d")</f>
        <v>https://t.co/GgPK0AMd0d</v>
      </c>
      <c r="AX884" s="76" t="b">
        <v>0</v>
      </c>
      <c r="AY884" s="76"/>
      <c r="AZ884" s="76"/>
      <c r="BA884" s="76" t="b">
        <v>0</v>
      </c>
      <c r="BB884" s="76" t="b">
        <v>1</v>
      </c>
      <c r="BC884" s="76" t="b">
        <v>1</v>
      </c>
      <c r="BD884" s="76" t="b">
        <v>0</v>
      </c>
      <c r="BE884" s="76" t="b">
        <v>0</v>
      </c>
      <c r="BF884" s="76" t="b">
        <v>0</v>
      </c>
      <c r="BG884" s="76" t="b">
        <v>0</v>
      </c>
      <c r="BH884" s="82" t="str">
        <f>HYPERLINK("https://pbs.twimg.com/profile_banners/1536104273565696000/1657806774")</f>
        <v>https://pbs.twimg.com/profile_banners/1536104273565696000/1657806774</v>
      </c>
      <c r="BI884" s="76"/>
      <c r="BJ884" s="76" t="s">
        <v>27595</v>
      </c>
      <c r="BK884" s="76" t="b">
        <v>0</v>
      </c>
      <c r="BL884" s="76"/>
      <c r="BM884" s="76" t="s">
        <v>66</v>
      </c>
      <c r="BN884" s="76" t="s">
        <v>27597</v>
      </c>
      <c r="BO884" s="82" t="str">
        <f>HYPERLINK("https://twitter.com/aguijonn")</f>
        <v>https://twitter.com/aguijonn</v>
      </c>
      <c r="BP884" s="2"/>
    </row>
    <row r="885" spans="1:68" x14ac:dyDescent="0.25">
      <c r="A885" s="62" t="s">
        <v>857</v>
      </c>
      <c r="B885" s="63"/>
      <c r="C885" s="63"/>
      <c r="D885" s="64"/>
      <c r="E885" s="66"/>
      <c r="F885" s="103" t="str">
        <f>HYPERLINK("https://pbs.twimg.com/profile_images/1452829261157605378/dq7hkPUS_normal.jpg")</f>
        <v>https://pbs.twimg.com/profile_images/1452829261157605378/dq7hkPUS_normal.jpg</v>
      </c>
      <c r="G885" s="63"/>
      <c r="H885" s="67"/>
      <c r="I885" s="68"/>
      <c r="J885" s="68"/>
      <c r="K885" s="67" t="s">
        <v>28479</v>
      </c>
      <c r="L885" s="71"/>
      <c r="M885" s="72"/>
      <c r="N885" s="72"/>
      <c r="O885" s="73"/>
      <c r="P885" s="74"/>
      <c r="Q885" s="74"/>
      <c r="R885" s="87"/>
      <c r="S885" s="87"/>
      <c r="T885" s="87"/>
      <c r="U885" s="87"/>
      <c r="V885" s="48"/>
      <c r="W885" s="48"/>
      <c r="X885" s="48"/>
      <c r="Y885" s="48"/>
      <c r="Z885" s="47"/>
      <c r="AA885" s="69">
        <v>885</v>
      </c>
      <c r="AB885" s="69"/>
      <c r="AC885" s="70"/>
      <c r="AD885" s="76" t="s">
        <v>22115</v>
      </c>
      <c r="AE885" s="81" t="s">
        <v>23546</v>
      </c>
      <c r="AF885" s="76">
        <v>34</v>
      </c>
      <c r="AG885" s="76">
        <v>182</v>
      </c>
      <c r="AH885" s="76">
        <v>4084</v>
      </c>
      <c r="AI885" s="76">
        <v>1</v>
      </c>
      <c r="AJ885" s="76">
        <v>1106</v>
      </c>
      <c r="AK885" s="76">
        <v>922</v>
      </c>
      <c r="AL885" s="76" t="b">
        <v>0</v>
      </c>
      <c r="AM885" s="78">
        <v>41811.032534722224</v>
      </c>
      <c r="AN885" s="76" t="s">
        <v>24400</v>
      </c>
      <c r="AO885" s="76" t="s">
        <v>25503</v>
      </c>
      <c r="AP885" s="82" t="str">
        <f>HYPERLINK("https://t.co/d0pJO9VvNy")</f>
        <v>https://t.co/d0pJO9VvNy</v>
      </c>
      <c r="AQ885" s="82" t="str">
        <f>HYPERLINK("http://www.todanishimura.com")</f>
        <v>http://www.todanishimura.com</v>
      </c>
      <c r="AR885" s="76" t="s">
        <v>26839</v>
      </c>
      <c r="AS885" s="76"/>
      <c r="AT885" s="76"/>
      <c r="AU885" s="76"/>
      <c r="AV885" s="76"/>
      <c r="AW885" s="82" t="str">
        <f>HYPERLINK("https://t.co/d0pJO9VvNy")</f>
        <v>https://t.co/d0pJO9VvNy</v>
      </c>
      <c r="AX885" s="76" t="b">
        <v>0</v>
      </c>
      <c r="AY885" s="76"/>
      <c r="AZ885" s="76"/>
      <c r="BA885" s="76" t="b">
        <v>0</v>
      </c>
      <c r="BB885" s="76" t="b">
        <v>1</v>
      </c>
      <c r="BC885" s="76" t="b">
        <v>1</v>
      </c>
      <c r="BD885" s="76" t="b">
        <v>0</v>
      </c>
      <c r="BE885" s="76" t="b">
        <v>1</v>
      </c>
      <c r="BF885" s="76" t="b">
        <v>0</v>
      </c>
      <c r="BG885" s="76" t="b">
        <v>0</v>
      </c>
      <c r="BH885" s="82" t="str">
        <f>HYPERLINK("https://pbs.twimg.com/profile_banners/2627081283/1478196636")</f>
        <v>https://pbs.twimg.com/profile_banners/2627081283/1478196636</v>
      </c>
      <c r="BI885" s="76"/>
      <c r="BJ885" s="76" t="s">
        <v>27595</v>
      </c>
      <c r="BK885" s="76" t="b">
        <v>0</v>
      </c>
      <c r="BL885" s="76"/>
      <c r="BM885" s="76" t="s">
        <v>66</v>
      </c>
      <c r="BN885" s="76" t="s">
        <v>27597</v>
      </c>
      <c r="BO885" s="82" t="str">
        <f>HYPERLINK("https://twitter.com/nishimurapaulo")</f>
        <v>https://twitter.com/nishimurapaulo</v>
      </c>
      <c r="BP885" s="2"/>
    </row>
    <row r="886" spans="1:68" x14ac:dyDescent="0.25">
      <c r="A886" s="62" t="s">
        <v>858</v>
      </c>
      <c r="B886" s="63"/>
      <c r="C886" s="63"/>
      <c r="D886" s="64"/>
      <c r="E886" s="66"/>
      <c r="F886" s="103" t="str">
        <f>HYPERLINK("https://pbs.twimg.com/profile_images/1578628262317662209/lgdRRJ4-_normal.png")</f>
        <v>https://pbs.twimg.com/profile_images/1578628262317662209/lgdRRJ4-_normal.png</v>
      </c>
      <c r="G886" s="63"/>
      <c r="H886" s="67"/>
      <c r="I886" s="68"/>
      <c r="J886" s="68"/>
      <c r="K886" s="67" t="s">
        <v>28480</v>
      </c>
      <c r="L886" s="71"/>
      <c r="M886" s="72"/>
      <c r="N886" s="72"/>
      <c r="O886" s="73"/>
      <c r="P886" s="74"/>
      <c r="Q886" s="74"/>
      <c r="R886" s="87"/>
      <c r="S886" s="87"/>
      <c r="T886" s="87"/>
      <c r="U886" s="87"/>
      <c r="V886" s="48"/>
      <c r="W886" s="48"/>
      <c r="X886" s="48"/>
      <c r="Y886" s="48"/>
      <c r="Z886" s="47"/>
      <c r="AA886" s="69">
        <v>886</v>
      </c>
      <c r="AB886" s="69"/>
      <c r="AC886" s="70"/>
      <c r="AD886" s="76" t="s">
        <v>22116</v>
      </c>
      <c r="AE886" s="81" t="s">
        <v>23547</v>
      </c>
      <c r="AF886" s="76">
        <v>11367</v>
      </c>
      <c r="AG886" s="76">
        <v>818</v>
      </c>
      <c r="AH886" s="76">
        <v>92853</v>
      </c>
      <c r="AI886" s="76">
        <v>154</v>
      </c>
      <c r="AJ886" s="76">
        <v>34464</v>
      </c>
      <c r="AK886" s="76">
        <v>64421</v>
      </c>
      <c r="AL886" s="76" t="b">
        <v>0</v>
      </c>
      <c r="AM886" s="78">
        <v>40576.175150462965</v>
      </c>
      <c r="AN886" s="76" t="s">
        <v>24114</v>
      </c>
      <c r="AO886" s="76" t="s">
        <v>25504</v>
      </c>
      <c r="AP886" s="82" t="str">
        <f>HYPERLINK("https://t.co/aS1vhUqlVp")</f>
        <v>https://t.co/aS1vhUqlVp</v>
      </c>
      <c r="AQ886" s="82" t="str">
        <f>HYPERLINK("https://www.PaleyCenter.org")</f>
        <v>https://www.PaleyCenter.org</v>
      </c>
      <c r="AR886" s="76" t="s">
        <v>26840</v>
      </c>
      <c r="AS886" s="76"/>
      <c r="AT886" s="76"/>
      <c r="AU886" s="76"/>
      <c r="AV886" s="76">
        <v>1.5052410406676101E+18</v>
      </c>
      <c r="AW886" s="82" t="str">
        <f>HYPERLINK("https://t.co/aS1vhUqlVp")</f>
        <v>https://t.co/aS1vhUqlVp</v>
      </c>
      <c r="AX886" s="76" t="b">
        <v>0</v>
      </c>
      <c r="AY886" s="76"/>
      <c r="AZ886" s="76"/>
      <c r="BA886" s="76" t="b">
        <v>1</v>
      </c>
      <c r="BB886" s="76" t="b">
        <v>1</v>
      </c>
      <c r="BC886" s="76" t="b">
        <v>0</v>
      </c>
      <c r="BD886" s="76" t="b">
        <v>0</v>
      </c>
      <c r="BE886" s="76" t="b">
        <v>1</v>
      </c>
      <c r="BF886" s="76" t="b">
        <v>0</v>
      </c>
      <c r="BG886" s="76" t="b">
        <v>0</v>
      </c>
      <c r="BH886" s="82" t="str">
        <f>HYPERLINK("https://pbs.twimg.com/profile_banners/246107898/1663812679")</f>
        <v>https://pbs.twimg.com/profile_banners/246107898/1663812679</v>
      </c>
      <c r="BI886" s="76"/>
      <c r="BJ886" s="76" t="s">
        <v>27596</v>
      </c>
      <c r="BK886" s="76" t="b">
        <v>0</v>
      </c>
      <c r="BL886" s="76"/>
      <c r="BM886" s="76" t="s">
        <v>66</v>
      </c>
      <c r="BN886" s="76" t="s">
        <v>27597</v>
      </c>
      <c r="BO886" s="82" t="str">
        <f>HYPERLINK("https://twitter.com/mario_moray")</f>
        <v>https://twitter.com/mario_moray</v>
      </c>
      <c r="BP886" s="2"/>
    </row>
    <row r="887" spans="1:68" x14ac:dyDescent="0.25">
      <c r="A887" s="62" t="s">
        <v>860</v>
      </c>
      <c r="B887" s="63"/>
      <c r="C887" s="63"/>
      <c r="D887" s="64"/>
      <c r="E887" s="66"/>
      <c r="F887" s="103" t="str">
        <f>HYPERLINK("https://pbs.twimg.com/profile_images/739924058704334849/flZNsUpg_normal.jpg")</f>
        <v>https://pbs.twimg.com/profile_images/739924058704334849/flZNsUpg_normal.jpg</v>
      </c>
      <c r="G887" s="63"/>
      <c r="H887" s="67"/>
      <c r="I887" s="68"/>
      <c r="J887" s="68"/>
      <c r="K887" s="67" t="s">
        <v>28481</v>
      </c>
      <c r="L887" s="71"/>
      <c r="M887" s="72"/>
      <c r="N887" s="72"/>
      <c r="O887" s="73"/>
      <c r="P887" s="74"/>
      <c r="Q887" s="74"/>
      <c r="R887" s="87"/>
      <c r="S887" s="87"/>
      <c r="T887" s="87"/>
      <c r="U887" s="87"/>
      <c r="V887" s="48"/>
      <c r="W887" s="48"/>
      <c r="X887" s="48"/>
      <c r="Y887" s="48"/>
      <c r="Z887" s="47"/>
      <c r="AA887" s="69">
        <v>887</v>
      </c>
      <c r="AB887" s="69"/>
      <c r="AC887" s="70"/>
      <c r="AD887" s="76" t="s">
        <v>22117</v>
      </c>
      <c r="AE887" s="81" t="s">
        <v>23548</v>
      </c>
      <c r="AF887" s="76">
        <v>2276</v>
      </c>
      <c r="AG887" s="76">
        <v>3377</v>
      </c>
      <c r="AH887" s="76">
        <v>184296</v>
      </c>
      <c r="AI887" s="76">
        <v>7</v>
      </c>
      <c r="AJ887" s="76">
        <v>245261</v>
      </c>
      <c r="AK887" s="76">
        <v>61</v>
      </c>
      <c r="AL887" s="76" t="b">
        <v>0</v>
      </c>
      <c r="AM887" s="78">
        <v>40189.130659722221</v>
      </c>
      <c r="AN887" s="76" t="s">
        <v>24401</v>
      </c>
      <c r="AO887" s="76" t="s">
        <v>25505</v>
      </c>
      <c r="AP887" s="76"/>
      <c r="AQ887" s="76"/>
      <c r="AR887" s="76"/>
      <c r="AS887" s="76"/>
      <c r="AT887" s="76"/>
      <c r="AU887" s="76"/>
      <c r="AV887" s="76"/>
      <c r="AW887" s="76"/>
      <c r="AX887" s="76" t="b">
        <v>0</v>
      </c>
      <c r="AY887" s="76"/>
      <c r="AZ887" s="76"/>
      <c r="BA887" s="76" t="b">
        <v>0</v>
      </c>
      <c r="BB887" s="76" t="b">
        <v>1</v>
      </c>
      <c r="BC887" s="76" t="b">
        <v>0</v>
      </c>
      <c r="BD887" s="76" t="b">
        <v>0</v>
      </c>
      <c r="BE887" s="76" t="b">
        <v>1</v>
      </c>
      <c r="BF887" s="76" t="b">
        <v>0</v>
      </c>
      <c r="BG887" s="76" t="b">
        <v>0</v>
      </c>
      <c r="BH887" s="76"/>
      <c r="BI887" s="76"/>
      <c r="BJ887" s="76" t="s">
        <v>27595</v>
      </c>
      <c r="BK887" s="76" t="b">
        <v>0</v>
      </c>
      <c r="BL887" s="76"/>
      <c r="BM887" s="76" t="s">
        <v>66</v>
      </c>
      <c r="BN887" s="76" t="s">
        <v>27597</v>
      </c>
      <c r="BO887" s="82" t="str">
        <f>HYPERLINK("https://twitter.com/sergioronnie")</f>
        <v>https://twitter.com/sergioronnie</v>
      </c>
      <c r="BP887" s="2"/>
    </row>
    <row r="888" spans="1:68" x14ac:dyDescent="0.25">
      <c r="A888" s="62" t="s">
        <v>861</v>
      </c>
      <c r="B888" s="63"/>
      <c r="C888" s="63"/>
      <c r="D888" s="64"/>
      <c r="E888" s="66"/>
      <c r="F888" s="103" t="str">
        <f>HYPERLINK("https://pbs.twimg.com/profile_images/1584193594570817537/TaKqi8U-_normal.jpg")</f>
        <v>https://pbs.twimg.com/profile_images/1584193594570817537/TaKqi8U-_normal.jpg</v>
      </c>
      <c r="G888" s="63"/>
      <c r="H888" s="67"/>
      <c r="I888" s="68"/>
      <c r="J888" s="68"/>
      <c r="K888" s="67" t="s">
        <v>28482</v>
      </c>
      <c r="L888" s="71"/>
      <c r="M888" s="72"/>
      <c r="N888" s="72"/>
      <c r="O888" s="73"/>
      <c r="P888" s="74"/>
      <c r="Q888" s="74"/>
      <c r="R888" s="87"/>
      <c r="S888" s="87"/>
      <c r="T888" s="87"/>
      <c r="U888" s="87"/>
      <c r="V888" s="48"/>
      <c r="W888" s="48"/>
      <c r="X888" s="48"/>
      <c r="Y888" s="48"/>
      <c r="Z888" s="47"/>
      <c r="AA888" s="69">
        <v>888</v>
      </c>
      <c r="AB888" s="69"/>
      <c r="AC888" s="70"/>
      <c r="AD888" s="76" t="s">
        <v>22118</v>
      </c>
      <c r="AE888" s="81" t="s">
        <v>20795</v>
      </c>
      <c r="AF888" s="76">
        <v>1077</v>
      </c>
      <c r="AG888" s="76">
        <v>1053</v>
      </c>
      <c r="AH888" s="76">
        <v>30312</v>
      </c>
      <c r="AI888" s="76">
        <v>1</v>
      </c>
      <c r="AJ888" s="76">
        <v>43984</v>
      </c>
      <c r="AK888" s="76">
        <v>8</v>
      </c>
      <c r="AL888" s="76" t="b">
        <v>0</v>
      </c>
      <c r="AM888" s="78">
        <v>44843.941493055558</v>
      </c>
      <c r="AN888" s="76"/>
      <c r="AO888" s="76"/>
      <c r="AP888" s="76"/>
      <c r="AQ888" s="76"/>
      <c r="AR888" s="76"/>
      <c r="AS888" s="76"/>
      <c r="AT888" s="76"/>
      <c r="AU888" s="76"/>
      <c r="AV888" s="76"/>
      <c r="AW888" s="76"/>
      <c r="AX888" s="76" t="b">
        <v>0</v>
      </c>
      <c r="AY888" s="76"/>
      <c r="AZ888" s="76"/>
      <c r="BA888" s="76" t="b">
        <v>0</v>
      </c>
      <c r="BB888" s="76" t="b">
        <v>1</v>
      </c>
      <c r="BC888" s="76" t="b">
        <v>1</v>
      </c>
      <c r="BD888" s="76" t="b">
        <v>0</v>
      </c>
      <c r="BE888" s="76" t="b">
        <v>1</v>
      </c>
      <c r="BF888" s="76" t="b">
        <v>0</v>
      </c>
      <c r="BG888" s="76" t="b">
        <v>0</v>
      </c>
      <c r="BH888" s="82" t="str">
        <f>HYPERLINK("https://pbs.twimg.com/profile_banners/1579239114821566466/1665393609")</f>
        <v>https://pbs.twimg.com/profile_banners/1579239114821566466/1665393609</v>
      </c>
      <c r="BI888" s="76"/>
      <c r="BJ888" s="76" t="s">
        <v>27595</v>
      </c>
      <c r="BK888" s="76" t="b">
        <v>0</v>
      </c>
      <c r="BL888" s="76"/>
      <c r="BM888" s="76" t="s">
        <v>66</v>
      </c>
      <c r="BN888" s="76" t="s">
        <v>27597</v>
      </c>
      <c r="BO888" s="82" t="str">
        <f>HYPERLINK("https://twitter.com/ildelte22")</f>
        <v>https://twitter.com/ildelte22</v>
      </c>
      <c r="BP888" s="2"/>
    </row>
    <row r="889" spans="1:68" x14ac:dyDescent="0.25">
      <c r="A889" s="62" t="s">
        <v>862</v>
      </c>
      <c r="B889" s="63"/>
      <c r="C889" s="63"/>
      <c r="D889" s="64"/>
      <c r="E889" s="66"/>
      <c r="F889" s="103" t="str">
        <f>HYPERLINK("https://pbs.twimg.com/profile_images/1240415543842222083/psoqgEoA_normal.jpg")</f>
        <v>https://pbs.twimg.com/profile_images/1240415543842222083/psoqgEoA_normal.jpg</v>
      </c>
      <c r="G889" s="63"/>
      <c r="H889" s="67"/>
      <c r="I889" s="68"/>
      <c r="J889" s="68"/>
      <c r="K889" s="67" t="s">
        <v>28483</v>
      </c>
      <c r="L889" s="71"/>
      <c r="M889" s="72"/>
      <c r="N889" s="72"/>
      <c r="O889" s="73"/>
      <c r="P889" s="74"/>
      <c r="Q889" s="74"/>
      <c r="R889" s="87"/>
      <c r="S889" s="87"/>
      <c r="T889" s="87"/>
      <c r="U889" s="87"/>
      <c r="V889" s="48"/>
      <c r="W889" s="48"/>
      <c r="X889" s="48"/>
      <c r="Y889" s="48"/>
      <c r="Z889" s="47"/>
      <c r="AA889" s="69">
        <v>889</v>
      </c>
      <c r="AB889" s="69"/>
      <c r="AC889" s="70"/>
      <c r="AD889" s="76" t="s">
        <v>22119</v>
      </c>
      <c r="AE889" s="81" t="s">
        <v>23549</v>
      </c>
      <c r="AF889" s="76">
        <v>353</v>
      </c>
      <c r="AG889" s="76">
        <v>1354</v>
      </c>
      <c r="AH889" s="76">
        <v>581</v>
      </c>
      <c r="AI889" s="76">
        <v>0</v>
      </c>
      <c r="AJ889" s="76">
        <v>4303</v>
      </c>
      <c r="AK889" s="76">
        <v>89</v>
      </c>
      <c r="AL889" s="76" t="b">
        <v>0</v>
      </c>
      <c r="AM889" s="78">
        <v>40048.992905092593</v>
      </c>
      <c r="AN889" s="76" t="s">
        <v>24402</v>
      </c>
      <c r="AO889" s="76" t="s">
        <v>25506</v>
      </c>
      <c r="AP889" s="82" t="str">
        <f>HYPERLINK("https://t.co/fuWNW67Q1m")</f>
        <v>https://t.co/fuWNW67Q1m</v>
      </c>
      <c r="AQ889" s="82" t="str">
        <f>HYPERLINK("http://www.facebook.com/ianpedro.ck")</f>
        <v>http://www.facebook.com/ianpedro.ck</v>
      </c>
      <c r="AR889" s="76" t="s">
        <v>26841</v>
      </c>
      <c r="AS889" s="76"/>
      <c r="AT889" s="76"/>
      <c r="AU889" s="76"/>
      <c r="AV889" s="76"/>
      <c r="AW889" s="82" t="str">
        <f>HYPERLINK("https://t.co/fuWNW67Q1m")</f>
        <v>https://t.co/fuWNW67Q1m</v>
      </c>
      <c r="AX889" s="76" t="b">
        <v>0</v>
      </c>
      <c r="AY889" s="76"/>
      <c r="AZ889" s="76"/>
      <c r="BA889" s="76" t="b">
        <v>0</v>
      </c>
      <c r="BB889" s="76" t="b">
        <v>1</v>
      </c>
      <c r="BC889" s="76" t="b">
        <v>0</v>
      </c>
      <c r="BD889" s="76" t="b">
        <v>0</v>
      </c>
      <c r="BE889" s="76" t="b">
        <v>0</v>
      </c>
      <c r="BF889" s="76" t="b">
        <v>0</v>
      </c>
      <c r="BG889" s="76" t="b">
        <v>0</v>
      </c>
      <c r="BH889" s="82" t="str">
        <f>HYPERLINK("https://pbs.twimg.com/profile_banners/68269479/1459532852")</f>
        <v>https://pbs.twimg.com/profile_banners/68269479/1459532852</v>
      </c>
      <c r="BI889" s="76"/>
      <c r="BJ889" s="76" t="s">
        <v>27595</v>
      </c>
      <c r="BK889" s="76" t="b">
        <v>0</v>
      </c>
      <c r="BL889" s="76"/>
      <c r="BM889" s="76" t="s">
        <v>66</v>
      </c>
      <c r="BN889" s="76" t="s">
        <v>27597</v>
      </c>
      <c r="BO889" s="82" t="str">
        <f>HYPERLINK("https://twitter.com/maxsilence")</f>
        <v>https://twitter.com/maxsilence</v>
      </c>
      <c r="BP889" s="2"/>
    </row>
    <row r="890" spans="1:68" x14ac:dyDescent="0.25">
      <c r="A890" s="62" t="s">
        <v>863</v>
      </c>
      <c r="B890" s="63"/>
      <c r="C890" s="63"/>
      <c r="D890" s="64"/>
      <c r="E890" s="66"/>
      <c r="F890" s="103" t="str">
        <f>HYPERLINK("https://pbs.twimg.com/profile_images/1628180544054755329/8GihhYXV_normal.jpg")</f>
        <v>https://pbs.twimg.com/profile_images/1628180544054755329/8GihhYXV_normal.jpg</v>
      </c>
      <c r="G890" s="63"/>
      <c r="H890" s="67"/>
      <c r="I890" s="68"/>
      <c r="J890" s="68"/>
      <c r="K890" s="67" t="s">
        <v>28484</v>
      </c>
      <c r="L890" s="71"/>
      <c r="M890" s="72"/>
      <c r="N890" s="72"/>
      <c r="O890" s="73"/>
      <c r="P890" s="74"/>
      <c r="Q890" s="74"/>
      <c r="R890" s="87"/>
      <c r="S890" s="87"/>
      <c r="T890" s="87"/>
      <c r="U890" s="87"/>
      <c r="V890" s="48"/>
      <c r="W890" s="48"/>
      <c r="X890" s="48"/>
      <c r="Y890" s="48"/>
      <c r="Z890" s="47"/>
      <c r="AA890" s="69">
        <v>890</v>
      </c>
      <c r="AB890" s="69"/>
      <c r="AC890" s="70"/>
      <c r="AD890" s="76" t="s">
        <v>22120</v>
      </c>
      <c r="AE890" s="81" t="s">
        <v>23550</v>
      </c>
      <c r="AF890" s="76">
        <v>138</v>
      </c>
      <c r="AG890" s="76">
        <v>394</v>
      </c>
      <c r="AH890" s="76">
        <v>9419</v>
      </c>
      <c r="AI890" s="76">
        <v>7</v>
      </c>
      <c r="AJ890" s="76">
        <v>11995</v>
      </c>
      <c r="AK890" s="76">
        <v>327</v>
      </c>
      <c r="AL890" s="76" t="b">
        <v>0</v>
      </c>
      <c r="AM890" s="78">
        <v>41714.748090277775</v>
      </c>
      <c r="AN890" s="76" t="s">
        <v>24403</v>
      </c>
      <c r="AO890" s="76" t="s">
        <v>25507</v>
      </c>
      <c r="AP890" s="76"/>
      <c r="AQ890" s="76"/>
      <c r="AR890" s="76"/>
      <c r="AS890" s="76"/>
      <c r="AT890" s="76"/>
      <c r="AU890" s="76"/>
      <c r="AV890" s="76">
        <v>1.70372260439619E+18</v>
      </c>
      <c r="AW890" s="76"/>
      <c r="AX890" s="76" t="b">
        <v>0</v>
      </c>
      <c r="AY890" s="76"/>
      <c r="AZ890" s="76"/>
      <c r="BA890" s="76" t="b">
        <v>0</v>
      </c>
      <c r="BB890" s="76" t="b">
        <v>0</v>
      </c>
      <c r="BC890" s="76" t="b">
        <v>0</v>
      </c>
      <c r="BD890" s="76" t="b">
        <v>0</v>
      </c>
      <c r="BE890" s="76" t="b">
        <v>1</v>
      </c>
      <c r="BF890" s="76" t="b">
        <v>0</v>
      </c>
      <c r="BG890" s="76" t="b">
        <v>0</v>
      </c>
      <c r="BH890" s="82" t="str">
        <f>HYPERLINK("https://pbs.twimg.com/profile_banners/2393074850/1662203138")</f>
        <v>https://pbs.twimg.com/profile_banners/2393074850/1662203138</v>
      </c>
      <c r="BI890" s="76"/>
      <c r="BJ890" s="76" t="s">
        <v>27595</v>
      </c>
      <c r="BK890" s="76" t="b">
        <v>0</v>
      </c>
      <c r="BL890" s="76"/>
      <c r="BM890" s="76" t="s">
        <v>66</v>
      </c>
      <c r="BN890" s="76" t="s">
        <v>27597</v>
      </c>
      <c r="BO890" s="82" t="str">
        <f>HYPERLINK("https://twitter.com/mauroflamini1")</f>
        <v>https://twitter.com/mauroflamini1</v>
      </c>
      <c r="BP890" s="2"/>
    </row>
    <row r="891" spans="1:68" x14ac:dyDescent="0.25">
      <c r="A891" s="62" t="s">
        <v>1894</v>
      </c>
      <c r="B891" s="63"/>
      <c r="C891" s="63"/>
      <c r="D891" s="64"/>
      <c r="E891" s="66"/>
      <c r="F891" s="103" t="str">
        <f>HYPERLINK("https://pbs.twimg.com/profile_images/1605402702913101824/TzRxeJ0u_normal.jpg")</f>
        <v>https://pbs.twimg.com/profile_images/1605402702913101824/TzRxeJ0u_normal.jpg</v>
      </c>
      <c r="G891" s="63"/>
      <c r="H891" s="67"/>
      <c r="I891" s="68"/>
      <c r="J891" s="68"/>
      <c r="K891" s="67" t="s">
        <v>28485</v>
      </c>
      <c r="L891" s="71"/>
      <c r="M891" s="72"/>
      <c r="N891" s="72"/>
      <c r="O891" s="73"/>
      <c r="P891" s="74"/>
      <c r="Q891" s="74"/>
      <c r="R891" s="87"/>
      <c r="S891" s="87"/>
      <c r="T891" s="87"/>
      <c r="U891" s="87"/>
      <c r="V891" s="48"/>
      <c r="W891" s="48"/>
      <c r="X891" s="48"/>
      <c r="Y891" s="48"/>
      <c r="Z891" s="47"/>
      <c r="AA891" s="69">
        <v>891</v>
      </c>
      <c r="AB891" s="69"/>
      <c r="AC891" s="70"/>
      <c r="AD891" s="76" t="s">
        <v>1894</v>
      </c>
      <c r="AE891" s="81" t="s">
        <v>20290</v>
      </c>
      <c r="AF891" s="76">
        <v>3503205</v>
      </c>
      <c r="AG891" s="76">
        <v>0</v>
      </c>
      <c r="AH891" s="76">
        <v>1068875</v>
      </c>
      <c r="AI891" s="76">
        <v>9388</v>
      </c>
      <c r="AJ891" s="76">
        <v>792</v>
      </c>
      <c r="AK891" s="76">
        <v>385983</v>
      </c>
      <c r="AL891" s="76" t="b">
        <v>0</v>
      </c>
      <c r="AM891" s="78">
        <v>40052.914594907408</v>
      </c>
      <c r="AN891" s="76"/>
      <c r="AO891" s="76" t="s">
        <v>25508</v>
      </c>
      <c r="AP891" s="82" t="str">
        <f>HYPERLINK("https://t.co/AnV4eDU1KF")</f>
        <v>https://t.co/AnV4eDU1KF</v>
      </c>
      <c r="AQ891" s="82" t="str">
        <f>HYPERLINK("http://infobae.com")</f>
        <v>http://infobae.com</v>
      </c>
      <c r="AR891" s="76" t="s">
        <v>8781</v>
      </c>
      <c r="AS891" s="76"/>
      <c r="AT891" s="76"/>
      <c r="AU891" s="76"/>
      <c r="AV891" s="76"/>
      <c r="AW891" s="82" t="str">
        <f>HYPERLINK("https://t.co/AnV4eDU1KF")</f>
        <v>https://t.co/AnV4eDU1KF</v>
      </c>
      <c r="AX891" s="76" t="b">
        <v>1</v>
      </c>
      <c r="AY891" s="76"/>
      <c r="AZ891" s="76"/>
      <c r="BA891" s="76" t="b">
        <v>0</v>
      </c>
      <c r="BB891" s="76" t="b">
        <v>0</v>
      </c>
      <c r="BC891" s="76" t="b">
        <v>0</v>
      </c>
      <c r="BD891" s="76" t="b">
        <v>0</v>
      </c>
      <c r="BE891" s="76" t="b">
        <v>1</v>
      </c>
      <c r="BF891" s="76" t="b">
        <v>0</v>
      </c>
      <c r="BG891" s="76" t="b">
        <v>0</v>
      </c>
      <c r="BH891" s="82" t="str">
        <f>HYPERLINK("https://pbs.twimg.com/profile_banners/69416519/1652987000")</f>
        <v>https://pbs.twimg.com/profile_banners/69416519/1652987000</v>
      </c>
      <c r="BI891" s="76"/>
      <c r="BJ891" s="76" t="s">
        <v>27595</v>
      </c>
      <c r="BK891" s="76" t="b">
        <v>0</v>
      </c>
      <c r="BL891" s="76"/>
      <c r="BM891" s="76" t="s">
        <v>65</v>
      </c>
      <c r="BN891" s="76" t="s">
        <v>27597</v>
      </c>
      <c r="BO891" s="82" t="str">
        <f>HYPERLINK("https://twitter.com/infobae")</f>
        <v>https://twitter.com/infobae</v>
      </c>
      <c r="BP891" s="2"/>
    </row>
    <row r="892" spans="1:68" x14ac:dyDescent="0.25">
      <c r="A892" s="62" t="s">
        <v>1895</v>
      </c>
      <c r="B892" s="63"/>
      <c r="C892" s="63"/>
      <c r="D892" s="64"/>
      <c r="E892" s="66"/>
      <c r="F892" s="103" t="str">
        <f>HYPERLINK("https://pbs.twimg.com/profile_images/1706834156091756544/EOh5lF-P_normal.jpg")</f>
        <v>https://pbs.twimg.com/profile_images/1706834156091756544/EOh5lF-P_normal.jpg</v>
      </c>
      <c r="G892" s="63"/>
      <c r="H892" s="67"/>
      <c r="I892" s="68"/>
      <c r="J892" s="68"/>
      <c r="K892" s="67" t="s">
        <v>28486</v>
      </c>
      <c r="L892" s="71"/>
      <c r="M892" s="72"/>
      <c r="N892" s="72"/>
      <c r="O892" s="73"/>
      <c r="P892" s="74"/>
      <c r="Q892" s="74"/>
      <c r="R892" s="87"/>
      <c r="S892" s="87"/>
      <c r="T892" s="87"/>
      <c r="U892" s="87"/>
      <c r="V892" s="48"/>
      <c r="W892" s="48"/>
      <c r="X892" s="48"/>
      <c r="Y892" s="48"/>
      <c r="Z892" s="47"/>
      <c r="AA892" s="69">
        <v>892</v>
      </c>
      <c r="AB892" s="69"/>
      <c r="AC892" s="70"/>
      <c r="AD892" s="76" t="s">
        <v>22121</v>
      </c>
      <c r="AE892" s="81" t="s">
        <v>23551</v>
      </c>
      <c r="AF892" s="76">
        <v>1</v>
      </c>
      <c r="AG892" s="76">
        <v>4</v>
      </c>
      <c r="AH892" s="76">
        <v>84</v>
      </c>
      <c r="AI892" s="76">
        <v>0</v>
      </c>
      <c r="AJ892" s="76">
        <v>204</v>
      </c>
      <c r="AK892" s="76">
        <v>10</v>
      </c>
      <c r="AL892" s="76" t="b">
        <v>0</v>
      </c>
      <c r="AM892" s="78">
        <v>44964.67900462963</v>
      </c>
      <c r="AN892" s="76"/>
      <c r="AO892" s="76"/>
      <c r="AP892" s="76"/>
      <c r="AQ892" s="76"/>
      <c r="AR892" s="76"/>
      <c r="AS892" s="76"/>
      <c r="AT892" s="76"/>
      <c r="AU892" s="76"/>
      <c r="AV892" s="76">
        <v>1.6260936386097001E+18</v>
      </c>
      <c r="AW892" s="76"/>
      <c r="AX892" s="76" t="b">
        <v>0</v>
      </c>
      <c r="AY892" s="76"/>
      <c r="AZ892" s="76"/>
      <c r="BA892" s="76" t="b">
        <v>1</v>
      </c>
      <c r="BB892" s="76" t="b">
        <v>0</v>
      </c>
      <c r="BC892" s="76" t="b">
        <v>1</v>
      </c>
      <c r="BD892" s="76" t="b">
        <v>0</v>
      </c>
      <c r="BE892" s="76" t="b">
        <v>1</v>
      </c>
      <c r="BF892" s="76" t="b">
        <v>0</v>
      </c>
      <c r="BG892" s="76" t="b">
        <v>0</v>
      </c>
      <c r="BH892" s="82" t="str">
        <f>HYPERLINK("https://pbs.twimg.com/profile_banners/1622992973343641602/1695776042")</f>
        <v>https://pbs.twimg.com/profile_banners/1622992973343641602/1695776042</v>
      </c>
      <c r="BI892" s="76"/>
      <c r="BJ892" s="76" t="s">
        <v>27595</v>
      </c>
      <c r="BK892" s="76" t="b">
        <v>0</v>
      </c>
      <c r="BL892" s="76"/>
      <c r="BM892" s="76" t="s">
        <v>65</v>
      </c>
      <c r="BN892" s="76" t="s">
        <v>27597</v>
      </c>
      <c r="BO892" s="82" t="str">
        <f>HYPERLINK("https://twitter.com/milei")</f>
        <v>https://twitter.com/milei</v>
      </c>
      <c r="BP892" s="2"/>
    </row>
    <row r="893" spans="1:68" x14ac:dyDescent="0.25">
      <c r="A893" s="62" t="s">
        <v>1896</v>
      </c>
      <c r="B893" s="63"/>
      <c r="C893" s="63"/>
      <c r="D893" s="64"/>
      <c r="E893" s="66"/>
      <c r="F893" s="103" t="str">
        <f>HYPERLINK("https://pbs.twimg.com/profile_images/1616421274888163330/LDMcueEt_normal.jpg")</f>
        <v>https://pbs.twimg.com/profile_images/1616421274888163330/LDMcueEt_normal.jpg</v>
      </c>
      <c r="G893" s="63"/>
      <c r="H893" s="67"/>
      <c r="I893" s="68"/>
      <c r="J893" s="68"/>
      <c r="K893" s="67" t="s">
        <v>28487</v>
      </c>
      <c r="L893" s="71"/>
      <c r="M893" s="72"/>
      <c r="N893" s="72"/>
      <c r="O893" s="73"/>
      <c r="P893" s="74"/>
      <c r="Q893" s="74"/>
      <c r="R893" s="87"/>
      <c r="S893" s="87"/>
      <c r="T893" s="87"/>
      <c r="U893" s="87"/>
      <c r="V893" s="48"/>
      <c r="W893" s="48"/>
      <c r="X893" s="48"/>
      <c r="Y893" s="48"/>
      <c r="Z893" s="47"/>
      <c r="AA893" s="69">
        <v>893</v>
      </c>
      <c r="AB893" s="69"/>
      <c r="AC893" s="70"/>
      <c r="AD893" s="76" t="s">
        <v>22122</v>
      </c>
      <c r="AE893" s="81" t="s">
        <v>20291</v>
      </c>
      <c r="AF893" s="76">
        <v>41664</v>
      </c>
      <c r="AG893" s="76">
        <v>1397</v>
      </c>
      <c r="AH893" s="76">
        <v>45291</v>
      </c>
      <c r="AI893" s="76">
        <v>102</v>
      </c>
      <c r="AJ893" s="76">
        <v>32282</v>
      </c>
      <c r="AK893" s="76">
        <v>6535</v>
      </c>
      <c r="AL893" s="76" t="b">
        <v>0</v>
      </c>
      <c r="AM893" s="78">
        <v>40289.88622685185</v>
      </c>
      <c r="AN893" s="76" t="s">
        <v>14385</v>
      </c>
      <c r="AO893" s="76" t="s">
        <v>25509</v>
      </c>
      <c r="AP893" s="82" t="str">
        <f>HYPERLINK("https://t.co/38veY6ke07")</f>
        <v>https://t.co/38veY6ke07</v>
      </c>
      <c r="AQ893" s="82" t="str">
        <f>HYPERLINK("https://www.facebook.com/Diego-Wainstein-142281065825745/")</f>
        <v>https://www.facebook.com/Diego-Wainstein-142281065825745/</v>
      </c>
      <c r="AR893" s="76" t="s">
        <v>26842</v>
      </c>
      <c r="AS893" s="76"/>
      <c r="AT893" s="76"/>
      <c r="AU893" s="76"/>
      <c r="AV893" s="76"/>
      <c r="AW893" s="82" t="str">
        <f>HYPERLINK("https://t.co/38veY6ke07")</f>
        <v>https://t.co/38veY6ke07</v>
      </c>
      <c r="AX893" s="76" t="b">
        <v>1</v>
      </c>
      <c r="AY893" s="76"/>
      <c r="AZ893" s="76"/>
      <c r="BA893" s="76" t="b">
        <v>0</v>
      </c>
      <c r="BB893" s="76" t="b">
        <v>0</v>
      </c>
      <c r="BC893" s="76" t="b">
        <v>0</v>
      </c>
      <c r="BD893" s="76" t="b">
        <v>0</v>
      </c>
      <c r="BE893" s="76" t="b">
        <v>1</v>
      </c>
      <c r="BF893" s="76" t="b">
        <v>0</v>
      </c>
      <c r="BG893" s="76" t="b">
        <v>0</v>
      </c>
      <c r="BH893" s="82" t="str">
        <f>HYPERLINK("https://pbs.twimg.com/profile_banners/135629267/1683383275")</f>
        <v>https://pbs.twimg.com/profile_banners/135629267/1683383275</v>
      </c>
      <c r="BI893" s="76"/>
      <c r="BJ893" s="76" t="s">
        <v>27595</v>
      </c>
      <c r="BK893" s="76" t="b">
        <v>0</v>
      </c>
      <c r="BL893" s="76"/>
      <c r="BM893" s="76" t="s">
        <v>65</v>
      </c>
      <c r="BN893" s="76" t="s">
        <v>27597</v>
      </c>
      <c r="BO893" s="82" t="str">
        <f>HYPERLINK("https://twitter.com/diegowainstein")</f>
        <v>https://twitter.com/diegowainstein</v>
      </c>
      <c r="BP893" s="2"/>
    </row>
    <row r="894" spans="1:68" x14ac:dyDescent="0.25">
      <c r="A894" s="62" t="s">
        <v>864</v>
      </c>
      <c r="B894" s="63"/>
      <c r="C894" s="63"/>
      <c r="D894" s="64"/>
      <c r="E894" s="66"/>
      <c r="F894" s="103" t="str">
        <f>HYPERLINK("https://pbs.twimg.com/profile_images/1262470918577836033/9GK57hyK_normal.jpg")</f>
        <v>https://pbs.twimg.com/profile_images/1262470918577836033/9GK57hyK_normal.jpg</v>
      </c>
      <c r="G894" s="63"/>
      <c r="H894" s="67"/>
      <c r="I894" s="68"/>
      <c r="J894" s="68"/>
      <c r="K894" s="67" t="s">
        <v>28488</v>
      </c>
      <c r="L894" s="71"/>
      <c r="M894" s="72"/>
      <c r="N894" s="72"/>
      <c r="O894" s="73"/>
      <c r="P894" s="74"/>
      <c r="Q894" s="74"/>
      <c r="R894" s="87"/>
      <c r="S894" s="87"/>
      <c r="T894" s="87"/>
      <c r="U894" s="87"/>
      <c r="V894" s="48"/>
      <c r="W894" s="48"/>
      <c r="X894" s="48"/>
      <c r="Y894" s="48"/>
      <c r="Z894" s="47"/>
      <c r="AA894" s="69">
        <v>894</v>
      </c>
      <c r="AB894" s="69"/>
      <c r="AC894" s="70"/>
      <c r="AD894" s="76" t="s">
        <v>22123</v>
      </c>
      <c r="AE894" s="81" t="s">
        <v>23552</v>
      </c>
      <c r="AF894" s="76">
        <v>38435</v>
      </c>
      <c r="AG894" s="76">
        <v>3428</v>
      </c>
      <c r="AH894" s="76">
        <v>95923</v>
      </c>
      <c r="AI894" s="76">
        <v>338</v>
      </c>
      <c r="AJ894" s="76">
        <v>697</v>
      </c>
      <c r="AK894" s="76">
        <v>19465</v>
      </c>
      <c r="AL894" s="76" t="b">
        <v>0</v>
      </c>
      <c r="AM894" s="78">
        <v>39955.540196759262</v>
      </c>
      <c r="AN894" s="76" t="s">
        <v>14479</v>
      </c>
      <c r="AO894" s="76" t="s">
        <v>25510</v>
      </c>
      <c r="AP894" s="82" t="str">
        <f>HYPERLINK("https://t.co/ffWSOUR18E")</f>
        <v>https://t.co/ffWSOUR18E</v>
      </c>
      <c r="AQ894" s="82" t="str">
        <f>HYPERLINK("http://www.spdiario.com.br")</f>
        <v>http://www.spdiario.com.br</v>
      </c>
      <c r="AR894" s="76" t="s">
        <v>26843</v>
      </c>
      <c r="AS894" s="82" t="str">
        <f>HYPERLINK("https://t.co/GyD1yIR2Cf")</f>
        <v>https://t.co/GyD1yIR2Cf</v>
      </c>
      <c r="AT894" s="82" t="str">
        <f>HYPERLINK("http://Instagram.com/diariosp")</f>
        <v>http://Instagram.com/diariosp</v>
      </c>
      <c r="AU894" s="76" t="s">
        <v>27506</v>
      </c>
      <c r="AV894" s="76">
        <v>1.4915856288904E+18</v>
      </c>
      <c r="AW894" s="82" t="str">
        <f>HYPERLINK("https://t.co/ffWSOUR18E")</f>
        <v>https://t.co/ffWSOUR18E</v>
      </c>
      <c r="AX894" s="76" t="b">
        <v>0</v>
      </c>
      <c r="AY894" s="76"/>
      <c r="AZ894" s="76"/>
      <c r="BA894" s="76" t="b">
        <v>0</v>
      </c>
      <c r="BB894" s="76" t="b">
        <v>1</v>
      </c>
      <c r="BC894" s="76" t="b">
        <v>0</v>
      </c>
      <c r="BD894" s="76" t="b">
        <v>0</v>
      </c>
      <c r="BE894" s="76" t="b">
        <v>1</v>
      </c>
      <c r="BF894" s="76" t="b">
        <v>0</v>
      </c>
      <c r="BG894" s="76" t="b">
        <v>0</v>
      </c>
      <c r="BH894" s="82" t="str">
        <f>HYPERLINK("https://pbs.twimg.com/profile_banners/41806159/1471904278")</f>
        <v>https://pbs.twimg.com/profile_banners/41806159/1471904278</v>
      </c>
      <c r="BI894" s="76"/>
      <c r="BJ894" s="76" t="s">
        <v>27595</v>
      </c>
      <c r="BK894" s="76" t="b">
        <v>0</v>
      </c>
      <c r="BL894" s="76"/>
      <c r="BM894" s="76" t="s">
        <v>66</v>
      </c>
      <c r="BN894" s="76" t="s">
        <v>27597</v>
      </c>
      <c r="BO894" s="82" t="str">
        <f>HYPERLINK("https://twitter.com/diariosp")</f>
        <v>https://twitter.com/diariosp</v>
      </c>
      <c r="BP894" s="2"/>
    </row>
    <row r="895" spans="1:68" x14ac:dyDescent="0.25">
      <c r="A895" s="62" t="s">
        <v>865</v>
      </c>
      <c r="B895" s="63"/>
      <c r="C895" s="63"/>
      <c r="D895" s="64"/>
      <c r="E895" s="66"/>
      <c r="F895" s="103" t="str">
        <f>HYPERLINK("https://pbs.twimg.com/profile_images/1657555639961255938/X5hcMo3W_normal.jpg")</f>
        <v>https://pbs.twimg.com/profile_images/1657555639961255938/X5hcMo3W_normal.jpg</v>
      </c>
      <c r="G895" s="63"/>
      <c r="H895" s="67"/>
      <c r="I895" s="68"/>
      <c r="J895" s="68"/>
      <c r="K895" s="67" t="s">
        <v>28489</v>
      </c>
      <c r="L895" s="71"/>
      <c r="M895" s="72"/>
      <c r="N895" s="72"/>
      <c r="O895" s="73"/>
      <c r="P895" s="74"/>
      <c r="Q895" s="74"/>
      <c r="R895" s="87"/>
      <c r="S895" s="87"/>
      <c r="T895" s="87"/>
      <c r="U895" s="87"/>
      <c r="V895" s="48"/>
      <c r="W895" s="48"/>
      <c r="X895" s="48"/>
      <c r="Y895" s="48"/>
      <c r="Z895" s="47"/>
      <c r="AA895" s="69">
        <v>895</v>
      </c>
      <c r="AB895" s="69"/>
      <c r="AC895" s="70"/>
      <c r="AD895" s="76" t="s">
        <v>22124</v>
      </c>
      <c r="AE895" s="81" t="s">
        <v>20796</v>
      </c>
      <c r="AF895" s="76">
        <v>102</v>
      </c>
      <c r="AG895" s="76">
        <v>1</v>
      </c>
      <c r="AH895" s="76">
        <v>5547</v>
      </c>
      <c r="AI895" s="76">
        <v>0</v>
      </c>
      <c r="AJ895" s="76">
        <v>1657</v>
      </c>
      <c r="AK895" s="76">
        <v>3494</v>
      </c>
      <c r="AL895" s="76" t="b">
        <v>0</v>
      </c>
      <c r="AM895" s="78">
        <v>43994.537777777776</v>
      </c>
      <c r="AN895" s="76"/>
      <c r="AO895" s="76" t="s">
        <v>25511</v>
      </c>
      <c r="AP895" s="76"/>
      <c r="AQ895" s="76"/>
      <c r="AR895" s="76"/>
      <c r="AS895" s="76"/>
      <c r="AT895" s="76"/>
      <c r="AU895" s="76"/>
      <c r="AV895" s="76"/>
      <c r="AW895" s="76"/>
      <c r="AX895" s="76" t="b">
        <v>0</v>
      </c>
      <c r="AY895" s="76"/>
      <c r="AZ895" s="76"/>
      <c r="BA895" s="76" t="b">
        <v>0</v>
      </c>
      <c r="BB895" s="76" t="b">
        <v>1</v>
      </c>
      <c r="BC895" s="76" t="b">
        <v>1</v>
      </c>
      <c r="BD895" s="76" t="b">
        <v>0</v>
      </c>
      <c r="BE895" s="76" t="b">
        <v>1</v>
      </c>
      <c r="BF895" s="76" t="b">
        <v>0</v>
      </c>
      <c r="BG895" s="76" t="b">
        <v>0</v>
      </c>
      <c r="BH895" s="82" t="str">
        <f>HYPERLINK("https://pbs.twimg.com/profile_banners/1271425545096527879/1684027302")</f>
        <v>https://pbs.twimg.com/profile_banners/1271425545096527879/1684027302</v>
      </c>
      <c r="BI895" s="76"/>
      <c r="BJ895" s="76" t="s">
        <v>27595</v>
      </c>
      <c r="BK895" s="76" t="b">
        <v>0</v>
      </c>
      <c r="BL895" s="76"/>
      <c r="BM895" s="76" t="s">
        <v>66</v>
      </c>
      <c r="BN895" s="76" t="s">
        <v>27597</v>
      </c>
      <c r="BO895" s="82" t="str">
        <f>HYPERLINK("https://twitter.com/chapulinmaldito")</f>
        <v>https://twitter.com/chapulinmaldito</v>
      </c>
      <c r="BP895" s="2"/>
    </row>
    <row r="896" spans="1:68" x14ac:dyDescent="0.25">
      <c r="A896" s="62" t="s">
        <v>1897</v>
      </c>
      <c r="B896" s="63"/>
      <c r="C896" s="63"/>
      <c r="D896" s="64"/>
      <c r="E896" s="66"/>
      <c r="F896" s="103" t="str">
        <f>HYPERLINK("https://pbs.twimg.com/profile_images/1706370858221031424/dhS_8VES_normal.jpg")</f>
        <v>https://pbs.twimg.com/profile_images/1706370858221031424/dhS_8VES_normal.jpg</v>
      </c>
      <c r="G896" s="63"/>
      <c r="H896" s="67"/>
      <c r="I896" s="68"/>
      <c r="J896" s="68"/>
      <c r="K896" s="67" t="s">
        <v>28490</v>
      </c>
      <c r="L896" s="71"/>
      <c r="M896" s="72"/>
      <c r="N896" s="72"/>
      <c r="O896" s="73"/>
      <c r="P896" s="74"/>
      <c r="Q896" s="74"/>
      <c r="R896" s="87"/>
      <c r="S896" s="87"/>
      <c r="T896" s="87"/>
      <c r="U896" s="87"/>
      <c r="V896" s="48"/>
      <c r="W896" s="48"/>
      <c r="X896" s="48"/>
      <c r="Y896" s="48"/>
      <c r="Z896" s="47"/>
      <c r="AA896" s="69">
        <v>896</v>
      </c>
      <c r="AB896" s="69"/>
      <c r="AC896" s="70"/>
      <c r="AD896" s="76" t="s">
        <v>1897</v>
      </c>
      <c r="AE896" s="81" t="s">
        <v>23553</v>
      </c>
      <c r="AF896" s="76">
        <v>133306</v>
      </c>
      <c r="AG896" s="76">
        <v>761</v>
      </c>
      <c r="AH896" s="76">
        <v>12092</v>
      </c>
      <c r="AI896" s="76">
        <v>446</v>
      </c>
      <c r="AJ896" s="76">
        <v>1779</v>
      </c>
      <c r="AK896" s="76">
        <v>7517</v>
      </c>
      <c r="AL896" s="76" t="b">
        <v>0</v>
      </c>
      <c r="AM896" s="78">
        <v>40557.59983796296</v>
      </c>
      <c r="AN896" s="76" t="s">
        <v>24404</v>
      </c>
      <c r="AO896" s="76" t="s">
        <v>25512</v>
      </c>
      <c r="AP896" s="82" t="str">
        <f>HYPERLINK("https://t.co/8X33Cx6KKI")</f>
        <v>https://t.co/8X33Cx6KKI</v>
      </c>
      <c r="AQ896" s="82" t="str">
        <f>HYPERLINK("http://www.hacienda.cl/")</f>
        <v>http://www.hacienda.cl/</v>
      </c>
      <c r="AR896" s="76" t="s">
        <v>26844</v>
      </c>
      <c r="AS896" s="76"/>
      <c r="AT896" s="76"/>
      <c r="AU896" s="76"/>
      <c r="AV896" s="76"/>
      <c r="AW896" s="82" t="str">
        <f>HYPERLINK("https://t.co/8X33Cx6KKI")</f>
        <v>https://t.co/8X33Cx6KKI</v>
      </c>
      <c r="AX896" s="76" t="b">
        <v>0</v>
      </c>
      <c r="AY896" s="76"/>
      <c r="AZ896" s="76"/>
      <c r="BA896" s="76" t="b">
        <v>0</v>
      </c>
      <c r="BB896" s="76" t="b">
        <v>1</v>
      </c>
      <c r="BC896" s="76" t="b">
        <v>0</v>
      </c>
      <c r="BD896" s="76" t="b">
        <v>0</v>
      </c>
      <c r="BE896" s="76" t="b">
        <v>0</v>
      </c>
      <c r="BF896" s="76" t="b">
        <v>0</v>
      </c>
      <c r="BG896" s="76" t="b">
        <v>0</v>
      </c>
      <c r="BH896" s="82" t="str">
        <f>HYPERLINK("https://pbs.twimg.com/profile_banners/238162336/1695665492")</f>
        <v>https://pbs.twimg.com/profile_banners/238162336/1695665492</v>
      </c>
      <c r="BI896" s="76"/>
      <c r="BJ896" s="76" t="s">
        <v>27595</v>
      </c>
      <c r="BK896" s="76" t="b">
        <v>0</v>
      </c>
      <c r="BL896" s="76"/>
      <c r="BM896" s="76" t="s">
        <v>65</v>
      </c>
      <c r="BN896" s="76" t="s">
        <v>27597</v>
      </c>
      <c r="BO896" s="82" t="str">
        <f>HYPERLINK("https://twitter.com/min_hacienda")</f>
        <v>https://twitter.com/min_hacienda</v>
      </c>
      <c r="BP896" s="2"/>
    </row>
    <row r="897" spans="1:68" x14ac:dyDescent="0.25">
      <c r="A897" s="62" t="s">
        <v>1898</v>
      </c>
      <c r="B897" s="63"/>
      <c r="C897" s="63"/>
      <c r="D897" s="64"/>
      <c r="E897" s="66"/>
      <c r="F897" s="103" t="str">
        <f>HYPERLINK("https://pbs.twimg.com/profile_images/1704503719243472897/tGlAvqZU_normal.jpg")</f>
        <v>https://pbs.twimg.com/profile_images/1704503719243472897/tGlAvqZU_normal.jpg</v>
      </c>
      <c r="G897" s="63"/>
      <c r="H897" s="67"/>
      <c r="I897" s="68"/>
      <c r="J897" s="68"/>
      <c r="K897" s="67" t="s">
        <v>28491</v>
      </c>
      <c r="L897" s="71"/>
      <c r="M897" s="72"/>
      <c r="N897" s="72"/>
      <c r="O897" s="73"/>
      <c r="P897" s="74"/>
      <c r="Q897" s="74"/>
      <c r="R897" s="87"/>
      <c r="S897" s="87"/>
      <c r="T897" s="87"/>
      <c r="U897" s="87"/>
      <c r="V897" s="48"/>
      <c r="W897" s="48"/>
      <c r="X897" s="48"/>
      <c r="Y897" s="48"/>
      <c r="Z897" s="47"/>
      <c r="AA897" s="69">
        <v>897</v>
      </c>
      <c r="AB897" s="69"/>
      <c r="AC897" s="70"/>
      <c r="AD897" s="76" t="s">
        <v>22125</v>
      </c>
      <c r="AE897" s="81" t="s">
        <v>23554</v>
      </c>
      <c r="AF897" s="76">
        <v>192047</v>
      </c>
      <c r="AG897" s="76">
        <v>3841</v>
      </c>
      <c r="AH897" s="76">
        <v>42377</v>
      </c>
      <c r="AI897" s="76">
        <v>879</v>
      </c>
      <c r="AJ897" s="76">
        <v>15360</v>
      </c>
      <c r="AK897" s="76">
        <v>13705</v>
      </c>
      <c r="AL897" s="76" t="b">
        <v>0</v>
      </c>
      <c r="AM897" s="78">
        <v>40226.656631944446</v>
      </c>
      <c r="AN897" s="76" t="s">
        <v>14386</v>
      </c>
      <c r="AO897" s="76" t="s">
        <v>25513</v>
      </c>
      <c r="AP897" s="82" t="str">
        <f>HYPERLINK("https://t.co/7BHinqWH71")</f>
        <v>https://t.co/7BHinqWH71</v>
      </c>
      <c r="AQ897" s="82" t="str">
        <f>HYPERLINK("https://msgg.gob.cl/")</f>
        <v>https://msgg.gob.cl/</v>
      </c>
      <c r="AR897" s="76" t="s">
        <v>26845</v>
      </c>
      <c r="AS897" s="76"/>
      <c r="AT897" s="76"/>
      <c r="AU897" s="76"/>
      <c r="AV897" s="76"/>
      <c r="AW897" s="82" t="str">
        <f>HYPERLINK("https://t.co/7BHinqWH71")</f>
        <v>https://t.co/7BHinqWH71</v>
      </c>
      <c r="AX897" s="76" t="b">
        <v>0</v>
      </c>
      <c r="AY897" s="76"/>
      <c r="AZ897" s="76"/>
      <c r="BA897" s="76" t="b">
        <v>1</v>
      </c>
      <c r="BB897" s="76" t="b">
        <v>1</v>
      </c>
      <c r="BC897" s="76" t="b">
        <v>0</v>
      </c>
      <c r="BD897" s="76" t="b">
        <v>0</v>
      </c>
      <c r="BE897" s="76" t="b">
        <v>1</v>
      </c>
      <c r="BF897" s="76" t="b">
        <v>0</v>
      </c>
      <c r="BG897" s="76" t="b">
        <v>0</v>
      </c>
      <c r="BH897" s="82" t="str">
        <f>HYPERLINK("https://pbs.twimg.com/profile_banners/115090913/1695220331")</f>
        <v>https://pbs.twimg.com/profile_banners/115090913/1695220331</v>
      </c>
      <c r="BI897" s="76"/>
      <c r="BJ897" s="76" t="s">
        <v>27596</v>
      </c>
      <c r="BK897" s="76" t="b">
        <v>0</v>
      </c>
      <c r="BL897" s="76"/>
      <c r="BM897" s="76" t="s">
        <v>65</v>
      </c>
      <c r="BN897" s="76" t="s">
        <v>27597</v>
      </c>
      <c r="BO897" s="82" t="str">
        <f>HYPERLINK("https://twitter.com/voceriagobierno")</f>
        <v>https://twitter.com/voceriagobierno</v>
      </c>
      <c r="BP897" s="2"/>
    </row>
    <row r="898" spans="1:68" x14ac:dyDescent="0.25">
      <c r="A898" s="62" t="s">
        <v>1899</v>
      </c>
      <c r="B898" s="63"/>
      <c r="C898" s="63"/>
      <c r="D898" s="64"/>
      <c r="E898" s="66"/>
      <c r="F898" s="103" t="str">
        <f>HYPERLINK("https://pbs.twimg.com/profile_images/1544008599688515584/szglfsXs_normal.jpg")</f>
        <v>https://pbs.twimg.com/profile_images/1544008599688515584/szglfsXs_normal.jpg</v>
      </c>
      <c r="G898" s="63"/>
      <c r="H898" s="67"/>
      <c r="I898" s="68"/>
      <c r="J898" s="68"/>
      <c r="K898" s="67" t="s">
        <v>28492</v>
      </c>
      <c r="L898" s="71"/>
      <c r="M898" s="72"/>
      <c r="N898" s="72"/>
      <c r="O898" s="73"/>
      <c r="P898" s="74"/>
      <c r="Q898" s="74"/>
      <c r="R898" s="87"/>
      <c r="S898" s="87"/>
      <c r="T898" s="87"/>
      <c r="U898" s="87"/>
      <c r="V898" s="48"/>
      <c r="W898" s="48"/>
      <c r="X898" s="48"/>
      <c r="Y898" s="48"/>
      <c r="Z898" s="47"/>
      <c r="AA898" s="69">
        <v>898</v>
      </c>
      <c r="AB898" s="69"/>
      <c r="AC898" s="70"/>
      <c r="AD898" s="76" t="s">
        <v>22126</v>
      </c>
      <c r="AE898" s="81" t="s">
        <v>20292</v>
      </c>
      <c r="AF898" s="76">
        <v>1600287</v>
      </c>
      <c r="AG898" s="76">
        <v>2457</v>
      </c>
      <c r="AH898" s="76">
        <v>22557</v>
      </c>
      <c r="AI898" s="76">
        <v>3571</v>
      </c>
      <c r="AJ898" s="76">
        <v>13572</v>
      </c>
      <c r="AK898" s="76">
        <v>3478</v>
      </c>
      <c r="AL898" s="76" t="b">
        <v>0</v>
      </c>
      <c r="AM898" s="78">
        <v>40523.651180555556</v>
      </c>
      <c r="AN898" s="76" t="s">
        <v>14386</v>
      </c>
      <c r="AO898" s="76" t="s">
        <v>25514</v>
      </c>
      <c r="AP898" s="82" t="str">
        <f>HYPERLINK("https://t.co/6emjmz6het")</f>
        <v>https://t.co/6emjmz6het</v>
      </c>
      <c r="AQ898" s="82" t="str">
        <f>HYPERLINK("http://www.instagram.com/camilantoniamaranta")</f>
        <v>http://www.instagram.com/camilantoniamaranta</v>
      </c>
      <c r="AR898" s="76" t="s">
        <v>26846</v>
      </c>
      <c r="AS898" s="76"/>
      <c r="AT898" s="76"/>
      <c r="AU898" s="76"/>
      <c r="AV898" s="76"/>
      <c r="AW898" s="82" t="str">
        <f>HYPERLINK("https://t.co/6emjmz6het")</f>
        <v>https://t.co/6emjmz6het</v>
      </c>
      <c r="AX898" s="76" t="b">
        <v>1</v>
      </c>
      <c r="AY898" s="76"/>
      <c r="AZ898" s="76"/>
      <c r="BA898" s="76" t="b">
        <v>0</v>
      </c>
      <c r="BB898" s="76" t="b">
        <v>0</v>
      </c>
      <c r="BC898" s="76" t="b">
        <v>0</v>
      </c>
      <c r="BD898" s="76" t="b">
        <v>0</v>
      </c>
      <c r="BE898" s="76" t="b">
        <v>1</v>
      </c>
      <c r="BF898" s="76" t="b">
        <v>0</v>
      </c>
      <c r="BG898" s="76" t="b">
        <v>0</v>
      </c>
      <c r="BH898" s="82" t="str">
        <f>HYPERLINK("https://pbs.twimg.com/profile_banners/225445834/1668183908")</f>
        <v>https://pbs.twimg.com/profile_banners/225445834/1668183908</v>
      </c>
      <c r="BI898" s="76"/>
      <c r="BJ898" s="76" t="s">
        <v>27595</v>
      </c>
      <c r="BK898" s="76" t="b">
        <v>0</v>
      </c>
      <c r="BL898" s="76"/>
      <c r="BM898" s="76" t="s">
        <v>65</v>
      </c>
      <c r="BN898" s="76" t="s">
        <v>27597</v>
      </c>
      <c r="BO898" s="82" t="str">
        <f>HYPERLINK("https://twitter.com/camila_vallejo")</f>
        <v>https://twitter.com/camila_vallejo</v>
      </c>
      <c r="BP898" s="2"/>
    </row>
    <row r="899" spans="1:68" x14ac:dyDescent="0.25">
      <c r="A899" s="62" t="s">
        <v>1900</v>
      </c>
      <c r="B899" s="63"/>
      <c r="C899" s="63"/>
      <c r="D899" s="64"/>
      <c r="E899" s="66"/>
      <c r="F899" s="103" t="str">
        <f>HYPERLINK("https://pbs.twimg.com/profile_images/1704498379026288640/Gv3cFHpP_normal.jpg")</f>
        <v>https://pbs.twimg.com/profile_images/1704498379026288640/Gv3cFHpP_normal.jpg</v>
      </c>
      <c r="G899" s="63"/>
      <c r="H899" s="67"/>
      <c r="I899" s="68"/>
      <c r="J899" s="68"/>
      <c r="K899" s="67" t="s">
        <v>28493</v>
      </c>
      <c r="L899" s="71"/>
      <c r="M899" s="72"/>
      <c r="N899" s="72"/>
      <c r="O899" s="73"/>
      <c r="P899" s="74"/>
      <c r="Q899" s="74"/>
      <c r="R899" s="87"/>
      <c r="S899" s="87"/>
      <c r="T899" s="87"/>
      <c r="U899" s="87"/>
      <c r="V899" s="48"/>
      <c r="W899" s="48"/>
      <c r="X899" s="48"/>
      <c r="Y899" s="48"/>
      <c r="Z899" s="47"/>
      <c r="AA899" s="69">
        <v>899</v>
      </c>
      <c r="AB899" s="69"/>
      <c r="AC899" s="70"/>
      <c r="AD899" s="76" t="s">
        <v>22127</v>
      </c>
      <c r="AE899" s="81" t="s">
        <v>23555</v>
      </c>
      <c r="AF899" s="76">
        <v>166831</v>
      </c>
      <c r="AG899" s="76">
        <v>905</v>
      </c>
      <c r="AH899" s="76">
        <v>22198</v>
      </c>
      <c r="AI899" s="76">
        <v>616</v>
      </c>
      <c r="AJ899" s="76">
        <v>9407</v>
      </c>
      <c r="AK899" s="76">
        <v>9358</v>
      </c>
      <c r="AL899" s="76" t="b">
        <v>0</v>
      </c>
      <c r="AM899" s="78">
        <v>40738.741354166668</v>
      </c>
      <c r="AN899" s="76" t="s">
        <v>14386</v>
      </c>
      <c r="AO899" s="76" t="s">
        <v>25515</v>
      </c>
      <c r="AP899" s="82" t="str">
        <f>HYPERLINK("https://t.co/Oaxb6WpaMf")</f>
        <v>https://t.co/Oaxb6WpaMf</v>
      </c>
      <c r="AQ899" s="82" t="str">
        <f>HYPERLINK("http://www.economia.cl")</f>
        <v>http://www.economia.cl</v>
      </c>
      <c r="AR899" s="76" t="s">
        <v>26847</v>
      </c>
      <c r="AS899" s="76"/>
      <c r="AT899" s="76"/>
      <c r="AU899" s="76"/>
      <c r="AV899" s="76"/>
      <c r="AW899" s="82" t="str">
        <f>HYPERLINK("https://t.co/Oaxb6WpaMf")</f>
        <v>https://t.co/Oaxb6WpaMf</v>
      </c>
      <c r="AX899" s="76" t="b">
        <v>0</v>
      </c>
      <c r="AY899" s="76"/>
      <c r="AZ899" s="76"/>
      <c r="BA899" s="76" t="b">
        <v>0</v>
      </c>
      <c r="BB899" s="76" t="b">
        <v>1</v>
      </c>
      <c r="BC899" s="76" t="b">
        <v>0</v>
      </c>
      <c r="BD899" s="76" t="b">
        <v>0</v>
      </c>
      <c r="BE899" s="76" t="b">
        <v>1</v>
      </c>
      <c r="BF899" s="76" t="b">
        <v>0</v>
      </c>
      <c r="BG899" s="76" t="b">
        <v>0</v>
      </c>
      <c r="BH899" s="82" t="str">
        <f>HYPERLINK("https://pbs.twimg.com/profile_banners/335436884/1695218998")</f>
        <v>https://pbs.twimg.com/profile_banners/335436884/1695218998</v>
      </c>
      <c r="BI899" s="76"/>
      <c r="BJ899" s="76" t="s">
        <v>27595</v>
      </c>
      <c r="BK899" s="76" t="b">
        <v>0</v>
      </c>
      <c r="BL899" s="76"/>
      <c r="BM899" s="76" t="s">
        <v>65</v>
      </c>
      <c r="BN899" s="76" t="s">
        <v>27597</v>
      </c>
      <c r="BO899" s="82" t="str">
        <f>HYPERLINK("https://twitter.com/meconomia")</f>
        <v>https://twitter.com/meconomia</v>
      </c>
      <c r="BP899" s="2"/>
    </row>
    <row r="900" spans="1:68" x14ac:dyDescent="0.25">
      <c r="A900" s="62" t="s">
        <v>1901</v>
      </c>
      <c r="B900" s="63"/>
      <c r="C900" s="63"/>
      <c r="D900" s="64"/>
      <c r="E900" s="66"/>
      <c r="F900" s="103" t="str">
        <f>HYPERLINK("https://pbs.twimg.com/profile_images/1704492238082863104/SOvVp4GA_normal.jpg")</f>
        <v>https://pbs.twimg.com/profile_images/1704492238082863104/SOvVp4GA_normal.jpg</v>
      </c>
      <c r="G900" s="63"/>
      <c r="H900" s="67"/>
      <c r="I900" s="68"/>
      <c r="J900" s="68"/>
      <c r="K900" s="67" t="s">
        <v>28494</v>
      </c>
      <c r="L900" s="71"/>
      <c r="M900" s="72"/>
      <c r="N900" s="72"/>
      <c r="O900" s="73"/>
      <c r="P900" s="74"/>
      <c r="Q900" s="74"/>
      <c r="R900" s="87"/>
      <c r="S900" s="87"/>
      <c r="T900" s="87"/>
      <c r="U900" s="87"/>
      <c r="V900" s="48"/>
      <c r="W900" s="48"/>
      <c r="X900" s="48"/>
      <c r="Y900" s="48"/>
      <c r="Z900" s="47"/>
      <c r="AA900" s="69">
        <v>900</v>
      </c>
      <c r="AB900" s="69"/>
      <c r="AC900" s="70"/>
      <c r="AD900" s="76" t="s">
        <v>22128</v>
      </c>
      <c r="AE900" s="81" t="s">
        <v>23556</v>
      </c>
      <c r="AF900" s="76">
        <v>1860384</v>
      </c>
      <c r="AG900" s="76">
        <v>690</v>
      </c>
      <c r="AH900" s="76">
        <v>52838</v>
      </c>
      <c r="AI900" s="76">
        <v>4358</v>
      </c>
      <c r="AJ900" s="76">
        <v>9277</v>
      </c>
      <c r="AK900" s="76">
        <v>15853</v>
      </c>
      <c r="AL900" s="76" t="b">
        <v>0</v>
      </c>
      <c r="AM900" s="78">
        <v>39956.90284722222</v>
      </c>
      <c r="AN900" s="76" t="s">
        <v>14386</v>
      </c>
      <c r="AO900" s="76" t="s">
        <v>25516</v>
      </c>
      <c r="AP900" s="82" t="str">
        <f>HYPERLINK("https://t.co/NeHpx8EKqo")</f>
        <v>https://t.co/NeHpx8EKqo</v>
      </c>
      <c r="AQ900" s="82" t="str">
        <f>HYPERLINK("https://www.gob.cl")</f>
        <v>https://www.gob.cl</v>
      </c>
      <c r="AR900" s="76" t="s">
        <v>26848</v>
      </c>
      <c r="AS900" s="76"/>
      <c r="AT900" s="76"/>
      <c r="AU900" s="76"/>
      <c r="AV900" s="76">
        <v>1.70562588189538E+18</v>
      </c>
      <c r="AW900" s="82" t="str">
        <f>HYPERLINK("https://t.co/NeHpx8EKqo")</f>
        <v>https://t.co/NeHpx8EKqo</v>
      </c>
      <c r="AX900" s="76" t="b">
        <v>1</v>
      </c>
      <c r="AY900" s="76"/>
      <c r="AZ900" s="76"/>
      <c r="BA900" s="76" t="b">
        <v>0</v>
      </c>
      <c r="BB900" s="76" t="b">
        <v>1</v>
      </c>
      <c r="BC900" s="76" t="b">
        <v>0</v>
      </c>
      <c r="BD900" s="76" t="b">
        <v>0</v>
      </c>
      <c r="BE900" s="76" t="b">
        <v>1</v>
      </c>
      <c r="BF900" s="76" t="b">
        <v>0</v>
      </c>
      <c r="BG900" s="76" t="b">
        <v>0</v>
      </c>
      <c r="BH900" s="82" t="str">
        <f>HYPERLINK("https://pbs.twimg.com/profile_banners/42102939/1695217820")</f>
        <v>https://pbs.twimg.com/profile_banners/42102939/1695217820</v>
      </c>
      <c r="BI900" s="76"/>
      <c r="BJ900" s="76" t="s">
        <v>27595</v>
      </c>
      <c r="BK900" s="76" t="b">
        <v>0</v>
      </c>
      <c r="BL900" s="76"/>
      <c r="BM900" s="76" t="s">
        <v>65</v>
      </c>
      <c r="BN900" s="76" t="s">
        <v>27597</v>
      </c>
      <c r="BO900" s="82" t="str">
        <f>HYPERLINK("https://twitter.com/gobiernodechile")</f>
        <v>https://twitter.com/gobiernodechile</v>
      </c>
      <c r="BP900" s="2"/>
    </row>
    <row r="901" spans="1:68" x14ac:dyDescent="0.25">
      <c r="A901" s="62" t="s">
        <v>866</v>
      </c>
      <c r="B901" s="63"/>
      <c r="C901" s="63"/>
      <c r="D901" s="64"/>
      <c r="E901" s="66"/>
      <c r="F901" s="103" t="str">
        <f>HYPERLINK("https://pbs.twimg.com/profile_images/1663197107283435521/EkvPRFfJ_normal.jpg")</f>
        <v>https://pbs.twimg.com/profile_images/1663197107283435521/EkvPRFfJ_normal.jpg</v>
      </c>
      <c r="G901" s="63"/>
      <c r="H901" s="67"/>
      <c r="I901" s="68"/>
      <c r="J901" s="68"/>
      <c r="K901" s="67" t="s">
        <v>28495</v>
      </c>
      <c r="L901" s="71"/>
      <c r="M901" s="72"/>
      <c r="N901" s="72"/>
      <c r="O901" s="73"/>
      <c r="P901" s="74"/>
      <c r="Q901" s="74"/>
      <c r="R901" s="87"/>
      <c r="S901" s="87"/>
      <c r="T901" s="87"/>
      <c r="U901" s="87"/>
      <c r="V901" s="48"/>
      <c r="W901" s="48"/>
      <c r="X901" s="48"/>
      <c r="Y901" s="48"/>
      <c r="Z901" s="47"/>
      <c r="AA901" s="69">
        <v>901</v>
      </c>
      <c r="AB901" s="69"/>
      <c r="AC901" s="70"/>
      <c r="AD901" s="76" t="s">
        <v>22129</v>
      </c>
      <c r="AE901" s="81" t="s">
        <v>23557</v>
      </c>
      <c r="AF901" s="76">
        <v>789</v>
      </c>
      <c r="AG901" s="76">
        <v>255</v>
      </c>
      <c r="AH901" s="76">
        <v>20759</v>
      </c>
      <c r="AI901" s="76">
        <v>22</v>
      </c>
      <c r="AJ901" s="76">
        <v>401</v>
      </c>
      <c r="AK901" s="76">
        <v>876</v>
      </c>
      <c r="AL901" s="76" t="b">
        <v>0</v>
      </c>
      <c r="AM901" s="78">
        <v>39880.702233796299</v>
      </c>
      <c r="AN901" s="76"/>
      <c r="AO901" s="76" t="s">
        <v>25517</v>
      </c>
      <c r="AP901" s="82" t="str">
        <f>HYPERLINK("https://t.co/LMtqU3UMMx")</f>
        <v>https://t.co/LMtqU3UMMx</v>
      </c>
      <c r="AQ901" s="82" t="str">
        <f>HYPERLINK("https://linktr.ee/biasaltarelli")</f>
        <v>https://linktr.ee/biasaltarelli</v>
      </c>
      <c r="AR901" s="76" t="s">
        <v>26849</v>
      </c>
      <c r="AS901" s="76"/>
      <c r="AT901" s="76"/>
      <c r="AU901" s="76"/>
      <c r="AV901" s="76">
        <v>8.3571848483531904E+17</v>
      </c>
      <c r="AW901" s="82" t="str">
        <f>HYPERLINK("https://t.co/LMtqU3UMMx")</f>
        <v>https://t.co/LMtqU3UMMx</v>
      </c>
      <c r="AX901" s="76" t="b">
        <v>0</v>
      </c>
      <c r="AY901" s="76"/>
      <c r="AZ901" s="76"/>
      <c r="BA901" s="76" t="b">
        <v>0</v>
      </c>
      <c r="BB901" s="76" t="b">
        <v>1</v>
      </c>
      <c r="BC901" s="76" t="b">
        <v>0</v>
      </c>
      <c r="BD901" s="76" t="b">
        <v>0</v>
      </c>
      <c r="BE901" s="76" t="b">
        <v>0</v>
      </c>
      <c r="BF901" s="76" t="b">
        <v>0</v>
      </c>
      <c r="BG901" s="76" t="b">
        <v>0</v>
      </c>
      <c r="BH901" s="82" t="str">
        <f>HYPERLINK("https://pbs.twimg.com/profile_banners/23326155/1552009804")</f>
        <v>https://pbs.twimg.com/profile_banners/23326155/1552009804</v>
      </c>
      <c r="BI901" s="76"/>
      <c r="BJ901" s="76" t="s">
        <v>27595</v>
      </c>
      <c r="BK901" s="76" t="b">
        <v>0</v>
      </c>
      <c r="BL901" s="76"/>
      <c r="BM901" s="76" t="s">
        <v>66</v>
      </c>
      <c r="BN901" s="76" t="s">
        <v>27597</v>
      </c>
      <c r="BO901" s="82" t="str">
        <f>HYPERLINK("https://twitter.com/biasaltarelli")</f>
        <v>https://twitter.com/biasaltarelli</v>
      </c>
      <c r="BP901" s="2"/>
    </row>
    <row r="902" spans="1:68" x14ac:dyDescent="0.25">
      <c r="A902" s="62" t="s">
        <v>867</v>
      </c>
      <c r="B902" s="63"/>
      <c r="C902" s="63"/>
      <c r="D902" s="64"/>
      <c r="E902" s="66"/>
      <c r="F902" s="103" t="str">
        <f>HYPERLINK("https://pbs.twimg.com/profile_images/952583619654176768/eZPnZTM6_normal.jpg")</f>
        <v>https://pbs.twimg.com/profile_images/952583619654176768/eZPnZTM6_normal.jpg</v>
      </c>
      <c r="G902" s="63"/>
      <c r="H902" s="67"/>
      <c r="I902" s="68"/>
      <c r="J902" s="68"/>
      <c r="K902" s="67" t="s">
        <v>28496</v>
      </c>
      <c r="L902" s="71"/>
      <c r="M902" s="72"/>
      <c r="N902" s="72"/>
      <c r="O902" s="73"/>
      <c r="P902" s="74"/>
      <c r="Q902" s="74"/>
      <c r="R902" s="87"/>
      <c r="S902" s="87"/>
      <c r="T902" s="87"/>
      <c r="U902" s="87"/>
      <c r="V902" s="48"/>
      <c r="W902" s="48"/>
      <c r="X902" s="48"/>
      <c r="Y902" s="48"/>
      <c r="Z902" s="47"/>
      <c r="AA902" s="69">
        <v>902</v>
      </c>
      <c r="AB902" s="69"/>
      <c r="AC902" s="70"/>
      <c r="AD902" s="76" t="s">
        <v>22130</v>
      </c>
      <c r="AE902" s="81" t="s">
        <v>23558</v>
      </c>
      <c r="AF902" s="76">
        <v>2513</v>
      </c>
      <c r="AG902" s="76">
        <v>819</v>
      </c>
      <c r="AH902" s="76">
        <v>367269</v>
      </c>
      <c r="AI902" s="76">
        <v>73</v>
      </c>
      <c r="AJ902" s="76">
        <v>184098</v>
      </c>
      <c r="AK902" s="76">
        <v>5682</v>
      </c>
      <c r="AL902" s="76" t="b">
        <v>0</v>
      </c>
      <c r="AM902" s="78">
        <v>41318.585636574076</v>
      </c>
      <c r="AN902" s="76"/>
      <c r="AO902" s="76"/>
      <c r="AP902" s="76"/>
      <c r="AQ902" s="76"/>
      <c r="AR902" s="76"/>
      <c r="AS902" s="76"/>
      <c r="AT902" s="76"/>
      <c r="AU902" s="76"/>
      <c r="AV902" s="76"/>
      <c r="AW902" s="76"/>
      <c r="AX902" s="76" t="b">
        <v>0</v>
      </c>
      <c r="AY902" s="76"/>
      <c r="AZ902" s="76"/>
      <c r="BA902" s="76" t="b">
        <v>1</v>
      </c>
      <c r="BB902" s="76" t="b">
        <v>1</v>
      </c>
      <c r="BC902" s="76" t="b">
        <v>1</v>
      </c>
      <c r="BD902" s="76" t="b">
        <v>0</v>
      </c>
      <c r="BE902" s="76" t="b">
        <v>1</v>
      </c>
      <c r="BF902" s="76" t="b">
        <v>0</v>
      </c>
      <c r="BG902" s="76" t="b">
        <v>0</v>
      </c>
      <c r="BH902" s="82" t="str">
        <f>HYPERLINK("https://pbs.twimg.com/profile_banners/1175390274/1513726491")</f>
        <v>https://pbs.twimg.com/profile_banners/1175390274/1513726491</v>
      </c>
      <c r="BI902" s="76"/>
      <c r="BJ902" s="76" t="s">
        <v>27595</v>
      </c>
      <c r="BK902" s="76" t="b">
        <v>0</v>
      </c>
      <c r="BL902" s="76"/>
      <c r="BM902" s="76" t="s">
        <v>66</v>
      </c>
      <c r="BN902" s="76" t="s">
        <v>27597</v>
      </c>
      <c r="BO902" s="82" t="str">
        <f>HYPERLINK("https://twitter.com/xandaodalapa")</f>
        <v>https://twitter.com/xandaodalapa</v>
      </c>
      <c r="BP902" s="2"/>
    </row>
    <row r="903" spans="1:68" x14ac:dyDescent="0.25">
      <c r="A903" s="62" t="s">
        <v>868</v>
      </c>
      <c r="B903" s="63"/>
      <c r="C903" s="63"/>
      <c r="D903" s="64"/>
      <c r="E903" s="66"/>
      <c r="F903" s="103" t="str">
        <f>HYPERLINK("https://pbs.twimg.com/profile_images/1685831655976501248/p4Yj-D92_normal.jpg")</f>
        <v>https://pbs.twimg.com/profile_images/1685831655976501248/p4Yj-D92_normal.jpg</v>
      </c>
      <c r="G903" s="63"/>
      <c r="H903" s="67"/>
      <c r="I903" s="68"/>
      <c r="J903" s="68"/>
      <c r="K903" s="67" t="s">
        <v>28497</v>
      </c>
      <c r="L903" s="71"/>
      <c r="M903" s="72"/>
      <c r="N903" s="72"/>
      <c r="O903" s="73"/>
      <c r="P903" s="74"/>
      <c r="Q903" s="74"/>
      <c r="R903" s="87"/>
      <c r="S903" s="87"/>
      <c r="T903" s="87"/>
      <c r="U903" s="87"/>
      <c r="V903" s="48"/>
      <c r="W903" s="48"/>
      <c r="X903" s="48"/>
      <c r="Y903" s="48"/>
      <c r="Z903" s="47"/>
      <c r="AA903" s="69">
        <v>903</v>
      </c>
      <c r="AB903" s="69"/>
      <c r="AC903" s="70"/>
      <c r="AD903" s="76" t="s">
        <v>22131</v>
      </c>
      <c r="AE903" s="81" t="s">
        <v>23559</v>
      </c>
      <c r="AF903" s="76">
        <v>59281</v>
      </c>
      <c r="AG903" s="76">
        <v>17</v>
      </c>
      <c r="AH903" s="76">
        <v>47847</v>
      </c>
      <c r="AI903" s="76">
        <v>939</v>
      </c>
      <c r="AJ903" s="76">
        <v>220</v>
      </c>
      <c r="AK903" s="76">
        <v>577</v>
      </c>
      <c r="AL903" s="76" t="b">
        <v>0</v>
      </c>
      <c r="AM903" s="78">
        <v>39881.252962962964</v>
      </c>
      <c r="AN903" s="76" t="s">
        <v>14382</v>
      </c>
      <c r="AO903" s="76" t="s">
        <v>25518</v>
      </c>
      <c r="AP903" s="82" t="str">
        <f>HYPERLINK("https://t.co/DkoNZgqTIx")</f>
        <v>https://t.co/DkoNZgqTIx</v>
      </c>
      <c r="AQ903" s="82" t="str">
        <f>HYPERLINK("http://www.dinheirama.com")</f>
        <v>http://www.dinheirama.com</v>
      </c>
      <c r="AR903" s="76" t="s">
        <v>8762</v>
      </c>
      <c r="AS903" s="76"/>
      <c r="AT903" s="76"/>
      <c r="AU903" s="76"/>
      <c r="AV903" s="76"/>
      <c r="AW903" s="82" t="str">
        <f>HYPERLINK("https://t.co/DkoNZgqTIx")</f>
        <v>https://t.co/DkoNZgqTIx</v>
      </c>
      <c r="AX903" s="76" t="b">
        <v>0</v>
      </c>
      <c r="AY903" s="76"/>
      <c r="AZ903" s="76"/>
      <c r="BA903" s="76" t="b">
        <v>1</v>
      </c>
      <c r="BB903" s="76" t="b">
        <v>1</v>
      </c>
      <c r="BC903" s="76" t="b">
        <v>0</v>
      </c>
      <c r="BD903" s="76" t="b">
        <v>0</v>
      </c>
      <c r="BE903" s="76" t="b">
        <v>1</v>
      </c>
      <c r="BF903" s="76" t="b">
        <v>0</v>
      </c>
      <c r="BG903" s="76" t="b">
        <v>0</v>
      </c>
      <c r="BH903" s="82" t="str">
        <f>HYPERLINK("https://pbs.twimg.com/profile_banners/23408209/1690769016")</f>
        <v>https://pbs.twimg.com/profile_banners/23408209/1690769016</v>
      </c>
      <c r="BI903" s="76"/>
      <c r="BJ903" s="76" t="s">
        <v>27595</v>
      </c>
      <c r="BK903" s="76" t="b">
        <v>0</v>
      </c>
      <c r="BL903" s="76"/>
      <c r="BM903" s="76" t="s">
        <v>66</v>
      </c>
      <c r="BN903" s="76" t="s">
        <v>27597</v>
      </c>
      <c r="BO903" s="82" t="str">
        <f>HYPERLINK("https://twitter.com/dinheirama")</f>
        <v>https://twitter.com/dinheirama</v>
      </c>
      <c r="BP903" s="2"/>
    </row>
    <row r="904" spans="1:68" x14ac:dyDescent="0.25">
      <c r="A904" s="62" t="s">
        <v>869</v>
      </c>
      <c r="B904" s="63"/>
      <c r="C904" s="63"/>
      <c r="D904" s="64"/>
      <c r="E904" s="66"/>
      <c r="F904" s="103" t="str">
        <f>HYPERLINK("https://pbs.twimg.com/profile_images/1638370182593757184/SvPzPgiH_normal.jpg")</f>
        <v>https://pbs.twimg.com/profile_images/1638370182593757184/SvPzPgiH_normal.jpg</v>
      </c>
      <c r="G904" s="63"/>
      <c r="H904" s="67"/>
      <c r="I904" s="68"/>
      <c r="J904" s="68"/>
      <c r="K904" s="67" t="s">
        <v>28498</v>
      </c>
      <c r="L904" s="71"/>
      <c r="M904" s="72"/>
      <c r="N904" s="72"/>
      <c r="O904" s="73"/>
      <c r="P904" s="74"/>
      <c r="Q904" s="74"/>
      <c r="R904" s="87"/>
      <c r="S904" s="87"/>
      <c r="T904" s="87"/>
      <c r="U904" s="87"/>
      <c r="V904" s="48"/>
      <c r="W904" s="48"/>
      <c r="X904" s="48"/>
      <c r="Y904" s="48"/>
      <c r="Z904" s="47"/>
      <c r="AA904" s="69">
        <v>904</v>
      </c>
      <c r="AB904" s="69"/>
      <c r="AC904" s="70"/>
      <c r="AD904" s="76" t="s">
        <v>22132</v>
      </c>
      <c r="AE904" s="81" t="s">
        <v>20797</v>
      </c>
      <c r="AF904" s="76">
        <v>102</v>
      </c>
      <c r="AG904" s="76">
        <v>601</v>
      </c>
      <c r="AH904" s="76">
        <v>7246</v>
      </c>
      <c r="AI904" s="76">
        <v>0</v>
      </c>
      <c r="AJ904" s="76">
        <v>1927</v>
      </c>
      <c r="AK904" s="76">
        <v>470</v>
      </c>
      <c r="AL904" s="76" t="b">
        <v>0</v>
      </c>
      <c r="AM904" s="78">
        <v>44464.773796296293</v>
      </c>
      <c r="AN904" s="76"/>
      <c r="AO904" s="76" t="s">
        <v>25519</v>
      </c>
      <c r="AP904" s="76"/>
      <c r="AQ904" s="76"/>
      <c r="AR904" s="76"/>
      <c r="AS904" s="76"/>
      <c r="AT904" s="76"/>
      <c r="AU904" s="76"/>
      <c r="AV904" s="76">
        <v>1.7020726787256399E+18</v>
      </c>
      <c r="AW904" s="76"/>
      <c r="AX904" s="76" t="b">
        <v>0</v>
      </c>
      <c r="AY904" s="76"/>
      <c r="AZ904" s="76"/>
      <c r="BA904" s="76" t="b">
        <v>0</v>
      </c>
      <c r="BB904" s="76" t="b">
        <v>1</v>
      </c>
      <c r="BC904" s="76" t="b">
        <v>1</v>
      </c>
      <c r="BD904" s="76" t="b">
        <v>0</v>
      </c>
      <c r="BE904" s="76" t="b">
        <v>0</v>
      </c>
      <c r="BF904" s="76" t="b">
        <v>0</v>
      </c>
      <c r="BG904" s="76" t="b">
        <v>0</v>
      </c>
      <c r="BH904" s="82" t="str">
        <f>HYPERLINK("https://pbs.twimg.com/profile_banners/1441833317867786241/1676041833")</f>
        <v>https://pbs.twimg.com/profile_banners/1441833317867786241/1676041833</v>
      </c>
      <c r="BI904" s="76"/>
      <c r="BJ904" s="76" t="s">
        <v>27595</v>
      </c>
      <c r="BK904" s="76" t="b">
        <v>0</v>
      </c>
      <c r="BL904" s="76"/>
      <c r="BM904" s="76" t="s">
        <v>66</v>
      </c>
      <c r="BN904" s="76" t="s">
        <v>27597</v>
      </c>
      <c r="BO904" s="82" t="str">
        <f>HYPERLINK("https://twitter.com/bengie00")</f>
        <v>https://twitter.com/bengie00</v>
      </c>
      <c r="BP904" s="2"/>
    </row>
    <row r="905" spans="1:68" x14ac:dyDescent="0.25">
      <c r="A905" s="62" t="s">
        <v>1346</v>
      </c>
      <c r="B905" s="63"/>
      <c r="C905" s="63"/>
      <c r="D905" s="64"/>
      <c r="E905" s="66"/>
      <c r="F905" s="103" t="str">
        <f>HYPERLINK("https://pbs.twimg.com/profile_images/1044643886830891010/mtzLUR40_normal.jpg")</f>
        <v>https://pbs.twimg.com/profile_images/1044643886830891010/mtzLUR40_normal.jpg</v>
      </c>
      <c r="G905" s="63"/>
      <c r="H905" s="67"/>
      <c r="I905" s="68"/>
      <c r="J905" s="68"/>
      <c r="K905" s="67" t="s">
        <v>28499</v>
      </c>
      <c r="L905" s="71"/>
      <c r="M905" s="72"/>
      <c r="N905" s="72"/>
      <c r="O905" s="73"/>
      <c r="P905" s="74"/>
      <c r="Q905" s="74"/>
      <c r="R905" s="87"/>
      <c r="S905" s="87"/>
      <c r="T905" s="87"/>
      <c r="U905" s="87"/>
      <c r="V905" s="48"/>
      <c r="W905" s="48"/>
      <c r="X905" s="48"/>
      <c r="Y905" s="48"/>
      <c r="Z905" s="47"/>
      <c r="AA905" s="69">
        <v>905</v>
      </c>
      <c r="AB905" s="69"/>
      <c r="AC905" s="70"/>
      <c r="AD905" s="76" t="s">
        <v>22133</v>
      </c>
      <c r="AE905" s="81" t="s">
        <v>20293</v>
      </c>
      <c r="AF905" s="76">
        <v>2179127</v>
      </c>
      <c r="AG905" s="76">
        <v>211862</v>
      </c>
      <c r="AH905" s="76">
        <v>1145081</v>
      </c>
      <c r="AI905" s="76">
        <v>7135</v>
      </c>
      <c r="AJ905" s="76">
        <v>18</v>
      </c>
      <c r="AK905" s="76">
        <v>777282</v>
      </c>
      <c r="AL905" s="76" t="b">
        <v>0</v>
      </c>
      <c r="AM905" s="78">
        <v>39174.640439814815</v>
      </c>
      <c r="AN905" s="76" t="s">
        <v>24188</v>
      </c>
      <c r="AO905" s="76" t="s">
        <v>25520</v>
      </c>
      <c r="AP905" s="82" t="str">
        <f>HYPERLINK("https://t.co/DM9Jj6Uhlo")</f>
        <v>https://t.co/DM9Jj6Uhlo</v>
      </c>
      <c r="AQ905" s="82" t="str">
        <f>HYPERLINK("http://www.latercera.com")</f>
        <v>http://www.latercera.com</v>
      </c>
      <c r="AR905" s="76" t="s">
        <v>8811</v>
      </c>
      <c r="AS905" s="76"/>
      <c r="AT905" s="76"/>
      <c r="AU905" s="76"/>
      <c r="AV905" s="76"/>
      <c r="AW905" s="82" t="str">
        <f>HYPERLINK("https://t.co/DM9Jj6Uhlo")</f>
        <v>https://t.co/DM9Jj6Uhlo</v>
      </c>
      <c r="AX905" s="76" t="b">
        <v>1</v>
      </c>
      <c r="AY905" s="76"/>
      <c r="AZ905" s="76"/>
      <c r="BA905" s="76" t="b">
        <v>0</v>
      </c>
      <c r="BB905" s="76" t="b">
        <v>0</v>
      </c>
      <c r="BC905" s="76" t="b">
        <v>0</v>
      </c>
      <c r="BD905" s="76" t="b">
        <v>0</v>
      </c>
      <c r="BE905" s="76" t="b">
        <v>1</v>
      </c>
      <c r="BF905" s="76" t="b">
        <v>0</v>
      </c>
      <c r="BG905" s="76" t="b">
        <v>0</v>
      </c>
      <c r="BH905" s="82" t="str">
        <f>HYPERLINK("https://pbs.twimg.com/profile_banners/3222731/1692796832")</f>
        <v>https://pbs.twimg.com/profile_banners/3222731/1692796832</v>
      </c>
      <c r="BI905" s="76"/>
      <c r="BJ905" s="76" t="s">
        <v>27595</v>
      </c>
      <c r="BK905" s="76" t="b">
        <v>0</v>
      </c>
      <c r="BL905" s="76"/>
      <c r="BM905" s="76" t="s">
        <v>66</v>
      </c>
      <c r="BN905" s="76" t="s">
        <v>27597</v>
      </c>
      <c r="BO905" s="82" t="str">
        <f>HYPERLINK("https://twitter.com/latercera")</f>
        <v>https://twitter.com/latercera</v>
      </c>
      <c r="BP905" s="2"/>
    </row>
    <row r="906" spans="1:68" x14ac:dyDescent="0.25">
      <c r="A906" s="62" t="s">
        <v>870</v>
      </c>
      <c r="B906" s="63"/>
      <c r="C906" s="63"/>
      <c r="D906" s="64"/>
      <c r="E906" s="66"/>
      <c r="F906" s="103" t="str">
        <f>HYPERLINK("https://pbs.twimg.com/profile_images/1261687544871301123/DyzzyiSa_normal.jpg")</f>
        <v>https://pbs.twimg.com/profile_images/1261687544871301123/DyzzyiSa_normal.jpg</v>
      </c>
      <c r="G906" s="63"/>
      <c r="H906" s="67"/>
      <c r="I906" s="68"/>
      <c r="J906" s="68"/>
      <c r="K906" s="67" t="s">
        <v>28500</v>
      </c>
      <c r="L906" s="71"/>
      <c r="M906" s="72"/>
      <c r="N906" s="72"/>
      <c r="O906" s="73"/>
      <c r="P906" s="74"/>
      <c r="Q906" s="74"/>
      <c r="R906" s="87"/>
      <c r="S906" s="87"/>
      <c r="T906" s="87"/>
      <c r="U906" s="87"/>
      <c r="V906" s="48"/>
      <c r="W906" s="48"/>
      <c r="X906" s="48"/>
      <c r="Y906" s="48"/>
      <c r="Z906" s="47"/>
      <c r="AA906" s="69">
        <v>906</v>
      </c>
      <c r="AB906" s="69"/>
      <c r="AC906" s="70"/>
      <c r="AD906" s="76" t="s">
        <v>22134</v>
      </c>
      <c r="AE906" s="81" t="s">
        <v>20798</v>
      </c>
      <c r="AF906" s="76">
        <v>41</v>
      </c>
      <c r="AG906" s="76">
        <v>77</v>
      </c>
      <c r="AH906" s="76">
        <v>1518</v>
      </c>
      <c r="AI906" s="76">
        <v>0</v>
      </c>
      <c r="AJ906" s="76">
        <v>47</v>
      </c>
      <c r="AK906" s="76">
        <v>41</v>
      </c>
      <c r="AL906" s="76" t="b">
        <v>0</v>
      </c>
      <c r="AM906" s="78">
        <v>43967.66479166667</v>
      </c>
      <c r="AN906" s="76" t="s">
        <v>24405</v>
      </c>
      <c r="AO906" s="76" t="s">
        <v>25521</v>
      </c>
      <c r="AP906" s="82" t="str">
        <f>HYPERLINK("https://t.co/8PtSFq8paN")</f>
        <v>https://t.co/8PtSFq8paN</v>
      </c>
      <c r="AQ906" s="82" t="str">
        <f>HYPERLINK("http://www.livefmcampos.com")</f>
        <v>http://www.livefmcampos.com</v>
      </c>
      <c r="AR906" s="76" t="s">
        <v>26850</v>
      </c>
      <c r="AS906" s="76"/>
      <c r="AT906" s="76"/>
      <c r="AU906" s="76"/>
      <c r="AV906" s="76"/>
      <c r="AW906" s="82" t="str">
        <f>HYPERLINK("https://t.co/8PtSFq8paN")</f>
        <v>https://t.co/8PtSFq8paN</v>
      </c>
      <c r="AX906" s="76" t="b">
        <v>0</v>
      </c>
      <c r="AY906" s="76"/>
      <c r="AZ906" s="76"/>
      <c r="BA906" s="76" t="b">
        <v>0</v>
      </c>
      <c r="BB906" s="76" t="b">
        <v>1</v>
      </c>
      <c r="BC906" s="76" t="b">
        <v>1</v>
      </c>
      <c r="BD906" s="76" t="b">
        <v>0</v>
      </c>
      <c r="BE906" s="76" t="b">
        <v>1</v>
      </c>
      <c r="BF906" s="76" t="b">
        <v>0</v>
      </c>
      <c r="BG906" s="76" t="b">
        <v>0</v>
      </c>
      <c r="BH906" s="82" t="str">
        <f>HYPERLINK("https://pbs.twimg.com/profile_banners/1261687116829995011/1589754810")</f>
        <v>https://pbs.twimg.com/profile_banners/1261687116829995011/1589754810</v>
      </c>
      <c r="BI906" s="76"/>
      <c r="BJ906" s="76" t="s">
        <v>27595</v>
      </c>
      <c r="BK906" s="76" t="b">
        <v>0</v>
      </c>
      <c r="BL906" s="76"/>
      <c r="BM906" s="76" t="s">
        <v>66</v>
      </c>
      <c r="BN906" s="76" t="s">
        <v>27597</v>
      </c>
      <c r="BO906" s="82" t="str">
        <f>HYPERLINK("https://twitter.com/livefmcampos_")</f>
        <v>https://twitter.com/livefmcampos_</v>
      </c>
      <c r="BP906" s="2"/>
    </row>
    <row r="907" spans="1:68" x14ac:dyDescent="0.25">
      <c r="A907" s="62" t="s">
        <v>872</v>
      </c>
      <c r="B907" s="63"/>
      <c r="C907" s="63"/>
      <c r="D907" s="64"/>
      <c r="E907" s="66"/>
      <c r="F907" s="103" t="str">
        <f>HYPERLINK("https://pbs.twimg.com/profile_images/1094316269770342401/s0OPlhVZ_normal.jpg")</f>
        <v>https://pbs.twimg.com/profile_images/1094316269770342401/s0OPlhVZ_normal.jpg</v>
      </c>
      <c r="G907" s="63"/>
      <c r="H907" s="67"/>
      <c r="I907" s="68"/>
      <c r="J907" s="68"/>
      <c r="K907" s="67" t="s">
        <v>28501</v>
      </c>
      <c r="L907" s="71"/>
      <c r="M907" s="72"/>
      <c r="N907" s="72"/>
      <c r="O907" s="73"/>
      <c r="P907" s="74"/>
      <c r="Q907" s="74"/>
      <c r="R907" s="87"/>
      <c r="S907" s="87"/>
      <c r="T907" s="87"/>
      <c r="U907" s="87"/>
      <c r="V907" s="48"/>
      <c r="W907" s="48"/>
      <c r="X907" s="48"/>
      <c r="Y907" s="48"/>
      <c r="Z907" s="47"/>
      <c r="AA907" s="69">
        <v>907</v>
      </c>
      <c r="AB907" s="69"/>
      <c r="AC907" s="70"/>
      <c r="AD907" s="76" t="s">
        <v>22135</v>
      </c>
      <c r="AE907" s="81" t="s">
        <v>23560</v>
      </c>
      <c r="AF907" s="76">
        <v>326</v>
      </c>
      <c r="AG907" s="76">
        <v>2652</v>
      </c>
      <c r="AH907" s="76">
        <v>1273</v>
      </c>
      <c r="AI907" s="76">
        <v>6</v>
      </c>
      <c r="AJ907" s="76">
        <v>3872</v>
      </c>
      <c r="AK907" s="76">
        <v>29</v>
      </c>
      <c r="AL907" s="76" t="b">
        <v>0</v>
      </c>
      <c r="AM907" s="78">
        <v>40021.53197916667</v>
      </c>
      <c r="AN907" s="76"/>
      <c r="AO907" s="76"/>
      <c r="AP907" s="82" t="str">
        <f>HYPERLINK("https://t.co/ir6bREW4qL")</f>
        <v>https://t.co/ir6bREW4qL</v>
      </c>
      <c r="AQ907" s="82" t="str">
        <f>HYPERLINK("http://www.southlakesinvestment.com")</f>
        <v>http://www.southlakesinvestment.com</v>
      </c>
      <c r="AR907" s="76" t="s">
        <v>26851</v>
      </c>
      <c r="AS907" s="76"/>
      <c r="AT907" s="76"/>
      <c r="AU907" s="76"/>
      <c r="AV907" s="76"/>
      <c r="AW907" s="82" t="str">
        <f>HYPERLINK("https://t.co/ir6bREW4qL")</f>
        <v>https://t.co/ir6bREW4qL</v>
      </c>
      <c r="AX907" s="76" t="b">
        <v>0</v>
      </c>
      <c r="AY907" s="76"/>
      <c r="AZ907" s="76"/>
      <c r="BA907" s="76" t="b">
        <v>0</v>
      </c>
      <c r="BB907" s="76" t="b">
        <v>1</v>
      </c>
      <c r="BC907" s="76" t="b">
        <v>1</v>
      </c>
      <c r="BD907" s="76" t="b">
        <v>0</v>
      </c>
      <c r="BE907" s="76" t="b">
        <v>0</v>
      </c>
      <c r="BF907" s="76" t="b">
        <v>0</v>
      </c>
      <c r="BG907" s="76" t="b">
        <v>0</v>
      </c>
      <c r="BH907" s="82" t="str">
        <f>HYPERLINK("https://pbs.twimg.com/profile_banners/60586472/1568570069")</f>
        <v>https://pbs.twimg.com/profile_banners/60586472/1568570069</v>
      </c>
      <c r="BI907" s="76"/>
      <c r="BJ907" s="76" t="s">
        <v>27595</v>
      </c>
      <c r="BK907" s="76" t="b">
        <v>0</v>
      </c>
      <c r="BL907" s="76"/>
      <c r="BM907" s="76" t="s">
        <v>66</v>
      </c>
      <c r="BN907" s="76" t="s">
        <v>27597</v>
      </c>
      <c r="BO907" s="82" t="str">
        <f>HYPERLINK("https://twitter.com/nbernalvial")</f>
        <v>https://twitter.com/nbernalvial</v>
      </c>
      <c r="BP907" s="2"/>
    </row>
    <row r="908" spans="1:68" x14ac:dyDescent="0.25">
      <c r="A908" s="62" t="s">
        <v>873</v>
      </c>
      <c r="B908" s="63"/>
      <c r="C908" s="63"/>
      <c r="D908" s="64"/>
      <c r="E908" s="66"/>
      <c r="F908" s="103" t="str">
        <f>HYPERLINK("https://pbs.twimg.com/profile_images/1577755532093526016/6kZsZO8__normal.jpg")</f>
        <v>https://pbs.twimg.com/profile_images/1577755532093526016/6kZsZO8__normal.jpg</v>
      </c>
      <c r="G908" s="63"/>
      <c r="H908" s="67"/>
      <c r="I908" s="68"/>
      <c r="J908" s="68"/>
      <c r="K908" s="67" t="s">
        <v>28502</v>
      </c>
      <c r="L908" s="71"/>
      <c r="M908" s="72"/>
      <c r="N908" s="72"/>
      <c r="O908" s="73"/>
      <c r="P908" s="74"/>
      <c r="Q908" s="74"/>
      <c r="R908" s="87"/>
      <c r="S908" s="87"/>
      <c r="T908" s="87"/>
      <c r="U908" s="87"/>
      <c r="V908" s="48"/>
      <c r="W908" s="48"/>
      <c r="X908" s="48"/>
      <c r="Y908" s="48"/>
      <c r="Z908" s="47"/>
      <c r="AA908" s="69">
        <v>908</v>
      </c>
      <c r="AB908" s="69"/>
      <c r="AC908" s="70"/>
      <c r="AD908" s="76" t="s">
        <v>22136</v>
      </c>
      <c r="AE908" s="81" t="s">
        <v>20800</v>
      </c>
      <c r="AF908" s="76">
        <v>616</v>
      </c>
      <c r="AG908" s="76">
        <v>1665</v>
      </c>
      <c r="AH908" s="76">
        <v>24378</v>
      </c>
      <c r="AI908" s="76">
        <v>3</v>
      </c>
      <c r="AJ908" s="76">
        <v>19310</v>
      </c>
      <c r="AK908" s="76">
        <v>576</v>
      </c>
      <c r="AL908" s="76" t="b">
        <v>0</v>
      </c>
      <c r="AM908" s="78">
        <v>44839.820324074077</v>
      </c>
      <c r="AN908" s="76"/>
      <c r="AO908" s="76" t="s">
        <v>25522</v>
      </c>
      <c r="AP908" s="76"/>
      <c r="AQ908" s="76"/>
      <c r="AR908" s="76"/>
      <c r="AS908" s="76"/>
      <c r="AT908" s="76"/>
      <c r="AU908" s="76"/>
      <c r="AV908" s="76">
        <v>1.57776214037458E+18</v>
      </c>
      <c r="AW908" s="76"/>
      <c r="AX908" s="76" t="b">
        <v>0</v>
      </c>
      <c r="AY908" s="76"/>
      <c r="AZ908" s="76"/>
      <c r="BA908" s="76" t="b">
        <v>0</v>
      </c>
      <c r="BB908" s="76" t="b">
        <v>1</v>
      </c>
      <c r="BC908" s="76" t="b">
        <v>1</v>
      </c>
      <c r="BD908" s="76" t="b">
        <v>0</v>
      </c>
      <c r="BE908" s="76" t="b">
        <v>1</v>
      </c>
      <c r="BF908" s="76" t="b">
        <v>0</v>
      </c>
      <c r="BG908" s="76" t="b">
        <v>0</v>
      </c>
      <c r="BH908" s="76"/>
      <c r="BI908" s="76"/>
      <c r="BJ908" s="76" t="s">
        <v>27595</v>
      </c>
      <c r="BK908" s="76" t="b">
        <v>0</v>
      </c>
      <c r="BL908" s="76"/>
      <c r="BM908" s="76" t="s">
        <v>66</v>
      </c>
      <c r="BN908" s="76" t="s">
        <v>27597</v>
      </c>
      <c r="BO908" s="82" t="str">
        <f>HYPERLINK("https://twitter.com/banqueirosmatam")</f>
        <v>https://twitter.com/banqueirosmatam</v>
      </c>
      <c r="BP908" s="2"/>
    </row>
    <row r="909" spans="1:68" x14ac:dyDescent="0.25">
      <c r="A909" s="62" t="s">
        <v>874</v>
      </c>
      <c r="B909" s="63"/>
      <c r="C909" s="63"/>
      <c r="D909" s="64"/>
      <c r="E909" s="66"/>
      <c r="F909" s="103" t="str">
        <f>HYPERLINK("https://pbs.twimg.com/profile_images/897493305197572097/Ryg71N0I_normal.jpg")</f>
        <v>https://pbs.twimg.com/profile_images/897493305197572097/Ryg71N0I_normal.jpg</v>
      </c>
      <c r="G909" s="63"/>
      <c r="H909" s="67"/>
      <c r="I909" s="68"/>
      <c r="J909" s="68"/>
      <c r="K909" s="67" t="s">
        <v>28503</v>
      </c>
      <c r="L909" s="71"/>
      <c r="M909" s="72"/>
      <c r="N909" s="72"/>
      <c r="O909" s="73"/>
      <c r="P909" s="74"/>
      <c r="Q909" s="74"/>
      <c r="R909" s="87"/>
      <c r="S909" s="87"/>
      <c r="T909" s="87"/>
      <c r="U909" s="87"/>
      <c r="V909" s="48"/>
      <c r="W909" s="48"/>
      <c r="X909" s="48"/>
      <c r="Y909" s="48"/>
      <c r="Z909" s="47"/>
      <c r="AA909" s="69">
        <v>909</v>
      </c>
      <c r="AB909" s="69"/>
      <c r="AC909" s="70"/>
      <c r="AD909" s="76" t="s">
        <v>22137</v>
      </c>
      <c r="AE909" s="81" t="s">
        <v>23561</v>
      </c>
      <c r="AF909" s="76">
        <v>700</v>
      </c>
      <c r="AG909" s="76">
        <v>916</v>
      </c>
      <c r="AH909" s="76">
        <v>108242</v>
      </c>
      <c r="AI909" s="76">
        <v>2</v>
      </c>
      <c r="AJ909" s="76">
        <v>38472</v>
      </c>
      <c r="AK909" s="76">
        <v>6644</v>
      </c>
      <c r="AL909" s="76" t="b">
        <v>0</v>
      </c>
      <c r="AM909" s="78">
        <v>40199.387013888889</v>
      </c>
      <c r="AN909" s="76"/>
      <c r="AO909" s="76"/>
      <c r="AP909" s="76"/>
      <c r="AQ909" s="76"/>
      <c r="AR909" s="76"/>
      <c r="AS909" s="76"/>
      <c r="AT909" s="76"/>
      <c r="AU909" s="76"/>
      <c r="AV909" s="76"/>
      <c r="AW909" s="76"/>
      <c r="AX909" s="76" t="b">
        <v>0</v>
      </c>
      <c r="AY909" s="76"/>
      <c r="AZ909" s="76"/>
      <c r="BA909" s="76" t="b">
        <v>0</v>
      </c>
      <c r="BB909" s="76" t="b">
        <v>1</v>
      </c>
      <c r="BC909" s="76" t="b">
        <v>1</v>
      </c>
      <c r="BD909" s="76" t="b">
        <v>0</v>
      </c>
      <c r="BE909" s="76" t="b">
        <v>1</v>
      </c>
      <c r="BF909" s="76" t="b">
        <v>0</v>
      </c>
      <c r="BG909" s="76" t="b">
        <v>0</v>
      </c>
      <c r="BH909" s="76"/>
      <c r="BI909" s="76"/>
      <c r="BJ909" s="76" t="s">
        <v>27595</v>
      </c>
      <c r="BK909" s="76" t="b">
        <v>0</v>
      </c>
      <c r="BL909" s="76"/>
      <c r="BM909" s="76" t="s">
        <v>66</v>
      </c>
      <c r="BN909" s="76" t="s">
        <v>27597</v>
      </c>
      <c r="BO909" s="82" t="str">
        <f>HYPERLINK("https://twitter.com/fariapaz")</f>
        <v>https://twitter.com/fariapaz</v>
      </c>
      <c r="BP909" s="2"/>
    </row>
    <row r="910" spans="1:68" x14ac:dyDescent="0.25">
      <c r="A910" s="62" t="s">
        <v>875</v>
      </c>
      <c r="B910" s="63"/>
      <c r="C910" s="63"/>
      <c r="D910" s="64"/>
      <c r="E910" s="66"/>
      <c r="F910" s="103" t="str">
        <f>HYPERLINK("https://pbs.twimg.com/profile_images/1597313886478372865/RzZ9djm-_normal.jpg")</f>
        <v>https://pbs.twimg.com/profile_images/1597313886478372865/RzZ9djm-_normal.jpg</v>
      </c>
      <c r="G910" s="63"/>
      <c r="H910" s="67"/>
      <c r="I910" s="68"/>
      <c r="J910" s="68"/>
      <c r="K910" s="67" t="s">
        <v>28504</v>
      </c>
      <c r="L910" s="71"/>
      <c r="M910" s="72"/>
      <c r="N910" s="72"/>
      <c r="O910" s="73"/>
      <c r="P910" s="74"/>
      <c r="Q910" s="74"/>
      <c r="R910" s="87"/>
      <c r="S910" s="87"/>
      <c r="T910" s="87"/>
      <c r="U910" s="87"/>
      <c r="V910" s="48"/>
      <c r="W910" s="48"/>
      <c r="X910" s="48"/>
      <c r="Y910" s="48"/>
      <c r="Z910" s="47"/>
      <c r="AA910" s="69">
        <v>910</v>
      </c>
      <c r="AB910" s="69"/>
      <c r="AC910" s="70"/>
      <c r="AD910" s="76" t="s">
        <v>22138</v>
      </c>
      <c r="AE910" s="81" t="s">
        <v>20801</v>
      </c>
      <c r="AF910" s="76">
        <v>1268</v>
      </c>
      <c r="AG910" s="76">
        <v>4807</v>
      </c>
      <c r="AH910" s="76">
        <v>3458</v>
      </c>
      <c r="AI910" s="76">
        <v>13</v>
      </c>
      <c r="AJ910" s="76">
        <v>6483</v>
      </c>
      <c r="AK910" s="76">
        <v>2128</v>
      </c>
      <c r="AL910" s="76" t="b">
        <v>0</v>
      </c>
      <c r="AM910" s="78">
        <v>44438.630706018521</v>
      </c>
      <c r="AN910" s="76"/>
      <c r="AO910" s="76" t="s">
        <v>25523</v>
      </c>
      <c r="AP910" s="76"/>
      <c r="AQ910" s="76"/>
      <c r="AR910" s="76"/>
      <c r="AS910" s="76" t="s">
        <v>27382</v>
      </c>
      <c r="AT910" s="76" t="s">
        <v>27421</v>
      </c>
      <c r="AU910" s="76" t="s">
        <v>27507</v>
      </c>
      <c r="AV910" s="76">
        <v>1.4898901256351099E+18</v>
      </c>
      <c r="AW910" s="76"/>
      <c r="AX910" s="76" t="b">
        <v>0</v>
      </c>
      <c r="AY910" s="76"/>
      <c r="AZ910" s="76"/>
      <c r="BA910" s="76" t="b">
        <v>0</v>
      </c>
      <c r="BB910" s="76" t="b">
        <v>1</v>
      </c>
      <c r="BC910" s="76" t="b">
        <v>1</v>
      </c>
      <c r="BD910" s="76" t="b">
        <v>0</v>
      </c>
      <c r="BE910" s="76" t="b">
        <v>0</v>
      </c>
      <c r="BF910" s="76" t="b">
        <v>0</v>
      </c>
      <c r="BG910" s="76" t="b">
        <v>0</v>
      </c>
      <c r="BH910" s="82" t="str">
        <f>HYPERLINK("https://pbs.twimg.com/profile_banners/1432359432705519616/1665121956")</f>
        <v>https://pbs.twimg.com/profile_banners/1432359432705519616/1665121956</v>
      </c>
      <c r="BI910" s="76"/>
      <c r="BJ910" s="76" t="s">
        <v>27595</v>
      </c>
      <c r="BK910" s="76" t="b">
        <v>0</v>
      </c>
      <c r="BL910" s="76"/>
      <c r="BM910" s="76" t="s">
        <v>66</v>
      </c>
      <c r="BN910" s="76" t="s">
        <v>27597</v>
      </c>
      <c r="BO910" s="82" t="str">
        <f>HYPERLINK("https://twitter.com/inversionesimp2")</f>
        <v>https://twitter.com/inversionesimp2</v>
      </c>
      <c r="BP910" s="2"/>
    </row>
    <row r="911" spans="1:68" x14ac:dyDescent="0.25">
      <c r="A911" s="62" t="s">
        <v>876</v>
      </c>
      <c r="B911" s="63"/>
      <c r="C911" s="63"/>
      <c r="D911" s="64"/>
      <c r="E911" s="66"/>
      <c r="F911" s="103" t="str">
        <f>HYPERLINK("https://pbs.twimg.com/profile_images/1613942107781173255/XMq9dt2v_normal.jpg")</f>
        <v>https://pbs.twimg.com/profile_images/1613942107781173255/XMq9dt2v_normal.jpg</v>
      </c>
      <c r="G911" s="63"/>
      <c r="H911" s="67"/>
      <c r="I911" s="68"/>
      <c r="J911" s="68"/>
      <c r="K911" s="67" t="s">
        <v>28505</v>
      </c>
      <c r="L911" s="71"/>
      <c r="M911" s="72"/>
      <c r="N911" s="72"/>
      <c r="O911" s="73"/>
      <c r="P911" s="74"/>
      <c r="Q911" s="74"/>
      <c r="R911" s="87"/>
      <c r="S911" s="87"/>
      <c r="T911" s="87"/>
      <c r="U911" s="87"/>
      <c r="V911" s="48"/>
      <c r="W911" s="48"/>
      <c r="X911" s="48"/>
      <c r="Y911" s="48"/>
      <c r="Z911" s="47"/>
      <c r="AA911" s="69">
        <v>911</v>
      </c>
      <c r="AB911" s="69"/>
      <c r="AC911" s="70"/>
      <c r="AD911" s="76" t="s">
        <v>22139</v>
      </c>
      <c r="AE911" s="81" t="s">
        <v>20802</v>
      </c>
      <c r="AF911" s="76">
        <v>26</v>
      </c>
      <c r="AG911" s="76">
        <v>316</v>
      </c>
      <c r="AH911" s="76">
        <v>1222</v>
      </c>
      <c r="AI911" s="76">
        <v>0</v>
      </c>
      <c r="AJ911" s="76">
        <v>3052</v>
      </c>
      <c r="AK911" s="76">
        <v>66</v>
      </c>
      <c r="AL911" s="76" t="b">
        <v>0</v>
      </c>
      <c r="AM911" s="78">
        <v>44370.969351851854</v>
      </c>
      <c r="AN911" s="76"/>
      <c r="AO911" s="76" t="s">
        <v>25524</v>
      </c>
      <c r="AP911" s="76"/>
      <c r="AQ911" s="76"/>
      <c r="AR911" s="76"/>
      <c r="AS911" s="76"/>
      <c r="AT911" s="76"/>
      <c r="AU911" s="76"/>
      <c r="AV911" s="76">
        <v>1.7024981421369999E+18</v>
      </c>
      <c r="AW911" s="76"/>
      <c r="AX911" s="76" t="b">
        <v>0</v>
      </c>
      <c r="AY911" s="76"/>
      <c r="AZ911" s="76"/>
      <c r="BA911" s="76" t="b">
        <v>0</v>
      </c>
      <c r="BB911" s="76" t="b">
        <v>1</v>
      </c>
      <c r="BC911" s="76" t="b">
        <v>1</v>
      </c>
      <c r="BD911" s="76" t="b">
        <v>0</v>
      </c>
      <c r="BE911" s="76" t="b">
        <v>0</v>
      </c>
      <c r="BF911" s="76" t="b">
        <v>0</v>
      </c>
      <c r="BG911" s="76" t="b">
        <v>0</v>
      </c>
      <c r="BH911" s="82" t="str">
        <f>HYPERLINK("https://pbs.twimg.com/profile_banners/1407839773755125763/1694747454")</f>
        <v>https://pbs.twimg.com/profile_banners/1407839773755125763/1694747454</v>
      </c>
      <c r="BI911" s="76"/>
      <c r="BJ911" s="76" t="s">
        <v>27595</v>
      </c>
      <c r="BK911" s="76" t="b">
        <v>0</v>
      </c>
      <c r="BL911" s="76"/>
      <c r="BM911" s="76" t="s">
        <v>66</v>
      </c>
      <c r="BN911" s="76" t="s">
        <v>27597</v>
      </c>
      <c r="BO911" s="82" t="str">
        <f>HYPERLINK("https://twitter.com/maubrasileiro")</f>
        <v>https://twitter.com/maubrasileiro</v>
      </c>
      <c r="BP911" s="2"/>
    </row>
    <row r="912" spans="1:68" x14ac:dyDescent="0.25">
      <c r="A912" s="62" t="s">
        <v>877</v>
      </c>
      <c r="B912" s="63"/>
      <c r="C912" s="63"/>
      <c r="D912" s="64"/>
      <c r="E912" s="66"/>
      <c r="F912" s="103" t="str">
        <f>HYPERLINK("https://pbs.twimg.com/profile_images/1615170526057463809/mEBLYZS4_normal.jpg")</f>
        <v>https://pbs.twimg.com/profile_images/1615170526057463809/mEBLYZS4_normal.jpg</v>
      </c>
      <c r="G912" s="63"/>
      <c r="H912" s="67"/>
      <c r="I912" s="68"/>
      <c r="J912" s="68"/>
      <c r="K912" s="67" t="s">
        <v>28506</v>
      </c>
      <c r="L912" s="71"/>
      <c r="M912" s="72"/>
      <c r="N912" s="72"/>
      <c r="O912" s="73"/>
      <c r="P912" s="74"/>
      <c r="Q912" s="74"/>
      <c r="R912" s="87"/>
      <c r="S912" s="87"/>
      <c r="T912" s="87"/>
      <c r="U912" s="87"/>
      <c r="V912" s="48"/>
      <c r="W912" s="48"/>
      <c r="X912" s="48"/>
      <c r="Y912" s="48"/>
      <c r="Z912" s="47"/>
      <c r="AA912" s="69">
        <v>912</v>
      </c>
      <c r="AB912" s="69"/>
      <c r="AC912" s="70"/>
      <c r="AD912" s="76" t="s">
        <v>22140</v>
      </c>
      <c r="AE912" s="81" t="s">
        <v>20803</v>
      </c>
      <c r="AF912" s="76">
        <v>431</v>
      </c>
      <c r="AG912" s="76">
        <v>344</v>
      </c>
      <c r="AH912" s="76">
        <v>6158</v>
      </c>
      <c r="AI912" s="76">
        <v>0</v>
      </c>
      <c r="AJ912" s="76">
        <v>1550</v>
      </c>
      <c r="AK912" s="76">
        <v>5739</v>
      </c>
      <c r="AL912" s="76" t="b">
        <v>0</v>
      </c>
      <c r="AM912" s="78">
        <v>43850.76258101852</v>
      </c>
      <c r="AN912" s="76"/>
      <c r="AO912" s="76" t="s">
        <v>25525</v>
      </c>
      <c r="AP912" s="82" t="str">
        <f>HYPERLINK("https://t.co/mZOn0DGTVF")</f>
        <v>https://t.co/mZOn0DGTVF</v>
      </c>
      <c r="AQ912" s="82" t="str">
        <f>HYPERLINK("http://bum.com.ar")</f>
        <v>http://bum.com.ar</v>
      </c>
      <c r="AR912" s="76" t="s">
        <v>26852</v>
      </c>
      <c r="AS912" s="76"/>
      <c r="AT912" s="76"/>
      <c r="AU912" s="76"/>
      <c r="AV912" s="76"/>
      <c r="AW912" s="82" t="str">
        <f>HYPERLINK("https://t.co/mZOn0DGTVF")</f>
        <v>https://t.co/mZOn0DGTVF</v>
      </c>
      <c r="AX912" s="76" t="b">
        <v>0</v>
      </c>
      <c r="AY912" s="76"/>
      <c r="AZ912" s="76"/>
      <c r="BA912" s="76" t="b">
        <v>0</v>
      </c>
      <c r="BB912" s="76" t="b">
        <v>1</v>
      </c>
      <c r="BC912" s="76" t="b">
        <v>1</v>
      </c>
      <c r="BD912" s="76" t="b">
        <v>0</v>
      </c>
      <c r="BE912" s="76" t="b">
        <v>0</v>
      </c>
      <c r="BF912" s="76" t="b">
        <v>0</v>
      </c>
      <c r="BG912" s="76" t="b">
        <v>0</v>
      </c>
      <c r="BH912" s="76"/>
      <c r="BI912" s="76"/>
      <c r="BJ912" s="76" t="s">
        <v>27595</v>
      </c>
      <c r="BK912" s="76" t="b">
        <v>0</v>
      </c>
      <c r="BL912" s="76"/>
      <c r="BM912" s="76" t="s">
        <v>66</v>
      </c>
      <c r="BN912" s="76" t="s">
        <v>27597</v>
      </c>
      <c r="BO912" s="82" t="str">
        <f>HYPERLINK("https://twitter.com/bum__news")</f>
        <v>https://twitter.com/bum__news</v>
      </c>
      <c r="BP912" s="2"/>
    </row>
    <row r="913" spans="1:68" x14ac:dyDescent="0.25">
      <c r="A913" s="62" t="s">
        <v>878</v>
      </c>
      <c r="B913" s="63"/>
      <c r="C913" s="63"/>
      <c r="D913" s="64"/>
      <c r="E913" s="66"/>
      <c r="F913" s="103" t="str">
        <f>HYPERLINK("https://pbs.twimg.com/profile_images/1332753077976379397/G_Zc9QPI_normal.jpg")</f>
        <v>https://pbs.twimg.com/profile_images/1332753077976379397/G_Zc9QPI_normal.jpg</v>
      </c>
      <c r="G913" s="63"/>
      <c r="H913" s="67"/>
      <c r="I913" s="68"/>
      <c r="J913" s="68"/>
      <c r="K913" s="67" t="s">
        <v>28507</v>
      </c>
      <c r="L913" s="71"/>
      <c r="M913" s="72"/>
      <c r="N913" s="72"/>
      <c r="O913" s="73"/>
      <c r="P913" s="74"/>
      <c r="Q913" s="74"/>
      <c r="R913" s="87"/>
      <c r="S913" s="87"/>
      <c r="T913" s="87"/>
      <c r="U913" s="87"/>
      <c r="V913" s="48"/>
      <c r="W913" s="48"/>
      <c r="X913" s="48"/>
      <c r="Y913" s="48"/>
      <c r="Z913" s="47"/>
      <c r="AA913" s="69">
        <v>913</v>
      </c>
      <c r="AB913" s="69"/>
      <c r="AC913" s="70"/>
      <c r="AD913" s="76" t="s">
        <v>22141</v>
      </c>
      <c r="AE913" s="81" t="s">
        <v>20804</v>
      </c>
      <c r="AF913" s="76">
        <v>1179</v>
      </c>
      <c r="AG913" s="76">
        <v>52</v>
      </c>
      <c r="AH913" s="76">
        <v>2452</v>
      </c>
      <c r="AI913" s="76">
        <v>6</v>
      </c>
      <c r="AJ913" s="76">
        <v>0</v>
      </c>
      <c r="AK913" s="76">
        <v>393</v>
      </c>
      <c r="AL913" s="76" t="b">
        <v>0</v>
      </c>
      <c r="AM913" s="78">
        <v>44163.765208333331</v>
      </c>
      <c r="AN913" s="76"/>
      <c r="AO913" s="76" t="s">
        <v>25526</v>
      </c>
      <c r="AP913" s="82" t="str">
        <f>HYPERLINK("https://t.co/Ld0scbuPCt")</f>
        <v>https://t.co/Ld0scbuPCt</v>
      </c>
      <c r="AQ913" s="82" t="str">
        <f>HYPERLINK("https://www.youtube.com/@astroporchett")</f>
        <v>https://www.youtube.com/@astroporchett</v>
      </c>
      <c r="AR913" s="76" t="s">
        <v>26853</v>
      </c>
      <c r="AS913" s="82" t="str">
        <f>HYPERLINK("https://t.co/Xlx2QAbGMj")</f>
        <v>https://t.co/Xlx2QAbGMj</v>
      </c>
      <c r="AT913" s="82" t="str">
        <f>HYPERLINK("http://astrologiaporchett.blogspot.com")</f>
        <v>http://astrologiaporchett.blogspot.com</v>
      </c>
      <c r="AU913" s="76" t="s">
        <v>27508</v>
      </c>
      <c r="AV913" s="76">
        <v>1.69186514151456E+18</v>
      </c>
      <c r="AW913" s="82" t="str">
        <f>HYPERLINK("https://t.co/Ld0scbuPCt")</f>
        <v>https://t.co/Ld0scbuPCt</v>
      </c>
      <c r="AX913" s="76" t="b">
        <v>0</v>
      </c>
      <c r="AY913" s="76"/>
      <c r="AZ913" s="76"/>
      <c r="BA913" s="76" t="b">
        <v>0</v>
      </c>
      <c r="BB913" s="76" t="b">
        <v>1</v>
      </c>
      <c r="BC913" s="76" t="b">
        <v>1</v>
      </c>
      <c r="BD913" s="76" t="b">
        <v>0</v>
      </c>
      <c r="BE913" s="76" t="b">
        <v>0</v>
      </c>
      <c r="BF913" s="76" t="b">
        <v>0</v>
      </c>
      <c r="BG913" s="76" t="b">
        <v>0</v>
      </c>
      <c r="BH913" s="82" t="str">
        <f>HYPERLINK("https://pbs.twimg.com/profile_banners/1332751555389513731/1606587843")</f>
        <v>https://pbs.twimg.com/profile_banners/1332751555389513731/1606587843</v>
      </c>
      <c r="BI913" s="76"/>
      <c r="BJ913" s="76" t="s">
        <v>27595</v>
      </c>
      <c r="BK913" s="76" t="b">
        <v>0</v>
      </c>
      <c r="BL913" s="76"/>
      <c r="BM913" s="76" t="s">
        <v>66</v>
      </c>
      <c r="BN913" s="76" t="s">
        <v>27597</v>
      </c>
      <c r="BO913" s="82" t="str">
        <f>HYPERLINK("https://twitter.com/astroporchett")</f>
        <v>https://twitter.com/astroporchett</v>
      </c>
      <c r="BP913" s="2"/>
    </row>
    <row r="914" spans="1:68" x14ac:dyDescent="0.25">
      <c r="A914" s="62" t="s">
        <v>879</v>
      </c>
      <c r="B914" s="63"/>
      <c r="C914" s="63"/>
      <c r="D914" s="64"/>
      <c r="E914" s="66"/>
      <c r="F914" s="103" t="str">
        <f>HYPERLINK("https://pbs.twimg.com/profile_images/1524074707250782208/aii6SQ3p_normal.jpg")</f>
        <v>https://pbs.twimg.com/profile_images/1524074707250782208/aii6SQ3p_normal.jpg</v>
      </c>
      <c r="G914" s="63"/>
      <c r="H914" s="67"/>
      <c r="I914" s="68"/>
      <c r="J914" s="68"/>
      <c r="K914" s="67" t="s">
        <v>28508</v>
      </c>
      <c r="L914" s="71"/>
      <c r="M914" s="72"/>
      <c r="N914" s="72"/>
      <c r="O914" s="73"/>
      <c r="P914" s="74"/>
      <c r="Q914" s="74"/>
      <c r="R914" s="87"/>
      <c r="S914" s="87"/>
      <c r="T914" s="87"/>
      <c r="U914" s="87"/>
      <c r="V914" s="48"/>
      <c r="W914" s="48"/>
      <c r="X914" s="48"/>
      <c r="Y914" s="48"/>
      <c r="Z914" s="47"/>
      <c r="AA914" s="69">
        <v>914</v>
      </c>
      <c r="AB914" s="69"/>
      <c r="AC914" s="70"/>
      <c r="AD914" s="76" t="s">
        <v>22142</v>
      </c>
      <c r="AE914" s="81" t="s">
        <v>20805</v>
      </c>
      <c r="AF914" s="76">
        <v>272</v>
      </c>
      <c r="AG914" s="76">
        <v>742</v>
      </c>
      <c r="AH914" s="76">
        <v>2011</v>
      </c>
      <c r="AI914" s="76">
        <v>0</v>
      </c>
      <c r="AJ914" s="76">
        <v>151</v>
      </c>
      <c r="AK914" s="76">
        <v>491</v>
      </c>
      <c r="AL914" s="76" t="b">
        <v>0</v>
      </c>
      <c r="AM914" s="78">
        <v>43414.873912037037</v>
      </c>
      <c r="AN914" s="76" t="s">
        <v>14426</v>
      </c>
      <c r="AO914" s="76" t="s">
        <v>25527</v>
      </c>
      <c r="AP914" s="82" t="str">
        <f>HYPERLINK("https://t.co/nrg42FitQZ")</f>
        <v>https://t.co/nrg42FitQZ</v>
      </c>
      <c r="AQ914" s="82" t="str">
        <f>HYPERLINK("http://www.siseg.com")</f>
        <v>http://www.siseg.com</v>
      </c>
      <c r="AR914" s="76" t="s">
        <v>26854</v>
      </c>
      <c r="AS914" s="76"/>
      <c r="AT914" s="76"/>
      <c r="AU914" s="76"/>
      <c r="AV914" s="76"/>
      <c r="AW914" s="82" t="str">
        <f>HYPERLINK("https://t.co/nrg42FitQZ")</f>
        <v>https://t.co/nrg42FitQZ</v>
      </c>
      <c r="AX914" s="76" t="b">
        <v>0</v>
      </c>
      <c r="AY914" s="76"/>
      <c r="AZ914" s="76"/>
      <c r="BA914" s="76" t="b">
        <v>1</v>
      </c>
      <c r="BB914" s="76" t="b">
        <v>0</v>
      </c>
      <c r="BC914" s="76" t="b">
        <v>1</v>
      </c>
      <c r="BD914" s="76" t="b">
        <v>0</v>
      </c>
      <c r="BE914" s="76" t="b">
        <v>0</v>
      </c>
      <c r="BF914" s="76" t="b">
        <v>0</v>
      </c>
      <c r="BG914" s="76" t="b">
        <v>1</v>
      </c>
      <c r="BH914" s="82" t="str">
        <f>HYPERLINK("https://pbs.twimg.com/profile_banners/1061362467689951238/1604790825")</f>
        <v>https://pbs.twimg.com/profile_banners/1061362467689951238/1604790825</v>
      </c>
      <c r="BI914" s="76"/>
      <c r="BJ914" s="76" t="s">
        <v>27595</v>
      </c>
      <c r="BK914" s="76" t="b">
        <v>0</v>
      </c>
      <c r="BL914" s="76"/>
      <c r="BM914" s="76" t="s">
        <v>66</v>
      </c>
      <c r="BN914" s="76" t="s">
        <v>27597</v>
      </c>
      <c r="BO914" s="82" t="str">
        <f>HYPERLINK("https://twitter.com/matiaspmanghi")</f>
        <v>https://twitter.com/matiaspmanghi</v>
      </c>
      <c r="BP914" s="2"/>
    </row>
    <row r="915" spans="1:68" x14ac:dyDescent="0.25">
      <c r="A915" s="62" t="s">
        <v>880</v>
      </c>
      <c r="B915" s="63"/>
      <c r="C915" s="63"/>
      <c r="D915" s="64"/>
      <c r="E915" s="66"/>
      <c r="F915" s="103" t="str">
        <f>HYPERLINK("https://pbs.twimg.com/profile_images/1640709089033596929/sg0WZLfH_normal.jpg")</f>
        <v>https://pbs.twimg.com/profile_images/1640709089033596929/sg0WZLfH_normal.jpg</v>
      </c>
      <c r="G915" s="63"/>
      <c r="H915" s="67"/>
      <c r="I915" s="68"/>
      <c r="J915" s="68"/>
      <c r="K915" s="67" t="s">
        <v>28509</v>
      </c>
      <c r="L915" s="71"/>
      <c r="M915" s="72"/>
      <c r="N915" s="72"/>
      <c r="O915" s="73"/>
      <c r="P915" s="74"/>
      <c r="Q915" s="74"/>
      <c r="R915" s="87"/>
      <c r="S915" s="87"/>
      <c r="T915" s="87"/>
      <c r="U915" s="87"/>
      <c r="V915" s="48"/>
      <c r="W915" s="48"/>
      <c r="X915" s="48"/>
      <c r="Y915" s="48"/>
      <c r="Z915" s="47"/>
      <c r="AA915" s="69">
        <v>915</v>
      </c>
      <c r="AB915" s="69"/>
      <c r="AC915" s="70"/>
      <c r="AD915" s="76" t="s">
        <v>22143</v>
      </c>
      <c r="AE915" s="81" t="s">
        <v>23562</v>
      </c>
      <c r="AF915" s="76">
        <v>15804</v>
      </c>
      <c r="AG915" s="76">
        <v>43</v>
      </c>
      <c r="AH915" s="76">
        <v>11736</v>
      </c>
      <c r="AI915" s="76">
        <v>236</v>
      </c>
      <c r="AJ915" s="76">
        <v>600</v>
      </c>
      <c r="AK915" s="76">
        <v>5306</v>
      </c>
      <c r="AL915" s="76" t="b">
        <v>0</v>
      </c>
      <c r="AM915" s="78">
        <v>42186.652928240743</v>
      </c>
      <c r="AN915" s="76" t="s">
        <v>14400</v>
      </c>
      <c r="AO915" s="76" t="s">
        <v>25528</v>
      </c>
      <c r="AP915" s="82" t="str">
        <f>HYPERLINK("https://t.co/0XKO2huwf3")</f>
        <v>https://t.co/0XKO2huwf3</v>
      </c>
      <c r="AQ915" s="82" t="str">
        <f>HYPERLINK("http://genial.vc/linktree")</f>
        <v>http://genial.vc/linktree</v>
      </c>
      <c r="AR915" s="76" t="s">
        <v>26855</v>
      </c>
      <c r="AS915" s="76"/>
      <c r="AT915" s="76"/>
      <c r="AU915" s="76"/>
      <c r="AV915" s="76"/>
      <c r="AW915" s="82" t="str">
        <f>HYPERLINK("https://t.co/0XKO2huwf3")</f>
        <v>https://t.co/0XKO2huwf3</v>
      </c>
      <c r="AX915" s="76" t="b">
        <v>1</v>
      </c>
      <c r="AY915" s="76"/>
      <c r="AZ915" s="76"/>
      <c r="BA915" s="76" t="b">
        <v>1</v>
      </c>
      <c r="BB915" s="76" t="b">
        <v>1</v>
      </c>
      <c r="BC915" s="76" t="b">
        <v>0</v>
      </c>
      <c r="BD915" s="76" t="b">
        <v>0</v>
      </c>
      <c r="BE915" s="76" t="b">
        <v>1</v>
      </c>
      <c r="BF915" s="76" t="b">
        <v>0</v>
      </c>
      <c r="BG915" s="76" t="b">
        <v>0</v>
      </c>
      <c r="BH915" s="82" t="str">
        <f>HYPERLINK("https://pbs.twimg.com/profile_banners/3353280789/1694628948")</f>
        <v>https://pbs.twimg.com/profile_banners/3353280789/1694628948</v>
      </c>
      <c r="BI915" s="76"/>
      <c r="BJ915" s="76" t="s">
        <v>27595</v>
      </c>
      <c r="BK915" s="76" t="b">
        <v>0</v>
      </c>
      <c r="BL915" s="76"/>
      <c r="BM915" s="76" t="s">
        <v>66</v>
      </c>
      <c r="BN915" s="76" t="s">
        <v>27597</v>
      </c>
      <c r="BO915" s="82" t="str">
        <f>HYPERLINK("https://twitter.com/genialinveste")</f>
        <v>https://twitter.com/genialinveste</v>
      </c>
      <c r="BP915" s="2"/>
    </row>
    <row r="916" spans="1:68" x14ac:dyDescent="0.25">
      <c r="A916" s="62" t="s">
        <v>881</v>
      </c>
      <c r="B916" s="63"/>
      <c r="C916" s="63"/>
      <c r="D916" s="64"/>
      <c r="E916" s="66"/>
      <c r="F916" s="103" t="str">
        <f>HYPERLINK("https://pbs.twimg.com/profile_images/1181195719601995777/kpF5J5bb_normal.jpg")</f>
        <v>https://pbs.twimg.com/profile_images/1181195719601995777/kpF5J5bb_normal.jpg</v>
      </c>
      <c r="G916" s="63"/>
      <c r="H916" s="67"/>
      <c r="I916" s="68"/>
      <c r="J916" s="68"/>
      <c r="K916" s="67" t="s">
        <v>28510</v>
      </c>
      <c r="L916" s="71"/>
      <c r="M916" s="72"/>
      <c r="N916" s="72"/>
      <c r="O916" s="73"/>
      <c r="P916" s="74"/>
      <c r="Q916" s="74"/>
      <c r="R916" s="87"/>
      <c r="S916" s="87"/>
      <c r="T916" s="87"/>
      <c r="U916" s="87"/>
      <c r="V916" s="48"/>
      <c r="W916" s="48"/>
      <c r="X916" s="48"/>
      <c r="Y916" s="48"/>
      <c r="Z916" s="47"/>
      <c r="AA916" s="69">
        <v>916</v>
      </c>
      <c r="AB916" s="69"/>
      <c r="AC916" s="70"/>
      <c r="AD916" s="76" t="s">
        <v>22144</v>
      </c>
      <c r="AE916" s="81" t="s">
        <v>23563</v>
      </c>
      <c r="AF916" s="76">
        <v>151829</v>
      </c>
      <c r="AG916" s="76">
        <v>1470</v>
      </c>
      <c r="AH916" s="76">
        <v>92246</v>
      </c>
      <c r="AI916" s="76">
        <v>1338</v>
      </c>
      <c r="AJ916" s="76">
        <v>185</v>
      </c>
      <c r="AK916" s="76">
        <v>20897</v>
      </c>
      <c r="AL916" s="76" t="b">
        <v>0</v>
      </c>
      <c r="AM916" s="78">
        <v>40205.639722222222</v>
      </c>
      <c r="AN916" s="76" t="s">
        <v>14385</v>
      </c>
      <c r="AO916" s="76" t="s">
        <v>25529</v>
      </c>
      <c r="AP916" s="82" t="str">
        <f>HYPERLINK("https://t.co/Hu8wzsOrUk")</f>
        <v>https://t.co/Hu8wzsOrUk</v>
      </c>
      <c r="AQ916" s="82" t="str">
        <f>HYPERLINK("http://www.lapoliticaonline.com")</f>
        <v>http://www.lapoliticaonline.com</v>
      </c>
      <c r="AR916" s="76" t="s">
        <v>8765</v>
      </c>
      <c r="AS916" s="76"/>
      <c r="AT916" s="76"/>
      <c r="AU916" s="76"/>
      <c r="AV916" s="76"/>
      <c r="AW916" s="82" t="str">
        <f>HYPERLINK("https://t.co/Hu8wzsOrUk")</f>
        <v>https://t.co/Hu8wzsOrUk</v>
      </c>
      <c r="AX916" s="76" t="b">
        <v>0</v>
      </c>
      <c r="AY916" s="76"/>
      <c r="AZ916" s="76"/>
      <c r="BA916" s="76" t="b">
        <v>0</v>
      </c>
      <c r="BB916" s="76" t="b">
        <v>1</v>
      </c>
      <c r="BC916" s="76" t="b">
        <v>0</v>
      </c>
      <c r="BD916" s="76" t="b">
        <v>0</v>
      </c>
      <c r="BE916" s="76" t="b">
        <v>0</v>
      </c>
      <c r="BF916" s="76" t="b">
        <v>0</v>
      </c>
      <c r="BG916" s="76" t="b">
        <v>0</v>
      </c>
      <c r="BH916" s="82" t="str">
        <f>HYPERLINK("https://pbs.twimg.com/profile_banners/108968018/1572544607")</f>
        <v>https://pbs.twimg.com/profile_banners/108968018/1572544607</v>
      </c>
      <c r="BI916" s="76"/>
      <c r="BJ916" s="76" t="s">
        <v>27595</v>
      </c>
      <c r="BK916" s="76" t="b">
        <v>0</v>
      </c>
      <c r="BL916" s="76"/>
      <c r="BM916" s="76" t="s">
        <v>66</v>
      </c>
      <c r="BN916" s="76" t="s">
        <v>27597</v>
      </c>
      <c r="BO916" s="82" t="str">
        <f>HYPERLINK("https://twitter.com/lpoarg")</f>
        <v>https://twitter.com/lpoarg</v>
      </c>
      <c r="BP916" s="2"/>
    </row>
    <row r="917" spans="1:68" x14ac:dyDescent="0.25">
      <c r="A917" s="62" t="s">
        <v>882</v>
      </c>
      <c r="B917" s="63"/>
      <c r="C917" s="63"/>
      <c r="D917" s="64"/>
      <c r="E917" s="66"/>
      <c r="F917" s="103" t="str">
        <f>HYPERLINK("https://pbs.twimg.com/profile_images/1590710185588310017/Oh8FsGwa_normal.jpg")</f>
        <v>https://pbs.twimg.com/profile_images/1590710185588310017/Oh8FsGwa_normal.jpg</v>
      </c>
      <c r="G917" s="63"/>
      <c r="H917" s="67"/>
      <c r="I917" s="68"/>
      <c r="J917" s="68"/>
      <c r="K917" s="67" t="s">
        <v>28511</v>
      </c>
      <c r="L917" s="71"/>
      <c r="M917" s="72"/>
      <c r="N917" s="72"/>
      <c r="O917" s="73"/>
      <c r="P917" s="74"/>
      <c r="Q917" s="74"/>
      <c r="R917" s="87"/>
      <c r="S917" s="87"/>
      <c r="T917" s="87"/>
      <c r="U917" s="87"/>
      <c r="V917" s="48"/>
      <c r="W917" s="48"/>
      <c r="X917" s="48"/>
      <c r="Y917" s="48"/>
      <c r="Z917" s="47"/>
      <c r="AA917" s="69">
        <v>917</v>
      </c>
      <c r="AB917" s="69"/>
      <c r="AC917" s="70"/>
      <c r="AD917" s="76" t="s">
        <v>8766</v>
      </c>
      <c r="AE917" s="81" t="s">
        <v>20806</v>
      </c>
      <c r="AF917" s="76">
        <v>102</v>
      </c>
      <c r="AG917" s="76">
        <v>254</v>
      </c>
      <c r="AH917" s="76">
        <v>4957</v>
      </c>
      <c r="AI917" s="76">
        <v>1</v>
      </c>
      <c r="AJ917" s="76">
        <v>7</v>
      </c>
      <c r="AK917" s="76">
        <v>100</v>
      </c>
      <c r="AL917" s="76" t="b">
        <v>0</v>
      </c>
      <c r="AM917" s="78">
        <v>44749.930393518516</v>
      </c>
      <c r="AN917" s="76"/>
      <c r="AO917" s="76"/>
      <c r="AP917" s="76"/>
      <c r="AQ917" s="76"/>
      <c r="AR917" s="76"/>
      <c r="AS917" s="76"/>
      <c r="AT917" s="76"/>
      <c r="AU917" s="76"/>
      <c r="AV917" s="76"/>
      <c r="AW917" s="76"/>
      <c r="AX917" s="76" t="b">
        <v>0</v>
      </c>
      <c r="AY917" s="76"/>
      <c r="AZ917" s="76"/>
      <c r="BA917" s="76" t="b">
        <v>0</v>
      </c>
      <c r="BB917" s="76" t="b">
        <v>1</v>
      </c>
      <c r="BC917" s="76" t="b">
        <v>1</v>
      </c>
      <c r="BD917" s="76" t="b">
        <v>0</v>
      </c>
      <c r="BE917" s="76" t="b">
        <v>0</v>
      </c>
      <c r="BF917" s="76" t="b">
        <v>0</v>
      </c>
      <c r="BG917" s="76" t="b">
        <v>0</v>
      </c>
      <c r="BH917" s="82" t="str">
        <f>HYPERLINK("https://pbs.twimg.com/profile_banners/1545170673286479877/1657232562")</f>
        <v>https://pbs.twimg.com/profile_banners/1545170673286479877/1657232562</v>
      </c>
      <c r="BI917" s="76"/>
      <c r="BJ917" s="76" t="s">
        <v>27595</v>
      </c>
      <c r="BK917" s="76" t="b">
        <v>0</v>
      </c>
      <c r="BL917" s="76"/>
      <c r="BM917" s="76" t="s">
        <v>66</v>
      </c>
      <c r="BN917" s="76" t="s">
        <v>27597</v>
      </c>
      <c r="BO917" s="82" t="str">
        <f>HYPERLINK("https://twitter.com/neuquenpostc")</f>
        <v>https://twitter.com/neuquenpostc</v>
      </c>
      <c r="BP917" s="2"/>
    </row>
    <row r="918" spans="1:68" x14ac:dyDescent="0.25">
      <c r="A918" s="62" t="s">
        <v>883</v>
      </c>
      <c r="B918" s="63"/>
      <c r="C918" s="63"/>
      <c r="D918" s="64"/>
      <c r="E918" s="66"/>
      <c r="F918" s="103" t="str">
        <f>HYPERLINK("https://pbs.twimg.com/profile_images/1393585670170492928/eMPqOVPo_normal.jpg")</f>
        <v>https://pbs.twimg.com/profile_images/1393585670170492928/eMPqOVPo_normal.jpg</v>
      </c>
      <c r="G918" s="63"/>
      <c r="H918" s="67"/>
      <c r="I918" s="68"/>
      <c r="J918" s="68"/>
      <c r="K918" s="67" t="s">
        <v>28512</v>
      </c>
      <c r="L918" s="71"/>
      <c r="M918" s="72"/>
      <c r="N918" s="72"/>
      <c r="O918" s="73"/>
      <c r="P918" s="74"/>
      <c r="Q918" s="74"/>
      <c r="R918" s="87"/>
      <c r="S918" s="87"/>
      <c r="T918" s="87"/>
      <c r="U918" s="87"/>
      <c r="V918" s="48"/>
      <c r="W918" s="48"/>
      <c r="X918" s="48"/>
      <c r="Y918" s="48"/>
      <c r="Z918" s="47"/>
      <c r="AA918" s="69">
        <v>918</v>
      </c>
      <c r="AB918" s="69"/>
      <c r="AC918" s="70"/>
      <c r="AD918" s="76" t="s">
        <v>22145</v>
      </c>
      <c r="AE918" s="81" t="s">
        <v>23564</v>
      </c>
      <c r="AF918" s="76">
        <v>9877</v>
      </c>
      <c r="AG918" s="76">
        <v>6115</v>
      </c>
      <c r="AH918" s="76">
        <v>47109</v>
      </c>
      <c r="AI918" s="76">
        <v>128</v>
      </c>
      <c r="AJ918" s="76">
        <v>30040</v>
      </c>
      <c r="AK918" s="76">
        <v>4217</v>
      </c>
      <c r="AL918" s="76" t="b">
        <v>0</v>
      </c>
      <c r="AM918" s="78">
        <v>40018.054965277777</v>
      </c>
      <c r="AN918" s="76"/>
      <c r="AO918" s="76" t="s">
        <v>25530</v>
      </c>
      <c r="AP918" s="82" t="str">
        <f>HYPERLINK("https://t.co/WzDGw0bkVh")</f>
        <v>https://t.co/WzDGw0bkVh</v>
      </c>
      <c r="AQ918" s="82" t="str">
        <f>HYPERLINK("https://mercedescolombres.mitiendanube.com/")</f>
        <v>https://mercedescolombres.mitiendanube.com/</v>
      </c>
      <c r="AR918" s="76" t="s">
        <v>26856</v>
      </c>
      <c r="AS918" s="76"/>
      <c r="AT918" s="76"/>
      <c r="AU918" s="76"/>
      <c r="AV918" s="76">
        <v>1.70716942642704E+18</v>
      </c>
      <c r="AW918" s="82" t="str">
        <f>HYPERLINK("https://t.co/WzDGw0bkVh")</f>
        <v>https://t.co/WzDGw0bkVh</v>
      </c>
      <c r="AX918" s="76" t="b">
        <v>0</v>
      </c>
      <c r="AY918" s="76"/>
      <c r="AZ918" s="76"/>
      <c r="BA918" s="76" t="b">
        <v>0</v>
      </c>
      <c r="BB918" s="76" t="b">
        <v>1</v>
      </c>
      <c r="BC918" s="76" t="b">
        <v>0</v>
      </c>
      <c r="BD918" s="76" t="b">
        <v>0</v>
      </c>
      <c r="BE918" s="76" t="b">
        <v>1</v>
      </c>
      <c r="BF918" s="76" t="b">
        <v>0</v>
      </c>
      <c r="BG918" s="76" t="b">
        <v>0</v>
      </c>
      <c r="BH918" s="82" t="str">
        <f>HYPERLINK("https://pbs.twimg.com/profile_banners/59649411/1439391248")</f>
        <v>https://pbs.twimg.com/profile_banners/59649411/1439391248</v>
      </c>
      <c r="BI918" s="76"/>
      <c r="BJ918" s="76" t="s">
        <v>27595</v>
      </c>
      <c r="BK918" s="76" t="b">
        <v>0</v>
      </c>
      <c r="BL918" s="76"/>
      <c r="BM918" s="76" t="s">
        <v>66</v>
      </c>
      <c r="BN918" s="76" t="s">
        <v>27597</v>
      </c>
      <c r="BO918" s="82" t="str">
        <f>HYPERLINK("https://twitter.com/mercolombres")</f>
        <v>https://twitter.com/mercolombres</v>
      </c>
      <c r="BP918" s="2"/>
    </row>
    <row r="919" spans="1:68" x14ac:dyDescent="0.25">
      <c r="A919" s="62" t="s">
        <v>884</v>
      </c>
      <c r="B919" s="63"/>
      <c r="C919" s="63"/>
      <c r="D919" s="64"/>
      <c r="E919" s="66"/>
      <c r="F919" s="103" t="str">
        <f>HYPERLINK("https://pbs.twimg.com/profile_images/1664001932564758529/aezywWZQ_normal.jpg")</f>
        <v>https://pbs.twimg.com/profile_images/1664001932564758529/aezywWZQ_normal.jpg</v>
      </c>
      <c r="G919" s="63"/>
      <c r="H919" s="67"/>
      <c r="I919" s="68"/>
      <c r="J919" s="68"/>
      <c r="K919" s="67" t="s">
        <v>28513</v>
      </c>
      <c r="L919" s="71"/>
      <c r="M919" s="72"/>
      <c r="N919" s="72"/>
      <c r="O919" s="73"/>
      <c r="P919" s="74"/>
      <c r="Q919" s="74"/>
      <c r="R919" s="87"/>
      <c r="S919" s="87"/>
      <c r="T919" s="87"/>
      <c r="U919" s="87"/>
      <c r="V919" s="48"/>
      <c r="W919" s="48"/>
      <c r="X919" s="48"/>
      <c r="Y919" s="48"/>
      <c r="Z919" s="47"/>
      <c r="AA919" s="69">
        <v>919</v>
      </c>
      <c r="AB919" s="69"/>
      <c r="AC919" s="70"/>
      <c r="AD919" s="76" t="s">
        <v>22146</v>
      </c>
      <c r="AE919" s="81" t="s">
        <v>20807</v>
      </c>
      <c r="AF919" s="76">
        <v>2</v>
      </c>
      <c r="AG919" s="76">
        <v>17</v>
      </c>
      <c r="AH919" s="76">
        <v>106</v>
      </c>
      <c r="AI919" s="76">
        <v>0</v>
      </c>
      <c r="AJ919" s="76">
        <v>120</v>
      </c>
      <c r="AK919" s="76">
        <v>10</v>
      </c>
      <c r="AL919" s="76" t="b">
        <v>0</v>
      </c>
      <c r="AM919" s="78">
        <v>45077.841412037036</v>
      </c>
      <c r="AN919" s="76"/>
      <c r="AO919" s="76" t="s">
        <v>25531</v>
      </c>
      <c r="AP919" s="76"/>
      <c r="AQ919" s="76"/>
      <c r="AR919" s="76"/>
      <c r="AS919" s="76"/>
      <c r="AT919" s="76"/>
      <c r="AU919" s="76"/>
      <c r="AV919" s="76">
        <v>1.70414922694126E+18</v>
      </c>
      <c r="AW919" s="76"/>
      <c r="AX919" s="76" t="b">
        <v>0</v>
      </c>
      <c r="AY919" s="76"/>
      <c r="AZ919" s="76"/>
      <c r="BA919" s="76" t="b">
        <v>0</v>
      </c>
      <c r="BB919" s="76" t="b">
        <v>1</v>
      </c>
      <c r="BC919" s="76" t="b">
        <v>1</v>
      </c>
      <c r="BD919" s="76" t="b">
        <v>0</v>
      </c>
      <c r="BE919" s="76" t="b">
        <v>0</v>
      </c>
      <c r="BF919" s="76" t="b">
        <v>0</v>
      </c>
      <c r="BG919" s="76" t="b">
        <v>0</v>
      </c>
      <c r="BH919" s="82" t="str">
        <f>HYPERLINK("https://pbs.twimg.com/profile_banners/1664001660530589698/1692815359")</f>
        <v>https://pbs.twimg.com/profile_banners/1664001660530589698/1692815359</v>
      </c>
      <c r="BI919" s="76"/>
      <c r="BJ919" s="76" t="s">
        <v>27595</v>
      </c>
      <c r="BK919" s="76" t="b">
        <v>0</v>
      </c>
      <c r="BL919" s="76"/>
      <c r="BM919" s="76" t="s">
        <v>66</v>
      </c>
      <c r="BN919" s="76" t="s">
        <v>27597</v>
      </c>
      <c r="BO919" s="82" t="str">
        <f>HYPERLINK("https://twitter.com/joselilloy")</f>
        <v>https://twitter.com/joselilloy</v>
      </c>
      <c r="BP919" s="2"/>
    </row>
    <row r="920" spans="1:68" x14ac:dyDescent="0.25">
      <c r="A920" s="62" t="s">
        <v>885</v>
      </c>
      <c r="B920" s="63"/>
      <c r="C920" s="63"/>
      <c r="D920" s="64"/>
      <c r="E920" s="66"/>
      <c r="F920" s="103" t="str">
        <f>HYPERLINK("https://pbs.twimg.com/profile_images/1608301240080863234/iz9fZWio_normal.jpg")</f>
        <v>https://pbs.twimg.com/profile_images/1608301240080863234/iz9fZWio_normal.jpg</v>
      </c>
      <c r="G920" s="63"/>
      <c r="H920" s="67"/>
      <c r="I920" s="68"/>
      <c r="J920" s="68"/>
      <c r="K920" s="67" t="s">
        <v>28514</v>
      </c>
      <c r="L920" s="71"/>
      <c r="M920" s="72"/>
      <c r="N920" s="72"/>
      <c r="O920" s="73"/>
      <c r="P920" s="74"/>
      <c r="Q920" s="74"/>
      <c r="R920" s="87"/>
      <c r="S920" s="87"/>
      <c r="T920" s="87"/>
      <c r="U920" s="87"/>
      <c r="V920" s="48"/>
      <c r="W920" s="48"/>
      <c r="X920" s="48"/>
      <c r="Y920" s="48"/>
      <c r="Z920" s="47"/>
      <c r="AA920" s="69">
        <v>920</v>
      </c>
      <c r="AB920" s="69"/>
      <c r="AC920" s="70"/>
      <c r="AD920" s="76" t="s">
        <v>22147</v>
      </c>
      <c r="AE920" s="81" t="s">
        <v>20808</v>
      </c>
      <c r="AF920" s="76">
        <v>610</v>
      </c>
      <c r="AG920" s="76">
        <v>2441</v>
      </c>
      <c r="AH920" s="76">
        <v>1543</v>
      </c>
      <c r="AI920" s="76">
        <v>5</v>
      </c>
      <c r="AJ920" s="76">
        <v>315</v>
      </c>
      <c r="AK920" s="76">
        <v>353</v>
      </c>
      <c r="AL920" s="76" t="b">
        <v>0</v>
      </c>
      <c r="AM920" s="78">
        <v>44242.930567129632</v>
      </c>
      <c r="AN920" s="76" t="s">
        <v>24406</v>
      </c>
      <c r="AO920" s="76" t="s">
        <v>25532</v>
      </c>
      <c r="AP920" s="82" t="str">
        <f>HYPERLINK("https://t.co/CV2gmRKgR3")</f>
        <v>https://t.co/CV2gmRKgR3</v>
      </c>
      <c r="AQ920" s="82" t="str">
        <f>HYPERLINK("https://radiocooperativa.com.ar")</f>
        <v>https://radiocooperativa.com.ar</v>
      </c>
      <c r="AR920" s="76" t="s">
        <v>26857</v>
      </c>
      <c r="AS920" s="76"/>
      <c r="AT920" s="76"/>
      <c r="AU920" s="76"/>
      <c r="AV920" s="76"/>
      <c r="AW920" s="82" t="str">
        <f>HYPERLINK("https://t.co/CV2gmRKgR3")</f>
        <v>https://t.co/CV2gmRKgR3</v>
      </c>
      <c r="AX920" s="76" t="b">
        <v>0</v>
      </c>
      <c r="AY920" s="76"/>
      <c r="AZ920" s="76"/>
      <c r="BA920" s="76" t="b">
        <v>0</v>
      </c>
      <c r="BB920" s="76" t="b">
        <v>1</v>
      </c>
      <c r="BC920" s="76" t="b">
        <v>1</v>
      </c>
      <c r="BD920" s="76" t="b">
        <v>0</v>
      </c>
      <c r="BE920" s="76" t="b">
        <v>0</v>
      </c>
      <c r="BF920" s="76" t="b">
        <v>0</v>
      </c>
      <c r="BG920" s="76" t="b">
        <v>0</v>
      </c>
      <c r="BH920" s="82" t="str">
        <f>HYPERLINK("https://pbs.twimg.com/profile_banners/1361440081945518083/1667264271")</f>
        <v>https://pbs.twimg.com/profile_banners/1361440081945518083/1667264271</v>
      </c>
      <c r="BI920" s="76"/>
      <c r="BJ920" s="76" t="s">
        <v>27595</v>
      </c>
      <c r="BK920" s="76" t="b">
        <v>0</v>
      </c>
      <c r="BL920" s="76"/>
      <c r="BM920" s="76" t="s">
        <v>66</v>
      </c>
      <c r="BN920" s="76" t="s">
        <v>27597</v>
      </c>
      <c r="BO920" s="82" t="str">
        <f>HYPERLINK("https://twitter.com/chinaclave")</f>
        <v>https://twitter.com/chinaclave</v>
      </c>
      <c r="BP920" s="2"/>
    </row>
    <row r="921" spans="1:68" x14ac:dyDescent="0.25">
      <c r="A921" s="62" t="s">
        <v>1902</v>
      </c>
      <c r="B921" s="63"/>
      <c r="C921" s="63"/>
      <c r="D921" s="64"/>
      <c r="E921" s="66"/>
      <c r="F921" s="103" t="str">
        <f>HYPERLINK("https://pbs.twimg.com/profile_images/1620455347092656134/hTy6Pb8q_normal.jpg")</f>
        <v>https://pbs.twimg.com/profile_images/1620455347092656134/hTy6Pb8q_normal.jpg</v>
      </c>
      <c r="G921" s="63"/>
      <c r="H921" s="67"/>
      <c r="I921" s="68"/>
      <c r="J921" s="68"/>
      <c r="K921" s="67" t="s">
        <v>28515</v>
      </c>
      <c r="L921" s="71"/>
      <c r="M921" s="72"/>
      <c r="N921" s="72"/>
      <c r="O921" s="73"/>
      <c r="P921" s="74"/>
      <c r="Q921" s="74"/>
      <c r="R921" s="87"/>
      <c r="S921" s="87"/>
      <c r="T921" s="87"/>
      <c r="U921" s="87"/>
      <c r="V921" s="48"/>
      <c r="W921" s="48"/>
      <c r="X921" s="48"/>
      <c r="Y921" s="48"/>
      <c r="Z921" s="47"/>
      <c r="AA921" s="69">
        <v>921</v>
      </c>
      <c r="AB921" s="69"/>
      <c r="AC921" s="70"/>
      <c r="AD921" s="76" t="s">
        <v>22148</v>
      </c>
      <c r="AE921" s="81" t="s">
        <v>23565</v>
      </c>
      <c r="AF921" s="76">
        <v>16377</v>
      </c>
      <c r="AG921" s="76">
        <v>28</v>
      </c>
      <c r="AH921" s="76">
        <v>70016</v>
      </c>
      <c r="AI921" s="76">
        <v>195</v>
      </c>
      <c r="AJ921" s="76">
        <v>1939</v>
      </c>
      <c r="AK921" s="76">
        <v>29519</v>
      </c>
      <c r="AL921" s="76" t="b">
        <v>0</v>
      </c>
      <c r="AM921" s="78">
        <v>40268.682326388887</v>
      </c>
      <c r="AN921" s="76" t="s">
        <v>24407</v>
      </c>
      <c r="AO921" s="76" t="s">
        <v>25533</v>
      </c>
      <c r="AP921" s="82" t="str">
        <f>HYPERLINK("https://t.co/oepyGImyU8")</f>
        <v>https://t.co/oepyGImyU8</v>
      </c>
      <c r="AQ921" s="82" t="str">
        <f>HYPERLINK("http://www.r770.com.ar")</f>
        <v>http://www.r770.com.ar</v>
      </c>
      <c r="AR921" s="76" t="s">
        <v>26858</v>
      </c>
      <c r="AS921" s="76"/>
      <c r="AT921" s="76"/>
      <c r="AU921" s="76"/>
      <c r="AV921" s="76">
        <v>1.65639987952928E+18</v>
      </c>
      <c r="AW921" s="82" t="str">
        <f>HYPERLINK("https://t.co/oepyGImyU8")</f>
        <v>https://t.co/oepyGImyU8</v>
      </c>
      <c r="AX921" s="76" t="b">
        <v>0</v>
      </c>
      <c r="AY921" s="76"/>
      <c r="AZ921" s="76"/>
      <c r="BA921" s="76" t="b">
        <v>0</v>
      </c>
      <c r="BB921" s="76" t="b">
        <v>1</v>
      </c>
      <c r="BC921" s="76" t="b">
        <v>0</v>
      </c>
      <c r="BD921" s="76" t="b">
        <v>0</v>
      </c>
      <c r="BE921" s="76" t="b">
        <v>1</v>
      </c>
      <c r="BF921" s="76" t="b">
        <v>0</v>
      </c>
      <c r="BG921" s="76" t="b">
        <v>0</v>
      </c>
      <c r="BH921" s="82" t="str">
        <f>HYPERLINK("https://pbs.twimg.com/profile_banners/128264524/1683747246")</f>
        <v>https://pbs.twimg.com/profile_banners/128264524/1683747246</v>
      </c>
      <c r="BI921" s="76"/>
      <c r="BJ921" s="76" t="s">
        <v>27595</v>
      </c>
      <c r="BK921" s="76" t="b">
        <v>0</v>
      </c>
      <c r="BL921" s="76"/>
      <c r="BM921" s="76" t="s">
        <v>65</v>
      </c>
      <c r="BN921" s="76" t="s">
        <v>27597</v>
      </c>
      <c r="BO921" s="82" t="str">
        <f>HYPERLINK("https://twitter.com/radio_770")</f>
        <v>https://twitter.com/radio_770</v>
      </c>
      <c r="BP921" s="2"/>
    </row>
    <row r="922" spans="1:68" x14ac:dyDescent="0.25">
      <c r="A922" s="62" t="s">
        <v>1903</v>
      </c>
      <c r="B922" s="63"/>
      <c r="C922" s="63"/>
      <c r="D922" s="64"/>
      <c r="E922" s="66"/>
      <c r="F922" s="103" t="str">
        <f>HYPERLINK("https://pbs.twimg.com/profile_images/1242814528611594242/__yQV8cx_normal.jpg")</f>
        <v>https://pbs.twimg.com/profile_images/1242814528611594242/__yQV8cx_normal.jpg</v>
      </c>
      <c r="G922" s="63"/>
      <c r="H922" s="67"/>
      <c r="I922" s="68"/>
      <c r="J922" s="68"/>
      <c r="K922" s="67" t="s">
        <v>28516</v>
      </c>
      <c r="L922" s="71"/>
      <c r="M922" s="72"/>
      <c r="N922" s="72"/>
      <c r="O922" s="73"/>
      <c r="P922" s="74"/>
      <c r="Q922" s="74"/>
      <c r="R922" s="87"/>
      <c r="S922" s="87"/>
      <c r="T922" s="87"/>
      <c r="U922" s="87"/>
      <c r="V922" s="48"/>
      <c r="W922" s="48"/>
      <c r="X922" s="48"/>
      <c r="Y922" s="48"/>
      <c r="Z922" s="47"/>
      <c r="AA922" s="69">
        <v>922</v>
      </c>
      <c r="AB922" s="69"/>
      <c r="AC922" s="70"/>
      <c r="AD922" s="76" t="s">
        <v>22149</v>
      </c>
      <c r="AE922" s="81" t="s">
        <v>23566</v>
      </c>
      <c r="AF922" s="76">
        <v>40064</v>
      </c>
      <c r="AG922" s="76">
        <v>397</v>
      </c>
      <c r="AH922" s="76">
        <v>2738</v>
      </c>
      <c r="AI922" s="76">
        <v>162</v>
      </c>
      <c r="AJ922" s="76">
        <v>1083</v>
      </c>
      <c r="AK922" s="76">
        <v>382</v>
      </c>
      <c r="AL922" s="76" t="b">
        <v>0</v>
      </c>
      <c r="AM922" s="78">
        <v>40350.570335648146</v>
      </c>
      <c r="AN922" s="76" t="s">
        <v>14385</v>
      </c>
      <c r="AO922" s="76" t="s">
        <v>25534</v>
      </c>
      <c r="AP922" s="76"/>
      <c r="AQ922" s="76"/>
      <c r="AR922" s="76"/>
      <c r="AS922" s="76"/>
      <c r="AT922" s="76"/>
      <c r="AU922" s="76"/>
      <c r="AV922" s="76"/>
      <c r="AW922" s="76"/>
      <c r="AX922" s="76" t="b">
        <v>0</v>
      </c>
      <c r="AY922" s="76"/>
      <c r="AZ922" s="76"/>
      <c r="BA922" s="76" t="b">
        <v>0</v>
      </c>
      <c r="BB922" s="76" t="b">
        <v>1</v>
      </c>
      <c r="BC922" s="76" t="b">
        <v>0</v>
      </c>
      <c r="BD922" s="76" t="b">
        <v>0</v>
      </c>
      <c r="BE922" s="76" t="b">
        <v>0</v>
      </c>
      <c r="BF922" s="76" t="b">
        <v>0</v>
      </c>
      <c r="BG922" s="76" t="b">
        <v>0</v>
      </c>
      <c r="BH922" s="82" t="str">
        <f>HYPERLINK("https://pbs.twimg.com/profile_banners/158000198/1576597116")</f>
        <v>https://pbs.twimg.com/profile_banners/158000198/1576597116</v>
      </c>
      <c r="BI922" s="76"/>
      <c r="BJ922" s="76" t="s">
        <v>27595</v>
      </c>
      <c r="BK922" s="76" t="b">
        <v>0</v>
      </c>
      <c r="BL922" s="76"/>
      <c r="BM922" s="76" t="s">
        <v>65</v>
      </c>
      <c r="BN922" s="76" t="s">
        <v>27597</v>
      </c>
      <c r="BO922" s="82" t="str">
        <f>HYPERLINK("https://twitter.com/avanoliok")</f>
        <v>https://twitter.com/avanoliok</v>
      </c>
      <c r="BP922" s="2"/>
    </row>
    <row r="923" spans="1:68" x14ac:dyDescent="0.25">
      <c r="A923" s="62" t="s">
        <v>1904</v>
      </c>
      <c r="B923" s="63"/>
      <c r="C923" s="63"/>
      <c r="D923" s="64"/>
      <c r="E923" s="66"/>
      <c r="F923" s="103" t="str">
        <f>HYPERLINK("https://pbs.twimg.com/profile_images/1292074452914765825/a2mZRadw_normal.jpg")</f>
        <v>https://pbs.twimg.com/profile_images/1292074452914765825/a2mZRadw_normal.jpg</v>
      </c>
      <c r="G923" s="63"/>
      <c r="H923" s="67"/>
      <c r="I923" s="68"/>
      <c r="J923" s="68"/>
      <c r="K923" s="67" t="s">
        <v>28517</v>
      </c>
      <c r="L923" s="71"/>
      <c r="M923" s="72"/>
      <c r="N923" s="72"/>
      <c r="O923" s="73"/>
      <c r="P923" s="74"/>
      <c r="Q923" s="74"/>
      <c r="R923" s="87"/>
      <c r="S923" s="87"/>
      <c r="T923" s="87"/>
      <c r="U923" s="87"/>
      <c r="V923" s="48"/>
      <c r="W923" s="48"/>
      <c r="X923" s="48"/>
      <c r="Y923" s="48"/>
      <c r="Z923" s="47"/>
      <c r="AA923" s="69">
        <v>923</v>
      </c>
      <c r="AB923" s="69"/>
      <c r="AC923" s="70"/>
      <c r="AD923" s="76" t="s">
        <v>22150</v>
      </c>
      <c r="AE923" s="81" t="s">
        <v>23567</v>
      </c>
      <c r="AF923" s="76">
        <v>1366</v>
      </c>
      <c r="AG923" s="76">
        <v>5000</v>
      </c>
      <c r="AH923" s="76">
        <v>3830</v>
      </c>
      <c r="AI923" s="76">
        <v>13</v>
      </c>
      <c r="AJ923" s="76">
        <v>791</v>
      </c>
      <c r="AK923" s="76">
        <v>223</v>
      </c>
      <c r="AL923" s="76" t="b">
        <v>0</v>
      </c>
      <c r="AM923" s="78">
        <v>40441.014664351853</v>
      </c>
      <c r="AN923" s="76" t="s">
        <v>24159</v>
      </c>
      <c r="AO923" s="76" t="s">
        <v>25535</v>
      </c>
      <c r="AP923" s="82" t="str">
        <f>HYPERLINK("https://t.co/H4yAgezHgu")</f>
        <v>https://t.co/H4yAgezHgu</v>
      </c>
      <c r="AQ923" s="82" t="str">
        <f>HYPERLINK("http://www.utpba.org/https://proyectosapiens21.com/es/")</f>
        <v>http://www.utpba.org/https://proyectosapiens21.com/es/</v>
      </c>
      <c r="AR923" s="76" t="s">
        <v>26859</v>
      </c>
      <c r="AS923" s="82" t="str">
        <f>HYPERLINK("https://t.co/UddvTA41uQ")</f>
        <v>https://t.co/UddvTA41uQ</v>
      </c>
      <c r="AT923" s="82" t="str">
        <f>HYPERLINK("http://R.Coop")</f>
        <v>http://R.Coop</v>
      </c>
      <c r="AU923" s="76" t="s">
        <v>27509</v>
      </c>
      <c r="AV923" s="76"/>
      <c r="AW923" s="82" t="str">
        <f>HYPERLINK("https://t.co/H4yAgezHgu")</f>
        <v>https://t.co/H4yAgezHgu</v>
      </c>
      <c r="AX923" s="76" t="b">
        <v>0</v>
      </c>
      <c r="AY923" s="76"/>
      <c r="AZ923" s="76"/>
      <c r="BA923" s="76" t="b">
        <v>1</v>
      </c>
      <c r="BB923" s="76" t="b">
        <v>1</v>
      </c>
      <c r="BC923" s="76" t="b">
        <v>0</v>
      </c>
      <c r="BD923" s="76" t="b">
        <v>0</v>
      </c>
      <c r="BE923" s="76" t="b">
        <v>1</v>
      </c>
      <c r="BF923" s="76" t="b">
        <v>0</v>
      </c>
      <c r="BG923" s="76" t="b">
        <v>0</v>
      </c>
      <c r="BH923" s="82" t="str">
        <f>HYPERLINK("https://pbs.twimg.com/profile_banners/192729279/1598223315")</f>
        <v>https://pbs.twimg.com/profile_banners/192729279/1598223315</v>
      </c>
      <c r="BI923" s="76"/>
      <c r="BJ923" s="76" t="s">
        <v>27595</v>
      </c>
      <c r="BK923" s="76" t="b">
        <v>0</v>
      </c>
      <c r="BL923" s="76"/>
      <c r="BM923" s="76" t="s">
        <v>65</v>
      </c>
      <c r="BN923" s="76" t="s">
        <v>27597</v>
      </c>
      <c r="BO923" s="82" t="str">
        <f>HYPERLINK("https://twitter.com/lidiafagale")</f>
        <v>https://twitter.com/lidiafagale</v>
      </c>
      <c r="BP923" s="2"/>
    </row>
    <row r="924" spans="1:68" x14ac:dyDescent="0.25">
      <c r="A924" s="62" t="s">
        <v>886</v>
      </c>
      <c r="B924" s="63"/>
      <c r="C924" s="63"/>
      <c r="D924" s="64"/>
      <c r="E924" s="66"/>
      <c r="F924" s="103" t="str">
        <f>HYPERLINK("https://pbs.twimg.com/profile_images/1262754283897802752/5eLgafQq_normal.jpg")</f>
        <v>https://pbs.twimg.com/profile_images/1262754283897802752/5eLgafQq_normal.jpg</v>
      </c>
      <c r="G924" s="63"/>
      <c r="H924" s="67"/>
      <c r="I924" s="68"/>
      <c r="J924" s="68"/>
      <c r="K924" s="67" t="s">
        <v>28518</v>
      </c>
      <c r="L924" s="71"/>
      <c r="M924" s="72"/>
      <c r="N924" s="72"/>
      <c r="O924" s="73"/>
      <c r="P924" s="74"/>
      <c r="Q924" s="74"/>
      <c r="R924" s="87"/>
      <c r="S924" s="87"/>
      <c r="T924" s="87"/>
      <c r="U924" s="87"/>
      <c r="V924" s="48"/>
      <c r="W924" s="48"/>
      <c r="X924" s="48"/>
      <c r="Y924" s="48"/>
      <c r="Z924" s="47"/>
      <c r="AA924" s="69">
        <v>924</v>
      </c>
      <c r="AB924" s="69"/>
      <c r="AC924" s="70"/>
      <c r="AD924" s="76" t="s">
        <v>22151</v>
      </c>
      <c r="AE924" s="81" t="s">
        <v>20809</v>
      </c>
      <c r="AF924" s="76">
        <v>2137</v>
      </c>
      <c r="AG924" s="76">
        <v>2228</v>
      </c>
      <c r="AH924" s="76">
        <v>31002</v>
      </c>
      <c r="AI924" s="76">
        <v>5</v>
      </c>
      <c r="AJ924" s="76">
        <v>40070</v>
      </c>
      <c r="AK924" s="76">
        <v>11</v>
      </c>
      <c r="AL924" s="76" t="b">
        <v>0</v>
      </c>
      <c r="AM924" s="78">
        <v>43970.606886574074</v>
      </c>
      <c r="AN924" s="76"/>
      <c r="AO924" s="76" t="s">
        <v>25536</v>
      </c>
      <c r="AP924" s="76"/>
      <c r="AQ924" s="76"/>
      <c r="AR924" s="76"/>
      <c r="AS924" s="76"/>
      <c r="AT924" s="76"/>
      <c r="AU924" s="76"/>
      <c r="AV924" s="76"/>
      <c r="AW924" s="76"/>
      <c r="AX924" s="76" t="b">
        <v>0</v>
      </c>
      <c r="AY924" s="76"/>
      <c r="AZ924" s="76"/>
      <c r="BA924" s="76" t="b">
        <v>0</v>
      </c>
      <c r="BB924" s="76" t="b">
        <v>1</v>
      </c>
      <c r="BC924" s="76" t="b">
        <v>1</v>
      </c>
      <c r="BD924" s="76" t="b">
        <v>0</v>
      </c>
      <c r="BE924" s="76" t="b">
        <v>0</v>
      </c>
      <c r="BF924" s="76" t="b">
        <v>0</v>
      </c>
      <c r="BG924" s="76" t="b">
        <v>0</v>
      </c>
      <c r="BH924" s="82" t="str">
        <f>HYPERLINK("https://pbs.twimg.com/profile_banners/1262752699084201986/1589899753")</f>
        <v>https://pbs.twimg.com/profile_banners/1262752699084201986/1589899753</v>
      </c>
      <c r="BI924" s="76"/>
      <c r="BJ924" s="76" t="s">
        <v>27595</v>
      </c>
      <c r="BK924" s="76" t="b">
        <v>0</v>
      </c>
      <c r="BL924" s="76"/>
      <c r="BM924" s="76" t="s">
        <v>66</v>
      </c>
      <c r="BN924" s="76" t="s">
        <v>27597</v>
      </c>
      <c r="BO924" s="82" t="str">
        <f>HYPERLINK("https://twitter.com/danifer94913747")</f>
        <v>https://twitter.com/danifer94913747</v>
      </c>
      <c r="BP924" s="2"/>
    </row>
    <row r="925" spans="1:68" x14ac:dyDescent="0.25">
      <c r="A925" s="62" t="s">
        <v>887</v>
      </c>
      <c r="B925" s="63"/>
      <c r="C925" s="63"/>
      <c r="D925" s="64"/>
      <c r="E925" s="66"/>
      <c r="F925" s="103" t="str">
        <f>HYPERLINK("https://pbs.twimg.com/profile_images/927946362045583360/QKMnPxca_normal.jpg")</f>
        <v>https://pbs.twimg.com/profile_images/927946362045583360/QKMnPxca_normal.jpg</v>
      </c>
      <c r="G925" s="63"/>
      <c r="H925" s="67"/>
      <c r="I925" s="68"/>
      <c r="J925" s="68"/>
      <c r="K925" s="67" t="s">
        <v>28519</v>
      </c>
      <c r="L925" s="71"/>
      <c r="M925" s="72"/>
      <c r="N925" s="72"/>
      <c r="O925" s="73"/>
      <c r="P925" s="74"/>
      <c r="Q925" s="74"/>
      <c r="R925" s="87"/>
      <c r="S925" s="87"/>
      <c r="T925" s="87"/>
      <c r="U925" s="87"/>
      <c r="V925" s="48"/>
      <c r="W925" s="48"/>
      <c r="X925" s="48"/>
      <c r="Y925" s="48"/>
      <c r="Z925" s="47"/>
      <c r="AA925" s="69">
        <v>925</v>
      </c>
      <c r="AB925" s="69"/>
      <c r="AC925" s="70"/>
      <c r="AD925" s="76" t="s">
        <v>22152</v>
      </c>
      <c r="AE925" s="81" t="s">
        <v>23568</v>
      </c>
      <c r="AF925" s="76">
        <v>455</v>
      </c>
      <c r="AG925" s="76">
        <v>439</v>
      </c>
      <c r="AH925" s="76">
        <v>3717</v>
      </c>
      <c r="AI925" s="76">
        <v>38</v>
      </c>
      <c r="AJ925" s="76">
        <v>267</v>
      </c>
      <c r="AK925" s="76">
        <v>1441</v>
      </c>
      <c r="AL925" s="76" t="b">
        <v>0</v>
      </c>
      <c r="AM925" s="78">
        <v>40495.936585648145</v>
      </c>
      <c r="AN925" s="76" t="s">
        <v>24408</v>
      </c>
      <c r="AO925" s="76" t="s">
        <v>25537</v>
      </c>
      <c r="AP925" s="82" t="str">
        <f>HYPERLINK("http://t.co/9Z3uF0jtuv")</f>
        <v>http://t.co/9Z3uF0jtuv</v>
      </c>
      <c r="AQ925" s="82" t="str">
        <f>HYPERLINK("http://www.panequeasesores.com")</f>
        <v>http://www.panequeasesores.com</v>
      </c>
      <c r="AR925" s="76" t="s">
        <v>26860</v>
      </c>
      <c r="AS925" s="76"/>
      <c r="AT925" s="76"/>
      <c r="AU925" s="76"/>
      <c r="AV925" s="76"/>
      <c r="AW925" s="82" t="str">
        <f>HYPERLINK("http://t.co/9Z3uF0jtuv")</f>
        <v>http://t.co/9Z3uF0jtuv</v>
      </c>
      <c r="AX925" s="76" t="b">
        <v>0</v>
      </c>
      <c r="AY925" s="76"/>
      <c r="AZ925" s="76"/>
      <c r="BA925" s="76" t="b">
        <v>0</v>
      </c>
      <c r="BB925" s="76" t="b">
        <v>1</v>
      </c>
      <c r="BC925" s="76" t="b">
        <v>0</v>
      </c>
      <c r="BD925" s="76" t="b">
        <v>0</v>
      </c>
      <c r="BE925" s="76" t="b">
        <v>0</v>
      </c>
      <c r="BF925" s="76" t="b">
        <v>0</v>
      </c>
      <c r="BG925" s="76" t="b">
        <v>0</v>
      </c>
      <c r="BH925" s="82" t="str">
        <f>HYPERLINK("https://pbs.twimg.com/profile_banners/215427139/1509957246")</f>
        <v>https://pbs.twimg.com/profile_banners/215427139/1509957246</v>
      </c>
      <c r="BI925" s="76"/>
      <c r="BJ925" s="76" t="s">
        <v>27595</v>
      </c>
      <c r="BK925" s="76" t="b">
        <v>0</v>
      </c>
      <c r="BL925" s="76"/>
      <c r="BM925" s="76" t="s">
        <v>66</v>
      </c>
      <c r="BN925" s="76" t="s">
        <v>27597</v>
      </c>
      <c r="BO925" s="82" t="str">
        <f>HYPERLINK("https://twitter.com/panequeasesores")</f>
        <v>https://twitter.com/panequeasesores</v>
      </c>
      <c r="BP925" s="2"/>
    </row>
    <row r="926" spans="1:68" x14ac:dyDescent="0.25">
      <c r="A926" s="62" t="s">
        <v>888</v>
      </c>
      <c r="B926" s="63"/>
      <c r="C926" s="63"/>
      <c r="D926" s="64"/>
      <c r="E926" s="66"/>
      <c r="F926" s="103" t="str">
        <f>HYPERLINK("https://pbs.twimg.com/profile_images/711927216565841920/W_aIH-XW_normal.jpg")</f>
        <v>https://pbs.twimg.com/profile_images/711927216565841920/W_aIH-XW_normal.jpg</v>
      </c>
      <c r="G926" s="63"/>
      <c r="H926" s="67"/>
      <c r="I926" s="68"/>
      <c r="J926" s="68"/>
      <c r="K926" s="67" t="s">
        <v>28520</v>
      </c>
      <c r="L926" s="71"/>
      <c r="M926" s="72"/>
      <c r="N926" s="72"/>
      <c r="O926" s="73"/>
      <c r="P926" s="74"/>
      <c r="Q926" s="74"/>
      <c r="R926" s="87"/>
      <c r="S926" s="87"/>
      <c r="T926" s="87"/>
      <c r="U926" s="87"/>
      <c r="V926" s="48"/>
      <c r="W926" s="48"/>
      <c r="X926" s="48"/>
      <c r="Y926" s="48"/>
      <c r="Z926" s="47"/>
      <c r="AA926" s="69">
        <v>926</v>
      </c>
      <c r="AB926" s="69"/>
      <c r="AC926" s="70"/>
      <c r="AD926" s="76" t="s">
        <v>22153</v>
      </c>
      <c r="AE926" s="81" t="s">
        <v>23569</v>
      </c>
      <c r="AF926" s="76">
        <v>571</v>
      </c>
      <c r="AG926" s="76">
        <v>80</v>
      </c>
      <c r="AH926" s="76">
        <v>2181</v>
      </c>
      <c r="AI926" s="76">
        <v>8</v>
      </c>
      <c r="AJ926" s="76">
        <v>5577</v>
      </c>
      <c r="AK926" s="76">
        <v>1599</v>
      </c>
      <c r="AL926" s="76" t="b">
        <v>0</v>
      </c>
      <c r="AM926" s="78">
        <v>40949.587106481478</v>
      </c>
      <c r="AN926" s="76" t="s">
        <v>14388</v>
      </c>
      <c r="AO926" s="76" t="s">
        <v>25538</v>
      </c>
      <c r="AP926" s="82" t="str">
        <f>HYPERLINK("https://t.co/xl6NQMfv47")</f>
        <v>https://t.co/xl6NQMfv47</v>
      </c>
      <c r="AQ926" s="82" t="str">
        <f>HYPERLINK("https://linktr.ee/girlishgiggle")</f>
        <v>https://linktr.ee/girlishgiggle</v>
      </c>
      <c r="AR926" s="76" t="s">
        <v>26861</v>
      </c>
      <c r="AS926" s="82" t="str">
        <f>HYPERLINK("https://t.co/Tz6UFdHDSB")</f>
        <v>https://t.co/Tz6UFdHDSB</v>
      </c>
      <c r="AT926" s="82" t="str">
        <f>HYPERLINK("http://ingridkas.wixsite.com/my-site")</f>
        <v>http://ingridkas.wixsite.com/my-site</v>
      </c>
      <c r="AU926" s="76" t="s">
        <v>27510</v>
      </c>
      <c r="AV926" s="76"/>
      <c r="AW926" s="82" t="str">
        <f>HYPERLINK("https://t.co/xl6NQMfv47")</f>
        <v>https://t.co/xl6NQMfv47</v>
      </c>
      <c r="AX926" s="76" t="b">
        <v>0</v>
      </c>
      <c r="AY926" s="76"/>
      <c r="AZ926" s="76"/>
      <c r="BA926" s="76" t="b">
        <v>0</v>
      </c>
      <c r="BB926" s="76" t="b">
        <v>1</v>
      </c>
      <c r="BC926" s="76" t="b">
        <v>0</v>
      </c>
      <c r="BD926" s="76" t="b">
        <v>0</v>
      </c>
      <c r="BE926" s="76" t="b">
        <v>1</v>
      </c>
      <c r="BF926" s="76" t="b">
        <v>0</v>
      </c>
      <c r="BG926" s="76" t="b">
        <v>0</v>
      </c>
      <c r="BH926" s="82" t="str">
        <f>HYPERLINK("https://pbs.twimg.com/profile_banners/488477453/1612430493")</f>
        <v>https://pbs.twimg.com/profile_banners/488477453/1612430493</v>
      </c>
      <c r="BI926" s="76"/>
      <c r="BJ926" s="76" t="s">
        <v>27595</v>
      </c>
      <c r="BK926" s="76" t="b">
        <v>0</v>
      </c>
      <c r="BL926" s="76"/>
      <c r="BM926" s="76" t="s">
        <v>66</v>
      </c>
      <c r="BN926" s="76" t="s">
        <v>27597</v>
      </c>
      <c r="BO926" s="82" t="str">
        <f>HYPERLINK("https://twitter.com/girlishgiggle")</f>
        <v>https://twitter.com/girlishgiggle</v>
      </c>
      <c r="BP926" s="2"/>
    </row>
    <row r="927" spans="1:68" x14ac:dyDescent="0.25">
      <c r="A927" s="62" t="s">
        <v>889</v>
      </c>
      <c r="B927" s="63"/>
      <c r="C927" s="63"/>
      <c r="D927" s="64"/>
      <c r="E927" s="66"/>
      <c r="F927" s="103" t="str">
        <f>HYPERLINK("https://pbs.twimg.com/profile_images/1701443800994893824/K2GyTa4E_normal.jpg")</f>
        <v>https://pbs.twimg.com/profile_images/1701443800994893824/K2GyTa4E_normal.jpg</v>
      </c>
      <c r="G927" s="63"/>
      <c r="H927" s="67"/>
      <c r="I927" s="68"/>
      <c r="J927" s="68"/>
      <c r="K927" s="67" t="s">
        <v>28521</v>
      </c>
      <c r="L927" s="71"/>
      <c r="M927" s="72"/>
      <c r="N927" s="72"/>
      <c r="O927" s="73"/>
      <c r="P927" s="74"/>
      <c r="Q927" s="74"/>
      <c r="R927" s="87"/>
      <c r="S927" s="87"/>
      <c r="T927" s="87"/>
      <c r="U927" s="87"/>
      <c r="V927" s="48"/>
      <c r="W927" s="48"/>
      <c r="X927" s="48"/>
      <c r="Y927" s="48"/>
      <c r="Z927" s="47"/>
      <c r="AA927" s="69">
        <v>927</v>
      </c>
      <c r="AB927" s="69"/>
      <c r="AC927" s="70"/>
      <c r="AD927" s="76" t="s">
        <v>22154</v>
      </c>
      <c r="AE927" s="81" t="s">
        <v>23570</v>
      </c>
      <c r="AF927" s="76">
        <v>261</v>
      </c>
      <c r="AG927" s="76">
        <v>495</v>
      </c>
      <c r="AH927" s="76">
        <v>2284</v>
      </c>
      <c r="AI927" s="76">
        <v>1</v>
      </c>
      <c r="AJ927" s="76">
        <v>2121</v>
      </c>
      <c r="AK927" s="76">
        <v>218</v>
      </c>
      <c r="AL927" s="76" t="b">
        <v>0</v>
      </c>
      <c r="AM927" s="78">
        <v>40345.890300925923</v>
      </c>
      <c r="AN927" s="76" t="s">
        <v>24409</v>
      </c>
      <c r="AO927" s="76" t="s">
        <v>25539</v>
      </c>
      <c r="AP927" s="82" t="str">
        <f>HYPERLINK("https://t.co/jxRhcSvf1o")</f>
        <v>https://t.co/jxRhcSvf1o</v>
      </c>
      <c r="AQ927" s="82" t="str">
        <f>HYPERLINK("http://facebook.com/maryuhernandez11")</f>
        <v>http://facebook.com/maryuhernandez11</v>
      </c>
      <c r="AR927" s="76" t="s">
        <v>26862</v>
      </c>
      <c r="AS927" s="76"/>
      <c r="AT927" s="76"/>
      <c r="AU927" s="76"/>
      <c r="AV927" s="76"/>
      <c r="AW927" s="82" t="str">
        <f>HYPERLINK("https://t.co/jxRhcSvf1o")</f>
        <v>https://t.co/jxRhcSvf1o</v>
      </c>
      <c r="AX927" s="76" t="b">
        <v>0</v>
      </c>
      <c r="AY927" s="76"/>
      <c r="AZ927" s="76"/>
      <c r="BA927" s="76" t="b">
        <v>1</v>
      </c>
      <c r="BB927" s="76" t="b">
        <v>0</v>
      </c>
      <c r="BC927" s="76" t="b">
        <v>0</v>
      </c>
      <c r="BD927" s="76" t="b">
        <v>0</v>
      </c>
      <c r="BE927" s="76" t="b">
        <v>1</v>
      </c>
      <c r="BF927" s="76" t="b">
        <v>0</v>
      </c>
      <c r="BG927" s="76" t="b">
        <v>0</v>
      </c>
      <c r="BH927" s="82" t="str">
        <f>HYPERLINK("https://pbs.twimg.com/profile_banners/156402202/1463155382")</f>
        <v>https://pbs.twimg.com/profile_banners/156402202/1463155382</v>
      </c>
      <c r="BI927" s="76"/>
      <c r="BJ927" s="76" t="s">
        <v>27595</v>
      </c>
      <c r="BK927" s="76" t="b">
        <v>0</v>
      </c>
      <c r="BL927" s="76"/>
      <c r="BM927" s="76" t="s">
        <v>66</v>
      </c>
      <c r="BN927" s="76" t="s">
        <v>27597</v>
      </c>
      <c r="BO927" s="82" t="str">
        <f>HYPERLINK("https://twitter.com/maryuhernandez")</f>
        <v>https://twitter.com/maryuhernandez</v>
      </c>
      <c r="BP927" s="2"/>
    </row>
    <row r="928" spans="1:68" x14ac:dyDescent="0.25">
      <c r="A928" s="62" t="s">
        <v>890</v>
      </c>
      <c r="B928" s="63"/>
      <c r="C928" s="63"/>
      <c r="D928" s="64"/>
      <c r="E928" s="66"/>
      <c r="F928" s="103" t="str">
        <f>HYPERLINK("https://pbs.twimg.com/profile_images/1522287540094574593/Osqskcy2_normal.jpg")</f>
        <v>https://pbs.twimg.com/profile_images/1522287540094574593/Osqskcy2_normal.jpg</v>
      </c>
      <c r="G928" s="63"/>
      <c r="H928" s="67"/>
      <c r="I928" s="68"/>
      <c r="J928" s="68"/>
      <c r="K928" s="67" t="s">
        <v>28522</v>
      </c>
      <c r="L928" s="71"/>
      <c r="M928" s="72"/>
      <c r="N928" s="72"/>
      <c r="O928" s="73"/>
      <c r="P928" s="74"/>
      <c r="Q928" s="74"/>
      <c r="R928" s="87"/>
      <c r="S928" s="87"/>
      <c r="T928" s="87"/>
      <c r="U928" s="87"/>
      <c r="V928" s="48"/>
      <c r="W928" s="48"/>
      <c r="X928" s="48"/>
      <c r="Y928" s="48"/>
      <c r="Z928" s="47"/>
      <c r="AA928" s="69">
        <v>928</v>
      </c>
      <c r="AB928" s="69"/>
      <c r="AC928" s="70"/>
      <c r="AD928" s="76" t="s">
        <v>22155</v>
      </c>
      <c r="AE928" s="81" t="s">
        <v>20810</v>
      </c>
      <c r="AF928" s="76">
        <v>2341</v>
      </c>
      <c r="AG928" s="76">
        <v>4954</v>
      </c>
      <c r="AH928" s="76">
        <v>1473</v>
      </c>
      <c r="AI928" s="76">
        <v>1</v>
      </c>
      <c r="AJ928" s="76">
        <v>1631</v>
      </c>
      <c r="AK928" s="76">
        <v>677</v>
      </c>
      <c r="AL928" s="76" t="b">
        <v>0</v>
      </c>
      <c r="AM928" s="78">
        <v>44350.782187500001</v>
      </c>
      <c r="AN928" s="76" t="s">
        <v>14381</v>
      </c>
      <c r="AO928" s="76" t="s">
        <v>25540</v>
      </c>
      <c r="AP928" s="82" t="str">
        <f>HYPERLINK("https://t.co/wvlqFKs1Bp")</f>
        <v>https://t.co/wvlqFKs1Bp</v>
      </c>
      <c r="AQ928" s="82" t="str">
        <f>HYPERLINK("https://biolink.info/ComentaRD")</f>
        <v>https://biolink.info/ComentaRD</v>
      </c>
      <c r="AR928" s="76" t="s">
        <v>26863</v>
      </c>
      <c r="AS928" s="76"/>
      <c r="AT928" s="76"/>
      <c r="AU928" s="76"/>
      <c r="AV928" s="76"/>
      <c r="AW928" s="82" t="str">
        <f>HYPERLINK("https://t.co/wvlqFKs1Bp")</f>
        <v>https://t.co/wvlqFKs1Bp</v>
      </c>
      <c r="AX928" s="76" t="b">
        <v>0</v>
      </c>
      <c r="AY928" s="76"/>
      <c r="AZ928" s="76"/>
      <c r="BA928" s="76" t="b">
        <v>0</v>
      </c>
      <c r="BB928" s="76" t="b">
        <v>1</v>
      </c>
      <c r="BC928" s="76" t="b">
        <v>1</v>
      </c>
      <c r="BD928" s="76" t="b">
        <v>0</v>
      </c>
      <c r="BE928" s="76" t="b">
        <v>0</v>
      </c>
      <c r="BF928" s="76" t="b">
        <v>0</v>
      </c>
      <c r="BG928" s="76" t="b">
        <v>0</v>
      </c>
      <c r="BH928" s="82" t="str">
        <f>HYPERLINK("https://pbs.twimg.com/profile_banners/1400524231549587457/1651680076")</f>
        <v>https://pbs.twimg.com/profile_banners/1400524231549587457/1651680076</v>
      </c>
      <c r="BI928" s="76"/>
      <c r="BJ928" s="76" t="s">
        <v>27595</v>
      </c>
      <c r="BK928" s="76" t="b">
        <v>0</v>
      </c>
      <c r="BL928" s="76"/>
      <c r="BM928" s="76" t="s">
        <v>66</v>
      </c>
      <c r="BN928" s="76" t="s">
        <v>27597</v>
      </c>
      <c r="BO928" s="82" t="str">
        <f>HYPERLINK("https://twitter.com/comentard1")</f>
        <v>https://twitter.com/comentard1</v>
      </c>
      <c r="BP928" s="2"/>
    </row>
    <row r="929" spans="1:68" x14ac:dyDescent="0.25">
      <c r="A929" s="62" t="s">
        <v>891</v>
      </c>
      <c r="B929" s="63"/>
      <c r="C929" s="63"/>
      <c r="D929" s="64"/>
      <c r="E929" s="66"/>
      <c r="F929" s="103" t="str">
        <f>HYPERLINK("https://pbs.twimg.com/profile_images/1385609807252557830/Em1GByz7_normal.jpg")</f>
        <v>https://pbs.twimg.com/profile_images/1385609807252557830/Em1GByz7_normal.jpg</v>
      </c>
      <c r="G929" s="63"/>
      <c r="H929" s="67"/>
      <c r="I929" s="68"/>
      <c r="J929" s="68"/>
      <c r="K929" s="67" t="s">
        <v>28523</v>
      </c>
      <c r="L929" s="71"/>
      <c r="M929" s="72"/>
      <c r="N929" s="72"/>
      <c r="O929" s="73"/>
      <c r="P929" s="74"/>
      <c r="Q929" s="74"/>
      <c r="R929" s="87"/>
      <c r="S929" s="87"/>
      <c r="T929" s="87"/>
      <c r="U929" s="87"/>
      <c r="V929" s="48"/>
      <c r="W929" s="48"/>
      <c r="X929" s="48"/>
      <c r="Y929" s="48"/>
      <c r="Z929" s="47"/>
      <c r="AA929" s="69">
        <v>929</v>
      </c>
      <c r="AB929" s="69"/>
      <c r="AC929" s="70"/>
      <c r="AD929" s="76" t="s">
        <v>22156</v>
      </c>
      <c r="AE929" s="81" t="s">
        <v>20811</v>
      </c>
      <c r="AF929" s="76">
        <v>835</v>
      </c>
      <c r="AG929" s="76">
        <v>1206</v>
      </c>
      <c r="AH929" s="76">
        <v>52743</v>
      </c>
      <c r="AI929" s="76">
        <v>2</v>
      </c>
      <c r="AJ929" s="76">
        <v>74039</v>
      </c>
      <c r="AK929" s="76">
        <v>1189</v>
      </c>
      <c r="AL929" s="76" t="b">
        <v>0</v>
      </c>
      <c r="AM929" s="78">
        <v>44308.011608796296</v>
      </c>
      <c r="AN929" s="76"/>
      <c r="AO929" s="76"/>
      <c r="AP929" s="76"/>
      <c r="AQ929" s="76"/>
      <c r="AR929" s="76"/>
      <c r="AS929" s="76"/>
      <c r="AT929" s="76"/>
      <c r="AU929" s="76"/>
      <c r="AV929" s="76"/>
      <c r="AW929" s="76"/>
      <c r="AX929" s="76" t="b">
        <v>0</v>
      </c>
      <c r="AY929" s="76"/>
      <c r="AZ929" s="76"/>
      <c r="BA929" s="76" t="b">
        <v>0</v>
      </c>
      <c r="BB929" s="76" t="b">
        <v>1</v>
      </c>
      <c r="BC929" s="76" t="b">
        <v>1</v>
      </c>
      <c r="BD929" s="76" t="b">
        <v>0</v>
      </c>
      <c r="BE929" s="76" t="b">
        <v>0</v>
      </c>
      <c r="BF929" s="76" t="b">
        <v>0</v>
      </c>
      <c r="BG929" s="76" t="b">
        <v>0</v>
      </c>
      <c r="BH929" s="76"/>
      <c r="BI929" s="76"/>
      <c r="BJ929" s="76" t="s">
        <v>27595</v>
      </c>
      <c r="BK929" s="76" t="b">
        <v>0</v>
      </c>
      <c r="BL929" s="76"/>
      <c r="BM929" s="76" t="s">
        <v>66</v>
      </c>
      <c r="BN929" s="76" t="s">
        <v>27597</v>
      </c>
      <c r="BO929" s="82" t="str">
        <f>HYPERLINK("https://twitter.com/felixvini2")</f>
        <v>https://twitter.com/felixvini2</v>
      </c>
      <c r="BP929" s="2"/>
    </row>
    <row r="930" spans="1:68" x14ac:dyDescent="0.25">
      <c r="A930" s="62" t="s">
        <v>1905</v>
      </c>
      <c r="B930" s="63"/>
      <c r="C930" s="63"/>
      <c r="D930" s="64"/>
      <c r="E930" s="66"/>
      <c r="F930" s="103" t="str">
        <f>HYPERLINK("https://pbs.twimg.com/profile_images/3658542805/b718c617db10b113feb5d002ff642b6e_normal.png")</f>
        <v>https://pbs.twimg.com/profile_images/3658542805/b718c617db10b113feb5d002ff642b6e_normal.png</v>
      </c>
      <c r="G930" s="63"/>
      <c r="H930" s="67"/>
      <c r="I930" s="68"/>
      <c r="J930" s="68"/>
      <c r="K930" s="67" t="s">
        <v>28524</v>
      </c>
      <c r="L930" s="71"/>
      <c r="M930" s="72"/>
      <c r="N930" s="72"/>
      <c r="O930" s="73"/>
      <c r="P930" s="74"/>
      <c r="Q930" s="74"/>
      <c r="R930" s="87"/>
      <c r="S930" s="87"/>
      <c r="T930" s="87"/>
      <c r="U930" s="87"/>
      <c r="V930" s="48"/>
      <c r="W930" s="48"/>
      <c r="X930" s="48"/>
      <c r="Y930" s="48"/>
      <c r="Z930" s="47"/>
      <c r="AA930" s="69">
        <v>930</v>
      </c>
      <c r="AB930" s="69"/>
      <c r="AC930" s="70"/>
      <c r="AD930" s="76" t="s">
        <v>22157</v>
      </c>
      <c r="AE930" s="81" t="s">
        <v>23571</v>
      </c>
      <c r="AF930" s="76">
        <v>15729</v>
      </c>
      <c r="AG930" s="76">
        <v>5729</v>
      </c>
      <c r="AH930" s="76">
        <v>28533</v>
      </c>
      <c r="AI930" s="76">
        <v>283</v>
      </c>
      <c r="AJ930" s="76">
        <v>5774</v>
      </c>
      <c r="AK930" s="76">
        <v>5116</v>
      </c>
      <c r="AL930" s="76" t="b">
        <v>0</v>
      </c>
      <c r="AM930" s="78">
        <v>40252.689791666664</v>
      </c>
      <c r="AN930" s="76" t="s">
        <v>24059</v>
      </c>
      <c r="AO930" s="76" t="s">
        <v>25541</v>
      </c>
      <c r="AP930" s="82" t="str">
        <f>HYPERLINK("https://t.co/pWDmAXdi5k")</f>
        <v>https://t.co/pWDmAXdi5k</v>
      </c>
      <c r="AQ930" s="82" t="str">
        <f>HYPERLINK("https://www.xtb.com/es")</f>
        <v>https://www.xtb.com/es</v>
      </c>
      <c r="AR930" s="76" t="s">
        <v>26864</v>
      </c>
      <c r="AS930" s="76"/>
      <c r="AT930" s="76"/>
      <c r="AU930" s="76"/>
      <c r="AV930" s="76">
        <v>1.7037190447743099E+18</v>
      </c>
      <c r="AW930" s="82" t="str">
        <f>HYPERLINK("https://t.co/pWDmAXdi5k")</f>
        <v>https://t.co/pWDmAXdi5k</v>
      </c>
      <c r="AX930" s="76" t="b">
        <v>0</v>
      </c>
      <c r="AY930" s="76"/>
      <c r="AZ930" s="76"/>
      <c r="BA930" s="76" t="b">
        <v>1</v>
      </c>
      <c r="BB930" s="76" t="b">
        <v>1</v>
      </c>
      <c r="BC930" s="76" t="b">
        <v>0</v>
      </c>
      <c r="BD930" s="76" t="b">
        <v>0</v>
      </c>
      <c r="BE930" s="76" t="b">
        <v>1</v>
      </c>
      <c r="BF930" s="76" t="b">
        <v>0</v>
      </c>
      <c r="BG930" s="76" t="b">
        <v>0</v>
      </c>
      <c r="BH930" s="82" t="str">
        <f>HYPERLINK("https://pbs.twimg.com/profile_banners/123292247/1695032589")</f>
        <v>https://pbs.twimg.com/profile_banners/123292247/1695032589</v>
      </c>
      <c r="BI930" s="76"/>
      <c r="BJ930" s="76" t="s">
        <v>27595</v>
      </c>
      <c r="BK930" s="76" t="b">
        <v>0</v>
      </c>
      <c r="BL930" s="76"/>
      <c r="BM930" s="76" t="s">
        <v>65</v>
      </c>
      <c r="BN930" s="76" t="s">
        <v>27597</v>
      </c>
      <c r="BO930" s="82" t="str">
        <f>HYPERLINK("https://twitter.com/xtbes")</f>
        <v>https://twitter.com/xtbes</v>
      </c>
      <c r="BP930" s="2"/>
    </row>
    <row r="931" spans="1:68" x14ac:dyDescent="0.25">
      <c r="A931" s="62" t="s">
        <v>893</v>
      </c>
      <c r="B931" s="63"/>
      <c r="C931" s="63"/>
      <c r="D931" s="64"/>
      <c r="E931" s="66"/>
      <c r="F931" s="103" t="str">
        <f>HYPERLINK("https://pbs.twimg.com/profile_images/593496174163841026/Wx4z8uMB_normal.png")</f>
        <v>https://pbs.twimg.com/profile_images/593496174163841026/Wx4z8uMB_normal.png</v>
      </c>
      <c r="G931" s="63"/>
      <c r="H931" s="67"/>
      <c r="I931" s="68"/>
      <c r="J931" s="68"/>
      <c r="K931" s="67" t="s">
        <v>28525</v>
      </c>
      <c r="L931" s="71"/>
      <c r="M931" s="72"/>
      <c r="N931" s="72"/>
      <c r="O931" s="73"/>
      <c r="P931" s="74"/>
      <c r="Q931" s="74"/>
      <c r="R931" s="87"/>
      <c r="S931" s="87"/>
      <c r="T931" s="87"/>
      <c r="U931" s="87"/>
      <c r="V931" s="48"/>
      <c r="W931" s="48"/>
      <c r="X931" s="48"/>
      <c r="Y931" s="48"/>
      <c r="Z931" s="47"/>
      <c r="AA931" s="69">
        <v>931</v>
      </c>
      <c r="AB931" s="69"/>
      <c r="AC931" s="70"/>
      <c r="AD931" s="76" t="s">
        <v>22158</v>
      </c>
      <c r="AE931" s="81" t="s">
        <v>23572</v>
      </c>
      <c r="AF931" s="76">
        <v>6341</v>
      </c>
      <c r="AG931" s="76">
        <v>314</v>
      </c>
      <c r="AH931" s="76">
        <v>6728</v>
      </c>
      <c r="AI931" s="76">
        <v>69</v>
      </c>
      <c r="AJ931" s="76">
        <v>226</v>
      </c>
      <c r="AK931" s="76">
        <v>3538</v>
      </c>
      <c r="AL931" s="76" t="b">
        <v>0</v>
      </c>
      <c r="AM931" s="78">
        <v>42123.800740740742</v>
      </c>
      <c r="AN931" s="76" t="s">
        <v>24410</v>
      </c>
      <c r="AO931" s="76" t="s">
        <v>25542</v>
      </c>
      <c r="AP931" s="82" t="str">
        <f>HYPERLINK("https://t.co/9t03OVuFd6")</f>
        <v>https://t.co/9t03OVuFd6</v>
      </c>
      <c r="AQ931" s="82" t="str">
        <f>HYPERLINK("https://www.xtb.com/lat")</f>
        <v>https://www.xtb.com/lat</v>
      </c>
      <c r="AR931" s="76" t="s">
        <v>26865</v>
      </c>
      <c r="AS931" s="76"/>
      <c r="AT931" s="76"/>
      <c r="AU931" s="76"/>
      <c r="AV931" s="76"/>
      <c r="AW931" s="82" t="str">
        <f>HYPERLINK("https://t.co/9t03OVuFd6")</f>
        <v>https://t.co/9t03OVuFd6</v>
      </c>
      <c r="AX931" s="76" t="b">
        <v>0</v>
      </c>
      <c r="AY931" s="76"/>
      <c r="AZ931" s="76"/>
      <c r="BA931" s="76" t="b">
        <v>0</v>
      </c>
      <c r="BB931" s="76" t="b">
        <v>1</v>
      </c>
      <c r="BC931" s="76" t="b">
        <v>0</v>
      </c>
      <c r="BD931" s="76" t="b">
        <v>0</v>
      </c>
      <c r="BE931" s="76" t="b">
        <v>1</v>
      </c>
      <c r="BF931" s="76" t="b">
        <v>0</v>
      </c>
      <c r="BG931" s="76" t="b">
        <v>0</v>
      </c>
      <c r="BH931" s="82" t="str">
        <f>HYPERLINK("https://pbs.twimg.com/profile_banners/3222221589/1695228689")</f>
        <v>https://pbs.twimg.com/profile_banners/3222221589/1695228689</v>
      </c>
      <c r="BI931" s="76"/>
      <c r="BJ931" s="76" t="s">
        <v>27595</v>
      </c>
      <c r="BK931" s="76" t="b">
        <v>0</v>
      </c>
      <c r="BL931" s="76"/>
      <c r="BM931" s="76" t="s">
        <v>66</v>
      </c>
      <c r="BN931" s="76" t="s">
        <v>27597</v>
      </c>
      <c r="BO931" s="82" t="str">
        <f>HYPERLINK("https://twitter.com/xtblatam")</f>
        <v>https://twitter.com/xtblatam</v>
      </c>
      <c r="BP931" s="2"/>
    </row>
    <row r="932" spans="1:68" x14ac:dyDescent="0.25">
      <c r="A932" s="62" t="s">
        <v>894</v>
      </c>
      <c r="B932" s="63"/>
      <c r="C932" s="63"/>
      <c r="D932" s="64"/>
      <c r="E932" s="66"/>
      <c r="F932" s="103" t="str">
        <f>HYPERLINK("https://pbs.twimg.com/profile_images/1681424225037430786/BG1MAnzz_normal.jpg")</f>
        <v>https://pbs.twimg.com/profile_images/1681424225037430786/BG1MAnzz_normal.jpg</v>
      </c>
      <c r="G932" s="63"/>
      <c r="H932" s="67"/>
      <c r="I932" s="68"/>
      <c r="J932" s="68"/>
      <c r="K932" s="67" t="s">
        <v>28526</v>
      </c>
      <c r="L932" s="71"/>
      <c r="M932" s="72"/>
      <c r="N932" s="72"/>
      <c r="O932" s="73"/>
      <c r="P932" s="74"/>
      <c r="Q932" s="74"/>
      <c r="R932" s="87"/>
      <c r="S932" s="87"/>
      <c r="T932" s="87"/>
      <c r="U932" s="87"/>
      <c r="V932" s="48"/>
      <c r="W932" s="48"/>
      <c r="X932" s="48"/>
      <c r="Y932" s="48"/>
      <c r="Z932" s="47"/>
      <c r="AA932" s="69">
        <v>932</v>
      </c>
      <c r="AB932" s="69"/>
      <c r="AC932" s="70"/>
      <c r="AD932" s="76" t="s">
        <v>22159</v>
      </c>
      <c r="AE932" s="81" t="s">
        <v>20813</v>
      </c>
      <c r="AF932" s="76">
        <v>23</v>
      </c>
      <c r="AG932" s="76">
        <v>77</v>
      </c>
      <c r="AH932" s="76">
        <v>249</v>
      </c>
      <c r="AI932" s="76">
        <v>0</v>
      </c>
      <c r="AJ932" s="76">
        <v>250</v>
      </c>
      <c r="AK932" s="76">
        <v>102</v>
      </c>
      <c r="AL932" s="76" t="b">
        <v>0</v>
      </c>
      <c r="AM932" s="78">
        <v>44966.756307870368</v>
      </c>
      <c r="AN932" s="76" t="s">
        <v>24411</v>
      </c>
      <c r="AO932" s="76" t="s">
        <v>25543</v>
      </c>
      <c r="AP932" s="76"/>
      <c r="AQ932" s="76"/>
      <c r="AR932" s="76"/>
      <c r="AS932" s="76"/>
      <c r="AT932" s="76"/>
      <c r="AU932" s="76"/>
      <c r="AV932" s="76">
        <v>1.69851315430349E+18</v>
      </c>
      <c r="AW932" s="76"/>
      <c r="AX932" s="76" t="b">
        <v>0</v>
      </c>
      <c r="AY932" s="76"/>
      <c r="AZ932" s="76"/>
      <c r="BA932" s="76" t="b">
        <v>0</v>
      </c>
      <c r="BB932" s="76" t="b">
        <v>1</v>
      </c>
      <c r="BC932" s="76" t="b">
        <v>1</v>
      </c>
      <c r="BD932" s="76" t="b">
        <v>0</v>
      </c>
      <c r="BE932" s="76" t="b">
        <v>0</v>
      </c>
      <c r="BF932" s="76" t="b">
        <v>0</v>
      </c>
      <c r="BG932" s="76" t="b">
        <v>0</v>
      </c>
      <c r="BH932" s="82" t="str">
        <f>HYPERLINK("https://pbs.twimg.com/profile_banners/1623745738797731849/1675966777")</f>
        <v>https://pbs.twimg.com/profile_banners/1623745738797731849/1675966777</v>
      </c>
      <c r="BI932" s="76"/>
      <c r="BJ932" s="76" t="s">
        <v>27595</v>
      </c>
      <c r="BK932" s="76" t="b">
        <v>0</v>
      </c>
      <c r="BL932" s="76"/>
      <c r="BM932" s="76" t="s">
        <v>66</v>
      </c>
      <c r="BN932" s="76" t="s">
        <v>27597</v>
      </c>
      <c r="BO932" s="82" t="str">
        <f>HYPERLINK("https://twitter.com/brunnatmarica")</f>
        <v>https://twitter.com/brunnatmarica</v>
      </c>
      <c r="BP932" s="2"/>
    </row>
    <row r="933" spans="1:68" x14ac:dyDescent="0.25">
      <c r="A933" s="62" t="s">
        <v>895</v>
      </c>
      <c r="B933" s="63"/>
      <c r="C933" s="63"/>
      <c r="D933" s="64"/>
      <c r="E933" s="66"/>
      <c r="F933" s="103" t="str">
        <f>HYPERLINK("https://pbs.twimg.com/profile_images/1601241279672860679/B7CXtIom_normal.jpg")</f>
        <v>https://pbs.twimg.com/profile_images/1601241279672860679/B7CXtIom_normal.jpg</v>
      </c>
      <c r="G933" s="63"/>
      <c r="H933" s="67"/>
      <c r="I933" s="68"/>
      <c r="J933" s="68"/>
      <c r="K933" s="67" t="s">
        <v>28527</v>
      </c>
      <c r="L933" s="71"/>
      <c r="M933" s="72"/>
      <c r="N933" s="72"/>
      <c r="O933" s="73"/>
      <c r="P933" s="74"/>
      <c r="Q933" s="74"/>
      <c r="R933" s="87"/>
      <c r="S933" s="87"/>
      <c r="T933" s="87"/>
      <c r="U933" s="87"/>
      <c r="V933" s="48"/>
      <c r="W933" s="48"/>
      <c r="X933" s="48"/>
      <c r="Y933" s="48"/>
      <c r="Z933" s="47"/>
      <c r="AA933" s="69">
        <v>933</v>
      </c>
      <c r="AB933" s="69"/>
      <c r="AC933" s="70"/>
      <c r="AD933" s="76" t="s">
        <v>22160</v>
      </c>
      <c r="AE933" s="81" t="s">
        <v>20814</v>
      </c>
      <c r="AF933" s="76">
        <v>208</v>
      </c>
      <c r="AG933" s="76">
        <v>470</v>
      </c>
      <c r="AH933" s="76">
        <v>16419</v>
      </c>
      <c r="AI933" s="76">
        <v>0</v>
      </c>
      <c r="AJ933" s="76">
        <v>36143</v>
      </c>
      <c r="AK933" s="76">
        <v>1359</v>
      </c>
      <c r="AL933" s="76" t="b">
        <v>0</v>
      </c>
      <c r="AM933" s="78">
        <v>44836.459675925929</v>
      </c>
      <c r="AN933" s="76"/>
      <c r="AO933" s="76" t="s">
        <v>25544</v>
      </c>
      <c r="AP933" s="76"/>
      <c r="AQ933" s="76"/>
      <c r="AR933" s="76"/>
      <c r="AS933" s="76"/>
      <c r="AT933" s="76"/>
      <c r="AU933" s="76"/>
      <c r="AV933" s="76">
        <v>1.67008999825775E+18</v>
      </c>
      <c r="AW933" s="76"/>
      <c r="AX933" s="76" t="b">
        <v>0</v>
      </c>
      <c r="AY933" s="76"/>
      <c r="AZ933" s="76"/>
      <c r="BA933" s="76" t="b">
        <v>0</v>
      </c>
      <c r="BB933" s="76" t="b">
        <v>1</v>
      </c>
      <c r="BC933" s="76" t="b">
        <v>1</v>
      </c>
      <c r="BD933" s="76" t="b">
        <v>0</v>
      </c>
      <c r="BE933" s="76" t="b">
        <v>1</v>
      </c>
      <c r="BF933" s="76" t="b">
        <v>0</v>
      </c>
      <c r="BG933" s="76" t="b">
        <v>0</v>
      </c>
      <c r="BH933" s="82" t="str">
        <f>HYPERLINK("https://pbs.twimg.com/profile_banners/1576527680077533184/1670600650")</f>
        <v>https://pbs.twimg.com/profile_banners/1576527680077533184/1670600650</v>
      </c>
      <c r="BI933" s="76"/>
      <c r="BJ933" s="76" t="s">
        <v>27595</v>
      </c>
      <c r="BK933" s="76" t="b">
        <v>0</v>
      </c>
      <c r="BL933" s="76"/>
      <c r="BM933" s="76" t="s">
        <v>66</v>
      </c>
      <c r="BN933" s="76" t="s">
        <v>27597</v>
      </c>
      <c r="BO933" s="82" t="str">
        <f>HYPERLINK("https://twitter.com/falador10960616")</f>
        <v>https://twitter.com/falador10960616</v>
      </c>
      <c r="BP933" s="2"/>
    </row>
    <row r="934" spans="1:68" x14ac:dyDescent="0.25">
      <c r="A934" s="62" t="s">
        <v>918</v>
      </c>
      <c r="B934" s="63"/>
      <c r="C934" s="63"/>
      <c r="D934" s="64"/>
      <c r="E934" s="66"/>
      <c r="F934" s="103" t="str">
        <f>HYPERLINK("https://pbs.twimg.com/profile_images/1704599246895226880/34T66WUE_normal.jpg")</f>
        <v>https://pbs.twimg.com/profile_images/1704599246895226880/34T66WUE_normal.jpg</v>
      </c>
      <c r="G934" s="63"/>
      <c r="H934" s="67"/>
      <c r="I934" s="68"/>
      <c r="J934" s="68"/>
      <c r="K934" s="67" t="s">
        <v>28528</v>
      </c>
      <c r="L934" s="71"/>
      <c r="M934" s="72"/>
      <c r="N934" s="72"/>
      <c r="O934" s="73"/>
      <c r="P934" s="74"/>
      <c r="Q934" s="74"/>
      <c r="R934" s="87"/>
      <c r="S934" s="87"/>
      <c r="T934" s="87"/>
      <c r="U934" s="87"/>
      <c r="V934" s="48"/>
      <c r="W934" s="48"/>
      <c r="X934" s="48"/>
      <c r="Y934" s="48"/>
      <c r="Z934" s="47"/>
      <c r="AA934" s="69">
        <v>934</v>
      </c>
      <c r="AB934" s="69"/>
      <c r="AC934" s="70"/>
      <c r="AD934" s="76" t="s">
        <v>22161</v>
      </c>
      <c r="AE934" s="81" t="s">
        <v>20830</v>
      </c>
      <c r="AF934" s="76">
        <v>25211</v>
      </c>
      <c r="AG934" s="76">
        <v>20</v>
      </c>
      <c r="AH934" s="76">
        <v>13245</v>
      </c>
      <c r="AI934" s="76">
        <v>224</v>
      </c>
      <c r="AJ934" s="76">
        <v>647</v>
      </c>
      <c r="AK934" s="76">
        <v>916</v>
      </c>
      <c r="AL934" s="76" t="b">
        <v>0</v>
      </c>
      <c r="AM934" s="78">
        <v>43794.933032407411</v>
      </c>
      <c r="AN934" s="76"/>
      <c r="AO934" s="76" t="s">
        <v>25545</v>
      </c>
      <c r="AP934" s="82" t="str">
        <f>HYPERLINK("https://t.co/YWPtVZH8Rb")</f>
        <v>https://t.co/YWPtVZH8Rb</v>
      </c>
      <c r="AQ934" s="82" t="str">
        <f>HYPERLINK("https://linkme.bio/investnewsbr")</f>
        <v>https://linkme.bio/investnewsbr</v>
      </c>
      <c r="AR934" s="76" t="s">
        <v>26866</v>
      </c>
      <c r="AS934" s="76"/>
      <c r="AT934" s="76"/>
      <c r="AU934" s="76"/>
      <c r="AV934" s="76">
        <v>1.6621507992527501E+18</v>
      </c>
      <c r="AW934" s="82" t="str">
        <f>HYPERLINK("https://t.co/YWPtVZH8Rb")</f>
        <v>https://t.co/YWPtVZH8Rb</v>
      </c>
      <c r="AX934" s="76" t="b">
        <v>1</v>
      </c>
      <c r="AY934" s="76"/>
      <c r="AZ934" s="76"/>
      <c r="BA934" s="76" t="b">
        <v>0</v>
      </c>
      <c r="BB934" s="76" t="b">
        <v>1</v>
      </c>
      <c r="BC934" s="76" t="b">
        <v>1</v>
      </c>
      <c r="BD934" s="76" t="b">
        <v>0</v>
      </c>
      <c r="BE934" s="76" t="b">
        <v>0</v>
      </c>
      <c r="BF934" s="76" t="b">
        <v>0</v>
      </c>
      <c r="BG934" s="76" t="b">
        <v>0</v>
      </c>
      <c r="BH934" s="82" t="str">
        <f>HYPERLINK("https://pbs.twimg.com/profile_banners/1199091215767080961/1695304452")</f>
        <v>https://pbs.twimg.com/profile_banners/1199091215767080961/1695304452</v>
      </c>
      <c r="BI934" s="76"/>
      <c r="BJ934" s="76" t="s">
        <v>27595</v>
      </c>
      <c r="BK934" s="76" t="b">
        <v>0</v>
      </c>
      <c r="BL934" s="76"/>
      <c r="BM934" s="76" t="s">
        <v>66</v>
      </c>
      <c r="BN934" s="76" t="s">
        <v>27597</v>
      </c>
      <c r="BO934" s="82" t="str">
        <f>HYPERLINK("https://twitter.com/investnewsbr")</f>
        <v>https://twitter.com/investnewsbr</v>
      </c>
      <c r="BP934" s="2"/>
    </row>
    <row r="935" spans="1:68" x14ac:dyDescent="0.25">
      <c r="A935" s="62" t="s">
        <v>896</v>
      </c>
      <c r="B935" s="63"/>
      <c r="C935" s="63"/>
      <c r="D935" s="64"/>
      <c r="E935" s="66"/>
      <c r="F935" s="103" t="str">
        <f>HYPERLINK("https://pbs.twimg.com/profile_images/1494829803626811392/phBdjYCS_normal.jpg")</f>
        <v>https://pbs.twimg.com/profile_images/1494829803626811392/phBdjYCS_normal.jpg</v>
      </c>
      <c r="G935" s="63"/>
      <c r="H935" s="67"/>
      <c r="I935" s="68"/>
      <c r="J935" s="68"/>
      <c r="K935" s="67" t="s">
        <v>28529</v>
      </c>
      <c r="L935" s="71"/>
      <c r="M935" s="72"/>
      <c r="N935" s="72"/>
      <c r="O935" s="73"/>
      <c r="P935" s="74"/>
      <c r="Q935" s="74"/>
      <c r="R935" s="87"/>
      <c r="S935" s="87"/>
      <c r="T935" s="87"/>
      <c r="U935" s="87"/>
      <c r="V935" s="48"/>
      <c r="W935" s="48"/>
      <c r="X935" s="48"/>
      <c r="Y935" s="48"/>
      <c r="Z935" s="47"/>
      <c r="AA935" s="69">
        <v>935</v>
      </c>
      <c r="AB935" s="69"/>
      <c r="AC935" s="70"/>
      <c r="AD935" s="76" t="s">
        <v>22162</v>
      </c>
      <c r="AE935" s="81" t="s">
        <v>20815</v>
      </c>
      <c r="AF935" s="76">
        <v>527</v>
      </c>
      <c r="AG935" s="76">
        <v>295</v>
      </c>
      <c r="AH935" s="76">
        <v>4154</v>
      </c>
      <c r="AI935" s="76">
        <v>2</v>
      </c>
      <c r="AJ935" s="76">
        <v>45</v>
      </c>
      <c r="AK935" s="76">
        <v>881</v>
      </c>
      <c r="AL935" s="76" t="b">
        <v>0</v>
      </c>
      <c r="AM935" s="78">
        <v>44610.981979166667</v>
      </c>
      <c r="AN935" s="76" t="s">
        <v>24412</v>
      </c>
      <c r="AO935" s="76" t="s">
        <v>25546</v>
      </c>
      <c r="AP935" s="82" t="str">
        <f>HYPERLINK("https://t.co/7QH0e7C4eo")</f>
        <v>https://t.co/7QH0e7C4eo</v>
      </c>
      <c r="AQ935" s="82" t="str">
        <f>HYPERLINK("http://www.tribunahoje.com")</f>
        <v>http://www.tribunahoje.com</v>
      </c>
      <c r="AR935" s="76" t="s">
        <v>26867</v>
      </c>
      <c r="AS935" s="76"/>
      <c r="AT935" s="76"/>
      <c r="AU935" s="76"/>
      <c r="AV935" s="76"/>
      <c r="AW935" s="82" t="str">
        <f>HYPERLINK("https://t.co/7QH0e7C4eo")</f>
        <v>https://t.co/7QH0e7C4eo</v>
      </c>
      <c r="AX935" s="76" t="b">
        <v>0</v>
      </c>
      <c r="AY935" s="76"/>
      <c r="AZ935" s="76"/>
      <c r="BA935" s="76" t="b">
        <v>0</v>
      </c>
      <c r="BB935" s="76" t="b">
        <v>1</v>
      </c>
      <c r="BC935" s="76" t="b">
        <v>1</v>
      </c>
      <c r="BD935" s="76" t="b">
        <v>0</v>
      </c>
      <c r="BE935" s="76" t="b">
        <v>0</v>
      </c>
      <c r="BF935" s="76" t="b">
        <v>0</v>
      </c>
      <c r="BG935" s="76" t="b">
        <v>0</v>
      </c>
      <c r="BH935" s="82" t="str">
        <f>HYPERLINK("https://pbs.twimg.com/profile_banners/1494816867663425547/1665991872")</f>
        <v>https://pbs.twimg.com/profile_banners/1494816867663425547/1665991872</v>
      </c>
      <c r="BI935" s="76"/>
      <c r="BJ935" s="76" t="s">
        <v>27595</v>
      </c>
      <c r="BK935" s="76" t="b">
        <v>0</v>
      </c>
      <c r="BL935" s="76"/>
      <c r="BM935" s="76" t="s">
        <v>66</v>
      </c>
      <c r="BN935" s="76" t="s">
        <v>27597</v>
      </c>
      <c r="BO935" s="82" t="str">
        <f>HYPERLINK("https://twitter.com/tribuna_hoje")</f>
        <v>https://twitter.com/tribuna_hoje</v>
      </c>
      <c r="BP935" s="2"/>
    </row>
    <row r="936" spans="1:68" x14ac:dyDescent="0.25">
      <c r="A936" s="62" t="s">
        <v>897</v>
      </c>
      <c r="B936" s="63"/>
      <c r="C936" s="63"/>
      <c r="D936" s="64"/>
      <c r="E936" s="66"/>
      <c r="F936" s="103" t="str">
        <f>HYPERLINK("https://pbs.twimg.com/profile_images/1567803015066705924/uf3huxXQ_normal.jpg")</f>
        <v>https://pbs.twimg.com/profile_images/1567803015066705924/uf3huxXQ_normal.jpg</v>
      </c>
      <c r="G936" s="63"/>
      <c r="H936" s="67"/>
      <c r="I936" s="68"/>
      <c r="J936" s="68"/>
      <c r="K936" s="67" t="s">
        <v>28530</v>
      </c>
      <c r="L936" s="71"/>
      <c r="M936" s="72"/>
      <c r="N936" s="72"/>
      <c r="O936" s="73"/>
      <c r="P936" s="74"/>
      <c r="Q936" s="74"/>
      <c r="R936" s="87"/>
      <c r="S936" s="87"/>
      <c r="T936" s="87"/>
      <c r="U936" s="87"/>
      <c r="V936" s="48"/>
      <c r="W936" s="48"/>
      <c r="X936" s="48"/>
      <c r="Y936" s="48"/>
      <c r="Z936" s="47"/>
      <c r="AA936" s="69">
        <v>936</v>
      </c>
      <c r="AB936" s="69"/>
      <c r="AC936" s="70"/>
      <c r="AD936" s="76" t="s">
        <v>22163</v>
      </c>
      <c r="AE936" s="81" t="s">
        <v>20816</v>
      </c>
      <c r="AF936" s="76">
        <v>44452</v>
      </c>
      <c r="AG936" s="76">
        <v>44751</v>
      </c>
      <c r="AH936" s="76">
        <v>77067</v>
      </c>
      <c r="AI936" s="76">
        <v>9</v>
      </c>
      <c r="AJ936" s="76">
        <v>199044</v>
      </c>
      <c r="AK936" s="76">
        <v>8645</v>
      </c>
      <c r="AL936" s="76" t="b">
        <v>0</v>
      </c>
      <c r="AM936" s="78">
        <v>43403.895057870373</v>
      </c>
      <c r="AN936" s="76" t="s">
        <v>14400</v>
      </c>
      <c r="AO936" s="76" t="s">
        <v>25547</v>
      </c>
      <c r="AP936" s="82" t="str">
        <f>HYPERLINK("https://t.co/LL0ZCyfl6j")</f>
        <v>https://t.co/LL0ZCyfl6j</v>
      </c>
      <c r="AQ936" s="82" t="str">
        <f>HYPERLINK("https://twitter.com/zilafusaro7?t=ZzEtWqCPdl-t-3eUB3hlfA&amp;s=09")</f>
        <v>https://twitter.com/zilafusaro7?t=ZzEtWqCPdl-t-3eUB3hlfA&amp;s=09</v>
      </c>
      <c r="AR936" s="76" t="s">
        <v>26868</v>
      </c>
      <c r="AS936" s="76"/>
      <c r="AT936" s="76"/>
      <c r="AU936" s="76"/>
      <c r="AV936" s="76">
        <v>1.38797209697905E+18</v>
      </c>
      <c r="AW936" s="82" t="str">
        <f>HYPERLINK("https://t.co/LL0ZCyfl6j")</f>
        <v>https://t.co/LL0ZCyfl6j</v>
      </c>
      <c r="AX936" s="76" t="b">
        <v>0</v>
      </c>
      <c r="AY936" s="76"/>
      <c r="AZ936" s="76"/>
      <c r="BA936" s="76" t="b">
        <v>1</v>
      </c>
      <c r="BB936" s="76" t="b">
        <v>0</v>
      </c>
      <c r="BC936" s="76" t="b">
        <v>1</v>
      </c>
      <c r="BD936" s="76" t="b">
        <v>0</v>
      </c>
      <c r="BE936" s="76" t="b">
        <v>1</v>
      </c>
      <c r="BF936" s="76" t="b">
        <v>0</v>
      </c>
      <c r="BG936" s="76" t="b">
        <v>0</v>
      </c>
      <c r="BH936" s="82" t="str">
        <f>HYPERLINK("https://pbs.twimg.com/profile_banners/1057383865592045574/1681831647")</f>
        <v>https://pbs.twimg.com/profile_banners/1057383865592045574/1681831647</v>
      </c>
      <c r="BI936" s="76"/>
      <c r="BJ936" s="76" t="s">
        <v>27595</v>
      </c>
      <c r="BK936" s="76" t="b">
        <v>0</v>
      </c>
      <c r="BL936" s="76"/>
      <c r="BM936" s="76" t="s">
        <v>66</v>
      </c>
      <c r="BN936" s="76" t="s">
        <v>27597</v>
      </c>
      <c r="BO936" s="82" t="str">
        <f>HYPERLINK("https://twitter.com/fusarozila")</f>
        <v>https://twitter.com/fusarozila</v>
      </c>
      <c r="BP936" s="2"/>
    </row>
    <row r="937" spans="1:68" x14ac:dyDescent="0.25">
      <c r="A937" s="62" t="s">
        <v>898</v>
      </c>
      <c r="B937" s="63"/>
      <c r="C937" s="63"/>
      <c r="D937" s="64"/>
      <c r="E937" s="66"/>
      <c r="F937" s="103" t="str">
        <f>HYPERLINK("https://pbs.twimg.com/profile_images/1554846246858358785/SmJYi8we_normal.jpg")</f>
        <v>https://pbs.twimg.com/profile_images/1554846246858358785/SmJYi8we_normal.jpg</v>
      </c>
      <c r="G937" s="63"/>
      <c r="H937" s="67"/>
      <c r="I937" s="68"/>
      <c r="J937" s="68"/>
      <c r="K937" s="67" t="s">
        <v>28531</v>
      </c>
      <c r="L937" s="71"/>
      <c r="M937" s="72"/>
      <c r="N937" s="72"/>
      <c r="O937" s="73"/>
      <c r="P937" s="74"/>
      <c r="Q937" s="74"/>
      <c r="R937" s="87"/>
      <c r="S937" s="87"/>
      <c r="T937" s="87"/>
      <c r="U937" s="87"/>
      <c r="V937" s="48"/>
      <c r="W937" s="48"/>
      <c r="X937" s="48"/>
      <c r="Y937" s="48"/>
      <c r="Z937" s="47"/>
      <c r="AA937" s="69">
        <v>937</v>
      </c>
      <c r="AB937" s="69"/>
      <c r="AC937" s="70"/>
      <c r="AD937" s="76" t="s">
        <v>22164</v>
      </c>
      <c r="AE937" s="81" t="s">
        <v>20817</v>
      </c>
      <c r="AF937" s="76">
        <v>47</v>
      </c>
      <c r="AG937" s="76">
        <v>61</v>
      </c>
      <c r="AH937" s="76">
        <v>6648</v>
      </c>
      <c r="AI937" s="76">
        <v>1</v>
      </c>
      <c r="AJ937" s="76">
        <v>78</v>
      </c>
      <c r="AK937" s="76">
        <v>4481</v>
      </c>
      <c r="AL937" s="76" t="b">
        <v>0</v>
      </c>
      <c r="AM937" s="78">
        <v>44769.897141203706</v>
      </c>
      <c r="AN937" s="76" t="s">
        <v>24413</v>
      </c>
      <c r="AO937" s="76" t="s">
        <v>25548</v>
      </c>
      <c r="AP937" s="82" t="str">
        <f>HYPERLINK("https://t.co/j0Luy2WfGo")</f>
        <v>https://t.co/j0Luy2WfGo</v>
      </c>
      <c r="AQ937" s="82" t="str">
        <f>HYPERLINK("https://www.809.do/")</f>
        <v>https://www.809.do/</v>
      </c>
      <c r="AR937" s="76" t="s">
        <v>8769</v>
      </c>
      <c r="AS937" s="76"/>
      <c r="AT937" s="76"/>
      <c r="AU937" s="76"/>
      <c r="AV937" s="76"/>
      <c r="AW937" s="82" t="str">
        <f>HYPERLINK("https://t.co/j0Luy2WfGo")</f>
        <v>https://t.co/j0Luy2WfGo</v>
      </c>
      <c r="AX937" s="76" t="b">
        <v>0</v>
      </c>
      <c r="AY937" s="76"/>
      <c r="AZ937" s="76"/>
      <c r="BA937" s="76" t="b">
        <v>0</v>
      </c>
      <c r="BB937" s="76" t="b">
        <v>1</v>
      </c>
      <c r="BC937" s="76" t="b">
        <v>1</v>
      </c>
      <c r="BD937" s="76" t="b">
        <v>0</v>
      </c>
      <c r="BE937" s="76" t="b">
        <v>0</v>
      </c>
      <c r="BF937" s="76" t="b">
        <v>0</v>
      </c>
      <c r="BG937" s="76" t="b">
        <v>0</v>
      </c>
      <c r="BH937" s="82" t="str">
        <f>HYPERLINK("https://pbs.twimg.com/profile_banners/1552406338797445127/1677094850")</f>
        <v>https://pbs.twimg.com/profile_banners/1552406338797445127/1677094850</v>
      </c>
      <c r="BI937" s="76"/>
      <c r="BJ937" s="76" t="s">
        <v>27595</v>
      </c>
      <c r="BK937" s="76" t="b">
        <v>0</v>
      </c>
      <c r="BL937" s="76"/>
      <c r="BM937" s="76" t="s">
        <v>66</v>
      </c>
      <c r="BN937" s="76" t="s">
        <v>27597</v>
      </c>
      <c r="BO937" s="82" t="str">
        <f>HYPERLINK("https://twitter.com/8cero9do")</f>
        <v>https://twitter.com/8cero9do</v>
      </c>
      <c r="BP937" s="2"/>
    </row>
    <row r="938" spans="1:68" x14ac:dyDescent="0.25">
      <c r="A938" s="62" t="s">
        <v>899</v>
      </c>
      <c r="B938" s="63"/>
      <c r="C938" s="63"/>
      <c r="D938" s="64"/>
      <c r="E938" s="66"/>
      <c r="F938" s="103" t="str">
        <f>HYPERLINK("https://pbs.twimg.com/profile_images/1109514054761095169/rugxR_Ve_normal.jpg")</f>
        <v>https://pbs.twimg.com/profile_images/1109514054761095169/rugxR_Ve_normal.jpg</v>
      </c>
      <c r="G938" s="63"/>
      <c r="H938" s="67"/>
      <c r="I938" s="68"/>
      <c r="J938" s="68"/>
      <c r="K938" s="67" t="s">
        <v>28532</v>
      </c>
      <c r="L938" s="71"/>
      <c r="M938" s="72"/>
      <c r="N938" s="72"/>
      <c r="O938" s="73"/>
      <c r="P938" s="74"/>
      <c r="Q938" s="74"/>
      <c r="R938" s="87"/>
      <c r="S938" s="87"/>
      <c r="T938" s="87"/>
      <c r="U938" s="87"/>
      <c r="V938" s="48"/>
      <c r="W938" s="48"/>
      <c r="X938" s="48"/>
      <c r="Y938" s="48"/>
      <c r="Z938" s="47"/>
      <c r="AA938" s="69">
        <v>938</v>
      </c>
      <c r="AB938" s="69"/>
      <c r="AC938" s="70"/>
      <c r="AD938" s="76" t="s">
        <v>22165</v>
      </c>
      <c r="AE938" s="81" t="s">
        <v>20818</v>
      </c>
      <c r="AF938" s="76">
        <v>7820</v>
      </c>
      <c r="AG938" s="76">
        <v>8603</v>
      </c>
      <c r="AH938" s="76">
        <v>303968</v>
      </c>
      <c r="AI938" s="76">
        <v>1</v>
      </c>
      <c r="AJ938" s="76">
        <v>320342</v>
      </c>
      <c r="AK938" s="76">
        <v>11003</v>
      </c>
      <c r="AL938" s="76" t="b">
        <v>0</v>
      </c>
      <c r="AM938" s="78">
        <v>43098.365497685183</v>
      </c>
      <c r="AN938" s="76"/>
      <c r="AO938" s="76" t="s">
        <v>25549</v>
      </c>
      <c r="AP938" s="76"/>
      <c r="AQ938" s="76"/>
      <c r="AR938" s="76"/>
      <c r="AS938" s="76"/>
      <c r="AT938" s="76"/>
      <c r="AU938" s="76"/>
      <c r="AV938" s="76"/>
      <c r="AW938" s="76"/>
      <c r="AX938" s="76" t="b">
        <v>0</v>
      </c>
      <c r="AY938" s="76"/>
      <c r="AZ938" s="76"/>
      <c r="BA938" s="76" t="b">
        <v>0</v>
      </c>
      <c r="BB938" s="76" t="b">
        <v>0</v>
      </c>
      <c r="BC938" s="76" t="b">
        <v>1</v>
      </c>
      <c r="BD938" s="76" t="b">
        <v>0</v>
      </c>
      <c r="BE938" s="76" t="b">
        <v>1</v>
      </c>
      <c r="BF938" s="76" t="b">
        <v>0</v>
      </c>
      <c r="BG938" s="76" t="b">
        <v>0</v>
      </c>
      <c r="BH938" s="82" t="str">
        <f>HYPERLINK("https://pbs.twimg.com/profile_banners/946663658108661760/1685200081")</f>
        <v>https://pbs.twimg.com/profile_banners/946663658108661760/1685200081</v>
      </c>
      <c r="BI938" s="76"/>
      <c r="BJ938" s="76" t="s">
        <v>27595</v>
      </c>
      <c r="BK938" s="76" t="b">
        <v>0</v>
      </c>
      <c r="BL938" s="76"/>
      <c r="BM938" s="76" t="s">
        <v>66</v>
      </c>
      <c r="BN938" s="76" t="s">
        <v>27597</v>
      </c>
      <c r="BO938" s="82" t="str">
        <f>HYPERLINK("https://twitter.com/zenda_simoes")</f>
        <v>https://twitter.com/zenda_simoes</v>
      </c>
      <c r="BP938" s="2"/>
    </row>
    <row r="939" spans="1:68" x14ac:dyDescent="0.25">
      <c r="A939" s="62" t="s">
        <v>900</v>
      </c>
      <c r="B939" s="63"/>
      <c r="C939" s="63"/>
      <c r="D939" s="64"/>
      <c r="E939" s="66"/>
      <c r="F939" s="103" t="str">
        <f>HYPERLINK("https://pbs.twimg.com/profile_images/1598374605550456850/-yQJDoPV_normal.jpg")</f>
        <v>https://pbs.twimg.com/profile_images/1598374605550456850/-yQJDoPV_normal.jpg</v>
      </c>
      <c r="G939" s="63"/>
      <c r="H939" s="67"/>
      <c r="I939" s="68"/>
      <c r="J939" s="68"/>
      <c r="K939" s="67" t="s">
        <v>28533</v>
      </c>
      <c r="L939" s="71"/>
      <c r="M939" s="72"/>
      <c r="N939" s="72"/>
      <c r="O939" s="73"/>
      <c r="P939" s="74"/>
      <c r="Q939" s="74"/>
      <c r="R939" s="87"/>
      <c r="S939" s="87"/>
      <c r="T939" s="87"/>
      <c r="U939" s="87"/>
      <c r="V939" s="48"/>
      <c r="W939" s="48"/>
      <c r="X939" s="48"/>
      <c r="Y939" s="48"/>
      <c r="Z939" s="47"/>
      <c r="AA939" s="69">
        <v>939</v>
      </c>
      <c r="AB939" s="69"/>
      <c r="AC939" s="70"/>
      <c r="AD939" s="76" t="s">
        <v>22166</v>
      </c>
      <c r="AE939" s="81" t="s">
        <v>23573</v>
      </c>
      <c r="AF939" s="76">
        <v>485</v>
      </c>
      <c r="AG939" s="76">
        <v>41</v>
      </c>
      <c r="AH939" s="76">
        <v>5371</v>
      </c>
      <c r="AI939" s="76">
        <v>9</v>
      </c>
      <c r="AJ939" s="76">
        <v>8</v>
      </c>
      <c r="AK939" s="76">
        <v>3544</v>
      </c>
      <c r="AL939" s="76" t="b">
        <v>0</v>
      </c>
      <c r="AM939" s="78">
        <v>40114.724108796298</v>
      </c>
      <c r="AN939" s="76" t="s">
        <v>24414</v>
      </c>
      <c r="AO939" s="76" t="s">
        <v>25550</v>
      </c>
      <c r="AP939" s="82" t="str">
        <f>HYPERLINK("https://t.co/QxwUfdtIHt")</f>
        <v>https://t.co/QxwUfdtIHt</v>
      </c>
      <c r="AQ939" s="82" t="str">
        <f>HYPERLINK("http://www.sindpdce.org.br/")</f>
        <v>http://www.sindpdce.org.br/</v>
      </c>
      <c r="AR939" s="76" t="s">
        <v>26869</v>
      </c>
      <c r="AS939" s="76"/>
      <c r="AT939" s="76"/>
      <c r="AU939" s="76"/>
      <c r="AV939" s="76"/>
      <c r="AW939" s="82" t="str">
        <f>HYPERLINK("https://t.co/QxwUfdtIHt")</f>
        <v>https://t.co/QxwUfdtIHt</v>
      </c>
      <c r="AX939" s="76" t="b">
        <v>0</v>
      </c>
      <c r="AY939" s="76"/>
      <c r="AZ939" s="76"/>
      <c r="BA939" s="76" t="b">
        <v>0</v>
      </c>
      <c r="BB939" s="76" t="b">
        <v>1</v>
      </c>
      <c r="BC939" s="76" t="b">
        <v>0</v>
      </c>
      <c r="BD939" s="76" t="b">
        <v>0</v>
      </c>
      <c r="BE939" s="76" t="b">
        <v>0</v>
      </c>
      <c r="BF939" s="76" t="b">
        <v>0</v>
      </c>
      <c r="BG939" s="76" t="b">
        <v>0</v>
      </c>
      <c r="BH939" s="82" t="str">
        <f>HYPERLINK("https://pbs.twimg.com/profile_banners/85865113/1669917178")</f>
        <v>https://pbs.twimg.com/profile_banners/85865113/1669917178</v>
      </c>
      <c r="BI939" s="76"/>
      <c r="BJ939" s="76" t="s">
        <v>27595</v>
      </c>
      <c r="BK939" s="76" t="b">
        <v>0</v>
      </c>
      <c r="BL939" s="76"/>
      <c r="BM939" s="76" t="s">
        <v>66</v>
      </c>
      <c r="BN939" s="76" t="s">
        <v>27597</v>
      </c>
      <c r="BO939" s="82" t="str">
        <f>HYPERLINK("https://twitter.com/sindpdce")</f>
        <v>https://twitter.com/sindpdce</v>
      </c>
      <c r="BP939" s="2"/>
    </row>
    <row r="940" spans="1:68" x14ac:dyDescent="0.25">
      <c r="A940" s="62" t="s">
        <v>901</v>
      </c>
      <c r="B940" s="63"/>
      <c r="C940" s="63"/>
      <c r="D940" s="64"/>
      <c r="E940" s="66"/>
      <c r="F940" s="103" t="str">
        <f>HYPERLINK("https://pbs.twimg.com/profile_images/1656338467096330241/us9nGBbn_normal.jpg")</f>
        <v>https://pbs.twimg.com/profile_images/1656338467096330241/us9nGBbn_normal.jpg</v>
      </c>
      <c r="G940" s="63"/>
      <c r="H940" s="67"/>
      <c r="I940" s="68"/>
      <c r="J940" s="68"/>
      <c r="K940" s="67" t="s">
        <v>28534</v>
      </c>
      <c r="L940" s="71"/>
      <c r="M940" s="72"/>
      <c r="N940" s="72"/>
      <c r="O940" s="73"/>
      <c r="P940" s="74"/>
      <c r="Q940" s="74"/>
      <c r="R940" s="87"/>
      <c r="S940" s="87"/>
      <c r="T940" s="87"/>
      <c r="U940" s="87"/>
      <c r="V940" s="48"/>
      <c r="W940" s="48"/>
      <c r="X940" s="48"/>
      <c r="Y940" s="48"/>
      <c r="Z940" s="47"/>
      <c r="AA940" s="69">
        <v>940</v>
      </c>
      <c r="AB940" s="69"/>
      <c r="AC940" s="70"/>
      <c r="AD940" s="76" t="s">
        <v>22167</v>
      </c>
      <c r="AE940" s="81" t="s">
        <v>20819</v>
      </c>
      <c r="AF940" s="76">
        <v>10</v>
      </c>
      <c r="AG940" s="76">
        <v>73</v>
      </c>
      <c r="AH940" s="76">
        <v>211</v>
      </c>
      <c r="AI940" s="76">
        <v>0</v>
      </c>
      <c r="AJ940" s="76">
        <v>93</v>
      </c>
      <c r="AK940" s="76">
        <v>68</v>
      </c>
      <c r="AL940" s="76" t="b">
        <v>0</v>
      </c>
      <c r="AM940" s="78">
        <v>45056.610150462962</v>
      </c>
      <c r="AN940" s="76" t="s">
        <v>14432</v>
      </c>
      <c r="AO940" s="76" t="s">
        <v>25551</v>
      </c>
      <c r="AP940" s="82" t="str">
        <f>HYPERLINK("https://t.co/bsI1I4CE0T")</f>
        <v>https://t.co/bsI1I4CE0T</v>
      </c>
      <c r="AQ940" s="82" t="str">
        <f>HYPERLINK("https://www.youtube.com/@Creatorboss7")</f>
        <v>https://www.youtube.com/@Creatorboss7</v>
      </c>
      <c r="AR940" s="76" t="s">
        <v>26870</v>
      </c>
      <c r="AS940" s="76"/>
      <c r="AT940" s="76"/>
      <c r="AU940" s="76"/>
      <c r="AV940" s="76"/>
      <c r="AW940" s="82" t="str">
        <f>HYPERLINK("https://t.co/bsI1I4CE0T")</f>
        <v>https://t.co/bsI1I4CE0T</v>
      </c>
      <c r="AX940" s="76" t="b">
        <v>0</v>
      </c>
      <c r="AY940" s="76"/>
      <c r="AZ940" s="76"/>
      <c r="BA940" s="76" t="b">
        <v>1</v>
      </c>
      <c r="BB940" s="76" t="b">
        <v>1</v>
      </c>
      <c r="BC940" s="76" t="b">
        <v>1</v>
      </c>
      <c r="BD940" s="76" t="b">
        <v>0</v>
      </c>
      <c r="BE940" s="76" t="b">
        <v>0</v>
      </c>
      <c r="BF940" s="76" t="b">
        <v>0</v>
      </c>
      <c r="BG940" s="76" t="b">
        <v>0</v>
      </c>
      <c r="BH940" s="82" t="str">
        <f>HYPERLINK("https://pbs.twimg.com/profile_banners/1656307557906907137/1683736865")</f>
        <v>https://pbs.twimg.com/profile_banners/1656307557906907137/1683736865</v>
      </c>
      <c r="BI940" s="76"/>
      <c r="BJ940" s="76" t="s">
        <v>27595</v>
      </c>
      <c r="BK940" s="76" t="b">
        <v>0</v>
      </c>
      <c r="BL940" s="76"/>
      <c r="BM940" s="76" t="s">
        <v>66</v>
      </c>
      <c r="BN940" s="76" t="s">
        <v>27597</v>
      </c>
      <c r="BO940" s="82" t="str">
        <f>HYPERLINK("https://twitter.com/hiltonboss90841")</f>
        <v>https://twitter.com/hiltonboss90841</v>
      </c>
      <c r="BP940" s="2"/>
    </row>
    <row r="941" spans="1:68" x14ac:dyDescent="0.25">
      <c r="A941" s="62" t="s">
        <v>1906</v>
      </c>
      <c r="B941" s="63"/>
      <c r="C941" s="63"/>
      <c r="D941" s="64"/>
      <c r="E941" s="66"/>
      <c r="F941" s="103" t="str">
        <f>HYPERLINK("https://pbs.twimg.com/profile_images/1533759960164843520/KOhPknaV_normal.jpg")</f>
        <v>https://pbs.twimg.com/profile_images/1533759960164843520/KOhPknaV_normal.jpg</v>
      </c>
      <c r="G941" s="63"/>
      <c r="H941" s="67"/>
      <c r="I941" s="68"/>
      <c r="J941" s="68"/>
      <c r="K941" s="67" t="s">
        <v>28535</v>
      </c>
      <c r="L941" s="71"/>
      <c r="M941" s="72"/>
      <c r="N941" s="72"/>
      <c r="O941" s="73"/>
      <c r="P941" s="74"/>
      <c r="Q941" s="74"/>
      <c r="R941" s="87"/>
      <c r="S941" s="87"/>
      <c r="T941" s="87"/>
      <c r="U941" s="87"/>
      <c r="V941" s="48"/>
      <c r="W941" s="48"/>
      <c r="X941" s="48"/>
      <c r="Y941" s="48"/>
      <c r="Z941" s="47"/>
      <c r="AA941" s="69">
        <v>941</v>
      </c>
      <c r="AB941" s="69"/>
      <c r="AC941" s="70"/>
      <c r="AD941" s="76" t="s">
        <v>22168</v>
      </c>
      <c r="AE941" s="81" t="s">
        <v>23574</v>
      </c>
      <c r="AF941" s="76">
        <v>23590</v>
      </c>
      <c r="AG941" s="76">
        <v>1074</v>
      </c>
      <c r="AH941" s="76">
        <v>85352</v>
      </c>
      <c r="AI941" s="76">
        <v>459</v>
      </c>
      <c r="AJ941" s="76">
        <v>1667</v>
      </c>
      <c r="AK941" s="76">
        <v>1309</v>
      </c>
      <c r="AL941" s="76" t="b">
        <v>0</v>
      </c>
      <c r="AM941" s="78">
        <v>39932.937604166669</v>
      </c>
      <c r="AN941" s="76" t="s">
        <v>24415</v>
      </c>
      <c r="AO941" s="76" t="s">
        <v>25552</v>
      </c>
      <c r="AP941" s="82" t="str">
        <f>HYPERLINK("https://t.co/igwGO4uQsp")</f>
        <v>https://t.co/igwGO4uQsp</v>
      </c>
      <c r="AQ941" s="82" t="str">
        <f>HYPERLINK("http://hil.tn/s6V6a4")</f>
        <v>http://hil.tn/s6V6a4</v>
      </c>
      <c r="AR941" s="76" t="s">
        <v>26871</v>
      </c>
      <c r="AS941" s="76"/>
      <c r="AT941" s="76"/>
      <c r="AU941" s="76"/>
      <c r="AV941" s="76"/>
      <c r="AW941" s="82" t="str">
        <f>HYPERLINK("https://t.co/igwGO4uQsp")</f>
        <v>https://t.co/igwGO4uQsp</v>
      </c>
      <c r="AX941" s="76" t="b">
        <v>0</v>
      </c>
      <c r="AY941" s="76"/>
      <c r="AZ941" s="76"/>
      <c r="BA941" s="76" t="b">
        <v>1</v>
      </c>
      <c r="BB941" s="76" t="b">
        <v>1</v>
      </c>
      <c r="BC941" s="76" t="b">
        <v>0</v>
      </c>
      <c r="BD941" s="76" t="b">
        <v>0</v>
      </c>
      <c r="BE941" s="76" t="b">
        <v>1</v>
      </c>
      <c r="BF941" s="76" t="b">
        <v>0</v>
      </c>
      <c r="BG941" s="76" t="b">
        <v>0</v>
      </c>
      <c r="BH941" s="82" t="str">
        <f>HYPERLINK("https://pbs.twimg.com/profile_banners/36504210/1654511866")</f>
        <v>https://pbs.twimg.com/profile_banners/36504210/1654511866</v>
      </c>
      <c r="BI941" s="76"/>
      <c r="BJ941" s="76" t="s">
        <v>27595</v>
      </c>
      <c r="BK941" s="76" t="b">
        <v>0</v>
      </c>
      <c r="BL941" s="76"/>
      <c r="BM941" s="76" t="s">
        <v>65</v>
      </c>
      <c r="BN941" s="76" t="s">
        <v>27597</v>
      </c>
      <c r="BO941" s="82" t="str">
        <f>HYPERLINK("https://twitter.com/hilton")</f>
        <v>https://twitter.com/hilton</v>
      </c>
      <c r="BP941" s="2"/>
    </row>
    <row r="942" spans="1:68" x14ac:dyDescent="0.25">
      <c r="A942" s="62" t="s">
        <v>902</v>
      </c>
      <c r="B942" s="63"/>
      <c r="C942" s="63"/>
      <c r="D942" s="64"/>
      <c r="E942" s="66"/>
      <c r="F942" s="103" t="str">
        <f>HYPERLINK("https://pbs.twimg.com/profile_images/1597726002054045701/ogRmqYRb_normal.png")</f>
        <v>https://pbs.twimg.com/profile_images/1597726002054045701/ogRmqYRb_normal.png</v>
      </c>
      <c r="G942" s="63"/>
      <c r="H942" s="67"/>
      <c r="I942" s="68"/>
      <c r="J942" s="68"/>
      <c r="K942" s="67" t="s">
        <v>28536</v>
      </c>
      <c r="L942" s="71"/>
      <c r="M942" s="72"/>
      <c r="N942" s="72"/>
      <c r="O942" s="73"/>
      <c r="P942" s="74"/>
      <c r="Q942" s="74"/>
      <c r="R942" s="87"/>
      <c r="S942" s="87"/>
      <c r="T942" s="87"/>
      <c r="U942" s="87"/>
      <c r="V942" s="48"/>
      <c r="W942" s="48"/>
      <c r="X942" s="48"/>
      <c r="Y942" s="48"/>
      <c r="Z942" s="47"/>
      <c r="AA942" s="69">
        <v>942</v>
      </c>
      <c r="AB942" s="69"/>
      <c r="AC942" s="70"/>
      <c r="AD942" s="76" t="s">
        <v>22169</v>
      </c>
      <c r="AE942" s="81" t="s">
        <v>20820</v>
      </c>
      <c r="AF942" s="76">
        <v>18</v>
      </c>
      <c r="AG942" s="76">
        <v>118</v>
      </c>
      <c r="AH942" s="76">
        <v>901</v>
      </c>
      <c r="AI942" s="76">
        <v>0</v>
      </c>
      <c r="AJ942" s="76">
        <v>5428</v>
      </c>
      <c r="AK942" s="76">
        <v>95</v>
      </c>
      <c r="AL942" s="76" t="b">
        <v>0</v>
      </c>
      <c r="AM942" s="78">
        <v>44894.955289351848</v>
      </c>
      <c r="AN942" s="76"/>
      <c r="AO942" s="76"/>
      <c r="AP942" s="76"/>
      <c r="AQ942" s="76"/>
      <c r="AR942" s="76"/>
      <c r="AS942" s="76"/>
      <c r="AT942" s="76"/>
      <c r="AU942" s="76"/>
      <c r="AV942" s="76"/>
      <c r="AW942" s="76"/>
      <c r="AX942" s="76" t="b">
        <v>0</v>
      </c>
      <c r="AY942" s="76"/>
      <c r="AZ942" s="76"/>
      <c r="BA942" s="76" t="b">
        <v>0</v>
      </c>
      <c r="BB942" s="76" t="b">
        <v>1</v>
      </c>
      <c r="BC942" s="76" t="b">
        <v>1</v>
      </c>
      <c r="BD942" s="76" t="b">
        <v>0</v>
      </c>
      <c r="BE942" s="76" t="b">
        <v>0</v>
      </c>
      <c r="BF942" s="76" t="b">
        <v>0</v>
      </c>
      <c r="BG942" s="76" t="b">
        <v>0</v>
      </c>
      <c r="BH942" s="76"/>
      <c r="BI942" s="76"/>
      <c r="BJ942" s="76" t="s">
        <v>27595</v>
      </c>
      <c r="BK942" s="76" t="b">
        <v>0</v>
      </c>
      <c r="BL942" s="76"/>
      <c r="BM942" s="76" t="s">
        <v>66</v>
      </c>
      <c r="BN942" s="76" t="s">
        <v>27597</v>
      </c>
      <c r="BO942" s="82" t="str">
        <f>HYPERLINK("https://twitter.com/davijeanmonod")</f>
        <v>https://twitter.com/davijeanmonod</v>
      </c>
      <c r="BP942" s="2"/>
    </row>
    <row r="943" spans="1:68" x14ac:dyDescent="0.25">
      <c r="A943" s="62" t="s">
        <v>903</v>
      </c>
      <c r="B943" s="63"/>
      <c r="C943" s="63"/>
      <c r="D943" s="64"/>
      <c r="E943" s="66"/>
      <c r="F943" s="103" t="str">
        <f>HYPERLINK("https://pbs.twimg.com/profile_images/1691240381550075905/Pw1IqC8y_normal.jpg")</f>
        <v>https://pbs.twimg.com/profile_images/1691240381550075905/Pw1IqC8y_normal.jpg</v>
      </c>
      <c r="G943" s="63"/>
      <c r="H943" s="67"/>
      <c r="I943" s="68"/>
      <c r="J943" s="68"/>
      <c r="K943" s="67" t="s">
        <v>28537</v>
      </c>
      <c r="L943" s="71"/>
      <c r="M943" s="72"/>
      <c r="N943" s="72"/>
      <c r="O943" s="73"/>
      <c r="P943" s="74"/>
      <c r="Q943" s="74"/>
      <c r="R943" s="87"/>
      <c r="S943" s="87"/>
      <c r="T943" s="87"/>
      <c r="U943" s="87"/>
      <c r="V943" s="48"/>
      <c r="W943" s="48"/>
      <c r="X943" s="48"/>
      <c r="Y943" s="48"/>
      <c r="Z943" s="47"/>
      <c r="AA943" s="69">
        <v>943</v>
      </c>
      <c r="AB943" s="69"/>
      <c r="AC943" s="70"/>
      <c r="AD943" s="76" t="s">
        <v>22170</v>
      </c>
      <c r="AE943" s="81" t="s">
        <v>20821</v>
      </c>
      <c r="AF943" s="76">
        <v>22</v>
      </c>
      <c r="AG943" s="76">
        <v>121</v>
      </c>
      <c r="AH943" s="76">
        <v>435</v>
      </c>
      <c r="AI943" s="76">
        <v>0</v>
      </c>
      <c r="AJ943" s="76">
        <v>51</v>
      </c>
      <c r="AK943" s="76">
        <v>1</v>
      </c>
      <c r="AL943" s="76" t="b">
        <v>0</v>
      </c>
      <c r="AM943" s="78">
        <v>45152.791412037041</v>
      </c>
      <c r="AN943" s="76"/>
      <c r="AO943" s="76"/>
      <c r="AP943" s="76"/>
      <c r="AQ943" s="76"/>
      <c r="AR943" s="76"/>
      <c r="AS943" s="76"/>
      <c r="AT943" s="76"/>
      <c r="AU943" s="76"/>
      <c r="AV943" s="76"/>
      <c r="AW943" s="76"/>
      <c r="AX943" s="76" t="b">
        <v>0</v>
      </c>
      <c r="AY943" s="76"/>
      <c r="AZ943" s="76"/>
      <c r="BA943" s="76" t="b">
        <v>0</v>
      </c>
      <c r="BB943" s="76" t="b">
        <v>1</v>
      </c>
      <c r="BC943" s="76" t="b">
        <v>1</v>
      </c>
      <c r="BD943" s="76" t="b">
        <v>0</v>
      </c>
      <c r="BE943" s="76" t="b">
        <v>0</v>
      </c>
      <c r="BF943" s="76" t="b">
        <v>0</v>
      </c>
      <c r="BG943" s="76" t="b">
        <v>0</v>
      </c>
      <c r="BH943" s="82" t="str">
        <f>HYPERLINK("https://pbs.twimg.com/profile_banners/1691162621779587072/1692058573")</f>
        <v>https://pbs.twimg.com/profile_banners/1691162621779587072/1692058573</v>
      </c>
      <c r="BI943" s="76"/>
      <c r="BJ943" s="76" t="s">
        <v>27595</v>
      </c>
      <c r="BK943" s="76" t="b">
        <v>0</v>
      </c>
      <c r="BL943" s="76"/>
      <c r="BM943" s="76" t="s">
        <v>66</v>
      </c>
      <c r="BN943" s="76" t="s">
        <v>27597</v>
      </c>
      <c r="BO943" s="82" t="str">
        <f>HYPERLINK("https://twitter.com/duelopregao")</f>
        <v>https://twitter.com/duelopregao</v>
      </c>
      <c r="BP943" s="2"/>
    </row>
    <row r="944" spans="1:68" x14ac:dyDescent="0.25">
      <c r="A944" s="62" t="s">
        <v>1907</v>
      </c>
      <c r="B944" s="63"/>
      <c r="C944" s="63"/>
      <c r="D944" s="64"/>
      <c r="E944" s="66"/>
      <c r="F944" s="103" t="str">
        <f>HYPERLINK("https://pbs.twimg.com/profile_images/1340377952828215296/1hAldX8y_normal.jpg")</f>
        <v>https://pbs.twimg.com/profile_images/1340377952828215296/1hAldX8y_normal.jpg</v>
      </c>
      <c r="G944" s="63"/>
      <c r="H944" s="67"/>
      <c r="I944" s="68"/>
      <c r="J944" s="68"/>
      <c r="K944" s="67" t="s">
        <v>28538</v>
      </c>
      <c r="L944" s="71"/>
      <c r="M944" s="72"/>
      <c r="N944" s="72"/>
      <c r="O944" s="73"/>
      <c r="P944" s="74"/>
      <c r="Q944" s="74"/>
      <c r="R944" s="87"/>
      <c r="S944" s="87"/>
      <c r="T944" s="87"/>
      <c r="U944" s="87"/>
      <c r="V944" s="48"/>
      <c r="W944" s="48"/>
      <c r="X944" s="48"/>
      <c r="Y944" s="48"/>
      <c r="Z944" s="47"/>
      <c r="AA944" s="69">
        <v>944</v>
      </c>
      <c r="AB944" s="69"/>
      <c r="AC944" s="70"/>
      <c r="AD944" s="76" t="s">
        <v>1907</v>
      </c>
      <c r="AE944" s="81" t="s">
        <v>20295</v>
      </c>
      <c r="AF944" s="76">
        <v>236986</v>
      </c>
      <c r="AG944" s="76">
        <v>643</v>
      </c>
      <c r="AH944" s="76">
        <v>101298</v>
      </c>
      <c r="AI944" s="76">
        <v>1688</v>
      </c>
      <c r="AJ944" s="76">
        <v>77467</v>
      </c>
      <c r="AK944" s="76">
        <v>4188</v>
      </c>
      <c r="AL944" s="76" t="b">
        <v>0</v>
      </c>
      <c r="AM944" s="78">
        <v>40892.907141203701</v>
      </c>
      <c r="AN944" s="76" t="s">
        <v>14400</v>
      </c>
      <c r="AO944" s="76" t="s">
        <v>25553</v>
      </c>
      <c r="AP944" s="76"/>
      <c r="AQ944" s="76"/>
      <c r="AR944" s="76"/>
      <c r="AS944" s="76"/>
      <c r="AT944" s="76"/>
      <c r="AU944" s="76"/>
      <c r="AV944" s="76">
        <v>1.6814762092747599E+18</v>
      </c>
      <c r="AW944" s="76"/>
      <c r="AX944" s="76" t="b">
        <v>1</v>
      </c>
      <c r="AY944" s="76"/>
      <c r="AZ944" s="76"/>
      <c r="BA944" s="76" t="b">
        <v>0</v>
      </c>
      <c r="BB944" s="76" t="b">
        <v>0</v>
      </c>
      <c r="BC944" s="76" t="b">
        <v>0</v>
      </c>
      <c r="BD944" s="76" t="b">
        <v>0</v>
      </c>
      <c r="BE944" s="76" t="b">
        <v>1</v>
      </c>
      <c r="BF944" s="76" t="b">
        <v>0</v>
      </c>
      <c r="BG944" s="76" t="b">
        <v>0</v>
      </c>
      <c r="BH944" s="82" t="str">
        <f>HYPERLINK("https://pbs.twimg.com/profile_banners/437824506/1556213164")</f>
        <v>https://pbs.twimg.com/profile_banners/437824506/1556213164</v>
      </c>
      <c r="BI944" s="76"/>
      <c r="BJ944" s="76" t="s">
        <v>27595</v>
      </c>
      <c r="BK944" s="76" t="b">
        <v>0</v>
      </c>
      <c r="BL944" s="76"/>
      <c r="BM944" s="76" t="s">
        <v>65</v>
      </c>
      <c r="BN944" s="76" t="s">
        <v>27597</v>
      </c>
      <c r="BO944" s="82" t="str">
        <f>HYPERLINK("https://twitter.com/cafecomferri")</f>
        <v>https://twitter.com/cafecomferri</v>
      </c>
      <c r="BP944" s="2"/>
    </row>
    <row r="945" spans="1:68" x14ac:dyDescent="0.25">
      <c r="A945" s="62" t="s">
        <v>1908</v>
      </c>
      <c r="B945" s="63"/>
      <c r="C945" s="63"/>
      <c r="D945" s="64"/>
      <c r="E945" s="66"/>
      <c r="F945" s="103" t="str">
        <f>HYPERLINK("https://pbs.twimg.com/profile_images/1656997180308062210/Ie0HXb1L_normal.jpg")</f>
        <v>https://pbs.twimg.com/profile_images/1656997180308062210/Ie0HXb1L_normal.jpg</v>
      </c>
      <c r="G945" s="63"/>
      <c r="H945" s="67"/>
      <c r="I945" s="68"/>
      <c r="J945" s="68"/>
      <c r="K945" s="67" t="s">
        <v>28539</v>
      </c>
      <c r="L945" s="71"/>
      <c r="M945" s="72"/>
      <c r="N945" s="72"/>
      <c r="O945" s="73"/>
      <c r="P945" s="74"/>
      <c r="Q945" s="74"/>
      <c r="R945" s="87"/>
      <c r="S945" s="87"/>
      <c r="T945" s="87"/>
      <c r="U945" s="87"/>
      <c r="V945" s="48"/>
      <c r="W945" s="48"/>
      <c r="X945" s="48"/>
      <c r="Y945" s="48"/>
      <c r="Z945" s="47"/>
      <c r="AA945" s="69">
        <v>945</v>
      </c>
      <c r="AB945" s="69"/>
      <c r="AC945" s="70"/>
      <c r="AD945" s="76" t="s">
        <v>22171</v>
      </c>
      <c r="AE945" s="81" t="s">
        <v>20296</v>
      </c>
      <c r="AF945" s="76">
        <v>1860371</v>
      </c>
      <c r="AG945" s="76">
        <v>1542</v>
      </c>
      <c r="AH945" s="76">
        <v>252871</v>
      </c>
      <c r="AI945" s="76">
        <v>3756</v>
      </c>
      <c r="AJ945" s="76">
        <v>15827</v>
      </c>
      <c r="AK945" s="76">
        <v>36247</v>
      </c>
      <c r="AL945" s="76" t="b">
        <v>0</v>
      </c>
      <c r="AM945" s="78">
        <v>41960.515648148146</v>
      </c>
      <c r="AN945" s="76"/>
      <c r="AO945" s="76" t="s">
        <v>25554</v>
      </c>
      <c r="AP945" s="82" t="str">
        <f>HYPERLINK("https://t.co/rm8XWrnAXn")</f>
        <v>https://t.co/rm8XWrnAXn</v>
      </c>
      <c r="AQ945" s="82" t="str">
        <f>HYPERLINK("https://oantagonista.com.br/")</f>
        <v>https://oantagonista.com.br/</v>
      </c>
      <c r="AR945" s="76" t="s">
        <v>26872</v>
      </c>
      <c r="AS945" s="76"/>
      <c r="AT945" s="76"/>
      <c r="AU945" s="76"/>
      <c r="AV945" s="76"/>
      <c r="AW945" s="82" t="str">
        <f>HYPERLINK("https://t.co/rm8XWrnAXn")</f>
        <v>https://t.co/rm8XWrnAXn</v>
      </c>
      <c r="AX945" s="76" t="b">
        <v>1</v>
      </c>
      <c r="AY945" s="76"/>
      <c r="AZ945" s="76"/>
      <c r="BA945" s="76" t="b">
        <v>0</v>
      </c>
      <c r="BB945" s="76" t="b">
        <v>1</v>
      </c>
      <c r="BC945" s="76" t="b">
        <v>0</v>
      </c>
      <c r="BD945" s="76" t="b">
        <v>0</v>
      </c>
      <c r="BE945" s="76" t="b">
        <v>1</v>
      </c>
      <c r="BF945" s="76" t="b">
        <v>0</v>
      </c>
      <c r="BG945" s="76" t="b">
        <v>0</v>
      </c>
      <c r="BH945" s="82" t="str">
        <f>HYPERLINK("https://pbs.twimg.com/profile_banners/2880932962/1695385721")</f>
        <v>https://pbs.twimg.com/profile_banners/2880932962/1695385721</v>
      </c>
      <c r="BI945" s="76"/>
      <c r="BJ945" s="76" t="s">
        <v>27595</v>
      </c>
      <c r="BK945" s="76" t="b">
        <v>0</v>
      </c>
      <c r="BL945" s="76"/>
      <c r="BM945" s="76" t="s">
        <v>65</v>
      </c>
      <c r="BN945" s="76" t="s">
        <v>27597</v>
      </c>
      <c r="BO945" s="82" t="str">
        <f>HYPERLINK("https://twitter.com/o_antagonista")</f>
        <v>https://twitter.com/o_antagonista</v>
      </c>
      <c r="BP945" s="2"/>
    </row>
    <row r="946" spans="1:68" x14ac:dyDescent="0.25">
      <c r="A946" s="62" t="s">
        <v>904</v>
      </c>
      <c r="B946" s="63"/>
      <c r="C946" s="63"/>
      <c r="D946" s="64"/>
      <c r="E946" s="66"/>
      <c r="F946" s="103" t="str">
        <f>HYPERLINK("https://pbs.twimg.com/profile_images/1616438151970525184/kEiiIumS_normal.jpg")</f>
        <v>https://pbs.twimg.com/profile_images/1616438151970525184/kEiiIumS_normal.jpg</v>
      </c>
      <c r="G946" s="63"/>
      <c r="H946" s="67"/>
      <c r="I946" s="68"/>
      <c r="J946" s="68"/>
      <c r="K946" s="67" t="s">
        <v>28540</v>
      </c>
      <c r="L946" s="71"/>
      <c r="M946" s="72"/>
      <c r="N946" s="72"/>
      <c r="O946" s="73"/>
      <c r="P946" s="74"/>
      <c r="Q946" s="74"/>
      <c r="R946" s="87"/>
      <c r="S946" s="87"/>
      <c r="T946" s="87"/>
      <c r="U946" s="87"/>
      <c r="V946" s="48"/>
      <c r="W946" s="48"/>
      <c r="X946" s="48"/>
      <c r="Y946" s="48"/>
      <c r="Z946" s="47"/>
      <c r="AA946" s="69">
        <v>946</v>
      </c>
      <c r="AB946" s="69"/>
      <c r="AC946" s="70"/>
      <c r="AD946" s="76" t="s">
        <v>22172</v>
      </c>
      <c r="AE946" s="81" t="s">
        <v>20822</v>
      </c>
      <c r="AF946" s="76">
        <v>179</v>
      </c>
      <c r="AG946" s="76">
        <v>291</v>
      </c>
      <c r="AH946" s="76">
        <v>9640</v>
      </c>
      <c r="AI946" s="76">
        <v>2</v>
      </c>
      <c r="AJ946" s="76">
        <v>186</v>
      </c>
      <c r="AK946" s="76">
        <v>3830</v>
      </c>
      <c r="AL946" s="76" t="b">
        <v>0</v>
      </c>
      <c r="AM946" s="78">
        <v>44285.641122685185</v>
      </c>
      <c r="AN946" s="76" t="s">
        <v>24416</v>
      </c>
      <c r="AO946" s="76" t="s">
        <v>25555</v>
      </c>
      <c r="AP946" s="82" t="str">
        <f>HYPERLINK("https://t.co/WV0RCCoF39")</f>
        <v>https://t.co/WV0RCCoF39</v>
      </c>
      <c r="AQ946" s="82" t="str">
        <f>HYPERLINK("http://oconvergente.com.br")</f>
        <v>http://oconvergente.com.br</v>
      </c>
      <c r="AR946" s="76" t="s">
        <v>26873</v>
      </c>
      <c r="AS946" s="76"/>
      <c r="AT946" s="76"/>
      <c r="AU946" s="76"/>
      <c r="AV946" s="76">
        <v>1.37891219131585E+18</v>
      </c>
      <c r="AW946" s="82" t="str">
        <f>HYPERLINK("https://t.co/WV0RCCoF39")</f>
        <v>https://t.co/WV0RCCoF39</v>
      </c>
      <c r="AX946" s="76" t="b">
        <v>0</v>
      </c>
      <c r="AY946" s="76"/>
      <c r="AZ946" s="76"/>
      <c r="BA946" s="76" t="b">
        <v>1</v>
      </c>
      <c r="BB946" s="76" t="b">
        <v>1</v>
      </c>
      <c r="BC946" s="76" t="b">
        <v>1</v>
      </c>
      <c r="BD946" s="76" t="b">
        <v>0</v>
      </c>
      <c r="BE946" s="76" t="b">
        <v>1</v>
      </c>
      <c r="BF946" s="76" t="b">
        <v>0</v>
      </c>
      <c r="BG946" s="76" t="b">
        <v>0</v>
      </c>
      <c r="BH946" s="82" t="str">
        <f>HYPERLINK("https://pbs.twimg.com/profile_banners/1376917910363463681/1617134869")</f>
        <v>https://pbs.twimg.com/profile_banners/1376917910363463681/1617134869</v>
      </c>
      <c r="BI946" s="76"/>
      <c r="BJ946" s="76" t="s">
        <v>27595</v>
      </c>
      <c r="BK946" s="76" t="b">
        <v>0</v>
      </c>
      <c r="BL946" s="76"/>
      <c r="BM946" s="76" t="s">
        <v>66</v>
      </c>
      <c r="BN946" s="76" t="s">
        <v>27597</v>
      </c>
      <c r="BO946" s="82" t="str">
        <f>HYPERLINK("https://twitter.com/oconvergente_")</f>
        <v>https://twitter.com/oconvergente_</v>
      </c>
      <c r="BP946" s="2"/>
    </row>
    <row r="947" spans="1:68" x14ac:dyDescent="0.25">
      <c r="A947" s="62" t="s">
        <v>905</v>
      </c>
      <c r="B947" s="63"/>
      <c r="C947" s="63"/>
      <c r="D947" s="64"/>
      <c r="E947" s="66"/>
      <c r="F947" s="103" t="str">
        <f>HYPERLINK("https://pbs.twimg.com/profile_images/1551318165308821504/fW0At9te_normal.jpg")</f>
        <v>https://pbs.twimg.com/profile_images/1551318165308821504/fW0At9te_normal.jpg</v>
      </c>
      <c r="G947" s="63"/>
      <c r="H947" s="67"/>
      <c r="I947" s="68"/>
      <c r="J947" s="68"/>
      <c r="K947" s="67" t="s">
        <v>28541</v>
      </c>
      <c r="L947" s="71"/>
      <c r="M947" s="72"/>
      <c r="N947" s="72"/>
      <c r="O947" s="73"/>
      <c r="P947" s="74"/>
      <c r="Q947" s="74"/>
      <c r="R947" s="87"/>
      <c r="S947" s="87"/>
      <c r="T947" s="87"/>
      <c r="U947" s="87"/>
      <c r="V947" s="48"/>
      <c r="W947" s="48"/>
      <c r="X947" s="48"/>
      <c r="Y947" s="48"/>
      <c r="Z947" s="47"/>
      <c r="AA947" s="69">
        <v>947</v>
      </c>
      <c r="AB947" s="69"/>
      <c r="AC947" s="70"/>
      <c r="AD947" s="76" t="s">
        <v>22173</v>
      </c>
      <c r="AE947" s="81" t="s">
        <v>20297</v>
      </c>
      <c r="AF947" s="76">
        <v>0</v>
      </c>
      <c r="AG947" s="76">
        <v>96</v>
      </c>
      <c r="AH947" s="76">
        <v>168</v>
      </c>
      <c r="AI947" s="76">
        <v>0</v>
      </c>
      <c r="AJ947" s="76">
        <v>32</v>
      </c>
      <c r="AK947" s="76">
        <v>8</v>
      </c>
      <c r="AL947" s="76" t="b">
        <v>0</v>
      </c>
      <c r="AM947" s="78">
        <v>44766.893553240741</v>
      </c>
      <c r="AN947" s="76"/>
      <c r="AO947" s="76"/>
      <c r="AP947" s="76"/>
      <c r="AQ947" s="76"/>
      <c r="AR947" s="76"/>
      <c r="AS947" s="76"/>
      <c r="AT947" s="76"/>
      <c r="AU947" s="76"/>
      <c r="AV947" s="76"/>
      <c r="AW947" s="76"/>
      <c r="AX947" s="76" t="b">
        <v>0</v>
      </c>
      <c r="AY947" s="76"/>
      <c r="AZ947" s="76"/>
      <c r="BA947" s="76" t="b">
        <v>0</v>
      </c>
      <c r="BB947" s="76" t="b">
        <v>1</v>
      </c>
      <c r="BC947" s="76" t="b">
        <v>1</v>
      </c>
      <c r="BD947" s="76" t="b">
        <v>0</v>
      </c>
      <c r="BE947" s="76" t="b">
        <v>0</v>
      </c>
      <c r="BF947" s="76" t="b">
        <v>0</v>
      </c>
      <c r="BG947" s="76" t="b">
        <v>0</v>
      </c>
      <c r="BH947" s="76"/>
      <c r="BI947" s="76"/>
      <c r="BJ947" s="76" t="s">
        <v>27595</v>
      </c>
      <c r="BK947" s="76" t="b">
        <v>0</v>
      </c>
      <c r="BL947" s="76"/>
      <c r="BM947" s="76" t="s">
        <v>66</v>
      </c>
      <c r="BN947" s="76" t="s">
        <v>27597</v>
      </c>
      <c r="BO947" s="82" t="str">
        <f>HYPERLINK("https://twitter.com/jhonata0ficial")</f>
        <v>https://twitter.com/jhonata0ficial</v>
      </c>
      <c r="BP947" s="2"/>
    </row>
    <row r="948" spans="1:68" x14ac:dyDescent="0.25">
      <c r="A948" s="62" t="s">
        <v>906</v>
      </c>
      <c r="B948" s="63"/>
      <c r="C948" s="63"/>
      <c r="D948" s="64"/>
      <c r="E948" s="66"/>
      <c r="F948" s="103" t="str">
        <f>HYPERLINK("https://abs.twimg.com/sticky/default_profile_images/default_profile_normal.png")</f>
        <v>https://abs.twimg.com/sticky/default_profile_images/default_profile_normal.png</v>
      </c>
      <c r="G948" s="63"/>
      <c r="H948" s="67"/>
      <c r="I948" s="68"/>
      <c r="J948" s="68"/>
      <c r="K948" s="67" t="s">
        <v>28542</v>
      </c>
      <c r="L948" s="71"/>
      <c r="M948" s="72"/>
      <c r="N948" s="72"/>
      <c r="O948" s="73"/>
      <c r="P948" s="74"/>
      <c r="Q948" s="74"/>
      <c r="R948" s="87"/>
      <c r="S948" s="87"/>
      <c r="T948" s="87"/>
      <c r="U948" s="87"/>
      <c r="V948" s="48"/>
      <c r="W948" s="48"/>
      <c r="X948" s="48"/>
      <c r="Y948" s="48"/>
      <c r="Z948" s="47"/>
      <c r="AA948" s="69">
        <v>948</v>
      </c>
      <c r="AB948" s="69"/>
      <c r="AC948" s="70"/>
      <c r="AD948" s="76" t="s">
        <v>22174</v>
      </c>
      <c r="AE948" s="81" t="s">
        <v>20823</v>
      </c>
      <c r="AF948" s="76">
        <v>1</v>
      </c>
      <c r="AG948" s="76">
        <v>8</v>
      </c>
      <c r="AH948" s="76">
        <v>261</v>
      </c>
      <c r="AI948" s="76">
        <v>0</v>
      </c>
      <c r="AJ948" s="76">
        <v>837</v>
      </c>
      <c r="AK948" s="76">
        <v>0</v>
      </c>
      <c r="AL948" s="76" t="b">
        <v>0</v>
      </c>
      <c r="AM948" s="78">
        <v>44426.52952546296</v>
      </c>
      <c r="AN948" s="76"/>
      <c r="AO948" s="76"/>
      <c r="AP948" s="76"/>
      <c r="AQ948" s="76"/>
      <c r="AR948" s="76"/>
      <c r="AS948" s="76"/>
      <c r="AT948" s="76"/>
      <c r="AU948" s="76"/>
      <c r="AV948" s="76"/>
      <c r="AW948" s="76"/>
      <c r="AX948" s="76" t="b">
        <v>0</v>
      </c>
      <c r="AY948" s="76"/>
      <c r="AZ948" s="76"/>
      <c r="BA948" s="76" t="b">
        <v>0</v>
      </c>
      <c r="BB948" s="76" t="b">
        <v>1</v>
      </c>
      <c r="BC948" s="76" t="b">
        <v>1</v>
      </c>
      <c r="BD948" s="76" t="b">
        <v>1</v>
      </c>
      <c r="BE948" s="76" t="b">
        <v>0</v>
      </c>
      <c r="BF948" s="76" t="b">
        <v>0</v>
      </c>
      <c r="BG948" s="76" t="b">
        <v>0</v>
      </c>
      <c r="BH948" s="76"/>
      <c r="BI948" s="76"/>
      <c r="BJ948" s="76" t="s">
        <v>27595</v>
      </c>
      <c r="BK948" s="76" t="b">
        <v>0</v>
      </c>
      <c r="BL948" s="76"/>
      <c r="BM948" s="76" t="s">
        <v>66</v>
      </c>
      <c r="BN948" s="76" t="s">
        <v>27597</v>
      </c>
      <c r="BO948" s="82" t="str">
        <f>HYPERLINK("https://twitter.com/felixvaloes")</f>
        <v>https://twitter.com/felixvaloes</v>
      </c>
      <c r="BP948" s="2"/>
    </row>
    <row r="949" spans="1:68" x14ac:dyDescent="0.25">
      <c r="A949" s="62" t="s">
        <v>907</v>
      </c>
      <c r="B949" s="63"/>
      <c r="C949" s="63"/>
      <c r="D949" s="64"/>
      <c r="E949" s="66"/>
      <c r="F949" s="103" t="str">
        <f>HYPERLINK("https://pbs.twimg.com/profile_images/1528581743200161793/DxxTkzGr_normal.jpg")</f>
        <v>https://pbs.twimg.com/profile_images/1528581743200161793/DxxTkzGr_normal.jpg</v>
      </c>
      <c r="G949" s="63"/>
      <c r="H949" s="67"/>
      <c r="I949" s="68"/>
      <c r="J949" s="68"/>
      <c r="K949" s="67" t="s">
        <v>28543</v>
      </c>
      <c r="L949" s="71"/>
      <c r="M949" s="72"/>
      <c r="N949" s="72"/>
      <c r="O949" s="73"/>
      <c r="P949" s="74"/>
      <c r="Q949" s="74"/>
      <c r="R949" s="87"/>
      <c r="S949" s="87"/>
      <c r="T949" s="87"/>
      <c r="U949" s="87"/>
      <c r="V949" s="48"/>
      <c r="W949" s="48"/>
      <c r="X949" s="48"/>
      <c r="Y949" s="48"/>
      <c r="Z949" s="47"/>
      <c r="AA949" s="69">
        <v>949</v>
      </c>
      <c r="AB949" s="69"/>
      <c r="AC949" s="70"/>
      <c r="AD949" s="76" t="s">
        <v>907</v>
      </c>
      <c r="AE949" s="81" t="s">
        <v>20824</v>
      </c>
      <c r="AF949" s="76">
        <v>69</v>
      </c>
      <c r="AG949" s="76">
        <v>122</v>
      </c>
      <c r="AH949" s="76">
        <v>648</v>
      </c>
      <c r="AI949" s="76">
        <v>0</v>
      </c>
      <c r="AJ949" s="76">
        <v>1234</v>
      </c>
      <c r="AK949" s="76">
        <v>2</v>
      </c>
      <c r="AL949" s="76" t="b">
        <v>0</v>
      </c>
      <c r="AM949" s="78">
        <v>44704.152638888889</v>
      </c>
      <c r="AN949" s="76" t="s">
        <v>24417</v>
      </c>
      <c r="AO949" s="76" t="s">
        <v>25556</v>
      </c>
      <c r="AP949" s="76"/>
      <c r="AQ949" s="76"/>
      <c r="AR949" s="76"/>
      <c r="AS949" s="76"/>
      <c r="AT949" s="76"/>
      <c r="AU949" s="76"/>
      <c r="AV949" s="76">
        <v>1.58222190491554E+18</v>
      </c>
      <c r="AW949" s="76"/>
      <c r="AX949" s="76" t="b">
        <v>0</v>
      </c>
      <c r="AY949" s="76"/>
      <c r="AZ949" s="76"/>
      <c r="BA949" s="76" t="b">
        <v>0</v>
      </c>
      <c r="BB949" s="76" t="b">
        <v>1</v>
      </c>
      <c r="BC949" s="76" t="b">
        <v>1</v>
      </c>
      <c r="BD949" s="76" t="b">
        <v>0</v>
      </c>
      <c r="BE949" s="76" t="b">
        <v>0</v>
      </c>
      <c r="BF949" s="76" t="b">
        <v>0</v>
      </c>
      <c r="BG949" s="76" t="b">
        <v>0</v>
      </c>
      <c r="BH949" s="82" t="str">
        <f>HYPERLINK("https://pbs.twimg.com/profile_banners/1528581313594286081/1665873829")</f>
        <v>https://pbs.twimg.com/profile_banners/1528581313594286081/1665873829</v>
      </c>
      <c r="BI949" s="76"/>
      <c r="BJ949" s="76" t="s">
        <v>27595</v>
      </c>
      <c r="BK949" s="76" t="b">
        <v>0</v>
      </c>
      <c r="BL949" s="76"/>
      <c r="BM949" s="76" t="s">
        <v>66</v>
      </c>
      <c r="BN949" s="76" t="s">
        <v>27597</v>
      </c>
      <c r="BO949" s="82" t="str">
        <f>HYPERLINK("https://twitter.com/faccionlibre")</f>
        <v>https://twitter.com/faccionlibre</v>
      </c>
      <c r="BP949" s="2"/>
    </row>
    <row r="950" spans="1:68" x14ac:dyDescent="0.25">
      <c r="A950" s="62" t="s">
        <v>1006</v>
      </c>
      <c r="B950" s="63"/>
      <c r="C950" s="63"/>
      <c r="D950" s="64"/>
      <c r="E950" s="66"/>
      <c r="F950" s="103" t="str">
        <f>HYPERLINK("https://pbs.twimg.com/profile_images/1372924399205150720/_sX_N7OB_normal.jpg")</f>
        <v>https://pbs.twimg.com/profile_images/1372924399205150720/_sX_N7OB_normal.jpg</v>
      </c>
      <c r="G950" s="63"/>
      <c r="H950" s="67"/>
      <c r="I950" s="68"/>
      <c r="J950" s="68"/>
      <c r="K950" s="67" t="s">
        <v>28544</v>
      </c>
      <c r="L950" s="71"/>
      <c r="M950" s="72"/>
      <c r="N950" s="72"/>
      <c r="O950" s="73"/>
      <c r="P950" s="74"/>
      <c r="Q950" s="74"/>
      <c r="R950" s="87"/>
      <c r="S950" s="87"/>
      <c r="T950" s="87"/>
      <c r="U950" s="87"/>
      <c r="V950" s="48"/>
      <c r="W950" s="48"/>
      <c r="X950" s="48"/>
      <c r="Y950" s="48"/>
      <c r="Z950" s="47"/>
      <c r="AA950" s="69">
        <v>950</v>
      </c>
      <c r="AB950" s="69"/>
      <c r="AC950" s="70"/>
      <c r="AD950" s="76" t="s">
        <v>22175</v>
      </c>
      <c r="AE950" s="81" t="s">
        <v>20877</v>
      </c>
      <c r="AF950" s="76">
        <v>1218</v>
      </c>
      <c r="AG950" s="76">
        <v>933</v>
      </c>
      <c r="AH950" s="76">
        <v>4699</v>
      </c>
      <c r="AI950" s="76">
        <v>1</v>
      </c>
      <c r="AJ950" s="76">
        <v>193</v>
      </c>
      <c r="AK950" s="76">
        <v>2793</v>
      </c>
      <c r="AL950" s="76" t="b">
        <v>0</v>
      </c>
      <c r="AM950" s="78">
        <v>44098.768206018518</v>
      </c>
      <c r="AN950" s="76" t="s">
        <v>24128</v>
      </c>
      <c r="AO950" s="76" t="s">
        <v>25557</v>
      </c>
      <c r="AP950" s="82" t="str">
        <f>HYPERLINK("https://t.co/EFJvwKycFU")</f>
        <v>https://t.co/EFJvwKycFU</v>
      </c>
      <c r="AQ950" s="82" t="str">
        <f>HYPERLINK("http://www.baopina.com")</f>
        <v>http://www.baopina.com</v>
      </c>
      <c r="AR950" s="76" t="s">
        <v>8770</v>
      </c>
      <c r="AS950" s="76"/>
      <c r="AT950" s="76"/>
      <c r="AU950" s="76"/>
      <c r="AV950" s="76">
        <v>1.37116913101006E+18</v>
      </c>
      <c r="AW950" s="82" t="str">
        <f>HYPERLINK("https://t.co/EFJvwKycFU")</f>
        <v>https://t.co/EFJvwKycFU</v>
      </c>
      <c r="AX950" s="76" t="b">
        <v>0</v>
      </c>
      <c r="AY950" s="76"/>
      <c r="AZ950" s="76"/>
      <c r="BA950" s="76" t="b">
        <v>0</v>
      </c>
      <c r="BB950" s="76" t="b">
        <v>1</v>
      </c>
      <c r="BC950" s="76" t="b">
        <v>1</v>
      </c>
      <c r="BD950" s="76" t="b">
        <v>0</v>
      </c>
      <c r="BE950" s="76" t="b">
        <v>1</v>
      </c>
      <c r="BF950" s="76" t="b">
        <v>0</v>
      </c>
      <c r="BG950" s="76" t="b">
        <v>0</v>
      </c>
      <c r="BH950" s="82" t="str">
        <f>HYPERLINK("https://pbs.twimg.com/profile_banners/1309197422111924224/1604325713")</f>
        <v>https://pbs.twimg.com/profile_banners/1309197422111924224/1604325713</v>
      </c>
      <c r="BI950" s="76"/>
      <c r="BJ950" s="76" t="s">
        <v>27595</v>
      </c>
      <c r="BK950" s="76" t="b">
        <v>0</v>
      </c>
      <c r="BL950" s="76"/>
      <c r="BM950" s="76" t="s">
        <v>66</v>
      </c>
      <c r="BN950" s="76" t="s">
        <v>27597</v>
      </c>
      <c r="BO950" s="82" t="str">
        <f>HYPERLINK("https://twitter.com/opinaba")</f>
        <v>https://twitter.com/opinaba</v>
      </c>
      <c r="BP950" s="2"/>
    </row>
    <row r="951" spans="1:68" x14ac:dyDescent="0.25">
      <c r="A951" s="62" t="s">
        <v>908</v>
      </c>
      <c r="B951" s="63"/>
      <c r="C951" s="63"/>
      <c r="D951" s="64"/>
      <c r="E951" s="66"/>
      <c r="F951" s="103" t="str">
        <f>HYPERLINK("https://pbs.twimg.com/profile_images/1363757304584294406/FnXkNBue_normal.jpg")</f>
        <v>https://pbs.twimg.com/profile_images/1363757304584294406/FnXkNBue_normal.jpg</v>
      </c>
      <c r="G951" s="63"/>
      <c r="H951" s="67"/>
      <c r="I951" s="68"/>
      <c r="J951" s="68"/>
      <c r="K951" s="67" t="s">
        <v>28545</v>
      </c>
      <c r="L951" s="71"/>
      <c r="M951" s="72"/>
      <c r="N951" s="72"/>
      <c r="O951" s="73"/>
      <c r="P951" s="74"/>
      <c r="Q951" s="74"/>
      <c r="R951" s="87"/>
      <c r="S951" s="87"/>
      <c r="T951" s="87"/>
      <c r="U951" s="87"/>
      <c r="V951" s="48"/>
      <c r="W951" s="48"/>
      <c r="X951" s="48"/>
      <c r="Y951" s="48"/>
      <c r="Z951" s="47"/>
      <c r="AA951" s="69">
        <v>951</v>
      </c>
      <c r="AB951" s="69"/>
      <c r="AC951" s="70"/>
      <c r="AD951" s="76" t="s">
        <v>22176</v>
      </c>
      <c r="AE951" s="81" t="s">
        <v>20825</v>
      </c>
      <c r="AF951" s="76">
        <v>90</v>
      </c>
      <c r="AG951" s="76">
        <v>495</v>
      </c>
      <c r="AH951" s="76">
        <v>430</v>
      </c>
      <c r="AI951" s="76">
        <v>8</v>
      </c>
      <c r="AJ951" s="76">
        <v>229</v>
      </c>
      <c r="AK951" s="76">
        <v>7</v>
      </c>
      <c r="AL951" s="76" t="b">
        <v>0</v>
      </c>
      <c r="AM951" s="78">
        <v>44249.320555555554</v>
      </c>
      <c r="AN951" s="76"/>
      <c r="AO951" s="76" t="s">
        <v>25558</v>
      </c>
      <c r="AP951" s="76"/>
      <c r="AQ951" s="76"/>
      <c r="AR951" s="76"/>
      <c r="AS951" s="76"/>
      <c r="AT951" s="76"/>
      <c r="AU951" s="76"/>
      <c r="AV951" s="76"/>
      <c r="AW951" s="76"/>
      <c r="AX951" s="76" t="b">
        <v>0</v>
      </c>
      <c r="AY951" s="76"/>
      <c r="AZ951" s="76"/>
      <c r="BA951" s="76" t="b">
        <v>0</v>
      </c>
      <c r="BB951" s="76" t="b">
        <v>0</v>
      </c>
      <c r="BC951" s="76" t="b">
        <v>1</v>
      </c>
      <c r="BD951" s="76" t="b">
        <v>0</v>
      </c>
      <c r="BE951" s="76" t="b">
        <v>0</v>
      </c>
      <c r="BF951" s="76" t="b">
        <v>0</v>
      </c>
      <c r="BG951" s="76" t="b">
        <v>0</v>
      </c>
      <c r="BH951" s="76"/>
      <c r="BI951" s="76"/>
      <c r="BJ951" s="76" t="s">
        <v>27595</v>
      </c>
      <c r="BK951" s="76" t="b">
        <v>0</v>
      </c>
      <c r="BL951" s="76"/>
      <c r="BM951" s="76" t="s">
        <v>66</v>
      </c>
      <c r="BN951" s="76" t="s">
        <v>27597</v>
      </c>
      <c r="BO951" s="82" t="str">
        <f>HYPERLINK("https://twitter.com/criptancia")</f>
        <v>https://twitter.com/criptancia</v>
      </c>
      <c r="BP951" s="2"/>
    </row>
    <row r="952" spans="1:68" x14ac:dyDescent="0.25">
      <c r="A952" s="62" t="s">
        <v>909</v>
      </c>
      <c r="B952" s="63"/>
      <c r="C952" s="63"/>
      <c r="D952" s="64"/>
      <c r="E952" s="66"/>
      <c r="F952" s="103" t="str">
        <f>HYPERLINK("https://pbs.twimg.com/profile_images/1480265348897288203/3pQ1G8KZ_normal.jpg")</f>
        <v>https://pbs.twimg.com/profile_images/1480265348897288203/3pQ1G8KZ_normal.jpg</v>
      </c>
      <c r="G952" s="63"/>
      <c r="H952" s="67"/>
      <c r="I952" s="68"/>
      <c r="J952" s="68"/>
      <c r="K952" s="67" t="s">
        <v>28546</v>
      </c>
      <c r="L952" s="71"/>
      <c r="M952" s="72"/>
      <c r="N952" s="72"/>
      <c r="O952" s="73"/>
      <c r="P952" s="74"/>
      <c r="Q952" s="74"/>
      <c r="R952" s="87"/>
      <c r="S952" s="87"/>
      <c r="T952" s="87"/>
      <c r="U952" s="87"/>
      <c r="V952" s="48"/>
      <c r="W952" s="48"/>
      <c r="X952" s="48"/>
      <c r="Y952" s="48"/>
      <c r="Z952" s="47"/>
      <c r="AA952" s="69">
        <v>952</v>
      </c>
      <c r="AB952" s="69"/>
      <c r="AC952" s="70"/>
      <c r="AD952" s="76" t="s">
        <v>22177</v>
      </c>
      <c r="AE952" s="81" t="s">
        <v>23575</v>
      </c>
      <c r="AF952" s="76">
        <v>33</v>
      </c>
      <c r="AG952" s="76">
        <v>951</v>
      </c>
      <c r="AH952" s="76">
        <v>52</v>
      </c>
      <c r="AI952" s="76">
        <v>0</v>
      </c>
      <c r="AJ952" s="76">
        <v>110</v>
      </c>
      <c r="AK952" s="76">
        <v>3</v>
      </c>
      <c r="AL952" s="76" t="b">
        <v>0</v>
      </c>
      <c r="AM952" s="78">
        <v>41946.946458333332</v>
      </c>
      <c r="AN952" s="76"/>
      <c r="AO952" s="76"/>
      <c r="AP952" s="76"/>
      <c r="AQ952" s="76"/>
      <c r="AR952" s="76"/>
      <c r="AS952" s="76"/>
      <c r="AT952" s="76"/>
      <c r="AU952" s="76"/>
      <c r="AV952" s="76"/>
      <c r="AW952" s="76"/>
      <c r="AX952" s="76" t="b">
        <v>0</v>
      </c>
      <c r="AY952" s="76"/>
      <c r="AZ952" s="76"/>
      <c r="BA952" s="76" t="b">
        <v>0</v>
      </c>
      <c r="BB952" s="76" t="b">
        <v>0</v>
      </c>
      <c r="BC952" s="76" t="b">
        <v>1</v>
      </c>
      <c r="BD952" s="76" t="b">
        <v>0</v>
      </c>
      <c r="BE952" s="76" t="b">
        <v>0</v>
      </c>
      <c r="BF952" s="76" t="b">
        <v>0</v>
      </c>
      <c r="BG952" s="76" t="b">
        <v>0</v>
      </c>
      <c r="BH952" s="76"/>
      <c r="BI952" s="76"/>
      <c r="BJ952" s="76" t="s">
        <v>27595</v>
      </c>
      <c r="BK952" s="76" t="b">
        <v>0</v>
      </c>
      <c r="BL952" s="76"/>
      <c r="BM952" s="76" t="s">
        <v>66</v>
      </c>
      <c r="BN952" s="76" t="s">
        <v>27597</v>
      </c>
      <c r="BO952" s="82" t="str">
        <f>HYPERLINK("https://twitter.com/moamcyr")</f>
        <v>https://twitter.com/moamcyr</v>
      </c>
      <c r="BP952" s="2"/>
    </row>
    <row r="953" spans="1:68" x14ac:dyDescent="0.25">
      <c r="A953" s="62" t="s">
        <v>1909</v>
      </c>
      <c r="B953" s="63"/>
      <c r="C953" s="63"/>
      <c r="D953" s="64"/>
      <c r="E953" s="66"/>
      <c r="F953" s="103" t="str">
        <f>HYPERLINK("https://pbs.twimg.com/profile_images/1327616162298032128/xq3s1z4G_normal.jpg")</f>
        <v>https://pbs.twimg.com/profile_images/1327616162298032128/xq3s1z4G_normal.jpg</v>
      </c>
      <c r="G953" s="63"/>
      <c r="H953" s="67"/>
      <c r="I953" s="68"/>
      <c r="J953" s="68"/>
      <c r="K953" s="67" t="s">
        <v>28547</v>
      </c>
      <c r="L953" s="71"/>
      <c r="M953" s="72"/>
      <c r="N953" s="72"/>
      <c r="O953" s="73"/>
      <c r="P953" s="74"/>
      <c r="Q953" s="74"/>
      <c r="R953" s="87"/>
      <c r="S953" s="87"/>
      <c r="T953" s="87"/>
      <c r="U953" s="87"/>
      <c r="V953" s="48"/>
      <c r="W953" s="48"/>
      <c r="X953" s="48"/>
      <c r="Y953" s="48"/>
      <c r="Z953" s="47"/>
      <c r="AA953" s="69">
        <v>953</v>
      </c>
      <c r="AB953" s="69"/>
      <c r="AC953" s="70"/>
      <c r="AD953" s="76" t="s">
        <v>22178</v>
      </c>
      <c r="AE953" s="81" t="s">
        <v>20298</v>
      </c>
      <c r="AF953" s="76">
        <v>26728</v>
      </c>
      <c r="AG953" s="76">
        <v>12360</v>
      </c>
      <c r="AH953" s="76">
        <v>80031</v>
      </c>
      <c r="AI953" s="76">
        <v>41</v>
      </c>
      <c r="AJ953" s="76">
        <v>207914</v>
      </c>
      <c r="AK953" s="76">
        <v>18236</v>
      </c>
      <c r="AL953" s="76" t="b">
        <v>0</v>
      </c>
      <c r="AM953" s="78">
        <v>43263.928877314815</v>
      </c>
      <c r="AN953" s="76"/>
      <c r="AO953" s="76"/>
      <c r="AP953" s="76"/>
      <c r="AQ953" s="76"/>
      <c r="AR953" s="76"/>
      <c r="AS953" s="76"/>
      <c r="AT953" s="76"/>
      <c r="AU953" s="76"/>
      <c r="AV953" s="76"/>
      <c r="AW953" s="76"/>
      <c r="AX953" s="76" t="b">
        <v>0</v>
      </c>
      <c r="AY953" s="76"/>
      <c r="AZ953" s="76"/>
      <c r="BA953" s="76" t="b">
        <v>0</v>
      </c>
      <c r="BB953" s="76" t="b">
        <v>1</v>
      </c>
      <c r="BC953" s="76" t="b">
        <v>1</v>
      </c>
      <c r="BD953" s="76" t="b">
        <v>0</v>
      </c>
      <c r="BE953" s="76" t="b">
        <v>1</v>
      </c>
      <c r="BF953" s="76" t="b">
        <v>0</v>
      </c>
      <c r="BG953" s="76" t="b">
        <v>0</v>
      </c>
      <c r="BH953" s="82" t="str">
        <f>HYPERLINK("https://pbs.twimg.com/profile_banners/1006661818121670657/1605530711")</f>
        <v>https://pbs.twimg.com/profile_banners/1006661818121670657/1605530711</v>
      </c>
      <c r="BI953" s="76"/>
      <c r="BJ953" s="76" t="s">
        <v>27595</v>
      </c>
      <c r="BK953" s="76" t="b">
        <v>0</v>
      </c>
      <c r="BL953" s="76"/>
      <c r="BM953" s="76" t="s">
        <v>65</v>
      </c>
      <c r="BN953" s="76" t="s">
        <v>27597</v>
      </c>
      <c r="BO953" s="82" t="str">
        <f>HYPERLINK("https://twitter.com/estevamreboucas")</f>
        <v>https://twitter.com/estevamreboucas</v>
      </c>
      <c r="BP953" s="2"/>
    </row>
    <row r="954" spans="1:68" x14ac:dyDescent="0.25">
      <c r="A954" s="62" t="s">
        <v>1910</v>
      </c>
      <c r="B954" s="63"/>
      <c r="C954" s="63"/>
      <c r="D954" s="64"/>
      <c r="E954" s="66"/>
      <c r="F954" s="103" t="str">
        <f>HYPERLINK("https://pbs.twimg.com/profile_images/1649157716558983168/vdL0q1Yf_normal.jpg")</f>
        <v>https://pbs.twimg.com/profile_images/1649157716558983168/vdL0q1Yf_normal.jpg</v>
      </c>
      <c r="G954" s="63"/>
      <c r="H954" s="67"/>
      <c r="I954" s="68"/>
      <c r="J954" s="68"/>
      <c r="K954" s="67" t="s">
        <v>28548</v>
      </c>
      <c r="L954" s="71"/>
      <c r="M954" s="72"/>
      <c r="N954" s="72"/>
      <c r="O954" s="73"/>
      <c r="P954" s="74"/>
      <c r="Q954" s="74"/>
      <c r="R954" s="87"/>
      <c r="S954" s="87"/>
      <c r="T954" s="87"/>
      <c r="U954" s="87"/>
      <c r="V954" s="48"/>
      <c r="W954" s="48"/>
      <c r="X954" s="48"/>
      <c r="Y954" s="48"/>
      <c r="Z954" s="47"/>
      <c r="AA954" s="69">
        <v>954</v>
      </c>
      <c r="AB954" s="69"/>
      <c r="AC954" s="70"/>
      <c r="AD954" s="76" t="s">
        <v>22179</v>
      </c>
      <c r="AE954" s="81" t="s">
        <v>20299</v>
      </c>
      <c r="AF954" s="76">
        <v>4257</v>
      </c>
      <c r="AG954" s="76">
        <v>4117</v>
      </c>
      <c r="AH954" s="76">
        <v>11078</v>
      </c>
      <c r="AI954" s="76">
        <v>0</v>
      </c>
      <c r="AJ954" s="76">
        <v>21028</v>
      </c>
      <c r="AK954" s="76">
        <v>1827</v>
      </c>
      <c r="AL954" s="76" t="b">
        <v>0</v>
      </c>
      <c r="AM954" s="78">
        <v>44923.072939814818</v>
      </c>
      <c r="AN954" s="76" t="s">
        <v>14432</v>
      </c>
      <c r="AO954" s="76" t="s">
        <v>25559</v>
      </c>
      <c r="AP954" s="76"/>
      <c r="AQ954" s="76"/>
      <c r="AR954" s="76"/>
      <c r="AS954" s="76"/>
      <c r="AT954" s="76"/>
      <c r="AU954" s="76"/>
      <c r="AV954" s="76">
        <v>1.63230022571601E+18</v>
      </c>
      <c r="AW954" s="76"/>
      <c r="AX954" s="76" t="b">
        <v>0</v>
      </c>
      <c r="AY954" s="76"/>
      <c r="AZ954" s="76"/>
      <c r="BA954" s="76" t="b">
        <v>0</v>
      </c>
      <c r="BB954" s="76" t="b">
        <v>1</v>
      </c>
      <c r="BC954" s="76" t="b">
        <v>1</v>
      </c>
      <c r="BD954" s="76" t="b">
        <v>0</v>
      </c>
      <c r="BE954" s="76" t="b">
        <v>0</v>
      </c>
      <c r="BF954" s="76" t="b">
        <v>0</v>
      </c>
      <c r="BG954" s="76" t="b">
        <v>0</v>
      </c>
      <c r="BH954" s="82" t="str">
        <f>HYPERLINK("https://pbs.twimg.com/profile_banners/1607915250933710848/1678981574")</f>
        <v>https://pbs.twimg.com/profile_banners/1607915250933710848/1678981574</v>
      </c>
      <c r="BI954" s="76"/>
      <c r="BJ954" s="76" t="s">
        <v>27595</v>
      </c>
      <c r="BK954" s="76" t="b">
        <v>0</v>
      </c>
      <c r="BL954" s="76"/>
      <c r="BM954" s="76" t="s">
        <v>65</v>
      </c>
      <c r="BN954" s="76" t="s">
        <v>27597</v>
      </c>
      <c r="BO954" s="82" t="str">
        <f>HYPERLINK("https://twitter.com/annatav23")</f>
        <v>https://twitter.com/annatav23</v>
      </c>
      <c r="BP954" s="2"/>
    </row>
    <row r="955" spans="1:68" x14ac:dyDescent="0.25">
      <c r="A955" s="62" t="s">
        <v>1911</v>
      </c>
      <c r="B955" s="63"/>
      <c r="C955" s="63"/>
      <c r="D955" s="64"/>
      <c r="E955" s="66"/>
      <c r="F955" s="103" t="str">
        <f>HYPERLINK("https://pbs.twimg.com/profile_images/1309189924864831495/_qMDrDPG_normal.jpg")</f>
        <v>https://pbs.twimg.com/profile_images/1309189924864831495/_qMDrDPG_normal.jpg</v>
      </c>
      <c r="G955" s="63"/>
      <c r="H955" s="67"/>
      <c r="I955" s="68"/>
      <c r="J955" s="68"/>
      <c r="K955" s="67" t="s">
        <v>28549</v>
      </c>
      <c r="L955" s="71"/>
      <c r="M955" s="72"/>
      <c r="N955" s="72"/>
      <c r="O955" s="73"/>
      <c r="P955" s="74"/>
      <c r="Q955" s="74"/>
      <c r="R955" s="87"/>
      <c r="S955" s="87"/>
      <c r="T955" s="87"/>
      <c r="U955" s="87"/>
      <c r="V955" s="48"/>
      <c r="W955" s="48"/>
      <c r="X955" s="48"/>
      <c r="Y955" s="48"/>
      <c r="Z955" s="47"/>
      <c r="AA955" s="69">
        <v>955</v>
      </c>
      <c r="AB955" s="69"/>
      <c r="AC955" s="70"/>
      <c r="AD955" s="76" t="s">
        <v>22180</v>
      </c>
      <c r="AE955" s="81" t="s">
        <v>20300</v>
      </c>
      <c r="AF955" s="76">
        <v>34598</v>
      </c>
      <c r="AG955" s="76">
        <v>23398</v>
      </c>
      <c r="AH955" s="76">
        <v>23458</v>
      </c>
      <c r="AI955" s="76">
        <v>10</v>
      </c>
      <c r="AJ955" s="76">
        <v>206318</v>
      </c>
      <c r="AK955" s="76">
        <v>7671</v>
      </c>
      <c r="AL955" s="76" t="b">
        <v>0</v>
      </c>
      <c r="AM955" s="78">
        <v>43402.938993055555</v>
      </c>
      <c r="AN955" s="76" t="s">
        <v>24418</v>
      </c>
      <c r="AO955" s="76" t="s">
        <v>25560</v>
      </c>
      <c r="AP955" s="76"/>
      <c r="AQ955" s="76"/>
      <c r="AR955" s="76"/>
      <c r="AS955" s="76"/>
      <c r="AT955" s="76"/>
      <c r="AU955" s="76"/>
      <c r="AV955" s="76"/>
      <c r="AW955" s="76"/>
      <c r="AX955" s="76" t="b">
        <v>0</v>
      </c>
      <c r="AY955" s="76"/>
      <c r="AZ955" s="76"/>
      <c r="BA955" s="76" t="b">
        <v>0</v>
      </c>
      <c r="BB955" s="76" t="b">
        <v>1</v>
      </c>
      <c r="BC955" s="76" t="b">
        <v>1</v>
      </c>
      <c r="BD955" s="76" t="b">
        <v>0</v>
      </c>
      <c r="BE955" s="76" t="b">
        <v>1</v>
      </c>
      <c r="BF955" s="76" t="b">
        <v>0</v>
      </c>
      <c r="BG955" s="76" t="b">
        <v>0</v>
      </c>
      <c r="BH955" s="82" t="str">
        <f>HYPERLINK("https://pbs.twimg.com/profile_banners/1057037397035229184/1578664306")</f>
        <v>https://pbs.twimg.com/profile_banners/1057037397035229184/1578664306</v>
      </c>
      <c r="BI955" s="76"/>
      <c r="BJ955" s="76" t="s">
        <v>27595</v>
      </c>
      <c r="BK955" s="76" t="b">
        <v>0</v>
      </c>
      <c r="BL955" s="76"/>
      <c r="BM955" s="76" t="s">
        <v>65</v>
      </c>
      <c r="BN955" s="76" t="s">
        <v>27597</v>
      </c>
      <c r="BO955" s="82" t="str">
        <f>HYPERLINK("https://twitter.com/carloss48442375")</f>
        <v>https://twitter.com/carloss48442375</v>
      </c>
      <c r="BP955" s="2"/>
    </row>
    <row r="956" spans="1:68" x14ac:dyDescent="0.25">
      <c r="A956" s="62" t="s">
        <v>1912</v>
      </c>
      <c r="B956" s="63"/>
      <c r="C956" s="63"/>
      <c r="D956" s="64"/>
      <c r="E956" s="66"/>
      <c r="F956" s="103" t="str">
        <f>HYPERLINK("https://pbs.twimg.com/profile_images/1544483274810163201/Bvpy9Cbl_normal.jpg")</f>
        <v>https://pbs.twimg.com/profile_images/1544483274810163201/Bvpy9Cbl_normal.jpg</v>
      </c>
      <c r="G956" s="63"/>
      <c r="H956" s="67"/>
      <c r="I956" s="68"/>
      <c r="J956" s="68"/>
      <c r="K956" s="67" t="s">
        <v>28550</v>
      </c>
      <c r="L956" s="71"/>
      <c r="M956" s="72"/>
      <c r="N956" s="72"/>
      <c r="O956" s="73"/>
      <c r="P956" s="74"/>
      <c r="Q956" s="74"/>
      <c r="R956" s="87"/>
      <c r="S956" s="87"/>
      <c r="T956" s="87"/>
      <c r="U956" s="87"/>
      <c r="V956" s="48"/>
      <c r="W956" s="48"/>
      <c r="X956" s="48"/>
      <c r="Y956" s="48"/>
      <c r="Z956" s="47"/>
      <c r="AA956" s="69">
        <v>956</v>
      </c>
      <c r="AB956" s="69"/>
      <c r="AC956" s="70"/>
      <c r="AD956" s="76" t="s">
        <v>22181</v>
      </c>
      <c r="AE956" s="81" t="s">
        <v>20301</v>
      </c>
      <c r="AF956" s="76">
        <v>3908</v>
      </c>
      <c r="AG956" s="76">
        <v>4690</v>
      </c>
      <c r="AH956" s="76">
        <v>2504</v>
      </c>
      <c r="AI956" s="76">
        <v>3</v>
      </c>
      <c r="AJ956" s="76">
        <v>1660</v>
      </c>
      <c r="AK956" s="76">
        <v>1303</v>
      </c>
      <c r="AL956" s="76" t="b">
        <v>0</v>
      </c>
      <c r="AM956" s="78">
        <v>44747.996724537035</v>
      </c>
      <c r="AN956" s="76"/>
      <c r="AO956" s="76" t="s">
        <v>25561</v>
      </c>
      <c r="AP956" s="82" t="str">
        <f>HYPERLINK("https://t.co/JmhaxN7MTN")</f>
        <v>https://t.co/JmhaxN7MTN</v>
      </c>
      <c r="AQ956" s="82" t="str">
        <f>HYPERLINK("https://linktr.ee/cplesquerdarj")</f>
        <v>https://linktr.ee/cplesquerdarj</v>
      </c>
      <c r="AR956" s="76" t="s">
        <v>26874</v>
      </c>
      <c r="AS956" s="76"/>
      <c r="AT956" s="76"/>
      <c r="AU956" s="76"/>
      <c r="AV956" s="76"/>
      <c r="AW956" s="82" t="str">
        <f>HYPERLINK("https://t.co/JmhaxN7MTN")</f>
        <v>https://t.co/JmhaxN7MTN</v>
      </c>
      <c r="AX956" s="76" t="b">
        <v>0</v>
      </c>
      <c r="AY956" s="76"/>
      <c r="AZ956" s="76"/>
      <c r="BA956" s="76" t="b">
        <v>0</v>
      </c>
      <c r="BB956" s="76" t="b">
        <v>1</v>
      </c>
      <c r="BC956" s="76" t="b">
        <v>1</v>
      </c>
      <c r="BD956" s="76" t="b">
        <v>0</v>
      </c>
      <c r="BE956" s="76" t="b">
        <v>0</v>
      </c>
      <c r="BF956" s="76" t="b">
        <v>0</v>
      </c>
      <c r="BG956" s="76" t="b">
        <v>0</v>
      </c>
      <c r="BH956" s="82" t="str">
        <f>HYPERLINK("https://pbs.twimg.com/profile_banners/1544469824243376130/1672628639")</f>
        <v>https://pbs.twimg.com/profile_banners/1544469824243376130/1672628639</v>
      </c>
      <c r="BI956" s="76"/>
      <c r="BJ956" s="76" t="s">
        <v>27595</v>
      </c>
      <c r="BK956" s="76" t="b">
        <v>0</v>
      </c>
      <c r="BL956" s="76"/>
      <c r="BM956" s="76" t="s">
        <v>65</v>
      </c>
      <c r="BN956" s="76" t="s">
        <v>27597</v>
      </c>
      <c r="BO956" s="82" t="str">
        <f>HYPERLINK("https://twitter.com/cplesquerdarj")</f>
        <v>https://twitter.com/cplesquerdarj</v>
      </c>
      <c r="BP956" s="2"/>
    </row>
    <row r="957" spans="1:68" x14ac:dyDescent="0.25">
      <c r="A957" s="62" t="s">
        <v>1913</v>
      </c>
      <c r="B957" s="63"/>
      <c r="C957" s="63"/>
      <c r="D957" s="64"/>
      <c r="E957" s="66"/>
      <c r="F957" s="103" t="str">
        <f>HYPERLINK("https://pbs.twimg.com/profile_images/1394976778578448387/-iLtaxcz_normal.jpg")</f>
        <v>https://pbs.twimg.com/profile_images/1394976778578448387/-iLtaxcz_normal.jpg</v>
      </c>
      <c r="G957" s="63"/>
      <c r="H957" s="67"/>
      <c r="I957" s="68"/>
      <c r="J957" s="68"/>
      <c r="K957" s="67" t="s">
        <v>28551</v>
      </c>
      <c r="L957" s="71"/>
      <c r="M957" s="72"/>
      <c r="N957" s="72"/>
      <c r="O957" s="73"/>
      <c r="P957" s="74"/>
      <c r="Q957" s="74"/>
      <c r="R957" s="87"/>
      <c r="S957" s="87"/>
      <c r="T957" s="87"/>
      <c r="U957" s="87"/>
      <c r="V957" s="48"/>
      <c r="W957" s="48"/>
      <c r="X957" s="48"/>
      <c r="Y957" s="48"/>
      <c r="Z957" s="47"/>
      <c r="AA957" s="69">
        <v>957</v>
      </c>
      <c r="AB957" s="69"/>
      <c r="AC957" s="70"/>
      <c r="AD957" s="76" t="s">
        <v>22182</v>
      </c>
      <c r="AE957" s="81" t="s">
        <v>20302</v>
      </c>
      <c r="AF957" s="76">
        <v>8146</v>
      </c>
      <c r="AG957" s="76">
        <v>8115</v>
      </c>
      <c r="AH957" s="76">
        <v>92190</v>
      </c>
      <c r="AI957" s="76">
        <v>7</v>
      </c>
      <c r="AJ957" s="76">
        <v>195063</v>
      </c>
      <c r="AK957" s="76">
        <v>6242</v>
      </c>
      <c r="AL957" s="76" t="b">
        <v>0</v>
      </c>
      <c r="AM957" s="78">
        <v>42299.785937499997</v>
      </c>
      <c r="AN957" s="76" t="s">
        <v>14400</v>
      </c>
      <c r="AO957" s="76" t="s">
        <v>25562</v>
      </c>
      <c r="AP957" s="76"/>
      <c r="AQ957" s="76"/>
      <c r="AR957" s="76"/>
      <c r="AS957" s="76"/>
      <c r="AT957" s="76"/>
      <c r="AU957" s="76"/>
      <c r="AV957" s="76"/>
      <c r="AW957" s="76"/>
      <c r="AX957" s="76" t="b">
        <v>0</v>
      </c>
      <c r="AY957" s="76"/>
      <c r="AZ957" s="76"/>
      <c r="BA957" s="76" t="b">
        <v>1</v>
      </c>
      <c r="BB957" s="76" t="b">
        <v>1</v>
      </c>
      <c r="BC957" s="76" t="b">
        <v>0</v>
      </c>
      <c r="BD957" s="76" t="b">
        <v>0</v>
      </c>
      <c r="BE957" s="76" t="b">
        <v>1</v>
      </c>
      <c r="BF957" s="76" t="b">
        <v>0</v>
      </c>
      <c r="BG957" s="76" t="b">
        <v>0</v>
      </c>
      <c r="BH957" s="82" t="str">
        <f>HYPERLINK("https://pbs.twimg.com/profile_banners/4018807829/1694545989")</f>
        <v>https://pbs.twimg.com/profile_banners/4018807829/1694545989</v>
      </c>
      <c r="BI957" s="76"/>
      <c r="BJ957" s="76" t="s">
        <v>27595</v>
      </c>
      <c r="BK957" s="76" t="b">
        <v>0</v>
      </c>
      <c r="BL957" s="76"/>
      <c r="BM957" s="76" t="s">
        <v>65</v>
      </c>
      <c r="BN957" s="76" t="s">
        <v>27597</v>
      </c>
      <c r="BO957" s="82" t="str">
        <f>HYPERLINK("https://twitter.com/martaclari")</f>
        <v>https://twitter.com/martaclari</v>
      </c>
      <c r="BP957" s="2"/>
    </row>
    <row r="958" spans="1:68" x14ac:dyDescent="0.25">
      <c r="A958" s="62" t="s">
        <v>1914</v>
      </c>
      <c r="B958" s="63"/>
      <c r="C958" s="63"/>
      <c r="D958" s="64"/>
      <c r="E958" s="66"/>
      <c r="F958" s="103" t="str">
        <f>HYPERLINK("https://pbs.twimg.com/profile_images/1650560022894501906/0hfiRlhQ_normal.jpg")</f>
        <v>https://pbs.twimg.com/profile_images/1650560022894501906/0hfiRlhQ_normal.jpg</v>
      </c>
      <c r="G958" s="63"/>
      <c r="H958" s="67"/>
      <c r="I958" s="68"/>
      <c r="J958" s="68"/>
      <c r="K958" s="67" t="s">
        <v>28552</v>
      </c>
      <c r="L958" s="71"/>
      <c r="M958" s="72"/>
      <c r="N958" s="72"/>
      <c r="O958" s="73"/>
      <c r="P958" s="74"/>
      <c r="Q958" s="74"/>
      <c r="R958" s="87"/>
      <c r="S958" s="87"/>
      <c r="T958" s="87"/>
      <c r="U958" s="87"/>
      <c r="V958" s="48"/>
      <c r="W958" s="48"/>
      <c r="X958" s="48"/>
      <c r="Y958" s="48"/>
      <c r="Z958" s="47"/>
      <c r="AA958" s="69">
        <v>958</v>
      </c>
      <c r="AB958" s="69"/>
      <c r="AC958" s="70"/>
      <c r="AD958" s="76" t="s">
        <v>22183</v>
      </c>
      <c r="AE958" s="81" t="s">
        <v>20303</v>
      </c>
      <c r="AF958" s="76">
        <v>12416</v>
      </c>
      <c r="AG958" s="76">
        <v>12210</v>
      </c>
      <c r="AH958" s="76">
        <v>88532</v>
      </c>
      <c r="AI958" s="76">
        <v>5</v>
      </c>
      <c r="AJ958" s="76">
        <v>89161</v>
      </c>
      <c r="AK958" s="76">
        <v>1688</v>
      </c>
      <c r="AL958" s="76" t="b">
        <v>0</v>
      </c>
      <c r="AM958" s="78">
        <v>43825.212500000001</v>
      </c>
      <c r="AN958" s="76" t="s">
        <v>14382</v>
      </c>
      <c r="AO958" s="76" t="s">
        <v>25563</v>
      </c>
      <c r="AP958" s="82" t="str">
        <f>HYPERLINK("https://t.co/v9ZhZkUSjM")</f>
        <v>https://t.co/v9ZhZkUSjM</v>
      </c>
      <c r="AQ958" s="82" t="str">
        <f>HYPERLINK("https://twitter.com/")</f>
        <v>https://twitter.com/</v>
      </c>
      <c r="AR958" s="76" t="s">
        <v>8610</v>
      </c>
      <c r="AS958" s="76"/>
      <c r="AT958" s="76"/>
      <c r="AU958" s="76"/>
      <c r="AV958" s="76">
        <v>1.6633168709282401E+18</v>
      </c>
      <c r="AW958" s="82" t="str">
        <f>HYPERLINK("https://t.co/v9ZhZkUSjM")</f>
        <v>https://t.co/v9ZhZkUSjM</v>
      </c>
      <c r="AX958" s="76" t="b">
        <v>0</v>
      </c>
      <c r="AY958" s="76"/>
      <c r="AZ958" s="76"/>
      <c r="BA958" s="76" t="b">
        <v>0</v>
      </c>
      <c r="BB958" s="76" t="b">
        <v>1</v>
      </c>
      <c r="BC958" s="76" t="b">
        <v>1</v>
      </c>
      <c r="BD958" s="76" t="b">
        <v>0</v>
      </c>
      <c r="BE958" s="76" t="b">
        <v>1</v>
      </c>
      <c r="BF958" s="76" t="b">
        <v>0</v>
      </c>
      <c r="BG958" s="76" t="b">
        <v>0</v>
      </c>
      <c r="BH958" s="82" t="str">
        <f>HYPERLINK("https://pbs.twimg.com/profile_banners/1210062659024015362/1693248281")</f>
        <v>https://pbs.twimg.com/profile_banners/1210062659024015362/1693248281</v>
      </c>
      <c r="BI958" s="76"/>
      <c r="BJ958" s="76" t="s">
        <v>27595</v>
      </c>
      <c r="BK958" s="76" t="b">
        <v>0</v>
      </c>
      <c r="BL958" s="76"/>
      <c r="BM958" s="76" t="s">
        <v>65</v>
      </c>
      <c r="BN958" s="76" t="s">
        <v>27597</v>
      </c>
      <c r="BO958" s="82" t="str">
        <f>HYPERLINK("https://twitter.com/cissopazey")</f>
        <v>https://twitter.com/cissopazey</v>
      </c>
      <c r="BP958" s="2"/>
    </row>
    <row r="959" spans="1:68" x14ac:dyDescent="0.25">
      <c r="A959" s="62" t="s">
        <v>1915</v>
      </c>
      <c r="B959" s="63"/>
      <c r="C959" s="63"/>
      <c r="D959" s="64"/>
      <c r="E959" s="66"/>
      <c r="F959" s="103" t="str">
        <f>HYPERLINK("https://pbs.twimg.com/profile_images/1699930017445171200/WCpKub39_normal.jpg")</f>
        <v>https://pbs.twimg.com/profile_images/1699930017445171200/WCpKub39_normal.jpg</v>
      </c>
      <c r="G959" s="63"/>
      <c r="H959" s="67"/>
      <c r="I959" s="68"/>
      <c r="J959" s="68"/>
      <c r="K959" s="67" t="s">
        <v>28553</v>
      </c>
      <c r="L959" s="71"/>
      <c r="M959" s="72"/>
      <c r="N959" s="72"/>
      <c r="O959" s="73"/>
      <c r="P959" s="74"/>
      <c r="Q959" s="74"/>
      <c r="R959" s="87"/>
      <c r="S959" s="87"/>
      <c r="T959" s="87"/>
      <c r="U959" s="87"/>
      <c r="V959" s="48"/>
      <c r="W959" s="48"/>
      <c r="X959" s="48"/>
      <c r="Y959" s="48"/>
      <c r="Z959" s="47"/>
      <c r="AA959" s="69">
        <v>959</v>
      </c>
      <c r="AB959" s="69"/>
      <c r="AC959" s="70"/>
      <c r="AD959" s="76" t="s">
        <v>22184</v>
      </c>
      <c r="AE959" s="81" t="s">
        <v>20304</v>
      </c>
      <c r="AF959" s="76">
        <v>245</v>
      </c>
      <c r="AG959" s="76">
        <v>662</v>
      </c>
      <c r="AH959" s="76">
        <v>6578</v>
      </c>
      <c r="AI959" s="76">
        <v>1</v>
      </c>
      <c r="AJ959" s="76">
        <v>13035</v>
      </c>
      <c r="AK959" s="76">
        <v>405</v>
      </c>
      <c r="AL959" s="76" t="b">
        <v>0</v>
      </c>
      <c r="AM959" s="78">
        <v>44570.866203703707</v>
      </c>
      <c r="AN959" s="76"/>
      <c r="AO959" s="76"/>
      <c r="AP959" s="76"/>
      <c r="AQ959" s="76"/>
      <c r="AR959" s="76"/>
      <c r="AS959" s="76"/>
      <c r="AT959" s="76"/>
      <c r="AU959" s="76"/>
      <c r="AV959" s="76">
        <v>1.6654659083058299E+18</v>
      </c>
      <c r="AW959" s="76"/>
      <c r="AX959" s="76" t="b">
        <v>0</v>
      </c>
      <c r="AY959" s="76"/>
      <c r="AZ959" s="76"/>
      <c r="BA959" s="76" t="b">
        <v>0</v>
      </c>
      <c r="BB959" s="76" t="b">
        <v>1</v>
      </c>
      <c r="BC959" s="76" t="b">
        <v>1</v>
      </c>
      <c r="BD959" s="76" t="b">
        <v>0</v>
      </c>
      <c r="BE959" s="76" t="b">
        <v>1</v>
      </c>
      <c r="BF959" s="76" t="b">
        <v>0</v>
      </c>
      <c r="BG959" s="76" t="b">
        <v>0</v>
      </c>
      <c r="BH959" s="82" t="str">
        <f>HYPERLINK("https://pbs.twimg.com/profile_banners/1480279999190085633/1641762386")</f>
        <v>https://pbs.twimg.com/profile_banners/1480279999190085633/1641762386</v>
      </c>
      <c r="BI959" s="76"/>
      <c r="BJ959" s="76" t="s">
        <v>27595</v>
      </c>
      <c r="BK959" s="76" t="b">
        <v>0</v>
      </c>
      <c r="BL959" s="76"/>
      <c r="BM959" s="76" t="s">
        <v>65</v>
      </c>
      <c r="BN959" s="76" t="s">
        <v>27597</v>
      </c>
      <c r="BO959" s="82" t="str">
        <f>HYPERLINK("https://twitter.com/janjadebochada")</f>
        <v>https://twitter.com/janjadebochada</v>
      </c>
      <c r="BP959" s="2"/>
    </row>
    <row r="960" spans="1:68" x14ac:dyDescent="0.25">
      <c r="A960" s="62" t="s">
        <v>1916</v>
      </c>
      <c r="B960" s="63"/>
      <c r="C960" s="63"/>
      <c r="D960" s="64"/>
      <c r="E960" s="66"/>
      <c r="F960" s="103" t="str">
        <f>HYPERLINK("https://pbs.twimg.com/profile_images/1661178222363529216/uVQdegRD_normal.jpg")</f>
        <v>https://pbs.twimg.com/profile_images/1661178222363529216/uVQdegRD_normal.jpg</v>
      </c>
      <c r="G960" s="63"/>
      <c r="H960" s="67"/>
      <c r="I960" s="68"/>
      <c r="J960" s="68"/>
      <c r="K960" s="67" t="s">
        <v>28554</v>
      </c>
      <c r="L960" s="71"/>
      <c r="M960" s="72"/>
      <c r="N960" s="72"/>
      <c r="O960" s="73"/>
      <c r="P960" s="74"/>
      <c r="Q960" s="74"/>
      <c r="R960" s="87"/>
      <c r="S960" s="87"/>
      <c r="T960" s="87"/>
      <c r="U960" s="87"/>
      <c r="V960" s="48"/>
      <c r="W960" s="48"/>
      <c r="X960" s="48"/>
      <c r="Y960" s="48"/>
      <c r="Z960" s="47"/>
      <c r="AA960" s="69">
        <v>960</v>
      </c>
      <c r="AB960" s="69"/>
      <c r="AC960" s="70"/>
      <c r="AD960" s="76" t="s">
        <v>22185</v>
      </c>
      <c r="AE960" s="81" t="s">
        <v>20305</v>
      </c>
      <c r="AF960" s="76">
        <v>2327</v>
      </c>
      <c r="AG960" s="76">
        <v>3233</v>
      </c>
      <c r="AH960" s="76">
        <v>8342</v>
      </c>
      <c r="AI960" s="76">
        <v>1</v>
      </c>
      <c r="AJ960" s="76">
        <v>3608</v>
      </c>
      <c r="AK960" s="76">
        <v>2828</v>
      </c>
      <c r="AL960" s="76" t="b">
        <v>0</v>
      </c>
      <c r="AM960" s="78">
        <v>44585.03361111111</v>
      </c>
      <c r="AN960" s="76" t="s">
        <v>14432</v>
      </c>
      <c r="AO960" s="76" t="s">
        <v>25564</v>
      </c>
      <c r="AP960" s="76"/>
      <c r="AQ960" s="76"/>
      <c r="AR960" s="76"/>
      <c r="AS960" s="76"/>
      <c r="AT960" s="76"/>
      <c r="AU960" s="76"/>
      <c r="AV960" s="76">
        <v>1.69233149676846E+18</v>
      </c>
      <c r="AW960" s="76"/>
      <c r="AX960" s="76" t="b">
        <v>0</v>
      </c>
      <c r="AY960" s="76"/>
      <c r="AZ960" s="76"/>
      <c r="BA960" s="76" t="b">
        <v>0</v>
      </c>
      <c r="BB960" s="76" t="b">
        <v>1</v>
      </c>
      <c r="BC960" s="76" t="b">
        <v>1</v>
      </c>
      <c r="BD960" s="76" t="b">
        <v>0</v>
      </c>
      <c r="BE960" s="76" t="b">
        <v>1</v>
      </c>
      <c r="BF960" s="76" t="b">
        <v>0</v>
      </c>
      <c r="BG960" s="76" t="b">
        <v>0</v>
      </c>
      <c r="BH960" s="82" t="str">
        <f>HYPERLINK("https://pbs.twimg.com/profile_banners/1485414040910409739/1685065009")</f>
        <v>https://pbs.twimg.com/profile_banners/1485414040910409739/1685065009</v>
      </c>
      <c r="BI960" s="76"/>
      <c r="BJ960" s="76" t="s">
        <v>27595</v>
      </c>
      <c r="BK960" s="76" t="b">
        <v>0</v>
      </c>
      <c r="BL960" s="76"/>
      <c r="BM960" s="76" t="s">
        <v>65</v>
      </c>
      <c r="BN960" s="76" t="s">
        <v>27597</v>
      </c>
      <c r="BO960" s="82" t="str">
        <f>HYPERLINK("https://twitter.com/rimanof_klein")</f>
        <v>https://twitter.com/rimanof_klein</v>
      </c>
      <c r="BP960" s="2"/>
    </row>
    <row r="961" spans="1:68" x14ac:dyDescent="0.25">
      <c r="A961" s="62" t="s">
        <v>1917</v>
      </c>
      <c r="B961" s="63"/>
      <c r="C961" s="63"/>
      <c r="D961" s="64"/>
      <c r="E961" s="66"/>
      <c r="F961" s="103" t="str">
        <f>HYPERLINK("https://pbs.twimg.com/profile_images/1156223534940786690/CFCio8pF_normal.jpg")</f>
        <v>https://pbs.twimg.com/profile_images/1156223534940786690/CFCio8pF_normal.jpg</v>
      </c>
      <c r="G961" s="63"/>
      <c r="H961" s="67"/>
      <c r="I961" s="68"/>
      <c r="J961" s="68"/>
      <c r="K961" s="67" t="s">
        <v>28555</v>
      </c>
      <c r="L961" s="71"/>
      <c r="M961" s="72"/>
      <c r="N961" s="72"/>
      <c r="O961" s="73"/>
      <c r="P961" s="74"/>
      <c r="Q961" s="74"/>
      <c r="R961" s="87"/>
      <c r="S961" s="87"/>
      <c r="T961" s="87"/>
      <c r="U961" s="87"/>
      <c r="V961" s="48"/>
      <c r="W961" s="48"/>
      <c r="X961" s="48"/>
      <c r="Y961" s="48"/>
      <c r="Z961" s="47"/>
      <c r="AA961" s="69">
        <v>961</v>
      </c>
      <c r="AB961" s="69"/>
      <c r="AC961" s="70"/>
      <c r="AD961" s="76" t="s">
        <v>22186</v>
      </c>
      <c r="AE961" s="81" t="s">
        <v>20306</v>
      </c>
      <c r="AF961" s="76">
        <v>6227</v>
      </c>
      <c r="AG961" s="76">
        <v>6243</v>
      </c>
      <c r="AH961" s="76">
        <v>20732</v>
      </c>
      <c r="AI961" s="76">
        <v>5</v>
      </c>
      <c r="AJ961" s="76">
        <v>72752</v>
      </c>
      <c r="AK961" s="76">
        <v>7107</v>
      </c>
      <c r="AL961" s="76" t="b">
        <v>0</v>
      </c>
      <c r="AM961" s="78">
        <v>41890.812893518516</v>
      </c>
      <c r="AN961" s="76"/>
      <c r="AO961" s="76" t="s">
        <v>25565</v>
      </c>
      <c r="AP961" s="76"/>
      <c r="AQ961" s="76"/>
      <c r="AR961" s="76"/>
      <c r="AS961" s="76"/>
      <c r="AT961" s="76"/>
      <c r="AU961" s="76"/>
      <c r="AV961" s="76"/>
      <c r="AW961" s="76"/>
      <c r="AX961" s="76" t="b">
        <v>0</v>
      </c>
      <c r="AY961" s="76"/>
      <c r="AZ961" s="76"/>
      <c r="BA961" s="76" t="b">
        <v>0</v>
      </c>
      <c r="BB961" s="76" t="b">
        <v>0</v>
      </c>
      <c r="BC961" s="76" t="b">
        <v>1</v>
      </c>
      <c r="BD961" s="76" t="b">
        <v>0</v>
      </c>
      <c r="BE961" s="76" t="b">
        <v>1</v>
      </c>
      <c r="BF961" s="76" t="b">
        <v>0</v>
      </c>
      <c r="BG961" s="76" t="b">
        <v>0</v>
      </c>
      <c r="BH961" s="82" t="str">
        <f>HYPERLINK("https://pbs.twimg.com/profile_banners/2798484068/1564500150")</f>
        <v>https://pbs.twimg.com/profile_banners/2798484068/1564500150</v>
      </c>
      <c r="BI961" s="76"/>
      <c r="BJ961" s="76" t="s">
        <v>27595</v>
      </c>
      <c r="BK961" s="76" t="b">
        <v>0</v>
      </c>
      <c r="BL961" s="76"/>
      <c r="BM961" s="76" t="s">
        <v>65</v>
      </c>
      <c r="BN961" s="76" t="s">
        <v>27597</v>
      </c>
      <c r="BO961" s="82" t="str">
        <f>HYPERLINK("https://twitter.com/kjulimata")</f>
        <v>https://twitter.com/kjulimata</v>
      </c>
      <c r="BP961" s="2"/>
    </row>
    <row r="962" spans="1:68" x14ac:dyDescent="0.25">
      <c r="A962" s="62" t="s">
        <v>1918</v>
      </c>
      <c r="B962" s="63"/>
      <c r="C962" s="63"/>
      <c r="D962" s="64"/>
      <c r="E962" s="66"/>
      <c r="F962" s="103" t="str">
        <f>HYPERLINK("https://pbs.twimg.com/profile_images/1703382905559412736/IvehGgzx_normal.jpg")</f>
        <v>https://pbs.twimg.com/profile_images/1703382905559412736/IvehGgzx_normal.jpg</v>
      </c>
      <c r="G962" s="63"/>
      <c r="H962" s="67"/>
      <c r="I962" s="68"/>
      <c r="J962" s="68"/>
      <c r="K962" s="67" t="s">
        <v>28556</v>
      </c>
      <c r="L962" s="71"/>
      <c r="M962" s="72"/>
      <c r="N962" s="72"/>
      <c r="O962" s="73"/>
      <c r="P962" s="74"/>
      <c r="Q962" s="74"/>
      <c r="R962" s="87"/>
      <c r="S962" s="87"/>
      <c r="T962" s="87"/>
      <c r="U962" s="87"/>
      <c r="V962" s="48"/>
      <c r="W962" s="48"/>
      <c r="X962" s="48"/>
      <c r="Y962" s="48"/>
      <c r="Z962" s="47"/>
      <c r="AA962" s="69">
        <v>962</v>
      </c>
      <c r="AB962" s="69"/>
      <c r="AC962" s="70"/>
      <c r="AD962" s="76" t="s">
        <v>22187</v>
      </c>
      <c r="AE962" s="81" t="s">
        <v>20307</v>
      </c>
      <c r="AF962" s="76">
        <v>12727</v>
      </c>
      <c r="AG962" s="76">
        <v>12299</v>
      </c>
      <c r="AH962" s="76">
        <v>21903</v>
      </c>
      <c r="AI962" s="76">
        <v>5</v>
      </c>
      <c r="AJ962" s="76">
        <v>30850</v>
      </c>
      <c r="AK962" s="76">
        <v>5295</v>
      </c>
      <c r="AL962" s="76" t="b">
        <v>0</v>
      </c>
      <c r="AM962" s="78">
        <v>43200.87332175926</v>
      </c>
      <c r="AN962" s="76"/>
      <c r="AO962" s="76" t="s">
        <v>25566</v>
      </c>
      <c r="AP962" s="76"/>
      <c r="AQ962" s="76"/>
      <c r="AR962" s="76"/>
      <c r="AS962" s="76"/>
      <c r="AT962" s="76"/>
      <c r="AU962" s="76"/>
      <c r="AV962" s="76">
        <v>1.5662145114549801E+18</v>
      </c>
      <c r="AW962" s="76"/>
      <c r="AX962" s="76" t="b">
        <v>0</v>
      </c>
      <c r="AY962" s="76"/>
      <c r="AZ962" s="76"/>
      <c r="BA962" s="76" t="b">
        <v>0</v>
      </c>
      <c r="BB962" s="76" t="b">
        <v>1</v>
      </c>
      <c r="BC962" s="76" t="b">
        <v>0</v>
      </c>
      <c r="BD962" s="76" t="b">
        <v>0</v>
      </c>
      <c r="BE962" s="76" t="b">
        <v>1</v>
      </c>
      <c r="BF962" s="76" t="b">
        <v>0</v>
      </c>
      <c r="BG962" s="76" t="b">
        <v>0</v>
      </c>
      <c r="BH962" s="82" t="str">
        <f>HYPERLINK("https://pbs.twimg.com/profile_banners/983811250239963137/1683431517")</f>
        <v>https://pbs.twimg.com/profile_banners/983811250239963137/1683431517</v>
      </c>
      <c r="BI962" s="76"/>
      <c r="BJ962" s="76" t="s">
        <v>27595</v>
      </c>
      <c r="BK962" s="76" t="b">
        <v>0</v>
      </c>
      <c r="BL962" s="76"/>
      <c r="BM962" s="76" t="s">
        <v>65</v>
      </c>
      <c r="BN962" s="76" t="s">
        <v>27597</v>
      </c>
      <c r="BO962" s="82" t="str">
        <f>HYPERLINK("https://twitter.com/galvao_jo")</f>
        <v>https://twitter.com/galvao_jo</v>
      </c>
      <c r="BP962" s="2"/>
    </row>
    <row r="963" spans="1:68" x14ac:dyDescent="0.25">
      <c r="A963" s="62" t="s">
        <v>910</v>
      </c>
      <c r="B963" s="63"/>
      <c r="C963" s="63"/>
      <c r="D963" s="64"/>
      <c r="E963" s="66"/>
      <c r="F963" s="103" t="str">
        <f>HYPERLINK("https://pbs.twimg.com/profile_images/1082573003332956161/XARDocYf_normal.jpg")</f>
        <v>https://pbs.twimg.com/profile_images/1082573003332956161/XARDocYf_normal.jpg</v>
      </c>
      <c r="G963" s="63"/>
      <c r="H963" s="67"/>
      <c r="I963" s="68"/>
      <c r="J963" s="68"/>
      <c r="K963" s="67" t="s">
        <v>28557</v>
      </c>
      <c r="L963" s="71"/>
      <c r="M963" s="72"/>
      <c r="N963" s="72"/>
      <c r="O963" s="73"/>
      <c r="P963" s="74"/>
      <c r="Q963" s="74"/>
      <c r="R963" s="87"/>
      <c r="S963" s="87"/>
      <c r="T963" s="87"/>
      <c r="U963" s="87"/>
      <c r="V963" s="48"/>
      <c r="W963" s="48"/>
      <c r="X963" s="48"/>
      <c r="Y963" s="48"/>
      <c r="Z963" s="47"/>
      <c r="AA963" s="69">
        <v>963</v>
      </c>
      <c r="AB963" s="69"/>
      <c r="AC963" s="70"/>
      <c r="AD963" s="76" t="s">
        <v>22188</v>
      </c>
      <c r="AE963" s="81" t="s">
        <v>20826</v>
      </c>
      <c r="AF963" s="76">
        <v>5089</v>
      </c>
      <c r="AG963" s="76">
        <v>406</v>
      </c>
      <c r="AH963" s="76">
        <v>10031</v>
      </c>
      <c r="AI963" s="76">
        <v>55</v>
      </c>
      <c r="AJ963" s="76">
        <v>1704</v>
      </c>
      <c r="AK963" s="76">
        <v>8814</v>
      </c>
      <c r="AL963" s="76" t="b">
        <v>0</v>
      </c>
      <c r="AM963" s="78">
        <v>42699.775138888886</v>
      </c>
      <c r="AN963" s="76"/>
      <c r="AO963" s="76" t="s">
        <v>25567</v>
      </c>
      <c r="AP963" s="82" t="str">
        <f>HYPERLINK("https://t.co/REUUsr5vK0")</f>
        <v>https://t.co/REUUsr5vK0</v>
      </c>
      <c r="AQ963" s="82" t="str">
        <f>HYPERLINK("https://linktr.ee/cryptoeconomynews")</f>
        <v>https://linktr.ee/cryptoeconomynews</v>
      </c>
      <c r="AR963" s="76" t="s">
        <v>26875</v>
      </c>
      <c r="AS963" s="76"/>
      <c r="AT963" s="76"/>
      <c r="AU963" s="76"/>
      <c r="AV963" s="76"/>
      <c r="AW963" s="82" t="str">
        <f>HYPERLINK("https://t.co/REUUsr5vK0")</f>
        <v>https://t.co/REUUsr5vK0</v>
      </c>
      <c r="AX963" s="76" t="b">
        <v>1</v>
      </c>
      <c r="AY963" s="76"/>
      <c r="AZ963" s="76"/>
      <c r="BA963" s="76" t="b">
        <v>0</v>
      </c>
      <c r="BB963" s="76" t="b">
        <v>1</v>
      </c>
      <c r="BC963" s="76" t="b">
        <v>1</v>
      </c>
      <c r="BD963" s="76" t="b">
        <v>0</v>
      </c>
      <c r="BE963" s="76" t="b">
        <v>0</v>
      </c>
      <c r="BF963" s="76" t="b">
        <v>0</v>
      </c>
      <c r="BG963" s="76" t="b">
        <v>0</v>
      </c>
      <c r="BH963" s="82" t="str">
        <f>HYPERLINK("https://pbs.twimg.com/profile_banners/802219348517588992/1566803791")</f>
        <v>https://pbs.twimg.com/profile_banners/802219348517588992/1566803791</v>
      </c>
      <c r="BI963" s="76"/>
      <c r="BJ963" s="76" t="s">
        <v>27595</v>
      </c>
      <c r="BK963" s="76" t="b">
        <v>0</v>
      </c>
      <c r="BL963" s="76"/>
      <c r="BM963" s="76" t="s">
        <v>66</v>
      </c>
      <c r="BN963" s="76" t="s">
        <v>27597</v>
      </c>
      <c r="BO963" s="82" t="str">
        <f>HYPERLINK("https://twitter.com/crypto_economy")</f>
        <v>https://twitter.com/crypto_economy</v>
      </c>
      <c r="BP963" s="2"/>
    </row>
    <row r="964" spans="1:68" x14ac:dyDescent="0.25">
      <c r="A964" s="62" t="s">
        <v>911</v>
      </c>
      <c r="B964" s="63"/>
      <c r="C964" s="63"/>
      <c r="D964" s="64"/>
      <c r="E964" s="66"/>
      <c r="F964" s="103" t="str">
        <f>HYPERLINK("https://pbs.twimg.com/profile_images/1586727431930535936/SzfBcJNF_normal.jpg")</f>
        <v>https://pbs.twimg.com/profile_images/1586727431930535936/SzfBcJNF_normal.jpg</v>
      </c>
      <c r="G964" s="63"/>
      <c r="H964" s="67"/>
      <c r="I964" s="68"/>
      <c r="J964" s="68"/>
      <c r="K964" s="67" t="s">
        <v>28558</v>
      </c>
      <c r="L964" s="71"/>
      <c r="M964" s="72"/>
      <c r="N964" s="72"/>
      <c r="O964" s="73"/>
      <c r="P964" s="74"/>
      <c r="Q964" s="74"/>
      <c r="R964" s="87"/>
      <c r="S964" s="87"/>
      <c r="T964" s="87"/>
      <c r="U964" s="87"/>
      <c r="V964" s="48"/>
      <c r="W964" s="48"/>
      <c r="X964" s="48"/>
      <c r="Y964" s="48"/>
      <c r="Z964" s="47"/>
      <c r="AA964" s="69">
        <v>964</v>
      </c>
      <c r="AB964" s="69"/>
      <c r="AC964" s="70"/>
      <c r="AD964" s="76" t="s">
        <v>22189</v>
      </c>
      <c r="AE964" s="81" t="s">
        <v>23576</v>
      </c>
      <c r="AF964" s="76">
        <v>2653</v>
      </c>
      <c r="AG964" s="76">
        <v>4429</v>
      </c>
      <c r="AH964" s="76">
        <v>15376</v>
      </c>
      <c r="AI964" s="76">
        <v>2</v>
      </c>
      <c r="AJ964" s="76">
        <v>17963</v>
      </c>
      <c r="AK964" s="76">
        <v>2545</v>
      </c>
      <c r="AL964" s="76" t="b">
        <v>0</v>
      </c>
      <c r="AM964" s="78">
        <v>41672.724085648151</v>
      </c>
      <c r="AN964" s="76" t="s">
        <v>24419</v>
      </c>
      <c r="AO964" s="76" t="s">
        <v>25568</v>
      </c>
      <c r="AP964" s="82" t="str">
        <f>HYPERLINK("https://t.co/Wv4giYGwHd")</f>
        <v>https://t.co/Wv4giYGwHd</v>
      </c>
      <c r="AQ964" s="82" t="str">
        <f>HYPERLINK("https://www.instagram.com/damianluppi/")</f>
        <v>https://www.instagram.com/damianluppi/</v>
      </c>
      <c r="AR964" s="76" t="s">
        <v>26876</v>
      </c>
      <c r="AS964" s="76"/>
      <c r="AT964" s="76"/>
      <c r="AU964" s="76"/>
      <c r="AV964" s="76"/>
      <c r="AW964" s="82" t="str">
        <f>HYPERLINK("https://t.co/Wv4giYGwHd")</f>
        <v>https://t.co/Wv4giYGwHd</v>
      </c>
      <c r="AX964" s="76" t="b">
        <v>0</v>
      </c>
      <c r="AY964" s="76"/>
      <c r="AZ964" s="76"/>
      <c r="BA964" s="76" t="b">
        <v>1</v>
      </c>
      <c r="BB964" s="76" t="b">
        <v>0</v>
      </c>
      <c r="BC964" s="76" t="b">
        <v>1</v>
      </c>
      <c r="BD964" s="76" t="b">
        <v>0</v>
      </c>
      <c r="BE964" s="76" t="b">
        <v>1</v>
      </c>
      <c r="BF964" s="76" t="b">
        <v>0</v>
      </c>
      <c r="BG964" s="76" t="b">
        <v>0</v>
      </c>
      <c r="BH964" s="82" t="str">
        <f>HYPERLINK("https://pbs.twimg.com/profile_banners/2320347221/1498406347")</f>
        <v>https://pbs.twimg.com/profile_banners/2320347221/1498406347</v>
      </c>
      <c r="BI964" s="76"/>
      <c r="BJ964" s="76" t="s">
        <v>27595</v>
      </c>
      <c r="BK964" s="76" t="b">
        <v>0</v>
      </c>
      <c r="BL964" s="76"/>
      <c r="BM964" s="76" t="s">
        <v>66</v>
      </c>
      <c r="BN964" s="76" t="s">
        <v>27597</v>
      </c>
      <c r="BO964" s="82" t="str">
        <f>HYPERLINK("https://twitter.com/luppi1882")</f>
        <v>https://twitter.com/luppi1882</v>
      </c>
      <c r="BP964" s="2"/>
    </row>
    <row r="965" spans="1:68" x14ac:dyDescent="0.25">
      <c r="A965" s="62" t="s">
        <v>1919</v>
      </c>
      <c r="B965" s="63"/>
      <c r="C965" s="63"/>
      <c r="D965" s="64"/>
      <c r="E965" s="66"/>
      <c r="F965" s="103" t="str">
        <f>HYPERLINK("https://pbs.twimg.com/profile_images/1704534706790801408/HgucN5ho_normal.jpg")</f>
        <v>https://pbs.twimg.com/profile_images/1704534706790801408/HgucN5ho_normal.jpg</v>
      </c>
      <c r="G965" s="63"/>
      <c r="H965" s="67"/>
      <c r="I965" s="68"/>
      <c r="J965" s="68"/>
      <c r="K965" s="67" t="s">
        <v>28559</v>
      </c>
      <c r="L965" s="71"/>
      <c r="M965" s="72"/>
      <c r="N965" s="72"/>
      <c r="O965" s="73"/>
      <c r="P965" s="74"/>
      <c r="Q965" s="74"/>
      <c r="R965" s="87"/>
      <c r="S965" s="87"/>
      <c r="T965" s="87"/>
      <c r="U965" s="87"/>
      <c r="V965" s="48"/>
      <c r="W965" s="48"/>
      <c r="X965" s="48"/>
      <c r="Y965" s="48"/>
      <c r="Z965" s="47"/>
      <c r="AA965" s="69">
        <v>965</v>
      </c>
      <c r="AB965" s="69"/>
      <c r="AC965" s="70"/>
      <c r="AD965" s="76" t="s">
        <v>22190</v>
      </c>
      <c r="AE965" s="81" t="s">
        <v>20344</v>
      </c>
      <c r="AF965" s="76">
        <v>253821</v>
      </c>
      <c r="AG965" s="76">
        <v>761</v>
      </c>
      <c r="AH965" s="76">
        <v>33310</v>
      </c>
      <c r="AI965" s="76">
        <v>518</v>
      </c>
      <c r="AJ965" s="76">
        <v>9848</v>
      </c>
      <c r="AK965" s="76">
        <v>6976</v>
      </c>
      <c r="AL965" s="76" t="b">
        <v>0</v>
      </c>
      <c r="AM965" s="78">
        <v>40048.050358796296</v>
      </c>
      <c r="AN965" s="76" t="s">
        <v>24420</v>
      </c>
      <c r="AO965" s="76" t="s">
        <v>25569</v>
      </c>
      <c r="AP965" s="82" t="str">
        <f>HYPERLINK("https://t.co/OaaDGzXjHi")</f>
        <v>https://t.co/OaaDGzXjHi</v>
      </c>
      <c r="AQ965" s="82" t="str">
        <f>HYPERLINK("https://linktr.ee/ramiromarra")</f>
        <v>https://linktr.ee/ramiromarra</v>
      </c>
      <c r="AR965" s="76" t="s">
        <v>26877</v>
      </c>
      <c r="AS965" s="76"/>
      <c r="AT965" s="76"/>
      <c r="AU965" s="76"/>
      <c r="AV965" s="76">
        <v>1.6909143660386501E+18</v>
      </c>
      <c r="AW965" s="82" t="str">
        <f>HYPERLINK("https://t.co/OaaDGzXjHi")</f>
        <v>https://t.co/OaaDGzXjHi</v>
      </c>
      <c r="AX965" s="76" t="b">
        <v>1</v>
      </c>
      <c r="AY965" s="76"/>
      <c r="AZ965" s="76"/>
      <c r="BA965" s="76" t="b">
        <v>1</v>
      </c>
      <c r="BB965" s="76" t="b">
        <v>1</v>
      </c>
      <c r="BC965" s="76" t="b">
        <v>0</v>
      </c>
      <c r="BD965" s="76" t="b">
        <v>0</v>
      </c>
      <c r="BE965" s="76" t="b">
        <v>1</v>
      </c>
      <c r="BF965" s="76" t="b">
        <v>0</v>
      </c>
      <c r="BG965" s="76" t="b">
        <v>0</v>
      </c>
      <c r="BH965" s="82" t="str">
        <f>HYPERLINK("https://pbs.twimg.com/profile_banners/68034200/1695225250")</f>
        <v>https://pbs.twimg.com/profile_banners/68034200/1695225250</v>
      </c>
      <c r="BI965" s="76"/>
      <c r="BJ965" s="76" t="s">
        <v>27595</v>
      </c>
      <c r="BK965" s="76" t="b">
        <v>0</v>
      </c>
      <c r="BL965" s="76"/>
      <c r="BM965" s="76" t="s">
        <v>65</v>
      </c>
      <c r="BN965" s="76" t="s">
        <v>27597</v>
      </c>
      <c r="BO965" s="82" t="str">
        <f>HYPERLINK("https://twitter.com/ramiromarra")</f>
        <v>https://twitter.com/ramiromarra</v>
      </c>
      <c r="BP965" s="2"/>
    </row>
    <row r="966" spans="1:68" x14ac:dyDescent="0.25">
      <c r="A966" s="62" t="s">
        <v>914</v>
      </c>
      <c r="B966" s="63"/>
      <c r="C966" s="63"/>
      <c r="D966" s="64"/>
      <c r="E966" s="66"/>
      <c r="F966" s="103" t="str">
        <f>HYPERLINK("https://pbs.twimg.com/profile_images/1593558486230630401/nLbNOlmN_normal.jpg")</f>
        <v>https://pbs.twimg.com/profile_images/1593558486230630401/nLbNOlmN_normal.jpg</v>
      </c>
      <c r="G966" s="63"/>
      <c r="H966" s="67"/>
      <c r="I966" s="68"/>
      <c r="J966" s="68"/>
      <c r="K966" s="67" t="s">
        <v>28560</v>
      </c>
      <c r="L966" s="71"/>
      <c r="M966" s="72"/>
      <c r="N966" s="72"/>
      <c r="O966" s="73"/>
      <c r="P966" s="74"/>
      <c r="Q966" s="74"/>
      <c r="R966" s="87"/>
      <c r="S966" s="87"/>
      <c r="T966" s="87"/>
      <c r="U966" s="87"/>
      <c r="V966" s="48"/>
      <c r="W966" s="48"/>
      <c r="X966" s="48"/>
      <c r="Y966" s="48"/>
      <c r="Z966" s="47"/>
      <c r="AA966" s="69">
        <v>966</v>
      </c>
      <c r="AB966" s="69"/>
      <c r="AC966" s="70"/>
      <c r="AD966" s="76" t="s">
        <v>22191</v>
      </c>
      <c r="AE966" s="81" t="s">
        <v>20828</v>
      </c>
      <c r="AF966" s="76">
        <v>2553</v>
      </c>
      <c r="AG966" s="76">
        <v>1</v>
      </c>
      <c r="AH966" s="76">
        <v>15730</v>
      </c>
      <c r="AI966" s="76">
        <v>9</v>
      </c>
      <c r="AJ966" s="76">
        <v>0</v>
      </c>
      <c r="AK966" s="76">
        <v>1323</v>
      </c>
      <c r="AL966" s="76" t="b">
        <v>0</v>
      </c>
      <c r="AM966" s="78">
        <v>44869.394976851851</v>
      </c>
      <c r="AN966" s="76"/>
      <c r="AO966" s="76" t="s">
        <v>25570</v>
      </c>
      <c r="AP966" s="76"/>
      <c r="AQ966" s="76"/>
      <c r="AR966" s="76"/>
      <c r="AS966" s="76"/>
      <c r="AT966" s="76"/>
      <c r="AU966" s="76"/>
      <c r="AV966" s="76"/>
      <c r="AW966" s="76"/>
      <c r="AX966" s="76" t="b">
        <v>1</v>
      </c>
      <c r="AY966" s="76"/>
      <c r="AZ966" s="76"/>
      <c r="BA966" s="76" t="b">
        <v>0</v>
      </c>
      <c r="BB966" s="76" t="b">
        <v>1</v>
      </c>
      <c r="BC966" s="76" t="b">
        <v>1</v>
      </c>
      <c r="BD966" s="76" t="b">
        <v>0</v>
      </c>
      <c r="BE966" s="76" t="b">
        <v>0</v>
      </c>
      <c r="BF966" s="76" t="b">
        <v>0</v>
      </c>
      <c r="BG966" s="76" t="b">
        <v>0</v>
      </c>
      <c r="BH966" s="82" t="str">
        <f>HYPERLINK("https://pbs.twimg.com/profile_banners/1588462988910010368/1685114892")</f>
        <v>https://pbs.twimg.com/profile_banners/1588462988910010368/1685114892</v>
      </c>
      <c r="BI966" s="76"/>
      <c r="BJ966" s="76" t="s">
        <v>27595</v>
      </c>
      <c r="BK966" s="76" t="b">
        <v>0</v>
      </c>
      <c r="BL966" s="76"/>
      <c r="BM966" s="76" t="s">
        <v>66</v>
      </c>
      <c r="BN966" s="76" t="s">
        <v>27597</v>
      </c>
      <c r="BO966" s="82" t="str">
        <f>HYPERLINK("https://twitter.com/imminent_newsde")</f>
        <v>https://twitter.com/imminent_newsde</v>
      </c>
      <c r="BP966" s="2"/>
    </row>
    <row r="967" spans="1:68" x14ac:dyDescent="0.25">
      <c r="A967" s="62" t="s">
        <v>1920</v>
      </c>
      <c r="B967" s="63"/>
      <c r="C967" s="63"/>
      <c r="D967" s="64"/>
      <c r="E967" s="66"/>
      <c r="F967" s="103" t="str">
        <f>HYPERLINK("https://pbs.twimg.com/profile_images/1705004672979701760/Sd2MBCxz_normal.jpg")</f>
        <v>https://pbs.twimg.com/profile_images/1705004672979701760/Sd2MBCxz_normal.jpg</v>
      </c>
      <c r="G967" s="63"/>
      <c r="H967" s="67"/>
      <c r="I967" s="68"/>
      <c r="J967" s="68"/>
      <c r="K967" s="67" t="s">
        <v>28561</v>
      </c>
      <c r="L967" s="71"/>
      <c r="M967" s="72"/>
      <c r="N967" s="72"/>
      <c r="O967" s="73"/>
      <c r="P967" s="74"/>
      <c r="Q967" s="74"/>
      <c r="R967" s="87"/>
      <c r="S967" s="87"/>
      <c r="T967" s="87"/>
      <c r="U967" s="87"/>
      <c r="V967" s="48"/>
      <c r="W967" s="48"/>
      <c r="X967" s="48"/>
      <c r="Y967" s="48"/>
      <c r="Z967" s="47"/>
      <c r="AA967" s="69">
        <v>967</v>
      </c>
      <c r="AB967" s="69"/>
      <c r="AC967" s="70"/>
      <c r="AD967" s="76" t="s">
        <v>22192</v>
      </c>
      <c r="AE967" s="81" t="s">
        <v>23577</v>
      </c>
      <c r="AF967" s="76">
        <v>1404</v>
      </c>
      <c r="AG967" s="76">
        <v>214</v>
      </c>
      <c r="AH967" s="76">
        <v>694</v>
      </c>
      <c r="AI967" s="76">
        <v>2</v>
      </c>
      <c r="AJ967" s="76">
        <v>2450</v>
      </c>
      <c r="AK967" s="76">
        <v>50</v>
      </c>
      <c r="AL967" s="76" t="b">
        <v>0</v>
      </c>
      <c r="AM967" s="78">
        <v>41075.8987037037</v>
      </c>
      <c r="AN967" s="76" t="s">
        <v>24091</v>
      </c>
      <c r="AO967" s="76" t="s">
        <v>25571</v>
      </c>
      <c r="AP967" s="76"/>
      <c r="AQ967" s="76"/>
      <c r="AR967" s="76"/>
      <c r="AS967" s="76"/>
      <c r="AT967" s="76"/>
      <c r="AU967" s="76"/>
      <c r="AV967" s="76">
        <v>1.6780876923519401E+18</v>
      </c>
      <c r="AW967" s="76"/>
      <c r="AX967" s="76" t="b">
        <v>0</v>
      </c>
      <c r="AY967" s="76"/>
      <c r="AZ967" s="76"/>
      <c r="BA967" s="76" t="b">
        <v>0</v>
      </c>
      <c r="BB967" s="76" t="b">
        <v>1</v>
      </c>
      <c r="BC967" s="76" t="b">
        <v>1</v>
      </c>
      <c r="BD967" s="76" t="b">
        <v>0</v>
      </c>
      <c r="BE967" s="76" t="b">
        <v>1</v>
      </c>
      <c r="BF967" s="76" t="b">
        <v>0</v>
      </c>
      <c r="BG967" s="76" t="b">
        <v>0</v>
      </c>
      <c r="BH967" s="82" t="str">
        <f>HYPERLINK("https://pbs.twimg.com/profile_banners/609454093/1601326926")</f>
        <v>https://pbs.twimg.com/profile_banners/609454093/1601326926</v>
      </c>
      <c r="BI967" s="76"/>
      <c r="BJ967" s="76" t="s">
        <v>27595</v>
      </c>
      <c r="BK967" s="76" t="b">
        <v>0</v>
      </c>
      <c r="BL967" s="76"/>
      <c r="BM967" s="76" t="s">
        <v>65</v>
      </c>
      <c r="BN967" s="76" t="s">
        <v>27597</v>
      </c>
      <c r="BO967" s="82" t="str">
        <f>HYPERLINK("https://twitter.com/brissapabon")</f>
        <v>https://twitter.com/brissapabon</v>
      </c>
      <c r="BP967" s="2"/>
    </row>
    <row r="968" spans="1:68" x14ac:dyDescent="0.25">
      <c r="A968" s="62" t="s">
        <v>915</v>
      </c>
      <c r="B968" s="63"/>
      <c r="C968" s="63"/>
      <c r="D968" s="64"/>
      <c r="E968" s="66"/>
      <c r="F968" s="103" t="str">
        <f>HYPERLINK("https://pbs.twimg.com/profile_images/540026005490900992/vnfaoEeo_normal.jpeg")</f>
        <v>https://pbs.twimg.com/profile_images/540026005490900992/vnfaoEeo_normal.jpeg</v>
      </c>
      <c r="G968" s="63"/>
      <c r="H968" s="67"/>
      <c r="I968" s="68"/>
      <c r="J968" s="68"/>
      <c r="K968" s="67" t="s">
        <v>28562</v>
      </c>
      <c r="L968" s="71"/>
      <c r="M968" s="72"/>
      <c r="N968" s="72"/>
      <c r="O968" s="73"/>
      <c r="P968" s="74"/>
      <c r="Q968" s="74"/>
      <c r="R968" s="87"/>
      <c r="S968" s="87"/>
      <c r="T968" s="87"/>
      <c r="U968" s="87"/>
      <c r="V968" s="48"/>
      <c r="W968" s="48"/>
      <c r="X968" s="48"/>
      <c r="Y968" s="48"/>
      <c r="Z968" s="47"/>
      <c r="AA968" s="69">
        <v>968</v>
      </c>
      <c r="AB968" s="69"/>
      <c r="AC968" s="70"/>
      <c r="AD968" s="76" t="s">
        <v>22193</v>
      </c>
      <c r="AE968" s="81" t="s">
        <v>23578</v>
      </c>
      <c r="AF968" s="76">
        <v>1548</v>
      </c>
      <c r="AG968" s="76">
        <v>4997</v>
      </c>
      <c r="AH968" s="76">
        <v>24564</v>
      </c>
      <c r="AI968" s="76">
        <v>12</v>
      </c>
      <c r="AJ968" s="76">
        <v>40159</v>
      </c>
      <c r="AK968" s="76">
        <v>8004</v>
      </c>
      <c r="AL968" s="76" t="b">
        <v>0</v>
      </c>
      <c r="AM968" s="78">
        <v>39951.0393287037</v>
      </c>
      <c r="AN968" s="76" t="s">
        <v>24421</v>
      </c>
      <c r="AO968" s="76" t="s">
        <v>25572</v>
      </c>
      <c r="AP968" s="82" t="str">
        <f>HYPERLINK("https://t.co/hdNNx1TOmi")</f>
        <v>https://t.co/hdNNx1TOmi</v>
      </c>
      <c r="AQ968" s="82" t="str">
        <f>HYPERLINK("https://cubalibre.blog/2019/01/25/aterrisando-em-cuba/")</f>
        <v>https://cubalibre.blog/2019/01/25/aterrisando-em-cuba/</v>
      </c>
      <c r="AR968" s="76" t="s">
        <v>26878</v>
      </c>
      <c r="AS968" s="76"/>
      <c r="AT968" s="76"/>
      <c r="AU968" s="76"/>
      <c r="AV968" s="76">
        <v>1.4518108273554199E+18</v>
      </c>
      <c r="AW968" s="82" t="str">
        <f>HYPERLINK("https://t.co/hdNNx1TOmi")</f>
        <v>https://t.co/hdNNx1TOmi</v>
      </c>
      <c r="AX968" s="76" t="b">
        <v>0</v>
      </c>
      <c r="AY968" s="76"/>
      <c r="AZ968" s="76"/>
      <c r="BA968" s="76" t="b">
        <v>0</v>
      </c>
      <c r="BB968" s="76" t="b">
        <v>1</v>
      </c>
      <c r="BC968" s="76" t="b">
        <v>0</v>
      </c>
      <c r="BD968" s="76" t="b">
        <v>0</v>
      </c>
      <c r="BE968" s="76" t="b">
        <v>0</v>
      </c>
      <c r="BF968" s="76" t="b">
        <v>0</v>
      </c>
      <c r="BG968" s="76" t="b">
        <v>0</v>
      </c>
      <c r="BH968" s="82" t="str">
        <f>HYPERLINK("https://pbs.twimg.com/profile_banners/40776090/1631224138")</f>
        <v>https://pbs.twimg.com/profile_banners/40776090/1631224138</v>
      </c>
      <c r="BI968" s="76"/>
      <c r="BJ968" s="76" t="s">
        <v>27595</v>
      </c>
      <c r="BK968" s="76" t="b">
        <v>0</v>
      </c>
      <c r="BL968" s="76"/>
      <c r="BM968" s="76" t="s">
        <v>66</v>
      </c>
      <c r="BN968" s="76" t="s">
        <v>27597</v>
      </c>
      <c r="BO968" s="82" t="str">
        <f>HYPERLINK("https://twitter.com/parego")</f>
        <v>https://twitter.com/parego</v>
      </c>
      <c r="BP968" s="2"/>
    </row>
    <row r="969" spans="1:68" x14ac:dyDescent="0.25">
      <c r="A969" s="62" t="s">
        <v>1921</v>
      </c>
      <c r="B969" s="63"/>
      <c r="C969" s="63"/>
      <c r="D969" s="64"/>
      <c r="E969" s="66"/>
      <c r="F969" s="103" t="str">
        <f>HYPERLINK("https://pbs.twimg.com/profile_images/1410744596326490112/51SvejYC_normal.jpg")</f>
        <v>https://pbs.twimg.com/profile_images/1410744596326490112/51SvejYC_normal.jpg</v>
      </c>
      <c r="G969" s="63"/>
      <c r="H969" s="67"/>
      <c r="I969" s="68"/>
      <c r="J969" s="68"/>
      <c r="K969" s="67" t="s">
        <v>28563</v>
      </c>
      <c r="L969" s="71"/>
      <c r="M969" s="72"/>
      <c r="N969" s="72"/>
      <c r="O969" s="73"/>
      <c r="P969" s="74"/>
      <c r="Q969" s="74"/>
      <c r="R969" s="87"/>
      <c r="S969" s="87"/>
      <c r="T969" s="87"/>
      <c r="U969" s="87"/>
      <c r="V969" s="48"/>
      <c r="W969" s="48"/>
      <c r="X969" s="48"/>
      <c r="Y969" s="48"/>
      <c r="Z969" s="47"/>
      <c r="AA969" s="69">
        <v>969</v>
      </c>
      <c r="AB969" s="69"/>
      <c r="AC969" s="70"/>
      <c r="AD969" s="76" t="s">
        <v>22194</v>
      </c>
      <c r="AE969" s="81" t="s">
        <v>23579</v>
      </c>
      <c r="AF969" s="76">
        <v>7372719</v>
      </c>
      <c r="AG969" s="76">
        <v>7306</v>
      </c>
      <c r="AH969" s="76">
        <v>542407</v>
      </c>
      <c r="AI969" s="76">
        <v>13295</v>
      </c>
      <c r="AJ969" s="76">
        <v>118</v>
      </c>
      <c r="AK969" s="76">
        <v>222624</v>
      </c>
      <c r="AL969" s="76" t="b">
        <v>0</v>
      </c>
      <c r="AM969" s="78">
        <v>40000.900613425925</v>
      </c>
      <c r="AN969" s="76"/>
      <c r="AO969" s="76" t="s">
        <v>25573</v>
      </c>
      <c r="AP969" s="82" t="str">
        <f>HYPERLINK("https://t.co/0M6BkoeCRz")</f>
        <v>https://t.co/0M6BkoeCRz</v>
      </c>
      <c r="AQ969" s="82" t="str">
        <f>HYPERLINK("https://oglobo.globo.com/")</f>
        <v>https://oglobo.globo.com/</v>
      </c>
      <c r="AR969" s="76" t="s">
        <v>26879</v>
      </c>
      <c r="AS969" s="76" t="s">
        <v>27383</v>
      </c>
      <c r="AT969" s="76" t="s">
        <v>27422</v>
      </c>
      <c r="AU969" s="76" t="s">
        <v>27511</v>
      </c>
      <c r="AV969" s="76">
        <v>1.7074092377756301E+18</v>
      </c>
      <c r="AW969" s="82" t="str">
        <f>HYPERLINK("https://t.co/0M6BkoeCRz")</f>
        <v>https://t.co/0M6BkoeCRz</v>
      </c>
      <c r="AX969" s="76" t="b">
        <v>1</v>
      </c>
      <c r="AY969" s="76"/>
      <c r="AZ969" s="76"/>
      <c r="BA969" s="76" t="b">
        <v>0</v>
      </c>
      <c r="BB969" s="76" t="b">
        <v>0</v>
      </c>
      <c r="BC969" s="76" t="b">
        <v>0</v>
      </c>
      <c r="BD969" s="76" t="b">
        <v>0</v>
      </c>
      <c r="BE969" s="76" t="b">
        <v>1</v>
      </c>
      <c r="BF969" s="76" t="b">
        <v>0</v>
      </c>
      <c r="BG969" s="76" t="b">
        <v>0</v>
      </c>
      <c r="BH969" s="82" t="str">
        <f>HYPERLINK("https://pbs.twimg.com/profile_banners/54341363/1682609381")</f>
        <v>https://pbs.twimg.com/profile_banners/54341363/1682609381</v>
      </c>
      <c r="BI969" s="76"/>
      <c r="BJ969" s="76" t="s">
        <v>27596</v>
      </c>
      <c r="BK969" s="76" t="b">
        <v>0</v>
      </c>
      <c r="BL969" s="76"/>
      <c r="BM969" s="76" t="s">
        <v>65</v>
      </c>
      <c r="BN969" s="76" t="s">
        <v>27597</v>
      </c>
      <c r="BO969" s="82" t="str">
        <f>HYPERLINK("https://twitter.com/jornaloglobo")</f>
        <v>https://twitter.com/jornaloglobo</v>
      </c>
      <c r="BP969" s="2"/>
    </row>
    <row r="970" spans="1:68" x14ac:dyDescent="0.25">
      <c r="A970" s="62" t="s">
        <v>1443</v>
      </c>
      <c r="B970" s="63"/>
      <c r="C970" s="63"/>
      <c r="D970" s="64"/>
      <c r="E970" s="66"/>
      <c r="F970" s="103" t="str">
        <f>HYPERLINK("https://pbs.twimg.com/profile_images/1297827081791905795/H4qtFpQ-_normal.jpg")</f>
        <v>https://pbs.twimg.com/profile_images/1297827081791905795/H4qtFpQ-_normal.jpg</v>
      </c>
      <c r="G970" s="63"/>
      <c r="H970" s="67"/>
      <c r="I970" s="68"/>
      <c r="J970" s="68"/>
      <c r="K970" s="67" t="s">
        <v>28564</v>
      </c>
      <c r="L970" s="71"/>
      <c r="M970" s="72"/>
      <c r="N970" s="72"/>
      <c r="O970" s="73"/>
      <c r="P970" s="74"/>
      <c r="Q970" s="74"/>
      <c r="R970" s="87"/>
      <c r="S970" s="87"/>
      <c r="T970" s="87"/>
      <c r="U970" s="87"/>
      <c r="V970" s="48"/>
      <c r="W970" s="48"/>
      <c r="X970" s="48"/>
      <c r="Y970" s="48"/>
      <c r="Z970" s="47"/>
      <c r="AA970" s="69">
        <v>970</v>
      </c>
      <c r="AB970" s="69"/>
      <c r="AC970" s="70"/>
      <c r="AD970" s="76" t="s">
        <v>22195</v>
      </c>
      <c r="AE970" s="81" t="s">
        <v>23580</v>
      </c>
      <c r="AF970" s="76">
        <v>7576450</v>
      </c>
      <c r="AG970" s="76">
        <v>335</v>
      </c>
      <c r="AH970" s="76">
        <v>542922</v>
      </c>
      <c r="AI970" s="76">
        <v>13647</v>
      </c>
      <c r="AJ970" s="76">
        <v>579</v>
      </c>
      <c r="AK970" s="76">
        <v>174175</v>
      </c>
      <c r="AL970" s="76" t="b">
        <v>0</v>
      </c>
      <c r="AM970" s="78">
        <v>39363.922476851854</v>
      </c>
      <c r="AN970" s="76" t="s">
        <v>14479</v>
      </c>
      <c r="AO970" s="76" t="s">
        <v>25574</v>
      </c>
      <c r="AP970" s="82" t="str">
        <f>HYPERLINK("https://t.co/81yLl1VOb5")</f>
        <v>https://t.co/81yLl1VOb5</v>
      </c>
      <c r="AQ970" s="82" t="str">
        <f>HYPERLINK("http://www.estadao.com.br")</f>
        <v>http://www.estadao.com.br</v>
      </c>
      <c r="AR970" s="76" t="s">
        <v>26880</v>
      </c>
      <c r="AS970" s="82" t="str">
        <f>HYPERLINK("https://t.co/hGsLKgFw9w")</f>
        <v>https://t.co/hGsLKgFw9w</v>
      </c>
      <c r="AT970" s="82" t="str">
        <f>HYPERLINK("http://instagram.com/estadao/")</f>
        <v>http://instagram.com/estadao/</v>
      </c>
      <c r="AU970" s="76" t="s">
        <v>27512</v>
      </c>
      <c r="AV970" s="76">
        <v>1.70737963174433E+18</v>
      </c>
      <c r="AW970" s="82" t="str">
        <f>HYPERLINK("https://t.co/81yLl1VOb5")</f>
        <v>https://t.co/81yLl1VOb5</v>
      </c>
      <c r="AX970" s="76" t="b">
        <v>1</v>
      </c>
      <c r="AY970" s="76"/>
      <c r="AZ970" s="76"/>
      <c r="BA970" s="76" t="b">
        <v>0</v>
      </c>
      <c r="BB970" s="76" t="b">
        <v>1</v>
      </c>
      <c r="BC970" s="76" t="b">
        <v>0</v>
      </c>
      <c r="BD970" s="76" t="b">
        <v>0</v>
      </c>
      <c r="BE970" s="76" t="b">
        <v>1</v>
      </c>
      <c r="BF970" s="76" t="b">
        <v>0</v>
      </c>
      <c r="BG970" s="76" t="b">
        <v>0</v>
      </c>
      <c r="BH970" s="82" t="str">
        <f>HYPERLINK("https://pbs.twimg.com/profile_banners/9317502/1642016302")</f>
        <v>https://pbs.twimg.com/profile_banners/9317502/1642016302</v>
      </c>
      <c r="BI970" s="76"/>
      <c r="BJ970" s="76" t="s">
        <v>27595</v>
      </c>
      <c r="BK970" s="76" t="b">
        <v>0</v>
      </c>
      <c r="BL970" s="76"/>
      <c r="BM970" s="76" t="s">
        <v>66</v>
      </c>
      <c r="BN970" s="76" t="s">
        <v>27597</v>
      </c>
      <c r="BO970" s="82" t="str">
        <f>HYPERLINK("https://twitter.com/estadao")</f>
        <v>https://twitter.com/estadao</v>
      </c>
      <c r="BP970" s="2"/>
    </row>
    <row r="971" spans="1:68" x14ac:dyDescent="0.25">
      <c r="A971" s="62" t="s">
        <v>1922</v>
      </c>
      <c r="B971" s="63"/>
      <c r="C971" s="63"/>
      <c r="D971" s="64"/>
      <c r="E971" s="66"/>
      <c r="F971" s="103" t="str">
        <f>HYPERLINK("https://pbs.twimg.com/profile_images/1682970426098556929/SrZ6UL2z_normal.jpg")</f>
        <v>https://pbs.twimg.com/profile_images/1682970426098556929/SrZ6UL2z_normal.jpg</v>
      </c>
      <c r="G971" s="63"/>
      <c r="H971" s="67"/>
      <c r="I971" s="68"/>
      <c r="J971" s="68"/>
      <c r="K971" s="67" t="s">
        <v>28565</v>
      </c>
      <c r="L971" s="71"/>
      <c r="M971" s="72"/>
      <c r="N971" s="72"/>
      <c r="O971" s="73"/>
      <c r="P971" s="74"/>
      <c r="Q971" s="74"/>
      <c r="R971" s="87"/>
      <c r="S971" s="87"/>
      <c r="T971" s="87"/>
      <c r="U971" s="87"/>
      <c r="V971" s="48"/>
      <c r="W971" s="48"/>
      <c r="X971" s="48"/>
      <c r="Y971" s="48"/>
      <c r="Z971" s="47"/>
      <c r="AA971" s="69">
        <v>971</v>
      </c>
      <c r="AB971" s="69"/>
      <c r="AC971" s="70"/>
      <c r="AD971" s="76" t="s">
        <v>22196</v>
      </c>
      <c r="AE971" s="81" t="s">
        <v>23581</v>
      </c>
      <c r="AF971" s="76">
        <v>1607661</v>
      </c>
      <c r="AG971" s="76">
        <v>1006</v>
      </c>
      <c r="AH971" s="76">
        <v>60014</v>
      </c>
      <c r="AI971" s="76">
        <v>3824</v>
      </c>
      <c r="AJ971" s="76">
        <v>317</v>
      </c>
      <c r="AK971" s="76">
        <v>4104</v>
      </c>
      <c r="AL971" s="76" t="b">
        <v>0</v>
      </c>
      <c r="AM971" s="78">
        <v>39803.649236111109</v>
      </c>
      <c r="AN971" s="76" t="s">
        <v>24422</v>
      </c>
      <c r="AO971" s="76" t="s">
        <v>25575</v>
      </c>
      <c r="AP971" s="82" t="str">
        <f>HYPERLINK("https://t.co/W1LMHVTCLl")</f>
        <v>https://t.co/W1LMHVTCLl</v>
      </c>
      <c r="AQ971" s="82" t="str">
        <f>HYPERLINK("http://linkin.bio/reinaldoazevedo")</f>
        <v>http://linkin.bio/reinaldoazevedo</v>
      </c>
      <c r="AR971" s="76" t="s">
        <v>26881</v>
      </c>
      <c r="AS971" s="76"/>
      <c r="AT971" s="76"/>
      <c r="AU971" s="76"/>
      <c r="AV971" s="76">
        <v>1.7062713306334899E+18</v>
      </c>
      <c r="AW971" s="82" t="str">
        <f>HYPERLINK("https://t.co/W1LMHVTCLl")</f>
        <v>https://t.co/W1LMHVTCLl</v>
      </c>
      <c r="AX971" s="76" t="b">
        <v>1</v>
      </c>
      <c r="AY971" s="76"/>
      <c r="AZ971" s="76"/>
      <c r="BA971" s="76" t="b">
        <v>0</v>
      </c>
      <c r="BB971" s="76" t="b">
        <v>1</v>
      </c>
      <c r="BC971" s="76" t="b">
        <v>0</v>
      </c>
      <c r="BD971" s="76" t="b">
        <v>0</v>
      </c>
      <c r="BE971" s="76" t="b">
        <v>1</v>
      </c>
      <c r="BF971" s="76" t="b">
        <v>0</v>
      </c>
      <c r="BG971" s="76" t="b">
        <v>0</v>
      </c>
      <c r="BH971" s="82" t="str">
        <f>HYPERLINK("https://pbs.twimg.com/profile_banners/18286139/1679542905")</f>
        <v>https://pbs.twimg.com/profile_banners/18286139/1679542905</v>
      </c>
      <c r="BI971" s="76"/>
      <c r="BJ971" s="76" t="s">
        <v>27595</v>
      </c>
      <c r="BK971" s="76" t="b">
        <v>0</v>
      </c>
      <c r="BL971" s="76"/>
      <c r="BM971" s="76" t="s">
        <v>65</v>
      </c>
      <c r="BN971" s="76" t="s">
        <v>27597</v>
      </c>
      <c r="BO971" s="82" t="str">
        <f>HYPERLINK("https://twitter.com/reinaldoazevedo")</f>
        <v>https://twitter.com/reinaldoazevedo</v>
      </c>
      <c r="BP971" s="2"/>
    </row>
    <row r="972" spans="1:68" x14ac:dyDescent="0.25">
      <c r="A972" s="62" t="s">
        <v>916</v>
      </c>
      <c r="B972" s="63"/>
      <c r="C972" s="63"/>
      <c r="D972" s="64"/>
      <c r="E972" s="66"/>
      <c r="F972" s="103" t="str">
        <f>HYPERLINK("https://pbs.twimg.com/profile_images/1598322970006634500/3Yujn1Iq_normal.jpg")</f>
        <v>https://pbs.twimg.com/profile_images/1598322970006634500/3Yujn1Iq_normal.jpg</v>
      </c>
      <c r="G972" s="63"/>
      <c r="H972" s="67"/>
      <c r="I972" s="68"/>
      <c r="J972" s="68"/>
      <c r="K972" s="67" t="s">
        <v>28566</v>
      </c>
      <c r="L972" s="71"/>
      <c r="M972" s="72"/>
      <c r="N972" s="72"/>
      <c r="O972" s="73"/>
      <c r="P972" s="74"/>
      <c r="Q972" s="74"/>
      <c r="R972" s="87"/>
      <c r="S972" s="87"/>
      <c r="T972" s="87"/>
      <c r="U972" s="87"/>
      <c r="V972" s="48"/>
      <c r="W972" s="48"/>
      <c r="X972" s="48"/>
      <c r="Y972" s="48"/>
      <c r="Z972" s="47"/>
      <c r="AA972" s="69">
        <v>972</v>
      </c>
      <c r="AB972" s="69"/>
      <c r="AC972" s="70"/>
      <c r="AD972" s="76" t="s">
        <v>22197</v>
      </c>
      <c r="AE972" s="81" t="s">
        <v>20829</v>
      </c>
      <c r="AF972" s="76">
        <v>163</v>
      </c>
      <c r="AG972" s="76">
        <v>9</v>
      </c>
      <c r="AH972" s="76">
        <v>5980</v>
      </c>
      <c r="AI972" s="76">
        <v>0</v>
      </c>
      <c r="AJ972" s="76">
        <v>67</v>
      </c>
      <c r="AK972" s="76">
        <v>1196</v>
      </c>
      <c r="AL972" s="76" t="b">
        <v>0</v>
      </c>
      <c r="AM972" s="78">
        <v>44341.715694444443</v>
      </c>
      <c r="AN972" s="76" t="s">
        <v>24423</v>
      </c>
      <c r="AO972" s="76" t="s">
        <v>25576</v>
      </c>
      <c r="AP972" s="82" t="str">
        <f>HYPERLINK("https://t.co/qzxudjyiF1")</f>
        <v>https://t.co/qzxudjyiF1</v>
      </c>
      <c r="AQ972" s="82" t="str">
        <f>HYPERLINK("https://dolcarajas.com.br")</f>
        <v>https://dolcarajas.com.br</v>
      </c>
      <c r="AR972" s="76" t="s">
        <v>26882</v>
      </c>
      <c r="AS972" s="76"/>
      <c r="AT972" s="76"/>
      <c r="AU972" s="76"/>
      <c r="AV972" s="76"/>
      <c r="AW972" s="82" t="str">
        <f>HYPERLINK("https://t.co/qzxudjyiF1")</f>
        <v>https://t.co/qzxudjyiF1</v>
      </c>
      <c r="AX972" s="76" t="b">
        <v>0</v>
      </c>
      <c r="AY972" s="76"/>
      <c r="AZ972" s="76"/>
      <c r="BA972" s="76" t="b">
        <v>0</v>
      </c>
      <c r="BB972" s="76" t="b">
        <v>1</v>
      </c>
      <c r="BC972" s="76" t="b">
        <v>1</v>
      </c>
      <c r="BD972" s="76" t="b">
        <v>0</v>
      </c>
      <c r="BE972" s="76" t="b">
        <v>0</v>
      </c>
      <c r="BF972" s="76" t="b">
        <v>0</v>
      </c>
      <c r="BG972" s="76" t="b">
        <v>0</v>
      </c>
      <c r="BH972" s="82" t="str">
        <f>HYPERLINK("https://pbs.twimg.com/profile_banners/1397238293926801408/1673386178")</f>
        <v>https://pbs.twimg.com/profile_banners/1397238293926801408/1673386178</v>
      </c>
      <c r="BI972" s="76"/>
      <c r="BJ972" s="76" t="s">
        <v>27595</v>
      </c>
      <c r="BK972" s="76" t="b">
        <v>0</v>
      </c>
      <c r="BL972" s="76"/>
      <c r="BM972" s="76" t="s">
        <v>66</v>
      </c>
      <c r="BN972" s="76" t="s">
        <v>27597</v>
      </c>
      <c r="BO972" s="82" t="str">
        <f>HYPERLINK("https://twitter.com/dolcarajas")</f>
        <v>https://twitter.com/dolcarajas</v>
      </c>
      <c r="BP972" s="2"/>
    </row>
    <row r="973" spans="1:68" x14ac:dyDescent="0.25">
      <c r="A973" s="62" t="s">
        <v>919</v>
      </c>
      <c r="B973" s="63"/>
      <c r="C973" s="63"/>
      <c r="D973" s="64"/>
      <c r="E973" s="66"/>
      <c r="F973" s="103" t="str">
        <f>HYPERLINK("https://pbs.twimg.com/profile_images/1474363421466533897/zfacTerW_normal.jpg")</f>
        <v>https://pbs.twimg.com/profile_images/1474363421466533897/zfacTerW_normal.jpg</v>
      </c>
      <c r="G973" s="63"/>
      <c r="H973" s="67"/>
      <c r="I973" s="68"/>
      <c r="J973" s="68"/>
      <c r="K973" s="67" t="s">
        <v>28567</v>
      </c>
      <c r="L973" s="71"/>
      <c r="M973" s="72"/>
      <c r="N973" s="72"/>
      <c r="O973" s="73"/>
      <c r="P973" s="74"/>
      <c r="Q973" s="74"/>
      <c r="R973" s="87"/>
      <c r="S973" s="87"/>
      <c r="T973" s="87"/>
      <c r="U973" s="87"/>
      <c r="V973" s="48"/>
      <c r="W973" s="48"/>
      <c r="X973" s="48"/>
      <c r="Y973" s="48"/>
      <c r="Z973" s="47"/>
      <c r="AA973" s="69">
        <v>973</v>
      </c>
      <c r="AB973" s="69"/>
      <c r="AC973" s="70"/>
      <c r="AD973" s="76" t="s">
        <v>22198</v>
      </c>
      <c r="AE973" s="81" t="s">
        <v>23582</v>
      </c>
      <c r="AF973" s="76">
        <v>10015</v>
      </c>
      <c r="AG973" s="76">
        <v>1737</v>
      </c>
      <c r="AH973" s="76">
        <v>118480</v>
      </c>
      <c r="AI973" s="76">
        <v>121</v>
      </c>
      <c r="AJ973" s="76">
        <v>222</v>
      </c>
      <c r="AK973" s="76">
        <v>3632</v>
      </c>
      <c r="AL973" s="76" t="b">
        <v>0</v>
      </c>
      <c r="AM973" s="78">
        <v>41851.556493055556</v>
      </c>
      <c r="AN973" s="76" t="s">
        <v>24424</v>
      </c>
      <c r="AO973" s="76" t="s">
        <v>25577</v>
      </c>
      <c r="AP973" s="82" t="str">
        <f>HYPERLINK("https://t.co/WHrfkEJvzH")</f>
        <v>https://t.co/WHrfkEJvzH</v>
      </c>
      <c r="AQ973" s="82" t="str">
        <f>HYPERLINK("http://diariotag.com")</f>
        <v>http://diariotag.com</v>
      </c>
      <c r="AR973" s="76" t="s">
        <v>8772</v>
      </c>
      <c r="AS973" s="76"/>
      <c r="AT973" s="76"/>
      <c r="AU973" s="76"/>
      <c r="AV973" s="76"/>
      <c r="AW973" s="82" t="str">
        <f>HYPERLINK("https://t.co/WHrfkEJvzH")</f>
        <v>https://t.co/WHrfkEJvzH</v>
      </c>
      <c r="AX973" s="76" t="b">
        <v>0</v>
      </c>
      <c r="AY973" s="76"/>
      <c r="AZ973" s="76"/>
      <c r="BA973" s="76" t="b">
        <v>0</v>
      </c>
      <c r="BB973" s="76" t="b">
        <v>1</v>
      </c>
      <c r="BC973" s="76" t="b">
        <v>0</v>
      </c>
      <c r="BD973" s="76" t="b">
        <v>0</v>
      </c>
      <c r="BE973" s="76" t="b">
        <v>1</v>
      </c>
      <c r="BF973" s="76" t="b">
        <v>0</v>
      </c>
      <c r="BG973" s="76" t="b">
        <v>0</v>
      </c>
      <c r="BH973" s="82" t="str">
        <f>HYPERLINK("https://pbs.twimg.com/profile_banners/2695707476/1673016924")</f>
        <v>https://pbs.twimg.com/profile_banners/2695707476/1673016924</v>
      </c>
      <c r="BI973" s="76"/>
      <c r="BJ973" s="76" t="s">
        <v>27595</v>
      </c>
      <c r="BK973" s="76" t="b">
        <v>0</v>
      </c>
      <c r="BL973" s="76"/>
      <c r="BM973" s="76" t="s">
        <v>66</v>
      </c>
      <c r="BN973" s="76" t="s">
        <v>27597</v>
      </c>
      <c r="BO973" s="82" t="str">
        <f>HYPERLINK("https://twitter.com/diariotag")</f>
        <v>https://twitter.com/diariotag</v>
      </c>
      <c r="BP973" s="2"/>
    </row>
    <row r="974" spans="1:68" x14ac:dyDescent="0.25">
      <c r="A974" s="62" t="s">
        <v>920</v>
      </c>
      <c r="B974" s="63"/>
      <c r="C974" s="63"/>
      <c r="D974" s="64"/>
      <c r="E974" s="66"/>
      <c r="F974" s="103" t="str">
        <f>HYPERLINK("https://pbs.twimg.com/profile_images/1254559122130898944/CjnKHAnt_normal.jpg")</f>
        <v>https://pbs.twimg.com/profile_images/1254559122130898944/CjnKHAnt_normal.jpg</v>
      </c>
      <c r="G974" s="63"/>
      <c r="H974" s="67"/>
      <c r="I974" s="68"/>
      <c r="J974" s="68"/>
      <c r="K974" s="67" t="s">
        <v>28568</v>
      </c>
      <c r="L974" s="71"/>
      <c r="M974" s="72"/>
      <c r="N974" s="72"/>
      <c r="O974" s="73"/>
      <c r="P974" s="74"/>
      <c r="Q974" s="74"/>
      <c r="R974" s="87"/>
      <c r="S974" s="87"/>
      <c r="T974" s="87"/>
      <c r="U974" s="87"/>
      <c r="V974" s="48"/>
      <c r="W974" s="48"/>
      <c r="X974" s="48"/>
      <c r="Y974" s="48"/>
      <c r="Z974" s="47"/>
      <c r="AA974" s="69">
        <v>974</v>
      </c>
      <c r="AB974" s="69"/>
      <c r="AC974" s="70"/>
      <c r="AD974" s="76" t="s">
        <v>22199</v>
      </c>
      <c r="AE974" s="81" t="s">
        <v>23583</v>
      </c>
      <c r="AF974" s="76">
        <v>2698</v>
      </c>
      <c r="AG974" s="76">
        <v>5000</v>
      </c>
      <c r="AH974" s="76">
        <v>145476</v>
      </c>
      <c r="AI974" s="76">
        <v>47</v>
      </c>
      <c r="AJ974" s="76">
        <v>932</v>
      </c>
      <c r="AK974" s="76">
        <v>551</v>
      </c>
      <c r="AL974" s="76" t="b">
        <v>0</v>
      </c>
      <c r="AM974" s="78">
        <v>41689.569074074076</v>
      </c>
      <c r="AN974" s="76" t="s">
        <v>24425</v>
      </c>
      <c r="AO974" s="76" t="s">
        <v>25578</v>
      </c>
      <c r="AP974" s="76"/>
      <c r="AQ974" s="76"/>
      <c r="AR974" s="76"/>
      <c r="AS974" s="76"/>
      <c r="AT974" s="76"/>
      <c r="AU974" s="76"/>
      <c r="AV974" s="76"/>
      <c r="AW974" s="76"/>
      <c r="AX974" s="76" t="b">
        <v>0</v>
      </c>
      <c r="AY974" s="76"/>
      <c r="AZ974" s="76"/>
      <c r="BA974" s="76" t="b">
        <v>1</v>
      </c>
      <c r="BB974" s="76" t="b">
        <v>0</v>
      </c>
      <c r="BC974" s="76" t="b">
        <v>0</v>
      </c>
      <c r="BD974" s="76" t="b">
        <v>0</v>
      </c>
      <c r="BE974" s="76" t="b">
        <v>1</v>
      </c>
      <c r="BF974" s="76" t="b">
        <v>0</v>
      </c>
      <c r="BG974" s="76" t="b">
        <v>0</v>
      </c>
      <c r="BH974" s="82" t="str">
        <f>HYPERLINK("https://pbs.twimg.com/profile_banners/2351712487/1587945025")</f>
        <v>https://pbs.twimg.com/profile_banners/2351712487/1587945025</v>
      </c>
      <c r="BI974" s="76"/>
      <c r="BJ974" s="76" t="s">
        <v>27595</v>
      </c>
      <c r="BK974" s="76" t="b">
        <v>0</v>
      </c>
      <c r="BL974" s="76"/>
      <c r="BM974" s="76" t="s">
        <v>66</v>
      </c>
      <c r="BN974" s="76" t="s">
        <v>27597</v>
      </c>
      <c r="BO974" s="82" t="str">
        <f>HYPERLINK("https://twitter.com/infonoticiasarg")</f>
        <v>https://twitter.com/infonoticiasarg</v>
      </c>
      <c r="BP974" s="2"/>
    </row>
    <row r="975" spans="1:68" x14ac:dyDescent="0.25">
      <c r="A975" s="62" t="s">
        <v>921</v>
      </c>
      <c r="B975" s="63"/>
      <c r="C975" s="63"/>
      <c r="D975" s="64"/>
      <c r="E975" s="66"/>
      <c r="F975" s="103" t="str">
        <f>HYPERLINK("https://pbs.twimg.com/profile_images/1574765053630365701/_sClcOaj_normal.jpg")</f>
        <v>https://pbs.twimg.com/profile_images/1574765053630365701/_sClcOaj_normal.jpg</v>
      </c>
      <c r="G975" s="63"/>
      <c r="H975" s="67"/>
      <c r="I975" s="68"/>
      <c r="J975" s="68"/>
      <c r="K975" s="67" t="s">
        <v>28569</v>
      </c>
      <c r="L975" s="71"/>
      <c r="M975" s="72"/>
      <c r="N975" s="72"/>
      <c r="O975" s="73"/>
      <c r="P975" s="74"/>
      <c r="Q975" s="74"/>
      <c r="R975" s="87"/>
      <c r="S975" s="87"/>
      <c r="T975" s="87"/>
      <c r="U975" s="87"/>
      <c r="V975" s="48"/>
      <c r="W975" s="48"/>
      <c r="X975" s="48"/>
      <c r="Y975" s="48"/>
      <c r="Z975" s="47"/>
      <c r="AA975" s="69">
        <v>975</v>
      </c>
      <c r="AB975" s="69"/>
      <c r="AC975" s="70"/>
      <c r="AD975" s="76" t="s">
        <v>22200</v>
      </c>
      <c r="AE975" s="81" t="s">
        <v>20831</v>
      </c>
      <c r="AF975" s="76">
        <v>18</v>
      </c>
      <c r="AG975" s="76">
        <v>10</v>
      </c>
      <c r="AH975" s="76">
        <v>618</v>
      </c>
      <c r="AI975" s="76">
        <v>0</v>
      </c>
      <c r="AJ975" s="76">
        <v>0</v>
      </c>
      <c r="AK975" s="76">
        <v>617</v>
      </c>
      <c r="AL975" s="76" t="b">
        <v>0</v>
      </c>
      <c r="AM975" s="78">
        <v>44813.12699074074</v>
      </c>
      <c r="AN975" s="76" t="s">
        <v>14381</v>
      </c>
      <c r="AO975" s="76" t="s">
        <v>25579</v>
      </c>
      <c r="AP975" s="82" t="str">
        <f>HYPERLINK("https://t.co/lGETebZqCa")</f>
        <v>https://t.co/lGETebZqCa</v>
      </c>
      <c r="AQ975" s="82" t="str">
        <f>HYPERLINK("http://ecos.com.do")</f>
        <v>http://ecos.com.do</v>
      </c>
      <c r="AR975" s="76" t="s">
        <v>26883</v>
      </c>
      <c r="AS975" s="76"/>
      <c r="AT975" s="76"/>
      <c r="AU975" s="76"/>
      <c r="AV975" s="76"/>
      <c r="AW975" s="82" t="str">
        <f>HYPERLINK("https://t.co/lGETebZqCa")</f>
        <v>https://t.co/lGETebZqCa</v>
      </c>
      <c r="AX975" s="76" t="b">
        <v>0</v>
      </c>
      <c r="AY975" s="76"/>
      <c r="AZ975" s="76"/>
      <c r="BA975" s="76" t="b">
        <v>0</v>
      </c>
      <c r="BB975" s="76" t="b">
        <v>1</v>
      </c>
      <c r="BC975" s="76" t="b">
        <v>1</v>
      </c>
      <c r="BD975" s="76" t="b">
        <v>0</v>
      </c>
      <c r="BE975" s="76" t="b">
        <v>1</v>
      </c>
      <c r="BF975" s="76" t="b">
        <v>0</v>
      </c>
      <c r="BG975" s="76" t="b">
        <v>0</v>
      </c>
      <c r="BH975" s="82" t="str">
        <f>HYPERLINK("https://pbs.twimg.com/profile_banners/1568072347768201216/1664288221")</f>
        <v>https://pbs.twimg.com/profile_banners/1568072347768201216/1664288221</v>
      </c>
      <c r="BI975" s="76"/>
      <c r="BJ975" s="76" t="s">
        <v>27595</v>
      </c>
      <c r="BK975" s="76" t="b">
        <v>0</v>
      </c>
      <c r="BL975" s="76"/>
      <c r="BM975" s="76" t="s">
        <v>66</v>
      </c>
      <c r="BN975" s="76" t="s">
        <v>27597</v>
      </c>
      <c r="BO975" s="82" t="str">
        <f>HYPERLINK("https://twitter.com/canalecos")</f>
        <v>https://twitter.com/canalecos</v>
      </c>
      <c r="BP975" s="2"/>
    </row>
    <row r="976" spans="1:68" x14ac:dyDescent="0.25">
      <c r="A976" s="62" t="s">
        <v>922</v>
      </c>
      <c r="B976" s="63"/>
      <c r="C976" s="63"/>
      <c r="D976" s="64"/>
      <c r="E976" s="66"/>
      <c r="F976" s="103" t="str">
        <f>HYPERLINK("https://pbs.twimg.com/profile_images/1278085621731467266/idm4j1EI_normal.jpg")</f>
        <v>https://pbs.twimg.com/profile_images/1278085621731467266/idm4j1EI_normal.jpg</v>
      </c>
      <c r="G976" s="63"/>
      <c r="H976" s="67"/>
      <c r="I976" s="68"/>
      <c r="J976" s="68"/>
      <c r="K976" s="67" t="s">
        <v>28570</v>
      </c>
      <c r="L976" s="71"/>
      <c r="M976" s="72"/>
      <c r="N976" s="72"/>
      <c r="O976" s="73"/>
      <c r="P976" s="74"/>
      <c r="Q976" s="74"/>
      <c r="R976" s="87"/>
      <c r="S976" s="87"/>
      <c r="T976" s="87"/>
      <c r="U976" s="87"/>
      <c r="V976" s="48"/>
      <c r="W976" s="48"/>
      <c r="X976" s="48"/>
      <c r="Y976" s="48"/>
      <c r="Z976" s="47"/>
      <c r="AA976" s="69">
        <v>976</v>
      </c>
      <c r="AB976" s="69"/>
      <c r="AC976" s="70"/>
      <c r="AD976" s="76" t="s">
        <v>22201</v>
      </c>
      <c r="AE976" s="81" t="s">
        <v>20832</v>
      </c>
      <c r="AF976" s="76">
        <v>10</v>
      </c>
      <c r="AG976" s="76">
        <v>17</v>
      </c>
      <c r="AH976" s="76">
        <v>752</v>
      </c>
      <c r="AI976" s="76">
        <v>0</v>
      </c>
      <c r="AJ976" s="76">
        <v>388</v>
      </c>
      <c r="AK976" s="76">
        <v>45</v>
      </c>
      <c r="AL976" s="76" t="b">
        <v>0</v>
      </c>
      <c r="AM976" s="78">
        <v>44012.915324074071</v>
      </c>
      <c r="AN976" s="76"/>
      <c r="AO976" s="76" t="s">
        <v>25580</v>
      </c>
      <c r="AP976" s="76"/>
      <c r="AQ976" s="76"/>
      <c r="AR976" s="76"/>
      <c r="AS976" s="76"/>
      <c r="AT976" s="76"/>
      <c r="AU976" s="76"/>
      <c r="AV976" s="76"/>
      <c r="AW976" s="76"/>
      <c r="AX976" s="76" t="b">
        <v>0</v>
      </c>
      <c r="AY976" s="76"/>
      <c r="AZ976" s="76"/>
      <c r="BA976" s="76" t="b">
        <v>0</v>
      </c>
      <c r="BB976" s="76" t="b">
        <v>1</v>
      </c>
      <c r="BC976" s="76" t="b">
        <v>1</v>
      </c>
      <c r="BD976" s="76" t="b">
        <v>0</v>
      </c>
      <c r="BE976" s="76" t="b">
        <v>1</v>
      </c>
      <c r="BF976" s="76" t="b">
        <v>0</v>
      </c>
      <c r="BG976" s="76" t="b">
        <v>0</v>
      </c>
      <c r="BH976" s="76"/>
      <c r="BI976" s="76"/>
      <c r="BJ976" s="76" t="s">
        <v>27595</v>
      </c>
      <c r="BK976" s="76" t="b">
        <v>0</v>
      </c>
      <c r="BL976" s="76"/>
      <c r="BM976" s="76" t="s">
        <v>66</v>
      </c>
      <c r="BN976" s="76" t="s">
        <v>27597</v>
      </c>
      <c r="BO976" s="82" t="str">
        <f>HYPERLINK("https://twitter.com/luciano_valero")</f>
        <v>https://twitter.com/luciano_valero</v>
      </c>
      <c r="BP976" s="2"/>
    </row>
    <row r="977" spans="1:68" x14ac:dyDescent="0.25">
      <c r="A977" s="62" t="s">
        <v>923</v>
      </c>
      <c r="B977" s="63"/>
      <c r="C977" s="63"/>
      <c r="D977" s="64"/>
      <c r="E977" s="66"/>
      <c r="F977" s="103" t="str">
        <f>HYPERLINK("https://pbs.twimg.com/profile_images/1602475572424220673/IPZN8KAq_normal.jpg")</f>
        <v>https://pbs.twimg.com/profile_images/1602475572424220673/IPZN8KAq_normal.jpg</v>
      </c>
      <c r="G977" s="63"/>
      <c r="H977" s="67"/>
      <c r="I977" s="68"/>
      <c r="J977" s="68"/>
      <c r="K977" s="67" t="s">
        <v>28571</v>
      </c>
      <c r="L977" s="71"/>
      <c r="M977" s="72"/>
      <c r="N977" s="72"/>
      <c r="O977" s="73"/>
      <c r="P977" s="74"/>
      <c r="Q977" s="74"/>
      <c r="R977" s="87"/>
      <c r="S977" s="87"/>
      <c r="T977" s="87"/>
      <c r="U977" s="87"/>
      <c r="V977" s="48"/>
      <c r="W977" s="48"/>
      <c r="X977" s="48"/>
      <c r="Y977" s="48"/>
      <c r="Z977" s="47"/>
      <c r="AA977" s="69">
        <v>977</v>
      </c>
      <c r="AB977" s="69"/>
      <c r="AC977" s="70"/>
      <c r="AD977" s="76" t="s">
        <v>22202</v>
      </c>
      <c r="AE977" s="81" t="s">
        <v>20833</v>
      </c>
      <c r="AF977" s="76">
        <v>2</v>
      </c>
      <c r="AG977" s="76">
        <v>41</v>
      </c>
      <c r="AH977" s="76">
        <v>972</v>
      </c>
      <c r="AI977" s="76">
        <v>0</v>
      </c>
      <c r="AJ977" s="76">
        <v>3270</v>
      </c>
      <c r="AK977" s="76">
        <v>20</v>
      </c>
      <c r="AL977" s="76" t="b">
        <v>0</v>
      </c>
      <c r="AM977" s="78">
        <v>44908.061608796299</v>
      </c>
      <c r="AN977" s="76"/>
      <c r="AO977" s="76"/>
      <c r="AP977" s="76"/>
      <c r="AQ977" s="76"/>
      <c r="AR977" s="76"/>
      <c r="AS977" s="76"/>
      <c r="AT977" s="76"/>
      <c r="AU977" s="76"/>
      <c r="AV977" s="76"/>
      <c r="AW977" s="76"/>
      <c r="AX977" s="76" t="b">
        <v>0</v>
      </c>
      <c r="AY977" s="76"/>
      <c r="AZ977" s="76"/>
      <c r="BA977" s="76" t="b">
        <v>0</v>
      </c>
      <c r="BB977" s="76" t="b">
        <v>1</v>
      </c>
      <c r="BC977" s="76" t="b">
        <v>1</v>
      </c>
      <c r="BD977" s="76" t="b">
        <v>0</v>
      </c>
      <c r="BE977" s="76" t="b">
        <v>0</v>
      </c>
      <c r="BF977" s="76" t="b">
        <v>0</v>
      </c>
      <c r="BG977" s="76" t="b">
        <v>0</v>
      </c>
      <c r="BH977" s="76"/>
      <c r="BI977" s="76"/>
      <c r="BJ977" s="76" t="s">
        <v>27595</v>
      </c>
      <c r="BK977" s="76" t="b">
        <v>0</v>
      </c>
      <c r="BL977" s="76"/>
      <c r="BM977" s="76" t="s">
        <v>66</v>
      </c>
      <c r="BN977" s="76" t="s">
        <v>27597</v>
      </c>
      <c r="BO977" s="82" t="str">
        <f>HYPERLINK("https://twitter.com/raphael11081369")</f>
        <v>https://twitter.com/raphael11081369</v>
      </c>
      <c r="BP977" s="2"/>
    </row>
    <row r="978" spans="1:68" x14ac:dyDescent="0.25">
      <c r="A978" s="62" t="s">
        <v>924</v>
      </c>
      <c r="B978" s="63"/>
      <c r="C978" s="63"/>
      <c r="D978" s="64"/>
      <c r="E978" s="66"/>
      <c r="F978" s="103" t="str">
        <f>HYPERLINK("https://pbs.twimg.com/profile_images/1635942741581475841/eHTeEhQW_normal.png")</f>
        <v>https://pbs.twimg.com/profile_images/1635942741581475841/eHTeEhQW_normal.png</v>
      </c>
      <c r="G978" s="63"/>
      <c r="H978" s="67"/>
      <c r="I978" s="68"/>
      <c r="J978" s="68"/>
      <c r="K978" s="67" t="s">
        <v>28572</v>
      </c>
      <c r="L978" s="71"/>
      <c r="M978" s="72"/>
      <c r="N978" s="72"/>
      <c r="O978" s="73"/>
      <c r="P978" s="74"/>
      <c r="Q978" s="74"/>
      <c r="R978" s="87"/>
      <c r="S978" s="87"/>
      <c r="T978" s="87"/>
      <c r="U978" s="87"/>
      <c r="V978" s="48"/>
      <c r="W978" s="48"/>
      <c r="X978" s="48"/>
      <c r="Y978" s="48"/>
      <c r="Z978" s="47"/>
      <c r="AA978" s="69">
        <v>978</v>
      </c>
      <c r="AB978" s="69"/>
      <c r="AC978" s="70"/>
      <c r="AD978" s="76" t="s">
        <v>22203</v>
      </c>
      <c r="AE978" s="81" t="s">
        <v>20834</v>
      </c>
      <c r="AF978" s="76">
        <v>13</v>
      </c>
      <c r="AG978" s="76">
        <v>8</v>
      </c>
      <c r="AH978" s="76">
        <v>469</v>
      </c>
      <c r="AI978" s="76">
        <v>0</v>
      </c>
      <c r="AJ978" s="76">
        <v>2</v>
      </c>
      <c r="AK978" s="76">
        <v>28</v>
      </c>
      <c r="AL978" s="76" t="b">
        <v>0</v>
      </c>
      <c r="AM978" s="78">
        <v>44998.533993055556</v>
      </c>
      <c r="AN978" s="76"/>
      <c r="AO978" s="76" t="s">
        <v>25581</v>
      </c>
      <c r="AP978" s="82" t="str">
        <f>HYPERLINK("https://t.co/CRd1icXFrW")</f>
        <v>https://t.co/CRd1icXFrW</v>
      </c>
      <c r="AQ978" s="82" t="str">
        <f>HYPERLINK("https://easylawmagazine.com/")</f>
        <v>https://easylawmagazine.com/</v>
      </c>
      <c r="AR978" s="76" t="s">
        <v>8773</v>
      </c>
      <c r="AS978" s="76"/>
      <c r="AT978" s="76"/>
      <c r="AU978" s="76"/>
      <c r="AV978" s="76"/>
      <c r="AW978" s="82" t="str">
        <f>HYPERLINK("https://t.co/CRd1icXFrW")</f>
        <v>https://t.co/CRd1icXFrW</v>
      </c>
      <c r="AX978" s="76" t="b">
        <v>0</v>
      </c>
      <c r="AY978" s="76"/>
      <c r="AZ978" s="76"/>
      <c r="BA978" s="76" t="b">
        <v>0</v>
      </c>
      <c r="BB978" s="76" t="b">
        <v>1</v>
      </c>
      <c r="BC978" s="76" t="b">
        <v>1</v>
      </c>
      <c r="BD978" s="76" t="b">
        <v>0</v>
      </c>
      <c r="BE978" s="76" t="b">
        <v>0</v>
      </c>
      <c r="BF978" s="76" t="b">
        <v>0</v>
      </c>
      <c r="BG978" s="76" t="b">
        <v>0</v>
      </c>
      <c r="BH978" s="82" t="str">
        <f>HYPERLINK("https://pbs.twimg.com/profile_banners/1635261590734815234/1678874601")</f>
        <v>https://pbs.twimg.com/profile_banners/1635261590734815234/1678874601</v>
      </c>
      <c r="BI978" s="76"/>
      <c r="BJ978" s="76" t="s">
        <v>27595</v>
      </c>
      <c r="BK978" s="76" t="b">
        <v>0</v>
      </c>
      <c r="BL978" s="76"/>
      <c r="BM978" s="76" t="s">
        <v>66</v>
      </c>
      <c r="BN978" s="76" t="s">
        <v>27597</v>
      </c>
      <c r="BO978" s="82" t="str">
        <f>HYPERLINK("https://twitter.com/easylawmagazine")</f>
        <v>https://twitter.com/easylawmagazine</v>
      </c>
      <c r="BP978" s="2"/>
    </row>
    <row r="979" spans="1:68" x14ac:dyDescent="0.25">
      <c r="A979" s="62" t="s">
        <v>925</v>
      </c>
      <c r="B979" s="63"/>
      <c r="C979" s="63"/>
      <c r="D979" s="64"/>
      <c r="E979" s="66"/>
      <c r="F979" s="103" t="str">
        <f>HYPERLINK("https://pbs.twimg.com/profile_images/1203998768837861376/fbmfRhSn_normal.jpg")</f>
        <v>https://pbs.twimg.com/profile_images/1203998768837861376/fbmfRhSn_normal.jpg</v>
      </c>
      <c r="G979" s="63"/>
      <c r="H979" s="67"/>
      <c r="I979" s="68"/>
      <c r="J979" s="68"/>
      <c r="K979" s="67" t="s">
        <v>28573</v>
      </c>
      <c r="L979" s="71"/>
      <c r="M979" s="72"/>
      <c r="N979" s="72"/>
      <c r="O979" s="73"/>
      <c r="P979" s="74"/>
      <c r="Q979" s="74"/>
      <c r="R979" s="87"/>
      <c r="S979" s="87"/>
      <c r="T979" s="87"/>
      <c r="U979" s="87"/>
      <c r="V979" s="48"/>
      <c r="W979" s="48"/>
      <c r="X979" s="48"/>
      <c r="Y979" s="48"/>
      <c r="Z979" s="47"/>
      <c r="AA979" s="69">
        <v>979</v>
      </c>
      <c r="AB979" s="69"/>
      <c r="AC979" s="70"/>
      <c r="AD979" s="76" t="s">
        <v>22204</v>
      </c>
      <c r="AE979" s="81" t="s">
        <v>23584</v>
      </c>
      <c r="AF979" s="76">
        <v>682</v>
      </c>
      <c r="AG979" s="76">
        <v>2243</v>
      </c>
      <c r="AH979" s="76">
        <v>1855</v>
      </c>
      <c r="AI979" s="76">
        <v>24</v>
      </c>
      <c r="AJ979" s="76">
        <v>23097</v>
      </c>
      <c r="AK979" s="76">
        <v>43</v>
      </c>
      <c r="AL979" s="76" t="b">
        <v>0</v>
      </c>
      <c r="AM979" s="78">
        <v>39905.965011574073</v>
      </c>
      <c r="AN979" s="76" t="s">
        <v>24426</v>
      </c>
      <c r="AO979" s="76" t="s">
        <v>25582</v>
      </c>
      <c r="AP979" s="76"/>
      <c r="AQ979" s="76"/>
      <c r="AR979" s="76"/>
      <c r="AS979" s="76"/>
      <c r="AT979" s="76"/>
      <c r="AU979" s="76"/>
      <c r="AV979" s="76"/>
      <c r="AW979" s="76"/>
      <c r="AX979" s="76" t="b">
        <v>0</v>
      </c>
      <c r="AY979" s="76"/>
      <c r="AZ979" s="76"/>
      <c r="BA979" s="76" t="b">
        <v>0</v>
      </c>
      <c r="BB979" s="76" t="b">
        <v>0</v>
      </c>
      <c r="BC979" s="76" t="b">
        <v>0</v>
      </c>
      <c r="BD979" s="76" t="b">
        <v>0</v>
      </c>
      <c r="BE979" s="76" t="b">
        <v>1</v>
      </c>
      <c r="BF979" s="76" t="b">
        <v>0</v>
      </c>
      <c r="BG979" s="76" t="b">
        <v>0</v>
      </c>
      <c r="BH979" s="82" t="str">
        <f>HYPERLINK("https://pbs.twimg.com/profile_banners/28443407/1529279440")</f>
        <v>https://pbs.twimg.com/profile_banners/28443407/1529279440</v>
      </c>
      <c r="BI979" s="76"/>
      <c r="BJ979" s="76" t="s">
        <v>27595</v>
      </c>
      <c r="BK979" s="76" t="b">
        <v>0</v>
      </c>
      <c r="BL979" s="76"/>
      <c r="BM979" s="76" t="s">
        <v>66</v>
      </c>
      <c r="BN979" s="76" t="s">
        <v>27597</v>
      </c>
      <c r="BO979" s="82" t="str">
        <f>HYPERLINK("https://twitter.com/eugequirolo")</f>
        <v>https://twitter.com/eugequirolo</v>
      </c>
      <c r="BP979" s="2"/>
    </row>
    <row r="980" spans="1:68" x14ac:dyDescent="0.25">
      <c r="A980" s="62" t="s">
        <v>1923</v>
      </c>
      <c r="B980" s="63"/>
      <c r="C980" s="63"/>
      <c r="D980" s="64"/>
      <c r="E980" s="66"/>
      <c r="F980" s="103" t="str">
        <f>HYPERLINK("https://pbs.twimg.com/profile_images/1329430254646124547/Uo9kyXpD_normal.jpg")</f>
        <v>https://pbs.twimg.com/profile_images/1329430254646124547/Uo9kyXpD_normal.jpg</v>
      </c>
      <c r="G980" s="63"/>
      <c r="H980" s="67"/>
      <c r="I980" s="68"/>
      <c r="J980" s="68"/>
      <c r="K980" s="67" t="s">
        <v>28574</v>
      </c>
      <c r="L980" s="71"/>
      <c r="M980" s="72"/>
      <c r="N980" s="72"/>
      <c r="O980" s="73"/>
      <c r="P980" s="74"/>
      <c r="Q980" s="74"/>
      <c r="R980" s="87"/>
      <c r="S980" s="87"/>
      <c r="T980" s="87"/>
      <c r="U980" s="87"/>
      <c r="V980" s="48"/>
      <c r="W980" s="48"/>
      <c r="X980" s="48"/>
      <c r="Y980" s="48"/>
      <c r="Z980" s="47"/>
      <c r="AA980" s="69">
        <v>980</v>
      </c>
      <c r="AB980" s="69"/>
      <c r="AC980" s="70"/>
      <c r="AD980" s="76" t="s">
        <v>22205</v>
      </c>
      <c r="AE980" s="81" t="s">
        <v>23585</v>
      </c>
      <c r="AF980" s="76">
        <v>982</v>
      </c>
      <c r="AG980" s="76">
        <v>60</v>
      </c>
      <c r="AH980" s="76">
        <v>488</v>
      </c>
      <c r="AI980" s="76">
        <v>0</v>
      </c>
      <c r="AJ980" s="76">
        <v>27</v>
      </c>
      <c r="AK980" s="76">
        <v>272</v>
      </c>
      <c r="AL980" s="76" t="b">
        <v>0</v>
      </c>
      <c r="AM980" s="78">
        <v>41383.952361111114</v>
      </c>
      <c r="AN980" s="76" t="s">
        <v>24427</v>
      </c>
      <c r="AO980" s="76" t="s">
        <v>25583</v>
      </c>
      <c r="AP980" s="82" t="str">
        <f>HYPERLINK("https://t.co/Y3OUfSKjPP")</f>
        <v>https://t.co/Y3OUfSKjPP</v>
      </c>
      <c r="AQ980" s="82" t="str">
        <f>HYPERLINK("https://uncaus.edu.ar/")</f>
        <v>https://uncaus.edu.ar/</v>
      </c>
      <c r="AR980" s="76" t="s">
        <v>26884</v>
      </c>
      <c r="AS980" s="76"/>
      <c r="AT980" s="76"/>
      <c r="AU980" s="76"/>
      <c r="AV980" s="76"/>
      <c r="AW980" s="82" t="str">
        <f>HYPERLINK("https://t.co/Y3OUfSKjPP")</f>
        <v>https://t.co/Y3OUfSKjPP</v>
      </c>
      <c r="AX980" s="76" t="b">
        <v>0</v>
      </c>
      <c r="AY980" s="76"/>
      <c r="AZ980" s="76"/>
      <c r="BA980" s="76" t="b">
        <v>0</v>
      </c>
      <c r="BB980" s="76" t="b">
        <v>1</v>
      </c>
      <c r="BC980" s="76" t="b">
        <v>0</v>
      </c>
      <c r="BD980" s="76" t="b">
        <v>0</v>
      </c>
      <c r="BE980" s="76" t="b">
        <v>0</v>
      </c>
      <c r="BF980" s="76" t="b">
        <v>0</v>
      </c>
      <c r="BG980" s="76" t="b">
        <v>0</v>
      </c>
      <c r="BH980" s="82" t="str">
        <f>HYPERLINK("https://pbs.twimg.com/profile_banners/1365551898/1559661070")</f>
        <v>https://pbs.twimg.com/profile_banners/1365551898/1559661070</v>
      </c>
      <c r="BI980" s="76"/>
      <c r="BJ980" s="76" t="s">
        <v>27595</v>
      </c>
      <c r="BK980" s="76" t="b">
        <v>0</v>
      </c>
      <c r="BL980" s="76"/>
      <c r="BM980" s="76" t="s">
        <v>65</v>
      </c>
      <c r="BN980" s="76" t="s">
        <v>27597</v>
      </c>
      <c r="BO980" s="82" t="str">
        <f>HYPERLINK("https://twitter.com/uncausoficial")</f>
        <v>https://twitter.com/uncausoficial</v>
      </c>
      <c r="BP980" s="2"/>
    </row>
    <row r="981" spans="1:68" x14ac:dyDescent="0.25">
      <c r="A981" s="62" t="s">
        <v>926</v>
      </c>
      <c r="B981" s="63"/>
      <c r="C981" s="63"/>
      <c r="D981" s="64"/>
      <c r="E981" s="66"/>
      <c r="F981" s="103" t="str">
        <f>HYPERLINK("https://pbs.twimg.com/profile_images/1213903755277717506/Q8xsrXBR_normal.jpg")</f>
        <v>https://pbs.twimg.com/profile_images/1213903755277717506/Q8xsrXBR_normal.jpg</v>
      </c>
      <c r="G981" s="63"/>
      <c r="H981" s="67"/>
      <c r="I981" s="68"/>
      <c r="J981" s="68"/>
      <c r="K981" s="67" t="s">
        <v>28575</v>
      </c>
      <c r="L981" s="71"/>
      <c r="M981" s="72"/>
      <c r="N981" s="72"/>
      <c r="O981" s="73"/>
      <c r="P981" s="74"/>
      <c r="Q981" s="74"/>
      <c r="R981" s="87"/>
      <c r="S981" s="87"/>
      <c r="T981" s="87"/>
      <c r="U981" s="87"/>
      <c r="V981" s="48"/>
      <c r="W981" s="48"/>
      <c r="X981" s="48"/>
      <c r="Y981" s="48"/>
      <c r="Z981" s="47"/>
      <c r="AA981" s="69">
        <v>981</v>
      </c>
      <c r="AB981" s="69"/>
      <c r="AC981" s="70"/>
      <c r="AD981" s="76" t="s">
        <v>22206</v>
      </c>
      <c r="AE981" s="81" t="s">
        <v>20835</v>
      </c>
      <c r="AF981" s="76">
        <v>2327</v>
      </c>
      <c r="AG981" s="76">
        <v>4983</v>
      </c>
      <c r="AH981" s="76">
        <v>47195</v>
      </c>
      <c r="AI981" s="76">
        <v>0</v>
      </c>
      <c r="AJ981" s="76">
        <v>87051</v>
      </c>
      <c r="AK981" s="76">
        <v>60</v>
      </c>
      <c r="AL981" s="76" t="b">
        <v>0</v>
      </c>
      <c r="AM981" s="78">
        <v>42846.552824074075</v>
      </c>
      <c r="AN981" s="76" t="s">
        <v>24428</v>
      </c>
      <c r="AO981" s="82" t="str">
        <f>HYPERLINK("https://t.co/BhPQYvzKux")</f>
        <v>https://t.co/BhPQYvzKux</v>
      </c>
      <c r="AP981" s="76"/>
      <c r="AQ981" s="76"/>
      <c r="AR981" s="76"/>
      <c r="AS981" s="82" t="str">
        <f>HYPERLINK("https://t.co/BhPQYvzKux")</f>
        <v>https://t.co/BhPQYvzKux</v>
      </c>
      <c r="AT981" s="82" t="str">
        <f>HYPERLINK("https://www.amazon.com.br/Intelig%C3%AAncia-Representa%C3%A7%C3%B5es-Internacional-Reflexos-1935-1941/dp/8546215413/ref=mp_s_a_1_1?keywords=alexandre+andrade+da")</f>
        <v>https://www.amazon.com.br/Intelig%C3%AAncia-Representa%C3%A7%C3%B5es-Internacional-Reflexos-1935-1941/dp/8546215413/ref=mp_s_a_1_1?keywords=alexandre+andrade+da</v>
      </c>
      <c r="AU981" s="76" t="s">
        <v>27513</v>
      </c>
      <c r="AV981" s="76">
        <v>1.50134961094574E+18</v>
      </c>
      <c r="AW981" s="76"/>
      <c r="AX981" s="76" t="b">
        <v>0</v>
      </c>
      <c r="AY981" s="76"/>
      <c r="AZ981" s="76"/>
      <c r="BA981" s="76" t="b">
        <v>0</v>
      </c>
      <c r="BB981" s="76" t="b">
        <v>1</v>
      </c>
      <c r="BC981" s="76" t="b">
        <v>1</v>
      </c>
      <c r="BD981" s="76" t="b">
        <v>0</v>
      </c>
      <c r="BE981" s="76" t="b">
        <v>1</v>
      </c>
      <c r="BF981" s="76" t="b">
        <v>0</v>
      </c>
      <c r="BG981" s="76" t="b">
        <v>0</v>
      </c>
      <c r="BH981" s="82" t="str">
        <f>HYPERLINK("https://pbs.twimg.com/profile_banners/855409800930365441/1629837344")</f>
        <v>https://pbs.twimg.com/profile_banners/855409800930365441/1629837344</v>
      </c>
      <c r="BI981" s="76"/>
      <c r="BJ981" s="76" t="s">
        <v>27595</v>
      </c>
      <c r="BK981" s="76" t="b">
        <v>0</v>
      </c>
      <c r="BL981" s="76"/>
      <c r="BM981" s="76" t="s">
        <v>66</v>
      </c>
      <c r="BN981" s="76" t="s">
        <v>27597</v>
      </c>
      <c r="BO981" s="82" t="str">
        <f>HYPERLINK("https://twitter.com/lexunesp")</f>
        <v>https://twitter.com/lexunesp</v>
      </c>
      <c r="BP981" s="2"/>
    </row>
    <row r="982" spans="1:68" x14ac:dyDescent="0.25">
      <c r="A982" s="62" t="s">
        <v>927</v>
      </c>
      <c r="B982" s="63"/>
      <c r="C982" s="63"/>
      <c r="D982" s="64"/>
      <c r="E982" s="66"/>
      <c r="F982" s="103" t="str">
        <f>HYPERLINK("https://pbs.twimg.com/profile_images/1690020510971666432/PGne0cyq_normal.jpg")</f>
        <v>https://pbs.twimg.com/profile_images/1690020510971666432/PGne0cyq_normal.jpg</v>
      </c>
      <c r="G982" s="63"/>
      <c r="H982" s="67"/>
      <c r="I982" s="68"/>
      <c r="J982" s="68"/>
      <c r="K982" s="67" t="s">
        <v>28576</v>
      </c>
      <c r="L982" s="71"/>
      <c r="M982" s="72"/>
      <c r="N982" s="72"/>
      <c r="O982" s="73"/>
      <c r="P982" s="74"/>
      <c r="Q982" s="74"/>
      <c r="R982" s="87"/>
      <c r="S982" s="87"/>
      <c r="T982" s="87"/>
      <c r="U982" s="87"/>
      <c r="V982" s="48"/>
      <c r="W982" s="48"/>
      <c r="X982" s="48"/>
      <c r="Y982" s="48"/>
      <c r="Z982" s="47"/>
      <c r="AA982" s="69">
        <v>982</v>
      </c>
      <c r="AB982" s="69"/>
      <c r="AC982" s="70"/>
      <c r="AD982" s="76" t="s">
        <v>22207</v>
      </c>
      <c r="AE982" s="81" t="s">
        <v>20836</v>
      </c>
      <c r="AF982" s="76">
        <v>26</v>
      </c>
      <c r="AG982" s="76">
        <v>65</v>
      </c>
      <c r="AH982" s="76">
        <v>48</v>
      </c>
      <c r="AI982" s="76">
        <v>1</v>
      </c>
      <c r="AJ982" s="76">
        <v>7</v>
      </c>
      <c r="AK982" s="76">
        <v>0</v>
      </c>
      <c r="AL982" s="76" t="b">
        <v>0</v>
      </c>
      <c r="AM982" s="78">
        <v>44932.90152777778</v>
      </c>
      <c r="AN982" s="76"/>
      <c r="AO982" s="76" t="s">
        <v>25584</v>
      </c>
      <c r="AP982" s="76"/>
      <c r="AQ982" s="76"/>
      <c r="AR982" s="76"/>
      <c r="AS982" s="76"/>
      <c r="AT982" s="76"/>
      <c r="AU982" s="76"/>
      <c r="AV982" s="76"/>
      <c r="AW982" s="76"/>
      <c r="AX982" s="76" t="b">
        <v>0</v>
      </c>
      <c r="AY982" s="76"/>
      <c r="AZ982" s="76"/>
      <c r="BA982" s="76" t="b">
        <v>0</v>
      </c>
      <c r="BB982" s="76" t="b">
        <v>1</v>
      </c>
      <c r="BC982" s="76" t="b">
        <v>1</v>
      </c>
      <c r="BD982" s="76" t="b">
        <v>0</v>
      </c>
      <c r="BE982" s="76" t="b">
        <v>0</v>
      </c>
      <c r="BF982" s="76" t="b">
        <v>0</v>
      </c>
      <c r="BG982" s="76" t="b">
        <v>0</v>
      </c>
      <c r="BH982" s="82" t="str">
        <f>HYPERLINK("https://pbs.twimg.com/profile_banners/1611476859224576003/1691594423")</f>
        <v>https://pbs.twimg.com/profile_banners/1611476859224576003/1691594423</v>
      </c>
      <c r="BI982" s="76"/>
      <c r="BJ982" s="76" t="s">
        <v>27595</v>
      </c>
      <c r="BK982" s="76" t="b">
        <v>0</v>
      </c>
      <c r="BL982" s="76"/>
      <c r="BM982" s="76" t="s">
        <v>66</v>
      </c>
      <c r="BN982" s="76" t="s">
        <v>27597</v>
      </c>
      <c r="BO982" s="82" t="str">
        <f>HYPERLINK("https://twitter.com/xencuestasxdia")</f>
        <v>https://twitter.com/xencuestasxdia</v>
      </c>
      <c r="BP982" s="2"/>
    </row>
    <row r="983" spans="1:68" x14ac:dyDescent="0.25">
      <c r="A983" s="62" t="s">
        <v>928</v>
      </c>
      <c r="B983" s="63"/>
      <c r="C983" s="63"/>
      <c r="D983" s="64"/>
      <c r="E983" s="66"/>
      <c r="F983" s="103" t="str">
        <f>HYPERLINK("https://pbs.twimg.com/profile_images/1699944628311506944/coKQz3yJ_normal.jpg")</f>
        <v>https://pbs.twimg.com/profile_images/1699944628311506944/coKQz3yJ_normal.jpg</v>
      </c>
      <c r="G983" s="63"/>
      <c r="H983" s="67"/>
      <c r="I983" s="68"/>
      <c r="J983" s="68"/>
      <c r="K983" s="67" t="s">
        <v>28577</v>
      </c>
      <c r="L983" s="71"/>
      <c r="M983" s="72"/>
      <c r="N983" s="72"/>
      <c r="O983" s="73"/>
      <c r="P983" s="74"/>
      <c r="Q983" s="74"/>
      <c r="R983" s="87"/>
      <c r="S983" s="87"/>
      <c r="T983" s="87"/>
      <c r="U983" s="87"/>
      <c r="V983" s="48"/>
      <c r="W983" s="48"/>
      <c r="X983" s="48"/>
      <c r="Y983" s="48"/>
      <c r="Z983" s="47"/>
      <c r="AA983" s="69">
        <v>983</v>
      </c>
      <c r="AB983" s="69"/>
      <c r="AC983" s="70"/>
      <c r="AD983" s="76" t="s">
        <v>22208</v>
      </c>
      <c r="AE983" s="81" t="s">
        <v>20837</v>
      </c>
      <c r="AF983" s="76">
        <v>354</v>
      </c>
      <c r="AG983" s="76">
        <v>341</v>
      </c>
      <c r="AH983" s="76">
        <v>10761</v>
      </c>
      <c r="AI983" s="76">
        <v>0</v>
      </c>
      <c r="AJ983" s="76">
        <v>19045</v>
      </c>
      <c r="AK983" s="76">
        <v>840</v>
      </c>
      <c r="AL983" s="76" t="b">
        <v>0</v>
      </c>
      <c r="AM983" s="78">
        <v>43369.098726851851</v>
      </c>
      <c r="AN983" s="76" t="s">
        <v>14400</v>
      </c>
      <c r="AO983" s="76" t="s">
        <v>25585</v>
      </c>
      <c r="AP983" s="76"/>
      <c r="AQ983" s="76"/>
      <c r="AR983" s="76"/>
      <c r="AS983" s="76"/>
      <c r="AT983" s="76"/>
      <c r="AU983" s="76"/>
      <c r="AV983" s="76">
        <v>1.5487081788583099E+18</v>
      </c>
      <c r="AW983" s="76"/>
      <c r="AX983" s="76" t="b">
        <v>0</v>
      </c>
      <c r="AY983" s="76"/>
      <c r="AZ983" s="76"/>
      <c r="BA983" s="76" t="b">
        <v>0</v>
      </c>
      <c r="BB983" s="76" t="b">
        <v>0</v>
      </c>
      <c r="BC983" s="76" t="b">
        <v>1</v>
      </c>
      <c r="BD983" s="76" t="b">
        <v>0</v>
      </c>
      <c r="BE983" s="76" t="b">
        <v>1</v>
      </c>
      <c r="BF983" s="76" t="b">
        <v>0</v>
      </c>
      <c r="BG983" s="76" t="b">
        <v>0</v>
      </c>
      <c r="BH983" s="82" t="str">
        <f>HYPERLINK("https://pbs.twimg.com/profile_banners/1044774098482671617/1694133357")</f>
        <v>https://pbs.twimg.com/profile_banners/1044774098482671617/1694133357</v>
      </c>
      <c r="BI983" s="76"/>
      <c r="BJ983" s="76" t="s">
        <v>27595</v>
      </c>
      <c r="BK983" s="76" t="b">
        <v>0</v>
      </c>
      <c r="BL983" s="76"/>
      <c r="BM983" s="76" t="s">
        <v>66</v>
      </c>
      <c r="BN983" s="76" t="s">
        <v>27597</v>
      </c>
      <c r="BO983" s="82" t="str">
        <f>HYPERLINK("https://twitter.com/millaprado4")</f>
        <v>https://twitter.com/millaprado4</v>
      </c>
      <c r="BP983" s="2"/>
    </row>
    <row r="984" spans="1:68" x14ac:dyDescent="0.25">
      <c r="A984" s="62" t="s">
        <v>929</v>
      </c>
      <c r="B984" s="63"/>
      <c r="C984" s="63"/>
      <c r="D984" s="64"/>
      <c r="E984" s="66"/>
      <c r="F984" s="103" t="str">
        <f>HYPERLINK("https://pbs.twimg.com/profile_images/1385599466787557378/WdZeiPYr_normal.jpg")</f>
        <v>https://pbs.twimg.com/profile_images/1385599466787557378/WdZeiPYr_normal.jpg</v>
      </c>
      <c r="G984" s="63"/>
      <c r="H984" s="67"/>
      <c r="I984" s="68"/>
      <c r="J984" s="68"/>
      <c r="K984" s="67" t="s">
        <v>28578</v>
      </c>
      <c r="L984" s="71"/>
      <c r="M984" s="72"/>
      <c r="N984" s="72"/>
      <c r="O984" s="73"/>
      <c r="P984" s="74"/>
      <c r="Q984" s="74"/>
      <c r="R984" s="87"/>
      <c r="S984" s="87"/>
      <c r="T984" s="87"/>
      <c r="U984" s="87"/>
      <c r="V984" s="48"/>
      <c r="W984" s="48"/>
      <c r="X984" s="48"/>
      <c r="Y984" s="48"/>
      <c r="Z984" s="47"/>
      <c r="AA984" s="69">
        <v>984</v>
      </c>
      <c r="AB984" s="69"/>
      <c r="AC984" s="70"/>
      <c r="AD984" s="76" t="s">
        <v>22209</v>
      </c>
      <c r="AE984" s="81" t="s">
        <v>20838</v>
      </c>
      <c r="AF984" s="76">
        <v>80</v>
      </c>
      <c r="AG984" s="76">
        <v>76</v>
      </c>
      <c r="AH984" s="76">
        <v>2964</v>
      </c>
      <c r="AI984" s="76">
        <v>0</v>
      </c>
      <c r="AJ984" s="76">
        <v>145</v>
      </c>
      <c r="AK984" s="76">
        <v>2177</v>
      </c>
      <c r="AL984" s="76" t="b">
        <v>0</v>
      </c>
      <c r="AM984" s="78">
        <v>44309.597337962965</v>
      </c>
      <c r="AN984" s="76"/>
      <c r="AO984" s="76" t="s">
        <v>25586</v>
      </c>
      <c r="AP984" s="82" t="str">
        <f>HYPERLINK("https://t.co/PKV03ORnKp")</f>
        <v>https://t.co/PKV03ORnKp</v>
      </c>
      <c r="AQ984" s="82" t="str">
        <f>HYPERLINK("http://www.elacento.news")</f>
        <v>http://www.elacento.news</v>
      </c>
      <c r="AR984" s="76" t="s">
        <v>26885</v>
      </c>
      <c r="AS984" s="76" t="s">
        <v>27384</v>
      </c>
      <c r="AT984" s="76" t="s">
        <v>27423</v>
      </c>
      <c r="AU984" s="76" t="s">
        <v>27514</v>
      </c>
      <c r="AV984" s="76"/>
      <c r="AW984" s="82" t="str">
        <f>HYPERLINK("https://t.co/PKV03ORnKp")</f>
        <v>https://t.co/PKV03ORnKp</v>
      </c>
      <c r="AX984" s="76" t="b">
        <v>0</v>
      </c>
      <c r="AY984" s="76"/>
      <c r="AZ984" s="76"/>
      <c r="BA984" s="76" t="b">
        <v>1</v>
      </c>
      <c r="BB984" s="76" t="b">
        <v>1</v>
      </c>
      <c r="BC984" s="76" t="b">
        <v>1</v>
      </c>
      <c r="BD984" s="76" t="b">
        <v>0</v>
      </c>
      <c r="BE984" s="76" t="b">
        <v>0</v>
      </c>
      <c r="BF984" s="76" t="b">
        <v>0</v>
      </c>
      <c r="BG984" s="76" t="b">
        <v>0</v>
      </c>
      <c r="BH984" s="82" t="str">
        <f>HYPERLINK("https://pbs.twimg.com/profile_banners/1385599306212810752/1619187881")</f>
        <v>https://pbs.twimg.com/profile_banners/1385599306212810752/1619187881</v>
      </c>
      <c r="BI984" s="76"/>
      <c r="BJ984" s="76" t="s">
        <v>27595</v>
      </c>
      <c r="BK984" s="76" t="b">
        <v>0</v>
      </c>
      <c r="BL984" s="76"/>
      <c r="BM984" s="76" t="s">
        <v>66</v>
      </c>
      <c r="BN984" s="76" t="s">
        <v>27597</v>
      </c>
      <c r="BO984" s="82" t="str">
        <f>HYPERLINK("https://twitter.com/elacentook")</f>
        <v>https://twitter.com/elacentook</v>
      </c>
      <c r="BP984" s="2"/>
    </row>
    <row r="985" spans="1:68" x14ac:dyDescent="0.25">
      <c r="A985" s="62" t="s">
        <v>930</v>
      </c>
      <c r="B985" s="63"/>
      <c r="C985" s="63"/>
      <c r="D985" s="64"/>
      <c r="E985" s="66"/>
      <c r="F985" s="103" t="str">
        <f>HYPERLINK("https://pbs.twimg.com/profile_images/955476467835600897/mfdMB0Yw_normal.jpg")</f>
        <v>https://pbs.twimg.com/profile_images/955476467835600897/mfdMB0Yw_normal.jpg</v>
      </c>
      <c r="G985" s="63"/>
      <c r="H985" s="67"/>
      <c r="I985" s="68"/>
      <c r="J985" s="68"/>
      <c r="K985" s="67" t="s">
        <v>28579</v>
      </c>
      <c r="L985" s="71"/>
      <c r="M985" s="72"/>
      <c r="N985" s="72"/>
      <c r="O985" s="73"/>
      <c r="P985" s="74"/>
      <c r="Q985" s="74"/>
      <c r="R985" s="87"/>
      <c r="S985" s="87"/>
      <c r="T985" s="87"/>
      <c r="U985" s="87"/>
      <c r="V985" s="48"/>
      <c r="W985" s="48"/>
      <c r="X985" s="48"/>
      <c r="Y985" s="48"/>
      <c r="Z985" s="47"/>
      <c r="AA985" s="69">
        <v>985</v>
      </c>
      <c r="AB985" s="69"/>
      <c r="AC985" s="70"/>
      <c r="AD985" s="76" t="s">
        <v>22210</v>
      </c>
      <c r="AE985" s="81" t="s">
        <v>23586</v>
      </c>
      <c r="AF985" s="76">
        <v>4503</v>
      </c>
      <c r="AG985" s="76">
        <v>909</v>
      </c>
      <c r="AH985" s="76">
        <v>16512</v>
      </c>
      <c r="AI985" s="76">
        <v>81</v>
      </c>
      <c r="AJ985" s="76">
        <v>10276</v>
      </c>
      <c r="AK985" s="76">
        <v>5433</v>
      </c>
      <c r="AL985" s="76" t="b">
        <v>0</v>
      </c>
      <c r="AM985" s="78">
        <v>42126.889386574076</v>
      </c>
      <c r="AN985" s="76"/>
      <c r="AO985" s="76" t="s">
        <v>25587</v>
      </c>
      <c r="AP985" s="82" t="str">
        <f>HYPERLINK("https://t.co/yj8OZBERLQ")</f>
        <v>https://t.co/yj8OZBERLQ</v>
      </c>
      <c r="AQ985" s="82" t="str">
        <f>HYPERLINK("https://linktr.ee/wallstreeteasy")</f>
        <v>https://linktr.ee/wallstreeteasy</v>
      </c>
      <c r="AR985" s="76" t="s">
        <v>26886</v>
      </c>
      <c r="AS985" s="82" t="str">
        <f>HYPERLINK("https://t.co/fIrRMt0ilg")</f>
        <v>https://t.co/fIrRMt0ilg</v>
      </c>
      <c r="AT985" s="82" t="str">
        <f>HYPERLINK("http://wallstreeteasy.com")</f>
        <v>http://wallstreeteasy.com</v>
      </c>
      <c r="AU985" s="76" t="s">
        <v>27515</v>
      </c>
      <c r="AV985" s="76">
        <v>1.6393809742648901E+18</v>
      </c>
      <c r="AW985" s="82" t="str">
        <f>HYPERLINK("https://t.co/yj8OZBERLQ")</f>
        <v>https://t.co/yj8OZBERLQ</v>
      </c>
      <c r="AX985" s="76" t="b">
        <v>0</v>
      </c>
      <c r="AY985" s="76"/>
      <c r="AZ985" s="76"/>
      <c r="BA985" s="76" t="b">
        <v>1</v>
      </c>
      <c r="BB985" s="76" t="b">
        <v>1</v>
      </c>
      <c r="BC985" s="76" t="b">
        <v>1</v>
      </c>
      <c r="BD985" s="76" t="b">
        <v>0</v>
      </c>
      <c r="BE985" s="76" t="b">
        <v>1</v>
      </c>
      <c r="BF985" s="76" t="b">
        <v>0</v>
      </c>
      <c r="BG985" s="76" t="b">
        <v>0</v>
      </c>
      <c r="BH985" s="82" t="str">
        <f>HYPERLINK("https://pbs.twimg.com/profile_banners/3229111961/1556889092")</f>
        <v>https://pbs.twimg.com/profile_banners/3229111961/1556889092</v>
      </c>
      <c r="BI985" s="76"/>
      <c r="BJ985" s="76" t="s">
        <v>27595</v>
      </c>
      <c r="BK985" s="76" t="b">
        <v>0</v>
      </c>
      <c r="BL985" s="76"/>
      <c r="BM985" s="76" t="s">
        <v>66</v>
      </c>
      <c r="BN985" s="76" t="s">
        <v>27597</v>
      </c>
      <c r="BO985" s="82" t="str">
        <f>HYPERLINK("https://twitter.com/wallstreeteasy")</f>
        <v>https://twitter.com/wallstreeteasy</v>
      </c>
      <c r="BP985" s="2"/>
    </row>
    <row r="986" spans="1:68" x14ac:dyDescent="0.25">
      <c r="A986" s="62" t="s">
        <v>931</v>
      </c>
      <c r="B986" s="63"/>
      <c r="C986" s="63"/>
      <c r="D986" s="64"/>
      <c r="E986" s="66"/>
      <c r="F986" s="103" t="str">
        <f>HYPERLINK("https://pbs.twimg.com/profile_images/1629794075346870272/tawtMLvX_normal.jpg")</f>
        <v>https://pbs.twimg.com/profile_images/1629794075346870272/tawtMLvX_normal.jpg</v>
      </c>
      <c r="G986" s="63"/>
      <c r="H986" s="67"/>
      <c r="I986" s="68"/>
      <c r="J986" s="68"/>
      <c r="K986" s="67" t="s">
        <v>28580</v>
      </c>
      <c r="L986" s="71"/>
      <c r="M986" s="72"/>
      <c r="N986" s="72"/>
      <c r="O986" s="73"/>
      <c r="P986" s="74"/>
      <c r="Q986" s="74"/>
      <c r="R986" s="87"/>
      <c r="S986" s="87"/>
      <c r="T986" s="87"/>
      <c r="U986" s="87"/>
      <c r="V986" s="48"/>
      <c r="W986" s="48"/>
      <c r="X986" s="48"/>
      <c r="Y986" s="48"/>
      <c r="Z986" s="47"/>
      <c r="AA986" s="69">
        <v>986</v>
      </c>
      <c r="AB986" s="69"/>
      <c r="AC986" s="70"/>
      <c r="AD986" s="76" t="s">
        <v>22211</v>
      </c>
      <c r="AE986" s="81" t="s">
        <v>23587</v>
      </c>
      <c r="AF986" s="76">
        <v>47648</v>
      </c>
      <c r="AG986" s="76">
        <v>1241</v>
      </c>
      <c r="AH986" s="76">
        <v>125068</v>
      </c>
      <c r="AI986" s="76">
        <v>457</v>
      </c>
      <c r="AJ986" s="76">
        <v>4172</v>
      </c>
      <c r="AK986" s="76">
        <v>101824</v>
      </c>
      <c r="AL986" s="76" t="b">
        <v>0</v>
      </c>
      <c r="AM986" s="78">
        <v>41900.241805555554</v>
      </c>
      <c r="AN986" s="76" t="s">
        <v>24429</v>
      </c>
      <c r="AO986" s="76" t="s">
        <v>25588</v>
      </c>
      <c r="AP986" s="82" t="str">
        <f>HYPERLINK("https://t.co/uHvpuoNcV5")</f>
        <v>https://t.co/uHvpuoNcV5</v>
      </c>
      <c r="AQ986" s="82" t="str">
        <f>HYPERLINK("http://espanol.almayadeen.net")</f>
        <v>http://espanol.almayadeen.net</v>
      </c>
      <c r="AR986" s="76" t="s">
        <v>26887</v>
      </c>
      <c r="AS986" s="82" t="str">
        <f>HYPERLINK("https://t.co/qAeZ2e4LZX")</f>
        <v>https://t.co/qAeZ2e4LZX</v>
      </c>
      <c r="AT986" s="82" t="str">
        <f>HYPERLINK("http://telegram.me/almayadeenespanol")</f>
        <v>http://telegram.me/almayadeenespanol</v>
      </c>
      <c r="AU986" s="76" t="s">
        <v>27516</v>
      </c>
      <c r="AV986" s="76">
        <v>1.7030302323561001E+18</v>
      </c>
      <c r="AW986" s="82" t="str">
        <f>HYPERLINK("https://t.co/uHvpuoNcV5")</f>
        <v>https://t.co/uHvpuoNcV5</v>
      </c>
      <c r="AX986" s="76" t="b">
        <v>1</v>
      </c>
      <c r="AY986" s="76"/>
      <c r="AZ986" s="76"/>
      <c r="BA986" s="76" t="b">
        <v>0</v>
      </c>
      <c r="BB986" s="76" t="b">
        <v>1</v>
      </c>
      <c r="BC986" s="76" t="b">
        <v>0</v>
      </c>
      <c r="BD986" s="76" t="b">
        <v>0</v>
      </c>
      <c r="BE986" s="76" t="b">
        <v>0</v>
      </c>
      <c r="BF986" s="76" t="b">
        <v>0</v>
      </c>
      <c r="BG986" s="76" t="b">
        <v>0</v>
      </c>
      <c r="BH986" s="82" t="str">
        <f>HYPERLINK("https://pbs.twimg.com/profile_banners/2816433530/1691587156")</f>
        <v>https://pbs.twimg.com/profile_banners/2816433530/1691587156</v>
      </c>
      <c r="BI986" s="76"/>
      <c r="BJ986" s="76" t="s">
        <v>27595</v>
      </c>
      <c r="BK986" s="76" t="b">
        <v>0</v>
      </c>
      <c r="BL986" s="76"/>
      <c r="BM986" s="76" t="s">
        <v>66</v>
      </c>
      <c r="BN986" s="76" t="s">
        <v>27597</v>
      </c>
      <c r="BO986" s="82" t="str">
        <f>HYPERLINK("https://twitter.com/almayadeen_es")</f>
        <v>https://twitter.com/almayadeen_es</v>
      </c>
      <c r="BP986" s="2"/>
    </row>
    <row r="987" spans="1:68" x14ac:dyDescent="0.25">
      <c r="A987" s="62" t="s">
        <v>932</v>
      </c>
      <c r="B987" s="63"/>
      <c r="C987" s="63"/>
      <c r="D987" s="64"/>
      <c r="E987" s="66"/>
      <c r="F987" s="103" t="str">
        <f>HYPERLINK("https://pbs.twimg.com/profile_images/1550572795297398797/xc5hjE9A_normal.jpg")</f>
        <v>https://pbs.twimg.com/profile_images/1550572795297398797/xc5hjE9A_normal.jpg</v>
      </c>
      <c r="G987" s="63"/>
      <c r="H987" s="67"/>
      <c r="I987" s="68"/>
      <c r="J987" s="68"/>
      <c r="K987" s="67" t="s">
        <v>28581</v>
      </c>
      <c r="L987" s="71"/>
      <c r="M987" s="72"/>
      <c r="N987" s="72"/>
      <c r="O987" s="73"/>
      <c r="P987" s="74"/>
      <c r="Q987" s="74"/>
      <c r="R987" s="87"/>
      <c r="S987" s="87"/>
      <c r="T987" s="87"/>
      <c r="U987" s="87"/>
      <c r="V987" s="48"/>
      <c r="W987" s="48"/>
      <c r="X987" s="48"/>
      <c r="Y987" s="48"/>
      <c r="Z987" s="47"/>
      <c r="AA987" s="69">
        <v>987</v>
      </c>
      <c r="AB987" s="69"/>
      <c r="AC987" s="70"/>
      <c r="AD987" s="76" t="s">
        <v>22212</v>
      </c>
      <c r="AE987" s="81" t="s">
        <v>23588</v>
      </c>
      <c r="AF987" s="76">
        <v>2730</v>
      </c>
      <c r="AG987" s="76">
        <v>444</v>
      </c>
      <c r="AH987" s="76">
        <v>6036</v>
      </c>
      <c r="AI987" s="76">
        <v>31</v>
      </c>
      <c r="AJ987" s="76">
        <v>479</v>
      </c>
      <c r="AK987" s="76">
        <v>2135</v>
      </c>
      <c r="AL987" s="76" t="b">
        <v>0</v>
      </c>
      <c r="AM987" s="78">
        <v>40367.961631944447</v>
      </c>
      <c r="AN987" s="76" t="s">
        <v>24175</v>
      </c>
      <c r="AO987" s="76" t="s">
        <v>25589</v>
      </c>
      <c r="AP987" s="82" t="str">
        <f>HYPERLINK("https://t.co/OpmkwK96hD")</f>
        <v>https://t.co/OpmkwK96hD</v>
      </c>
      <c r="AQ987" s="82" t="str">
        <f>HYPERLINK("https://pregrado.fen.uchile.cl")</f>
        <v>https://pregrado.fen.uchile.cl</v>
      </c>
      <c r="AR987" s="76" t="s">
        <v>26888</v>
      </c>
      <c r="AS987" s="76"/>
      <c r="AT987" s="76"/>
      <c r="AU987" s="76"/>
      <c r="AV987" s="76"/>
      <c r="AW987" s="82" t="str">
        <f>HYPERLINK("https://t.co/OpmkwK96hD")</f>
        <v>https://t.co/OpmkwK96hD</v>
      </c>
      <c r="AX987" s="76" t="b">
        <v>0</v>
      </c>
      <c r="AY987" s="76"/>
      <c r="AZ987" s="76"/>
      <c r="BA987" s="76" t="b">
        <v>0</v>
      </c>
      <c r="BB987" s="76" t="b">
        <v>1</v>
      </c>
      <c r="BC987" s="76" t="b">
        <v>0</v>
      </c>
      <c r="BD987" s="76" t="b">
        <v>0</v>
      </c>
      <c r="BE987" s="76" t="b">
        <v>0</v>
      </c>
      <c r="BF987" s="76" t="b">
        <v>0</v>
      </c>
      <c r="BG987" s="76" t="b">
        <v>0</v>
      </c>
      <c r="BH987" s="82" t="str">
        <f>HYPERLINK("https://pbs.twimg.com/profile_banners/164459082/1496852043")</f>
        <v>https://pbs.twimg.com/profile_banners/164459082/1496852043</v>
      </c>
      <c r="BI987" s="76"/>
      <c r="BJ987" s="76" t="s">
        <v>27595</v>
      </c>
      <c r="BK987" s="76" t="b">
        <v>0</v>
      </c>
      <c r="BL987" s="76"/>
      <c r="BM987" s="76" t="s">
        <v>66</v>
      </c>
      <c r="BN987" s="76" t="s">
        <v>27597</v>
      </c>
      <c r="BO987" s="82" t="str">
        <f>HYPERLINK("https://twitter.com/pregrado_fen")</f>
        <v>https://twitter.com/pregrado_fen</v>
      </c>
      <c r="BP987" s="2"/>
    </row>
    <row r="988" spans="1:68" x14ac:dyDescent="0.25">
      <c r="A988" s="62" t="s">
        <v>1924</v>
      </c>
      <c r="B988" s="63"/>
      <c r="C988" s="63"/>
      <c r="D988" s="64"/>
      <c r="E988" s="66"/>
      <c r="F988" s="103" t="str">
        <f>HYPERLINK("https://pbs.twimg.com/profile_images/1346258324/logoceicbajor_normal.jpg")</f>
        <v>https://pbs.twimg.com/profile_images/1346258324/logoceicbajor_normal.jpg</v>
      </c>
      <c r="G988" s="63"/>
      <c r="H988" s="67"/>
      <c r="I988" s="68"/>
      <c r="J988" s="68"/>
      <c r="K988" s="67" t="s">
        <v>28582</v>
      </c>
      <c r="L988" s="71"/>
      <c r="M988" s="72"/>
      <c r="N988" s="72"/>
      <c r="O988" s="73"/>
      <c r="P988" s="74"/>
      <c r="Q988" s="74"/>
      <c r="R988" s="87"/>
      <c r="S988" s="87"/>
      <c r="T988" s="87"/>
      <c r="U988" s="87"/>
      <c r="V988" s="48"/>
      <c r="W988" s="48"/>
      <c r="X988" s="48"/>
      <c r="Y988" s="48"/>
      <c r="Z988" s="47"/>
      <c r="AA988" s="69">
        <v>988</v>
      </c>
      <c r="AB988" s="69"/>
      <c r="AC988" s="70"/>
      <c r="AD988" s="76" t="s">
        <v>22213</v>
      </c>
      <c r="AE988" s="81" t="s">
        <v>23589</v>
      </c>
      <c r="AF988" s="76">
        <v>1531</v>
      </c>
      <c r="AG988" s="76">
        <v>54</v>
      </c>
      <c r="AH988" s="76">
        <v>1116</v>
      </c>
      <c r="AI988" s="76">
        <v>16</v>
      </c>
      <c r="AJ988" s="76">
        <v>85</v>
      </c>
      <c r="AK988" s="76">
        <v>48</v>
      </c>
      <c r="AL988" s="76" t="b">
        <v>0</v>
      </c>
      <c r="AM988" s="78">
        <v>40024.840601851851</v>
      </c>
      <c r="AN988" s="76" t="s">
        <v>24188</v>
      </c>
      <c r="AO988" s="76" t="s">
        <v>25590</v>
      </c>
      <c r="AP988" s="82" t="str">
        <f>HYPERLINK("https://t.co/v4YFRa0VWW")</f>
        <v>https://t.co/v4YFRa0VWW</v>
      </c>
      <c r="AQ988" s="82" t="str">
        <f>HYPERLINK("https://www.facebook.com/ceic.udechile/")</f>
        <v>https://www.facebook.com/ceic.udechile/</v>
      </c>
      <c r="AR988" s="76" t="s">
        <v>26889</v>
      </c>
      <c r="AS988" s="76"/>
      <c r="AT988" s="76"/>
      <c r="AU988" s="76"/>
      <c r="AV988" s="76"/>
      <c r="AW988" s="82" t="str">
        <f>HYPERLINK("https://t.co/v4YFRa0VWW")</f>
        <v>https://t.co/v4YFRa0VWW</v>
      </c>
      <c r="AX988" s="76" t="b">
        <v>0</v>
      </c>
      <c r="AY988" s="76"/>
      <c r="AZ988" s="76"/>
      <c r="BA988" s="76" t="b">
        <v>0</v>
      </c>
      <c r="BB988" s="76" t="b">
        <v>1</v>
      </c>
      <c r="BC988" s="76" t="b">
        <v>0</v>
      </c>
      <c r="BD988" s="76" t="b">
        <v>0</v>
      </c>
      <c r="BE988" s="76" t="b">
        <v>0</v>
      </c>
      <c r="BF988" s="76" t="b">
        <v>0</v>
      </c>
      <c r="BG988" s="76" t="b">
        <v>0</v>
      </c>
      <c r="BH988" s="76"/>
      <c r="BI988" s="76"/>
      <c r="BJ988" s="76" t="s">
        <v>27595</v>
      </c>
      <c r="BK988" s="76" t="b">
        <v>0</v>
      </c>
      <c r="BL988" s="76"/>
      <c r="BM988" s="76" t="s">
        <v>65</v>
      </c>
      <c r="BN988" s="76" t="s">
        <v>27597</v>
      </c>
      <c r="BO988" s="82" t="str">
        <f>HYPERLINK("https://twitter.com/ceic_uch")</f>
        <v>https://twitter.com/ceic_uch</v>
      </c>
      <c r="BP988" s="2"/>
    </row>
    <row r="989" spans="1:68" x14ac:dyDescent="0.25">
      <c r="A989" s="62" t="s">
        <v>1925</v>
      </c>
      <c r="B989" s="63"/>
      <c r="C989" s="63"/>
      <c r="D989" s="64"/>
      <c r="E989" s="66"/>
      <c r="F989" s="103" t="str">
        <f>HYPERLINK("https://pbs.twimg.com/profile_images/1634224683150192641/L6HHiAZ0_normal.jpg")</f>
        <v>https://pbs.twimg.com/profile_images/1634224683150192641/L6HHiAZ0_normal.jpg</v>
      </c>
      <c r="G989" s="63"/>
      <c r="H989" s="67"/>
      <c r="I989" s="68"/>
      <c r="J989" s="68"/>
      <c r="K989" s="67" t="s">
        <v>28583</v>
      </c>
      <c r="L989" s="71"/>
      <c r="M989" s="72"/>
      <c r="N989" s="72"/>
      <c r="O989" s="73"/>
      <c r="P989" s="74"/>
      <c r="Q989" s="74"/>
      <c r="R989" s="87"/>
      <c r="S989" s="87"/>
      <c r="T989" s="87"/>
      <c r="U989" s="87"/>
      <c r="V989" s="48"/>
      <c r="W989" s="48"/>
      <c r="X989" s="48"/>
      <c r="Y989" s="48"/>
      <c r="Z989" s="47"/>
      <c r="AA989" s="69">
        <v>989</v>
      </c>
      <c r="AB989" s="69"/>
      <c r="AC989" s="70"/>
      <c r="AD989" s="76" t="s">
        <v>22214</v>
      </c>
      <c r="AE989" s="81" t="s">
        <v>23590</v>
      </c>
      <c r="AF989" s="76">
        <v>6483</v>
      </c>
      <c r="AG989" s="76">
        <v>3089</v>
      </c>
      <c r="AH989" s="76">
        <v>5716</v>
      </c>
      <c r="AI989" s="76">
        <v>37</v>
      </c>
      <c r="AJ989" s="76">
        <v>1309</v>
      </c>
      <c r="AK989" s="76">
        <v>1856</v>
      </c>
      <c r="AL989" s="76" t="b">
        <v>0</v>
      </c>
      <c r="AM989" s="78">
        <v>40857.64466435185</v>
      </c>
      <c r="AN989" s="76" t="s">
        <v>24175</v>
      </c>
      <c r="AO989" s="76" t="s">
        <v>25591</v>
      </c>
      <c r="AP989" s="82" t="str">
        <f>HYPERLINK("https://t.co/aRtpg3ZDFH")</f>
        <v>https://t.co/aRtpg3ZDFH</v>
      </c>
      <c r="AQ989" s="82" t="str">
        <f>HYPERLINK("http://www.fen.uchile.cl")</f>
        <v>http://www.fen.uchile.cl</v>
      </c>
      <c r="AR989" s="76" t="s">
        <v>26890</v>
      </c>
      <c r="AS989" s="76"/>
      <c r="AT989" s="76"/>
      <c r="AU989" s="76"/>
      <c r="AV989" s="76"/>
      <c r="AW989" s="82" t="str">
        <f>HYPERLINK("https://t.co/aRtpg3ZDFH")</f>
        <v>https://t.co/aRtpg3ZDFH</v>
      </c>
      <c r="AX989" s="76" t="b">
        <v>0</v>
      </c>
      <c r="AY989" s="76"/>
      <c r="AZ989" s="76"/>
      <c r="BA989" s="76" t="b">
        <v>0</v>
      </c>
      <c r="BB989" s="76" t="b">
        <v>1</v>
      </c>
      <c r="BC989" s="76" t="b">
        <v>0</v>
      </c>
      <c r="BD989" s="76" t="b">
        <v>0</v>
      </c>
      <c r="BE989" s="76" t="b">
        <v>1</v>
      </c>
      <c r="BF989" s="76" t="b">
        <v>0</v>
      </c>
      <c r="BG989" s="76" t="b">
        <v>0</v>
      </c>
      <c r="BH989" s="82" t="str">
        <f>HYPERLINK("https://pbs.twimg.com/profile_banners/409315174/1651695802")</f>
        <v>https://pbs.twimg.com/profile_banners/409315174/1651695802</v>
      </c>
      <c r="BI989" s="76"/>
      <c r="BJ989" s="76" t="s">
        <v>27595</v>
      </c>
      <c r="BK989" s="76" t="b">
        <v>0</v>
      </c>
      <c r="BL989" s="76"/>
      <c r="BM989" s="76" t="s">
        <v>65</v>
      </c>
      <c r="BN989" s="76" t="s">
        <v>27597</v>
      </c>
      <c r="BO989" s="82" t="str">
        <f>HYPERLINK("https://twitter.com/fenuchile")</f>
        <v>https://twitter.com/fenuchile</v>
      </c>
      <c r="BP989" s="2"/>
    </row>
    <row r="990" spans="1:68" x14ac:dyDescent="0.25">
      <c r="A990" s="62" t="s">
        <v>1384</v>
      </c>
      <c r="B990" s="63"/>
      <c r="C990" s="63"/>
      <c r="D990" s="64"/>
      <c r="E990" s="66"/>
      <c r="F990" s="103" t="str">
        <f>HYPERLINK("https://pbs.twimg.com/profile_images/1377217062020513793/WOtAGjIq_normal.jpg")</f>
        <v>https://pbs.twimg.com/profile_images/1377217062020513793/WOtAGjIq_normal.jpg</v>
      </c>
      <c r="G990" s="63"/>
      <c r="H990" s="67"/>
      <c r="I990" s="68"/>
      <c r="J990" s="68"/>
      <c r="K990" s="67" t="s">
        <v>28584</v>
      </c>
      <c r="L990" s="71"/>
      <c r="M990" s="72"/>
      <c r="N990" s="72"/>
      <c r="O990" s="73"/>
      <c r="P990" s="74"/>
      <c r="Q990" s="74"/>
      <c r="R990" s="87"/>
      <c r="S990" s="87"/>
      <c r="T990" s="87"/>
      <c r="U990" s="87"/>
      <c r="V990" s="48"/>
      <c r="W990" s="48"/>
      <c r="X990" s="48"/>
      <c r="Y990" s="48"/>
      <c r="Z990" s="47"/>
      <c r="AA990" s="69">
        <v>990</v>
      </c>
      <c r="AB990" s="69"/>
      <c r="AC990" s="70"/>
      <c r="AD990" s="76" t="s">
        <v>22215</v>
      </c>
      <c r="AE990" s="81" t="s">
        <v>20352</v>
      </c>
      <c r="AF990" s="76">
        <v>61346</v>
      </c>
      <c r="AG990" s="76">
        <v>4</v>
      </c>
      <c r="AH990" s="76">
        <v>7858</v>
      </c>
      <c r="AI990" s="76">
        <v>450</v>
      </c>
      <c r="AJ990" s="76">
        <v>331</v>
      </c>
      <c r="AK990" s="76">
        <v>4061</v>
      </c>
      <c r="AL990" s="76" t="b">
        <v>0</v>
      </c>
      <c r="AM990" s="78">
        <v>40970.943576388891</v>
      </c>
      <c r="AN990" s="76" t="s">
        <v>14386</v>
      </c>
      <c r="AO990" s="76" t="s">
        <v>25592</v>
      </c>
      <c r="AP990" s="82" t="str">
        <f>HYPERLINK("http://t.co/HrUZyLDPIS")</f>
        <v>http://t.co/HrUZyLDPIS</v>
      </c>
      <c r="AQ990" s="82" t="str">
        <f>HYPERLINK("http://www.bcentral.cl")</f>
        <v>http://www.bcentral.cl</v>
      </c>
      <c r="AR990" s="76" t="s">
        <v>8679</v>
      </c>
      <c r="AS990" s="76"/>
      <c r="AT990" s="76"/>
      <c r="AU990" s="76"/>
      <c r="AV990" s="76"/>
      <c r="AW990" s="82" t="str">
        <f>HYPERLINK("http://t.co/HrUZyLDPIS")</f>
        <v>http://t.co/HrUZyLDPIS</v>
      </c>
      <c r="AX990" s="76" t="b">
        <v>0</v>
      </c>
      <c r="AY990" s="76"/>
      <c r="AZ990" s="76"/>
      <c r="BA990" s="76" t="b">
        <v>0</v>
      </c>
      <c r="BB990" s="76" t="b">
        <v>1</v>
      </c>
      <c r="BC990" s="76" t="b">
        <v>0</v>
      </c>
      <c r="BD990" s="76" t="b">
        <v>0</v>
      </c>
      <c r="BE990" s="76" t="b">
        <v>0</v>
      </c>
      <c r="BF990" s="76" t="b">
        <v>0</v>
      </c>
      <c r="BG990" s="76" t="b">
        <v>0</v>
      </c>
      <c r="BH990" s="82" t="str">
        <f>HYPERLINK("https://pbs.twimg.com/profile_banners/512523162/1617189113")</f>
        <v>https://pbs.twimg.com/profile_banners/512523162/1617189113</v>
      </c>
      <c r="BI990" s="76"/>
      <c r="BJ990" s="76" t="s">
        <v>27595</v>
      </c>
      <c r="BK990" s="76" t="b">
        <v>0</v>
      </c>
      <c r="BL990" s="76"/>
      <c r="BM990" s="76" t="s">
        <v>66</v>
      </c>
      <c r="BN990" s="76" t="s">
        <v>27597</v>
      </c>
      <c r="BO990" s="82" t="str">
        <f>HYPERLINK("https://twitter.com/bcentralchile")</f>
        <v>https://twitter.com/bcentralchile</v>
      </c>
      <c r="BP990" s="2"/>
    </row>
    <row r="991" spans="1:68" x14ac:dyDescent="0.25">
      <c r="A991" s="62" t="s">
        <v>933</v>
      </c>
      <c r="B991" s="63"/>
      <c r="C991" s="63"/>
      <c r="D991" s="64"/>
      <c r="E991" s="66"/>
      <c r="F991" s="103" t="str">
        <f>HYPERLINK("https://pbs.twimg.com/profile_images/1448756040531644419/2WLT32AX_normal.jpg")</f>
        <v>https://pbs.twimg.com/profile_images/1448756040531644419/2WLT32AX_normal.jpg</v>
      </c>
      <c r="G991" s="63"/>
      <c r="H991" s="67"/>
      <c r="I991" s="68"/>
      <c r="J991" s="68"/>
      <c r="K991" s="67" t="s">
        <v>28585</v>
      </c>
      <c r="L991" s="71"/>
      <c r="M991" s="72"/>
      <c r="N991" s="72"/>
      <c r="O991" s="73"/>
      <c r="P991" s="74"/>
      <c r="Q991" s="74"/>
      <c r="R991" s="87"/>
      <c r="S991" s="87"/>
      <c r="T991" s="87"/>
      <c r="U991" s="87"/>
      <c r="V991" s="48"/>
      <c r="W991" s="48"/>
      <c r="X991" s="48"/>
      <c r="Y991" s="48"/>
      <c r="Z991" s="47"/>
      <c r="AA991" s="69">
        <v>991</v>
      </c>
      <c r="AB991" s="69"/>
      <c r="AC991" s="70"/>
      <c r="AD991" s="76" t="s">
        <v>22216</v>
      </c>
      <c r="AE991" s="81" t="s">
        <v>23591</v>
      </c>
      <c r="AF991" s="76">
        <v>15400</v>
      </c>
      <c r="AG991" s="76">
        <v>3055</v>
      </c>
      <c r="AH991" s="76">
        <v>467</v>
      </c>
      <c r="AI991" s="76">
        <v>3</v>
      </c>
      <c r="AJ991" s="76">
        <v>369</v>
      </c>
      <c r="AK991" s="76">
        <v>130</v>
      </c>
      <c r="AL991" s="76" t="b">
        <v>0</v>
      </c>
      <c r="AM991" s="78">
        <v>41213.636331018519</v>
      </c>
      <c r="AN991" s="76" t="s">
        <v>24430</v>
      </c>
      <c r="AO991" s="76" t="s">
        <v>25593</v>
      </c>
      <c r="AP991" s="82" t="str">
        <f>HYPERLINK("https://t.co/bdBN681SDm")</f>
        <v>https://t.co/bdBN681SDm</v>
      </c>
      <c r="AQ991" s="82" t="str">
        <f>HYPERLINK("https://linktr.ee/guticardozo10")</f>
        <v>https://linktr.ee/guticardozo10</v>
      </c>
      <c r="AR991" s="76" t="s">
        <v>26891</v>
      </c>
      <c r="AS991" s="76"/>
      <c r="AT991" s="76"/>
      <c r="AU991" s="76"/>
      <c r="AV991" s="76">
        <v>1.05946145369302E+18</v>
      </c>
      <c r="AW991" s="82" t="str">
        <f>HYPERLINK("https://t.co/bdBN681SDm")</f>
        <v>https://t.co/bdBN681SDm</v>
      </c>
      <c r="AX991" s="76" t="b">
        <v>0</v>
      </c>
      <c r="AY991" s="76"/>
      <c r="AZ991" s="76"/>
      <c r="BA991" s="76" t="b">
        <v>1</v>
      </c>
      <c r="BB991" s="76" t="b">
        <v>1</v>
      </c>
      <c r="BC991" s="76" t="b">
        <v>0</v>
      </c>
      <c r="BD991" s="76" t="b">
        <v>0</v>
      </c>
      <c r="BE991" s="76" t="b">
        <v>0</v>
      </c>
      <c r="BF991" s="76" t="b">
        <v>0</v>
      </c>
      <c r="BG991" s="76" t="b">
        <v>0</v>
      </c>
      <c r="BH991" s="82" t="str">
        <f>HYPERLINK("https://pbs.twimg.com/profile_banners/917088511/1394834493")</f>
        <v>https://pbs.twimg.com/profile_banners/917088511/1394834493</v>
      </c>
      <c r="BI991" s="76"/>
      <c r="BJ991" s="76" t="s">
        <v>27595</v>
      </c>
      <c r="BK991" s="76" t="b">
        <v>0</v>
      </c>
      <c r="BL991" s="76"/>
      <c r="BM991" s="76" t="s">
        <v>66</v>
      </c>
      <c r="BN991" s="76" t="s">
        <v>27597</v>
      </c>
      <c r="BO991" s="82" t="str">
        <f>HYPERLINK("https://twitter.com/guti_ezequiel")</f>
        <v>https://twitter.com/guti_ezequiel</v>
      </c>
      <c r="BP991" s="2"/>
    </row>
    <row r="992" spans="1:68" x14ac:dyDescent="0.25">
      <c r="A992" s="62" t="s">
        <v>934</v>
      </c>
      <c r="B992" s="63"/>
      <c r="C992" s="63"/>
      <c r="D992" s="64"/>
      <c r="E992" s="66"/>
      <c r="F992" s="103" t="str">
        <f>HYPERLINK("https://pbs.twimg.com/profile_images/1396936197935714308/BO2f4NHT_normal.jpg")</f>
        <v>https://pbs.twimg.com/profile_images/1396936197935714308/BO2f4NHT_normal.jpg</v>
      </c>
      <c r="G992" s="63"/>
      <c r="H992" s="67"/>
      <c r="I992" s="68"/>
      <c r="J992" s="68"/>
      <c r="K992" s="67" t="s">
        <v>28586</v>
      </c>
      <c r="L992" s="71"/>
      <c r="M992" s="72"/>
      <c r="N992" s="72"/>
      <c r="O992" s="73"/>
      <c r="P992" s="74"/>
      <c r="Q992" s="74"/>
      <c r="R992" s="87"/>
      <c r="S992" s="87"/>
      <c r="T992" s="87"/>
      <c r="U992" s="87"/>
      <c r="V992" s="48"/>
      <c r="W992" s="48"/>
      <c r="X992" s="48"/>
      <c r="Y992" s="48"/>
      <c r="Z992" s="47"/>
      <c r="AA992" s="69">
        <v>992</v>
      </c>
      <c r="AB992" s="69"/>
      <c r="AC992" s="70"/>
      <c r="AD992" s="76" t="s">
        <v>22217</v>
      </c>
      <c r="AE992" s="81" t="s">
        <v>20839</v>
      </c>
      <c r="AF992" s="76">
        <v>814</v>
      </c>
      <c r="AG992" s="76">
        <v>104</v>
      </c>
      <c r="AH992" s="76">
        <v>131</v>
      </c>
      <c r="AI992" s="76">
        <v>3</v>
      </c>
      <c r="AJ992" s="76">
        <v>167</v>
      </c>
      <c r="AK992" s="76">
        <v>78</v>
      </c>
      <c r="AL992" s="76" t="b">
        <v>0</v>
      </c>
      <c r="AM992" s="78">
        <v>44340.805868055555</v>
      </c>
      <c r="AN992" s="76"/>
      <c r="AO992" s="76" t="s">
        <v>25594</v>
      </c>
      <c r="AP992" s="82" t="str">
        <f>HYPERLINK("https://t.co/4fuSI6Kxkb")</f>
        <v>https://t.co/4fuSI6Kxkb</v>
      </c>
      <c r="AQ992" s="82" t="str">
        <f>HYPERLINK("http://novodebateeconomico.org.br")</f>
        <v>http://novodebateeconomico.org.br</v>
      </c>
      <c r="AR992" s="76" t="s">
        <v>26892</v>
      </c>
      <c r="AS992" s="76"/>
      <c r="AT992" s="76"/>
      <c r="AU992" s="76"/>
      <c r="AV992" s="76"/>
      <c r="AW992" s="82" t="str">
        <f>HYPERLINK("https://t.co/4fuSI6Kxkb")</f>
        <v>https://t.co/4fuSI6Kxkb</v>
      </c>
      <c r="AX992" s="76" t="b">
        <v>0</v>
      </c>
      <c r="AY992" s="76"/>
      <c r="AZ992" s="76"/>
      <c r="BA992" s="76" t="b">
        <v>0</v>
      </c>
      <c r="BB992" s="76" t="b">
        <v>1</v>
      </c>
      <c r="BC992" s="76" t="b">
        <v>1</v>
      </c>
      <c r="BD992" s="76" t="b">
        <v>0</v>
      </c>
      <c r="BE992" s="76" t="b">
        <v>0</v>
      </c>
      <c r="BF992" s="76" t="b">
        <v>0</v>
      </c>
      <c r="BG992" s="76" t="b">
        <v>0</v>
      </c>
      <c r="BH992" s="82" t="str">
        <f>HYPERLINK("https://pbs.twimg.com/profile_banners/1396908884586074122/1628084601")</f>
        <v>https://pbs.twimg.com/profile_banners/1396908884586074122/1628084601</v>
      </c>
      <c r="BI992" s="76"/>
      <c r="BJ992" s="76" t="s">
        <v>27595</v>
      </c>
      <c r="BK992" s="76" t="b">
        <v>0</v>
      </c>
      <c r="BL992" s="76"/>
      <c r="BM992" s="76" t="s">
        <v>66</v>
      </c>
      <c r="BN992" s="76" t="s">
        <v>27597</v>
      </c>
      <c r="BO992" s="82" t="str">
        <f>HYPERLINK("https://twitter.com/mnde_iesp")</f>
        <v>https://twitter.com/mnde_iesp</v>
      </c>
      <c r="BP992" s="2"/>
    </row>
    <row r="993" spans="1:68" x14ac:dyDescent="0.25">
      <c r="A993" s="62" t="s">
        <v>1926</v>
      </c>
      <c r="B993" s="63"/>
      <c r="C993" s="63"/>
      <c r="D993" s="64"/>
      <c r="E993" s="66"/>
      <c r="F993" s="103" t="str">
        <f>HYPERLINK("https://pbs.twimg.com/profile_images/565546594531934208/OCHAy7qx_normal.png")</f>
        <v>https://pbs.twimg.com/profile_images/565546594531934208/OCHAy7qx_normal.png</v>
      </c>
      <c r="G993" s="63"/>
      <c r="H993" s="67"/>
      <c r="I993" s="68"/>
      <c r="J993" s="68"/>
      <c r="K993" s="67" t="s">
        <v>28587</v>
      </c>
      <c r="L993" s="71"/>
      <c r="M993" s="72"/>
      <c r="N993" s="72"/>
      <c r="O993" s="73"/>
      <c r="P993" s="74"/>
      <c r="Q993" s="74"/>
      <c r="R993" s="87"/>
      <c r="S993" s="87"/>
      <c r="T993" s="87"/>
      <c r="U993" s="87"/>
      <c r="V993" s="48"/>
      <c r="W993" s="48"/>
      <c r="X993" s="48"/>
      <c r="Y993" s="48"/>
      <c r="Z993" s="47"/>
      <c r="AA993" s="69">
        <v>993</v>
      </c>
      <c r="AB993" s="69"/>
      <c r="AC993" s="70"/>
      <c r="AD993" s="76" t="s">
        <v>22218</v>
      </c>
      <c r="AE993" s="81" t="s">
        <v>23592</v>
      </c>
      <c r="AF993" s="76">
        <v>4816</v>
      </c>
      <c r="AG993" s="76">
        <v>190</v>
      </c>
      <c r="AH993" s="76">
        <v>2829</v>
      </c>
      <c r="AI993" s="76">
        <v>56</v>
      </c>
      <c r="AJ993" s="76">
        <v>645</v>
      </c>
      <c r="AK993" s="76">
        <v>857</v>
      </c>
      <c r="AL993" s="76" t="b">
        <v>0</v>
      </c>
      <c r="AM993" s="78">
        <v>42041.804525462961</v>
      </c>
      <c r="AN993" s="76" t="s">
        <v>14432</v>
      </c>
      <c r="AO993" s="76" t="s">
        <v>25595</v>
      </c>
      <c r="AP993" s="82" t="str">
        <f>HYPERLINK("https://t.co/wkjr2WSN7F")</f>
        <v>https://t.co/wkjr2WSN7F</v>
      </c>
      <c r="AQ993" s="82" t="str">
        <f>HYPERLINK("http://www.iesp.uerj.br")</f>
        <v>http://www.iesp.uerj.br</v>
      </c>
      <c r="AR993" s="76" t="s">
        <v>26893</v>
      </c>
      <c r="AS993" s="76"/>
      <c r="AT993" s="76"/>
      <c r="AU993" s="76"/>
      <c r="AV993" s="76"/>
      <c r="AW993" s="82" t="str">
        <f>HYPERLINK("https://t.co/wkjr2WSN7F")</f>
        <v>https://t.co/wkjr2WSN7F</v>
      </c>
      <c r="AX993" s="76" t="b">
        <v>0</v>
      </c>
      <c r="AY993" s="76"/>
      <c r="AZ993" s="76"/>
      <c r="BA993" s="76" t="b">
        <v>0</v>
      </c>
      <c r="BB993" s="76" t="b">
        <v>1</v>
      </c>
      <c r="BC993" s="76" t="b">
        <v>1</v>
      </c>
      <c r="BD993" s="76" t="b">
        <v>0</v>
      </c>
      <c r="BE993" s="76" t="b">
        <v>0</v>
      </c>
      <c r="BF993" s="76" t="b">
        <v>0</v>
      </c>
      <c r="BG993" s="76" t="b">
        <v>0</v>
      </c>
      <c r="BH993" s="82" t="str">
        <f>HYPERLINK("https://pbs.twimg.com/profile_banners/3022029010/1611949195")</f>
        <v>https://pbs.twimg.com/profile_banners/3022029010/1611949195</v>
      </c>
      <c r="BI993" s="76"/>
      <c r="BJ993" s="76" t="s">
        <v>27595</v>
      </c>
      <c r="BK993" s="76" t="b">
        <v>0</v>
      </c>
      <c r="BL993" s="76"/>
      <c r="BM993" s="76" t="s">
        <v>65</v>
      </c>
      <c r="BN993" s="76" t="s">
        <v>27597</v>
      </c>
      <c r="BO993" s="82" t="str">
        <f>HYPERLINK("https://twitter.com/uerj_iesp")</f>
        <v>https://twitter.com/uerj_iesp</v>
      </c>
      <c r="BP993" s="2"/>
    </row>
    <row r="994" spans="1:68" x14ac:dyDescent="0.25">
      <c r="A994" s="62" t="s">
        <v>935</v>
      </c>
      <c r="B994" s="63"/>
      <c r="C994" s="63"/>
      <c r="D994" s="64"/>
      <c r="E994" s="66"/>
      <c r="F994" s="103" t="str">
        <f>HYPERLINK("https://pbs.twimg.com/profile_images/1617939503947063296/T75_4E-z_normal.jpg")</f>
        <v>https://pbs.twimg.com/profile_images/1617939503947063296/T75_4E-z_normal.jpg</v>
      </c>
      <c r="G994" s="63"/>
      <c r="H994" s="67"/>
      <c r="I994" s="68"/>
      <c r="J994" s="68"/>
      <c r="K994" s="67" t="s">
        <v>28588</v>
      </c>
      <c r="L994" s="71"/>
      <c r="M994" s="72"/>
      <c r="N994" s="72"/>
      <c r="O994" s="73"/>
      <c r="P994" s="74"/>
      <c r="Q994" s="74"/>
      <c r="R994" s="87"/>
      <c r="S994" s="87"/>
      <c r="T994" s="87"/>
      <c r="U994" s="87"/>
      <c r="V994" s="48"/>
      <c r="W994" s="48"/>
      <c r="X994" s="48"/>
      <c r="Y994" s="48"/>
      <c r="Z994" s="47"/>
      <c r="AA994" s="69">
        <v>994</v>
      </c>
      <c r="AB994" s="69"/>
      <c r="AC994" s="70"/>
      <c r="AD994" s="76" t="s">
        <v>22219</v>
      </c>
      <c r="AE994" s="81" t="s">
        <v>23593</v>
      </c>
      <c r="AF994" s="76">
        <v>1896</v>
      </c>
      <c r="AG994" s="76">
        <v>497</v>
      </c>
      <c r="AH994" s="76">
        <v>39509</v>
      </c>
      <c r="AI994" s="76">
        <v>12</v>
      </c>
      <c r="AJ994" s="76">
        <v>631</v>
      </c>
      <c r="AK994" s="76">
        <v>6894</v>
      </c>
      <c r="AL994" s="76" t="b">
        <v>0</v>
      </c>
      <c r="AM994" s="78">
        <v>40402.47215277778</v>
      </c>
      <c r="AN994" s="76" t="s">
        <v>24431</v>
      </c>
      <c r="AO994" s="76" t="s">
        <v>25596</v>
      </c>
      <c r="AP994" s="82" t="str">
        <f>HYPERLINK("https://t.co/zslbLh1Ous")</f>
        <v>https://t.co/zslbLh1Ous</v>
      </c>
      <c r="AQ994" s="82" t="str">
        <f>HYPERLINK("https://www.sanluis24.com.ar/")</f>
        <v>https://www.sanluis24.com.ar/</v>
      </c>
      <c r="AR994" s="76" t="s">
        <v>26894</v>
      </c>
      <c r="AS994" s="76"/>
      <c r="AT994" s="76"/>
      <c r="AU994" s="76"/>
      <c r="AV994" s="76"/>
      <c r="AW994" s="82" t="str">
        <f>HYPERLINK("https://t.co/zslbLh1Ous")</f>
        <v>https://t.co/zslbLh1Ous</v>
      </c>
      <c r="AX994" s="76" t="b">
        <v>0</v>
      </c>
      <c r="AY994" s="76"/>
      <c r="AZ994" s="76"/>
      <c r="BA994" s="76" t="b">
        <v>0</v>
      </c>
      <c r="BB994" s="76" t="b">
        <v>1</v>
      </c>
      <c r="BC994" s="76" t="b">
        <v>1</v>
      </c>
      <c r="BD994" s="76" t="b">
        <v>0</v>
      </c>
      <c r="BE994" s="76" t="b">
        <v>1</v>
      </c>
      <c r="BF994" s="76" t="b">
        <v>0</v>
      </c>
      <c r="BG994" s="76" t="b">
        <v>0</v>
      </c>
      <c r="BH994" s="82" t="str">
        <f>HYPERLINK("https://pbs.twimg.com/profile_banners/177531232/1674582008")</f>
        <v>https://pbs.twimg.com/profile_banners/177531232/1674582008</v>
      </c>
      <c r="BI994" s="76"/>
      <c r="BJ994" s="76" t="s">
        <v>27595</v>
      </c>
      <c r="BK994" s="76" t="b">
        <v>0</v>
      </c>
      <c r="BL994" s="76"/>
      <c r="BM994" s="76" t="s">
        <v>66</v>
      </c>
      <c r="BN994" s="76" t="s">
        <v>27597</v>
      </c>
      <c r="BO994" s="82" t="str">
        <f>HYPERLINK("https://twitter.com/sanluis24ok")</f>
        <v>https://twitter.com/sanluis24ok</v>
      </c>
      <c r="BP994" s="2"/>
    </row>
    <row r="995" spans="1:68" x14ac:dyDescent="0.25">
      <c r="A995" s="62" t="s">
        <v>936</v>
      </c>
      <c r="B995" s="63"/>
      <c r="C995" s="63"/>
      <c r="D995" s="64"/>
      <c r="E995" s="66"/>
      <c r="F995" s="103" t="str">
        <f>HYPERLINK("https://pbs.twimg.com/profile_images/1535966629992988672/xqqse0sF_normal.jpg")</f>
        <v>https://pbs.twimg.com/profile_images/1535966629992988672/xqqse0sF_normal.jpg</v>
      </c>
      <c r="G995" s="63"/>
      <c r="H995" s="67"/>
      <c r="I995" s="68"/>
      <c r="J995" s="68"/>
      <c r="K995" s="67" t="s">
        <v>28589</v>
      </c>
      <c r="L995" s="71"/>
      <c r="M995" s="72"/>
      <c r="N995" s="72"/>
      <c r="O995" s="73"/>
      <c r="P995" s="74"/>
      <c r="Q995" s="74"/>
      <c r="R995" s="87"/>
      <c r="S995" s="87"/>
      <c r="T995" s="87"/>
      <c r="U995" s="87"/>
      <c r="V995" s="48"/>
      <c r="W995" s="48"/>
      <c r="X995" s="48"/>
      <c r="Y995" s="48"/>
      <c r="Z995" s="47"/>
      <c r="AA995" s="69">
        <v>995</v>
      </c>
      <c r="AB995" s="69"/>
      <c r="AC995" s="70"/>
      <c r="AD995" s="76" t="s">
        <v>22220</v>
      </c>
      <c r="AE995" s="81" t="s">
        <v>23594</v>
      </c>
      <c r="AF995" s="76">
        <v>1225</v>
      </c>
      <c r="AG995" s="76">
        <v>189</v>
      </c>
      <c r="AH995" s="76">
        <v>49838</v>
      </c>
      <c r="AI995" s="76">
        <v>1</v>
      </c>
      <c r="AJ995" s="76">
        <v>31414</v>
      </c>
      <c r="AK995" s="76">
        <v>38</v>
      </c>
      <c r="AL995" s="76" t="b">
        <v>0</v>
      </c>
      <c r="AM995" s="78">
        <v>41322.354699074072</v>
      </c>
      <c r="AN995" s="76" t="s">
        <v>24142</v>
      </c>
      <c r="AO995" s="76"/>
      <c r="AP995" s="76"/>
      <c r="AQ995" s="76"/>
      <c r="AR995" s="76"/>
      <c r="AS995" s="76"/>
      <c r="AT995" s="76"/>
      <c r="AU995" s="76"/>
      <c r="AV995" s="76"/>
      <c r="AW995" s="76"/>
      <c r="AX995" s="76" t="b">
        <v>0</v>
      </c>
      <c r="AY995" s="76"/>
      <c r="AZ995" s="76"/>
      <c r="BA995" s="76" t="b">
        <v>1</v>
      </c>
      <c r="BB995" s="76" t="b">
        <v>1</v>
      </c>
      <c r="BC995" s="76" t="b">
        <v>0</v>
      </c>
      <c r="BD995" s="76" t="b">
        <v>0</v>
      </c>
      <c r="BE995" s="76" t="b">
        <v>1</v>
      </c>
      <c r="BF995" s="76" t="b">
        <v>0</v>
      </c>
      <c r="BG995" s="76" t="b">
        <v>0</v>
      </c>
      <c r="BH995" s="82" t="str">
        <f>HYPERLINK("https://pbs.twimg.com/profile_banners/1188807511/1545687560")</f>
        <v>https://pbs.twimg.com/profile_banners/1188807511/1545687560</v>
      </c>
      <c r="BI995" s="76"/>
      <c r="BJ995" s="76" t="s">
        <v>27595</v>
      </c>
      <c r="BK995" s="76" t="b">
        <v>0</v>
      </c>
      <c r="BL995" s="76"/>
      <c r="BM995" s="76" t="s">
        <v>66</v>
      </c>
      <c r="BN995" s="76" t="s">
        <v>27597</v>
      </c>
      <c r="BO995" s="82" t="str">
        <f>HYPERLINK("https://twitter.com/drrn___")</f>
        <v>https://twitter.com/drrn___</v>
      </c>
      <c r="BP995" s="2"/>
    </row>
    <row r="996" spans="1:68" x14ac:dyDescent="0.25">
      <c r="A996" s="62" t="s">
        <v>937</v>
      </c>
      <c r="B996" s="63"/>
      <c r="C996" s="63"/>
      <c r="D996" s="64"/>
      <c r="E996" s="66"/>
      <c r="F996" s="103" t="str">
        <f>HYPERLINK("https://pbs.twimg.com/profile_images/1682532502206816256/3XZqDwsG_normal.jpg")</f>
        <v>https://pbs.twimg.com/profile_images/1682532502206816256/3XZqDwsG_normal.jpg</v>
      </c>
      <c r="G996" s="63"/>
      <c r="H996" s="67"/>
      <c r="I996" s="68"/>
      <c r="J996" s="68"/>
      <c r="K996" s="67" t="s">
        <v>28590</v>
      </c>
      <c r="L996" s="71"/>
      <c r="M996" s="72"/>
      <c r="N996" s="72"/>
      <c r="O996" s="73"/>
      <c r="P996" s="74"/>
      <c r="Q996" s="74"/>
      <c r="R996" s="87"/>
      <c r="S996" s="87"/>
      <c r="T996" s="87"/>
      <c r="U996" s="87"/>
      <c r="V996" s="48"/>
      <c r="W996" s="48"/>
      <c r="X996" s="48"/>
      <c r="Y996" s="48"/>
      <c r="Z996" s="47"/>
      <c r="AA996" s="69">
        <v>996</v>
      </c>
      <c r="AB996" s="69"/>
      <c r="AC996" s="70"/>
      <c r="AD996" s="76" t="s">
        <v>22221</v>
      </c>
      <c r="AE996" s="81" t="s">
        <v>20840</v>
      </c>
      <c r="AF996" s="76">
        <v>66</v>
      </c>
      <c r="AG996" s="76">
        <v>227</v>
      </c>
      <c r="AH996" s="76">
        <v>606</v>
      </c>
      <c r="AI996" s="76">
        <v>1</v>
      </c>
      <c r="AJ996" s="76">
        <v>1457</v>
      </c>
      <c r="AK996" s="76">
        <v>451</v>
      </c>
      <c r="AL996" s="76" t="b">
        <v>0</v>
      </c>
      <c r="AM996" s="78">
        <v>44943.81490740741</v>
      </c>
      <c r="AN996" s="76"/>
      <c r="AO996" s="76" t="s">
        <v>25597</v>
      </c>
      <c r="AP996" s="82" t="str">
        <f>HYPERLINK("https://t.co/LOxn2whfzl")</f>
        <v>https://t.co/LOxn2whfzl</v>
      </c>
      <c r="AQ996" s="82" t="str">
        <f>HYPERLINK("https://instagram.com/alfinetadosdodia")</f>
        <v>https://instagram.com/alfinetadosdodia</v>
      </c>
      <c r="AR996" s="76" t="s">
        <v>26895</v>
      </c>
      <c r="AS996" s="76"/>
      <c r="AT996" s="76"/>
      <c r="AU996" s="76"/>
      <c r="AV996" s="76">
        <v>1.7074650416188401E+18</v>
      </c>
      <c r="AW996" s="82" t="str">
        <f>HYPERLINK("https://t.co/LOxn2whfzl")</f>
        <v>https://t.co/LOxn2whfzl</v>
      </c>
      <c r="AX996" s="76" t="b">
        <v>0</v>
      </c>
      <c r="AY996" s="76"/>
      <c r="AZ996" s="76"/>
      <c r="BA996" s="76" t="b">
        <v>0</v>
      </c>
      <c r="BB996" s="76" t="b">
        <v>1</v>
      </c>
      <c r="BC996" s="76" t="b">
        <v>1</v>
      </c>
      <c r="BD996" s="76" t="b">
        <v>0</v>
      </c>
      <c r="BE996" s="76" t="b">
        <v>1</v>
      </c>
      <c r="BF996" s="76" t="b">
        <v>0</v>
      </c>
      <c r="BG996" s="76" t="b">
        <v>0</v>
      </c>
      <c r="BH996" s="82" t="str">
        <f>HYPERLINK("https://pbs.twimg.com/profile_banners/1615431710677639170/1689981996")</f>
        <v>https://pbs.twimg.com/profile_banners/1615431710677639170/1689981996</v>
      </c>
      <c r="BI996" s="76"/>
      <c r="BJ996" s="76" t="s">
        <v>27595</v>
      </c>
      <c r="BK996" s="76" t="b">
        <v>0</v>
      </c>
      <c r="BL996" s="76"/>
      <c r="BM996" s="76" t="s">
        <v>66</v>
      </c>
      <c r="BN996" s="76" t="s">
        <v>27597</v>
      </c>
      <c r="BO996" s="82" t="str">
        <f>HYPERLINK("https://twitter.com/alfinetadosday")</f>
        <v>https://twitter.com/alfinetadosday</v>
      </c>
      <c r="BP996" s="2"/>
    </row>
    <row r="997" spans="1:68" x14ac:dyDescent="0.25">
      <c r="A997" s="62" t="s">
        <v>938</v>
      </c>
      <c r="B997" s="63"/>
      <c r="C997" s="63"/>
      <c r="D997" s="64"/>
      <c r="E997" s="66"/>
      <c r="F997" s="103" t="str">
        <f>HYPERLINK("https://pbs.twimg.com/profile_images/1342997703610028034/85rmCpcR_normal.jpg")</f>
        <v>https://pbs.twimg.com/profile_images/1342997703610028034/85rmCpcR_normal.jpg</v>
      </c>
      <c r="G997" s="63"/>
      <c r="H997" s="67"/>
      <c r="I997" s="68"/>
      <c r="J997" s="68"/>
      <c r="K997" s="67" t="s">
        <v>28591</v>
      </c>
      <c r="L997" s="71"/>
      <c r="M997" s="72"/>
      <c r="N997" s="72"/>
      <c r="O997" s="73"/>
      <c r="P997" s="74"/>
      <c r="Q997" s="74"/>
      <c r="R997" s="87"/>
      <c r="S997" s="87"/>
      <c r="T997" s="87"/>
      <c r="U997" s="87"/>
      <c r="V997" s="48"/>
      <c r="W997" s="48"/>
      <c r="X997" s="48"/>
      <c r="Y997" s="48"/>
      <c r="Z997" s="47"/>
      <c r="AA997" s="69">
        <v>997</v>
      </c>
      <c r="AB997" s="69"/>
      <c r="AC997" s="70"/>
      <c r="AD997" s="76" t="s">
        <v>22222</v>
      </c>
      <c r="AE997" s="81" t="s">
        <v>23595</v>
      </c>
      <c r="AF997" s="76">
        <v>6144</v>
      </c>
      <c r="AG997" s="76">
        <v>2197</v>
      </c>
      <c r="AH997" s="76">
        <v>93336</v>
      </c>
      <c r="AI997" s="76">
        <v>19</v>
      </c>
      <c r="AJ997" s="76">
        <v>62042</v>
      </c>
      <c r="AK997" s="76">
        <v>2109</v>
      </c>
      <c r="AL997" s="76" t="b">
        <v>0</v>
      </c>
      <c r="AM997" s="78">
        <v>40668.798472222225</v>
      </c>
      <c r="AN997" s="76" t="s">
        <v>24432</v>
      </c>
      <c r="AO997" s="76" t="s">
        <v>25598</v>
      </c>
      <c r="AP997" s="76"/>
      <c r="AQ997" s="76"/>
      <c r="AR997" s="76"/>
      <c r="AS997" s="76"/>
      <c r="AT997" s="76"/>
      <c r="AU997" s="76"/>
      <c r="AV997" s="76"/>
      <c r="AW997" s="76"/>
      <c r="AX997" s="76" t="b">
        <v>0</v>
      </c>
      <c r="AY997" s="76"/>
      <c r="AZ997" s="76"/>
      <c r="BA997" s="76" t="b">
        <v>1</v>
      </c>
      <c r="BB997" s="76" t="b">
        <v>1</v>
      </c>
      <c r="BC997" s="76" t="b">
        <v>0</v>
      </c>
      <c r="BD997" s="76" t="b">
        <v>0</v>
      </c>
      <c r="BE997" s="76" t="b">
        <v>1</v>
      </c>
      <c r="BF997" s="76" t="b">
        <v>0</v>
      </c>
      <c r="BG997" s="76" t="b">
        <v>0</v>
      </c>
      <c r="BH997" s="82" t="str">
        <f>HYPERLINK("https://pbs.twimg.com/profile_banners/293664512/1673580121")</f>
        <v>https://pbs.twimg.com/profile_banners/293664512/1673580121</v>
      </c>
      <c r="BI997" s="76"/>
      <c r="BJ997" s="76" t="s">
        <v>27595</v>
      </c>
      <c r="BK997" s="76" t="b">
        <v>0</v>
      </c>
      <c r="BL997" s="76"/>
      <c r="BM997" s="76" t="s">
        <v>66</v>
      </c>
      <c r="BN997" s="76" t="s">
        <v>27597</v>
      </c>
      <c r="BO997" s="82" t="str">
        <f>HYPERLINK("https://twitter.com/kimontare")</f>
        <v>https://twitter.com/kimontare</v>
      </c>
      <c r="BP997" s="2"/>
    </row>
    <row r="998" spans="1:68" x14ac:dyDescent="0.25">
      <c r="A998" s="62" t="s">
        <v>939</v>
      </c>
      <c r="B998" s="63"/>
      <c r="C998" s="63"/>
      <c r="D998" s="64"/>
      <c r="E998" s="66"/>
      <c r="F998" s="103" t="str">
        <f>HYPERLINK("https://pbs.twimg.com/profile_images/1690795982546472961/zne8k0Gw_normal.png")</f>
        <v>https://pbs.twimg.com/profile_images/1690795982546472961/zne8k0Gw_normal.png</v>
      </c>
      <c r="G998" s="63"/>
      <c r="H998" s="67"/>
      <c r="I998" s="68"/>
      <c r="J998" s="68"/>
      <c r="K998" s="67" t="s">
        <v>28592</v>
      </c>
      <c r="L998" s="71"/>
      <c r="M998" s="72"/>
      <c r="N998" s="72"/>
      <c r="O998" s="73"/>
      <c r="P998" s="74"/>
      <c r="Q998" s="74"/>
      <c r="R998" s="87"/>
      <c r="S998" s="87"/>
      <c r="T998" s="87"/>
      <c r="U998" s="87"/>
      <c r="V998" s="48"/>
      <c r="W998" s="48"/>
      <c r="X998" s="48"/>
      <c r="Y998" s="48"/>
      <c r="Z998" s="47"/>
      <c r="AA998" s="69">
        <v>998</v>
      </c>
      <c r="AB998" s="69"/>
      <c r="AC998" s="70"/>
      <c r="AD998" s="76" t="s">
        <v>22223</v>
      </c>
      <c r="AE998" s="81" t="s">
        <v>20841</v>
      </c>
      <c r="AF998" s="76">
        <v>0</v>
      </c>
      <c r="AG998" s="76">
        <v>1</v>
      </c>
      <c r="AH998" s="76">
        <v>7</v>
      </c>
      <c r="AI998" s="76">
        <v>0</v>
      </c>
      <c r="AJ998" s="76">
        <v>9</v>
      </c>
      <c r="AK998" s="76">
        <v>0</v>
      </c>
      <c r="AL998" s="76" t="b">
        <v>0</v>
      </c>
      <c r="AM998" s="78">
        <v>45151.779513888891</v>
      </c>
      <c r="AN998" s="76"/>
      <c r="AO998" s="76"/>
      <c r="AP998" s="76"/>
      <c r="AQ998" s="76"/>
      <c r="AR998" s="76"/>
      <c r="AS998" s="76"/>
      <c r="AT998" s="76"/>
      <c r="AU998" s="76"/>
      <c r="AV998" s="76"/>
      <c r="AW998" s="76"/>
      <c r="AX998" s="76" t="b">
        <v>0</v>
      </c>
      <c r="AY998" s="76"/>
      <c r="AZ998" s="76"/>
      <c r="BA998" s="76" t="b">
        <v>0</v>
      </c>
      <c r="BB998" s="76" t="b">
        <v>1</v>
      </c>
      <c r="BC998" s="76" t="b">
        <v>1</v>
      </c>
      <c r="BD998" s="76" t="b">
        <v>0</v>
      </c>
      <c r="BE998" s="76" t="b">
        <v>0</v>
      </c>
      <c r="BF998" s="76" t="b">
        <v>0</v>
      </c>
      <c r="BG998" s="76" t="b">
        <v>0</v>
      </c>
      <c r="BH998" s="76"/>
      <c r="BI998" s="76"/>
      <c r="BJ998" s="76" t="s">
        <v>27595</v>
      </c>
      <c r="BK998" s="76" t="b">
        <v>0</v>
      </c>
      <c r="BL998" s="76"/>
      <c r="BM998" s="76" t="s">
        <v>66</v>
      </c>
      <c r="BN998" s="76" t="s">
        <v>27597</v>
      </c>
      <c r="BO998" s="82" t="str">
        <f>HYPERLINK("https://twitter.com/minari2797")</f>
        <v>https://twitter.com/minari2797</v>
      </c>
      <c r="BP998" s="2"/>
    </row>
    <row r="999" spans="1:68" x14ac:dyDescent="0.25">
      <c r="A999" s="62" t="s">
        <v>940</v>
      </c>
      <c r="B999" s="63"/>
      <c r="C999" s="63"/>
      <c r="D999" s="64"/>
      <c r="E999" s="66"/>
      <c r="F999" s="103" t="str">
        <f>HYPERLINK("https://pbs.twimg.com/profile_images/1467249419196284928/-bjBBYzo_normal.jpg")</f>
        <v>https://pbs.twimg.com/profile_images/1467249419196284928/-bjBBYzo_normal.jpg</v>
      </c>
      <c r="G999" s="63"/>
      <c r="H999" s="67"/>
      <c r="I999" s="68"/>
      <c r="J999" s="68"/>
      <c r="K999" s="67" t="s">
        <v>28593</v>
      </c>
      <c r="L999" s="71"/>
      <c r="M999" s="72"/>
      <c r="N999" s="72"/>
      <c r="O999" s="73"/>
      <c r="P999" s="74"/>
      <c r="Q999" s="74"/>
      <c r="R999" s="87"/>
      <c r="S999" s="87"/>
      <c r="T999" s="87"/>
      <c r="U999" s="87"/>
      <c r="V999" s="48"/>
      <c r="W999" s="48"/>
      <c r="X999" s="48"/>
      <c r="Y999" s="48"/>
      <c r="Z999" s="47"/>
      <c r="AA999" s="69">
        <v>999</v>
      </c>
      <c r="AB999" s="69"/>
      <c r="AC999" s="70"/>
      <c r="AD999" s="76" t="s">
        <v>22224</v>
      </c>
      <c r="AE999" s="81" t="s">
        <v>20842</v>
      </c>
      <c r="AF999" s="76">
        <v>1156</v>
      </c>
      <c r="AG999" s="76">
        <v>100</v>
      </c>
      <c r="AH999" s="76">
        <v>4144</v>
      </c>
      <c r="AI999" s="76">
        <v>4</v>
      </c>
      <c r="AJ999" s="76">
        <v>39</v>
      </c>
      <c r="AK999" s="76">
        <v>1870</v>
      </c>
      <c r="AL999" s="76" t="b">
        <v>0</v>
      </c>
      <c r="AM999" s="78">
        <v>44534.897349537037</v>
      </c>
      <c r="AN999" s="76"/>
      <c r="AO999" s="76" t="s">
        <v>25599</v>
      </c>
      <c r="AP999" s="82" t="str">
        <f>HYPERLINK("https://t.co/FbUyR5VvrY")</f>
        <v>https://t.co/FbUyR5VvrY</v>
      </c>
      <c r="AQ999" s="82" t="str">
        <f>HYPERLINK("http://ghiraldelli.online")</f>
        <v>http://ghiraldelli.online</v>
      </c>
      <c r="AR999" s="76" t="s">
        <v>26896</v>
      </c>
      <c r="AS999" s="76"/>
      <c r="AT999" s="76"/>
      <c r="AU999" s="76"/>
      <c r="AV999" s="76"/>
      <c r="AW999" s="82" t="str">
        <f>HYPERLINK("https://t.co/FbUyR5VvrY")</f>
        <v>https://t.co/FbUyR5VvrY</v>
      </c>
      <c r="AX999" s="76" t="b">
        <v>0</v>
      </c>
      <c r="AY999" s="76"/>
      <c r="AZ999" s="76"/>
      <c r="BA999" s="76" t="b">
        <v>0</v>
      </c>
      <c r="BB999" s="76" t="b">
        <v>1</v>
      </c>
      <c r="BC999" s="76" t="b">
        <v>1</v>
      </c>
      <c r="BD999" s="76" t="b">
        <v>0</v>
      </c>
      <c r="BE999" s="76" t="b">
        <v>1</v>
      </c>
      <c r="BF999" s="76" t="b">
        <v>0</v>
      </c>
      <c r="BG999" s="76" t="b">
        <v>0</v>
      </c>
      <c r="BH999" s="82" t="str">
        <f>HYPERLINK("https://pbs.twimg.com/profile_banners/1467245027411865601/1648577421")</f>
        <v>https://pbs.twimg.com/profile_banners/1467245027411865601/1648577421</v>
      </c>
      <c r="BI999" s="76"/>
      <c r="BJ999" s="76" t="s">
        <v>27595</v>
      </c>
      <c r="BK999" s="76" t="b">
        <v>0</v>
      </c>
      <c r="BL999" s="76"/>
      <c r="BM999" s="76" t="s">
        <v>66</v>
      </c>
      <c r="BN999" s="76" t="s">
        <v>27597</v>
      </c>
      <c r="BO999" s="82" t="str">
        <f>HYPERLINK("https://twitter.com/profghiraldelli")</f>
        <v>https://twitter.com/profghiraldelli</v>
      </c>
      <c r="BP999" s="2"/>
    </row>
    <row r="1000" spans="1:68" x14ac:dyDescent="0.25">
      <c r="A1000" s="62" t="s">
        <v>941</v>
      </c>
      <c r="B1000" s="63"/>
      <c r="C1000" s="63"/>
      <c r="D1000" s="64"/>
      <c r="E1000" s="66"/>
      <c r="F1000" s="103" t="str">
        <f>HYPERLINK("https://pbs.twimg.com/profile_images/1679673855118389249/G767zAvL_normal.jpg")</f>
        <v>https://pbs.twimg.com/profile_images/1679673855118389249/G767zAvL_normal.jpg</v>
      </c>
      <c r="G1000" s="63"/>
      <c r="H1000" s="67"/>
      <c r="I1000" s="68"/>
      <c r="J1000" s="68"/>
      <c r="K1000" s="67" t="s">
        <v>28594</v>
      </c>
      <c r="L1000" s="71"/>
      <c r="M1000" s="72"/>
      <c r="N1000" s="72"/>
      <c r="O1000" s="73"/>
      <c r="P1000" s="74"/>
      <c r="Q1000" s="74"/>
      <c r="R1000" s="87"/>
      <c r="S1000" s="87"/>
      <c r="T1000" s="87"/>
      <c r="U1000" s="87"/>
      <c r="V1000" s="48"/>
      <c r="W1000" s="48"/>
      <c r="X1000" s="48"/>
      <c r="Y1000" s="48"/>
      <c r="Z1000" s="47"/>
      <c r="AA1000" s="69">
        <v>1000</v>
      </c>
      <c r="AB1000" s="69"/>
      <c r="AC1000" s="70"/>
      <c r="AD1000" s="76" t="s">
        <v>22225</v>
      </c>
      <c r="AE1000" s="81" t="s">
        <v>20843</v>
      </c>
      <c r="AF1000" s="76">
        <v>356</v>
      </c>
      <c r="AG1000" s="76">
        <v>9</v>
      </c>
      <c r="AH1000" s="76">
        <v>14397</v>
      </c>
      <c r="AI1000" s="76">
        <v>3</v>
      </c>
      <c r="AJ1000" s="76">
        <v>10599</v>
      </c>
      <c r="AK1000" s="76">
        <v>2834</v>
      </c>
      <c r="AL1000" s="76" t="b">
        <v>0</v>
      </c>
      <c r="AM1000" s="78">
        <v>42955.813900462963</v>
      </c>
      <c r="AN1000" s="76" t="s">
        <v>24433</v>
      </c>
      <c r="AO1000" s="76" t="s">
        <v>25600</v>
      </c>
      <c r="AP1000" s="82" t="str">
        <f>HYPERLINK("https://t.co/DrrYtlLEJT")</f>
        <v>https://t.co/DrrYtlLEJT</v>
      </c>
      <c r="AQ1000" s="82" t="str">
        <f>HYPERLINK("http://www.radiomandarina.com.ar")</f>
        <v>http://www.radiomandarina.com.ar</v>
      </c>
      <c r="AR1000" s="76" t="s">
        <v>26897</v>
      </c>
      <c r="AS1000" s="76"/>
      <c r="AT1000" s="76"/>
      <c r="AU1000" s="76"/>
      <c r="AV1000" s="76"/>
      <c r="AW1000" s="82" t="str">
        <f>HYPERLINK("https://t.co/DrrYtlLEJT")</f>
        <v>https://t.co/DrrYtlLEJT</v>
      </c>
      <c r="AX1000" s="76" t="b">
        <v>0</v>
      </c>
      <c r="AY1000" s="76"/>
      <c r="AZ1000" s="76"/>
      <c r="BA1000" s="76" t="b">
        <v>0</v>
      </c>
      <c r="BB1000" s="76" t="b">
        <v>1</v>
      </c>
      <c r="BC1000" s="76" t="b">
        <v>1</v>
      </c>
      <c r="BD1000" s="76" t="b">
        <v>0</v>
      </c>
      <c r="BE1000" s="76" t="b">
        <v>0</v>
      </c>
      <c r="BF1000" s="76" t="b">
        <v>0</v>
      </c>
      <c r="BG1000" s="76" t="b">
        <v>0</v>
      </c>
      <c r="BH1000" s="82" t="str">
        <f>HYPERLINK("https://pbs.twimg.com/profile_banners/895004691511341060/1528580319")</f>
        <v>https://pbs.twimg.com/profile_banners/895004691511341060/1528580319</v>
      </c>
      <c r="BI1000" s="76"/>
      <c r="BJ1000" s="76" t="s">
        <v>27595</v>
      </c>
      <c r="BK1000" s="76" t="b">
        <v>0</v>
      </c>
      <c r="BL1000" s="76"/>
      <c r="BM1000" s="76" t="s">
        <v>66</v>
      </c>
      <c r="BN1000" s="76" t="s">
        <v>27597</v>
      </c>
      <c r="BO1000" s="82" t="str">
        <f>HYPERLINK("https://twitter.com/mandarina_radio")</f>
        <v>https://twitter.com/mandarina_radio</v>
      </c>
      <c r="BP1000" s="2"/>
    </row>
    <row r="1001" spans="1:68" x14ac:dyDescent="0.25">
      <c r="A1001" s="62" t="s">
        <v>942</v>
      </c>
      <c r="B1001" s="63"/>
      <c r="C1001" s="63"/>
      <c r="D1001" s="64"/>
      <c r="E1001" s="66"/>
      <c r="F1001" s="103" t="str">
        <f>HYPERLINK("https://pbs.twimg.com/profile_images/1432838942542417928/-gmkucS0_normal.jpg")</f>
        <v>https://pbs.twimg.com/profile_images/1432838942542417928/-gmkucS0_normal.jpg</v>
      </c>
      <c r="G1001" s="63"/>
      <c r="H1001" s="67"/>
      <c r="I1001" s="68"/>
      <c r="J1001" s="68"/>
      <c r="K1001" s="67" t="s">
        <v>28595</v>
      </c>
      <c r="L1001" s="71"/>
      <c r="M1001" s="72"/>
      <c r="N1001" s="72"/>
      <c r="O1001" s="73"/>
      <c r="P1001" s="74"/>
      <c r="Q1001" s="74"/>
      <c r="R1001" s="87"/>
      <c r="S1001" s="87"/>
      <c r="T1001" s="87"/>
      <c r="U1001" s="87"/>
      <c r="V1001" s="48"/>
      <c r="W1001" s="48"/>
      <c r="X1001" s="48"/>
      <c r="Y1001" s="48"/>
      <c r="Z1001" s="47"/>
      <c r="AA1001" s="69">
        <v>1001</v>
      </c>
      <c r="AB1001" s="69"/>
      <c r="AC1001" s="70"/>
      <c r="AD1001" s="76" t="s">
        <v>22226</v>
      </c>
      <c r="AE1001" s="81" t="s">
        <v>20308</v>
      </c>
      <c r="AF1001" s="76">
        <v>267120</v>
      </c>
      <c r="AG1001" s="76">
        <v>1124</v>
      </c>
      <c r="AH1001" s="76">
        <v>165676</v>
      </c>
      <c r="AI1001" s="76">
        <v>759</v>
      </c>
      <c r="AJ1001" s="76">
        <v>10918</v>
      </c>
      <c r="AK1001" s="76">
        <v>85611</v>
      </c>
      <c r="AL1001" s="76" t="b">
        <v>0</v>
      </c>
      <c r="AM1001" s="78">
        <v>39948.640023148146</v>
      </c>
      <c r="AN1001" s="76"/>
      <c r="AO1001" s="76" t="s">
        <v>25601</v>
      </c>
      <c r="AP1001" s="82" t="str">
        <f>HYPERLINK("https://t.co/IJ1H3ge1Ch")</f>
        <v>https://t.co/IJ1H3ge1Ch</v>
      </c>
      <c r="AQ1001" s="82" t="str">
        <f>HYPERLINK("http://radiobandeirantes.com.br")</f>
        <v>http://radiobandeirantes.com.br</v>
      </c>
      <c r="AR1001" s="76" t="s">
        <v>26898</v>
      </c>
      <c r="AS1001" s="82" t="str">
        <f>HYPERLINK("https://t.co/j1rBCWcSyV")</f>
        <v>https://t.co/j1rBCWcSyV</v>
      </c>
      <c r="AT1001" s="82" t="str">
        <f>HYPERLINK("http://linktr.ee/radiobandeiran")</f>
        <v>http://linktr.ee/radiobandeiran</v>
      </c>
      <c r="AU1001" s="76" t="s">
        <v>27517</v>
      </c>
      <c r="AV1001" s="76"/>
      <c r="AW1001" s="82" t="str">
        <f>HYPERLINK("https://t.co/IJ1H3ge1Ch")</f>
        <v>https://t.co/IJ1H3ge1Ch</v>
      </c>
      <c r="AX1001" s="76" t="b">
        <v>0</v>
      </c>
      <c r="AY1001" s="76"/>
      <c r="AZ1001" s="76"/>
      <c r="BA1001" s="76" t="b">
        <v>0</v>
      </c>
      <c r="BB1001" s="76" t="b">
        <v>1</v>
      </c>
      <c r="BC1001" s="76" t="b">
        <v>0</v>
      </c>
      <c r="BD1001" s="76" t="b">
        <v>0</v>
      </c>
      <c r="BE1001" s="76" t="b">
        <v>1</v>
      </c>
      <c r="BF1001" s="76" t="b">
        <v>0</v>
      </c>
      <c r="BG1001" s="76" t="b">
        <v>0</v>
      </c>
      <c r="BH1001" s="82" t="str">
        <f>HYPERLINK("https://pbs.twimg.com/profile_banners/40261159/1630450398")</f>
        <v>https://pbs.twimg.com/profile_banners/40261159/1630450398</v>
      </c>
      <c r="BI1001" s="76"/>
      <c r="BJ1001" s="76" t="s">
        <v>27595</v>
      </c>
      <c r="BK1001" s="76" t="b">
        <v>0</v>
      </c>
      <c r="BL1001" s="76"/>
      <c r="BM1001" s="76" t="s">
        <v>66</v>
      </c>
      <c r="BN1001" s="76" t="s">
        <v>27597</v>
      </c>
      <c r="BO1001" s="82" t="str">
        <f>HYPERLINK("https://twitter.com/rbandeirantes")</f>
        <v>https://twitter.com/rbandeirantes</v>
      </c>
      <c r="BP1001" s="2"/>
    </row>
    <row r="1002" spans="1:68" x14ac:dyDescent="0.25">
      <c r="A1002" s="62" t="s">
        <v>943</v>
      </c>
      <c r="B1002" s="63"/>
      <c r="C1002" s="63"/>
      <c r="D1002" s="64"/>
      <c r="E1002" s="66"/>
      <c r="F1002" s="103" t="str">
        <f>HYPERLINK("https://pbs.twimg.com/profile_images/1569742379086659584/XPHiq812_normal.jpg")</f>
        <v>https://pbs.twimg.com/profile_images/1569742379086659584/XPHiq812_normal.jpg</v>
      </c>
      <c r="G1002" s="63"/>
      <c r="H1002" s="67"/>
      <c r="I1002" s="68"/>
      <c r="J1002" s="68"/>
      <c r="K1002" s="67" t="s">
        <v>28596</v>
      </c>
      <c r="L1002" s="71"/>
      <c r="M1002" s="72"/>
      <c r="N1002" s="72"/>
      <c r="O1002" s="73"/>
      <c r="P1002" s="74"/>
      <c r="Q1002" s="74"/>
      <c r="R1002" s="87"/>
      <c r="S1002" s="87"/>
      <c r="T1002" s="87"/>
      <c r="U1002" s="87"/>
      <c r="V1002" s="48"/>
      <c r="W1002" s="48"/>
      <c r="X1002" s="48"/>
      <c r="Y1002" s="48"/>
      <c r="Z1002" s="47"/>
      <c r="AA1002" s="69">
        <v>1002</v>
      </c>
      <c r="AB1002" s="69"/>
      <c r="AC1002" s="70"/>
      <c r="AD1002" s="76" t="s">
        <v>21997</v>
      </c>
      <c r="AE1002" s="81" t="s">
        <v>23596</v>
      </c>
      <c r="AF1002" s="76">
        <v>1156</v>
      </c>
      <c r="AG1002" s="76">
        <v>3897</v>
      </c>
      <c r="AH1002" s="76">
        <v>16517</v>
      </c>
      <c r="AI1002" s="76">
        <v>15</v>
      </c>
      <c r="AJ1002" s="76">
        <v>27550</v>
      </c>
      <c r="AK1002" s="76">
        <v>710</v>
      </c>
      <c r="AL1002" s="76" t="b">
        <v>0</v>
      </c>
      <c r="AM1002" s="78">
        <v>39925.996249999997</v>
      </c>
      <c r="AN1002" s="76" t="s">
        <v>24434</v>
      </c>
      <c r="AO1002" s="76" t="s">
        <v>25602</v>
      </c>
      <c r="AP1002" s="76"/>
      <c r="AQ1002" s="76"/>
      <c r="AR1002" s="76"/>
      <c r="AS1002" s="76"/>
      <c r="AT1002" s="76"/>
      <c r="AU1002" s="76"/>
      <c r="AV1002" s="76">
        <v>1.5336266874554801E+18</v>
      </c>
      <c r="AW1002" s="76"/>
      <c r="AX1002" s="76" t="b">
        <v>0</v>
      </c>
      <c r="AY1002" s="76"/>
      <c r="AZ1002" s="76"/>
      <c r="BA1002" s="76" t="b">
        <v>0</v>
      </c>
      <c r="BB1002" s="76" t="b">
        <v>0</v>
      </c>
      <c r="BC1002" s="76" t="b">
        <v>0</v>
      </c>
      <c r="BD1002" s="76" t="b">
        <v>0</v>
      </c>
      <c r="BE1002" s="76" t="b">
        <v>1</v>
      </c>
      <c r="BF1002" s="76" t="b">
        <v>0</v>
      </c>
      <c r="BG1002" s="76" t="b">
        <v>0</v>
      </c>
      <c r="BH1002" s="82" t="str">
        <f>HYPERLINK("https://pbs.twimg.com/profile_banners/34450334/1648393147")</f>
        <v>https://pbs.twimg.com/profile_banners/34450334/1648393147</v>
      </c>
      <c r="BI1002" s="76"/>
      <c r="BJ1002" s="76" t="s">
        <v>27595</v>
      </c>
      <c r="BK1002" s="76" t="b">
        <v>0</v>
      </c>
      <c r="BL1002" s="76"/>
      <c r="BM1002" s="76" t="s">
        <v>66</v>
      </c>
      <c r="BN1002" s="76" t="s">
        <v>27597</v>
      </c>
      <c r="BO1002" s="82" t="str">
        <f>HYPERLINK("https://twitter.com/viitkar")</f>
        <v>https://twitter.com/viitkar</v>
      </c>
      <c r="BP1002" s="2"/>
    </row>
    <row r="1003" spans="1:68" x14ac:dyDescent="0.25">
      <c r="A1003" s="62" t="s">
        <v>1927</v>
      </c>
      <c r="B1003" s="63"/>
      <c r="C1003" s="63"/>
      <c r="D1003" s="64"/>
      <c r="E1003" s="66"/>
      <c r="F1003" s="103" t="str">
        <f>HYPERLINK("https://pbs.twimg.com/profile_images/1704498404015955968/wi1HQlJx_normal.jpg")</f>
        <v>https://pbs.twimg.com/profile_images/1704498404015955968/wi1HQlJx_normal.jpg</v>
      </c>
      <c r="G1003" s="63"/>
      <c r="H1003" s="67"/>
      <c r="I1003" s="68"/>
      <c r="J1003" s="68"/>
      <c r="K1003" s="67" t="s">
        <v>28597</v>
      </c>
      <c r="L1003" s="71"/>
      <c r="M1003" s="72"/>
      <c r="N1003" s="72"/>
      <c r="O1003" s="73"/>
      <c r="P1003" s="74"/>
      <c r="Q1003" s="74"/>
      <c r="R1003" s="87"/>
      <c r="S1003" s="87"/>
      <c r="T1003" s="87"/>
      <c r="U1003" s="87"/>
      <c r="V1003" s="48"/>
      <c r="W1003" s="48"/>
      <c r="X1003" s="48"/>
      <c r="Y1003" s="48"/>
      <c r="Z1003" s="47"/>
      <c r="AA1003" s="69">
        <v>1003</v>
      </c>
      <c r="AB1003" s="69"/>
      <c r="AC1003" s="70"/>
      <c r="AD1003" s="76" t="s">
        <v>22227</v>
      </c>
      <c r="AE1003" s="81" t="s">
        <v>20309</v>
      </c>
      <c r="AF1003" s="76">
        <v>185163</v>
      </c>
      <c r="AG1003" s="76">
        <v>211</v>
      </c>
      <c r="AH1003" s="76">
        <v>5277</v>
      </c>
      <c r="AI1003" s="76">
        <v>164</v>
      </c>
      <c r="AJ1003" s="76">
        <v>426</v>
      </c>
      <c r="AK1003" s="76">
        <v>2057</v>
      </c>
      <c r="AL1003" s="76" t="b">
        <v>0</v>
      </c>
      <c r="AM1003" s="78">
        <v>44630.821956018517</v>
      </c>
      <c r="AN1003" s="76"/>
      <c r="AO1003" s="76" t="s">
        <v>25603</v>
      </c>
      <c r="AP1003" s="76"/>
      <c r="AQ1003" s="76"/>
      <c r="AR1003" s="76"/>
      <c r="AS1003" s="76"/>
      <c r="AT1003" s="76"/>
      <c r="AU1003" s="76"/>
      <c r="AV1003" s="76">
        <v>1.70459911183471E+18</v>
      </c>
      <c r="AW1003" s="76"/>
      <c r="AX1003" s="76" t="b">
        <v>0</v>
      </c>
      <c r="AY1003" s="76"/>
      <c r="AZ1003" s="76"/>
      <c r="BA1003" s="76" t="b">
        <v>0</v>
      </c>
      <c r="BB1003" s="76" t="b">
        <v>1</v>
      </c>
      <c r="BC1003" s="76" t="b">
        <v>1</v>
      </c>
      <c r="BD1003" s="76" t="b">
        <v>0</v>
      </c>
      <c r="BE1003" s="76" t="b">
        <v>1</v>
      </c>
      <c r="BF1003" s="76" t="b">
        <v>0</v>
      </c>
      <c r="BG1003" s="76" t="b">
        <v>0</v>
      </c>
      <c r="BH1003" s="82" t="str">
        <f>HYPERLINK("https://pbs.twimg.com/profile_banners/1502007169327288330/1695219079")</f>
        <v>https://pbs.twimg.com/profile_banners/1502007169327288330/1695219079</v>
      </c>
      <c r="BI1003" s="76"/>
      <c r="BJ1003" s="76" t="s">
        <v>27595</v>
      </c>
      <c r="BK1003" s="76" t="b">
        <v>0</v>
      </c>
      <c r="BL1003" s="76"/>
      <c r="BM1003" s="76" t="s">
        <v>65</v>
      </c>
      <c r="BN1003" s="76" t="s">
        <v>27597</v>
      </c>
      <c r="BO1003" s="82" t="str">
        <f>HYPERLINK("https://twitter.com/presidencia_cl")</f>
        <v>https://twitter.com/presidencia_cl</v>
      </c>
      <c r="BP1003" s="2"/>
    </row>
    <row r="1004" spans="1:68" x14ac:dyDescent="0.25">
      <c r="A1004" s="62" t="s">
        <v>944</v>
      </c>
      <c r="B1004" s="63"/>
      <c r="C1004" s="63"/>
      <c r="D1004" s="64"/>
      <c r="E1004" s="66"/>
      <c r="F1004" s="103" t="str">
        <f>HYPERLINK("https://pbs.twimg.com/profile_images/1576737003739254787/XO7VlEDS_normal.jpg")</f>
        <v>https://pbs.twimg.com/profile_images/1576737003739254787/XO7VlEDS_normal.jpg</v>
      </c>
      <c r="G1004" s="63"/>
      <c r="H1004" s="67"/>
      <c r="I1004" s="68"/>
      <c r="J1004" s="68"/>
      <c r="K1004" s="67" t="s">
        <v>28598</v>
      </c>
      <c r="L1004" s="71"/>
      <c r="M1004" s="72"/>
      <c r="N1004" s="72"/>
      <c r="O1004" s="73"/>
      <c r="P1004" s="74"/>
      <c r="Q1004" s="74"/>
      <c r="R1004" s="87"/>
      <c r="S1004" s="87"/>
      <c r="T1004" s="87"/>
      <c r="U1004" s="87"/>
      <c r="V1004" s="48"/>
      <c r="W1004" s="48"/>
      <c r="X1004" s="48"/>
      <c r="Y1004" s="48"/>
      <c r="Z1004" s="47"/>
      <c r="AA1004" s="69">
        <v>1004</v>
      </c>
      <c r="AB1004" s="69"/>
      <c r="AC1004" s="70"/>
      <c r="AD1004" s="76" t="s">
        <v>22228</v>
      </c>
      <c r="AE1004" s="81" t="s">
        <v>20844</v>
      </c>
      <c r="AF1004" s="76">
        <v>11</v>
      </c>
      <c r="AG1004" s="76">
        <v>8</v>
      </c>
      <c r="AH1004" s="76">
        <v>416</v>
      </c>
      <c r="AI1004" s="76">
        <v>1</v>
      </c>
      <c r="AJ1004" s="76">
        <v>0</v>
      </c>
      <c r="AK1004" s="76">
        <v>92</v>
      </c>
      <c r="AL1004" s="76" t="b">
        <v>0</v>
      </c>
      <c r="AM1004" s="78">
        <v>44837.028460648151</v>
      </c>
      <c r="AN1004" s="76" t="s">
        <v>14386</v>
      </c>
      <c r="AO1004" s="76" t="s">
        <v>25604</v>
      </c>
      <c r="AP1004" s="82" t="str">
        <f>HYPERLINK("https://t.co/Wwr2jetyDw")</f>
        <v>https://t.co/Wwr2jetyDw</v>
      </c>
      <c r="AQ1004" s="82" t="str">
        <f>HYPERLINK("http://www.psncom.cl/")</f>
        <v>http://www.psncom.cl/</v>
      </c>
      <c r="AR1004" s="76" t="s">
        <v>8778</v>
      </c>
      <c r="AS1004" s="76"/>
      <c r="AT1004" s="76"/>
      <c r="AU1004" s="76"/>
      <c r="AV1004" s="76"/>
      <c r="AW1004" s="82" t="str">
        <f>HYPERLINK("https://t.co/Wwr2jetyDw")</f>
        <v>https://t.co/Wwr2jetyDw</v>
      </c>
      <c r="AX1004" s="76" t="b">
        <v>0</v>
      </c>
      <c r="AY1004" s="76"/>
      <c r="AZ1004" s="76"/>
      <c r="BA1004" s="76" t="b">
        <v>0</v>
      </c>
      <c r="BB1004" s="76" t="b">
        <v>1</v>
      </c>
      <c r="BC1004" s="76" t="b">
        <v>1</v>
      </c>
      <c r="BD1004" s="76" t="b">
        <v>0</v>
      </c>
      <c r="BE1004" s="76" t="b">
        <v>0</v>
      </c>
      <c r="BF1004" s="76" t="b">
        <v>0</v>
      </c>
      <c r="BG1004" s="76" t="b">
        <v>0</v>
      </c>
      <c r="BH1004" s="82" t="str">
        <f>HYPERLINK("https://pbs.twimg.com/profile_banners/1576733937719820295/1664806840")</f>
        <v>https://pbs.twimg.com/profile_banners/1576733937719820295/1664806840</v>
      </c>
      <c r="BI1004" s="76"/>
      <c r="BJ1004" s="76" t="s">
        <v>27595</v>
      </c>
      <c r="BK1004" s="76" t="b">
        <v>0</v>
      </c>
      <c r="BL1004" s="76"/>
      <c r="BM1004" s="76" t="s">
        <v>66</v>
      </c>
      <c r="BN1004" s="76" t="s">
        <v>27597</v>
      </c>
      <c r="BO1004" s="82" t="str">
        <f>HYPERLINK("https://twitter.com/psncompsn")</f>
        <v>https://twitter.com/psncompsn</v>
      </c>
      <c r="BP1004" s="2"/>
    </row>
    <row r="1005" spans="1:68" x14ac:dyDescent="0.25">
      <c r="A1005" s="62" t="s">
        <v>945</v>
      </c>
      <c r="B1005" s="63"/>
      <c r="C1005" s="63"/>
      <c r="D1005" s="64"/>
      <c r="E1005" s="66"/>
      <c r="F1005" s="103" t="str">
        <f>HYPERLINK("https://pbs.twimg.com/profile_images/1630926535682142213/lVQC1ViO_normal.jpg")</f>
        <v>https://pbs.twimg.com/profile_images/1630926535682142213/lVQC1ViO_normal.jpg</v>
      </c>
      <c r="G1005" s="63"/>
      <c r="H1005" s="67"/>
      <c r="I1005" s="68"/>
      <c r="J1005" s="68"/>
      <c r="K1005" s="67" t="s">
        <v>28599</v>
      </c>
      <c r="L1005" s="71"/>
      <c r="M1005" s="72"/>
      <c r="N1005" s="72"/>
      <c r="O1005" s="73"/>
      <c r="P1005" s="74"/>
      <c r="Q1005" s="74"/>
      <c r="R1005" s="87"/>
      <c r="S1005" s="87"/>
      <c r="T1005" s="87"/>
      <c r="U1005" s="87"/>
      <c r="V1005" s="48"/>
      <c r="W1005" s="48"/>
      <c r="X1005" s="48"/>
      <c r="Y1005" s="48"/>
      <c r="Z1005" s="47"/>
      <c r="AA1005" s="69">
        <v>1005</v>
      </c>
      <c r="AB1005" s="69"/>
      <c r="AC1005" s="70"/>
      <c r="AD1005" s="76" t="s">
        <v>22229</v>
      </c>
      <c r="AE1005" s="81" t="s">
        <v>23597</v>
      </c>
      <c r="AF1005" s="76">
        <v>414037</v>
      </c>
      <c r="AG1005" s="76">
        <v>1315</v>
      </c>
      <c r="AH1005" s="76">
        <v>250844</v>
      </c>
      <c r="AI1005" s="76">
        <v>901</v>
      </c>
      <c r="AJ1005" s="76">
        <v>1432</v>
      </c>
      <c r="AK1005" s="76">
        <v>43816</v>
      </c>
      <c r="AL1005" s="76" t="b">
        <v>0</v>
      </c>
      <c r="AM1005" s="78">
        <v>40534.175937499997</v>
      </c>
      <c r="AN1005" s="76" t="s">
        <v>24063</v>
      </c>
      <c r="AO1005" s="76" t="s">
        <v>25605</v>
      </c>
      <c r="AP1005" s="82" t="str">
        <f>HYPERLINK("https://t.co/3nQW1F5s1E")</f>
        <v>https://t.co/3nQW1F5s1E</v>
      </c>
      <c r="AQ1005" s="82" t="str">
        <f>HYPERLINK("https://acento.com.do/")</f>
        <v>https://acento.com.do/</v>
      </c>
      <c r="AR1005" s="76" t="s">
        <v>22229</v>
      </c>
      <c r="AS1005" s="76"/>
      <c r="AT1005" s="76"/>
      <c r="AU1005" s="76"/>
      <c r="AV1005" s="76">
        <v>1.7074001154245399E+18</v>
      </c>
      <c r="AW1005" s="82" t="str">
        <f>HYPERLINK("https://t.co/3nQW1F5s1E")</f>
        <v>https://t.co/3nQW1F5s1E</v>
      </c>
      <c r="AX1005" s="76" t="b">
        <v>0</v>
      </c>
      <c r="AY1005" s="76"/>
      <c r="AZ1005" s="76"/>
      <c r="BA1005" s="76" t="b">
        <v>1</v>
      </c>
      <c r="BB1005" s="76" t="b">
        <v>1</v>
      </c>
      <c r="BC1005" s="76" t="b">
        <v>0</v>
      </c>
      <c r="BD1005" s="76" t="b">
        <v>0</v>
      </c>
      <c r="BE1005" s="76" t="b">
        <v>0</v>
      </c>
      <c r="BF1005" s="76" t="b">
        <v>0</v>
      </c>
      <c r="BG1005" s="76" t="b">
        <v>0</v>
      </c>
      <c r="BH1005" s="82" t="str">
        <f>HYPERLINK("https://pbs.twimg.com/profile_banners/229334332/1646311449")</f>
        <v>https://pbs.twimg.com/profile_banners/229334332/1646311449</v>
      </c>
      <c r="BI1005" s="76"/>
      <c r="BJ1005" s="76" t="s">
        <v>27595</v>
      </c>
      <c r="BK1005" s="76" t="b">
        <v>0</v>
      </c>
      <c r="BL1005" s="76"/>
      <c r="BM1005" s="76" t="s">
        <v>66</v>
      </c>
      <c r="BN1005" s="76" t="s">
        <v>27597</v>
      </c>
      <c r="BO1005" s="82" t="str">
        <f>HYPERLINK("https://twitter.com/acentodiario")</f>
        <v>https://twitter.com/acentodiario</v>
      </c>
      <c r="BP1005" s="2"/>
    </row>
    <row r="1006" spans="1:68" x14ac:dyDescent="0.25">
      <c r="A1006" s="62" t="s">
        <v>946</v>
      </c>
      <c r="B1006" s="63"/>
      <c r="C1006" s="63"/>
      <c r="D1006" s="64"/>
      <c r="E1006" s="66"/>
      <c r="F1006" s="103" t="str">
        <f>HYPERLINK("https://abs.twimg.com/sticky/default_profile_images/default_profile_normal.png")</f>
        <v>https://abs.twimg.com/sticky/default_profile_images/default_profile_normal.png</v>
      </c>
      <c r="G1006" s="63"/>
      <c r="H1006" s="67"/>
      <c r="I1006" s="68"/>
      <c r="J1006" s="68"/>
      <c r="K1006" s="67" t="s">
        <v>28600</v>
      </c>
      <c r="L1006" s="71"/>
      <c r="M1006" s="72"/>
      <c r="N1006" s="72"/>
      <c r="O1006" s="73"/>
      <c r="P1006" s="74"/>
      <c r="Q1006" s="74"/>
      <c r="R1006" s="87"/>
      <c r="S1006" s="87"/>
      <c r="T1006" s="87"/>
      <c r="U1006" s="87"/>
      <c r="V1006" s="48"/>
      <c r="W1006" s="48"/>
      <c r="X1006" s="48"/>
      <c r="Y1006" s="48"/>
      <c r="Z1006" s="47"/>
      <c r="AA1006" s="69">
        <v>1006</v>
      </c>
      <c r="AB1006" s="69"/>
      <c r="AC1006" s="70"/>
      <c r="AD1006" s="76" t="s">
        <v>22230</v>
      </c>
      <c r="AE1006" s="81" t="s">
        <v>20845</v>
      </c>
      <c r="AF1006" s="76">
        <v>12</v>
      </c>
      <c r="AG1006" s="76">
        <v>147</v>
      </c>
      <c r="AH1006" s="76">
        <v>1243</v>
      </c>
      <c r="AI1006" s="76">
        <v>0</v>
      </c>
      <c r="AJ1006" s="76">
        <v>2609</v>
      </c>
      <c r="AK1006" s="76">
        <v>11</v>
      </c>
      <c r="AL1006" s="76" t="b">
        <v>0</v>
      </c>
      <c r="AM1006" s="78">
        <v>43295.450023148151</v>
      </c>
      <c r="AN1006" s="76"/>
      <c r="AO1006" s="76"/>
      <c r="AP1006" s="76"/>
      <c r="AQ1006" s="76"/>
      <c r="AR1006" s="76"/>
      <c r="AS1006" s="76"/>
      <c r="AT1006" s="76"/>
      <c r="AU1006" s="76"/>
      <c r="AV1006" s="76"/>
      <c r="AW1006" s="76"/>
      <c r="AX1006" s="76" t="b">
        <v>0</v>
      </c>
      <c r="AY1006" s="76"/>
      <c r="AZ1006" s="76"/>
      <c r="BA1006" s="76" t="b">
        <v>0</v>
      </c>
      <c r="BB1006" s="76" t="b">
        <v>1</v>
      </c>
      <c r="BC1006" s="76" t="b">
        <v>1</v>
      </c>
      <c r="BD1006" s="76" t="b">
        <v>1</v>
      </c>
      <c r="BE1006" s="76" t="b">
        <v>0</v>
      </c>
      <c r="BF1006" s="76" t="b">
        <v>0</v>
      </c>
      <c r="BG1006" s="76" t="b">
        <v>0</v>
      </c>
      <c r="BH1006" s="76"/>
      <c r="BI1006" s="76"/>
      <c r="BJ1006" s="76" t="s">
        <v>27595</v>
      </c>
      <c r="BK1006" s="76" t="b">
        <v>0</v>
      </c>
      <c r="BL1006" s="76"/>
      <c r="BM1006" s="76" t="s">
        <v>66</v>
      </c>
      <c r="BN1006" s="76" t="s">
        <v>27597</v>
      </c>
      <c r="BO1006" s="82" t="str">
        <f>HYPERLINK("https://twitter.com/simonefraga15")</f>
        <v>https://twitter.com/simonefraga15</v>
      </c>
      <c r="BP1006" s="2"/>
    </row>
    <row r="1007" spans="1:68" x14ac:dyDescent="0.25">
      <c r="A1007" s="62" t="s">
        <v>1677</v>
      </c>
      <c r="B1007" s="63"/>
      <c r="C1007" s="63"/>
      <c r="D1007" s="64"/>
      <c r="E1007" s="66"/>
      <c r="F1007" s="103" t="str">
        <f>HYPERLINK("https://pbs.twimg.com/profile_images/1559581146987495427/fnata-Sk_normal.jpg")</f>
        <v>https://pbs.twimg.com/profile_images/1559581146987495427/fnata-Sk_normal.jpg</v>
      </c>
      <c r="G1007" s="63"/>
      <c r="H1007" s="67"/>
      <c r="I1007" s="68"/>
      <c r="J1007" s="68"/>
      <c r="K1007" s="67" t="s">
        <v>28601</v>
      </c>
      <c r="L1007" s="71"/>
      <c r="M1007" s="72"/>
      <c r="N1007" s="72"/>
      <c r="O1007" s="73"/>
      <c r="P1007" s="74"/>
      <c r="Q1007" s="74"/>
      <c r="R1007" s="87"/>
      <c r="S1007" s="87"/>
      <c r="T1007" s="87"/>
      <c r="U1007" s="87"/>
      <c r="V1007" s="48"/>
      <c r="W1007" s="48"/>
      <c r="X1007" s="48"/>
      <c r="Y1007" s="48"/>
      <c r="Z1007" s="47"/>
      <c r="AA1007" s="69">
        <v>1007</v>
      </c>
      <c r="AB1007" s="69"/>
      <c r="AC1007" s="70"/>
      <c r="AD1007" s="76" t="s">
        <v>22231</v>
      </c>
      <c r="AE1007" s="81" t="s">
        <v>23598</v>
      </c>
      <c r="AF1007" s="76">
        <v>1543411</v>
      </c>
      <c r="AG1007" s="76">
        <v>2287</v>
      </c>
      <c r="AH1007" s="76">
        <v>158297</v>
      </c>
      <c r="AI1007" s="76">
        <v>2491</v>
      </c>
      <c r="AJ1007" s="76">
        <v>57229</v>
      </c>
      <c r="AK1007" s="76">
        <v>43373</v>
      </c>
      <c r="AL1007" s="76" t="b">
        <v>0</v>
      </c>
      <c r="AM1007" s="78">
        <v>39945.646990740737</v>
      </c>
      <c r="AN1007" s="76" t="s">
        <v>24435</v>
      </c>
      <c r="AO1007" s="76" t="s">
        <v>25606</v>
      </c>
      <c r="AP1007" s="82" t="str">
        <f>HYPERLINK("https://t.co/qKuWQCDsGz")</f>
        <v>https://t.co/qKuWQCDsGz</v>
      </c>
      <c r="AQ1007" s="82" t="str">
        <f>HYPERLINK("http://linktr.ee/ptbrasil")</f>
        <v>http://linktr.ee/ptbrasil</v>
      </c>
      <c r="AR1007" s="76" t="s">
        <v>26899</v>
      </c>
      <c r="AS1007" s="76"/>
      <c r="AT1007" s="76"/>
      <c r="AU1007" s="76"/>
      <c r="AV1007" s="76"/>
      <c r="AW1007" s="82" t="str">
        <f>HYPERLINK("https://t.co/qKuWQCDsGz")</f>
        <v>https://t.co/qKuWQCDsGz</v>
      </c>
      <c r="AX1007" s="76" t="b">
        <v>1</v>
      </c>
      <c r="AY1007" s="76"/>
      <c r="AZ1007" s="76"/>
      <c r="BA1007" s="76" t="b">
        <v>0</v>
      </c>
      <c r="BB1007" s="76" t="b">
        <v>1</v>
      </c>
      <c r="BC1007" s="76" t="b">
        <v>0</v>
      </c>
      <c r="BD1007" s="76" t="b">
        <v>0</v>
      </c>
      <c r="BE1007" s="76" t="b">
        <v>1</v>
      </c>
      <c r="BF1007" s="76" t="b">
        <v>0</v>
      </c>
      <c r="BG1007" s="76" t="b">
        <v>0</v>
      </c>
      <c r="BH1007" s="82" t="str">
        <f>HYPERLINK("https://pbs.twimg.com/profile_banners/39522911/1695144856")</f>
        <v>https://pbs.twimg.com/profile_banners/39522911/1695144856</v>
      </c>
      <c r="BI1007" s="76"/>
      <c r="BJ1007" s="76" t="s">
        <v>27595</v>
      </c>
      <c r="BK1007" s="76" t="b">
        <v>0</v>
      </c>
      <c r="BL1007" s="76"/>
      <c r="BM1007" s="76" t="s">
        <v>66</v>
      </c>
      <c r="BN1007" s="76" t="s">
        <v>27597</v>
      </c>
      <c r="BO1007" s="82" t="str">
        <f>HYPERLINK("https://twitter.com/ptbrasil")</f>
        <v>https://twitter.com/ptbrasil</v>
      </c>
      <c r="BP1007" s="2"/>
    </row>
    <row r="1008" spans="1:68" x14ac:dyDescent="0.25">
      <c r="A1008" s="62" t="s">
        <v>947</v>
      </c>
      <c r="B1008" s="63"/>
      <c r="C1008" s="63"/>
      <c r="D1008" s="64"/>
      <c r="E1008" s="66"/>
      <c r="F1008" s="103" t="str">
        <f>HYPERLINK("https://pbs.twimg.com/profile_images/1588127962003537921/kgh2wPZS_normal.jpg")</f>
        <v>https://pbs.twimg.com/profile_images/1588127962003537921/kgh2wPZS_normal.jpg</v>
      </c>
      <c r="G1008" s="63"/>
      <c r="H1008" s="67"/>
      <c r="I1008" s="68"/>
      <c r="J1008" s="68"/>
      <c r="K1008" s="67" t="s">
        <v>28602</v>
      </c>
      <c r="L1008" s="71"/>
      <c r="M1008" s="72"/>
      <c r="N1008" s="72"/>
      <c r="O1008" s="73"/>
      <c r="P1008" s="74"/>
      <c r="Q1008" s="74"/>
      <c r="R1008" s="87"/>
      <c r="S1008" s="87"/>
      <c r="T1008" s="87"/>
      <c r="U1008" s="87"/>
      <c r="V1008" s="48"/>
      <c r="W1008" s="48"/>
      <c r="X1008" s="48"/>
      <c r="Y1008" s="48"/>
      <c r="Z1008" s="47"/>
      <c r="AA1008" s="69">
        <v>1008</v>
      </c>
      <c r="AB1008" s="69"/>
      <c r="AC1008" s="70"/>
      <c r="AD1008" s="76" t="s">
        <v>22232</v>
      </c>
      <c r="AE1008" s="81" t="s">
        <v>20846</v>
      </c>
      <c r="AF1008" s="76">
        <v>2274</v>
      </c>
      <c r="AG1008" s="76">
        <v>41</v>
      </c>
      <c r="AH1008" s="76">
        <v>83</v>
      </c>
      <c r="AI1008" s="76">
        <v>1</v>
      </c>
      <c r="AJ1008" s="76">
        <v>601</v>
      </c>
      <c r="AK1008" s="76">
        <v>53</v>
      </c>
      <c r="AL1008" s="76" t="b">
        <v>0</v>
      </c>
      <c r="AM1008" s="78">
        <v>44734.759027777778</v>
      </c>
      <c r="AN1008" s="76"/>
      <c r="AO1008" s="76" t="s">
        <v>25607</v>
      </c>
      <c r="AP1008" s="82" t="str">
        <f>HYPERLINK("https://t.co/iececmT8O3")</f>
        <v>https://t.co/iececmT8O3</v>
      </c>
      <c r="AQ1008" s="82" t="str">
        <f>HYPERLINK("https://app.markets.com/App-Tw-ES")</f>
        <v>https://app.markets.com/App-Tw-ES</v>
      </c>
      <c r="AR1008" s="76" t="s">
        <v>26900</v>
      </c>
      <c r="AS1008" s="76"/>
      <c r="AT1008" s="76"/>
      <c r="AU1008" s="76"/>
      <c r="AV1008" s="76">
        <v>1.6986068322213E+18</v>
      </c>
      <c r="AW1008" s="82" t="str">
        <f>HYPERLINK("https://t.co/iececmT8O3")</f>
        <v>https://t.co/iececmT8O3</v>
      </c>
      <c r="AX1008" s="76" t="b">
        <v>0</v>
      </c>
      <c r="AY1008" s="76"/>
      <c r="AZ1008" s="76"/>
      <c r="BA1008" s="76" t="b">
        <v>0</v>
      </c>
      <c r="BB1008" s="76" t="b">
        <v>1</v>
      </c>
      <c r="BC1008" s="76" t="b">
        <v>1</v>
      </c>
      <c r="BD1008" s="76" t="b">
        <v>0</v>
      </c>
      <c r="BE1008" s="76" t="b">
        <v>0</v>
      </c>
      <c r="BF1008" s="76" t="b">
        <v>0</v>
      </c>
      <c r="BG1008" s="76" t="b">
        <v>0</v>
      </c>
      <c r="BH1008" s="82" t="str">
        <f>HYPERLINK("https://pbs.twimg.com/profile_banners/1539672772821008388/1690185674")</f>
        <v>https://pbs.twimg.com/profile_banners/1539672772821008388/1690185674</v>
      </c>
      <c r="BI1008" s="76"/>
      <c r="BJ1008" s="76" t="s">
        <v>27595</v>
      </c>
      <c r="BK1008" s="76" t="b">
        <v>0</v>
      </c>
      <c r="BL1008" s="76"/>
      <c r="BM1008" s="76" t="s">
        <v>66</v>
      </c>
      <c r="BN1008" s="76" t="s">
        <v>27597</v>
      </c>
      <c r="BO1008" s="82" t="str">
        <f>HYPERLINK("https://twitter.com/marketscomlatam")</f>
        <v>https://twitter.com/marketscomlatam</v>
      </c>
      <c r="BP1008" s="2"/>
    </row>
    <row r="1009" spans="1:68" x14ac:dyDescent="0.25">
      <c r="A1009" s="62" t="s">
        <v>948</v>
      </c>
      <c r="B1009" s="63"/>
      <c r="C1009" s="63"/>
      <c r="D1009" s="64"/>
      <c r="E1009" s="66"/>
      <c r="F1009" s="103" t="str">
        <f>HYPERLINK("https://pbs.twimg.com/profile_images/1262775456941703168/3vCrJMnY_normal.jpg")</f>
        <v>https://pbs.twimg.com/profile_images/1262775456941703168/3vCrJMnY_normal.jpg</v>
      </c>
      <c r="G1009" s="63"/>
      <c r="H1009" s="67"/>
      <c r="I1009" s="68"/>
      <c r="J1009" s="68"/>
      <c r="K1009" s="67" t="s">
        <v>28603</v>
      </c>
      <c r="L1009" s="71"/>
      <c r="M1009" s="72"/>
      <c r="N1009" s="72"/>
      <c r="O1009" s="73"/>
      <c r="P1009" s="74"/>
      <c r="Q1009" s="74"/>
      <c r="R1009" s="87"/>
      <c r="S1009" s="87"/>
      <c r="T1009" s="87"/>
      <c r="U1009" s="87"/>
      <c r="V1009" s="48"/>
      <c r="W1009" s="48"/>
      <c r="X1009" s="48"/>
      <c r="Y1009" s="48"/>
      <c r="Z1009" s="47"/>
      <c r="AA1009" s="69">
        <v>1009</v>
      </c>
      <c r="AB1009" s="69"/>
      <c r="AC1009" s="70"/>
      <c r="AD1009" s="76" t="s">
        <v>22233</v>
      </c>
      <c r="AE1009" s="81" t="s">
        <v>20847</v>
      </c>
      <c r="AF1009" s="76">
        <v>428</v>
      </c>
      <c r="AG1009" s="76">
        <v>32</v>
      </c>
      <c r="AH1009" s="76">
        <v>7022</v>
      </c>
      <c r="AI1009" s="76">
        <v>3</v>
      </c>
      <c r="AJ1009" s="76">
        <v>4143</v>
      </c>
      <c r="AK1009" s="76">
        <v>251</v>
      </c>
      <c r="AL1009" s="76" t="b">
        <v>0</v>
      </c>
      <c r="AM1009" s="78">
        <v>43473.919305555559</v>
      </c>
      <c r="AN1009" s="76"/>
      <c r="AO1009" s="76" t="s">
        <v>25608</v>
      </c>
      <c r="AP1009" s="82" t="str">
        <f>HYPERLINK("https://t.co/n2uZBremp1")</f>
        <v>https://t.co/n2uZBremp1</v>
      </c>
      <c r="AQ1009" s="82" t="str">
        <f>HYPERLINK("http://orakulum.app.link/3U68g8xWKS")</f>
        <v>http://orakulum.app.link/3U68g8xWKS</v>
      </c>
      <c r="AR1009" s="76" t="s">
        <v>26901</v>
      </c>
      <c r="AS1009" s="76"/>
      <c r="AT1009" s="76"/>
      <c r="AU1009" s="76"/>
      <c r="AV1009" s="76"/>
      <c r="AW1009" s="82" t="str">
        <f>HYPERLINK("https://t.co/n2uZBremp1")</f>
        <v>https://t.co/n2uZBremp1</v>
      </c>
      <c r="AX1009" s="76" t="b">
        <v>0</v>
      </c>
      <c r="AY1009" s="76"/>
      <c r="AZ1009" s="76"/>
      <c r="BA1009" s="76" t="b">
        <v>1</v>
      </c>
      <c r="BB1009" s="76" t="b">
        <v>1</v>
      </c>
      <c r="BC1009" s="76" t="b">
        <v>1</v>
      </c>
      <c r="BD1009" s="76" t="b">
        <v>0</v>
      </c>
      <c r="BE1009" s="76" t="b">
        <v>0</v>
      </c>
      <c r="BF1009" s="76" t="b">
        <v>0</v>
      </c>
      <c r="BG1009" s="76" t="b">
        <v>0</v>
      </c>
      <c r="BH1009" s="82" t="str">
        <f>HYPERLINK("https://pbs.twimg.com/profile_banners/1082759801761873924/1589844737")</f>
        <v>https://pbs.twimg.com/profile_banners/1082759801761873924/1589844737</v>
      </c>
      <c r="BI1009" s="76"/>
      <c r="BJ1009" s="76" t="s">
        <v>27595</v>
      </c>
      <c r="BK1009" s="76" t="b">
        <v>0</v>
      </c>
      <c r="BL1009" s="76"/>
      <c r="BM1009" s="76" t="s">
        <v>66</v>
      </c>
      <c r="BN1009" s="76" t="s">
        <v>27597</v>
      </c>
      <c r="BO1009" s="82" t="str">
        <f>HYPERLINK("https://twitter.com/orakulumapp")</f>
        <v>https://twitter.com/orakulumapp</v>
      </c>
      <c r="BP1009" s="2"/>
    </row>
    <row r="1010" spans="1:68" x14ac:dyDescent="0.25">
      <c r="A1010" s="62" t="s">
        <v>949</v>
      </c>
      <c r="B1010" s="63"/>
      <c r="C1010" s="63"/>
      <c r="D1010" s="64"/>
      <c r="E1010" s="66"/>
      <c r="F1010" s="103" t="str">
        <f>HYPERLINK("https://pbs.twimg.com/profile_images/1259863702540554240/ipepn57g_normal.jpg")</f>
        <v>https://pbs.twimg.com/profile_images/1259863702540554240/ipepn57g_normal.jpg</v>
      </c>
      <c r="G1010" s="63"/>
      <c r="H1010" s="67"/>
      <c r="I1010" s="68"/>
      <c r="J1010" s="68"/>
      <c r="K1010" s="67" t="s">
        <v>28604</v>
      </c>
      <c r="L1010" s="71"/>
      <c r="M1010" s="72"/>
      <c r="N1010" s="72"/>
      <c r="O1010" s="73"/>
      <c r="P1010" s="74"/>
      <c r="Q1010" s="74"/>
      <c r="R1010" s="87"/>
      <c r="S1010" s="87"/>
      <c r="T1010" s="87"/>
      <c r="U1010" s="87"/>
      <c r="V1010" s="48"/>
      <c r="W1010" s="48"/>
      <c r="X1010" s="48"/>
      <c r="Y1010" s="48"/>
      <c r="Z1010" s="47"/>
      <c r="AA1010" s="69">
        <v>1010</v>
      </c>
      <c r="AB1010" s="69"/>
      <c r="AC1010" s="70"/>
      <c r="AD1010" s="76" t="s">
        <v>22234</v>
      </c>
      <c r="AE1010" s="81" t="s">
        <v>20848</v>
      </c>
      <c r="AF1010" s="76">
        <v>490</v>
      </c>
      <c r="AG1010" s="76">
        <v>184</v>
      </c>
      <c r="AH1010" s="76">
        <v>10762</v>
      </c>
      <c r="AI1010" s="76">
        <v>4</v>
      </c>
      <c r="AJ1010" s="76">
        <v>63</v>
      </c>
      <c r="AK1010" s="76">
        <v>7445</v>
      </c>
      <c r="AL1010" s="76" t="b">
        <v>0</v>
      </c>
      <c r="AM1010" s="78">
        <v>43944.048437500001</v>
      </c>
      <c r="AN1010" s="76" t="s">
        <v>24126</v>
      </c>
      <c r="AO1010" s="76" t="s">
        <v>25609</v>
      </c>
      <c r="AP1010" s="82" t="str">
        <f>HYPERLINK("https://t.co/6V9saZQwJ8")</f>
        <v>https://t.co/6V9saZQwJ8</v>
      </c>
      <c r="AQ1010" s="82" t="str">
        <f>HYPERLINK("http://www.mcn-comglobal.com/")</f>
        <v>http://www.mcn-comglobal.com/</v>
      </c>
      <c r="AR1010" s="76" t="s">
        <v>26902</v>
      </c>
      <c r="AS1010" s="82" t="str">
        <f>HYPERLINK("https://t.co/Eim5T0enW1")</f>
        <v>https://t.co/Eim5T0enW1</v>
      </c>
      <c r="AT1010" s="82" t="str">
        <f>HYPERLINK("http://linktr.ee/mcn_comunicaci")</f>
        <v>http://linktr.ee/mcn_comunicaci</v>
      </c>
      <c r="AU1010" s="76" t="s">
        <v>27518</v>
      </c>
      <c r="AV1010" s="76">
        <v>1.5505267647193999E+18</v>
      </c>
      <c r="AW1010" s="82" t="str">
        <f>HYPERLINK("https://t.co/6V9saZQwJ8")</f>
        <v>https://t.co/6V9saZQwJ8</v>
      </c>
      <c r="AX1010" s="76" t="b">
        <v>0</v>
      </c>
      <c r="AY1010" s="76"/>
      <c r="AZ1010" s="76"/>
      <c r="BA1010" s="76" t="b">
        <v>0</v>
      </c>
      <c r="BB1010" s="76" t="b">
        <v>1</v>
      </c>
      <c r="BC1010" s="76" t="b">
        <v>1</v>
      </c>
      <c r="BD1010" s="76" t="b">
        <v>0</v>
      </c>
      <c r="BE1010" s="76" t="b">
        <v>0</v>
      </c>
      <c r="BF1010" s="76" t="b">
        <v>0</v>
      </c>
      <c r="BG1010" s="76" t="b">
        <v>0</v>
      </c>
      <c r="BH1010" s="82" t="str">
        <f>HYPERLINK("https://pbs.twimg.com/profile_banners/1253128846460833793/1593540093")</f>
        <v>https://pbs.twimg.com/profile_banners/1253128846460833793/1593540093</v>
      </c>
      <c r="BI1010" s="76"/>
      <c r="BJ1010" s="76" t="s">
        <v>27595</v>
      </c>
      <c r="BK1010" s="76" t="b">
        <v>0</v>
      </c>
      <c r="BL1010" s="76"/>
      <c r="BM1010" s="76" t="s">
        <v>66</v>
      </c>
      <c r="BN1010" s="76" t="s">
        <v>27597</v>
      </c>
      <c r="BO1010" s="82" t="str">
        <f>HYPERLINK("https://twitter.com/mcn_comglobal")</f>
        <v>https://twitter.com/mcn_comglobal</v>
      </c>
      <c r="BP1010" s="2"/>
    </row>
    <row r="1011" spans="1:68" x14ac:dyDescent="0.25">
      <c r="A1011" s="62" t="s">
        <v>950</v>
      </c>
      <c r="B1011" s="63"/>
      <c r="C1011" s="63"/>
      <c r="D1011" s="64"/>
      <c r="E1011" s="66"/>
      <c r="F1011" s="103" t="str">
        <f>HYPERLINK("https://pbs.twimg.com/profile_images/1570000573549641732/w8sqsBiU_normal.jpg")</f>
        <v>https://pbs.twimg.com/profile_images/1570000573549641732/w8sqsBiU_normal.jpg</v>
      </c>
      <c r="G1011" s="63"/>
      <c r="H1011" s="67"/>
      <c r="I1011" s="68"/>
      <c r="J1011" s="68"/>
      <c r="K1011" s="67" t="s">
        <v>28605</v>
      </c>
      <c r="L1011" s="71"/>
      <c r="M1011" s="72"/>
      <c r="N1011" s="72"/>
      <c r="O1011" s="73"/>
      <c r="P1011" s="74"/>
      <c r="Q1011" s="74"/>
      <c r="R1011" s="87"/>
      <c r="S1011" s="87"/>
      <c r="T1011" s="87"/>
      <c r="U1011" s="87"/>
      <c r="V1011" s="48"/>
      <c r="W1011" s="48"/>
      <c r="X1011" s="48"/>
      <c r="Y1011" s="48"/>
      <c r="Z1011" s="47"/>
      <c r="AA1011" s="69">
        <v>1011</v>
      </c>
      <c r="AB1011" s="69"/>
      <c r="AC1011" s="70"/>
      <c r="AD1011" s="76" t="s">
        <v>22235</v>
      </c>
      <c r="AE1011" s="81" t="s">
        <v>20849</v>
      </c>
      <c r="AF1011" s="76">
        <v>131</v>
      </c>
      <c r="AG1011" s="76">
        <v>324</v>
      </c>
      <c r="AH1011" s="76">
        <v>17548</v>
      </c>
      <c r="AI1011" s="76">
        <v>1</v>
      </c>
      <c r="AJ1011" s="76">
        <v>319</v>
      </c>
      <c r="AK1011" s="76">
        <v>10957</v>
      </c>
      <c r="AL1011" s="76" t="b">
        <v>0</v>
      </c>
      <c r="AM1011" s="78">
        <v>42876.987708333334</v>
      </c>
      <c r="AN1011" s="76" t="s">
        <v>24436</v>
      </c>
      <c r="AO1011" s="76" t="s">
        <v>25610</v>
      </c>
      <c r="AP1011" s="82" t="str">
        <f>HYPERLINK("https://t.co/rxVHTlTfeI")</f>
        <v>https://t.co/rxVHTlTfeI</v>
      </c>
      <c r="AQ1011" s="82" t="str">
        <f>HYPERLINK("http://www.adn24digital.com.ar")</f>
        <v>http://www.adn24digital.com.ar</v>
      </c>
      <c r="AR1011" s="76" t="s">
        <v>26903</v>
      </c>
      <c r="AS1011" s="76"/>
      <c r="AT1011" s="76"/>
      <c r="AU1011" s="76"/>
      <c r="AV1011" s="76">
        <v>1.4879558170221901E+18</v>
      </c>
      <c r="AW1011" s="82" t="str">
        <f>HYPERLINK("https://t.co/rxVHTlTfeI")</f>
        <v>https://t.co/rxVHTlTfeI</v>
      </c>
      <c r="AX1011" s="76" t="b">
        <v>0</v>
      </c>
      <c r="AY1011" s="76"/>
      <c r="AZ1011" s="76"/>
      <c r="BA1011" s="76" t="b">
        <v>0</v>
      </c>
      <c r="BB1011" s="76" t="b">
        <v>1</v>
      </c>
      <c r="BC1011" s="76" t="b">
        <v>0</v>
      </c>
      <c r="BD1011" s="76" t="b">
        <v>0</v>
      </c>
      <c r="BE1011" s="76" t="b">
        <v>0</v>
      </c>
      <c r="BF1011" s="76" t="b">
        <v>0</v>
      </c>
      <c r="BG1011" s="76" t="b">
        <v>0</v>
      </c>
      <c r="BH1011" s="82" t="str">
        <f>HYPERLINK("https://pbs.twimg.com/profile_banners/866439034456993792/1614700314")</f>
        <v>https://pbs.twimg.com/profile_banners/866439034456993792/1614700314</v>
      </c>
      <c r="BI1011" s="76"/>
      <c r="BJ1011" s="76" t="s">
        <v>27595</v>
      </c>
      <c r="BK1011" s="76" t="b">
        <v>0</v>
      </c>
      <c r="BL1011" s="76"/>
      <c r="BM1011" s="76" t="s">
        <v>66</v>
      </c>
      <c r="BN1011" s="76" t="s">
        <v>27597</v>
      </c>
      <c r="BO1011" s="82" t="str">
        <f>HYPERLINK("https://twitter.com/adn24digital")</f>
        <v>https://twitter.com/adn24digital</v>
      </c>
      <c r="BP1011" s="2"/>
    </row>
    <row r="1012" spans="1:68" x14ac:dyDescent="0.25">
      <c r="A1012" s="62" t="s">
        <v>951</v>
      </c>
      <c r="B1012" s="63"/>
      <c r="C1012" s="63"/>
      <c r="D1012" s="64"/>
      <c r="E1012" s="66"/>
      <c r="F1012" s="103" t="str">
        <f>HYPERLINK("https://pbs.twimg.com/profile_images/1682016779936169985/If_bKmr6_normal.jpg")</f>
        <v>https://pbs.twimg.com/profile_images/1682016779936169985/If_bKmr6_normal.jpg</v>
      </c>
      <c r="G1012" s="63"/>
      <c r="H1012" s="67"/>
      <c r="I1012" s="68"/>
      <c r="J1012" s="68"/>
      <c r="K1012" s="67" t="s">
        <v>28606</v>
      </c>
      <c r="L1012" s="71"/>
      <c r="M1012" s="72"/>
      <c r="N1012" s="72"/>
      <c r="O1012" s="73"/>
      <c r="P1012" s="74"/>
      <c r="Q1012" s="74"/>
      <c r="R1012" s="87"/>
      <c r="S1012" s="87"/>
      <c r="T1012" s="87"/>
      <c r="U1012" s="87"/>
      <c r="V1012" s="48"/>
      <c r="W1012" s="48"/>
      <c r="X1012" s="48"/>
      <c r="Y1012" s="48"/>
      <c r="Z1012" s="47"/>
      <c r="AA1012" s="69">
        <v>1012</v>
      </c>
      <c r="AB1012" s="69"/>
      <c r="AC1012" s="70"/>
      <c r="AD1012" s="76" t="s">
        <v>22236</v>
      </c>
      <c r="AE1012" s="81" t="s">
        <v>20850</v>
      </c>
      <c r="AF1012" s="76">
        <v>15</v>
      </c>
      <c r="AG1012" s="76">
        <v>20</v>
      </c>
      <c r="AH1012" s="76">
        <v>447</v>
      </c>
      <c r="AI1012" s="76">
        <v>0</v>
      </c>
      <c r="AJ1012" s="76">
        <v>309</v>
      </c>
      <c r="AK1012" s="76">
        <v>156</v>
      </c>
      <c r="AL1012" s="76" t="b">
        <v>0</v>
      </c>
      <c r="AM1012" s="78">
        <v>44493.735648148147</v>
      </c>
      <c r="AN1012" s="76" t="s">
        <v>24437</v>
      </c>
      <c r="AO1012" s="76" t="s">
        <v>25611</v>
      </c>
      <c r="AP1012" s="76"/>
      <c r="AQ1012" s="76"/>
      <c r="AR1012" s="76"/>
      <c r="AS1012" s="76"/>
      <c r="AT1012" s="76"/>
      <c r="AU1012" s="76"/>
      <c r="AV1012" s="76"/>
      <c r="AW1012" s="76"/>
      <c r="AX1012" s="76" t="b">
        <v>0</v>
      </c>
      <c r="AY1012" s="76"/>
      <c r="AZ1012" s="76"/>
      <c r="BA1012" s="76" t="b">
        <v>0</v>
      </c>
      <c r="BB1012" s="76" t="b">
        <v>1</v>
      </c>
      <c r="BC1012" s="76" t="b">
        <v>1</v>
      </c>
      <c r="BD1012" s="76" t="b">
        <v>0</v>
      </c>
      <c r="BE1012" s="76" t="b">
        <v>0</v>
      </c>
      <c r="BF1012" s="76" t="b">
        <v>0</v>
      </c>
      <c r="BG1012" s="76" t="b">
        <v>0</v>
      </c>
      <c r="BH1012" s="82" t="str">
        <f>HYPERLINK("https://pbs.twimg.com/profile_banners/1452328793599774729/1689803949")</f>
        <v>https://pbs.twimg.com/profile_banners/1452328793599774729/1689803949</v>
      </c>
      <c r="BI1012" s="76"/>
      <c r="BJ1012" s="76" t="s">
        <v>27595</v>
      </c>
      <c r="BK1012" s="76" t="b">
        <v>0</v>
      </c>
      <c r="BL1012" s="76"/>
      <c r="BM1012" s="76" t="s">
        <v>66</v>
      </c>
      <c r="BN1012" s="76" t="s">
        <v>27597</v>
      </c>
      <c r="BO1012" s="82" t="str">
        <f>HYPERLINK("https://twitter.com/cnwnoticias")</f>
        <v>https://twitter.com/cnwnoticias</v>
      </c>
      <c r="BP1012" s="2"/>
    </row>
    <row r="1013" spans="1:68" x14ac:dyDescent="0.25">
      <c r="A1013" s="62" t="s">
        <v>953</v>
      </c>
      <c r="B1013" s="63"/>
      <c r="C1013" s="63"/>
      <c r="D1013" s="64"/>
      <c r="E1013" s="66"/>
      <c r="F1013" s="103" t="str">
        <f>HYPERLINK("https://pbs.twimg.com/profile_images/1280179309005680642/It7W77ux_normal.jpg")</f>
        <v>https://pbs.twimg.com/profile_images/1280179309005680642/It7W77ux_normal.jpg</v>
      </c>
      <c r="G1013" s="63"/>
      <c r="H1013" s="67"/>
      <c r="I1013" s="68"/>
      <c r="J1013" s="68"/>
      <c r="K1013" s="67" t="s">
        <v>28607</v>
      </c>
      <c r="L1013" s="71"/>
      <c r="M1013" s="72"/>
      <c r="N1013" s="72"/>
      <c r="O1013" s="73"/>
      <c r="P1013" s="74"/>
      <c r="Q1013" s="74"/>
      <c r="R1013" s="87"/>
      <c r="S1013" s="87"/>
      <c r="T1013" s="87"/>
      <c r="U1013" s="87"/>
      <c r="V1013" s="48"/>
      <c r="W1013" s="48"/>
      <c r="X1013" s="48"/>
      <c r="Y1013" s="48"/>
      <c r="Z1013" s="47"/>
      <c r="AA1013" s="69">
        <v>1013</v>
      </c>
      <c r="AB1013" s="69"/>
      <c r="AC1013" s="70"/>
      <c r="AD1013" s="76" t="s">
        <v>22237</v>
      </c>
      <c r="AE1013" s="81" t="s">
        <v>23599</v>
      </c>
      <c r="AF1013" s="76">
        <v>7255</v>
      </c>
      <c r="AG1013" s="76">
        <v>329</v>
      </c>
      <c r="AH1013" s="76">
        <v>237099</v>
      </c>
      <c r="AI1013" s="76">
        <v>65</v>
      </c>
      <c r="AJ1013" s="76">
        <v>62414</v>
      </c>
      <c r="AK1013" s="76">
        <v>33603</v>
      </c>
      <c r="AL1013" s="76" t="b">
        <v>0</v>
      </c>
      <c r="AM1013" s="78">
        <v>40644.857858796298</v>
      </c>
      <c r="AN1013" s="76" t="s">
        <v>24438</v>
      </c>
      <c r="AO1013" s="76" t="s">
        <v>25612</v>
      </c>
      <c r="AP1013" s="82" t="str">
        <f>HYPERLINK("https://t.co/ZzLIkEwWGG")</f>
        <v>https://t.co/ZzLIkEwWGG</v>
      </c>
      <c r="AQ1013" s="82" t="str">
        <f>HYPERLINK("https://twitter.com/JartoYa")</f>
        <v>https://twitter.com/JartoYa</v>
      </c>
      <c r="AR1013" s="76" t="s">
        <v>26904</v>
      </c>
      <c r="AS1013" s="76"/>
      <c r="AT1013" s="76"/>
      <c r="AU1013" s="76"/>
      <c r="AV1013" s="76">
        <v>1.6810831405535601E+18</v>
      </c>
      <c r="AW1013" s="82" t="str">
        <f>HYPERLINK("https://t.co/ZzLIkEwWGG")</f>
        <v>https://t.co/ZzLIkEwWGG</v>
      </c>
      <c r="AX1013" s="76" t="b">
        <v>0</v>
      </c>
      <c r="AY1013" s="76"/>
      <c r="AZ1013" s="76"/>
      <c r="BA1013" s="76" t="b">
        <v>0</v>
      </c>
      <c r="BB1013" s="76" t="b">
        <v>1</v>
      </c>
      <c r="BC1013" s="76" t="b">
        <v>0</v>
      </c>
      <c r="BD1013" s="76" t="b">
        <v>0</v>
      </c>
      <c r="BE1013" s="76" t="b">
        <v>1</v>
      </c>
      <c r="BF1013" s="76" t="b">
        <v>0</v>
      </c>
      <c r="BG1013" s="76" t="b">
        <v>0</v>
      </c>
      <c r="BH1013" s="82" t="str">
        <f>HYPERLINK("https://pbs.twimg.com/profile_banners/280676667/1655346398")</f>
        <v>https://pbs.twimg.com/profile_banners/280676667/1655346398</v>
      </c>
      <c r="BI1013" s="76"/>
      <c r="BJ1013" s="76" t="s">
        <v>27595</v>
      </c>
      <c r="BK1013" s="76" t="b">
        <v>0</v>
      </c>
      <c r="BL1013" s="76"/>
      <c r="BM1013" s="76" t="s">
        <v>66</v>
      </c>
      <c r="BN1013" s="76" t="s">
        <v>27597</v>
      </c>
      <c r="BO1013" s="82" t="str">
        <f>HYPERLINK("https://twitter.com/jartoya")</f>
        <v>https://twitter.com/jartoya</v>
      </c>
      <c r="BP1013" s="2"/>
    </row>
    <row r="1014" spans="1:68" x14ac:dyDescent="0.25">
      <c r="A1014" s="62" t="s">
        <v>1928</v>
      </c>
      <c r="B1014" s="63"/>
      <c r="C1014" s="63"/>
      <c r="D1014" s="64"/>
      <c r="E1014" s="66"/>
      <c r="F1014" s="103" t="str">
        <f>HYPERLINK("https://pbs.twimg.com/profile_images/997095785589243906/4IlyVIjY_normal.jpg")</f>
        <v>https://pbs.twimg.com/profile_images/997095785589243906/4IlyVIjY_normal.jpg</v>
      </c>
      <c r="G1014" s="63"/>
      <c r="H1014" s="67"/>
      <c r="I1014" s="68"/>
      <c r="J1014" s="68"/>
      <c r="K1014" s="67" t="s">
        <v>28608</v>
      </c>
      <c r="L1014" s="71"/>
      <c r="M1014" s="72"/>
      <c r="N1014" s="72"/>
      <c r="O1014" s="73"/>
      <c r="P1014" s="74"/>
      <c r="Q1014" s="74"/>
      <c r="R1014" s="87"/>
      <c r="S1014" s="87"/>
      <c r="T1014" s="87"/>
      <c r="U1014" s="87"/>
      <c r="V1014" s="48"/>
      <c r="W1014" s="48"/>
      <c r="X1014" s="48"/>
      <c r="Y1014" s="48"/>
      <c r="Z1014" s="47"/>
      <c r="AA1014" s="69">
        <v>1014</v>
      </c>
      <c r="AB1014" s="69"/>
      <c r="AC1014" s="70"/>
      <c r="AD1014" s="76" t="s">
        <v>22238</v>
      </c>
      <c r="AE1014" s="81" t="s">
        <v>23600</v>
      </c>
      <c r="AF1014" s="76">
        <v>1517</v>
      </c>
      <c r="AG1014" s="76">
        <v>1856</v>
      </c>
      <c r="AH1014" s="76">
        <v>7880</v>
      </c>
      <c r="AI1014" s="76">
        <v>2</v>
      </c>
      <c r="AJ1014" s="76">
        <v>1456</v>
      </c>
      <c r="AK1014" s="76">
        <v>796</v>
      </c>
      <c r="AL1014" s="76" t="b">
        <v>0</v>
      </c>
      <c r="AM1014" s="78">
        <v>39923.667025462964</v>
      </c>
      <c r="AN1014" s="76" t="s">
        <v>24439</v>
      </c>
      <c r="AO1014" s="76" t="s">
        <v>25613</v>
      </c>
      <c r="AP1014" s="82" t="str">
        <f>HYPERLINK("https://t.co/U5ARj1L7Bi")</f>
        <v>https://t.co/U5ARj1L7Bi</v>
      </c>
      <c r="AQ1014" s="82" t="str">
        <f>HYPERLINK("http://lunatv.do")</f>
        <v>http://lunatv.do</v>
      </c>
      <c r="AR1014" s="76" t="s">
        <v>26905</v>
      </c>
      <c r="AS1014" s="76"/>
      <c r="AT1014" s="76"/>
      <c r="AU1014" s="76"/>
      <c r="AV1014" s="76">
        <v>1.3741761944725701E+18</v>
      </c>
      <c r="AW1014" s="82" t="str">
        <f>HYPERLINK("https://t.co/U5ARj1L7Bi")</f>
        <v>https://t.co/U5ARj1L7Bi</v>
      </c>
      <c r="AX1014" s="76" t="b">
        <v>0</v>
      </c>
      <c r="AY1014" s="76"/>
      <c r="AZ1014" s="76"/>
      <c r="BA1014" s="76" t="b">
        <v>0</v>
      </c>
      <c r="BB1014" s="76" t="b">
        <v>1</v>
      </c>
      <c r="BC1014" s="76" t="b">
        <v>0</v>
      </c>
      <c r="BD1014" s="76" t="b">
        <v>0</v>
      </c>
      <c r="BE1014" s="76" t="b">
        <v>1</v>
      </c>
      <c r="BF1014" s="76" t="b">
        <v>0</v>
      </c>
      <c r="BG1014" s="76" t="b">
        <v>0</v>
      </c>
      <c r="BH1014" s="82" t="str">
        <f>HYPERLINK("https://pbs.twimg.com/profile_banners/33560919/1526561017")</f>
        <v>https://pbs.twimg.com/profile_banners/33560919/1526561017</v>
      </c>
      <c r="BI1014" s="76"/>
      <c r="BJ1014" s="76" t="s">
        <v>27595</v>
      </c>
      <c r="BK1014" s="76" t="b">
        <v>0</v>
      </c>
      <c r="BL1014" s="76"/>
      <c r="BM1014" s="76" t="s">
        <v>65</v>
      </c>
      <c r="BN1014" s="76" t="s">
        <v>27597</v>
      </c>
      <c r="BO1014" s="82" t="str">
        <f>HYPERLINK("https://twitter.com/davidlantigua01")</f>
        <v>https://twitter.com/davidlantigua01</v>
      </c>
      <c r="BP1014" s="2"/>
    </row>
    <row r="1015" spans="1:68" x14ac:dyDescent="0.25">
      <c r="A1015" s="62" t="s">
        <v>1929</v>
      </c>
      <c r="B1015" s="63"/>
      <c r="C1015" s="63"/>
      <c r="D1015" s="64"/>
      <c r="E1015" s="66"/>
      <c r="F1015" s="103" t="str">
        <f>HYPERLINK("https://pbs.twimg.com/profile_images/1631804100152000514/9faLRZ7u_normal.jpg")</f>
        <v>https://pbs.twimg.com/profile_images/1631804100152000514/9faLRZ7u_normal.jpg</v>
      </c>
      <c r="G1015" s="63"/>
      <c r="H1015" s="67"/>
      <c r="I1015" s="68"/>
      <c r="J1015" s="68"/>
      <c r="K1015" s="67" t="s">
        <v>28609</v>
      </c>
      <c r="L1015" s="71"/>
      <c r="M1015" s="72"/>
      <c r="N1015" s="72"/>
      <c r="O1015" s="73"/>
      <c r="P1015" s="74"/>
      <c r="Q1015" s="74"/>
      <c r="R1015" s="87"/>
      <c r="S1015" s="87"/>
      <c r="T1015" s="87"/>
      <c r="U1015" s="87"/>
      <c r="V1015" s="48"/>
      <c r="W1015" s="48"/>
      <c r="X1015" s="48"/>
      <c r="Y1015" s="48"/>
      <c r="Z1015" s="47"/>
      <c r="AA1015" s="69">
        <v>1015</v>
      </c>
      <c r="AB1015" s="69"/>
      <c r="AC1015" s="70"/>
      <c r="AD1015" s="76" t="s">
        <v>22239</v>
      </c>
      <c r="AE1015" s="81" t="s">
        <v>23601</v>
      </c>
      <c r="AF1015" s="76">
        <v>19454</v>
      </c>
      <c r="AG1015" s="76">
        <v>999</v>
      </c>
      <c r="AH1015" s="76">
        <v>20437</v>
      </c>
      <c r="AI1015" s="76">
        <v>21</v>
      </c>
      <c r="AJ1015" s="76">
        <v>9595</v>
      </c>
      <c r="AK1015" s="76">
        <v>2060</v>
      </c>
      <c r="AL1015" s="76" t="b">
        <v>0</v>
      </c>
      <c r="AM1015" s="78">
        <v>40571.524548611109</v>
      </c>
      <c r="AN1015" s="76" t="s">
        <v>24064</v>
      </c>
      <c r="AO1015" s="76" t="s">
        <v>25614</v>
      </c>
      <c r="AP1015" s="82" t="str">
        <f>HYPERLINK("https://t.co/G5ngnRQgYX")</f>
        <v>https://t.co/G5ngnRQgYX</v>
      </c>
      <c r="AQ1015" s="82" t="str">
        <f>HYPERLINK("http://www.youtube.com/user/wendysantosberroa")</f>
        <v>http://www.youtube.com/user/wendysantosberroa</v>
      </c>
      <c r="AR1015" s="76" t="s">
        <v>26906</v>
      </c>
      <c r="AS1015" s="82" t="str">
        <f>HYPERLINK("https://t.co/LoEH8vZ91u")</f>
        <v>https://t.co/LoEH8vZ91u</v>
      </c>
      <c r="AT1015" s="82" t="str">
        <f>HYPERLINK("https://afiliacion.rescatedemocratico.net/")</f>
        <v>https://afiliacion.rescatedemocratico.net/</v>
      </c>
      <c r="AU1015" s="76" t="s">
        <v>27519</v>
      </c>
      <c r="AV1015" s="76">
        <v>1.6363176184863501E+18</v>
      </c>
      <c r="AW1015" s="82" t="str">
        <f>HYPERLINK("https://t.co/G5ngnRQgYX")</f>
        <v>https://t.co/G5ngnRQgYX</v>
      </c>
      <c r="AX1015" s="76" t="b">
        <v>1</v>
      </c>
      <c r="AY1015" s="76"/>
      <c r="AZ1015" s="76"/>
      <c r="BA1015" s="76" t="b">
        <v>1</v>
      </c>
      <c r="BB1015" s="76" t="b">
        <v>0</v>
      </c>
      <c r="BC1015" s="76" t="b">
        <v>1</v>
      </c>
      <c r="BD1015" s="76" t="b">
        <v>0</v>
      </c>
      <c r="BE1015" s="76" t="b">
        <v>1</v>
      </c>
      <c r="BF1015" s="76" t="b">
        <v>0</v>
      </c>
      <c r="BG1015" s="76" t="b">
        <v>0</v>
      </c>
      <c r="BH1015" s="82" t="str">
        <f>HYPERLINK("https://pbs.twimg.com/profile_banners/244062447/1691791081")</f>
        <v>https://pbs.twimg.com/profile_banners/244062447/1691791081</v>
      </c>
      <c r="BI1015" s="76"/>
      <c r="BJ1015" s="76" t="s">
        <v>27595</v>
      </c>
      <c r="BK1015" s="76" t="b">
        <v>0</v>
      </c>
      <c r="BL1015" s="76"/>
      <c r="BM1015" s="76" t="s">
        <v>65</v>
      </c>
      <c r="BN1015" s="76" t="s">
        <v>27597</v>
      </c>
      <c r="BO1015" s="82" t="str">
        <f>HYPERLINK("https://twitter.com/wendysantosb")</f>
        <v>https://twitter.com/wendysantosb</v>
      </c>
      <c r="BP1015" s="2"/>
    </row>
    <row r="1016" spans="1:68" x14ac:dyDescent="0.25">
      <c r="A1016" s="62" t="s">
        <v>954</v>
      </c>
      <c r="B1016" s="63"/>
      <c r="C1016" s="63"/>
      <c r="D1016" s="64"/>
      <c r="E1016" s="66"/>
      <c r="F1016" s="103" t="str">
        <f>HYPERLINK("https://pbs.twimg.com/profile_images/1359948854435733506/IT41iY7o_normal.jpg")</f>
        <v>https://pbs.twimg.com/profile_images/1359948854435733506/IT41iY7o_normal.jpg</v>
      </c>
      <c r="G1016" s="63"/>
      <c r="H1016" s="67"/>
      <c r="I1016" s="68"/>
      <c r="J1016" s="68"/>
      <c r="K1016" s="67" t="s">
        <v>28610</v>
      </c>
      <c r="L1016" s="71"/>
      <c r="M1016" s="72"/>
      <c r="N1016" s="72"/>
      <c r="O1016" s="73"/>
      <c r="P1016" s="74"/>
      <c r="Q1016" s="74"/>
      <c r="R1016" s="87"/>
      <c r="S1016" s="87"/>
      <c r="T1016" s="87"/>
      <c r="U1016" s="87"/>
      <c r="V1016" s="48"/>
      <c r="W1016" s="48"/>
      <c r="X1016" s="48"/>
      <c r="Y1016" s="48"/>
      <c r="Z1016" s="47"/>
      <c r="AA1016" s="69">
        <v>1016</v>
      </c>
      <c r="AB1016" s="69"/>
      <c r="AC1016" s="70"/>
      <c r="AD1016" s="76" t="s">
        <v>22240</v>
      </c>
      <c r="AE1016" s="81" t="s">
        <v>20851</v>
      </c>
      <c r="AF1016" s="76">
        <v>354</v>
      </c>
      <c r="AG1016" s="76">
        <v>827</v>
      </c>
      <c r="AH1016" s="76">
        <v>59990</v>
      </c>
      <c r="AI1016" s="76">
        <v>1</v>
      </c>
      <c r="AJ1016" s="76">
        <v>99166</v>
      </c>
      <c r="AK1016" s="76">
        <v>150</v>
      </c>
      <c r="AL1016" s="76" t="b">
        <v>0</v>
      </c>
      <c r="AM1016" s="78">
        <v>44238.814444444448</v>
      </c>
      <c r="AN1016" s="76" t="s">
        <v>24322</v>
      </c>
      <c r="AO1016" s="76"/>
      <c r="AP1016" s="76"/>
      <c r="AQ1016" s="76"/>
      <c r="AR1016" s="76"/>
      <c r="AS1016" s="76"/>
      <c r="AT1016" s="76"/>
      <c r="AU1016" s="76"/>
      <c r="AV1016" s="76"/>
      <c r="AW1016" s="76"/>
      <c r="AX1016" s="76" t="b">
        <v>0</v>
      </c>
      <c r="AY1016" s="76"/>
      <c r="AZ1016" s="76"/>
      <c r="BA1016" s="76" t="b">
        <v>0</v>
      </c>
      <c r="BB1016" s="76" t="b">
        <v>1</v>
      </c>
      <c r="BC1016" s="76" t="b">
        <v>1</v>
      </c>
      <c r="BD1016" s="76" t="b">
        <v>0</v>
      </c>
      <c r="BE1016" s="76" t="b">
        <v>0</v>
      </c>
      <c r="BF1016" s="76" t="b">
        <v>0</v>
      </c>
      <c r="BG1016" s="76" t="b">
        <v>0</v>
      </c>
      <c r="BH1016" s="76"/>
      <c r="BI1016" s="76"/>
      <c r="BJ1016" s="76" t="s">
        <v>27595</v>
      </c>
      <c r="BK1016" s="76" t="b">
        <v>0</v>
      </c>
      <c r="BL1016" s="76"/>
      <c r="BM1016" s="76" t="s">
        <v>66</v>
      </c>
      <c r="BN1016" s="76" t="s">
        <v>27597</v>
      </c>
      <c r="BO1016" s="82" t="str">
        <f>HYPERLINK("https://twitter.com/izoldedrewsgav1")</f>
        <v>https://twitter.com/izoldedrewsgav1</v>
      </c>
      <c r="BP1016" s="2"/>
    </row>
    <row r="1017" spans="1:68" x14ac:dyDescent="0.25">
      <c r="A1017" s="62" t="s">
        <v>956</v>
      </c>
      <c r="B1017" s="63"/>
      <c r="C1017" s="63"/>
      <c r="D1017" s="64"/>
      <c r="E1017" s="66"/>
      <c r="F1017" s="103" t="str">
        <f>HYPERLINK("https://pbs.twimg.com/profile_images/730319608155144192/VDfGe87X_normal.jpg")</f>
        <v>https://pbs.twimg.com/profile_images/730319608155144192/VDfGe87X_normal.jpg</v>
      </c>
      <c r="G1017" s="63"/>
      <c r="H1017" s="67"/>
      <c r="I1017" s="68"/>
      <c r="J1017" s="68"/>
      <c r="K1017" s="67" t="s">
        <v>28611</v>
      </c>
      <c r="L1017" s="71"/>
      <c r="M1017" s="72"/>
      <c r="N1017" s="72"/>
      <c r="O1017" s="73"/>
      <c r="P1017" s="74"/>
      <c r="Q1017" s="74"/>
      <c r="R1017" s="87"/>
      <c r="S1017" s="87"/>
      <c r="T1017" s="87"/>
      <c r="U1017" s="87"/>
      <c r="V1017" s="48"/>
      <c r="W1017" s="48"/>
      <c r="X1017" s="48"/>
      <c r="Y1017" s="48"/>
      <c r="Z1017" s="47"/>
      <c r="AA1017" s="69">
        <v>1017</v>
      </c>
      <c r="AB1017" s="69"/>
      <c r="AC1017" s="70"/>
      <c r="AD1017" s="76" t="s">
        <v>22241</v>
      </c>
      <c r="AE1017" s="81" t="s">
        <v>20852</v>
      </c>
      <c r="AF1017" s="76">
        <v>1259</v>
      </c>
      <c r="AG1017" s="76">
        <v>171</v>
      </c>
      <c r="AH1017" s="76">
        <v>8213</v>
      </c>
      <c r="AI1017" s="76">
        <v>14</v>
      </c>
      <c r="AJ1017" s="76">
        <v>36</v>
      </c>
      <c r="AK1017" s="76">
        <v>1646</v>
      </c>
      <c r="AL1017" s="76" t="b">
        <v>0</v>
      </c>
      <c r="AM1017" s="78">
        <v>42472.624166666668</v>
      </c>
      <c r="AN1017" s="76"/>
      <c r="AO1017" s="76" t="s">
        <v>25615</v>
      </c>
      <c r="AP1017" s="82" t="str">
        <f>HYPERLINK("https://t.co/tLNQHPgNlG")</f>
        <v>https://t.co/tLNQHPgNlG</v>
      </c>
      <c r="AQ1017" s="82" t="str">
        <f>HYPERLINK("https://portal.kutxabank.es/")</f>
        <v>https://portal.kutxabank.es/</v>
      </c>
      <c r="AR1017" s="76" t="s">
        <v>26907</v>
      </c>
      <c r="AS1017" s="76"/>
      <c r="AT1017" s="76"/>
      <c r="AU1017" s="76"/>
      <c r="AV1017" s="76"/>
      <c r="AW1017" s="82" t="str">
        <f>HYPERLINK("https://t.co/tLNQHPgNlG")</f>
        <v>https://t.co/tLNQHPgNlG</v>
      </c>
      <c r="AX1017" s="76" t="b">
        <v>0</v>
      </c>
      <c r="AY1017" s="76"/>
      <c r="AZ1017" s="76"/>
      <c r="BA1017" s="76" t="b">
        <v>0</v>
      </c>
      <c r="BB1017" s="76" t="b">
        <v>1</v>
      </c>
      <c r="BC1017" s="76" t="b">
        <v>0</v>
      </c>
      <c r="BD1017" s="76" t="b">
        <v>0</v>
      </c>
      <c r="BE1017" s="76" t="b">
        <v>1</v>
      </c>
      <c r="BF1017" s="76" t="b">
        <v>0</v>
      </c>
      <c r="BG1017" s="76" t="b">
        <v>0</v>
      </c>
      <c r="BH1017" s="82" t="str">
        <f>HYPERLINK("https://pbs.twimg.com/profile_banners/719902594991288320/1461661426")</f>
        <v>https://pbs.twimg.com/profile_banners/719902594991288320/1461661426</v>
      </c>
      <c r="BI1017" s="76"/>
      <c r="BJ1017" s="76" t="s">
        <v>27595</v>
      </c>
      <c r="BK1017" s="76" t="b">
        <v>0</v>
      </c>
      <c r="BL1017" s="76"/>
      <c r="BM1017" s="76" t="s">
        <v>66</v>
      </c>
      <c r="BN1017" s="76" t="s">
        <v>27597</v>
      </c>
      <c r="BO1017" s="82" t="str">
        <f>HYPERLINK("https://twitter.com/kbfinanzas")</f>
        <v>https://twitter.com/kbfinanzas</v>
      </c>
      <c r="BP1017" s="2"/>
    </row>
    <row r="1018" spans="1:68" x14ac:dyDescent="0.25">
      <c r="A1018" s="62" t="s">
        <v>957</v>
      </c>
      <c r="B1018" s="63"/>
      <c r="C1018" s="63"/>
      <c r="D1018" s="64"/>
      <c r="E1018" s="66"/>
      <c r="F1018" s="103" t="str">
        <f>HYPERLINK("https://pbs.twimg.com/profile_images/966309809791422464/egSghEpM_normal.jpg")</f>
        <v>https://pbs.twimg.com/profile_images/966309809791422464/egSghEpM_normal.jpg</v>
      </c>
      <c r="G1018" s="63"/>
      <c r="H1018" s="67"/>
      <c r="I1018" s="68"/>
      <c r="J1018" s="68"/>
      <c r="K1018" s="67" t="s">
        <v>28612</v>
      </c>
      <c r="L1018" s="71"/>
      <c r="M1018" s="72"/>
      <c r="N1018" s="72"/>
      <c r="O1018" s="73"/>
      <c r="P1018" s="74"/>
      <c r="Q1018" s="74"/>
      <c r="R1018" s="87"/>
      <c r="S1018" s="87"/>
      <c r="T1018" s="87"/>
      <c r="U1018" s="87"/>
      <c r="V1018" s="48"/>
      <c r="W1018" s="48"/>
      <c r="X1018" s="48"/>
      <c r="Y1018" s="48"/>
      <c r="Z1018" s="47"/>
      <c r="AA1018" s="69">
        <v>1018</v>
      </c>
      <c r="AB1018" s="69"/>
      <c r="AC1018" s="70"/>
      <c r="AD1018" s="76" t="s">
        <v>22242</v>
      </c>
      <c r="AE1018" s="81" t="s">
        <v>20853</v>
      </c>
      <c r="AF1018" s="76">
        <v>2378</v>
      </c>
      <c r="AG1018" s="76">
        <v>4737</v>
      </c>
      <c r="AH1018" s="76">
        <v>33380</v>
      </c>
      <c r="AI1018" s="76">
        <v>2</v>
      </c>
      <c r="AJ1018" s="76">
        <v>69935</v>
      </c>
      <c r="AK1018" s="76">
        <v>109</v>
      </c>
      <c r="AL1018" s="76" t="b">
        <v>0</v>
      </c>
      <c r="AM1018" s="78">
        <v>43152.559641203705</v>
      </c>
      <c r="AN1018" s="76" t="s">
        <v>24440</v>
      </c>
      <c r="AO1018" s="76" t="s">
        <v>25616</v>
      </c>
      <c r="AP1018" s="82" t="str">
        <f>HYPERLINK("https://t.co/OuPHZXh9I5")</f>
        <v>https://t.co/OuPHZXh9I5</v>
      </c>
      <c r="AQ1018" s="82" t="str">
        <f>HYPERLINK("http://www.espanholintensivoltda.com.br")</f>
        <v>http://www.espanholintensivoltda.com.br</v>
      </c>
      <c r="AR1018" s="76" t="s">
        <v>26908</v>
      </c>
      <c r="AS1018" s="82" t="str">
        <f>HYPERLINK("https://t.co/3THWhdvfMB")</f>
        <v>https://t.co/3THWhdvfMB</v>
      </c>
      <c r="AT1018" s="82" t="str">
        <f>HYPERLINK("https://www.youtube.com/user/karinaesk/videos")</f>
        <v>https://www.youtube.com/user/karinaesk/videos</v>
      </c>
      <c r="AU1018" s="76" t="s">
        <v>27520</v>
      </c>
      <c r="AV1018" s="76">
        <v>9.6890784697180506E+17</v>
      </c>
      <c r="AW1018" s="82" t="str">
        <f>HYPERLINK("https://t.co/OuPHZXh9I5")</f>
        <v>https://t.co/OuPHZXh9I5</v>
      </c>
      <c r="AX1018" s="76" t="b">
        <v>0</v>
      </c>
      <c r="AY1018" s="76"/>
      <c r="AZ1018" s="76"/>
      <c r="BA1018" s="76" t="b">
        <v>0</v>
      </c>
      <c r="BB1018" s="76" t="b">
        <v>1</v>
      </c>
      <c r="BC1018" s="76" t="b">
        <v>1</v>
      </c>
      <c r="BD1018" s="76" t="b">
        <v>0</v>
      </c>
      <c r="BE1018" s="76" t="b">
        <v>1</v>
      </c>
      <c r="BF1018" s="76" t="b">
        <v>0</v>
      </c>
      <c r="BG1018" s="76" t="b">
        <v>0</v>
      </c>
      <c r="BH1018" s="82" t="str">
        <f>HYPERLINK("https://pbs.twimg.com/profile_banners/966302961000439810/1519221189")</f>
        <v>https://pbs.twimg.com/profile_banners/966302961000439810/1519221189</v>
      </c>
      <c r="BI1018" s="76"/>
      <c r="BJ1018" s="76" t="s">
        <v>27595</v>
      </c>
      <c r="BK1018" s="76" t="b">
        <v>0</v>
      </c>
      <c r="BL1018" s="76"/>
      <c r="BM1018" s="76" t="s">
        <v>66</v>
      </c>
      <c r="BN1018" s="76" t="s">
        <v>27597</v>
      </c>
      <c r="BO1018" s="82" t="str">
        <f>HYPERLINK("https://twitter.com/karinaeskin1")</f>
        <v>https://twitter.com/karinaeskin1</v>
      </c>
      <c r="BP1018" s="2"/>
    </row>
    <row r="1019" spans="1:68" x14ac:dyDescent="0.25">
      <c r="A1019" s="62" t="s">
        <v>958</v>
      </c>
      <c r="B1019" s="63"/>
      <c r="C1019" s="63"/>
      <c r="D1019" s="64"/>
      <c r="E1019" s="66"/>
      <c r="F1019" s="103" t="str">
        <f>HYPERLINK("https://pbs.twimg.com/profile_images/1490704944722329601/lK43KNZA_normal.jpg")</f>
        <v>https://pbs.twimg.com/profile_images/1490704944722329601/lK43KNZA_normal.jpg</v>
      </c>
      <c r="G1019" s="63"/>
      <c r="H1019" s="67"/>
      <c r="I1019" s="68"/>
      <c r="J1019" s="68"/>
      <c r="K1019" s="67" t="s">
        <v>28613</v>
      </c>
      <c r="L1019" s="71"/>
      <c r="M1019" s="72"/>
      <c r="N1019" s="72"/>
      <c r="O1019" s="73"/>
      <c r="P1019" s="74"/>
      <c r="Q1019" s="74"/>
      <c r="R1019" s="87"/>
      <c r="S1019" s="87"/>
      <c r="T1019" s="87"/>
      <c r="U1019" s="87"/>
      <c r="V1019" s="48"/>
      <c r="W1019" s="48"/>
      <c r="X1019" s="48"/>
      <c r="Y1019" s="48"/>
      <c r="Z1019" s="47"/>
      <c r="AA1019" s="69">
        <v>1019</v>
      </c>
      <c r="AB1019" s="69"/>
      <c r="AC1019" s="70"/>
      <c r="AD1019" s="76" t="s">
        <v>22243</v>
      </c>
      <c r="AE1019" s="81" t="s">
        <v>23602</v>
      </c>
      <c r="AF1019" s="76">
        <v>7616</v>
      </c>
      <c r="AG1019" s="76">
        <v>60</v>
      </c>
      <c r="AH1019" s="76">
        <v>192709</v>
      </c>
      <c r="AI1019" s="76">
        <v>111</v>
      </c>
      <c r="AJ1019" s="76">
        <v>8</v>
      </c>
      <c r="AK1019" s="76">
        <v>132461</v>
      </c>
      <c r="AL1019" s="76" t="b">
        <v>0</v>
      </c>
      <c r="AM1019" s="78">
        <v>40329.798217592594</v>
      </c>
      <c r="AN1019" s="76" t="s">
        <v>24441</v>
      </c>
      <c r="AO1019" s="76" t="s">
        <v>25617</v>
      </c>
      <c r="AP1019" s="82" t="str">
        <f>HYPERLINK("https://t.co/vnPFimRv0W")</f>
        <v>https://t.co/vnPFimRv0W</v>
      </c>
      <c r="AQ1019" s="82" t="str">
        <f>HYPERLINK("http://www.TiempoSur.com.ar")</f>
        <v>http://www.TiempoSur.com.ar</v>
      </c>
      <c r="AR1019" s="76" t="s">
        <v>26909</v>
      </c>
      <c r="AS1019" s="76"/>
      <c r="AT1019" s="76"/>
      <c r="AU1019" s="76"/>
      <c r="AV1019" s="76"/>
      <c r="AW1019" s="82" t="str">
        <f>HYPERLINK("https://t.co/vnPFimRv0W")</f>
        <v>https://t.co/vnPFimRv0W</v>
      </c>
      <c r="AX1019" s="76" t="b">
        <v>0</v>
      </c>
      <c r="AY1019" s="76"/>
      <c r="AZ1019" s="76"/>
      <c r="BA1019" s="76" t="b">
        <v>0</v>
      </c>
      <c r="BB1019" s="76" t="b">
        <v>1</v>
      </c>
      <c r="BC1019" s="76" t="b">
        <v>0</v>
      </c>
      <c r="BD1019" s="76" t="b">
        <v>0</v>
      </c>
      <c r="BE1019" s="76" t="b">
        <v>0</v>
      </c>
      <c r="BF1019" s="76" t="b">
        <v>0</v>
      </c>
      <c r="BG1019" s="76" t="b">
        <v>0</v>
      </c>
      <c r="BH1019" s="82" t="str">
        <f>HYPERLINK("https://pbs.twimg.com/profile_banners/150364607/1645571223")</f>
        <v>https://pbs.twimg.com/profile_banners/150364607/1645571223</v>
      </c>
      <c r="BI1019" s="76"/>
      <c r="BJ1019" s="76" t="s">
        <v>27595</v>
      </c>
      <c r="BK1019" s="76" t="b">
        <v>0</v>
      </c>
      <c r="BL1019" s="76"/>
      <c r="BM1019" s="76" t="s">
        <v>66</v>
      </c>
      <c r="BN1019" s="76" t="s">
        <v>27597</v>
      </c>
      <c r="BO1019" s="82" t="str">
        <f>HYPERLINK("https://twitter.com/tiemposur_")</f>
        <v>https://twitter.com/tiemposur_</v>
      </c>
      <c r="BP1019" s="2"/>
    </row>
    <row r="1020" spans="1:68" x14ac:dyDescent="0.25">
      <c r="A1020" s="62" t="s">
        <v>959</v>
      </c>
      <c r="B1020" s="63"/>
      <c r="C1020" s="63"/>
      <c r="D1020" s="64"/>
      <c r="E1020" s="66"/>
      <c r="F1020" s="103" t="str">
        <f>HYPERLINK("https://pbs.twimg.com/profile_images/912787422139863041/dOaCfDJq_normal.jpg")</f>
        <v>https://pbs.twimg.com/profile_images/912787422139863041/dOaCfDJq_normal.jpg</v>
      </c>
      <c r="G1020" s="63"/>
      <c r="H1020" s="67"/>
      <c r="I1020" s="68"/>
      <c r="J1020" s="68"/>
      <c r="K1020" s="67" t="s">
        <v>28614</v>
      </c>
      <c r="L1020" s="71"/>
      <c r="M1020" s="72"/>
      <c r="N1020" s="72"/>
      <c r="O1020" s="73"/>
      <c r="P1020" s="74"/>
      <c r="Q1020" s="74"/>
      <c r="R1020" s="87"/>
      <c r="S1020" s="87"/>
      <c r="T1020" s="87"/>
      <c r="U1020" s="87"/>
      <c r="V1020" s="48"/>
      <c r="W1020" s="48"/>
      <c r="X1020" s="48"/>
      <c r="Y1020" s="48"/>
      <c r="Z1020" s="47"/>
      <c r="AA1020" s="69">
        <v>1020</v>
      </c>
      <c r="AB1020" s="69"/>
      <c r="AC1020" s="70"/>
      <c r="AD1020" s="76" t="s">
        <v>22244</v>
      </c>
      <c r="AE1020" s="81" t="s">
        <v>23603</v>
      </c>
      <c r="AF1020" s="76">
        <v>2418</v>
      </c>
      <c r="AG1020" s="76">
        <v>905</v>
      </c>
      <c r="AH1020" s="76">
        <v>367972</v>
      </c>
      <c r="AI1020" s="76">
        <v>250</v>
      </c>
      <c r="AJ1020" s="76">
        <v>93429</v>
      </c>
      <c r="AK1020" s="76">
        <v>14119</v>
      </c>
      <c r="AL1020" s="76" t="b">
        <v>0</v>
      </c>
      <c r="AM1020" s="78">
        <v>40021.750104166669</v>
      </c>
      <c r="AN1020" s="76" t="s">
        <v>24442</v>
      </c>
      <c r="AO1020" s="76" t="s">
        <v>25618</v>
      </c>
      <c r="AP1020" s="76"/>
      <c r="AQ1020" s="76"/>
      <c r="AR1020" s="76"/>
      <c r="AS1020" s="76"/>
      <c r="AT1020" s="76"/>
      <c r="AU1020" s="76"/>
      <c r="AV1020" s="76">
        <v>1.5656832077728E+18</v>
      </c>
      <c r="AW1020" s="76"/>
      <c r="AX1020" s="76" t="b">
        <v>0</v>
      </c>
      <c r="AY1020" s="76"/>
      <c r="AZ1020" s="76"/>
      <c r="BA1020" s="76" t="b">
        <v>0</v>
      </c>
      <c r="BB1020" s="76" t="b">
        <v>1</v>
      </c>
      <c r="BC1020" s="76" t="b">
        <v>0</v>
      </c>
      <c r="BD1020" s="76" t="b">
        <v>0</v>
      </c>
      <c r="BE1020" s="76" t="b">
        <v>0</v>
      </c>
      <c r="BF1020" s="76" t="b">
        <v>0</v>
      </c>
      <c r="BG1020" s="76" t="b">
        <v>0</v>
      </c>
      <c r="BH1020" s="82" t="str">
        <f>HYPERLINK("https://pbs.twimg.com/profile_banners/60663483/1481073170")</f>
        <v>https://pbs.twimg.com/profile_banners/60663483/1481073170</v>
      </c>
      <c r="BI1020" s="76"/>
      <c r="BJ1020" s="76" t="s">
        <v>27595</v>
      </c>
      <c r="BK1020" s="76" t="b">
        <v>0</v>
      </c>
      <c r="BL1020" s="76"/>
      <c r="BM1020" s="76" t="s">
        <v>66</v>
      </c>
      <c r="BN1020" s="76" t="s">
        <v>27597</v>
      </c>
      <c r="BO1020" s="82" t="str">
        <f>HYPERLINK("https://twitter.com/pablodelamac")</f>
        <v>https://twitter.com/pablodelamac</v>
      </c>
      <c r="BP1020" s="2"/>
    </row>
    <row r="1021" spans="1:68" x14ac:dyDescent="0.25">
      <c r="A1021" s="62" t="s">
        <v>960</v>
      </c>
      <c r="B1021" s="63"/>
      <c r="C1021" s="63"/>
      <c r="D1021" s="64"/>
      <c r="E1021" s="66"/>
      <c r="F1021" s="103" t="str">
        <f>HYPERLINK("https://pbs.twimg.com/profile_images/1688364209107558400/KNfrpB9y_normal.jpg")</f>
        <v>https://pbs.twimg.com/profile_images/1688364209107558400/KNfrpB9y_normal.jpg</v>
      </c>
      <c r="G1021" s="63"/>
      <c r="H1021" s="67"/>
      <c r="I1021" s="68"/>
      <c r="J1021" s="68"/>
      <c r="K1021" s="67" t="s">
        <v>28615</v>
      </c>
      <c r="L1021" s="71"/>
      <c r="M1021" s="72"/>
      <c r="N1021" s="72"/>
      <c r="O1021" s="73"/>
      <c r="P1021" s="74"/>
      <c r="Q1021" s="74"/>
      <c r="R1021" s="87"/>
      <c r="S1021" s="87"/>
      <c r="T1021" s="87"/>
      <c r="U1021" s="87"/>
      <c r="V1021" s="48"/>
      <c r="W1021" s="48"/>
      <c r="X1021" s="48"/>
      <c r="Y1021" s="48"/>
      <c r="Z1021" s="47"/>
      <c r="AA1021" s="69">
        <v>1021</v>
      </c>
      <c r="AB1021" s="69"/>
      <c r="AC1021" s="70"/>
      <c r="AD1021" s="76" t="s">
        <v>22245</v>
      </c>
      <c r="AE1021" s="81" t="s">
        <v>20310</v>
      </c>
      <c r="AF1021" s="76">
        <v>46</v>
      </c>
      <c r="AG1021" s="76">
        <v>176</v>
      </c>
      <c r="AH1021" s="76">
        <v>496</v>
      </c>
      <c r="AI1021" s="76">
        <v>0</v>
      </c>
      <c r="AJ1021" s="76">
        <v>843</v>
      </c>
      <c r="AK1021" s="76">
        <v>104</v>
      </c>
      <c r="AL1021" s="76" t="b">
        <v>0</v>
      </c>
      <c r="AM1021" s="78">
        <v>39923.161678240744</v>
      </c>
      <c r="AN1021" s="76"/>
      <c r="AO1021" s="76" t="s">
        <v>25619</v>
      </c>
      <c r="AP1021" s="82" t="str">
        <f>HYPERLINK("https://t.co/NJJBokeu48")</f>
        <v>https://t.co/NJJBokeu48</v>
      </c>
      <c r="AQ1021" s="82" t="str">
        <f>HYPERLINK("http://www.TradeWiser.pro")</f>
        <v>http://www.TradeWiser.pro</v>
      </c>
      <c r="AR1021" s="76" t="s">
        <v>26910</v>
      </c>
      <c r="AS1021" s="76"/>
      <c r="AT1021" s="76"/>
      <c r="AU1021" s="76"/>
      <c r="AV1021" s="76"/>
      <c r="AW1021" s="82" t="str">
        <f>HYPERLINK("https://t.co/NJJBokeu48")</f>
        <v>https://t.co/NJJBokeu48</v>
      </c>
      <c r="AX1021" s="76" t="b">
        <v>0</v>
      </c>
      <c r="AY1021" s="76"/>
      <c r="AZ1021" s="76"/>
      <c r="BA1021" s="76" t="b">
        <v>1</v>
      </c>
      <c r="BB1021" s="76" t="b">
        <v>0</v>
      </c>
      <c r="BC1021" s="76" t="b">
        <v>0</v>
      </c>
      <c r="BD1021" s="76" t="b">
        <v>0</v>
      </c>
      <c r="BE1021" s="76" t="b">
        <v>1</v>
      </c>
      <c r="BF1021" s="76" t="b">
        <v>0</v>
      </c>
      <c r="BG1021" s="76" t="b">
        <v>0</v>
      </c>
      <c r="BH1021" s="82" t="str">
        <f>HYPERLINK("https://pbs.twimg.com/profile_banners/33412872/1692536667")</f>
        <v>https://pbs.twimg.com/profile_banners/33412872/1692536667</v>
      </c>
      <c r="BI1021" s="76"/>
      <c r="BJ1021" s="76" t="s">
        <v>27595</v>
      </c>
      <c r="BK1021" s="76" t="b">
        <v>0</v>
      </c>
      <c r="BL1021" s="76"/>
      <c r="BM1021" s="76" t="s">
        <v>66</v>
      </c>
      <c r="BN1021" s="76" t="s">
        <v>27597</v>
      </c>
      <c r="BO1021" s="82" t="str">
        <f>HYPERLINK("https://twitter.com/mtteixeira")</f>
        <v>https://twitter.com/mtteixeira</v>
      </c>
      <c r="BP1021" s="2"/>
    </row>
    <row r="1022" spans="1:68" x14ac:dyDescent="0.25">
      <c r="A1022" s="62" t="s">
        <v>961</v>
      </c>
      <c r="B1022" s="63"/>
      <c r="C1022" s="63"/>
      <c r="D1022" s="64"/>
      <c r="E1022" s="66"/>
      <c r="F1022" s="103" t="str">
        <f>HYPERLINK("https://pbs.twimg.com/profile_images/999841160674750464/1rztvef-_normal.jpg")</f>
        <v>https://pbs.twimg.com/profile_images/999841160674750464/1rztvef-_normal.jpg</v>
      </c>
      <c r="G1022" s="63"/>
      <c r="H1022" s="67"/>
      <c r="I1022" s="68"/>
      <c r="J1022" s="68"/>
      <c r="K1022" s="67" t="s">
        <v>28616</v>
      </c>
      <c r="L1022" s="71"/>
      <c r="M1022" s="72"/>
      <c r="N1022" s="72"/>
      <c r="O1022" s="73"/>
      <c r="P1022" s="74"/>
      <c r="Q1022" s="74"/>
      <c r="R1022" s="87"/>
      <c r="S1022" s="87"/>
      <c r="T1022" s="87"/>
      <c r="U1022" s="87"/>
      <c r="V1022" s="48"/>
      <c r="W1022" s="48"/>
      <c r="X1022" s="48"/>
      <c r="Y1022" s="48"/>
      <c r="Z1022" s="47"/>
      <c r="AA1022" s="69">
        <v>1022</v>
      </c>
      <c r="AB1022" s="69"/>
      <c r="AC1022" s="70"/>
      <c r="AD1022" s="76" t="s">
        <v>22246</v>
      </c>
      <c r="AE1022" s="81" t="s">
        <v>23604</v>
      </c>
      <c r="AF1022" s="76">
        <v>120</v>
      </c>
      <c r="AG1022" s="76">
        <v>489</v>
      </c>
      <c r="AH1022" s="76">
        <v>9229</v>
      </c>
      <c r="AI1022" s="76">
        <v>6</v>
      </c>
      <c r="AJ1022" s="76">
        <v>2761</v>
      </c>
      <c r="AK1022" s="76">
        <v>939</v>
      </c>
      <c r="AL1022" s="76" t="b">
        <v>0</v>
      </c>
      <c r="AM1022" s="78">
        <v>40427.063564814816</v>
      </c>
      <c r="AN1022" s="76" t="s">
        <v>24443</v>
      </c>
      <c r="AO1022" s="76" t="s">
        <v>25620</v>
      </c>
      <c r="AP1022" s="76"/>
      <c r="AQ1022" s="76"/>
      <c r="AR1022" s="76"/>
      <c r="AS1022" s="76"/>
      <c r="AT1022" s="76"/>
      <c r="AU1022" s="76"/>
      <c r="AV1022" s="76">
        <v>1.5343076244973399E+18</v>
      </c>
      <c r="AW1022" s="76"/>
      <c r="AX1022" s="76" t="b">
        <v>0</v>
      </c>
      <c r="AY1022" s="76"/>
      <c r="AZ1022" s="76"/>
      <c r="BA1022" s="76" t="b">
        <v>0</v>
      </c>
      <c r="BB1022" s="76" t="b">
        <v>0</v>
      </c>
      <c r="BC1022" s="76" t="b">
        <v>0</v>
      </c>
      <c r="BD1022" s="76" t="b">
        <v>0</v>
      </c>
      <c r="BE1022" s="76" t="b">
        <v>1</v>
      </c>
      <c r="BF1022" s="76" t="b">
        <v>0</v>
      </c>
      <c r="BG1022" s="76" t="b">
        <v>0</v>
      </c>
      <c r="BH1022" s="82" t="str">
        <f>HYPERLINK("https://pbs.twimg.com/profile_banners/187370961/1692273563")</f>
        <v>https://pbs.twimg.com/profile_banners/187370961/1692273563</v>
      </c>
      <c r="BI1022" s="76"/>
      <c r="BJ1022" s="76" t="s">
        <v>27595</v>
      </c>
      <c r="BK1022" s="76" t="b">
        <v>0</v>
      </c>
      <c r="BL1022" s="76"/>
      <c r="BM1022" s="76" t="s">
        <v>66</v>
      </c>
      <c r="BN1022" s="76" t="s">
        <v>27597</v>
      </c>
      <c r="BO1022" s="82" t="str">
        <f>HYPERLINK("https://twitter.com/cabeza451")</f>
        <v>https://twitter.com/cabeza451</v>
      </c>
      <c r="BP1022" s="2"/>
    </row>
    <row r="1023" spans="1:68" x14ac:dyDescent="0.25">
      <c r="A1023" s="62" t="s">
        <v>962</v>
      </c>
      <c r="B1023" s="63"/>
      <c r="C1023" s="63"/>
      <c r="D1023" s="64"/>
      <c r="E1023" s="66"/>
      <c r="F1023" s="103" t="str">
        <f>HYPERLINK("https://pbs.twimg.com/profile_images/1680951255529578497/VfcWogQt_normal.jpg")</f>
        <v>https://pbs.twimg.com/profile_images/1680951255529578497/VfcWogQt_normal.jpg</v>
      </c>
      <c r="G1023" s="63"/>
      <c r="H1023" s="67"/>
      <c r="I1023" s="68"/>
      <c r="J1023" s="68"/>
      <c r="K1023" s="67" t="s">
        <v>28617</v>
      </c>
      <c r="L1023" s="71"/>
      <c r="M1023" s="72"/>
      <c r="N1023" s="72"/>
      <c r="O1023" s="73"/>
      <c r="P1023" s="74"/>
      <c r="Q1023" s="74"/>
      <c r="R1023" s="87"/>
      <c r="S1023" s="87"/>
      <c r="T1023" s="87"/>
      <c r="U1023" s="87"/>
      <c r="V1023" s="48"/>
      <c r="W1023" s="48"/>
      <c r="X1023" s="48"/>
      <c r="Y1023" s="48"/>
      <c r="Z1023" s="47"/>
      <c r="AA1023" s="69">
        <v>1023</v>
      </c>
      <c r="AB1023" s="69"/>
      <c r="AC1023" s="70"/>
      <c r="AD1023" s="76" t="s">
        <v>22247</v>
      </c>
      <c r="AE1023" s="81" t="s">
        <v>20854</v>
      </c>
      <c r="AF1023" s="76">
        <v>27</v>
      </c>
      <c r="AG1023" s="76">
        <v>164</v>
      </c>
      <c r="AH1023" s="76">
        <v>458</v>
      </c>
      <c r="AI1023" s="76">
        <v>0</v>
      </c>
      <c r="AJ1023" s="76">
        <v>5962</v>
      </c>
      <c r="AK1023" s="76">
        <v>59</v>
      </c>
      <c r="AL1023" s="76" t="b">
        <v>0</v>
      </c>
      <c r="AM1023" s="78">
        <v>43386.102650462963</v>
      </c>
      <c r="AN1023" s="76"/>
      <c r="AO1023" s="76"/>
      <c r="AP1023" s="76"/>
      <c r="AQ1023" s="76"/>
      <c r="AR1023" s="76"/>
      <c r="AS1023" s="76"/>
      <c r="AT1023" s="76"/>
      <c r="AU1023" s="76"/>
      <c r="AV1023" s="76"/>
      <c r="AW1023" s="76"/>
      <c r="AX1023" s="76" t="b">
        <v>0</v>
      </c>
      <c r="AY1023" s="76"/>
      <c r="AZ1023" s="76"/>
      <c r="BA1023" s="76" t="b">
        <v>1</v>
      </c>
      <c r="BB1023" s="76" t="b">
        <v>0</v>
      </c>
      <c r="BC1023" s="76" t="b">
        <v>1</v>
      </c>
      <c r="BD1023" s="76" t="b">
        <v>0</v>
      </c>
      <c r="BE1023" s="76" t="b">
        <v>1</v>
      </c>
      <c r="BF1023" s="76" t="b">
        <v>0</v>
      </c>
      <c r="BG1023" s="76" t="b">
        <v>0</v>
      </c>
      <c r="BH1023" s="82" t="str">
        <f>HYPERLINK("https://pbs.twimg.com/profile_banners/1050936113139986433/1689605134")</f>
        <v>https://pbs.twimg.com/profile_banners/1050936113139986433/1689605134</v>
      </c>
      <c r="BI1023" s="76"/>
      <c r="BJ1023" s="76" t="s">
        <v>27595</v>
      </c>
      <c r="BK1023" s="76" t="b">
        <v>0</v>
      </c>
      <c r="BL1023" s="76"/>
      <c r="BM1023" s="76" t="s">
        <v>66</v>
      </c>
      <c r="BN1023" s="76" t="s">
        <v>27597</v>
      </c>
      <c r="BO1023" s="82" t="str">
        <f>HYPERLINK("https://twitter.com/ikan_drsm")</f>
        <v>https://twitter.com/ikan_drsm</v>
      </c>
      <c r="BP1023" s="2"/>
    </row>
    <row r="1024" spans="1:68" x14ac:dyDescent="0.25">
      <c r="A1024" s="62" t="s">
        <v>963</v>
      </c>
      <c r="B1024" s="63"/>
      <c r="C1024" s="63"/>
      <c r="D1024" s="64"/>
      <c r="E1024" s="66"/>
      <c r="F1024" s="103" t="str">
        <f>HYPERLINK("https://pbs.twimg.com/profile_images/2725090237/018522894a55aca0ed6cdbc82f9eb1de_normal.png")</f>
        <v>https://pbs.twimg.com/profile_images/2725090237/018522894a55aca0ed6cdbc82f9eb1de_normal.png</v>
      </c>
      <c r="G1024" s="63"/>
      <c r="H1024" s="67"/>
      <c r="I1024" s="68"/>
      <c r="J1024" s="68"/>
      <c r="K1024" s="67" t="s">
        <v>28618</v>
      </c>
      <c r="L1024" s="71"/>
      <c r="M1024" s="72"/>
      <c r="N1024" s="72"/>
      <c r="O1024" s="73"/>
      <c r="P1024" s="74"/>
      <c r="Q1024" s="74"/>
      <c r="R1024" s="87"/>
      <c r="S1024" s="87"/>
      <c r="T1024" s="87"/>
      <c r="U1024" s="87"/>
      <c r="V1024" s="48"/>
      <c r="W1024" s="48"/>
      <c r="X1024" s="48"/>
      <c r="Y1024" s="48"/>
      <c r="Z1024" s="47"/>
      <c r="AA1024" s="69">
        <v>1024</v>
      </c>
      <c r="AB1024" s="69"/>
      <c r="AC1024" s="70"/>
      <c r="AD1024" s="76" t="s">
        <v>22248</v>
      </c>
      <c r="AE1024" s="81" t="s">
        <v>23605</v>
      </c>
      <c r="AF1024" s="76">
        <v>309</v>
      </c>
      <c r="AG1024" s="76">
        <v>871</v>
      </c>
      <c r="AH1024" s="76">
        <v>21258</v>
      </c>
      <c r="AI1024" s="76">
        <v>2</v>
      </c>
      <c r="AJ1024" s="76">
        <v>412</v>
      </c>
      <c r="AK1024" s="76">
        <v>385</v>
      </c>
      <c r="AL1024" s="76" t="b">
        <v>0</v>
      </c>
      <c r="AM1024" s="78">
        <v>40778.588078703702</v>
      </c>
      <c r="AN1024" s="76" t="s">
        <v>24444</v>
      </c>
      <c r="AO1024" s="76" t="s">
        <v>25621</v>
      </c>
      <c r="AP1024" s="76"/>
      <c r="AQ1024" s="76"/>
      <c r="AR1024" s="76"/>
      <c r="AS1024" s="76"/>
      <c r="AT1024" s="76"/>
      <c r="AU1024" s="76"/>
      <c r="AV1024" s="76">
        <v>1.12505539921077E+18</v>
      </c>
      <c r="AW1024" s="76"/>
      <c r="AX1024" s="76" t="b">
        <v>0</v>
      </c>
      <c r="AY1024" s="76"/>
      <c r="AZ1024" s="76"/>
      <c r="BA1024" s="76" t="b">
        <v>1</v>
      </c>
      <c r="BB1024" s="76" t="b">
        <v>1</v>
      </c>
      <c r="BC1024" s="76" t="b">
        <v>1</v>
      </c>
      <c r="BD1024" s="76" t="b">
        <v>0</v>
      </c>
      <c r="BE1024" s="76" t="b">
        <v>1</v>
      </c>
      <c r="BF1024" s="76" t="b">
        <v>0</v>
      </c>
      <c r="BG1024" s="76" t="b">
        <v>0</v>
      </c>
      <c r="BH1024" s="76"/>
      <c r="BI1024" s="76"/>
      <c r="BJ1024" s="76" t="s">
        <v>27595</v>
      </c>
      <c r="BK1024" s="76" t="b">
        <v>0</v>
      </c>
      <c r="BL1024" s="76"/>
      <c r="BM1024" s="76" t="s">
        <v>66</v>
      </c>
      <c r="BN1024" s="76" t="s">
        <v>27597</v>
      </c>
      <c r="BO1024" s="82" t="str">
        <f>HYPERLINK("https://twitter.com/correa899")</f>
        <v>https://twitter.com/correa899</v>
      </c>
      <c r="BP1024" s="2"/>
    </row>
    <row r="1025" spans="1:68" x14ac:dyDescent="0.25">
      <c r="A1025" s="62" t="s">
        <v>964</v>
      </c>
      <c r="B1025" s="63"/>
      <c r="C1025" s="63"/>
      <c r="D1025" s="64"/>
      <c r="E1025" s="66"/>
      <c r="F1025" s="103" t="str">
        <f>HYPERLINK("https://pbs.twimg.com/profile_images/1684688754299023360/qAc2FJ_A_normal.jpg")</f>
        <v>https://pbs.twimg.com/profile_images/1684688754299023360/qAc2FJ_A_normal.jpg</v>
      </c>
      <c r="G1025" s="63"/>
      <c r="H1025" s="67"/>
      <c r="I1025" s="68"/>
      <c r="J1025" s="68"/>
      <c r="K1025" s="67" t="s">
        <v>28619</v>
      </c>
      <c r="L1025" s="71"/>
      <c r="M1025" s="72"/>
      <c r="N1025" s="72"/>
      <c r="O1025" s="73"/>
      <c r="P1025" s="74"/>
      <c r="Q1025" s="74"/>
      <c r="R1025" s="87"/>
      <c r="S1025" s="87"/>
      <c r="T1025" s="87"/>
      <c r="U1025" s="87"/>
      <c r="V1025" s="48"/>
      <c r="W1025" s="48"/>
      <c r="X1025" s="48"/>
      <c r="Y1025" s="48"/>
      <c r="Z1025" s="47"/>
      <c r="AA1025" s="69">
        <v>1025</v>
      </c>
      <c r="AB1025" s="69"/>
      <c r="AC1025" s="70"/>
      <c r="AD1025" s="76" t="s">
        <v>22249</v>
      </c>
      <c r="AE1025" s="81" t="s">
        <v>23606</v>
      </c>
      <c r="AF1025" s="76">
        <v>250</v>
      </c>
      <c r="AG1025" s="76">
        <v>657</v>
      </c>
      <c r="AH1025" s="76">
        <v>83926</v>
      </c>
      <c r="AI1025" s="76">
        <v>15</v>
      </c>
      <c r="AJ1025" s="76">
        <v>66</v>
      </c>
      <c r="AK1025" s="76">
        <v>1033</v>
      </c>
      <c r="AL1025" s="76" t="b">
        <v>0</v>
      </c>
      <c r="AM1025" s="78">
        <v>40290.226342592592</v>
      </c>
      <c r="AN1025" s="76" t="s">
        <v>24445</v>
      </c>
      <c r="AO1025" s="76" t="s">
        <v>25622</v>
      </c>
      <c r="AP1025" s="82" t="str">
        <f>HYPERLINK("https://t.co/pYqSAeu2sx")</f>
        <v>https://t.co/pYqSAeu2sx</v>
      </c>
      <c r="AQ1025" s="82" t="str">
        <f>HYPERLINK("http://gruppekurheinzich.wordpress.com")</f>
        <v>http://gruppekurheinzich.wordpress.com</v>
      </c>
      <c r="AR1025" s="76" t="s">
        <v>26911</v>
      </c>
      <c r="AS1025" s="76"/>
      <c r="AT1025" s="76"/>
      <c r="AU1025" s="76"/>
      <c r="AV1025" s="76"/>
      <c r="AW1025" s="82" t="str">
        <f>HYPERLINK("https://t.co/pYqSAeu2sx")</f>
        <v>https://t.co/pYqSAeu2sx</v>
      </c>
      <c r="AX1025" s="76" t="b">
        <v>0</v>
      </c>
      <c r="AY1025" s="76"/>
      <c r="AZ1025" s="76"/>
      <c r="BA1025" s="76" t="b">
        <v>0</v>
      </c>
      <c r="BB1025" s="76" t="b">
        <v>1</v>
      </c>
      <c r="BC1025" s="76" t="b">
        <v>0</v>
      </c>
      <c r="BD1025" s="76" t="b">
        <v>0</v>
      </c>
      <c r="BE1025" s="76" t="b">
        <v>0</v>
      </c>
      <c r="BF1025" s="76" t="b">
        <v>0</v>
      </c>
      <c r="BG1025" s="76" t="b">
        <v>0</v>
      </c>
      <c r="BH1025" s="82" t="str">
        <f>HYPERLINK("https://pbs.twimg.com/profile_banners/135761946/1669169042")</f>
        <v>https://pbs.twimg.com/profile_banners/135761946/1669169042</v>
      </c>
      <c r="BI1025" s="76"/>
      <c r="BJ1025" s="76" t="s">
        <v>27595</v>
      </c>
      <c r="BK1025" s="76" t="b">
        <v>0</v>
      </c>
      <c r="BL1025" s="76"/>
      <c r="BM1025" s="76" t="s">
        <v>66</v>
      </c>
      <c r="BN1025" s="76" t="s">
        <v>27597</v>
      </c>
      <c r="BO1025" s="82" t="str">
        <f>HYPERLINK("https://twitter.com/herdersonfile")</f>
        <v>https://twitter.com/herdersonfile</v>
      </c>
      <c r="BP1025" s="2"/>
    </row>
    <row r="1026" spans="1:68" x14ac:dyDescent="0.25">
      <c r="A1026" s="62" t="s">
        <v>965</v>
      </c>
      <c r="B1026" s="63"/>
      <c r="C1026" s="63"/>
      <c r="D1026" s="64"/>
      <c r="E1026" s="66"/>
      <c r="F1026" s="103" t="str">
        <f>HYPERLINK("https://pbs.twimg.com/profile_images/1690169177372311552/bM-WTha2_normal.jpg")</f>
        <v>https://pbs.twimg.com/profile_images/1690169177372311552/bM-WTha2_normal.jpg</v>
      </c>
      <c r="G1026" s="63"/>
      <c r="H1026" s="67"/>
      <c r="I1026" s="68"/>
      <c r="J1026" s="68"/>
      <c r="K1026" s="67" t="s">
        <v>28620</v>
      </c>
      <c r="L1026" s="71"/>
      <c r="M1026" s="72"/>
      <c r="N1026" s="72"/>
      <c r="O1026" s="73"/>
      <c r="P1026" s="74"/>
      <c r="Q1026" s="74"/>
      <c r="R1026" s="87"/>
      <c r="S1026" s="87"/>
      <c r="T1026" s="87"/>
      <c r="U1026" s="87"/>
      <c r="V1026" s="48"/>
      <c r="W1026" s="48"/>
      <c r="X1026" s="48"/>
      <c r="Y1026" s="48"/>
      <c r="Z1026" s="47"/>
      <c r="AA1026" s="69">
        <v>1026</v>
      </c>
      <c r="AB1026" s="69"/>
      <c r="AC1026" s="70"/>
      <c r="AD1026" s="76" t="s">
        <v>22250</v>
      </c>
      <c r="AE1026" s="81" t="s">
        <v>20855</v>
      </c>
      <c r="AF1026" s="76">
        <v>531</v>
      </c>
      <c r="AG1026" s="76">
        <v>1140</v>
      </c>
      <c r="AH1026" s="76">
        <v>107203</v>
      </c>
      <c r="AI1026" s="76">
        <v>3</v>
      </c>
      <c r="AJ1026" s="76">
        <v>111238</v>
      </c>
      <c r="AK1026" s="76">
        <v>1806</v>
      </c>
      <c r="AL1026" s="76" t="b">
        <v>0</v>
      </c>
      <c r="AM1026" s="78">
        <v>43086.65116898148</v>
      </c>
      <c r="AN1026" s="76" t="s">
        <v>14389</v>
      </c>
      <c r="AO1026" s="76"/>
      <c r="AP1026" s="76"/>
      <c r="AQ1026" s="76"/>
      <c r="AR1026" s="76"/>
      <c r="AS1026" s="76"/>
      <c r="AT1026" s="76"/>
      <c r="AU1026" s="76"/>
      <c r="AV1026" s="76">
        <v>1.68892487982189E+18</v>
      </c>
      <c r="AW1026" s="76"/>
      <c r="AX1026" s="76" t="b">
        <v>0</v>
      </c>
      <c r="AY1026" s="76"/>
      <c r="AZ1026" s="76"/>
      <c r="BA1026" s="76" t="b">
        <v>1</v>
      </c>
      <c r="BB1026" s="76" t="b">
        <v>0</v>
      </c>
      <c r="BC1026" s="76" t="b">
        <v>1</v>
      </c>
      <c r="BD1026" s="76" t="b">
        <v>0</v>
      </c>
      <c r="BE1026" s="76" t="b">
        <v>1</v>
      </c>
      <c r="BF1026" s="76" t="b">
        <v>0</v>
      </c>
      <c r="BG1026" s="76" t="b">
        <v>0</v>
      </c>
      <c r="BH1026" s="82" t="str">
        <f>HYPERLINK("https://pbs.twimg.com/profile_banners/942418528342331392/1523658849")</f>
        <v>https://pbs.twimg.com/profile_banners/942418528342331392/1523658849</v>
      </c>
      <c r="BI1026" s="76"/>
      <c r="BJ1026" s="76" t="s">
        <v>27595</v>
      </c>
      <c r="BK1026" s="76" t="b">
        <v>0</v>
      </c>
      <c r="BL1026" s="76"/>
      <c r="BM1026" s="76" t="s">
        <v>66</v>
      </c>
      <c r="BN1026" s="76" t="s">
        <v>27597</v>
      </c>
      <c r="BO1026" s="82" t="str">
        <f>HYPERLINK("https://twitter.com/paxinveritas")</f>
        <v>https://twitter.com/paxinveritas</v>
      </c>
      <c r="BP1026" s="2"/>
    </row>
    <row r="1027" spans="1:68" x14ac:dyDescent="0.25">
      <c r="A1027" s="62" t="s">
        <v>1930</v>
      </c>
      <c r="B1027" s="63"/>
      <c r="C1027" s="63"/>
      <c r="D1027" s="64"/>
      <c r="E1027" s="66"/>
      <c r="F1027" s="103" t="str">
        <f>HYPERLINK("https://pbs.twimg.com/profile_images/1701432958731603968/n8OVHrxe_normal.jpg")</f>
        <v>https://pbs.twimg.com/profile_images/1701432958731603968/n8OVHrxe_normal.jpg</v>
      </c>
      <c r="G1027" s="63"/>
      <c r="H1027" s="67"/>
      <c r="I1027" s="68"/>
      <c r="J1027" s="68"/>
      <c r="K1027" s="67" t="s">
        <v>28621</v>
      </c>
      <c r="L1027" s="71"/>
      <c r="M1027" s="72"/>
      <c r="N1027" s="72"/>
      <c r="O1027" s="73"/>
      <c r="P1027" s="74"/>
      <c r="Q1027" s="74"/>
      <c r="R1027" s="87"/>
      <c r="S1027" s="87"/>
      <c r="T1027" s="87"/>
      <c r="U1027" s="87"/>
      <c r="V1027" s="48"/>
      <c r="W1027" s="48"/>
      <c r="X1027" s="48"/>
      <c r="Y1027" s="48"/>
      <c r="Z1027" s="47"/>
      <c r="AA1027" s="69">
        <v>1027</v>
      </c>
      <c r="AB1027" s="69"/>
      <c r="AC1027" s="70"/>
      <c r="AD1027" s="76" t="s">
        <v>22251</v>
      </c>
      <c r="AE1027" s="81" t="s">
        <v>23607</v>
      </c>
      <c r="AF1027" s="76">
        <v>91024</v>
      </c>
      <c r="AG1027" s="76">
        <v>164</v>
      </c>
      <c r="AH1027" s="76">
        <v>47283</v>
      </c>
      <c r="AI1027" s="76">
        <v>134</v>
      </c>
      <c r="AJ1027" s="76">
        <v>44376</v>
      </c>
      <c r="AK1027" s="76">
        <v>3094</v>
      </c>
      <c r="AL1027" s="76" t="b">
        <v>0</v>
      </c>
      <c r="AM1027" s="78">
        <v>40636.051944444444</v>
      </c>
      <c r="AN1027" s="76" t="s">
        <v>24446</v>
      </c>
      <c r="AO1027" s="76" t="s">
        <v>25623</v>
      </c>
      <c r="AP1027" s="76"/>
      <c r="AQ1027" s="76"/>
      <c r="AR1027" s="76"/>
      <c r="AS1027" s="76"/>
      <c r="AT1027" s="76"/>
      <c r="AU1027" s="76"/>
      <c r="AV1027" s="76">
        <v>1.68440351352943E+18</v>
      </c>
      <c r="AW1027" s="76"/>
      <c r="AX1027" s="76" t="b">
        <v>1</v>
      </c>
      <c r="AY1027" s="76"/>
      <c r="AZ1027" s="76"/>
      <c r="BA1027" s="76" t="b">
        <v>1</v>
      </c>
      <c r="BB1027" s="76" t="b">
        <v>1</v>
      </c>
      <c r="BC1027" s="76" t="b">
        <v>1</v>
      </c>
      <c r="BD1027" s="76" t="b">
        <v>0</v>
      </c>
      <c r="BE1027" s="76" t="b">
        <v>1</v>
      </c>
      <c r="BF1027" s="76" t="b">
        <v>0</v>
      </c>
      <c r="BG1027" s="76" t="b">
        <v>0</v>
      </c>
      <c r="BH1027" s="82" t="str">
        <f>HYPERLINK("https://pbs.twimg.com/profile_banners/276273248/1694487591")</f>
        <v>https://pbs.twimg.com/profile_banners/276273248/1694487591</v>
      </c>
      <c r="BI1027" s="76"/>
      <c r="BJ1027" s="76" t="s">
        <v>27595</v>
      </c>
      <c r="BK1027" s="76" t="b">
        <v>0</v>
      </c>
      <c r="BL1027" s="76"/>
      <c r="BM1027" s="76" t="s">
        <v>65</v>
      </c>
      <c r="BN1027" s="76" t="s">
        <v>27597</v>
      </c>
      <c r="BO1027" s="82" t="str">
        <f>HYPERLINK("https://twitter.com/luisagonzalezec")</f>
        <v>https://twitter.com/luisagonzalezec</v>
      </c>
      <c r="BP1027" s="2"/>
    </row>
    <row r="1028" spans="1:68" x14ac:dyDescent="0.25">
      <c r="A1028" s="62" t="s">
        <v>1931</v>
      </c>
      <c r="B1028" s="63"/>
      <c r="C1028" s="63"/>
      <c r="D1028" s="64"/>
      <c r="E1028" s="66"/>
      <c r="F1028" s="103" t="str">
        <f>HYPERLINK("https://pbs.twimg.com/profile_images/1544036483023118337/DfvV1YP-_normal.jpg")</f>
        <v>https://pbs.twimg.com/profile_images/1544036483023118337/DfvV1YP-_normal.jpg</v>
      </c>
      <c r="G1028" s="63"/>
      <c r="H1028" s="67"/>
      <c r="I1028" s="68"/>
      <c r="J1028" s="68"/>
      <c r="K1028" s="67" t="s">
        <v>28622</v>
      </c>
      <c r="L1028" s="71"/>
      <c r="M1028" s="72"/>
      <c r="N1028" s="72"/>
      <c r="O1028" s="73"/>
      <c r="P1028" s="74"/>
      <c r="Q1028" s="74"/>
      <c r="R1028" s="87"/>
      <c r="S1028" s="87"/>
      <c r="T1028" s="87"/>
      <c r="U1028" s="87"/>
      <c r="V1028" s="48"/>
      <c r="W1028" s="48"/>
      <c r="X1028" s="48"/>
      <c r="Y1028" s="48"/>
      <c r="Z1028" s="47"/>
      <c r="AA1028" s="69">
        <v>1028</v>
      </c>
      <c r="AB1028" s="69"/>
      <c r="AC1028" s="70"/>
      <c r="AD1028" s="76" t="s">
        <v>22252</v>
      </c>
      <c r="AE1028" s="81" t="s">
        <v>23608</v>
      </c>
      <c r="AF1028" s="76">
        <v>3923013</v>
      </c>
      <c r="AG1028" s="76">
        <v>23</v>
      </c>
      <c r="AH1028" s="76">
        <v>108701</v>
      </c>
      <c r="AI1028" s="76">
        <v>7821</v>
      </c>
      <c r="AJ1028" s="76">
        <v>953</v>
      </c>
      <c r="AK1028" s="76">
        <v>8809</v>
      </c>
      <c r="AL1028" s="76" t="b">
        <v>0</v>
      </c>
      <c r="AM1028" s="78">
        <v>40480.941354166665</v>
      </c>
      <c r="AN1028" s="76" t="s">
        <v>14389</v>
      </c>
      <c r="AO1028" s="76" t="s">
        <v>25624</v>
      </c>
      <c r="AP1028" s="82" t="str">
        <f>HYPERLINK("https://t.co/mBQPUVReq8")</f>
        <v>https://t.co/mBQPUVReq8</v>
      </c>
      <c r="AQ1028" s="82" t="str">
        <f>HYPERLINK("https://economiaenbicicleta.com/")</f>
        <v>https://economiaenbicicleta.com/</v>
      </c>
      <c r="AR1028" s="76" t="s">
        <v>26912</v>
      </c>
      <c r="AS1028" s="76"/>
      <c r="AT1028" s="76"/>
      <c r="AU1028" s="76"/>
      <c r="AV1028" s="76">
        <v>1.5438650034381199E+18</v>
      </c>
      <c r="AW1028" s="82" t="str">
        <f>HYPERLINK("https://t.co/mBQPUVReq8")</f>
        <v>https://t.co/mBQPUVReq8</v>
      </c>
      <c r="AX1028" s="76" t="b">
        <v>1</v>
      </c>
      <c r="AY1028" s="76"/>
      <c r="AZ1028" s="76"/>
      <c r="BA1028" s="76" t="b">
        <v>0</v>
      </c>
      <c r="BB1028" s="76" t="b">
        <v>0</v>
      </c>
      <c r="BC1028" s="76" t="b">
        <v>0</v>
      </c>
      <c r="BD1028" s="76" t="b">
        <v>0</v>
      </c>
      <c r="BE1028" s="76" t="b">
        <v>1</v>
      </c>
      <c r="BF1028" s="76" t="b">
        <v>0</v>
      </c>
      <c r="BG1028" s="76" t="b">
        <v>0</v>
      </c>
      <c r="BH1028" s="82" t="str">
        <f>HYPERLINK("https://pbs.twimg.com/profile_banners/209780362/1618793548")</f>
        <v>https://pbs.twimg.com/profile_banners/209780362/1618793548</v>
      </c>
      <c r="BI1028" s="76"/>
      <c r="BJ1028" s="76" t="s">
        <v>27595</v>
      </c>
      <c r="BK1028" s="76" t="b">
        <v>0</v>
      </c>
      <c r="BL1028" s="76"/>
      <c r="BM1028" s="76" t="s">
        <v>65</v>
      </c>
      <c r="BN1028" s="76" t="s">
        <v>27597</v>
      </c>
      <c r="BO1028" s="82" t="str">
        <f>HYPERLINK("https://twitter.com/mashirafael")</f>
        <v>https://twitter.com/mashirafael</v>
      </c>
      <c r="BP1028" s="2"/>
    </row>
    <row r="1029" spans="1:68" x14ac:dyDescent="0.25">
      <c r="A1029" s="62" t="s">
        <v>1232</v>
      </c>
      <c r="B1029" s="63"/>
      <c r="C1029" s="63"/>
      <c r="D1029" s="64"/>
      <c r="E1029" s="66"/>
      <c r="F1029" s="103" t="str">
        <f>HYPERLINK("https://pbs.twimg.com/profile_images/1551291719093739526/9eaY7MWD_normal.jpg")</f>
        <v>https://pbs.twimg.com/profile_images/1551291719093739526/9eaY7MWD_normal.jpg</v>
      </c>
      <c r="G1029" s="63"/>
      <c r="H1029" s="67"/>
      <c r="I1029" s="68"/>
      <c r="J1029" s="68"/>
      <c r="K1029" s="67" t="s">
        <v>28623</v>
      </c>
      <c r="L1029" s="71"/>
      <c r="M1029" s="72"/>
      <c r="N1029" s="72"/>
      <c r="O1029" s="73"/>
      <c r="P1029" s="74"/>
      <c r="Q1029" s="74"/>
      <c r="R1029" s="87"/>
      <c r="S1029" s="87"/>
      <c r="T1029" s="87"/>
      <c r="U1029" s="87"/>
      <c r="V1029" s="48"/>
      <c r="W1029" s="48"/>
      <c r="X1029" s="48"/>
      <c r="Y1029" s="48"/>
      <c r="Z1029" s="47"/>
      <c r="AA1029" s="69">
        <v>1029</v>
      </c>
      <c r="AB1029" s="69"/>
      <c r="AC1029" s="70"/>
      <c r="AD1029" s="76" t="s">
        <v>1232</v>
      </c>
      <c r="AE1029" s="81" t="s">
        <v>23609</v>
      </c>
      <c r="AF1029" s="76">
        <v>1531</v>
      </c>
      <c r="AG1029" s="76">
        <v>672</v>
      </c>
      <c r="AH1029" s="76">
        <v>35568</v>
      </c>
      <c r="AI1029" s="76">
        <v>6</v>
      </c>
      <c r="AJ1029" s="76">
        <v>9371</v>
      </c>
      <c r="AK1029" s="76">
        <v>1666</v>
      </c>
      <c r="AL1029" s="76" t="b">
        <v>0</v>
      </c>
      <c r="AM1029" s="78">
        <v>40553.985150462962</v>
      </c>
      <c r="AN1029" s="76" t="s">
        <v>14436</v>
      </c>
      <c r="AO1029" s="76" t="s">
        <v>25625</v>
      </c>
      <c r="AP1029" s="82" t="str">
        <f>HYPERLINK("https://t.co/mPKV85v7Km")</f>
        <v>https://t.co/mPKV85v7Km</v>
      </c>
      <c r="AQ1029" s="82" t="str">
        <f>HYPERLINK("http://www.hotelbestplaza.com")</f>
        <v>http://www.hotelbestplaza.com</v>
      </c>
      <c r="AR1029" s="76" t="s">
        <v>26913</v>
      </c>
      <c r="AS1029" s="76"/>
      <c r="AT1029" s="76"/>
      <c r="AU1029" s="76"/>
      <c r="AV1029" s="76"/>
      <c r="AW1029" s="82" t="str">
        <f>HYPERLINK("https://t.co/mPKV85v7Km")</f>
        <v>https://t.co/mPKV85v7Km</v>
      </c>
      <c r="AX1029" s="76" t="b">
        <v>0</v>
      </c>
      <c r="AY1029" s="76"/>
      <c r="AZ1029" s="76"/>
      <c r="BA1029" s="76" t="b">
        <v>0</v>
      </c>
      <c r="BB1029" s="76" t="b">
        <v>1</v>
      </c>
      <c r="BC1029" s="76" t="b">
        <v>0</v>
      </c>
      <c r="BD1029" s="76" t="b">
        <v>0</v>
      </c>
      <c r="BE1029" s="76" t="b">
        <v>0</v>
      </c>
      <c r="BF1029" s="76" t="b">
        <v>0</v>
      </c>
      <c r="BG1029" s="76" t="b">
        <v>0</v>
      </c>
      <c r="BH1029" s="82" t="str">
        <f>HYPERLINK("https://pbs.twimg.com/profile_banners/236599447/1661140306")</f>
        <v>https://pbs.twimg.com/profile_banners/236599447/1661140306</v>
      </c>
      <c r="BI1029" s="76"/>
      <c r="BJ1029" s="76" t="s">
        <v>27595</v>
      </c>
      <c r="BK1029" s="76" t="b">
        <v>0</v>
      </c>
      <c r="BL1029" s="76"/>
      <c r="BM1029" s="76" t="s">
        <v>66</v>
      </c>
      <c r="BN1029" s="76" t="s">
        <v>27597</v>
      </c>
      <c r="BO1029" s="82" t="str">
        <f>HYPERLINK("https://twitter.com/hernanplaza")</f>
        <v>https://twitter.com/hernanplaza</v>
      </c>
      <c r="BP1029" s="2"/>
    </row>
    <row r="1030" spans="1:68" x14ac:dyDescent="0.25">
      <c r="A1030" s="62" t="s">
        <v>966</v>
      </c>
      <c r="B1030" s="63"/>
      <c r="C1030" s="63"/>
      <c r="D1030" s="64"/>
      <c r="E1030" s="66"/>
      <c r="F1030" s="103" t="str">
        <f>HYPERLINK("https://pbs.twimg.com/profile_images/454406616/tintinhaFRAGADESENHOS_normal.jpg")</f>
        <v>https://pbs.twimg.com/profile_images/454406616/tintinhaFRAGADESENHOS_normal.jpg</v>
      </c>
      <c r="G1030" s="63"/>
      <c r="H1030" s="67"/>
      <c r="I1030" s="68"/>
      <c r="J1030" s="68"/>
      <c r="K1030" s="67" t="s">
        <v>28624</v>
      </c>
      <c r="L1030" s="71"/>
      <c r="M1030" s="72"/>
      <c r="N1030" s="72"/>
      <c r="O1030" s="73"/>
      <c r="P1030" s="74"/>
      <c r="Q1030" s="74"/>
      <c r="R1030" s="87"/>
      <c r="S1030" s="87"/>
      <c r="T1030" s="87"/>
      <c r="U1030" s="87"/>
      <c r="V1030" s="48"/>
      <c r="W1030" s="48"/>
      <c r="X1030" s="48"/>
      <c r="Y1030" s="48"/>
      <c r="Z1030" s="47"/>
      <c r="AA1030" s="69">
        <v>1030</v>
      </c>
      <c r="AB1030" s="69"/>
      <c r="AC1030" s="70"/>
      <c r="AD1030" s="76" t="s">
        <v>22253</v>
      </c>
      <c r="AE1030" s="81" t="s">
        <v>23610</v>
      </c>
      <c r="AF1030" s="76">
        <v>572</v>
      </c>
      <c r="AG1030" s="76">
        <v>1296</v>
      </c>
      <c r="AH1030" s="76">
        <v>12134</v>
      </c>
      <c r="AI1030" s="76">
        <v>8</v>
      </c>
      <c r="AJ1030" s="76">
        <v>13524</v>
      </c>
      <c r="AK1030" s="76">
        <v>2662</v>
      </c>
      <c r="AL1030" s="76" t="b">
        <v>0</v>
      </c>
      <c r="AM1030" s="78">
        <v>40091.736076388886</v>
      </c>
      <c r="AN1030" s="76" t="s">
        <v>24293</v>
      </c>
      <c r="AO1030" s="76" t="s">
        <v>25626</v>
      </c>
      <c r="AP1030" s="82" t="str">
        <f>HYPERLINK("https://t.co/9sBDUiWI61")</f>
        <v>https://t.co/9sBDUiWI61</v>
      </c>
      <c r="AQ1030" s="82" t="str">
        <f>HYPERLINK("http://www.flickr.com/photos/fragadesenhos")</f>
        <v>http://www.flickr.com/photos/fragadesenhos</v>
      </c>
      <c r="AR1030" s="76" t="s">
        <v>26914</v>
      </c>
      <c r="AS1030" s="76"/>
      <c r="AT1030" s="76"/>
      <c r="AU1030" s="76"/>
      <c r="AV1030" s="76"/>
      <c r="AW1030" s="82" t="str">
        <f>HYPERLINK("https://t.co/9sBDUiWI61")</f>
        <v>https://t.co/9sBDUiWI61</v>
      </c>
      <c r="AX1030" s="76" t="b">
        <v>0</v>
      </c>
      <c r="AY1030" s="76"/>
      <c r="AZ1030" s="76"/>
      <c r="BA1030" s="76" t="b">
        <v>1</v>
      </c>
      <c r="BB1030" s="76" t="b">
        <v>0</v>
      </c>
      <c r="BC1030" s="76" t="b">
        <v>0</v>
      </c>
      <c r="BD1030" s="76" t="b">
        <v>0</v>
      </c>
      <c r="BE1030" s="76" t="b">
        <v>1</v>
      </c>
      <c r="BF1030" s="76" t="b">
        <v>0</v>
      </c>
      <c r="BG1030" s="76" t="b">
        <v>0</v>
      </c>
      <c r="BH1030" s="76"/>
      <c r="BI1030" s="76"/>
      <c r="BJ1030" s="76" t="s">
        <v>27595</v>
      </c>
      <c r="BK1030" s="76" t="b">
        <v>0</v>
      </c>
      <c r="BL1030" s="76"/>
      <c r="BM1030" s="76" t="s">
        <v>66</v>
      </c>
      <c r="BN1030" s="76" t="s">
        <v>27597</v>
      </c>
      <c r="BO1030" s="82" t="str">
        <f>HYPERLINK("https://twitter.com/fragadesenhos")</f>
        <v>https://twitter.com/fragadesenhos</v>
      </c>
      <c r="BP1030" s="2"/>
    </row>
    <row r="1031" spans="1:68" x14ac:dyDescent="0.25">
      <c r="A1031" s="62" t="s">
        <v>967</v>
      </c>
      <c r="B1031" s="63"/>
      <c r="C1031" s="63"/>
      <c r="D1031" s="64"/>
      <c r="E1031" s="66"/>
      <c r="F1031" s="103" t="str">
        <f>HYPERLINK("https://pbs.twimg.com/profile_images/805755815005212672/57wbxO5Y_normal.jpg")</f>
        <v>https://pbs.twimg.com/profile_images/805755815005212672/57wbxO5Y_normal.jpg</v>
      </c>
      <c r="G1031" s="63"/>
      <c r="H1031" s="67"/>
      <c r="I1031" s="68"/>
      <c r="J1031" s="68"/>
      <c r="K1031" s="67" t="s">
        <v>28625</v>
      </c>
      <c r="L1031" s="71"/>
      <c r="M1031" s="72"/>
      <c r="N1031" s="72"/>
      <c r="O1031" s="73"/>
      <c r="P1031" s="74"/>
      <c r="Q1031" s="74"/>
      <c r="R1031" s="87"/>
      <c r="S1031" s="87"/>
      <c r="T1031" s="87"/>
      <c r="U1031" s="87"/>
      <c r="V1031" s="48"/>
      <c r="W1031" s="48"/>
      <c r="X1031" s="48"/>
      <c r="Y1031" s="48"/>
      <c r="Z1031" s="47"/>
      <c r="AA1031" s="69">
        <v>1031</v>
      </c>
      <c r="AB1031" s="69"/>
      <c r="AC1031" s="70"/>
      <c r="AD1031" s="76" t="s">
        <v>22254</v>
      </c>
      <c r="AE1031" s="81" t="s">
        <v>23611</v>
      </c>
      <c r="AF1031" s="76">
        <v>9039</v>
      </c>
      <c r="AG1031" s="76">
        <v>144</v>
      </c>
      <c r="AH1031" s="76">
        <v>9316</v>
      </c>
      <c r="AI1031" s="76">
        <v>250</v>
      </c>
      <c r="AJ1031" s="76">
        <v>10962</v>
      </c>
      <c r="AK1031" s="76">
        <v>1040</v>
      </c>
      <c r="AL1031" s="76" t="b">
        <v>0</v>
      </c>
      <c r="AM1031" s="78">
        <v>39776.798391203702</v>
      </c>
      <c r="AN1031" s="76" t="s">
        <v>14382</v>
      </c>
      <c r="AO1031" s="76" t="s">
        <v>25627</v>
      </c>
      <c r="AP1031" s="82" t="str">
        <f>HYPERLINK("https://t.co/LtwN5UO7v4")</f>
        <v>https://t.co/LtwN5UO7v4</v>
      </c>
      <c r="AQ1031" s="82" t="str">
        <f>HYPERLINK("http://www.relatorioreservado.com.br")</f>
        <v>http://www.relatorioreservado.com.br</v>
      </c>
      <c r="AR1031" s="76" t="s">
        <v>26915</v>
      </c>
      <c r="AS1031" s="76"/>
      <c r="AT1031" s="76"/>
      <c r="AU1031" s="76"/>
      <c r="AV1031" s="76"/>
      <c r="AW1031" s="82" t="str">
        <f>HYPERLINK("https://t.co/LtwN5UO7v4")</f>
        <v>https://t.co/LtwN5UO7v4</v>
      </c>
      <c r="AX1031" s="76" t="b">
        <v>0</v>
      </c>
      <c r="AY1031" s="76"/>
      <c r="AZ1031" s="76"/>
      <c r="BA1031" s="76" t="b">
        <v>1</v>
      </c>
      <c r="BB1031" s="76" t="b">
        <v>1</v>
      </c>
      <c r="BC1031" s="76" t="b">
        <v>0</v>
      </c>
      <c r="BD1031" s="76" t="b">
        <v>0</v>
      </c>
      <c r="BE1031" s="76" t="b">
        <v>1</v>
      </c>
      <c r="BF1031" s="76" t="b">
        <v>0</v>
      </c>
      <c r="BG1031" s="76" t="b">
        <v>0</v>
      </c>
      <c r="BH1031" s="82" t="str">
        <f>HYPERLINK("https://pbs.twimg.com/profile_banners/17598453/1695071676")</f>
        <v>https://pbs.twimg.com/profile_banners/17598453/1695071676</v>
      </c>
      <c r="BI1031" s="76"/>
      <c r="BJ1031" s="76" t="s">
        <v>27595</v>
      </c>
      <c r="BK1031" s="76" t="b">
        <v>0</v>
      </c>
      <c r="BL1031" s="76"/>
      <c r="BM1031" s="76" t="s">
        <v>66</v>
      </c>
      <c r="BN1031" s="76" t="s">
        <v>27597</v>
      </c>
      <c r="BO1031" s="82" t="str">
        <f>HYPERLINK("https://twitter.com/relatorio")</f>
        <v>https://twitter.com/relatorio</v>
      </c>
      <c r="BP1031" s="2"/>
    </row>
    <row r="1032" spans="1:68" x14ac:dyDescent="0.25">
      <c r="A1032" s="62" t="s">
        <v>968</v>
      </c>
      <c r="B1032" s="63"/>
      <c r="C1032" s="63"/>
      <c r="D1032" s="64"/>
      <c r="E1032" s="66"/>
      <c r="F1032" s="103" t="str">
        <f>HYPERLINK("https://pbs.twimg.com/profile_images/1433891920628092964/JViEd2-N_normal.jpg")</f>
        <v>https://pbs.twimg.com/profile_images/1433891920628092964/JViEd2-N_normal.jpg</v>
      </c>
      <c r="G1032" s="63"/>
      <c r="H1032" s="67"/>
      <c r="I1032" s="68"/>
      <c r="J1032" s="68"/>
      <c r="K1032" s="67" t="s">
        <v>28626</v>
      </c>
      <c r="L1032" s="71"/>
      <c r="M1032" s="72"/>
      <c r="N1032" s="72"/>
      <c r="O1032" s="73"/>
      <c r="P1032" s="74"/>
      <c r="Q1032" s="74"/>
      <c r="R1032" s="87"/>
      <c r="S1032" s="87"/>
      <c r="T1032" s="87"/>
      <c r="U1032" s="87"/>
      <c r="V1032" s="48"/>
      <c r="W1032" s="48"/>
      <c r="X1032" s="48"/>
      <c r="Y1032" s="48"/>
      <c r="Z1032" s="47"/>
      <c r="AA1032" s="69">
        <v>1032</v>
      </c>
      <c r="AB1032" s="69"/>
      <c r="AC1032" s="70"/>
      <c r="AD1032" s="76" t="s">
        <v>22255</v>
      </c>
      <c r="AE1032" s="81" t="s">
        <v>23612</v>
      </c>
      <c r="AF1032" s="76">
        <v>489</v>
      </c>
      <c r="AG1032" s="76">
        <v>192</v>
      </c>
      <c r="AH1032" s="76">
        <v>3930</v>
      </c>
      <c r="AI1032" s="76">
        <v>4</v>
      </c>
      <c r="AJ1032" s="76">
        <v>187</v>
      </c>
      <c r="AK1032" s="76">
        <v>118</v>
      </c>
      <c r="AL1032" s="76" t="b">
        <v>0</v>
      </c>
      <c r="AM1032" s="78">
        <v>40154.866678240738</v>
      </c>
      <c r="AN1032" s="76" t="s">
        <v>24369</v>
      </c>
      <c r="AO1032" s="76" t="s">
        <v>25628</v>
      </c>
      <c r="AP1032" s="76"/>
      <c r="AQ1032" s="76"/>
      <c r="AR1032" s="76"/>
      <c r="AS1032" s="76"/>
      <c r="AT1032" s="76"/>
      <c r="AU1032" s="76"/>
      <c r="AV1032" s="76">
        <v>1.17396273133619E+18</v>
      </c>
      <c r="AW1032" s="76"/>
      <c r="AX1032" s="76" t="b">
        <v>0</v>
      </c>
      <c r="AY1032" s="76"/>
      <c r="AZ1032" s="76"/>
      <c r="BA1032" s="76" t="b">
        <v>0</v>
      </c>
      <c r="BB1032" s="76" t="b">
        <v>1</v>
      </c>
      <c r="BC1032" s="76" t="b">
        <v>1</v>
      </c>
      <c r="BD1032" s="76" t="b">
        <v>0</v>
      </c>
      <c r="BE1032" s="76" t="b">
        <v>1</v>
      </c>
      <c r="BF1032" s="76" t="b">
        <v>0</v>
      </c>
      <c r="BG1032" s="76" t="b">
        <v>0</v>
      </c>
      <c r="BH1032" s="82" t="str">
        <f>HYPERLINK("https://pbs.twimg.com/profile_banners/95275391/1643396099")</f>
        <v>https://pbs.twimg.com/profile_banners/95275391/1643396099</v>
      </c>
      <c r="BI1032" s="76"/>
      <c r="BJ1032" s="76" t="s">
        <v>27595</v>
      </c>
      <c r="BK1032" s="76" t="b">
        <v>0</v>
      </c>
      <c r="BL1032" s="76"/>
      <c r="BM1032" s="76" t="s">
        <v>66</v>
      </c>
      <c r="BN1032" s="76" t="s">
        <v>27597</v>
      </c>
      <c r="BO1032" s="82" t="str">
        <f>HYPERLINK("https://twitter.com/zmendescomex")</f>
        <v>https://twitter.com/zmendescomex</v>
      </c>
      <c r="BP1032" s="2"/>
    </row>
    <row r="1033" spans="1:68" x14ac:dyDescent="0.25">
      <c r="A1033" s="62" t="s">
        <v>969</v>
      </c>
      <c r="B1033" s="63"/>
      <c r="C1033" s="63"/>
      <c r="D1033" s="64"/>
      <c r="E1033" s="66"/>
      <c r="F1033" s="103" t="str">
        <f>HYPERLINK("https://pbs.twimg.com/profile_images/1614000451007008774/sdL76mNp_normal.jpg")</f>
        <v>https://pbs.twimg.com/profile_images/1614000451007008774/sdL76mNp_normal.jpg</v>
      </c>
      <c r="G1033" s="63"/>
      <c r="H1033" s="67"/>
      <c r="I1033" s="68"/>
      <c r="J1033" s="68"/>
      <c r="K1033" s="67" t="s">
        <v>28627</v>
      </c>
      <c r="L1033" s="71"/>
      <c r="M1033" s="72"/>
      <c r="N1033" s="72"/>
      <c r="O1033" s="73"/>
      <c r="P1033" s="74"/>
      <c r="Q1033" s="74"/>
      <c r="R1033" s="87"/>
      <c r="S1033" s="87"/>
      <c r="T1033" s="87"/>
      <c r="U1033" s="87"/>
      <c r="V1033" s="48"/>
      <c r="W1033" s="48"/>
      <c r="X1033" s="48"/>
      <c r="Y1033" s="48"/>
      <c r="Z1033" s="47"/>
      <c r="AA1033" s="69">
        <v>1033</v>
      </c>
      <c r="AB1033" s="69"/>
      <c r="AC1033" s="70"/>
      <c r="AD1033" s="76" t="s">
        <v>22256</v>
      </c>
      <c r="AE1033" s="81" t="s">
        <v>23613</v>
      </c>
      <c r="AF1033" s="76">
        <v>5355</v>
      </c>
      <c r="AG1033" s="76">
        <v>48</v>
      </c>
      <c r="AH1033" s="76">
        <v>22819</v>
      </c>
      <c r="AI1033" s="76">
        <v>50</v>
      </c>
      <c r="AJ1033" s="76">
        <v>141</v>
      </c>
      <c r="AK1033" s="76">
        <v>21497</v>
      </c>
      <c r="AL1033" s="76" t="b">
        <v>0</v>
      </c>
      <c r="AM1033" s="78">
        <v>41875.650706018518</v>
      </c>
      <c r="AN1033" s="76" t="s">
        <v>24447</v>
      </c>
      <c r="AO1033" s="76" t="s">
        <v>25629</v>
      </c>
      <c r="AP1033" s="82" t="str">
        <f>HYPERLINK("https://t.co/XUMVuB4vDD")</f>
        <v>https://t.co/XUMVuB4vDD</v>
      </c>
      <c r="AQ1033" s="82" t="str">
        <f>HYPERLINK("http://www.gotv.hn")</f>
        <v>http://www.gotv.hn</v>
      </c>
      <c r="AR1033" s="76" t="s">
        <v>26916</v>
      </c>
      <c r="AS1033" s="76"/>
      <c r="AT1033" s="76"/>
      <c r="AU1033" s="76"/>
      <c r="AV1033" s="76"/>
      <c r="AW1033" s="82" t="str">
        <f>HYPERLINK("https://t.co/XUMVuB4vDD")</f>
        <v>https://t.co/XUMVuB4vDD</v>
      </c>
      <c r="AX1033" s="76" t="b">
        <v>0</v>
      </c>
      <c r="AY1033" s="76"/>
      <c r="AZ1033" s="76"/>
      <c r="BA1033" s="76" t="b">
        <v>0</v>
      </c>
      <c r="BB1033" s="76" t="b">
        <v>1</v>
      </c>
      <c r="BC1033" s="76" t="b">
        <v>0</v>
      </c>
      <c r="BD1033" s="76" t="b">
        <v>0</v>
      </c>
      <c r="BE1033" s="76" t="b">
        <v>1</v>
      </c>
      <c r="BF1033" s="76" t="b">
        <v>0</v>
      </c>
      <c r="BG1033" s="76" t="b">
        <v>0</v>
      </c>
      <c r="BH1033" s="82" t="str">
        <f>HYPERLINK("https://pbs.twimg.com/profile_banners/2762859710/1673642669")</f>
        <v>https://pbs.twimg.com/profile_banners/2762859710/1673642669</v>
      </c>
      <c r="BI1033" s="76"/>
      <c r="BJ1033" s="76" t="s">
        <v>27595</v>
      </c>
      <c r="BK1033" s="76" t="b">
        <v>0</v>
      </c>
      <c r="BL1033" s="76"/>
      <c r="BM1033" s="76" t="s">
        <v>66</v>
      </c>
      <c r="BN1033" s="76" t="s">
        <v>27597</v>
      </c>
      <c r="BO1033" s="82" t="str">
        <f>HYPERLINK("https://twitter.com/gotvhonduras")</f>
        <v>https://twitter.com/gotvhonduras</v>
      </c>
      <c r="BP1033" s="2"/>
    </row>
    <row r="1034" spans="1:68" x14ac:dyDescent="0.25">
      <c r="A1034" s="62" t="s">
        <v>970</v>
      </c>
      <c r="B1034" s="63"/>
      <c r="C1034" s="63"/>
      <c r="D1034" s="64"/>
      <c r="E1034" s="66"/>
      <c r="F1034" s="103" t="str">
        <f>HYPERLINK("https://pbs.twimg.com/profile_images/1380738533569220610/fbeGXtuS_normal.jpg")</f>
        <v>https://pbs.twimg.com/profile_images/1380738533569220610/fbeGXtuS_normal.jpg</v>
      </c>
      <c r="G1034" s="63"/>
      <c r="H1034" s="67"/>
      <c r="I1034" s="68"/>
      <c r="J1034" s="68"/>
      <c r="K1034" s="67" t="s">
        <v>28628</v>
      </c>
      <c r="L1034" s="71"/>
      <c r="M1034" s="72"/>
      <c r="N1034" s="72"/>
      <c r="O1034" s="73"/>
      <c r="P1034" s="74"/>
      <c r="Q1034" s="74"/>
      <c r="R1034" s="87"/>
      <c r="S1034" s="87"/>
      <c r="T1034" s="87"/>
      <c r="U1034" s="87"/>
      <c r="V1034" s="48"/>
      <c r="W1034" s="48"/>
      <c r="X1034" s="48"/>
      <c r="Y1034" s="48"/>
      <c r="Z1034" s="47"/>
      <c r="AA1034" s="69">
        <v>1034</v>
      </c>
      <c r="AB1034" s="69"/>
      <c r="AC1034" s="70"/>
      <c r="AD1034" s="76" t="s">
        <v>22257</v>
      </c>
      <c r="AE1034" s="81" t="s">
        <v>20311</v>
      </c>
      <c r="AF1034" s="76">
        <v>968</v>
      </c>
      <c r="AG1034" s="76">
        <v>2998</v>
      </c>
      <c r="AH1034" s="76">
        <v>1522</v>
      </c>
      <c r="AI1034" s="76">
        <v>0</v>
      </c>
      <c r="AJ1034" s="76">
        <v>1012</v>
      </c>
      <c r="AK1034" s="76">
        <v>178</v>
      </c>
      <c r="AL1034" s="76" t="b">
        <v>0</v>
      </c>
      <c r="AM1034" s="78">
        <v>43772.051018518519</v>
      </c>
      <c r="AN1034" s="76"/>
      <c r="AO1034" s="76" t="s">
        <v>25630</v>
      </c>
      <c r="AP1034" s="76"/>
      <c r="AQ1034" s="76"/>
      <c r="AR1034" s="76"/>
      <c r="AS1034" s="76"/>
      <c r="AT1034" s="76"/>
      <c r="AU1034" s="76"/>
      <c r="AV1034" s="76"/>
      <c r="AW1034" s="76"/>
      <c r="AX1034" s="76" t="b">
        <v>0</v>
      </c>
      <c r="AY1034" s="76"/>
      <c r="AZ1034" s="76"/>
      <c r="BA1034" s="76" t="b">
        <v>0</v>
      </c>
      <c r="BB1034" s="76" t="b">
        <v>1</v>
      </c>
      <c r="BC1034" s="76" t="b">
        <v>1</v>
      </c>
      <c r="BD1034" s="76" t="b">
        <v>0</v>
      </c>
      <c r="BE1034" s="76" t="b">
        <v>0</v>
      </c>
      <c r="BF1034" s="76" t="b">
        <v>0</v>
      </c>
      <c r="BG1034" s="76" t="b">
        <v>0</v>
      </c>
      <c r="BH1034" s="82" t="str">
        <f>HYPERLINK("https://pbs.twimg.com/profile_banners/1190799043208908802/1619061466")</f>
        <v>https://pbs.twimg.com/profile_banners/1190799043208908802/1619061466</v>
      </c>
      <c r="BI1034" s="76"/>
      <c r="BJ1034" s="76" t="s">
        <v>27595</v>
      </c>
      <c r="BK1034" s="76" t="b">
        <v>0</v>
      </c>
      <c r="BL1034" s="76"/>
      <c r="BM1034" s="76" t="s">
        <v>66</v>
      </c>
      <c r="BN1034" s="76" t="s">
        <v>27597</v>
      </c>
      <c r="BO1034" s="82" t="str">
        <f>HYPERLINK("https://twitter.com/viaconstituyent")</f>
        <v>https://twitter.com/viaconstituyent</v>
      </c>
      <c r="BP1034" s="2"/>
    </row>
    <row r="1035" spans="1:68" x14ac:dyDescent="0.25">
      <c r="A1035" s="62" t="s">
        <v>971</v>
      </c>
      <c r="B1035" s="63"/>
      <c r="C1035" s="63"/>
      <c r="D1035" s="64"/>
      <c r="E1035" s="66"/>
      <c r="F1035" s="103" t="str">
        <f>HYPERLINK("https://pbs.twimg.com/profile_images/1435989929612521479/pihrpus1_normal.jpg")</f>
        <v>https://pbs.twimg.com/profile_images/1435989929612521479/pihrpus1_normal.jpg</v>
      </c>
      <c r="G1035" s="63"/>
      <c r="H1035" s="67"/>
      <c r="I1035" s="68"/>
      <c r="J1035" s="68"/>
      <c r="K1035" s="67" t="s">
        <v>28629</v>
      </c>
      <c r="L1035" s="71"/>
      <c r="M1035" s="72"/>
      <c r="N1035" s="72"/>
      <c r="O1035" s="73"/>
      <c r="P1035" s="74"/>
      <c r="Q1035" s="74"/>
      <c r="R1035" s="87"/>
      <c r="S1035" s="87"/>
      <c r="T1035" s="87"/>
      <c r="U1035" s="87"/>
      <c r="V1035" s="48"/>
      <c r="W1035" s="48"/>
      <c r="X1035" s="48"/>
      <c r="Y1035" s="48"/>
      <c r="Z1035" s="47"/>
      <c r="AA1035" s="69">
        <v>1035</v>
      </c>
      <c r="AB1035" s="69"/>
      <c r="AC1035" s="70"/>
      <c r="AD1035" s="76" t="s">
        <v>22258</v>
      </c>
      <c r="AE1035" s="81" t="s">
        <v>20856</v>
      </c>
      <c r="AF1035" s="76">
        <v>164</v>
      </c>
      <c r="AG1035" s="76">
        <v>249</v>
      </c>
      <c r="AH1035" s="76">
        <v>987</v>
      </c>
      <c r="AI1035" s="76">
        <v>0</v>
      </c>
      <c r="AJ1035" s="76">
        <v>244</v>
      </c>
      <c r="AK1035" s="76">
        <v>142</v>
      </c>
      <c r="AL1035" s="76" t="b">
        <v>0</v>
      </c>
      <c r="AM1035" s="78">
        <v>44424.827731481484</v>
      </c>
      <c r="AN1035" s="76" t="s">
        <v>14381</v>
      </c>
      <c r="AO1035" s="76" t="s">
        <v>25631</v>
      </c>
      <c r="AP1035" s="82" t="str">
        <f>HYPERLINK("https://t.co/YhF0MIZjvg")</f>
        <v>https://t.co/YhF0MIZjvg</v>
      </c>
      <c r="AQ1035" s="82" t="str">
        <f>HYPERLINK("https://linktr.ee/billeteranews")</f>
        <v>https://linktr.ee/billeteranews</v>
      </c>
      <c r="AR1035" s="76" t="s">
        <v>26917</v>
      </c>
      <c r="AS1035" s="82" t="str">
        <f>HYPERLINK("https://t.co/mfuHPvLNZB")</f>
        <v>https://t.co/mfuHPvLNZB</v>
      </c>
      <c r="AT1035" s="82" t="str">
        <f>HYPERLINK("http://www.billeteranews.com")</f>
        <v>http://www.billeteranews.com</v>
      </c>
      <c r="AU1035" s="76" t="s">
        <v>8782</v>
      </c>
      <c r="AV1035" s="76"/>
      <c r="AW1035" s="82" t="str">
        <f>HYPERLINK("https://t.co/YhF0MIZjvg")</f>
        <v>https://t.co/YhF0MIZjvg</v>
      </c>
      <c r="AX1035" s="76" t="b">
        <v>0</v>
      </c>
      <c r="AY1035" s="76"/>
      <c r="AZ1035" s="76"/>
      <c r="BA1035" s="76" t="b">
        <v>0</v>
      </c>
      <c r="BB1035" s="76" t="b">
        <v>1</v>
      </c>
      <c r="BC1035" s="76" t="b">
        <v>1</v>
      </c>
      <c r="BD1035" s="76" t="b">
        <v>0</v>
      </c>
      <c r="BE1035" s="76" t="b">
        <v>0</v>
      </c>
      <c r="BF1035" s="76" t="b">
        <v>0</v>
      </c>
      <c r="BG1035" s="76" t="b">
        <v>0</v>
      </c>
      <c r="BH1035" s="82" t="str">
        <f>HYPERLINK("https://pbs.twimg.com/profile_banners/1427357419978510342/1631285362")</f>
        <v>https://pbs.twimg.com/profile_banners/1427357419978510342/1631285362</v>
      </c>
      <c r="BI1035" s="76"/>
      <c r="BJ1035" s="76" t="s">
        <v>27595</v>
      </c>
      <c r="BK1035" s="76" t="b">
        <v>0</v>
      </c>
      <c r="BL1035" s="76"/>
      <c r="BM1035" s="76" t="s">
        <v>66</v>
      </c>
      <c r="BN1035" s="76" t="s">
        <v>27597</v>
      </c>
      <c r="BO1035" s="82" t="str">
        <f>HYPERLINK("https://twitter.com/billeteranews")</f>
        <v>https://twitter.com/billeteranews</v>
      </c>
      <c r="BP1035" s="2"/>
    </row>
    <row r="1036" spans="1:68" x14ac:dyDescent="0.25">
      <c r="A1036" s="62" t="s">
        <v>972</v>
      </c>
      <c r="B1036" s="63"/>
      <c r="C1036" s="63"/>
      <c r="D1036" s="64"/>
      <c r="E1036" s="66"/>
      <c r="F1036" s="103" t="str">
        <f>HYPERLINK("https://pbs.twimg.com/profile_images/1675173440309829632/hrVcDaQJ_normal.jpg")</f>
        <v>https://pbs.twimg.com/profile_images/1675173440309829632/hrVcDaQJ_normal.jpg</v>
      </c>
      <c r="G1036" s="63"/>
      <c r="H1036" s="67"/>
      <c r="I1036" s="68"/>
      <c r="J1036" s="68"/>
      <c r="K1036" s="67" t="s">
        <v>28630</v>
      </c>
      <c r="L1036" s="71"/>
      <c r="M1036" s="72"/>
      <c r="N1036" s="72"/>
      <c r="O1036" s="73"/>
      <c r="P1036" s="74"/>
      <c r="Q1036" s="74"/>
      <c r="R1036" s="87"/>
      <c r="S1036" s="87"/>
      <c r="T1036" s="87"/>
      <c r="U1036" s="87"/>
      <c r="V1036" s="48"/>
      <c r="W1036" s="48"/>
      <c r="X1036" s="48"/>
      <c r="Y1036" s="48"/>
      <c r="Z1036" s="47"/>
      <c r="AA1036" s="69">
        <v>1036</v>
      </c>
      <c r="AB1036" s="69"/>
      <c r="AC1036" s="70"/>
      <c r="AD1036" s="76" t="s">
        <v>22259</v>
      </c>
      <c r="AE1036" s="81" t="s">
        <v>20857</v>
      </c>
      <c r="AF1036" s="76">
        <v>10211</v>
      </c>
      <c r="AG1036" s="76">
        <v>6</v>
      </c>
      <c r="AH1036" s="76">
        <v>52605</v>
      </c>
      <c r="AI1036" s="76">
        <v>22</v>
      </c>
      <c r="AJ1036" s="76">
        <v>655</v>
      </c>
      <c r="AK1036" s="76">
        <v>4381</v>
      </c>
      <c r="AL1036" s="76" t="b">
        <v>0</v>
      </c>
      <c r="AM1036" s="78">
        <v>43152.844988425924</v>
      </c>
      <c r="AN1036" s="76" t="s">
        <v>24448</v>
      </c>
      <c r="AO1036" s="76" t="s">
        <v>25632</v>
      </c>
      <c r="AP1036" s="82" t="str">
        <f>HYPERLINK("https://t.co/C0huTJUGiM")</f>
        <v>https://t.co/C0huTJUGiM</v>
      </c>
      <c r="AQ1036" s="82" t="str">
        <f>HYPERLINK("https://linktr.ee/angel_metropolitano")</f>
        <v>https://linktr.ee/angel_metropolitano</v>
      </c>
      <c r="AR1036" s="76" t="s">
        <v>26918</v>
      </c>
      <c r="AS1036" s="76"/>
      <c r="AT1036" s="76"/>
      <c r="AU1036" s="76"/>
      <c r="AV1036" s="76">
        <v>1.7046747406426399E+18</v>
      </c>
      <c r="AW1036" s="82" t="str">
        <f>HYPERLINK("https://t.co/C0huTJUGiM")</f>
        <v>https://t.co/C0huTJUGiM</v>
      </c>
      <c r="AX1036" s="76" t="b">
        <v>1</v>
      </c>
      <c r="AY1036" s="76"/>
      <c r="AZ1036" s="76"/>
      <c r="BA1036" s="76" t="b">
        <v>1</v>
      </c>
      <c r="BB1036" s="76" t="b">
        <v>1</v>
      </c>
      <c r="BC1036" s="76" t="b">
        <v>0</v>
      </c>
      <c r="BD1036" s="76" t="b">
        <v>0</v>
      </c>
      <c r="BE1036" s="76" t="b">
        <v>1</v>
      </c>
      <c r="BF1036" s="76" t="b">
        <v>0</v>
      </c>
      <c r="BG1036" s="76" t="b">
        <v>0</v>
      </c>
      <c r="BH1036" s="82" t="str">
        <f>HYPERLINK("https://pbs.twimg.com/profile_banners/966406366930849792/1688227524")</f>
        <v>https://pbs.twimg.com/profile_banners/966406366930849792/1688227524</v>
      </c>
      <c r="BI1036" s="76"/>
      <c r="BJ1036" s="76" t="s">
        <v>27595</v>
      </c>
      <c r="BK1036" s="76" t="b">
        <v>0</v>
      </c>
      <c r="BL1036" s="76"/>
      <c r="BM1036" s="76" t="s">
        <v>66</v>
      </c>
      <c r="BN1036" s="76" t="s">
        <v>27597</v>
      </c>
      <c r="BO1036" s="82" t="str">
        <f>HYPERLINK("https://twitter.com/angelmetropoli")</f>
        <v>https://twitter.com/angelmetropoli</v>
      </c>
      <c r="BP1036" s="2"/>
    </row>
    <row r="1037" spans="1:68" x14ac:dyDescent="0.25">
      <c r="A1037" s="62" t="s">
        <v>973</v>
      </c>
      <c r="B1037" s="63"/>
      <c r="C1037" s="63"/>
      <c r="D1037" s="64"/>
      <c r="E1037" s="66"/>
      <c r="F1037" s="103" t="str">
        <f>HYPERLINK("https://pbs.twimg.com/profile_images/1669036436341809167/FGna8Th4_normal.jpg")</f>
        <v>https://pbs.twimg.com/profile_images/1669036436341809167/FGna8Th4_normal.jpg</v>
      </c>
      <c r="G1037" s="63"/>
      <c r="H1037" s="67"/>
      <c r="I1037" s="68"/>
      <c r="J1037" s="68"/>
      <c r="K1037" s="67" t="s">
        <v>28631</v>
      </c>
      <c r="L1037" s="71"/>
      <c r="M1037" s="72"/>
      <c r="N1037" s="72"/>
      <c r="O1037" s="73"/>
      <c r="P1037" s="74"/>
      <c r="Q1037" s="74"/>
      <c r="R1037" s="87"/>
      <c r="S1037" s="87"/>
      <c r="T1037" s="87"/>
      <c r="U1037" s="87"/>
      <c r="V1037" s="48"/>
      <c r="W1037" s="48"/>
      <c r="X1037" s="48"/>
      <c r="Y1037" s="48"/>
      <c r="Z1037" s="47"/>
      <c r="AA1037" s="69">
        <v>1037</v>
      </c>
      <c r="AB1037" s="69"/>
      <c r="AC1037" s="70"/>
      <c r="AD1037" s="76" t="s">
        <v>22260</v>
      </c>
      <c r="AE1037" s="81" t="s">
        <v>23614</v>
      </c>
      <c r="AF1037" s="76">
        <v>3306</v>
      </c>
      <c r="AG1037" s="76">
        <v>2999</v>
      </c>
      <c r="AH1037" s="76">
        <v>16075</v>
      </c>
      <c r="AI1037" s="76">
        <v>28</v>
      </c>
      <c r="AJ1037" s="76">
        <v>10036</v>
      </c>
      <c r="AK1037" s="76">
        <v>786</v>
      </c>
      <c r="AL1037" s="76" t="b">
        <v>0</v>
      </c>
      <c r="AM1037" s="78">
        <v>39965.466990740744</v>
      </c>
      <c r="AN1037" s="76" t="s">
        <v>24449</v>
      </c>
      <c r="AO1037" s="76" t="s">
        <v>25633</v>
      </c>
      <c r="AP1037" s="82" t="str">
        <f>HYPERLINK("https://t.co/esii2s5kkd")</f>
        <v>https://t.co/esii2s5kkd</v>
      </c>
      <c r="AQ1037" s="82" t="str">
        <f>HYPERLINK("http://www.instagram.com/arquimedesdecastro")</f>
        <v>http://www.instagram.com/arquimedesdecastro</v>
      </c>
      <c r="AR1037" s="76" t="s">
        <v>26919</v>
      </c>
      <c r="AS1037" s="76"/>
      <c r="AT1037" s="76"/>
      <c r="AU1037" s="76"/>
      <c r="AV1037" s="76"/>
      <c r="AW1037" s="82" t="str">
        <f>HYPERLINK("https://t.co/esii2s5kkd")</f>
        <v>https://t.co/esii2s5kkd</v>
      </c>
      <c r="AX1037" s="76" t="b">
        <v>0</v>
      </c>
      <c r="AY1037" s="76"/>
      <c r="AZ1037" s="76"/>
      <c r="BA1037" s="76" t="b">
        <v>1</v>
      </c>
      <c r="BB1037" s="76" t="b">
        <v>0</v>
      </c>
      <c r="BC1037" s="76" t="b">
        <v>0</v>
      </c>
      <c r="BD1037" s="76" t="b">
        <v>0</v>
      </c>
      <c r="BE1037" s="76" t="b">
        <v>1</v>
      </c>
      <c r="BF1037" s="76" t="b">
        <v>0</v>
      </c>
      <c r="BG1037" s="76" t="b">
        <v>0</v>
      </c>
      <c r="BH1037" s="82" t="str">
        <f>HYPERLINK("https://pbs.twimg.com/profile_banners/43867517/1686764271")</f>
        <v>https://pbs.twimg.com/profile_banners/43867517/1686764271</v>
      </c>
      <c r="BI1037" s="76"/>
      <c r="BJ1037" s="76" t="s">
        <v>27595</v>
      </c>
      <c r="BK1037" s="76" t="b">
        <v>0</v>
      </c>
      <c r="BL1037" s="76"/>
      <c r="BM1037" s="76" t="s">
        <v>66</v>
      </c>
      <c r="BN1037" s="76" t="s">
        <v>27597</v>
      </c>
      <c r="BO1037" s="82" t="str">
        <f>HYPERLINK("https://twitter.com/arquimedesopc")</f>
        <v>https://twitter.com/arquimedesopc</v>
      </c>
      <c r="BP1037" s="2"/>
    </row>
    <row r="1038" spans="1:68" x14ac:dyDescent="0.25">
      <c r="A1038" s="62" t="s">
        <v>974</v>
      </c>
      <c r="B1038" s="63"/>
      <c r="C1038" s="63"/>
      <c r="D1038" s="64"/>
      <c r="E1038" s="66"/>
      <c r="F1038" s="103" t="str">
        <f>HYPERLINK("https://pbs.twimg.com/profile_images/1205177278981902336/vpaN01ru_normal.jpg")</f>
        <v>https://pbs.twimg.com/profile_images/1205177278981902336/vpaN01ru_normal.jpg</v>
      </c>
      <c r="G1038" s="63"/>
      <c r="H1038" s="67"/>
      <c r="I1038" s="68"/>
      <c r="J1038" s="68"/>
      <c r="K1038" s="67" t="s">
        <v>28632</v>
      </c>
      <c r="L1038" s="71"/>
      <c r="M1038" s="72"/>
      <c r="N1038" s="72"/>
      <c r="O1038" s="73"/>
      <c r="P1038" s="74"/>
      <c r="Q1038" s="74"/>
      <c r="R1038" s="87"/>
      <c r="S1038" s="87"/>
      <c r="T1038" s="87"/>
      <c r="U1038" s="87"/>
      <c r="V1038" s="48"/>
      <c r="W1038" s="48"/>
      <c r="X1038" s="48"/>
      <c r="Y1038" s="48"/>
      <c r="Z1038" s="47"/>
      <c r="AA1038" s="69">
        <v>1038</v>
      </c>
      <c r="AB1038" s="69"/>
      <c r="AC1038" s="70"/>
      <c r="AD1038" s="76" t="s">
        <v>22261</v>
      </c>
      <c r="AE1038" s="81" t="s">
        <v>20858</v>
      </c>
      <c r="AF1038" s="76">
        <v>839</v>
      </c>
      <c r="AG1038" s="76">
        <v>1184</v>
      </c>
      <c r="AH1038" s="76">
        <v>8546</v>
      </c>
      <c r="AI1038" s="76">
        <v>0</v>
      </c>
      <c r="AJ1038" s="76">
        <v>92550</v>
      </c>
      <c r="AK1038" s="76">
        <v>116</v>
      </c>
      <c r="AL1038" s="76" t="b">
        <v>0</v>
      </c>
      <c r="AM1038" s="78">
        <v>43752.545729166668</v>
      </c>
      <c r="AN1038" s="76"/>
      <c r="AO1038" s="76" t="s">
        <v>25634</v>
      </c>
      <c r="AP1038" s="76"/>
      <c r="AQ1038" s="76"/>
      <c r="AR1038" s="76"/>
      <c r="AS1038" s="76"/>
      <c r="AT1038" s="76"/>
      <c r="AU1038" s="76"/>
      <c r="AV1038" s="76"/>
      <c r="AW1038" s="76"/>
      <c r="AX1038" s="76" t="b">
        <v>0</v>
      </c>
      <c r="AY1038" s="76"/>
      <c r="AZ1038" s="76"/>
      <c r="BA1038" s="76" t="b">
        <v>1</v>
      </c>
      <c r="BB1038" s="76" t="b">
        <v>0</v>
      </c>
      <c r="BC1038" s="76" t="b">
        <v>1</v>
      </c>
      <c r="BD1038" s="76" t="b">
        <v>0</v>
      </c>
      <c r="BE1038" s="76" t="b">
        <v>0</v>
      </c>
      <c r="BF1038" s="76" t="b">
        <v>0</v>
      </c>
      <c r="BG1038" s="76" t="b">
        <v>0</v>
      </c>
      <c r="BH1038" s="82" t="str">
        <f>HYPERLINK("https://pbs.twimg.com/profile_banners/1183730588383137792/1605886477")</f>
        <v>https://pbs.twimg.com/profile_banners/1183730588383137792/1605886477</v>
      </c>
      <c r="BI1038" s="76"/>
      <c r="BJ1038" s="76" t="s">
        <v>27595</v>
      </c>
      <c r="BK1038" s="76" t="b">
        <v>0</v>
      </c>
      <c r="BL1038" s="76"/>
      <c r="BM1038" s="76" t="s">
        <v>66</v>
      </c>
      <c r="BN1038" s="76" t="s">
        <v>27597</v>
      </c>
      <c r="BO1038" s="82" t="str">
        <f>HYPERLINK("https://twitter.com/fesperanzada")</f>
        <v>https://twitter.com/fesperanzada</v>
      </c>
      <c r="BP1038" s="2"/>
    </row>
    <row r="1039" spans="1:68" x14ac:dyDescent="0.25">
      <c r="A1039" s="62" t="s">
        <v>1125</v>
      </c>
      <c r="B1039" s="63"/>
      <c r="C1039" s="63"/>
      <c r="D1039" s="64"/>
      <c r="E1039" s="66"/>
      <c r="F1039" s="103" t="str">
        <f>HYPERLINK("https://pbs.twimg.com/profile_images/1699240439524585472/w6v007-E_normal.jpg")</f>
        <v>https://pbs.twimg.com/profile_images/1699240439524585472/w6v007-E_normal.jpg</v>
      </c>
      <c r="G1039" s="63"/>
      <c r="H1039" s="67"/>
      <c r="I1039" s="68"/>
      <c r="J1039" s="68"/>
      <c r="K1039" s="67" t="s">
        <v>28633</v>
      </c>
      <c r="L1039" s="71"/>
      <c r="M1039" s="72"/>
      <c r="N1039" s="72"/>
      <c r="O1039" s="73"/>
      <c r="P1039" s="74"/>
      <c r="Q1039" s="74"/>
      <c r="R1039" s="87"/>
      <c r="S1039" s="87"/>
      <c r="T1039" s="87"/>
      <c r="U1039" s="87"/>
      <c r="V1039" s="48"/>
      <c r="W1039" s="48"/>
      <c r="X1039" s="48"/>
      <c r="Y1039" s="48"/>
      <c r="Z1039" s="47"/>
      <c r="AA1039" s="69">
        <v>1039</v>
      </c>
      <c r="AB1039" s="69"/>
      <c r="AC1039" s="70"/>
      <c r="AD1039" s="76" t="s">
        <v>22262</v>
      </c>
      <c r="AE1039" s="81" t="s">
        <v>23615</v>
      </c>
      <c r="AF1039" s="76">
        <v>1902</v>
      </c>
      <c r="AG1039" s="76">
        <v>994</v>
      </c>
      <c r="AH1039" s="76">
        <v>24401</v>
      </c>
      <c r="AI1039" s="76">
        <v>2</v>
      </c>
      <c r="AJ1039" s="76">
        <v>50879</v>
      </c>
      <c r="AK1039" s="76">
        <v>928</v>
      </c>
      <c r="AL1039" s="76" t="b">
        <v>0</v>
      </c>
      <c r="AM1039" s="78">
        <v>41327.869722222225</v>
      </c>
      <c r="AN1039" s="76"/>
      <c r="AO1039" s="76" t="s">
        <v>25635</v>
      </c>
      <c r="AP1039" s="82" t="str">
        <f>HYPERLINK("https://t.co/a2iTpf9oY3")</f>
        <v>https://t.co/a2iTpf9oY3</v>
      </c>
      <c r="AQ1039" s="82" t="str">
        <f>HYPERLINK("http://Instagram.com/Mauro.Comandatore")</f>
        <v>http://Instagram.com/Mauro.Comandatore</v>
      </c>
      <c r="AR1039" s="76" t="s">
        <v>26920</v>
      </c>
      <c r="AS1039" s="76"/>
      <c r="AT1039" s="76"/>
      <c r="AU1039" s="76"/>
      <c r="AV1039" s="76">
        <v>1.70501695295426E+18</v>
      </c>
      <c r="AW1039" s="82" t="str">
        <f>HYPERLINK("https://t.co/a2iTpf9oY3")</f>
        <v>https://t.co/a2iTpf9oY3</v>
      </c>
      <c r="AX1039" s="76" t="b">
        <v>1</v>
      </c>
      <c r="AY1039" s="76"/>
      <c r="AZ1039" s="76"/>
      <c r="BA1039" s="76" t="b">
        <v>0</v>
      </c>
      <c r="BB1039" s="76" t="b">
        <v>1</v>
      </c>
      <c r="BC1039" s="76" t="b">
        <v>1</v>
      </c>
      <c r="BD1039" s="76" t="b">
        <v>0</v>
      </c>
      <c r="BE1039" s="76" t="b">
        <v>1</v>
      </c>
      <c r="BF1039" s="76" t="b">
        <v>0</v>
      </c>
      <c r="BG1039" s="76" t="b">
        <v>0</v>
      </c>
      <c r="BH1039" s="82" t="str">
        <f>HYPERLINK("https://pbs.twimg.com/profile_banners/1209749604/1695435073")</f>
        <v>https://pbs.twimg.com/profile_banners/1209749604/1695435073</v>
      </c>
      <c r="BI1039" s="76"/>
      <c r="BJ1039" s="76" t="s">
        <v>27595</v>
      </c>
      <c r="BK1039" s="76" t="b">
        <v>0</v>
      </c>
      <c r="BL1039" s="76"/>
      <c r="BM1039" s="76" t="s">
        <v>66</v>
      </c>
      <c r="BN1039" s="76" t="s">
        <v>27597</v>
      </c>
      <c r="BO1039" s="82" t="str">
        <f>HYPERLINK("https://twitter.com/mau_comandatore")</f>
        <v>https://twitter.com/mau_comandatore</v>
      </c>
      <c r="BP1039" s="2"/>
    </row>
    <row r="1040" spans="1:68" x14ac:dyDescent="0.25">
      <c r="A1040" s="62" t="s">
        <v>975</v>
      </c>
      <c r="B1040" s="63"/>
      <c r="C1040" s="63"/>
      <c r="D1040" s="64"/>
      <c r="E1040" s="66"/>
      <c r="F1040" s="103" t="str">
        <f>HYPERLINK("https://pbs.twimg.com/profile_images/1496257848204054530/FX7pGh9G_normal.jpg")</f>
        <v>https://pbs.twimg.com/profile_images/1496257848204054530/FX7pGh9G_normal.jpg</v>
      </c>
      <c r="G1040" s="63"/>
      <c r="H1040" s="67"/>
      <c r="I1040" s="68"/>
      <c r="J1040" s="68"/>
      <c r="K1040" s="67" t="s">
        <v>28634</v>
      </c>
      <c r="L1040" s="71"/>
      <c r="M1040" s="72"/>
      <c r="N1040" s="72"/>
      <c r="O1040" s="73"/>
      <c r="P1040" s="74"/>
      <c r="Q1040" s="74"/>
      <c r="R1040" s="87"/>
      <c r="S1040" s="87"/>
      <c r="T1040" s="87"/>
      <c r="U1040" s="87"/>
      <c r="V1040" s="48"/>
      <c r="W1040" s="48"/>
      <c r="X1040" s="48"/>
      <c r="Y1040" s="48"/>
      <c r="Z1040" s="47"/>
      <c r="AA1040" s="69">
        <v>1040</v>
      </c>
      <c r="AB1040" s="69"/>
      <c r="AC1040" s="70"/>
      <c r="AD1040" s="76" t="s">
        <v>22263</v>
      </c>
      <c r="AE1040" s="81" t="s">
        <v>23616</v>
      </c>
      <c r="AF1040" s="76">
        <v>141</v>
      </c>
      <c r="AG1040" s="76">
        <v>188</v>
      </c>
      <c r="AH1040" s="76">
        <v>617</v>
      </c>
      <c r="AI1040" s="76">
        <v>0</v>
      </c>
      <c r="AJ1040" s="76">
        <v>20</v>
      </c>
      <c r="AK1040" s="76">
        <v>25</v>
      </c>
      <c r="AL1040" s="76" t="b">
        <v>0</v>
      </c>
      <c r="AM1040" s="78">
        <v>42027.798368055555</v>
      </c>
      <c r="AN1040" s="76"/>
      <c r="AO1040" s="76" t="s">
        <v>25636</v>
      </c>
      <c r="AP1040" s="82" t="str">
        <f>HYPERLINK("https://t.co/IdZDOpSif4")</f>
        <v>https://t.co/IdZDOpSif4</v>
      </c>
      <c r="AQ1040" s="82" t="str">
        <f>HYPERLINK("http://fconectate.blogspot.com")</f>
        <v>http://fconectate.blogspot.com</v>
      </c>
      <c r="AR1040" s="76" t="s">
        <v>26921</v>
      </c>
      <c r="AS1040" s="76"/>
      <c r="AT1040" s="76"/>
      <c r="AU1040" s="76"/>
      <c r="AV1040" s="76"/>
      <c r="AW1040" s="82" t="str">
        <f>HYPERLINK("https://t.co/IdZDOpSif4")</f>
        <v>https://t.co/IdZDOpSif4</v>
      </c>
      <c r="AX1040" s="76" t="b">
        <v>0</v>
      </c>
      <c r="AY1040" s="76"/>
      <c r="AZ1040" s="76"/>
      <c r="BA1040" s="76" t="b">
        <v>0</v>
      </c>
      <c r="BB1040" s="76" t="b">
        <v>1</v>
      </c>
      <c r="BC1040" s="76" t="b">
        <v>1</v>
      </c>
      <c r="BD1040" s="76" t="b">
        <v>0</v>
      </c>
      <c r="BE1040" s="76" t="b">
        <v>0</v>
      </c>
      <c r="BF1040" s="76" t="b">
        <v>0</v>
      </c>
      <c r="BG1040" s="76" t="b">
        <v>0</v>
      </c>
      <c r="BH1040" s="82" t="str">
        <f>HYPERLINK("https://pbs.twimg.com/profile_banners/2994615995/1645570656")</f>
        <v>https://pbs.twimg.com/profile_banners/2994615995/1645570656</v>
      </c>
      <c r="BI1040" s="76"/>
      <c r="BJ1040" s="76" t="s">
        <v>27595</v>
      </c>
      <c r="BK1040" s="76" t="b">
        <v>0</v>
      </c>
      <c r="BL1040" s="76"/>
      <c r="BM1040" s="76" t="s">
        <v>66</v>
      </c>
      <c r="BN1040" s="76" t="s">
        <v>27597</v>
      </c>
      <c r="BO1040" s="82" t="str">
        <f>HYPERLINK("https://twitter.com/alcantararaimy")</f>
        <v>https://twitter.com/alcantararaimy</v>
      </c>
      <c r="BP1040" s="2"/>
    </row>
    <row r="1041" spans="1:68" x14ac:dyDescent="0.25">
      <c r="A1041" s="62" t="s">
        <v>976</v>
      </c>
      <c r="B1041" s="63"/>
      <c r="C1041" s="63"/>
      <c r="D1041" s="64"/>
      <c r="E1041" s="66"/>
      <c r="F1041" s="103" t="str">
        <f>HYPERLINK("https://pbs.twimg.com/profile_images/1595465759035211778/gwp3Mwa9_normal.jpg")</f>
        <v>https://pbs.twimg.com/profile_images/1595465759035211778/gwp3Mwa9_normal.jpg</v>
      </c>
      <c r="G1041" s="63"/>
      <c r="H1041" s="67"/>
      <c r="I1041" s="68"/>
      <c r="J1041" s="68"/>
      <c r="K1041" s="67" t="s">
        <v>28635</v>
      </c>
      <c r="L1041" s="71"/>
      <c r="M1041" s="72"/>
      <c r="N1041" s="72"/>
      <c r="O1041" s="73"/>
      <c r="P1041" s="74"/>
      <c r="Q1041" s="74"/>
      <c r="R1041" s="87"/>
      <c r="S1041" s="87"/>
      <c r="T1041" s="87"/>
      <c r="U1041" s="87"/>
      <c r="V1041" s="48"/>
      <c r="W1041" s="48"/>
      <c r="X1041" s="48"/>
      <c r="Y1041" s="48"/>
      <c r="Z1041" s="47"/>
      <c r="AA1041" s="69">
        <v>1041</v>
      </c>
      <c r="AB1041" s="69"/>
      <c r="AC1041" s="70"/>
      <c r="AD1041" s="76" t="s">
        <v>22264</v>
      </c>
      <c r="AE1041" s="81" t="s">
        <v>20859</v>
      </c>
      <c r="AF1041" s="76">
        <v>100</v>
      </c>
      <c r="AG1041" s="76">
        <v>14</v>
      </c>
      <c r="AH1041" s="76">
        <v>94</v>
      </c>
      <c r="AI1041" s="76">
        <v>0</v>
      </c>
      <c r="AJ1041" s="76">
        <v>17</v>
      </c>
      <c r="AK1041" s="76">
        <v>72</v>
      </c>
      <c r="AL1041" s="76" t="b">
        <v>0</v>
      </c>
      <c r="AM1041" s="78">
        <v>44595.443298611113</v>
      </c>
      <c r="AN1041" s="76"/>
      <c r="AO1041" s="76" t="s">
        <v>25637</v>
      </c>
      <c r="AP1041" s="76"/>
      <c r="AQ1041" s="76"/>
      <c r="AR1041" s="76"/>
      <c r="AS1041" s="82" t="str">
        <f>HYPERLINK("https://t.co/WkCFrvKI1k")</f>
        <v>https://t.co/WkCFrvKI1k</v>
      </c>
      <c r="AT1041" s="82" t="str">
        <f>HYPERLINK("http://bit.ly/3yKMszL")</f>
        <v>http://bit.ly/3yKMszL</v>
      </c>
      <c r="AU1041" s="76" t="s">
        <v>27521</v>
      </c>
      <c r="AV1041" s="76">
        <v>1.59552772974258E+18</v>
      </c>
      <c r="AW1041" s="76"/>
      <c r="AX1041" s="76" t="b">
        <v>0</v>
      </c>
      <c r="AY1041" s="76"/>
      <c r="AZ1041" s="76"/>
      <c r="BA1041" s="76" t="b">
        <v>0</v>
      </c>
      <c r="BB1041" s="76" t="b">
        <v>1</v>
      </c>
      <c r="BC1041" s="76" t="b">
        <v>1</v>
      </c>
      <c r="BD1041" s="76" t="b">
        <v>0</v>
      </c>
      <c r="BE1041" s="76" t="b">
        <v>0</v>
      </c>
      <c r="BF1041" s="76" t="b">
        <v>0</v>
      </c>
      <c r="BG1041" s="76" t="b">
        <v>0</v>
      </c>
      <c r="BH1041" s="82" t="str">
        <f>HYPERLINK("https://pbs.twimg.com/profile_banners/1489186316495503361/1669223398")</f>
        <v>https://pbs.twimg.com/profile_banners/1489186316495503361/1669223398</v>
      </c>
      <c r="BI1041" s="76"/>
      <c r="BJ1041" s="76" t="s">
        <v>27595</v>
      </c>
      <c r="BK1041" s="76" t="b">
        <v>0</v>
      </c>
      <c r="BL1041" s="76"/>
      <c r="BM1041" s="76" t="s">
        <v>66</v>
      </c>
      <c r="BN1041" s="76" t="s">
        <v>27597</v>
      </c>
      <c r="BO1041" s="82" t="str">
        <f>HYPERLINK("https://twitter.com/conciergebtc")</f>
        <v>https://twitter.com/conciergebtc</v>
      </c>
      <c r="BP1041" s="2"/>
    </row>
    <row r="1042" spans="1:68" x14ac:dyDescent="0.25">
      <c r="A1042" s="62" t="s">
        <v>977</v>
      </c>
      <c r="B1042" s="63"/>
      <c r="C1042" s="63"/>
      <c r="D1042" s="64"/>
      <c r="E1042" s="66"/>
      <c r="F1042" s="103" t="str">
        <f>HYPERLINK("https://pbs.twimg.com/profile_images/1686713603594887169/OW65LBQv_normal.jpg")</f>
        <v>https://pbs.twimg.com/profile_images/1686713603594887169/OW65LBQv_normal.jpg</v>
      </c>
      <c r="G1042" s="63"/>
      <c r="H1042" s="67"/>
      <c r="I1042" s="68"/>
      <c r="J1042" s="68"/>
      <c r="K1042" s="67" t="s">
        <v>28636</v>
      </c>
      <c r="L1042" s="71"/>
      <c r="M1042" s="72"/>
      <c r="N1042" s="72"/>
      <c r="O1042" s="73"/>
      <c r="P1042" s="74"/>
      <c r="Q1042" s="74"/>
      <c r="R1042" s="87"/>
      <c r="S1042" s="87"/>
      <c r="T1042" s="87"/>
      <c r="U1042" s="87"/>
      <c r="V1042" s="48"/>
      <c r="W1042" s="48"/>
      <c r="X1042" s="48"/>
      <c r="Y1042" s="48"/>
      <c r="Z1042" s="47"/>
      <c r="AA1042" s="69">
        <v>1042</v>
      </c>
      <c r="AB1042" s="69"/>
      <c r="AC1042" s="70"/>
      <c r="AD1042" s="76" t="s">
        <v>22265</v>
      </c>
      <c r="AE1042" s="81" t="s">
        <v>23617</v>
      </c>
      <c r="AF1042" s="76">
        <v>37878</v>
      </c>
      <c r="AG1042" s="76">
        <v>46</v>
      </c>
      <c r="AH1042" s="76">
        <v>80316</v>
      </c>
      <c r="AI1042" s="76">
        <v>169</v>
      </c>
      <c r="AJ1042" s="76">
        <v>200</v>
      </c>
      <c r="AK1042" s="76">
        <v>14325</v>
      </c>
      <c r="AL1042" s="76" t="b">
        <v>0</v>
      </c>
      <c r="AM1042" s="78">
        <v>40218.761793981481</v>
      </c>
      <c r="AN1042" s="76" t="s">
        <v>24450</v>
      </c>
      <c r="AO1042" s="76" t="s">
        <v>25638</v>
      </c>
      <c r="AP1042" s="82" t="str">
        <f>HYPERLINK("https://t.co/pOc8xwPg9U")</f>
        <v>https://t.co/pOc8xwPg9U</v>
      </c>
      <c r="AQ1042" s="82" t="str">
        <f>HYPERLINK("https://tribunapr.com.br/")</f>
        <v>https://tribunapr.com.br/</v>
      </c>
      <c r="AR1042" s="76" t="s">
        <v>26922</v>
      </c>
      <c r="AS1042" s="76"/>
      <c r="AT1042" s="76"/>
      <c r="AU1042" s="76"/>
      <c r="AV1042" s="76"/>
      <c r="AW1042" s="82" t="str">
        <f>HYPERLINK("https://t.co/pOc8xwPg9U")</f>
        <v>https://t.co/pOc8xwPg9U</v>
      </c>
      <c r="AX1042" s="76" t="b">
        <v>0</v>
      </c>
      <c r="AY1042" s="76"/>
      <c r="AZ1042" s="76"/>
      <c r="BA1042" s="76" t="b">
        <v>0</v>
      </c>
      <c r="BB1042" s="76" t="b">
        <v>1</v>
      </c>
      <c r="BC1042" s="76" t="b">
        <v>0</v>
      </c>
      <c r="BD1042" s="76" t="b">
        <v>0</v>
      </c>
      <c r="BE1042" s="76" t="b">
        <v>1</v>
      </c>
      <c r="BF1042" s="76" t="b">
        <v>0</v>
      </c>
      <c r="BG1042" s="76" t="b">
        <v>0</v>
      </c>
      <c r="BH1042" s="82" t="str">
        <f>HYPERLINK("https://pbs.twimg.com/profile_banners/112786548/1690978836")</f>
        <v>https://pbs.twimg.com/profile_banners/112786548/1690978836</v>
      </c>
      <c r="BI1042" s="76"/>
      <c r="BJ1042" s="76" t="s">
        <v>27595</v>
      </c>
      <c r="BK1042" s="76" t="b">
        <v>0</v>
      </c>
      <c r="BL1042" s="76"/>
      <c r="BM1042" s="76" t="s">
        <v>66</v>
      </c>
      <c r="BN1042" s="76" t="s">
        <v>27597</v>
      </c>
      <c r="BO1042" s="82" t="str">
        <f>HYPERLINK("https://twitter.com/tribunapr")</f>
        <v>https://twitter.com/tribunapr</v>
      </c>
      <c r="BP1042" s="2"/>
    </row>
    <row r="1043" spans="1:68" x14ac:dyDescent="0.25">
      <c r="A1043" s="62" t="s">
        <v>978</v>
      </c>
      <c r="B1043" s="63"/>
      <c r="C1043" s="63"/>
      <c r="D1043" s="64"/>
      <c r="E1043" s="66"/>
      <c r="F1043" s="103" t="str">
        <f>HYPERLINK("https://pbs.twimg.com/profile_images/1285301859234672640/ejuyihKo_normal.jpg")</f>
        <v>https://pbs.twimg.com/profile_images/1285301859234672640/ejuyihKo_normal.jpg</v>
      </c>
      <c r="G1043" s="63"/>
      <c r="H1043" s="67"/>
      <c r="I1043" s="68"/>
      <c r="J1043" s="68"/>
      <c r="K1043" s="67" t="s">
        <v>28637</v>
      </c>
      <c r="L1043" s="71"/>
      <c r="M1043" s="72"/>
      <c r="N1043" s="72"/>
      <c r="O1043" s="73"/>
      <c r="P1043" s="74"/>
      <c r="Q1043" s="74"/>
      <c r="R1043" s="87"/>
      <c r="S1043" s="87"/>
      <c r="T1043" s="87"/>
      <c r="U1043" s="87"/>
      <c r="V1043" s="48"/>
      <c r="W1043" s="48"/>
      <c r="X1043" s="48"/>
      <c r="Y1043" s="48"/>
      <c r="Z1043" s="47"/>
      <c r="AA1043" s="69">
        <v>1043</v>
      </c>
      <c r="AB1043" s="69"/>
      <c r="AC1043" s="70"/>
      <c r="AD1043" s="76" t="s">
        <v>22266</v>
      </c>
      <c r="AE1043" s="81" t="s">
        <v>23618</v>
      </c>
      <c r="AF1043" s="76">
        <v>639</v>
      </c>
      <c r="AG1043" s="76">
        <v>3807</v>
      </c>
      <c r="AH1043" s="76">
        <v>53955</v>
      </c>
      <c r="AI1043" s="76">
        <v>2</v>
      </c>
      <c r="AJ1043" s="76">
        <v>18301</v>
      </c>
      <c r="AK1043" s="76">
        <v>4003</v>
      </c>
      <c r="AL1043" s="76" t="b">
        <v>0</v>
      </c>
      <c r="AM1043" s="78">
        <v>40349.744733796295</v>
      </c>
      <c r="AN1043" s="76" t="s">
        <v>24451</v>
      </c>
      <c r="AO1043" s="76" t="s">
        <v>25639</v>
      </c>
      <c r="AP1043" s="82" t="str">
        <f>HYPERLINK("https://t.co/mXYqjiZpIS")</f>
        <v>https://t.co/mXYqjiZpIS</v>
      </c>
      <c r="AQ1043" s="82" t="str">
        <f>HYPERLINK("https://www.threads.net/@ragodi56")</f>
        <v>https://www.threads.net/@ragodi56</v>
      </c>
      <c r="AR1043" s="76" t="s">
        <v>26923</v>
      </c>
      <c r="AS1043" s="76"/>
      <c r="AT1043" s="76"/>
      <c r="AU1043" s="76"/>
      <c r="AV1043" s="76">
        <v>1.28819043045091E+18</v>
      </c>
      <c r="AW1043" s="82" t="str">
        <f>HYPERLINK("https://t.co/mXYqjiZpIS")</f>
        <v>https://t.co/mXYqjiZpIS</v>
      </c>
      <c r="AX1043" s="76" t="b">
        <v>0</v>
      </c>
      <c r="AY1043" s="76"/>
      <c r="AZ1043" s="76"/>
      <c r="BA1043" s="76" t="b">
        <v>1</v>
      </c>
      <c r="BB1043" s="76" t="b">
        <v>1</v>
      </c>
      <c r="BC1043" s="76" t="b">
        <v>0</v>
      </c>
      <c r="BD1043" s="76" t="b">
        <v>0</v>
      </c>
      <c r="BE1043" s="76" t="b">
        <v>0</v>
      </c>
      <c r="BF1043" s="76" t="b">
        <v>0</v>
      </c>
      <c r="BG1043" s="76" t="b">
        <v>0</v>
      </c>
      <c r="BH1043" s="82" t="str">
        <f>HYPERLINK("https://pbs.twimg.com/profile_banners/157728236/1595274817")</f>
        <v>https://pbs.twimg.com/profile_banners/157728236/1595274817</v>
      </c>
      <c r="BI1043" s="76"/>
      <c r="BJ1043" s="76" t="s">
        <v>27595</v>
      </c>
      <c r="BK1043" s="76" t="b">
        <v>0</v>
      </c>
      <c r="BL1043" s="76"/>
      <c r="BM1043" s="76" t="s">
        <v>66</v>
      </c>
      <c r="BN1043" s="76" t="s">
        <v>27597</v>
      </c>
      <c r="BO1043" s="82" t="str">
        <f>HYPERLINK("https://twitter.com/ragodiaz")</f>
        <v>https://twitter.com/ragodiaz</v>
      </c>
      <c r="BP1043" s="2"/>
    </row>
    <row r="1044" spans="1:68" x14ac:dyDescent="0.25">
      <c r="A1044" s="62" t="s">
        <v>979</v>
      </c>
      <c r="B1044" s="63"/>
      <c r="C1044" s="63"/>
      <c r="D1044" s="64"/>
      <c r="E1044" s="66"/>
      <c r="F1044" s="103" t="str">
        <f>HYPERLINK("https://pbs.twimg.com/profile_images/1572220756603408385/0qtdK872_normal.jpg")</f>
        <v>https://pbs.twimg.com/profile_images/1572220756603408385/0qtdK872_normal.jpg</v>
      </c>
      <c r="G1044" s="63"/>
      <c r="H1044" s="67"/>
      <c r="I1044" s="68"/>
      <c r="J1044" s="68"/>
      <c r="K1044" s="67" t="s">
        <v>28638</v>
      </c>
      <c r="L1044" s="71"/>
      <c r="M1044" s="72"/>
      <c r="N1044" s="72"/>
      <c r="O1044" s="73"/>
      <c r="P1044" s="74"/>
      <c r="Q1044" s="74"/>
      <c r="R1044" s="87"/>
      <c r="S1044" s="87"/>
      <c r="T1044" s="87"/>
      <c r="U1044" s="87"/>
      <c r="V1044" s="48"/>
      <c r="W1044" s="48"/>
      <c r="X1044" s="48"/>
      <c r="Y1044" s="48"/>
      <c r="Z1044" s="47"/>
      <c r="AA1044" s="69">
        <v>1044</v>
      </c>
      <c r="AB1044" s="69"/>
      <c r="AC1044" s="70"/>
      <c r="AD1044" s="76" t="s">
        <v>22267</v>
      </c>
      <c r="AE1044" s="81" t="s">
        <v>20860</v>
      </c>
      <c r="AF1044" s="76">
        <v>213</v>
      </c>
      <c r="AG1044" s="76">
        <v>498</v>
      </c>
      <c r="AH1044" s="76">
        <v>16848</v>
      </c>
      <c r="AI1044" s="76">
        <v>0</v>
      </c>
      <c r="AJ1044" s="76">
        <v>16837</v>
      </c>
      <c r="AK1044" s="76">
        <v>8</v>
      </c>
      <c r="AL1044" s="76" t="b">
        <v>0</v>
      </c>
      <c r="AM1044" s="78">
        <v>43758.996018518519</v>
      </c>
      <c r="AN1044" s="76" t="s">
        <v>24452</v>
      </c>
      <c r="AO1044" s="76"/>
      <c r="AP1044" s="76"/>
      <c r="AQ1044" s="76"/>
      <c r="AR1044" s="76"/>
      <c r="AS1044" s="76"/>
      <c r="AT1044" s="76"/>
      <c r="AU1044" s="76"/>
      <c r="AV1044" s="76"/>
      <c r="AW1044" s="76"/>
      <c r="AX1044" s="76" t="b">
        <v>0</v>
      </c>
      <c r="AY1044" s="76"/>
      <c r="AZ1044" s="76"/>
      <c r="BA1044" s="76" t="b">
        <v>0</v>
      </c>
      <c r="BB1044" s="76" t="b">
        <v>1</v>
      </c>
      <c r="BC1044" s="76" t="b">
        <v>1</v>
      </c>
      <c r="BD1044" s="76" t="b">
        <v>0</v>
      </c>
      <c r="BE1044" s="76" t="b">
        <v>1</v>
      </c>
      <c r="BF1044" s="76" t="b">
        <v>0</v>
      </c>
      <c r="BG1044" s="76" t="b">
        <v>0</v>
      </c>
      <c r="BH1044" s="82" t="str">
        <f>HYPERLINK("https://pbs.twimg.com/profile_banners/1186068073519964160/1663681652")</f>
        <v>https://pbs.twimg.com/profile_banners/1186068073519964160/1663681652</v>
      </c>
      <c r="BI1044" s="76"/>
      <c r="BJ1044" s="76" t="s">
        <v>27595</v>
      </c>
      <c r="BK1044" s="76" t="b">
        <v>0</v>
      </c>
      <c r="BL1044" s="76"/>
      <c r="BM1044" s="76" t="s">
        <v>66</v>
      </c>
      <c r="BN1044" s="76" t="s">
        <v>27597</v>
      </c>
      <c r="BO1044" s="82" t="str">
        <f>HYPERLINK("https://twitter.com/ronaldo21071985")</f>
        <v>https://twitter.com/ronaldo21071985</v>
      </c>
      <c r="BP1044" s="2"/>
    </row>
    <row r="1045" spans="1:68" x14ac:dyDescent="0.25">
      <c r="A1045" s="62" t="s">
        <v>980</v>
      </c>
      <c r="B1045" s="63"/>
      <c r="C1045" s="63"/>
      <c r="D1045" s="64"/>
      <c r="E1045" s="66"/>
      <c r="F1045" s="103" t="str">
        <f>HYPERLINK("https://pbs.twimg.com/profile_images/1686843446890262528/fVCq1PNF_normal.jpg")</f>
        <v>https://pbs.twimg.com/profile_images/1686843446890262528/fVCq1PNF_normal.jpg</v>
      </c>
      <c r="G1045" s="63"/>
      <c r="H1045" s="67"/>
      <c r="I1045" s="68"/>
      <c r="J1045" s="68"/>
      <c r="K1045" s="67" t="s">
        <v>28639</v>
      </c>
      <c r="L1045" s="71"/>
      <c r="M1045" s="72"/>
      <c r="N1045" s="72"/>
      <c r="O1045" s="73"/>
      <c r="P1045" s="74"/>
      <c r="Q1045" s="74"/>
      <c r="R1045" s="87"/>
      <c r="S1045" s="87"/>
      <c r="T1045" s="87"/>
      <c r="U1045" s="87"/>
      <c r="V1045" s="48"/>
      <c r="W1045" s="48"/>
      <c r="X1045" s="48"/>
      <c r="Y1045" s="48"/>
      <c r="Z1045" s="47"/>
      <c r="AA1045" s="69">
        <v>1045</v>
      </c>
      <c r="AB1045" s="69"/>
      <c r="AC1045" s="70"/>
      <c r="AD1045" s="76" t="s">
        <v>22268</v>
      </c>
      <c r="AE1045" s="81" t="s">
        <v>23619</v>
      </c>
      <c r="AF1045" s="76">
        <v>2839</v>
      </c>
      <c r="AG1045" s="76">
        <v>1900</v>
      </c>
      <c r="AH1045" s="76">
        <v>168845</v>
      </c>
      <c r="AI1045" s="76">
        <v>66</v>
      </c>
      <c r="AJ1045" s="76">
        <v>23640</v>
      </c>
      <c r="AK1045" s="76">
        <v>4295</v>
      </c>
      <c r="AL1045" s="76" t="b">
        <v>0</v>
      </c>
      <c r="AM1045" s="78">
        <v>39541.765567129631</v>
      </c>
      <c r="AN1045" s="76" t="s">
        <v>24343</v>
      </c>
      <c r="AO1045" s="76" t="s">
        <v>25640</v>
      </c>
      <c r="AP1045" s="82" t="str">
        <f>HYPERLINK("https://t.co/yS232b8t7U")</f>
        <v>https://t.co/yS232b8t7U</v>
      </c>
      <c r="AQ1045" s="82" t="str">
        <f>HYPERLINK("http://instagram.com/nomadic_travels_cr")</f>
        <v>http://instagram.com/nomadic_travels_cr</v>
      </c>
      <c r="AR1045" s="76" t="s">
        <v>26924</v>
      </c>
      <c r="AS1045" s="76"/>
      <c r="AT1045" s="76"/>
      <c r="AU1045" s="76"/>
      <c r="AV1045" s="76">
        <v>1.5654305362895099E+18</v>
      </c>
      <c r="AW1045" s="82" t="str">
        <f>HYPERLINK("https://t.co/yS232b8t7U")</f>
        <v>https://t.co/yS232b8t7U</v>
      </c>
      <c r="AX1045" s="76" t="b">
        <v>0</v>
      </c>
      <c r="AY1045" s="76"/>
      <c r="AZ1045" s="76"/>
      <c r="BA1045" s="76" t="b">
        <v>0</v>
      </c>
      <c r="BB1045" s="76" t="b">
        <v>1</v>
      </c>
      <c r="BC1045" s="76" t="b">
        <v>0</v>
      </c>
      <c r="BD1045" s="76" t="b">
        <v>0</v>
      </c>
      <c r="BE1045" s="76" t="b">
        <v>1</v>
      </c>
      <c r="BF1045" s="76" t="b">
        <v>0</v>
      </c>
      <c r="BG1045" s="76" t="b">
        <v>0</v>
      </c>
      <c r="BH1045" s="82" t="str">
        <f>HYPERLINK("https://pbs.twimg.com/profile_banners/14295521/1620847504")</f>
        <v>https://pbs.twimg.com/profile_banners/14295521/1620847504</v>
      </c>
      <c r="BI1045" s="76"/>
      <c r="BJ1045" s="76" t="s">
        <v>27595</v>
      </c>
      <c r="BK1045" s="76" t="b">
        <v>0</v>
      </c>
      <c r="BL1045" s="76"/>
      <c r="BM1045" s="76" t="s">
        <v>66</v>
      </c>
      <c r="BN1045" s="76" t="s">
        <v>27597</v>
      </c>
      <c r="BO1045" s="82" t="str">
        <f>HYPERLINK("https://twitter.com/chuz_cr")</f>
        <v>https://twitter.com/chuz_cr</v>
      </c>
      <c r="BP1045" s="2"/>
    </row>
    <row r="1046" spans="1:68" x14ac:dyDescent="0.25">
      <c r="A1046" s="62" t="s">
        <v>981</v>
      </c>
      <c r="B1046" s="63"/>
      <c r="C1046" s="63"/>
      <c r="D1046" s="64"/>
      <c r="E1046" s="66"/>
      <c r="F1046" s="103" t="str">
        <f>HYPERLINK("https://pbs.twimg.com/profile_images/1618612535275520000/UuE-w-V0_normal.jpg")</f>
        <v>https://pbs.twimg.com/profile_images/1618612535275520000/UuE-w-V0_normal.jpg</v>
      </c>
      <c r="G1046" s="63"/>
      <c r="H1046" s="67"/>
      <c r="I1046" s="68"/>
      <c r="J1046" s="68"/>
      <c r="K1046" s="67" t="s">
        <v>28640</v>
      </c>
      <c r="L1046" s="71"/>
      <c r="M1046" s="72"/>
      <c r="N1046" s="72"/>
      <c r="O1046" s="73"/>
      <c r="P1046" s="74"/>
      <c r="Q1046" s="74"/>
      <c r="R1046" s="87"/>
      <c r="S1046" s="87"/>
      <c r="T1046" s="87"/>
      <c r="U1046" s="87"/>
      <c r="V1046" s="48"/>
      <c r="W1046" s="48"/>
      <c r="X1046" s="48"/>
      <c r="Y1046" s="48"/>
      <c r="Z1046" s="47"/>
      <c r="AA1046" s="69">
        <v>1046</v>
      </c>
      <c r="AB1046" s="69"/>
      <c r="AC1046" s="70"/>
      <c r="AD1046" s="76" t="s">
        <v>22269</v>
      </c>
      <c r="AE1046" s="81" t="s">
        <v>20861</v>
      </c>
      <c r="AF1046" s="76">
        <v>103</v>
      </c>
      <c r="AG1046" s="76">
        <v>57</v>
      </c>
      <c r="AH1046" s="76">
        <v>749</v>
      </c>
      <c r="AI1046" s="76">
        <v>2</v>
      </c>
      <c r="AJ1046" s="76">
        <v>27</v>
      </c>
      <c r="AK1046" s="76">
        <v>14</v>
      </c>
      <c r="AL1046" s="76" t="b">
        <v>0</v>
      </c>
      <c r="AM1046" s="78">
        <v>44465.941122685188</v>
      </c>
      <c r="AN1046" s="76" t="s">
        <v>24453</v>
      </c>
      <c r="AO1046" s="76" t="s">
        <v>25641</v>
      </c>
      <c r="AP1046" s="82" t="str">
        <f>HYPERLINK("https://t.co/VLmM6G8osI")</f>
        <v>https://t.co/VLmM6G8osI</v>
      </c>
      <c r="AQ1046" s="82" t="str">
        <f>HYPERLINK("https://morandibolsa.com.ar/")</f>
        <v>https://morandibolsa.com.ar/</v>
      </c>
      <c r="AR1046" s="76" t="s">
        <v>26925</v>
      </c>
      <c r="AS1046" s="76"/>
      <c r="AT1046" s="76"/>
      <c r="AU1046" s="76"/>
      <c r="AV1046" s="76"/>
      <c r="AW1046" s="82" t="str">
        <f>HYPERLINK("https://t.co/VLmM6G8osI")</f>
        <v>https://t.co/VLmM6G8osI</v>
      </c>
      <c r="AX1046" s="76" t="b">
        <v>0</v>
      </c>
      <c r="AY1046" s="76"/>
      <c r="AZ1046" s="76"/>
      <c r="BA1046" s="76" t="b">
        <v>1</v>
      </c>
      <c r="BB1046" s="76" t="b">
        <v>1</v>
      </c>
      <c r="BC1046" s="76" t="b">
        <v>1</v>
      </c>
      <c r="BD1046" s="76" t="b">
        <v>0</v>
      </c>
      <c r="BE1046" s="76" t="b">
        <v>0</v>
      </c>
      <c r="BF1046" s="76" t="b">
        <v>0</v>
      </c>
      <c r="BG1046" s="76" t="b">
        <v>0</v>
      </c>
      <c r="BH1046" s="82" t="str">
        <f>HYPERLINK("https://pbs.twimg.com/profile_banners/1442256374075854849/1674742255")</f>
        <v>https://pbs.twimg.com/profile_banners/1442256374075854849/1674742255</v>
      </c>
      <c r="BI1046" s="76"/>
      <c r="BJ1046" s="76" t="s">
        <v>27595</v>
      </c>
      <c r="BK1046" s="76" t="b">
        <v>0</v>
      </c>
      <c r="BL1046" s="76"/>
      <c r="BM1046" s="76" t="s">
        <v>66</v>
      </c>
      <c r="BN1046" s="76" t="s">
        <v>27597</v>
      </c>
      <c r="BO1046" s="82" t="str">
        <f>HYPERLINK("https://twitter.com/morandivalores")</f>
        <v>https://twitter.com/morandivalores</v>
      </c>
      <c r="BP1046" s="2"/>
    </row>
    <row r="1047" spans="1:68" x14ac:dyDescent="0.25">
      <c r="A1047" s="62" t="s">
        <v>982</v>
      </c>
      <c r="B1047" s="63"/>
      <c r="C1047" s="63"/>
      <c r="D1047" s="64"/>
      <c r="E1047" s="66"/>
      <c r="F1047" s="103" t="str">
        <f>HYPERLINK("https://pbs.twimg.com/profile_images/1594320104065585153/D8jxk92f_normal.jpg")</f>
        <v>https://pbs.twimg.com/profile_images/1594320104065585153/D8jxk92f_normal.jpg</v>
      </c>
      <c r="G1047" s="63"/>
      <c r="H1047" s="67"/>
      <c r="I1047" s="68"/>
      <c r="J1047" s="68"/>
      <c r="K1047" s="67" t="s">
        <v>28641</v>
      </c>
      <c r="L1047" s="71"/>
      <c r="M1047" s="72"/>
      <c r="N1047" s="72"/>
      <c r="O1047" s="73"/>
      <c r="P1047" s="74"/>
      <c r="Q1047" s="74"/>
      <c r="R1047" s="87"/>
      <c r="S1047" s="87"/>
      <c r="T1047" s="87"/>
      <c r="U1047" s="87"/>
      <c r="V1047" s="48"/>
      <c r="W1047" s="48"/>
      <c r="X1047" s="48"/>
      <c r="Y1047" s="48"/>
      <c r="Z1047" s="47"/>
      <c r="AA1047" s="69">
        <v>1047</v>
      </c>
      <c r="AB1047" s="69"/>
      <c r="AC1047" s="70"/>
      <c r="AD1047" s="76" t="s">
        <v>22270</v>
      </c>
      <c r="AE1047" s="81" t="s">
        <v>20862</v>
      </c>
      <c r="AF1047" s="76">
        <v>245</v>
      </c>
      <c r="AG1047" s="76">
        <v>327</v>
      </c>
      <c r="AH1047" s="76">
        <v>85</v>
      </c>
      <c r="AI1047" s="76">
        <v>0</v>
      </c>
      <c r="AJ1047" s="76">
        <v>551</v>
      </c>
      <c r="AK1047" s="76">
        <v>1</v>
      </c>
      <c r="AL1047" s="76" t="b">
        <v>0</v>
      </c>
      <c r="AM1047" s="78">
        <v>44864.994513888887</v>
      </c>
      <c r="AN1047" s="76"/>
      <c r="AO1047" s="76" t="s">
        <v>25642</v>
      </c>
      <c r="AP1047" s="76"/>
      <c r="AQ1047" s="76"/>
      <c r="AR1047" s="76"/>
      <c r="AS1047" s="76"/>
      <c r="AT1047" s="76"/>
      <c r="AU1047" s="76"/>
      <c r="AV1047" s="76"/>
      <c r="AW1047" s="76"/>
      <c r="AX1047" s="76" t="b">
        <v>0</v>
      </c>
      <c r="AY1047" s="76"/>
      <c r="AZ1047" s="76"/>
      <c r="BA1047" s="76" t="b">
        <v>0</v>
      </c>
      <c r="BB1047" s="76" t="b">
        <v>1</v>
      </c>
      <c r="BC1047" s="76" t="b">
        <v>1</v>
      </c>
      <c r="BD1047" s="76" t="b">
        <v>0</v>
      </c>
      <c r="BE1047" s="76" t="b">
        <v>1</v>
      </c>
      <c r="BF1047" s="76" t="b">
        <v>0</v>
      </c>
      <c r="BG1047" s="76" t="b">
        <v>0</v>
      </c>
      <c r="BH1047" s="82" t="str">
        <f>HYPERLINK("https://pbs.twimg.com/profile_banners/1586868450491760642/1668777052")</f>
        <v>https://pbs.twimg.com/profile_banners/1586868450491760642/1668777052</v>
      </c>
      <c r="BI1047" s="76"/>
      <c r="BJ1047" s="76" t="s">
        <v>27595</v>
      </c>
      <c r="BK1047" s="76" t="b">
        <v>0</v>
      </c>
      <c r="BL1047" s="76"/>
      <c r="BM1047" s="76" t="s">
        <v>66</v>
      </c>
      <c r="BN1047" s="76" t="s">
        <v>27597</v>
      </c>
      <c r="BO1047" s="82" t="str">
        <f>HYPERLINK("https://twitter.com/suzytao")</f>
        <v>https://twitter.com/suzytao</v>
      </c>
      <c r="BP1047" s="2"/>
    </row>
    <row r="1048" spans="1:68" x14ac:dyDescent="0.25">
      <c r="A1048" s="62" t="s">
        <v>983</v>
      </c>
      <c r="B1048" s="63"/>
      <c r="C1048" s="63"/>
      <c r="D1048" s="64"/>
      <c r="E1048" s="66"/>
      <c r="F1048" s="103" t="str">
        <f>HYPERLINK("https://pbs.twimg.com/profile_images/1586805158750703616/yPn_a4zp_normal.jpg")</f>
        <v>https://pbs.twimg.com/profile_images/1586805158750703616/yPn_a4zp_normal.jpg</v>
      </c>
      <c r="G1048" s="63"/>
      <c r="H1048" s="67"/>
      <c r="I1048" s="68"/>
      <c r="J1048" s="68"/>
      <c r="K1048" s="67" t="s">
        <v>28642</v>
      </c>
      <c r="L1048" s="71"/>
      <c r="M1048" s="72"/>
      <c r="N1048" s="72"/>
      <c r="O1048" s="73"/>
      <c r="P1048" s="74"/>
      <c r="Q1048" s="74"/>
      <c r="R1048" s="87"/>
      <c r="S1048" s="87"/>
      <c r="T1048" s="87"/>
      <c r="U1048" s="87"/>
      <c r="V1048" s="48"/>
      <c r="W1048" s="48"/>
      <c r="X1048" s="48"/>
      <c r="Y1048" s="48"/>
      <c r="Z1048" s="47"/>
      <c r="AA1048" s="69">
        <v>1048</v>
      </c>
      <c r="AB1048" s="69"/>
      <c r="AC1048" s="70"/>
      <c r="AD1048" s="76" t="s">
        <v>22271</v>
      </c>
      <c r="AE1048" s="81" t="s">
        <v>20863</v>
      </c>
      <c r="AF1048" s="76">
        <v>8967</v>
      </c>
      <c r="AG1048" s="76">
        <v>3256</v>
      </c>
      <c r="AH1048" s="76">
        <v>62933</v>
      </c>
      <c r="AI1048" s="76">
        <v>2</v>
      </c>
      <c r="AJ1048" s="76">
        <v>109414</v>
      </c>
      <c r="AK1048" s="76">
        <v>5301</v>
      </c>
      <c r="AL1048" s="76" t="b">
        <v>0</v>
      </c>
      <c r="AM1048" s="78">
        <v>44300.974039351851</v>
      </c>
      <c r="AN1048" s="76" t="s">
        <v>14382</v>
      </c>
      <c r="AO1048" s="76" t="s">
        <v>25643</v>
      </c>
      <c r="AP1048" s="76"/>
      <c r="AQ1048" s="76"/>
      <c r="AR1048" s="76"/>
      <c r="AS1048" s="76"/>
      <c r="AT1048" s="76"/>
      <c r="AU1048" s="76"/>
      <c r="AV1048" s="76">
        <v>1.6877721239372401E+18</v>
      </c>
      <c r="AW1048" s="76"/>
      <c r="AX1048" s="76" t="b">
        <v>0</v>
      </c>
      <c r="AY1048" s="76"/>
      <c r="AZ1048" s="76"/>
      <c r="BA1048" s="76" t="b">
        <v>0</v>
      </c>
      <c r="BB1048" s="76" t="b">
        <v>1</v>
      </c>
      <c r="BC1048" s="76" t="b">
        <v>1</v>
      </c>
      <c r="BD1048" s="76" t="b">
        <v>0</v>
      </c>
      <c r="BE1048" s="76" t="b">
        <v>1</v>
      </c>
      <c r="BF1048" s="76" t="b">
        <v>0</v>
      </c>
      <c r="BG1048" s="76" t="b">
        <v>0</v>
      </c>
      <c r="BH1048" s="82" t="str">
        <f>HYPERLINK("https://pbs.twimg.com/profile_banners/1382474239442292747/1618627187")</f>
        <v>https://pbs.twimg.com/profile_banners/1382474239442292747/1618627187</v>
      </c>
      <c r="BI1048" s="76"/>
      <c r="BJ1048" s="76" t="s">
        <v>27595</v>
      </c>
      <c r="BK1048" s="76" t="b">
        <v>0</v>
      </c>
      <c r="BL1048" s="76"/>
      <c r="BM1048" s="76" t="s">
        <v>66</v>
      </c>
      <c r="BN1048" s="76" t="s">
        <v>27597</v>
      </c>
      <c r="BO1048" s="82" t="str">
        <f>HYPERLINK("https://twitter.com/elentorres10")</f>
        <v>https://twitter.com/elentorres10</v>
      </c>
      <c r="BP1048" s="2"/>
    </row>
    <row r="1049" spans="1:68" x14ac:dyDescent="0.25">
      <c r="A1049" s="62" t="s">
        <v>984</v>
      </c>
      <c r="B1049" s="63"/>
      <c r="C1049" s="63"/>
      <c r="D1049" s="64"/>
      <c r="E1049" s="66"/>
      <c r="F1049" s="103" t="str">
        <f>HYPERLINK("https://pbs.twimg.com/profile_images/769512873571684352/on5QHj3b_normal.jpg")</f>
        <v>https://pbs.twimg.com/profile_images/769512873571684352/on5QHj3b_normal.jpg</v>
      </c>
      <c r="G1049" s="63"/>
      <c r="H1049" s="67"/>
      <c r="I1049" s="68"/>
      <c r="J1049" s="68"/>
      <c r="K1049" s="67" t="s">
        <v>28643</v>
      </c>
      <c r="L1049" s="71"/>
      <c r="M1049" s="72"/>
      <c r="N1049" s="72"/>
      <c r="O1049" s="73"/>
      <c r="P1049" s="74"/>
      <c r="Q1049" s="74"/>
      <c r="R1049" s="87"/>
      <c r="S1049" s="87"/>
      <c r="T1049" s="87"/>
      <c r="U1049" s="87"/>
      <c r="V1049" s="48"/>
      <c r="W1049" s="48"/>
      <c r="X1049" s="48"/>
      <c r="Y1049" s="48"/>
      <c r="Z1049" s="47"/>
      <c r="AA1049" s="69">
        <v>1049</v>
      </c>
      <c r="AB1049" s="69"/>
      <c r="AC1049" s="70"/>
      <c r="AD1049" s="76" t="s">
        <v>22272</v>
      </c>
      <c r="AE1049" s="81" t="s">
        <v>23620</v>
      </c>
      <c r="AF1049" s="76">
        <v>1134</v>
      </c>
      <c r="AG1049" s="76">
        <v>1331</v>
      </c>
      <c r="AH1049" s="76">
        <v>2498</v>
      </c>
      <c r="AI1049" s="76">
        <v>12</v>
      </c>
      <c r="AJ1049" s="76">
        <v>1098</v>
      </c>
      <c r="AK1049" s="76">
        <v>1233</v>
      </c>
      <c r="AL1049" s="76" t="b">
        <v>0</v>
      </c>
      <c r="AM1049" s="78">
        <v>40796.399247685185</v>
      </c>
      <c r="AN1049" s="76" t="s">
        <v>24343</v>
      </c>
      <c r="AO1049" s="76" t="s">
        <v>25644</v>
      </c>
      <c r="AP1049" s="82" t="str">
        <f>HYPERLINK("https://t.co/wE5SqTEEjU")</f>
        <v>https://t.co/wE5SqTEEjU</v>
      </c>
      <c r="AQ1049" s="82" t="str">
        <f>HYPERLINK("http://www.revistarumbo.com")</f>
        <v>http://www.revistarumbo.com</v>
      </c>
      <c r="AR1049" s="76" t="s">
        <v>8784</v>
      </c>
      <c r="AS1049" s="76"/>
      <c r="AT1049" s="76"/>
      <c r="AU1049" s="76"/>
      <c r="AV1049" s="76"/>
      <c r="AW1049" s="82" t="str">
        <f>HYPERLINK("https://t.co/wE5SqTEEjU")</f>
        <v>https://t.co/wE5SqTEEjU</v>
      </c>
      <c r="AX1049" s="76" t="b">
        <v>0</v>
      </c>
      <c r="AY1049" s="76"/>
      <c r="AZ1049" s="76"/>
      <c r="BA1049" s="76" t="b">
        <v>0</v>
      </c>
      <c r="BB1049" s="76" t="b">
        <v>1</v>
      </c>
      <c r="BC1049" s="76" t="b">
        <v>0</v>
      </c>
      <c r="BD1049" s="76" t="b">
        <v>0</v>
      </c>
      <c r="BE1049" s="76" t="b">
        <v>1</v>
      </c>
      <c r="BF1049" s="76" t="b">
        <v>0</v>
      </c>
      <c r="BG1049" s="76" t="b">
        <v>0</v>
      </c>
      <c r="BH1049" s="82" t="str">
        <f>HYPERLINK("https://pbs.twimg.com/profile_banners/371163345/1563114399")</f>
        <v>https://pbs.twimg.com/profile_banners/371163345/1563114399</v>
      </c>
      <c r="BI1049" s="76"/>
      <c r="BJ1049" s="76" t="s">
        <v>27595</v>
      </c>
      <c r="BK1049" s="76" t="b">
        <v>0</v>
      </c>
      <c r="BL1049" s="76"/>
      <c r="BM1049" s="76" t="s">
        <v>66</v>
      </c>
      <c r="BN1049" s="76" t="s">
        <v>27597</v>
      </c>
      <c r="BO1049" s="82" t="str">
        <f>HYPERLINK("https://twitter.com/revistarumbo")</f>
        <v>https://twitter.com/revistarumbo</v>
      </c>
      <c r="BP1049" s="2"/>
    </row>
    <row r="1050" spans="1:68" x14ac:dyDescent="0.25">
      <c r="A1050" s="62" t="s">
        <v>986</v>
      </c>
      <c r="B1050" s="63"/>
      <c r="C1050" s="63"/>
      <c r="D1050" s="64"/>
      <c r="E1050" s="66"/>
      <c r="F1050" s="103" t="str">
        <f>HYPERLINK("https://pbs.twimg.com/profile_images/1657153928776097794/nqWAUw4P_normal.png")</f>
        <v>https://pbs.twimg.com/profile_images/1657153928776097794/nqWAUw4P_normal.png</v>
      </c>
      <c r="G1050" s="63"/>
      <c r="H1050" s="67"/>
      <c r="I1050" s="68"/>
      <c r="J1050" s="68"/>
      <c r="K1050" s="67" t="s">
        <v>28644</v>
      </c>
      <c r="L1050" s="71"/>
      <c r="M1050" s="72"/>
      <c r="N1050" s="72"/>
      <c r="O1050" s="73"/>
      <c r="P1050" s="74"/>
      <c r="Q1050" s="74"/>
      <c r="R1050" s="87"/>
      <c r="S1050" s="87"/>
      <c r="T1050" s="87"/>
      <c r="U1050" s="87"/>
      <c r="V1050" s="48"/>
      <c r="W1050" s="48"/>
      <c r="X1050" s="48"/>
      <c r="Y1050" s="48"/>
      <c r="Z1050" s="47"/>
      <c r="AA1050" s="69">
        <v>1050</v>
      </c>
      <c r="AB1050" s="69"/>
      <c r="AC1050" s="70"/>
      <c r="AD1050" s="76" t="s">
        <v>22273</v>
      </c>
      <c r="AE1050" s="81" t="s">
        <v>20864</v>
      </c>
      <c r="AF1050" s="76">
        <v>2053</v>
      </c>
      <c r="AG1050" s="76">
        <v>149</v>
      </c>
      <c r="AH1050" s="76">
        <v>111</v>
      </c>
      <c r="AI1050" s="76">
        <v>0</v>
      </c>
      <c r="AJ1050" s="76">
        <v>0</v>
      </c>
      <c r="AK1050" s="76">
        <v>65</v>
      </c>
      <c r="AL1050" s="76" t="b">
        <v>0</v>
      </c>
      <c r="AM1050" s="78">
        <v>45058.914710648147</v>
      </c>
      <c r="AN1050" s="76" t="s">
        <v>24454</v>
      </c>
      <c r="AO1050" s="76" t="s">
        <v>25645</v>
      </c>
      <c r="AP1050" s="82" t="str">
        <f>HYPERLINK("https://t.co/bfYYN7EuaX")</f>
        <v>https://t.co/bfYYN7EuaX</v>
      </c>
      <c r="AQ1050" s="82" t="str">
        <f>HYPERLINK("http://www.wayrapay.com")</f>
        <v>http://www.wayrapay.com</v>
      </c>
      <c r="AR1050" s="76" t="s">
        <v>26926</v>
      </c>
      <c r="AS1050" s="76"/>
      <c r="AT1050" s="76"/>
      <c r="AU1050" s="76"/>
      <c r="AV1050" s="76"/>
      <c r="AW1050" s="82" t="str">
        <f>HYPERLINK("https://t.co/bfYYN7EuaX")</f>
        <v>https://t.co/bfYYN7EuaX</v>
      </c>
      <c r="AX1050" s="76" t="b">
        <v>0</v>
      </c>
      <c r="AY1050" s="76"/>
      <c r="AZ1050" s="76"/>
      <c r="BA1050" s="76" t="b">
        <v>0</v>
      </c>
      <c r="BB1050" s="76" t="b">
        <v>1</v>
      </c>
      <c r="BC1050" s="76" t="b">
        <v>1</v>
      </c>
      <c r="BD1050" s="76" t="b">
        <v>0</v>
      </c>
      <c r="BE1050" s="76" t="b">
        <v>0</v>
      </c>
      <c r="BF1050" s="76" t="b">
        <v>0</v>
      </c>
      <c r="BG1050" s="76" t="b">
        <v>0</v>
      </c>
      <c r="BH1050" s="82" t="str">
        <f>HYPERLINK("https://pbs.twimg.com/profile_banners/1657142833969614850/1683931998")</f>
        <v>https://pbs.twimg.com/profile_banners/1657142833969614850/1683931998</v>
      </c>
      <c r="BI1050" s="76"/>
      <c r="BJ1050" s="76" t="s">
        <v>27595</v>
      </c>
      <c r="BK1050" s="76" t="b">
        <v>0</v>
      </c>
      <c r="BL1050" s="76"/>
      <c r="BM1050" s="76" t="s">
        <v>66</v>
      </c>
      <c r="BN1050" s="76" t="s">
        <v>27597</v>
      </c>
      <c r="BO1050" s="82" t="str">
        <f>HYPERLINK("https://twitter.com/wayrapay")</f>
        <v>https://twitter.com/wayrapay</v>
      </c>
      <c r="BP1050" s="2"/>
    </row>
    <row r="1051" spans="1:68" x14ac:dyDescent="0.25">
      <c r="A1051" s="62" t="s">
        <v>987</v>
      </c>
      <c r="B1051" s="63"/>
      <c r="C1051" s="63"/>
      <c r="D1051" s="64"/>
      <c r="E1051" s="66"/>
      <c r="F1051" s="103" t="str">
        <f>HYPERLINK("https://pbs.twimg.com/profile_images/1706187058190970880/YvQHsCk6_normal.jpg")</f>
        <v>https://pbs.twimg.com/profile_images/1706187058190970880/YvQHsCk6_normal.jpg</v>
      </c>
      <c r="G1051" s="63"/>
      <c r="H1051" s="67"/>
      <c r="I1051" s="68"/>
      <c r="J1051" s="68"/>
      <c r="K1051" s="67" t="s">
        <v>28645</v>
      </c>
      <c r="L1051" s="71"/>
      <c r="M1051" s="72"/>
      <c r="N1051" s="72"/>
      <c r="O1051" s="73"/>
      <c r="P1051" s="74"/>
      <c r="Q1051" s="74"/>
      <c r="R1051" s="87"/>
      <c r="S1051" s="87"/>
      <c r="T1051" s="87"/>
      <c r="U1051" s="87"/>
      <c r="V1051" s="48"/>
      <c r="W1051" s="48"/>
      <c r="X1051" s="48"/>
      <c r="Y1051" s="48"/>
      <c r="Z1051" s="47"/>
      <c r="AA1051" s="69">
        <v>1051</v>
      </c>
      <c r="AB1051" s="69"/>
      <c r="AC1051" s="70"/>
      <c r="AD1051" s="76" t="s">
        <v>22274</v>
      </c>
      <c r="AE1051" s="81" t="s">
        <v>20865</v>
      </c>
      <c r="AF1051" s="76">
        <v>12</v>
      </c>
      <c r="AG1051" s="76">
        <v>231</v>
      </c>
      <c r="AH1051" s="76">
        <v>520</v>
      </c>
      <c r="AI1051" s="76">
        <v>0</v>
      </c>
      <c r="AJ1051" s="76">
        <v>1593</v>
      </c>
      <c r="AK1051" s="76">
        <v>62</v>
      </c>
      <c r="AL1051" s="76" t="b">
        <v>0</v>
      </c>
      <c r="AM1051" s="78">
        <v>45137.75439814815</v>
      </c>
      <c r="AN1051" s="76"/>
      <c r="AO1051" s="76" t="s">
        <v>25646</v>
      </c>
      <c r="AP1051" s="76"/>
      <c r="AQ1051" s="76"/>
      <c r="AR1051" s="76"/>
      <c r="AS1051" s="76"/>
      <c r="AT1051" s="76"/>
      <c r="AU1051" s="76"/>
      <c r="AV1051" s="76"/>
      <c r="AW1051" s="76"/>
      <c r="AX1051" s="76" t="b">
        <v>0</v>
      </c>
      <c r="AY1051" s="76"/>
      <c r="AZ1051" s="76"/>
      <c r="BA1051" s="76" t="b">
        <v>0</v>
      </c>
      <c r="BB1051" s="76" t="b">
        <v>0</v>
      </c>
      <c r="BC1051" s="76" t="b">
        <v>1</v>
      </c>
      <c r="BD1051" s="76" t="b">
        <v>0</v>
      </c>
      <c r="BE1051" s="76" t="b">
        <v>0</v>
      </c>
      <c r="BF1051" s="76" t="b">
        <v>0</v>
      </c>
      <c r="BG1051" s="76" t="b">
        <v>0</v>
      </c>
      <c r="BH1051" s="82" t="str">
        <f>HYPERLINK("https://pbs.twimg.com/profile_banners/1685713339354083328/1692584360")</f>
        <v>https://pbs.twimg.com/profile_banners/1685713339354083328/1692584360</v>
      </c>
      <c r="BI1051" s="76"/>
      <c r="BJ1051" s="76" t="s">
        <v>27595</v>
      </c>
      <c r="BK1051" s="76" t="b">
        <v>0</v>
      </c>
      <c r="BL1051" s="76"/>
      <c r="BM1051" s="76" t="s">
        <v>66</v>
      </c>
      <c r="BN1051" s="76" t="s">
        <v>27597</v>
      </c>
      <c r="BO1051" s="82" t="str">
        <f>HYPERLINK("https://twitter.com/loh40gama40")</f>
        <v>https://twitter.com/loh40gama40</v>
      </c>
      <c r="BP1051" s="2"/>
    </row>
    <row r="1052" spans="1:68" x14ac:dyDescent="0.25">
      <c r="A1052" s="62" t="s">
        <v>1932</v>
      </c>
      <c r="B1052" s="63"/>
      <c r="C1052" s="63"/>
      <c r="D1052" s="64"/>
      <c r="E1052" s="66"/>
      <c r="F1052" s="103" t="str">
        <f>HYPERLINK("https://pbs.twimg.com/profile_images/1544746398314385415/OFnrKMxv_normal.jpg")</f>
        <v>https://pbs.twimg.com/profile_images/1544746398314385415/OFnrKMxv_normal.jpg</v>
      </c>
      <c r="G1052" s="63"/>
      <c r="H1052" s="67"/>
      <c r="I1052" s="68"/>
      <c r="J1052" s="68"/>
      <c r="K1052" s="67" t="s">
        <v>28646</v>
      </c>
      <c r="L1052" s="71"/>
      <c r="M1052" s="72"/>
      <c r="N1052" s="72"/>
      <c r="O1052" s="73"/>
      <c r="P1052" s="74"/>
      <c r="Q1052" s="74"/>
      <c r="R1052" s="87"/>
      <c r="S1052" s="87"/>
      <c r="T1052" s="87"/>
      <c r="U1052" s="87"/>
      <c r="V1052" s="48"/>
      <c r="W1052" s="48"/>
      <c r="X1052" s="48"/>
      <c r="Y1052" s="48"/>
      <c r="Z1052" s="47"/>
      <c r="AA1052" s="69">
        <v>1052</v>
      </c>
      <c r="AB1052" s="69"/>
      <c r="AC1052" s="70"/>
      <c r="AD1052" s="76" t="s">
        <v>22275</v>
      </c>
      <c r="AE1052" s="81" t="s">
        <v>23621</v>
      </c>
      <c r="AF1052" s="76">
        <v>652584</v>
      </c>
      <c r="AG1052" s="76">
        <v>38</v>
      </c>
      <c r="AH1052" s="76">
        <v>496750</v>
      </c>
      <c r="AI1052" s="76">
        <v>653</v>
      </c>
      <c r="AJ1052" s="76">
        <v>105960</v>
      </c>
      <c r="AK1052" s="76">
        <v>126634</v>
      </c>
      <c r="AL1052" s="76" t="b">
        <v>0</v>
      </c>
      <c r="AM1052" s="78">
        <v>41669.792662037034</v>
      </c>
      <c r="AN1052" s="76" t="s">
        <v>14382</v>
      </c>
      <c r="AO1052" s="76" t="s">
        <v>25647</v>
      </c>
      <c r="AP1052" s="82" t="str">
        <f>HYPERLINK("https://t.co/apuaCJGwEo")</f>
        <v>https://t.co/apuaCJGwEo</v>
      </c>
      <c r="AQ1052" s="82" t="str">
        <f>HYPERLINK("http://sou.nu/n-possibilidades")</f>
        <v>http://sou.nu/n-possibilidades</v>
      </c>
      <c r="AR1052" s="76" t="s">
        <v>26927</v>
      </c>
      <c r="AS1052" s="76"/>
      <c r="AT1052" s="76"/>
      <c r="AU1052" s="76"/>
      <c r="AV1052" s="76"/>
      <c r="AW1052" s="82" t="str">
        <f>HYPERLINK("https://t.co/apuaCJGwEo")</f>
        <v>https://t.co/apuaCJGwEo</v>
      </c>
      <c r="AX1052" s="76" t="b">
        <v>0</v>
      </c>
      <c r="AY1052" s="76"/>
      <c r="AZ1052" s="76"/>
      <c r="BA1052" s="76" t="b">
        <v>1</v>
      </c>
      <c r="BB1052" s="76" t="b">
        <v>1</v>
      </c>
      <c r="BC1052" s="76" t="b">
        <v>0</v>
      </c>
      <c r="BD1052" s="76" t="b">
        <v>0</v>
      </c>
      <c r="BE1052" s="76" t="b">
        <v>1</v>
      </c>
      <c r="BF1052" s="76" t="b">
        <v>0</v>
      </c>
      <c r="BG1052" s="76" t="b">
        <v>0</v>
      </c>
      <c r="BH1052" s="82" t="str">
        <f>HYPERLINK("https://pbs.twimg.com/profile_banners/2319390320/1685732105")</f>
        <v>https://pbs.twimg.com/profile_banners/2319390320/1685732105</v>
      </c>
      <c r="BI1052" s="76"/>
      <c r="BJ1052" s="76" t="s">
        <v>27595</v>
      </c>
      <c r="BK1052" s="76" t="b">
        <v>0</v>
      </c>
      <c r="BL1052" s="76"/>
      <c r="BM1052" s="76" t="s">
        <v>65</v>
      </c>
      <c r="BN1052" s="76" t="s">
        <v>27597</v>
      </c>
      <c r="BO1052" s="82" t="str">
        <f>HYPERLINK("https://twitter.com/nubank")</f>
        <v>https://twitter.com/nubank</v>
      </c>
      <c r="BP1052" s="2"/>
    </row>
    <row r="1053" spans="1:68" x14ac:dyDescent="0.25">
      <c r="A1053" s="62" t="s">
        <v>1933</v>
      </c>
      <c r="B1053" s="63"/>
      <c r="C1053" s="63"/>
      <c r="D1053" s="64"/>
      <c r="E1053" s="66"/>
      <c r="F1053" s="103" t="str">
        <f>HYPERLINK("https://pbs.twimg.com/profile_images/1589710825811492864/kkjBRaGj_normal.jpg")</f>
        <v>https://pbs.twimg.com/profile_images/1589710825811492864/kkjBRaGj_normal.jpg</v>
      </c>
      <c r="G1053" s="63"/>
      <c r="H1053" s="67"/>
      <c r="I1053" s="68"/>
      <c r="J1053" s="68"/>
      <c r="K1053" s="67" t="s">
        <v>28647</v>
      </c>
      <c r="L1053" s="71"/>
      <c r="M1053" s="72"/>
      <c r="N1053" s="72"/>
      <c r="O1053" s="73"/>
      <c r="P1053" s="74"/>
      <c r="Q1053" s="74"/>
      <c r="R1053" s="87"/>
      <c r="S1053" s="87"/>
      <c r="T1053" s="87"/>
      <c r="U1053" s="87"/>
      <c r="V1053" s="48"/>
      <c r="W1053" s="48"/>
      <c r="X1053" s="48"/>
      <c r="Y1053" s="48"/>
      <c r="Z1053" s="47"/>
      <c r="AA1053" s="69">
        <v>1053</v>
      </c>
      <c r="AB1053" s="69"/>
      <c r="AC1053" s="70"/>
      <c r="AD1053" s="76" t="s">
        <v>22276</v>
      </c>
      <c r="AE1053" s="81" t="s">
        <v>20313</v>
      </c>
      <c r="AF1053" s="76">
        <v>62150</v>
      </c>
      <c r="AG1053" s="76">
        <v>21</v>
      </c>
      <c r="AH1053" s="76">
        <v>81276</v>
      </c>
      <c r="AI1053" s="76">
        <v>115</v>
      </c>
      <c r="AJ1053" s="76">
        <v>239</v>
      </c>
      <c r="AK1053" s="76">
        <v>785</v>
      </c>
      <c r="AL1053" s="76" t="b">
        <v>0</v>
      </c>
      <c r="AM1053" s="78">
        <v>40287.608344907407</v>
      </c>
      <c r="AN1053" s="76" t="s">
        <v>14382</v>
      </c>
      <c r="AO1053" s="76" t="s">
        <v>25648</v>
      </c>
      <c r="AP1053" s="82" t="str">
        <f>HYPERLINK("https://t.co/ETn75MBvRw")</f>
        <v>https://t.co/ETn75MBvRw</v>
      </c>
      <c r="AQ1053" s="82" t="str">
        <f>HYPERLINK("https://www.mercadopago.com.br/")</f>
        <v>https://www.mercadopago.com.br/</v>
      </c>
      <c r="AR1053" s="76" t="s">
        <v>26928</v>
      </c>
      <c r="AS1053" s="82" t="str">
        <f>HYPERLINK("https://t.co/RQbnQ2dU9y")</f>
        <v>https://t.co/RQbnQ2dU9y</v>
      </c>
      <c r="AT1053" s="82" t="str">
        <f>HYPERLINK("http://biolivre.com.br/mercadopago")</f>
        <v>http://biolivre.com.br/mercadopago</v>
      </c>
      <c r="AU1053" s="76" t="s">
        <v>27522</v>
      </c>
      <c r="AV1053" s="76"/>
      <c r="AW1053" s="82" t="str">
        <f>HYPERLINK("https://t.co/ETn75MBvRw")</f>
        <v>https://t.co/ETn75MBvRw</v>
      </c>
      <c r="AX1053" s="76" t="b">
        <v>0</v>
      </c>
      <c r="AY1053" s="76"/>
      <c r="AZ1053" s="76"/>
      <c r="BA1053" s="76" t="b">
        <v>1</v>
      </c>
      <c r="BB1053" s="76" t="b">
        <v>1</v>
      </c>
      <c r="BC1053" s="76" t="b">
        <v>0</v>
      </c>
      <c r="BD1053" s="76" t="b">
        <v>0</v>
      </c>
      <c r="BE1053" s="76" t="b">
        <v>1</v>
      </c>
      <c r="BF1053" s="76" t="b">
        <v>0</v>
      </c>
      <c r="BG1053" s="76" t="b">
        <v>0</v>
      </c>
      <c r="BH1053" s="82" t="str">
        <f>HYPERLINK("https://pbs.twimg.com/profile_banners/134815560/1678385500")</f>
        <v>https://pbs.twimg.com/profile_banners/134815560/1678385500</v>
      </c>
      <c r="BI1053" s="76"/>
      <c r="BJ1053" s="76" t="s">
        <v>27595</v>
      </c>
      <c r="BK1053" s="76" t="b">
        <v>0</v>
      </c>
      <c r="BL1053" s="76"/>
      <c r="BM1053" s="76" t="s">
        <v>65</v>
      </c>
      <c r="BN1053" s="76" t="s">
        <v>27597</v>
      </c>
      <c r="BO1053" s="82" t="str">
        <f>HYPERLINK("https://twitter.com/mercadopagobr")</f>
        <v>https://twitter.com/mercadopagobr</v>
      </c>
      <c r="BP1053" s="2"/>
    </row>
    <row r="1054" spans="1:68" x14ac:dyDescent="0.25">
      <c r="A1054" s="62" t="s">
        <v>988</v>
      </c>
      <c r="B1054" s="63"/>
      <c r="C1054" s="63"/>
      <c r="D1054" s="64"/>
      <c r="E1054" s="66"/>
      <c r="F1054" s="103" t="str">
        <f>HYPERLINK("https://pbs.twimg.com/profile_images/1368605032497770496/9TGlcqSX_normal.jpg")</f>
        <v>https://pbs.twimg.com/profile_images/1368605032497770496/9TGlcqSX_normal.jpg</v>
      </c>
      <c r="G1054" s="63"/>
      <c r="H1054" s="67"/>
      <c r="I1054" s="68"/>
      <c r="J1054" s="68"/>
      <c r="K1054" s="67" t="s">
        <v>28648</v>
      </c>
      <c r="L1054" s="71"/>
      <c r="M1054" s="72"/>
      <c r="N1054" s="72"/>
      <c r="O1054" s="73"/>
      <c r="P1054" s="74"/>
      <c r="Q1054" s="74"/>
      <c r="R1054" s="87"/>
      <c r="S1054" s="87"/>
      <c r="T1054" s="87"/>
      <c r="U1054" s="87"/>
      <c r="V1054" s="48"/>
      <c r="W1054" s="48"/>
      <c r="X1054" s="48"/>
      <c r="Y1054" s="48"/>
      <c r="Z1054" s="47"/>
      <c r="AA1054" s="69">
        <v>1054</v>
      </c>
      <c r="AB1054" s="69"/>
      <c r="AC1054" s="70"/>
      <c r="AD1054" s="76" t="s">
        <v>22277</v>
      </c>
      <c r="AE1054" s="81" t="s">
        <v>20866</v>
      </c>
      <c r="AF1054" s="76">
        <v>1159</v>
      </c>
      <c r="AG1054" s="76">
        <v>3541</v>
      </c>
      <c r="AH1054" s="76">
        <v>18371</v>
      </c>
      <c r="AI1054" s="76">
        <v>2</v>
      </c>
      <c r="AJ1054" s="76">
        <v>13911</v>
      </c>
      <c r="AK1054" s="76">
        <v>2837</v>
      </c>
      <c r="AL1054" s="76" t="b">
        <v>0</v>
      </c>
      <c r="AM1054" s="78">
        <v>43102.118611111109</v>
      </c>
      <c r="AN1054" s="76"/>
      <c r="AO1054" s="76"/>
      <c r="AP1054" s="76"/>
      <c r="AQ1054" s="76"/>
      <c r="AR1054" s="76"/>
      <c r="AS1054" s="76"/>
      <c r="AT1054" s="76"/>
      <c r="AU1054" s="76"/>
      <c r="AV1054" s="76">
        <v>1.3777824452532201E+18</v>
      </c>
      <c r="AW1054" s="76"/>
      <c r="AX1054" s="76" t="b">
        <v>0</v>
      </c>
      <c r="AY1054" s="76"/>
      <c r="AZ1054" s="76"/>
      <c r="BA1054" s="76" t="b">
        <v>0</v>
      </c>
      <c r="BB1054" s="76" t="b">
        <v>1</v>
      </c>
      <c r="BC1054" s="76" t="b">
        <v>0</v>
      </c>
      <c r="BD1054" s="76" t="b">
        <v>0</v>
      </c>
      <c r="BE1054" s="76" t="b">
        <v>0</v>
      </c>
      <c r="BF1054" s="76" t="b">
        <v>0</v>
      </c>
      <c r="BG1054" s="76" t="b">
        <v>0</v>
      </c>
      <c r="BH1054" s="82" t="str">
        <f>HYPERLINK("https://pbs.twimg.com/profile_banners/948023741937803264/1615135817")</f>
        <v>https://pbs.twimg.com/profile_banners/948023741937803264/1615135817</v>
      </c>
      <c r="BI1054" s="76"/>
      <c r="BJ1054" s="76" t="s">
        <v>27595</v>
      </c>
      <c r="BK1054" s="76" t="b">
        <v>0</v>
      </c>
      <c r="BL1054" s="76"/>
      <c r="BM1054" s="76" t="s">
        <v>66</v>
      </c>
      <c r="BN1054" s="76" t="s">
        <v>27597</v>
      </c>
      <c r="BO1054" s="82" t="str">
        <f>HYPERLINK("https://twitter.com/malutrin2018")</f>
        <v>https://twitter.com/malutrin2018</v>
      </c>
      <c r="BP1054" s="2"/>
    </row>
    <row r="1055" spans="1:68" x14ac:dyDescent="0.25">
      <c r="A1055" s="62" t="s">
        <v>989</v>
      </c>
      <c r="B1055" s="63"/>
      <c r="C1055" s="63"/>
      <c r="D1055" s="64"/>
      <c r="E1055" s="66"/>
      <c r="F1055" s="103" t="str">
        <f>HYPERLINK("https://pbs.twimg.com/profile_images/1582998555714899969/AN6KHRli_normal.jpg")</f>
        <v>https://pbs.twimg.com/profile_images/1582998555714899969/AN6KHRli_normal.jpg</v>
      </c>
      <c r="G1055" s="63"/>
      <c r="H1055" s="67"/>
      <c r="I1055" s="68"/>
      <c r="J1055" s="68"/>
      <c r="K1055" s="67" t="s">
        <v>28649</v>
      </c>
      <c r="L1055" s="71"/>
      <c r="M1055" s="72"/>
      <c r="N1055" s="72"/>
      <c r="O1055" s="73"/>
      <c r="P1055" s="74"/>
      <c r="Q1055" s="74"/>
      <c r="R1055" s="87"/>
      <c r="S1055" s="87"/>
      <c r="T1055" s="87"/>
      <c r="U1055" s="87"/>
      <c r="V1055" s="48"/>
      <c r="W1055" s="48"/>
      <c r="X1055" s="48"/>
      <c r="Y1055" s="48"/>
      <c r="Z1055" s="47"/>
      <c r="AA1055" s="69">
        <v>1055</v>
      </c>
      <c r="AB1055" s="69"/>
      <c r="AC1055" s="70"/>
      <c r="AD1055" s="76" t="s">
        <v>22278</v>
      </c>
      <c r="AE1055" s="81" t="s">
        <v>20867</v>
      </c>
      <c r="AF1055" s="76">
        <v>34</v>
      </c>
      <c r="AG1055" s="76">
        <v>42</v>
      </c>
      <c r="AH1055" s="76">
        <v>1110</v>
      </c>
      <c r="AI1055" s="76">
        <v>0</v>
      </c>
      <c r="AJ1055" s="76">
        <v>1228</v>
      </c>
      <c r="AK1055" s="76">
        <v>2</v>
      </c>
      <c r="AL1055" s="76" t="b">
        <v>0</v>
      </c>
      <c r="AM1055" s="78">
        <v>44854.310474537036</v>
      </c>
      <c r="AN1055" s="76" t="s">
        <v>24455</v>
      </c>
      <c r="AO1055" s="76" t="s">
        <v>25649</v>
      </c>
      <c r="AP1055" s="76"/>
      <c r="AQ1055" s="76"/>
      <c r="AR1055" s="76"/>
      <c r="AS1055" s="76"/>
      <c r="AT1055" s="76"/>
      <c r="AU1055" s="76"/>
      <c r="AV1055" s="76"/>
      <c r="AW1055" s="76"/>
      <c r="AX1055" s="76" t="b">
        <v>0</v>
      </c>
      <c r="AY1055" s="76"/>
      <c r="AZ1055" s="76"/>
      <c r="BA1055" s="76" t="b">
        <v>0</v>
      </c>
      <c r="BB1055" s="76" t="b">
        <v>1</v>
      </c>
      <c r="BC1055" s="76" t="b">
        <v>1</v>
      </c>
      <c r="BD1055" s="76" t="b">
        <v>0</v>
      </c>
      <c r="BE1055" s="76" t="b">
        <v>0</v>
      </c>
      <c r="BF1055" s="76" t="b">
        <v>0</v>
      </c>
      <c r="BG1055" s="76" t="b">
        <v>0</v>
      </c>
      <c r="BH1055" s="82" t="str">
        <f>HYPERLINK("https://pbs.twimg.com/profile_banners/1582996734275461121/1666251243")</f>
        <v>https://pbs.twimg.com/profile_banners/1582996734275461121/1666251243</v>
      </c>
      <c r="BI1055" s="76"/>
      <c r="BJ1055" s="76" t="s">
        <v>27595</v>
      </c>
      <c r="BK1055" s="76" t="b">
        <v>0</v>
      </c>
      <c r="BL1055" s="76"/>
      <c r="BM1055" s="76" t="s">
        <v>66</v>
      </c>
      <c r="BN1055" s="76" t="s">
        <v>27597</v>
      </c>
      <c r="BO1055" s="82" t="str">
        <f>HYPERLINK("https://twitter.com/unioperiodistic")</f>
        <v>https://twitter.com/unioperiodistic</v>
      </c>
      <c r="BP1055" s="2"/>
    </row>
    <row r="1056" spans="1:68" x14ac:dyDescent="0.25">
      <c r="A1056" s="62" t="s">
        <v>990</v>
      </c>
      <c r="B1056" s="63"/>
      <c r="C1056" s="63"/>
      <c r="D1056" s="64"/>
      <c r="E1056" s="66"/>
      <c r="F1056" s="103" t="str">
        <f>HYPERLINK("https://pbs.twimg.com/profile_images/1675169585874468864/RBzspNIj_normal.jpg")</f>
        <v>https://pbs.twimg.com/profile_images/1675169585874468864/RBzspNIj_normal.jpg</v>
      </c>
      <c r="G1056" s="63"/>
      <c r="H1056" s="67"/>
      <c r="I1056" s="68"/>
      <c r="J1056" s="68"/>
      <c r="K1056" s="67" t="s">
        <v>28650</v>
      </c>
      <c r="L1056" s="71"/>
      <c r="M1056" s="72"/>
      <c r="N1056" s="72"/>
      <c r="O1056" s="73"/>
      <c r="P1056" s="74"/>
      <c r="Q1056" s="74"/>
      <c r="R1056" s="87"/>
      <c r="S1056" s="87"/>
      <c r="T1056" s="87"/>
      <c r="U1056" s="87"/>
      <c r="V1056" s="48"/>
      <c r="W1056" s="48"/>
      <c r="X1056" s="48"/>
      <c r="Y1056" s="48"/>
      <c r="Z1056" s="47"/>
      <c r="AA1056" s="69">
        <v>1056</v>
      </c>
      <c r="AB1056" s="69"/>
      <c r="AC1056" s="70"/>
      <c r="AD1056" s="76" t="s">
        <v>22279</v>
      </c>
      <c r="AE1056" s="81" t="s">
        <v>20868</v>
      </c>
      <c r="AF1056" s="76">
        <v>26</v>
      </c>
      <c r="AG1056" s="76">
        <v>330</v>
      </c>
      <c r="AH1056" s="76">
        <v>712</v>
      </c>
      <c r="AI1056" s="76">
        <v>0</v>
      </c>
      <c r="AJ1056" s="76">
        <v>2498</v>
      </c>
      <c r="AK1056" s="76">
        <v>143</v>
      </c>
      <c r="AL1056" s="76" t="b">
        <v>0</v>
      </c>
      <c r="AM1056" s="78">
        <v>44760.933275462965</v>
      </c>
      <c r="AN1056" s="76" t="s">
        <v>14400</v>
      </c>
      <c r="AO1056" s="76" t="s">
        <v>25650</v>
      </c>
      <c r="AP1056" s="76"/>
      <c r="AQ1056" s="76"/>
      <c r="AR1056" s="76"/>
      <c r="AS1056" s="76"/>
      <c r="AT1056" s="76"/>
      <c r="AU1056" s="76"/>
      <c r="AV1056" s="76"/>
      <c r="AW1056" s="76"/>
      <c r="AX1056" s="76" t="b">
        <v>0</v>
      </c>
      <c r="AY1056" s="76"/>
      <c r="AZ1056" s="76"/>
      <c r="BA1056" s="76" t="b">
        <v>0</v>
      </c>
      <c r="BB1056" s="76" t="b">
        <v>1</v>
      </c>
      <c r="BC1056" s="76" t="b">
        <v>1</v>
      </c>
      <c r="BD1056" s="76" t="b">
        <v>0</v>
      </c>
      <c r="BE1056" s="76" t="b">
        <v>1</v>
      </c>
      <c r="BF1056" s="76" t="b">
        <v>0</v>
      </c>
      <c r="BG1056" s="76" t="b">
        <v>0</v>
      </c>
      <c r="BH1056" s="82" t="str">
        <f>HYPERLINK("https://pbs.twimg.com/profile_banners/1549157883123798020/1670678355")</f>
        <v>https://pbs.twimg.com/profile_banners/1549157883123798020/1670678355</v>
      </c>
      <c r="BI1056" s="76"/>
      <c r="BJ1056" s="76" t="s">
        <v>27595</v>
      </c>
      <c r="BK1056" s="76" t="b">
        <v>0</v>
      </c>
      <c r="BL1056" s="76"/>
      <c r="BM1056" s="76" t="s">
        <v>66</v>
      </c>
      <c r="BN1056" s="76" t="s">
        <v>27597</v>
      </c>
      <c r="BO1056" s="82" t="str">
        <f>HYPERLINK("https://twitter.com/juliocf89")</f>
        <v>https://twitter.com/juliocf89</v>
      </c>
      <c r="BP1056" s="2"/>
    </row>
    <row r="1057" spans="1:68" x14ac:dyDescent="0.25">
      <c r="A1057" s="62" t="s">
        <v>991</v>
      </c>
      <c r="B1057" s="63"/>
      <c r="C1057" s="63"/>
      <c r="D1057" s="64"/>
      <c r="E1057" s="66"/>
      <c r="F1057" s="103" t="str">
        <f>HYPERLINK("https://pbs.twimg.com/profile_images/1668683927936966674/V9IjuNVA_normal.jpg")</f>
        <v>https://pbs.twimg.com/profile_images/1668683927936966674/V9IjuNVA_normal.jpg</v>
      </c>
      <c r="G1057" s="63"/>
      <c r="H1057" s="67"/>
      <c r="I1057" s="68"/>
      <c r="J1057" s="68"/>
      <c r="K1057" s="67" t="s">
        <v>28651</v>
      </c>
      <c r="L1057" s="71"/>
      <c r="M1057" s="72"/>
      <c r="N1057" s="72"/>
      <c r="O1057" s="73"/>
      <c r="P1057" s="74"/>
      <c r="Q1057" s="74"/>
      <c r="R1057" s="87"/>
      <c r="S1057" s="87"/>
      <c r="T1057" s="87"/>
      <c r="U1057" s="87"/>
      <c r="V1057" s="48"/>
      <c r="W1057" s="48"/>
      <c r="X1057" s="48"/>
      <c r="Y1057" s="48"/>
      <c r="Z1057" s="47"/>
      <c r="AA1057" s="69">
        <v>1057</v>
      </c>
      <c r="AB1057" s="69"/>
      <c r="AC1057" s="70"/>
      <c r="AD1057" s="76" t="s">
        <v>22280</v>
      </c>
      <c r="AE1057" s="81" t="s">
        <v>20869</v>
      </c>
      <c r="AF1057" s="76">
        <v>194</v>
      </c>
      <c r="AG1057" s="76">
        <v>266</v>
      </c>
      <c r="AH1057" s="76">
        <v>1575</v>
      </c>
      <c r="AI1057" s="76">
        <v>2</v>
      </c>
      <c r="AJ1057" s="76">
        <v>2250</v>
      </c>
      <c r="AK1057" s="76">
        <v>384</v>
      </c>
      <c r="AL1057" s="76" t="b">
        <v>0</v>
      </c>
      <c r="AM1057" s="78">
        <v>42954.827164351853</v>
      </c>
      <c r="AN1057" s="76" t="s">
        <v>24456</v>
      </c>
      <c r="AO1057" s="76" t="s">
        <v>25651</v>
      </c>
      <c r="AP1057" s="82" t="str">
        <f>HYPERLINK("https://t.co/6q2Jm0eGXh")</f>
        <v>https://t.co/6q2Jm0eGXh</v>
      </c>
      <c r="AQ1057" s="82" t="str">
        <f>HYPERLINK("https://www.facebook.com/professorDouglasIzzo")</f>
        <v>https://www.facebook.com/professorDouglasIzzo</v>
      </c>
      <c r="AR1057" s="76" t="s">
        <v>26929</v>
      </c>
      <c r="AS1057" s="76"/>
      <c r="AT1057" s="76"/>
      <c r="AU1057" s="76"/>
      <c r="AV1057" s="76"/>
      <c r="AW1057" s="82" t="str">
        <f>HYPERLINK("https://t.co/6q2Jm0eGXh")</f>
        <v>https://t.co/6q2Jm0eGXh</v>
      </c>
      <c r="AX1057" s="76" t="b">
        <v>0</v>
      </c>
      <c r="AY1057" s="76"/>
      <c r="AZ1057" s="76"/>
      <c r="BA1057" s="76" t="b">
        <v>0</v>
      </c>
      <c r="BB1057" s="76" t="b">
        <v>1</v>
      </c>
      <c r="BC1057" s="76" t="b">
        <v>0</v>
      </c>
      <c r="BD1057" s="76" t="b">
        <v>0</v>
      </c>
      <c r="BE1057" s="76" t="b">
        <v>0</v>
      </c>
      <c r="BF1057" s="76" t="b">
        <v>0</v>
      </c>
      <c r="BG1057" s="76" t="b">
        <v>0</v>
      </c>
      <c r="BH1057" s="82" t="str">
        <f>HYPERLINK("https://pbs.twimg.com/profile_banners/894647108388753409/1695140005")</f>
        <v>https://pbs.twimg.com/profile_banners/894647108388753409/1695140005</v>
      </c>
      <c r="BI1057" s="76"/>
      <c r="BJ1057" s="76" t="s">
        <v>27595</v>
      </c>
      <c r="BK1057" s="76" t="b">
        <v>0</v>
      </c>
      <c r="BL1057" s="76"/>
      <c r="BM1057" s="76" t="s">
        <v>66</v>
      </c>
      <c r="BN1057" s="76" t="s">
        <v>27597</v>
      </c>
      <c r="BO1057" s="82" t="str">
        <f>HYPERLINK("https://twitter.com/izzo_douglas")</f>
        <v>https://twitter.com/izzo_douglas</v>
      </c>
      <c r="BP1057" s="2"/>
    </row>
    <row r="1058" spans="1:68" x14ac:dyDescent="0.25">
      <c r="A1058" s="62" t="s">
        <v>992</v>
      </c>
      <c r="B1058" s="63"/>
      <c r="C1058" s="63"/>
      <c r="D1058" s="64"/>
      <c r="E1058" s="66"/>
      <c r="F1058" s="103" t="str">
        <f>HYPERLINK("https://pbs.twimg.com/profile_images/1501897686156468226/vRKnTgIP_normal.jpg")</f>
        <v>https://pbs.twimg.com/profile_images/1501897686156468226/vRKnTgIP_normal.jpg</v>
      </c>
      <c r="G1058" s="63"/>
      <c r="H1058" s="67"/>
      <c r="I1058" s="68"/>
      <c r="J1058" s="68"/>
      <c r="K1058" s="67" t="s">
        <v>28652</v>
      </c>
      <c r="L1058" s="71"/>
      <c r="M1058" s="72"/>
      <c r="N1058" s="72"/>
      <c r="O1058" s="73"/>
      <c r="P1058" s="74"/>
      <c r="Q1058" s="74"/>
      <c r="R1058" s="87"/>
      <c r="S1058" s="87"/>
      <c r="T1058" s="87"/>
      <c r="U1058" s="87"/>
      <c r="V1058" s="48"/>
      <c r="W1058" s="48"/>
      <c r="X1058" s="48"/>
      <c r="Y1058" s="48"/>
      <c r="Z1058" s="47"/>
      <c r="AA1058" s="69">
        <v>1058</v>
      </c>
      <c r="AB1058" s="69"/>
      <c r="AC1058" s="70"/>
      <c r="AD1058" s="76" t="s">
        <v>22281</v>
      </c>
      <c r="AE1058" s="81" t="s">
        <v>23622</v>
      </c>
      <c r="AF1058" s="76">
        <v>694</v>
      </c>
      <c r="AG1058" s="76">
        <v>618</v>
      </c>
      <c r="AH1058" s="76">
        <v>2721</v>
      </c>
      <c r="AI1058" s="76">
        <v>11</v>
      </c>
      <c r="AJ1058" s="76">
        <v>96</v>
      </c>
      <c r="AK1058" s="76">
        <v>105</v>
      </c>
      <c r="AL1058" s="76" t="b">
        <v>0</v>
      </c>
      <c r="AM1058" s="78">
        <v>39986.83320601852</v>
      </c>
      <c r="AN1058" s="76" t="s">
        <v>24457</v>
      </c>
      <c r="AO1058" s="76" t="s">
        <v>25652</v>
      </c>
      <c r="AP1058" s="76"/>
      <c r="AQ1058" s="76"/>
      <c r="AR1058" s="76"/>
      <c r="AS1058" s="76"/>
      <c r="AT1058" s="76"/>
      <c r="AU1058" s="76"/>
      <c r="AV1058" s="76"/>
      <c r="AW1058" s="76"/>
      <c r="AX1058" s="76" t="b">
        <v>0</v>
      </c>
      <c r="AY1058" s="76"/>
      <c r="AZ1058" s="76"/>
      <c r="BA1058" s="76" t="b">
        <v>1</v>
      </c>
      <c r="BB1058" s="76" t="b">
        <v>1</v>
      </c>
      <c r="BC1058" s="76" t="b">
        <v>0</v>
      </c>
      <c r="BD1058" s="76" t="b">
        <v>0</v>
      </c>
      <c r="BE1058" s="76" t="b">
        <v>0</v>
      </c>
      <c r="BF1058" s="76" t="b">
        <v>0</v>
      </c>
      <c r="BG1058" s="76" t="b">
        <v>0</v>
      </c>
      <c r="BH1058" s="82" t="str">
        <f>HYPERLINK("https://pbs.twimg.com/profile_banners/49744872/1646915288")</f>
        <v>https://pbs.twimg.com/profile_banners/49744872/1646915288</v>
      </c>
      <c r="BI1058" s="76"/>
      <c r="BJ1058" s="76" t="s">
        <v>27595</v>
      </c>
      <c r="BK1058" s="76" t="b">
        <v>0</v>
      </c>
      <c r="BL1058" s="76"/>
      <c r="BM1058" s="76" t="s">
        <v>66</v>
      </c>
      <c r="BN1058" s="76" t="s">
        <v>27597</v>
      </c>
      <c r="BO1058" s="82" t="str">
        <f>HYPERLINK("https://twitter.com/rafaelfmaciel")</f>
        <v>https://twitter.com/rafaelfmaciel</v>
      </c>
      <c r="BP1058" s="2"/>
    </row>
    <row r="1059" spans="1:68" x14ac:dyDescent="0.25">
      <c r="A1059" s="62" t="s">
        <v>993</v>
      </c>
      <c r="B1059" s="63"/>
      <c r="C1059" s="63"/>
      <c r="D1059" s="64"/>
      <c r="E1059" s="66"/>
      <c r="F1059" s="103" t="str">
        <f>HYPERLINK("https://pbs.twimg.com/profile_images/1512109976138956801/5IIG-7ND_normal.jpg")</f>
        <v>https://pbs.twimg.com/profile_images/1512109976138956801/5IIG-7ND_normal.jpg</v>
      </c>
      <c r="G1059" s="63"/>
      <c r="H1059" s="67"/>
      <c r="I1059" s="68"/>
      <c r="J1059" s="68"/>
      <c r="K1059" s="67" t="s">
        <v>28653</v>
      </c>
      <c r="L1059" s="71"/>
      <c r="M1059" s="72"/>
      <c r="N1059" s="72"/>
      <c r="O1059" s="73"/>
      <c r="P1059" s="74"/>
      <c r="Q1059" s="74"/>
      <c r="R1059" s="87"/>
      <c r="S1059" s="87"/>
      <c r="T1059" s="87"/>
      <c r="U1059" s="87"/>
      <c r="V1059" s="48"/>
      <c r="W1059" s="48"/>
      <c r="X1059" s="48"/>
      <c r="Y1059" s="48"/>
      <c r="Z1059" s="47"/>
      <c r="AA1059" s="69">
        <v>1059</v>
      </c>
      <c r="AB1059" s="69"/>
      <c r="AC1059" s="70"/>
      <c r="AD1059" s="76" t="s">
        <v>22282</v>
      </c>
      <c r="AE1059" s="81" t="s">
        <v>20870</v>
      </c>
      <c r="AF1059" s="76">
        <v>1718</v>
      </c>
      <c r="AG1059" s="76">
        <v>454</v>
      </c>
      <c r="AH1059" s="76">
        <v>3479</v>
      </c>
      <c r="AI1059" s="76">
        <v>16</v>
      </c>
      <c r="AJ1059" s="76">
        <v>1551</v>
      </c>
      <c r="AK1059" s="76">
        <v>408</v>
      </c>
      <c r="AL1059" s="76" t="b">
        <v>0</v>
      </c>
      <c r="AM1059" s="78">
        <v>44621.453240740739</v>
      </c>
      <c r="AN1059" s="76" t="s">
        <v>14383</v>
      </c>
      <c r="AO1059" s="76" t="s">
        <v>25653</v>
      </c>
      <c r="AP1059" s="82" t="str">
        <f>HYPERLINK("https://t.co/5qKl8MZSlW")</f>
        <v>https://t.co/5qKl8MZSlW</v>
      </c>
      <c r="AQ1059" s="82" t="str">
        <f>HYPERLINK("https://soyhodler.com/")</f>
        <v>https://soyhodler.com/</v>
      </c>
      <c r="AR1059" s="76" t="s">
        <v>26930</v>
      </c>
      <c r="AS1059" s="76"/>
      <c r="AT1059" s="76"/>
      <c r="AU1059" s="76"/>
      <c r="AV1059" s="76">
        <v>1.69542699792353E+18</v>
      </c>
      <c r="AW1059" s="82" t="str">
        <f>HYPERLINK("https://t.co/5qKl8MZSlW")</f>
        <v>https://t.co/5qKl8MZSlW</v>
      </c>
      <c r="AX1059" s="76" t="b">
        <v>0</v>
      </c>
      <c r="AY1059" s="76"/>
      <c r="AZ1059" s="76"/>
      <c r="BA1059" s="76" t="b">
        <v>1</v>
      </c>
      <c r="BB1059" s="76" t="b">
        <v>1</v>
      </c>
      <c r="BC1059" s="76" t="b">
        <v>1</v>
      </c>
      <c r="BD1059" s="76" t="b">
        <v>0</v>
      </c>
      <c r="BE1059" s="76" t="b">
        <v>1</v>
      </c>
      <c r="BF1059" s="76" t="b">
        <v>0</v>
      </c>
      <c r="BG1059" s="76" t="b">
        <v>0</v>
      </c>
      <c r="BH1059" s="82" t="str">
        <f>HYPERLINK("https://pbs.twimg.com/profile_banners/1498612106454867974/1692040583")</f>
        <v>https://pbs.twimg.com/profile_banners/1498612106454867974/1692040583</v>
      </c>
      <c r="BI1059" s="76"/>
      <c r="BJ1059" s="76" t="s">
        <v>27595</v>
      </c>
      <c r="BK1059" s="76" t="b">
        <v>0</v>
      </c>
      <c r="BL1059" s="76"/>
      <c r="BM1059" s="76" t="s">
        <v>66</v>
      </c>
      <c r="BN1059" s="76" t="s">
        <v>27597</v>
      </c>
      <c r="BO1059" s="82" t="str">
        <f>HYPERLINK("https://twitter.com/soyhodler")</f>
        <v>https://twitter.com/soyhodler</v>
      </c>
      <c r="BP1059" s="2"/>
    </row>
    <row r="1060" spans="1:68" x14ac:dyDescent="0.25">
      <c r="A1060" s="62" t="s">
        <v>994</v>
      </c>
      <c r="B1060" s="63"/>
      <c r="C1060" s="63"/>
      <c r="D1060" s="64"/>
      <c r="E1060" s="66"/>
      <c r="F1060" s="103" t="str">
        <f>HYPERLINK("https://pbs.twimg.com/profile_images/1676936265487339520/l_usiKAY_normal.png")</f>
        <v>https://pbs.twimg.com/profile_images/1676936265487339520/l_usiKAY_normal.png</v>
      </c>
      <c r="G1060" s="63"/>
      <c r="H1060" s="67"/>
      <c r="I1060" s="68"/>
      <c r="J1060" s="68"/>
      <c r="K1060" s="67" t="s">
        <v>28654</v>
      </c>
      <c r="L1060" s="71"/>
      <c r="M1060" s="72"/>
      <c r="N1060" s="72"/>
      <c r="O1060" s="73"/>
      <c r="P1060" s="74"/>
      <c r="Q1060" s="74"/>
      <c r="R1060" s="87"/>
      <c r="S1060" s="87"/>
      <c r="T1060" s="87"/>
      <c r="U1060" s="87"/>
      <c r="V1060" s="48"/>
      <c r="W1060" s="48"/>
      <c r="X1060" s="48"/>
      <c r="Y1060" s="48"/>
      <c r="Z1060" s="47"/>
      <c r="AA1060" s="69">
        <v>1060</v>
      </c>
      <c r="AB1060" s="69"/>
      <c r="AC1060" s="70"/>
      <c r="AD1060" s="76" t="s">
        <v>22283</v>
      </c>
      <c r="AE1060" s="81" t="s">
        <v>20871</v>
      </c>
      <c r="AF1060" s="76">
        <v>446</v>
      </c>
      <c r="AG1060" s="76">
        <v>446</v>
      </c>
      <c r="AH1060" s="76">
        <v>1038</v>
      </c>
      <c r="AI1060" s="76">
        <v>0</v>
      </c>
      <c r="AJ1060" s="76">
        <v>17</v>
      </c>
      <c r="AK1060" s="76">
        <v>1034</v>
      </c>
      <c r="AL1060" s="76" t="b">
        <v>0</v>
      </c>
      <c r="AM1060" s="78">
        <v>44313.729525462964</v>
      </c>
      <c r="AN1060" s="76" t="s">
        <v>14382</v>
      </c>
      <c r="AO1060" s="76" t="s">
        <v>25654</v>
      </c>
      <c r="AP1060" s="82" t="str">
        <f>HYPERLINK("https://t.co/2IQeLmdvMA")</f>
        <v>https://t.co/2IQeLmdvMA</v>
      </c>
      <c r="AQ1060" s="82" t="str">
        <f>HYPERLINK("https://beacons.page/semontcorretora")</f>
        <v>https://beacons.page/semontcorretora</v>
      </c>
      <c r="AR1060" s="76" t="s">
        <v>26931</v>
      </c>
      <c r="AS1060" s="76"/>
      <c r="AT1060" s="76"/>
      <c r="AU1060" s="76"/>
      <c r="AV1060" s="76"/>
      <c r="AW1060" s="82" t="str">
        <f>HYPERLINK("https://t.co/2IQeLmdvMA")</f>
        <v>https://t.co/2IQeLmdvMA</v>
      </c>
      <c r="AX1060" s="76" t="b">
        <v>0</v>
      </c>
      <c r="AY1060" s="76"/>
      <c r="AZ1060" s="76"/>
      <c r="BA1060" s="76" t="b">
        <v>1</v>
      </c>
      <c r="BB1060" s="76" t="b">
        <v>1</v>
      </c>
      <c r="BC1060" s="76" t="b">
        <v>1</v>
      </c>
      <c r="BD1060" s="76" t="b">
        <v>0</v>
      </c>
      <c r="BE1060" s="76" t="b">
        <v>0</v>
      </c>
      <c r="BF1060" s="76" t="b">
        <v>0</v>
      </c>
      <c r="BG1060" s="76" t="b">
        <v>0</v>
      </c>
      <c r="BH1060" s="82" t="str">
        <f>HYPERLINK("https://pbs.twimg.com/profile_banners/1387096552284598272/1619546661")</f>
        <v>https://pbs.twimg.com/profile_banners/1387096552284598272/1619546661</v>
      </c>
      <c r="BI1060" s="76"/>
      <c r="BJ1060" s="76" t="s">
        <v>27595</v>
      </c>
      <c r="BK1060" s="76" t="b">
        <v>0</v>
      </c>
      <c r="BL1060" s="76"/>
      <c r="BM1060" s="76" t="s">
        <v>66</v>
      </c>
      <c r="BN1060" s="76" t="s">
        <v>27597</v>
      </c>
      <c r="BO1060" s="82" t="str">
        <f>HYPERLINK("https://twitter.com/semontcorretora")</f>
        <v>https://twitter.com/semontcorretora</v>
      </c>
      <c r="BP1060" s="2"/>
    </row>
    <row r="1061" spans="1:68" x14ac:dyDescent="0.25">
      <c r="A1061" s="62" t="s">
        <v>995</v>
      </c>
      <c r="B1061" s="63"/>
      <c r="C1061" s="63"/>
      <c r="D1061" s="64"/>
      <c r="E1061" s="66"/>
      <c r="F1061" s="103" t="str">
        <f>HYPERLINK("https://pbs.twimg.com/profile_images/1704474825643716608/CkMe0RIX_normal.jpg")</f>
        <v>https://pbs.twimg.com/profile_images/1704474825643716608/CkMe0RIX_normal.jpg</v>
      </c>
      <c r="G1061" s="63"/>
      <c r="H1061" s="67"/>
      <c r="I1061" s="68"/>
      <c r="J1061" s="68"/>
      <c r="K1061" s="67" t="s">
        <v>28655</v>
      </c>
      <c r="L1061" s="71"/>
      <c r="M1061" s="72"/>
      <c r="N1061" s="72"/>
      <c r="O1061" s="73"/>
      <c r="P1061" s="74"/>
      <c r="Q1061" s="74"/>
      <c r="R1061" s="87"/>
      <c r="S1061" s="87"/>
      <c r="T1061" s="87"/>
      <c r="U1061" s="87"/>
      <c r="V1061" s="48"/>
      <c r="W1061" s="48"/>
      <c r="X1061" s="48"/>
      <c r="Y1061" s="48"/>
      <c r="Z1061" s="47"/>
      <c r="AA1061" s="69">
        <v>1061</v>
      </c>
      <c r="AB1061" s="69"/>
      <c r="AC1061" s="70"/>
      <c r="AD1061" s="76" t="s">
        <v>22284</v>
      </c>
      <c r="AE1061" s="81" t="s">
        <v>20872</v>
      </c>
      <c r="AF1061" s="76">
        <v>384</v>
      </c>
      <c r="AG1061" s="76">
        <v>599</v>
      </c>
      <c r="AH1061" s="76">
        <v>17614</v>
      </c>
      <c r="AI1061" s="76">
        <v>0</v>
      </c>
      <c r="AJ1061" s="76">
        <v>22675</v>
      </c>
      <c r="AK1061" s="76">
        <v>923</v>
      </c>
      <c r="AL1061" s="76" t="b">
        <v>0</v>
      </c>
      <c r="AM1061" s="78">
        <v>44015.674479166664</v>
      </c>
      <c r="AN1061" s="76"/>
      <c r="AO1061" s="76" t="s">
        <v>25655</v>
      </c>
      <c r="AP1061" s="76"/>
      <c r="AQ1061" s="76"/>
      <c r="AR1061" s="76"/>
      <c r="AS1061" s="76"/>
      <c r="AT1061" s="76"/>
      <c r="AU1061" s="76"/>
      <c r="AV1061" s="76"/>
      <c r="AW1061" s="76"/>
      <c r="AX1061" s="76" t="b">
        <v>0</v>
      </c>
      <c r="AY1061" s="76"/>
      <c r="AZ1061" s="76"/>
      <c r="BA1061" s="76" t="b">
        <v>0</v>
      </c>
      <c r="BB1061" s="76" t="b">
        <v>0</v>
      </c>
      <c r="BC1061" s="76" t="b">
        <v>1</v>
      </c>
      <c r="BD1061" s="76" t="b">
        <v>0</v>
      </c>
      <c r="BE1061" s="76" t="b">
        <v>1</v>
      </c>
      <c r="BF1061" s="76" t="b">
        <v>0</v>
      </c>
      <c r="BG1061" s="76" t="b">
        <v>0</v>
      </c>
      <c r="BH1061" s="82" t="str">
        <f>HYPERLINK("https://pbs.twimg.com/profile_banners/1279085182528753671/1694474694")</f>
        <v>https://pbs.twimg.com/profile_banners/1279085182528753671/1694474694</v>
      </c>
      <c r="BI1061" s="76"/>
      <c r="BJ1061" s="76" t="s">
        <v>27595</v>
      </c>
      <c r="BK1061" s="76" t="b">
        <v>0</v>
      </c>
      <c r="BL1061" s="76"/>
      <c r="BM1061" s="76" t="s">
        <v>66</v>
      </c>
      <c r="BN1061" s="76" t="s">
        <v>27597</v>
      </c>
      <c r="BO1061" s="82" t="str">
        <f>HYPERLINK("https://twitter.com/marcovg76")</f>
        <v>https://twitter.com/marcovg76</v>
      </c>
      <c r="BP1061" s="2"/>
    </row>
    <row r="1062" spans="1:68" x14ac:dyDescent="0.25">
      <c r="A1062" s="62" t="s">
        <v>1934</v>
      </c>
      <c r="B1062" s="63"/>
      <c r="C1062" s="63"/>
      <c r="D1062" s="64"/>
      <c r="E1062" s="66"/>
      <c r="F1062" s="103" t="str">
        <f>HYPERLINK("https://pbs.twimg.com/profile_images/1510716981397311507/FTsrySPq_normal.jpg")</f>
        <v>https://pbs.twimg.com/profile_images/1510716981397311507/FTsrySPq_normal.jpg</v>
      </c>
      <c r="G1062" s="63"/>
      <c r="H1062" s="67"/>
      <c r="I1062" s="68"/>
      <c r="J1062" s="68"/>
      <c r="K1062" s="67" t="s">
        <v>28656</v>
      </c>
      <c r="L1062" s="71"/>
      <c r="M1062" s="72"/>
      <c r="N1062" s="72"/>
      <c r="O1062" s="73"/>
      <c r="P1062" s="74"/>
      <c r="Q1062" s="74"/>
      <c r="R1062" s="87"/>
      <c r="S1062" s="87"/>
      <c r="T1062" s="87"/>
      <c r="U1062" s="87"/>
      <c r="V1062" s="48"/>
      <c r="W1062" s="48"/>
      <c r="X1062" s="48"/>
      <c r="Y1062" s="48"/>
      <c r="Z1062" s="47"/>
      <c r="AA1062" s="69">
        <v>1062</v>
      </c>
      <c r="AB1062" s="69"/>
      <c r="AC1062" s="70"/>
      <c r="AD1062" s="76" t="s">
        <v>22285</v>
      </c>
      <c r="AE1062" s="81" t="s">
        <v>20314</v>
      </c>
      <c r="AF1062" s="76">
        <v>302709</v>
      </c>
      <c r="AG1062" s="76">
        <v>923</v>
      </c>
      <c r="AH1062" s="76">
        <v>15347</v>
      </c>
      <c r="AI1062" s="76">
        <v>739</v>
      </c>
      <c r="AJ1062" s="76">
        <v>5837</v>
      </c>
      <c r="AK1062" s="76">
        <v>986</v>
      </c>
      <c r="AL1062" s="76" t="b">
        <v>0</v>
      </c>
      <c r="AM1062" s="78">
        <v>40018.661504629628</v>
      </c>
      <c r="AN1062" s="76"/>
      <c r="AO1062" s="76" t="s">
        <v>25656</v>
      </c>
      <c r="AP1062" s="76"/>
      <c r="AQ1062" s="76"/>
      <c r="AR1062" s="76"/>
      <c r="AS1062" s="76"/>
      <c r="AT1062" s="76"/>
      <c r="AU1062" s="76"/>
      <c r="AV1062" s="76"/>
      <c r="AW1062" s="76"/>
      <c r="AX1062" s="76" t="b">
        <v>1</v>
      </c>
      <c r="AY1062" s="76"/>
      <c r="AZ1062" s="76"/>
      <c r="BA1062" s="76" t="b">
        <v>0</v>
      </c>
      <c r="BB1062" s="76" t="b">
        <v>1</v>
      </c>
      <c r="BC1062" s="76" t="b">
        <v>0</v>
      </c>
      <c r="BD1062" s="76" t="b">
        <v>0</v>
      </c>
      <c r="BE1062" s="76" t="b">
        <v>1</v>
      </c>
      <c r="BF1062" s="76" t="b">
        <v>0</v>
      </c>
      <c r="BG1062" s="76" t="b">
        <v>0</v>
      </c>
      <c r="BH1062" s="82" t="str">
        <f>HYPERLINK("https://pbs.twimg.com/profile_banners/59815228/1688941781")</f>
        <v>https://pbs.twimg.com/profile_banners/59815228/1688941781</v>
      </c>
      <c r="BI1062" s="76"/>
      <c r="BJ1062" s="76" t="s">
        <v>27595</v>
      </c>
      <c r="BK1062" s="76" t="b">
        <v>0</v>
      </c>
      <c r="BL1062" s="76"/>
      <c r="BM1062" s="76" t="s">
        <v>65</v>
      </c>
      <c r="BN1062" s="76" t="s">
        <v>27597</v>
      </c>
      <c r="BO1062" s="82" t="str">
        <f>HYPERLINK("https://twitter.com/axelkaiser")</f>
        <v>https://twitter.com/axelkaiser</v>
      </c>
      <c r="BP1062" s="2"/>
    </row>
    <row r="1063" spans="1:68" x14ac:dyDescent="0.25">
      <c r="A1063" s="62" t="s">
        <v>996</v>
      </c>
      <c r="B1063" s="63"/>
      <c r="C1063" s="63"/>
      <c r="D1063" s="64"/>
      <c r="E1063" s="66"/>
      <c r="F1063" s="103" t="str">
        <f>HYPERLINK("https://pbs.twimg.com/profile_images/1635993854611537925/i-bUsJYy_normal.jpg")</f>
        <v>https://pbs.twimg.com/profile_images/1635993854611537925/i-bUsJYy_normal.jpg</v>
      </c>
      <c r="G1063" s="63"/>
      <c r="H1063" s="67"/>
      <c r="I1063" s="68"/>
      <c r="J1063" s="68"/>
      <c r="K1063" s="67" t="s">
        <v>28657</v>
      </c>
      <c r="L1063" s="71"/>
      <c r="M1063" s="72"/>
      <c r="N1063" s="72"/>
      <c r="O1063" s="73"/>
      <c r="P1063" s="74"/>
      <c r="Q1063" s="74"/>
      <c r="R1063" s="87"/>
      <c r="S1063" s="87"/>
      <c r="T1063" s="87"/>
      <c r="U1063" s="87"/>
      <c r="V1063" s="48"/>
      <c r="W1063" s="48"/>
      <c r="X1063" s="48"/>
      <c r="Y1063" s="48"/>
      <c r="Z1063" s="47"/>
      <c r="AA1063" s="69">
        <v>1063</v>
      </c>
      <c r="AB1063" s="69"/>
      <c r="AC1063" s="70"/>
      <c r="AD1063" s="76" t="s">
        <v>22286</v>
      </c>
      <c r="AE1063" s="81" t="s">
        <v>20873</v>
      </c>
      <c r="AF1063" s="76">
        <v>2755</v>
      </c>
      <c r="AG1063" s="76">
        <v>645</v>
      </c>
      <c r="AH1063" s="76">
        <v>9655</v>
      </c>
      <c r="AI1063" s="76">
        <v>4</v>
      </c>
      <c r="AJ1063" s="76">
        <v>25316</v>
      </c>
      <c r="AK1063" s="76">
        <v>1109</v>
      </c>
      <c r="AL1063" s="76" t="b">
        <v>0</v>
      </c>
      <c r="AM1063" s="78">
        <v>43117.899143518516</v>
      </c>
      <c r="AN1063" s="76" t="s">
        <v>24113</v>
      </c>
      <c r="AO1063" s="76" t="s">
        <v>25657</v>
      </c>
      <c r="AP1063" s="82" t="str">
        <f>HYPERLINK("https://t.co/McLZ2kkaRM")</f>
        <v>https://t.co/McLZ2kkaRM</v>
      </c>
      <c r="AQ1063" s="82" t="str">
        <f>HYPERLINK("http://instagram.com/liberal.noticias")</f>
        <v>http://instagram.com/liberal.noticias</v>
      </c>
      <c r="AR1063" s="76" t="s">
        <v>26932</v>
      </c>
      <c r="AS1063" s="76"/>
      <c r="AT1063" s="76"/>
      <c r="AU1063" s="76"/>
      <c r="AV1063" s="76">
        <v>1.6429033853754801E+18</v>
      </c>
      <c r="AW1063" s="82" t="str">
        <f>HYPERLINK("https://t.co/McLZ2kkaRM")</f>
        <v>https://t.co/McLZ2kkaRM</v>
      </c>
      <c r="AX1063" s="76" t="b">
        <v>1</v>
      </c>
      <c r="AY1063" s="76"/>
      <c r="AZ1063" s="76"/>
      <c r="BA1063" s="76" t="b">
        <v>0</v>
      </c>
      <c r="BB1063" s="76" t="b">
        <v>1</v>
      </c>
      <c r="BC1063" s="76" t="b">
        <v>1</v>
      </c>
      <c r="BD1063" s="76" t="b">
        <v>0</v>
      </c>
      <c r="BE1063" s="76" t="b">
        <v>1</v>
      </c>
      <c r="BF1063" s="76" t="b">
        <v>0</v>
      </c>
      <c r="BG1063" s="76" t="b">
        <v>0</v>
      </c>
      <c r="BH1063" s="82" t="str">
        <f>HYPERLINK("https://pbs.twimg.com/profile_banners/953742418104475648/1678149461")</f>
        <v>https://pbs.twimg.com/profile_banners/953742418104475648/1678149461</v>
      </c>
      <c r="BI1063" s="76"/>
      <c r="BJ1063" s="76" t="s">
        <v>27595</v>
      </c>
      <c r="BK1063" s="76" t="b">
        <v>0</v>
      </c>
      <c r="BL1063" s="76"/>
      <c r="BM1063" s="76" t="s">
        <v>66</v>
      </c>
      <c r="BN1063" s="76" t="s">
        <v>27597</v>
      </c>
      <c r="BO1063" s="82" t="str">
        <f>HYPERLINK("https://twitter.com/robertomrobledo")</f>
        <v>https://twitter.com/robertomrobledo</v>
      </c>
      <c r="BP1063" s="2"/>
    </row>
    <row r="1064" spans="1:68" x14ac:dyDescent="0.25">
      <c r="A1064" s="62" t="s">
        <v>997</v>
      </c>
      <c r="B1064" s="63"/>
      <c r="C1064" s="63"/>
      <c r="D1064" s="64"/>
      <c r="E1064" s="66"/>
      <c r="F1064" s="103" t="str">
        <f>HYPERLINK("https://pbs.twimg.com/profile_images/1294673619004600321/ElvygmUK_normal.jpg")</f>
        <v>https://pbs.twimg.com/profile_images/1294673619004600321/ElvygmUK_normal.jpg</v>
      </c>
      <c r="G1064" s="63"/>
      <c r="H1064" s="67"/>
      <c r="I1064" s="68"/>
      <c r="J1064" s="68"/>
      <c r="K1064" s="67" t="s">
        <v>28658</v>
      </c>
      <c r="L1064" s="71"/>
      <c r="M1064" s="72"/>
      <c r="N1064" s="72"/>
      <c r="O1064" s="73"/>
      <c r="P1064" s="74"/>
      <c r="Q1064" s="74"/>
      <c r="R1064" s="87"/>
      <c r="S1064" s="87"/>
      <c r="T1064" s="87"/>
      <c r="U1064" s="87"/>
      <c r="V1064" s="48"/>
      <c r="W1064" s="48"/>
      <c r="X1064" s="48"/>
      <c r="Y1064" s="48"/>
      <c r="Z1064" s="47"/>
      <c r="AA1064" s="69">
        <v>1064</v>
      </c>
      <c r="AB1064" s="69"/>
      <c r="AC1064" s="70"/>
      <c r="AD1064" s="76" t="s">
        <v>22287</v>
      </c>
      <c r="AE1064" s="81" t="s">
        <v>23623</v>
      </c>
      <c r="AF1064" s="76">
        <v>39</v>
      </c>
      <c r="AG1064" s="76">
        <v>502</v>
      </c>
      <c r="AH1064" s="76">
        <v>2316</v>
      </c>
      <c r="AI1064" s="76">
        <v>0</v>
      </c>
      <c r="AJ1064" s="76">
        <v>2043</v>
      </c>
      <c r="AK1064" s="76">
        <v>217</v>
      </c>
      <c r="AL1064" s="76" t="b">
        <v>0</v>
      </c>
      <c r="AM1064" s="78">
        <v>42351.294965277775</v>
      </c>
      <c r="AN1064" s="76" t="s">
        <v>24458</v>
      </c>
      <c r="AO1064" s="76" t="s">
        <v>25658</v>
      </c>
      <c r="AP1064" s="76"/>
      <c r="AQ1064" s="76"/>
      <c r="AR1064" s="76"/>
      <c r="AS1064" s="76"/>
      <c r="AT1064" s="76"/>
      <c r="AU1064" s="76"/>
      <c r="AV1064" s="76"/>
      <c r="AW1064" s="76"/>
      <c r="AX1064" s="76" t="b">
        <v>0</v>
      </c>
      <c r="AY1064" s="76"/>
      <c r="AZ1064" s="76"/>
      <c r="BA1064" s="76" t="b">
        <v>0</v>
      </c>
      <c r="BB1064" s="76" t="b">
        <v>1</v>
      </c>
      <c r="BC1064" s="76" t="b">
        <v>0</v>
      </c>
      <c r="BD1064" s="76" t="b">
        <v>0</v>
      </c>
      <c r="BE1064" s="76" t="b">
        <v>1</v>
      </c>
      <c r="BF1064" s="76" t="b">
        <v>0</v>
      </c>
      <c r="BG1064" s="76" t="b">
        <v>0</v>
      </c>
      <c r="BH1064" s="82" t="str">
        <f>HYPERLINK("https://pbs.twimg.com/profile_banners/4467651561/1596911870")</f>
        <v>https://pbs.twimg.com/profile_banners/4467651561/1596911870</v>
      </c>
      <c r="BI1064" s="76"/>
      <c r="BJ1064" s="76" t="s">
        <v>27595</v>
      </c>
      <c r="BK1064" s="76" t="b">
        <v>0</v>
      </c>
      <c r="BL1064" s="76"/>
      <c r="BM1064" s="76" t="s">
        <v>66</v>
      </c>
      <c r="BN1064" s="76" t="s">
        <v>27597</v>
      </c>
      <c r="BO1064" s="82" t="str">
        <f>HYPERLINK("https://twitter.com/soparaassistir")</f>
        <v>https://twitter.com/soparaassistir</v>
      </c>
      <c r="BP1064" s="2"/>
    </row>
    <row r="1065" spans="1:68" x14ac:dyDescent="0.25">
      <c r="A1065" s="62" t="s">
        <v>1935</v>
      </c>
      <c r="B1065" s="63"/>
      <c r="C1065" s="63"/>
      <c r="D1065" s="64"/>
      <c r="E1065" s="66"/>
      <c r="F1065" s="103" t="str">
        <f>HYPERLINK("https://pbs.twimg.com/profile_images/1624042710037299200/_wiCdKIW_normal.jpg")</f>
        <v>https://pbs.twimg.com/profile_images/1624042710037299200/_wiCdKIW_normal.jpg</v>
      </c>
      <c r="G1065" s="63"/>
      <c r="H1065" s="67"/>
      <c r="I1065" s="68"/>
      <c r="J1065" s="68"/>
      <c r="K1065" s="67" t="s">
        <v>28659</v>
      </c>
      <c r="L1065" s="71"/>
      <c r="M1065" s="72"/>
      <c r="N1065" s="72"/>
      <c r="O1065" s="73"/>
      <c r="P1065" s="74"/>
      <c r="Q1065" s="74"/>
      <c r="R1065" s="87"/>
      <c r="S1065" s="87"/>
      <c r="T1065" s="87"/>
      <c r="U1065" s="87"/>
      <c r="V1065" s="48"/>
      <c r="W1065" s="48"/>
      <c r="X1065" s="48"/>
      <c r="Y1065" s="48"/>
      <c r="Z1065" s="47"/>
      <c r="AA1065" s="69">
        <v>1065</v>
      </c>
      <c r="AB1065" s="69"/>
      <c r="AC1065" s="70"/>
      <c r="AD1065" s="76" t="s">
        <v>22288</v>
      </c>
      <c r="AE1065" s="81" t="s">
        <v>20315</v>
      </c>
      <c r="AF1065" s="76">
        <v>6443981</v>
      </c>
      <c r="AG1065" s="76">
        <v>7945</v>
      </c>
      <c r="AH1065" s="76">
        <v>49075</v>
      </c>
      <c r="AI1065" s="76">
        <v>2469</v>
      </c>
      <c r="AJ1065" s="76">
        <v>2292</v>
      </c>
      <c r="AK1065" s="76">
        <v>35148</v>
      </c>
      <c r="AL1065" s="76" t="b">
        <v>0</v>
      </c>
      <c r="AM1065" s="78">
        <v>43116.893935185188</v>
      </c>
      <c r="AN1065" s="76"/>
      <c r="AO1065" s="76" t="s">
        <v>25659</v>
      </c>
      <c r="AP1065" s="76"/>
      <c r="AQ1065" s="76"/>
      <c r="AR1065" s="76"/>
      <c r="AS1065" s="76"/>
      <c r="AT1065" s="76"/>
      <c r="AU1065" s="76"/>
      <c r="AV1065" s="76"/>
      <c r="AW1065" s="76"/>
      <c r="AX1065" s="76" t="b">
        <v>1</v>
      </c>
      <c r="AY1065" s="76"/>
      <c r="AZ1065" s="76"/>
      <c r="BA1065" s="76" t="b">
        <v>1</v>
      </c>
      <c r="BB1065" s="76" t="b">
        <v>0</v>
      </c>
      <c r="BC1065" s="76" t="b">
        <v>1</v>
      </c>
      <c r="BD1065" s="76" t="b">
        <v>0</v>
      </c>
      <c r="BE1065" s="76" t="b">
        <v>1</v>
      </c>
      <c r="BF1065" s="76" t="b">
        <v>0</v>
      </c>
      <c r="BG1065" s="76" t="b">
        <v>0</v>
      </c>
      <c r="BH1065" s="82" t="str">
        <f>HYPERLINK("https://pbs.twimg.com/profile_banners/953378142198161409/1676134162")</f>
        <v>https://pbs.twimg.com/profile_banners/953378142198161409/1676134162</v>
      </c>
      <c r="BI1065" s="76"/>
      <c r="BJ1065" s="76" t="s">
        <v>27595</v>
      </c>
      <c r="BK1065" s="76" t="b">
        <v>0</v>
      </c>
      <c r="BL1065" s="76"/>
      <c r="BM1065" s="76" t="s">
        <v>65</v>
      </c>
      <c r="BN1065" s="76" t="s">
        <v>27597</v>
      </c>
      <c r="BO1065" s="82" t="str">
        <f>HYPERLINK("https://twitter.com/choquei")</f>
        <v>https://twitter.com/choquei</v>
      </c>
      <c r="BP1065" s="2"/>
    </row>
    <row r="1066" spans="1:68" x14ac:dyDescent="0.25">
      <c r="A1066" s="62" t="s">
        <v>998</v>
      </c>
      <c r="B1066" s="63"/>
      <c r="C1066" s="63"/>
      <c r="D1066" s="64"/>
      <c r="E1066" s="66"/>
      <c r="F1066" s="103" t="str">
        <f>HYPERLINK("https://pbs.twimg.com/profile_images/1567525173745647623/xAAo-TSJ_normal.jpg")</f>
        <v>https://pbs.twimg.com/profile_images/1567525173745647623/xAAo-TSJ_normal.jpg</v>
      </c>
      <c r="G1066" s="63"/>
      <c r="H1066" s="67"/>
      <c r="I1066" s="68"/>
      <c r="J1066" s="68"/>
      <c r="K1066" s="67" t="s">
        <v>28660</v>
      </c>
      <c r="L1066" s="71"/>
      <c r="M1066" s="72"/>
      <c r="N1066" s="72"/>
      <c r="O1066" s="73"/>
      <c r="P1066" s="74"/>
      <c r="Q1066" s="74"/>
      <c r="R1066" s="87"/>
      <c r="S1066" s="87"/>
      <c r="T1066" s="87"/>
      <c r="U1066" s="87"/>
      <c r="V1066" s="48"/>
      <c r="W1066" s="48"/>
      <c r="X1066" s="48"/>
      <c r="Y1066" s="48"/>
      <c r="Z1066" s="47"/>
      <c r="AA1066" s="69">
        <v>1066</v>
      </c>
      <c r="AB1066" s="69"/>
      <c r="AC1066" s="70"/>
      <c r="AD1066" s="76" t="s">
        <v>22289</v>
      </c>
      <c r="AE1066" s="81" t="s">
        <v>23624</v>
      </c>
      <c r="AF1066" s="76">
        <v>628</v>
      </c>
      <c r="AG1066" s="76">
        <v>695</v>
      </c>
      <c r="AH1066" s="76">
        <v>398</v>
      </c>
      <c r="AI1066" s="76">
        <v>8</v>
      </c>
      <c r="AJ1066" s="76">
        <v>9094</v>
      </c>
      <c r="AK1066" s="76">
        <v>11</v>
      </c>
      <c r="AL1066" s="76" t="b">
        <v>0</v>
      </c>
      <c r="AM1066" s="78">
        <v>40191.655347222222</v>
      </c>
      <c r="AN1066" s="76" t="s">
        <v>24112</v>
      </c>
      <c r="AO1066" s="76" t="s">
        <v>25660</v>
      </c>
      <c r="AP1066" s="76"/>
      <c r="AQ1066" s="76"/>
      <c r="AR1066" s="76"/>
      <c r="AS1066" s="76"/>
      <c r="AT1066" s="76"/>
      <c r="AU1066" s="76"/>
      <c r="AV1066" s="76">
        <v>1.31222521017582E+18</v>
      </c>
      <c r="AW1066" s="76"/>
      <c r="AX1066" s="76" t="b">
        <v>0</v>
      </c>
      <c r="AY1066" s="76"/>
      <c r="AZ1066" s="76"/>
      <c r="BA1066" s="76" t="b">
        <v>1</v>
      </c>
      <c r="BB1066" s="76" t="b">
        <v>0</v>
      </c>
      <c r="BC1066" s="76" t="b">
        <v>0</v>
      </c>
      <c r="BD1066" s="76" t="b">
        <v>0</v>
      </c>
      <c r="BE1066" s="76" t="b">
        <v>1</v>
      </c>
      <c r="BF1066" s="76" t="b">
        <v>0</v>
      </c>
      <c r="BG1066" s="76" t="b">
        <v>0</v>
      </c>
      <c r="BH1066" s="82" t="str">
        <f>HYPERLINK("https://pbs.twimg.com/profile_banners/104519778/1596827950")</f>
        <v>https://pbs.twimg.com/profile_banners/104519778/1596827950</v>
      </c>
      <c r="BI1066" s="76"/>
      <c r="BJ1066" s="76" t="s">
        <v>27595</v>
      </c>
      <c r="BK1066" s="76" t="b">
        <v>0</v>
      </c>
      <c r="BL1066" s="76"/>
      <c r="BM1066" s="76" t="s">
        <v>66</v>
      </c>
      <c r="BN1066" s="76" t="s">
        <v>27597</v>
      </c>
      <c r="BO1066" s="82" t="str">
        <f>HYPERLINK("https://twitter.com/natyaranguiz")</f>
        <v>https://twitter.com/natyaranguiz</v>
      </c>
      <c r="BP1066" s="2"/>
    </row>
    <row r="1067" spans="1:68" x14ac:dyDescent="0.25">
      <c r="A1067" s="62" t="s">
        <v>1936</v>
      </c>
      <c r="B1067" s="63"/>
      <c r="C1067" s="63"/>
      <c r="D1067" s="64"/>
      <c r="E1067" s="66"/>
      <c r="F1067" s="103" t="str">
        <f>HYPERLINK("https://pbs.twimg.com/profile_images/1522428078978441216/P2lD92-1_normal.jpg")</f>
        <v>https://pbs.twimg.com/profile_images/1522428078978441216/P2lD92-1_normal.jpg</v>
      </c>
      <c r="G1067" s="63"/>
      <c r="H1067" s="67"/>
      <c r="I1067" s="68"/>
      <c r="J1067" s="68"/>
      <c r="K1067" s="67" t="s">
        <v>28661</v>
      </c>
      <c r="L1067" s="71"/>
      <c r="M1067" s="72"/>
      <c r="N1067" s="72"/>
      <c r="O1067" s="73"/>
      <c r="P1067" s="74"/>
      <c r="Q1067" s="74"/>
      <c r="R1067" s="87"/>
      <c r="S1067" s="87"/>
      <c r="T1067" s="87"/>
      <c r="U1067" s="87"/>
      <c r="V1067" s="48"/>
      <c r="W1067" s="48"/>
      <c r="X1067" s="48"/>
      <c r="Y1067" s="48"/>
      <c r="Z1067" s="47"/>
      <c r="AA1067" s="69">
        <v>1067</v>
      </c>
      <c r="AB1067" s="69"/>
      <c r="AC1067" s="70"/>
      <c r="AD1067" s="76" t="s">
        <v>22290</v>
      </c>
      <c r="AE1067" s="81" t="s">
        <v>23625</v>
      </c>
      <c r="AF1067" s="76">
        <v>1055</v>
      </c>
      <c r="AG1067" s="76">
        <v>1832</v>
      </c>
      <c r="AH1067" s="76">
        <v>9594</v>
      </c>
      <c r="AI1067" s="76">
        <v>8</v>
      </c>
      <c r="AJ1067" s="76">
        <v>5229</v>
      </c>
      <c r="AK1067" s="76">
        <v>624</v>
      </c>
      <c r="AL1067" s="76" t="b">
        <v>0</v>
      </c>
      <c r="AM1067" s="78">
        <v>41670.413321759261</v>
      </c>
      <c r="AN1067" s="76" t="s">
        <v>14386</v>
      </c>
      <c r="AO1067" s="76" t="s">
        <v>25661</v>
      </c>
      <c r="AP1067" s="76"/>
      <c r="AQ1067" s="76"/>
      <c r="AR1067" s="76"/>
      <c r="AS1067" s="76"/>
      <c r="AT1067" s="76"/>
      <c r="AU1067" s="76"/>
      <c r="AV1067" s="76"/>
      <c r="AW1067" s="76"/>
      <c r="AX1067" s="76" t="b">
        <v>0</v>
      </c>
      <c r="AY1067" s="76"/>
      <c r="AZ1067" s="76"/>
      <c r="BA1067" s="76" t="b">
        <v>1</v>
      </c>
      <c r="BB1067" s="76" t="b">
        <v>0</v>
      </c>
      <c r="BC1067" s="76" t="b">
        <v>0</v>
      </c>
      <c r="BD1067" s="76" t="b">
        <v>0</v>
      </c>
      <c r="BE1067" s="76" t="b">
        <v>1</v>
      </c>
      <c r="BF1067" s="76" t="b">
        <v>0</v>
      </c>
      <c r="BG1067" s="76" t="b">
        <v>0</v>
      </c>
      <c r="BH1067" s="82" t="str">
        <f>HYPERLINK("https://pbs.twimg.com/profile_banners/2320549338/1651810114")</f>
        <v>https://pbs.twimg.com/profile_banners/2320549338/1651810114</v>
      </c>
      <c r="BI1067" s="76"/>
      <c r="BJ1067" s="76" t="s">
        <v>27595</v>
      </c>
      <c r="BK1067" s="76" t="b">
        <v>0</v>
      </c>
      <c r="BL1067" s="76"/>
      <c r="BM1067" s="76" t="s">
        <v>65</v>
      </c>
      <c r="BN1067" s="76" t="s">
        <v>27597</v>
      </c>
      <c r="BO1067" s="82" t="str">
        <f>HYPERLINK("https://twitter.com/olivares_nauta")</f>
        <v>https://twitter.com/olivares_nauta</v>
      </c>
      <c r="BP1067" s="2"/>
    </row>
    <row r="1068" spans="1:68" x14ac:dyDescent="0.25">
      <c r="A1068" s="62" t="s">
        <v>1447</v>
      </c>
      <c r="B1068" s="63"/>
      <c r="C1068" s="63"/>
      <c r="D1068" s="64"/>
      <c r="E1068" s="66"/>
      <c r="F1068" s="103" t="str">
        <f>HYPERLINK("https://pbs.twimg.com/profile_images/1516960084072534016/UXiiXBm7_normal.png")</f>
        <v>https://pbs.twimg.com/profile_images/1516960084072534016/UXiiXBm7_normal.png</v>
      </c>
      <c r="G1068" s="63"/>
      <c r="H1068" s="67"/>
      <c r="I1068" s="68"/>
      <c r="J1068" s="68"/>
      <c r="K1068" s="67" t="s">
        <v>28662</v>
      </c>
      <c r="L1068" s="71"/>
      <c r="M1068" s="72"/>
      <c r="N1068" s="72"/>
      <c r="O1068" s="73"/>
      <c r="P1068" s="74"/>
      <c r="Q1068" s="74"/>
      <c r="R1068" s="87"/>
      <c r="S1068" s="87"/>
      <c r="T1068" s="87"/>
      <c r="U1068" s="87"/>
      <c r="V1068" s="48"/>
      <c r="W1068" s="48"/>
      <c r="X1068" s="48"/>
      <c r="Y1068" s="48"/>
      <c r="Z1068" s="47"/>
      <c r="AA1068" s="69">
        <v>1068</v>
      </c>
      <c r="AB1068" s="69"/>
      <c r="AC1068" s="70"/>
      <c r="AD1068" s="76" t="s">
        <v>22291</v>
      </c>
      <c r="AE1068" s="81" t="s">
        <v>21094</v>
      </c>
      <c r="AF1068" s="76">
        <v>65960</v>
      </c>
      <c r="AG1068" s="76">
        <v>1394</v>
      </c>
      <c r="AH1068" s="76">
        <v>51058</v>
      </c>
      <c r="AI1068" s="76">
        <v>233</v>
      </c>
      <c r="AJ1068" s="76">
        <v>258</v>
      </c>
      <c r="AK1068" s="76">
        <v>21613</v>
      </c>
      <c r="AL1068" s="76" t="b">
        <v>0</v>
      </c>
      <c r="AM1068" s="78">
        <v>44069.746319444443</v>
      </c>
      <c r="AN1068" s="76" t="s">
        <v>14386</v>
      </c>
      <c r="AO1068" s="76" t="s">
        <v>25662</v>
      </c>
      <c r="AP1068" s="82" t="str">
        <f>HYPERLINK("https://t.co/x2XINJDB8J")</f>
        <v>https://t.co/x2XINJDB8J</v>
      </c>
      <c r="AQ1068" s="82" t="str">
        <f>HYPERLINK("http://www.ex-ante.cl")</f>
        <v>http://www.ex-ante.cl</v>
      </c>
      <c r="AR1068" s="76" t="s">
        <v>8851</v>
      </c>
      <c r="AS1068" s="76"/>
      <c r="AT1068" s="76"/>
      <c r="AU1068" s="76"/>
      <c r="AV1068" s="76"/>
      <c r="AW1068" s="82" t="str">
        <f>HYPERLINK("https://t.co/x2XINJDB8J")</f>
        <v>https://t.co/x2XINJDB8J</v>
      </c>
      <c r="AX1068" s="76" t="b">
        <v>0</v>
      </c>
      <c r="AY1068" s="76"/>
      <c r="AZ1068" s="76"/>
      <c r="BA1068" s="76" t="b">
        <v>0</v>
      </c>
      <c r="BB1068" s="76" t="b">
        <v>0</v>
      </c>
      <c r="BC1068" s="76" t="b">
        <v>1</v>
      </c>
      <c r="BD1068" s="76" t="b">
        <v>0</v>
      </c>
      <c r="BE1068" s="76" t="b">
        <v>0</v>
      </c>
      <c r="BF1068" s="76" t="b">
        <v>0</v>
      </c>
      <c r="BG1068" s="76" t="b">
        <v>0</v>
      </c>
      <c r="BH1068" s="82" t="str">
        <f>HYPERLINK("https://pbs.twimg.com/profile_banners/1298680144496939008/1650503376")</f>
        <v>https://pbs.twimg.com/profile_banners/1298680144496939008/1650503376</v>
      </c>
      <c r="BI1068" s="76"/>
      <c r="BJ1068" s="76" t="s">
        <v>27595</v>
      </c>
      <c r="BK1068" s="76" t="b">
        <v>0</v>
      </c>
      <c r="BL1068" s="76"/>
      <c r="BM1068" s="76" t="s">
        <v>66</v>
      </c>
      <c r="BN1068" s="76" t="s">
        <v>27597</v>
      </c>
      <c r="BO1068" s="82" t="str">
        <f>HYPERLINK("https://twitter.com/exantecl")</f>
        <v>https://twitter.com/exantecl</v>
      </c>
      <c r="BP1068" s="2"/>
    </row>
    <row r="1069" spans="1:68" x14ac:dyDescent="0.25">
      <c r="A1069" s="62" t="s">
        <v>999</v>
      </c>
      <c r="B1069" s="63"/>
      <c r="C1069" s="63"/>
      <c r="D1069" s="64"/>
      <c r="E1069" s="66"/>
      <c r="F1069" s="103" t="str">
        <f>HYPERLINK("https://pbs.twimg.com/profile_images/1478024303870361609/HRJ4Fdgj_normal.jpg")</f>
        <v>https://pbs.twimg.com/profile_images/1478024303870361609/HRJ4Fdgj_normal.jpg</v>
      </c>
      <c r="G1069" s="63"/>
      <c r="H1069" s="67"/>
      <c r="I1069" s="68"/>
      <c r="J1069" s="68"/>
      <c r="K1069" s="67" t="s">
        <v>28663</v>
      </c>
      <c r="L1069" s="71"/>
      <c r="M1069" s="72"/>
      <c r="N1069" s="72"/>
      <c r="O1069" s="73"/>
      <c r="P1069" s="74"/>
      <c r="Q1069" s="74"/>
      <c r="R1069" s="87"/>
      <c r="S1069" s="87"/>
      <c r="T1069" s="87"/>
      <c r="U1069" s="87"/>
      <c r="V1069" s="48"/>
      <c r="W1069" s="48"/>
      <c r="X1069" s="48"/>
      <c r="Y1069" s="48"/>
      <c r="Z1069" s="47"/>
      <c r="AA1069" s="69">
        <v>1069</v>
      </c>
      <c r="AB1069" s="69"/>
      <c r="AC1069" s="70"/>
      <c r="AD1069" s="76" t="s">
        <v>22292</v>
      </c>
      <c r="AE1069" s="81" t="s">
        <v>20874</v>
      </c>
      <c r="AF1069" s="76">
        <v>49527</v>
      </c>
      <c r="AG1069" s="76">
        <v>33</v>
      </c>
      <c r="AH1069" s="76">
        <v>10927</v>
      </c>
      <c r="AI1069" s="76">
        <v>401</v>
      </c>
      <c r="AJ1069" s="76">
        <v>653</v>
      </c>
      <c r="AK1069" s="76">
        <v>647</v>
      </c>
      <c r="AL1069" s="76" t="b">
        <v>0</v>
      </c>
      <c r="AM1069" s="78">
        <v>44056.660868055558</v>
      </c>
      <c r="AN1069" s="76"/>
      <c r="AO1069" s="76" t="s">
        <v>25663</v>
      </c>
      <c r="AP1069" s="82" t="str">
        <f>HYPERLINK("https://t.co/WtlwYRo2tN")</f>
        <v>https://t.co/WtlwYRo2tN</v>
      </c>
      <c r="AQ1069" s="82" t="str">
        <f>HYPERLINK("http://bitfinanzas.com")</f>
        <v>http://bitfinanzas.com</v>
      </c>
      <c r="AR1069" s="76" t="s">
        <v>8786</v>
      </c>
      <c r="AS1069" s="76"/>
      <c r="AT1069" s="76"/>
      <c r="AU1069" s="76"/>
      <c r="AV1069" s="76">
        <v>1.6437509070904399E+18</v>
      </c>
      <c r="AW1069" s="82" t="str">
        <f>HYPERLINK("https://t.co/WtlwYRo2tN")</f>
        <v>https://t.co/WtlwYRo2tN</v>
      </c>
      <c r="AX1069" s="76" t="b">
        <v>0</v>
      </c>
      <c r="AY1069" s="76"/>
      <c r="AZ1069" s="76"/>
      <c r="BA1069" s="76" t="b">
        <v>1</v>
      </c>
      <c r="BB1069" s="76" t="b">
        <v>1</v>
      </c>
      <c r="BC1069" s="76" t="b">
        <v>1</v>
      </c>
      <c r="BD1069" s="76" t="b">
        <v>0</v>
      </c>
      <c r="BE1069" s="76" t="b">
        <v>0</v>
      </c>
      <c r="BF1069" s="76" t="b">
        <v>0</v>
      </c>
      <c r="BG1069" s="76" t="b">
        <v>0</v>
      </c>
      <c r="BH1069" s="82" t="str">
        <f>HYPERLINK("https://pbs.twimg.com/profile_banners/1293938234402250754/1599752909")</f>
        <v>https://pbs.twimg.com/profile_banners/1293938234402250754/1599752909</v>
      </c>
      <c r="BI1069" s="76"/>
      <c r="BJ1069" s="76" t="s">
        <v>27595</v>
      </c>
      <c r="BK1069" s="76" t="b">
        <v>0</v>
      </c>
      <c r="BL1069" s="76"/>
      <c r="BM1069" s="76" t="s">
        <v>66</v>
      </c>
      <c r="BN1069" s="76" t="s">
        <v>27597</v>
      </c>
      <c r="BO1069" s="82" t="str">
        <f>HYPERLINK("https://twitter.com/bitfinanzas")</f>
        <v>https://twitter.com/bitfinanzas</v>
      </c>
      <c r="BP1069" s="2"/>
    </row>
    <row r="1070" spans="1:68" x14ac:dyDescent="0.25">
      <c r="A1070" s="62" t="s">
        <v>1000</v>
      </c>
      <c r="B1070" s="63"/>
      <c r="C1070" s="63"/>
      <c r="D1070" s="64"/>
      <c r="E1070" s="66"/>
      <c r="F1070" s="103" t="str">
        <f>HYPERLINK("https://pbs.twimg.com/profile_images/1480635976255156224/YyU0NOuQ_normal.jpg")</f>
        <v>https://pbs.twimg.com/profile_images/1480635976255156224/YyU0NOuQ_normal.jpg</v>
      </c>
      <c r="G1070" s="63"/>
      <c r="H1070" s="67"/>
      <c r="I1070" s="68"/>
      <c r="J1070" s="68"/>
      <c r="K1070" s="67" t="s">
        <v>28664</v>
      </c>
      <c r="L1070" s="71"/>
      <c r="M1070" s="72"/>
      <c r="N1070" s="72"/>
      <c r="O1070" s="73"/>
      <c r="P1070" s="74"/>
      <c r="Q1070" s="74"/>
      <c r="R1070" s="87"/>
      <c r="S1070" s="87"/>
      <c r="T1070" s="87"/>
      <c r="U1070" s="87"/>
      <c r="V1070" s="48"/>
      <c r="W1070" s="48"/>
      <c r="X1070" s="48"/>
      <c r="Y1070" s="48"/>
      <c r="Z1070" s="47"/>
      <c r="AA1070" s="69">
        <v>1070</v>
      </c>
      <c r="AB1070" s="69"/>
      <c r="AC1070" s="70"/>
      <c r="AD1070" s="76" t="s">
        <v>22293</v>
      </c>
      <c r="AE1070" s="81" t="s">
        <v>20875</v>
      </c>
      <c r="AF1070" s="76">
        <v>39</v>
      </c>
      <c r="AG1070" s="76">
        <v>6</v>
      </c>
      <c r="AH1070" s="76">
        <v>2220</v>
      </c>
      <c r="AI1070" s="76">
        <v>0</v>
      </c>
      <c r="AJ1070" s="76">
        <v>16</v>
      </c>
      <c r="AK1070" s="76">
        <v>1394</v>
      </c>
      <c r="AL1070" s="76" t="b">
        <v>0</v>
      </c>
      <c r="AM1070" s="78">
        <v>42744.070937500001</v>
      </c>
      <c r="AN1070" s="76" t="s">
        <v>24459</v>
      </c>
      <c r="AO1070" s="76" t="s">
        <v>25664</v>
      </c>
      <c r="AP1070" s="82" t="str">
        <f>HYPERLINK("https://t.co/Wb0i39zNek")</f>
        <v>https://t.co/Wb0i39zNek</v>
      </c>
      <c r="AQ1070" s="82" t="str">
        <f>HYPERLINK("https://tododia.jp/publicacao/desbravando-o-japao/")</f>
        <v>https://tododia.jp/publicacao/desbravando-o-japao/</v>
      </c>
      <c r="AR1070" s="76" t="s">
        <v>26933</v>
      </c>
      <c r="AS1070" s="76"/>
      <c r="AT1070" s="76"/>
      <c r="AU1070" s="76"/>
      <c r="AV1070" s="76"/>
      <c r="AW1070" s="82" t="str">
        <f>HYPERLINK("https://t.co/Wb0i39zNek")</f>
        <v>https://t.co/Wb0i39zNek</v>
      </c>
      <c r="AX1070" s="76" t="b">
        <v>0</v>
      </c>
      <c r="AY1070" s="76"/>
      <c r="AZ1070" s="76"/>
      <c r="BA1070" s="76" t="b">
        <v>0</v>
      </c>
      <c r="BB1070" s="76" t="b">
        <v>1</v>
      </c>
      <c r="BC1070" s="76" t="b">
        <v>0</v>
      </c>
      <c r="BD1070" s="76" t="b">
        <v>0</v>
      </c>
      <c r="BE1070" s="76" t="b">
        <v>1</v>
      </c>
      <c r="BF1070" s="76" t="b">
        <v>0</v>
      </c>
      <c r="BG1070" s="76" t="b">
        <v>0</v>
      </c>
      <c r="BH1070" s="82" t="str">
        <f>HYPERLINK("https://pbs.twimg.com/profile_banners/818271609169424385/1641846101")</f>
        <v>https://pbs.twimg.com/profile_banners/818271609169424385/1641846101</v>
      </c>
      <c r="BI1070" s="76"/>
      <c r="BJ1070" s="76" t="s">
        <v>27595</v>
      </c>
      <c r="BK1070" s="76" t="b">
        <v>0</v>
      </c>
      <c r="BL1070" s="76"/>
      <c r="BM1070" s="76" t="s">
        <v>66</v>
      </c>
      <c r="BN1070" s="76" t="s">
        <v>27597</v>
      </c>
      <c r="BO1070" s="82" t="str">
        <f>HYPERLINK("https://twitter.com/desbravandojp")</f>
        <v>https://twitter.com/desbravandojp</v>
      </c>
      <c r="BP1070" s="2"/>
    </row>
    <row r="1071" spans="1:68" x14ac:dyDescent="0.25">
      <c r="A1071" s="62" t="s">
        <v>1001</v>
      </c>
      <c r="B1071" s="63"/>
      <c r="C1071" s="63"/>
      <c r="D1071" s="64"/>
      <c r="E1071" s="66"/>
      <c r="F1071" s="103" t="str">
        <f>HYPERLINK("https://pbs.twimg.com/profile_images/1243516459118211077/HXWOZM9m_normal.png")</f>
        <v>https://pbs.twimg.com/profile_images/1243516459118211077/HXWOZM9m_normal.png</v>
      </c>
      <c r="G1071" s="63"/>
      <c r="H1071" s="67"/>
      <c r="I1071" s="68"/>
      <c r="J1071" s="68"/>
      <c r="K1071" s="67" t="s">
        <v>28665</v>
      </c>
      <c r="L1071" s="71"/>
      <c r="M1071" s="72"/>
      <c r="N1071" s="72"/>
      <c r="O1071" s="73"/>
      <c r="P1071" s="74"/>
      <c r="Q1071" s="74"/>
      <c r="R1071" s="87"/>
      <c r="S1071" s="87"/>
      <c r="T1071" s="87"/>
      <c r="U1071" s="87"/>
      <c r="V1071" s="48"/>
      <c r="W1071" s="48"/>
      <c r="X1071" s="48"/>
      <c r="Y1071" s="48"/>
      <c r="Z1071" s="47"/>
      <c r="AA1071" s="69">
        <v>1071</v>
      </c>
      <c r="AB1071" s="69"/>
      <c r="AC1071" s="70"/>
      <c r="AD1071" s="76" t="s">
        <v>22294</v>
      </c>
      <c r="AE1071" s="81" t="s">
        <v>23626</v>
      </c>
      <c r="AF1071" s="76">
        <v>117</v>
      </c>
      <c r="AG1071" s="76">
        <v>51</v>
      </c>
      <c r="AH1071" s="76">
        <v>644</v>
      </c>
      <c r="AI1071" s="76">
        <v>2</v>
      </c>
      <c r="AJ1071" s="76">
        <v>86</v>
      </c>
      <c r="AK1071" s="76">
        <v>444</v>
      </c>
      <c r="AL1071" s="76" t="b">
        <v>0</v>
      </c>
      <c r="AM1071" s="78">
        <v>40056.747094907405</v>
      </c>
      <c r="AN1071" s="76" t="s">
        <v>24460</v>
      </c>
      <c r="AO1071" s="76" t="s">
        <v>25665</v>
      </c>
      <c r="AP1071" s="82" t="str">
        <f>HYPERLINK("http://t.co/BGPKfCjL6W")</f>
        <v>http://t.co/BGPKfCjL6W</v>
      </c>
      <c r="AQ1071" s="82" t="str">
        <f>HYPERLINK("http://www.teiadigital.com.br/")</f>
        <v>http://www.teiadigital.com.br/</v>
      </c>
      <c r="AR1071" s="76" t="s">
        <v>26934</v>
      </c>
      <c r="AS1071" s="76"/>
      <c r="AT1071" s="76"/>
      <c r="AU1071" s="76"/>
      <c r="AV1071" s="76"/>
      <c r="AW1071" s="82" t="str">
        <f>HYPERLINK("http://t.co/BGPKfCjL6W")</f>
        <v>http://t.co/BGPKfCjL6W</v>
      </c>
      <c r="AX1071" s="76" t="b">
        <v>0</v>
      </c>
      <c r="AY1071" s="76"/>
      <c r="AZ1071" s="76"/>
      <c r="BA1071" s="76" t="b">
        <v>0</v>
      </c>
      <c r="BB1071" s="76" t="b">
        <v>1</v>
      </c>
      <c r="BC1071" s="76" t="b">
        <v>0</v>
      </c>
      <c r="BD1071" s="76" t="b">
        <v>0</v>
      </c>
      <c r="BE1071" s="76" t="b">
        <v>0</v>
      </c>
      <c r="BF1071" s="76" t="b">
        <v>0</v>
      </c>
      <c r="BG1071" s="76" t="b">
        <v>0</v>
      </c>
      <c r="BH1071" s="82" t="str">
        <f>HYPERLINK("https://pbs.twimg.com/profile_banners/70455289/1585312403")</f>
        <v>https://pbs.twimg.com/profile_banners/70455289/1585312403</v>
      </c>
      <c r="BI1071" s="76"/>
      <c r="BJ1071" s="76" t="s">
        <v>27595</v>
      </c>
      <c r="BK1071" s="76" t="b">
        <v>0</v>
      </c>
      <c r="BL1071" s="76"/>
      <c r="BM1071" s="76" t="s">
        <v>66</v>
      </c>
      <c r="BN1071" s="76" t="s">
        <v>27597</v>
      </c>
      <c r="BO1071" s="82" t="str">
        <f>HYPERLINK("https://twitter.com/teiadigital")</f>
        <v>https://twitter.com/teiadigital</v>
      </c>
      <c r="BP1071" s="2"/>
    </row>
    <row r="1072" spans="1:68" x14ac:dyDescent="0.25">
      <c r="A1072" s="62" t="s">
        <v>1002</v>
      </c>
      <c r="B1072" s="63"/>
      <c r="C1072" s="63"/>
      <c r="D1072" s="64"/>
      <c r="E1072" s="66"/>
      <c r="F1072" s="103" t="str">
        <f>HYPERLINK("https://pbs.twimg.com/profile_images/1634027476438401026/hff8x8AL_normal.jpg")</f>
        <v>https://pbs.twimg.com/profile_images/1634027476438401026/hff8x8AL_normal.jpg</v>
      </c>
      <c r="G1072" s="63"/>
      <c r="H1072" s="67"/>
      <c r="I1072" s="68"/>
      <c r="J1072" s="68"/>
      <c r="K1072" s="67" t="s">
        <v>28666</v>
      </c>
      <c r="L1072" s="71"/>
      <c r="M1072" s="72"/>
      <c r="N1072" s="72"/>
      <c r="O1072" s="73"/>
      <c r="P1072" s="74"/>
      <c r="Q1072" s="74"/>
      <c r="R1072" s="87"/>
      <c r="S1072" s="87"/>
      <c r="T1072" s="87"/>
      <c r="U1072" s="87"/>
      <c r="V1072" s="48"/>
      <c r="W1072" s="48"/>
      <c r="X1072" s="48"/>
      <c r="Y1072" s="48"/>
      <c r="Z1072" s="47"/>
      <c r="AA1072" s="69">
        <v>1072</v>
      </c>
      <c r="AB1072" s="69"/>
      <c r="AC1072" s="70"/>
      <c r="AD1072" s="76" t="s">
        <v>22295</v>
      </c>
      <c r="AE1072" s="81" t="s">
        <v>23627</v>
      </c>
      <c r="AF1072" s="76">
        <v>4</v>
      </c>
      <c r="AG1072" s="76">
        <v>28</v>
      </c>
      <c r="AH1072" s="76">
        <v>900</v>
      </c>
      <c r="AI1072" s="76">
        <v>0</v>
      </c>
      <c r="AJ1072" s="76">
        <v>481</v>
      </c>
      <c r="AK1072" s="76">
        <v>8</v>
      </c>
      <c r="AL1072" s="76" t="b">
        <v>0</v>
      </c>
      <c r="AM1072" s="78">
        <v>42367.979988425926</v>
      </c>
      <c r="AN1072" s="76" t="s">
        <v>24461</v>
      </c>
      <c r="AO1072" s="76" t="s">
        <v>25666</v>
      </c>
      <c r="AP1072" s="76"/>
      <c r="AQ1072" s="76"/>
      <c r="AR1072" s="76"/>
      <c r="AS1072" s="76"/>
      <c r="AT1072" s="76"/>
      <c r="AU1072" s="76"/>
      <c r="AV1072" s="76">
        <v>1.6341579278869901E+18</v>
      </c>
      <c r="AW1072" s="76"/>
      <c r="AX1072" s="76" t="b">
        <v>0</v>
      </c>
      <c r="AY1072" s="76"/>
      <c r="AZ1072" s="76"/>
      <c r="BA1072" s="76" t="b">
        <v>0</v>
      </c>
      <c r="BB1072" s="76" t="b">
        <v>1</v>
      </c>
      <c r="BC1072" s="76" t="b">
        <v>1</v>
      </c>
      <c r="BD1072" s="76" t="b">
        <v>0</v>
      </c>
      <c r="BE1072" s="76" t="b">
        <v>0</v>
      </c>
      <c r="BF1072" s="76" t="b">
        <v>0</v>
      </c>
      <c r="BG1072" s="76" t="b">
        <v>0</v>
      </c>
      <c r="BH1072" s="82" t="str">
        <f>HYPERLINK("https://pbs.twimg.com/profile_banners/4648000456/1682958509")</f>
        <v>https://pbs.twimg.com/profile_banners/4648000456/1682958509</v>
      </c>
      <c r="BI1072" s="76"/>
      <c r="BJ1072" s="76" t="s">
        <v>27595</v>
      </c>
      <c r="BK1072" s="76" t="b">
        <v>0</v>
      </c>
      <c r="BL1072" s="76"/>
      <c r="BM1072" s="76" t="s">
        <v>66</v>
      </c>
      <c r="BN1072" s="76" t="s">
        <v>27597</v>
      </c>
      <c r="BO1072" s="82" t="str">
        <f>HYPERLINK("https://twitter.com/duroperotranki")</f>
        <v>https://twitter.com/duroperotranki</v>
      </c>
      <c r="BP1072" s="2"/>
    </row>
    <row r="1073" spans="1:68" x14ac:dyDescent="0.25">
      <c r="A1073" s="62" t="s">
        <v>1003</v>
      </c>
      <c r="B1073" s="63"/>
      <c r="C1073" s="63"/>
      <c r="D1073" s="64"/>
      <c r="E1073" s="66"/>
      <c r="F1073" s="103" t="str">
        <f>HYPERLINK("https://pbs.twimg.com/profile_images/1178592529714946048/whJ920Tv_normal.jpg")</f>
        <v>https://pbs.twimg.com/profile_images/1178592529714946048/whJ920Tv_normal.jpg</v>
      </c>
      <c r="G1073" s="63"/>
      <c r="H1073" s="67"/>
      <c r="I1073" s="68"/>
      <c r="J1073" s="68"/>
      <c r="K1073" s="67" t="s">
        <v>28667</v>
      </c>
      <c r="L1073" s="71"/>
      <c r="M1073" s="72"/>
      <c r="N1073" s="72"/>
      <c r="O1073" s="73"/>
      <c r="P1073" s="74"/>
      <c r="Q1073" s="74"/>
      <c r="R1073" s="87"/>
      <c r="S1073" s="87"/>
      <c r="T1073" s="87"/>
      <c r="U1073" s="87"/>
      <c r="V1073" s="48"/>
      <c r="W1073" s="48"/>
      <c r="X1073" s="48"/>
      <c r="Y1073" s="48"/>
      <c r="Z1073" s="47"/>
      <c r="AA1073" s="69">
        <v>1073</v>
      </c>
      <c r="AB1073" s="69"/>
      <c r="AC1073" s="70"/>
      <c r="AD1073" s="76" t="s">
        <v>22296</v>
      </c>
      <c r="AE1073" s="81" t="s">
        <v>20876</v>
      </c>
      <c r="AF1073" s="76">
        <v>1334</v>
      </c>
      <c r="AG1073" s="76">
        <v>4423</v>
      </c>
      <c r="AH1073" s="76">
        <v>49576</v>
      </c>
      <c r="AI1073" s="76">
        <v>0</v>
      </c>
      <c r="AJ1073" s="76">
        <v>11613</v>
      </c>
      <c r="AK1073" s="76">
        <v>4684</v>
      </c>
      <c r="AL1073" s="76" t="b">
        <v>0</v>
      </c>
      <c r="AM1073" s="78">
        <v>43738.366840277777</v>
      </c>
      <c r="AN1073" s="76"/>
      <c r="AO1073" s="76"/>
      <c r="AP1073" s="76"/>
      <c r="AQ1073" s="76"/>
      <c r="AR1073" s="76"/>
      <c r="AS1073" s="76"/>
      <c r="AT1073" s="76"/>
      <c r="AU1073" s="76"/>
      <c r="AV1073" s="76"/>
      <c r="AW1073" s="76"/>
      <c r="AX1073" s="76" t="b">
        <v>0</v>
      </c>
      <c r="AY1073" s="76"/>
      <c r="AZ1073" s="76"/>
      <c r="BA1073" s="76" t="b">
        <v>1</v>
      </c>
      <c r="BB1073" s="76" t="b">
        <v>1</v>
      </c>
      <c r="BC1073" s="76" t="b">
        <v>1</v>
      </c>
      <c r="BD1073" s="76" t="b">
        <v>0</v>
      </c>
      <c r="BE1073" s="76" t="b">
        <v>0</v>
      </c>
      <c r="BF1073" s="76" t="b">
        <v>0</v>
      </c>
      <c r="BG1073" s="76" t="b">
        <v>0</v>
      </c>
      <c r="BH1073" s="82" t="str">
        <f>HYPERLINK("https://pbs.twimg.com/profile_banners/1178592150965178368/1646277458")</f>
        <v>https://pbs.twimg.com/profile_banners/1178592150965178368/1646277458</v>
      </c>
      <c r="BI1073" s="76"/>
      <c r="BJ1073" s="76" t="s">
        <v>27595</v>
      </c>
      <c r="BK1073" s="76" t="b">
        <v>0</v>
      </c>
      <c r="BL1073" s="76"/>
      <c r="BM1073" s="76" t="s">
        <v>66</v>
      </c>
      <c r="BN1073" s="76" t="s">
        <v>27597</v>
      </c>
      <c r="BO1073" s="82" t="str">
        <f>HYPERLINK("https://twitter.com/embracmissoes")</f>
        <v>https://twitter.com/embracmissoes</v>
      </c>
      <c r="BP1073" s="2"/>
    </row>
    <row r="1074" spans="1:68" x14ac:dyDescent="0.25">
      <c r="A1074" s="62" t="s">
        <v>1004</v>
      </c>
      <c r="B1074" s="63"/>
      <c r="C1074" s="63"/>
      <c r="D1074" s="64"/>
      <c r="E1074" s="66"/>
      <c r="F1074" s="103" t="str">
        <f>HYPERLINK("https://pbs.twimg.com/profile_images/1672064707396599813/iR1By7yg_normal.jpg")</f>
        <v>https://pbs.twimg.com/profile_images/1672064707396599813/iR1By7yg_normal.jpg</v>
      </c>
      <c r="G1074" s="63"/>
      <c r="H1074" s="67"/>
      <c r="I1074" s="68"/>
      <c r="J1074" s="68"/>
      <c r="K1074" s="67" t="s">
        <v>28668</v>
      </c>
      <c r="L1074" s="71"/>
      <c r="M1074" s="72"/>
      <c r="N1074" s="72"/>
      <c r="O1074" s="73"/>
      <c r="P1074" s="74"/>
      <c r="Q1074" s="74"/>
      <c r="R1074" s="87"/>
      <c r="S1074" s="87"/>
      <c r="T1074" s="87"/>
      <c r="U1074" s="87"/>
      <c r="V1074" s="48"/>
      <c r="W1074" s="48"/>
      <c r="X1074" s="48"/>
      <c r="Y1074" s="48"/>
      <c r="Z1074" s="47"/>
      <c r="AA1074" s="69">
        <v>1074</v>
      </c>
      <c r="AB1074" s="69"/>
      <c r="AC1074" s="70"/>
      <c r="AD1074" s="76" t="s">
        <v>22297</v>
      </c>
      <c r="AE1074" s="81" t="s">
        <v>23628</v>
      </c>
      <c r="AF1074" s="76">
        <v>924</v>
      </c>
      <c r="AG1074" s="76">
        <v>989</v>
      </c>
      <c r="AH1074" s="76">
        <v>8839</v>
      </c>
      <c r="AI1074" s="76">
        <v>1</v>
      </c>
      <c r="AJ1074" s="76">
        <v>71163</v>
      </c>
      <c r="AK1074" s="76">
        <v>396</v>
      </c>
      <c r="AL1074" s="76" t="b">
        <v>0</v>
      </c>
      <c r="AM1074" s="78">
        <v>40256.238321759258</v>
      </c>
      <c r="AN1074" s="76" t="s">
        <v>14433</v>
      </c>
      <c r="AO1074" s="76" t="s">
        <v>25667</v>
      </c>
      <c r="AP1074" s="76"/>
      <c r="AQ1074" s="76"/>
      <c r="AR1074" s="76"/>
      <c r="AS1074" s="76"/>
      <c r="AT1074" s="76"/>
      <c r="AU1074" s="76"/>
      <c r="AV1074" s="76"/>
      <c r="AW1074" s="76"/>
      <c r="AX1074" s="76" t="b">
        <v>0</v>
      </c>
      <c r="AY1074" s="76"/>
      <c r="AZ1074" s="76"/>
      <c r="BA1074" s="76" t="b">
        <v>1</v>
      </c>
      <c r="BB1074" s="76" t="b">
        <v>1</v>
      </c>
      <c r="BC1074" s="76" t="b">
        <v>0</v>
      </c>
      <c r="BD1074" s="76" t="b">
        <v>0</v>
      </c>
      <c r="BE1074" s="76" t="b">
        <v>1</v>
      </c>
      <c r="BF1074" s="76" t="b">
        <v>0</v>
      </c>
      <c r="BG1074" s="76" t="b">
        <v>0</v>
      </c>
      <c r="BH1074" s="82" t="str">
        <f>HYPERLINK("https://pbs.twimg.com/profile_banners/124374240/1687488414")</f>
        <v>https://pbs.twimg.com/profile_banners/124374240/1687488414</v>
      </c>
      <c r="BI1074" s="76"/>
      <c r="BJ1074" s="76" t="s">
        <v>27595</v>
      </c>
      <c r="BK1074" s="76" t="b">
        <v>0</v>
      </c>
      <c r="BL1074" s="76"/>
      <c r="BM1074" s="76" t="s">
        <v>66</v>
      </c>
      <c r="BN1074" s="76" t="s">
        <v>27597</v>
      </c>
      <c r="BO1074" s="82" t="str">
        <f>HYPERLINK("https://twitter.com/jannefreitas")</f>
        <v>https://twitter.com/jannefreitas</v>
      </c>
      <c r="BP1074" s="2"/>
    </row>
    <row r="1075" spans="1:68" x14ac:dyDescent="0.25">
      <c r="A1075" s="62" t="s">
        <v>1005</v>
      </c>
      <c r="B1075" s="63"/>
      <c r="C1075" s="63"/>
      <c r="D1075" s="64"/>
      <c r="E1075" s="66"/>
      <c r="F1075" s="103" t="str">
        <f>HYPERLINK("https://pbs.twimg.com/profile_images/1683511655311843332/PeaURi7E_normal.jpg")</f>
        <v>https://pbs.twimg.com/profile_images/1683511655311843332/PeaURi7E_normal.jpg</v>
      </c>
      <c r="G1075" s="63"/>
      <c r="H1075" s="67"/>
      <c r="I1075" s="68"/>
      <c r="J1075" s="68"/>
      <c r="K1075" s="67" t="s">
        <v>28669</v>
      </c>
      <c r="L1075" s="71"/>
      <c r="M1075" s="72"/>
      <c r="N1075" s="72"/>
      <c r="O1075" s="73"/>
      <c r="P1075" s="74"/>
      <c r="Q1075" s="74"/>
      <c r="R1075" s="87"/>
      <c r="S1075" s="87"/>
      <c r="T1075" s="87"/>
      <c r="U1075" s="87"/>
      <c r="V1075" s="48"/>
      <c r="W1075" s="48"/>
      <c r="X1075" s="48"/>
      <c r="Y1075" s="48"/>
      <c r="Z1075" s="47"/>
      <c r="AA1075" s="69">
        <v>1075</v>
      </c>
      <c r="AB1075" s="69"/>
      <c r="AC1075" s="70"/>
      <c r="AD1075" s="76" t="s">
        <v>22298</v>
      </c>
      <c r="AE1075" s="81" t="s">
        <v>23629</v>
      </c>
      <c r="AF1075" s="76">
        <v>176</v>
      </c>
      <c r="AG1075" s="76">
        <v>33</v>
      </c>
      <c r="AH1075" s="76">
        <v>69885</v>
      </c>
      <c r="AI1075" s="76">
        <v>4</v>
      </c>
      <c r="AJ1075" s="76">
        <v>9830</v>
      </c>
      <c r="AK1075" s="76">
        <v>190</v>
      </c>
      <c r="AL1075" s="76" t="b">
        <v>0</v>
      </c>
      <c r="AM1075" s="78">
        <v>40927.796458333331</v>
      </c>
      <c r="AN1075" s="76" t="s">
        <v>24125</v>
      </c>
      <c r="AO1075" s="76" t="s">
        <v>25668</v>
      </c>
      <c r="AP1075" s="82" t="str">
        <f>HYPERLINK("https://t.co/u6EXBAOVJf")</f>
        <v>https://t.co/u6EXBAOVJf</v>
      </c>
      <c r="AQ1075" s="82" t="str">
        <f>HYPERLINK("http://instagram.com/luciaagalarzaa")</f>
        <v>http://instagram.com/luciaagalarzaa</v>
      </c>
      <c r="AR1075" s="76" t="s">
        <v>26935</v>
      </c>
      <c r="AS1075" s="76"/>
      <c r="AT1075" s="76"/>
      <c r="AU1075" s="76"/>
      <c r="AV1075" s="76"/>
      <c r="AW1075" s="82" t="str">
        <f>HYPERLINK("https://t.co/u6EXBAOVJf")</f>
        <v>https://t.co/u6EXBAOVJf</v>
      </c>
      <c r="AX1075" s="76" t="b">
        <v>0</v>
      </c>
      <c r="AY1075" s="76"/>
      <c r="AZ1075" s="76"/>
      <c r="BA1075" s="76" t="b">
        <v>0</v>
      </c>
      <c r="BB1075" s="76" t="b">
        <v>0</v>
      </c>
      <c r="BC1075" s="76" t="b">
        <v>0</v>
      </c>
      <c r="BD1075" s="76" t="b">
        <v>0</v>
      </c>
      <c r="BE1075" s="76" t="b">
        <v>0</v>
      </c>
      <c r="BF1075" s="76" t="b">
        <v>0</v>
      </c>
      <c r="BG1075" s="76" t="b">
        <v>0</v>
      </c>
      <c r="BH1075" s="82" t="str">
        <f>HYPERLINK("https://pbs.twimg.com/profile_banners/468637382/1691548228")</f>
        <v>https://pbs.twimg.com/profile_banners/468637382/1691548228</v>
      </c>
      <c r="BI1075" s="76"/>
      <c r="BJ1075" s="76" t="s">
        <v>27596</v>
      </c>
      <c r="BK1075" s="76" t="b">
        <v>0</v>
      </c>
      <c r="BL1075" s="76"/>
      <c r="BM1075" s="76" t="s">
        <v>66</v>
      </c>
      <c r="BN1075" s="76" t="s">
        <v>27597</v>
      </c>
      <c r="BO1075" s="82" t="str">
        <f>HYPERLINK("https://twitter.com/luligalarza")</f>
        <v>https://twitter.com/luligalarza</v>
      </c>
      <c r="BP1075" s="2"/>
    </row>
    <row r="1076" spans="1:68" x14ac:dyDescent="0.25">
      <c r="A1076" s="62" t="s">
        <v>1937</v>
      </c>
      <c r="B1076" s="63"/>
      <c r="C1076" s="63"/>
      <c r="D1076" s="64"/>
      <c r="E1076" s="66"/>
      <c r="F1076" s="103" t="str">
        <f>HYPERLINK("https://pbs.twimg.com/profile_images/1112014698/foto6-3.jpg_1__normal.jpg")</f>
        <v>https://pbs.twimg.com/profile_images/1112014698/foto6-3.jpg_1__normal.jpg</v>
      </c>
      <c r="G1076" s="63"/>
      <c r="H1076" s="67"/>
      <c r="I1076" s="68"/>
      <c r="J1076" s="68"/>
      <c r="K1076" s="67" t="s">
        <v>28670</v>
      </c>
      <c r="L1076" s="71"/>
      <c r="M1076" s="72"/>
      <c r="N1076" s="72"/>
      <c r="O1076" s="73"/>
      <c r="P1076" s="74"/>
      <c r="Q1076" s="74"/>
      <c r="R1076" s="87"/>
      <c r="S1076" s="87"/>
      <c r="T1076" s="87"/>
      <c r="U1076" s="87"/>
      <c r="V1076" s="48"/>
      <c r="W1076" s="48"/>
      <c r="X1076" s="48"/>
      <c r="Y1076" s="48"/>
      <c r="Z1076" s="47"/>
      <c r="AA1076" s="69">
        <v>1076</v>
      </c>
      <c r="AB1076" s="69"/>
      <c r="AC1076" s="70"/>
      <c r="AD1076" s="76" t="s">
        <v>22299</v>
      </c>
      <c r="AE1076" s="81" t="s">
        <v>23630</v>
      </c>
      <c r="AF1076" s="76">
        <v>6098794</v>
      </c>
      <c r="AG1076" s="76">
        <v>240</v>
      </c>
      <c r="AH1076" s="76">
        <v>15995</v>
      </c>
      <c r="AI1076" s="76">
        <v>14346</v>
      </c>
      <c r="AJ1076" s="76">
        <v>488</v>
      </c>
      <c r="AK1076" s="76">
        <v>4707</v>
      </c>
      <c r="AL1076" s="76" t="b">
        <v>0</v>
      </c>
      <c r="AM1076" s="78">
        <v>40298.733923611115</v>
      </c>
      <c r="AN1076" s="76" t="s">
        <v>14385</v>
      </c>
      <c r="AO1076" s="76" t="s">
        <v>25669</v>
      </c>
      <c r="AP1076" s="82" t="str">
        <f>HYPERLINK("https://t.co/P8WemOJelF")</f>
        <v>https://t.co/P8WemOJelF</v>
      </c>
      <c r="AQ1076" s="82" t="str">
        <f>HYPERLINK("https://www.cfkargentina.com")</f>
        <v>https://www.cfkargentina.com</v>
      </c>
      <c r="AR1076" s="76" t="s">
        <v>26936</v>
      </c>
      <c r="AS1076" s="76"/>
      <c r="AT1076" s="76"/>
      <c r="AU1076" s="76"/>
      <c r="AV1076" s="76"/>
      <c r="AW1076" s="82" t="str">
        <f>HYPERLINK("https://t.co/P8WemOJelF")</f>
        <v>https://t.co/P8WemOJelF</v>
      </c>
      <c r="AX1076" s="76" t="b">
        <v>1</v>
      </c>
      <c r="AY1076" s="76"/>
      <c r="AZ1076" s="76"/>
      <c r="BA1076" s="76" t="b">
        <v>0</v>
      </c>
      <c r="BB1076" s="76" t="b">
        <v>1</v>
      </c>
      <c r="BC1076" s="76" t="b">
        <v>0</v>
      </c>
      <c r="BD1076" s="76" t="b">
        <v>0</v>
      </c>
      <c r="BE1076" s="76" t="b">
        <v>0</v>
      </c>
      <c r="BF1076" s="76" t="b">
        <v>0</v>
      </c>
      <c r="BG1076" s="76" t="b">
        <v>0</v>
      </c>
      <c r="BH1076" s="82" t="str">
        <f>HYPERLINK("https://pbs.twimg.com/profile_banners/138814032/1575985293")</f>
        <v>https://pbs.twimg.com/profile_banners/138814032/1575985293</v>
      </c>
      <c r="BI1076" s="76"/>
      <c r="BJ1076" s="76" t="s">
        <v>27596</v>
      </c>
      <c r="BK1076" s="76" t="b">
        <v>0</v>
      </c>
      <c r="BL1076" s="76"/>
      <c r="BM1076" s="76" t="s">
        <v>65</v>
      </c>
      <c r="BN1076" s="76" t="s">
        <v>27597</v>
      </c>
      <c r="BO1076" s="82" t="str">
        <f>HYPERLINK("https://twitter.com/cfkargentina")</f>
        <v>https://twitter.com/cfkargentina</v>
      </c>
      <c r="BP1076" s="2"/>
    </row>
    <row r="1077" spans="1:68" x14ac:dyDescent="0.25">
      <c r="A1077" s="62" t="s">
        <v>1938</v>
      </c>
      <c r="B1077" s="63"/>
      <c r="C1077" s="63"/>
      <c r="D1077" s="64"/>
      <c r="E1077" s="66"/>
      <c r="F1077" s="103" t="str">
        <f>HYPERLINK("https://pbs.twimg.com/profile_images/1267608979502481410/CKWNaG2x_normal.jpg")</f>
        <v>https://pbs.twimg.com/profile_images/1267608979502481410/CKWNaG2x_normal.jpg</v>
      </c>
      <c r="G1077" s="63"/>
      <c r="H1077" s="67"/>
      <c r="I1077" s="68"/>
      <c r="J1077" s="68"/>
      <c r="K1077" s="67" t="s">
        <v>28671</v>
      </c>
      <c r="L1077" s="71"/>
      <c r="M1077" s="72"/>
      <c r="N1077" s="72"/>
      <c r="O1077" s="73"/>
      <c r="P1077" s="74"/>
      <c r="Q1077" s="74"/>
      <c r="R1077" s="87"/>
      <c r="S1077" s="87"/>
      <c r="T1077" s="87"/>
      <c r="U1077" s="87"/>
      <c r="V1077" s="48"/>
      <c r="W1077" s="48"/>
      <c r="X1077" s="48"/>
      <c r="Y1077" s="48"/>
      <c r="Z1077" s="47"/>
      <c r="AA1077" s="69">
        <v>1077</v>
      </c>
      <c r="AB1077" s="69"/>
      <c r="AC1077" s="70"/>
      <c r="AD1077" s="76" t="s">
        <v>22300</v>
      </c>
      <c r="AE1077" s="81" t="s">
        <v>23631</v>
      </c>
      <c r="AF1077" s="76">
        <v>440778</v>
      </c>
      <c r="AG1077" s="76">
        <v>1</v>
      </c>
      <c r="AH1077" s="76">
        <v>15138</v>
      </c>
      <c r="AI1077" s="76">
        <v>501</v>
      </c>
      <c r="AJ1077" s="76">
        <v>2131</v>
      </c>
      <c r="AK1077" s="76">
        <v>6556</v>
      </c>
      <c r="AL1077" s="76" t="b">
        <v>0</v>
      </c>
      <c r="AM1077" s="78">
        <v>42551.082187499997</v>
      </c>
      <c r="AN1077" s="76" t="s">
        <v>24113</v>
      </c>
      <c r="AO1077" s="76" t="s">
        <v>25670</v>
      </c>
      <c r="AP1077" s="82" t="str">
        <f>HYPERLINK("https://t.co/UjWSomkzKJ")</f>
        <v>https://t.co/UjWSomkzKJ</v>
      </c>
      <c r="AQ1077" s="82" t="str">
        <f>HYPERLINK("https://www.tiktok.com/@alferdez")</f>
        <v>https://www.tiktok.com/@alferdez</v>
      </c>
      <c r="AR1077" s="76" t="s">
        <v>26462</v>
      </c>
      <c r="AS1077" s="76"/>
      <c r="AT1077" s="76"/>
      <c r="AU1077" s="76"/>
      <c r="AV1077" s="76"/>
      <c r="AW1077" s="82" t="str">
        <f>HYPERLINK("https://t.co/UjWSomkzKJ")</f>
        <v>https://t.co/UjWSomkzKJ</v>
      </c>
      <c r="AX1077" s="76" t="b">
        <v>0</v>
      </c>
      <c r="AY1077" s="76"/>
      <c r="AZ1077" s="76"/>
      <c r="BA1077" s="76" t="b">
        <v>1</v>
      </c>
      <c r="BB1077" s="76" t="b">
        <v>1</v>
      </c>
      <c r="BC1077" s="76" t="b">
        <v>0</v>
      </c>
      <c r="BD1077" s="76" t="b">
        <v>0</v>
      </c>
      <c r="BE1077" s="76" t="b">
        <v>0</v>
      </c>
      <c r="BF1077" s="76" t="b">
        <v>0</v>
      </c>
      <c r="BG1077" s="76" t="b">
        <v>0</v>
      </c>
      <c r="BH1077" s="82" t="str">
        <f>HYPERLINK("https://pbs.twimg.com/profile_banners/748334828978839553/1631457538")</f>
        <v>https://pbs.twimg.com/profile_banners/748334828978839553/1631457538</v>
      </c>
      <c r="BI1077" s="76"/>
      <c r="BJ1077" s="76" t="s">
        <v>27595</v>
      </c>
      <c r="BK1077" s="76" t="b">
        <v>0</v>
      </c>
      <c r="BL1077" s="76"/>
      <c r="BM1077" s="76" t="s">
        <v>65</v>
      </c>
      <c r="BN1077" s="76" t="s">
        <v>27597</v>
      </c>
      <c r="BO1077" s="82" t="str">
        <f>HYPERLINK("https://twitter.com/alferdezprensa")</f>
        <v>https://twitter.com/alferdezprensa</v>
      </c>
      <c r="BP1077" s="2"/>
    </row>
    <row r="1078" spans="1:68" x14ac:dyDescent="0.25">
      <c r="A1078" s="62" t="s">
        <v>1195</v>
      </c>
      <c r="B1078" s="63"/>
      <c r="C1078" s="63"/>
      <c r="D1078" s="64"/>
      <c r="E1078" s="66"/>
      <c r="F1078" s="103" t="str">
        <f>HYPERLINK("https://pbs.twimg.com/profile_images/1607730127575588866/K2VUX3Qs_normal.jpg")</f>
        <v>https://pbs.twimg.com/profile_images/1607730127575588866/K2VUX3Qs_normal.jpg</v>
      </c>
      <c r="G1078" s="63"/>
      <c r="H1078" s="67"/>
      <c r="I1078" s="68"/>
      <c r="J1078" s="68"/>
      <c r="K1078" s="67" t="s">
        <v>28672</v>
      </c>
      <c r="L1078" s="71"/>
      <c r="M1078" s="72"/>
      <c r="N1078" s="72"/>
      <c r="O1078" s="73"/>
      <c r="P1078" s="74"/>
      <c r="Q1078" s="74"/>
      <c r="R1078" s="87"/>
      <c r="S1078" s="87"/>
      <c r="T1078" s="87"/>
      <c r="U1078" s="87"/>
      <c r="V1078" s="48"/>
      <c r="W1078" s="48"/>
      <c r="X1078" s="48"/>
      <c r="Y1078" s="48"/>
      <c r="Z1078" s="47"/>
      <c r="AA1078" s="69">
        <v>1078</v>
      </c>
      <c r="AB1078" s="69"/>
      <c r="AC1078" s="70"/>
      <c r="AD1078" s="76" t="s">
        <v>22301</v>
      </c>
      <c r="AE1078" s="81" t="s">
        <v>23632</v>
      </c>
      <c r="AF1078" s="76">
        <v>174947</v>
      </c>
      <c r="AG1078" s="76">
        <v>11307</v>
      </c>
      <c r="AH1078" s="76">
        <v>88603</v>
      </c>
      <c r="AI1078" s="76">
        <v>167</v>
      </c>
      <c r="AJ1078" s="76">
        <v>10880</v>
      </c>
      <c r="AK1078" s="76">
        <v>6357</v>
      </c>
      <c r="AL1078" s="76" t="b">
        <v>0</v>
      </c>
      <c r="AM1078" s="78">
        <v>40004.864398148151</v>
      </c>
      <c r="AN1078" s="76" t="s">
        <v>14385</v>
      </c>
      <c r="AO1078" s="76" t="s">
        <v>25671</v>
      </c>
      <c r="AP1078" s="82" t="str">
        <f>HYPERLINK("https://t.co/HLRxl9xXoP")</f>
        <v>https://t.co/HLRxl9xXoP</v>
      </c>
      <c r="AQ1078" s="82" t="str">
        <f>HYPERLINK("http://naranjax.com")</f>
        <v>http://naranjax.com</v>
      </c>
      <c r="AR1078" s="76" t="s">
        <v>26937</v>
      </c>
      <c r="AS1078" s="76"/>
      <c r="AT1078" s="76"/>
      <c r="AU1078" s="76"/>
      <c r="AV1078" s="76">
        <v>1.7023213099367199E+18</v>
      </c>
      <c r="AW1078" s="82" t="str">
        <f>HYPERLINK("https://t.co/HLRxl9xXoP")</f>
        <v>https://t.co/HLRxl9xXoP</v>
      </c>
      <c r="AX1078" s="76" t="b">
        <v>0</v>
      </c>
      <c r="AY1078" s="76"/>
      <c r="AZ1078" s="76"/>
      <c r="BA1078" s="76" t="b">
        <v>1</v>
      </c>
      <c r="BB1078" s="76" t="b">
        <v>1</v>
      </c>
      <c r="BC1078" s="76" t="b">
        <v>0</v>
      </c>
      <c r="BD1078" s="76" t="b">
        <v>0</v>
      </c>
      <c r="BE1078" s="76" t="b">
        <v>1</v>
      </c>
      <c r="BF1078" s="76" t="b">
        <v>0</v>
      </c>
      <c r="BG1078" s="76" t="b">
        <v>0</v>
      </c>
      <c r="BH1078" s="82" t="str">
        <f>HYPERLINK("https://pbs.twimg.com/profile_banners/55659088/1692804860")</f>
        <v>https://pbs.twimg.com/profile_banners/55659088/1692804860</v>
      </c>
      <c r="BI1078" s="76"/>
      <c r="BJ1078" s="76" t="s">
        <v>27595</v>
      </c>
      <c r="BK1078" s="76" t="b">
        <v>0</v>
      </c>
      <c r="BL1078" s="76"/>
      <c r="BM1078" s="76" t="s">
        <v>66</v>
      </c>
      <c r="BN1078" s="76" t="s">
        <v>27597</v>
      </c>
      <c r="BO1078" s="82" t="str">
        <f>HYPERLINK("https://twitter.com/naranjax")</f>
        <v>https://twitter.com/naranjax</v>
      </c>
      <c r="BP1078" s="2"/>
    </row>
    <row r="1079" spans="1:68" x14ac:dyDescent="0.25">
      <c r="A1079" s="62" t="s">
        <v>1007</v>
      </c>
      <c r="B1079" s="63"/>
      <c r="C1079" s="63"/>
      <c r="D1079" s="64"/>
      <c r="E1079" s="66"/>
      <c r="F1079" s="103" t="str">
        <f>HYPERLINK("https://pbs.twimg.com/profile_images/960554411188736001/juzAzvhn_normal.jpg")</f>
        <v>https://pbs.twimg.com/profile_images/960554411188736001/juzAzvhn_normal.jpg</v>
      </c>
      <c r="G1079" s="63"/>
      <c r="H1079" s="67"/>
      <c r="I1079" s="68"/>
      <c r="J1079" s="68"/>
      <c r="K1079" s="67" t="s">
        <v>28673</v>
      </c>
      <c r="L1079" s="71"/>
      <c r="M1079" s="72"/>
      <c r="N1079" s="72"/>
      <c r="O1079" s="73"/>
      <c r="P1079" s="74"/>
      <c r="Q1079" s="74"/>
      <c r="R1079" s="87"/>
      <c r="S1079" s="87"/>
      <c r="T1079" s="87"/>
      <c r="U1079" s="87"/>
      <c r="V1079" s="48"/>
      <c r="W1079" s="48"/>
      <c r="X1079" s="48"/>
      <c r="Y1079" s="48"/>
      <c r="Z1079" s="47"/>
      <c r="AA1079" s="69">
        <v>1079</v>
      </c>
      <c r="AB1079" s="69"/>
      <c r="AC1079" s="70"/>
      <c r="AD1079" s="76" t="s">
        <v>22302</v>
      </c>
      <c r="AE1079" s="81" t="s">
        <v>20878</v>
      </c>
      <c r="AF1079" s="76">
        <v>26</v>
      </c>
      <c r="AG1079" s="76">
        <v>62</v>
      </c>
      <c r="AH1079" s="76">
        <v>1462</v>
      </c>
      <c r="AI1079" s="76">
        <v>0</v>
      </c>
      <c r="AJ1079" s="76">
        <v>1807</v>
      </c>
      <c r="AK1079" s="76">
        <v>8</v>
      </c>
      <c r="AL1079" s="76" t="b">
        <v>0</v>
      </c>
      <c r="AM1079" s="78">
        <v>42970.309988425928</v>
      </c>
      <c r="AN1079" s="76" t="s">
        <v>14385</v>
      </c>
      <c r="AO1079" s="76" t="s">
        <v>25672</v>
      </c>
      <c r="AP1079" s="76"/>
      <c r="AQ1079" s="76"/>
      <c r="AR1079" s="76"/>
      <c r="AS1079" s="76"/>
      <c r="AT1079" s="76"/>
      <c r="AU1079" s="76"/>
      <c r="AV1079" s="76"/>
      <c r="AW1079" s="76"/>
      <c r="AX1079" s="76" t="b">
        <v>0</v>
      </c>
      <c r="AY1079" s="76"/>
      <c r="AZ1079" s="76"/>
      <c r="BA1079" s="76" t="b">
        <v>0</v>
      </c>
      <c r="BB1079" s="76" t="b">
        <v>1</v>
      </c>
      <c r="BC1079" s="76" t="b">
        <v>1</v>
      </c>
      <c r="BD1079" s="76" t="b">
        <v>0</v>
      </c>
      <c r="BE1079" s="76" t="b">
        <v>0</v>
      </c>
      <c r="BF1079" s="76" t="b">
        <v>0</v>
      </c>
      <c r="BG1079" s="76" t="b">
        <v>0</v>
      </c>
      <c r="BH1079" s="82" t="str">
        <f>HYPERLINK("https://pbs.twimg.com/profile_banners/900257896054894592/1505198284")</f>
        <v>https://pbs.twimg.com/profile_banners/900257896054894592/1505198284</v>
      </c>
      <c r="BI1079" s="76"/>
      <c r="BJ1079" s="76" t="s">
        <v>27595</v>
      </c>
      <c r="BK1079" s="76" t="b">
        <v>0</v>
      </c>
      <c r="BL1079" s="76"/>
      <c r="BM1079" s="76" t="s">
        <v>66</v>
      </c>
      <c r="BN1079" s="76" t="s">
        <v>27597</v>
      </c>
      <c r="BO1079" s="82" t="str">
        <f>HYPERLINK("https://twitter.com/periodisminter")</f>
        <v>https://twitter.com/periodisminter</v>
      </c>
      <c r="BP1079" s="2"/>
    </row>
    <row r="1080" spans="1:68" x14ac:dyDescent="0.25">
      <c r="A1080" s="62" t="s">
        <v>1008</v>
      </c>
      <c r="B1080" s="63"/>
      <c r="C1080" s="63"/>
      <c r="D1080" s="64"/>
      <c r="E1080" s="66"/>
      <c r="F1080" s="103" t="str">
        <f>HYPERLINK("https://pbs.twimg.com/profile_images/1705589169974616064/wvxg-9zD_normal.jpg")</f>
        <v>https://pbs.twimg.com/profile_images/1705589169974616064/wvxg-9zD_normal.jpg</v>
      </c>
      <c r="G1080" s="63"/>
      <c r="H1080" s="67"/>
      <c r="I1080" s="68"/>
      <c r="J1080" s="68"/>
      <c r="K1080" s="67" t="s">
        <v>28674</v>
      </c>
      <c r="L1080" s="71"/>
      <c r="M1080" s="72"/>
      <c r="N1080" s="72"/>
      <c r="O1080" s="73"/>
      <c r="P1080" s="74"/>
      <c r="Q1080" s="74"/>
      <c r="R1080" s="87"/>
      <c r="S1080" s="87"/>
      <c r="T1080" s="87"/>
      <c r="U1080" s="87"/>
      <c r="V1080" s="48"/>
      <c r="W1080" s="48"/>
      <c r="X1080" s="48"/>
      <c r="Y1080" s="48"/>
      <c r="Z1080" s="47"/>
      <c r="AA1080" s="69">
        <v>1080</v>
      </c>
      <c r="AB1080" s="69"/>
      <c r="AC1080" s="70"/>
      <c r="AD1080" s="76" t="s">
        <v>22303</v>
      </c>
      <c r="AE1080" s="81" t="s">
        <v>20316</v>
      </c>
      <c r="AF1080" s="76">
        <v>151</v>
      </c>
      <c r="AG1080" s="76">
        <v>494</v>
      </c>
      <c r="AH1080" s="76">
        <v>4156</v>
      </c>
      <c r="AI1080" s="76">
        <v>0</v>
      </c>
      <c r="AJ1080" s="76">
        <v>10093</v>
      </c>
      <c r="AK1080" s="76">
        <v>851</v>
      </c>
      <c r="AL1080" s="76" t="b">
        <v>0</v>
      </c>
      <c r="AM1080" s="78">
        <v>44376.864502314813</v>
      </c>
      <c r="AN1080" s="76"/>
      <c r="AO1080" s="76" t="s">
        <v>25673</v>
      </c>
      <c r="AP1080" s="76"/>
      <c r="AQ1080" s="76"/>
      <c r="AR1080" s="76"/>
      <c r="AS1080" s="76"/>
      <c r="AT1080" s="76"/>
      <c r="AU1080" s="76"/>
      <c r="AV1080" s="76">
        <v>1.70734402045469E+18</v>
      </c>
      <c r="AW1080" s="76"/>
      <c r="AX1080" s="76" t="b">
        <v>0</v>
      </c>
      <c r="AY1080" s="76"/>
      <c r="AZ1080" s="76"/>
      <c r="BA1080" s="76" t="b">
        <v>0</v>
      </c>
      <c r="BB1080" s="76" t="b">
        <v>0</v>
      </c>
      <c r="BC1080" s="76" t="b">
        <v>1</v>
      </c>
      <c r="BD1080" s="76" t="b">
        <v>0</v>
      </c>
      <c r="BE1080" s="76" t="b">
        <v>1</v>
      </c>
      <c r="BF1080" s="76" t="b">
        <v>0</v>
      </c>
      <c r="BG1080" s="76" t="b">
        <v>0</v>
      </c>
      <c r="BH1080" s="82" t="str">
        <f>HYPERLINK("https://pbs.twimg.com/profile_banners/1409974528084787206/1695373760")</f>
        <v>https://pbs.twimg.com/profile_banners/1409974528084787206/1695373760</v>
      </c>
      <c r="BI1080" s="76"/>
      <c r="BJ1080" s="76" t="s">
        <v>27595</v>
      </c>
      <c r="BK1080" s="76" t="b">
        <v>0</v>
      </c>
      <c r="BL1080" s="76"/>
      <c r="BM1080" s="76" t="s">
        <v>66</v>
      </c>
      <c r="BN1080" s="76" t="s">
        <v>27597</v>
      </c>
      <c r="BO1080" s="82" t="str">
        <f>HYPERLINK("https://twitter.com/rrjunior11")</f>
        <v>https://twitter.com/rrjunior11</v>
      </c>
      <c r="BP1080" s="2"/>
    </row>
    <row r="1081" spans="1:68" x14ac:dyDescent="0.25">
      <c r="A1081" s="62" t="s">
        <v>1939</v>
      </c>
      <c r="B1081" s="63"/>
      <c r="C1081" s="63"/>
      <c r="D1081" s="64"/>
      <c r="E1081" s="66"/>
      <c r="F1081" s="103" t="str">
        <f>HYPERLINK("https://pbs.twimg.com/profile_images/1583140345554034689/mOfp9V91_normal.jpg")</f>
        <v>https://pbs.twimg.com/profile_images/1583140345554034689/mOfp9V91_normal.jpg</v>
      </c>
      <c r="G1081" s="63"/>
      <c r="H1081" s="67"/>
      <c r="I1081" s="68"/>
      <c r="J1081" s="68"/>
      <c r="K1081" s="67" t="s">
        <v>28675</v>
      </c>
      <c r="L1081" s="71"/>
      <c r="M1081" s="72"/>
      <c r="N1081" s="72"/>
      <c r="O1081" s="73"/>
      <c r="P1081" s="74"/>
      <c r="Q1081" s="74"/>
      <c r="R1081" s="87"/>
      <c r="S1081" s="87"/>
      <c r="T1081" s="87"/>
      <c r="U1081" s="87"/>
      <c r="V1081" s="48"/>
      <c r="W1081" s="48"/>
      <c r="X1081" s="48"/>
      <c r="Y1081" s="48"/>
      <c r="Z1081" s="47"/>
      <c r="AA1081" s="69">
        <v>1081</v>
      </c>
      <c r="AB1081" s="69"/>
      <c r="AC1081" s="70"/>
      <c r="AD1081" s="76" t="s">
        <v>22304</v>
      </c>
      <c r="AE1081" s="81" t="s">
        <v>23633</v>
      </c>
      <c r="AF1081" s="76">
        <v>3177897</v>
      </c>
      <c r="AG1081" s="76">
        <v>1305</v>
      </c>
      <c r="AH1081" s="76">
        <v>49623</v>
      </c>
      <c r="AI1081" s="76">
        <v>7228</v>
      </c>
      <c r="AJ1081" s="76">
        <v>15933</v>
      </c>
      <c r="AK1081" s="76">
        <v>1583</v>
      </c>
      <c r="AL1081" s="76" t="b">
        <v>0</v>
      </c>
      <c r="AM1081" s="78">
        <v>39737.896574074075</v>
      </c>
      <c r="AN1081" s="76"/>
      <c r="AO1081" s="76" t="s">
        <v>25674</v>
      </c>
      <c r="AP1081" s="82" t="str">
        <f>HYPERLINK("https://t.co/Ahstn5fG1U")</f>
        <v>https://t.co/Ahstn5fG1U</v>
      </c>
      <c r="AQ1081" s="82" t="str">
        <f>HYPERLINK("http://www.oglobo.com.br/miriam")</f>
        <v>http://www.oglobo.com.br/miriam</v>
      </c>
      <c r="AR1081" s="76" t="s">
        <v>26938</v>
      </c>
      <c r="AS1081" s="76"/>
      <c r="AT1081" s="76"/>
      <c r="AU1081" s="76"/>
      <c r="AV1081" s="76">
        <v>1.6887240102661901E+18</v>
      </c>
      <c r="AW1081" s="82" t="str">
        <f>HYPERLINK("https://t.co/Ahstn5fG1U")</f>
        <v>https://t.co/Ahstn5fG1U</v>
      </c>
      <c r="AX1081" s="76" t="b">
        <v>1</v>
      </c>
      <c r="AY1081" s="76"/>
      <c r="AZ1081" s="76"/>
      <c r="BA1081" s="76" t="b">
        <v>0</v>
      </c>
      <c r="BB1081" s="76" t="b">
        <v>0</v>
      </c>
      <c r="BC1081" s="76" t="b">
        <v>0</v>
      </c>
      <c r="BD1081" s="76" t="b">
        <v>0</v>
      </c>
      <c r="BE1081" s="76" t="b">
        <v>0</v>
      </c>
      <c r="BF1081" s="76" t="b">
        <v>0</v>
      </c>
      <c r="BG1081" s="76" t="b">
        <v>0</v>
      </c>
      <c r="BH1081" s="76"/>
      <c r="BI1081" s="76"/>
      <c r="BJ1081" s="76" t="s">
        <v>27595</v>
      </c>
      <c r="BK1081" s="76" t="b">
        <v>0</v>
      </c>
      <c r="BL1081" s="76"/>
      <c r="BM1081" s="76" t="s">
        <v>65</v>
      </c>
      <c r="BN1081" s="76" t="s">
        <v>27597</v>
      </c>
      <c r="BO1081" s="82" t="str">
        <f>HYPERLINK("https://twitter.com/miriamleitao")</f>
        <v>https://twitter.com/miriamleitao</v>
      </c>
      <c r="BP1081" s="2"/>
    </row>
    <row r="1082" spans="1:68" x14ac:dyDescent="0.25">
      <c r="A1082" s="62" t="s">
        <v>1009</v>
      </c>
      <c r="B1082" s="63"/>
      <c r="C1082" s="63"/>
      <c r="D1082" s="64"/>
      <c r="E1082" s="66"/>
      <c r="F1082" s="103" t="str">
        <f>HYPERLINK("https://pbs.twimg.com/profile_images/1703854437586944000/y-lRZ4mc_normal.jpg")</f>
        <v>https://pbs.twimg.com/profile_images/1703854437586944000/y-lRZ4mc_normal.jpg</v>
      </c>
      <c r="G1082" s="63"/>
      <c r="H1082" s="67"/>
      <c r="I1082" s="68"/>
      <c r="J1082" s="68"/>
      <c r="K1082" s="67" t="s">
        <v>28676</v>
      </c>
      <c r="L1082" s="71"/>
      <c r="M1082" s="72"/>
      <c r="N1082" s="72"/>
      <c r="O1082" s="73"/>
      <c r="P1082" s="74"/>
      <c r="Q1082" s="74"/>
      <c r="R1082" s="87"/>
      <c r="S1082" s="87"/>
      <c r="T1082" s="87"/>
      <c r="U1082" s="87"/>
      <c r="V1082" s="48"/>
      <c r="W1082" s="48"/>
      <c r="X1082" s="48"/>
      <c r="Y1082" s="48"/>
      <c r="Z1082" s="47"/>
      <c r="AA1082" s="69">
        <v>1082</v>
      </c>
      <c r="AB1082" s="69"/>
      <c r="AC1082" s="70"/>
      <c r="AD1082" s="76" t="s">
        <v>22305</v>
      </c>
      <c r="AE1082" s="81" t="s">
        <v>23634</v>
      </c>
      <c r="AF1082" s="76">
        <v>26393</v>
      </c>
      <c r="AG1082" s="76">
        <v>1480</v>
      </c>
      <c r="AH1082" s="76">
        <v>29033</v>
      </c>
      <c r="AI1082" s="76">
        <v>363</v>
      </c>
      <c r="AJ1082" s="76">
        <v>22015</v>
      </c>
      <c r="AK1082" s="76">
        <v>5482</v>
      </c>
      <c r="AL1082" s="76" t="b">
        <v>0</v>
      </c>
      <c r="AM1082" s="78">
        <v>42072.69935185185</v>
      </c>
      <c r="AN1082" s="76" t="s">
        <v>24462</v>
      </c>
      <c r="AO1082" s="76" t="s">
        <v>25675</v>
      </c>
      <c r="AP1082" s="82" t="str">
        <f>HYPERLINK("https://t.co/Qy21Wflm3S")</f>
        <v>https://t.co/Qy21Wflm3S</v>
      </c>
      <c r="AQ1082" s="82" t="str">
        <f>HYPERLINK("http://www.ruartereports.com")</f>
        <v>http://www.ruartereports.com</v>
      </c>
      <c r="AR1082" s="76" t="s">
        <v>26939</v>
      </c>
      <c r="AS1082" s="76"/>
      <c r="AT1082" s="76"/>
      <c r="AU1082" s="76"/>
      <c r="AV1082" s="76">
        <v>1.7045474174782799E+18</v>
      </c>
      <c r="AW1082" s="82" t="str">
        <f>HYPERLINK("https://t.co/Qy21Wflm3S")</f>
        <v>https://t.co/Qy21Wflm3S</v>
      </c>
      <c r="AX1082" s="76" t="b">
        <v>1</v>
      </c>
      <c r="AY1082" s="76"/>
      <c r="AZ1082" s="76"/>
      <c r="BA1082" s="76" t="b">
        <v>0</v>
      </c>
      <c r="BB1082" s="76" t="b">
        <v>1</v>
      </c>
      <c r="BC1082" s="76" t="b">
        <v>0</v>
      </c>
      <c r="BD1082" s="76" t="b">
        <v>0</v>
      </c>
      <c r="BE1082" s="76" t="b">
        <v>1</v>
      </c>
      <c r="BF1082" s="76" t="b">
        <v>0</v>
      </c>
      <c r="BG1082" s="76" t="b">
        <v>0</v>
      </c>
      <c r="BH1082" s="82" t="str">
        <f>HYPERLINK("https://pbs.twimg.com/profile_banners/3070073066/1652309600")</f>
        <v>https://pbs.twimg.com/profile_banners/3070073066/1652309600</v>
      </c>
      <c r="BI1082" s="76"/>
      <c r="BJ1082" s="76" t="s">
        <v>27595</v>
      </c>
      <c r="BK1082" s="76" t="b">
        <v>0</v>
      </c>
      <c r="BL1082" s="76"/>
      <c r="BM1082" s="76" t="s">
        <v>66</v>
      </c>
      <c r="BN1082" s="76" t="s">
        <v>27597</v>
      </c>
      <c r="BO1082" s="82" t="str">
        <f>HYPERLINK("https://twitter.com/roberto_ruarte")</f>
        <v>https://twitter.com/roberto_ruarte</v>
      </c>
      <c r="BP1082" s="2"/>
    </row>
    <row r="1083" spans="1:68" x14ac:dyDescent="0.25">
      <c r="A1083" s="62" t="s">
        <v>1940</v>
      </c>
      <c r="B1083" s="63"/>
      <c r="C1083" s="63"/>
      <c r="D1083" s="64"/>
      <c r="E1083" s="66"/>
      <c r="F1083" s="103" t="str">
        <f>HYPERLINK("https://pbs.twimg.com/profile_images/1580366493577084929/T3icYJM0_normal.jpg")</f>
        <v>https://pbs.twimg.com/profile_images/1580366493577084929/T3icYJM0_normal.jpg</v>
      </c>
      <c r="G1083" s="63"/>
      <c r="H1083" s="67"/>
      <c r="I1083" s="68"/>
      <c r="J1083" s="68"/>
      <c r="K1083" s="67" t="s">
        <v>28677</v>
      </c>
      <c r="L1083" s="71"/>
      <c r="M1083" s="72"/>
      <c r="N1083" s="72"/>
      <c r="O1083" s="73"/>
      <c r="P1083" s="74"/>
      <c r="Q1083" s="74"/>
      <c r="R1083" s="87"/>
      <c r="S1083" s="87"/>
      <c r="T1083" s="87"/>
      <c r="U1083" s="87"/>
      <c r="V1083" s="48"/>
      <c r="W1083" s="48"/>
      <c r="X1083" s="48"/>
      <c r="Y1083" s="48"/>
      <c r="Z1083" s="47"/>
      <c r="AA1083" s="69">
        <v>1083</v>
      </c>
      <c r="AB1083" s="69"/>
      <c r="AC1083" s="70"/>
      <c r="AD1083" s="76" t="s">
        <v>22306</v>
      </c>
      <c r="AE1083" s="81" t="s">
        <v>23635</v>
      </c>
      <c r="AF1083" s="76">
        <v>658</v>
      </c>
      <c r="AG1083" s="76">
        <v>556</v>
      </c>
      <c r="AH1083" s="76">
        <v>18532</v>
      </c>
      <c r="AI1083" s="76">
        <v>6</v>
      </c>
      <c r="AJ1083" s="76">
        <v>1453</v>
      </c>
      <c r="AK1083" s="76">
        <v>593</v>
      </c>
      <c r="AL1083" s="76" t="b">
        <v>0</v>
      </c>
      <c r="AM1083" s="78">
        <v>40402.703622685185</v>
      </c>
      <c r="AN1083" s="76"/>
      <c r="AO1083" s="76" t="s">
        <v>25676</v>
      </c>
      <c r="AP1083" s="76"/>
      <c r="AQ1083" s="76"/>
      <c r="AR1083" s="76"/>
      <c r="AS1083" s="76"/>
      <c r="AT1083" s="76"/>
      <c r="AU1083" s="76"/>
      <c r="AV1083" s="76">
        <v>8.2394923132514701E+17</v>
      </c>
      <c r="AW1083" s="76"/>
      <c r="AX1083" s="76" t="b">
        <v>0</v>
      </c>
      <c r="AY1083" s="76"/>
      <c r="AZ1083" s="76"/>
      <c r="BA1083" s="76" t="b">
        <v>0</v>
      </c>
      <c r="BB1083" s="76" t="b">
        <v>1</v>
      </c>
      <c r="BC1083" s="76" t="b">
        <v>0</v>
      </c>
      <c r="BD1083" s="76" t="b">
        <v>0</v>
      </c>
      <c r="BE1083" s="76" t="b">
        <v>1</v>
      </c>
      <c r="BF1083" s="76" t="b">
        <v>0</v>
      </c>
      <c r="BG1083" s="76" t="b">
        <v>0</v>
      </c>
      <c r="BH1083" s="82" t="str">
        <f>HYPERLINK("https://pbs.twimg.com/profile_banners/177624036/1665623736")</f>
        <v>https://pbs.twimg.com/profile_banners/177624036/1665623736</v>
      </c>
      <c r="BI1083" s="76"/>
      <c r="BJ1083" s="76" t="s">
        <v>27595</v>
      </c>
      <c r="BK1083" s="76" t="b">
        <v>0</v>
      </c>
      <c r="BL1083" s="76"/>
      <c r="BM1083" s="76" t="s">
        <v>65</v>
      </c>
      <c r="BN1083" s="76" t="s">
        <v>27597</v>
      </c>
      <c r="BO1083" s="82" t="str">
        <f>HYPERLINK("https://twitter.com/ameleks")</f>
        <v>https://twitter.com/ameleks</v>
      </c>
      <c r="BP1083" s="2"/>
    </row>
    <row r="1084" spans="1:68" x14ac:dyDescent="0.25">
      <c r="A1084" s="62" t="s">
        <v>1941</v>
      </c>
      <c r="B1084" s="63"/>
      <c r="C1084" s="63"/>
      <c r="D1084" s="64"/>
      <c r="E1084" s="66"/>
      <c r="F1084" s="103" t="str">
        <f>HYPERLINK("https://pbs.twimg.com/profile_images/1696286232769413120/lVGTwiHL_normal.jpg")</f>
        <v>https://pbs.twimg.com/profile_images/1696286232769413120/lVGTwiHL_normal.jpg</v>
      </c>
      <c r="G1084" s="63"/>
      <c r="H1084" s="67"/>
      <c r="I1084" s="68"/>
      <c r="J1084" s="68"/>
      <c r="K1084" s="67" t="s">
        <v>28678</v>
      </c>
      <c r="L1084" s="71"/>
      <c r="M1084" s="72"/>
      <c r="N1084" s="72"/>
      <c r="O1084" s="73"/>
      <c r="P1084" s="74"/>
      <c r="Q1084" s="74"/>
      <c r="R1084" s="87"/>
      <c r="S1084" s="87"/>
      <c r="T1084" s="87"/>
      <c r="U1084" s="87"/>
      <c r="V1084" s="48"/>
      <c r="W1084" s="48"/>
      <c r="X1084" s="48"/>
      <c r="Y1084" s="48"/>
      <c r="Z1084" s="47"/>
      <c r="AA1084" s="69">
        <v>1084</v>
      </c>
      <c r="AB1084" s="69"/>
      <c r="AC1084" s="70"/>
      <c r="AD1084" s="76" t="s">
        <v>22307</v>
      </c>
      <c r="AE1084" s="81" t="s">
        <v>23636</v>
      </c>
      <c r="AF1084" s="76">
        <v>16</v>
      </c>
      <c r="AG1084" s="76">
        <v>27</v>
      </c>
      <c r="AH1084" s="76">
        <v>10</v>
      </c>
      <c r="AI1084" s="76">
        <v>0</v>
      </c>
      <c r="AJ1084" s="76">
        <v>0</v>
      </c>
      <c r="AK1084" s="76">
        <v>7</v>
      </c>
      <c r="AL1084" s="76" t="b">
        <v>0</v>
      </c>
      <c r="AM1084" s="78">
        <v>45147.762476851851</v>
      </c>
      <c r="AN1084" s="76"/>
      <c r="AO1084" s="76" t="s">
        <v>25677</v>
      </c>
      <c r="AP1084" s="82" t="str">
        <f>HYPERLINK("https://t.co/47IOxtjfZt")</f>
        <v>https://t.co/47IOxtjfZt</v>
      </c>
      <c r="AQ1084" s="82" t="str">
        <f>HYPERLINK("http://wrsprime.com.mx")</f>
        <v>http://wrsprime.com.mx</v>
      </c>
      <c r="AR1084" s="76" t="s">
        <v>26940</v>
      </c>
      <c r="AS1084" s="76"/>
      <c r="AT1084" s="76"/>
      <c r="AU1084" s="76"/>
      <c r="AV1084" s="76">
        <v>1.7045608257328399E+18</v>
      </c>
      <c r="AW1084" s="82" t="str">
        <f>HYPERLINK("https://t.co/47IOxtjfZt")</f>
        <v>https://t.co/47IOxtjfZt</v>
      </c>
      <c r="AX1084" s="76" t="b">
        <v>1</v>
      </c>
      <c r="AY1084" s="76"/>
      <c r="AZ1084" s="76"/>
      <c r="BA1084" s="76" t="b">
        <v>0</v>
      </c>
      <c r="BB1084" s="76" t="b">
        <v>1</v>
      </c>
      <c r="BC1084" s="76" t="b">
        <v>1</v>
      </c>
      <c r="BD1084" s="76" t="b">
        <v>0</v>
      </c>
      <c r="BE1084" s="76" t="b">
        <v>0</v>
      </c>
      <c r="BF1084" s="76" t="b">
        <v>0</v>
      </c>
      <c r="BG1084" s="76" t="b">
        <v>0</v>
      </c>
      <c r="BH1084" s="82" t="str">
        <f>HYPERLINK("https://pbs.twimg.com/profile_banners/1689340169772531712/1694553774")</f>
        <v>https://pbs.twimg.com/profile_banners/1689340169772531712/1694553774</v>
      </c>
      <c r="BI1084" s="76"/>
      <c r="BJ1084" s="76" t="s">
        <v>27595</v>
      </c>
      <c r="BK1084" s="76" t="b">
        <v>0</v>
      </c>
      <c r="BL1084" s="76"/>
      <c r="BM1084" s="76" t="s">
        <v>65</v>
      </c>
      <c r="BN1084" s="76" t="s">
        <v>27597</v>
      </c>
      <c r="BO1084" s="82" t="str">
        <f>HYPERLINK("https://twitter.com/wrsprime4")</f>
        <v>https://twitter.com/wrsprime4</v>
      </c>
      <c r="BP1084" s="2"/>
    </row>
    <row r="1085" spans="1:68" x14ac:dyDescent="0.25">
      <c r="A1085" s="62" t="s">
        <v>1942</v>
      </c>
      <c r="B1085" s="63"/>
      <c r="C1085" s="63"/>
      <c r="D1085" s="64"/>
      <c r="E1085" s="66"/>
      <c r="F1085" s="103" t="str">
        <f>HYPERLINK("https://pbs.twimg.com/profile_images/1496990467447218178/rsJrcGr-_normal.jpg")</f>
        <v>https://pbs.twimg.com/profile_images/1496990467447218178/rsJrcGr-_normal.jpg</v>
      </c>
      <c r="G1085" s="63"/>
      <c r="H1085" s="67"/>
      <c r="I1085" s="68"/>
      <c r="J1085" s="68"/>
      <c r="K1085" s="67" t="s">
        <v>28679</v>
      </c>
      <c r="L1085" s="71"/>
      <c r="M1085" s="72"/>
      <c r="N1085" s="72"/>
      <c r="O1085" s="73"/>
      <c r="P1085" s="74"/>
      <c r="Q1085" s="74"/>
      <c r="R1085" s="87"/>
      <c r="S1085" s="87"/>
      <c r="T1085" s="87"/>
      <c r="U1085" s="87"/>
      <c r="V1085" s="48"/>
      <c r="W1085" s="48"/>
      <c r="X1085" s="48"/>
      <c r="Y1085" s="48"/>
      <c r="Z1085" s="47"/>
      <c r="AA1085" s="69">
        <v>1085</v>
      </c>
      <c r="AB1085" s="69"/>
      <c r="AC1085" s="70"/>
      <c r="AD1085" s="76" t="s">
        <v>22308</v>
      </c>
      <c r="AE1085" s="81" t="s">
        <v>23637</v>
      </c>
      <c r="AF1085" s="76">
        <v>844</v>
      </c>
      <c r="AG1085" s="76">
        <v>672</v>
      </c>
      <c r="AH1085" s="76">
        <v>3370</v>
      </c>
      <c r="AI1085" s="76">
        <v>3</v>
      </c>
      <c r="AJ1085" s="76">
        <v>3370</v>
      </c>
      <c r="AK1085" s="76">
        <v>446</v>
      </c>
      <c r="AL1085" s="76" t="b">
        <v>0</v>
      </c>
      <c r="AM1085" s="78">
        <v>42801.947175925925</v>
      </c>
      <c r="AN1085" s="76" t="s">
        <v>24463</v>
      </c>
      <c r="AO1085" s="76" t="s">
        <v>25678</v>
      </c>
      <c r="AP1085" s="82" t="str">
        <f>HYPERLINK("https://t.co/gw6XrC2yNu")</f>
        <v>https://t.co/gw6XrC2yNu</v>
      </c>
      <c r="AQ1085" s="82" t="str">
        <f>HYPERLINK("http://www.imef.org.mx")</f>
        <v>http://www.imef.org.mx</v>
      </c>
      <c r="AR1085" s="76" t="s">
        <v>26941</v>
      </c>
      <c r="AS1085" s="76"/>
      <c r="AT1085" s="76"/>
      <c r="AU1085" s="76"/>
      <c r="AV1085" s="76"/>
      <c r="AW1085" s="82" t="str">
        <f>HYPERLINK("https://t.co/gw6XrC2yNu")</f>
        <v>https://t.co/gw6XrC2yNu</v>
      </c>
      <c r="AX1085" s="76" t="b">
        <v>0</v>
      </c>
      <c r="AY1085" s="76"/>
      <c r="AZ1085" s="76"/>
      <c r="BA1085" s="76" t="b">
        <v>0</v>
      </c>
      <c r="BB1085" s="76" t="b">
        <v>1</v>
      </c>
      <c r="BC1085" s="76" t="b">
        <v>1</v>
      </c>
      <c r="BD1085" s="76" t="b">
        <v>0</v>
      </c>
      <c r="BE1085" s="76" t="b">
        <v>0</v>
      </c>
      <c r="BF1085" s="76" t="b">
        <v>0</v>
      </c>
      <c r="BG1085" s="76" t="b">
        <v>0</v>
      </c>
      <c r="BH1085" s="82" t="str">
        <f>HYPERLINK("https://pbs.twimg.com/profile_banners/839245256470085632/1691420333")</f>
        <v>https://pbs.twimg.com/profile_banners/839245256470085632/1691420333</v>
      </c>
      <c r="BI1085" s="76"/>
      <c r="BJ1085" s="76" t="s">
        <v>27595</v>
      </c>
      <c r="BK1085" s="76" t="b">
        <v>0</v>
      </c>
      <c r="BL1085" s="76"/>
      <c r="BM1085" s="76" t="s">
        <v>65</v>
      </c>
      <c r="BN1085" s="76" t="s">
        <v>27597</v>
      </c>
      <c r="BO1085" s="82" t="str">
        <f>HYPERLINK("https://twitter.com/imefgto")</f>
        <v>https://twitter.com/imefgto</v>
      </c>
      <c r="BP1085" s="2"/>
    </row>
    <row r="1086" spans="1:68" x14ac:dyDescent="0.25">
      <c r="A1086" s="62" t="s">
        <v>1943</v>
      </c>
      <c r="B1086" s="63"/>
      <c r="C1086" s="63"/>
      <c r="D1086" s="64"/>
      <c r="E1086" s="66"/>
      <c r="F1086" s="103" t="str">
        <f>HYPERLINK("https://pbs.twimg.com/profile_images/1527271868473950210/0d2BbojT_normal.jpg")</f>
        <v>https://pbs.twimg.com/profile_images/1527271868473950210/0d2BbojT_normal.jpg</v>
      </c>
      <c r="G1086" s="63"/>
      <c r="H1086" s="67"/>
      <c r="I1086" s="68"/>
      <c r="J1086" s="68"/>
      <c r="K1086" s="67" t="s">
        <v>28680</v>
      </c>
      <c r="L1086" s="71"/>
      <c r="M1086" s="72"/>
      <c r="N1086" s="72"/>
      <c r="O1086" s="73"/>
      <c r="P1086" s="74"/>
      <c r="Q1086" s="74"/>
      <c r="R1086" s="87"/>
      <c r="S1086" s="87"/>
      <c r="T1086" s="87"/>
      <c r="U1086" s="87"/>
      <c r="V1086" s="48"/>
      <c r="W1086" s="48"/>
      <c r="X1086" s="48"/>
      <c r="Y1086" s="48"/>
      <c r="Z1086" s="47"/>
      <c r="AA1086" s="69">
        <v>1086</v>
      </c>
      <c r="AB1086" s="69"/>
      <c r="AC1086" s="70"/>
      <c r="AD1086" s="76" t="s">
        <v>22309</v>
      </c>
      <c r="AE1086" s="81" t="s">
        <v>23638</v>
      </c>
      <c r="AF1086" s="76">
        <v>104828</v>
      </c>
      <c r="AG1086" s="76">
        <v>29</v>
      </c>
      <c r="AH1086" s="76">
        <v>38367</v>
      </c>
      <c r="AI1086" s="76">
        <v>723</v>
      </c>
      <c r="AJ1086" s="76">
        <v>1</v>
      </c>
      <c r="AK1086" s="76">
        <v>944</v>
      </c>
      <c r="AL1086" s="76" t="b">
        <v>0</v>
      </c>
      <c r="AM1086" s="78">
        <v>40687.100335648145</v>
      </c>
      <c r="AN1086" s="76" t="s">
        <v>24448</v>
      </c>
      <c r="AO1086" s="76" t="s">
        <v>25679</v>
      </c>
      <c r="AP1086" s="82" t="str">
        <f>HYPERLINK("https://t.co/GN1iRUTiiM")</f>
        <v>https://t.co/GN1iRUTiiM</v>
      </c>
      <c r="AQ1086" s="82" t="str">
        <f>HYPERLINK("http://www.jonathanheath.net")</f>
        <v>http://www.jonathanheath.net</v>
      </c>
      <c r="AR1086" s="76" t="s">
        <v>26942</v>
      </c>
      <c r="AS1086" s="76"/>
      <c r="AT1086" s="76"/>
      <c r="AU1086" s="76"/>
      <c r="AV1086" s="76"/>
      <c r="AW1086" s="82" t="str">
        <f>HYPERLINK("https://t.co/GN1iRUTiiM")</f>
        <v>https://t.co/GN1iRUTiiM</v>
      </c>
      <c r="AX1086" s="76" t="b">
        <v>0</v>
      </c>
      <c r="AY1086" s="76"/>
      <c r="AZ1086" s="76"/>
      <c r="BA1086" s="76" t="b">
        <v>0</v>
      </c>
      <c r="BB1086" s="76" t="b">
        <v>1</v>
      </c>
      <c r="BC1086" s="76" t="b">
        <v>0</v>
      </c>
      <c r="BD1086" s="76" t="b">
        <v>0</v>
      </c>
      <c r="BE1086" s="76" t="b">
        <v>1</v>
      </c>
      <c r="BF1086" s="76" t="b">
        <v>0</v>
      </c>
      <c r="BG1086" s="76" t="b">
        <v>0</v>
      </c>
      <c r="BH1086" s="82" t="str">
        <f>HYPERLINK("https://pbs.twimg.com/profile_banners/304181455/1550882010")</f>
        <v>https://pbs.twimg.com/profile_banners/304181455/1550882010</v>
      </c>
      <c r="BI1086" s="76"/>
      <c r="BJ1086" s="76" t="s">
        <v>27595</v>
      </c>
      <c r="BK1086" s="76" t="b">
        <v>0</v>
      </c>
      <c r="BL1086" s="76"/>
      <c r="BM1086" s="76" t="s">
        <v>65</v>
      </c>
      <c r="BN1086" s="76" t="s">
        <v>27597</v>
      </c>
      <c r="BO1086" s="82" t="str">
        <f>HYPERLINK("https://twitter.com/jonathanheath54")</f>
        <v>https://twitter.com/jonathanheath54</v>
      </c>
      <c r="BP1086" s="2"/>
    </row>
    <row r="1087" spans="1:68" x14ac:dyDescent="0.25">
      <c r="A1087" s="62" t="s">
        <v>1010</v>
      </c>
      <c r="B1087" s="63"/>
      <c r="C1087" s="63"/>
      <c r="D1087" s="64"/>
      <c r="E1087" s="66"/>
      <c r="F1087" s="103" t="str">
        <f>HYPERLINK("https://pbs.twimg.com/profile_images/1591427159406649352/EAGyMe6R_normal.jpg")</f>
        <v>https://pbs.twimg.com/profile_images/1591427159406649352/EAGyMe6R_normal.jpg</v>
      </c>
      <c r="G1087" s="63"/>
      <c r="H1087" s="67"/>
      <c r="I1087" s="68"/>
      <c r="J1087" s="68"/>
      <c r="K1087" s="67" t="s">
        <v>28681</v>
      </c>
      <c r="L1087" s="71"/>
      <c r="M1087" s="72"/>
      <c r="N1087" s="72"/>
      <c r="O1087" s="73"/>
      <c r="P1087" s="74"/>
      <c r="Q1087" s="74"/>
      <c r="R1087" s="87"/>
      <c r="S1087" s="87"/>
      <c r="T1087" s="87"/>
      <c r="U1087" s="87"/>
      <c r="V1087" s="48"/>
      <c r="W1087" s="48"/>
      <c r="X1087" s="48"/>
      <c r="Y1087" s="48"/>
      <c r="Z1087" s="47"/>
      <c r="AA1087" s="69">
        <v>1087</v>
      </c>
      <c r="AB1087" s="69"/>
      <c r="AC1087" s="70"/>
      <c r="AD1087" s="76" t="s">
        <v>22310</v>
      </c>
      <c r="AE1087" s="81" t="s">
        <v>20879</v>
      </c>
      <c r="AF1087" s="76">
        <v>1717</v>
      </c>
      <c r="AG1087" s="76">
        <v>1116</v>
      </c>
      <c r="AH1087" s="76">
        <v>10045</v>
      </c>
      <c r="AI1087" s="76">
        <v>19</v>
      </c>
      <c r="AJ1087" s="76">
        <v>1939</v>
      </c>
      <c r="AK1087" s="76">
        <v>4168</v>
      </c>
      <c r="AL1087" s="76" t="b">
        <v>0</v>
      </c>
      <c r="AM1087" s="78">
        <v>43968.520115740743</v>
      </c>
      <c r="AN1087" s="76" t="s">
        <v>14386</v>
      </c>
      <c r="AO1087" s="76" t="s">
        <v>25680</v>
      </c>
      <c r="AP1087" s="82" t="str">
        <f>HYPERLINK("https://t.co/lHAmp7n1nT")</f>
        <v>https://t.co/lHAmp7n1nT</v>
      </c>
      <c r="AQ1087" s="82" t="str">
        <f>HYPERLINK("http://www.descubriendochina.org/")</f>
        <v>http://www.descubriendochina.org/</v>
      </c>
      <c r="AR1087" s="76" t="s">
        <v>8789</v>
      </c>
      <c r="AS1087" s="76"/>
      <c r="AT1087" s="76"/>
      <c r="AU1087" s="76"/>
      <c r="AV1087" s="76"/>
      <c r="AW1087" s="82" t="str">
        <f>HYPERLINK("https://t.co/lHAmp7n1nT")</f>
        <v>https://t.co/lHAmp7n1nT</v>
      </c>
      <c r="AX1087" s="76" t="b">
        <v>0</v>
      </c>
      <c r="AY1087" s="76"/>
      <c r="AZ1087" s="76"/>
      <c r="BA1087" s="76" t="b">
        <v>0</v>
      </c>
      <c r="BB1087" s="76" t="b">
        <v>1</v>
      </c>
      <c r="BC1087" s="76" t="b">
        <v>1</v>
      </c>
      <c r="BD1087" s="76" t="b">
        <v>0</v>
      </c>
      <c r="BE1087" s="76" t="b">
        <v>1</v>
      </c>
      <c r="BF1087" s="76" t="b">
        <v>0</v>
      </c>
      <c r="BG1087" s="76" t="b">
        <v>0</v>
      </c>
      <c r="BH1087" s="82" t="str">
        <f>HYPERLINK("https://pbs.twimg.com/profile_banners/1261997099337515011/1596657349")</f>
        <v>https://pbs.twimg.com/profile_banners/1261997099337515011/1596657349</v>
      </c>
      <c r="BI1087" s="76"/>
      <c r="BJ1087" s="76" t="s">
        <v>27595</v>
      </c>
      <c r="BK1087" s="76" t="b">
        <v>0</v>
      </c>
      <c r="BL1087" s="76"/>
      <c r="BM1087" s="76" t="s">
        <v>66</v>
      </c>
      <c r="BN1087" s="76" t="s">
        <v>27597</v>
      </c>
      <c r="BO1087" s="82" t="str">
        <f>HYPERLINK("https://twitter.com/descubre_china")</f>
        <v>https://twitter.com/descubre_china</v>
      </c>
      <c r="BP1087" s="2"/>
    </row>
    <row r="1088" spans="1:68" x14ac:dyDescent="0.25">
      <c r="A1088" s="62" t="s">
        <v>1011</v>
      </c>
      <c r="B1088" s="63"/>
      <c r="C1088" s="63"/>
      <c r="D1088" s="64"/>
      <c r="E1088" s="66"/>
      <c r="F1088" s="103" t="str">
        <f>HYPERLINK("https://pbs.twimg.com/profile_images/1529126027166986248/-5OK7Gki_normal.png")</f>
        <v>https://pbs.twimg.com/profile_images/1529126027166986248/-5OK7Gki_normal.png</v>
      </c>
      <c r="G1088" s="63"/>
      <c r="H1088" s="67"/>
      <c r="I1088" s="68"/>
      <c r="J1088" s="68"/>
      <c r="K1088" s="67" t="s">
        <v>28682</v>
      </c>
      <c r="L1088" s="71"/>
      <c r="M1088" s="72"/>
      <c r="N1088" s="72"/>
      <c r="O1088" s="73"/>
      <c r="P1088" s="74"/>
      <c r="Q1088" s="74"/>
      <c r="R1088" s="87"/>
      <c r="S1088" s="87"/>
      <c r="T1088" s="87"/>
      <c r="U1088" s="87"/>
      <c r="V1088" s="48"/>
      <c r="W1088" s="48"/>
      <c r="X1088" s="48"/>
      <c r="Y1088" s="48"/>
      <c r="Z1088" s="47"/>
      <c r="AA1088" s="69">
        <v>1088</v>
      </c>
      <c r="AB1088" s="69"/>
      <c r="AC1088" s="70"/>
      <c r="AD1088" s="76" t="s">
        <v>22311</v>
      </c>
      <c r="AE1088" s="81" t="s">
        <v>20880</v>
      </c>
      <c r="AF1088" s="76">
        <v>15</v>
      </c>
      <c r="AG1088" s="76">
        <v>52</v>
      </c>
      <c r="AH1088" s="76">
        <v>1191</v>
      </c>
      <c r="AI1088" s="76">
        <v>0</v>
      </c>
      <c r="AJ1088" s="76">
        <v>96</v>
      </c>
      <c r="AK1088" s="76">
        <v>524</v>
      </c>
      <c r="AL1088" s="76" t="b">
        <v>0</v>
      </c>
      <c r="AM1088" s="78">
        <v>44671.605046296296</v>
      </c>
      <c r="AN1088" s="76"/>
      <c r="AO1088" s="76" t="s">
        <v>25681</v>
      </c>
      <c r="AP1088" s="82" t="str">
        <f>HYPERLINK("https://t.co/c09Hr97HAn")</f>
        <v>https://t.co/c09Hr97HAn</v>
      </c>
      <c r="AQ1088" s="82" t="str">
        <f>HYPERLINK("https://puentedenoticias.com/")</f>
        <v>https://puentedenoticias.com/</v>
      </c>
      <c r="AR1088" s="76" t="s">
        <v>8790</v>
      </c>
      <c r="AS1088" s="76"/>
      <c r="AT1088" s="76"/>
      <c r="AU1088" s="76"/>
      <c r="AV1088" s="76"/>
      <c r="AW1088" s="82" t="str">
        <f>HYPERLINK("https://t.co/c09Hr97HAn")</f>
        <v>https://t.co/c09Hr97HAn</v>
      </c>
      <c r="AX1088" s="76" t="b">
        <v>0</v>
      </c>
      <c r="AY1088" s="76"/>
      <c r="AZ1088" s="76"/>
      <c r="BA1088" s="76" t="b">
        <v>0</v>
      </c>
      <c r="BB1088" s="76" t="b">
        <v>1</v>
      </c>
      <c r="BC1088" s="76" t="b">
        <v>1</v>
      </c>
      <c r="BD1088" s="76" t="b">
        <v>0</v>
      </c>
      <c r="BE1088" s="76" t="b">
        <v>0</v>
      </c>
      <c r="BF1088" s="76" t="b">
        <v>0</v>
      </c>
      <c r="BG1088" s="76" t="b">
        <v>0</v>
      </c>
      <c r="BH1088" s="82" t="str">
        <f>HYPERLINK("https://pbs.twimg.com/profile_banners/1516786501589348358/1665675205")</f>
        <v>https://pbs.twimg.com/profile_banners/1516786501589348358/1665675205</v>
      </c>
      <c r="BI1088" s="76"/>
      <c r="BJ1088" s="76" t="s">
        <v>27595</v>
      </c>
      <c r="BK1088" s="76" t="b">
        <v>0</v>
      </c>
      <c r="BL1088" s="76"/>
      <c r="BM1088" s="76" t="s">
        <v>66</v>
      </c>
      <c r="BN1088" s="76" t="s">
        <v>27597</v>
      </c>
      <c r="BO1088" s="82" t="str">
        <f>HYPERLINK("https://twitter.com/puentedenews")</f>
        <v>https://twitter.com/puentedenews</v>
      </c>
      <c r="BP1088" s="2"/>
    </row>
    <row r="1089" spans="1:68" x14ac:dyDescent="0.25">
      <c r="A1089" s="62" t="s">
        <v>1012</v>
      </c>
      <c r="B1089" s="63"/>
      <c r="C1089" s="63"/>
      <c r="D1089" s="64"/>
      <c r="E1089" s="66"/>
      <c r="F1089" s="103" t="str">
        <f>HYPERLINK("https://pbs.twimg.com/profile_images/1144333235167645696/RFzkLmkJ_normal.jpg")</f>
        <v>https://pbs.twimg.com/profile_images/1144333235167645696/RFzkLmkJ_normal.jpg</v>
      </c>
      <c r="G1089" s="63"/>
      <c r="H1089" s="67"/>
      <c r="I1089" s="68"/>
      <c r="J1089" s="68"/>
      <c r="K1089" s="67" t="s">
        <v>28683</v>
      </c>
      <c r="L1089" s="71"/>
      <c r="M1089" s="72"/>
      <c r="N1089" s="72"/>
      <c r="O1089" s="73"/>
      <c r="P1089" s="74"/>
      <c r="Q1089" s="74"/>
      <c r="R1089" s="87"/>
      <c r="S1089" s="87"/>
      <c r="T1089" s="87"/>
      <c r="U1089" s="87"/>
      <c r="V1089" s="48"/>
      <c r="W1089" s="48"/>
      <c r="X1089" s="48"/>
      <c r="Y1089" s="48"/>
      <c r="Z1089" s="47"/>
      <c r="AA1089" s="69">
        <v>1089</v>
      </c>
      <c r="AB1089" s="69"/>
      <c r="AC1089" s="70"/>
      <c r="AD1089" s="76" t="s">
        <v>22312</v>
      </c>
      <c r="AE1089" s="81" t="s">
        <v>20881</v>
      </c>
      <c r="AF1089" s="76">
        <v>1475</v>
      </c>
      <c r="AG1089" s="76">
        <v>2812</v>
      </c>
      <c r="AH1089" s="76">
        <v>60896</v>
      </c>
      <c r="AI1089" s="76">
        <v>6</v>
      </c>
      <c r="AJ1089" s="76">
        <v>74861</v>
      </c>
      <c r="AK1089" s="76">
        <v>4839</v>
      </c>
      <c r="AL1089" s="76" t="b">
        <v>0</v>
      </c>
      <c r="AM1089" s="78">
        <v>42705.717893518522</v>
      </c>
      <c r="AN1089" s="76" t="s">
        <v>24464</v>
      </c>
      <c r="AO1089" s="76" t="s">
        <v>25682</v>
      </c>
      <c r="AP1089" s="76"/>
      <c r="AQ1089" s="76"/>
      <c r="AR1089" s="76"/>
      <c r="AS1089" s="76"/>
      <c r="AT1089" s="76"/>
      <c r="AU1089" s="76"/>
      <c r="AV1089" s="76"/>
      <c r="AW1089" s="76"/>
      <c r="AX1089" s="76" t="b">
        <v>0</v>
      </c>
      <c r="AY1089" s="76"/>
      <c r="AZ1089" s="76"/>
      <c r="BA1089" s="76" t="b">
        <v>1</v>
      </c>
      <c r="BB1089" s="76" t="b">
        <v>1</v>
      </c>
      <c r="BC1089" s="76" t="b">
        <v>1</v>
      </c>
      <c r="BD1089" s="76" t="b">
        <v>0</v>
      </c>
      <c r="BE1089" s="76" t="b">
        <v>1</v>
      </c>
      <c r="BF1089" s="76" t="b">
        <v>0</v>
      </c>
      <c r="BG1089" s="76" t="b">
        <v>0</v>
      </c>
      <c r="BH1089" s="82" t="str">
        <f>HYPERLINK("https://pbs.twimg.com/profile_banners/804372931077926912/1588177432")</f>
        <v>https://pbs.twimg.com/profile_banners/804372931077926912/1588177432</v>
      </c>
      <c r="BI1089" s="76"/>
      <c r="BJ1089" s="76" t="s">
        <v>27595</v>
      </c>
      <c r="BK1089" s="76" t="b">
        <v>0</v>
      </c>
      <c r="BL1089" s="76"/>
      <c r="BM1089" s="76" t="s">
        <v>66</v>
      </c>
      <c r="BN1089" s="76" t="s">
        <v>27597</v>
      </c>
      <c r="BO1089" s="82" t="str">
        <f>HYPERLINK("https://twitter.com/tropicalstrings")</f>
        <v>https://twitter.com/tropicalstrings</v>
      </c>
      <c r="BP1089" s="2"/>
    </row>
    <row r="1090" spans="1:68" x14ac:dyDescent="0.25">
      <c r="A1090" s="62" t="s">
        <v>1013</v>
      </c>
      <c r="B1090" s="63"/>
      <c r="C1090" s="63"/>
      <c r="D1090" s="64"/>
      <c r="E1090" s="66"/>
      <c r="F1090" s="103" t="str">
        <f>HYPERLINK("https://pbs.twimg.com/profile_images/1601221671033229317/vdk9I2tD_normal.jpg")</f>
        <v>https://pbs.twimg.com/profile_images/1601221671033229317/vdk9I2tD_normal.jpg</v>
      </c>
      <c r="G1090" s="63"/>
      <c r="H1090" s="67"/>
      <c r="I1090" s="68"/>
      <c r="J1090" s="68"/>
      <c r="K1090" s="67" t="s">
        <v>28684</v>
      </c>
      <c r="L1090" s="71"/>
      <c r="M1090" s="72"/>
      <c r="N1090" s="72"/>
      <c r="O1090" s="73"/>
      <c r="P1090" s="74"/>
      <c r="Q1090" s="74"/>
      <c r="R1090" s="87"/>
      <c r="S1090" s="87"/>
      <c r="T1090" s="87"/>
      <c r="U1090" s="87"/>
      <c r="V1090" s="48"/>
      <c r="W1090" s="48"/>
      <c r="X1090" s="48"/>
      <c r="Y1090" s="48"/>
      <c r="Z1090" s="47"/>
      <c r="AA1090" s="69">
        <v>1090</v>
      </c>
      <c r="AB1090" s="69"/>
      <c r="AC1090" s="70"/>
      <c r="AD1090" s="76" t="s">
        <v>22313</v>
      </c>
      <c r="AE1090" s="81" t="s">
        <v>23639</v>
      </c>
      <c r="AF1090" s="76">
        <v>12</v>
      </c>
      <c r="AG1090" s="76">
        <v>482</v>
      </c>
      <c r="AH1090" s="76">
        <v>428</v>
      </c>
      <c r="AI1090" s="76">
        <v>0</v>
      </c>
      <c r="AJ1090" s="76">
        <v>222</v>
      </c>
      <c r="AK1090" s="76">
        <v>183</v>
      </c>
      <c r="AL1090" s="76" t="b">
        <v>0</v>
      </c>
      <c r="AM1090" s="78">
        <v>40148.044374999998</v>
      </c>
      <c r="AN1090" s="76" t="s">
        <v>14479</v>
      </c>
      <c r="AO1090" s="76" t="s">
        <v>25683</v>
      </c>
      <c r="AP1090" s="82" t="str">
        <f>HYPERLINK("https://t.co/a4RgVnOdt5")</f>
        <v>https://t.co/a4RgVnOdt5</v>
      </c>
      <c r="AQ1090" s="82" t="str">
        <f>HYPERLINK("http://hermescapital.com.br")</f>
        <v>http://hermescapital.com.br</v>
      </c>
      <c r="AR1090" s="76" t="s">
        <v>26943</v>
      </c>
      <c r="AS1090" s="76" t="s">
        <v>27385</v>
      </c>
      <c r="AT1090" s="76" t="s">
        <v>27424</v>
      </c>
      <c r="AU1090" s="76" t="s">
        <v>27523</v>
      </c>
      <c r="AV1090" s="76"/>
      <c r="AW1090" s="82" t="str">
        <f>HYPERLINK("https://t.co/a4RgVnOdt5")</f>
        <v>https://t.co/a4RgVnOdt5</v>
      </c>
      <c r="AX1090" s="76" t="b">
        <v>0</v>
      </c>
      <c r="AY1090" s="76"/>
      <c r="AZ1090" s="76"/>
      <c r="BA1090" s="76" t="b">
        <v>0</v>
      </c>
      <c r="BB1090" s="76" t="b">
        <v>1</v>
      </c>
      <c r="BC1090" s="76" t="b">
        <v>1</v>
      </c>
      <c r="BD1090" s="76" t="b">
        <v>0</v>
      </c>
      <c r="BE1090" s="76" t="b">
        <v>0</v>
      </c>
      <c r="BF1090" s="76" t="b">
        <v>0</v>
      </c>
      <c r="BG1090" s="76" t="b">
        <v>0</v>
      </c>
      <c r="BH1090" s="82" t="str">
        <f>HYPERLINK("https://pbs.twimg.com/profile_banners/93754487/1682609850")</f>
        <v>https://pbs.twimg.com/profile_banners/93754487/1682609850</v>
      </c>
      <c r="BI1090" s="76"/>
      <c r="BJ1090" s="76" t="s">
        <v>27595</v>
      </c>
      <c r="BK1090" s="76" t="b">
        <v>0</v>
      </c>
      <c r="BL1090" s="76"/>
      <c r="BM1090" s="76" t="s">
        <v>66</v>
      </c>
      <c r="BN1090" s="76" t="s">
        <v>27597</v>
      </c>
      <c r="BO1090" s="82" t="str">
        <f>HYPERLINK("https://twitter.com/glaucojarzinski")</f>
        <v>https://twitter.com/glaucojarzinski</v>
      </c>
      <c r="BP1090" s="2"/>
    </row>
    <row r="1091" spans="1:68" x14ac:dyDescent="0.25">
      <c r="A1091" s="62" t="s">
        <v>1014</v>
      </c>
      <c r="B1091" s="63"/>
      <c r="C1091" s="63"/>
      <c r="D1091" s="64"/>
      <c r="E1091" s="66"/>
      <c r="F1091" s="103" t="str">
        <f>HYPERLINK("https://pbs.twimg.com/profile_images/692720929835761664/sw8Q21j4_normal.jpg")</f>
        <v>https://pbs.twimg.com/profile_images/692720929835761664/sw8Q21j4_normal.jpg</v>
      </c>
      <c r="G1091" s="63"/>
      <c r="H1091" s="67"/>
      <c r="I1091" s="68"/>
      <c r="J1091" s="68"/>
      <c r="K1091" s="67" t="s">
        <v>28685</v>
      </c>
      <c r="L1091" s="71"/>
      <c r="M1091" s="72"/>
      <c r="N1091" s="72"/>
      <c r="O1091" s="73"/>
      <c r="P1091" s="74"/>
      <c r="Q1091" s="74"/>
      <c r="R1091" s="87"/>
      <c r="S1091" s="87"/>
      <c r="T1091" s="87"/>
      <c r="U1091" s="87"/>
      <c r="V1091" s="48"/>
      <c r="W1091" s="48"/>
      <c r="X1091" s="48"/>
      <c r="Y1091" s="48"/>
      <c r="Z1091" s="47"/>
      <c r="AA1091" s="69">
        <v>1091</v>
      </c>
      <c r="AB1091" s="69"/>
      <c r="AC1091" s="70"/>
      <c r="AD1091" s="76" t="s">
        <v>22314</v>
      </c>
      <c r="AE1091" s="81" t="s">
        <v>23640</v>
      </c>
      <c r="AF1091" s="76">
        <v>2172</v>
      </c>
      <c r="AG1091" s="76">
        <v>3909</v>
      </c>
      <c r="AH1091" s="76">
        <v>7283</v>
      </c>
      <c r="AI1091" s="76">
        <v>5</v>
      </c>
      <c r="AJ1091" s="76">
        <v>10573</v>
      </c>
      <c r="AK1091" s="76">
        <v>2505</v>
      </c>
      <c r="AL1091" s="76" t="b">
        <v>0</v>
      </c>
      <c r="AM1091" s="78">
        <v>42397.069780092592</v>
      </c>
      <c r="AN1091" s="76" t="s">
        <v>14420</v>
      </c>
      <c r="AO1091" s="76" t="s">
        <v>25684</v>
      </c>
      <c r="AP1091" s="82" t="str">
        <f>HYPERLINK("https://t.co/YbSpJFpuMf")</f>
        <v>https://t.co/YbSpJFpuMf</v>
      </c>
      <c r="AQ1091" s="82" t="str">
        <f>HYPERLINK("http://www.periodicosvision.com")</f>
        <v>http://www.periodicosvision.com</v>
      </c>
      <c r="AR1091" s="76" t="s">
        <v>26944</v>
      </c>
      <c r="AS1091" s="76"/>
      <c r="AT1091" s="76"/>
      <c r="AU1091" s="76"/>
      <c r="AV1091" s="76"/>
      <c r="AW1091" s="82" t="str">
        <f>HYPERLINK("https://t.co/YbSpJFpuMf")</f>
        <v>https://t.co/YbSpJFpuMf</v>
      </c>
      <c r="AX1091" s="76" t="b">
        <v>0</v>
      </c>
      <c r="AY1091" s="76"/>
      <c r="AZ1091" s="76"/>
      <c r="BA1091" s="76" t="b">
        <v>0</v>
      </c>
      <c r="BB1091" s="76" t="b">
        <v>1</v>
      </c>
      <c r="BC1091" s="76" t="b">
        <v>1</v>
      </c>
      <c r="BD1091" s="76" t="b">
        <v>0</v>
      </c>
      <c r="BE1091" s="76" t="b">
        <v>0</v>
      </c>
      <c r="BF1091" s="76" t="b">
        <v>0</v>
      </c>
      <c r="BG1091" s="76" t="b">
        <v>0</v>
      </c>
      <c r="BH1091" s="82" t="str">
        <f>HYPERLINK("https://pbs.twimg.com/profile_banners/4855626387/1453992615")</f>
        <v>https://pbs.twimg.com/profile_banners/4855626387/1453992615</v>
      </c>
      <c r="BI1091" s="76"/>
      <c r="BJ1091" s="76" t="s">
        <v>27595</v>
      </c>
      <c r="BK1091" s="76" t="b">
        <v>0</v>
      </c>
      <c r="BL1091" s="76"/>
      <c r="BM1091" s="76" t="s">
        <v>66</v>
      </c>
      <c r="BN1091" s="76" t="s">
        <v>27597</v>
      </c>
      <c r="BO1091" s="82" t="str">
        <f>HYPERLINK("https://twitter.com/visionsierras")</f>
        <v>https://twitter.com/visionsierras</v>
      </c>
      <c r="BP1091" s="2"/>
    </row>
    <row r="1092" spans="1:68" x14ac:dyDescent="0.25">
      <c r="A1092" s="62" t="s">
        <v>1015</v>
      </c>
      <c r="B1092" s="63"/>
      <c r="C1092" s="63"/>
      <c r="D1092" s="64"/>
      <c r="E1092" s="66"/>
      <c r="F1092" s="103" t="str">
        <f>HYPERLINK("https://pbs.twimg.com/profile_images/1646658305291440129/t1hHjbvN_normal.jpg")</f>
        <v>https://pbs.twimg.com/profile_images/1646658305291440129/t1hHjbvN_normal.jpg</v>
      </c>
      <c r="G1092" s="63"/>
      <c r="H1092" s="67"/>
      <c r="I1092" s="68"/>
      <c r="J1092" s="68"/>
      <c r="K1092" s="67" t="s">
        <v>28686</v>
      </c>
      <c r="L1092" s="71"/>
      <c r="M1092" s="72"/>
      <c r="N1092" s="72"/>
      <c r="O1092" s="73"/>
      <c r="P1092" s="74"/>
      <c r="Q1092" s="74"/>
      <c r="R1092" s="87"/>
      <c r="S1092" s="87"/>
      <c r="T1092" s="87"/>
      <c r="U1092" s="87"/>
      <c r="V1092" s="48"/>
      <c r="W1092" s="48"/>
      <c r="X1092" s="48"/>
      <c r="Y1092" s="48"/>
      <c r="Z1092" s="47"/>
      <c r="AA1092" s="69">
        <v>1092</v>
      </c>
      <c r="AB1092" s="69"/>
      <c r="AC1092" s="70"/>
      <c r="AD1092" s="76" t="s">
        <v>22315</v>
      </c>
      <c r="AE1092" s="81" t="s">
        <v>20882</v>
      </c>
      <c r="AF1092" s="76">
        <v>22</v>
      </c>
      <c r="AG1092" s="76">
        <v>191</v>
      </c>
      <c r="AH1092" s="76">
        <v>669</v>
      </c>
      <c r="AI1092" s="76">
        <v>0</v>
      </c>
      <c r="AJ1092" s="76">
        <v>914</v>
      </c>
      <c r="AK1092" s="76">
        <v>1</v>
      </c>
      <c r="AL1092" s="76" t="b">
        <v>0</v>
      </c>
      <c r="AM1092" s="78">
        <v>45029.982002314813</v>
      </c>
      <c r="AN1092" s="76"/>
      <c r="AO1092" s="76"/>
      <c r="AP1092" s="76"/>
      <c r="AQ1092" s="76"/>
      <c r="AR1092" s="76"/>
      <c r="AS1092" s="76"/>
      <c r="AT1092" s="76"/>
      <c r="AU1092" s="76"/>
      <c r="AV1092" s="76"/>
      <c r="AW1092" s="76"/>
      <c r="AX1092" s="76" t="b">
        <v>0</v>
      </c>
      <c r="AY1092" s="76"/>
      <c r="AZ1092" s="76"/>
      <c r="BA1092" s="76" t="b">
        <v>0</v>
      </c>
      <c r="BB1092" s="76" t="b">
        <v>1</v>
      </c>
      <c r="BC1092" s="76" t="b">
        <v>1</v>
      </c>
      <c r="BD1092" s="76" t="b">
        <v>0</v>
      </c>
      <c r="BE1092" s="76" t="b">
        <v>0</v>
      </c>
      <c r="BF1092" s="76" t="b">
        <v>0</v>
      </c>
      <c r="BG1092" s="76" t="b">
        <v>0</v>
      </c>
      <c r="BH1092" s="76"/>
      <c r="BI1092" s="76"/>
      <c r="BJ1092" s="76" t="s">
        <v>27595</v>
      </c>
      <c r="BK1092" s="76" t="b">
        <v>0</v>
      </c>
      <c r="BL1092" s="76"/>
      <c r="BM1092" s="76" t="s">
        <v>66</v>
      </c>
      <c r="BN1092" s="76" t="s">
        <v>27597</v>
      </c>
      <c r="BO1092" s="82" t="str">
        <f>HYPERLINK("https://twitter.com/ailtonlima09")</f>
        <v>https://twitter.com/ailtonlima09</v>
      </c>
      <c r="BP1092" s="2"/>
    </row>
    <row r="1093" spans="1:68" x14ac:dyDescent="0.25">
      <c r="A1093" s="62" t="s">
        <v>1016</v>
      </c>
      <c r="B1093" s="63"/>
      <c r="C1093" s="63"/>
      <c r="D1093" s="64"/>
      <c r="E1093" s="66"/>
      <c r="F1093" s="103" t="str">
        <f>HYPERLINK("https://pbs.twimg.com/profile_images/1697759311600955392/UxO95e9w_normal.jpg")</f>
        <v>https://pbs.twimg.com/profile_images/1697759311600955392/UxO95e9w_normal.jpg</v>
      </c>
      <c r="G1093" s="63"/>
      <c r="H1093" s="67"/>
      <c r="I1093" s="68"/>
      <c r="J1093" s="68"/>
      <c r="K1093" s="67" t="s">
        <v>28687</v>
      </c>
      <c r="L1093" s="71"/>
      <c r="M1093" s="72"/>
      <c r="N1093" s="72"/>
      <c r="O1093" s="73"/>
      <c r="P1093" s="74"/>
      <c r="Q1093" s="74"/>
      <c r="R1093" s="87"/>
      <c r="S1093" s="87"/>
      <c r="T1093" s="87"/>
      <c r="U1093" s="87"/>
      <c r="V1093" s="48"/>
      <c r="W1093" s="48"/>
      <c r="X1093" s="48"/>
      <c r="Y1093" s="48"/>
      <c r="Z1093" s="47"/>
      <c r="AA1093" s="69">
        <v>1093</v>
      </c>
      <c r="AB1093" s="69"/>
      <c r="AC1093" s="70"/>
      <c r="AD1093" s="76" t="s">
        <v>22316</v>
      </c>
      <c r="AE1093" s="81" t="s">
        <v>20883</v>
      </c>
      <c r="AF1093" s="76">
        <v>169</v>
      </c>
      <c r="AG1093" s="76">
        <v>967</v>
      </c>
      <c r="AH1093" s="76">
        <v>450</v>
      </c>
      <c r="AI1093" s="76">
        <v>0</v>
      </c>
      <c r="AJ1093" s="76">
        <v>640</v>
      </c>
      <c r="AK1093" s="76">
        <v>154</v>
      </c>
      <c r="AL1093" s="76" t="b">
        <v>0</v>
      </c>
      <c r="AM1093" s="78">
        <v>44648.02002314815</v>
      </c>
      <c r="AN1093" s="76" t="s">
        <v>14400</v>
      </c>
      <c r="AO1093" s="76" t="s">
        <v>25685</v>
      </c>
      <c r="AP1093" s="82" t="str">
        <f>HYPERLINK("https://t.co/NaAYIXdS4Z")</f>
        <v>https://t.co/NaAYIXdS4Z</v>
      </c>
      <c r="AQ1093" s="82" t="str">
        <f>HYPERLINK("http://www.zonalestesomosnos.com.br")</f>
        <v>http://www.zonalestesomosnos.com.br</v>
      </c>
      <c r="AR1093" s="76" t="s">
        <v>26945</v>
      </c>
      <c r="AS1093" s="76"/>
      <c r="AT1093" s="76"/>
      <c r="AU1093" s="76"/>
      <c r="AV1093" s="76"/>
      <c r="AW1093" s="82" t="str">
        <f>HYPERLINK("https://t.co/NaAYIXdS4Z")</f>
        <v>https://t.co/NaAYIXdS4Z</v>
      </c>
      <c r="AX1093" s="76" t="b">
        <v>0</v>
      </c>
      <c r="AY1093" s="76"/>
      <c r="AZ1093" s="76"/>
      <c r="BA1093" s="76" t="b">
        <v>0</v>
      </c>
      <c r="BB1093" s="76" t="b">
        <v>1</v>
      </c>
      <c r="BC1093" s="76" t="b">
        <v>1</v>
      </c>
      <c r="BD1093" s="76" t="b">
        <v>0</v>
      </c>
      <c r="BE1093" s="76" t="b">
        <v>0</v>
      </c>
      <c r="BF1093" s="76" t="b">
        <v>0</v>
      </c>
      <c r="BG1093" s="76" t="b">
        <v>0</v>
      </c>
      <c r="BH1093" s="82" t="str">
        <f>HYPERLINK("https://pbs.twimg.com/profile_banners/1508239611201564672/1694909235")</f>
        <v>https://pbs.twimg.com/profile_banners/1508239611201564672/1694909235</v>
      </c>
      <c r="BI1093" s="76"/>
      <c r="BJ1093" s="76" t="s">
        <v>27595</v>
      </c>
      <c r="BK1093" s="76" t="b">
        <v>0</v>
      </c>
      <c r="BL1093" s="76"/>
      <c r="BM1093" s="76" t="s">
        <v>66</v>
      </c>
      <c r="BN1093" s="76" t="s">
        <v>27597</v>
      </c>
      <c r="BO1093" s="82" t="str">
        <f>HYPERLINK("https://twitter.com/zlsomosnos")</f>
        <v>https://twitter.com/zlsomosnos</v>
      </c>
      <c r="BP1093" s="2"/>
    </row>
    <row r="1094" spans="1:68" x14ac:dyDescent="0.25">
      <c r="A1094" s="62" t="s">
        <v>1017</v>
      </c>
      <c r="B1094" s="63"/>
      <c r="C1094" s="63"/>
      <c r="D1094" s="64"/>
      <c r="E1094" s="66"/>
      <c r="F1094" s="103" t="str">
        <f>HYPERLINK("https://pbs.twimg.com/profile_images/1681765667614121991/K_ULlokF_normal.jpg")</f>
        <v>https://pbs.twimg.com/profile_images/1681765667614121991/K_ULlokF_normal.jpg</v>
      </c>
      <c r="G1094" s="63"/>
      <c r="H1094" s="67"/>
      <c r="I1094" s="68"/>
      <c r="J1094" s="68"/>
      <c r="K1094" s="67" t="s">
        <v>28688</v>
      </c>
      <c r="L1094" s="71"/>
      <c r="M1094" s="72"/>
      <c r="N1094" s="72"/>
      <c r="O1094" s="73"/>
      <c r="P1094" s="74"/>
      <c r="Q1094" s="74"/>
      <c r="R1094" s="87"/>
      <c r="S1094" s="87"/>
      <c r="T1094" s="87"/>
      <c r="U1094" s="87"/>
      <c r="V1094" s="48"/>
      <c r="W1094" s="48"/>
      <c r="X1094" s="48"/>
      <c r="Y1094" s="48"/>
      <c r="Z1094" s="47"/>
      <c r="AA1094" s="69">
        <v>1094</v>
      </c>
      <c r="AB1094" s="69"/>
      <c r="AC1094" s="70"/>
      <c r="AD1094" s="76" t="s">
        <v>22317</v>
      </c>
      <c r="AE1094" s="81" t="s">
        <v>23641</v>
      </c>
      <c r="AF1094" s="76">
        <v>1271918</v>
      </c>
      <c r="AG1094" s="76">
        <v>1458</v>
      </c>
      <c r="AH1094" s="76">
        <v>890248</v>
      </c>
      <c r="AI1094" s="76">
        <v>2613</v>
      </c>
      <c r="AJ1094" s="76">
        <v>18629</v>
      </c>
      <c r="AK1094" s="76">
        <v>351141</v>
      </c>
      <c r="AL1094" s="76" t="b">
        <v>0</v>
      </c>
      <c r="AM1094" s="78">
        <v>40317.948958333334</v>
      </c>
      <c r="AN1094" s="76" t="s">
        <v>24063</v>
      </c>
      <c r="AO1094" s="76" t="s">
        <v>25686</v>
      </c>
      <c r="AP1094" s="76"/>
      <c r="AQ1094" s="76"/>
      <c r="AR1094" s="76"/>
      <c r="AS1094" s="76"/>
      <c r="AT1094" s="76"/>
      <c r="AU1094" s="76"/>
      <c r="AV1094" s="76">
        <v>1.7074084082807099E+18</v>
      </c>
      <c r="AW1094" s="76"/>
      <c r="AX1094" s="76" t="b">
        <v>1</v>
      </c>
      <c r="AY1094" s="76"/>
      <c r="AZ1094" s="76"/>
      <c r="BA1094" s="76" t="b">
        <v>0</v>
      </c>
      <c r="BB1094" s="76" t="b">
        <v>1</v>
      </c>
      <c r="BC1094" s="76" t="b">
        <v>0</v>
      </c>
      <c r="BD1094" s="76" t="b">
        <v>0</v>
      </c>
      <c r="BE1094" s="76" t="b">
        <v>1</v>
      </c>
      <c r="BF1094" s="76" t="b">
        <v>0</v>
      </c>
      <c r="BG1094" s="76" t="b">
        <v>0</v>
      </c>
      <c r="BH1094" s="82" t="str">
        <f>HYPERLINK("https://pbs.twimg.com/profile_banners/145802745/1689799274")</f>
        <v>https://pbs.twimg.com/profile_banners/145802745/1689799274</v>
      </c>
      <c r="BI1094" s="76"/>
      <c r="BJ1094" s="76" t="s">
        <v>27595</v>
      </c>
      <c r="BK1094" s="76" t="b">
        <v>0</v>
      </c>
      <c r="BL1094" s="76"/>
      <c r="BM1094" s="76" t="s">
        <v>66</v>
      </c>
      <c r="BN1094" s="76" t="s">
        <v>27597</v>
      </c>
      <c r="BO1094" s="82" t="str">
        <f>HYPERLINK("https://twitter.com/cdn37")</f>
        <v>https://twitter.com/cdn37</v>
      </c>
      <c r="BP1094" s="2"/>
    </row>
    <row r="1095" spans="1:68" x14ac:dyDescent="0.25">
      <c r="A1095" s="62" t="s">
        <v>1018</v>
      </c>
      <c r="B1095" s="63"/>
      <c r="C1095" s="63"/>
      <c r="D1095" s="64"/>
      <c r="E1095" s="66"/>
      <c r="F1095" s="103" t="str">
        <f>HYPERLINK("https://pbs.twimg.com/profile_images/2187552479/180180_normal.jpg")</f>
        <v>https://pbs.twimg.com/profile_images/2187552479/180180_normal.jpg</v>
      </c>
      <c r="G1095" s="63"/>
      <c r="H1095" s="67"/>
      <c r="I1095" s="68"/>
      <c r="J1095" s="68"/>
      <c r="K1095" s="67" t="s">
        <v>28689</v>
      </c>
      <c r="L1095" s="71"/>
      <c r="M1095" s="72"/>
      <c r="N1095" s="72"/>
      <c r="O1095" s="73"/>
      <c r="P1095" s="74"/>
      <c r="Q1095" s="74"/>
      <c r="R1095" s="87"/>
      <c r="S1095" s="87"/>
      <c r="T1095" s="87"/>
      <c r="U1095" s="87"/>
      <c r="V1095" s="48"/>
      <c r="W1095" s="48"/>
      <c r="X1095" s="48"/>
      <c r="Y1095" s="48"/>
      <c r="Z1095" s="47"/>
      <c r="AA1095" s="69">
        <v>1095</v>
      </c>
      <c r="AB1095" s="69"/>
      <c r="AC1095" s="70"/>
      <c r="AD1095" s="76" t="s">
        <v>22318</v>
      </c>
      <c r="AE1095" s="81" t="s">
        <v>23642</v>
      </c>
      <c r="AF1095" s="76">
        <v>192</v>
      </c>
      <c r="AG1095" s="76">
        <v>12</v>
      </c>
      <c r="AH1095" s="76">
        <v>22521</v>
      </c>
      <c r="AI1095" s="76">
        <v>0</v>
      </c>
      <c r="AJ1095" s="76">
        <v>11</v>
      </c>
      <c r="AK1095" s="76">
        <v>16991</v>
      </c>
      <c r="AL1095" s="76" t="b">
        <v>0</v>
      </c>
      <c r="AM1095" s="78">
        <v>41032.678935185184</v>
      </c>
      <c r="AN1095" s="76" t="s">
        <v>24465</v>
      </c>
      <c r="AO1095" s="76" t="s">
        <v>25687</v>
      </c>
      <c r="AP1095" s="82" t="str">
        <f>HYPERLINK("https://t.co/owkTTcGZFM")</f>
        <v>https://t.co/owkTTcGZFM</v>
      </c>
      <c r="AQ1095" s="82" t="str">
        <f>HYPERLINK("https://www.candeiasmix.com.br")</f>
        <v>https://www.candeiasmix.com.br</v>
      </c>
      <c r="AR1095" s="76" t="s">
        <v>26946</v>
      </c>
      <c r="AS1095" s="82" t="str">
        <f>HYPERLINK("https://t.co/owkTTcGZFM")</f>
        <v>https://t.co/owkTTcGZFM</v>
      </c>
      <c r="AT1095" s="82" t="str">
        <f>HYPERLINK("https://www.candeiasmix.com.br")</f>
        <v>https://www.candeiasmix.com.br</v>
      </c>
      <c r="AU1095" s="76" t="s">
        <v>26946</v>
      </c>
      <c r="AV1095" s="76"/>
      <c r="AW1095" s="82" t="str">
        <f>HYPERLINK("https://t.co/owkTTcGZFM")</f>
        <v>https://t.co/owkTTcGZFM</v>
      </c>
      <c r="AX1095" s="76" t="b">
        <v>0</v>
      </c>
      <c r="AY1095" s="76"/>
      <c r="AZ1095" s="76"/>
      <c r="BA1095" s="76" t="b">
        <v>0</v>
      </c>
      <c r="BB1095" s="76" t="b">
        <v>1</v>
      </c>
      <c r="BC1095" s="76" t="b">
        <v>1</v>
      </c>
      <c r="BD1095" s="76" t="b">
        <v>0</v>
      </c>
      <c r="BE1095" s="76" t="b">
        <v>1</v>
      </c>
      <c r="BF1095" s="76" t="b">
        <v>0</v>
      </c>
      <c r="BG1095" s="76" t="b">
        <v>0</v>
      </c>
      <c r="BH1095" s="82" t="str">
        <f>HYPERLINK("https://pbs.twimg.com/profile_banners/570093803/1484409492")</f>
        <v>https://pbs.twimg.com/profile_banners/570093803/1484409492</v>
      </c>
      <c r="BI1095" s="76"/>
      <c r="BJ1095" s="76" t="s">
        <v>27595</v>
      </c>
      <c r="BK1095" s="76" t="b">
        <v>0</v>
      </c>
      <c r="BL1095" s="76"/>
      <c r="BM1095" s="76" t="s">
        <v>66</v>
      </c>
      <c r="BN1095" s="76" t="s">
        <v>27597</v>
      </c>
      <c r="BO1095" s="82" t="str">
        <f>HYPERLINK("https://twitter.com/candeiasmix")</f>
        <v>https://twitter.com/candeiasmix</v>
      </c>
      <c r="BP1095" s="2"/>
    </row>
    <row r="1096" spans="1:68" x14ac:dyDescent="0.25">
      <c r="A1096" s="62" t="s">
        <v>1019</v>
      </c>
      <c r="B1096" s="63"/>
      <c r="C1096" s="63"/>
      <c r="D1096" s="64"/>
      <c r="E1096" s="66"/>
      <c r="F1096" s="103" t="str">
        <f>HYPERLINK("https://pbs.twimg.com/profile_images/1651762281150136321/Yd86zH61_normal.jpg")</f>
        <v>https://pbs.twimg.com/profile_images/1651762281150136321/Yd86zH61_normal.jpg</v>
      </c>
      <c r="G1096" s="63"/>
      <c r="H1096" s="67"/>
      <c r="I1096" s="68"/>
      <c r="J1096" s="68"/>
      <c r="K1096" s="67" t="s">
        <v>28690</v>
      </c>
      <c r="L1096" s="71"/>
      <c r="M1096" s="72"/>
      <c r="N1096" s="72"/>
      <c r="O1096" s="73"/>
      <c r="P1096" s="74"/>
      <c r="Q1096" s="74"/>
      <c r="R1096" s="87"/>
      <c r="S1096" s="87"/>
      <c r="T1096" s="87"/>
      <c r="U1096" s="87"/>
      <c r="V1096" s="48"/>
      <c r="W1096" s="48"/>
      <c r="X1096" s="48"/>
      <c r="Y1096" s="48"/>
      <c r="Z1096" s="47"/>
      <c r="AA1096" s="69">
        <v>1096</v>
      </c>
      <c r="AB1096" s="69"/>
      <c r="AC1096" s="70"/>
      <c r="AD1096" s="76" t="s">
        <v>22319</v>
      </c>
      <c r="AE1096" s="81" t="s">
        <v>20317</v>
      </c>
      <c r="AF1096" s="76">
        <v>1456</v>
      </c>
      <c r="AG1096" s="76">
        <v>68</v>
      </c>
      <c r="AH1096" s="76">
        <v>1204</v>
      </c>
      <c r="AI1096" s="76">
        <v>3</v>
      </c>
      <c r="AJ1096" s="76">
        <v>1973</v>
      </c>
      <c r="AK1096" s="76">
        <v>311</v>
      </c>
      <c r="AL1096" s="76" t="b">
        <v>0</v>
      </c>
      <c r="AM1096" s="78">
        <v>45033.756793981483</v>
      </c>
      <c r="AN1096" s="76"/>
      <c r="AO1096" s="76" t="s">
        <v>25688</v>
      </c>
      <c r="AP1096" s="76"/>
      <c r="AQ1096" s="76"/>
      <c r="AR1096" s="76"/>
      <c r="AS1096" s="76"/>
      <c r="AT1096" s="76"/>
      <c r="AU1096" s="76"/>
      <c r="AV1096" s="76"/>
      <c r="AW1096" s="76"/>
      <c r="AX1096" s="76" t="b">
        <v>0</v>
      </c>
      <c r="AY1096" s="76"/>
      <c r="AZ1096" s="76"/>
      <c r="BA1096" s="76" t="b">
        <v>0</v>
      </c>
      <c r="BB1096" s="76" t="b">
        <v>1</v>
      </c>
      <c r="BC1096" s="76" t="b">
        <v>1</v>
      </c>
      <c r="BD1096" s="76" t="b">
        <v>0</v>
      </c>
      <c r="BE1096" s="76" t="b">
        <v>0</v>
      </c>
      <c r="BF1096" s="76" t="b">
        <v>0</v>
      </c>
      <c r="BG1096" s="76" t="b">
        <v>0</v>
      </c>
      <c r="BH1096" s="82" t="str">
        <f>HYPERLINK("https://pbs.twimg.com/profile_banners/1648025717261627394/1683573750")</f>
        <v>https://pbs.twimg.com/profile_banners/1648025717261627394/1683573750</v>
      </c>
      <c r="BI1096" s="76"/>
      <c r="BJ1096" s="76" t="s">
        <v>27595</v>
      </c>
      <c r="BK1096" s="76" t="b">
        <v>0</v>
      </c>
      <c r="BL1096" s="76"/>
      <c r="BM1096" s="76" t="s">
        <v>66</v>
      </c>
      <c r="BN1096" s="76" t="s">
        <v>27597</v>
      </c>
      <c r="BO1096" s="82" t="str">
        <f>HYPERLINK("https://twitter.com/minoriacn")</f>
        <v>https://twitter.com/minoriacn</v>
      </c>
      <c r="BP1096" s="2"/>
    </row>
    <row r="1097" spans="1:68" x14ac:dyDescent="0.25">
      <c r="A1097" s="62" t="s">
        <v>1020</v>
      </c>
      <c r="B1097" s="63"/>
      <c r="C1097" s="63"/>
      <c r="D1097" s="64"/>
      <c r="E1097" s="66"/>
      <c r="F1097" s="103" t="str">
        <f>HYPERLINK("https://pbs.twimg.com/profile_images/906119695308378112/_FsQ6uJ__normal.jpg")</f>
        <v>https://pbs.twimg.com/profile_images/906119695308378112/_FsQ6uJ__normal.jpg</v>
      </c>
      <c r="G1097" s="63"/>
      <c r="H1097" s="67"/>
      <c r="I1097" s="68"/>
      <c r="J1097" s="68"/>
      <c r="K1097" s="67" t="s">
        <v>28691</v>
      </c>
      <c r="L1097" s="71"/>
      <c r="M1097" s="72"/>
      <c r="N1097" s="72"/>
      <c r="O1097" s="73"/>
      <c r="P1097" s="74"/>
      <c r="Q1097" s="74"/>
      <c r="R1097" s="87"/>
      <c r="S1097" s="87"/>
      <c r="T1097" s="87"/>
      <c r="U1097" s="87"/>
      <c r="V1097" s="48"/>
      <c r="W1097" s="48"/>
      <c r="X1097" s="48"/>
      <c r="Y1097" s="48"/>
      <c r="Z1097" s="47"/>
      <c r="AA1097" s="69">
        <v>1097</v>
      </c>
      <c r="AB1097" s="69"/>
      <c r="AC1097" s="70"/>
      <c r="AD1097" s="76" t="s">
        <v>22320</v>
      </c>
      <c r="AE1097" s="81" t="s">
        <v>23643</v>
      </c>
      <c r="AF1097" s="76">
        <v>1602</v>
      </c>
      <c r="AG1097" s="76">
        <v>724</v>
      </c>
      <c r="AH1097" s="76">
        <v>2368</v>
      </c>
      <c r="AI1097" s="76">
        <v>11</v>
      </c>
      <c r="AJ1097" s="76">
        <v>1617</v>
      </c>
      <c r="AK1097" s="76">
        <v>1137</v>
      </c>
      <c r="AL1097" s="76" t="b">
        <v>0</v>
      </c>
      <c r="AM1097" s="78">
        <v>40693.60833333333</v>
      </c>
      <c r="AN1097" s="76" t="s">
        <v>24466</v>
      </c>
      <c r="AO1097" s="76" t="s">
        <v>25689</v>
      </c>
      <c r="AP1097" s="82" t="str">
        <f>HYPERLINK("https://t.co/yseagov4iJ")</f>
        <v>https://t.co/yseagov4iJ</v>
      </c>
      <c r="AQ1097" s="82" t="str">
        <f>HYPERLINK("http://ingenieria.uach.cl")</f>
        <v>http://ingenieria.uach.cl</v>
      </c>
      <c r="AR1097" s="76" t="s">
        <v>26947</v>
      </c>
      <c r="AS1097" s="76"/>
      <c r="AT1097" s="76"/>
      <c r="AU1097" s="76"/>
      <c r="AV1097" s="76">
        <v>1.7049532167381801E+18</v>
      </c>
      <c r="AW1097" s="82" t="str">
        <f>HYPERLINK("https://t.co/yseagov4iJ")</f>
        <v>https://t.co/yseagov4iJ</v>
      </c>
      <c r="AX1097" s="76" t="b">
        <v>0</v>
      </c>
      <c r="AY1097" s="76"/>
      <c r="AZ1097" s="76"/>
      <c r="BA1097" s="76" t="b">
        <v>0</v>
      </c>
      <c r="BB1097" s="76" t="b">
        <v>1</v>
      </c>
      <c r="BC1097" s="76" t="b">
        <v>0</v>
      </c>
      <c r="BD1097" s="76" t="b">
        <v>0</v>
      </c>
      <c r="BE1097" s="76" t="b">
        <v>0</v>
      </c>
      <c r="BF1097" s="76" t="b">
        <v>0</v>
      </c>
      <c r="BG1097" s="76" t="b">
        <v>0</v>
      </c>
      <c r="BH1097" s="82" t="str">
        <f>HYPERLINK("https://pbs.twimg.com/profile_banners/307920275/1674763754")</f>
        <v>https://pbs.twimg.com/profile_banners/307920275/1674763754</v>
      </c>
      <c r="BI1097" s="76"/>
      <c r="BJ1097" s="76" t="s">
        <v>27595</v>
      </c>
      <c r="BK1097" s="76" t="b">
        <v>0</v>
      </c>
      <c r="BL1097" s="76"/>
      <c r="BM1097" s="76" t="s">
        <v>66</v>
      </c>
      <c r="BN1097" s="76" t="s">
        <v>27597</v>
      </c>
      <c r="BO1097" s="82" t="str">
        <f>HYPERLINK("https://twitter.com/fciuach")</f>
        <v>https://twitter.com/fciuach</v>
      </c>
      <c r="BP1097" s="2"/>
    </row>
    <row r="1098" spans="1:68" x14ac:dyDescent="0.25">
      <c r="A1098" s="62" t="s">
        <v>1944</v>
      </c>
      <c r="B1098" s="63"/>
      <c r="C1098" s="63"/>
      <c r="D1098" s="64"/>
      <c r="E1098" s="66"/>
      <c r="F1098" s="103" t="str">
        <f>HYPERLINK("https://pbs.twimg.com/profile_images/1337792018853076995/2xs2f0Xj_normal.jpg")</f>
        <v>https://pbs.twimg.com/profile_images/1337792018853076995/2xs2f0Xj_normal.jpg</v>
      </c>
      <c r="G1098" s="63"/>
      <c r="H1098" s="67"/>
      <c r="I1098" s="68"/>
      <c r="J1098" s="68"/>
      <c r="K1098" s="67" t="s">
        <v>28692</v>
      </c>
      <c r="L1098" s="71"/>
      <c r="M1098" s="72"/>
      <c r="N1098" s="72"/>
      <c r="O1098" s="73"/>
      <c r="P1098" s="74"/>
      <c r="Q1098" s="74"/>
      <c r="R1098" s="87"/>
      <c r="S1098" s="87"/>
      <c r="T1098" s="87"/>
      <c r="U1098" s="87"/>
      <c r="V1098" s="48"/>
      <c r="W1098" s="48"/>
      <c r="X1098" s="48"/>
      <c r="Y1098" s="48"/>
      <c r="Z1098" s="47"/>
      <c r="AA1098" s="69">
        <v>1098</v>
      </c>
      <c r="AB1098" s="69"/>
      <c r="AC1098" s="70"/>
      <c r="AD1098" s="76" t="s">
        <v>22321</v>
      </c>
      <c r="AE1098" s="81" t="s">
        <v>23644</v>
      </c>
      <c r="AF1098" s="76">
        <v>112</v>
      </c>
      <c r="AG1098" s="76">
        <v>117</v>
      </c>
      <c r="AH1098" s="76">
        <v>51</v>
      </c>
      <c r="AI1098" s="76">
        <v>0</v>
      </c>
      <c r="AJ1098" s="76">
        <v>18</v>
      </c>
      <c r="AK1098" s="76">
        <v>4</v>
      </c>
      <c r="AL1098" s="76" t="b">
        <v>0</v>
      </c>
      <c r="AM1098" s="78">
        <v>41732.947337962964</v>
      </c>
      <c r="AN1098" s="76" t="s">
        <v>14406</v>
      </c>
      <c r="AO1098" s="76"/>
      <c r="AP1098" s="76"/>
      <c r="AQ1098" s="76"/>
      <c r="AR1098" s="76"/>
      <c r="AS1098" s="76"/>
      <c r="AT1098" s="76"/>
      <c r="AU1098" s="76"/>
      <c r="AV1098" s="76"/>
      <c r="AW1098" s="76"/>
      <c r="AX1098" s="76" t="b">
        <v>0</v>
      </c>
      <c r="AY1098" s="76"/>
      <c r="AZ1098" s="76"/>
      <c r="BA1098" s="76" t="b">
        <v>0</v>
      </c>
      <c r="BB1098" s="76" t="b">
        <v>1</v>
      </c>
      <c r="BC1098" s="76" t="b">
        <v>1</v>
      </c>
      <c r="BD1098" s="76" t="b">
        <v>0</v>
      </c>
      <c r="BE1098" s="76" t="b">
        <v>1</v>
      </c>
      <c r="BF1098" s="76" t="b">
        <v>0</v>
      </c>
      <c r="BG1098" s="76" t="b">
        <v>0</v>
      </c>
      <c r="BH1098" s="82" t="str">
        <f>HYPERLINK("https://pbs.twimg.com/profile_banners/2458491849/1662296815")</f>
        <v>https://pbs.twimg.com/profile_banners/2458491849/1662296815</v>
      </c>
      <c r="BI1098" s="76"/>
      <c r="BJ1098" s="76" t="s">
        <v>27595</v>
      </c>
      <c r="BK1098" s="76" t="b">
        <v>0</v>
      </c>
      <c r="BL1098" s="76"/>
      <c r="BM1098" s="76" t="s">
        <v>65</v>
      </c>
      <c r="BN1098" s="76" t="s">
        <v>27597</v>
      </c>
      <c r="BO1098" s="82" t="str">
        <f>HYPERLINK("https://twitter.com/beltranderamon")</f>
        <v>https://twitter.com/beltranderamon</v>
      </c>
      <c r="BP1098" s="2"/>
    </row>
    <row r="1099" spans="1:68" x14ac:dyDescent="0.25">
      <c r="A1099" s="62" t="s">
        <v>1021</v>
      </c>
      <c r="B1099" s="63"/>
      <c r="C1099" s="63"/>
      <c r="D1099" s="64"/>
      <c r="E1099" s="66"/>
      <c r="F1099" s="103" t="str">
        <f>HYPERLINK("https://pbs.twimg.com/profile_images/1611346386846470145/FymmRAO4_normal.jpg")</f>
        <v>https://pbs.twimg.com/profile_images/1611346386846470145/FymmRAO4_normal.jpg</v>
      </c>
      <c r="G1099" s="63"/>
      <c r="H1099" s="67"/>
      <c r="I1099" s="68"/>
      <c r="J1099" s="68"/>
      <c r="K1099" s="67" t="s">
        <v>28693</v>
      </c>
      <c r="L1099" s="71"/>
      <c r="M1099" s="72"/>
      <c r="N1099" s="72"/>
      <c r="O1099" s="73"/>
      <c r="P1099" s="74"/>
      <c r="Q1099" s="74"/>
      <c r="R1099" s="87"/>
      <c r="S1099" s="87"/>
      <c r="T1099" s="87"/>
      <c r="U1099" s="87"/>
      <c r="V1099" s="48"/>
      <c r="W1099" s="48"/>
      <c r="X1099" s="48"/>
      <c r="Y1099" s="48"/>
      <c r="Z1099" s="47"/>
      <c r="AA1099" s="69">
        <v>1099</v>
      </c>
      <c r="AB1099" s="69"/>
      <c r="AC1099" s="70"/>
      <c r="AD1099" s="76" t="s">
        <v>22322</v>
      </c>
      <c r="AE1099" s="81" t="s">
        <v>20884</v>
      </c>
      <c r="AF1099" s="76">
        <v>15548</v>
      </c>
      <c r="AG1099" s="76">
        <v>643</v>
      </c>
      <c r="AH1099" s="76">
        <v>3719</v>
      </c>
      <c r="AI1099" s="76">
        <v>163</v>
      </c>
      <c r="AJ1099" s="76">
        <v>4683</v>
      </c>
      <c r="AK1099" s="76">
        <v>1325</v>
      </c>
      <c r="AL1099" s="76" t="b">
        <v>0</v>
      </c>
      <c r="AM1099" s="78">
        <v>43932.141111111108</v>
      </c>
      <c r="AN1099" s="76" t="s">
        <v>24081</v>
      </c>
      <c r="AO1099" s="76" t="s">
        <v>25690</v>
      </c>
      <c r="AP1099" s="82" t="str">
        <f>HYPERLINK("https://t.co/JA2UBPlXEI")</f>
        <v>https://t.co/JA2UBPlXEI</v>
      </c>
      <c r="AQ1099" s="82" t="str">
        <f>HYPERLINK("http://www.quantzed.com.br")</f>
        <v>http://www.quantzed.com.br</v>
      </c>
      <c r="AR1099" s="76" t="s">
        <v>26948</v>
      </c>
      <c r="AS1099" s="82" t="str">
        <f>HYPERLINK("https://t.co/aXC6rfTEQU")</f>
        <v>https://t.co/aXC6rfTEQU</v>
      </c>
      <c r="AT1099" s="82" t="str">
        <f>HYPERLINK("http://linktr.ee/Quantzed")</f>
        <v>http://linktr.ee/Quantzed</v>
      </c>
      <c r="AU1099" s="76" t="s">
        <v>27524</v>
      </c>
      <c r="AV1099" s="76">
        <v>1.6864345471461199E+18</v>
      </c>
      <c r="AW1099" s="82" t="str">
        <f>HYPERLINK("https://t.co/JA2UBPlXEI")</f>
        <v>https://t.co/JA2UBPlXEI</v>
      </c>
      <c r="AX1099" s="76" t="b">
        <v>1</v>
      </c>
      <c r="AY1099" s="76"/>
      <c r="AZ1099" s="76"/>
      <c r="BA1099" s="76" t="b">
        <v>1</v>
      </c>
      <c r="BB1099" s="76" t="b">
        <v>1</v>
      </c>
      <c r="BC1099" s="76" t="b">
        <v>1</v>
      </c>
      <c r="BD1099" s="76" t="b">
        <v>0</v>
      </c>
      <c r="BE1099" s="76" t="b">
        <v>1</v>
      </c>
      <c r="BF1099" s="76" t="b">
        <v>0</v>
      </c>
      <c r="BG1099" s="76" t="b">
        <v>0</v>
      </c>
      <c r="BH1099" s="82" t="str">
        <f>HYPERLINK("https://pbs.twimg.com/profile_banners/1248813796367499264/1673009842")</f>
        <v>https://pbs.twimg.com/profile_banners/1248813796367499264/1673009842</v>
      </c>
      <c r="BI1099" s="76"/>
      <c r="BJ1099" s="76" t="s">
        <v>27595</v>
      </c>
      <c r="BK1099" s="76" t="b">
        <v>0</v>
      </c>
      <c r="BL1099" s="76"/>
      <c r="BM1099" s="76" t="s">
        <v>66</v>
      </c>
      <c r="BN1099" s="76" t="s">
        <v>27597</v>
      </c>
      <c r="BO1099" s="82" t="str">
        <f>HYPERLINK("https://twitter.com/quantzed")</f>
        <v>https://twitter.com/quantzed</v>
      </c>
      <c r="BP1099" s="2"/>
    </row>
    <row r="1100" spans="1:68" x14ac:dyDescent="0.25">
      <c r="A1100" s="62" t="s">
        <v>1022</v>
      </c>
      <c r="B1100" s="63"/>
      <c r="C1100" s="63"/>
      <c r="D1100" s="64"/>
      <c r="E1100" s="66"/>
      <c r="F1100" s="103" t="str">
        <f>HYPERLINK("https://pbs.twimg.com/profile_images/1105929528/easycoop_normal.jpg")</f>
        <v>https://pbs.twimg.com/profile_images/1105929528/easycoop_normal.jpg</v>
      </c>
      <c r="G1100" s="63"/>
      <c r="H1100" s="67"/>
      <c r="I1100" s="68"/>
      <c r="J1100" s="68"/>
      <c r="K1100" s="67" t="s">
        <v>28694</v>
      </c>
      <c r="L1100" s="71"/>
      <c r="M1100" s="72"/>
      <c r="N1100" s="72"/>
      <c r="O1100" s="73"/>
      <c r="P1100" s="74"/>
      <c r="Q1100" s="74"/>
      <c r="R1100" s="87"/>
      <c r="S1100" s="87"/>
      <c r="T1100" s="87"/>
      <c r="U1100" s="87"/>
      <c r="V1100" s="48"/>
      <c r="W1100" s="48"/>
      <c r="X1100" s="48"/>
      <c r="Y1100" s="48"/>
      <c r="Z1100" s="47"/>
      <c r="AA1100" s="69">
        <v>1100</v>
      </c>
      <c r="AB1100" s="69"/>
      <c r="AC1100" s="70"/>
      <c r="AD1100" s="76" t="s">
        <v>22323</v>
      </c>
      <c r="AE1100" s="81" t="s">
        <v>23645</v>
      </c>
      <c r="AF1100" s="76">
        <v>716</v>
      </c>
      <c r="AG1100" s="76">
        <v>134</v>
      </c>
      <c r="AH1100" s="76">
        <v>17773</v>
      </c>
      <c r="AI1100" s="76">
        <v>13</v>
      </c>
      <c r="AJ1100" s="76">
        <v>388</v>
      </c>
      <c r="AK1100" s="76">
        <v>2028</v>
      </c>
      <c r="AL1100" s="76" t="b">
        <v>0</v>
      </c>
      <c r="AM1100" s="78">
        <v>40158.506655092591</v>
      </c>
      <c r="AN1100" s="76"/>
      <c r="AO1100" s="76" t="s">
        <v>25691</v>
      </c>
      <c r="AP1100" s="82" t="str">
        <f>HYPERLINK("http://t.co/8sXSgILu0e")</f>
        <v>http://t.co/8sXSgILu0e</v>
      </c>
      <c r="AQ1100" s="82" t="str">
        <f>HYPERLINK("http://www.easycoop.com.br")</f>
        <v>http://www.easycoop.com.br</v>
      </c>
      <c r="AR1100" s="76" t="s">
        <v>26949</v>
      </c>
      <c r="AS1100" s="76"/>
      <c r="AT1100" s="76"/>
      <c r="AU1100" s="76"/>
      <c r="AV1100" s="76"/>
      <c r="AW1100" s="82" t="str">
        <f>HYPERLINK("http://t.co/8sXSgILu0e")</f>
        <v>http://t.co/8sXSgILu0e</v>
      </c>
      <c r="AX1100" s="76" t="b">
        <v>0</v>
      </c>
      <c r="AY1100" s="76"/>
      <c r="AZ1100" s="76"/>
      <c r="BA1100" s="76" t="b">
        <v>0</v>
      </c>
      <c r="BB1100" s="76" t="b">
        <v>1</v>
      </c>
      <c r="BC1100" s="76" t="b">
        <v>1</v>
      </c>
      <c r="BD1100" s="76" t="b">
        <v>0</v>
      </c>
      <c r="BE1100" s="76" t="b">
        <v>1</v>
      </c>
      <c r="BF1100" s="76" t="b">
        <v>0</v>
      </c>
      <c r="BG1100" s="76" t="b">
        <v>0</v>
      </c>
      <c r="BH1100" s="76"/>
      <c r="BI1100" s="76"/>
      <c r="BJ1100" s="76" t="s">
        <v>27595</v>
      </c>
      <c r="BK1100" s="76" t="b">
        <v>0</v>
      </c>
      <c r="BL1100" s="76"/>
      <c r="BM1100" s="76" t="s">
        <v>66</v>
      </c>
      <c r="BN1100" s="76" t="s">
        <v>27597</v>
      </c>
      <c r="BO1100" s="82" t="str">
        <f>HYPERLINK("https://twitter.com/easycoop")</f>
        <v>https://twitter.com/easycoop</v>
      </c>
      <c r="BP1100" s="2"/>
    </row>
    <row r="1101" spans="1:68" x14ac:dyDescent="0.25">
      <c r="A1101" s="62" t="s">
        <v>1023</v>
      </c>
      <c r="B1101" s="63"/>
      <c r="C1101" s="63"/>
      <c r="D1101" s="64"/>
      <c r="E1101" s="66"/>
      <c r="F1101" s="103" t="str">
        <f>HYPERLINK("https://pbs.twimg.com/profile_images/1250584360786563072/RJEhs9FJ_normal.jpg")</f>
        <v>https://pbs.twimg.com/profile_images/1250584360786563072/RJEhs9FJ_normal.jpg</v>
      </c>
      <c r="G1101" s="63"/>
      <c r="H1101" s="67"/>
      <c r="I1101" s="68"/>
      <c r="J1101" s="68"/>
      <c r="K1101" s="67" t="s">
        <v>28695</v>
      </c>
      <c r="L1101" s="71"/>
      <c r="M1101" s="72"/>
      <c r="N1101" s="72"/>
      <c r="O1101" s="73"/>
      <c r="P1101" s="74"/>
      <c r="Q1101" s="74"/>
      <c r="R1101" s="87"/>
      <c r="S1101" s="87"/>
      <c r="T1101" s="87"/>
      <c r="U1101" s="87"/>
      <c r="V1101" s="48"/>
      <c r="W1101" s="48"/>
      <c r="X1101" s="48"/>
      <c r="Y1101" s="48"/>
      <c r="Z1101" s="47"/>
      <c r="AA1101" s="69">
        <v>1101</v>
      </c>
      <c r="AB1101" s="69"/>
      <c r="AC1101" s="70"/>
      <c r="AD1101" s="76" t="s">
        <v>22324</v>
      </c>
      <c r="AE1101" s="81" t="s">
        <v>20885</v>
      </c>
      <c r="AF1101" s="76">
        <v>7142</v>
      </c>
      <c r="AG1101" s="76">
        <v>5290</v>
      </c>
      <c r="AH1101" s="76">
        <v>12340</v>
      </c>
      <c r="AI1101" s="76">
        <v>58</v>
      </c>
      <c r="AJ1101" s="76">
        <v>22317</v>
      </c>
      <c r="AK1101" s="76">
        <v>661</v>
      </c>
      <c r="AL1101" s="76" t="b">
        <v>0</v>
      </c>
      <c r="AM1101" s="78">
        <v>43936.661307870374</v>
      </c>
      <c r="AN1101" s="76" t="s">
        <v>24467</v>
      </c>
      <c r="AO1101" s="76" t="s">
        <v>25692</v>
      </c>
      <c r="AP1101" s="82" t="str">
        <f>HYPERLINK("https://t.co/1oTh4a96b2")</f>
        <v>https://t.co/1oTh4a96b2</v>
      </c>
      <c r="AQ1101" s="82" t="str">
        <f>HYPERLINK("https://hispanismo.cl")</f>
        <v>https://hispanismo.cl</v>
      </c>
      <c r="AR1101" s="76" t="s">
        <v>26950</v>
      </c>
      <c r="AS1101" s="76"/>
      <c r="AT1101" s="76"/>
      <c r="AU1101" s="76"/>
      <c r="AV1101" s="76">
        <v>1.3310996003971999E+18</v>
      </c>
      <c r="AW1101" s="82" t="str">
        <f>HYPERLINK("https://t.co/1oTh4a96b2")</f>
        <v>https://t.co/1oTh4a96b2</v>
      </c>
      <c r="AX1101" s="76" t="b">
        <v>0</v>
      </c>
      <c r="AY1101" s="76"/>
      <c r="AZ1101" s="76"/>
      <c r="BA1101" s="76" t="b">
        <v>0</v>
      </c>
      <c r="BB1101" s="76" t="b">
        <v>1</v>
      </c>
      <c r="BC1101" s="76" t="b">
        <v>1</v>
      </c>
      <c r="BD1101" s="76" t="b">
        <v>0</v>
      </c>
      <c r="BE1101" s="76" t="b">
        <v>1</v>
      </c>
      <c r="BF1101" s="76" t="b">
        <v>0</v>
      </c>
      <c r="BG1101" s="76" t="b">
        <v>0</v>
      </c>
      <c r="BH1101" s="82" t="str">
        <f>HYPERLINK("https://pbs.twimg.com/profile_banners/1250451726295072769/1586980947")</f>
        <v>https://pbs.twimg.com/profile_banners/1250451726295072769/1586980947</v>
      </c>
      <c r="BI1101" s="76"/>
      <c r="BJ1101" s="76" t="s">
        <v>27595</v>
      </c>
      <c r="BK1101" s="76" t="b">
        <v>0</v>
      </c>
      <c r="BL1101" s="76"/>
      <c r="BM1101" s="76" t="s">
        <v>66</v>
      </c>
      <c r="BN1101" s="76" t="s">
        <v>27597</v>
      </c>
      <c r="BO1101" s="82" t="str">
        <f>HYPERLINK("https://twitter.com/hispanismoc")</f>
        <v>https://twitter.com/hispanismoc</v>
      </c>
      <c r="BP1101" s="2"/>
    </row>
    <row r="1102" spans="1:68" x14ac:dyDescent="0.25">
      <c r="A1102" s="62" t="s">
        <v>1354</v>
      </c>
      <c r="B1102" s="63"/>
      <c r="C1102" s="63"/>
      <c r="D1102" s="64"/>
      <c r="E1102" s="66"/>
      <c r="F1102" s="103" t="str">
        <f>HYPERLINK("https://pbs.twimg.com/profile_images/1442828079861227526/id79EJdj_normal.jpg")</f>
        <v>https://pbs.twimg.com/profile_images/1442828079861227526/id79EJdj_normal.jpg</v>
      </c>
      <c r="G1102" s="63"/>
      <c r="H1102" s="67"/>
      <c r="I1102" s="68"/>
      <c r="J1102" s="68"/>
      <c r="K1102" s="67" t="s">
        <v>28696</v>
      </c>
      <c r="L1102" s="71"/>
      <c r="M1102" s="72"/>
      <c r="N1102" s="72"/>
      <c r="O1102" s="73"/>
      <c r="P1102" s="74"/>
      <c r="Q1102" s="74"/>
      <c r="R1102" s="87"/>
      <c r="S1102" s="87"/>
      <c r="T1102" s="87"/>
      <c r="U1102" s="87"/>
      <c r="V1102" s="48"/>
      <c r="W1102" s="48"/>
      <c r="X1102" s="48"/>
      <c r="Y1102" s="48"/>
      <c r="Z1102" s="47"/>
      <c r="AA1102" s="69">
        <v>1102</v>
      </c>
      <c r="AB1102" s="69"/>
      <c r="AC1102" s="70"/>
      <c r="AD1102" s="76" t="s">
        <v>22325</v>
      </c>
      <c r="AE1102" s="81" t="s">
        <v>21050</v>
      </c>
      <c r="AF1102" s="76">
        <v>6739</v>
      </c>
      <c r="AG1102" s="76">
        <v>314</v>
      </c>
      <c r="AH1102" s="76">
        <v>6367</v>
      </c>
      <c r="AI1102" s="76">
        <v>59</v>
      </c>
      <c r="AJ1102" s="76">
        <v>11228</v>
      </c>
      <c r="AK1102" s="76">
        <v>778</v>
      </c>
      <c r="AL1102" s="76" t="b">
        <v>0</v>
      </c>
      <c r="AM1102" s="78">
        <v>44180.745312500003</v>
      </c>
      <c r="AN1102" s="76"/>
      <c r="AO1102" s="76" t="s">
        <v>25693</v>
      </c>
      <c r="AP1102" s="82" t="str">
        <f>HYPERLINK("https://t.co/fv6eS8ntEm")</f>
        <v>https://t.co/fv6eS8ntEm</v>
      </c>
      <c r="AQ1102" s="82" t="str">
        <f>HYPERLINK("http://www.mucain.com")</f>
        <v>http://www.mucain.com</v>
      </c>
      <c r="AR1102" s="76" t="s">
        <v>26951</v>
      </c>
      <c r="AS1102" s="76"/>
      <c r="AT1102" s="76"/>
      <c r="AU1102" s="76"/>
      <c r="AV1102" s="76"/>
      <c r="AW1102" s="82" t="str">
        <f>HYPERLINK("https://t.co/fv6eS8ntEm")</f>
        <v>https://t.co/fv6eS8ntEm</v>
      </c>
      <c r="AX1102" s="76" t="b">
        <v>0</v>
      </c>
      <c r="AY1102" s="76"/>
      <c r="AZ1102" s="76"/>
      <c r="BA1102" s="76" t="b">
        <v>0</v>
      </c>
      <c r="BB1102" s="76" t="b">
        <v>1</v>
      </c>
      <c r="BC1102" s="76" t="b">
        <v>1</v>
      </c>
      <c r="BD1102" s="76" t="b">
        <v>0</v>
      </c>
      <c r="BE1102" s="76" t="b">
        <v>1</v>
      </c>
      <c r="BF1102" s="76" t="b">
        <v>0</v>
      </c>
      <c r="BG1102" s="76" t="b">
        <v>0</v>
      </c>
      <c r="BH1102" s="82" t="str">
        <f>HYPERLINK("https://pbs.twimg.com/profile_banners/1338904893873139713/1637184010")</f>
        <v>https://pbs.twimg.com/profile_banners/1338904893873139713/1637184010</v>
      </c>
      <c r="BI1102" s="76"/>
      <c r="BJ1102" s="76" t="s">
        <v>27595</v>
      </c>
      <c r="BK1102" s="76" t="b">
        <v>0</v>
      </c>
      <c r="BL1102" s="76"/>
      <c r="BM1102" s="76" t="s">
        <v>66</v>
      </c>
      <c r="BN1102" s="76" t="s">
        <v>27597</v>
      </c>
      <c r="BO1102" s="82" t="str">
        <f>HYPERLINK("https://twitter.com/mucainde")</f>
        <v>https://twitter.com/mucainde</v>
      </c>
      <c r="BP1102" s="2"/>
    </row>
    <row r="1103" spans="1:68" x14ac:dyDescent="0.25">
      <c r="A1103" s="62" t="s">
        <v>1024</v>
      </c>
      <c r="B1103" s="63"/>
      <c r="C1103" s="63"/>
      <c r="D1103" s="64"/>
      <c r="E1103" s="66"/>
      <c r="F1103" s="103" t="str">
        <f>HYPERLINK("https://pbs.twimg.com/profile_images/1606297079168524291/R4reR1Pt_normal.jpg")</f>
        <v>https://pbs.twimg.com/profile_images/1606297079168524291/R4reR1Pt_normal.jpg</v>
      </c>
      <c r="G1103" s="63"/>
      <c r="H1103" s="67"/>
      <c r="I1103" s="68"/>
      <c r="J1103" s="68"/>
      <c r="K1103" s="67" t="s">
        <v>28697</v>
      </c>
      <c r="L1103" s="71"/>
      <c r="M1103" s="72"/>
      <c r="N1103" s="72"/>
      <c r="O1103" s="73"/>
      <c r="P1103" s="74"/>
      <c r="Q1103" s="74"/>
      <c r="R1103" s="87"/>
      <c r="S1103" s="87"/>
      <c r="T1103" s="87"/>
      <c r="U1103" s="87"/>
      <c r="V1103" s="48"/>
      <c r="W1103" s="48"/>
      <c r="X1103" s="48"/>
      <c r="Y1103" s="48"/>
      <c r="Z1103" s="47"/>
      <c r="AA1103" s="69">
        <v>1103</v>
      </c>
      <c r="AB1103" s="69"/>
      <c r="AC1103" s="70"/>
      <c r="AD1103" s="76" t="s">
        <v>22326</v>
      </c>
      <c r="AE1103" s="81" t="s">
        <v>20886</v>
      </c>
      <c r="AF1103" s="76">
        <v>5928</v>
      </c>
      <c r="AG1103" s="76">
        <v>6043</v>
      </c>
      <c r="AH1103" s="76">
        <v>88765</v>
      </c>
      <c r="AI1103" s="76">
        <v>2</v>
      </c>
      <c r="AJ1103" s="76">
        <v>140216</v>
      </c>
      <c r="AK1103" s="76">
        <v>2141</v>
      </c>
      <c r="AL1103" s="76" t="b">
        <v>0</v>
      </c>
      <c r="AM1103" s="78">
        <v>44072.558136574073</v>
      </c>
      <c r="AN1103" s="76" t="s">
        <v>24431</v>
      </c>
      <c r="AO1103" s="76" t="s">
        <v>25694</v>
      </c>
      <c r="AP1103" s="76"/>
      <c r="AQ1103" s="76"/>
      <c r="AR1103" s="76"/>
      <c r="AS1103" s="76"/>
      <c r="AT1103" s="76"/>
      <c r="AU1103" s="76"/>
      <c r="AV1103" s="76">
        <v>1.3780673870067699E+18</v>
      </c>
      <c r="AW1103" s="76"/>
      <c r="AX1103" s="76" t="b">
        <v>0</v>
      </c>
      <c r="AY1103" s="76"/>
      <c r="AZ1103" s="76"/>
      <c r="BA1103" s="76" t="b">
        <v>0</v>
      </c>
      <c r="BB1103" s="76" t="b">
        <v>1</v>
      </c>
      <c r="BC1103" s="76" t="b">
        <v>1</v>
      </c>
      <c r="BD1103" s="76" t="b">
        <v>0</v>
      </c>
      <c r="BE1103" s="76" t="b">
        <v>1</v>
      </c>
      <c r="BF1103" s="76" t="b">
        <v>0</v>
      </c>
      <c r="BG1103" s="76" t="b">
        <v>0</v>
      </c>
      <c r="BH1103" s="82" t="str">
        <f>HYPERLINK("https://pbs.twimg.com/profile_banners/1299699053740122113/1616361402")</f>
        <v>https://pbs.twimg.com/profile_banners/1299699053740122113/1616361402</v>
      </c>
      <c r="BI1103" s="76"/>
      <c r="BJ1103" s="76" t="s">
        <v>27595</v>
      </c>
      <c r="BK1103" s="76" t="b">
        <v>0</v>
      </c>
      <c r="BL1103" s="76"/>
      <c r="BM1103" s="76" t="s">
        <v>66</v>
      </c>
      <c r="BN1103" s="76" t="s">
        <v>27597</v>
      </c>
      <c r="BO1103" s="82" t="str">
        <f>HYPERLINK("https://twitter.com/aaronenoc3")</f>
        <v>https://twitter.com/aaronenoc3</v>
      </c>
      <c r="BP1103" s="2"/>
    </row>
    <row r="1104" spans="1:68" x14ac:dyDescent="0.25">
      <c r="A1104" s="62" t="s">
        <v>1025</v>
      </c>
      <c r="B1104" s="63"/>
      <c r="C1104" s="63"/>
      <c r="D1104" s="64"/>
      <c r="E1104" s="66"/>
      <c r="F1104" s="103" t="str">
        <f>HYPERLINK("https://pbs.twimg.com/profile_images/1609191412381122560/R9iBJcOv_normal.jpg")</f>
        <v>https://pbs.twimg.com/profile_images/1609191412381122560/R9iBJcOv_normal.jpg</v>
      </c>
      <c r="G1104" s="63"/>
      <c r="H1104" s="67"/>
      <c r="I1104" s="68"/>
      <c r="J1104" s="68"/>
      <c r="K1104" s="67" t="s">
        <v>28698</v>
      </c>
      <c r="L1104" s="71"/>
      <c r="M1104" s="72"/>
      <c r="N1104" s="72"/>
      <c r="O1104" s="73"/>
      <c r="P1104" s="74"/>
      <c r="Q1104" s="74"/>
      <c r="R1104" s="87"/>
      <c r="S1104" s="87"/>
      <c r="T1104" s="87"/>
      <c r="U1104" s="87"/>
      <c r="V1104" s="48"/>
      <c r="W1104" s="48"/>
      <c r="X1104" s="48"/>
      <c r="Y1104" s="48"/>
      <c r="Z1104" s="47"/>
      <c r="AA1104" s="69">
        <v>1104</v>
      </c>
      <c r="AB1104" s="69"/>
      <c r="AC1104" s="70"/>
      <c r="AD1104" s="76" t="s">
        <v>22327</v>
      </c>
      <c r="AE1104" s="81" t="s">
        <v>23646</v>
      </c>
      <c r="AF1104" s="76">
        <v>181</v>
      </c>
      <c r="AG1104" s="76">
        <v>1581</v>
      </c>
      <c r="AH1104" s="76">
        <v>3019</v>
      </c>
      <c r="AI1104" s="76">
        <v>1</v>
      </c>
      <c r="AJ1104" s="76">
        <v>721</v>
      </c>
      <c r="AK1104" s="76">
        <v>148</v>
      </c>
      <c r="AL1104" s="76" t="b">
        <v>0</v>
      </c>
      <c r="AM1104" s="78">
        <v>40637.885162037041</v>
      </c>
      <c r="AN1104" s="76" t="s">
        <v>24468</v>
      </c>
      <c r="AO1104" s="76" t="s">
        <v>25695</v>
      </c>
      <c r="AP1104" s="76"/>
      <c r="AQ1104" s="76"/>
      <c r="AR1104" s="76"/>
      <c r="AS1104" s="76"/>
      <c r="AT1104" s="76"/>
      <c r="AU1104" s="76"/>
      <c r="AV1104" s="76">
        <v>1.5796542145567201E+18</v>
      </c>
      <c r="AW1104" s="76"/>
      <c r="AX1104" s="76" t="b">
        <v>0</v>
      </c>
      <c r="AY1104" s="76"/>
      <c r="AZ1104" s="76"/>
      <c r="BA1104" s="76" t="b">
        <v>0</v>
      </c>
      <c r="BB1104" s="76" t="b">
        <v>1</v>
      </c>
      <c r="BC1104" s="76" t="b">
        <v>0</v>
      </c>
      <c r="BD1104" s="76" t="b">
        <v>0</v>
      </c>
      <c r="BE1104" s="76" t="b">
        <v>1</v>
      </c>
      <c r="BF1104" s="76" t="b">
        <v>0</v>
      </c>
      <c r="BG1104" s="76" t="b">
        <v>0</v>
      </c>
      <c r="BH1104" s="82" t="str">
        <f>HYPERLINK("https://pbs.twimg.com/profile_banners/277177609/1398686920")</f>
        <v>https://pbs.twimg.com/profile_banners/277177609/1398686920</v>
      </c>
      <c r="BI1104" s="76"/>
      <c r="BJ1104" s="76" t="s">
        <v>27595</v>
      </c>
      <c r="BK1104" s="76" t="b">
        <v>0</v>
      </c>
      <c r="BL1104" s="76"/>
      <c r="BM1104" s="76" t="s">
        <v>66</v>
      </c>
      <c r="BN1104" s="76" t="s">
        <v>27597</v>
      </c>
      <c r="BO1104" s="82" t="str">
        <f>HYPERLINK("https://twitter.com/edmarbertolo")</f>
        <v>https://twitter.com/edmarbertolo</v>
      </c>
      <c r="BP1104" s="2"/>
    </row>
    <row r="1105" spans="1:68" x14ac:dyDescent="0.25">
      <c r="A1105" s="62" t="s">
        <v>1027</v>
      </c>
      <c r="B1105" s="63"/>
      <c r="C1105" s="63"/>
      <c r="D1105" s="64"/>
      <c r="E1105" s="66"/>
      <c r="F1105" s="103" t="str">
        <f>HYPERLINK("https://pbs.twimg.com/profile_images/1431329453016326144/18-OJMe9_normal.jpg")</f>
        <v>https://pbs.twimg.com/profile_images/1431329453016326144/18-OJMe9_normal.jpg</v>
      </c>
      <c r="G1105" s="63"/>
      <c r="H1105" s="67"/>
      <c r="I1105" s="68"/>
      <c r="J1105" s="68"/>
      <c r="K1105" s="67" t="s">
        <v>28699</v>
      </c>
      <c r="L1105" s="71"/>
      <c r="M1105" s="72"/>
      <c r="N1105" s="72"/>
      <c r="O1105" s="73"/>
      <c r="P1105" s="74"/>
      <c r="Q1105" s="74"/>
      <c r="R1105" s="87"/>
      <c r="S1105" s="87"/>
      <c r="T1105" s="87"/>
      <c r="U1105" s="87"/>
      <c r="V1105" s="48"/>
      <c r="W1105" s="48"/>
      <c r="X1105" s="48"/>
      <c r="Y1105" s="48"/>
      <c r="Z1105" s="47"/>
      <c r="AA1105" s="69">
        <v>1105</v>
      </c>
      <c r="AB1105" s="69"/>
      <c r="AC1105" s="70"/>
      <c r="AD1105" s="76" t="s">
        <v>22328</v>
      </c>
      <c r="AE1105" s="81" t="s">
        <v>23647</v>
      </c>
      <c r="AF1105" s="76">
        <v>1405</v>
      </c>
      <c r="AG1105" s="76">
        <v>1664</v>
      </c>
      <c r="AH1105" s="76">
        <v>35491</v>
      </c>
      <c r="AI1105" s="76">
        <v>37</v>
      </c>
      <c r="AJ1105" s="76">
        <v>555</v>
      </c>
      <c r="AK1105" s="76">
        <v>15689</v>
      </c>
      <c r="AL1105" s="76" t="b">
        <v>0</v>
      </c>
      <c r="AM1105" s="78">
        <v>40328.793865740743</v>
      </c>
      <c r="AN1105" s="76" t="s">
        <v>14385</v>
      </c>
      <c r="AO1105" s="76" t="s">
        <v>25696</v>
      </c>
      <c r="AP1105" s="82" t="str">
        <f>HYPERLINK("https://t.co/RMQSTUgjB5")</f>
        <v>https://t.co/RMQSTUgjB5</v>
      </c>
      <c r="AQ1105" s="82" t="str">
        <f>HYPERLINK("https://www.asteriscos.tv/")</f>
        <v>https://www.asteriscos.tv/</v>
      </c>
      <c r="AR1105" s="76" t="s">
        <v>8791</v>
      </c>
      <c r="AS1105" s="76"/>
      <c r="AT1105" s="76"/>
      <c r="AU1105" s="76"/>
      <c r="AV1105" s="76"/>
      <c r="AW1105" s="82" t="str">
        <f>HYPERLINK("https://t.co/RMQSTUgjB5")</f>
        <v>https://t.co/RMQSTUgjB5</v>
      </c>
      <c r="AX1105" s="76" t="b">
        <v>0</v>
      </c>
      <c r="AY1105" s="76"/>
      <c r="AZ1105" s="76"/>
      <c r="BA1105" s="76" t="b">
        <v>0</v>
      </c>
      <c r="BB1105" s="76" t="b">
        <v>1</v>
      </c>
      <c r="BC1105" s="76" t="b">
        <v>0</v>
      </c>
      <c r="BD1105" s="76" t="b">
        <v>0</v>
      </c>
      <c r="BE1105" s="76" t="b">
        <v>1</v>
      </c>
      <c r="BF1105" s="76" t="b">
        <v>0</v>
      </c>
      <c r="BG1105" s="76" t="b">
        <v>0</v>
      </c>
      <c r="BH1105" s="82" t="str">
        <f>HYPERLINK("https://pbs.twimg.com/profile_banners/149982380/1552514111")</f>
        <v>https://pbs.twimg.com/profile_banners/149982380/1552514111</v>
      </c>
      <c r="BI1105" s="76"/>
      <c r="BJ1105" s="76" t="s">
        <v>27595</v>
      </c>
      <c r="BK1105" s="76" t="b">
        <v>0</v>
      </c>
      <c r="BL1105" s="76"/>
      <c r="BM1105" s="76" t="s">
        <v>66</v>
      </c>
      <c r="BN1105" s="76" t="s">
        <v>27597</v>
      </c>
      <c r="BO1105" s="82" t="str">
        <f>HYPERLINK("https://twitter.com/asteriscostv")</f>
        <v>https://twitter.com/asteriscostv</v>
      </c>
      <c r="BP1105" s="2"/>
    </row>
    <row r="1106" spans="1:68" x14ac:dyDescent="0.25">
      <c r="A1106" s="62" t="s">
        <v>1028</v>
      </c>
      <c r="B1106" s="63"/>
      <c r="C1106" s="63"/>
      <c r="D1106" s="64"/>
      <c r="E1106" s="66"/>
      <c r="F1106" s="103" t="str">
        <f>HYPERLINK("https://pbs.twimg.com/profile_images/1181922384653238278/KbB4V7Bi_normal.jpg")</f>
        <v>https://pbs.twimg.com/profile_images/1181922384653238278/KbB4V7Bi_normal.jpg</v>
      </c>
      <c r="G1106" s="63"/>
      <c r="H1106" s="67"/>
      <c r="I1106" s="68"/>
      <c r="J1106" s="68"/>
      <c r="K1106" s="67" t="s">
        <v>28700</v>
      </c>
      <c r="L1106" s="71"/>
      <c r="M1106" s="72"/>
      <c r="N1106" s="72"/>
      <c r="O1106" s="73"/>
      <c r="P1106" s="74"/>
      <c r="Q1106" s="74"/>
      <c r="R1106" s="87"/>
      <c r="S1106" s="87"/>
      <c r="T1106" s="87"/>
      <c r="U1106" s="87"/>
      <c r="V1106" s="48"/>
      <c r="W1106" s="48"/>
      <c r="X1106" s="48"/>
      <c r="Y1106" s="48"/>
      <c r="Z1106" s="47"/>
      <c r="AA1106" s="69">
        <v>1106</v>
      </c>
      <c r="AB1106" s="69"/>
      <c r="AC1106" s="70"/>
      <c r="AD1106" s="76" t="s">
        <v>22329</v>
      </c>
      <c r="AE1106" s="81" t="s">
        <v>20887</v>
      </c>
      <c r="AF1106" s="76">
        <v>1679</v>
      </c>
      <c r="AG1106" s="76">
        <v>3</v>
      </c>
      <c r="AH1106" s="76">
        <v>6032</v>
      </c>
      <c r="AI1106" s="76">
        <v>16</v>
      </c>
      <c r="AJ1106" s="76">
        <v>88</v>
      </c>
      <c r="AK1106" s="76">
        <v>5749</v>
      </c>
      <c r="AL1106" s="76" t="b">
        <v>0</v>
      </c>
      <c r="AM1106" s="78">
        <v>43728.689305555556</v>
      </c>
      <c r="AN1106" s="76"/>
      <c r="AO1106" s="76" t="s">
        <v>25697</v>
      </c>
      <c r="AP1106" s="82" t="str">
        <f>HYPERLINK("https://t.co/Ccr9tRoAGQ")</f>
        <v>https://t.co/Ccr9tRoAGQ</v>
      </c>
      <c r="AQ1106" s="82" t="str">
        <f>HYPERLINK("https://aterraeredonda.com.br/")</f>
        <v>https://aterraeredonda.com.br/</v>
      </c>
      <c r="AR1106" s="76" t="s">
        <v>26952</v>
      </c>
      <c r="AS1106" s="76" t="s">
        <v>27386</v>
      </c>
      <c r="AT1106" s="76" t="s">
        <v>27425</v>
      </c>
      <c r="AU1106" s="76" t="s">
        <v>27525</v>
      </c>
      <c r="AV1106" s="76"/>
      <c r="AW1106" s="82" t="str">
        <f>HYPERLINK("https://t.co/Ccr9tRoAGQ")</f>
        <v>https://t.co/Ccr9tRoAGQ</v>
      </c>
      <c r="AX1106" s="76" t="b">
        <v>0</v>
      </c>
      <c r="AY1106" s="76"/>
      <c r="AZ1106" s="76"/>
      <c r="BA1106" s="76" t="b">
        <v>0</v>
      </c>
      <c r="BB1106" s="76" t="b">
        <v>1</v>
      </c>
      <c r="BC1106" s="76" t="b">
        <v>1</v>
      </c>
      <c r="BD1106" s="76" t="b">
        <v>0</v>
      </c>
      <c r="BE1106" s="76" t="b">
        <v>0</v>
      </c>
      <c r="BF1106" s="76" t="b">
        <v>0</v>
      </c>
      <c r="BG1106" s="76" t="b">
        <v>0</v>
      </c>
      <c r="BH1106" s="82" t="str">
        <f>HYPERLINK("https://pbs.twimg.com/profile_banners/1175085306552496128/1586889633")</f>
        <v>https://pbs.twimg.com/profile_banners/1175085306552496128/1586889633</v>
      </c>
      <c r="BI1106" s="76"/>
      <c r="BJ1106" s="76" t="s">
        <v>27595</v>
      </c>
      <c r="BK1106" s="76" t="b">
        <v>0</v>
      </c>
      <c r="BL1106" s="76"/>
      <c r="BM1106" s="76" t="s">
        <v>66</v>
      </c>
      <c r="BN1106" s="76" t="s">
        <v>27597</v>
      </c>
      <c r="BO1106" s="82" t="str">
        <f>HYPERLINK("https://twitter.com/aterraredonda1")</f>
        <v>https://twitter.com/aterraredonda1</v>
      </c>
      <c r="BP1106" s="2"/>
    </row>
    <row r="1107" spans="1:68" x14ac:dyDescent="0.25">
      <c r="A1107" s="62" t="s">
        <v>1029</v>
      </c>
      <c r="B1107" s="63"/>
      <c r="C1107" s="63"/>
      <c r="D1107" s="64"/>
      <c r="E1107" s="66"/>
      <c r="F1107" s="103" t="str">
        <f>HYPERLINK("https://pbs.twimg.com/profile_images/1672396360832937984/mN7vjGgj_normal.jpg")</f>
        <v>https://pbs.twimg.com/profile_images/1672396360832937984/mN7vjGgj_normal.jpg</v>
      </c>
      <c r="G1107" s="63"/>
      <c r="H1107" s="67"/>
      <c r="I1107" s="68"/>
      <c r="J1107" s="68"/>
      <c r="K1107" s="67" t="s">
        <v>28701</v>
      </c>
      <c r="L1107" s="71"/>
      <c r="M1107" s="72"/>
      <c r="N1107" s="72"/>
      <c r="O1107" s="73"/>
      <c r="P1107" s="74"/>
      <c r="Q1107" s="74"/>
      <c r="R1107" s="87"/>
      <c r="S1107" s="87"/>
      <c r="T1107" s="87"/>
      <c r="U1107" s="87"/>
      <c r="V1107" s="48"/>
      <c r="W1107" s="48"/>
      <c r="X1107" s="48"/>
      <c r="Y1107" s="48"/>
      <c r="Z1107" s="47"/>
      <c r="AA1107" s="69">
        <v>1107</v>
      </c>
      <c r="AB1107" s="69"/>
      <c r="AC1107" s="70"/>
      <c r="AD1107" s="76" t="s">
        <v>22330</v>
      </c>
      <c r="AE1107" s="81" t="s">
        <v>20888</v>
      </c>
      <c r="AF1107" s="76">
        <v>18992</v>
      </c>
      <c r="AG1107" s="76">
        <v>6920</v>
      </c>
      <c r="AH1107" s="76">
        <v>5992</v>
      </c>
      <c r="AI1107" s="76">
        <v>21</v>
      </c>
      <c r="AJ1107" s="76">
        <v>1185</v>
      </c>
      <c r="AK1107" s="76">
        <v>2814</v>
      </c>
      <c r="AL1107" s="76" t="b">
        <v>0</v>
      </c>
      <c r="AM1107" s="78">
        <v>43689.181516203702</v>
      </c>
      <c r="AN1107" s="76" t="s">
        <v>14386</v>
      </c>
      <c r="AO1107" s="76" t="s">
        <v>25698</v>
      </c>
      <c r="AP1107" s="82" t="str">
        <f>HYPERLINK("https://t.co/G9XnPqWcHb")</f>
        <v>https://t.co/G9XnPqWcHb</v>
      </c>
      <c r="AQ1107" s="82" t="str">
        <f>HYPERLINK("http://www.eleccionespresidencialeschile.cl")</f>
        <v>http://www.eleccionespresidencialeschile.cl</v>
      </c>
      <c r="AR1107" s="76" t="s">
        <v>8792</v>
      </c>
      <c r="AS1107" s="76"/>
      <c r="AT1107" s="76"/>
      <c r="AU1107" s="76"/>
      <c r="AV1107" s="76"/>
      <c r="AW1107" s="82" t="str">
        <f>HYPERLINK("https://t.co/G9XnPqWcHb")</f>
        <v>https://t.co/G9XnPqWcHb</v>
      </c>
      <c r="AX1107" s="76" t="b">
        <v>0</v>
      </c>
      <c r="AY1107" s="76"/>
      <c r="AZ1107" s="76"/>
      <c r="BA1107" s="76" t="b">
        <v>1</v>
      </c>
      <c r="BB1107" s="76" t="b">
        <v>0</v>
      </c>
      <c r="BC1107" s="76" t="b">
        <v>1</v>
      </c>
      <c r="BD1107" s="76" t="b">
        <v>0</v>
      </c>
      <c r="BE1107" s="76" t="b">
        <v>0</v>
      </c>
      <c r="BF1107" s="76" t="b">
        <v>0</v>
      </c>
      <c r="BG1107" s="76" t="b">
        <v>0</v>
      </c>
      <c r="BH1107" s="82" t="str">
        <f>HYPERLINK("https://pbs.twimg.com/profile_banners/1160768217721331713/1687720698")</f>
        <v>https://pbs.twimg.com/profile_banners/1160768217721331713/1687720698</v>
      </c>
      <c r="BI1107" s="76"/>
      <c r="BJ1107" s="76" t="s">
        <v>27595</v>
      </c>
      <c r="BK1107" s="76" t="b">
        <v>0</v>
      </c>
      <c r="BL1107" s="76"/>
      <c r="BM1107" s="76" t="s">
        <v>66</v>
      </c>
      <c r="BN1107" s="76" t="s">
        <v>27597</v>
      </c>
      <c r="BO1107" s="82" t="str">
        <f>HYPERLINK("https://twitter.com/epch_oficial")</f>
        <v>https://twitter.com/epch_oficial</v>
      </c>
      <c r="BP1107" s="2"/>
    </row>
    <row r="1108" spans="1:68" x14ac:dyDescent="0.25">
      <c r="A1108" s="62" t="s">
        <v>1030</v>
      </c>
      <c r="B1108" s="63"/>
      <c r="C1108" s="63"/>
      <c r="D1108" s="64"/>
      <c r="E1108" s="66"/>
      <c r="F1108" s="103" t="str">
        <f>HYPERLINK("https://pbs.twimg.com/profile_images/1587058602585595905/UY93Au9-_normal.jpg")</f>
        <v>https://pbs.twimg.com/profile_images/1587058602585595905/UY93Au9-_normal.jpg</v>
      </c>
      <c r="G1108" s="63"/>
      <c r="H1108" s="67"/>
      <c r="I1108" s="68"/>
      <c r="J1108" s="68"/>
      <c r="K1108" s="67" t="s">
        <v>28702</v>
      </c>
      <c r="L1108" s="71"/>
      <c r="M1108" s="72"/>
      <c r="N1108" s="72"/>
      <c r="O1108" s="73"/>
      <c r="P1108" s="74"/>
      <c r="Q1108" s="74"/>
      <c r="R1108" s="87"/>
      <c r="S1108" s="87"/>
      <c r="T1108" s="87"/>
      <c r="U1108" s="87"/>
      <c r="V1108" s="48"/>
      <c r="W1108" s="48"/>
      <c r="X1108" s="48"/>
      <c r="Y1108" s="48"/>
      <c r="Z1108" s="47"/>
      <c r="AA1108" s="69">
        <v>1108</v>
      </c>
      <c r="AB1108" s="69"/>
      <c r="AC1108" s="70"/>
      <c r="AD1108" s="76" t="s">
        <v>22331</v>
      </c>
      <c r="AE1108" s="81" t="s">
        <v>20889</v>
      </c>
      <c r="AF1108" s="76">
        <v>2839</v>
      </c>
      <c r="AG1108" s="76">
        <v>4676</v>
      </c>
      <c r="AH1108" s="76">
        <v>629</v>
      </c>
      <c r="AI1108" s="76">
        <v>1</v>
      </c>
      <c r="AJ1108" s="76">
        <v>327</v>
      </c>
      <c r="AK1108" s="76">
        <v>41</v>
      </c>
      <c r="AL1108" s="76" t="b">
        <v>0</v>
      </c>
      <c r="AM1108" s="78">
        <v>44431.090358796297</v>
      </c>
      <c r="AN1108" s="76" t="s">
        <v>24469</v>
      </c>
      <c r="AO1108" s="76" t="s">
        <v>25699</v>
      </c>
      <c r="AP1108" s="82" t="str">
        <f>HYPERLINK("https://t.co/v4IIMMcwH8")</f>
        <v>https://t.co/v4IIMMcwH8</v>
      </c>
      <c r="AQ1108" s="82" t="str">
        <f>HYPERLINK("https://suplecred.com.br/")</f>
        <v>https://suplecred.com.br/</v>
      </c>
      <c r="AR1108" s="76" t="s">
        <v>26953</v>
      </c>
      <c r="AS1108" s="76"/>
      <c r="AT1108" s="76"/>
      <c r="AU1108" s="76"/>
      <c r="AV1108" s="76">
        <v>1.6961136772192901E+18</v>
      </c>
      <c r="AW1108" s="82" t="str">
        <f>HYPERLINK("https://t.co/v4IIMMcwH8")</f>
        <v>https://t.co/v4IIMMcwH8</v>
      </c>
      <c r="AX1108" s="76" t="b">
        <v>1</v>
      </c>
      <c r="AY1108" s="76"/>
      <c r="AZ1108" s="76"/>
      <c r="BA1108" s="76" t="b">
        <v>1</v>
      </c>
      <c r="BB1108" s="76" t="b">
        <v>1</v>
      </c>
      <c r="BC1108" s="76" t="b">
        <v>1</v>
      </c>
      <c r="BD1108" s="76" t="b">
        <v>0</v>
      </c>
      <c r="BE1108" s="76" t="b">
        <v>0</v>
      </c>
      <c r="BF1108" s="76" t="b">
        <v>0</v>
      </c>
      <c r="BG1108" s="76" t="b">
        <v>0</v>
      </c>
      <c r="BH1108" s="82" t="str">
        <f>HYPERLINK("https://pbs.twimg.com/profile_banners/1429626838721208320/1667219235")</f>
        <v>https://pbs.twimg.com/profile_banners/1429626838721208320/1667219235</v>
      </c>
      <c r="BI1108" s="76"/>
      <c r="BJ1108" s="76" t="s">
        <v>27595</v>
      </c>
      <c r="BK1108" s="76" t="b">
        <v>0</v>
      </c>
      <c r="BL1108" s="76"/>
      <c r="BM1108" s="76" t="s">
        <v>66</v>
      </c>
      <c r="BN1108" s="76" t="s">
        <v>27597</v>
      </c>
      <c r="BO1108" s="82" t="str">
        <f>HYPERLINK("https://twitter.com/adilson900")</f>
        <v>https://twitter.com/adilson900</v>
      </c>
      <c r="BP1108" s="2"/>
    </row>
    <row r="1109" spans="1:68" x14ac:dyDescent="0.25">
      <c r="A1109" s="62" t="s">
        <v>1031</v>
      </c>
      <c r="B1109" s="63"/>
      <c r="C1109" s="63"/>
      <c r="D1109" s="64"/>
      <c r="E1109" s="66"/>
      <c r="F1109" s="103" t="str">
        <f>HYPERLINK("https://pbs.twimg.com/profile_images/1690060876651405312/OlUgE2QI_normal.jpg")</f>
        <v>https://pbs.twimg.com/profile_images/1690060876651405312/OlUgE2QI_normal.jpg</v>
      </c>
      <c r="G1109" s="63"/>
      <c r="H1109" s="67"/>
      <c r="I1109" s="68"/>
      <c r="J1109" s="68"/>
      <c r="K1109" s="67" t="s">
        <v>28703</v>
      </c>
      <c r="L1109" s="71"/>
      <c r="M1109" s="72"/>
      <c r="N1109" s="72"/>
      <c r="O1109" s="73"/>
      <c r="P1109" s="74"/>
      <c r="Q1109" s="74"/>
      <c r="R1109" s="87"/>
      <c r="S1109" s="87"/>
      <c r="T1109" s="87"/>
      <c r="U1109" s="87"/>
      <c r="V1109" s="48"/>
      <c r="W1109" s="48"/>
      <c r="X1109" s="48"/>
      <c r="Y1109" s="48"/>
      <c r="Z1109" s="47"/>
      <c r="AA1109" s="69">
        <v>1109</v>
      </c>
      <c r="AB1109" s="69"/>
      <c r="AC1109" s="70"/>
      <c r="AD1109" s="76" t="s">
        <v>22332</v>
      </c>
      <c r="AE1109" s="81" t="s">
        <v>23648</v>
      </c>
      <c r="AF1109" s="76">
        <v>1273</v>
      </c>
      <c r="AG1109" s="76">
        <v>1684</v>
      </c>
      <c r="AH1109" s="76">
        <v>2859</v>
      </c>
      <c r="AI1109" s="76">
        <v>10</v>
      </c>
      <c r="AJ1109" s="76">
        <v>3100</v>
      </c>
      <c r="AK1109" s="76">
        <v>777</v>
      </c>
      <c r="AL1109" s="76" t="b">
        <v>0</v>
      </c>
      <c r="AM1109" s="78">
        <v>41031.920335648145</v>
      </c>
      <c r="AN1109" s="76" t="s">
        <v>24470</v>
      </c>
      <c r="AO1109" s="76" t="s">
        <v>25700</v>
      </c>
      <c r="AP1109" s="82" t="str">
        <f>HYPERLINK("https://t.co/Yef8QL3f2K")</f>
        <v>https://t.co/Yef8QL3f2K</v>
      </c>
      <c r="AQ1109" s="82" t="str">
        <f>HYPERLINK("http://www.dagri.com.ar")</f>
        <v>http://www.dagri.com.ar</v>
      </c>
      <c r="AR1109" s="76" t="s">
        <v>26954</v>
      </c>
      <c r="AS1109" s="76"/>
      <c r="AT1109" s="76"/>
      <c r="AU1109" s="76"/>
      <c r="AV1109" s="76"/>
      <c r="AW1109" s="82" t="str">
        <f>HYPERLINK("https://t.co/Yef8QL3f2K")</f>
        <v>https://t.co/Yef8QL3f2K</v>
      </c>
      <c r="AX1109" s="76" t="b">
        <v>0</v>
      </c>
      <c r="AY1109" s="76"/>
      <c r="AZ1109" s="76"/>
      <c r="BA1109" s="76" t="b">
        <v>0</v>
      </c>
      <c r="BB1109" s="76" t="b">
        <v>1</v>
      </c>
      <c r="BC1109" s="76" t="b">
        <v>1</v>
      </c>
      <c r="BD1109" s="76" t="b">
        <v>0</v>
      </c>
      <c r="BE1109" s="76" t="b">
        <v>0</v>
      </c>
      <c r="BF1109" s="76" t="b">
        <v>0</v>
      </c>
      <c r="BG1109" s="76" t="b">
        <v>0</v>
      </c>
      <c r="BH1109" s="82" t="str">
        <f>HYPERLINK("https://pbs.twimg.com/profile_banners/569461337/1691776889")</f>
        <v>https://pbs.twimg.com/profile_banners/569461337/1691776889</v>
      </c>
      <c r="BI1109" s="76"/>
      <c r="BJ1109" s="76" t="s">
        <v>27595</v>
      </c>
      <c r="BK1109" s="76" t="b">
        <v>0</v>
      </c>
      <c r="BL1109" s="76"/>
      <c r="BM1109" s="76" t="s">
        <v>66</v>
      </c>
      <c r="BN1109" s="76" t="s">
        <v>27597</v>
      </c>
      <c r="BO1109" s="82" t="str">
        <f>HYPERLINK("https://twitter.com/danielgriboff")</f>
        <v>https://twitter.com/danielgriboff</v>
      </c>
      <c r="BP1109" s="2"/>
    </row>
    <row r="1110" spans="1:68" x14ac:dyDescent="0.25">
      <c r="A1110" s="62" t="s">
        <v>1032</v>
      </c>
      <c r="B1110" s="63"/>
      <c r="C1110" s="63"/>
      <c r="D1110" s="64"/>
      <c r="E1110" s="66"/>
      <c r="F1110" s="103" t="str">
        <f>HYPERLINK("https://pbs.twimg.com/profile_images/1334211682235768834/iQOE8aBe_normal.jpg")</f>
        <v>https://pbs.twimg.com/profile_images/1334211682235768834/iQOE8aBe_normal.jpg</v>
      </c>
      <c r="G1110" s="63"/>
      <c r="H1110" s="67"/>
      <c r="I1110" s="68"/>
      <c r="J1110" s="68"/>
      <c r="K1110" s="67" t="s">
        <v>28704</v>
      </c>
      <c r="L1110" s="71"/>
      <c r="M1110" s="72"/>
      <c r="N1110" s="72"/>
      <c r="O1110" s="73"/>
      <c r="P1110" s="74"/>
      <c r="Q1110" s="74"/>
      <c r="R1110" s="87"/>
      <c r="S1110" s="87"/>
      <c r="T1110" s="87"/>
      <c r="U1110" s="87"/>
      <c r="V1110" s="48"/>
      <c r="W1110" s="48"/>
      <c r="X1110" s="48"/>
      <c r="Y1110" s="48"/>
      <c r="Z1110" s="47"/>
      <c r="AA1110" s="69">
        <v>1110</v>
      </c>
      <c r="AB1110" s="69"/>
      <c r="AC1110" s="70"/>
      <c r="AD1110" s="76" t="s">
        <v>22333</v>
      </c>
      <c r="AE1110" s="81" t="s">
        <v>23649</v>
      </c>
      <c r="AF1110" s="76">
        <v>83711</v>
      </c>
      <c r="AG1110" s="76">
        <v>330</v>
      </c>
      <c r="AH1110" s="76">
        <v>47080</v>
      </c>
      <c r="AI1110" s="76">
        <v>409</v>
      </c>
      <c r="AJ1110" s="76">
        <v>250</v>
      </c>
      <c r="AK1110" s="76">
        <v>32003</v>
      </c>
      <c r="AL1110" s="76" t="b">
        <v>0</v>
      </c>
      <c r="AM1110" s="78">
        <v>40969.578483796293</v>
      </c>
      <c r="AN1110" s="76"/>
      <c r="AO1110" s="76" t="s">
        <v>25701</v>
      </c>
      <c r="AP1110" s="82" t="str">
        <f>HYPERLINK("https://t.co/jDvoGHSjb7")</f>
        <v>https://t.co/jDvoGHSjb7</v>
      </c>
      <c r="AQ1110" s="82" t="str">
        <f>HYPERLINK("http://www.forbes.com.br")</f>
        <v>http://www.forbes.com.br</v>
      </c>
      <c r="AR1110" s="76" t="s">
        <v>26955</v>
      </c>
      <c r="AS1110" s="76"/>
      <c r="AT1110" s="76"/>
      <c r="AU1110" s="76"/>
      <c r="AV1110" s="76"/>
      <c r="AW1110" s="82" t="str">
        <f>HYPERLINK("https://t.co/jDvoGHSjb7")</f>
        <v>https://t.co/jDvoGHSjb7</v>
      </c>
      <c r="AX1110" s="76" t="b">
        <v>1</v>
      </c>
      <c r="AY1110" s="76"/>
      <c r="AZ1110" s="76"/>
      <c r="BA1110" s="76" t="b">
        <v>0</v>
      </c>
      <c r="BB1110" s="76" t="b">
        <v>1</v>
      </c>
      <c r="BC1110" s="76" t="b">
        <v>0</v>
      </c>
      <c r="BD1110" s="76" t="b">
        <v>0</v>
      </c>
      <c r="BE1110" s="76" t="b">
        <v>0</v>
      </c>
      <c r="BF1110" s="76" t="b">
        <v>0</v>
      </c>
      <c r="BG1110" s="76" t="b">
        <v>0</v>
      </c>
      <c r="BH1110" s="82" t="str">
        <f>HYPERLINK("https://pbs.twimg.com/profile_banners/510272910/1626215556")</f>
        <v>https://pbs.twimg.com/profile_banners/510272910/1626215556</v>
      </c>
      <c r="BI1110" s="76"/>
      <c r="BJ1110" s="76" t="s">
        <v>27595</v>
      </c>
      <c r="BK1110" s="76" t="b">
        <v>0</v>
      </c>
      <c r="BL1110" s="76"/>
      <c r="BM1110" s="76" t="s">
        <v>66</v>
      </c>
      <c r="BN1110" s="76" t="s">
        <v>27597</v>
      </c>
      <c r="BO1110" s="82" t="str">
        <f>HYPERLINK("https://twitter.com/forbesbr")</f>
        <v>https://twitter.com/forbesbr</v>
      </c>
      <c r="BP1110" s="2"/>
    </row>
    <row r="1111" spans="1:68" x14ac:dyDescent="0.25">
      <c r="A1111" s="62" t="s">
        <v>1033</v>
      </c>
      <c r="B1111" s="63"/>
      <c r="C1111" s="63"/>
      <c r="D1111" s="64"/>
      <c r="E1111" s="66"/>
      <c r="F1111" s="103" t="str">
        <f>HYPERLINK("https://pbs.twimg.com/profile_images/1636389925687005186/Q5OjT0Ul_normal.jpg")</f>
        <v>https://pbs.twimg.com/profile_images/1636389925687005186/Q5OjT0Ul_normal.jpg</v>
      </c>
      <c r="G1111" s="63"/>
      <c r="H1111" s="67"/>
      <c r="I1111" s="68"/>
      <c r="J1111" s="68"/>
      <c r="K1111" s="67" t="s">
        <v>28705</v>
      </c>
      <c r="L1111" s="71"/>
      <c r="M1111" s="72"/>
      <c r="N1111" s="72"/>
      <c r="O1111" s="73"/>
      <c r="P1111" s="74"/>
      <c r="Q1111" s="74"/>
      <c r="R1111" s="87"/>
      <c r="S1111" s="87"/>
      <c r="T1111" s="87"/>
      <c r="U1111" s="87"/>
      <c r="V1111" s="48"/>
      <c r="W1111" s="48"/>
      <c r="X1111" s="48"/>
      <c r="Y1111" s="48"/>
      <c r="Z1111" s="47"/>
      <c r="AA1111" s="69">
        <v>1111</v>
      </c>
      <c r="AB1111" s="69"/>
      <c r="AC1111" s="70"/>
      <c r="AD1111" s="76" t="s">
        <v>22334</v>
      </c>
      <c r="AE1111" s="81" t="s">
        <v>20890</v>
      </c>
      <c r="AF1111" s="76">
        <v>438</v>
      </c>
      <c r="AG1111" s="76">
        <v>181</v>
      </c>
      <c r="AH1111" s="76">
        <v>2533</v>
      </c>
      <c r="AI1111" s="76">
        <v>1</v>
      </c>
      <c r="AJ1111" s="76">
        <v>1724</v>
      </c>
      <c r="AK1111" s="76">
        <v>871</v>
      </c>
      <c r="AL1111" s="76" t="b">
        <v>0</v>
      </c>
      <c r="AM1111" s="78">
        <v>43515.96429398148</v>
      </c>
      <c r="AN1111" s="76" t="s">
        <v>14385</v>
      </c>
      <c r="AO1111" s="76" t="s">
        <v>25702</v>
      </c>
      <c r="AP1111" s="82" t="str">
        <f>HYPERLINK("https://t.co/bqEQjg9YqA")</f>
        <v>https://t.co/bqEQjg9YqA</v>
      </c>
      <c r="AQ1111" s="82" t="str">
        <f>HYPERLINK("https://linktr.ee/conexionparques")</f>
        <v>https://linktr.ee/conexionparques</v>
      </c>
      <c r="AR1111" s="76" t="s">
        <v>26956</v>
      </c>
      <c r="AS1111" s="76"/>
      <c r="AT1111" s="76"/>
      <c r="AU1111" s="76"/>
      <c r="AV1111" s="76"/>
      <c r="AW1111" s="82" t="str">
        <f>HYPERLINK("https://t.co/bqEQjg9YqA")</f>
        <v>https://t.co/bqEQjg9YqA</v>
      </c>
      <c r="AX1111" s="76" t="b">
        <v>0</v>
      </c>
      <c r="AY1111" s="76"/>
      <c r="AZ1111" s="76"/>
      <c r="BA1111" s="76" t="b">
        <v>0</v>
      </c>
      <c r="BB1111" s="76" t="b">
        <v>1</v>
      </c>
      <c r="BC1111" s="76" t="b">
        <v>1</v>
      </c>
      <c r="BD1111" s="76" t="b">
        <v>0</v>
      </c>
      <c r="BE1111" s="76" t="b">
        <v>1</v>
      </c>
      <c r="BF1111" s="76" t="b">
        <v>0</v>
      </c>
      <c r="BG1111" s="76" t="b">
        <v>0</v>
      </c>
      <c r="BH1111" s="82" t="str">
        <f>HYPERLINK("https://pbs.twimg.com/profile_banners/1097996397842960386/1678717972")</f>
        <v>https://pbs.twimg.com/profile_banners/1097996397842960386/1678717972</v>
      </c>
      <c r="BI1111" s="76"/>
      <c r="BJ1111" s="76" t="s">
        <v>27595</v>
      </c>
      <c r="BK1111" s="76" t="b">
        <v>0</v>
      </c>
      <c r="BL1111" s="76"/>
      <c r="BM1111" s="76" t="s">
        <v>66</v>
      </c>
      <c r="BN1111" s="76" t="s">
        <v>27597</v>
      </c>
      <c r="BO1111" s="82" t="str">
        <f>HYPERLINK("https://twitter.com/conexionparques")</f>
        <v>https://twitter.com/conexionparques</v>
      </c>
      <c r="BP1111" s="2"/>
    </row>
    <row r="1112" spans="1:68" x14ac:dyDescent="0.25">
      <c r="A1112" s="62" t="s">
        <v>1945</v>
      </c>
      <c r="B1112" s="63"/>
      <c r="C1112" s="63"/>
      <c r="D1112" s="64"/>
      <c r="E1112" s="66"/>
      <c r="F1112" s="103" t="str">
        <f>HYPERLINK("https://pbs.twimg.com/profile_images/1444980645868998660/8soVrtfK_normal.jpg")</f>
        <v>https://pbs.twimg.com/profile_images/1444980645868998660/8soVrtfK_normal.jpg</v>
      </c>
      <c r="G1112" s="63"/>
      <c r="H1112" s="67"/>
      <c r="I1112" s="68"/>
      <c r="J1112" s="68"/>
      <c r="K1112" s="67" t="s">
        <v>28706</v>
      </c>
      <c r="L1112" s="71"/>
      <c r="M1112" s="72"/>
      <c r="N1112" s="72"/>
      <c r="O1112" s="73"/>
      <c r="P1112" s="74"/>
      <c r="Q1112" s="74"/>
      <c r="R1112" s="87"/>
      <c r="S1112" s="87"/>
      <c r="T1112" s="87"/>
      <c r="U1112" s="87"/>
      <c r="V1112" s="48"/>
      <c r="W1112" s="48"/>
      <c r="X1112" s="48"/>
      <c r="Y1112" s="48"/>
      <c r="Z1112" s="47"/>
      <c r="AA1112" s="69">
        <v>1112</v>
      </c>
      <c r="AB1112" s="69"/>
      <c r="AC1112" s="70"/>
      <c r="AD1112" s="76" t="s">
        <v>22335</v>
      </c>
      <c r="AE1112" s="81" t="s">
        <v>23650</v>
      </c>
      <c r="AF1112" s="76">
        <v>77754</v>
      </c>
      <c r="AG1112" s="76">
        <v>7678</v>
      </c>
      <c r="AH1112" s="76">
        <v>83178</v>
      </c>
      <c r="AI1112" s="76">
        <v>98</v>
      </c>
      <c r="AJ1112" s="76">
        <v>1812</v>
      </c>
      <c r="AK1112" s="76">
        <v>5048</v>
      </c>
      <c r="AL1112" s="76" t="b">
        <v>0</v>
      </c>
      <c r="AM1112" s="78">
        <v>41128.516365740739</v>
      </c>
      <c r="AN1112" s="76" t="s">
        <v>14385</v>
      </c>
      <c r="AO1112" s="76" t="s">
        <v>25703</v>
      </c>
      <c r="AP1112" s="82" t="str">
        <f>HYPERLINK("https://t.co/ufz85O9Ikk")</f>
        <v>https://t.co/ufz85O9Ikk</v>
      </c>
      <c r="AQ1112" s="82" t="str">
        <f>HYPERLINK("http://www.bancoprovincia.com.ar")</f>
        <v>http://www.bancoprovincia.com.ar</v>
      </c>
      <c r="AR1112" s="76" t="s">
        <v>26957</v>
      </c>
      <c r="AS1112" s="76" t="s">
        <v>27387</v>
      </c>
      <c r="AT1112" s="76" t="s">
        <v>27426</v>
      </c>
      <c r="AU1112" s="76" t="s">
        <v>27526</v>
      </c>
      <c r="AV1112" s="76">
        <v>1.68166272800643E+18</v>
      </c>
      <c r="AW1112" s="82" t="str">
        <f>HYPERLINK("https://t.co/ufz85O9Ikk")</f>
        <v>https://t.co/ufz85O9Ikk</v>
      </c>
      <c r="AX1112" s="76" t="b">
        <v>0</v>
      </c>
      <c r="AY1112" s="76"/>
      <c r="AZ1112" s="76"/>
      <c r="BA1112" s="76" t="b">
        <v>1</v>
      </c>
      <c r="BB1112" s="76" t="b">
        <v>0</v>
      </c>
      <c r="BC1112" s="76" t="b">
        <v>0</v>
      </c>
      <c r="BD1112" s="76" t="b">
        <v>0</v>
      </c>
      <c r="BE1112" s="76" t="b">
        <v>0</v>
      </c>
      <c r="BF1112" s="76" t="b">
        <v>0</v>
      </c>
      <c r="BG1112" s="76" t="b">
        <v>0</v>
      </c>
      <c r="BH1112" s="82" t="str">
        <f>HYPERLINK("https://pbs.twimg.com/profile_banners/742800091/1695223283")</f>
        <v>https://pbs.twimg.com/profile_banners/742800091/1695223283</v>
      </c>
      <c r="BI1112" s="76"/>
      <c r="BJ1112" s="76" t="s">
        <v>27595</v>
      </c>
      <c r="BK1112" s="76" t="b">
        <v>0</v>
      </c>
      <c r="BL1112" s="76"/>
      <c r="BM1112" s="76" t="s">
        <v>65</v>
      </c>
      <c r="BN1112" s="76" t="s">
        <v>27597</v>
      </c>
      <c r="BO1112" s="82" t="str">
        <f>HYPERLINK("https://twitter.com/bancoprovincia")</f>
        <v>https://twitter.com/bancoprovincia</v>
      </c>
      <c r="BP1112" s="2"/>
    </row>
    <row r="1113" spans="1:68" x14ac:dyDescent="0.25">
      <c r="A1113" s="62" t="s">
        <v>1034</v>
      </c>
      <c r="B1113" s="63"/>
      <c r="C1113" s="63"/>
      <c r="D1113" s="64"/>
      <c r="E1113" s="66"/>
      <c r="F1113" s="103" t="str">
        <f>HYPERLINK("https://pbs.twimg.com/profile_images/1351582681264496640/nVrkxzE1_normal.jpg")</f>
        <v>https://pbs.twimg.com/profile_images/1351582681264496640/nVrkxzE1_normal.jpg</v>
      </c>
      <c r="G1113" s="63"/>
      <c r="H1113" s="67"/>
      <c r="I1113" s="68"/>
      <c r="J1113" s="68"/>
      <c r="K1113" s="67" t="s">
        <v>28707</v>
      </c>
      <c r="L1113" s="71"/>
      <c r="M1113" s="72"/>
      <c r="N1113" s="72"/>
      <c r="O1113" s="73"/>
      <c r="P1113" s="74"/>
      <c r="Q1113" s="74"/>
      <c r="R1113" s="87"/>
      <c r="S1113" s="87"/>
      <c r="T1113" s="87"/>
      <c r="U1113" s="87"/>
      <c r="V1113" s="48"/>
      <c r="W1113" s="48"/>
      <c r="X1113" s="48"/>
      <c r="Y1113" s="48"/>
      <c r="Z1113" s="47"/>
      <c r="AA1113" s="69">
        <v>1113</v>
      </c>
      <c r="AB1113" s="69"/>
      <c r="AC1113" s="70"/>
      <c r="AD1113" s="76" t="s">
        <v>22336</v>
      </c>
      <c r="AE1113" s="81" t="s">
        <v>23651</v>
      </c>
      <c r="AF1113" s="76">
        <v>20429</v>
      </c>
      <c r="AG1113" s="76">
        <v>149</v>
      </c>
      <c r="AH1113" s="76">
        <v>2579</v>
      </c>
      <c r="AI1113" s="76">
        <v>78</v>
      </c>
      <c r="AJ1113" s="76">
        <v>587</v>
      </c>
      <c r="AK1113" s="76">
        <v>1371</v>
      </c>
      <c r="AL1113" s="76" t="b">
        <v>0</v>
      </c>
      <c r="AM1113" s="78">
        <v>39955.440497685187</v>
      </c>
      <c r="AN1113" s="76" t="s">
        <v>24471</v>
      </c>
      <c r="AO1113" s="76" t="s">
        <v>25704</v>
      </c>
      <c r="AP1113" s="82" t="str">
        <f>HYPERLINK("https://t.co/bqAmXM06lH")</f>
        <v>https://t.co/bqAmXM06lH</v>
      </c>
      <c r="AQ1113" s="82" t="str">
        <f>HYPERLINK("http://instagram.com/eoinegue")</f>
        <v>http://instagram.com/eoinegue</v>
      </c>
      <c r="AR1113" s="76" t="s">
        <v>26958</v>
      </c>
      <c r="AS1113" s="76"/>
      <c r="AT1113" s="76"/>
      <c r="AU1113" s="76"/>
      <c r="AV1113" s="76"/>
      <c r="AW1113" s="82" t="str">
        <f>HYPERLINK("https://t.co/bqAmXM06lH")</f>
        <v>https://t.co/bqAmXM06lH</v>
      </c>
      <c r="AX1113" s="76" t="b">
        <v>0</v>
      </c>
      <c r="AY1113" s="76"/>
      <c r="AZ1113" s="76"/>
      <c r="BA1113" s="76" t="b">
        <v>0</v>
      </c>
      <c r="BB1113" s="76" t="b">
        <v>1</v>
      </c>
      <c r="BC1113" s="76" t="b">
        <v>1</v>
      </c>
      <c r="BD1113" s="76" t="b">
        <v>0</v>
      </c>
      <c r="BE1113" s="76" t="b">
        <v>1</v>
      </c>
      <c r="BF1113" s="76" t="b">
        <v>0</v>
      </c>
      <c r="BG1113" s="76" t="b">
        <v>0</v>
      </c>
      <c r="BH1113" s="82" t="str">
        <f>HYPERLINK("https://pbs.twimg.com/profile_banners/41788880/1552680564")</f>
        <v>https://pbs.twimg.com/profile_banners/41788880/1552680564</v>
      </c>
      <c r="BI1113" s="76"/>
      <c r="BJ1113" s="76" t="s">
        <v>27595</v>
      </c>
      <c r="BK1113" s="76" t="b">
        <v>0</v>
      </c>
      <c r="BL1113" s="76"/>
      <c r="BM1113" s="76" t="s">
        <v>66</v>
      </c>
      <c r="BN1113" s="76" t="s">
        <v>27597</v>
      </c>
      <c r="BO1113" s="82" t="str">
        <f>HYPERLINK("https://twitter.com/oinegue")</f>
        <v>https://twitter.com/oinegue</v>
      </c>
      <c r="BP1113" s="2"/>
    </row>
    <row r="1114" spans="1:68" x14ac:dyDescent="0.25">
      <c r="A1114" s="62" t="s">
        <v>1418</v>
      </c>
      <c r="B1114" s="63"/>
      <c r="C1114" s="63"/>
      <c r="D1114" s="64"/>
      <c r="E1114" s="66"/>
      <c r="F1114" s="103" t="str">
        <f>HYPERLINK("https://pbs.twimg.com/profile_images/1368930542058635270/ddfsL_BV_normal.jpg")</f>
        <v>https://pbs.twimg.com/profile_images/1368930542058635270/ddfsL_BV_normal.jpg</v>
      </c>
      <c r="G1114" s="63"/>
      <c r="H1114" s="67"/>
      <c r="I1114" s="68"/>
      <c r="J1114" s="68"/>
      <c r="K1114" s="67" t="s">
        <v>28708</v>
      </c>
      <c r="L1114" s="71"/>
      <c r="M1114" s="72"/>
      <c r="N1114" s="72"/>
      <c r="O1114" s="73"/>
      <c r="P1114" s="74"/>
      <c r="Q1114" s="74"/>
      <c r="R1114" s="87"/>
      <c r="S1114" s="87"/>
      <c r="T1114" s="87"/>
      <c r="U1114" s="87"/>
      <c r="V1114" s="48"/>
      <c r="W1114" s="48"/>
      <c r="X1114" s="48"/>
      <c r="Y1114" s="48"/>
      <c r="Z1114" s="47"/>
      <c r="AA1114" s="69">
        <v>1114</v>
      </c>
      <c r="AB1114" s="69"/>
      <c r="AC1114" s="70"/>
      <c r="AD1114" s="76" t="s">
        <v>22337</v>
      </c>
      <c r="AE1114" s="81" t="s">
        <v>23652</v>
      </c>
      <c r="AF1114" s="76">
        <v>423044</v>
      </c>
      <c r="AG1114" s="76">
        <v>43</v>
      </c>
      <c r="AH1114" s="76">
        <v>96578</v>
      </c>
      <c r="AI1114" s="76">
        <v>1415</v>
      </c>
      <c r="AJ1114" s="76">
        <v>2293</v>
      </c>
      <c r="AK1114" s="76">
        <v>56147</v>
      </c>
      <c r="AL1114" s="76" t="b">
        <v>0</v>
      </c>
      <c r="AM1114" s="78">
        <v>40036.953530092593</v>
      </c>
      <c r="AN1114" s="76" t="s">
        <v>14382</v>
      </c>
      <c r="AO1114" s="76" t="s">
        <v>25705</v>
      </c>
      <c r="AP1114" s="82" t="str">
        <f>HYPERLINK("https://t.co/nTAROOc0xq")</f>
        <v>https://t.co/nTAROOc0xq</v>
      </c>
      <c r="AQ1114" s="82" t="str">
        <f>HYPERLINK("https://linklist.bio/bandnews")</f>
        <v>https://linklist.bio/bandnews</v>
      </c>
      <c r="AR1114" s="76" t="s">
        <v>26959</v>
      </c>
      <c r="AS1114" s="76"/>
      <c r="AT1114" s="76"/>
      <c r="AU1114" s="76"/>
      <c r="AV1114" s="76"/>
      <c r="AW1114" s="82" t="str">
        <f>HYPERLINK("https://t.co/nTAROOc0xq")</f>
        <v>https://t.co/nTAROOc0xq</v>
      </c>
      <c r="AX1114" s="76" t="b">
        <v>0</v>
      </c>
      <c r="AY1114" s="76"/>
      <c r="AZ1114" s="76"/>
      <c r="BA1114" s="76" t="b">
        <v>1</v>
      </c>
      <c r="BB1114" s="76" t="b">
        <v>1</v>
      </c>
      <c r="BC1114" s="76" t="b">
        <v>0</v>
      </c>
      <c r="BD1114" s="76" t="b">
        <v>0</v>
      </c>
      <c r="BE1114" s="76" t="b">
        <v>1</v>
      </c>
      <c r="BF1114" s="76" t="b">
        <v>0</v>
      </c>
      <c r="BG1114" s="76" t="b">
        <v>0</v>
      </c>
      <c r="BH1114" s="82" t="str">
        <f>HYPERLINK("https://pbs.twimg.com/profile_banners/64851983/1615213450")</f>
        <v>https://pbs.twimg.com/profile_banners/64851983/1615213450</v>
      </c>
      <c r="BI1114" s="76"/>
      <c r="BJ1114" s="76" t="s">
        <v>27595</v>
      </c>
      <c r="BK1114" s="76" t="b">
        <v>0</v>
      </c>
      <c r="BL1114" s="76"/>
      <c r="BM1114" s="76" t="s">
        <v>66</v>
      </c>
      <c r="BN1114" s="76" t="s">
        <v>27597</v>
      </c>
      <c r="BO1114" s="82" t="str">
        <f>HYPERLINK("https://twitter.com/bandnewstv")</f>
        <v>https://twitter.com/bandnewstv</v>
      </c>
      <c r="BP1114" s="2"/>
    </row>
    <row r="1115" spans="1:68" x14ac:dyDescent="0.25">
      <c r="A1115" s="62" t="s">
        <v>1035</v>
      </c>
      <c r="B1115" s="63"/>
      <c r="C1115" s="63"/>
      <c r="D1115" s="64"/>
      <c r="E1115" s="66"/>
      <c r="F1115" s="103" t="str">
        <f>HYPERLINK("https://pbs.twimg.com/profile_images/1564272642865127425/r-2y31Jw_normal.jpg")</f>
        <v>https://pbs.twimg.com/profile_images/1564272642865127425/r-2y31Jw_normal.jpg</v>
      </c>
      <c r="G1115" s="63"/>
      <c r="H1115" s="67"/>
      <c r="I1115" s="68"/>
      <c r="J1115" s="68"/>
      <c r="K1115" s="67" t="s">
        <v>28709</v>
      </c>
      <c r="L1115" s="71"/>
      <c r="M1115" s="72"/>
      <c r="N1115" s="72"/>
      <c r="O1115" s="73"/>
      <c r="P1115" s="74"/>
      <c r="Q1115" s="74"/>
      <c r="R1115" s="87"/>
      <c r="S1115" s="87"/>
      <c r="T1115" s="87"/>
      <c r="U1115" s="87"/>
      <c r="V1115" s="48"/>
      <c r="W1115" s="48"/>
      <c r="X1115" s="48"/>
      <c r="Y1115" s="48"/>
      <c r="Z1115" s="47"/>
      <c r="AA1115" s="69">
        <v>1115</v>
      </c>
      <c r="AB1115" s="69"/>
      <c r="AC1115" s="70"/>
      <c r="AD1115" s="76" t="s">
        <v>22338</v>
      </c>
      <c r="AE1115" s="81" t="s">
        <v>23653</v>
      </c>
      <c r="AF1115" s="76">
        <v>13339</v>
      </c>
      <c r="AG1115" s="76">
        <v>3971</v>
      </c>
      <c r="AH1115" s="76">
        <v>126123</v>
      </c>
      <c r="AI1115" s="76">
        <v>80</v>
      </c>
      <c r="AJ1115" s="76">
        <v>778</v>
      </c>
      <c r="AK1115" s="76">
        <v>20646</v>
      </c>
      <c r="AL1115" s="76" t="b">
        <v>0</v>
      </c>
      <c r="AM1115" s="78">
        <v>40134.937071759261</v>
      </c>
      <c r="AN1115" s="76" t="s">
        <v>24112</v>
      </c>
      <c r="AO1115" s="76" t="s">
        <v>25706</v>
      </c>
      <c r="AP1115" s="82" t="str">
        <f>HYPERLINK("https://t.co/YNCuTZM8DR")</f>
        <v>https://t.co/YNCuTZM8DR</v>
      </c>
      <c r="AQ1115" s="82" t="str">
        <f>HYPERLINK("https://www.fondoalerta.com/")</f>
        <v>https://www.fondoalerta.com/</v>
      </c>
      <c r="AR1115" s="76" t="s">
        <v>26960</v>
      </c>
      <c r="AS1115" s="76"/>
      <c r="AT1115" s="76"/>
      <c r="AU1115" s="76"/>
      <c r="AV1115" s="76"/>
      <c r="AW1115" s="82" t="str">
        <f>HYPERLINK("https://t.co/YNCuTZM8DR")</f>
        <v>https://t.co/YNCuTZM8DR</v>
      </c>
      <c r="AX1115" s="76" t="b">
        <v>1</v>
      </c>
      <c r="AY1115" s="76"/>
      <c r="AZ1115" s="76"/>
      <c r="BA1115" s="76" t="b">
        <v>0</v>
      </c>
      <c r="BB1115" s="76" t="b">
        <v>0</v>
      </c>
      <c r="BC1115" s="76" t="b">
        <v>0</v>
      </c>
      <c r="BD1115" s="76" t="b">
        <v>0</v>
      </c>
      <c r="BE1115" s="76" t="b">
        <v>1</v>
      </c>
      <c r="BF1115" s="76" t="b">
        <v>0</v>
      </c>
      <c r="BG1115" s="76" t="b">
        <v>0</v>
      </c>
      <c r="BH1115" s="82" t="str">
        <f>HYPERLINK("https://pbs.twimg.com/profile_banners/90736344/1506717526")</f>
        <v>https://pbs.twimg.com/profile_banners/90736344/1506717526</v>
      </c>
      <c r="BI1115" s="76"/>
      <c r="BJ1115" s="76" t="s">
        <v>27595</v>
      </c>
      <c r="BK1115" s="76" t="b">
        <v>0</v>
      </c>
      <c r="BL1115" s="76"/>
      <c r="BM1115" s="76" t="s">
        <v>66</v>
      </c>
      <c r="BN1115" s="76" t="s">
        <v>27597</v>
      </c>
      <c r="BO1115" s="82" t="str">
        <f>HYPERLINK("https://twitter.com/fondoalerta")</f>
        <v>https://twitter.com/fondoalerta</v>
      </c>
      <c r="BP1115" s="2"/>
    </row>
    <row r="1116" spans="1:68" x14ac:dyDescent="0.25">
      <c r="A1116" s="62" t="s">
        <v>1036</v>
      </c>
      <c r="B1116" s="63"/>
      <c r="C1116" s="63"/>
      <c r="D1116" s="64"/>
      <c r="E1116" s="66"/>
      <c r="F1116" s="103" t="str">
        <f>HYPERLINK("https://abs.twimg.com/sticky/default_profile_images/default_profile_normal.png")</f>
        <v>https://abs.twimg.com/sticky/default_profile_images/default_profile_normal.png</v>
      </c>
      <c r="G1116" s="63"/>
      <c r="H1116" s="67"/>
      <c r="I1116" s="68"/>
      <c r="J1116" s="68"/>
      <c r="K1116" s="67" t="s">
        <v>28710</v>
      </c>
      <c r="L1116" s="71"/>
      <c r="M1116" s="72"/>
      <c r="N1116" s="72"/>
      <c r="O1116" s="73"/>
      <c r="P1116" s="74"/>
      <c r="Q1116" s="74"/>
      <c r="R1116" s="87"/>
      <c r="S1116" s="87"/>
      <c r="T1116" s="87"/>
      <c r="U1116" s="87"/>
      <c r="V1116" s="48"/>
      <c r="W1116" s="48"/>
      <c r="X1116" s="48"/>
      <c r="Y1116" s="48"/>
      <c r="Z1116" s="47"/>
      <c r="AA1116" s="69">
        <v>1116</v>
      </c>
      <c r="AB1116" s="69"/>
      <c r="AC1116" s="70"/>
      <c r="AD1116" s="76" t="s">
        <v>22339</v>
      </c>
      <c r="AE1116" s="81" t="s">
        <v>20891</v>
      </c>
      <c r="AF1116" s="76">
        <v>54</v>
      </c>
      <c r="AG1116" s="76">
        <v>194</v>
      </c>
      <c r="AH1116" s="76">
        <v>21272</v>
      </c>
      <c r="AI1116" s="76">
        <v>0</v>
      </c>
      <c r="AJ1116" s="76">
        <v>37923</v>
      </c>
      <c r="AK1116" s="76">
        <v>6</v>
      </c>
      <c r="AL1116" s="76" t="b">
        <v>0</v>
      </c>
      <c r="AM1116" s="78">
        <v>44860.048796296294</v>
      </c>
      <c r="AN1116" s="76"/>
      <c r="AO1116" s="76"/>
      <c r="AP1116" s="76"/>
      <c r="AQ1116" s="76"/>
      <c r="AR1116" s="76"/>
      <c r="AS1116" s="76"/>
      <c r="AT1116" s="76"/>
      <c r="AU1116" s="76"/>
      <c r="AV1116" s="76"/>
      <c r="AW1116" s="76"/>
      <c r="AX1116" s="76" t="b">
        <v>0</v>
      </c>
      <c r="AY1116" s="76"/>
      <c r="AZ1116" s="76"/>
      <c r="BA1116" s="76" t="b">
        <v>0</v>
      </c>
      <c r="BB1116" s="76" t="b">
        <v>1</v>
      </c>
      <c r="BC1116" s="76" t="b">
        <v>1</v>
      </c>
      <c r="BD1116" s="76" t="b">
        <v>1</v>
      </c>
      <c r="BE1116" s="76" t="b">
        <v>0</v>
      </c>
      <c r="BF1116" s="76" t="b">
        <v>0</v>
      </c>
      <c r="BG1116" s="76" t="b">
        <v>0</v>
      </c>
      <c r="BH1116" s="76"/>
      <c r="BI1116" s="76"/>
      <c r="BJ1116" s="76" t="s">
        <v>27595</v>
      </c>
      <c r="BK1116" s="76" t="b">
        <v>0</v>
      </c>
      <c r="BL1116" s="76"/>
      <c r="BM1116" s="76" t="s">
        <v>66</v>
      </c>
      <c r="BN1116" s="76" t="s">
        <v>27597</v>
      </c>
      <c r="BO1116" s="82" t="str">
        <f>HYPERLINK("https://twitter.com/mariacl84248332")</f>
        <v>https://twitter.com/mariacl84248332</v>
      </c>
      <c r="BP1116" s="2"/>
    </row>
    <row r="1117" spans="1:68" x14ac:dyDescent="0.25">
      <c r="A1117" s="62" t="s">
        <v>1037</v>
      </c>
      <c r="B1117" s="63"/>
      <c r="C1117" s="63"/>
      <c r="D1117" s="64"/>
      <c r="E1117" s="66"/>
      <c r="F1117" s="103" t="str">
        <f>HYPERLINK("https://pbs.twimg.com/profile_images/1692257322347687936/YLrU1c7u_normal.jpg")</f>
        <v>https://pbs.twimg.com/profile_images/1692257322347687936/YLrU1c7u_normal.jpg</v>
      </c>
      <c r="G1117" s="63"/>
      <c r="H1117" s="67"/>
      <c r="I1117" s="68"/>
      <c r="J1117" s="68"/>
      <c r="K1117" s="67" t="s">
        <v>28711</v>
      </c>
      <c r="L1117" s="71"/>
      <c r="M1117" s="72"/>
      <c r="N1117" s="72"/>
      <c r="O1117" s="73"/>
      <c r="P1117" s="74"/>
      <c r="Q1117" s="74"/>
      <c r="R1117" s="87"/>
      <c r="S1117" s="87"/>
      <c r="T1117" s="87"/>
      <c r="U1117" s="87"/>
      <c r="V1117" s="48"/>
      <c r="W1117" s="48"/>
      <c r="X1117" s="48"/>
      <c r="Y1117" s="48"/>
      <c r="Z1117" s="47"/>
      <c r="AA1117" s="69">
        <v>1117</v>
      </c>
      <c r="AB1117" s="69"/>
      <c r="AC1117" s="70"/>
      <c r="AD1117" s="76" t="s">
        <v>22340</v>
      </c>
      <c r="AE1117" s="81" t="s">
        <v>23654</v>
      </c>
      <c r="AF1117" s="76">
        <v>99280</v>
      </c>
      <c r="AG1117" s="76">
        <v>9848</v>
      </c>
      <c r="AH1117" s="76">
        <v>61949</v>
      </c>
      <c r="AI1117" s="76">
        <v>946</v>
      </c>
      <c r="AJ1117" s="76">
        <v>2086</v>
      </c>
      <c r="AK1117" s="76">
        <v>27266</v>
      </c>
      <c r="AL1117" s="76" t="b">
        <v>0</v>
      </c>
      <c r="AM1117" s="78">
        <v>39862.862025462964</v>
      </c>
      <c r="AN1117" s="76" t="s">
        <v>24112</v>
      </c>
      <c r="AO1117" s="76" t="s">
        <v>25707</v>
      </c>
      <c r="AP1117" s="82" t="str">
        <f>HYPERLINK("https://t.co/uGgyWDuRV3")</f>
        <v>https://t.co/uGgyWDuRV3</v>
      </c>
      <c r="AQ1117" s="82" t="str">
        <f>HYPERLINK("http://dfmas.df.cl")</f>
        <v>http://dfmas.df.cl</v>
      </c>
      <c r="AR1117" s="76" t="s">
        <v>26961</v>
      </c>
      <c r="AS1117" s="76"/>
      <c r="AT1117" s="76"/>
      <c r="AU1117" s="76"/>
      <c r="AV1117" s="76">
        <v>1.7057722029209999E+18</v>
      </c>
      <c r="AW1117" s="82" t="str">
        <f>HYPERLINK("https://t.co/uGgyWDuRV3")</f>
        <v>https://t.co/uGgyWDuRV3</v>
      </c>
      <c r="AX1117" s="76" t="b">
        <v>1</v>
      </c>
      <c r="AY1117" s="76"/>
      <c r="AZ1117" s="76"/>
      <c r="BA1117" s="76" t="b">
        <v>0</v>
      </c>
      <c r="BB1117" s="76" t="b">
        <v>1</v>
      </c>
      <c r="BC1117" s="76" t="b">
        <v>0</v>
      </c>
      <c r="BD1117" s="76" t="b">
        <v>0</v>
      </c>
      <c r="BE1117" s="76" t="b">
        <v>1</v>
      </c>
      <c r="BF1117" s="76" t="b">
        <v>0</v>
      </c>
      <c r="BG1117" s="76" t="b">
        <v>0</v>
      </c>
      <c r="BH1117" s="82" t="str">
        <f>HYPERLINK("https://pbs.twimg.com/profile_banners/21238299/1694432619")</f>
        <v>https://pbs.twimg.com/profile_banners/21238299/1694432619</v>
      </c>
      <c r="BI1117" s="76"/>
      <c r="BJ1117" s="76" t="s">
        <v>27595</v>
      </c>
      <c r="BK1117" s="76" t="b">
        <v>0</v>
      </c>
      <c r="BL1117" s="76"/>
      <c r="BM1117" s="76" t="s">
        <v>66</v>
      </c>
      <c r="BN1117" s="76" t="s">
        <v>27597</v>
      </c>
      <c r="BO1117" s="82" t="str">
        <f>HYPERLINK("https://twitter.com/dfmas")</f>
        <v>https://twitter.com/dfmas</v>
      </c>
      <c r="BP1117" s="2"/>
    </row>
    <row r="1118" spans="1:68" x14ac:dyDescent="0.25">
      <c r="A1118" s="62" t="s">
        <v>1038</v>
      </c>
      <c r="B1118" s="63"/>
      <c r="C1118" s="63"/>
      <c r="D1118" s="64"/>
      <c r="E1118" s="66"/>
      <c r="F1118" s="103" t="str">
        <f>HYPERLINK("https://pbs.twimg.com/profile_images/1689968598133927936/Ro0jDHtS_normal.jpg")</f>
        <v>https://pbs.twimg.com/profile_images/1689968598133927936/Ro0jDHtS_normal.jpg</v>
      </c>
      <c r="G1118" s="63"/>
      <c r="H1118" s="67"/>
      <c r="I1118" s="68"/>
      <c r="J1118" s="68"/>
      <c r="K1118" s="67" t="s">
        <v>28712</v>
      </c>
      <c r="L1118" s="71"/>
      <c r="M1118" s="72"/>
      <c r="N1118" s="72"/>
      <c r="O1118" s="73"/>
      <c r="P1118" s="74"/>
      <c r="Q1118" s="74"/>
      <c r="R1118" s="87"/>
      <c r="S1118" s="87"/>
      <c r="T1118" s="87"/>
      <c r="U1118" s="87"/>
      <c r="V1118" s="48"/>
      <c r="W1118" s="48"/>
      <c r="X1118" s="48"/>
      <c r="Y1118" s="48"/>
      <c r="Z1118" s="47"/>
      <c r="AA1118" s="69">
        <v>1118</v>
      </c>
      <c r="AB1118" s="69"/>
      <c r="AC1118" s="70"/>
      <c r="AD1118" s="76" t="s">
        <v>22341</v>
      </c>
      <c r="AE1118" s="81" t="s">
        <v>20892</v>
      </c>
      <c r="AF1118" s="76">
        <v>18</v>
      </c>
      <c r="AG1118" s="76">
        <v>76</v>
      </c>
      <c r="AH1118" s="76">
        <v>535</v>
      </c>
      <c r="AI1118" s="76">
        <v>0</v>
      </c>
      <c r="AJ1118" s="76">
        <v>120</v>
      </c>
      <c r="AK1118" s="76">
        <v>42</v>
      </c>
      <c r="AL1118" s="76" t="b">
        <v>0</v>
      </c>
      <c r="AM1118" s="78">
        <v>45145.76390046296</v>
      </c>
      <c r="AN1118" s="76" t="s">
        <v>24472</v>
      </c>
      <c r="AO1118" s="76" t="s">
        <v>25708</v>
      </c>
      <c r="AP1118" s="82" t="str">
        <f>HYPERLINK("https://t.co/KNyWzFXoxP")</f>
        <v>https://t.co/KNyWzFXoxP</v>
      </c>
      <c r="AQ1118" s="82" t="str">
        <f>HYPERLINK("http://www.iraci.pn")</f>
        <v>http://www.iraci.pn</v>
      </c>
      <c r="AR1118" s="76" t="s">
        <v>26962</v>
      </c>
      <c r="AS1118" s="76"/>
      <c r="AT1118" s="76"/>
      <c r="AU1118" s="76"/>
      <c r="AV1118" s="76"/>
      <c r="AW1118" s="82" t="str">
        <f>HYPERLINK("https://t.co/KNyWzFXoxP")</f>
        <v>https://t.co/KNyWzFXoxP</v>
      </c>
      <c r="AX1118" s="76" t="b">
        <v>0</v>
      </c>
      <c r="AY1118" s="76"/>
      <c r="AZ1118" s="76"/>
      <c r="BA1118" s="76" t="b">
        <v>0</v>
      </c>
      <c r="BB1118" s="76" t="b">
        <v>1</v>
      </c>
      <c r="BC1118" s="76" t="b">
        <v>1</v>
      </c>
      <c r="BD1118" s="76" t="b">
        <v>0</v>
      </c>
      <c r="BE1118" s="76" t="b">
        <v>0</v>
      </c>
      <c r="BF1118" s="76" t="b">
        <v>0</v>
      </c>
      <c r="BG1118" s="76" t="b">
        <v>0</v>
      </c>
      <c r="BH1118" s="82" t="str">
        <f>HYPERLINK("https://pbs.twimg.com/profile_banners/1688615924549484544/1691754885")</f>
        <v>https://pbs.twimg.com/profile_banners/1688615924549484544/1691754885</v>
      </c>
      <c r="BI1118" s="76"/>
      <c r="BJ1118" s="76" t="s">
        <v>27595</v>
      </c>
      <c r="BK1118" s="76" t="b">
        <v>0</v>
      </c>
      <c r="BL1118" s="76"/>
      <c r="BM1118" s="76" t="s">
        <v>66</v>
      </c>
      <c r="BN1118" s="76" t="s">
        <v>27597</v>
      </c>
      <c r="BO1118" s="82" t="str">
        <f>HYPERLINK("https://twitter.com/iracihasler")</f>
        <v>https://twitter.com/iracihasler</v>
      </c>
      <c r="BP1118" s="2"/>
    </row>
    <row r="1119" spans="1:68" x14ac:dyDescent="0.25">
      <c r="A1119" s="62" t="s">
        <v>1039</v>
      </c>
      <c r="B1119" s="63"/>
      <c r="C1119" s="63"/>
      <c r="D1119" s="64"/>
      <c r="E1119" s="66"/>
      <c r="F1119" s="103" t="str">
        <f>HYPERLINK("https://pbs.twimg.com/profile_images/1620979118018859008/IGU0iYmZ_normal.jpg")</f>
        <v>https://pbs.twimg.com/profile_images/1620979118018859008/IGU0iYmZ_normal.jpg</v>
      </c>
      <c r="G1119" s="63"/>
      <c r="H1119" s="67"/>
      <c r="I1119" s="68"/>
      <c r="J1119" s="68"/>
      <c r="K1119" s="67" t="s">
        <v>28713</v>
      </c>
      <c r="L1119" s="71"/>
      <c r="M1119" s="72"/>
      <c r="N1119" s="72"/>
      <c r="O1119" s="73"/>
      <c r="P1119" s="74"/>
      <c r="Q1119" s="74"/>
      <c r="R1119" s="87"/>
      <c r="S1119" s="87"/>
      <c r="T1119" s="87"/>
      <c r="U1119" s="87"/>
      <c r="V1119" s="48"/>
      <c r="W1119" s="48"/>
      <c r="X1119" s="48"/>
      <c r="Y1119" s="48"/>
      <c r="Z1119" s="47"/>
      <c r="AA1119" s="69">
        <v>1119</v>
      </c>
      <c r="AB1119" s="69"/>
      <c r="AC1119" s="70"/>
      <c r="AD1119" s="76" t="s">
        <v>22342</v>
      </c>
      <c r="AE1119" s="81" t="s">
        <v>20893</v>
      </c>
      <c r="AF1119" s="76">
        <v>111</v>
      </c>
      <c r="AG1119" s="76">
        <v>23</v>
      </c>
      <c r="AH1119" s="76">
        <v>226</v>
      </c>
      <c r="AI1119" s="76">
        <v>1</v>
      </c>
      <c r="AJ1119" s="76">
        <v>42</v>
      </c>
      <c r="AK1119" s="76">
        <v>207</v>
      </c>
      <c r="AL1119" s="76" t="b">
        <v>0</v>
      </c>
      <c r="AM1119" s="78">
        <v>44959.114687499998</v>
      </c>
      <c r="AN1119" s="76" t="s">
        <v>24216</v>
      </c>
      <c r="AO1119" s="76" t="s">
        <v>25709</v>
      </c>
      <c r="AP1119" s="82" t="str">
        <f>HYPERLINK("https://t.co/Ljhbz3FcCf")</f>
        <v>https://t.co/Ljhbz3FcCf</v>
      </c>
      <c r="AQ1119" s="82" t="str">
        <f>HYPERLINK("https://www.youtube.com/@aquihablamosclaro")</f>
        <v>https://www.youtube.com/@aquihablamosclaro</v>
      </c>
      <c r="AR1119" s="76" t="s">
        <v>26963</v>
      </c>
      <c r="AS1119" s="76"/>
      <c r="AT1119" s="76"/>
      <c r="AU1119" s="76"/>
      <c r="AV1119" s="76"/>
      <c r="AW1119" s="82" t="str">
        <f>HYPERLINK("https://t.co/Ljhbz3FcCf")</f>
        <v>https://t.co/Ljhbz3FcCf</v>
      </c>
      <c r="AX1119" s="76" t="b">
        <v>0</v>
      </c>
      <c r="AY1119" s="76"/>
      <c r="AZ1119" s="76"/>
      <c r="BA1119" s="76" t="b">
        <v>0</v>
      </c>
      <c r="BB1119" s="76" t="b">
        <v>1</v>
      </c>
      <c r="BC1119" s="76" t="b">
        <v>1</v>
      </c>
      <c r="BD1119" s="76" t="b">
        <v>0</v>
      </c>
      <c r="BE1119" s="76" t="b">
        <v>0</v>
      </c>
      <c r="BF1119" s="76" t="b">
        <v>0</v>
      </c>
      <c r="BG1119" s="76" t="b">
        <v>0</v>
      </c>
      <c r="BH1119" s="82" t="str">
        <f>HYPERLINK("https://pbs.twimg.com/profile_banners/1620976389804392455/1675306575")</f>
        <v>https://pbs.twimg.com/profile_banners/1620976389804392455/1675306575</v>
      </c>
      <c r="BI1119" s="76"/>
      <c r="BJ1119" s="76" t="s">
        <v>27595</v>
      </c>
      <c r="BK1119" s="76" t="b">
        <v>0</v>
      </c>
      <c r="BL1119" s="76"/>
      <c r="BM1119" s="76" t="s">
        <v>66</v>
      </c>
      <c r="BN1119" s="76" t="s">
        <v>27597</v>
      </c>
      <c r="BO1119" s="82" t="str">
        <f>HYPERLINK("https://twitter.com/hablamosclarord")</f>
        <v>https://twitter.com/hablamosclarord</v>
      </c>
      <c r="BP1119" s="2"/>
    </row>
    <row r="1120" spans="1:68" x14ac:dyDescent="0.25">
      <c r="A1120" s="62" t="s">
        <v>1946</v>
      </c>
      <c r="B1120" s="63"/>
      <c r="C1120" s="63"/>
      <c r="D1120" s="64"/>
      <c r="E1120" s="66"/>
      <c r="F1120" s="103" t="str">
        <f>HYPERLINK("https://pbs.twimg.com/profile_images/1632539588706156546/aPecc3EK_normal.jpg")</f>
        <v>https://pbs.twimg.com/profile_images/1632539588706156546/aPecc3EK_normal.jpg</v>
      </c>
      <c r="G1120" s="63"/>
      <c r="H1120" s="67"/>
      <c r="I1120" s="68"/>
      <c r="J1120" s="68"/>
      <c r="K1120" s="67" t="s">
        <v>28714</v>
      </c>
      <c r="L1120" s="71"/>
      <c r="M1120" s="72"/>
      <c r="N1120" s="72"/>
      <c r="O1120" s="73"/>
      <c r="P1120" s="74"/>
      <c r="Q1120" s="74"/>
      <c r="R1120" s="87"/>
      <c r="S1120" s="87"/>
      <c r="T1120" s="87"/>
      <c r="U1120" s="87"/>
      <c r="V1120" s="48"/>
      <c r="W1120" s="48"/>
      <c r="X1120" s="48"/>
      <c r="Y1120" s="48"/>
      <c r="Z1120" s="47"/>
      <c r="AA1120" s="69">
        <v>1120</v>
      </c>
      <c r="AB1120" s="69"/>
      <c r="AC1120" s="70"/>
      <c r="AD1120" s="76" t="s">
        <v>22343</v>
      </c>
      <c r="AE1120" s="81" t="s">
        <v>23655</v>
      </c>
      <c r="AF1120" s="76">
        <v>252</v>
      </c>
      <c r="AG1120" s="76">
        <v>499</v>
      </c>
      <c r="AH1120" s="76">
        <v>27606</v>
      </c>
      <c r="AI1120" s="76">
        <v>1</v>
      </c>
      <c r="AJ1120" s="76">
        <v>2701</v>
      </c>
      <c r="AK1120" s="76">
        <v>285</v>
      </c>
      <c r="AL1120" s="76" t="b">
        <v>0</v>
      </c>
      <c r="AM1120" s="78">
        <v>40477.078298611108</v>
      </c>
      <c r="AN1120" s="76" t="s">
        <v>24473</v>
      </c>
      <c r="AO1120" s="76" t="s">
        <v>25710</v>
      </c>
      <c r="AP1120" s="76"/>
      <c r="AQ1120" s="76"/>
      <c r="AR1120" s="76"/>
      <c r="AS1120" s="76"/>
      <c r="AT1120" s="76"/>
      <c r="AU1120" s="76"/>
      <c r="AV1120" s="76"/>
      <c r="AW1120" s="76"/>
      <c r="AX1120" s="76" t="b">
        <v>0</v>
      </c>
      <c r="AY1120" s="76"/>
      <c r="AZ1120" s="76"/>
      <c r="BA1120" s="76" t="b">
        <v>0</v>
      </c>
      <c r="BB1120" s="76" t="b">
        <v>0</v>
      </c>
      <c r="BC1120" s="76" t="b">
        <v>0</v>
      </c>
      <c r="BD1120" s="76" t="b">
        <v>0</v>
      </c>
      <c r="BE1120" s="76" t="b">
        <v>1</v>
      </c>
      <c r="BF1120" s="76" t="b">
        <v>0</v>
      </c>
      <c r="BG1120" s="76" t="b">
        <v>0</v>
      </c>
      <c r="BH1120" s="76"/>
      <c r="BI1120" s="76"/>
      <c r="BJ1120" s="76" t="s">
        <v>27595</v>
      </c>
      <c r="BK1120" s="76" t="b">
        <v>0</v>
      </c>
      <c r="BL1120" s="76"/>
      <c r="BM1120" s="76" t="s">
        <v>65</v>
      </c>
      <c r="BN1120" s="76" t="s">
        <v>27597</v>
      </c>
      <c r="BO1120" s="82" t="str">
        <f>HYPERLINK("https://twitter.com/miguel_almanzar")</f>
        <v>https://twitter.com/miguel_almanzar</v>
      </c>
      <c r="BP1120" s="2"/>
    </row>
    <row r="1121" spans="1:68" x14ac:dyDescent="0.25">
      <c r="A1121" s="62" t="s">
        <v>1040</v>
      </c>
      <c r="B1121" s="63"/>
      <c r="C1121" s="63"/>
      <c r="D1121" s="64"/>
      <c r="E1121" s="66"/>
      <c r="F1121" s="103" t="str">
        <f>HYPERLINK("https://pbs.twimg.com/profile_images/1430489998781001731/Cb773ERS_normal.jpg")</f>
        <v>https://pbs.twimg.com/profile_images/1430489998781001731/Cb773ERS_normal.jpg</v>
      </c>
      <c r="G1121" s="63"/>
      <c r="H1121" s="67"/>
      <c r="I1121" s="68"/>
      <c r="J1121" s="68"/>
      <c r="K1121" s="67" t="s">
        <v>28715</v>
      </c>
      <c r="L1121" s="71"/>
      <c r="M1121" s="72"/>
      <c r="N1121" s="72"/>
      <c r="O1121" s="73"/>
      <c r="P1121" s="74"/>
      <c r="Q1121" s="74"/>
      <c r="R1121" s="87"/>
      <c r="S1121" s="87"/>
      <c r="T1121" s="87"/>
      <c r="U1121" s="87"/>
      <c r="V1121" s="48"/>
      <c r="W1121" s="48"/>
      <c r="X1121" s="48"/>
      <c r="Y1121" s="48"/>
      <c r="Z1121" s="47"/>
      <c r="AA1121" s="69">
        <v>1121</v>
      </c>
      <c r="AB1121" s="69"/>
      <c r="AC1121" s="70"/>
      <c r="AD1121" s="76" t="s">
        <v>22344</v>
      </c>
      <c r="AE1121" s="81" t="s">
        <v>20894</v>
      </c>
      <c r="AF1121" s="76">
        <v>149</v>
      </c>
      <c r="AG1121" s="76">
        <v>41</v>
      </c>
      <c r="AH1121" s="76">
        <v>2240</v>
      </c>
      <c r="AI1121" s="76">
        <v>1</v>
      </c>
      <c r="AJ1121" s="76">
        <v>7</v>
      </c>
      <c r="AK1121" s="76">
        <v>2224</v>
      </c>
      <c r="AL1121" s="76" t="b">
        <v>0</v>
      </c>
      <c r="AM1121" s="78">
        <v>44433.471342592595</v>
      </c>
      <c r="AN1121" s="76" t="s">
        <v>24063</v>
      </c>
      <c r="AO1121" s="76" t="s">
        <v>25711</v>
      </c>
      <c r="AP1121" s="82" t="str">
        <f>HYPERLINK("https://t.co/TjYYSdA8LW")</f>
        <v>https://t.co/TjYYSdA8LW</v>
      </c>
      <c r="AQ1121" s="82" t="str">
        <f>HYPERLINK("https://www.inmobiliario.do/")</f>
        <v>https://www.inmobiliario.do/</v>
      </c>
      <c r="AR1121" s="76" t="s">
        <v>26964</v>
      </c>
      <c r="AS1121" s="76"/>
      <c r="AT1121" s="76"/>
      <c r="AU1121" s="76"/>
      <c r="AV1121" s="76"/>
      <c r="AW1121" s="82" t="str">
        <f>HYPERLINK("https://t.co/TjYYSdA8LW")</f>
        <v>https://t.co/TjYYSdA8LW</v>
      </c>
      <c r="AX1121" s="76" t="b">
        <v>0</v>
      </c>
      <c r="AY1121" s="76"/>
      <c r="AZ1121" s="76"/>
      <c r="BA1121" s="76" t="b">
        <v>0</v>
      </c>
      <c r="BB1121" s="76" t="b">
        <v>1</v>
      </c>
      <c r="BC1121" s="76" t="b">
        <v>1</v>
      </c>
      <c r="BD1121" s="76" t="b">
        <v>0</v>
      </c>
      <c r="BE1121" s="76" t="b">
        <v>0</v>
      </c>
      <c r="BF1121" s="76" t="b">
        <v>0</v>
      </c>
      <c r="BG1121" s="76" t="b">
        <v>0</v>
      </c>
      <c r="BH1121" s="82" t="str">
        <f>HYPERLINK("https://pbs.twimg.com/profile_banners/1430489753573629956/1663847104")</f>
        <v>https://pbs.twimg.com/profile_banners/1430489753573629956/1663847104</v>
      </c>
      <c r="BI1121" s="76"/>
      <c r="BJ1121" s="76" t="s">
        <v>27595</v>
      </c>
      <c r="BK1121" s="76" t="b">
        <v>0</v>
      </c>
      <c r="BL1121" s="76"/>
      <c r="BM1121" s="76" t="s">
        <v>66</v>
      </c>
      <c r="BN1121" s="76" t="s">
        <v>27597</v>
      </c>
      <c r="BO1121" s="82" t="str">
        <f>HYPERLINK("https://twitter.com/elinmobiliariod")</f>
        <v>https://twitter.com/elinmobiliariod</v>
      </c>
      <c r="BP1121" s="2"/>
    </row>
    <row r="1122" spans="1:68" x14ac:dyDescent="0.25">
      <c r="A1122" s="62" t="s">
        <v>1041</v>
      </c>
      <c r="B1122" s="63"/>
      <c r="C1122" s="63"/>
      <c r="D1122" s="64"/>
      <c r="E1122" s="66"/>
      <c r="F1122" s="103" t="str">
        <f>HYPERLINK("https://pbs.twimg.com/profile_images/1631314606856568839/39AdIFY6_normal.jpg")</f>
        <v>https://pbs.twimg.com/profile_images/1631314606856568839/39AdIFY6_normal.jpg</v>
      </c>
      <c r="G1122" s="63"/>
      <c r="H1122" s="67"/>
      <c r="I1122" s="68"/>
      <c r="J1122" s="68"/>
      <c r="K1122" s="67" t="s">
        <v>28716</v>
      </c>
      <c r="L1122" s="71"/>
      <c r="M1122" s="72"/>
      <c r="N1122" s="72"/>
      <c r="O1122" s="73"/>
      <c r="P1122" s="74"/>
      <c r="Q1122" s="74"/>
      <c r="R1122" s="87"/>
      <c r="S1122" s="87"/>
      <c r="T1122" s="87"/>
      <c r="U1122" s="87"/>
      <c r="V1122" s="48"/>
      <c r="W1122" s="48"/>
      <c r="X1122" s="48"/>
      <c r="Y1122" s="48"/>
      <c r="Z1122" s="47"/>
      <c r="AA1122" s="69">
        <v>1122</v>
      </c>
      <c r="AB1122" s="69"/>
      <c r="AC1122" s="70"/>
      <c r="AD1122" s="76" t="s">
        <v>22345</v>
      </c>
      <c r="AE1122" s="81" t="s">
        <v>23656</v>
      </c>
      <c r="AF1122" s="76">
        <v>164657</v>
      </c>
      <c r="AG1122" s="76">
        <v>47</v>
      </c>
      <c r="AH1122" s="76">
        <v>83631</v>
      </c>
      <c r="AI1122" s="76">
        <v>241</v>
      </c>
      <c r="AJ1122" s="76">
        <v>139</v>
      </c>
      <c r="AK1122" s="76">
        <v>45686</v>
      </c>
      <c r="AL1122" s="76" t="b">
        <v>0</v>
      </c>
      <c r="AM1122" s="78">
        <v>40135.144270833334</v>
      </c>
      <c r="AN1122" s="76" t="s">
        <v>14512</v>
      </c>
      <c r="AO1122" s="76" t="s">
        <v>25712</v>
      </c>
      <c r="AP1122" s="82" t="str">
        <f>HYPERLINK("https://t.co/4JiouMC40a")</f>
        <v>https://t.co/4JiouMC40a</v>
      </c>
      <c r="AQ1122" s="82" t="str">
        <f>HYPERLINK("http://www.tvjornal.com.br")</f>
        <v>http://www.tvjornal.com.br</v>
      </c>
      <c r="AR1122" s="76" t="s">
        <v>26965</v>
      </c>
      <c r="AS1122" s="76"/>
      <c r="AT1122" s="76"/>
      <c r="AU1122" s="76"/>
      <c r="AV1122" s="76"/>
      <c r="AW1122" s="82" t="str">
        <f>HYPERLINK("https://t.co/4JiouMC40a")</f>
        <v>https://t.co/4JiouMC40a</v>
      </c>
      <c r="AX1122" s="76" t="b">
        <v>0</v>
      </c>
      <c r="AY1122" s="76"/>
      <c r="AZ1122" s="76"/>
      <c r="BA1122" s="76" t="b">
        <v>0</v>
      </c>
      <c r="BB1122" s="76" t="b">
        <v>1</v>
      </c>
      <c r="BC1122" s="76" t="b">
        <v>0</v>
      </c>
      <c r="BD1122" s="76" t="b">
        <v>0</v>
      </c>
      <c r="BE1122" s="76" t="b">
        <v>1</v>
      </c>
      <c r="BF1122" s="76" t="b">
        <v>0</v>
      </c>
      <c r="BG1122" s="76" t="b">
        <v>0</v>
      </c>
      <c r="BH1122" s="82" t="str">
        <f>HYPERLINK("https://pbs.twimg.com/profile_banners/90791021/1562706630")</f>
        <v>https://pbs.twimg.com/profile_banners/90791021/1562706630</v>
      </c>
      <c r="BI1122" s="76"/>
      <c r="BJ1122" s="76" t="s">
        <v>27595</v>
      </c>
      <c r="BK1122" s="76" t="b">
        <v>0</v>
      </c>
      <c r="BL1122" s="76"/>
      <c r="BM1122" s="76" t="s">
        <v>66</v>
      </c>
      <c r="BN1122" s="76" t="s">
        <v>27597</v>
      </c>
      <c r="BO1122" s="82" t="str">
        <f>HYPERLINK("https://twitter.com/tvjornalsbt")</f>
        <v>https://twitter.com/tvjornalsbt</v>
      </c>
      <c r="BP1122" s="2"/>
    </row>
    <row r="1123" spans="1:68" x14ac:dyDescent="0.25">
      <c r="A1123" s="62" t="s">
        <v>1042</v>
      </c>
      <c r="B1123" s="63"/>
      <c r="C1123" s="63"/>
      <c r="D1123" s="64"/>
      <c r="E1123" s="66"/>
      <c r="F1123" s="103" t="str">
        <f>HYPERLINK("https://pbs.twimg.com/profile_images/1440531986800529410/QelzPUNd_normal.jpg")</f>
        <v>https://pbs.twimg.com/profile_images/1440531986800529410/QelzPUNd_normal.jpg</v>
      </c>
      <c r="G1123" s="63"/>
      <c r="H1123" s="67"/>
      <c r="I1123" s="68"/>
      <c r="J1123" s="68"/>
      <c r="K1123" s="67" t="s">
        <v>28717</v>
      </c>
      <c r="L1123" s="71"/>
      <c r="M1123" s="72"/>
      <c r="N1123" s="72"/>
      <c r="O1123" s="73"/>
      <c r="P1123" s="74"/>
      <c r="Q1123" s="74"/>
      <c r="R1123" s="87"/>
      <c r="S1123" s="87"/>
      <c r="T1123" s="87"/>
      <c r="U1123" s="87"/>
      <c r="V1123" s="48"/>
      <c r="W1123" s="48"/>
      <c r="X1123" s="48"/>
      <c r="Y1123" s="48"/>
      <c r="Z1123" s="47"/>
      <c r="AA1123" s="69">
        <v>1123</v>
      </c>
      <c r="AB1123" s="69"/>
      <c r="AC1123" s="70"/>
      <c r="AD1123" s="76" t="s">
        <v>22346</v>
      </c>
      <c r="AE1123" s="81" t="s">
        <v>23657</v>
      </c>
      <c r="AF1123" s="76">
        <v>862</v>
      </c>
      <c r="AG1123" s="76">
        <v>307</v>
      </c>
      <c r="AH1123" s="76">
        <v>4951</v>
      </c>
      <c r="AI1123" s="76">
        <v>1</v>
      </c>
      <c r="AJ1123" s="76">
        <v>52691</v>
      </c>
      <c r="AK1123" s="76">
        <v>579</v>
      </c>
      <c r="AL1123" s="76" t="b">
        <v>0</v>
      </c>
      <c r="AM1123" s="78">
        <v>41703.085682870369</v>
      </c>
      <c r="AN1123" s="76" t="s">
        <v>24474</v>
      </c>
      <c r="AO1123" s="76" t="s">
        <v>25713</v>
      </c>
      <c r="AP1123" s="76"/>
      <c r="AQ1123" s="76"/>
      <c r="AR1123" s="76"/>
      <c r="AS1123" s="76"/>
      <c r="AT1123" s="76"/>
      <c r="AU1123" s="76"/>
      <c r="AV1123" s="76">
        <v>1.3081050282096399E+18</v>
      </c>
      <c r="AW1123" s="76"/>
      <c r="AX1123" s="76" t="b">
        <v>0</v>
      </c>
      <c r="AY1123" s="76"/>
      <c r="AZ1123" s="76"/>
      <c r="BA1123" s="76" t="b">
        <v>1</v>
      </c>
      <c r="BB1123" s="76" t="b">
        <v>0</v>
      </c>
      <c r="BC1123" s="76" t="b">
        <v>0</v>
      </c>
      <c r="BD1123" s="76" t="b">
        <v>0</v>
      </c>
      <c r="BE1123" s="76" t="b">
        <v>1</v>
      </c>
      <c r="BF1123" s="76" t="b">
        <v>0</v>
      </c>
      <c r="BG1123" s="76" t="b">
        <v>0</v>
      </c>
      <c r="BH1123" s="82" t="str">
        <f>HYPERLINK("https://pbs.twimg.com/profile_banners/2373001656/1602174093")</f>
        <v>https://pbs.twimg.com/profile_banners/2373001656/1602174093</v>
      </c>
      <c r="BI1123" s="76"/>
      <c r="BJ1123" s="76" t="s">
        <v>27595</v>
      </c>
      <c r="BK1123" s="76" t="b">
        <v>0</v>
      </c>
      <c r="BL1123" s="76"/>
      <c r="BM1123" s="76" t="s">
        <v>66</v>
      </c>
      <c r="BN1123" s="76" t="s">
        <v>27597</v>
      </c>
      <c r="BO1123" s="82" t="str">
        <f>HYPERLINK("https://twitter.com/alejandro_zet")</f>
        <v>https://twitter.com/alejandro_zet</v>
      </c>
      <c r="BP1123" s="2"/>
    </row>
    <row r="1124" spans="1:68" x14ac:dyDescent="0.25">
      <c r="A1124" s="62" t="s">
        <v>1043</v>
      </c>
      <c r="B1124" s="63"/>
      <c r="C1124" s="63"/>
      <c r="D1124" s="64"/>
      <c r="E1124" s="66"/>
      <c r="F1124" s="103" t="str">
        <f>HYPERLINK("https://pbs.twimg.com/profile_images/1055726858/TerremotoTwitter_normal.jpg")</f>
        <v>https://pbs.twimg.com/profile_images/1055726858/TerremotoTwitter_normal.jpg</v>
      </c>
      <c r="G1124" s="63"/>
      <c r="H1124" s="67"/>
      <c r="I1124" s="68"/>
      <c r="J1124" s="68"/>
      <c r="K1124" s="67" t="s">
        <v>28718</v>
      </c>
      <c r="L1124" s="71"/>
      <c r="M1124" s="72"/>
      <c r="N1124" s="72"/>
      <c r="O1124" s="73"/>
      <c r="P1124" s="74"/>
      <c r="Q1124" s="74"/>
      <c r="R1124" s="87"/>
      <c r="S1124" s="87"/>
      <c r="T1124" s="87"/>
      <c r="U1124" s="87"/>
      <c r="V1124" s="48"/>
      <c r="W1124" s="48"/>
      <c r="X1124" s="48"/>
      <c r="Y1124" s="48"/>
      <c r="Z1124" s="47"/>
      <c r="AA1124" s="69">
        <v>1124</v>
      </c>
      <c r="AB1124" s="69"/>
      <c r="AC1124" s="70"/>
      <c r="AD1124" s="76" t="s">
        <v>22347</v>
      </c>
      <c r="AE1124" s="81" t="s">
        <v>23658</v>
      </c>
      <c r="AF1124" s="76">
        <v>124</v>
      </c>
      <c r="AG1124" s="76">
        <v>346</v>
      </c>
      <c r="AH1124" s="76">
        <v>552</v>
      </c>
      <c r="AI1124" s="76">
        <v>0</v>
      </c>
      <c r="AJ1124" s="76">
        <v>6011</v>
      </c>
      <c r="AK1124" s="76">
        <v>37</v>
      </c>
      <c r="AL1124" s="76" t="b">
        <v>0</v>
      </c>
      <c r="AM1124" s="78">
        <v>40361.740949074076</v>
      </c>
      <c r="AN1124" s="76"/>
      <c r="AO1124" s="76"/>
      <c r="AP1124" s="76"/>
      <c r="AQ1124" s="76"/>
      <c r="AR1124" s="76"/>
      <c r="AS1124" s="76"/>
      <c r="AT1124" s="76"/>
      <c r="AU1124" s="76"/>
      <c r="AV1124" s="76"/>
      <c r="AW1124" s="76"/>
      <c r="AX1124" s="76" t="b">
        <v>0</v>
      </c>
      <c r="AY1124" s="76"/>
      <c r="AZ1124" s="76"/>
      <c r="BA1124" s="76" t="b">
        <v>0</v>
      </c>
      <c r="BB1124" s="76" t="b">
        <v>1</v>
      </c>
      <c r="BC1124" s="76" t="b">
        <v>0</v>
      </c>
      <c r="BD1124" s="76" t="b">
        <v>0</v>
      </c>
      <c r="BE1124" s="76" t="b">
        <v>0</v>
      </c>
      <c r="BF1124" s="76" t="b">
        <v>0</v>
      </c>
      <c r="BG1124" s="76" t="b">
        <v>0</v>
      </c>
      <c r="BH1124" s="76"/>
      <c r="BI1124" s="76"/>
      <c r="BJ1124" s="76" t="s">
        <v>27595</v>
      </c>
      <c r="BK1124" s="76" t="b">
        <v>0</v>
      </c>
      <c r="BL1124" s="76"/>
      <c r="BM1124" s="76" t="s">
        <v>66</v>
      </c>
      <c r="BN1124" s="76" t="s">
        <v>27597</v>
      </c>
      <c r="BO1124" s="82" t="str">
        <f>HYPERLINK("https://twitter.com/benjariquelme")</f>
        <v>https://twitter.com/benjariquelme</v>
      </c>
      <c r="BP1124" s="2"/>
    </row>
    <row r="1125" spans="1:68" x14ac:dyDescent="0.25">
      <c r="A1125" s="62" t="s">
        <v>1044</v>
      </c>
      <c r="B1125" s="63"/>
      <c r="C1125" s="63"/>
      <c r="D1125" s="64"/>
      <c r="E1125" s="66"/>
      <c r="F1125" s="103" t="str">
        <f>HYPERLINK("https://pbs.twimg.com/profile_images/1622590061601517568/JBKl7S84_normal.jpg")</f>
        <v>https://pbs.twimg.com/profile_images/1622590061601517568/JBKl7S84_normal.jpg</v>
      </c>
      <c r="G1125" s="63"/>
      <c r="H1125" s="67"/>
      <c r="I1125" s="68"/>
      <c r="J1125" s="68"/>
      <c r="K1125" s="67" t="s">
        <v>28719</v>
      </c>
      <c r="L1125" s="71"/>
      <c r="M1125" s="72"/>
      <c r="N1125" s="72"/>
      <c r="O1125" s="73"/>
      <c r="P1125" s="74"/>
      <c r="Q1125" s="74"/>
      <c r="R1125" s="87"/>
      <c r="S1125" s="87"/>
      <c r="T1125" s="87"/>
      <c r="U1125" s="87"/>
      <c r="V1125" s="48"/>
      <c r="W1125" s="48"/>
      <c r="X1125" s="48"/>
      <c r="Y1125" s="48"/>
      <c r="Z1125" s="47"/>
      <c r="AA1125" s="69">
        <v>1125</v>
      </c>
      <c r="AB1125" s="69"/>
      <c r="AC1125" s="70"/>
      <c r="AD1125" s="76" t="s">
        <v>22348</v>
      </c>
      <c r="AE1125" s="81" t="s">
        <v>20895</v>
      </c>
      <c r="AF1125" s="76">
        <v>13</v>
      </c>
      <c r="AG1125" s="76">
        <v>44</v>
      </c>
      <c r="AH1125" s="76">
        <v>2534</v>
      </c>
      <c r="AI1125" s="76">
        <v>0</v>
      </c>
      <c r="AJ1125" s="76">
        <v>43</v>
      </c>
      <c r="AK1125" s="76">
        <v>709</v>
      </c>
      <c r="AL1125" s="76" t="b">
        <v>0</v>
      </c>
      <c r="AM1125" s="78">
        <v>44426.859016203707</v>
      </c>
      <c r="AN1125" s="76" t="s">
        <v>24475</v>
      </c>
      <c r="AO1125" s="76" t="s">
        <v>25714</v>
      </c>
      <c r="AP1125" s="82" t="str">
        <f>HYPERLINK("https://t.co/ZxI8kJ1VEi")</f>
        <v>https://t.co/ZxI8kJ1VEi</v>
      </c>
      <c r="AQ1125" s="82" t="str">
        <f>HYPERLINK("https://diarioreferencia.com.br/")</f>
        <v>https://diarioreferencia.com.br/</v>
      </c>
      <c r="AR1125" s="76" t="s">
        <v>26966</v>
      </c>
      <c r="AS1125" s="82" t="str">
        <f>HYPERLINK("https://t.co/rHrKrA7utj")</f>
        <v>https://t.co/rHrKrA7utj</v>
      </c>
      <c r="AT1125" s="82" t="str">
        <f>HYPERLINK("http://instagram.com/diarioreferenc")</f>
        <v>http://instagram.com/diarioreferenc</v>
      </c>
      <c r="AU1125" s="76" t="s">
        <v>27527</v>
      </c>
      <c r="AV1125" s="76">
        <v>1.58453378282019E+18</v>
      </c>
      <c r="AW1125" s="82" t="str">
        <f>HYPERLINK("https://t.co/ZxI8kJ1VEi")</f>
        <v>https://t.co/ZxI8kJ1VEi</v>
      </c>
      <c r="AX1125" s="76" t="b">
        <v>0</v>
      </c>
      <c r="AY1125" s="76"/>
      <c r="AZ1125" s="76"/>
      <c r="BA1125" s="76" t="b">
        <v>0</v>
      </c>
      <c r="BB1125" s="76" t="b">
        <v>1</v>
      </c>
      <c r="BC1125" s="76" t="b">
        <v>1</v>
      </c>
      <c r="BD1125" s="76" t="b">
        <v>0</v>
      </c>
      <c r="BE1125" s="76" t="b">
        <v>0</v>
      </c>
      <c r="BF1125" s="76" t="b">
        <v>0</v>
      </c>
      <c r="BG1125" s="76" t="b">
        <v>0</v>
      </c>
      <c r="BH1125" s="82" t="str">
        <f>HYPERLINK("https://pbs.twimg.com/profile_banners/1428093445818683397/1665684703")</f>
        <v>https://pbs.twimg.com/profile_banners/1428093445818683397/1665684703</v>
      </c>
      <c r="BI1125" s="76"/>
      <c r="BJ1125" s="76" t="s">
        <v>27595</v>
      </c>
      <c r="BK1125" s="76" t="b">
        <v>0</v>
      </c>
      <c r="BL1125" s="76"/>
      <c r="BM1125" s="76" t="s">
        <v>66</v>
      </c>
      <c r="BN1125" s="76" t="s">
        <v>27597</v>
      </c>
      <c r="BO1125" s="82" t="str">
        <f>HYPERLINK("https://twitter.com/diarioreferenci")</f>
        <v>https://twitter.com/diarioreferenci</v>
      </c>
      <c r="BP1125" s="2"/>
    </row>
    <row r="1126" spans="1:68" x14ac:dyDescent="0.25">
      <c r="A1126" s="62" t="s">
        <v>1045</v>
      </c>
      <c r="B1126" s="63"/>
      <c r="C1126" s="63"/>
      <c r="D1126" s="64"/>
      <c r="E1126" s="66"/>
      <c r="F1126" s="103" t="str">
        <f>HYPERLINK("https://pbs.twimg.com/profile_images/1543720227581693952/nJHp4ISS_normal.jpg")</f>
        <v>https://pbs.twimg.com/profile_images/1543720227581693952/nJHp4ISS_normal.jpg</v>
      </c>
      <c r="G1126" s="63"/>
      <c r="H1126" s="67"/>
      <c r="I1126" s="68"/>
      <c r="J1126" s="68"/>
      <c r="K1126" s="67" t="s">
        <v>28720</v>
      </c>
      <c r="L1126" s="71"/>
      <c r="M1126" s="72"/>
      <c r="N1126" s="72"/>
      <c r="O1126" s="73"/>
      <c r="P1126" s="74"/>
      <c r="Q1126" s="74"/>
      <c r="R1126" s="87"/>
      <c r="S1126" s="87"/>
      <c r="T1126" s="87"/>
      <c r="U1126" s="87"/>
      <c r="V1126" s="48"/>
      <c r="W1126" s="48"/>
      <c r="X1126" s="48"/>
      <c r="Y1126" s="48"/>
      <c r="Z1126" s="47"/>
      <c r="AA1126" s="69">
        <v>1126</v>
      </c>
      <c r="AB1126" s="69"/>
      <c r="AC1126" s="70"/>
      <c r="AD1126" s="76" t="s">
        <v>22349</v>
      </c>
      <c r="AE1126" s="81" t="s">
        <v>20896</v>
      </c>
      <c r="AF1126" s="76">
        <v>726</v>
      </c>
      <c r="AG1126" s="76">
        <v>1128</v>
      </c>
      <c r="AH1126" s="76">
        <v>22293</v>
      </c>
      <c r="AI1126" s="76">
        <v>2</v>
      </c>
      <c r="AJ1126" s="76">
        <v>109</v>
      </c>
      <c r="AK1126" s="76">
        <v>0</v>
      </c>
      <c r="AL1126" s="76" t="b">
        <v>0</v>
      </c>
      <c r="AM1126" s="78">
        <v>44736.943055555559</v>
      </c>
      <c r="AN1126" s="76"/>
      <c r="AO1126" s="76" t="s">
        <v>22349</v>
      </c>
      <c r="AP1126" s="76"/>
      <c r="AQ1126" s="76"/>
      <c r="AR1126" s="76"/>
      <c r="AS1126" s="76"/>
      <c r="AT1126" s="76"/>
      <c r="AU1126" s="76"/>
      <c r="AV1126" s="76"/>
      <c r="AW1126" s="76"/>
      <c r="AX1126" s="76" t="b">
        <v>0</v>
      </c>
      <c r="AY1126" s="76"/>
      <c r="AZ1126" s="76"/>
      <c r="BA1126" s="76" t="b">
        <v>0</v>
      </c>
      <c r="BB1126" s="76" t="b">
        <v>1</v>
      </c>
      <c r="BC1126" s="76" t="b">
        <v>1</v>
      </c>
      <c r="BD1126" s="76" t="b">
        <v>0</v>
      </c>
      <c r="BE1126" s="76" t="b">
        <v>0</v>
      </c>
      <c r="BF1126" s="76" t="b">
        <v>0</v>
      </c>
      <c r="BG1126" s="76" t="b">
        <v>0</v>
      </c>
      <c r="BH1126" s="76"/>
      <c r="BI1126" s="76"/>
      <c r="BJ1126" s="76" t="s">
        <v>27595</v>
      </c>
      <c r="BK1126" s="76" t="b">
        <v>0</v>
      </c>
      <c r="BL1126" s="76"/>
      <c r="BM1126" s="76" t="s">
        <v>66</v>
      </c>
      <c r="BN1126" s="76" t="s">
        <v>27597</v>
      </c>
      <c r="BO1126" s="82" t="str">
        <f>HYPERLINK("https://twitter.com/zorolitt")</f>
        <v>https://twitter.com/zorolitt</v>
      </c>
      <c r="BP1126" s="2"/>
    </row>
    <row r="1127" spans="1:68" x14ac:dyDescent="0.25">
      <c r="A1127" s="62" t="s">
        <v>1046</v>
      </c>
      <c r="B1127" s="63"/>
      <c r="C1127" s="63"/>
      <c r="D1127" s="64"/>
      <c r="E1127" s="66"/>
      <c r="F1127" s="103" t="str">
        <f>HYPERLINK("https://pbs.twimg.com/profile_images/1612486412556800001/2NWbOiQn_normal.jpg")</f>
        <v>https://pbs.twimg.com/profile_images/1612486412556800001/2NWbOiQn_normal.jpg</v>
      </c>
      <c r="G1127" s="63"/>
      <c r="H1127" s="67"/>
      <c r="I1127" s="68"/>
      <c r="J1127" s="68"/>
      <c r="K1127" s="67" t="s">
        <v>28721</v>
      </c>
      <c r="L1127" s="71"/>
      <c r="M1127" s="72"/>
      <c r="N1127" s="72"/>
      <c r="O1127" s="73"/>
      <c r="P1127" s="74"/>
      <c r="Q1127" s="74"/>
      <c r="R1127" s="87"/>
      <c r="S1127" s="87"/>
      <c r="T1127" s="87"/>
      <c r="U1127" s="87"/>
      <c r="V1127" s="48"/>
      <c r="W1127" s="48"/>
      <c r="X1127" s="48"/>
      <c r="Y1127" s="48"/>
      <c r="Z1127" s="47"/>
      <c r="AA1127" s="69">
        <v>1127</v>
      </c>
      <c r="AB1127" s="69"/>
      <c r="AC1127" s="70"/>
      <c r="AD1127" s="76" t="s">
        <v>22350</v>
      </c>
      <c r="AE1127" s="81" t="s">
        <v>20897</v>
      </c>
      <c r="AF1127" s="76">
        <v>2150</v>
      </c>
      <c r="AG1127" s="76">
        <v>660</v>
      </c>
      <c r="AH1127" s="76">
        <v>18089</v>
      </c>
      <c r="AI1127" s="76">
        <v>6</v>
      </c>
      <c r="AJ1127" s="76">
        <v>869</v>
      </c>
      <c r="AK1127" s="76">
        <v>9170</v>
      </c>
      <c r="AL1127" s="76" t="b">
        <v>0</v>
      </c>
      <c r="AM1127" s="78">
        <v>44243.893483796295</v>
      </c>
      <c r="AN1127" s="76" t="s">
        <v>14385</v>
      </c>
      <c r="AO1127" s="76" t="s">
        <v>25715</v>
      </c>
      <c r="AP1127" s="82" t="str">
        <f>HYPERLINK("https://t.co/i7tXtH3XG2")</f>
        <v>https://t.co/i7tXtH3XG2</v>
      </c>
      <c r="AQ1127" s="82" t="str">
        <f>HYPERLINK("https://www.notaalpie.com.ar/")</f>
        <v>https://www.notaalpie.com.ar/</v>
      </c>
      <c r="AR1127" s="76" t="s">
        <v>26967</v>
      </c>
      <c r="AS1127" s="76"/>
      <c r="AT1127" s="76"/>
      <c r="AU1127" s="76"/>
      <c r="AV1127" s="76"/>
      <c r="AW1127" s="82" t="str">
        <f>HYPERLINK("https://t.co/i7tXtH3XG2")</f>
        <v>https://t.co/i7tXtH3XG2</v>
      </c>
      <c r="AX1127" s="76" t="b">
        <v>0</v>
      </c>
      <c r="AY1127" s="76"/>
      <c r="AZ1127" s="76"/>
      <c r="BA1127" s="76" t="b">
        <v>1</v>
      </c>
      <c r="BB1127" s="76" t="b">
        <v>1</v>
      </c>
      <c r="BC1127" s="76" t="b">
        <v>1</v>
      </c>
      <c r="BD1127" s="76" t="b">
        <v>0</v>
      </c>
      <c r="BE1127" s="76" t="b">
        <v>0</v>
      </c>
      <c r="BF1127" s="76" t="b">
        <v>0</v>
      </c>
      <c r="BG1127" s="76" t="b">
        <v>0</v>
      </c>
      <c r="BH1127" s="82" t="str">
        <f>HYPERLINK("https://pbs.twimg.com/profile_banners/1361788961899831299/1648996534")</f>
        <v>https://pbs.twimg.com/profile_banners/1361788961899831299/1648996534</v>
      </c>
      <c r="BI1127" s="76"/>
      <c r="BJ1127" s="76" t="s">
        <v>27595</v>
      </c>
      <c r="BK1127" s="76" t="b">
        <v>0</v>
      </c>
      <c r="BL1127" s="76"/>
      <c r="BM1127" s="76" t="s">
        <v>66</v>
      </c>
      <c r="BN1127" s="76" t="s">
        <v>27597</v>
      </c>
      <c r="BO1127" s="82" t="str">
        <f>HYPERLINK("https://twitter.com/notaalpieok")</f>
        <v>https://twitter.com/notaalpieok</v>
      </c>
      <c r="BP1127" s="2"/>
    </row>
    <row r="1128" spans="1:68" x14ac:dyDescent="0.25">
      <c r="A1128" s="62" t="s">
        <v>1947</v>
      </c>
      <c r="B1128" s="63"/>
      <c r="C1128" s="63"/>
      <c r="D1128" s="64"/>
      <c r="E1128" s="66"/>
      <c r="F1128" s="103" t="str">
        <f>HYPERLINK("https://pbs.twimg.com/profile_images/1366791313555927040/A4OtG2uy_normal.jpg")</f>
        <v>https://pbs.twimg.com/profile_images/1366791313555927040/A4OtG2uy_normal.jpg</v>
      </c>
      <c r="G1128" s="63"/>
      <c r="H1128" s="67"/>
      <c r="I1128" s="68"/>
      <c r="J1128" s="68"/>
      <c r="K1128" s="67" t="s">
        <v>28722</v>
      </c>
      <c r="L1128" s="71"/>
      <c r="M1128" s="72"/>
      <c r="N1128" s="72"/>
      <c r="O1128" s="73"/>
      <c r="P1128" s="74"/>
      <c r="Q1128" s="74"/>
      <c r="R1128" s="87"/>
      <c r="S1128" s="87"/>
      <c r="T1128" s="87"/>
      <c r="U1128" s="87"/>
      <c r="V1128" s="48"/>
      <c r="W1128" s="48"/>
      <c r="X1128" s="48"/>
      <c r="Y1128" s="48"/>
      <c r="Z1128" s="47"/>
      <c r="AA1128" s="69">
        <v>1128</v>
      </c>
      <c r="AB1128" s="69"/>
      <c r="AC1128" s="70"/>
      <c r="AD1128" s="76" t="s">
        <v>22351</v>
      </c>
      <c r="AE1128" s="81" t="s">
        <v>23659</v>
      </c>
      <c r="AF1128" s="76">
        <v>328629</v>
      </c>
      <c r="AG1128" s="76">
        <v>231</v>
      </c>
      <c r="AH1128" s="76">
        <v>4393</v>
      </c>
      <c r="AI1128" s="76">
        <v>1294</v>
      </c>
      <c r="AJ1128" s="76">
        <v>29</v>
      </c>
      <c r="AK1128" s="76">
        <v>2625</v>
      </c>
      <c r="AL1128" s="76" t="b">
        <v>0</v>
      </c>
      <c r="AM1128" s="78">
        <v>41395.747499999998</v>
      </c>
      <c r="AN1128" s="76" t="s">
        <v>24140</v>
      </c>
      <c r="AO1128" s="76" t="s">
        <v>25716</v>
      </c>
      <c r="AP1128" s="82" t="str">
        <f>HYPERLINK("https://t.co/ABFKJ56Zii")</f>
        <v>https://t.co/ABFKJ56Zii</v>
      </c>
      <c r="AQ1128" s="82" t="str">
        <f>HYPERLINK("https://www.imf.org/es")</f>
        <v>https://www.imf.org/es</v>
      </c>
      <c r="AR1128" s="76" t="s">
        <v>26968</v>
      </c>
      <c r="AS1128" s="76"/>
      <c r="AT1128" s="76"/>
      <c r="AU1128" s="76"/>
      <c r="AV1128" s="76"/>
      <c r="AW1128" s="82" t="str">
        <f>HYPERLINK("https://t.co/ABFKJ56Zii")</f>
        <v>https://t.co/ABFKJ56Zii</v>
      </c>
      <c r="AX1128" s="76" t="b">
        <v>0</v>
      </c>
      <c r="AY1128" s="76"/>
      <c r="AZ1128" s="76"/>
      <c r="BA1128" s="76" t="b">
        <v>0</v>
      </c>
      <c r="BB1128" s="76" t="b">
        <v>1</v>
      </c>
      <c r="BC1128" s="76" t="b">
        <v>0</v>
      </c>
      <c r="BD1128" s="76" t="b">
        <v>0</v>
      </c>
      <c r="BE1128" s="76" t="b">
        <v>1</v>
      </c>
      <c r="BF1128" s="76" t="b">
        <v>0</v>
      </c>
      <c r="BG1128" s="76" t="b">
        <v>0</v>
      </c>
      <c r="BH1128" s="82" t="str">
        <f>HYPERLINK("https://pbs.twimg.com/profile_banners/1395199711/1691598910")</f>
        <v>https://pbs.twimg.com/profile_banners/1395199711/1691598910</v>
      </c>
      <c r="BI1128" s="76"/>
      <c r="BJ1128" s="76" t="s">
        <v>27595</v>
      </c>
      <c r="BK1128" s="76" t="b">
        <v>0</v>
      </c>
      <c r="BL1128" s="76"/>
      <c r="BM1128" s="76" t="s">
        <v>65</v>
      </c>
      <c r="BN1128" s="76" t="s">
        <v>27597</v>
      </c>
      <c r="BO1128" s="82" t="str">
        <f>HYPERLINK("https://twitter.com/fminoticias")</f>
        <v>https://twitter.com/fminoticias</v>
      </c>
      <c r="BP1128" s="2"/>
    </row>
    <row r="1129" spans="1:68" x14ac:dyDescent="0.25">
      <c r="A1129" s="62" t="s">
        <v>1948</v>
      </c>
      <c r="B1129" s="63"/>
      <c r="C1129" s="63"/>
      <c r="D1129" s="64"/>
      <c r="E1129" s="66"/>
      <c r="F1129" s="103" t="str">
        <f>HYPERLINK("https://pbs.twimg.com/profile_images/1648012948260913152/wRDkJlA__normal.jpg")</f>
        <v>https://pbs.twimg.com/profile_images/1648012948260913152/wRDkJlA__normal.jpg</v>
      </c>
      <c r="G1129" s="63"/>
      <c r="H1129" s="67"/>
      <c r="I1129" s="68"/>
      <c r="J1129" s="68"/>
      <c r="K1129" s="67" t="s">
        <v>28723</v>
      </c>
      <c r="L1129" s="71"/>
      <c r="M1129" s="72"/>
      <c r="N1129" s="72"/>
      <c r="O1129" s="73"/>
      <c r="P1129" s="74"/>
      <c r="Q1129" s="74"/>
      <c r="R1129" s="87"/>
      <c r="S1129" s="87"/>
      <c r="T1129" s="87"/>
      <c r="U1129" s="87"/>
      <c r="V1129" s="48"/>
      <c r="W1129" s="48"/>
      <c r="X1129" s="48"/>
      <c r="Y1129" s="48"/>
      <c r="Z1129" s="47"/>
      <c r="AA1129" s="69">
        <v>1129</v>
      </c>
      <c r="AB1129" s="69"/>
      <c r="AC1129" s="70"/>
      <c r="AD1129" s="76" t="s">
        <v>22352</v>
      </c>
      <c r="AE1129" s="81" t="s">
        <v>23660</v>
      </c>
      <c r="AF1129" s="76">
        <v>435</v>
      </c>
      <c r="AG1129" s="76">
        <v>396</v>
      </c>
      <c r="AH1129" s="76">
        <v>11652</v>
      </c>
      <c r="AI1129" s="76">
        <v>1</v>
      </c>
      <c r="AJ1129" s="76">
        <v>8923</v>
      </c>
      <c r="AK1129" s="76">
        <v>102</v>
      </c>
      <c r="AL1129" s="76" t="b">
        <v>0</v>
      </c>
      <c r="AM1129" s="78">
        <v>41426.625428240739</v>
      </c>
      <c r="AN1129" s="76" t="s">
        <v>24476</v>
      </c>
      <c r="AO1129" s="76" t="s">
        <v>25717</v>
      </c>
      <c r="AP1129" s="82" t="str">
        <f>HYPERLINK("https://t.co/M08hKNI7pN")</f>
        <v>https://t.co/M08hKNI7pN</v>
      </c>
      <c r="AQ1129" s="82" t="str">
        <f>HYPERLINK("https://linktr.ee/julian_bernadaz")</f>
        <v>https://linktr.ee/julian_bernadaz</v>
      </c>
      <c r="AR1129" s="76" t="s">
        <v>26969</v>
      </c>
      <c r="AS1129" s="76"/>
      <c r="AT1129" s="76"/>
      <c r="AU1129" s="76"/>
      <c r="AV1129" s="76">
        <v>1.3817821114813801E+18</v>
      </c>
      <c r="AW1129" s="82" t="str">
        <f>HYPERLINK("https://t.co/M08hKNI7pN")</f>
        <v>https://t.co/M08hKNI7pN</v>
      </c>
      <c r="AX1129" s="76" t="b">
        <v>0</v>
      </c>
      <c r="AY1129" s="76"/>
      <c r="AZ1129" s="76"/>
      <c r="BA1129" s="76" t="b">
        <v>0</v>
      </c>
      <c r="BB1129" s="76" t="b">
        <v>1</v>
      </c>
      <c r="BC1129" s="76" t="b">
        <v>0</v>
      </c>
      <c r="BD1129" s="76" t="b">
        <v>0</v>
      </c>
      <c r="BE1129" s="76" t="b">
        <v>1</v>
      </c>
      <c r="BF1129" s="76" t="b">
        <v>0</v>
      </c>
      <c r="BG1129" s="76" t="b">
        <v>0</v>
      </c>
      <c r="BH1129" s="82" t="str">
        <f>HYPERLINK("https://pbs.twimg.com/profile_banners/1474942237/1671626126")</f>
        <v>https://pbs.twimg.com/profile_banners/1474942237/1671626126</v>
      </c>
      <c r="BI1129" s="76"/>
      <c r="BJ1129" s="76" t="s">
        <v>27595</v>
      </c>
      <c r="BK1129" s="76" t="b">
        <v>0</v>
      </c>
      <c r="BL1129" s="76"/>
      <c r="BM1129" s="76" t="s">
        <v>65</v>
      </c>
      <c r="BN1129" s="76" t="s">
        <v>27597</v>
      </c>
      <c r="BO1129" s="82" t="str">
        <f>HYPERLINK("https://twitter.com/julian_bernadaz")</f>
        <v>https://twitter.com/julian_bernadaz</v>
      </c>
      <c r="BP1129" s="2"/>
    </row>
    <row r="1130" spans="1:68" x14ac:dyDescent="0.25">
      <c r="A1130" s="62" t="s">
        <v>1047</v>
      </c>
      <c r="B1130" s="63"/>
      <c r="C1130" s="63"/>
      <c r="D1130" s="64"/>
      <c r="E1130" s="66"/>
      <c r="F1130" s="103" t="str">
        <f>HYPERLINK("https://pbs.twimg.com/profile_images/1607507422456717312/3fF80GcF_normal.jpg")</f>
        <v>https://pbs.twimg.com/profile_images/1607507422456717312/3fF80GcF_normal.jpg</v>
      </c>
      <c r="G1130" s="63"/>
      <c r="H1130" s="67"/>
      <c r="I1130" s="68"/>
      <c r="J1130" s="68"/>
      <c r="K1130" s="67" t="s">
        <v>28724</v>
      </c>
      <c r="L1130" s="71"/>
      <c r="M1130" s="72"/>
      <c r="N1130" s="72"/>
      <c r="O1130" s="73"/>
      <c r="P1130" s="74"/>
      <c r="Q1130" s="74"/>
      <c r="R1130" s="87"/>
      <c r="S1130" s="87"/>
      <c r="T1130" s="87"/>
      <c r="U1130" s="87"/>
      <c r="V1130" s="48"/>
      <c r="W1130" s="48"/>
      <c r="X1130" s="48"/>
      <c r="Y1130" s="48"/>
      <c r="Z1130" s="47"/>
      <c r="AA1130" s="69">
        <v>1130</v>
      </c>
      <c r="AB1130" s="69"/>
      <c r="AC1130" s="70"/>
      <c r="AD1130" s="76" t="s">
        <v>22353</v>
      </c>
      <c r="AE1130" s="81" t="s">
        <v>23661</v>
      </c>
      <c r="AF1130" s="76">
        <v>148</v>
      </c>
      <c r="AG1130" s="76">
        <v>22</v>
      </c>
      <c r="AH1130" s="76">
        <v>26664</v>
      </c>
      <c r="AI1130" s="76">
        <v>0</v>
      </c>
      <c r="AJ1130" s="76">
        <v>28557</v>
      </c>
      <c r="AK1130" s="76">
        <v>224</v>
      </c>
      <c r="AL1130" s="76" t="b">
        <v>0</v>
      </c>
      <c r="AM1130" s="78">
        <v>40166.04278935185</v>
      </c>
      <c r="AN1130" s="76"/>
      <c r="AO1130" s="76"/>
      <c r="AP1130" s="76"/>
      <c r="AQ1130" s="76"/>
      <c r="AR1130" s="76"/>
      <c r="AS1130" s="76"/>
      <c r="AT1130" s="76"/>
      <c r="AU1130" s="76"/>
      <c r="AV1130" s="76">
        <v>1.66047101159313E+18</v>
      </c>
      <c r="AW1130" s="76"/>
      <c r="AX1130" s="76" t="b">
        <v>0</v>
      </c>
      <c r="AY1130" s="76"/>
      <c r="AZ1130" s="76"/>
      <c r="BA1130" s="76" t="b">
        <v>0</v>
      </c>
      <c r="BB1130" s="76" t="b">
        <v>1</v>
      </c>
      <c r="BC1130" s="76" t="b">
        <v>1</v>
      </c>
      <c r="BD1130" s="76" t="b">
        <v>0</v>
      </c>
      <c r="BE1130" s="76" t="b">
        <v>0</v>
      </c>
      <c r="BF1130" s="76" t="b">
        <v>0</v>
      </c>
      <c r="BG1130" s="76" t="b">
        <v>0</v>
      </c>
      <c r="BH1130" s="82" t="str">
        <f>HYPERLINK("https://pbs.twimg.com/profile_banners/97785458/1493640632")</f>
        <v>https://pbs.twimg.com/profile_banners/97785458/1493640632</v>
      </c>
      <c r="BI1130" s="76"/>
      <c r="BJ1130" s="76" t="s">
        <v>27595</v>
      </c>
      <c r="BK1130" s="76" t="b">
        <v>0</v>
      </c>
      <c r="BL1130" s="76"/>
      <c r="BM1130" s="76" t="s">
        <v>66</v>
      </c>
      <c r="BN1130" s="76" t="s">
        <v>27597</v>
      </c>
      <c r="BO1130" s="82" t="str">
        <f>HYPERLINK("https://twitter.com/cgabia")</f>
        <v>https://twitter.com/cgabia</v>
      </c>
      <c r="BP1130" s="2"/>
    </row>
    <row r="1131" spans="1:68" x14ac:dyDescent="0.25">
      <c r="A1131" s="62" t="s">
        <v>1048</v>
      </c>
      <c r="B1131" s="63"/>
      <c r="C1131" s="63"/>
      <c r="D1131" s="64"/>
      <c r="E1131" s="66"/>
      <c r="F1131" s="103" t="str">
        <f>HYPERLINK("https://pbs.twimg.com/profile_images/1583266031228911616/J_Oe7Y3a_normal.jpg")</f>
        <v>https://pbs.twimg.com/profile_images/1583266031228911616/J_Oe7Y3a_normal.jpg</v>
      </c>
      <c r="G1131" s="63"/>
      <c r="H1131" s="67"/>
      <c r="I1131" s="68"/>
      <c r="J1131" s="68"/>
      <c r="K1131" s="67" t="s">
        <v>28725</v>
      </c>
      <c r="L1131" s="71"/>
      <c r="M1131" s="72"/>
      <c r="N1131" s="72"/>
      <c r="O1131" s="73"/>
      <c r="P1131" s="74"/>
      <c r="Q1131" s="74"/>
      <c r="R1131" s="87"/>
      <c r="S1131" s="87"/>
      <c r="T1131" s="87"/>
      <c r="U1131" s="87"/>
      <c r="V1131" s="48"/>
      <c r="W1131" s="48"/>
      <c r="X1131" s="48"/>
      <c r="Y1131" s="48"/>
      <c r="Z1131" s="47"/>
      <c r="AA1131" s="69">
        <v>1131</v>
      </c>
      <c r="AB1131" s="69"/>
      <c r="AC1131" s="70"/>
      <c r="AD1131" s="76" t="s">
        <v>22354</v>
      </c>
      <c r="AE1131" s="81" t="s">
        <v>20898</v>
      </c>
      <c r="AF1131" s="76">
        <v>11</v>
      </c>
      <c r="AG1131" s="76">
        <v>44</v>
      </c>
      <c r="AH1131" s="76">
        <v>246</v>
      </c>
      <c r="AI1131" s="76">
        <v>0</v>
      </c>
      <c r="AJ1131" s="76">
        <v>320</v>
      </c>
      <c r="AK1131" s="76">
        <v>56</v>
      </c>
      <c r="AL1131" s="76" t="b">
        <v>0</v>
      </c>
      <c r="AM1131" s="78">
        <v>44855.053194444445</v>
      </c>
      <c r="AN1131" s="76"/>
      <c r="AO1131" s="76" t="s">
        <v>25718</v>
      </c>
      <c r="AP1131" s="76"/>
      <c r="AQ1131" s="76"/>
      <c r="AR1131" s="76"/>
      <c r="AS1131" s="76"/>
      <c r="AT1131" s="76"/>
      <c r="AU1131" s="76"/>
      <c r="AV1131" s="76"/>
      <c r="AW1131" s="76"/>
      <c r="AX1131" s="76" t="b">
        <v>0</v>
      </c>
      <c r="AY1131" s="76"/>
      <c r="AZ1131" s="76"/>
      <c r="BA1131" s="76" t="b">
        <v>0</v>
      </c>
      <c r="BB1131" s="76" t="b">
        <v>1</v>
      </c>
      <c r="BC1131" s="76" t="b">
        <v>1</v>
      </c>
      <c r="BD1131" s="76" t="b">
        <v>0</v>
      </c>
      <c r="BE1131" s="76" t="b">
        <v>0</v>
      </c>
      <c r="BF1131" s="76" t="b">
        <v>0</v>
      </c>
      <c r="BG1131" s="76" t="b">
        <v>0</v>
      </c>
      <c r="BH1131" s="76"/>
      <c r="BI1131" s="76"/>
      <c r="BJ1131" s="76" t="s">
        <v>27595</v>
      </c>
      <c r="BK1131" s="76" t="b">
        <v>0</v>
      </c>
      <c r="BL1131" s="76"/>
      <c r="BM1131" s="76" t="s">
        <v>66</v>
      </c>
      <c r="BN1131" s="76" t="s">
        <v>27597</v>
      </c>
      <c r="BO1131" s="82" t="str">
        <f>HYPERLINK("https://twitter.com/valentina38l")</f>
        <v>https://twitter.com/valentina38l</v>
      </c>
      <c r="BP1131" s="2"/>
    </row>
    <row r="1132" spans="1:68" x14ac:dyDescent="0.25">
      <c r="A1132" s="62" t="s">
        <v>1049</v>
      </c>
      <c r="B1132" s="63"/>
      <c r="C1132" s="63"/>
      <c r="D1132" s="64"/>
      <c r="E1132" s="66"/>
      <c r="F1132" s="103" t="str">
        <f>HYPERLINK("https://pbs.twimg.com/profile_images/1643762335956312065/TT6SEQ1x_normal.jpg")</f>
        <v>https://pbs.twimg.com/profile_images/1643762335956312065/TT6SEQ1x_normal.jpg</v>
      </c>
      <c r="G1132" s="63"/>
      <c r="H1132" s="67"/>
      <c r="I1132" s="68"/>
      <c r="J1132" s="68"/>
      <c r="K1132" s="67" t="s">
        <v>28726</v>
      </c>
      <c r="L1132" s="71"/>
      <c r="M1132" s="72"/>
      <c r="N1132" s="72"/>
      <c r="O1132" s="73"/>
      <c r="P1132" s="74"/>
      <c r="Q1132" s="74"/>
      <c r="R1132" s="87"/>
      <c r="S1132" s="87"/>
      <c r="T1132" s="87"/>
      <c r="U1132" s="87"/>
      <c r="V1132" s="48"/>
      <c r="W1132" s="48"/>
      <c r="X1132" s="48"/>
      <c r="Y1132" s="48"/>
      <c r="Z1132" s="47"/>
      <c r="AA1132" s="69">
        <v>1132</v>
      </c>
      <c r="AB1132" s="69"/>
      <c r="AC1132" s="70"/>
      <c r="AD1132" s="76" t="s">
        <v>22355</v>
      </c>
      <c r="AE1132" s="81" t="s">
        <v>23662</v>
      </c>
      <c r="AF1132" s="76">
        <v>2659</v>
      </c>
      <c r="AG1132" s="76">
        <v>5003</v>
      </c>
      <c r="AH1132" s="76">
        <v>5892</v>
      </c>
      <c r="AI1132" s="76">
        <v>1</v>
      </c>
      <c r="AJ1132" s="76">
        <v>4492</v>
      </c>
      <c r="AK1132" s="76">
        <v>376</v>
      </c>
      <c r="AL1132" s="76" t="b">
        <v>0</v>
      </c>
      <c r="AM1132" s="78">
        <v>40016.869398148148</v>
      </c>
      <c r="AN1132" s="76"/>
      <c r="AO1132" s="76"/>
      <c r="AP1132" s="76"/>
      <c r="AQ1132" s="76"/>
      <c r="AR1132" s="76"/>
      <c r="AS1132" s="76"/>
      <c r="AT1132" s="76"/>
      <c r="AU1132" s="76"/>
      <c r="AV1132" s="76"/>
      <c r="AW1132" s="76"/>
      <c r="AX1132" s="76" t="b">
        <v>0</v>
      </c>
      <c r="AY1132" s="76"/>
      <c r="AZ1132" s="76"/>
      <c r="BA1132" s="76" t="b">
        <v>0</v>
      </c>
      <c r="BB1132" s="76" t="b">
        <v>1</v>
      </c>
      <c r="BC1132" s="76" t="b">
        <v>0</v>
      </c>
      <c r="BD1132" s="76" t="b">
        <v>0</v>
      </c>
      <c r="BE1132" s="76" t="b">
        <v>1</v>
      </c>
      <c r="BF1132" s="76" t="b">
        <v>0</v>
      </c>
      <c r="BG1132" s="76" t="b">
        <v>0</v>
      </c>
      <c r="BH1132" s="82" t="str">
        <f>HYPERLINK("https://pbs.twimg.com/profile_banners/59245505/1686829217")</f>
        <v>https://pbs.twimg.com/profile_banners/59245505/1686829217</v>
      </c>
      <c r="BI1132" s="76"/>
      <c r="BJ1132" s="76" t="s">
        <v>27595</v>
      </c>
      <c r="BK1132" s="76" t="b">
        <v>0</v>
      </c>
      <c r="BL1132" s="76"/>
      <c r="BM1132" s="76" t="s">
        <v>66</v>
      </c>
      <c r="BN1132" s="76" t="s">
        <v>27597</v>
      </c>
      <c r="BO1132" s="82" t="str">
        <f>HYPERLINK("https://twitter.com/rogermatos24")</f>
        <v>https://twitter.com/rogermatos24</v>
      </c>
      <c r="BP1132" s="2"/>
    </row>
    <row r="1133" spans="1:68" x14ac:dyDescent="0.25">
      <c r="A1133" s="62" t="s">
        <v>1256</v>
      </c>
      <c r="B1133" s="63"/>
      <c r="C1133" s="63"/>
      <c r="D1133" s="64"/>
      <c r="E1133" s="66"/>
      <c r="F1133" s="103" t="str">
        <f>HYPERLINK("https://pbs.twimg.com/profile_images/1320764946678976514/CDdWGlIn_normal.jpg")</f>
        <v>https://pbs.twimg.com/profile_images/1320764946678976514/CDdWGlIn_normal.jpg</v>
      </c>
      <c r="G1133" s="63"/>
      <c r="H1133" s="67"/>
      <c r="I1133" s="68"/>
      <c r="J1133" s="68"/>
      <c r="K1133" s="67" t="s">
        <v>28727</v>
      </c>
      <c r="L1133" s="71"/>
      <c r="M1133" s="72"/>
      <c r="N1133" s="72"/>
      <c r="O1133" s="73"/>
      <c r="P1133" s="74"/>
      <c r="Q1133" s="74"/>
      <c r="R1133" s="87"/>
      <c r="S1133" s="87"/>
      <c r="T1133" s="87"/>
      <c r="U1133" s="87"/>
      <c r="V1133" s="48"/>
      <c r="W1133" s="48"/>
      <c r="X1133" s="48"/>
      <c r="Y1133" s="48"/>
      <c r="Z1133" s="47"/>
      <c r="AA1133" s="69">
        <v>1133</v>
      </c>
      <c r="AB1133" s="69"/>
      <c r="AC1133" s="70"/>
      <c r="AD1133" s="76" t="s">
        <v>22356</v>
      </c>
      <c r="AE1133" s="81" t="s">
        <v>21003</v>
      </c>
      <c r="AF1133" s="76">
        <v>40405</v>
      </c>
      <c r="AG1133" s="76">
        <v>89</v>
      </c>
      <c r="AH1133" s="76">
        <v>94805</v>
      </c>
      <c r="AI1133" s="76">
        <v>145</v>
      </c>
      <c r="AJ1133" s="76">
        <v>24</v>
      </c>
      <c r="AK1133" s="76">
        <v>26752</v>
      </c>
      <c r="AL1133" s="76" t="b">
        <v>0</v>
      </c>
      <c r="AM1133" s="78">
        <v>42885.745370370372</v>
      </c>
      <c r="AN1133" s="76" t="s">
        <v>14382</v>
      </c>
      <c r="AO1133" s="76" t="s">
        <v>25719</v>
      </c>
      <c r="AP1133" s="82" t="str">
        <f>HYPERLINK("https://t.co/FZaw031R55")</f>
        <v>https://t.co/FZaw031R55</v>
      </c>
      <c r="AQ1133" s="82" t="str">
        <f>HYPERLINK("https://pleno.news/")</f>
        <v>https://pleno.news/</v>
      </c>
      <c r="AR1133" s="76" t="s">
        <v>8818</v>
      </c>
      <c r="AS1133" s="76" t="s">
        <v>27388</v>
      </c>
      <c r="AT1133" s="76" t="s">
        <v>27427</v>
      </c>
      <c r="AU1133" s="76" t="s">
        <v>27528</v>
      </c>
      <c r="AV1133" s="76"/>
      <c r="AW1133" s="82" t="str">
        <f>HYPERLINK("https://t.co/FZaw031R55")</f>
        <v>https://t.co/FZaw031R55</v>
      </c>
      <c r="AX1133" s="76" t="b">
        <v>0</v>
      </c>
      <c r="AY1133" s="76"/>
      <c r="AZ1133" s="76"/>
      <c r="BA1133" s="76" t="b">
        <v>1</v>
      </c>
      <c r="BB1133" s="76" t="b">
        <v>1</v>
      </c>
      <c r="BC1133" s="76" t="b">
        <v>1</v>
      </c>
      <c r="BD1133" s="76" t="b">
        <v>0</v>
      </c>
      <c r="BE1133" s="76" t="b">
        <v>1</v>
      </c>
      <c r="BF1133" s="76" t="b">
        <v>0</v>
      </c>
      <c r="BG1133" s="76" t="b">
        <v>0</v>
      </c>
      <c r="BH1133" s="82" t="str">
        <f>HYPERLINK("https://pbs.twimg.com/profile_banners/869612706839580672/1619626903")</f>
        <v>https://pbs.twimg.com/profile_banners/869612706839580672/1619626903</v>
      </c>
      <c r="BI1133" s="76"/>
      <c r="BJ1133" s="76" t="s">
        <v>27595</v>
      </c>
      <c r="BK1133" s="76" t="b">
        <v>0</v>
      </c>
      <c r="BL1133" s="76"/>
      <c r="BM1133" s="76" t="s">
        <v>66</v>
      </c>
      <c r="BN1133" s="76" t="s">
        <v>27597</v>
      </c>
      <c r="BO1133" s="82" t="str">
        <f>HYPERLINK("https://twitter.com/plenonews")</f>
        <v>https://twitter.com/plenonews</v>
      </c>
      <c r="BP1133" s="2"/>
    </row>
    <row r="1134" spans="1:68" x14ac:dyDescent="0.25">
      <c r="A1134" s="62" t="s">
        <v>1050</v>
      </c>
      <c r="B1134" s="63"/>
      <c r="C1134" s="63"/>
      <c r="D1134" s="64"/>
      <c r="E1134" s="66"/>
      <c r="F1134" s="103" t="str">
        <f>HYPERLINK("https://pbs.twimg.com/profile_images/767506221616291840/oxWsLvlQ_normal.jpg")</f>
        <v>https://pbs.twimg.com/profile_images/767506221616291840/oxWsLvlQ_normal.jpg</v>
      </c>
      <c r="G1134" s="63"/>
      <c r="H1134" s="67"/>
      <c r="I1134" s="68"/>
      <c r="J1134" s="68"/>
      <c r="K1134" s="67" t="s">
        <v>28728</v>
      </c>
      <c r="L1134" s="71"/>
      <c r="M1134" s="72"/>
      <c r="N1134" s="72"/>
      <c r="O1134" s="73"/>
      <c r="P1134" s="74"/>
      <c r="Q1134" s="74"/>
      <c r="R1134" s="87"/>
      <c r="S1134" s="87"/>
      <c r="T1134" s="87"/>
      <c r="U1134" s="87"/>
      <c r="V1134" s="48"/>
      <c r="W1134" s="48"/>
      <c r="X1134" s="48"/>
      <c r="Y1134" s="48"/>
      <c r="Z1134" s="47"/>
      <c r="AA1134" s="69">
        <v>1134</v>
      </c>
      <c r="AB1134" s="69"/>
      <c r="AC1134" s="70"/>
      <c r="AD1134" s="76" t="s">
        <v>22357</v>
      </c>
      <c r="AE1134" s="81" t="s">
        <v>23663</v>
      </c>
      <c r="AF1134" s="76">
        <v>86</v>
      </c>
      <c r="AG1134" s="76">
        <v>250</v>
      </c>
      <c r="AH1134" s="76">
        <v>1796</v>
      </c>
      <c r="AI1134" s="76">
        <v>0</v>
      </c>
      <c r="AJ1134" s="76">
        <v>1915</v>
      </c>
      <c r="AK1134" s="76">
        <v>413</v>
      </c>
      <c r="AL1134" s="76" t="b">
        <v>0</v>
      </c>
      <c r="AM1134" s="78">
        <v>41446.099583333336</v>
      </c>
      <c r="AN1134" s="76"/>
      <c r="AO1134" s="76" t="s">
        <v>25720</v>
      </c>
      <c r="AP1134" s="76"/>
      <c r="AQ1134" s="76"/>
      <c r="AR1134" s="76"/>
      <c r="AS1134" s="76"/>
      <c r="AT1134" s="76"/>
      <c r="AU1134" s="76"/>
      <c r="AV1134" s="76"/>
      <c r="AW1134" s="76"/>
      <c r="AX1134" s="76" t="b">
        <v>0</v>
      </c>
      <c r="AY1134" s="76"/>
      <c r="AZ1134" s="76"/>
      <c r="BA1134" s="76" t="b">
        <v>0</v>
      </c>
      <c r="BB1134" s="76" t="b">
        <v>1</v>
      </c>
      <c r="BC1134" s="76" t="b">
        <v>1</v>
      </c>
      <c r="BD1134" s="76" t="b">
        <v>0</v>
      </c>
      <c r="BE1134" s="76" t="b">
        <v>0</v>
      </c>
      <c r="BF1134" s="76" t="b">
        <v>0</v>
      </c>
      <c r="BG1134" s="76" t="b">
        <v>0</v>
      </c>
      <c r="BH1134" s="82" t="str">
        <f>HYPERLINK("https://pbs.twimg.com/profile_banners/1535550655/1664674126")</f>
        <v>https://pbs.twimg.com/profile_banners/1535550655/1664674126</v>
      </c>
      <c r="BI1134" s="76"/>
      <c r="BJ1134" s="76" t="s">
        <v>27595</v>
      </c>
      <c r="BK1134" s="76" t="b">
        <v>0</v>
      </c>
      <c r="BL1134" s="76"/>
      <c r="BM1134" s="76" t="s">
        <v>66</v>
      </c>
      <c r="BN1134" s="76" t="s">
        <v>27597</v>
      </c>
      <c r="BO1134" s="82" t="str">
        <f>HYPERLINK("https://twitter.com/cjsbarros")</f>
        <v>https://twitter.com/cjsbarros</v>
      </c>
      <c r="BP1134" s="2"/>
    </row>
    <row r="1135" spans="1:68" x14ac:dyDescent="0.25">
      <c r="A1135" s="62" t="s">
        <v>1051</v>
      </c>
      <c r="B1135" s="63"/>
      <c r="C1135" s="63"/>
      <c r="D1135" s="64"/>
      <c r="E1135" s="66"/>
      <c r="F1135" s="103" t="str">
        <f>HYPERLINK("https://pbs.twimg.com/profile_images/1573693095413178371/5I9pO_-W_normal.jpg")</f>
        <v>https://pbs.twimg.com/profile_images/1573693095413178371/5I9pO_-W_normal.jpg</v>
      </c>
      <c r="G1135" s="63"/>
      <c r="H1135" s="67"/>
      <c r="I1135" s="68"/>
      <c r="J1135" s="68"/>
      <c r="K1135" s="67" t="s">
        <v>28729</v>
      </c>
      <c r="L1135" s="71"/>
      <c r="M1135" s="72"/>
      <c r="N1135" s="72"/>
      <c r="O1135" s="73"/>
      <c r="P1135" s="74"/>
      <c r="Q1135" s="74"/>
      <c r="R1135" s="87"/>
      <c r="S1135" s="87"/>
      <c r="T1135" s="87"/>
      <c r="U1135" s="87"/>
      <c r="V1135" s="48"/>
      <c r="W1135" s="48"/>
      <c r="X1135" s="48"/>
      <c r="Y1135" s="48"/>
      <c r="Z1135" s="47"/>
      <c r="AA1135" s="69">
        <v>1135</v>
      </c>
      <c r="AB1135" s="69"/>
      <c r="AC1135" s="70"/>
      <c r="AD1135" s="76" t="s">
        <v>22358</v>
      </c>
      <c r="AE1135" s="81" t="s">
        <v>20899</v>
      </c>
      <c r="AF1135" s="76">
        <v>980</v>
      </c>
      <c r="AG1135" s="76">
        <v>122</v>
      </c>
      <c r="AH1135" s="76">
        <v>10227</v>
      </c>
      <c r="AI1135" s="76">
        <v>5</v>
      </c>
      <c r="AJ1135" s="76">
        <v>14681</v>
      </c>
      <c r="AK1135" s="76">
        <v>4690</v>
      </c>
      <c r="AL1135" s="76" t="b">
        <v>0</v>
      </c>
      <c r="AM1135" s="78">
        <v>43794.803310185183</v>
      </c>
      <c r="AN1135" s="76" t="s">
        <v>24433</v>
      </c>
      <c r="AO1135" s="76" t="s">
        <v>25721</v>
      </c>
      <c r="AP1135" s="82" t="str">
        <f>HYPERLINK("https://t.co/ljWvronswf")</f>
        <v>https://t.co/ljWvronswf</v>
      </c>
      <c r="AQ1135" s="82" t="str">
        <f>HYPERLINK("http://www.canal23formosa.com.ar")</f>
        <v>http://www.canal23formosa.com.ar</v>
      </c>
      <c r="AR1135" s="76" t="s">
        <v>26970</v>
      </c>
      <c r="AS1135" s="76"/>
      <c r="AT1135" s="76"/>
      <c r="AU1135" s="76"/>
      <c r="AV1135" s="76"/>
      <c r="AW1135" s="82" t="str">
        <f>HYPERLINK("https://t.co/ljWvronswf")</f>
        <v>https://t.co/ljWvronswf</v>
      </c>
      <c r="AX1135" s="76" t="b">
        <v>0</v>
      </c>
      <c r="AY1135" s="76"/>
      <c r="AZ1135" s="76"/>
      <c r="BA1135" s="76" t="b">
        <v>0</v>
      </c>
      <c r="BB1135" s="76" t="b">
        <v>1</v>
      </c>
      <c r="BC1135" s="76" t="b">
        <v>1</v>
      </c>
      <c r="BD1135" s="76" t="b">
        <v>0</v>
      </c>
      <c r="BE1135" s="76" t="b">
        <v>1</v>
      </c>
      <c r="BF1135" s="76" t="b">
        <v>0</v>
      </c>
      <c r="BG1135" s="76" t="b">
        <v>0</v>
      </c>
      <c r="BH1135" s="82" t="str">
        <f>HYPERLINK("https://pbs.twimg.com/profile_banners/1199044185313165313/1679940369")</f>
        <v>https://pbs.twimg.com/profile_banners/1199044185313165313/1679940369</v>
      </c>
      <c r="BI1135" s="76"/>
      <c r="BJ1135" s="76" t="s">
        <v>27595</v>
      </c>
      <c r="BK1135" s="76" t="b">
        <v>0</v>
      </c>
      <c r="BL1135" s="76"/>
      <c r="BM1135" s="76" t="s">
        <v>66</v>
      </c>
      <c r="BN1135" s="76" t="s">
        <v>27597</v>
      </c>
      <c r="BO1135" s="82" t="str">
        <f>HYPERLINK("https://twitter.com/canalformosa")</f>
        <v>https://twitter.com/canalformosa</v>
      </c>
      <c r="BP1135" s="2"/>
    </row>
    <row r="1136" spans="1:68" x14ac:dyDescent="0.25">
      <c r="A1136" s="62" t="s">
        <v>1052</v>
      </c>
      <c r="B1136" s="63"/>
      <c r="C1136" s="63"/>
      <c r="D1136" s="64"/>
      <c r="E1136" s="66"/>
      <c r="F1136" s="103" t="str">
        <f>HYPERLINK("https://pbs.twimg.com/profile_images/1457762957727715330/ZeYk0sOJ_normal.jpg")</f>
        <v>https://pbs.twimg.com/profile_images/1457762957727715330/ZeYk0sOJ_normal.jpg</v>
      </c>
      <c r="G1136" s="63"/>
      <c r="H1136" s="67"/>
      <c r="I1136" s="68"/>
      <c r="J1136" s="68"/>
      <c r="K1136" s="67" t="s">
        <v>28730</v>
      </c>
      <c r="L1136" s="71"/>
      <c r="M1136" s="72"/>
      <c r="N1136" s="72"/>
      <c r="O1136" s="73"/>
      <c r="P1136" s="74"/>
      <c r="Q1136" s="74"/>
      <c r="R1136" s="87"/>
      <c r="S1136" s="87"/>
      <c r="T1136" s="87"/>
      <c r="U1136" s="87"/>
      <c r="V1136" s="48"/>
      <c r="W1136" s="48"/>
      <c r="X1136" s="48"/>
      <c r="Y1136" s="48"/>
      <c r="Z1136" s="47"/>
      <c r="AA1136" s="69">
        <v>1136</v>
      </c>
      <c r="AB1136" s="69"/>
      <c r="AC1136" s="70"/>
      <c r="AD1136" s="76" t="s">
        <v>22359</v>
      </c>
      <c r="AE1136" s="81" t="s">
        <v>20900</v>
      </c>
      <c r="AF1136" s="76">
        <v>313</v>
      </c>
      <c r="AG1136" s="76">
        <v>36</v>
      </c>
      <c r="AH1136" s="76">
        <v>574</v>
      </c>
      <c r="AI1136" s="76">
        <v>0</v>
      </c>
      <c r="AJ1136" s="76">
        <v>307</v>
      </c>
      <c r="AK1136" s="76">
        <v>125</v>
      </c>
      <c r="AL1136" s="76" t="b">
        <v>0</v>
      </c>
      <c r="AM1136" s="78">
        <v>44506.646979166668</v>
      </c>
      <c r="AN1136" s="76"/>
      <c r="AO1136" s="76" t="s">
        <v>25722</v>
      </c>
      <c r="AP1136" s="76"/>
      <c r="AQ1136" s="76"/>
      <c r="AR1136" s="76"/>
      <c r="AS1136" s="76"/>
      <c r="AT1136" s="76"/>
      <c r="AU1136" s="76"/>
      <c r="AV1136" s="76"/>
      <c r="AW1136" s="76"/>
      <c r="AX1136" s="76" t="b">
        <v>0</v>
      </c>
      <c r="AY1136" s="76"/>
      <c r="AZ1136" s="76"/>
      <c r="BA1136" s="76" t="b">
        <v>0</v>
      </c>
      <c r="BB1136" s="76" t="b">
        <v>1</v>
      </c>
      <c r="BC1136" s="76" t="b">
        <v>1</v>
      </c>
      <c r="BD1136" s="76" t="b">
        <v>0</v>
      </c>
      <c r="BE1136" s="76" t="b">
        <v>0</v>
      </c>
      <c r="BF1136" s="76" t="b">
        <v>0</v>
      </c>
      <c r="BG1136" s="76" t="b">
        <v>0</v>
      </c>
      <c r="BH1136" s="82" t="str">
        <f>HYPERLINK("https://pbs.twimg.com/profile_banners/1457007620062023680/1636219220")</f>
        <v>https://pbs.twimg.com/profile_banners/1457007620062023680/1636219220</v>
      </c>
      <c r="BI1136" s="76"/>
      <c r="BJ1136" s="76" t="s">
        <v>27595</v>
      </c>
      <c r="BK1136" s="76" t="b">
        <v>0</v>
      </c>
      <c r="BL1136" s="76"/>
      <c r="BM1136" s="76" t="s">
        <v>66</v>
      </c>
      <c r="BN1136" s="76" t="s">
        <v>27597</v>
      </c>
      <c r="BO1136" s="82" t="str">
        <f>HYPERLINK("https://twitter.com/runrun_atuq")</f>
        <v>https://twitter.com/runrun_atuq</v>
      </c>
      <c r="BP1136" s="2"/>
    </row>
    <row r="1137" spans="1:68" x14ac:dyDescent="0.25">
      <c r="A1137" s="62" t="s">
        <v>1053</v>
      </c>
      <c r="B1137" s="63"/>
      <c r="C1137" s="63"/>
      <c r="D1137" s="64"/>
      <c r="E1137" s="66"/>
      <c r="F1137" s="103" t="str">
        <f>HYPERLINK("https://pbs.twimg.com/profile_images/1188759380273127424/MbkFToOL_normal.jpg")</f>
        <v>https://pbs.twimg.com/profile_images/1188759380273127424/MbkFToOL_normal.jpg</v>
      </c>
      <c r="G1137" s="63"/>
      <c r="H1137" s="67"/>
      <c r="I1137" s="68"/>
      <c r="J1137" s="68"/>
      <c r="K1137" s="67" t="s">
        <v>28731</v>
      </c>
      <c r="L1137" s="71"/>
      <c r="M1137" s="72"/>
      <c r="N1137" s="72"/>
      <c r="O1137" s="73"/>
      <c r="P1137" s="74"/>
      <c r="Q1137" s="74"/>
      <c r="R1137" s="87"/>
      <c r="S1137" s="87"/>
      <c r="T1137" s="87"/>
      <c r="U1137" s="87"/>
      <c r="V1137" s="48"/>
      <c r="W1137" s="48"/>
      <c r="X1137" s="48"/>
      <c r="Y1137" s="48"/>
      <c r="Z1137" s="47"/>
      <c r="AA1137" s="69">
        <v>1137</v>
      </c>
      <c r="AB1137" s="69"/>
      <c r="AC1137" s="70"/>
      <c r="AD1137" s="76" t="s">
        <v>22360</v>
      </c>
      <c r="AE1137" s="81" t="s">
        <v>20901</v>
      </c>
      <c r="AF1137" s="76">
        <v>51757</v>
      </c>
      <c r="AG1137" s="76">
        <v>656</v>
      </c>
      <c r="AH1137" s="76">
        <v>46243</v>
      </c>
      <c r="AI1137" s="76">
        <v>182</v>
      </c>
      <c r="AJ1137" s="76">
        <v>878</v>
      </c>
      <c r="AK1137" s="76">
        <v>1118</v>
      </c>
      <c r="AL1137" s="76" t="b">
        <v>0</v>
      </c>
      <c r="AM1137" s="78">
        <v>43495.797476851854</v>
      </c>
      <c r="AN1137" s="76" t="s">
        <v>24272</v>
      </c>
      <c r="AO1137" s="76" t="s">
        <v>25723</v>
      </c>
      <c r="AP1137" s="82" t="str">
        <f>HYPERLINK("https://t.co/3eFkiSImtI")</f>
        <v>https://t.co/3eFkiSImtI</v>
      </c>
      <c r="AQ1137" s="82" t="str">
        <f>HYPERLINK("https://www.adncuba.com")</f>
        <v>https://www.adncuba.com</v>
      </c>
      <c r="AR1137" s="76" t="s">
        <v>8793</v>
      </c>
      <c r="AS1137" s="76"/>
      <c r="AT1137" s="76"/>
      <c r="AU1137" s="76"/>
      <c r="AV1137" s="76"/>
      <c r="AW1137" s="82" t="str">
        <f>HYPERLINK("https://t.co/3eFkiSImtI")</f>
        <v>https://t.co/3eFkiSImtI</v>
      </c>
      <c r="AX1137" s="76" t="b">
        <v>0</v>
      </c>
      <c r="AY1137" s="76"/>
      <c r="AZ1137" s="76"/>
      <c r="BA1137" s="76" t="b">
        <v>0</v>
      </c>
      <c r="BB1137" s="76" t="b">
        <v>1</v>
      </c>
      <c r="BC1137" s="76" t="b">
        <v>0</v>
      </c>
      <c r="BD1137" s="76" t="b">
        <v>0</v>
      </c>
      <c r="BE1137" s="76" t="b">
        <v>0</v>
      </c>
      <c r="BF1137" s="76" t="b">
        <v>0</v>
      </c>
      <c r="BG1137" s="76" t="b">
        <v>0</v>
      </c>
      <c r="BH1137" s="82" t="str">
        <f>HYPERLINK("https://pbs.twimg.com/profile_banners/1090688187817738240/1626128035")</f>
        <v>https://pbs.twimg.com/profile_banners/1090688187817738240/1626128035</v>
      </c>
      <c r="BI1137" s="76"/>
      <c r="BJ1137" s="76" t="s">
        <v>27595</v>
      </c>
      <c r="BK1137" s="76" t="b">
        <v>0</v>
      </c>
      <c r="BL1137" s="76"/>
      <c r="BM1137" s="76" t="s">
        <v>66</v>
      </c>
      <c r="BN1137" s="76" t="s">
        <v>27597</v>
      </c>
      <c r="BO1137" s="82" t="str">
        <f>HYPERLINK("https://twitter.com/cubaadn")</f>
        <v>https://twitter.com/cubaadn</v>
      </c>
      <c r="BP1137" s="2"/>
    </row>
    <row r="1138" spans="1:68" x14ac:dyDescent="0.25">
      <c r="A1138" s="62" t="s">
        <v>1054</v>
      </c>
      <c r="B1138" s="63"/>
      <c r="C1138" s="63"/>
      <c r="D1138" s="64"/>
      <c r="E1138" s="66"/>
      <c r="F1138" s="103" t="str">
        <f>HYPERLINK("https://pbs.twimg.com/profile_images/1663350784870825990/H3M4u2uw_normal.jpg")</f>
        <v>https://pbs.twimg.com/profile_images/1663350784870825990/H3M4u2uw_normal.jpg</v>
      </c>
      <c r="G1138" s="63"/>
      <c r="H1138" s="67"/>
      <c r="I1138" s="68"/>
      <c r="J1138" s="68"/>
      <c r="K1138" s="67" t="s">
        <v>28732</v>
      </c>
      <c r="L1138" s="71"/>
      <c r="M1138" s="72"/>
      <c r="N1138" s="72"/>
      <c r="O1138" s="73"/>
      <c r="P1138" s="74"/>
      <c r="Q1138" s="74"/>
      <c r="R1138" s="87"/>
      <c r="S1138" s="87"/>
      <c r="T1138" s="87"/>
      <c r="U1138" s="87"/>
      <c r="V1138" s="48"/>
      <c r="W1138" s="48"/>
      <c r="X1138" s="48"/>
      <c r="Y1138" s="48"/>
      <c r="Z1138" s="47"/>
      <c r="AA1138" s="69">
        <v>1138</v>
      </c>
      <c r="AB1138" s="69"/>
      <c r="AC1138" s="70"/>
      <c r="AD1138" s="76" t="s">
        <v>22361</v>
      </c>
      <c r="AE1138" s="81" t="s">
        <v>20902</v>
      </c>
      <c r="AF1138" s="76">
        <v>3048</v>
      </c>
      <c r="AG1138" s="76">
        <v>670</v>
      </c>
      <c r="AH1138" s="76">
        <v>11911</v>
      </c>
      <c r="AI1138" s="76">
        <v>7</v>
      </c>
      <c r="AJ1138" s="76">
        <v>83</v>
      </c>
      <c r="AK1138" s="76">
        <v>2380</v>
      </c>
      <c r="AL1138" s="76" t="b">
        <v>0</v>
      </c>
      <c r="AM1138" s="78">
        <v>43157.685879629629</v>
      </c>
      <c r="AN1138" s="76"/>
      <c r="AO1138" s="76" t="s">
        <v>25724</v>
      </c>
      <c r="AP1138" s="82" t="str">
        <f>HYPERLINK("https://t.co/SwHJqkLVHc")</f>
        <v>https://t.co/SwHJqkLVHc</v>
      </c>
      <c r="AQ1138" s="82" t="str">
        <f>HYPERLINK("http://seucreditodigital.com.br")</f>
        <v>http://seucreditodigital.com.br</v>
      </c>
      <c r="AR1138" s="76" t="s">
        <v>26971</v>
      </c>
      <c r="AS1138" s="76"/>
      <c r="AT1138" s="76"/>
      <c r="AU1138" s="76"/>
      <c r="AV1138" s="76">
        <v>1.70672803190431E+18</v>
      </c>
      <c r="AW1138" s="82" t="str">
        <f>HYPERLINK("https://t.co/SwHJqkLVHc")</f>
        <v>https://t.co/SwHJqkLVHc</v>
      </c>
      <c r="AX1138" s="76" t="b">
        <v>0</v>
      </c>
      <c r="AY1138" s="76"/>
      <c r="AZ1138" s="76"/>
      <c r="BA1138" s="76" t="b">
        <v>1</v>
      </c>
      <c r="BB1138" s="76" t="b">
        <v>1</v>
      </c>
      <c r="BC1138" s="76" t="b">
        <v>1</v>
      </c>
      <c r="BD1138" s="76" t="b">
        <v>0</v>
      </c>
      <c r="BE1138" s="76" t="b">
        <v>0</v>
      </c>
      <c r="BF1138" s="76" t="b">
        <v>0</v>
      </c>
      <c r="BG1138" s="76" t="b">
        <v>0</v>
      </c>
      <c r="BH1138" s="82" t="str">
        <f>HYPERLINK("https://pbs.twimg.com/profile_banners/968160645345574913/1692055592")</f>
        <v>https://pbs.twimg.com/profile_banners/968160645345574913/1692055592</v>
      </c>
      <c r="BI1138" s="76"/>
      <c r="BJ1138" s="76" t="s">
        <v>27595</v>
      </c>
      <c r="BK1138" s="76" t="b">
        <v>0</v>
      </c>
      <c r="BL1138" s="76"/>
      <c r="BM1138" s="76" t="s">
        <v>66</v>
      </c>
      <c r="BN1138" s="76" t="s">
        <v>27597</v>
      </c>
      <c r="BO1138" s="82" t="str">
        <f>HYPERLINK("https://twitter.com/seucredito")</f>
        <v>https://twitter.com/seucredito</v>
      </c>
      <c r="BP1138" s="2"/>
    </row>
    <row r="1139" spans="1:68" x14ac:dyDescent="0.25">
      <c r="A1139" s="62" t="s">
        <v>1056</v>
      </c>
      <c r="B1139" s="63"/>
      <c r="C1139" s="63"/>
      <c r="D1139" s="64"/>
      <c r="E1139" s="66"/>
      <c r="F1139" s="103" t="str">
        <f>HYPERLINK("https://pbs.twimg.com/profile_images/1609268163891400710/ivI9UJTo_normal.jpg")</f>
        <v>https://pbs.twimg.com/profile_images/1609268163891400710/ivI9UJTo_normal.jpg</v>
      </c>
      <c r="G1139" s="63"/>
      <c r="H1139" s="67"/>
      <c r="I1139" s="68"/>
      <c r="J1139" s="68"/>
      <c r="K1139" s="67" t="s">
        <v>28733</v>
      </c>
      <c r="L1139" s="71"/>
      <c r="M1139" s="72"/>
      <c r="N1139" s="72"/>
      <c r="O1139" s="73"/>
      <c r="P1139" s="74"/>
      <c r="Q1139" s="74"/>
      <c r="R1139" s="87"/>
      <c r="S1139" s="87"/>
      <c r="T1139" s="87"/>
      <c r="U1139" s="87"/>
      <c r="V1139" s="48"/>
      <c r="W1139" s="48"/>
      <c r="X1139" s="48"/>
      <c r="Y1139" s="48"/>
      <c r="Z1139" s="47"/>
      <c r="AA1139" s="69">
        <v>1139</v>
      </c>
      <c r="AB1139" s="69"/>
      <c r="AC1139" s="70"/>
      <c r="AD1139" s="76" t="s">
        <v>22362</v>
      </c>
      <c r="AE1139" s="81" t="s">
        <v>20903</v>
      </c>
      <c r="AF1139" s="76">
        <v>618</v>
      </c>
      <c r="AG1139" s="76">
        <v>361</v>
      </c>
      <c r="AH1139" s="76">
        <v>34554</v>
      </c>
      <c r="AI1139" s="76">
        <v>0</v>
      </c>
      <c r="AJ1139" s="76">
        <v>88915</v>
      </c>
      <c r="AK1139" s="76">
        <v>31</v>
      </c>
      <c r="AL1139" s="76" t="b">
        <v>0</v>
      </c>
      <c r="AM1139" s="78">
        <v>43379.507708333331</v>
      </c>
      <c r="AN1139" s="76" t="s">
        <v>24477</v>
      </c>
      <c r="AO1139" s="76" t="s">
        <v>25725</v>
      </c>
      <c r="AP1139" s="82" t="str">
        <f>HYPERLINK("https://t.co/Dj5nJggQKB")</f>
        <v>https://t.co/Dj5nJggQKB</v>
      </c>
      <c r="AQ1139" s="82" t="str">
        <f>HYPERLINK("http://www.williamfiorillo.com.br")</f>
        <v>http://www.williamfiorillo.com.br</v>
      </c>
      <c r="AR1139" s="76" t="s">
        <v>26972</v>
      </c>
      <c r="AS1139" s="76"/>
      <c r="AT1139" s="76"/>
      <c r="AU1139" s="76"/>
      <c r="AV1139" s="76"/>
      <c r="AW1139" s="82" t="str">
        <f>HYPERLINK("https://t.co/Dj5nJggQKB")</f>
        <v>https://t.co/Dj5nJggQKB</v>
      </c>
      <c r="AX1139" s="76" t="b">
        <v>0</v>
      </c>
      <c r="AY1139" s="76"/>
      <c r="AZ1139" s="76"/>
      <c r="BA1139" s="76" t="b">
        <v>0</v>
      </c>
      <c r="BB1139" s="76" t="b">
        <v>1</v>
      </c>
      <c r="BC1139" s="76" t="b">
        <v>1</v>
      </c>
      <c r="BD1139" s="76" t="b">
        <v>0</v>
      </c>
      <c r="BE1139" s="76" t="b">
        <v>1</v>
      </c>
      <c r="BF1139" s="76" t="b">
        <v>0</v>
      </c>
      <c r="BG1139" s="76" t="b">
        <v>0</v>
      </c>
      <c r="BH1139" s="82" t="str">
        <f>HYPERLINK("https://pbs.twimg.com/profile_banners/1048546187702427649/1664753826")</f>
        <v>https://pbs.twimg.com/profile_banners/1048546187702427649/1664753826</v>
      </c>
      <c r="BI1139" s="76"/>
      <c r="BJ1139" s="76" t="s">
        <v>27595</v>
      </c>
      <c r="BK1139" s="76" t="b">
        <v>0</v>
      </c>
      <c r="BL1139" s="76"/>
      <c r="BM1139" s="76" t="s">
        <v>66</v>
      </c>
      <c r="BN1139" s="76" t="s">
        <v>27597</v>
      </c>
      <c r="BO1139" s="82" t="str">
        <f>HYPERLINK("https://twitter.com/vickfiorillo")</f>
        <v>https://twitter.com/vickfiorillo</v>
      </c>
      <c r="BP1139" s="2"/>
    </row>
    <row r="1140" spans="1:68" x14ac:dyDescent="0.25">
      <c r="A1140" s="62" t="s">
        <v>1651</v>
      </c>
      <c r="B1140" s="63"/>
      <c r="C1140" s="63"/>
      <c r="D1140" s="64"/>
      <c r="E1140" s="66"/>
      <c r="F1140" s="103" t="str">
        <f>HYPERLINK("https://pbs.twimg.com/profile_images/1562571778022510593/I3xNjsLA_normal.png")</f>
        <v>https://pbs.twimg.com/profile_images/1562571778022510593/I3xNjsLA_normal.png</v>
      </c>
      <c r="G1140" s="63"/>
      <c r="H1140" s="67"/>
      <c r="I1140" s="68"/>
      <c r="J1140" s="68"/>
      <c r="K1140" s="67" t="s">
        <v>28734</v>
      </c>
      <c r="L1140" s="71"/>
      <c r="M1140" s="72"/>
      <c r="N1140" s="72"/>
      <c r="O1140" s="73"/>
      <c r="P1140" s="74"/>
      <c r="Q1140" s="74"/>
      <c r="R1140" s="87"/>
      <c r="S1140" s="87"/>
      <c r="T1140" s="87"/>
      <c r="U1140" s="87"/>
      <c r="V1140" s="48"/>
      <c r="W1140" s="48"/>
      <c r="X1140" s="48"/>
      <c r="Y1140" s="48"/>
      <c r="Z1140" s="47"/>
      <c r="AA1140" s="69">
        <v>1140</v>
      </c>
      <c r="AB1140" s="69"/>
      <c r="AC1140" s="70"/>
      <c r="AD1140" s="76" t="s">
        <v>22363</v>
      </c>
      <c r="AE1140" s="81" t="s">
        <v>23664</v>
      </c>
      <c r="AF1140" s="76">
        <v>449</v>
      </c>
      <c r="AG1140" s="76">
        <v>580</v>
      </c>
      <c r="AH1140" s="76">
        <v>7301</v>
      </c>
      <c r="AI1140" s="76">
        <v>1</v>
      </c>
      <c r="AJ1140" s="76">
        <v>16155</v>
      </c>
      <c r="AK1140" s="76">
        <v>67</v>
      </c>
      <c r="AL1140" s="76" t="b">
        <v>0</v>
      </c>
      <c r="AM1140" s="78">
        <v>40508.67454861111</v>
      </c>
      <c r="AN1140" s="76" t="s">
        <v>24355</v>
      </c>
      <c r="AO1140" s="76" t="s">
        <v>25726</v>
      </c>
      <c r="AP1140" s="76"/>
      <c r="AQ1140" s="76"/>
      <c r="AR1140" s="76"/>
      <c r="AS1140" s="76"/>
      <c r="AT1140" s="76"/>
      <c r="AU1140" s="76"/>
      <c r="AV1140" s="76"/>
      <c r="AW1140" s="76"/>
      <c r="AX1140" s="76" t="b">
        <v>0</v>
      </c>
      <c r="AY1140" s="76"/>
      <c r="AZ1140" s="76"/>
      <c r="BA1140" s="76" t="b">
        <v>0</v>
      </c>
      <c r="BB1140" s="76" t="b">
        <v>1</v>
      </c>
      <c r="BC1140" s="76" t="b">
        <v>1</v>
      </c>
      <c r="BD1140" s="76" t="b">
        <v>0</v>
      </c>
      <c r="BE1140" s="76" t="b">
        <v>0</v>
      </c>
      <c r="BF1140" s="76" t="b">
        <v>0</v>
      </c>
      <c r="BG1140" s="76" t="b">
        <v>0</v>
      </c>
      <c r="BH1140" s="76"/>
      <c r="BI1140" s="76"/>
      <c r="BJ1140" s="76" t="s">
        <v>27595</v>
      </c>
      <c r="BK1140" s="76" t="b">
        <v>0</v>
      </c>
      <c r="BL1140" s="76"/>
      <c r="BM1140" s="76" t="s">
        <v>66</v>
      </c>
      <c r="BN1140" s="76" t="s">
        <v>27597</v>
      </c>
      <c r="BO1140" s="82" t="str">
        <f>HYPERLINK("https://twitter.com/michelfreireadm")</f>
        <v>https://twitter.com/michelfreireadm</v>
      </c>
      <c r="BP1140" s="2"/>
    </row>
    <row r="1141" spans="1:68" x14ac:dyDescent="0.25">
      <c r="A1141" s="62" t="s">
        <v>1057</v>
      </c>
      <c r="B1141" s="63"/>
      <c r="C1141" s="63"/>
      <c r="D1141" s="64"/>
      <c r="E1141" s="66"/>
      <c r="F1141" s="103" t="str">
        <f>HYPERLINK("https://pbs.twimg.com/profile_images/1613141390162018306/RTWJE1BY_normal.jpg")</f>
        <v>https://pbs.twimg.com/profile_images/1613141390162018306/RTWJE1BY_normal.jpg</v>
      </c>
      <c r="G1141" s="63"/>
      <c r="H1141" s="67"/>
      <c r="I1141" s="68"/>
      <c r="J1141" s="68"/>
      <c r="K1141" s="67" t="s">
        <v>28735</v>
      </c>
      <c r="L1141" s="71"/>
      <c r="M1141" s="72"/>
      <c r="N1141" s="72"/>
      <c r="O1141" s="73"/>
      <c r="P1141" s="74"/>
      <c r="Q1141" s="74"/>
      <c r="R1141" s="87"/>
      <c r="S1141" s="87"/>
      <c r="T1141" s="87"/>
      <c r="U1141" s="87"/>
      <c r="V1141" s="48"/>
      <c r="W1141" s="48"/>
      <c r="X1141" s="48"/>
      <c r="Y1141" s="48"/>
      <c r="Z1141" s="47"/>
      <c r="AA1141" s="69">
        <v>1141</v>
      </c>
      <c r="AB1141" s="69"/>
      <c r="AC1141" s="70"/>
      <c r="AD1141" s="76" t="s">
        <v>22364</v>
      </c>
      <c r="AE1141" s="81" t="s">
        <v>20904</v>
      </c>
      <c r="AF1141" s="76">
        <v>1967</v>
      </c>
      <c r="AG1141" s="76">
        <v>188</v>
      </c>
      <c r="AH1141" s="76">
        <v>12745</v>
      </c>
      <c r="AI1141" s="76">
        <v>6</v>
      </c>
      <c r="AJ1141" s="76">
        <v>1220</v>
      </c>
      <c r="AK1141" s="76">
        <v>5608</v>
      </c>
      <c r="AL1141" s="76" t="b">
        <v>0</v>
      </c>
      <c r="AM1141" s="78">
        <v>43719.826099537036</v>
      </c>
      <c r="AN1141" s="76" t="s">
        <v>24145</v>
      </c>
      <c r="AO1141" s="76" t="s">
        <v>25727</v>
      </c>
      <c r="AP1141" s="82" t="str">
        <f>HYPERLINK("https://t.co/297UTvQOmV")</f>
        <v>https://t.co/297UTvQOmV</v>
      </c>
      <c r="AQ1141" s="82" t="str">
        <f>HYPERLINK("https://linktr.ee/rumba985fm")</f>
        <v>https://linktr.ee/rumba985fm</v>
      </c>
      <c r="AR1141" s="76" t="s">
        <v>26973</v>
      </c>
      <c r="AS1141" s="76"/>
      <c r="AT1141" s="76"/>
      <c r="AU1141" s="76"/>
      <c r="AV1141" s="76"/>
      <c r="AW1141" s="82" t="str">
        <f>HYPERLINK("https://t.co/297UTvQOmV")</f>
        <v>https://t.co/297UTvQOmV</v>
      </c>
      <c r="AX1141" s="76" t="b">
        <v>0</v>
      </c>
      <c r="AY1141" s="76"/>
      <c r="AZ1141" s="76"/>
      <c r="BA1141" s="76" t="b">
        <v>1</v>
      </c>
      <c r="BB1141" s="76" t="b">
        <v>1</v>
      </c>
      <c r="BC1141" s="76" t="b">
        <v>1</v>
      </c>
      <c r="BD1141" s="76" t="b">
        <v>0</v>
      </c>
      <c r="BE1141" s="76" t="b">
        <v>0</v>
      </c>
      <c r="BF1141" s="76" t="b">
        <v>0</v>
      </c>
      <c r="BG1141" s="76" t="b">
        <v>0</v>
      </c>
      <c r="BH1141" s="82" t="str">
        <f>HYPERLINK("https://pbs.twimg.com/profile_banners/1171873310273167360/1627671387")</f>
        <v>https://pbs.twimg.com/profile_banners/1171873310273167360/1627671387</v>
      </c>
      <c r="BI1141" s="76"/>
      <c r="BJ1141" s="76" t="s">
        <v>27595</v>
      </c>
      <c r="BK1141" s="76" t="b">
        <v>0</v>
      </c>
      <c r="BL1141" s="76"/>
      <c r="BM1141" s="76" t="s">
        <v>66</v>
      </c>
      <c r="BN1141" s="76" t="s">
        <v>27597</v>
      </c>
      <c r="BO1141" s="82" t="str">
        <f>HYPERLINK("https://twitter.com/rumba_985fm")</f>
        <v>https://twitter.com/rumba_985fm</v>
      </c>
      <c r="BP1141" s="2"/>
    </row>
    <row r="1142" spans="1:68" x14ac:dyDescent="0.25">
      <c r="A1142" s="62" t="s">
        <v>1949</v>
      </c>
      <c r="B1142" s="63"/>
      <c r="C1142" s="63"/>
      <c r="D1142" s="64"/>
      <c r="E1142" s="66"/>
      <c r="F1142" s="103" t="str">
        <f>HYPERLINK("https://pbs.twimg.com/profile_images/1317483608047747073/7ki71dL__normal.jpg")</f>
        <v>https://pbs.twimg.com/profile_images/1317483608047747073/7ki71dL__normal.jpg</v>
      </c>
      <c r="G1142" s="63"/>
      <c r="H1142" s="67"/>
      <c r="I1142" s="68"/>
      <c r="J1142" s="68"/>
      <c r="K1142" s="67" t="s">
        <v>28736</v>
      </c>
      <c r="L1142" s="71"/>
      <c r="M1142" s="72"/>
      <c r="N1142" s="72"/>
      <c r="O1142" s="73"/>
      <c r="P1142" s="74"/>
      <c r="Q1142" s="74"/>
      <c r="R1142" s="87"/>
      <c r="S1142" s="87"/>
      <c r="T1142" s="87"/>
      <c r="U1142" s="87"/>
      <c r="V1142" s="48"/>
      <c r="W1142" s="48"/>
      <c r="X1142" s="48"/>
      <c r="Y1142" s="48"/>
      <c r="Z1142" s="47"/>
      <c r="AA1142" s="69">
        <v>1142</v>
      </c>
      <c r="AB1142" s="69"/>
      <c r="AC1142" s="70"/>
      <c r="AD1142" s="76" t="s">
        <v>22365</v>
      </c>
      <c r="AE1142" s="81" t="s">
        <v>23665</v>
      </c>
      <c r="AF1142" s="76">
        <v>8923</v>
      </c>
      <c r="AG1142" s="76">
        <v>204</v>
      </c>
      <c r="AH1142" s="76">
        <v>37437</v>
      </c>
      <c r="AI1142" s="76">
        <v>14</v>
      </c>
      <c r="AJ1142" s="76">
        <v>369</v>
      </c>
      <c r="AK1142" s="76">
        <v>24120</v>
      </c>
      <c r="AL1142" s="76" t="b">
        <v>0</v>
      </c>
      <c r="AM1142" s="78">
        <v>43663.799166666664</v>
      </c>
      <c r="AN1142" s="76" t="s">
        <v>14381</v>
      </c>
      <c r="AO1142" s="76" t="s">
        <v>25728</v>
      </c>
      <c r="AP1142" s="82" t="str">
        <f>HYPERLINK("https://t.co/XigHm7dLMx")</f>
        <v>https://t.co/XigHm7dLMx</v>
      </c>
      <c r="AQ1142" s="82" t="str">
        <f>HYPERLINK("https://www.youtube.com/channel/UCNqCVmvO2COIY1aD_R8BJ_A")</f>
        <v>https://www.youtube.com/channel/UCNqCVmvO2COIY1aD_R8BJ_A</v>
      </c>
      <c r="AR1142" s="76" t="s">
        <v>26974</v>
      </c>
      <c r="AS1142" s="76"/>
      <c r="AT1142" s="76"/>
      <c r="AU1142" s="76"/>
      <c r="AV1142" s="76">
        <v>1.5979615329647501E+18</v>
      </c>
      <c r="AW1142" s="82" t="str">
        <f>HYPERLINK("https://t.co/XigHm7dLMx")</f>
        <v>https://t.co/XigHm7dLMx</v>
      </c>
      <c r="AX1142" s="76" t="b">
        <v>0</v>
      </c>
      <c r="AY1142" s="76"/>
      <c r="AZ1142" s="76"/>
      <c r="BA1142" s="76" t="b">
        <v>1</v>
      </c>
      <c r="BB1142" s="76" t="b">
        <v>0</v>
      </c>
      <c r="BC1142" s="76" t="b">
        <v>1</v>
      </c>
      <c r="BD1142" s="76" t="b">
        <v>0</v>
      </c>
      <c r="BE1142" s="76" t="b">
        <v>0</v>
      </c>
      <c r="BF1142" s="76" t="b">
        <v>0</v>
      </c>
      <c r="BG1142" s="76" t="b">
        <v>0</v>
      </c>
      <c r="BH1142" s="82" t="str">
        <f>HYPERLINK("https://pbs.twimg.com/profile_banners/1151569959031644160/1641989768")</f>
        <v>https://pbs.twimg.com/profile_banners/1151569959031644160/1641989768</v>
      </c>
      <c r="BI1142" s="76"/>
      <c r="BJ1142" s="76" t="s">
        <v>27595</v>
      </c>
      <c r="BK1142" s="76" t="b">
        <v>0</v>
      </c>
      <c r="BL1142" s="76"/>
      <c r="BM1142" s="76" t="s">
        <v>65</v>
      </c>
      <c r="BN1142" s="76" t="s">
        <v>27597</v>
      </c>
      <c r="BO1142" s="82" t="str">
        <f>HYPERLINK("https://twitter.com/rumbodelamanana")</f>
        <v>https://twitter.com/rumbodelamanana</v>
      </c>
      <c r="BP1142" s="2"/>
    </row>
    <row r="1143" spans="1:68" x14ac:dyDescent="0.25">
      <c r="A1143" s="62" t="s">
        <v>1950</v>
      </c>
      <c r="B1143" s="63"/>
      <c r="C1143" s="63"/>
      <c r="D1143" s="64"/>
      <c r="E1143" s="66"/>
      <c r="F1143" s="103" t="str">
        <f>HYPERLINK("https://pbs.twimg.com/profile_images/1611480834975973376/O_QUWVa6_normal.jpg")</f>
        <v>https://pbs.twimg.com/profile_images/1611480834975973376/O_QUWVa6_normal.jpg</v>
      </c>
      <c r="G1143" s="63"/>
      <c r="H1143" s="67"/>
      <c r="I1143" s="68"/>
      <c r="J1143" s="68"/>
      <c r="K1143" s="67" t="s">
        <v>28737</v>
      </c>
      <c r="L1143" s="71"/>
      <c r="M1143" s="72"/>
      <c r="N1143" s="72"/>
      <c r="O1143" s="73"/>
      <c r="P1143" s="74"/>
      <c r="Q1143" s="74"/>
      <c r="R1143" s="87"/>
      <c r="S1143" s="87"/>
      <c r="T1143" s="87"/>
      <c r="U1143" s="87"/>
      <c r="V1143" s="48"/>
      <c r="W1143" s="48"/>
      <c r="X1143" s="48"/>
      <c r="Y1143" s="48"/>
      <c r="Z1143" s="47"/>
      <c r="AA1143" s="69">
        <v>1143</v>
      </c>
      <c r="AB1143" s="69"/>
      <c r="AC1143" s="70"/>
      <c r="AD1143" s="76" t="s">
        <v>22366</v>
      </c>
      <c r="AE1143" s="81" t="s">
        <v>23666</v>
      </c>
      <c r="AF1143" s="76">
        <v>8828</v>
      </c>
      <c r="AG1143" s="76">
        <v>3433</v>
      </c>
      <c r="AH1143" s="76">
        <v>44524</v>
      </c>
      <c r="AI1143" s="76">
        <v>17</v>
      </c>
      <c r="AJ1143" s="76">
        <v>11696</v>
      </c>
      <c r="AK1143" s="76">
        <v>3860</v>
      </c>
      <c r="AL1143" s="76" t="b">
        <v>0</v>
      </c>
      <c r="AM1143" s="78">
        <v>40404.692685185182</v>
      </c>
      <c r="AN1143" s="76" t="s">
        <v>24478</v>
      </c>
      <c r="AO1143" s="76" t="s">
        <v>25729</v>
      </c>
      <c r="AP1143" s="76"/>
      <c r="AQ1143" s="76"/>
      <c r="AR1143" s="76"/>
      <c r="AS1143" s="76"/>
      <c r="AT1143" s="76"/>
      <c r="AU1143" s="76"/>
      <c r="AV1143" s="76"/>
      <c r="AW1143" s="76"/>
      <c r="AX1143" s="76" t="b">
        <v>1</v>
      </c>
      <c r="AY1143" s="76"/>
      <c r="AZ1143" s="76"/>
      <c r="BA1143" s="76" t="b">
        <v>0</v>
      </c>
      <c r="BB1143" s="76" t="b">
        <v>1</v>
      </c>
      <c r="BC1143" s="76" t="b">
        <v>0</v>
      </c>
      <c r="BD1143" s="76" t="b">
        <v>0</v>
      </c>
      <c r="BE1143" s="76" t="b">
        <v>1</v>
      </c>
      <c r="BF1143" s="76" t="b">
        <v>0</v>
      </c>
      <c r="BG1143" s="76" t="b">
        <v>0</v>
      </c>
      <c r="BH1143" s="82" t="str">
        <f>HYPERLINK("https://pbs.twimg.com/profile_banners/178385922/1653303253")</f>
        <v>https://pbs.twimg.com/profile_banners/178385922/1653303253</v>
      </c>
      <c r="BI1143" s="76"/>
      <c r="BJ1143" s="76" t="s">
        <v>27595</v>
      </c>
      <c r="BK1143" s="76" t="b">
        <v>0</v>
      </c>
      <c r="BL1143" s="76"/>
      <c r="BM1143" s="76" t="s">
        <v>65</v>
      </c>
      <c r="BN1143" s="76" t="s">
        <v>27597</v>
      </c>
      <c r="BO1143" s="82" t="str">
        <f>HYPERLINK("https://twitter.com/elvincastillo")</f>
        <v>https://twitter.com/elvincastillo</v>
      </c>
      <c r="BP1143" s="2"/>
    </row>
    <row r="1144" spans="1:68" x14ac:dyDescent="0.25">
      <c r="A1144" s="62" t="s">
        <v>1070</v>
      </c>
      <c r="B1144" s="63"/>
      <c r="C1144" s="63"/>
      <c r="D1144" s="64"/>
      <c r="E1144" s="66"/>
      <c r="F1144" s="103" t="str">
        <f>HYPERLINK("https://pbs.twimg.com/profile_images/1455618573976604686/fLgMmCBn_normal.jpg")</f>
        <v>https://pbs.twimg.com/profile_images/1455618573976604686/fLgMmCBn_normal.jpg</v>
      </c>
      <c r="G1144" s="63"/>
      <c r="H1144" s="67"/>
      <c r="I1144" s="68"/>
      <c r="J1144" s="68"/>
      <c r="K1144" s="67" t="s">
        <v>28738</v>
      </c>
      <c r="L1144" s="71"/>
      <c r="M1144" s="72"/>
      <c r="N1144" s="72"/>
      <c r="O1144" s="73"/>
      <c r="P1144" s="74"/>
      <c r="Q1144" s="74"/>
      <c r="R1144" s="87"/>
      <c r="S1144" s="87"/>
      <c r="T1144" s="87"/>
      <c r="U1144" s="87"/>
      <c r="V1144" s="48"/>
      <c r="W1144" s="48"/>
      <c r="X1144" s="48"/>
      <c r="Y1144" s="48"/>
      <c r="Z1144" s="47"/>
      <c r="AA1144" s="69">
        <v>1144</v>
      </c>
      <c r="AB1144" s="69"/>
      <c r="AC1144" s="70"/>
      <c r="AD1144" s="76" t="s">
        <v>22367</v>
      </c>
      <c r="AE1144" s="81" t="s">
        <v>20911</v>
      </c>
      <c r="AF1144" s="76">
        <v>20865</v>
      </c>
      <c r="AG1144" s="76">
        <v>252</v>
      </c>
      <c r="AH1144" s="76">
        <v>50771</v>
      </c>
      <c r="AI1144" s="76">
        <v>17</v>
      </c>
      <c r="AJ1144" s="76">
        <v>1510</v>
      </c>
      <c r="AK1144" s="76">
        <v>11673</v>
      </c>
      <c r="AL1144" s="76" t="b">
        <v>0</v>
      </c>
      <c r="AM1144" s="78">
        <v>43654.842986111114</v>
      </c>
      <c r="AN1144" s="76" t="s">
        <v>24190</v>
      </c>
      <c r="AO1144" s="76" t="s">
        <v>25730</v>
      </c>
      <c r="AP1144" s="82" t="str">
        <f>HYPERLINK("https://t.co/jtzVyI7AhP")</f>
        <v>https://t.co/jtzVyI7AhP</v>
      </c>
      <c r="AQ1144" s="82" t="str">
        <f>HYPERLINK("https://mtr.bio/rccmediard")</f>
        <v>https://mtr.bio/rccmediard</v>
      </c>
      <c r="AR1144" s="76" t="s">
        <v>26975</v>
      </c>
      <c r="AS1144" s="76"/>
      <c r="AT1144" s="76"/>
      <c r="AU1144" s="76"/>
      <c r="AV1144" s="76"/>
      <c r="AW1144" s="82" t="str">
        <f>HYPERLINK("https://t.co/jtzVyI7AhP")</f>
        <v>https://t.co/jtzVyI7AhP</v>
      </c>
      <c r="AX1144" s="76" t="b">
        <v>1</v>
      </c>
      <c r="AY1144" s="76"/>
      <c r="AZ1144" s="76"/>
      <c r="BA1144" s="76" t="b">
        <v>0</v>
      </c>
      <c r="BB1144" s="76" t="b">
        <v>1</v>
      </c>
      <c r="BC1144" s="76" t="b">
        <v>1</v>
      </c>
      <c r="BD1144" s="76" t="b">
        <v>0</v>
      </c>
      <c r="BE1144" s="76" t="b">
        <v>1</v>
      </c>
      <c r="BF1144" s="76" t="b">
        <v>0</v>
      </c>
      <c r="BG1144" s="76" t="b">
        <v>0</v>
      </c>
      <c r="BH1144" s="82" t="str">
        <f>HYPERLINK("https://pbs.twimg.com/profile_banners/1148324349537083392/1681506112")</f>
        <v>https://pbs.twimg.com/profile_banners/1148324349537083392/1681506112</v>
      </c>
      <c r="BI1144" s="76"/>
      <c r="BJ1144" s="76" t="s">
        <v>27595</v>
      </c>
      <c r="BK1144" s="76" t="b">
        <v>0</v>
      </c>
      <c r="BL1144" s="76"/>
      <c r="BM1144" s="76" t="s">
        <v>66</v>
      </c>
      <c r="BN1144" s="76" t="s">
        <v>27597</v>
      </c>
      <c r="BO1144" s="82" t="str">
        <f>HYPERLINK("https://twitter.com/rccmediard")</f>
        <v>https://twitter.com/rccmediard</v>
      </c>
      <c r="BP1144" s="2"/>
    </row>
    <row r="1145" spans="1:68" x14ac:dyDescent="0.25">
      <c r="A1145" s="62" t="s">
        <v>1058</v>
      </c>
      <c r="B1145" s="63"/>
      <c r="C1145" s="63"/>
      <c r="D1145" s="64"/>
      <c r="E1145" s="66"/>
      <c r="F1145" s="103" t="str">
        <f>HYPERLINK("https://pbs.twimg.com/profile_images/1457785546013495296/13rlO1Re_normal.jpg")</f>
        <v>https://pbs.twimg.com/profile_images/1457785546013495296/13rlO1Re_normal.jpg</v>
      </c>
      <c r="G1145" s="63"/>
      <c r="H1145" s="67"/>
      <c r="I1145" s="68"/>
      <c r="J1145" s="68"/>
      <c r="K1145" s="67" t="s">
        <v>28739</v>
      </c>
      <c r="L1145" s="71"/>
      <c r="M1145" s="72"/>
      <c r="N1145" s="72"/>
      <c r="O1145" s="73"/>
      <c r="P1145" s="74"/>
      <c r="Q1145" s="74"/>
      <c r="R1145" s="87"/>
      <c r="S1145" s="87"/>
      <c r="T1145" s="87"/>
      <c r="U1145" s="87"/>
      <c r="V1145" s="48"/>
      <c r="W1145" s="48"/>
      <c r="X1145" s="48"/>
      <c r="Y1145" s="48"/>
      <c r="Z1145" s="47"/>
      <c r="AA1145" s="69">
        <v>1145</v>
      </c>
      <c r="AB1145" s="69"/>
      <c r="AC1145" s="70"/>
      <c r="AD1145" s="76" t="s">
        <v>22368</v>
      </c>
      <c r="AE1145" s="81" t="s">
        <v>23667</v>
      </c>
      <c r="AF1145" s="76">
        <v>3284</v>
      </c>
      <c r="AG1145" s="76">
        <v>1071</v>
      </c>
      <c r="AH1145" s="76">
        <v>13545</v>
      </c>
      <c r="AI1145" s="76">
        <v>55</v>
      </c>
      <c r="AJ1145" s="76">
        <v>2021</v>
      </c>
      <c r="AK1145" s="76">
        <v>970</v>
      </c>
      <c r="AL1145" s="76" t="b">
        <v>0</v>
      </c>
      <c r="AM1145" s="78">
        <v>40047.936701388891</v>
      </c>
      <c r="AN1145" s="76" t="s">
        <v>24322</v>
      </c>
      <c r="AO1145" s="76" t="s">
        <v>25731</v>
      </c>
      <c r="AP1145" s="82" t="str">
        <f>HYPERLINK("https://t.co/TIMYTGRSIk")</f>
        <v>https://t.co/TIMYTGRSIk</v>
      </c>
      <c r="AQ1145" s="82" t="str">
        <f>HYPERLINK("http://deputadoivannaatz.com.br/")</f>
        <v>http://deputadoivannaatz.com.br/</v>
      </c>
      <c r="AR1145" s="76" t="s">
        <v>26976</v>
      </c>
      <c r="AS1145" s="76"/>
      <c r="AT1145" s="76"/>
      <c r="AU1145" s="76"/>
      <c r="AV1145" s="76"/>
      <c r="AW1145" s="82" t="str">
        <f>HYPERLINK("https://t.co/TIMYTGRSIk")</f>
        <v>https://t.co/TIMYTGRSIk</v>
      </c>
      <c r="AX1145" s="76" t="b">
        <v>0</v>
      </c>
      <c r="AY1145" s="76"/>
      <c r="AZ1145" s="76"/>
      <c r="BA1145" s="76" t="b">
        <v>0</v>
      </c>
      <c r="BB1145" s="76" t="b">
        <v>1</v>
      </c>
      <c r="BC1145" s="76" t="b">
        <v>0</v>
      </c>
      <c r="BD1145" s="76" t="b">
        <v>0</v>
      </c>
      <c r="BE1145" s="76" t="b">
        <v>0</v>
      </c>
      <c r="BF1145" s="76" t="b">
        <v>0</v>
      </c>
      <c r="BG1145" s="76" t="b">
        <v>0</v>
      </c>
      <c r="BH1145" s="82" t="str">
        <f>HYPERLINK("https://pbs.twimg.com/profile_banners/68000600/1669838217")</f>
        <v>https://pbs.twimg.com/profile_banners/68000600/1669838217</v>
      </c>
      <c r="BI1145" s="76"/>
      <c r="BJ1145" s="76" t="s">
        <v>27595</v>
      </c>
      <c r="BK1145" s="76" t="b">
        <v>0</v>
      </c>
      <c r="BL1145" s="76"/>
      <c r="BM1145" s="76" t="s">
        <v>66</v>
      </c>
      <c r="BN1145" s="76" t="s">
        <v>27597</v>
      </c>
      <c r="BO1145" s="82" t="str">
        <f>HYPERLINK("https://twitter.com/ivannaatz")</f>
        <v>https://twitter.com/ivannaatz</v>
      </c>
      <c r="BP1145" s="2"/>
    </row>
    <row r="1146" spans="1:68" x14ac:dyDescent="0.25">
      <c r="A1146" s="62" t="s">
        <v>1059</v>
      </c>
      <c r="B1146" s="63"/>
      <c r="C1146" s="63"/>
      <c r="D1146" s="64"/>
      <c r="E1146" s="66"/>
      <c r="F1146" s="103" t="str">
        <f>HYPERLINK("https://pbs.twimg.com/profile_images/1344653823302914049/jzpOvJmo_normal.jpg")</f>
        <v>https://pbs.twimg.com/profile_images/1344653823302914049/jzpOvJmo_normal.jpg</v>
      </c>
      <c r="G1146" s="63"/>
      <c r="H1146" s="67"/>
      <c r="I1146" s="68"/>
      <c r="J1146" s="68"/>
      <c r="K1146" s="67" t="s">
        <v>28740</v>
      </c>
      <c r="L1146" s="71"/>
      <c r="M1146" s="72"/>
      <c r="N1146" s="72"/>
      <c r="O1146" s="73"/>
      <c r="P1146" s="74"/>
      <c r="Q1146" s="74"/>
      <c r="R1146" s="87"/>
      <c r="S1146" s="87"/>
      <c r="T1146" s="87"/>
      <c r="U1146" s="87"/>
      <c r="V1146" s="48"/>
      <c r="W1146" s="48"/>
      <c r="X1146" s="48"/>
      <c r="Y1146" s="48"/>
      <c r="Z1146" s="47"/>
      <c r="AA1146" s="69">
        <v>1146</v>
      </c>
      <c r="AB1146" s="69"/>
      <c r="AC1146" s="70"/>
      <c r="AD1146" s="76" t="s">
        <v>22369</v>
      </c>
      <c r="AE1146" s="81" t="s">
        <v>23668</v>
      </c>
      <c r="AF1146" s="76">
        <v>16501</v>
      </c>
      <c r="AG1146" s="76">
        <v>1398</v>
      </c>
      <c r="AH1146" s="76">
        <v>86748</v>
      </c>
      <c r="AI1146" s="76">
        <v>112</v>
      </c>
      <c r="AJ1146" s="76">
        <v>2194</v>
      </c>
      <c r="AK1146" s="76">
        <v>17547</v>
      </c>
      <c r="AL1146" s="76" t="b">
        <v>0</v>
      </c>
      <c r="AM1146" s="78">
        <v>41244.013136574074</v>
      </c>
      <c r="AN1146" s="76" t="s">
        <v>24479</v>
      </c>
      <c r="AO1146" s="76" t="s">
        <v>25732</v>
      </c>
      <c r="AP1146" s="82" t="str">
        <f>HYPERLINK("https://t.co/ko1xeJW7tm")</f>
        <v>https://t.co/ko1xeJW7tm</v>
      </c>
      <c r="AQ1146" s="82" t="str">
        <f>HYPERLINK("http://diarionorte.com")</f>
        <v>http://diarionorte.com</v>
      </c>
      <c r="AR1146" s="76" t="s">
        <v>26977</v>
      </c>
      <c r="AS1146" s="76"/>
      <c r="AT1146" s="76"/>
      <c r="AU1146" s="76"/>
      <c r="AV1146" s="76"/>
      <c r="AW1146" s="82" t="str">
        <f>HYPERLINK("https://t.co/ko1xeJW7tm")</f>
        <v>https://t.co/ko1xeJW7tm</v>
      </c>
      <c r="AX1146" s="76" t="b">
        <v>0</v>
      </c>
      <c r="AY1146" s="76"/>
      <c r="AZ1146" s="76"/>
      <c r="BA1146" s="76" t="b">
        <v>1</v>
      </c>
      <c r="BB1146" s="76" t="b">
        <v>1</v>
      </c>
      <c r="BC1146" s="76" t="b">
        <v>0</v>
      </c>
      <c r="BD1146" s="76" t="b">
        <v>0</v>
      </c>
      <c r="BE1146" s="76" t="b">
        <v>1</v>
      </c>
      <c r="BF1146" s="76" t="b">
        <v>0</v>
      </c>
      <c r="BG1146" s="76" t="b">
        <v>0</v>
      </c>
      <c r="BH1146" s="82" t="str">
        <f>HYPERLINK("https://pbs.twimg.com/profile_banners/981499554/1683042858")</f>
        <v>https://pbs.twimg.com/profile_banners/981499554/1683042858</v>
      </c>
      <c r="BI1146" s="76"/>
      <c r="BJ1146" s="76" t="s">
        <v>27595</v>
      </c>
      <c r="BK1146" s="76" t="b">
        <v>0</v>
      </c>
      <c r="BL1146" s="76"/>
      <c r="BM1146" s="76" t="s">
        <v>66</v>
      </c>
      <c r="BN1146" s="76" t="s">
        <v>27597</v>
      </c>
      <c r="BO1146" s="82" t="str">
        <f>HYPERLINK("https://twitter.com/diarionortecom")</f>
        <v>https://twitter.com/diarionortecom</v>
      </c>
      <c r="BP1146" s="2"/>
    </row>
    <row r="1147" spans="1:68" x14ac:dyDescent="0.25">
      <c r="A1147" s="62" t="s">
        <v>1060</v>
      </c>
      <c r="B1147" s="63"/>
      <c r="C1147" s="63"/>
      <c r="D1147" s="64"/>
      <c r="E1147" s="66"/>
      <c r="F1147" s="103" t="str">
        <f>HYPERLINK("https://pbs.twimg.com/profile_images/1619043500623904771/TWBtrW6X_normal.jpg")</f>
        <v>https://pbs.twimg.com/profile_images/1619043500623904771/TWBtrW6X_normal.jpg</v>
      </c>
      <c r="G1147" s="63"/>
      <c r="H1147" s="67"/>
      <c r="I1147" s="68"/>
      <c r="J1147" s="68"/>
      <c r="K1147" s="67" t="s">
        <v>28741</v>
      </c>
      <c r="L1147" s="71"/>
      <c r="M1147" s="72"/>
      <c r="N1147" s="72"/>
      <c r="O1147" s="73"/>
      <c r="P1147" s="74"/>
      <c r="Q1147" s="74"/>
      <c r="R1147" s="87"/>
      <c r="S1147" s="87"/>
      <c r="T1147" s="87"/>
      <c r="U1147" s="87"/>
      <c r="V1147" s="48"/>
      <c r="W1147" s="48"/>
      <c r="X1147" s="48"/>
      <c r="Y1147" s="48"/>
      <c r="Z1147" s="47"/>
      <c r="AA1147" s="69">
        <v>1147</v>
      </c>
      <c r="AB1147" s="69"/>
      <c r="AC1147" s="70"/>
      <c r="AD1147" s="76" t="s">
        <v>22370</v>
      </c>
      <c r="AE1147" s="81" t="s">
        <v>20905</v>
      </c>
      <c r="AF1147" s="76">
        <v>7</v>
      </c>
      <c r="AG1147" s="76">
        <v>32</v>
      </c>
      <c r="AH1147" s="76">
        <v>124</v>
      </c>
      <c r="AI1147" s="76">
        <v>1</v>
      </c>
      <c r="AJ1147" s="76">
        <v>10</v>
      </c>
      <c r="AK1147" s="76">
        <v>19</v>
      </c>
      <c r="AL1147" s="76" t="b">
        <v>0</v>
      </c>
      <c r="AM1147" s="78">
        <v>44953.778784722221</v>
      </c>
      <c r="AN1147" s="76" t="s">
        <v>24480</v>
      </c>
      <c r="AO1147" s="76" t="s">
        <v>25733</v>
      </c>
      <c r="AP1147" s="82" t="str">
        <f>HYPERLINK("https://t.co/g4nPmsznz7")</f>
        <v>https://t.co/g4nPmsznz7</v>
      </c>
      <c r="AQ1147" s="82" t="str">
        <f>HYPERLINK("http://www.inkoms.com")</f>
        <v>http://www.inkoms.com</v>
      </c>
      <c r="AR1147" s="76" t="s">
        <v>26978</v>
      </c>
      <c r="AS1147" s="76"/>
      <c r="AT1147" s="76"/>
      <c r="AU1147" s="76"/>
      <c r="AV1147" s="76"/>
      <c r="AW1147" s="82" t="str">
        <f>HYPERLINK("https://t.co/g4nPmsznz7")</f>
        <v>https://t.co/g4nPmsznz7</v>
      </c>
      <c r="AX1147" s="76" t="b">
        <v>0</v>
      </c>
      <c r="AY1147" s="76"/>
      <c r="AZ1147" s="76"/>
      <c r="BA1147" s="76" t="b">
        <v>0</v>
      </c>
      <c r="BB1147" s="76" t="b">
        <v>1</v>
      </c>
      <c r="BC1147" s="76" t="b">
        <v>1</v>
      </c>
      <c r="BD1147" s="76" t="b">
        <v>0</v>
      </c>
      <c r="BE1147" s="76" t="b">
        <v>0</v>
      </c>
      <c r="BF1147" s="76" t="b">
        <v>0</v>
      </c>
      <c r="BG1147" s="76" t="b">
        <v>0</v>
      </c>
      <c r="BH1147" s="82" t="str">
        <f>HYPERLINK("https://pbs.twimg.com/profile_banners/1619042829338132484/1679429257")</f>
        <v>https://pbs.twimg.com/profile_banners/1619042829338132484/1679429257</v>
      </c>
      <c r="BI1147" s="76"/>
      <c r="BJ1147" s="76" t="s">
        <v>27595</v>
      </c>
      <c r="BK1147" s="76" t="b">
        <v>0</v>
      </c>
      <c r="BL1147" s="76"/>
      <c r="BM1147" s="76" t="s">
        <v>66</v>
      </c>
      <c r="BN1147" s="76" t="s">
        <v>27597</v>
      </c>
      <c r="BO1147" s="82" t="str">
        <f>HYPERLINK("https://twitter.com/inkoms_oficial")</f>
        <v>https://twitter.com/inkoms_oficial</v>
      </c>
      <c r="BP1147" s="2"/>
    </row>
    <row r="1148" spans="1:68" x14ac:dyDescent="0.25">
      <c r="A1148" s="62" t="s">
        <v>1951</v>
      </c>
      <c r="B1148" s="63"/>
      <c r="C1148" s="63"/>
      <c r="D1148" s="64"/>
      <c r="E1148" s="66"/>
      <c r="F1148" s="103" t="str">
        <f>HYPERLINK("https://pbs.twimg.com/profile_images/1609903249103912961/b24RdpLM_normal.jpg")</f>
        <v>https://pbs.twimg.com/profile_images/1609903249103912961/b24RdpLM_normal.jpg</v>
      </c>
      <c r="G1148" s="63"/>
      <c r="H1148" s="67"/>
      <c r="I1148" s="68"/>
      <c r="J1148" s="68"/>
      <c r="K1148" s="67" t="s">
        <v>28742</v>
      </c>
      <c r="L1148" s="71"/>
      <c r="M1148" s="72"/>
      <c r="N1148" s="72"/>
      <c r="O1148" s="73"/>
      <c r="P1148" s="74"/>
      <c r="Q1148" s="74"/>
      <c r="R1148" s="87"/>
      <c r="S1148" s="87"/>
      <c r="T1148" s="87"/>
      <c r="U1148" s="87"/>
      <c r="V1148" s="48"/>
      <c r="W1148" s="48"/>
      <c r="X1148" s="48"/>
      <c r="Y1148" s="48"/>
      <c r="Z1148" s="47"/>
      <c r="AA1148" s="69">
        <v>1148</v>
      </c>
      <c r="AB1148" s="69"/>
      <c r="AC1148" s="70"/>
      <c r="AD1148" s="76" t="s">
        <v>22371</v>
      </c>
      <c r="AE1148" s="81" t="s">
        <v>23669</v>
      </c>
      <c r="AF1148" s="76">
        <v>429922</v>
      </c>
      <c r="AG1148" s="76">
        <v>740</v>
      </c>
      <c r="AH1148" s="76">
        <v>19403</v>
      </c>
      <c r="AI1148" s="76">
        <v>1309</v>
      </c>
      <c r="AJ1148" s="76">
        <v>1693</v>
      </c>
      <c r="AK1148" s="76">
        <v>8684</v>
      </c>
      <c r="AL1148" s="76" t="b">
        <v>0</v>
      </c>
      <c r="AM1148" s="78">
        <v>40388.625543981485</v>
      </c>
      <c r="AN1148" s="76" t="s">
        <v>24481</v>
      </c>
      <c r="AO1148" s="76" t="s">
        <v>25734</v>
      </c>
      <c r="AP1148" s="82" t="str">
        <f>HYPERLINK("https://t.co/ngeo5JO73T")</f>
        <v>https://t.co/ngeo5JO73T</v>
      </c>
      <c r="AQ1148" s="82" t="str">
        <f>HYPERLINK("http://www.banrep.gov.co")</f>
        <v>http://www.banrep.gov.co</v>
      </c>
      <c r="AR1148" s="76" t="s">
        <v>26979</v>
      </c>
      <c r="AS1148" s="76"/>
      <c r="AT1148" s="76"/>
      <c r="AU1148" s="76"/>
      <c r="AV1148" s="76">
        <v>1.7026758737557299E+18</v>
      </c>
      <c r="AW1148" s="82" t="str">
        <f>HYPERLINK("https://t.co/ngeo5JO73T")</f>
        <v>https://t.co/ngeo5JO73T</v>
      </c>
      <c r="AX1148" s="76" t="b">
        <v>0</v>
      </c>
      <c r="AY1148" s="76"/>
      <c r="AZ1148" s="76"/>
      <c r="BA1148" s="76" t="b">
        <v>1</v>
      </c>
      <c r="BB1148" s="76" t="b">
        <v>0</v>
      </c>
      <c r="BC1148" s="76" t="b">
        <v>0</v>
      </c>
      <c r="BD1148" s="76" t="b">
        <v>0</v>
      </c>
      <c r="BE1148" s="76" t="b">
        <v>1</v>
      </c>
      <c r="BF1148" s="76" t="b">
        <v>0</v>
      </c>
      <c r="BG1148" s="76" t="b">
        <v>0</v>
      </c>
      <c r="BH1148" s="82" t="str">
        <f>HYPERLINK("https://pbs.twimg.com/profile_banners/172368909/1672756099")</f>
        <v>https://pbs.twimg.com/profile_banners/172368909/1672756099</v>
      </c>
      <c r="BI1148" s="76"/>
      <c r="BJ1148" s="76" t="s">
        <v>27595</v>
      </c>
      <c r="BK1148" s="76" t="b">
        <v>0</v>
      </c>
      <c r="BL1148" s="76"/>
      <c r="BM1148" s="76" t="s">
        <v>65</v>
      </c>
      <c r="BN1148" s="76" t="s">
        <v>27597</v>
      </c>
      <c r="BO1148" s="82" t="str">
        <f>HYPERLINK("https://twitter.com/bancorepublica")</f>
        <v>https://twitter.com/bancorepublica</v>
      </c>
      <c r="BP1148" s="2"/>
    </row>
    <row r="1149" spans="1:68" x14ac:dyDescent="0.25">
      <c r="A1149" s="62" t="s">
        <v>1061</v>
      </c>
      <c r="B1149" s="63"/>
      <c r="C1149" s="63"/>
      <c r="D1149" s="64"/>
      <c r="E1149" s="66"/>
      <c r="F1149" s="103" t="str">
        <f>HYPERLINK("https://pbs.twimg.com/profile_images/1264327384922296321/kJ-Vb43p_normal.jpg")</f>
        <v>https://pbs.twimg.com/profile_images/1264327384922296321/kJ-Vb43p_normal.jpg</v>
      </c>
      <c r="G1149" s="63"/>
      <c r="H1149" s="67"/>
      <c r="I1149" s="68"/>
      <c r="J1149" s="68"/>
      <c r="K1149" s="67" t="s">
        <v>28743</v>
      </c>
      <c r="L1149" s="71"/>
      <c r="M1149" s="72"/>
      <c r="N1149" s="72"/>
      <c r="O1149" s="73"/>
      <c r="P1149" s="74"/>
      <c r="Q1149" s="74"/>
      <c r="R1149" s="87"/>
      <c r="S1149" s="87"/>
      <c r="T1149" s="87"/>
      <c r="U1149" s="87"/>
      <c r="V1149" s="48"/>
      <c r="W1149" s="48"/>
      <c r="X1149" s="48"/>
      <c r="Y1149" s="48"/>
      <c r="Z1149" s="47"/>
      <c r="AA1149" s="69">
        <v>1149</v>
      </c>
      <c r="AB1149" s="69"/>
      <c r="AC1149" s="70"/>
      <c r="AD1149" s="76" t="s">
        <v>22372</v>
      </c>
      <c r="AE1149" s="81" t="s">
        <v>23670</v>
      </c>
      <c r="AF1149" s="76">
        <v>1208</v>
      </c>
      <c r="AG1149" s="76">
        <v>986</v>
      </c>
      <c r="AH1149" s="76">
        <v>17138</v>
      </c>
      <c r="AI1149" s="76">
        <v>28</v>
      </c>
      <c r="AJ1149" s="76">
        <v>125</v>
      </c>
      <c r="AK1149" s="76">
        <v>482</v>
      </c>
      <c r="AL1149" s="76" t="b">
        <v>0</v>
      </c>
      <c r="AM1149" s="78">
        <v>40410.103842592594</v>
      </c>
      <c r="AN1149" s="76" t="s">
        <v>14385</v>
      </c>
      <c r="AO1149" s="76" t="s">
        <v>25735</v>
      </c>
      <c r="AP1149" s="82" t="str">
        <f>HYPERLINK("https://t.co/3Qk6AkkSsF")</f>
        <v>https://t.co/3Qk6AkkSsF</v>
      </c>
      <c r="AQ1149" s="82" t="str">
        <f>HYPERLINK("https://www.4semanas.com")</f>
        <v>https://www.4semanas.com</v>
      </c>
      <c r="AR1149" s="76" t="s">
        <v>8876</v>
      </c>
      <c r="AS1149" s="82" t="str">
        <f>HYPERLINK("https://t.co/uhhS0krjSC")</f>
        <v>https://t.co/uhhS0krjSC</v>
      </c>
      <c r="AT1149" s="82" t="str">
        <f>HYPERLINK("http://4SEMANAS.COM")</f>
        <v>http://4SEMANAS.COM</v>
      </c>
      <c r="AU1149" s="76" t="s">
        <v>22373</v>
      </c>
      <c r="AV1149" s="76"/>
      <c r="AW1149" s="82" t="str">
        <f>HYPERLINK("https://t.co/3Qk6AkkSsF")</f>
        <v>https://t.co/3Qk6AkkSsF</v>
      </c>
      <c r="AX1149" s="76" t="b">
        <v>0</v>
      </c>
      <c r="AY1149" s="76"/>
      <c r="AZ1149" s="76"/>
      <c r="BA1149" s="76" t="b">
        <v>0</v>
      </c>
      <c r="BB1149" s="76" t="b">
        <v>0</v>
      </c>
      <c r="BC1149" s="76" t="b">
        <v>0</v>
      </c>
      <c r="BD1149" s="76" t="b">
        <v>0</v>
      </c>
      <c r="BE1149" s="76" t="b">
        <v>1</v>
      </c>
      <c r="BF1149" s="76" t="b">
        <v>0</v>
      </c>
      <c r="BG1149" s="76" t="b">
        <v>0</v>
      </c>
      <c r="BH1149" s="82" t="str">
        <f>HYPERLINK("https://pbs.twimg.com/profile_banners/180625864/1493336911")</f>
        <v>https://pbs.twimg.com/profile_banners/180625864/1493336911</v>
      </c>
      <c r="BI1149" s="76"/>
      <c r="BJ1149" s="76" t="s">
        <v>27595</v>
      </c>
      <c r="BK1149" s="76" t="b">
        <v>0</v>
      </c>
      <c r="BL1149" s="76"/>
      <c r="BM1149" s="76" t="s">
        <v>66</v>
      </c>
      <c r="BN1149" s="76" t="s">
        <v>27597</v>
      </c>
      <c r="BO1149" s="82" t="str">
        <f>HYPERLINK("https://twitter.com/mrodriguezrocha")</f>
        <v>https://twitter.com/mrodriguezrocha</v>
      </c>
      <c r="BP1149" s="2"/>
    </row>
    <row r="1150" spans="1:68" x14ac:dyDescent="0.25">
      <c r="A1150" s="62" t="s">
        <v>1575</v>
      </c>
      <c r="B1150" s="63"/>
      <c r="C1150" s="63"/>
      <c r="D1150" s="64"/>
      <c r="E1150" s="66"/>
      <c r="F1150" s="103" t="str">
        <f>HYPERLINK("https://pbs.twimg.com/profile_images/1167245626104537088/i8JqRlI9_normal.png")</f>
        <v>https://pbs.twimg.com/profile_images/1167245626104537088/i8JqRlI9_normal.png</v>
      </c>
      <c r="G1150" s="63"/>
      <c r="H1150" s="67"/>
      <c r="I1150" s="68"/>
      <c r="J1150" s="68"/>
      <c r="K1150" s="67" t="s">
        <v>28744</v>
      </c>
      <c r="L1150" s="71"/>
      <c r="M1150" s="72"/>
      <c r="N1150" s="72"/>
      <c r="O1150" s="73"/>
      <c r="P1150" s="74"/>
      <c r="Q1150" s="74"/>
      <c r="R1150" s="87"/>
      <c r="S1150" s="87"/>
      <c r="T1150" s="87"/>
      <c r="U1150" s="87"/>
      <c r="V1150" s="48"/>
      <c r="W1150" s="48"/>
      <c r="X1150" s="48"/>
      <c r="Y1150" s="48"/>
      <c r="Z1150" s="47"/>
      <c r="AA1150" s="69">
        <v>1150</v>
      </c>
      <c r="AB1150" s="69"/>
      <c r="AC1150" s="70"/>
      <c r="AD1150" s="76" t="s">
        <v>22373</v>
      </c>
      <c r="AE1150" s="81" t="s">
        <v>23671</v>
      </c>
      <c r="AF1150" s="76">
        <v>617</v>
      </c>
      <c r="AG1150" s="76">
        <v>411</v>
      </c>
      <c r="AH1150" s="76">
        <v>21169</v>
      </c>
      <c r="AI1150" s="76">
        <v>10</v>
      </c>
      <c r="AJ1150" s="76">
        <v>2</v>
      </c>
      <c r="AK1150" s="76">
        <v>11456</v>
      </c>
      <c r="AL1150" s="76" t="b">
        <v>0</v>
      </c>
      <c r="AM1150" s="78">
        <v>40954.07885416667</v>
      </c>
      <c r="AN1150" s="76" t="s">
        <v>24114</v>
      </c>
      <c r="AO1150" s="76" t="s">
        <v>25736</v>
      </c>
      <c r="AP1150" s="82" t="str">
        <f>HYPERLINK("https://t.co/e0Nj1JhnLp")</f>
        <v>https://t.co/e0Nj1JhnLp</v>
      </c>
      <c r="AQ1150" s="82" t="str">
        <f>HYPERLINK("https://www.4semanas.com")</f>
        <v>https://www.4semanas.com</v>
      </c>
      <c r="AR1150" s="76" t="s">
        <v>8876</v>
      </c>
      <c r="AS1150" s="76" t="s">
        <v>27389</v>
      </c>
      <c r="AT1150" s="76" t="s">
        <v>27428</v>
      </c>
      <c r="AU1150" s="76" t="s">
        <v>27529</v>
      </c>
      <c r="AV1150" s="76"/>
      <c r="AW1150" s="82" t="str">
        <f>HYPERLINK("https://t.co/e0Nj1JhnLp")</f>
        <v>https://t.co/e0Nj1JhnLp</v>
      </c>
      <c r="AX1150" s="76" t="b">
        <v>0</v>
      </c>
      <c r="AY1150" s="76"/>
      <c r="AZ1150" s="76"/>
      <c r="BA1150" s="76" t="b">
        <v>0</v>
      </c>
      <c r="BB1150" s="76" t="b">
        <v>0</v>
      </c>
      <c r="BC1150" s="76" t="b">
        <v>0</v>
      </c>
      <c r="BD1150" s="76" t="b">
        <v>0</v>
      </c>
      <c r="BE1150" s="76" t="b">
        <v>0</v>
      </c>
      <c r="BF1150" s="76" t="b">
        <v>0</v>
      </c>
      <c r="BG1150" s="76" t="b">
        <v>0</v>
      </c>
      <c r="BH1150" s="82" t="str">
        <f>HYPERLINK("https://pbs.twimg.com/profile_banners/492725485/1553640556")</f>
        <v>https://pbs.twimg.com/profile_banners/492725485/1553640556</v>
      </c>
      <c r="BI1150" s="76"/>
      <c r="BJ1150" s="76" t="s">
        <v>27595</v>
      </c>
      <c r="BK1150" s="76" t="b">
        <v>0</v>
      </c>
      <c r="BL1150" s="76"/>
      <c r="BM1150" s="76" t="s">
        <v>66</v>
      </c>
      <c r="BN1150" s="76" t="s">
        <v>27597</v>
      </c>
      <c r="BO1150" s="82" t="str">
        <f>HYPERLINK("https://twitter.com/4semanasok")</f>
        <v>https://twitter.com/4semanasok</v>
      </c>
      <c r="BP1150" s="2"/>
    </row>
    <row r="1151" spans="1:68" x14ac:dyDescent="0.25">
      <c r="A1151" s="62" t="s">
        <v>1062</v>
      </c>
      <c r="B1151" s="63"/>
      <c r="C1151" s="63"/>
      <c r="D1151" s="64"/>
      <c r="E1151" s="66"/>
      <c r="F1151" s="103" t="str">
        <f>HYPERLINK("https://pbs.twimg.com/profile_images/1107754654417502209/fQQANPVL_normal.png")</f>
        <v>https://pbs.twimg.com/profile_images/1107754654417502209/fQQANPVL_normal.png</v>
      </c>
      <c r="G1151" s="63"/>
      <c r="H1151" s="67"/>
      <c r="I1151" s="68"/>
      <c r="J1151" s="68"/>
      <c r="K1151" s="67" t="s">
        <v>28745</v>
      </c>
      <c r="L1151" s="71"/>
      <c r="M1151" s="72"/>
      <c r="N1151" s="72"/>
      <c r="O1151" s="73"/>
      <c r="P1151" s="74"/>
      <c r="Q1151" s="74"/>
      <c r="R1151" s="87"/>
      <c r="S1151" s="87"/>
      <c r="T1151" s="87"/>
      <c r="U1151" s="87"/>
      <c r="V1151" s="48"/>
      <c r="W1151" s="48"/>
      <c r="X1151" s="48"/>
      <c r="Y1151" s="48"/>
      <c r="Z1151" s="47"/>
      <c r="AA1151" s="69">
        <v>1151</v>
      </c>
      <c r="AB1151" s="69"/>
      <c r="AC1151" s="70"/>
      <c r="AD1151" s="76" t="s">
        <v>1062</v>
      </c>
      <c r="AE1151" s="81" t="s">
        <v>23672</v>
      </c>
      <c r="AF1151" s="76">
        <v>23640</v>
      </c>
      <c r="AG1151" s="76">
        <v>666</v>
      </c>
      <c r="AH1151" s="76">
        <v>18713</v>
      </c>
      <c r="AI1151" s="76">
        <v>97</v>
      </c>
      <c r="AJ1151" s="76">
        <v>8271</v>
      </c>
      <c r="AK1151" s="76">
        <v>1486</v>
      </c>
      <c r="AL1151" s="76" t="b">
        <v>0</v>
      </c>
      <c r="AM1151" s="78">
        <v>39993.819027777776</v>
      </c>
      <c r="AN1151" s="76" t="s">
        <v>14416</v>
      </c>
      <c r="AO1151" s="76" t="s">
        <v>25737</v>
      </c>
      <c r="AP1151" s="82" t="str">
        <f>HYPERLINK("https://t.co/IBiyc9rN5B")</f>
        <v>https://t.co/IBiyc9rN5B</v>
      </c>
      <c r="AQ1151" s="82" t="str">
        <f>HYPERLINK("http://www.nsctotal.com.br")</f>
        <v>http://www.nsctotal.com.br</v>
      </c>
      <c r="AR1151" s="76" t="s">
        <v>26980</v>
      </c>
      <c r="AS1151" s="76"/>
      <c r="AT1151" s="76"/>
      <c r="AU1151" s="76"/>
      <c r="AV1151" s="76"/>
      <c r="AW1151" s="82" t="str">
        <f>HYPERLINK("https://t.co/IBiyc9rN5B")</f>
        <v>https://t.co/IBiyc9rN5B</v>
      </c>
      <c r="AX1151" s="76" t="b">
        <v>0</v>
      </c>
      <c r="AY1151" s="76"/>
      <c r="AZ1151" s="76"/>
      <c r="BA1151" s="76" t="b">
        <v>0</v>
      </c>
      <c r="BB1151" s="76" t="b">
        <v>1</v>
      </c>
      <c r="BC1151" s="76" t="b">
        <v>1</v>
      </c>
      <c r="BD1151" s="76" t="b">
        <v>0</v>
      </c>
      <c r="BE1151" s="76" t="b">
        <v>1</v>
      </c>
      <c r="BF1151" s="76" t="b">
        <v>0</v>
      </c>
      <c r="BG1151" s="76" t="b">
        <v>0</v>
      </c>
      <c r="BH1151" s="82" t="str">
        <f>HYPERLINK("https://pbs.twimg.com/profile_banners/52162988/1576359866")</f>
        <v>https://pbs.twimg.com/profile_banners/52162988/1576359866</v>
      </c>
      <c r="BI1151" s="76"/>
      <c r="BJ1151" s="76" t="s">
        <v>27595</v>
      </c>
      <c r="BK1151" s="76" t="b">
        <v>0</v>
      </c>
      <c r="BL1151" s="76"/>
      <c r="BM1151" s="76" t="s">
        <v>66</v>
      </c>
      <c r="BN1151" s="76" t="s">
        <v>27597</v>
      </c>
      <c r="BO1151" s="82" t="str">
        <f>HYPERLINK("https://twitter.com/renatoigor")</f>
        <v>https://twitter.com/renatoigor</v>
      </c>
      <c r="BP1151" s="2"/>
    </row>
    <row r="1152" spans="1:68" x14ac:dyDescent="0.25">
      <c r="A1152" s="62" t="s">
        <v>1063</v>
      </c>
      <c r="B1152" s="63"/>
      <c r="C1152" s="63"/>
      <c r="D1152" s="64"/>
      <c r="E1152" s="66"/>
      <c r="F1152" s="103" t="str">
        <f>HYPERLINK("https://pbs.twimg.com/profile_images/1640594218488930305/OfNJHBRm_normal.jpg")</f>
        <v>https://pbs.twimg.com/profile_images/1640594218488930305/OfNJHBRm_normal.jpg</v>
      </c>
      <c r="G1152" s="63"/>
      <c r="H1152" s="67"/>
      <c r="I1152" s="68"/>
      <c r="J1152" s="68"/>
      <c r="K1152" s="67" t="s">
        <v>28746</v>
      </c>
      <c r="L1152" s="71"/>
      <c r="M1152" s="72"/>
      <c r="N1152" s="72"/>
      <c r="O1152" s="73"/>
      <c r="P1152" s="74"/>
      <c r="Q1152" s="74"/>
      <c r="R1152" s="87"/>
      <c r="S1152" s="87"/>
      <c r="T1152" s="87"/>
      <c r="U1152" s="87"/>
      <c r="V1152" s="48"/>
      <c r="W1152" s="48"/>
      <c r="X1152" s="48"/>
      <c r="Y1152" s="48"/>
      <c r="Z1152" s="47"/>
      <c r="AA1152" s="69">
        <v>1152</v>
      </c>
      <c r="AB1152" s="69"/>
      <c r="AC1152" s="70"/>
      <c r="AD1152" s="76" t="s">
        <v>22374</v>
      </c>
      <c r="AE1152" s="81" t="s">
        <v>20906</v>
      </c>
      <c r="AF1152" s="76">
        <v>31</v>
      </c>
      <c r="AG1152" s="76">
        <v>106</v>
      </c>
      <c r="AH1152" s="76">
        <v>1857</v>
      </c>
      <c r="AI1152" s="76">
        <v>0</v>
      </c>
      <c r="AJ1152" s="76">
        <v>2854</v>
      </c>
      <c r="AK1152" s="76">
        <v>5</v>
      </c>
      <c r="AL1152" s="76" t="b">
        <v>0</v>
      </c>
      <c r="AM1152" s="78">
        <v>44748.246423611112</v>
      </c>
      <c r="AN1152" s="76" t="s">
        <v>14384</v>
      </c>
      <c r="AO1152" s="76" t="s">
        <v>25738</v>
      </c>
      <c r="AP1152" s="76"/>
      <c r="AQ1152" s="76"/>
      <c r="AR1152" s="76"/>
      <c r="AS1152" s="76"/>
      <c r="AT1152" s="76"/>
      <c r="AU1152" s="76"/>
      <c r="AV1152" s="76">
        <v>1.63321449992146E+18</v>
      </c>
      <c r="AW1152" s="76"/>
      <c r="AX1152" s="76" t="b">
        <v>0</v>
      </c>
      <c r="AY1152" s="76"/>
      <c r="AZ1152" s="76"/>
      <c r="BA1152" s="76" t="b">
        <v>0</v>
      </c>
      <c r="BB1152" s="76" t="b">
        <v>1</v>
      </c>
      <c r="BC1152" s="76" t="b">
        <v>1</v>
      </c>
      <c r="BD1152" s="76" t="b">
        <v>0</v>
      </c>
      <c r="BE1152" s="76" t="b">
        <v>1</v>
      </c>
      <c r="BF1152" s="76" t="b">
        <v>0</v>
      </c>
      <c r="BG1152" s="76" t="b">
        <v>0</v>
      </c>
      <c r="BH1152" s="82" t="str">
        <f>HYPERLINK("https://pbs.twimg.com/profile_banners/1544560343363600385/1677867588")</f>
        <v>https://pbs.twimg.com/profile_banners/1544560343363600385/1677867588</v>
      </c>
      <c r="BI1152" s="76"/>
      <c r="BJ1152" s="76" t="s">
        <v>27595</v>
      </c>
      <c r="BK1152" s="76" t="b">
        <v>0</v>
      </c>
      <c r="BL1152" s="76"/>
      <c r="BM1152" s="76" t="s">
        <v>66</v>
      </c>
      <c r="BN1152" s="76" t="s">
        <v>27597</v>
      </c>
      <c r="BO1152" s="82" t="str">
        <f>HYPERLINK("https://twitter.com/pedrobluesfx258")</f>
        <v>https://twitter.com/pedrobluesfx258</v>
      </c>
      <c r="BP1152" s="2"/>
    </row>
    <row r="1153" spans="1:68" x14ac:dyDescent="0.25">
      <c r="A1153" s="62" t="s">
        <v>1065</v>
      </c>
      <c r="B1153" s="63"/>
      <c r="C1153" s="63"/>
      <c r="D1153" s="64"/>
      <c r="E1153" s="66"/>
      <c r="F1153" s="103" t="str">
        <f>HYPERLINK("https://pbs.twimg.com/profile_images/567256094611742720/BLiLLrGY_normal.jpeg")</f>
        <v>https://pbs.twimg.com/profile_images/567256094611742720/BLiLLrGY_normal.jpeg</v>
      </c>
      <c r="G1153" s="63"/>
      <c r="H1153" s="67"/>
      <c r="I1153" s="68"/>
      <c r="J1153" s="68"/>
      <c r="K1153" s="67" t="s">
        <v>28747</v>
      </c>
      <c r="L1153" s="71"/>
      <c r="M1153" s="72"/>
      <c r="N1153" s="72"/>
      <c r="O1153" s="73"/>
      <c r="P1153" s="74"/>
      <c r="Q1153" s="74"/>
      <c r="R1153" s="87"/>
      <c r="S1153" s="87"/>
      <c r="T1153" s="87"/>
      <c r="U1153" s="87"/>
      <c r="V1153" s="48"/>
      <c r="W1153" s="48"/>
      <c r="X1153" s="48"/>
      <c r="Y1153" s="48"/>
      <c r="Z1153" s="47"/>
      <c r="AA1153" s="69">
        <v>1153</v>
      </c>
      <c r="AB1153" s="69"/>
      <c r="AC1153" s="70"/>
      <c r="AD1153" s="76" t="s">
        <v>22375</v>
      </c>
      <c r="AE1153" s="81" t="s">
        <v>23673</v>
      </c>
      <c r="AF1153" s="76">
        <v>181</v>
      </c>
      <c r="AG1153" s="76">
        <v>490</v>
      </c>
      <c r="AH1153" s="76">
        <v>17376</v>
      </c>
      <c r="AI1153" s="76">
        <v>16</v>
      </c>
      <c r="AJ1153" s="76">
        <v>222</v>
      </c>
      <c r="AK1153" s="76">
        <v>582</v>
      </c>
      <c r="AL1153" s="76" t="b">
        <v>0</v>
      </c>
      <c r="AM1153" s="78">
        <v>39646.54886574074</v>
      </c>
      <c r="AN1153" s="76" t="s">
        <v>24482</v>
      </c>
      <c r="AO1153" s="76" t="s">
        <v>25739</v>
      </c>
      <c r="AP1153" s="76"/>
      <c r="AQ1153" s="76"/>
      <c r="AR1153" s="76"/>
      <c r="AS1153" s="76"/>
      <c r="AT1153" s="76"/>
      <c r="AU1153" s="76"/>
      <c r="AV1153" s="76">
        <v>1.5631411317427599E+18</v>
      </c>
      <c r="AW1153" s="76"/>
      <c r="AX1153" s="76" t="b">
        <v>0</v>
      </c>
      <c r="AY1153" s="76"/>
      <c r="AZ1153" s="76"/>
      <c r="BA1153" s="76" t="b">
        <v>0</v>
      </c>
      <c r="BB1153" s="76" t="b">
        <v>1</v>
      </c>
      <c r="BC1153" s="76" t="b">
        <v>0</v>
      </c>
      <c r="BD1153" s="76" t="b">
        <v>0</v>
      </c>
      <c r="BE1153" s="76" t="b">
        <v>1</v>
      </c>
      <c r="BF1153" s="76" t="b">
        <v>0</v>
      </c>
      <c r="BG1153" s="76" t="b">
        <v>0</v>
      </c>
      <c r="BH1153" s="82" t="str">
        <f>HYPERLINK("https://pbs.twimg.com/profile_banners/15467410/1557952121")</f>
        <v>https://pbs.twimg.com/profile_banners/15467410/1557952121</v>
      </c>
      <c r="BI1153" s="76"/>
      <c r="BJ1153" s="76" t="s">
        <v>27595</v>
      </c>
      <c r="BK1153" s="76" t="b">
        <v>0</v>
      </c>
      <c r="BL1153" s="76"/>
      <c r="BM1153" s="76" t="s">
        <v>66</v>
      </c>
      <c r="BN1153" s="76" t="s">
        <v>27597</v>
      </c>
      <c r="BO1153" s="82" t="str">
        <f>HYPERLINK("https://twitter.com/elizeusantos")</f>
        <v>https://twitter.com/elizeusantos</v>
      </c>
      <c r="BP1153" s="2"/>
    </row>
    <row r="1154" spans="1:68" x14ac:dyDescent="0.25">
      <c r="A1154" s="62" t="s">
        <v>1066</v>
      </c>
      <c r="B1154" s="63"/>
      <c r="C1154" s="63"/>
      <c r="D1154" s="64"/>
      <c r="E1154" s="66"/>
      <c r="F1154" s="103" t="str">
        <f>HYPERLINK("https://pbs.twimg.com/profile_images/1707184855971155968/aCJchqPl_normal.jpg")</f>
        <v>https://pbs.twimg.com/profile_images/1707184855971155968/aCJchqPl_normal.jpg</v>
      </c>
      <c r="G1154" s="63"/>
      <c r="H1154" s="67"/>
      <c r="I1154" s="68"/>
      <c r="J1154" s="68"/>
      <c r="K1154" s="67" t="s">
        <v>28748</v>
      </c>
      <c r="L1154" s="71"/>
      <c r="M1154" s="72"/>
      <c r="N1154" s="72"/>
      <c r="O1154" s="73"/>
      <c r="P1154" s="74"/>
      <c r="Q1154" s="74"/>
      <c r="R1154" s="87"/>
      <c r="S1154" s="87"/>
      <c r="T1154" s="87"/>
      <c r="U1154" s="87"/>
      <c r="V1154" s="48"/>
      <c r="W1154" s="48"/>
      <c r="X1154" s="48"/>
      <c r="Y1154" s="48"/>
      <c r="Z1154" s="47"/>
      <c r="AA1154" s="69">
        <v>1154</v>
      </c>
      <c r="AB1154" s="69"/>
      <c r="AC1154" s="70"/>
      <c r="AD1154" s="76" t="s">
        <v>22376</v>
      </c>
      <c r="AE1154" s="81" t="s">
        <v>20907</v>
      </c>
      <c r="AF1154" s="76">
        <v>332</v>
      </c>
      <c r="AG1154" s="76">
        <v>1250</v>
      </c>
      <c r="AH1154" s="76">
        <v>28232</v>
      </c>
      <c r="AI1154" s="76">
        <v>2</v>
      </c>
      <c r="AJ1154" s="76">
        <v>4024</v>
      </c>
      <c r="AK1154" s="76">
        <v>4180</v>
      </c>
      <c r="AL1154" s="76" t="b">
        <v>0</v>
      </c>
      <c r="AM1154" s="78">
        <v>43273.69122685185</v>
      </c>
      <c r="AN1154" s="76"/>
      <c r="AO1154" s="76"/>
      <c r="AP1154" s="82" t="str">
        <f>HYPERLINK("https://t.co/qg3EK6dbI9")</f>
        <v>https://t.co/qg3EK6dbI9</v>
      </c>
      <c r="AQ1154" s="82" t="str">
        <f>HYPERLINK("http://eyr.com.do")</f>
        <v>http://eyr.com.do</v>
      </c>
      <c r="AR1154" s="76" t="s">
        <v>26515</v>
      </c>
      <c r="AS1154" s="76"/>
      <c r="AT1154" s="76"/>
      <c r="AU1154" s="76"/>
      <c r="AV1154" s="76"/>
      <c r="AW1154" s="82" t="str">
        <f>HYPERLINK("https://t.co/qg3EK6dbI9")</f>
        <v>https://t.co/qg3EK6dbI9</v>
      </c>
      <c r="AX1154" s="76" t="b">
        <v>0</v>
      </c>
      <c r="AY1154" s="76"/>
      <c r="AZ1154" s="76"/>
      <c r="BA1154" s="76" t="b">
        <v>0</v>
      </c>
      <c r="BB1154" s="76" t="b">
        <v>1</v>
      </c>
      <c r="BC1154" s="76" t="b">
        <v>1</v>
      </c>
      <c r="BD1154" s="76" t="b">
        <v>0</v>
      </c>
      <c r="BE1154" s="76" t="b">
        <v>1</v>
      </c>
      <c r="BF1154" s="76" t="b">
        <v>0</v>
      </c>
      <c r="BG1154" s="76" t="b">
        <v>0</v>
      </c>
      <c r="BH1154" s="82" t="str">
        <f>HYPERLINK("https://pbs.twimg.com/profile_banners/1010199575297224704/1695859561")</f>
        <v>https://pbs.twimg.com/profile_banners/1010199575297224704/1695859561</v>
      </c>
      <c r="BI1154" s="76"/>
      <c r="BJ1154" s="76" t="s">
        <v>27595</v>
      </c>
      <c r="BK1154" s="76" t="b">
        <v>0</v>
      </c>
      <c r="BL1154" s="76"/>
      <c r="BM1154" s="76" t="s">
        <v>66</v>
      </c>
      <c r="BN1154" s="76" t="s">
        <v>27597</v>
      </c>
      <c r="BO1154" s="82" t="str">
        <f>HYPERLINK("https://twitter.com/eyrnews")</f>
        <v>https://twitter.com/eyrnews</v>
      </c>
      <c r="BP1154" s="2"/>
    </row>
    <row r="1155" spans="1:68" x14ac:dyDescent="0.25">
      <c r="A1155" s="62" t="s">
        <v>1067</v>
      </c>
      <c r="B1155" s="63"/>
      <c r="C1155" s="63"/>
      <c r="D1155" s="64"/>
      <c r="E1155" s="66"/>
      <c r="F1155" s="103" t="str">
        <f>HYPERLINK("https://pbs.twimg.com/profile_images/1669769601738047521/OiHP8Dhi_normal.png")</f>
        <v>https://pbs.twimg.com/profile_images/1669769601738047521/OiHP8Dhi_normal.png</v>
      </c>
      <c r="G1155" s="63"/>
      <c r="H1155" s="67"/>
      <c r="I1155" s="68"/>
      <c r="J1155" s="68"/>
      <c r="K1155" s="67" t="s">
        <v>28749</v>
      </c>
      <c r="L1155" s="71"/>
      <c r="M1155" s="72"/>
      <c r="N1155" s="72"/>
      <c r="O1155" s="73"/>
      <c r="P1155" s="74"/>
      <c r="Q1155" s="74"/>
      <c r="R1155" s="87"/>
      <c r="S1155" s="87"/>
      <c r="T1155" s="87"/>
      <c r="U1155" s="87"/>
      <c r="V1155" s="48"/>
      <c r="W1155" s="48"/>
      <c r="X1155" s="48"/>
      <c r="Y1155" s="48"/>
      <c r="Z1155" s="47"/>
      <c r="AA1155" s="69">
        <v>1155</v>
      </c>
      <c r="AB1155" s="69"/>
      <c r="AC1155" s="70"/>
      <c r="AD1155" s="76" t="s">
        <v>22377</v>
      </c>
      <c r="AE1155" s="81" t="s">
        <v>20908</v>
      </c>
      <c r="AF1155" s="76">
        <v>24</v>
      </c>
      <c r="AG1155" s="76">
        <v>110</v>
      </c>
      <c r="AH1155" s="76">
        <v>21</v>
      </c>
      <c r="AI1155" s="76">
        <v>0</v>
      </c>
      <c r="AJ1155" s="76">
        <v>83</v>
      </c>
      <c r="AK1155" s="76">
        <v>7</v>
      </c>
      <c r="AL1155" s="76" t="b">
        <v>0</v>
      </c>
      <c r="AM1155" s="78">
        <v>44822.08971064815</v>
      </c>
      <c r="AN1155" s="76" t="s">
        <v>24483</v>
      </c>
      <c r="AO1155" s="76" t="s">
        <v>25740</v>
      </c>
      <c r="AP1155" s="82" t="str">
        <f>HYPERLINK("https://t.co/tACZOrBQ7D")</f>
        <v>https://t.co/tACZOrBQ7D</v>
      </c>
      <c r="AQ1155" s="82" t="str">
        <f>HYPERLINK("https://milei2023.com.ar/")</f>
        <v>https://milei2023.com.ar/</v>
      </c>
      <c r="AR1155" s="76" t="s">
        <v>26981</v>
      </c>
      <c r="AS1155" s="82" t="str">
        <f>HYPERLINK("https://t.co/tACZOrBQ7D")</f>
        <v>https://t.co/tACZOrBQ7D</v>
      </c>
      <c r="AT1155" s="82" t="str">
        <f>HYPERLINK("https://milei2023.com.ar/")</f>
        <v>https://milei2023.com.ar/</v>
      </c>
      <c r="AU1155" s="76" t="s">
        <v>26981</v>
      </c>
      <c r="AV1155" s="76"/>
      <c r="AW1155" s="82" t="str">
        <f>HYPERLINK("https://t.co/tACZOrBQ7D")</f>
        <v>https://t.co/tACZOrBQ7D</v>
      </c>
      <c r="AX1155" s="76" t="b">
        <v>0</v>
      </c>
      <c r="AY1155" s="76"/>
      <c r="AZ1155" s="76"/>
      <c r="BA1155" s="76" t="b">
        <v>0</v>
      </c>
      <c r="BB1155" s="76" t="b">
        <v>1</v>
      </c>
      <c r="BC1155" s="76" t="b">
        <v>1</v>
      </c>
      <c r="BD1155" s="76" t="b">
        <v>0</v>
      </c>
      <c r="BE1155" s="76" t="b">
        <v>0</v>
      </c>
      <c r="BF1155" s="76" t="b">
        <v>0</v>
      </c>
      <c r="BG1155" s="76" t="b">
        <v>0</v>
      </c>
      <c r="BH1155" s="82" t="str">
        <f>HYPERLINK("https://pbs.twimg.com/profile_banners/1571320287991308288/1690600948")</f>
        <v>https://pbs.twimg.com/profile_banners/1571320287991308288/1690600948</v>
      </c>
      <c r="BI1155" s="76"/>
      <c r="BJ1155" s="76" t="s">
        <v>27595</v>
      </c>
      <c r="BK1155" s="76" t="b">
        <v>0</v>
      </c>
      <c r="BL1155" s="76"/>
      <c r="BM1155" s="76" t="s">
        <v>66</v>
      </c>
      <c r="BN1155" s="76" t="s">
        <v>27597</v>
      </c>
      <c r="BO1155" s="82" t="str">
        <f>HYPERLINK("https://twitter.com/lla_sanvicente")</f>
        <v>https://twitter.com/lla_sanvicente</v>
      </c>
      <c r="BP1155" s="2"/>
    </row>
    <row r="1156" spans="1:68" x14ac:dyDescent="0.25">
      <c r="A1156" s="62" t="s">
        <v>1068</v>
      </c>
      <c r="B1156" s="63"/>
      <c r="C1156" s="63"/>
      <c r="D1156" s="64"/>
      <c r="E1156" s="66"/>
      <c r="F1156" s="103" t="str">
        <f>HYPERLINK("https://pbs.twimg.com/profile_images/1703971838613655552/_TGiscFD_normal.jpg")</f>
        <v>https://pbs.twimg.com/profile_images/1703971838613655552/_TGiscFD_normal.jpg</v>
      </c>
      <c r="G1156" s="63"/>
      <c r="H1156" s="67"/>
      <c r="I1156" s="68"/>
      <c r="J1156" s="68"/>
      <c r="K1156" s="67" t="s">
        <v>28750</v>
      </c>
      <c r="L1156" s="71"/>
      <c r="M1156" s="72"/>
      <c r="N1156" s="72"/>
      <c r="O1156" s="73"/>
      <c r="P1156" s="74"/>
      <c r="Q1156" s="74"/>
      <c r="R1156" s="87"/>
      <c r="S1156" s="87"/>
      <c r="T1156" s="87"/>
      <c r="U1156" s="87"/>
      <c r="V1156" s="48"/>
      <c r="W1156" s="48"/>
      <c r="X1156" s="48"/>
      <c r="Y1156" s="48"/>
      <c r="Z1156" s="47"/>
      <c r="AA1156" s="69">
        <v>1156</v>
      </c>
      <c r="AB1156" s="69"/>
      <c r="AC1156" s="70"/>
      <c r="AD1156" s="76" t="s">
        <v>22378</v>
      </c>
      <c r="AE1156" s="81" t="s">
        <v>20909</v>
      </c>
      <c r="AF1156" s="76">
        <v>187</v>
      </c>
      <c r="AG1156" s="76">
        <v>811</v>
      </c>
      <c r="AH1156" s="76">
        <v>397</v>
      </c>
      <c r="AI1156" s="76">
        <v>0</v>
      </c>
      <c r="AJ1156" s="76">
        <v>878</v>
      </c>
      <c r="AK1156" s="76">
        <v>178</v>
      </c>
      <c r="AL1156" s="76" t="b">
        <v>0</v>
      </c>
      <c r="AM1156" s="78">
        <v>43090.763796296298</v>
      </c>
      <c r="AN1156" s="76" t="s">
        <v>14386</v>
      </c>
      <c r="AO1156" s="76" t="s">
        <v>25741</v>
      </c>
      <c r="AP1156" s="82" t="str">
        <f>HYPERLINK("https://t.co/gPYkJmWUzK")</f>
        <v>https://t.co/gPYkJmWUzK</v>
      </c>
      <c r="AQ1156" s="82" t="str">
        <f>HYPERLINK("https://www.escritores.cl/web/karina/biografia.htm")</f>
        <v>https://www.escritores.cl/web/karina/biografia.htm</v>
      </c>
      <c r="AR1156" s="76" t="s">
        <v>26982</v>
      </c>
      <c r="AS1156" s="76"/>
      <c r="AT1156" s="76"/>
      <c r="AU1156" s="76"/>
      <c r="AV1156" s="76"/>
      <c r="AW1156" s="82" t="str">
        <f>HYPERLINK("https://t.co/gPYkJmWUzK")</f>
        <v>https://t.co/gPYkJmWUzK</v>
      </c>
      <c r="AX1156" s="76" t="b">
        <v>1</v>
      </c>
      <c r="AY1156" s="76"/>
      <c r="AZ1156" s="76"/>
      <c r="BA1156" s="76" t="b">
        <v>1</v>
      </c>
      <c r="BB1156" s="76" t="b">
        <v>1</v>
      </c>
      <c r="BC1156" s="76" t="b">
        <v>1</v>
      </c>
      <c r="BD1156" s="76" t="b">
        <v>0</v>
      </c>
      <c r="BE1156" s="76" t="b">
        <v>0</v>
      </c>
      <c r="BF1156" s="76" t="b">
        <v>0</v>
      </c>
      <c r="BG1156" s="76" t="b">
        <v>0</v>
      </c>
      <c r="BH1156" s="82" t="str">
        <f>HYPERLINK("https://pbs.twimg.com/profile_banners/943908896284073984/1695063641")</f>
        <v>https://pbs.twimg.com/profile_banners/943908896284073984/1695063641</v>
      </c>
      <c r="BI1156" s="76"/>
      <c r="BJ1156" s="76" t="s">
        <v>27595</v>
      </c>
      <c r="BK1156" s="76" t="b">
        <v>0</v>
      </c>
      <c r="BL1156" s="76"/>
      <c r="BM1156" s="76" t="s">
        <v>66</v>
      </c>
      <c r="BN1156" s="76" t="s">
        <v>27597</v>
      </c>
      <c r="BO1156" s="82" t="str">
        <f>HYPERLINK("https://twitter.com/karinaescritora")</f>
        <v>https://twitter.com/karinaescritora</v>
      </c>
      <c r="BP1156" s="2"/>
    </row>
    <row r="1157" spans="1:68" x14ac:dyDescent="0.25">
      <c r="A1157" s="62" t="s">
        <v>1069</v>
      </c>
      <c r="B1157" s="63"/>
      <c r="C1157" s="63"/>
      <c r="D1157" s="64"/>
      <c r="E1157" s="66"/>
      <c r="F1157" s="103" t="str">
        <f>HYPERLINK("https://pbs.twimg.com/profile_images/1571990808441622528/u4gMeB4e_normal.jpg")</f>
        <v>https://pbs.twimg.com/profile_images/1571990808441622528/u4gMeB4e_normal.jpg</v>
      </c>
      <c r="G1157" s="63"/>
      <c r="H1157" s="67"/>
      <c r="I1157" s="68"/>
      <c r="J1157" s="68"/>
      <c r="K1157" s="67" t="s">
        <v>28751</v>
      </c>
      <c r="L1157" s="71"/>
      <c r="M1157" s="72"/>
      <c r="N1157" s="72"/>
      <c r="O1157" s="73"/>
      <c r="P1157" s="74"/>
      <c r="Q1157" s="74"/>
      <c r="R1157" s="87"/>
      <c r="S1157" s="87"/>
      <c r="T1157" s="87"/>
      <c r="U1157" s="87"/>
      <c r="V1157" s="48"/>
      <c r="W1157" s="48"/>
      <c r="X1157" s="48"/>
      <c r="Y1157" s="48"/>
      <c r="Z1157" s="47"/>
      <c r="AA1157" s="69">
        <v>1157</v>
      </c>
      <c r="AB1157" s="69"/>
      <c r="AC1157" s="70"/>
      <c r="AD1157" s="76" t="s">
        <v>22379</v>
      </c>
      <c r="AE1157" s="81" t="s">
        <v>20910</v>
      </c>
      <c r="AF1157" s="76">
        <v>10875</v>
      </c>
      <c r="AG1157" s="76">
        <v>16</v>
      </c>
      <c r="AH1157" s="76">
        <v>20182</v>
      </c>
      <c r="AI1157" s="76">
        <v>199</v>
      </c>
      <c r="AJ1157" s="76">
        <v>470</v>
      </c>
      <c r="AK1157" s="76">
        <v>1679</v>
      </c>
      <c r="AL1157" s="76" t="b">
        <v>0</v>
      </c>
      <c r="AM1157" s="78">
        <v>44287.914687500001</v>
      </c>
      <c r="AN1157" s="76"/>
      <c r="AO1157" s="76" t="s">
        <v>25742</v>
      </c>
      <c r="AP1157" s="82" t="str">
        <f>HYPERLINK("https://t.co/aF8qcjHpzj")</f>
        <v>https://t.co/aF8qcjHpzj</v>
      </c>
      <c r="AQ1157" s="82" t="str">
        <f>HYPERLINK("http://www.bloomberglinea.com.br")</f>
        <v>http://www.bloomberglinea.com.br</v>
      </c>
      <c r="AR1157" s="76" t="s">
        <v>26983</v>
      </c>
      <c r="AS1157" s="76"/>
      <c r="AT1157" s="76"/>
      <c r="AU1157" s="76"/>
      <c r="AV1157" s="76">
        <v>1.7067189305708201E+18</v>
      </c>
      <c r="AW1157" s="82" t="str">
        <f>HYPERLINK("https://t.co/aF8qcjHpzj")</f>
        <v>https://t.co/aF8qcjHpzj</v>
      </c>
      <c r="AX1157" s="76" t="b">
        <v>1</v>
      </c>
      <c r="AY1157" s="76"/>
      <c r="AZ1157" s="76"/>
      <c r="BA1157" s="76" t="b">
        <v>0</v>
      </c>
      <c r="BB1157" s="76" t="b">
        <v>1</v>
      </c>
      <c r="BC1157" s="76" t="b">
        <v>1</v>
      </c>
      <c r="BD1157" s="76" t="b">
        <v>0</v>
      </c>
      <c r="BE1157" s="76" t="b">
        <v>0</v>
      </c>
      <c r="BF1157" s="76" t="b">
        <v>0</v>
      </c>
      <c r="BG1157" s="76" t="b">
        <v>0</v>
      </c>
      <c r="BH1157" s="82" t="str">
        <f>HYPERLINK("https://pbs.twimg.com/profile_banners/1377741813151371264/1664554848")</f>
        <v>https://pbs.twimg.com/profile_banners/1377741813151371264/1664554848</v>
      </c>
      <c r="BI1157" s="76"/>
      <c r="BJ1157" s="76" t="s">
        <v>27595</v>
      </c>
      <c r="BK1157" s="76" t="b">
        <v>0</v>
      </c>
      <c r="BL1157" s="76"/>
      <c r="BM1157" s="76" t="s">
        <v>66</v>
      </c>
      <c r="BN1157" s="76" t="s">
        <v>27597</v>
      </c>
      <c r="BO1157" s="82" t="str">
        <f>HYPERLINK("https://twitter.com/bloomberglineab")</f>
        <v>https://twitter.com/bloomberglineab</v>
      </c>
      <c r="BP1157" s="2"/>
    </row>
    <row r="1158" spans="1:68" x14ac:dyDescent="0.25">
      <c r="A1158" s="62" t="s">
        <v>1071</v>
      </c>
      <c r="B1158" s="63"/>
      <c r="C1158" s="63"/>
      <c r="D1158" s="64"/>
      <c r="E1158" s="66"/>
      <c r="F1158" s="103" t="str">
        <f>HYPERLINK("https://abs.twimg.com/sticky/default_profile_images/default_profile_normal.png")</f>
        <v>https://abs.twimg.com/sticky/default_profile_images/default_profile_normal.png</v>
      </c>
      <c r="G1158" s="63"/>
      <c r="H1158" s="67"/>
      <c r="I1158" s="68"/>
      <c r="J1158" s="68"/>
      <c r="K1158" s="67" t="s">
        <v>28752</v>
      </c>
      <c r="L1158" s="71"/>
      <c r="M1158" s="72"/>
      <c r="N1158" s="72"/>
      <c r="O1158" s="73"/>
      <c r="P1158" s="74"/>
      <c r="Q1158" s="74"/>
      <c r="R1158" s="87"/>
      <c r="S1158" s="87"/>
      <c r="T1158" s="87"/>
      <c r="U1158" s="87"/>
      <c r="V1158" s="48"/>
      <c r="W1158" s="48"/>
      <c r="X1158" s="48"/>
      <c r="Y1158" s="48"/>
      <c r="Z1158" s="47"/>
      <c r="AA1158" s="69">
        <v>1158</v>
      </c>
      <c r="AB1158" s="69"/>
      <c r="AC1158" s="70"/>
      <c r="AD1158" s="76" t="s">
        <v>22380</v>
      </c>
      <c r="AE1158" s="81" t="s">
        <v>23674</v>
      </c>
      <c r="AF1158" s="76">
        <v>1008</v>
      </c>
      <c r="AG1158" s="76">
        <v>3387</v>
      </c>
      <c r="AH1158" s="76">
        <v>6796</v>
      </c>
      <c r="AI1158" s="76">
        <v>3</v>
      </c>
      <c r="AJ1158" s="76">
        <v>3325</v>
      </c>
      <c r="AK1158" s="76">
        <v>790</v>
      </c>
      <c r="AL1158" s="76" t="b">
        <v>0</v>
      </c>
      <c r="AM1158" s="78">
        <v>41562.170497685183</v>
      </c>
      <c r="AN1158" s="76"/>
      <c r="AO1158" s="76" t="s">
        <v>25743</v>
      </c>
      <c r="AP1158" s="76"/>
      <c r="AQ1158" s="76"/>
      <c r="AR1158" s="76"/>
      <c r="AS1158" s="76"/>
      <c r="AT1158" s="76"/>
      <c r="AU1158" s="76"/>
      <c r="AV1158" s="76"/>
      <c r="AW1158" s="76"/>
      <c r="AX1158" s="76" t="b">
        <v>0</v>
      </c>
      <c r="AY1158" s="76"/>
      <c r="AZ1158" s="76"/>
      <c r="BA1158" s="76" t="b">
        <v>0</v>
      </c>
      <c r="BB1158" s="76" t="b">
        <v>1</v>
      </c>
      <c r="BC1158" s="76" t="b">
        <v>1</v>
      </c>
      <c r="BD1158" s="76" t="b">
        <v>1</v>
      </c>
      <c r="BE1158" s="76" t="b">
        <v>0</v>
      </c>
      <c r="BF1158" s="76" t="b">
        <v>0</v>
      </c>
      <c r="BG1158" s="76" t="b">
        <v>0</v>
      </c>
      <c r="BH1158" s="76"/>
      <c r="BI1158" s="76"/>
      <c r="BJ1158" s="76" t="s">
        <v>27595</v>
      </c>
      <c r="BK1158" s="76" t="b">
        <v>0</v>
      </c>
      <c r="BL1158" s="76"/>
      <c r="BM1158" s="76" t="s">
        <v>66</v>
      </c>
      <c r="BN1158" s="76" t="s">
        <v>27597</v>
      </c>
      <c r="BO1158" s="82" t="str">
        <f>HYPERLINK("https://twitter.com/fabioalbianibar")</f>
        <v>https://twitter.com/fabioalbianibar</v>
      </c>
      <c r="BP1158" s="2"/>
    </row>
    <row r="1159" spans="1:68" x14ac:dyDescent="0.25">
      <c r="A1159" s="62" t="s">
        <v>1072</v>
      </c>
      <c r="B1159" s="63"/>
      <c r="C1159" s="63"/>
      <c r="D1159" s="64"/>
      <c r="E1159" s="66"/>
      <c r="F1159" s="103" t="str">
        <f>HYPERLINK("https://pbs.twimg.com/profile_images/1419995425491333120/wGuKJNby_normal.jpg")</f>
        <v>https://pbs.twimg.com/profile_images/1419995425491333120/wGuKJNby_normal.jpg</v>
      </c>
      <c r="G1159" s="63"/>
      <c r="H1159" s="67"/>
      <c r="I1159" s="68"/>
      <c r="J1159" s="68"/>
      <c r="K1159" s="67" t="s">
        <v>28753</v>
      </c>
      <c r="L1159" s="71"/>
      <c r="M1159" s="72"/>
      <c r="N1159" s="72"/>
      <c r="O1159" s="73"/>
      <c r="P1159" s="74"/>
      <c r="Q1159" s="74"/>
      <c r="R1159" s="87"/>
      <c r="S1159" s="87"/>
      <c r="T1159" s="87"/>
      <c r="U1159" s="87"/>
      <c r="V1159" s="48"/>
      <c r="W1159" s="48"/>
      <c r="X1159" s="48"/>
      <c r="Y1159" s="48"/>
      <c r="Z1159" s="47"/>
      <c r="AA1159" s="69">
        <v>1159</v>
      </c>
      <c r="AB1159" s="69"/>
      <c r="AC1159" s="70"/>
      <c r="AD1159" s="76" t="s">
        <v>22381</v>
      </c>
      <c r="AE1159" s="81" t="s">
        <v>20912</v>
      </c>
      <c r="AF1159" s="76">
        <v>6</v>
      </c>
      <c r="AG1159" s="76">
        <v>66</v>
      </c>
      <c r="AH1159" s="76">
        <v>76</v>
      </c>
      <c r="AI1159" s="76">
        <v>1</v>
      </c>
      <c r="AJ1159" s="76">
        <v>117</v>
      </c>
      <c r="AK1159" s="76">
        <v>21</v>
      </c>
      <c r="AL1159" s="76" t="b">
        <v>0</v>
      </c>
      <c r="AM1159" s="78">
        <v>42786.798483796294</v>
      </c>
      <c r="AN1159" s="76"/>
      <c r="AO1159" s="76" t="s">
        <v>25744</v>
      </c>
      <c r="AP1159" s="82" t="str">
        <f>HYPERLINK("https://t.co/icND2e3gEh")</f>
        <v>https://t.co/icND2e3gEh</v>
      </c>
      <c r="AQ1159" s="82" t="str">
        <f>HYPERLINK("http://beacons.ai/misaelnascimentofinancas")</f>
        <v>http://beacons.ai/misaelnascimentofinancas</v>
      </c>
      <c r="AR1159" s="76" t="s">
        <v>26984</v>
      </c>
      <c r="AS1159" s="76"/>
      <c r="AT1159" s="76"/>
      <c r="AU1159" s="76"/>
      <c r="AV1159" s="76"/>
      <c r="AW1159" s="82" t="str">
        <f>HYPERLINK("https://t.co/icND2e3gEh")</f>
        <v>https://t.co/icND2e3gEh</v>
      </c>
      <c r="AX1159" s="76" t="b">
        <v>0</v>
      </c>
      <c r="AY1159" s="76"/>
      <c r="AZ1159" s="76"/>
      <c r="BA1159" s="76" t="b">
        <v>0</v>
      </c>
      <c r="BB1159" s="76" t="b">
        <v>1</v>
      </c>
      <c r="BC1159" s="76" t="b">
        <v>1</v>
      </c>
      <c r="BD1159" s="76" t="b">
        <v>0</v>
      </c>
      <c r="BE1159" s="76" t="b">
        <v>0</v>
      </c>
      <c r="BF1159" s="76" t="b">
        <v>0</v>
      </c>
      <c r="BG1159" s="76" t="b">
        <v>0</v>
      </c>
      <c r="BH1159" s="82" t="str">
        <f>HYPERLINK("https://pbs.twimg.com/profile_banners/833755553620959234/1627388337")</f>
        <v>https://pbs.twimg.com/profile_banners/833755553620959234/1627388337</v>
      </c>
      <c r="BI1159" s="76"/>
      <c r="BJ1159" s="76" t="s">
        <v>27595</v>
      </c>
      <c r="BK1159" s="76" t="b">
        <v>0</v>
      </c>
      <c r="BL1159" s="76"/>
      <c r="BM1159" s="76" t="s">
        <v>66</v>
      </c>
      <c r="BN1159" s="76" t="s">
        <v>27597</v>
      </c>
      <c r="BO1159" s="82" t="str">
        <f>HYPERLINK("https://twitter.com/nascimentomma")</f>
        <v>https://twitter.com/nascimentomma</v>
      </c>
      <c r="BP1159" s="2"/>
    </row>
    <row r="1160" spans="1:68" x14ac:dyDescent="0.25">
      <c r="A1160" s="62" t="s">
        <v>1073</v>
      </c>
      <c r="B1160" s="63"/>
      <c r="C1160" s="63"/>
      <c r="D1160" s="64"/>
      <c r="E1160" s="66"/>
      <c r="F1160" s="103" t="str">
        <f>HYPERLINK("https://pbs.twimg.com/profile_images/1676537849968046080/7wbrqYd8_normal.jpg")</f>
        <v>https://pbs.twimg.com/profile_images/1676537849968046080/7wbrqYd8_normal.jpg</v>
      </c>
      <c r="G1160" s="63"/>
      <c r="H1160" s="67"/>
      <c r="I1160" s="68"/>
      <c r="J1160" s="68"/>
      <c r="K1160" s="67" t="s">
        <v>28754</v>
      </c>
      <c r="L1160" s="71"/>
      <c r="M1160" s="72"/>
      <c r="N1160" s="72"/>
      <c r="O1160" s="73"/>
      <c r="P1160" s="74"/>
      <c r="Q1160" s="74"/>
      <c r="R1160" s="87"/>
      <c r="S1160" s="87"/>
      <c r="T1160" s="87"/>
      <c r="U1160" s="87"/>
      <c r="V1160" s="48"/>
      <c r="W1160" s="48"/>
      <c r="X1160" s="48"/>
      <c r="Y1160" s="48"/>
      <c r="Z1160" s="47"/>
      <c r="AA1160" s="69">
        <v>1160</v>
      </c>
      <c r="AB1160" s="69"/>
      <c r="AC1160" s="70"/>
      <c r="AD1160" s="76" t="s">
        <v>22382</v>
      </c>
      <c r="AE1160" s="81" t="s">
        <v>20913</v>
      </c>
      <c r="AF1160" s="76">
        <v>4</v>
      </c>
      <c r="AG1160" s="76">
        <v>27</v>
      </c>
      <c r="AH1160" s="76">
        <v>361</v>
      </c>
      <c r="AI1160" s="76">
        <v>0</v>
      </c>
      <c r="AJ1160" s="76">
        <v>89</v>
      </c>
      <c r="AK1160" s="76">
        <v>22</v>
      </c>
      <c r="AL1160" s="76" t="b">
        <v>0</v>
      </c>
      <c r="AM1160" s="78">
        <v>45112.433599537035</v>
      </c>
      <c r="AN1160" s="76"/>
      <c r="AO1160" s="76" t="s">
        <v>25745</v>
      </c>
      <c r="AP1160" s="76"/>
      <c r="AQ1160" s="76"/>
      <c r="AR1160" s="76"/>
      <c r="AS1160" s="76"/>
      <c r="AT1160" s="76"/>
      <c r="AU1160" s="76"/>
      <c r="AV1160" s="76"/>
      <c r="AW1160" s="76"/>
      <c r="AX1160" s="76" t="b">
        <v>0</v>
      </c>
      <c r="AY1160" s="76"/>
      <c r="AZ1160" s="76"/>
      <c r="BA1160" s="76" t="b">
        <v>0</v>
      </c>
      <c r="BB1160" s="76" t="b">
        <v>1</v>
      </c>
      <c r="BC1160" s="76" t="b">
        <v>1</v>
      </c>
      <c r="BD1160" s="76" t="b">
        <v>0</v>
      </c>
      <c r="BE1160" s="76" t="b">
        <v>0</v>
      </c>
      <c r="BF1160" s="76" t="b">
        <v>0</v>
      </c>
      <c r="BG1160" s="76" t="b">
        <v>0</v>
      </c>
      <c r="BH1160" s="76"/>
      <c r="BI1160" s="76"/>
      <c r="BJ1160" s="76" t="s">
        <v>27595</v>
      </c>
      <c r="BK1160" s="76" t="b">
        <v>0</v>
      </c>
      <c r="BL1160" s="76"/>
      <c r="BM1160" s="76" t="s">
        <v>66</v>
      </c>
      <c r="BN1160" s="76" t="s">
        <v>27597</v>
      </c>
      <c r="BO1160" s="82" t="str">
        <f>HYPERLINK("https://twitter.com/robertoleo1975")</f>
        <v>https://twitter.com/robertoleo1975</v>
      </c>
      <c r="BP1160" s="2"/>
    </row>
    <row r="1161" spans="1:68" x14ac:dyDescent="0.25">
      <c r="A1161" s="62" t="s">
        <v>1074</v>
      </c>
      <c r="B1161" s="63"/>
      <c r="C1161" s="63"/>
      <c r="D1161" s="64"/>
      <c r="E1161" s="66"/>
      <c r="F1161" s="103" t="str">
        <f>HYPERLINK("https://pbs.twimg.com/profile_images/1644766058732036096/nxByH--d_normal.jpg")</f>
        <v>https://pbs.twimg.com/profile_images/1644766058732036096/nxByH--d_normal.jpg</v>
      </c>
      <c r="G1161" s="63"/>
      <c r="H1161" s="67"/>
      <c r="I1161" s="68"/>
      <c r="J1161" s="68"/>
      <c r="K1161" s="67" t="s">
        <v>28755</v>
      </c>
      <c r="L1161" s="71"/>
      <c r="M1161" s="72"/>
      <c r="N1161" s="72"/>
      <c r="O1161" s="73"/>
      <c r="P1161" s="74"/>
      <c r="Q1161" s="74"/>
      <c r="R1161" s="87"/>
      <c r="S1161" s="87"/>
      <c r="T1161" s="87"/>
      <c r="U1161" s="87"/>
      <c r="V1161" s="48"/>
      <c r="W1161" s="48"/>
      <c r="X1161" s="48"/>
      <c r="Y1161" s="48"/>
      <c r="Z1161" s="47"/>
      <c r="AA1161" s="69">
        <v>1161</v>
      </c>
      <c r="AB1161" s="69"/>
      <c r="AC1161" s="70"/>
      <c r="AD1161" s="76" t="s">
        <v>22383</v>
      </c>
      <c r="AE1161" s="81" t="s">
        <v>23675</v>
      </c>
      <c r="AF1161" s="76">
        <v>123</v>
      </c>
      <c r="AG1161" s="76">
        <v>1956</v>
      </c>
      <c r="AH1161" s="76">
        <v>2302</v>
      </c>
      <c r="AI1161" s="76">
        <v>8</v>
      </c>
      <c r="AJ1161" s="76">
        <v>62799</v>
      </c>
      <c r="AK1161" s="76">
        <v>0</v>
      </c>
      <c r="AL1161" s="76" t="b">
        <v>0</v>
      </c>
      <c r="AM1161" s="78">
        <v>41792.00640046296</v>
      </c>
      <c r="AN1161" s="76"/>
      <c r="AO1161" s="76"/>
      <c r="AP1161" s="76"/>
      <c r="AQ1161" s="76"/>
      <c r="AR1161" s="76"/>
      <c r="AS1161" s="76"/>
      <c r="AT1161" s="76"/>
      <c r="AU1161" s="76"/>
      <c r="AV1161" s="76"/>
      <c r="AW1161" s="76"/>
      <c r="AX1161" s="76" t="b">
        <v>0</v>
      </c>
      <c r="AY1161" s="76"/>
      <c r="AZ1161" s="76"/>
      <c r="BA1161" s="76" t="b">
        <v>0</v>
      </c>
      <c r="BB1161" s="76" t="b">
        <v>1</v>
      </c>
      <c r="BC1161" s="76" t="b">
        <v>1</v>
      </c>
      <c r="BD1161" s="76" t="b">
        <v>0</v>
      </c>
      <c r="BE1161" s="76" t="b">
        <v>0</v>
      </c>
      <c r="BF1161" s="76" t="b">
        <v>0</v>
      </c>
      <c r="BG1161" s="76" t="b">
        <v>0</v>
      </c>
      <c r="BH1161" s="76"/>
      <c r="BI1161" s="76"/>
      <c r="BJ1161" s="76" t="s">
        <v>27595</v>
      </c>
      <c r="BK1161" s="76" t="b">
        <v>0</v>
      </c>
      <c r="BL1161" s="76"/>
      <c r="BM1161" s="76" t="s">
        <v>66</v>
      </c>
      <c r="BN1161" s="76" t="s">
        <v>27597</v>
      </c>
      <c r="BO1161" s="82" t="str">
        <f>HYPERLINK("https://twitter.com/carlosnovo30")</f>
        <v>https://twitter.com/carlosnovo30</v>
      </c>
      <c r="BP1161" s="2"/>
    </row>
    <row r="1162" spans="1:68" x14ac:dyDescent="0.25">
      <c r="A1162" s="62" t="s">
        <v>1075</v>
      </c>
      <c r="B1162" s="63"/>
      <c r="C1162" s="63"/>
      <c r="D1162" s="64"/>
      <c r="E1162" s="66"/>
      <c r="F1162" s="103" t="str">
        <f>HYPERLINK("https://pbs.twimg.com/profile_images/1338438902869340163/_6hd9SYO_normal.jpg")</f>
        <v>https://pbs.twimg.com/profile_images/1338438902869340163/_6hd9SYO_normal.jpg</v>
      </c>
      <c r="G1162" s="63"/>
      <c r="H1162" s="67"/>
      <c r="I1162" s="68"/>
      <c r="J1162" s="68"/>
      <c r="K1162" s="67" t="s">
        <v>28756</v>
      </c>
      <c r="L1162" s="71"/>
      <c r="M1162" s="72"/>
      <c r="N1162" s="72"/>
      <c r="O1162" s="73"/>
      <c r="P1162" s="74"/>
      <c r="Q1162" s="74"/>
      <c r="R1162" s="87"/>
      <c r="S1162" s="87"/>
      <c r="T1162" s="87"/>
      <c r="U1162" s="87"/>
      <c r="V1162" s="48"/>
      <c r="W1162" s="48"/>
      <c r="X1162" s="48"/>
      <c r="Y1162" s="48"/>
      <c r="Z1162" s="47"/>
      <c r="AA1162" s="69">
        <v>1162</v>
      </c>
      <c r="AB1162" s="69"/>
      <c r="AC1162" s="70"/>
      <c r="AD1162" s="76" t="s">
        <v>22384</v>
      </c>
      <c r="AE1162" s="81" t="s">
        <v>20914</v>
      </c>
      <c r="AF1162" s="76">
        <v>17</v>
      </c>
      <c r="AG1162" s="76">
        <v>70</v>
      </c>
      <c r="AH1162" s="76">
        <v>1153</v>
      </c>
      <c r="AI1162" s="76">
        <v>0</v>
      </c>
      <c r="AJ1162" s="76">
        <v>1562</v>
      </c>
      <c r="AK1162" s="76">
        <v>23</v>
      </c>
      <c r="AL1162" s="76" t="b">
        <v>0</v>
      </c>
      <c r="AM1162" s="78">
        <v>43910.634270833332</v>
      </c>
      <c r="AN1162" s="76" t="s">
        <v>14432</v>
      </c>
      <c r="AO1162" s="76"/>
      <c r="AP1162" s="76"/>
      <c r="AQ1162" s="76"/>
      <c r="AR1162" s="76"/>
      <c r="AS1162" s="76"/>
      <c r="AT1162" s="76"/>
      <c r="AU1162" s="76"/>
      <c r="AV1162" s="76"/>
      <c r="AW1162" s="76"/>
      <c r="AX1162" s="76" t="b">
        <v>0</v>
      </c>
      <c r="AY1162" s="76"/>
      <c r="AZ1162" s="76"/>
      <c r="BA1162" s="76" t="b">
        <v>0</v>
      </c>
      <c r="BB1162" s="76" t="b">
        <v>1</v>
      </c>
      <c r="BC1162" s="76" t="b">
        <v>1</v>
      </c>
      <c r="BD1162" s="76" t="b">
        <v>0</v>
      </c>
      <c r="BE1162" s="76" t="b">
        <v>1</v>
      </c>
      <c r="BF1162" s="76" t="b">
        <v>0</v>
      </c>
      <c r="BG1162" s="76" t="b">
        <v>0</v>
      </c>
      <c r="BH1162" s="76"/>
      <c r="BI1162" s="76"/>
      <c r="BJ1162" s="76" t="s">
        <v>27595</v>
      </c>
      <c r="BK1162" s="76" t="b">
        <v>0</v>
      </c>
      <c r="BL1162" s="76"/>
      <c r="BM1162" s="76" t="s">
        <v>66</v>
      </c>
      <c r="BN1162" s="76" t="s">
        <v>27597</v>
      </c>
      <c r="BO1162" s="82" t="str">
        <f>HYPERLINK("https://twitter.com/lugomes2020")</f>
        <v>https://twitter.com/lugomes2020</v>
      </c>
      <c r="BP1162" s="2"/>
    </row>
    <row r="1163" spans="1:68" x14ac:dyDescent="0.25">
      <c r="A1163" s="62" t="s">
        <v>1952</v>
      </c>
      <c r="B1163" s="63"/>
      <c r="C1163" s="63"/>
      <c r="D1163" s="64"/>
      <c r="E1163" s="66"/>
      <c r="F1163" s="103" t="str">
        <f>HYPERLINK("https://pbs.twimg.com/profile_images/953606865665101824/wCPUrcyN_normal.jpg")</f>
        <v>https://pbs.twimg.com/profile_images/953606865665101824/wCPUrcyN_normal.jpg</v>
      </c>
      <c r="G1163" s="63"/>
      <c r="H1163" s="67"/>
      <c r="I1163" s="68"/>
      <c r="J1163" s="68"/>
      <c r="K1163" s="67" t="s">
        <v>28757</v>
      </c>
      <c r="L1163" s="71"/>
      <c r="M1163" s="72"/>
      <c r="N1163" s="72"/>
      <c r="O1163" s="73"/>
      <c r="P1163" s="74"/>
      <c r="Q1163" s="74"/>
      <c r="R1163" s="87"/>
      <c r="S1163" s="87"/>
      <c r="T1163" s="87"/>
      <c r="U1163" s="87"/>
      <c r="V1163" s="48"/>
      <c r="W1163" s="48"/>
      <c r="X1163" s="48"/>
      <c r="Y1163" s="48"/>
      <c r="Z1163" s="47"/>
      <c r="AA1163" s="69">
        <v>1163</v>
      </c>
      <c r="AB1163" s="69"/>
      <c r="AC1163" s="70"/>
      <c r="AD1163" s="76" t="s">
        <v>1952</v>
      </c>
      <c r="AE1163" s="81" t="s">
        <v>20318</v>
      </c>
      <c r="AF1163" s="76">
        <v>3082</v>
      </c>
      <c r="AG1163" s="76">
        <v>11</v>
      </c>
      <c r="AH1163" s="76">
        <v>2949</v>
      </c>
      <c r="AI1163" s="76">
        <v>32</v>
      </c>
      <c r="AJ1163" s="76">
        <v>418</v>
      </c>
      <c r="AK1163" s="76">
        <v>433</v>
      </c>
      <c r="AL1163" s="76" t="b">
        <v>0</v>
      </c>
      <c r="AM1163" s="78">
        <v>40588.509247685186</v>
      </c>
      <c r="AN1163" s="76" t="s">
        <v>24484</v>
      </c>
      <c r="AO1163" s="76" t="s">
        <v>25746</v>
      </c>
      <c r="AP1163" s="82" t="str">
        <f>HYPERLINK("https://t.co/ldNtCwJzH5")</f>
        <v>https://t.co/ldNtCwJzH5</v>
      </c>
      <c r="AQ1163" s="82" t="str">
        <f>HYPERLINK("http://www.sofisadireto.com.br")</f>
        <v>http://www.sofisadireto.com.br</v>
      </c>
      <c r="AR1163" s="76" t="s">
        <v>26985</v>
      </c>
      <c r="AS1163" s="76"/>
      <c r="AT1163" s="76"/>
      <c r="AU1163" s="76"/>
      <c r="AV1163" s="76"/>
      <c r="AW1163" s="82" t="str">
        <f>HYPERLINK("https://t.co/ldNtCwJzH5")</f>
        <v>https://t.co/ldNtCwJzH5</v>
      </c>
      <c r="AX1163" s="76" t="b">
        <v>0</v>
      </c>
      <c r="AY1163" s="76"/>
      <c r="AZ1163" s="76"/>
      <c r="BA1163" s="76" t="b">
        <v>1</v>
      </c>
      <c r="BB1163" s="76" t="b">
        <v>0</v>
      </c>
      <c r="BC1163" s="76" t="b">
        <v>0</v>
      </c>
      <c r="BD1163" s="76" t="b">
        <v>0</v>
      </c>
      <c r="BE1163" s="76" t="b">
        <v>0</v>
      </c>
      <c r="BF1163" s="76" t="b">
        <v>0</v>
      </c>
      <c r="BG1163" s="76" t="b">
        <v>0</v>
      </c>
      <c r="BH1163" s="82" t="str">
        <f>HYPERLINK("https://pbs.twimg.com/profile_banners/252063642/1686946286")</f>
        <v>https://pbs.twimg.com/profile_banners/252063642/1686946286</v>
      </c>
      <c r="BI1163" s="76"/>
      <c r="BJ1163" s="76" t="s">
        <v>27595</v>
      </c>
      <c r="BK1163" s="76" t="b">
        <v>0</v>
      </c>
      <c r="BL1163" s="76"/>
      <c r="BM1163" s="76" t="s">
        <v>65</v>
      </c>
      <c r="BN1163" s="76" t="s">
        <v>27597</v>
      </c>
      <c r="BO1163" s="82" t="str">
        <f>HYPERLINK("https://twitter.com/sofisadireto")</f>
        <v>https://twitter.com/sofisadireto</v>
      </c>
      <c r="BP1163" s="2"/>
    </row>
    <row r="1164" spans="1:68" x14ac:dyDescent="0.25">
      <c r="A1164" s="62" t="s">
        <v>1076</v>
      </c>
      <c r="B1164" s="63"/>
      <c r="C1164" s="63"/>
      <c r="D1164" s="64"/>
      <c r="E1164" s="66"/>
      <c r="F1164" s="103" t="str">
        <f>HYPERLINK("https://pbs.twimg.com/profile_images/1524916620379971585/PoxBFWbx_normal.jpg")</f>
        <v>https://pbs.twimg.com/profile_images/1524916620379971585/PoxBFWbx_normal.jpg</v>
      </c>
      <c r="G1164" s="63"/>
      <c r="H1164" s="67"/>
      <c r="I1164" s="68"/>
      <c r="J1164" s="68"/>
      <c r="K1164" s="67" t="s">
        <v>28758</v>
      </c>
      <c r="L1164" s="71"/>
      <c r="M1164" s="72"/>
      <c r="N1164" s="72"/>
      <c r="O1164" s="73"/>
      <c r="P1164" s="74"/>
      <c r="Q1164" s="74"/>
      <c r="R1164" s="87"/>
      <c r="S1164" s="87"/>
      <c r="T1164" s="87"/>
      <c r="U1164" s="87"/>
      <c r="V1164" s="48"/>
      <c r="W1164" s="48"/>
      <c r="X1164" s="48"/>
      <c r="Y1164" s="48"/>
      <c r="Z1164" s="47"/>
      <c r="AA1164" s="69">
        <v>1164</v>
      </c>
      <c r="AB1164" s="69"/>
      <c r="AC1164" s="70"/>
      <c r="AD1164" s="76" t="s">
        <v>22385</v>
      </c>
      <c r="AE1164" s="81" t="s">
        <v>20915</v>
      </c>
      <c r="AF1164" s="76">
        <v>2368</v>
      </c>
      <c r="AG1164" s="76">
        <v>1607</v>
      </c>
      <c r="AH1164" s="76">
        <v>96638</v>
      </c>
      <c r="AI1164" s="76">
        <v>1</v>
      </c>
      <c r="AJ1164" s="76">
        <v>92713</v>
      </c>
      <c r="AK1164" s="76">
        <v>2291</v>
      </c>
      <c r="AL1164" s="76" t="b">
        <v>0</v>
      </c>
      <c r="AM1164" s="78">
        <v>44678.96234953704</v>
      </c>
      <c r="AN1164" s="76" t="s">
        <v>24124</v>
      </c>
      <c r="AO1164" s="76" t="s">
        <v>25747</v>
      </c>
      <c r="AP1164" s="76"/>
      <c r="AQ1164" s="76"/>
      <c r="AR1164" s="76"/>
      <c r="AS1164" s="76"/>
      <c r="AT1164" s="76"/>
      <c r="AU1164" s="76"/>
      <c r="AV1164" s="76"/>
      <c r="AW1164" s="76"/>
      <c r="AX1164" s="76" t="b">
        <v>0</v>
      </c>
      <c r="AY1164" s="76"/>
      <c r="AZ1164" s="76"/>
      <c r="BA1164" s="76" t="b">
        <v>1</v>
      </c>
      <c r="BB1164" s="76" t="b">
        <v>1</v>
      </c>
      <c r="BC1164" s="76" t="b">
        <v>1</v>
      </c>
      <c r="BD1164" s="76" t="b">
        <v>0</v>
      </c>
      <c r="BE1164" s="76" t="b">
        <v>1</v>
      </c>
      <c r="BF1164" s="76" t="b">
        <v>0</v>
      </c>
      <c r="BG1164" s="76" t="b">
        <v>0</v>
      </c>
      <c r="BH1164" s="82" t="str">
        <f>HYPERLINK("https://pbs.twimg.com/profile_banners/1519452520992677888/1674624207")</f>
        <v>https://pbs.twimg.com/profile_banners/1519452520992677888/1674624207</v>
      </c>
      <c r="BI1164" s="76"/>
      <c r="BJ1164" s="76" t="s">
        <v>27595</v>
      </c>
      <c r="BK1164" s="76" t="b">
        <v>0</v>
      </c>
      <c r="BL1164" s="76"/>
      <c r="BM1164" s="76" t="s">
        <v>66</v>
      </c>
      <c r="BN1164" s="76" t="s">
        <v>27597</v>
      </c>
      <c r="BO1164" s="82" t="str">
        <f>HYPERLINK("https://twitter.com/carboneltriana")</f>
        <v>https://twitter.com/carboneltriana</v>
      </c>
      <c r="BP1164" s="2"/>
    </row>
    <row r="1165" spans="1:68" x14ac:dyDescent="0.25">
      <c r="A1165" s="62" t="s">
        <v>1077</v>
      </c>
      <c r="B1165" s="63"/>
      <c r="C1165" s="63"/>
      <c r="D1165" s="64"/>
      <c r="E1165" s="66"/>
      <c r="F1165" s="103" t="str">
        <f>HYPERLINK("https://pbs.twimg.com/profile_images/1387518297860628483/90Ffrl0y_normal.jpg")</f>
        <v>https://pbs.twimg.com/profile_images/1387518297860628483/90Ffrl0y_normal.jpg</v>
      </c>
      <c r="G1165" s="63"/>
      <c r="H1165" s="67"/>
      <c r="I1165" s="68"/>
      <c r="J1165" s="68"/>
      <c r="K1165" s="67" t="s">
        <v>28759</v>
      </c>
      <c r="L1165" s="71"/>
      <c r="M1165" s="72"/>
      <c r="N1165" s="72"/>
      <c r="O1165" s="73"/>
      <c r="P1165" s="74"/>
      <c r="Q1165" s="74"/>
      <c r="R1165" s="87"/>
      <c r="S1165" s="87"/>
      <c r="T1165" s="87"/>
      <c r="U1165" s="87"/>
      <c r="V1165" s="48"/>
      <c r="W1165" s="48"/>
      <c r="X1165" s="48"/>
      <c r="Y1165" s="48"/>
      <c r="Z1165" s="47"/>
      <c r="AA1165" s="69">
        <v>1165</v>
      </c>
      <c r="AB1165" s="69"/>
      <c r="AC1165" s="70"/>
      <c r="AD1165" s="76" t="s">
        <v>22386</v>
      </c>
      <c r="AE1165" s="81" t="s">
        <v>20916</v>
      </c>
      <c r="AF1165" s="76">
        <v>114</v>
      </c>
      <c r="AG1165" s="76">
        <v>3</v>
      </c>
      <c r="AH1165" s="76">
        <v>2452</v>
      </c>
      <c r="AI1165" s="76">
        <v>3</v>
      </c>
      <c r="AJ1165" s="76">
        <v>46</v>
      </c>
      <c r="AK1165" s="76">
        <v>1489</v>
      </c>
      <c r="AL1165" s="76" t="b">
        <v>0</v>
      </c>
      <c r="AM1165" s="78">
        <v>43670.672152777777</v>
      </c>
      <c r="AN1165" s="76" t="s">
        <v>24073</v>
      </c>
      <c r="AO1165" s="76" t="s">
        <v>25748</v>
      </c>
      <c r="AP1165" s="82" t="str">
        <f>HYPERLINK("https://t.co/5l5QLOj7tM")</f>
        <v>https://t.co/5l5QLOj7tM</v>
      </c>
      <c r="AQ1165" s="82" t="str">
        <f>HYPERLINK("https://br.lexlatin.com")</f>
        <v>https://br.lexlatin.com</v>
      </c>
      <c r="AR1165" s="76" t="s">
        <v>26986</v>
      </c>
      <c r="AS1165" s="76"/>
      <c r="AT1165" s="76"/>
      <c r="AU1165" s="76"/>
      <c r="AV1165" s="76"/>
      <c r="AW1165" s="82" t="str">
        <f>HYPERLINK("https://t.co/5l5QLOj7tM")</f>
        <v>https://t.co/5l5QLOj7tM</v>
      </c>
      <c r="AX1165" s="76" t="b">
        <v>1</v>
      </c>
      <c r="AY1165" s="76"/>
      <c r="AZ1165" s="76"/>
      <c r="BA1165" s="76" t="b">
        <v>0</v>
      </c>
      <c r="BB1165" s="76" t="b">
        <v>1</v>
      </c>
      <c r="BC1165" s="76" t="b">
        <v>1</v>
      </c>
      <c r="BD1165" s="76" t="b">
        <v>0</v>
      </c>
      <c r="BE1165" s="76" t="b">
        <v>0</v>
      </c>
      <c r="BF1165" s="76" t="b">
        <v>0</v>
      </c>
      <c r="BG1165" s="76" t="b">
        <v>0</v>
      </c>
      <c r="BH1165" s="82" t="str">
        <f>HYPERLINK("https://pbs.twimg.com/profile_banners/1154060645861666816/1675808304")</f>
        <v>https://pbs.twimg.com/profile_banners/1154060645861666816/1675808304</v>
      </c>
      <c r="BI1165" s="76"/>
      <c r="BJ1165" s="76" t="s">
        <v>27595</v>
      </c>
      <c r="BK1165" s="76" t="b">
        <v>0</v>
      </c>
      <c r="BL1165" s="76"/>
      <c r="BM1165" s="76" t="s">
        <v>66</v>
      </c>
      <c r="BN1165" s="76" t="s">
        <v>27597</v>
      </c>
      <c r="BO1165" s="82" t="str">
        <f>HYPERLINK("https://twitter.com/lexlatinbr")</f>
        <v>https://twitter.com/lexlatinbr</v>
      </c>
      <c r="BP1165" s="2"/>
    </row>
    <row r="1166" spans="1:68" x14ac:dyDescent="0.25">
      <c r="A1166" s="62" t="s">
        <v>1078</v>
      </c>
      <c r="B1166" s="63"/>
      <c r="C1166" s="63"/>
      <c r="D1166" s="64"/>
      <c r="E1166" s="66"/>
      <c r="F1166" s="103" t="str">
        <f>HYPERLINK("https://pbs.twimg.com/profile_images/1691954772008386560/6TSuua77_normal.jpg")</f>
        <v>https://pbs.twimg.com/profile_images/1691954772008386560/6TSuua77_normal.jpg</v>
      </c>
      <c r="G1166" s="63"/>
      <c r="H1166" s="67"/>
      <c r="I1166" s="68"/>
      <c r="J1166" s="68"/>
      <c r="K1166" s="67" t="s">
        <v>28760</v>
      </c>
      <c r="L1166" s="71"/>
      <c r="M1166" s="72"/>
      <c r="N1166" s="72"/>
      <c r="O1166" s="73"/>
      <c r="P1166" s="74"/>
      <c r="Q1166" s="74"/>
      <c r="R1166" s="87"/>
      <c r="S1166" s="87"/>
      <c r="T1166" s="87"/>
      <c r="U1166" s="87"/>
      <c r="V1166" s="48"/>
      <c r="W1166" s="48"/>
      <c r="X1166" s="48"/>
      <c r="Y1166" s="48"/>
      <c r="Z1166" s="47"/>
      <c r="AA1166" s="69">
        <v>1166</v>
      </c>
      <c r="AB1166" s="69"/>
      <c r="AC1166" s="70"/>
      <c r="AD1166" s="76" t="s">
        <v>22387</v>
      </c>
      <c r="AE1166" s="81" t="s">
        <v>20917</v>
      </c>
      <c r="AF1166" s="76">
        <v>235</v>
      </c>
      <c r="AG1166" s="76">
        <v>348</v>
      </c>
      <c r="AH1166" s="76">
        <v>2928</v>
      </c>
      <c r="AI1166" s="76">
        <v>12</v>
      </c>
      <c r="AJ1166" s="76">
        <v>40709</v>
      </c>
      <c r="AK1166" s="76">
        <v>478</v>
      </c>
      <c r="AL1166" s="76" t="b">
        <v>0</v>
      </c>
      <c r="AM1166" s="78">
        <v>44102.182303240741</v>
      </c>
      <c r="AN1166" s="76" t="s">
        <v>14414</v>
      </c>
      <c r="AO1166" s="76" t="s">
        <v>25749</v>
      </c>
      <c r="AP1166" s="82" t="str">
        <f>HYPERLINK("https://t.co/8oJVDZlCG5")</f>
        <v>https://t.co/8oJVDZlCG5</v>
      </c>
      <c r="AQ1166" s="82" t="str">
        <f>HYPERLINK("http://carvalhoalves.com.br")</f>
        <v>http://carvalhoalves.com.br</v>
      </c>
      <c r="AR1166" s="76" t="s">
        <v>26987</v>
      </c>
      <c r="AS1166" s="76"/>
      <c r="AT1166" s="76"/>
      <c r="AU1166" s="76"/>
      <c r="AV1166" s="76"/>
      <c r="AW1166" s="82" t="str">
        <f>HYPERLINK("https://t.co/8oJVDZlCG5")</f>
        <v>https://t.co/8oJVDZlCG5</v>
      </c>
      <c r="AX1166" s="76" t="b">
        <v>1</v>
      </c>
      <c r="AY1166" s="76"/>
      <c r="AZ1166" s="76"/>
      <c r="BA1166" s="76" t="b">
        <v>1</v>
      </c>
      <c r="BB1166" s="76" t="b">
        <v>1</v>
      </c>
      <c r="BC1166" s="76" t="b">
        <v>1</v>
      </c>
      <c r="BD1166" s="76" t="b">
        <v>0</v>
      </c>
      <c r="BE1166" s="76" t="b">
        <v>1</v>
      </c>
      <c r="BF1166" s="76" t="b">
        <v>0</v>
      </c>
      <c r="BG1166" s="76" t="b">
        <v>0</v>
      </c>
      <c r="BH1166" s="82" t="str">
        <f>HYPERLINK("https://pbs.twimg.com/profile_banners/1310434639333527557/1689912066")</f>
        <v>https://pbs.twimg.com/profile_banners/1310434639333527557/1689912066</v>
      </c>
      <c r="BI1166" s="76"/>
      <c r="BJ1166" s="76" t="s">
        <v>27595</v>
      </c>
      <c r="BK1166" s="76" t="b">
        <v>0</v>
      </c>
      <c r="BL1166" s="76"/>
      <c r="BM1166" s="76" t="s">
        <v>66</v>
      </c>
      <c r="BN1166" s="76" t="s">
        <v>27597</v>
      </c>
      <c r="BO1166" s="82" t="str">
        <f>HYPERLINK("https://twitter.com/carvalhoalves")</f>
        <v>https://twitter.com/carvalhoalves</v>
      </c>
      <c r="BP1166" s="2"/>
    </row>
    <row r="1167" spans="1:68" x14ac:dyDescent="0.25">
      <c r="A1167" s="62" t="s">
        <v>1953</v>
      </c>
      <c r="B1167" s="63"/>
      <c r="C1167" s="63"/>
      <c r="D1167" s="64"/>
      <c r="E1167" s="66"/>
      <c r="F1167" s="103" t="str">
        <f>HYPERLINK("https://pbs.twimg.com/profile_images/916435108734930945/IRI7647R_normal.jpg")</f>
        <v>https://pbs.twimg.com/profile_images/916435108734930945/IRI7647R_normal.jpg</v>
      </c>
      <c r="G1167" s="63"/>
      <c r="H1167" s="67"/>
      <c r="I1167" s="68"/>
      <c r="J1167" s="68"/>
      <c r="K1167" s="67" t="s">
        <v>28761</v>
      </c>
      <c r="L1167" s="71"/>
      <c r="M1167" s="72"/>
      <c r="N1167" s="72"/>
      <c r="O1167" s="73"/>
      <c r="P1167" s="74"/>
      <c r="Q1167" s="74"/>
      <c r="R1167" s="87"/>
      <c r="S1167" s="87"/>
      <c r="T1167" s="87"/>
      <c r="U1167" s="87"/>
      <c r="V1167" s="48"/>
      <c r="W1167" s="48"/>
      <c r="X1167" s="48"/>
      <c r="Y1167" s="48"/>
      <c r="Z1167" s="47"/>
      <c r="AA1167" s="69">
        <v>1167</v>
      </c>
      <c r="AB1167" s="69"/>
      <c r="AC1167" s="70"/>
      <c r="AD1167" s="76" t="s">
        <v>22388</v>
      </c>
      <c r="AE1167" s="81" t="s">
        <v>20319</v>
      </c>
      <c r="AF1167" s="76">
        <v>905763</v>
      </c>
      <c r="AG1167" s="76">
        <v>267</v>
      </c>
      <c r="AH1167" s="76">
        <v>42478</v>
      </c>
      <c r="AI1167" s="76">
        <v>2033</v>
      </c>
      <c r="AJ1167" s="76">
        <v>4712</v>
      </c>
      <c r="AK1167" s="76">
        <v>21239</v>
      </c>
      <c r="AL1167" s="76" t="b">
        <v>0</v>
      </c>
      <c r="AM1167" s="78">
        <v>40262.696469907409</v>
      </c>
      <c r="AN1167" s="76" t="s">
        <v>14382</v>
      </c>
      <c r="AO1167" s="76" t="s">
        <v>25750</v>
      </c>
      <c r="AP1167" s="82" t="str">
        <f>HYPERLINK("https://t.co/aeKv2Lbmj0")</f>
        <v>https://t.co/aeKv2Lbmj0</v>
      </c>
      <c r="AQ1167" s="82" t="str">
        <f>HYPERLINK("http://www.cnj.jus.br")</f>
        <v>http://www.cnj.jus.br</v>
      </c>
      <c r="AR1167" s="76" t="s">
        <v>26988</v>
      </c>
      <c r="AS1167" s="76"/>
      <c r="AT1167" s="76"/>
      <c r="AU1167" s="76"/>
      <c r="AV1167" s="76"/>
      <c r="AW1167" s="82" t="str">
        <f>HYPERLINK("https://t.co/aeKv2Lbmj0")</f>
        <v>https://t.co/aeKv2Lbmj0</v>
      </c>
      <c r="AX1167" s="76" t="b">
        <v>0</v>
      </c>
      <c r="AY1167" s="76"/>
      <c r="AZ1167" s="76"/>
      <c r="BA1167" s="76" t="b">
        <v>0</v>
      </c>
      <c r="BB1167" s="76" t="b">
        <v>0</v>
      </c>
      <c r="BC1167" s="76" t="b">
        <v>0</v>
      </c>
      <c r="BD1167" s="76" t="b">
        <v>0</v>
      </c>
      <c r="BE1167" s="76" t="b">
        <v>1</v>
      </c>
      <c r="BF1167" s="76" t="b">
        <v>0</v>
      </c>
      <c r="BG1167" s="76" t="b">
        <v>0</v>
      </c>
      <c r="BH1167" s="82" t="str">
        <f>HYPERLINK("https://pbs.twimg.com/profile_banners/126364474/1685129508")</f>
        <v>https://pbs.twimg.com/profile_banners/126364474/1685129508</v>
      </c>
      <c r="BI1167" s="76"/>
      <c r="BJ1167" s="76" t="s">
        <v>27595</v>
      </c>
      <c r="BK1167" s="76" t="b">
        <v>0</v>
      </c>
      <c r="BL1167" s="76"/>
      <c r="BM1167" s="76" t="s">
        <v>65</v>
      </c>
      <c r="BN1167" s="76" t="s">
        <v>27597</v>
      </c>
      <c r="BO1167" s="82" t="str">
        <f>HYPERLINK("https://twitter.com/cnj_oficial")</f>
        <v>https://twitter.com/cnj_oficial</v>
      </c>
      <c r="BP1167" s="2"/>
    </row>
    <row r="1168" spans="1:68" x14ac:dyDescent="0.25">
      <c r="A1168" s="62" t="s">
        <v>1079</v>
      </c>
      <c r="B1168" s="63"/>
      <c r="C1168" s="63"/>
      <c r="D1168" s="64"/>
      <c r="E1168" s="66"/>
      <c r="F1168" s="103" t="str">
        <f>HYPERLINK("https://pbs.twimg.com/profile_images/1456599452869959689/5UX-Qm5C_normal.jpg")</f>
        <v>https://pbs.twimg.com/profile_images/1456599452869959689/5UX-Qm5C_normal.jpg</v>
      </c>
      <c r="G1168" s="63"/>
      <c r="H1168" s="67"/>
      <c r="I1168" s="68"/>
      <c r="J1168" s="68"/>
      <c r="K1168" s="67" t="s">
        <v>28762</v>
      </c>
      <c r="L1168" s="71"/>
      <c r="M1168" s="72"/>
      <c r="N1168" s="72"/>
      <c r="O1168" s="73"/>
      <c r="P1168" s="74"/>
      <c r="Q1168" s="74"/>
      <c r="R1168" s="87"/>
      <c r="S1168" s="87"/>
      <c r="T1168" s="87"/>
      <c r="U1168" s="87"/>
      <c r="V1168" s="48"/>
      <c r="W1168" s="48"/>
      <c r="X1168" s="48"/>
      <c r="Y1168" s="48"/>
      <c r="Z1168" s="47"/>
      <c r="AA1168" s="69">
        <v>1168</v>
      </c>
      <c r="AB1168" s="69"/>
      <c r="AC1168" s="70"/>
      <c r="AD1168" s="76" t="s">
        <v>22389</v>
      </c>
      <c r="AE1168" s="81" t="s">
        <v>20918</v>
      </c>
      <c r="AF1168" s="76">
        <v>2809</v>
      </c>
      <c r="AG1168" s="76">
        <v>3816</v>
      </c>
      <c r="AH1168" s="76">
        <v>6012</v>
      </c>
      <c r="AI1168" s="76">
        <v>9</v>
      </c>
      <c r="AJ1168" s="76">
        <v>6444</v>
      </c>
      <c r="AK1168" s="76">
        <v>798</v>
      </c>
      <c r="AL1168" s="76" t="b">
        <v>0</v>
      </c>
      <c r="AM1168" s="78">
        <v>43946.975995370369</v>
      </c>
      <c r="AN1168" s="76" t="s">
        <v>24485</v>
      </c>
      <c r="AO1168" s="76" t="s">
        <v>25751</v>
      </c>
      <c r="AP1168" s="82" t="str">
        <f>HYPERLINK("https://t.co/dPlDXFXkWd")</f>
        <v>https://t.co/dPlDXFXkWd</v>
      </c>
      <c r="AQ1168" s="82" t="str">
        <f>HYPERLINK("https://www.ricardobarbosapt.com.br")</f>
        <v>https://www.ricardobarbosapt.com.br</v>
      </c>
      <c r="AR1168" s="76" t="s">
        <v>26989</v>
      </c>
      <c r="AS1168" s="76"/>
      <c r="AT1168" s="76"/>
      <c r="AU1168" s="76"/>
      <c r="AV1168" s="76"/>
      <c r="AW1168" s="82" t="str">
        <f>HYPERLINK("https://t.co/dPlDXFXkWd")</f>
        <v>https://t.co/dPlDXFXkWd</v>
      </c>
      <c r="AX1168" s="76" t="b">
        <v>0</v>
      </c>
      <c r="AY1168" s="76"/>
      <c r="AZ1168" s="76"/>
      <c r="BA1168" s="76" t="b">
        <v>0</v>
      </c>
      <c r="BB1168" s="76" t="b">
        <v>1</v>
      </c>
      <c r="BC1168" s="76" t="b">
        <v>1</v>
      </c>
      <c r="BD1168" s="76" t="b">
        <v>0</v>
      </c>
      <c r="BE1168" s="76" t="b">
        <v>1</v>
      </c>
      <c r="BF1168" s="76" t="b">
        <v>0</v>
      </c>
      <c r="BG1168" s="76" t="b">
        <v>0</v>
      </c>
      <c r="BH1168" s="82" t="str">
        <f>HYPERLINK("https://pbs.twimg.com/profile_banners/1254189767555796992/1616540020")</f>
        <v>https://pbs.twimg.com/profile_banners/1254189767555796992/1616540020</v>
      </c>
      <c r="BI1168" s="76"/>
      <c r="BJ1168" s="76" t="s">
        <v>27595</v>
      </c>
      <c r="BK1168" s="76" t="b">
        <v>0</v>
      </c>
      <c r="BL1168" s="76"/>
      <c r="BM1168" s="76" t="s">
        <v>66</v>
      </c>
      <c r="BN1168" s="76" t="s">
        <v>27597</v>
      </c>
      <c r="BO1168" s="82" t="str">
        <f>HYPERLINK("https://twitter.com/ricardoptal")</f>
        <v>https://twitter.com/ricardoptal</v>
      </c>
      <c r="BP1168" s="2"/>
    </row>
    <row r="1169" spans="1:68" x14ac:dyDescent="0.25">
      <c r="A1169" s="62" t="s">
        <v>1080</v>
      </c>
      <c r="B1169" s="63"/>
      <c r="C1169" s="63"/>
      <c r="D1169" s="64"/>
      <c r="E1169" s="66"/>
      <c r="F1169" s="103" t="str">
        <f>HYPERLINK("https://pbs.twimg.com/profile_images/1701614674721341440/HTsz6bfT_normal.jpg")</f>
        <v>https://pbs.twimg.com/profile_images/1701614674721341440/HTsz6bfT_normal.jpg</v>
      </c>
      <c r="G1169" s="63"/>
      <c r="H1169" s="67"/>
      <c r="I1169" s="68"/>
      <c r="J1169" s="68"/>
      <c r="K1169" s="67" t="s">
        <v>28763</v>
      </c>
      <c r="L1169" s="71"/>
      <c r="M1169" s="72"/>
      <c r="N1169" s="72"/>
      <c r="O1169" s="73"/>
      <c r="P1169" s="74"/>
      <c r="Q1169" s="74"/>
      <c r="R1169" s="87"/>
      <c r="S1169" s="87"/>
      <c r="T1169" s="87"/>
      <c r="U1169" s="87"/>
      <c r="V1169" s="48"/>
      <c r="W1169" s="48"/>
      <c r="X1169" s="48"/>
      <c r="Y1169" s="48"/>
      <c r="Z1169" s="47"/>
      <c r="AA1169" s="69">
        <v>1169</v>
      </c>
      <c r="AB1169" s="69"/>
      <c r="AC1169" s="70"/>
      <c r="AD1169" s="76" t="s">
        <v>22390</v>
      </c>
      <c r="AE1169" s="81" t="s">
        <v>20919</v>
      </c>
      <c r="AF1169" s="76">
        <v>408</v>
      </c>
      <c r="AG1169" s="76">
        <v>185</v>
      </c>
      <c r="AH1169" s="76">
        <v>35918</v>
      </c>
      <c r="AI1169" s="76">
        <v>10</v>
      </c>
      <c r="AJ1169" s="76">
        <v>31</v>
      </c>
      <c r="AK1169" s="76">
        <v>20764</v>
      </c>
      <c r="AL1169" s="76" t="b">
        <v>0</v>
      </c>
      <c r="AM1169" s="78">
        <v>43151.996851851851</v>
      </c>
      <c r="AN1169" s="76" t="s">
        <v>24486</v>
      </c>
      <c r="AO1169" s="76" t="s">
        <v>25752</v>
      </c>
      <c r="AP1169" s="82" t="str">
        <f>HYPERLINK("https://t.co/b6m3f4FNSE")</f>
        <v>https://t.co/b6m3f4FNSE</v>
      </c>
      <c r="AQ1169" s="82" t="str">
        <f>HYPERLINK("http://tinformas.com/")</f>
        <v>http://tinformas.com/</v>
      </c>
      <c r="AR1169" s="76" t="s">
        <v>8796</v>
      </c>
      <c r="AS1169" s="76"/>
      <c r="AT1169" s="76"/>
      <c r="AU1169" s="76"/>
      <c r="AV1169" s="76"/>
      <c r="AW1169" s="82" t="str">
        <f>HYPERLINK("https://t.co/b6m3f4FNSE")</f>
        <v>https://t.co/b6m3f4FNSE</v>
      </c>
      <c r="AX1169" s="76" t="b">
        <v>0</v>
      </c>
      <c r="AY1169" s="76"/>
      <c r="AZ1169" s="76"/>
      <c r="BA1169" s="76" t="b">
        <v>0</v>
      </c>
      <c r="BB1169" s="76" t="b">
        <v>1</v>
      </c>
      <c r="BC1169" s="76" t="b">
        <v>0</v>
      </c>
      <c r="BD1169" s="76" t="b">
        <v>0</v>
      </c>
      <c r="BE1169" s="76" t="b">
        <v>1</v>
      </c>
      <c r="BF1169" s="76" t="b">
        <v>0</v>
      </c>
      <c r="BG1169" s="76" t="b">
        <v>0</v>
      </c>
      <c r="BH1169" s="82" t="str">
        <f>HYPERLINK("https://pbs.twimg.com/profile_banners/966099010732855297/1690887878")</f>
        <v>https://pbs.twimg.com/profile_banners/966099010732855297/1690887878</v>
      </c>
      <c r="BI1169" s="76"/>
      <c r="BJ1169" s="76" t="s">
        <v>27595</v>
      </c>
      <c r="BK1169" s="76" t="b">
        <v>0</v>
      </c>
      <c r="BL1169" s="76"/>
      <c r="BM1169" s="76" t="s">
        <v>66</v>
      </c>
      <c r="BN1169" s="76" t="s">
        <v>27597</v>
      </c>
      <c r="BO1169" s="82" t="str">
        <f>HYPERLINK("https://twitter.com/tinformasbo")</f>
        <v>https://twitter.com/tinformasbo</v>
      </c>
      <c r="BP1169" s="2"/>
    </row>
    <row r="1170" spans="1:68" x14ac:dyDescent="0.25">
      <c r="A1170" s="62" t="s">
        <v>1081</v>
      </c>
      <c r="B1170" s="63"/>
      <c r="C1170" s="63"/>
      <c r="D1170" s="64"/>
      <c r="E1170" s="66"/>
      <c r="F1170" s="103" t="str">
        <f>HYPERLINK("https://pbs.twimg.com/profile_images/1383821886111457284/NF0rmnOx_normal.jpg")</f>
        <v>https://pbs.twimg.com/profile_images/1383821886111457284/NF0rmnOx_normal.jpg</v>
      </c>
      <c r="G1170" s="63"/>
      <c r="H1170" s="67"/>
      <c r="I1170" s="68"/>
      <c r="J1170" s="68"/>
      <c r="K1170" s="67" t="s">
        <v>28764</v>
      </c>
      <c r="L1170" s="71"/>
      <c r="M1170" s="72"/>
      <c r="N1170" s="72"/>
      <c r="O1170" s="73"/>
      <c r="P1170" s="74"/>
      <c r="Q1170" s="74"/>
      <c r="R1170" s="87"/>
      <c r="S1170" s="87"/>
      <c r="T1170" s="87"/>
      <c r="U1170" s="87"/>
      <c r="V1170" s="48"/>
      <c r="W1170" s="48"/>
      <c r="X1170" s="48"/>
      <c r="Y1170" s="48"/>
      <c r="Z1170" s="47"/>
      <c r="AA1170" s="69">
        <v>1170</v>
      </c>
      <c r="AB1170" s="69"/>
      <c r="AC1170" s="70"/>
      <c r="AD1170" s="76" t="s">
        <v>22391</v>
      </c>
      <c r="AE1170" s="81" t="s">
        <v>23676</v>
      </c>
      <c r="AF1170" s="76">
        <v>140</v>
      </c>
      <c r="AG1170" s="76">
        <v>94</v>
      </c>
      <c r="AH1170" s="76">
        <v>9481</v>
      </c>
      <c r="AI1170" s="76">
        <v>0</v>
      </c>
      <c r="AJ1170" s="76">
        <v>3965</v>
      </c>
      <c r="AK1170" s="76">
        <v>718</v>
      </c>
      <c r="AL1170" s="76" t="b">
        <v>0</v>
      </c>
      <c r="AM1170" s="78">
        <v>42150.868587962963</v>
      </c>
      <c r="AN1170" s="76"/>
      <c r="AO1170" s="76"/>
      <c r="AP1170" s="76"/>
      <c r="AQ1170" s="76"/>
      <c r="AR1170" s="76"/>
      <c r="AS1170" s="76"/>
      <c r="AT1170" s="76"/>
      <c r="AU1170" s="76"/>
      <c r="AV1170" s="76"/>
      <c r="AW1170" s="76"/>
      <c r="AX1170" s="76" t="b">
        <v>0</v>
      </c>
      <c r="AY1170" s="76"/>
      <c r="AZ1170" s="76"/>
      <c r="BA1170" s="76" t="b">
        <v>1</v>
      </c>
      <c r="BB1170" s="76" t="b">
        <v>0</v>
      </c>
      <c r="BC1170" s="76" t="b">
        <v>1</v>
      </c>
      <c r="BD1170" s="76" t="b">
        <v>0</v>
      </c>
      <c r="BE1170" s="76" t="b">
        <v>1</v>
      </c>
      <c r="BF1170" s="76" t="b">
        <v>0</v>
      </c>
      <c r="BG1170" s="76" t="b">
        <v>0</v>
      </c>
      <c r="BH1170" s="82" t="str">
        <f>HYPERLINK("https://pbs.twimg.com/profile_banners/3299785390/1616002984")</f>
        <v>https://pbs.twimg.com/profile_banners/3299785390/1616002984</v>
      </c>
      <c r="BI1170" s="76"/>
      <c r="BJ1170" s="76" t="s">
        <v>27595</v>
      </c>
      <c r="BK1170" s="76" t="b">
        <v>0</v>
      </c>
      <c r="BL1170" s="76"/>
      <c r="BM1170" s="76" t="s">
        <v>66</v>
      </c>
      <c r="BN1170" s="76" t="s">
        <v>27597</v>
      </c>
      <c r="BO1170" s="82" t="str">
        <f>HYPERLINK("https://twitter.com/filesec")</f>
        <v>https://twitter.com/filesec</v>
      </c>
      <c r="BP1170" s="2"/>
    </row>
    <row r="1171" spans="1:68" x14ac:dyDescent="0.25">
      <c r="A1171" s="62" t="s">
        <v>1082</v>
      </c>
      <c r="B1171" s="63"/>
      <c r="C1171" s="63"/>
      <c r="D1171" s="64"/>
      <c r="E1171" s="66"/>
      <c r="F1171" s="103" t="str">
        <f>HYPERLINK("https://pbs.twimg.com/profile_images/1211027151870402560/9JIqaKmf_normal.jpg")</f>
        <v>https://pbs.twimg.com/profile_images/1211027151870402560/9JIqaKmf_normal.jpg</v>
      </c>
      <c r="G1171" s="63"/>
      <c r="H1171" s="67"/>
      <c r="I1171" s="68"/>
      <c r="J1171" s="68"/>
      <c r="K1171" s="67" t="s">
        <v>28765</v>
      </c>
      <c r="L1171" s="71"/>
      <c r="M1171" s="72"/>
      <c r="N1171" s="72"/>
      <c r="O1171" s="73"/>
      <c r="P1171" s="74"/>
      <c r="Q1171" s="74"/>
      <c r="R1171" s="87"/>
      <c r="S1171" s="87"/>
      <c r="T1171" s="87"/>
      <c r="U1171" s="87"/>
      <c r="V1171" s="48"/>
      <c r="W1171" s="48"/>
      <c r="X1171" s="48"/>
      <c r="Y1171" s="48"/>
      <c r="Z1171" s="47"/>
      <c r="AA1171" s="69">
        <v>1171</v>
      </c>
      <c r="AB1171" s="69"/>
      <c r="AC1171" s="70"/>
      <c r="AD1171" s="76" t="s">
        <v>10595</v>
      </c>
      <c r="AE1171" s="81" t="s">
        <v>20920</v>
      </c>
      <c r="AF1171" s="76">
        <v>220</v>
      </c>
      <c r="AG1171" s="76">
        <v>4</v>
      </c>
      <c r="AH1171" s="76">
        <v>11140</v>
      </c>
      <c r="AI1171" s="76">
        <v>4</v>
      </c>
      <c r="AJ1171" s="76">
        <v>617</v>
      </c>
      <c r="AK1171" s="76">
        <v>3737</v>
      </c>
      <c r="AL1171" s="76" t="b">
        <v>0</v>
      </c>
      <c r="AM1171" s="78">
        <v>42812.901909722219</v>
      </c>
      <c r="AN1171" s="76" t="s">
        <v>14382</v>
      </c>
      <c r="AO1171" s="76" t="s">
        <v>25753</v>
      </c>
      <c r="AP1171" s="82" t="str">
        <f>HYPERLINK("https://t.co/QCMImeye1K")</f>
        <v>https://t.co/QCMImeye1K</v>
      </c>
      <c r="AQ1171" s="82" t="str">
        <f>HYPERLINK("https://www.economicnewsbrasil.com.br/")</f>
        <v>https://www.economicnewsbrasil.com.br/</v>
      </c>
      <c r="AR1171" s="76" t="s">
        <v>26990</v>
      </c>
      <c r="AS1171" s="76"/>
      <c r="AT1171" s="76"/>
      <c r="AU1171" s="76"/>
      <c r="AV1171" s="76"/>
      <c r="AW1171" s="82" t="str">
        <f>HYPERLINK("https://t.co/QCMImeye1K")</f>
        <v>https://t.co/QCMImeye1K</v>
      </c>
      <c r="AX1171" s="76" t="b">
        <v>0</v>
      </c>
      <c r="AY1171" s="76"/>
      <c r="AZ1171" s="76"/>
      <c r="BA1171" s="76" t="b">
        <v>1</v>
      </c>
      <c r="BB1171" s="76" t="b">
        <v>0</v>
      </c>
      <c r="BC1171" s="76" t="b">
        <v>1</v>
      </c>
      <c r="BD1171" s="76" t="b">
        <v>0</v>
      </c>
      <c r="BE1171" s="76" t="b">
        <v>0</v>
      </c>
      <c r="BF1171" s="76" t="b">
        <v>0</v>
      </c>
      <c r="BG1171" s="76" t="b">
        <v>0</v>
      </c>
      <c r="BH1171" s="82" t="str">
        <f>HYPERLINK("https://pbs.twimg.com/profile_banners/843215121505816576/1626615287")</f>
        <v>https://pbs.twimg.com/profile_banners/843215121505816576/1626615287</v>
      </c>
      <c r="BI1171" s="76"/>
      <c r="BJ1171" s="76" t="s">
        <v>27595</v>
      </c>
      <c r="BK1171" s="76" t="b">
        <v>0</v>
      </c>
      <c r="BL1171" s="76"/>
      <c r="BM1171" s="76" t="s">
        <v>66</v>
      </c>
      <c r="BN1171" s="76" t="s">
        <v>27597</v>
      </c>
      <c r="BO1171" s="82" t="str">
        <f>HYPERLINK("https://twitter.com/economicnewsbr")</f>
        <v>https://twitter.com/economicnewsbr</v>
      </c>
      <c r="BP1171" s="2"/>
    </row>
    <row r="1172" spans="1:68" x14ac:dyDescent="0.25">
      <c r="A1172" s="62" t="s">
        <v>1083</v>
      </c>
      <c r="B1172" s="63"/>
      <c r="C1172" s="63"/>
      <c r="D1172" s="64"/>
      <c r="E1172" s="66"/>
      <c r="F1172" s="103" t="str">
        <f>HYPERLINK("https://pbs.twimg.com/profile_images/1659644404989042688/d1PofBiz_normal.jpg")</f>
        <v>https://pbs.twimg.com/profile_images/1659644404989042688/d1PofBiz_normal.jpg</v>
      </c>
      <c r="G1172" s="63"/>
      <c r="H1172" s="67"/>
      <c r="I1172" s="68"/>
      <c r="J1172" s="68"/>
      <c r="K1172" s="67" t="s">
        <v>28766</v>
      </c>
      <c r="L1172" s="71"/>
      <c r="M1172" s="72"/>
      <c r="N1172" s="72"/>
      <c r="O1172" s="73"/>
      <c r="P1172" s="74"/>
      <c r="Q1172" s="74"/>
      <c r="R1172" s="87"/>
      <c r="S1172" s="87"/>
      <c r="T1172" s="87"/>
      <c r="U1172" s="87"/>
      <c r="V1172" s="48"/>
      <c r="W1172" s="48"/>
      <c r="X1172" s="48"/>
      <c r="Y1172" s="48"/>
      <c r="Z1172" s="47"/>
      <c r="AA1172" s="69">
        <v>1172</v>
      </c>
      <c r="AB1172" s="69"/>
      <c r="AC1172" s="70"/>
      <c r="AD1172" s="76" t="s">
        <v>22392</v>
      </c>
      <c r="AE1172" s="81" t="s">
        <v>23677</v>
      </c>
      <c r="AF1172" s="76">
        <v>66025</v>
      </c>
      <c r="AG1172" s="76">
        <v>136</v>
      </c>
      <c r="AH1172" s="76">
        <v>86814</v>
      </c>
      <c r="AI1172" s="76">
        <v>692</v>
      </c>
      <c r="AJ1172" s="76">
        <v>37</v>
      </c>
      <c r="AK1172" s="76">
        <v>24478</v>
      </c>
      <c r="AL1172" s="76" t="b">
        <v>0</v>
      </c>
      <c r="AM1172" s="78">
        <v>40071.985208333332</v>
      </c>
      <c r="AN1172" s="76" t="s">
        <v>14386</v>
      </c>
      <c r="AO1172" s="76" t="s">
        <v>25754</v>
      </c>
      <c r="AP1172" s="82" t="str">
        <f>HYPERLINK("https://t.co/IdC2DVk2Xm")</f>
        <v>https://t.co/IdC2DVk2Xm</v>
      </c>
      <c r="AQ1172" s="82" t="str">
        <f>HYPERLINK("https://digital.elmercurio.com/")</f>
        <v>https://digital.elmercurio.com/</v>
      </c>
      <c r="AR1172" s="76" t="s">
        <v>26991</v>
      </c>
      <c r="AS1172" s="76"/>
      <c r="AT1172" s="76"/>
      <c r="AU1172" s="76"/>
      <c r="AV1172" s="76"/>
      <c r="AW1172" s="82" t="str">
        <f>HYPERLINK("https://t.co/IdC2DVk2Xm")</f>
        <v>https://t.co/IdC2DVk2Xm</v>
      </c>
      <c r="AX1172" s="76" t="b">
        <v>0</v>
      </c>
      <c r="AY1172" s="76"/>
      <c r="AZ1172" s="76"/>
      <c r="BA1172" s="76" t="b">
        <v>0</v>
      </c>
      <c r="BB1172" s="76" t="b">
        <v>1</v>
      </c>
      <c r="BC1172" s="76" t="b">
        <v>0</v>
      </c>
      <c r="BD1172" s="76" t="b">
        <v>0</v>
      </c>
      <c r="BE1172" s="76" t="b">
        <v>1</v>
      </c>
      <c r="BF1172" s="76" t="b">
        <v>0</v>
      </c>
      <c r="BG1172" s="76" t="b">
        <v>0</v>
      </c>
      <c r="BH1172" s="82" t="str">
        <f>HYPERLINK("https://pbs.twimg.com/profile_banners/74592426/1681844706")</f>
        <v>https://pbs.twimg.com/profile_banners/74592426/1681844706</v>
      </c>
      <c r="BI1172" s="76"/>
      <c r="BJ1172" s="76" t="s">
        <v>27595</v>
      </c>
      <c r="BK1172" s="76" t="b">
        <v>0</v>
      </c>
      <c r="BL1172" s="76"/>
      <c r="BM1172" s="76" t="s">
        <v>66</v>
      </c>
      <c r="BN1172" s="76" t="s">
        <v>27597</v>
      </c>
      <c r="BO1172" s="82" t="str">
        <f>HYPERLINK("https://twitter.com/eyn_elmercurio")</f>
        <v>https://twitter.com/eyn_elmercurio</v>
      </c>
      <c r="BP1172" s="2"/>
    </row>
    <row r="1173" spans="1:68" x14ac:dyDescent="0.25">
      <c r="A1173" s="62" t="s">
        <v>1954</v>
      </c>
      <c r="B1173" s="63"/>
      <c r="C1173" s="63"/>
      <c r="D1173" s="64"/>
      <c r="E1173" s="66"/>
      <c r="F1173" s="103" t="str">
        <f>HYPERLINK("https://pbs.twimg.com/profile_images/705805928482926592/_Z4Naz3v_normal.jpg")</f>
        <v>https://pbs.twimg.com/profile_images/705805928482926592/_Z4Naz3v_normal.jpg</v>
      </c>
      <c r="G1173" s="63"/>
      <c r="H1173" s="67"/>
      <c r="I1173" s="68"/>
      <c r="J1173" s="68"/>
      <c r="K1173" s="67" t="s">
        <v>28767</v>
      </c>
      <c r="L1173" s="71"/>
      <c r="M1173" s="72"/>
      <c r="N1173" s="72"/>
      <c r="O1173" s="73"/>
      <c r="P1173" s="74"/>
      <c r="Q1173" s="74"/>
      <c r="R1173" s="87"/>
      <c r="S1173" s="87"/>
      <c r="T1173" s="87"/>
      <c r="U1173" s="87"/>
      <c r="V1173" s="48"/>
      <c r="W1173" s="48"/>
      <c r="X1173" s="48"/>
      <c r="Y1173" s="48"/>
      <c r="Z1173" s="47"/>
      <c r="AA1173" s="69">
        <v>1173</v>
      </c>
      <c r="AB1173" s="69"/>
      <c r="AC1173" s="70"/>
      <c r="AD1173" s="76" t="s">
        <v>22393</v>
      </c>
      <c r="AE1173" s="81" t="s">
        <v>23678</v>
      </c>
      <c r="AF1173" s="76">
        <v>246</v>
      </c>
      <c r="AG1173" s="76">
        <v>98</v>
      </c>
      <c r="AH1173" s="76">
        <v>71</v>
      </c>
      <c r="AI1173" s="76">
        <v>3</v>
      </c>
      <c r="AJ1173" s="76">
        <v>76</v>
      </c>
      <c r="AK1173" s="76">
        <v>4</v>
      </c>
      <c r="AL1173" s="76" t="b">
        <v>0</v>
      </c>
      <c r="AM1173" s="78">
        <v>42433.660509259258</v>
      </c>
      <c r="AN1173" s="76"/>
      <c r="AO1173" s="76"/>
      <c r="AP1173" s="76"/>
      <c r="AQ1173" s="76"/>
      <c r="AR1173" s="76"/>
      <c r="AS1173" s="76"/>
      <c r="AT1173" s="76"/>
      <c r="AU1173" s="76"/>
      <c r="AV1173" s="76"/>
      <c r="AW1173" s="76"/>
      <c r="AX1173" s="76" t="b">
        <v>0</v>
      </c>
      <c r="AY1173" s="76"/>
      <c r="AZ1173" s="76"/>
      <c r="BA1173" s="76" t="b">
        <v>0</v>
      </c>
      <c r="BB1173" s="76" t="b">
        <v>1</v>
      </c>
      <c r="BC1173" s="76" t="b">
        <v>1</v>
      </c>
      <c r="BD1173" s="76" t="b">
        <v>0</v>
      </c>
      <c r="BE1173" s="76" t="b">
        <v>0</v>
      </c>
      <c r="BF1173" s="76" t="b">
        <v>0</v>
      </c>
      <c r="BG1173" s="76" t="b">
        <v>0</v>
      </c>
      <c r="BH1173" s="76"/>
      <c r="BI1173" s="76"/>
      <c r="BJ1173" s="76" t="s">
        <v>27595</v>
      </c>
      <c r="BK1173" s="76" t="b">
        <v>0</v>
      </c>
      <c r="BL1173" s="76"/>
      <c r="BM1173" s="76" t="s">
        <v>65</v>
      </c>
      <c r="BN1173" s="76" t="s">
        <v>27597</v>
      </c>
      <c r="BO1173" s="82" t="str">
        <f>HYPERLINK("https://twitter.com/tizquierdosi")</f>
        <v>https://twitter.com/tizquierdosi</v>
      </c>
      <c r="BP1173" s="2"/>
    </row>
    <row r="1174" spans="1:68" x14ac:dyDescent="0.25">
      <c r="A1174" s="62" t="s">
        <v>1955</v>
      </c>
      <c r="B1174" s="63"/>
      <c r="C1174" s="63"/>
      <c r="D1174" s="64"/>
      <c r="E1174" s="66"/>
      <c r="F1174" s="103" t="str">
        <f>HYPERLINK("https://pbs.twimg.com/profile_images/3464655113/7e4c2dfe6d094e5cde7ea05c274feb49_normal.jpeg")</f>
        <v>https://pbs.twimg.com/profile_images/3464655113/7e4c2dfe6d094e5cde7ea05c274feb49_normal.jpeg</v>
      </c>
      <c r="G1174" s="63"/>
      <c r="H1174" s="67"/>
      <c r="I1174" s="68"/>
      <c r="J1174" s="68"/>
      <c r="K1174" s="67" t="s">
        <v>28768</v>
      </c>
      <c r="L1174" s="71"/>
      <c r="M1174" s="72"/>
      <c r="N1174" s="72"/>
      <c r="O1174" s="73"/>
      <c r="P1174" s="74"/>
      <c r="Q1174" s="74"/>
      <c r="R1174" s="87"/>
      <c r="S1174" s="87"/>
      <c r="T1174" s="87"/>
      <c r="U1174" s="87"/>
      <c r="V1174" s="48"/>
      <c r="W1174" s="48"/>
      <c r="X1174" s="48"/>
      <c r="Y1174" s="48"/>
      <c r="Z1174" s="47"/>
      <c r="AA1174" s="69">
        <v>1174</v>
      </c>
      <c r="AB1174" s="69"/>
      <c r="AC1174" s="70"/>
      <c r="AD1174" s="76" t="s">
        <v>22394</v>
      </c>
      <c r="AE1174" s="81" t="s">
        <v>23679</v>
      </c>
      <c r="AF1174" s="76">
        <v>154</v>
      </c>
      <c r="AG1174" s="76">
        <v>678</v>
      </c>
      <c r="AH1174" s="76">
        <v>88</v>
      </c>
      <c r="AI1174" s="76">
        <v>1</v>
      </c>
      <c r="AJ1174" s="76">
        <v>81</v>
      </c>
      <c r="AK1174" s="76">
        <v>15</v>
      </c>
      <c r="AL1174" s="76" t="b">
        <v>0</v>
      </c>
      <c r="AM1174" s="78">
        <v>40931.02071759259</v>
      </c>
      <c r="AN1174" s="76" t="s">
        <v>24188</v>
      </c>
      <c r="AO1174" s="76" t="s">
        <v>25755</v>
      </c>
      <c r="AP1174" s="76"/>
      <c r="AQ1174" s="76"/>
      <c r="AR1174" s="76"/>
      <c r="AS1174" s="76"/>
      <c r="AT1174" s="76"/>
      <c r="AU1174" s="76"/>
      <c r="AV1174" s="76"/>
      <c r="AW1174" s="76"/>
      <c r="AX1174" s="76" t="b">
        <v>0</v>
      </c>
      <c r="AY1174" s="76"/>
      <c r="AZ1174" s="76"/>
      <c r="BA1174" s="76" t="b">
        <v>0</v>
      </c>
      <c r="BB1174" s="76" t="b">
        <v>1</v>
      </c>
      <c r="BC1174" s="76" t="b">
        <v>0</v>
      </c>
      <c r="BD1174" s="76" t="b">
        <v>0</v>
      </c>
      <c r="BE1174" s="76" t="b">
        <v>0</v>
      </c>
      <c r="BF1174" s="76" t="b">
        <v>0</v>
      </c>
      <c r="BG1174" s="76" t="b">
        <v>0</v>
      </c>
      <c r="BH1174" s="82" t="str">
        <f>HYPERLINK("https://pbs.twimg.com/profile_banners/471543043/1559821727")</f>
        <v>https://pbs.twimg.com/profile_banners/471543043/1559821727</v>
      </c>
      <c r="BI1174" s="76"/>
      <c r="BJ1174" s="76" t="s">
        <v>27595</v>
      </c>
      <c r="BK1174" s="76" t="b">
        <v>0</v>
      </c>
      <c r="BL1174" s="76"/>
      <c r="BM1174" s="76" t="s">
        <v>65</v>
      </c>
      <c r="BN1174" s="76" t="s">
        <v>27597</v>
      </c>
      <c r="BO1174" s="82" t="str">
        <f>HYPERLINK("https://twitter.com/loreps9")</f>
        <v>https://twitter.com/loreps9</v>
      </c>
      <c r="BP1174" s="2"/>
    </row>
    <row r="1175" spans="1:68" x14ac:dyDescent="0.25">
      <c r="A1175" s="62" t="s">
        <v>1956</v>
      </c>
      <c r="B1175" s="63"/>
      <c r="C1175" s="63"/>
      <c r="D1175" s="64"/>
      <c r="E1175" s="66"/>
      <c r="F1175" s="103" t="str">
        <f>HYPERLINK("https://pbs.twimg.com/profile_images/1436690318674604036/J5bdGsTg_normal.jpg")</f>
        <v>https://pbs.twimg.com/profile_images/1436690318674604036/J5bdGsTg_normal.jpg</v>
      </c>
      <c r="G1175" s="63"/>
      <c r="H1175" s="67"/>
      <c r="I1175" s="68"/>
      <c r="J1175" s="68"/>
      <c r="K1175" s="67" t="s">
        <v>28769</v>
      </c>
      <c r="L1175" s="71"/>
      <c r="M1175" s="72"/>
      <c r="N1175" s="72"/>
      <c r="O1175" s="73"/>
      <c r="P1175" s="74"/>
      <c r="Q1175" s="74"/>
      <c r="R1175" s="87"/>
      <c r="S1175" s="87"/>
      <c r="T1175" s="87"/>
      <c r="U1175" s="87"/>
      <c r="V1175" s="48"/>
      <c r="W1175" s="48"/>
      <c r="X1175" s="48"/>
      <c r="Y1175" s="48"/>
      <c r="Z1175" s="47"/>
      <c r="AA1175" s="69">
        <v>1175</v>
      </c>
      <c r="AB1175" s="69"/>
      <c r="AC1175" s="70"/>
      <c r="AD1175" s="76" t="s">
        <v>22395</v>
      </c>
      <c r="AE1175" s="81" t="s">
        <v>23680</v>
      </c>
      <c r="AF1175" s="76">
        <v>2107</v>
      </c>
      <c r="AG1175" s="76">
        <v>1524</v>
      </c>
      <c r="AH1175" s="76">
        <v>1821</v>
      </c>
      <c r="AI1175" s="76">
        <v>25</v>
      </c>
      <c r="AJ1175" s="76">
        <v>4697</v>
      </c>
      <c r="AK1175" s="76">
        <v>139</v>
      </c>
      <c r="AL1175" s="76" t="b">
        <v>0</v>
      </c>
      <c r="AM1175" s="78">
        <v>41706.948182870372</v>
      </c>
      <c r="AN1175" s="76" t="s">
        <v>24188</v>
      </c>
      <c r="AO1175" s="76" t="s">
        <v>25756</v>
      </c>
      <c r="AP1175" s="76"/>
      <c r="AQ1175" s="76"/>
      <c r="AR1175" s="76"/>
      <c r="AS1175" s="76"/>
      <c r="AT1175" s="76"/>
      <c r="AU1175" s="76"/>
      <c r="AV1175" s="76"/>
      <c r="AW1175" s="76"/>
      <c r="AX1175" s="76" t="b">
        <v>0</v>
      </c>
      <c r="AY1175" s="76"/>
      <c r="AZ1175" s="76"/>
      <c r="BA1175" s="76" t="b">
        <v>0</v>
      </c>
      <c r="BB1175" s="76" t="b">
        <v>1</v>
      </c>
      <c r="BC1175" s="76" t="b">
        <v>0</v>
      </c>
      <c r="BD1175" s="76" t="b">
        <v>0</v>
      </c>
      <c r="BE1175" s="76" t="b">
        <v>1</v>
      </c>
      <c r="BF1175" s="76" t="b">
        <v>0</v>
      </c>
      <c r="BG1175" s="76" t="b">
        <v>0</v>
      </c>
      <c r="BH1175" s="82" t="str">
        <f>HYPERLINK("https://pbs.twimg.com/profile_banners/2379411043/1579390995")</f>
        <v>https://pbs.twimg.com/profile_banners/2379411043/1579390995</v>
      </c>
      <c r="BI1175" s="76"/>
      <c r="BJ1175" s="76" t="s">
        <v>27595</v>
      </c>
      <c r="BK1175" s="76" t="b">
        <v>0</v>
      </c>
      <c r="BL1175" s="76"/>
      <c r="BM1175" s="76" t="s">
        <v>65</v>
      </c>
      <c r="BN1175" s="76" t="s">
        <v>27597</v>
      </c>
      <c r="BO1175" s="82" t="str">
        <f>HYPERLINK("https://twitter.com/hegonzalb")</f>
        <v>https://twitter.com/hegonzalb</v>
      </c>
      <c r="BP1175" s="2"/>
    </row>
    <row r="1176" spans="1:68" x14ac:dyDescent="0.25">
      <c r="A1176" s="62" t="s">
        <v>1957</v>
      </c>
      <c r="B1176" s="63"/>
      <c r="C1176" s="63"/>
      <c r="D1176" s="64"/>
      <c r="E1176" s="66"/>
      <c r="F1176" s="103" t="str">
        <f>HYPERLINK("https://pbs.twimg.com/profile_images/1704471349853376512/MBIpbM2w_normal.jpg")</f>
        <v>https://pbs.twimg.com/profile_images/1704471349853376512/MBIpbM2w_normal.jpg</v>
      </c>
      <c r="G1176" s="63"/>
      <c r="H1176" s="67"/>
      <c r="I1176" s="68"/>
      <c r="J1176" s="68"/>
      <c r="K1176" s="67" t="s">
        <v>28770</v>
      </c>
      <c r="L1176" s="71"/>
      <c r="M1176" s="72"/>
      <c r="N1176" s="72"/>
      <c r="O1176" s="73"/>
      <c r="P1176" s="74"/>
      <c r="Q1176" s="74"/>
      <c r="R1176" s="87"/>
      <c r="S1176" s="87"/>
      <c r="T1176" s="87"/>
      <c r="U1176" s="87"/>
      <c r="V1176" s="48"/>
      <c r="W1176" s="48"/>
      <c r="X1176" s="48"/>
      <c r="Y1176" s="48"/>
      <c r="Z1176" s="47"/>
      <c r="AA1176" s="69">
        <v>1176</v>
      </c>
      <c r="AB1176" s="69"/>
      <c r="AC1176" s="70"/>
      <c r="AD1176" s="76" t="s">
        <v>22396</v>
      </c>
      <c r="AE1176" s="81" t="s">
        <v>23681</v>
      </c>
      <c r="AF1176" s="76">
        <v>49127</v>
      </c>
      <c r="AG1176" s="76">
        <v>955</v>
      </c>
      <c r="AH1176" s="76">
        <v>16161</v>
      </c>
      <c r="AI1176" s="76">
        <v>469</v>
      </c>
      <c r="AJ1176" s="76">
        <v>2192</v>
      </c>
      <c r="AK1176" s="76">
        <v>10193</v>
      </c>
      <c r="AL1176" s="76" t="b">
        <v>0</v>
      </c>
      <c r="AM1176" s="78">
        <v>40296.575266203705</v>
      </c>
      <c r="AN1176" s="76" t="s">
        <v>24188</v>
      </c>
      <c r="AO1176" s="76" t="s">
        <v>25757</v>
      </c>
      <c r="AP1176" s="82" t="str">
        <f>HYPERLINK("https://t.co/NprV1ksJNW")</f>
        <v>https://t.co/NprV1ksJNW</v>
      </c>
      <c r="AQ1176" s="82" t="str">
        <f>HYPERLINK("http://www.ine.gob.cl")</f>
        <v>http://www.ine.gob.cl</v>
      </c>
      <c r="AR1176" s="76" t="s">
        <v>26992</v>
      </c>
      <c r="AS1176" s="76"/>
      <c r="AT1176" s="76"/>
      <c r="AU1176" s="76"/>
      <c r="AV1176" s="76"/>
      <c r="AW1176" s="82" t="str">
        <f>HYPERLINK("https://t.co/NprV1ksJNW")</f>
        <v>https://t.co/NprV1ksJNW</v>
      </c>
      <c r="AX1176" s="76" t="b">
        <v>0</v>
      </c>
      <c r="AY1176" s="76"/>
      <c r="AZ1176" s="76"/>
      <c r="BA1176" s="76" t="b">
        <v>1</v>
      </c>
      <c r="BB1176" s="76" t="b">
        <v>1</v>
      </c>
      <c r="BC1176" s="76" t="b">
        <v>0</v>
      </c>
      <c r="BD1176" s="76" t="b">
        <v>0</v>
      </c>
      <c r="BE1176" s="76" t="b">
        <v>0</v>
      </c>
      <c r="BF1176" s="76" t="b">
        <v>0</v>
      </c>
      <c r="BG1176" s="76" t="b">
        <v>0</v>
      </c>
      <c r="BH1176" s="82" t="str">
        <f>HYPERLINK("https://pbs.twimg.com/profile_banners/138048178/1578945876")</f>
        <v>https://pbs.twimg.com/profile_banners/138048178/1578945876</v>
      </c>
      <c r="BI1176" s="76"/>
      <c r="BJ1176" s="76" t="s">
        <v>27595</v>
      </c>
      <c r="BK1176" s="76" t="b">
        <v>0</v>
      </c>
      <c r="BL1176" s="76"/>
      <c r="BM1176" s="76" t="s">
        <v>65</v>
      </c>
      <c r="BN1176" s="76" t="s">
        <v>27597</v>
      </c>
      <c r="BO1176" s="82" t="str">
        <f>HYPERLINK("https://twitter.com/ine_chile")</f>
        <v>https://twitter.com/ine_chile</v>
      </c>
      <c r="BP1176" s="2"/>
    </row>
    <row r="1177" spans="1:68" x14ac:dyDescent="0.25">
      <c r="A1177" s="62" t="s">
        <v>1084</v>
      </c>
      <c r="B1177" s="63"/>
      <c r="C1177" s="63"/>
      <c r="D1177" s="64"/>
      <c r="E1177" s="66"/>
      <c r="F1177" s="103" t="str">
        <f>HYPERLINK("https://pbs.twimg.com/profile_images/1138458816381620226/EgQvuFNG_normal.png")</f>
        <v>https://pbs.twimg.com/profile_images/1138458816381620226/EgQvuFNG_normal.png</v>
      </c>
      <c r="G1177" s="63"/>
      <c r="H1177" s="67"/>
      <c r="I1177" s="68"/>
      <c r="J1177" s="68"/>
      <c r="K1177" s="67" t="s">
        <v>28771</v>
      </c>
      <c r="L1177" s="71"/>
      <c r="M1177" s="72"/>
      <c r="N1177" s="72"/>
      <c r="O1177" s="73"/>
      <c r="P1177" s="74"/>
      <c r="Q1177" s="74"/>
      <c r="R1177" s="87"/>
      <c r="S1177" s="87"/>
      <c r="T1177" s="87"/>
      <c r="U1177" s="87"/>
      <c r="V1177" s="48"/>
      <c r="W1177" s="48"/>
      <c r="X1177" s="48"/>
      <c r="Y1177" s="48"/>
      <c r="Z1177" s="47"/>
      <c r="AA1177" s="69">
        <v>1177</v>
      </c>
      <c r="AB1177" s="69"/>
      <c r="AC1177" s="70"/>
      <c r="AD1177" s="76" t="s">
        <v>22397</v>
      </c>
      <c r="AE1177" s="81" t="s">
        <v>23682</v>
      </c>
      <c r="AF1177" s="76">
        <v>4457</v>
      </c>
      <c r="AG1177" s="76">
        <v>672</v>
      </c>
      <c r="AH1177" s="76">
        <v>311470</v>
      </c>
      <c r="AI1177" s="76">
        <v>82</v>
      </c>
      <c r="AJ1177" s="76">
        <v>2</v>
      </c>
      <c r="AK1177" s="76">
        <v>26801</v>
      </c>
      <c r="AL1177" s="76" t="b">
        <v>0</v>
      </c>
      <c r="AM1177" s="78">
        <v>39958.042430555557</v>
      </c>
      <c r="AN1177" s="76" t="s">
        <v>24125</v>
      </c>
      <c r="AO1177" s="76" t="s">
        <v>25758</v>
      </c>
      <c r="AP1177" s="82" t="str">
        <f>HYPERLINK("http://t.co/nYvJFATPQD")</f>
        <v>http://t.co/nYvJFATPQD</v>
      </c>
      <c r="AQ1177" s="82" t="str">
        <f>HYPERLINK("http://www.bahiadigital.com")</f>
        <v>http://www.bahiadigital.com</v>
      </c>
      <c r="AR1177" s="76" t="s">
        <v>26993</v>
      </c>
      <c r="AS1177" s="76"/>
      <c r="AT1177" s="76"/>
      <c r="AU1177" s="76"/>
      <c r="AV1177" s="76"/>
      <c r="AW1177" s="82" t="str">
        <f>HYPERLINK("http://t.co/nYvJFATPQD")</f>
        <v>http://t.co/nYvJFATPQD</v>
      </c>
      <c r="AX1177" s="76" t="b">
        <v>0</v>
      </c>
      <c r="AY1177" s="76"/>
      <c r="AZ1177" s="76"/>
      <c r="BA1177" s="76" t="b">
        <v>0</v>
      </c>
      <c r="BB1177" s="76" t="b">
        <v>1</v>
      </c>
      <c r="BC1177" s="76" t="b">
        <v>0</v>
      </c>
      <c r="BD1177" s="76" t="b">
        <v>0</v>
      </c>
      <c r="BE1177" s="76" t="b">
        <v>0</v>
      </c>
      <c r="BF1177" s="76" t="b">
        <v>0</v>
      </c>
      <c r="BG1177" s="76" t="b">
        <v>0</v>
      </c>
      <c r="BH1177" s="82" t="str">
        <f>HYPERLINK("https://pbs.twimg.com/profile_banners/42317726/1560264709")</f>
        <v>https://pbs.twimg.com/profile_banners/42317726/1560264709</v>
      </c>
      <c r="BI1177" s="76"/>
      <c r="BJ1177" s="76" t="s">
        <v>27595</v>
      </c>
      <c r="BK1177" s="76" t="b">
        <v>0</v>
      </c>
      <c r="BL1177" s="76"/>
      <c r="BM1177" s="76" t="s">
        <v>66</v>
      </c>
      <c r="BN1177" s="76" t="s">
        <v>27597</v>
      </c>
      <c r="BO1177" s="82" t="str">
        <f>HYPERLINK("https://twitter.com/bahiadigital")</f>
        <v>https://twitter.com/bahiadigital</v>
      </c>
      <c r="BP1177" s="2"/>
    </row>
    <row r="1178" spans="1:68" x14ac:dyDescent="0.25">
      <c r="A1178" s="62" t="s">
        <v>1085</v>
      </c>
      <c r="B1178" s="63"/>
      <c r="C1178" s="63"/>
      <c r="D1178" s="64"/>
      <c r="E1178" s="66"/>
      <c r="F1178" s="103" t="str">
        <f>HYPERLINK("https://pbs.twimg.com/profile_images/1640193234386440193/1Zifrb5V_normal.jpg")</f>
        <v>https://pbs.twimg.com/profile_images/1640193234386440193/1Zifrb5V_normal.jpg</v>
      </c>
      <c r="G1178" s="63"/>
      <c r="H1178" s="67"/>
      <c r="I1178" s="68"/>
      <c r="J1178" s="68"/>
      <c r="K1178" s="67" t="s">
        <v>28772</v>
      </c>
      <c r="L1178" s="71"/>
      <c r="M1178" s="72"/>
      <c r="N1178" s="72"/>
      <c r="O1178" s="73"/>
      <c r="P1178" s="74"/>
      <c r="Q1178" s="74"/>
      <c r="R1178" s="87"/>
      <c r="S1178" s="87"/>
      <c r="T1178" s="87"/>
      <c r="U1178" s="87"/>
      <c r="V1178" s="48"/>
      <c r="W1178" s="48"/>
      <c r="X1178" s="48"/>
      <c r="Y1178" s="48"/>
      <c r="Z1178" s="47"/>
      <c r="AA1178" s="69">
        <v>1178</v>
      </c>
      <c r="AB1178" s="69"/>
      <c r="AC1178" s="70"/>
      <c r="AD1178" s="76" t="s">
        <v>22398</v>
      </c>
      <c r="AE1178" s="81" t="s">
        <v>23683</v>
      </c>
      <c r="AF1178" s="76">
        <v>205</v>
      </c>
      <c r="AG1178" s="76">
        <v>177</v>
      </c>
      <c r="AH1178" s="76">
        <v>17800</v>
      </c>
      <c r="AI1178" s="76">
        <v>0</v>
      </c>
      <c r="AJ1178" s="76">
        <v>9648</v>
      </c>
      <c r="AK1178" s="76">
        <v>3398</v>
      </c>
      <c r="AL1178" s="76" t="b">
        <v>0</v>
      </c>
      <c r="AM1178" s="78">
        <v>42266.107893518521</v>
      </c>
      <c r="AN1178" s="76"/>
      <c r="AO1178" s="76" t="s">
        <v>25759</v>
      </c>
      <c r="AP1178" s="76"/>
      <c r="AQ1178" s="76"/>
      <c r="AR1178" s="76"/>
      <c r="AS1178" s="76"/>
      <c r="AT1178" s="76"/>
      <c r="AU1178" s="76"/>
      <c r="AV1178" s="76">
        <v>1.7072302255185001E+18</v>
      </c>
      <c r="AW1178" s="76"/>
      <c r="AX1178" s="76" t="b">
        <v>0</v>
      </c>
      <c r="AY1178" s="76"/>
      <c r="AZ1178" s="76"/>
      <c r="BA1178" s="76" t="b">
        <v>0</v>
      </c>
      <c r="BB1178" s="76" t="b">
        <v>1</v>
      </c>
      <c r="BC1178" s="76" t="b">
        <v>1</v>
      </c>
      <c r="BD1178" s="76" t="b">
        <v>0</v>
      </c>
      <c r="BE1178" s="76" t="b">
        <v>0</v>
      </c>
      <c r="BF1178" s="76" t="b">
        <v>0</v>
      </c>
      <c r="BG1178" s="76" t="b">
        <v>1</v>
      </c>
      <c r="BH1178" s="82" t="str">
        <f>HYPERLINK("https://pbs.twimg.com/profile_banners/3702612315/1683040612")</f>
        <v>https://pbs.twimg.com/profile_banners/3702612315/1683040612</v>
      </c>
      <c r="BI1178" s="76" t="s">
        <v>27594</v>
      </c>
      <c r="BJ1178" s="76" t="s">
        <v>27595</v>
      </c>
      <c r="BK1178" s="76" t="b">
        <v>0</v>
      </c>
      <c r="BL1178" s="76"/>
      <c r="BM1178" s="76" t="s">
        <v>66</v>
      </c>
      <c r="BN1178" s="76" t="s">
        <v>27597</v>
      </c>
      <c r="BO1178" s="82" t="str">
        <f>HYPERLINK("https://twitter.com/mariamcardamo")</f>
        <v>https://twitter.com/mariamcardamo</v>
      </c>
      <c r="BP1178" s="2"/>
    </row>
    <row r="1179" spans="1:68" x14ac:dyDescent="0.25">
      <c r="A1179" s="62" t="s">
        <v>1958</v>
      </c>
      <c r="B1179" s="63"/>
      <c r="C1179" s="63"/>
      <c r="D1179" s="64"/>
      <c r="E1179" s="66"/>
      <c r="F1179" s="103" t="str">
        <f>HYPERLINK("https://pbs.twimg.com/profile_images/1388675513007419392/hWqveWeC_normal.jpg")</f>
        <v>https://pbs.twimg.com/profile_images/1388675513007419392/hWqveWeC_normal.jpg</v>
      </c>
      <c r="G1179" s="63"/>
      <c r="H1179" s="67"/>
      <c r="I1179" s="68"/>
      <c r="J1179" s="68"/>
      <c r="K1179" s="67" t="s">
        <v>28773</v>
      </c>
      <c r="L1179" s="71"/>
      <c r="M1179" s="72"/>
      <c r="N1179" s="72"/>
      <c r="O1179" s="73"/>
      <c r="P1179" s="74"/>
      <c r="Q1179" s="74"/>
      <c r="R1179" s="87"/>
      <c r="S1179" s="87"/>
      <c r="T1179" s="87"/>
      <c r="U1179" s="87"/>
      <c r="V1179" s="48"/>
      <c r="W1179" s="48"/>
      <c r="X1179" s="48"/>
      <c r="Y1179" s="48"/>
      <c r="Z1179" s="47"/>
      <c r="AA1179" s="69">
        <v>1179</v>
      </c>
      <c r="AB1179" s="69"/>
      <c r="AC1179" s="70"/>
      <c r="AD1179" s="76" t="s">
        <v>22399</v>
      </c>
      <c r="AE1179" s="81" t="s">
        <v>23684</v>
      </c>
      <c r="AF1179" s="76">
        <v>115</v>
      </c>
      <c r="AG1179" s="76">
        <v>49</v>
      </c>
      <c r="AH1179" s="76">
        <v>27315</v>
      </c>
      <c r="AI1179" s="76">
        <v>0</v>
      </c>
      <c r="AJ1179" s="76">
        <v>12095</v>
      </c>
      <c r="AK1179" s="76">
        <v>4</v>
      </c>
      <c r="AL1179" s="76" t="b">
        <v>0</v>
      </c>
      <c r="AM1179" s="78">
        <v>44315.795185185183</v>
      </c>
      <c r="AN1179" s="76"/>
      <c r="AO1179" s="76"/>
      <c r="AP1179" s="76"/>
      <c r="AQ1179" s="76"/>
      <c r="AR1179" s="76"/>
      <c r="AS1179" s="76"/>
      <c r="AT1179" s="76"/>
      <c r="AU1179" s="76"/>
      <c r="AV1179" s="76"/>
      <c r="AW1179" s="76"/>
      <c r="AX1179" s="76" t="b">
        <v>0</v>
      </c>
      <c r="AY1179" s="76"/>
      <c r="AZ1179" s="76"/>
      <c r="BA1179" s="76" t="b">
        <v>0</v>
      </c>
      <c r="BB1179" s="76" t="b">
        <v>1</v>
      </c>
      <c r="BC1179" s="76" t="b">
        <v>1</v>
      </c>
      <c r="BD1179" s="76" t="b">
        <v>0</v>
      </c>
      <c r="BE1179" s="76" t="b">
        <v>1</v>
      </c>
      <c r="BF1179" s="76" t="b">
        <v>0</v>
      </c>
      <c r="BG1179" s="76" t="b">
        <v>0</v>
      </c>
      <c r="BH1179" s="76"/>
      <c r="BI1179" s="76"/>
      <c r="BJ1179" s="76" t="s">
        <v>27595</v>
      </c>
      <c r="BK1179" s="76" t="b">
        <v>0</v>
      </c>
      <c r="BL1179" s="76"/>
      <c r="BM1179" s="76" t="s">
        <v>65</v>
      </c>
      <c r="BN1179" s="76" t="s">
        <v>27597</v>
      </c>
      <c r="BO1179" s="82" t="str">
        <f>HYPERLINK("https://twitter.com/constan08334217")</f>
        <v>https://twitter.com/constan08334217</v>
      </c>
      <c r="BP1179" s="2"/>
    </row>
    <row r="1180" spans="1:68" x14ac:dyDescent="0.25">
      <c r="A1180" s="62" t="s">
        <v>1959</v>
      </c>
      <c r="B1180" s="63"/>
      <c r="C1180" s="63"/>
      <c r="D1180" s="64"/>
      <c r="E1180" s="66"/>
      <c r="F1180" s="103" t="str">
        <f>HYPERLINK("https://pbs.twimg.com/profile_images/1484199876837527553/JmLo7j1i_normal.jpg")</f>
        <v>https://pbs.twimg.com/profile_images/1484199876837527553/JmLo7j1i_normal.jpg</v>
      </c>
      <c r="G1180" s="63"/>
      <c r="H1180" s="67"/>
      <c r="I1180" s="68"/>
      <c r="J1180" s="68"/>
      <c r="K1180" s="67" t="s">
        <v>28774</v>
      </c>
      <c r="L1180" s="71"/>
      <c r="M1180" s="72"/>
      <c r="N1180" s="72"/>
      <c r="O1180" s="73"/>
      <c r="P1180" s="74"/>
      <c r="Q1180" s="74"/>
      <c r="R1180" s="87"/>
      <c r="S1180" s="87"/>
      <c r="T1180" s="87"/>
      <c r="U1180" s="87"/>
      <c r="V1180" s="48"/>
      <c r="W1180" s="48"/>
      <c r="X1180" s="48"/>
      <c r="Y1180" s="48"/>
      <c r="Z1180" s="47"/>
      <c r="AA1180" s="69">
        <v>1180</v>
      </c>
      <c r="AB1180" s="69"/>
      <c r="AC1180" s="70"/>
      <c r="AD1180" s="76" t="s">
        <v>22400</v>
      </c>
      <c r="AE1180" s="81" t="s">
        <v>23685</v>
      </c>
      <c r="AF1180" s="76">
        <v>3422</v>
      </c>
      <c r="AG1180" s="76">
        <v>954</v>
      </c>
      <c r="AH1180" s="76">
        <v>7279</v>
      </c>
      <c r="AI1180" s="76">
        <v>2</v>
      </c>
      <c r="AJ1180" s="76">
        <v>2361</v>
      </c>
      <c r="AK1180" s="76">
        <v>1845</v>
      </c>
      <c r="AL1180" s="76" t="b">
        <v>0</v>
      </c>
      <c r="AM1180" s="78">
        <v>44581.670497685183</v>
      </c>
      <c r="AN1180" s="76" t="s">
        <v>24487</v>
      </c>
      <c r="AO1180" s="76" t="s">
        <v>25760</v>
      </c>
      <c r="AP1180" s="82" t="str">
        <f>HYPERLINK("https://t.co/bddVVtjuzY")</f>
        <v>https://t.co/bddVVtjuzY</v>
      </c>
      <c r="AQ1180" s="82" t="str">
        <f>HYPERLINK("http://www.instagram.com/retiro100xcientoafp")</f>
        <v>http://www.instagram.com/retiro100xcientoafp</v>
      </c>
      <c r="AR1180" s="76" t="s">
        <v>26994</v>
      </c>
      <c r="AS1180" s="76"/>
      <c r="AT1180" s="76"/>
      <c r="AU1180" s="76"/>
      <c r="AV1180" s="76"/>
      <c r="AW1180" s="82" t="str">
        <f>HYPERLINK("https://t.co/bddVVtjuzY")</f>
        <v>https://t.co/bddVVtjuzY</v>
      </c>
      <c r="AX1180" s="76" t="b">
        <v>0</v>
      </c>
      <c r="AY1180" s="76"/>
      <c r="AZ1180" s="76"/>
      <c r="BA1180" s="76" t="b">
        <v>0</v>
      </c>
      <c r="BB1180" s="76" t="b">
        <v>1</v>
      </c>
      <c r="BC1180" s="76" t="b">
        <v>1</v>
      </c>
      <c r="BD1180" s="76" t="b">
        <v>0</v>
      </c>
      <c r="BE1180" s="76" t="b">
        <v>1</v>
      </c>
      <c r="BF1180" s="76" t="b">
        <v>0</v>
      </c>
      <c r="BG1180" s="76" t="b">
        <v>0</v>
      </c>
      <c r="BH1180" s="82" t="str">
        <f>HYPERLINK("https://pbs.twimg.com/profile_banners/1484195291431464961/1642695839")</f>
        <v>https://pbs.twimg.com/profile_banners/1484195291431464961/1642695839</v>
      </c>
      <c r="BI1180" s="76"/>
      <c r="BJ1180" s="76" t="s">
        <v>27595</v>
      </c>
      <c r="BK1180" s="76" t="b">
        <v>0</v>
      </c>
      <c r="BL1180" s="76"/>
      <c r="BM1180" s="76" t="s">
        <v>65</v>
      </c>
      <c r="BN1180" s="76" t="s">
        <v>27597</v>
      </c>
      <c r="BO1180" s="82" t="str">
        <f>HYPERLINK("https://twitter.com/retiro100x100")</f>
        <v>https://twitter.com/retiro100x100</v>
      </c>
      <c r="BP1180" s="2"/>
    </row>
    <row r="1181" spans="1:68" x14ac:dyDescent="0.25">
      <c r="A1181" s="62" t="s">
        <v>1960</v>
      </c>
      <c r="B1181" s="63"/>
      <c r="C1181" s="63"/>
      <c r="D1181" s="64"/>
      <c r="E1181" s="66"/>
      <c r="F1181" s="103" t="str">
        <f>HYPERLINK("https://pbs.twimg.com/profile_images/1490502793597108224/O3o_CuCZ_normal.jpg")</f>
        <v>https://pbs.twimg.com/profile_images/1490502793597108224/O3o_CuCZ_normal.jpg</v>
      </c>
      <c r="G1181" s="63"/>
      <c r="H1181" s="67"/>
      <c r="I1181" s="68"/>
      <c r="J1181" s="68"/>
      <c r="K1181" s="67" t="s">
        <v>28775</v>
      </c>
      <c r="L1181" s="71"/>
      <c r="M1181" s="72"/>
      <c r="N1181" s="72"/>
      <c r="O1181" s="73"/>
      <c r="P1181" s="74"/>
      <c r="Q1181" s="74"/>
      <c r="R1181" s="87"/>
      <c r="S1181" s="87"/>
      <c r="T1181" s="87"/>
      <c r="U1181" s="87"/>
      <c r="V1181" s="48"/>
      <c r="W1181" s="48"/>
      <c r="X1181" s="48"/>
      <c r="Y1181" s="48"/>
      <c r="Z1181" s="47"/>
      <c r="AA1181" s="69">
        <v>1181</v>
      </c>
      <c r="AB1181" s="69"/>
      <c r="AC1181" s="70"/>
      <c r="AD1181" s="76" t="s">
        <v>22401</v>
      </c>
      <c r="AE1181" s="81" t="s">
        <v>23686</v>
      </c>
      <c r="AF1181" s="76">
        <v>313</v>
      </c>
      <c r="AG1181" s="76">
        <v>528</v>
      </c>
      <c r="AH1181" s="76">
        <v>14390</v>
      </c>
      <c r="AI1181" s="76">
        <v>2</v>
      </c>
      <c r="AJ1181" s="76">
        <v>6014</v>
      </c>
      <c r="AK1181" s="76">
        <v>1086</v>
      </c>
      <c r="AL1181" s="76" t="b">
        <v>0</v>
      </c>
      <c r="AM1181" s="78">
        <v>40475.183553240742</v>
      </c>
      <c r="AN1181" s="76" t="s">
        <v>14386</v>
      </c>
      <c r="AO1181" s="76" t="s">
        <v>25761</v>
      </c>
      <c r="AP1181" s="76"/>
      <c r="AQ1181" s="76"/>
      <c r="AR1181" s="76"/>
      <c r="AS1181" s="76"/>
      <c r="AT1181" s="76"/>
      <c r="AU1181" s="76"/>
      <c r="AV1181" s="76"/>
      <c r="AW1181" s="76"/>
      <c r="AX1181" s="76" t="b">
        <v>0</v>
      </c>
      <c r="AY1181" s="76"/>
      <c r="AZ1181" s="76"/>
      <c r="BA1181" s="76" t="b">
        <v>0</v>
      </c>
      <c r="BB1181" s="76" t="b">
        <v>0</v>
      </c>
      <c r="BC1181" s="76" t="b">
        <v>0</v>
      </c>
      <c r="BD1181" s="76" t="b">
        <v>0</v>
      </c>
      <c r="BE1181" s="76" t="b">
        <v>1</v>
      </c>
      <c r="BF1181" s="76" t="b">
        <v>0</v>
      </c>
      <c r="BG1181" s="76" t="b">
        <v>0</v>
      </c>
      <c r="BH1181" s="82" t="str">
        <f>HYPERLINK("https://pbs.twimg.com/profile_banners/206954994/1422022264")</f>
        <v>https://pbs.twimg.com/profile_banners/206954994/1422022264</v>
      </c>
      <c r="BI1181" s="76"/>
      <c r="BJ1181" s="76" t="s">
        <v>27595</v>
      </c>
      <c r="BK1181" s="76" t="b">
        <v>0</v>
      </c>
      <c r="BL1181" s="76"/>
      <c r="BM1181" s="76" t="s">
        <v>65</v>
      </c>
      <c r="BN1181" s="76" t="s">
        <v>27597</v>
      </c>
      <c r="BO1181" s="82" t="str">
        <f>HYPERLINK("https://twitter.com/paxiano")</f>
        <v>https://twitter.com/paxiano</v>
      </c>
      <c r="BP1181" s="2"/>
    </row>
    <row r="1182" spans="1:68" x14ac:dyDescent="0.25">
      <c r="A1182" s="62" t="s">
        <v>1961</v>
      </c>
      <c r="B1182" s="63"/>
      <c r="C1182" s="63"/>
      <c r="D1182" s="64"/>
      <c r="E1182" s="66"/>
      <c r="F1182" s="103" t="str">
        <f>HYPERLINK("https://pbs.twimg.com/profile_images/1479648275292635137/IhUovYPP_normal.jpg")</f>
        <v>https://pbs.twimg.com/profile_images/1479648275292635137/IhUovYPP_normal.jpg</v>
      </c>
      <c r="G1182" s="63"/>
      <c r="H1182" s="67"/>
      <c r="I1182" s="68"/>
      <c r="J1182" s="68"/>
      <c r="K1182" s="67" t="s">
        <v>28776</v>
      </c>
      <c r="L1182" s="71"/>
      <c r="M1182" s="72"/>
      <c r="N1182" s="72"/>
      <c r="O1182" s="73"/>
      <c r="P1182" s="74"/>
      <c r="Q1182" s="74"/>
      <c r="R1182" s="87"/>
      <c r="S1182" s="87"/>
      <c r="T1182" s="87"/>
      <c r="U1182" s="87"/>
      <c r="V1182" s="48"/>
      <c r="W1182" s="48"/>
      <c r="X1182" s="48"/>
      <c r="Y1182" s="48"/>
      <c r="Z1182" s="47"/>
      <c r="AA1182" s="69">
        <v>1182</v>
      </c>
      <c r="AB1182" s="69"/>
      <c r="AC1182" s="70"/>
      <c r="AD1182" s="76" t="s">
        <v>22402</v>
      </c>
      <c r="AE1182" s="81" t="s">
        <v>23687</v>
      </c>
      <c r="AF1182" s="76">
        <v>32</v>
      </c>
      <c r="AG1182" s="76">
        <v>17</v>
      </c>
      <c r="AH1182" s="76">
        <v>2405</v>
      </c>
      <c r="AI1182" s="76">
        <v>0</v>
      </c>
      <c r="AJ1182" s="76">
        <v>242</v>
      </c>
      <c r="AK1182" s="76">
        <v>132</v>
      </c>
      <c r="AL1182" s="76" t="b">
        <v>0</v>
      </c>
      <c r="AM1182" s="78">
        <v>43734.578680555554</v>
      </c>
      <c r="AN1182" s="76" t="s">
        <v>24466</v>
      </c>
      <c r="AO1182" s="76" t="s">
        <v>25762</v>
      </c>
      <c r="AP1182" s="76"/>
      <c r="AQ1182" s="76"/>
      <c r="AR1182" s="76"/>
      <c r="AS1182" s="76"/>
      <c r="AT1182" s="76"/>
      <c r="AU1182" s="76"/>
      <c r="AV1182" s="76"/>
      <c r="AW1182" s="76"/>
      <c r="AX1182" s="76" t="b">
        <v>0</v>
      </c>
      <c r="AY1182" s="76"/>
      <c r="AZ1182" s="76"/>
      <c r="BA1182" s="76" t="b">
        <v>0</v>
      </c>
      <c r="BB1182" s="76" t="b">
        <v>1</v>
      </c>
      <c r="BC1182" s="76" t="b">
        <v>1</v>
      </c>
      <c r="BD1182" s="76" t="b">
        <v>0</v>
      </c>
      <c r="BE1182" s="76" t="b">
        <v>0</v>
      </c>
      <c r="BF1182" s="76" t="b">
        <v>0</v>
      </c>
      <c r="BG1182" s="76" t="b">
        <v>0</v>
      </c>
      <c r="BH1182" s="76"/>
      <c r="BI1182" s="76"/>
      <c r="BJ1182" s="76" t="s">
        <v>27595</v>
      </c>
      <c r="BK1182" s="76" t="b">
        <v>0</v>
      </c>
      <c r="BL1182" s="76"/>
      <c r="BM1182" s="76" t="s">
        <v>65</v>
      </c>
      <c r="BN1182" s="76" t="s">
        <v>27597</v>
      </c>
      <c r="BO1182" s="82" t="str">
        <f>HYPERLINK("https://twitter.com/juanangeldelro2")</f>
        <v>https://twitter.com/juanangeldelro2</v>
      </c>
      <c r="BP1182" s="2"/>
    </row>
    <row r="1183" spans="1:68" x14ac:dyDescent="0.25">
      <c r="A1183" s="62" t="s">
        <v>1962</v>
      </c>
      <c r="B1183" s="63"/>
      <c r="C1183" s="63"/>
      <c r="D1183" s="64"/>
      <c r="E1183" s="66"/>
      <c r="F1183" s="103" t="str">
        <f>HYPERLINK("https://pbs.twimg.com/profile_images/1665237593972170753/ZbJUOeyU_normal.jpg")</f>
        <v>https://pbs.twimg.com/profile_images/1665237593972170753/ZbJUOeyU_normal.jpg</v>
      </c>
      <c r="G1183" s="63"/>
      <c r="H1183" s="67"/>
      <c r="I1183" s="68"/>
      <c r="J1183" s="68"/>
      <c r="K1183" s="67" t="s">
        <v>28777</v>
      </c>
      <c r="L1183" s="71"/>
      <c r="M1183" s="72"/>
      <c r="N1183" s="72"/>
      <c r="O1183" s="73"/>
      <c r="P1183" s="74"/>
      <c r="Q1183" s="74"/>
      <c r="R1183" s="87"/>
      <c r="S1183" s="87"/>
      <c r="T1183" s="87"/>
      <c r="U1183" s="87"/>
      <c r="V1183" s="48"/>
      <c r="W1183" s="48"/>
      <c r="X1183" s="48"/>
      <c r="Y1183" s="48"/>
      <c r="Z1183" s="47"/>
      <c r="AA1183" s="69">
        <v>1183</v>
      </c>
      <c r="AB1183" s="69"/>
      <c r="AC1183" s="70"/>
      <c r="AD1183" s="76" t="s">
        <v>22403</v>
      </c>
      <c r="AE1183" s="81" t="s">
        <v>23688</v>
      </c>
      <c r="AF1183" s="76">
        <v>195</v>
      </c>
      <c r="AG1183" s="76">
        <v>497</v>
      </c>
      <c r="AH1183" s="76">
        <v>4636</v>
      </c>
      <c r="AI1183" s="76">
        <v>0</v>
      </c>
      <c r="AJ1183" s="76">
        <v>381</v>
      </c>
      <c r="AK1183" s="76">
        <v>637</v>
      </c>
      <c r="AL1183" s="76" t="b">
        <v>0</v>
      </c>
      <c r="AM1183" s="78">
        <v>45021.642581018517</v>
      </c>
      <c r="AN1183" s="76"/>
      <c r="AO1183" s="76" t="s">
        <v>25763</v>
      </c>
      <c r="AP1183" s="76"/>
      <c r="AQ1183" s="76"/>
      <c r="AR1183" s="76"/>
      <c r="AS1183" s="76"/>
      <c r="AT1183" s="76"/>
      <c r="AU1183" s="76"/>
      <c r="AV1183" s="76"/>
      <c r="AW1183" s="76"/>
      <c r="AX1183" s="76" t="b">
        <v>0</v>
      </c>
      <c r="AY1183" s="76"/>
      <c r="AZ1183" s="76"/>
      <c r="BA1183" s="76" t="b">
        <v>1</v>
      </c>
      <c r="BB1183" s="76" t="b">
        <v>1</v>
      </c>
      <c r="BC1183" s="76" t="b">
        <v>1</v>
      </c>
      <c r="BD1183" s="76" t="b">
        <v>0</v>
      </c>
      <c r="BE1183" s="76" t="b">
        <v>0</v>
      </c>
      <c r="BF1183" s="76" t="b">
        <v>0</v>
      </c>
      <c r="BG1183" s="76" t="b">
        <v>0</v>
      </c>
      <c r="BH1183" s="82" t="str">
        <f>HYPERLINK("https://pbs.twimg.com/profile_banners/1643635850171805696/1690356686")</f>
        <v>https://pbs.twimg.com/profile_banners/1643635850171805696/1690356686</v>
      </c>
      <c r="BI1183" s="76"/>
      <c r="BJ1183" s="76" t="s">
        <v>27595</v>
      </c>
      <c r="BK1183" s="76" t="b">
        <v>0</v>
      </c>
      <c r="BL1183" s="76"/>
      <c r="BM1183" s="76" t="s">
        <v>65</v>
      </c>
      <c r="BN1183" s="76" t="s">
        <v>27597</v>
      </c>
      <c r="BO1183" s="82" t="str">
        <f>HYPERLINK("https://twitter.com/agustinthepower")</f>
        <v>https://twitter.com/agustinthepower</v>
      </c>
      <c r="BP1183" s="2"/>
    </row>
    <row r="1184" spans="1:68" x14ac:dyDescent="0.25">
      <c r="A1184" s="62" t="s">
        <v>1963</v>
      </c>
      <c r="B1184" s="63"/>
      <c r="C1184" s="63"/>
      <c r="D1184" s="64"/>
      <c r="E1184" s="66"/>
      <c r="F1184" s="103" t="str">
        <f>HYPERLINK("https://pbs.twimg.com/profile_images/1502443707257143301/p0RUMMeR_normal.jpg")</f>
        <v>https://pbs.twimg.com/profile_images/1502443707257143301/p0RUMMeR_normal.jpg</v>
      </c>
      <c r="G1184" s="63"/>
      <c r="H1184" s="67"/>
      <c r="I1184" s="68"/>
      <c r="J1184" s="68"/>
      <c r="K1184" s="67" t="s">
        <v>28778</v>
      </c>
      <c r="L1184" s="71"/>
      <c r="M1184" s="72"/>
      <c r="N1184" s="72"/>
      <c r="O1184" s="73"/>
      <c r="P1184" s="74"/>
      <c r="Q1184" s="74"/>
      <c r="R1184" s="87"/>
      <c r="S1184" s="87"/>
      <c r="T1184" s="87"/>
      <c r="U1184" s="87"/>
      <c r="V1184" s="48"/>
      <c r="W1184" s="48"/>
      <c r="X1184" s="48"/>
      <c r="Y1184" s="48"/>
      <c r="Z1184" s="47"/>
      <c r="AA1184" s="69">
        <v>1184</v>
      </c>
      <c r="AB1184" s="69"/>
      <c r="AC1184" s="70"/>
      <c r="AD1184" s="76" t="s">
        <v>22404</v>
      </c>
      <c r="AE1184" s="81" t="s">
        <v>23689</v>
      </c>
      <c r="AF1184" s="76">
        <v>1320266</v>
      </c>
      <c r="AG1184" s="76">
        <v>2814</v>
      </c>
      <c r="AH1184" s="76">
        <v>52223</v>
      </c>
      <c r="AI1184" s="76">
        <v>1721</v>
      </c>
      <c r="AJ1184" s="76">
        <v>25529</v>
      </c>
      <c r="AK1184" s="76">
        <v>3157</v>
      </c>
      <c r="AL1184" s="76" t="b">
        <v>0</v>
      </c>
      <c r="AM1184" s="78">
        <v>40016.795740740738</v>
      </c>
      <c r="AN1184" s="76" t="s">
        <v>24488</v>
      </c>
      <c r="AO1184" s="76" t="s">
        <v>25764</v>
      </c>
      <c r="AP1184" s="76"/>
      <c r="AQ1184" s="76"/>
      <c r="AR1184" s="76"/>
      <c r="AS1184" s="76"/>
      <c r="AT1184" s="76"/>
      <c r="AU1184" s="76"/>
      <c r="AV1184" s="76"/>
      <c r="AW1184" s="76"/>
      <c r="AX1184" s="76" t="b">
        <v>1</v>
      </c>
      <c r="AY1184" s="76"/>
      <c r="AZ1184" s="76"/>
      <c r="BA1184" s="76" t="b">
        <v>0</v>
      </c>
      <c r="BB1184" s="76" t="b">
        <v>1</v>
      </c>
      <c r="BC1184" s="76" t="b">
        <v>0</v>
      </c>
      <c r="BD1184" s="76" t="b">
        <v>0</v>
      </c>
      <c r="BE1184" s="76" t="b">
        <v>1</v>
      </c>
      <c r="BF1184" s="76" t="b">
        <v>0</v>
      </c>
      <c r="BG1184" s="76" t="b">
        <v>0</v>
      </c>
      <c r="BH1184" s="82" t="str">
        <f>HYPERLINK("https://pbs.twimg.com/profile_banners/59215690/1484664606")</f>
        <v>https://pbs.twimg.com/profile_banners/59215690/1484664606</v>
      </c>
      <c r="BI1184" s="76"/>
      <c r="BJ1184" s="76" t="s">
        <v>27595</v>
      </c>
      <c r="BK1184" s="76" t="b">
        <v>0</v>
      </c>
      <c r="BL1184" s="76"/>
      <c r="BM1184" s="76" t="s">
        <v>65</v>
      </c>
      <c r="BN1184" s="76" t="s">
        <v>27597</v>
      </c>
      <c r="BO1184" s="82" t="str">
        <f>HYPERLINK("https://twitter.com/giorgiojackson")</f>
        <v>https://twitter.com/giorgiojackson</v>
      </c>
      <c r="BP1184" s="2"/>
    </row>
    <row r="1185" spans="1:68" x14ac:dyDescent="0.25">
      <c r="A1185" s="62" t="s">
        <v>1964</v>
      </c>
      <c r="B1185" s="63"/>
      <c r="C1185" s="63"/>
      <c r="D1185" s="64"/>
      <c r="E1185" s="66"/>
      <c r="F1185" s="103" t="str">
        <f>HYPERLINK("https://pbs.twimg.com/profile_images/1668749657172836352/jTmThk-z_normal.jpg")</f>
        <v>https://pbs.twimg.com/profile_images/1668749657172836352/jTmThk-z_normal.jpg</v>
      </c>
      <c r="G1185" s="63"/>
      <c r="H1185" s="67"/>
      <c r="I1185" s="68"/>
      <c r="J1185" s="68"/>
      <c r="K1185" s="67" t="s">
        <v>28779</v>
      </c>
      <c r="L1185" s="71"/>
      <c r="M1185" s="72"/>
      <c r="N1185" s="72"/>
      <c r="O1185" s="73"/>
      <c r="P1185" s="74"/>
      <c r="Q1185" s="74"/>
      <c r="R1185" s="87"/>
      <c r="S1185" s="87"/>
      <c r="T1185" s="87"/>
      <c r="U1185" s="87"/>
      <c r="V1185" s="48"/>
      <c r="W1185" s="48"/>
      <c r="X1185" s="48"/>
      <c r="Y1185" s="48"/>
      <c r="Z1185" s="47"/>
      <c r="AA1185" s="69">
        <v>1185</v>
      </c>
      <c r="AB1185" s="69"/>
      <c r="AC1185" s="70"/>
      <c r="AD1185" s="76" t="s">
        <v>22405</v>
      </c>
      <c r="AE1185" s="81" t="s">
        <v>23690</v>
      </c>
      <c r="AF1185" s="76">
        <v>11588</v>
      </c>
      <c r="AG1185" s="76">
        <v>336</v>
      </c>
      <c r="AH1185" s="76">
        <v>966</v>
      </c>
      <c r="AI1185" s="76">
        <v>67</v>
      </c>
      <c r="AJ1185" s="76">
        <v>485</v>
      </c>
      <c r="AK1185" s="76">
        <v>190</v>
      </c>
      <c r="AL1185" s="76" t="b">
        <v>0</v>
      </c>
      <c r="AM1185" s="78">
        <v>40938.667951388888</v>
      </c>
      <c r="AN1185" s="76" t="s">
        <v>24489</v>
      </c>
      <c r="AO1185" s="76" t="s">
        <v>25765</v>
      </c>
      <c r="AP1185" s="82" t="str">
        <f>HYPERLINK("https://t.co/Hja8gSHMlM")</f>
        <v>https://t.co/Hja8gSHMlM</v>
      </c>
      <c r="AQ1185" s="82" t="str">
        <f>HYPERLINK("http://www.facebook.com/KarimBianchi2021")</f>
        <v>http://www.facebook.com/KarimBianchi2021</v>
      </c>
      <c r="AR1185" s="76" t="s">
        <v>26995</v>
      </c>
      <c r="AS1185" s="76"/>
      <c r="AT1185" s="76"/>
      <c r="AU1185" s="76"/>
      <c r="AV1185" s="76">
        <v>1.5274564931543501E+18</v>
      </c>
      <c r="AW1185" s="82" t="str">
        <f>HYPERLINK("https://t.co/Hja8gSHMlM")</f>
        <v>https://t.co/Hja8gSHMlM</v>
      </c>
      <c r="AX1185" s="76" t="b">
        <v>0</v>
      </c>
      <c r="AY1185" s="76"/>
      <c r="AZ1185" s="76"/>
      <c r="BA1185" s="76" t="b">
        <v>0</v>
      </c>
      <c r="BB1185" s="76" t="b">
        <v>1</v>
      </c>
      <c r="BC1185" s="76" t="b">
        <v>0</v>
      </c>
      <c r="BD1185" s="76" t="b">
        <v>0</v>
      </c>
      <c r="BE1185" s="76" t="b">
        <v>1</v>
      </c>
      <c r="BF1185" s="76" t="b">
        <v>0</v>
      </c>
      <c r="BG1185" s="76" t="b">
        <v>0</v>
      </c>
      <c r="BH1185" s="82" t="str">
        <f>HYPERLINK("https://pbs.twimg.com/profile_banners/478722762/1647096236")</f>
        <v>https://pbs.twimg.com/profile_banners/478722762/1647096236</v>
      </c>
      <c r="BI1185" s="76"/>
      <c r="BJ1185" s="76" t="s">
        <v>27595</v>
      </c>
      <c r="BK1185" s="76" t="b">
        <v>0</v>
      </c>
      <c r="BL1185" s="76"/>
      <c r="BM1185" s="76" t="s">
        <v>65</v>
      </c>
      <c r="BN1185" s="76" t="s">
        <v>27597</v>
      </c>
      <c r="BO1185" s="82" t="str">
        <f>HYPERLINK("https://twitter.com/karimbianchi")</f>
        <v>https://twitter.com/karimbianchi</v>
      </c>
      <c r="BP1185" s="2"/>
    </row>
    <row r="1186" spans="1:68" x14ac:dyDescent="0.25">
      <c r="A1186" s="62" t="s">
        <v>1965</v>
      </c>
      <c r="B1186" s="63"/>
      <c r="C1186" s="63"/>
      <c r="D1186" s="64"/>
      <c r="E1186" s="66"/>
      <c r="F1186" s="103" t="str">
        <f>HYPERLINK("https://pbs.twimg.com/profile_images/1445749327507247112/Aipsu7NH_normal.jpg")</f>
        <v>https://pbs.twimg.com/profile_images/1445749327507247112/Aipsu7NH_normal.jpg</v>
      </c>
      <c r="G1186" s="63"/>
      <c r="H1186" s="67"/>
      <c r="I1186" s="68"/>
      <c r="J1186" s="68"/>
      <c r="K1186" s="67" t="s">
        <v>28780</v>
      </c>
      <c r="L1186" s="71"/>
      <c r="M1186" s="72"/>
      <c r="N1186" s="72"/>
      <c r="O1186" s="73"/>
      <c r="P1186" s="74"/>
      <c r="Q1186" s="74"/>
      <c r="R1186" s="87"/>
      <c r="S1186" s="87"/>
      <c r="T1186" s="87"/>
      <c r="U1186" s="87"/>
      <c r="V1186" s="48"/>
      <c r="W1186" s="48"/>
      <c r="X1186" s="48"/>
      <c r="Y1186" s="48"/>
      <c r="Z1186" s="47"/>
      <c r="AA1186" s="69">
        <v>1186</v>
      </c>
      <c r="AB1186" s="69"/>
      <c r="AC1186" s="70"/>
      <c r="AD1186" s="76" t="s">
        <v>22406</v>
      </c>
      <c r="AE1186" s="81" t="s">
        <v>23691</v>
      </c>
      <c r="AF1186" s="76">
        <v>6956</v>
      </c>
      <c r="AG1186" s="76">
        <v>851</v>
      </c>
      <c r="AH1186" s="76">
        <v>1868</v>
      </c>
      <c r="AI1186" s="76">
        <v>58</v>
      </c>
      <c r="AJ1186" s="76">
        <v>1256</v>
      </c>
      <c r="AK1186" s="76">
        <v>876</v>
      </c>
      <c r="AL1186" s="76" t="b">
        <v>0</v>
      </c>
      <c r="AM1186" s="78">
        <v>42968.812800925924</v>
      </c>
      <c r="AN1186" s="76"/>
      <c r="AO1186" s="76" t="s">
        <v>25766</v>
      </c>
      <c r="AP1186" s="82" t="str">
        <f>HYPERLINK("https://t.co/5CE2H4btc6")</f>
        <v>https://t.co/5CE2H4btc6</v>
      </c>
      <c r="AQ1186" s="82" t="str">
        <f>HYPERLINK("https://www.facebook.com/AysenFeliz")</f>
        <v>https://www.facebook.com/AysenFeliz</v>
      </c>
      <c r="AR1186" s="76" t="s">
        <v>26996</v>
      </c>
      <c r="AS1186" s="76"/>
      <c r="AT1186" s="76"/>
      <c r="AU1186" s="76"/>
      <c r="AV1186" s="76"/>
      <c r="AW1186" s="82" t="str">
        <f>HYPERLINK("https://t.co/5CE2H4btc6")</f>
        <v>https://t.co/5CE2H4btc6</v>
      </c>
      <c r="AX1186" s="76" t="b">
        <v>0</v>
      </c>
      <c r="AY1186" s="76"/>
      <c r="AZ1186" s="76"/>
      <c r="BA1186" s="76" t="b">
        <v>0</v>
      </c>
      <c r="BB1186" s="76" t="b">
        <v>1</v>
      </c>
      <c r="BC1186" s="76" t="b">
        <v>1</v>
      </c>
      <c r="BD1186" s="76" t="b">
        <v>0</v>
      </c>
      <c r="BE1186" s="76" t="b">
        <v>0</v>
      </c>
      <c r="BF1186" s="76" t="b">
        <v>0</v>
      </c>
      <c r="BG1186" s="76" t="b">
        <v>0</v>
      </c>
      <c r="BH1186" s="82" t="str">
        <f>HYPERLINK("https://pbs.twimg.com/profile_banners/899715335384944640/1649167922")</f>
        <v>https://pbs.twimg.com/profile_banners/899715335384944640/1649167922</v>
      </c>
      <c r="BI1186" s="76"/>
      <c r="BJ1186" s="76" t="s">
        <v>27595</v>
      </c>
      <c r="BK1186" s="76" t="b">
        <v>0</v>
      </c>
      <c r="BL1186" s="76"/>
      <c r="BM1186" s="76" t="s">
        <v>65</v>
      </c>
      <c r="BN1186" s="76" t="s">
        <v>27597</v>
      </c>
      <c r="BO1186" s="82" t="str">
        <f>HYPERLINK("https://twitter.com/alinco_rene")</f>
        <v>https://twitter.com/alinco_rene</v>
      </c>
      <c r="BP1186" s="2"/>
    </row>
    <row r="1187" spans="1:68" x14ac:dyDescent="0.25">
      <c r="A1187" s="62" t="s">
        <v>1966</v>
      </c>
      <c r="B1187" s="63"/>
      <c r="C1187" s="63"/>
      <c r="D1187" s="64"/>
      <c r="E1187" s="66"/>
      <c r="F1187" s="103" t="str">
        <f>HYPERLINK("https://pbs.twimg.com/profile_images/1285911865302941697/SGfAYHJt_normal.jpg")</f>
        <v>https://pbs.twimg.com/profile_images/1285911865302941697/SGfAYHJt_normal.jpg</v>
      </c>
      <c r="G1187" s="63"/>
      <c r="H1187" s="67"/>
      <c r="I1187" s="68"/>
      <c r="J1187" s="68"/>
      <c r="K1187" s="67" t="s">
        <v>28781</v>
      </c>
      <c r="L1187" s="71"/>
      <c r="M1187" s="72"/>
      <c r="N1187" s="72"/>
      <c r="O1187" s="73"/>
      <c r="P1187" s="74"/>
      <c r="Q1187" s="74"/>
      <c r="R1187" s="87"/>
      <c r="S1187" s="87"/>
      <c r="T1187" s="87"/>
      <c r="U1187" s="87"/>
      <c r="V1187" s="48"/>
      <c r="W1187" s="48"/>
      <c r="X1187" s="48"/>
      <c r="Y1187" s="48"/>
      <c r="Z1187" s="47"/>
      <c r="AA1187" s="69">
        <v>1187</v>
      </c>
      <c r="AB1187" s="69"/>
      <c r="AC1187" s="70"/>
      <c r="AD1187" s="76" t="s">
        <v>22407</v>
      </c>
      <c r="AE1187" s="81" t="s">
        <v>23692</v>
      </c>
      <c r="AF1187" s="76">
        <v>676873</v>
      </c>
      <c r="AG1187" s="76">
        <v>377</v>
      </c>
      <c r="AH1187" s="76">
        <v>98138</v>
      </c>
      <c r="AI1187" s="76">
        <v>539</v>
      </c>
      <c r="AJ1187" s="76">
        <v>67846</v>
      </c>
      <c r="AK1187" s="76">
        <v>4994</v>
      </c>
      <c r="AL1187" s="76" t="b">
        <v>0</v>
      </c>
      <c r="AM1187" s="78">
        <v>41390.521979166668</v>
      </c>
      <c r="AN1187" s="76"/>
      <c r="AO1187" s="76" t="s">
        <v>25767</v>
      </c>
      <c r="AP1187" s="82" t="str">
        <f>HYPERLINK("https://t.co/0zNU9FxLRD")</f>
        <v>https://t.co/0zNU9FxLRD</v>
      </c>
      <c r="AQ1187" s="82" t="str">
        <f>HYPERLINK("https://www.instagram.com/pamelajilesdiputada/")</f>
        <v>https://www.instagram.com/pamelajilesdiputada/</v>
      </c>
      <c r="AR1187" s="76" t="s">
        <v>26997</v>
      </c>
      <c r="AS1187" s="76"/>
      <c r="AT1187" s="76"/>
      <c r="AU1187" s="76"/>
      <c r="AV1187" s="76">
        <v>1.7056364266231501E+18</v>
      </c>
      <c r="AW1187" s="82" t="str">
        <f>HYPERLINK("https://t.co/0zNU9FxLRD")</f>
        <v>https://t.co/0zNU9FxLRD</v>
      </c>
      <c r="AX1187" s="76" t="b">
        <v>1</v>
      </c>
      <c r="AY1187" s="76"/>
      <c r="AZ1187" s="76"/>
      <c r="BA1187" s="76" t="b">
        <v>0</v>
      </c>
      <c r="BB1187" s="76" t="b">
        <v>1</v>
      </c>
      <c r="BC1187" s="76" t="b">
        <v>1</v>
      </c>
      <c r="BD1187" s="76" t="b">
        <v>0</v>
      </c>
      <c r="BE1187" s="76" t="b">
        <v>1</v>
      </c>
      <c r="BF1187" s="76" t="b">
        <v>0</v>
      </c>
      <c r="BG1187" s="76" t="b">
        <v>0</v>
      </c>
      <c r="BH1187" s="82" t="str">
        <f>HYPERLINK("https://pbs.twimg.com/profile_banners/1381789998/1596561836")</f>
        <v>https://pbs.twimg.com/profile_banners/1381789998/1596561836</v>
      </c>
      <c r="BI1187" s="76"/>
      <c r="BJ1187" s="76" t="s">
        <v>27595</v>
      </c>
      <c r="BK1187" s="76" t="b">
        <v>0</v>
      </c>
      <c r="BL1187" s="76"/>
      <c r="BM1187" s="76" t="s">
        <v>65</v>
      </c>
      <c r="BN1187" s="76" t="s">
        <v>27597</v>
      </c>
      <c r="BO1187" s="82" t="str">
        <f>HYPERLINK("https://twitter.com/pamjiles")</f>
        <v>https://twitter.com/pamjiles</v>
      </c>
      <c r="BP1187" s="2"/>
    </row>
    <row r="1188" spans="1:68" x14ac:dyDescent="0.25">
      <c r="A1188" s="62" t="s">
        <v>1967</v>
      </c>
      <c r="B1188" s="63"/>
      <c r="C1188" s="63"/>
      <c r="D1188" s="64"/>
      <c r="E1188" s="66"/>
      <c r="F1188" s="103" t="str">
        <f>HYPERLINK("https://pbs.twimg.com/profile_images/1707424511681757184/_j-neIyq_normal.jpg")</f>
        <v>https://pbs.twimg.com/profile_images/1707424511681757184/_j-neIyq_normal.jpg</v>
      </c>
      <c r="G1188" s="63"/>
      <c r="H1188" s="67"/>
      <c r="I1188" s="68"/>
      <c r="J1188" s="68"/>
      <c r="K1188" s="67" t="s">
        <v>28782</v>
      </c>
      <c r="L1188" s="71"/>
      <c r="M1188" s="72"/>
      <c r="N1188" s="72"/>
      <c r="O1188" s="73"/>
      <c r="P1188" s="74"/>
      <c r="Q1188" s="74"/>
      <c r="R1188" s="87"/>
      <c r="S1188" s="87"/>
      <c r="T1188" s="87"/>
      <c r="U1188" s="87"/>
      <c r="V1188" s="48"/>
      <c r="W1188" s="48"/>
      <c r="X1188" s="48"/>
      <c r="Y1188" s="48"/>
      <c r="Z1188" s="47"/>
      <c r="AA1188" s="69">
        <v>1188</v>
      </c>
      <c r="AB1188" s="69"/>
      <c r="AC1188" s="70"/>
      <c r="AD1188" s="76" t="s">
        <v>22408</v>
      </c>
      <c r="AE1188" s="81" t="s">
        <v>23693</v>
      </c>
      <c r="AF1188" s="76">
        <v>3186</v>
      </c>
      <c r="AG1188" s="76">
        <v>4633</v>
      </c>
      <c r="AH1188" s="76">
        <v>284585</v>
      </c>
      <c r="AI1188" s="76">
        <v>4</v>
      </c>
      <c r="AJ1188" s="76">
        <v>129151</v>
      </c>
      <c r="AK1188" s="76">
        <v>0</v>
      </c>
      <c r="AL1188" s="76" t="b">
        <v>0</v>
      </c>
      <c r="AM1188" s="78">
        <v>43218.935266203705</v>
      </c>
      <c r="AN1188" s="76" t="s">
        <v>24490</v>
      </c>
      <c r="AO1188" s="76" t="s">
        <v>25768</v>
      </c>
      <c r="AP1188" s="76"/>
      <c r="AQ1188" s="76"/>
      <c r="AR1188" s="76"/>
      <c r="AS1188" s="76"/>
      <c r="AT1188" s="76"/>
      <c r="AU1188" s="76"/>
      <c r="AV1188" s="76"/>
      <c r="AW1188" s="76"/>
      <c r="AX1188" s="76" t="b">
        <v>0</v>
      </c>
      <c r="AY1188" s="76"/>
      <c r="AZ1188" s="76"/>
      <c r="BA1188" s="76" t="b">
        <v>1</v>
      </c>
      <c r="BB1188" s="76" t="b">
        <v>0</v>
      </c>
      <c r="BC1188" s="76" t="b">
        <v>1</v>
      </c>
      <c r="BD1188" s="76" t="b">
        <v>0</v>
      </c>
      <c r="BE1188" s="76" t="b">
        <v>1</v>
      </c>
      <c r="BF1188" s="76" t="b">
        <v>0</v>
      </c>
      <c r="BG1188" s="76" t="b">
        <v>0</v>
      </c>
      <c r="BH1188" s="82" t="str">
        <f>HYPERLINK("https://pbs.twimg.com/profile_banners/990356681128337409/1695916701")</f>
        <v>https://pbs.twimg.com/profile_banners/990356681128337409/1695916701</v>
      </c>
      <c r="BI1188" s="76"/>
      <c r="BJ1188" s="76" t="s">
        <v>27595</v>
      </c>
      <c r="BK1188" s="76" t="b">
        <v>0</v>
      </c>
      <c r="BL1188" s="76"/>
      <c r="BM1188" s="76" t="s">
        <v>65</v>
      </c>
      <c r="BN1188" s="76" t="s">
        <v>27597</v>
      </c>
      <c r="BO1188" s="82" t="str">
        <f>HYPERLINK("https://twitter.com/carlos67360447")</f>
        <v>https://twitter.com/carlos67360447</v>
      </c>
      <c r="BP1188" s="2"/>
    </row>
    <row r="1189" spans="1:68" x14ac:dyDescent="0.25">
      <c r="A1189" s="62" t="s">
        <v>1968</v>
      </c>
      <c r="B1189" s="63"/>
      <c r="C1189" s="63"/>
      <c r="D1189" s="64"/>
      <c r="E1189" s="66"/>
      <c r="F1189" s="103" t="str">
        <f>HYPERLINK("https://pbs.twimg.com/profile_images/1567676987681955840/hmFWFeUi_normal.jpg")</f>
        <v>https://pbs.twimg.com/profile_images/1567676987681955840/hmFWFeUi_normal.jpg</v>
      </c>
      <c r="G1189" s="63"/>
      <c r="H1189" s="67"/>
      <c r="I1189" s="68"/>
      <c r="J1189" s="68"/>
      <c r="K1189" s="67" t="s">
        <v>28783</v>
      </c>
      <c r="L1189" s="71"/>
      <c r="M1189" s="72"/>
      <c r="N1189" s="72"/>
      <c r="O1189" s="73"/>
      <c r="P1189" s="74"/>
      <c r="Q1189" s="74"/>
      <c r="R1189" s="87"/>
      <c r="S1189" s="87"/>
      <c r="T1189" s="87"/>
      <c r="U1189" s="87"/>
      <c r="V1189" s="48"/>
      <c r="W1189" s="48"/>
      <c r="X1189" s="48"/>
      <c r="Y1189" s="48"/>
      <c r="Z1189" s="47"/>
      <c r="AA1189" s="69">
        <v>1189</v>
      </c>
      <c r="AB1189" s="69"/>
      <c r="AC1189" s="70"/>
      <c r="AD1189" s="76" t="s">
        <v>22409</v>
      </c>
      <c r="AE1189" s="81" t="s">
        <v>20320</v>
      </c>
      <c r="AF1189" s="76">
        <v>822</v>
      </c>
      <c r="AG1189" s="76">
        <v>444</v>
      </c>
      <c r="AH1189" s="76">
        <v>166895</v>
      </c>
      <c r="AI1189" s="76">
        <v>0</v>
      </c>
      <c r="AJ1189" s="76">
        <v>150631</v>
      </c>
      <c r="AK1189" s="76">
        <v>8688</v>
      </c>
      <c r="AL1189" s="76" t="b">
        <v>0</v>
      </c>
      <c r="AM1189" s="78">
        <v>44812.034988425927</v>
      </c>
      <c r="AN1189" s="76"/>
      <c r="AO1189" s="76"/>
      <c r="AP1189" s="76"/>
      <c r="AQ1189" s="76"/>
      <c r="AR1189" s="76"/>
      <c r="AS1189" s="76"/>
      <c r="AT1189" s="76"/>
      <c r="AU1189" s="76"/>
      <c r="AV1189" s="76"/>
      <c r="AW1189" s="76"/>
      <c r="AX1189" s="76" t="b">
        <v>0</v>
      </c>
      <c r="AY1189" s="76"/>
      <c r="AZ1189" s="76"/>
      <c r="BA1189" s="76" t="b">
        <v>0</v>
      </c>
      <c r="BB1189" s="76" t="b">
        <v>1</v>
      </c>
      <c r="BC1189" s="76" t="b">
        <v>1</v>
      </c>
      <c r="BD1189" s="76" t="b">
        <v>0</v>
      </c>
      <c r="BE1189" s="76" t="b">
        <v>1</v>
      </c>
      <c r="BF1189" s="76" t="b">
        <v>0</v>
      </c>
      <c r="BG1189" s="76" t="b">
        <v>0</v>
      </c>
      <c r="BH1189" s="82" t="str">
        <f>HYPERLINK("https://pbs.twimg.com/profile_banners/1567676609506713601/1690177625")</f>
        <v>https://pbs.twimg.com/profile_banners/1567676609506713601/1690177625</v>
      </c>
      <c r="BI1189" s="76"/>
      <c r="BJ1189" s="76" t="s">
        <v>27595</v>
      </c>
      <c r="BK1189" s="76" t="b">
        <v>0</v>
      </c>
      <c r="BL1189" s="76"/>
      <c r="BM1189" s="76" t="s">
        <v>65</v>
      </c>
      <c r="BN1189" s="76" t="s">
        <v>27597</v>
      </c>
      <c r="BO1189" s="82" t="str">
        <f>HYPERLINK("https://twitter.com/zunilda091")</f>
        <v>https://twitter.com/zunilda091</v>
      </c>
      <c r="BP1189" s="2"/>
    </row>
    <row r="1190" spans="1:68" x14ac:dyDescent="0.25">
      <c r="A1190" s="62" t="s">
        <v>1086</v>
      </c>
      <c r="B1190" s="63"/>
      <c r="C1190" s="63"/>
      <c r="D1190" s="64"/>
      <c r="E1190" s="66"/>
      <c r="F1190" s="103" t="str">
        <f>HYPERLINK("https://pbs.twimg.com/profile_images/1633919342814412807/35sdQJcV_normal.jpg")</f>
        <v>https://pbs.twimg.com/profile_images/1633919342814412807/35sdQJcV_normal.jpg</v>
      </c>
      <c r="G1190" s="63"/>
      <c r="H1190" s="67"/>
      <c r="I1190" s="68"/>
      <c r="J1190" s="68"/>
      <c r="K1190" s="67" t="s">
        <v>28784</v>
      </c>
      <c r="L1190" s="71"/>
      <c r="M1190" s="72"/>
      <c r="N1190" s="72"/>
      <c r="O1190" s="73"/>
      <c r="P1190" s="74"/>
      <c r="Q1190" s="74"/>
      <c r="R1190" s="87"/>
      <c r="S1190" s="87"/>
      <c r="T1190" s="87"/>
      <c r="U1190" s="87"/>
      <c r="V1190" s="48"/>
      <c r="W1190" s="48"/>
      <c r="X1190" s="48"/>
      <c r="Y1190" s="48"/>
      <c r="Z1190" s="47"/>
      <c r="AA1190" s="69">
        <v>1190</v>
      </c>
      <c r="AB1190" s="69"/>
      <c r="AC1190" s="70"/>
      <c r="AD1190" s="76" t="s">
        <v>22410</v>
      </c>
      <c r="AE1190" s="81" t="s">
        <v>23694</v>
      </c>
      <c r="AF1190" s="76">
        <v>853273</v>
      </c>
      <c r="AG1190" s="76">
        <v>43937</v>
      </c>
      <c r="AH1190" s="76">
        <v>273924</v>
      </c>
      <c r="AI1190" s="76">
        <v>3646</v>
      </c>
      <c r="AJ1190" s="76">
        <v>1054</v>
      </c>
      <c r="AK1190" s="76">
        <v>82556</v>
      </c>
      <c r="AL1190" s="76" t="b">
        <v>0</v>
      </c>
      <c r="AM1190" s="78">
        <v>39999.993622685186</v>
      </c>
      <c r="AN1190" s="76" t="s">
        <v>14381</v>
      </c>
      <c r="AO1190" s="76" t="s">
        <v>25769</v>
      </c>
      <c r="AP1190" s="82" t="str">
        <f>HYPERLINK("https://t.co/MxXJbttxRv")</f>
        <v>https://t.co/MxXJbttxRv</v>
      </c>
      <c r="AQ1190" s="82" t="str">
        <f>HYPERLINK("https://telenoticias.com.do")</f>
        <v>https://telenoticias.com.do</v>
      </c>
      <c r="AR1190" s="76" t="s">
        <v>26998</v>
      </c>
      <c r="AS1190" s="76"/>
      <c r="AT1190" s="76"/>
      <c r="AU1190" s="76"/>
      <c r="AV1190" s="76"/>
      <c r="AW1190" s="82" t="str">
        <f>HYPERLINK("https://t.co/MxXJbttxRv")</f>
        <v>https://t.co/MxXJbttxRv</v>
      </c>
      <c r="AX1190" s="76" t="b">
        <v>0</v>
      </c>
      <c r="AY1190" s="76"/>
      <c r="AZ1190" s="76"/>
      <c r="BA1190" s="76" t="b">
        <v>1</v>
      </c>
      <c r="BB1190" s="76" t="b">
        <v>1</v>
      </c>
      <c r="BC1190" s="76" t="b">
        <v>0</v>
      </c>
      <c r="BD1190" s="76" t="b">
        <v>0</v>
      </c>
      <c r="BE1190" s="76" t="b">
        <v>1</v>
      </c>
      <c r="BF1190" s="76" t="b">
        <v>0</v>
      </c>
      <c r="BG1190" s="76" t="b">
        <v>0</v>
      </c>
      <c r="BH1190" s="82" t="str">
        <f>HYPERLINK("https://pbs.twimg.com/profile_banners/54045693/1677682161")</f>
        <v>https://pbs.twimg.com/profile_banners/54045693/1677682161</v>
      </c>
      <c r="BI1190" s="76"/>
      <c r="BJ1190" s="76" t="s">
        <v>27595</v>
      </c>
      <c r="BK1190" s="76" t="b">
        <v>0</v>
      </c>
      <c r="BL1190" s="76"/>
      <c r="BM1190" s="76" t="s">
        <v>66</v>
      </c>
      <c r="BN1190" s="76" t="s">
        <v>27597</v>
      </c>
      <c r="BO1190" s="82" t="str">
        <f>HYPERLINK("https://twitter.com/telenoticiasrd")</f>
        <v>https://twitter.com/telenoticiasrd</v>
      </c>
      <c r="BP1190" s="2"/>
    </row>
    <row r="1191" spans="1:68" x14ac:dyDescent="0.25">
      <c r="A1191" s="62" t="s">
        <v>1087</v>
      </c>
      <c r="B1191" s="63"/>
      <c r="C1191" s="63"/>
      <c r="D1191" s="64"/>
      <c r="E1191" s="66"/>
      <c r="F1191" s="103" t="str">
        <f>HYPERLINK("https://pbs.twimg.com/profile_images/880221784414486529/0amDs1ea_normal.jpg")</f>
        <v>https://pbs.twimg.com/profile_images/880221784414486529/0amDs1ea_normal.jpg</v>
      </c>
      <c r="G1191" s="63"/>
      <c r="H1191" s="67"/>
      <c r="I1191" s="68"/>
      <c r="J1191" s="68"/>
      <c r="K1191" s="67" t="s">
        <v>28785</v>
      </c>
      <c r="L1191" s="71"/>
      <c r="M1191" s="72"/>
      <c r="N1191" s="72"/>
      <c r="O1191" s="73"/>
      <c r="P1191" s="74"/>
      <c r="Q1191" s="74"/>
      <c r="R1191" s="87"/>
      <c r="S1191" s="87"/>
      <c r="T1191" s="87"/>
      <c r="U1191" s="87"/>
      <c r="V1191" s="48"/>
      <c r="W1191" s="48"/>
      <c r="X1191" s="48"/>
      <c r="Y1191" s="48"/>
      <c r="Z1191" s="47"/>
      <c r="AA1191" s="69">
        <v>1191</v>
      </c>
      <c r="AB1191" s="69"/>
      <c r="AC1191" s="70"/>
      <c r="AD1191" s="76" t="s">
        <v>22411</v>
      </c>
      <c r="AE1191" s="81" t="s">
        <v>23695</v>
      </c>
      <c r="AF1191" s="76">
        <v>639</v>
      </c>
      <c r="AG1191" s="76">
        <v>519</v>
      </c>
      <c r="AH1191" s="76">
        <v>68098</v>
      </c>
      <c r="AI1191" s="76">
        <v>2</v>
      </c>
      <c r="AJ1191" s="76">
        <v>66687</v>
      </c>
      <c r="AK1191" s="76">
        <v>254</v>
      </c>
      <c r="AL1191" s="76" t="b">
        <v>0</v>
      </c>
      <c r="AM1191" s="78">
        <v>39961.697916666664</v>
      </c>
      <c r="AN1191" s="76" t="s">
        <v>24491</v>
      </c>
      <c r="AO1191" s="76" t="s">
        <v>25770</v>
      </c>
      <c r="AP1191" s="76"/>
      <c r="AQ1191" s="76"/>
      <c r="AR1191" s="76"/>
      <c r="AS1191" s="76"/>
      <c r="AT1191" s="76"/>
      <c r="AU1191" s="76"/>
      <c r="AV1191" s="76"/>
      <c r="AW1191" s="76"/>
      <c r="AX1191" s="76" t="b">
        <v>0</v>
      </c>
      <c r="AY1191" s="76"/>
      <c r="AZ1191" s="76"/>
      <c r="BA1191" s="76" t="b">
        <v>0</v>
      </c>
      <c r="BB1191" s="76" t="b">
        <v>1</v>
      </c>
      <c r="BC1191" s="76" t="b">
        <v>1</v>
      </c>
      <c r="BD1191" s="76" t="b">
        <v>0</v>
      </c>
      <c r="BE1191" s="76" t="b">
        <v>0</v>
      </c>
      <c r="BF1191" s="76" t="b">
        <v>0</v>
      </c>
      <c r="BG1191" s="76" t="b">
        <v>0</v>
      </c>
      <c r="BH1191" s="76"/>
      <c r="BI1191" s="76"/>
      <c r="BJ1191" s="76" t="s">
        <v>27595</v>
      </c>
      <c r="BK1191" s="76" t="b">
        <v>0</v>
      </c>
      <c r="BL1191" s="76"/>
      <c r="BM1191" s="76" t="s">
        <v>66</v>
      </c>
      <c r="BN1191" s="76" t="s">
        <v>27597</v>
      </c>
      <c r="BO1191" s="82" t="str">
        <f>HYPERLINK("https://twitter.com/audueriz")</f>
        <v>https://twitter.com/audueriz</v>
      </c>
      <c r="BP1191" s="2"/>
    </row>
    <row r="1192" spans="1:68" x14ac:dyDescent="0.25">
      <c r="A1192" s="62" t="s">
        <v>1088</v>
      </c>
      <c r="B1192" s="63"/>
      <c r="C1192" s="63"/>
      <c r="D1192" s="64"/>
      <c r="E1192" s="66"/>
      <c r="F1192" s="103" t="str">
        <f>HYPERLINK("https://pbs.twimg.com/profile_images/1651031748703141888/zpWsTfHk_normal.jpg")</f>
        <v>https://pbs.twimg.com/profile_images/1651031748703141888/zpWsTfHk_normal.jpg</v>
      </c>
      <c r="G1192" s="63"/>
      <c r="H1192" s="67"/>
      <c r="I1192" s="68"/>
      <c r="J1192" s="68"/>
      <c r="K1192" s="67" t="s">
        <v>28786</v>
      </c>
      <c r="L1192" s="71"/>
      <c r="M1192" s="72"/>
      <c r="N1192" s="72"/>
      <c r="O1192" s="73"/>
      <c r="P1192" s="74"/>
      <c r="Q1192" s="74"/>
      <c r="R1192" s="87"/>
      <c r="S1192" s="87"/>
      <c r="T1192" s="87"/>
      <c r="U1192" s="87"/>
      <c r="V1192" s="48"/>
      <c r="W1192" s="48"/>
      <c r="X1192" s="48"/>
      <c r="Y1192" s="48"/>
      <c r="Z1192" s="47"/>
      <c r="AA1192" s="69">
        <v>1192</v>
      </c>
      <c r="AB1192" s="69"/>
      <c r="AC1192" s="70"/>
      <c r="AD1192" s="76" t="s">
        <v>22412</v>
      </c>
      <c r="AE1192" s="81" t="s">
        <v>23696</v>
      </c>
      <c r="AF1192" s="76">
        <v>549</v>
      </c>
      <c r="AG1192" s="76">
        <v>516</v>
      </c>
      <c r="AH1192" s="76">
        <v>1043</v>
      </c>
      <c r="AI1192" s="76">
        <v>1</v>
      </c>
      <c r="AJ1192" s="76">
        <v>796</v>
      </c>
      <c r="AK1192" s="76">
        <v>160</v>
      </c>
      <c r="AL1192" s="76" t="b">
        <v>0</v>
      </c>
      <c r="AM1192" s="78">
        <v>39940.249791666669</v>
      </c>
      <c r="AN1192" s="76" t="s">
        <v>24492</v>
      </c>
      <c r="AO1192" s="76" t="s">
        <v>25771</v>
      </c>
      <c r="AP1192" s="76"/>
      <c r="AQ1192" s="76"/>
      <c r="AR1192" s="76"/>
      <c r="AS1192" s="76"/>
      <c r="AT1192" s="76"/>
      <c r="AU1192" s="76"/>
      <c r="AV1192" s="76">
        <v>1.6773893585197901E+18</v>
      </c>
      <c r="AW1192" s="76"/>
      <c r="AX1192" s="76" t="b">
        <v>0</v>
      </c>
      <c r="AY1192" s="76"/>
      <c r="AZ1192" s="76"/>
      <c r="BA1192" s="76" t="b">
        <v>1</v>
      </c>
      <c r="BB1192" s="76" t="b">
        <v>1</v>
      </c>
      <c r="BC1192" s="76" t="b">
        <v>1</v>
      </c>
      <c r="BD1192" s="76" t="b">
        <v>0</v>
      </c>
      <c r="BE1192" s="76" t="b">
        <v>0</v>
      </c>
      <c r="BF1192" s="76" t="b">
        <v>0</v>
      </c>
      <c r="BG1192" s="76" t="b">
        <v>0</v>
      </c>
      <c r="BH1192" s="82" t="str">
        <f>HYPERLINK("https://pbs.twimg.com/profile_banners/38381272/1682471617")</f>
        <v>https://pbs.twimg.com/profile_banners/38381272/1682471617</v>
      </c>
      <c r="BI1192" s="76"/>
      <c r="BJ1192" s="76" t="s">
        <v>27595</v>
      </c>
      <c r="BK1192" s="76" t="b">
        <v>0</v>
      </c>
      <c r="BL1192" s="76"/>
      <c r="BM1192" s="76" t="s">
        <v>66</v>
      </c>
      <c r="BN1192" s="76" t="s">
        <v>27597</v>
      </c>
      <c r="BO1192" s="82" t="str">
        <f>HYPERLINK("https://twitter.com/nascimentoferre")</f>
        <v>https://twitter.com/nascimentoferre</v>
      </c>
      <c r="BP1192" s="2"/>
    </row>
    <row r="1193" spans="1:68" x14ac:dyDescent="0.25">
      <c r="A1193" s="62" t="s">
        <v>1089</v>
      </c>
      <c r="B1193" s="63"/>
      <c r="C1193" s="63"/>
      <c r="D1193" s="64"/>
      <c r="E1193" s="66"/>
      <c r="F1193" s="103" t="str">
        <f>HYPERLINK("https://pbs.twimg.com/profile_images/1385689981511999492/uANMjIRf_normal.jpg")</f>
        <v>https://pbs.twimg.com/profile_images/1385689981511999492/uANMjIRf_normal.jpg</v>
      </c>
      <c r="G1193" s="63"/>
      <c r="H1193" s="67"/>
      <c r="I1193" s="68"/>
      <c r="J1193" s="68"/>
      <c r="K1193" s="67" t="s">
        <v>28787</v>
      </c>
      <c r="L1193" s="71"/>
      <c r="M1193" s="72"/>
      <c r="N1193" s="72"/>
      <c r="O1193" s="73"/>
      <c r="P1193" s="74"/>
      <c r="Q1193" s="74"/>
      <c r="R1193" s="87"/>
      <c r="S1193" s="87"/>
      <c r="T1193" s="87"/>
      <c r="U1193" s="87"/>
      <c r="V1193" s="48"/>
      <c r="W1193" s="48"/>
      <c r="X1193" s="48"/>
      <c r="Y1193" s="48"/>
      <c r="Z1193" s="47"/>
      <c r="AA1193" s="69">
        <v>1193</v>
      </c>
      <c r="AB1193" s="69"/>
      <c r="AC1193" s="70"/>
      <c r="AD1193" s="76" t="s">
        <v>22413</v>
      </c>
      <c r="AE1193" s="81" t="s">
        <v>20921</v>
      </c>
      <c r="AF1193" s="76">
        <v>1574</v>
      </c>
      <c r="AG1193" s="76">
        <v>474</v>
      </c>
      <c r="AH1193" s="76">
        <v>21742</v>
      </c>
      <c r="AI1193" s="76">
        <v>17</v>
      </c>
      <c r="AJ1193" s="76">
        <v>1470</v>
      </c>
      <c r="AK1193" s="76">
        <v>2425</v>
      </c>
      <c r="AL1193" s="76" t="b">
        <v>0</v>
      </c>
      <c r="AM1193" s="78">
        <v>43910.629120370373</v>
      </c>
      <c r="AN1193" s="76" t="s">
        <v>24381</v>
      </c>
      <c r="AO1193" s="76" t="s">
        <v>25772</v>
      </c>
      <c r="AP1193" s="82" t="str">
        <f>HYPERLINK("https://t.co/ON3H5bt4Er")</f>
        <v>https://t.co/ON3H5bt4Er</v>
      </c>
      <c r="AQ1193" s="82" t="str">
        <f>HYPERLINK("http://portalopoder.com.br")</f>
        <v>http://portalopoder.com.br</v>
      </c>
      <c r="AR1193" s="76" t="s">
        <v>26999</v>
      </c>
      <c r="AS1193" s="76"/>
      <c r="AT1193" s="76"/>
      <c r="AU1193" s="76"/>
      <c r="AV1193" s="76"/>
      <c r="AW1193" s="82" t="str">
        <f>HYPERLINK("https://t.co/ON3H5bt4Er")</f>
        <v>https://t.co/ON3H5bt4Er</v>
      </c>
      <c r="AX1193" s="76" t="b">
        <v>0</v>
      </c>
      <c r="AY1193" s="76"/>
      <c r="AZ1193" s="76"/>
      <c r="BA1193" s="76" t="b">
        <v>0</v>
      </c>
      <c r="BB1193" s="76" t="b">
        <v>1</v>
      </c>
      <c r="BC1193" s="76" t="b">
        <v>1</v>
      </c>
      <c r="BD1193" s="76" t="b">
        <v>0</v>
      </c>
      <c r="BE1193" s="76" t="b">
        <v>1</v>
      </c>
      <c r="BF1193" s="76" t="b">
        <v>0</v>
      </c>
      <c r="BG1193" s="76" t="b">
        <v>0</v>
      </c>
      <c r="BH1193" s="82" t="str">
        <f>HYPERLINK("https://pbs.twimg.com/profile_banners/1241018077745221635/1628627165")</f>
        <v>https://pbs.twimg.com/profile_banners/1241018077745221635/1628627165</v>
      </c>
      <c r="BI1193" s="76"/>
      <c r="BJ1193" s="76" t="s">
        <v>27595</v>
      </c>
      <c r="BK1193" s="76" t="b">
        <v>0</v>
      </c>
      <c r="BL1193" s="76"/>
      <c r="BM1193" s="76" t="s">
        <v>66</v>
      </c>
      <c r="BN1193" s="76" t="s">
        <v>27597</v>
      </c>
      <c r="BO1193" s="82" t="str">
        <f>HYPERLINK("https://twitter.com/_portalopoder")</f>
        <v>https://twitter.com/_portalopoder</v>
      </c>
      <c r="BP1193" s="2"/>
    </row>
    <row r="1194" spans="1:68" x14ac:dyDescent="0.25">
      <c r="A1194" s="62" t="s">
        <v>1090</v>
      </c>
      <c r="B1194" s="63"/>
      <c r="C1194" s="63"/>
      <c r="D1194" s="64"/>
      <c r="E1194" s="66"/>
      <c r="F1194" s="103" t="str">
        <f>HYPERLINK("https://pbs.twimg.com/profile_images/1260956103711604744/WGzqVE3-_normal.jpg")</f>
        <v>https://pbs.twimg.com/profile_images/1260956103711604744/WGzqVE3-_normal.jpg</v>
      </c>
      <c r="G1194" s="63"/>
      <c r="H1194" s="67"/>
      <c r="I1194" s="68"/>
      <c r="J1194" s="68"/>
      <c r="K1194" s="67" t="s">
        <v>28788</v>
      </c>
      <c r="L1194" s="71"/>
      <c r="M1194" s="72"/>
      <c r="N1194" s="72"/>
      <c r="O1194" s="73"/>
      <c r="P1194" s="74"/>
      <c r="Q1194" s="74"/>
      <c r="R1194" s="87"/>
      <c r="S1194" s="87"/>
      <c r="T1194" s="87"/>
      <c r="U1194" s="87"/>
      <c r="V1194" s="48"/>
      <c r="W1194" s="48"/>
      <c r="X1194" s="48"/>
      <c r="Y1194" s="48"/>
      <c r="Z1194" s="47"/>
      <c r="AA1194" s="69">
        <v>1194</v>
      </c>
      <c r="AB1194" s="69"/>
      <c r="AC1194" s="70"/>
      <c r="AD1194" s="76" t="s">
        <v>22414</v>
      </c>
      <c r="AE1194" s="81" t="s">
        <v>23697</v>
      </c>
      <c r="AF1194" s="76">
        <v>302</v>
      </c>
      <c r="AG1194" s="76">
        <v>1388</v>
      </c>
      <c r="AH1194" s="76">
        <v>42412</v>
      </c>
      <c r="AI1194" s="76">
        <v>0</v>
      </c>
      <c r="AJ1194" s="76">
        <v>100056</v>
      </c>
      <c r="AK1194" s="76">
        <v>61</v>
      </c>
      <c r="AL1194" s="76" t="b">
        <v>0</v>
      </c>
      <c r="AM1194" s="78">
        <v>41732.095856481479</v>
      </c>
      <c r="AN1194" s="76" t="s">
        <v>24076</v>
      </c>
      <c r="AO1194" s="76" t="s">
        <v>25773</v>
      </c>
      <c r="AP1194" s="82" t="str">
        <f>HYPERLINK("https://t.co/EpZwKe4edC")</f>
        <v>https://t.co/EpZwKe4edC</v>
      </c>
      <c r="AQ1194" s="82" t="str">
        <f>HYPERLINK("http://www.puertasautomaticasdiez.com.mx")</f>
        <v>http://www.puertasautomaticasdiez.com.mx</v>
      </c>
      <c r="AR1194" s="76" t="s">
        <v>27000</v>
      </c>
      <c r="AS1194" s="76"/>
      <c r="AT1194" s="76"/>
      <c r="AU1194" s="76"/>
      <c r="AV1194" s="76"/>
      <c r="AW1194" s="82" t="str">
        <f>HYPERLINK("https://t.co/EpZwKe4edC")</f>
        <v>https://t.co/EpZwKe4edC</v>
      </c>
      <c r="AX1194" s="76" t="b">
        <v>0</v>
      </c>
      <c r="AY1194" s="76"/>
      <c r="AZ1194" s="76"/>
      <c r="BA1194" s="76" t="b">
        <v>0</v>
      </c>
      <c r="BB1194" s="76" t="b">
        <v>1</v>
      </c>
      <c r="BC1194" s="76" t="b">
        <v>1</v>
      </c>
      <c r="BD1194" s="76" t="b">
        <v>0</v>
      </c>
      <c r="BE1194" s="76" t="b">
        <v>1</v>
      </c>
      <c r="BF1194" s="76" t="b">
        <v>0</v>
      </c>
      <c r="BG1194" s="76" t="b">
        <v>0</v>
      </c>
      <c r="BH1194" s="82" t="str">
        <f>HYPERLINK("https://pbs.twimg.com/profile_banners/2456490592/1528769038")</f>
        <v>https://pbs.twimg.com/profile_banners/2456490592/1528769038</v>
      </c>
      <c r="BI1194" s="76"/>
      <c r="BJ1194" s="76" t="s">
        <v>27595</v>
      </c>
      <c r="BK1194" s="76" t="b">
        <v>0</v>
      </c>
      <c r="BL1194" s="76"/>
      <c r="BM1194" s="76" t="s">
        <v>66</v>
      </c>
      <c r="BN1194" s="76" t="s">
        <v>27597</v>
      </c>
      <c r="BO1194" s="82" t="str">
        <f>HYPERLINK("https://twitter.com/ing_diez")</f>
        <v>https://twitter.com/ing_diez</v>
      </c>
      <c r="BP1194" s="2"/>
    </row>
    <row r="1195" spans="1:68" x14ac:dyDescent="0.25">
      <c r="A1195" s="62" t="s">
        <v>1091</v>
      </c>
      <c r="B1195" s="63"/>
      <c r="C1195" s="63"/>
      <c r="D1195" s="64"/>
      <c r="E1195" s="66"/>
      <c r="F1195" s="103" t="str">
        <f>HYPERLINK("https://pbs.twimg.com/profile_images/1599797911415623682/LGLshcOx_normal.jpg")</f>
        <v>https://pbs.twimg.com/profile_images/1599797911415623682/LGLshcOx_normal.jpg</v>
      </c>
      <c r="G1195" s="63"/>
      <c r="H1195" s="67"/>
      <c r="I1195" s="68"/>
      <c r="J1195" s="68"/>
      <c r="K1195" s="67" t="s">
        <v>28789</v>
      </c>
      <c r="L1195" s="71"/>
      <c r="M1195" s="72"/>
      <c r="N1195" s="72"/>
      <c r="O1195" s="73"/>
      <c r="P1195" s="74"/>
      <c r="Q1195" s="74"/>
      <c r="R1195" s="87"/>
      <c r="S1195" s="87"/>
      <c r="T1195" s="87"/>
      <c r="U1195" s="87"/>
      <c r="V1195" s="48"/>
      <c r="W1195" s="48"/>
      <c r="X1195" s="48"/>
      <c r="Y1195" s="48"/>
      <c r="Z1195" s="47"/>
      <c r="AA1195" s="69">
        <v>1195</v>
      </c>
      <c r="AB1195" s="69"/>
      <c r="AC1195" s="70"/>
      <c r="AD1195" s="76" t="s">
        <v>22415</v>
      </c>
      <c r="AE1195" s="81" t="s">
        <v>20922</v>
      </c>
      <c r="AF1195" s="76">
        <v>239</v>
      </c>
      <c r="AG1195" s="76">
        <v>334</v>
      </c>
      <c r="AH1195" s="76">
        <v>428</v>
      </c>
      <c r="AI1195" s="76">
        <v>0</v>
      </c>
      <c r="AJ1195" s="76">
        <v>435</v>
      </c>
      <c r="AK1195" s="76">
        <v>230</v>
      </c>
      <c r="AL1195" s="76" t="b">
        <v>0</v>
      </c>
      <c r="AM1195" s="78">
        <v>44900.672291666669</v>
      </c>
      <c r="AN1195" s="76"/>
      <c r="AO1195" s="76" t="s">
        <v>25774</v>
      </c>
      <c r="AP1195" s="76"/>
      <c r="AQ1195" s="76"/>
      <c r="AR1195" s="76"/>
      <c r="AS1195" s="76"/>
      <c r="AT1195" s="76"/>
      <c r="AU1195" s="76"/>
      <c r="AV1195" s="76"/>
      <c r="AW1195" s="76"/>
      <c r="AX1195" s="76" t="b">
        <v>0</v>
      </c>
      <c r="AY1195" s="76"/>
      <c r="AZ1195" s="76"/>
      <c r="BA1195" s="76" t="b">
        <v>0</v>
      </c>
      <c r="BB1195" s="76" t="b">
        <v>1</v>
      </c>
      <c r="BC1195" s="76" t="b">
        <v>1</v>
      </c>
      <c r="BD1195" s="76" t="b">
        <v>0</v>
      </c>
      <c r="BE1195" s="76" t="b">
        <v>0</v>
      </c>
      <c r="BF1195" s="76" t="b">
        <v>0</v>
      </c>
      <c r="BG1195" s="76" t="b">
        <v>0</v>
      </c>
      <c r="BH1195" s="76"/>
      <c r="BI1195" s="76"/>
      <c r="BJ1195" s="76" t="s">
        <v>27595</v>
      </c>
      <c r="BK1195" s="76" t="b">
        <v>0</v>
      </c>
      <c r="BL1195" s="76"/>
      <c r="BM1195" s="76" t="s">
        <v>66</v>
      </c>
      <c r="BN1195" s="76" t="s">
        <v>27597</v>
      </c>
      <c r="BO1195" s="82" t="str">
        <f>HYPERLINK("https://twitter.com/endireitadora22")</f>
        <v>https://twitter.com/endireitadora22</v>
      </c>
      <c r="BP1195" s="2"/>
    </row>
    <row r="1196" spans="1:68" x14ac:dyDescent="0.25">
      <c r="A1196" s="62" t="s">
        <v>1092</v>
      </c>
      <c r="B1196" s="63"/>
      <c r="C1196" s="63"/>
      <c r="D1196" s="64"/>
      <c r="E1196" s="66"/>
      <c r="F1196" s="103" t="str">
        <f>HYPERLINK("https://pbs.twimg.com/profile_images/1403377479880937472/nt3CBsIa_normal.jpg")</f>
        <v>https://pbs.twimg.com/profile_images/1403377479880937472/nt3CBsIa_normal.jpg</v>
      </c>
      <c r="G1196" s="63"/>
      <c r="H1196" s="67"/>
      <c r="I1196" s="68"/>
      <c r="J1196" s="68"/>
      <c r="K1196" s="67" t="s">
        <v>28790</v>
      </c>
      <c r="L1196" s="71"/>
      <c r="M1196" s="72"/>
      <c r="N1196" s="72"/>
      <c r="O1196" s="73"/>
      <c r="P1196" s="74"/>
      <c r="Q1196" s="74"/>
      <c r="R1196" s="87"/>
      <c r="S1196" s="87"/>
      <c r="T1196" s="87"/>
      <c r="U1196" s="87"/>
      <c r="V1196" s="48"/>
      <c r="W1196" s="48"/>
      <c r="X1196" s="48"/>
      <c r="Y1196" s="48"/>
      <c r="Z1196" s="47"/>
      <c r="AA1196" s="69">
        <v>1196</v>
      </c>
      <c r="AB1196" s="69"/>
      <c r="AC1196" s="70"/>
      <c r="AD1196" s="76" t="s">
        <v>22416</v>
      </c>
      <c r="AE1196" s="81" t="s">
        <v>20923</v>
      </c>
      <c r="AF1196" s="76">
        <v>152</v>
      </c>
      <c r="AG1196" s="76">
        <v>253</v>
      </c>
      <c r="AH1196" s="76">
        <v>2130</v>
      </c>
      <c r="AI1196" s="76">
        <v>11</v>
      </c>
      <c r="AJ1196" s="76">
        <v>993</v>
      </c>
      <c r="AK1196" s="76">
        <v>2033</v>
      </c>
      <c r="AL1196" s="76" t="b">
        <v>0</v>
      </c>
      <c r="AM1196" s="78">
        <v>44344.737835648149</v>
      </c>
      <c r="AN1196" s="76"/>
      <c r="AO1196" s="76" t="s">
        <v>25775</v>
      </c>
      <c r="AP1196" s="82" t="str">
        <f>HYPERLINK("https://t.co/lRdGmjnjov")</f>
        <v>https://t.co/lRdGmjnjov</v>
      </c>
      <c r="AQ1196" s="82" t="str">
        <f>HYPERLINK("http://www.cryptofand.com")</f>
        <v>http://www.cryptofand.com</v>
      </c>
      <c r="AR1196" s="76" t="s">
        <v>27001</v>
      </c>
      <c r="AS1196" s="76"/>
      <c r="AT1196" s="76"/>
      <c r="AU1196" s="76"/>
      <c r="AV1196" s="76"/>
      <c r="AW1196" s="82" t="str">
        <f>HYPERLINK("https://t.co/lRdGmjnjov")</f>
        <v>https://t.co/lRdGmjnjov</v>
      </c>
      <c r="AX1196" s="76" t="b">
        <v>0</v>
      </c>
      <c r="AY1196" s="76"/>
      <c r="AZ1196" s="76"/>
      <c r="BA1196" s="76" t="b">
        <v>0</v>
      </c>
      <c r="BB1196" s="76" t="b">
        <v>1</v>
      </c>
      <c r="BC1196" s="76" t="b">
        <v>1</v>
      </c>
      <c r="BD1196" s="76" t="b">
        <v>0</v>
      </c>
      <c r="BE1196" s="76" t="b">
        <v>0</v>
      </c>
      <c r="BF1196" s="76" t="b">
        <v>0</v>
      </c>
      <c r="BG1196" s="76" t="b">
        <v>0</v>
      </c>
      <c r="BH1196" s="82" t="str">
        <f>HYPERLINK("https://pbs.twimg.com/profile_banners/1398333815521697792/1623426241")</f>
        <v>https://pbs.twimg.com/profile_banners/1398333815521697792/1623426241</v>
      </c>
      <c r="BI1196" s="76"/>
      <c r="BJ1196" s="76" t="s">
        <v>27595</v>
      </c>
      <c r="BK1196" s="76" t="b">
        <v>0</v>
      </c>
      <c r="BL1196" s="76"/>
      <c r="BM1196" s="76" t="s">
        <v>66</v>
      </c>
      <c r="BN1196" s="76" t="s">
        <v>27597</v>
      </c>
      <c r="BO1196" s="82" t="str">
        <f>HYPERLINK("https://twitter.com/cryptofand")</f>
        <v>https://twitter.com/cryptofand</v>
      </c>
      <c r="BP1196" s="2"/>
    </row>
    <row r="1197" spans="1:68" x14ac:dyDescent="0.25">
      <c r="A1197" s="62" t="s">
        <v>1093</v>
      </c>
      <c r="B1197" s="63"/>
      <c r="C1197" s="63"/>
      <c r="D1197" s="64"/>
      <c r="E1197" s="66"/>
      <c r="F1197" s="103" t="str">
        <f>HYPERLINK("https://pbs.twimg.com/profile_images/1692966875829792768/lVIZtz04_normal.jpg")</f>
        <v>https://pbs.twimg.com/profile_images/1692966875829792768/lVIZtz04_normal.jpg</v>
      </c>
      <c r="G1197" s="63"/>
      <c r="H1197" s="67"/>
      <c r="I1197" s="68"/>
      <c r="J1197" s="68"/>
      <c r="K1197" s="67" t="s">
        <v>28791</v>
      </c>
      <c r="L1197" s="71"/>
      <c r="M1197" s="72"/>
      <c r="N1197" s="72"/>
      <c r="O1197" s="73"/>
      <c r="P1197" s="74"/>
      <c r="Q1197" s="74"/>
      <c r="R1197" s="87"/>
      <c r="S1197" s="87"/>
      <c r="T1197" s="87"/>
      <c r="U1197" s="87"/>
      <c r="V1197" s="48"/>
      <c r="W1197" s="48"/>
      <c r="X1197" s="48"/>
      <c r="Y1197" s="48"/>
      <c r="Z1197" s="47"/>
      <c r="AA1197" s="69">
        <v>1197</v>
      </c>
      <c r="AB1197" s="69"/>
      <c r="AC1197" s="70"/>
      <c r="AD1197" s="76" t="s">
        <v>22417</v>
      </c>
      <c r="AE1197" s="81" t="s">
        <v>23698</v>
      </c>
      <c r="AF1197" s="76">
        <v>392</v>
      </c>
      <c r="AG1197" s="76">
        <v>540</v>
      </c>
      <c r="AH1197" s="76">
        <v>767</v>
      </c>
      <c r="AI1197" s="76">
        <v>0</v>
      </c>
      <c r="AJ1197" s="76">
        <v>1100</v>
      </c>
      <c r="AK1197" s="76">
        <v>206</v>
      </c>
      <c r="AL1197" s="76" t="b">
        <v>0</v>
      </c>
      <c r="AM1197" s="78">
        <v>39940.934050925927</v>
      </c>
      <c r="AN1197" s="76"/>
      <c r="AO1197" s="76" t="s">
        <v>25776</v>
      </c>
      <c r="AP1197" s="82" t="str">
        <f>HYPERLINK("https://t.co/GFN0owTPbR")</f>
        <v>https://t.co/GFN0owTPbR</v>
      </c>
      <c r="AQ1197" s="82" t="str">
        <f>HYPERLINK("http://amped.com.br")</f>
        <v>http://amped.com.br</v>
      </c>
      <c r="AR1197" s="76" t="s">
        <v>27002</v>
      </c>
      <c r="AS1197" s="76"/>
      <c r="AT1197" s="76"/>
      <c r="AU1197" s="76"/>
      <c r="AV1197" s="76"/>
      <c r="AW1197" s="82" t="str">
        <f>HYPERLINK("https://t.co/GFN0owTPbR")</f>
        <v>https://t.co/GFN0owTPbR</v>
      </c>
      <c r="AX1197" s="76" t="b">
        <v>0</v>
      </c>
      <c r="AY1197" s="76"/>
      <c r="AZ1197" s="76"/>
      <c r="BA1197" s="76" t="b">
        <v>1</v>
      </c>
      <c r="BB1197" s="76" t="b">
        <v>0</v>
      </c>
      <c r="BC1197" s="76" t="b">
        <v>0</v>
      </c>
      <c r="BD1197" s="76" t="b">
        <v>0</v>
      </c>
      <c r="BE1197" s="76" t="b">
        <v>1</v>
      </c>
      <c r="BF1197" s="76" t="b">
        <v>0</v>
      </c>
      <c r="BG1197" s="76" t="b">
        <v>0</v>
      </c>
      <c r="BH1197" s="76"/>
      <c r="BI1197" s="76"/>
      <c r="BJ1197" s="76" t="s">
        <v>27596</v>
      </c>
      <c r="BK1197" s="76" t="b">
        <v>0</v>
      </c>
      <c r="BL1197" s="76"/>
      <c r="BM1197" s="76" t="s">
        <v>66</v>
      </c>
      <c r="BN1197" s="76" t="s">
        <v>27597</v>
      </c>
      <c r="BO1197" s="82" t="str">
        <f>HYPERLINK("https://twitter.com/cthamasaki")</f>
        <v>https://twitter.com/cthamasaki</v>
      </c>
      <c r="BP1197" s="2"/>
    </row>
    <row r="1198" spans="1:68" x14ac:dyDescent="0.25">
      <c r="A1198" s="62" t="s">
        <v>1236</v>
      </c>
      <c r="B1198" s="63"/>
      <c r="C1198" s="63"/>
      <c r="D1198" s="64"/>
      <c r="E1198" s="66"/>
      <c r="F1198" s="103" t="str">
        <f>HYPERLINK("https://pbs.twimg.com/profile_images/1366132789742026753/TbgQRU-a_normal.jpg")</f>
        <v>https://pbs.twimg.com/profile_images/1366132789742026753/TbgQRU-a_normal.jpg</v>
      </c>
      <c r="G1198" s="63"/>
      <c r="H1198" s="67"/>
      <c r="I1198" s="68"/>
      <c r="J1198" s="68"/>
      <c r="K1198" s="67" t="s">
        <v>28792</v>
      </c>
      <c r="L1198" s="71"/>
      <c r="M1198" s="72"/>
      <c r="N1198" s="72"/>
      <c r="O1198" s="73"/>
      <c r="P1198" s="74"/>
      <c r="Q1198" s="74"/>
      <c r="R1198" s="87"/>
      <c r="S1198" s="87"/>
      <c r="T1198" s="87"/>
      <c r="U1198" s="87"/>
      <c r="V1198" s="48"/>
      <c r="W1198" s="48"/>
      <c r="X1198" s="48"/>
      <c r="Y1198" s="48"/>
      <c r="Z1198" s="47"/>
      <c r="AA1198" s="69">
        <v>1198</v>
      </c>
      <c r="AB1198" s="69"/>
      <c r="AC1198" s="70"/>
      <c r="AD1198" s="76" t="s">
        <v>22418</v>
      </c>
      <c r="AE1198" s="81" t="s">
        <v>20993</v>
      </c>
      <c r="AF1198" s="76">
        <v>106444</v>
      </c>
      <c r="AG1198" s="76">
        <v>1126</v>
      </c>
      <c r="AH1198" s="76">
        <v>167616</v>
      </c>
      <c r="AI1198" s="76">
        <v>1298</v>
      </c>
      <c r="AJ1198" s="76">
        <v>198875</v>
      </c>
      <c r="AK1198" s="76">
        <v>4800</v>
      </c>
      <c r="AL1198" s="76" t="b">
        <v>0</v>
      </c>
      <c r="AM1198" s="78">
        <v>42523.724479166667</v>
      </c>
      <c r="AN1198" s="76" t="s">
        <v>14400</v>
      </c>
      <c r="AO1198" s="76" t="s">
        <v>25777</v>
      </c>
      <c r="AP1198" s="76"/>
      <c r="AQ1198" s="76"/>
      <c r="AR1198" s="76"/>
      <c r="AS1198" s="76"/>
      <c r="AT1198" s="76"/>
      <c r="AU1198" s="76"/>
      <c r="AV1198" s="76">
        <v>1.69151663834701E+18</v>
      </c>
      <c r="AW1198" s="76"/>
      <c r="AX1198" s="76" t="b">
        <v>1</v>
      </c>
      <c r="AY1198" s="76"/>
      <c r="AZ1198" s="76"/>
      <c r="BA1198" s="76" t="b">
        <v>1</v>
      </c>
      <c r="BB1198" s="76" t="b">
        <v>1</v>
      </c>
      <c r="BC1198" s="76" t="b">
        <v>0</v>
      </c>
      <c r="BD1198" s="76" t="b">
        <v>0</v>
      </c>
      <c r="BE1198" s="76" t="b">
        <v>1</v>
      </c>
      <c r="BF1198" s="76" t="b">
        <v>0</v>
      </c>
      <c r="BG1198" s="76" t="b">
        <v>0</v>
      </c>
      <c r="BH1198" s="82" t="str">
        <f>HYPERLINK("https://pbs.twimg.com/profile_banners/738420725812465665/1614446294")</f>
        <v>https://pbs.twimg.com/profile_banners/738420725812465665/1614446294</v>
      </c>
      <c r="BI1198" s="76"/>
      <c r="BJ1198" s="76" t="s">
        <v>27595</v>
      </c>
      <c r="BK1198" s="76" t="b">
        <v>0</v>
      </c>
      <c r="BL1198" s="76"/>
      <c r="BM1198" s="76" t="s">
        <v>66</v>
      </c>
      <c r="BN1198" s="76" t="s">
        <v>27597</v>
      </c>
      <c r="BO1198" s="82" t="str">
        <f>HYPERLINK("https://twitter.com/sf2invest")</f>
        <v>https://twitter.com/sf2invest</v>
      </c>
      <c r="BP1198" s="2"/>
    </row>
    <row r="1199" spans="1:68" x14ac:dyDescent="0.25">
      <c r="A1199" s="62" t="s">
        <v>1094</v>
      </c>
      <c r="B1199" s="63"/>
      <c r="C1199" s="63"/>
      <c r="D1199" s="64"/>
      <c r="E1199" s="66"/>
      <c r="F1199" s="103" t="str">
        <f>HYPERLINK("https://pbs.twimg.com/profile_images/1577673371600437249/QUJQqFkS_normal.jpg")</f>
        <v>https://pbs.twimg.com/profile_images/1577673371600437249/QUJQqFkS_normal.jpg</v>
      </c>
      <c r="G1199" s="63"/>
      <c r="H1199" s="67"/>
      <c r="I1199" s="68"/>
      <c r="J1199" s="68"/>
      <c r="K1199" s="67" t="s">
        <v>28793</v>
      </c>
      <c r="L1199" s="71"/>
      <c r="M1199" s="72"/>
      <c r="N1199" s="72"/>
      <c r="O1199" s="73"/>
      <c r="P1199" s="74"/>
      <c r="Q1199" s="74"/>
      <c r="R1199" s="87"/>
      <c r="S1199" s="87"/>
      <c r="T1199" s="87"/>
      <c r="U1199" s="87"/>
      <c r="V1199" s="48"/>
      <c r="W1199" s="48"/>
      <c r="X1199" s="48"/>
      <c r="Y1199" s="48"/>
      <c r="Z1199" s="47"/>
      <c r="AA1199" s="69">
        <v>1199</v>
      </c>
      <c r="AB1199" s="69"/>
      <c r="AC1199" s="70"/>
      <c r="AD1199" s="76" t="s">
        <v>22419</v>
      </c>
      <c r="AE1199" s="81" t="s">
        <v>20924</v>
      </c>
      <c r="AF1199" s="76">
        <v>2</v>
      </c>
      <c r="AG1199" s="76">
        <v>9</v>
      </c>
      <c r="AH1199" s="76">
        <v>457</v>
      </c>
      <c r="AI1199" s="76">
        <v>0</v>
      </c>
      <c r="AJ1199" s="76">
        <v>595</v>
      </c>
      <c r="AK1199" s="76">
        <v>15</v>
      </c>
      <c r="AL1199" s="76" t="b">
        <v>0</v>
      </c>
      <c r="AM1199" s="78">
        <v>44839.620567129627</v>
      </c>
      <c r="AN1199" s="76"/>
      <c r="AO1199" s="76"/>
      <c r="AP1199" s="76"/>
      <c r="AQ1199" s="76"/>
      <c r="AR1199" s="76"/>
      <c r="AS1199" s="76"/>
      <c r="AT1199" s="76"/>
      <c r="AU1199" s="76"/>
      <c r="AV1199" s="76"/>
      <c r="AW1199" s="76"/>
      <c r="AX1199" s="76" t="b">
        <v>0</v>
      </c>
      <c r="AY1199" s="76"/>
      <c r="AZ1199" s="76"/>
      <c r="BA1199" s="76" t="b">
        <v>0</v>
      </c>
      <c r="BB1199" s="76" t="b">
        <v>1</v>
      </c>
      <c r="BC1199" s="76" t="b">
        <v>1</v>
      </c>
      <c r="BD1199" s="76" t="b">
        <v>0</v>
      </c>
      <c r="BE1199" s="76" t="b">
        <v>0</v>
      </c>
      <c r="BF1199" s="76" t="b">
        <v>0</v>
      </c>
      <c r="BG1199" s="76" t="b">
        <v>0</v>
      </c>
      <c r="BH1199" s="76"/>
      <c r="BI1199" s="76"/>
      <c r="BJ1199" s="76" t="s">
        <v>27595</v>
      </c>
      <c r="BK1199" s="76" t="b">
        <v>0</v>
      </c>
      <c r="BL1199" s="76"/>
      <c r="BM1199" s="76" t="s">
        <v>66</v>
      </c>
      <c r="BN1199" s="76" t="s">
        <v>27597</v>
      </c>
      <c r="BO1199" s="82" t="str">
        <f>HYPERLINK("https://twitter.com/fofao_marcelo")</f>
        <v>https://twitter.com/fofao_marcelo</v>
      </c>
      <c r="BP1199" s="2"/>
    </row>
    <row r="1200" spans="1:68" x14ac:dyDescent="0.25">
      <c r="A1200" s="62" t="s">
        <v>1095</v>
      </c>
      <c r="B1200" s="63"/>
      <c r="C1200" s="63"/>
      <c r="D1200" s="64"/>
      <c r="E1200" s="66"/>
      <c r="F1200" s="103" t="str">
        <f>HYPERLINK("https://pbs.twimg.com/profile_images/969267558623989761/yo4RaCa3_normal.jpg")</f>
        <v>https://pbs.twimg.com/profile_images/969267558623989761/yo4RaCa3_normal.jpg</v>
      </c>
      <c r="G1200" s="63"/>
      <c r="H1200" s="67"/>
      <c r="I1200" s="68"/>
      <c r="J1200" s="68"/>
      <c r="K1200" s="67" t="s">
        <v>28794</v>
      </c>
      <c r="L1200" s="71"/>
      <c r="M1200" s="72"/>
      <c r="N1200" s="72"/>
      <c r="O1200" s="73"/>
      <c r="P1200" s="74"/>
      <c r="Q1200" s="74"/>
      <c r="R1200" s="87"/>
      <c r="S1200" s="87"/>
      <c r="T1200" s="87"/>
      <c r="U1200" s="87"/>
      <c r="V1200" s="48"/>
      <c r="W1200" s="48"/>
      <c r="X1200" s="48"/>
      <c r="Y1200" s="48"/>
      <c r="Z1200" s="47"/>
      <c r="AA1200" s="69">
        <v>1200</v>
      </c>
      <c r="AB1200" s="69"/>
      <c r="AC1200" s="70"/>
      <c r="AD1200" s="76" t="s">
        <v>22420</v>
      </c>
      <c r="AE1200" s="81" t="s">
        <v>23699</v>
      </c>
      <c r="AF1200" s="76">
        <v>473</v>
      </c>
      <c r="AG1200" s="76">
        <v>410</v>
      </c>
      <c r="AH1200" s="76">
        <v>7517</v>
      </c>
      <c r="AI1200" s="76">
        <v>9</v>
      </c>
      <c r="AJ1200" s="76">
        <v>113</v>
      </c>
      <c r="AK1200" s="76">
        <v>4368</v>
      </c>
      <c r="AL1200" s="76" t="b">
        <v>0</v>
      </c>
      <c r="AM1200" s="78">
        <v>42117.726631944446</v>
      </c>
      <c r="AN1200" s="76" t="s">
        <v>24343</v>
      </c>
      <c r="AO1200" s="76" t="s">
        <v>25778</v>
      </c>
      <c r="AP1200" s="82" t="str">
        <f>HYPERLINK("http://t.co/gdxc6d4Uh3")</f>
        <v>http://t.co/gdxc6d4Uh3</v>
      </c>
      <c r="AQ1200" s="82" t="str">
        <f>HYPERLINK("http://www.periodicomensaje.com")</f>
        <v>http://www.periodicomensaje.com</v>
      </c>
      <c r="AR1200" s="76" t="s">
        <v>8798</v>
      </c>
      <c r="AS1200" s="76"/>
      <c r="AT1200" s="76"/>
      <c r="AU1200" s="76"/>
      <c r="AV1200" s="76"/>
      <c r="AW1200" s="82" t="str">
        <f>HYPERLINK("http://t.co/gdxc6d4Uh3")</f>
        <v>http://t.co/gdxc6d4Uh3</v>
      </c>
      <c r="AX1200" s="76" t="b">
        <v>0</v>
      </c>
      <c r="AY1200" s="76"/>
      <c r="AZ1200" s="76"/>
      <c r="BA1200" s="76" t="b">
        <v>0</v>
      </c>
      <c r="BB1200" s="76" t="b">
        <v>1</v>
      </c>
      <c r="BC1200" s="76" t="b">
        <v>1</v>
      </c>
      <c r="BD1200" s="76" t="b">
        <v>0</v>
      </c>
      <c r="BE1200" s="76" t="b">
        <v>0</v>
      </c>
      <c r="BF1200" s="76" t="b">
        <v>0</v>
      </c>
      <c r="BG1200" s="76" t="b">
        <v>0</v>
      </c>
      <c r="BH1200" s="82" t="str">
        <f>HYPERLINK("https://pbs.twimg.com/profile_banners/3168996618/1516027177")</f>
        <v>https://pbs.twimg.com/profile_banners/3168996618/1516027177</v>
      </c>
      <c r="BI1200" s="76"/>
      <c r="BJ1200" s="76" t="s">
        <v>27595</v>
      </c>
      <c r="BK1200" s="76" t="b">
        <v>0</v>
      </c>
      <c r="BL1200" s="76"/>
      <c r="BM1200" s="76" t="s">
        <v>66</v>
      </c>
      <c r="BN1200" s="76" t="s">
        <v>27597</v>
      </c>
      <c r="BO1200" s="82" t="str">
        <f>HYPERLINK("https://twitter.com/pmensaje")</f>
        <v>https://twitter.com/pmensaje</v>
      </c>
      <c r="BP1200" s="2"/>
    </row>
    <row r="1201" spans="1:68" x14ac:dyDescent="0.25">
      <c r="A1201" s="62" t="s">
        <v>1969</v>
      </c>
      <c r="B1201" s="63"/>
      <c r="C1201" s="63"/>
      <c r="D1201" s="64"/>
      <c r="E1201" s="66"/>
      <c r="F1201" s="103" t="str">
        <f>HYPERLINK("https://pbs.twimg.com/profile_images/1455200632512593923/a9KdIu3F_normal.jpg")</f>
        <v>https://pbs.twimg.com/profile_images/1455200632512593923/a9KdIu3F_normal.jpg</v>
      </c>
      <c r="G1201" s="63"/>
      <c r="H1201" s="67"/>
      <c r="I1201" s="68"/>
      <c r="J1201" s="68"/>
      <c r="K1201" s="67" t="s">
        <v>28795</v>
      </c>
      <c r="L1201" s="71"/>
      <c r="M1201" s="72"/>
      <c r="N1201" s="72"/>
      <c r="O1201" s="73"/>
      <c r="P1201" s="74"/>
      <c r="Q1201" s="74"/>
      <c r="R1201" s="87"/>
      <c r="S1201" s="87"/>
      <c r="T1201" s="87"/>
      <c r="U1201" s="87"/>
      <c r="V1201" s="48"/>
      <c r="W1201" s="48"/>
      <c r="X1201" s="48"/>
      <c r="Y1201" s="48"/>
      <c r="Z1201" s="47"/>
      <c r="AA1201" s="69">
        <v>1201</v>
      </c>
      <c r="AB1201" s="69"/>
      <c r="AC1201" s="70"/>
      <c r="AD1201" s="76" t="s">
        <v>22421</v>
      </c>
      <c r="AE1201" s="81" t="s">
        <v>23700</v>
      </c>
      <c r="AF1201" s="76">
        <v>21776</v>
      </c>
      <c r="AG1201" s="76">
        <v>8715</v>
      </c>
      <c r="AH1201" s="76">
        <v>37084</v>
      </c>
      <c r="AI1201" s="76">
        <v>39</v>
      </c>
      <c r="AJ1201" s="76">
        <v>14550</v>
      </c>
      <c r="AK1201" s="76">
        <v>14153</v>
      </c>
      <c r="AL1201" s="76" t="b">
        <v>0</v>
      </c>
      <c r="AM1201" s="78">
        <v>40826.642361111109</v>
      </c>
      <c r="AN1201" s="76" t="s">
        <v>24343</v>
      </c>
      <c r="AO1201" s="76" t="s">
        <v>25779</v>
      </c>
      <c r="AP1201" s="82" t="str">
        <f>HYPERLINK("https://t.co/UqVk4CReLG")</f>
        <v>https://t.co/UqVk4CReLG</v>
      </c>
      <c r="AQ1201" s="82" t="str">
        <f>HYPERLINK("http://www.bancopopular.fi.cr")</f>
        <v>http://www.bancopopular.fi.cr</v>
      </c>
      <c r="AR1201" s="76" t="s">
        <v>27003</v>
      </c>
      <c r="AS1201" s="76"/>
      <c r="AT1201" s="76"/>
      <c r="AU1201" s="76"/>
      <c r="AV1201" s="76"/>
      <c r="AW1201" s="82" t="str">
        <f>HYPERLINK("https://t.co/UqVk4CReLG")</f>
        <v>https://t.co/UqVk4CReLG</v>
      </c>
      <c r="AX1201" s="76" t="b">
        <v>0</v>
      </c>
      <c r="AY1201" s="76"/>
      <c r="AZ1201" s="76"/>
      <c r="BA1201" s="76" t="b">
        <v>1</v>
      </c>
      <c r="BB1201" s="76" t="b">
        <v>1</v>
      </c>
      <c r="BC1201" s="76" t="b">
        <v>0</v>
      </c>
      <c r="BD1201" s="76" t="b">
        <v>0</v>
      </c>
      <c r="BE1201" s="76" t="b">
        <v>1</v>
      </c>
      <c r="BF1201" s="76" t="b">
        <v>0</v>
      </c>
      <c r="BG1201" s="76" t="b">
        <v>0</v>
      </c>
      <c r="BH1201" s="82" t="str">
        <f>HYPERLINK("https://pbs.twimg.com/profile_banners/388326498/1693951554")</f>
        <v>https://pbs.twimg.com/profile_banners/388326498/1693951554</v>
      </c>
      <c r="BI1201" s="76"/>
      <c r="BJ1201" s="76" t="s">
        <v>27595</v>
      </c>
      <c r="BK1201" s="76" t="b">
        <v>0</v>
      </c>
      <c r="BL1201" s="76"/>
      <c r="BM1201" s="76" t="s">
        <v>65</v>
      </c>
      <c r="BN1201" s="76" t="s">
        <v>27597</v>
      </c>
      <c r="BO1201" s="82" t="str">
        <f>HYPERLINK("https://twitter.com/bancopopularcr")</f>
        <v>https://twitter.com/bancopopularcr</v>
      </c>
      <c r="BP1201" s="2"/>
    </row>
    <row r="1202" spans="1:68" x14ac:dyDescent="0.25">
      <c r="A1202" s="62" t="s">
        <v>1096</v>
      </c>
      <c r="B1202" s="63"/>
      <c r="C1202" s="63"/>
      <c r="D1202" s="64"/>
      <c r="E1202" s="66"/>
      <c r="F1202" s="103" t="str">
        <f>HYPERLINK("https://pbs.twimg.com/profile_images/1438138345335541764/rHtNF_5i_normal.jpg")</f>
        <v>https://pbs.twimg.com/profile_images/1438138345335541764/rHtNF_5i_normal.jpg</v>
      </c>
      <c r="G1202" s="63"/>
      <c r="H1202" s="67"/>
      <c r="I1202" s="68"/>
      <c r="J1202" s="68"/>
      <c r="K1202" s="67" t="s">
        <v>28796</v>
      </c>
      <c r="L1202" s="71"/>
      <c r="M1202" s="72"/>
      <c r="N1202" s="72"/>
      <c r="O1202" s="73"/>
      <c r="P1202" s="74"/>
      <c r="Q1202" s="74"/>
      <c r="R1202" s="87"/>
      <c r="S1202" s="87"/>
      <c r="T1202" s="87"/>
      <c r="U1202" s="87"/>
      <c r="V1202" s="48"/>
      <c r="W1202" s="48"/>
      <c r="X1202" s="48"/>
      <c r="Y1202" s="48"/>
      <c r="Z1202" s="47"/>
      <c r="AA1202" s="69">
        <v>1202</v>
      </c>
      <c r="AB1202" s="69"/>
      <c r="AC1202" s="70"/>
      <c r="AD1202" s="76" t="s">
        <v>22422</v>
      </c>
      <c r="AE1202" s="81" t="s">
        <v>20322</v>
      </c>
      <c r="AF1202" s="76">
        <v>619</v>
      </c>
      <c r="AG1202" s="76">
        <v>286</v>
      </c>
      <c r="AH1202" s="76">
        <v>985</v>
      </c>
      <c r="AI1202" s="76">
        <v>0</v>
      </c>
      <c r="AJ1202" s="76">
        <v>175</v>
      </c>
      <c r="AK1202" s="76">
        <v>264</v>
      </c>
      <c r="AL1202" s="76" t="b">
        <v>0</v>
      </c>
      <c r="AM1202" s="78">
        <v>44249.794803240744</v>
      </c>
      <c r="AN1202" s="76" t="s">
        <v>24138</v>
      </c>
      <c r="AO1202" s="76" t="s">
        <v>25780</v>
      </c>
      <c r="AP1202" s="76"/>
      <c r="AQ1202" s="76"/>
      <c r="AR1202" s="76"/>
      <c r="AS1202" s="76"/>
      <c r="AT1202" s="76"/>
      <c r="AU1202" s="76"/>
      <c r="AV1202" s="76"/>
      <c r="AW1202" s="76"/>
      <c r="AX1202" s="76" t="b">
        <v>0</v>
      </c>
      <c r="AY1202" s="76"/>
      <c r="AZ1202" s="76"/>
      <c r="BA1202" s="76" t="b">
        <v>0</v>
      </c>
      <c r="BB1202" s="76" t="b">
        <v>1</v>
      </c>
      <c r="BC1202" s="76" t="b">
        <v>1</v>
      </c>
      <c r="BD1202" s="76" t="b">
        <v>0</v>
      </c>
      <c r="BE1202" s="76" t="b">
        <v>0</v>
      </c>
      <c r="BF1202" s="76" t="b">
        <v>0</v>
      </c>
      <c r="BG1202" s="76" t="b">
        <v>0</v>
      </c>
      <c r="BH1202" s="82" t="str">
        <f>HYPERLINK("https://pbs.twimg.com/profile_banners/1363927579640627203/1614021770")</f>
        <v>https://pbs.twimg.com/profile_banners/1363927579640627203/1614021770</v>
      </c>
      <c r="BI1202" s="76"/>
      <c r="BJ1202" s="76" t="s">
        <v>27595</v>
      </c>
      <c r="BK1202" s="76" t="b">
        <v>0</v>
      </c>
      <c r="BL1202" s="76"/>
      <c r="BM1202" s="76" t="s">
        <v>66</v>
      </c>
      <c r="BN1202" s="76" t="s">
        <v>27597</v>
      </c>
      <c r="BO1202" s="82" t="str">
        <f>HYPERLINK("https://twitter.com/sandro_mabel_")</f>
        <v>https://twitter.com/sandro_mabel_</v>
      </c>
      <c r="BP1202" s="2"/>
    </row>
    <row r="1203" spans="1:68" x14ac:dyDescent="0.25">
      <c r="A1203" s="62" t="s">
        <v>1097</v>
      </c>
      <c r="B1203" s="63"/>
      <c r="C1203" s="63"/>
      <c r="D1203" s="64"/>
      <c r="E1203" s="66"/>
      <c r="F1203" s="103" t="str">
        <f>HYPERLINK("https://pbs.twimg.com/profile_images/1593558421361631235/RtZhCflq_normal.jpg")</f>
        <v>https://pbs.twimg.com/profile_images/1593558421361631235/RtZhCflq_normal.jpg</v>
      </c>
      <c r="G1203" s="63"/>
      <c r="H1203" s="67"/>
      <c r="I1203" s="68"/>
      <c r="J1203" s="68"/>
      <c r="K1203" s="67" t="s">
        <v>28797</v>
      </c>
      <c r="L1203" s="71"/>
      <c r="M1203" s="72"/>
      <c r="N1203" s="72"/>
      <c r="O1203" s="73"/>
      <c r="P1203" s="74"/>
      <c r="Q1203" s="74"/>
      <c r="R1203" s="87"/>
      <c r="S1203" s="87"/>
      <c r="T1203" s="87"/>
      <c r="U1203" s="87"/>
      <c r="V1203" s="48"/>
      <c r="W1203" s="48"/>
      <c r="X1203" s="48"/>
      <c r="Y1203" s="48"/>
      <c r="Z1203" s="47"/>
      <c r="AA1203" s="69">
        <v>1203</v>
      </c>
      <c r="AB1203" s="69"/>
      <c r="AC1203" s="70"/>
      <c r="AD1203" s="76" t="s">
        <v>22423</v>
      </c>
      <c r="AE1203" s="81" t="s">
        <v>20925</v>
      </c>
      <c r="AF1203" s="76">
        <v>148622</v>
      </c>
      <c r="AG1203" s="76">
        <v>1</v>
      </c>
      <c r="AH1203" s="76">
        <v>58658</v>
      </c>
      <c r="AI1203" s="76">
        <v>252</v>
      </c>
      <c r="AJ1203" s="76">
        <v>18</v>
      </c>
      <c r="AK1203" s="76">
        <v>7431</v>
      </c>
      <c r="AL1203" s="76" t="b">
        <v>0</v>
      </c>
      <c r="AM1203" s="78">
        <v>43950.545069444444</v>
      </c>
      <c r="AN1203" s="76"/>
      <c r="AO1203" s="76" t="s">
        <v>25781</v>
      </c>
      <c r="AP1203" s="82" t="str">
        <f>HYPERLINK("https://t.co/JTTW3bsx0U")</f>
        <v>https://t.co/JTTW3bsx0U</v>
      </c>
      <c r="AQ1203" s="82" t="str">
        <f>HYPERLINK("https://imminent.translated.com")</f>
        <v>https://imminent.translated.com</v>
      </c>
      <c r="AR1203" s="76" t="s">
        <v>27004</v>
      </c>
      <c r="AS1203" s="76"/>
      <c r="AT1203" s="76"/>
      <c r="AU1203" s="76"/>
      <c r="AV1203" s="76">
        <v>1.63276851013998E+18</v>
      </c>
      <c r="AW1203" s="82" t="str">
        <f>HYPERLINK("https://t.co/JTTW3bsx0U")</f>
        <v>https://t.co/JTTW3bsx0U</v>
      </c>
      <c r="AX1203" s="76" t="b">
        <v>1</v>
      </c>
      <c r="AY1203" s="76"/>
      <c r="AZ1203" s="76"/>
      <c r="BA1203" s="76" t="b">
        <v>0</v>
      </c>
      <c r="BB1203" s="76" t="b">
        <v>1</v>
      </c>
      <c r="BC1203" s="76" t="b">
        <v>1</v>
      </c>
      <c r="BD1203" s="76" t="b">
        <v>0</v>
      </c>
      <c r="BE1203" s="76" t="b">
        <v>0</v>
      </c>
      <c r="BF1203" s="76" t="b">
        <v>0</v>
      </c>
      <c r="BG1203" s="76" t="b">
        <v>0</v>
      </c>
      <c r="BH1203" s="82" t="str">
        <f>HYPERLINK("https://pbs.twimg.com/profile_banners/1255482927795834883/1685114856")</f>
        <v>https://pbs.twimg.com/profile_banners/1255482927795834883/1685114856</v>
      </c>
      <c r="BI1203" s="76"/>
      <c r="BJ1203" s="76" t="s">
        <v>27595</v>
      </c>
      <c r="BK1203" s="76" t="b">
        <v>0</v>
      </c>
      <c r="BL1203" s="76"/>
      <c r="BM1203" s="76" t="s">
        <v>66</v>
      </c>
      <c r="BN1203" s="76" t="s">
        <v>27597</v>
      </c>
      <c r="BO1203" s="82" t="str">
        <f>HYPERLINK("https://twitter.com/imminent_news")</f>
        <v>https://twitter.com/imminent_news</v>
      </c>
      <c r="BP1203" s="2"/>
    </row>
    <row r="1204" spans="1:68" x14ac:dyDescent="0.25">
      <c r="A1204" s="62" t="s">
        <v>1098</v>
      </c>
      <c r="B1204" s="63"/>
      <c r="C1204" s="63"/>
      <c r="D1204" s="64"/>
      <c r="E1204" s="66"/>
      <c r="F1204" s="103" t="str">
        <f>HYPERLINK("https://pbs.twimg.com/profile_images/1608865797509627906/NmQyzXGt_normal.jpg")</f>
        <v>https://pbs.twimg.com/profile_images/1608865797509627906/NmQyzXGt_normal.jpg</v>
      </c>
      <c r="G1204" s="63"/>
      <c r="H1204" s="67"/>
      <c r="I1204" s="68"/>
      <c r="J1204" s="68"/>
      <c r="K1204" s="67" t="s">
        <v>28798</v>
      </c>
      <c r="L1204" s="71"/>
      <c r="M1204" s="72"/>
      <c r="N1204" s="72"/>
      <c r="O1204" s="73"/>
      <c r="P1204" s="74"/>
      <c r="Q1204" s="74"/>
      <c r="R1204" s="87"/>
      <c r="S1204" s="87"/>
      <c r="T1204" s="87"/>
      <c r="U1204" s="87"/>
      <c r="V1204" s="48"/>
      <c r="W1204" s="48"/>
      <c r="X1204" s="48"/>
      <c r="Y1204" s="48"/>
      <c r="Z1204" s="47"/>
      <c r="AA1204" s="69">
        <v>1204</v>
      </c>
      <c r="AB1204" s="69"/>
      <c r="AC1204" s="70"/>
      <c r="AD1204" s="76" t="s">
        <v>22424</v>
      </c>
      <c r="AE1204" s="81" t="s">
        <v>20926</v>
      </c>
      <c r="AF1204" s="76">
        <v>131</v>
      </c>
      <c r="AG1204" s="76">
        <v>42</v>
      </c>
      <c r="AH1204" s="76">
        <v>156</v>
      </c>
      <c r="AI1204" s="76">
        <v>0</v>
      </c>
      <c r="AJ1204" s="76">
        <v>140</v>
      </c>
      <c r="AK1204" s="76">
        <v>24</v>
      </c>
      <c r="AL1204" s="76" t="b">
        <v>0</v>
      </c>
      <c r="AM1204" s="78">
        <v>44718.624780092592</v>
      </c>
      <c r="AN1204" s="76" t="s">
        <v>24493</v>
      </c>
      <c r="AO1204" s="76" t="s">
        <v>25782</v>
      </c>
      <c r="AP1204" s="82" t="str">
        <f>HYPERLINK("https://t.co/IYeA7tdICo")</f>
        <v>https://t.co/IYeA7tdICo</v>
      </c>
      <c r="AQ1204" s="82" t="str">
        <f>HYPERLINK("http://www.bpop.club")</f>
        <v>http://www.bpop.club</v>
      </c>
      <c r="AR1204" s="76" t="s">
        <v>27005</v>
      </c>
      <c r="AS1204" s="82" t="str">
        <f>HYPERLINK("https://t.co/yvXrvKUj7p")</f>
        <v>https://t.co/yvXrvKUj7p</v>
      </c>
      <c r="AT1204" s="82" t="str">
        <f>HYPERLINK("http://bpop.club")</f>
        <v>http://bpop.club</v>
      </c>
      <c r="AU1204" s="76" t="s">
        <v>27005</v>
      </c>
      <c r="AV1204" s="76"/>
      <c r="AW1204" s="82" t="str">
        <f>HYPERLINK("https://t.co/IYeA7tdICo")</f>
        <v>https://t.co/IYeA7tdICo</v>
      </c>
      <c r="AX1204" s="76" t="b">
        <v>0</v>
      </c>
      <c r="AY1204" s="76"/>
      <c r="AZ1204" s="76"/>
      <c r="BA1204" s="76" t="b">
        <v>0</v>
      </c>
      <c r="BB1204" s="76" t="b">
        <v>1</v>
      </c>
      <c r="BC1204" s="76" t="b">
        <v>1</v>
      </c>
      <c r="BD1204" s="76" t="b">
        <v>0</v>
      </c>
      <c r="BE1204" s="76" t="b">
        <v>1</v>
      </c>
      <c r="BF1204" s="76" t="b">
        <v>0</v>
      </c>
      <c r="BG1204" s="76" t="b">
        <v>0</v>
      </c>
      <c r="BH1204" s="82" t="str">
        <f>HYPERLINK("https://pbs.twimg.com/profile_banners/1533825810183897088/1685765528")</f>
        <v>https://pbs.twimg.com/profile_banners/1533825810183897088/1685765528</v>
      </c>
      <c r="BI1204" s="76"/>
      <c r="BJ1204" s="76" t="s">
        <v>27595</v>
      </c>
      <c r="BK1204" s="76" t="b">
        <v>0</v>
      </c>
      <c r="BL1204" s="76"/>
      <c r="BM1204" s="76" t="s">
        <v>66</v>
      </c>
      <c r="BN1204" s="76" t="s">
        <v>27597</v>
      </c>
      <c r="BO1204" s="82" t="str">
        <f>HYPERLINK("https://twitter.com/bpopeconomia")</f>
        <v>https://twitter.com/bpopeconomia</v>
      </c>
      <c r="BP1204" s="2"/>
    </row>
    <row r="1205" spans="1:68" x14ac:dyDescent="0.25">
      <c r="A1205" s="62" t="s">
        <v>1099</v>
      </c>
      <c r="B1205" s="63"/>
      <c r="C1205" s="63"/>
      <c r="D1205" s="64"/>
      <c r="E1205" s="66"/>
      <c r="F1205" s="103" t="str">
        <f>HYPERLINK("https://pbs.twimg.com/profile_images/1380256050327265281/XdZNWy6F_normal.jpg")</f>
        <v>https://pbs.twimg.com/profile_images/1380256050327265281/XdZNWy6F_normal.jpg</v>
      </c>
      <c r="G1205" s="63"/>
      <c r="H1205" s="67"/>
      <c r="I1205" s="68"/>
      <c r="J1205" s="68"/>
      <c r="K1205" s="67" t="s">
        <v>28799</v>
      </c>
      <c r="L1205" s="71"/>
      <c r="M1205" s="72"/>
      <c r="N1205" s="72"/>
      <c r="O1205" s="73"/>
      <c r="P1205" s="74"/>
      <c r="Q1205" s="74"/>
      <c r="R1205" s="87"/>
      <c r="S1205" s="87"/>
      <c r="T1205" s="87"/>
      <c r="U1205" s="87"/>
      <c r="V1205" s="48"/>
      <c r="W1205" s="48"/>
      <c r="X1205" s="48"/>
      <c r="Y1205" s="48"/>
      <c r="Z1205" s="47"/>
      <c r="AA1205" s="69">
        <v>1205</v>
      </c>
      <c r="AB1205" s="69"/>
      <c r="AC1205" s="70"/>
      <c r="AD1205" s="76" t="s">
        <v>22425</v>
      </c>
      <c r="AE1205" s="81" t="s">
        <v>20927</v>
      </c>
      <c r="AF1205" s="76">
        <v>938</v>
      </c>
      <c r="AG1205" s="76">
        <v>233</v>
      </c>
      <c r="AH1205" s="76">
        <v>11245</v>
      </c>
      <c r="AI1205" s="76">
        <v>4</v>
      </c>
      <c r="AJ1205" s="76">
        <v>70</v>
      </c>
      <c r="AK1205" s="76">
        <v>2569</v>
      </c>
      <c r="AL1205" s="76" t="b">
        <v>0</v>
      </c>
      <c r="AM1205" s="78">
        <v>44280.465856481482</v>
      </c>
      <c r="AN1205" s="76" t="s">
        <v>24494</v>
      </c>
      <c r="AO1205" s="76" t="s">
        <v>25783</v>
      </c>
      <c r="AP1205" s="82" t="str">
        <f>HYPERLINK("https://t.co/l9oTdcM8Pi")</f>
        <v>https://t.co/l9oTdcM8Pi</v>
      </c>
      <c r="AQ1205" s="82" t="str">
        <f>HYPERLINK("https://www.marcainformativacba.com/")</f>
        <v>https://www.marcainformativacba.com/</v>
      </c>
      <c r="AR1205" s="76" t="s">
        <v>8799</v>
      </c>
      <c r="AS1205" s="76"/>
      <c r="AT1205" s="76"/>
      <c r="AU1205" s="76"/>
      <c r="AV1205" s="76"/>
      <c r="AW1205" s="82" t="str">
        <f>HYPERLINK("https://t.co/l9oTdcM8Pi")</f>
        <v>https://t.co/l9oTdcM8Pi</v>
      </c>
      <c r="AX1205" s="76" t="b">
        <v>0</v>
      </c>
      <c r="AY1205" s="76"/>
      <c r="AZ1205" s="76"/>
      <c r="BA1205" s="76" t="b">
        <v>0</v>
      </c>
      <c r="BB1205" s="76" t="b">
        <v>1</v>
      </c>
      <c r="BC1205" s="76" t="b">
        <v>1</v>
      </c>
      <c r="BD1205" s="76" t="b">
        <v>0</v>
      </c>
      <c r="BE1205" s="76" t="b">
        <v>1</v>
      </c>
      <c r="BF1205" s="76" t="b">
        <v>0</v>
      </c>
      <c r="BG1205" s="76" t="b">
        <v>0</v>
      </c>
      <c r="BH1205" s="82" t="str">
        <f>HYPERLINK("https://pbs.twimg.com/profile_banners/1375042239479607296/1617913859")</f>
        <v>https://pbs.twimg.com/profile_banners/1375042239479607296/1617913859</v>
      </c>
      <c r="BI1205" s="76"/>
      <c r="BJ1205" s="76" t="s">
        <v>27595</v>
      </c>
      <c r="BK1205" s="76" t="b">
        <v>0</v>
      </c>
      <c r="BL1205" s="76"/>
      <c r="BM1205" s="76" t="s">
        <v>66</v>
      </c>
      <c r="BN1205" s="76" t="s">
        <v>27597</v>
      </c>
      <c r="BO1205" s="82" t="str">
        <f>HYPERLINK("https://twitter.com/cbamarca")</f>
        <v>https://twitter.com/cbamarca</v>
      </c>
      <c r="BP1205" s="2"/>
    </row>
    <row r="1206" spans="1:68" x14ac:dyDescent="0.25">
      <c r="A1206" s="62" t="s">
        <v>1100</v>
      </c>
      <c r="B1206" s="63"/>
      <c r="C1206" s="63"/>
      <c r="D1206" s="64"/>
      <c r="E1206" s="66"/>
      <c r="F1206" s="103" t="str">
        <f>HYPERLINK("https://pbs.twimg.com/profile_images/1597631941175648256/JWysuosN_normal.jpg")</f>
        <v>https://pbs.twimg.com/profile_images/1597631941175648256/JWysuosN_normal.jpg</v>
      </c>
      <c r="G1206" s="63"/>
      <c r="H1206" s="67"/>
      <c r="I1206" s="68"/>
      <c r="J1206" s="68"/>
      <c r="K1206" s="67" t="s">
        <v>28800</v>
      </c>
      <c r="L1206" s="71"/>
      <c r="M1206" s="72"/>
      <c r="N1206" s="72"/>
      <c r="O1206" s="73"/>
      <c r="P1206" s="74"/>
      <c r="Q1206" s="74"/>
      <c r="R1206" s="87"/>
      <c r="S1206" s="87"/>
      <c r="T1206" s="87"/>
      <c r="U1206" s="87"/>
      <c r="V1206" s="48"/>
      <c r="W1206" s="48"/>
      <c r="X1206" s="48"/>
      <c r="Y1206" s="48"/>
      <c r="Z1206" s="47"/>
      <c r="AA1206" s="69">
        <v>1206</v>
      </c>
      <c r="AB1206" s="69"/>
      <c r="AC1206" s="70"/>
      <c r="AD1206" s="76" t="s">
        <v>22426</v>
      </c>
      <c r="AE1206" s="81" t="s">
        <v>20928</v>
      </c>
      <c r="AF1206" s="76">
        <v>7</v>
      </c>
      <c r="AG1206" s="76">
        <v>54</v>
      </c>
      <c r="AH1206" s="76">
        <v>2</v>
      </c>
      <c r="AI1206" s="76">
        <v>0</v>
      </c>
      <c r="AJ1206" s="76">
        <v>12</v>
      </c>
      <c r="AK1206" s="76">
        <v>0</v>
      </c>
      <c r="AL1206" s="76" t="b">
        <v>0</v>
      </c>
      <c r="AM1206" s="78">
        <v>44894.695185185185</v>
      </c>
      <c r="AN1206" s="76"/>
      <c r="AO1206" s="76"/>
      <c r="AP1206" s="76"/>
      <c r="AQ1206" s="76"/>
      <c r="AR1206" s="76"/>
      <c r="AS1206" s="76"/>
      <c r="AT1206" s="76"/>
      <c r="AU1206" s="76"/>
      <c r="AV1206" s="76"/>
      <c r="AW1206" s="76"/>
      <c r="AX1206" s="76" t="b">
        <v>0</v>
      </c>
      <c r="AY1206" s="76"/>
      <c r="AZ1206" s="76"/>
      <c r="BA1206" s="76" t="b">
        <v>0</v>
      </c>
      <c r="BB1206" s="76" t="b">
        <v>0</v>
      </c>
      <c r="BC1206" s="76" t="b">
        <v>1</v>
      </c>
      <c r="BD1206" s="76" t="b">
        <v>0</v>
      </c>
      <c r="BE1206" s="76" t="b">
        <v>0</v>
      </c>
      <c r="BF1206" s="76" t="b">
        <v>0</v>
      </c>
      <c r="BG1206" s="76" t="b">
        <v>1</v>
      </c>
      <c r="BH1206" s="76"/>
      <c r="BI1206" s="76"/>
      <c r="BJ1206" s="76" t="s">
        <v>27595</v>
      </c>
      <c r="BK1206" s="76" t="b">
        <v>0</v>
      </c>
      <c r="BL1206" s="76"/>
      <c r="BM1206" s="76" t="s">
        <v>66</v>
      </c>
      <c r="BN1206" s="76" t="s">
        <v>27597</v>
      </c>
      <c r="BO1206" s="82" t="str">
        <f>HYPERLINK("https://twitter.com/komodojjoe")</f>
        <v>https://twitter.com/komodojjoe</v>
      </c>
      <c r="BP1206" s="2"/>
    </row>
    <row r="1207" spans="1:68" x14ac:dyDescent="0.25">
      <c r="A1207" s="62" t="s">
        <v>1101</v>
      </c>
      <c r="B1207" s="63"/>
      <c r="C1207" s="63"/>
      <c r="D1207" s="64"/>
      <c r="E1207" s="66"/>
      <c r="F1207" s="103" t="str">
        <f>HYPERLINK("https://pbs.twimg.com/profile_images/1585466170676842497/c9pGFLGY_normal.png")</f>
        <v>https://pbs.twimg.com/profile_images/1585466170676842497/c9pGFLGY_normal.png</v>
      </c>
      <c r="G1207" s="63"/>
      <c r="H1207" s="67"/>
      <c r="I1207" s="68"/>
      <c r="J1207" s="68"/>
      <c r="K1207" s="67" t="s">
        <v>28801</v>
      </c>
      <c r="L1207" s="71"/>
      <c r="M1207" s="72"/>
      <c r="N1207" s="72"/>
      <c r="O1207" s="73"/>
      <c r="P1207" s="74"/>
      <c r="Q1207" s="74"/>
      <c r="R1207" s="87"/>
      <c r="S1207" s="87"/>
      <c r="T1207" s="87"/>
      <c r="U1207" s="87"/>
      <c r="V1207" s="48"/>
      <c r="W1207" s="48"/>
      <c r="X1207" s="48"/>
      <c r="Y1207" s="48"/>
      <c r="Z1207" s="47"/>
      <c r="AA1207" s="69">
        <v>1207</v>
      </c>
      <c r="AB1207" s="69"/>
      <c r="AC1207" s="70"/>
      <c r="AD1207" s="76" t="s">
        <v>22427</v>
      </c>
      <c r="AE1207" s="81" t="s">
        <v>20929</v>
      </c>
      <c r="AF1207" s="76">
        <v>2</v>
      </c>
      <c r="AG1207" s="76">
        <v>22</v>
      </c>
      <c r="AH1207" s="76">
        <v>432</v>
      </c>
      <c r="AI1207" s="76">
        <v>0</v>
      </c>
      <c r="AJ1207" s="76">
        <v>342</v>
      </c>
      <c r="AK1207" s="76">
        <v>6</v>
      </c>
      <c r="AL1207" s="76" t="b">
        <v>0</v>
      </c>
      <c r="AM1207" s="78">
        <v>44861.124594907407</v>
      </c>
      <c r="AN1207" s="76"/>
      <c r="AO1207" s="76"/>
      <c r="AP1207" s="76"/>
      <c r="AQ1207" s="76"/>
      <c r="AR1207" s="76"/>
      <c r="AS1207" s="76"/>
      <c r="AT1207" s="76"/>
      <c r="AU1207" s="76"/>
      <c r="AV1207" s="76"/>
      <c r="AW1207" s="76"/>
      <c r="AX1207" s="76" t="b">
        <v>0</v>
      </c>
      <c r="AY1207" s="76"/>
      <c r="AZ1207" s="76"/>
      <c r="BA1207" s="76" t="b">
        <v>1</v>
      </c>
      <c r="BB1207" s="76" t="b">
        <v>1</v>
      </c>
      <c r="BC1207" s="76" t="b">
        <v>1</v>
      </c>
      <c r="BD1207" s="76" t="b">
        <v>0</v>
      </c>
      <c r="BE1207" s="76" t="b">
        <v>0</v>
      </c>
      <c r="BF1207" s="76" t="b">
        <v>0</v>
      </c>
      <c r="BG1207" s="76" t="b">
        <v>0</v>
      </c>
      <c r="BH1207" s="76"/>
      <c r="BI1207" s="76"/>
      <c r="BJ1207" s="76" t="s">
        <v>27595</v>
      </c>
      <c r="BK1207" s="76" t="b">
        <v>0</v>
      </c>
      <c r="BL1207" s="76"/>
      <c r="BM1207" s="76" t="s">
        <v>66</v>
      </c>
      <c r="BN1207" s="76" t="s">
        <v>27597</v>
      </c>
      <c r="BO1207" s="82" t="str">
        <f>HYPERLINK("https://twitter.com/israelwallysso1")</f>
        <v>https://twitter.com/israelwallysso1</v>
      </c>
      <c r="BP1207" s="2"/>
    </row>
    <row r="1208" spans="1:68" x14ac:dyDescent="0.25">
      <c r="A1208" s="62" t="s">
        <v>1102</v>
      </c>
      <c r="B1208" s="63"/>
      <c r="C1208" s="63"/>
      <c r="D1208" s="64"/>
      <c r="E1208" s="66"/>
      <c r="F1208" s="103" t="str">
        <f>HYPERLINK("https://pbs.twimg.com/profile_images/1655983323640889346/bgyRQY3R_normal.jpg")</f>
        <v>https://pbs.twimg.com/profile_images/1655983323640889346/bgyRQY3R_normal.jpg</v>
      </c>
      <c r="G1208" s="63"/>
      <c r="H1208" s="67"/>
      <c r="I1208" s="68"/>
      <c r="J1208" s="68"/>
      <c r="K1208" s="67" t="s">
        <v>28802</v>
      </c>
      <c r="L1208" s="71"/>
      <c r="M1208" s="72"/>
      <c r="N1208" s="72"/>
      <c r="O1208" s="73"/>
      <c r="P1208" s="74"/>
      <c r="Q1208" s="74"/>
      <c r="R1208" s="87"/>
      <c r="S1208" s="87"/>
      <c r="T1208" s="87"/>
      <c r="U1208" s="87"/>
      <c r="V1208" s="48"/>
      <c r="W1208" s="48"/>
      <c r="X1208" s="48"/>
      <c r="Y1208" s="48"/>
      <c r="Z1208" s="47"/>
      <c r="AA1208" s="69">
        <v>1208</v>
      </c>
      <c r="AB1208" s="69"/>
      <c r="AC1208" s="70"/>
      <c r="AD1208" s="76" t="s">
        <v>22428</v>
      </c>
      <c r="AE1208" s="81" t="s">
        <v>20930</v>
      </c>
      <c r="AF1208" s="76">
        <v>2346</v>
      </c>
      <c r="AG1208" s="76">
        <v>4996</v>
      </c>
      <c r="AH1208" s="76">
        <v>244744</v>
      </c>
      <c r="AI1208" s="76">
        <v>2</v>
      </c>
      <c r="AJ1208" s="76">
        <v>314825</v>
      </c>
      <c r="AK1208" s="76">
        <v>874</v>
      </c>
      <c r="AL1208" s="76" t="b">
        <v>0</v>
      </c>
      <c r="AM1208" s="78">
        <v>44362.504560185182</v>
      </c>
      <c r="AN1208" s="76" t="s">
        <v>14432</v>
      </c>
      <c r="AO1208" s="76" t="s">
        <v>25784</v>
      </c>
      <c r="AP1208" s="76"/>
      <c r="AQ1208" s="76"/>
      <c r="AR1208" s="76"/>
      <c r="AS1208" s="76"/>
      <c r="AT1208" s="76"/>
      <c r="AU1208" s="76"/>
      <c r="AV1208" s="76">
        <v>1.62983555296592E+18</v>
      </c>
      <c r="AW1208" s="76"/>
      <c r="AX1208" s="76" t="b">
        <v>0</v>
      </c>
      <c r="AY1208" s="76"/>
      <c r="AZ1208" s="76"/>
      <c r="BA1208" s="76" t="b">
        <v>0</v>
      </c>
      <c r="BB1208" s="76" t="b">
        <v>1</v>
      </c>
      <c r="BC1208" s="76" t="b">
        <v>1</v>
      </c>
      <c r="BD1208" s="76" t="b">
        <v>0</v>
      </c>
      <c r="BE1208" s="76" t="b">
        <v>1</v>
      </c>
      <c r="BF1208" s="76" t="b">
        <v>0</v>
      </c>
      <c r="BG1208" s="76" t="b">
        <v>0</v>
      </c>
      <c r="BH1208" s="82" t="str">
        <f>HYPERLINK("https://pbs.twimg.com/profile_banners/1404772239464144896/1667171106")</f>
        <v>https://pbs.twimg.com/profile_banners/1404772239464144896/1667171106</v>
      </c>
      <c r="BI1208" s="76"/>
      <c r="BJ1208" s="76" t="s">
        <v>27595</v>
      </c>
      <c r="BK1208" s="76" t="b">
        <v>0</v>
      </c>
      <c r="BL1208" s="76"/>
      <c r="BM1208" s="76" t="s">
        <v>66</v>
      </c>
      <c r="BN1208" s="76" t="s">
        <v>27597</v>
      </c>
      <c r="BO1208" s="82" t="str">
        <f>HYPERLINK("https://twitter.com/soares_edeson")</f>
        <v>https://twitter.com/soares_edeson</v>
      </c>
      <c r="BP1208" s="2"/>
    </row>
    <row r="1209" spans="1:68" x14ac:dyDescent="0.25">
      <c r="A1209" s="62" t="s">
        <v>1103</v>
      </c>
      <c r="B1209" s="63"/>
      <c r="C1209" s="63"/>
      <c r="D1209" s="64"/>
      <c r="E1209" s="66"/>
      <c r="F1209" s="103" t="str">
        <f>HYPERLINK("https://pbs.twimg.com/profile_images/1588374846802739203/ZviXW9yB_normal.jpg")</f>
        <v>https://pbs.twimg.com/profile_images/1588374846802739203/ZviXW9yB_normal.jpg</v>
      </c>
      <c r="G1209" s="63"/>
      <c r="H1209" s="67"/>
      <c r="I1209" s="68"/>
      <c r="J1209" s="68"/>
      <c r="K1209" s="67" t="s">
        <v>28803</v>
      </c>
      <c r="L1209" s="71"/>
      <c r="M1209" s="72"/>
      <c r="N1209" s="72"/>
      <c r="O1209" s="73"/>
      <c r="P1209" s="74"/>
      <c r="Q1209" s="74"/>
      <c r="R1209" s="87"/>
      <c r="S1209" s="87"/>
      <c r="T1209" s="87"/>
      <c r="U1209" s="87"/>
      <c r="V1209" s="48"/>
      <c r="W1209" s="48"/>
      <c r="X1209" s="48"/>
      <c r="Y1209" s="48"/>
      <c r="Z1209" s="47"/>
      <c r="AA1209" s="69">
        <v>1209</v>
      </c>
      <c r="AB1209" s="69"/>
      <c r="AC1209" s="70"/>
      <c r="AD1209" s="76" t="s">
        <v>22429</v>
      </c>
      <c r="AE1209" s="81" t="s">
        <v>23701</v>
      </c>
      <c r="AF1209" s="76">
        <v>39644</v>
      </c>
      <c r="AG1209" s="76">
        <v>6220</v>
      </c>
      <c r="AH1209" s="76">
        <v>24915</v>
      </c>
      <c r="AI1209" s="76">
        <v>243</v>
      </c>
      <c r="AJ1209" s="76">
        <v>10970</v>
      </c>
      <c r="AK1209" s="76">
        <v>9627</v>
      </c>
      <c r="AL1209" s="76" t="b">
        <v>0</v>
      </c>
      <c r="AM1209" s="78">
        <v>40070.822685185187</v>
      </c>
      <c r="AN1209" s="76" t="s">
        <v>24495</v>
      </c>
      <c r="AO1209" s="76" t="s">
        <v>25785</v>
      </c>
      <c r="AP1209" s="82" t="str">
        <f>HYPERLINK("https://t.co/NLZfnK2dWT")</f>
        <v>https://t.co/NLZfnK2dWT</v>
      </c>
      <c r="AQ1209" s="82" t="str">
        <f>HYPERLINK("https://linktr.ee/alencarsantana13")</f>
        <v>https://linktr.ee/alencarsantana13</v>
      </c>
      <c r="AR1209" s="76" t="s">
        <v>27006</v>
      </c>
      <c r="AS1209" s="76"/>
      <c r="AT1209" s="76"/>
      <c r="AU1209" s="76"/>
      <c r="AV1209" s="76">
        <v>1.6150890583295301E+18</v>
      </c>
      <c r="AW1209" s="82" t="str">
        <f>HYPERLINK("https://t.co/NLZfnK2dWT")</f>
        <v>https://t.co/NLZfnK2dWT</v>
      </c>
      <c r="AX1209" s="76" t="b">
        <v>0</v>
      </c>
      <c r="AY1209" s="76"/>
      <c r="AZ1209" s="76"/>
      <c r="BA1209" s="76" t="b">
        <v>0</v>
      </c>
      <c r="BB1209" s="76" t="b">
        <v>1</v>
      </c>
      <c r="BC1209" s="76" t="b">
        <v>0</v>
      </c>
      <c r="BD1209" s="76" t="b">
        <v>0</v>
      </c>
      <c r="BE1209" s="76" t="b">
        <v>1</v>
      </c>
      <c r="BF1209" s="76" t="b">
        <v>0</v>
      </c>
      <c r="BG1209" s="76" t="b">
        <v>0</v>
      </c>
      <c r="BH1209" s="82" t="str">
        <f>HYPERLINK("https://pbs.twimg.com/profile_banners/74243131/1667533072")</f>
        <v>https://pbs.twimg.com/profile_banners/74243131/1667533072</v>
      </c>
      <c r="BI1209" s="76"/>
      <c r="BJ1209" s="76" t="s">
        <v>27595</v>
      </c>
      <c r="BK1209" s="76" t="b">
        <v>0</v>
      </c>
      <c r="BL1209" s="76"/>
      <c r="BM1209" s="76" t="s">
        <v>66</v>
      </c>
      <c r="BN1209" s="76" t="s">
        <v>27597</v>
      </c>
      <c r="BO1209" s="82" t="str">
        <f>HYPERLINK("https://twitter.com/alencarbraga13")</f>
        <v>https://twitter.com/alencarbraga13</v>
      </c>
      <c r="BP1209" s="2"/>
    </row>
    <row r="1210" spans="1:68" x14ac:dyDescent="0.25">
      <c r="A1210" s="62" t="s">
        <v>1104</v>
      </c>
      <c r="B1210" s="63"/>
      <c r="C1210" s="63"/>
      <c r="D1210" s="64"/>
      <c r="E1210" s="66"/>
      <c r="F1210" s="103" t="str">
        <f>HYPERLINK("https://pbs.twimg.com/profile_images/1627465139908669440/h0N8QuJV_normal.jpg")</f>
        <v>https://pbs.twimg.com/profile_images/1627465139908669440/h0N8QuJV_normal.jpg</v>
      </c>
      <c r="G1210" s="63"/>
      <c r="H1210" s="67"/>
      <c r="I1210" s="68"/>
      <c r="J1210" s="68"/>
      <c r="K1210" s="67" t="s">
        <v>28804</v>
      </c>
      <c r="L1210" s="71"/>
      <c r="M1210" s="72"/>
      <c r="N1210" s="72"/>
      <c r="O1210" s="73"/>
      <c r="P1210" s="74"/>
      <c r="Q1210" s="74"/>
      <c r="R1210" s="87"/>
      <c r="S1210" s="87"/>
      <c r="T1210" s="87"/>
      <c r="U1210" s="87"/>
      <c r="V1210" s="48"/>
      <c r="W1210" s="48"/>
      <c r="X1210" s="48"/>
      <c r="Y1210" s="48"/>
      <c r="Z1210" s="47"/>
      <c r="AA1210" s="69">
        <v>1210</v>
      </c>
      <c r="AB1210" s="69"/>
      <c r="AC1210" s="70"/>
      <c r="AD1210" s="76" t="s">
        <v>22430</v>
      </c>
      <c r="AE1210" s="81" t="s">
        <v>23702</v>
      </c>
      <c r="AF1210" s="76">
        <v>3274</v>
      </c>
      <c r="AG1210" s="76">
        <v>572</v>
      </c>
      <c r="AH1210" s="76">
        <v>24886</v>
      </c>
      <c r="AI1210" s="76">
        <v>15</v>
      </c>
      <c r="AJ1210" s="76">
        <v>4206</v>
      </c>
      <c r="AK1210" s="76">
        <v>5054</v>
      </c>
      <c r="AL1210" s="76" t="b">
        <v>0</v>
      </c>
      <c r="AM1210" s="78">
        <v>41505.656423611108</v>
      </c>
      <c r="AN1210" s="76" t="s">
        <v>24399</v>
      </c>
      <c r="AO1210" s="76" t="s">
        <v>25786</v>
      </c>
      <c r="AP1210" s="82" t="str">
        <f>HYPERLINK("https://t.co/AqKH7EU67Y")</f>
        <v>https://t.co/AqKH7EU67Y</v>
      </c>
      <c r="AQ1210" s="82" t="str">
        <f>HYPERLINK("http://cartacampinas.com.br/")</f>
        <v>http://cartacampinas.com.br/</v>
      </c>
      <c r="AR1210" s="76" t="s">
        <v>27007</v>
      </c>
      <c r="AS1210" s="76"/>
      <c r="AT1210" s="76"/>
      <c r="AU1210" s="76"/>
      <c r="AV1210" s="76"/>
      <c r="AW1210" s="82" t="str">
        <f>HYPERLINK("https://t.co/AqKH7EU67Y")</f>
        <v>https://t.co/AqKH7EU67Y</v>
      </c>
      <c r="AX1210" s="76" t="b">
        <v>0</v>
      </c>
      <c r="AY1210" s="76"/>
      <c r="AZ1210" s="76"/>
      <c r="BA1210" s="76" t="b">
        <v>0</v>
      </c>
      <c r="BB1210" s="76" t="b">
        <v>1</v>
      </c>
      <c r="BC1210" s="76" t="b">
        <v>0</v>
      </c>
      <c r="BD1210" s="76" t="b">
        <v>0</v>
      </c>
      <c r="BE1210" s="76" t="b">
        <v>0</v>
      </c>
      <c r="BF1210" s="76" t="b">
        <v>0</v>
      </c>
      <c r="BG1210" s="76" t="b">
        <v>0</v>
      </c>
      <c r="BH1210" s="82" t="str">
        <f>HYPERLINK("https://pbs.twimg.com/profile_banners/1683571658/1678647141")</f>
        <v>https://pbs.twimg.com/profile_banners/1683571658/1678647141</v>
      </c>
      <c r="BI1210" s="76"/>
      <c r="BJ1210" s="76" t="s">
        <v>27595</v>
      </c>
      <c r="BK1210" s="76" t="b">
        <v>0</v>
      </c>
      <c r="BL1210" s="76"/>
      <c r="BM1210" s="76" t="s">
        <v>66</v>
      </c>
      <c r="BN1210" s="76" t="s">
        <v>27597</v>
      </c>
      <c r="BO1210" s="82" t="str">
        <f>HYPERLINK("https://twitter.com/cartacampinas")</f>
        <v>https://twitter.com/cartacampinas</v>
      </c>
      <c r="BP1210" s="2"/>
    </row>
    <row r="1211" spans="1:68" x14ac:dyDescent="0.25">
      <c r="A1211" s="62" t="s">
        <v>1105</v>
      </c>
      <c r="B1211" s="63"/>
      <c r="C1211" s="63"/>
      <c r="D1211" s="64"/>
      <c r="E1211" s="66"/>
      <c r="F1211" s="103" t="str">
        <f>HYPERLINK("https://pbs.twimg.com/profile_images/864835083584372736/-omDhuRk_normal.jpg")</f>
        <v>https://pbs.twimg.com/profile_images/864835083584372736/-omDhuRk_normal.jpg</v>
      </c>
      <c r="G1211" s="63"/>
      <c r="H1211" s="67"/>
      <c r="I1211" s="68"/>
      <c r="J1211" s="68"/>
      <c r="K1211" s="67" t="s">
        <v>28805</v>
      </c>
      <c r="L1211" s="71"/>
      <c r="M1211" s="72"/>
      <c r="N1211" s="72"/>
      <c r="O1211" s="73"/>
      <c r="P1211" s="74"/>
      <c r="Q1211" s="74"/>
      <c r="R1211" s="87"/>
      <c r="S1211" s="87"/>
      <c r="T1211" s="87"/>
      <c r="U1211" s="87"/>
      <c r="V1211" s="48"/>
      <c r="W1211" s="48"/>
      <c r="X1211" s="48"/>
      <c r="Y1211" s="48"/>
      <c r="Z1211" s="47"/>
      <c r="AA1211" s="69">
        <v>1211</v>
      </c>
      <c r="AB1211" s="69"/>
      <c r="AC1211" s="70"/>
      <c r="AD1211" s="76" t="s">
        <v>22431</v>
      </c>
      <c r="AE1211" s="81" t="s">
        <v>20931</v>
      </c>
      <c r="AF1211" s="76">
        <v>2233</v>
      </c>
      <c r="AG1211" s="76">
        <v>188</v>
      </c>
      <c r="AH1211" s="76">
        <v>38002</v>
      </c>
      <c r="AI1211" s="76">
        <v>16</v>
      </c>
      <c r="AJ1211" s="76">
        <v>171</v>
      </c>
      <c r="AK1211" s="76">
        <v>36638</v>
      </c>
      <c r="AL1211" s="76" t="b">
        <v>0</v>
      </c>
      <c r="AM1211" s="78">
        <v>42591.623020833336</v>
      </c>
      <c r="AN1211" s="76" t="s">
        <v>24063</v>
      </c>
      <c r="AO1211" s="76" t="s">
        <v>25787</v>
      </c>
      <c r="AP1211" s="82" t="str">
        <f>HYPERLINK("https://t.co/QsQIVS7RdL")</f>
        <v>https://t.co/QsQIVS7RdL</v>
      </c>
      <c r="AQ1211" s="82" t="str">
        <f>HYPERLINK("https://noticentro.com.do/")</f>
        <v>https://noticentro.com.do/</v>
      </c>
      <c r="AR1211" s="76" t="s">
        <v>27008</v>
      </c>
      <c r="AS1211" s="76"/>
      <c r="AT1211" s="76"/>
      <c r="AU1211" s="76"/>
      <c r="AV1211" s="76"/>
      <c r="AW1211" s="82" t="str">
        <f>HYPERLINK("https://t.co/QsQIVS7RdL")</f>
        <v>https://t.co/QsQIVS7RdL</v>
      </c>
      <c r="AX1211" s="76" t="b">
        <v>0</v>
      </c>
      <c r="AY1211" s="76"/>
      <c r="AZ1211" s="76"/>
      <c r="BA1211" s="76" t="b">
        <v>0</v>
      </c>
      <c r="BB1211" s="76" t="b">
        <v>1</v>
      </c>
      <c r="BC1211" s="76" t="b">
        <v>0</v>
      </c>
      <c r="BD1211" s="76" t="b">
        <v>0</v>
      </c>
      <c r="BE1211" s="76" t="b">
        <v>1</v>
      </c>
      <c r="BF1211" s="76" t="b">
        <v>0</v>
      </c>
      <c r="BG1211" s="76" t="b">
        <v>1</v>
      </c>
      <c r="BH1211" s="82" t="str">
        <f>HYPERLINK("https://pbs.twimg.com/profile_banners/763026335438692352/1676557095")</f>
        <v>https://pbs.twimg.com/profile_banners/763026335438692352/1676557095</v>
      </c>
      <c r="BI1211" s="76"/>
      <c r="BJ1211" s="76" t="s">
        <v>27595</v>
      </c>
      <c r="BK1211" s="76" t="b">
        <v>0</v>
      </c>
      <c r="BL1211" s="76"/>
      <c r="BM1211" s="76" t="s">
        <v>66</v>
      </c>
      <c r="BN1211" s="76" t="s">
        <v>27597</v>
      </c>
      <c r="BO1211" s="82" t="str">
        <f>HYPERLINK("https://twitter.com/noticentro13rd")</f>
        <v>https://twitter.com/noticentro13rd</v>
      </c>
      <c r="BP1211" s="2"/>
    </row>
    <row r="1212" spans="1:68" x14ac:dyDescent="0.25">
      <c r="A1212" s="62" t="s">
        <v>1106</v>
      </c>
      <c r="B1212" s="63"/>
      <c r="C1212" s="63"/>
      <c r="D1212" s="64"/>
      <c r="E1212" s="66"/>
      <c r="F1212" s="103" t="str">
        <f>HYPERLINK("https://pbs.twimg.com/profile_images/1194424144382889986/BJCKBh9m_normal.jpg")</f>
        <v>https://pbs.twimg.com/profile_images/1194424144382889986/BJCKBh9m_normal.jpg</v>
      </c>
      <c r="G1212" s="63"/>
      <c r="H1212" s="67"/>
      <c r="I1212" s="68"/>
      <c r="J1212" s="68"/>
      <c r="K1212" s="67" t="s">
        <v>28806</v>
      </c>
      <c r="L1212" s="71"/>
      <c r="M1212" s="72"/>
      <c r="N1212" s="72"/>
      <c r="O1212" s="73"/>
      <c r="P1212" s="74"/>
      <c r="Q1212" s="74"/>
      <c r="R1212" s="87"/>
      <c r="S1212" s="87"/>
      <c r="T1212" s="87"/>
      <c r="U1212" s="87"/>
      <c r="V1212" s="48"/>
      <c r="W1212" s="48"/>
      <c r="X1212" s="48"/>
      <c r="Y1212" s="48"/>
      <c r="Z1212" s="47"/>
      <c r="AA1212" s="69">
        <v>1212</v>
      </c>
      <c r="AB1212" s="69"/>
      <c r="AC1212" s="70"/>
      <c r="AD1212" s="76" t="s">
        <v>22432</v>
      </c>
      <c r="AE1212" s="81" t="s">
        <v>23703</v>
      </c>
      <c r="AF1212" s="76">
        <v>10750</v>
      </c>
      <c r="AG1212" s="76">
        <v>10666</v>
      </c>
      <c r="AH1212" s="76">
        <v>151740</v>
      </c>
      <c r="AI1212" s="76">
        <v>44</v>
      </c>
      <c r="AJ1212" s="76">
        <v>274446</v>
      </c>
      <c r="AK1212" s="76">
        <v>42667</v>
      </c>
      <c r="AL1212" s="76" t="b">
        <v>0</v>
      </c>
      <c r="AM1212" s="78">
        <v>39988.988900462966</v>
      </c>
      <c r="AN1212" s="76" t="s">
        <v>24496</v>
      </c>
      <c r="AO1212" s="76" t="s">
        <v>25788</v>
      </c>
      <c r="AP1212" s="82" t="str">
        <f>HYPERLINK("https://t.co/MSOL6XslEW")</f>
        <v>https://t.co/MSOL6XslEW</v>
      </c>
      <c r="AQ1212" s="82" t="str">
        <f>HYPERLINK("https://portalesdoceu.blogspot.com/")</f>
        <v>https://portalesdoceu.blogspot.com/</v>
      </c>
      <c r="AR1212" s="76" t="s">
        <v>27009</v>
      </c>
      <c r="AS1212" s="82" t="str">
        <f>HYPERLINK("https://t.co/tRTieJkpno")</f>
        <v>https://t.co/tRTieJkpno</v>
      </c>
      <c r="AT1212" s="82" t="str">
        <f>HYPERLINK("http://youtube.com/channel/UCuVcJ")</f>
        <v>http://youtube.com/channel/UCuVcJ</v>
      </c>
      <c r="AU1212" s="76" t="s">
        <v>27530</v>
      </c>
      <c r="AV1212" s="76">
        <v>1.2367078212087099E+18</v>
      </c>
      <c r="AW1212" s="82" t="str">
        <f>HYPERLINK("https://t.co/MSOL6XslEW")</f>
        <v>https://t.co/MSOL6XslEW</v>
      </c>
      <c r="AX1212" s="76" t="b">
        <v>0</v>
      </c>
      <c r="AY1212" s="76"/>
      <c r="AZ1212" s="76"/>
      <c r="BA1212" s="76" t="b">
        <v>0</v>
      </c>
      <c r="BB1212" s="76" t="b">
        <v>0</v>
      </c>
      <c r="BC1212" s="76" t="b">
        <v>0</v>
      </c>
      <c r="BD1212" s="76" t="b">
        <v>0</v>
      </c>
      <c r="BE1212" s="76" t="b">
        <v>0</v>
      </c>
      <c r="BF1212" s="76" t="b">
        <v>0</v>
      </c>
      <c r="BG1212" s="76" t="b">
        <v>0</v>
      </c>
      <c r="BH1212" s="82" t="str">
        <f>HYPERLINK("https://pbs.twimg.com/profile_banners/50483335/1575726634")</f>
        <v>https://pbs.twimg.com/profile_banners/50483335/1575726634</v>
      </c>
      <c r="BI1212" s="76"/>
      <c r="BJ1212" s="76" t="s">
        <v>27595</v>
      </c>
      <c r="BK1212" s="76" t="b">
        <v>0</v>
      </c>
      <c r="BL1212" s="76"/>
      <c r="BM1212" s="76" t="s">
        <v>66</v>
      </c>
      <c r="BN1212" s="76" t="s">
        <v>27597</v>
      </c>
      <c r="BO1212" s="82" t="str">
        <f>HYPERLINK("https://twitter.com/climazen_astro")</f>
        <v>https://twitter.com/climazen_astro</v>
      </c>
      <c r="BP1212" s="2"/>
    </row>
    <row r="1213" spans="1:68" x14ac:dyDescent="0.25">
      <c r="A1213" s="62" t="s">
        <v>1107</v>
      </c>
      <c r="B1213" s="63"/>
      <c r="C1213" s="63"/>
      <c r="D1213" s="64"/>
      <c r="E1213" s="66"/>
      <c r="F1213" s="103" t="str">
        <f>HYPERLINK("https://pbs.twimg.com/profile_images/1318544628904300544/zBOOLYq9_normal.jpg")</f>
        <v>https://pbs.twimg.com/profile_images/1318544628904300544/zBOOLYq9_normal.jpg</v>
      </c>
      <c r="G1213" s="63"/>
      <c r="H1213" s="67"/>
      <c r="I1213" s="68"/>
      <c r="J1213" s="68"/>
      <c r="K1213" s="67" t="s">
        <v>28807</v>
      </c>
      <c r="L1213" s="71"/>
      <c r="M1213" s="72"/>
      <c r="N1213" s="72"/>
      <c r="O1213" s="73"/>
      <c r="P1213" s="74"/>
      <c r="Q1213" s="74"/>
      <c r="R1213" s="87"/>
      <c r="S1213" s="87"/>
      <c r="T1213" s="87"/>
      <c r="U1213" s="87"/>
      <c r="V1213" s="48"/>
      <c r="W1213" s="48"/>
      <c r="X1213" s="48"/>
      <c r="Y1213" s="48"/>
      <c r="Z1213" s="47"/>
      <c r="AA1213" s="69">
        <v>1213</v>
      </c>
      <c r="AB1213" s="69"/>
      <c r="AC1213" s="70"/>
      <c r="AD1213" s="76" t="s">
        <v>22433</v>
      </c>
      <c r="AE1213" s="81" t="s">
        <v>20932</v>
      </c>
      <c r="AF1213" s="76">
        <v>1780</v>
      </c>
      <c r="AG1213" s="76">
        <v>0</v>
      </c>
      <c r="AH1213" s="76">
        <v>15665</v>
      </c>
      <c r="AI1213" s="76">
        <v>13</v>
      </c>
      <c r="AJ1213" s="76">
        <v>4</v>
      </c>
      <c r="AK1213" s="76">
        <v>14767</v>
      </c>
      <c r="AL1213" s="76" t="b">
        <v>0</v>
      </c>
      <c r="AM1213" s="78">
        <v>44124.554664351854</v>
      </c>
      <c r="AN1213" s="76" t="s">
        <v>24497</v>
      </c>
      <c r="AO1213" s="76" t="s">
        <v>25789</v>
      </c>
      <c r="AP1213" s="82" t="str">
        <f>HYPERLINK("https://t.co/wYfhHMac5I")</f>
        <v>https://t.co/wYfhHMac5I</v>
      </c>
      <c r="AQ1213" s="82" t="str">
        <f>HYPERLINK("https://youtube.com/@avellanedareal4081")</f>
        <v>https://youtube.com/@avellanedareal4081</v>
      </c>
      <c r="AR1213" s="76" t="s">
        <v>27010</v>
      </c>
      <c r="AS1213" s="82" t="str">
        <f>HYPERLINK("https://t.co/QAapr2A2mv")</f>
        <v>https://t.co/QAapr2A2mv</v>
      </c>
      <c r="AT1213" s="82" t="str">
        <f>HYPERLINK("http://cafecito.app/avellanedareal")</f>
        <v>http://cafecito.app/avellanedareal</v>
      </c>
      <c r="AU1213" s="76" t="s">
        <v>27531</v>
      </c>
      <c r="AV1213" s="76">
        <v>1.31859321936671E+18</v>
      </c>
      <c r="AW1213" s="82" t="str">
        <f>HYPERLINK("https://t.co/wYfhHMac5I")</f>
        <v>https://t.co/wYfhHMac5I</v>
      </c>
      <c r="AX1213" s="76" t="b">
        <v>0</v>
      </c>
      <c r="AY1213" s="76"/>
      <c r="AZ1213" s="76"/>
      <c r="BA1213" s="76" t="b">
        <v>0</v>
      </c>
      <c r="BB1213" s="76" t="b">
        <v>1</v>
      </c>
      <c r="BC1213" s="76" t="b">
        <v>1</v>
      </c>
      <c r="BD1213" s="76" t="b">
        <v>0</v>
      </c>
      <c r="BE1213" s="76" t="b">
        <v>0</v>
      </c>
      <c r="BF1213" s="76" t="b">
        <v>0</v>
      </c>
      <c r="BG1213" s="76" t="b">
        <v>0</v>
      </c>
      <c r="BH1213" s="82" t="str">
        <f>HYPERLINK("https://pbs.twimg.com/profile_banners/1318542060950065153/1603202938")</f>
        <v>https://pbs.twimg.com/profile_banners/1318542060950065153/1603202938</v>
      </c>
      <c r="BI1213" s="76"/>
      <c r="BJ1213" s="76" t="s">
        <v>27595</v>
      </c>
      <c r="BK1213" s="76" t="b">
        <v>0</v>
      </c>
      <c r="BL1213" s="76"/>
      <c r="BM1213" s="76" t="s">
        <v>66</v>
      </c>
      <c r="BN1213" s="76" t="s">
        <v>27597</v>
      </c>
      <c r="BO1213" s="82" t="str">
        <f>HYPERLINK("https://twitter.com/avellaneda_real")</f>
        <v>https://twitter.com/avellaneda_real</v>
      </c>
      <c r="BP1213" s="2"/>
    </row>
    <row r="1214" spans="1:68" x14ac:dyDescent="0.25">
      <c r="A1214" s="62" t="s">
        <v>1108</v>
      </c>
      <c r="B1214" s="63"/>
      <c r="C1214" s="63"/>
      <c r="D1214" s="64"/>
      <c r="E1214" s="66"/>
      <c r="F1214" s="103" t="str">
        <f>HYPERLINK("https://pbs.twimg.com/profile_images/978647479951544321/rni_X102_normal.jpg")</f>
        <v>https://pbs.twimg.com/profile_images/978647479951544321/rni_X102_normal.jpg</v>
      </c>
      <c r="G1214" s="63"/>
      <c r="H1214" s="67"/>
      <c r="I1214" s="68"/>
      <c r="J1214" s="68"/>
      <c r="K1214" s="67" t="s">
        <v>28808</v>
      </c>
      <c r="L1214" s="71"/>
      <c r="M1214" s="72"/>
      <c r="N1214" s="72"/>
      <c r="O1214" s="73"/>
      <c r="P1214" s="74"/>
      <c r="Q1214" s="74"/>
      <c r="R1214" s="87"/>
      <c r="S1214" s="87"/>
      <c r="T1214" s="87"/>
      <c r="U1214" s="87"/>
      <c r="V1214" s="48"/>
      <c r="W1214" s="48"/>
      <c r="X1214" s="48"/>
      <c r="Y1214" s="48"/>
      <c r="Z1214" s="47"/>
      <c r="AA1214" s="69">
        <v>1214</v>
      </c>
      <c r="AB1214" s="69"/>
      <c r="AC1214" s="70"/>
      <c r="AD1214" s="76" t="s">
        <v>22434</v>
      </c>
      <c r="AE1214" s="81" t="s">
        <v>23704</v>
      </c>
      <c r="AF1214" s="76">
        <v>46788</v>
      </c>
      <c r="AG1214" s="76">
        <v>1728</v>
      </c>
      <c r="AH1214" s="76">
        <v>143566</v>
      </c>
      <c r="AI1214" s="76">
        <v>568</v>
      </c>
      <c r="AJ1214" s="76">
        <v>12746</v>
      </c>
      <c r="AK1214" s="76">
        <v>35027</v>
      </c>
      <c r="AL1214" s="76" t="b">
        <v>0</v>
      </c>
      <c r="AM1214" s="78">
        <v>39746.556608796294</v>
      </c>
      <c r="AN1214" s="76" t="s">
        <v>24243</v>
      </c>
      <c r="AO1214" s="76" t="s">
        <v>25790</v>
      </c>
      <c r="AP1214" s="82" t="str">
        <f>HYPERLINK("https://t.co/S8PrgdW5TY")</f>
        <v>https://t.co/S8PrgdW5TY</v>
      </c>
      <c r="AQ1214" s="82" t="str">
        <f>HYPERLINK("http://www.diariodecuba.com")</f>
        <v>http://www.diariodecuba.com</v>
      </c>
      <c r="AR1214" s="76" t="s">
        <v>8800</v>
      </c>
      <c r="AS1214" s="76"/>
      <c r="AT1214" s="76"/>
      <c r="AU1214" s="76"/>
      <c r="AV1214" s="76"/>
      <c r="AW1214" s="82" t="str">
        <f>HYPERLINK("https://t.co/S8PrgdW5TY")</f>
        <v>https://t.co/S8PrgdW5TY</v>
      </c>
      <c r="AX1214" s="76" t="b">
        <v>0</v>
      </c>
      <c r="AY1214" s="76"/>
      <c r="AZ1214" s="76"/>
      <c r="BA1214" s="76" t="b">
        <v>0</v>
      </c>
      <c r="BB1214" s="76" t="b">
        <v>1</v>
      </c>
      <c r="BC1214" s="76" t="b">
        <v>0</v>
      </c>
      <c r="BD1214" s="76" t="b">
        <v>0</v>
      </c>
      <c r="BE1214" s="76" t="b">
        <v>1</v>
      </c>
      <c r="BF1214" s="76" t="b">
        <v>0</v>
      </c>
      <c r="BG1214" s="76" t="b">
        <v>0</v>
      </c>
      <c r="BH1214" s="82" t="str">
        <f>HYPERLINK("https://pbs.twimg.com/profile_banners/16966331/1593846928")</f>
        <v>https://pbs.twimg.com/profile_banners/16966331/1593846928</v>
      </c>
      <c r="BI1214" s="76"/>
      <c r="BJ1214" s="76" t="s">
        <v>27595</v>
      </c>
      <c r="BK1214" s="76" t="b">
        <v>0</v>
      </c>
      <c r="BL1214" s="76"/>
      <c r="BM1214" s="76" t="s">
        <v>66</v>
      </c>
      <c r="BN1214" s="76" t="s">
        <v>27597</v>
      </c>
      <c r="BO1214" s="82" t="str">
        <f>HYPERLINK("https://twitter.com/diariodecuba")</f>
        <v>https://twitter.com/diariodecuba</v>
      </c>
      <c r="BP1214" s="2"/>
    </row>
    <row r="1215" spans="1:68" x14ac:dyDescent="0.25">
      <c r="A1215" s="62" t="s">
        <v>1109</v>
      </c>
      <c r="B1215" s="63"/>
      <c r="C1215" s="63"/>
      <c r="D1215" s="64"/>
      <c r="E1215" s="66"/>
      <c r="F1215" s="103" t="str">
        <f>HYPERLINK("https://pbs.twimg.com/profile_images/1671327682989096961/RFt9LPMw_normal.jpg")</f>
        <v>https://pbs.twimg.com/profile_images/1671327682989096961/RFt9LPMw_normal.jpg</v>
      </c>
      <c r="G1215" s="63"/>
      <c r="H1215" s="67"/>
      <c r="I1215" s="68"/>
      <c r="J1215" s="68"/>
      <c r="K1215" s="67" t="s">
        <v>28809</v>
      </c>
      <c r="L1215" s="71"/>
      <c r="M1215" s="72"/>
      <c r="N1215" s="72"/>
      <c r="O1215" s="73"/>
      <c r="P1215" s="74"/>
      <c r="Q1215" s="74"/>
      <c r="R1215" s="87"/>
      <c r="S1215" s="87"/>
      <c r="T1215" s="87"/>
      <c r="U1215" s="87"/>
      <c r="V1215" s="48"/>
      <c r="W1215" s="48"/>
      <c r="X1215" s="48"/>
      <c r="Y1215" s="48"/>
      <c r="Z1215" s="47"/>
      <c r="AA1215" s="69">
        <v>1215</v>
      </c>
      <c r="AB1215" s="69"/>
      <c r="AC1215" s="70"/>
      <c r="AD1215" s="76" t="s">
        <v>22435</v>
      </c>
      <c r="AE1215" s="81" t="s">
        <v>20933</v>
      </c>
      <c r="AF1215" s="76">
        <v>113</v>
      </c>
      <c r="AG1215" s="76">
        <v>1155</v>
      </c>
      <c r="AH1215" s="76">
        <v>10762</v>
      </c>
      <c r="AI1215" s="76">
        <v>3</v>
      </c>
      <c r="AJ1215" s="76">
        <v>10607</v>
      </c>
      <c r="AK1215" s="76">
        <v>3958</v>
      </c>
      <c r="AL1215" s="76" t="b">
        <v>0</v>
      </c>
      <c r="AM1215" s="78">
        <v>42713.520486111112</v>
      </c>
      <c r="AN1215" s="76" t="s">
        <v>24498</v>
      </c>
      <c r="AO1215" s="76" t="s">
        <v>25791</v>
      </c>
      <c r="AP1215" s="82" t="str">
        <f>HYPERLINK("https://t.co/d7YkKl0ZPe")</f>
        <v>https://t.co/d7YkKl0ZPe</v>
      </c>
      <c r="AQ1215" s="82" t="str">
        <f>HYPERLINK("http://github.com/BrunoGianetti")</f>
        <v>http://github.com/BrunoGianetti</v>
      </c>
      <c r="AR1215" s="76" t="s">
        <v>27011</v>
      </c>
      <c r="AS1215" s="76"/>
      <c r="AT1215" s="76"/>
      <c r="AU1215" s="76"/>
      <c r="AV1215" s="76">
        <v>1.6904504070409101E+18</v>
      </c>
      <c r="AW1215" s="82" t="str">
        <f>HYPERLINK("https://t.co/d7YkKl0ZPe")</f>
        <v>https://t.co/d7YkKl0ZPe</v>
      </c>
      <c r="AX1215" s="76" t="b">
        <v>0</v>
      </c>
      <c r="AY1215" s="76"/>
      <c r="AZ1215" s="76"/>
      <c r="BA1215" s="76" t="b">
        <v>1</v>
      </c>
      <c r="BB1215" s="76" t="b">
        <v>1</v>
      </c>
      <c r="BC1215" s="76" t="b">
        <v>1</v>
      </c>
      <c r="BD1215" s="76" t="b">
        <v>0</v>
      </c>
      <c r="BE1215" s="76" t="b">
        <v>1</v>
      </c>
      <c r="BF1215" s="76" t="b">
        <v>0</v>
      </c>
      <c r="BG1215" s="76" t="b">
        <v>0</v>
      </c>
      <c r="BH1215" s="82" t="str">
        <f>HYPERLINK("https://pbs.twimg.com/profile_banners/807200496557637632/1671591550")</f>
        <v>https://pbs.twimg.com/profile_banners/807200496557637632/1671591550</v>
      </c>
      <c r="BI1215" s="76"/>
      <c r="BJ1215" s="76" t="s">
        <v>27595</v>
      </c>
      <c r="BK1215" s="76" t="b">
        <v>0</v>
      </c>
      <c r="BL1215" s="76"/>
      <c r="BM1215" s="76" t="s">
        <v>66</v>
      </c>
      <c r="BN1215" s="76" t="s">
        <v>27597</v>
      </c>
      <c r="BO1215" s="82" t="str">
        <f>HYPERLINK("https://twitter.com/bruno_gianetti")</f>
        <v>https://twitter.com/bruno_gianetti</v>
      </c>
      <c r="BP1215" s="2"/>
    </row>
    <row r="1216" spans="1:68" x14ac:dyDescent="0.25">
      <c r="A1216" s="62" t="s">
        <v>1111</v>
      </c>
      <c r="B1216" s="63"/>
      <c r="C1216" s="63"/>
      <c r="D1216" s="64"/>
      <c r="E1216" s="66"/>
      <c r="F1216" s="103" t="str">
        <f>HYPERLINK("https://pbs.twimg.com/profile_images/1282072875747418112/TEvvb3An_normal.jpg")</f>
        <v>https://pbs.twimg.com/profile_images/1282072875747418112/TEvvb3An_normal.jpg</v>
      </c>
      <c r="G1216" s="63"/>
      <c r="H1216" s="67"/>
      <c r="I1216" s="68"/>
      <c r="J1216" s="68"/>
      <c r="K1216" s="67" t="s">
        <v>28810</v>
      </c>
      <c r="L1216" s="71"/>
      <c r="M1216" s="72"/>
      <c r="N1216" s="72"/>
      <c r="O1216" s="73"/>
      <c r="P1216" s="74"/>
      <c r="Q1216" s="74"/>
      <c r="R1216" s="87"/>
      <c r="S1216" s="87"/>
      <c r="T1216" s="87"/>
      <c r="U1216" s="87"/>
      <c r="V1216" s="48"/>
      <c r="W1216" s="48"/>
      <c r="X1216" s="48"/>
      <c r="Y1216" s="48"/>
      <c r="Z1216" s="47"/>
      <c r="AA1216" s="69">
        <v>1216</v>
      </c>
      <c r="AB1216" s="69"/>
      <c r="AC1216" s="70"/>
      <c r="AD1216" s="76" t="s">
        <v>22436</v>
      </c>
      <c r="AE1216" s="81" t="s">
        <v>20934</v>
      </c>
      <c r="AF1216" s="76">
        <v>121</v>
      </c>
      <c r="AG1216" s="76">
        <v>112</v>
      </c>
      <c r="AH1216" s="76">
        <v>23733</v>
      </c>
      <c r="AI1216" s="76">
        <v>1</v>
      </c>
      <c r="AJ1216" s="76">
        <v>4804</v>
      </c>
      <c r="AK1216" s="76">
        <v>2744</v>
      </c>
      <c r="AL1216" s="76" t="b">
        <v>0</v>
      </c>
      <c r="AM1216" s="78">
        <v>43296.074641203704</v>
      </c>
      <c r="AN1216" s="76"/>
      <c r="AO1216" s="76" t="s">
        <v>25792</v>
      </c>
      <c r="AP1216" s="76"/>
      <c r="AQ1216" s="76"/>
      <c r="AR1216" s="76"/>
      <c r="AS1216" s="76"/>
      <c r="AT1216" s="76"/>
      <c r="AU1216" s="76"/>
      <c r="AV1216" s="76"/>
      <c r="AW1216" s="76"/>
      <c r="AX1216" s="76" t="b">
        <v>0</v>
      </c>
      <c r="AY1216" s="76"/>
      <c r="AZ1216" s="76"/>
      <c r="BA1216" s="76" t="b">
        <v>1</v>
      </c>
      <c r="BB1216" s="76" t="b">
        <v>1</v>
      </c>
      <c r="BC1216" s="76" t="b">
        <v>1</v>
      </c>
      <c r="BD1216" s="76" t="b">
        <v>0</v>
      </c>
      <c r="BE1216" s="76" t="b">
        <v>0</v>
      </c>
      <c r="BF1216" s="76" t="b">
        <v>0</v>
      </c>
      <c r="BG1216" s="76" t="b">
        <v>0</v>
      </c>
      <c r="BH1216" s="82" t="str">
        <f>HYPERLINK("https://pbs.twimg.com/profile_banners/1018311056043773953/1594506018")</f>
        <v>https://pbs.twimg.com/profile_banners/1018311056043773953/1594506018</v>
      </c>
      <c r="BI1216" s="76"/>
      <c r="BJ1216" s="76" t="s">
        <v>27595</v>
      </c>
      <c r="BK1216" s="76" t="b">
        <v>0</v>
      </c>
      <c r="BL1216" s="76"/>
      <c r="BM1216" s="76" t="s">
        <v>66</v>
      </c>
      <c r="BN1216" s="76" t="s">
        <v>27597</v>
      </c>
      <c r="BO1216" s="82" t="str">
        <f>HYPERLINK("https://twitter.com/schweinsteighan")</f>
        <v>https://twitter.com/schweinsteighan</v>
      </c>
      <c r="BP1216" s="2"/>
    </row>
    <row r="1217" spans="1:68" x14ac:dyDescent="0.25">
      <c r="A1217" s="62" t="s">
        <v>1970</v>
      </c>
      <c r="B1217" s="63"/>
      <c r="C1217" s="63"/>
      <c r="D1217" s="64"/>
      <c r="E1217" s="66"/>
      <c r="F1217" s="103" t="str">
        <f>HYPERLINK("https://pbs.twimg.com/profile_images/1489567999203807232/7jeal5TG_normal.jpg")</f>
        <v>https://pbs.twimg.com/profile_images/1489567999203807232/7jeal5TG_normal.jpg</v>
      </c>
      <c r="G1217" s="63"/>
      <c r="H1217" s="67"/>
      <c r="I1217" s="68"/>
      <c r="J1217" s="68"/>
      <c r="K1217" s="67" t="s">
        <v>28811</v>
      </c>
      <c r="L1217" s="71"/>
      <c r="M1217" s="72"/>
      <c r="N1217" s="72"/>
      <c r="O1217" s="73"/>
      <c r="P1217" s="74"/>
      <c r="Q1217" s="74"/>
      <c r="R1217" s="87"/>
      <c r="S1217" s="87"/>
      <c r="T1217" s="87"/>
      <c r="U1217" s="87"/>
      <c r="V1217" s="48"/>
      <c r="W1217" s="48"/>
      <c r="X1217" s="48"/>
      <c r="Y1217" s="48"/>
      <c r="Z1217" s="47"/>
      <c r="AA1217" s="69">
        <v>1217</v>
      </c>
      <c r="AB1217" s="69"/>
      <c r="AC1217" s="70"/>
      <c r="AD1217" s="76" t="s">
        <v>22437</v>
      </c>
      <c r="AE1217" s="81" t="s">
        <v>23705</v>
      </c>
      <c r="AF1217" s="76">
        <v>67736</v>
      </c>
      <c r="AG1217" s="76">
        <v>104</v>
      </c>
      <c r="AH1217" s="76">
        <v>287</v>
      </c>
      <c r="AI1217" s="76">
        <v>219</v>
      </c>
      <c r="AJ1217" s="76">
        <v>15</v>
      </c>
      <c r="AK1217" s="76">
        <v>35</v>
      </c>
      <c r="AL1217" s="76" t="b">
        <v>0</v>
      </c>
      <c r="AM1217" s="78">
        <v>41192.339224537034</v>
      </c>
      <c r="AN1217" s="76" t="s">
        <v>24188</v>
      </c>
      <c r="AO1217" s="76" t="s">
        <v>25793</v>
      </c>
      <c r="AP1217" s="82" t="str">
        <f>HYPERLINK("https://t.co/9aJF4QI9aj")</f>
        <v>https://t.co/9aJF4QI9aj</v>
      </c>
      <c r="AQ1217" s="82" t="str">
        <f>HYPERLINK("http://www.bcentral.cl")</f>
        <v>http://www.bcentral.cl</v>
      </c>
      <c r="AR1217" s="76" t="s">
        <v>8679</v>
      </c>
      <c r="AS1217" s="76"/>
      <c r="AT1217" s="76"/>
      <c r="AU1217" s="76"/>
      <c r="AV1217" s="76"/>
      <c r="AW1217" s="82" t="str">
        <f>HYPERLINK("https://t.co/9aJF4QI9aj")</f>
        <v>https://t.co/9aJF4QI9aj</v>
      </c>
      <c r="AX1217" s="76" t="b">
        <v>0</v>
      </c>
      <c r="AY1217" s="76"/>
      <c r="AZ1217" s="76"/>
      <c r="BA1217" s="76" t="b">
        <v>0</v>
      </c>
      <c r="BB1217" s="76" t="b">
        <v>0</v>
      </c>
      <c r="BC1217" s="76" t="b">
        <v>1</v>
      </c>
      <c r="BD1217" s="76" t="b">
        <v>0</v>
      </c>
      <c r="BE1217" s="76" t="b">
        <v>0</v>
      </c>
      <c r="BF1217" s="76" t="b">
        <v>0</v>
      </c>
      <c r="BG1217" s="76" t="b">
        <v>0</v>
      </c>
      <c r="BH1217" s="76"/>
      <c r="BI1217" s="76"/>
      <c r="BJ1217" s="76" t="s">
        <v>27595</v>
      </c>
      <c r="BK1217" s="76" t="b">
        <v>0</v>
      </c>
      <c r="BL1217" s="76"/>
      <c r="BM1217" s="76" t="s">
        <v>65</v>
      </c>
      <c r="BN1217" s="76" t="s">
        <v>27597</v>
      </c>
      <c r="BO1217" s="82" t="str">
        <f>HYPERLINK("https://twitter.com/mariomarcelc")</f>
        <v>https://twitter.com/mariomarcelc</v>
      </c>
      <c r="BP1217" s="2"/>
    </row>
    <row r="1218" spans="1:68" x14ac:dyDescent="0.25">
      <c r="A1218" s="62" t="s">
        <v>1112</v>
      </c>
      <c r="B1218" s="63"/>
      <c r="C1218" s="63"/>
      <c r="D1218" s="64"/>
      <c r="E1218" s="66"/>
      <c r="F1218" s="103" t="str">
        <f>HYPERLINK("https://pbs.twimg.com/profile_images/1303698848225918979/gru6eW81_normal.jpg")</f>
        <v>https://pbs.twimg.com/profile_images/1303698848225918979/gru6eW81_normal.jpg</v>
      </c>
      <c r="G1218" s="63"/>
      <c r="H1218" s="67"/>
      <c r="I1218" s="68"/>
      <c r="J1218" s="68"/>
      <c r="K1218" s="67" t="s">
        <v>28812</v>
      </c>
      <c r="L1218" s="71"/>
      <c r="M1218" s="72"/>
      <c r="N1218" s="72"/>
      <c r="O1218" s="73"/>
      <c r="P1218" s="74"/>
      <c r="Q1218" s="74"/>
      <c r="R1218" s="87"/>
      <c r="S1218" s="87"/>
      <c r="T1218" s="87"/>
      <c r="U1218" s="87"/>
      <c r="V1218" s="48"/>
      <c r="W1218" s="48"/>
      <c r="X1218" s="48"/>
      <c r="Y1218" s="48"/>
      <c r="Z1218" s="47"/>
      <c r="AA1218" s="69">
        <v>1218</v>
      </c>
      <c r="AB1218" s="69"/>
      <c r="AC1218" s="70"/>
      <c r="AD1218" s="76" t="s">
        <v>22438</v>
      </c>
      <c r="AE1218" s="81" t="s">
        <v>20935</v>
      </c>
      <c r="AF1218" s="76">
        <v>84</v>
      </c>
      <c r="AG1218" s="76">
        <v>199</v>
      </c>
      <c r="AH1218" s="76">
        <v>3131</v>
      </c>
      <c r="AI1218" s="76">
        <v>2</v>
      </c>
      <c r="AJ1218" s="76">
        <v>1910</v>
      </c>
      <c r="AK1218" s="76">
        <v>508</v>
      </c>
      <c r="AL1218" s="76" t="b">
        <v>0</v>
      </c>
      <c r="AM1218" s="78">
        <v>42971.604155092595</v>
      </c>
      <c r="AN1218" s="76" t="s">
        <v>24381</v>
      </c>
      <c r="AO1218" s="82" t="str">
        <f>HYPERLINK("https://t.co/ZdKnSdQx5V
@luizreis653")</f>
        <v>https://t.co/ZdKnSdQx5V
@luizreis653</v>
      </c>
      <c r="AP1218" s="82" t="str">
        <f>HYPERLINK("https://t.co/ZdKnSdQx5V")</f>
        <v>https://t.co/ZdKnSdQx5V</v>
      </c>
      <c r="AQ1218" s="82" t="str">
        <f>HYPERLINK("http://www.92amz.com.br")</f>
        <v>http://www.92amz.com.br</v>
      </c>
      <c r="AR1218" s="76" t="s">
        <v>22438</v>
      </c>
      <c r="AS1218" s="82" t="str">
        <f>HYPERLINK("https://t.co/ZdKnSdQx5V")</f>
        <v>https://t.co/ZdKnSdQx5V</v>
      </c>
      <c r="AT1218" s="82" t="str">
        <f>HYPERLINK("http://www.92amz.com.br")</f>
        <v>http://www.92amz.com.br</v>
      </c>
      <c r="AU1218" s="76" t="s">
        <v>22438</v>
      </c>
      <c r="AV1218" s="76"/>
      <c r="AW1218" s="82" t="str">
        <f>HYPERLINK("https://t.co/ZdKnSdQx5V")</f>
        <v>https://t.co/ZdKnSdQx5V</v>
      </c>
      <c r="AX1218" s="76" t="b">
        <v>0</v>
      </c>
      <c r="AY1218" s="76"/>
      <c r="AZ1218" s="76"/>
      <c r="BA1218" s="76" t="b">
        <v>0</v>
      </c>
      <c r="BB1218" s="76" t="b">
        <v>1</v>
      </c>
      <c r="BC1218" s="76" t="b">
        <v>1</v>
      </c>
      <c r="BD1218" s="76" t="b">
        <v>0</v>
      </c>
      <c r="BE1218" s="76" t="b">
        <v>1</v>
      </c>
      <c r="BF1218" s="76" t="b">
        <v>0</v>
      </c>
      <c r="BG1218" s="76" t="b">
        <v>0</v>
      </c>
      <c r="BH1218" s="82" t="str">
        <f>HYPERLINK("https://pbs.twimg.com/profile_banners/900726888712294400/1599661147")</f>
        <v>https://pbs.twimg.com/profile_banners/900726888712294400/1599661147</v>
      </c>
      <c r="BI1218" s="76"/>
      <c r="BJ1218" s="76" t="s">
        <v>27595</v>
      </c>
      <c r="BK1218" s="76" t="b">
        <v>0</v>
      </c>
      <c r="BL1218" s="76"/>
      <c r="BM1218" s="76" t="s">
        <v>66</v>
      </c>
      <c r="BN1218" s="76" t="s">
        <v>27597</v>
      </c>
      <c r="BO1218" s="82" t="str">
        <f>HYPERLINK("https://twitter.com/luizreis653")</f>
        <v>https://twitter.com/luizreis653</v>
      </c>
      <c r="BP1218" s="2"/>
    </row>
    <row r="1219" spans="1:68" x14ac:dyDescent="0.25">
      <c r="A1219" s="62" t="s">
        <v>1113</v>
      </c>
      <c r="B1219" s="63"/>
      <c r="C1219" s="63"/>
      <c r="D1219" s="64"/>
      <c r="E1219" s="66"/>
      <c r="F1219" s="103" t="str">
        <f>HYPERLINK("https://pbs.twimg.com/profile_images/1588736242203725824/Gqbpq2K0_normal.jpg")</f>
        <v>https://pbs.twimg.com/profile_images/1588736242203725824/Gqbpq2K0_normal.jpg</v>
      </c>
      <c r="G1219" s="63"/>
      <c r="H1219" s="67"/>
      <c r="I1219" s="68"/>
      <c r="J1219" s="68"/>
      <c r="K1219" s="67" t="s">
        <v>28813</v>
      </c>
      <c r="L1219" s="71"/>
      <c r="M1219" s="72"/>
      <c r="N1219" s="72"/>
      <c r="O1219" s="73"/>
      <c r="P1219" s="74"/>
      <c r="Q1219" s="74"/>
      <c r="R1219" s="87"/>
      <c r="S1219" s="87"/>
      <c r="T1219" s="87"/>
      <c r="U1219" s="87"/>
      <c r="V1219" s="48"/>
      <c r="W1219" s="48"/>
      <c r="X1219" s="48"/>
      <c r="Y1219" s="48"/>
      <c r="Z1219" s="47"/>
      <c r="AA1219" s="69">
        <v>1219</v>
      </c>
      <c r="AB1219" s="69"/>
      <c r="AC1219" s="70"/>
      <c r="AD1219" s="76" t="s">
        <v>22439</v>
      </c>
      <c r="AE1219" s="81" t="s">
        <v>20936</v>
      </c>
      <c r="AF1219" s="76">
        <v>276</v>
      </c>
      <c r="AG1219" s="76">
        <v>8</v>
      </c>
      <c r="AH1219" s="76">
        <v>174</v>
      </c>
      <c r="AI1219" s="76">
        <v>2</v>
      </c>
      <c r="AJ1219" s="76">
        <v>0</v>
      </c>
      <c r="AK1219" s="76">
        <v>30</v>
      </c>
      <c r="AL1219" s="76" t="b">
        <v>0</v>
      </c>
      <c r="AM1219" s="78">
        <v>44870.148055555554</v>
      </c>
      <c r="AN1219" s="76" t="s">
        <v>24499</v>
      </c>
      <c r="AO1219" s="76" t="s">
        <v>25794</v>
      </c>
      <c r="AP1219" s="82" t="str">
        <f>HYPERLINK("https://t.co/H0kqy7kCfP")</f>
        <v>https://t.co/H0kqy7kCfP</v>
      </c>
      <c r="AQ1219" s="82" t="str">
        <f>HYPERLINK("https://www.lapoliticaonline.com/paraguay")</f>
        <v>https://www.lapoliticaonline.com/paraguay</v>
      </c>
      <c r="AR1219" s="76" t="s">
        <v>27012</v>
      </c>
      <c r="AS1219" s="76"/>
      <c r="AT1219" s="76"/>
      <c r="AU1219" s="76"/>
      <c r="AV1219" s="76"/>
      <c r="AW1219" s="82" t="str">
        <f>HYPERLINK("https://t.co/H0kqy7kCfP")</f>
        <v>https://t.co/H0kqy7kCfP</v>
      </c>
      <c r="AX1219" s="76" t="b">
        <v>0</v>
      </c>
      <c r="AY1219" s="76"/>
      <c r="AZ1219" s="76"/>
      <c r="BA1219" s="76" t="b">
        <v>0</v>
      </c>
      <c r="BB1219" s="76" t="b">
        <v>1</v>
      </c>
      <c r="BC1219" s="76" t="b">
        <v>1</v>
      </c>
      <c r="BD1219" s="76" t="b">
        <v>0</v>
      </c>
      <c r="BE1219" s="76" t="b">
        <v>0</v>
      </c>
      <c r="BF1219" s="76" t="b">
        <v>0</v>
      </c>
      <c r="BG1219" s="76" t="b">
        <v>0</v>
      </c>
      <c r="BH1219" s="82" t="str">
        <f>HYPERLINK("https://pbs.twimg.com/profile_banners/1588735714052694021/1667619613")</f>
        <v>https://pbs.twimg.com/profile_banners/1588735714052694021/1667619613</v>
      </c>
      <c r="BI1219" s="76"/>
      <c r="BJ1219" s="76" t="s">
        <v>27595</v>
      </c>
      <c r="BK1219" s="76" t="b">
        <v>0</v>
      </c>
      <c r="BL1219" s="76"/>
      <c r="BM1219" s="76" t="s">
        <v>66</v>
      </c>
      <c r="BN1219" s="76" t="s">
        <v>27597</v>
      </c>
      <c r="BO1219" s="82" t="str">
        <f>HYPERLINK("https://twitter.com/lpoparaguay")</f>
        <v>https://twitter.com/lpoparaguay</v>
      </c>
      <c r="BP1219" s="2"/>
    </row>
    <row r="1220" spans="1:68" x14ac:dyDescent="0.25">
      <c r="A1220" s="62" t="s">
        <v>1114</v>
      </c>
      <c r="B1220" s="63"/>
      <c r="C1220" s="63"/>
      <c r="D1220" s="64"/>
      <c r="E1220" s="66"/>
      <c r="F1220" s="103" t="str">
        <f>HYPERLINK("https://pbs.twimg.com/profile_images/1673743281883168769/l58WPPqh_normal.jpg")</f>
        <v>https://pbs.twimg.com/profile_images/1673743281883168769/l58WPPqh_normal.jpg</v>
      </c>
      <c r="G1220" s="63"/>
      <c r="H1220" s="67"/>
      <c r="I1220" s="68"/>
      <c r="J1220" s="68"/>
      <c r="K1220" s="67" t="s">
        <v>28814</v>
      </c>
      <c r="L1220" s="71"/>
      <c r="M1220" s="72"/>
      <c r="N1220" s="72"/>
      <c r="O1220" s="73"/>
      <c r="P1220" s="74"/>
      <c r="Q1220" s="74"/>
      <c r="R1220" s="87"/>
      <c r="S1220" s="87"/>
      <c r="T1220" s="87"/>
      <c r="U1220" s="87"/>
      <c r="V1220" s="48"/>
      <c r="W1220" s="48"/>
      <c r="X1220" s="48"/>
      <c r="Y1220" s="48"/>
      <c r="Z1220" s="47"/>
      <c r="AA1220" s="69">
        <v>1220</v>
      </c>
      <c r="AB1220" s="69"/>
      <c r="AC1220" s="70"/>
      <c r="AD1220" s="76" t="s">
        <v>22440</v>
      </c>
      <c r="AE1220" s="81" t="s">
        <v>23706</v>
      </c>
      <c r="AF1220" s="76">
        <v>1198</v>
      </c>
      <c r="AG1220" s="76">
        <v>1374</v>
      </c>
      <c r="AH1220" s="76">
        <v>59186</v>
      </c>
      <c r="AI1220" s="76">
        <v>10</v>
      </c>
      <c r="AJ1220" s="76">
        <v>21560</v>
      </c>
      <c r="AK1220" s="76">
        <v>592</v>
      </c>
      <c r="AL1220" s="76" t="b">
        <v>0</v>
      </c>
      <c r="AM1220" s="78">
        <v>40221.807789351849</v>
      </c>
      <c r="AN1220" s="76" t="s">
        <v>24500</v>
      </c>
      <c r="AO1220" s="76" t="s">
        <v>25795</v>
      </c>
      <c r="AP1220" s="76"/>
      <c r="AQ1220" s="76"/>
      <c r="AR1220" s="76"/>
      <c r="AS1220" s="76"/>
      <c r="AT1220" s="76"/>
      <c r="AU1220" s="76"/>
      <c r="AV1220" s="76">
        <v>1.22308370094829E+18</v>
      </c>
      <c r="AW1220" s="76"/>
      <c r="AX1220" s="76" t="b">
        <v>0</v>
      </c>
      <c r="AY1220" s="76"/>
      <c r="AZ1220" s="76"/>
      <c r="BA1220" s="76" t="b">
        <v>1</v>
      </c>
      <c r="BB1220" s="76" t="b">
        <v>0</v>
      </c>
      <c r="BC1220" s="76" t="b">
        <v>0</v>
      </c>
      <c r="BD1220" s="76" t="b">
        <v>0</v>
      </c>
      <c r="BE1220" s="76" t="b">
        <v>1</v>
      </c>
      <c r="BF1220" s="76" t="b">
        <v>0</v>
      </c>
      <c r="BG1220" s="76" t="b">
        <v>0</v>
      </c>
      <c r="BH1220" s="82" t="str">
        <f>HYPERLINK("https://pbs.twimg.com/profile_banners/113708220/1568686741")</f>
        <v>https://pbs.twimg.com/profile_banners/113708220/1568686741</v>
      </c>
      <c r="BI1220" s="76"/>
      <c r="BJ1220" s="76" t="s">
        <v>27595</v>
      </c>
      <c r="BK1220" s="76" t="b">
        <v>0</v>
      </c>
      <c r="BL1220" s="76"/>
      <c r="BM1220" s="76" t="s">
        <v>66</v>
      </c>
      <c r="BN1220" s="76" t="s">
        <v>27597</v>
      </c>
      <c r="BO1220" s="82" t="str">
        <f>HYPERLINK("https://twitter.com/fjume96")</f>
        <v>https://twitter.com/fjume96</v>
      </c>
      <c r="BP1220" s="2"/>
    </row>
    <row r="1221" spans="1:68" x14ac:dyDescent="0.25">
      <c r="A1221" s="62" t="s">
        <v>1115</v>
      </c>
      <c r="B1221" s="63"/>
      <c r="C1221" s="63"/>
      <c r="D1221" s="64"/>
      <c r="E1221" s="66"/>
      <c r="F1221" s="103" t="str">
        <f>HYPERLINK("https://pbs.twimg.com/profile_images/1148329777738240001/8ACj40Ij_normal.png")</f>
        <v>https://pbs.twimg.com/profile_images/1148329777738240001/8ACj40Ij_normal.png</v>
      </c>
      <c r="G1221" s="63"/>
      <c r="H1221" s="67"/>
      <c r="I1221" s="68"/>
      <c r="J1221" s="68"/>
      <c r="K1221" s="67" t="s">
        <v>28815</v>
      </c>
      <c r="L1221" s="71"/>
      <c r="M1221" s="72"/>
      <c r="N1221" s="72"/>
      <c r="O1221" s="73"/>
      <c r="P1221" s="74"/>
      <c r="Q1221" s="74"/>
      <c r="R1221" s="87"/>
      <c r="S1221" s="87"/>
      <c r="T1221" s="87"/>
      <c r="U1221" s="87"/>
      <c r="V1221" s="48"/>
      <c r="W1221" s="48"/>
      <c r="X1221" s="48"/>
      <c r="Y1221" s="48"/>
      <c r="Z1221" s="47"/>
      <c r="AA1221" s="69">
        <v>1221</v>
      </c>
      <c r="AB1221" s="69"/>
      <c r="AC1221" s="70"/>
      <c r="AD1221" s="76" t="s">
        <v>22441</v>
      </c>
      <c r="AE1221" s="81" t="s">
        <v>20324</v>
      </c>
      <c r="AF1221" s="76">
        <v>7579</v>
      </c>
      <c r="AG1221" s="76">
        <v>1835</v>
      </c>
      <c r="AH1221" s="76">
        <v>12296</v>
      </c>
      <c r="AI1221" s="76">
        <v>66</v>
      </c>
      <c r="AJ1221" s="76">
        <v>3090</v>
      </c>
      <c r="AK1221" s="76">
        <v>2717</v>
      </c>
      <c r="AL1221" s="76" t="b">
        <v>0</v>
      </c>
      <c r="AM1221" s="78">
        <v>40340.923877314817</v>
      </c>
      <c r="AN1221" s="76" t="s">
        <v>14383</v>
      </c>
      <c r="AO1221" s="76" t="s">
        <v>25796</v>
      </c>
      <c r="AP1221" s="82" t="str">
        <f>HYPERLINK("https://t.co/IDC7xwUafY")</f>
        <v>https://t.co/IDC7xwUafY</v>
      </c>
      <c r="AQ1221" s="82" t="str">
        <f>HYPERLINK("https://www.skandia.com.co/Paginas/Default.aspx")</f>
        <v>https://www.skandia.com.co/Paginas/Default.aspx</v>
      </c>
      <c r="AR1221" s="76" t="s">
        <v>27013</v>
      </c>
      <c r="AS1221" s="76"/>
      <c r="AT1221" s="76"/>
      <c r="AU1221" s="76"/>
      <c r="AV1221" s="76"/>
      <c r="AW1221" s="82" t="str">
        <f>HYPERLINK("https://t.co/IDC7xwUafY")</f>
        <v>https://t.co/IDC7xwUafY</v>
      </c>
      <c r="AX1221" s="76" t="b">
        <v>0</v>
      </c>
      <c r="AY1221" s="76"/>
      <c r="AZ1221" s="76"/>
      <c r="BA1221" s="76" t="b">
        <v>1</v>
      </c>
      <c r="BB1221" s="76" t="b">
        <v>1</v>
      </c>
      <c r="BC1221" s="76" t="b">
        <v>0</v>
      </c>
      <c r="BD1221" s="76" t="b">
        <v>0</v>
      </c>
      <c r="BE1221" s="76" t="b">
        <v>1</v>
      </c>
      <c r="BF1221" s="76" t="b">
        <v>0</v>
      </c>
      <c r="BG1221" s="76" t="b">
        <v>0</v>
      </c>
      <c r="BH1221" s="82" t="str">
        <f>HYPERLINK("https://pbs.twimg.com/profile_banners/154669803/1617751672")</f>
        <v>https://pbs.twimg.com/profile_banners/154669803/1617751672</v>
      </c>
      <c r="BI1221" s="76"/>
      <c r="BJ1221" s="76" t="s">
        <v>27595</v>
      </c>
      <c r="BK1221" s="76" t="b">
        <v>0</v>
      </c>
      <c r="BL1221" s="76"/>
      <c r="BM1221" s="76" t="s">
        <v>66</v>
      </c>
      <c r="BN1221" s="76" t="s">
        <v>27597</v>
      </c>
      <c r="BO1221" s="82" t="str">
        <f>HYPERLINK("https://twitter.com/skandiacol")</f>
        <v>https://twitter.com/skandiacol</v>
      </c>
      <c r="BP1221" s="2"/>
    </row>
    <row r="1222" spans="1:68" x14ac:dyDescent="0.25">
      <c r="A1222" s="62" t="s">
        <v>1116</v>
      </c>
      <c r="B1222" s="63"/>
      <c r="C1222" s="63"/>
      <c r="D1222" s="64"/>
      <c r="E1222" s="66"/>
      <c r="F1222" s="103" t="str">
        <f>HYPERLINK("https://pbs.twimg.com/profile_images/1519022809942532102/_9A8sX-g_normal.jpg")</f>
        <v>https://pbs.twimg.com/profile_images/1519022809942532102/_9A8sX-g_normal.jpg</v>
      </c>
      <c r="G1222" s="63"/>
      <c r="H1222" s="67"/>
      <c r="I1222" s="68"/>
      <c r="J1222" s="68"/>
      <c r="K1222" s="67" t="s">
        <v>28816</v>
      </c>
      <c r="L1222" s="71"/>
      <c r="M1222" s="72"/>
      <c r="N1222" s="72"/>
      <c r="O1222" s="73"/>
      <c r="P1222" s="74"/>
      <c r="Q1222" s="74"/>
      <c r="R1222" s="87"/>
      <c r="S1222" s="87"/>
      <c r="T1222" s="87"/>
      <c r="U1222" s="87"/>
      <c r="V1222" s="48"/>
      <c r="W1222" s="48"/>
      <c r="X1222" s="48"/>
      <c r="Y1222" s="48"/>
      <c r="Z1222" s="47"/>
      <c r="AA1222" s="69">
        <v>1222</v>
      </c>
      <c r="AB1222" s="69"/>
      <c r="AC1222" s="70"/>
      <c r="AD1222" s="76" t="s">
        <v>22442</v>
      </c>
      <c r="AE1222" s="81" t="s">
        <v>20937</v>
      </c>
      <c r="AF1222" s="76">
        <v>17</v>
      </c>
      <c r="AG1222" s="76">
        <v>14</v>
      </c>
      <c r="AH1222" s="76">
        <v>1321</v>
      </c>
      <c r="AI1222" s="76">
        <v>1</v>
      </c>
      <c r="AJ1222" s="76">
        <v>0</v>
      </c>
      <c r="AK1222" s="76">
        <v>2</v>
      </c>
      <c r="AL1222" s="76" t="b">
        <v>0</v>
      </c>
      <c r="AM1222" s="78">
        <v>44449.590162037035</v>
      </c>
      <c r="AN1222" s="76" t="s">
        <v>24501</v>
      </c>
      <c r="AO1222" s="76" t="s">
        <v>25797</v>
      </c>
      <c r="AP1222" s="82" t="str">
        <f>HYPERLINK("https://t.co/w9vJUYcRQN")</f>
        <v>https://t.co/w9vJUYcRQN</v>
      </c>
      <c r="AQ1222" s="82" t="str">
        <f>HYPERLINK("https://agro2.com.br")</f>
        <v>https://agro2.com.br</v>
      </c>
      <c r="AR1222" s="76" t="s">
        <v>27014</v>
      </c>
      <c r="AS1222" s="76"/>
      <c r="AT1222" s="76"/>
      <c r="AU1222" s="76"/>
      <c r="AV1222" s="76"/>
      <c r="AW1222" s="82" t="str">
        <f>HYPERLINK("https://t.co/w9vJUYcRQN")</f>
        <v>https://t.co/w9vJUYcRQN</v>
      </c>
      <c r="AX1222" s="76" t="b">
        <v>0</v>
      </c>
      <c r="AY1222" s="76"/>
      <c r="AZ1222" s="76"/>
      <c r="BA1222" s="76" t="b">
        <v>0</v>
      </c>
      <c r="BB1222" s="76" t="b">
        <v>1</v>
      </c>
      <c r="BC1222" s="76" t="b">
        <v>1</v>
      </c>
      <c r="BD1222" s="76" t="b">
        <v>0</v>
      </c>
      <c r="BE1222" s="76" t="b">
        <v>0</v>
      </c>
      <c r="BF1222" s="76" t="b">
        <v>0</v>
      </c>
      <c r="BG1222" s="76" t="b">
        <v>0</v>
      </c>
      <c r="BH1222" s="82" t="str">
        <f>HYPERLINK("https://pbs.twimg.com/profile_banners/1436331009033842695/1650998255")</f>
        <v>https://pbs.twimg.com/profile_banners/1436331009033842695/1650998255</v>
      </c>
      <c r="BI1222" s="76"/>
      <c r="BJ1222" s="76" t="s">
        <v>27595</v>
      </c>
      <c r="BK1222" s="76" t="b">
        <v>0</v>
      </c>
      <c r="BL1222" s="76"/>
      <c r="BM1222" s="76" t="s">
        <v>66</v>
      </c>
      <c r="BN1222" s="76" t="s">
        <v>27597</v>
      </c>
      <c r="BO1222" s="82" t="str">
        <f>HYPERLINK("https://twitter.com/portalagro2")</f>
        <v>https://twitter.com/portalagro2</v>
      </c>
      <c r="BP1222" s="2"/>
    </row>
    <row r="1223" spans="1:68" x14ac:dyDescent="0.25">
      <c r="A1223" s="62" t="s">
        <v>1117</v>
      </c>
      <c r="B1223" s="63"/>
      <c r="C1223" s="63"/>
      <c r="D1223" s="64"/>
      <c r="E1223" s="66"/>
      <c r="F1223" s="103" t="str">
        <f>HYPERLINK("https://pbs.twimg.com/profile_images/1382017656103002114/Z5GVr1b4_normal.jpg")</f>
        <v>https://pbs.twimg.com/profile_images/1382017656103002114/Z5GVr1b4_normal.jpg</v>
      </c>
      <c r="G1223" s="63"/>
      <c r="H1223" s="67"/>
      <c r="I1223" s="68"/>
      <c r="J1223" s="68"/>
      <c r="K1223" s="67" t="s">
        <v>28817</v>
      </c>
      <c r="L1223" s="71"/>
      <c r="M1223" s="72"/>
      <c r="N1223" s="72"/>
      <c r="O1223" s="73"/>
      <c r="P1223" s="74"/>
      <c r="Q1223" s="74"/>
      <c r="R1223" s="87"/>
      <c r="S1223" s="87"/>
      <c r="T1223" s="87"/>
      <c r="U1223" s="87"/>
      <c r="V1223" s="48"/>
      <c r="W1223" s="48"/>
      <c r="X1223" s="48"/>
      <c r="Y1223" s="48"/>
      <c r="Z1223" s="47"/>
      <c r="AA1223" s="69">
        <v>1223</v>
      </c>
      <c r="AB1223" s="69"/>
      <c r="AC1223" s="70"/>
      <c r="AD1223" s="76" t="s">
        <v>22443</v>
      </c>
      <c r="AE1223" s="81" t="s">
        <v>20938</v>
      </c>
      <c r="AF1223" s="76">
        <v>17</v>
      </c>
      <c r="AG1223" s="76">
        <v>4</v>
      </c>
      <c r="AH1223" s="76">
        <v>2140</v>
      </c>
      <c r="AI1223" s="76">
        <v>0</v>
      </c>
      <c r="AJ1223" s="76">
        <v>151</v>
      </c>
      <c r="AK1223" s="76">
        <v>1</v>
      </c>
      <c r="AL1223" s="76" t="b">
        <v>0</v>
      </c>
      <c r="AM1223" s="78">
        <v>44299.712627314817</v>
      </c>
      <c r="AN1223" s="76"/>
      <c r="AO1223" s="76" t="s">
        <v>25798</v>
      </c>
      <c r="AP1223" s="76"/>
      <c r="AQ1223" s="76"/>
      <c r="AR1223" s="76"/>
      <c r="AS1223" s="76"/>
      <c r="AT1223" s="76"/>
      <c r="AU1223" s="76"/>
      <c r="AV1223" s="76">
        <v>1.4377817661237901E+18</v>
      </c>
      <c r="AW1223" s="76"/>
      <c r="AX1223" s="76" t="b">
        <v>0</v>
      </c>
      <c r="AY1223" s="76"/>
      <c r="AZ1223" s="76"/>
      <c r="BA1223" s="76" t="b">
        <v>0</v>
      </c>
      <c r="BB1223" s="76" t="b">
        <v>1</v>
      </c>
      <c r="BC1223" s="76" t="b">
        <v>1</v>
      </c>
      <c r="BD1223" s="76" t="b">
        <v>0</v>
      </c>
      <c r="BE1223" s="76" t="b">
        <v>0</v>
      </c>
      <c r="BF1223" s="76" t="b">
        <v>0</v>
      </c>
      <c r="BG1223" s="76" t="b">
        <v>0</v>
      </c>
      <c r="BH1223" s="76"/>
      <c r="BI1223" s="76"/>
      <c r="BJ1223" s="76" t="s">
        <v>27595</v>
      </c>
      <c r="BK1223" s="76" t="b">
        <v>0</v>
      </c>
      <c r="BL1223" s="76"/>
      <c r="BM1223" s="76" t="s">
        <v>66</v>
      </c>
      <c r="BN1223" s="76" t="s">
        <v>27597</v>
      </c>
      <c r="BO1223" s="82" t="str">
        <f>HYPERLINK("https://twitter.com/empresasjornal")</f>
        <v>https://twitter.com/empresasjornal</v>
      </c>
      <c r="BP1223" s="2"/>
    </row>
    <row r="1224" spans="1:68" x14ac:dyDescent="0.25">
      <c r="A1224" s="62" t="s">
        <v>1118</v>
      </c>
      <c r="B1224" s="63"/>
      <c r="C1224" s="63"/>
      <c r="D1224" s="64"/>
      <c r="E1224" s="66"/>
      <c r="F1224" s="103" t="str">
        <f>HYPERLINK("https://pbs.twimg.com/profile_images/1693160757523816448/qhxt-gBw_normal.jpg")</f>
        <v>https://pbs.twimg.com/profile_images/1693160757523816448/qhxt-gBw_normal.jpg</v>
      </c>
      <c r="G1224" s="63"/>
      <c r="H1224" s="67"/>
      <c r="I1224" s="68"/>
      <c r="J1224" s="68"/>
      <c r="K1224" s="67" t="s">
        <v>28818</v>
      </c>
      <c r="L1224" s="71"/>
      <c r="M1224" s="72"/>
      <c r="N1224" s="72"/>
      <c r="O1224" s="73"/>
      <c r="P1224" s="74"/>
      <c r="Q1224" s="74"/>
      <c r="R1224" s="87"/>
      <c r="S1224" s="87"/>
      <c r="T1224" s="87"/>
      <c r="U1224" s="87"/>
      <c r="V1224" s="48"/>
      <c r="W1224" s="48"/>
      <c r="X1224" s="48"/>
      <c r="Y1224" s="48"/>
      <c r="Z1224" s="47"/>
      <c r="AA1224" s="69">
        <v>1224</v>
      </c>
      <c r="AB1224" s="69"/>
      <c r="AC1224" s="70"/>
      <c r="AD1224" s="76" t="s">
        <v>22444</v>
      </c>
      <c r="AE1224" s="81" t="s">
        <v>20939</v>
      </c>
      <c r="AF1224" s="76">
        <v>549</v>
      </c>
      <c r="AG1224" s="76">
        <v>946</v>
      </c>
      <c r="AH1224" s="76">
        <v>12710</v>
      </c>
      <c r="AI1224" s="76">
        <v>2</v>
      </c>
      <c r="AJ1224" s="76">
        <v>12516</v>
      </c>
      <c r="AK1224" s="76">
        <v>6265</v>
      </c>
      <c r="AL1224" s="76" t="b">
        <v>0</v>
      </c>
      <c r="AM1224" s="78">
        <v>44399.116111111114</v>
      </c>
      <c r="AN1224" s="76" t="s">
        <v>24502</v>
      </c>
      <c r="AO1224" s="76" t="s">
        <v>25799</v>
      </c>
      <c r="AP1224" s="76"/>
      <c r="AQ1224" s="76"/>
      <c r="AR1224" s="76"/>
      <c r="AS1224" s="76"/>
      <c r="AT1224" s="76"/>
      <c r="AU1224" s="76"/>
      <c r="AV1224" s="76">
        <v>1.70273580416493E+18</v>
      </c>
      <c r="AW1224" s="76"/>
      <c r="AX1224" s="76" t="b">
        <v>0</v>
      </c>
      <c r="AY1224" s="76"/>
      <c r="AZ1224" s="76"/>
      <c r="BA1224" s="76" t="b">
        <v>0</v>
      </c>
      <c r="BB1224" s="76" t="b">
        <v>0</v>
      </c>
      <c r="BC1224" s="76" t="b">
        <v>1</v>
      </c>
      <c r="BD1224" s="76" t="b">
        <v>0</v>
      </c>
      <c r="BE1224" s="76" t="b">
        <v>1</v>
      </c>
      <c r="BF1224" s="76" t="b">
        <v>0</v>
      </c>
      <c r="BG1224" s="76" t="b">
        <v>0</v>
      </c>
      <c r="BH1224" s="82" t="str">
        <f>HYPERLINK("https://pbs.twimg.com/profile_banners/1418039805909381122/1695444945")</f>
        <v>https://pbs.twimg.com/profile_banners/1418039805909381122/1695444945</v>
      </c>
      <c r="BI1224" s="76"/>
      <c r="BJ1224" s="76" t="s">
        <v>27595</v>
      </c>
      <c r="BK1224" s="76" t="b">
        <v>0</v>
      </c>
      <c r="BL1224" s="76"/>
      <c r="BM1224" s="76" t="s">
        <v>66</v>
      </c>
      <c r="BN1224" s="76" t="s">
        <v>27597</v>
      </c>
      <c r="BO1224" s="82" t="str">
        <f>HYPERLINK("https://twitter.com/tony_de_derecha")</f>
        <v>https://twitter.com/tony_de_derecha</v>
      </c>
      <c r="BP1224" s="2"/>
    </row>
    <row r="1225" spans="1:68" x14ac:dyDescent="0.25">
      <c r="A1225" s="62" t="s">
        <v>1119</v>
      </c>
      <c r="B1225" s="63"/>
      <c r="C1225" s="63"/>
      <c r="D1225" s="64"/>
      <c r="E1225" s="66"/>
      <c r="F1225" s="103" t="str">
        <f>HYPERLINK("https://pbs.twimg.com/profile_images/1594989142345240580/OcjHGFZL_normal.jpg")</f>
        <v>https://pbs.twimg.com/profile_images/1594989142345240580/OcjHGFZL_normal.jpg</v>
      </c>
      <c r="G1225" s="63"/>
      <c r="H1225" s="67"/>
      <c r="I1225" s="68"/>
      <c r="J1225" s="68"/>
      <c r="K1225" s="67" t="s">
        <v>28819</v>
      </c>
      <c r="L1225" s="71"/>
      <c r="M1225" s="72"/>
      <c r="N1225" s="72"/>
      <c r="O1225" s="73"/>
      <c r="P1225" s="74"/>
      <c r="Q1225" s="74"/>
      <c r="R1225" s="87"/>
      <c r="S1225" s="87"/>
      <c r="T1225" s="87"/>
      <c r="U1225" s="87"/>
      <c r="V1225" s="48"/>
      <c r="W1225" s="48"/>
      <c r="X1225" s="48"/>
      <c r="Y1225" s="48"/>
      <c r="Z1225" s="47"/>
      <c r="AA1225" s="69">
        <v>1225</v>
      </c>
      <c r="AB1225" s="69"/>
      <c r="AC1225" s="70"/>
      <c r="AD1225" s="76" t="s">
        <v>22445</v>
      </c>
      <c r="AE1225" s="81" t="s">
        <v>20940</v>
      </c>
      <c r="AF1225" s="76">
        <v>27</v>
      </c>
      <c r="AG1225" s="76">
        <v>504</v>
      </c>
      <c r="AH1225" s="76">
        <v>1939</v>
      </c>
      <c r="AI1225" s="76">
        <v>0</v>
      </c>
      <c r="AJ1225" s="76">
        <v>1523</v>
      </c>
      <c r="AK1225" s="76">
        <v>793</v>
      </c>
      <c r="AL1225" s="76" t="b">
        <v>0</v>
      </c>
      <c r="AM1225" s="78">
        <v>44887.402384259258</v>
      </c>
      <c r="AN1225" s="76"/>
      <c r="AO1225" s="76" t="s">
        <v>25800</v>
      </c>
      <c r="AP1225" s="76"/>
      <c r="AQ1225" s="76"/>
      <c r="AR1225" s="76"/>
      <c r="AS1225" s="76"/>
      <c r="AT1225" s="76"/>
      <c r="AU1225" s="76"/>
      <c r="AV1225" s="76"/>
      <c r="AW1225" s="76"/>
      <c r="AX1225" s="76" t="b">
        <v>0</v>
      </c>
      <c r="AY1225" s="76"/>
      <c r="AZ1225" s="76"/>
      <c r="BA1225" s="76" t="b">
        <v>0</v>
      </c>
      <c r="BB1225" s="76" t="b">
        <v>1</v>
      </c>
      <c r="BC1225" s="76" t="b">
        <v>1</v>
      </c>
      <c r="BD1225" s="76" t="b">
        <v>0</v>
      </c>
      <c r="BE1225" s="76" t="b">
        <v>0</v>
      </c>
      <c r="BF1225" s="76" t="b">
        <v>0</v>
      </c>
      <c r="BG1225" s="76" t="b">
        <v>0</v>
      </c>
      <c r="BH1225" s="82" t="str">
        <f>HYPERLINK("https://pbs.twimg.com/profile_banners/1594988809355141120/1684371576")</f>
        <v>https://pbs.twimg.com/profile_banners/1594988809355141120/1684371576</v>
      </c>
      <c r="BI1225" s="76"/>
      <c r="BJ1225" s="76" t="s">
        <v>27595</v>
      </c>
      <c r="BK1225" s="76" t="b">
        <v>0</v>
      </c>
      <c r="BL1225" s="76"/>
      <c r="BM1225" s="76" t="s">
        <v>66</v>
      </c>
      <c r="BN1225" s="76" t="s">
        <v>27597</v>
      </c>
      <c r="BO1225" s="82" t="str">
        <f>HYPERLINK("https://twitter.com/maxvillares")</f>
        <v>https://twitter.com/maxvillares</v>
      </c>
      <c r="BP1225" s="2"/>
    </row>
    <row r="1226" spans="1:68" x14ac:dyDescent="0.25">
      <c r="A1226" s="62" t="s">
        <v>1120</v>
      </c>
      <c r="B1226" s="63"/>
      <c r="C1226" s="63"/>
      <c r="D1226" s="64"/>
      <c r="E1226" s="66"/>
      <c r="F1226" s="103" t="str">
        <f>HYPERLINK("https://pbs.twimg.com/profile_images/1536664052604223488/qxIKvJcY_normal.jpg")</f>
        <v>https://pbs.twimg.com/profile_images/1536664052604223488/qxIKvJcY_normal.jpg</v>
      </c>
      <c r="G1226" s="63"/>
      <c r="H1226" s="67"/>
      <c r="I1226" s="68"/>
      <c r="J1226" s="68"/>
      <c r="K1226" s="67" t="s">
        <v>28820</v>
      </c>
      <c r="L1226" s="71"/>
      <c r="M1226" s="72"/>
      <c r="N1226" s="72"/>
      <c r="O1226" s="73"/>
      <c r="P1226" s="74"/>
      <c r="Q1226" s="74"/>
      <c r="R1226" s="87"/>
      <c r="S1226" s="87"/>
      <c r="T1226" s="87"/>
      <c r="U1226" s="87"/>
      <c r="V1226" s="48"/>
      <c r="W1226" s="48"/>
      <c r="X1226" s="48"/>
      <c r="Y1226" s="48"/>
      <c r="Z1226" s="47"/>
      <c r="AA1226" s="69">
        <v>1226</v>
      </c>
      <c r="AB1226" s="69"/>
      <c r="AC1226" s="70"/>
      <c r="AD1226" s="76" t="s">
        <v>22446</v>
      </c>
      <c r="AE1226" s="81" t="s">
        <v>23707</v>
      </c>
      <c r="AF1226" s="76">
        <v>326</v>
      </c>
      <c r="AG1226" s="76">
        <v>1142</v>
      </c>
      <c r="AH1226" s="76">
        <v>3080</v>
      </c>
      <c r="AI1226" s="76">
        <v>2</v>
      </c>
      <c r="AJ1226" s="76">
        <v>115</v>
      </c>
      <c r="AK1226" s="76">
        <v>66</v>
      </c>
      <c r="AL1226" s="76" t="b">
        <v>0</v>
      </c>
      <c r="AM1226" s="78">
        <v>40170.146261574075</v>
      </c>
      <c r="AN1226" s="76" t="s">
        <v>24503</v>
      </c>
      <c r="AO1226" s="76" t="s">
        <v>25801</v>
      </c>
      <c r="AP1226" s="82" t="str">
        <f>HYPERLINK("https://t.co/4ZXz594RGk")</f>
        <v>https://t.co/4ZXz594RGk</v>
      </c>
      <c r="AQ1226" s="82" t="str">
        <f>HYPERLINK("https://wa.me/c/584243009852")</f>
        <v>https://wa.me/c/584243009852</v>
      </c>
      <c r="AR1226" s="76" t="s">
        <v>27015</v>
      </c>
      <c r="AS1226" s="82" t="str">
        <f>HYPERLINK("https://t.co/LUAWlO3YfX")</f>
        <v>https://t.co/LUAWlO3YfX</v>
      </c>
      <c r="AT1226" s="82" t="str">
        <f>HYPERLINK("https://wa.me/584243009852")</f>
        <v>https://wa.me/584243009852</v>
      </c>
      <c r="AU1226" s="76" t="s">
        <v>27532</v>
      </c>
      <c r="AV1226" s="76"/>
      <c r="AW1226" s="82" t="str">
        <f>HYPERLINK("https://t.co/4ZXz594RGk")</f>
        <v>https://t.co/4ZXz594RGk</v>
      </c>
      <c r="AX1226" s="76" t="b">
        <v>0</v>
      </c>
      <c r="AY1226" s="76"/>
      <c r="AZ1226" s="76"/>
      <c r="BA1226" s="76" t="b">
        <v>1</v>
      </c>
      <c r="BB1226" s="76" t="b">
        <v>1</v>
      </c>
      <c r="BC1226" s="76" t="b">
        <v>0</v>
      </c>
      <c r="BD1226" s="76" t="b">
        <v>0</v>
      </c>
      <c r="BE1226" s="76" t="b">
        <v>1</v>
      </c>
      <c r="BF1226" s="76" t="b">
        <v>0</v>
      </c>
      <c r="BG1226" s="76" t="b">
        <v>0</v>
      </c>
      <c r="BH1226" s="82" t="str">
        <f>HYPERLINK("https://pbs.twimg.com/profile_banners/98784464/1690817958")</f>
        <v>https://pbs.twimg.com/profile_banners/98784464/1690817958</v>
      </c>
      <c r="BI1226" s="76"/>
      <c r="BJ1226" s="76" t="s">
        <v>27595</v>
      </c>
      <c r="BK1226" s="76" t="b">
        <v>0</v>
      </c>
      <c r="BL1226" s="76"/>
      <c r="BM1226" s="76" t="s">
        <v>66</v>
      </c>
      <c r="BN1226" s="76" t="s">
        <v>27597</v>
      </c>
      <c r="BO1226" s="82" t="str">
        <f>HYPERLINK("https://twitter.com/reycardozo")</f>
        <v>https://twitter.com/reycardozo</v>
      </c>
      <c r="BP1226" s="2"/>
    </row>
    <row r="1227" spans="1:68" x14ac:dyDescent="0.25">
      <c r="A1227" s="62" t="s">
        <v>1121</v>
      </c>
      <c r="B1227" s="63"/>
      <c r="C1227" s="63"/>
      <c r="D1227" s="64"/>
      <c r="E1227" s="66"/>
      <c r="F1227" s="103" t="str">
        <f>HYPERLINK("https://pbs.twimg.com/profile_images/1301998876740775938/1egukkxr_normal.jpg")</f>
        <v>https://pbs.twimg.com/profile_images/1301998876740775938/1egukkxr_normal.jpg</v>
      </c>
      <c r="G1227" s="63"/>
      <c r="H1227" s="67"/>
      <c r="I1227" s="68"/>
      <c r="J1227" s="68"/>
      <c r="K1227" s="67" t="s">
        <v>28821</v>
      </c>
      <c r="L1227" s="71"/>
      <c r="M1227" s="72"/>
      <c r="N1227" s="72"/>
      <c r="O1227" s="73"/>
      <c r="P1227" s="74"/>
      <c r="Q1227" s="74"/>
      <c r="R1227" s="87"/>
      <c r="S1227" s="87"/>
      <c r="T1227" s="87"/>
      <c r="U1227" s="87"/>
      <c r="V1227" s="48"/>
      <c r="W1227" s="48"/>
      <c r="X1227" s="48"/>
      <c r="Y1227" s="48"/>
      <c r="Z1227" s="47"/>
      <c r="AA1227" s="69">
        <v>1227</v>
      </c>
      <c r="AB1227" s="69"/>
      <c r="AC1227" s="70"/>
      <c r="AD1227" s="76" t="s">
        <v>22447</v>
      </c>
      <c r="AE1227" s="81" t="s">
        <v>20941</v>
      </c>
      <c r="AF1227" s="76">
        <v>10</v>
      </c>
      <c r="AG1227" s="76">
        <v>191</v>
      </c>
      <c r="AH1227" s="76">
        <v>9</v>
      </c>
      <c r="AI1227" s="76">
        <v>0</v>
      </c>
      <c r="AJ1227" s="76">
        <v>2038</v>
      </c>
      <c r="AK1227" s="76">
        <v>1</v>
      </c>
      <c r="AL1227" s="76" t="b">
        <v>0</v>
      </c>
      <c r="AM1227" s="78">
        <v>42492.885567129626</v>
      </c>
      <c r="AN1227" s="76"/>
      <c r="AO1227" s="76" t="s">
        <v>25802</v>
      </c>
      <c r="AP1227" s="76"/>
      <c r="AQ1227" s="76"/>
      <c r="AR1227" s="76"/>
      <c r="AS1227" s="76"/>
      <c r="AT1227" s="76"/>
      <c r="AU1227" s="76"/>
      <c r="AV1227" s="76"/>
      <c r="AW1227" s="76"/>
      <c r="AX1227" s="76" t="b">
        <v>0</v>
      </c>
      <c r="AY1227" s="76"/>
      <c r="AZ1227" s="76"/>
      <c r="BA1227" s="76" t="b">
        <v>1</v>
      </c>
      <c r="BB1227" s="76" t="b">
        <v>0</v>
      </c>
      <c r="BC1227" s="76" t="b">
        <v>1</v>
      </c>
      <c r="BD1227" s="76" t="b">
        <v>0</v>
      </c>
      <c r="BE1227" s="76" t="b">
        <v>1</v>
      </c>
      <c r="BF1227" s="76" t="b">
        <v>0</v>
      </c>
      <c r="BG1227" s="76" t="b">
        <v>0</v>
      </c>
      <c r="BH1227" s="76"/>
      <c r="BI1227" s="76"/>
      <c r="BJ1227" s="76" t="s">
        <v>27595</v>
      </c>
      <c r="BK1227" s="76" t="b">
        <v>0</v>
      </c>
      <c r="BL1227" s="76"/>
      <c r="BM1227" s="76" t="s">
        <v>66</v>
      </c>
      <c r="BN1227" s="76" t="s">
        <v>27597</v>
      </c>
      <c r="BO1227" s="82" t="str">
        <f>HYPERLINK("https://twitter.com/afk_1rl")</f>
        <v>https://twitter.com/afk_1rl</v>
      </c>
      <c r="BP1227" s="2"/>
    </row>
    <row r="1228" spans="1:68" x14ac:dyDescent="0.25">
      <c r="A1228" s="62" t="s">
        <v>1122</v>
      </c>
      <c r="B1228" s="63"/>
      <c r="C1228" s="63"/>
      <c r="D1228" s="64"/>
      <c r="E1228" s="66"/>
      <c r="F1228" s="103" t="str">
        <f>HYPERLINK("https://pbs.twimg.com/profile_images/1466023206486253570/ibbXwo_e_normal.jpg")</f>
        <v>https://pbs.twimg.com/profile_images/1466023206486253570/ibbXwo_e_normal.jpg</v>
      </c>
      <c r="G1228" s="63"/>
      <c r="H1228" s="67"/>
      <c r="I1228" s="68"/>
      <c r="J1228" s="68"/>
      <c r="K1228" s="67" t="s">
        <v>28822</v>
      </c>
      <c r="L1228" s="71"/>
      <c r="M1228" s="72"/>
      <c r="N1228" s="72"/>
      <c r="O1228" s="73"/>
      <c r="P1228" s="74"/>
      <c r="Q1228" s="74"/>
      <c r="R1228" s="87"/>
      <c r="S1228" s="87"/>
      <c r="T1228" s="87"/>
      <c r="U1228" s="87"/>
      <c r="V1228" s="48"/>
      <c r="W1228" s="48"/>
      <c r="X1228" s="48"/>
      <c r="Y1228" s="48"/>
      <c r="Z1228" s="47"/>
      <c r="AA1228" s="69">
        <v>1228</v>
      </c>
      <c r="AB1228" s="69"/>
      <c r="AC1228" s="70"/>
      <c r="AD1228" s="76" t="s">
        <v>22448</v>
      </c>
      <c r="AE1228" s="81" t="s">
        <v>20942</v>
      </c>
      <c r="AF1228" s="76">
        <v>5022</v>
      </c>
      <c r="AG1228" s="76">
        <v>138</v>
      </c>
      <c r="AH1228" s="76">
        <v>25386</v>
      </c>
      <c r="AI1228" s="76">
        <v>10</v>
      </c>
      <c r="AJ1228" s="76">
        <v>1412</v>
      </c>
      <c r="AK1228" s="76">
        <v>9102</v>
      </c>
      <c r="AL1228" s="76" t="b">
        <v>0</v>
      </c>
      <c r="AM1228" s="78">
        <v>43234.828622685185</v>
      </c>
      <c r="AN1228" s="76" t="s">
        <v>24504</v>
      </c>
      <c r="AO1228" s="76" t="s">
        <v>25803</v>
      </c>
      <c r="AP1228" s="82" t="str">
        <f>HYPERLINK("https://t.co/dw3GRS37ld")</f>
        <v>https://t.co/dw3GRS37ld</v>
      </c>
      <c r="AQ1228" s="82" t="str">
        <f>HYPERLINK("http://conecta.bio/rdctv")</f>
        <v>http://conecta.bio/rdctv</v>
      </c>
      <c r="AR1228" s="76" t="s">
        <v>27016</v>
      </c>
      <c r="AS1228" s="76"/>
      <c r="AT1228" s="76"/>
      <c r="AU1228" s="76"/>
      <c r="AV1228" s="76"/>
      <c r="AW1228" s="82" t="str">
        <f>HYPERLINK("https://t.co/dw3GRS37ld")</f>
        <v>https://t.co/dw3GRS37ld</v>
      </c>
      <c r="AX1228" s="76" t="b">
        <v>0</v>
      </c>
      <c r="AY1228" s="76"/>
      <c r="AZ1228" s="76"/>
      <c r="BA1228" s="76" t="b">
        <v>0</v>
      </c>
      <c r="BB1228" s="76" t="b">
        <v>0</v>
      </c>
      <c r="BC1228" s="76" t="b">
        <v>0</v>
      </c>
      <c r="BD1228" s="76" t="b">
        <v>0</v>
      </c>
      <c r="BE1228" s="76" t="b">
        <v>1</v>
      </c>
      <c r="BF1228" s="76" t="b">
        <v>0</v>
      </c>
      <c r="BG1228" s="76" t="b">
        <v>0</v>
      </c>
      <c r="BH1228" s="82" t="str">
        <f>HYPERLINK("https://pbs.twimg.com/profile_banners/996116239289405443/1688585122")</f>
        <v>https://pbs.twimg.com/profile_banners/996116239289405443/1688585122</v>
      </c>
      <c r="BI1228" s="76"/>
      <c r="BJ1228" s="76" t="s">
        <v>27595</v>
      </c>
      <c r="BK1228" s="76" t="b">
        <v>0</v>
      </c>
      <c r="BL1228" s="76"/>
      <c r="BM1228" s="76" t="s">
        <v>66</v>
      </c>
      <c r="BN1228" s="76" t="s">
        <v>27597</v>
      </c>
      <c r="BO1228" s="82" t="str">
        <f>HYPERLINK("https://twitter.com/rdctvdigital")</f>
        <v>https://twitter.com/rdctvdigital</v>
      </c>
      <c r="BP1228" s="2"/>
    </row>
    <row r="1229" spans="1:68" x14ac:dyDescent="0.25">
      <c r="A1229" s="62" t="s">
        <v>1123</v>
      </c>
      <c r="B1229" s="63"/>
      <c r="C1229" s="63"/>
      <c r="D1229" s="64"/>
      <c r="E1229" s="66"/>
      <c r="F1229" s="103" t="str">
        <f>HYPERLINK("https://pbs.twimg.com/profile_images/1006930707975991297/YWls0P6r_normal.jpg")</f>
        <v>https://pbs.twimg.com/profile_images/1006930707975991297/YWls0P6r_normal.jpg</v>
      </c>
      <c r="G1229" s="63"/>
      <c r="H1229" s="67"/>
      <c r="I1229" s="68"/>
      <c r="J1229" s="68"/>
      <c r="K1229" s="67" t="s">
        <v>28823</v>
      </c>
      <c r="L1229" s="71"/>
      <c r="M1229" s="72"/>
      <c r="N1229" s="72"/>
      <c r="O1229" s="73"/>
      <c r="P1229" s="74"/>
      <c r="Q1229" s="74"/>
      <c r="R1229" s="87"/>
      <c r="S1229" s="87"/>
      <c r="T1229" s="87"/>
      <c r="U1229" s="87"/>
      <c r="V1229" s="48"/>
      <c r="W1229" s="48"/>
      <c r="X1229" s="48"/>
      <c r="Y1229" s="48"/>
      <c r="Z1229" s="47"/>
      <c r="AA1229" s="69">
        <v>1229</v>
      </c>
      <c r="AB1229" s="69"/>
      <c r="AC1229" s="70"/>
      <c r="AD1229" s="76" t="s">
        <v>22449</v>
      </c>
      <c r="AE1229" s="81" t="s">
        <v>20943</v>
      </c>
      <c r="AF1229" s="76">
        <v>380</v>
      </c>
      <c r="AG1229" s="76">
        <v>239</v>
      </c>
      <c r="AH1229" s="76">
        <v>20373</v>
      </c>
      <c r="AI1229" s="76">
        <v>5</v>
      </c>
      <c r="AJ1229" s="76">
        <v>203</v>
      </c>
      <c r="AK1229" s="76">
        <v>19717</v>
      </c>
      <c r="AL1229" s="76" t="b">
        <v>0</v>
      </c>
      <c r="AM1229" s="78">
        <v>43259.544224537036</v>
      </c>
      <c r="AN1229" s="76" t="s">
        <v>24505</v>
      </c>
      <c r="AO1229" s="76" t="s">
        <v>25804</v>
      </c>
      <c r="AP1229" s="82" t="str">
        <f>HYPERLINK("https://t.co/mrj6WaxsAH")</f>
        <v>https://t.co/mrj6WaxsAH</v>
      </c>
      <c r="AQ1229" s="82" t="str">
        <f>HYPERLINK("http://jornalsomos.com.br")</f>
        <v>http://jornalsomos.com.br</v>
      </c>
      <c r="AR1229" s="76" t="s">
        <v>27017</v>
      </c>
      <c r="AS1229" s="76"/>
      <c r="AT1229" s="76"/>
      <c r="AU1229" s="76"/>
      <c r="AV1229" s="76"/>
      <c r="AW1229" s="82" t="str">
        <f>HYPERLINK("https://t.co/mrj6WaxsAH")</f>
        <v>https://t.co/mrj6WaxsAH</v>
      </c>
      <c r="AX1229" s="76" t="b">
        <v>0</v>
      </c>
      <c r="AY1229" s="76"/>
      <c r="AZ1229" s="76"/>
      <c r="BA1229" s="76" t="b">
        <v>1</v>
      </c>
      <c r="BB1229" s="76" t="b">
        <v>1</v>
      </c>
      <c r="BC1229" s="76" t="b">
        <v>0</v>
      </c>
      <c r="BD1229" s="76" t="b">
        <v>0</v>
      </c>
      <c r="BE1229" s="76" t="b">
        <v>1</v>
      </c>
      <c r="BF1229" s="76" t="b">
        <v>0</v>
      </c>
      <c r="BG1229" s="76" t="b">
        <v>0</v>
      </c>
      <c r="BH1229" s="82" t="str">
        <f>HYPERLINK("https://pbs.twimg.com/profile_banners/1005072875295002624/1586983970")</f>
        <v>https://pbs.twimg.com/profile_banners/1005072875295002624/1586983970</v>
      </c>
      <c r="BI1229" s="76"/>
      <c r="BJ1229" s="76" t="s">
        <v>27595</v>
      </c>
      <c r="BK1229" s="76" t="b">
        <v>0</v>
      </c>
      <c r="BL1229" s="76"/>
      <c r="BM1229" s="76" t="s">
        <v>66</v>
      </c>
      <c r="BN1229" s="76" t="s">
        <v>27597</v>
      </c>
      <c r="BO1229" s="82" t="str">
        <f>HYPERLINK("https://twitter.com/jornalsomos")</f>
        <v>https://twitter.com/jornalsomos</v>
      </c>
      <c r="BP1229" s="2"/>
    </row>
    <row r="1230" spans="1:68" x14ac:dyDescent="0.25">
      <c r="A1230" s="62" t="s">
        <v>1124</v>
      </c>
      <c r="B1230" s="63"/>
      <c r="C1230" s="63"/>
      <c r="D1230" s="64"/>
      <c r="E1230" s="66"/>
      <c r="F1230" s="103" t="str">
        <f>HYPERLINK("https://pbs.twimg.com/profile_images/1653377129373921281/yTn9SVaU_normal.jpg")</f>
        <v>https://pbs.twimg.com/profile_images/1653377129373921281/yTn9SVaU_normal.jpg</v>
      </c>
      <c r="G1230" s="63"/>
      <c r="H1230" s="67"/>
      <c r="I1230" s="68"/>
      <c r="J1230" s="68"/>
      <c r="K1230" s="67" t="s">
        <v>28824</v>
      </c>
      <c r="L1230" s="71"/>
      <c r="M1230" s="72"/>
      <c r="N1230" s="72"/>
      <c r="O1230" s="73"/>
      <c r="P1230" s="74"/>
      <c r="Q1230" s="74"/>
      <c r="R1230" s="87"/>
      <c r="S1230" s="87"/>
      <c r="T1230" s="87"/>
      <c r="U1230" s="87"/>
      <c r="V1230" s="48"/>
      <c r="W1230" s="48"/>
      <c r="X1230" s="48"/>
      <c r="Y1230" s="48"/>
      <c r="Z1230" s="47"/>
      <c r="AA1230" s="69">
        <v>1230</v>
      </c>
      <c r="AB1230" s="69"/>
      <c r="AC1230" s="70"/>
      <c r="AD1230" s="76" t="s">
        <v>22450</v>
      </c>
      <c r="AE1230" s="81" t="s">
        <v>23708</v>
      </c>
      <c r="AF1230" s="76">
        <v>16407</v>
      </c>
      <c r="AG1230" s="76">
        <v>432</v>
      </c>
      <c r="AH1230" s="76">
        <v>120346</v>
      </c>
      <c r="AI1230" s="76">
        <v>97</v>
      </c>
      <c r="AJ1230" s="76">
        <v>722</v>
      </c>
      <c r="AK1230" s="76">
        <v>21280</v>
      </c>
      <c r="AL1230" s="76" t="b">
        <v>0</v>
      </c>
      <c r="AM1230" s="78">
        <v>40494.505648148152</v>
      </c>
      <c r="AN1230" s="76" t="s">
        <v>14422</v>
      </c>
      <c r="AO1230" s="76" t="s">
        <v>25805</v>
      </c>
      <c r="AP1230" s="82" t="str">
        <f>HYPERLINK("https://t.co/RnuZnMNaTQ")</f>
        <v>https://t.co/RnuZnMNaTQ</v>
      </c>
      <c r="AQ1230" s="82" t="str">
        <f>HYPERLINK("http://www.ariesonline.com.ar")</f>
        <v>http://www.ariesonline.com.ar</v>
      </c>
      <c r="AR1230" s="76" t="s">
        <v>27018</v>
      </c>
      <c r="AS1230" s="76"/>
      <c r="AT1230" s="76"/>
      <c r="AU1230" s="76"/>
      <c r="AV1230" s="76"/>
      <c r="AW1230" s="82" t="str">
        <f>HYPERLINK("https://t.co/RnuZnMNaTQ")</f>
        <v>https://t.co/RnuZnMNaTQ</v>
      </c>
      <c r="AX1230" s="76" t="b">
        <v>0</v>
      </c>
      <c r="AY1230" s="76"/>
      <c r="AZ1230" s="76"/>
      <c r="BA1230" s="76" t="b">
        <v>0</v>
      </c>
      <c r="BB1230" s="76" t="b">
        <v>1</v>
      </c>
      <c r="BC1230" s="76" t="b">
        <v>0</v>
      </c>
      <c r="BD1230" s="76" t="b">
        <v>0</v>
      </c>
      <c r="BE1230" s="76" t="b">
        <v>0</v>
      </c>
      <c r="BF1230" s="76" t="b">
        <v>0</v>
      </c>
      <c r="BG1230" s="76" t="b">
        <v>0</v>
      </c>
      <c r="BH1230" s="82" t="str">
        <f>HYPERLINK("https://pbs.twimg.com/profile_banners/214859075/1683030802")</f>
        <v>https://pbs.twimg.com/profile_banners/214859075/1683030802</v>
      </c>
      <c r="BI1230" s="76"/>
      <c r="BJ1230" s="76" t="s">
        <v>27595</v>
      </c>
      <c r="BK1230" s="76" t="b">
        <v>0</v>
      </c>
      <c r="BL1230" s="76"/>
      <c r="BM1230" s="76" t="s">
        <v>66</v>
      </c>
      <c r="BN1230" s="76" t="s">
        <v>27597</v>
      </c>
      <c r="BO1230" s="82" t="str">
        <f>HYPERLINK("https://twitter.com/ariesfmsalta")</f>
        <v>https://twitter.com/ariesfmsalta</v>
      </c>
      <c r="BP1230" s="2"/>
    </row>
    <row r="1231" spans="1:68" x14ac:dyDescent="0.25">
      <c r="A1231" s="62" t="s">
        <v>1126</v>
      </c>
      <c r="B1231" s="63"/>
      <c r="C1231" s="63"/>
      <c r="D1231" s="64"/>
      <c r="E1231" s="66"/>
      <c r="F1231" s="103" t="str">
        <f>HYPERLINK("https://pbs.twimg.com/profile_images/1675879873468944385/BMQ3tR84_normal.jpg")</f>
        <v>https://pbs.twimg.com/profile_images/1675879873468944385/BMQ3tR84_normal.jpg</v>
      </c>
      <c r="G1231" s="63"/>
      <c r="H1231" s="67"/>
      <c r="I1231" s="68"/>
      <c r="J1231" s="68"/>
      <c r="K1231" s="67" t="s">
        <v>28825</v>
      </c>
      <c r="L1231" s="71"/>
      <c r="M1231" s="72"/>
      <c r="N1231" s="72"/>
      <c r="O1231" s="73"/>
      <c r="P1231" s="74"/>
      <c r="Q1231" s="74"/>
      <c r="R1231" s="87"/>
      <c r="S1231" s="87"/>
      <c r="T1231" s="87"/>
      <c r="U1231" s="87"/>
      <c r="V1231" s="48"/>
      <c r="W1231" s="48"/>
      <c r="X1231" s="48"/>
      <c r="Y1231" s="48"/>
      <c r="Z1231" s="47"/>
      <c r="AA1231" s="69">
        <v>1231</v>
      </c>
      <c r="AB1231" s="69"/>
      <c r="AC1231" s="70"/>
      <c r="AD1231" s="76" t="s">
        <v>22451</v>
      </c>
      <c r="AE1231" s="81" t="s">
        <v>20325</v>
      </c>
      <c r="AF1231" s="76">
        <v>7285</v>
      </c>
      <c r="AG1231" s="76">
        <v>5715</v>
      </c>
      <c r="AH1231" s="76">
        <v>32817</v>
      </c>
      <c r="AI1231" s="76">
        <v>13</v>
      </c>
      <c r="AJ1231" s="76">
        <v>80084</v>
      </c>
      <c r="AK1231" s="76">
        <v>2838</v>
      </c>
      <c r="AL1231" s="76" t="b">
        <v>0</v>
      </c>
      <c r="AM1231" s="78">
        <v>41491.985000000001</v>
      </c>
      <c r="AN1231" s="76" t="s">
        <v>14400</v>
      </c>
      <c r="AO1231" s="76" t="s">
        <v>25806</v>
      </c>
      <c r="AP1231" s="82" t="str">
        <f>HYPERLINK("https://t.co/1zyarM5Ac4")</f>
        <v>https://t.co/1zyarM5Ac4</v>
      </c>
      <c r="AQ1231" s="82" t="str">
        <f>HYPERLINK("https://spbancarios.com.br/")</f>
        <v>https://spbancarios.com.br/</v>
      </c>
      <c r="AR1231" s="76" t="s">
        <v>27019</v>
      </c>
      <c r="AS1231" s="76"/>
      <c r="AT1231" s="76"/>
      <c r="AU1231" s="76"/>
      <c r="AV1231" s="76">
        <v>1.6834661758402299E+18</v>
      </c>
      <c r="AW1231" s="82" t="str">
        <f>HYPERLINK("https://t.co/1zyarM5Ac4")</f>
        <v>https://t.co/1zyarM5Ac4</v>
      </c>
      <c r="AX1231" s="76" t="b">
        <v>0</v>
      </c>
      <c r="AY1231" s="76"/>
      <c r="AZ1231" s="76"/>
      <c r="BA1231" s="76" t="b">
        <v>0</v>
      </c>
      <c r="BB1231" s="76" t="b">
        <v>1</v>
      </c>
      <c r="BC1231" s="76" t="b">
        <v>1</v>
      </c>
      <c r="BD1231" s="76" t="b">
        <v>0</v>
      </c>
      <c r="BE1231" s="76" t="b">
        <v>1</v>
      </c>
      <c r="BF1231" s="76" t="b">
        <v>0</v>
      </c>
      <c r="BG1231" s="76" t="b">
        <v>0</v>
      </c>
      <c r="BH1231" s="82" t="str">
        <f>HYPERLINK("https://pbs.twimg.com/profile_banners/1648921452/1681875300")</f>
        <v>https://pbs.twimg.com/profile_banners/1648921452/1681875300</v>
      </c>
      <c r="BI1231" s="76"/>
      <c r="BJ1231" s="76" t="s">
        <v>27595</v>
      </c>
      <c r="BK1231" s="76" t="b">
        <v>0</v>
      </c>
      <c r="BL1231" s="76"/>
      <c r="BM1231" s="76" t="s">
        <v>66</v>
      </c>
      <c r="BN1231" s="76" t="s">
        <v>27597</v>
      </c>
      <c r="BO1231" s="82" t="str">
        <f>HYPERLINK("https://twitter.com/neivamrs")</f>
        <v>https://twitter.com/neivamrs</v>
      </c>
      <c r="BP1231" s="2"/>
    </row>
    <row r="1232" spans="1:68" x14ac:dyDescent="0.25">
      <c r="A1232" s="62" t="s">
        <v>1127</v>
      </c>
      <c r="B1232" s="63"/>
      <c r="C1232" s="63"/>
      <c r="D1232" s="64"/>
      <c r="E1232" s="66"/>
      <c r="F1232" s="103" t="str">
        <f>HYPERLINK("https://pbs.twimg.com/profile_images/1620068456165933060/TShADQck_normal.jpg")</f>
        <v>https://pbs.twimg.com/profile_images/1620068456165933060/TShADQck_normal.jpg</v>
      </c>
      <c r="G1232" s="63"/>
      <c r="H1232" s="67"/>
      <c r="I1232" s="68"/>
      <c r="J1232" s="68"/>
      <c r="K1232" s="67" t="s">
        <v>28826</v>
      </c>
      <c r="L1232" s="71"/>
      <c r="M1232" s="72"/>
      <c r="N1232" s="72"/>
      <c r="O1232" s="73"/>
      <c r="P1232" s="74"/>
      <c r="Q1232" s="74"/>
      <c r="R1232" s="87"/>
      <c r="S1232" s="87"/>
      <c r="T1232" s="87"/>
      <c r="U1232" s="87"/>
      <c r="V1232" s="48"/>
      <c r="W1232" s="48"/>
      <c r="X1232" s="48"/>
      <c r="Y1232" s="48"/>
      <c r="Z1232" s="47"/>
      <c r="AA1232" s="69">
        <v>1232</v>
      </c>
      <c r="AB1232" s="69"/>
      <c r="AC1232" s="70"/>
      <c r="AD1232" s="76" t="s">
        <v>22452</v>
      </c>
      <c r="AE1232" s="81" t="s">
        <v>20944</v>
      </c>
      <c r="AF1232" s="76">
        <v>2367</v>
      </c>
      <c r="AG1232" s="76">
        <v>0</v>
      </c>
      <c r="AH1232" s="76">
        <v>3779</v>
      </c>
      <c r="AI1232" s="76">
        <v>34</v>
      </c>
      <c r="AJ1232" s="76">
        <v>27</v>
      </c>
      <c r="AK1232" s="76">
        <v>223</v>
      </c>
      <c r="AL1232" s="76" t="b">
        <v>0</v>
      </c>
      <c r="AM1232" s="78">
        <v>44154.484259259261</v>
      </c>
      <c r="AN1232" s="76"/>
      <c r="AO1232" s="76" t="s">
        <v>25807</v>
      </c>
      <c r="AP1232" s="82" t="str">
        <f>HYPERLINK("https://t.co/0uJ9BYJxkN")</f>
        <v>https://t.co/0uJ9BYJxkN</v>
      </c>
      <c r="AQ1232" s="82" t="str">
        <f>HYPERLINK("http://flj.com.br")</f>
        <v>http://flj.com.br</v>
      </c>
      <c r="AR1232" s="76" t="s">
        <v>27020</v>
      </c>
      <c r="AS1232" s="76"/>
      <c r="AT1232" s="76"/>
      <c r="AU1232" s="76"/>
      <c r="AV1232" s="76">
        <v>1.6201214122154099E+18</v>
      </c>
      <c r="AW1232" s="82" t="str">
        <f>HYPERLINK("https://t.co/0uJ9BYJxkN")</f>
        <v>https://t.co/0uJ9BYJxkN</v>
      </c>
      <c r="AX1232" s="76" t="b">
        <v>1</v>
      </c>
      <c r="AY1232" s="76"/>
      <c r="AZ1232" s="76"/>
      <c r="BA1232" s="76" t="b">
        <v>1</v>
      </c>
      <c r="BB1232" s="76" t="b">
        <v>1</v>
      </c>
      <c r="BC1232" s="76" t="b">
        <v>1</v>
      </c>
      <c r="BD1232" s="76" t="b">
        <v>0</v>
      </c>
      <c r="BE1232" s="76" t="b">
        <v>0</v>
      </c>
      <c r="BF1232" s="76" t="b">
        <v>0</v>
      </c>
      <c r="BG1232" s="76" t="b">
        <v>0</v>
      </c>
      <c r="BH1232" s="82" t="str">
        <f>HYPERLINK("https://pbs.twimg.com/profile_banners/1329388236519727105/1675271884")</f>
        <v>https://pbs.twimg.com/profile_banners/1329388236519727105/1675271884</v>
      </c>
      <c r="BI1232" s="76"/>
      <c r="BJ1232" s="76" t="s">
        <v>27595</v>
      </c>
      <c r="BK1232" s="76" t="b">
        <v>0</v>
      </c>
      <c r="BL1232" s="76"/>
      <c r="BM1232" s="76" t="s">
        <v>66</v>
      </c>
      <c r="BN1232" s="76" t="s">
        <v>27597</v>
      </c>
      <c r="BO1232" s="82" t="str">
        <f>HYPERLINK("https://twitter.com/leiaflj")</f>
        <v>https://twitter.com/leiaflj</v>
      </c>
      <c r="BP1232" s="2"/>
    </row>
    <row r="1233" spans="1:68" x14ac:dyDescent="0.25">
      <c r="A1233" s="62" t="s">
        <v>1128</v>
      </c>
      <c r="B1233" s="63"/>
      <c r="C1233" s="63"/>
      <c r="D1233" s="64"/>
      <c r="E1233" s="66"/>
      <c r="F1233" s="103" t="str">
        <f>HYPERLINK("https://pbs.twimg.com/profile_images/1595385285709283330/MVHn1V9f_normal.jpg")</f>
        <v>https://pbs.twimg.com/profile_images/1595385285709283330/MVHn1V9f_normal.jpg</v>
      </c>
      <c r="G1233" s="63"/>
      <c r="H1233" s="67"/>
      <c r="I1233" s="68"/>
      <c r="J1233" s="68"/>
      <c r="K1233" s="67" t="s">
        <v>28827</v>
      </c>
      <c r="L1233" s="71"/>
      <c r="M1233" s="72"/>
      <c r="N1233" s="72"/>
      <c r="O1233" s="73"/>
      <c r="P1233" s="74"/>
      <c r="Q1233" s="74"/>
      <c r="R1233" s="87"/>
      <c r="S1233" s="87"/>
      <c r="T1233" s="87"/>
      <c r="U1233" s="87"/>
      <c r="V1233" s="48"/>
      <c r="W1233" s="48"/>
      <c r="X1233" s="48"/>
      <c r="Y1233" s="48"/>
      <c r="Z1233" s="47"/>
      <c r="AA1233" s="69">
        <v>1233</v>
      </c>
      <c r="AB1233" s="69"/>
      <c r="AC1233" s="70"/>
      <c r="AD1233" s="76" t="s">
        <v>22453</v>
      </c>
      <c r="AE1233" s="81" t="s">
        <v>23709</v>
      </c>
      <c r="AF1233" s="76">
        <v>5094</v>
      </c>
      <c r="AG1233" s="76">
        <v>78</v>
      </c>
      <c r="AH1233" s="76">
        <v>19828</v>
      </c>
      <c r="AI1233" s="76">
        <v>134</v>
      </c>
      <c r="AJ1233" s="76">
        <v>712</v>
      </c>
      <c r="AK1233" s="76">
        <v>2662</v>
      </c>
      <c r="AL1233" s="76" t="b">
        <v>0</v>
      </c>
      <c r="AM1233" s="78">
        <v>40140.891226851854</v>
      </c>
      <c r="AN1233" s="76" t="s">
        <v>14382</v>
      </c>
      <c r="AO1233" s="76" t="s">
        <v>25808</v>
      </c>
      <c r="AP1233" s="82" t="str">
        <f>HYPERLINK("https://t.co/TwT6LMbXhX")</f>
        <v>https://t.co/TwT6LMbXhX</v>
      </c>
      <c r="AQ1233" s="82" t="str">
        <f>HYPERLINK("http://www.hauly.com.br")</f>
        <v>http://www.hauly.com.br</v>
      </c>
      <c r="AR1233" s="76" t="s">
        <v>27021</v>
      </c>
      <c r="AS1233" s="76"/>
      <c r="AT1233" s="76"/>
      <c r="AU1233" s="76"/>
      <c r="AV1233" s="76"/>
      <c r="AW1233" s="82" t="str">
        <f>HYPERLINK("https://t.co/TwT6LMbXhX")</f>
        <v>https://t.co/TwT6LMbXhX</v>
      </c>
      <c r="AX1233" s="76" t="b">
        <v>0</v>
      </c>
      <c r="AY1233" s="76"/>
      <c r="AZ1233" s="76"/>
      <c r="BA1233" s="76" t="b">
        <v>1</v>
      </c>
      <c r="BB1233" s="76" t="b">
        <v>0</v>
      </c>
      <c r="BC1233" s="76" t="b">
        <v>0</v>
      </c>
      <c r="BD1233" s="76" t="b">
        <v>0</v>
      </c>
      <c r="BE1233" s="76" t="b">
        <v>1</v>
      </c>
      <c r="BF1233" s="76" t="b">
        <v>0</v>
      </c>
      <c r="BG1233" s="76" t="b">
        <v>0</v>
      </c>
      <c r="BH1233" s="82" t="str">
        <f>HYPERLINK("https://pbs.twimg.com/profile_banners/92117145/1562007717")</f>
        <v>https://pbs.twimg.com/profile_banners/92117145/1562007717</v>
      </c>
      <c r="BI1233" s="76"/>
      <c r="BJ1233" s="76" t="s">
        <v>27595</v>
      </c>
      <c r="BK1233" s="76" t="b">
        <v>0</v>
      </c>
      <c r="BL1233" s="76"/>
      <c r="BM1233" s="76" t="s">
        <v>66</v>
      </c>
      <c r="BN1233" s="76" t="s">
        <v>27597</v>
      </c>
      <c r="BO1233" s="82" t="str">
        <f>HYPERLINK("https://twitter.com/deputadohauly")</f>
        <v>https://twitter.com/deputadohauly</v>
      </c>
      <c r="BP1233" s="2"/>
    </row>
    <row r="1234" spans="1:68" x14ac:dyDescent="0.25">
      <c r="A1234" s="62" t="s">
        <v>1129</v>
      </c>
      <c r="B1234" s="63"/>
      <c r="C1234" s="63"/>
      <c r="D1234" s="64"/>
      <c r="E1234" s="66"/>
      <c r="F1234" s="103" t="str">
        <f>HYPERLINK("https://pbs.twimg.com/profile_images/1685028799677698048/A3FDnInL_normal.jpg")</f>
        <v>https://pbs.twimg.com/profile_images/1685028799677698048/A3FDnInL_normal.jpg</v>
      </c>
      <c r="G1234" s="63"/>
      <c r="H1234" s="67"/>
      <c r="I1234" s="68"/>
      <c r="J1234" s="68"/>
      <c r="K1234" s="67" t="s">
        <v>28828</v>
      </c>
      <c r="L1234" s="71"/>
      <c r="M1234" s="72"/>
      <c r="N1234" s="72"/>
      <c r="O1234" s="73"/>
      <c r="P1234" s="74"/>
      <c r="Q1234" s="74"/>
      <c r="R1234" s="87"/>
      <c r="S1234" s="87"/>
      <c r="T1234" s="87"/>
      <c r="U1234" s="87"/>
      <c r="V1234" s="48"/>
      <c r="W1234" s="48"/>
      <c r="X1234" s="48"/>
      <c r="Y1234" s="48"/>
      <c r="Z1234" s="47"/>
      <c r="AA1234" s="69">
        <v>1234</v>
      </c>
      <c r="AB1234" s="69"/>
      <c r="AC1234" s="70"/>
      <c r="AD1234" s="76" t="s">
        <v>22454</v>
      </c>
      <c r="AE1234" s="81" t="s">
        <v>20945</v>
      </c>
      <c r="AF1234" s="76">
        <v>8066</v>
      </c>
      <c r="AG1234" s="76">
        <v>563</v>
      </c>
      <c r="AH1234" s="76">
        <v>66131</v>
      </c>
      <c r="AI1234" s="76">
        <v>24</v>
      </c>
      <c r="AJ1234" s="76">
        <v>2842</v>
      </c>
      <c r="AK1234" s="76">
        <v>50330</v>
      </c>
      <c r="AL1234" s="76" t="b">
        <v>0</v>
      </c>
      <c r="AM1234" s="78">
        <v>43007.49322916667</v>
      </c>
      <c r="AN1234" s="76" t="s">
        <v>24506</v>
      </c>
      <c r="AO1234" s="76" t="s">
        <v>25809</v>
      </c>
      <c r="AP1234" s="82" t="str">
        <f>HYPERLINK("https://t.co/DiJY9Q0aYp")</f>
        <v>https://t.co/DiJY9Q0aYp</v>
      </c>
      <c r="AQ1234" s="82" t="str">
        <f>HYPERLINK("http://www.mdpya.com.ar")</f>
        <v>http://www.mdpya.com.ar</v>
      </c>
      <c r="AR1234" s="76" t="s">
        <v>27022</v>
      </c>
      <c r="AS1234" s="76"/>
      <c r="AT1234" s="76"/>
      <c r="AU1234" s="76"/>
      <c r="AV1234" s="76"/>
      <c r="AW1234" s="82" t="str">
        <f>HYPERLINK("https://t.co/DiJY9Q0aYp")</f>
        <v>https://t.co/DiJY9Q0aYp</v>
      </c>
      <c r="AX1234" s="76" t="b">
        <v>0</v>
      </c>
      <c r="AY1234" s="76"/>
      <c r="AZ1234" s="76"/>
      <c r="BA1234" s="76" t="b">
        <v>0</v>
      </c>
      <c r="BB1234" s="76" t="b">
        <v>1</v>
      </c>
      <c r="BC1234" s="76" t="b">
        <v>0</v>
      </c>
      <c r="BD1234" s="76" t="b">
        <v>0</v>
      </c>
      <c r="BE1234" s="76" t="b">
        <v>0</v>
      </c>
      <c r="BF1234" s="76" t="b">
        <v>0</v>
      </c>
      <c r="BG1234" s="76" t="b">
        <v>0</v>
      </c>
      <c r="BH1234" s="82" t="str">
        <f>HYPERLINK("https://pbs.twimg.com/profile_banners/913732650627665920/1690577149")</f>
        <v>https://pbs.twimg.com/profile_banners/913732650627665920/1690577149</v>
      </c>
      <c r="BI1234" s="76"/>
      <c r="BJ1234" s="76" t="s">
        <v>27595</v>
      </c>
      <c r="BK1234" s="76" t="b">
        <v>0</v>
      </c>
      <c r="BL1234" s="76"/>
      <c r="BM1234" s="76" t="s">
        <v>66</v>
      </c>
      <c r="BN1234" s="76" t="s">
        <v>27597</v>
      </c>
      <c r="BO1234" s="82" t="str">
        <f>HYPERLINK("https://twitter.com/infomdpya")</f>
        <v>https://twitter.com/infomdpya</v>
      </c>
      <c r="BP1234" s="2"/>
    </row>
    <row r="1235" spans="1:68" x14ac:dyDescent="0.25">
      <c r="A1235" s="62" t="s">
        <v>1131</v>
      </c>
      <c r="B1235" s="63"/>
      <c r="C1235" s="63"/>
      <c r="D1235" s="64"/>
      <c r="E1235" s="66"/>
      <c r="F1235" s="103" t="str">
        <f>HYPERLINK("https://pbs.twimg.com/profile_images/1697667396633341952/TCrLm48Y_normal.jpg")</f>
        <v>https://pbs.twimg.com/profile_images/1697667396633341952/TCrLm48Y_normal.jpg</v>
      </c>
      <c r="G1235" s="63"/>
      <c r="H1235" s="67"/>
      <c r="I1235" s="68"/>
      <c r="J1235" s="68"/>
      <c r="K1235" s="67" t="s">
        <v>28829</v>
      </c>
      <c r="L1235" s="71"/>
      <c r="M1235" s="72"/>
      <c r="N1235" s="72"/>
      <c r="O1235" s="73"/>
      <c r="P1235" s="74"/>
      <c r="Q1235" s="74"/>
      <c r="R1235" s="87"/>
      <c r="S1235" s="87"/>
      <c r="T1235" s="87"/>
      <c r="U1235" s="87"/>
      <c r="V1235" s="48"/>
      <c r="W1235" s="48"/>
      <c r="X1235" s="48"/>
      <c r="Y1235" s="48"/>
      <c r="Z1235" s="47"/>
      <c r="AA1235" s="69">
        <v>1235</v>
      </c>
      <c r="AB1235" s="69"/>
      <c r="AC1235" s="70"/>
      <c r="AD1235" s="76" t="s">
        <v>22455</v>
      </c>
      <c r="AE1235" s="81" t="s">
        <v>23710</v>
      </c>
      <c r="AF1235" s="76">
        <v>85932</v>
      </c>
      <c r="AG1235" s="76">
        <v>10022</v>
      </c>
      <c r="AH1235" s="76">
        <v>26903</v>
      </c>
      <c r="AI1235" s="76">
        <v>469</v>
      </c>
      <c r="AJ1235" s="76">
        <v>3687</v>
      </c>
      <c r="AK1235" s="76">
        <v>5197</v>
      </c>
      <c r="AL1235" s="76" t="b">
        <v>0</v>
      </c>
      <c r="AM1235" s="78">
        <v>40367.918854166666</v>
      </c>
      <c r="AN1235" s="76" t="s">
        <v>24295</v>
      </c>
      <c r="AO1235" s="76" t="s">
        <v>25810</v>
      </c>
      <c r="AP1235" s="76"/>
      <c r="AQ1235" s="76"/>
      <c r="AR1235" s="76"/>
      <c r="AS1235" s="76"/>
      <c r="AT1235" s="76"/>
      <c r="AU1235" s="76"/>
      <c r="AV1235" s="76">
        <v>1.6787919091190799E+18</v>
      </c>
      <c r="AW1235" s="76"/>
      <c r="AX1235" s="76" t="b">
        <v>0</v>
      </c>
      <c r="AY1235" s="76"/>
      <c r="AZ1235" s="76"/>
      <c r="BA1235" s="76" t="b">
        <v>1</v>
      </c>
      <c r="BB1235" s="76" t="b">
        <v>0</v>
      </c>
      <c r="BC1235" s="76" t="b">
        <v>0</v>
      </c>
      <c r="BD1235" s="76" t="b">
        <v>0</v>
      </c>
      <c r="BE1235" s="76" t="b">
        <v>1</v>
      </c>
      <c r="BF1235" s="76" t="b">
        <v>0</v>
      </c>
      <c r="BG1235" s="76" t="b">
        <v>0</v>
      </c>
      <c r="BH1235" s="82" t="str">
        <f>HYPERLINK("https://pbs.twimg.com/profile_banners/164439493/1673192516")</f>
        <v>https://pbs.twimg.com/profile_banners/164439493/1673192516</v>
      </c>
      <c r="BI1235" s="76"/>
      <c r="BJ1235" s="76" t="s">
        <v>27595</v>
      </c>
      <c r="BK1235" s="76" t="b">
        <v>0</v>
      </c>
      <c r="BL1235" s="76"/>
      <c r="BM1235" s="76" t="s">
        <v>66</v>
      </c>
      <c r="BN1235" s="76" t="s">
        <v>27597</v>
      </c>
      <c r="BO1235" s="82" t="str">
        <f>HYPERLINK("https://twitter.com/eduardobraga_am")</f>
        <v>https://twitter.com/eduardobraga_am</v>
      </c>
      <c r="BP1235" s="2"/>
    </row>
    <row r="1236" spans="1:68" x14ac:dyDescent="0.25">
      <c r="A1236" s="62" t="s">
        <v>1132</v>
      </c>
      <c r="B1236" s="63"/>
      <c r="C1236" s="63"/>
      <c r="D1236" s="64"/>
      <c r="E1236" s="66"/>
      <c r="F1236" s="103" t="str">
        <f>HYPERLINK("https://pbs.twimg.com/profile_images/1566038178812805120/41o4jsEx_normal.jpg")</f>
        <v>https://pbs.twimg.com/profile_images/1566038178812805120/41o4jsEx_normal.jpg</v>
      </c>
      <c r="G1236" s="63"/>
      <c r="H1236" s="67"/>
      <c r="I1236" s="68"/>
      <c r="J1236" s="68"/>
      <c r="K1236" s="67" t="s">
        <v>28830</v>
      </c>
      <c r="L1236" s="71"/>
      <c r="M1236" s="72"/>
      <c r="N1236" s="72"/>
      <c r="O1236" s="73"/>
      <c r="P1236" s="74"/>
      <c r="Q1236" s="74"/>
      <c r="R1236" s="87"/>
      <c r="S1236" s="87"/>
      <c r="T1236" s="87"/>
      <c r="U1236" s="87"/>
      <c r="V1236" s="48"/>
      <c r="W1236" s="48"/>
      <c r="X1236" s="48"/>
      <c r="Y1236" s="48"/>
      <c r="Z1236" s="47"/>
      <c r="AA1236" s="69">
        <v>1236</v>
      </c>
      <c r="AB1236" s="69"/>
      <c r="AC1236" s="70"/>
      <c r="AD1236" s="76" t="s">
        <v>22456</v>
      </c>
      <c r="AE1236" s="81" t="s">
        <v>20946</v>
      </c>
      <c r="AF1236" s="76">
        <v>19</v>
      </c>
      <c r="AG1236" s="76">
        <v>49</v>
      </c>
      <c r="AH1236" s="76">
        <v>75</v>
      </c>
      <c r="AI1236" s="76">
        <v>0</v>
      </c>
      <c r="AJ1236" s="76">
        <v>14</v>
      </c>
      <c r="AK1236" s="76">
        <v>3</v>
      </c>
      <c r="AL1236" s="76" t="b">
        <v>0</v>
      </c>
      <c r="AM1236" s="78">
        <v>44807.061990740738</v>
      </c>
      <c r="AN1236" s="76" t="s">
        <v>24059</v>
      </c>
      <c r="AO1236" s="76" t="s">
        <v>25811</v>
      </c>
      <c r="AP1236" s="76"/>
      <c r="AQ1236" s="76"/>
      <c r="AR1236" s="76"/>
      <c r="AS1236" s="76"/>
      <c r="AT1236" s="76"/>
      <c r="AU1236" s="76"/>
      <c r="AV1236" s="76">
        <v>1.56604069157838E+18</v>
      </c>
      <c r="AW1236" s="76"/>
      <c r="AX1236" s="76" t="b">
        <v>0</v>
      </c>
      <c r="AY1236" s="76"/>
      <c r="AZ1236" s="76"/>
      <c r="BA1236" s="76" t="b">
        <v>0</v>
      </c>
      <c r="BB1236" s="76" t="b">
        <v>1</v>
      </c>
      <c r="BC1236" s="76" t="b">
        <v>1</v>
      </c>
      <c r="BD1236" s="76" t="b">
        <v>0</v>
      </c>
      <c r="BE1236" s="76" t="b">
        <v>0</v>
      </c>
      <c r="BF1236" s="76" t="b">
        <v>0</v>
      </c>
      <c r="BG1236" s="76" t="b">
        <v>0</v>
      </c>
      <c r="BH1236" s="82" t="str">
        <f>HYPERLINK("https://pbs.twimg.com/profile_banners/1565874482857771017/1662207618")</f>
        <v>https://pbs.twimg.com/profile_banners/1565874482857771017/1662207618</v>
      </c>
      <c r="BI1236" s="76"/>
      <c r="BJ1236" s="76" t="s">
        <v>27595</v>
      </c>
      <c r="BK1236" s="76" t="b">
        <v>0</v>
      </c>
      <c r="BL1236" s="76"/>
      <c r="BM1236" s="76" t="s">
        <v>66</v>
      </c>
      <c r="BN1236" s="76" t="s">
        <v>27597</v>
      </c>
      <c r="BO1236" s="82" t="str">
        <f>HYPERLINK("https://twitter.com/ravkliber")</f>
        <v>https://twitter.com/ravkliber</v>
      </c>
      <c r="BP1236" s="2"/>
    </row>
    <row r="1237" spans="1:68" x14ac:dyDescent="0.25">
      <c r="A1237" s="62" t="s">
        <v>1133</v>
      </c>
      <c r="B1237" s="63"/>
      <c r="C1237" s="63"/>
      <c r="D1237" s="64"/>
      <c r="E1237" s="66"/>
      <c r="F1237" s="103" t="str">
        <f>HYPERLINK("https://pbs.twimg.com/profile_images/1495811960310571009/hb20scht_normal.jpg")</f>
        <v>https://pbs.twimg.com/profile_images/1495811960310571009/hb20scht_normal.jpg</v>
      </c>
      <c r="G1237" s="63"/>
      <c r="H1237" s="67"/>
      <c r="I1237" s="68"/>
      <c r="J1237" s="68"/>
      <c r="K1237" s="67" t="s">
        <v>28831</v>
      </c>
      <c r="L1237" s="71"/>
      <c r="M1237" s="72"/>
      <c r="N1237" s="72"/>
      <c r="O1237" s="73"/>
      <c r="P1237" s="74"/>
      <c r="Q1237" s="74"/>
      <c r="R1237" s="87"/>
      <c r="S1237" s="87"/>
      <c r="T1237" s="87"/>
      <c r="U1237" s="87"/>
      <c r="V1237" s="48"/>
      <c r="W1237" s="48"/>
      <c r="X1237" s="48"/>
      <c r="Y1237" s="48"/>
      <c r="Z1237" s="47"/>
      <c r="AA1237" s="69">
        <v>1237</v>
      </c>
      <c r="AB1237" s="69"/>
      <c r="AC1237" s="70"/>
      <c r="AD1237" s="76" t="s">
        <v>22457</v>
      </c>
      <c r="AE1237" s="81" t="s">
        <v>23711</v>
      </c>
      <c r="AF1237" s="76">
        <v>375</v>
      </c>
      <c r="AG1237" s="76">
        <v>1855</v>
      </c>
      <c r="AH1237" s="76">
        <v>18660</v>
      </c>
      <c r="AI1237" s="76">
        <v>1</v>
      </c>
      <c r="AJ1237" s="76">
        <v>7853</v>
      </c>
      <c r="AK1237" s="76">
        <v>743</v>
      </c>
      <c r="AL1237" s="76" t="b">
        <v>0</v>
      </c>
      <c r="AM1237" s="78">
        <v>40036.400937500002</v>
      </c>
      <c r="AN1237" s="76" t="s">
        <v>24507</v>
      </c>
      <c r="AO1237" s="76" t="s">
        <v>25812</v>
      </c>
      <c r="AP1237" s="76"/>
      <c r="AQ1237" s="76"/>
      <c r="AR1237" s="76"/>
      <c r="AS1237" s="76"/>
      <c r="AT1237" s="76"/>
      <c r="AU1237" s="76"/>
      <c r="AV1237" s="76">
        <v>1.1149432095731E+18</v>
      </c>
      <c r="AW1237" s="76"/>
      <c r="AX1237" s="76" t="b">
        <v>0</v>
      </c>
      <c r="AY1237" s="76"/>
      <c r="AZ1237" s="76"/>
      <c r="BA1237" s="76" t="b">
        <v>0</v>
      </c>
      <c r="BB1237" s="76" t="b">
        <v>1</v>
      </c>
      <c r="BC1237" s="76" t="b">
        <v>0</v>
      </c>
      <c r="BD1237" s="76" t="b">
        <v>0</v>
      </c>
      <c r="BE1237" s="76" t="b">
        <v>1</v>
      </c>
      <c r="BF1237" s="76" t="b">
        <v>0</v>
      </c>
      <c r="BG1237" s="76" t="b">
        <v>1</v>
      </c>
      <c r="BH1237" s="82" t="str">
        <f>HYPERLINK("https://pbs.twimg.com/profile_banners/64672669/1556122996")</f>
        <v>https://pbs.twimg.com/profile_banners/64672669/1556122996</v>
      </c>
      <c r="BI1237" s="76"/>
      <c r="BJ1237" s="76" t="s">
        <v>27595</v>
      </c>
      <c r="BK1237" s="76" t="b">
        <v>0</v>
      </c>
      <c r="BL1237" s="76"/>
      <c r="BM1237" s="76" t="s">
        <v>66</v>
      </c>
      <c r="BN1237" s="76" t="s">
        <v>27597</v>
      </c>
      <c r="BO1237" s="82" t="str">
        <f>HYPERLINK("https://twitter.com/thegoondoxjn")</f>
        <v>https://twitter.com/thegoondoxjn</v>
      </c>
      <c r="BP1237" s="2"/>
    </row>
    <row r="1238" spans="1:68" x14ac:dyDescent="0.25">
      <c r="A1238" s="62" t="s">
        <v>1134</v>
      </c>
      <c r="B1238" s="63"/>
      <c r="C1238" s="63"/>
      <c r="D1238" s="64"/>
      <c r="E1238" s="66"/>
      <c r="F1238" s="103" t="str">
        <f>HYPERLINK("https://pbs.twimg.com/profile_images/1675885997282807810/V6prPpT0_normal.jpg")</f>
        <v>https://pbs.twimg.com/profile_images/1675885997282807810/V6prPpT0_normal.jpg</v>
      </c>
      <c r="G1238" s="63"/>
      <c r="H1238" s="67"/>
      <c r="I1238" s="68"/>
      <c r="J1238" s="68"/>
      <c r="K1238" s="67" t="s">
        <v>28832</v>
      </c>
      <c r="L1238" s="71"/>
      <c r="M1238" s="72"/>
      <c r="N1238" s="72"/>
      <c r="O1238" s="73"/>
      <c r="P1238" s="74"/>
      <c r="Q1238" s="74"/>
      <c r="R1238" s="87"/>
      <c r="S1238" s="87"/>
      <c r="T1238" s="87"/>
      <c r="U1238" s="87"/>
      <c r="V1238" s="48"/>
      <c r="W1238" s="48"/>
      <c r="X1238" s="48"/>
      <c r="Y1238" s="48"/>
      <c r="Z1238" s="47"/>
      <c r="AA1238" s="69">
        <v>1238</v>
      </c>
      <c r="AB1238" s="69"/>
      <c r="AC1238" s="70"/>
      <c r="AD1238" s="76" t="s">
        <v>22458</v>
      </c>
      <c r="AE1238" s="81" t="s">
        <v>23712</v>
      </c>
      <c r="AF1238" s="76">
        <v>858</v>
      </c>
      <c r="AG1238" s="76">
        <v>612</v>
      </c>
      <c r="AH1238" s="76">
        <v>9103</v>
      </c>
      <c r="AI1238" s="76">
        <v>1</v>
      </c>
      <c r="AJ1238" s="76">
        <v>372</v>
      </c>
      <c r="AK1238" s="76">
        <v>1757</v>
      </c>
      <c r="AL1238" s="76" t="b">
        <v>0</v>
      </c>
      <c r="AM1238" s="78">
        <v>41299.801261574074</v>
      </c>
      <c r="AN1238" s="76" t="s">
        <v>24188</v>
      </c>
      <c r="AO1238" s="76" t="s">
        <v>25813</v>
      </c>
      <c r="AP1238" s="82" t="str">
        <f>HYPERLINK("https://t.co/8MUcHYHZb3")</f>
        <v>https://t.co/8MUcHYHZb3</v>
      </c>
      <c r="AQ1238" s="82" t="str">
        <f>HYPERLINK("http://www.nubox.com")</f>
        <v>http://www.nubox.com</v>
      </c>
      <c r="AR1238" s="76" t="s">
        <v>27023</v>
      </c>
      <c r="AS1238" s="82" t="str">
        <f>HYPERLINK("https://t.co/H84HkU0sjw")</f>
        <v>https://t.co/H84HkU0sjw</v>
      </c>
      <c r="AT1238" s="82" t="str">
        <f>HYPERLINK("http://linktr.ee/nuboxchile")</f>
        <v>http://linktr.ee/nuboxchile</v>
      </c>
      <c r="AU1238" s="76" t="s">
        <v>27533</v>
      </c>
      <c r="AV1238" s="76"/>
      <c r="AW1238" s="82" t="str">
        <f>HYPERLINK("https://t.co/8MUcHYHZb3")</f>
        <v>https://t.co/8MUcHYHZb3</v>
      </c>
      <c r="AX1238" s="76" t="b">
        <v>0</v>
      </c>
      <c r="AY1238" s="76"/>
      <c r="AZ1238" s="76"/>
      <c r="BA1238" s="76" t="b">
        <v>1</v>
      </c>
      <c r="BB1238" s="76" t="b">
        <v>1</v>
      </c>
      <c r="BC1238" s="76" t="b">
        <v>1</v>
      </c>
      <c r="BD1238" s="76" t="b">
        <v>0</v>
      </c>
      <c r="BE1238" s="76" t="b">
        <v>1</v>
      </c>
      <c r="BF1238" s="76" t="b">
        <v>0</v>
      </c>
      <c r="BG1238" s="76" t="b">
        <v>0</v>
      </c>
      <c r="BH1238" s="82" t="str">
        <f>HYPERLINK("https://pbs.twimg.com/profile_banners/1120075057/1687891232")</f>
        <v>https://pbs.twimg.com/profile_banners/1120075057/1687891232</v>
      </c>
      <c r="BI1238" s="76"/>
      <c r="BJ1238" s="76" t="s">
        <v>27595</v>
      </c>
      <c r="BK1238" s="76" t="b">
        <v>0</v>
      </c>
      <c r="BL1238" s="76"/>
      <c r="BM1238" s="76" t="s">
        <v>66</v>
      </c>
      <c r="BN1238" s="76" t="s">
        <v>27597</v>
      </c>
      <c r="BO1238" s="82" t="str">
        <f>HYPERLINK("https://twitter.com/nuboxchile")</f>
        <v>https://twitter.com/nuboxchile</v>
      </c>
      <c r="BP1238" s="2"/>
    </row>
    <row r="1239" spans="1:68" x14ac:dyDescent="0.25">
      <c r="A1239" s="62" t="s">
        <v>1135</v>
      </c>
      <c r="B1239" s="63"/>
      <c r="C1239" s="63"/>
      <c r="D1239" s="64"/>
      <c r="E1239" s="66"/>
      <c r="F1239" s="103" t="str">
        <f>HYPERLINK("https://pbs.twimg.com/profile_images/1687420216001609728/RZH92yt1_normal.jpg")</f>
        <v>https://pbs.twimg.com/profile_images/1687420216001609728/RZH92yt1_normal.jpg</v>
      </c>
      <c r="G1239" s="63"/>
      <c r="H1239" s="67"/>
      <c r="I1239" s="68"/>
      <c r="J1239" s="68"/>
      <c r="K1239" s="67" t="s">
        <v>28833</v>
      </c>
      <c r="L1239" s="71"/>
      <c r="M1239" s="72"/>
      <c r="N1239" s="72"/>
      <c r="O1239" s="73"/>
      <c r="P1239" s="74"/>
      <c r="Q1239" s="74"/>
      <c r="R1239" s="87"/>
      <c r="S1239" s="87"/>
      <c r="T1239" s="87"/>
      <c r="U1239" s="87"/>
      <c r="V1239" s="48"/>
      <c r="W1239" s="48"/>
      <c r="X1239" s="48"/>
      <c r="Y1239" s="48"/>
      <c r="Z1239" s="47"/>
      <c r="AA1239" s="69">
        <v>1239</v>
      </c>
      <c r="AB1239" s="69"/>
      <c r="AC1239" s="70"/>
      <c r="AD1239" s="76" t="s">
        <v>22459</v>
      </c>
      <c r="AE1239" s="81" t="s">
        <v>20326</v>
      </c>
      <c r="AF1239" s="76">
        <v>4173</v>
      </c>
      <c r="AG1239" s="76">
        <v>1200</v>
      </c>
      <c r="AH1239" s="76">
        <v>8131</v>
      </c>
      <c r="AI1239" s="76">
        <v>17</v>
      </c>
      <c r="AJ1239" s="76">
        <v>4587</v>
      </c>
      <c r="AK1239" s="76">
        <v>1266</v>
      </c>
      <c r="AL1239" s="76" t="b">
        <v>0</v>
      </c>
      <c r="AM1239" s="78">
        <v>39974.752245370371</v>
      </c>
      <c r="AN1239" s="76" t="s">
        <v>14400</v>
      </c>
      <c r="AO1239" s="76" t="s">
        <v>25814</v>
      </c>
      <c r="AP1239" s="82" t="str">
        <f>HYPERLINK("https://t.co/JcZvIpkQTU")</f>
        <v>https://t.co/JcZvIpkQTU</v>
      </c>
      <c r="AQ1239" s="82" t="str">
        <f>HYPERLINK("https://www.institutolula.org/")</f>
        <v>https://www.institutolula.org/</v>
      </c>
      <c r="AR1239" s="76" t="s">
        <v>27024</v>
      </c>
      <c r="AS1239" s="76"/>
      <c r="AT1239" s="76"/>
      <c r="AU1239" s="76"/>
      <c r="AV1239" s="76"/>
      <c r="AW1239" s="82" t="str">
        <f>HYPERLINK("https://t.co/JcZvIpkQTU")</f>
        <v>https://t.co/JcZvIpkQTU</v>
      </c>
      <c r="AX1239" s="76" t="b">
        <v>0</v>
      </c>
      <c r="AY1239" s="76"/>
      <c r="AZ1239" s="76"/>
      <c r="BA1239" s="76" t="b">
        <v>1</v>
      </c>
      <c r="BB1239" s="76" t="b">
        <v>1</v>
      </c>
      <c r="BC1239" s="76" t="b">
        <v>1</v>
      </c>
      <c r="BD1239" s="76" t="b">
        <v>0</v>
      </c>
      <c r="BE1239" s="76" t="b">
        <v>1</v>
      </c>
      <c r="BF1239" s="76" t="b">
        <v>0</v>
      </c>
      <c r="BG1239" s="76" t="b">
        <v>0</v>
      </c>
      <c r="BH1239" s="82" t="str">
        <f>HYPERLINK("https://pbs.twimg.com/profile_banners/46179375/1691147316")</f>
        <v>https://pbs.twimg.com/profile_banners/46179375/1691147316</v>
      </c>
      <c r="BI1239" s="76"/>
      <c r="BJ1239" s="76" t="s">
        <v>27595</v>
      </c>
      <c r="BK1239" s="76" t="b">
        <v>0</v>
      </c>
      <c r="BL1239" s="76"/>
      <c r="BM1239" s="76" t="s">
        <v>66</v>
      </c>
      <c r="BN1239" s="76" t="s">
        <v>27597</v>
      </c>
      <c r="BO1239" s="82" t="str">
        <f>HYPERLINK("https://twitter.com/ivonesilva")</f>
        <v>https://twitter.com/ivonesilva</v>
      </c>
      <c r="BP1239" s="2"/>
    </row>
    <row r="1240" spans="1:68" x14ac:dyDescent="0.25">
      <c r="A1240" s="62" t="s">
        <v>1136</v>
      </c>
      <c r="B1240" s="63"/>
      <c r="C1240" s="63"/>
      <c r="D1240" s="64"/>
      <c r="E1240" s="66"/>
      <c r="F1240" s="103" t="str">
        <f>HYPERLINK("https://pbs.twimg.com/profile_images/1168320606854627331/gRe9HQzj_normal.jpg")</f>
        <v>https://pbs.twimg.com/profile_images/1168320606854627331/gRe9HQzj_normal.jpg</v>
      </c>
      <c r="G1240" s="63"/>
      <c r="H1240" s="67"/>
      <c r="I1240" s="68"/>
      <c r="J1240" s="68"/>
      <c r="K1240" s="67" t="s">
        <v>28834</v>
      </c>
      <c r="L1240" s="71"/>
      <c r="M1240" s="72"/>
      <c r="N1240" s="72"/>
      <c r="O1240" s="73"/>
      <c r="P1240" s="74"/>
      <c r="Q1240" s="74"/>
      <c r="R1240" s="87"/>
      <c r="S1240" s="87"/>
      <c r="T1240" s="87"/>
      <c r="U1240" s="87"/>
      <c r="V1240" s="48"/>
      <c r="W1240" s="48"/>
      <c r="X1240" s="48"/>
      <c r="Y1240" s="48"/>
      <c r="Z1240" s="47"/>
      <c r="AA1240" s="69">
        <v>1240</v>
      </c>
      <c r="AB1240" s="69"/>
      <c r="AC1240" s="70"/>
      <c r="AD1240" s="76" t="s">
        <v>22460</v>
      </c>
      <c r="AE1240" s="81" t="s">
        <v>23713</v>
      </c>
      <c r="AF1240" s="76">
        <v>731</v>
      </c>
      <c r="AG1240" s="76">
        <v>1243</v>
      </c>
      <c r="AH1240" s="76">
        <v>2776</v>
      </c>
      <c r="AI1240" s="76">
        <v>0</v>
      </c>
      <c r="AJ1240" s="76">
        <v>762</v>
      </c>
      <c r="AK1240" s="76">
        <v>113</v>
      </c>
      <c r="AL1240" s="76" t="b">
        <v>0</v>
      </c>
      <c r="AM1240" s="78">
        <v>40121.903321759259</v>
      </c>
      <c r="AN1240" s="76" t="s">
        <v>24508</v>
      </c>
      <c r="AO1240" s="76" t="s">
        <v>25815</v>
      </c>
      <c r="AP1240" s="76"/>
      <c r="AQ1240" s="76"/>
      <c r="AR1240" s="76"/>
      <c r="AS1240" s="76"/>
      <c r="AT1240" s="76"/>
      <c r="AU1240" s="76"/>
      <c r="AV1240" s="76"/>
      <c r="AW1240" s="76"/>
      <c r="AX1240" s="76" t="b">
        <v>0</v>
      </c>
      <c r="AY1240" s="76"/>
      <c r="AZ1240" s="76"/>
      <c r="BA1240" s="76" t="b">
        <v>1</v>
      </c>
      <c r="BB1240" s="76" t="b">
        <v>1</v>
      </c>
      <c r="BC1240" s="76" t="b">
        <v>1</v>
      </c>
      <c r="BD1240" s="76" t="b">
        <v>0</v>
      </c>
      <c r="BE1240" s="76" t="b">
        <v>1</v>
      </c>
      <c r="BF1240" s="76" t="b">
        <v>0</v>
      </c>
      <c r="BG1240" s="76" t="b">
        <v>0</v>
      </c>
      <c r="BH1240" s="82" t="str">
        <f>HYPERLINK("https://pbs.twimg.com/profile_banners/87540103/1569988276")</f>
        <v>https://pbs.twimg.com/profile_banners/87540103/1569988276</v>
      </c>
      <c r="BI1240" s="76"/>
      <c r="BJ1240" s="76" t="s">
        <v>27595</v>
      </c>
      <c r="BK1240" s="76" t="b">
        <v>0</v>
      </c>
      <c r="BL1240" s="76"/>
      <c r="BM1240" s="76" t="s">
        <v>66</v>
      </c>
      <c r="BN1240" s="76" t="s">
        <v>27597</v>
      </c>
      <c r="BO1240" s="82" t="str">
        <f>HYPERLINK("https://twitter.com/adn_035")</f>
        <v>https://twitter.com/adn_035</v>
      </c>
      <c r="BP1240" s="2"/>
    </row>
    <row r="1241" spans="1:68" x14ac:dyDescent="0.25">
      <c r="A1241" s="62" t="s">
        <v>1137</v>
      </c>
      <c r="B1241" s="63"/>
      <c r="C1241" s="63"/>
      <c r="D1241" s="64"/>
      <c r="E1241" s="66"/>
      <c r="F1241" s="103" t="str">
        <f>HYPERLINK("https://pbs.twimg.com/profile_images/1581307943735238658/JJ-v3bT6_normal.jpg")</f>
        <v>https://pbs.twimg.com/profile_images/1581307943735238658/JJ-v3bT6_normal.jpg</v>
      </c>
      <c r="G1241" s="63"/>
      <c r="H1241" s="67"/>
      <c r="I1241" s="68"/>
      <c r="J1241" s="68"/>
      <c r="K1241" s="67" t="s">
        <v>28835</v>
      </c>
      <c r="L1241" s="71"/>
      <c r="M1241" s="72"/>
      <c r="N1241" s="72"/>
      <c r="O1241" s="73"/>
      <c r="P1241" s="74"/>
      <c r="Q1241" s="74"/>
      <c r="R1241" s="87"/>
      <c r="S1241" s="87"/>
      <c r="T1241" s="87"/>
      <c r="U1241" s="87"/>
      <c r="V1241" s="48"/>
      <c r="W1241" s="48"/>
      <c r="X1241" s="48"/>
      <c r="Y1241" s="48"/>
      <c r="Z1241" s="47"/>
      <c r="AA1241" s="69">
        <v>1241</v>
      </c>
      <c r="AB1241" s="69"/>
      <c r="AC1241" s="70"/>
      <c r="AD1241" s="76" t="s">
        <v>22461</v>
      </c>
      <c r="AE1241" s="81" t="s">
        <v>20947</v>
      </c>
      <c r="AF1241" s="76">
        <v>47</v>
      </c>
      <c r="AG1241" s="76">
        <v>99</v>
      </c>
      <c r="AH1241" s="76">
        <v>1663</v>
      </c>
      <c r="AI1241" s="76">
        <v>0</v>
      </c>
      <c r="AJ1241" s="76">
        <v>1133</v>
      </c>
      <c r="AK1241" s="76">
        <v>154</v>
      </c>
      <c r="AL1241" s="76" t="b">
        <v>0</v>
      </c>
      <c r="AM1241" s="78">
        <v>44834.612858796296</v>
      </c>
      <c r="AN1241" s="76"/>
      <c r="AO1241" s="76"/>
      <c r="AP1241" s="76"/>
      <c r="AQ1241" s="76"/>
      <c r="AR1241" s="76"/>
      <c r="AS1241" s="76"/>
      <c r="AT1241" s="76"/>
      <c r="AU1241" s="76"/>
      <c r="AV1241" s="76"/>
      <c r="AW1241" s="76"/>
      <c r="AX1241" s="76" t="b">
        <v>0</v>
      </c>
      <c r="AY1241" s="76"/>
      <c r="AZ1241" s="76"/>
      <c r="BA1241" s="76" t="b">
        <v>0</v>
      </c>
      <c r="BB1241" s="76" t="b">
        <v>1</v>
      </c>
      <c r="BC1241" s="76" t="b">
        <v>1</v>
      </c>
      <c r="BD1241" s="76" t="b">
        <v>0</v>
      </c>
      <c r="BE1241" s="76" t="b">
        <v>0</v>
      </c>
      <c r="BF1241" s="76" t="b">
        <v>0</v>
      </c>
      <c r="BG1241" s="76" t="b">
        <v>0</v>
      </c>
      <c r="BH1241" s="82" t="str">
        <f>HYPERLINK("https://pbs.twimg.com/profile_banners/1575858520595238912/1665848211")</f>
        <v>https://pbs.twimg.com/profile_banners/1575858520595238912/1665848211</v>
      </c>
      <c r="BI1241" s="76"/>
      <c r="BJ1241" s="76" t="s">
        <v>27595</v>
      </c>
      <c r="BK1241" s="76" t="b">
        <v>0</v>
      </c>
      <c r="BL1241" s="76"/>
      <c r="BM1241" s="76" t="s">
        <v>66</v>
      </c>
      <c r="BN1241" s="76" t="s">
        <v>27597</v>
      </c>
      <c r="BO1241" s="82" t="str">
        <f>HYPERLINK("https://twitter.com/helenaselmaaze2")</f>
        <v>https://twitter.com/helenaselmaaze2</v>
      </c>
      <c r="BP1241" s="2"/>
    </row>
    <row r="1242" spans="1:68" x14ac:dyDescent="0.25">
      <c r="A1242" s="62" t="s">
        <v>1138</v>
      </c>
      <c r="B1242" s="63"/>
      <c r="C1242" s="63"/>
      <c r="D1242" s="64"/>
      <c r="E1242" s="66"/>
      <c r="F1242" s="103" t="str">
        <f>HYPERLINK("https://pbs.twimg.com/profile_images/1429616709527277570/ot5JbtQq_normal.jpg")</f>
        <v>https://pbs.twimg.com/profile_images/1429616709527277570/ot5JbtQq_normal.jpg</v>
      </c>
      <c r="G1242" s="63"/>
      <c r="H1242" s="67"/>
      <c r="I1242" s="68"/>
      <c r="J1242" s="68"/>
      <c r="K1242" s="67" t="s">
        <v>28836</v>
      </c>
      <c r="L1242" s="71"/>
      <c r="M1242" s="72"/>
      <c r="N1242" s="72"/>
      <c r="O1242" s="73"/>
      <c r="P1242" s="74"/>
      <c r="Q1242" s="74"/>
      <c r="R1242" s="87"/>
      <c r="S1242" s="87"/>
      <c r="T1242" s="87"/>
      <c r="U1242" s="87"/>
      <c r="V1242" s="48"/>
      <c r="W1242" s="48"/>
      <c r="X1242" s="48"/>
      <c r="Y1242" s="48"/>
      <c r="Z1242" s="47"/>
      <c r="AA1242" s="69">
        <v>1242</v>
      </c>
      <c r="AB1242" s="69"/>
      <c r="AC1242" s="70"/>
      <c r="AD1242" s="76" t="s">
        <v>22462</v>
      </c>
      <c r="AE1242" s="81" t="s">
        <v>23714</v>
      </c>
      <c r="AF1242" s="76">
        <v>2975</v>
      </c>
      <c r="AG1242" s="76">
        <v>3717</v>
      </c>
      <c r="AH1242" s="76">
        <v>18412</v>
      </c>
      <c r="AI1242" s="76">
        <v>0</v>
      </c>
      <c r="AJ1242" s="76">
        <v>10715</v>
      </c>
      <c r="AK1242" s="76">
        <v>13072</v>
      </c>
      <c r="AL1242" s="76" t="b">
        <v>0</v>
      </c>
      <c r="AM1242" s="78">
        <v>42254.632627314815</v>
      </c>
      <c r="AN1242" s="76" t="s">
        <v>24063</v>
      </c>
      <c r="AO1242" s="76" t="s">
        <v>25816</v>
      </c>
      <c r="AP1242" s="76"/>
      <c r="AQ1242" s="76"/>
      <c r="AR1242" s="76"/>
      <c r="AS1242" s="82" t="str">
        <f>HYPERLINK("https://t.co/R1owYvdcZr")</f>
        <v>https://t.co/R1owYvdcZr</v>
      </c>
      <c r="AT1242" s="82" t="str">
        <f>HYPERLINK("http://aplatanaonews.com")</f>
        <v>http://aplatanaonews.com</v>
      </c>
      <c r="AU1242" s="76" t="s">
        <v>8805</v>
      </c>
      <c r="AV1242" s="76"/>
      <c r="AW1242" s="76"/>
      <c r="AX1242" s="76" t="b">
        <v>0</v>
      </c>
      <c r="AY1242" s="76"/>
      <c r="AZ1242" s="76"/>
      <c r="BA1242" s="76" t="b">
        <v>1</v>
      </c>
      <c r="BB1242" s="76" t="b">
        <v>1</v>
      </c>
      <c r="BC1242" s="76" t="b">
        <v>1</v>
      </c>
      <c r="BD1242" s="76" t="b">
        <v>0</v>
      </c>
      <c r="BE1242" s="76" t="b">
        <v>1</v>
      </c>
      <c r="BF1242" s="76" t="b">
        <v>0</v>
      </c>
      <c r="BG1242" s="76" t="b">
        <v>0</v>
      </c>
      <c r="BH1242" s="82" t="str">
        <f>HYPERLINK("https://pbs.twimg.com/profile_banners/3577998621/1684764284")</f>
        <v>https://pbs.twimg.com/profile_banners/3577998621/1684764284</v>
      </c>
      <c r="BI1242" s="76"/>
      <c r="BJ1242" s="76" t="s">
        <v>27595</v>
      </c>
      <c r="BK1242" s="76" t="b">
        <v>0</v>
      </c>
      <c r="BL1242" s="76"/>
      <c r="BM1242" s="76" t="s">
        <v>66</v>
      </c>
      <c r="BN1242" s="76" t="s">
        <v>27597</v>
      </c>
      <c r="BO1242" s="82" t="str">
        <f>HYPERLINK("https://twitter.com/aplatanaonews")</f>
        <v>https://twitter.com/aplatanaonews</v>
      </c>
      <c r="BP1242" s="2"/>
    </row>
    <row r="1243" spans="1:68" x14ac:dyDescent="0.25">
      <c r="A1243" s="62" t="s">
        <v>1139</v>
      </c>
      <c r="B1243" s="63"/>
      <c r="C1243" s="63"/>
      <c r="D1243" s="64"/>
      <c r="E1243" s="66"/>
      <c r="F1243" s="103" t="str">
        <f>HYPERLINK("https://pbs.twimg.com/profile_images/1468234090684026894/xQ1ed52__normal.jpg")</f>
        <v>https://pbs.twimg.com/profile_images/1468234090684026894/xQ1ed52__normal.jpg</v>
      </c>
      <c r="G1243" s="63"/>
      <c r="H1243" s="67"/>
      <c r="I1243" s="68"/>
      <c r="J1243" s="68"/>
      <c r="K1243" s="67" t="s">
        <v>28837</v>
      </c>
      <c r="L1243" s="71"/>
      <c r="M1243" s="72"/>
      <c r="N1243" s="72"/>
      <c r="O1243" s="73"/>
      <c r="P1243" s="74"/>
      <c r="Q1243" s="74"/>
      <c r="R1243" s="87"/>
      <c r="S1243" s="87"/>
      <c r="T1243" s="87"/>
      <c r="U1243" s="87"/>
      <c r="V1243" s="48"/>
      <c r="W1243" s="48"/>
      <c r="X1243" s="48"/>
      <c r="Y1243" s="48"/>
      <c r="Z1243" s="47"/>
      <c r="AA1243" s="69">
        <v>1243</v>
      </c>
      <c r="AB1243" s="69"/>
      <c r="AC1243" s="70"/>
      <c r="AD1243" s="76" t="s">
        <v>22463</v>
      </c>
      <c r="AE1243" s="81" t="s">
        <v>23715</v>
      </c>
      <c r="AF1243" s="76">
        <v>1479</v>
      </c>
      <c r="AG1243" s="76">
        <v>329</v>
      </c>
      <c r="AH1243" s="76">
        <v>382731</v>
      </c>
      <c r="AI1243" s="76">
        <v>1</v>
      </c>
      <c r="AJ1243" s="76">
        <v>421765</v>
      </c>
      <c r="AK1243" s="76">
        <v>1455</v>
      </c>
      <c r="AL1243" s="76" t="b">
        <v>0</v>
      </c>
      <c r="AM1243" s="78">
        <v>40072.442465277774</v>
      </c>
      <c r="AN1243" s="76" t="s">
        <v>14382</v>
      </c>
      <c r="AO1243" s="76" t="s">
        <v>25817</v>
      </c>
      <c r="AP1243" s="76"/>
      <c r="AQ1243" s="76"/>
      <c r="AR1243" s="76"/>
      <c r="AS1243" s="76"/>
      <c r="AT1243" s="76"/>
      <c r="AU1243" s="76"/>
      <c r="AV1243" s="76"/>
      <c r="AW1243" s="76"/>
      <c r="AX1243" s="76" t="b">
        <v>0</v>
      </c>
      <c r="AY1243" s="76"/>
      <c r="AZ1243" s="76"/>
      <c r="BA1243" s="76" t="b">
        <v>1</v>
      </c>
      <c r="BB1243" s="76" t="b">
        <v>1</v>
      </c>
      <c r="BC1243" s="76" t="b">
        <v>1</v>
      </c>
      <c r="BD1243" s="76" t="b">
        <v>0</v>
      </c>
      <c r="BE1243" s="76" t="b">
        <v>1</v>
      </c>
      <c r="BF1243" s="76" t="b">
        <v>0</v>
      </c>
      <c r="BG1243" s="76" t="b">
        <v>0</v>
      </c>
      <c r="BH1243" s="82" t="str">
        <f>HYPERLINK("https://pbs.twimg.com/profile_banners/74701047/1613457812")</f>
        <v>https://pbs.twimg.com/profile_banners/74701047/1613457812</v>
      </c>
      <c r="BI1243" s="76"/>
      <c r="BJ1243" s="76" t="s">
        <v>27595</v>
      </c>
      <c r="BK1243" s="76" t="b">
        <v>0</v>
      </c>
      <c r="BL1243" s="76"/>
      <c r="BM1243" s="76" t="s">
        <v>66</v>
      </c>
      <c r="BN1243" s="76" t="s">
        <v>27597</v>
      </c>
      <c r="BO1243" s="82" t="str">
        <f>HYPERLINK("https://twitter.com/rauberjef")</f>
        <v>https://twitter.com/rauberjef</v>
      </c>
      <c r="BP1243" s="2"/>
    </row>
    <row r="1244" spans="1:68" x14ac:dyDescent="0.25">
      <c r="A1244" s="62" t="s">
        <v>1140</v>
      </c>
      <c r="B1244" s="63"/>
      <c r="C1244" s="63"/>
      <c r="D1244" s="64"/>
      <c r="E1244" s="66"/>
      <c r="F1244" s="103" t="str">
        <f>HYPERLINK("https://pbs.twimg.com/profile_images/1649150439605039104/ws2NLiGq_normal.jpg")</f>
        <v>https://pbs.twimg.com/profile_images/1649150439605039104/ws2NLiGq_normal.jpg</v>
      </c>
      <c r="G1244" s="63"/>
      <c r="H1244" s="67"/>
      <c r="I1244" s="68"/>
      <c r="J1244" s="68"/>
      <c r="K1244" s="67" t="s">
        <v>28838</v>
      </c>
      <c r="L1244" s="71"/>
      <c r="M1244" s="72"/>
      <c r="N1244" s="72"/>
      <c r="O1244" s="73"/>
      <c r="P1244" s="74"/>
      <c r="Q1244" s="74"/>
      <c r="R1244" s="87"/>
      <c r="S1244" s="87"/>
      <c r="T1244" s="87"/>
      <c r="U1244" s="87"/>
      <c r="V1244" s="48"/>
      <c r="W1244" s="48"/>
      <c r="X1244" s="48"/>
      <c r="Y1244" s="48"/>
      <c r="Z1244" s="47"/>
      <c r="AA1244" s="69">
        <v>1244</v>
      </c>
      <c r="AB1244" s="69"/>
      <c r="AC1244" s="70"/>
      <c r="AD1244" s="76" t="s">
        <v>22464</v>
      </c>
      <c r="AE1244" s="81" t="s">
        <v>23716</v>
      </c>
      <c r="AF1244" s="76">
        <v>897395</v>
      </c>
      <c r="AG1244" s="76">
        <v>235</v>
      </c>
      <c r="AH1244" s="76">
        <v>105224</v>
      </c>
      <c r="AI1244" s="76">
        <v>3573</v>
      </c>
      <c r="AJ1244" s="76">
        <v>2408</v>
      </c>
      <c r="AK1244" s="76">
        <v>15220</v>
      </c>
      <c r="AL1244" s="76" t="b">
        <v>0</v>
      </c>
      <c r="AM1244" s="78">
        <v>39542.869571759256</v>
      </c>
      <c r="AN1244" s="76" t="s">
        <v>14400</v>
      </c>
      <c r="AO1244" s="76" t="s">
        <v>25818</v>
      </c>
      <c r="AP1244" s="82" t="str">
        <f>HYPERLINK("https://t.co/eiC8weRIjl")</f>
        <v>https://t.co/eiC8weRIjl</v>
      </c>
      <c r="AQ1244" s="82" t="str">
        <f>HYPERLINK("http://www.tvcultura.com.br")</f>
        <v>http://www.tvcultura.com.br</v>
      </c>
      <c r="AR1244" s="76" t="s">
        <v>27025</v>
      </c>
      <c r="AS1244" s="76"/>
      <c r="AT1244" s="76"/>
      <c r="AU1244" s="76"/>
      <c r="AV1244" s="76">
        <v>1.7071241335725701E+18</v>
      </c>
      <c r="AW1244" s="82" t="str">
        <f>HYPERLINK("https://t.co/eiC8weRIjl")</f>
        <v>https://t.co/eiC8weRIjl</v>
      </c>
      <c r="AX1244" s="76" t="b">
        <v>1</v>
      </c>
      <c r="AY1244" s="76"/>
      <c r="AZ1244" s="76"/>
      <c r="BA1244" s="76" t="b">
        <v>0</v>
      </c>
      <c r="BB1244" s="76" t="b">
        <v>1</v>
      </c>
      <c r="BC1244" s="76" t="b">
        <v>0</v>
      </c>
      <c r="BD1244" s="76" t="b">
        <v>0</v>
      </c>
      <c r="BE1244" s="76" t="b">
        <v>1</v>
      </c>
      <c r="BF1244" s="76" t="b">
        <v>0</v>
      </c>
      <c r="BG1244" s="76" t="b">
        <v>0</v>
      </c>
      <c r="BH1244" s="82" t="str">
        <f>HYPERLINK("https://pbs.twimg.com/profile_banners/14306125/1682003310")</f>
        <v>https://pbs.twimg.com/profile_banners/14306125/1682003310</v>
      </c>
      <c r="BI1244" s="76"/>
      <c r="BJ1244" s="76" t="s">
        <v>27595</v>
      </c>
      <c r="BK1244" s="76" t="b">
        <v>0</v>
      </c>
      <c r="BL1244" s="76"/>
      <c r="BM1244" s="76" t="s">
        <v>66</v>
      </c>
      <c r="BN1244" s="76" t="s">
        <v>27597</v>
      </c>
      <c r="BO1244" s="82" t="str">
        <f>HYPERLINK("https://twitter.com/tvcultura")</f>
        <v>https://twitter.com/tvcultura</v>
      </c>
      <c r="BP1244" s="2"/>
    </row>
    <row r="1245" spans="1:68" x14ac:dyDescent="0.25">
      <c r="A1245" s="62" t="s">
        <v>1141</v>
      </c>
      <c r="B1245" s="63"/>
      <c r="C1245" s="63"/>
      <c r="D1245" s="64"/>
      <c r="E1245" s="66"/>
      <c r="F1245" s="103" t="str">
        <f>HYPERLINK("https://pbs.twimg.com/profile_images/1668769885231493125/0Jhv_8sI_normal.jpg")</f>
        <v>https://pbs.twimg.com/profile_images/1668769885231493125/0Jhv_8sI_normal.jpg</v>
      </c>
      <c r="G1245" s="63"/>
      <c r="H1245" s="67"/>
      <c r="I1245" s="68"/>
      <c r="J1245" s="68"/>
      <c r="K1245" s="67" t="s">
        <v>28839</v>
      </c>
      <c r="L1245" s="71"/>
      <c r="M1245" s="72"/>
      <c r="N1245" s="72"/>
      <c r="O1245" s="73"/>
      <c r="P1245" s="74"/>
      <c r="Q1245" s="74"/>
      <c r="R1245" s="87"/>
      <c r="S1245" s="87"/>
      <c r="T1245" s="87"/>
      <c r="U1245" s="87"/>
      <c r="V1245" s="48"/>
      <c r="W1245" s="48"/>
      <c r="X1245" s="48"/>
      <c r="Y1245" s="48"/>
      <c r="Z1245" s="47"/>
      <c r="AA1245" s="69">
        <v>1245</v>
      </c>
      <c r="AB1245" s="69"/>
      <c r="AC1245" s="70"/>
      <c r="AD1245" s="76" t="s">
        <v>22465</v>
      </c>
      <c r="AE1245" s="81" t="s">
        <v>23717</v>
      </c>
      <c r="AF1245" s="76">
        <v>1250</v>
      </c>
      <c r="AG1245" s="76">
        <v>2016</v>
      </c>
      <c r="AH1245" s="76">
        <v>5910</v>
      </c>
      <c r="AI1245" s="76">
        <v>6</v>
      </c>
      <c r="AJ1245" s="76">
        <v>2265</v>
      </c>
      <c r="AK1245" s="76">
        <v>510</v>
      </c>
      <c r="AL1245" s="76" t="b">
        <v>0</v>
      </c>
      <c r="AM1245" s="78">
        <v>42316.569328703707</v>
      </c>
      <c r="AN1245" s="76" t="s">
        <v>24509</v>
      </c>
      <c r="AO1245" s="76" t="s">
        <v>25819</v>
      </c>
      <c r="AP1245" s="82" t="str">
        <f>HYPERLINK("https://t.co/FsHk2tEnIj")</f>
        <v>https://t.co/FsHk2tEnIj</v>
      </c>
      <c r="AQ1245" s="82" t="str">
        <f>HYPERLINK("https://relaxiona.com.pe")</f>
        <v>https://relaxiona.com.pe</v>
      </c>
      <c r="AR1245" s="76" t="s">
        <v>27026</v>
      </c>
      <c r="AS1245" s="76"/>
      <c r="AT1245" s="76"/>
      <c r="AU1245" s="76"/>
      <c r="AV1245" s="76">
        <v>1.6354135896611999E+18</v>
      </c>
      <c r="AW1245" s="82" t="str">
        <f>HYPERLINK("https://t.co/FsHk2tEnIj")</f>
        <v>https://t.co/FsHk2tEnIj</v>
      </c>
      <c r="AX1245" s="76" t="b">
        <v>0</v>
      </c>
      <c r="AY1245" s="76"/>
      <c r="AZ1245" s="76"/>
      <c r="BA1245" s="76" t="b">
        <v>1</v>
      </c>
      <c r="BB1245" s="76" t="b">
        <v>1</v>
      </c>
      <c r="BC1245" s="76" t="b">
        <v>0</v>
      </c>
      <c r="BD1245" s="76" t="b">
        <v>0</v>
      </c>
      <c r="BE1245" s="76" t="b">
        <v>1</v>
      </c>
      <c r="BF1245" s="76" t="b">
        <v>0</v>
      </c>
      <c r="BG1245" s="76" t="b">
        <v>0</v>
      </c>
      <c r="BH1245" s="82" t="str">
        <f>HYPERLINK("https://pbs.twimg.com/profile_banners/4141989947/1605912027")</f>
        <v>https://pbs.twimg.com/profile_banners/4141989947/1605912027</v>
      </c>
      <c r="BI1245" s="76"/>
      <c r="BJ1245" s="76" t="s">
        <v>27595</v>
      </c>
      <c r="BK1245" s="76" t="b">
        <v>0</v>
      </c>
      <c r="BL1245" s="76"/>
      <c r="BM1245" s="76" t="s">
        <v>66</v>
      </c>
      <c r="BN1245" s="76" t="s">
        <v>27597</v>
      </c>
      <c r="BO1245" s="82" t="str">
        <f>HYPERLINK("https://twitter.com/carlosescaffir")</f>
        <v>https://twitter.com/carlosescaffir</v>
      </c>
      <c r="BP1245" s="2"/>
    </row>
    <row r="1246" spans="1:68" x14ac:dyDescent="0.25">
      <c r="A1246" s="62" t="s">
        <v>1142</v>
      </c>
      <c r="B1246" s="63"/>
      <c r="C1246" s="63"/>
      <c r="D1246" s="64"/>
      <c r="E1246" s="66"/>
      <c r="F1246" s="103" t="str">
        <f>HYPERLINK("https://pbs.twimg.com/profile_images/1361474510034251779/yhC8J7UE_normal.jpg")</f>
        <v>https://pbs.twimg.com/profile_images/1361474510034251779/yhC8J7UE_normal.jpg</v>
      </c>
      <c r="G1246" s="63"/>
      <c r="H1246" s="67"/>
      <c r="I1246" s="68"/>
      <c r="J1246" s="68"/>
      <c r="K1246" s="67" t="s">
        <v>28840</v>
      </c>
      <c r="L1246" s="71"/>
      <c r="M1246" s="72"/>
      <c r="N1246" s="72"/>
      <c r="O1246" s="73"/>
      <c r="P1246" s="74"/>
      <c r="Q1246" s="74"/>
      <c r="R1246" s="87"/>
      <c r="S1246" s="87"/>
      <c r="T1246" s="87"/>
      <c r="U1246" s="87"/>
      <c r="V1246" s="48"/>
      <c r="W1246" s="48"/>
      <c r="X1246" s="48"/>
      <c r="Y1246" s="48"/>
      <c r="Z1246" s="47"/>
      <c r="AA1246" s="69">
        <v>1246</v>
      </c>
      <c r="AB1246" s="69"/>
      <c r="AC1246" s="70"/>
      <c r="AD1246" s="76" t="s">
        <v>22466</v>
      </c>
      <c r="AE1246" s="81" t="s">
        <v>20948</v>
      </c>
      <c r="AF1246" s="76">
        <v>59</v>
      </c>
      <c r="AG1246" s="76">
        <v>446</v>
      </c>
      <c r="AH1246" s="76">
        <v>3822</v>
      </c>
      <c r="AI1246" s="76">
        <v>1</v>
      </c>
      <c r="AJ1246" s="76">
        <v>13314</v>
      </c>
      <c r="AK1246" s="76">
        <v>508</v>
      </c>
      <c r="AL1246" s="76" t="b">
        <v>0</v>
      </c>
      <c r="AM1246" s="78">
        <v>44242.948935185188</v>
      </c>
      <c r="AN1246" s="76" t="s">
        <v>24510</v>
      </c>
      <c r="AO1246" s="76" t="s">
        <v>25820</v>
      </c>
      <c r="AP1246" s="76"/>
      <c r="AQ1246" s="76"/>
      <c r="AR1246" s="76"/>
      <c r="AS1246" s="76"/>
      <c r="AT1246" s="76"/>
      <c r="AU1246" s="76"/>
      <c r="AV1246" s="76"/>
      <c r="AW1246" s="76"/>
      <c r="AX1246" s="76" t="b">
        <v>0</v>
      </c>
      <c r="AY1246" s="76"/>
      <c r="AZ1246" s="76"/>
      <c r="BA1246" s="76" t="b">
        <v>0</v>
      </c>
      <c r="BB1246" s="76" t="b">
        <v>1</v>
      </c>
      <c r="BC1246" s="76" t="b">
        <v>1</v>
      </c>
      <c r="BD1246" s="76" t="b">
        <v>0</v>
      </c>
      <c r="BE1246" s="76" t="b">
        <v>1</v>
      </c>
      <c r="BF1246" s="76" t="b">
        <v>0</v>
      </c>
      <c r="BG1246" s="76" t="b">
        <v>0</v>
      </c>
      <c r="BH1246" s="82" t="str">
        <f>HYPERLINK("https://pbs.twimg.com/profile_banners/1361446752377831424/1613435843")</f>
        <v>https://pbs.twimg.com/profile_banners/1361446752377831424/1613435843</v>
      </c>
      <c r="BI1246" s="76"/>
      <c r="BJ1246" s="76" t="s">
        <v>27595</v>
      </c>
      <c r="BK1246" s="76" t="b">
        <v>0</v>
      </c>
      <c r="BL1246" s="76"/>
      <c r="BM1246" s="76" t="s">
        <v>66</v>
      </c>
      <c r="BN1246" s="76" t="s">
        <v>27597</v>
      </c>
      <c r="BO1246" s="82" t="str">
        <f>HYPERLINK("https://twitter.com/robiepaula")</f>
        <v>https://twitter.com/robiepaula</v>
      </c>
      <c r="BP1246" s="2"/>
    </row>
    <row r="1247" spans="1:68" x14ac:dyDescent="0.25">
      <c r="A1247" s="62" t="s">
        <v>1143</v>
      </c>
      <c r="B1247" s="63"/>
      <c r="C1247" s="63"/>
      <c r="D1247" s="64"/>
      <c r="E1247" s="66"/>
      <c r="F1247" s="103" t="str">
        <f>HYPERLINK("https://pbs.twimg.com/profile_images/1380505452992167936/mbPKgzR0_normal.jpg")</f>
        <v>https://pbs.twimg.com/profile_images/1380505452992167936/mbPKgzR0_normal.jpg</v>
      </c>
      <c r="G1247" s="63"/>
      <c r="H1247" s="67"/>
      <c r="I1247" s="68"/>
      <c r="J1247" s="68"/>
      <c r="K1247" s="67" t="s">
        <v>28841</v>
      </c>
      <c r="L1247" s="71"/>
      <c r="M1247" s="72"/>
      <c r="N1247" s="72"/>
      <c r="O1247" s="73"/>
      <c r="P1247" s="74"/>
      <c r="Q1247" s="74"/>
      <c r="R1247" s="87"/>
      <c r="S1247" s="87"/>
      <c r="T1247" s="87"/>
      <c r="U1247" s="87"/>
      <c r="V1247" s="48"/>
      <c r="W1247" s="48"/>
      <c r="X1247" s="48"/>
      <c r="Y1247" s="48"/>
      <c r="Z1247" s="47"/>
      <c r="AA1247" s="69">
        <v>1247</v>
      </c>
      <c r="AB1247" s="69"/>
      <c r="AC1247" s="70"/>
      <c r="AD1247" s="76" t="s">
        <v>22467</v>
      </c>
      <c r="AE1247" s="81" t="s">
        <v>20327</v>
      </c>
      <c r="AF1247" s="76">
        <v>265</v>
      </c>
      <c r="AG1247" s="76">
        <v>65</v>
      </c>
      <c r="AH1247" s="76">
        <v>1249</v>
      </c>
      <c r="AI1247" s="76">
        <v>0</v>
      </c>
      <c r="AJ1247" s="76">
        <v>12</v>
      </c>
      <c r="AK1247" s="76">
        <v>37</v>
      </c>
      <c r="AL1247" s="76" t="b">
        <v>0</v>
      </c>
      <c r="AM1247" s="78">
        <v>44295.536643518521</v>
      </c>
      <c r="AN1247" s="76" t="s">
        <v>24114</v>
      </c>
      <c r="AO1247" s="76" t="s">
        <v>25821</v>
      </c>
      <c r="AP1247" s="82" t="str">
        <f>HYPERLINK("https://t.co/utLa5checM")</f>
        <v>https://t.co/utLa5checM</v>
      </c>
      <c r="AQ1247" s="82" t="str">
        <f>HYPERLINK("https://linktr.ee/politeia.arg")</f>
        <v>https://linktr.ee/politeia.arg</v>
      </c>
      <c r="AR1247" s="76" t="s">
        <v>27027</v>
      </c>
      <c r="AS1247" s="76"/>
      <c r="AT1247" s="76"/>
      <c r="AU1247" s="76"/>
      <c r="AV1247" s="76"/>
      <c r="AW1247" s="82" t="str">
        <f>HYPERLINK("https://t.co/utLa5checM")</f>
        <v>https://t.co/utLa5checM</v>
      </c>
      <c r="AX1247" s="76" t="b">
        <v>0</v>
      </c>
      <c r="AY1247" s="76"/>
      <c r="AZ1247" s="76"/>
      <c r="BA1247" s="76" t="b">
        <v>0</v>
      </c>
      <c r="BB1247" s="76" t="b">
        <v>1</v>
      </c>
      <c r="BC1247" s="76" t="b">
        <v>1</v>
      </c>
      <c r="BD1247" s="76" t="b">
        <v>0</v>
      </c>
      <c r="BE1247" s="76" t="b">
        <v>0</v>
      </c>
      <c r="BF1247" s="76" t="b">
        <v>0</v>
      </c>
      <c r="BG1247" s="76" t="b">
        <v>0</v>
      </c>
      <c r="BH1247" s="82" t="str">
        <f>HYPERLINK("https://pbs.twimg.com/profile_banners/1380503897312215046/1617973142")</f>
        <v>https://pbs.twimg.com/profile_banners/1380503897312215046/1617973142</v>
      </c>
      <c r="BI1247" s="76"/>
      <c r="BJ1247" s="76" t="s">
        <v>27595</v>
      </c>
      <c r="BK1247" s="76" t="b">
        <v>0</v>
      </c>
      <c r="BL1247" s="76"/>
      <c r="BM1247" s="76" t="s">
        <v>66</v>
      </c>
      <c r="BN1247" s="76" t="s">
        <v>27597</v>
      </c>
      <c r="BO1247" s="82" t="str">
        <f>HYPERLINK("https://twitter.com/politeiaarg")</f>
        <v>https://twitter.com/politeiaarg</v>
      </c>
      <c r="BP1247" s="2"/>
    </row>
    <row r="1248" spans="1:68" x14ac:dyDescent="0.25">
      <c r="A1248" s="62" t="s">
        <v>1144</v>
      </c>
      <c r="B1248" s="63"/>
      <c r="C1248" s="63"/>
      <c r="D1248" s="64"/>
      <c r="E1248" s="66"/>
      <c r="F1248" s="103" t="str">
        <f>HYPERLINK("https://pbs.twimg.com/profile_images/1446591601204207643/8MzT_LlS_normal.jpg")</f>
        <v>https://pbs.twimg.com/profile_images/1446591601204207643/8MzT_LlS_normal.jpg</v>
      </c>
      <c r="G1248" s="63"/>
      <c r="H1248" s="67"/>
      <c r="I1248" s="68"/>
      <c r="J1248" s="68"/>
      <c r="K1248" s="67" t="s">
        <v>28842</v>
      </c>
      <c r="L1248" s="71"/>
      <c r="M1248" s="72"/>
      <c r="N1248" s="72"/>
      <c r="O1248" s="73"/>
      <c r="P1248" s="74"/>
      <c r="Q1248" s="74"/>
      <c r="R1248" s="87"/>
      <c r="S1248" s="87"/>
      <c r="T1248" s="87"/>
      <c r="U1248" s="87"/>
      <c r="V1248" s="48"/>
      <c r="W1248" s="48"/>
      <c r="X1248" s="48"/>
      <c r="Y1248" s="48"/>
      <c r="Z1248" s="47"/>
      <c r="AA1248" s="69">
        <v>1248</v>
      </c>
      <c r="AB1248" s="69"/>
      <c r="AC1248" s="70"/>
      <c r="AD1248" s="76" t="s">
        <v>22468</v>
      </c>
      <c r="AE1248" s="81" t="s">
        <v>20949</v>
      </c>
      <c r="AF1248" s="76">
        <v>19805</v>
      </c>
      <c r="AG1248" s="76">
        <v>1004</v>
      </c>
      <c r="AH1248" s="76">
        <v>2932</v>
      </c>
      <c r="AI1248" s="76">
        <v>18</v>
      </c>
      <c r="AJ1248" s="76">
        <v>1185</v>
      </c>
      <c r="AK1248" s="76">
        <v>2196</v>
      </c>
      <c r="AL1248" s="76" t="b">
        <v>0</v>
      </c>
      <c r="AM1248" s="78">
        <v>44461.550520833334</v>
      </c>
      <c r="AN1248" s="76"/>
      <c r="AO1248" s="76" t="s">
        <v>25822</v>
      </c>
      <c r="AP1248" s="82" t="str">
        <f>HYPERLINK("https://t.co/6kMRpcY8XM")</f>
        <v>https://t.co/6kMRpcY8XM</v>
      </c>
      <c r="AQ1248" s="82" t="str">
        <f>HYPERLINK("https://youtube.com/channel/UCijyHTqDTF37BdFd2qbCEgg")</f>
        <v>https://youtube.com/channel/UCijyHTqDTF37BdFd2qbCEgg</v>
      </c>
      <c r="AR1248" s="76" t="s">
        <v>27028</v>
      </c>
      <c r="AS1248" s="76"/>
      <c r="AT1248" s="76"/>
      <c r="AU1248" s="76"/>
      <c r="AV1248" s="76"/>
      <c r="AW1248" s="82" t="str">
        <f>HYPERLINK("https://t.co/6kMRpcY8XM")</f>
        <v>https://t.co/6kMRpcY8XM</v>
      </c>
      <c r="AX1248" s="76" t="b">
        <v>0</v>
      </c>
      <c r="AY1248" s="76"/>
      <c r="AZ1248" s="76"/>
      <c r="BA1248" s="76" t="b">
        <v>0</v>
      </c>
      <c r="BB1248" s="76" t="b">
        <v>1</v>
      </c>
      <c r="BC1248" s="76" t="b">
        <v>1</v>
      </c>
      <c r="BD1248" s="76" t="b">
        <v>0</v>
      </c>
      <c r="BE1248" s="76" t="b">
        <v>0</v>
      </c>
      <c r="BF1248" s="76" t="b">
        <v>0</v>
      </c>
      <c r="BG1248" s="76" t="b">
        <v>0</v>
      </c>
      <c r="BH1248" s="82" t="str">
        <f>HYPERLINK("https://pbs.twimg.com/profile_banners/1440665300190433282/1633729321")</f>
        <v>https://pbs.twimg.com/profile_banners/1440665300190433282/1633729321</v>
      </c>
      <c r="BI1248" s="76"/>
      <c r="BJ1248" s="76" t="s">
        <v>27595</v>
      </c>
      <c r="BK1248" s="76" t="b">
        <v>0</v>
      </c>
      <c r="BL1248" s="76"/>
      <c r="BM1248" s="76" t="s">
        <v>66</v>
      </c>
      <c r="BN1248" s="76" t="s">
        <v>27597</v>
      </c>
      <c r="BO1248" s="82" t="str">
        <f>HYPERLINK("https://twitter.com/679evolucion")</f>
        <v>https://twitter.com/679evolucion</v>
      </c>
      <c r="BP1248" s="2"/>
    </row>
    <row r="1249" spans="1:68" x14ac:dyDescent="0.25">
      <c r="A1249" s="62" t="s">
        <v>1145</v>
      </c>
      <c r="B1249" s="63"/>
      <c r="C1249" s="63"/>
      <c r="D1249" s="64"/>
      <c r="E1249" s="66"/>
      <c r="F1249" s="103" t="str">
        <f>HYPERLINK("https://pbs.twimg.com/profile_images/1674880722304114689/TfrlObOi_normal.jpg")</f>
        <v>https://pbs.twimg.com/profile_images/1674880722304114689/TfrlObOi_normal.jpg</v>
      </c>
      <c r="G1249" s="63"/>
      <c r="H1249" s="67"/>
      <c r="I1249" s="68"/>
      <c r="J1249" s="68"/>
      <c r="K1249" s="67" t="s">
        <v>28843</v>
      </c>
      <c r="L1249" s="71"/>
      <c r="M1249" s="72"/>
      <c r="N1249" s="72"/>
      <c r="O1249" s="73"/>
      <c r="P1249" s="74"/>
      <c r="Q1249" s="74"/>
      <c r="R1249" s="87"/>
      <c r="S1249" s="87"/>
      <c r="T1249" s="87"/>
      <c r="U1249" s="87"/>
      <c r="V1249" s="48"/>
      <c r="W1249" s="48"/>
      <c r="X1249" s="48"/>
      <c r="Y1249" s="48"/>
      <c r="Z1249" s="47"/>
      <c r="AA1249" s="69">
        <v>1249</v>
      </c>
      <c r="AB1249" s="69"/>
      <c r="AC1249" s="70"/>
      <c r="AD1249" s="76" t="s">
        <v>22469</v>
      </c>
      <c r="AE1249" s="81" t="s">
        <v>20950</v>
      </c>
      <c r="AF1249" s="76">
        <v>12</v>
      </c>
      <c r="AG1249" s="76">
        <v>88</v>
      </c>
      <c r="AH1249" s="76">
        <v>7637</v>
      </c>
      <c r="AI1249" s="76">
        <v>0</v>
      </c>
      <c r="AJ1249" s="76">
        <v>4213</v>
      </c>
      <c r="AK1249" s="76">
        <v>6202</v>
      </c>
      <c r="AL1249" s="76" t="b">
        <v>0</v>
      </c>
      <c r="AM1249" s="78">
        <v>44639.678518518522</v>
      </c>
      <c r="AN1249" s="76" t="s">
        <v>14381</v>
      </c>
      <c r="AO1249" s="76" t="s">
        <v>25823</v>
      </c>
      <c r="AP1249" s="82" t="str">
        <f>HYPERLINK("https://t.co/fF5uYtsvnT")</f>
        <v>https://t.co/fF5uYtsvnT</v>
      </c>
      <c r="AQ1249" s="82" t="str">
        <f>HYPERLINK("https://youtu.be/007-Sa5HPY8")</f>
        <v>https://youtu.be/007-Sa5HPY8</v>
      </c>
      <c r="AR1249" s="76" t="s">
        <v>27029</v>
      </c>
      <c r="AS1249" s="76"/>
      <c r="AT1249" s="76"/>
      <c r="AU1249" s="76"/>
      <c r="AV1249" s="76">
        <v>1.67928795847667E+18</v>
      </c>
      <c r="AW1249" s="82" t="str">
        <f>HYPERLINK("https://t.co/fF5uYtsvnT")</f>
        <v>https://t.co/fF5uYtsvnT</v>
      </c>
      <c r="AX1249" s="76" t="b">
        <v>0</v>
      </c>
      <c r="AY1249" s="76"/>
      <c r="AZ1249" s="76"/>
      <c r="BA1249" s="76" t="b">
        <v>1</v>
      </c>
      <c r="BB1249" s="76" t="b">
        <v>1</v>
      </c>
      <c r="BC1249" s="76" t="b">
        <v>1</v>
      </c>
      <c r="BD1249" s="76" t="b">
        <v>0</v>
      </c>
      <c r="BE1249" s="76" t="b">
        <v>1</v>
      </c>
      <c r="BF1249" s="76" t="b">
        <v>0</v>
      </c>
      <c r="BG1249" s="76" t="b">
        <v>0</v>
      </c>
      <c r="BH1249" s="82" t="str">
        <f>HYPERLINK("https://pbs.twimg.com/profile_banners/1505216681018286080/1688157658")</f>
        <v>https://pbs.twimg.com/profile_banners/1505216681018286080/1688157658</v>
      </c>
      <c r="BI1249" s="76"/>
      <c r="BJ1249" s="76" t="s">
        <v>27595</v>
      </c>
      <c r="BK1249" s="76" t="b">
        <v>0</v>
      </c>
      <c r="BL1249" s="76"/>
      <c r="BM1249" s="76" t="s">
        <v>66</v>
      </c>
      <c r="BN1249" s="76" t="s">
        <v>27597</v>
      </c>
      <c r="BO1249" s="82" t="str">
        <f>HYPERLINK("https://twitter.com/medinamateo6")</f>
        <v>https://twitter.com/medinamateo6</v>
      </c>
      <c r="BP1249" s="2"/>
    </row>
    <row r="1250" spans="1:68" x14ac:dyDescent="0.25">
      <c r="A1250" s="62" t="s">
        <v>1146</v>
      </c>
      <c r="B1250" s="63"/>
      <c r="C1250" s="63"/>
      <c r="D1250" s="64"/>
      <c r="E1250" s="66"/>
      <c r="F1250" s="103" t="str">
        <f>HYPERLINK("https://pbs.twimg.com/profile_images/1667254293869600768/szzpL9SM_normal.jpg")</f>
        <v>https://pbs.twimg.com/profile_images/1667254293869600768/szzpL9SM_normal.jpg</v>
      </c>
      <c r="G1250" s="63"/>
      <c r="H1250" s="67"/>
      <c r="I1250" s="68"/>
      <c r="J1250" s="68"/>
      <c r="K1250" s="67" t="s">
        <v>28844</v>
      </c>
      <c r="L1250" s="71"/>
      <c r="M1250" s="72"/>
      <c r="N1250" s="72"/>
      <c r="O1250" s="73"/>
      <c r="P1250" s="74"/>
      <c r="Q1250" s="74"/>
      <c r="R1250" s="87"/>
      <c r="S1250" s="87"/>
      <c r="T1250" s="87"/>
      <c r="U1250" s="87"/>
      <c r="V1250" s="48"/>
      <c r="W1250" s="48"/>
      <c r="X1250" s="48"/>
      <c r="Y1250" s="48"/>
      <c r="Z1250" s="47"/>
      <c r="AA1250" s="69">
        <v>1250</v>
      </c>
      <c r="AB1250" s="69"/>
      <c r="AC1250" s="70"/>
      <c r="AD1250" s="76" t="s">
        <v>22470</v>
      </c>
      <c r="AE1250" s="81" t="s">
        <v>20951</v>
      </c>
      <c r="AF1250" s="76">
        <v>5874</v>
      </c>
      <c r="AG1250" s="76">
        <v>6297</v>
      </c>
      <c r="AH1250" s="76">
        <v>62162</v>
      </c>
      <c r="AI1250" s="76">
        <v>1</v>
      </c>
      <c r="AJ1250" s="76">
        <v>88606</v>
      </c>
      <c r="AK1250" s="76">
        <v>2344</v>
      </c>
      <c r="AL1250" s="76" t="b">
        <v>0</v>
      </c>
      <c r="AM1250" s="78">
        <v>43707.687685185185</v>
      </c>
      <c r="AN1250" s="76" t="s">
        <v>24112</v>
      </c>
      <c r="AO1250" s="76" t="s">
        <v>25824</v>
      </c>
      <c r="AP1250" s="76"/>
      <c r="AQ1250" s="76"/>
      <c r="AR1250" s="76"/>
      <c r="AS1250" s="76"/>
      <c r="AT1250" s="76"/>
      <c r="AU1250" s="76"/>
      <c r="AV1250" s="76"/>
      <c r="AW1250" s="76"/>
      <c r="AX1250" s="76" t="b">
        <v>0</v>
      </c>
      <c r="AY1250" s="76"/>
      <c r="AZ1250" s="76"/>
      <c r="BA1250" s="76" t="b">
        <v>1</v>
      </c>
      <c r="BB1250" s="76" t="b">
        <v>0</v>
      </c>
      <c r="BC1250" s="76" t="b">
        <v>1</v>
      </c>
      <c r="BD1250" s="76" t="b">
        <v>0</v>
      </c>
      <c r="BE1250" s="76" t="b">
        <v>1</v>
      </c>
      <c r="BF1250" s="76" t="b">
        <v>0</v>
      </c>
      <c r="BG1250" s="76" t="b">
        <v>0</v>
      </c>
      <c r="BH1250" s="82" t="str">
        <f>HYPERLINK("https://pbs.twimg.com/profile_banners/1167474602597072901/1686339455")</f>
        <v>https://pbs.twimg.com/profile_banners/1167474602597072901/1686339455</v>
      </c>
      <c r="BI1250" s="76"/>
      <c r="BJ1250" s="76" t="s">
        <v>27595</v>
      </c>
      <c r="BK1250" s="76" t="b">
        <v>0</v>
      </c>
      <c r="BL1250" s="76"/>
      <c r="BM1250" s="76" t="s">
        <v>66</v>
      </c>
      <c r="BN1250" s="76" t="s">
        <v>27597</v>
      </c>
      <c r="BO1250" s="82" t="str">
        <f>HYPERLINK("https://twitter.com/rhfuenzespin")</f>
        <v>https://twitter.com/rhfuenzespin</v>
      </c>
      <c r="BP1250" s="2"/>
    </row>
    <row r="1251" spans="1:68" x14ac:dyDescent="0.25">
      <c r="A1251" s="62" t="s">
        <v>1971</v>
      </c>
      <c r="B1251" s="63"/>
      <c r="C1251" s="63"/>
      <c r="D1251" s="64"/>
      <c r="E1251" s="66"/>
      <c r="F1251" s="103" t="str">
        <f>HYPERLINK("https://pbs.twimg.com/profile_images/1647989345880530948/QDvzkJvv_normal.jpg")</f>
        <v>https://pbs.twimg.com/profile_images/1647989345880530948/QDvzkJvv_normal.jpg</v>
      </c>
      <c r="G1251" s="63"/>
      <c r="H1251" s="67"/>
      <c r="I1251" s="68"/>
      <c r="J1251" s="68"/>
      <c r="K1251" s="67" t="s">
        <v>28845</v>
      </c>
      <c r="L1251" s="71"/>
      <c r="M1251" s="72"/>
      <c r="N1251" s="72"/>
      <c r="O1251" s="73"/>
      <c r="P1251" s="74"/>
      <c r="Q1251" s="74"/>
      <c r="R1251" s="87"/>
      <c r="S1251" s="87"/>
      <c r="T1251" s="87"/>
      <c r="U1251" s="87"/>
      <c r="V1251" s="48"/>
      <c r="W1251" s="48"/>
      <c r="X1251" s="48"/>
      <c r="Y1251" s="48"/>
      <c r="Z1251" s="47"/>
      <c r="AA1251" s="69">
        <v>1251</v>
      </c>
      <c r="AB1251" s="69"/>
      <c r="AC1251" s="70"/>
      <c r="AD1251" s="76" t="s">
        <v>22471</v>
      </c>
      <c r="AE1251" s="81" t="s">
        <v>23718</v>
      </c>
      <c r="AF1251" s="76">
        <v>30700</v>
      </c>
      <c r="AG1251" s="76">
        <v>8393</v>
      </c>
      <c r="AH1251" s="76">
        <v>11112</v>
      </c>
      <c r="AI1251" s="76">
        <v>78</v>
      </c>
      <c r="AJ1251" s="76">
        <v>637</v>
      </c>
      <c r="AK1251" s="76">
        <v>866</v>
      </c>
      <c r="AL1251" s="76" t="b">
        <v>0</v>
      </c>
      <c r="AM1251" s="78">
        <v>41001.871041666665</v>
      </c>
      <c r="AN1251" s="76" t="s">
        <v>14386</v>
      </c>
      <c r="AO1251" s="76" t="s">
        <v>25825</v>
      </c>
      <c r="AP1251" s="82" t="str">
        <f>HYPERLINK("https://t.co/F00lnohxrP")</f>
        <v>https://t.co/F00lnohxrP</v>
      </c>
      <c r="AQ1251" s="82" t="str">
        <f>HYPERLINK("http://www.aafp.cl")</f>
        <v>http://www.aafp.cl</v>
      </c>
      <c r="AR1251" s="76" t="s">
        <v>27030</v>
      </c>
      <c r="AS1251" s="82" t="str">
        <f>HYPERLINK("https://t.co/QMLlRCSEBa")</f>
        <v>https://t.co/QMLlRCSEBa</v>
      </c>
      <c r="AT1251" s="82" t="str">
        <f>HYPERLINK("http://instagram.com/afp_dechile/")</f>
        <v>http://instagram.com/afp_dechile/</v>
      </c>
      <c r="AU1251" s="76" t="s">
        <v>27534</v>
      </c>
      <c r="AV1251" s="76">
        <v>1.66110325496755E+18</v>
      </c>
      <c r="AW1251" s="82" t="str">
        <f>HYPERLINK("https://t.co/F00lnohxrP")</f>
        <v>https://t.co/F00lnohxrP</v>
      </c>
      <c r="AX1251" s="76" t="b">
        <v>0</v>
      </c>
      <c r="AY1251" s="76"/>
      <c r="AZ1251" s="76"/>
      <c r="BA1251" s="76" t="b">
        <v>1</v>
      </c>
      <c r="BB1251" s="76" t="b">
        <v>0</v>
      </c>
      <c r="BC1251" s="76" t="b">
        <v>0</v>
      </c>
      <c r="BD1251" s="76" t="b">
        <v>0</v>
      </c>
      <c r="BE1251" s="76" t="b">
        <v>1</v>
      </c>
      <c r="BF1251" s="76" t="b">
        <v>0</v>
      </c>
      <c r="BG1251" s="76" t="b">
        <v>0</v>
      </c>
      <c r="BH1251" s="82" t="str">
        <f>HYPERLINK("https://pbs.twimg.com/profile_banners/543811467/1681745650")</f>
        <v>https://pbs.twimg.com/profile_banners/543811467/1681745650</v>
      </c>
      <c r="BI1251" s="76"/>
      <c r="BJ1251" s="76" t="s">
        <v>27596</v>
      </c>
      <c r="BK1251" s="76" t="b">
        <v>0</v>
      </c>
      <c r="BL1251" s="76"/>
      <c r="BM1251" s="76" t="s">
        <v>65</v>
      </c>
      <c r="BN1251" s="76" t="s">
        <v>27597</v>
      </c>
      <c r="BO1251" s="82" t="str">
        <f>HYPERLINK("https://twitter.com/afpdechile")</f>
        <v>https://twitter.com/afpdechile</v>
      </c>
      <c r="BP1251" s="2"/>
    </row>
    <row r="1252" spans="1:68" x14ac:dyDescent="0.25">
      <c r="A1252" s="62" t="s">
        <v>1147</v>
      </c>
      <c r="B1252" s="63"/>
      <c r="C1252" s="63"/>
      <c r="D1252" s="64"/>
      <c r="E1252" s="66"/>
      <c r="F1252" s="103" t="str">
        <f>HYPERLINK("https://pbs.twimg.com/profile_images/1323315951979401217/lEMBSGUO_normal.jpg")</f>
        <v>https://pbs.twimg.com/profile_images/1323315951979401217/lEMBSGUO_normal.jpg</v>
      </c>
      <c r="G1252" s="63"/>
      <c r="H1252" s="67"/>
      <c r="I1252" s="68"/>
      <c r="J1252" s="68"/>
      <c r="K1252" s="67" t="s">
        <v>28846</v>
      </c>
      <c r="L1252" s="71"/>
      <c r="M1252" s="72"/>
      <c r="N1252" s="72"/>
      <c r="O1252" s="73"/>
      <c r="P1252" s="74"/>
      <c r="Q1252" s="74"/>
      <c r="R1252" s="87"/>
      <c r="S1252" s="87"/>
      <c r="T1252" s="87"/>
      <c r="U1252" s="87"/>
      <c r="V1252" s="48"/>
      <c r="W1252" s="48"/>
      <c r="X1252" s="48"/>
      <c r="Y1252" s="48"/>
      <c r="Z1252" s="47"/>
      <c r="AA1252" s="69">
        <v>1252</v>
      </c>
      <c r="AB1252" s="69"/>
      <c r="AC1252" s="70"/>
      <c r="AD1252" s="76" t="s">
        <v>22472</v>
      </c>
      <c r="AE1252" s="81" t="s">
        <v>23719</v>
      </c>
      <c r="AF1252" s="76">
        <v>1951698</v>
      </c>
      <c r="AG1252" s="76">
        <v>247</v>
      </c>
      <c r="AH1252" s="76">
        <v>332529</v>
      </c>
      <c r="AI1252" s="76">
        <v>5957</v>
      </c>
      <c r="AJ1252" s="76">
        <v>2140</v>
      </c>
      <c r="AK1252" s="76">
        <v>168370</v>
      </c>
      <c r="AL1252" s="76" t="b">
        <v>0</v>
      </c>
      <c r="AM1252" s="78">
        <v>39476.181180555555</v>
      </c>
      <c r="AN1252" s="76" t="s">
        <v>14386</v>
      </c>
      <c r="AO1252" s="76" t="s">
        <v>25826</v>
      </c>
      <c r="AP1252" s="82" t="str">
        <f>HYPERLINK("https://t.co/xSgM8TeBwf")</f>
        <v>https://t.co/xSgM8TeBwf</v>
      </c>
      <c r="AQ1252" s="82" t="str">
        <f>HYPERLINK("http://www.elmostrador.cl")</f>
        <v>http://www.elmostrador.cl</v>
      </c>
      <c r="AR1252" s="76" t="s">
        <v>27031</v>
      </c>
      <c r="AS1252" s="76"/>
      <c r="AT1252" s="76"/>
      <c r="AU1252" s="76"/>
      <c r="AV1252" s="76"/>
      <c r="AW1252" s="82" t="str">
        <f>HYPERLINK("https://t.co/xSgM8TeBwf")</f>
        <v>https://t.co/xSgM8TeBwf</v>
      </c>
      <c r="AX1252" s="76" t="b">
        <v>1</v>
      </c>
      <c r="AY1252" s="76"/>
      <c r="AZ1252" s="76"/>
      <c r="BA1252" s="76" t="b">
        <v>0</v>
      </c>
      <c r="BB1252" s="76" t="b">
        <v>1</v>
      </c>
      <c r="BC1252" s="76" t="b">
        <v>0</v>
      </c>
      <c r="BD1252" s="76" t="b">
        <v>0</v>
      </c>
      <c r="BE1252" s="76" t="b">
        <v>1</v>
      </c>
      <c r="BF1252" s="76" t="b">
        <v>0</v>
      </c>
      <c r="BG1252" s="76" t="b">
        <v>0</v>
      </c>
      <c r="BH1252" s="82" t="str">
        <f>HYPERLINK("https://pbs.twimg.com/profile_banners/12815132/1599775016")</f>
        <v>https://pbs.twimg.com/profile_banners/12815132/1599775016</v>
      </c>
      <c r="BI1252" s="76"/>
      <c r="BJ1252" s="76" t="s">
        <v>27595</v>
      </c>
      <c r="BK1252" s="76" t="b">
        <v>0</v>
      </c>
      <c r="BL1252" s="76"/>
      <c r="BM1252" s="76" t="s">
        <v>66</v>
      </c>
      <c r="BN1252" s="76" t="s">
        <v>27597</v>
      </c>
      <c r="BO1252" s="82" t="str">
        <f>HYPERLINK("https://twitter.com/elmostrador")</f>
        <v>https://twitter.com/elmostrador</v>
      </c>
      <c r="BP1252" s="2"/>
    </row>
    <row r="1253" spans="1:68" x14ac:dyDescent="0.25">
      <c r="A1253" s="62" t="s">
        <v>1148</v>
      </c>
      <c r="B1253" s="63"/>
      <c r="C1253" s="63"/>
      <c r="D1253" s="64"/>
      <c r="E1253" s="66"/>
      <c r="F1253" s="103" t="str">
        <f>HYPERLINK("https://pbs.twimg.com/profile_images/1205121910360727553/8Ne0tQ5o_normal.jpg")</f>
        <v>https://pbs.twimg.com/profile_images/1205121910360727553/8Ne0tQ5o_normal.jpg</v>
      </c>
      <c r="G1253" s="63"/>
      <c r="H1253" s="67"/>
      <c r="I1253" s="68"/>
      <c r="J1253" s="68"/>
      <c r="K1253" s="67" t="s">
        <v>28847</v>
      </c>
      <c r="L1253" s="71"/>
      <c r="M1253" s="72"/>
      <c r="N1253" s="72"/>
      <c r="O1253" s="73"/>
      <c r="P1253" s="74"/>
      <c r="Q1253" s="74"/>
      <c r="R1253" s="87"/>
      <c r="S1253" s="87"/>
      <c r="T1253" s="87"/>
      <c r="U1253" s="87"/>
      <c r="V1253" s="48"/>
      <c r="W1253" s="48"/>
      <c r="X1253" s="48"/>
      <c r="Y1253" s="48"/>
      <c r="Z1253" s="47"/>
      <c r="AA1253" s="69">
        <v>1253</v>
      </c>
      <c r="AB1253" s="69"/>
      <c r="AC1253" s="70"/>
      <c r="AD1253" s="76" t="s">
        <v>22473</v>
      </c>
      <c r="AE1253" s="81" t="s">
        <v>20952</v>
      </c>
      <c r="AF1253" s="76">
        <v>121</v>
      </c>
      <c r="AG1253" s="76">
        <v>87</v>
      </c>
      <c r="AH1253" s="76">
        <v>7878</v>
      </c>
      <c r="AI1253" s="76">
        <v>4</v>
      </c>
      <c r="AJ1253" s="76">
        <v>60</v>
      </c>
      <c r="AK1253" s="76">
        <v>85</v>
      </c>
      <c r="AL1253" s="76" t="b">
        <v>0</v>
      </c>
      <c r="AM1253" s="78">
        <v>43802.806967592594</v>
      </c>
      <c r="AN1253" s="76"/>
      <c r="AO1253" s="76" t="s">
        <v>25827</v>
      </c>
      <c r="AP1253" s="76"/>
      <c r="AQ1253" s="76"/>
      <c r="AR1253" s="76"/>
      <c r="AS1253" s="76"/>
      <c r="AT1253" s="76"/>
      <c r="AU1253" s="76"/>
      <c r="AV1253" s="76"/>
      <c r="AW1253" s="76"/>
      <c r="AX1253" s="76" t="b">
        <v>0</v>
      </c>
      <c r="AY1253" s="76"/>
      <c r="AZ1253" s="76"/>
      <c r="BA1253" s="76" t="b">
        <v>0</v>
      </c>
      <c r="BB1253" s="76" t="b">
        <v>1</v>
      </c>
      <c r="BC1253" s="76" t="b">
        <v>1</v>
      </c>
      <c r="BD1253" s="76" t="b">
        <v>0</v>
      </c>
      <c r="BE1253" s="76" t="b">
        <v>0</v>
      </c>
      <c r="BF1253" s="76" t="b">
        <v>0</v>
      </c>
      <c r="BG1253" s="76" t="b">
        <v>0</v>
      </c>
      <c r="BH1253" s="82" t="str">
        <f>HYPERLINK("https://pbs.twimg.com/profile_banners/1201944509476745217/1673877785")</f>
        <v>https://pbs.twimg.com/profile_banners/1201944509476745217/1673877785</v>
      </c>
      <c r="BI1253" s="76"/>
      <c r="BJ1253" s="76" t="s">
        <v>27595</v>
      </c>
      <c r="BK1253" s="76" t="b">
        <v>0</v>
      </c>
      <c r="BL1253" s="76"/>
      <c r="BM1253" s="76" t="s">
        <v>66</v>
      </c>
      <c r="BN1253" s="76" t="s">
        <v>27597</v>
      </c>
      <c r="BO1253" s="82" t="str">
        <f>HYPERLINK("https://twitter.com/modaisf")</f>
        <v>https://twitter.com/modaisf</v>
      </c>
      <c r="BP1253" s="2"/>
    </row>
    <row r="1254" spans="1:68" x14ac:dyDescent="0.25">
      <c r="A1254" s="62" t="s">
        <v>1150</v>
      </c>
      <c r="B1254" s="63"/>
      <c r="C1254" s="63"/>
      <c r="D1254" s="64"/>
      <c r="E1254" s="66"/>
      <c r="F1254" s="103" t="str">
        <f>HYPERLINK("https://pbs.twimg.com/profile_images/1573434721467498497/gM23Ehtn_normal.jpg")</f>
        <v>https://pbs.twimg.com/profile_images/1573434721467498497/gM23Ehtn_normal.jpg</v>
      </c>
      <c r="G1254" s="63"/>
      <c r="H1254" s="67"/>
      <c r="I1254" s="68"/>
      <c r="J1254" s="68"/>
      <c r="K1254" s="67" t="s">
        <v>28848</v>
      </c>
      <c r="L1254" s="71"/>
      <c r="M1254" s="72"/>
      <c r="N1254" s="72"/>
      <c r="O1254" s="73"/>
      <c r="P1254" s="74"/>
      <c r="Q1254" s="74"/>
      <c r="R1254" s="87"/>
      <c r="S1254" s="87"/>
      <c r="T1254" s="87"/>
      <c r="U1254" s="87"/>
      <c r="V1254" s="48"/>
      <c r="W1254" s="48"/>
      <c r="X1254" s="48"/>
      <c r="Y1254" s="48"/>
      <c r="Z1254" s="47"/>
      <c r="AA1254" s="69">
        <v>1254</v>
      </c>
      <c r="AB1254" s="69"/>
      <c r="AC1254" s="70"/>
      <c r="AD1254" s="76" t="s">
        <v>22474</v>
      </c>
      <c r="AE1254" s="81" t="s">
        <v>20954</v>
      </c>
      <c r="AF1254" s="76">
        <v>22</v>
      </c>
      <c r="AG1254" s="76">
        <v>45</v>
      </c>
      <c r="AH1254" s="76">
        <v>683</v>
      </c>
      <c r="AI1254" s="76">
        <v>0</v>
      </c>
      <c r="AJ1254" s="76">
        <v>99</v>
      </c>
      <c r="AK1254" s="76">
        <v>17</v>
      </c>
      <c r="AL1254" s="76" t="b">
        <v>0</v>
      </c>
      <c r="AM1254" s="78">
        <v>44820.866701388892</v>
      </c>
      <c r="AN1254" s="76"/>
      <c r="AO1254" s="76"/>
      <c r="AP1254" s="76"/>
      <c r="AQ1254" s="76"/>
      <c r="AR1254" s="76"/>
      <c r="AS1254" s="76"/>
      <c r="AT1254" s="76"/>
      <c r="AU1254" s="76"/>
      <c r="AV1254" s="76"/>
      <c r="AW1254" s="76"/>
      <c r="AX1254" s="76" t="b">
        <v>0</v>
      </c>
      <c r="AY1254" s="76"/>
      <c r="AZ1254" s="76"/>
      <c r="BA1254" s="76" t="b">
        <v>0</v>
      </c>
      <c r="BB1254" s="76" t="b">
        <v>1</v>
      </c>
      <c r="BC1254" s="76" t="b">
        <v>1</v>
      </c>
      <c r="BD1254" s="76" t="b">
        <v>0</v>
      </c>
      <c r="BE1254" s="76" t="b">
        <v>0</v>
      </c>
      <c r="BF1254" s="76" t="b">
        <v>0</v>
      </c>
      <c r="BG1254" s="76" t="b">
        <v>0</v>
      </c>
      <c r="BH1254" s="76"/>
      <c r="BI1254" s="76"/>
      <c r="BJ1254" s="76" t="s">
        <v>27595</v>
      </c>
      <c r="BK1254" s="76" t="b">
        <v>0</v>
      </c>
      <c r="BL1254" s="76"/>
      <c r="BM1254" s="76" t="s">
        <v>66</v>
      </c>
      <c r="BN1254" s="76" t="s">
        <v>27597</v>
      </c>
      <c r="BO1254" s="82" t="str">
        <f>HYPERLINK("https://twitter.com/gleidys82565095")</f>
        <v>https://twitter.com/gleidys82565095</v>
      </c>
      <c r="BP1254" s="2"/>
    </row>
    <row r="1255" spans="1:68" x14ac:dyDescent="0.25">
      <c r="A1255" s="62" t="s">
        <v>1151</v>
      </c>
      <c r="B1255" s="63"/>
      <c r="C1255" s="63"/>
      <c r="D1255" s="64"/>
      <c r="E1255" s="66"/>
      <c r="F1255" s="103" t="str">
        <f>HYPERLINK("https://pbs.twimg.com/profile_images/1630924337812328448/AdN-B4iE_normal.jpg")</f>
        <v>https://pbs.twimg.com/profile_images/1630924337812328448/AdN-B4iE_normal.jpg</v>
      </c>
      <c r="G1255" s="63"/>
      <c r="H1255" s="67"/>
      <c r="I1255" s="68"/>
      <c r="J1255" s="68"/>
      <c r="K1255" s="67" t="s">
        <v>28849</v>
      </c>
      <c r="L1255" s="71"/>
      <c r="M1255" s="72"/>
      <c r="N1255" s="72"/>
      <c r="O1255" s="73"/>
      <c r="P1255" s="74"/>
      <c r="Q1255" s="74"/>
      <c r="R1255" s="87"/>
      <c r="S1255" s="87"/>
      <c r="T1255" s="87"/>
      <c r="U1255" s="87"/>
      <c r="V1255" s="48"/>
      <c r="W1255" s="48"/>
      <c r="X1255" s="48"/>
      <c r="Y1255" s="48"/>
      <c r="Z1255" s="47"/>
      <c r="AA1255" s="69">
        <v>1255</v>
      </c>
      <c r="AB1255" s="69"/>
      <c r="AC1255" s="70"/>
      <c r="AD1255" s="76" t="s">
        <v>22475</v>
      </c>
      <c r="AE1255" s="81" t="s">
        <v>20955</v>
      </c>
      <c r="AF1255" s="76">
        <v>4</v>
      </c>
      <c r="AG1255" s="76">
        <v>29</v>
      </c>
      <c r="AH1255" s="76">
        <v>246</v>
      </c>
      <c r="AI1255" s="76">
        <v>1</v>
      </c>
      <c r="AJ1255" s="76">
        <v>373</v>
      </c>
      <c r="AK1255" s="76">
        <v>19</v>
      </c>
      <c r="AL1255" s="76" t="b">
        <v>0</v>
      </c>
      <c r="AM1255" s="78">
        <v>44587.634282407409</v>
      </c>
      <c r="AN1255" s="76"/>
      <c r="AO1255" s="76"/>
      <c r="AP1255" s="76"/>
      <c r="AQ1255" s="76"/>
      <c r="AR1255" s="76"/>
      <c r="AS1255" s="76"/>
      <c r="AT1255" s="76"/>
      <c r="AU1255" s="76"/>
      <c r="AV1255" s="76"/>
      <c r="AW1255" s="76"/>
      <c r="AX1255" s="76" t="b">
        <v>0</v>
      </c>
      <c r="AY1255" s="76"/>
      <c r="AZ1255" s="76"/>
      <c r="BA1255" s="76" t="b">
        <v>0</v>
      </c>
      <c r="BB1255" s="76" t="b">
        <v>1</v>
      </c>
      <c r="BC1255" s="76" t="b">
        <v>1</v>
      </c>
      <c r="BD1255" s="76" t="b">
        <v>0</v>
      </c>
      <c r="BE1255" s="76" t="b">
        <v>0</v>
      </c>
      <c r="BF1255" s="76" t="b">
        <v>0</v>
      </c>
      <c r="BG1255" s="76" t="b">
        <v>0</v>
      </c>
      <c r="BH1255" s="76"/>
      <c r="BI1255" s="76"/>
      <c r="BJ1255" s="76" t="s">
        <v>27595</v>
      </c>
      <c r="BK1255" s="76" t="b">
        <v>0</v>
      </c>
      <c r="BL1255" s="76"/>
      <c r="BM1255" s="76" t="s">
        <v>66</v>
      </c>
      <c r="BN1255" s="76" t="s">
        <v>27597</v>
      </c>
      <c r="BO1255" s="82" t="str">
        <f>HYPERLINK("https://twitter.com/joaovic95113474")</f>
        <v>https://twitter.com/joaovic95113474</v>
      </c>
      <c r="BP1255" s="2"/>
    </row>
    <row r="1256" spans="1:68" x14ac:dyDescent="0.25">
      <c r="A1256" s="62" t="s">
        <v>1152</v>
      </c>
      <c r="B1256" s="63"/>
      <c r="C1256" s="63"/>
      <c r="D1256" s="64"/>
      <c r="E1256" s="66"/>
      <c r="F1256" s="103" t="str">
        <f>HYPERLINK("https://pbs.twimg.com/profile_images/1091386096934633480/0QLTX8E2_normal.jpg")</f>
        <v>https://pbs.twimg.com/profile_images/1091386096934633480/0QLTX8E2_normal.jpg</v>
      </c>
      <c r="G1256" s="63"/>
      <c r="H1256" s="67"/>
      <c r="I1256" s="68"/>
      <c r="J1256" s="68"/>
      <c r="K1256" s="67" t="s">
        <v>28850</v>
      </c>
      <c r="L1256" s="71"/>
      <c r="M1256" s="72"/>
      <c r="N1256" s="72"/>
      <c r="O1256" s="73"/>
      <c r="P1256" s="74"/>
      <c r="Q1256" s="74"/>
      <c r="R1256" s="87"/>
      <c r="S1256" s="87"/>
      <c r="T1256" s="87"/>
      <c r="U1256" s="87"/>
      <c r="V1256" s="48"/>
      <c r="W1256" s="48"/>
      <c r="X1256" s="48"/>
      <c r="Y1256" s="48"/>
      <c r="Z1256" s="47"/>
      <c r="AA1256" s="69">
        <v>1256</v>
      </c>
      <c r="AB1256" s="69"/>
      <c r="AC1256" s="70"/>
      <c r="AD1256" s="76" t="s">
        <v>22476</v>
      </c>
      <c r="AE1256" s="81" t="s">
        <v>20956</v>
      </c>
      <c r="AF1256" s="76">
        <v>2371</v>
      </c>
      <c r="AG1256" s="76">
        <v>1250</v>
      </c>
      <c r="AH1256" s="76">
        <v>44998</v>
      </c>
      <c r="AI1256" s="76">
        <v>23</v>
      </c>
      <c r="AJ1256" s="76">
        <v>96</v>
      </c>
      <c r="AK1256" s="76">
        <v>37783</v>
      </c>
      <c r="AL1256" s="76" t="b">
        <v>0</v>
      </c>
      <c r="AM1256" s="78">
        <v>42605.830960648149</v>
      </c>
      <c r="AN1256" s="76"/>
      <c r="AO1256" s="76" t="s">
        <v>25828</v>
      </c>
      <c r="AP1256" s="82" t="str">
        <f>HYPERLINK("https://t.co/jeUqu8OaEp")</f>
        <v>https://t.co/jeUqu8OaEp</v>
      </c>
      <c r="AQ1256" s="82" t="str">
        <f>HYPERLINK("https://infocronos.com.ar/")</f>
        <v>https://infocronos.com.ar/</v>
      </c>
      <c r="AR1256" s="76" t="s">
        <v>27032</v>
      </c>
      <c r="AS1256" s="76"/>
      <c r="AT1256" s="76"/>
      <c r="AU1256" s="76"/>
      <c r="AV1256" s="76"/>
      <c r="AW1256" s="82" t="str">
        <f>HYPERLINK("https://t.co/jeUqu8OaEp")</f>
        <v>https://t.co/jeUqu8OaEp</v>
      </c>
      <c r="AX1256" s="76" t="b">
        <v>0</v>
      </c>
      <c r="AY1256" s="76"/>
      <c r="AZ1256" s="76"/>
      <c r="BA1256" s="76" t="b">
        <v>0</v>
      </c>
      <c r="BB1256" s="76" t="b">
        <v>1</v>
      </c>
      <c r="BC1256" s="76" t="b">
        <v>0</v>
      </c>
      <c r="BD1256" s="76" t="b">
        <v>0</v>
      </c>
      <c r="BE1256" s="76" t="b">
        <v>1</v>
      </c>
      <c r="BF1256" s="76" t="b">
        <v>0</v>
      </c>
      <c r="BG1256" s="76" t="b">
        <v>0</v>
      </c>
      <c r="BH1256" s="82" t="str">
        <f>HYPERLINK("https://pbs.twimg.com/profile_banners/768175119898259456/1609025359")</f>
        <v>https://pbs.twimg.com/profile_banners/768175119898259456/1609025359</v>
      </c>
      <c r="BI1256" s="76"/>
      <c r="BJ1256" s="76" t="s">
        <v>27595</v>
      </c>
      <c r="BK1256" s="76" t="b">
        <v>0</v>
      </c>
      <c r="BL1256" s="76"/>
      <c r="BM1256" s="76" t="s">
        <v>66</v>
      </c>
      <c r="BN1256" s="76" t="s">
        <v>27597</v>
      </c>
      <c r="BO1256" s="82" t="str">
        <f>HYPERLINK("https://twitter.com/cronos_noticias")</f>
        <v>https://twitter.com/cronos_noticias</v>
      </c>
      <c r="BP1256" s="2"/>
    </row>
    <row r="1257" spans="1:68" x14ac:dyDescent="0.25">
      <c r="A1257" s="62" t="s">
        <v>1153</v>
      </c>
      <c r="B1257" s="63"/>
      <c r="C1257" s="63"/>
      <c r="D1257" s="64"/>
      <c r="E1257" s="66"/>
      <c r="F1257" s="103" t="str">
        <f>HYPERLINK("https://pbs.twimg.com/profile_images/1676231261306724355/eXhgXdLl_normal.jpg")</f>
        <v>https://pbs.twimg.com/profile_images/1676231261306724355/eXhgXdLl_normal.jpg</v>
      </c>
      <c r="G1257" s="63"/>
      <c r="H1257" s="67"/>
      <c r="I1257" s="68"/>
      <c r="J1257" s="68"/>
      <c r="K1257" s="67" t="s">
        <v>28851</v>
      </c>
      <c r="L1257" s="71"/>
      <c r="M1257" s="72"/>
      <c r="N1257" s="72"/>
      <c r="O1257" s="73"/>
      <c r="P1257" s="74"/>
      <c r="Q1257" s="74"/>
      <c r="R1257" s="87"/>
      <c r="S1257" s="87"/>
      <c r="T1257" s="87"/>
      <c r="U1257" s="87"/>
      <c r="V1257" s="48"/>
      <c r="W1257" s="48"/>
      <c r="X1257" s="48"/>
      <c r="Y1257" s="48"/>
      <c r="Z1257" s="47"/>
      <c r="AA1257" s="69">
        <v>1257</v>
      </c>
      <c r="AB1257" s="69"/>
      <c r="AC1257" s="70"/>
      <c r="AD1257" s="76" t="s">
        <v>22477</v>
      </c>
      <c r="AE1257" s="81" t="s">
        <v>23720</v>
      </c>
      <c r="AF1257" s="76">
        <v>178</v>
      </c>
      <c r="AG1257" s="76">
        <v>964</v>
      </c>
      <c r="AH1257" s="76">
        <v>1247</v>
      </c>
      <c r="AI1257" s="76">
        <v>6</v>
      </c>
      <c r="AJ1257" s="76">
        <v>8925</v>
      </c>
      <c r="AK1257" s="76">
        <v>45</v>
      </c>
      <c r="AL1257" s="76" t="b">
        <v>0</v>
      </c>
      <c r="AM1257" s="78">
        <v>39874.499768518515</v>
      </c>
      <c r="AN1257" s="76" t="s">
        <v>14433</v>
      </c>
      <c r="AO1257" s="76" t="s">
        <v>25829</v>
      </c>
      <c r="AP1257" s="76"/>
      <c r="AQ1257" s="76"/>
      <c r="AR1257" s="76"/>
      <c r="AS1257" s="76"/>
      <c r="AT1257" s="76"/>
      <c r="AU1257" s="76"/>
      <c r="AV1257" s="76"/>
      <c r="AW1257" s="76"/>
      <c r="AX1257" s="76" t="b">
        <v>0</v>
      </c>
      <c r="AY1257" s="76"/>
      <c r="AZ1257" s="76"/>
      <c r="BA1257" s="76" t="b">
        <v>0</v>
      </c>
      <c r="BB1257" s="76" t="b">
        <v>0</v>
      </c>
      <c r="BC1257" s="76" t="b">
        <v>0</v>
      </c>
      <c r="BD1257" s="76" t="b">
        <v>0</v>
      </c>
      <c r="BE1257" s="76" t="b">
        <v>1</v>
      </c>
      <c r="BF1257" s="76" t="b">
        <v>0</v>
      </c>
      <c r="BG1257" s="76" t="b">
        <v>0</v>
      </c>
      <c r="BH1257" s="82" t="str">
        <f>HYPERLINK("https://pbs.twimg.com/profile_banners/22477577/1609992082")</f>
        <v>https://pbs.twimg.com/profile_banners/22477577/1609992082</v>
      </c>
      <c r="BI1257" s="76"/>
      <c r="BJ1257" s="76" t="s">
        <v>27595</v>
      </c>
      <c r="BK1257" s="76" t="b">
        <v>0</v>
      </c>
      <c r="BL1257" s="76"/>
      <c r="BM1257" s="76" t="s">
        <v>66</v>
      </c>
      <c r="BN1257" s="76" t="s">
        <v>27597</v>
      </c>
      <c r="BO1257" s="82" t="str">
        <f>HYPERLINK("https://twitter.com/flaviasoares")</f>
        <v>https://twitter.com/flaviasoares</v>
      </c>
      <c r="BP1257" s="2"/>
    </row>
    <row r="1258" spans="1:68" x14ac:dyDescent="0.25">
      <c r="A1258" s="62" t="s">
        <v>1154</v>
      </c>
      <c r="B1258" s="63"/>
      <c r="C1258" s="63"/>
      <c r="D1258" s="64"/>
      <c r="E1258" s="66"/>
      <c r="F1258" s="103" t="str">
        <f>HYPERLINK("https://pbs.twimg.com/profile_images/1202280203814354944/uGuZk28R_normal.jpg")</f>
        <v>https://pbs.twimg.com/profile_images/1202280203814354944/uGuZk28R_normal.jpg</v>
      </c>
      <c r="G1258" s="63"/>
      <c r="H1258" s="67"/>
      <c r="I1258" s="68"/>
      <c r="J1258" s="68"/>
      <c r="K1258" s="67" t="s">
        <v>28852</v>
      </c>
      <c r="L1258" s="71"/>
      <c r="M1258" s="72"/>
      <c r="N1258" s="72"/>
      <c r="O1258" s="73"/>
      <c r="P1258" s="74"/>
      <c r="Q1258" s="74"/>
      <c r="R1258" s="87"/>
      <c r="S1258" s="87"/>
      <c r="T1258" s="87"/>
      <c r="U1258" s="87"/>
      <c r="V1258" s="48"/>
      <c r="W1258" s="48"/>
      <c r="X1258" s="48"/>
      <c r="Y1258" s="48"/>
      <c r="Z1258" s="47"/>
      <c r="AA1258" s="69">
        <v>1258</v>
      </c>
      <c r="AB1258" s="69"/>
      <c r="AC1258" s="70"/>
      <c r="AD1258" s="76" t="s">
        <v>22478</v>
      </c>
      <c r="AE1258" s="81" t="s">
        <v>20957</v>
      </c>
      <c r="AF1258" s="76">
        <v>1224</v>
      </c>
      <c r="AG1258" s="76">
        <v>0</v>
      </c>
      <c r="AH1258" s="76">
        <v>36547</v>
      </c>
      <c r="AI1258" s="76">
        <v>7</v>
      </c>
      <c r="AJ1258" s="76">
        <v>731</v>
      </c>
      <c r="AK1258" s="76">
        <v>23458</v>
      </c>
      <c r="AL1258" s="76" t="b">
        <v>0</v>
      </c>
      <c r="AM1258" s="78">
        <v>43802.030335648145</v>
      </c>
      <c r="AN1258" s="76" t="s">
        <v>24511</v>
      </c>
      <c r="AO1258" s="76" t="s">
        <v>25830</v>
      </c>
      <c r="AP1258" s="82" t="str">
        <f>HYPERLINK("https://t.co/o6Fy5JGG2S")</f>
        <v>https://t.co/o6Fy5JGG2S</v>
      </c>
      <c r="AQ1258" s="82" t="str">
        <f>HYPERLINK("https://agendasalta.com.ar/")</f>
        <v>https://agendasalta.com.ar/</v>
      </c>
      <c r="AR1258" s="76" t="s">
        <v>27033</v>
      </c>
      <c r="AS1258" s="76"/>
      <c r="AT1258" s="76"/>
      <c r="AU1258" s="76"/>
      <c r="AV1258" s="76"/>
      <c r="AW1258" s="82" t="str">
        <f>HYPERLINK("https://t.co/o6Fy5JGG2S")</f>
        <v>https://t.co/o6Fy5JGG2S</v>
      </c>
      <c r="AX1258" s="76" t="b">
        <v>0</v>
      </c>
      <c r="AY1258" s="76"/>
      <c r="AZ1258" s="76"/>
      <c r="BA1258" s="76" t="b">
        <v>1</v>
      </c>
      <c r="BB1258" s="76" t="b">
        <v>1</v>
      </c>
      <c r="BC1258" s="76" t="b">
        <v>1</v>
      </c>
      <c r="BD1258" s="76" t="b">
        <v>0</v>
      </c>
      <c r="BE1258" s="76" t="b">
        <v>0</v>
      </c>
      <c r="BF1258" s="76" t="b">
        <v>0</v>
      </c>
      <c r="BG1258" s="76" t="b">
        <v>0</v>
      </c>
      <c r="BH1258" s="82" t="str">
        <f>HYPERLINK("https://pbs.twimg.com/profile_banners/1201663154457055235/1596220557")</f>
        <v>https://pbs.twimg.com/profile_banners/1201663154457055235/1596220557</v>
      </c>
      <c r="BI1258" s="76"/>
      <c r="BJ1258" s="76" t="s">
        <v>27595</v>
      </c>
      <c r="BK1258" s="76" t="b">
        <v>0</v>
      </c>
      <c r="BL1258" s="76"/>
      <c r="BM1258" s="76" t="s">
        <v>66</v>
      </c>
      <c r="BN1258" s="76" t="s">
        <v>27597</v>
      </c>
      <c r="BO1258" s="82" t="str">
        <f>HYPERLINK("https://twitter.com/agendasalta")</f>
        <v>https://twitter.com/agendasalta</v>
      </c>
      <c r="BP1258" s="2"/>
    </row>
    <row r="1259" spans="1:68" x14ac:dyDescent="0.25">
      <c r="A1259" s="62" t="s">
        <v>1155</v>
      </c>
      <c r="B1259" s="63"/>
      <c r="C1259" s="63"/>
      <c r="D1259" s="64"/>
      <c r="E1259" s="66"/>
      <c r="F1259" s="103" t="str">
        <f>HYPERLINK("https://pbs.twimg.com/profile_images/1648310611246215173/l5k1WLFL_normal.jpg")</f>
        <v>https://pbs.twimg.com/profile_images/1648310611246215173/l5k1WLFL_normal.jpg</v>
      </c>
      <c r="G1259" s="63"/>
      <c r="H1259" s="67"/>
      <c r="I1259" s="68"/>
      <c r="J1259" s="68"/>
      <c r="K1259" s="67" t="s">
        <v>28853</v>
      </c>
      <c r="L1259" s="71"/>
      <c r="M1259" s="72"/>
      <c r="N1259" s="72"/>
      <c r="O1259" s="73"/>
      <c r="P1259" s="74"/>
      <c r="Q1259" s="74"/>
      <c r="R1259" s="87"/>
      <c r="S1259" s="87"/>
      <c r="T1259" s="87"/>
      <c r="U1259" s="87"/>
      <c r="V1259" s="48"/>
      <c r="W1259" s="48"/>
      <c r="X1259" s="48"/>
      <c r="Y1259" s="48"/>
      <c r="Z1259" s="47"/>
      <c r="AA1259" s="69">
        <v>1259</v>
      </c>
      <c r="AB1259" s="69"/>
      <c r="AC1259" s="70"/>
      <c r="AD1259" s="76" t="s">
        <v>22479</v>
      </c>
      <c r="AE1259" s="81" t="s">
        <v>23721</v>
      </c>
      <c r="AF1259" s="76">
        <v>33071</v>
      </c>
      <c r="AG1259" s="76">
        <v>13583</v>
      </c>
      <c r="AH1259" s="76">
        <v>265927</v>
      </c>
      <c r="AI1259" s="76">
        <v>69</v>
      </c>
      <c r="AJ1259" s="76">
        <v>9364</v>
      </c>
      <c r="AK1259" s="76">
        <v>31717</v>
      </c>
      <c r="AL1259" s="76" t="b">
        <v>0</v>
      </c>
      <c r="AM1259" s="78">
        <v>42307.680300925924</v>
      </c>
      <c r="AN1259" s="76" t="s">
        <v>14385</v>
      </c>
      <c r="AO1259" s="76" t="s">
        <v>25831</v>
      </c>
      <c r="AP1259" s="76"/>
      <c r="AQ1259" s="76"/>
      <c r="AR1259" s="76"/>
      <c r="AS1259" s="76"/>
      <c r="AT1259" s="76"/>
      <c r="AU1259" s="76"/>
      <c r="AV1259" s="76">
        <v>1.4014110690343401E+18</v>
      </c>
      <c r="AW1259" s="76"/>
      <c r="AX1259" s="76" t="b">
        <v>0</v>
      </c>
      <c r="AY1259" s="76"/>
      <c r="AZ1259" s="76"/>
      <c r="BA1259" s="76" t="b">
        <v>0</v>
      </c>
      <c r="BB1259" s="76" t="b">
        <v>0</v>
      </c>
      <c r="BC1259" s="76" t="b">
        <v>1</v>
      </c>
      <c r="BD1259" s="76" t="b">
        <v>0</v>
      </c>
      <c r="BE1259" s="76" t="b">
        <v>1</v>
      </c>
      <c r="BF1259" s="76" t="b">
        <v>0</v>
      </c>
      <c r="BG1259" s="76" t="b">
        <v>0</v>
      </c>
      <c r="BH1259" s="82" t="str">
        <f>HYPERLINK("https://pbs.twimg.com/profile_banners/4076387662/1681822860")</f>
        <v>https://pbs.twimg.com/profile_banners/4076387662/1681822860</v>
      </c>
      <c r="BI1259" s="76"/>
      <c r="BJ1259" s="76" t="s">
        <v>27595</v>
      </c>
      <c r="BK1259" s="76" t="b">
        <v>0</v>
      </c>
      <c r="BL1259" s="76"/>
      <c r="BM1259" s="76" t="s">
        <v>66</v>
      </c>
      <c r="BN1259" s="76" t="s">
        <v>27597</v>
      </c>
      <c r="BO1259" s="82" t="str">
        <f>HYPERLINK("https://twitter.com/_____yo_____yo")</f>
        <v>https://twitter.com/_____yo_____yo</v>
      </c>
      <c r="BP1259" s="2"/>
    </row>
    <row r="1260" spans="1:68" x14ac:dyDescent="0.25">
      <c r="A1260" s="62" t="s">
        <v>1156</v>
      </c>
      <c r="B1260" s="63"/>
      <c r="C1260" s="63"/>
      <c r="D1260" s="64"/>
      <c r="E1260" s="66"/>
      <c r="F1260" s="103" t="str">
        <f>HYPERLINK("https://pbs.twimg.com/profile_images/1628548007997186049/IlM9t9sJ_normal.png")</f>
        <v>https://pbs.twimg.com/profile_images/1628548007997186049/IlM9t9sJ_normal.png</v>
      </c>
      <c r="G1260" s="63"/>
      <c r="H1260" s="67"/>
      <c r="I1260" s="68"/>
      <c r="J1260" s="68"/>
      <c r="K1260" s="67" t="s">
        <v>28854</v>
      </c>
      <c r="L1260" s="71"/>
      <c r="M1260" s="72"/>
      <c r="N1260" s="72"/>
      <c r="O1260" s="73"/>
      <c r="P1260" s="74"/>
      <c r="Q1260" s="74"/>
      <c r="R1260" s="87"/>
      <c r="S1260" s="87"/>
      <c r="T1260" s="87"/>
      <c r="U1260" s="87"/>
      <c r="V1260" s="48"/>
      <c r="W1260" s="48"/>
      <c r="X1260" s="48"/>
      <c r="Y1260" s="48"/>
      <c r="Z1260" s="47"/>
      <c r="AA1260" s="69">
        <v>1260</v>
      </c>
      <c r="AB1260" s="69"/>
      <c r="AC1260" s="70"/>
      <c r="AD1260" s="76" t="s">
        <v>22480</v>
      </c>
      <c r="AE1260" s="81" t="s">
        <v>20958</v>
      </c>
      <c r="AF1260" s="76">
        <v>103</v>
      </c>
      <c r="AG1260" s="76">
        <v>329</v>
      </c>
      <c r="AH1260" s="76">
        <v>839</v>
      </c>
      <c r="AI1260" s="76">
        <v>0</v>
      </c>
      <c r="AJ1260" s="76">
        <v>1</v>
      </c>
      <c r="AK1260" s="76">
        <v>1</v>
      </c>
      <c r="AL1260" s="76" t="b">
        <v>0</v>
      </c>
      <c r="AM1260" s="78">
        <v>44902.632754629631</v>
      </c>
      <c r="AN1260" s="76" t="s">
        <v>24512</v>
      </c>
      <c r="AO1260" s="76" t="s">
        <v>25832</v>
      </c>
      <c r="AP1260" s="76"/>
      <c r="AQ1260" s="76"/>
      <c r="AR1260" s="76"/>
      <c r="AS1260" s="76"/>
      <c r="AT1260" s="76"/>
      <c r="AU1260" s="76"/>
      <c r="AV1260" s="76"/>
      <c r="AW1260" s="76"/>
      <c r="AX1260" s="76" t="b">
        <v>0</v>
      </c>
      <c r="AY1260" s="76"/>
      <c r="AZ1260" s="76"/>
      <c r="BA1260" s="76" t="b">
        <v>0</v>
      </c>
      <c r="BB1260" s="76" t="b">
        <v>1</v>
      </c>
      <c r="BC1260" s="76" t="b">
        <v>1</v>
      </c>
      <c r="BD1260" s="76" t="b">
        <v>0</v>
      </c>
      <c r="BE1260" s="76" t="b">
        <v>0</v>
      </c>
      <c r="BF1260" s="76" t="b">
        <v>0</v>
      </c>
      <c r="BG1260" s="76" t="b">
        <v>0</v>
      </c>
      <c r="BH1260" s="82" t="str">
        <f>HYPERLINK("https://pbs.twimg.com/profile_banners/1600508110031925248/1677111095")</f>
        <v>https://pbs.twimg.com/profile_banners/1600508110031925248/1677111095</v>
      </c>
      <c r="BI1260" s="76"/>
      <c r="BJ1260" s="76" t="s">
        <v>27595</v>
      </c>
      <c r="BK1260" s="76" t="b">
        <v>0</v>
      </c>
      <c r="BL1260" s="76"/>
      <c r="BM1260" s="76" t="s">
        <v>66</v>
      </c>
      <c r="BN1260" s="76" t="s">
        <v>27597</v>
      </c>
      <c r="BO1260" s="82" t="str">
        <f>HYPERLINK("https://twitter.com/mascontainerca")</f>
        <v>https://twitter.com/mascontainerca</v>
      </c>
      <c r="BP1260" s="2"/>
    </row>
    <row r="1261" spans="1:68" x14ac:dyDescent="0.25">
      <c r="A1261" s="62" t="s">
        <v>1157</v>
      </c>
      <c r="B1261" s="63"/>
      <c r="C1261" s="63"/>
      <c r="D1261" s="64"/>
      <c r="E1261" s="66"/>
      <c r="F1261" s="103" t="str">
        <f>HYPERLINK("https://pbs.twimg.com/profile_images/1417107375287410697/5yrGbuuP_normal.jpg")</f>
        <v>https://pbs.twimg.com/profile_images/1417107375287410697/5yrGbuuP_normal.jpg</v>
      </c>
      <c r="G1261" s="63"/>
      <c r="H1261" s="67"/>
      <c r="I1261" s="68"/>
      <c r="J1261" s="68"/>
      <c r="K1261" s="67" t="s">
        <v>28855</v>
      </c>
      <c r="L1261" s="71"/>
      <c r="M1261" s="72"/>
      <c r="N1261" s="72"/>
      <c r="O1261" s="73"/>
      <c r="P1261" s="74"/>
      <c r="Q1261" s="74"/>
      <c r="R1261" s="87"/>
      <c r="S1261" s="87"/>
      <c r="T1261" s="87"/>
      <c r="U1261" s="87"/>
      <c r="V1261" s="48"/>
      <c r="W1261" s="48"/>
      <c r="X1261" s="48"/>
      <c r="Y1261" s="48"/>
      <c r="Z1261" s="47"/>
      <c r="AA1261" s="69">
        <v>1261</v>
      </c>
      <c r="AB1261" s="69"/>
      <c r="AC1261" s="70"/>
      <c r="AD1261" s="76" t="s">
        <v>22481</v>
      </c>
      <c r="AE1261" s="81" t="s">
        <v>23722</v>
      </c>
      <c r="AF1261" s="76">
        <v>86579</v>
      </c>
      <c r="AG1261" s="76">
        <v>5482</v>
      </c>
      <c r="AH1261" s="76">
        <v>95861</v>
      </c>
      <c r="AI1261" s="76">
        <v>1172</v>
      </c>
      <c r="AJ1261" s="76">
        <v>1595</v>
      </c>
      <c r="AK1261" s="76">
        <v>11170</v>
      </c>
      <c r="AL1261" s="76" t="b">
        <v>0</v>
      </c>
      <c r="AM1261" s="78">
        <v>39797.832650462966</v>
      </c>
      <c r="AN1261" s="76" t="s">
        <v>14382</v>
      </c>
      <c r="AO1261" s="76" t="s">
        <v>25833</v>
      </c>
      <c r="AP1261" s="82" t="str">
        <f>HYPERLINK("https://t.co/3vZjPMp3Rk")</f>
        <v>https://t.co/3vZjPMp3Rk</v>
      </c>
      <c r="AQ1261" s="82" t="str">
        <f>HYPERLINK("http://www.operamundi.com.br")</f>
        <v>http://www.operamundi.com.br</v>
      </c>
      <c r="AR1261" s="76" t="s">
        <v>27034</v>
      </c>
      <c r="AS1261" s="76"/>
      <c r="AT1261" s="76"/>
      <c r="AU1261" s="76"/>
      <c r="AV1261" s="76">
        <v>1.70734202883586E+18</v>
      </c>
      <c r="AW1261" s="82" t="str">
        <f>HYPERLINK("https://t.co/3vZjPMp3Rk")</f>
        <v>https://t.co/3vZjPMp3Rk</v>
      </c>
      <c r="AX1261" s="76" t="b">
        <v>0</v>
      </c>
      <c r="AY1261" s="76"/>
      <c r="AZ1261" s="76"/>
      <c r="BA1261" s="76" t="b">
        <v>0</v>
      </c>
      <c r="BB1261" s="76" t="b">
        <v>1</v>
      </c>
      <c r="BC1261" s="76" t="b">
        <v>0</v>
      </c>
      <c r="BD1261" s="76" t="b">
        <v>0</v>
      </c>
      <c r="BE1261" s="76" t="b">
        <v>1</v>
      </c>
      <c r="BF1261" s="76" t="b">
        <v>0</v>
      </c>
      <c r="BG1261" s="76" t="b">
        <v>0</v>
      </c>
      <c r="BH1261" s="82" t="str">
        <f>HYPERLINK("https://pbs.twimg.com/profile_banners/18144791/1692038391")</f>
        <v>https://pbs.twimg.com/profile_banners/18144791/1692038391</v>
      </c>
      <c r="BI1261" s="76"/>
      <c r="BJ1261" s="76" t="s">
        <v>27595</v>
      </c>
      <c r="BK1261" s="76" t="b">
        <v>0</v>
      </c>
      <c r="BL1261" s="76"/>
      <c r="BM1261" s="76" t="s">
        <v>66</v>
      </c>
      <c r="BN1261" s="76" t="s">
        <v>27597</v>
      </c>
      <c r="BO1261" s="82" t="str">
        <f>HYPERLINK("https://twitter.com/operamundi")</f>
        <v>https://twitter.com/operamundi</v>
      </c>
      <c r="BP1261" s="2"/>
    </row>
    <row r="1262" spans="1:68" x14ac:dyDescent="0.25">
      <c r="A1262" s="62" t="s">
        <v>1158</v>
      </c>
      <c r="B1262" s="63"/>
      <c r="C1262" s="63"/>
      <c r="D1262" s="64"/>
      <c r="E1262" s="66"/>
      <c r="F1262" s="103" t="str">
        <f>HYPERLINK("https://pbs.twimg.com/profile_images/1706862766206701568/LMRq3-oL_normal.jpg")</f>
        <v>https://pbs.twimg.com/profile_images/1706862766206701568/LMRq3-oL_normal.jpg</v>
      </c>
      <c r="G1262" s="63"/>
      <c r="H1262" s="67"/>
      <c r="I1262" s="68"/>
      <c r="J1262" s="68"/>
      <c r="K1262" s="67" t="s">
        <v>28856</v>
      </c>
      <c r="L1262" s="71"/>
      <c r="M1262" s="72"/>
      <c r="N1262" s="72"/>
      <c r="O1262" s="73"/>
      <c r="P1262" s="74"/>
      <c r="Q1262" s="74"/>
      <c r="R1262" s="87"/>
      <c r="S1262" s="87"/>
      <c r="T1262" s="87"/>
      <c r="U1262" s="87"/>
      <c r="V1262" s="48"/>
      <c r="W1262" s="48"/>
      <c r="X1262" s="48"/>
      <c r="Y1262" s="48"/>
      <c r="Z1262" s="47"/>
      <c r="AA1262" s="69">
        <v>1262</v>
      </c>
      <c r="AB1262" s="69"/>
      <c r="AC1262" s="70"/>
      <c r="AD1262" s="76" t="s">
        <v>22482</v>
      </c>
      <c r="AE1262" s="81" t="s">
        <v>23723</v>
      </c>
      <c r="AF1262" s="76">
        <v>10891</v>
      </c>
      <c r="AG1262" s="76">
        <v>10906</v>
      </c>
      <c r="AH1262" s="76">
        <v>76311</v>
      </c>
      <c r="AI1262" s="76">
        <v>40</v>
      </c>
      <c r="AJ1262" s="76">
        <v>5735</v>
      </c>
      <c r="AK1262" s="76">
        <v>13128</v>
      </c>
      <c r="AL1262" s="76" t="b">
        <v>0</v>
      </c>
      <c r="AM1262" s="78">
        <v>40417.080520833333</v>
      </c>
      <c r="AN1262" s="76" t="s">
        <v>24513</v>
      </c>
      <c r="AO1262" s="76" t="s">
        <v>25834</v>
      </c>
      <c r="AP1262" s="82" t="str">
        <f>HYPERLINK("https://t.co/gta27BGOaI")</f>
        <v>https://t.co/gta27BGOaI</v>
      </c>
      <c r="AQ1262" s="82" t="str">
        <f>HYPERLINK("http://www.multimediosnoxsalta.com.ar")</f>
        <v>http://www.multimediosnoxsalta.com.ar</v>
      </c>
      <c r="AR1262" s="76" t="s">
        <v>27035</v>
      </c>
      <c r="AS1262" s="82" t="str">
        <f>HYPERLINK("https://t.co/fpW5P0jyLO")</f>
        <v>https://t.co/fpW5P0jyLO</v>
      </c>
      <c r="AT1262" s="82" t="str">
        <f>HYPERLINK("http://multimediosnoxsalta.com.ar")</f>
        <v>http://multimediosnoxsalta.com.ar</v>
      </c>
      <c r="AU1262" s="76" t="s">
        <v>27035</v>
      </c>
      <c r="AV1262" s="76">
        <v>1.7023878640869E+18</v>
      </c>
      <c r="AW1262" s="82" t="str">
        <f>HYPERLINK("https://t.co/gta27BGOaI")</f>
        <v>https://t.co/gta27BGOaI</v>
      </c>
      <c r="AX1262" s="76" t="b">
        <v>0</v>
      </c>
      <c r="AY1262" s="76"/>
      <c r="AZ1262" s="76"/>
      <c r="BA1262" s="76" t="b">
        <v>0</v>
      </c>
      <c r="BB1262" s="76" t="b">
        <v>1</v>
      </c>
      <c r="BC1262" s="76" t="b">
        <v>0</v>
      </c>
      <c r="BD1262" s="76" t="b">
        <v>0</v>
      </c>
      <c r="BE1262" s="76" t="b">
        <v>1</v>
      </c>
      <c r="BF1262" s="76" t="b">
        <v>0</v>
      </c>
      <c r="BG1262" s="76" t="b">
        <v>0</v>
      </c>
      <c r="BH1262" s="82" t="str">
        <f>HYPERLINK("https://pbs.twimg.com/profile_banners/183463551/1695782866")</f>
        <v>https://pbs.twimg.com/profile_banners/183463551/1695782866</v>
      </c>
      <c r="BI1262" s="76"/>
      <c r="BJ1262" s="76" t="s">
        <v>27595</v>
      </c>
      <c r="BK1262" s="76" t="b">
        <v>0</v>
      </c>
      <c r="BL1262" s="76"/>
      <c r="BM1262" s="76" t="s">
        <v>66</v>
      </c>
      <c r="BN1262" s="76" t="s">
        <v>27597</v>
      </c>
      <c r="BO1262" s="82" t="str">
        <f>HYPERLINK("https://twitter.com/pablomartearena")</f>
        <v>https://twitter.com/pablomartearena</v>
      </c>
      <c r="BP1262" s="2"/>
    </row>
    <row r="1263" spans="1:68" x14ac:dyDescent="0.25">
      <c r="A1263" s="62" t="s">
        <v>1159</v>
      </c>
      <c r="B1263" s="63"/>
      <c r="C1263" s="63"/>
      <c r="D1263" s="64"/>
      <c r="E1263" s="66"/>
      <c r="F1263" s="103" t="str">
        <f>HYPERLINK("https://pbs.twimg.com/profile_images/1669793783867645969/-NOFVFmF_normal.jpg")</f>
        <v>https://pbs.twimg.com/profile_images/1669793783867645969/-NOFVFmF_normal.jpg</v>
      </c>
      <c r="G1263" s="63"/>
      <c r="H1263" s="67"/>
      <c r="I1263" s="68"/>
      <c r="J1263" s="68"/>
      <c r="K1263" s="67" t="s">
        <v>28857</v>
      </c>
      <c r="L1263" s="71"/>
      <c r="M1263" s="72"/>
      <c r="N1263" s="72"/>
      <c r="O1263" s="73"/>
      <c r="P1263" s="74"/>
      <c r="Q1263" s="74"/>
      <c r="R1263" s="87"/>
      <c r="S1263" s="87"/>
      <c r="T1263" s="87"/>
      <c r="U1263" s="87"/>
      <c r="V1263" s="48"/>
      <c r="W1263" s="48"/>
      <c r="X1263" s="48"/>
      <c r="Y1263" s="48"/>
      <c r="Z1263" s="47"/>
      <c r="AA1263" s="69">
        <v>1263</v>
      </c>
      <c r="AB1263" s="69"/>
      <c r="AC1263" s="70"/>
      <c r="AD1263" s="76" t="s">
        <v>22483</v>
      </c>
      <c r="AE1263" s="81" t="s">
        <v>23724</v>
      </c>
      <c r="AF1263" s="76">
        <v>24996</v>
      </c>
      <c r="AG1263" s="76">
        <v>235</v>
      </c>
      <c r="AH1263" s="76">
        <v>32308</v>
      </c>
      <c r="AI1263" s="76">
        <v>19</v>
      </c>
      <c r="AJ1263" s="76">
        <v>4127</v>
      </c>
      <c r="AK1263" s="76">
        <v>327</v>
      </c>
      <c r="AL1263" s="76" t="b">
        <v>0</v>
      </c>
      <c r="AM1263" s="78">
        <v>42043.178020833337</v>
      </c>
      <c r="AN1263" s="76" t="s">
        <v>14433</v>
      </c>
      <c r="AO1263" s="76"/>
      <c r="AP1263" s="82" t="str">
        <f>HYPERLINK("https://t.co/dGbioNkl6R")</f>
        <v>https://t.co/dGbioNkl6R</v>
      </c>
      <c r="AQ1263" s="82" t="str">
        <f>HYPERLINK("http://www.portaldeprefeitura.com.br")</f>
        <v>http://www.portaldeprefeitura.com.br</v>
      </c>
      <c r="AR1263" s="76" t="s">
        <v>27036</v>
      </c>
      <c r="AS1263" s="76"/>
      <c r="AT1263" s="76"/>
      <c r="AU1263" s="76"/>
      <c r="AV1263" s="76"/>
      <c r="AW1263" s="82" t="str">
        <f>HYPERLINK("https://t.co/dGbioNkl6R")</f>
        <v>https://t.co/dGbioNkl6R</v>
      </c>
      <c r="AX1263" s="76" t="b">
        <v>0</v>
      </c>
      <c r="AY1263" s="76"/>
      <c r="AZ1263" s="76"/>
      <c r="BA1263" s="76" t="b">
        <v>1</v>
      </c>
      <c r="BB1263" s="76" t="b">
        <v>1</v>
      </c>
      <c r="BC1263" s="76" t="b">
        <v>0</v>
      </c>
      <c r="BD1263" s="76" t="b">
        <v>0</v>
      </c>
      <c r="BE1263" s="76" t="b">
        <v>0</v>
      </c>
      <c r="BF1263" s="76" t="b">
        <v>0</v>
      </c>
      <c r="BG1263" s="76" t="b">
        <v>0</v>
      </c>
      <c r="BH1263" s="82" t="str">
        <f>HYPERLINK("https://pbs.twimg.com/profile_banners/3024436931/1612471717")</f>
        <v>https://pbs.twimg.com/profile_banners/3024436931/1612471717</v>
      </c>
      <c r="BI1263" s="76"/>
      <c r="BJ1263" s="76" t="s">
        <v>27595</v>
      </c>
      <c r="BK1263" s="76" t="b">
        <v>0</v>
      </c>
      <c r="BL1263" s="76"/>
      <c r="BM1263" s="76" t="s">
        <v>66</v>
      </c>
      <c r="BN1263" s="76" t="s">
        <v>27597</v>
      </c>
      <c r="BO1263" s="82" t="str">
        <f>HYPERLINK("https://twitter.com/p_prefeitura")</f>
        <v>https://twitter.com/p_prefeitura</v>
      </c>
      <c r="BP1263" s="2"/>
    </row>
    <row r="1264" spans="1:68" x14ac:dyDescent="0.25">
      <c r="A1264" s="62" t="s">
        <v>1160</v>
      </c>
      <c r="B1264" s="63"/>
      <c r="C1264" s="63"/>
      <c r="D1264" s="64"/>
      <c r="E1264" s="66"/>
      <c r="F1264" s="103" t="str">
        <f>HYPERLINK("https://pbs.twimg.com/profile_images/1627522364924633091/YV40nSgI_normal.jpg")</f>
        <v>https://pbs.twimg.com/profile_images/1627522364924633091/YV40nSgI_normal.jpg</v>
      </c>
      <c r="G1264" s="63"/>
      <c r="H1264" s="67"/>
      <c r="I1264" s="68"/>
      <c r="J1264" s="68"/>
      <c r="K1264" s="67" t="s">
        <v>28858</v>
      </c>
      <c r="L1264" s="71"/>
      <c r="M1264" s="72"/>
      <c r="N1264" s="72"/>
      <c r="O1264" s="73"/>
      <c r="P1264" s="74"/>
      <c r="Q1264" s="74"/>
      <c r="R1264" s="87"/>
      <c r="S1264" s="87"/>
      <c r="T1264" s="87"/>
      <c r="U1264" s="87"/>
      <c r="V1264" s="48"/>
      <c r="W1264" s="48"/>
      <c r="X1264" s="48"/>
      <c r="Y1264" s="48"/>
      <c r="Z1264" s="47"/>
      <c r="AA1264" s="69">
        <v>1264</v>
      </c>
      <c r="AB1264" s="69"/>
      <c r="AC1264" s="70"/>
      <c r="AD1264" s="76" t="s">
        <v>22484</v>
      </c>
      <c r="AE1264" s="81" t="s">
        <v>23725</v>
      </c>
      <c r="AF1264" s="76">
        <v>563</v>
      </c>
      <c r="AG1264" s="76">
        <v>1669</v>
      </c>
      <c r="AH1264" s="76">
        <v>30623</v>
      </c>
      <c r="AI1264" s="76">
        <v>1</v>
      </c>
      <c r="AJ1264" s="76">
        <v>38747</v>
      </c>
      <c r="AK1264" s="76">
        <v>587</v>
      </c>
      <c r="AL1264" s="76" t="b">
        <v>0</v>
      </c>
      <c r="AM1264" s="78">
        <v>40411.247534722221</v>
      </c>
      <c r="AN1264" s="76" t="s">
        <v>24514</v>
      </c>
      <c r="AO1264" s="76" t="s">
        <v>25835</v>
      </c>
      <c r="AP1264" s="76"/>
      <c r="AQ1264" s="76"/>
      <c r="AR1264" s="76"/>
      <c r="AS1264" s="76"/>
      <c r="AT1264" s="76"/>
      <c r="AU1264" s="76"/>
      <c r="AV1264" s="76"/>
      <c r="AW1264" s="76"/>
      <c r="AX1264" s="76" t="b">
        <v>0</v>
      </c>
      <c r="AY1264" s="76"/>
      <c r="AZ1264" s="76"/>
      <c r="BA1264" s="76" t="b">
        <v>0</v>
      </c>
      <c r="BB1264" s="76" t="b">
        <v>1</v>
      </c>
      <c r="BC1264" s="76" t="b">
        <v>0</v>
      </c>
      <c r="BD1264" s="76" t="b">
        <v>0</v>
      </c>
      <c r="BE1264" s="76" t="b">
        <v>1</v>
      </c>
      <c r="BF1264" s="76" t="b">
        <v>0</v>
      </c>
      <c r="BG1264" s="76" t="b">
        <v>0</v>
      </c>
      <c r="BH1264" s="82" t="str">
        <f>HYPERLINK("https://pbs.twimg.com/profile_banners/181075480/1676866946")</f>
        <v>https://pbs.twimg.com/profile_banners/181075480/1676866946</v>
      </c>
      <c r="BI1264" s="76"/>
      <c r="BJ1264" s="76" t="s">
        <v>27595</v>
      </c>
      <c r="BK1264" s="76" t="b">
        <v>0</v>
      </c>
      <c r="BL1264" s="76"/>
      <c r="BM1264" s="76" t="s">
        <v>66</v>
      </c>
      <c r="BN1264" s="76" t="s">
        <v>27597</v>
      </c>
      <c r="BO1264" s="82" t="str">
        <f>HYPERLINK("https://twitter.com/josmar1987")</f>
        <v>https://twitter.com/josmar1987</v>
      </c>
      <c r="BP1264" s="2"/>
    </row>
    <row r="1265" spans="1:68" x14ac:dyDescent="0.25">
      <c r="A1265" s="62" t="s">
        <v>1161</v>
      </c>
      <c r="B1265" s="63"/>
      <c r="C1265" s="63"/>
      <c r="D1265" s="64"/>
      <c r="E1265" s="66"/>
      <c r="F1265" s="103" t="str">
        <f>HYPERLINK("https://pbs.twimg.com/profile_images/1631323498307108866/DJIhHUkB_normal.jpg")</f>
        <v>https://pbs.twimg.com/profile_images/1631323498307108866/DJIhHUkB_normal.jpg</v>
      </c>
      <c r="G1265" s="63"/>
      <c r="H1265" s="67"/>
      <c r="I1265" s="68"/>
      <c r="J1265" s="68"/>
      <c r="K1265" s="67" t="s">
        <v>28859</v>
      </c>
      <c r="L1265" s="71"/>
      <c r="M1265" s="72"/>
      <c r="N1265" s="72"/>
      <c r="O1265" s="73"/>
      <c r="P1265" s="74"/>
      <c r="Q1265" s="74"/>
      <c r="R1265" s="87"/>
      <c r="S1265" s="87"/>
      <c r="T1265" s="87"/>
      <c r="U1265" s="87"/>
      <c r="V1265" s="48"/>
      <c r="W1265" s="48"/>
      <c r="X1265" s="48"/>
      <c r="Y1265" s="48"/>
      <c r="Z1265" s="47"/>
      <c r="AA1265" s="69">
        <v>1265</v>
      </c>
      <c r="AB1265" s="69"/>
      <c r="AC1265" s="70"/>
      <c r="AD1265" s="76" t="s">
        <v>22485</v>
      </c>
      <c r="AE1265" s="81" t="s">
        <v>23726</v>
      </c>
      <c r="AF1265" s="76">
        <v>533</v>
      </c>
      <c r="AG1265" s="76">
        <v>209</v>
      </c>
      <c r="AH1265" s="76">
        <v>10650</v>
      </c>
      <c r="AI1265" s="76">
        <v>3</v>
      </c>
      <c r="AJ1265" s="76">
        <v>77</v>
      </c>
      <c r="AK1265" s="76">
        <v>51</v>
      </c>
      <c r="AL1265" s="76" t="b">
        <v>0</v>
      </c>
      <c r="AM1265" s="78">
        <v>42153.739074074074</v>
      </c>
      <c r="AN1265" s="76" t="s">
        <v>24515</v>
      </c>
      <c r="AO1265" s="76" t="s">
        <v>25836</v>
      </c>
      <c r="AP1265" s="82" t="str">
        <f>HYPERLINK("https://t.co/nXMjblj0DM")</f>
        <v>https://t.co/nXMjblj0DM</v>
      </c>
      <c r="AQ1265" s="82" t="str">
        <f>HYPERLINK("https://cadenadelosandesfm.com.ar")</f>
        <v>https://cadenadelosandesfm.com.ar</v>
      </c>
      <c r="AR1265" s="76" t="s">
        <v>27037</v>
      </c>
      <c r="AS1265" s="82" t="str">
        <f>HYPERLINK("https://t.co/kbHyPOrnst")</f>
        <v>https://t.co/kbHyPOrnst</v>
      </c>
      <c r="AT1265" s="82" t="str">
        <f>HYPERLINK("http://facebook.com/cadenadelosand")</f>
        <v>http://facebook.com/cadenadelosand</v>
      </c>
      <c r="AU1265" s="76" t="s">
        <v>27535</v>
      </c>
      <c r="AV1265" s="76"/>
      <c r="AW1265" s="82" t="str">
        <f>HYPERLINK("https://t.co/nXMjblj0DM")</f>
        <v>https://t.co/nXMjblj0DM</v>
      </c>
      <c r="AX1265" s="76" t="b">
        <v>0</v>
      </c>
      <c r="AY1265" s="76"/>
      <c r="AZ1265" s="76"/>
      <c r="BA1265" s="76" t="b">
        <v>0</v>
      </c>
      <c r="BB1265" s="76" t="b">
        <v>1</v>
      </c>
      <c r="BC1265" s="76" t="b">
        <v>1</v>
      </c>
      <c r="BD1265" s="76" t="b">
        <v>0</v>
      </c>
      <c r="BE1265" s="76" t="b">
        <v>1</v>
      </c>
      <c r="BF1265" s="76" t="b">
        <v>0</v>
      </c>
      <c r="BG1265" s="76" t="b">
        <v>0</v>
      </c>
      <c r="BH1265" s="82" t="str">
        <f>HYPERLINK("https://pbs.twimg.com/profile_banners/3302958387/1692665703")</f>
        <v>https://pbs.twimg.com/profile_banners/3302958387/1692665703</v>
      </c>
      <c r="BI1265" s="76"/>
      <c r="BJ1265" s="76" t="s">
        <v>27595</v>
      </c>
      <c r="BK1265" s="76" t="b">
        <v>0</v>
      </c>
      <c r="BL1265" s="76"/>
      <c r="BM1265" s="76" t="s">
        <v>66</v>
      </c>
      <c r="BN1265" s="76" t="s">
        <v>27597</v>
      </c>
      <c r="BO1265" s="82" t="str">
        <f>HYPERLINK("https://twitter.com/delosandesweb")</f>
        <v>https://twitter.com/delosandesweb</v>
      </c>
      <c r="BP1265" s="2"/>
    </row>
    <row r="1266" spans="1:68" x14ac:dyDescent="0.25">
      <c r="A1266" s="62" t="s">
        <v>1162</v>
      </c>
      <c r="B1266" s="63"/>
      <c r="C1266" s="63"/>
      <c r="D1266" s="64"/>
      <c r="E1266" s="66"/>
      <c r="F1266" s="103" t="str">
        <f>HYPERLINK("https://pbs.twimg.com/profile_images/1410697014485176324/p72M7BRd_normal.jpg")</f>
        <v>https://pbs.twimg.com/profile_images/1410697014485176324/p72M7BRd_normal.jpg</v>
      </c>
      <c r="G1266" s="63"/>
      <c r="H1266" s="67"/>
      <c r="I1266" s="68"/>
      <c r="J1266" s="68"/>
      <c r="K1266" s="67" t="s">
        <v>28860</v>
      </c>
      <c r="L1266" s="71"/>
      <c r="M1266" s="72"/>
      <c r="N1266" s="72"/>
      <c r="O1266" s="73"/>
      <c r="P1266" s="74"/>
      <c r="Q1266" s="74"/>
      <c r="R1266" s="87"/>
      <c r="S1266" s="87"/>
      <c r="T1266" s="87"/>
      <c r="U1266" s="87"/>
      <c r="V1266" s="48"/>
      <c r="W1266" s="48"/>
      <c r="X1266" s="48"/>
      <c r="Y1266" s="48"/>
      <c r="Z1266" s="47"/>
      <c r="AA1266" s="69">
        <v>1266</v>
      </c>
      <c r="AB1266" s="69"/>
      <c r="AC1266" s="70"/>
      <c r="AD1266" s="76" t="s">
        <v>1162</v>
      </c>
      <c r="AE1266" s="81" t="s">
        <v>20959</v>
      </c>
      <c r="AF1266" s="76">
        <v>3379</v>
      </c>
      <c r="AG1266" s="76">
        <v>488</v>
      </c>
      <c r="AH1266" s="76">
        <v>4317</v>
      </c>
      <c r="AI1266" s="76">
        <v>4</v>
      </c>
      <c r="AJ1266" s="76">
        <v>15817</v>
      </c>
      <c r="AK1266" s="76">
        <v>1710</v>
      </c>
      <c r="AL1266" s="76" t="b">
        <v>0</v>
      </c>
      <c r="AM1266" s="78">
        <v>44377.049733796295</v>
      </c>
      <c r="AN1266" s="76"/>
      <c r="AO1266" s="76" t="s">
        <v>25837</v>
      </c>
      <c r="AP1266" s="76"/>
      <c r="AQ1266" s="76"/>
      <c r="AR1266" s="76"/>
      <c r="AS1266" s="76"/>
      <c r="AT1266" s="76"/>
      <c r="AU1266" s="76"/>
      <c r="AV1266" s="76">
        <v>1.5967092220701599E+18</v>
      </c>
      <c r="AW1266" s="76"/>
      <c r="AX1266" s="76" t="b">
        <v>0</v>
      </c>
      <c r="AY1266" s="76"/>
      <c r="AZ1266" s="76"/>
      <c r="BA1266" s="76" t="b">
        <v>0</v>
      </c>
      <c r="BB1266" s="76" t="b">
        <v>1</v>
      </c>
      <c r="BC1266" s="76" t="b">
        <v>1</v>
      </c>
      <c r="BD1266" s="76" t="b">
        <v>0</v>
      </c>
      <c r="BE1266" s="76" t="b">
        <v>1</v>
      </c>
      <c r="BF1266" s="76" t="b">
        <v>0</v>
      </c>
      <c r="BG1266" s="76" t="b">
        <v>0</v>
      </c>
      <c r="BH1266" s="82" t="str">
        <f>HYPERLINK("https://pbs.twimg.com/profile_banners/1410042782014705665/1672722413")</f>
        <v>https://pbs.twimg.com/profile_banners/1410042782014705665/1672722413</v>
      </c>
      <c r="BI1266" s="76"/>
      <c r="BJ1266" s="76" t="s">
        <v>27595</v>
      </c>
      <c r="BK1266" s="76" t="b">
        <v>0</v>
      </c>
      <c r="BL1266" s="76"/>
      <c r="BM1266" s="76" t="s">
        <v>66</v>
      </c>
      <c r="BN1266" s="76" t="s">
        <v>27597</v>
      </c>
      <c r="BO1266" s="82" t="str">
        <f>HYPERLINK("https://twitter.com/lopretelovers")</f>
        <v>https://twitter.com/lopretelovers</v>
      </c>
      <c r="BP1266" s="2"/>
    </row>
    <row r="1267" spans="1:68" x14ac:dyDescent="0.25">
      <c r="A1267" s="62" t="s">
        <v>1163</v>
      </c>
      <c r="B1267" s="63"/>
      <c r="C1267" s="63"/>
      <c r="D1267" s="64"/>
      <c r="E1267" s="66"/>
      <c r="F1267" s="103" t="str">
        <f>HYPERLINK("https://pbs.twimg.com/profile_images/1623453579183882242/9W-v9fqN_normal.jpg")</f>
        <v>https://pbs.twimg.com/profile_images/1623453579183882242/9W-v9fqN_normal.jpg</v>
      </c>
      <c r="G1267" s="63"/>
      <c r="H1267" s="67"/>
      <c r="I1267" s="68"/>
      <c r="J1267" s="68"/>
      <c r="K1267" s="67" t="s">
        <v>28861</v>
      </c>
      <c r="L1267" s="71"/>
      <c r="M1267" s="72"/>
      <c r="N1267" s="72"/>
      <c r="O1267" s="73"/>
      <c r="P1267" s="74"/>
      <c r="Q1267" s="74"/>
      <c r="R1267" s="87"/>
      <c r="S1267" s="87"/>
      <c r="T1267" s="87"/>
      <c r="U1267" s="87"/>
      <c r="V1267" s="48"/>
      <c r="W1267" s="48"/>
      <c r="X1267" s="48"/>
      <c r="Y1267" s="48"/>
      <c r="Z1267" s="47"/>
      <c r="AA1267" s="69">
        <v>1267</v>
      </c>
      <c r="AB1267" s="69"/>
      <c r="AC1267" s="70"/>
      <c r="AD1267" s="76" t="s">
        <v>22486</v>
      </c>
      <c r="AE1267" s="81" t="s">
        <v>23727</v>
      </c>
      <c r="AF1267" s="76">
        <v>787</v>
      </c>
      <c r="AG1267" s="76">
        <v>1067</v>
      </c>
      <c r="AH1267" s="76">
        <v>6295</v>
      </c>
      <c r="AI1267" s="76">
        <v>15</v>
      </c>
      <c r="AJ1267" s="76">
        <v>6650</v>
      </c>
      <c r="AK1267" s="76">
        <v>426</v>
      </c>
      <c r="AL1267" s="76" t="b">
        <v>0</v>
      </c>
      <c r="AM1267" s="78">
        <v>39902.111250000002</v>
      </c>
      <c r="AN1267" s="76" t="s">
        <v>24516</v>
      </c>
      <c r="AO1267" s="76" t="s">
        <v>25838</v>
      </c>
      <c r="AP1267" s="82" t="str">
        <f>HYPERLINK("https://t.co/Kx7xWnm28G")</f>
        <v>https://t.co/Kx7xWnm28G</v>
      </c>
      <c r="AQ1267" s="82" t="str">
        <f>HYPERLINK("https://www.rikaryo.com.br")</f>
        <v>https://www.rikaryo.com.br</v>
      </c>
      <c r="AR1267" s="76" t="s">
        <v>27038</v>
      </c>
      <c r="AS1267" s="76"/>
      <c r="AT1267" s="76"/>
      <c r="AU1267" s="76"/>
      <c r="AV1267" s="76"/>
      <c r="AW1267" s="82" t="str">
        <f>HYPERLINK("https://t.co/Kx7xWnm28G")</f>
        <v>https://t.co/Kx7xWnm28G</v>
      </c>
      <c r="AX1267" s="76" t="b">
        <v>0</v>
      </c>
      <c r="AY1267" s="76"/>
      <c r="AZ1267" s="76"/>
      <c r="BA1267" s="76" t="b">
        <v>0</v>
      </c>
      <c r="BB1267" s="76" t="b">
        <v>1</v>
      </c>
      <c r="BC1267" s="76" t="b">
        <v>0</v>
      </c>
      <c r="BD1267" s="76" t="b">
        <v>0</v>
      </c>
      <c r="BE1267" s="76" t="b">
        <v>1</v>
      </c>
      <c r="BF1267" s="76" t="b">
        <v>0</v>
      </c>
      <c r="BG1267" s="76" t="b">
        <v>0</v>
      </c>
      <c r="BH1267" s="82" t="str">
        <f>HYPERLINK("https://pbs.twimg.com/profile_banners/27566796/1675896469")</f>
        <v>https://pbs.twimg.com/profile_banners/27566796/1675896469</v>
      </c>
      <c r="BI1267" s="76"/>
      <c r="BJ1267" s="76" t="s">
        <v>27595</v>
      </c>
      <c r="BK1267" s="76" t="b">
        <v>0</v>
      </c>
      <c r="BL1267" s="76"/>
      <c r="BM1267" s="76" t="s">
        <v>66</v>
      </c>
      <c r="BN1267" s="76" t="s">
        <v>27597</v>
      </c>
      <c r="BO1267" s="82" t="str">
        <f>HYPERLINK("https://twitter.com/rikaryo")</f>
        <v>https://twitter.com/rikaryo</v>
      </c>
      <c r="BP1267" s="2"/>
    </row>
    <row r="1268" spans="1:68" x14ac:dyDescent="0.25">
      <c r="A1268" s="62" t="s">
        <v>1164</v>
      </c>
      <c r="B1268" s="63"/>
      <c r="C1268" s="63"/>
      <c r="D1268" s="64"/>
      <c r="E1268" s="66"/>
      <c r="F1268" s="103" t="str">
        <f>HYPERLINK("https://pbs.twimg.com/profile_images/1653327360765116420/8Nlb-KzU_normal.jpg")</f>
        <v>https://pbs.twimg.com/profile_images/1653327360765116420/8Nlb-KzU_normal.jpg</v>
      </c>
      <c r="G1268" s="63"/>
      <c r="H1268" s="67"/>
      <c r="I1268" s="68"/>
      <c r="J1268" s="68"/>
      <c r="K1268" s="67" t="s">
        <v>28862</v>
      </c>
      <c r="L1268" s="71"/>
      <c r="M1268" s="72"/>
      <c r="N1268" s="72"/>
      <c r="O1268" s="73"/>
      <c r="P1268" s="74"/>
      <c r="Q1268" s="74"/>
      <c r="R1268" s="87"/>
      <c r="S1268" s="87"/>
      <c r="T1268" s="87"/>
      <c r="U1268" s="87"/>
      <c r="V1268" s="48"/>
      <c r="W1268" s="48"/>
      <c r="X1268" s="48"/>
      <c r="Y1268" s="48"/>
      <c r="Z1268" s="47"/>
      <c r="AA1268" s="69">
        <v>1268</v>
      </c>
      <c r="AB1268" s="69"/>
      <c r="AC1268" s="70"/>
      <c r="AD1268" s="76" t="s">
        <v>22487</v>
      </c>
      <c r="AE1268" s="81" t="s">
        <v>23728</v>
      </c>
      <c r="AF1268" s="76">
        <v>1561182</v>
      </c>
      <c r="AG1268" s="76">
        <v>172</v>
      </c>
      <c r="AH1268" s="76">
        <v>231214</v>
      </c>
      <c r="AI1268" s="76">
        <v>3114</v>
      </c>
      <c r="AJ1268" s="76">
        <v>2627</v>
      </c>
      <c r="AK1268" s="76">
        <v>56290</v>
      </c>
      <c r="AL1268" s="76" t="b">
        <v>0</v>
      </c>
      <c r="AM1268" s="78">
        <v>39897.82271990741</v>
      </c>
      <c r="AN1268" s="76"/>
      <c r="AO1268" s="76"/>
      <c r="AP1268" s="76"/>
      <c r="AQ1268" s="76"/>
      <c r="AR1268" s="76"/>
      <c r="AS1268" s="76"/>
      <c r="AT1268" s="76"/>
      <c r="AU1268" s="76"/>
      <c r="AV1268" s="76">
        <v>1.7074990015896599E+18</v>
      </c>
      <c r="AW1268" s="76"/>
      <c r="AX1268" s="76" t="b">
        <v>1</v>
      </c>
      <c r="AY1268" s="76"/>
      <c r="AZ1268" s="76"/>
      <c r="BA1268" s="76" t="b">
        <v>0</v>
      </c>
      <c r="BB1268" s="76" t="b">
        <v>0</v>
      </c>
      <c r="BC1268" s="76" t="b">
        <v>1</v>
      </c>
      <c r="BD1268" s="76" t="b">
        <v>0</v>
      </c>
      <c r="BE1268" s="76" t="b">
        <v>1</v>
      </c>
      <c r="BF1268" s="76" t="b">
        <v>0</v>
      </c>
      <c r="BG1268" s="76" t="b">
        <v>0</v>
      </c>
      <c r="BH1268" s="82" t="str">
        <f>HYPERLINK("https://pbs.twimg.com/profile_banners/26573303/1683019684")</f>
        <v>https://pbs.twimg.com/profile_banners/26573303/1683019684</v>
      </c>
      <c r="BI1268" s="76"/>
      <c r="BJ1268" s="76" t="s">
        <v>27595</v>
      </c>
      <c r="BK1268" s="76" t="b">
        <v>0</v>
      </c>
      <c r="BL1268" s="76"/>
      <c r="BM1268" s="76" t="s">
        <v>66</v>
      </c>
      <c r="BN1268" s="76" t="s">
        <v>27597</v>
      </c>
      <c r="BO1268" s="82" t="str">
        <f>HYPERLINK("https://twitter.com/radiobandnewsfm")</f>
        <v>https://twitter.com/radiobandnewsfm</v>
      </c>
      <c r="BP1268" s="2"/>
    </row>
    <row r="1269" spans="1:68" x14ac:dyDescent="0.25">
      <c r="A1269" s="62" t="s">
        <v>1972</v>
      </c>
      <c r="B1269" s="63"/>
      <c r="C1269" s="63"/>
      <c r="D1269" s="64"/>
      <c r="E1269" s="66"/>
      <c r="F1269" s="103" t="str">
        <f>HYPERLINK("https://pbs.twimg.com/profile_images/1531849026/foto-monica-twitter_normal.jpg")</f>
        <v>https://pbs.twimg.com/profile_images/1531849026/foto-monica-twitter_normal.jpg</v>
      </c>
      <c r="G1269" s="63"/>
      <c r="H1269" s="67"/>
      <c r="I1269" s="68"/>
      <c r="J1269" s="68"/>
      <c r="K1269" s="67" t="s">
        <v>28863</v>
      </c>
      <c r="L1269" s="71"/>
      <c r="M1269" s="72"/>
      <c r="N1269" s="72"/>
      <c r="O1269" s="73"/>
      <c r="P1269" s="74"/>
      <c r="Q1269" s="74"/>
      <c r="R1269" s="87"/>
      <c r="S1269" s="87"/>
      <c r="T1269" s="87"/>
      <c r="U1269" s="87"/>
      <c r="V1269" s="48"/>
      <c r="W1269" s="48"/>
      <c r="X1269" s="48"/>
      <c r="Y1269" s="48"/>
      <c r="Z1269" s="47"/>
      <c r="AA1269" s="69">
        <v>1269</v>
      </c>
      <c r="AB1269" s="69"/>
      <c r="AC1269" s="70"/>
      <c r="AD1269" s="76" t="s">
        <v>22488</v>
      </c>
      <c r="AE1269" s="81" t="s">
        <v>23729</v>
      </c>
      <c r="AF1269" s="76">
        <v>1889918</v>
      </c>
      <c r="AG1269" s="76">
        <v>1444</v>
      </c>
      <c r="AH1269" s="76">
        <v>21978</v>
      </c>
      <c r="AI1269" s="76">
        <v>3945</v>
      </c>
      <c r="AJ1269" s="76">
        <v>168</v>
      </c>
      <c r="AK1269" s="76">
        <v>300</v>
      </c>
      <c r="AL1269" s="76" t="b">
        <v>0</v>
      </c>
      <c r="AM1269" s="78">
        <v>40015.95517361111</v>
      </c>
      <c r="AN1269" s="76" t="s">
        <v>14479</v>
      </c>
      <c r="AO1269" s="76" t="s">
        <v>25839</v>
      </c>
      <c r="AP1269" s="76"/>
      <c r="AQ1269" s="76"/>
      <c r="AR1269" s="76"/>
      <c r="AS1269" s="76"/>
      <c r="AT1269" s="76"/>
      <c r="AU1269" s="76"/>
      <c r="AV1269" s="76">
        <v>1.4129277431891899E+18</v>
      </c>
      <c r="AW1269" s="76"/>
      <c r="AX1269" s="76" t="b">
        <v>1</v>
      </c>
      <c r="AY1269" s="76"/>
      <c r="AZ1269" s="76"/>
      <c r="BA1269" s="76" t="b">
        <v>1</v>
      </c>
      <c r="BB1269" s="76" t="b">
        <v>1</v>
      </c>
      <c r="BC1269" s="76" t="b">
        <v>1</v>
      </c>
      <c r="BD1269" s="76" t="b">
        <v>0</v>
      </c>
      <c r="BE1269" s="76" t="b">
        <v>1</v>
      </c>
      <c r="BF1269" s="76" t="b">
        <v>0</v>
      </c>
      <c r="BG1269" s="76" t="b">
        <v>0</v>
      </c>
      <c r="BH1269" s="76"/>
      <c r="BI1269" s="76"/>
      <c r="BJ1269" s="76" t="s">
        <v>27595</v>
      </c>
      <c r="BK1269" s="76" t="b">
        <v>0</v>
      </c>
      <c r="BL1269" s="76"/>
      <c r="BM1269" s="76" t="s">
        <v>65</v>
      </c>
      <c r="BN1269" s="76" t="s">
        <v>27597</v>
      </c>
      <c r="BO1269" s="82" t="str">
        <f>HYPERLINK("https://twitter.com/monicabergamo")</f>
        <v>https://twitter.com/monicabergamo</v>
      </c>
      <c r="BP1269" s="2"/>
    </row>
    <row r="1270" spans="1:68" x14ac:dyDescent="0.25">
      <c r="A1270" s="62" t="s">
        <v>1973</v>
      </c>
      <c r="B1270" s="63"/>
      <c r="C1270" s="63"/>
      <c r="D1270" s="64"/>
      <c r="E1270" s="66"/>
      <c r="F1270" s="103" t="str">
        <f>HYPERLINK("https://pbs.twimg.com/profile_images/1087041536292986881/shI57zzE_normal.jpg")</f>
        <v>https://pbs.twimg.com/profile_images/1087041536292986881/shI57zzE_normal.jpg</v>
      </c>
      <c r="G1270" s="63"/>
      <c r="H1270" s="67"/>
      <c r="I1270" s="68"/>
      <c r="J1270" s="68"/>
      <c r="K1270" s="67" t="s">
        <v>28864</v>
      </c>
      <c r="L1270" s="71"/>
      <c r="M1270" s="72"/>
      <c r="N1270" s="72"/>
      <c r="O1270" s="73"/>
      <c r="P1270" s="74"/>
      <c r="Q1270" s="74"/>
      <c r="R1270" s="87"/>
      <c r="S1270" s="87"/>
      <c r="T1270" s="87"/>
      <c r="U1270" s="87"/>
      <c r="V1270" s="48"/>
      <c r="W1270" s="48"/>
      <c r="X1270" s="48"/>
      <c r="Y1270" s="48"/>
      <c r="Z1270" s="47"/>
      <c r="AA1270" s="69">
        <v>1270</v>
      </c>
      <c r="AB1270" s="69"/>
      <c r="AC1270" s="70"/>
      <c r="AD1270" s="76" t="s">
        <v>22489</v>
      </c>
      <c r="AE1270" s="81" t="s">
        <v>23730</v>
      </c>
      <c r="AF1270" s="76">
        <v>93765</v>
      </c>
      <c r="AG1270" s="76">
        <v>291</v>
      </c>
      <c r="AH1270" s="76">
        <v>9865</v>
      </c>
      <c r="AI1270" s="76">
        <v>274</v>
      </c>
      <c r="AJ1270" s="76">
        <v>11167</v>
      </c>
      <c r="AK1270" s="76">
        <v>1070</v>
      </c>
      <c r="AL1270" s="76" t="b">
        <v>0</v>
      </c>
      <c r="AM1270" s="78">
        <v>40025.468715277777</v>
      </c>
      <c r="AN1270" s="76"/>
      <c r="AO1270" s="76" t="s">
        <v>25840</v>
      </c>
      <c r="AP1270" s="82" t="str">
        <f>HYPERLINK("https://t.co/rZSxBHOxUq")</f>
        <v>https://t.co/rZSxBHOxUq</v>
      </c>
      <c r="AQ1270" s="82" t="str">
        <f>HYPERLINK("http://instagram.com/barao.eduardo")</f>
        <v>http://instagram.com/barao.eduardo</v>
      </c>
      <c r="AR1270" s="76" t="s">
        <v>27039</v>
      </c>
      <c r="AS1270" s="76"/>
      <c r="AT1270" s="76"/>
      <c r="AU1270" s="76"/>
      <c r="AV1270" s="76"/>
      <c r="AW1270" s="82" t="str">
        <f>HYPERLINK("https://t.co/rZSxBHOxUq")</f>
        <v>https://t.co/rZSxBHOxUq</v>
      </c>
      <c r="AX1270" s="76" t="b">
        <v>0</v>
      </c>
      <c r="AY1270" s="76"/>
      <c r="AZ1270" s="76"/>
      <c r="BA1270" s="76" t="b">
        <v>0</v>
      </c>
      <c r="BB1270" s="76" t="b">
        <v>1</v>
      </c>
      <c r="BC1270" s="76" t="b">
        <v>1</v>
      </c>
      <c r="BD1270" s="76" t="b">
        <v>0</v>
      </c>
      <c r="BE1270" s="76" t="b">
        <v>1</v>
      </c>
      <c r="BF1270" s="76" t="b">
        <v>0</v>
      </c>
      <c r="BG1270" s="76" t="b">
        <v>0</v>
      </c>
      <c r="BH1270" s="82" t="str">
        <f>HYPERLINK("https://pbs.twimg.com/profile_banners/61748699/1410813108")</f>
        <v>https://pbs.twimg.com/profile_banners/61748699/1410813108</v>
      </c>
      <c r="BI1270" s="76"/>
      <c r="BJ1270" s="76" t="s">
        <v>27595</v>
      </c>
      <c r="BK1270" s="76" t="b">
        <v>0</v>
      </c>
      <c r="BL1270" s="76"/>
      <c r="BM1270" s="76" t="s">
        <v>65</v>
      </c>
      <c r="BN1270" s="76" t="s">
        <v>27597</v>
      </c>
      <c r="BO1270" s="82" t="str">
        <f>HYPERLINK("https://twitter.com/eduardobarao")</f>
        <v>https://twitter.com/eduardobarao</v>
      </c>
      <c r="BP1270" s="2"/>
    </row>
    <row r="1271" spans="1:68" x14ac:dyDescent="0.25">
      <c r="A1271" s="62" t="s">
        <v>1165</v>
      </c>
      <c r="B1271" s="63"/>
      <c r="C1271" s="63"/>
      <c r="D1271" s="64"/>
      <c r="E1271" s="66"/>
      <c r="F1271" s="103" t="str">
        <f>HYPERLINK("https://pbs.twimg.com/profile_images/1376044094670184448/zx58-NCm_normal.jpg")</f>
        <v>https://pbs.twimg.com/profile_images/1376044094670184448/zx58-NCm_normal.jpg</v>
      </c>
      <c r="G1271" s="63"/>
      <c r="H1271" s="67"/>
      <c r="I1271" s="68"/>
      <c r="J1271" s="68"/>
      <c r="K1271" s="67" t="s">
        <v>28865</v>
      </c>
      <c r="L1271" s="71"/>
      <c r="M1271" s="72"/>
      <c r="N1271" s="72"/>
      <c r="O1271" s="73"/>
      <c r="P1271" s="74"/>
      <c r="Q1271" s="74"/>
      <c r="R1271" s="87"/>
      <c r="S1271" s="87"/>
      <c r="T1271" s="87"/>
      <c r="U1271" s="87"/>
      <c r="V1271" s="48"/>
      <c r="W1271" s="48"/>
      <c r="X1271" s="48"/>
      <c r="Y1271" s="48"/>
      <c r="Z1271" s="47"/>
      <c r="AA1271" s="69">
        <v>1271</v>
      </c>
      <c r="AB1271" s="69"/>
      <c r="AC1271" s="70"/>
      <c r="AD1271" s="76" t="s">
        <v>22490</v>
      </c>
      <c r="AE1271" s="81" t="s">
        <v>20960</v>
      </c>
      <c r="AF1271" s="76">
        <v>4273</v>
      </c>
      <c r="AG1271" s="76">
        <v>172</v>
      </c>
      <c r="AH1271" s="76">
        <v>4102</v>
      </c>
      <c r="AI1271" s="76">
        <v>1</v>
      </c>
      <c r="AJ1271" s="76">
        <v>4841</v>
      </c>
      <c r="AK1271" s="76">
        <v>781</v>
      </c>
      <c r="AL1271" s="76" t="b">
        <v>0</v>
      </c>
      <c r="AM1271" s="78">
        <v>44272.532407407409</v>
      </c>
      <c r="AN1271" s="76" t="s">
        <v>14385</v>
      </c>
      <c r="AO1271" s="76" t="s">
        <v>25841</v>
      </c>
      <c r="AP1271" s="82" t="str">
        <f>HYPERLINK("https://t.co/DpEYcxN6F3")</f>
        <v>https://t.co/DpEYcxN6F3</v>
      </c>
      <c r="AQ1271" s="82" t="str">
        <f>HYPERLINK("https://linktr.ee/alberdianaok")</f>
        <v>https://linktr.ee/alberdianaok</v>
      </c>
      <c r="AR1271" s="76" t="s">
        <v>27040</v>
      </c>
      <c r="AS1271" s="76"/>
      <c r="AT1271" s="76"/>
      <c r="AU1271" s="76"/>
      <c r="AV1271" s="76"/>
      <c r="AW1271" s="82" t="str">
        <f>HYPERLINK("https://t.co/DpEYcxN6F3")</f>
        <v>https://t.co/DpEYcxN6F3</v>
      </c>
      <c r="AX1271" s="76" t="b">
        <v>0</v>
      </c>
      <c r="AY1271" s="76"/>
      <c r="AZ1271" s="76"/>
      <c r="BA1271" s="76" t="b">
        <v>0</v>
      </c>
      <c r="BB1271" s="76" t="b">
        <v>1</v>
      </c>
      <c r="BC1271" s="76" t="b">
        <v>1</v>
      </c>
      <c r="BD1271" s="76" t="b">
        <v>0</v>
      </c>
      <c r="BE1271" s="76" t="b">
        <v>1</v>
      </c>
      <c r="BF1271" s="76" t="b">
        <v>0</v>
      </c>
      <c r="BG1271" s="76" t="b">
        <v>0</v>
      </c>
      <c r="BH1271" s="82" t="str">
        <f>HYPERLINK("https://pbs.twimg.com/profile_banners/1372167457704714242/1660320483")</f>
        <v>https://pbs.twimg.com/profile_banners/1372167457704714242/1660320483</v>
      </c>
      <c r="BI1271" s="76"/>
      <c r="BJ1271" s="76" t="s">
        <v>27595</v>
      </c>
      <c r="BK1271" s="76" t="b">
        <v>0</v>
      </c>
      <c r="BL1271" s="76"/>
      <c r="BM1271" s="76" t="s">
        <v>66</v>
      </c>
      <c r="BN1271" s="76" t="s">
        <v>27597</v>
      </c>
      <c r="BO1271" s="82" t="str">
        <f>HYPERLINK("https://twitter.com/alberdianaok")</f>
        <v>https://twitter.com/alberdianaok</v>
      </c>
      <c r="BP1271" s="2"/>
    </row>
    <row r="1272" spans="1:68" x14ac:dyDescent="0.25">
      <c r="A1272" s="62" t="s">
        <v>1166</v>
      </c>
      <c r="B1272" s="63"/>
      <c r="C1272" s="63"/>
      <c r="D1272" s="64"/>
      <c r="E1272" s="66"/>
      <c r="F1272" s="103" t="str">
        <f>HYPERLINK("https://pbs.twimg.com/profile_images/1267597898386214918/6DfF_GVF_normal.jpg")</f>
        <v>https://pbs.twimg.com/profile_images/1267597898386214918/6DfF_GVF_normal.jpg</v>
      </c>
      <c r="G1272" s="63"/>
      <c r="H1272" s="67"/>
      <c r="I1272" s="68"/>
      <c r="J1272" s="68"/>
      <c r="K1272" s="67" t="s">
        <v>28866</v>
      </c>
      <c r="L1272" s="71"/>
      <c r="M1272" s="72"/>
      <c r="N1272" s="72"/>
      <c r="O1272" s="73"/>
      <c r="P1272" s="74"/>
      <c r="Q1272" s="74"/>
      <c r="R1272" s="87"/>
      <c r="S1272" s="87"/>
      <c r="T1272" s="87"/>
      <c r="U1272" s="87"/>
      <c r="V1272" s="48"/>
      <c r="W1272" s="48"/>
      <c r="X1272" s="48"/>
      <c r="Y1272" s="48"/>
      <c r="Z1272" s="47"/>
      <c r="AA1272" s="69">
        <v>1272</v>
      </c>
      <c r="AB1272" s="69"/>
      <c r="AC1272" s="70"/>
      <c r="AD1272" s="76" t="s">
        <v>22491</v>
      </c>
      <c r="AE1272" s="81" t="s">
        <v>20961</v>
      </c>
      <c r="AF1272" s="76">
        <v>21</v>
      </c>
      <c r="AG1272" s="76">
        <v>174</v>
      </c>
      <c r="AH1272" s="76">
        <v>2206</v>
      </c>
      <c r="AI1272" s="76">
        <v>0</v>
      </c>
      <c r="AJ1272" s="76">
        <v>6862</v>
      </c>
      <c r="AK1272" s="76">
        <v>6</v>
      </c>
      <c r="AL1272" s="76" t="b">
        <v>0</v>
      </c>
      <c r="AM1272" s="78">
        <v>43983.974282407406</v>
      </c>
      <c r="AN1272" s="76"/>
      <c r="AO1272" s="76" t="s">
        <v>25842</v>
      </c>
      <c r="AP1272" s="76"/>
      <c r="AQ1272" s="76"/>
      <c r="AR1272" s="76"/>
      <c r="AS1272" s="76"/>
      <c r="AT1272" s="76"/>
      <c r="AU1272" s="76"/>
      <c r="AV1272" s="76"/>
      <c r="AW1272" s="76"/>
      <c r="AX1272" s="76" t="b">
        <v>0</v>
      </c>
      <c r="AY1272" s="76"/>
      <c r="AZ1272" s="76"/>
      <c r="BA1272" s="76" t="b">
        <v>0</v>
      </c>
      <c r="BB1272" s="76" t="b">
        <v>1</v>
      </c>
      <c r="BC1272" s="76" t="b">
        <v>1</v>
      </c>
      <c r="BD1272" s="76" t="b">
        <v>0</v>
      </c>
      <c r="BE1272" s="76" t="b">
        <v>0</v>
      </c>
      <c r="BF1272" s="76" t="b">
        <v>0</v>
      </c>
      <c r="BG1272" s="76" t="b">
        <v>0</v>
      </c>
      <c r="BH1272" s="76"/>
      <c r="BI1272" s="76"/>
      <c r="BJ1272" s="76" t="s">
        <v>27595</v>
      </c>
      <c r="BK1272" s="76" t="b">
        <v>0</v>
      </c>
      <c r="BL1272" s="76"/>
      <c r="BM1272" s="76" t="s">
        <v>66</v>
      </c>
      <c r="BN1272" s="76" t="s">
        <v>27597</v>
      </c>
      <c r="BO1272" s="82" t="str">
        <f>HYPERLINK("https://twitter.com/joedsoncosta13")</f>
        <v>https://twitter.com/joedsoncosta13</v>
      </c>
      <c r="BP1272" s="2"/>
    </row>
    <row r="1273" spans="1:68" x14ac:dyDescent="0.25">
      <c r="A1273" s="62" t="s">
        <v>1167</v>
      </c>
      <c r="B1273" s="63"/>
      <c r="C1273" s="63"/>
      <c r="D1273" s="64"/>
      <c r="E1273" s="66"/>
      <c r="F1273" s="103" t="str">
        <f>HYPERLINK("https://abs.twimg.com/sticky/default_profile_images/default_profile_normal.png")</f>
        <v>https://abs.twimg.com/sticky/default_profile_images/default_profile_normal.png</v>
      </c>
      <c r="G1273" s="63"/>
      <c r="H1273" s="67"/>
      <c r="I1273" s="68"/>
      <c r="J1273" s="68"/>
      <c r="K1273" s="67" t="s">
        <v>28867</v>
      </c>
      <c r="L1273" s="71"/>
      <c r="M1273" s="72"/>
      <c r="N1273" s="72"/>
      <c r="O1273" s="73"/>
      <c r="P1273" s="74"/>
      <c r="Q1273" s="74"/>
      <c r="R1273" s="87"/>
      <c r="S1273" s="87"/>
      <c r="T1273" s="87"/>
      <c r="U1273" s="87"/>
      <c r="V1273" s="48"/>
      <c r="W1273" s="48"/>
      <c r="X1273" s="48"/>
      <c r="Y1273" s="48"/>
      <c r="Z1273" s="47"/>
      <c r="AA1273" s="69">
        <v>1273</v>
      </c>
      <c r="AB1273" s="69"/>
      <c r="AC1273" s="70"/>
      <c r="AD1273" s="76" t="s">
        <v>22492</v>
      </c>
      <c r="AE1273" s="81" t="s">
        <v>20962</v>
      </c>
      <c r="AF1273" s="76">
        <v>37</v>
      </c>
      <c r="AG1273" s="76">
        <v>83</v>
      </c>
      <c r="AH1273" s="76">
        <v>290</v>
      </c>
      <c r="AI1273" s="76">
        <v>0</v>
      </c>
      <c r="AJ1273" s="76">
        <v>16826</v>
      </c>
      <c r="AK1273" s="76">
        <v>0</v>
      </c>
      <c r="AL1273" s="76" t="b">
        <v>0</v>
      </c>
      <c r="AM1273" s="78">
        <v>44588.794004629628</v>
      </c>
      <c r="AN1273" s="76"/>
      <c r="AO1273" s="76"/>
      <c r="AP1273" s="76"/>
      <c r="AQ1273" s="76"/>
      <c r="AR1273" s="76"/>
      <c r="AS1273" s="76"/>
      <c r="AT1273" s="76"/>
      <c r="AU1273" s="76"/>
      <c r="AV1273" s="76"/>
      <c r="AW1273" s="76"/>
      <c r="AX1273" s="76" t="b">
        <v>0</v>
      </c>
      <c r="AY1273" s="76"/>
      <c r="AZ1273" s="76"/>
      <c r="BA1273" s="76" t="b">
        <v>0</v>
      </c>
      <c r="BB1273" s="76" t="b">
        <v>1</v>
      </c>
      <c r="BC1273" s="76" t="b">
        <v>1</v>
      </c>
      <c r="BD1273" s="76" t="b">
        <v>1</v>
      </c>
      <c r="BE1273" s="76" t="b">
        <v>0</v>
      </c>
      <c r="BF1273" s="76" t="b">
        <v>0</v>
      </c>
      <c r="BG1273" s="76" t="b">
        <v>0</v>
      </c>
      <c r="BH1273" s="76"/>
      <c r="BI1273" s="76"/>
      <c r="BJ1273" s="76" t="s">
        <v>27595</v>
      </c>
      <c r="BK1273" s="76" t="b">
        <v>0</v>
      </c>
      <c r="BL1273" s="76"/>
      <c r="BM1273" s="76" t="s">
        <v>66</v>
      </c>
      <c r="BN1273" s="76" t="s">
        <v>27597</v>
      </c>
      <c r="BO1273" s="82" t="str">
        <f>HYPERLINK("https://twitter.com/ronaldc63388126")</f>
        <v>https://twitter.com/ronaldc63388126</v>
      </c>
      <c r="BP1273" s="2"/>
    </row>
    <row r="1274" spans="1:68" x14ac:dyDescent="0.25">
      <c r="A1274" s="62" t="s">
        <v>1168</v>
      </c>
      <c r="B1274" s="63"/>
      <c r="C1274" s="63"/>
      <c r="D1274" s="64"/>
      <c r="E1274" s="66"/>
      <c r="F1274" s="103" t="str">
        <f>HYPERLINK("https://pbs.twimg.com/profile_images/1608111146980065280/8m-bXoQr_normal.jpg")</f>
        <v>https://pbs.twimg.com/profile_images/1608111146980065280/8m-bXoQr_normal.jpg</v>
      </c>
      <c r="G1274" s="63"/>
      <c r="H1274" s="67"/>
      <c r="I1274" s="68"/>
      <c r="J1274" s="68"/>
      <c r="K1274" s="67" t="s">
        <v>28868</v>
      </c>
      <c r="L1274" s="71"/>
      <c r="M1274" s="72"/>
      <c r="N1274" s="72"/>
      <c r="O1274" s="73"/>
      <c r="P1274" s="74"/>
      <c r="Q1274" s="74"/>
      <c r="R1274" s="87"/>
      <c r="S1274" s="87"/>
      <c r="T1274" s="87"/>
      <c r="U1274" s="87"/>
      <c r="V1274" s="48"/>
      <c r="W1274" s="48"/>
      <c r="X1274" s="48"/>
      <c r="Y1274" s="48"/>
      <c r="Z1274" s="47"/>
      <c r="AA1274" s="69">
        <v>1274</v>
      </c>
      <c r="AB1274" s="69"/>
      <c r="AC1274" s="70"/>
      <c r="AD1274" s="76" t="s">
        <v>22493</v>
      </c>
      <c r="AE1274" s="81" t="s">
        <v>23731</v>
      </c>
      <c r="AF1274" s="76">
        <v>824144</v>
      </c>
      <c r="AG1274" s="76">
        <v>3346</v>
      </c>
      <c r="AH1274" s="76">
        <v>381288</v>
      </c>
      <c r="AI1274" s="76">
        <v>4148</v>
      </c>
      <c r="AJ1274" s="76">
        <v>707</v>
      </c>
      <c r="AK1274" s="76">
        <v>54881</v>
      </c>
      <c r="AL1274" s="76" t="b">
        <v>0</v>
      </c>
      <c r="AM1274" s="78">
        <v>39706.464421296296</v>
      </c>
      <c r="AN1274" s="76" t="s">
        <v>14385</v>
      </c>
      <c r="AO1274" s="76" t="s">
        <v>25843</v>
      </c>
      <c r="AP1274" s="82" t="str">
        <f>HYPERLINK("https://t.co/I9eEs6u2kM")</f>
        <v>https://t.co/I9eEs6u2kM</v>
      </c>
      <c r="AQ1274" s="82" t="str">
        <f>HYPERLINK("http://www.perfil.com")</f>
        <v>http://www.perfil.com</v>
      </c>
      <c r="AR1274" s="76" t="s">
        <v>8615</v>
      </c>
      <c r="AS1274" s="76"/>
      <c r="AT1274" s="76"/>
      <c r="AU1274" s="76"/>
      <c r="AV1274" s="76"/>
      <c r="AW1274" s="82" t="str">
        <f>HYPERLINK("https://t.co/I9eEs6u2kM")</f>
        <v>https://t.co/I9eEs6u2kM</v>
      </c>
      <c r="AX1274" s="76" t="b">
        <v>0</v>
      </c>
      <c r="AY1274" s="76"/>
      <c r="AZ1274" s="76"/>
      <c r="BA1274" s="76" t="b">
        <v>0</v>
      </c>
      <c r="BB1274" s="76" t="b">
        <v>1</v>
      </c>
      <c r="BC1274" s="76" t="b">
        <v>0</v>
      </c>
      <c r="BD1274" s="76" t="b">
        <v>0</v>
      </c>
      <c r="BE1274" s="76" t="b">
        <v>1</v>
      </c>
      <c r="BF1274" s="76" t="b">
        <v>0</v>
      </c>
      <c r="BG1274" s="76" t="b">
        <v>0</v>
      </c>
      <c r="BH1274" s="82" t="str">
        <f>HYPERLINK("https://pbs.twimg.com/profile_banners/16294264/1690299252")</f>
        <v>https://pbs.twimg.com/profile_banners/16294264/1690299252</v>
      </c>
      <c r="BI1274" s="76"/>
      <c r="BJ1274" s="76" t="s">
        <v>27595</v>
      </c>
      <c r="BK1274" s="76" t="b">
        <v>0</v>
      </c>
      <c r="BL1274" s="76"/>
      <c r="BM1274" s="76" t="s">
        <v>66</v>
      </c>
      <c r="BN1274" s="76" t="s">
        <v>27597</v>
      </c>
      <c r="BO1274" s="82" t="str">
        <f>HYPERLINK("https://twitter.com/perfilcom")</f>
        <v>https://twitter.com/perfilcom</v>
      </c>
      <c r="BP1274" s="2"/>
    </row>
    <row r="1275" spans="1:68" x14ac:dyDescent="0.25">
      <c r="A1275" s="62" t="s">
        <v>1169</v>
      </c>
      <c r="B1275" s="63"/>
      <c r="C1275" s="63"/>
      <c r="D1275" s="64"/>
      <c r="E1275" s="66"/>
      <c r="F1275" s="103" t="str">
        <f>HYPERLINK("https://pbs.twimg.com/profile_images/1480560941532123141/ZXXhOc8F_normal.jpg")</f>
        <v>https://pbs.twimg.com/profile_images/1480560941532123141/ZXXhOc8F_normal.jpg</v>
      </c>
      <c r="G1275" s="63"/>
      <c r="H1275" s="67"/>
      <c r="I1275" s="68"/>
      <c r="J1275" s="68"/>
      <c r="K1275" s="67" t="s">
        <v>28869</v>
      </c>
      <c r="L1275" s="71"/>
      <c r="M1275" s="72"/>
      <c r="N1275" s="72"/>
      <c r="O1275" s="73"/>
      <c r="P1275" s="74"/>
      <c r="Q1275" s="74"/>
      <c r="R1275" s="87"/>
      <c r="S1275" s="87"/>
      <c r="T1275" s="87"/>
      <c r="U1275" s="87"/>
      <c r="V1275" s="48"/>
      <c r="W1275" s="48"/>
      <c r="X1275" s="48"/>
      <c r="Y1275" s="48"/>
      <c r="Z1275" s="47"/>
      <c r="AA1275" s="69">
        <v>1275</v>
      </c>
      <c r="AB1275" s="69"/>
      <c r="AC1275" s="70"/>
      <c r="AD1275" s="76" t="s">
        <v>22494</v>
      </c>
      <c r="AE1275" s="81" t="s">
        <v>23732</v>
      </c>
      <c r="AF1275" s="76">
        <v>1894</v>
      </c>
      <c r="AG1275" s="76">
        <v>4367</v>
      </c>
      <c r="AH1275" s="76">
        <v>128787</v>
      </c>
      <c r="AI1275" s="76">
        <v>61</v>
      </c>
      <c r="AJ1275" s="76">
        <v>112</v>
      </c>
      <c r="AK1275" s="76">
        <v>20907</v>
      </c>
      <c r="AL1275" s="76" t="b">
        <v>0</v>
      </c>
      <c r="AM1275" s="78">
        <v>41352.964074074072</v>
      </c>
      <c r="AN1275" s="76" t="s">
        <v>24063</v>
      </c>
      <c r="AO1275" s="76" t="s">
        <v>25844</v>
      </c>
      <c r="AP1275" s="82" t="str">
        <f>HYPERLINK("https://t.co/evRGYxrmZi")</f>
        <v>https://t.co/evRGYxrmZi</v>
      </c>
      <c r="AQ1275" s="82" t="str">
        <f>HYPERLINK("http://elfronterizo.com")</f>
        <v>http://elfronterizo.com</v>
      </c>
      <c r="AR1275" s="76" t="s">
        <v>27041</v>
      </c>
      <c r="AS1275" s="76"/>
      <c r="AT1275" s="76"/>
      <c r="AU1275" s="76"/>
      <c r="AV1275" s="76"/>
      <c r="AW1275" s="82" t="str">
        <f>HYPERLINK("https://t.co/evRGYxrmZi")</f>
        <v>https://t.co/evRGYxrmZi</v>
      </c>
      <c r="AX1275" s="76" t="b">
        <v>0</v>
      </c>
      <c r="AY1275" s="76"/>
      <c r="AZ1275" s="76"/>
      <c r="BA1275" s="76" t="b">
        <v>0</v>
      </c>
      <c r="BB1275" s="76" t="b">
        <v>1</v>
      </c>
      <c r="BC1275" s="76" t="b">
        <v>0</v>
      </c>
      <c r="BD1275" s="76" t="b">
        <v>0</v>
      </c>
      <c r="BE1275" s="76" t="b">
        <v>1</v>
      </c>
      <c r="BF1275" s="76" t="b">
        <v>0</v>
      </c>
      <c r="BG1275" s="76" t="b">
        <v>0</v>
      </c>
      <c r="BH1275" s="82" t="str">
        <f>HYPERLINK("https://pbs.twimg.com/profile_banners/1281753962/1641828213")</f>
        <v>https://pbs.twimg.com/profile_banners/1281753962/1641828213</v>
      </c>
      <c r="BI1275" s="76"/>
      <c r="BJ1275" s="76" t="s">
        <v>27595</v>
      </c>
      <c r="BK1275" s="76" t="b">
        <v>0</v>
      </c>
      <c r="BL1275" s="76"/>
      <c r="BM1275" s="76" t="s">
        <v>66</v>
      </c>
      <c r="BN1275" s="76" t="s">
        <v>27597</v>
      </c>
      <c r="BO1275" s="82" t="str">
        <f>HYPERLINK("https://twitter.com/elfronterizodg")</f>
        <v>https://twitter.com/elfronterizodg</v>
      </c>
      <c r="BP1275" s="2"/>
    </row>
    <row r="1276" spans="1:68" x14ac:dyDescent="0.25">
      <c r="A1276" s="62" t="s">
        <v>1974</v>
      </c>
      <c r="B1276" s="63"/>
      <c r="C1276" s="63"/>
      <c r="D1276" s="64"/>
      <c r="E1276" s="66"/>
      <c r="F1276" s="103" t="str">
        <f>HYPERLINK("https://pbs.twimg.com/profile_images/1610279153923661826/aKOzZpa2_normal.jpg")</f>
        <v>https://pbs.twimg.com/profile_images/1610279153923661826/aKOzZpa2_normal.jpg</v>
      </c>
      <c r="G1276" s="63"/>
      <c r="H1276" s="67"/>
      <c r="I1276" s="68"/>
      <c r="J1276" s="68"/>
      <c r="K1276" s="67" t="s">
        <v>28870</v>
      </c>
      <c r="L1276" s="71"/>
      <c r="M1276" s="72"/>
      <c r="N1276" s="72"/>
      <c r="O1276" s="73"/>
      <c r="P1276" s="74"/>
      <c r="Q1276" s="74"/>
      <c r="R1276" s="87"/>
      <c r="S1276" s="87"/>
      <c r="T1276" s="87"/>
      <c r="U1276" s="87"/>
      <c r="V1276" s="48"/>
      <c r="W1276" s="48"/>
      <c r="X1276" s="48"/>
      <c r="Y1276" s="48"/>
      <c r="Z1276" s="47"/>
      <c r="AA1276" s="69">
        <v>1276</v>
      </c>
      <c r="AB1276" s="69"/>
      <c r="AC1276" s="70"/>
      <c r="AD1276" s="76" t="s">
        <v>22495</v>
      </c>
      <c r="AE1276" s="81" t="s">
        <v>23733</v>
      </c>
      <c r="AF1276" s="76">
        <v>293169</v>
      </c>
      <c r="AG1276" s="76">
        <v>107</v>
      </c>
      <c r="AH1276" s="76">
        <v>6983</v>
      </c>
      <c r="AI1276" s="76">
        <v>213</v>
      </c>
      <c r="AJ1276" s="76">
        <v>1002</v>
      </c>
      <c r="AK1276" s="76">
        <v>4931</v>
      </c>
      <c r="AL1276" s="76" t="b">
        <v>0</v>
      </c>
      <c r="AM1276" s="78">
        <v>44030.143194444441</v>
      </c>
      <c r="AN1276" s="76" t="s">
        <v>24473</v>
      </c>
      <c r="AO1276" s="76" t="s">
        <v>25845</v>
      </c>
      <c r="AP1276" s="82" t="str">
        <f>HYPERLINK("https://t.co/tUisujpvZT")</f>
        <v>https://t.co/tUisujpvZT</v>
      </c>
      <c r="AQ1276" s="82" t="str">
        <f>HYPERLINK("https://presidencia.gob.do/")</f>
        <v>https://presidencia.gob.do/</v>
      </c>
      <c r="AR1276" s="76" t="s">
        <v>27042</v>
      </c>
      <c r="AS1276" s="76"/>
      <c r="AT1276" s="76"/>
      <c r="AU1276" s="76"/>
      <c r="AV1276" s="76">
        <v>1.70744313479427E+18</v>
      </c>
      <c r="AW1276" s="82" t="str">
        <f>HYPERLINK("https://t.co/tUisujpvZT")</f>
        <v>https://t.co/tUisujpvZT</v>
      </c>
      <c r="AX1276" s="76" t="b">
        <v>0</v>
      </c>
      <c r="AY1276" s="76"/>
      <c r="AZ1276" s="76"/>
      <c r="BA1276" s="76" t="b">
        <v>0</v>
      </c>
      <c r="BB1276" s="76" t="b">
        <v>0</v>
      </c>
      <c r="BC1276" s="76" t="b">
        <v>1</v>
      </c>
      <c r="BD1276" s="76" t="b">
        <v>0</v>
      </c>
      <c r="BE1276" s="76" t="b">
        <v>1</v>
      </c>
      <c r="BF1276" s="76" t="b">
        <v>0</v>
      </c>
      <c r="BG1276" s="76" t="b">
        <v>0</v>
      </c>
      <c r="BH1276" s="82" t="str">
        <f>HYPERLINK("https://pbs.twimg.com/profile_banners/1284328310953189378/1681565309")</f>
        <v>https://pbs.twimg.com/profile_banners/1284328310953189378/1681565309</v>
      </c>
      <c r="BI1276" s="76"/>
      <c r="BJ1276" s="76" t="s">
        <v>27595</v>
      </c>
      <c r="BK1276" s="76" t="b">
        <v>0</v>
      </c>
      <c r="BL1276" s="76"/>
      <c r="BM1276" s="76" t="s">
        <v>65</v>
      </c>
      <c r="BN1276" s="76" t="s">
        <v>27597</v>
      </c>
      <c r="BO1276" s="82" t="str">
        <f>HYPERLINK("https://twitter.com/presidenciard")</f>
        <v>https://twitter.com/presidenciard</v>
      </c>
      <c r="BP1276" s="2"/>
    </row>
    <row r="1277" spans="1:68" x14ac:dyDescent="0.25">
      <c r="A1277" s="62" t="s">
        <v>1170</v>
      </c>
      <c r="B1277" s="63"/>
      <c r="C1277" s="63"/>
      <c r="D1277" s="64"/>
      <c r="E1277" s="66"/>
      <c r="F1277" s="103" t="str">
        <f>HYPERLINK("https://pbs.twimg.com/profile_images/1630688084558856193/upY1XZ9v_normal.jpg")</f>
        <v>https://pbs.twimg.com/profile_images/1630688084558856193/upY1XZ9v_normal.jpg</v>
      </c>
      <c r="G1277" s="63"/>
      <c r="H1277" s="67"/>
      <c r="I1277" s="68"/>
      <c r="J1277" s="68"/>
      <c r="K1277" s="67" t="s">
        <v>28871</v>
      </c>
      <c r="L1277" s="71"/>
      <c r="M1277" s="72"/>
      <c r="N1277" s="72"/>
      <c r="O1277" s="73"/>
      <c r="P1277" s="74"/>
      <c r="Q1277" s="74"/>
      <c r="R1277" s="87"/>
      <c r="S1277" s="87"/>
      <c r="T1277" s="87"/>
      <c r="U1277" s="87"/>
      <c r="V1277" s="48"/>
      <c r="W1277" s="48"/>
      <c r="X1277" s="48"/>
      <c r="Y1277" s="48"/>
      <c r="Z1277" s="47"/>
      <c r="AA1277" s="69">
        <v>1277</v>
      </c>
      <c r="AB1277" s="69"/>
      <c r="AC1277" s="70"/>
      <c r="AD1277" s="76" t="s">
        <v>22496</v>
      </c>
      <c r="AE1277" s="81" t="s">
        <v>23734</v>
      </c>
      <c r="AF1277" s="76">
        <v>16164</v>
      </c>
      <c r="AG1277" s="76">
        <v>5608</v>
      </c>
      <c r="AH1277" s="76">
        <v>8081</v>
      </c>
      <c r="AI1277" s="76">
        <v>113</v>
      </c>
      <c r="AJ1277" s="76">
        <v>79</v>
      </c>
      <c r="AK1277" s="76">
        <v>1660</v>
      </c>
      <c r="AL1277" s="76" t="b">
        <v>0</v>
      </c>
      <c r="AM1277" s="78">
        <v>40045.682152777779</v>
      </c>
      <c r="AN1277" s="76"/>
      <c r="AO1277" s="76" t="s">
        <v>25846</v>
      </c>
      <c r="AP1277" s="82" t="str">
        <f>HYPERLINK("https://t.co/KEp0Tg7DH3")</f>
        <v>https://t.co/KEp0Tg7DH3</v>
      </c>
      <c r="AQ1277" s="82" t="str">
        <f>HYPERLINK("http://www.portalvgv.com.br")</f>
        <v>http://www.portalvgv.com.br</v>
      </c>
      <c r="AR1277" s="76" t="s">
        <v>27043</v>
      </c>
      <c r="AS1277" s="76"/>
      <c r="AT1277" s="76"/>
      <c r="AU1277" s="76"/>
      <c r="AV1277" s="76"/>
      <c r="AW1277" s="82" t="str">
        <f>HYPERLINK("https://t.co/KEp0Tg7DH3")</f>
        <v>https://t.co/KEp0Tg7DH3</v>
      </c>
      <c r="AX1277" s="76" t="b">
        <v>0</v>
      </c>
      <c r="AY1277" s="76"/>
      <c r="AZ1277" s="76"/>
      <c r="BA1277" s="76" t="b">
        <v>0</v>
      </c>
      <c r="BB1277" s="76" t="b">
        <v>1</v>
      </c>
      <c r="BC1277" s="76" t="b">
        <v>0</v>
      </c>
      <c r="BD1277" s="76" t="b">
        <v>0</v>
      </c>
      <c r="BE1277" s="76" t="b">
        <v>0</v>
      </c>
      <c r="BF1277" s="76" t="b">
        <v>0</v>
      </c>
      <c r="BG1277" s="76" t="b">
        <v>0</v>
      </c>
      <c r="BH1277" s="82" t="str">
        <f>HYPERLINK("https://pbs.twimg.com/profile_banners/67350941/1500912731")</f>
        <v>https://pbs.twimg.com/profile_banners/67350941/1500912731</v>
      </c>
      <c r="BI1277" s="76"/>
      <c r="BJ1277" s="76" t="s">
        <v>27595</v>
      </c>
      <c r="BK1277" s="76" t="b">
        <v>0</v>
      </c>
      <c r="BL1277" s="76"/>
      <c r="BM1277" s="76" t="s">
        <v>66</v>
      </c>
      <c r="BN1277" s="76" t="s">
        <v>27597</v>
      </c>
      <c r="BO1277" s="82" t="str">
        <f>HYPERLINK("https://twitter.com/portalvgv")</f>
        <v>https://twitter.com/portalvgv</v>
      </c>
      <c r="BP1277" s="2"/>
    </row>
    <row r="1278" spans="1:68" x14ac:dyDescent="0.25">
      <c r="A1278" s="62" t="s">
        <v>1171</v>
      </c>
      <c r="B1278" s="63"/>
      <c r="C1278" s="63"/>
      <c r="D1278" s="64"/>
      <c r="E1278" s="66"/>
      <c r="F1278" s="103" t="str">
        <f>HYPERLINK("https://pbs.twimg.com/profile_images/1611021810807590912/A13BO61o_normal.jpg")</f>
        <v>https://pbs.twimg.com/profile_images/1611021810807590912/A13BO61o_normal.jpg</v>
      </c>
      <c r="G1278" s="63"/>
      <c r="H1278" s="67"/>
      <c r="I1278" s="68"/>
      <c r="J1278" s="68"/>
      <c r="K1278" s="67" t="s">
        <v>28872</v>
      </c>
      <c r="L1278" s="71"/>
      <c r="M1278" s="72"/>
      <c r="N1278" s="72"/>
      <c r="O1278" s="73"/>
      <c r="P1278" s="74"/>
      <c r="Q1278" s="74"/>
      <c r="R1278" s="87"/>
      <c r="S1278" s="87"/>
      <c r="T1278" s="87"/>
      <c r="U1278" s="87"/>
      <c r="V1278" s="48"/>
      <c r="W1278" s="48"/>
      <c r="X1278" s="48"/>
      <c r="Y1278" s="48"/>
      <c r="Z1278" s="47"/>
      <c r="AA1278" s="69">
        <v>1278</v>
      </c>
      <c r="AB1278" s="69"/>
      <c r="AC1278" s="70"/>
      <c r="AD1278" s="76" t="s">
        <v>22497</v>
      </c>
      <c r="AE1278" s="81" t="s">
        <v>23735</v>
      </c>
      <c r="AF1278" s="76">
        <v>955044</v>
      </c>
      <c r="AG1278" s="76">
        <v>3877</v>
      </c>
      <c r="AH1278" s="76">
        <v>383891</v>
      </c>
      <c r="AI1278" s="76">
        <v>1724</v>
      </c>
      <c r="AJ1278" s="76">
        <v>481</v>
      </c>
      <c r="AK1278" s="76">
        <v>98439</v>
      </c>
      <c r="AL1278" s="76" t="b">
        <v>0</v>
      </c>
      <c r="AM1278" s="78">
        <v>39934.620694444442</v>
      </c>
      <c r="AN1278" s="76" t="s">
        <v>24517</v>
      </c>
      <c r="AO1278" s="76" t="s">
        <v>25847</v>
      </c>
      <c r="AP1278" s="82" t="str">
        <f>HYPERLINK("https://t.co/Cw4GWmm8tn")</f>
        <v>https://t.co/Cw4GWmm8tn</v>
      </c>
      <c r="AQ1278" s="82" t="str">
        <f>HYPERLINK("http://www.elcaribe.com.do")</f>
        <v>http://www.elcaribe.com.do</v>
      </c>
      <c r="AR1278" s="76" t="s">
        <v>27044</v>
      </c>
      <c r="AS1278" s="76" t="s">
        <v>27390</v>
      </c>
      <c r="AT1278" s="76" t="s">
        <v>27429</v>
      </c>
      <c r="AU1278" s="76" t="s">
        <v>27536</v>
      </c>
      <c r="AV1278" s="76">
        <v>1.7071722487993001E+18</v>
      </c>
      <c r="AW1278" s="82" t="str">
        <f>HYPERLINK("https://t.co/Cw4GWmm8tn")</f>
        <v>https://t.co/Cw4GWmm8tn</v>
      </c>
      <c r="AX1278" s="76" t="b">
        <v>0</v>
      </c>
      <c r="AY1278" s="76"/>
      <c r="AZ1278" s="76"/>
      <c r="BA1278" s="76" t="b">
        <v>0</v>
      </c>
      <c r="BB1278" s="76" t="b">
        <v>1</v>
      </c>
      <c r="BC1278" s="76" t="b">
        <v>0</v>
      </c>
      <c r="BD1278" s="76" t="b">
        <v>0</v>
      </c>
      <c r="BE1278" s="76" t="b">
        <v>0</v>
      </c>
      <c r="BF1278" s="76" t="b">
        <v>0</v>
      </c>
      <c r="BG1278" s="76" t="b">
        <v>0</v>
      </c>
      <c r="BH1278" s="82" t="str">
        <f>HYPERLINK("https://pbs.twimg.com/profile_banners/36958479/1686755222")</f>
        <v>https://pbs.twimg.com/profile_banners/36958479/1686755222</v>
      </c>
      <c r="BI1278" s="76"/>
      <c r="BJ1278" s="76" t="s">
        <v>27595</v>
      </c>
      <c r="BK1278" s="76" t="b">
        <v>0</v>
      </c>
      <c r="BL1278" s="76"/>
      <c r="BM1278" s="76" t="s">
        <v>66</v>
      </c>
      <c r="BN1278" s="76" t="s">
        <v>27597</v>
      </c>
      <c r="BO1278" s="82" t="str">
        <f>HYPERLINK("https://twitter.com/elcariberd")</f>
        <v>https://twitter.com/elcariberd</v>
      </c>
      <c r="BP1278" s="2"/>
    </row>
    <row r="1279" spans="1:68" x14ac:dyDescent="0.25">
      <c r="A1279" s="62" t="s">
        <v>1172</v>
      </c>
      <c r="B1279" s="63"/>
      <c r="C1279" s="63"/>
      <c r="D1279" s="64"/>
      <c r="E1279" s="66"/>
      <c r="F1279" s="103" t="str">
        <f>HYPERLINK("https://pbs.twimg.com/profile_images/1238584557437440000/jRh6892o_normal.jpg")</f>
        <v>https://pbs.twimg.com/profile_images/1238584557437440000/jRh6892o_normal.jpg</v>
      </c>
      <c r="G1279" s="63"/>
      <c r="H1279" s="67"/>
      <c r="I1279" s="68"/>
      <c r="J1279" s="68"/>
      <c r="K1279" s="67" t="s">
        <v>28873</v>
      </c>
      <c r="L1279" s="71"/>
      <c r="M1279" s="72"/>
      <c r="N1279" s="72"/>
      <c r="O1279" s="73"/>
      <c r="P1279" s="74"/>
      <c r="Q1279" s="74"/>
      <c r="R1279" s="87"/>
      <c r="S1279" s="87"/>
      <c r="T1279" s="87"/>
      <c r="U1279" s="87"/>
      <c r="V1279" s="48"/>
      <c r="W1279" s="48"/>
      <c r="X1279" s="48"/>
      <c r="Y1279" s="48"/>
      <c r="Z1279" s="47"/>
      <c r="AA1279" s="69">
        <v>1279</v>
      </c>
      <c r="AB1279" s="69"/>
      <c r="AC1279" s="70"/>
      <c r="AD1279" s="76" t="s">
        <v>22498</v>
      </c>
      <c r="AE1279" s="81" t="s">
        <v>23736</v>
      </c>
      <c r="AF1279" s="76">
        <v>1519</v>
      </c>
      <c r="AG1279" s="76">
        <v>1791</v>
      </c>
      <c r="AH1279" s="76">
        <v>7397</v>
      </c>
      <c r="AI1279" s="76">
        <v>9</v>
      </c>
      <c r="AJ1279" s="76">
        <v>2091</v>
      </c>
      <c r="AK1279" s="76">
        <v>472</v>
      </c>
      <c r="AL1279" s="76" t="b">
        <v>0</v>
      </c>
      <c r="AM1279" s="78">
        <v>40426.761400462965</v>
      </c>
      <c r="AN1279" s="76" t="s">
        <v>24518</v>
      </c>
      <c r="AO1279" s="76" t="s">
        <v>25848</v>
      </c>
      <c r="AP1279" s="76"/>
      <c r="AQ1279" s="76"/>
      <c r="AR1279" s="76"/>
      <c r="AS1279" s="76"/>
      <c r="AT1279" s="76"/>
      <c r="AU1279" s="76"/>
      <c r="AV1279" s="76"/>
      <c r="AW1279" s="76"/>
      <c r="AX1279" s="76" t="b">
        <v>0</v>
      </c>
      <c r="AY1279" s="76"/>
      <c r="AZ1279" s="76"/>
      <c r="BA1279" s="76" t="b">
        <v>0</v>
      </c>
      <c r="BB1279" s="76" t="b">
        <v>0</v>
      </c>
      <c r="BC1279" s="76" t="b">
        <v>1</v>
      </c>
      <c r="BD1279" s="76" t="b">
        <v>0</v>
      </c>
      <c r="BE1279" s="76" t="b">
        <v>0</v>
      </c>
      <c r="BF1279" s="76" t="b">
        <v>0</v>
      </c>
      <c r="BG1279" s="76" t="b">
        <v>0</v>
      </c>
      <c r="BH1279" s="82" t="str">
        <f>HYPERLINK("https://pbs.twimg.com/profile_banners/187253173/1619539980")</f>
        <v>https://pbs.twimg.com/profile_banners/187253173/1619539980</v>
      </c>
      <c r="BI1279" s="76"/>
      <c r="BJ1279" s="76" t="s">
        <v>27595</v>
      </c>
      <c r="BK1279" s="76" t="b">
        <v>0</v>
      </c>
      <c r="BL1279" s="76"/>
      <c r="BM1279" s="76" t="s">
        <v>66</v>
      </c>
      <c r="BN1279" s="76" t="s">
        <v>27597</v>
      </c>
      <c r="BO1279" s="82" t="str">
        <f>HYPERLINK("https://twitter.com/polancomartin6")</f>
        <v>https://twitter.com/polancomartin6</v>
      </c>
      <c r="BP1279" s="2"/>
    </row>
    <row r="1280" spans="1:68" x14ac:dyDescent="0.25">
      <c r="A1280" s="62" t="s">
        <v>1173</v>
      </c>
      <c r="B1280" s="63"/>
      <c r="C1280" s="63"/>
      <c r="D1280" s="64"/>
      <c r="E1280" s="66"/>
      <c r="F1280" s="103" t="str">
        <f>HYPERLINK("https://pbs.twimg.com/profile_images/1609526437618262017/wHGDptZt_normal.jpg")</f>
        <v>https://pbs.twimg.com/profile_images/1609526437618262017/wHGDptZt_normal.jpg</v>
      </c>
      <c r="G1280" s="63"/>
      <c r="H1280" s="67"/>
      <c r="I1280" s="68"/>
      <c r="J1280" s="68"/>
      <c r="K1280" s="67" t="s">
        <v>28874</v>
      </c>
      <c r="L1280" s="71"/>
      <c r="M1280" s="72"/>
      <c r="N1280" s="72"/>
      <c r="O1280" s="73"/>
      <c r="P1280" s="74"/>
      <c r="Q1280" s="74"/>
      <c r="R1280" s="87"/>
      <c r="S1280" s="87"/>
      <c r="T1280" s="87"/>
      <c r="U1280" s="87"/>
      <c r="V1280" s="48"/>
      <c r="W1280" s="48"/>
      <c r="X1280" s="48"/>
      <c r="Y1280" s="48"/>
      <c r="Z1280" s="47"/>
      <c r="AA1280" s="69">
        <v>1280</v>
      </c>
      <c r="AB1280" s="69"/>
      <c r="AC1280" s="70"/>
      <c r="AD1280" s="76" t="s">
        <v>22499</v>
      </c>
      <c r="AE1280" s="81" t="s">
        <v>23737</v>
      </c>
      <c r="AF1280" s="76">
        <v>342371</v>
      </c>
      <c r="AG1280" s="76">
        <v>2998</v>
      </c>
      <c r="AH1280" s="76">
        <v>304761</v>
      </c>
      <c r="AI1280" s="76">
        <v>1296</v>
      </c>
      <c r="AJ1280" s="76">
        <v>51189</v>
      </c>
      <c r="AK1280" s="76">
        <v>153273</v>
      </c>
      <c r="AL1280" s="76" t="b">
        <v>0</v>
      </c>
      <c r="AM1280" s="78">
        <v>39825.475995370369</v>
      </c>
      <c r="AN1280" s="76" t="s">
        <v>24160</v>
      </c>
      <c r="AO1280" s="76" t="s">
        <v>25849</v>
      </c>
      <c r="AP1280" s="82" t="str">
        <f>HYPERLINK("https://t.co/41a6lm1PPe")</f>
        <v>https://t.co/41a6lm1PPe</v>
      </c>
      <c r="AQ1280" s="82" t="str">
        <f>HYPERLINK("http://www.radio10.com.ar")</f>
        <v>http://www.radio10.com.ar</v>
      </c>
      <c r="AR1280" s="76" t="s">
        <v>27045</v>
      </c>
      <c r="AS1280" s="76"/>
      <c r="AT1280" s="76"/>
      <c r="AU1280" s="76"/>
      <c r="AV1280" s="76"/>
      <c r="AW1280" s="82" t="str">
        <f>HYPERLINK("https://t.co/41a6lm1PPe")</f>
        <v>https://t.co/41a6lm1PPe</v>
      </c>
      <c r="AX1280" s="76" t="b">
        <v>0</v>
      </c>
      <c r="AY1280" s="76"/>
      <c r="AZ1280" s="76"/>
      <c r="BA1280" s="76" t="b">
        <v>0</v>
      </c>
      <c r="BB1280" s="76" t="b">
        <v>1</v>
      </c>
      <c r="BC1280" s="76" t="b">
        <v>0</v>
      </c>
      <c r="BD1280" s="76" t="b">
        <v>0</v>
      </c>
      <c r="BE1280" s="76" t="b">
        <v>1</v>
      </c>
      <c r="BF1280" s="76" t="b">
        <v>0</v>
      </c>
      <c r="BG1280" s="76" t="b">
        <v>0</v>
      </c>
      <c r="BH1280" s="82" t="str">
        <f>HYPERLINK("https://pbs.twimg.com/profile_banners/18898168/1681044618")</f>
        <v>https://pbs.twimg.com/profile_banners/18898168/1681044618</v>
      </c>
      <c r="BI1280" s="76"/>
      <c r="BJ1280" s="76" t="s">
        <v>27595</v>
      </c>
      <c r="BK1280" s="76" t="b">
        <v>0</v>
      </c>
      <c r="BL1280" s="76"/>
      <c r="BM1280" s="76" t="s">
        <v>66</v>
      </c>
      <c r="BN1280" s="76" t="s">
        <v>27597</v>
      </c>
      <c r="BO1280" s="82" t="str">
        <f>HYPERLINK("https://twitter.com/radio10")</f>
        <v>https://twitter.com/radio10</v>
      </c>
      <c r="BP1280" s="2"/>
    </row>
    <row r="1281" spans="1:68" x14ac:dyDescent="0.25">
      <c r="A1281" s="62" t="s">
        <v>1174</v>
      </c>
      <c r="B1281" s="63"/>
      <c r="C1281" s="63"/>
      <c r="D1281" s="64"/>
      <c r="E1281" s="66"/>
      <c r="F1281" s="103" t="str">
        <f>HYPERLINK("https://pbs.twimg.com/profile_images/1659890688622821376/-WKgKcPI_normal.jpg")</f>
        <v>https://pbs.twimg.com/profile_images/1659890688622821376/-WKgKcPI_normal.jpg</v>
      </c>
      <c r="G1281" s="63"/>
      <c r="H1281" s="67"/>
      <c r="I1281" s="68"/>
      <c r="J1281" s="68"/>
      <c r="K1281" s="67" t="s">
        <v>28875</v>
      </c>
      <c r="L1281" s="71"/>
      <c r="M1281" s="72"/>
      <c r="N1281" s="72"/>
      <c r="O1281" s="73"/>
      <c r="P1281" s="74"/>
      <c r="Q1281" s="74"/>
      <c r="R1281" s="87"/>
      <c r="S1281" s="87"/>
      <c r="T1281" s="87"/>
      <c r="U1281" s="87"/>
      <c r="V1281" s="48"/>
      <c r="W1281" s="48"/>
      <c r="X1281" s="48"/>
      <c r="Y1281" s="48"/>
      <c r="Z1281" s="47"/>
      <c r="AA1281" s="69">
        <v>1281</v>
      </c>
      <c r="AB1281" s="69"/>
      <c r="AC1281" s="70"/>
      <c r="AD1281" s="76" t="s">
        <v>22500</v>
      </c>
      <c r="AE1281" s="81" t="s">
        <v>23738</v>
      </c>
      <c r="AF1281" s="76">
        <v>837</v>
      </c>
      <c r="AG1281" s="76">
        <v>2198</v>
      </c>
      <c r="AH1281" s="76">
        <v>63511</v>
      </c>
      <c r="AI1281" s="76">
        <v>11</v>
      </c>
      <c r="AJ1281" s="76">
        <v>31296</v>
      </c>
      <c r="AK1281" s="76">
        <v>650</v>
      </c>
      <c r="AL1281" s="76" t="b">
        <v>0</v>
      </c>
      <c r="AM1281" s="78">
        <v>40257.719687500001</v>
      </c>
      <c r="AN1281" s="76" t="s">
        <v>14385</v>
      </c>
      <c r="AO1281" s="76" t="s">
        <v>25850</v>
      </c>
      <c r="AP1281" s="82" t="str">
        <f>HYPERLINK("https://t.co/RAg09vsj7e")</f>
        <v>https://t.co/RAg09vsj7e</v>
      </c>
      <c r="AQ1281" s="82" t="str">
        <f>HYPERLINK("https://linktr.ee/gmf2022")</f>
        <v>https://linktr.ee/gmf2022</v>
      </c>
      <c r="AR1281" s="76" t="s">
        <v>27046</v>
      </c>
      <c r="AS1281" s="76"/>
      <c r="AT1281" s="76"/>
      <c r="AU1281" s="76"/>
      <c r="AV1281" s="76">
        <v>1.7039569997743501E+18</v>
      </c>
      <c r="AW1281" s="82" t="str">
        <f>HYPERLINK("https://t.co/RAg09vsj7e")</f>
        <v>https://t.co/RAg09vsj7e</v>
      </c>
      <c r="AX1281" s="76" t="b">
        <v>0</v>
      </c>
      <c r="AY1281" s="76"/>
      <c r="AZ1281" s="76"/>
      <c r="BA1281" s="76" t="b">
        <v>0</v>
      </c>
      <c r="BB1281" s="76" t="b">
        <v>0</v>
      </c>
      <c r="BC1281" s="76" t="b">
        <v>0</v>
      </c>
      <c r="BD1281" s="76" t="b">
        <v>0</v>
      </c>
      <c r="BE1281" s="76" t="b">
        <v>1</v>
      </c>
      <c r="BF1281" s="76" t="b">
        <v>0</v>
      </c>
      <c r="BG1281" s="76" t="b">
        <v>0</v>
      </c>
      <c r="BH1281" s="82" t="str">
        <f>HYPERLINK("https://pbs.twimg.com/profile_banners/124814431/1655945020")</f>
        <v>https://pbs.twimg.com/profile_banners/124814431/1655945020</v>
      </c>
      <c r="BI1281" s="76"/>
      <c r="BJ1281" s="76" t="s">
        <v>27595</v>
      </c>
      <c r="BK1281" s="76" t="b">
        <v>0</v>
      </c>
      <c r="BL1281" s="76"/>
      <c r="BM1281" s="76" t="s">
        <v>66</v>
      </c>
      <c r="BN1281" s="76" t="s">
        <v>27597</v>
      </c>
      <c r="BO1281" s="82" t="str">
        <f>HYPERLINK("https://twitter.com/guille_fe")</f>
        <v>https://twitter.com/guille_fe</v>
      </c>
      <c r="BP1281" s="2"/>
    </row>
    <row r="1282" spans="1:68" x14ac:dyDescent="0.25">
      <c r="A1282" s="62" t="s">
        <v>1175</v>
      </c>
      <c r="B1282" s="63"/>
      <c r="C1282" s="63"/>
      <c r="D1282" s="64"/>
      <c r="E1282" s="66"/>
      <c r="F1282" s="103" t="str">
        <f>HYPERLINK("https://pbs.twimg.com/profile_images/1279435285370109954/-uPnXeOO_normal.jpg")</f>
        <v>https://pbs.twimg.com/profile_images/1279435285370109954/-uPnXeOO_normal.jpg</v>
      </c>
      <c r="G1282" s="63"/>
      <c r="H1282" s="67"/>
      <c r="I1282" s="68"/>
      <c r="J1282" s="68"/>
      <c r="K1282" s="67" t="s">
        <v>28876</v>
      </c>
      <c r="L1282" s="71"/>
      <c r="M1282" s="72"/>
      <c r="N1282" s="72"/>
      <c r="O1282" s="73"/>
      <c r="P1282" s="74"/>
      <c r="Q1282" s="74"/>
      <c r="R1282" s="87"/>
      <c r="S1282" s="87"/>
      <c r="T1282" s="87"/>
      <c r="U1282" s="87"/>
      <c r="V1282" s="48"/>
      <c r="W1282" s="48"/>
      <c r="X1282" s="48"/>
      <c r="Y1282" s="48"/>
      <c r="Z1282" s="47"/>
      <c r="AA1282" s="69">
        <v>1282</v>
      </c>
      <c r="AB1282" s="69"/>
      <c r="AC1282" s="70"/>
      <c r="AD1282" s="76" t="s">
        <v>22501</v>
      </c>
      <c r="AE1282" s="81" t="s">
        <v>23739</v>
      </c>
      <c r="AF1282" s="76">
        <v>819</v>
      </c>
      <c r="AG1282" s="76">
        <v>247</v>
      </c>
      <c r="AH1282" s="76">
        <v>19270</v>
      </c>
      <c r="AI1282" s="76">
        <v>13</v>
      </c>
      <c r="AJ1282" s="76">
        <v>59149</v>
      </c>
      <c r="AK1282" s="76">
        <v>923</v>
      </c>
      <c r="AL1282" s="76" t="b">
        <v>0</v>
      </c>
      <c r="AM1282" s="78">
        <v>39930.917604166665</v>
      </c>
      <c r="AN1282" s="76" t="s">
        <v>24519</v>
      </c>
      <c r="AO1282" s="76" t="s">
        <v>25851</v>
      </c>
      <c r="AP1282" s="82" t="str">
        <f>HYPERLINK("https://t.co/C1aDyoZ7ZC")</f>
        <v>https://t.co/C1aDyoZ7ZC</v>
      </c>
      <c r="AQ1282" s="82" t="str">
        <f>HYPERLINK("http://www.alivre.com.br")</f>
        <v>http://www.alivre.com.br</v>
      </c>
      <c r="AR1282" s="76" t="s">
        <v>27047</v>
      </c>
      <c r="AS1282" s="76"/>
      <c r="AT1282" s="76"/>
      <c r="AU1282" s="76"/>
      <c r="AV1282" s="76"/>
      <c r="AW1282" s="82" t="str">
        <f>HYPERLINK("https://t.co/C1aDyoZ7ZC")</f>
        <v>https://t.co/C1aDyoZ7ZC</v>
      </c>
      <c r="AX1282" s="76" t="b">
        <v>0</v>
      </c>
      <c r="AY1282" s="76"/>
      <c r="AZ1282" s="76"/>
      <c r="BA1282" s="76" t="b">
        <v>0</v>
      </c>
      <c r="BB1282" s="76" t="b">
        <v>1</v>
      </c>
      <c r="BC1282" s="76" t="b">
        <v>0</v>
      </c>
      <c r="BD1282" s="76" t="b">
        <v>0</v>
      </c>
      <c r="BE1282" s="76" t="b">
        <v>0</v>
      </c>
      <c r="BF1282" s="76" t="b">
        <v>0</v>
      </c>
      <c r="BG1282" s="76" t="b">
        <v>0</v>
      </c>
      <c r="BH1282" s="82" t="str">
        <f>HYPERLINK("https://pbs.twimg.com/profile_banners/35876835/1593876123")</f>
        <v>https://pbs.twimg.com/profile_banners/35876835/1593876123</v>
      </c>
      <c r="BI1282" s="76"/>
      <c r="BJ1282" s="76" t="s">
        <v>27595</v>
      </c>
      <c r="BK1282" s="76" t="b">
        <v>0</v>
      </c>
      <c r="BL1282" s="76"/>
      <c r="BM1282" s="76" t="s">
        <v>66</v>
      </c>
      <c r="BN1282" s="76" t="s">
        <v>27597</v>
      </c>
      <c r="BO1282" s="82" t="str">
        <f>HYPERLINK("https://twitter.com/fermoraes")</f>
        <v>https://twitter.com/fermoraes</v>
      </c>
      <c r="BP1282" s="2"/>
    </row>
    <row r="1283" spans="1:68" x14ac:dyDescent="0.25">
      <c r="A1283" s="62" t="s">
        <v>1176</v>
      </c>
      <c r="B1283" s="63"/>
      <c r="C1283" s="63"/>
      <c r="D1283" s="64"/>
      <c r="E1283" s="66"/>
      <c r="F1283" s="103" t="str">
        <f>HYPERLINK("https://pbs.twimg.com/profile_images/1659969073172586500/oQtrdyPY_normal.jpg")</f>
        <v>https://pbs.twimg.com/profile_images/1659969073172586500/oQtrdyPY_normal.jpg</v>
      </c>
      <c r="G1283" s="63"/>
      <c r="H1283" s="67"/>
      <c r="I1283" s="68"/>
      <c r="J1283" s="68"/>
      <c r="K1283" s="67" t="s">
        <v>28877</v>
      </c>
      <c r="L1283" s="71"/>
      <c r="M1283" s="72"/>
      <c r="N1283" s="72"/>
      <c r="O1283" s="73"/>
      <c r="P1283" s="74"/>
      <c r="Q1283" s="74"/>
      <c r="R1283" s="87"/>
      <c r="S1283" s="87"/>
      <c r="T1283" s="87"/>
      <c r="U1283" s="87"/>
      <c r="V1283" s="48"/>
      <c r="W1283" s="48"/>
      <c r="X1283" s="48"/>
      <c r="Y1283" s="48"/>
      <c r="Z1283" s="47"/>
      <c r="AA1283" s="69">
        <v>1283</v>
      </c>
      <c r="AB1283" s="69"/>
      <c r="AC1283" s="70"/>
      <c r="AD1283" s="76" t="s">
        <v>22502</v>
      </c>
      <c r="AE1283" s="81" t="s">
        <v>20963</v>
      </c>
      <c r="AF1283" s="76">
        <v>3</v>
      </c>
      <c r="AG1283" s="76">
        <v>59</v>
      </c>
      <c r="AH1283" s="76">
        <v>314</v>
      </c>
      <c r="AI1283" s="76">
        <v>0</v>
      </c>
      <c r="AJ1283" s="76">
        <v>674</v>
      </c>
      <c r="AK1283" s="76">
        <v>2</v>
      </c>
      <c r="AL1283" s="76" t="b">
        <v>0</v>
      </c>
      <c r="AM1283" s="78">
        <v>45040.011006944442</v>
      </c>
      <c r="AN1283" s="76"/>
      <c r="AO1283" s="76"/>
      <c r="AP1283" s="76"/>
      <c r="AQ1283" s="76"/>
      <c r="AR1283" s="76"/>
      <c r="AS1283" s="76"/>
      <c r="AT1283" s="76"/>
      <c r="AU1283" s="76"/>
      <c r="AV1283" s="76"/>
      <c r="AW1283" s="76"/>
      <c r="AX1283" s="76" t="b">
        <v>0</v>
      </c>
      <c r="AY1283" s="76"/>
      <c r="AZ1283" s="76"/>
      <c r="BA1283" s="76" t="b">
        <v>0</v>
      </c>
      <c r="BB1283" s="76" t="b">
        <v>1</v>
      </c>
      <c r="BC1283" s="76" t="b">
        <v>1</v>
      </c>
      <c r="BD1283" s="76" t="b">
        <v>0</v>
      </c>
      <c r="BE1283" s="76" t="b">
        <v>0</v>
      </c>
      <c r="BF1283" s="76" t="b">
        <v>0</v>
      </c>
      <c r="BG1283" s="76" t="b">
        <v>0</v>
      </c>
      <c r="BH1283" s="76"/>
      <c r="BI1283" s="76"/>
      <c r="BJ1283" s="76" t="s">
        <v>27595</v>
      </c>
      <c r="BK1283" s="76" t="b">
        <v>0</v>
      </c>
      <c r="BL1283" s="76"/>
      <c r="BM1283" s="76" t="s">
        <v>66</v>
      </c>
      <c r="BN1283" s="76" t="s">
        <v>27597</v>
      </c>
      <c r="BO1283" s="82" t="str">
        <f>HYPERLINK("https://twitter.com/todeboa34342569")</f>
        <v>https://twitter.com/todeboa34342569</v>
      </c>
      <c r="BP1283" s="2"/>
    </row>
    <row r="1284" spans="1:68" x14ac:dyDescent="0.25">
      <c r="A1284" s="62" t="s">
        <v>1177</v>
      </c>
      <c r="B1284" s="63"/>
      <c r="C1284" s="63"/>
      <c r="D1284" s="64"/>
      <c r="E1284" s="66"/>
      <c r="F1284" s="103" t="str">
        <f>HYPERLINK("https://pbs.twimg.com/profile_images/1362887051381727233/lWKNjvJc_normal.jpg")</f>
        <v>https://pbs.twimg.com/profile_images/1362887051381727233/lWKNjvJc_normal.jpg</v>
      </c>
      <c r="G1284" s="63"/>
      <c r="H1284" s="67"/>
      <c r="I1284" s="68"/>
      <c r="J1284" s="68"/>
      <c r="K1284" s="67" t="s">
        <v>28878</v>
      </c>
      <c r="L1284" s="71"/>
      <c r="M1284" s="72"/>
      <c r="N1284" s="72"/>
      <c r="O1284" s="73"/>
      <c r="P1284" s="74"/>
      <c r="Q1284" s="74"/>
      <c r="R1284" s="87"/>
      <c r="S1284" s="87"/>
      <c r="T1284" s="87"/>
      <c r="U1284" s="87"/>
      <c r="V1284" s="48"/>
      <c r="W1284" s="48"/>
      <c r="X1284" s="48"/>
      <c r="Y1284" s="48"/>
      <c r="Z1284" s="47"/>
      <c r="AA1284" s="69">
        <v>1284</v>
      </c>
      <c r="AB1284" s="69"/>
      <c r="AC1284" s="70"/>
      <c r="AD1284" s="76" t="s">
        <v>22503</v>
      </c>
      <c r="AE1284" s="81" t="s">
        <v>20964</v>
      </c>
      <c r="AF1284" s="76">
        <v>75</v>
      </c>
      <c r="AG1284" s="76">
        <v>65</v>
      </c>
      <c r="AH1284" s="76">
        <v>267</v>
      </c>
      <c r="AI1284" s="76">
        <v>2</v>
      </c>
      <c r="AJ1284" s="76">
        <v>145</v>
      </c>
      <c r="AK1284" s="76">
        <v>48</v>
      </c>
      <c r="AL1284" s="76" t="b">
        <v>0</v>
      </c>
      <c r="AM1284" s="78">
        <v>44246.91511574074</v>
      </c>
      <c r="AN1284" s="76" t="s">
        <v>14381</v>
      </c>
      <c r="AO1284" s="76" t="s">
        <v>25852</v>
      </c>
      <c r="AP1284" s="82" t="str">
        <f>HYPERLINK("https://t.co/qCfRcqrhzt")</f>
        <v>https://t.co/qCfRcqrhzt</v>
      </c>
      <c r="AQ1284" s="82" t="str">
        <f>HYPERLINK("https://lnk.bio/elpisodigital")</f>
        <v>https://lnk.bio/elpisodigital</v>
      </c>
      <c r="AR1284" s="76" t="s">
        <v>27048</v>
      </c>
      <c r="AS1284" s="76"/>
      <c r="AT1284" s="76"/>
      <c r="AU1284" s="76"/>
      <c r="AV1284" s="76">
        <v>1.5693079664818601E+18</v>
      </c>
      <c r="AW1284" s="82" t="str">
        <f>HYPERLINK("https://t.co/qCfRcqrhzt")</f>
        <v>https://t.co/qCfRcqrhzt</v>
      </c>
      <c r="AX1284" s="76" t="b">
        <v>0</v>
      </c>
      <c r="AY1284" s="76"/>
      <c r="AZ1284" s="76"/>
      <c r="BA1284" s="76" t="b">
        <v>0</v>
      </c>
      <c r="BB1284" s="76" t="b">
        <v>1</v>
      </c>
      <c r="BC1284" s="76" t="b">
        <v>1</v>
      </c>
      <c r="BD1284" s="76" t="b">
        <v>0</v>
      </c>
      <c r="BE1284" s="76" t="b">
        <v>0</v>
      </c>
      <c r="BF1284" s="76" t="b">
        <v>0</v>
      </c>
      <c r="BG1284" s="76" t="b">
        <v>0</v>
      </c>
      <c r="BH1284" s="82" t="str">
        <f>HYPERLINK("https://pbs.twimg.com/profile_banners/1362884021659848707/1613772413")</f>
        <v>https://pbs.twimg.com/profile_banners/1362884021659848707/1613772413</v>
      </c>
      <c r="BI1284" s="76"/>
      <c r="BJ1284" s="76" t="s">
        <v>27595</v>
      </c>
      <c r="BK1284" s="76" t="b">
        <v>0</v>
      </c>
      <c r="BL1284" s="76"/>
      <c r="BM1284" s="76" t="s">
        <v>66</v>
      </c>
      <c r="BN1284" s="76" t="s">
        <v>27597</v>
      </c>
      <c r="BO1284" s="82" t="str">
        <f>HYPERLINK("https://twitter.com/elpisodigital")</f>
        <v>https://twitter.com/elpisodigital</v>
      </c>
      <c r="BP1284" s="2"/>
    </row>
    <row r="1285" spans="1:68" x14ac:dyDescent="0.25">
      <c r="A1285" s="62" t="s">
        <v>1178</v>
      </c>
      <c r="B1285" s="63"/>
      <c r="C1285" s="63"/>
      <c r="D1285" s="64"/>
      <c r="E1285" s="66"/>
      <c r="F1285" s="103" t="str">
        <f>HYPERLINK("https://pbs.twimg.com/profile_images/674748220581519361/dzDau7Al_normal.jpg")</f>
        <v>https://pbs.twimg.com/profile_images/674748220581519361/dzDau7Al_normal.jpg</v>
      </c>
      <c r="G1285" s="63"/>
      <c r="H1285" s="67"/>
      <c r="I1285" s="68"/>
      <c r="J1285" s="68"/>
      <c r="K1285" s="67" t="s">
        <v>28879</v>
      </c>
      <c r="L1285" s="71"/>
      <c r="M1285" s="72"/>
      <c r="N1285" s="72"/>
      <c r="O1285" s="73"/>
      <c r="P1285" s="74"/>
      <c r="Q1285" s="74"/>
      <c r="R1285" s="87"/>
      <c r="S1285" s="87"/>
      <c r="T1285" s="87"/>
      <c r="U1285" s="87"/>
      <c r="V1285" s="48"/>
      <c r="W1285" s="48"/>
      <c r="X1285" s="48"/>
      <c r="Y1285" s="48"/>
      <c r="Z1285" s="47"/>
      <c r="AA1285" s="69">
        <v>1285</v>
      </c>
      <c r="AB1285" s="69"/>
      <c r="AC1285" s="70"/>
      <c r="AD1285" s="76" t="s">
        <v>22504</v>
      </c>
      <c r="AE1285" s="81" t="s">
        <v>23740</v>
      </c>
      <c r="AF1285" s="76">
        <v>39</v>
      </c>
      <c r="AG1285" s="76">
        <v>272</v>
      </c>
      <c r="AH1285" s="76">
        <v>443</v>
      </c>
      <c r="AI1285" s="76">
        <v>0</v>
      </c>
      <c r="AJ1285" s="76">
        <v>448</v>
      </c>
      <c r="AK1285" s="76">
        <v>59</v>
      </c>
      <c r="AL1285" s="76" t="b">
        <v>0</v>
      </c>
      <c r="AM1285" s="78">
        <v>41139.310833333337</v>
      </c>
      <c r="AN1285" s="76" t="s">
        <v>24112</v>
      </c>
      <c r="AO1285" s="76" t="s">
        <v>25853</v>
      </c>
      <c r="AP1285" s="82" t="str">
        <f>HYPERLINK("https://t.co/fBt9ru4t5V")</f>
        <v>https://t.co/fBt9ru4t5V</v>
      </c>
      <c r="AQ1285" s="82" t="str">
        <f>HYPERLINK("https://instagram.com/adosaa/")</f>
        <v>https://instagram.com/adosaa/</v>
      </c>
      <c r="AR1285" s="76" t="s">
        <v>27049</v>
      </c>
      <c r="AS1285" s="76"/>
      <c r="AT1285" s="76"/>
      <c r="AU1285" s="76"/>
      <c r="AV1285" s="76">
        <v>1.6883861215818601E+18</v>
      </c>
      <c r="AW1285" s="82" t="str">
        <f>HYPERLINK("https://t.co/fBt9ru4t5V")</f>
        <v>https://t.co/fBt9ru4t5V</v>
      </c>
      <c r="AX1285" s="76" t="b">
        <v>0</v>
      </c>
      <c r="AY1285" s="76"/>
      <c r="AZ1285" s="76"/>
      <c r="BA1285" s="76" t="b">
        <v>0</v>
      </c>
      <c r="BB1285" s="76" t="b">
        <v>1</v>
      </c>
      <c r="BC1285" s="76" t="b">
        <v>0</v>
      </c>
      <c r="BD1285" s="76" t="b">
        <v>0</v>
      </c>
      <c r="BE1285" s="76" t="b">
        <v>1</v>
      </c>
      <c r="BF1285" s="76" t="b">
        <v>0</v>
      </c>
      <c r="BG1285" s="76" t="b">
        <v>0</v>
      </c>
      <c r="BH1285" s="82" t="str">
        <f>HYPERLINK("https://pbs.twimg.com/profile_banners/765265519/1394246451")</f>
        <v>https://pbs.twimg.com/profile_banners/765265519/1394246451</v>
      </c>
      <c r="BI1285" s="76"/>
      <c r="BJ1285" s="76" t="s">
        <v>27595</v>
      </c>
      <c r="BK1285" s="76" t="b">
        <v>0</v>
      </c>
      <c r="BL1285" s="76"/>
      <c r="BM1285" s="76" t="s">
        <v>66</v>
      </c>
      <c r="BN1285" s="76" t="s">
        <v>27597</v>
      </c>
      <c r="BO1285" s="82" t="str">
        <f>HYPERLINK("https://twitter.com/adosaariel")</f>
        <v>https://twitter.com/adosaariel</v>
      </c>
      <c r="BP1285" s="2"/>
    </row>
    <row r="1286" spans="1:68" x14ac:dyDescent="0.25">
      <c r="A1286" s="62" t="s">
        <v>1975</v>
      </c>
      <c r="B1286" s="63"/>
      <c r="C1286" s="63"/>
      <c r="D1286" s="64"/>
      <c r="E1286" s="66"/>
      <c r="F1286" s="103" t="str">
        <f>HYPERLINK("https://pbs.twimg.com/profile_images/1360292460296089609/F5ZXhzMg_normal.jpg")</f>
        <v>https://pbs.twimg.com/profile_images/1360292460296089609/F5ZXhzMg_normal.jpg</v>
      </c>
      <c r="G1286" s="63"/>
      <c r="H1286" s="67"/>
      <c r="I1286" s="68"/>
      <c r="J1286" s="68"/>
      <c r="K1286" s="67" t="s">
        <v>28880</v>
      </c>
      <c r="L1286" s="71"/>
      <c r="M1286" s="72"/>
      <c r="N1286" s="72"/>
      <c r="O1286" s="73"/>
      <c r="P1286" s="74"/>
      <c r="Q1286" s="74"/>
      <c r="R1286" s="87"/>
      <c r="S1286" s="87"/>
      <c r="T1286" s="87"/>
      <c r="U1286" s="87"/>
      <c r="V1286" s="48"/>
      <c r="W1286" s="48"/>
      <c r="X1286" s="48"/>
      <c r="Y1286" s="48"/>
      <c r="Z1286" s="47"/>
      <c r="AA1286" s="69">
        <v>1286</v>
      </c>
      <c r="AB1286" s="69"/>
      <c r="AC1286" s="70"/>
      <c r="AD1286" s="76" t="s">
        <v>22505</v>
      </c>
      <c r="AE1286" s="81" t="s">
        <v>23741</v>
      </c>
      <c r="AF1286" s="76">
        <v>379</v>
      </c>
      <c r="AG1286" s="76">
        <v>17</v>
      </c>
      <c r="AH1286" s="76">
        <v>15</v>
      </c>
      <c r="AI1286" s="76">
        <v>2</v>
      </c>
      <c r="AJ1286" s="76">
        <v>2</v>
      </c>
      <c r="AK1286" s="76">
        <v>7</v>
      </c>
      <c r="AL1286" s="76" t="b">
        <v>0</v>
      </c>
      <c r="AM1286" s="78">
        <v>44238.076111111113</v>
      </c>
      <c r="AN1286" s="76"/>
      <c r="AO1286" s="76" t="s">
        <v>25854</v>
      </c>
      <c r="AP1286" s="82" t="str">
        <f>HYPERLINK("https://t.co/eKhfd7yjaY")</f>
        <v>https://t.co/eKhfd7yjaY</v>
      </c>
      <c r="AQ1286" s="82" t="str">
        <f>HYPERLINK("http://www.lorenafacuse.cl")</f>
        <v>http://www.lorenafacuse.cl</v>
      </c>
      <c r="AR1286" s="76" t="s">
        <v>27050</v>
      </c>
      <c r="AS1286" s="76"/>
      <c r="AT1286" s="76"/>
      <c r="AU1286" s="76"/>
      <c r="AV1286" s="76"/>
      <c r="AW1286" s="82" t="str">
        <f>HYPERLINK("https://t.co/eKhfd7yjaY")</f>
        <v>https://t.co/eKhfd7yjaY</v>
      </c>
      <c r="AX1286" s="76" t="b">
        <v>0</v>
      </c>
      <c r="AY1286" s="76"/>
      <c r="AZ1286" s="76"/>
      <c r="BA1286" s="76" t="b">
        <v>0</v>
      </c>
      <c r="BB1286" s="76" t="b">
        <v>1</v>
      </c>
      <c r="BC1286" s="76" t="b">
        <v>1</v>
      </c>
      <c r="BD1286" s="76" t="b">
        <v>0</v>
      </c>
      <c r="BE1286" s="76" t="b">
        <v>0</v>
      </c>
      <c r="BF1286" s="76" t="b">
        <v>0</v>
      </c>
      <c r="BG1286" s="76" t="b">
        <v>0</v>
      </c>
      <c r="BH1286" s="82" t="str">
        <f>HYPERLINK("https://pbs.twimg.com/profile_banners/1359680900112465922/1613154044")</f>
        <v>https://pbs.twimg.com/profile_banners/1359680900112465922/1613154044</v>
      </c>
      <c r="BI1286" s="76"/>
      <c r="BJ1286" s="76" t="s">
        <v>27595</v>
      </c>
      <c r="BK1286" s="76" t="b">
        <v>0</v>
      </c>
      <c r="BL1286" s="76"/>
      <c r="BM1286" s="76" t="s">
        <v>65</v>
      </c>
      <c r="BN1286" s="76" t="s">
        <v>27597</v>
      </c>
      <c r="BO1286" s="82" t="str">
        <f>HYPERLINK("https://twitter.com/lorena_facuse")</f>
        <v>https://twitter.com/lorena_facuse</v>
      </c>
      <c r="BP1286" s="2"/>
    </row>
    <row r="1287" spans="1:68" x14ac:dyDescent="0.25">
      <c r="A1287" s="62" t="s">
        <v>1976</v>
      </c>
      <c r="B1287" s="63"/>
      <c r="C1287" s="63"/>
      <c r="D1287" s="64"/>
      <c r="E1287" s="66"/>
      <c r="F1287" s="103" t="str">
        <f>HYPERLINK("https://pbs.twimg.com/profile_images/1696928077098500102/plIHaNWa_normal.png")</f>
        <v>https://pbs.twimg.com/profile_images/1696928077098500102/plIHaNWa_normal.png</v>
      </c>
      <c r="G1287" s="63"/>
      <c r="H1287" s="67"/>
      <c r="I1287" s="68"/>
      <c r="J1287" s="68"/>
      <c r="K1287" s="67" t="s">
        <v>28881</v>
      </c>
      <c r="L1287" s="71"/>
      <c r="M1287" s="72"/>
      <c r="N1287" s="72"/>
      <c r="O1287" s="73"/>
      <c r="P1287" s="74"/>
      <c r="Q1287" s="74"/>
      <c r="R1287" s="87"/>
      <c r="S1287" s="87"/>
      <c r="T1287" s="87"/>
      <c r="U1287" s="87"/>
      <c r="V1287" s="48"/>
      <c r="W1287" s="48"/>
      <c r="X1287" s="48"/>
      <c r="Y1287" s="48"/>
      <c r="Z1287" s="47"/>
      <c r="AA1287" s="69">
        <v>1287</v>
      </c>
      <c r="AB1287" s="69"/>
      <c r="AC1287" s="70"/>
      <c r="AD1287" s="76" t="s">
        <v>22506</v>
      </c>
      <c r="AE1287" s="81" t="s">
        <v>23742</v>
      </c>
      <c r="AF1287" s="76">
        <v>6195</v>
      </c>
      <c r="AG1287" s="76">
        <v>1257</v>
      </c>
      <c r="AH1287" s="76">
        <v>9070</v>
      </c>
      <c r="AI1287" s="76">
        <v>34</v>
      </c>
      <c r="AJ1287" s="76">
        <v>2298</v>
      </c>
      <c r="AK1287" s="76">
        <v>5232</v>
      </c>
      <c r="AL1287" s="76" t="b">
        <v>0</v>
      </c>
      <c r="AM1287" s="78">
        <v>41890.777662037035</v>
      </c>
      <c r="AN1287" s="76" t="s">
        <v>24520</v>
      </c>
      <c r="AO1287" s="76" t="s">
        <v>25855</v>
      </c>
      <c r="AP1287" s="82" t="str">
        <f>HYPERLINK("https://t.co/Hlu38p2TTc")</f>
        <v>https://t.co/Hlu38p2TTc</v>
      </c>
      <c r="AQ1287" s="82" t="str">
        <f>HYPERLINK("http://www.mcerrillos.cl")</f>
        <v>http://www.mcerrillos.cl</v>
      </c>
      <c r="AR1287" s="76" t="s">
        <v>27051</v>
      </c>
      <c r="AS1287" s="76"/>
      <c r="AT1287" s="76"/>
      <c r="AU1287" s="76"/>
      <c r="AV1287" s="76"/>
      <c r="AW1287" s="82" t="str">
        <f>HYPERLINK("https://t.co/Hlu38p2TTc")</f>
        <v>https://t.co/Hlu38p2TTc</v>
      </c>
      <c r="AX1287" s="76" t="b">
        <v>0</v>
      </c>
      <c r="AY1287" s="76"/>
      <c r="AZ1287" s="76"/>
      <c r="BA1287" s="76" t="b">
        <v>0</v>
      </c>
      <c r="BB1287" s="76" t="b">
        <v>1</v>
      </c>
      <c r="BC1287" s="76" t="b">
        <v>0</v>
      </c>
      <c r="BD1287" s="76" t="b">
        <v>0</v>
      </c>
      <c r="BE1287" s="76" t="b">
        <v>1</v>
      </c>
      <c r="BF1287" s="76" t="b">
        <v>0</v>
      </c>
      <c r="BG1287" s="76" t="b">
        <v>0</v>
      </c>
      <c r="BH1287" s="82" t="str">
        <f>HYPERLINK("https://pbs.twimg.com/profile_banners/2798447413/1693833023")</f>
        <v>https://pbs.twimg.com/profile_banners/2798447413/1693833023</v>
      </c>
      <c r="BI1287" s="76"/>
      <c r="BJ1287" s="76" t="s">
        <v>27595</v>
      </c>
      <c r="BK1287" s="76" t="b">
        <v>0</v>
      </c>
      <c r="BL1287" s="76"/>
      <c r="BM1287" s="76" t="s">
        <v>65</v>
      </c>
      <c r="BN1287" s="76" t="s">
        <v>27597</v>
      </c>
      <c r="BO1287" s="82" t="str">
        <f>HYPERLINK("https://twitter.com/municerrillos")</f>
        <v>https://twitter.com/municerrillos</v>
      </c>
      <c r="BP1287" s="2"/>
    </row>
    <row r="1288" spans="1:68" x14ac:dyDescent="0.25">
      <c r="A1288" s="62" t="s">
        <v>1179</v>
      </c>
      <c r="B1288" s="63"/>
      <c r="C1288" s="63"/>
      <c r="D1288" s="64"/>
      <c r="E1288" s="66"/>
      <c r="F1288" s="103" t="str">
        <f>HYPERLINK("https://pbs.twimg.com/profile_images/1655322338781536256/_mZGzvjT_normal.jpg")</f>
        <v>https://pbs.twimg.com/profile_images/1655322338781536256/_mZGzvjT_normal.jpg</v>
      </c>
      <c r="G1288" s="63"/>
      <c r="H1288" s="67"/>
      <c r="I1288" s="68"/>
      <c r="J1288" s="68"/>
      <c r="K1288" s="67" t="s">
        <v>28882</v>
      </c>
      <c r="L1288" s="71"/>
      <c r="M1288" s="72"/>
      <c r="N1288" s="72"/>
      <c r="O1288" s="73"/>
      <c r="P1288" s="74"/>
      <c r="Q1288" s="74"/>
      <c r="R1288" s="87"/>
      <c r="S1288" s="87"/>
      <c r="T1288" s="87"/>
      <c r="U1288" s="87"/>
      <c r="V1288" s="48"/>
      <c r="W1288" s="48"/>
      <c r="X1288" s="48"/>
      <c r="Y1288" s="48"/>
      <c r="Z1288" s="47"/>
      <c r="AA1288" s="69">
        <v>1288</v>
      </c>
      <c r="AB1288" s="69"/>
      <c r="AC1288" s="70"/>
      <c r="AD1288" s="76" t="s">
        <v>22507</v>
      </c>
      <c r="AE1288" s="81" t="s">
        <v>20965</v>
      </c>
      <c r="AF1288" s="76">
        <v>737</v>
      </c>
      <c r="AG1288" s="76">
        <v>781</v>
      </c>
      <c r="AH1288" s="76">
        <v>2881</v>
      </c>
      <c r="AI1288" s="76">
        <v>6</v>
      </c>
      <c r="AJ1288" s="76">
        <v>8730</v>
      </c>
      <c r="AK1288" s="76">
        <v>322</v>
      </c>
      <c r="AL1288" s="76" t="b">
        <v>0</v>
      </c>
      <c r="AM1288" s="78">
        <v>43995.818912037037</v>
      </c>
      <c r="AN1288" s="76" t="s">
        <v>14400</v>
      </c>
      <c r="AO1288" s="76" t="s">
        <v>25856</v>
      </c>
      <c r="AP1288" s="82" t="str">
        <f>HYPERLINK("https://t.co/drfr0cQPj3")</f>
        <v>https://t.co/drfr0cQPj3</v>
      </c>
      <c r="AQ1288" s="82" t="str">
        <f>HYPERLINK("https://anchor.fm/podcastpoeocinto")</f>
        <v>https://anchor.fm/podcastpoeocinto</v>
      </c>
      <c r="AR1288" s="76" t="s">
        <v>27052</v>
      </c>
      <c r="AS1288" s="76"/>
      <c r="AT1288" s="76"/>
      <c r="AU1288" s="76"/>
      <c r="AV1288" s="76"/>
      <c r="AW1288" s="82" t="str">
        <f>HYPERLINK("https://t.co/drfr0cQPj3")</f>
        <v>https://t.co/drfr0cQPj3</v>
      </c>
      <c r="AX1288" s="76" t="b">
        <v>0</v>
      </c>
      <c r="AY1288" s="76"/>
      <c r="AZ1288" s="76"/>
      <c r="BA1288" s="76" t="b">
        <v>0</v>
      </c>
      <c r="BB1288" s="76" t="b">
        <v>1</v>
      </c>
      <c r="BC1288" s="76" t="b">
        <v>1</v>
      </c>
      <c r="BD1288" s="76" t="b">
        <v>0</v>
      </c>
      <c r="BE1288" s="76" t="b">
        <v>0</v>
      </c>
      <c r="BF1288" s="76" t="b">
        <v>0</v>
      </c>
      <c r="BG1288" s="76" t="b">
        <v>0</v>
      </c>
      <c r="BH1288" s="82" t="str">
        <f>HYPERLINK("https://pbs.twimg.com/profile_banners/1271889856604635137/1683494703")</f>
        <v>https://pbs.twimg.com/profile_banners/1271889856604635137/1683494703</v>
      </c>
      <c r="BI1288" s="76"/>
      <c r="BJ1288" s="76" t="s">
        <v>27595</v>
      </c>
      <c r="BK1288" s="76" t="b">
        <v>0</v>
      </c>
      <c r="BL1288" s="76"/>
      <c r="BM1288" s="76" t="s">
        <v>66</v>
      </c>
      <c r="BN1288" s="76" t="s">
        <v>27597</v>
      </c>
      <c r="BO1288" s="82" t="str">
        <f>HYPERLINK("https://twitter.com/sobcustodio")</f>
        <v>https://twitter.com/sobcustodio</v>
      </c>
      <c r="BP1288" s="2"/>
    </row>
    <row r="1289" spans="1:68" x14ac:dyDescent="0.25">
      <c r="A1289" s="62" t="s">
        <v>1977</v>
      </c>
      <c r="B1289" s="63"/>
      <c r="C1289" s="63"/>
      <c r="D1289" s="64"/>
      <c r="E1289" s="66"/>
      <c r="F1289" s="103" t="str">
        <f>HYPERLINK("https://pbs.twimg.com/profile_images/1488959909605564423/mtEYeeJb_normal.jpg")</f>
        <v>https://pbs.twimg.com/profile_images/1488959909605564423/mtEYeeJb_normal.jpg</v>
      </c>
      <c r="G1289" s="63"/>
      <c r="H1289" s="67"/>
      <c r="I1289" s="68"/>
      <c r="J1289" s="68"/>
      <c r="K1289" s="67" t="s">
        <v>28883</v>
      </c>
      <c r="L1289" s="71"/>
      <c r="M1289" s="72"/>
      <c r="N1289" s="72"/>
      <c r="O1289" s="73"/>
      <c r="P1289" s="74"/>
      <c r="Q1289" s="74"/>
      <c r="R1289" s="87"/>
      <c r="S1289" s="87"/>
      <c r="T1289" s="87"/>
      <c r="U1289" s="87"/>
      <c r="V1289" s="48"/>
      <c r="W1289" s="48"/>
      <c r="X1289" s="48"/>
      <c r="Y1289" s="48"/>
      <c r="Z1289" s="47"/>
      <c r="AA1289" s="69">
        <v>1289</v>
      </c>
      <c r="AB1289" s="69"/>
      <c r="AC1289" s="70"/>
      <c r="AD1289" s="76" t="s">
        <v>22508</v>
      </c>
      <c r="AE1289" s="81" t="s">
        <v>23743</v>
      </c>
      <c r="AF1289" s="76">
        <v>774</v>
      </c>
      <c r="AG1289" s="76">
        <v>293</v>
      </c>
      <c r="AH1289" s="76">
        <v>18105</v>
      </c>
      <c r="AI1289" s="76">
        <v>7</v>
      </c>
      <c r="AJ1289" s="76">
        <v>4106</v>
      </c>
      <c r="AK1289" s="76">
        <v>333</v>
      </c>
      <c r="AL1289" s="76" t="b">
        <v>0</v>
      </c>
      <c r="AM1289" s="78">
        <v>40006.114340277774</v>
      </c>
      <c r="AN1289" s="76" t="s">
        <v>24369</v>
      </c>
      <c r="AO1289" s="76" t="s">
        <v>25857</v>
      </c>
      <c r="AP1289" s="82" t="str">
        <f>HYPERLINK("https://t.co/Ni9yllZrci")</f>
        <v>https://t.co/Ni9yllZrci</v>
      </c>
      <c r="AQ1289" s="82" t="str">
        <f>HYPERLINK("https://tc.com.br/noticias/")</f>
        <v>https://tc.com.br/noticias/</v>
      </c>
      <c r="AR1289" s="76" t="s">
        <v>27053</v>
      </c>
      <c r="AS1289" s="76"/>
      <c r="AT1289" s="76"/>
      <c r="AU1289" s="76"/>
      <c r="AV1289" s="76"/>
      <c r="AW1289" s="82" t="str">
        <f>HYPERLINK("https://t.co/Ni9yllZrci")</f>
        <v>https://t.co/Ni9yllZrci</v>
      </c>
      <c r="AX1289" s="76" t="b">
        <v>0</v>
      </c>
      <c r="AY1289" s="76"/>
      <c r="AZ1289" s="76"/>
      <c r="BA1289" s="76" t="b">
        <v>0</v>
      </c>
      <c r="BB1289" s="76" t="b">
        <v>0</v>
      </c>
      <c r="BC1289" s="76" t="b">
        <v>0</v>
      </c>
      <c r="BD1289" s="76" t="b">
        <v>0</v>
      </c>
      <c r="BE1289" s="76" t="b">
        <v>1</v>
      </c>
      <c r="BF1289" s="76" t="b">
        <v>0</v>
      </c>
      <c r="BG1289" s="76" t="b">
        <v>0</v>
      </c>
      <c r="BH1289" s="82" t="str">
        <f>HYPERLINK("https://pbs.twimg.com/profile_banners/55997850/1609885671")</f>
        <v>https://pbs.twimg.com/profile_banners/55997850/1609885671</v>
      </c>
      <c r="BI1289" s="76"/>
      <c r="BJ1289" s="76" t="s">
        <v>27595</v>
      </c>
      <c r="BK1289" s="76" t="b">
        <v>0</v>
      </c>
      <c r="BL1289" s="76"/>
      <c r="BM1289" s="76" t="s">
        <v>65</v>
      </c>
      <c r="BN1289" s="76" t="s">
        <v>27597</v>
      </c>
      <c r="BO1289" s="82" t="str">
        <f>HYPERLINK("https://twitter.com/gmsgabriel")</f>
        <v>https://twitter.com/gmsgabriel</v>
      </c>
      <c r="BP1289" s="2"/>
    </row>
    <row r="1290" spans="1:68" x14ac:dyDescent="0.25">
      <c r="A1290" s="62" t="s">
        <v>1180</v>
      </c>
      <c r="B1290" s="63"/>
      <c r="C1290" s="63"/>
      <c r="D1290" s="64"/>
      <c r="E1290" s="66"/>
      <c r="F1290" s="103" t="str">
        <f>HYPERLINK("https://pbs.twimg.com/profile_images/1646546691577856000/kzRWyVy9_normal.jpg")</f>
        <v>https://pbs.twimg.com/profile_images/1646546691577856000/kzRWyVy9_normal.jpg</v>
      </c>
      <c r="G1290" s="63"/>
      <c r="H1290" s="67"/>
      <c r="I1290" s="68"/>
      <c r="J1290" s="68"/>
      <c r="K1290" s="67" t="s">
        <v>28884</v>
      </c>
      <c r="L1290" s="71"/>
      <c r="M1290" s="72"/>
      <c r="N1290" s="72"/>
      <c r="O1290" s="73"/>
      <c r="P1290" s="74"/>
      <c r="Q1290" s="74"/>
      <c r="R1290" s="87"/>
      <c r="S1290" s="87"/>
      <c r="T1290" s="87"/>
      <c r="U1290" s="87"/>
      <c r="V1290" s="48"/>
      <c r="W1290" s="48"/>
      <c r="X1290" s="48"/>
      <c r="Y1290" s="48"/>
      <c r="Z1290" s="47"/>
      <c r="AA1290" s="69">
        <v>1290</v>
      </c>
      <c r="AB1290" s="69"/>
      <c r="AC1290" s="70"/>
      <c r="AD1290" s="76" t="s">
        <v>22509</v>
      </c>
      <c r="AE1290" s="81" t="s">
        <v>23744</v>
      </c>
      <c r="AF1290" s="76">
        <v>634</v>
      </c>
      <c r="AG1290" s="76">
        <v>198</v>
      </c>
      <c r="AH1290" s="76">
        <v>60723</v>
      </c>
      <c r="AI1290" s="76">
        <v>32</v>
      </c>
      <c r="AJ1290" s="76">
        <v>22211</v>
      </c>
      <c r="AK1290" s="76">
        <v>14017</v>
      </c>
      <c r="AL1290" s="76" t="b">
        <v>0</v>
      </c>
      <c r="AM1290" s="78">
        <v>41409.98678240741</v>
      </c>
      <c r="AN1290" s="76" t="s">
        <v>24521</v>
      </c>
      <c r="AO1290" s="76" t="s">
        <v>25858</v>
      </c>
      <c r="AP1290" s="76"/>
      <c r="AQ1290" s="76"/>
      <c r="AR1290" s="76"/>
      <c r="AS1290" s="76"/>
      <c r="AT1290" s="76"/>
      <c r="AU1290" s="76"/>
      <c r="AV1290" s="76">
        <v>1.6628750466735099E+18</v>
      </c>
      <c r="AW1290" s="76"/>
      <c r="AX1290" s="76" t="b">
        <v>0</v>
      </c>
      <c r="AY1290" s="76"/>
      <c r="AZ1290" s="76"/>
      <c r="BA1290" s="76" t="b">
        <v>0</v>
      </c>
      <c r="BB1290" s="76" t="b">
        <v>0</v>
      </c>
      <c r="BC1290" s="76" t="b">
        <v>0</v>
      </c>
      <c r="BD1290" s="76" t="b">
        <v>0</v>
      </c>
      <c r="BE1290" s="76" t="b">
        <v>1</v>
      </c>
      <c r="BF1290" s="76" t="b">
        <v>0</v>
      </c>
      <c r="BG1290" s="76" t="b">
        <v>0</v>
      </c>
      <c r="BH1290" s="82" t="str">
        <f>HYPERLINK("https://pbs.twimg.com/profile_banners/1431742526/1552020798")</f>
        <v>https://pbs.twimg.com/profile_banners/1431742526/1552020798</v>
      </c>
      <c r="BI1290" s="76"/>
      <c r="BJ1290" s="76" t="s">
        <v>27595</v>
      </c>
      <c r="BK1290" s="76" t="b">
        <v>0</v>
      </c>
      <c r="BL1290" s="76"/>
      <c r="BM1290" s="76" t="s">
        <v>66</v>
      </c>
      <c r="BN1290" s="76" t="s">
        <v>27597</v>
      </c>
      <c r="BO1290" s="82" t="str">
        <f>HYPERLINK("https://twitter.com/taxialphaville")</f>
        <v>https://twitter.com/taxialphaville</v>
      </c>
      <c r="BP1290" s="2"/>
    </row>
    <row r="1291" spans="1:68" x14ac:dyDescent="0.25">
      <c r="A1291" s="62" t="s">
        <v>1181</v>
      </c>
      <c r="B1291" s="63"/>
      <c r="C1291" s="63"/>
      <c r="D1291" s="64"/>
      <c r="E1291" s="66"/>
      <c r="F1291" s="103" t="str">
        <f>HYPERLINK("https://pbs.twimg.com/profile_images/1633595755452563461/UtxveaxU_normal.jpg")</f>
        <v>https://pbs.twimg.com/profile_images/1633595755452563461/UtxveaxU_normal.jpg</v>
      </c>
      <c r="G1291" s="63"/>
      <c r="H1291" s="67"/>
      <c r="I1291" s="68"/>
      <c r="J1291" s="68"/>
      <c r="K1291" s="67" t="s">
        <v>28885</v>
      </c>
      <c r="L1291" s="71"/>
      <c r="M1291" s="72"/>
      <c r="N1291" s="72"/>
      <c r="O1291" s="73"/>
      <c r="P1291" s="74"/>
      <c r="Q1291" s="74"/>
      <c r="R1291" s="87"/>
      <c r="S1291" s="87"/>
      <c r="T1291" s="87"/>
      <c r="U1291" s="87"/>
      <c r="V1291" s="48"/>
      <c r="W1291" s="48"/>
      <c r="X1291" s="48"/>
      <c r="Y1291" s="48"/>
      <c r="Z1291" s="47"/>
      <c r="AA1291" s="69">
        <v>1291</v>
      </c>
      <c r="AB1291" s="69"/>
      <c r="AC1291" s="70"/>
      <c r="AD1291" s="76" t="s">
        <v>22510</v>
      </c>
      <c r="AE1291" s="81" t="s">
        <v>20966</v>
      </c>
      <c r="AF1291" s="76">
        <v>1537</v>
      </c>
      <c r="AG1291" s="76">
        <v>187</v>
      </c>
      <c r="AH1291" s="76">
        <v>1513</v>
      </c>
      <c r="AI1291" s="76">
        <v>1</v>
      </c>
      <c r="AJ1291" s="76">
        <v>2</v>
      </c>
      <c r="AK1291" s="76">
        <v>416</v>
      </c>
      <c r="AL1291" s="76" t="b">
        <v>0</v>
      </c>
      <c r="AM1291" s="78">
        <v>44980.77511574074</v>
      </c>
      <c r="AN1291" s="76"/>
      <c r="AO1291" s="76" t="s">
        <v>25859</v>
      </c>
      <c r="AP1291" s="82" t="str">
        <f>HYPERLINK("https://t.co/f4iez6vHK8")</f>
        <v>https://t.co/f4iez6vHK8</v>
      </c>
      <c r="AQ1291" s="82" t="str">
        <f>HYPERLINK("https://infoflash.com.br/")</f>
        <v>https://infoflash.com.br/</v>
      </c>
      <c r="AR1291" s="76" t="s">
        <v>27054</v>
      </c>
      <c r="AS1291" s="76"/>
      <c r="AT1291" s="76"/>
      <c r="AU1291" s="76"/>
      <c r="AV1291" s="76"/>
      <c r="AW1291" s="82" t="str">
        <f>HYPERLINK("https://t.co/f4iez6vHK8")</f>
        <v>https://t.co/f4iez6vHK8</v>
      </c>
      <c r="AX1291" s="76" t="b">
        <v>0</v>
      </c>
      <c r="AY1291" s="76"/>
      <c r="AZ1291" s="76"/>
      <c r="BA1291" s="76" t="b">
        <v>0</v>
      </c>
      <c r="BB1291" s="76" t="b">
        <v>1</v>
      </c>
      <c r="BC1291" s="76" t="b">
        <v>1</v>
      </c>
      <c r="BD1291" s="76" t="b">
        <v>0</v>
      </c>
      <c r="BE1291" s="76" t="b">
        <v>0</v>
      </c>
      <c r="BF1291" s="76" t="b">
        <v>0</v>
      </c>
      <c r="BG1291" s="76" t="b">
        <v>0</v>
      </c>
      <c r="BH1291" s="82" t="str">
        <f>HYPERLINK("https://pbs.twimg.com/profile_banners/1628826017002401793/1678314554")</f>
        <v>https://pbs.twimg.com/profile_banners/1628826017002401793/1678314554</v>
      </c>
      <c r="BI1291" s="76"/>
      <c r="BJ1291" s="76" t="s">
        <v>27595</v>
      </c>
      <c r="BK1291" s="76" t="b">
        <v>0</v>
      </c>
      <c r="BL1291" s="76"/>
      <c r="BM1291" s="76" t="s">
        <v>66</v>
      </c>
      <c r="BN1291" s="76" t="s">
        <v>27597</v>
      </c>
      <c r="BO1291" s="82" t="str">
        <f>HYPERLINK("https://twitter.com/infoflashbr")</f>
        <v>https://twitter.com/infoflashbr</v>
      </c>
      <c r="BP1291" s="2"/>
    </row>
    <row r="1292" spans="1:68" x14ac:dyDescent="0.25">
      <c r="A1292" s="62" t="s">
        <v>1182</v>
      </c>
      <c r="B1292" s="63"/>
      <c r="C1292" s="63"/>
      <c r="D1292" s="64"/>
      <c r="E1292" s="66"/>
      <c r="F1292" s="103" t="str">
        <f>HYPERLINK("https://pbs.twimg.com/profile_images/1646201494008479771/l_PbO52J_normal.jpg")</f>
        <v>https://pbs.twimg.com/profile_images/1646201494008479771/l_PbO52J_normal.jpg</v>
      </c>
      <c r="G1292" s="63"/>
      <c r="H1292" s="67"/>
      <c r="I1292" s="68"/>
      <c r="J1292" s="68"/>
      <c r="K1292" s="67" t="s">
        <v>28886</v>
      </c>
      <c r="L1292" s="71"/>
      <c r="M1292" s="72"/>
      <c r="N1292" s="72"/>
      <c r="O1292" s="73"/>
      <c r="P1292" s="74"/>
      <c r="Q1292" s="74"/>
      <c r="R1292" s="87"/>
      <c r="S1292" s="87"/>
      <c r="T1292" s="87"/>
      <c r="U1292" s="87"/>
      <c r="V1292" s="48"/>
      <c r="W1292" s="48"/>
      <c r="X1292" s="48"/>
      <c r="Y1292" s="48"/>
      <c r="Z1292" s="47"/>
      <c r="AA1292" s="69">
        <v>1292</v>
      </c>
      <c r="AB1292" s="69"/>
      <c r="AC1292" s="70"/>
      <c r="AD1292" s="76" t="s">
        <v>22511</v>
      </c>
      <c r="AE1292" s="81" t="s">
        <v>20967</v>
      </c>
      <c r="AF1292" s="76">
        <v>13</v>
      </c>
      <c r="AG1292" s="76">
        <v>66</v>
      </c>
      <c r="AH1292" s="76">
        <v>64</v>
      </c>
      <c r="AI1292" s="76">
        <v>0</v>
      </c>
      <c r="AJ1292" s="76">
        <v>171</v>
      </c>
      <c r="AK1292" s="76">
        <v>3</v>
      </c>
      <c r="AL1292" s="76" t="b">
        <v>0</v>
      </c>
      <c r="AM1292" s="78">
        <v>45028.722002314818</v>
      </c>
      <c r="AN1292" s="76"/>
      <c r="AO1292" s="76"/>
      <c r="AP1292" s="76"/>
      <c r="AQ1292" s="76"/>
      <c r="AR1292" s="76"/>
      <c r="AS1292" s="76"/>
      <c r="AT1292" s="76"/>
      <c r="AU1292" s="76"/>
      <c r="AV1292" s="76"/>
      <c r="AW1292" s="76"/>
      <c r="AX1292" s="76" t="b">
        <v>0</v>
      </c>
      <c r="AY1292" s="76"/>
      <c r="AZ1292" s="76"/>
      <c r="BA1292" s="76" t="b">
        <v>0</v>
      </c>
      <c r="BB1292" s="76" t="b">
        <v>1</v>
      </c>
      <c r="BC1292" s="76" t="b">
        <v>1</v>
      </c>
      <c r="BD1292" s="76" t="b">
        <v>0</v>
      </c>
      <c r="BE1292" s="76" t="b">
        <v>0</v>
      </c>
      <c r="BF1292" s="76" t="b">
        <v>0</v>
      </c>
      <c r="BG1292" s="76" t="b">
        <v>0</v>
      </c>
      <c r="BH1292" s="76"/>
      <c r="BI1292" s="76"/>
      <c r="BJ1292" s="76" t="s">
        <v>27595</v>
      </c>
      <c r="BK1292" s="76" t="b">
        <v>0</v>
      </c>
      <c r="BL1292" s="76"/>
      <c r="BM1292" s="76" t="s">
        <v>66</v>
      </c>
      <c r="BN1292" s="76" t="s">
        <v>27597</v>
      </c>
      <c r="BO1292" s="82" t="str">
        <f>HYPERLINK("https://twitter.com/ardmoficial_")</f>
        <v>https://twitter.com/ardmoficial_</v>
      </c>
      <c r="BP1292" s="2"/>
    </row>
    <row r="1293" spans="1:68" x14ac:dyDescent="0.25">
      <c r="A1293" s="62" t="s">
        <v>1248</v>
      </c>
      <c r="B1293" s="63"/>
      <c r="C1293" s="63"/>
      <c r="D1293" s="64"/>
      <c r="E1293" s="66"/>
      <c r="F1293" s="103" t="str">
        <f>HYPERLINK("https://pbs.twimg.com/profile_images/1702339419452080128/N-EPtb26_normal.jpg")</f>
        <v>https://pbs.twimg.com/profile_images/1702339419452080128/N-EPtb26_normal.jpg</v>
      </c>
      <c r="G1293" s="63"/>
      <c r="H1293" s="67"/>
      <c r="I1293" s="68"/>
      <c r="J1293" s="68"/>
      <c r="K1293" s="67" t="s">
        <v>28887</v>
      </c>
      <c r="L1293" s="71"/>
      <c r="M1293" s="72"/>
      <c r="N1293" s="72"/>
      <c r="O1293" s="73"/>
      <c r="P1293" s="74"/>
      <c r="Q1293" s="74"/>
      <c r="R1293" s="87"/>
      <c r="S1293" s="87"/>
      <c r="T1293" s="87"/>
      <c r="U1293" s="87"/>
      <c r="V1293" s="48"/>
      <c r="W1293" s="48"/>
      <c r="X1293" s="48"/>
      <c r="Y1293" s="48"/>
      <c r="Z1293" s="47"/>
      <c r="AA1293" s="69">
        <v>1293</v>
      </c>
      <c r="AB1293" s="69"/>
      <c r="AC1293" s="70"/>
      <c r="AD1293" s="76" t="s">
        <v>22512</v>
      </c>
      <c r="AE1293" s="81" t="s">
        <v>20999</v>
      </c>
      <c r="AF1293" s="76">
        <v>1028</v>
      </c>
      <c r="AG1293" s="76">
        <v>1565</v>
      </c>
      <c r="AH1293" s="76">
        <v>905</v>
      </c>
      <c r="AI1293" s="76">
        <v>1</v>
      </c>
      <c r="AJ1293" s="76">
        <v>1533</v>
      </c>
      <c r="AK1293" s="76">
        <v>257</v>
      </c>
      <c r="AL1293" s="76" t="b">
        <v>0</v>
      </c>
      <c r="AM1293" s="78">
        <v>43538.604120370372</v>
      </c>
      <c r="AN1293" s="76" t="s">
        <v>14400</v>
      </c>
      <c r="AO1293" s="76" t="s">
        <v>25860</v>
      </c>
      <c r="AP1293" s="82" t="str">
        <f>HYPERLINK("https://t.co/om52mRIjba")</f>
        <v>https://t.co/om52mRIjba</v>
      </c>
      <c r="AQ1293" s="82" t="str">
        <f>HYPERLINK("https://www.instagram.com/rodrigodemoraisofc")</f>
        <v>https://www.instagram.com/rodrigodemoraisofc</v>
      </c>
      <c r="AR1293" s="76" t="s">
        <v>27055</v>
      </c>
      <c r="AS1293" s="76"/>
      <c r="AT1293" s="76"/>
      <c r="AU1293" s="76"/>
      <c r="AV1293" s="76"/>
      <c r="AW1293" s="82" t="str">
        <f>HYPERLINK("https://t.co/om52mRIjba")</f>
        <v>https://t.co/om52mRIjba</v>
      </c>
      <c r="AX1293" s="76" t="b">
        <v>0</v>
      </c>
      <c r="AY1293" s="76"/>
      <c r="AZ1293" s="76"/>
      <c r="BA1293" s="76" t="b">
        <v>0</v>
      </c>
      <c r="BB1293" s="76" t="b">
        <v>1</v>
      </c>
      <c r="BC1293" s="76" t="b">
        <v>1</v>
      </c>
      <c r="BD1293" s="76" t="b">
        <v>0</v>
      </c>
      <c r="BE1293" s="76" t="b">
        <v>0</v>
      </c>
      <c r="BF1293" s="76" t="b">
        <v>0</v>
      </c>
      <c r="BG1293" s="76" t="b">
        <v>0</v>
      </c>
      <c r="BH1293" s="82" t="str">
        <f>HYPERLINK("https://pbs.twimg.com/profile_banners/1106200795098292229/1694706486")</f>
        <v>https://pbs.twimg.com/profile_banners/1106200795098292229/1694706486</v>
      </c>
      <c r="BI1293" s="76"/>
      <c r="BJ1293" s="76" t="s">
        <v>27595</v>
      </c>
      <c r="BK1293" s="76" t="b">
        <v>0</v>
      </c>
      <c r="BL1293" s="76"/>
      <c r="BM1293" s="76" t="s">
        <v>66</v>
      </c>
      <c r="BN1293" s="76" t="s">
        <v>27597</v>
      </c>
      <c r="BO1293" s="82" t="str">
        <f>HYPERLINK("https://twitter.com/rodrigomoraisof")</f>
        <v>https://twitter.com/rodrigomoraisof</v>
      </c>
      <c r="BP1293" s="2"/>
    </row>
    <row r="1294" spans="1:68" x14ac:dyDescent="0.25">
      <c r="A1294" s="62" t="s">
        <v>1183</v>
      </c>
      <c r="B1294" s="63"/>
      <c r="C1294" s="63"/>
      <c r="D1294" s="64"/>
      <c r="E1294" s="66"/>
      <c r="F1294" s="103" t="str">
        <f>HYPERLINK("https://pbs.twimg.com/profile_images/1639460249093517312/IcZKDsbm_normal.jpg")</f>
        <v>https://pbs.twimg.com/profile_images/1639460249093517312/IcZKDsbm_normal.jpg</v>
      </c>
      <c r="G1294" s="63"/>
      <c r="H1294" s="67"/>
      <c r="I1294" s="68"/>
      <c r="J1294" s="68"/>
      <c r="K1294" s="67" t="s">
        <v>28888</v>
      </c>
      <c r="L1294" s="71"/>
      <c r="M1294" s="72"/>
      <c r="N1294" s="72"/>
      <c r="O1294" s="73"/>
      <c r="P1294" s="74"/>
      <c r="Q1294" s="74"/>
      <c r="R1294" s="87"/>
      <c r="S1294" s="87"/>
      <c r="T1294" s="87"/>
      <c r="U1294" s="87"/>
      <c r="V1294" s="48"/>
      <c r="W1294" s="48"/>
      <c r="X1294" s="48"/>
      <c r="Y1294" s="48"/>
      <c r="Z1294" s="47"/>
      <c r="AA1294" s="69">
        <v>1294</v>
      </c>
      <c r="AB1294" s="69"/>
      <c r="AC1294" s="70"/>
      <c r="AD1294" s="76" t="s">
        <v>22513</v>
      </c>
      <c r="AE1294" s="81" t="s">
        <v>20968</v>
      </c>
      <c r="AF1294" s="76">
        <v>44</v>
      </c>
      <c r="AG1294" s="76">
        <v>16</v>
      </c>
      <c r="AH1294" s="76">
        <v>464</v>
      </c>
      <c r="AI1294" s="76">
        <v>0</v>
      </c>
      <c r="AJ1294" s="76">
        <v>0</v>
      </c>
      <c r="AK1294" s="76">
        <v>464</v>
      </c>
      <c r="AL1294" s="76" t="b">
        <v>0</v>
      </c>
      <c r="AM1294" s="78">
        <v>45010.119606481479</v>
      </c>
      <c r="AN1294" s="76" t="s">
        <v>14386</v>
      </c>
      <c r="AO1294" s="76" t="s">
        <v>25861</v>
      </c>
      <c r="AP1294" s="82" t="str">
        <f>HYPERLINK("https://t.co/aDJTJmMX46")</f>
        <v>https://t.co/aDJTJmMX46</v>
      </c>
      <c r="AQ1294" s="82" t="str">
        <f>HYPERLINK("https://www.youtube.com/@RamonFreireOficial")</f>
        <v>https://www.youtube.com/@RamonFreireOficial</v>
      </c>
      <c r="AR1294" s="76" t="s">
        <v>27056</v>
      </c>
      <c r="AS1294" s="76"/>
      <c r="AT1294" s="76"/>
      <c r="AU1294" s="76"/>
      <c r="AV1294" s="76"/>
      <c r="AW1294" s="82" t="str">
        <f>HYPERLINK("https://t.co/aDJTJmMX46")</f>
        <v>https://t.co/aDJTJmMX46</v>
      </c>
      <c r="AX1294" s="76" t="b">
        <v>0</v>
      </c>
      <c r="AY1294" s="76"/>
      <c r="AZ1294" s="76"/>
      <c r="BA1294" s="76" t="b">
        <v>0</v>
      </c>
      <c r="BB1294" s="76" t="b">
        <v>1</v>
      </c>
      <c r="BC1294" s="76" t="b">
        <v>1</v>
      </c>
      <c r="BD1294" s="76" t="b">
        <v>0</v>
      </c>
      <c r="BE1294" s="76" t="b">
        <v>0</v>
      </c>
      <c r="BF1294" s="76" t="b">
        <v>0</v>
      </c>
      <c r="BG1294" s="76" t="b">
        <v>0</v>
      </c>
      <c r="BH1294" s="82" t="str">
        <f>HYPERLINK("https://pbs.twimg.com/profile_banners/1639460106822615040/1679887407")</f>
        <v>https://pbs.twimg.com/profile_banners/1639460106822615040/1679887407</v>
      </c>
      <c r="BI1294" s="76"/>
      <c r="BJ1294" s="76" t="s">
        <v>27595</v>
      </c>
      <c r="BK1294" s="76" t="b">
        <v>0</v>
      </c>
      <c r="BL1294" s="76"/>
      <c r="BM1294" s="76" t="s">
        <v>66</v>
      </c>
      <c r="BN1294" s="76" t="s">
        <v>27597</v>
      </c>
      <c r="BO1294" s="82" t="str">
        <f>HYPERLINK("https://twitter.com/ramonfreirereal")</f>
        <v>https://twitter.com/ramonfreirereal</v>
      </c>
      <c r="BP1294" s="2"/>
    </row>
    <row r="1295" spans="1:68" x14ac:dyDescent="0.25">
      <c r="A1295" s="62" t="s">
        <v>1184</v>
      </c>
      <c r="B1295" s="63"/>
      <c r="C1295" s="63"/>
      <c r="D1295" s="64"/>
      <c r="E1295" s="66"/>
      <c r="F1295" s="103" t="str">
        <f>HYPERLINK("https://pbs.twimg.com/profile_images/868076429937967104/wcVDTaGe_normal.jpg")</f>
        <v>https://pbs.twimg.com/profile_images/868076429937967104/wcVDTaGe_normal.jpg</v>
      </c>
      <c r="G1295" s="63"/>
      <c r="H1295" s="67"/>
      <c r="I1295" s="68"/>
      <c r="J1295" s="68"/>
      <c r="K1295" s="67" t="s">
        <v>28889</v>
      </c>
      <c r="L1295" s="71"/>
      <c r="M1295" s="72"/>
      <c r="N1295" s="72"/>
      <c r="O1295" s="73"/>
      <c r="P1295" s="74"/>
      <c r="Q1295" s="74"/>
      <c r="R1295" s="87"/>
      <c r="S1295" s="87"/>
      <c r="T1295" s="87"/>
      <c r="U1295" s="87"/>
      <c r="V1295" s="48"/>
      <c r="W1295" s="48"/>
      <c r="X1295" s="48"/>
      <c r="Y1295" s="48"/>
      <c r="Z1295" s="47"/>
      <c r="AA1295" s="69">
        <v>1295</v>
      </c>
      <c r="AB1295" s="69"/>
      <c r="AC1295" s="70"/>
      <c r="AD1295" s="76" t="s">
        <v>22514</v>
      </c>
      <c r="AE1295" s="81" t="s">
        <v>23745</v>
      </c>
      <c r="AF1295" s="76">
        <v>656</v>
      </c>
      <c r="AG1295" s="76">
        <v>1872</v>
      </c>
      <c r="AH1295" s="76">
        <v>214392</v>
      </c>
      <c r="AI1295" s="76">
        <v>0</v>
      </c>
      <c r="AJ1295" s="76">
        <v>1191</v>
      </c>
      <c r="AK1295" s="76">
        <v>5</v>
      </c>
      <c r="AL1295" s="76" t="b">
        <v>0</v>
      </c>
      <c r="AM1295" s="78">
        <v>41832.810879629629</v>
      </c>
      <c r="AN1295" s="76"/>
      <c r="AO1295" s="76"/>
      <c r="AP1295" s="76"/>
      <c r="AQ1295" s="76"/>
      <c r="AR1295" s="76"/>
      <c r="AS1295" s="76"/>
      <c r="AT1295" s="76"/>
      <c r="AU1295" s="76"/>
      <c r="AV1295" s="76"/>
      <c r="AW1295" s="76"/>
      <c r="AX1295" s="76" t="b">
        <v>0</v>
      </c>
      <c r="AY1295" s="76"/>
      <c r="AZ1295" s="76"/>
      <c r="BA1295" s="76" t="b">
        <v>0</v>
      </c>
      <c r="BB1295" s="76" t="b">
        <v>0</v>
      </c>
      <c r="BC1295" s="76" t="b">
        <v>1</v>
      </c>
      <c r="BD1295" s="76" t="b">
        <v>0</v>
      </c>
      <c r="BE1295" s="76" t="b">
        <v>1</v>
      </c>
      <c r="BF1295" s="76" t="b">
        <v>0</v>
      </c>
      <c r="BG1295" s="76" t="b">
        <v>0</v>
      </c>
      <c r="BH1295" s="76"/>
      <c r="BI1295" s="76"/>
      <c r="BJ1295" s="76" t="s">
        <v>27595</v>
      </c>
      <c r="BK1295" s="76" t="b">
        <v>0</v>
      </c>
      <c r="BL1295" s="76"/>
      <c r="BM1295" s="76" t="s">
        <v>66</v>
      </c>
      <c r="BN1295" s="76" t="s">
        <v>27597</v>
      </c>
      <c r="BO1295" s="82" t="str">
        <f>HYPERLINK("https://twitter.com/ferado2014")</f>
        <v>https://twitter.com/ferado2014</v>
      </c>
      <c r="BP1295" s="2"/>
    </row>
    <row r="1296" spans="1:68" x14ac:dyDescent="0.25">
      <c r="A1296" s="62" t="s">
        <v>1208</v>
      </c>
      <c r="B1296" s="63"/>
      <c r="C1296" s="63"/>
      <c r="D1296" s="64"/>
      <c r="E1296" s="66"/>
      <c r="F1296" s="103" t="str">
        <f>HYPERLINK("https://pbs.twimg.com/profile_images/1366358897422983169/l3sjZQHs_normal.jpg")</f>
        <v>https://pbs.twimg.com/profile_images/1366358897422983169/l3sjZQHs_normal.jpg</v>
      </c>
      <c r="G1296" s="63"/>
      <c r="H1296" s="67"/>
      <c r="I1296" s="68"/>
      <c r="J1296" s="68"/>
      <c r="K1296" s="67" t="s">
        <v>28890</v>
      </c>
      <c r="L1296" s="71"/>
      <c r="M1296" s="72"/>
      <c r="N1296" s="72"/>
      <c r="O1296" s="73"/>
      <c r="P1296" s="74"/>
      <c r="Q1296" s="74"/>
      <c r="R1296" s="87"/>
      <c r="S1296" s="87"/>
      <c r="T1296" s="87"/>
      <c r="U1296" s="87"/>
      <c r="V1296" s="48"/>
      <c r="W1296" s="48"/>
      <c r="X1296" s="48"/>
      <c r="Y1296" s="48"/>
      <c r="Z1296" s="47"/>
      <c r="AA1296" s="69">
        <v>1296</v>
      </c>
      <c r="AB1296" s="69"/>
      <c r="AC1296" s="70"/>
      <c r="AD1296" s="76" t="s">
        <v>22515</v>
      </c>
      <c r="AE1296" s="81" t="s">
        <v>23746</v>
      </c>
      <c r="AF1296" s="76">
        <v>167375</v>
      </c>
      <c r="AG1296" s="76">
        <v>355</v>
      </c>
      <c r="AH1296" s="76">
        <v>239394</v>
      </c>
      <c r="AI1296" s="76">
        <v>1139</v>
      </c>
      <c r="AJ1296" s="76">
        <v>2981</v>
      </c>
      <c r="AK1296" s="76">
        <v>100041</v>
      </c>
      <c r="AL1296" s="76" t="b">
        <v>0</v>
      </c>
      <c r="AM1296" s="78">
        <v>39730.813796296294</v>
      </c>
      <c r="AN1296" s="76" t="s">
        <v>14385</v>
      </c>
      <c r="AO1296" s="76" t="s">
        <v>25862</v>
      </c>
      <c r="AP1296" s="82" t="str">
        <f>HYPERLINK("https://t.co/FIKFMkkXc4")</f>
        <v>https://t.co/FIKFMkkXc4</v>
      </c>
      <c r="AQ1296" s="82" t="str">
        <f>HYPERLINK("http://amdelplata.com")</f>
        <v>http://amdelplata.com</v>
      </c>
      <c r="AR1296" s="76" t="s">
        <v>27057</v>
      </c>
      <c r="AS1296" s="76"/>
      <c r="AT1296" s="76"/>
      <c r="AU1296" s="76"/>
      <c r="AV1296" s="76"/>
      <c r="AW1296" s="82" t="str">
        <f>HYPERLINK("https://t.co/FIKFMkkXc4")</f>
        <v>https://t.co/FIKFMkkXc4</v>
      </c>
      <c r="AX1296" s="76" t="b">
        <v>0</v>
      </c>
      <c r="AY1296" s="76"/>
      <c r="AZ1296" s="76"/>
      <c r="BA1296" s="76" t="b">
        <v>0</v>
      </c>
      <c r="BB1296" s="76" t="b">
        <v>1</v>
      </c>
      <c r="BC1296" s="76" t="b">
        <v>0</v>
      </c>
      <c r="BD1296" s="76" t="b">
        <v>0</v>
      </c>
      <c r="BE1296" s="76" t="b">
        <v>1</v>
      </c>
      <c r="BF1296" s="76" t="b">
        <v>0</v>
      </c>
      <c r="BG1296" s="76" t="b">
        <v>0</v>
      </c>
      <c r="BH1296" s="82" t="str">
        <f>HYPERLINK("https://pbs.twimg.com/profile_banners/16672021/1616338093")</f>
        <v>https://pbs.twimg.com/profile_banners/16672021/1616338093</v>
      </c>
      <c r="BI1296" s="76"/>
      <c r="BJ1296" s="76" t="s">
        <v>27595</v>
      </c>
      <c r="BK1296" s="76" t="b">
        <v>0</v>
      </c>
      <c r="BL1296" s="76"/>
      <c r="BM1296" s="76" t="s">
        <v>66</v>
      </c>
      <c r="BN1296" s="76" t="s">
        <v>27597</v>
      </c>
      <c r="BO1296" s="82" t="str">
        <f>HYPERLINK("https://twitter.com/radiodelplata")</f>
        <v>https://twitter.com/radiodelplata</v>
      </c>
      <c r="BP1296" s="2"/>
    </row>
    <row r="1297" spans="1:68" x14ac:dyDescent="0.25">
      <c r="A1297" s="62" t="s">
        <v>1978</v>
      </c>
      <c r="B1297" s="63"/>
      <c r="C1297" s="63"/>
      <c r="D1297" s="64"/>
      <c r="E1297" s="66"/>
      <c r="F1297" s="103" t="str">
        <f>HYPERLINK("https://pbs.twimg.com/profile_images/1580918795706765312/yPFb-QA7_normal.jpg")</f>
        <v>https://pbs.twimg.com/profile_images/1580918795706765312/yPFb-QA7_normal.jpg</v>
      </c>
      <c r="G1297" s="63"/>
      <c r="H1297" s="67"/>
      <c r="I1297" s="68"/>
      <c r="J1297" s="68"/>
      <c r="K1297" s="67" t="s">
        <v>28891</v>
      </c>
      <c r="L1297" s="71"/>
      <c r="M1297" s="72"/>
      <c r="N1297" s="72"/>
      <c r="O1297" s="73"/>
      <c r="P1297" s="74"/>
      <c r="Q1297" s="74"/>
      <c r="R1297" s="87"/>
      <c r="S1297" s="87"/>
      <c r="T1297" s="87"/>
      <c r="U1297" s="87"/>
      <c r="V1297" s="48"/>
      <c r="W1297" s="48"/>
      <c r="X1297" s="48"/>
      <c r="Y1297" s="48"/>
      <c r="Z1297" s="47"/>
      <c r="AA1297" s="69">
        <v>1297</v>
      </c>
      <c r="AB1297" s="69"/>
      <c r="AC1297" s="70"/>
      <c r="AD1297" s="76" t="s">
        <v>22516</v>
      </c>
      <c r="AE1297" s="81" t="s">
        <v>20329</v>
      </c>
      <c r="AF1297" s="76">
        <v>359883</v>
      </c>
      <c r="AG1297" s="76">
        <v>26</v>
      </c>
      <c r="AH1297" s="76">
        <v>269432</v>
      </c>
      <c r="AI1297" s="76">
        <v>420</v>
      </c>
      <c r="AJ1297" s="76">
        <v>76651</v>
      </c>
      <c r="AK1297" s="76">
        <v>39536</v>
      </c>
      <c r="AL1297" s="76" t="b">
        <v>0</v>
      </c>
      <c r="AM1297" s="78">
        <v>40148.573784722219</v>
      </c>
      <c r="AN1297" s="76"/>
      <c r="AO1297" s="76" t="s">
        <v>25863</v>
      </c>
      <c r="AP1297" s="82" t="str">
        <f>HYPERLINK("https://t.co/UmfEpnSaNN")</f>
        <v>https://t.co/UmfEpnSaNN</v>
      </c>
      <c r="AQ1297" s="82" t="str">
        <f>HYPERLINK("https://inter.co/pra-voce/global-account/?utm_medium=social&amp;utm_source=Twitter&amp;utm_campaign=instituc")</f>
        <v>https://inter.co/pra-voce/global-account/?utm_medium=social&amp;utm_source=Twitter&amp;utm_campaign=instituc</v>
      </c>
      <c r="AR1297" s="76" t="s">
        <v>27058</v>
      </c>
      <c r="AS1297" s="76"/>
      <c r="AT1297" s="76"/>
      <c r="AU1297" s="76"/>
      <c r="AV1297" s="76">
        <v>1.68889714725555E+18</v>
      </c>
      <c r="AW1297" s="82" t="str">
        <f>HYPERLINK("https://t.co/UmfEpnSaNN")</f>
        <v>https://t.co/UmfEpnSaNN</v>
      </c>
      <c r="AX1297" s="76" t="b">
        <v>0</v>
      </c>
      <c r="AY1297" s="76"/>
      <c r="AZ1297" s="76"/>
      <c r="BA1297" s="76" t="b">
        <v>1</v>
      </c>
      <c r="BB1297" s="76" t="b">
        <v>1</v>
      </c>
      <c r="BC1297" s="76" t="b">
        <v>0</v>
      </c>
      <c r="BD1297" s="76" t="b">
        <v>0</v>
      </c>
      <c r="BE1297" s="76" t="b">
        <v>1</v>
      </c>
      <c r="BF1297" s="76" t="b">
        <v>0</v>
      </c>
      <c r="BG1297" s="76" t="b">
        <v>0</v>
      </c>
      <c r="BH1297" s="82" t="str">
        <f>HYPERLINK("https://pbs.twimg.com/profile_banners/93861945/1691496861")</f>
        <v>https://pbs.twimg.com/profile_banners/93861945/1691496861</v>
      </c>
      <c r="BI1297" s="76"/>
      <c r="BJ1297" s="76" t="s">
        <v>27595</v>
      </c>
      <c r="BK1297" s="76" t="b">
        <v>0</v>
      </c>
      <c r="BL1297" s="76"/>
      <c r="BM1297" s="76" t="s">
        <v>65</v>
      </c>
      <c r="BN1297" s="76" t="s">
        <v>27597</v>
      </c>
      <c r="BO1297" s="82" t="str">
        <f>HYPERLINK("https://twitter.com/interbr")</f>
        <v>https://twitter.com/interbr</v>
      </c>
      <c r="BP1297" s="2"/>
    </row>
    <row r="1298" spans="1:68" x14ac:dyDescent="0.25">
      <c r="A1298" s="62" t="s">
        <v>1186</v>
      </c>
      <c r="B1298" s="63"/>
      <c r="C1298" s="63"/>
      <c r="D1298" s="64"/>
      <c r="E1298" s="66"/>
      <c r="F1298" s="103" t="str">
        <f>HYPERLINK("https://pbs.twimg.com/profile_images/486122864844996608/SLWYENvs_normal.jpeg")</f>
        <v>https://pbs.twimg.com/profile_images/486122864844996608/SLWYENvs_normal.jpeg</v>
      </c>
      <c r="G1298" s="63"/>
      <c r="H1298" s="67"/>
      <c r="I1298" s="68"/>
      <c r="J1298" s="68"/>
      <c r="K1298" s="67" t="s">
        <v>28892</v>
      </c>
      <c r="L1298" s="71"/>
      <c r="M1298" s="72"/>
      <c r="N1298" s="72"/>
      <c r="O1298" s="73"/>
      <c r="P1298" s="74"/>
      <c r="Q1298" s="74"/>
      <c r="R1298" s="87"/>
      <c r="S1298" s="87"/>
      <c r="T1298" s="87"/>
      <c r="U1298" s="87"/>
      <c r="V1298" s="48"/>
      <c r="W1298" s="48"/>
      <c r="X1298" s="48"/>
      <c r="Y1298" s="48"/>
      <c r="Z1298" s="47"/>
      <c r="AA1298" s="69">
        <v>1298</v>
      </c>
      <c r="AB1298" s="69"/>
      <c r="AC1298" s="70"/>
      <c r="AD1298" s="76" t="s">
        <v>22517</v>
      </c>
      <c r="AE1298" s="81" t="s">
        <v>23747</v>
      </c>
      <c r="AF1298" s="76">
        <v>138</v>
      </c>
      <c r="AG1298" s="76">
        <v>657</v>
      </c>
      <c r="AH1298" s="76">
        <v>10956</v>
      </c>
      <c r="AI1298" s="76">
        <v>2</v>
      </c>
      <c r="AJ1298" s="76">
        <v>33442</v>
      </c>
      <c r="AK1298" s="76">
        <v>272</v>
      </c>
      <c r="AL1298" s="76" t="b">
        <v>0</v>
      </c>
      <c r="AM1298" s="78">
        <v>40242.236296296294</v>
      </c>
      <c r="AN1298" s="76" t="s">
        <v>24188</v>
      </c>
      <c r="AO1298" s="76" t="s">
        <v>25864</v>
      </c>
      <c r="AP1298" s="76"/>
      <c r="AQ1298" s="76"/>
      <c r="AR1298" s="76"/>
      <c r="AS1298" s="76"/>
      <c r="AT1298" s="76"/>
      <c r="AU1298" s="76"/>
      <c r="AV1298" s="76"/>
      <c r="AW1298" s="76"/>
      <c r="AX1298" s="76" t="b">
        <v>0</v>
      </c>
      <c r="AY1298" s="76"/>
      <c r="AZ1298" s="76"/>
      <c r="BA1298" s="76" t="b">
        <v>0</v>
      </c>
      <c r="BB1298" s="76" t="b">
        <v>0</v>
      </c>
      <c r="BC1298" s="76" t="b">
        <v>1</v>
      </c>
      <c r="BD1298" s="76" t="b">
        <v>0</v>
      </c>
      <c r="BE1298" s="76" t="b">
        <v>1</v>
      </c>
      <c r="BF1298" s="76" t="b">
        <v>0</v>
      </c>
      <c r="BG1298" s="76" t="b">
        <v>0</v>
      </c>
      <c r="BH1298" s="76"/>
      <c r="BI1298" s="76"/>
      <c r="BJ1298" s="76" t="s">
        <v>27595</v>
      </c>
      <c r="BK1298" s="76" t="b">
        <v>0</v>
      </c>
      <c r="BL1298" s="76"/>
      <c r="BM1298" s="76" t="s">
        <v>66</v>
      </c>
      <c r="BN1298" s="76" t="s">
        <v>27597</v>
      </c>
      <c r="BO1298" s="82" t="str">
        <f>HYPERLINK("https://twitter.com/nemocan")</f>
        <v>https://twitter.com/nemocan</v>
      </c>
      <c r="BP1298" s="2"/>
    </row>
    <row r="1299" spans="1:68" x14ac:dyDescent="0.25">
      <c r="A1299" s="62" t="s">
        <v>1187</v>
      </c>
      <c r="B1299" s="63"/>
      <c r="C1299" s="63"/>
      <c r="D1299" s="64"/>
      <c r="E1299" s="66"/>
      <c r="F1299" s="103" t="str">
        <f>HYPERLINK("https://pbs.twimg.com/profile_images/1610752748730843137/eIAJj2qU_normal.jpg")</f>
        <v>https://pbs.twimg.com/profile_images/1610752748730843137/eIAJj2qU_normal.jpg</v>
      </c>
      <c r="G1299" s="63"/>
      <c r="H1299" s="67"/>
      <c r="I1299" s="68"/>
      <c r="J1299" s="68"/>
      <c r="K1299" s="67" t="s">
        <v>28893</v>
      </c>
      <c r="L1299" s="71"/>
      <c r="M1299" s="72"/>
      <c r="N1299" s="72"/>
      <c r="O1299" s="73"/>
      <c r="P1299" s="74"/>
      <c r="Q1299" s="74"/>
      <c r="R1299" s="87"/>
      <c r="S1299" s="87"/>
      <c r="T1299" s="87"/>
      <c r="U1299" s="87"/>
      <c r="V1299" s="48"/>
      <c r="W1299" s="48"/>
      <c r="X1299" s="48"/>
      <c r="Y1299" s="48"/>
      <c r="Z1299" s="47"/>
      <c r="AA1299" s="69">
        <v>1299</v>
      </c>
      <c r="AB1299" s="69"/>
      <c r="AC1299" s="70"/>
      <c r="AD1299" s="76" t="s">
        <v>22518</v>
      </c>
      <c r="AE1299" s="81" t="s">
        <v>23748</v>
      </c>
      <c r="AF1299" s="76">
        <v>10877</v>
      </c>
      <c r="AG1299" s="76">
        <v>1554</v>
      </c>
      <c r="AH1299" s="76">
        <v>199948</v>
      </c>
      <c r="AI1299" s="76">
        <v>17</v>
      </c>
      <c r="AJ1299" s="76">
        <v>253519</v>
      </c>
      <c r="AK1299" s="76">
        <v>4915</v>
      </c>
      <c r="AL1299" s="76" t="b">
        <v>0</v>
      </c>
      <c r="AM1299" s="78">
        <v>40519.567870370367</v>
      </c>
      <c r="AN1299" s="76" t="s">
        <v>24522</v>
      </c>
      <c r="AO1299" s="76" t="s">
        <v>25865</v>
      </c>
      <c r="AP1299" s="76"/>
      <c r="AQ1299" s="76"/>
      <c r="AR1299" s="76"/>
      <c r="AS1299" s="76"/>
      <c r="AT1299" s="76"/>
      <c r="AU1299" s="76"/>
      <c r="AV1299" s="76"/>
      <c r="AW1299" s="76"/>
      <c r="AX1299" s="76" t="b">
        <v>0</v>
      </c>
      <c r="AY1299" s="76"/>
      <c r="AZ1299" s="76"/>
      <c r="BA1299" s="76" t="b">
        <v>0</v>
      </c>
      <c r="BB1299" s="76" t="b">
        <v>0</v>
      </c>
      <c r="BC1299" s="76" t="b">
        <v>0</v>
      </c>
      <c r="BD1299" s="76" t="b">
        <v>0</v>
      </c>
      <c r="BE1299" s="76" t="b">
        <v>1</v>
      </c>
      <c r="BF1299" s="76" t="b">
        <v>0</v>
      </c>
      <c r="BG1299" s="76" t="b">
        <v>0</v>
      </c>
      <c r="BH1299" s="82" t="str">
        <f>HYPERLINK("https://pbs.twimg.com/profile_banners/223841121/1672868250")</f>
        <v>https://pbs.twimg.com/profile_banners/223841121/1672868250</v>
      </c>
      <c r="BI1299" s="76"/>
      <c r="BJ1299" s="76" t="s">
        <v>27595</v>
      </c>
      <c r="BK1299" s="76" t="b">
        <v>0</v>
      </c>
      <c r="BL1299" s="76"/>
      <c r="BM1299" s="76" t="s">
        <v>66</v>
      </c>
      <c r="BN1299" s="76" t="s">
        <v>27597</v>
      </c>
      <c r="BO1299" s="82" t="str">
        <f>HYPERLINK("https://twitter.com/flamingleo727")</f>
        <v>https://twitter.com/flamingleo727</v>
      </c>
      <c r="BP1299" s="2"/>
    </row>
    <row r="1300" spans="1:68" x14ac:dyDescent="0.25">
      <c r="A1300" s="62" t="s">
        <v>1188</v>
      </c>
      <c r="B1300" s="63"/>
      <c r="C1300" s="63"/>
      <c r="D1300" s="64"/>
      <c r="E1300" s="66"/>
      <c r="F1300" s="103" t="str">
        <f>HYPERLINK("https://pbs.twimg.com/profile_images/1271990203922644992/Ti4s3BwT_normal.jpg")</f>
        <v>https://pbs.twimg.com/profile_images/1271990203922644992/Ti4s3BwT_normal.jpg</v>
      </c>
      <c r="G1300" s="63"/>
      <c r="H1300" s="67"/>
      <c r="I1300" s="68"/>
      <c r="J1300" s="68"/>
      <c r="K1300" s="67" t="s">
        <v>28894</v>
      </c>
      <c r="L1300" s="71"/>
      <c r="M1300" s="72"/>
      <c r="N1300" s="72"/>
      <c r="O1300" s="73"/>
      <c r="P1300" s="74"/>
      <c r="Q1300" s="74"/>
      <c r="R1300" s="87"/>
      <c r="S1300" s="87"/>
      <c r="T1300" s="87"/>
      <c r="U1300" s="87"/>
      <c r="V1300" s="48"/>
      <c r="W1300" s="48"/>
      <c r="X1300" s="48"/>
      <c r="Y1300" s="48"/>
      <c r="Z1300" s="47"/>
      <c r="AA1300" s="69">
        <v>1300</v>
      </c>
      <c r="AB1300" s="69"/>
      <c r="AC1300" s="70"/>
      <c r="AD1300" s="76" t="s">
        <v>22519</v>
      </c>
      <c r="AE1300" s="81" t="s">
        <v>20970</v>
      </c>
      <c r="AF1300" s="76">
        <v>912</v>
      </c>
      <c r="AG1300" s="76">
        <v>2</v>
      </c>
      <c r="AH1300" s="76">
        <v>7190</v>
      </c>
      <c r="AI1300" s="76">
        <v>2</v>
      </c>
      <c r="AJ1300" s="76">
        <v>6</v>
      </c>
      <c r="AK1300" s="76">
        <v>1615</v>
      </c>
      <c r="AL1300" s="76" t="b">
        <v>0</v>
      </c>
      <c r="AM1300" s="78">
        <v>43996.095370370371</v>
      </c>
      <c r="AN1300" s="76"/>
      <c r="AO1300" s="76" t="s">
        <v>25866</v>
      </c>
      <c r="AP1300" s="82" t="str">
        <f>HYPERLINK("https://t.co/FlCu6KvuXT")</f>
        <v>https://t.co/FlCu6KvuXT</v>
      </c>
      <c r="AQ1300" s="82" t="str">
        <f>HYPERLINK("https://www.pergaminovirtual.com.ar/")</f>
        <v>https://www.pergaminovirtual.com.ar/</v>
      </c>
      <c r="AR1300" s="76" t="s">
        <v>27059</v>
      </c>
      <c r="AS1300" s="76"/>
      <c r="AT1300" s="76"/>
      <c r="AU1300" s="76"/>
      <c r="AV1300" s="76"/>
      <c r="AW1300" s="82" t="str">
        <f>HYPERLINK("https://t.co/FlCu6KvuXT")</f>
        <v>https://t.co/FlCu6KvuXT</v>
      </c>
      <c r="AX1300" s="76" t="b">
        <v>0</v>
      </c>
      <c r="AY1300" s="76"/>
      <c r="AZ1300" s="76"/>
      <c r="BA1300" s="76" t="b">
        <v>0</v>
      </c>
      <c r="BB1300" s="76" t="b">
        <v>1</v>
      </c>
      <c r="BC1300" s="76" t="b">
        <v>1</v>
      </c>
      <c r="BD1300" s="76" t="b">
        <v>0</v>
      </c>
      <c r="BE1300" s="76" t="b">
        <v>0</v>
      </c>
      <c r="BF1300" s="76" t="b">
        <v>0</v>
      </c>
      <c r="BG1300" s="76" t="b">
        <v>0</v>
      </c>
      <c r="BH1300" s="76"/>
      <c r="BI1300" s="76"/>
      <c r="BJ1300" s="76" t="s">
        <v>27595</v>
      </c>
      <c r="BK1300" s="76" t="b">
        <v>0</v>
      </c>
      <c r="BL1300" s="76"/>
      <c r="BM1300" s="76" t="s">
        <v>66</v>
      </c>
      <c r="BN1300" s="76" t="s">
        <v>27597</v>
      </c>
      <c r="BO1300" s="82" t="str">
        <f>HYPERLINK("https://twitter.com/pergaminovirtu1")</f>
        <v>https://twitter.com/pergaminovirtu1</v>
      </c>
      <c r="BP1300" s="2"/>
    </row>
    <row r="1301" spans="1:68" x14ac:dyDescent="0.25">
      <c r="A1301" s="62" t="s">
        <v>1189</v>
      </c>
      <c r="B1301" s="63"/>
      <c r="C1301" s="63"/>
      <c r="D1301" s="64"/>
      <c r="E1301" s="66"/>
      <c r="F1301" s="103" t="str">
        <f>HYPERLINK("https://pbs.twimg.com/profile_images/857247836911669248/v_vwTHYh_normal.jpg")</f>
        <v>https://pbs.twimg.com/profile_images/857247836911669248/v_vwTHYh_normal.jpg</v>
      </c>
      <c r="G1301" s="63"/>
      <c r="H1301" s="67"/>
      <c r="I1301" s="68"/>
      <c r="J1301" s="68"/>
      <c r="K1301" s="67" t="s">
        <v>28895</v>
      </c>
      <c r="L1301" s="71"/>
      <c r="M1301" s="72"/>
      <c r="N1301" s="72"/>
      <c r="O1301" s="73"/>
      <c r="P1301" s="74"/>
      <c r="Q1301" s="74"/>
      <c r="R1301" s="87"/>
      <c r="S1301" s="87"/>
      <c r="T1301" s="87"/>
      <c r="U1301" s="87"/>
      <c r="V1301" s="48"/>
      <c r="W1301" s="48"/>
      <c r="X1301" s="48"/>
      <c r="Y1301" s="48"/>
      <c r="Z1301" s="47"/>
      <c r="AA1301" s="69">
        <v>1301</v>
      </c>
      <c r="AB1301" s="69"/>
      <c r="AC1301" s="70"/>
      <c r="AD1301" s="76" t="s">
        <v>22520</v>
      </c>
      <c r="AE1301" s="81" t="s">
        <v>23749</v>
      </c>
      <c r="AF1301" s="76">
        <v>6667</v>
      </c>
      <c r="AG1301" s="76">
        <v>3069</v>
      </c>
      <c r="AH1301" s="76">
        <v>181844</v>
      </c>
      <c r="AI1301" s="76">
        <v>35</v>
      </c>
      <c r="AJ1301" s="76">
        <v>7187</v>
      </c>
      <c r="AK1301" s="76">
        <v>100851</v>
      </c>
      <c r="AL1301" s="76" t="b">
        <v>0</v>
      </c>
      <c r="AM1301" s="78">
        <v>40884.773645833331</v>
      </c>
      <c r="AN1301" s="76"/>
      <c r="AO1301" s="76" t="s">
        <v>25867</v>
      </c>
      <c r="AP1301" s="82" t="str">
        <f>HYPERLINK("https://t.co/adh8Hhz4Uf")</f>
        <v>https://t.co/adh8Hhz4Uf</v>
      </c>
      <c r="AQ1301" s="82" t="str">
        <f>HYPERLINK("https://mptnoticias.com/inicio/")</f>
        <v>https://mptnoticias.com/inicio/</v>
      </c>
      <c r="AR1301" s="76" t="s">
        <v>27060</v>
      </c>
      <c r="AS1301" s="76"/>
      <c r="AT1301" s="76"/>
      <c r="AU1301" s="76"/>
      <c r="AV1301" s="76"/>
      <c r="AW1301" s="82" t="str">
        <f>HYPERLINK("https://t.co/adh8Hhz4Uf")</f>
        <v>https://t.co/adh8Hhz4Uf</v>
      </c>
      <c r="AX1301" s="76" t="b">
        <v>0</v>
      </c>
      <c r="AY1301" s="76"/>
      <c r="AZ1301" s="76"/>
      <c r="BA1301" s="76" t="b">
        <v>0</v>
      </c>
      <c r="BB1301" s="76" t="b">
        <v>1</v>
      </c>
      <c r="BC1301" s="76" t="b">
        <v>0</v>
      </c>
      <c r="BD1301" s="76" t="b">
        <v>0</v>
      </c>
      <c r="BE1301" s="76" t="b">
        <v>1</v>
      </c>
      <c r="BF1301" s="76" t="b">
        <v>0</v>
      </c>
      <c r="BG1301" s="76" t="b">
        <v>0</v>
      </c>
      <c r="BH1301" s="82" t="str">
        <f>HYPERLINK("https://pbs.twimg.com/profile_banners/430928385/1493218760")</f>
        <v>https://pbs.twimg.com/profile_banners/430928385/1493218760</v>
      </c>
      <c r="BI1301" s="76"/>
      <c r="BJ1301" s="76" t="s">
        <v>27595</v>
      </c>
      <c r="BK1301" s="76" t="b">
        <v>0</v>
      </c>
      <c r="BL1301" s="76"/>
      <c r="BM1301" s="76" t="s">
        <v>66</v>
      </c>
      <c r="BN1301" s="76" t="s">
        <v>27597</v>
      </c>
      <c r="BO1301" s="82" t="str">
        <f>HYPERLINK("https://twitter.com/misionesptodos")</f>
        <v>https://twitter.com/misionesptodos</v>
      </c>
      <c r="BP1301" s="2"/>
    </row>
    <row r="1302" spans="1:68" x14ac:dyDescent="0.25">
      <c r="A1302" s="62" t="s">
        <v>1190</v>
      </c>
      <c r="B1302" s="63"/>
      <c r="C1302" s="63"/>
      <c r="D1302" s="64"/>
      <c r="E1302" s="66"/>
      <c r="F1302" s="103" t="str">
        <f>HYPERLINK("https://pbs.twimg.com/profile_images/1376292116545077252/a_ccEzHr_normal.jpg")</f>
        <v>https://pbs.twimg.com/profile_images/1376292116545077252/a_ccEzHr_normal.jpg</v>
      </c>
      <c r="G1302" s="63"/>
      <c r="H1302" s="67"/>
      <c r="I1302" s="68"/>
      <c r="J1302" s="68"/>
      <c r="K1302" s="67" t="s">
        <v>28896</v>
      </c>
      <c r="L1302" s="71"/>
      <c r="M1302" s="72"/>
      <c r="N1302" s="72"/>
      <c r="O1302" s="73"/>
      <c r="P1302" s="74"/>
      <c r="Q1302" s="74"/>
      <c r="R1302" s="87"/>
      <c r="S1302" s="87"/>
      <c r="T1302" s="87"/>
      <c r="U1302" s="87"/>
      <c r="V1302" s="48"/>
      <c r="W1302" s="48"/>
      <c r="X1302" s="48"/>
      <c r="Y1302" s="48"/>
      <c r="Z1302" s="47"/>
      <c r="AA1302" s="69">
        <v>1302</v>
      </c>
      <c r="AB1302" s="69"/>
      <c r="AC1302" s="70"/>
      <c r="AD1302" s="76" t="s">
        <v>22521</v>
      </c>
      <c r="AE1302" s="81" t="s">
        <v>20971</v>
      </c>
      <c r="AF1302" s="76">
        <v>57</v>
      </c>
      <c r="AG1302" s="76">
        <v>384</v>
      </c>
      <c r="AH1302" s="76">
        <v>11353</v>
      </c>
      <c r="AI1302" s="76">
        <v>0</v>
      </c>
      <c r="AJ1302" s="76">
        <v>308</v>
      </c>
      <c r="AK1302" s="76">
        <v>585</v>
      </c>
      <c r="AL1302" s="76" t="b">
        <v>0</v>
      </c>
      <c r="AM1302" s="78">
        <v>43177.666307870371</v>
      </c>
      <c r="AN1302" s="76"/>
      <c r="AO1302" s="76" t="s">
        <v>25868</v>
      </c>
      <c r="AP1302" s="76"/>
      <c r="AQ1302" s="76"/>
      <c r="AR1302" s="76"/>
      <c r="AS1302" s="76"/>
      <c r="AT1302" s="76"/>
      <c r="AU1302" s="76"/>
      <c r="AV1302" s="76"/>
      <c r="AW1302" s="76"/>
      <c r="AX1302" s="76" t="b">
        <v>0</v>
      </c>
      <c r="AY1302" s="76"/>
      <c r="AZ1302" s="76"/>
      <c r="BA1302" s="76" t="b">
        <v>0</v>
      </c>
      <c r="BB1302" s="76" t="b">
        <v>1</v>
      </c>
      <c r="BC1302" s="76" t="b">
        <v>1</v>
      </c>
      <c r="BD1302" s="76" t="b">
        <v>0</v>
      </c>
      <c r="BE1302" s="76" t="b">
        <v>1</v>
      </c>
      <c r="BF1302" s="76" t="b">
        <v>0</v>
      </c>
      <c r="BG1302" s="76" t="b">
        <v>0</v>
      </c>
      <c r="BH1302" s="82" t="str">
        <f>HYPERLINK("https://pbs.twimg.com/profile_banners/975401309368147969/1544811542")</f>
        <v>https://pbs.twimg.com/profile_banners/975401309368147969/1544811542</v>
      </c>
      <c r="BI1302" s="76"/>
      <c r="BJ1302" s="76" t="s">
        <v>27595</v>
      </c>
      <c r="BK1302" s="76" t="b">
        <v>0</v>
      </c>
      <c r="BL1302" s="76"/>
      <c r="BM1302" s="76" t="s">
        <v>66</v>
      </c>
      <c r="BN1302" s="76" t="s">
        <v>27597</v>
      </c>
      <c r="BO1302" s="82" t="str">
        <f>HYPERLINK("https://twitter.com/araujosantosad1")</f>
        <v>https://twitter.com/araujosantosad1</v>
      </c>
      <c r="BP1302" s="2"/>
    </row>
    <row r="1303" spans="1:68" x14ac:dyDescent="0.25">
      <c r="A1303" s="62" t="s">
        <v>1191</v>
      </c>
      <c r="B1303" s="63"/>
      <c r="C1303" s="63"/>
      <c r="D1303" s="64"/>
      <c r="E1303" s="66"/>
      <c r="F1303" s="103" t="str">
        <f>HYPERLINK("https://pbs.twimg.com/profile_images/1601505429732851712/HPzMHI68_normal.png")</f>
        <v>https://pbs.twimg.com/profile_images/1601505429732851712/HPzMHI68_normal.png</v>
      </c>
      <c r="G1303" s="63"/>
      <c r="H1303" s="67"/>
      <c r="I1303" s="68"/>
      <c r="J1303" s="68"/>
      <c r="K1303" s="67" t="s">
        <v>28897</v>
      </c>
      <c r="L1303" s="71"/>
      <c r="M1303" s="72"/>
      <c r="N1303" s="72"/>
      <c r="O1303" s="73"/>
      <c r="P1303" s="74"/>
      <c r="Q1303" s="74"/>
      <c r="R1303" s="87"/>
      <c r="S1303" s="87"/>
      <c r="T1303" s="87"/>
      <c r="U1303" s="87"/>
      <c r="V1303" s="48"/>
      <c r="W1303" s="48"/>
      <c r="X1303" s="48"/>
      <c r="Y1303" s="48"/>
      <c r="Z1303" s="47"/>
      <c r="AA1303" s="69">
        <v>1303</v>
      </c>
      <c r="AB1303" s="69"/>
      <c r="AC1303" s="70"/>
      <c r="AD1303" s="76" t="s">
        <v>22522</v>
      </c>
      <c r="AE1303" s="81" t="s">
        <v>20972</v>
      </c>
      <c r="AF1303" s="76">
        <v>5</v>
      </c>
      <c r="AG1303" s="76">
        <v>79</v>
      </c>
      <c r="AH1303" s="76">
        <v>19</v>
      </c>
      <c r="AI1303" s="76">
        <v>1</v>
      </c>
      <c r="AJ1303" s="76">
        <v>5</v>
      </c>
      <c r="AK1303" s="76">
        <v>1</v>
      </c>
      <c r="AL1303" s="76" t="b">
        <v>0</v>
      </c>
      <c r="AM1303" s="78">
        <v>44905.384525462963</v>
      </c>
      <c r="AN1303" s="76"/>
      <c r="AO1303" s="76"/>
      <c r="AP1303" s="76"/>
      <c r="AQ1303" s="76"/>
      <c r="AR1303" s="76"/>
      <c r="AS1303" s="76"/>
      <c r="AT1303" s="76"/>
      <c r="AU1303" s="76"/>
      <c r="AV1303" s="76"/>
      <c r="AW1303" s="76"/>
      <c r="AX1303" s="76" t="b">
        <v>0</v>
      </c>
      <c r="AY1303" s="76"/>
      <c r="AZ1303" s="76"/>
      <c r="BA1303" s="76" t="b">
        <v>0</v>
      </c>
      <c r="BB1303" s="76" t="b">
        <v>1</v>
      </c>
      <c r="BC1303" s="76" t="b">
        <v>1</v>
      </c>
      <c r="BD1303" s="76" t="b">
        <v>0</v>
      </c>
      <c r="BE1303" s="76" t="b">
        <v>0</v>
      </c>
      <c r="BF1303" s="76" t="b">
        <v>0</v>
      </c>
      <c r="BG1303" s="76" t="b">
        <v>0</v>
      </c>
      <c r="BH1303" s="76"/>
      <c r="BI1303" s="76"/>
      <c r="BJ1303" s="76" t="s">
        <v>27595</v>
      </c>
      <c r="BK1303" s="76" t="b">
        <v>0</v>
      </c>
      <c r="BL1303" s="76"/>
      <c r="BM1303" s="76" t="s">
        <v>66</v>
      </c>
      <c r="BN1303" s="76" t="s">
        <v>27597</v>
      </c>
      <c r="BO1303" s="82" t="str">
        <f>HYPERLINK("https://twitter.com/duarte3_alcy")</f>
        <v>https://twitter.com/duarte3_alcy</v>
      </c>
      <c r="BP1303" s="2"/>
    </row>
    <row r="1304" spans="1:68" x14ac:dyDescent="0.25">
      <c r="A1304" s="62" t="s">
        <v>1192</v>
      </c>
      <c r="B1304" s="63"/>
      <c r="C1304" s="63"/>
      <c r="D1304" s="64"/>
      <c r="E1304" s="66"/>
      <c r="F1304" s="103" t="str">
        <f>HYPERLINK("https://pbs.twimg.com/profile_images/1331219118796787716/xi-bcfdj_normal.jpg")</f>
        <v>https://pbs.twimg.com/profile_images/1331219118796787716/xi-bcfdj_normal.jpg</v>
      </c>
      <c r="G1304" s="63"/>
      <c r="H1304" s="67"/>
      <c r="I1304" s="68"/>
      <c r="J1304" s="68"/>
      <c r="K1304" s="67" t="s">
        <v>28898</v>
      </c>
      <c r="L1304" s="71"/>
      <c r="M1304" s="72"/>
      <c r="N1304" s="72"/>
      <c r="O1304" s="73"/>
      <c r="P1304" s="74"/>
      <c r="Q1304" s="74"/>
      <c r="R1304" s="87"/>
      <c r="S1304" s="87"/>
      <c r="T1304" s="87"/>
      <c r="U1304" s="87"/>
      <c r="V1304" s="48"/>
      <c r="W1304" s="48"/>
      <c r="X1304" s="48"/>
      <c r="Y1304" s="48"/>
      <c r="Z1304" s="47"/>
      <c r="AA1304" s="69">
        <v>1304</v>
      </c>
      <c r="AB1304" s="69"/>
      <c r="AC1304" s="70"/>
      <c r="AD1304" s="76" t="s">
        <v>22523</v>
      </c>
      <c r="AE1304" s="81" t="s">
        <v>23750</v>
      </c>
      <c r="AF1304" s="76">
        <v>7478</v>
      </c>
      <c r="AG1304" s="76">
        <v>614</v>
      </c>
      <c r="AH1304" s="76">
        <v>60920</v>
      </c>
      <c r="AI1304" s="76">
        <v>69</v>
      </c>
      <c r="AJ1304" s="76">
        <v>793</v>
      </c>
      <c r="AK1304" s="76">
        <v>14846</v>
      </c>
      <c r="AL1304" s="76" t="b">
        <v>0</v>
      </c>
      <c r="AM1304" s="78">
        <v>41529.517476851855</v>
      </c>
      <c r="AN1304" s="76" t="s">
        <v>24523</v>
      </c>
      <c r="AO1304" s="76" t="s">
        <v>25869</v>
      </c>
      <c r="AP1304" s="82" t="str">
        <f>HYPERLINK("https://t.co/kUrAqernhY")</f>
        <v>https://t.co/kUrAqernhY</v>
      </c>
      <c r="AQ1304" s="82" t="str">
        <f>HYPERLINK("http://amazonasatual.com.br")</f>
        <v>http://amazonasatual.com.br</v>
      </c>
      <c r="AR1304" s="76" t="s">
        <v>27061</v>
      </c>
      <c r="AS1304" s="82" t="str">
        <f>HYPERLINK("https://t.co/mTdSj1EhJW")</f>
        <v>https://t.co/mTdSj1EhJW</v>
      </c>
      <c r="AT1304" s="82" t="str">
        <f>HYPERLINK("http://t.me/amazonas_atual")</f>
        <v>http://t.me/amazonas_atual</v>
      </c>
      <c r="AU1304" s="76" t="s">
        <v>27537</v>
      </c>
      <c r="AV1304" s="76"/>
      <c r="AW1304" s="82" t="str">
        <f>HYPERLINK("https://t.co/kUrAqernhY")</f>
        <v>https://t.co/kUrAqernhY</v>
      </c>
      <c r="AX1304" s="76" t="b">
        <v>1</v>
      </c>
      <c r="AY1304" s="76"/>
      <c r="AZ1304" s="76"/>
      <c r="BA1304" s="76" t="b">
        <v>1</v>
      </c>
      <c r="BB1304" s="76" t="b">
        <v>1</v>
      </c>
      <c r="BC1304" s="76" t="b">
        <v>0</v>
      </c>
      <c r="BD1304" s="76" t="b">
        <v>0</v>
      </c>
      <c r="BE1304" s="76" t="b">
        <v>1</v>
      </c>
      <c r="BF1304" s="76" t="b">
        <v>0</v>
      </c>
      <c r="BG1304" s="76" t="b">
        <v>0</v>
      </c>
      <c r="BH1304" s="82" t="str">
        <f>HYPERLINK("https://pbs.twimg.com/profile_banners/1857286891/1690483246")</f>
        <v>https://pbs.twimg.com/profile_banners/1857286891/1690483246</v>
      </c>
      <c r="BI1304" s="76"/>
      <c r="BJ1304" s="76" t="s">
        <v>27595</v>
      </c>
      <c r="BK1304" s="76" t="b">
        <v>0</v>
      </c>
      <c r="BL1304" s="76"/>
      <c r="BM1304" s="76" t="s">
        <v>66</v>
      </c>
      <c r="BN1304" s="76" t="s">
        <v>27597</v>
      </c>
      <c r="BO1304" s="82" t="str">
        <f>HYPERLINK("https://twitter.com/amazonasatual")</f>
        <v>https://twitter.com/amazonasatual</v>
      </c>
      <c r="BP1304" s="2"/>
    </row>
    <row r="1305" spans="1:68" x14ac:dyDescent="0.25">
      <c r="A1305" s="62" t="s">
        <v>1193</v>
      </c>
      <c r="B1305" s="63"/>
      <c r="C1305" s="63"/>
      <c r="D1305" s="64"/>
      <c r="E1305" s="66"/>
      <c r="F1305" s="103" t="str">
        <f>HYPERLINK("https://pbs.twimg.com/profile_images/1410742656532164608/_SQ-dzTk_normal.jpg")</f>
        <v>https://pbs.twimg.com/profile_images/1410742656532164608/_SQ-dzTk_normal.jpg</v>
      </c>
      <c r="G1305" s="63"/>
      <c r="H1305" s="67"/>
      <c r="I1305" s="68"/>
      <c r="J1305" s="68"/>
      <c r="K1305" s="67" t="s">
        <v>28899</v>
      </c>
      <c r="L1305" s="71"/>
      <c r="M1305" s="72"/>
      <c r="N1305" s="72"/>
      <c r="O1305" s="73"/>
      <c r="P1305" s="74"/>
      <c r="Q1305" s="74"/>
      <c r="R1305" s="87"/>
      <c r="S1305" s="87"/>
      <c r="T1305" s="87"/>
      <c r="U1305" s="87"/>
      <c r="V1305" s="48"/>
      <c r="W1305" s="48"/>
      <c r="X1305" s="48"/>
      <c r="Y1305" s="48"/>
      <c r="Z1305" s="47"/>
      <c r="AA1305" s="69">
        <v>1305</v>
      </c>
      <c r="AB1305" s="69"/>
      <c r="AC1305" s="70"/>
      <c r="AD1305" s="76" t="s">
        <v>22524</v>
      </c>
      <c r="AE1305" s="81" t="s">
        <v>23751</v>
      </c>
      <c r="AF1305" s="76">
        <v>17202</v>
      </c>
      <c r="AG1305" s="76">
        <v>6519</v>
      </c>
      <c r="AH1305" s="76">
        <v>56261</v>
      </c>
      <c r="AI1305" s="76">
        <v>96</v>
      </c>
      <c r="AJ1305" s="76">
        <v>31917</v>
      </c>
      <c r="AK1305" s="76">
        <v>3111</v>
      </c>
      <c r="AL1305" s="76" t="b">
        <v>0</v>
      </c>
      <c r="AM1305" s="78">
        <v>39989.611863425926</v>
      </c>
      <c r="AN1305" s="76" t="s">
        <v>14386</v>
      </c>
      <c r="AO1305" s="76" t="s">
        <v>25870</v>
      </c>
      <c r="AP1305" s="82" t="str">
        <f>HYPERLINK("https://t.co/fkxLD5IHeM")</f>
        <v>https://t.co/fkxLD5IHeM</v>
      </c>
      <c r="AQ1305" s="82" t="str">
        <f>HYPERLINK("https://www.twitter.com/politica2chile")</f>
        <v>https://www.twitter.com/politica2chile</v>
      </c>
      <c r="AR1305" s="76" t="s">
        <v>27062</v>
      </c>
      <c r="AS1305" s="76"/>
      <c r="AT1305" s="76"/>
      <c r="AU1305" s="76"/>
      <c r="AV1305" s="76"/>
      <c r="AW1305" s="82" t="str">
        <f>HYPERLINK("https://t.co/fkxLD5IHeM")</f>
        <v>https://t.co/fkxLD5IHeM</v>
      </c>
      <c r="AX1305" s="76" t="b">
        <v>0</v>
      </c>
      <c r="AY1305" s="76"/>
      <c r="AZ1305" s="76"/>
      <c r="BA1305" s="76" t="b">
        <v>0</v>
      </c>
      <c r="BB1305" s="76" t="b">
        <v>1</v>
      </c>
      <c r="BC1305" s="76" t="b">
        <v>0</v>
      </c>
      <c r="BD1305" s="76" t="b">
        <v>0</v>
      </c>
      <c r="BE1305" s="76" t="b">
        <v>1</v>
      </c>
      <c r="BF1305" s="76" t="b">
        <v>0</v>
      </c>
      <c r="BG1305" s="76" t="b">
        <v>0</v>
      </c>
      <c r="BH1305" s="82" t="str">
        <f>HYPERLINK("https://pbs.twimg.com/profile_banners/50663227/1625181675")</f>
        <v>https://pbs.twimg.com/profile_banners/50663227/1625181675</v>
      </c>
      <c r="BI1305" s="76"/>
      <c r="BJ1305" s="76" t="s">
        <v>27595</v>
      </c>
      <c r="BK1305" s="76" t="b">
        <v>0</v>
      </c>
      <c r="BL1305" s="76"/>
      <c r="BM1305" s="76" t="s">
        <v>66</v>
      </c>
      <c r="BN1305" s="76" t="s">
        <v>27597</v>
      </c>
      <c r="BO1305" s="82" t="str">
        <f>HYPERLINK("https://twitter.com/politica2chile")</f>
        <v>https://twitter.com/politica2chile</v>
      </c>
      <c r="BP1305" s="2"/>
    </row>
    <row r="1306" spans="1:68" x14ac:dyDescent="0.25">
      <c r="A1306" s="62" t="s">
        <v>1194</v>
      </c>
      <c r="B1306" s="63"/>
      <c r="C1306" s="63"/>
      <c r="D1306" s="64"/>
      <c r="E1306" s="66"/>
      <c r="F1306" s="103" t="str">
        <f>HYPERLINK("https://pbs.twimg.com/profile_images/856697634643468289/sKR63a5j_normal.jpg")</f>
        <v>https://pbs.twimg.com/profile_images/856697634643468289/sKR63a5j_normal.jpg</v>
      </c>
      <c r="G1306" s="63"/>
      <c r="H1306" s="67"/>
      <c r="I1306" s="68"/>
      <c r="J1306" s="68"/>
      <c r="K1306" s="67" t="s">
        <v>28900</v>
      </c>
      <c r="L1306" s="71"/>
      <c r="M1306" s="72"/>
      <c r="N1306" s="72"/>
      <c r="O1306" s="73"/>
      <c r="P1306" s="74"/>
      <c r="Q1306" s="74"/>
      <c r="R1306" s="87"/>
      <c r="S1306" s="87"/>
      <c r="T1306" s="87"/>
      <c r="U1306" s="87"/>
      <c r="V1306" s="48"/>
      <c r="W1306" s="48"/>
      <c r="X1306" s="48"/>
      <c r="Y1306" s="48"/>
      <c r="Z1306" s="47"/>
      <c r="AA1306" s="69">
        <v>1306</v>
      </c>
      <c r="AB1306" s="69"/>
      <c r="AC1306" s="70"/>
      <c r="AD1306" s="76" t="s">
        <v>22525</v>
      </c>
      <c r="AE1306" s="81" t="s">
        <v>23752</v>
      </c>
      <c r="AF1306" s="76">
        <v>234</v>
      </c>
      <c r="AG1306" s="76">
        <v>580</v>
      </c>
      <c r="AH1306" s="76">
        <v>8957</v>
      </c>
      <c r="AI1306" s="76">
        <v>1</v>
      </c>
      <c r="AJ1306" s="76">
        <v>6123</v>
      </c>
      <c r="AK1306" s="76">
        <v>460</v>
      </c>
      <c r="AL1306" s="76" t="b">
        <v>0</v>
      </c>
      <c r="AM1306" s="78">
        <v>41187.51835648148</v>
      </c>
      <c r="AN1306" s="76" t="s">
        <v>24524</v>
      </c>
      <c r="AO1306" s="76" t="s">
        <v>25871</v>
      </c>
      <c r="AP1306" s="76"/>
      <c r="AQ1306" s="76"/>
      <c r="AR1306" s="76"/>
      <c r="AS1306" s="76"/>
      <c r="AT1306" s="76"/>
      <c r="AU1306" s="76"/>
      <c r="AV1306" s="76">
        <v>1.7073778714197801E+18</v>
      </c>
      <c r="AW1306" s="76"/>
      <c r="AX1306" s="76" t="b">
        <v>0</v>
      </c>
      <c r="AY1306" s="76"/>
      <c r="AZ1306" s="76"/>
      <c r="BA1306" s="76" t="b">
        <v>1</v>
      </c>
      <c r="BB1306" s="76" t="b">
        <v>0</v>
      </c>
      <c r="BC1306" s="76" t="b">
        <v>0</v>
      </c>
      <c r="BD1306" s="76" t="b">
        <v>0</v>
      </c>
      <c r="BE1306" s="76" t="b">
        <v>1</v>
      </c>
      <c r="BF1306" s="76" t="b">
        <v>0</v>
      </c>
      <c r="BG1306" s="76" t="b">
        <v>0</v>
      </c>
      <c r="BH1306" s="82" t="str">
        <f>HYPERLINK("https://pbs.twimg.com/profile_banners/862965530/1680761806")</f>
        <v>https://pbs.twimg.com/profile_banners/862965530/1680761806</v>
      </c>
      <c r="BI1306" s="76"/>
      <c r="BJ1306" s="76" t="s">
        <v>27595</v>
      </c>
      <c r="BK1306" s="76" t="b">
        <v>0</v>
      </c>
      <c r="BL1306" s="76"/>
      <c r="BM1306" s="76" t="s">
        <v>66</v>
      </c>
      <c r="BN1306" s="76" t="s">
        <v>27597</v>
      </c>
      <c r="BO1306" s="82" t="str">
        <f>HYPERLINK("https://twitter.com/1710ariana")</f>
        <v>https://twitter.com/1710ariana</v>
      </c>
      <c r="BP1306" s="2"/>
    </row>
    <row r="1307" spans="1:68" x14ac:dyDescent="0.25">
      <c r="A1307" s="62" t="s">
        <v>1979</v>
      </c>
      <c r="B1307" s="63"/>
      <c r="C1307" s="63"/>
      <c r="D1307" s="64"/>
      <c r="E1307" s="66"/>
      <c r="F1307" s="103" t="str">
        <f>HYPERLINK("https://pbs.twimg.com/profile_images/1690750324057821186/krq0kBiM_normal.jpg")</f>
        <v>https://pbs.twimg.com/profile_images/1690750324057821186/krq0kBiM_normal.jpg</v>
      </c>
      <c r="G1307" s="63"/>
      <c r="H1307" s="67"/>
      <c r="I1307" s="68"/>
      <c r="J1307" s="68"/>
      <c r="K1307" s="67" t="s">
        <v>28901</v>
      </c>
      <c r="L1307" s="71"/>
      <c r="M1307" s="72"/>
      <c r="N1307" s="72"/>
      <c r="O1307" s="73"/>
      <c r="P1307" s="74"/>
      <c r="Q1307" s="74"/>
      <c r="R1307" s="87"/>
      <c r="S1307" s="87"/>
      <c r="T1307" s="87"/>
      <c r="U1307" s="87"/>
      <c r="V1307" s="48"/>
      <c r="W1307" s="48"/>
      <c r="X1307" s="48"/>
      <c r="Y1307" s="48"/>
      <c r="Z1307" s="47"/>
      <c r="AA1307" s="69">
        <v>1307</v>
      </c>
      <c r="AB1307" s="69"/>
      <c r="AC1307" s="70"/>
      <c r="AD1307" s="76" t="s">
        <v>22526</v>
      </c>
      <c r="AE1307" s="81" t="s">
        <v>23753</v>
      </c>
      <c r="AF1307" s="76">
        <v>3377</v>
      </c>
      <c r="AG1307" s="76">
        <v>4204</v>
      </c>
      <c r="AH1307" s="76">
        <v>57570</v>
      </c>
      <c r="AI1307" s="76">
        <v>31</v>
      </c>
      <c r="AJ1307" s="76">
        <v>5241</v>
      </c>
      <c r="AK1307" s="76">
        <v>18534</v>
      </c>
      <c r="AL1307" s="76" t="b">
        <v>0</v>
      </c>
      <c r="AM1307" s="78">
        <v>40922.889016203706</v>
      </c>
      <c r="AN1307" s="76" t="s">
        <v>24525</v>
      </c>
      <c r="AO1307" s="76" t="s">
        <v>25872</v>
      </c>
      <c r="AP1307" s="82" t="str">
        <f>HYPERLINK("https://t.co/0NHA2ACFB6")</f>
        <v>https://t.co/0NHA2ACFB6</v>
      </c>
      <c r="AQ1307" s="82" t="str">
        <f>HYPERLINK("https://srradio.com.ec")</f>
        <v>https://srradio.com.ec</v>
      </c>
      <c r="AR1307" s="76" t="s">
        <v>27063</v>
      </c>
      <c r="AS1307" s="76"/>
      <c r="AT1307" s="76"/>
      <c r="AU1307" s="76"/>
      <c r="AV1307" s="76"/>
      <c r="AW1307" s="82" t="str">
        <f>HYPERLINK("https://t.co/0NHA2ACFB6")</f>
        <v>https://t.co/0NHA2ACFB6</v>
      </c>
      <c r="AX1307" s="76" t="b">
        <v>0</v>
      </c>
      <c r="AY1307" s="76"/>
      <c r="AZ1307" s="76"/>
      <c r="BA1307" s="76" t="b">
        <v>1</v>
      </c>
      <c r="BB1307" s="76" t="b">
        <v>1</v>
      </c>
      <c r="BC1307" s="76" t="b">
        <v>1</v>
      </c>
      <c r="BD1307" s="76" t="b">
        <v>0</v>
      </c>
      <c r="BE1307" s="76" t="b">
        <v>1</v>
      </c>
      <c r="BF1307" s="76" t="b">
        <v>0</v>
      </c>
      <c r="BG1307" s="76" t="b">
        <v>0</v>
      </c>
      <c r="BH1307" s="82" t="str">
        <f>HYPERLINK("https://pbs.twimg.com/profile_banners/464111611/1524408105")</f>
        <v>https://pbs.twimg.com/profile_banners/464111611/1524408105</v>
      </c>
      <c r="BI1307" s="76"/>
      <c r="BJ1307" s="76" t="s">
        <v>27595</v>
      </c>
      <c r="BK1307" s="76" t="b">
        <v>0</v>
      </c>
      <c r="BL1307" s="76"/>
      <c r="BM1307" s="76" t="s">
        <v>65</v>
      </c>
      <c r="BN1307" s="76" t="s">
        <v>27597</v>
      </c>
      <c r="BO1307" s="82" t="str">
        <f>HYPERLINK("https://twitter.com/srradioec")</f>
        <v>https://twitter.com/srradioec</v>
      </c>
      <c r="BP1307" s="2"/>
    </row>
    <row r="1308" spans="1:68" x14ac:dyDescent="0.25">
      <c r="A1308" s="62" t="s">
        <v>1980</v>
      </c>
      <c r="B1308" s="63"/>
      <c r="C1308" s="63"/>
      <c r="D1308" s="64"/>
      <c r="E1308" s="66"/>
      <c r="F1308" s="103" t="str">
        <f>HYPERLINK("https://pbs.twimg.com/profile_images/1642903156198604802/9iZdQUTl_normal.jpg")</f>
        <v>https://pbs.twimg.com/profile_images/1642903156198604802/9iZdQUTl_normal.jpg</v>
      </c>
      <c r="G1308" s="63"/>
      <c r="H1308" s="67"/>
      <c r="I1308" s="68"/>
      <c r="J1308" s="68"/>
      <c r="K1308" s="67" t="s">
        <v>28902</v>
      </c>
      <c r="L1308" s="71"/>
      <c r="M1308" s="72"/>
      <c r="N1308" s="72"/>
      <c r="O1308" s="73"/>
      <c r="P1308" s="74"/>
      <c r="Q1308" s="74"/>
      <c r="R1308" s="87"/>
      <c r="S1308" s="87"/>
      <c r="T1308" s="87"/>
      <c r="U1308" s="87"/>
      <c r="V1308" s="48"/>
      <c r="W1308" s="48"/>
      <c r="X1308" s="48"/>
      <c r="Y1308" s="48"/>
      <c r="Z1308" s="47"/>
      <c r="AA1308" s="69">
        <v>1308</v>
      </c>
      <c r="AB1308" s="69"/>
      <c r="AC1308" s="70"/>
      <c r="AD1308" s="76" t="s">
        <v>22527</v>
      </c>
      <c r="AE1308" s="81" t="s">
        <v>23754</v>
      </c>
      <c r="AF1308" s="76">
        <v>10436</v>
      </c>
      <c r="AG1308" s="76">
        <v>104</v>
      </c>
      <c r="AH1308" s="76">
        <v>8393</v>
      </c>
      <c r="AI1308" s="76">
        <v>28</v>
      </c>
      <c r="AJ1308" s="76">
        <v>358</v>
      </c>
      <c r="AK1308" s="76">
        <v>6719</v>
      </c>
      <c r="AL1308" s="76" t="b">
        <v>0</v>
      </c>
      <c r="AM1308" s="78">
        <v>44120.2028587963</v>
      </c>
      <c r="AN1308" s="76" t="s">
        <v>24526</v>
      </c>
      <c r="AO1308" s="76" t="s">
        <v>25873</v>
      </c>
      <c r="AP1308" s="82" t="str">
        <f>HYPERLINK("https://t.co/3WrEeuEeLi")</f>
        <v>https://t.co/3WrEeuEeLi</v>
      </c>
      <c r="AQ1308" s="82" t="str">
        <f>HYPERLINK("http://www.cpccs.gob.ec")</f>
        <v>http://www.cpccs.gob.ec</v>
      </c>
      <c r="AR1308" s="76" t="s">
        <v>27064</v>
      </c>
      <c r="AS1308" s="76"/>
      <c r="AT1308" s="76"/>
      <c r="AU1308" s="76"/>
      <c r="AV1308" s="76">
        <v>1.70710169356381E+18</v>
      </c>
      <c r="AW1308" s="82" t="str">
        <f>HYPERLINK("https://t.co/3WrEeuEeLi")</f>
        <v>https://t.co/3WrEeuEeLi</v>
      </c>
      <c r="AX1308" s="76" t="b">
        <v>0</v>
      </c>
      <c r="AY1308" s="76"/>
      <c r="AZ1308" s="76"/>
      <c r="BA1308" s="76" t="b">
        <v>0</v>
      </c>
      <c r="BB1308" s="76" t="b">
        <v>1</v>
      </c>
      <c r="BC1308" s="76" t="b">
        <v>1</v>
      </c>
      <c r="BD1308" s="76" t="b">
        <v>0</v>
      </c>
      <c r="BE1308" s="76" t="b">
        <v>1</v>
      </c>
      <c r="BF1308" s="76" t="b">
        <v>0</v>
      </c>
      <c r="BG1308" s="76" t="b">
        <v>0</v>
      </c>
      <c r="BH1308" s="82" t="str">
        <f>HYPERLINK("https://pbs.twimg.com/profile_banners/1316964650836164610/1660664226")</f>
        <v>https://pbs.twimg.com/profile_banners/1316964650836164610/1660664226</v>
      </c>
      <c r="BI1308" s="76"/>
      <c r="BJ1308" s="76" t="s">
        <v>27595</v>
      </c>
      <c r="BK1308" s="76" t="b">
        <v>0</v>
      </c>
      <c r="BL1308" s="76"/>
      <c r="BM1308" s="76" t="s">
        <v>65</v>
      </c>
      <c r="BN1308" s="76" t="s">
        <v>27597</v>
      </c>
      <c r="BO1308" s="82" t="str">
        <f>HYPERLINK("https://twitter.com/cpccsec")</f>
        <v>https://twitter.com/cpccsec</v>
      </c>
      <c r="BP1308" s="2"/>
    </row>
    <row r="1309" spans="1:68" x14ac:dyDescent="0.25">
      <c r="A1309" s="62" t="s">
        <v>1981</v>
      </c>
      <c r="B1309" s="63"/>
      <c r="C1309" s="63"/>
      <c r="D1309" s="64"/>
      <c r="E1309" s="66"/>
      <c r="F1309" s="103" t="str">
        <f>HYPERLINK("https://pbs.twimg.com/profile_images/1691500184209870848/HJAiXdIx_normal.jpg")</f>
        <v>https://pbs.twimg.com/profile_images/1691500184209870848/HJAiXdIx_normal.jpg</v>
      </c>
      <c r="G1309" s="63"/>
      <c r="H1309" s="67"/>
      <c r="I1309" s="68"/>
      <c r="J1309" s="68"/>
      <c r="K1309" s="67" t="s">
        <v>28903</v>
      </c>
      <c r="L1309" s="71"/>
      <c r="M1309" s="72"/>
      <c r="N1309" s="72"/>
      <c r="O1309" s="73"/>
      <c r="P1309" s="74"/>
      <c r="Q1309" s="74"/>
      <c r="R1309" s="87"/>
      <c r="S1309" s="87"/>
      <c r="T1309" s="87"/>
      <c r="U1309" s="87"/>
      <c r="V1309" s="48"/>
      <c r="W1309" s="48"/>
      <c r="X1309" s="48"/>
      <c r="Y1309" s="48"/>
      <c r="Z1309" s="47"/>
      <c r="AA1309" s="69">
        <v>1309</v>
      </c>
      <c r="AB1309" s="69"/>
      <c r="AC1309" s="70"/>
      <c r="AD1309" s="76" t="s">
        <v>22528</v>
      </c>
      <c r="AE1309" s="81" t="s">
        <v>23755</v>
      </c>
      <c r="AF1309" s="76">
        <v>1356744</v>
      </c>
      <c r="AG1309" s="76">
        <v>1390</v>
      </c>
      <c r="AH1309" s="76">
        <v>32690</v>
      </c>
      <c r="AI1309" s="76">
        <v>1408</v>
      </c>
      <c r="AJ1309" s="76">
        <v>1374</v>
      </c>
      <c r="AK1309" s="76">
        <v>9258</v>
      </c>
      <c r="AL1309" s="76" t="b">
        <v>0</v>
      </c>
      <c r="AM1309" s="78">
        <v>40680.742696759262</v>
      </c>
      <c r="AN1309" s="76"/>
      <c r="AO1309" s="76" t="s">
        <v>25874</v>
      </c>
      <c r="AP1309" s="76"/>
      <c r="AQ1309" s="76"/>
      <c r="AR1309" s="76"/>
      <c r="AS1309" s="76"/>
      <c r="AT1309" s="76"/>
      <c r="AU1309" s="76"/>
      <c r="AV1309" s="76"/>
      <c r="AW1309" s="76"/>
      <c r="AX1309" s="76" t="b">
        <v>1</v>
      </c>
      <c r="AY1309" s="76"/>
      <c r="AZ1309" s="76"/>
      <c r="BA1309" s="76" t="b">
        <v>0</v>
      </c>
      <c r="BB1309" s="76" t="b">
        <v>0</v>
      </c>
      <c r="BC1309" s="76" t="b">
        <v>0</v>
      </c>
      <c r="BD1309" s="76" t="b">
        <v>0</v>
      </c>
      <c r="BE1309" s="76" t="b">
        <v>1</v>
      </c>
      <c r="BF1309" s="76" t="b">
        <v>0</v>
      </c>
      <c r="BG1309" s="76" t="b">
        <v>0</v>
      </c>
      <c r="BH1309" s="82" t="str">
        <f>HYPERLINK("https://pbs.twimg.com/profile_banners/300390462/1687321835")</f>
        <v>https://pbs.twimg.com/profile_banners/300390462/1687321835</v>
      </c>
      <c r="BI1309" s="76"/>
      <c r="BJ1309" s="76" t="s">
        <v>27595</v>
      </c>
      <c r="BK1309" s="76" t="b">
        <v>0</v>
      </c>
      <c r="BL1309" s="76"/>
      <c r="BM1309" s="76" t="s">
        <v>65</v>
      </c>
      <c r="BN1309" s="76" t="s">
        <v>27597</v>
      </c>
      <c r="BO1309" s="82" t="str">
        <f>HYPERLINK("https://twitter.com/lassoguillermo")</f>
        <v>https://twitter.com/lassoguillermo</v>
      </c>
      <c r="BP1309" s="2"/>
    </row>
    <row r="1310" spans="1:68" x14ac:dyDescent="0.25">
      <c r="A1310" s="62" t="s">
        <v>1196</v>
      </c>
      <c r="B1310" s="63"/>
      <c r="C1310" s="63"/>
      <c r="D1310" s="64"/>
      <c r="E1310" s="66"/>
      <c r="F1310" s="103" t="str">
        <f>HYPERLINK("https://pbs.twimg.com/profile_images/1650966257275994112/kyr0G21S_normal.jpg")</f>
        <v>https://pbs.twimg.com/profile_images/1650966257275994112/kyr0G21S_normal.jpg</v>
      </c>
      <c r="G1310" s="63"/>
      <c r="H1310" s="67"/>
      <c r="I1310" s="68"/>
      <c r="J1310" s="68"/>
      <c r="K1310" s="67" t="s">
        <v>28904</v>
      </c>
      <c r="L1310" s="71"/>
      <c r="M1310" s="72"/>
      <c r="N1310" s="72"/>
      <c r="O1310" s="73"/>
      <c r="P1310" s="74"/>
      <c r="Q1310" s="74"/>
      <c r="R1310" s="87"/>
      <c r="S1310" s="87"/>
      <c r="T1310" s="87"/>
      <c r="U1310" s="87"/>
      <c r="V1310" s="48"/>
      <c r="W1310" s="48"/>
      <c r="X1310" s="48"/>
      <c r="Y1310" s="48"/>
      <c r="Z1310" s="47"/>
      <c r="AA1310" s="69">
        <v>1310</v>
      </c>
      <c r="AB1310" s="69"/>
      <c r="AC1310" s="70"/>
      <c r="AD1310" s="76" t="s">
        <v>22529</v>
      </c>
      <c r="AE1310" s="81" t="s">
        <v>23756</v>
      </c>
      <c r="AF1310" s="76">
        <v>15748</v>
      </c>
      <c r="AG1310" s="76">
        <v>1427</v>
      </c>
      <c r="AH1310" s="76">
        <v>12826</v>
      </c>
      <c r="AI1310" s="76">
        <v>156</v>
      </c>
      <c r="AJ1310" s="76">
        <v>1867</v>
      </c>
      <c r="AK1310" s="76">
        <v>2874</v>
      </c>
      <c r="AL1310" s="76" t="b">
        <v>0</v>
      </c>
      <c r="AM1310" s="78">
        <v>40017.08116898148</v>
      </c>
      <c r="AN1310" s="76" t="s">
        <v>24527</v>
      </c>
      <c r="AO1310" s="76" t="s">
        <v>25875</v>
      </c>
      <c r="AP1310" s="76"/>
      <c r="AQ1310" s="76"/>
      <c r="AR1310" s="76"/>
      <c r="AS1310" s="76"/>
      <c r="AT1310" s="76"/>
      <c r="AU1310" s="76"/>
      <c r="AV1310" s="76"/>
      <c r="AW1310" s="76"/>
      <c r="AX1310" s="76" t="b">
        <v>0</v>
      </c>
      <c r="AY1310" s="76"/>
      <c r="AZ1310" s="76"/>
      <c r="BA1310" s="76" t="b">
        <v>0</v>
      </c>
      <c r="BB1310" s="76" t="b">
        <v>1</v>
      </c>
      <c r="BC1310" s="76" t="b">
        <v>1</v>
      </c>
      <c r="BD1310" s="76" t="b">
        <v>0</v>
      </c>
      <c r="BE1310" s="76" t="b">
        <v>0</v>
      </c>
      <c r="BF1310" s="76" t="b">
        <v>0</v>
      </c>
      <c r="BG1310" s="76" t="b">
        <v>0</v>
      </c>
      <c r="BH1310" s="82" t="str">
        <f>HYPERLINK("https://pbs.twimg.com/profile_banners/59325873/1693847693")</f>
        <v>https://pbs.twimg.com/profile_banners/59325873/1693847693</v>
      </c>
      <c r="BI1310" s="76"/>
      <c r="BJ1310" s="76" t="s">
        <v>27595</v>
      </c>
      <c r="BK1310" s="76" t="b">
        <v>0</v>
      </c>
      <c r="BL1310" s="76"/>
      <c r="BM1310" s="76" t="s">
        <v>66</v>
      </c>
      <c r="BN1310" s="76" t="s">
        <v>27597</v>
      </c>
      <c r="BO1310" s="82" t="str">
        <f>HYPERLINK("https://twitter.com/jovempangoiania")</f>
        <v>https://twitter.com/jovempangoiania</v>
      </c>
      <c r="BP1310" s="2"/>
    </row>
    <row r="1311" spans="1:68" x14ac:dyDescent="0.25">
      <c r="A1311" s="62" t="s">
        <v>1197</v>
      </c>
      <c r="B1311" s="63"/>
      <c r="C1311" s="63"/>
      <c r="D1311" s="64"/>
      <c r="E1311" s="66"/>
      <c r="F1311" s="103" t="str">
        <f>HYPERLINK("https://pbs.twimg.com/profile_images/1666089948561440771/2v2NMjDZ_normal.jpg")</f>
        <v>https://pbs.twimg.com/profile_images/1666089948561440771/2v2NMjDZ_normal.jpg</v>
      </c>
      <c r="G1311" s="63"/>
      <c r="H1311" s="67"/>
      <c r="I1311" s="68"/>
      <c r="J1311" s="68"/>
      <c r="K1311" s="67" t="s">
        <v>28905</v>
      </c>
      <c r="L1311" s="71"/>
      <c r="M1311" s="72"/>
      <c r="N1311" s="72"/>
      <c r="O1311" s="73"/>
      <c r="P1311" s="74"/>
      <c r="Q1311" s="74"/>
      <c r="R1311" s="87"/>
      <c r="S1311" s="87"/>
      <c r="T1311" s="87"/>
      <c r="U1311" s="87"/>
      <c r="V1311" s="48"/>
      <c r="W1311" s="48"/>
      <c r="X1311" s="48"/>
      <c r="Y1311" s="48"/>
      <c r="Z1311" s="47"/>
      <c r="AA1311" s="69">
        <v>1311</v>
      </c>
      <c r="AB1311" s="69"/>
      <c r="AC1311" s="70"/>
      <c r="AD1311" s="76" t="s">
        <v>22530</v>
      </c>
      <c r="AE1311" s="81" t="s">
        <v>20973</v>
      </c>
      <c r="AF1311" s="76">
        <v>23</v>
      </c>
      <c r="AG1311" s="76">
        <v>6</v>
      </c>
      <c r="AH1311" s="76">
        <v>293</v>
      </c>
      <c r="AI1311" s="76">
        <v>0</v>
      </c>
      <c r="AJ1311" s="76">
        <v>6</v>
      </c>
      <c r="AK1311" s="76">
        <v>109</v>
      </c>
      <c r="AL1311" s="76" t="b">
        <v>0</v>
      </c>
      <c r="AM1311" s="78">
        <v>45083.60359953704</v>
      </c>
      <c r="AN1311" s="76"/>
      <c r="AO1311" s="76" t="s">
        <v>25876</v>
      </c>
      <c r="AP1311" s="82" t="str">
        <f>HYPERLINK("https://t.co/PVGVmMzDZk")</f>
        <v>https://t.co/PVGVmMzDZk</v>
      </c>
      <c r="AQ1311" s="82" t="str">
        <f>HYPERLINK("http://www.navicon.com.ar")</f>
        <v>http://www.navicon.com.ar</v>
      </c>
      <c r="AR1311" s="76" t="s">
        <v>27065</v>
      </c>
      <c r="AS1311" s="76"/>
      <c r="AT1311" s="76"/>
      <c r="AU1311" s="76"/>
      <c r="AV1311" s="76">
        <v>1.6671639288271401E+18</v>
      </c>
      <c r="AW1311" s="82" t="str">
        <f>HYPERLINK("https://t.co/PVGVmMzDZk")</f>
        <v>https://t.co/PVGVmMzDZk</v>
      </c>
      <c r="AX1311" s="76" t="b">
        <v>0</v>
      </c>
      <c r="AY1311" s="76"/>
      <c r="AZ1311" s="76"/>
      <c r="BA1311" s="76" t="b">
        <v>0</v>
      </c>
      <c r="BB1311" s="76" t="b">
        <v>1</v>
      </c>
      <c r="BC1311" s="76" t="b">
        <v>1</v>
      </c>
      <c r="BD1311" s="76" t="b">
        <v>0</v>
      </c>
      <c r="BE1311" s="76" t="b">
        <v>0</v>
      </c>
      <c r="BF1311" s="76" t="b">
        <v>0</v>
      </c>
      <c r="BG1311" s="76" t="b">
        <v>0</v>
      </c>
      <c r="BH1311" s="82" t="str">
        <f>HYPERLINK("https://pbs.twimg.com/profile_banners/1666089806584229900/1686063322")</f>
        <v>https://pbs.twimg.com/profile_banners/1666089806584229900/1686063322</v>
      </c>
      <c r="BI1311" s="76"/>
      <c r="BJ1311" s="76" t="s">
        <v>27595</v>
      </c>
      <c r="BK1311" s="76" t="b">
        <v>0</v>
      </c>
      <c r="BL1311" s="76"/>
      <c r="BM1311" s="76" t="s">
        <v>66</v>
      </c>
      <c r="BN1311" s="76" t="s">
        <v>27597</v>
      </c>
      <c r="BO1311" s="82" t="str">
        <f>HYPERLINK("https://twitter.com/naviconarg")</f>
        <v>https://twitter.com/naviconarg</v>
      </c>
      <c r="BP1311" s="2"/>
    </row>
    <row r="1312" spans="1:68" x14ac:dyDescent="0.25">
      <c r="A1312" s="62" t="s">
        <v>1198</v>
      </c>
      <c r="B1312" s="63"/>
      <c r="C1312" s="63"/>
      <c r="D1312" s="64"/>
      <c r="E1312" s="66"/>
      <c r="F1312" s="103" t="str">
        <f>HYPERLINK("https://pbs.twimg.com/profile_images/892202562614636544/LgRRs5tt_normal.jpg")</f>
        <v>https://pbs.twimg.com/profile_images/892202562614636544/LgRRs5tt_normal.jpg</v>
      </c>
      <c r="G1312" s="63"/>
      <c r="H1312" s="67"/>
      <c r="I1312" s="68"/>
      <c r="J1312" s="68"/>
      <c r="K1312" s="67" t="s">
        <v>28906</v>
      </c>
      <c r="L1312" s="71"/>
      <c r="M1312" s="72"/>
      <c r="N1312" s="72"/>
      <c r="O1312" s="73"/>
      <c r="P1312" s="74"/>
      <c r="Q1312" s="74"/>
      <c r="R1312" s="87"/>
      <c r="S1312" s="87"/>
      <c r="T1312" s="87"/>
      <c r="U1312" s="87"/>
      <c r="V1312" s="48"/>
      <c r="W1312" s="48"/>
      <c r="X1312" s="48"/>
      <c r="Y1312" s="48"/>
      <c r="Z1312" s="47"/>
      <c r="AA1312" s="69">
        <v>1312</v>
      </c>
      <c r="AB1312" s="69"/>
      <c r="AC1312" s="70"/>
      <c r="AD1312" s="76" t="s">
        <v>22531</v>
      </c>
      <c r="AE1312" s="81" t="s">
        <v>20974</v>
      </c>
      <c r="AF1312" s="76">
        <v>1</v>
      </c>
      <c r="AG1312" s="76">
        <v>10</v>
      </c>
      <c r="AH1312" s="76">
        <v>27</v>
      </c>
      <c r="AI1312" s="76">
        <v>0</v>
      </c>
      <c r="AJ1312" s="76">
        <v>89</v>
      </c>
      <c r="AK1312" s="76">
        <v>0</v>
      </c>
      <c r="AL1312" s="76" t="b">
        <v>0</v>
      </c>
      <c r="AM1312" s="78">
        <v>42623.014652777776</v>
      </c>
      <c r="AN1312" s="76"/>
      <c r="AO1312" s="76"/>
      <c r="AP1312" s="76"/>
      <c r="AQ1312" s="76"/>
      <c r="AR1312" s="76"/>
      <c r="AS1312" s="76"/>
      <c r="AT1312" s="76"/>
      <c r="AU1312" s="76"/>
      <c r="AV1312" s="76"/>
      <c r="AW1312" s="76"/>
      <c r="AX1312" s="76" t="b">
        <v>0</v>
      </c>
      <c r="AY1312" s="76"/>
      <c r="AZ1312" s="76"/>
      <c r="BA1312" s="76" t="b">
        <v>0</v>
      </c>
      <c r="BB1312" s="76" t="b">
        <v>1</v>
      </c>
      <c r="BC1312" s="76" t="b">
        <v>1</v>
      </c>
      <c r="BD1312" s="76" t="b">
        <v>0</v>
      </c>
      <c r="BE1312" s="76" t="b">
        <v>0</v>
      </c>
      <c r="BF1312" s="76" t="b">
        <v>0</v>
      </c>
      <c r="BG1312" s="76" t="b">
        <v>0</v>
      </c>
      <c r="BH1312" s="76"/>
      <c r="BI1312" s="76"/>
      <c r="BJ1312" s="76" t="s">
        <v>27595</v>
      </c>
      <c r="BK1312" s="76" t="b">
        <v>0</v>
      </c>
      <c r="BL1312" s="76"/>
      <c r="BM1312" s="76" t="s">
        <v>66</v>
      </c>
      <c r="BN1312" s="76" t="s">
        <v>27597</v>
      </c>
      <c r="BO1312" s="82" t="str">
        <f>HYPERLINK("https://twitter.com/jefferson26285")</f>
        <v>https://twitter.com/jefferson26285</v>
      </c>
      <c r="BP1312" s="2"/>
    </row>
    <row r="1313" spans="1:68" x14ac:dyDescent="0.25">
      <c r="A1313" s="62" t="s">
        <v>1528</v>
      </c>
      <c r="B1313" s="63"/>
      <c r="C1313" s="63"/>
      <c r="D1313" s="64"/>
      <c r="E1313" s="66"/>
      <c r="F1313" s="103" t="str">
        <f>HYPERLINK("https://pbs.twimg.com/profile_images/1455154974204342272/SSOQvweo_normal.jpg")</f>
        <v>https://pbs.twimg.com/profile_images/1455154974204342272/SSOQvweo_normal.jpg</v>
      </c>
      <c r="G1313" s="63"/>
      <c r="H1313" s="67"/>
      <c r="I1313" s="68"/>
      <c r="J1313" s="68"/>
      <c r="K1313" s="67" t="s">
        <v>28907</v>
      </c>
      <c r="L1313" s="71"/>
      <c r="M1313" s="72"/>
      <c r="N1313" s="72"/>
      <c r="O1313" s="73"/>
      <c r="P1313" s="74"/>
      <c r="Q1313" s="74"/>
      <c r="R1313" s="87"/>
      <c r="S1313" s="87"/>
      <c r="T1313" s="87"/>
      <c r="U1313" s="87"/>
      <c r="V1313" s="48"/>
      <c r="W1313" s="48"/>
      <c r="X1313" s="48"/>
      <c r="Y1313" s="48"/>
      <c r="Z1313" s="47"/>
      <c r="AA1313" s="69">
        <v>1313</v>
      </c>
      <c r="AB1313" s="69"/>
      <c r="AC1313" s="70"/>
      <c r="AD1313" s="76" t="s">
        <v>22532</v>
      </c>
      <c r="AE1313" s="81" t="s">
        <v>21132</v>
      </c>
      <c r="AF1313" s="76">
        <v>171</v>
      </c>
      <c r="AG1313" s="76">
        <v>33</v>
      </c>
      <c r="AH1313" s="76">
        <v>1119</v>
      </c>
      <c r="AI1313" s="76">
        <v>3</v>
      </c>
      <c r="AJ1313" s="76">
        <v>1630</v>
      </c>
      <c r="AK1313" s="76">
        <v>504</v>
      </c>
      <c r="AL1313" s="76" t="b">
        <v>0</v>
      </c>
      <c r="AM1313" s="78">
        <v>43690.669525462959</v>
      </c>
      <c r="AN1313" s="76" t="s">
        <v>24528</v>
      </c>
      <c r="AO1313" s="76" t="s">
        <v>25877</v>
      </c>
      <c r="AP1313" s="82" t="str">
        <f>HYPERLINK("https://t.co/Imf5owiLrF")</f>
        <v>https://t.co/Imf5owiLrF</v>
      </c>
      <c r="AQ1313" s="82" t="str">
        <f>HYPERLINK("http://www.bancariosbaixada.org.br/")</f>
        <v>http://www.bancariosbaixada.org.br/</v>
      </c>
      <c r="AR1313" s="76" t="s">
        <v>27066</v>
      </c>
      <c r="AS1313" s="76"/>
      <c r="AT1313" s="76"/>
      <c r="AU1313" s="76"/>
      <c r="AV1313" s="76"/>
      <c r="AW1313" s="82" t="str">
        <f>HYPERLINK("https://t.co/Imf5owiLrF")</f>
        <v>https://t.co/Imf5owiLrF</v>
      </c>
      <c r="AX1313" s="76" t="b">
        <v>0</v>
      </c>
      <c r="AY1313" s="76"/>
      <c r="AZ1313" s="76"/>
      <c r="BA1313" s="76" t="b">
        <v>0</v>
      </c>
      <c r="BB1313" s="76" t="b">
        <v>1</v>
      </c>
      <c r="BC1313" s="76" t="b">
        <v>1</v>
      </c>
      <c r="BD1313" s="76" t="b">
        <v>0</v>
      </c>
      <c r="BE1313" s="76" t="b">
        <v>0</v>
      </c>
      <c r="BF1313" s="76" t="b">
        <v>0</v>
      </c>
      <c r="BG1313" s="76" t="b">
        <v>0</v>
      </c>
      <c r="BH1313" s="82" t="str">
        <f>HYPERLINK("https://pbs.twimg.com/profile_banners/1161307453075726337/1565875107")</f>
        <v>https://pbs.twimg.com/profile_banners/1161307453075726337/1565875107</v>
      </c>
      <c r="BI1313" s="76"/>
      <c r="BJ1313" s="76" t="s">
        <v>27595</v>
      </c>
      <c r="BK1313" s="76" t="b">
        <v>0</v>
      </c>
      <c r="BL1313" s="76"/>
      <c r="BM1313" s="76" t="s">
        <v>66</v>
      </c>
      <c r="BN1313" s="76" t="s">
        <v>27597</v>
      </c>
      <c r="BO1313" s="82" t="str">
        <f>HYPERLINK("https://twitter.com/sindbaixada")</f>
        <v>https://twitter.com/sindbaixada</v>
      </c>
      <c r="BP1313" s="2"/>
    </row>
    <row r="1314" spans="1:68" x14ac:dyDescent="0.25">
      <c r="A1314" s="62" t="s">
        <v>1199</v>
      </c>
      <c r="B1314" s="63"/>
      <c r="C1314" s="63"/>
      <c r="D1314" s="64"/>
      <c r="E1314" s="66"/>
      <c r="F1314" s="103" t="str">
        <f>HYPERLINK("https://pbs.twimg.com/profile_images/1549470836234543104/OIio6Lnq_normal.jpg")</f>
        <v>https://pbs.twimg.com/profile_images/1549470836234543104/OIio6Lnq_normal.jpg</v>
      </c>
      <c r="G1314" s="63"/>
      <c r="H1314" s="67"/>
      <c r="I1314" s="68"/>
      <c r="J1314" s="68"/>
      <c r="K1314" s="67" t="s">
        <v>28908</v>
      </c>
      <c r="L1314" s="71"/>
      <c r="M1314" s="72"/>
      <c r="N1314" s="72"/>
      <c r="O1314" s="73"/>
      <c r="P1314" s="74"/>
      <c r="Q1314" s="74"/>
      <c r="R1314" s="87"/>
      <c r="S1314" s="87"/>
      <c r="T1314" s="87"/>
      <c r="U1314" s="87"/>
      <c r="V1314" s="48"/>
      <c r="W1314" s="48"/>
      <c r="X1314" s="48"/>
      <c r="Y1314" s="48"/>
      <c r="Z1314" s="47"/>
      <c r="AA1314" s="69">
        <v>1314</v>
      </c>
      <c r="AB1314" s="69"/>
      <c r="AC1314" s="70"/>
      <c r="AD1314" s="76" t="s">
        <v>22533</v>
      </c>
      <c r="AE1314" s="81" t="s">
        <v>23757</v>
      </c>
      <c r="AF1314" s="76">
        <v>14216</v>
      </c>
      <c r="AG1314" s="76">
        <v>140</v>
      </c>
      <c r="AH1314" s="76">
        <v>82085</v>
      </c>
      <c r="AI1314" s="76">
        <v>56</v>
      </c>
      <c r="AJ1314" s="76">
        <v>68</v>
      </c>
      <c r="AK1314" s="76">
        <v>19061</v>
      </c>
      <c r="AL1314" s="76" t="b">
        <v>0</v>
      </c>
      <c r="AM1314" s="78">
        <v>40835.229398148149</v>
      </c>
      <c r="AN1314" s="76" t="s">
        <v>24529</v>
      </c>
      <c r="AO1314" s="76" t="s">
        <v>25878</v>
      </c>
      <c r="AP1314" s="82" t="str">
        <f>HYPERLINK("https://t.co/zF0q69umEQ")</f>
        <v>https://t.co/zF0q69umEQ</v>
      </c>
      <c r="AQ1314" s="82" t="str">
        <f>HYPERLINK("http://www.fenix951.com.ar")</f>
        <v>http://www.fenix951.com.ar</v>
      </c>
      <c r="AR1314" s="76" t="s">
        <v>27067</v>
      </c>
      <c r="AS1314" s="76"/>
      <c r="AT1314" s="76"/>
      <c r="AU1314" s="76"/>
      <c r="AV1314" s="76"/>
      <c r="AW1314" s="82" t="str">
        <f>HYPERLINK("https://t.co/zF0q69umEQ")</f>
        <v>https://t.co/zF0q69umEQ</v>
      </c>
      <c r="AX1314" s="76" t="b">
        <v>1</v>
      </c>
      <c r="AY1314" s="76"/>
      <c r="AZ1314" s="76"/>
      <c r="BA1314" s="76" t="b">
        <v>0</v>
      </c>
      <c r="BB1314" s="76" t="b">
        <v>1</v>
      </c>
      <c r="BC1314" s="76" t="b">
        <v>0</v>
      </c>
      <c r="BD1314" s="76" t="b">
        <v>0</v>
      </c>
      <c r="BE1314" s="76" t="b">
        <v>1</v>
      </c>
      <c r="BF1314" s="76" t="b">
        <v>0</v>
      </c>
      <c r="BG1314" s="76" t="b">
        <v>0</v>
      </c>
      <c r="BH1314" s="82" t="str">
        <f>HYPERLINK("https://pbs.twimg.com/profile_banners/393851882/1674600770")</f>
        <v>https://pbs.twimg.com/profile_banners/393851882/1674600770</v>
      </c>
      <c r="BI1314" s="76"/>
      <c r="BJ1314" s="76" t="s">
        <v>27595</v>
      </c>
      <c r="BK1314" s="76" t="b">
        <v>0</v>
      </c>
      <c r="BL1314" s="76"/>
      <c r="BM1314" s="76" t="s">
        <v>66</v>
      </c>
      <c r="BN1314" s="76" t="s">
        <v>27597</v>
      </c>
      <c r="BO1314" s="82" t="str">
        <f>HYPERLINK("https://twitter.com/radiofenix951")</f>
        <v>https://twitter.com/radiofenix951</v>
      </c>
      <c r="BP1314" s="2"/>
    </row>
    <row r="1315" spans="1:68" x14ac:dyDescent="0.25">
      <c r="A1315" s="62" t="s">
        <v>1200</v>
      </c>
      <c r="B1315" s="63"/>
      <c r="C1315" s="63"/>
      <c r="D1315" s="64"/>
      <c r="E1315" s="66"/>
      <c r="F1315" s="103" t="str">
        <f>HYPERLINK("https://pbs.twimg.com/profile_images/1089556244933812224/DTaDyzIS_normal.jpg")</f>
        <v>https://pbs.twimg.com/profile_images/1089556244933812224/DTaDyzIS_normal.jpg</v>
      </c>
      <c r="G1315" s="63"/>
      <c r="H1315" s="67"/>
      <c r="I1315" s="68"/>
      <c r="J1315" s="68"/>
      <c r="K1315" s="67" t="s">
        <v>28909</v>
      </c>
      <c r="L1315" s="71"/>
      <c r="M1315" s="72"/>
      <c r="N1315" s="72"/>
      <c r="O1315" s="73"/>
      <c r="P1315" s="74"/>
      <c r="Q1315" s="74"/>
      <c r="R1315" s="87"/>
      <c r="S1315" s="87"/>
      <c r="T1315" s="87"/>
      <c r="U1315" s="87"/>
      <c r="V1315" s="48"/>
      <c r="W1315" s="48"/>
      <c r="X1315" s="48"/>
      <c r="Y1315" s="48"/>
      <c r="Z1315" s="47"/>
      <c r="AA1315" s="69">
        <v>1315</v>
      </c>
      <c r="AB1315" s="69"/>
      <c r="AC1315" s="70"/>
      <c r="AD1315" s="76" t="s">
        <v>22534</v>
      </c>
      <c r="AE1315" s="81" t="s">
        <v>20975</v>
      </c>
      <c r="AF1315" s="76">
        <v>10</v>
      </c>
      <c r="AG1315" s="76">
        <v>39</v>
      </c>
      <c r="AH1315" s="76">
        <v>622</v>
      </c>
      <c r="AI1315" s="76">
        <v>0</v>
      </c>
      <c r="AJ1315" s="76">
        <v>132</v>
      </c>
      <c r="AK1315" s="76">
        <v>570</v>
      </c>
      <c r="AL1315" s="76" t="b">
        <v>0</v>
      </c>
      <c r="AM1315" s="78">
        <v>43326.381412037037</v>
      </c>
      <c r="AN1315" s="76" t="s">
        <v>14512</v>
      </c>
      <c r="AO1315" s="76" t="s">
        <v>25879</v>
      </c>
      <c r="AP1315" s="82" t="str">
        <f>HYPERLINK("https://t.co/7ZWC0XEg7r")</f>
        <v>https://t.co/7ZWC0XEg7r</v>
      </c>
      <c r="AQ1315" s="82" t="str">
        <f>HYPERLINK("http://lobscontabil.com")</f>
        <v>http://lobscontabil.com</v>
      </c>
      <c r="AR1315" s="76" t="s">
        <v>8812</v>
      </c>
      <c r="AS1315" s="76"/>
      <c r="AT1315" s="76"/>
      <c r="AU1315" s="76"/>
      <c r="AV1315" s="76"/>
      <c r="AW1315" s="82" t="str">
        <f>HYPERLINK("https://t.co/7ZWC0XEg7r")</f>
        <v>https://t.co/7ZWC0XEg7r</v>
      </c>
      <c r="AX1315" s="76" t="b">
        <v>0</v>
      </c>
      <c r="AY1315" s="76"/>
      <c r="AZ1315" s="76"/>
      <c r="BA1315" s="76" t="b">
        <v>0</v>
      </c>
      <c r="BB1315" s="76" t="b">
        <v>1</v>
      </c>
      <c r="BC1315" s="76" t="b">
        <v>0</v>
      </c>
      <c r="BD1315" s="76" t="b">
        <v>0</v>
      </c>
      <c r="BE1315" s="76" t="b">
        <v>0</v>
      </c>
      <c r="BF1315" s="76" t="b">
        <v>0</v>
      </c>
      <c r="BG1315" s="76" t="b">
        <v>0</v>
      </c>
      <c r="BH1315" s="82" t="str">
        <f>HYPERLINK("https://pbs.twimg.com/profile_banners/1029293862387429377/1548605425")</f>
        <v>https://pbs.twimg.com/profile_banners/1029293862387429377/1548605425</v>
      </c>
      <c r="BI1315" s="76"/>
      <c r="BJ1315" s="76" t="s">
        <v>27595</v>
      </c>
      <c r="BK1315" s="76" t="b">
        <v>0</v>
      </c>
      <c r="BL1315" s="76"/>
      <c r="BM1315" s="76" t="s">
        <v>66</v>
      </c>
      <c r="BN1315" s="76" t="s">
        <v>27597</v>
      </c>
      <c r="BO1315" s="82" t="str">
        <f>HYPERLINK("https://twitter.com/lobscontabilid1")</f>
        <v>https://twitter.com/lobscontabilid1</v>
      </c>
      <c r="BP1315" s="2"/>
    </row>
    <row r="1316" spans="1:68" x14ac:dyDescent="0.25">
      <c r="A1316" s="62" t="s">
        <v>1201</v>
      </c>
      <c r="B1316" s="63"/>
      <c r="C1316" s="63"/>
      <c r="D1316" s="64"/>
      <c r="E1316" s="66"/>
      <c r="F1316" s="103" t="str">
        <f>HYPERLINK("https://pbs.twimg.com/profile_images/1445390648060821510/7XVO84-N_normal.jpg")</f>
        <v>https://pbs.twimg.com/profile_images/1445390648060821510/7XVO84-N_normal.jpg</v>
      </c>
      <c r="G1316" s="63"/>
      <c r="H1316" s="67"/>
      <c r="I1316" s="68"/>
      <c r="J1316" s="68"/>
      <c r="K1316" s="67" t="s">
        <v>28910</v>
      </c>
      <c r="L1316" s="71"/>
      <c r="M1316" s="72"/>
      <c r="N1316" s="72"/>
      <c r="O1316" s="73"/>
      <c r="P1316" s="74"/>
      <c r="Q1316" s="74"/>
      <c r="R1316" s="87"/>
      <c r="S1316" s="87"/>
      <c r="T1316" s="87"/>
      <c r="U1316" s="87"/>
      <c r="V1316" s="48"/>
      <c r="W1316" s="48"/>
      <c r="X1316" s="48"/>
      <c r="Y1316" s="48"/>
      <c r="Z1316" s="47"/>
      <c r="AA1316" s="69">
        <v>1316</v>
      </c>
      <c r="AB1316" s="69"/>
      <c r="AC1316" s="70"/>
      <c r="AD1316" s="76" t="s">
        <v>22535</v>
      </c>
      <c r="AE1316" s="81" t="s">
        <v>20976</v>
      </c>
      <c r="AF1316" s="76">
        <v>5597</v>
      </c>
      <c r="AG1316" s="76">
        <v>538</v>
      </c>
      <c r="AH1316" s="76">
        <v>2046</v>
      </c>
      <c r="AI1316" s="76">
        <v>38</v>
      </c>
      <c r="AJ1316" s="76">
        <v>3525</v>
      </c>
      <c r="AK1316" s="76">
        <v>973</v>
      </c>
      <c r="AL1316" s="76" t="b">
        <v>0</v>
      </c>
      <c r="AM1316" s="78">
        <v>44036.777858796297</v>
      </c>
      <c r="AN1316" s="76"/>
      <c r="AO1316" s="76" t="s">
        <v>25880</v>
      </c>
      <c r="AP1316" s="82" t="str">
        <f>HYPERLINK("https://t.co/4lqr5ItXt4")</f>
        <v>https://t.co/4lqr5ItXt4</v>
      </c>
      <c r="AQ1316" s="82" t="str">
        <f>HYPERLINK("https://economiamainstream.com.br/")</f>
        <v>https://economiamainstream.com.br/</v>
      </c>
      <c r="AR1316" s="76" t="s">
        <v>27068</v>
      </c>
      <c r="AS1316" s="76"/>
      <c r="AT1316" s="76"/>
      <c r="AU1316" s="76"/>
      <c r="AV1316" s="76">
        <v>1.4422627099495099E+18</v>
      </c>
      <c r="AW1316" s="82" t="str">
        <f>HYPERLINK("https://t.co/4lqr5ItXt4")</f>
        <v>https://t.co/4lqr5ItXt4</v>
      </c>
      <c r="AX1316" s="76" t="b">
        <v>0</v>
      </c>
      <c r="AY1316" s="76"/>
      <c r="AZ1316" s="76"/>
      <c r="BA1316" s="76" t="b">
        <v>1</v>
      </c>
      <c r="BB1316" s="76" t="b">
        <v>1</v>
      </c>
      <c r="BC1316" s="76" t="b">
        <v>1</v>
      </c>
      <c r="BD1316" s="76" t="b">
        <v>0</v>
      </c>
      <c r="BE1316" s="76" t="b">
        <v>0</v>
      </c>
      <c r="BF1316" s="76" t="b">
        <v>0</v>
      </c>
      <c r="BG1316" s="76" t="b">
        <v>0</v>
      </c>
      <c r="BH1316" s="82" t="str">
        <f>HYPERLINK("https://pbs.twimg.com/profile_banners/1286732861618479106/1631894902")</f>
        <v>https://pbs.twimg.com/profile_banners/1286732861618479106/1631894902</v>
      </c>
      <c r="BI1316" s="76"/>
      <c r="BJ1316" s="76" t="s">
        <v>27595</v>
      </c>
      <c r="BK1316" s="76" t="b">
        <v>0</v>
      </c>
      <c r="BL1316" s="76"/>
      <c r="BM1316" s="76" t="s">
        <v>66</v>
      </c>
      <c r="BN1316" s="76" t="s">
        <v>27597</v>
      </c>
      <c r="BO1316" s="82" t="str">
        <f>HYPERLINK("https://twitter.com/economainstream")</f>
        <v>https://twitter.com/economainstream</v>
      </c>
      <c r="BP1316" s="2"/>
    </row>
    <row r="1317" spans="1:68" x14ac:dyDescent="0.25">
      <c r="A1317" s="62" t="s">
        <v>1202</v>
      </c>
      <c r="B1317" s="63"/>
      <c r="C1317" s="63"/>
      <c r="D1317" s="64"/>
      <c r="E1317" s="66"/>
      <c r="F1317" s="103" t="str">
        <f>HYPERLINK("https://pbs.twimg.com/profile_images/1568048433751113728/90cRDFMd_normal.jpg")</f>
        <v>https://pbs.twimg.com/profile_images/1568048433751113728/90cRDFMd_normal.jpg</v>
      </c>
      <c r="G1317" s="63"/>
      <c r="H1317" s="67"/>
      <c r="I1317" s="68"/>
      <c r="J1317" s="68"/>
      <c r="K1317" s="67" t="s">
        <v>28911</v>
      </c>
      <c r="L1317" s="71"/>
      <c r="M1317" s="72"/>
      <c r="N1317" s="72"/>
      <c r="O1317" s="73"/>
      <c r="P1317" s="74"/>
      <c r="Q1317" s="74"/>
      <c r="R1317" s="87"/>
      <c r="S1317" s="87"/>
      <c r="T1317" s="87"/>
      <c r="U1317" s="87"/>
      <c r="V1317" s="48"/>
      <c r="W1317" s="48"/>
      <c r="X1317" s="48"/>
      <c r="Y1317" s="48"/>
      <c r="Z1317" s="47"/>
      <c r="AA1317" s="69">
        <v>1317</v>
      </c>
      <c r="AB1317" s="69"/>
      <c r="AC1317" s="70"/>
      <c r="AD1317" s="76" t="s">
        <v>22536</v>
      </c>
      <c r="AE1317" s="81" t="s">
        <v>20977</v>
      </c>
      <c r="AF1317" s="76">
        <v>329</v>
      </c>
      <c r="AG1317" s="76">
        <v>374</v>
      </c>
      <c r="AH1317" s="76">
        <v>35257</v>
      </c>
      <c r="AI1317" s="76">
        <v>1</v>
      </c>
      <c r="AJ1317" s="76">
        <v>189</v>
      </c>
      <c r="AK1317" s="76">
        <v>13165</v>
      </c>
      <c r="AL1317" s="76" t="b">
        <v>0</v>
      </c>
      <c r="AM1317" s="78">
        <v>43486.82136574074</v>
      </c>
      <c r="AN1317" s="76" t="s">
        <v>24114</v>
      </c>
      <c r="AO1317" s="76" t="s">
        <v>25881</v>
      </c>
      <c r="AP1317" s="82" t="str">
        <f>HYPERLINK("https://t.co/WTGLDaWjFl")</f>
        <v>https://t.co/WTGLDaWjFl</v>
      </c>
      <c r="AQ1317" s="82" t="str">
        <f>HYPERLINK("http://www.mundopoder.com")</f>
        <v>http://www.mundopoder.com</v>
      </c>
      <c r="AR1317" s="76" t="s">
        <v>8813</v>
      </c>
      <c r="AS1317" s="76"/>
      <c r="AT1317" s="76"/>
      <c r="AU1317" s="76"/>
      <c r="AV1317" s="76">
        <v>1.59619337873538E+18</v>
      </c>
      <c r="AW1317" s="82" t="str">
        <f>HYPERLINK("https://t.co/WTGLDaWjFl")</f>
        <v>https://t.co/WTGLDaWjFl</v>
      </c>
      <c r="AX1317" s="76" t="b">
        <v>0</v>
      </c>
      <c r="AY1317" s="76"/>
      <c r="AZ1317" s="76"/>
      <c r="BA1317" s="76" t="b">
        <v>1</v>
      </c>
      <c r="BB1317" s="76" t="b">
        <v>1</v>
      </c>
      <c r="BC1317" s="76" t="b">
        <v>1</v>
      </c>
      <c r="BD1317" s="76" t="b">
        <v>0</v>
      </c>
      <c r="BE1317" s="76" t="b">
        <v>1</v>
      </c>
      <c r="BF1317" s="76" t="b">
        <v>0</v>
      </c>
      <c r="BG1317" s="76" t="b">
        <v>1</v>
      </c>
      <c r="BH1317" s="82" t="str">
        <f>HYPERLINK("https://pbs.twimg.com/profile_banners/1087435352153952256/1548278793")</f>
        <v>https://pbs.twimg.com/profile_banners/1087435352153952256/1548278793</v>
      </c>
      <c r="BI1317" s="76"/>
      <c r="BJ1317" s="76" t="s">
        <v>27595</v>
      </c>
      <c r="BK1317" s="76" t="b">
        <v>0</v>
      </c>
      <c r="BL1317" s="76"/>
      <c r="BM1317" s="76" t="s">
        <v>66</v>
      </c>
      <c r="BN1317" s="76" t="s">
        <v>27597</v>
      </c>
      <c r="BO1317" s="82" t="str">
        <f>HYPERLINK("https://twitter.com/mundopoderok")</f>
        <v>https://twitter.com/mundopoderok</v>
      </c>
      <c r="BP1317" s="2"/>
    </row>
    <row r="1318" spans="1:68" x14ac:dyDescent="0.25">
      <c r="A1318" s="62" t="s">
        <v>1982</v>
      </c>
      <c r="B1318" s="63"/>
      <c r="C1318" s="63"/>
      <c r="D1318" s="64"/>
      <c r="E1318" s="66"/>
      <c r="F1318" s="103" t="str">
        <f>HYPERLINK("https://pbs.twimg.com/profile_images/1049121801303941120/BIielr-X_normal.jpg")</f>
        <v>https://pbs.twimg.com/profile_images/1049121801303941120/BIielr-X_normal.jpg</v>
      </c>
      <c r="G1318" s="63"/>
      <c r="H1318" s="67"/>
      <c r="I1318" s="68"/>
      <c r="J1318" s="68"/>
      <c r="K1318" s="67" t="s">
        <v>28912</v>
      </c>
      <c r="L1318" s="71"/>
      <c r="M1318" s="72"/>
      <c r="N1318" s="72"/>
      <c r="O1318" s="73"/>
      <c r="P1318" s="74"/>
      <c r="Q1318" s="74"/>
      <c r="R1318" s="87"/>
      <c r="S1318" s="87"/>
      <c r="T1318" s="87"/>
      <c r="U1318" s="87"/>
      <c r="V1318" s="48"/>
      <c r="W1318" s="48"/>
      <c r="X1318" s="48"/>
      <c r="Y1318" s="48"/>
      <c r="Z1318" s="47"/>
      <c r="AA1318" s="69">
        <v>1318</v>
      </c>
      <c r="AB1318" s="69"/>
      <c r="AC1318" s="70"/>
      <c r="AD1318" s="76" t="s">
        <v>22537</v>
      </c>
      <c r="AE1318" s="81" t="s">
        <v>23758</v>
      </c>
      <c r="AF1318" s="76">
        <v>10137192</v>
      </c>
      <c r="AG1318" s="76">
        <v>311</v>
      </c>
      <c r="AH1318" s="76">
        <v>79670</v>
      </c>
      <c r="AI1318" s="76">
        <v>4976</v>
      </c>
      <c r="AJ1318" s="76">
        <v>25425</v>
      </c>
      <c r="AK1318" s="76">
        <v>4485</v>
      </c>
      <c r="AL1318" s="76" t="b">
        <v>0</v>
      </c>
      <c r="AM1318" s="78">
        <v>41150.753784722219</v>
      </c>
      <c r="AN1318" s="76" t="s">
        <v>24530</v>
      </c>
      <c r="AO1318" s="76" t="s">
        <v>25882</v>
      </c>
      <c r="AP1318" s="82" t="str">
        <f>HYPERLINK("https://t.co/priVWs6lYi")</f>
        <v>https://t.co/priVWs6lYi</v>
      </c>
      <c r="AQ1318" s="82" t="str">
        <f>HYPERLINK("https://m.facebook.com/marcelotinelli/")</f>
        <v>https://m.facebook.com/marcelotinelli/</v>
      </c>
      <c r="AR1318" s="76" t="s">
        <v>27069</v>
      </c>
      <c r="AS1318" s="76"/>
      <c r="AT1318" s="76"/>
      <c r="AU1318" s="76"/>
      <c r="AV1318" s="76"/>
      <c r="AW1318" s="82" t="str">
        <f>HYPERLINK("https://t.co/priVWs6lYi")</f>
        <v>https://t.co/priVWs6lYi</v>
      </c>
      <c r="AX1318" s="76" t="b">
        <v>1</v>
      </c>
      <c r="AY1318" s="76"/>
      <c r="AZ1318" s="76"/>
      <c r="BA1318" s="76" t="b">
        <v>0</v>
      </c>
      <c r="BB1318" s="76" t="b">
        <v>1</v>
      </c>
      <c r="BC1318" s="76" t="b">
        <v>1</v>
      </c>
      <c r="BD1318" s="76" t="b">
        <v>0</v>
      </c>
      <c r="BE1318" s="76" t="b">
        <v>1</v>
      </c>
      <c r="BF1318" s="76" t="b">
        <v>0</v>
      </c>
      <c r="BG1318" s="76" t="b">
        <v>0</v>
      </c>
      <c r="BH1318" s="82" t="str">
        <f>HYPERLINK("https://pbs.twimg.com/profile_banners/789856765/1540050643")</f>
        <v>https://pbs.twimg.com/profile_banners/789856765/1540050643</v>
      </c>
      <c r="BI1318" s="76"/>
      <c r="BJ1318" s="76" t="s">
        <v>27596</v>
      </c>
      <c r="BK1318" s="76" t="b">
        <v>0</v>
      </c>
      <c r="BL1318" s="76"/>
      <c r="BM1318" s="76" t="s">
        <v>65</v>
      </c>
      <c r="BN1318" s="76" t="s">
        <v>27597</v>
      </c>
      <c r="BO1318" s="82" t="str">
        <f>HYPERLINK("https://twitter.com/cuervotinelli")</f>
        <v>https://twitter.com/cuervotinelli</v>
      </c>
      <c r="BP1318" s="2"/>
    </row>
    <row r="1319" spans="1:68" x14ac:dyDescent="0.25">
      <c r="A1319" s="62" t="s">
        <v>1203</v>
      </c>
      <c r="B1319" s="63"/>
      <c r="C1319" s="63"/>
      <c r="D1319" s="64"/>
      <c r="E1319" s="66"/>
      <c r="F1319" s="103" t="str">
        <f>HYPERLINK("https://pbs.twimg.com/profile_images/1689610652984250368/1jTJBUwz_normal.jpg")</f>
        <v>https://pbs.twimg.com/profile_images/1689610652984250368/1jTJBUwz_normal.jpg</v>
      </c>
      <c r="G1319" s="63"/>
      <c r="H1319" s="67"/>
      <c r="I1319" s="68"/>
      <c r="J1319" s="68"/>
      <c r="K1319" s="67" t="s">
        <v>28913</v>
      </c>
      <c r="L1319" s="71"/>
      <c r="M1319" s="72"/>
      <c r="N1319" s="72"/>
      <c r="O1319" s="73"/>
      <c r="P1319" s="74"/>
      <c r="Q1319" s="74"/>
      <c r="R1319" s="87"/>
      <c r="S1319" s="87"/>
      <c r="T1319" s="87"/>
      <c r="U1319" s="87"/>
      <c r="V1319" s="48"/>
      <c r="W1319" s="48"/>
      <c r="X1319" s="48"/>
      <c r="Y1319" s="48"/>
      <c r="Z1319" s="47"/>
      <c r="AA1319" s="69">
        <v>1319</v>
      </c>
      <c r="AB1319" s="69"/>
      <c r="AC1319" s="70"/>
      <c r="AD1319" s="76" t="s">
        <v>22538</v>
      </c>
      <c r="AE1319" s="81" t="s">
        <v>23759</v>
      </c>
      <c r="AF1319" s="76">
        <v>324887</v>
      </c>
      <c r="AG1319" s="76">
        <v>3527</v>
      </c>
      <c r="AH1319" s="76">
        <v>83154</v>
      </c>
      <c r="AI1319" s="76">
        <v>822</v>
      </c>
      <c r="AJ1319" s="76">
        <v>35530</v>
      </c>
      <c r="AK1319" s="76">
        <v>1411</v>
      </c>
      <c r="AL1319" s="76" t="b">
        <v>0</v>
      </c>
      <c r="AM1319" s="78">
        <v>41988.799305555556</v>
      </c>
      <c r="AN1319" s="76" t="s">
        <v>24531</v>
      </c>
      <c r="AO1319" s="76" t="s">
        <v>25883</v>
      </c>
      <c r="AP1319" s="82" t="str">
        <f>HYPERLINK("https://t.co/WnGhUR90kg")</f>
        <v>https://t.co/WnGhUR90kg</v>
      </c>
      <c r="AQ1319" s="82" t="str">
        <f>HYPERLINK("https://jovempan.com.br/")</f>
        <v>https://jovempan.com.br/</v>
      </c>
      <c r="AR1319" s="76" t="s">
        <v>26377</v>
      </c>
      <c r="AS1319" s="76"/>
      <c r="AT1319" s="76"/>
      <c r="AU1319" s="76"/>
      <c r="AV1319" s="76">
        <v>1.70627352249698E+18</v>
      </c>
      <c r="AW1319" s="82" t="str">
        <f>HYPERLINK("https://t.co/WnGhUR90kg")</f>
        <v>https://t.co/WnGhUR90kg</v>
      </c>
      <c r="AX1319" s="76" t="b">
        <v>1</v>
      </c>
      <c r="AY1319" s="76"/>
      <c r="AZ1319" s="76"/>
      <c r="BA1319" s="76" t="b">
        <v>0</v>
      </c>
      <c r="BB1319" s="76" t="b">
        <v>0</v>
      </c>
      <c r="BC1319" s="76" t="b">
        <v>0</v>
      </c>
      <c r="BD1319" s="76" t="b">
        <v>0</v>
      </c>
      <c r="BE1319" s="76" t="b">
        <v>1</v>
      </c>
      <c r="BF1319" s="76" t="b">
        <v>0</v>
      </c>
      <c r="BG1319" s="76" t="b">
        <v>0</v>
      </c>
      <c r="BH1319" s="82" t="str">
        <f>HYPERLINK("https://pbs.twimg.com/profile_banners/2923397967/1678894812")</f>
        <v>https://pbs.twimg.com/profile_banners/2923397967/1678894812</v>
      </c>
      <c r="BI1319" s="76"/>
      <c r="BJ1319" s="76" t="s">
        <v>27595</v>
      </c>
      <c r="BK1319" s="76" t="b">
        <v>0</v>
      </c>
      <c r="BL1319" s="76"/>
      <c r="BM1319" s="76" t="s">
        <v>66</v>
      </c>
      <c r="BN1319" s="76" t="s">
        <v>27597</v>
      </c>
      <c r="BO1319" s="82" t="str">
        <f>HYPERLINK("https://twitter.com/claudioedantas")</f>
        <v>https://twitter.com/claudioedantas</v>
      </c>
      <c r="BP1319" s="2"/>
    </row>
    <row r="1320" spans="1:68" x14ac:dyDescent="0.25">
      <c r="A1320" s="62" t="s">
        <v>1204</v>
      </c>
      <c r="B1320" s="63"/>
      <c r="C1320" s="63"/>
      <c r="D1320" s="64"/>
      <c r="E1320" s="66"/>
      <c r="F1320" s="103" t="str">
        <f>HYPERLINK("https://pbs.twimg.com/profile_images/1616075894530916358/7-v4RJHQ_normal.jpg")</f>
        <v>https://pbs.twimg.com/profile_images/1616075894530916358/7-v4RJHQ_normal.jpg</v>
      </c>
      <c r="G1320" s="63"/>
      <c r="H1320" s="67"/>
      <c r="I1320" s="68"/>
      <c r="J1320" s="68"/>
      <c r="K1320" s="67" t="s">
        <v>28914</v>
      </c>
      <c r="L1320" s="71"/>
      <c r="M1320" s="72"/>
      <c r="N1320" s="72"/>
      <c r="O1320" s="73"/>
      <c r="P1320" s="74"/>
      <c r="Q1320" s="74"/>
      <c r="R1320" s="87"/>
      <c r="S1320" s="87"/>
      <c r="T1320" s="87"/>
      <c r="U1320" s="87"/>
      <c r="V1320" s="48"/>
      <c r="W1320" s="48"/>
      <c r="X1320" s="48"/>
      <c r="Y1320" s="48"/>
      <c r="Z1320" s="47"/>
      <c r="AA1320" s="69">
        <v>1320</v>
      </c>
      <c r="AB1320" s="69"/>
      <c r="AC1320" s="70"/>
      <c r="AD1320" s="76" t="s">
        <v>22539</v>
      </c>
      <c r="AE1320" s="81" t="s">
        <v>20978</v>
      </c>
      <c r="AF1320" s="76">
        <v>157</v>
      </c>
      <c r="AG1320" s="76">
        <v>287</v>
      </c>
      <c r="AH1320" s="76">
        <v>629</v>
      </c>
      <c r="AI1320" s="76">
        <v>1</v>
      </c>
      <c r="AJ1320" s="76">
        <v>218</v>
      </c>
      <c r="AK1320" s="76">
        <v>145</v>
      </c>
      <c r="AL1320" s="76" t="b">
        <v>0</v>
      </c>
      <c r="AM1320" s="78">
        <v>44414.974282407406</v>
      </c>
      <c r="AN1320" s="76"/>
      <c r="AO1320" s="76" t="s">
        <v>25884</v>
      </c>
      <c r="AP1320" s="82" t="str">
        <f>HYPERLINK("https://t.co/8HWISuNYcq")</f>
        <v>https://t.co/8HWISuNYcq</v>
      </c>
      <c r="AQ1320" s="82" t="str">
        <f>HYPERLINK("https://discord.gg/Jwcwyzwsh9")</f>
        <v>https://discord.gg/Jwcwyzwsh9</v>
      </c>
      <c r="AR1320" s="76" t="s">
        <v>27070</v>
      </c>
      <c r="AS1320" s="76"/>
      <c r="AT1320" s="76"/>
      <c r="AU1320" s="76"/>
      <c r="AV1320" s="76"/>
      <c r="AW1320" s="82" t="str">
        <f>HYPERLINK("https://t.co/8HWISuNYcq")</f>
        <v>https://t.co/8HWISuNYcq</v>
      </c>
      <c r="AX1320" s="76" t="b">
        <v>0</v>
      </c>
      <c r="AY1320" s="76"/>
      <c r="AZ1320" s="76"/>
      <c r="BA1320" s="76" t="b">
        <v>1</v>
      </c>
      <c r="BB1320" s="76" t="b">
        <v>1</v>
      </c>
      <c r="BC1320" s="76" t="b">
        <v>1</v>
      </c>
      <c r="BD1320" s="76" t="b">
        <v>0</v>
      </c>
      <c r="BE1320" s="76" t="b">
        <v>1</v>
      </c>
      <c r="BF1320" s="76" t="b">
        <v>0</v>
      </c>
      <c r="BG1320" s="76" t="b">
        <v>0</v>
      </c>
      <c r="BH1320" s="82" t="str">
        <f>HYPERLINK("https://pbs.twimg.com/profile_banners/1423786443684593671/1695736776")</f>
        <v>https://pbs.twimg.com/profile_banners/1423786443684593671/1695736776</v>
      </c>
      <c r="BI1320" s="76"/>
      <c r="BJ1320" s="76" t="s">
        <v>27595</v>
      </c>
      <c r="BK1320" s="76" t="b">
        <v>0</v>
      </c>
      <c r="BL1320" s="76"/>
      <c r="BM1320" s="76" t="s">
        <v>66</v>
      </c>
      <c r="BN1320" s="76" t="s">
        <v>27597</v>
      </c>
      <c r="BO1320" s="82" t="str">
        <f>HYPERLINK("https://twitter.com/eleduok1")</f>
        <v>https://twitter.com/eleduok1</v>
      </c>
      <c r="BP1320" s="2"/>
    </row>
    <row r="1321" spans="1:68" x14ac:dyDescent="0.25">
      <c r="A1321" s="62" t="s">
        <v>1983</v>
      </c>
      <c r="B1321" s="63"/>
      <c r="C1321" s="63"/>
      <c r="D1321" s="64"/>
      <c r="E1321" s="66"/>
      <c r="F1321" s="103" t="str">
        <f>HYPERLINK("https://pbs.twimg.com/profile_images/1664048879279505411/81IdKrVw_normal.png")</f>
        <v>https://pbs.twimg.com/profile_images/1664048879279505411/81IdKrVw_normal.png</v>
      </c>
      <c r="G1321" s="63"/>
      <c r="H1321" s="67"/>
      <c r="I1321" s="68"/>
      <c r="J1321" s="68"/>
      <c r="K1321" s="67" t="s">
        <v>28915</v>
      </c>
      <c r="L1321" s="71"/>
      <c r="M1321" s="72"/>
      <c r="N1321" s="72"/>
      <c r="O1321" s="73"/>
      <c r="P1321" s="74"/>
      <c r="Q1321" s="74"/>
      <c r="R1321" s="87"/>
      <c r="S1321" s="87"/>
      <c r="T1321" s="87"/>
      <c r="U1321" s="87"/>
      <c r="V1321" s="48"/>
      <c r="W1321" s="48"/>
      <c r="X1321" s="48"/>
      <c r="Y1321" s="48"/>
      <c r="Z1321" s="47"/>
      <c r="AA1321" s="69">
        <v>1321</v>
      </c>
      <c r="AB1321" s="69"/>
      <c r="AC1321" s="70"/>
      <c r="AD1321" s="76" t="s">
        <v>22540</v>
      </c>
      <c r="AE1321" s="81" t="s">
        <v>23760</v>
      </c>
      <c r="AF1321" s="76">
        <v>173515</v>
      </c>
      <c r="AG1321" s="76">
        <v>2654</v>
      </c>
      <c r="AH1321" s="76">
        <v>21510</v>
      </c>
      <c r="AI1321" s="76">
        <v>267</v>
      </c>
      <c r="AJ1321" s="76">
        <v>26670</v>
      </c>
      <c r="AK1321" s="76">
        <v>3083</v>
      </c>
      <c r="AL1321" s="76" t="b">
        <v>0</v>
      </c>
      <c r="AM1321" s="78">
        <v>42567.965011574073</v>
      </c>
      <c r="AN1321" s="76" t="s">
        <v>24532</v>
      </c>
      <c r="AO1321" s="76" t="s">
        <v>25885</v>
      </c>
      <c r="AP1321" s="82" t="str">
        <f>HYPERLINK("https://t.co/MDbB7JVEGq")</f>
        <v>https://t.co/MDbB7JVEGq</v>
      </c>
      <c r="AQ1321" s="82" t="str">
        <f>HYPERLINK("http://youtube.com/kmanus88")</f>
        <v>http://youtube.com/kmanus88</v>
      </c>
      <c r="AR1321" s="76" t="s">
        <v>27071</v>
      </c>
      <c r="AS1321" s="76" t="s">
        <v>27391</v>
      </c>
      <c r="AT1321" s="76" t="s">
        <v>27430</v>
      </c>
      <c r="AU1321" s="76" t="s">
        <v>27538</v>
      </c>
      <c r="AV1321" s="76">
        <v>1.70678883906945E+18</v>
      </c>
      <c r="AW1321" s="82" t="str">
        <f>HYPERLINK("https://t.co/MDbB7JVEGq")</f>
        <v>https://t.co/MDbB7JVEGq</v>
      </c>
      <c r="AX1321" s="76" t="b">
        <v>1</v>
      </c>
      <c r="AY1321" s="76"/>
      <c r="AZ1321" s="76"/>
      <c r="BA1321" s="76" t="b">
        <v>0</v>
      </c>
      <c r="BB1321" s="76" t="b">
        <v>1</v>
      </c>
      <c r="BC1321" s="76" t="b">
        <v>1</v>
      </c>
      <c r="BD1321" s="76" t="b">
        <v>0</v>
      </c>
      <c r="BE1321" s="76" t="b">
        <v>1</v>
      </c>
      <c r="BF1321" s="76" t="b">
        <v>0</v>
      </c>
      <c r="BG1321" s="76" t="b">
        <v>0</v>
      </c>
      <c r="BH1321" s="82" t="str">
        <f>HYPERLINK("https://pbs.twimg.com/profile_banners/754452961019957248/1682299182")</f>
        <v>https://pbs.twimg.com/profile_banners/754452961019957248/1682299182</v>
      </c>
      <c r="BI1321" s="76"/>
      <c r="BJ1321" s="76" t="s">
        <v>27595</v>
      </c>
      <c r="BK1321" s="76" t="b">
        <v>0</v>
      </c>
      <c r="BL1321" s="76"/>
      <c r="BM1321" s="76" t="s">
        <v>65</v>
      </c>
      <c r="BN1321" s="76" t="s">
        <v>27597</v>
      </c>
      <c r="BO1321" s="82" t="str">
        <f>HYPERLINK("https://twitter.com/kmanus88")</f>
        <v>https://twitter.com/kmanus88</v>
      </c>
      <c r="BP1321" s="2"/>
    </row>
    <row r="1322" spans="1:68" x14ac:dyDescent="0.25">
      <c r="A1322" s="62" t="s">
        <v>1205</v>
      </c>
      <c r="B1322" s="63"/>
      <c r="C1322" s="63"/>
      <c r="D1322" s="64"/>
      <c r="E1322" s="66"/>
      <c r="F1322" s="103" t="str">
        <f>HYPERLINK("https://pbs.twimg.com/profile_images/1704642195125370880/AB2m1wNa_normal.jpg")</f>
        <v>https://pbs.twimg.com/profile_images/1704642195125370880/AB2m1wNa_normal.jpg</v>
      </c>
      <c r="G1322" s="63"/>
      <c r="H1322" s="67"/>
      <c r="I1322" s="68"/>
      <c r="J1322" s="68"/>
      <c r="K1322" s="67" t="s">
        <v>28916</v>
      </c>
      <c r="L1322" s="71"/>
      <c r="M1322" s="72"/>
      <c r="N1322" s="72"/>
      <c r="O1322" s="73"/>
      <c r="P1322" s="74"/>
      <c r="Q1322" s="74"/>
      <c r="R1322" s="87"/>
      <c r="S1322" s="87"/>
      <c r="T1322" s="87"/>
      <c r="U1322" s="87"/>
      <c r="V1322" s="48"/>
      <c r="W1322" s="48"/>
      <c r="X1322" s="48"/>
      <c r="Y1322" s="48"/>
      <c r="Z1322" s="47"/>
      <c r="AA1322" s="69">
        <v>1322</v>
      </c>
      <c r="AB1322" s="69"/>
      <c r="AC1322" s="70"/>
      <c r="AD1322" s="76" t="s">
        <v>22541</v>
      </c>
      <c r="AE1322" s="81" t="s">
        <v>20979</v>
      </c>
      <c r="AF1322" s="76">
        <v>29</v>
      </c>
      <c r="AG1322" s="76">
        <v>159</v>
      </c>
      <c r="AH1322" s="76">
        <v>711</v>
      </c>
      <c r="AI1322" s="76">
        <v>0</v>
      </c>
      <c r="AJ1322" s="76">
        <v>719</v>
      </c>
      <c r="AK1322" s="76">
        <v>167</v>
      </c>
      <c r="AL1322" s="76" t="b">
        <v>0</v>
      </c>
      <c r="AM1322" s="78">
        <v>45044.031273148146</v>
      </c>
      <c r="AN1322" s="76" t="s">
        <v>14503</v>
      </c>
      <c r="AO1322" s="76"/>
      <c r="AP1322" s="76"/>
      <c r="AQ1322" s="76"/>
      <c r="AR1322" s="76"/>
      <c r="AS1322" s="76"/>
      <c r="AT1322" s="76"/>
      <c r="AU1322" s="76"/>
      <c r="AV1322" s="76"/>
      <c r="AW1322" s="76"/>
      <c r="AX1322" s="76" t="b">
        <v>0</v>
      </c>
      <c r="AY1322" s="76"/>
      <c r="AZ1322" s="76"/>
      <c r="BA1322" s="76" t="b">
        <v>0</v>
      </c>
      <c r="BB1322" s="76" t="b">
        <v>1</v>
      </c>
      <c r="BC1322" s="76" t="b">
        <v>1</v>
      </c>
      <c r="BD1322" s="76" t="b">
        <v>0</v>
      </c>
      <c r="BE1322" s="76" t="b">
        <v>0</v>
      </c>
      <c r="BF1322" s="76" t="b">
        <v>0</v>
      </c>
      <c r="BG1322" s="76" t="b">
        <v>0</v>
      </c>
      <c r="BH1322" s="82" t="str">
        <f>HYPERLINK("https://pbs.twimg.com/profile_banners/1651749000473722880/1691532644")</f>
        <v>https://pbs.twimg.com/profile_banners/1651749000473722880/1691532644</v>
      </c>
      <c r="BI1322" s="76"/>
      <c r="BJ1322" s="76" t="s">
        <v>27595</v>
      </c>
      <c r="BK1322" s="76" t="b">
        <v>0</v>
      </c>
      <c r="BL1322" s="76"/>
      <c r="BM1322" s="76" t="s">
        <v>66</v>
      </c>
      <c r="BN1322" s="76" t="s">
        <v>27597</v>
      </c>
      <c r="BO1322" s="82" t="str">
        <f>HYPERLINK("https://twitter.com/luanalcantara99")</f>
        <v>https://twitter.com/luanalcantara99</v>
      </c>
      <c r="BP1322" s="2"/>
    </row>
    <row r="1323" spans="1:68" x14ac:dyDescent="0.25">
      <c r="A1323" s="62" t="s">
        <v>1206</v>
      </c>
      <c r="B1323" s="63"/>
      <c r="C1323" s="63"/>
      <c r="D1323" s="64"/>
      <c r="E1323" s="66"/>
      <c r="F1323" s="103" t="str">
        <f>HYPERLINK("https://pbs.twimg.com/profile_images/2428573943/s8rbsvsdglrs4bug1kr2_normal.jpeg")</f>
        <v>https://pbs.twimg.com/profile_images/2428573943/s8rbsvsdglrs4bug1kr2_normal.jpeg</v>
      </c>
      <c r="G1323" s="63"/>
      <c r="H1323" s="67"/>
      <c r="I1323" s="68"/>
      <c r="J1323" s="68"/>
      <c r="K1323" s="67" t="s">
        <v>28917</v>
      </c>
      <c r="L1323" s="71"/>
      <c r="M1323" s="72"/>
      <c r="N1323" s="72"/>
      <c r="O1323" s="73"/>
      <c r="P1323" s="74"/>
      <c r="Q1323" s="74"/>
      <c r="R1323" s="87"/>
      <c r="S1323" s="87"/>
      <c r="T1323" s="87"/>
      <c r="U1323" s="87"/>
      <c r="V1323" s="48"/>
      <c r="W1323" s="48"/>
      <c r="X1323" s="48"/>
      <c r="Y1323" s="48"/>
      <c r="Z1323" s="47"/>
      <c r="AA1323" s="69">
        <v>1323</v>
      </c>
      <c r="AB1323" s="69"/>
      <c r="AC1323" s="70"/>
      <c r="AD1323" s="76" t="s">
        <v>22542</v>
      </c>
      <c r="AE1323" s="81" t="s">
        <v>23761</v>
      </c>
      <c r="AF1323" s="76">
        <v>638</v>
      </c>
      <c r="AG1323" s="76">
        <v>1036</v>
      </c>
      <c r="AH1323" s="76">
        <v>19234</v>
      </c>
      <c r="AI1323" s="76">
        <v>6</v>
      </c>
      <c r="AJ1323" s="76">
        <v>539</v>
      </c>
      <c r="AK1323" s="76">
        <v>4437</v>
      </c>
      <c r="AL1323" s="76" t="b">
        <v>0</v>
      </c>
      <c r="AM1323" s="78">
        <v>40553.882152777776</v>
      </c>
      <c r="AN1323" s="76" t="s">
        <v>24533</v>
      </c>
      <c r="AO1323" s="76" t="s">
        <v>25886</v>
      </c>
      <c r="AP1323" s="82" t="str">
        <f>HYPERLINK("http://t.co/hJrEPZ2T5q")</f>
        <v>http://t.co/hJrEPZ2T5q</v>
      </c>
      <c r="AQ1323" s="82" t="str">
        <f>HYPERLINK("http://www.jornaljogoserio.com.br")</f>
        <v>http://www.jornaljogoserio.com.br</v>
      </c>
      <c r="AR1323" s="76" t="s">
        <v>27072</v>
      </c>
      <c r="AS1323" s="76"/>
      <c r="AT1323" s="76"/>
      <c r="AU1323" s="76"/>
      <c r="AV1323" s="76"/>
      <c r="AW1323" s="82" t="str">
        <f>HYPERLINK("http://t.co/hJrEPZ2T5q")</f>
        <v>http://t.co/hJrEPZ2T5q</v>
      </c>
      <c r="AX1323" s="76" t="b">
        <v>0</v>
      </c>
      <c r="AY1323" s="76"/>
      <c r="AZ1323" s="76"/>
      <c r="BA1323" s="76" t="b">
        <v>0</v>
      </c>
      <c r="BB1323" s="76" t="b">
        <v>1</v>
      </c>
      <c r="BC1323" s="76" t="b">
        <v>0</v>
      </c>
      <c r="BD1323" s="76" t="b">
        <v>0</v>
      </c>
      <c r="BE1323" s="76" t="b">
        <v>0</v>
      </c>
      <c r="BF1323" s="76" t="b">
        <v>0</v>
      </c>
      <c r="BG1323" s="76" t="b">
        <v>1</v>
      </c>
      <c r="BH1323" s="82" t="str">
        <f>HYPERLINK("https://pbs.twimg.com/profile_banners/236550324/1568986070")</f>
        <v>https://pbs.twimg.com/profile_banners/236550324/1568986070</v>
      </c>
      <c r="BI1323" s="76"/>
      <c r="BJ1323" s="76" t="s">
        <v>27595</v>
      </c>
      <c r="BK1323" s="76" t="b">
        <v>0</v>
      </c>
      <c r="BL1323" s="76"/>
      <c r="BM1323" s="76" t="s">
        <v>66</v>
      </c>
      <c r="BN1323" s="76" t="s">
        <v>27597</v>
      </c>
      <c r="BO1323" s="82" t="str">
        <f>HYPERLINK("https://twitter.com/jornaljogoserio")</f>
        <v>https://twitter.com/jornaljogoserio</v>
      </c>
      <c r="BP1323" s="2"/>
    </row>
    <row r="1324" spans="1:68" x14ac:dyDescent="0.25">
      <c r="A1324" s="62" t="s">
        <v>1207</v>
      </c>
      <c r="B1324" s="63"/>
      <c r="C1324" s="63"/>
      <c r="D1324" s="64"/>
      <c r="E1324" s="66"/>
      <c r="F1324" s="103" t="str">
        <f>HYPERLINK("https://pbs.twimg.com/profile_images/1370933643812728833/FMS1FPZM_normal.jpg")</f>
        <v>https://pbs.twimg.com/profile_images/1370933643812728833/FMS1FPZM_normal.jpg</v>
      </c>
      <c r="G1324" s="63"/>
      <c r="H1324" s="67"/>
      <c r="I1324" s="68"/>
      <c r="J1324" s="68"/>
      <c r="K1324" s="67" t="s">
        <v>28918</v>
      </c>
      <c r="L1324" s="71"/>
      <c r="M1324" s="72"/>
      <c r="N1324" s="72"/>
      <c r="O1324" s="73"/>
      <c r="P1324" s="74"/>
      <c r="Q1324" s="74"/>
      <c r="R1324" s="87"/>
      <c r="S1324" s="87"/>
      <c r="T1324" s="87"/>
      <c r="U1324" s="87"/>
      <c r="V1324" s="48"/>
      <c r="W1324" s="48"/>
      <c r="X1324" s="48"/>
      <c r="Y1324" s="48"/>
      <c r="Z1324" s="47"/>
      <c r="AA1324" s="69">
        <v>1324</v>
      </c>
      <c r="AB1324" s="69"/>
      <c r="AC1324" s="70"/>
      <c r="AD1324" s="76" t="s">
        <v>22543</v>
      </c>
      <c r="AE1324" s="81" t="s">
        <v>20330</v>
      </c>
      <c r="AF1324" s="76">
        <v>242</v>
      </c>
      <c r="AG1324" s="76">
        <v>412</v>
      </c>
      <c r="AH1324" s="76">
        <v>21130</v>
      </c>
      <c r="AI1324" s="76">
        <v>0</v>
      </c>
      <c r="AJ1324" s="76">
        <v>18</v>
      </c>
      <c r="AK1324" s="76">
        <v>14242</v>
      </c>
      <c r="AL1324" s="76" t="b">
        <v>0</v>
      </c>
      <c r="AM1324" s="78">
        <v>44267.578506944446</v>
      </c>
      <c r="AN1324" s="76" t="s">
        <v>24534</v>
      </c>
      <c r="AO1324" s="76" t="s">
        <v>25887</v>
      </c>
      <c r="AP1324" s="82" t="str">
        <f>HYPERLINK("https://t.co/liJkWDR9ta")</f>
        <v>https://t.co/liJkWDR9ta</v>
      </c>
      <c r="AQ1324" s="82" t="str">
        <f>HYPERLINK("http://www.ahorasanjuan.com")</f>
        <v>http://www.ahorasanjuan.com</v>
      </c>
      <c r="AR1324" s="76" t="s">
        <v>27073</v>
      </c>
      <c r="AS1324" s="76"/>
      <c r="AT1324" s="76"/>
      <c r="AU1324" s="76"/>
      <c r="AV1324" s="76"/>
      <c r="AW1324" s="82" t="str">
        <f>HYPERLINK("https://t.co/liJkWDR9ta")</f>
        <v>https://t.co/liJkWDR9ta</v>
      </c>
      <c r="AX1324" s="76" t="b">
        <v>0</v>
      </c>
      <c r="AY1324" s="76"/>
      <c r="AZ1324" s="76"/>
      <c r="BA1324" s="76" t="b">
        <v>0</v>
      </c>
      <c r="BB1324" s="76" t="b">
        <v>1</v>
      </c>
      <c r="BC1324" s="76" t="b">
        <v>1</v>
      </c>
      <c r="BD1324" s="76" t="b">
        <v>0</v>
      </c>
      <c r="BE1324" s="76" t="b">
        <v>0</v>
      </c>
      <c r="BF1324" s="76" t="b">
        <v>0</v>
      </c>
      <c r="BG1324" s="76" t="b">
        <v>0</v>
      </c>
      <c r="BH1324" s="82" t="str">
        <f>HYPERLINK("https://pbs.twimg.com/profile_banners/1370372065904242695/1663718460")</f>
        <v>https://pbs.twimg.com/profile_banners/1370372065904242695/1663718460</v>
      </c>
      <c r="BI1324" s="76"/>
      <c r="BJ1324" s="76" t="s">
        <v>27595</v>
      </c>
      <c r="BK1324" s="76" t="b">
        <v>0</v>
      </c>
      <c r="BL1324" s="76"/>
      <c r="BM1324" s="76" t="s">
        <v>66</v>
      </c>
      <c r="BN1324" s="76" t="s">
        <v>27597</v>
      </c>
      <c r="BO1324" s="82" t="str">
        <f>HYPERLINK("https://twitter.com/ahorasanjuan")</f>
        <v>https://twitter.com/ahorasanjuan</v>
      </c>
      <c r="BP1324" s="2"/>
    </row>
    <row r="1325" spans="1:68" x14ac:dyDescent="0.25">
      <c r="A1325" s="62" t="s">
        <v>1209</v>
      </c>
      <c r="B1325" s="63"/>
      <c r="C1325" s="63"/>
      <c r="D1325" s="64"/>
      <c r="E1325" s="66"/>
      <c r="F1325" s="103" t="str">
        <f>HYPERLINK("https://pbs.twimg.com/profile_images/1309523082600755202/XuuCDnGT_normal.jpg")</f>
        <v>https://pbs.twimg.com/profile_images/1309523082600755202/XuuCDnGT_normal.jpg</v>
      </c>
      <c r="G1325" s="63"/>
      <c r="H1325" s="67"/>
      <c r="I1325" s="68"/>
      <c r="J1325" s="68"/>
      <c r="K1325" s="67" t="s">
        <v>28919</v>
      </c>
      <c r="L1325" s="71"/>
      <c r="M1325" s="72"/>
      <c r="N1325" s="72"/>
      <c r="O1325" s="73"/>
      <c r="P1325" s="74"/>
      <c r="Q1325" s="74"/>
      <c r="R1325" s="87"/>
      <c r="S1325" s="87"/>
      <c r="T1325" s="87"/>
      <c r="U1325" s="87"/>
      <c r="V1325" s="48"/>
      <c r="W1325" s="48"/>
      <c r="X1325" s="48"/>
      <c r="Y1325" s="48"/>
      <c r="Z1325" s="47"/>
      <c r="AA1325" s="69">
        <v>1325</v>
      </c>
      <c r="AB1325" s="69"/>
      <c r="AC1325" s="70"/>
      <c r="AD1325" s="76" t="s">
        <v>1209</v>
      </c>
      <c r="AE1325" s="81" t="s">
        <v>20980</v>
      </c>
      <c r="AF1325" s="76">
        <v>38</v>
      </c>
      <c r="AG1325" s="76">
        <v>53</v>
      </c>
      <c r="AH1325" s="76">
        <v>4885</v>
      </c>
      <c r="AI1325" s="76">
        <v>0</v>
      </c>
      <c r="AJ1325" s="76">
        <v>31077</v>
      </c>
      <c r="AK1325" s="76">
        <v>0</v>
      </c>
      <c r="AL1325" s="76" t="b">
        <v>0</v>
      </c>
      <c r="AM1325" s="78">
        <v>44099.663217592592</v>
      </c>
      <c r="AN1325" s="76"/>
      <c r="AO1325" s="76"/>
      <c r="AP1325" s="76"/>
      <c r="AQ1325" s="76"/>
      <c r="AR1325" s="76"/>
      <c r="AS1325" s="76"/>
      <c r="AT1325" s="76"/>
      <c r="AU1325" s="76"/>
      <c r="AV1325" s="76"/>
      <c r="AW1325" s="76"/>
      <c r="AX1325" s="76" t="b">
        <v>0</v>
      </c>
      <c r="AY1325" s="76"/>
      <c r="AZ1325" s="76"/>
      <c r="BA1325" s="76" t="b">
        <v>0</v>
      </c>
      <c r="BB1325" s="76" t="b">
        <v>1</v>
      </c>
      <c r="BC1325" s="76" t="b">
        <v>1</v>
      </c>
      <c r="BD1325" s="76" t="b">
        <v>0</v>
      </c>
      <c r="BE1325" s="76" t="b">
        <v>0</v>
      </c>
      <c r="BF1325" s="76" t="b">
        <v>0</v>
      </c>
      <c r="BG1325" s="76" t="b">
        <v>0</v>
      </c>
      <c r="BH1325" s="76"/>
      <c r="BI1325" s="76"/>
      <c r="BJ1325" s="76" t="s">
        <v>27595</v>
      </c>
      <c r="BK1325" s="76" t="b">
        <v>0</v>
      </c>
      <c r="BL1325" s="76"/>
      <c r="BM1325" s="76" t="s">
        <v>66</v>
      </c>
      <c r="BN1325" s="76" t="s">
        <v>27597</v>
      </c>
      <c r="BO1325" s="82" t="str">
        <f>HYPERLINK("https://twitter.com/chongui64")</f>
        <v>https://twitter.com/chongui64</v>
      </c>
      <c r="BP1325" s="2"/>
    </row>
    <row r="1326" spans="1:68" x14ac:dyDescent="0.25">
      <c r="A1326" s="62" t="s">
        <v>1210</v>
      </c>
      <c r="B1326" s="63"/>
      <c r="C1326" s="63"/>
      <c r="D1326" s="64"/>
      <c r="E1326" s="66"/>
      <c r="F1326" s="103" t="str">
        <f>HYPERLINK("https://pbs.twimg.com/profile_images/1458636698796150785/t-j8s6In_normal.jpg")</f>
        <v>https://pbs.twimg.com/profile_images/1458636698796150785/t-j8s6In_normal.jpg</v>
      </c>
      <c r="G1326" s="63"/>
      <c r="H1326" s="67"/>
      <c r="I1326" s="68"/>
      <c r="J1326" s="68"/>
      <c r="K1326" s="67" t="s">
        <v>28920</v>
      </c>
      <c r="L1326" s="71"/>
      <c r="M1326" s="72"/>
      <c r="N1326" s="72"/>
      <c r="O1326" s="73"/>
      <c r="P1326" s="74"/>
      <c r="Q1326" s="74"/>
      <c r="R1326" s="87"/>
      <c r="S1326" s="87"/>
      <c r="T1326" s="87"/>
      <c r="U1326" s="87"/>
      <c r="V1326" s="48"/>
      <c r="W1326" s="48"/>
      <c r="X1326" s="48"/>
      <c r="Y1326" s="48"/>
      <c r="Z1326" s="47"/>
      <c r="AA1326" s="69">
        <v>1326</v>
      </c>
      <c r="AB1326" s="69"/>
      <c r="AC1326" s="70"/>
      <c r="AD1326" s="76" t="s">
        <v>22544</v>
      </c>
      <c r="AE1326" s="81" t="s">
        <v>20981</v>
      </c>
      <c r="AF1326" s="76">
        <v>83</v>
      </c>
      <c r="AG1326" s="76">
        <v>410</v>
      </c>
      <c r="AH1326" s="76">
        <v>3195</v>
      </c>
      <c r="AI1326" s="76">
        <v>1</v>
      </c>
      <c r="AJ1326" s="76">
        <v>1</v>
      </c>
      <c r="AK1326" s="76">
        <v>8</v>
      </c>
      <c r="AL1326" s="76" t="b">
        <v>0</v>
      </c>
      <c r="AM1326" s="78">
        <v>44511.141932870371</v>
      </c>
      <c r="AN1326" s="76" t="s">
        <v>24114</v>
      </c>
      <c r="AO1326" s="76" t="s">
        <v>25888</v>
      </c>
      <c r="AP1326" s="82" t="str">
        <f>HYPERLINK("https://t.co/98QXDsjREY")</f>
        <v>https://t.co/98QXDsjREY</v>
      </c>
      <c r="AQ1326" s="82" t="str">
        <f>HYPERLINK("http://www.treslineas.com.ar")</f>
        <v>http://www.treslineas.com.ar</v>
      </c>
      <c r="AR1326" s="76" t="s">
        <v>27074</v>
      </c>
      <c r="AS1326" s="82" t="str">
        <f>HYPERLINK("https://t.co/LVSES1cKDm")</f>
        <v>https://t.co/LVSES1cKDm</v>
      </c>
      <c r="AT1326" s="82" t="str">
        <f>HYPERLINK("http://facebook.com/treslineasar")</f>
        <v>http://facebook.com/treslineasar</v>
      </c>
      <c r="AU1326" s="76" t="s">
        <v>27539</v>
      </c>
      <c r="AV1326" s="76">
        <v>1.58275475651405E+18</v>
      </c>
      <c r="AW1326" s="82" t="str">
        <f>HYPERLINK("https://t.co/98QXDsjREY")</f>
        <v>https://t.co/98QXDsjREY</v>
      </c>
      <c r="AX1326" s="76" t="b">
        <v>0</v>
      </c>
      <c r="AY1326" s="76"/>
      <c r="AZ1326" s="76"/>
      <c r="BA1326" s="76" t="b">
        <v>0</v>
      </c>
      <c r="BB1326" s="76" t="b">
        <v>1</v>
      </c>
      <c r="BC1326" s="76" t="b">
        <v>1</v>
      </c>
      <c r="BD1326" s="76" t="b">
        <v>0</v>
      </c>
      <c r="BE1326" s="76" t="b">
        <v>0</v>
      </c>
      <c r="BF1326" s="76" t="b">
        <v>0</v>
      </c>
      <c r="BG1326" s="76" t="b">
        <v>0</v>
      </c>
      <c r="BH1326" s="82" t="str">
        <f>HYPERLINK("https://pbs.twimg.com/profile_banners/1458636639819948033/1646935256")</f>
        <v>https://pbs.twimg.com/profile_banners/1458636639819948033/1646935256</v>
      </c>
      <c r="BI1326" s="76"/>
      <c r="BJ1326" s="76" t="s">
        <v>27595</v>
      </c>
      <c r="BK1326" s="76" t="b">
        <v>0</v>
      </c>
      <c r="BL1326" s="76"/>
      <c r="BM1326" s="76" t="s">
        <v>66</v>
      </c>
      <c r="BN1326" s="76" t="s">
        <v>27597</v>
      </c>
      <c r="BO1326" s="82" t="str">
        <f>HYPERLINK("https://twitter.com/treslineasar")</f>
        <v>https://twitter.com/treslineasar</v>
      </c>
      <c r="BP1326" s="2"/>
    </row>
    <row r="1327" spans="1:68" x14ac:dyDescent="0.25">
      <c r="A1327" s="62" t="s">
        <v>1211</v>
      </c>
      <c r="B1327" s="63"/>
      <c r="C1327" s="63"/>
      <c r="D1327" s="64"/>
      <c r="E1327" s="66"/>
      <c r="F1327" s="103" t="str">
        <f>HYPERLINK("https://pbs.twimg.com/profile_images/1004005440961859584/qbdcB79o_normal.jpg")</f>
        <v>https://pbs.twimg.com/profile_images/1004005440961859584/qbdcB79o_normal.jpg</v>
      </c>
      <c r="G1327" s="63"/>
      <c r="H1327" s="67"/>
      <c r="I1327" s="68"/>
      <c r="J1327" s="68"/>
      <c r="K1327" s="67" t="s">
        <v>28921</v>
      </c>
      <c r="L1327" s="71"/>
      <c r="M1327" s="72"/>
      <c r="N1327" s="72"/>
      <c r="O1327" s="73"/>
      <c r="P1327" s="74"/>
      <c r="Q1327" s="74"/>
      <c r="R1327" s="87"/>
      <c r="S1327" s="87"/>
      <c r="T1327" s="87"/>
      <c r="U1327" s="87"/>
      <c r="V1327" s="48"/>
      <c r="W1327" s="48"/>
      <c r="X1327" s="48"/>
      <c r="Y1327" s="48"/>
      <c r="Z1327" s="47"/>
      <c r="AA1327" s="69">
        <v>1327</v>
      </c>
      <c r="AB1327" s="69"/>
      <c r="AC1327" s="70"/>
      <c r="AD1327" s="76" t="s">
        <v>22545</v>
      </c>
      <c r="AE1327" s="81" t="s">
        <v>23762</v>
      </c>
      <c r="AF1327" s="76">
        <v>667</v>
      </c>
      <c r="AG1327" s="76">
        <v>677</v>
      </c>
      <c r="AH1327" s="76">
        <v>10208</v>
      </c>
      <c r="AI1327" s="76">
        <v>6</v>
      </c>
      <c r="AJ1327" s="76">
        <v>2910</v>
      </c>
      <c r="AK1327" s="76">
        <v>758</v>
      </c>
      <c r="AL1327" s="76" t="b">
        <v>0</v>
      </c>
      <c r="AM1327" s="78">
        <v>39938.835752314815</v>
      </c>
      <c r="AN1327" s="76"/>
      <c r="AO1327" s="76" t="s">
        <v>25889</v>
      </c>
      <c r="AP1327" s="76"/>
      <c r="AQ1327" s="76"/>
      <c r="AR1327" s="76"/>
      <c r="AS1327" s="76"/>
      <c r="AT1327" s="76"/>
      <c r="AU1327" s="76"/>
      <c r="AV1327" s="76"/>
      <c r="AW1327" s="76"/>
      <c r="AX1327" s="76" t="b">
        <v>0</v>
      </c>
      <c r="AY1327" s="76"/>
      <c r="AZ1327" s="76"/>
      <c r="BA1327" s="76" t="b">
        <v>0</v>
      </c>
      <c r="BB1327" s="76" t="b">
        <v>1</v>
      </c>
      <c r="BC1327" s="76" t="b">
        <v>0</v>
      </c>
      <c r="BD1327" s="76" t="b">
        <v>0</v>
      </c>
      <c r="BE1327" s="76" t="b">
        <v>0</v>
      </c>
      <c r="BF1327" s="76" t="b">
        <v>0</v>
      </c>
      <c r="BG1327" s="76" t="b">
        <v>0</v>
      </c>
      <c r="BH1327" s="82" t="str">
        <f>HYPERLINK("https://pbs.twimg.com/profile_banners/38005749/1516973613")</f>
        <v>https://pbs.twimg.com/profile_banners/38005749/1516973613</v>
      </c>
      <c r="BI1327" s="76"/>
      <c r="BJ1327" s="76" t="s">
        <v>27595</v>
      </c>
      <c r="BK1327" s="76" t="b">
        <v>0</v>
      </c>
      <c r="BL1327" s="76"/>
      <c r="BM1327" s="76" t="s">
        <v>66</v>
      </c>
      <c r="BN1327" s="76" t="s">
        <v>27597</v>
      </c>
      <c r="BO1327" s="82" t="str">
        <f>HYPERLINK("https://twitter.com/diegopenizzotto")</f>
        <v>https://twitter.com/diegopenizzotto</v>
      </c>
      <c r="BP1327" s="2"/>
    </row>
    <row r="1328" spans="1:68" x14ac:dyDescent="0.25">
      <c r="A1328" s="62" t="s">
        <v>1984</v>
      </c>
      <c r="B1328" s="63"/>
      <c r="C1328" s="63"/>
      <c r="D1328" s="64"/>
      <c r="E1328" s="66"/>
      <c r="F1328" s="103" t="str">
        <f>HYPERLINK("https://pbs.twimg.com/profile_images/1316154035137908742/GpopI0kI_normal.jpg")</f>
        <v>https://pbs.twimg.com/profile_images/1316154035137908742/GpopI0kI_normal.jpg</v>
      </c>
      <c r="G1328" s="63"/>
      <c r="H1328" s="67"/>
      <c r="I1328" s="68"/>
      <c r="J1328" s="68"/>
      <c r="K1328" s="67" t="s">
        <v>28922</v>
      </c>
      <c r="L1328" s="71"/>
      <c r="M1328" s="72"/>
      <c r="N1328" s="72"/>
      <c r="O1328" s="73"/>
      <c r="P1328" s="74"/>
      <c r="Q1328" s="74"/>
      <c r="R1328" s="87"/>
      <c r="S1328" s="87"/>
      <c r="T1328" s="87"/>
      <c r="U1328" s="87"/>
      <c r="V1328" s="48"/>
      <c r="W1328" s="48"/>
      <c r="X1328" s="48"/>
      <c r="Y1328" s="48"/>
      <c r="Z1328" s="47"/>
      <c r="AA1328" s="69">
        <v>1328</v>
      </c>
      <c r="AB1328" s="69"/>
      <c r="AC1328" s="70"/>
      <c r="AD1328" s="76" t="s">
        <v>22546</v>
      </c>
      <c r="AE1328" s="81" t="s">
        <v>23763</v>
      </c>
      <c r="AF1328" s="76">
        <v>177895</v>
      </c>
      <c r="AG1328" s="76">
        <v>567</v>
      </c>
      <c r="AH1328" s="76">
        <v>6281</v>
      </c>
      <c r="AI1328" s="76">
        <v>817</v>
      </c>
      <c r="AJ1328" s="76">
        <v>216</v>
      </c>
      <c r="AK1328" s="76">
        <v>446</v>
      </c>
      <c r="AL1328" s="76" t="b">
        <v>0</v>
      </c>
      <c r="AM1328" s="78">
        <v>39718.983634259261</v>
      </c>
      <c r="AN1328" s="76"/>
      <c r="AO1328" s="76" t="s">
        <v>25890</v>
      </c>
      <c r="AP1328" s="82" t="str">
        <f>HYPERLINK("https://t.co/Adk0ZNZDer")</f>
        <v>https://t.co/Adk0ZNZDer</v>
      </c>
      <c r="AQ1328" s="82" t="str">
        <f>HYPERLINK("http://www.fsturzenegger.com.ar")</f>
        <v>http://www.fsturzenegger.com.ar</v>
      </c>
      <c r="AR1328" s="76" t="s">
        <v>27075</v>
      </c>
      <c r="AS1328" s="76"/>
      <c r="AT1328" s="76"/>
      <c r="AU1328" s="76"/>
      <c r="AV1328" s="76"/>
      <c r="AW1328" s="82" t="str">
        <f>HYPERLINK("https://t.co/Adk0ZNZDer")</f>
        <v>https://t.co/Adk0ZNZDer</v>
      </c>
      <c r="AX1328" s="76" t="b">
        <v>0</v>
      </c>
      <c r="AY1328" s="76"/>
      <c r="AZ1328" s="76"/>
      <c r="BA1328" s="76" t="b">
        <v>0</v>
      </c>
      <c r="BB1328" s="76" t="b">
        <v>1</v>
      </c>
      <c r="BC1328" s="76" t="b">
        <v>0</v>
      </c>
      <c r="BD1328" s="76" t="b">
        <v>0</v>
      </c>
      <c r="BE1328" s="76" t="b">
        <v>1</v>
      </c>
      <c r="BF1328" s="76" t="b">
        <v>0</v>
      </c>
      <c r="BG1328" s="76" t="b">
        <v>0</v>
      </c>
      <c r="BH1328" s="82" t="str">
        <f>HYPERLINK("https://pbs.twimg.com/profile_banners/16492551/1589237143")</f>
        <v>https://pbs.twimg.com/profile_banners/16492551/1589237143</v>
      </c>
      <c r="BI1328" s="76"/>
      <c r="BJ1328" s="76" t="s">
        <v>27595</v>
      </c>
      <c r="BK1328" s="76" t="b">
        <v>0</v>
      </c>
      <c r="BL1328" s="76"/>
      <c r="BM1328" s="76" t="s">
        <v>65</v>
      </c>
      <c r="BN1328" s="76" t="s">
        <v>27597</v>
      </c>
      <c r="BO1328" s="82" t="str">
        <f>HYPERLINK("https://twitter.com/fedesturze")</f>
        <v>https://twitter.com/fedesturze</v>
      </c>
      <c r="BP1328" s="2"/>
    </row>
    <row r="1329" spans="1:68" x14ac:dyDescent="0.25">
      <c r="A1329" s="62" t="s">
        <v>1212</v>
      </c>
      <c r="B1329" s="63"/>
      <c r="C1329" s="63"/>
      <c r="D1329" s="64"/>
      <c r="E1329" s="66"/>
      <c r="F1329" s="103" t="str">
        <f>HYPERLINK("https://pbs.twimg.com/profile_images/1667242796766445568/Ia76X1tu_normal.jpg")</f>
        <v>https://pbs.twimg.com/profile_images/1667242796766445568/Ia76X1tu_normal.jpg</v>
      </c>
      <c r="G1329" s="63"/>
      <c r="H1329" s="67"/>
      <c r="I1329" s="68"/>
      <c r="J1329" s="68"/>
      <c r="K1329" s="67" t="s">
        <v>28923</v>
      </c>
      <c r="L1329" s="71"/>
      <c r="M1329" s="72"/>
      <c r="N1329" s="72"/>
      <c r="O1329" s="73"/>
      <c r="P1329" s="74"/>
      <c r="Q1329" s="74"/>
      <c r="R1329" s="87"/>
      <c r="S1329" s="87"/>
      <c r="T1329" s="87"/>
      <c r="U1329" s="87"/>
      <c r="V1329" s="48"/>
      <c r="W1329" s="48"/>
      <c r="X1329" s="48"/>
      <c r="Y1329" s="48"/>
      <c r="Z1329" s="47"/>
      <c r="AA1329" s="69">
        <v>1329</v>
      </c>
      <c r="AB1329" s="69"/>
      <c r="AC1329" s="70"/>
      <c r="AD1329" s="76" t="s">
        <v>22547</v>
      </c>
      <c r="AE1329" s="81" t="s">
        <v>20982</v>
      </c>
      <c r="AF1329" s="76">
        <v>4</v>
      </c>
      <c r="AG1329" s="76">
        <v>96</v>
      </c>
      <c r="AH1329" s="76">
        <v>70</v>
      </c>
      <c r="AI1329" s="76">
        <v>0</v>
      </c>
      <c r="AJ1329" s="76">
        <v>203</v>
      </c>
      <c r="AK1329" s="76">
        <v>26</v>
      </c>
      <c r="AL1329" s="76" t="b">
        <v>0</v>
      </c>
      <c r="AM1329" s="78">
        <v>45086.782164351855</v>
      </c>
      <c r="AN1329" s="76"/>
      <c r="AO1329" s="76" t="s">
        <v>25891</v>
      </c>
      <c r="AP1329" s="76"/>
      <c r="AQ1329" s="76"/>
      <c r="AR1329" s="76"/>
      <c r="AS1329" s="76"/>
      <c r="AT1329" s="76"/>
      <c r="AU1329" s="76"/>
      <c r="AV1329" s="76"/>
      <c r="AW1329" s="76"/>
      <c r="AX1329" s="76" t="b">
        <v>0</v>
      </c>
      <c r="AY1329" s="76"/>
      <c r="AZ1329" s="76"/>
      <c r="BA1329" s="76" t="b">
        <v>0</v>
      </c>
      <c r="BB1329" s="76" t="b">
        <v>1</v>
      </c>
      <c r="BC1329" s="76" t="b">
        <v>1</v>
      </c>
      <c r="BD1329" s="76" t="b">
        <v>0</v>
      </c>
      <c r="BE1329" s="76" t="b">
        <v>0</v>
      </c>
      <c r="BF1329" s="76" t="b">
        <v>0</v>
      </c>
      <c r="BG1329" s="76" t="b">
        <v>0</v>
      </c>
      <c r="BH1329" s="82" t="str">
        <f>HYPERLINK("https://pbs.twimg.com/profile_banners/1667241589930860549/1686351555")</f>
        <v>https://pbs.twimg.com/profile_banners/1667241589930860549/1686351555</v>
      </c>
      <c r="BI1329" s="76"/>
      <c r="BJ1329" s="76" t="s">
        <v>27595</v>
      </c>
      <c r="BK1329" s="76" t="b">
        <v>0</v>
      </c>
      <c r="BL1329" s="76"/>
      <c r="BM1329" s="76" t="s">
        <v>66</v>
      </c>
      <c r="BN1329" s="76" t="s">
        <v>27597</v>
      </c>
      <c r="BO1329" s="82" t="str">
        <f>HYPERLINK("https://twitter.com/thepatologico")</f>
        <v>https://twitter.com/thepatologico</v>
      </c>
      <c r="BP1329" s="2"/>
    </row>
    <row r="1330" spans="1:68" x14ac:dyDescent="0.25">
      <c r="A1330" s="62" t="s">
        <v>1985</v>
      </c>
      <c r="B1330" s="63"/>
      <c r="C1330" s="63"/>
      <c r="D1330" s="64"/>
      <c r="E1330" s="66"/>
      <c r="F1330" s="103" t="str">
        <f>HYPERLINK("https://pbs.twimg.com/profile_images/1221967496640704512/3lOox3Kt_normal.jpg")</f>
        <v>https://pbs.twimg.com/profile_images/1221967496640704512/3lOox3Kt_normal.jpg</v>
      </c>
      <c r="G1330" s="63"/>
      <c r="H1330" s="67"/>
      <c r="I1330" s="68"/>
      <c r="J1330" s="68"/>
      <c r="K1330" s="67" t="s">
        <v>28924</v>
      </c>
      <c r="L1330" s="71"/>
      <c r="M1330" s="72"/>
      <c r="N1330" s="72"/>
      <c r="O1330" s="73"/>
      <c r="P1330" s="74"/>
      <c r="Q1330" s="74"/>
      <c r="R1330" s="87"/>
      <c r="S1330" s="87"/>
      <c r="T1330" s="87"/>
      <c r="U1330" s="87"/>
      <c r="V1330" s="48"/>
      <c r="W1330" s="48"/>
      <c r="X1330" s="48"/>
      <c r="Y1330" s="48"/>
      <c r="Z1330" s="47"/>
      <c r="AA1330" s="69">
        <v>1330</v>
      </c>
      <c r="AB1330" s="69"/>
      <c r="AC1330" s="70"/>
      <c r="AD1330" s="76" t="s">
        <v>22548</v>
      </c>
      <c r="AE1330" s="81" t="s">
        <v>20331</v>
      </c>
      <c r="AF1330" s="76">
        <v>2248204</v>
      </c>
      <c r="AG1330" s="76">
        <v>1636</v>
      </c>
      <c r="AH1330" s="76">
        <v>17776</v>
      </c>
      <c r="AI1330" s="76">
        <v>2536</v>
      </c>
      <c r="AJ1330" s="76">
        <v>20044</v>
      </c>
      <c r="AK1330" s="76">
        <v>5430</v>
      </c>
      <c r="AL1330" s="76" t="b">
        <v>0</v>
      </c>
      <c r="AM1330" s="78">
        <v>42589.902314814812</v>
      </c>
      <c r="AN1330" s="76"/>
      <c r="AO1330" s="76" t="s">
        <v>25892</v>
      </c>
      <c r="AP1330" s="82" t="str">
        <f>HYPERLINK("https://t.co/iVvmiYa0Pr")</f>
        <v>https://t.co/iVvmiYa0Pr</v>
      </c>
      <c r="AQ1330" s="82" t="str">
        <f>HYPERLINK("https://linktr.ee/guilhermeboulos.oficial")</f>
        <v>https://linktr.ee/guilhermeboulos.oficial</v>
      </c>
      <c r="AR1330" s="76" t="s">
        <v>27076</v>
      </c>
      <c r="AS1330" s="76"/>
      <c r="AT1330" s="76"/>
      <c r="AU1330" s="76"/>
      <c r="AV1330" s="76"/>
      <c r="AW1330" s="82" t="str">
        <f>HYPERLINK("https://t.co/iVvmiYa0Pr")</f>
        <v>https://t.co/iVvmiYa0Pr</v>
      </c>
      <c r="AX1330" s="76" t="b">
        <v>1</v>
      </c>
      <c r="AY1330" s="76"/>
      <c r="AZ1330" s="76"/>
      <c r="BA1330" s="76" t="b">
        <v>0</v>
      </c>
      <c r="BB1330" s="76" t="b">
        <v>1</v>
      </c>
      <c r="BC1330" s="76" t="b">
        <v>0</v>
      </c>
      <c r="BD1330" s="76" t="b">
        <v>0</v>
      </c>
      <c r="BE1330" s="76" t="b">
        <v>1</v>
      </c>
      <c r="BF1330" s="76" t="b">
        <v>0</v>
      </c>
      <c r="BG1330" s="76" t="b">
        <v>0</v>
      </c>
      <c r="BH1330" s="82" t="str">
        <f>HYPERLINK("https://pbs.twimg.com/profile_banners/762402774260875265/1664923910")</f>
        <v>https://pbs.twimg.com/profile_banners/762402774260875265/1664923910</v>
      </c>
      <c r="BI1330" s="76"/>
      <c r="BJ1330" s="76" t="s">
        <v>27595</v>
      </c>
      <c r="BK1330" s="76" t="b">
        <v>0</v>
      </c>
      <c r="BL1330" s="76"/>
      <c r="BM1330" s="76" t="s">
        <v>65</v>
      </c>
      <c r="BN1330" s="76" t="s">
        <v>27597</v>
      </c>
      <c r="BO1330" s="82" t="str">
        <f>HYPERLINK("https://twitter.com/guilhermeboulos")</f>
        <v>https://twitter.com/guilhermeboulos</v>
      </c>
      <c r="BP1330" s="2"/>
    </row>
    <row r="1331" spans="1:68" x14ac:dyDescent="0.25">
      <c r="A1331" s="62" t="s">
        <v>1213</v>
      </c>
      <c r="B1331" s="63"/>
      <c r="C1331" s="63"/>
      <c r="D1331" s="64"/>
      <c r="E1331" s="66"/>
      <c r="F1331" s="103" t="str">
        <f>HYPERLINK("https://pbs.twimg.com/profile_images/1602136776688209920/6oZLiWV2_normal.jpg")</f>
        <v>https://pbs.twimg.com/profile_images/1602136776688209920/6oZLiWV2_normal.jpg</v>
      </c>
      <c r="G1331" s="63"/>
      <c r="H1331" s="67"/>
      <c r="I1331" s="68"/>
      <c r="J1331" s="68"/>
      <c r="K1331" s="67" t="s">
        <v>28925</v>
      </c>
      <c r="L1331" s="71"/>
      <c r="M1331" s="72"/>
      <c r="N1331" s="72"/>
      <c r="O1331" s="73"/>
      <c r="P1331" s="74"/>
      <c r="Q1331" s="74"/>
      <c r="R1331" s="87"/>
      <c r="S1331" s="87"/>
      <c r="T1331" s="87"/>
      <c r="U1331" s="87"/>
      <c r="V1331" s="48"/>
      <c r="W1331" s="48"/>
      <c r="X1331" s="48"/>
      <c r="Y1331" s="48"/>
      <c r="Z1331" s="47"/>
      <c r="AA1331" s="69">
        <v>1331</v>
      </c>
      <c r="AB1331" s="69"/>
      <c r="AC1331" s="70"/>
      <c r="AD1331" s="76" t="s">
        <v>22549</v>
      </c>
      <c r="AE1331" s="81" t="s">
        <v>23764</v>
      </c>
      <c r="AF1331" s="76">
        <v>3421</v>
      </c>
      <c r="AG1331" s="76">
        <v>4996</v>
      </c>
      <c r="AH1331" s="76">
        <v>56732</v>
      </c>
      <c r="AI1331" s="76">
        <v>39</v>
      </c>
      <c r="AJ1331" s="76">
        <v>43436</v>
      </c>
      <c r="AK1331" s="76">
        <v>13818</v>
      </c>
      <c r="AL1331" s="76" t="b">
        <v>0</v>
      </c>
      <c r="AM1331" s="78">
        <v>39890.64571759259</v>
      </c>
      <c r="AN1331" s="76" t="s">
        <v>24535</v>
      </c>
      <c r="AO1331" s="76" t="s">
        <v>25893</v>
      </c>
      <c r="AP1331" s="82" t="str">
        <f>HYPERLINK("https://t.co/AzfCP8yELQ")</f>
        <v>https://t.co/AzfCP8yELQ</v>
      </c>
      <c r="AQ1331" s="82" t="str">
        <f>HYPERLINK("http://www.politicadistrital.com.br")</f>
        <v>http://www.politicadistrital.com.br</v>
      </c>
      <c r="AR1331" s="76" t="s">
        <v>26365</v>
      </c>
      <c r="AS1331" s="76"/>
      <c r="AT1331" s="76"/>
      <c r="AU1331" s="76"/>
      <c r="AV1331" s="76">
        <v>1.6451035328513101E+18</v>
      </c>
      <c r="AW1331" s="82" t="str">
        <f>HYPERLINK("https://t.co/AzfCP8yELQ")</f>
        <v>https://t.co/AzfCP8yELQ</v>
      </c>
      <c r="AX1331" s="76" t="b">
        <v>0</v>
      </c>
      <c r="AY1331" s="76"/>
      <c r="AZ1331" s="76"/>
      <c r="BA1331" s="76" t="b">
        <v>0</v>
      </c>
      <c r="BB1331" s="76" t="b">
        <v>1</v>
      </c>
      <c r="BC1331" s="76" t="b">
        <v>0</v>
      </c>
      <c r="BD1331" s="76" t="b">
        <v>0</v>
      </c>
      <c r="BE1331" s="76" t="b">
        <v>1</v>
      </c>
      <c r="BF1331" s="76" t="b">
        <v>0</v>
      </c>
      <c r="BG1331" s="76" t="b">
        <v>0</v>
      </c>
      <c r="BH1331" s="82" t="str">
        <f>HYPERLINK("https://pbs.twimg.com/profile_banners/25091081/1656247803")</f>
        <v>https://pbs.twimg.com/profile_banners/25091081/1656247803</v>
      </c>
      <c r="BI1331" s="76"/>
      <c r="BJ1331" s="76" t="s">
        <v>27595</v>
      </c>
      <c r="BK1331" s="76" t="b">
        <v>0</v>
      </c>
      <c r="BL1331" s="76"/>
      <c r="BM1331" s="76" t="s">
        <v>66</v>
      </c>
      <c r="BN1331" s="76" t="s">
        <v>27597</v>
      </c>
      <c r="BO1331" s="82" t="str">
        <f>HYPERLINK("https://twitter.com/kleberkarpov")</f>
        <v>https://twitter.com/kleberkarpov</v>
      </c>
      <c r="BP1331" s="2"/>
    </row>
    <row r="1332" spans="1:68" x14ac:dyDescent="0.25">
      <c r="A1332" s="62" t="s">
        <v>1986</v>
      </c>
      <c r="B1332" s="63"/>
      <c r="C1332" s="63"/>
      <c r="D1332" s="64"/>
      <c r="E1332" s="66"/>
      <c r="F1332" s="103" t="str">
        <f>HYPERLINK("https://pbs.twimg.com/profile_images/1683265308247703555/S5ubJ7Xd_normal.jpg")</f>
        <v>https://pbs.twimg.com/profile_images/1683265308247703555/S5ubJ7Xd_normal.jpg</v>
      </c>
      <c r="G1332" s="63"/>
      <c r="H1332" s="67"/>
      <c r="I1332" s="68"/>
      <c r="J1332" s="68"/>
      <c r="K1332" s="67" t="s">
        <v>28926</v>
      </c>
      <c r="L1332" s="71"/>
      <c r="M1332" s="72"/>
      <c r="N1332" s="72"/>
      <c r="O1332" s="73"/>
      <c r="P1332" s="74"/>
      <c r="Q1332" s="74"/>
      <c r="R1332" s="87"/>
      <c r="S1332" s="87"/>
      <c r="T1332" s="87"/>
      <c r="U1332" s="87"/>
      <c r="V1332" s="48"/>
      <c r="W1332" s="48"/>
      <c r="X1332" s="48"/>
      <c r="Y1332" s="48"/>
      <c r="Z1332" s="47"/>
      <c r="AA1332" s="69">
        <v>1332</v>
      </c>
      <c r="AB1332" s="69"/>
      <c r="AC1332" s="70"/>
      <c r="AD1332" s="76" t="s">
        <v>22550</v>
      </c>
      <c r="AE1332" s="81" t="s">
        <v>23765</v>
      </c>
      <c r="AF1332" s="76">
        <v>2299182</v>
      </c>
      <c r="AG1332" s="76">
        <v>451</v>
      </c>
      <c r="AH1332" s="76">
        <v>40045</v>
      </c>
      <c r="AI1332" s="76">
        <v>2294</v>
      </c>
      <c r="AJ1332" s="76">
        <v>243182</v>
      </c>
      <c r="AK1332" s="76">
        <v>11216</v>
      </c>
      <c r="AL1332" s="76" t="b">
        <v>0</v>
      </c>
      <c r="AM1332" s="78">
        <v>43176.911365740743</v>
      </c>
      <c r="AN1332" s="76" t="s">
        <v>14400</v>
      </c>
      <c r="AO1332" s="76" t="s">
        <v>25894</v>
      </c>
      <c r="AP1332" s="82" t="str">
        <f>HYPERLINK("https://t.co/EnzDWPQIst")</f>
        <v>https://t.co/EnzDWPQIst</v>
      </c>
      <c r="AQ1332" s="82" t="str">
        <f>HYPERLINK("https://www.carlazambelli.com.br")</f>
        <v>https://www.carlazambelli.com.br</v>
      </c>
      <c r="AR1332" s="76" t="s">
        <v>27077</v>
      </c>
      <c r="AS1332" s="76"/>
      <c r="AT1332" s="76"/>
      <c r="AU1332" s="76"/>
      <c r="AV1332" s="76"/>
      <c r="AW1332" s="82" t="str">
        <f>HYPERLINK("https://t.co/EnzDWPQIst")</f>
        <v>https://t.co/EnzDWPQIst</v>
      </c>
      <c r="AX1332" s="76" t="b">
        <v>1</v>
      </c>
      <c r="AY1332" s="76"/>
      <c r="AZ1332" s="76"/>
      <c r="BA1332" s="76" t="b">
        <v>0</v>
      </c>
      <c r="BB1332" s="76" t="b">
        <v>1</v>
      </c>
      <c r="BC1332" s="76" t="b">
        <v>0</v>
      </c>
      <c r="BD1332" s="76" t="b">
        <v>0</v>
      </c>
      <c r="BE1332" s="76" t="b">
        <v>1</v>
      </c>
      <c r="BF1332" s="76" t="b">
        <v>0</v>
      </c>
      <c r="BG1332" s="76" t="b">
        <v>0</v>
      </c>
      <c r="BH1332" s="82" t="str">
        <f>HYPERLINK("https://pbs.twimg.com/profile_banners/975127727501185025/1675812956")</f>
        <v>https://pbs.twimg.com/profile_banners/975127727501185025/1675812956</v>
      </c>
      <c r="BI1332" s="76"/>
      <c r="BJ1332" s="76" t="s">
        <v>27595</v>
      </c>
      <c r="BK1332" s="76" t="b">
        <v>0</v>
      </c>
      <c r="BL1332" s="76"/>
      <c r="BM1332" s="76" t="s">
        <v>65</v>
      </c>
      <c r="BN1332" s="76" t="s">
        <v>27597</v>
      </c>
      <c r="BO1332" s="82" t="str">
        <f>HYPERLINK("https://twitter.com/zambelli2210")</f>
        <v>https://twitter.com/zambelli2210</v>
      </c>
      <c r="BP1332" s="2"/>
    </row>
    <row r="1333" spans="1:68" x14ac:dyDescent="0.25">
      <c r="A1333" s="62" t="s">
        <v>1987</v>
      </c>
      <c r="B1333" s="63"/>
      <c r="C1333" s="63"/>
      <c r="D1333" s="64"/>
      <c r="E1333" s="66"/>
      <c r="F1333" s="103" t="str">
        <f>HYPERLINK("https://pbs.twimg.com/profile_images/1684146624371515392/WAT1_daH_normal.jpg")</f>
        <v>https://pbs.twimg.com/profile_images/1684146624371515392/WAT1_daH_normal.jpg</v>
      </c>
      <c r="G1333" s="63"/>
      <c r="H1333" s="67"/>
      <c r="I1333" s="68"/>
      <c r="J1333" s="68"/>
      <c r="K1333" s="67" t="s">
        <v>28927</v>
      </c>
      <c r="L1333" s="71"/>
      <c r="M1333" s="72"/>
      <c r="N1333" s="72"/>
      <c r="O1333" s="73"/>
      <c r="P1333" s="74"/>
      <c r="Q1333" s="74"/>
      <c r="R1333" s="87"/>
      <c r="S1333" s="87"/>
      <c r="T1333" s="87"/>
      <c r="U1333" s="87"/>
      <c r="V1333" s="48"/>
      <c r="W1333" s="48"/>
      <c r="X1333" s="48"/>
      <c r="Y1333" s="48"/>
      <c r="Z1333" s="47"/>
      <c r="AA1333" s="69">
        <v>1333</v>
      </c>
      <c r="AB1333" s="69"/>
      <c r="AC1333" s="70"/>
      <c r="AD1333" s="76" t="s">
        <v>22551</v>
      </c>
      <c r="AE1333" s="81" t="s">
        <v>23766</v>
      </c>
      <c r="AF1333" s="76">
        <v>97169</v>
      </c>
      <c r="AG1333" s="76">
        <v>45</v>
      </c>
      <c r="AH1333" s="76">
        <v>13185</v>
      </c>
      <c r="AI1333" s="76">
        <v>893</v>
      </c>
      <c r="AJ1333" s="76">
        <v>4694</v>
      </c>
      <c r="AK1333" s="76">
        <v>2840</v>
      </c>
      <c r="AL1333" s="76" t="b">
        <v>0</v>
      </c>
      <c r="AM1333" s="78">
        <v>40576.425625000003</v>
      </c>
      <c r="AN1333" s="76" t="s">
        <v>24536</v>
      </c>
      <c r="AO1333" s="76" t="s">
        <v>25895</v>
      </c>
      <c r="AP1333" s="82" t="str">
        <f>HYPERLINK("https://t.co/Yf5ZI9dkgi")</f>
        <v>https://t.co/Yf5ZI9dkgi</v>
      </c>
      <c r="AQ1333" s="82" t="str">
        <f>HYPERLINK("http://www.santander.com")</f>
        <v>http://www.santander.com</v>
      </c>
      <c r="AR1333" s="76" t="s">
        <v>27078</v>
      </c>
      <c r="AS1333" s="76"/>
      <c r="AT1333" s="76"/>
      <c r="AU1333" s="76"/>
      <c r="AV1333" s="76"/>
      <c r="AW1333" s="82" t="str">
        <f>HYPERLINK("https://t.co/Yf5ZI9dkgi")</f>
        <v>https://t.co/Yf5ZI9dkgi</v>
      </c>
      <c r="AX1333" s="76" t="b">
        <v>0</v>
      </c>
      <c r="AY1333" s="76"/>
      <c r="AZ1333" s="76"/>
      <c r="BA1333" s="76" t="b">
        <v>1</v>
      </c>
      <c r="BB1333" s="76" t="b">
        <v>1</v>
      </c>
      <c r="BC1333" s="76" t="b">
        <v>0</v>
      </c>
      <c r="BD1333" s="76" t="b">
        <v>0</v>
      </c>
      <c r="BE1333" s="76" t="b">
        <v>1</v>
      </c>
      <c r="BF1333" s="76" t="b">
        <v>0</v>
      </c>
      <c r="BG1333" s="76" t="b">
        <v>0</v>
      </c>
      <c r="BH1333" s="82" t="str">
        <f>HYPERLINK("https://pbs.twimg.com/profile_banners/246196403/1657103602")</f>
        <v>https://pbs.twimg.com/profile_banners/246196403/1657103602</v>
      </c>
      <c r="BI1333" s="76"/>
      <c r="BJ1333" s="76" t="s">
        <v>27595</v>
      </c>
      <c r="BK1333" s="76" t="b">
        <v>0</v>
      </c>
      <c r="BL1333" s="76"/>
      <c r="BM1333" s="76" t="s">
        <v>65</v>
      </c>
      <c r="BN1333" s="76" t="s">
        <v>27597</v>
      </c>
      <c r="BO1333" s="82" t="str">
        <f>HYPERLINK("https://twitter.com/bancosantander")</f>
        <v>https://twitter.com/bancosantander</v>
      </c>
      <c r="BP1333" s="2"/>
    </row>
    <row r="1334" spans="1:68" x14ac:dyDescent="0.25">
      <c r="A1334" s="62" t="s">
        <v>1988</v>
      </c>
      <c r="B1334" s="63"/>
      <c r="C1334" s="63"/>
      <c r="D1334" s="64"/>
      <c r="E1334" s="66"/>
      <c r="F1334" s="103" t="str">
        <f>HYPERLINK("https://pbs.twimg.com/profile_images/1637824582106087425/7_0FQJdn_normal.jpg")</f>
        <v>https://pbs.twimg.com/profile_images/1637824582106087425/7_0FQJdn_normal.jpg</v>
      </c>
      <c r="G1334" s="63"/>
      <c r="H1334" s="67"/>
      <c r="I1334" s="68"/>
      <c r="J1334" s="68"/>
      <c r="K1334" s="67" t="s">
        <v>28928</v>
      </c>
      <c r="L1334" s="71"/>
      <c r="M1334" s="72"/>
      <c r="N1334" s="72"/>
      <c r="O1334" s="73"/>
      <c r="P1334" s="74"/>
      <c r="Q1334" s="74"/>
      <c r="R1334" s="87"/>
      <c r="S1334" s="87"/>
      <c r="T1334" s="87"/>
      <c r="U1334" s="87"/>
      <c r="V1334" s="48"/>
      <c r="W1334" s="48"/>
      <c r="X1334" s="48"/>
      <c r="Y1334" s="48"/>
      <c r="Z1334" s="47"/>
      <c r="AA1334" s="69">
        <v>1334</v>
      </c>
      <c r="AB1334" s="69"/>
      <c r="AC1334" s="70"/>
      <c r="AD1334" s="76" t="s">
        <v>22552</v>
      </c>
      <c r="AE1334" s="81" t="s">
        <v>23767</v>
      </c>
      <c r="AF1334" s="76">
        <v>7083</v>
      </c>
      <c r="AG1334" s="76">
        <v>2861</v>
      </c>
      <c r="AH1334" s="76">
        <v>6807</v>
      </c>
      <c r="AI1334" s="76">
        <v>4</v>
      </c>
      <c r="AJ1334" s="76">
        <v>4976</v>
      </c>
      <c r="AK1334" s="76">
        <v>763</v>
      </c>
      <c r="AL1334" s="76" t="b">
        <v>0</v>
      </c>
      <c r="AM1334" s="78">
        <v>43711.514374999999</v>
      </c>
      <c r="AN1334" s="76"/>
      <c r="AO1334" s="76" t="s">
        <v>25896</v>
      </c>
      <c r="AP1334" s="82" t="str">
        <f>HYPERLINK("https://t.co/bqwGhMwBxE")</f>
        <v>https://t.co/bqwGhMwBxE</v>
      </c>
      <c r="AQ1334" s="82" t="str">
        <f>HYPERLINK("https://beacons.ai/souapenasv")</f>
        <v>https://beacons.ai/souapenasv</v>
      </c>
      <c r="AR1334" s="76" t="s">
        <v>27079</v>
      </c>
      <c r="AS1334" s="76"/>
      <c r="AT1334" s="76"/>
      <c r="AU1334" s="76"/>
      <c r="AV1334" s="76"/>
      <c r="AW1334" s="82" t="str">
        <f>HYPERLINK("https://t.co/bqwGhMwBxE")</f>
        <v>https://t.co/bqwGhMwBxE</v>
      </c>
      <c r="AX1334" s="76" t="b">
        <v>0</v>
      </c>
      <c r="AY1334" s="76"/>
      <c r="AZ1334" s="76"/>
      <c r="BA1334" s="76" t="b">
        <v>1</v>
      </c>
      <c r="BB1334" s="76" t="b">
        <v>1</v>
      </c>
      <c r="BC1334" s="76" t="b">
        <v>1</v>
      </c>
      <c r="BD1334" s="76" t="b">
        <v>0</v>
      </c>
      <c r="BE1334" s="76" t="b">
        <v>0</v>
      </c>
      <c r="BF1334" s="76" t="b">
        <v>0</v>
      </c>
      <c r="BG1334" s="76" t="b">
        <v>0</v>
      </c>
      <c r="BH1334" s="82" t="str">
        <f>HYPERLINK("https://pbs.twimg.com/profile_banners/1168861327596642304/1682074553")</f>
        <v>https://pbs.twimg.com/profile_banners/1168861327596642304/1682074553</v>
      </c>
      <c r="BI1334" s="76"/>
      <c r="BJ1334" s="76" t="s">
        <v>27595</v>
      </c>
      <c r="BK1334" s="76" t="b">
        <v>0</v>
      </c>
      <c r="BL1334" s="76"/>
      <c r="BM1334" s="76" t="s">
        <v>65</v>
      </c>
      <c r="BN1334" s="76" t="s">
        <v>27597</v>
      </c>
      <c r="BO1334" s="82" t="str">
        <f>HYPERLINK("https://twitter.com/souapenasv")</f>
        <v>https://twitter.com/souapenasv</v>
      </c>
      <c r="BP1334" s="2"/>
    </row>
    <row r="1335" spans="1:68" x14ac:dyDescent="0.25">
      <c r="A1335" s="62" t="s">
        <v>1989</v>
      </c>
      <c r="B1335" s="63"/>
      <c r="C1335" s="63"/>
      <c r="D1335" s="64"/>
      <c r="E1335" s="66"/>
      <c r="F1335" s="103" t="str">
        <f>HYPERLINK("https://pbs.twimg.com/profile_images/1699729572546125824/e4OMl21c_normal.jpg")</f>
        <v>https://pbs.twimg.com/profile_images/1699729572546125824/e4OMl21c_normal.jpg</v>
      </c>
      <c r="G1335" s="63"/>
      <c r="H1335" s="67"/>
      <c r="I1335" s="68"/>
      <c r="J1335" s="68"/>
      <c r="K1335" s="67" t="s">
        <v>28929</v>
      </c>
      <c r="L1335" s="71"/>
      <c r="M1335" s="72"/>
      <c r="N1335" s="72"/>
      <c r="O1335" s="73"/>
      <c r="P1335" s="74"/>
      <c r="Q1335" s="74"/>
      <c r="R1335" s="87"/>
      <c r="S1335" s="87"/>
      <c r="T1335" s="87"/>
      <c r="U1335" s="87"/>
      <c r="V1335" s="48"/>
      <c r="W1335" s="48"/>
      <c r="X1335" s="48"/>
      <c r="Y1335" s="48"/>
      <c r="Z1335" s="47"/>
      <c r="AA1335" s="69">
        <v>1335</v>
      </c>
      <c r="AB1335" s="69"/>
      <c r="AC1335" s="70"/>
      <c r="AD1335" s="76" t="s">
        <v>22553</v>
      </c>
      <c r="AE1335" s="81" t="s">
        <v>23768</v>
      </c>
      <c r="AF1335" s="76">
        <v>24</v>
      </c>
      <c r="AG1335" s="76">
        <v>135</v>
      </c>
      <c r="AH1335" s="76">
        <v>1339</v>
      </c>
      <c r="AI1335" s="76">
        <v>0</v>
      </c>
      <c r="AJ1335" s="76">
        <v>2340</v>
      </c>
      <c r="AK1335" s="76">
        <v>18</v>
      </c>
      <c r="AL1335" s="76" t="b">
        <v>0</v>
      </c>
      <c r="AM1335" s="78">
        <v>44853.975023148145</v>
      </c>
      <c r="AN1335" s="76" t="s">
        <v>24537</v>
      </c>
      <c r="AO1335" s="76" t="s">
        <v>25897</v>
      </c>
      <c r="AP1335" s="76"/>
      <c r="AQ1335" s="76"/>
      <c r="AR1335" s="76"/>
      <c r="AS1335" s="76"/>
      <c r="AT1335" s="76"/>
      <c r="AU1335" s="76"/>
      <c r="AV1335" s="76">
        <v>1.6613510312869199E+18</v>
      </c>
      <c r="AW1335" s="76"/>
      <c r="AX1335" s="76" t="b">
        <v>0</v>
      </c>
      <c r="AY1335" s="76"/>
      <c r="AZ1335" s="76"/>
      <c r="BA1335" s="76" t="b">
        <v>0</v>
      </c>
      <c r="BB1335" s="76" t="b">
        <v>0</v>
      </c>
      <c r="BC1335" s="76" t="b">
        <v>1</v>
      </c>
      <c r="BD1335" s="76" t="b">
        <v>0</v>
      </c>
      <c r="BE1335" s="76" t="b">
        <v>1</v>
      </c>
      <c r="BF1335" s="76" t="b">
        <v>0</v>
      </c>
      <c r="BG1335" s="76" t="b">
        <v>0</v>
      </c>
      <c r="BH1335" s="82" t="str">
        <f>HYPERLINK("https://pbs.twimg.com/profile_banners/1582875116018446336/1675347733")</f>
        <v>https://pbs.twimg.com/profile_banners/1582875116018446336/1675347733</v>
      </c>
      <c r="BI1335" s="76"/>
      <c r="BJ1335" s="76" t="s">
        <v>27595</v>
      </c>
      <c r="BK1335" s="76" t="b">
        <v>0</v>
      </c>
      <c r="BL1335" s="76"/>
      <c r="BM1335" s="76" t="s">
        <v>65</v>
      </c>
      <c r="BN1335" s="76" t="s">
        <v>27597</v>
      </c>
      <c r="BO1335" s="82" t="str">
        <f>HYPERLINK("https://twitter.com/cejcamarja")</f>
        <v>https://twitter.com/cejcamarja</v>
      </c>
      <c r="BP1335" s="2"/>
    </row>
    <row r="1336" spans="1:68" x14ac:dyDescent="0.25">
      <c r="A1336" s="62" t="s">
        <v>1990</v>
      </c>
      <c r="B1336" s="63"/>
      <c r="C1336" s="63"/>
      <c r="D1336" s="64"/>
      <c r="E1336" s="66"/>
      <c r="F1336" s="103" t="str">
        <f>HYPERLINK("https://pbs.twimg.com/profile_images/1702358606203490305/0aa9rLDW_normal.jpg")</f>
        <v>https://pbs.twimg.com/profile_images/1702358606203490305/0aa9rLDW_normal.jpg</v>
      </c>
      <c r="G1336" s="63"/>
      <c r="H1336" s="67"/>
      <c r="I1336" s="68"/>
      <c r="J1336" s="68"/>
      <c r="K1336" s="67" t="s">
        <v>28930</v>
      </c>
      <c r="L1336" s="71"/>
      <c r="M1336" s="72"/>
      <c r="N1336" s="72"/>
      <c r="O1336" s="73"/>
      <c r="P1336" s="74"/>
      <c r="Q1336" s="74"/>
      <c r="R1336" s="87"/>
      <c r="S1336" s="87"/>
      <c r="T1336" s="87"/>
      <c r="U1336" s="87"/>
      <c r="V1336" s="48"/>
      <c r="W1336" s="48"/>
      <c r="X1336" s="48"/>
      <c r="Y1336" s="48"/>
      <c r="Z1336" s="47"/>
      <c r="AA1336" s="69">
        <v>1336</v>
      </c>
      <c r="AB1336" s="69"/>
      <c r="AC1336" s="70"/>
      <c r="AD1336" s="76" t="s">
        <v>22554</v>
      </c>
      <c r="AE1336" s="81" t="s">
        <v>20332</v>
      </c>
      <c r="AF1336" s="76">
        <v>3866</v>
      </c>
      <c r="AG1336" s="76">
        <v>5010</v>
      </c>
      <c r="AH1336" s="76">
        <v>8428</v>
      </c>
      <c r="AI1336" s="76">
        <v>3</v>
      </c>
      <c r="AJ1336" s="76">
        <v>7755</v>
      </c>
      <c r="AK1336" s="76">
        <v>3027</v>
      </c>
      <c r="AL1336" s="76" t="b">
        <v>0</v>
      </c>
      <c r="AM1336" s="78">
        <v>44419.819120370368</v>
      </c>
      <c r="AN1336" s="76" t="s">
        <v>24538</v>
      </c>
      <c r="AO1336" s="76" t="s">
        <v>25898</v>
      </c>
      <c r="AP1336" s="76"/>
      <c r="AQ1336" s="76"/>
      <c r="AR1336" s="76"/>
      <c r="AS1336" s="76"/>
      <c r="AT1336" s="76"/>
      <c r="AU1336" s="76"/>
      <c r="AV1336" s="76"/>
      <c r="AW1336" s="76"/>
      <c r="AX1336" s="76" t="b">
        <v>0</v>
      </c>
      <c r="AY1336" s="76"/>
      <c r="AZ1336" s="76"/>
      <c r="BA1336" s="76" t="b">
        <v>0</v>
      </c>
      <c r="BB1336" s="76" t="b">
        <v>1</v>
      </c>
      <c r="BC1336" s="76" t="b">
        <v>1</v>
      </c>
      <c r="BD1336" s="76" t="b">
        <v>0</v>
      </c>
      <c r="BE1336" s="76" t="b">
        <v>0</v>
      </c>
      <c r="BF1336" s="76" t="b">
        <v>0</v>
      </c>
      <c r="BG1336" s="76" t="b">
        <v>0</v>
      </c>
      <c r="BH1336" s="82" t="str">
        <f>HYPERLINK("https://pbs.twimg.com/profile_banners/1425542351301320705/1691252692")</f>
        <v>https://pbs.twimg.com/profile_banners/1425542351301320705/1691252692</v>
      </c>
      <c r="BI1336" s="76"/>
      <c r="BJ1336" s="76" t="s">
        <v>27595</v>
      </c>
      <c r="BK1336" s="76" t="b">
        <v>0</v>
      </c>
      <c r="BL1336" s="76"/>
      <c r="BM1336" s="76" t="s">
        <v>65</v>
      </c>
      <c r="BN1336" s="76" t="s">
        <v>27597</v>
      </c>
      <c r="BO1336" s="82" t="str">
        <f>HYPERLINK("https://twitter.com/andrsou01471403")</f>
        <v>https://twitter.com/andrsou01471403</v>
      </c>
      <c r="BP1336" s="2"/>
    </row>
    <row r="1337" spans="1:68" x14ac:dyDescent="0.25">
      <c r="A1337" s="62" t="s">
        <v>1214</v>
      </c>
      <c r="B1337" s="63"/>
      <c r="C1337" s="63"/>
      <c r="D1337" s="64"/>
      <c r="E1337" s="66"/>
      <c r="F1337" s="103" t="str">
        <f>HYPERLINK("https://pbs.twimg.com/profile_images/1692180546372186112/CrKRf9H4_normal.jpg")</f>
        <v>https://pbs.twimg.com/profile_images/1692180546372186112/CrKRf9H4_normal.jpg</v>
      </c>
      <c r="G1337" s="63"/>
      <c r="H1337" s="67"/>
      <c r="I1337" s="68"/>
      <c r="J1337" s="68"/>
      <c r="K1337" s="67" t="s">
        <v>28931</v>
      </c>
      <c r="L1337" s="71"/>
      <c r="M1337" s="72"/>
      <c r="N1337" s="72"/>
      <c r="O1337" s="73"/>
      <c r="P1337" s="74"/>
      <c r="Q1337" s="74"/>
      <c r="R1337" s="87"/>
      <c r="S1337" s="87"/>
      <c r="T1337" s="87"/>
      <c r="U1337" s="87"/>
      <c r="V1337" s="48"/>
      <c r="W1337" s="48"/>
      <c r="X1337" s="48"/>
      <c r="Y1337" s="48"/>
      <c r="Z1337" s="47"/>
      <c r="AA1337" s="69">
        <v>1337</v>
      </c>
      <c r="AB1337" s="69"/>
      <c r="AC1337" s="70"/>
      <c r="AD1337" s="76" t="s">
        <v>22555</v>
      </c>
      <c r="AE1337" s="81" t="s">
        <v>23769</v>
      </c>
      <c r="AF1337" s="76">
        <v>3133</v>
      </c>
      <c r="AG1337" s="76">
        <v>3027</v>
      </c>
      <c r="AH1337" s="76">
        <v>60810</v>
      </c>
      <c r="AI1337" s="76">
        <v>2</v>
      </c>
      <c r="AJ1337" s="76">
        <v>132660</v>
      </c>
      <c r="AK1337" s="76">
        <v>6069</v>
      </c>
      <c r="AL1337" s="76" t="b">
        <v>0</v>
      </c>
      <c r="AM1337" s="78">
        <v>40447.864525462966</v>
      </c>
      <c r="AN1337" s="76"/>
      <c r="AO1337" s="76" t="s">
        <v>25899</v>
      </c>
      <c r="AP1337" s="76"/>
      <c r="AQ1337" s="76"/>
      <c r="AR1337" s="76"/>
      <c r="AS1337" s="76"/>
      <c r="AT1337" s="76"/>
      <c r="AU1337" s="76"/>
      <c r="AV1337" s="76"/>
      <c r="AW1337" s="76"/>
      <c r="AX1337" s="76" t="b">
        <v>0</v>
      </c>
      <c r="AY1337" s="76"/>
      <c r="AZ1337" s="76"/>
      <c r="BA1337" s="76" t="b">
        <v>0</v>
      </c>
      <c r="BB1337" s="76" t="b">
        <v>0</v>
      </c>
      <c r="BC1337" s="76" t="b">
        <v>0</v>
      </c>
      <c r="BD1337" s="76" t="b">
        <v>0</v>
      </c>
      <c r="BE1337" s="76" t="b">
        <v>1</v>
      </c>
      <c r="BF1337" s="76" t="b">
        <v>0</v>
      </c>
      <c r="BG1337" s="76" t="b">
        <v>1</v>
      </c>
      <c r="BH1337" s="82" t="str">
        <f>HYPERLINK("https://pbs.twimg.com/profile_banners/195485223/1662334155")</f>
        <v>https://pbs.twimg.com/profile_banners/195485223/1662334155</v>
      </c>
      <c r="BI1337" s="76"/>
      <c r="BJ1337" s="76" t="s">
        <v>27595</v>
      </c>
      <c r="BK1337" s="76" t="b">
        <v>0</v>
      </c>
      <c r="BL1337" s="76"/>
      <c r="BM1337" s="76" t="s">
        <v>66</v>
      </c>
      <c r="BN1337" s="76" t="s">
        <v>27597</v>
      </c>
      <c r="BO1337" s="82" t="str">
        <f>HYPERLINK("https://twitter.com/noaltpp11_")</f>
        <v>https://twitter.com/noaltpp11_</v>
      </c>
      <c r="BP1337" s="2"/>
    </row>
    <row r="1338" spans="1:68" x14ac:dyDescent="0.25">
      <c r="A1338" s="62" t="s">
        <v>1215</v>
      </c>
      <c r="B1338" s="63"/>
      <c r="C1338" s="63"/>
      <c r="D1338" s="64"/>
      <c r="E1338" s="66"/>
      <c r="F1338" s="103" t="str">
        <f>HYPERLINK("https://pbs.twimg.com/profile_images/1686452852359577606/hWHebMLj_normal.jpg")</f>
        <v>https://pbs.twimg.com/profile_images/1686452852359577606/hWHebMLj_normal.jpg</v>
      </c>
      <c r="G1338" s="63"/>
      <c r="H1338" s="67"/>
      <c r="I1338" s="68"/>
      <c r="J1338" s="68"/>
      <c r="K1338" s="67" t="s">
        <v>28932</v>
      </c>
      <c r="L1338" s="71"/>
      <c r="M1338" s="72"/>
      <c r="N1338" s="72"/>
      <c r="O1338" s="73"/>
      <c r="P1338" s="74"/>
      <c r="Q1338" s="74"/>
      <c r="R1338" s="87"/>
      <c r="S1338" s="87"/>
      <c r="T1338" s="87"/>
      <c r="U1338" s="87"/>
      <c r="V1338" s="48"/>
      <c r="W1338" s="48"/>
      <c r="X1338" s="48"/>
      <c r="Y1338" s="48"/>
      <c r="Z1338" s="47"/>
      <c r="AA1338" s="69">
        <v>1338</v>
      </c>
      <c r="AB1338" s="69"/>
      <c r="AC1338" s="70"/>
      <c r="AD1338" s="76" t="s">
        <v>22556</v>
      </c>
      <c r="AE1338" s="81" t="s">
        <v>20983</v>
      </c>
      <c r="AF1338" s="76">
        <v>2142</v>
      </c>
      <c r="AG1338" s="76">
        <v>315</v>
      </c>
      <c r="AH1338" s="76">
        <v>13889</v>
      </c>
      <c r="AI1338" s="76">
        <v>10</v>
      </c>
      <c r="AJ1338" s="76">
        <v>126</v>
      </c>
      <c r="AK1338" s="76">
        <v>796</v>
      </c>
      <c r="AL1338" s="76" t="b">
        <v>0</v>
      </c>
      <c r="AM1338" s="78">
        <v>43654.098645833335</v>
      </c>
      <c r="AN1338" s="76" t="s">
        <v>24539</v>
      </c>
      <c r="AO1338" s="76" t="s">
        <v>25900</v>
      </c>
      <c r="AP1338" s="82" t="str">
        <f>HYPERLINK("https://t.co/v2kPHATUbq")</f>
        <v>https://t.co/v2kPHATUbq</v>
      </c>
      <c r="AQ1338" s="82" t="str">
        <f>HYPERLINK("https://horadenoticias.cl/")</f>
        <v>https://horadenoticias.cl/</v>
      </c>
      <c r="AR1338" s="76" t="s">
        <v>27080</v>
      </c>
      <c r="AS1338" s="82" t="str">
        <f>HYPERLINK("https://t.co/jLzHzXy1ch")</f>
        <v>https://t.co/jLzHzXy1ch</v>
      </c>
      <c r="AT1338" s="82" t="str">
        <f>HYPERLINK("http://bit.ly/ResuNoticia")</f>
        <v>http://bit.ly/ResuNoticia</v>
      </c>
      <c r="AU1338" s="76" t="s">
        <v>27540</v>
      </c>
      <c r="AV1338" s="76">
        <v>1.69945406220525E+18</v>
      </c>
      <c r="AW1338" s="82" t="str">
        <f>HYPERLINK("https://t.co/v2kPHATUbq")</f>
        <v>https://t.co/v2kPHATUbq</v>
      </c>
      <c r="AX1338" s="76" t="b">
        <v>0</v>
      </c>
      <c r="AY1338" s="76"/>
      <c r="AZ1338" s="76"/>
      <c r="BA1338" s="76" t="b">
        <v>1</v>
      </c>
      <c r="BB1338" s="76" t="b">
        <v>1</v>
      </c>
      <c r="BC1338" s="76" t="b">
        <v>1</v>
      </c>
      <c r="BD1338" s="76" t="b">
        <v>0</v>
      </c>
      <c r="BE1338" s="76" t="b">
        <v>1</v>
      </c>
      <c r="BF1338" s="76" t="b">
        <v>0</v>
      </c>
      <c r="BG1338" s="76" t="b">
        <v>0</v>
      </c>
      <c r="BH1338" s="82" t="str">
        <f>HYPERLINK("https://pbs.twimg.com/profile_banners/1148054609379962881/1691526886")</f>
        <v>https://pbs.twimg.com/profile_banners/1148054609379962881/1691526886</v>
      </c>
      <c r="BI1338" s="76"/>
      <c r="BJ1338" s="76" t="s">
        <v>27595</v>
      </c>
      <c r="BK1338" s="76" t="b">
        <v>0</v>
      </c>
      <c r="BL1338" s="76"/>
      <c r="BM1338" s="76" t="s">
        <v>66</v>
      </c>
      <c r="BN1338" s="76" t="s">
        <v>27597</v>
      </c>
      <c r="BO1338" s="82" t="str">
        <f>HYPERLINK("https://twitter.com/horade_noticias")</f>
        <v>https://twitter.com/horade_noticias</v>
      </c>
      <c r="BP1338" s="2"/>
    </row>
    <row r="1339" spans="1:68" x14ac:dyDescent="0.25">
      <c r="A1339" s="62" t="s">
        <v>1216</v>
      </c>
      <c r="B1339" s="63"/>
      <c r="C1339" s="63"/>
      <c r="D1339" s="64"/>
      <c r="E1339" s="66"/>
      <c r="F1339" s="103" t="str">
        <f>HYPERLINK("https://pbs.twimg.com/profile_images/1570849637128364032/HAQ04Yli_normal.jpg")</f>
        <v>https://pbs.twimg.com/profile_images/1570849637128364032/HAQ04Yli_normal.jpg</v>
      </c>
      <c r="G1339" s="63"/>
      <c r="H1339" s="67"/>
      <c r="I1339" s="68"/>
      <c r="J1339" s="68"/>
      <c r="K1339" s="67" t="s">
        <v>28933</v>
      </c>
      <c r="L1339" s="71"/>
      <c r="M1339" s="72"/>
      <c r="N1339" s="72"/>
      <c r="O1339" s="73"/>
      <c r="P1339" s="74"/>
      <c r="Q1339" s="74"/>
      <c r="R1339" s="87"/>
      <c r="S1339" s="87"/>
      <c r="T1339" s="87"/>
      <c r="U1339" s="87"/>
      <c r="V1339" s="48"/>
      <c r="W1339" s="48"/>
      <c r="X1339" s="48"/>
      <c r="Y1339" s="48"/>
      <c r="Z1339" s="47"/>
      <c r="AA1339" s="69">
        <v>1339</v>
      </c>
      <c r="AB1339" s="69"/>
      <c r="AC1339" s="70"/>
      <c r="AD1339" s="76" t="s">
        <v>22557</v>
      </c>
      <c r="AE1339" s="81" t="s">
        <v>23770</v>
      </c>
      <c r="AF1339" s="76">
        <v>15178</v>
      </c>
      <c r="AG1339" s="76">
        <v>12403</v>
      </c>
      <c r="AH1339" s="76">
        <v>151630</v>
      </c>
      <c r="AI1339" s="76">
        <v>82</v>
      </c>
      <c r="AJ1339" s="76">
        <v>1113</v>
      </c>
      <c r="AK1339" s="76">
        <v>64875</v>
      </c>
      <c r="AL1339" s="76" t="b">
        <v>0</v>
      </c>
      <c r="AM1339" s="78">
        <v>41085.704837962963</v>
      </c>
      <c r="AN1339" s="76" t="s">
        <v>14381</v>
      </c>
      <c r="AO1339" s="76" t="s">
        <v>25901</v>
      </c>
      <c r="AP1339" s="82" t="str">
        <f>HYPERLINK("https://t.co/GMwDMMyc6j")</f>
        <v>https://t.co/GMwDMMyc6j</v>
      </c>
      <c r="AQ1339" s="82" t="str">
        <f>HYPERLINK("http://sincortapisa.com")</f>
        <v>http://sincortapisa.com</v>
      </c>
      <c r="AR1339" s="76" t="s">
        <v>27081</v>
      </c>
      <c r="AS1339" s="76"/>
      <c r="AT1339" s="76"/>
      <c r="AU1339" s="76"/>
      <c r="AV1339" s="76"/>
      <c r="AW1339" s="82" t="str">
        <f>HYPERLINK("https://t.co/GMwDMMyc6j")</f>
        <v>https://t.co/GMwDMMyc6j</v>
      </c>
      <c r="AX1339" s="76" t="b">
        <v>0</v>
      </c>
      <c r="AY1339" s="76"/>
      <c r="AZ1339" s="76"/>
      <c r="BA1339" s="76" t="b">
        <v>1</v>
      </c>
      <c r="BB1339" s="76" t="b">
        <v>1</v>
      </c>
      <c r="BC1339" s="76" t="b">
        <v>0</v>
      </c>
      <c r="BD1339" s="76" t="b">
        <v>0</v>
      </c>
      <c r="BE1339" s="76" t="b">
        <v>1</v>
      </c>
      <c r="BF1339" s="76" t="b">
        <v>0</v>
      </c>
      <c r="BG1339" s="76" t="b">
        <v>0</v>
      </c>
      <c r="BH1339" s="82" t="str">
        <f>HYPERLINK("https://pbs.twimg.com/profile_banners/618254752/1663354712")</f>
        <v>https://pbs.twimg.com/profile_banners/618254752/1663354712</v>
      </c>
      <c r="BI1339" s="76"/>
      <c r="BJ1339" s="76" t="s">
        <v>27595</v>
      </c>
      <c r="BK1339" s="76" t="b">
        <v>0</v>
      </c>
      <c r="BL1339" s="76"/>
      <c r="BM1339" s="76" t="s">
        <v>66</v>
      </c>
      <c r="BN1339" s="76" t="s">
        <v>27597</v>
      </c>
      <c r="BO1339" s="82" t="str">
        <f>HYPERLINK("https://twitter.com/sincortapisa_")</f>
        <v>https://twitter.com/sincortapisa_</v>
      </c>
      <c r="BP1339" s="2"/>
    </row>
    <row r="1340" spans="1:68" x14ac:dyDescent="0.25">
      <c r="A1340" s="62" t="s">
        <v>1991</v>
      </c>
      <c r="B1340" s="63"/>
      <c r="C1340" s="63"/>
      <c r="D1340" s="64"/>
      <c r="E1340" s="66"/>
      <c r="F1340" s="103" t="str">
        <f>HYPERLINK("https://pbs.twimg.com/profile_images/1486176510188871689/1-NBm-58_normal.jpg")</f>
        <v>https://pbs.twimg.com/profile_images/1486176510188871689/1-NBm-58_normal.jpg</v>
      </c>
      <c r="G1340" s="63"/>
      <c r="H1340" s="67"/>
      <c r="I1340" s="68"/>
      <c r="J1340" s="68"/>
      <c r="K1340" s="67" t="s">
        <v>28934</v>
      </c>
      <c r="L1340" s="71"/>
      <c r="M1340" s="72"/>
      <c r="N1340" s="72"/>
      <c r="O1340" s="73"/>
      <c r="P1340" s="74"/>
      <c r="Q1340" s="74"/>
      <c r="R1340" s="87"/>
      <c r="S1340" s="87"/>
      <c r="T1340" s="87"/>
      <c r="U1340" s="87"/>
      <c r="V1340" s="48"/>
      <c r="W1340" s="48"/>
      <c r="X1340" s="48"/>
      <c r="Y1340" s="48"/>
      <c r="Z1340" s="47"/>
      <c r="AA1340" s="69">
        <v>1340</v>
      </c>
      <c r="AB1340" s="69"/>
      <c r="AC1340" s="70"/>
      <c r="AD1340" s="76" t="s">
        <v>22558</v>
      </c>
      <c r="AE1340" s="81" t="s">
        <v>23771</v>
      </c>
      <c r="AF1340" s="76">
        <v>43258</v>
      </c>
      <c r="AG1340" s="76">
        <v>650</v>
      </c>
      <c r="AH1340" s="76">
        <v>8802</v>
      </c>
      <c r="AI1340" s="76">
        <v>82</v>
      </c>
      <c r="AJ1340" s="76">
        <v>3149</v>
      </c>
      <c r="AK1340" s="76">
        <v>2014</v>
      </c>
      <c r="AL1340" s="76" t="b">
        <v>0</v>
      </c>
      <c r="AM1340" s="78">
        <v>40415.540069444447</v>
      </c>
      <c r="AN1340" s="76" t="s">
        <v>14381</v>
      </c>
      <c r="AO1340" s="76" t="s">
        <v>25902</v>
      </c>
      <c r="AP1340" s="82" t="str">
        <f>HYPERLINK("https://t.co/Dqchj45OiH")</f>
        <v>https://t.co/Dqchj45OiH</v>
      </c>
      <c r="AQ1340" s="82" t="str">
        <f>HYPERLINK("https://diecom.gob.do")</f>
        <v>https://diecom.gob.do</v>
      </c>
      <c r="AR1340" s="76" t="s">
        <v>27082</v>
      </c>
      <c r="AS1340" s="76"/>
      <c r="AT1340" s="76"/>
      <c r="AU1340" s="76"/>
      <c r="AV1340" s="76">
        <v>1.7073344562042199E+18</v>
      </c>
      <c r="AW1340" s="82" t="str">
        <f>HYPERLINK("https://t.co/Dqchj45OiH")</f>
        <v>https://t.co/Dqchj45OiH</v>
      </c>
      <c r="AX1340" s="76" t="b">
        <v>1</v>
      </c>
      <c r="AY1340" s="76"/>
      <c r="AZ1340" s="76"/>
      <c r="BA1340" s="76" t="b">
        <v>0</v>
      </c>
      <c r="BB1340" s="76" t="b">
        <v>1</v>
      </c>
      <c r="BC1340" s="76" t="b">
        <v>1</v>
      </c>
      <c r="BD1340" s="76" t="b">
        <v>0</v>
      </c>
      <c r="BE1340" s="76" t="b">
        <v>1</v>
      </c>
      <c r="BF1340" s="76" t="b">
        <v>0</v>
      </c>
      <c r="BG1340" s="76" t="b">
        <v>0</v>
      </c>
      <c r="BH1340" s="82" t="str">
        <f>HYPERLINK("https://pbs.twimg.com/profile_banners/182806777/1655998348")</f>
        <v>https://pbs.twimg.com/profile_banners/182806777/1655998348</v>
      </c>
      <c r="BI1340" s="76"/>
      <c r="BJ1340" s="76" t="s">
        <v>27595</v>
      </c>
      <c r="BK1340" s="76" t="b">
        <v>0</v>
      </c>
      <c r="BL1340" s="76"/>
      <c r="BM1340" s="76" t="s">
        <v>65</v>
      </c>
      <c r="BN1340" s="76" t="s">
        <v>27597</v>
      </c>
      <c r="BO1340" s="82" t="str">
        <f>HYPERLINK("https://twitter.com/homerofigueroag")</f>
        <v>https://twitter.com/homerofigueroag</v>
      </c>
      <c r="BP1340" s="2"/>
    </row>
    <row r="1341" spans="1:68" x14ac:dyDescent="0.25">
      <c r="A1341" s="62" t="s">
        <v>1992</v>
      </c>
      <c r="B1341" s="63"/>
      <c r="C1341" s="63"/>
      <c r="D1341" s="64"/>
      <c r="E1341" s="66"/>
      <c r="F1341" s="103" t="str">
        <f>HYPERLINK("https://pbs.twimg.com/profile_images/1610270854021005313/-T3ZpPd2_normal.jpg")</f>
        <v>https://pbs.twimg.com/profile_images/1610270854021005313/-T3ZpPd2_normal.jpg</v>
      </c>
      <c r="G1341" s="63"/>
      <c r="H1341" s="67"/>
      <c r="I1341" s="68"/>
      <c r="J1341" s="68"/>
      <c r="K1341" s="67" t="s">
        <v>28935</v>
      </c>
      <c r="L1341" s="71"/>
      <c r="M1341" s="72"/>
      <c r="N1341" s="72"/>
      <c r="O1341" s="73"/>
      <c r="P1341" s="74"/>
      <c r="Q1341" s="74"/>
      <c r="R1341" s="87"/>
      <c r="S1341" s="87"/>
      <c r="T1341" s="87"/>
      <c r="U1341" s="87"/>
      <c r="V1341" s="48"/>
      <c r="W1341" s="48"/>
      <c r="X1341" s="48"/>
      <c r="Y1341" s="48"/>
      <c r="Z1341" s="47"/>
      <c r="AA1341" s="69">
        <v>1341</v>
      </c>
      <c r="AB1341" s="69"/>
      <c r="AC1341" s="70"/>
      <c r="AD1341" s="76" t="s">
        <v>22559</v>
      </c>
      <c r="AE1341" s="81" t="s">
        <v>23772</v>
      </c>
      <c r="AF1341" s="76">
        <v>109668</v>
      </c>
      <c r="AG1341" s="76">
        <v>231</v>
      </c>
      <c r="AH1341" s="76">
        <v>13059</v>
      </c>
      <c r="AI1341" s="76">
        <v>121</v>
      </c>
      <c r="AJ1341" s="76">
        <v>2675</v>
      </c>
      <c r="AK1341" s="76">
        <v>8872</v>
      </c>
      <c r="AL1341" s="76" t="b">
        <v>0</v>
      </c>
      <c r="AM1341" s="78">
        <v>44060.860532407409</v>
      </c>
      <c r="AN1341" s="76" t="s">
        <v>24063</v>
      </c>
      <c r="AO1341" s="76" t="s">
        <v>25903</v>
      </c>
      <c r="AP1341" s="82" t="str">
        <f>HYPERLINK("https://t.co/PS7sQjHZKd")</f>
        <v>https://t.co/PS7sQjHZKd</v>
      </c>
      <c r="AQ1341" s="82" t="str">
        <f>HYPERLINK("https://presidencia.gob.do/")</f>
        <v>https://presidencia.gob.do/</v>
      </c>
      <c r="AR1341" s="76" t="s">
        <v>27042</v>
      </c>
      <c r="AS1341" s="76"/>
      <c r="AT1341" s="76"/>
      <c r="AU1341" s="76"/>
      <c r="AV1341" s="76"/>
      <c r="AW1341" s="82" t="str">
        <f>HYPERLINK("https://t.co/PS7sQjHZKd")</f>
        <v>https://t.co/PS7sQjHZKd</v>
      </c>
      <c r="AX1341" s="76" t="b">
        <v>0</v>
      </c>
      <c r="AY1341" s="76"/>
      <c r="AZ1341" s="76"/>
      <c r="BA1341" s="76" t="b">
        <v>0</v>
      </c>
      <c r="BB1341" s="76" t="b">
        <v>1</v>
      </c>
      <c r="BC1341" s="76" t="b">
        <v>1</v>
      </c>
      <c r="BD1341" s="76" t="b">
        <v>0</v>
      </c>
      <c r="BE1341" s="76" t="b">
        <v>1</v>
      </c>
      <c r="BF1341" s="76" t="b">
        <v>0</v>
      </c>
      <c r="BG1341" s="76" t="b">
        <v>0</v>
      </c>
      <c r="BH1341" s="82" t="str">
        <f>HYPERLINK("https://pbs.twimg.com/profile_banners/1295460145422635010/1681826000")</f>
        <v>https://pbs.twimg.com/profile_banners/1295460145422635010/1681826000</v>
      </c>
      <c r="BI1341" s="76"/>
      <c r="BJ1341" s="76" t="s">
        <v>27595</v>
      </c>
      <c r="BK1341" s="76" t="b">
        <v>0</v>
      </c>
      <c r="BL1341" s="76"/>
      <c r="BM1341" s="76" t="s">
        <v>65</v>
      </c>
      <c r="BN1341" s="76" t="s">
        <v>27597</v>
      </c>
      <c r="BO1341" s="82" t="str">
        <f>HYPERLINK("https://twitter.com/comunicaciondo")</f>
        <v>https://twitter.com/comunicaciondo</v>
      </c>
      <c r="BP1341" s="2"/>
    </row>
    <row r="1342" spans="1:68" x14ac:dyDescent="0.25">
      <c r="A1342" s="62" t="s">
        <v>1993</v>
      </c>
      <c r="B1342" s="63"/>
      <c r="C1342" s="63"/>
      <c r="D1342" s="64"/>
      <c r="E1342" s="66"/>
      <c r="F1342" s="103" t="str">
        <f>HYPERLINK("https://pbs.twimg.com/profile_images/1695172300117602304/SU4bU3GK_normal.jpg")</f>
        <v>https://pbs.twimg.com/profile_images/1695172300117602304/SU4bU3GK_normal.jpg</v>
      </c>
      <c r="G1342" s="63"/>
      <c r="H1342" s="67"/>
      <c r="I1342" s="68"/>
      <c r="J1342" s="68"/>
      <c r="K1342" s="67" t="s">
        <v>28936</v>
      </c>
      <c r="L1342" s="71"/>
      <c r="M1342" s="72"/>
      <c r="N1342" s="72"/>
      <c r="O1342" s="73"/>
      <c r="P1342" s="74"/>
      <c r="Q1342" s="74"/>
      <c r="R1342" s="87"/>
      <c r="S1342" s="87"/>
      <c r="T1342" s="87"/>
      <c r="U1342" s="87"/>
      <c r="V1342" s="48"/>
      <c r="W1342" s="48"/>
      <c r="X1342" s="48"/>
      <c r="Y1342" s="48"/>
      <c r="Z1342" s="47"/>
      <c r="AA1342" s="69">
        <v>1342</v>
      </c>
      <c r="AB1342" s="69"/>
      <c r="AC1342" s="70"/>
      <c r="AD1342" s="76" t="s">
        <v>22560</v>
      </c>
      <c r="AE1342" s="81" t="s">
        <v>23773</v>
      </c>
      <c r="AF1342" s="76">
        <v>43410</v>
      </c>
      <c r="AG1342" s="76">
        <v>518</v>
      </c>
      <c r="AH1342" s="76">
        <v>14558</v>
      </c>
      <c r="AI1342" s="76">
        <v>139</v>
      </c>
      <c r="AJ1342" s="76">
        <v>2355</v>
      </c>
      <c r="AK1342" s="76">
        <v>7698</v>
      </c>
      <c r="AL1342" s="76" t="b">
        <v>0</v>
      </c>
      <c r="AM1342" s="78">
        <v>41157.655752314815</v>
      </c>
      <c r="AN1342" s="76" t="s">
        <v>24063</v>
      </c>
      <c r="AO1342" s="76" t="s">
        <v>25904</v>
      </c>
      <c r="AP1342" s="82" t="str">
        <f>HYPERLINK("https://t.co/BfRaBBjyAD")</f>
        <v>https://t.co/BfRaBBjyAD</v>
      </c>
      <c r="AQ1342" s="82" t="str">
        <f>HYPERLINK("https://linktr.ee/MinEconomiaRD")</f>
        <v>https://linktr.ee/MinEconomiaRD</v>
      </c>
      <c r="AR1342" s="76" t="s">
        <v>27083</v>
      </c>
      <c r="AS1342" s="76"/>
      <c r="AT1342" s="76"/>
      <c r="AU1342" s="76"/>
      <c r="AV1342" s="76">
        <v>1.7020411088662799E+18</v>
      </c>
      <c r="AW1342" s="82" t="str">
        <f>HYPERLINK("https://t.co/BfRaBBjyAD")</f>
        <v>https://t.co/BfRaBBjyAD</v>
      </c>
      <c r="AX1342" s="76" t="b">
        <v>0</v>
      </c>
      <c r="AY1342" s="76"/>
      <c r="AZ1342" s="76"/>
      <c r="BA1342" s="76" t="b">
        <v>1</v>
      </c>
      <c r="BB1342" s="76" t="b">
        <v>0</v>
      </c>
      <c r="BC1342" s="76" t="b">
        <v>0</v>
      </c>
      <c r="BD1342" s="76" t="b">
        <v>0</v>
      </c>
      <c r="BE1342" s="76" t="b">
        <v>1</v>
      </c>
      <c r="BF1342" s="76" t="b">
        <v>0</v>
      </c>
      <c r="BG1342" s="76" t="b">
        <v>0</v>
      </c>
      <c r="BH1342" s="82" t="str">
        <f>HYPERLINK("https://pbs.twimg.com/profile_banners/804856201/1693249346")</f>
        <v>https://pbs.twimg.com/profile_banners/804856201/1693249346</v>
      </c>
      <c r="BI1342" s="76"/>
      <c r="BJ1342" s="76" t="s">
        <v>27595</v>
      </c>
      <c r="BK1342" s="76" t="b">
        <v>0</v>
      </c>
      <c r="BL1342" s="76"/>
      <c r="BM1342" s="76" t="s">
        <v>65</v>
      </c>
      <c r="BN1342" s="76" t="s">
        <v>27597</v>
      </c>
      <c r="BO1342" s="82" t="str">
        <f>HYPERLINK("https://twitter.com/mineconomiard")</f>
        <v>https://twitter.com/mineconomiard</v>
      </c>
      <c r="BP1342" s="2"/>
    </row>
    <row r="1343" spans="1:68" x14ac:dyDescent="0.25">
      <c r="A1343" s="62" t="s">
        <v>1994</v>
      </c>
      <c r="B1343" s="63"/>
      <c r="C1343" s="63"/>
      <c r="D1343" s="64"/>
      <c r="E1343" s="66"/>
      <c r="F1343" s="103" t="str">
        <f>HYPERLINK("https://pbs.twimg.com/profile_images/1587451183072944128/LBP6rjD6_normal.jpg")</f>
        <v>https://pbs.twimg.com/profile_images/1587451183072944128/LBP6rjD6_normal.jpg</v>
      </c>
      <c r="G1343" s="63"/>
      <c r="H1343" s="67"/>
      <c r="I1343" s="68"/>
      <c r="J1343" s="68"/>
      <c r="K1343" s="67" t="s">
        <v>28937</v>
      </c>
      <c r="L1343" s="71"/>
      <c r="M1343" s="72"/>
      <c r="N1343" s="72"/>
      <c r="O1343" s="73"/>
      <c r="P1343" s="74"/>
      <c r="Q1343" s="74"/>
      <c r="R1343" s="87"/>
      <c r="S1343" s="87"/>
      <c r="T1343" s="87"/>
      <c r="U1343" s="87"/>
      <c r="V1343" s="48"/>
      <c r="W1343" s="48"/>
      <c r="X1343" s="48"/>
      <c r="Y1343" s="48"/>
      <c r="Z1343" s="47"/>
      <c r="AA1343" s="69">
        <v>1343</v>
      </c>
      <c r="AB1343" s="69"/>
      <c r="AC1343" s="70"/>
      <c r="AD1343" s="76" t="s">
        <v>22561</v>
      </c>
      <c r="AE1343" s="81" t="s">
        <v>23774</v>
      </c>
      <c r="AF1343" s="76">
        <v>9141</v>
      </c>
      <c r="AG1343" s="76">
        <v>4325</v>
      </c>
      <c r="AH1343" s="76">
        <v>8502</v>
      </c>
      <c r="AI1343" s="76">
        <v>53</v>
      </c>
      <c r="AJ1343" s="76">
        <v>2286</v>
      </c>
      <c r="AK1343" s="76">
        <v>2124</v>
      </c>
      <c r="AL1343" s="76" t="b">
        <v>0</v>
      </c>
      <c r="AM1343" s="78">
        <v>41263.879618055558</v>
      </c>
      <c r="AN1343" s="76" t="s">
        <v>24063</v>
      </c>
      <c r="AO1343" s="76" t="s">
        <v>25905</v>
      </c>
      <c r="AP1343" s="82" t="str">
        <f>HYPERLINK("https://t.co/wTv8FHYxHS")</f>
        <v>https://t.co/wTv8FHYxHS</v>
      </c>
      <c r="AQ1343" s="82" t="str">
        <f>HYPERLINK("http://www.bancoadopem.com.do")</f>
        <v>http://www.bancoadopem.com.do</v>
      </c>
      <c r="AR1343" s="76" t="s">
        <v>27084</v>
      </c>
      <c r="AS1343" s="76"/>
      <c r="AT1343" s="76"/>
      <c r="AU1343" s="76"/>
      <c r="AV1343" s="76"/>
      <c r="AW1343" s="82" t="str">
        <f>HYPERLINK("https://t.co/wTv8FHYxHS")</f>
        <v>https://t.co/wTv8FHYxHS</v>
      </c>
      <c r="AX1343" s="76" t="b">
        <v>0</v>
      </c>
      <c r="AY1343" s="76"/>
      <c r="AZ1343" s="76"/>
      <c r="BA1343" s="76" t="b">
        <v>0</v>
      </c>
      <c r="BB1343" s="76" t="b">
        <v>1</v>
      </c>
      <c r="BC1343" s="76" t="b">
        <v>0</v>
      </c>
      <c r="BD1343" s="76" t="b">
        <v>0</v>
      </c>
      <c r="BE1343" s="76" t="b">
        <v>0</v>
      </c>
      <c r="BF1343" s="76" t="b">
        <v>0</v>
      </c>
      <c r="BG1343" s="76" t="b">
        <v>0</v>
      </c>
      <c r="BH1343" s="82" t="str">
        <f>HYPERLINK("https://pbs.twimg.com/profile_banners/1025036191/1689602346")</f>
        <v>https://pbs.twimg.com/profile_banners/1025036191/1689602346</v>
      </c>
      <c r="BI1343" s="76"/>
      <c r="BJ1343" s="76" t="s">
        <v>27595</v>
      </c>
      <c r="BK1343" s="76" t="b">
        <v>0</v>
      </c>
      <c r="BL1343" s="76"/>
      <c r="BM1343" s="76" t="s">
        <v>65</v>
      </c>
      <c r="BN1343" s="76" t="s">
        <v>27597</v>
      </c>
      <c r="BO1343" s="82" t="str">
        <f>HYPERLINK("https://twitter.com/banco_adopem")</f>
        <v>https://twitter.com/banco_adopem</v>
      </c>
      <c r="BP1343" s="2"/>
    </row>
    <row r="1344" spans="1:68" x14ac:dyDescent="0.25">
      <c r="A1344" s="62" t="s">
        <v>1995</v>
      </c>
      <c r="B1344" s="63"/>
      <c r="C1344" s="63"/>
      <c r="D1344" s="64"/>
      <c r="E1344" s="66"/>
      <c r="F1344" s="103" t="str">
        <f>HYPERLINK("https://pbs.twimg.com/profile_images/893186933676851200/i0GsyMzJ_normal.jpg")</f>
        <v>https://pbs.twimg.com/profile_images/893186933676851200/i0GsyMzJ_normal.jpg</v>
      </c>
      <c r="G1344" s="63"/>
      <c r="H1344" s="67"/>
      <c r="I1344" s="68"/>
      <c r="J1344" s="68"/>
      <c r="K1344" s="67" t="s">
        <v>28938</v>
      </c>
      <c r="L1344" s="71"/>
      <c r="M1344" s="72"/>
      <c r="N1344" s="72"/>
      <c r="O1344" s="73"/>
      <c r="P1344" s="74"/>
      <c r="Q1344" s="74"/>
      <c r="R1344" s="87"/>
      <c r="S1344" s="87"/>
      <c r="T1344" s="87"/>
      <c r="U1344" s="87"/>
      <c r="V1344" s="48"/>
      <c r="W1344" s="48"/>
      <c r="X1344" s="48"/>
      <c r="Y1344" s="48"/>
      <c r="Z1344" s="47"/>
      <c r="AA1344" s="69">
        <v>1344</v>
      </c>
      <c r="AB1344" s="69"/>
      <c r="AC1344" s="70"/>
      <c r="AD1344" s="76" t="s">
        <v>22562</v>
      </c>
      <c r="AE1344" s="81" t="s">
        <v>23775</v>
      </c>
      <c r="AF1344" s="76">
        <v>271291</v>
      </c>
      <c r="AG1344" s="76">
        <v>4379</v>
      </c>
      <c r="AH1344" s="76">
        <v>51007</v>
      </c>
      <c r="AI1344" s="76">
        <v>372</v>
      </c>
      <c r="AJ1344" s="76">
        <v>1923</v>
      </c>
      <c r="AK1344" s="76">
        <v>11123</v>
      </c>
      <c r="AL1344" s="76" t="b">
        <v>0</v>
      </c>
      <c r="AM1344" s="78">
        <v>40353.586886574078</v>
      </c>
      <c r="AN1344" s="76" t="s">
        <v>24063</v>
      </c>
      <c r="AO1344" s="76" t="s">
        <v>25906</v>
      </c>
      <c r="AP1344" s="82" t="str">
        <f>HYPERLINK("https://t.co/BFq8uwMBMD")</f>
        <v>https://t.co/BFq8uwMBMD</v>
      </c>
      <c r="AQ1344" s="82" t="str">
        <f>HYPERLINK("http://www.popularenlinea.com")</f>
        <v>http://www.popularenlinea.com</v>
      </c>
      <c r="AR1344" s="76" t="s">
        <v>27085</v>
      </c>
      <c r="AS1344" s="76"/>
      <c r="AT1344" s="76"/>
      <c r="AU1344" s="76"/>
      <c r="AV1344" s="76"/>
      <c r="AW1344" s="82" t="str">
        <f>HYPERLINK("https://t.co/BFq8uwMBMD")</f>
        <v>https://t.co/BFq8uwMBMD</v>
      </c>
      <c r="AX1344" s="76" t="b">
        <v>1</v>
      </c>
      <c r="AY1344" s="76"/>
      <c r="AZ1344" s="76"/>
      <c r="BA1344" s="76" t="b">
        <v>1</v>
      </c>
      <c r="BB1344" s="76" t="b">
        <v>1</v>
      </c>
      <c r="BC1344" s="76" t="b">
        <v>0</v>
      </c>
      <c r="BD1344" s="76" t="b">
        <v>0</v>
      </c>
      <c r="BE1344" s="76" t="b">
        <v>0</v>
      </c>
      <c r="BF1344" s="76" t="b">
        <v>0</v>
      </c>
      <c r="BG1344" s="76" t="b">
        <v>0</v>
      </c>
      <c r="BH1344" s="82" t="str">
        <f>HYPERLINK("https://pbs.twimg.com/profile_banners/159117645/1632841697")</f>
        <v>https://pbs.twimg.com/profile_banners/159117645/1632841697</v>
      </c>
      <c r="BI1344" s="76"/>
      <c r="BJ1344" s="76" t="s">
        <v>27596</v>
      </c>
      <c r="BK1344" s="76" t="b">
        <v>0</v>
      </c>
      <c r="BL1344" s="76"/>
      <c r="BM1344" s="76" t="s">
        <v>65</v>
      </c>
      <c r="BN1344" s="76" t="s">
        <v>27597</v>
      </c>
      <c r="BO1344" s="82" t="str">
        <f>HYPERLINK("https://twitter.com/popularenlinea")</f>
        <v>https://twitter.com/popularenlinea</v>
      </c>
      <c r="BP1344" s="2"/>
    </row>
    <row r="1345" spans="1:68" x14ac:dyDescent="0.25">
      <c r="A1345" s="62" t="s">
        <v>1218</v>
      </c>
      <c r="B1345" s="63"/>
      <c r="C1345" s="63"/>
      <c r="D1345" s="64"/>
      <c r="E1345" s="66"/>
      <c r="F1345" s="103" t="str">
        <f>HYPERLINK("https://pbs.twimg.com/profile_images/1374135849428877312/tqkqo_Fl_normal.jpg")</f>
        <v>https://pbs.twimg.com/profile_images/1374135849428877312/tqkqo_Fl_normal.jpg</v>
      </c>
      <c r="G1345" s="63"/>
      <c r="H1345" s="67"/>
      <c r="I1345" s="68"/>
      <c r="J1345" s="68"/>
      <c r="K1345" s="67" t="s">
        <v>28939</v>
      </c>
      <c r="L1345" s="71"/>
      <c r="M1345" s="72"/>
      <c r="N1345" s="72"/>
      <c r="O1345" s="73"/>
      <c r="P1345" s="74"/>
      <c r="Q1345" s="74"/>
      <c r="R1345" s="87"/>
      <c r="S1345" s="87"/>
      <c r="T1345" s="87"/>
      <c r="U1345" s="87"/>
      <c r="V1345" s="48"/>
      <c r="W1345" s="48"/>
      <c r="X1345" s="48"/>
      <c r="Y1345" s="48"/>
      <c r="Z1345" s="47"/>
      <c r="AA1345" s="69">
        <v>1345</v>
      </c>
      <c r="AB1345" s="69"/>
      <c r="AC1345" s="70"/>
      <c r="AD1345" s="76" t="s">
        <v>22563</v>
      </c>
      <c r="AE1345" s="81" t="s">
        <v>23776</v>
      </c>
      <c r="AF1345" s="76">
        <v>607</v>
      </c>
      <c r="AG1345" s="76">
        <v>802</v>
      </c>
      <c r="AH1345" s="76">
        <v>5475</v>
      </c>
      <c r="AI1345" s="76">
        <v>0</v>
      </c>
      <c r="AJ1345" s="76">
        <v>30191</v>
      </c>
      <c r="AK1345" s="76">
        <v>125</v>
      </c>
      <c r="AL1345" s="76" t="b">
        <v>0</v>
      </c>
      <c r="AM1345" s="78">
        <v>41332.813784722224</v>
      </c>
      <c r="AN1345" s="76"/>
      <c r="AO1345" s="76" t="s">
        <v>25907</v>
      </c>
      <c r="AP1345" s="76"/>
      <c r="AQ1345" s="76"/>
      <c r="AR1345" s="76"/>
      <c r="AS1345" s="76"/>
      <c r="AT1345" s="76"/>
      <c r="AU1345" s="76"/>
      <c r="AV1345" s="76"/>
      <c r="AW1345" s="76"/>
      <c r="AX1345" s="76" t="b">
        <v>0</v>
      </c>
      <c r="AY1345" s="76"/>
      <c r="AZ1345" s="76"/>
      <c r="BA1345" s="76" t="b">
        <v>1</v>
      </c>
      <c r="BB1345" s="76" t="b">
        <v>1</v>
      </c>
      <c r="BC1345" s="76" t="b">
        <v>0</v>
      </c>
      <c r="BD1345" s="76" t="b">
        <v>0</v>
      </c>
      <c r="BE1345" s="76" t="b">
        <v>1</v>
      </c>
      <c r="BF1345" s="76" t="b">
        <v>0</v>
      </c>
      <c r="BG1345" s="76" t="b">
        <v>0</v>
      </c>
      <c r="BH1345" s="82" t="str">
        <f>HYPERLINK("https://pbs.twimg.com/profile_banners/1225866132/1466229915")</f>
        <v>https://pbs.twimg.com/profile_banners/1225866132/1466229915</v>
      </c>
      <c r="BI1345" s="76"/>
      <c r="BJ1345" s="76" t="s">
        <v>27595</v>
      </c>
      <c r="BK1345" s="76" t="b">
        <v>0</v>
      </c>
      <c r="BL1345" s="76"/>
      <c r="BM1345" s="76" t="s">
        <v>66</v>
      </c>
      <c r="BN1345" s="76" t="s">
        <v>27597</v>
      </c>
      <c r="BO1345" s="82" t="str">
        <f>HYPERLINK("https://twitter.com/homeroterann")</f>
        <v>https://twitter.com/homeroterann</v>
      </c>
      <c r="BP1345" s="2"/>
    </row>
    <row r="1346" spans="1:68" x14ac:dyDescent="0.25">
      <c r="A1346" s="62" t="s">
        <v>1219</v>
      </c>
      <c r="B1346" s="63"/>
      <c r="C1346" s="63"/>
      <c r="D1346" s="64"/>
      <c r="E1346" s="66"/>
      <c r="F1346" s="103" t="str">
        <f>HYPERLINK("https://pbs.twimg.com/profile_images/1664018136402739201/E9XYLuLx_normal.jpg")</f>
        <v>https://pbs.twimg.com/profile_images/1664018136402739201/E9XYLuLx_normal.jpg</v>
      </c>
      <c r="G1346" s="63"/>
      <c r="H1346" s="67"/>
      <c r="I1346" s="68"/>
      <c r="J1346" s="68"/>
      <c r="K1346" s="67" t="s">
        <v>28940</v>
      </c>
      <c r="L1346" s="71"/>
      <c r="M1346" s="72"/>
      <c r="N1346" s="72"/>
      <c r="O1346" s="73"/>
      <c r="P1346" s="74"/>
      <c r="Q1346" s="74"/>
      <c r="R1346" s="87"/>
      <c r="S1346" s="87"/>
      <c r="T1346" s="87"/>
      <c r="U1346" s="87"/>
      <c r="V1346" s="48"/>
      <c r="W1346" s="48"/>
      <c r="X1346" s="48"/>
      <c r="Y1346" s="48"/>
      <c r="Z1346" s="47"/>
      <c r="AA1346" s="69">
        <v>1346</v>
      </c>
      <c r="AB1346" s="69"/>
      <c r="AC1346" s="70"/>
      <c r="AD1346" s="76" t="s">
        <v>22564</v>
      </c>
      <c r="AE1346" s="81" t="s">
        <v>20333</v>
      </c>
      <c r="AF1346" s="76">
        <v>6</v>
      </c>
      <c r="AG1346" s="76">
        <v>2</v>
      </c>
      <c r="AH1346" s="76">
        <v>134</v>
      </c>
      <c r="AI1346" s="76">
        <v>0</v>
      </c>
      <c r="AJ1346" s="76">
        <v>111</v>
      </c>
      <c r="AK1346" s="76">
        <v>25</v>
      </c>
      <c r="AL1346" s="76" t="b">
        <v>0</v>
      </c>
      <c r="AM1346" s="78">
        <v>44955.809212962966</v>
      </c>
      <c r="AN1346" s="76" t="s">
        <v>24540</v>
      </c>
      <c r="AO1346" s="76" t="s">
        <v>25908</v>
      </c>
      <c r="AP1346" s="82" t="str">
        <f>HYPERLINK("https://t.co/98jc5kjAqT")</f>
        <v>https://t.co/98jc5kjAqT</v>
      </c>
      <c r="AQ1346" s="82" t="str">
        <f>HYPERLINK("https://www.youtube.com/@DentroDelPrecio")</f>
        <v>https://www.youtube.com/@DentroDelPrecio</v>
      </c>
      <c r="AR1346" s="76" t="s">
        <v>27086</v>
      </c>
      <c r="AS1346" s="76"/>
      <c r="AT1346" s="76"/>
      <c r="AU1346" s="76"/>
      <c r="AV1346" s="76"/>
      <c r="AW1346" s="82" t="str">
        <f>HYPERLINK("https://t.co/98jc5kjAqT")</f>
        <v>https://t.co/98jc5kjAqT</v>
      </c>
      <c r="AX1346" s="76" t="b">
        <v>0</v>
      </c>
      <c r="AY1346" s="76"/>
      <c r="AZ1346" s="76"/>
      <c r="BA1346" s="76" t="b">
        <v>0</v>
      </c>
      <c r="BB1346" s="76" t="b">
        <v>1</v>
      </c>
      <c r="BC1346" s="76" t="b">
        <v>1</v>
      </c>
      <c r="BD1346" s="76" t="b">
        <v>0</v>
      </c>
      <c r="BE1346" s="76" t="b">
        <v>0</v>
      </c>
      <c r="BF1346" s="76" t="b">
        <v>0</v>
      </c>
      <c r="BG1346" s="76" t="b">
        <v>0</v>
      </c>
      <c r="BH1346" s="82" t="str">
        <f>HYPERLINK("https://pbs.twimg.com/profile_banners/1619778632250974211/1685567817")</f>
        <v>https://pbs.twimg.com/profile_banners/1619778632250974211/1685567817</v>
      </c>
      <c r="BI1346" s="76"/>
      <c r="BJ1346" s="76" t="s">
        <v>27595</v>
      </c>
      <c r="BK1346" s="76" t="b">
        <v>0</v>
      </c>
      <c r="BL1346" s="76"/>
      <c r="BM1346" s="76" t="s">
        <v>66</v>
      </c>
      <c r="BN1346" s="76" t="s">
        <v>27597</v>
      </c>
      <c r="BO1346" s="82" t="str">
        <f>HYPERLINK("https://twitter.com/dentrodelprecio")</f>
        <v>https://twitter.com/dentrodelprecio</v>
      </c>
      <c r="BP1346" s="2"/>
    </row>
    <row r="1347" spans="1:68" x14ac:dyDescent="0.25">
      <c r="A1347" s="62" t="s">
        <v>1220</v>
      </c>
      <c r="B1347" s="63"/>
      <c r="C1347" s="63"/>
      <c r="D1347" s="64"/>
      <c r="E1347" s="66"/>
      <c r="F1347" s="103" t="str">
        <f>HYPERLINK("https://pbs.twimg.com/profile_images/1691206773607112704/NGw4qruM_normal.jpg")</f>
        <v>https://pbs.twimg.com/profile_images/1691206773607112704/NGw4qruM_normal.jpg</v>
      </c>
      <c r="G1347" s="63"/>
      <c r="H1347" s="67"/>
      <c r="I1347" s="68"/>
      <c r="J1347" s="68"/>
      <c r="K1347" s="67" t="s">
        <v>28941</v>
      </c>
      <c r="L1347" s="71"/>
      <c r="M1347" s="72"/>
      <c r="N1347" s="72"/>
      <c r="O1347" s="73"/>
      <c r="P1347" s="74"/>
      <c r="Q1347" s="74"/>
      <c r="R1347" s="87"/>
      <c r="S1347" s="87"/>
      <c r="T1347" s="87"/>
      <c r="U1347" s="87"/>
      <c r="V1347" s="48"/>
      <c r="W1347" s="48"/>
      <c r="X1347" s="48"/>
      <c r="Y1347" s="48"/>
      <c r="Z1347" s="47"/>
      <c r="AA1347" s="69">
        <v>1347</v>
      </c>
      <c r="AB1347" s="69"/>
      <c r="AC1347" s="70"/>
      <c r="AD1347" s="76" t="s">
        <v>1220</v>
      </c>
      <c r="AE1347" s="81" t="s">
        <v>20984</v>
      </c>
      <c r="AF1347" s="76">
        <v>7</v>
      </c>
      <c r="AG1347" s="76">
        <v>87</v>
      </c>
      <c r="AH1347" s="76">
        <v>1438</v>
      </c>
      <c r="AI1347" s="76">
        <v>0</v>
      </c>
      <c r="AJ1347" s="76">
        <v>0</v>
      </c>
      <c r="AK1347" s="76">
        <v>159</v>
      </c>
      <c r="AL1347" s="76" t="b">
        <v>0</v>
      </c>
      <c r="AM1347" s="78">
        <v>45152.554039351853</v>
      </c>
      <c r="AN1347" s="76" t="s">
        <v>24128</v>
      </c>
      <c r="AO1347" s="76" t="s">
        <v>25909</v>
      </c>
      <c r="AP1347" s="76"/>
      <c r="AQ1347" s="76"/>
      <c r="AR1347" s="76"/>
      <c r="AS1347" s="76"/>
      <c r="AT1347" s="76"/>
      <c r="AU1347" s="76"/>
      <c r="AV1347" s="76"/>
      <c r="AW1347" s="76"/>
      <c r="AX1347" s="76" t="b">
        <v>0</v>
      </c>
      <c r="AY1347" s="76"/>
      <c r="AZ1347" s="76"/>
      <c r="BA1347" s="76" t="b">
        <v>0</v>
      </c>
      <c r="BB1347" s="76" t="b">
        <v>1</v>
      </c>
      <c r="BC1347" s="76" t="b">
        <v>1</v>
      </c>
      <c r="BD1347" s="76" t="b">
        <v>0</v>
      </c>
      <c r="BE1347" s="76" t="b">
        <v>0</v>
      </c>
      <c r="BF1347" s="76" t="b">
        <v>0</v>
      </c>
      <c r="BG1347" s="76" t="b">
        <v>0</v>
      </c>
      <c r="BH1347" s="82" t="str">
        <f>HYPERLINK("https://pbs.twimg.com/profile_banners/1691076599167188993/1692045727")</f>
        <v>https://pbs.twimg.com/profile_banners/1691076599167188993/1692045727</v>
      </c>
      <c r="BI1347" s="76"/>
      <c r="BJ1347" s="76" t="s">
        <v>27595</v>
      </c>
      <c r="BK1347" s="76" t="b">
        <v>0</v>
      </c>
      <c r="BL1347" s="76"/>
      <c r="BM1347" s="76" t="s">
        <v>66</v>
      </c>
      <c r="BN1347" s="76" t="s">
        <v>27597</v>
      </c>
      <c r="BO1347" s="82" t="str">
        <f>HYPERLINK("https://twitter.com/blokdenoticias")</f>
        <v>https://twitter.com/blokdenoticias</v>
      </c>
      <c r="BP1347" s="2"/>
    </row>
    <row r="1348" spans="1:68" x14ac:dyDescent="0.25">
      <c r="A1348" s="62" t="s">
        <v>1221</v>
      </c>
      <c r="B1348" s="63"/>
      <c r="C1348" s="63"/>
      <c r="D1348" s="64"/>
      <c r="E1348" s="66"/>
      <c r="F1348" s="103" t="str">
        <f>HYPERLINK("https://pbs.twimg.com/profile_images/1677495740518604800/YnS5aQxe_normal.jpg")</f>
        <v>https://pbs.twimg.com/profile_images/1677495740518604800/YnS5aQxe_normal.jpg</v>
      </c>
      <c r="G1348" s="63"/>
      <c r="H1348" s="67"/>
      <c r="I1348" s="68"/>
      <c r="J1348" s="68"/>
      <c r="K1348" s="67" t="s">
        <v>28942</v>
      </c>
      <c r="L1348" s="71"/>
      <c r="M1348" s="72"/>
      <c r="N1348" s="72"/>
      <c r="O1348" s="73"/>
      <c r="P1348" s="74"/>
      <c r="Q1348" s="74"/>
      <c r="R1348" s="87"/>
      <c r="S1348" s="87"/>
      <c r="T1348" s="87"/>
      <c r="U1348" s="87"/>
      <c r="V1348" s="48"/>
      <c r="W1348" s="48"/>
      <c r="X1348" s="48"/>
      <c r="Y1348" s="48"/>
      <c r="Z1348" s="47"/>
      <c r="AA1348" s="69">
        <v>1348</v>
      </c>
      <c r="AB1348" s="69"/>
      <c r="AC1348" s="70"/>
      <c r="AD1348" s="76" t="s">
        <v>22565</v>
      </c>
      <c r="AE1348" s="81" t="s">
        <v>23777</v>
      </c>
      <c r="AF1348" s="76">
        <v>43</v>
      </c>
      <c r="AG1348" s="76">
        <v>48</v>
      </c>
      <c r="AH1348" s="76">
        <v>2546</v>
      </c>
      <c r="AI1348" s="76">
        <v>0</v>
      </c>
      <c r="AJ1348" s="76">
        <v>1019</v>
      </c>
      <c r="AK1348" s="76">
        <v>35</v>
      </c>
      <c r="AL1348" s="76" t="b">
        <v>0</v>
      </c>
      <c r="AM1348" s="78">
        <v>41454.01457175926</v>
      </c>
      <c r="AN1348" s="76" t="s">
        <v>24541</v>
      </c>
      <c r="AO1348" s="76" t="s">
        <v>25910</v>
      </c>
      <c r="AP1348" s="76"/>
      <c r="AQ1348" s="76"/>
      <c r="AR1348" s="76"/>
      <c r="AS1348" s="76"/>
      <c r="AT1348" s="76"/>
      <c r="AU1348" s="76"/>
      <c r="AV1348" s="76"/>
      <c r="AW1348" s="76"/>
      <c r="AX1348" s="76" t="b">
        <v>0</v>
      </c>
      <c r="AY1348" s="76"/>
      <c r="AZ1348" s="76"/>
      <c r="BA1348" s="76" t="b">
        <v>0</v>
      </c>
      <c r="BB1348" s="76" t="b">
        <v>1</v>
      </c>
      <c r="BC1348" s="76" t="b">
        <v>1</v>
      </c>
      <c r="BD1348" s="76" t="b">
        <v>0</v>
      </c>
      <c r="BE1348" s="76" t="b">
        <v>0</v>
      </c>
      <c r="BF1348" s="76" t="b">
        <v>0</v>
      </c>
      <c r="BG1348" s="76" t="b">
        <v>0</v>
      </c>
      <c r="BH1348" s="82" t="str">
        <f>HYPERLINK("https://pbs.twimg.com/profile_banners/1554339602/1513696079")</f>
        <v>https://pbs.twimg.com/profile_banners/1554339602/1513696079</v>
      </c>
      <c r="BI1348" s="76"/>
      <c r="BJ1348" s="76" t="s">
        <v>27595</v>
      </c>
      <c r="BK1348" s="76" t="b">
        <v>0</v>
      </c>
      <c r="BL1348" s="76"/>
      <c r="BM1348" s="76" t="s">
        <v>66</v>
      </c>
      <c r="BN1348" s="76" t="s">
        <v>27597</v>
      </c>
      <c r="BO1348" s="82" t="str">
        <f>HYPERLINK("https://twitter.com/cvm7002")</f>
        <v>https://twitter.com/cvm7002</v>
      </c>
      <c r="BP1348" s="2"/>
    </row>
    <row r="1349" spans="1:68" x14ac:dyDescent="0.25">
      <c r="A1349" s="62" t="s">
        <v>1996</v>
      </c>
      <c r="B1349" s="63"/>
      <c r="C1349" s="63"/>
      <c r="D1349" s="64"/>
      <c r="E1349" s="66"/>
      <c r="F1349" s="103" t="str">
        <f>HYPERLINK("https://pbs.twimg.com/profile_images/1661374130963333124/QWcBD2tc_normal.jpg")</f>
        <v>https://pbs.twimg.com/profile_images/1661374130963333124/QWcBD2tc_normal.jpg</v>
      </c>
      <c r="G1349" s="63"/>
      <c r="H1349" s="67"/>
      <c r="I1349" s="68"/>
      <c r="J1349" s="68"/>
      <c r="K1349" s="67" t="s">
        <v>28943</v>
      </c>
      <c r="L1349" s="71"/>
      <c r="M1349" s="72"/>
      <c r="N1349" s="72"/>
      <c r="O1349" s="73"/>
      <c r="P1349" s="74"/>
      <c r="Q1349" s="74"/>
      <c r="R1349" s="87"/>
      <c r="S1349" s="87"/>
      <c r="T1349" s="87"/>
      <c r="U1349" s="87"/>
      <c r="V1349" s="48"/>
      <c r="W1349" s="48"/>
      <c r="X1349" s="48"/>
      <c r="Y1349" s="48"/>
      <c r="Z1349" s="47"/>
      <c r="AA1349" s="69">
        <v>1349</v>
      </c>
      <c r="AB1349" s="69"/>
      <c r="AC1349" s="70"/>
      <c r="AD1349" s="76" t="s">
        <v>22566</v>
      </c>
      <c r="AE1349" s="81" t="s">
        <v>23778</v>
      </c>
      <c r="AF1349" s="76">
        <v>46734</v>
      </c>
      <c r="AG1349" s="76">
        <v>44915</v>
      </c>
      <c r="AH1349" s="76">
        <v>22488</v>
      </c>
      <c r="AI1349" s="76">
        <v>35</v>
      </c>
      <c r="AJ1349" s="76">
        <v>80810</v>
      </c>
      <c r="AK1349" s="76">
        <v>2050</v>
      </c>
      <c r="AL1349" s="76" t="b">
        <v>0</v>
      </c>
      <c r="AM1349" s="78">
        <v>42337.182106481479</v>
      </c>
      <c r="AN1349" s="76" t="s">
        <v>24542</v>
      </c>
      <c r="AO1349" s="76" t="s">
        <v>25911</v>
      </c>
      <c r="AP1349" s="82" t="str">
        <f>HYPERLINK("https://t.co/XxRH3rax1y")</f>
        <v>https://t.co/XxRH3rax1y</v>
      </c>
      <c r="AQ1349" s="82" t="str">
        <f>HYPERLINK("https://www.instagram.com/candrews.cl/")</f>
        <v>https://www.instagram.com/candrews.cl/</v>
      </c>
      <c r="AR1349" s="76" t="s">
        <v>27087</v>
      </c>
      <c r="AS1349" s="76"/>
      <c r="AT1349" s="76"/>
      <c r="AU1349" s="76"/>
      <c r="AV1349" s="76"/>
      <c r="AW1349" s="82" t="str">
        <f>HYPERLINK("https://t.co/XxRH3rax1y")</f>
        <v>https://t.co/XxRH3rax1y</v>
      </c>
      <c r="AX1349" s="76" t="b">
        <v>1</v>
      </c>
      <c r="AY1349" s="76"/>
      <c r="AZ1349" s="76"/>
      <c r="BA1349" s="76" t="b">
        <v>0</v>
      </c>
      <c r="BB1349" s="76" t="b">
        <v>1</v>
      </c>
      <c r="BC1349" s="76" t="b">
        <v>1</v>
      </c>
      <c r="BD1349" s="76" t="b">
        <v>0</v>
      </c>
      <c r="BE1349" s="76" t="b">
        <v>0</v>
      </c>
      <c r="BF1349" s="76" t="b">
        <v>0</v>
      </c>
      <c r="BG1349" s="76" t="b">
        <v>0</v>
      </c>
      <c r="BH1349" s="82" t="str">
        <f>HYPERLINK("https://pbs.twimg.com/profile_banners/4314194367/1683538913")</f>
        <v>https://pbs.twimg.com/profile_banners/4314194367/1683538913</v>
      </c>
      <c r="BI1349" s="76"/>
      <c r="BJ1349" s="76" t="s">
        <v>27595</v>
      </c>
      <c r="BK1349" s="76" t="b">
        <v>0</v>
      </c>
      <c r="BL1349" s="76"/>
      <c r="BM1349" s="76" t="s">
        <v>66</v>
      </c>
      <c r="BN1349" s="76" t="s">
        <v>27597</v>
      </c>
      <c r="BO1349" s="82" t="str">
        <f>HYPERLINK("https://twitter.com/candrews_cl")</f>
        <v>https://twitter.com/candrews_cl</v>
      </c>
      <c r="BP1349" s="2"/>
    </row>
    <row r="1350" spans="1:68" x14ac:dyDescent="0.25">
      <c r="A1350" s="62" t="s">
        <v>1222</v>
      </c>
      <c r="B1350" s="63"/>
      <c r="C1350" s="63"/>
      <c r="D1350" s="64"/>
      <c r="E1350" s="66"/>
      <c r="F1350" s="103" t="str">
        <f>HYPERLINK("https://pbs.twimg.com/profile_images/1417400625533444115/aNgkukbn_normal.jpg")</f>
        <v>https://pbs.twimg.com/profile_images/1417400625533444115/aNgkukbn_normal.jpg</v>
      </c>
      <c r="G1350" s="63"/>
      <c r="H1350" s="67"/>
      <c r="I1350" s="68"/>
      <c r="J1350" s="68"/>
      <c r="K1350" s="67" t="s">
        <v>28944</v>
      </c>
      <c r="L1350" s="71"/>
      <c r="M1350" s="72"/>
      <c r="N1350" s="72"/>
      <c r="O1350" s="73"/>
      <c r="P1350" s="74"/>
      <c r="Q1350" s="74"/>
      <c r="R1350" s="87"/>
      <c r="S1350" s="87"/>
      <c r="T1350" s="87"/>
      <c r="U1350" s="87"/>
      <c r="V1350" s="48"/>
      <c r="W1350" s="48"/>
      <c r="X1350" s="48"/>
      <c r="Y1350" s="48"/>
      <c r="Z1350" s="47"/>
      <c r="AA1350" s="69">
        <v>1350</v>
      </c>
      <c r="AB1350" s="69"/>
      <c r="AC1350" s="70"/>
      <c r="AD1350" s="76" t="s">
        <v>21883</v>
      </c>
      <c r="AE1350" s="81" t="s">
        <v>20985</v>
      </c>
      <c r="AF1350" s="76">
        <v>115</v>
      </c>
      <c r="AG1350" s="76">
        <v>406</v>
      </c>
      <c r="AH1350" s="76">
        <v>2126</v>
      </c>
      <c r="AI1350" s="76">
        <v>0</v>
      </c>
      <c r="AJ1350" s="76">
        <v>1932</v>
      </c>
      <c r="AK1350" s="76">
        <v>243</v>
      </c>
      <c r="AL1350" s="76" t="b">
        <v>0</v>
      </c>
      <c r="AM1350" s="78">
        <v>44205.362916666665</v>
      </c>
      <c r="AN1350" s="76"/>
      <c r="AO1350" s="76"/>
      <c r="AP1350" s="82" t="str">
        <f>HYPERLINK("https://t.co/oB8SOAdFqj")</f>
        <v>https://t.co/oB8SOAdFqj</v>
      </c>
      <c r="AQ1350" s="82" t="str">
        <f>HYPERLINK("https://museudofuturo.org.br/")</f>
        <v>https://museudofuturo.org.br/</v>
      </c>
      <c r="AR1350" s="76" t="s">
        <v>27088</v>
      </c>
      <c r="AS1350" s="76"/>
      <c r="AT1350" s="76"/>
      <c r="AU1350" s="76"/>
      <c r="AV1350" s="76"/>
      <c r="AW1350" s="82" t="str">
        <f>HYPERLINK("https://t.co/oB8SOAdFqj")</f>
        <v>https://t.co/oB8SOAdFqj</v>
      </c>
      <c r="AX1350" s="76" t="b">
        <v>0</v>
      </c>
      <c r="AY1350" s="76"/>
      <c r="AZ1350" s="76"/>
      <c r="BA1350" s="76" t="b">
        <v>0</v>
      </c>
      <c r="BB1350" s="76" t="b">
        <v>1</v>
      </c>
      <c r="BC1350" s="76" t="b">
        <v>1</v>
      </c>
      <c r="BD1350" s="76" t="b">
        <v>0</v>
      </c>
      <c r="BE1350" s="76" t="b">
        <v>1</v>
      </c>
      <c r="BF1350" s="76" t="b">
        <v>0</v>
      </c>
      <c r="BG1350" s="76" t="b">
        <v>0</v>
      </c>
      <c r="BH1350" s="76"/>
      <c r="BI1350" s="76"/>
      <c r="BJ1350" s="76" t="s">
        <v>27595</v>
      </c>
      <c r="BK1350" s="76" t="b">
        <v>0</v>
      </c>
      <c r="BL1350" s="76"/>
      <c r="BM1350" s="76" t="s">
        <v>66</v>
      </c>
      <c r="BN1350" s="76" t="s">
        <v>27597</v>
      </c>
      <c r="BO1350" s="82" t="str">
        <f>HYPERLINK("https://twitter.com/nacliteresa")</f>
        <v>https://twitter.com/nacliteresa</v>
      </c>
      <c r="BP1350" s="2"/>
    </row>
    <row r="1351" spans="1:68" x14ac:dyDescent="0.25">
      <c r="A1351" s="62" t="s">
        <v>1997</v>
      </c>
      <c r="B1351" s="63"/>
      <c r="C1351" s="63"/>
      <c r="D1351" s="64"/>
      <c r="E1351" s="66"/>
      <c r="F1351" s="103" t="str">
        <f>HYPERLINK("https://pbs.twimg.com/profile_images/1616156953436094498/Doiqzybg_normal.jpg")</f>
        <v>https://pbs.twimg.com/profile_images/1616156953436094498/Doiqzybg_normal.jpg</v>
      </c>
      <c r="G1351" s="63"/>
      <c r="H1351" s="67"/>
      <c r="I1351" s="68"/>
      <c r="J1351" s="68"/>
      <c r="K1351" s="67" t="s">
        <v>28945</v>
      </c>
      <c r="L1351" s="71"/>
      <c r="M1351" s="72"/>
      <c r="N1351" s="72"/>
      <c r="O1351" s="73"/>
      <c r="P1351" s="74"/>
      <c r="Q1351" s="74"/>
      <c r="R1351" s="87"/>
      <c r="S1351" s="87"/>
      <c r="T1351" s="87"/>
      <c r="U1351" s="87"/>
      <c r="V1351" s="48"/>
      <c r="W1351" s="48"/>
      <c r="X1351" s="48"/>
      <c r="Y1351" s="48"/>
      <c r="Z1351" s="47"/>
      <c r="AA1351" s="69">
        <v>1351</v>
      </c>
      <c r="AB1351" s="69"/>
      <c r="AC1351" s="70"/>
      <c r="AD1351" s="76" t="s">
        <v>22567</v>
      </c>
      <c r="AE1351" s="81" t="s">
        <v>20334</v>
      </c>
      <c r="AF1351" s="76">
        <v>5838</v>
      </c>
      <c r="AG1351" s="76">
        <v>3962</v>
      </c>
      <c r="AH1351" s="76">
        <v>15186</v>
      </c>
      <c r="AI1351" s="76">
        <v>2</v>
      </c>
      <c r="AJ1351" s="76">
        <v>92876</v>
      </c>
      <c r="AK1351" s="76">
        <v>1820</v>
      </c>
      <c r="AL1351" s="76" t="b">
        <v>0</v>
      </c>
      <c r="AM1351" s="78">
        <v>44772.961539351854</v>
      </c>
      <c r="AN1351" s="76" t="s">
        <v>24543</v>
      </c>
      <c r="AO1351" s="76" t="s">
        <v>25912</v>
      </c>
      <c r="AP1351" s="76"/>
      <c r="AQ1351" s="76"/>
      <c r="AR1351" s="76"/>
      <c r="AS1351" s="76"/>
      <c r="AT1351" s="76"/>
      <c r="AU1351" s="76"/>
      <c r="AV1351" s="76">
        <v>1.62707267598959E+18</v>
      </c>
      <c r="AW1351" s="76"/>
      <c r="AX1351" s="76" t="b">
        <v>0</v>
      </c>
      <c r="AY1351" s="76"/>
      <c r="AZ1351" s="76"/>
      <c r="BA1351" s="76" t="b">
        <v>0</v>
      </c>
      <c r="BB1351" s="76" t="b">
        <v>0</v>
      </c>
      <c r="BC1351" s="76" t="b">
        <v>1</v>
      </c>
      <c r="BD1351" s="76" t="b">
        <v>0</v>
      </c>
      <c r="BE1351" s="76" t="b">
        <v>1</v>
      </c>
      <c r="BF1351" s="76" t="b">
        <v>0</v>
      </c>
      <c r="BG1351" s="76" t="b">
        <v>0</v>
      </c>
      <c r="BH1351" s="82" t="str">
        <f>HYPERLINK("https://pbs.twimg.com/profile_banners/1553516842806829056/1659237275")</f>
        <v>https://pbs.twimg.com/profile_banners/1553516842806829056/1659237275</v>
      </c>
      <c r="BI1351" s="76"/>
      <c r="BJ1351" s="76" t="s">
        <v>27595</v>
      </c>
      <c r="BK1351" s="76" t="b">
        <v>0</v>
      </c>
      <c r="BL1351" s="76"/>
      <c r="BM1351" s="76" t="s">
        <v>65</v>
      </c>
      <c r="BN1351" s="76" t="s">
        <v>27597</v>
      </c>
      <c r="BO1351" s="82" t="str">
        <f>HYPERLINK("https://twitter.com/costajr2023")</f>
        <v>https://twitter.com/costajr2023</v>
      </c>
      <c r="BP1351" s="2"/>
    </row>
    <row r="1352" spans="1:68" x14ac:dyDescent="0.25">
      <c r="A1352" s="62" t="s">
        <v>1223</v>
      </c>
      <c r="B1352" s="63"/>
      <c r="C1352" s="63"/>
      <c r="D1352" s="64"/>
      <c r="E1352" s="66"/>
      <c r="F1352" s="103" t="str">
        <f>HYPERLINK("https://pbs.twimg.com/profile_images/1697658337964228608/90ajpr4Z_normal.jpg")</f>
        <v>https://pbs.twimg.com/profile_images/1697658337964228608/90ajpr4Z_normal.jpg</v>
      </c>
      <c r="G1352" s="63"/>
      <c r="H1352" s="67"/>
      <c r="I1352" s="68"/>
      <c r="J1352" s="68"/>
      <c r="K1352" s="67" t="s">
        <v>28946</v>
      </c>
      <c r="L1352" s="71"/>
      <c r="M1352" s="72"/>
      <c r="N1352" s="72"/>
      <c r="O1352" s="73"/>
      <c r="P1352" s="74"/>
      <c r="Q1352" s="74"/>
      <c r="R1352" s="87"/>
      <c r="S1352" s="87"/>
      <c r="T1352" s="87"/>
      <c r="U1352" s="87"/>
      <c r="V1352" s="48"/>
      <c r="W1352" s="48"/>
      <c r="X1352" s="48"/>
      <c r="Y1352" s="48"/>
      <c r="Z1352" s="47"/>
      <c r="AA1352" s="69">
        <v>1352</v>
      </c>
      <c r="AB1352" s="69"/>
      <c r="AC1352" s="70"/>
      <c r="AD1352" s="76" t="s">
        <v>22568</v>
      </c>
      <c r="AE1352" s="81" t="s">
        <v>20986</v>
      </c>
      <c r="AF1352" s="76">
        <v>665065</v>
      </c>
      <c r="AG1352" s="76">
        <v>183</v>
      </c>
      <c r="AH1352" s="76">
        <v>55854</v>
      </c>
      <c r="AI1352" s="76">
        <v>1277</v>
      </c>
      <c r="AJ1352" s="76">
        <v>6049</v>
      </c>
      <c r="AK1352" s="76">
        <v>15638</v>
      </c>
      <c r="AL1352" s="76" t="b">
        <v>0</v>
      </c>
      <c r="AM1352" s="78">
        <v>42863.931574074071</v>
      </c>
      <c r="AN1352" s="76"/>
      <c r="AO1352" s="76" t="s">
        <v>25913</v>
      </c>
      <c r="AP1352" s="82" t="str">
        <f>HYPERLINK("https://t.co/Y9FQbhGrYo")</f>
        <v>https://t.co/Y9FQbhGrYo</v>
      </c>
      <c r="AQ1352" s="82" t="str">
        <f>HYPERLINK("https://www.gov.br/secom/pt-br/ta-na-mao")</f>
        <v>https://www.gov.br/secom/pt-br/ta-na-mao</v>
      </c>
      <c r="AR1352" s="76" t="s">
        <v>27089</v>
      </c>
      <c r="AS1352" s="76"/>
      <c r="AT1352" s="76"/>
      <c r="AU1352" s="76"/>
      <c r="AV1352" s="76"/>
      <c r="AW1352" s="82" t="str">
        <f>HYPERLINK("https://t.co/Y9FQbhGrYo")</f>
        <v>https://t.co/Y9FQbhGrYo</v>
      </c>
      <c r="AX1352" s="76" t="b">
        <v>0</v>
      </c>
      <c r="AY1352" s="76"/>
      <c r="AZ1352" s="76"/>
      <c r="BA1352" s="76" t="b">
        <v>0</v>
      </c>
      <c r="BB1352" s="76" t="b">
        <v>1</v>
      </c>
      <c r="BC1352" s="76" t="b">
        <v>1</v>
      </c>
      <c r="BD1352" s="76" t="b">
        <v>0</v>
      </c>
      <c r="BE1352" s="76" t="b">
        <v>1</v>
      </c>
      <c r="BF1352" s="76" t="b">
        <v>0</v>
      </c>
      <c r="BG1352" s="76" t="b">
        <v>0</v>
      </c>
      <c r="BH1352" s="82" t="str">
        <f>HYPERLINK("https://pbs.twimg.com/profile_banners/861707648584085504/1686655860")</f>
        <v>https://pbs.twimg.com/profile_banners/861707648584085504/1686655860</v>
      </c>
      <c r="BI1352" s="76"/>
      <c r="BJ1352" s="76" t="s">
        <v>27595</v>
      </c>
      <c r="BK1352" s="76" t="b">
        <v>0</v>
      </c>
      <c r="BL1352" s="76"/>
      <c r="BM1352" s="76" t="s">
        <v>66</v>
      </c>
      <c r="BN1352" s="76" t="s">
        <v>27597</v>
      </c>
      <c r="BO1352" s="82" t="str">
        <f>HYPERLINK("https://twitter.com/govbr")</f>
        <v>https://twitter.com/govbr</v>
      </c>
      <c r="BP1352" s="2"/>
    </row>
    <row r="1353" spans="1:68" x14ac:dyDescent="0.25">
      <c r="A1353" s="62" t="s">
        <v>1224</v>
      </c>
      <c r="B1353" s="63"/>
      <c r="C1353" s="63"/>
      <c r="D1353" s="64"/>
      <c r="E1353" s="66"/>
      <c r="F1353" s="103" t="str">
        <f>HYPERLINK("https://pbs.twimg.com/profile_images/1487015830739107844/uDrX6_2e_normal.jpg")</f>
        <v>https://pbs.twimg.com/profile_images/1487015830739107844/uDrX6_2e_normal.jpg</v>
      </c>
      <c r="G1353" s="63"/>
      <c r="H1353" s="67"/>
      <c r="I1353" s="68"/>
      <c r="J1353" s="68"/>
      <c r="K1353" s="67" t="s">
        <v>28947</v>
      </c>
      <c r="L1353" s="71"/>
      <c r="M1353" s="72"/>
      <c r="N1353" s="72"/>
      <c r="O1353" s="73"/>
      <c r="P1353" s="74"/>
      <c r="Q1353" s="74"/>
      <c r="R1353" s="87"/>
      <c r="S1353" s="87"/>
      <c r="T1353" s="87"/>
      <c r="U1353" s="87"/>
      <c r="V1353" s="48"/>
      <c r="W1353" s="48"/>
      <c r="X1353" s="48"/>
      <c r="Y1353" s="48"/>
      <c r="Z1353" s="47"/>
      <c r="AA1353" s="69">
        <v>1353</v>
      </c>
      <c r="AB1353" s="69"/>
      <c r="AC1353" s="70"/>
      <c r="AD1353" s="76" t="s">
        <v>22569</v>
      </c>
      <c r="AE1353" s="81" t="s">
        <v>20987</v>
      </c>
      <c r="AF1353" s="76">
        <v>205</v>
      </c>
      <c r="AG1353" s="76">
        <v>2946</v>
      </c>
      <c r="AH1353" s="76">
        <v>1218</v>
      </c>
      <c r="AI1353" s="76">
        <v>0</v>
      </c>
      <c r="AJ1353" s="76">
        <v>14280</v>
      </c>
      <c r="AK1353" s="76">
        <v>33</v>
      </c>
      <c r="AL1353" s="76" t="b">
        <v>0</v>
      </c>
      <c r="AM1353" s="78">
        <v>44589.453414351854</v>
      </c>
      <c r="AN1353" s="76"/>
      <c r="AO1353" s="76" t="s">
        <v>25914</v>
      </c>
      <c r="AP1353" s="76"/>
      <c r="AQ1353" s="76"/>
      <c r="AR1353" s="76"/>
      <c r="AS1353" s="76"/>
      <c r="AT1353" s="76"/>
      <c r="AU1353" s="76"/>
      <c r="AV1353" s="76"/>
      <c r="AW1353" s="76"/>
      <c r="AX1353" s="76" t="b">
        <v>0</v>
      </c>
      <c r="AY1353" s="76"/>
      <c r="AZ1353" s="76"/>
      <c r="BA1353" s="76" t="b">
        <v>0</v>
      </c>
      <c r="BB1353" s="76" t="b">
        <v>1</v>
      </c>
      <c r="BC1353" s="76" t="b">
        <v>1</v>
      </c>
      <c r="BD1353" s="76" t="b">
        <v>0</v>
      </c>
      <c r="BE1353" s="76" t="b">
        <v>0</v>
      </c>
      <c r="BF1353" s="76" t="b">
        <v>0</v>
      </c>
      <c r="BG1353" s="76" t="b">
        <v>0</v>
      </c>
      <c r="BH1353" s="76"/>
      <c r="BI1353" s="76"/>
      <c r="BJ1353" s="76" t="s">
        <v>27595</v>
      </c>
      <c r="BK1353" s="76" t="b">
        <v>0</v>
      </c>
      <c r="BL1353" s="76"/>
      <c r="BM1353" s="76" t="s">
        <v>66</v>
      </c>
      <c r="BN1353" s="76" t="s">
        <v>27597</v>
      </c>
      <c r="BO1353" s="82" t="str">
        <f>HYPERLINK("https://twitter.com/daniellima2022")</f>
        <v>https://twitter.com/daniellima2022</v>
      </c>
      <c r="BP1353" s="2"/>
    </row>
    <row r="1354" spans="1:68" x14ac:dyDescent="0.25">
      <c r="A1354" s="62" t="s">
        <v>1225</v>
      </c>
      <c r="B1354" s="63"/>
      <c r="C1354" s="63"/>
      <c r="D1354" s="64"/>
      <c r="E1354" s="66"/>
      <c r="F1354" s="103" t="str">
        <f>HYPERLINK("https://pbs.twimg.com/profile_images/1635131764719992832/Yb-VPfkt_normal.jpg")</f>
        <v>https://pbs.twimg.com/profile_images/1635131764719992832/Yb-VPfkt_normal.jpg</v>
      </c>
      <c r="G1354" s="63"/>
      <c r="H1354" s="67"/>
      <c r="I1354" s="68"/>
      <c r="J1354" s="68"/>
      <c r="K1354" s="67" t="s">
        <v>28948</v>
      </c>
      <c r="L1354" s="71"/>
      <c r="M1354" s="72"/>
      <c r="N1354" s="72"/>
      <c r="O1354" s="73"/>
      <c r="P1354" s="74"/>
      <c r="Q1354" s="74"/>
      <c r="R1354" s="87"/>
      <c r="S1354" s="87"/>
      <c r="T1354" s="87"/>
      <c r="U1354" s="87"/>
      <c r="V1354" s="48"/>
      <c r="W1354" s="48"/>
      <c r="X1354" s="48"/>
      <c r="Y1354" s="48"/>
      <c r="Z1354" s="47"/>
      <c r="AA1354" s="69">
        <v>1354</v>
      </c>
      <c r="AB1354" s="69"/>
      <c r="AC1354" s="70"/>
      <c r="AD1354" s="76" t="s">
        <v>22570</v>
      </c>
      <c r="AE1354" s="81" t="s">
        <v>20335</v>
      </c>
      <c r="AF1354" s="76">
        <v>1025</v>
      </c>
      <c r="AG1354" s="76">
        <v>468</v>
      </c>
      <c r="AH1354" s="76">
        <v>3698</v>
      </c>
      <c r="AI1354" s="76">
        <v>25</v>
      </c>
      <c r="AJ1354" s="76">
        <v>1668</v>
      </c>
      <c r="AK1354" s="76">
        <v>252</v>
      </c>
      <c r="AL1354" s="76" t="b">
        <v>0</v>
      </c>
      <c r="AM1354" s="78">
        <v>40355.611527777779</v>
      </c>
      <c r="AN1354" s="76" t="s">
        <v>14385</v>
      </c>
      <c r="AO1354" s="76" t="s">
        <v>25915</v>
      </c>
      <c r="AP1354" s="76"/>
      <c r="AQ1354" s="76"/>
      <c r="AR1354" s="76"/>
      <c r="AS1354" s="76"/>
      <c r="AT1354" s="76"/>
      <c r="AU1354" s="76"/>
      <c r="AV1354" s="76"/>
      <c r="AW1354" s="76"/>
      <c r="AX1354" s="76" t="b">
        <v>0</v>
      </c>
      <c r="AY1354" s="76"/>
      <c r="AZ1354" s="76"/>
      <c r="BA1354" s="76" t="b">
        <v>1</v>
      </c>
      <c r="BB1354" s="76" t="b">
        <v>1</v>
      </c>
      <c r="BC1354" s="76" t="b">
        <v>0</v>
      </c>
      <c r="BD1354" s="76" t="b">
        <v>0</v>
      </c>
      <c r="BE1354" s="76" t="b">
        <v>0</v>
      </c>
      <c r="BF1354" s="76" t="b">
        <v>0</v>
      </c>
      <c r="BG1354" s="76" t="b">
        <v>1</v>
      </c>
      <c r="BH1354" s="82" t="str">
        <f>HYPERLINK("https://pbs.twimg.com/profile_banners/159864382/1523978803")</f>
        <v>https://pbs.twimg.com/profile_banners/159864382/1523978803</v>
      </c>
      <c r="BI1354" s="76"/>
      <c r="BJ1354" s="76" t="s">
        <v>27595</v>
      </c>
      <c r="BK1354" s="76" t="b">
        <v>0</v>
      </c>
      <c r="BL1354" s="76"/>
      <c r="BM1354" s="76" t="s">
        <v>66</v>
      </c>
      <c r="BN1354" s="76" t="s">
        <v>27597</v>
      </c>
      <c r="BO1354" s="82" t="str">
        <f>HYPERLINK("https://twitter.com/carobiedermann")</f>
        <v>https://twitter.com/carobiedermann</v>
      </c>
      <c r="BP1354" s="2"/>
    </row>
    <row r="1355" spans="1:68" x14ac:dyDescent="0.25">
      <c r="A1355" s="62" t="s">
        <v>1998</v>
      </c>
      <c r="B1355" s="63"/>
      <c r="C1355" s="63"/>
      <c r="D1355" s="64"/>
      <c r="E1355" s="66"/>
      <c r="F1355" s="103" t="str">
        <f>HYPERLINK("https://pbs.twimg.com/profile_images/1412097090784739336/5Q7CfpyA_normal.jpg")</f>
        <v>https://pbs.twimg.com/profile_images/1412097090784739336/5Q7CfpyA_normal.jpg</v>
      </c>
      <c r="G1355" s="63"/>
      <c r="H1355" s="67"/>
      <c r="I1355" s="68"/>
      <c r="J1355" s="68"/>
      <c r="K1355" s="67" t="s">
        <v>28949</v>
      </c>
      <c r="L1355" s="71"/>
      <c r="M1355" s="72"/>
      <c r="N1355" s="72"/>
      <c r="O1355" s="73"/>
      <c r="P1355" s="74"/>
      <c r="Q1355" s="74"/>
      <c r="R1355" s="87"/>
      <c r="S1355" s="87"/>
      <c r="T1355" s="87"/>
      <c r="U1355" s="87"/>
      <c r="V1355" s="48"/>
      <c r="W1355" s="48"/>
      <c r="X1355" s="48"/>
      <c r="Y1355" s="48"/>
      <c r="Z1355" s="47"/>
      <c r="AA1355" s="69">
        <v>1355</v>
      </c>
      <c r="AB1355" s="69"/>
      <c r="AC1355" s="70"/>
      <c r="AD1355" s="76" t="s">
        <v>22571</v>
      </c>
      <c r="AE1355" s="81" t="s">
        <v>23779</v>
      </c>
      <c r="AF1355" s="76">
        <v>5716</v>
      </c>
      <c r="AG1355" s="76">
        <v>339</v>
      </c>
      <c r="AH1355" s="76">
        <v>6195</v>
      </c>
      <c r="AI1355" s="76">
        <v>45</v>
      </c>
      <c r="AJ1355" s="76">
        <v>4142</v>
      </c>
      <c r="AK1355" s="76">
        <v>2176</v>
      </c>
      <c r="AL1355" s="76" t="b">
        <v>0</v>
      </c>
      <c r="AM1355" s="78">
        <v>41493.564525462964</v>
      </c>
      <c r="AN1355" s="76" t="s">
        <v>14420</v>
      </c>
      <c r="AO1355" s="76" t="s">
        <v>25916</v>
      </c>
      <c r="AP1355" s="82" t="str">
        <f>HYPERLINK("https://t.co/YlBgtWMCOZ")</f>
        <v>https://t.co/YlBgtWMCOZ</v>
      </c>
      <c r="AQ1355" s="82" t="str">
        <f>HYPERLINK("http://www.bolsacba.com.ar")</f>
        <v>http://www.bolsacba.com.ar</v>
      </c>
      <c r="AR1355" s="76" t="s">
        <v>27090</v>
      </c>
      <c r="AS1355" s="76"/>
      <c r="AT1355" s="76"/>
      <c r="AU1355" s="76"/>
      <c r="AV1355" s="76"/>
      <c r="AW1355" s="82" t="str">
        <f>HYPERLINK("https://t.co/YlBgtWMCOZ")</f>
        <v>https://t.co/YlBgtWMCOZ</v>
      </c>
      <c r="AX1355" s="76" t="b">
        <v>0</v>
      </c>
      <c r="AY1355" s="76"/>
      <c r="AZ1355" s="76"/>
      <c r="BA1355" s="76" t="b">
        <v>0</v>
      </c>
      <c r="BB1355" s="76" t="b">
        <v>1</v>
      </c>
      <c r="BC1355" s="76" t="b">
        <v>0</v>
      </c>
      <c r="BD1355" s="76" t="b">
        <v>0</v>
      </c>
      <c r="BE1355" s="76" t="b">
        <v>1</v>
      </c>
      <c r="BF1355" s="76" t="b">
        <v>0</v>
      </c>
      <c r="BG1355" s="76" t="b">
        <v>0</v>
      </c>
      <c r="BH1355" s="82" t="str">
        <f>HYPERLINK("https://pbs.twimg.com/profile_banners/1652964068/1548275397")</f>
        <v>https://pbs.twimg.com/profile_banners/1652964068/1548275397</v>
      </c>
      <c r="BI1355" s="76"/>
      <c r="BJ1355" s="76" t="s">
        <v>27595</v>
      </c>
      <c r="BK1355" s="76" t="b">
        <v>0</v>
      </c>
      <c r="BL1355" s="76"/>
      <c r="BM1355" s="76" t="s">
        <v>65</v>
      </c>
      <c r="BN1355" s="76" t="s">
        <v>27597</v>
      </c>
      <c r="BO1355" s="82" t="str">
        <f>HYPERLINK("https://twitter.com/bolsacordoba")</f>
        <v>https://twitter.com/bolsacordoba</v>
      </c>
      <c r="BP1355" s="2"/>
    </row>
    <row r="1356" spans="1:68" x14ac:dyDescent="0.25">
      <c r="A1356" s="62" t="s">
        <v>1999</v>
      </c>
      <c r="B1356" s="63"/>
      <c r="C1356" s="63"/>
      <c r="D1356" s="64"/>
      <c r="E1356" s="66"/>
      <c r="F1356" s="103" t="str">
        <f>HYPERLINK("https://pbs.twimg.com/profile_images/1506980371627450369/YEfkGEEc_normal.jpg")</f>
        <v>https://pbs.twimg.com/profile_images/1506980371627450369/YEfkGEEc_normal.jpg</v>
      </c>
      <c r="G1356" s="63"/>
      <c r="H1356" s="67"/>
      <c r="I1356" s="68"/>
      <c r="J1356" s="68"/>
      <c r="K1356" s="67" t="s">
        <v>28950</v>
      </c>
      <c r="L1356" s="71"/>
      <c r="M1356" s="72"/>
      <c r="N1356" s="72"/>
      <c r="O1356" s="73"/>
      <c r="P1356" s="74"/>
      <c r="Q1356" s="74"/>
      <c r="R1356" s="87"/>
      <c r="S1356" s="87"/>
      <c r="T1356" s="87"/>
      <c r="U1356" s="87"/>
      <c r="V1356" s="48"/>
      <c r="W1356" s="48"/>
      <c r="X1356" s="48"/>
      <c r="Y1356" s="48"/>
      <c r="Z1356" s="47"/>
      <c r="AA1356" s="69">
        <v>1356</v>
      </c>
      <c r="AB1356" s="69"/>
      <c r="AC1356" s="70"/>
      <c r="AD1356" s="76" t="s">
        <v>22572</v>
      </c>
      <c r="AE1356" s="81" t="s">
        <v>23780</v>
      </c>
      <c r="AF1356" s="76">
        <v>235986</v>
      </c>
      <c r="AG1356" s="76">
        <v>1322</v>
      </c>
      <c r="AH1356" s="76">
        <v>2371</v>
      </c>
      <c r="AI1356" s="76">
        <v>335</v>
      </c>
      <c r="AJ1356" s="76">
        <v>48137</v>
      </c>
      <c r="AK1356" s="76">
        <v>666</v>
      </c>
      <c r="AL1356" s="76" t="b">
        <v>0</v>
      </c>
      <c r="AM1356" s="78">
        <v>44259.976689814815</v>
      </c>
      <c r="AN1356" s="76" t="s">
        <v>14385</v>
      </c>
      <c r="AO1356" s="76" t="s">
        <v>25917</v>
      </c>
      <c r="AP1356" s="82" t="str">
        <f>HYPERLINK("https://t.co/yIHEY2rbHE")</f>
        <v>https://t.co/yIHEY2rbHE</v>
      </c>
      <c r="AQ1356" s="82" t="str">
        <f>HYPERLINK("http://instagram.com/diana_mondino")</f>
        <v>http://instagram.com/diana_mondino</v>
      </c>
      <c r="AR1356" s="76" t="s">
        <v>27091</v>
      </c>
      <c r="AS1356" s="76"/>
      <c r="AT1356" s="76"/>
      <c r="AU1356" s="76"/>
      <c r="AV1356" s="76"/>
      <c r="AW1356" s="82" t="str">
        <f>HYPERLINK("https://t.co/yIHEY2rbHE")</f>
        <v>https://t.co/yIHEY2rbHE</v>
      </c>
      <c r="AX1356" s="76" t="b">
        <v>1</v>
      </c>
      <c r="AY1356" s="76"/>
      <c r="AZ1356" s="76"/>
      <c r="BA1356" s="76" t="b">
        <v>1</v>
      </c>
      <c r="BB1356" s="76" t="b">
        <v>1</v>
      </c>
      <c r="BC1356" s="76" t="b">
        <v>1</v>
      </c>
      <c r="BD1356" s="76" t="b">
        <v>0</v>
      </c>
      <c r="BE1356" s="76" t="b">
        <v>1</v>
      </c>
      <c r="BF1356" s="76" t="b">
        <v>0</v>
      </c>
      <c r="BG1356" s="76" t="b">
        <v>0</v>
      </c>
      <c r="BH1356" s="82" t="str">
        <f>HYPERLINK("https://pbs.twimg.com/profile_banners/1367617383704199171/1649079054")</f>
        <v>https://pbs.twimg.com/profile_banners/1367617383704199171/1649079054</v>
      </c>
      <c r="BI1356" s="76"/>
      <c r="BJ1356" s="76" t="s">
        <v>27595</v>
      </c>
      <c r="BK1356" s="76" t="b">
        <v>0</v>
      </c>
      <c r="BL1356" s="76"/>
      <c r="BM1356" s="76" t="s">
        <v>65</v>
      </c>
      <c r="BN1356" s="76" t="s">
        <v>27597</v>
      </c>
      <c r="BO1356" s="82" t="str">
        <f>HYPERLINK("https://twitter.com/dianamondino")</f>
        <v>https://twitter.com/dianamondino</v>
      </c>
      <c r="BP1356" s="2"/>
    </row>
    <row r="1357" spans="1:68" x14ac:dyDescent="0.25">
      <c r="A1357" s="62" t="s">
        <v>1226</v>
      </c>
      <c r="B1357" s="63"/>
      <c r="C1357" s="63"/>
      <c r="D1357" s="64"/>
      <c r="E1357" s="66"/>
      <c r="F1357" s="103" t="str">
        <f>HYPERLINK("https://pbs.twimg.com/profile_images/1340606718787641344/maoJz74k_normal.jpg")</f>
        <v>https://pbs.twimg.com/profile_images/1340606718787641344/maoJz74k_normal.jpg</v>
      </c>
      <c r="G1357" s="63"/>
      <c r="H1357" s="67"/>
      <c r="I1357" s="68"/>
      <c r="J1357" s="68"/>
      <c r="K1357" s="67" t="s">
        <v>28951</v>
      </c>
      <c r="L1357" s="71"/>
      <c r="M1357" s="72"/>
      <c r="N1357" s="72"/>
      <c r="O1357" s="73"/>
      <c r="P1357" s="74"/>
      <c r="Q1357" s="74"/>
      <c r="R1357" s="87"/>
      <c r="S1357" s="87"/>
      <c r="T1357" s="87"/>
      <c r="U1357" s="87"/>
      <c r="V1357" s="48"/>
      <c r="W1357" s="48"/>
      <c r="X1357" s="48"/>
      <c r="Y1357" s="48"/>
      <c r="Z1357" s="47"/>
      <c r="AA1357" s="69">
        <v>1357</v>
      </c>
      <c r="AB1357" s="69"/>
      <c r="AC1357" s="70"/>
      <c r="AD1357" s="76" t="s">
        <v>22573</v>
      </c>
      <c r="AE1357" s="81" t="s">
        <v>20988</v>
      </c>
      <c r="AF1357" s="76">
        <v>3227</v>
      </c>
      <c r="AG1357" s="76">
        <v>3717</v>
      </c>
      <c r="AH1357" s="76">
        <v>274227</v>
      </c>
      <c r="AI1357" s="76">
        <v>0</v>
      </c>
      <c r="AJ1357" s="76">
        <v>261325</v>
      </c>
      <c r="AK1357" s="76">
        <v>9132</v>
      </c>
      <c r="AL1357" s="76" t="b">
        <v>0</v>
      </c>
      <c r="AM1357" s="78">
        <v>43538.014594907407</v>
      </c>
      <c r="AN1357" s="76"/>
      <c r="AO1357" s="76" t="s">
        <v>25918</v>
      </c>
      <c r="AP1357" s="76"/>
      <c r="AQ1357" s="76"/>
      <c r="AR1357" s="76"/>
      <c r="AS1357" s="76"/>
      <c r="AT1357" s="76"/>
      <c r="AU1357" s="76"/>
      <c r="AV1357" s="76"/>
      <c r="AW1357" s="76"/>
      <c r="AX1357" s="76" t="b">
        <v>0</v>
      </c>
      <c r="AY1357" s="76"/>
      <c r="AZ1357" s="76"/>
      <c r="BA1357" s="76" t="b">
        <v>1</v>
      </c>
      <c r="BB1357" s="76" t="b">
        <v>0</v>
      </c>
      <c r="BC1357" s="76" t="b">
        <v>1</v>
      </c>
      <c r="BD1357" s="76" t="b">
        <v>0</v>
      </c>
      <c r="BE1357" s="76" t="b">
        <v>1</v>
      </c>
      <c r="BF1357" s="76" t="b">
        <v>0</v>
      </c>
      <c r="BG1357" s="76" t="b">
        <v>0</v>
      </c>
      <c r="BH1357" s="82" t="str">
        <f>HYPERLINK("https://pbs.twimg.com/profile_banners/1105987156420583426/1667210958")</f>
        <v>https://pbs.twimg.com/profile_banners/1105987156420583426/1667210958</v>
      </c>
      <c r="BI1357" s="76"/>
      <c r="BJ1357" s="76" t="s">
        <v>27595</v>
      </c>
      <c r="BK1357" s="76" t="b">
        <v>0</v>
      </c>
      <c r="BL1357" s="76"/>
      <c r="BM1357" s="76" t="s">
        <v>66</v>
      </c>
      <c r="BN1357" s="76" t="s">
        <v>27597</v>
      </c>
      <c r="BO1357" s="82" t="str">
        <f>HYPERLINK("https://twitter.com/mauroalveszl")</f>
        <v>https://twitter.com/mauroalveszl</v>
      </c>
      <c r="BP1357" s="2"/>
    </row>
    <row r="1358" spans="1:68" x14ac:dyDescent="0.25">
      <c r="A1358" s="62" t="s">
        <v>1227</v>
      </c>
      <c r="B1358" s="63"/>
      <c r="C1358" s="63"/>
      <c r="D1358" s="64"/>
      <c r="E1358" s="66"/>
      <c r="F1358" s="103" t="str">
        <f>HYPERLINK("https://pbs.twimg.com/profile_images/1318888186727354368/rrZDSJfu_normal.jpg")</f>
        <v>https://pbs.twimg.com/profile_images/1318888186727354368/rrZDSJfu_normal.jpg</v>
      </c>
      <c r="G1358" s="63"/>
      <c r="H1358" s="67"/>
      <c r="I1358" s="68"/>
      <c r="J1358" s="68"/>
      <c r="K1358" s="67" t="s">
        <v>28952</v>
      </c>
      <c r="L1358" s="71"/>
      <c r="M1358" s="72"/>
      <c r="N1358" s="72"/>
      <c r="O1358" s="73"/>
      <c r="P1358" s="74"/>
      <c r="Q1358" s="74"/>
      <c r="R1358" s="87"/>
      <c r="S1358" s="87"/>
      <c r="T1358" s="87"/>
      <c r="U1358" s="87"/>
      <c r="V1358" s="48"/>
      <c r="W1358" s="48"/>
      <c r="X1358" s="48"/>
      <c r="Y1358" s="48"/>
      <c r="Z1358" s="47"/>
      <c r="AA1358" s="69">
        <v>1358</v>
      </c>
      <c r="AB1358" s="69"/>
      <c r="AC1358" s="70"/>
      <c r="AD1358" s="76" t="s">
        <v>22574</v>
      </c>
      <c r="AE1358" s="81" t="s">
        <v>23781</v>
      </c>
      <c r="AF1358" s="76">
        <v>1393</v>
      </c>
      <c r="AG1358" s="76">
        <v>384</v>
      </c>
      <c r="AH1358" s="76">
        <v>4503</v>
      </c>
      <c r="AI1358" s="76">
        <v>56</v>
      </c>
      <c r="AJ1358" s="76">
        <v>242</v>
      </c>
      <c r="AK1358" s="76">
        <v>1419</v>
      </c>
      <c r="AL1358" s="76" t="b">
        <v>0</v>
      </c>
      <c r="AM1358" s="78">
        <v>40408.424247685187</v>
      </c>
      <c r="AN1358" s="76" t="s">
        <v>24544</v>
      </c>
      <c r="AO1358" s="76" t="s">
        <v>25919</v>
      </c>
      <c r="AP1358" s="82" t="str">
        <f>HYPERLINK("http://t.co/fsS95cNGEK")</f>
        <v>http://t.co/fsS95cNGEK</v>
      </c>
      <c r="AQ1358" s="82" t="str">
        <f>HYPERLINK("http://www.gft.com/br")</f>
        <v>http://www.gft.com/br</v>
      </c>
      <c r="AR1358" s="76" t="s">
        <v>27092</v>
      </c>
      <c r="AS1358" s="82" t="str">
        <f>HYPERLINK("https://t.co/SnIeLxg9WM")</f>
        <v>https://t.co/SnIeLxg9WM</v>
      </c>
      <c r="AT1358" s="82" t="str">
        <f>HYPERLINK("http://bit.ly/2qJtO5q")</f>
        <v>http://bit.ly/2qJtO5q</v>
      </c>
      <c r="AU1358" s="76" t="s">
        <v>27541</v>
      </c>
      <c r="AV1358" s="76"/>
      <c r="AW1358" s="82" t="str">
        <f>HYPERLINK("http://t.co/fsS95cNGEK")</f>
        <v>http://t.co/fsS95cNGEK</v>
      </c>
      <c r="AX1358" s="76" t="b">
        <v>0</v>
      </c>
      <c r="AY1358" s="76"/>
      <c r="AZ1358" s="76"/>
      <c r="BA1358" s="76" t="b">
        <v>0</v>
      </c>
      <c r="BB1358" s="76" t="b">
        <v>1</v>
      </c>
      <c r="BC1358" s="76" t="b">
        <v>0</v>
      </c>
      <c r="BD1358" s="76" t="b">
        <v>0</v>
      </c>
      <c r="BE1358" s="76" t="b">
        <v>0</v>
      </c>
      <c r="BF1358" s="76" t="b">
        <v>0</v>
      </c>
      <c r="BG1358" s="76" t="b">
        <v>0</v>
      </c>
      <c r="BH1358" s="82" t="str">
        <f>HYPERLINK("https://pbs.twimg.com/profile_banners/179889736/1513276795")</f>
        <v>https://pbs.twimg.com/profile_banners/179889736/1513276795</v>
      </c>
      <c r="BI1358" s="76"/>
      <c r="BJ1358" s="76" t="s">
        <v>27595</v>
      </c>
      <c r="BK1358" s="76" t="b">
        <v>0</v>
      </c>
      <c r="BL1358" s="76"/>
      <c r="BM1358" s="76" t="s">
        <v>66</v>
      </c>
      <c r="BN1358" s="76" t="s">
        <v>27597</v>
      </c>
      <c r="BO1358" s="82" t="str">
        <f>HYPERLINK("https://twitter.com/gft_br")</f>
        <v>https://twitter.com/gft_br</v>
      </c>
      <c r="BP1358" s="2"/>
    </row>
    <row r="1359" spans="1:68" x14ac:dyDescent="0.25">
      <c r="A1359" s="62" t="s">
        <v>1228</v>
      </c>
      <c r="B1359" s="63"/>
      <c r="C1359" s="63"/>
      <c r="D1359" s="64"/>
      <c r="E1359" s="66"/>
      <c r="F1359" s="103" t="str">
        <f>HYPERLINK("https://pbs.twimg.com/profile_images/1660067669675048960/ItggmjAS_normal.jpg")</f>
        <v>https://pbs.twimg.com/profile_images/1660067669675048960/ItggmjAS_normal.jpg</v>
      </c>
      <c r="G1359" s="63"/>
      <c r="H1359" s="67"/>
      <c r="I1359" s="68"/>
      <c r="J1359" s="68"/>
      <c r="K1359" s="67" t="s">
        <v>28953</v>
      </c>
      <c r="L1359" s="71"/>
      <c r="M1359" s="72"/>
      <c r="N1359" s="72"/>
      <c r="O1359" s="73"/>
      <c r="P1359" s="74"/>
      <c r="Q1359" s="74"/>
      <c r="R1359" s="87"/>
      <c r="S1359" s="87"/>
      <c r="T1359" s="87"/>
      <c r="U1359" s="87"/>
      <c r="V1359" s="48"/>
      <c r="W1359" s="48"/>
      <c r="X1359" s="48"/>
      <c r="Y1359" s="48"/>
      <c r="Z1359" s="47"/>
      <c r="AA1359" s="69">
        <v>1359</v>
      </c>
      <c r="AB1359" s="69"/>
      <c r="AC1359" s="70"/>
      <c r="AD1359" s="76" t="s">
        <v>22575</v>
      </c>
      <c r="AE1359" s="81" t="s">
        <v>23782</v>
      </c>
      <c r="AF1359" s="76">
        <v>71151</v>
      </c>
      <c r="AG1359" s="76">
        <v>1649</v>
      </c>
      <c r="AH1359" s="76">
        <v>149177</v>
      </c>
      <c r="AI1359" s="76">
        <v>373</v>
      </c>
      <c r="AJ1359" s="76">
        <v>22380</v>
      </c>
      <c r="AK1359" s="76">
        <v>7035</v>
      </c>
      <c r="AL1359" s="76" t="b">
        <v>0</v>
      </c>
      <c r="AM1359" s="78">
        <v>39771.081296296295</v>
      </c>
      <c r="AN1359" s="76" t="s">
        <v>14511</v>
      </c>
      <c r="AO1359" s="76" t="s">
        <v>25920</v>
      </c>
      <c r="AP1359" s="82" t="str">
        <f>HYPERLINK("https://t.co/BL01RWzFDD")</f>
        <v>https://t.co/BL01RWzFDD</v>
      </c>
      <c r="AQ1359" s="82" t="str">
        <f>HYPERLINK("http://ocafezinho.com")</f>
        <v>http://ocafezinho.com</v>
      </c>
      <c r="AR1359" s="76" t="s">
        <v>27093</v>
      </c>
      <c r="AS1359" s="82" t="str">
        <f>HYPERLINK("https://t.co/nfYXbvgy2t")</f>
        <v>https://t.co/nfYXbvgy2t</v>
      </c>
      <c r="AT1359" s="82" t="str">
        <f>HYPERLINK("http://t.me/ocafezinhoofic")</f>
        <v>http://t.me/ocafezinhoofic</v>
      </c>
      <c r="AU1359" s="76" t="s">
        <v>27542</v>
      </c>
      <c r="AV1359" s="76">
        <v>1.7030794071270799E+18</v>
      </c>
      <c r="AW1359" s="82" t="str">
        <f>HYPERLINK("https://t.co/BL01RWzFDD")</f>
        <v>https://t.co/BL01RWzFDD</v>
      </c>
      <c r="AX1359" s="76" t="b">
        <v>1</v>
      </c>
      <c r="AY1359" s="76"/>
      <c r="AZ1359" s="76"/>
      <c r="BA1359" s="76" t="b">
        <v>1</v>
      </c>
      <c r="BB1359" s="76" t="b">
        <v>0</v>
      </c>
      <c r="BC1359" s="76" t="b">
        <v>0</v>
      </c>
      <c r="BD1359" s="76" t="b">
        <v>0</v>
      </c>
      <c r="BE1359" s="76" t="b">
        <v>1</v>
      </c>
      <c r="BF1359" s="76" t="b">
        <v>0</v>
      </c>
      <c r="BG1359" s="76" t="b">
        <v>0</v>
      </c>
      <c r="BH1359" s="82" t="str">
        <f>HYPERLINK("https://pbs.twimg.com/profile_banners/17477363/1675878714")</f>
        <v>https://pbs.twimg.com/profile_banners/17477363/1675878714</v>
      </c>
      <c r="BI1359" s="76"/>
      <c r="BJ1359" s="76" t="s">
        <v>27595</v>
      </c>
      <c r="BK1359" s="76" t="b">
        <v>0</v>
      </c>
      <c r="BL1359" s="76"/>
      <c r="BM1359" s="76" t="s">
        <v>66</v>
      </c>
      <c r="BN1359" s="76" t="s">
        <v>27597</v>
      </c>
      <c r="BO1359" s="82" t="str">
        <f>HYPERLINK("https://twitter.com/ocafezinho")</f>
        <v>https://twitter.com/ocafezinho</v>
      </c>
      <c r="BP1359" s="2"/>
    </row>
    <row r="1360" spans="1:68" x14ac:dyDescent="0.25">
      <c r="A1360" s="62" t="s">
        <v>2000</v>
      </c>
      <c r="B1360" s="63"/>
      <c r="C1360" s="63"/>
      <c r="D1360" s="64"/>
      <c r="E1360" s="66"/>
      <c r="F1360" s="103" t="str">
        <f>HYPERLINK("https://pbs.twimg.com/profile_images/1623383437015908353/9c2lpzgy_normal.jpg")</f>
        <v>https://pbs.twimg.com/profile_images/1623383437015908353/9c2lpzgy_normal.jpg</v>
      </c>
      <c r="G1360" s="63"/>
      <c r="H1360" s="67"/>
      <c r="I1360" s="68"/>
      <c r="J1360" s="68"/>
      <c r="K1360" s="67" t="s">
        <v>28954</v>
      </c>
      <c r="L1360" s="71"/>
      <c r="M1360" s="72"/>
      <c r="N1360" s="72"/>
      <c r="O1360" s="73"/>
      <c r="P1360" s="74"/>
      <c r="Q1360" s="74"/>
      <c r="R1360" s="87"/>
      <c r="S1360" s="87"/>
      <c r="T1360" s="87"/>
      <c r="U1360" s="87"/>
      <c r="V1360" s="48"/>
      <c r="W1360" s="48"/>
      <c r="X1360" s="48"/>
      <c r="Y1360" s="48"/>
      <c r="Z1360" s="47"/>
      <c r="AA1360" s="69">
        <v>1360</v>
      </c>
      <c r="AB1360" s="69"/>
      <c r="AC1360" s="70"/>
      <c r="AD1360" s="76" t="s">
        <v>22576</v>
      </c>
      <c r="AE1360" s="81" t="s">
        <v>23783</v>
      </c>
      <c r="AF1360" s="76">
        <v>190</v>
      </c>
      <c r="AG1360" s="76">
        <v>82</v>
      </c>
      <c r="AH1360" s="76">
        <v>417</v>
      </c>
      <c r="AI1360" s="76">
        <v>1</v>
      </c>
      <c r="AJ1360" s="76">
        <v>63</v>
      </c>
      <c r="AK1360" s="76">
        <v>28</v>
      </c>
      <c r="AL1360" s="76" t="b">
        <v>0</v>
      </c>
      <c r="AM1360" s="78">
        <v>43293.832569444443</v>
      </c>
      <c r="AN1360" s="76" t="s">
        <v>24143</v>
      </c>
      <c r="AO1360" s="76" t="s">
        <v>25921</v>
      </c>
      <c r="AP1360" s="76"/>
      <c r="AQ1360" s="76"/>
      <c r="AR1360" s="76"/>
      <c r="AS1360" s="76"/>
      <c r="AT1360" s="76"/>
      <c r="AU1360" s="76"/>
      <c r="AV1360" s="76"/>
      <c r="AW1360" s="76"/>
      <c r="AX1360" s="76" t="b">
        <v>0</v>
      </c>
      <c r="AY1360" s="76"/>
      <c r="AZ1360" s="76"/>
      <c r="BA1360" s="76" t="b">
        <v>0</v>
      </c>
      <c r="BB1360" s="76" t="b">
        <v>1</v>
      </c>
      <c r="BC1360" s="76" t="b">
        <v>0</v>
      </c>
      <c r="BD1360" s="76" t="b">
        <v>0</v>
      </c>
      <c r="BE1360" s="76" t="b">
        <v>1</v>
      </c>
      <c r="BF1360" s="76" t="b">
        <v>0</v>
      </c>
      <c r="BG1360" s="76" t="b">
        <v>0</v>
      </c>
      <c r="BH1360" s="82" t="str">
        <f>HYPERLINK("https://pbs.twimg.com/profile_banners/1017498556280856577/1589329485")</f>
        <v>https://pbs.twimg.com/profile_banners/1017498556280856577/1589329485</v>
      </c>
      <c r="BI1360" s="76"/>
      <c r="BJ1360" s="76" t="s">
        <v>27595</v>
      </c>
      <c r="BK1360" s="76" t="b">
        <v>0</v>
      </c>
      <c r="BL1360" s="76"/>
      <c r="BM1360" s="76" t="s">
        <v>65</v>
      </c>
      <c r="BN1360" s="76" t="s">
        <v>27597</v>
      </c>
      <c r="BO1360" s="82" t="str">
        <f>HYPERLINK("https://twitter.com/gabrielbrbjor")</f>
        <v>https://twitter.com/gabrielbrbjor</v>
      </c>
      <c r="BP1360" s="2"/>
    </row>
    <row r="1361" spans="1:68" x14ac:dyDescent="0.25">
      <c r="A1361" s="62" t="s">
        <v>1229</v>
      </c>
      <c r="B1361" s="63"/>
      <c r="C1361" s="63"/>
      <c r="D1361" s="64"/>
      <c r="E1361" s="66"/>
      <c r="F1361" s="103" t="str">
        <f>HYPERLINK("https://pbs.twimg.com/profile_images/1645750462883168259/77agndTG_normal.jpg")</f>
        <v>https://pbs.twimg.com/profile_images/1645750462883168259/77agndTG_normal.jpg</v>
      </c>
      <c r="G1361" s="63"/>
      <c r="H1361" s="67"/>
      <c r="I1361" s="68"/>
      <c r="J1361" s="68"/>
      <c r="K1361" s="67" t="s">
        <v>28955</v>
      </c>
      <c r="L1361" s="71"/>
      <c r="M1361" s="72"/>
      <c r="N1361" s="72"/>
      <c r="O1361" s="73"/>
      <c r="P1361" s="74"/>
      <c r="Q1361" s="74"/>
      <c r="R1361" s="87"/>
      <c r="S1361" s="87"/>
      <c r="T1361" s="87"/>
      <c r="U1361" s="87"/>
      <c r="V1361" s="48"/>
      <c r="W1361" s="48"/>
      <c r="X1361" s="48"/>
      <c r="Y1361" s="48"/>
      <c r="Z1361" s="47"/>
      <c r="AA1361" s="69">
        <v>1361</v>
      </c>
      <c r="AB1361" s="69"/>
      <c r="AC1361" s="70"/>
      <c r="AD1361" s="76" t="s">
        <v>22577</v>
      </c>
      <c r="AE1361" s="81" t="s">
        <v>20989</v>
      </c>
      <c r="AF1361" s="76">
        <v>0</v>
      </c>
      <c r="AG1361" s="76">
        <v>10</v>
      </c>
      <c r="AH1361" s="76">
        <v>11</v>
      </c>
      <c r="AI1361" s="76">
        <v>0</v>
      </c>
      <c r="AJ1361" s="76">
        <v>18</v>
      </c>
      <c r="AK1361" s="76">
        <v>1</v>
      </c>
      <c r="AL1361" s="76" t="b">
        <v>0</v>
      </c>
      <c r="AM1361" s="78">
        <v>45027.47755787037</v>
      </c>
      <c r="AN1361" s="76"/>
      <c r="AO1361" s="76"/>
      <c r="AP1361" s="76"/>
      <c r="AQ1361" s="76"/>
      <c r="AR1361" s="76"/>
      <c r="AS1361" s="76"/>
      <c r="AT1361" s="76"/>
      <c r="AU1361" s="76"/>
      <c r="AV1361" s="76"/>
      <c r="AW1361" s="76"/>
      <c r="AX1361" s="76" t="b">
        <v>0</v>
      </c>
      <c r="AY1361" s="76"/>
      <c r="AZ1361" s="76"/>
      <c r="BA1361" s="76" t="b">
        <v>0</v>
      </c>
      <c r="BB1361" s="76" t="b">
        <v>1</v>
      </c>
      <c r="BC1361" s="76" t="b">
        <v>1</v>
      </c>
      <c r="BD1361" s="76" t="b">
        <v>0</v>
      </c>
      <c r="BE1361" s="76" t="b">
        <v>0</v>
      </c>
      <c r="BF1361" s="76" t="b">
        <v>0</v>
      </c>
      <c r="BG1361" s="76" t="b">
        <v>0</v>
      </c>
      <c r="BH1361" s="76"/>
      <c r="BI1361" s="76"/>
      <c r="BJ1361" s="76" t="s">
        <v>27595</v>
      </c>
      <c r="BK1361" s="76" t="b">
        <v>0</v>
      </c>
      <c r="BL1361" s="76"/>
      <c r="BM1361" s="76" t="s">
        <v>66</v>
      </c>
      <c r="BN1361" s="76" t="s">
        <v>27597</v>
      </c>
      <c r="BO1361" s="82" t="str">
        <f>HYPERLINK("https://twitter.com/flauzinoan70835")</f>
        <v>https://twitter.com/flauzinoan70835</v>
      </c>
      <c r="BP1361" s="2"/>
    </row>
    <row r="1362" spans="1:68" x14ac:dyDescent="0.25">
      <c r="A1362" s="62" t="s">
        <v>2001</v>
      </c>
      <c r="B1362" s="63"/>
      <c r="C1362" s="63"/>
      <c r="D1362" s="64"/>
      <c r="E1362" s="66"/>
      <c r="F1362" s="103" t="str">
        <f>HYPERLINK("https://pbs.twimg.com/profile_images/1409919756254208013/JdODtgeI_normal.jpg")</f>
        <v>https://pbs.twimg.com/profile_images/1409919756254208013/JdODtgeI_normal.jpg</v>
      </c>
      <c r="G1362" s="63"/>
      <c r="H1362" s="67"/>
      <c r="I1362" s="68"/>
      <c r="J1362" s="68"/>
      <c r="K1362" s="67" t="s">
        <v>28956</v>
      </c>
      <c r="L1362" s="71"/>
      <c r="M1362" s="72"/>
      <c r="N1362" s="72"/>
      <c r="O1362" s="73"/>
      <c r="P1362" s="74"/>
      <c r="Q1362" s="74"/>
      <c r="R1362" s="87"/>
      <c r="S1362" s="87"/>
      <c r="T1362" s="87"/>
      <c r="U1362" s="87"/>
      <c r="V1362" s="48"/>
      <c r="W1362" s="48"/>
      <c r="X1362" s="48"/>
      <c r="Y1362" s="48"/>
      <c r="Z1362" s="47"/>
      <c r="AA1362" s="69">
        <v>1362</v>
      </c>
      <c r="AB1362" s="69"/>
      <c r="AC1362" s="70"/>
      <c r="AD1362" s="76" t="s">
        <v>22578</v>
      </c>
      <c r="AE1362" s="81" t="s">
        <v>23784</v>
      </c>
      <c r="AF1362" s="76">
        <v>55963</v>
      </c>
      <c r="AG1362" s="76">
        <v>623</v>
      </c>
      <c r="AH1362" s="76">
        <v>69725</v>
      </c>
      <c r="AI1362" s="76">
        <v>762</v>
      </c>
      <c r="AJ1362" s="76">
        <v>259</v>
      </c>
      <c r="AK1362" s="76">
        <v>2954</v>
      </c>
      <c r="AL1362" s="76" t="b">
        <v>0</v>
      </c>
      <c r="AM1362" s="78">
        <v>39973.782696759263</v>
      </c>
      <c r="AN1362" s="76" t="s">
        <v>14382</v>
      </c>
      <c r="AO1362" s="76" t="s">
        <v>25922</v>
      </c>
      <c r="AP1362" s="82" t="str">
        <f>HYPERLINK("https://t.co/cPMjlKmzdG")</f>
        <v>https://t.co/cPMjlKmzdG</v>
      </c>
      <c r="AQ1362" s="82" t="str">
        <f>HYPERLINK("https://vermelho.org.br/")</f>
        <v>https://vermelho.org.br/</v>
      </c>
      <c r="AR1362" s="76" t="s">
        <v>27094</v>
      </c>
      <c r="AS1362" s="76"/>
      <c r="AT1362" s="76"/>
      <c r="AU1362" s="76"/>
      <c r="AV1362" s="76"/>
      <c r="AW1362" s="82" t="str">
        <f>HYPERLINK("https://t.co/cPMjlKmzdG")</f>
        <v>https://t.co/cPMjlKmzdG</v>
      </c>
      <c r="AX1362" s="76" t="b">
        <v>0</v>
      </c>
      <c r="AY1362" s="76"/>
      <c r="AZ1362" s="76"/>
      <c r="BA1362" s="76" t="b">
        <v>0</v>
      </c>
      <c r="BB1362" s="76" t="b">
        <v>1</v>
      </c>
      <c r="BC1362" s="76" t="b">
        <v>0</v>
      </c>
      <c r="BD1362" s="76" t="b">
        <v>0</v>
      </c>
      <c r="BE1362" s="76" t="b">
        <v>0</v>
      </c>
      <c r="BF1362" s="76" t="b">
        <v>0</v>
      </c>
      <c r="BG1362" s="76" t="b">
        <v>0</v>
      </c>
      <c r="BH1362" s="82" t="str">
        <f>HYPERLINK("https://pbs.twimg.com/profile_banners/45908423/1580153835")</f>
        <v>https://pbs.twimg.com/profile_banners/45908423/1580153835</v>
      </c>
      <c r="BI1362" s="76"/>
      <c r="BJ1362" s="76" t="s">
        <v>27595</v>
      </c>
      <c r="BK1362" s="76" t="b">
        <v>0</v>
      </c>
      <c r="BL1362" s="76"/>
      <c r="BM1362" s="76" t="s">
        <v>65</v>
      </c>
      <c r="BN1362" s="76" t="s">
        <v>27597</v>
      </c>
      <c r="BO1362" s="82" t="str">
        <f>HYPERLINK("https://twitter.com/portalvermelho")</f>
        <v>https://twitter.com/portalvermelho</v>
      </c>
      <c r="BP1362" s="2"/>
    </row>
    <row r="1363" spans="1:68" x14ac:dyDescent="0.25">
      <c r="A1363" s="62" t="s">
        <v>2002</v>
      </c>
      <c r="B1363" s="63"/>
      <c r="C1363" s="63"/>
      <c r="D1363" s="64"/>
      <c r="E1363" s="66"/>
      <c r="F1363" s="103" t="str">
        <f>HYPERLINK("https://pbs.twimg.com/profile_images/1639333303315464204/BSPepVm7_normal.jpg")</f>
        <v>https://pbs.twimg.com/profile_images/1639333303315464204/BSPepVm7_normal.jpg</v>
      </c>
      <c r="G1363" s="63"/>
      <c r="H1363" s="67"/>
      <c r="I1363" s="68"/>
      <c r="J1363" s="68"/>
      <c r="K1363" s="67" t="s">
        <v>28957</v>
      </c>
      <c r="L1363" s="71"/>
      <c r="M1363" s="72"/>
      <c r="N1363" s="72"/>
      <c r="O1363" s="73"/>
      <c r="P1363" s="74"/>
      <c r="Q1363" s="74"/>
      <c r="R1363" s="87"/>
      <c r="S1363" s="87"/>
      <c r="T1363" s="87"/>
      <c r="U1363" s="87"/>
      <c r="V1363" s="48"/>
      <c r="W1363" s="48"/>
      <c r="X1363" s="48"/>
      <c r="Y1363" s="48"/>
      <c r="Z1363" s="47"/>
      <c r="AA1363" s="69">
        <v>1363</v>
      </c>
      <c r="AB1363" s="69"/>
      <c r="AC1363" s="70"/>
      <c r="AD1363" s="76" t="s">
        <v>22579</v>
      </c>
      <c r="AE1363" s="81" t="s">
        <v>23785</v>
      </c>
      <c r="AF1363" s="76">
        <v>116</v>
      </c>
      <c r="AG1363" s="76">
        <v>21</v>
      </c>
      <c r="AH1363" s="76">
        <v>5044</v>
      </c>
      <c r="AI1363" s="76">
        <v>1</v>
      </c>
      <c r="AJ1363" s="76">
        <v>39</v>
      </c>
      <c r="AK1363" s="76">
        <v>2367</v>
      </c>
      <c r="AL1363" s="76" t="b">
        <v>0</v>
      </c>
      <c r="AM1363" s="78">
        <v>43475.774444444447</v>
      </c>
      <c r="AN1363" s="76" t="s">
        <v>24545</v>
      </c>
      <c r="AO1363" s="76" t="s">
        <v>25923</v>
      </c>
      <c r="AP1363" s="82" t="str">
        <f>HYPERLINK("https://t.co/ls31xgodNu")</f>
        <v>https://t.co/ls31xgodNu</v>
      </c>
      <c r="AQ1363" s="82" t="str">
        <f>HYPERLINK("http://gpslifetime.com.br")</f>
        <v>http://gpslifetime.com.br</v>
      </c>
      <c r="AR1363" s="76" t="s">
        <v>27095</v>
      </c>
      <c r="AS1363" s="82" t="str">
        <f>HYPERLINK("https://t.co/ls31xgodNu")</f>
        <v>https://t.co/ls31xgodNu</v>
      </c>
      <c r="AT1363" s="82" t="str">
        <f>HYPERLINK("http://gpslifetime.com.br")</f>
        <v>http://gpslifetime.com.br</v>
      </c>
      <c r="AU1363" s="76" t="s">
        <v>27095</v>
      </c>
      <c r="AV1363" s="76"/>
      <c r="AW1363" s="82" t="str">
        <f>HYPERLINK("https://t.co/ls31xgodNu")</f>
        <v>https://t.co/ls31xgodNu</v>
      </c>
      <c r="AX1363" s="76" t="b">
        <v>0</v>
      </c>
      <c r="AY1363" s="76"/>
      <c r="AZ1363" s="76"/>
      <c r="BA1363" s="76" t="b">
        <v>0</v>
      </c>
      <c r="BB1363" s="76" t="b">
        <v>1</v>
      </c>
      <c r="BC1363" s="76" t="b">
        <v>1</v>
      </c>
      <c r="BD1363" s="76" t="b">
        <v>0</v>
      </c>
      <c r="BE1363" s="76" t="b">
        <v>0</v>
      </c>
      <c r="BF1363" s="76" t="b">
        <v>0</v>
      </c>
      <c r="BG1363" s="76" t="b">
        <v>0</v>
      </c>
      <c r="BH1363" s="82" t="str">
        <f>HYPERLINK("https://pbs.twimg.com/profile_banners/1083432083396149251/1679684459")</f>
        <v>https://pbs.twimg.com/profile_banners/1083432083396149251/1679684459</v>
      </c>
      <c r="BI1363" s="76"/>
      <c r="BJ1363" s="76" t="s">
        <v>27595</v>
      </c>
      <c r="BK1363" s="76" t="b">
        <v>0</v>
      </c>
      <c r="BL1363" s="76"/>
      <c r="BM1363" s="76" t="s">
        <v>65</v>
      </c>
      <c r="BN1363" s="76" t="s">
        <v>27597</v>
      </c>
      <c r="BO1363" s="82" t="str">
        <f>HYPERLINK("https://twitter.com/gpslifetime")</f>
        <v>https://twitter.com/gpslifetime</v>
      </c>
      <c r="BP1363" s="2"/>
    </row>
    <row r="1364" spans="1:68" x14ac:dyDescent="0.25">
      <c r="A1364" s="62" t="s">
        <v>2003</v>
      </c>
      <c r="B1364" s="63"/>
      <c r="C1364" s="63"/>
      <c r="D1364" s="64"/>
      <c r="E1364" s="66"/>
      <c r="F1364" s="103" t="str">
        <f>HYPERLINK("https://pbs.twimg.com/profile_images/1640809195556552704/3zBC0j7C_normal.jpg")</f>
        <v>https://pbs.twimg.com/profile_images/1640809195556552704/3zBC0j7C_normal.jpg</v>
      </c>
      <c r="G1364" s="63"/>
      <c r="H1364" s="67"/>
      <c r="I1364" s="68"/>
      <c r="J1364" s="68"/>
      <c r="K1364" s="67" t="s">
        <v>28958</v>
      </c>
      <c r="L1364" s="71"/>
      <c r="M1364" s="72"/>
      <c r="N1364" s="72"/>
      <c r="O1364" s="73"/>
      <c r="P1364" s="74"/>
      <c r="Q1364" s="74"/>
      <c r="R1364" s="87"/>
      <c r="S1364" s="87"/>
      <c r="T1364" s="87"/>
      <c r="U1364" s="87"/>
      <c r="V1364" s="48"/>
      <c r="W1364" s="48"/>
      <c r="X1364" s="48"/>
      <c r="Y1364" s="48"/>
      <c r="Z1364" s="47"/>
      <c r="AA1364" s="69">
        <v>1364</v>
      </c>
      <c r="AB1364" s="69"/>
      <c r="AC1364" s="70"/>
      <c r="AD1364" s="76" t="s">
        <v>22580</v>
      </c>
      <c r="AE1364" s="81" t="s">
        <v>23786</v>
      </c>
      <c r="AF1364" s="76">
        <v>8434</v>
      </c>
      <c r="AG1364" s="76">
        <v>576</v>
      </c>
      <c r="AH1364" s="76">
        <v>14710</v>
      </c>
      <c r="AI1364" s="76">
        <v>94</v>
      </c>
      <c r="AJ1364" s="76">
        <v>1472</v>
      </c>
      <c r="AK1364" s="76">
        <v>2440</v>
      </c>
      <c r="AL1364" s="76" t="b">
        <v>0</v>
      </c>
      <c r="AM1364" s="78">
        <v>39954.787581018521</v>
      </c>
      <c r="AN1364" s="76" t="s">
        <v>14382</v>
      </c>
      <c r="AO1364" s="76" t="s">
        <v>25924</v>
      </c>
      <c r="AP1364" s="82" t="str">
        <f>HYPERLINK("https://t.co/zUvkDWS9p7")</f>
        <v>https://t.co/zUvkDWS9p7</v>
      </c>
      <c r="AQ1364" s="82" t="str">
        <f>HYPERLINK("http://www.ctb.org.br")</f>
        <v>http://www.ctb.org.br</v>
      </c>
      <c r="AR1364" s="76" t="s">
        <v>27096</v>
      </c>
      <c r="AS1364" s="76"/>
      <c r="AT1364" s="76"/>
      <c r="AU1364" s="76"/>
      <c r="AV1364" s="76"/>
      <c r="AW1364" s="82" t="str">
        <f>HYPERLINK("https://t.co/zUvkDWS9p7")</f>
        <v>https://t.co/zUvkDWS9p7</v>
      </c>
      <c r="AX1364" s="76" t="b">
        <v>0</v>
      </c>
      <c r="AY1364" s="76"/>
      <c r="AZ1364" s="76"/>
      <c r="BA1364" s="76" t="b">
        <v>0</v>
      </c>
      <c r="BB1364" s="76" t="b">
        <v>1</v>
      </c>
      <c r="BC1364" s="76" t="b">
        <v>0</v>
      </c>
      <c r="BD1364" s="76" t="b">
        <v>0</v>
      </c>
      <c r="BE1364" s="76" t="b">
        <v>1</v>
      </c>
      <c r="BF1364" s="76" t="b">
        <v>0</v>
      </c>
      <c r="BG1364" s="76" t="b">
        <v>0</v>
      </c>
      <c r="BH1364" s="82" t="str">
        <f>HYPERLINK("https://pbs.twimg.com/profile_banners/41650084/1680549882")</f>
        <v>https://pbs.twimg.com/profile_banners/41650084/1680549882</v>
      </c>
      <c r="BI1364" s="76"/>
      <c r="BJ1364" s="76" t="s">
        <v>27595</v>
      </c>
      <c r="BK1364" s="76" t="b">
        <v>0</v>
      </c>
      <c r="BL1364" s="76"/>
      <c r="BM1364" s="76" t="s">
        <v>65</v>
      </c>
      <c r="BN1364" s="76" t="s">
        <v>27597</v>
      </c>
      <c r="BO1364" s="82" t="str">
        <f>HYPERLINK("https://twitter.com/portalctb")</f>
        <v>https://twitter.com/portalctb</v>
      </c>
      <c r="BP1364" s="2"/>
    </row>
    <row r="1365" spans="1:68" x14ac:dyDescent="0.25">
      <c r="A1365" s="62" t="s">
        <v>2004</v>
      </c>
      <c r="B1365" s="63"/>
      <c r="C1365" s="63"/>
      <c r="D1365" s="64"/>
      <c r="E1365" s="66"/>
      <c r="F1365" s="103" t="str">
        <f>HYPERLINK("https://pbs.twimg.com/profile_images/1128944386/logoHP_normal.jpg")</f>
        <v>https://pbs.twimg.com/profile_images/1128944386/logoHP_normal.jpg</v>
      </c>
      <c r="G1365" s="63"/>
      <c r="H1365" s="67"/>
      <c r="I1365" s="68"/>
      <c r="J1365" s="68"/>
      <c r="K1365" s="67" t="s">
        <v>28959</v>
      </c>
      <c r="L1365" s="71"/>
      <c r="M1365" s="72"/>
      <c r="N1365" s="72"/>
      <c r="O1365" s="73"/>
      <c r="P1365" s="74"/>
      <c r="Q1365" s="74"/>
      <c r="R1365" s="87"/>
      <c r="S1365" s="87"/>
      <c r="T1365" s="87"/>
      <c r="U1365" s="87"/>
      <c r="V1365" s="48"/>
      <c r="W1365" s="48"/>
      <c r="X1365" s="48"/>
      <c r="Y1365" s="48"/>
      <c r="Z1365" s="47"/>
      <c r="AA1365" s="69">
        <v>1365</v>
      </c>
      <c r="AB1365" s="69"/>
      <c r="AC1365" s="70"/>
      <c r="AD1365" s="76" t="s">
        <v>22581</v>
      </c>
      <c r="AE1365" s="81" t="s">
        <v>23787</v>
      </c>
      <c r="AF1365" s="76">
        <v>344</v>
      </c>
      <c r="AG1365" s="76">
        <v>4</v>
      </c>
      <c r="AH1365" s="76">
        <v>71</v>
      </c>
      <c r="AI1365" s="76">
        <v>2</v>
      </c>
      <c r="AJ1365" s="76">
        <v>0</v>
      </c>
      <c r="AK1365" s="76">
        <v>0</v>
      </c>
      <c r="AL1365" s="76" t="b">
        <v>0</v>
      </c>
      <c r="AM1365" s="78">
        <v>40344.033807870372</v>
      </c>
      <c r="AN1365" s="76" t="s">
        <v>14382</v>
      </c>
      <c r="AO1365" s="76"/>
      <c r="AP1365" s="82" t="str">
        <f>HYPERLINK("http://t.co/zcXP4Mc4Ld")</f>
        <v>http://t.co/zcXP4Mc4Ld</v>
      </c>
      <c r="AQ1365" s="82" t="str">
        <f>HYPERLINK("http://www.horadopovo.com.br")</f>
        <v>http://www.horadopovo.com.br</v>
      </c>
      <c r="AR1365" s="76" t="s">
        <v>27097</v>
      </c>
      <c r="AS1365" s="76"/>
      <c r="AT1365" s="76"/>
      <c r="AU1365" s="76"/>
      <c r="AV1365" s="76"/>
      <c r="AW1365" s="82" t="str">
        <f>HYPERLINK("http://t.co/zcXP4Mc4Ld")</f>
        <v>http://t.co/zcXP4Mc4Ld</v>
      </c>
      <c r="AX1365" s="76" t="b">
        <v>0</v>
      </c>
      <c r="AY1365" s="76"/>
      <c r="AZ1365" s="76"/>
      <c r="BA1365" s="76" t="b">
        <v>0</v>
      </c>
      <c r="BB1365" s="76" t="b">
        <v>1</v>
      </c>
      <c r="BC1365" s="76" t="b">
        <v>0</v>
      </c>
      <c r="BD1365" s="76" t="b">
        <v>0</v>
      </c>
      <c r="BE1365" s="76" t="b">
        <v>0</v>
      </c>
      <c r="BF1365" s="76" t="b">
        <v>0</v>
      </c>
      <c r="BG1365" s="76" t="b">
        <v>0</v>
      </c>
      <c r="BH1365" s="76"/>
      <c r="BI1365" s="76"/>
      <c r="BJ1365" s="76" t="s">
        <v>27595</v>
      </c>
      <c r="BK1365" s="76" t="b">
        <v>0</v>
      </c>
      <c r="BL1365" s="76"/>
      <c r="BM1365" s="76" t="s">
        <v>65</v>
      </c>
      <c r="BN1365" s="76" t="s">
        <v>27597</v>
      </c>
      <c r="BO1365" s="82" t="str">
        <f>HYPERLINK("https://twitter.com/horadopovobr")</f>
        <v>https://twitter.com/horadopovobr</v>
      </c>
      <c r="BP1365" s="2"/>
    </row>
    <row r="1366" spans="1:68" x14ac:dyDescent="0.25">
      <c r="A1366" s="62" t="s">
        <v>1230</v>
      </c>
      <c r="B1366" s="63"/>
      <c r="C1366" s="63"/>
      <c r="D1366" s="64"/>
      <c r="E1366" s="66"/>
      <c r="F1366" s="103" t="str">
        <f>HYPERLINK("https://pbs.twimg.com/profile_images/1301167081451409408/QaIXpSVo_normal.jpg")</f>
        <v>https://pbs.twimg.com/profile_images/1301167081451409408/QaIXpSVo_normal.jpg</v>
      </c>
      <c r="G1366" s="63"/>
      <c r="H1366" s="67"/>
      <c r="I1366" s="68"/>
      <c r="J1366" s="68"/>
      <c r="K1366" s="67" t="s">
        <v>28960</v>
      </c>
      <c r="L1366" s="71"/>
      <c r="M1366" s="72"/>
      <c r="N1366" s="72"/>
      <c r="O1366" s="73"/>
      <c r="P1366" s="74"/>
      <c r="Q1366" s="74"/>
      <c r="R1366" s="87"/>
      <c r="S1366" s="87"/>
      <c r="T1366" s="87"/>
      <c r="U1366" s="87"/>
      <c r="V1366" s="48"/>
      <c r="W1366" s="48"/>
      <c r="X1366" s="48"/>
      <c r="Y1366" s="48"/>
      <c r="Z1366" s="47"/>
      <c r="AA1366" s="69">
        <v>1366</v>
      </c>
      <c r="AB1366" s="69"/>
      <c r="AC1366" s="70"/>
      <c r="AD1366" s="76" t="s">
        <v>22582</v>
      </c>
      <c r="AE1366" s="81" t="s">
        <v>20990</v>
      </c>
      <c r="AF1366" s="76">
        <v>62</v>
      </c>
      <c r="AG1366" s="76">
        <v>495</v>
      </c>
      <c r="AH1366" s="76">
        <v>2366</v>
      </c>
      <c r="AI1366" s="76">
        <v>0</v>
      </c>
      <c r="AJ1366" s="76">
        <v>91</v>
      </c>
      <c r="AK1366" s="76">
        <v>81</v>
      </c>
      <c r="AL1366" s="76" t="b">
        <v>0</v>
      </c>
      <c r="AM1366" s="78">
        <v>44062.649340277778</v>
      </c>
      <c r="AN1366" s="76" t="s">
        <v>24101</v>
      </c>
      <c r="AO1366" s="76" t="s">
        <v>25925</v>
      </c>
      <c r="AP1366" s="82" t="str">
        <f>HYPERLINK("https://t.co/kSOwnjrfPi")</f>
        <v>https://t.co/kSOwnjrfPi</v>
      </c>
      <c r="AQ1366" s="82" t="str">
        <f>HYPERLINK("http://www.reporterbrasilia.com.br")</f>
        <v>http://www.reporterbrasilia.com.br</v>
      </c>
      <c r="AR1366" s="76" t="s">
        <v>27098</v>
      </c>
      <c r="AS1366" s="76"/>
      <c r="AT1366" s="76"/>
      <c r="AU1366" s="76"/>
      <c r="AV1366" s="76"/>
      <c r="AW1366" s="82" t="str">
        <f>HYPERLINK("https://t.co/kSOwnjrfPi")</f>
        <v>https://t.co/kSOwnjrfPi</v>
      </c>
      <c r="AX1366" s="76" t="b">
        <v>0</v>
      </c>
      <c r="AY1366" s="76"/>
      <c r="AZ1366" s="76"/>
      <c r="BA1366" s="76" t="b">
        <v>0</v>
      </c>
      <c r="BB1366" s="76" t="b">
        <v>1</v>
      </c>
      <c r="BC1366" s="76" t="b">
        <v>1</v>
      </c>
      <c r="BD1366" s="76" t="b">
        <v>0</v>
      </c>
      <c r="BE1366" s="76" t="b">
        <v>0</v>
      </c>
      <c r="BF1366" s="76" t="b">
        <v>0</v>
      </c>
      <c r="BG1366" s="76" t="b">
        <v>0</v>
      </c>
      <c r="BH1366" s="82" t="str">
        <f>HYPERLINK("https://pbs.twimg.com/profile_banners/1296108298614317056/1597868124")</f>
        <v>https://pbs.twimg.com/profile_banners/1296108298614317056/1597868124</v>
      </c>
      <c r="BI1366" s="76"/>
      <c r="BJ1366" s="76" t="s">
        <v>27595</v>
      </c>
      <c r="BK1366" s="76" t="b">
        <v>0</v>
      </c>
      <c r="BL1366" s="76"/>
      <c r="BM1366" s="76" t="s">
        <v>66</v>
      </c>
      <c r="BN1366" s="76" t="s">
        <v>27597</v>
      </c>
      <c r="BO1366" s="82" t="str">
        <f>HYPERLINK("https://twitter.com/reportbrasilia")</f>
        <v>https://twitter.com/reportbrasilia</v>
      </c>
      <c r="BP1366" s="2"/>
    </row>
    <row r="1367" spans="1:68" x14ac:dyDescent="0.25">
      <c r="A1367" s="62" t="s">
        <v>1233</v>
      </c>
      <c r="B1367" s="63"/>
      <c r="C1367" s="63"/>
      <c r="D1367" s="64"/>
      <c r="E1367" s="66"/>
      <c r="F1367" s="103" t="str">
        <f>HYPERLINK("https://pbs.twimg.com/profile_images/1656435406903078913/w6ns4WZe_normal.jpg")</f>
        <v>https://pbs.twimg.com/profile_images/1656435406903078913/w6ns4WZe_normal.jpg</v>
      </c>
      <c r="G1367" s="63"/>
      <c r="H1367" s="67"/>
      <c r="I1367" s="68"/>
      <c r="J1367" s="68"/>
      <c r="K1367" s="67" t="s">
        <v>28961</v>
      </c>
      <c r="L1367" s="71"/>
      <c r="M1367" s="72"/>
      <c r="N1367" s="72"/>
      <c r="O1367" s="73"/>
      <c r="P1367" s="74"/>
      <c r="Q1367" s="74"/>
      <c r="R1367" s="87"/>
      <c r="S1367" s="87"/>
      <c r="T1367" s="87"/>
      <c r="U1367" s="87"/>
      <c r="V1367" s="48"/>
      <c r="W1367" s="48"/>
      <c r="X1367" s="48"/>
      <c r="Y1367" s="48"/>
      <c r="Z1367" s="47"/>
      <c r="AA1367" s="69">
        <v>1367</v>
      </c>
      <c r="AB1367" s="69"/>
      <c r="AC1367" s="70"/>
      <c r="AD1367" s="76" t="s">
        <v>22583</v>
      </c>
      <c r="AE1367" s="81" t="s">
        <v>23788</v>
      </c>
      <c r="AF1367" s="76">
        <v>1700</v>
      </c>
      <c r="AG1367" s="76">
        <v>5001</v>
      </c>
      <c r="AH1367" s="76">
        <v>8476</v>
      </c>
      <c r="AI1367" s="76">
        <v>36</v>
      </c>
      <c r="AJ1367" s="76">
        <v>813</v>
      </c>
      <c r="AK1367" s="76">
        <v>896</v>
      </c>
      <c r="AL1367" s="76" t="b">
        <v>0</v>
      </c>
      <c r="AM1367" s="78">
        <v>40417.664050925923</v>
      </c>
      <c r="AN1367" s="76" t="s">
        <v>24546</v>
      </c>
      <c r="AO1367" s="76"/>
      <c r="AP1367" s="82" t="str">
        <f>HYPERLINK("https://t.co/Z2NdIZgPnr")</f>
        <v>https://t.co/Z2NdIZgPnr</v>
      </c>
      <c r="AQ1367" s="82" t="str">
        <f>HYPERLINK("https://flow.page/juristadigital")</f>
        <v>https://flow.page/juristadigital</v>
      </c>
      <c r="AR1367" s="76" t="s">
        <v>27099</v>
      </c>
      <c r="AS1367" s="76"/>
      <c r="AT1367" s="76"/>
      <c r="AU1367" s="76"/>
      <c r="AV1367" s="76">
        <v>1.6897074839742899E+18</v>
      </c>
      <c r="AW1367" s="82" t="str">
        <f>HYPERLINK("https://t.co/Z2NdIZgPnr")</f>
        <v>https://t.co/Z2NdIZgPnr</v>
      </c>
      <c r="AX1367" s="76" t="b">
        <v>0</v>
      </c>
      <c r="AY1367" s="76"/>
      <c r="AZ1367" s="76"/>
      <c r="BA1367" s="76" t="b">
        <v>0</v>
      </c>
      <c r="BB1367" s="76" t="b">
        <v>0</v>
      </c>
      <c r="BC1367" s="76" t="b">
        <v>0</v>
      </c>
      <c r="BD1367" s="76" t="b">
        <v>0</v>
      </c>
      <c r="BE1367" s="76" t="b">
        <v>1</v>
      </c>
      <c r="BF1367" s="76" t="b">
        <v>0</v>
      </c>
      <c r="BG1367" s="76" t="b">
        <v>0</v>
      </c>
      <c r="BH1367" s="82" t="str">
        <f>HYPERLINK("https://pbs.twimg.com/profile_banners/183666702/1694657436")</f>
        <v>https://pbs.twimg.com/profile_banners/183666702/1694657436</v>
      </c>
      <c r="BI1367" s="76"/>
      <c r="BJ1367" s="76" t="s">
        <v>27595</v>
      </c>
      <c r="BK1367" s="76" t="b">
        <v>0</v>
      </c>
      <c r="BL1367" s="76"/>
      <c r="BM1367" s="76" t="s">
        <v>66</v>
      </c>
      <c r="BN1367" s="76" t="s">
        <v>27597</v>
      </c>
      <c r="BO1367" s="82" t="str">
        <f>HYPERLINK("https://twitter.com/eibarra_s")</f>
        <v>https://twitter.com/eibarra_s</v>
      </c>
      <c r="BP1367" s="2"/>
    </row>
    <row r="1368" spans="1:68" x14ac:dyDescent="0.25">
      <c r="A1368" s="62" t="s">
        <v>1234</v>
      </c>
      <c r="B1368" s="63"/>
      <c r="C1368" s="63"/>
      <c r="D1368" s="64"/>
      <c r="E1368" s="66"/>
      <c r="F1368" s="103" t="str">
        <f>HYPERLINK("https://pbs.twimg.com/profile_images/1585380294957404175/iigf7nhA_normal.jpg")</f>
        <v>https://pbs.twimg.com/profile_images/1585380294957404175/iigf7nhA_normal.jpg</v>
      </c>
      <c r="G1368" s="63"/>
      <c r="H1368" s="67"/>
      <c r="I1368" s="68"/>
      <c r="J1368" s="68"/>
      <c r="K1368" s="67" t="s">
        <v>28962</v>
      </c>
      <c r="L1368" s="71"/>
      <c r="M1368" s="72"/>
      <c r="N1368" s="72"/>
      <c r="O1368" s="73"/>
      <c r="P1368" s="74"/>
      <c r="Q1368" s="74"/>
      <c r="R1368" s="87"/>
      <c r="S1368" s="87"/>
      <c r="T1368" s="87"/>
      <c r="U1368" s="87"/>
      <c r="V1368" s="48"/>
      <c r="W1368" s="48"/>
      <c r="X1368" s="48"/>
      <c r="Y1368" s="48"/>
      <c r="Z1368" s="47"/>
      <c r="AA1368" s="69">
        <v>1368</v>
      </c>
      <c r="AB1368" s="69"/>
      <c r="AC1368" s="70"/>
      <c r="AD1368" s="76" t="s">
        <v>22584</v>
      </c>
      <c r="AE1368" s="81" t="s">
        <v>20991</v>
      </c>
      <c r="AF1368" s="76">
        <v>4088</v>
      </c>
      <c r="AG1368" s="76">
        <v>2155</v>
      </c>
      <c r="AH1368" s="76">
        <v>27817</v>
      </c>
      <c r="AI1368" s="76">
        <v>7</v>
      </c>
      <c r="AJ1368" s="76">
        <v>53325</v>
      </c>
      <c r="AK1368" s="76">
        <v>2913</v>
      </c>
      <c r="AL1368" s="76" t="b">
        <v>0</v>
      </c>
      <c r="AM1368" s="78">
        <v>43543.692557870374</v>
      </c>
      <c r="AN1368" s="76" t="s">
        <v>14432</v>
      </c>
      <c r="AO1368" s="76" t="s">
        <v>25926</v>
      </c>
      <c r="AP1368" s="76"/>
      <c r="AQ1368" s="76"/>
      <c r="AR1368" s="76"/>
      <c r="AS1368" s="76"/>
      <c r="AT1368" s="76"/>
      <c r="AU1368" s="76"/>
      <c r="AV1368" s="76">
        <v>1.7026381000636201E+18</v>
      </c>
      <c r="AW1368" s="76"/>
      <c r="AX1368" s="76" t="b">
        <v>0</v>
      </c>
      <c r="AY1368" s="76"/>
      <c r="AZ1368" s="76"/>
      <c r="BA1368" s="76" t="b">
        <v>0</v>
      </c>
      <c r="BB1368" s="76" t="b">
        <v>1</v>
      </c>
      <c r="BC1368" s="76" t="b">
        <v>1</v>
      </c>
      <c r="BD1368" s="76" t="b">
        <v>0</v>
      </c>
      <c r="BE1368" s="76" t="b">
        <v>1</v>
      </c>
      <c r="BF1368" s="76" t="b">
        <v>0</v>
      </c>
      <c r="BG1368" s="76" t="b">
        <v>0</v>
      </c>
      <c r="BH1368" s="82" t="str">
        <f>HYPERLINK("https://pbs.twimg.com/profile_banners/1108044781282840578/1674054703")</f>
        <v>https://pbs.twimg.com/profile_banners/1108044781282840578/1674054703</v>
      </c>
      <c r="BI1368" s="76"/>
      <c r="BJ1368" s="76" t="s">
        <v>27595</v>
      </c>
      <c r="BK1368" s="76" t="b">
        <v>0</v>
      </c>
      <c r="BL1368" s="76"/>
      <c r="BM1368" s="76" t="s">
        <v>66</v>
      </c>
      <c r="BN1368" s="76" t="s">
        <v>27597</v>
      </c>
      <c r="BO1368" s="82" t="str">
        <f>HYPERLINK("https://twitter.com/terezandrade")</f>
        <v>https://twitter.com/terezandrade</v>
      </c>
      <c r="BP1368" s="2"/>
    </row>
    <row r="1369" spans="1:68" x14ac:dyDescent="0.25">
      <c r="A1369" s="62" t="s">
        <v>1235</v>
      </c>
      <c r="B1369" s="63"/>
      <c r="C1369" s="63"/>
      <c r="D1369" s="64"/>
      <c r="E1369" s="66"/>
      <c r="F1369" s="103" t="str">
        <f>HYPERLINK("https://pbs.twimg.com/profile_images/1699923061431005184/xjV9icXW_normal.jpg")</f>
        <v>https://pbs.twimg.com/profile_images/1699923061431005184/xjV9icXW_normal.jpg</v>
      </c>
      <c r="G1369" s="63"/>
      <c r="H1369" s="67"/>
      <c r="I1369" s="68"/>
      <c r="J1369" s="68"/>
      <c r="K1369" s="67" t="s">
        <v>28963</v>
      </c>
      <c r="L1369" s="71"/>
      <c r="M1369" s="72"/>
      <c r="N1369" s="72"/>
      <c r="O1369" s="73"/>
      <c r="P1369" s="74"/>
      <c r="Q1369" s="74"/>
      <c r="R1369" s="87"/>
      <c r="S1369" s="87"/>
      <c r="T1369" s="87"/>
      <c r="U1369" s="87"/>
      <c r="V1369" s="48"/>
      <c r="W1369" s="48"/>
      <c r="X1369" s="48"/>
      <c r="Y1369" s="48"/>
      <c r="Z1369" s="47"/>
      <c r="AA1369" s="69">
        <v>1369</v>
      </c>
      <c r="AB1369" s="69"/>
      <c r="AC1369" s="70"/>
      <c r="AD1369" s="76" t="s">
        <v>22585</v>
      </c>
      <c r="AE1369" s="81" t="s">
        <v>20992</v>
      </c>
      <c r="AF1369" s="76">
        <v>1853</v>
      </c>
      <c r="AG1369" s="76">
        <v>2496</v>
      </c>
      <c r="AH1369" s="76">
        <v>6126</v>
      </c>
      <c r="AI1369" s="76">
        <v>1</v>
      </c>
      <c r="AJ1369" s="76">
        <v>12410</v>
      </c>
      <c r="AK1369" s="76">
        <v>287</v>
      </c>
      <c r="AL1369" s="76" t="b">
        <v>0</v>
      </c>
      <c r="AM1369" s="78">
        <v>44619.407094907408</v>
      </c>
      <c r="AN1369" s="76" t="s">
        <v>24547</v>
      </c>
      <c r="AO1369" s="76" t="s">
        <v>25927</v>
      </c>
      <c r="AP1369" s="76"/>
      <c r="AQ1369" s="76"/>
      <c r="AR1369" s="76"/>
      <c r="AS1369" s="76"/>
      <c r="AT1369" s="76"/>
      <c r="AU1369" s="76"/>
      <c r="AV1369" s="76"/>
      <c r="AW1369" s="76"/>
      <c r="AX1369" s="76" t="b">
        <v>0</v>
      </c>
      <c r="AY1369" s="76"/>
      <c r="AZ1369" s="76"/>
      <c r="BA1369" s="76" t="b">
        <v>0</v>
      </c>
      <c r="BB1369" s="76" t="b">
        <v>1</v>
      </c>
      <c r="BC1369" s="76" t="b">
        <v>1</v>
      </c>
      <c r="BD1369" s="76" t="b">
        <v>0</v>
      </c>
      <c r="BE1369" s="76" t="b">
        <v>1</v>
      </c>
      <c r="BF1369" s="76" t="b">
        <v>0</v>
      </c>
      <c r="BG1369" s="76" t="b">
        <v>0</v>
      </c>
      <c r="BH1369" s="82" t="str">
        <f>HYPERLINK("https://pbs.twimg.com/profile_banners/1497870507324157953/1667348141")</f>
        <v>https://pbs.twimg.com/profile_banners/1497870507324157953/1667348141</v>
      </c>
      <c r="BI1369" s="76"/>
      <c r="BJ1369" s="76" t="s">
        <v>27595</v>
      </c>
      <c r="BK1369" s="76" t="b">
        <v>0</v>
      </c>
      <c r="BL1369" s="76"/>
      <c r="BM1369" s="76" t="s">
        <v>66</v>
      </c>
      <c r="BN1369" s="76" t="s">
        <v>27597</v>
      </c>
      <c r="BO1369" s="82" t="str">
        <f>HYPERLINK("https://twitter.com/claudiolof")</f>
        <v>https://twitter.com/claudiolof</v>
      </c>
      <c r="BP1369" s="2"/>
    </row>
    <row r="1370" spans="1:68" x14ac:dyDescent="0.25">
      <c r="A1370" s="62" t="s">
        <v>1237</v>
      </c>
      <c r="B1370" s="63"/>
      <c r="C1370" s="63"/>
      <c r="D1370" s="64"/>
      <c r="E1370" s="66"/>
      <c r="F1370" s="103" t="str">
        <f>HYPERLINK("https://pbs.twimg.com/profile_images/991561569388630016/rZZp9ESv_normal.jpg")</f>
        <v>https://pbs.twimg.com/profile_images/991561569388630016/rZZp9ESv_normal.jpg</v>
      </c>
      <c r="G1370" s="63"/>
      <c r="H1370" s="67"/>
      <c r="I1370" s="68"/>
      <c r="J1370" s="68"/>
      <c r="K1370" s="67" t="s">
        <v>28964</v>
      </c>
      <c r="L1370" s="71"/>
      <c r="M1370" s="72"/>
      <c r="N1370" s="72"/>
      <c r="O1370" s="73"/>
      <c r="P1370" s="74"/>
      <c r="Q1370" s="74"/>
      <c r="R1370" s="87"/>
      <c r="S1370" s="87"/>
      <c r="T1370" s="87"/>
      <c r="U1370" s="87"/>
      <c r="V1370" s="48"/>
      <c r="W1370" s="48"/>
      <c r="X1370" s="48"/>
      <c r="Y1370" s="48"/>
      <c r="Z1370" s="47"/>
      <c r="AA1370" s="69">
        <v>1370</v>
      </c>
      <c r="AB1370" s="69"/>
      <c r="AC1370" s="70"/>
      <c r="AD1370" s="76" t="s">
        <v>22586</v>
      </c>
      <c r="AE1370" s="81" t="s">
        <v>23789</v>
      </c>
      <c r="AF1370" s="76">
        <v>33468</v>
      </c>
      <c r="AG1370" s="76">
        <v>1193</v>
      </c>
      <c r="AH1370" s="76">
        <v>60423</v>
      </c>
      <c r="AI1370" s="76">
        <v>406</v>
      </c>
      <c r="AJ1370" s="76">
        <v>20199</v>
      </c>
      <c r="AK1370" s="76">
        <v>11233</v>
      </c>
      <c r="AL1370" s="76" t="b">
        <v>0</v>
      </c>
      <c r="AM1370" s="78">
        <v>40207.803240740737</v>
      </c>
      <c r="AN1370" s="76" t="s">
        <v>14382</v>
      </c>
      <c r="AO1370" s="76" t="s">
        <v>25928</v>
      </c>
      <c r="AP1370" s="82" t="str">
        <f>HYPERLINK("https://t.co/eR8VMZx6vF")</f>
        <v>https://t.co/eR8VMZx6vF</v>
      </c>
      <c r="AQ1370" s="82" t="str">
        <f>HYPERLINK("https://www.darf6015.com.br")</f>
        <v>https://www.darf6015.com.br</v>
      </c>
      <c r="AR1370" s="76" t="s">
        <v>27100</v>
      </c>
      <c r="AS1370" s="76"/>
      <c r="AT1370" s="76"/>
      <c r="AU1370" s="76"/>
      <c r="AV1370" s="76">
        <v>1.5042205993334001E+18</v>
      </c>
      <c r="AW1370" s="82" t="str">
        <f>HYPERLINK("https://t.co/eR8VMZx6vF")</f>
        <v>https://t.co/eR8VMZx6vF</v>
      </c>
      <c r="AX1370" s="76" t="b">
        <v>0</v>
      </c>
      <c r="AY1370" s="76"/>
      <c r="AZ1370" s="76"/>
      <c r="BA1370" s="76" t="b">
        <v>0</v>
      </c>
      <c r="BB1370" s="76" t="b">
        <v>1</v>
      </c>
      <c r="BC1370" s="76" t="b">
        <v>0</v>
      </c>
      <c r="BD1370" s="76" t="b">
        <v>0</v>
      </c>
      <c r="BE1370" s="76" t="b">
        <v>1</v>
      </c>
      <c r="BF1370" s="76" t="b">
        <v>0</v>
      </c>
      <c r="BG1370" s="76" t="b">
        <v>0</v>
      </c>
      <c r="BH1370" s="82" t="str">
        <f>HYPERLINK("https://pbs.twimg.com/profile_banners/109640710/1666671425")</f>
        <v>https://pbs.twimg.com/profile_banners/109640710/1666671425</v>
      </c>
      <c r="BI1370" s="76"/>
      <c r="BJ1370" s="76" t="s">
        <v>27595</v>
      </c>
      <c r="BK1370" s="76" t="b">
        <v>0</v>
      </c>
      <c r="BL1370" s="76"/>
      <c r="BM1370" s="76" t="s">
        <v>66</v>
      </c>
      <c r="BN1370" s="76" t="s">
        <v>27597</v>
      </c>
      <c r="BO1370" s="82" t="str">
        <f>HYPERLINK("https://twitter.com/traderbolsa")</f>
        <v>https://twitter.com/traderbolsa</v>
      </c>
      <c r="BP1370" s="2"/>
    </row>
    <row r="1371" spans="1:68" x14ac:dyDescent="0.25">
      <c r="A1371" s="62" t="s">
        <v>1239</v>
      </c>
      <c r="B1371" s="63"/>
      <c r="C1371" s="63"/>
      <c r="D1371" s="64"/>
      <c r="E1371" s="66"/>
      <c r="F1371" s="103" t="str">
        <f>HYPERLINK("https://pbs.twimg.com/profile_images/1704403744664776704/gyfBQ4Xh_normal.jpg")</f>
        <v>https://pbs.twimg.com/profile_images/1704403744664776704/gyfBQ4Xh_normal.jpg</v>
      </c>
      <c r="G1371" s="63"/>
      <c r="H1371" s="67"/>
      <c r="I1371" s="68"/>
      <c r="J1371" s="68"/>
      <c r="K1371" s="67" t="s">
        <v>28965</v>
      </c>
      <c r="L1371" s="71"/>
      <c r="M1371" s="72"/>
      <c r="N1371" s="72"/>
      <c r="O1371" s="73"/>
      <c r="P1371" s="74"/>
      <c r="Q1371" s="74"/>
      <c r="R1371" s="87"/>
      <c r="S1371" s="87"/>
      <c r="T1371" s="87"/>
      <c r="U1371" s="87"/>
      <c r="V1371" s="48"/>
      <c r="W1371" s="48"/>
      <c r="X1371" s="48"/>
      <c r="Y1371" s="48"/>
      <c r="Z1371" s="47"/>
      <c r="AA1371" s="69">
        <v>1371</v>
      </c>
      <c r="AB1371" s="69"/>
      <c r="AC1371" s="70"/>
      <c r="AD1371" s="76" t="s">
        <v>22587</v>
      </c>
      <c r="AE1371" s="81" t="s">
        <v>23790</v>
      </c>
      <c r="AF1371" s="76">
        <v>95</v>
      </c>
      <c r="AG1371" s="76">
        <v>648</v>
      </c>
      <c r="AH1371" s="76">
        <v>1728</v>
      </c>
      <c r="AI1371" s="76">
        <v>0</v>
      </c>
      <c r="AJ1371" s="76">
        <v>4423</v>
      </c>
      <c r="AK1371" s="76">
        <v>50</v>
      </c>
      <c r="AL1371" s="76" t="b">
        <v>0</v>
      </c>
      <c r="AM1371" s="78">
        <v>41057.351273148146</v>
      </c>
      <c r="AN1371" s="76" t="s">
        <v>24548</v>
      </c>
      <c r="AO1371" s="76" t="s">
        <v>25929</v>
      </c>
      <c r="AP1371" s="82" t="str">
        <f>HYPERLINK("https://t.co/UL54WDM25Z")</f>
        <v>https://t.co/UL54WDM25Z</v>
      </c>
      <c r="AQ1371" s="82" t="str">
        <f>HYPERLINK("http://facebook.com/elson.simbine")</f>
        <v>http://facebook.com/elson.simbine</v>
      </c>
      <c r="AR1371" s="76" t="s">
        <v>27101</v>
      </c>
      <c r="AS1371" s="76"/>
      <c r="AT1371" s="76"/>
      <c r="AU1371" s="76"/>
      <c r="AV1371" s="76">
        <v>1.6921983346167501E+18</v>
      </c>
      <c r="AW1371" s="82" t="str">
        <f>HYPERLINK("https://t.co/UL54WDM25Z")</f>
        <v>https://t.co/UL54WDM25Z</v>
      </c>
      <c r="AX1371" s="76" t="b">
        <v>0</v>
      </c>
      <c r="AY1371" s="76"/>
      <c r="AZ1371" s="76"/>
      <c r="BA1371" s="76" t="b">
        <v>0</v>
      </c>
      <c r="BB1371" s="76" t="b">
        <v>1</v>
      </c>
      <c r="BC1371" s="76" t="b">
        <v>1</v>
      </c>
      <c r="BD1371" s="76" t="b">
        <v>0</v>
      </c>
      <c r="BE1371" s="76" t="b">
        <v>0</v>
      </c>
      <c r="BF1371" s="76" t="b">
        <v>0</v>
      </c>
      <c r="BG1371" s="76" t="b">
        <v>0</v>
      </c>
      <c r="BH1371" s="82" t="str">
        <f>HYPERLINK("https://pbs.twimg.com/profile_banners/592534825/1510152448")</f>
        <v>https://pbs.twimg.com/profile_banners/592534825/1510152448</v>
      </c>
      <c r="BI1371" s="76"/>
      <c r="BJ1371" s="76" t="s">
        <v>27595</v>
      </c>
      <c r="BK1371" s="76" t="b">
        <v>0</v>
      </c>
      <c r="BL1371" s="76"/>
      <c r="BM1371" s="76" t="s">
        <v>66</v>
      </c>
      <c r="BN1371" s="76" t="s">
        <v>27597</v>
      </c>
      <c r="BO1371" s="82" t="str">
        <f>HYPERLINK("https://twitter.com/elsonsimbine")</f>
        <v>https://twitter.com/elsonsimbine</v>
      </c>
      <c r="BP1371" s="2"/>
    </row>
    <row r="1372" spans="1:68" x14ac:dyDescent="0.25">
      <c r="A1372" s="62" t="s">
        <v>1240</v>
      </c>
      <c r="B1372" s="63"/>
      <c r="C1372" s="63"/>
      <c r="D1372" s="64"/>
      <c r="E1372" s="66"/>
      <c r="F1372" s="103" t="str">
        <f>HYPERLINK("https://pbs.twimg.com/profile_images/1614974473190383618/UNeFVk0A_normal.jpg")</f>
        <v>https://pbs.twimg.com/profile_images/1614974473190383618/UNeFVk0A_normal.jpg</v>
      </c>
      <c r="G1372" s="63"/>
      <c r="H1372" s="67"/>
      <c r="I1372" s="68"/>
      <c r="J1372" s="68"/>
      <c r="K1372" s="67" t="s">
        <v>28966</v>
      </c>
      <c r="L1372" s="71"/>
      <c r="M1372" s="72"/>
      <c r="N1372" s="72"/>
      <c r="O1372" s="73"/>
      <c r="P1372" s="74"/>
      <c r="Q1372" s="74"/>
      <c r="R1372" s="87"/>
      <c r="S1372" s="87"/>
      <c r="T1372" s="87"/>
      <c r="U1372" s="87"/>
      <c r="V1372" s="48"/>
      <c r="W1372" s="48"/>
      <c r="X1372" s="48"/>
      <c r="Y1372" s="48"/>
      <c r="Z1372" s="47"/>
      <c r="AA1372" s="69">
        <v>1372</v>
      </c>
      <c r="AB1372" s="69"/>
      <c r="AC1372" s="70"/>
      <c r="AD1372" s="76" t="s">
        <v>22588</v>
      </c>
      <c r="AE1372" s="81" t="s">
        <v>20994</v>
      </c>
      <c r="AF1372" s="76">
        <v>439</v>
      </c>
      <c r="AG1372" s="76">
        <v>244</v>
      </c>
      <c r="AH1372" s="76">
        <v>41109</v>
      </c>
      <c r="AI1372" s="76">
        <v>3</v>
      </c>
      <c r="AJ1372" s="76">
        <v>7</v>
      </c>
      <c r="AK1372" s="76">
        <v>33041</v>
      </c>
      <c r="AL1372" s="76" t="b">
        <v>0</v>
      </c>
      <c r="AM1372" s="78">
        <v>43152.846168981479</v>
      </c>
      <c r="AN1372" s="76" t="s">
        <v>24549</v>
      </c>
      <c r="AO1372" s="76" t="s">
        <v>25930</v>
      </c>
      <c r="AP1372" s="82" t="str">
        <f>HYPERLINK("https://t.co/1c1WbILXrL")</f>
        <v>https://t.co/1c1WbILXrL</v>
      </c>
      <c r="AQ1372" s="82" t="str">
        <f>HYPERLINK("http://www.diariomendozasur.com")</f>
        <v>http://www.diariomendozasur.com</v>
      </c>
      <c r="AR1372" s="76" t="s">
        <v>27102</v>
      </c>
      <c r="AS1372" s="76"/>
      <c r="AT1372" s="76"/>
      <c r="AU1372" s="76"/>
      <c r="AV1372" s="76"/>
      <c r="AW1372" s="82" t="str">
        <f>HYPERLINK("https://t.co/1c1WbILXrL")</f>
        <v>https://t.co/1c1WbILXrL</v>
      </c>
      <c r="AX1372" s="76" t="b">
        <v>0</v>
      </c>
      <c r="AY1372" s="76"/>
      <c r="AZ1372" s="76"/>
      <c r="BA1372" s="76" t="b">
        <v>0</v>
      </c>
      <c r="BB1372" s="76" t="b">
        <v>1</v>
      </c>
      <c r="BC1372" s="76" t="b">
        <v>0</v>
      </c>
      <c r="BD1372" s="76" t="b">
        <v>0</v>
      </c>
      <c r="BE1372" s="76" t="b">
        <v>0</v>
      </c>
      <c r="BF1372" s="76" t="b">
        <v>0</v>
      </c>
      <c r="BG1372" s="76" t="b">
        <v>0</v>
      </c>
      <c r="BH1372" s="82" t="str">
        <f>HYPERLINK("https://pbs.twimg.com/profile_banners/966406795957858309/1567811296")</f>
        <v>https://pbs.twimg.com/profile_banners/966406795957858309/1567811296</v>
      </c>
      <c r="BI1372" s="76"/>
      <c r="BJ1372" s="76" t="s">
        <v>27595</v>
      </c>
      <c r="BK1372" s="76" t="b">
        <v>0</v>
      </c>
      <c r="BL1372" s="76"/>
      <c r="BM1372" s="76" t="s">
        <v>66</v>
      </c>
      <c r="BN1372" s="76" t="s">
        <v>27597</v>
      </c>
      <c r="BO1372" s="82" t="str">
        <f>HYPERLINK("https://twitter.com/diariomzasur")</f>
        <v>https://twitter.com/diariomzasur</v>
      </c>
      <c r="BP1372" s="2"/>
    </row>
    <row r="1373" spans="1:68" x14ac:dyDescent="0.25">
      <c r="A1373" s="62" t="s">
        <v>1241</v>
      </c>
      <c r="B1373" s="63"/>
      <c r="C1373" s="63"/>
      <c r="D1373" s="64"/>
      <c r="E1373" s="66"/>
      <c r="F1373" s="103" t="str">
        <f>HYPERLINK("https://pbs.twimg.com/profile_images/378800000703814702/2406f493d6ac7ae636dba05602e2eb73_normal.png")</f>
        <v>https://pbs.twimg.com/profile_images/378800000703814702/2406f493d6ac7ae636dba05602e2eb73_normal.png</v>
      </c>
      <c r="G1373" s="63"/>
      <c r="H1373" s="67"/>
      <c r="I1373" s="68"/>
      <c r="J1373" s="68"/>
      <c r="K1373" s="67" t="s">
        <v>28967</v>
      </c>
      <c r="L1373" s="71"/>
      <c r="M1373" s="72"/>
      <c r="N1373" s="72"/>
      <c r="O1373" s="73"/>
      <c r="P1373" s="74"/>
      <c r="Q1373" s="74"/>
      <c r="R1373" s="87"/>
      <c r="S1373" s="87"/>
      <c r="T1373" s="87"/>
      <c r="U1373" s="87"/>
      <c r="V1373" s="48"/>
      <c r="W1373" s="48"/>
      <c r="X1373" s="48"/>
      <c r="Y1373" s="48"/>
      <c r="Z1373" s="47"/>
      <c r="AA1373" s="69">
        <v>1373</v>
      </c>
      <c r="AB1373" s="69"/>
      <c r="AC1373" s="70"/>
      <c r="AD1373" s="76" t="s">
        <v>22589</v>
      </c>
      <c r="AE1373" s="81" t="s">
        <v>20336</v>
      </c>
      <c r="AF1373" s="76">
        <v>1085</v>
      </c>
      <c r="AG1373" s="76">
        <v>719</v>
      </c>
      <c r="AH1373" s="76">
        <v>31033</v>
      </c>
      <c r="AI1373" s="76">
        <v>50</v>
      </c>
      <c r="AJ1373" s="76">
        <v>99</v>
      </c>
      <c r="AK1373" s="76">
        <v>1899</v>
      </c>
      <c r="AL1373" s="76" t="b">
        <v>0</v>
      </c>
      <c r="AM1373" s="78">
        <v>40223.783368055556</v>
      </c>
      <c r="AN1373" s="76" t="s">
        <v>24127</v>
      </c>
      <c r="AO1373" s="76" t="s">
        <v>25931</v>
      </c>
      <c r="AP1373" s="82" t="str">
        <f>HYPERLINK("http://t.co/Scb5puqHAL")</f>
        <v>http://t.co/Scb5puqHAL</v>
      </c>
      <c r="AQ1373" s="82" t="str">
        <f>HYPERLINK("http://es.mercopress.com/")</f>
        <v>http://es.mercopress.com/</v>
      </c>
      <c r="AR1373" s="76" t="s">
        <v>27103</v>
      </c>
      <c r="AS1373" s="76"/>
      <c r="AT1373" s="76"/>
      <c r="AU1373" s="76"/>
      <c r="AV1373" s="76"/>
      <c r="AW1373" s="82" t="str">
        <f>HYPERLINK("http://t.co/Scb5puqHAL")</f>
        <v>http://t.co/Scb5puqHAL</v>
      </c>
      <c r="AX1373" s="76" t="b">
        <v>0</v>
      </c>
      <c r="AY1373" s="76"/>
      <c r="AZ1373" s="76"/>
      <c r="BA1373" s="76" t="b">
        <v>0</v>
      </c>
      <c r="BB1373" s="76" t="b">
        <v>1</v>
      </c>
      <c r="BC1373" s="76" t="b">
        <v>0</v>
      </c>
      <c r="BD1373" s="76" t="b">
        <v>0</v>
      </c>
      <c r="BE1373" s="76" t="b">
        <v>0</v>
      </c>
      <c r="BF1373" s="76" t="b">
        <v>0</v>
      </c>
      <c r="BG1373" s="76" t="b">
        <v>0</v>
      </c>
      <c r="BH1373" s="82" t="str">
        <f>HYPERLINK("https://pbs.twimg.com/profile_banners/114256672/1606845437")</f>
        <v>https://pbs.twimg.com/profile_banners/114256672/1606845437</v>
      </c>
      <c r="BI1373" s="76"/>
      <c r="BJ1373" s="76" t="s">
        <v>27595</v>
      </c>
      <c r="BK1373" s="76" t="b">
        <v>0</v>
      </c>
      <c r="BL1373" s="76"/>
      <c r="BM1373" s="76" t="s">
        <v>66</v>
      </c>
      <c r="BN1373" s="76" t="s">
        <v>27597</v>
      </c>
      <c r="BO1373" s="82" t="str">
        <f>HYPERLINK("https://twitter.com/mercopresses")</f>
        <v>https://twitter.com/mercopresses</v>
      </c>
      <c r="BP1373" s="2"/>
    </row>
    <row r="1374" spans="1:68" x14ac:dyDescent="0.25">
      <c r="A1374" s="62" t="s">
        <v>1242</v>
      </c>
      <c r="B1374" s="63"/>
      <c r="C1374" s="63"/>
      <c r="D1374" s="64"/>
      <c r="E1374" s="66"/>
      <c r="F1374" s="103" t="str">
        <f>HYPERLINK("https://pbs.twimg.com/profile_images/1588647351597547520/kKjDD8Ya_normal.jpg")</f>
        <v>https://pbs.twimg.com/profile_images/1588647351597547520/kKjDD8Ya_normal.jpg</v>
      </c>
      <c r="G1374" s="63"/>
      <c r="H1374" s="67"/>
      <c r="I1374" s="68"/>
      <c r="J1374" s="68"/>
      <c r="K1374" s="67" t="s">
        <v>28968</v>
      </c>
      <c r="L1374" s="71"/>
      <c r="M1374" s="72"/>
      <c r="N1374" s="72"/>
      <c r="O1374" s="73"/>
      <c r="P1374" s="74"/>
      <c r="Q1374" s="74"/>
      <c r="R1374" s="87"/>
      <c r="S1374" s="87"/>
      <c r="T1374" s="87"/>
      <c r="U1374" s="87"/>
      <c r="V1374" s="48"/>
      <c r="W1374" s="48"/>
      <c r="X1374" s="48"/>
      <c r="Y1374" s="48"/>
      <c r="Z1374" s="47"/>
      <c r="AA1374" s="69">
        <v>1374</v>
      </c>
      <c r="AB1374" s="69"/>
      <c r="AC1374" s="70"/>
      <c r="AD1374" s="76" t="s">
        <v>22590</v>
      </c>
      <c r="AE1374" s="81" t="s">
        <v>23791</v>
      </c>
      <c r="AF1374" s="76">
        <v>1982</v>
      </c>
      <c r="AG1374" s="76">
        <v>61</v>
      </c>
      <c r="AH1374" s="76">
        <v>5967</v>
      </c>
      <c r="AI1374" s="76">
        <v>22</v>
      </c>
      <c r="AJ1374" s="76">
        <v>377</v>
      </c>
      <c r="AK1374" s="76">
        <v>3503</v>
      </c>
      <c r="AL1374" s="76" t="b">
        <v>0</v>
      </c>
      <c r="AM1374" s="78">
        <v>40587.56422453704</v>
      </c>
      <c r="AN1374" s="76" t="s">
        <v>24550</v>
      </c>
      <c r="AO1374" s="76" t="s">
        <v>25932</v>
      </c>
      <c r="AP1374" s="82" t="str">
        <f>HYPERLINK("https://t.co/MQKH2yhreT")</f>
        <v>https://t.co/MQKH2yhreT</v>
      </c>
      <c r="AQ1374" s="82" t="str">
        <f>HYPERLINK("http://www.cofecon.org.br")</f>
        <v>http://www.cofecon.org.br</v>
      </c>
      <c r="AR1374" s="76" t="s">
        <v>27104</v>
      </c>
      <c r="AS1374" s="76"/>
      <c r="AT1374" s="76"/>
      <c r="AU1374" s="76"/>
      <c r="AV1374" s="76">
        <v>1.6328025586819599E+18</v>
      </c>
      <c r="AW1374" s="82" t="str">
        <f>HYPERLINK("https://t.co/MQKH2yhreT")</f>
        <v>https://t.co/MQKH2yhreT</v>
      </c>
      <c r="AX1374" s="76" t="b">
        <v>0</v>
      </c>
      <c r="AY1374" s="76"/>
      <c r="AZ1374" s="76"/>
      <c r="BA1374" s="76" t="b">
        <v>0</v>
      </c>
      <c r="BB1374" s="76" t="b">
        <v>1</v>
      </c>
      <c r="BC1374" s="76" t="b">
        <v>0</v>
      </c>
      <c r="BD1374" s="76" t="b">
        <v>0</v>
      </c>
      <c r="BE1374" s="76" t="b">
        <v>0</v>
      </c>
      <c r="BF1374" s="76" t="b">
        <v>0</v>
      </c>
      <c r="BG1374" s="76" t="b">
        <v>0</v>
      </c>
      <c r="BH1374" s="82" t="str">
        <f>HYPERLINK("https://pbs.twimg.com/profile_banners/251600476/1667598020")</f>
        <v>https://pbs.twimg.com/profile_banners/251600476/1667598020</v>
      </c>
      <c r="BI1374" s="76"/>
      <c r="BJ1374" s="76" t="s">
        <v>27595</v>
      </c>
      <c r="BK1374" s="76" t="b">
        <v>0</v>
      </c>
      <c r="BL1374" s="76"/>
      <c r="BM1374" s="76" t="s">
        <v>66</v>
      </c>
      <c r="BN1374" s="76" t="s">
        <v>27597</v>
      </c>
      <c r="BO1374" s="82" t="str">
        <f>HYPERLINK("https://twitter.com/cofeconeconomia")</f>
        <v>https://twitter.com/cofeconeconomia</v>
      </c>
      <c r="BP1374" s="2"/>
    </row>
    <row r="1375" spans="1:68" x14ac:dyDescent="0.25">
      <c r="A1375" s="62" t="s">
        <v>1243</v>
      </c>
      <c r="B1375" s="63"/>
      <c r="C1375" s="63"/>
      <c r="D1375" s="64"/>
      <c r="E1375" s="66"/>
      <c r="F1375" s="103" t="str">
        <f>HYPERLINK("https://pbs.twimg.com/profile_images/1666746472468029441/sw3KSPT1_normal.jpg")</f>
        <v>https://pbs.twimg.com/profile_images/1666746472468029441/sw3KSPT1_normal.jpg</v>
      </c>
      <c r="G1375" s="63"/>
      <c r="H1375" s="67"/>
      <c r="I1375" s="68"/>
      <c r="J1375" s="68"/>
      <c r="K1375" s="67" t="s">
        <v>28969</v>
      </c>
      <c r="L1375" s="71"/>
      <c r="M1375" s="72"/>
      <c r="N1375" s="72"/>
      <c r="O1375" s="73"/>
      <c r="P1375" s="74"/>
      <c r="Q1375" s="74"/>
      <c r="R1375" s="87"/>
      <c r="S1375" s="87"/>
      <c r="T1375" s="87"/>
      <c r="U1375" s="87"/>
      <c r="V1375" s="48"/>
      <c r="W1375" s="48"/>
      <c r="X1375" s="48"/>
      <c r="Y1375" s="48"/>
      <c r="Z1375" s="47"/>
      <c r="AA1375" s="69">
        <v>1375</v>
      </c>
      <c r="AB1375" s="69"/>
      <c r="AC1375" s="70"/>
      <c r="AD1375" s="76" t="s">
        <v>22591</v>
      </c>
      <c r="AE1375" s="81" t="s">
        <v>20995</v>
      </c>
      <c r="AF1375" s="76">
        <v>1</v>
      </c>
      <c r="AG1375" s="76">
        <v>12</v>
      </c>
      <c r="AH1375" s="76">
        <v>29</v>
      </c>
      <c r="AI1375" s="76">
        <v>0</v>
      </c>
      <c r="AJ1375" s="76">
        <v>9</v>
      </c>
      <c r="AK1375" s="76">
        <v>8</v>
      </c>
      <c r="AL1375" s="76" t="b">
        <v>0</v>
      </c>
      <c r="AM1375" s="78">
        <v>45085.413182870368</v>
      </c>
      <c r="AN1375" s="76"/>
      <c r="AO1375" s="76" t="s">
        <v>25933</v>
      </c>
      <c r="AP1375" s="82" t="str">
        <f>HYPERLINK("https://t.co/9Du3vcMr49")</f>
        <v>https://t.co/9Du3vcMr49</v>
      </c>
      <c r="AQ1375" s="82" t="str">
        <f>HYPERLINK("https://www.youtube.com/channel/UCTZlHEnb_oaR4rOsKUXsmow")</f>
        <v>https://www.youtube.com/channel/UCTZlHEnb_oaR4rOsKUXsmow</v>
      </c>
      <c r="AR1375" s="76" t="s">
        <v>27105</v>
      </c>
      <c r="AS1375" s="76"/>
      <c r="AT1375" s="76"/>
      <c r="AU1375" s="76"/>
      <c r="AV1375" s="76"/>
      <c r="AW1375" s="82" t="str">
        <f>HYPERLINK("https://t.co/9Du3vcMr49")</f>
        <v>https://t.co/9Du3vcMr49</v>
      </c>
      <c r="AX1375" s="76" t="b">
        <v>0</v>
      </c>
      <c r="AY1375" s="76"/>
      <c r="AZ1375" s="76"/>
      <c r="BA1375" s="76" t="b">
        <v>0</v>
      </c>
      <c r="BB1375" s="76" t="b">
        <v>1</v>
      </c>
      <c r="BC1375" s="76" t="b">
        <v>1</v>
      </c>
      <c r="BD1375" s="76" t="b">
        <v>0</v>
      </c>
      <c r="BE1375" s="76" t="b">
        <v>0</v>
      </c>
      <c r="BF1375" s="76" t="b">
        <v>0</v>
      </c>
      <c r="BG1375" s="76" t="b">
        <v>0</v>
      </c>
      <c r="BH1375" s="82" t="str">
        <f>HYPERLINK("https://pbs.twimg.com/profile_banners/1666745431655694336/1686218359")</f>
        <v>https://pbs.twimg.com/profile_banners/1666745431655694336/1686218359</v>
      </c>
      <c r="BI1375" s="76"/>
      <c r="BJ1375" s="76" t="s">
        <v>27595</v>
      </c>
      <c r="BK1375" s="76" t="b">
        <v>0</v>
      </c>
      <c r="BL1375" s="76"/>
      <c r="BM1375" s="76" t="s">
        <v>66</v>
      </c>
      <c r="BN1375" s="76" t="s">
        <v>27597</v>
      </c>
      <c r="BO1375" s="82" t="str">
        <f>HYPERLINK("https://twitter.com/factopia_")</f>
        <v>https://twitter.com/factopia_</v>
      </c>
      <c r="BP1375" s="2"/>
    </row>
    <row r="1376" spans="1:68" x14ac:dyDescent="0.25">
      <c r="A1376" s="62" t="s">
        <v>1244</v>
      </c>
      <c r="B1376" s="63"/>
      <c r="C1376" s="63"/>
      <c r="D1376" s="64"/>
      <c r="E1376" s="66"/>
      <c r="F1376" s="103" t="str">
        <f>HYPERLINK("https://pbs.twimg.com/profile_images/1616896904893288451/S7B5Ieob_normal.jpg")</f>
        <v>https://pbs.twimg.com/profile_images/1616896904893288451/S7B5Ieob_normal.jpg</v>
      </c>
      <c r="G1376" s="63"/>
      <c r="H1376" s="67"/>
      <c r="I1376" s="68"/>
      <c r="J1376" s="68"/>
      <c r="K1376" s="67" t="s">
        <v>28970</v>
      </c>
      <c r="L1376" s="71"/>
      <c r="M1376" s="72"/>
      <c r="N1376" s="72"/>
      <c r="O1376" s="73"/>
      <c r="P1376" s="74"/>
      <c r="Q1376" s="74"/>
      <c r="R1376" s="87"/>
      <c r="S1376" s="87"/>
      <c r="T1376" s="87"/>
      <c r="U1376" s="87"/>
      <c r="V1376" s="48"/>
      <c r="W1376" s="48"/>
      <c r="X1376" s="48"/>
      <c r="Y1376" s="48"/>
      <c r="Z1376" s="47"/>
      <c r="AA1376" s="69">
        <v>1376</v>
      </c>
      <c r="AB1376" s="69"/>
      <c r="AC1376" s="70"/>
      <c r="AD1376" s="76" t="s">
        <v>22592</v>
      </c>
      <c r="AE1376" s="81" t="s">
        <v>23792</v>
      </c>
      <c r="AF1376" s="76">
        <v>129</v>
      </c>
      <c r="AG1376" s="76">
        <v>448</v>
      </c>
      <c r="AH1376" s="76">
        <v>8378</v>
      </c>
      <c r="AI1376" s="76">
        <v>0</v>
      </c>
      <c r="AJ1376" s="76">
        <v>89556</v>
      </c>
      <c r="AK1376" s="76">
        <v>140</v>
      </c>
      <c r="AL1376" s="76" t="b">
        <v>0</v>
      </c>
      <c r="AM1376" s="78">
        <v>39942.597696759258</v>
      </c>
      <c r="AN1376" s="76" t="s">
        <v>14382</v>
      </c>
      <c r="AO1376" s="76" t="s">
        <v>25934</v>
      </c>
      <c r="AP1376" s="76"/>
      <c r="AQ1376" s="76"/>
      <c r="AR1376" s="76"/>
      <c r="AS1376" s="76"/>
      <c r="AT1376" s="76"/>
      <c r="AU1376" s="76"/>
      <c r="AV1376" s="76"/>
      <c r="AW1376" s="76"/>
      <c r="AX1376" s="76" t="b">
        <v>0</v>
      </c>
      <c r="AY1376" s="76"/>
      <c r="AZ1376" s="76"/>
      <c r="BA1376" s="76" t="b">
        <v>0</v>
      </c>
      <c r="BB1376" s="76" t="b">
        <v>0</v>
      </c>
      <c r="BC1376" s="76" t="b">
        <v>0</v>
      </c>
      <c r="BD1376" s="76" t="b">
        <v>0</v>
      </c>
      <c r="BE1376" s="76" t="b">
        <v>1</v>
      </c>
      <c r="BF1376" s="76" t="b">
        <v>0</v>
      </c>
      <c r="BG1376" s="76" t="b">
        <v>0</v>
      </c>
      <c r="BH1376" s="82" t="str">
        <f>HYPERLINK("https://pbs.twimg.com/profile_banners/38859850/1398370244")</f>
        <v>https://pbs.twimg.com/profile_banners/38859850/1398370244</v>
      </c>
      <c r="BI1376" s="76"/>
      <c r="BJ1376" s="76" t="s">
        <v>27595</v>
      </c>
      <c r="BK1376" s="76" t="b">
        <v>0</v>
      </c>
      <c r="BL1376" s="76"/>
      <c r="BM1376" s="76" t="s">
        <v>66</v>
      </c>
      <c r="BN1376" s="76" t="s">
        <v>27597</v>
      </c>
      <c r="BO1376" s="82" t="str">
        <f>HYPERLINK("https://twitter.com/clau_pasqualini")</f>
        <v>https://twitter.com/clau_pasqualini</v>
      </c>
      <c r="BP1376" s="2"/>
    </row>
    <row r="1377" spans="1:68" x14ac:dyDescent="0.25">
      <c r="A1377" s="62" t="s">
        <v>1245</v>
      </c>
      <c r="B1377" s="63"/>
      <c r="C1377" s="63"/>
      <c r="D1377" s="64"/>
      <c r="E1377" s="66"/>
      <c r="F1377" s="103" t="str">
        <f>HYPERLINK("https://pbs.twimg.com/profile_images/1369044652138115081/1MonDOgI_normal.jpg")</f>
        <v>https://pbs.twimg.com/profile_images/1369044652138115081/1MonDOgI_normal.jpg</v>
      </c>
      <c r="G1377" s="63"/>
      <c r="H1377" s="67"/>
      <c r="I1377" s="68"/>
      <c r="J1377" s="68"/>
      <c r="K1377" s="67" t="s">
        <v>28971</v>
      </c>
      <c r="L1377" s="71"/>
      <c r="M1377" s="72"/>
      <c r="N1377" s="72"/>
      <c r="O1377" s="73"/>
      <c r="P1377" s="74"/>
      <c r="Q1377" s="74"/>
      <c r="R1377" s="87"/>
      <c r="S1377" s="87"/>
      <c r="T1377" s="87"/>
      <c r="U1377" s="87"/>
      <c r="V1377" s="48"/>
      <c r="W1377" s="48"/>
      <c r="X1377" s="48"/>
      <c r="Y1377" s="48"/>
      <c r="Z1377" s="47"/>
      <c r="AA1377" s="69">
        <v>1377</v>
      </c>
      <c r="AB1377" s="69"/>
      <c r="AC1377" s="70"/>
      <c r="AD1377" s="76" t="s">
        <v>22593</v>
      </c>
      <c r="AE1377" s="81" t="s">
        <v>20996</v>
      </c>
      <c r="AF1377" s="76">
        <v>79</v>
      </c>
      <c r="AG1377" s="76">
        <v>176</v>
      </c>
      <c r="AH1377" s="76">
        <v>8946</v>
      </c>
      <c r="AI1377" s="76">
        <v>0</v>
      </c>
      <c r="AJ1377" s="76">
        <v>358</v>
      </c>
      <c r="AK1377" s="76">
        <v>8932</v>
      </c>
      <c r="AL1377" s="76" t="b">
        <v>0</v>
      </c>
      <c r="AM1377" s="78">
        <v>43361.739293981482</v>
      </c>
      <c r="AN1377" s="76" t="s">
        <v>24378</v>
      </c>
      <c r="AO1377" s="76" t="s">
        <v>25935</v>
      </c>
      <c r="AP1377" s="82" t="str">
        <f>HYPERLINK("https://t.co/1qCcVhnCDD")</f>
        <v>https://t.co/1qCcVhnCDD</v>
      </c>
      <c r="AQ1377" s="82" t="str">
        <f>HYPERLINK("http://portaljuristec.com.br")</f>
        <v>http://portaljuristec.com.br</v>
      </c>
      <c r="AR1377" s="76" t="s">
        <v>27106</v>
      </c>
      <c r="AS1377" s="76"/>
      <c r="AT1377" s="76"/>
      <c r="AU1377" s="76"/>
      <c r="AV1377" s="76"/>
      <c r="AW1377" s="82" t="str">
        <f>HYPERLINK("https://t.co/1qCcVhnCDD")</f>
        <v>https://t.co/1qCcVhnCDD</v>
      </c>
      <c r="AX1377" s="76" t="b">
        <v>0</v>
      </c>
      <c r="AY1377" s="76"/>
      <c r="AZ1377" s="76"/>
      <c r="BA1377" s="76" t="b">
        <v>0</v>
      </c>
      <c r="BB1377" s="76" t="b">
        <v>1</v>
      </c>
      <c r="BC1377" s="76" t="b">
        <v>1</v>
      </c>
      <c r="BD1377" s="76" t="b">
        <v>0</v>
      </c>
      <c r="BE1377" s="76" t="b">
        <v>1</v>
      </c>
      <c r="BF1377" s="76" t="b">
        <v>0</v>
      </c>
      <c r="BG1377" s="76" t="b">
        <v>0</v>
      </c>
      <c r="BH1377" s="82" t="str">
        <f>HYPERLINK("https://pbs.twimg.com/profile_banners/1042107129224724485/1627932404")</f>
        <v>https://pbs.twimg.com/profile_banners/1042107129224724485/1627932404</v>
      </c>
      <c r="BI1377" s="76"/>
      <c r="BJ1377" s="76" t="s">
        <v>27595</v>
      </c>
      <c r="BK1377" s="76" t="b">
        <v>0</v>
      </c>
      <c r="BL1377" s="76"/>
      <c r="BM1377" s="76" t="s">
        <v>66</v>
      </c>
      <c r="BN1377" s="76" t="s">
        <v>27597</v>
      </c>
      <c r="BO1377" s="82" t="str">
        <f>HYPERLINK("https://twitter.com/juristecadv")</f>
        <v>https://twitter.com/juristecadv</v>
      </c>
      <c r="BP1377" s="2"/>
    </row>
    <row r="1378" spans="1:68" x14ac:dyDescent="0.25">
      <c r="A1378" s="62" t="s">
        <v>1246</v>
      </c>
      <c r="B1378" s="63"/>
      <c r="C1378" s="63"/>
      <c r="D1378" s="64"/>
      <c r="E1378" s="66"/>
      <c r="F1378" s="103" t="str">
        <f>HYPERLINK("https://pbs.twimg.com/profile_images/1320357986376843267/fPmdmXZm_normal.jpg")</f>
        <v>https://pbs.twimg.com/profile_images/1320357986376843267/fPmdmXZm_normal.jpg</v>
      </c>
      <c r="G1378" s="63"/>
      <c r="H1378" s="67"/>
      <c r="I1378" s="68"/>
      <c r="J1378" s="68"/>
      <c r="K1378" s="67" t="s">
        <v>28972</v>
      </c>
      <c r="L1378" s="71"/>
      <c r="M1378" s="72"/>
      <c r="N1378" s="72"/>
      <c r="O1378" s="73"/>
      <c r="P1378" s="74"/>
      <c r="Q1378" s="74"/>
      <c r="R1378" s="87"/>
      <c r="S1378" s="87"/>
      <c r="T1378" s="87"/>
      <c r="U1378" s="87"/>
      <c r="V1378" s="48"/>
      <c r="W1378" s="48"/>
      <c r="X1378" s="48"/>
      <c r="Y1378" s="48"/>
      <c r="Z1378" s="47"/>
      <c r="AA1378" s="69">
        <v>1378</v>
      </c>
      <c r="AB1378" s="69"/>
      <c r="AC1378" s="70"/>
      <c r="AD1378" s="76" t="s">
        <v>22594</v>
      </c>
      <c r="AE1378" s="81" t="s">
        <v>20997</v>
      </c>
      <c r="AF1378" s="76">
        <v>2432</v>
      </c>
      <c r="AG1378" s="76">
        <v>627</v>
      </c>
      <c r="AH1378" s="76">
        <v>25148</v>
      </c>
      <c r="AI1378" s="76">
        <v>5</v>
      </c>
      <c r="AJ1378" s="76">
        <v>14199</v>
      </c>
      <c r="AK1378" s="76">
        <v>9380</v>
      </c>
      <c r="AL1378" s="76" t="b">
        <v>0</v>
      </c>
      <c r="AM1378" s="78">
        <v>42450.115011574075</v>
      </c>
      <c r="AN1378" s="76"/>
      <c r="AO1378" s="76" t="s">
        <v>25936</v>
      </c>
      <c r="AP1378" s="82" t="str">
        <f>HYPERLINK("https://t.co/qUudXiopcy")</f>
        <v>https://t.co/qUudXiopcy</v>
      </c>
      <c r="AQ1378" s="82" t="str">
        <f>HYPERLINK("http://www.enlafontana.cl")</f>
        <v>http://www.enlafontana.cl</v>
      </c>
      <c r="AR1378" s="76" t="s">
        <v>8815</v>
      </c>
      <c r="AS1378" s="76"/>
      <c r="AT1378" s="76"/>
      <c r="AU1378" s="76"/>
      <c r="AV1378" s="76">
        <v>1.70745748102096E+18</v>
      </c>
      <c r="AW1378" s="82" t="str">
        <f>HYPERLINK("https://t.co/qUudXiopcy")</f>
        <v>https://t.co/qUudXiopcy</v>
      </c>
      <c r="AX1378" s="76" t="b">
        <v>0</v>
      </c>
      <c r="AY1378" s="76"/>
      <c r="AZ1378" s="76"/>
      <c r="BA1378" s="76" t="b">
        <v>0</v>
      </c>
      <c r="BB1378" s="76" t="b">
        <v>0</v>
      </c>
      <c r="BC1378" s="76" t="b">
        <v>1</v>
      </c>
      <c r="BD1378" s="76" t="b">
        <v>0</v>
      </c>
      <c r="BE1378" s="76" t="b">
        <v>1</v>
      </c>
      <c r="BF1378" s="76" t="b">
        <v>0</v>
      </c>
      <c r="BG1378" s="76" t="b">
        <v>0</v>
      </c>
      <c r="BH1378" s="82" t="str">
        <f>HYPERLINK("https://pbs.twimg.com/profile_banners/711745551247785984/1603633991")</f>
        <v>https://pbs.twimg.com/profile_banners/711745551247785984/1603633991</v>
      </c>
      <c r="BI1378" s="76"/>
      <c r="BJ1378" s="76" t="s">
        <v>27595</v>
      </c>
      <c r="BK1378" s="76" t="b">
        <v>0</v>
      </c>
      <c r="BL1378" s="76"/>
      <c r="BM1378" s="76" t="s">
        <v>66</v>
      </c>
      <c r="BN1378" s="76" t="s">
        <v>27597</v>
      </c>
      <c r="BO1378" s="82" t="str">
        <f>HYPERLINK("https://twitter.com/enlafontana_cl")</f>
        <v>https://twitter.com/enlafontana_cl</v>
      </c>
      <c r="BP1378" s="2"/>
    </row>
    <row r="1379" spans="1:68" x14ac:dyDescent="0.25">
      <c r="A1379" s="62" t="s">
        <v>1247</v>
      </c>
      <c r="B1379" s="63"/>
      <c r="C1379" s="63"/>
      <c r="D1379" s="64"/>
      <c r="E1379" s="66"/>
      <c r="F1379" s="103" t="str">
        <f>HYPERLINK("https://pbs.twimg.com/profile_images/1640128982564716545/wny3_46r_normal.jpg")</f>
        <v>https://pbs.twimg.com/profile_images/1640128982564716545/wny3_46r_normal.jpg</v>
      </c>
      <c r="G1379" s="63"/>
      <c r="H1379" s="67"/>
      <c r="I1379" s="68"/>
      <c r="J1379" s="68"/>
      <c r="K1379" s="67" t="s">
        <v>28973</v>
      </c>
      <c r="L1379" s="71"/>
      <c r="M1379" s="72"/>
      <c r="N1379" s="72"/>
      <c r="O1379" s="73"/>
      <c r="P1379" s="74"/>
      <c r="Q1379" s="74"/>
      <c r="R1379" s="87"/>
      <c r="S1379" s="87"/>
      <c r="T1379" s="87"/>
      <c r="U1379" s="87"/>
      <c r="V1379" s="48"/>
      <c r="W1379" s="48"/>
      <c r="X1379" s="48"/>
      <c r="Y1379" s="48"/>
      <c r="Z1379" s="47"/>
      <c r="AA1379" s="69">
        <v>1379</v>
      </c>
      <c r="AB1379" s="69"/>
      <c r="AC1379" s="70"/>
      <c r="AD1379" s="76" t="s">
        <v>22595</v>
      </c>
      <c r="AE1379" s="81" t="s">
        <v>20998</v>
      </c>
      <c r="AF1379" s="76">
        <v>83</v>
      </c>
      <c r="AG1379" s="76">
        <v>454</v>
      </c>
      <c r="AH1379" s="76">
        <v>5436</v>
      </c>
      <c r="AI1379" s="76">
        <v>0</v>
      </c>
      <c r="AJ1379" s="76">
        <v>14294</v>
      </c>
      <c r="AK1379" s="76">
        <v>39</v>
      </c>
      <c r="AL1379" s="76" t="b">
        <v>0</v>
      </c>
      <c r="AM1379" s="78">
        <v>44878.773148148146</v>
      </c>
      <c r="AN1379" s="76" t="s">
        <v>24294</v>
      </c>
      <c r="AO1379" s="76" t="s">
        <v>25937</v>
      </c>
      <c r="AP1379" s="76"/>
      <c r="AQ1379" s="76"/>
      <c r="AR1379" s="76"/>
      <c r="AS1379" s="76"/>
      <c r="AT1379" s="76"/>
      <c r="AU1379" s="76"/>
      <c r="AV1379" s="76"/>
      <c r="AW1379" s="76"/>
      <c r="AX1379" s="76" t="b">
        <v>0</v>
      </c>
      <c r="AY1379" s="76"/>
      <c r="AZ1379" s="76"/>
      <c r="BA1379" s="76" t="b">
        <v>1</v>
      </c>
      <c r="BB1379" s="76" t="b">
        <v>1</v>
      </c>
      <c r="BC1379" s="76" t="b">
        <v>1</v>
      </c>
      <c r="BD1379" s="76" t="b">
        <v>0</v>
      </c>
      <c r="BE1379" s="76" t="b">
        <v>0</v>
      </c>
      <c r="BF1379" s="76" t="b">
        <v>0</v>
      </c>
      <c r="BG1379" s="76" t="b">
        <v>0</v>
      </c>
      <c r="BH1379" s="82" t="str">
        <f>HYPERLINK("https://pbs.twimg.com/profile_banners/1591861724461912064/1669314107")</f>
        <v>https://pbs.twimg.com/profile_banners/1591861724461912064/1669314107</v>
      </c>
      <c r="BI1379" s="76"/>
      <c r="BJ1379" s="76" t="s">
        <v>27595</v>
      </c>
      <c r="BK1379" s="76" t="b">
        <v>0</v>
      </c>
      <c r="BL1379" s="76"/>
      <c r="BM1379" s="76" t="s">
        <v>66</v>
      </c>
      <c r="BN1379" s="76" t="s">
        <v>27597</v>
      </c>
      <c r="BO1379" s="82" t="str">
        <f>HYPERLINK("https://twitter.com/sselaik")</f>
        <v>https://twitter.com/sselaik</v>
      </c>
      <c r="BP1379" s="2"/>
    </row>
    <row r="1380" spans="1:68" x14ac:dyDescent="0.25">
      <c r="A1380" s="62" t="s">
        <v>1249</v>
      </c>
      <c r="B1380" s="63"/>
      <c r="C1380" s="63"/>
      <c r="D1380" s="64"/>
      <c r="E1380" s="66"/>
      <c r="F1380" s="103" t="str">
        <f>HYPERLINK("https://pbs.twimg.com/profile_images/1492061597656825857/76AxNtRU_normal.jpg")</f>
        <v>https://pbs.twimg.com/profile_images/1492061597656825857/76AxNtRU_normal.jpg</v>
      </c>
      <c r="G1380" s="63"/>
      <c r="H1380" s="67"/>
      <c r="I1380" s="68"/>
      <c r="J1380" s="68"/>
      <c r="K1380" s="67" t="s">
        <v>28974</v>
      </c>
      <c r="L1380" s="71"/>
      <c r="M1380" s="72"/>
      <c r="N1380" s="72"/>
      <c r="O1380" s="73"/>
      <c r="P1380" s="74"/>
      <c r="Q1380" s="74"/>
      <c r="R1380" s="87"/>
      <c r="S1380" s="87"/>
      <c r="T1380" s="87"/>
      <c r="U1380" s="87"/>
      <c r="V1380" s="48"/>
      <c r="W1380" s="48"/>
      <c r="X1380" s="48"/>
      <c r="Y1380" s="48"/>
      <c r="Z1380" s="47"/>
      <c r="AA1380" s="69">
        <v>1380</v>
      </c>
      <c r="AB1380" s="69"/>
      <c r="AC1380" s="70"/>
      <c r="AD1380" s="76" t="s">
        <v>22596</v>
      </c>
      <c r="AE1380" s="81" t="s">
        <v>21000</v>
      </c>
      <c r="AF1380" s="76">
        <v>732</v>
      </c>
      <c r="AG1380" s="76">
        <v>2671</v>
      </c>
      <c r="AH1380" s="76">
        <v>41722</v>
      </c>
      <c r="AI1380" s="76">
        <v>1</v>
      </c>
      <c r="AJ1380" s="76">
        <v>59825</v>
      </c>
      <c r="AK1380" s="76">
        <v>77</v>
      </c>
      <c r="AL1380" s="76" t="b">
        <v>0</v>
      </c>
      <c r="AM1380" s="78">
        <v>44477.278020833335</v>
      </c>
      <c r="AN1380" s="76"/>
      <c r="AO1380" s="76" t="s">
        <v>25938</v>
      </c>
      <c r="AP1380" s="76"/>
      <c r="AQ1380" s="76"/>
      <c r="AR1380" s="76"/>
      <c r="AS1380" s="76"/>
      <c r="AT1380" s="76"/>
      <c r="AU1380" s="76"/>
      <c r="AV1380" s="76"/>
      <c r="AW1380" s="76"/>
      <c r="AX1380" s="76" t="b">
        <v>0</v>
      </c>
      <c r="AY1380" s="76"/>
      <c r="AZ1380" s="76"/>
      <c r="BA1380" s="76" t="b">
        <v>0</v>
      </c>
      <c r="BB1380" s="76" t="b">
        <v>1</v>
      </c>
      <c r="BC1380" s="76" t="b">
        <v>1</v>
      </c>
      <c r="BD1380" s="76" t="b">
        <v>0</v>
      </c>
      <c r="BE1380" s="76" t="b">
        <v>1</v>
      </c>
      <c r="BF1380" s="76" t="b">
        <v>0</v>
      </c>
      <c r="BG1380" s="76" t="b">
        <v>0</v>
      </c>
      <c r="BH1380" s="82" t="str">
        <f>HYPERLINK("https://pbs.twimg.com/profile_banners/1446363834940338183/1642429412")</f>
        <v>https://pbs.twimg.com/profile_banners/1446363834940338183/1642429412</v>
      </c>
      <c r="BI1380" s="76"/>
      <c r="BJ1380" s="76" t="s">
        <v>27595</v>
      </c>
      <c r="BK1380" s="76" t="b">
        <v>0</v>
      </c>
      <c r="BL1380" s="76"/>
      <c r="BM1380" s="76" t="s">
        <v>66</v>
      </c>
      <c r="BN1380" s="76" t="s">
        <v>27597</v>
      </c>
      <c r="BO1380" s="82" t="str">
        <f>HYPERLINK("https://twitter.com/daniela95961088")</f>
        <v>https://twitter.com/daniela95961088</v>
      </c>
      <c r="BP1380" s="2"/>
    </row>
    <row r="1381" spans="1:68" x14ac:dyDescent="0.25">
      <c r="A1381" s="62" t="s">
        <v>1250</v>
      </c>
      <c r="B1381" s="63"/>
      <c r="C1381" s="63"/>
      <c r="D1381" s="64"/>
      <c r="E1381" s="66"/>
      <c r="F1381" s="103" t="str">
        <f>HYPERLINK("https://pbs.twimg.com/profile_images/1080469373712769024/yM759tOF_normal.jpg")</f>
        <v>https://pbs.twimg.com/profile_images/1080469373712769024/yM759tOF_normal.jpg</v>
      </c>
      <c r="G1381" s="63"/>
      <c r="H1381" s="67"/>
      <c r="I1381" s="68"/>
      <c r="J1381" s="68"/>
      <c r="K1381" s="67" t="s">
        <v>28975</v>
      </c>
      <c r="L1381" s="71"/>
      <c r="M1381" s="72"/>
      <c r="N1381" s="72"/>
      <c r="O1381" s="73"/>
      <c r="P1381" s="74"/>
      <c r="Q1381" s="74"/>
      <c r="R1381" s="87"/>
      <c r="S1381" s="87"/>
      <c r="T1381" s="87"/>
      <c r="U1381" s="87"/>
      <c r="V1381" s="48"/>
      <c r="W1381" s="48"/>
      <c r="X1381" s="48"/>
      <c r="Y1381" s="48"/>
      <c r="Z1381" s="47"/>
      <c r="AA1381" s="69">
        <v>1381</v>
      </c>
      <c r="AB1381" s="69"/>
      <c r="AC1381" s="70"/>
      <c r="AD1381" s="76" t="s">
        <v>22597</v>
      </c>
      <c r="AE1381" s="81" t="s">
        <v>23793</v>
      </c>
      <c r="AF1381" s="76">
        <v>70089</v>
      </c>
      <c r="AG1381" s="76">
        <v>49906</v>
      </c>
      <c r="AH1381" s="76">
        <v>46595</v>
      </c>
      <c r="AI1381" s="76">
        <v>378</v>
      </c>
      <c r="AJ1381" s="76">
        <v>96082</v>
      </c>
      <c r="AK1381" s="76">
        <v>8821</v>
      </c>
      <c r="AL1381" s="76" t="b">
        <v>0</v>
      </c>
      <c r="AM1381" s="78">
        <v>40001.546631944446</v>
      </c>
      <c r="AN1381" s="76"/>
      <c r="AO1381" s="76" t="s">
        <v>25939</v>
      </c>
      <c r="AP1381" s="82" t="str">
        <f>HYPERLINK("https://t.co/wXFVODYDKD")</f>
        <v>https://t.co/wXFVODYDKD</v>
      </c>
      <c r="AQ1381" s="82" t="str">
        <f>HYPERLINK("http://www.rubensotoni.com.br")</f>
        <v>http://www.rubensotoni.com.br</v>
      </c>
      <c r="AR1381" s="76" t="s">
        <v>27107</v>
      </c>
      <c r="AS1381" s="76"/>
      <c r="AT1381" s="76"/>
      <c r="AU1381" s="76"/>
      <c r="AV1381" s="76"/>
      <c r="AW1381" s="82" t="str">
        <f>HYPERLINK("https://t.co/wXFVODYDKD")</f>
        <v>https://t.co/wXFVODYDKD</v>
      </c>
      <c r="AX1381" s="76" t="b">
        <v>1</v>
      </c>
      <c r="AY1381" s="76"/>
      <c r="AZ1381" s="76"/>
      <c r="BA1381" s="76" t="b">
        <v>0</v>
      </c>
      <c r="BB1381" s="76" t="b">
        <v>1</v>
      </c>
      <c r="BC1381" s="76" t="b">
        <v>0</v>
      </c>
      <c r="BD1381" s="76" t="b">
        <v>0</v>
      </c>
      <c r="BE1381" s="76" t="b">
        <v>1</v>
      </c>
      <c r="BF1381" s="76" t="b">
        <v>0</v>
      </c>
      <c r="BG1381" s="76" t="b">
        <v>0</v>
      </c>
      <c r="BH1381" s="82" t="str">
        <f>HYPERLINK("https://pbs.twimg.com/profile_banners/54539654/1585133539")</f>
        <v>https://pbs.twimg.com/profile_banners/54539654/1585133539</v>
      </c>
      <c r="BI1381" s="76"/>
      <c r="BJ1381" s="76" t="s">
        <v>27595</v>
      </c>
      <c r="BK1381" s="76" t="b">
        <v>0</v>
      </c>
      <c r="BL1381" s="76"/>
      <c r="BM1381" s="76" t="s">
        <v>66</v>
      </c>
      <c r="BN1381" s="76" t="s">
        <v>27597</v>
      </c>
      <c r="BO1381" s="82" t="str">
        <f>HYPERLINK("https://twitter.com/rubensotoni")</f>
        <v>https://twitter.com/rubensotoni</v>
      </c>
      <c r="BP1381" s="2"/>
    </row>
    <row r="1382" spans="1:68" x14ac:dyDescent="0.25">
      <c r="A1382" s="62" t="s">
        <v>1251</v>
      </c>
      <c r="B1382" s="63"/>
      <c r="C1382" s="63"/>
      <c r="D1382" s="64"/>
      <c r="E1382" s="66"/>
      <c r="F1382" s="103" t="str">
        <f>HYPERLINK("https://pbs.twimg.com/profile_images/1057337180715134982/WwqiLyHq_normal.jpg")</f>
        <v>https://pbs.twimg.com/profile_images/1057337180715134982/WwqiLyHq_normal.jpg</v>
      </c>
      <c r="G1382" s="63"/>
      <c r="H1382" s="67"/>
      <c r="I1382" s="68"/>
      <c r="J1382" s="68"/>
      <c r="K1382" s="67" t="s">
        <v>28976</v>
      </c>
      <c r="L1382" s="71"/>
      <c r="M1382" s="72"/>
      <c r="N1382" s="72"/>
      <c r="O1382" s="73"/>
      <c r="P1382" s="74"/>
      <c r="Q1382" s="74"/>
      <c r="R1382" s="87"/>
      <c r="S1382" s="87"/>
      <c r="T1382" s="87"/>
      <c r="U1382" s="87"/>
      <c r="V1382" s="48"/>
      <c r="W1382" s="48"/>
      <c r="X1382" s="48"/>
      <c r="Y1382" s="48"/>
      <c r="Z1382" s="47"/>
      <c r="AA1382" s="69">
        <v>1382</v>
      </c>
      <c r="AB1382" s="69"/>
      <c r="AC1382" s="70"/>
      <c r="AD1382" s="76" t="s">
        <v>22598</v>
      </c>
      <c r="AE1382" s="81" t="s">
        <v>23794</v>
      </c>
      <c r="AF1382" s="76">
        <v>7652</v>
      </c>
      <c r="AG1382" s="76">
        <v>8357</v>
      </c>
      <c r="AH1382" s="76">
        <v>16228</v>
      </c>
      <c r="AI1382" s="76">
        <v>77</v>
      </c>
      <c r="AJ1382" s="76">
        <v>5504</v>
      </c>
      <c r="AK1382" s="76">
        <v>793</v>
      </c>
      <c r="AL1382" s="76" t="b">
        <v>0</v>
      </c>
      <c r="AM1382" s="78">
        <v>40422.985231481478</v>
      </c>
      <c r="AN1382" s="76" t="s">
        <v>24551</v>
      </c>
      <c r="AO1382" s="76" t="s">
        <v>25940</v>
      </c>
      <c r="AP1382" s="82" t="str">
        <f>HYPERLINK("https://t.co/4XHo7UU5qX")</f>
        <v>https://t.co/4XHo7UU5qX</v>
      </c>
      <c r="AQ1382" s="82" t="str">
        <f>HYPERLINK("https://www.militantepsol.com.br")</f>
        <v>https://www.militantepsol.com.br</v>
      </c>
      <c r="AR1382" s="76" t="s">
        <v>27108</v>
      </c>
      <c r="AS1382" s="82" t="str">
        <f>HYPERLINK("https://t.co/h5k4XE0oGa")</f>
        <v>https://t.co/h5k4XE0oGa</v>
      </c>
      <c r="AT1382" s="82" t="str">
        <f>HYPERLINK("http://militantepsol.com.br")</f>
        <v>http://militantepsol.com.br</v>
      </c>
      <c r="AU1382" s="76" t="s">
        <v>27108</v>
      </c>
      <c r="AV1382" s="76">
        <v>1.4127426079696901E+18</v>
      </c>
      <c r="AW1382" s="82" t="str">
        <f>HYPERLINK("https://t.co/4XHo7UU5qX")</f>
        <v>https://t.co/4XHo7UU5qX</v>
      </c>
      <c r="AX1382" s="76" t="b">
        <v>0</v>
      </c>
      <c r="AY1382" s="76"/>
      <c r="AZ1382" s="76"/>
      <c r="BA1382" s="76" t="b">
        <v>1</v>
      </c>
      <c r="BB1382" s="76" t="b">
        <v>1</v>
      </c>
      <c r="BC1382" s="76" t="b">
        <v>0</v>
      </c>
      <c r="BD1382" s="76" t="b">
        <v>0</v>
      </c>
      <c r="BE1382" s="76" t="b">
        <v>0</v>
      </c>
      <c r="BF1382" s="76" t="b">
        <v>0</v>
      </c>
      <c r="BG1382" s="76" t="b">
        <v>0</v>
      </c>
      <c r="BH1382" s="82" t="str">
        <f>HYPERLINK("https://pbs.twimg.com/profile_banners/185840220/1622205793")</f>
        <v>https://pbs.twimg.com/profile_banners/185840220/1622205793</v>
      </c>
      <c r="BI1382" s="76"/>
      <c r="BJ1382" s="76" t="s">
        <v>27595</v>
      </c>
      <c r="BK1382" s="76" t="b">
        <v>0</v>
      </c>
      <c r="BL1382" s="76"/>
      <c r="BM1382" s="76" t="s">
        <v>66</v>
      </c>
      <c r="BN1382" s="76" t="s">
        <v>27597</v>
      </c>
      <c r="BO1382" s="82" t="str">
        <f>HYPERLINK("https://twitter.com/jtabw")</f>
        <v>https://twitter.com/jtabw</v>
      </c>
      <c r="BP1382" s="2"/>
    </row>
    <row r="1383" spans="1:68" x14ac:dyDescent="0.25">
      <c r="A1383" s="62" t="s">
        <v>1252</v>
      </c>
      <c r="B1383" s="63"/>
      <c r="C1383" s="63"/>
      <c r="D1383" s="64"/>
      <c r="E1383" s="66"/>
      <c r="F1383" s="103" t="str">
        <f>HYPERLINK("https://pbs.twimg.com/profile_images/1599672959702016000/jW3ni4Xw_normal.jpg")</f>
        <v>https://pbs.twimg.com/profile_images/1599672959702016000/jW3ni4Xw_normal.jpg</v>
      </c>
      <c r="G1383" s="63"/>
      <c r="H1383" s="67"/>
      <c r="I1383" s="68"/>
      <c r="J1383" s="68"/>
      <c r="K1383" s="67" t="s">
        <v>28977</v>
      </c>
      <c r="L1383" s="71"/>
      <c r="M1383" s="72"/>
      <c r="N1383" s="72"/>
      <c r="O1383" s="73"/>
      <c r="P1383" s="74"/>
      <c r="Q1383" s="74"/>
      <c r="R1383" s="87"/>
      <c r="S1383" s="87"/>
      <c r="T1383" s="87"/>
      <c r="U1383" s="87"/>
      <c r="V1383" s="48"/>
      <c r="W1383" s="48"/>
      <c r="X1383" s="48"/>
      <c r="Y1383" s="48"/>
      <c r="Z1383" s="47"/>
      <c r="AA1383" s="69">
        <v>1383</v>
      </c>
      <c r="AB1383" s="69"/>
      <c r="AC1383" s="70"/>
      <c r="AD1383" s="76" t="s">
        <v>22599</v>
      </c>
      <c r="AE1383" s="81" t="s">
        <v>20337</v>
      </c>
      <c r="AF1383" s="76">
        <v>1286</v>
      </c>
      <c r="AG1383" s="76">
        <v>895</v>
      </c>
      <c r="AH1383" s="76">
        <v>3406</v>
      </c>
      <c r="AI1383" s="76">
        <v>0</v>
      </c>
      <c r="AJ1383" s="76">
        <v>4005</v>
      </c>
      <c r="AK1383" s="76">
        <v>245</v>
      </c>
      <c r="AL1383" s="76" t="b">
        <v>0</v>
      </c>
      <c r="AM1383" s="78">
        <v>42216.924305555556</v>
      </c>
      <c r="AN1383" s="76" t="s">
        <v>24552</v>
      </c>
      <c r="AO1383" s="76" t="s">
        <v>25941</v>
      </c>
      <c r="AP1383" s="76"/>
      <c r="AQ1383" s="76"/>
      <c r="AR1383" s="76"/>
      <c r="AS1383" s="76"/>
      <c r="AT1383" s="76"/>
      <c r="AU1383" s="76"/>
      <c r="AV1383" s="76">
        <v>1.7033513993989701E+18</v>
      </c>
      <c r="AW1383" s="76"/>
      <c r="AX1383" s="76" t="b">
        <v>0</v>
      </c>
      <c r="AY1383" s="76"/>
      <c r="AZ1383" s="76"/>
      <c r="BA1383" s="76" t="b">
        <v>1</v>
      </c>
      <c r="BB1383" s="76" t="b">
        <v>1</v>
      </c>
      <c r="BC1383" s="76" t="b">
        <v>1</v>
      </c>
      <c r="BD1383" s="76" t="b">
        <v>0</v>
      </c>
      <c r="BE1383" s="76" t="b">
        <v>1</v>
      </c>
      <c r="BF1383" s="76" t="b">
        <v>0</v>
      </c>
      <c r="BG1383" s="76" t="b">
        <v>1</v>
      </c>
      <c r="BH1383" s="82" t="str">
        <f>HYPERLINK("https://pbs.twimg.com/profile_banners/3397762647/1656099743")</f>
        <v>https://pbs.twimg.com/profile_banners/3397762647/1656099743</v>
      </c>
      <c r="BI1383" s="76"/>
      <c r="BJ1383" s="76" t="s">
        <v>27595</v>
      </c>
      <c r="BK1383" s="76" t="b">
        <v>0</v>
      </c>
      <c r="BL1383" s="76"/>
      <c r="BM1383" s="76" t="s">
        <v>66</v>
      </c>
      <c r="BN1383" s="76" t="s">
        <v>27597</v>
      </c>
      <c r="BO1383" s="82" t="str">
        <f>HYPERLINK("https://twitter.com/ludarep")</f>
        <v>https://twitter.com/ludarep</v>
      </c>
      <c r="BP1383" s="2"/>
    </row>
    <row r="1384" spans="1:68" x14ac:dyDescent="0.25">
      <c r="A1384" s="62" t="s">
        <v>1253</v>
      </c>
      <c r="B1384" s="63"/>
      <c r="C1384" s="63"/>
      <c r="D1384" s="64"/>
      <c r="E1384" s="66"/>
      <c r="F1384" s="103" t="str">
        <f>HYPERLINK("https://pbs.twimg.com/profile_images/1622763506859708416/NwAEpuNy_normal.jpg")</f>
        <v>https://pbs.twimg.com/profile_images/1622763506859708416/NwAEpuNy_normal.jpg</v>
      </c>
      <c r="G1384" s="63"/>
      <c r="H1384" s="67"/>
      <c r="I1384" s="68"/>
      <c r="J1384" s="68"/>
      <c r="K1384" s="67" t="s">
        <v>28978</v>
      </c>
      <c r="L1384" s="71"/>
      <c r="M1384" s="72"/>
      <c r="N1384" s="72"/>
      <c r="O1384" s="73"/>
      <c r="P1384" s="74"/>
      <c r="Q1384" s="74"/>
      <c r="R1384" s="87"/>
      <c r="S1384" s="87"/>
      <c r="T1384" s="87"/>
      <c r="U1384" s="87"/>
      <c r="V1384" s="48"/>
      <c r="W1384" s="48"/>
      <c r="X1384" s="48"/>
      <c r="Y1384" s="48"/>
      <c r="Z1384" s="47"/>
      <c r="AA1384" s="69">
        <v>1384</v>
      </c>
      <c r="AB1384" s="69"/>
      <c r="AC1384" s="70"/>
      <c r="AD1384" s="76" t="s">
        <v>22600</v>
      </c>
      <c r="AE1384" s="81" t="s">
        <v>23795</v>
      </c>
      <c r="AF1384" s="76">
        <v>322</v>
      </c>
      <c r="AG1384" s="76">
        <v>439</v>
      </c>
      <c r="AH1384" s="76">
        <v>8816</v>
      </c>
      <c r="AI1384" s="76">
        <v>1</v>
      </c>
      <c r="AJ1384" s="76">
        <v>2782</v>
      </c>
      <c r="AK1384" s="76">
        <v>4329</v>
      </c>
      <c r="AL1384" s="76" t="b">
        <v>0</v>
      </c>
      <c r="AM1384" s="78">
        <v>41388.089525462965</v>
      </c>
      <c r="AN1384" s="76" t="s">
        <v>24553</v>
      </c>
      <c r="AO1384" s="76" t="s">
        <v>25942</v>
      </c>
      <c r="AP1384" s="82" t="str">
        <f>HYPERLINK("https://t.co/mVVtCdRPXL")</f>
        <v>https://t.co/mVVtCdRPXL</v>
      </c>
      <c r="AQ1384" s="82" t="str">
        <f>HYPERLINK("http://www.groupcomex.com")</f>
        <v>http://www.groupcomex.com</v>
      </c>
      <c r="AR1384" s="76" t="s">
        <v>27109</v>
      </c>
      <c r="AS1384" s="76"/>
      <c r="AT1384" s="76"/>
      <c r="AU1384" s="76"/>
      <c r="AV1384" s="76"/>
      <c r="AW1384" s="82" t="str">
        <f>HYPERLINK("https://t.co/mVVtCdRPXL")</f>
        <v>https://t.co/mVVtCdRPXL</v>
      </c>
      <c r="AX1384" s="76" t="b">
        <v>0</v>
      </c>
      <c r="AY1384" s="76"/>
      <c r="AZ1384" s="76"/>
      <c r="BA1384" s="76" t="b">
        <v>0</v>
      </c>
      <c r="BB1384" s="76" t="b">
        <v>1</v>
      </c>
      <c r="BC1384" s="76" t="b">
        <v>0</v>
      </c>
      <c r="BD1384" s="76" t="b">
        <v>0</v>
      </c>
      <c r="BE1384" s="76" t="b">
        <v>1</v>
      </c>
      <c r="BF1384" s="76" t="b">
        <v>0</v>
      </c>
      <c r="BG1384" s="76" t="b">
        <v>0</v>
      </c>
      <c r="BH1384" s="82" t="str">
        <f>HYPERLINK("https://pbs.twimg.com/profile_banners/1375944788/1694177268")</f>
        <v>https://pbs.twimg.com/profile_banners/1375944788/1694177268</v>
      </c>
      <c r="BI1384" s="76"/>
      <c r="BJ1384" s="76" t="s">
        <v>27595</v>
      </c>
      <c r="BK1384" s="76" t="b">
        <v>0</v>
      </c>
      <c r="BL1384" s="76"/>
      <c r="BM1384" s="76" t="s">
        <v>66</v>
      </c>
      <c r="BN1384" s="76" t="s">
        <v>27597</v>
      </c>
      <c r="BO1384" s="82" t="str">
        <f>HYPERLINK("https://twitter.com/guidojr60")</f>
        <v>https://twitter.com/guidojr60</v>
      </c>
      <c r="BP1384" s="2"/>
    </row>
    <row r="1385" spans="1:68" x14ac:dyDescent="0.25">
      <c r="A1385" s="62" t="s">
        <v>1254</v>
      </c>
      <c r="B1385" s="63"/>
      <c r="C1385" s="63"/>
      <c r="D1385" s="64"/>
      <c r="E1385" s="66"/>
      <c r="F1385" s="103" t="str">
        <f>HYPERLINK("https://pbs.twimg.com/profile_images/1108213685779075072/jtUVACRX_normal.jpg")</f>
        <v>https://pbs.twimg.com/profile_images/1108213685779075072/jtUVACRX_normal.jpg</v>
      </c>
      <c r="G1385" s="63"/>
      <c r="H1385" s="67"/>
      <c r="I1385" s="68"/>
      <c r="J1385" s="68"/>
      <c r="K1385" s="67" t="s">
        <v>28979</v>
      </c>
      <c r="L1385" s="71"/>
      <c r="M1385" s="72"/>
      <c r="N1385" s="72"/>
      <c r="O1385" s="73"/>
      <c r="P1385" s="74"/>
      <c r="Q1385" s="74"/>
      <c r="R1385" s="87"/>
      <c r="S1385" s="87"/>
      <c r="T1385" s="87"/>
      <c r="U1385" s="87"/>
      <c r="V1385" s="48"/>
      <c r="W1385" s="48"/>
      <c r="X1385" s="48"/>
      <c r="Y1385" s="48"/>
      <c r="Z1385" s="47"/>
      <c r="AA1385" s="69">
        <v>1385</v>
      </c>
      <c r="AB1385" s="69"/>
      <c r="AC1385" s="70"/>
      <c r="AD1385" s="76" t="s">
        <v>22601</v>
      </c>
      <c r="AE1385" s="81" t="s">
        <v>21001</v>
      </c>
      <c r="AF1385" s="76">
        <v>46</v>
      </c>
      <c r="AG1385" s="76">
        <v>95</v>
      </c>
      <c r="AH1385" s="76">
        <v>126</v>
      </c>
      <c r="AI1385" s="76">
        <v>0</v>
      </c>
      <c r="AJ1385" s="76">
        <v>39</v>
      </c>
      <c r="AK1385" s="76">
        <v>2</v>
      </c>
      <c r="AL1385" s="76" t="b">
        <v>0</v>
      </c>
      <c r="AM1385" s="78">
        <v>43544.157361111109</v>
      </c>
      <c r="AN1385" s="76" t="s">
        <v>24073</v>
      </c>
      <c r="AO1385" s="76" t="s">
        <v>25943</v>
      </c>
      <c r="AP1385" s="82" t="str">
        <f>HYPERLINK("https://t.co/RKpnQDb6Ji")</f>
        <v>https://t.co/RKpnQDb6Ji</v>
      </c>
      <c r="AQ1385" s="82" t="str">
        <f>HYPERLINK("https://thinkonomics.com")</f>
        <v>https://thinkonomics.com</v>
      </c>
      <c r="AR1385" s="76" t="s">
        <v>8816</v>
      </c>
      <c r="AS1385" s="76"/>
      <c r="AT1385" s="76"/>
      <c r="AU1385" s="76"/>
      <c r="AV1385" s="76"/>
      <c r="AW1385" s="82" t="str">
        <f>HYPERLINK("https://t.co/RKpnQDb6Ji")</f>
        <v>https://t.co/RKpnQDb6Ji</v>
      </c>
      <c r="AX1385" s="76" t="b">
        <v>0</v>
      </c>
      <c r="AY1385" s="76"/>
      <c r="AZ1385" s="76"/>
      <c r="BA1385" s="76" t="b">
        <v>0</v>
      </c>
      <c r="BB1385" s="76" t="b">
        <v>1</v>
      </c>
      <c r="BC1385" s="76" t="b">
        <v>0</v>
      </c>
      <c r="BD1385" s="76" t="b">
        <v>0</v>
      </c>
      <c r="BE1385" s="76" t="b">
        <v>0</v>
      </c>
      <c r="BF1385" s="76" t="b">
        <v>0</v>
      </c>
      <c r="BG1385" s="76" t="b">
        <v>0</v>
      </c>
      <c r="BH1385" s="82" t="str">
        <f>HYPERLINK("https://pbs.twimg.com/profile_banners/1108213223898185728/1590634792")</f>
        <v>https://pbs.twimg.com/profile_banners/1108213223898185728/1590634792</v>
      </c>
      <c r="BI1385" s="76"/>
      <c r="BJ1385" s="76" t="s">
        <v>27595</v>
      </c>
      <c r="BK1385" s="76" t="b">
        <v>0</v>
      </c>
      <c r="BL1385" s="76"/>
      <c r="BM1385" s="76" t="s">
        <v>66</v>
      </c>
      <c r="BN1385" s="76" t="s">
        <v>27597</v>
      </c>
      <c r="BO1385" s="82" t="str">
        <f>HYPERLINK("https://twitter.com/thinkonomics")</f>
        <v>https://twitter.com/thinkonomics</v>
      </c>
      <c r="BP1385" s="2"/>
    </row>
    <row r="1386" spans="1:68" x14ac:dyDescent="0.25">
      <c r="A1386" s="62" t="s">
        <v>1255</v>
      </c>
      <c r="B1386" s="63"/>
      <c r="C1386" s="63"/>
      <c r="D1386" s="64"/>
      <c r="E1386" s="66"/>
      <c r="F1386" s="103" t="str">
        <f>HYPERLINK("https://pbs.twimg.com/profile_images/1692209085226135558/A1Y1hwT5_normal.jpg")</f>
        <v>https://pbs.twimg.com/profile_images/1692209085226135558/A1Y1hwT5_normal.jpg</v>
      </c>
      <c r="G1386" s="63"/>
      <c r="H1386" s="67"/>
      <c r="I1386" s="68"/>
      <c r="J1386" s="68"/>
      <c r="K1386" s="67" t="s">
        <v>28980</v>
      </c>
      <c r="L1386" s="71"/>
      <c r="M1386" s="72"/>
      <c r="N1386" s="72"/>
      <c r="O1386" s="73"/>
      <c r="P1386" s="74"/>
      <c r="Q1386" s="74"/>
      <c r="R1386" s="87"/>
      <c r="S1386" s="87"/>
      <c r="T1386" s="87"/>
      <c r="U1386" s="87"/>
      <c r="V1386" s="48"/>
      <c r="W1386" s="48"/>
      <c r="X1386" s="48"/>
      <c r="Y1386" s="48"/>
      <c r="Z1386" s="47"/>
      <c r="AA1386" s="69">
        <v>1386</v>
      </c>
      <c r="AB1386" s="69"/>
      <c r="AC1386" s="70"/>
      <c r="AD1386" s="76" t="s">
        <v>22602</v>
      </c>
      <c r="AE1386" s="81" t="s">
        <v>21002</v>
      </c>
      <c r="AF1386" s="76">
        <v>32</v>
      </c>
      <c r="AG1386" s="76">
        <v>48</v>
      </c>
      <c r="AH1386" s="76">
        <v>683</v>
      </c>
      <c r="AI1386" s="76">
        <v>0</v>
      </c>
      <c r="AJ1386" s="76">
        <v>83</v>
      </c>
      <c r="AK1386" s="76">
        <v>171</v>
      </c>
      <c r="AL1386" s="76" t="b">
        <v>0</v>
      </c>
      <c r="AM1386" s="78">
        <v>45068.921747685185</v>
      </c>
      <c r="AN1386" s="76"/>
      <c r="AO1386" s="76"/>
      <c r="AP1386" s="76"/>
      <c r="AQ1386" s="76"/>
      <c r="AR1386" s="76"/>
      <c r="AS1386" s="76"/>
      <c r="AT1386" s="76"/>
      <c r="AU1386" s="76"/>
      <c r="AV1386" s="76"/>
      <c r="AW1386" s="76"/>
      <c r="AX1386" s="76" t="b">
        <v>0</v>
      </c>
      <c r="AY1386" s="76"/>
      <c r="AZ1386" s="76"/>
      <c r="BA1386" s="76" t="b">
        <v>0</v>
      </c>
      <c r="BB1386" s="76" t="b">
        <v>1</v>
      </c>
      <c r="BC1386" s="76" t="b">
        <v>1</v>
      </c>
      <c r="BD1386" s="76" t="b">
        <v>0</v>
      </c>
      <c r="BE1386" s="76" t="b">
        <v>0</v>
      </c>
      <c r="BF1386" s="76" t="b">
        <v>0</v>
      </c>
      <c r="BG1386" s="76" t="b">
        <v>0</v>
      </c>
      <c r="BH1386" s="76"/>
      <c r="BI1386" s="76"/>
      <c r="BJ1386" s="76" t="s">
        <v>27595</v>
      </c>
      <c r="BK1386" s="76" t="b">
        <v>0</v>
      </c>
      <c r="BL1386" s="76"/>
      <c r="BM1386" s="76" t="s">
        <v>66</v>
      </c>
      <c r="BN1386" s="76" t="s">
        <v>27597</v>
      </c>
      <c r="BO1386" s="82" t="str">
        <f>HYPERLINK("https://twitter.com/panorama_rd")</f>
        <v>https://twitter.com/panorama_rd</v>
      </c>
      <c r="BP1386" s="2"/>
    </row>
    <row r="1387" spans="1:68" x14ac:dyDescent="0.25">
      <c r="A1387" s="62" t="s">
        <v>1257</v>
      </c>
      <c r="B1387" s="63"/>
      <c r="C1387" s="63"/>
      <c r="D1387" s="64"/>
      <c r="E1387" s="66"/>
      <c r="F1387" s="103" t="str">
        <f>HYPERLINK("https://pbs.twimg.com/profile_images/1707418101967450112/qxeEXdik_normal.jpg")</f>
        <v>https://pbs.twimg.com/profile_images/1707418101967450112/qxeEXdik_normal.jpg</v>
      </c>
      <c r="G1387" s="63"/>
      <c r="H1387" s="67"/>
      <c r="I1387" s="68"/>
      <c r="J1387" s="68"/>
      <c r="K1387" s="67" t="s">
        <v>28981</v>
      </c>
      <c r="L1387" s="71"/>
      <c r="M1387" s="72"/>
      <c r="N1387" s="72"/>
      <c r="O1387" s="73"/>
      <c r="P1387" s="74"/>
      <c r="Q1387" s="74"/>
      <c r="R1387" s="87"/>
      <c r="S1387" s="87"/>
      <c r="T1387" s="87"/>
      <c r="U1387" s="87"/>
      <c r="V1387" s="48"/>
      <c r="W1387" s="48"/>
      <c r="X1387" s="48"/>
      <c r="Y1387" s="48"/>
      <c r="Z1387" s="47"/>
      <c r="AA1387" s="69">
        <v>1387</v>
      </c>
      <c r="AB1387" s="69"/>
      <c r="AC1387" s="70"/>
      <c r="AD1387" s="76" t="s">
        <v>22603</v>
      </c>
      <c r="AE1387" s="81" t="s">
        <v>21004</v>
      </c>
      <c r="AF1387" s="76">
        <v>1252</v>
      </c>
      <c r="AG1387" s="76">
        <v>2187</v>
      </c>
      <c r="AH1387" s="76">
        <v>1104</v>
      </c>
      <c r="AI1387" s="76">
        <v>0</v>
      </c>
      <c r="AJ1387" s="76">
        <v>1105</v>
      </c>
      <c r="AK1387" s="76">
        <v>135</v>
      </c>
      <c r="AL1387" s="76" t="b">
        <v>0</v>
      </c>
      <c r="AM1387" s="78">
        <v>44474.851979166669</v>
      </c>
      <c r="AN1387" s="76"/>
      <c r="AO1387" s="76" t="s">
        <v>25944</v>
      </c>
      <c r="AP1387" s="76"/>
      <c r="AQ1387" s="76"/>
      <c r="AR1387" s="76"/>
      <c r="AS1387" s="76"/>
      <c r="AT1387" s="76"/>
      <c r="AU1387" s="76"/>
      <c r="AV1387" s="76">
        <v>1.6958754767350799E+18</v>
      </c>
      <c r="AW1387" s="76"/>
      <c r="AX1387" s="76" t="b">
        <v>0</v>
      </c>
      <c r="AY1387" s="76"/>
      <c r="AZ1387" s="76"/>
      <c r="BA1387" s="76" t="b">
        <v>0</v>
      </c>
      <c r="BB1387" s="76" t="b">
        <v>1</v>
      </c>
      <c r="BC1387" s="76" t="b">
        <v>1</v>
      </c>
      <c r="BD1387" s="76" t="b">
        <v>0</v>
      </c>
      <c r="BE1387" s="76" t="b">
        <v>1</v>
      </c>
      <c r="BF1387" s="76" t="b">
        <v>0</v>
      </c>
      <c r="BG1387" s="76" t="b">
        <v>0</v>
      </c>
      <c r="BH1387" s="82" t="str">
        <f>HYPERLINK("https://pbs.twimg.com/profile_banners/1445485356413947905/1695418909")</f>
        <v>https://pbs.twimg.com/profile_banners/1445485356413947905/1695418909</v>
      </c>
      <c r="BI1387" s="76"/>
      <c r="BJ1387" s="76" t="s">
        <v>27595</v>
      </c>
      <c r="BK1387" s="76" t="b">
        <v>0</v>
      </c>
      <c r="BL1387" s="76"/>
      <c r="BM1387" s="76" t="s">
        <v>66</v>
      </c>
      <c r="BN1387" s="76" t="s">
        <v>27597</v>
      </c>
      <c r="BO1387" s="82" t="str">
        <f>HYPERLINK("https://twitter.com/aleconstrucao")</f>
        <v>https://twitter.com/aleconstrucao</v>
      </c>
      <c r="BP1387" s="2"/>
    </row>
    <row r="1388" spans="1:68" x14ac:dyDescent="0.25">
      <c r="A1388" s="62" t="s">
        <v>1258</v>
      </c>
      <c r="B1388" s="63"/>
      <c r="C1388" s="63"/>
      <c r="D1388" s="64"/>
      <c r="E1388" s="66"/>
      <c r="F1388" s="103" t="str">
        <f>HYPERLINK("https://pbs.twimg.com/profile_images/456442103363403779/4CSBuYaM_normal.jpeg")</f>
        <v>https://pbs.twimg.com/profile_images/456442103363403779/4CSBuYaM_normal.jpeg</v>
      </c>
      <c r="G1388" s="63"/>
      <c r="H1388" s="67"/>
      <c r="I1388" s="68"/>
      <c r="J1388" s="68"/>
      <c r="K1388" s="67" t="s">
        <v>28982</v>
      </c>
      <c r="L1388" s="71"/>
      <c r="M1388" s="72"/>
      <c r="N1388" s="72"/>
      <c r="O1388" s="73"/>
      <c r="P1388" s="74"/>
      <c r="Q1388" s="74"/>
      <c r="R1388" s="87"/>
      <c r="S1388" s="87"/>
      <c r="T1388" s="87"/>
      <c r="U1388" s="87"/>
      <c r="V1388" s="48"/>
      <c r="W1388" s="48"/>
      <c r="X1388" s="48"/>
      <c r="Y1388" s="48"/>
      <c r="Z1388" s="47"/>
      <c r="AA1388" s="69">
        <v>1388</v>
      </c>
      <c r="AB1388" s="69"/>
      <c r="AC1388" s="70"/>
      <c r="AD1388" s="76" t="s">
        <v>22604</v>
      </c>
      <c r="AE1388" s="81" t="s">
        <v>23796</v>
      </c>
      <c r="AF1388" s="76">
        <v>1578</v>
      </c>
      <c r="AG1388" s="76">
        <v>4467</v>
      </c>
      <c r="AH1388" s="76">
        <v>36536</v>
      </c>
      <c r="AI1388" s="76">
        <v>7</v>
      </c>
      <c r="AJ1388" s="76">
        <v>73490</v>
      </c>
      <c r="AK1388" s="76">
        <v>2723</v>
      </c>
      <c r="AL1388" s="76" t="b">
        <v>0</v>
      </c>
      <c r="AM1388" s="78">
        <v>41745.606041666666</v>
      </c>
      <c r="AN1388" s="76"/>
      <c r="AO1388" s="76" t="s">
        <v>25945</v>
      </c>
      <c r="AP1388" s="76"/>
      <c r="AQ1388" s="76"/>
      <c r="AR1388" s="76"/>
      <c r="AS1388" s="76"/>
      <c r="AT1388" s="76"/>
      <c r="AU1388" s="76"/>
      <c r="AV1388" s="76">
        <v>1.7072034093616399E+18</v>
      </c>
      <c r="AW1388" s="76"/>
      <c r="AX1388" s="76" t="b">
        <v>0</v>
      </c>
      <c r="AY1388" s="76"/>
      <c r="AZ1388" s="76"/>
      <c r="BA1388" s="76" t="b">
        <v>0</v>
      </c>
      <c r="BB1388" s="76" t="b">
        <v>1</v>
      </c>
      <c r="BC1388" s="76" t="b">
        <v>0</v>
      </c>
      <c r="BD1388" s="76" t="b">
        <v>0</v>
      </c>
      <c r="BE1388" s="76" t="b">
        <v>1</v>
      </c>
      <c r="BF1388" s="76" t="b">
        <v>0</v>
      </c>
      <c r="BG1388" s="76" t="b">
        <v>0</v>
      </c>
      <c r="BH1388" s="76"/>
      <c r="BI1388" s="76"/>
      <c r="BJ1388" s="76" t="s">
        <v>27595</v>
      </c>
      <c r="BK1388" s="76" t="b">
        <v>0</v>
      </c>
      <c r="BL1388" s="76"/>
      <c r="BM1388" s="76" t="s">
        <v>66</v>
      </c>
      <c r="BN1388" s="76" t="s">
        <v>27597</v>
      </c>
      <c r="BO1388" s="82" t="str">
        <f>HYPERLINK("https://twitter.com/gorfo_verdades")</f>
        <v>https://twitter.com/gorfo_verdades</v>
      </c>
      <c r="BP1388" s="2"/>
    </row>
    <row r="1389" spans="1:68" x14ac:dyDescent="0.25">
      <c r="A1389" s="62" t="s">
        <v>1259</v>
      </c>
      <c r="B1389" s="63"/>
      <c r="C1389" s="63"/>
      <c r="D1389" s="64"/>
      <c r="E1389" s="66"/>
      <c r="F1389" s="103" t="str">
        <f>HYPERLINK("https://pbs.twimg.com/profile_images/1663945205458796546/dqJkTiVC_normal.jpg")</f>
        <v>https://pbs.twimg.com/profile_images/1663945205458796546/dqJkTiVC_normal.jpg</v>
      </c>
      <c r="G1389" s="63"/>
      <c r="H1389" s="67"/>
      <c r="I1389" s="68"/>
      <c r="J1389" s="68"/>
      <c r="K1389" s="67" t="s">
        <v>28983</v>
      </c>
      <c r="L1389" s="71"/>
      <c r="M1389" s="72"/>
      <c r="N1389" s="72"/>
      <c r="O1389" s="73"/>
      <c r="P1389" s="74"/>
      <c r="Q1389" s="74"/>
      <c r="R1389" s="87"/>
      <c r="S1389" s="87"/>
      <c r="T1389" s="87"/>
      <c r="U1389" s="87"/>
      <c r="V1389" s="48"/>
      <c r="W1389" s="48"/>
      <c r="X1389" s="48"/>
      <c r="Y1389" s="48"/>
      <c r="Z1389" s="47"/>
      <c r="AA1389" s="69">
        <v>1389</v>
      </c>
      <c r="AB1389" s="69"/>
      <c r="AC1389" s="70"/>
      <c r="AD1389" s="76" t="s">
        <v>22605</v>
      </c>
      <c r="AE1389" s="81" t="s">
        <v>21005</v>
      </c>
      <c r="AF1389" s="76">
        <v>4</v>
      </c>
      <c r="AG1389" s="76">
        <v>32</v>
      </c>
      <c r="AH1389" s="76">
        <v>25</v>
      </c>
      <c r="AI1389" s="76">
        <v>0</v>
      </c>
      <c r="AJ1389" s="76">
        <v>4</v>
      </c>
      <c r="AK1389" s="76">
        <v>8</v>
      </c>
      <c r="AL1389" s="76" t="b">
        <v>0</v>
      </c>
      <c r="AM1389" s="78">
        <v>45077.685254629629</v>
      </c>
      <c r="AN1389" s="76" t="s">
        <v>24114</v>
      </c>
      <c r="AO1389" s="76" t="s">
        <v>25946</v>
      </c>
      <c r="AP1389" s="82" t="str">
        <f>HYPERLINK("https://t.co/O1WUt5t4Ld")</f>
        <v>https://t.co/O1WUt5t4Ld</v>
      </c>
      <c r="AQ1389" s="82" t="str">
        <f>HYPERLINK("http://www.intradecapital.com.ar")</f>
        <v>http://www.intradecapital.com.ar</v>
      </c>
      <c r="AR1389" s="76" t="s">
        <v>27110</v>
      </c>
      <c r="AS1389" s="76"/>
      <c r="AT1389" s="76"/>
      <c r="AU1389" s="76"/>
      <c r="AV1389" s="76"/>
      <c r="AW1389" s="82" t="str">
        <f>HYPERLINK("https://t.co/O1WUt5t4Ld")</f>
        <v>https://t.co/O1WUt5t4Ld</v>
      </c>
      <c r="AX1389" s="76" t="b">
        <v>0</v>
      </c>
      <c r="AY1389" s="76"/>
      <c r="AZ1389" s="76"/>
      <c r="BA1389" s="76" t="b">
        <v>0</v>
      </c>
      <c r="BB1389" s="76" t="b">
        <v>0</v>
      </c>
      <c r="BC1389" s="76" t="b">
        <v>1</v>
      </c>
      <c r="BD1389" s="76" t="b">
        <v>0</v>
      </c>
      <c r="BE1389" s="76" t="b">
        <v>0</v>
      </c>
      <c r="BF1389" s="76" t="b">
        <v>0</v>
      </c>
      <c r="BG1389" s="76" t="b">
        <v>0</v>
      </c>
      <c r="BH1389" s="82" t="str">
        <f>HYPERLINK("https://pbs.twimg.com/profile_banners/1663945075129188360/1685550822")</f>
        <v>https://pbs.twimg.com/profile_banners/1663945075129188360/1685550822</v>
      </c>
      <c r="BI1389" s="76"/>
      <c r="BJ1389" s="76" t="s">
        <v>27595</v>
      </c>
      <c r="BK1389" s="76" t="b">
        <v>0</v>
      </c>
      <c r="BL1389" s="76"/>
      <c r="BM1389" s="76" t="s">
        <v>66</v>
      </c>
      <c r="BN1389" s="76" t="s">
        <v>27597</v>
      </c>
      <c r="BO1389" s="82" t="str">
        <f>HYPERLINK("https://twitter.com/intradecapital1")</f>
        <v>https://twitter.com/intradecapital1</v>
      </c>
      <c r="BP1389" s="2"/>
    </row>
    <row r="1390" spans="1:68" x14ac:dyDescent="0.25">
      <c r="A1390" s="62" t="s">
        <v>1260</v>
      </c>
      <c r="B1390" s="63"/>
      <c r="C1390" s="63"/>
      <c r="D1390" s="64"/>
      <c r="E1390" s="66"/>
      <c r="F1390" s="103" t="str">
        <f>HYPERLINK("https://abs.twimg.com/sticky/default_profile_images/default_profile_normal.png")</f>
        <v>https://abs.twimg.com/sticky/default_profile_images/default_profile_normal.png</v>
      </c>
      <c r="G1390" s="63"/>
      <c r="H1390" s="67"/>
      <c r="I1390" s="68"/>
      <c r="J1390" s="68"/>
      <c r="K1390" s="67" t="s">
        <v>28984</v>
      </c>
      <c r="L1390" s="71"/>
      <c r="M1390" s="72"/>
      <c r="N1390" s="72"/>
      <c r="O1390" s="73"/>
      <c r="P1390" s="74"/>
      <c r="Q1390" s="74"/>
      <c r="R1390" s="87"/>
      <c r="S1390" s="87"/>
      <c r="T1390" s="87"/>
      <c r="U1390" s="87"/>
      <c r="V1390" s="48"/>
      <c r="W1390" s="48"/>
      <c r="X1390" s="48"/>
      <c r="Y1390" s="48"/>
      <c r="Z1390" s="47"/>
      <c r="AA1390" s="69">
        <v>1390</v>
      </c>
      <c r="AB1390" s="69"/>
      <c r="AC1390" s="70"/>
      <c r="AD1390" s="76" t="s">
        <v>22606</v>
      </c>
      <c r="AE1390" s="81" t="s">
        <v>23797</v>
      </c>
      <c r="AF1390" s="76">
        <v>55</v>
      </c>
      <c r="AG1390" s="76">
        <v>44</v>
      </c>
      <c r="AH1390" s="76">
        <v>28856</v>
      </c>
      <c r="AI1390" s="76">
        <v>0</v>
      </c>
      <c r="AJ1390" s="76">
        <v>1516</v>
      </c>
      <c r="AK1390" s="76">
        <v>32</v>
      </c>
      <c r="AL1390" s="76" t="b">
        <v>0</v>
      </c>
      <c r="AM1390" s="78">
        <v>41601.870416666665</v>
      </c>
      <c r="AN1390" s="76"/>
      <c r="AO1390" s="76"/>
      <c r="AP1390" s="76"/>
      <c r="AQ1390" s="76"/>
      <c r="AR1390" s="76"/>
      <c r="AS1390" s="76"/>
      <c r="AT1390" s="76"/>
      <c r="AU1390" s="76"/>
      <c r="AV1390" s="76"/>
      <c r="AW1390" s="76"/>
      <c r="AX1390" s="76" t="b">
        <v>0</v>
      </c>
      <c r="AY1390" s="76"/>
      <c r="AZ1390" s="76"/>
      <c r="BA1390" s="76" t="b">
        <v>0</v>
      </c>
      <c r="BB1390" s="76" t="b">
        <v>1</v>
      </c>
      <c r="BC1390" s="76" t="b">
        <v>1</v>
      </c>
      <c r="BD1390" s="76" t="b">
        <v>1</v>
      </c>
      <c r="BE1390" s="76" t="b">
        <v>1</v>
      </c>
      <c r="BF1390" s="76" t="b">
        <v>0</v>
      </c>
      <c r="BG1390" s="76" t="b">
        <v>1</v>
      </c>
      <c r="BH1390" s="76"/>
      <c r="BI1390" s="76"/>
      <c r="BJ1390" s="76" t="s">
        <v>27595</v>
      </c>
      <c r="BK1390" s="76" t="b">
        <v>0</v>
      </c>
      <c r="BL1390" s="76"/>
      <c r="BM1390" s="76" t="s">
        <v>66</v>
      </c>
      <c r="BN1390" s="76" t="s">
        <v>27597</v>
      </c>
      <c r="BO1390" s="82" t="str">
        <f>HYPERLINK("https://twitter.com/joses221965")</f>
        <v>https://twitter.com/joses221965</v>
      </c>
      <c r="BP1390" s="2"/>
    </row>
    <row r="1391" spans="1:68" x14ac:dyDescent="0.25">
      <c r="A1391" s="62" t="s">
        <v>1261</v>
      </c>
      <c r="B1391" s="63"/>
      <c r="C1391" s="63"/>
      <c r="D1391" s="64"/>
      <c r="E1391" s="66"/>
      <c r="F1391" s="103" t="str">
        <f>HYPERLINK("https://pbs.twimg.com/profile_images/1677275777631416326/KA-PslZw_normal.jpg")</f>
        <v>https://pbs.twimg.com/profile_images/1677275777631416326/KA-PslZw_normal.jpg</v>
      </c>
      <c r="G1391" s="63"/>
      <c r="H1391" s="67"/>
      <c r="I1391" s="68"/>
      <c r="J1391" s="68"/>
      <c r="K1391" s="67" t="s">
        <v>28985</v>
      </c>
      <c r="L1391" s="71"/>
      <c r="M1391" s="72"/>
      <c r="N1391" s="72"/>
      <c r="O1391" s="73"/>
      <c r="P1391" s="74"/>
      <c r="Q1391" s="74"/>
      <c r="R1391" s="87"/>
      <c r="S1391" s="87"/>
      <c r="T1391" s="87"/>
      <c r="U1391" s="87"/>
      <c r="V1391" s="48"/>
      <c r="W1391" s="48"/>
      <c r="X1391" s="48"/>
      <c r="Y1391" s="48"/>
      <c r="Z1391" s="47"/>
      <c r="AA1391" s="69">
        <v>1391</v>
      </c>
      <c r="AB1391" s="69"/>
      <c r="AC1391" s="70"/>
      <c r="AD1391" s="76" t="s">
        <v>22607</v>
      </c>
      <c r="AE1391" s="81" t="s">
        <v>23798</v>
      </c>
      <c r="AF1391" s="76">
        <v>22</v>
      </c>
      <c r="AG1391" s="76">
        <v>51</v>
      </c>
      <c r="AH1391" s="76">
        <v>783</v>
      </c>
      <c r="AI1391" s="76">
        <v>0</v>
      </c>
      <c r="AJ1391" s="76">
        <v>968</v>
      </c>
      <c r="AK1391" s="76">
        <v>125</v>
      </c>
      <c r="AL1391" s="76" t="b">
        <v>0</v>
      </c>
      <c r="AM1391" s="78">
        <v>41470.476423611108</v>
      </c>
      <c r="AN1391" s="76" t="s">
        <v>24554</v>
      </c>
      <c r="AO1391" s="76" t="s">
        <v>25947</v>
      </c>
      <c r="AP1391" s="82" t="str">
        <f>HYPERLINK("https://t.co/pZELZVOy2v")</f>
        <v>https://t.co/pZELZVOy2v</v>
      </c>
      <c r="AQ1391" s="82" t="str">
        <f>HYPERLINK("http://www.omegaeducation.com")</f>
        <v>http://www.omegaeducation.com</v>
      </c>
      <c r="AR1391" s="76" t="s">
        <v>27111</v>
      </c>
      <c r="AS1391" s="76"/>
      <c r="AT1391" s="76"/>
      <c r="AU1391" s="76"/>
      <c r="AV1391" s="76">
        <v>1.03352636747911E+18</v>
      </c>
      <c r="AW1391" s="82" t="str">
        <f>HYPERLINK("https://t.co/pZELZVOy2v")</f>
        <v>https://t.co/pZELZVOy2v</v>
      </c>
      <c r="AX1391" s="76" t="b">
        <v>0</v>
      </c>
      <c r="AY1391" s="76"/>
      <c r="AZ1391" s="76"/>
      <c r="BA1391" s="76" t="b">
        <v>0</v>
      </c>
      <c r="BB1391" s="76" t="b">
        <v>1</v>
      </c>
      <c r="BC1391" s="76" t="b">
        <v>0</v>
      </c>
      <c r="BD1391" s="76" t="b">
        <v>0</v>
      </c>
      <c r="BE1391" s="76" t="b">
        <v>1</v>
      </c>
      <c r="BF1391" s="76" t="b">
        <v>0</v>
      </c>
      <c r="BG1391" s="76" t="b">
        <v>0</v>
      </c>
      <c r="BH1391" s="82" t="str">
        <f>HYPERLINK("https://pbs.twimg.com/profile_banners/1595648917/1688728730")</f>
        <v>https://pbs.twimg.com/profile_banners/1595648917/1688728730</v>
      </c>
      <c r="BI1391" s="76"/>
      <c r="BJ1391" s="76" t="s">
        <v>27595</v>
      </c>
      <c r="BK1391" s="76" t="b">
        <v>0</v>
      </c>
      <c r="BL1391" s="76"/>
      <c r="BM1391" s="76" t="s">
        <v>66</v>
      </c>
      <c r="BN1391" s="76" t="s">
        <v>27597</v>
      </c>
      <c r="BO1391" s="82" t="str">
        <f>HYPERLINK("https://twitter.com/matheuscdesales")</f>
        <v>https://twitter.com/matheuscdesales</v>
      </c>
      <c r="BP1391" s="2"/>
    </row>
    <row r="1392" spans="1:68" x14ac:dyDescent="0.25">
      <c r="A1392" s="62" t="s">
        <v>1262</v>
      </c>
      <c r="B1392" s="63"/>
      <c r="C1392" s="63"/>
      <c r="D1392" s="64"/>
      <c r="E1392" s="66"/>
      <c r="F1392" s="103" t="str">
        <f>HYPERLINK("https://pbs.twimg.com/profile_images/1383928783506350082/v2qESkcZ_normal.jpg")</f>
        <v>https://pbs.twimg.com/profile_images/1383928783506350082/v2qESkcZ_normal.jpg</v>
      </c>
      <c r="G1392" s="63"/>
      <c r="H1392" s="67"/>
      <c r="I1392" s="68"/>
      <c r="J1392" s="68"/>
      <c r="K1392" s="67" t="s">
        <v>28986</v>
      </c>
      <c r="L1392" s="71"/>
      <c r="M1392" s="72"/>
      <c r="N1392" s="72"/>
      <c r="O1392" s="73"/>
      <c r="P1392" s="74"/>
      <c r="Q1392" s="74"/>
      <c r="R1392" s="87"/>
      <c r="S1392" s="87"/>
      <c r="T1392" s="87"/>
      <c r="U1392" s="87"/>
      <c r="V1392" s="48"/>
      <c r="W1392" s="48"/>
      <c r="X1392" s="48"/>
      <c r="Y1392" s="48"/>
      <c r="Z1392" s="47"/>
      <c r="AA1392" s="69">
        <v>1392</v>
      </c>
      <c r="AB1392" s="69"/>
      <c r="AC1392" s="70"/>
      <c r="AD1392" s="76" t="s">
        <v>22608</v>
      </c>
      <c r="AE1392" s="81" t="s">
        <v>23799</v>
      </c>
      <c r="AF1392" s="76">
        <v>35783</v>
      </c>
      <c r="AG1392" s="76">
        <v>27932</v>
      </c>
      <c r="AH1392" s="76">
        <v>107005</v>
      </c>
      <c r="AI1392" s="76">
        <v>156</v>
      </c>
      <c r="AJ1392" s="76">
        <v>858</v>
      </c>
      <c r="AK1392" s="76">
        <v>28113</v>
      </c>
      <c r="AL1392" s="76" t="b">
        <v>0</v>
      </c>
      <c r="AM1392" s="78">
        <v>40149.157164351855</v>
      </c>
      <c r="AN1392" s="76"/>
      <c r="AO1392" s="76" t="s">
        <v>25948</v>
      </c>
      <c r="AP1392" s="82" t="str">
        <f>HYPERLINK("https://t.co/71eY84ELSz")</f>
        <v>https://t.co/71eY84ELSz</v>
      </c>
      <c r="AQ1392" s="82" t="str">
        <f>HYPERLINK("http://www.MinutoYa.com")</f>
        <v>http://www.MinutoYa.com</v>
      </c>
      <c r="AR1392" s="76" t="s">
        <v>27112</v>
      </c>
      <c r="AS1392" s="76" t="s">
        <v>27392</v>
      </c>
      <c r="AT1392" s="76" t="s">
        <v>27431</v>
      </c>
      <c r="AU1392" s="76" t="s">
        <v>27543</v>
      </c>
      <c r="AV1392" s="76"/>
      <c r="AW1392" s="82" t="str">
        <f>HYPERLINK("https://t.co/71eY84ELSz")</f>
        <v>https://t.co/71eY84ELSz</v>
      </c>
      <c r="AX1392" s="76" t="b">
        <v>1</v>
      </c>
      <c r="AY1392" s="76"/>
      <c r="AZ1392" s="76"/>
      <c r="BA1392" s="76" t="b">
        <v>1</v>
      </c>
      <c r="BB1392" s="76" t="b">
        <v>1</v>
      </c>
      <c r="BC1392" s="76" t="b">
        <v>0</v>
      </c>
      <c r="BD1392" s="76" t="b">
        <v>0</v>
      </c>
      <c r="BE1392" s="76" t="b">
        <v>1</v>
      </c>
      <c r="BF1392" s="76" t="b">
        <v>0</v>
      </c>
      <c r="BG1392" s="76" t="b">
        <v>0</v>
      </c>
      <c r="BH1392" s="82" t="str">
        <f>HYPERLINK("https://pbs.twimg.com/profile_banners/94013928/1644091219")</f>
        <v>https://pbs.twimg.com/profile_banners/94013928/1644091219</v>
      </c>
      <c r="BI1392" s="76"/>
      <c r="BJ1392" s="76" t="s">
        <v>27595</v>
      </c>
      <c r="BK1392" s="76" t="b">
        <v>0</v>
      </c>
      <c r="BL1392" s="76"/>
      <c r="BM1392" s="76" t="s">
        <v>66</v>
      </c>
      <c r="BN1392" s="76" t="s">
        <v>27597</v>
      </c>
      <c r="BO1392" s="82" t="str">
        <f>HYPERLINK("https://twitter.com/minutoya")</f>
        <v>https://twitter.com/minutoya</v>
      </c>
      <c r="BP1392" s="2"/>
    </row>
    <row r="1393" spans="1:68" x14ac:dyDescent="0.25">
      <c r="A1393" s="62" t="s">
        <v>1263</v>
      </c>
      <c r="B1393" s="63"/>
      <c r="C1393" s="63"/>
      <c r="D1393" s="64"/>
      <c r="E1393" s="66"/>
      <c r="F1393" s="103" t="str">
        <f>HYPERLINK("https://pbs.twimg.com/profile_images/1564733660200304641/nd1SJfju_normal.jpg")</f>
        <v>https://pbs.twimg.com/profile_images/1564733660200304641/nd1SJfju_normal.jpg</v>
      </c>
      <c r="G1393" s="63"/>
      <c r="H1393" s="67"/>
      <c r="I1393" s="68"/>
      <c r="J1393" s="68"/>
      <c r="K1393" s="67" t="s">
        <v>28987</v>
      </c>
      <c r="L1393" s="71"/>
      <c r="M1393" s="72"/>
      <c r="N1393" s="72"/>
      <c r="O1393" s="73"/>
      <c r="P1393" s="74"/>
      <c r="Q1393" s="74"/>
      <c r="R1393" s="87"/>
      <c r="S1393" s="87"/>
      <c r="T1393" s="87"/>
      <c r="U1393" s="87"/>
      <c r="V1393" s="48"/>
      <c r="W1393" s="48"/>
      <c r="X1393" s="48"/>
      <c r="Y1393" s="48"/>
      <c r="Z1393" s="47"/>
      <c r="AA1393" s="69">
        <v>1393</v>
      </c>
      <c r="AB1393" s="69"/>
      <c r="AC1393" s="70"/>
      <c r="AD1393" s="81" t="s">
        <v>22609</v>
      </c>
      <c r="AE1393" s="81" t="s">
        <v>21006</v>
      </c>
      <c r="AF1393" s="76">
        <v>2547</v>
      </c>
      <c r="AG1393" s="76">
        <v>1625</v>
      </c>
      <c r="AH1393" s="76">
        <v>4318</v>
      </c>
      <c r="AI1393" s="76">
        <v>1</v>
      </c>
      <c r="AJ1393" s="76">
        <v>8103</v>
      </c>
      <c r="AK1393" s="76">
        <v>920</v>
      </c>
      <c r="AL1393" s="76" t="b">
        <v>0</v>
      </c>
      <c r="AM1393" s="78">
        <v>44708.988657407404</v>
      </c>
      <c r="AN1393" s="76"/>
      <c r="AO1393" s="76" t="s">
        <v>25949</v>
      </c>
      <c r="AP1393" s="82" t="str">
        <f>HYPERLINK("https://t.co/LLbEyDLr7f")</f>
        <v>https://t.co/LLbEyDLr7f</v>
      </c>
      <c r="AQ1393" s="82" t="str">
        <f>HYPERLINK("http://PayPal.me/licmarcedalviameet")</f>
        <v>http://PayPal.me/licmarcedalviameet</v>
      </c>
      <c r="AR1393" s="76" t="s">
        <v>27113</v>
      </c>
      <c r="AS1393" s="76"/>
      <c r="AT1393" s="76"/>
      <c r="AU1393" s="76"/>
      <c r="AV1393" s="76"/>
      <c r="AW1393" s="82" t="str">
        <f>HYPERLINK("https://t.co/LLbEyDLr7f")</f>
        <v>https://t.co/LLbEyDLr7f</v>
      </c>
      <c r="AX1393" s="76" t="b">
        <v>1</v>
      </c>
      <c r="AY1393" s="76"/>
      <c r="AZ1393" s="76"/>
      <c r="BA1393" s="76" t="b">
        <v>0</v>
      </c>
      <c r="BB1393" s="76" t="b">
        <v>0</v>
      </c>
      <c r="BC1393" s="76" t="b">
        <v>1</v>
      </c>
      <c r="BD1393" s="76" t="b">
        <v>0</v>
      </c>
      <c r="BE1393" s="76" t="b">
        <v>0</v>
      </c>
      <c r="BF1393" s="76" t="b">
        <v>0</v>
      </c>
      <c r="BG1393" s="76" t="b">
        <v>1</v>
      </c>
      <c r="BH1393" s="82" t="str">
        <f>HYPERLINK("https://pbs.twimg.com/profile_banners/1530333851834261508/1654700875")</f>
        <v>https://pbs.twimg.com/profile_banners/1530333851834261508/1654700875</v>
      </c>
      <c r="BI1393" s="76"/>
      <c r="BJ1393" s="76" t="s">
        <v>27595</v>
      </c>
      <c r="BK1393" s="76" t="b">
        <v>0</v>
      </c>
      <c r="BL1393" s="76"/>
      <c r="BM1393" s="76" t="s">
        <v>66</v>
      </c>
      <c r="BN1393" s="76" t="s">
        <v>27597</v>
      </c>
      <c r="BO1393" s="82" t="str">
        <f>HYPERLINK("https://twitter.com/haceoirtuvoz")</f>
        <v>https://twitter.com/haceoirtuvoz</v>
      </c>
      <c r="BP1393" s="2"/>
    </row>
    <row r="1394" spans="1:68" x14ac:dyDescent="0.25">
      <c r="A1394" s="62" t="s">
        <v>2005</v>
      </c>
      <c r="B1394" s="63"/>
      <c r="C1394" s="63"/>
      <c r="D1394" s="64"/>
      <c r="E1394" s="66"/>
      <c r="F1394" s="103" t="str">
        <f>HYPERLINK("https://pbs.twimg.com/profile_images/1169210025446973449/-z3tAdmT_normal.jpg")</f>
        <v>https://pbs.twimg.com/profile_images/1169210025446973449/-z3tAdmT_normal.jpg</v>
      </c>
      <c r="G1394" s="63"/>
      <c r="H1394" s="67"/>
      <c r="I1394" s="68"/>
      <c r="J1394" s="68"/>
      <c r="K1394" s="67" t="s">
        <v>28988</v>
      </c>
      <c r="L1394" s="71"/>
      <c r="M1394" s="72"/>
      <c r="N1394" s="72"/>
      <c r="O1394" s="73"/>
      <c r="P1394" s="74"/>
      <c r="Q1394" s="74"/>
      <c r="R1394" s="87"/>
      <c r="S1394" s="87"/>
      <c r="T1394" s="87"/>
      <c r="U1394" s="87"/>
      <c r="V1394" s="48"/>
      <c r="W1394" s="48"/>
      <c r="X1394" s="48"/>
      <c r="Y1394" s="48"/>
      <c r="Z1394" s="47"/>
      <c r="AA1394" s="69">
        <v>1394</v>
      </c>
      <c r="AB1394" s="69"/>
      <c r="AC1394" s="70"/>
      <c r="AD1394" s="76" t="s">
        <v>22610</v>
      </c>
      <c r="AE1394" s="81" t="s">
        <v>20338</v>
      </c>
      <c r="AF1394" s="76">
        <v>8483</v>
      </c>
      <c r="AG1394" s="76">
        <v>7840</v>
      </c>
      <c r="AH1394" s="76">
        <v>14777</v>
      </c>
      <c r="AI1394" s="76">
        <v>4</v>
      </c>
      <c r="AJ1394" s="76">
        <v>5716</v>
      </c>
      <c r="AK1394" s="76">
        <v>450</v>
      </c>
      <c r="AL1394" s="76" t="b">
        <v>0</v>
      </c>
      <c r="AM1394" s="78">
        <v>43711.996446759258</v>
      </c>
      <c r="AN1394" s="76" t="s">
        <v>24114</v>
      </c>
      <c r="AO1394" s="76" t="s">
        <v>25950</v>
      </c>
      <c r="AP1394" s="76"/>
      <c r="AQ1394" s="76"/>
      <c r="AR1394" s="76"/>
      <c r="AS1394" s="76"/>
      <c r="AT1394" s="76"/>
      <c r="AU1394" s="76"/>
      <c r="AV1394" s="76"/>
      <c r="AW1394" s="76"/>
      <c r="AX1394" s="76" t="b">
        <v>0</v>
      </c>
      <c r="AY1394" s="76"/>
      <c r="AZ1394" s="76"/>
      <c r="BA1394" s="76" t="b">
        <v>0</v>
      </c>
      <c r="BB1394" s="76" t="b">
        <v>0</v>
      </c>
      <c r="BC1394" s="76" t="b">
        <v>1</v>
      </c>
      <c r="BD1394" s="76" t="b">
        <v>0</v>
      </c>
      <c r="BE1394" s="76" t="b">
        <v>1</v>
      </c>
      <c r="BF1394" s="76" t="b">
        <v>0</v>
      </c>
      <c r="BG1394" s="76" t="b">
        <v>0</v>
      </c>
      <c r="BH1394" s="82" t="str">
        <f>HYPERLINK("https://pbs.twimg.com/profile_banners/1169035955166224384/1569585419")</f>
        <v>https://pbs.twimg.com/profile_banners/1169035955166224384/1569585419</v>
      </c>
      <c r="BI1394" s="76"/>
      <c r="BJ1394" s="76" t="s">
        <v>27595</v>
      </c>
      <c r="BK1394" s="76" t="b">
        <v>0</v>
      </c>
      <c r="BL1394" s="76"/>
      <c r="BM1394" s="76" t="s">
        <v>65</v>
      </c>
      <c r="BN1394" s="76" t="s">
        <v>27597</v>
      </c>
      <c r="BO1394" s="82" t="str">
        <f>HYPERLINK("https://twitter.com/escuderol5")</f>
        <v>https://twitter.com/escuderol5</v>
      </c>
      <c r="BP1394" s="2"/>
    </row>
    <row r="1395" spans="1:68" x14ac:dyDescent="0.25">
      <c r="A1395" s="62" t="s">
        <v>1264</v>
      </c>
      <c r="B1395" s="63"/>
      <c r="C1395" s="63"/>
      <c r="D1395" s="64"/>
      <c r="E1395" s="66"/>
      <c r="F1395" s="103" t="str">
        <f>HYPERLINK("https://pbs.twimg.com/profile_images/1598793885735690253/_g-0aTFt_normal.jpg")</f>
        <v>https://pbs.twimg.com/profile_images/1598793885735690253/_g-0aTFt_normal.jpg</v>
      </c>
      <c r="G1395" s="63"/>
      <c r="H1395" s="67"/>
      <c r="I1395" s="68"/>
      <c r="J1395" s="68"/>
      <c r="K1395" s="67" t="s">
        <v>28989</v>
      </c>
      <c r="L1395" s="71"/>
      <c r="M1395" s="72"/>
      <c r="N1395" s="72"/>
      <c r="O1395" s="73"/>
      <c r="P1395" s="74"/>
      <c r="Q1395" s="74"/>
      <c r="R1395" s="87"/>
      <c r="S1395" s="87"/>
      <c r="T1395" s="87"/>
      <c r="U1395" s="87"/>
      <c r="V1395" s="48"/>
      <c r="W1395" s="48"/>
      <c r="X1395" s="48"/>
      <c r="Y1395" s="48"/>
      <c r="Z1395" s="47"/>
      <c r="AA1395" s="69">
        <v>1395</v>
      </c>
      <c r="AB1395" s="69"/>
      <c r="AC1395" s="70"/>
      <c r="AD1395" s="76" t="s">
        <v>22611</v>
      </c>
      <c r="AE1395" s="81" t="s">
        <v>23800</v>
      </c>
      <c r="AF1395" s="76">
        <v>273916</v>
      </c>
      <c r="AG1395" s="76">
        <v>21</v>
      </c>
      <c r="AH1395" s="76">
        <v>177908</v>
      </c>
      <c r="AI1395" s="76">
        <v>290</v>
      </c>
      <c r="AJ1395" s="76">
        <v>2311</v>
      </c>
      <c r="AK1395" s="76">
        <v>61771</v>
      </c>
      <c r="AL1395" s="76" t="b">
        <v>0</v>
      </c>
      <c r="AM1395" s="78">
        <v>40309.926979166667</v>
      </c>
      <c r="AN1395" s="76" t="s">
        <v>24555</v>
      </c>
      <c r="AO1395" s="76" t="s">
        <v>25951</v>
      </c>
      <c r="AP1395" s="82" t="str">
        <f>HYPERLINK("https://t.co/e3Ka2nz6EM")</f>
        <v>https://t.co/e3Ka2nz6EM</v>
      </c>
      <c r="AQ1395" s="82" t="str">
        <f>HYPERLINK("http://www.ne10.com.br/")</f>
        <v>http://www.ne10.com.br/</v>
      </c>
      <c r="AR1395" s="76" t="s">
        <v>27114</v>
      </c>
      <c r="AS1395" s="76"/>
      <c r="AT1395" s="76"/>
      <c r="AU1395" s="76"/>
      <c r="AV1395" s="76"/>
      <c r="AW1395" s="82" t="str">
        <f>HYPERLINK("https://t.co/e3Ka2nz6EM")</f>
        <v>https://t.co/e3Ka2nz6EM</v>
      </c>
      <c r="AX1395" s="76" t="b">
        <v>0</v>
      </c>
      <c r="AY1395" s="76"/>
      <c r="AZ1395" s="76"/>
      <c r="BA1395" s="76" t="b">
        <v>0</v>
      </c>
      <c r="BB1395" s="76" t="b">
        <v>1</v>
      </c>
      <c r="BC1395" s="76" t="b">
        <v>0</v>
      </c>
      <c r="BD1395" s="76" t="b">
        <v>0</v>
      </c>
      <c r="BE1395" s="76" t="b">
        <v>1</v>
      </c>
      <c r="BF1395" s="76" t="b">
        <v>0</v>
      </c>
      <c r="BG1395" s="76" t="b">
        <v>0</v>
      </c>
      <c r="BH1395" s="82" t="str">
        <f>HYPERLINK("https://pbs.twimg.com/profile_banners/142835897/1463680286")</f>
        <v>https://pbs.twimg.com/profile_banners/142835897/1463680286</v>
      </c>
      <c r="BI1395" s="76"/>
      <c r="BJ1395" s="76" t="s">
        <v>27595</v>
      </c>
      <c r="BK1395" s="76" t="b">
        <v>0</v>
      </c>
      <c r="BL1395" s="76"/>
      <c r="BM1395" s="76" t="s">
        <v>66</v>
      </c>
      <c r="BN1395" s="76" t="s">
        <v>27597</v>
      </c>
      <c r="BO1395" s="82" t="str">
        <f>HYPERLINK("https://twitter.com/portalne10")</f>
        <v>https://twitter.com/portalne10</v>
      </c>
      <c r="BP1395" s="2"/>
    </row>
    <row r="1396" spans="1:68" x14ac:dyDescent="0.25">
      <c r="A1396" s="62" t="s">
        <v>1265</v>
      </c>
      <c r="B1396" s="63"/>
      <c r="C1396" s="63"/>
      <c r="D1396" s="64"/>
      <c r="E1396" s="66"/>
      <c r="F1396" s="103" t="str">
        <f>HYPERLINK("https://pbs.twimg.com/profile_images/1353503642284945432/-cru74NV_normal.jpg")</f>
        <v>https://pbs.twimg.com/profile_images/1353503642284945432/-cru74NV_normal.jpg</v>
      </c>
      <c r="G1396" s="63"/>
      <c r="H1396" s="67"/>
      <c r="I1396" s="68"/>
      <c r="J1396" s="68"/>
      <c r="K1396" s="67" t="s">
        <v>28990</v>
      </c>
      <c r="L1396" s="71"/>
      <c r="M1396" s="72"/>
      <c r="N1396" s="72"/>
      <c r="O1396" s="73"/>
      <c r="P1396" s="74"/>
      <c r="Q1396" s="74"/>
      <c r="R1396" s="87"/>
      <c r="S1396" s="87"/>
      <c r="T1396" s="87"/>
      <c r="U1396" s="87"/>
      <c r="V1396" s="48"/>
      <c r="W1396" s="48"/>
      <c r="X1396" s="48"/>
      <c r="Y1396" s="48"/>
      <c r="Z1396" s="47"/>
      <c r="AA1396" s="69">
        <v>1396</v>
      </c>
      <c r="AB1396" s="69"/>
      <c r="AC1396" s="70"/>
      <c r="AD1396" s="76" t="s">
        <v>22612</v>
      </c>
      <c r="AE1396" s="81" t="s">
        <v>23801</v>
      </c>
      <c r="AF1396" s="76">
        <v>32</v>
      </c>
      <c r="AG1396" s="76">
        <v>88</v>
      </c>
      <c r="AH1396" s="76">
        <v>57</v>
      </c>
      <c r="AI1396" s="76">
        <v>0</v>
      </c>
      <c r="AJ1396" s="76">
        <v>443</v>
      </c>
      <c r="AK1396" s="76">
        <v>6</v>
      </c>
      <c r="AL1396" s="76" t="b">
        <v>0</v>
      </c>
      <c r="AM1396" s="78">
        <v>41644.151631944442</v>
      </c>
      <c r="AN1396" s="76" t="s">
        <v>24556</v>
      </c>
      <c r="AO1396" s="76" t="s">
        <v>25952</v>
      </c>
      <c r="AP1396" s="76"/>
      <c r="AQ1396" s="76"/>
      <c r="AR1396" s="76"/>
      <c r="AS1396" s="76"/>
      <c r="AT1396" s="76"/>
      <c r="AU1396" s="76"/>
      <c r="AV1396" s="76">
        <v>1.6212782133927199E+18</v>
      </c>
      <c r="AW1396" s="76"/>
      <c r="AX1396" s="76" t="b">
        <v>0</v>
      </c>
      <c r="AY1396" s="76"/>
      <c r="AZ1396" s="76"/>
      <c r="BA1396" s="76" t="b">
        <v>0</v>
      </c>
      <c r="BB1396" s="76" t="b">
        <v>1</v>
      </c>
      <c r="BC1396" s="76" t="b">
        <v>0</v>
      </c>
      <c r="BD1396" s="76" t="b">
        <v>0</v>
      </c>
      <c r="BE1396" s="76" t="b">
        <v>0</v>
      </c>
      <c r="BF1396" s="76" t="b">
        <v>0</v>
      </c>
      <c r="BG1396" s="76" t="b">
        <v>0</v>
      </c>
      <c r="BH1396" s="82" t="str">
        <f>HYPERLINK("https://pbs.twimg.com/profile_banners/2277032210/1548202827")</f>
        <v>https://pbs.twimg.com/profile_banners/2277032210/1548202827</v>
      </c>
      <c r="BI1396" s="76"/>
      <c r="BJ1396" s="76" t="s">
        <v>27595</v>
      </c>
      <c r="BK1396" s="76" t="b">
        <v>0</v>
      </c>
      <c r="BL1396" s="76"/>
      <c r="BM1396" s="76" t="s">
        <v>66</v>
      </c>
      <c r="BN1396" s="76" t="s">
        <v>27597</v>
      </c>
      <c r="BO1396" s="82" t="str">
        <f>HYPERLINK("https://twitter.com/joaopaguiar")</f>
        <v>https://twitter.com/joaopaguiar</v>
      </c>
      <c r="BP1396" s="2"/>
    </row>
    <row r="1397" spans="1:68" x14ac:dyDescent="0.25">
      <c r="A1397" s="62" t="s">
        <v>1266</v>
      </c>
      <c r="B1397" s="63"/>
      <c r="C1397" s="63"/>
      <c r="D1397" s="64"/>
      <c r="E1397" s="66"/>
      <c r="F1397" s="103" t="str">
        <f>HYPERLINK("https://pbs.twimg.com/profile_images/1682273856235380736/Xc0ZFqdY_normal.jpg")</f>
        <v>https://pbs.twimg.com/profile_images/1682273856235380736/Xc0ZFqdY_normal.jpg</v>
      </c>
      <c r="G1397" s="63"/>
      <c r="H1397" s="67"/>
      <c r="I1397" s="68"/>
      <c r="J1397" s="68"/>
      <c r="K1397" s="67" t="s">
        <v>28991</v>
      </c>
      <c r="L1397" s="71"/>
      <c r="M1397" s="72"/>
      <c r="N1397" s="72"/>
      <c r="O1397" s="73"/>
      <c r="P1397" s="74"/>
      <c r="Q1397" s="74"/>
      <c r="R1397" s="87"/>
      <c r="S1397" s="87"/>
      <c r="T1397" s="87"/>
      <c r="U1397" s="87"/>
      <c r="V1397" s="48"/>
      <c r="W1397" s="48"/>
      <c r="X1397" s="48"/>
      <c r="Y1397" s="48"/>
      <c r="Z1397" s="47"/>
      <c r="AA1397" s="69">
        <v>1397</v>
      </c>
      <c r="AB1397" s="69"/>
      <c r="AC1397" s="70"/>
      <c r="AD1397" s="76" t="s">
        <v>22613</v>
      </c>
      <c r="AE1397" s="81" t="s">
        <v>21007</v>
      </c>
      <c r="AF1397" s="76">
        <v>38</v>
      </c>
      <c r="AG1397" s="76">
        <v>1418</v>
      </c>
      <c r="AH1397" s="76">
        <v>1202</v>
      </c>
      <c r="AI1397" s="76">
        <v>0</v>
      </c>
      <c r="AJ1397" s="76">
        <v>1166</v>
      </c>
      <c r="AK1397" s="76">
        <v>0</v>
      </c>
      <c r="AL1397" s="76" t="b">
        <v>0</v>
      </c>
      <c r="AM1397" s="78">
        <v>44863.091967592591</v>
      </c>
      <c r="AN1397" s="76"/>
      <c r="AO1397" s="76" t="s">
        <v>25953</v>
      </c>
      <c r="AP1397" s="76"/>
      <c r="AQ1397" s="76"/>
      <c r="AR1397" s="76"/>
      <c r="AS1397" s="76"/>
      <c r="AT1397" s="76"/>
      <c r="AU1397" s="76"/>
      <c r="AV1397" s="76">
        <v>1.6824231306003799E+18</v>
      </c>
      <c r="AW1397" s="76"/>
      <c r="AX1397" s="76" t="b">
        <v>0</v>
      </c>
      <c r="AY1397" s="76"/>
      <c r="AZ1397" s="76"/>
      <c r="BA1397" s="76" t="b">
        <v>0</v>
      </c>
      <c r="BB1397" s="76" t="b">
        <v>1</v>
      </c>
      <c r="BC1397" s="76" t="b">
        <v>1</v>
      </c>
      <c r="BD1397" s="76" t="b">
        <v>0</v>
      </c>
      <c r="BE1397" s="76" t="b">
        <v>0</v>
      </c>
      <c r="BF1397" s="76" t="b">
        <v>0</v>
      </c>
      <c r="BG1397" s="76" t="b">
        <v>0</v>
      </c>
      <c r="BH1397" s="82" t="str">
        <f>HYPERLINK("https://pbs.twimg.com/profile_banners/1586179093862797325/1689955903")</f>
        <v>https://pbs.twimg.com/profile_banners/1586179093862797325/1689955903</v>
      </c>
      <c r="BI1397" s="76"/>
      <c r="BJ1397" s="76" t="s">
        <v>27595</v>
      </c>
      <c r="BK1397" s="76" t="b">
        <v>0</v>
      </c>
      <c r="BL1397" s="76"/>
      <c r="BM1397" s="76" t="s">
        <v>66</v>
      </c>
      <c r="BN1397" s="76" t="s">
        <v>27597</v>
      </c>
      <c r="BO1397" s="82" t="str">
        <f>HYPERLINK("https://twitter.com/estellekeri__21")</f>
        <v>https://twitter.com/estellekeri__21</v>
      </c>
      <c r="BP1397" s="2"/>
    </row>
    <row r="1398" spans="1:68" x14ac:dyDescent="0.25">
      <c r="A1398" s="62" t="s">
        <v>1267</v>
      </c>
      <c r="B1398" s="63"/>
      <c r="C1398" s="63"/>
      <c r="D1398" s="64"/>
      <c r="E1398" s="66"/>
      <c r="F1398" s="103" t="str">
        <f>HYPERLINK("https://pbs.twimg.com/profile_images/1633884664703205376/32RQ6yHM_normal.jpg")</f>
        <v>https://pbs.twimg.com/profile_images/1633884664703205376/32RQ6yHM_normal.jpg</v>
      </c>
      <c r="G1398" s="63"/>
      <c r="H1398" s="67"/>
      <c r="I1398" s="68"/>
      <c r="J1398" s="68"/>
      <c r="K1398" s="67" t="s">
        <v>28992</v>
      </c>
      <c r="L1398" s="71"/>
      <c r="M1398" s="72"/>
      <c r="N1398" s="72"/>
      <c r="O1398" s="73"/>
      <c r="P1398" s="74"/>
      <c r="Q1398" s="74"/>
      <c r="R1398" s="87"/>
      <c r="S1398" s="87"/>
      <c r="T1398" s="87"/>
      <c r="U1398" s="87"/>
      <c r="V1398" s="48"/>
      <c r="W1398" s="48"/>
      <c r="X1398" s="48"/>
      <c r="Y1398" s="48"/>
      <c r="Z1398" s="47"/>
      <c r="AA1398" s="69">
        <v>1398</v>
      </c>
      <c r="AB1398" s="69"/>
      <c r="AC1398" s="70"/>
      <c r="AD1398" s="76" t="s">
        <v>22614</v>
      </c>
      <c r="AE1398" s="81" t="s">
        <v>23802</v>
      </c>
      <c r="AF1398" s="76">
        <v>1156</v>
      </c>
      <c r="AG1398" s="76">
        <v>921</v>
      </c>
      <c r="AH1398" s="76">
        <v>26506</v>
      </c>
      <c r="AI1398" s="76">
        <v>14</v>
      </c>
      <c r="AJ1398" s="76">
        <v>1888</v>
      </c>
      <c r="AK1398" s="76">
        <v>943</v>
      </c>
      <c r="AL1398" s="76" t="b">
        <v>0</v>
      </c>
      <c r="AM1398" s="78">
        <v>39927.636307870373</v>
      </c>
      <c r="AN1398" s="76" t="s">
        <v>24557</v>
      </c>
      <c r="AO1398" s="76" t="s">
        <v>25954</v>
      </c>
      <c r="AP1398" s="82" t="str">
        <f>HYPERLINK("https://t.co/BaF4zNx9qV")</f>
        <v>https://t.co/BaF4zNx9qV</v>
      </c>
      <c r="AQ1398" s="82" t="str">
        <f>HYPERLINK("http://www.brujulasur.cl")</f>
        <v>http://www.brujulasur.cl</v>
      </c>
      <c r="AR1398" s="76" t="s">
        <v>27115</v>
      </c>
      <c r="AS1398" s="76"/>
      <c r="AT1398" s="76"/>
      <c r="AU1398" s="76"/>
      <c r="AV1398" s="76">
        <v>1.48747517302034E+18</v>
      </c>
      <c r="AW1398" s="82" t="str">
        <f>HYPERLINK("https://t.co/BaF4zNx9qV")</f>
        <v>https://t.co/BaF4zNx9qV</v>
      </c>
      <c r="AX1398" s="76" t="b">
        <v>0</v>
      </c>
      <c r="AY1398" s="76"/>
      <c r="AZ1398" s="76"/>
      <c r="BA1398" s="76" t="b">
        <v>0</v>
      </c>
      <c r="BB1398" s="76" t="b">
        <v>0</v>
      </c>
      <c r="BC1398" s="76" t="b">
        <v>0</v>
      </c>
      <c r="BD1398" s="76" t="b">
        <v>0</v>
      </c>
      <c r="BE1398" s="76" t="b">
        <v>1</v>
      </c>
      <c r="BF1398" s="76" t="b">
        <v>0</v>
      </c>
      <c r="BG1398" s="76" t="b">
        <v>0</v>
      </c>
      <c r="BH1398" s="82" t="str">
        <f>HYPERLINK("https://pbs.twimg.com/profile_banners/34950483/1678383446")</f>
        <v>https://pbs.twimg.com/profile_banners/34950483/1678383446</v>
      </c>
      <c r="BI1398" s="76"/>
      <c r="BJ1398" s="76" t="s">
        <v>27595</v>
      </c>
      <c r="BK1398" s="76" t="b">
        <v>0</v>
      </c>
      <c r="BL1398" s="76"/>
      <c r="BM1398" s="76" t="s">
        <v>66</v>
      </c>
      <c r="BN1398" s="76" t="s">
        <v>27597</v>
      </c>
      <c r="BO1398" s="82" t="str">
        <f>HYPERLINK("https://twitter.com/elsonandresdr")</f>
        <v>https://twitter.com/elsonandresdr</v>
      </c>
      <c r="BP1398" s="2"/>
    </row>
    <row r="1399" spans="1:68" x14ac:dyDescent="0.25">
      <c r="A1399" s="62" t="s">
        <v>1268</v>
      </c>
      <c r="B1399" s="63"/>
      <c r="C1399" s="63"/>
      <c r="D1399" s="64"/>
      <c r="E1399" s="66"/>
      <c r="F1399" s="103" t="str">
        <f>HYPERLINK("https://pbs.twimg.com/profile_images/1599747949457805312/kJt-cplQ_normal.jpg")</f>
        <v>https://pbs.twimg.com/profile_images/1599747949457805312/kJt-cplQ_normal.jpg</v>
      </c>
      <c r="G1399" s="63"/>
      <c r="H1399" s="67"/>
      <c r="I1399" s="68"/>
      <c r="J1399" s="68"/>
      <c r="K1399" s="67" t="s">
        <v>28993</v>
      </c>
      <c r="L1399" s="71"/>
      <c r="M1399" s="72"/>
      <c r="N1399" s="72"/>
      <c r="O1399" s="73"/>
      <c r="P1399" s="74"/>
      <c r="Q1399" s="74"/>
      <c r="R1399" s="87"/>
      <c r="S1399" s="87"/>
      <c r="T1399" s="87"/>
      <c r="U1399" s="87"/>
      <c r="V1399" s="48"/>
      <c r="W1399" s="48"/>
      <c r="X1399" s="48"/>
      <c r="Y1399" s="48"/>
      <c r="Z1399" s="47"/>
      <c r="AA1399" s="69">
        <v>1399</v>
      </c>
      <c r="AB1399" s="69"/>
      <c r="AC1399" s="70"/>
      <c r="AD1399" s="76" t="s">
        <v>22615</v>
      </c>
      <c r="AE1399" s="81" t="s">
        <v>21008</v>
      </c>
      <c r="AF1399" s="76">
        <v>126</v>
      </c>
      <c r="AG1399" s="76">
        <v>41</v>
      </c>
      <c r="AH1399" s="76">
        <v>418</v>
      </c>
      <c r="AI1399" s="76">
        <v>0</v>
      </c>
      <c r="AJ1399" s="76">
        <v>2</v>
      </c>
      <c r="AK1399" s="76">
        <v>406</v>
      </c>
      <c r="AL1399" s="76" t="b">
        <v>0</v>
      </c>
      <c r="AM1399" s="78">
        <v>44894.990520833337</v>
      </c>
      <c r="AN1399" s="76" t="s">
        <v>24410</v>
      </c>
      <c r="AO1399" s="76" t="s">
        <v>25955</v>
      </c>
      <c r="AP1399" s="82" t="str">
        <f>HYPERLINK("https://t.co/rMfkirPNvT")</f>
        <v>https://t.co/rMfkirPNvT</v>
      </c>
      <c r="AQ1399" s="82" t="str">
        <f>HYPERLINK("https://www.instagram.com/laprensaturca/")</f>
        <v>https://www.instagram.com/laprensaturca/</v>
      </c>
      <c r="AR1399" s="76" t="s">
        <v>27116</v>
      </c>
      <c r="AS1399" s="76"/>
      <c r="AT1399" s="76"/>
      <c r="AU1399" s="76"/>
      <c r="AV1399" s="76"/>
      <c r="AW1399" s="82" t="str">
        <f>HYPERLINK("https://t.co/rMfkirPNvT")</f>
        <v>https://t.co/rMfkirPNvT</v>
      </c>
      <c r="AX1399" s="76" t="b">
        <v>0</v>
      </c>
      <c r="AY1399" s="76"/>
      <c r="AZ1399" s="76"/>
      <c r="BA1399" s="76" t="b">
        <v>1</v>
      </c>
      <c r="BB1399" s="76" t="b">
        <v>1</v>
      </c>
      <c r="BC1399" s="76" t="b">
        <v>1</v>
      </c>
      <c r="BD1399" s="76" t="b">
        <v>0</v>
      </c>
      <c r="BE1399" s="76" t="b">
        <v>0</v>
      </c>
      <c r="BF1399" s="76" t="b">
        <v>0</v>
      </c>
      <c r="BG1399" s="76" t="b">
        <v>0</v>
      </c>
      <c r="BH1399" s="82" t="str">
        <f>HYPERLINK("https://pbs.twimg.com/profile_banners/1597738602481467393/1670244630")</f>
        <v>https://pbs.twimg.com/profile_banners/1597738602481467393/1670244630</v>
      </c>
      <c r="BI1399" s="76"/>
      <c r="BJ1399" s="76" t="s">
        <v>27595</v>
      </c>
      <c r="BK1399" s="76" t="b">
        <v>0</v>
      </c>
      <c r="BL1399" s="76"/>
      <c r="BM1399" s="76" t="s">
        <v>66</v>
      </c>
      <c r="BN1399" s="76" t="s">
        <v>27597</v>
      </c>
      <c r="BO1399" s="82" t="str">
        <f>HYPERLINK("https://twitter.com/laprensaturca")</f>
        <v>https://twitter.com/laprensaturca</v>
      </c>
      <c r="BP1399" s="2"/>
    </row>
    <row r="1400" spans="1:68" x14ac:dyDescent="0.25">
      <c r="A1400" s="62" t="s">
        <v>1269</v>
      </c>
      <c r="B1400" s="63"/>
      <c r="C1400" s="63"/>
      <c r="D1400" s="64"/>
      <c r="E1400" s="66"/>
      <c r="F1400" s="103" t="str">
        <f>HYPERLINK("https://pbs.twimg.com/profile_images/1666505813916291072/kubeIdUJ_normal.jpg")</f>
        <v>https://pbs.twimg.com/profile_images/1666505813916291072/kubeIdUJ_normal.jpg</v>
      </c>
      <c r="G1400" s="63"/>
      <c r="H1400" s="67"/>
      <c r="I1400" s="68"/>
      <c r="J1400" s="68"/>
      <c r="K1400" s="67" t="s">
        <v>28994</v>
      </c>
      <c r="L1400" s="71"/>
      <c r="M1400" s="72"/>
      <c r="N1400" s="72"/>
      <c r="O1400" s="73"/>
      <c r="P1400" s="74"/>
      <c r="Q1400" s="74"/>
      <c r="R1400" s="87"/>
      <c r="S1400" s="87"/>
      <c r="T1400" s="87"/>
      <c r="U1400" s="87"/>
      <c r="V1400" s="48"/>
      <c r="W1400" s="48"/>
      <c r="X1400" s="48"/>
      <c r="Y1400" s="48"/>
      <c r="Z1400" s="47"/>
      <c r="AA1400" s="69">
        <v>1400</v>
      </c>
      <c r="AB1400" s="69"/>
      <c r="AC1400" s="70"/>
      <c r="AD1400" s="76" t="s">
        <v>22616</v>
      </c>
      <c r="AE1400" s="81" t="s">
        <v>21009</v>
      </c>
      <c r="AF1400" s="76">
        <v>173</v>
      </c>
      <c r="AG1400" s="76">
        <v>10</v>
      </c>
      <c r="AH1400" s="76">
        <v>4082</v>
      </c>
      <c r="AI1400" s="76">
        <v>1</v>
      </c>
      <c r="AJ1400" s="76">
        <v>16</v>
      </c>
      <c r="AK1400" s="76">
        <v>691</v>
      </c>
      <c r="AL1400" s="76" t="b">
        <v>0</v>
      </c>
      <c r="AM1400" s="78">
        <v>45041.03665509259</v>
      </c>
      <c r="AN1400" s="76" t="s">
        <v>24558</v>
      </c>
      <c r="AO1400" s="76" t="s">
        <v>25956</v>
      </c>
      <c r="AP1400" s="82" t="str">
        <f>HYPERLINK("https://t.co/pZdxg16A5v")</f>
        <v>https://t.co/pZdxg16A5v</v>
      </c>
      <c r="AQ1400" s="82" t="str">
        <f>HYPERLINK("https://newsweekespanol.com/?fbclid=IwAR2e6QtBexW2zyOWIzmXrEY5bTT5BvapW9SfpcYF0X7r_sJmOE0TZOwzfhw")</f>
        <v>https://newsweekespanol.com/?fbclid=IwAR2e6QtBexW2zyOWIzmXrEY5bTT5BvapW9SfpcYF0X7r_sJmOE0TZOwzfhw</v>
      </c>
      <c r="AR1400" s="76" t="s">
        <v>27117</v>
      </c>
      <c r="AS1400" s="76"/>
      <c r="AT1400" s="76"/>
      <c r="AU1400" s="76"/>
      <c r="AV1400" s="76"/>
      <c r="AW1400" s="82" t="str">
        <f>HYPERLINK("https://t.co/pZdxg16A5v")</f>
        <v>https://t.co/pZdxg16A5v</v>
      </c>
      <c r="AX1400" s="76" t="b">
        <v>1</v>
      </c>
      <c r="AY1400" s="76"/>
      <c r="AZ1400" s="76"/>
      <c r="BA1400" s="76" t="b">
        <v>0</v>
      </c>
      <c r="BB1400" s="76" t="b">
        <v>1</v>
      </c>
      <c r="BC1400" s="76" t="b">
        <v>1</v>
      </c>
      <c r="BD1400" s="76" t="b">
        <v>0</v>
      </c>
      <c r="BE1400" s="76" t="b">
        <v>0</v>
      </c>
      <c r="BF1400" s="76" t="b">
        <v>0</v>
      </c>
      <c r="BG1400" s="76" t="b">
        <v>0</v>
      </c>
      <c r="BH1400" s="82" t="str">
        <f>HYPERLINK("https://pbs.twimg.com/profile_banners/1650663451373494273/1682385004")</f>
        <v>https://pbs.twimg.com/profile_banners/1650663451373494273/1682385004</v>
      </c>
      <c r="BI1400" s="76"/>
      <c r="BJ1400" s="76" t="s">
        <v>27595</v>
      </c>
      <c r="BK1400" s="76" t="b">
        <v>0</v>
      </c>
      <c r="BL1400" s="76"/>
      <c r="BM1400" s="76" t="s">
        <v>66</v>
      </c>
      <c r="BN1400" s="76" t="s">
        <v>27597</v>
      </c>
      <c r="BO1400" s="82" t="str">
        <f>HYPERLINK("https://twitter.com/bcnewsweek")</f>
        <v>https://twitter.com/bcnewsweek</v>
      </c>
      <c r="BP1400" s="2"/>
    </row>
    <row r="1401" spans="1:68" x14ac:dyDescent="0.25">
      <c r="A1401" s="62" t="s">
        <v>1270</v>
      </c>
      <c r="B1401" s="63"/>
      <c r="C1401" s="63"/>
      <c r="D1401" s="64"/>
      <c r="E1401" s="66"/>
      <c r="F1401" s="103" t="str">
        <f>HYPERLINK("https://pbs.twimg.com/profile_images/1374343932239343622/LiMHFevb_normal.jpg")</f>
        <v>https://pbs.twimg.com/profile_images/1374343932239343622/LiMHFevb_normal.jpg</v>
      </c>
      <c r="G1401" s="63"/>
      <c r="H1401" s="67"/>
      <c r="I1401" s="68"/>
      <c r="J1401" s="68"/>
      <c r="K1401" s="67" t="s">
        <v>28995</v>
      </c>
      <c r="L1401" s="71"/>
      <c r="M1401" s="72"/>
      <c r="N1401" s="72"/>
      <c r="O1401" s="73"/>
      <c r="P1401" s="74"/>
      <c r="Q1401" s="74"/>
      <c r="R1401" s="87"/>
      <c r="S1401" s="87"/>
      <c r="T1401" s="87"/>
      <c r="U1401" s="87"/>
      <c r="V1401" s="48"/>
      <c r="W1401" s="48"/>
      <c r="X1401" s="48"/>
      <c r="Y1401" s="48"/>
      <c r="Z1401" s="47"/>
      <c r="AA1401" s="69">
        <v>1401</v>
      </c>
      <c r="AB1401" s="69"/>
      <c r="AC1401" s="70"/>
      <c r="AD1401" s="76" t="s">
        <v>22617</v>
      </c>
      <c r="AE1401" s="81" t="s">
        <v>21010</v>
      </c>
      <c r="AF1401" s="76">
        <v>330</v>
      </c>
      <c r="AG1401" s="76">
        <v>501</v>
      </c>
      <c r="AH1401" s="76">
        <v>14434</v>
      </c>
      <c r="AI1401" s="76">
        <v>4</v>
      </c>
      <c r="AJ1401" s="76">
        <v>25</v>
      </c>
      <c r="AK1401" s="76">
        <v>1889</v>
      </c>
      <c r="AL1401" s="76" t="b">
        <v>0</v>
      </c>
      <c r="AM1401" s="78">
        <v>43473.890011574076</v>
      </c>
      <c r="AN1401" s="76" t="s">
        <v>24559</v>
      </c>
      <c r="AO1401" s="76" t="s">
        <v>25957</v>
      </c>
      <c r="AP1401" s="82" t="str">
        <f>HYPERLINK("https://t.co/4T9svfUeJz")</f>
        <v>https://t.co/4T9svfUeJz</v>
      </c>
      <c r="AQ1401" s="82" t="str">
        <f>HYPERLINK("http://www.mediosyestrategias.com")</f>
        <v>http://www.mediosyestrategias.com</v>
      </c>
      <c r="AR1401" s="76" t="s">
        <v>27118</v>
      </c>
      <c r="AS1401" s="82" t="str">
        <f>HYPERLINK("https://t.co/Q4K6KCGb4J")</f>
        <v>https://t.co/Q4K6KCGb4J</v>
      </c>
      <c r="AT1401" s="82" t="str">
        <f>HYPERLINK("http://mediosyestrategias.com")</f>
        <v>http://mediosyestrategias.com</v>
      </c>
      <c r="AU1401" s="76" t="s">
        <v>27118</v>
      </c>
      <c r="AV1401" s="76"/>
      <c r="AW1401" s="82" t="str">
        <f>HYPERLINK("https://t.co/4T9svfUeJz")</f>
        <v>https://t.co/4T9svfUeJz</v>
      </c>
      <c r="AX1401" s="76" t="b">
        <v>0</v>
      </c>
      <c r="AY1401" s="76"/>
      <c r="AZ1401" s="76"/>
      <c r="BA1401" s="76" t="b">
        <v>0</v>
      </c>
      <c r="BB1401" s="76" t="b">
        <v>1</v>
      </c>
      <c r="BC1401" s="76" t="b">
        <v>1</v>
      </c>
      <c r="BD1401" s="76" t="b">
        <v>0</v>
      </c>
      <c r="BE1401" s="76" t="b">
        <v>0</v>
      </c>
      <c r="BF1401" s="76" t="b">
        <v>0</v>
      </c>
      <c r="BG1401" s="76" t="b">
        <v>0</v>
      </c>
      <c r="BH1401" s="82" t="str">
        <f>HYPERLINK("https://pbs.twimg.com/profile_banners/1082749186515365894/1673622115")</f>
        <v>https://pbs.twimg.com/profile_banners/1082749186515365894/1673622115</v>
      </c>
      <c r="BI1401" s="76"/>
      <c r="BJ1401" s="76" t="s">
        <v>27595</v>
      </c>
      <c r="BK1401" s="76" t="b">
        <v>0</v>
      </c>
      <c r="BL1401" s="76"/>
      <c r="BM1401" s="76" t="s">
        <v>66</v>
      </c>
      <c r="BN1401" s="76" t="s">
        <v>27597</v>
      </c>
      <c r="BO1401" s="82" t="str">
        <f>HYPERLINK("https://twitter.com/mediosye")</f>
        <v>https://twitter.com/mediosye</v>
      </c>
      <c r="BP1401" s="2"/>
    </row>
    <row r="1402" spans="1:68" x14ac:dyDescent="0.25">
      <c r="A1402" s="62" t="s">
        <v>1271</v>
      </c>
      <c r="B1402" s="63"/>
      <c r="C1402" s="63"/>
      <c r="D1402" s="64"/>
      <c r="E1402" s="66"/>
      <c r="F1402" s="103" t="str">
        <f>HYPERLINK("https://pbs.twimg.com/profile_images/963857606442913799/RNelmRbP_normal.jpg")</f>
        <v>https://pbs.twimg.com/profile_images/963857606442913799/RNelmRbP_normal.jpg</v>
      </c>
      <c r="G1402" s="63"/>
      <c r="H1402" s="67"/>
      <c r="I1402" s="68"/>
      <c r="J1402" s="68"/>
      <c r="K1402" s="67" t="s">
        <v>28996</v>
      </c>
      <c r="L1402" s="71"/>
      <c r="M1402" s="72"/>
      <c r="N1402" s="72"/>
      <c r="O1402" s="73"/>
      <c r="P1402" s="74"/>
      <c r="Q1402" s="74"/>
      <c r="R1402" s="87"/>
      <c r="S1402" s="87"/>
      <c r="T1402" s="87"/>
      <c r="U1402" s="87"/>
      <c r="V1402" s="48"/>
      <c r="W1402" s="48"/>
      <c r="X1402" s="48"/>
      <c r="Y1402" s="48"/>
      <c r="Z1402" s="47"/>
      <c r="AA1402" s="69">
        <v>1402</v>
      </c>
      <c r="AB1402" s="69"/>
      <c r="AC1402" s="70"/>
      <c r="AD1402" s="76" t="s">
        <v>8821</v>
      </c>
      <c r="AE1402" s="81" t="s">
        <v>23803</v>
      </c>
      <c r="AF1402" s="76">
        <v>7299</v>
      </c>
      <c r="AG1402" s="76">
        <v>126</v>
      </c>
      <c r="AH1402" s="76">
        <v>88979</v>
      </c>
      <c r="AI1402" s="76">
        <v>84</v>
      </c>
      <c r="AJ1402" s="76">
        <v>191</v>
      </c>
      <c r="AK1402" s="76">
        <v>1136</v>
      </c>
      <c r="AL1402" s="76" t="b">
        <v>0</v>
      </c>
      <c r="AM1402" s="78">
        <v>40336.866076388891</v>
      </c>
      <c r="AN1402" s="76" t="s">
        <v>24560</v>
      </c>
      <c r="AO1402" s="76" t="s">
        <v>25958</v>
      </c>
      <c r="AP1402" s="82" t="str">
        <f>HYPERLINK("http://t.co/vMUYXJub1d")</f>
        <v>http://t.co/vMUYXJub1d</v>
      </c>
      <c r="AQ1402" s="82" t="str">
        <f>HYPERLINK("http://elentrerios.com")</f>
        <v>http://elentrerios.com</v>
      </c>
      <c r="AR1402" s="76" t="s">
        <v>8821</v>
      </c>
      <c r="AS1402" s="76"/>
      <c r="AT1402" s="76"/>
      <c r="AU1402" s="76"/>
      <c r="AV1402" s="76"/>
      <c r="AW1402" s="82" t="str">
        <f>HYPERLINK("http://t.co/vMUYXJub1d")</f>
        <v>http://t.co/vMUYXJub1d</v>
      </c>
      <c r="AX1402" s="76" t="b">
        <v>0</v>
      </c>
      <c r="AY1402" s="76"/>
      <c r="AZ1402" s="76"/>
      <c r="BA1402" s="76" t="b">
        <v>0</v>
      </c>
      <c r="BB1402" s="76" t="b">
        <v>1</v>
      </c>
      <c r="BC1402" s="76" t="b">
        <v>0</v>
      </c>
      <c r="BD1402" s="76" t="b">
        <v>0</v>
      </c>
      <c r="BE1402" s="76" t="b">
        <v>1</v>
      </c>
      <c r="BF1402" s="76" t="b">
        <v>0</v>
      </c>
      <c r="BG1402" s="76" t="b">
        <v>0</v>
      </c>
      <c r="BH1402" s="82" t="str">
        <f>HYPERLINK("https://pbs.twimg.com/profile_banners/153155182/1518636660")</f>
        <v>https://pbs.twimg.com/profile_banners/153155182/1518636660</v>
      </c>
      <c r="BI1402" s="76"/>
      <c r="BJ1402" s="76" t="s">
        <v>27595</v>
      </c>
      <c r="BK1402" s="76" t="b">
        <v>0</v>
      </c>
      <c r="BL1402" s="76"/>
      <c r="BM1402" s="76" t="s">
        <v>66</v>
      </c>
      <c r="BN1402" s="76" t="s">
        <v>27597</v>
      </c>
      <c r="BO1402" s="82" t="str">
        <f>HYPERLINK("https://twitter.com/elentrerios")</f>
        <v>https://twitter.com/elentrerios</v>
      </c>
      <c r="BP1402" s="2"/>
    </row>
    <row r="1403" spans="1:68" x14ac:dyDescent="0.25">
      <c r="A1403" s="62" t="s">
        <v>1272</v>
      </c>
      <c r="B1403" s="63"/>
      <c r="C1403" s="63"/>
      <c r="D1403" s="64"/>
      <c r="E1403" s="66"/>
      <c r="F1403" s="103" t="str">
        <f>HYPERLINK("https://pbs.twimg.com/profile_images/1504467936324448267/lrzlfJxc_normal.png")</f>
        <v>https://pbs.twimg.com/profile_images/1504467936324448267/lrzlfJxc_normal.png</v>
      </c>
      <c r="G1403" s="63"/>
      <c r="H1403" s="67"/>
      <c r="I1403" s="68"/>
      <c r="J1403" s="68"/>
      <c r="K1403" s="67" t="s">
        <v>28997</v>
      </c>
      <c r="L1403" s="71"/>
      <c r="M1403" s="72"/>
      <c r="N1403" s="72"/>
      <c r="O1403" s="73"/>
      <c r="P1403" s="74"/>
      <c r="Q1403" s="74"/>
      <c r="R1403" s="87"/>
      <c r="S1403" s="87"/>
      <c r="T1403" s="87"/>
      <c r="U1403" s="87"/>
      <c r="V1403" s="48"/>
      <c r="W1403" s="48"/>
      <c r="X1403" s="48"/>
      <c r="Y1403" s="48"/>
      <c r="Z1403" s="47"/>
      <c r="AA1403" s="69">
        <v>1403</v>
      </c>
      <c r="AB1403" s="69"/>
      <c r="AC1403" s="70"/>
      <c r="AD1403" s="76" t="s">
        <v>22618</v>
      </c>
      <c r="AE1403" s="81" t="s">
        <v>23804</v>
      </c>
      <c r="AF1403" s="76">
        <v>15208</v>
      </c>
      <c r="AG1403" s="76">
        <v>1672</v>
      </c>
      <c r="AH1403" s="76">
        <v>26965</v>
      </c>
      <c r="AI1403" s="76">
        <v>148</v>
      </c>
      <c r="AJ1403" s="76">
        <v>1820</v>
      </c>
      <c r="AK1403" s="76">
        <v>13038</v>
      </c>
      <c r="AL1403" s="76" t="b">
        <v>0</v>
      </c>
      <c r="AM1403" s="78">
        <v>40379.869722222225</v>
      </c>
      <c r="AN1403" s="76" t="s">
        <v>24128</v>
      </c>
      <c r="AO1403" s="76"/>
      <c r="AP1403" s="82" t="str">
        <f>HYPERLINK("https://t.co/MlQZLnoBKW")</f>
        <v>https://t.co/MlQZLnoBKW</v>
      </c>
      <c r="AQ1403" s="82" t="str">
        <f>HYPERLINK("http://www.mensajero.com.ar")</f>
        <v>http://www.mensajero.com.ar</v>
      </c>
      <c r="AR1403" s="76" t="s">
        <v>27119</v>
      </c>
      <c r="AS1403" s="76"/>
      <c r="AT1403" s="76"/>
      <c r="AU1403" s="76"/>
      <c r="AV1403" s="76"/>
      <c r="AW1403" s="82" t="str">
        <f>HYPERLINK("https://t.co/MlQZLnoBKW")</f>
        <v>https://t.co/MlQZLnoBKW</v>
      </c>
      <c r="AX1403" s="76" t="b">
        <v>0</v>
      </c>
      <c r="AY1403" s="76"/>
      <c r="AZ1403" s="76"/>
      <c r="BA1403" s="76" t="b">
        <v>0</v>
      </c>
      <c r="BB1403" s="76" t="b">
        <v>1</v>
      </c>
      <c r="BC1403" s="76" t="b">
        <v>0</v>
      </c>
      <c r="BD1403" s="76" t="b">
        <v>0</v>
      </c>
      <c r="BE1403" s="76" t="b">
        <v>1</v>
      </c>
      <c r="BF1403" s="76" t="b">
        <v>0</v>
      </c>
      <c r="BG1403" s="76" t="b">
        <v>0</v>
      </c>
      <c r="BH1403" s="82" t="str">
        <f>HYPERLINK("https://pbs.twimg.com/profile_banners/168801342/1643810067")</f>
        <v>https://pbs.twimg.com/profile_banners/168801342/1643810067</v>
      </c>
      <c r="BI1403" s="76"/>
      <c r="BJ1403" s="76" t="s">
        <v>27595</v>
      </c>
      <c r="BK1403" s="76" t="b">
        <v>0</v>
      </c>
      <c r="BL1403" s="76"/>
      <c r="BM1403" s="76" t="s">
        <v>66</v>
      </c>
      <c r="BN1403" s="76" t="s">
        <v>27597</v>
      </c>
      <c r="BO1403" s="82" t="str">
        <f>HYPERLINK("https://twitter.com/mensajeronline")</f>
        <v>https://twitter.com/mensajeronline</v>
      </c>
      <c r="BP1403" s="2"/>
    </row>
    <row r="1404" spans="1:68" x14ac:dyDescent="0.25">
      <c r="A1404" s="62" t="s">
        <v>1273</v>
      </c>
      <c r="B1404" s="63"/>
      <c r="C1404" s="63"/>
      <c r="D1404" s="64"/>
      <c r="E1404" s="66"/>
      <c r="F1404" s="103" t="str">
        <f>HYPERLINK("https://pbs.twimg.com/profile_images/1690837631850967040/ZBd2hM9o_normal.jpg")</f>
        <v>https://pbs.twimg.com/profile_images/1690837631850967040/ZBd2hM9o_normal.jpg</v>
      </c>
      <c r="G1404" s="63"/>
      <c r="H1404" s="67"/>
      <c r="I1404" s="68"/>
      <c r="J1404" s="68"/>
      <c r="K1404" s="67" t="s">
        <v>28998</v>
      </c>
      <c r="L1404" s="71"/>
      <c r="M1404" s="72"/>
      <c r="N1404" s="72"/>
      <c r="O1404" s="73"/>
      <c r="P1404" s="74"/>
      <c r="Q1404" s="74"/>
      <c r="R1404" s="87"/>
      <c r="S1404" s="87"/>
      <c r="T1404" s="87"/>
      <c r="U1404" s="87"/>
      <c r="V1404" s="48"/>
      <c r="W1404" s="48"/>
      <c r="X1404" s="48"/>
      <c r="Y1404" s="48"/>
      <c r="Z1404" s="47"/>
      <c r="AA1404" s="69">
        <v>1404</v>
      </c>
      <c r="AB1404" s="69"/>
      <c r="AC1404" s="70"/>
      <c r="AD1404" s="76" t="s">
        <v>22619</v>
      </c>
      <c r="AE1404" s="81" t="s">
        <v>20339</v>
      </c>
      <c r="AF1404" s="76">
        <v>460</v>
      </c>
      <c r="AG1404" s="76">
        <v>488</v>
      </c>
      <c r="AH1404" s="76">
        <v>1782</v>
      </c>
      <c r="AI1404" s="76">
        <v>0</v>
      </c>
      <c r="AJ1404" s="76">
        <v>1253</v>
      </c>
      <c r="AK1404" s="76">
        <v>109</v>
      </c>
      <c r="AL1404" s="76" t="b">
        <v>0</v>
      </c>
      <c r="AM1404" s="78">
        <v>45151.894282407404</v>
      </c>
      <c r="AN1404" s="76" t="s">
        <v>24561</v>
      </c>
      <c r="AO1404" s="76" t="s">
        <v>25959</v>
      </c>
      <c r="AP1404" s="82" t="str">
        <f>HYPERLINK("https://t.co/I61oSr7KCw")</f>
        <v>https://t.co/I61oSr7KCw</v>
      </c>
      <c r="AQ1404" s="82" t="str">
        <f>HYPERLINK("https://www.economicas.uba.ar/")</f>
        <v>https://www.economicas.uba.ar/</v>
      </c>
      <c r="AR1404" s="76" t="s">
        <v>27120</v>
      </c>
      <c r="AS1404" s="76"/>
      <c r="AT1404" s="76"/>
      <c r="AU1404" s="76"/>
      <c r="AV1404" s="76">
        <v>1.6992880788781299E+18</v>
      </c>
      <c r="AW1404" s="82" t="str">
        <f>HYPERLINK("https://t.co/I61oSr7KCw")</f>
        <v>https://t.co/I61oSr7KCw</v>
      </c>
      <c r="AX1404" s="76" t="b">
        <v>0</v>
      </c>
      <c r="AY1404" s="76"/>
      <c r="AZ1404" s="76"/>
      <c r="BA1404" s="76" t="b">
        <v>1</v>
      </c>
      <c r="BB1404" s="76" t="b">
        <v>1</v>
      </c>
      <c r="BC1404" s="76" t="b">
        <v>1</v>
      </c>
      <c r="BD1404" s="76" t="b">
        <v>0</v>
      </c>
      <c r="BE1404" s="76" t="b">
        <v>0</v>
      </c>
      <c r="BF1404" s="76" t="b">
        <v>0</v>
      </c>
      <c r="BG1404" s="76" t="b">
        <v>0</v>
      </c>
      <c r="BH1404" s="82" t="str">
        <f>HYPERLINK("https://pbs.twimg.com/profile_banners/1690837481174786048/1694665423")</f>
        <v>https://pbs.twimg.com/profile_banners/1690837481174786048/1694665423</v>
      </c>
      <c r="BI1404" s="76"/>
      <c r="BJ1404" s="76" t="s">
        <v>27595</v>
      </c>
      <c r="BK1404" s="76" t="b">
        <v>0</v>
      </c>
      <c r="BL1404" s="76"/>
      <c r="BM1404" s="76" t="s">
        <v>66</v>
      </c>
      <c r="BN1404" s="76" t="s">
        <v>27597</v>
      </c>
      <c r="BO1404" s="82" t="str">
        <f>HYPERLINK("https://twitter.com/soyturcoman")</f>
        <v>https://twitter.com/soyturcoman</v>
      </c>
      <c r="BP1404" s="2"/>
    </row>
    <row r="1405" spans="1:68" x14ac:dyDescent="0.25">
      <c r="A1405" s="62" t="s">
        <v>1274</v>
      </c>
      <c r="B1405" s="63"/>
      <c r="C1405" s="63"/>
      <c r="D1405" s="64"/>
      <c r="E1405" s="66"/>
      <c r="F1405" s="103" t="str">
        <f>HYPERLINK("https://pbs.twimg.com/profile_images/1680735499856777217/7sTU-gG8_normal.jpg")</f>
        <v>https://pbs.twimg.com/profile_images/1680735499856777217/7sTU-gG8_normal.jpg</v>
      </c>
      <c r="G1405" s="63"/>
      <c r="H1405" s="67"/>
      <c r="I1405" s="68"/>
      <c r="J1405" s="68"/>
      <c r="K1405" s="67" t="s">
        <v>28999</v>
      </c>
      <c r="L1405" s="71"/>
      <c r="M1405" s="72"/>
      <c r="N1405" s="72"/>
      <c r="O1405" s="73"/>
      <c r="P1405" s="74"/>
      <c r="Q1405" s="74"/>
      <c r="R1405" s="87"/>
      <c r="S1405" s="87"/>
      <c r="T1405" s="87"/>
      <c r="U1405" s="87"/>
      <c r="V1405" s="48"/>
      <c r="W1405" s="48"/>
      <c r="X1405" s="48"/>
      <c r="Y1405" s="48"/>
      <c r="Z1405" s="47"/>
      <c r="AA1405" s="69">
        <v>1405</v>
      </c>
      <c r="AB1405" s="69"/>
      <c r="AC1405" s="70"/>
      <c r="AD1405" s="76" t="s">
        <v>22620</v>
      </c>
      <c r="AE1405" s="81" t="s">
        <v>23805</v>
      </c>
      <c r="AF1405" s="76">
        <v>1661</v>
      </c>
      <c r="AG1405" s="76">
        <v>490</v>
      </c>
      <c r="AH1405" s="76">
        <v>66912</v>
      </c>
      <c r="AI1405" s="76">
        <v>5</v>
      </c>
      <c r="AJ1405" s="76">
        <v>48581</v>
      </c>
      <c r="AK1405" s="76">
        <v>2204</v>
      </c>
      <c r="AL1405" s="76" t="b">
        <v>0</v>
      </c>
      <c r="AM1405" s="78">
        <v>40703.609722222223</v>
      </c>
      <c r="AN1405" s="76"/>
      <c r="AO1405" s="76" t="s">
        <v>25960</v>
      </c>
      <c r="AP1405" s="76"/>
      <c r="AQ1405" s="76"/>
      <c r="AR1405" s="76"/>
      <c r="AS1405" s="76"/>
      <c r="AT1405" s="76"/>
      <c r="AU1405" s="76"/>
      <c r="AV1405" s="76">
        <v>1.67074248570477E+18</v>
      </c>
      <c r="AW1405" s="76"/>
      <c r="AX1405" s="76" t="b">
        <v>0</v>
      </c>
      <c r="AY1405" s="76"/>
      <c r="AZ1405" s="76"/>
      <c r="BA1405" s="76" t="b">
        <v>0</v>
      </c>
      <c r="BB1405" s="76" t="b">
        <v>1</v>
      </c>
      <c r="BC1405" s="76" t="b">
        <v>0</v>
      </c>
      <c r="BD1405" s="76" t="b">
        <v>0</v>
      </c>
      <c r="BE1405" s="76" t="b">
        <v>1</v>
      </c>
      <c r="BF1405" s="76" t="b">
        <v>0</v>
      </c>
      <c r="BG1405" s="76" t="b">
        <v>0</v>
      </c>
      <c r="BH1405" s="82" t="str">
        <f>HYPERLINK("https://pbs.twimg.com/profile_banners/313982367/1621249342")</f>
        <v>https://pbs.twimg.com/profile_banners/313982367/1621249342</v>
      </c>
      <c r="BI1405" s="76"/>
      <c r="BJ1405" s="76" t="s">
        <v>27595</v>
      </c>
      <c r="BK1405" s="76" t="b">
        <v>0</v>
      </c>
      <c r="BL1405" s="76"/>
      <c r="BM1405" s="76" t="s">
        <v>66</v>
      </c>
      <c r="BN1405" s="76" t="s">
        <v>27597</v>
      </c>
      <c r="BO1405" s="82" t="str">
        <f>HYPERLINK("https://twitter.com/sualehedaudo")</f>
        <v>https://twitter.com/sualehedaudo</v>
      </c>
      <c r="BP1405" s="2"/>
    </row>
    <row r="1406" spans="1:68" x14ac:dyDescent="0.25">
      <c r="A1406" s="62" t="s">
        <v>1275</v>
      </c>
      <c r="B1406" s="63"/>
      <c r="C1406" s="63"/>
      <c r="D1406" s="64"/>
      <c r="E1406" s="66"/>
      <c r="F1406" s="103" t="str">
        <f>HYPERLINK("https://pbs.twimg.com/profile_images/1538890348486967296/RebW1RMw_normal.jpg")</f>
        <v>https://pbs.twimg.com/profile_images/1538890348486967296/RebW1RMw_normal.jpg</v>
      </c>
      <c r="G1406" s="63"/>
      <c r="H1406" s="67"/>
      <c r="I1406" s="68"/>
      <c r="J1406" s="68"/>
      <c r="K1406" s="67" t="s">
        <v>29000</v>
      </c>
      <c r="L1406" s="71"/>
      <c r="M1406" s="72"/>
      <c r="N1406" s="72"/>
      <c r="O1406" s="73"/>
      <c r="P1406" s="74"/>
      <c r="Q1406" s="74"/>
      <c r="R1406" s="87"/>
      <c r="S1406" s="87"/>
      <c r="T1406" s="87"/>
      <c r="U1406" s="87"/>
      <c r="V1406" s="48"/>
      <c r="W1406" s="48"/>
      <c r="X1406" s="48"/>
      <c r="Y1406" s="48"/>
      <c r="Z1406" s="47"/>
      <c r="AA1406" s="69">
        <v>1406</v>
      </c>
      <c r="AB1406" s="69"/>
      <c r="AC1406" s="70"/>
      <c r="AD1406" s="76" t="s">
        <v>22621</v>
      </c>
      <c r="AE1406" s="81" t="s">
        <v>21011</v>
      </c>
      <c r="AF1406" s="76">
        <v>55</v>
      </c>
      <c r="AG1406" s="76">
        <v>438</v>
      </c>
      <c r="AH1406" s="76">
        <v>2774</v>
      </c>
      <c r="AI1406" s="76">
        <v>0</v>
      </c>
      <c r="AJ1406" s="76">
        <v>131</v>
      </c>
      <c r="AK1406" s="76">
        <v>781</v>
      </c>
      <c r="AL1406" s="76" t="b">
        <v>0</v>
      </c>
      <c r="AM1406" s="78">
        <v>44732.595277777778</v>
      </c>
      <c r="AN1406" s="76"/>
      <c r="AO1406" s="76" t="s">
        <v>25961</v>
      </c>
      <c r="AP1406" s="76"/>
      <c r="AQ1406" s="76"/>
      <c r="AR1406" s="76"/>
      <c r="AS1406" s="76"/>
      <c r="AT1406" s="76"/>
      <c r="AU1406" s="76"/>
      <c r="AV1406" s="76"/>
      <c r="AW1406" s="76"/>
      <c r="AX1406" s="76" t="b">
        <v>0</v>
      </c>
      <c r="AY1406" s="76"/>
      <c r="AZ1406" s="76"/>
      <c r="BA1406" s="76" t="b">
        <v>0</v>
      </c>
      <c r="BB1406" s="76" t="b">
        <v>1</v>
      </c>
      <c r="BC1406" s="76" t="b">
        <v>1</v>
      </c>
      <c r="BD1406" s="76" t="b">
        <v>0</v>
      </c>
      <c r="BE1406" s="76" t="b">
        <v>1</v>
      </c>
      <c r="BF1406" s="76" t="b">
        <v>0</v>
      </c>
      <c r="BG1406" s="76" t="b">
        <v>0</v>
      </c>
      <c r="BH1406" s="82" t="str">
        <f>HYPERLINK("https://pbs.twimg.com/profile_banners/1538888481409224704/1655735026")</f>
        <v>https://pbs.twimg.com/profile_banners/1538888481409224704/1655735026</v>
      </c>
      <c r="BI1406" s="76"/>
      <c r="BJ1406" s="76" t="s">
        <v>27595</v>
      </c>
      <c r="BK1406" s="76" t="b">
        <v>0</v>
      </c>
      <c r="BL1406" s="76"/>
      <c r="BM1406" s="76" t="s">
        <v>66</v>
      </c>
      <c r="BN1406" s="76" t="s">
        <v>27597</v>
      </c>
      <c r="BO1406" s="82" t="str">
        <f>HYPERLINK("https://twitter.com/enfoque_salta")</f>
        <v>https://twitter.com/enfoque_salta</v>
      </c>
      <c r="BP1406" s="2"/>
    </row>
    <row r="1407" spans="1:68" x14ac:dyDescent="0.25">
      <c r="A1407" s="62" t="s">
        <v>1276</v>
      </c>
      <c r="B1407" s="63"/>
      <c r="C1407" s="63"/>
      <c r="D1407" s="64"/>
      <c r="E1407" s="66"/>
      <c r="F1407" s="103" t="str">
        <f>HYPERLINK("https://pbs.twimg.com/profile_images/940295430201417728/704xlC3K_normal.jpg")</f>
        <v>https://pbs.twimg.com/profile_images/940295430201417728/704xlC3K_normal.jpg</v>
      </c>
      <c r="G1407" s="63"/>
      <c r="H1407" s="67"/>
      <c r="I1407" s="68"/>
      <c r="J1407" s="68"/>
      <c r="K1407" s="67" t="s">
        <v>29001</v>
      </c>
      <c r="L1407" s="71"/>
      <c r="M1407" s="72"/>
      <c r="N1407" s="72"/>
      <c r="O1407" s="73"/>
      <c r="P1407" s="74"/>
      <c r="Q1407" s="74"/>
      <c r="R1407" s="87"/>
      <c r="S1407" s="87"/>
      <c r="T1407" s="87"/>
      <c r="U1407" s="87"/>
      <c r="V1407" s="48"/>
      <c r="W1407" s="48"/>
      <c r="X1407" s="48"/>
      <c r="Y1407" s="48"/>
      <c r="Z1407" s="47"/>
      <c r="AA1407" s="69">
        <v>1407</v>
      </c>
      <c r="AB1407" s="69"/>
      <c r="AC1407" s="70"/>
      <c r="AD1407" s="76" t="s">
        <v>22622</v>
      </c>
      <c r="AE1407" s="81" t="s">
        <v>23806</v>
      </c>
      <c r="AF1407" s="76">
        <v>1634</v>
      </c>
      <c r="AG1407" s="76">
        <v>1545</v>
      </c>
      <c r="AH1407" s="76">
        <v>9239</v>
      </c>
      <c r="AI1407" s="76">
        <v>8</v>
      </c>
      <c r="AJ1407" s="76">
        <v>35</v>
      </c>
      <c r="AK1407" s="76">
        <v>80</v>
      </c>
      <c r="AL1407" s="76" t="b">
        <v>0</v>
      </c>
      <c r="AM1407" s="78">
        <v>41004.941435185188</v>
      </c>
      <c r="AN1407" s="76" t="s">
        <v>24562</v>
      </c>
      <c r="AO1407" s="76" t="s">
        <v>25962</v>
      </c>
      <c r="AP1407" s="82" t="str">
        <f>HYPERLINK("https://t.co/oyvnUjxZZV")</f>
        <v>https://t.co/oyvnUjxZZV</v>
      </c>
      <c r="AQ1407" s="82" t="str">
        <f>HYPERLINK("https://www.portalaz.com.br/")</f>
        <v>https://www.portalaz.com.br/</v>
      </c>
      <c r="AR1407" s="76" t="s">
        <v>27121</v>
      </c>
      <c r="AS1407" s="76"/>
      <c r="AT1407" s="76"/>
      <c r="AU1407" s="76"/>
      <c r="AV1407" s="76">
        <v>1.44511760290959E+18</v>
      </c>
      <c r="AW1407" s="82" t="str">
        <f>HYPERLINK("https://t.co/oyvnUjxZZV")</f>
        <v>https://t.co/oyvnUjxZZV</v>
      </c>
      <c r="AX1407" s="76" t="b">
        <v>0</v>
      </c>
      <c r="AY1407" s="76"/>
      <c r="AZ1407" s="76"/>
      <c r="BA1407" s="76" t="b">
        <v>0</v>
      </c>
      <c r="BB1407" s="76" t="b">
        <v>1</v>
      </c>
      <c r="BC1407" s="76" t="b">
        <v>1</v>
      </c>
      <c r="BD1407" s="76" t="b">
        <v>0</v>
      </c>
      <c r="BE1407" s="76" t="b">
        <v>0</v>
      </c>
      <c r="BF1407" s="76" t="b">
        <v>0</v>
      </c>
      <c r="BG1407" s="76" t="b">
        <v>0</v>
      </c>
      <c r="BH1407" s="82" t="str">
        <f>HYPERLINK("https://pbs.twimg.com/profile_banners/546333689/1515082089")</f>
        <v>https://pbs.twimg.com/profile_banners/546333689/1515082089</v>
      </c>
      <c r="BI1407" s="76"/>
      <c r="BJ1407" s="76" t="s">
        <v>27595</v>
      </c>
      <c r="BK1407" s="76" t="b">
        <v>0</v>
      </c>
      <c r="BL1407" s="76"/>
      <c r="BM1407" s="76" t="s">
        <v>66</v>
      </c>
      <c r="BN1407" s="76" t="s">
        <v>27597</v>
      </c>
      <c r="BO1407" s="82" t="str">
        <f>HYPERLINK("https://twitter.com/portalaz_")</f>
        <v>https://twitter.com/portalaz_</v>
      </c>
      <c r="BP1407" s="2"/>
    </row>
    <row r="1408" spans="1:68" x14ac:dyDescent="0.25">
      <c r="A1408" s="62" t="s">
        <v>1277</v>
      </c>
      <c r="B1408" s="63"/>
      <c r="C1408" s="63"/>
      <c r="D1408" s="64"/>
      <c r="E1408" s="66"/>
      <c r="F1408" s="103" t="str">
        <f>HYPERLINK("https://pbs.twimg.com/profile_images/411877533919870976/fk1MvXO3_normal.jpeg")</f>
        <v>https://pbs.twimg.com/profile_images/411877533919870976/fk1MvXO3_normal.jpeg</v>
      </c>
      <c r="G1408" s="63"/>
      <c r="H1408" s="67"/>
      <c r="I1408" s="68"/>
      <c r="J1408" s="68"/>
      <c r="K1408" s="67" t="s">
        <v>29002</v>
      </c>
      <c r="L1408" s="71"/>
      <c r="M1408" s="72"/>
      <c r="N1408" s="72"/>
      <c r="O1408" s="73"/>
      <c r="P1408" s="74"/>
      <c r="Q1408" s="74"/>
      <c r="R1408" s="87"/>
      <c r="S1408" s="87"/>
      <c r="T1408" s="87"/>
      <c r="U1408" s="87"/>
      <c r="V1408" s="48"/>
      <c r="W1408" s="48"/>
      <c r="X1408" s="48"/>
      <c r="Y1408" s="48"/>
      <c r="Z1408" s="47"/>
      <c r="AA1408" s="69">
        <v>1408</v>
      </c>
      <c r="AB1408" s="69"/>
      <c r="AC1408" s="70"/>
      <c r="AD1408" s="76" t="s">
        <v>22623</v>
      </c>
      <c r="AE1408" s="81" t="s">
        <v>23807</v>
      </c>
      <c r="AF1408" s="76">
        <v>594</v>
      </c>
      <c r="AG1408" s="76">
        <v>1812</v>
      </c>
      <c r="AH1408" s="76">
        <v>2563</v>
      </c>
      <c r="AI1408" s="76">
        <v>4</v>
      </c>
      <c r="AJ1408" s="76">
        <v>2177</v>
      </c>
      <c r="AK1408" s="76">
        <v>1592</v>
      </c>
      <c r="AL1408" s="76" t="b">
        <v>0</v>
      </c>
      <c r="AM1408" s="78">
        <v>41464.710682870369</v>
      </c>
      <c r="AN1408" s="76" t="s">
        <v>14432</v>
      </c>
      <c r="AO1408" s="76" t="s">
        <v>25963</v>
      </c>
      <c r="AP1408" s="82" t="str">
        <f>HYPERLINK("https://t.co/BzhxOndUgP")</f>
        <v>https://t.co/BzhxOndUgP</v>
      </c>
      <c r="AQ1408" s="82" t="str">
        <f>HYPERLINK("https://www.youtube.com/channel/UCMqc7-9bOtw-K_fZeFf2LQQ")</f>
        <v>https://www.youtube.com/channel/UCMqc7-9bOtw-K_fZeFf2LQQ</v>
      </c>
      <c r="AR1408" s="76" t="s">
        <v>27122</v>
      </c>
      <c r="AS1408" s="76"/>
      <c r="AT1408" s="76"/>
      <c r="AU1408" s="76"/>
      <c r="AV1408" s="76">
        <v>1.68095594010577E+18</v>
      </c>
      <c r="AW1408" s="82" t="str">
        <f>HYPERLINK("https://t.co/BzhxOndUgP")</f>
        <v>https://t.co/BzhxOndUgP</v>
      </c>
      <c r="AX1408" s="76" t="b">
        <v>0</v>
      </c>
      <c r="AY1408" s="76"/>
      <c r="AZ1408" s="76"/>
      <c r="BA1408" s="76" t="b">
        <v>0</v>
      </c>
      <c r="BB1408" s="76" t="b">
        <v>1</v>
      </c>
      <c r="BC1408" s="76" t="b">
        <v>0</v>
      </c>
      <c r="BD1408" s="76" t="b">
        <v>0</v>
      </c>
      <c r="BE1408" s="76" t="b">
        <v>1</v>
      </c>
      <c r="BF1408" s="76" t="b">
        <v>0</v>
      </c>
      <c r="BG1408" s="76" t="b">
        <v>0</v>
      </c>
      <c r="BH1408" s="82" t="str">
        <f>HYPERLINK("https://pbs.twimg.com/profile_banners/1580818440/1502621289")</f>
        <v>https://pbs.twimg.com/profile_banners/1580818440/1502621289</v>
      </c>
      <c r="BI1408" s="76"/>
      <c r="BJ1408" s="76" t="s">
        <v>27595</v>
      </c>
      <c r="BK1408" s="76" t="b">
        <v>0</v>
      </c>
      <c r="BL1408" s="76"/>
      <c r="BM1408" s="76" t="s">
        <v>66</v>
      </c>
      <c r="BN1408" s="76" t="s">
        <v>27597</v>
      </c>
      <c r="BO1408" s="82" t="str">
        <f>HYPERLINK("https://twitter.com/leandro3088")</f>
        <v>https://twitter.com/leandro3088</v>
      </c>
      <c r="BP1408" s="2"/>
    </row>
    <row r="1409" spans="1:68" x14ac:dyDescent="0.25">
      <c r="A1409" s="62" t="s">
        <v>2006</v>
      </c>
      <c r="B1409" s="63"/>
      <c r="C1409" s="63"/>
      <c r="D1409" s="64"/>
      <c r="E1409" s="66"/>
      <c r="F1409" s="103" t="str">
        <f>HYPERLINK("https://pbs.twimg.com/profile_images/1569867504033431552/_OdA-W2W_normal.jpg")</f>
        <v>https://pbs.twimg.com/profile_images/1569867504033431552/_OdA-W2W_normal.jpg</v>
      </c>
      <c r="G1409" s="63"/>
      <c r="H1409" s="67"/>
      <c r="I1409" s="68"/>
      <c r="J1409" s="68"/>
      <c r="K1409" s="67" t="s">
        <v>29003</v>
      </c>
      <c r="L1409" s="71"/>
      <c r="M1409" s="72"/>
      <c r="N1409" s="72"/>
      <c r="O1409" s="73"/>
      <c r="P1409" s="74"/>
      <c r="Q1409" s="74"/>
      <c r="R1409" s="87"/>
      <c r="S1409" s="87"/>
      <c r="T1409" s="87"/>
      <c r="U1409" s="87"/>
      <c r="V1409" s="48"/>
      <c r="W1409" s="48"/>
      <c r="X1409" s="48"/>
      <c r="Y1409" s="48"/>
      <c r="Z1409" s="47"/>
      <c r="AA1409" s="69">
        <v>1409</v>
      </c>
      <c r="AB1409" s="69"/>
      <c r="AC1409" s="70"/>
      <c r="AD1409" s="76" t="s">
        <v>22624</v>
      </c>
      <c r="AE1409" s="81" t="s">
        <v>23808</v>
      </c>
      <c r="AF1409" s="76">
        <v>1185</v>
      </c>
      <c r="AG1409" s="76">
        <v>749</v>
      </c>
      <c r="AH1409" s="76">
        <v>10281</v>
      </c>
      <c r="AI1409" s="76">
        <v>9</v>
      </c>
      <c r="AJ1409" s="76">
        <v>19482</v>
      </c>
      <c r="AK1409" s="76">
        <v>167</v>
      </c>
      <c r="AL1409" s="76" t="b">
        <v>0</v>
      </c>
      <c r="AM1409" s="78">
        <v>44220.969305555554</v>
      </c>
      <c r="AN1409" s="76" t="s">
        <v>24563</v>
      </c>
      <c r="AO1409" s="76" t="s">
        <v>25964</v>
      </c>
      <c r="AP1409" s="82" t="str">
        <f>HYPERLINK("https://t.co/uRybkYUUQN")</f>
        <v>https://t.co/uRybkYUUQN</v>
      </c>
      <c r="AQ1409" s="82" t="str">
        <f>HYPERLINK("http://jessicawhitakeroficial.com/start/")</f>
        <v>http://jessicawhitakeroficial.com/start/</v>
      </c>
      <c r="AR1409" s="76" t="s">
        <v>27123</v>
      </c>
      <c r="AS1409" s="76"/>
      <c r="AT1409" s="76"/>
      <c r="AU1409" s="76"/>
      <c r="AV1409" s="76">
        <v>1.6761776220515E+18</v>
      </c>
      <c r="AW1409" s="82" t="str">
        <f>HYPERLINK("https://t.co/uRybkYUUQN")</f>
        <v>https://t.co/uRybkYUUQN</v>
      </c>
      <c r="AX1409" s="76" t="b">
        <v>0</v>
      </c>
      <c r="AY1409" s="76"/>
      <c r="AZ1409" s="76"/>
      <c r="BA1409" s="76" t="b">
        <v>0</v>
      </c>
      <c r="BB1409" s="76" t="b">
        <v>0</v>
      </c>
      <c r="BC1409" s="76" t="b">
        <v>1</v>
      </c>
      <c r="BD1409" s="76" t="b">
        <v>0</v>
      </c>
      <c r="BE1409" s="76" t="b">
        <v>1</v>
      </c>
      <c r="BF1409" s="76" t="b">
        <v>0</v>
      </c>
      <c r="BG1409" s="76" t="b">
        <v>0</v>
      </c>
      <c r="BH1409" s="76"/>
      <c r="BI1409" s="76"/>
      <c r="BJ1409" s="76" t="s">
        <v>27595</v>
      </c>
      <c r="BK1409" s="76" t="b">
        <v>0</v>
      </c>
      <c r="BL1409" s="76"/>
      <c r="BM1409" s="76" t="s">
        <v>65</v>
      </c>
      <c r="BN1409" s="76" t="s">
        <v>27597</v>
      </c>
      <c r="BO1409" s="82" t="str">
        <f>HYPERLINK("https://twitter.com/jessswhitaker")</f>
        <v>https://twitter.com/jessswhitaker</v>
      </c>
      <c r="BP1409" s="2"/>
    </row>
    <row r="1410" spans="1:68" x14ac:dyDescent="0.25">
      <c r="A1410" s="62" t="s">
        <v>1278</v>
      </c>
      <c r="B1410" s="63"/>
      <c r="C1410" s="63"/>
      <c r="D1410" s="64"/>
      <c r="E1410" s="66"/>
      <c r="F1410" s="103" t="str">
        <f>HYPERLINK("https://pbs.twimg.com/profile_images/1637862035525361673/Zq1EIsAn_normal.jpg")</f>
        <v>https://pbs.twimg.com/profile_images/1637862035525361673/Zq1EIsAn_normal.jpg</v>
      </c>
      <c r="G1410" s="63"/>
      <c r="H1410" s="67"/>
      <c r="I1410" s="68"/>
      <c r="J1410" s="68"/>
      <c r="K1410" s="67" t="s">
        <v>29004</v>
      </c>
      <c r="L1410" s="71"/>
      <c r="M1410" s="72"/>
      <c r="N1410" s="72"/>
      <c r="O1410" s="73"/>
      <c r="P1410" s="74"/>
      <c r="Q1410" s="74"/>
      <c r="R1410" s="87"/>
      <c r="S1410" s="87"/>
      <c r="T1410" s="87"/>
      <c r="U1410" s="87"/>
      <c r="V1410" s="48"/>
      <c r="W1410" s="48"/>
      <c r="X1410" s="48"/>
      <c r="Y1410" s="48"/>
      <c r="Z1410" s="47"/>
      <c r="AA1410" s="69">
        <v>1410</v>
      </c>
      <c r="AB1410" s="69"/>
      <c r="AC1410" s="70"/>
      <c r="AD1410" s="76" t="s">
        <v>22625</v>
      </c>
      <c r="AE1410" s="81" t="s">
        <v>21012</v>
      </c>
      <c r="AF1410" s="76">
        <v>188</v>
      </c>
      <c r="AG1410" s="76">
        <v>4</v>
      </c>
      <c r="AH1410" s="76">
        <v>156</v>
      </c>
      <c r="AI1410" s="76">
        <v>1</v>
      </c>
      <c r="AJ1410" s="76">
        <v>17</v>
      </c>
      <c r="AK1410" s="76">
        <v>129</v>
      </c>
      <c r="AL1410" s="76" t="b">
        <v>0</v>
      </c>
      <c r="AM1410" s="78">
        <v>45005.68644675926</v>
      </c>
      <c r="AN1410" s="76" t="s">
        <v>14385</v>
      </c>
      <c r="AO1410" s="76"/>
      <c r="AP1410" s="76"/>
      <c r="AQ1410" s="76"/>
      <c r="AR1410" s="76"/>
      <c r="AS1410" s="76"/>
      <c r="AT1410" s="76"/>
      <c r="AU1410" s="76"/>
      <c r="AV1410" s="76"/>
      <c r="AW1410" s="76"/>
      <c r="AX1410" s="76" t="b">
        <v>0</v>
      </c>
      <c r="AY1410" s="76"/>
      <c r="AZ1410" s="76"/>
      <c r="BA1410" s="76" t="b">
        <v>0</v>
      </c>
      <c r="BB1410" s="76" t="b">
        <v>1</v>
      </c>
      <c r="BC1410" s="76" t="b">
        <v>1</v>
      </c>
      <c r="BD1410" s="76" t="b">
        <v>0</v>
      </c>
      <c r="BE1410" s="76" t="b">
        <v>0</v>
      </c>
      <c r="BF1410" s="76" t="b">
        <v>0</v>
      </c>
      <c r="BG1410" s="76" t="b">
        <v>0</v>
      </c>
      <c r="BH1410" s="82" t="str">
        <f>HYPERLINK("https://pbs.twimg.com/profile_banners/1637853578072055825/1679343030")</f>
        <v>https://pbs.twimg.com/profile_banners/1637853578072055825/1679343030</v>
      </c>
      <c r="BI1410" s="76"/>
      <c r="BJ1410" s="76" t="s">
        <v>27595</v>
      </c>
      <c r="BK1410" s="76" t="b">
        <v>0</v>
      </c>
      <c r="BL1410" s="76"/>
      <c r="BM1410" s="76" t="s">
        <v>66</v>
      </c>
      <c r="BN1410" s="76" t="s">
        <v>27597</v>
      </c>
      <c r="BO1410" s="82" t="str">
        <f>HYPERLINK("https://twitter.com/flibertarias")</f>
        <v>https://twitter.com/flibertarias</v>
      </c>
      <c r="BP1410" s="2"/>
    </row>
    <row r="1411" spans="1:68" x14ac:dyDescent="0.25">
      <c r="A1411" s="62" t="s">
        <v>1279</v>
      </c>
      <c r="B1411" s="63"/>
      <c r="C1411" s="63"/>
      <c r="D1411" s="64"/>
      <c r="E1411" s="66"/>
      <c r="F1411" s="103" t="str">
        <f>HYPERLINK("https://pbs.twimg.com/profile_images/1663258296495554583/OBMMCxHu_normal.jpg")</f>
        <v>https://pbs.twimg.com/profile_images/1663258296495554583/OBMMCxHu_normal.jpg</v>
      </c>
      <c r="G1411" s="63"/>
      <c r="H1411" s="67"/>
      <c r="I1411" s="68"/>
      <c r="J1411" s="68"/>
      <c r="K1411" s="67" t="s">
        <v>29005</v>
      </c>
      <c r="L1411" s="71"/>
      <c r="M1411" s="72"/>
      <c r="N1411" s="72"/>
      <c r="O1411" s="73"/>
      <c r="P1411" s="74"/>
      <c r="Q1411" s="74"/>
      <c r="R1411" s="87"/>
      <c r="S1411" s="87"/>
      <c r="T1411" s="87"/>
      <c r="U1411" s="87"/>
      <c r="V1411" s="48"/>
      <c r="W1411" s="48"/>
      <c r="X1411" s="48"/>
      <c r="Y1411" s="48"/>
      <c r="Z1411" s="47"/>
      <c r="AA1411" s="69">
        <v>1411</v>
      </c>
      <c r="AB1411" s="69"/>
      <c r="AC1411" s="70"/>
      <c r="AD1411" s="76" t="s">
        <v>22626</v>
      </c>
      <c r="AE1411" s="81" t="s">
        <v>21013</v>
      </c>
      <c r="AF1411" s="76">
        <v>5614</v>
      </c>
      <c r="AG1411" s="76">
        <v>5970</v>
      </c>
      <c r="AH1411" s="76">
        <v>267449</v>
      </c>
      <c r="AI1411" s="76">
        <v>0</v>
      </c>
      <c r="AJ1411" s="76">
        <v>284012</v>
      </c>
      <c r="AK1411" s="76">
        <v>7049</v>
      </c>
      <c r="AL1411" s="76" t="b">
        <v>0</v>
      </c>
      <c r="AM1411" s="78">
        <v>43470.674363425926</v>
      </c>
      <c r="AN1411" s="76" t="s">
        <v>24138</v>
      </c>
      <c r="AO1411" s="76" t="s">
        <v>25965</v>
      </c>
      <c r="AP1411" s="76"/>
      <c r="AQ1411" s="76"/>
      <c r="AR1411" s="76"/>
      <c r="AS1411" s="76"/>
      <c r="AT1411" s="76"/>
      <c r="AU1411" s="76"/>
      <c r="AV1411" s="76"/>
      <c r="AW1411" s="76"/>
      <c r="AX1411" s="76" t="b">
        <v>0</v>
      </c>
      <c r="AY1411" s="76"/>
      <c r="AZ1411" s="76"/>
      <c r="BA1411" s="76" t="b">
        <v>0</v>
      </c>
      <c r="BB1411" s="76" t="b">
        <v>1</v>
      </c>
      <c r="BC1411" s="76" t="b">
        <v>1</v>
      </c>
      <c r="BD1411" s="76" t="b">
        <v>0</v>
      </c>
      <c r="BE1411" s="76" t="b">
        <v>1</v>
      </c>
      <c r="BF1411" s="76" t="b">
        <v>0</v>
      </c>
      <c r="BG1411" s="76" t="b">
        <v>0</v>
      </c>
      <c r="BH1411" s="82" t="str">
        <f>HYPERLINK("https://pbs.twimg.com/profile_banners/1081583873291624451/1673738985")</f>
        <v>https://pbs.twimg.com/profile_banners/1081583873291624451/1673738985</v>
      </c>
      <c r="BI1411" s="76"/>
      <c r="BJ1411" s="76" t="s">
        <v>27595</v>
      </c>
      <c r="BK1411" s="76" t="b">
        <v>0</v>
      </c>
      <c r="BL1411" s="76"/>
      <c r="BM1411" s="76" t="s">
        <v>66</v>
      </c>
      <c r="BN1411" s="76" t="s">
        <v>27597</v>
      </c>
      <c r="BO1411" s="82" t="str">
        <f>HYPERLINK("https://twitter.com/terezafelipego")</f>
        <v>https://twitter.com/terezafelipego</v>
      </c>
      <c r="BP1411" s="2"/>
    </row>
    <row r="1412" spans="1:68" x14ac:dyDescent="0.25">
      <c r="A1412" s="62" t="s">
        <v>1280</v>
      </c>
      <c r="B1412" s="63"/>
      <c r="C1412" s="63"/>
      <c r="D1412" s="64"/>
      <c r="E1412" s="66"/>
      <c r="F1412" s="103" t="str">
        <f>HYPERLINK("https://pbs.twimg.com/profile_images/1384132534225629199/jV7gk5T9_normal.jpg")</f>
        <v>https://pbs.twimg.com/profile_images/1384132534225629199/jV7gk5T9_normal.jpg</v>
      </c>
      <c r="G1412" s="63"/>
      <c r="H1412" s="67"/>
      <c r="I1412" s="68"/>
      <c r="J1412" s="68"/>
      <c r="K1412" s="67" t="s">
        <v>29006</v>
      </c>
      <c r="L1412" s="71"/>
      <c r="M1412" s="72"/>
      <c r="N1412" s="72"/>
      <c r="O1412" s="73"/>
      <c r="P1412" s="74"/>
      <c r="Q1412" s="74"/>
      <c r="R1412" s="87"/>
      <c r="S1412" s="87"/>
      <c r="T1412" s="87"/>
      <c r="U1412" s="87"/>
      <c r="V1412" s="48"/>
      <c r="W1412" s="48"/>
      <c r="X1412" s="48"/>
      <c r="Y1412" s="48"/>
      <c r="Z1412" s="47"/>
      <c r="AA1412" s="69">
        <v>1412</v>
      </c>
      <c r="AB1412" s="69"/>
      <c r="AC1412" s="70"/>
      <c r="AD1412" s="76" t="s">
        <v>22627</v>
      </c>
      <c r="AE1412" s="81" t="s">
        <v>23809</v>
      </c>
      <c r="AF1412" s="76">
        <v>34183</v>
      </c>
      <c r="AG1412" s="76">
        <v>29</v>
      </c>
      <c r="AH1412" s="76">
        <v>279161</v>
      </c>
      <c r="AI1412" s="76">
        <v>251</v>
      </c>
      <c r="AJ1412" s="76">
        <v>1288</v>
      </c>
      <c r="AK1412" s="76">
        <v>138017</v>
      </c>
      <c r="AL1412" s="76" t="b">
        <v>0</v>
      </c>
      <c r="AM1412" s="78">
        <v>40585.628842592596</v>
      </c>
      <c r="AN1412" s="76" t="s">
        <v>24564</v>
      </c>
      <c r="AO1412" s="76" t="s">
        <v>25966</v>
      </c>
      <c r="AP1412" s="82" t="str">
        <f>HYPERLINK("https://t.co/5hm7wDKDte")</f>
        <v>https://t.co/5hm7wDKDte</v>
      </c>
      <c r="AQ1412" s="82" t="str">
        <f>HYPERLINK("http://www.diariojornada.com.ar")</f>
        <v>http://www.diariojornada.com.ar</v>
      </c>
      <c r="AR1412" s="76" t="s">
        <v>27124</v>
      </c>
      <c r="AS1412" s="76"/>
      <c r="AT1412" s="76"/>
      <c r="AU1412" s="76"/>
      <c r="AV1412" s="76"/>
      <c r="AW1412" s="82" t="str">
        <f>HYPERLINK("https://t.co/5hm7wDKDte")</f>
        <v>https://t.co/5hm7wDKDte</v>
      </c>
      <c r="AX1412" s="76" t="b">
        <v>0</v>
      </c>
      <c r="AY1412" s="76"/>
      <c r="AZ1412" s="76"/>
      <c r="BA1412" s="76" t="b">
        <v>0</v>
      </c>
      <c r="BB1412" s="76" t="b">
        <v>0</v>
      </c>
      <c r="BC1412" s="76" t="b">
        <v>0</v>
      </c>
      <c r="BD1412" s="76" t="b">
        <v>0</v>
      </c>
      <c r="BE1412" s="76" t="b">
        <v>0</v>
      </c>
      <c r="BF1412" s="76" t="b">
        <v>0</v>
      </c>
      <c r="BG1412" s="76" t="b">
        <v>0</v>
      </c>
      <c r="BH1412" s="82" t="str">
        <f>HYPERLINK("https://pbs.twimg.com/profile_banners/250662294/1615216760")</f>
        <v>https://pbs.twimg.com/profile_banners/250662294/1615216760</v>
      </c>
      <c r="BI1412" s="76"/>
      <c r="BJ1412" s="76" t="s">
        <v>27595</v>
      </c>
      <c r="BK1412" s="76" t="b">
        <v>0</v>
      </c>
      <c r="BL1412" s="76"/>
      <c r="BM1412" s="76" t="s">
        <v>66</v>
      </c>
      <c r="BN1412" s="76" t="s">
        <v>27597</v>
      </c>
      <c r="BO1412" s="82" t="str">
        <f>HYPERLINK("https://twitter.com/jornadaweb")</f>
        <v>https://twitter.com/jornadaweb</v>
      </c>
      <c r="BP1412" s="2"/>
    </row>
    <row r="1413" spans="1:68" x14ac:dyDescent="0.25">
      <c r="A1413" s="62" t="s">
        <v>1281</v>
      </c>
      <c r="B1413" s="63"/>
      <c r="C1413" s="63"/>
      <c r="D1413" s="64"/>
      <c r="E1413" s="66"/>
      <c r="F1413" s="103" t="str">
        <f>HYPERLINK("https://pbs.twimg.com/profile_images/1641605987223085056/NgQ1kah-_normal.jpg")</f>
        <v>https://pbs.twimg.com/profile_images/1641605987223085056/NgQ1kah-_normal.jpg</v>
      </c>
      <c r="G1413" s="63"/>
      <c r="H1413" s="67"/>
      <c r="I1413" s="68"/>
      <c r="J1413" s="68"/>
      <c r="K1413" s="67" t="s">
        <v>29007</v>
      </c>
      <c r="L1413" s="71"/>
      <c r="M1413" s="72"/>
      <c r="N1413" s="72"/>
      <c r="O1413" s="73"/>
      <c r="P1413" s="74"/>
      <c r="Q1413" s="74"/>
      <c r="R1413" s="87"/>
      <c r="S1413" s="87"/>
      <c r="T1413" s="87"/>
      <c r="U1413" s="87"/>
      <c r="V1413" s="48"/>
      <c r="W1413" s="48"/>
      <c r="X1413" s="48"/>
      <c r="Y1413" s="48"/>
      <c r="Z1413" s="47"/>
      <c r="AA1413" s="69">
        <v>1413</v>
      </c>
      <c r="AB1413" s="69"/>
      <c r="AC1413" s="70"/>
      <c r="AD1413" s="76" t="s">
        <v>22628</v>
      </c>
      <c r="AE1413" s="81" t="s">
        <v>21014</v>
      </c>
      <c r="AF1413" s="76">
        <v>32</v>
      </c>
      <c r="AG1413" s="76">
        <v>167</v>
      </c>
      <c r="AH1413" s="76">
        <v>93</v>
      </c>
      <c r="AI1413" s="76">
        <v>0</v>
      </c>
      <c r="AJ1413" s="76">
        <v>257</v>
      </c>
      <c r="AK1413" s="76">
        <v>7</v>
      </c>
      <c r="AL1413" s="76" t="b">
        <v>0</v>
      </c>
      <c r="AM1413" s="78">
        <v>45000.584293981483</v>
      </c>
      <c r="AN1413" s="76" t="s">
        <v>14382</v>
      </c>
      <c r="AO1413" s="76" t="s">
        <v>25967</v>
      </c>
      <c r="AP1413" s="82" t="str">
        <f>HYPERLINK("https://t.co/1a4aIecP6w")</f>
        <v>https://t.co/1a4aIecP6w</v>
      </c>
      <c r="AQ1413" s="82" t="str">
        <f>HYPERLINK("https://www.linkedin.com/company/institutodesenvolvimentista")</f>
        <v>https://www.linkedin.com/company/institutodesenvolvimentista</v>
      </c>
      <c r="AR1413" s="76" t="s">
        <v>27125</v>
      </c>
      <c r="AS1413" s="76"/>
      <c r="AT1413" s="76"/>
      <c r="AU1413" s="76"/>
      <c r="AV1413" s="76">
        <v>1.6379710042731599E+18</v>
      </c>
      <c r="AW1413" s="82" t="str">
        <f>HYPERLINK("https://t.co/1a4aIecP6w")</f>
        <v>https://t.co/1a4aIecP6w</v>
      </c>
      <c r="AX1413" s="76" t="b">
        <v>0</v>
      </c>
      <c r="AY1413" s="76"/>
      <c r="AZ1413" s="76"/>
      <c r="BA1413" s="76" t="b">
        <v>0</v>
      </c>
      <c r="BB1413" s="76" t="b">
        <v>1</v>
      </c>
      <c r="BC1413" s="76" t="b">
        <v>1</v>
      </c>
      <c r="BD1413" s="76" t="b">
        <v>0</v>
      </c>
      <c r="BE1413" s="76" t="b">
        <v>0</v>
      </c>
      <c r="BF1413" s="76" t="b">
        <v>0</v>
      </c>
      <c r="BG1413" s="76" t="b">
        <v>0</v>
      </c>
      <c r="BH1413" s="82" t="str">
        <f>HYPERLINK("https://pbs.twimg.com/profile_banners/1636003627490766851/1678890318")</f>
        <v>https://pbs.twimg.com/profile_banners/1636003627490766851/1678890318</v>
      </c>
      <c r="BI1413" s="76"/>
      <c r="BJ1413" s="76" t="s">
        <v>27595</v>
      </c>
      <c r="BK1413" s="76" t="b">
        <v>0</v>
      </c>
      <c r="BL1413" s="76"/>
      <c r="BM1413" s="76" t="s">
        <v>66</v>
      </c>
      <c r="BN1413" s="76" t="s">
        <v>27597</v>
      </c>
      <c r="BO1413" s="82" t="str">
        <f>HYPERLINK("https://twitter.com/instdesenvolvi_")</f>
        <v>https://twitter.com/instdesenvolvi_</v>
      </c>
      <c r="BP1413" s="2"/>
    </row>
    <row r="1414" spans="1:68" x14ac:dyDescent="0.25">
      <c r="A1414" s="62" t="s">
        <v>1282</v>
      </c>
      <c r="B1414" s="63"/>
      <c r="C1414" s="63"/>
      <c r="D1414" s="64"/>
      <c r="E1414" s="66"/>
      <c r="F1414" s="103" t="str">
        <f>HYPERLINK("https://pbs.twimg.com/profile_images/1264883405638045702/04KkdII7_normal.jpg")</f>
        <v>https://pbs.twimg.com/profile_images/1264883405638045702/04KkdII7_normal.jpg</v>
      </c>
      <c r="G1414" s="63"/>
      <c r="H1414" s="67"/>
      <c r="I1414" s="68"/>
      <c r="J1414" s="68"/>
      <c r="K1414" s="67" t="s">
        <v>29008</v>
      </c>
      <c r="L1414" s="71"/>
      <c r="M1414" s="72"/>
      <c r="N1414" s="72"/>
      <c r="O1414" s="73"/>
      <c r="P1414" s="74"/>
      <c r="Q1414" s="74"/>
      <c r="R1414" s="87"/>
      <c r="S1414" s="87"/>
      <c r="T1414" s="87"/>
      <c r="U1414" s="87"/>
      <c r="V1414" s="48"/>
      <c r="W1414" s="48"/>
      <c r="X1414" s="48"/>
      <c r="Y1414" s="48"/>
      <c r="Z1414" s="47"/>
      <c r="AA1414" s="69">
        <v>1414</v>
      </c>
      <c r="AB1414" s="69"/>
      <c r="AC1414" s="70"/>
      <c r="AD1414" s="76" t="s">
        <v>22629</v>
      </c>
      <c r="AE1414" s="81" t="s">
        <v>21015</v>
      </c>
      <c r="AF1414" s="76">
        <v>456</v>
      </c>
      <c r="AG1414" s="76">
        <v>33</v>
      </c>
      <c r="AH1414" s="76">
        <v>5280</v>
      </c>
      <c r="AI1414" s="76">
        <v>1</v>
      </c>
      <c r="AJ1414" s="76">
        <v>40</v>
      </c>
      <c r="AK1414" s="76">
        <v>64</v>
      </c>
      <c r="AL1414" s="76" t="b">
        <v>0</v>
      </c>
      <c r="AM1414" s="78">
        <v>43976.484375</v>
      </c>
      <c r="AN1414" s="76" t="s">
        <v>24565</v>
      </c>
      <c r="AO1414" s="76" t="s">
        <v>25968</v>
      </c>
      <c r="AP1414" s="82" t="str">
        <f>HYPERLINK("https://t.co/qOtwMhTMsz")</f>
        <v>https://t.co/qOtwMhTMsz</v>
      </c>
      <c r="AQ1414" s="82" t="str">
        <f>HYPERLINK("http://www.joaofinanceira.com.br/")</f>
        <v>http://www.joaofinanceira.com.br/</v>
      </c>
      <c r="AR1414" s="76" t="s">
        <v>27126</v>
      </c>
      <c r="AS1414" s="82" t="str">
        <f>HYPERLINK("https://t.co/z2zYWFbTox")</f>
        <v>https://t.co/z2zYWFbTox</v>
      </c>
      <c r="AT1414" s="82" t="str">
        <f>HYPERLINK("https://www.youtube.com/c/joaofinanceira")</f>
        <v>https://www.youtube.com/c/joaofinanceira</v>
      </c>
      <c r="AU1414" s="76" t="s">
        <v>27544</v>
      </c>
      <c r="AV1414" s="76"/>
      <c r="AW1414" s="82" t="str">
        <f>HYPERLINK("https://t.co/qOtwMhTMsz")</f>
        <v>https://t.co/qOtwMhTMsz</v>
      </c>
      <c r="AX1414" s="76" t="b">
        <v>0</v>
      </c>
      <c r="AY1414" s="76"/>
      <c r="AZ1414" s="76"/>
      <c r="BA1414" s="76" t="b">
        <v>0</v>
      </c>
      <c r="BB1414" s="76" t="b">
        <v>1</v>
      </c>
      <c r="BC1414" s="76" t="b">
        <v>1</v>
      </c>
      <c r="BD1414" s="76" t="b">
        <v>0</v>
      </c>
      <c r="BE1414" s="76" t="b">
        <v>0</v>
      </c>
      <c r="BF1414" s="76" t="b">
        <v>0</v>
      </c>
      <c r="BG1414" s="76" t="b">
        <v>0</v>
      </c>
      <c r="BH1414" s="82" t="str">
        <f>HYPERLINK("https://pbs.twimg.com/profile_banners/1264883257411330048/1590407330")</f>
        <v>https://pbs.twimg.com/profile_banners/1264883257411330048/1590407330</v>
      </c>
      <c r="BI1414" s="76"/>
      <c r="BJ1414" s="76" t="s">
        <v>27595</v>
      </c>
      <c r="BK1414" s="76" t="b">
        <v>0</v>
      </c>
      <c r="BL1414" s="76"/>
      <c r="BM1414" s="76" t="s">
        <v>66</v>
      </c>
      <c r="BN1414" s="76" t="s">
        <v>27597</v>
      </c>
      <c r="BO1414" s="82" t="str">
        <f>HYPERLINK("https://twitter.com/joaofinanceira")</f>
        <v>https://twitter.com/joaofinanceira</v>
      </c>
      <c r="BP1414" s="2"/>
    </row>
    <row r="1415" spans="1:68" x14ac:dyDescent="0.25">
      <c r="A1415" s="62" t="s">
        <v>1283</v>
      </c>
      <c r="B1415" s="63"/>
      <c r="C1415" s="63"/>
      <c r="D1415" s="64"/>
      <c r="E1415" s="66"/>
      <c r="F1415" s="103" t="str">
        <f>HYPERLINK("https://pbs.twimg.com/profile_images/1614746110748233733/CFTKb9Jg_normal.jpg")</f>
        <v>https://pbs.twimg.com/profile_images/1614746110748233733/CFTKb9Jg_normal.jpg</v>
      </c>
      <c r="G1415" s="63"/>
      <c r="H1415" s="67"/>
      <c r="I1415" s="68"/>
      <c r="J1415" s="68"/>
      <c r="K1415" s="67" t="s">
        <v>29009</v>
      </c>
      <c r="L1415" s="71"/>
      <c r="M1415" s="72"/>
      <c r="N1415" s="72"/>
      <c r="O1415" s="73"/>
      <c r="P1415" s="74"/>
      <c r="Q1415" s="74"/>
      <c r="R1415" s="87"/>
      <c r="S1415" s="87"/>
      <c r="T1415" s="87"/>
      <c r="U1415" s="87"/>
      <c r="V1415" s="48"/>
      <c r="W1415" s="48"/>
      <c r="X1415" s="48"/>
      <c r="Y1415" s="48"/>
      <c r="Z1415" s="47"/>
      <c r="AA1415" s="69">
        <v>1415</v>
      </c>
      <c r="AB1415" s="69"/>
      <c r="AC1415" s="70"/>
      <c r="AD1415" s="76" t="s">
        <v>22630</v>
      </c>
      <c r="AE1415" s="81" t="s">
        <v>21016</v>
      </c>
      <c r="AF1415" s="76">
        <v>21</v>
      </c>
      <c r="AG1415" s="76">
        <v>61</v>
      </c>
      <c r="AH1415" s="76">
        <v>1215</v>
      </c>
      <c r="AI1415" s="76">
        <v>1</v>
      </c>
      <c r="AJ1415" s="76">
        <v>3</v>
      </c>
      <c r="AK1415" s="76">
        <v>308</v>
      </c>
      <c r="AL1415" s="76" t="b">
        <v>0</v>
      </c>
      <c r="AM1415" s="78">
        <v>44941.921840277777</v>
      </c>
      <c r="AN1415" s="76"/>
      <c r="AO1415" s="76" t="s">
        <v>25969</v>
      </c>
      <c r="AP1415" s="82" t="str">
        <f>HYPERLINK("https://t.co/9NRqtcnczF")</f>
        <v>https://t.co/9NRqtcnczF</v>
      </c>
      <c r="AQ1415" s="82" t="str">
        <f>HYPERLINK("http://www.imagendocumental.com")</f>
        <v>http://www.imagendocumental.com</v>
      </c>
      <c r="AR1415" s="76" t="s">
        <v>8823</v>
      </c>
      <c r="AS1415" s="76"/>
      <c r="AT1415" s="76"/>
      <c r="AU1415" s="76"/>
      <c r="AV1415" s="76"/>
      <c r="AW1415" s="82" t="str">
        <f>HYPERLINK("https://t.co/9NRqtcnczF")</f>
        <v>https://t.co/9NRqtcnczF</v>
      </c>
      <c r="AX1415" s="76" t="b">
        <v>0</v>
      </c>
      <c r="AY1415" s="76"/>
      <c r="AZ1415" s="76"/>
      <c r="BA1415" s="76" t="b">
        <v>0</v>
      </c>
      <c r="BB1415" s="76" t="b">
        <v>1</v>
      </c>
      <c r="BC1415" s="76" t="b">
        <v>1</v>
      </c>
      <c r="BD1415" s="76" t="b">
        <v>0</v>
      </c>
      <c r="BE1415" s="76" t="b">
        <v>0</v>
      </c>
      <c r="BF1415" s="76" t="b">
        <v>0</v>
      </c>
      <c r="BG1415" s="76" t="b">
        <v>0</v>
      </c>
      <c r="BH1415" s="82" t="str">
        <f>HYPERLINK("https://pbs.twimg.com/profile_banners/1614745988203249673/1687909331")</f>
        <v>https://pbs.twimg.com/profile_banners/1614745988203249673/1687909331</v>
      </c>
      <c r="BI1415" s="76"/>
      <c r="BJ1415" s="76" t="s">
        <v>27595</v>
      </c>
      <c r="BK1415" s="76" t="b">
        <v>0</v>
      </c>
      <c r="BL1415" s="76"/>
      <c r="BM1415" s="76" t="s">
        <v>66</v>
      </c>
      <c r="BN1415" s="76" t="s">
        <v>27597</v>
      </c>
      <c r="BO1415" s="82" t="str">
        <f>HYPERLINK("https://twitter.com/idcorrientes")</f>
        <v>https://twitter.com/idcorrientes</v>
      </c>
      <c r="BP1415" s="2"/>
    </row>
    <row r="1416" spans="1:68" x14ac:dyDescent="0.25">
      <c r="A1416" s="62" t="s">
        <v>1284</v>
      </c>
      <c r="B1416" s="63"/>
      <c r="C1416" s="63"/>
      <c r="D1416" s="64"/>
      <c r="E1416" s="66"/>
      <c r="F1416" s="103" t="str">
        <f>HYPERLINK("https://pbs.twimg.com/profile_images/1365395023072817162/ZI8fAPrO_normal.jpg")</f>
        <v>https://pbs.twimg.com/profile_images/1365395023072817162/ZI8fAPrO_normal.jpg</v>
      </c>
      <c r="G1416" s="63"/>
      <c r="H1416" s="67"/>
      <c r="I1416" s="68"/>
      <c r="J1416" s="68"/>
      <c r="K1416" s="67" t="s">
        <v>29010</v>
      </c>
      <c r="L1416" s="71"/>
      <c r="M1416" s="72"/>
      <c r="N1416" s="72"/>
      <c r="O1416" s="73"/>
      <c r="P1416" s="74"/>
      <c r="Q1416" s="74"/>
      <c r="R1416" s="87"/>
      <c r="S1416" s="87"/>
      <c r="T1416" s="87"/>
      <c r="U1416" s="87"/>
      <c r="V1416" s="48"/>
      <c r="W1416" s="48"/>
      <c r="X1416" s="48"/>
      <c r="Y1416" s="48"/>
      <c r="Z1416" s="47"/>
      <c r="AA1416" s="69">
        <v>1416</v>
      </c>
      <c r="AB1416" s="69"/>
      <c r="AC1416" s="70"/>
      <c r="AD1416" s="76" t="s">
        <v>22631</v>
      </c>
      <c r="AE1416" s="81" t="s">
        <v>21017</v>
      </c>
      <c r="AF1416" s="76">
        <v>1695</v>
      </c>
      <c r="AG1416" s="76">
        <v>4</v>
      </c>
      <c r="AH1416" s="76">
        <v>8173</v>
      </c>
      <c r="AI1416" s="76">
        <v>36</v>
      </c>
      <c r="AJ1416" s="76">
        <v>642</v>
      </c>
      <c r="AK1416" s="76">
        <v>1</v>
      </c>
      <c r="AL1416" s="76" t="b">
        <v>0</v>
      </c>
      <c r="AM1416" s="78">
        <v>44253.843761574077</v>
      </c>
      <c r="AN1416" s="76"/>
      <c r="AO1416" s="76" t="s">
        <v>25970</v>
      </c>
      <c r="AP1416" s="82" t="str">
        <f>HYPERLINK("https://t.co/cRv3QGtTPH")</f>
        <v>https://t.co/cRv3QGtTPH</v>
      </c>
      <c r="AQ1416" s="82" t="str">
        <f>HYPERLINK("https://www.moneytimes.com.br/agrotimes/")</f>
        <v>https://www.moneytimes.com.br/agrotimes/</v>
      </c>
      <c r="AR1416" s="76" t="s">
        <v>27127</v>
      </c>
      <c r="AS1416" s="76"/>
      <c r="AT1416" s="76"/>
      <c r="AU1416" s="76"/>
      <c r="AV1416" s="76"/>
      <c r="AW1416" s="82" t="str">
        <f>HYPERLINK("https://t.co/cRv3QGtTPH")</f>
        <v>https://t.co/cRv3QGtTPH</v>
      </c>
      <c r="AX1416" s="76" t="b">
        <v>0</v>
      </c>
      <c r="AY1416" s="76"/>
      <c r="AZ1416" s="76"/>
      <c r="BA1416" s="76" t="b">
        <v>0</v>
      </c>
      <c r="BB1416" s="76" t="b">
        <v>1</v>
      </c>
      <c r="BC1416" s="76" t="b">
        <v>1</v>
      </c>
      <c r="BD1416" s="76" t="b">
        <v>0</v>
      </c>
      <c r="BE1416" s="76" t="b">
        <v>0</v>
      </c>
      <c r="BF1416" s="76" t="b">
        <v>0</v>
      </c>
      <c r="BG1416" s="76" t="b">
        <v>0</v>
      </c>
      <c r="BH1416" s="82" t="str">
        <f>HYPERLINK("https://pbs.twimg.com/profile_banners/1365394851131502592/1651777490")</f>
        <v>https://pbs.twimg.com/profile_banners/1365394851131502592/1651777490</v>
      </c>
      <c r="BI1416" s="76"/>
      <c r="BJ1416" s="76" t="s">
        <v>27595</v>
      </c>
      <c r="BK1416" s="76" t="b">
        <v>0</v>
      </c>
      <c r="BL1416" s="76"/>
      <c r="BM1416" s="76" t="s">
        <v>66</v>
      </c>
      <c r="BN1416" s="76" t="s">
        <v>27597</v>
      </c>
      <c r="BO1416" s="82" t="str">
        <f>HYPERLINK("https://twitter.com/leiaagrotimes")</f>
        <v>https://twitter.com/leiaagrotimes</v>
      </c>
      <c r="BP1416" s="2"/>
    </row>
    <row r="1417" spans="1:68" x14ac:dyDescent="0.25">
      <c r="A1417" s="62" t="s">
        <v>1285</v>
      </c>
      <c r="B1417" s="63"/>
      <c r="C1417" s="63"/>
      <c r="D1417" s="64"/>
      <c r="E1417" s="66"/>
      <c r="F1417" s="103" t="str">
        <f>HYPERLINK("https://pbs.twimg.com/profile_images/1585774818087010305/PbePUGY7_normal.jpg")</f>
        <v>https://pbs.twimg.com/profile_images/1585774818087010305/PbePUGY7_normal.jpg</v>
      </c>
      <c r="G1417" s="63"/>
      <c r="H1417" s="67"/>
      <c r="I1417" s="68"/>
      <c r="J1417" s="68"/>
      <c r="K1417" s="67" t="s">
        <v>29011</v>
      </c>
      <c r="L1417" s="71"/>
      <c r="M1417" s="72"/>
      <c r="N1417" s="72"/>
      <c r="O1417" s="73"/>
      <c r="P1417" s="74"/>
      <c r="Q1417" s="74"/>
      <c r="R1417" s="87"/>
      <c r="S1417" s="87"/>
      <c r="T1417" s="87"/>
      <c r="U1417" s="87"/>
      <c r="V1417" s="48"/>
      <c r="W1417" s="48"/>
      <c r="X1417" s="48"/>
      <c r="Y1417" s="48"/>
      <c r="Z1417" s="47"/>
      <c r="AA1417" s="69">
        <v>1417</v>
      </c>
      <c r="AB1417" s="69"/>
      <c r="AC1417" s="70"/>
      <c r="AD1417" s="76" t="s">
        <v>22632</v>
      </c>
      <c r="AE1417" s="81" t="s">
        <v>21018</v>
      </c>
      <c r="AF1417" s="76">
        <v>1050</v>
      </c>
      <c r="AG1417" s="76">
        <v>5008</v>
      </c>
      <c r="AH1417" s="76">
        <v>7795</v>
      </c>
      <c r="AI1417" s="76">
        <v>1</v>
      </c>
      <c r="AJ1417" s="76">
        <v>31865</v>
      </c>
      <c r="AK1417" s="76">
        <v>68</v>
      </c>
      <c r="AL1417" s="76" t="b">
        <v>0</v>
      </c>
      <c r="AM1417" s="78">
        <v>44592.89271990741</v>
      </c>
      <c r="AN1417" s="76" t="s">
        <v>14382</v>
      </c>
      <c r="AO1417" s="76"/>
      <c r="AP1417" s="76"/>
      <c r="AQ1417" s="76"/>
      <c r="AR1417" s="76"/>
      <c r="AS1417" s="76"/>
      <c r="AT1417" s="76"/>
      <c r="AU1417" s="76"/>
      <c r="AV1417" s="76"/>
      <c r="AW1417" s="76"/>
      <c r="AX1417" s="76" t="b">
        <v>0</v>
      </c>
      <c r="AY1417" s="76"/>
      <c r="AZ1417" s="76"/>
      <c r="BA1417" s="76" t="b">
        <v>0</v>
      </c>
      <c r="BB1417" s="76" t="b">
        <v>1</v>
      </c>
      <c r="BC1417" s="76" t="b">
        <v>1</v>
      </c>
      <c r="BD1417" s="76" t="b">
        <v>0</v>
      </c>
      <c r="BE1417" s="76" t="b">
        <v>1</v>
      </c>
      <c r="BF1417" s="76" t="b">
        <v>0</v>
      </c>
      <c r="BG1417" s="76" t="b">
        <v>0</v>
      </c>
      <c r="BH1417" s="82" t="str">
        <f>HYPERLINK("https://pbs.twimg.com/profile_banners/1488261983929614336/1658154429")</f>
        <v>https://pbs.twimg.com/profile_banners/1488261983929614336/1658154429</v>
      </c>
      <c r="BI1417" s="76"/>
      <c r="BJ1417" s="76" t="s">
        <v>27595</v>
      </c>
      <c r="BK1417" s="76" t="b">
        <v>0</v>
      </c>
      <c r="BL1417" s="76"/>
      <c r="BM1417" s="76" t="s">
        <v>66</v>
      </c>
      <c r="BN1417" s="76" t="s">
        <v>27597</v>
      </c>
      <c r="BO1417" s="82" t="str">
        <f>HYPERLINK("https://twitter.com/jalbertodacost1")</f>
        <v>https://twitter.com/jalbertodacost1</v>
      </c>
      <c r="BP1417" s="2"/>
    </row>
    <row r="1418" spans="1:68" x14ac:dyDescent="0.25">
      <c r="A1418" s="62" t="s">
        <v>1286</v>
      </c>
      <c r="B1418" s="63"/>
      <c r="C1418" s="63"/>
      <c r="D1418" s="64"/>
      <c r="E1418" s="66"/>
      <c r="F1418" s="103" t="str">
        <f>HYPERLINK("https://pbs.twimg.com/profile_images/1654237553636065282/s_FbzlFY_normal.jpg")</f>
        <v>https://pbs.twimg.com/profile_images/1654237553636065282/s_FbzlFY_normal.jpg</v>
      </c>
      <c r="G1418" s="63"/>
      <c r="H1418" s="67"/>
      <c r="I1418" s="68"/>
      <c r="J1418" s="68"/>
      <c r="K1418" s="67" t="s">
        <v>29012</v>
      </c>
      <c r="L1418" s="71"/>
      <c r="M1418" s="72"/>
      <c r="N1418" s="72"/>
      <c r="O1418" s="73"/>
      <c r="P1418" s="74"/>
      <c r="Q1418" s="74"/>
      <c r="R1418" s="87"/>
      <c r="S1418" s="87"/>
      <c r="T1418" s="87"/>
      <c r="U1418" s="87"/>
      <c r="V1418" s="48"/>
      <c r="W1418" s="48"/>
      <c r="X1418" s="48"/>
      <c r="Y1418" s="48"/>
      <c r="Z1418" s="47"/>
      <c r="AA1418" s="69">
        <v>1418</v>
      </c>
      <c r="AB1418" s="69"/>
      <c r="AC1418" s="70"/>
      <c r="AD1418" s="76" t="s">
        <v>22633</v>
      </c>
      <c r="AE1418" s="81" t="s">
        <v>21019</v>
      </c>
      <c r="AF1418" s="76">
        <v>455</v>
      </c>
      <c r="AG1418" s="76">
        <v>1370</v>
      </c>
      <c r="AH1418" s="76">
        <v>7981</v>
      </c>
      <c r="AI1418" s="76">
        <v>0</v>
      </c>
      <c r="AJ1418" s="76">
        <v>728</v>
      </c>
      <c r="AK1418" s="76">
        <v>4889</v>
      </c>
      <c r="AL1418" s="76" t="b">
        <v>0</v>
      </c>
      <c r="AM1418" s="78">
        <v>44267.587106481478</v>
      </c>
      <c r="AN1418" s="76" t="s">
        <v>24444</v>
      </c>
      <c r="AO1418" s="76" t="s">
        <v>25971</v>
      </c>
      <c r="AP1418" s="82" t="str">
        <f>HYPERLINK("https://t.co/6VV1JNFIPN")</f>
        <v>https://t.co/6VV1JNFIPN</v>
      </c>
      <c r="AQ1418" s="82" t="str">
        <f>HYPERLINK("https://onjornal.com/")</f>
        <v>https://onjornal.com/</v>
      </c>
      <c r="AR1418" s="76" t="s">
        <v>27128</v>
      </c>
      <c r="AS1418" s="76"/>
      <c r="AT1418" s="76"/>
      <c r="AU1418" s="76"/>
      <c r="AV1418" s="76"/>
      <c r="AW1418" s="82" t="str">
        <f>HYPERLINK("https://t.co/6VV1JNFIPN")</f>
        <v>https://t.co/6VV1JNFIPN</v>
      </c>
      <c r="AX1418" s="76" t="b">
        <v>0</v>
      </c>
      <c r="AY1418" s="76"/>
      <c r="AZ1418" s="76"/>
      <c r="BA1418" s="76" t="b">
        <v>0</v>
      </c>
      <c r="BB1418" s="76" t="b">
        <v>1</v>
      </c>
      <c r="BC1418" s="76" t="b">
        <v>1</v>
      </c>
      <c r="BD1418" s="76" t="b">
        <v>0</v>
      </c>
      <c r="BE1418" s="76" t="b">
        <v>0</v>
      </c>
      <c r="BF1418" s="76" t="b">
        <v>0</v>
      </c>
      <c r="BG1418" s="76" t="b">
        <v>0</v>
      </c>
      <c r="BH1418" s="82" t="str">
        <f>HYPERLINK("https://pbs.twimg.com/profile_banners/1370375263356395524/1683235944")</f>
        <v>https://pbs.twimg.com/profile_banners/1370375263356395524/1683235944</v>
      </c>
      <c r="BI1418" s="76"/>
      <c r="BJ1418" s="76" t="s">
        <v>27595</v>
      </c>
      <c r="BK1418" s="76" t="b">
        <v>0</v>
      </c>
      <c r="BL1418" s="76"/>
      <c r="BM1418" s="76" t="s">
        <v>66</v>
      </c>
      <c r="BN1418" s="76" t="s">
        <v>27597</v>
      </c>
      <c r="BO1418" s="82" t="str">
        <f>HYPERLINK("https://twitter.com/onjornal1")</f>
        <v>https://twitter.com/onjornal1</v>
      </c>
      <c r="BP1418" s="2"/>
    </row>
    <row r="1419" spans="1:68" x14ac:dyDescent="0.25">
      <c r="A1419" s="62" t="s">
        <v>1287</v>
      </c>
      <c r="B1419" s="63"/>
      <c r="C1419" s="63"/>
      <c r="D1419" s="64"/>
      <c r="E1419" s="66"/>
      <c r="F1419" s="103" t="str">
        <f>HYPERLINK("https://pbs.twimg.com/profile_images/1704526274935590912/AnWKXomi_normal.png")</f>
        <v>https://pbs.twimg.com/profile_images/1704526274935590912/AnWKXomi_normal.png</v>
      </c>
      <c r="G1419" s="63"/>
      <c r="H1419" s="67"/>
      <c r="I1419" s="68"/>
      <c r="J1419" s="68"/>
      <c r="K1419" s="67" t="s">
        <v>29013</v>
      </c>
      <c r="L1419" s="71"/>
      <c r="M1419" s="72"/>
      <c r="N1419" s="72"/>
      <c r="O1419" s="73"/>
      <c r="P1419" s="74"/>
      <c r="Q1419" s="74"/>
      <c r="R1419" s="87"/>
      <c r="S1419" s="87"/>
      <c r="T1419" s="87"/>
      <c r="U1419" s="87"/>
      <c r="V1419" s="48"/>
      <c r="W1419" s="48"/>
      <c r="X1419" s="48"/>
      <c r="Y1419" s="48"/>
      <c r="Z1419" s="47"/>
      <c r="AA1419" s="69">
        <v>1419</v>
      </c>
      <c r="AB1419" s="69"/>
      <c r="AC1419" s="70"/>
      <c r="AD1419" s="76" t="s">
        <v>22634</v>
      </c>
      <c r="AE1419" s="81" t="s">
        <v>21020</v>
      </c>
      <c r="AF1419" s="76">
        <v>0</v>
      </c>
      <c r="AG1419" s="76">
        <v>29</v>
      </c>
      <c r="AH1419" s="76">
        <v>79</v>
      </c>
      <c r="AI1419" s="76">
        <v>0</v>
      </c>
      <c r="AJ1419" s="76">
        <v>0</v>
      </c>
      <c r="AK1419" s="76">
        <v>10</v>
      </c>
      <c r="AL1419" s="76" t="b">
        <v>0</v>
      </c>
      <c r="AM1419" s="78">
        <v>45189.667905092596</v>
      </c>
      <c r="AN1419" s="76"/>
      <c r="AO1419" s="76"/>
      <c r="AP1419" s="76"/>
      <c r="AQ1419" s="76"/>
      <c r="AR1419" s="76"/>
      <c r="AS1419" s="76"/>
      <c r="AT1419" s="76"/>
      <c r="AU1419" s="76"/>
      <c r="AV1419" s="76"/>
      <c r="AW1419" s="76"/>
      <c r="AX1419" s="76" t="b">
        <v>0</v>
      </c>
      <c r="AY1419" s="76"/>
      <c r="AZ1419" s="76"/>
      <c r="BA1419" s="76" t="b">
        <v>0</v>
      </c>
      <c r="BB1419" s="76" t="b">
        <v>1</v>
      </c>
      <c r="BC1419" s="76" t="b">
        <v>1</v>
      </c>
      <c r="BD1419" s="76" t="b">
        <v>0</v>
      </c>
      <c r="BE1419" s="76" t="b">
        <v>0</v>
      </c>
      <c r="BF1419" s="76" t="b">
        <v>0</v>
      </c>
      <c r="BG1419" s="76" t="b">
        <v>0</v>
      </c>
      <c r="BH1419" s="76"/>
      <c r="BI1419" s="76"/>
      <c r="BJ1419" s="76" t="s">
        <v>27595</v>
      </c>
      <c r="BK1419" s="76" t="b">
        <v>0</v>
      </c>
      <c r="BL1419" s="76"/>
      <c r="BM1419" s="76" t="s">
        <v>66</v>
      </c>
      <c r="BN1419" s="76" t="s">
        <v>27597</v>
      </c>
      <c r="BO1419" s="82" t="str">
        <f>HYPERLINK("https://twitter.com/sinthiya7905")</f>
        <v>https://twitter.com/sinthiya7905</v>
      </c>
      <c r="BP1419" s="2"/>
    </row>
    <row r="1420" spans="1:68" x14ac:dyDescent="0.25">
      <c r="A1420" s="62" t="s">
        <v>1288</v>
      </c>
      <c r="B1420" s="63"/>
      <c r="C1420" s="63"/>
      <c r="D1420" s="64"/>
      <c r="E1420" s="66"/>
      <c r="F1420" s="103" t="str">
        <f>HYPERLINK("https://pbs.twimg.com/profile_images/857248916286435329/HjEvU5tO_normal.jpg")</f>
        <v>https://pbs.twimg.com/profile_images/857248916286435329/HjEvU5tO_normal.jpg</v>
      </c>
      <c r="G1420" s="63"/>
      <c r="H1420" s="67"/>
      <c r="I1420" s="68"/>
      <c r="J1420" s="68"/>
      <c r="K1420" s="67" t="s">
        <v>29014</v>
      </c>
      <c r="L1420" s="71"/>
      <c r="M1420" s="72"/>
      <c r="N1420" s="72"/>
      <c r="O1420" s="73"/>
      <c r="P1420" s="74"/>
      <c r="Q1420" s="74"/>
      <c r="R1420" s="87"/>
      <c r="S1420" s="87"/>
      <c r="T1420" s="87"/>
      <c r="U1420" s="87"/>
      <c r="V1420" s="48"/>
      <c r="W1420" s="48"/>
      <c r="X1420" s="48"/>
      <c r="Y1420" s="48"/>
      <c r="Z1420" s="47"/>
      <c r="AA1420" s="69">
        <v>1420</v>
      </c>
      <c r="AB1420" s="69"/>
      <c r="AC1420" s="70"/>
      <c r="AD1420" s="76" t="s">
        <v>22635</v>
      </c>
      <c r="AE1420" s="81" t="s">
        <v>23810</v>
      </c>
      <c r="AF1420" s="76">
        <v>1847</v>
      </c>
      <c r="AG1420" s="76">
        <v>2506</v>
      </c>
      <c r="AH1420" s="76">
        <v>80454</v>
      </c>
      <c r="AI1420" s="76">
        <v>26</v>
      </c>
      <c r="AJ1420" s="76">
        <v>2338</v>
      </c>
      <c r="AK1420" s="76">
        <v>61992</v>
      </c>
      <c r="AL1420" s="76" t="b">
        <v>0</v>
      </c>
      <c r="AM1420" s="78">
        <v>42337.555266203701</v>
      </c>
      <c r="AN1420" s="76" t="s">
        <v>24566</v>
      </c>
      <c r="AO1420" s="76" t="s">
        <v>25972</v>
      </c>
      <c r="AP1420" s="82" t="str">
        <f>HYPERLINK("https://t.co/DXYKZcF4OK")</f>
        <v>https://t.co/DXYKZcF4OK</v>
      </c>
      <c r="AQ1420" s="82" t="str">
        <f>HYPERLINK("https://chptnoticias.com")</f>
        <v>https://chptnoticias.com</v>
      </c>
      <c r="AR1420" s="76" t="s">
        <v>8824</v>
      </c>
      <c r="AS1420" s="76" t="s">
        <v>27393</v>
      </c>
      <c r="AT1420" s="76" t="s">
        <v>27432</v>
      </c>
      <c r="AU1420" s="76" t="s">
        <v>27545</v>
      </c>
      <c r="AV1420" s="76"/>
      <c r="AW1420" s="82" t="str">
        <f>HYPERLINK("https://t.co/DXYKZcF4OK")</f>
        <v>https://t.co/DXYKZcF4OK</v>
      </c>
      <c r="AX1420" s="76" t="b">
        <v>0</v>
      </c>
      <c r="AY1420" s="76"/>
      <c r="AZ1420" s="76"/>
      <c r="BA1420" s="76" t="b">
        <v>0</v>
      </c>
      <c r="BB1420" s="76" t="b">
        <v>1</v>
      </c>
      <c r="BC1420" s="76" t="b">
        <v>1</v>
      </c>
      <c r="BD1420" s="76" t="b">
        <v>0</v>
      </c>
      <c r="BE1420" s="76" t="b">
        <v>0</v>
      </c>
      <c r="BF1420" s="76" t="b">
        <v>0</v>
      </c>
      <c r="BG1420" s="76" t="b">
        <v>0</v>
      </c>
      <c r="BH1420" s="82" t="str">
        <f>HYPERLINK("https://pbs.twimg.com/profile_banners/4318258155/1493219027")</f>
        <v>https://pbs.twimg.com/profile_banners/4318258155/1493219027</v>
      </c>
      <c r="BI1420" s="76"/>
      <c r="BJ1420" s="76" t="s">
        <v>27595</v>
      </c>
      <c r="BK1420" s="76" t="b">
        <v>0</v>
      </c>
      <c r="BL1420" s="76"/>
      <c r="BM1420" s="76" t="s">
        <v>66</v>
      </c>
      <c r="BN1420" s="76" t="s">
        <v>27597</v>
      </c>
      <c r="BO1420" s="82" t="str">
        <f>HYPERLINK("https://twitter.com/chubutparatodos")</f>
        <v>https://twitter.com/chubutparatodos</v>
      </c>
      <c r="BP1420" s="2"/>
    </row>
    <row r="1421" spans="1:68" x14ac:dyDescent="0.25">
      <c r="A1421" s="62" t="s">
        <v>1289</v>
      </c>
      <c r="B1421" s="63"/>
      <c r="C1421" s="63"/>
      <c r="D1421" s="64"/>
      <c r="E1421" s="66"/>
      <c r="F1421" s="103" t="str">
        <f>HYPERLINK("https://pbs.twimg.com/profile_images/653619793799458816/YAcS7npX_normal.jpg")</f>
        <v>https://pbs.twimg.com/profile_images/653619793799458816/YAcS7npX_normal.jpg</v>
      </c>
      <c r="G1421" s="63"/>
      <c r="H1421" s="67"/>
      <c r="I1421" s="68"/>
      <c r="J1421" s="68"/>
      <c r="K1421" s="67" t="s">
        <v>29015</v>
      </c>
      <c r="L1421" s="71"/>
      <c r="M1421" s="72"/>
      <c r="N1421" s="72"/>
      <c r="O1421" s="73"/>
      <c r="P1421" s="74"/>
      <c r="Q1421" s="74"/>
      <c r="R1421" s="87"/>
      <c r="S1421" s="87"/>
      <c r="T1421" s="87"/>
      <c r="U1421" s="87"/>
      <c r="V1421" s="48"/>
      <c r="W1421" s="48"/>
      <c r="X1421" s="48"/>
      <c r="Y1421" s="48"/>
      <c r="Z1421" s="47"/>
      <c r="AA1421" s="69">
        <v>1421</v>
      </c>
      <c r="AB1421" s="69"/>
      <c r="AC1421" s="70"/>
      <c r="AD1421" s="76" t="s">
        <v>22636</v>
      </c>
      <c r="AE1421" s="81" t="s">
        <v>23811</v>
      </c>
      <c r="AF1421" s="76">
        <v>2503</v>
      </c>
      <c r="AG1421" s="76">
        <v>1250</v>
      </c>
      <c r="AH1421" s="76">
        <v>38176</v>
      </c>
      <c r="AI1421" s="76">
        <v>109</v>
      </c>
      <c r="AJ1421" s="76">
        <v>33</v>
      </c>
      <c r="AK1421" s="76">
        <v>7790</v>
      </c>
      <c r="AL1421" s="76" t="b">
        <v>0</v>
      </c>
      <c r="AM1421" s="78">
        <v>39945.65519675926</v>
      </c>
      <c r="AN1421" s="76" t="s">
        <v>14382</v>
      </c>
      <c r="AO1421" s="76" t="s">
        <v>25973</v>
      </c>
      <c r="AP1421" s="82" t="str">
        <f>HYPERLINK("https://t.co/JHeWbA4XyF")</f>
        <v>https://t.co/JHeWbA4XyF</v>
      </c>
      <c r="AQ1421" s="82" t="str">
        <f>HYPERLINK("http://ucho.info")</f>
        <v>http://ucho.info</v>
      </c>
      <c r="AR1421" s="76" t="s">
        <v>27129</v>
      </c>
      <c r="AS1421" s="82" t="str">
        <f>HYPERLINK("https://t.co/deiM7RbLuS")</f>
        <v>https://t.co/deiM7RbLuS</v>
      </c>
      <c r="AT1421" s="82" t="str">
        <f>HYPERLINK("http://UCHO.INFO")</f>
        <v>http://UCHO.INFO</v>
      </c>
      <c r="AU1421" s="76" t="s">
        <v>27546</v>
      </c>
      <c r="AV1421" s="76"/>
      <c r="AW1421" s="82" t="str">
        <f>HYPERLINK("https://t.co/JHeWbA4XyF")</f>
        <v>https://t.co/JHeWbA4XyF</v>
      </c>
      <c r="AX1421" s="76" t="b">
        <v>0</v>
      </c>
      <c r="AY1421" s="76"/>
      <c r="AZ1421" s="76"/>
      <c r="BA1421" s="76" t="b">
        <v>0</v>
      </c>
      <c r="BB1421" s="76" t="b">
        <v>1</v>
      </c>
      <c r="BC1421" s="76" t="b">
        <v>0</v>
      </c>
      <c r="BD1421" s="76" t="b">
        <v>0</v>
      </c>
      <c r="BE1421" s="76" t="b">
        <v>0</v>
      </c>
      <c r="BF1421" s="76" t="b">
        <v>0</v>
      </c>
      <c r="BG1421" s="76" t="b">
        <v>0</v>
      </c>
      <c r="BH1421" s="82" t="str">
        <f>HYPERLINK("https://pbs.twimg.com/profile_banners/39525281/1444670116")</f>
        <v>https://pbs.twimg.com/profile_banners/39525281/1444670116</v>
      </c>
      <c r="BI1421" s="76"/>
      <c r="BJ1421" s="76" t="s">
        <v>27595</v>
      </c>
      <c r="BK1421" s="76" t="b">
        <v>0</v>
      </c>
      <c r="BL1421" s="76"/>
      <c r="BM1421" s="76" t="s">
        <v>66</v>
      </c>
      <c r="BN1421" s="76" t="s">
        <v>27597</v>
      </c>
      <c r="BO1421" s="82" t="str">
        <f>HYPERLINK("https://twitter.com/uchoinfo")</f>
        <v>https://twitter.com/uchoinfo</v>
      </c>
      <c r="BP1421" s="2"/>
    </row>
    <row r="1422" spans="1:68" x14ac:dyDescent="0.25">
      <c r="A1422" s="62" t="s">
        <v>1290</v>
      </c>
      <c r="B1422" s="63"/>
      <c r="C1422" s="63"/>
      <c r="D1422" s="64"/>
      <c r="E1422" s="66"/>
      <c r="F1422" s="103" t="str">
        <f>HYPERLINK("https://pbs.twimg.com/profile_images/1683444953102581760/_zIAvEk1_normal.jpg")</f>
        <v>https://pbs.twimg.com/profile_images/1683444953102581760/_zIAvEk1_normal.jpg</v>
      </c>
      <c r="G1422" s="63"/>
      <c r="H1422" s="67"/>
      <c r="I1422" s="68"/>
      <c r="J1422" s="68"/>
      <c r="K1422" s="67" t="s">
        <v>29016</v>
      </c>
      <c r="L1422" s="71"/>
      <c r="M1422" s="72"/>
      <c r="N1422" s="72"/>
      <c r="O1422" s="73"/>
      <c r="P1422" s="74"/>
      <c r="Q1422" s="74"/>
      <c r="R1422" s="87"/>
      <c r="S1422" s="87"/>
      <c r="T1422" s="87"/>
      <c r="U1422" s="87"/>
      <c r="V1422" s="48"/>
      <c r="W1422" s="48"/>
      <c r="X1422" s="48"/>
      <c r="Y1422" s="48"/>
      <c r="Z1422" s="47"/>
      <c r="AA1422" s="69">
        <v>1422</v>
      </c>
      <c r="AB1422" s="69"/>
      <c r="AC1422" s="70"/>
      <c r="AD1422" s="76" t="s">
        <v>22637</v>
      </c>
      <c r="AE1422" s="81" t="s">
        <v>21021</v>
      </c>
      <c r="AF1422" s="76">
        <v>31</v>
      </c>
      <c r="AG1422" s="76">
        <v>124</v>
      </c>
      <c r="AH1422" s="76">
        <v>191</v>
      </c>
      <c r="AI1422" s="76">
        <v>0</v>
      </c>
      <c r="AJ1422" s="76">
        <v>0</v>
      </c>
      <c r="AK1422" s="76">
        <v>43</v>
      </c>
      <c r="AL1422" s="76" t="b">
        <v>0</v>
      </c>
      <c r="AM1422" s="78">
        <v>45127.717951388891</v>
      </c>
      <c r="AN1422" s="76" t="s">
        <v>24567</v>
      </c>
      <c r="AO1422" s="76" t="s">
        <v>25974</v>
      </c>
      <c r="AP1422" s="76"/>
      <c r="AQ1422" s="76"/>
      <c r="AR1422" s="76"/>
      <c r="AS1422" s="76"/>
      <c r="AT1422" s="76"/>
      <c r="AU1422" s="76"/>
      <c r="AV1422" s="76"/>
      <c r="AW1422" s="76"/>
      <c r="AX1422" s="76" t="b">
        <v>0</v>
      </c>
      <c r="AY1422" s="76"/>
      <c r="AZ1422" s="76"/>
      <c r="BA1422" s="76" t="b">
        <v>0</v>
      </c>
      <c r="BB1422" s="76" t="b">
        <v>1</v>
      </c>
      <c r="BC1422" s="76" t="b">
        <v>1</v>
      </c>
      <c r="BD1422" s="76" t="b">
        <v>0</v>
      </c>
      <c r="BE1422" s="76" t="b">
        <v>0</v>
      </c>
      <c r="BF1422" s="76" t="b">
        <v>0</v>
      </c>
      <c r="BG1422" s="76" t="b">
        <v>0</v>
      </c>
      <c r="BH1422" s="82" t="str">
        <f>HYPERLINK("https://pbs.twimg.com/profile_banners/1682076290902556673/1689955117")</f>
        <v>https://pbs.twimg.com/profile_banners/1682076290902556673/1689955117</v>
      </c>
      <c r="BI1422" s="76"/>
      <c r="BJ1422" s="76" t="s">
        <v>27595</v>
      </c>
      <c r="BK1422" s="76" t="b">
        <v>0</v>
      </c>
      <c r="BL1422" s="76"/>
      <c r="BM1422" s="76" t="s">
        <v>66</v>
      </c>
      <c r="BN1422" s="76" t="s">
        <v>27597</v>
      </c>
      <c r="BO1422" s="82" t="str">
        <f>HYPERLINK("https://twitter.com/hossaindel29106")</f>
        <v>https://twitter.com/hossaindel29106</v>
      </c>
      <c r="BP1422" s="2"/>
    </row>
    <row r="1423" spans="1:68" x14ac:dyDescent="0.25">
      <c r="A1423" s="62" t="s">
        <v>1291</v>
      </c>
      <c r="B1423" s="63"/>
      <c r="C1423" s="63"/>
      <c r="D1423" s="64"/>
      <c r="E1423" s="66"/>
      <c r="F1423" s="103" t="str">
        <f>HYPERLINK("https://pbs.twimg.com/profile_images/1591073023624364034/XDink9Tu_normal.jpg")</f>
        <v>https://pbs.twimg.com/profile_images/1591073023624364034/XDink9Tu_normal.jpg</v>
      </c>
      <c r="G1423" s="63"/>
      <c r="H1423" s="67"/>
      <c r="I1423" s="68"/>
      <c r="J1423" s="68"/>
      <c r="K1423" s="67" t="s">
        <v>29017</v>
      </c>
      <c r="L1423" s="71"/>
      <c r="M1423" s="72"/>
      <c r="N1423" s="72"/>
      <c r="O1423" s="73"/>
      <c r="P1423" s="74"/>
      <c r="Q1423" s="74"/>
      <c r="R1423" s="87"/>
      <c r="S1423" s="87"/>
      <c r="T1423" s="87"/>
      <c r="U1423" s="87"/>
      <c r="V1423" s="48"/>
      <c r="W1423" s="48"/>
      <c r="X1423" s="48"/>
      <c r="Y1423" s="48"/>
      <c r="Z1423" s="47"/>
      <c r="AA1423" s="69">
        <v>1423</v>
      </c>
      <c r="AB1423" s="69"/>
      <c r="AC1423" s="70"/>
      <c r="AD1423" s="76" t="s">
        <v>22638</v>
      </c>
      <c r="AE1423" s="81" t="s">
        <v>23812</v>
      </c>
      <c r="AF1423" s="76">
        <v>3940</v>
      </c>
      <c r="AG1423" s="76">
        <v>565</v>
      </c>
      <c r="AH1423" s="76">
        <v>85291</v>
      </c>
      <c r="AI1423" s="76">
        <v>23</v>
      </c>
      <c r="AJ1423" s="76">
        <v>351</v>
      </c>
      <c r="AK1423" s="76">
        <v>8810</v>
      </c>
      <c r="AL1423" s="76" t="b">
        <v>0</v>
      </c>
      <c r="AM1423" s="78">
        <v>40301.883171296293</v>
      </c>
      <c r="AN1423" s="76" t="s">
        <v>24568</v>
      </c>
      <c r="AO1423" s="76" t="s">
        <v>25975</v>
      </c>
      <c r="AP1423" s="82" t="str">
        <f>HYPERLINK("https://t.co/EecdCvnkX4")</f>
        <v>https://t.co/EecdCvnkX4</v>
      </c>
      <c r="AQ1423" s="82" t="str">
        <f>HYPERLINK("http://www.el-periodico.com.ar")</f>
        <v>http://www.el-periodico.com.ar</v>
      </c>
      <c r="AR1423" s="76" t="s">
        <v>27130</v>
      </c>
      <c r="AS1423" s="76"/>
      <c r="AT1423" s="76"/>
      <c r="AU1423" s="76"/>
      <c r="AV1423" s="76"/>
      <c r="AW1423" s="82" t="str">
        <f>HYPERLINK("https://t.co/EecdCvnkX4")</f>
        <v>https://t.co/EecdCvnkX4</v>
      </c>
      <c r="AX1423" s="76" t="b">
        <v>0</v>
      </c>
      <c r="AY1423" s="76"/>
      <c r="AZ1423" s="76"/>
      <c r="BA1423" s="76" t="b">
        <v>0</v>
      </c>
      <c r="BB1423" s="76" t="b">
        <v>1</v>
      </c>
      <c r="BC1423" s="76" t="b">
        <v>0</v>
      </c>
      <c r="BD1423" s="76" t="b">
        <v>0</v>
      </c>
      <c r="BE1423" s="76" t="b">
        <v>1</v>
      </c>
      <c r="BF1423" s="76" t="b">
        <v>0</v>
      </c>
      <c r="BG1423" s="76" t="b">
        <v>0</v>
      </c>
      <c r="BH1423" s="82" t="str">
        <f>HYPERLINK("https://pbs.twimg.com/profile_banners/139843417/1668177071")</f>
        <v>https://pbs.twimg.com/profile_banners/139843417/1668177071</v>
      </c>
      <c r="BI1423" s="76"/>
      <c r="BJ1423" s="76" t="s">
        <v>27595</v>
      </c>
      <c r="BK1423" s="76" t="b">
        <v>0</v>
      </c>
      <c r="BL1423" s="76"/>
      <c r="BM1423" s="76" t="s">
        <v>66</v>
      </c>
      <c r="BN1423" s="76" t="s">
        <v>27597</v>
      </c>
      <c r="BO1423" s="82" t="str">
        <f>HYPERLINK("https://twitter.com/elperiodicosf")</f>
        <v>https://twitter.com/elperiodicosf</v>
      </c>
      <c r="BP1423" s="2"/>
    </row>
    <row r="1424" spans="1:68" x14ac:dyDescent="0.25">
      <c r="A1424" s="62" t="s">
        <v>1292</v>
      </c>
      <c r="B1424" s="63"/>
      <c r="C1424" s="63"/>
      <c r="D1424" s="64"/>
      <c r="E1424" s="66"/>
      <c r="F1424" s="103" t="str">
        <f>HYPERLINK("https://pbs.twimg.com/profile_images/1609619228478275586/XjbnaDqt_normal.jpg")</f>
        <v>https://pbs.twimg.com/profile_images/1609619228478275586/XjbnaDqt_normal.jpg</v>
      </c>
      <c r="G1424" s="63"/>
      <c r="H1424" s="67"/>
      <c r="I1424" s="68"/>
      <c r="J1424" s="68"/>
      <c r="K1424" s="67" t="s">
        <v>29018</v>
      </c>
      <c r="L1424" s="71"/>
      <c r="M1424" s="72"/>
      <c r="N1424" s="72"/>
      <c r="O1424" s="73"/>
      <c r="P1424" s="74"/>
      <c r="Q1424" s="74"/>
      <c r="R1424" s="87"/>
      <c r="S1424" s="87"/>
      <c r="T1424" s="87"/>
      <c r="U1424" s="87"/>
      <c r="V1424" s="48"/>
      <c r="W1424" s="48"/>
      <c r="X1424" s="48"/>
      <c r="Y1424" s="48"/>
      <c r="Z1424" s="47"/>
      <c r="AA1424" s="69">
        <v>1424</v>
      </c>
      <c r="AB1424" s="69"/>
      <c r="AC1424" s="70"/>
      <c r="AD1424" s="76" t="s">
        <v>22639</v>
      </c>
      <c r="AE1424" s="81" t="s">
        <v>21022</v>
      </c>
      <c r="AF1424" s="76">
        <v>22666</v>
      </c>
      <c r="AG1424" s="76">
        <v>24213</v>
      </c>
      <c r="AH1424" s="76">
        <v>20383</v>
      </c>
      <c r="AI1424" s="76">
        <v>23</v>
      </c>
      <c r="AJ1424" s="76">
        <v>26982</v>
      </c>
      <c r="AK1424" s="76">
        <v>8175</v>
      </c>
      <c r="AL1424" s="76" t="b">
        <v>0</v>
      </c>
      <c r="AM1424" s="78">
        <v>44378.267488425925</v>
      </c>
      <c r="AN1424" s="76" t="s">
        <v>24569</v>
      </c>
      <c r="AO1424" s="76" t="s">
        <v>25976</v>
      </c>
      <c r="AP1424" s="82" t="str">
        <f>HYPERLINK("https://t.co/8Uv6qXRFqw")</f>
        <v>https://t.co/8Uv6qXRFqw</v>
      </c>
      <c r="AQ1424" s="82" t="str">
        <f>HYPERLINK("https://www.analiseagora.com/")</f>
        <v>https://www.analiseagora.com/</v>
      </c>
      <c r="AR1424" s="76" t="s">
        <v>26498</v>
      </c>
      <c r="AS1424" s="76" t="s">
        <v>27394</v>
      </c>
      <c r="AT1424" s="76" t="s">
        <v>27433</v>
      </c>
      <c r="AU1424" s="76" t="s">
        <v>27547</v>
      </c>
      <c r="AV1424" s="76"/>
      <c r="AW1424" s="82" t="str">
        <f>HYPERLINK("https://t.co/8Uv6qXRFqw")</f>
        <v>https://t.co/8Uv6qXRFqw</v>
      </c>
      <c r="AX1424" s="76" t="b">
        <v>0</v>
      </c>
      <c r="AY1424" s="76"/>
      <c r="AZ1424" s="76"/>
      <c r="BA1424" s="76" t="b">
        <v>0</v>
      </c>
      <c r="BB1424" s="76" t="b">
        <v>0</v>
      </c>
      <c r="BC1424" s="76" t="b">
        <v>1</v>
      </c>
      <c r="BD1424" s="76" t="b">
        <v>0</v>
      </c>
      <c r="BE1424" s="76" t="b">
        <v>1</v>
      </c>
      <c r="BF1424" s="76" t="b">
        <v>0</v>
      </c>
      <c r="BG1424" s="76" t="b">
        <v>0</v>
      </c>
      <c r="BH1424" s="82" t="str">
        <f>HYPERLINK("https://pbs.twimg.com/profile_banners/1410484326341427201/1694175234")</f>
        <v>https://pbs.twimg.com/profile_banners/1410484326341427201/1694175234</v>
      </c>
      <c r="BI1424" s="76"/>
      <c r="BJ1424" s="76" t="s">
        <v>27595</v>
      </c>
      <c r="BK1424" s="76" t="b">
        <v>0</v>
      </c>
      <c r="BL1424" s="76"/>
      <c r="BM1424" s="76" t="s">
        <v>66</v>
      </c>
      <c r="BN1424" s="76" t="s">
        <v>27597</v>
      </c>
      <c r="BO1424" s="82" t="str">
        <f>HYPERLINK("https://twitter.com/analiseagora")</f>
        <v>https://twitter.com/analiseagora</v>
      </c>
      <c r="BP1424" s="2"/>
    </row>
    <row r="1425" spans="1:68" x14ac:dyDescent="0.25">
      <c r="A1425" s="62" t="s">
        <v>1293</v>
      </c>
      <c r="B1425" s="63"/>
      <c r="C1425" s="63"/>
      <c r="D1425" s="64"/>
      <c r="E1425" s="66"/>
      <c r="F1425" s="103" t="str">
        <f>HYPERLINK("https://pbs.twimg.com/profile_images/1570129689733128192/5wqpmaSO_normal.jpg")</f>
        <v>https://pbs.twimg.com/profile_images/1570129689733128192/5wqpmaSO_normal.jpg</v>
      </c>
      <c r="G1425" s="63"/>
      <c r="H1425" s="67"/>
      <c r="I1425" s="68"/>
      <c r="J1425" s="68"/>
      <c r="K1425" s="67" t="s">
        <v>29019</v>
      </c>
      <c r="L1425" s="71"/>
      <c r="M1425" s="72"/>
      <c r="N1425" s="72"/>
      <c r="O1425" s="73"/>
      <c r="P1425" s="74"/>
      <c r="Q1425" s="74"/>
      <c r="R1425" s="87"/>
      <c r="S1425" s="87"/>
      <c r="T1425" s="87"/>
      <c r="U1425" s="87"/>
      <c r="V1425" s="48"/>
      <c r="W1425" s="48"/>
      <c r="X1425" s="48"/>
      <c r="Y1425" s="48"/>
      <c r="Z1425" s="47"/>
      <c r="AA1425" s="69">
        <v>1425</v>
      </c>
      <c r="AB1425" s="69"/>
      <c r="AC1425" s="70"/>
      <c r="AD1425" s="76" t="s">
        <v>22640</v>
      </c>
      <c r="AE1425" s="81" t="s">
        <v>23813</v>
      </c>
      <c r="AF1425" s="76">
        <v>83</v>
      </c>
      <c r="AG1425" s="76">
        <v>177</v>
      </c>
      <c r="AH1425" s="76">
        <v>3030</v>
      </c>
      <c r="AI1425" s="76">
        <v>0</v>
      </c>
      <c r="AJ1425" s="76">
        <v>5603</v>
      </c>
      <c r="AK1425" s="76">
        <v>786</v>
      </c>
      <c r="AL1425" s="76" t="b">
        <v>0</v>
      </c>
      <c r="AM1425" s="78">
        <v>39995.70380787037</v>
      </c>
      <c r="AN1425" s="76" t="s">
        <v>14433</v>
      </c>
      <c r="AO1425" s="76" t="s">
        <v>25977</v>
      </c>
      <c r="AP1425" s="76"/>
      <c r="AQ1425" s="76"/>
      <c r="AR1425" s="76"/>
      <c r="AS1425" s="76"/>
      <c r="AT1425" s="76"/>
      <c r="AU1425" s="76"/>
      <c r="AV1425" s="76">
        <v>1.6517459948732201E+18</v>
      </c>
      <c r="AW1425" s="76"/>
      <c r="AX1425" s="76" t="b">
        <v>0</v>
      </c>
      <c r="AY1425" s="76"/>
      <c r="AZ1425" s="76"/>
      <c r="BA1425" s="76" t="b">
        <v>0</v>
      </c>
      <c r="BB1425" s="76" t="b">
        <v>1</v>
      </c>
      <c r="BC1425" s="76" t="b">
        <v>0</v>
      </c>
      <c r="BD1425" s="76" t="b">
        <v>0</v>
      </c>
      <c r="BE1425" s="76" t="b">
        <v>0</v>
      </c>
      <c r="BF1425" s="76" t="b">
        <v>0</v>
      </c>
      <c r="BG1425" s="76" t="b">
        <v>0</v>
      </c>
      <c r="BH1425" s="82" t="str">
        <f>HYPERLINK("https://pbs.twimg.com/profile_banners/52779980/1691194409")</f>
        <v>https://pbs.twimg.com/profile_banners/52779980/1691194409</v>
      </c>
      <c r="BI1425" s="76"/>
      <c r="BJ1425" s="76" t="s">
        <v>27595</v>
      </c>
      <c r="BK1425" s="76" t="b">
        <v>0</v>
      </c>
      <c r="BL1425" s="76"/>
      <c r="BM1425" s="76" t="s">
        <v>66</v>
      </c>
      <c r="BN1425" s="76" t="s">
        <v>27597</v>
      </c>
      <c r="BO1425" s="82" t="str">
        <f>HYPERLINK("https://twitter.com/brunnobarcelos")</f>
        <v>https://twitter.com/brunnobarcelos</v>
      </c>
      <c r="BP1425" s="2"/>
    </row>
    <row r="1426" spans="1:68" x14ac:dyDescent="0.25">
      <c r="A1426" s="62" t="s">
        <v>1295</v>
      </c>
      <c r="B1426" s="63"/>
      <c r="C1426" s="63"/>
      <c r="D1426" s="64"/>
      <c r="E1426" s="66"/>
      <c r="F1426" s="103" t="str">
        <f>HYPERLINK("https://pbs.twimg.com/profile_images/1643291254766051328/Xmw5NreC_normal.png")</f>
        <v>https://pbs.twimg.com/profile_images/1643291254766051328/Xmw5NreC_normal.png</v>
      </c>
      <c r="G1426" s="63"/>
      <c r="H1426" s="67"/>
      <c r="I1426" s="68"/>
      <c r="J1426" s="68"/>
      <c r="K1426" s="67" t="s">
        <v>29020</v>
      </c>
      <c r="L1426" s="71"/>
      <c r="M1426" s="72"/>
      <c r="N1426" s="72"/>
      <c r="O1426" s="73"/>
      <c r="P1426" s="74"/>
      <c r="Q1426" s="74"/>
      <c r="R1426" s="87"/>
      <c r="S1426" s="87"/>
      <c r="T1426" s="87"/>
      <c r="U1426" s="87"/>
      <c r="V1426" s="48"/>
      <c r="W1426" s="48"/>
      <c r="X1426" s="48"/>
      <c r="Y1426" s="48"/>
      <c r="Z1426" s="47"/>
      <c r="AA1426" s="69">
        <v>1426</v>
      </c>
      <c r="AB1426" s="69"/>
      <c r="AC1426" s="70"/>
      <c r="AD1426" s="76" t="s">
        <v>1295</v>
      </c>
      <c r="AE1426" s="81" t="s">
        <v>21023</v>
      </c>
      <c r="AF1426" s="76">
        <v>42</v>
      </c>
      <c r="AG1426" s="76">
        <v>65</v>
      </c>
      <c r="AH1426" s="76">
        <v>3039</v>
      </c>
      <c r="AI1426" s="76">
        <v>1</v>
      </c>
      <c r="AJ1426" s="76">
        <v>42</v>
      </c>
      <c r="AK1426" s="76">
        <v>62</v>
      </c>
      <c r="AL1426" s="76" t="b">
        <v>0</v>
      </c>
      <c r="AM1426" s="78">
        <v>44058.032673611109</v>
      </c>
      <c r="AN1426" s="76"/>
      <c r="AO1426" s="76" t="s">
        <v>25978</v>
      </c>
      <c r="AP1426" s="82" t="str">
        <f>HYPERLINK("https://t.co/XQlpt8OZ7l")</f>
        <v>https://t.co/XQlpt8OZ7l</v>
      </c>
      <c r="AQ1426" s="82" t="str">
        <f>HYPERLINK("http://www.bahiapravoce.com.br")</f>
        <v>http://www.bahiapravoce.com.br</v>
      </c>
      <c r="AR1426" s="76" t="s">
        <v>27131</v>
      </c>
      <c r="AS1426" s="76"/>
      <c r="AT1426" s="76"/>
      <c r="AU1426" s="76"/>
      <c r="AV1426" s="76"/>
      <c r="AW1426" s="82" t="str">
        <f>HYPERLINK("https://t.co/XQlpt8OZ7l")</f>
        <v>https://t.co/XQlpt8OZ7l</v>
      </c>
      <c r="AX1426" s="76" t="b">
        <v>0</v>
      </c>
      <c r="AY1426" s="76"/>
      <c r="AZ1426" s="76"/>
      <c r="BA1426" s="76" t="b">
        <v>0</v>
      </c>
      <c r="BB1426" s="76" t="b">
        <v>1</v>
      </c>
      <c r="BC1426" s="76" t="b">
        <v>1</v>
      </c>
      <c r="BD1426" s="76" t="b">
        <v>0</v>
      </c>
      <c r="BE1426" s="76" t="b">
        <v>1</v>
      </c>
      <c r="BF1426" s="76" t="b">
        <v>0</v>
      </c>
      <c r="BG1426" s="76" t="b">
        <v>0</v>
      </c>
      <c r="BH1426" s="82" t="str">
        <f>HYPERLINK("https://pbs.twimg.com/profile_banners/1294435021718261761/1680626143")</f>
        <v>https://pbs.twimg.com/profile_banners/1294435021718261761/1680626143</v>
      </c>
      <c r="BI1426" s="76"/>
      <c r="BJ1426" s="76" t="s">
        <v>27595</v>
      </c>
      <c r="BK1426" s="76" t="b">
        <v>0</v>
      </c>
      <c r="BL1426" s="76"/>
      <c r="BM1426" s="76" t="s">
        <v>66</v>
      </c>
      <c r="BN1426" s="76" t="s">
        <v>27597</v>
      </c>
      <c r="BO1426" s="82" t="str">
        <f>HYPERLINK("https://twitter.com/bahiapravoce")</f>
        <v>https://twitter.com/bahiapravoce</v>
      </c>
      <c r="BP1426" s="2"/>
    </row>
    <row r="1427" spans="1:68" x14ac:dyDescent="0.25">
      <c r="A1427" s="62" t="s">
        <v>1296</v>
      </c>
      <c r="B1427" s="63"/>
      <c r="C1427" s="63"/>
      <c r="D1427" s="64"/>
      <c r="E1427" s="66"/>
      <c r="F1427" s="103" t="str">
        <f>HYPERLINK("https://pbs.twimg.com/profile_images/1328523220530704384/eI7pc3K3_normal.jpg")</f>
        <v>https://pbs.twimg.com/profile_images/1328523220530704384/eI7pc3K3_normal.jpg</v>
      </c>
      <c r="G1427" s="63"/>
      <c r="H1427" s="67"/>
      <c r="I1427" s="68"/>
      <c r="J1427" s="68"/>
      <c r="K1427" s="67" t="s">
        <v>29021</v>
      </c>
      <c r="L1427" s="71"/>
      <c r="M1427" s="72"/>
      <c r="N1427" s="72"/>
      <c r="O1427" s="73"/>
      <c r="P1427" s="74"/>
      <c r="Q1427" s="74"/>
      <c r="R1427" s="87"/>
      <c r="S1427" s="87"/>
      <c r="T1427" s="87"/>
      <c r="U1427" s="87"/>
      <c r="V1427" s="48"/>
      <c r="W1427" s="48"/>
      <c r="X1427" s="48"/>
      <c r="Y1427" s="48"/>
      <c r="Z1427" s="47"/>
      <c r="AA1427" s="69">
        <v>1427</v>
      </c>
      <c r="AB1427" s="69"/>
      <c r="AC1427" s="70"/>
      <c r="AD1427" s="76" t="s">
        <v>22641</v>
      </c>
      <c r="AE1427" s="81" t="s">
        <v>23814</v>
      </c>
      <c r="AF1427" s="76">
        <v>2542</v>
      </c>
      <c r="AG1427" s="76">
        <v>1314</v>
      </c>
      <c r="AH1427" s="76">
        <v>112215</v>
      </c>
      <c r="AI1427" s="76">
        <v>15</v>
      </c>
      <c r="AJ1427" s="76">
        <v>2564</v>
      </c>
      <c r="AK1427" s="76">
        <v>4741</v>
      </c>
      <c r="AL1427" s="76" t="b">
        <v>0</v>
      </c>
      <c r="AM1427" s="78">
        <v>39968.861655092594</v>
      </c>
      <c r="AN1427" s="76" t="s">
        <v>24570</v>
      </c>
      <c r="AO1427" s="76" t="s">
        <v>25979</v>
      </c>
      <c r="AP1427" s="76"/>
      <c r="AQ1427" s="76"/>
      <c r="AR1427" s="76"/>
      <c r="AS1427" s="76"/>
      <c r="AT1427" s="76"/>
      <c r="AU1427" s="76"/>
      <c r="AV1427" s="76">
        <v>1.6310745953472399E+18</v>
      </c>
      <c r="AW1427" s="76"/>
      <c r="AX1427" s="76" t="b">
        <v>0</v>
      </c>
      <c r="AY1427" s="76"/>
      <c r="AZ1427" s="76"/>
      <c r="BA1427" s="76" t="b">
        <v>0</v>
      </c>
      <c r="BB1427" s="76" t="b">
        <v>0</v>
      </c>
      <c r="BC1427" s="76" t="b">
        <v>0</v>
      </c>
      <c r="BD1427" s="76" t="b">
        <v>0</v>
      </c>
      <c r="BE1427" s="76" t="b">
        <v>1</v>
      </c>
      <c r="BF1427" s="76" t="b">
        <v>0</v>
      </c>
      <c r="BG1427" s="76" t="b">
        <v>0</v>
      </c>
      <c r="BH1427" s="82" t="str">
        <f>HYPERLINK("https://pbs.twimg.com/profile_banners/44714905/1605579595")</f>
        <v>https://pbs.twimg.com/profile_banners/44714905/1605579595</v>
      </c>
      <c r="BI1427" s="76"/>
      <c r="BJ1427" s="76" t="s">
        <v>27595</v>
      </c>
      <c r="BK1427" s="76" t="b">
        <v>0</v>
      </c>
      <c r="BL1427" s="76"/>
      <c r="BM1427" s="76" t="s">
        <v>66</v>
      </c>
      <c r="BN1427" s="76" t="s">
        <v>27597</v>
      </c>
      <c r="BO1427" s="82" t="str">
        <f>HYPERLINK("https://twitter.com/lwabeserra")</f>
        <v>https://twitter.com/lwabeserra</v>
      </c>
      <c r="BP1427" s="2"/>
    </row>
    <row r="1428" spans="1:68" x14ac:dyDescent="0.25">
      <c r="A1428" s="62" t="s">
        <v>1297</v>
      </c>
      <c r="B1428" s="63"/>
      <c r="C1428" s="63"/>
      <c r="D1428" s="64"/>
      <c r="E1428" s="66"/>
      <c r="F1428" s="103" t="str">
        <f>HYPERLINK("https://pbs.twimg.com/profile_images/1296610763159871489/_rcVIv5w_normal.jpg")</f>
        <v>https://pbs.twimg.com/profile_images/1296610763159871489/_rcVIv5w_normal.jpg</v>
      </c>
      <c r="G1428" s="63"/>
      <c r="H1428" s="67"/>
      <c r="I1428" s="68"/>
      <c r="J1428" s="68"/>
      <c r="K1428" s="67" t="s">
        <v>29022</v>
      </c>
      <c r="L1428" s="71"/>
      <c r="M1428" s="72"/>
      <c r="N1428" s="72"/>
      <c r="O1428" s="73"/>
      <c r="P1428" s="74"/>
      <c r="Q1428" s="74"/>
      <c r="R1428" s="87"/>
      <c r="S1428" s="87"/>
      <c r="T1428" s="87"/>
      <c r="U1428" s="87"/>
      <c r="V1428" s="48"/>
      <c r="W1428" s="48"/>
      <c r="X1428" s="48"/>
      <c r="Y1428" s="48"/>
      <c r="Z1428" s="47"/>
      <c r="AA1428" s="69">
        <v>1428</v>
      </c>
      <c r="AB1428" s="69"/>
      <c r="AC1428" s="70"/>
      <c r="AD1428" s="76" t="s">
        <v>22642</v>
      </c>
      <c r="AE1428" s="81" t="s">
        <v>21024</v>
      </c>
      <c r="AF1428" s="76">
        <v>236</v>
      </c>
      <c r="AG1428" s="76">
        <v>211</v>
      </c>
      <c r="AH1428" s="76">
        <v>192</v>
      </c>
      <c r="AI1428" s="76">
        <v>0</v>
      </c>
      <c r="AJ1428" s="76">
        <v>7910</v>
      </c>
      <c r="AK1428" s="76">
        <v>3</v>
      </c>
      <c r="AL1428" s="76" t="b">
        <v>0</v>
      </c>
      <c r="AM1428" s="78">
        <v>43935.508125</v>
      </c>
      <c r="AN1428" s="76"/>
      <c r="AO1428" s="76"/>
      <c r="AP1428" s="76"/>
      <c r="AQ1428" s="76"/>
      <c r="AR1428" s="76"/>
      <c r="AS1428" s="76"/>
      <c r="AT1428" s="76"/>
      <c r="AU1428" s="76"/>
      <c r="AV1428" s="76"/>
      <c r="AW1428" s="76"/>
      <c r="AX1428" s="76" t="b">
        <v>0</v>
      </c>
      <c r="AY1428" s="76"/>
      <c r="AZ1428" s="76"/>
      <c r="BA1428" s="76" t="b">
        <v>1</v>
      </c>
      <c r="BB1428" s="76" t="b">
        <v>1</v>
      </c>
      <c r="BC1428" s="76" t="b">
        <v>1</v>
      </c>
      <c r="BD1428" s="76" t="b">
        <v>0</v>
      </c>
      <c r="BE1428" s="76" t="b">
        <v>1</v>
      </c>
      <c r="BF1428" s="76" t="b">
        <v>0</v>
      </c>
      <c r="BG1428" s="76" t="b">
        <v>1</v>
      </c>
      <c r="BH1428" s="82" t="str">
        <f>HYPERLINK("https://pbs.twimg.com/profile_banners/1250033897896841216/1597962857")</f>
        <v>https://pbs.twimg.com/profile_banners/1250033897896841216/1597962857</v>
      </c>
      <c r="BI1428" s="76"/>
      <c r="BJ1428" s="76" t="s">
        <v>27595</v>
      </c>
      <c r="BK1428" s="76" t="b">
        <v>0</v>
      </c>
      <c r="BL1428" s="76"/>
      <c r="BM1428" s="76" t="s">
        <v>66</v>
      </c>
      <c r="BN1428" s="76" t="s">
        <v>27597</v>
      </c>
      <c r="BO1428" s="82" t="str">
        <f>HYPERLINK("https://twitter.com/beastymau")</f>
        <v>https://twitter.com/beastymau</v>
      </c>
      <c r="BP1428" s="2"/>
    </row>
    <row r="1429" spans="1:68" x14ac:dyDescent="0.25">
      <c r="A1429" s="62" t="s">
        <v>1675</v>
      </c>
      <c r="B1429" s="63"/>
      <c r="C1429" s="63"/>
      <c r="D1429" s="64"/>
      <c r="E1429" s="66"/>
      <c r="F1429" s="103" t="str">
        <f>HYPERLINK("https://pbs.twimg.com/profile_images/1245463298751037444/uAzAZ0A__normal.jpg")</f>
        <v>https://pbs.twimg.com/profile_images/1245463298751037444/uAzAZ0A__normal.jpg</v>
      </c>
      <c r="G1429" s="63"/>
      <c r="H1429" s="67"/>
      <c r="I1429" s="68"/>
      <c r="J1429" s="68"/>
      <c r="K1429" s="67" t="s">
        <v>29023</v>
      </c>
      <c r="L1429" s="71"/>
      <c r="M1429" s="72"/>
      <c r="N1429" s="72"/>
      <c r="O1429" s="73"/>
      <c r="P1429" s="74"/>
      <c r="Q1429" s="74"/>
      <c r="R1429" s="87"/>
      <c r="S1429" s="87"/>
      <c r="T1429" s="87"/>
      <c r="U1429" s="87"/>
      <c r="V1429" s="48"/>
      <c r="W1429" s="48"/>
      <c r="X1429" s="48"/>
      <c r="Y1429" s="48"/>
      <c r="Z1429" s="47"/>
      <c r="AA1429" s="69">
        <v>1429</v>
      </c>
      <c r="AB1429" s="69"/>
      <c r="AC1429" s="70"/>
      <c r="AD1429" s="76" t="s">
        <v>22643</v>
      </c>
      <c r="AE1429" s="81" t="s">
        <v>23815</v>
      </c>
      <c r="AF1429" s="76">
        <v>24513</v>
      </c>
      <c r="AG1429" s="76">
        <v>531</v>
      </c>
      <c r="AH1429" s="76">
        <v>24719</v>
      </c>
      <c r="AI1429" s="76">
        <v>488</v>
      </c>
      <c r="AJ1429" s="76">
        <v>11971</v>
      </c>
      <c r="AK1429" s="76">
        <v>10903</v>
      </c>
      <c r="AL1429" s="76" t="b">
        <v>0</v>
      </c>
      <c r="AM1429" s="78">
        <v>40554.720312500001</v>
      </c>
      <c r="AN1429" s="76" t="s">
        <v>24114</v>
      </c>
      <c r="AO1429" s="76" t="s">
        <v>25980</v>
      </c>
      <c r="AP1429" s="82" t="str">
        <f>HYPERLINK("https://t.co/zyfdnYIxFP")</f>
        <v>https://t.co/zyfdnYIxFP</v>
      </c>
      <c r="AQ1429" s="82" t="str">
        <f>HYPERLINK("https://charliesupph.com/")</f>
        <v>https://charliesupph.com/</v>
      </c>
      <c r="AR1429" s="76" t="s">
        <v>27132</v>
      </c>
      <c r="AS1429" s="76"/>
      <c r="AT1429" s="76"/>
      <c r="AU1429" s="76"/>
      <c r="AV1429" s="76">
        <v>1.49442586756879E+18</v>
      </c>
      <c r="AW1429" s="82" t="str">
        <f>HYPERLINK("https://t.co/zyfdnYIxFP")</f>
        <v>https://t.co/zyfdnYIxFP</v>
      </c>
      <c r="AX1429" s="76" t="b">
        <v>0</v>
      </c>
      <c r="AY1429" s="76"/>
      <c r="AZ1429" s="76"/>
      <c r="BA1429" s="76" t="b">
        <v>0</v>
      </c>
      <c r="BB1429" s="76" t="b">
        <v>1</v>
      </c>
      <c r="BC1429" s="76" t="b">
        <v>1</v>
      </c>
      <c r="BD1429" s="76" t="b">
        <v>0</v>
      </c>
      <c r="BE1429" s="76" t="b">
        <v>0</v>
      </c>
      <c r="BF1429" s="76" t="b">
        <v>0</v>
      </c>
      <c r="BG1429" s="76" t="b">
        <v>0</v>
      </c>
      <c r="BH1429" s="82" t="str">
        <f>HYPERLINK("https://pbs.twimg.com/profile_banners/236915613/1444067826")</f>
        <v>https://pbs.twimg.com/profile_banners/236915613/1444067826</v>
      </c>
      <c r="BI1429" s="76"/>
      <c r="BJ1429" s="76" t="s">
        <v>27595</v>
      </c>
      <c r="BK1429" s="76" t="b">
        <v>0</v>
      </c>
      <c r="BL1429" s="76"/>
      <c r="BM1429" s="76" t="s">
        <v>66</v>
      </c>
      <c r="BN1429" s="76" t="s">
        <v>27597</v>
      </c>
      <c r="BO1429" s="82" t="str">
        <f>HYPERLINK("https://twitter.com/chtrader")</f>
        <v>https://twitter.com/chtrader</v>
      </c>
      <c r="BP1429" s="2"/>
    </row>
    <row r="1430" spans="1:68" x14ac:dyDescent="0.25">
      <c r="A1430" s="62" t="s">
        <v>1298</v>
      </c>
      <c r="B1430" s="63"/>
      <c r="C1430" s="63"/>
      <c r="D1430" s="64"/>
      <c r="E1430" s="66"/>
      <c r="F1430" s="103" t="str">
        <f>HYPERLINK("https://pbs.twimg.com/profile_images/1586858981267591170/tXnig5Z1_normal.png")</f>
        <v>https://pbs.twimg.com/profile_images/1586858981267591170/tXnig5Z1_normal.png</v>
      </c>
      <c r="G1430" s="63"/>
      <c r="H1430" s="67"/>
      <c r="I1430" s="68"/>
      <c r="J1430" s="68"/>
      <c r="K1430" s="67" t="s">
        <v>29024</v>
      </c>
      <c r="L1430" s="71"/>
      <c r="M1430" s="72"/>
      <c r="N1430" s="72"/>
      <c r="O1430" s="73"/>
      <c r="P1430" s="74"/>
      <c r="Q1430" s="74"/>
      <c r="R1430" s="87"/>
      <c r="S1430" s="87"/>
      <c r="T1430" s="87"/>
      <c r="U1430" s="87"/>
      <c r="V1430" s="48"/>
      <c r="W1430" s="48"/>
      <c r="X1430" s="48"/>
      <c r="Y1430" s="48"/>
      <c r="Z1430" s="47"/>
      <c r="AA1430" s="69">
        <v>1430</v>
      </c>
      <c r="AB1430" s="69"/>
      <c r="AC1430" s="70"/>
      <c r="AD1430" s="76" t="s">
        <v>22644</v>
      </c>
      <c r="AE1430" s="81" t="s">
        <v>21025</v>
      </c>
      <c r="AF1430" s="76">
        <v>1868</v>
      </c>
      <c r="AG1430" s="76">
        <v>2206</v>
      </c>
      <c r="AH1430" s="76">
        <v>99133</v>
      </c>
      <c r="AI1430" s="76">
        <v>3</v>
      </c>
      <c r="AJ1430" s="76">
        <v>69119</v>
      </c>
      <c r="AK1430" s="76">
        <v>1</v>
      </c>
      <c r="AL1430" s="76" t="b">
        <v>0</v>
      </c>
      <c r="AM1430" s="78">
        <v>44864.96802083333</v>
      </c>
      <c r="AN1430" s="76" t="s">
        <v>24571</v>
      </c>
      <c r="AO1430" s="76"/>
      <c r="AP1430" s="76"/>
      <c r="AQ1430" s="76"/>
      <c r="AR1430" s="76"/>
      <c r="AS1430" s="76"/>
      <c r="AT1430" s="76"/>
      <c r="AU1430" s="76"/>
      <c r="AV1430" s="76"/>
      <c r="AW1430" s="76"/>
      <c r="AX1430" s="76" t="b">
        <v>0</v>
      </c>
      <c r="AY1430" s="76"/>
      <c r="AZ1430" s="76"/>
      <c r="BA1430" s="76" t="b">
        <v>0</v>
      </c>
      <c r="BB1430" s="76" t="b">
        <v>1</v>
      </c>
      <c r="BC1430" s="76" t="b">
        <v>1</v>
      </c>
      <c r="BD1430" s="76" t="b">
        <v>0</v>
      </c>
      <c r="BE1430" s="76" t="b">
        <v>1</v>
      </c>
      <c r="BF1430" s="76" t="b">
        <v>0</v>
      </c>
      <c r="BG1430" s="76" t="b">
        <v>0</v>
      </c>
      <c r="BH1430" s="82" t="str">
        <f>HYPERLINK("https://pbs.twimg.com/profile_banners/1586858650269777920/1677012111")</f>
        <v>https://pbs.twimg.com/profile_banners/1586858650269777920/1677012111</v>
      </c>
      <c r="BI1430" s="76"/>
      <c r="BJ1430" s="76" t="s">
        <v>27595</v>
      </c>
      <c r="BK1430" s="76" t="b">
        <v>0</v>
      </c>
      <c r="BL1430" s="76"/>
      <c r="BM1430" s="76" t="s">
        <v>66</v>
      </c>
      <c r="BN1430" s="76" t="s">
        <v>27597</v>
      </c>
      <c r="BO1430" s="82" t="str">
        <f>HYPERLINK("https://twitter.com/cristinafacch9")</f>
        <v>https://twitter.com/cristinafacch9</v>
      </c>
      <c r="BP1430" s="2"/>
    </row>
    <row r="1431" spans="1:68" x14ac:dyDescent="0.25">
      <c r="A1431" s="62" t="s">
        <v>1299</v>
      </c>
      <c r="B1431" s="63"/>
      <c r="C1431" s="63"/>
      <c r="D1431" s="64"/>
      <c r="E1431" s="66"/>
      <c r="F1431" s="103" t="str">
        <f>HYPERLINK("https://pbs.twimg.com/profile_images/1245672943188873216/qMEtgMfp_normal.jpg")</f>
        <v>https://pbs.twimg.com/profile_images/1245672943188873216/qMEtgMfp_normal.jpg</v>
      </c>
      <c r="G1431" s="63"/>
      <c r="H1431" s="67"/>
      <c r="I1431" s="68"/>
      <c r="J1431" s="68"/>
      <c r="K1431" s="67" t="s">
        <v>29025</v>
      </c>
      <c r="L1431" s="71"/>
      <c r="M1431" s="72"/>
      <c r="N1431" s="72"/>
      <c r="O1431" s="73"/>
      <c r="P1431" s="74"/>
      <c r="Q1431" s="74"/>
      <c r="R1431" s="87"/>
      <c r="S1431" s="87"/>
      <c r="T1431" s="87"/>
      <c r="U1431" s="87"/>
      <c r="V1431" s="48"/>
      <c r="W1431" s="48"/>
      <c r="X1431" s="48"/>
      <c r="Y1431" s="48"/>
      <c r="Z1431" s="47"/>
      <c r="AA1431" s="69">
        <v>1431</v>
      </c>
      <c r="AB1431" s="69"/>
      <c r="AC1431" s="70"/>
      <c r="AD1431" s="76" t="s">
        <v>22645</v>
      </c>
      <c r="AE1431" s="81" t="s">
        <v>21026</v>
      </c>
      <c r="AF1431" s="76">
        <v>6740</v>
      </c>
      <c r="AG1431" s="76">
        <v>6038</v>
      </c>
      <c r="AH1431" s="76">
        <v>1510</v>
      </c>
      <c r="AI1431" s="76">
        <v>31</v>
      </c>
      <c r="AJ1431" s="76">
        <v>1755</v>
      </c>
      <c r="AK1431" s="76">
        <v>585</v>
      </c>
      <c r="AL1431" s="76" t="b">
        <v>0</v>
      </c>
      <c r="AM1431" s="78">
        <v>43624.520601851851</v>
      </c>
      <c r="AN1431" s="76" t="s">
        <v>24160</v>
      </c>
      <c r="AO1431" s="76" t="s">
        <v>25981</v>
      </c>
      <c r="AP1431" s="82" t="str">
        <f>HYPERLINK("https://t.co/mDuUziTpro")</f>
        <v>https://t.co/mDuUziTpro</v>
      </c>
      <c r="AQ1431" s="82" t="str">
        <f>HYPERLINK("http://justiciadigital.com.ar")</f>
        <v>http://justiciadigital.com.ar</v>
      </c>
      <c r="AR1431" s="76" t="s">
        <v>27133</v>
      </c>
      <c r="AS1431" s="76" t="s">
        <v>27395</v>
      </c>
      <c r="AT1431" s="76" t="s">
        <v>27434</v>
      </c>
      <c r="AU1431" s="76" t="s">
        <v>27548</v>
      </c>
      <c r="AV1431" s="76"/>
      <c r="AW1431" s="82" t="str">
        <f>HYPERLINK("https://t.co/mDuUziTpro")</f>
        <v>https://t.co/mDuUziTpro</v>
      </c>
      <c r="AX1431" s="76" t="b">
        <v>0</v>
      </c>
      <c r="AY1431" s="76"/>
      <c r="AZ1431" s="76"/>
      <c r="BA1431" s="76" t="b">
        <v>1</v>
      </c>
      <c r="BB1431" s="76" t="b">
        <v>1</v>
      </c>
      <c r="BC1431" s="76" t="b">
        <v>1</v>
      </c>
      <c r="BD1431" s="76" t="b">
        <v>0</v>
      </c>
      <c r="BE1431" s="76" t="b">
        <v>1</v>
      </c>
      <c r="BF1431" s="76" t="b">
        <v>0</v>
      </c>
      <c r="BG1431" s="76" t="b">
        <v>0</v>
      </c>
      <c r="BH1431" s="82" t="str">
        <f>HYPERLINK("https://pbs.twimg.com/profile_banners/1137335886033674241/1560011815")</f>
        <v>https://pbs.twimg.com/profile_banners/1137335886033674241/1560011815</v>
      </c>
      <c r="BI1431" s="76"/>
      <c r="BJ1431" s="76" t="s">
        <v>27595</v>
      </c>
      <c r="BK1431" s="76" t="b">
        <v>0</v>
      </c>
      <c r="BL1431" s="76"/>
      <c r="BM1431" s="76" t="s">
        <v>66</v>
      </c>
      <c r="BN1431" s="76" t="s">
        <v>27597</v>
      </c>
      <c r="BO1431" s="82" t="str">
        <f>HYPERLINK("https://twitter.com/jusdigitalcaba")</f>
        <v>https://twitter.com/jusdigitalcaba</v>
      </c>
      <c r="BP1431" s="2"/>
    </row>
    <row r="1432" spans="1:68" x14ac:dyDescent="0.25">
      <c r="A1432" s="62" t="s">
        <v>1300</v>
      </c>
      <c r="B1432" s="63"/>
      <c r="C1432" s="63"/>
      <c r="D1432" s="64"/>
      <c r="E1432" s="66"/>
      <c r="F1432" s="103" t="str">
        <f>HYPERLINK("https://pbs.twimg.com/profile_images/1659615772665077761/aMouuhal_normal.jpg")</f>
        <v>https://pbs.twimg.com/profile_images/1659615772665077761/aMouuhal_normal.jpg</v>
      </c>
      <c r="G1432" s="63"/>
      <c r="H1432" s="67"/>
      <c r="I1432" s="68"/>
      <c r="J1432" s="68"/>
      <c r="K1432" s="67" t="s">
        <v>29026</v>
      </c>
      <c r="L1432" s="71"/>
      <c r="M1432" s="72"/>
      <c r="N1432" s="72"/>
      <c r="O1432" s="73"/>
      <c r="P1432" s="74"/>
      <c r="Q1432" s="74"/>
      <c r="R1432" s="87"/>
      <c r="S1432" s="87"/>
      <c r="T1432" s="87"/>
      <c r="U1432" s="87"/>
      <c r="V1432" s="48"/>
      <c r="W1432" s="48"/>
      <c r="X1432" s="48"/>
      <c r="Y1432" s="48"/>
      <c r="Z1432" s="47"/>
      <c r="AA1432" s="69">
        <v>1432</v>
      </c>
      <c r="AB1432" s="69"/>
      <c r="AC1432" s="70"/>
      <c r="AD1432" s="76" t="s">
        <v>22646</v>
      </c>
      <c r="AE1432" s="81" t="s">
        <v>23816</v>
      </c>
      <c r="AF1432" s="76">
        <v>1184</v>
      </c>
      <c r="AG1432" s="76">
        <v>970</v>
      </c>
      <c r="AH1432" s="76">
        <v>14097</v>
      </c>
      <c r="AI1432" s="76">
        <v>9</v>
      </c>
      <c r="AJ1432" s="76">
        <v>5738</v>
      </c>
      <c r="AK1432" s="76">
        <v>912</v>
      </c>
      <c r="AL1432" s="76" t="b">
        <v>0</v>
      </c>
      <c r="AM1432" s="78">
        <v>40867.968634259261</v>
      </c>
      <c r="AN1432" s="76" t="s">
        <v>14385</v>
      </c>
      <c r="AO1432" s="76" t="s">
        <v>25982</v>
      </c>
      <c r="AP1432" s="76"/>
      <c r="AQ1432" s="76"/>
      <c r="AR1432" s="76"/>
      <c r="AS1432" s="82" t="str">
        <f>HYPERLINK("https://t.co/MLIygb8H9E")</f>
        <v>https://t.co/MLIygb8H9E</v>
      </c>
      <c r="AT1432" s="82" t="str">
        <f>HYPERLINK("http://Cba24n.com.ar")</f>
        <v>http://Cba24n.com.ar</v>
      </c>
      <c r="AU1432" s="76" t="s">
        <v>27549</v>
      </c>
      <c r="AV1432" s="76"/>
      <c r="AW1432" s="76"/>
      <c r="AX1432" s="76" t="b">
        <v>0</v>
      </c>
      <c r="AY1432" s="76"/>
      <c r="AZ1432" s="76"/>
      <c r="BA1432" s="76" t="b">
        <v>0</v>
      </c>
      <c r="BB1432" s="76" t="b">
        <v>1</v>
      </c>
      <c r="BC1432" s="76" t="b">
        <v>1</v>
      </c>
      <c r="BD1432" s="76" t="b">
        <v>0</v>
      </c>
      <c r="BE1432" s="76" t="b">
        <v>1</v>
      </c>
      <c r="BF1432" s="76" t="b">
        <v>0</v>
      </c>
      <c r="BG1432" s="76" t="b">
        <v>0</v>
      </c>
      <c r="BH1432" s="82" t="str">
        <f>HYPERLINK("https://pbs.twimg.com/profile_banners/417443041/1543030606")</f>
        <v>https://pbs.twimg.com/profile_banners/417443041/1543030606</v>
      </c>
      <c r="BI1432" s="76"/>
      <c r="BJ1432" s="76" t="s">
        <v>27595</v>
      </c>
      <c r="BK1432" s="76" t="b">
        <v>0</v>
      </c>
      <c r="BL1432" s="76"/>
      <c r="BM1432" s="76" t="s">
        <v>66</v>
      </c>
      <c r="BN1432" s="76" t="s">
        <v>27597</v>
      </c>
      <c r="BO1432" s="82" t="str">
        <f>HYPERLINK("https://twitter.com/mvalegamboa")</f>
        <v>https://twitter.com/mvalegamboa</v>
      </c>
      <c r="BP1432" s="2"/>
    </row>
    <row r="1433" spans="1:68" x14ac:dyDescent="0.25">
      <c r="A1433" s="62" t="s">
        <v>1301</v>
      </c>
      <c r="B1433" s="63"/>
      <c r="C1433" s="63"/>
      <c r="D1433" s="64"/>
      <c r="E1433" s="66"/>
      <c r="F1433" s="103" t="str">
        <f>HYPERLINK("https://pbs.twimg.com/profile_images/1652487430128168960/CTUOemrl_normal.jpg")</f>
        <v>https://pbs.twimg.com/profile_images/1652487430128168960/CTUOemrl_normal.jpg</v>
      </c>
      <c r="G1433" s="63"/>
      <c r="H1433" s="67"/>
      <c r="I1433" s="68"/>
      <c r="J1433" s="68"/>
      <c r="K1433" s="67" t="s">
        <v>29027</v>
      </c>
      <c r="L1433" s="71"/>
      <c r="M1433" s="72"/>
      <c r="N1433" s="72"/>
      <c r="O1433" s="73"/>
      <c r="P1433" s="74"/>
      <c r="Q1433" s="74"/>
      <c r="R1433" s="87"/>
      <c r="S1433" s="87"/>
      <c r="T1433" s="87"/>
      <c r="U1433" s="87"/>
      <c r="V1433" s="48"/>
      <c r="W1433" s="48"/>
      <c r="X1433" s="48"/>
      <c r="Y1433" s="48"/>
      <c r="Z1433" s="47"/>
      <c r="AA1433" s="69">
        <v>1433</v>
      </c>
      <c r="AB1433" s="69"/>
      <c r="AC1433" s="70"/>
      <c r="AD1433" s="76" t="s">
        <v>22647</v>
      </c>
      <c r="AE1433" s="81" t="s">
        <v>21027</v>
      </c>
      <c r="AF1433" s="76">
        <v>167</v>
      </c>
      <c r="AG1433" s="76">
        <v>3</v>
      </c>
      <c r="AH1433" s="76">
        <v>216</v>
      </c>
      <c r="AI1433" s="76">
        <v>0</v>
      </c>
      <c r="AJ1433" s="76">
        <v>18</v>
      </c>
      <c r="AK1433" s="76">
        <v>143</v>
      </c>
      <c r="AL1433" s="76" t="b">
        <v>0</v>
      </c>
      <c r="AM1433" s="78">
        <v>45037.164097222223</v>
      </c>
      <c r="AN1433" s="76"/>
      <c r="AO1433" s="76" t="s">
        <v>25983</v>
      </c>
      <c r="AP1433" s="82" t="str">
        <f>HYPERLINK("https://t.co/MI51JLC0bh")</f>
        <v>https://t.co/MI51JLC0bh</v>
      </c>
      <c r="AQ1433" s="82" t="str">
        <f>HYPERLINK("https://masterwnews.com/")</f>
        <v>https://masterwnews.com/</v>
      </c>
      <c r="AR1433" s="76" t="s">
        <v>8827</v>
      </c>
      <c r="AS1433" s="76"/>
      <c r="AT1433" s="76"/>
      <c r="AU1433" s="76"/>
      <c r="AV1433" s="76"/>
      <c r="AW1433" s="82" t="str">
        <f>HYPERLINK("https://t.co/MI51JLC0bh")</f>
        <v>https://t.co/MI51JLC0bh</v>
      </c>
      <c r="AX1433" s="76" t="b">
        <v>0</v>
      </c>
      <c r="AY1433" s="76"/>
      <c r="AZ1433" s="76"/>
      <c r="BA1433" s="76" t="b">
        <v>0</v>
      </c>
      <c r="BB1433" s="76" t="b">
        <v>1</v>
      </c>
      <c r="BC1433" s="76" t="b">
        <v>1</v>
      </c>
      <c r="BD1433" s="76" t="b">
        <v>0</v>
      </c>
      <c r="BE1433" s="76" t="b">
        <v>0</v>
      </c>
      <c r="BF1433" s="76" t="b">
        <v>0</v>
      </c>
      <c r="BG1433" s="76" t="b">
        <v>0</v>
      </c>
      <c r="BH1433" s="82" t="str">
        <f>HYPERLINK("https://pbs.twimg.com/profile_banners/1649260620020080640/1682818680")</f>
        <v>https://pbs.twimg.com/profile_banners/1649260620020080640/1682818680</v>
      </c>
      <c r="BI1433" s="76"/>
      <c r="BJ1433" s="76" t="s">
        <v>27595</v>
      </c>
      <c r="BK1433" s="76" t="b">
        <v>0</v>
      </c>
      <c r="BL1433" s="76"/>
      <c r="BM1433" s="76" t="s">
        <v>66</v>
      </c>
      <c r="BN1433" s="76" t="s">
        <v>27597</v>
      </c>
      <c r="BO1433" s="82" t="str">
        <f>HYPERLINK("https://twitter.com/masterwnews")</f>
        <v>https://twitter.com/masterwnews</v>
      </c>
      <c r="BP1433" s="2"/>
    </row>
    <row r="1434" spans="1:68" x14ac:dyDescent="0.25">
      <c r="A1434" s="62" t="s">
        <v>1302</v>
      </c>
      <c r="B1434" s="63"/>
      <c r="C1434" s="63"/>
      <c r="D1434" s="64"/>
      <c r="E1434" s="66"/>
      <c r="F1434" s="103" t="str">
        <f>HYPERLINK("https://pbs.twimg.com/profile_images/1676724572027072512/6vzyD5kx_normal.jpg")</f>
        <v>https://pbs.twimg.com/profile_images/1676724572027072512/6vzyD5kx_normal.jpg</v>
      </c>
      <c r="G1434" s="63"/>
      <c r="H1434" s="67"/>
      <c r="I1434" s="68"/>
      <c r="J1434" s="68"/>
      <c r="K1434" s="67" t="s">
        <v>29028</v>
      </c>
      <c r="L1434" s="71"/>
      <c r="M1434" s="72"/>
      <c r="N1434" s="72"/>
      <c r="O1434" s="73"/>
      <c r="P1434" s="74"/>
      <c r="Q1434" s="74"/>
      <c r="R1434" s="87"/>
      <c r="S1434" s="87"/>
      <c r="T1434" s="87"/>
      <c r="U1434" s="87"/>
      <c r="V1434" s="48"/>
      <c r="W1434" s="48"/>
      <c r="X1434" s="48"/>
      <c r="Y1434" s="48"/>
      <c r="Z1434" s="47"/>
      <c r="AA1434" s="69">
        <v>1434</v>
      </c>
      <c r="AB1434" s="69"/>
      <c r="AC1434" s="70"/>
      <c r="AD1434" s="76" t="s">
        <v>22648</v>
      </c>
      <c r="AE1434" s="81" t="s">
        <v>23817</v>
      </c>
      <c r="AF1434" s="76">
        <v>230</v>
      </c>
      <c r="AG1434" s="76">
        <v>739</v>
      </c>
      <c r="AH1434" s="76">
        <v>6304</v>
      </c>
      <c r="AI1434" s="76">
        <v>1</v>
      </c>
      <c r="AJ1434" s="76">
        <v>4772</v>
      </c>
      <c r="AK1434" s="76">
        <v>971</v>
      </c>
      <c r="AL1434" s="76" t="b">
        <v>0</v>
      </c>
      <c r="AM1434" s="78">
        <v>41388.178969907407</v>
      </c>
      <c r="AN1434" s="76" t="s">
        <v>24572</v>
      </c>
      <c r="AO1434" s="76" t="s">
        <v>25984</v>
      </c>
      <c r="AP1434" s="82" t="str">
        <f>HYPERLINK("https://t.co/4BnahIBj5B")</f>
        <v>https://t.co/4BnahIBj5B</v>
      </c>
      <c r="AQ1434" s="82" t="str">
        <f>HYPERLINK("https://linktr.ee/Lazzini")</f>
        <v>https://linktr.ee/Lazzini</v>
      </c>
      <c r="AR1434" s="76" t="s">
        <v>27134</v>
      </c>
      <c r="AS1434" s="76"/>
      <c r="AT1434" s="76"/>
      <c r="AU1434" s="76"/>
      <c r="AV1434" s="76">
        <v>1.52716896795726E+18</v>
      </c>
      <c r="AW1434" s="82" t="str">
        <f>HYPERLINK("https://t.co/4BnahIBj5B")</f>
        <v>https://t.co/4BnahIBj5B</v>
      </c>
      <c r="AX1434" s="76" t="b">
        <v>0</v>
      </c>
      <c r="AY1434" s="76"/>
      <c r="AZ1434" s="76"/>
      <c r="BA1434" s="76" t="b">
        <v>1</v>
      </c>
      <c r="BB1434" s="76" t="b">
        <v>0</v>
      </c>
      <c r="BC1434" s="76" t="b">
        <v>0</v>
      </c>
      <c r="BD1434" s="76" t="b">
        <v>0</v>
      </c>
      <c r="BE1434" s="76" t="b">
        <v>1</v>
      </c>
      <c r="BF1434" s="76" t="b">
        <v>0</v>
      </c>
      <c r="BG1434" s="76" t="b">
        <v>0</v>
      </c>
      <c r="BH1434" s="82" t="str">
        <f>HYPERLINK("https://pbs.twimg.com/profile_banners/1376145452/1665624778")</f>
        <v>https://pbs.twimg.com/profile_banners/1376145452/1665624778</v>
      </c>
      <c r="BI1434" s="76"/>
      <c r="BJ1434" s="76" t="s">
        <v>27595</v>
      </c>
      <c r="BK1434" s="76" t="b">
        <v>0</v>
      </c>
      <c r="BL1434" s="76"/>
      <c r="BM1434" s="76" t="s">
        <v>66</v>
      </c>
      <c r="BN1434" s="76" t="s">
        <v>27597</v>
      </c>
      <c r="BO1434" s="82" t="str">
        <f>HYPERLINK("https://twitter.com/julietalazzini")</f>
        <v>https://twitter.com/julietalazzini</v>
      </c>
      <c r="BP1434" s="2"/>
    </row>
    <row r="1435" spans="1:68" x14ac:dyDescent="0.25">
      <c r="A1435" s="62" t="s">
        <v>1303</v>
      </c>
      <c r="B1435" s="63"/>
      <c r="C1435" s="63"/>
      <c r="D1435" s="64"/>
      <c r="E1435" s="66"/>
      <c r="F1435" s="103" t="str">
        <f>HYPERLINK("https://pbs.twimg.com/profile_images/903769051188535296/s3ibsSVq_normal.jpg")</f>
        <v>https://pbs.twimg.com/profile_images/903769051188535296/s3ibsSVq_normal.jpg</v>
      </c>
      <c r="G1435" s="63"/>
      <c r="H1435" s="67"/>
      <c r="I1435" s="68"/>
      <c r="J1435" s="68"/>
      <c r="K1435" s="67" t="s">
        <v>29029</v>
      </c>
      <c r="L1435" s="71"/>
      <c r="M1435" s="72"/>
      <c r="N1435" s="72"/>
      <c r="O1435" s="73"/>
      <c r="P1435" s="74"/>
      <c r="Q1435" s="74"/>
      <c r="R1435" s="87"/>
      <c r="S1435" s="87"/>
      <c r="T1435" s="87"/>
      <c r="U1435" s="87"/>
      <c r="V1435" s="48"/>
      <c r="W1435" s="48"/>
      <c r="X1435" s="48"/>
      <c r="Y1435" s="48"/>
      <c r="Z1435" s="47"/>
      <c r="AA1435" s="69">
        <v>1435</v>
      </c>
      <c r="AB1435" s="69"/>
      <c r="AC1435" s="70"/>
      <c r="AD1435" s="76" t="s">
        <v>22649</v>
      </c>
      <c r="AE1435" s="81" t="s">
        <v>23818</v>
      </c>
      <c r="AF1435" s="76">
        <v>80074</v>
      </c>
      <c r="AG1435" s="76">
        <v>16436</v>
      </c>
      <c r="AH1435" s="76">
        <v>191866</v>
      </c>
      <c r="AI1435" s="76">
        <v>948</v>
      </c>
      <c r="AJ1435" s="76">
        <v>5819</v>
      </c>
      <c r="AK1435" s="76">
        <v>45975</v>
      </c>
      <c r="AL1435" s="76" t="b">
        <v>0</v>
      </c>
      <c r="AM1435" s="78">
        <v>40288.754942129628</v>
      </c>
      <c r="AN1435" s="76" t="s">
        <v>24573</v>
      </c>
      <c r="AO1435" s="76" t="s">
        <v>25985</v>
      </c>
      <c r="AP1435" s="82" t="str">
        <f>HYPERLINK("http://t.co/CV3zhKUPUh")</f>
        <v>http://t.co/CV3zhKUPUh</v>
      </c>
      <c r="AQ1435" s="82" t="str">
        <f>HYPERLINK("http://www.vertigopolitico.com/")</f>
        <v>http://www.vertigopolitico.com/</v>
      </c>
      <c r="AR1435" s="76" t="s">
        <v>27135</v>
      </c>
      <c r="AS1435" s="76"/>
      <c r="AT1435" s="76"/>
      <c r="AU1435" s="76"/>
      <c r="AV1435" s="76">
        <v>1.7055998035208499E+18</v>
      </c>
      <c r="AW1435" s="82" t="str">
        <f>HYPERLINK("http://t.co/CV3zhKUPUh")</f>
        <v>http://t.co/CV3zhKUPUh</v>
      </c>
      <c r="AX1435" s="76" t="b">
        <v>1</v>
      </c>
      <c r="AY1435" s="76"/>
      <c r="AZ1435" s="76"/>
      <c r="BA1435" s="76" t="b">
        <v>0</v>
      </c>
      <c r="BB1435" s="76" t="b">
        <v>1</v>
      </c>
      <c r="BC1435" s="76" t="b">
        <v>0</v>
      </c>
      <c r="BD1435" s="76" t="b">
        <v>0</v>
      </c>
      <c r="BE1435" s="76" t="b">
        <v>1</v>
      </c>
      <c r="BF1435" s="76" t="b">
        <v>0</v>
      </c>
      <c r="BG1435" s="76" t="b">
        <v>0</v>
      </c>
      <c r="BH1435" s="82" t="str">
        <f>HYPERLINK("https://pbs.twimg.com/profile_banners/135228435/1512693181")</f>
        <v>https://pbs.twimg.com/profile_banners/135228435/1512693181</v>
      </c>
      <c r="BI1435" s="76"/>
      <c r="BJ1435" s="76" t="s">
        <v>27595</v>
      </c>
      <c r="BK1435" s="76" t="b">
        <v>0</v>
      </c>
      <c r="BL1435" s="76"/>
      <c r="BM1435" s="76" t="s">
        <v>66</v>
      </c>
      <c r="BN1435" s="76" t="s">
        <v>27597</v>
      </c>
      <c r="BO1435" s="82" t="str">
        <f>HYPERLINK("https://twitter.com/vertigopolitico")</f>
        <v>https://twitter.com/vertigopolitico</v>
      </c>
      <c r="BP1435" s="2"/>
    </row>
    <row r="1436" spans="1:68" x14ac:dyDescent="0.25">
      <c r="A1436" s="62" t="s">
        <v>2007</v>
      </c>
      <c r="B1436" s="63"/>
      <c r="C1436" s="63"/>
      <c r="D1436" s="64"/>
      <c r="E1436" s="66"/>
      <c r="F1436" s="103" t="str">
        <f>HYPERLINK("https://pbs.twimg.com/profile_images/748475642719571968/NMrWKLj9_normal.jpg")</f>
        <v>https://pbs.twimg.com/profile_images/748475642719571968/NMrWKLj9_normal.jpg</v>
      </c>
      <c r="G1436" s="63"/>
      <c r="H1436" s="67"/>
      <c r="I1436" s="68"/>
      <c r="J1436" s="68"/>
      <c r="K1436" s="67" t="s">
        <v>29030</v>
      </c>
      <c r="L1436" s="71"/>
      <c r="M1436" s="72"/>
      <c r="N1436" s="72"/>
      <c r="O1436" s="73"/>
      <c r="P1436" s="74"/>
      <c r="Q1436" s="74"/>
      <c r="R1436" s="87"/>
      <c r="S1436" s="87"/>
      <c r="T1436" s="87"/>
      <c r="U1436" s="87"/>
      <c r="V1436" s="48"/>
      <c r="W1436" s="48"/>
      <c r="X1436" s="48"/>
      <c r="Y1436" s="48"/>
      <c r="Z1436" s="47"/>
      <c r="AA1436" s="69">
        <v>1436</v>
      </c>
      <c r="AB1436" s="69"/>
      <c r="AC1436" s="70"/>
      <c r="AD1436" s="76" t="s">
        <v>22650</v>
      </c>
      <c r="AE1436" s="81" t="s">
        <v>23819</v>
      </c>
      <c r="AF1436" s="76">
        <v>995277</v>
      </c>
      <c r="AG1436" s="76">
        <v>1785</v>
      </c>
      <c r="AH1436" s="76">
        <v>37908</v>
      </c>
      <c r="AI1436" s="76">
        <v>3126</v>
      </c>
      <c r="AJ1436" s="76">
        <v>29783</v>
      </c>
      <c r="AK1436" s="76">
        <v>1291</v>
      </c>
      <c r="AL1436" s="76" t="b">
        <v>0</v>
      </c>
      <c r="AM1436" s="78">
        <v>40781.555</v>
      </c>
      <c r="AN1436" s="76" t="s">
        <v>24292</v>
      </c>
      <c r="AO1436" s="76" t="s">
        <v>25986</v>
      </c>
      <c r="AP1436" s="82" t="str">
        <f>HYPERLINK("https://t.co/brS23WivFW")</f>
        <v>https://t.co/brS23WivFW</v>
      </c>
      <c r="AQ1436" s="82" t="str">
        <f>HYPERLINK("http://www.sergiosarmiento.com")</f>
        <v>http://www.sergiosarmiento.com</v>
      </c>
      <c r="AR1436" s="76" t="s">
        <v>27136</v>
      </c>
      <c r="AS1436" s="76"/>
      <c r="AT1436" s="76"/>
      <c r="AU1436" s="76"/>
      <c r="AV1436" s="76">
        <v>1.7073722519754399E+18</v>
      </c>
      <c r="AW1436" s="82" t="str">
        <f>HYPERLINK("https://t.co/brS23WivFW")</f>
        <v>https://t.co/brS23WivFW</v>
      </c>
      <c r="AX1436" s="76" t="b">
        <v>0</v>
      </c>
      <c r="AY1436" s="76"/>
      <c r="AZ1436" s="76"/>
      <c r="BA1436" s="76" t="b">
        <v>1</v>
      </c>
      <c r="BB1436" s="76" t="b">
        <v>1</v>
      </c>
      <c r="BC1436" s="76" t="b">
        <v>0</v>
      </c>
      <c r="BD1436" s="76" t="b">
        <v>0</v>
      </c>
      <c r="BE1436" s="76" t="b">
        <v>1</v>
      </c>
      <c r="BF1436" s="76" t="b">
        <v>0</v>
      </c>
      <c r="BG1436" s="76" t="b">
        <v>0</v>
      </c>
      <c r="BH1436" s="82" t="str">
        <f>HYPERLINK("https://pbs.twimg.com/profile_banners/362473815/1368118304")</f>
        <v>https://pbs.twimg.com/profile_banners/362473815/1368118304</v>
      </c>
      <c r="BI1436" s="76"/>
      <c r="BJ1436" s="76" t="s">
        <v>27595</v>
      </c>
      <c r="BK1436" s="76" t="b">
        <v>0</v>
      </c>
      <c r="BL1436" s="76"/>
      <c r="BM1436" s="76" t="s">
        <v>65</v>
      </c>
      <c r="BN1436" s="76" t="s">
        <v>27597</v>
      </c>
      <c r="BO1436" s="82" t="str">
        <f>HYPERLINK("https://twitter.com/sergiosarmiento")</f>
        <v>https://twitter.com/sergiosarmiento</v>
      </c>
      <c r="BP1436" s="2"/>
    </row>
    <row r="1437" spans="1:68" x14ac:dyDescent="0.25">
      <c r="A1437" s="62" t="s">
        <v>1304</v>
      </c>
      <c r="B1437" s="63"/>
      <c r="C1437" s="63"/>
      <c r="D1437" s="64"/>
      <c r="E1437" s="66"/>
      <c r="F1437" s="103" t="str">
        <f>HYPERLINK("https://pbs.twimg.com/profile_images/1681344628203700226/-_MMNt2L_normal.jpg")</f>
        <v>https://pbs.twimg.com/profile_images/1681344628203700226/-_MMNt2L_normal.jpg</v>
      </c>
      <c r="G1437" s="63"/>
      <c r="H1437" s="67"/>
      <c r="I1437" s="68"/>
      <c r="J1437" s="68"/>
      <c r="K1437" s="67" t="s">
        <v>29031</v>
      </c>
      <c r="L1437" s="71"/>
      <c r="M1437" s="72"/>
      <c r="N1437" s="72"/>
      <c r="O1437" s="73"/>
      <c r="P1437" s="74"/>
      <c r="Q1437" s="74"/>
      <c r="R1437" s="87"/>
      <c r="S1437" s="87"/>
      <c r="T1437" s="87"/>
      <c r="U1437" s="87"/>
      <c r="V1437" s="48"/>
      <c r="W1437" s="48"/>
      <c r="X1437" s="48"/>
      <c r="Y1437" s="48"/>
      <c r="Z1437" s="47"/>
      <c r="AA1437" s="69">
        <v>1437</v>
      </c>
      <c r="AB1437" s="69"/>
      <c r="AC1437" s="70"/>
      <c r="AD1437" s="76" t="s">
        <v>22651</v>
      </c>
      <c r="AE1437" s="81" t="s">
        <v>21028</v>
      </c>
      <c r="AF1437" s="76">
        <v>5267</v>
      </c>
      <c r="AG1437" s="76">
        <v>2642</v>
      </c>
      <c r="AH1437" s="76">
        <v>20086</v>
      </c>
      <c r="AI1437" s="76">
        <v>2</v>
      </c>
      <c r="AJ1437" s="76">
        <v>73514</v>
      </c>
      <c r="AK1437" s="76">
        <v>3026</v>
      </c>
      <c r="AL1437" s="76" t="b">
        <v>0</v>
      </c>
      <c r="AM1437" s="78">
        <v>44227.850347222222</v>
      </c>
      <c r="AN1437" s="76" t="s">
        <v>24574</v>
      </c>
      <c r="AO1437" s="76" t="s">
        <v>25987</v>
      </c>
      <c r="AP1437" s="76"/>
      <c r="AQ1437" s="76"/>
      <c r="AR1437" s="76"/>
      <c r="AS1437" s="76"/>
      <c r="AT1437" s="76"/>
      <c r="AU1437" s="76"/>
      <c r="AV1437" s="76">
        <v>1.63132199072733E+18</v>
      </c>
      <c r="AW1437" s="76"/>
      <c r="AX1437" s="76" t="b">
        <v>0</v>
      </c>
      <c r="AY1437" s="76"/>
      <c r="AZ1437" s="76"/>
      <c r="BA1437" s="76" t="b">
        <v>1</v>
      </c>
      <c r="BB1437" s="76" t="b">
        <v>0</v>
      </c>
      <c r="BC1437" s="76" t="b">
        <v>1</v>
      </c>
      <c r="BD1437" s="76" t="b">
        <v>0</v>
      </c>
      <c r="BE1437" s="76" t="b">
        <v>1</v>
      </c>
      <c r="BF1437" s="76" t="b">
        <v>0</v>
      </c>
      <c r="BG1437" s="76" t="b">
        <v>0</v>
      </c>
      <c r="BH1437" s="82" t="str">
        <f>HYPERLINK("https://pbs.twimg.com/profile_banners/1355975176933036033/1671918916")</f>
        <v>https://pbs.twimg.com/profile_banners/1355975176933036033/1671918916</v>
      </c>
      <c r="BI1437" s="76"/>
      <c r="BJ1437" s="76" t="s">
        <v>27595</v>
      </c>
      <c r="BK1437" s="76" t="b">
        <v>0</v>
      </c>
      <c r="BL1437" s="76"/>
      <c r="BM1437" s="76" t="s">
        <v>66</v>
      </c>
      <c r="BN1437" s="76" t="s">
        <v>27597</v>
      </c>
      <c r="BO1437" s="82" t="str">
        <f>HYPERLINK("https://twitter.com/giuliajules88")</f>
        <v>https://twitter.com/giuliajules88</v>
      </c>
      <c r="BP1437" s="2"/>
    </row>
    <row r="1438" spans="1:68" x14ac:dyDescent="0.25">
      <c r="A1438" s="62" t="s">
        <v>1305</v>
      </c>
      <c r="B1438" s="63"/>
      <c r="C1438" s="63"/>
      <c r="D1438" s="64"/>
      <c r="E1438" s="66"/>
      <c r="F1438" s="103" t="str">
        <f>HYPERLINK("https://pbs.twimg.com/profile_images/1623099129726484485/efR1z8CS_normal.png")</f>
        <v>https://pbs.twimg.com/profile_images/1623099129726484485/efR1z8CS_normal.png</v>
      </c>
      <c r="G1438" s="63"/>
      <c r="H1438" s="67"/>
      <c r="I1438" s="68"/>
      <c r="J1438" s="68"/>
      <c r="K1438" s="67" t="s">
        <v>29032</v>
      </c>
      <c r="L1438" s="71"/>
      <c r="M1438" s="72"/>
      <c r="N1438" s="72"/>
      <c r="O1438" s="73"/>
      <c r="P1438" s="74"/>
      <c r="Q1438" s="74"/>
      <c r="R1438" s="87"/>
      <c r="S1438" s="87"/>
      <c r="T1438" s="87"/>
      <c r="U1438" s="87"/>
      <c r="V1438" s="48"/>
      <c r="W1438" s="48"/>
      <c r="X1438" s="48"/>
      <c r="Y1438" s="48"/>
      <c r="Z1438" s="47"/>
      <c r="AA1438" s="69">
        <v>1438</v>
      </c>
      <c r="AB1438" s="69"/>
      <c r="AC1438" s="70"/>
      <c r="AD1438" s="76" t="s">
        <v>22652</v>
      </c>
      <c r="AE1438" s="81" t="s">
        <v>21029</v>
      </c>
      <c r="AF1438" s="76">
        <v>23</v>
      </c>
      <c r="AG1438" s="76">
        <v>22</v>
      </c>
      <c r="AH1438" s="76">
        <v>423</v>
      </c>
      <c r="AI1438" s="76">
        <v>0</v>
      </c>
      <c r="AJ1438" s="76">
        <v>112</v>
      </c>
      <c r="AK1438" s="76">
        <v>44</v>
      </c>
      <c r="AL1438" s="76" t="b">
        <v>0</v>
      </c>
      <c r="AM1438" s="78">
        <v>44964.971412037034</v>
      </c>
      <c r="AN1438" s="76"/>
      <c r="AO1438" s="76" t="s">
        <v>25988</v>
      </c>
      <c r="AP1438" s="82" t="str">
        <f>HYPERLINK("https://t.co/3O2bWSKOJy")</f>
        <v>https://t.co/3O2bWSKOJy</v>
      </c>
      <c r="AQ1438" s="82" t="str">
        <f>HYPERLINK("https://www.falkcapital.com.br/")</f>
        <v>https://www.falkcapital.com.br/</v>
      </c>
      <c r="AR1438" s="76" t="s">
        <v>27137</v>
      </c>
      <c r="AS1438" s="76"/>
      <c r="AT1438" s="76"/>
      <c r="AU1438" s="76"/>
      <c r="AV1438" s="76">
        <v>1.6231010909704399E+18</v>
      </c>
      <c r="AW1438" s="82" t="str">
        <f>HYPERLINK("https://t.co/3O2bWSKOJy")</f>
        <v>https://t.co/3O2bWSKOJy</v>
      </c>
      <c r="AX1438" s="76" t="b">
        <v>0</v>
      </c>
      <c r="AY1438" s="76"/>
      <c r="AZ1438" s="76"/>
      <c r="BA1438" s="76" t="b">
        <v>0</v>
      </c>
      <c r="BB1438" s="76" t="b">
        <v>1</v>
      </c>
      <c r="BC1438" s="76" t="b">
        <v>1</v>
      </c>
      <c r="BD1438" s="76" t="b">
        <v>0</v>
      </c>
      <c r="BE1438" s="76" t="b">
        <v>0</v>
      </c>
      <c r="BF1438" s="76" t="b">
        <v>0</v>
      </c>
      <c r="BG1438" s="76" t="b">
        <v>0</v>
      </c>
      <c r="BH1438" s="82" t="str">
        <f>HYPERLINK("https://pbs.twimg.com/profile_banners/1623098958401732610/1692242144")</f>
        <v>https://pbs.twimg.com/profile_banners/1623098958401732610/1692242144</v>
      </c>
      <c r="BI1438" s="76"/>
      <c r="BJ1438" s="76" t="s">
        <v>27595</v>
      </c>
      <c r="BK1438" s="76" t="b">
        <v>0</v>
      </c>
      <c r="BL1438" s="76"/>
      <c r="BM1438" s="76" t="s">
        <v>66</v>
      </c>
      <c r="BN1438" s="76" t="s">
        <v>27597</v>
      </c>
      <c r="BO1438" s="82" t="str">
        <f>HYPERLINK("https://twitter.com/falkcapital")</f>
        <v>https://twitter.com/falkcapital</v>
      </c>
      <c r="BP1438" s="2"/>
    </row>
    <row r="1439" spans="1:68" x14ac:dyDescent="0.25">
      <c r="A1439" s="62" t="s">
        <v>1306</v>
      </c>
      <c r="B1439" s="63"/>
      <c r="C1439" s="63"/>
      <c r="D1439" s="64"/>
      <c r="E1439" s="66"/>
      <c r="F1439" s="103" t="str">
        <f>HYPERLINK("https://pbs.twimg.com/profile_images/1648035617916198913/3ieu5pnG_normal.jpg")</f>
        <v>https://pbs.twimg.com/profile_images/1648035617916198913/3ieu5pnG_normal.jpg</v>
      </c>
      <c r="G1439" s="63"/>
      <c r="H1439" s="67"/>
      <c r="I1439" s="68"/>
      <c r="J1439" s="68"/>
      <c r="K1439" s="67" t="s">
        <v>29033</v>
      </c>
      <c r="L1439" s="71"/>
      <c r="M1439" s="72"/>
      <c r="N1439" s="72"/>
      <c r="O1439" s="73"/>
      <c r="P1439" s="74"/>
      <c r="Q1439" s="74"/>
      <c r="R1439" s="87"/>
      <c r="S1439" s="87"/>
      <c r="T1439" s="87"/>
      <c r="U1439" s="87"/>
      <c r="V1439" s="48"/>
      <c r="W1439" s="48"/>
      <c r="X1439" s="48"/>
      <c r="Y1439" s="48"/>
      <c r="Z1439" s="47"/>
      <c r="AA1439" s="69">
        <v>1439</v>
      </c>
      <c r="AB1439" s="69"/>
      <c r="AC1439" s="70"/>
      <c r="AD1439" s="76" t="s">
        <v>22653</v>
      </c>
      <c r="AE1439" s="81" t="s">
        <v>23820</v>
      </c>
      <c r="AF1439" s="76">
        <v>7729</v>
      </c>
      <c r="AG1439" s="76">
        <v>736</v>
      </c>
      <c r="AH1439" s="76">
        <v>117363</v>
      </c>
      <c r="AI1439" s="76">
        <v>6</v>
      </c>
      <c r="AJ1439" s="76">
        <v>55299</v>
      </c>
      <c r="AK1439" s="76">
        <v>4228</v>
      </c>
      <c r="AL1439" s="76" t="b">
        <v>0</v>
      </c>
      <c r="AM1439" s="78">
        <v>40590.693252314813</v>
      </c>
      <c r="AN1439" s="76" t="s">
        <v>24575</v>
      </c>
      <c r="AO1439" s="76" t="s">
        <v>25989</v>
      </c>
      <c r="AP1439" s="82" t="str">
        <f>HYPERLINK("https://t.co/F3zeEvN5Bc")</f>
        <v>https://t.co/F3zeEvN5Bc</v>
      </c>
      <c r="AQ1439" s="82" t="str">
        <f>HYPERLINK("https://linktr.ee/shanecast")</f>
        <v>https://linktr.ee/shanecast</v>
      </c>
      <c r="AR1439" s="76" t="s">
        <v>27138</v>
      </c>
      <c r="AS1439" s="76"/>
      <c r="AT1439" s="76"/>
      <c r="AU1439" s="76"/>
      <c r="AV1439" s="76">
        <v>1.70198192661617E+18</v>
      </c>
      <c r="AW1439" s="82" t="str">
        <f>HYPERLINK("https://t.co/F3zeEvN5Bc")</f>
        <v>https://t.co/F3zeEvN5Bc</v>
      </c>
      <c r="AX1439" s="76" t="b">
        <v>0</v>
      </c>
      <c r="AY1439" s="76"/>
      <c r="AZ1439" s="76"/>
      <c r="BA1439" s="76" t="b">
        <v>1</v>
      </c>
      <c r="BB1439" s="76" t="b">
        <v>0</v>
      </c>
      <c r="BC1439" s="76" t="b">
        <v>0</v>
      </c>
      <c r="BD1439" s="76" t="b">
        <v>0</v>
      </c>
      <c r="BE1439" s="76" t="b">
        <v>1</v>
      </c>
      <c r="BF1439" s="76" t="b">
        <v>0</v>
      </c>
      <c r="BG1439" s="76" t="b">
        <v>0</v>
      </c>
      <c r="BH1439" s="82" t="str">
        <f>HYPERLINK("https://pbs.twimg.com/profile_banners/253134427/1609752039")</f>
        <v>https://pbs.twimg.com/profile_banners/253134427/1609752039</v>
      </c>
      <c r="BI1439" s="76"/>
      <c r="BJ1439" s="76" t="s">
        <v>27595</v>
      </c>
      <c r="BK1439" s="76" t="b">
        <v>0</v>
      </c>
      <c r="BL1439" s="76"/>
      <c r="BM1439" s="76" t="s">
        <v>66</v>
      </c>
      <c r="BN1439" s="76" t="s">
        <v>27597</v>
      </c>
      <c r="BO1439" s="82" t="str">
        <f>HYPERLINK("https://twitter.com/trashandsure")</f>
        <v>https://twitter.com/trashandsure</v>
      </c>
      <c r="BP1439" s="2"/>
    </row>
    <row r="1440" spans="1:68" x14ac:dyDescent="0.25">
      <c r="A1440" s="62" t="s">
        <v>1307</v>
      </c>
      <c r="B1440" s="63"/>
      <c r="C1440" s="63"/>
      <c r="D1440" s="64"/>
      <c r="E1440" s="66"/>
      <c r="F1440" s="103" t="str">
        <f>HYPERLINK("https://pbs.twimg.com/profile_images/1553552603090386946/OhAweanE_normal.jpg")</f>
        <v>https://pbs.twimg.com/profile_images/1553552603090386946/OhAweanE_normal.jpg</v>
      </c>
      <c r="G1440" s="63"/>
      <c r="H1440" s="67"/>
      <c r="I1440" s="68"/>
      <c r="J1440" s="68"/>
      <c r="K1440" s="67" t="s">
        <v>29034</v>
      </c>
      <c r="L1440" s="71"/>
      <c r="M1440" s="72"/>
      <c r="N1440" s="72"/>
      <c r="O1440" s="73"/>
      <c r="P1440" s="74"/>
      <c r="Q1440" s="74"/>
      <c r="R1440" s="87"/>
      <c r="S1440" s="87"/>
      <c r="T1440" s="87"/>
      <c r="U1440" s="87"/>
      <c r="V1440" s="48"/>
      <c r="W1440" s="48"/>
      <c r="X1440" s="48"/>
      <c r="Y1440" s="48"/>
      <c r="Z1440" s="47"/>
      <c r="AA1440" s="69">
        <v>1440</v>
      </c>
      <c r="AB1440" s="69"/>
      <c r="AC1440" s="70"/>
      <c r="AD1440" s="76" t="s">
        <v>22654</v>
      </c>
      <c r="AE1440" s="81" t="s">
        <v>23821</v>
      </c>
      <c r="AF1440" s="76">
        <v>1264</v>
      </c>
      <c r="AG1440" s="76">
        <v>3465</v>
      </c>
      <c r="AH1440" s="76">
        <v>78250</v>
      </c>
      <c r="AI1440" s="76">
        <v>9</v>
      </c>
      <c r="AJ1440" s="76">
        <v>67178</v>
      </c>
      <c r="AK1440" s="76">
        <v>17722</v>
      </c>
      <c r="AL1440" s="76" t="b">
        <v>0</v>
      </c>
      <c r="AM1440" s="78">
        <v>41436.247118055559</v>
      </c>
      <c r="AN1440" s="76" t="s">
        <v>24576</v>
      </c>
      <c r="AO1440" s="76" t="s">
        <v>25990</v>
      </c>
      <c r="AP1440" s="82" t="str">
        <f>HYPERLINK("https://t.co/RtS5YHgLzl")</f>
        <v>https://t.co/RtS5YHgLzl</v>
      </c>
      <c r="AQ1440" s="82" t="str">
        <f>HYPERLINK("https://les-matriztiques.blogspot.com/2022/06/la-civilizacion-se-sostiene-sobre.html")</f>
        <v>https://les-matriztiques.blogspot.com/2022/06/la-civilizacion-se-sostiene-sobre.html</v>
      </c>
      <c r="AR1440" s="76" t="s">
        <v>27139</v>
      </c>
      <c r="AS1440" s="76" t="s">
        <v>27396</v>
      </c>
      <c r="AT1440" s="76" t="s">
        <v>27435</v>
      </c>
      <c r="AU1440" s="76" t="s">
        <v>27550</v>
      </c>
      <c r="AV1440" s="76">
        <v>1.2878201886672599E+18</v>
      </c>
      <c r="AW1440" s="82" t="str">
        <f>HYPERLINK("https://t.co/RtS5YHgLzl")</f>
        <v>https://t.co/RtS5YHgLzl</v>
      </c>
      <c r="AX1440" s="76" t="b">
        <v>0</v>
      </c>
      <c r="AY1440" s="76"/>
      <c r="AZ1440" s="76"/>
      <c r="BA1440" s="76" t="b">
        <v>0</v>
      </c>
      <c r="BB1440" s="76" t="b">
        <v>1</v>
      </c>
      <c r="BC1440" s="76" t="b">
        <v>0</v>
      </c>
      <c r="BD1440" s="76" t="b">
        <v>0</v>
      </c>
      <c r="BE1440" s="76" t="b">
        <v>1</v>
      </c>
      <c r="BF1440" s="76" t="b">
        <v>0</v>
      </c>
      <c r="BG1440" s="76" t="b">
        <v>0</v>
      </c>
      <c r="BH1440" s="82" t="str">
        <f>HYPERLINK("https://pbs.twimg.com/profile_banners/1500476029/1659230916")</f>
        <v>https://pbs.twimg.com/profile_banners/1500476029/1659230916</v>
      </c>
      <c r="BI1440" s="76"/>
      <c r="BJ1440" s="76" t="s">
        <v>27595</v>
      </c>
      <c r="BK1440" s="76" t="b">
        <v>0</v>
      </c>
      <c r="BL1440" s="76"/>
      <c r="BM1440" s="76" t="s">
        <v>66</v>
      </c>
      <c r="BN1440" s="76" t="s">
        <v>27597</v>
      </c>
      <c r="BO1440" s="82" t="str">
        <f>HYPERLINK("https://twitter.com/enriqueelgenio")</f>
        <v>https://twitter.com/enriqueelgenio</v>
      </c>
      <c r="BP1440" s="2"/>
    </row>
    <row r="1441" spans="1:68" x14ac:dyDescent="0.25">
      <c r="A1441" s="62" t="s">
        <v>2008</v>
      </c>
      <c r="B1441" s="63"/>
      <c r="C1441" s="63"/>
      <c r="D1441" s="64"/>
      <c r="E1441" s="66"/>
      <c r="F1441" s="103" t="str">
        <f>HYPERLINK("https://pbs.twimg.com/profile_images/1302114955529990144/YKc8W9so_normal.jpg")</f>
        <v>https://pbs.twimg.com/profile_images/1302114955529990144/YKc8W9so_normal.jpg</v>
      </c>
      <c r="G1441" s="63"/>
      <c r="H1441" s="67"/>
      <c r="I1441" s="68"/>
      <c r="J1441" s="68"/>
      <c r="K1441" s="67" t="s">
        <v>29035</v>
      </c>
      <c r="L1441" s="71"/>
      <c r="M1441" s="72"/>
      <c r="N1441" s="72"/>
      <c r="O1441" s="73"/>
      <c r="P1441" s="74"/>
      <c r="Q1441" s="74"/>
      <c r="R1441" s="87"/>
      <c r="S1441" s="87"/>
      <c r="T1441" s="87"/>
      <c r="U1441" s="87"/>
      <c r="V1441" s="48"/>
      <c r="W1441" s="48"/>
      <c r="X1441" s="48"/>
      <c r="Y1441" s="48"/>
      <c r="Z1441" s="47"/>
      <c r="AA1441" s="69">
        <v>1441</v>
      </c>
      <c r="AB1441" s="69"/>
      <c r="AC1441" s="70"/>
      <c r="AD1441" s="76" t="s">
        <v>22655</v>
      </c>
      <c r="AE1441" s="81" t="s">
        <v>20340</v>
      </c>
      <c r="AF1441" s="76">
        <v>353</v>
      </c>
      <c r="AG1441" s="76">
        <v>205</v>
      </c>
      <c r="AH1441" s="76">
        <v>34926</v>
      </c>
      <c r="AI1441" s="76">
        <v>2</v>
      </c>
      <c r="AJ1441" s="76">
        <v>9591</v>
      </c>
      <c r="AK1441" s="76">
        <v>7690</v>
      </c>
      <c r="AL1441" s="76" t="b">
        <v>0</v>
      </c>
      <c r="AM1441" s="78">
        <v>41138.781168981484</v>
      </c>
      <c r="AN1441" s="76"/>
      <c r="AO1441" s="76"/>
      <c r="AP1441" s="76"/>
      <c r="AQ1441" s="76"/>
      <c r="AR1441" s="76"/>
      <c r="AS1441" s="76"/>
      <c r="AT1441" s="76"/>
      <c r="AU1441" s="76"/>
      <c r="AV1441" s="76">
        <v>1.5002939776056399E+18</v>
      </c>
      <c r="AW1441" s="76"/>
      <c r="AX1441" s="76" t="b">
        <v>0</v>
      </c>
      <c r="AY1441" s="76"/>
      <c r="AZ1441" s="76"/>
      <c r="BA1441" s="76" t="b">
        <v>0</v>
      </c>
      <c r="BB1441" s="76" t="b">
        <v>0</v>
      </c>
      <c r="BC1441" s="76" t="b">
        <v>1</v>
      </c>
      <c r="BD1441" s="76" t="b">
        <v>0</v>
      </c>
      <c r="BE1441" s="76" t="b">
        <v>1</v>
      </c>
      <c r="BF1441" s="76" t="b">
        <v>0</v>
      </c>
      <c r="BG1441" s="76" t="b">
        <v>0</v>
      </c>
      <c r="BH1441" s="76"/>
      <c r="BI1441" s="76"/>
      <c r="BJ1441" s="76" t="s">
        <v>27595</v>
      </c>
      <c r="BK1441" s="76" t="b">
        <v>0</v>
      </c>
      <c r="BL1441" s="76"/>
      <c r="BM1441" s="76" t="s">
        <v>65</v>
      </c>
      <c r="BN1441" s="76" t="s">
        <v>27597</v>
      </c>
      <c r="BO1441" s="82" t="str">
        <f>HYPERLINK("https://twitter.com/hectormendi")</f>
        <v>https://twitter.com/hectormendi</v>
      </c>
      <c r="BP1441" s="2"/>
    </row>
    <row r="1442" spans="1:68" x14ac:dyDescent="0.25">
      <c r="A1442" s="62" t="s">
        <v>1308</v>
      </c>
      <c r="B1442" s="63"/>
      <c r="C1442" s="63"/>
      <c r="D1442" s="64"/>
      <c r="E1442" s="66"/>
      <c r="F1442" s="103" t="str">
        <f>HYPERLINK("https://pbs.twimg.com/profile_images/1689462232319447041/eiMQCr8Y_normal.jpg")</f>
        <v>https://pbs.twimg.com/profile_images/1689462232319447041/eiMQCr8Y_normal.jpg</v>
      </c>
      <c r="G1442" s="63"/>
      <c r="H1442" s="67"/>
      <c r="I1442" s="68"/>
      <c r="J1442" s="68"/>
      <c r="K1442" s="67" t="s">
        <v>29036</v>
      </c>
      <c r="L1442" s="71"/>
      <c r="M1442" s="72"/>
      <c r="N1442" s="72"/>
      <c r="O1442" s="73"/>
      <c r="P1442" s="74"/>
      <c r="Q1442" s="74"/>
      <c r="R1442" s="87"/>
      <c r="S1442" s="87"/>
      <c r="T1442" s="87"/>
      <c r="U1442" s="87"/>
      <c r="V1442" s="48"/>
      <c r="W1442" s="48"/>
      <c r="X1442" s="48"/>
      <c r="Y1442" s="48"/>
      <c r="Z1442" s="47"/>
      <c r="AA1442" s="69">
        <v>1442</v>
      </c>
      <c r="AB1442" s="69"/>
      <c r="AC1442" s="70"/>
      <c r="AD1442" s="76" t="s">
        <v>22656</v>
      </c>
      <c r="AE1442" s="81" t="s">
        <v>21030</v>
      </c>
      <c r="AF1442" s="76">
        <v>16</v>
      </c>
      <c r="AG1442" s="76">
        <v>52</v>
      </c>
      <c r="AH1442" s="76">
        <v>1125</v>
      </c>
      <c r="AI1442" s="76">
        <v>0</v>
      </c>
      <c r="AJ1442" s="76">
        <v>95</v>
      </c>
      <c r="AK1442" s="76">
        <v>900</v>
      </c>
      <c r="AL1442" s="76" t="b">
        <v>0</v>
      </c>
      <c r="AM1442" s="78">
        <v>43529.446689814817</v>
      </c>
      <c r="AN1442" s="76"/>
      <c r="AO1442" s="76" t="s">
        <v>25991</v>
      </c>
      <c r="AP1442" s="82" t="str">
        <f>HYPERLINK("https://t.co/M82ppnL76p")</f>
        <v>https://t.co/M82ppnL76p</v>
      </c>
      <c r="AQ1442" s="82" t="str">
        <f>HYPERLINK("https://www.vocerooriental.com/")</f>
        <v>https://www.vocerooriental.com/</v>
      </c>
      <c r="AR1442" s="76" t="s">
        <v>27140</v>
      </c>
      <c r="AS1442" s="76"/>
      <c r="AT1442" s="76"/>
      <c r="AU1442" s="76"/>
      <c r="AV1442" s="76"/>
      <c r="AW1442" s="82" t="str">
        <f>HYPERLINK("https://t.co/M82ppnL76p")</f>
        <v>https://t.co/M82ppnL76p</v>
      </c>
      <c r="AX1442" s="76" t="b">
        <v>0</v>
      </c>
      <c r="AY1442" s="76"/>
      <c r="AZ1442" s="76"/>
      <c r="BA1442" s="76" t="b">
        <v>0</v>
      </c>
      <c r="BB1442" s="76" t="b">
        <v>1</v>
      </c>
      <c r="BC1442" s="76" t="b">
        <v>0</v>
      </c>
      <c r="BD1442" s="76" t="b">
        <v>0</v>
      </c>
      <c r="BE1442" s="76" t="b">
        <v>0</v>
      </c>
      <c r="BF1442" s="76" t="b">
        <v>0</v>
      </c>
      <c r="BG1442" s="76" t="b">
        <v>0</v>
      </c>
      <c r="BH1442" s="82" t="str">
        <f>HYPERLINK("https://pbs.twimg.com/profile_banners/1102882252520865792/1691634160")</f>
        <v>https://pbs.twimg.com/profile_banners/1102882252520865792/1691634160</v>
      </c>
      <c r="BI1442" s="76"/>
      <c r="BJ1442" s="76" t="s">
        <v>27595</v>
      </c>
      <c r="BK1442" s="76" t="b">
        <v>0</v>
      </c>
      <c r="BL1442" s="76"/>
      <c r="BM1442" s="76" t="s">
        <v>66</v>
      </c>
      <c r="BN1442" s="76" t="s">
        <v>27597</v>
      </c>
      <c r="BO1442" s="82" t="str">
        <f>HYPERLINK("https://twitter.com/vocerooriental")</f>
        <v>https://twitter.com/vocerooriental</v>
      </c>
      <c r="BP1442" s="2"/>
    </row>
    <row r="1443" spans="1:68" x14ac:dyDescent="0.25">
      <c r="A1443" s="62" t="s">
        <v>1309</v>
      </c>
      <c r="B1443" s="63"/>
      <c r="C1443" s="63"/>
      <c r="D1443" s="64"/>
      <c r="E1443" s="66"/>
      <c r="F1443" s="103" t="str">
        <f>HYPERLINK("https://pbs.twimg.com/profile_images/895019223017304064/EygTyQEc_normal.jpg")</f>
        <v>https://pbs.twimg.com/profile_images/895019223017304064/EygTyQEc_normal.jpg</v>
      </c>
      <c r="G1443" s="63"/>
      <c r="H1443" s="67"/>
      <c r="I1443" s="68"/>
      <c r="J1443" s="68"/>
      <c r="K1443" s="67" t="s">
        <v>29037</v>
      </c>
      <c r="L1443" s="71"/>
      <c r="M1443" s="72"/>
      <c r="N1443" s="72"/>
      <c r="O1443" s="73"/>
      <c r="P1443" s="74"/>
      <c r="Q1443" s="74"/>
      <c r="R1443" s="87"/>
      <c r="S1443" s="87"/>
      <c r="T1443" s="87"/>
      <c r="U1443" s="87"/>
      <c r="V1443" s="48"/>
      <c r="W1443" s="48"/>
      <c r="X1443" s="48"/>
      <c r="Y1443" s="48"/>
      <c r="Z1443" s="47"/>
      <c r="AA1443" s="69">
        <v>1443</v>
      </c>
      <c r="AB1443" s="69"/>
      <c r="AC1443" s="70"/>
      <c r="AD1443" s="76" t="s">
        <v>22657</v>
      </c>
      <c r="AE1443" s="81" t="s">
        <v>23822</v>
      </c>
      <c r="AF1443" s="76">
        <v>44758</v>
      </c>
      <c r="AG1443" s="76">
        <v>754</v>
      </c>
      <c r="AH1443" s="76">
        <v>202765</v>
      </c>
      <c r="AI1443" s="76">
        <v>544</v>
      </c>
      <c r="AJ1443" s="76">
        <v>261</v>
      </c>
      <c r="AK1443" s="76">
        <v>42037</v>
      </c>
      <c r="AL1443" s="76" t="b">
        <v>0</v>
      </c>
      <c r="AM1443" s="78">
        <v>40672.825555555559</v>
      </c>
      <c r="AN1443" s="76"/>
      <c r="AO1443" s="76" t="s">
        <v>25992</v>
      </c>
      <c r="AP1443" s="82" t="str">
        <f>HYPERLINK("https://t.co/07dimF86Vp")</f>
        <v>https://t.co/07dimF86Vp</v>
      </c>
      <c r="AQ1443" s="82" t="str">
        <f>HYPERLINK("https://linktr.ee/baenegocios")</f>
        <v>https://linktr.ee/baenegocios</v>
      </c>
      <c r="AR1443" s="76" t="s">
        <v>27141</v>
      </c>
      <c r="AS1443" s="76"/>
      <c r="AT1443" s="76"/>
      <c r="AU1443" s="76"/>
      <c r="AV1443" s="76"/>
      <c r="AW1443" s="82" t="str">
        <f>HYPERLINK("https://t.co/07dimF86Vp")</f>
        <v>https://t.co/07dimF86Vp</v>
      </c>
      <c r="AX1443" s="76" t="b">
        <v>1</v>
      </c>
      <c r="AY1443" s="76"/>
      <c r="AZ1443" s="76"/>
      <c r="BA1443" s="76" t="b">
        <v>1</v>
      </c>
      <c r="BB1443" s="76" t="b">
        <v>1</v>
      </c>
      <c r="BC1443" s="76" t="b">
        <v>0</v>
      </c>
      <c r="BD1443" s="76" t="b">
        <v>0</v>
      </c>
      <c r="BE1443" s="76" t="b">
        <v>1</v>
      </c>
      <c r="BF1443" s="76" t="b">
        <v>0</v>
      </c>
      <c r="BG1443" s="76" t="b">
        <v>0</v>
      </c>
      <c r="BH1443" s="82" t="str">
        <f>HYPERLINK("https://pbs.twimg.com/profile_banners/295860511/1570114575")</f>
        <v>https://pbs.twimg.com/profile_banners/295860511/1570114575</v>
      </c>
      <c r="BI1443" s="76"/>
      <c r="BJ1443" s="76" t="s">
        <v>27595</v>
      </c>
      <c r="BK1443" s="76" t="b">
        <v>0</v>
      </c>
      <c r="BL1443" s="76"/>
      <c r="BM1443" s="76" t="s">
        <v>66</v>
      </c>
      <c r="BN1443" s="76" t="s">
        <v>27597</v>
      </c>
      <c r="BO1443" s="82" t="str">
        <f>HYPERLINK("https://twitter.com/baenegocios")</f>
        <v>https://twitter.com/baenegocios</v>
      </c>
      <c r="BP1443" s="2"/>
    </row>
    <row r="1444" spans="1:68" x14ac:dyDescent="0.25">
      <c r="A1444" s="62" t="s">
        <v>1310</v>
      </c>
      <c r="B1444" s="63"/>
      <c r="C1444" s="63"/>
      <c r="D1444" s="64"/>
      <c r="E1444" s="66"/>
      <c r="F1444" s="103" t="str">
        <f>HYPERLINK("https://pbs.twimg.com/profile_images/1581139306319646720/Jx-79mr2_normal.jpg")</f>
        <v>https://pbs.twimg.com/profile_images/1581139306319646720/Jx-79mr2_normal.jpg</v>
      </c>
      <c r="G1444" s="63"/>
      <c r="H1444" s="67"/>
      <c r="I1444" s="68"/>
      <c r="J1444" s="68"/>
      <c r="K1444" s="67" t="s">
        <v>29038</v>
      </c>
      <c r="L1444" s="71"/>
      <c r="M1444" s="72"/>
      <c r="N1444" s="72"/>
      <c r="O1444" s="73"/>
      <c r="P1444" s="74"/>
      <c r="Q1444" s="74"/>
      <c r="R1444" s="87"/>
      <c r="S1444" s="87"/>
      <c r="T1444" s="87"/>
      <c r="U1444" s="87"/>
      <c r="V1444" s="48"/>
      <c r="W1444" s="48"/>
      <c r="X1444" s="48"/>
      <c r="Y1444" s="48"/>
      <c r="Z1444" s="47"/>
      <c r="AA1444" s="69">
        <v>1444</v>
      </c>
      <c r="AB1444" s="69"/>
      <c r="AC1444" s="70"/>
      <c r="AD1444" s="76" t="s">
        <v>22658</v>
      </c>
      <c r="AE1444" s="81" t="s">
        <v>23823</v>
      </c>
      <c r="AF1444" s="76">
        <v>1017</v>
      </c>
      <c r="AG1444" s="76">
        <v>3642</v>
      </c>
      <c r="AH1444" s="76">
        <v>1062</v>
      </c>
      <c r="AI1444" s="76">
        <v>5</v>
      </c>
      <c r="AJ1444" s="76">
        <v>2455</v>
      </c>
      <c r="AK1444" s="76">
        <v>70</v>
      </c>
      <c r="AL1444" s="76" t="b">
        <v>0</v>
      </c>
      <c r="AM1444" s="78">
        <v>40128.875034722223</v>
      </c>
      <c r="AN1444" s="76" t="s">
        <v>24118</v>
      </c>
      <c r="AO1444" s="76" t="s">
        <v>25993</v>
      </c>
      <c r="AP1444" s="82" t="str">
        <f>HYPERLINK("https://t.co/83SAd0e3C9")</f>
        <v>https://t.co/83SAd0e3C9</v>
      </c>
      <c r="AQ1444" s="82" t="str">
        <f>HYPERLINK("http://ricronsresearch.blogspot.com")</f>
        <v>http://ricronsresearch.blogspot.com</v>
      </c>
      <c r="AR1444" s="76" t="s">
        <v>27142</v>
      </c>
      <c r="AS1444" s="76"/>
      <c r="AT1444" s="76"/>
      <c r="AU1444" s="76"/>
      <c r="AV1444" s="76">
        <v>1.6425329340987899E+18</v>
      </c>
      <c r="AW1444" s="82" t="str">
        <f>HYPERLINK("https://t.co/83SAd0e3C9")</f>
        <v>https://t.co/83SAd0e3C9</v>
      </c>
      <c r="AX1444" s="76" t="b">
        <v>0</v>
      </c>
      <c r="AY1444" s="76"/>
      <c r="AZ1444" s="76"/>
      <c r="BA1444" s="76" t="b">
        <v>0</v>
      </c>
      <c r="BB1444" s="76" t="b">
        <v>1</v>
      </c>
      <c r="BC1444" s="76" t="b">
        <v>0</v>
      </c>
      <c r="BD1444" s="76" t="b">
        <v>0</v>
      </c>
      <c r="BE1444" s="76" t="b">
        <v>1</v>
      </c>
      <c r="BF1444" s="76" t="b">
        <v>0</v>
      </c>
      <c r="BG1444" s="76" t="b">
        <v>0</v>
      </c>
      <c r="BH1444" s="82" t="str">
        <f>HYPERLINK("https://pbs.twimg.com/profile_banners/89280411/1665808004")</f>
        <v>https://pbs.twimg.com/profile_banners/89280411/1665808004</v>
      </c>
      <c r="BI1444" s="76"/>
      <c r="BJ1444" s="76" t="s">
        <v>27595</v>
      </c>
      <c r="BK1444" s="76" t="b">
        <v>0</v>
      </c>
      <c r="BL1444" s="76"/>
      <c r="BM1444" s="76" t="s">
        <v>66</v>
      </c>
      <c r="BN1444" s="76" t="s">
        <v>27597</v>
      </c>
      <c r="BO1444" s="82" t="str">
        <f>HYPERLINK("https://twitter.com/ricmarvellouso")</f>
        <v>https://twitter.com/ricmarvellouso</v>
      </c>
      <c r="BP1444" s="2"/>
    </row>
    <row r="1445" spans="1:68" x14ac:dyDescent="0.25">
      <c r="A1445" s="62" t="s">
        <v>1311</v>
      </c>
      <c r="B1445" s="63"/>
      <c r="C1445" s="63"/>
      <c r="D1445" s="64"/>
      <c r="E1445" s="66"/>
      <c r="F1445" s="103" t="str">
        <f>HYPERLINK("https://pbs.twimg.com/profile_images/1564389807702376458/1UGzDIk7_normal.jpg")</f>
        <v>https://pbs.twimg.com/profile_images/1564389807702376458/1UGzDIk7_normal.jpg</v>
      </c>
      <c r="G1445" s="63"/>
      <c r="H1445" s="67"/>
      <c r="I1445" s="68"/>
      <c r="J1445" s="68"/>
      <c r="K1445" s="67" t="s">
        <v>29039</v>
      </c>
      <c r="L1445" s="71"/>
      <c r="M1445" s="72"/>
      <c r="N1445" s="72"/>
      <c r="O1445" s="73"/>
      <c r="P1445" s="74"/>
      <c r="Q1445" s="74"/>
      <c r="R1445" s="87"/>
      <c r="S1445" s="87"/>
      <c r="T1445" s="87"/>
      <c r="U1445" s="87"/>
      <c r="V1445" s="48"/>
      <c r="W1445" s="48"/>
      <c r="X1445" s="48"/>
      <c r="Y1445" s="48"/>
      <c r="Z1445" s="47"/>
      <c r="AA1445" s="69">
        <v>1445</v>
      </c>
      <c r="AB1445" s="69"/>
      <c r="AC1445" s="70"/>
      <c r="AD1445" s="76" t="s">
        <v>22659</v>
      </c>
      <c r="AE1445" s="81" t="s">
        <v>23824</v>
      </c>
      <c r="AF1445" s="76">
        <v>84</v>
      </c>
      <c r="AG1445" s="76">
        <v>346</v>
      </c>
      <c r="AH1445" s="76">
        <v>588</v>
      </c>
      <c r="AI1445" s="76">
        <v>2</v>
      </c>
      <c r="AJ1445" s="76">
        <v>1047</v>
      </c>
      <c r="AK1445" s="76">
        <v>95</v>
      </c>
      <c r="AL1445" s="76" t="b">
        <v>0</v>
      </c>
      <c r="AM1445" s="78">
        <v>40012.721504629626</v>
      </c>
      <c r="AN1445" s="76" t="s">
        <v>24369</v>
      </c>
      <c r="AO1445" s="76" t="s">
        <v>25994</v>
      </c>
      <c r="AP1445" s="82" t="str">
        <f>HYPERLINK("https://t.co/czl3C0J8lE")</f>
        <v>https://t.co/czl3C0J8lE</v>
      </c>
      <c r="AQ1445" s="82" t="str">
        <f>HYPERLINK("http://www.nortusinvestimentos.com.br")</f>
        <v>http://www.nortusinvestimentos.com.br</v>
      </c>
      <c r="AR1445" s="76" t="s">
        <v>27143</v>
      </c>
      <c r="AS1445" s="76"/>
      <c r="AT1445" s="76"/>
      <c r="AU1445" s="76"/>
      <c r="AV1445" s="76"/>
      <c r="AW1445" s="82" t="str">
        <f>HYPERLINK("https://t.co/czl3C0J8lE")</f>
        <v>https://t.co/czl3C0J8lE</v>
      </c>
      <c r="AX1445" s="76" t="b">
        <v>0</v>
      </c>
      <c r="AY1445" s="76"/>
      <c r="AZ1445" s="76"/>
      <c r="BA1445" s="76" t="b">
        <v>0</v>
      </c>
      <c r="BB1445" s="76" t="b">
        <v>0</v>
      </c>
      <c r="BC1445" s="76" t="b">
        <v>0</v>
      </c>
      <c r="BD1445" s="76" t="b">
        <v>0</v>
      </c>
      <c r="BE1445" s="76" t="b">
        <v>1</v>
      </c>
      <c r="BF1445" s="76" t="b">
        <v>0</v>
      </c>
      <c r="BG1445" s="76" t="b">
        <v>0</v>
      </c>
      <c r="BH1445" s="82" t="str">
        <f>HYPERLINK("https://pbs.twimg.com/profile_banners/57981116/1658760614")</f>
        <v>https://pbs.twimg.com/profile_banners/57981116/1658760614</v>
      </c>
      <c r="BI1445" s="76"/>
      <c r="BJ1445" s="76" t="s">
        <v>27595</v>
      </c>
      <c r="BK1445" s="76" t="b">
        <v>0</v>
      </c>
      <c r="BL1445" s="76"/>
      <c r="BM1445" s="76" t="s">
        <v>66</v>
      </c>
      <c r="BN1445" s="76" t="s">
        <v>27597</v>
      </c>
      <c r="BO1445" s="82" t="str">
        <f>HYPERLINK("https://twitter.com/thiagobudni")</f>
        <v>https://twitter.com/thiagobudni</v>
      </c>
      <c r="BP1445" s="2"/>
    </row>
    <row r="1446" spans="1:68" x14ac:dyDescent="0.25">
      <c r="A1446" s="62" t="s">
        <v>1312</v>
      </c>
      <c r="B1446" s="63"/>
      <c r="C1446" s="63"/>
      <c r="D1446" s="64"/>
      <c r="E1446" s="66"/>
      <c r="F1446" s="103" t="str">
        <f>HYPERLINK("https://pbs.twimg.com/profile_images/1663948674051760129/Om8pp6RF_normal.jpg")</f>
        <v>https://pbs.twimg.com/profile_images/1663948674051760129/Om8pp6RF_normal.jpg</v>
      </c>
      <c r="G1446" s="63"/>
      <c r="H1446" s="67"/>
      <c r="I1446" s="68"/>
      <c r="J1446" s="68"/>
      <c r="K1446" s="67" t="s">
        <v>29040</v>
      </c>
      <c r="L1446" s="71"/>
      <c r="M1446" s="72"/>
      <c r="N1446" s="72"/>
      <c r="O1446" s="73"/>
      <c r="P1446" s="74"/>
      <c r="Q1446" s="74"/>
      <c r="R1446" s="87"/>
      <c r="S1446" s="87"/>
      <c r="T1446" s="87"/>
      <c r="U1446" s="87"/>
      <c r="V1446" s="48"/>
      <c r="W1446" s="48"/>
      <c r="X1446" s="48"/>
      <c r="Y1446" s="48"/>
      <c r="Z1446" s="47"/>
      <c r="AA1446" s="69">
        <v>1446</v>
      </c>
      <c r="AB1446" s="69"/>
      <c r="AC1446" s="70"/>
      <c r="AD1446" s="76" t="s">
        <v>22660</v>
      </c>
      <c r="AE1446" s="81" t="s">
        <v>21031</v>
      </c>
      <c r="AF1446" s="76">
        <v>1961</v>
      </c>
      <c r="AG1446" s="76">
        <v>122</v>
      </c>
      <c r="AH1446" s="76">
        <v>6011</v>
      </c>
      <c r="AI1446" s="76">
        <v>45</v>
      </c>
      <c r="AJ1446" s="76">
        <v>696</v>
      </c>
      <c r="AK1446" s="76">
        <v>1885</v>
      </c>
      <c r="AL1446" s="76" t="b">
        <v>0</v>
      </c>
      <c r="AM1446" s="78">
        <v>42717.856377314813</v>
      </c>
      <c r="AN1446" s="76" t="s">
        <v>24577</v>
      </c>
      <c r="AO1446" s="76" t="s">
        <v>25995</v>
      </c>
      <c r="AP1446" s="82" t="str">
        <f>HYPERLINK("https://t.co/6rhXPhKv6J")</f>
        <v>https://t.co/6rhXPhKv6J</v>
      </c>
      <c r="AQ1446" s="82" t="str">
        <f>HYPERLINK("https://taplink.cc/resenasconrn")</f>
        <v>https://taplink.cc/resenasconrn</v>
      </c>
      <c r="AR1446" s="76" t="s">
        <v>27144</v>
      </c>
      <c r="AS1446" s="82" t="str">
        <f>HYPERLINK("https://t.co/U0rcA0EX50")</f>
        <v>https://t.co/U0rcA0EX50</v>
      </c>
      <c r="AT1446" s="82" t="str">
        <f>HYPERLINK("http://www.resenas.com.do")</f>
        <v>http://www.resenas.com.do</v>
      </c>
      <c r="AU1446" s="76" t="s">
        <v>27551</v>
      </c>
      <c r="AV1446" s="76">
        <v>1.7032162506067799E+18</v>
      </c>
      <c r="AW1446" s="82" t="str">
        <f>HYPERLINK("https://t.co/6rhXPhKv6J")</f>
        <v>https://t.co/6rhXPhKv6J</v>
      </c>
      <c r="AX1446" s="76" t="b">
        <v>1</v>
      </c>
      <c r="AY1446" s="76"/>
      <c r="AZ1446" s="76"/>
      <c r="BA1446" s="76" t="b">
        <v>0</v>
      </c>
      <c r="BB1446" s="76" t="b">
        <v>1</v>
      </c>
      <c r="BC1446" s="76" t="b">
        <v>1</v>
      </c>
      <c r="BD1446" s="76" t="b">
        <v>0</v>
      </c>
      <c r="BE1446" s="76" t="b">
        <v>0</v>
      </c>
      <c r="BF1446" s="76" t="b">
        <v>0</v>
      </c>
      <c r="BG1446" s="76" t="b">
        <v>0</v>
      </c>
      <c r="BH1446" s="82" t="str">
        <f>HYPERLINK("https://pbs.twimg.com/profile_banners/808771773298855937/1644429449")</f>
        <v>https://pbs.twimg.com/profile_banners/808771773298855937/1644429449</v>
      </c>
      <c r="BI1446" s="76"/>
      <c r="BJ1446" s="76" t="s">
        <v>27595</v>
      </c>
      <c r="BK1446" s="76" t="b">
        <v>0</v>
      </c>
      <c r="BL1446" s="76"/>
      <c r="BM1446" s="76" t="s">
        <v>66</v>
      </c>
      <c r="BN1446" s="76" t="s">
        <v>27597</v>
      </c>
      <c r="BO1446" s="82" t="str">
        <f>HYPERLINK("https://twitter.com/resenastv")</f>
        <v>https://twitter.com/resenastv</v>
      </c>
      <c r="BP1446" s="2"/>
    </row>
    <row r="1447" spans="1:68" x14ac:dyDescent="0.25">
      <c r="A1447" s="62" t="s">
        <v>2009</v>
      </c>
      <c r="B1447" s="63"/>
      <c r="C1447" s="63"/>
      <c r="D1447" s="64"/>
      <c r="E1447" s="66"/>
      <c r="F1447" s="103" t="str">
        <f>HYPERLINK("https://pbs.twimg.com/profile_images/1506726702222880771/1xDTJqTb_normal.jpg")</f>
        <v>https://pbs.twimg.com/profile_images/1506726702222880771/1xDTJqTb_normal.jpg</v>
      </c>
      <c r="G1447" s="63"/>
      <c r="H1447" s="67"/>
      <c r="I1447" s="68"/>
      <c r="J1447" s="68"/>
      <c r="K1447" s="67" t="s">
        <v>29041</v>
      </c>
      <c r="L1447" s="71"/>
      <c r="M1447" s="72"/>
      <c r="N1447" s="72"/>
      <c r="O1447" s="73"/>
      <c r="P1447" s="74"/>
      <c r="Q1447" s="74"/>
      <c r="R1447" s="87"/>
      <c r="S1447" s="87"/>
      <c r="T1447" s="87"/>
      <c r="U1447" s="87"/>
      <c r="V1447" s="48"/>
      <c r="W1447" s="48"/>
      <c r="X1447" s="48"/>
      <c r="Y1447" s="48"/>
      <c r="Z1447" s="47"/>
      <c r="AA1447" s="69">
        <v>1447</v>
      </c>
      <c r="AB1447" s="69"/>
      <c r="AC1447" s="70"/>
      <c r="AD1447" s="76" t="s">
        <v>22661</v>
      </c>
      <c r="AE1447" s="81" t="s">
        <v>23825</v>
      </c>
      <c r="AF1447" s="76">
        <v>58287</v>
      </c>
      <c r="AG1447" s="76">
        <v>1538</v>
      </c>
      <c r="AH1447" s="76">
        <v>18436</v>
      </c>
      <c r="AI1447" s="76">
        <v>100</v>
      </c>
      <c r="AJ1447" s="76">
        <v>8163</v>
      </c>
      <c r="AK1447" s="76">
        <v>3433</v>
      </c>
      <c r="AL1447" s="76" t="b">
        <v>0</v>
      </c>
      <c r="AM1447" s="78">
        <v>40558.607175925928</v>
      </c>
      <c r="AN1447" s="76" t="s">
        <v>24063</v>
      </c>
      <c r="AO1447" s="76" t="s">
        <v>25996</v>
      </c>
      <c r="AP1447" s="82" t="str">
        <f>HYPERLINK("https://t.co/UhXwel11DS")</f>
        <v>https://t.co/UhXwel11DS</v>
      </c>
      <c r="AQ1447" s="82" t="str">
        <f>HYPERLINK("https://taplink.cc/rafaelnunez")</f>
        <v>https://taplink.cc/rafaelnunez</v>
      </c>
      <c r="AR1447" s="76" t="s">
        <v>27145</v>
      </c>
      <c r="AS1447" s="76"/>
      <c r="AT1447" s="76"/>
      <c r="AU1447" s="76"/>
      <c r="AV1447" s="76">
        <v>1.70736837831315E+18</v>
      </c>
      <c r="AW1447" s="82" t="str">
        <f>HYPERLINK("https://t.co/UhXwel11DS")</f>
        <v>https://t.co/UhXwel11DS</v>
      </c>
      <c r="AX1447" s="76" t="b">
        <v>1</v>
      </c>
      <c r="AY1447" s="76"/>
      <c r="AZ1447" s="76"/>
      <c r="BA1447" s="76" t="b">
        <v>1</v>
      </c>
      <c r="BB1447" s="76" t="b">
        <v>0</v>
      </c>
      <c r="BC1447" s="76" t="b">
        <v>1</v>
      </c>
      <c r="BD1447" s="76" t="b">
        <v>0</v>
      </c>
      <c r="BE1447" s="76" t="b">
        <v>1</v>
      </c>
      <c r="BF1447" s="76" t="b">
        <v>0</v>
      </c>
      <c r="BG1447" s="76" t="b">
        <v>0</v>
      </c>
      <c r="BH1447" s="82" t="str">
        <f>HYPERLINK("https://pbs.twimg.com/profile_banners/238585086/1651089181")</f>
        <v>https://pbs.twimg.com/profile_banners/238585086/1651089181</v>
      </c>
      <c r="BI1447" s="76"/>
      <c r="BJ1447" s="76" t="s">
        <v>27595</v>
      </c>
      <c r="BK1447" s="76" t="b">
        <v>0</v>
      </c>
      <c r="BL1447" s="76"/>
      <c r="BM1447" s="76" t="s">
        <v>65</v>
      </c>
      <c r="BN1447" s="76" t="s">
        <v>27597</v>
      </c>
      <c r="BO1447" s="82" t="str">
        <f>HYPERLINK("https://twitter.com/rafaelnunezr")</f>
        <v>https://twitter.com/rafaelnunezr</v>
      </c>
      <c r="BP1447" s="2"/>
    </row>
    <row r="1448" spans="1:68" x14ac:dyDescent="0.25">
      <c r="A1448" s="62" t="s">
        <v>1314</v>
      </c>
      <c r="B1448" s="63"/>
      <c r="C1448" s="63"/>
      <c r="D1448" s="64"/>
      <c r="E1448" s="66"/>
      <c r="F1448" s="103" t="str">
        <f>HYPERLINK("https://pbs.twimg.com/profile_images/1304966507961737216/-lDgqp9R_normal.jpg")</f>
        <v>https://pbs.twimg.com/profile_images/1304966507961737216/-lDgqp9R_normal.jpg</v>
      </c>
      <c r="G1448" s="63"/>
      <c r="H1448" s="67"/>
      <c r="I1448" s="68"/>
      <c r="J1448" s="68"/>
      <c r="K1448" s="67" t="s">
        <v>29042</v>
      </c>
      <c r="L1448" s="71"/>
      <c r="M1448" s="72"/>
      <c r="N1448" s="72"/>
      <c r="O1448" s="73"/>
      <c r="P1448" s="74"/>
      <c r="Q1448" s="74"/>
      <c r="R1448" s="87"/>
      <c r="S1448" s="87"/>
      <c r="T1448" s="87"/>
      <c r="U1448" s="87"/>
      <c r="V1448" s="48"/>
      <c r="W1448" s="48"/>
      <c r="X1448" s="48"/>
      <c r="Y1448" s="48"/>
      <c r="Z1448" s="47"/>
      <c r="AA1448" s="69">
        <v>1448</v>
      </c>
      <c r="AB1448" s="69"/>
      <c r="AC1448" s="70"/>
      <c r="AD1448" s="76" t="s">
        <v>22662</v>
      </c>
      <c r="AE1448" s="81" t="s">
        <v>23826</v>
      </c>
      <c r="AF1448" s="76">
        <v>514</v>
      </c>
      <c r="AG1448" s="76">
        <v>47</v>
      </c>
      <c r="AH1448" s="76">
        <v>99839</v>
      </c>
      <c r="AI1448" s="76">
        <v>31</v>
      </c>
      <c r="AJ1448" s="76">
        <v>3724</v>
      </c>
      <c r="AK1448" s="76">
        <v>5229</v>
      </c>
      <c r="AL1448" s="76" t="b">
        <v>0</v>
      </c>
      <c r="AM1448" s="78">
        <v>40021.617071759261</v>
      </c>
      <c r="AN1448" s="76" t="s">
        <v>24578</v>
      </c>
      <c r="AO1448" s="76" t="s">
        <v>25997</v>
      </c>
      <c r="AP1448" s="82" t="str">
        <f>HYPERLINK("https://t.co/OTPKTn51iZ")</f>
        <v>https://t.co/OTPKTn51iZ</v>
      </c>
      <c r="AQ1448" s="82" t="str">
        <f>HYPERLINK("https://t.ly/L9PQ")</f>
        <v>https://t.ly/L9PQ</v>
      </c>
      <c r="AR1448" s="76" t="s">
        <v>27146</v>
      </c>
      <c r="AS1448" s="76"/>
      <c r="AT1448" s="76"/>
      <c r="AU1448" s="76"/>
      <c r="AV1448" s="76">
        <v>7.4849917677903795E+17</v>
      </c>
      <c r="AW1448" s="82" t="str">
        <f>HYPERLINK("https://t.co/OTPKTn51iZ")</f>
        <v>https://t.co/OTPKTn51iZ</v>
      </c>
      <c r="AX1448" s="76" t="b">
        <v>0</v>
      </c>
      <c r="AY1448" s="76"/>
      <c r="AZ1448" s="76"/>
      <c r="BA1448" s="76" t="b">
        <v>1</v>
      </c>
      <c r="BB1448" s="76" t="b">
        <v>0</v>
      </c>
      <c r="BC1448" s="76" t="b">
        <v>0</v>
      </c>
      <c r="BD1448" s="76" t="b">
        <v>0</v>
      </c>
      <c r="BE1448" s="76" t="b">
        <v>1</v>
      </c>
      <c r="BF1448" s="76" t="b">
        <v>0</v>
      </c>
      <c r="BG1448" s="76" t="b">
        <v>0</v>
      </c>
      <c r="BH1448" s="82" t="str">
        <f>HYPERLINK("https://pbs.twimg.com/profile_banners/60616086/1406728341")</f>
        <v>https://pbs.twimg.com/profile_banners/60616086/1406728341</v>
      </c>
      <c r="BI1448" s="76"/>
      <c r="BJ1448" s="76" t="s">
        <v>27596</v>
      </c>
      <c r="BK1448" s="76" t="b">
        <v>0</v>
      </c>
      <c r="BL1448" s="76"/>
      <c r="BM1448" s="76" t="s">
        <v>66</v>
      </c>
      <c r="BN1448" s="76" t="s">
        <v>27597</v>
      </c>
      <c r="BO1448" s="82" t="str">
        <f>HYPERLINK("https://twitter.com/elojodealberto")</f>
        <v>https://twitter.com/elojodealberto</v>
      </c>
      <c r="BP1448" s="2"/>
    </row>
    <row r="1449" spans="1:68" x14ac:dyDescent="0.25">
      <c r="A1449" s="62" t="s">
        <v>1315</v>
      </c>
      <c r="B1449" s="63"/>
      <c r="C1449" s="63"/>
      <c r="D1449" s="64"/>
      <c r="E1449" s="66"/>
      <c r="F1449" s="103" t="str">
        <f>HYPERLINK("https://pbs.twimg.com/profile_images/1588117968424243200/AgaQlE92_normal.jpg")</f>
        <v>https://pbs.twimg.com/profile_images/1588117968424243200/AgaQlE92_normal.jpg</v>
      </c>
      <c r="G1449" s="63"/>
      <c r="H1449" s="67"/>
      <c r="I1449" s="68"/>
      <c r="J1449" s="68"/>
      <c r="K1449" s="67" t="s">
        <v>29043</v>
      </c>
      <c r="L1449" s="71"/>
      <c r="M1449" s="72"/>
      <c r="N1449" s="72"/>
      <c r="O1449" s="73"/>
      <c r="P1449" s="74"/>
      <c r="Q1449" s="74"/>
      <c r="R1449" s="87"/>
      <c r="S1449" s="87"/>
      <c r="T1449" s="87"/>
      <c r="U1449" s="87"/>
      <c r="V1449" s="48"/>
      <c r="W1449" s="48"/>
      <c r="X1449" s="48"/>
      <c r="Y1449" s="48"/>
      <c r="Z1449" s="47"/>
      <c r="AA1449" s="69">
        <v>1449</v>
      </c>
      <c r="AB1449" s="69"/>
      <c r="AC1449" s="70"/>
      <c r="AD1449" s="76" t="s">
        <v>22663</v>
      </c>
      <c r="AE1449" s="81" t="s">
        <v>23827</v>
      </c>
      <c r="AF1449" s="76">
        <v>25756</v>
      </c>
      <c r="AG1449" s="76">
        <v>1417</v>
      </c>
      <c r="AH1449" s="76">
        <v>28227</v>
      </c>
      <c r="AI1449" s="76">
        <v>223</v>
      </c>
      <c r="AJ1449" s="76">
        <v>40286</v>
      </c>
      <c r="AK1449" s="76">
        <v>2989</v>
      </c>
      <c r="AL1449" s="76" t="b">
        <v>0</v>
      </c>
      <c r="AM1449" s="78">
        <v>40222.439872685187</v>
      </c>
      <c r="AN1449" s="76" t="s">
        <v>24579</v>
      </c>
      <c r="AO1449" s="76" t="s">
        <v>25998</v>
      </c>
      <c r="AP1449" s="82" t="str">
        <f>HYPERLINK("https://t.co/zB5vmoAyDS")</f>
        <v>https://t.co/zB5vmoAyDS</v>
      </c>
      <c r="AQ1449" s="82" t="str">
        <f>HYPERLINK("http://www.padrejoao.com.br")</f>
        <v>http://www.padrejoao.com.br</v>
      </c>
      <c r="AR1449" s="76" t="s">
        <v>27147</v>
      </c>
      <c r="AS1449" s="76"/>
      <c r="AT1449" s="76"/>
      <c r="AU1449" s="76"/>
      <c r="AV1449" s="76"/>
      <c r="AW1449" s="82" t="str">
        <f>HYPERLINK("https://t.co/zB5vmoAyDS")</f>
        <v>https://t.co/zB5vmoAyDS</v>
      </c>
      <c r="AX1449" s="76" t="b">
        <v>0</v>
      </c>
      <c r="AY1449" s="76"/>
      <c r="AZ1449" s="76"/>
      <c r="BA1449" s="76" t="b">
        <v>0</v>
      </c>
      <c r="BB1449" s="76" t="b">
        <v>1</v>
      </c>
      <c r="BC1449" s="76" t="b">
        <v>0</v>
      </c>
      <c r="BD1449" s="76" t="b">
        <v>0</v>
      </c>
      <c r="BE1449" s="76" t="b">
        <v>1</v>
      </c>
      <c r="BF1449" s="76" t="b">
        <v>0</v>
      </c>
      <c r="BG1449" s="76" t="b">
        <v>0</v>
      </c>
      <c r="BH1449" s="82" t="str">
        <f>HYPERLINK("https://pbs.twimg.com/profile_banners/113885149/1667307381")</f>
        <v>https://pbs.twimg.com/profile_banners/113885149/1667307381</v>
      </c>
      <c r="BI1449" s="76"/>
      <c r="BJ1449" s="76" t="s">
        <v>27595</v>
      </c>
      <c r="BK1449" s="76" t="b">
        <v>0</v>
      </c>
      <c r="BL1449" s="76"/>
      <c r="BM1449" s="76" t="s">
        <v>66</v>
      </c>
      <c r="BN1449" s="76" t="s">
        <v>27597</v>
      </c>
      <c r="BO1449" s="82" t="str">
        <f>HYPERLINK("https://twitter.com/dep_padrejoao")</f>
        <v>https://twitter.com/dep_padrejoao</v>
      </c>
      <c r="BP1449" s="2"/>
    </row>
    <row r="1450" spans="1:68" x14ac:dyDescent="0.25">
      <c r="A1450" s="62" t="s">
        <v>1316</v>
      </c>
      <c r="B1450" s="63"/>
      <c r="C1450" s="63"/>
      <c r="D1450" s="64"/>
      <c r="E1450" s="66"/>
      <c r="F1450" s="103" t="str">
        <f>HYPERLINK("https://pbs.twimg.com/profile_images/1596939098777944067/5obfnZd3_normal.jpg")</f>
        <v>https://pbs.twimg.com/profile_images/1596939098777944067/5obfnZd3_normal.jpg</v>
      </c>
      <c r="G1450" s="63"/>
      <c r="H1450" s="67"/>
      <c r="I1450" s="68"/>
      <c r="J1450" s="68"/>
      <c r="K1450" s="67" t="s">
        <v>29044</v>
      </c>
      <c r="L1450" s="71"/>
      <c r="M1450" s="72"/>
      <c r="N1450" s="72"/>
      <c r="O1450" s="73"/>
      <c r="P1450" s="74"/>
      <c r="Q1450" s="74"/>
      <c r="R1450" s="87"/>
      <c r="S1450" s="87"/>
      <c r="T1450" s="87"/>
      <c r="U1450" s="87"/>
      <c r="V1450" s="48"/>
      <c r="W1450" s="48"/>
      <c r="X1450" s="48"/>
      <c r="Y1450" s="48"/>
      <c r="Z1450" s="47"/>
      <c r="AA1450" s="69">
        <v>1450</v>
      </c>
      <c r="AB1450" s="69"/>
      <c r="AC1450" s="70"/>
      <c r="AD1450" s="76" t="s">
        <v>22664</v>
      </c>
      <c r="AE1450" s="81" t="s">
        <v>23828</v>
      </c>
      <c r="AF1450" s="76">
        <v>2337</v>
      </c>
      <c r="AG1450" s="76">
        <v>780</v>
      </c>
      <c r="AH1450" s="76">
        <v>65530</v>
      </c>
      <c r="AI1450" s="76">
        <v>4</v>
      </c>
      <c r="AJ1450" s="76">
        <v>15892</v>
      </c>
      <c r="AK1450" s="76">
        <v>757</v>
      </c>
      <c r="AL1450" s="76" t="b">
        <v>0</v>
      </c>
      <c r="AM1450" s="78">
        <v>40684.571087962962</v>
      </c>
      <c r="AN1450" s="76" t="s">
        <v>24580</v>
      </c>
      <c r="AO1450" s="76" t="s">
        <v>25999</v>
      </c>
      <c r="AP1450" s="82" t="str">
        <f>HYPERLINK("https://t.co/wCVhkPu4m7")</f>
        <v>https://t.co/wCVhkPu4m7</v>
      </c>
      <c r="AQ1450" s="82" t="str">
        <f>HYPERLINK("https://podcasts.apple.com/mz/podcast/papo-limpo-cast-by-egrowth/id1697115547")</f>
        <v>https://podcasts.apple.com/mz/podcast/papo-limpo-cast-by-egrowth/id1697115547</v>
      </c>
      <c r="AR1450" s="76" t="s">
        <v>27148</v>
      </c>
      <c r="AS1450" s="82" t="str">
        <f>HYPERLINK("https://t.co/wCVhkPu4m7")</f>
        <v>https://t.co/wCVhkPu4m7</v>
      </c>
      <c r="AT1450" s="82" t="str">
        <f>HYPERLINK("https://podcasts.apple.com/mz/podcast/papo-limpo-cast-by-egrowth/id1697115547")</f>
        <v>https://podcasts.apple.com/mz/podcast/papo-limpo-cast-by-egrowth/id1697115547</v>
      </c>
      <c r="AU1450" s="76" t="s">
        <v>27148</v>
      </c>
      <c r="AV1450" s="76">
        <v>1.4823380535406899E+18</v>
      </c>
      <c r="AW1450" s="82" t="str">
        <f>HYPERLINK("https://t.co/wCVhkPu4m7")</f>
        <v>https://t.co/wCVhkPu4m7</v>
      </c>
      <c r="AX1450" s="76" t="b">
        <v>0</v>
      </c>
      <c r="AY1450" s="76"/>
      <c r="AZ1450" s="76"/>
      <c r="BA1450" s="76" t="b">
        <v>1</v>
      </c>
      <c r="BB1450" s="76" t="b">
        <v>1</v>
      </c>
      <c r="BC1450" s="76" t="b">
        <v>0</v>
      </c>
      <c r="BD1450" s="76" t="b">
        <v>0</v>
      </c>
      <c r="BE1450" s="76" t="b">
        <v>1</v>
      </c>
      <c r="BF1450" s="76" t="b">
        <v>0</v>
      </c>
      <c r="BG1450" s="76" t="b">
        <v>0</v>
      </c>
      <c r="BH1450" s="82" t="str">
        <f>HYPERLINK("https://pbs.twimg.com/profile_banners/302615856/1681996283")</f>
        <v>https://pbs.twimg.com/profile_banners/302615856/1681996283</v>
      </c>
      <c r="BI1450" s="76"/>
      <c r="BJ1450" s="76" t="s">
        <v>27595</v>
      </c>
      <c r="BK1450" s="76" t="b">
        <v>0</v>
      </c>
      <c r="BL1450" s="76"/>
      <c r="BM1450" s="76" t="s">
        <v>66</v>
      </c>
      <c r="BN1450" s="76" t="s">
        <v>27597</v>
      </c>
      <c r="BO1450" s="82" t="str">
        <f>HYPERLINK("https://twitter.com/dungonuvunga")</f>
        <v>https://twitter.com/dungonuvunga</v>
      </c>
      <c r="BP1450" s="2"/>
    </row>
    <row r="1451" spans="1:68" x14ac:dyDescent="0.25">
      <c r="A1451" s="62" t="s">
        <v>1317</v>
      </c>
      <c r="B1451" s="63"/>
      <c r="C1451" s="63"/>
      <c r="D1451" s="64"/>
      <c r="E1451" s="66"/>
      <c r="F1451" s="103" t="str">
        <f>HYPERLINK("https://pbs.twimg.com/profile_images/1427799038666104834/3KjjIHPh_normal.jpg")</f>
        <v>https://pbs.twimg.com/profile_images/1427799038666104834/3KjjIHPh_normal.jpg</v>
      </c>
      <c r="G1451" s="63"/>
      <c r="H1451" s="67"/>
      <c r="I1451" s="68"/>
      <c r="J1451" s="68"/>
      <c r="K1451" s="67" t="s">
        <v>29045</v>
      </c>
      <c r="L1451" s="71"/>
      <c r="M1451" s="72"/>
      <c r="N1451" s="72"/>
      <c r="O1451" s="73"/>
      <c r="P1451" s="74"/>
      <c r="Q1451" s="74"/>
      <c r="R1451" s="87"/>
      <c r="S1451" s="87"/>
      <c r="T1451" s="87"/>
      <c r="U1451" s="87"/>
      <c r="V1451" s="48"/>
      <c r="W1451" s="48"/>
      <c r="X1451" s="48"/>
      <c r="Y1451" s="48"/>
      <c r="Z1451" s="47"/>
      <c r="AA1451" s="69">
        <v>1451</v>
      </c>
      <c r="AB1451" s="69"/>
      <c r="AC1451" s="70"/>
      <c r="AD1451" s="76" t="s">
        <v>22665</v>
      </c>
      <c r="AE1451" s="81" t="s">
        <v>23829</v>
      </c>
      <c r="AF1451" s="76">
        <v>4451</v>
      </c>
      <c r="AG1451" s="76">
        <v>4941</v>
      </c>
      <c r="AH1451" s="76">
        <v>33106</v>
      </c>
      <c r="AI1451" s="76">
        <v>49</v>
      </c>
      <c r="AJ1451" s="76">
        <v>12953</v>
      </c>
      <c r="AK1451" s="76">
        <v>3145</v>
      </c>
      <c r="AL1451" s="76" t="b">
        <v>0</v>
      </c>
      <c r="AM1451" s="78">
        <v>40680.78402777778</v>
      </c>
      <c r="AN1451" s="76" t="s">
        <v>24581</v>
      </c>
      <c r="AO1451" s="76" t="s">
        <v>26000</v>
      </c>
      <c r="AP1451" s="82" t="str">
        <f>HYPERLINK("https://t.co/0XEwPM6PoR")</f>
        <v>https://t.co/0XEwPM6PoR</v>
      </c>
      <c r="AQ1451" s="82" t="str">
        <f>HYPERLINK("http://www.rdteve.com")</f>
        <v>http://www.rdteve.com</v>
      </c>
      <c r="AR1451" s="76" t="s">
        <v>27149</v>
      </c>
      <c r="AS1451" s="82" t="str">
        <f>HYPERLINK("https://t.co/diZunBUZmk")</f>
        <v>https://t.co/diZunBUZmk</v>
      </c>
      <c r="AT1451" s="82" t="str">
        <f>HYPERLINK("http://instagram.com/rdteve/")</f>
        <v>http://instagram.com/rdteve/</v>
      </c>
      <c r="AU1451" s="76" t="s">
        <v>27552</v>
      </c>
      <c r="AV1451" s="76"/>
      <c r="AW1451" s="82" t="str">
        <f>HYPERLINK("https://t.co/0XEwPM6PoR")</f>
        <v>https://t.co/0XEwPM6PoR</v>
      </c>
      <c r="AX1451" s="76" t="b">
        <v>0</v>
      </c>
      <c r="AY1451" s="76"/>
      <c r="AZ1451" s="76"/>
      <c r="BA1451" s="76" t="b">
        <v>0</v>
      </c>
      <c r="BB1451" s="76" t="b">
        <v>1</v>
      </c>
      <c r="BC1451" s="76" t="b">
        <v>0</v>
      </c>
      <c r="BD1451" s="76" t="b">
        <v>0</v>
      </c>
      <c r="BE1451" s="76" t="b">
        <v>0</v>
      </c>
      <c r="BF1451" s="76" t="b">
        <v>0</v>
      </c>
      <c r="BG1451" s="76" t="b">
        <v>0</v>
      </c>
      <c r="BH1451" s="82" t="str">
        <f>HYPERLINK("https://pbs.twimg.com/profile_banners/300421231/1632800093")</f>
        <v>https://pbs.twimg.com/profile_banners/300421231/1632800093</v>
      </c>
      <c r="BI1451" s="76"/>
      <c r="BJ1451" s="76" t="s">
        <v>27595</v>
      </c>
      <c r="BK1451" s="76" t="b">
        <v>0</v>
      </c>
      <c r="BL1451" s="76"/>
      <c r="BM1451" s="76" t="s">
        <v>66</v>
      </c>
      <c r="BN1451" s="76" t="s">
        <v>27597</v>
      </c>
      <c r="BO1451" s="82" t="str">
        <f>HYPERLINK("https://twitter.com/rd_teve")</f>
        <v>https://twitter.com/rd_teve</v>
      </c>
      <c r="BP1451" s="2"/>
    </row>
    <row r="1452" spans="1:68" x14ac:dyDescent="0.25">
      <c r="A1452" s="62" t="s">
        <v>1318</v>
      </c>
      <c r="B1452" s="63"/>
      <c r="C1452" s="63"/>
      <c r="D1452" s="64"/>
      <c r="E1452" s="66"/>
      <c r="F1452" s="103" t="str">
        <f>HYPERLINK("https://pbs.twimg.com/profile_images/1035836741897412608/zX91cWvV_normal.jpg")</f>
        <v>https://pbs.twimg.com/profile_images/1035836741897412608/zX91cWvV_normal.jpg</v>
      </c>
      <c r="G1452" s="63"/>
      <c r="H1452" s="67"/>
      <c r="I1452" s="68"/>
      <c r="J1452" s="68"/>
      <c r="K1452" s="67" t="s">
        <v>29046</v>
      </c>
      <c r="L1452" s="71"/>
      <c r="M1452" s="72"/>
      <c r="N1452" s="72"/>
      <c r="O1452" s="73"/>
      <c r="P1452" s="74"/>
      <c r="Q1452" s="74"/>
      <c r="R1452" s="87"/>
      <c r="S1452" s="87"/>
      <c r="T1452" s="87"/>
      <c r="U1452" s="87"/>
      <c r="V1452" s="48"/>
      <c r="W1452" s="48"/>
      <c r="X1452" s="48"/>
      <c r="Y1452" s="48"/>
      <c r="Z1452" s="47"/>
      <c r="AA1452" s="69">
        <v>1452</v>
      </c>
      <c r="AB1452" s="69"/>
      <c r="AC1452" s="70"/>
      <c r="AD1452" s="76" t="s">
        <v>22666</v>
      </c>
      <c r="AE1452" s="81" t="s">
        <v>23830</v>
      </c>
      <c r="AF1452" s="76">
        <v>5333</v>
      </c>
      <c r="AG1452" s="76">
        <v>1096</v>
      </c>
      <c r="AH1452" s="76">
        <v>18449</v>
      </c>
      <c r="AI1452" s="76">
        <v>70</v>
      </c>
      <c r="AJ1452" s="76">
        <v>1068</v>
      </c>
      <c r="AK1452" s="76">
        <v>592</v>
      </c>
      <c r="AL1452" s="76" t="b">
        <v>0</v>
      </c>
      <c r="AM1452" s="78">
        <v>39588.679988425924</v>
      </c>
      <c r="AN1452" s="76" t="s">
        <v>24582</v>
      </c>
      <c r="AO1452" s="76" t="s">
        <v>26001</v>
      </c>
      <c r="AP1452" s="82" t="str">
        <f>HYPERLINK("https://t.co/k3HpPCAwNM")</f>
        <v>https://t.co/k3HpPCAwNM</v>
      </c>
      <c r="AQ1452" s="82" t="str">
        <f>HYPERLINK("http://www.pyme.cl")</f>
        <v>http://www.pyme.cl</v>
      </c>
      <c r="AR1452" s="76" t="s">
        <v>27150</v>
      </c>
      <c r="AS1452" s="82" t="str">
        <f>HYPERLINK("https://t.co/k3HpPCAwNM")</f>
        <v>https://t.co/k3HpPCAwNM</v>
      </c>
      <c r="AT1452" s="82" t="str">
        <f>HYPERLINK("http://www.pyme.cl")</f>
        <v>http://www.pyme.cl</v>
      </c>
      <c r="AU1452" s="76" t="s">
        <v>27150</v>
      </c>
      <c r="AV1452" s="76"/>
      <c r="AW1452" s="82" t="str">
        <f>HYPERLINK("https://t.co/k3HpPCAwNM")</f>
        <v>https://t.co/k3HpPCAwNM</v>
      </c>
      <c r="AX1452" s="76" t="b">
        <v>0</v>
      </c>
      <c r="AY1452" s="76"/>
      <c r="AZ1452" s="76"/>
      <c r="BA1452" s="76" t="b">
        <v>0</v>
      </c>
      <c r="BB1452" s="76" t="b">
        <v>1</v>
      </c>
      <c r="BC1452" s="76" t="b">
        <v>0</v>
      </c>
      <c r="BD1452" s="76" t="b">
        <v>0</v>
      </c>
      <c r="BE1452" s="76" t="b">
        <v>1</v>
      </c>
      <c r="BF1452" s="76" t="b">
        <v>0</v>
      </c>
      <c r="BG1452" s="76" t="b">
        <v>0</v>
      </c>
      <c r="BH1452" s="82" t="str">
        <f>HYPERLINK("https://pbs.twimg.com/profile_banners/14847049/1681856510")</f>
        <v>https://pbs.twimg.com/profile_banners/14847049/1681856510</v>
      </c>
      <c r="BI1452" s="76"/>
      <c r="BJ1452" s="76" t="s">
        <v>27595</v>
      </c>
      <c r="BK1452" s="76" t="b">
        <v>0</v>
      </c>
      <c r="BL1452" s="76"/>
      <c r="BM1452" s="76" t="s">
        <v>66</v>
      </c>
      <c r="BN1452" s="76" t="s">
        <v>27597</v>
      </c>
      <c r="BO1452" s="82" t="str">
        <f>HYPERLINK("https://twitter.com/pyme")</f>
        <v>https://twitter.com/pyme</v>
      </c>
      <c r="BP1452" s="2"/>
    </row>
    <row r="1453" spans="1:68" x14ac:dyDescent="0.25">
      <c r="A1453" s="62" t="s">
        <v>1319</v>
      </c>
      <c r="B1453" s="63"/>
      <c r="C1453" s="63"/>
      <c r="D1453" s="64"/>
      <c r="E1453" s="66"/>
      <c r="F1453" s="103" t="str">
        <f>HYPERLINK("https://pbs.twimg.com/profile_images/1498317182287192069/Bsww8CaP_normal.jpg")</f>
        <v>https://pbs.twimg.com/profile_images/1498317182287192069/Bsww8CaP_normal.jpg</v>
      </c>
      <c r="G1453" s="63"/>
      <c r="H1453" s="67"/>
      <c r="I1453" s="68"/>
      <c r="J1453" s="68"/>
      <c r="K1453" s="67" t="s">
        <v>29047</v>
      </c>
      <c r="L1453" s="71"/>
      <c r="M1453" s="72"/>
      <c r="N1453" s="72"/>
      <c r="O1453" s="73"/>
      <c r="P1453" s="74"/>
      <c r="Q1453" s="74"/>
      <c r="R1453" s="87"/>
      <c r="S1453" s="87"/>
      <c r="T1453" s="87"/>
      <c r="U1453" s="87"/>
      <c r="V1453" s="48"/>
      <c r="W1453" s="48"/>
      <c r="X1453" s="48"/>
      <c r="Y1453" s="48"/>
      <c r="Z1453" s="47"/>
      <c r="AA1453" s="69">
        <v>1453</v>
      </c>
      <c r="AB1453" s="69"/>
      <c r="AC1453" s="70"/>
      <c r="AD1453" s="76" t="s">
        <v>22667</v>
      </c>
      <c r="AE1453" s="81" t="s">
        <v>21032</v>
      </c>
      <c r="AF1453" s="76">
        <v>80</v>
      </c>
      <c r="AG1453" s="76">
        <v>375</v>
      </c>
      <c r="AH1453" s="76">
        <v>2926</v>
      </c>
      <c r="AI1453" s="76">
        <v>0</v>
      </c>
      <c r="AJ1453" s="76">
        <v>13</v>
      </c>
      <c r="AK1453" s="76">
        <v>2922</v>
      </c>
      <c r="AL1453" s="76" t="b">
        <v>0</v>
      </c>
      <c r="AM1453" s="78">
        <v>44618.897615740738</v>
      </c>
      <c r="AN1453" s="76"/>
      <c r="AO1453" s="76" t="s">
        <v>26002</v>
      </c>
      <c r="AP1453" s="82" t="str">
        <f>HYPERLINK("https://t.co/iCqBs2bnIS")</f>
        <v>https://t.co/iCqBs2bnIS</v>
      </c>
      <c r="AQ1453" s="82" t="str">
        <f>HYPERLINK("http://liafm.net")</f>
        <v>http://liafm.net</v>
      </c>
      <c r="AR1453" s="76" t="s">
        <v>27151</v>
      </c>
      <c r="AS1453" s="76"/>
      <c r="AT1453" s="76"/>
      <c r="AU1453" s="76"/>
      <c r="AV1453" s="76"/>
      <c r="AW1453" s="82" t="str">
        <f>HYPERLINK("https://t.co/iCqBs2bnIS")</f>
        <v>https://t.co/iCqBs2bnIS</v>
      </c>
      <c r="AX1453" s="76" t="b">
        <v>0</v>
      </c>
      <c r="AY1453" s="76"/>
      <c r="AZ1453" s="76"/>
      <c r="BA1453" s="76" t="b">
        <v>0</v>
      </c>
      <c r="BB1453" s="76" t="b">
        <v>1</v>
      </c>
      <c r="BC1453" s="76" t="b">
        <v>1</v>
      </c>
      <c r="BD1453" s="76" t="b">
        <v>0</v>
      </c>
      <c r="BE1453" s="76" t="b">
        <v>0</v>
      </c>
      <c r="BF1453" s="76" t="b">
        <v>0</v>
      </c>
      <c r="BG1453" s="76" t="b">
        <v>0</v>
      </c>
      <c r="BH1453" s="82" t="str">
        <f>HYPERLINK("https://pbs.twimg.com/profile_banners/1497686003947130890/1646061635")</f>
        <v>https://pbs.twimg.com/profile_banners/1497686003947130890/1646061635</v>
      </c>
      <c r="BI1453" s="76"/>
      <c r="BJ1453" s="76" t="s">
        <v>27595</v>
      </c>
      <c r="BK1453" s="76" t="b">
        <v>0</v>
      </c>
      <c r="BL1453" s="76"/>
      <c r="BM1453" s="76" t="s">
        <v>66</v>
      </c>
      <c r="BN1453" s="76" t="s">
        <v>27597</v>
      </c>
      <c r="BO1453" s="82" t="str">
        <f>HYPERLINK("https://twitter.com/liafmradio")</f>
        <v>https://twitter.com/liafmradio</v>
      </c>
      <c r="BP1453" s="2"/>
    </row>
    <row r="1454" spans="1:68" x14ac:dyDescent="0.25">
      <c r="A1454" s="62" t="s">
        <v>1320</v>
      </c>
      <c r="B1454" s="63"/>
      <c r="C1454" s="63"/>
      <c r="D1454" s="64"/>
      <c r="E1454" s="66"/>
      <c r="F1454" s="103" t="str">
        <f>HYPERLINK("https://pbs.twimg.com/profile_images/1557306977952432129/PLytlL8Q_normal.jpg")</f>
        <v>https://pbs.twimg.com/profile_images/1557306977952432129/PLytlL8Q_normal.jpg</v>
      </c>
      <c r="G1454" s="63"/>
      <c r="H1454" s="67"/>
      <c r="I1454" s="68"/>
      <c r="J1454" s="68"/>
      <c r="K1454" s="67" t="s">
        <v>29048</v>
      </c>
      <c r="L1454" s="71"/>
      <c r="M1454" s="72"/>
      <c r="N1454" s="72"/>
      <c r="O1454" s="73"/>
      <c r="P1454" s="74"/>
      <c r="Q1454" s="74"/>
      <c r="R1454" s="87"/>
      <c r="S1454" s="87"/>
      <c r="T1454" s="87"/>
      <c r="U1454" s="87"/>
      <c r="V1454" s="48"/>
      <c r="W1454" s="48"/>
      <c r="X1454" s="48"/>
      <c r="Y1454" s="48"/>
      <c r="Z1454" s="47"/>
      <c r="AA1454" s="69">
        <v>1454</v>
      </c>
      <c r="AB1454" s="69"/>
      <c r="AC1454" s="70"/>
      <c r="AD1454" s="76" t="s">
        <v>22668</v>
      </c>
      <c r="AE1454" s="81" t="s">
        <v>21033</v>
      </c>
      <c r="AF1454" s="76">
        <v>2</v>
      </c>
      <c r="AG1454" s="76">
        <v>42</v>
      </c>
      <c r="AH1454" s="76">
        <v>131</v>
      </c>
      <c r="AI1454" s="76">
        <v>0</v>
      </c>
      <c r="AJ1454" s="76">
        <v>328</v>
      </c>
      <c r="AK1454" s="76">
        <v>2</v>
      </c>
      <c r="AL1454" s="76" t="b">
        <v>0</v>
      </c>
      <c r="AM1454" s="78">
        <v>44783.416273148148</v>
      </c>
      <c r="AN1454" s="76"/>
      <c r="AO1454" s="76"/>
      <c r="AP1454" s="76"/>
      <c r="AQ1454" s="76"/>
      <c r="AR1454" s="76"/>
      <c r="AS1454" s="76"/>
      <c r="AT1454" s="76"/>
      <c r="AU1454" s="76"/>
      <c r="AV1454" s="76"/>
      <c r="AW1454" s="76"/>
      <c r="AX1454" s="76" t="b">
        <v>0</v>
      </c>
      <c r="AY1454" s="76"/>
      <c r="AZ1454" s="76"/>
      <c r="BA1454" s="76" t="b">
        <v>0</v>
      </c>
      <c r="BB1454" s="76" t="b">
        <v>1</v>
      </c>
      <c r="BC1454" s="76" t="b">
        <v>1</v>
      </c>
      <c r="BD1454" s="76" t="b">
        <v>0</v>
      </c>
      <c r="BE1454" s="76" t="b">
        <v>0</v>
      </c>
      <c r="BF1454" s="76" t="b">
        <v>0</v>
      </c>
      <c r="BG1454" s="76" t="b">
        <v>0</v>
      </c>
      <c r="BH1454" s="76"/>
      <c r="BI1454" s="76"/>
      <c r="BJ1454" s="76" t="s">
        <v>27595</v>
      </c>
      <c r="BK1454" s="76" t="b">
        <v>0</v>
      </c>
      <c r="BL1454" s="76"/>
      <c r="BM1454" s="76" t="s">
        <v>66</v>
      </c>
      <c r="BN1454" s="76" t="s">
        <v>27597</v>
      </c>
      <c r="BO1454" s="82" t="str">
        <f>HYPERLINK("https://twitter.com/squillantte")</f>
        <v>https://twitter.com/squillantte</v>
      </c>
      <c r="BP1454" s="2"/>
    </row>
    <row r="1455" spans="1:68" x14ac:dyDescent="0.25">
      <c r="A1455" s="62" t="s">
        <v>2010</v>
      </c>
      <c r="B1455" s="63"/>
      <c r="C1455" s="63"/>
      <c r="D1455" s="64"/>
      <c r="E1455" s="66"/>
      <c r="F1455" s="103" t="str">
        <f>HYPERLINK("https://pbs.twimg.com/profile_images/1704111046439440384/jpfAs7X6_normal.jpg")</f>
        <v>https://pbs.twimg.com/profile_images/1704111046439440384/jpfAs7X6_normal.jpg</v>
      </c>
      <c r="G1455" s="63"/>
      <c r="H1455" s="67"/>
      <c r="I1455" s="68"/>
      <c r="J1455" s="68"/>
      <c r="K1455" s="67" t="s">
        <v>29049</v>
      </c>
      <c r="L1455" s="71"/>
      <c r="M1455" s="72"/>
      <c r="N1455" s="72"/>
      <c r="O1455" s="73"/>
      <c r="P1455" s="74"/>
      <c r="Q1455" s="74"/>
      <c r="R1455" s="87"/>
      <c r="S1455" s="87"/>
      <c r="T1455" s="87"/>
      <c r="U1455" s="87"/>
      <c r="V1455" s="48"/>
      <c r="W1455" s="48"/>
      <c r="X1455" s="48"/>
      <c r="Y1455" s="48"/>
      <c r="Z1455" s="47"/>
      <c r="AA1455" s="69">
        <v>1455</v>
      </c>
      <c r="AB1455" s="69"/>
      <c r="AC1455" s="70"/>
      <c r="AD1455" s="76" t="s">
        <v>22669</v>
      </c>
      <c r="AE1455" s="81" t="s">
        <v>23831</v>
      </c>
      <c r="AF1455" s="76">
        <v>267792</v>
      </c>
      <c r="AG1455" s="76">
        <v>32</v>
      </c>
      <c r="AH1455" s="76">
        <v>326553</v>
      </c>
      <c r="AI1455" s="76">
        <v>939</v>
      </c>
      <c r="AJ1455" s="76">
        <v>3541</v>
      </c>
      <c r="AK1455" s="76">
        <v>4247</v>
      </c>
      <c r="AL1455" s="76" t="b">
        <v>0</v>
      </c>
      <c r="AM1455" s="78">
        <v>40106.003333333334</v>
      </c>
      <c r="AN1455" s="76" t="s">
        <v>24583</v>
      </c>
      <c r="AO1455" s="76" t="s">
        <v>26003</v>
      </c>
      <c r="AP1455" s="82" t="str">
        <f>HYPERLINK("https://t.co/yRvqzZxpeA")</f>
        <v>https://t.co/yRvqzZxpeA</v>
      </c>
      <c r="AQ1455" s="82" t="str">
        <f>HYPERLINK("http://bb.com.br")</f>
        <v>http://bb.com.br</v>
      </c>
      <c r="AR1455" s="76" t="s">
        <v>27152</v>
      </c>
      <c r="AS1455" s="82" t="str">
        <f>HYPERLINK("https://t.co/PJ7LFD7IzE")</f>
        <v>https://t.co/PJ7LFD7IzE</v>
      </c>
      <c r="AT1455" s="82" t="str">
        <f>HYPERLINK("http://sustentabilidade.bb.com.br")</f>
        <v>http://sustentabilidade.bb.com.br</v>
      </c>
      <c r="AU1455" s="76" t="s">
        <v>27553</v>
      </c>
      <c r="AV1455" s="76"/>
      <c r="AW1455" s="82" t="str">
        <f>HYPERLINK("https://t.co/yRvqzZxpeA")</f>
        <v>https://t.co/yRvqzZxpeA</v>
      </c>
      <c r="AX1455" s="76" t="b">
        <v>0</v>
      </c>
      <c r="AY1455" s="76"/>
      <c r="AZ1455" s="76"/>
      <c r="BA1455" s="76" t="b">
        <v>1</v>
      </c>
      <c r="BB1455" s="76" t="b">
        <v>1</v>
      </c>
      <c r="BC1455" s="76" t="b">
        <v>0</v>
      </c>
      <c r="BD1455" s="76" t="b">
        <v>0</v>
      </c>
      <c r="BE1455" s="76" t="b">
        <v>1</v>
      </c>
      <c r="BF1455" s="76" t="b">
        <v>0</v>
      </c>
      <c r="BG1455" s="76" t="b">
        <v>0</v>
      </c>
      <c r="BH1455" s="82" t="str">
        <f>HYPERLINK("https://pbs.twimg.com/profile_banners/83723557/1695126710")</f>
        <v>https://pbs.twimg.com/profile_banners/83723557/1695126710</v>
      </c>
      <c r="BI1455" s="76"/>
      <c r="BJ1455" s="76" t="s">
        <v>27595</v>
      </c>
      <c r="BK1455" s="76" t="b">
        <v>0</v>
      </c>
      <c r="BL1455" s="76"/>
      <c r="BM1455" s="76" t="s">
        <v>65</v>
      </c>
      <c r="BN1455" s="76" t="s">
        <v>27597</v>
      </c>
      <c r="BO1455" s="82" t="str">
        <f>HYPERLINK("https://twitter.com/bancodobrasil")</f>
        <v>https://twitter.com/bancodobrasil</v>
      </c>
      <c r="BP1455" s="2"/>
    </row>
    <row r="1456" spans="1:68" x14ac:dyDescent="0.25">
      <c r="A1456" s="62" t="s">
        <v>1321</v>
      </c>
      <c r="B1456" s="63"/>
      <c r="C1456" s="63"/>
      <c r="D1456" s="64"/>
      <c r="E1456" s="66"/>
      <c r="F1456" s="103" t="str">
        <f>HYPERLINK("https://pbs.twimg.com/profile_images/1309515950312521728/KjUL6n2__normal.jpg")</f>
        <v>https://pbs.twimg.com/profile_images/1309515950312521728/KjUL6n2__normal.jpg</v>
      </c>
      <c r="G1456" s="63"/>
      <c r="H1456" s="67"/>
      <c r="I1456" s="68"/>
      <c r="J1456" s="68"/>
      <c r="K1456" s="67" t="s">
        <v>29050</v>
      </c>
      <c r="L1456" s="71"/>
      <c r="M1456" s="72"/>
      <c r="N1456" s="72"/>
      <c r="O1456" s="73"/>
      <c r="P1456" s="74"/>
      <c r="Q1456" s="74"/>
      <c r="R1456" s="87"/>
      <c r="S1456" s="87"/>
      <c r="T1456" s="87"/>
      <c r="U1456" s="87"/>
      <c r="V1456" s="48"/>
      <c r="W1456" s="48"/>
      <c r="X1456" s="48"/>
      <c r="Y1456" s="48"/>
      <c r="Z1456" s="47"/>
      <c r="AA1456" s="69">
        <v>1456</v>
      </c>
      <c r="AB1456" s="69"/>
      <c r="AC1456" s="70"/>
      <c r="AD1456" s="76" t="s">
        <v>22670</v>
      </c>
      <c r="AE1456" s="81" t="s">
        <v>21034</v>
      </c>
      <c r="AF1456" s="76">
        <v>485</v>
      </c>
      <c r="AG1456" s="76">
        <v>0</v>
      </c>
      <c r="AH1456" s="76">
        <v>11508</v>
      </c>
      <c r="AI1456" s="76">
        <v>6</v>
      </c>
      <c r="AJ1456" s="76">
        <v>0</v>
      </c>
      <c r="AK1456" s="76">
        <v>0</v>
      </c>
      <c r="AL1456" s="76" t="b">
        <v>0</v>
      </c>
      <c r="AM1456" s="78">
        <v>43933.912442129629</v>
      </c>
      <c r="AN1456" s="76" t="s">
        <v>24584</v>
      </c>
      <c r="AO1456" s="76" t="s">
        <v>26004</v>
      </c>
      <c r="AP1456" s="82" t="str">
        <f>HYPERLINK("https://t.co/CRdBD11N88")</f>
        <v>https://t.co/CRdBD11N88</v>
      </c>
      <c r="AQ1456" s="82" t="str">
        <f>HYPERLINK("https://noticiasdemogi.com.br")</f>
        <v>https://noticiasdemogi.com.br</v>
      </c>
      <c r="AR1456" s="76" t="s">
        <v>27153</v>
      </c>
      <c r="AS1456" s="76"/>
      <c r="AT1456" s="76"/>
      <c r="AU1456" s="76"/>
      <c r="AV1456" s="76"/>
      <c r="AW1456" s="82" t="str">
        <f>HYPERLINK("https://t.co/CRdBD11N88")</f>
        <v>https://t.co/CRdBD11N88</v>
      </c>
      <c r="AX1456" s="76" t="b">
        <v>0</v>
      </c>
      <c r="AY1456" s="76"/>
      <c r="AZ1456" s="76"/>
      <c r="BA1456" s="76" t="b">
        <v>0</v>
      </c>
      <c r="BB1456" s="76" t="b">
        <v>1</v>
      </c>
      <c r="BC1456" s="76" t="b">
        <v>1</v>
      </c>
      <c r="BD1456" s="76" t="b">
        <v>0</v>
      </c>
      <c r="BE1456" s="76" t="b">
        <v>0</v>
      </c>
      <c r="BF1456" s="76" t="b">
        <v>0</v>
      </c>
      <c r="BG1456" s="76" t="b">
        <v>0</v>
      </c>
      <c r="BH1456" s="82" t="str">
        <f>HYPERLINK("https://pbs.twimg.com/profile_banners/1249455646228938752/1586733122")</f>
        <v>https://pbs.twimg.com/profile_banners/1249455646228938752/1586733122</v>
      </c>
      <c r="BI1456" s="76"/>
      <c r="BJ1456" s="76" t="s">
        <v>27595</v>
      </c>
      <c r="BK1456" s="76" t="b">
        <v>0</v>
      </c>
      <c r="BL1456" s="76"/>
      <c r="BM1456" s="76" t="s">
        <v>66</v>
      </c>
      <c r="BN1456" s="76" t="s">
        <v>27597</v>
      </c>
      <c r="BO1456" s="82" t="str">
        <f>HYPERLINK("https://twitter.com/noticiasdemogi")</f>
        <v>https://twitter.com/noticiasdemogi</v>
      </c>
      <c r="BP1456" s="2"/>
    </row>
    <row r="1457" spans="1:68" x14ac:dyDescent="0.25">
      <c r="A1457" s="62" t="s">
        <v>1322</v>
      </c>
      <c r="B1457" s="63"/>
      <c r="C1457" s="63"/>
      <c r="D1457" s="64"/>
      <c r="E1457" s="66"/>
      <c r="F1457" s="103" t="str">
        <f>HYPERLINK("https://pbs.twimg.com/profile_images/1588170231402356738/KVqx2hyD_normal.jpg")</f>
        <v>https://pbs.twimg.com/profile_images/1588170231402356738/KVqx2hyD_normal.jpg</v>
      </c>
      <c r="G1457" s="63"/>
      <c r="H1457" s="67"/>
      <c r="I1457" s="68"/>
      <c r="J1457" s="68"/>
      <c r="K1457" s="67" t="s">
        <v>29051</v>
      </c>
      <c r="L1457" s="71"/>
      <c r="M1457" s="72"/>
      <c r="N1457" s="72"/>
      <c r="O1457" s="73"/>
      <c r="P1457" s="74"/>
      <c r="Q1457" s="74"/>
      <c r="R1457" s="87"/>
      <c r="S1457" s="87"/>
      <c r="T1457" s="87"/>
      <c r="U1457" s="87"/>
      <c r="V1457" s="48"/>
      <c r="W1457" s="48"/>
      <c r="X1457" s="48"/>
      <c r="Y1457" s="48"/>
      <c r="Z1457" s="47"/>
      <c r="AA1457" s="69">
        <v>1457</v>
      </c>
      <c r="AB1457" s="69"/>
      <c r="AC1457" s="70"/>
      <c r="AD1457" s="76" t="s">
        <v>22671</v>
      </c>
      <c r="AE1457" s="81" t="s">
        <v>23832</v>
      </c>
      <c r="AF1457" s="76">
        <v>1230</v>
      </c>
      <c r="AG1457" s="76">
        <v>147</v>
      </c>
      <c r="AH1457" s="76">
        <v>28954</v>
      </c>
      <c r="AI1457" s="76">
        <v>1</v>
      </c>
      <c r="AJ1457" s="76">
        <v>42972</v>
      </c>
      <c r="AK1457" s="76">
        <v>433</v>
      </c>
      <c r="AL1457" s="76" t="b">
        <v>0</v>
      </c>
      <c r="AM1457" s="78">
        <v>40527.80672453704</v>
      </c>
      <c r="AN1457" s="76" t="s">
        <v>24114</v>
      </c>
      <c r="AO1457" s="76" t="s">
        <v>26005</v>
      </c>
      <c r="AP1457" s="76"/>
      <c r="AQ1457" s="76"/>
      <c r="AR1457" s="76"/>
      <c r="AS1457" s="76"/>
      <c r="AT1457" s="76"/>
      <c r="AU1457" s="76"/>
      <c r="AV1457" s="76">
        <v>1.7047490331120799E+18</v>
      </c>
      <c r="AW1457" s="76"/>
      <c r="AX1457" s="76" t="b">
        <v>0</v>
      </c>
      <c r="AY1457" s="76"/>
      <c r="AZ1457" s="76"/>
      <c r="BA1457" s="76" t="b">
        <v>1</v>
      </c>
      <c r="BB1457" s="76" t="b">
        <v>1</v>
      </c>
      <c r="BC1457" s="76" t="b">
        <v>0</v>
      </c>
      <c r="BD1457" s="76" t="b">
        <v>0</v>
      </c>
      <c r="BE1457" s="76" t="b">
        <v>0</v>
      </c>
      <c r="BF1457" s="76" t="b">
        <v>0</v>
      </c>
      <c r="BG1457" s="76" t="b">
        <v>0</v>
      </c>
      <c r="BH1457" s="82" t="str">
        <f>HYPERLINK("https://pbs.twimg.com/profile_banners/227042671/1528855501")</f>
        <v>https://pbs.twimg.com/profile_banners/227042671/1528855501</v>
      </c>
      <c r="BI1457" s="76"/>
      <c r="BJ1457" s="76" t="s">
        <v>27595</v>
      </c>
      <c r="BK1457" s="76" t="b">
        <v>0</v>
      </c>
      <c r="BL1457" s="76"/>
      <c r="BM1457" s="76" t="s">
        <v>66</v>
      </c>
      <c r="BN1457" s="76" t="s">
        <v>27597</v>
      </c>
      <c r="BO1457" s="82" t="str">
        <f>HYPERLINK("https://twitter.com/jscapolo")</f>
        <v>https://twitter.com/jscapolo</v>
      </c>
      <c r="BP1457" s="2"/>
    </row>
    <row r="1458" spans="1:68" x14ac:dyDescent="0.25">
      <c r="A1458" s="62" t="s">
        <v>1323</v>
      </c>
      <c r="B1458" s="63"/>
      <c r="C1458" s="63"/>
      <c r="D1458" s="64"/>
      <c r="E1458" s="66"/>
      <c r="F1458" s="103" t="str">
        <f>HYPERLINK("https://pbs.twimg.com/profile_images/1606077033326444545/Ih-UiPOU_normal.png")</f>
        <v>https://pbs.twimg.com/profile_images/1606077033326444545/Ih-UiPOU_normal.png</v>
      </c>
      <c r="G1458" s="63"/>
      <c r="H1458" s="67"/>
      <c r="I1458" s="68"/>
      <c r="J1458" s="68"/>
      <c r="K1458" s="67" t="s">
        <v>29052</v>
      </c>
      <c r="L1458" s="71"/>
      <c r="M1458" s="72"/>
      <c r="N1458" s="72"/>
      <c r="O1458" s="73"/>
      <c r="P1458" s="74"/>
      <c r="Q1458" s="74"/>
      <c r="R1458" s="87"/>
      <c r="S1458" s="87"/>
      <c r="T1458" s="87"/>
      <c r="U1458" s="87"/>
      <c r="V1458" s="48"/>
      <c r="W1458" s="48"/>
      <c r="X1458" s="48"/>
      <c r="Y1458" s="48"/>
      <c r="Z1458" s="47"/>
      <c r="AA1458" s="69">
        <v>1458</v>
      </c>
      <c r="AB1458" s="69"/>
      <c r="AC1458" s="70"/>
      <c r="AD1458" s="76" t="s">
        <v>22672</v>
      </c>
      <c r="AE1458" s="81" t="s">
        <v>21035</v>
      </c>
      <c r="AF1458" s="76">
        <v>36</v>
      </c>
      <c r="AG1458" s="76">
        <v>203</v>
      </c>
      <c r="AH1458" s="76">
        <v>8711</v>
      </c>
      <c r="AI1458" s="76">
        <v>0</v>
      </c>
      <c r="AJ1458" s="76">
        <v>13047</v>
      </c>
      <c r="AK1458" s="76">
        <v>10</v>
      </c>
      <c r="AL1458" s="76" t="b">
        <v>0</v>
      </c>
      <c r="AM1458" s="78">
        <v>44917.999745370369</v>
      </c>
      <c r="AN1458" s="76"/>
      <c r="AO1458" s="76"/>
      <c r="AP1458" s="76"/>
      <c r="AQ1458" s="76"/>
      <c r="AR1458" s="76"/>
      <c r="AS1458" s="76"/>
      <c r="AT1458" s="76"/>
      <c r="AU1458" s="76"/>
      <c r="AV1458" s="76"/>
      <c r="AW1458" s="76"/>
      <c r="AX1458" s="76" t="b">
        <v>0</v>
      </c>
      <c r="AY1458" s="76"/>
      <c r="AZ1458" s="76"/>
      <c r="BA1458" s="76" t="b">
        <v>0</v>
      </c>
      <c r="BB1458" s="76" t="b">
        <v>1</v>
      </c>
      <c r="BC1458" s="76" t="b">
        <v>1</v>
      </c>
      <c r="BD1458" s="76" t="b">
        <v>0</v>
      </c>
      <c r="BE1458" s="76" t="b">
        <v>0</v>
      </c>
      <c r="BF1458" s="76" t="b">
        <v>0</v>
      </c>
      <c r="BG1458" s="76" t="b">
        <v>0</v>
      </c>
      <c r="BH1458" s="76"/>
      <c r="BI1458" s="76"/>
      <c r="BJ1458" s="76" t="s">
        <v>27595</v>
      </c>
      <c r="BK1458" s="76" t="b">
        <v>0</v>
      </c>
      <c r="BL1458" s="76"/>
      <c r="BM1458" s="76" t="s">
        <v>66</v>
      </c>
      <c r="BN1458" s="76" t="s">
        <v>27597</v>
      </c>
      <c r="BO1458" s="82" t="str">
        <f>HYPERLINK("https://twitter.com/everald24581144")</f>
        <v>https://twitter.com/everald24581144</v>
      </c>
      <c r="BP1458" s="2"/>
    </row>
    <row r="1459" spans="1:68" x14ac:dyDescent="0.25">
      <c r="A1459" s="62" t="s">
        <v>1325</v>
      </c>
      <c r="B1459" s="63"/>
      <c r="C1459" s="63"/>
      <c r="D1459" s="64"/>
      <c r="E1459" s="66"/>
      <c r="F1459" s="103" t="str">
        <f>HYPERLINK("https://pbs.twimg.com/profile_images/1683612238781771777/ixMKKS02_normal.jpg")</f>
        <v>https://pbs.twimg.com/profile_images/1683612238781771777/ixMKKS02_normal.jpg</v>
      </c>
      <c r="G1459" s="63"/>
      <c r="H1459" s="67"/>
      <c r="I1459" s="68"/>
      <c r="J1459" s="68"/>
      <c r="K1459" s="67" t="s">
        <v>29053</v>
      </c>
      <c r="L1459" s="71"/>
      <c r="M1459" s="72"/>
      <c r="N1459" s="72"/>
      <c r="O1459" s="73"/>
      <c r="P1459" s="74"/>
      <c r="Q1459" s="74"/>
      <c r="R1459" s="87"/>
      <c r="S1459" s="87"/>
      <c r="T1459" s="87"/>
      <c r="U1459" s="87"/>
      <c r="V1459" s="48"/>
      <c r="W1459" s="48"/>
      <c r="X1459" s="48"/>
      <c r="Y1459" s="48"/>
      <c r="Z1459" s="47"/>
      <c r="AA1459" s="69">
        <v>1459</v>
      </c>
      <c r="AB1459" s="69"/>
      <c r="AC1459" s="70"/>
      <c r="AD1459" s="76" t="s">
        <v>22673</v>
      </c>
      <c r="AE1459" s="81" t="s">
        <v>21036</v>
      </c>
      <c r="AF1459" s="76">
        <v>26</v>
      </c>
      <c r="AG1459" s="76">
        <v>105</v>
      </c>
      <c r="AH1459" s="76">
        <v>1513</v>
      </c>
      <c r="AI1459" s="76">
        <v>0</v>
      </c>
      <c r="AJ1459" s="76">
        <v>129</v>
      </c>
      <c r="AK1459" s="76">
        <v>81</v>
      </c>
      <c r="AL1459" s="76" t="b">
        <v>0</v>
      </c>
      <c r="AM1459" s="78">
        <v>45001.093634259261</v>
      </c>
      <c r="AN1459" s="76" t="s">
        <v>14385</v>
      </c>
      <c r="AO1459" s="76" t="s">
        <v>26006</v>
      </c>
      <c r="AP1459" s="82" t="str">
        <f>HYPERLINK("https://t.co/ohXsdnd06M")</f>
        <v>https://t.co/ohXsdnd06M</v>
      </c>
      <c r="AQ1459" s="82" t="str">
        <f>HYPERLINK("https://youtube.com/@AleAnalista")</f>
        <v>https://youtube.com/@AleAnalista</v>
      </c>
      <c r="AR1459" s="76" t="s">
        <v>27154</v>
      </c>
      <c r="AS1459" s="76"/>
      <c r="AT1459" s="76"/>
      <c r="AU1459" s="76"/>
      <c r="AV1459" s="76"/>
      <c r="AW1459" s="82" t="str">
        <f>HYPERLINK("https://t.co/ohXsdnd06M")</f>
        <v>https://t.co/ohXsdnd06M</v>
      </c>
      <c r="AX1459" s="76" t="b">
        <v>0</v>
      </c>
      <c r="AY1459" s="76"/>
      <c r="AZ1459" s="76"/>
      <c r="BA1459" s="76" t="b">
        <v>1</v>
      </c>
      <c r="BB1459" s="76" t="b">
        <v>1</v>
      </c>
      <c r="BC1459" s="76" t="b">
        <v>1</v>
      </c>
      <c r="BD1459" s="76" t="b">
        <v>0</v>
      </c>
      <c r="BE1459" s="76" t="b">
        <v>0</v>
      </c>
      <c r="BF1459" s="76" t="b">
        <v>0</v>
      </c>
      <c r="BG1459" s="76" t="b">
        <v>0</v>
      </c>
      <c r="BH1459" s="82" t="str">
        <f>HYPERLINK("https://pbs.twimg.com/profile_banners/1636189045238689795/1690239473")</f>
        <v>https://pbs.twimg.com/profile_banners/1636189045238689795/1690239473</v>
      </c>
      <c r="BI1459" s="76"/>
      <c r="BJ1459" s="76" t="s">
        <v>27595</v>
      </c>
      <c r="BK1459" s="76" t="b">
        <v>0</v>
      </c>
      <c r="BL1459" s="76"/>
      <c r="BM1459" s="76" t="s">
        <v>66</v>
      </c>
      <c r="BN1459" s="76" t="s">
        <v>27597</v>
      </c>
      <c r="BO1459" s="82" t="str">
        <f>HYPERLINK("https://twitter.com/aleanalistaarg")</f>
        <v>https://twitter.com/aleanalistaarg</v>
      </c>
      <c r="BP1459" s="2"/>
    </row>
    <row r="1460" spans="1:68" x14ac:dyDescent="0.25">
      <c r="A1460" s="62" t="s">
        <v>1326</v>
      </c>
      <c r="B1460" s="63"/>
      <c r="C1460" s="63"/>
      <c r="D1460" s="64"/>
      <c r="E1460" s="66"/>
      <c r="F1460" s="103" t="str">
        <f>HYPERLINK("https://pbs.twimg.com/profile_images/1663185396686102532/gDz5KwES_normal.jpg")</f>
        <v>https://pbs.twimg.com/profile_images/1663185396686102532/gDz5KwES_normal.jpg</v>
      </c>
      <c r="G1460" s="63"/>
      <c r="H1460" s="67"/>
      <c r="I1460" s="68"/>
      <c r="J1460" s="68"/>
      <c r="K1460" s="67" t="s">
        <v>29054</v>
      </c>
      <c r="L1460" s="71"/>
      <c r="M1460" s="72"/>
      <c r="N1460" s="72"/>
      <c r="O1460" s="73"/>
      <c r="P1460" s="74"/>
      <c r="Q1460" s="74"/>
      <c r="R1460" s="87"/>
      <c r="S1460" s="87"/>
      <c r="T1460" s="87"/>
      <c r="U1460" s="87"/>
      <c r="V1460" s="48"/>
      <c r="W1460" s="48"/>
      <c r="X1460" s="48"/>
      <c r="Y1460" s="48"/>
      <c r="Z1460" s="47"/>
      <c r="AA1460" s="69">
        <v>1460</v>
      </c>
      <c r="AB1460" s="69"/>
      <c r="AC1460" s="70"/>
      <c r="AD1460" s="76" t="s">
        <v>22674</v>
      </c>
      <c r="AE1460" s="81" t="s">
        <v>21037</v>
      </c>
      <c r="AF1460" s="76">
        <v>25</v>
      </c>
      <c r="AG1460" s="76">
        <v>73</v>
      </c>
      <c r="AH1460" s="76">
        <v>93</v>
      </c>
      <c r="AI1460" s="76">
        <v>0</v>
      </c>
      <c r="AJ1460" s="76">
        <v>52</v>
      </c>
      <c r="AK1460" s="76">
        <v>21</v>
      </c>
      <c r="AL1460" s="76" t="b">
        <v>0</v>
      </c>
      <c r="AM1460" s="78">
        <v>45033.716203703705</v>
      </c>
      <c r="AN1460" s="76"/>
      <c r="AO1460" s="76"/>
      <c r="AP1460" s="76"/>
      <c r="AQ1460" s="76"/>
      <c r="AR1460" s="76"/>
      <c r="AS1460" s="76"/>
      <c r="AT1460" s="76"/>
      <c r="AU1460" s="76"/>
      <c r="AV1460" s="76"/>
      <c r="AW1460" s="76"/>
      <c r="AX1460" s="76" t="b">
        <v>0</v>
      </c>
      <c r="AY1460" s="76"/>
      <c r="AZ1460" s="76"/>
      <c r="BA1460" s="76" t="b">
        <v>0</v>
      </c>
      <c r="BB1460" s="76" t="b">
        <v>1</v>
      </c>
      <c r="BC1460" s="76" t="b">
        <v>1</v>
      </c>
      <c r="BD1460" s="76" t="b">
        <v>0</v>
      </c>
      <c r="BE1460" s="76" t="b">
        <v>0</v>
      </c>
      <c r="BF1460" s="76" t="b">
        <v>0</v>
      </c>
      <c r="BG1460" s="76" t="b">
        <v>0</v>
      </c>
      <c r="BH1460" s="76"/>
      <c r="BI1460" s="76"/>
      <c r="BJ1460" s="76" t="s">
        <v>27595</v>
      </c>
      <c r="BK1460" s="76" t="b">
        <v>0</v>
      </c>
      <c r="BL1460" s="76"/>
      <c r="BM1460" s="76" t="s">
        <v>66</v>
      </c>
      <c r="BN1460" s="76" t="s">
        <v>27597</v>
      </c>
      <c r="BO1460" s="82" t="str">
        <f>HYPERLINK("https://twitter.com/goyanessah43100")</f>
        <v>https://twitter.com/goyanessah43100</v>
      </c>
      <c r="BP1460" s="2"/>
    </row>
    <row r="1461" spans="1:68" x14ac:dyDescent="0.25">
      <c r="A1461" s="62" t="s">
        <v>2011</v>
      </c>
      <c r="B1461" s="63"/>
      <c r="C1461" s="63"/>
      <c r="D1461" s="64"/>
      <c r="E1461" s="66"/>
      <c r="F1461" s="103" t="str">
        <f>HYPERLINK("https://pbs.twimg.com/profile_images/1611375055518277632/GlnVbeiN_normal.jpg")</f>
        <v>https://pbs.twimg.com/profile_images/1611375055518277632/GlnVbeiN_normal.jpg</v>
      </c>
      <c r="G1461" s="63"/>
      <c r="H1461" s="67"/>
      <c r="I1461" s="68"/>
      <c r="J1461" s="68"/>
      <c r="K1461" s="67" t="s">
        <v>29055</v>
      </c>
      <c r="L1461" s="71"/>
      <c r="M1461" s="72"/>
      <c r="N1461" s="72"/>
      <c r="O1461" s="73"/>
      <c r="P1461" s="74"/>
      <c r="Q1461" s="74"/>
      <c r="R1461" s="87"/>
      <c r="S1461" s="87"/>
      <c r="T1461" s="87"/>
      <c r="U1461" s="87"/>
      <c r="V1461" s="48"/>
      <c r="W1461" s="48"/>
      <c r="X1461" s="48"/>
      <c r="Y1461" s="48"/>
      <c r="Z1461" s="47"/>
      <c r="AA1461" s="69">
        <v>1461</v>
      </c>
      <c r="AB1461" s="69"/>
      <c r="AC1461" s="70"/>
      <c r="AD1461" s="76" t="s">
        <v>22675</v>
      </c>
      <c r="AE1461" s="81" t="s">
        <v>23833</v>
      </c>
      <c r="AF1461" s="76">
        <v>508</v>
      </c>
      <c r="AG1461" s="76">
        <v>871</v>
      </c>
      <c r="AH1461" s="76">
        <v>4998</v>
      </c>
      <c r="AI1461" s="76">
        <v>3</v>
      </c>
      <c r="AJ1461" s="76">
        <v>3656</v>
      </c>
      <c r="AK1461" s="76">
        <v>1853</v>
      </c>
      <c r="AL1461" s="76" t="b">
        <v>0</v>
      </c>
      <c r="AM1461" s="78">
        <v>43783.783634259256</v>
      </c>
      <c r="AN1461" s="76" t="s">
        <v>24585</v>
      </c>
      <c r="AO1461" s="76" t="s">
        <v>26007</v>
      </c>
      <c r="AP1461" s="76"/>
      <c r="AQ1461" s="76"/>
      <c r="AR1461" s="76"/>
      <c r="AS1461" s="76"/>
      <c r="AT1461" s="76"/>
      <c r="AU1461" s="76"/>
      <c r="AV1461" s="76"/>
      <c r="AW1461" s="76"/>
      <c r="AX1461" s="76" t="b">
        <v>0</v>
      </c>
      <c r="AY1461" s="76"/>
      <c r="AZ1461" s="76"/>
      <c r="BA1461" s="76" t="b">
        <v>0</v>
      </c>
      <c r="BB1461" s="76" t="b">
        <v>0</v>
      </c>
      <c r="BC1461" s="76" t="b">
        <v>1</v>
      </c>
      <c r="BD1461" s="76" t="b">
        <v>0</v>
      </c>
      <c r="BE1461" s="76" t="b">
        <v>1</v>
      </c>
      <c r="BF1461" s="76" t="b">
        <v>0</v>
      </c>
      <c r="BG1461" s="76" t="b">
        <v>0</v>
      </c>
      <c r="BH1461" s="82" t="str">
        <f>HYPERLINK("https://pbs.twimg.com/profile_banners/1195050759995432960/1673016725")</f>
        <v>https://pbs.twimg.com/profile_banners/1195050759995432960/1673016725</v>
      </c>
      <c r="BI1461" s="76"/>
      <c r="BJ1461" s="76" t="s">
        <v>27595</v>
      </c>
      <c r="BK1461" s="76" t="b">
        <v>0</v>
      </c>
      <c r="BL1461" s="76"/>
      <c r="BM1461" s="76" t="s">
        <v>65</v>
      </c>
      <c r="BN1461" s="76" t="s">
        <v>27597</v>
      </c>
      <c r="BO1461" s="82" t="str">
        <f>HYPERLINK("https://twitter.com/bcamaguey")</f>
        <v>https://twitter.com/bcamaguey</v>
      </c>
      <c r="BP1461" s="2"/>
    </row>
    <row r="1462" spans="1:68" x14ac:dyDescent="0.25">
      <c r="A1462" s="62" t="s">
        <v>1327</v>
      </c>
      <c r="B1462" s="63"/>
      <c r="C1462" s="63"/>
      <c r="D1462" s="64"/>
      <c r="E1462" s="66"/>
      <c r="F1462" s="103" t="str">
        <f>HYPERLINK("https://pbs.twimg.com/profile_images/916016587177697280/0Ss1jLMd_normal.jpg")</f>
        <v>https://pbs.twimg.com/profile_images/916016587177697280/0Ss1jLMd_normal.jpg</v>
      </c>
      <c r="G1462" s="63"/>
      <c r="H1462" s="67"/>
      <c r="I1462" s="68"/>
      <c r="J1462" s="68"/>
      <c r="K1462" s="67" t="s">
        <v>29056</v>
      </c>
      <c r="L1462" s="71"/>
      <c r="M1462" s="72"/>
      <c r="N1462" s="72"/>
      <c r="O1462" s="73"/>
      <c r="P1462" s="74"/>
      <c r="Q1462" s="74"/>
      <c r="R1462" s="87"/>
      <c r="S1462" s="87"/>
      <c r="T1462" s="87"/>
      <c r="U1462" s="87"/>
      <c r="V1462" s="48"/>
      <c r="W1462" s="48"/>
      <c r="X1462" s="48"/>
      <c r="Y1462" s="48"/>
      <c r="Z1462" s="47"/>
      <c r="AA1462" s="69">
        <v>1462</v>
      </c>
      <c r="AB1462" s="69"/>
      <c r="AC1462" s="70"/>
      <c r="AD1462" s="76" t="s">
        <v>22676</v>
      </c>
      <c r="AE1462" s="81" t="s">
        <v>21038</v>
      </c>
      <c r="AF1462" s="76">
        <v>2071</v>
      </c>
      <c r="AG1462" s="76">
        <v>100</v>
      </c>
      <c r="AH1462" s="76">
        <v>3231</v>
      </c>
      <c r="AI1462" s="76">
        <v>9</v>
      </c>
      <c r="AJ1462" s="76">
        <v>229</v>
      </c>
      <c r="AK1462" s="76">
        <v>2719</v>
      </c>
      <c r="AL1462" s="76" t="b">
        <v>0</v>
      </c>
      <c r="AM1462" s="78">
        <v>43013.772581018522</v>
      </c>
      <c r="AN1462" s="76" t="s">
        <v>24063</v>
      </c>
      <c r="AO1462" s="76" t="s">
        <v>26008</v>
      </c>
      <c r="AP1462" s="82" t="str">
        <f>HYPERLINK("https://t.co/XRRRielKUy")</f>
        <v>https://t.co/XRRRielKUy</v>
      </c>
      <c r="AQ1462" s="82" t="str">
        <f>HYPERLINK("http://canal27.com.do/")</f>
        <v>http://canal27.com.do/</v>
      </c>
      <c r="AR1462" s="76" t="s">
        <v>27155</v>
      </c>
      <c r="AS1462" s="76"/>
      <c r="AT1462" s="76"/>
      <c r="AU1462" s="76"/>
      <c r="AV1462" s="76"/>
      <c r="AW1462" s="82" t="str">
        <f>HYPERLINK("https://t.co/XRRRielKUy")</f>
        <v>https://t.co/XRRRielKUy</v>
      </c>
      <c r="AX1462" s="76" t="b">
        <v>0</v>
      </c>
      <c r="AY1462" s="76"/>
      <c r="AZ1462" s="76"/>
      <c r="BA1462" s="76" t="b">
        <v>0</v>
      </c>
      <c r="BB1462" s="76" t="b">
        <v>1</v>
      </c>
      <c r="BC1462" s="76" t="b">
        <v>0</v>
      </c>
      <c r="BD1462" s="76" t="b">
        <v>0</v>
      </c>
      <c r="BE1462" s="76" t="b">
        <v>1</v>
      </c>
      <c r="BF1462" s="76" t="b">
        <v>0</v>
      </c>
      <c r="BG1462" s="76" t="b">
        <v>0</v>
      </c>
      <c r="BH1462" s="82" t="str">
        <f>HYPERLINK("https://pbs.twimg.com/profile_banners/916008215476830208/1507229599")</f>
        <v>https://pbs.twimg.com/profile_banners/916008215476830208/1507229599</v>
      </c>
      <c r="BI1462" s="76"/>
      <c r="BJ1462" s="76" t="s">
        <v>27595</v>
      </c>
      <c r="BK1462" s="76" t="b">
        <v>0</v>
      </c>
      <c r="BL1462" s="76"/>
      <c r="BM1462" s="76" t="s">
        <v>66</v>
      </c>
      <c r="BN1462" s="76" t="s">
        <v>27597</v>
      </c>
      <c r="BO1462" s="82" t="str">
        <f>HYPERLINK("https://twitter.com/rnncanal27")</f>
        <v>https://twitter.com/rnncanal27</v>
      </c>
      <c r="BP1462" s="2"/>
    </row>
    <row r="1463" spans="1:68" x14ac:dyDescent="0.25">
      <c r="A1463" s="62" t="s">
        <v>1328</v>
      </c>
      <c r="B1463" s="63"/>
      <c r="C1463" s="63"/>
      <c r="D1463" s="64"/>
      <c r="E1463" s="66"/>
      <c r="F1463" s="103" t="str">
        <f>HYPERLINK("https://pbs.twimg.com/profile_images/1533057388118523906/7-VT91ZO_normal.jpg")</f>
        <v>https://pbs.twimg.com/profile_images/1533057388118523906/7-VT91ZO_normal.jpg</v>
      </c>
      <c r="G1463" s="63"/>
      <c r="H1463" s="67"/>
      <c r="I1463" s="68"/>
      <c r="J1463" s="68"/>
      <c r="K1463" s="67" t="s">
        <v>29057</v>
      </c>
      <c r="L1463" s="71"/>
      <c r="M1463" s="72"/>
      <c r="N1463" s="72"/>
      <c r="O1463" s="73"/>
      <c r="P1463" s="74"/>
      <c r="Q1463" s="74"/>
      <c r="R1463" s="87"/>
      <c r="S1463" s="87"/>
      <c r="T1463" s="87"/>
      <c r="U1463" s="87"/>
      <c r="V1463" s="48"/>
      <c r="W1463" s="48"/>
      <c r="X1463" s="48"/>
      <c r="Y1463" s="48"/>
      <c r="Z1463" s="47"/>
      <c r="AA1463" s="69">
        <v>1463</v>
      </c>
      <c r="AB1463" s="69"/>
      <c r="AC1463" s="70"/>
      <c r="AD1463" s="76" t="s">
        <v>22677</v>
      </c>
      <c r="AE1463" s="81" t="s">
        <v>21039</v>
      </c>
      <c r="AF1463" s="76">
        <v>102</v>
      </c>
      <c r="AG1463" s="76">
        <v>461</v>
      </c>
      <c r="AH1463" s="76">
        <v>1573</v>
      </c>
      <c r="AI1463" s="76">
        <v>0</v>
      </c>
      <c r="AJ1463" s="76">
        <v>724</v>
      </c>
      <c r="AK1463" s="76">
        <v>101</v>
      </c>
      <c r="AL1463" s="76" t="b">
        <v>0</v>
      </c>
      <c r="AM1463" s="78">
        <v>44716.501932870371</v>
      </c>
      <c r="AN1463" s="76"/>
      <c r="AO1463" s="76" t="s">
        <v>26009</v>
      </c>
      <c r="AP1463" s="76"/>
      <c r="AQ1463" s="76"/>
      <c r="AR1463" s="76"/>
      <c r="AS1463" s="76"/>
      <c r="AT1463" s="76"/>
      <c r="AU1463" s="76"/>
      <c r="AV1463" s="76"/>
      <c r="AW1463" s="76"/>
      <c r="AX1463" s="76" t="b">
        <v>0</v>
      </c>
      <c r="AY1463" s="76"/>
      <c r="AZ1463" s="76"/>
      <c r="BA1463" s="76" t="b">
        <v>0</v>
      </c>
      <c r="BB1463" s="76" t="b">
        <v>1</v>
      </c>
      <c r="BC1463" s="76" t="b">
        <v>1</v>
      </c>
      <c r="BD1463" s="76" t="b">
        <v>0</v>
      </c>
      <c r="BE1463" s="76" t="b">
        <v>0</v>
      </c>
      <c r="BF1463" s="76" t="b">
        <v>0</v>
      </c>
      <c r="BG1463" s="76" t="b">
        <v>0</v>
      </c>
      <c r="BH1463" s="76"/>
      <c r="BI1463" s="76"/>
      <c r="BJ1463" s="76" t="s">
        <v>27595</v>
      </c>
      <c r="BK1463" s="76" t="b">
        <v>0</v>
      </c>
      <c r="BL1463" s="76"/>
      <c r="BM1463" s="76" t="s">
        <v>66</v>
      </c>
      <c r="BN1463" s="76" t="s">
        <v>27597</v>
      </c>
      <c r="BO1463" s="82" t="str">
        <f>HYPERLINK("https://twitter.com/compartiendoid5")</f>
        <v>https://twitter.com/compartiendoid5</v>
      </c>
      <c r="BP1463" s="2"/>
    </row>
    <row r="1464" spans="1:68" x14ac:dyDescent="0.25">
      <c r="A1464" s="62" t="s">
        <v>1329</v>
      </c>
      <c r="B1464" s="63"/>
      <c r="C1464" s="63"/>
      <c r="D1464" s="64"/>
      <c r="E1464" s="66"/>
      <c r="F1464" s="103" t="str">
        <f>HYPERLINK("https://pbs.twimg.com/profile_images/1246753735705014272/-Mktp1tx_normal.jpg")</f>
        <v>https://pbs.twimg.com/profile_images/1246753735705014272/-Mktp1tx_normal.jpg</v>
      </c>
      <c r="G1464" s="63"/>
      <c r="H1464" s="67"/>
      <c r="I1464" s="68"/>
      <c r="J1464" s="68"/>
      <c r="K1464" s="67" t="s">
        <v>29058</v>
      </c>
      <c r="L1464" s="71"/>
      <c r="M1464" s="72"/>
      <c r="N1464" s="72"/>
      <c r="O1464" s="73"/>
      <c r="P1464" s="74"/>
      <c r="Q1464" s="74"/>
      <c r="R1464" s="87"/>
      <c r="S1464" s="87"/>
      <c r="T1464" s="87"/>
      <c r="U1464" s="87"/>
      <c r="V1464" s="48"/>
      <c r="W1464" s="48"/>
      <c r="X1464" s="48"/>
      <c r="Y1464" s="48"/>
      <c r="Z1464" s="47"/>
      <c r="AA1464" s="69">
        <v>1464</v>
      </c>
      <c r="AB1464" s="69"/>
      <c r="AC1464" s="70"/>
      <c r="AD1464" s="76" t="s">
        <v>22678</v>
      </c>
      <c r="AE1464" s="81" t="s">
        <v>23834</v>
      </c>
      <c r="AF1464" s="76">
        <v>3207</v>
      </c>
      <c r="AG1464" s="76">
        <v>4062</v>
      </c>
      <c r="AH1464" s="76">
        <v>47070</v>
      </c>
      <c r="AI1464" s="76">
        <v>145</v>
      </c>
      <c r="AJ1464" s="76">
        <v>25803</v>
      </c>
      <c r="AK1464" s="76">
        <v>2683</v>
      </c>
      <c r="AL1464" s="76" t="b">
        <v>0</v>
      </c>
      <c r="AM1464" s="78">
        <v>40038.849652777775</v>
      </c>
      <c r="AN1464" s="76" t="s">
        <v>24586</v>
      </c>
      <c r="AO1464" s="76" t="s">
        <v>26010</v>
      </c>
      <c r="AP1464" s="76"/>
      <c r="AQ1464" s="76"/>
      <c r="AR1464" s="76"/>
      <c r="AS1464" s="76"/>
      <c r="AT1464" s="76"/>
      <c r="AU1464" s="76"/>
      <c r="AV1464" s="76"/>
      <c r="AW1464" s="76"/>
      <c r="AX1464" s="76" t="b">
        <v>0</v>
      </c>
      <c r="AY1464" s="76"/>
      <c r="AZ1464" s="76"/>
      <c r="BA1464" s="76" t="b">
        <v>0</v>
      </c>
      <c r="BB1464" s="76" t="b">
        <v>1</v>
      </c>
      <c r="BC1464" s="76" t="b">
        <v>0</v>
      </c>
      <c r="BD1464" s="76" t="b">
        <v>0</v>
      </c>
      <c r="BE1464" s="76" t="b">
        <v>1</v>
      </c>
      <c r="BF1464" s="76" t="b">
        <v>0</v>
      </c>
      <c r="BG1464" s="76" t="b">
        <v>0</v>
      </c>
      <c r="BH1464" s="82" t="str">
        <f>HYPERLINK("https://pbs.twimg.com/profile_banners/65457986/1353296106")</f>
        <v>https://pbs.twimg.com/profile_banners/65457986/1353296106</v>
      </c>
      <c r="BI1464" s="76"/>
      <c r="BJ1464" s="76" t="s">
        <v>27595</v>
      </c>
      <c r="BK1464" s="76" t="b">
        <v>0</v>
      </c>
      <c r="BL1464" s="76"/>
      <c r="BM1464" s="76" t="s">
        <v>66</v>
      </c>
      <c r="BN1464" s="76" t="s">
        <v>27597</v>
      </c>
      <c r="BO1464" s="82" t="str">
        <f>HYPERLINK("https://twitter.com/angtoledo")</f>
        <v>https://twitter.com/angtoledo</v>
      </c>
      <c r="BP1464" s="2"/>
    </row>
    <row r="1465" spans="1:68" x14ac:dyDescent="0.25">
      <c r="A1465" s="62" t="s">
        <v>1330</v>
      </c>
      <c r="B1465" s="63"/>
      <c r="C1465" s="63"/>
      <c r="D1465" s="64"/>
      <c r="E1465" s="66"/>
      <c r="F1465" s="103" t="str">
        <f>HYPERLINK("https://pbs.twimg.com/profile_images/1235261258082988034/lrlKnbCC_normal.jpg")</f>
        <v>https://pbs.twimg.com/profile_images/1235261258082988034/lrlKnbCC_normal.jpg</v>
      </c>
      <c r="G1465" s="63"/>
      <c r="H1465" s="67"/>
      <c r="I1465" s="68"/>
      <c r="J1465" s="68"/>
      <c r="K1465" s="67" t="s">
        <v>29059</v>
      </c>
      <c r="L1465" s="71"/>
      <c r="M1465" s="72"/>
      <c r="N1465" s="72"/>
      <c r="O1465" s="73"/>
      <c r="P1465" s="74"/>
      <c r="Q1465" s="74"/>
      <c r="R1465" s="87"/>
      <c r="S1465" s="87"/>
      <c r="T1465" s="87"/>
      <c r="U1465" s="87"/>
      <c r="V1465" s="48"/>
      <c r="W1465" s="48"/>
      <c r="X1465" s="48"/>
      <c r="Y1465" s="48"/>
      <c r="Z1465" s="47"/>
      <c r="AA1465" s="69">
        <v>1465</v>
      </c>
      <c r="AB1465" s="69"/>
      <c r="AC1465" s="70"/>
      <c r="AD1465" s="76" t="s">
        <v>22679</v>
      </c>
      <c r="AE1465" s="81" t="s">
        <v>21040</v>
      </c>
      <c r="AF1465" s="76">
        <v>991</v>
      </c>
      <c r="AG1465" s="76">
        <v>33</v>
      </c>
      <c r="AH1465" s="76">
        <v>29256</v>
      </c>
      <c r="AI1465" s="76">
        <v>8</v>
      </c>
      <c r="AJ1465" s="76">
        <v>7</v>
      </c>
      <c r="AK1465" s="76">
        <v>22405</v>
      </c>
      <c r="AL1465" s="76" t="b">
        <v>0</v>
      </c>
      <c r="AM1465" s="78">
        <v>43643.628206018519</v>
      </c>
      <c r="AN1465" s="76" t="s">
        <v>14385</v>
      </c>
      <c r="AO1465" s="76" t="s">
        <v>26011</v>
      </c>
      <c r="AP1465" s="76"/>
      <c r="AQ1465" s="76"/>
      <c r="AR1465" s="76"/>
      <c r="AS1465" s="76"/>
      <c r="AT1465" s="76"/>
      <c r="AU1465" s="76"/>
      <c r="AV1465" s="76">
        <v>1.4726293820616901E+18</v>
      </c>
      <c r="AW1465" s="76"/>
      <c r="AX1465" s="76" t="b">
        <v>0</v>
      </c>
      <c r="AY1465" s="76"/>
      <c r="AZ1465" s="76"/>
      <c r="BA1465" s="76" t="b">
        <v>0</v>
      </c>
      <c r="BB1465" s="76" t="b">
        <v>1</v>
      </c>
      <c r="BC1465" s="76" t="b">
        <v>1</v>
      </c>
      <c r="BD1465" s="76" t="b">
        <v>0</v>
      </c>
      <c r="BE1465" s="76" t="b">
        <v>0</v>
      </c>
      <c r="BF1465" s="76" t="b">
        <v>0</v>
      </c>
      <c r="BG1465" s="76" t="b">
        <v>0</v>
      </c>
      <c r="BH1465" s="82" t="str">
        <f>HYPERLINK("https://pbs.twimg.com/profile_banners/1144260249282666497/1583344212")</f>
        <v>https://pbs.twimg.com/profile_banners/1144260249282666497/1583344212</v>
      </c>
      <c r="BI1465" s="76"/>
      <c r="BJ1465" s="76" t="s">
        <v>27595</v>
      </c>
      <c r="BK1465" s="76" t="b">
        <v>0</v>
      </c>
      <c r="BL1465" s="76"/>
      <c r="BM1465" s="76" t="s">
        <v>66</v>
      </c>
      <c r="BN1465" s="76" t="s">
        <v>27597</v>
      </c>
      <c r="BO1465" s="82" t="str">
        <f>HYPERLINK("https://twitter.com/news_digitales")</f>
        <v>https://twitter.com/news_digitales</v>
      </c>
      <c r="BP1465" s="2"/>
    </row>
    <row r="1466" spans="1:68" x14ac:dyDescent="0.25">
      <c r="A1466" s="62" t="s">
        <v>1331</v>
      </c>
      <c r="B1466" s="63"/>
      <c r="C1466" s="63"/>
      <c r="D1466" s="64"/>
      <c r="E1466" s="66"/>
      <c r="F1466" s="103" t="str">
        <f>HYPERLINK("https://pbs.twimg.com/profile_images/1530264734561452033/-M2eGOu3_normal.jpg")</f>
        <v>https://pbs.twimg.com/profile_images/1530264734561452033/-M2eGOu3_normal.jpg</v>
      </c>
      <c r="G1466" s="63"/>
      <c r="H1466" s="67"/>
      <c r="I1466" s="68"/>
      <c r="J1466" s="68"/>
      <c r="K1466" s="67" t="s">
        <v>29060</v>
      </c>
      <c r="L1466" s="71"/>
      <c r="M1466" s="72"/>
      <c r="N1466" s="72"/>
      <c r="O1466" s="73"/>
      <c r="P1466" s="74"/>
      <c r="Q1466" s="74"/>
      <c r="R1466" s="87"/>
      <c r="S1466" s="87"/>
      <c r="T1466" s="87"/>
      <c r="U1466" s="87"/>
      <c r="V1466" s="48"/>
      <c r="W1466" s="48"/>
      <c r="X1466" s="48"/>
      <c r="Y1466" s="48"/>
      <c r="Z1466" s="47"/>
      <c r="AA1466" s="69">
        <v>1466</v>
      </c>
      <c r="AB1466" s="69"/>
      <c r="AC1466" s="70"/>
      <c r="AD1466" s="76" t="s">
        <v>22680</v>
      </c>
      <c r="AE1466" s="81" t="s">
        <v>21041</v>
      </c>
      <c r="AF1466" s="76">
        <v>46</v>
      </c>
      <c r="AG1466" s="76">
        <v>236</v>
      </c>
      <c r="AH1466" s="76">
        <v>1386</v>
      </c>
      <c r="AI1466" s="76">
        <v>1</v>
      </c>
      <c r="AJ1466" s="76">
        <v>30809</v>
      </c>
      <c r="AK1466" s="76">
        <v>30</v>
      </c>
      <c r="AL1466" s="76" t="b">
        <v>0</v>
      </c>
      <c r="AM1466" s="78">
        <v>43147.086516203701</v>
      </c>
      <c r="AN1466" s="76"/>
      <c r="AO1466" s="76"/>
      <c r="AP1466" s="76"/>
      <c r="AQ1466" s="76"/>
      <c r="AR1466" s="76"/>
      <c r="AS1466" s="76"/>
      <c r="AT1466" s="76"/>
      <c r="AU1466" s="76"/>
      <c r="AV1466" s="76"/>
      <c r="AW1466" s="76"/>
      <c r="AX1466" s="76" t="b">
        <v>0</v>
      </c>
      <c r="AY1466" s="76"/>
      <c r="AZ1466" s="76"/>
      <c r="BA1466" s="76" t="b">
        <v>0</v>
      </c>
      <c r="BB1466" s="76" t="b">
        <v>0</v>
      </c>
      <c r="BC1466" s="76" t="b">
        <v>1</v>
      </c>
      <c r="BD1466" s="76" t="b">
        <v>0</v>
      </c>
      <c r="BE1466" s="76" t="b">
        <v>1</v>
      </c>
      <c r="BF1466" s="76" t="b">
        <v>0</v>
      </c>
      <c r="BG1466" s="76" t="b">
        <v>0</v>
      </c>
      <c r="BH1466" s="76"/>
      <c r="BI1466" s="76"/>
      <c r="BJ1466" s="76" t="s">
        <v>27595</v>
      </c>
      <c r="BK1466" s="76" t="b">
        <v>0</v>
      </c>
      <c r="BL1466" s="76"/>
      <c r="BM1466" s="76" t="s">
        <v>66</v>
      </c>
      <c r="BN1466" s="76" t="s">
        <v>27597</v>
      </c>
      <c r="BO1466" s="82" t="str">
        <f>HYPERLINK("https://twitter.com/iasminrqc")</f>
        <v>https://twitter.com/iasminrqc</v>
      </c>
      <c r="BP1466" s="2"/>
    </row>
    <row r="1467" spans="1:68" x14ac:dyDescent="0.25">
      <c r="A1467" s="62" t="s">
        <v>2012</v>
      </c>
      <c r="B1467" s="63"/>
      <c r="C1467" s="63"/>
      <c r="D1467" s="64"/>
      <c r="E1467" s="66"/>
      <c r="F1467" s="103" t="str">
        <f>HYPERLINK("https://pbs.twimg.com/profile_images/1628478610368524290/cbIe5VvW_normal.jpg")</f>
        <v>https://pbs.twimg.com/profile_images/1628478610368524290/cbIe5VvW_normal.jpg</v>
      </c>
      <c r="G1467" s="63"/>
      <c r="H1467" s="67"/>
      <c r="I1467" s="68"/>
      <c r="J1467" s="68"/>
      <c r="K1467" s="67" t="s">
        <v>29061</v>
      </c>
      <c r="L1467" s="71"/>
      <c r="M1467" s="72"/>
      <c r="N1467" s="72"/>
      <c r="O1467" s="73"/>
      <c r="P1467" s="74"/>
      <c r="Q1467" s="74"/>
      <c r="R1467" s="87"/>
      <c r="S1467" s="87"/>
      <c r="T1467" s="87"/>
      <c r="U1467" s="87"/>
      <c r="V1467" s="48"/>
      <c r="W1467" s="48"/>
      <c r="X1467" s="48"/>
      <c r="Y1467" s="48"/>
      <c r="Z1467" s="47"/>
      <c r="AA1467" s="69">
        <v>1467</v>
      </c>
      <c r="AB1467" s="69"/>
      <c r="AC1467" s="70"/>
      <c r="AD1467" s="76" t="s">
        <v>22681</v>
      </c>
      <c r="AE1467" s="81" t="s">
        <v>23835</v>
      </c>
      <c r="AF1467" s="76">
        <v>60</v>
      </c>
      <c r="AG1467" s="76">
        <v>146</v>
      </c>
      <c r="AH1467" s="76">
        <v>1575</v>
      </c>
      <c r="AI1467" s="76">
        <v>0</v>
      </c>
      <c r="AJ1467" s="76">
        <v>8545</v>
      </c>
      <c r="AK1467" s="76">
        <v>46</v>
      </c>
      <c r="AL1467" s="76" t="b">
        <v>0</v>
      </c>
      <c r="AM1467" s="78">
        <v>44270.588946759257</v>
      </c>
      <c r="AN1467" s="76"/>
      <c r="AO1467" s="76" t="s">
        <v>26012</v>
      </c>
      <c r="AP1467" s="76"/>
      <c r="AQ1467" s="76"/>
      <c r="AR1467" s="76"/>
      <c r="AS1467" s="76"/>
      <c r="AT1467" s="76"/>
      <c r="AU1467" s="76"/>
      <c r="AV1467" s="76"/>
      <c r="AW1467" s="76"/>
      <c r="AX1467" s="76" t="b">
        <v>0</v>
      </c>
      <c r="AY1467" s="76"/>
      <c r="AZ1467" s="76"/>
      <c r="BA1467" s="76" t="b">
        <v>0</v>
      </c>
      <c r="BB1467" s="76" t="b">
        <v>0</v>
      </c>
      <c r="BC1467" s="76" t="b">
        <v>1</v>
      </c>
      <c r="BD1467" s="76" t="b">
        <v>0</v>
      </c>
      <c r="BE1467" s="76" t="b">
        <v>1</v>
      </c>
      <c r="BF1467" s="76" t="b">
        <v>0</v>
      </c>
      <c r="BG1467" s="76" t="b">
        <v>0</v>
      </c>
      <c r="BH1467" s="76"/>
      <c r="BI1467" s="76"/>
      <c r="BJ1467" s="76" t="s">
        <v>27595</v>
      </c>
      <c r="BK1467" s="76" t="b">
        <v>0</v>
      </c>
      <c r="BL1467" s="76"/>
      <c r="BM1467" s="76" t="s">
        <v>65</v>
      </c>
      <c r="BN1467" s="76" t="s">
        <v>27597</v>
      </c>
      <c r="BO1467" s="82" t="str">
        <f>HYPERLINK("https://twitter.com/nicolaudo_")</f>
        <v>https://twitter.com/nicolaudo_</v>
      </c>
      <c r="BP1467" s="2"/>
    </row>
    <row r="1468" spans="1:68" x14ac:dyDescent="0.25">
      <c r="A1468" s="62" t="s">
        <v>2013</v>
      </c>
      <c r="B1468" s="63"/>
      <c r="C1468" s="63"/>
      <c r="D1468" s="64"/>
      <c r="E1468" s="66"/>
      <c r="F1468" s="103" t="str">
        <f>HYPERLINK("https://pbs.twimg.com/profile_images/1676045634355228675/Vc9T1kRR_normal.jpg")</f>
        <v>https://pbs.twimg.com/profile_images/1676045634355228675/Vc9T1kRR_normal.jpg</v>
      </c>
      <c r="G1468" s="63"/>
      <c r="H1468" s="67"/>
      <c r="I1468" s="68"/>
      <c r="J1468" s="68"/>
      <c r="K1468" s="67" t="s">
        <v>29062</v>
      </c>
      <c r="L1468" s="71"/>
      <c r="M1468" s="72"/>
      <c r="N1468" s="72"/>
      <c r="O1468" s="73"/>
      <c r="P1468" s="74"/>
      <c r="Q1468" s="74"/>
      <c r="R1468" s="87"/>
      <c r="S1468" s="87"/>
      <c r="T1468" s="87"/>
      <c r="U1468" s="87"/>
      <c r="V1468" s="48"/>
      <c r="W1468" s="48"/>
      <c r="X1468" s="48"/>
      <c r="Y1468" s="48"/>
      <c r="Z1468" s="47"/>
      <c r="AA1468" s="69">
        <v>1468</v>
      </c>
      <c r="AB1468" s="69"/>
      <c r="AC1468" s="70"/>
      <c r="AD1468" s="76" t="s">
        <v>22682</v>
      </c>
      <c r="AE1468" s="81" t="s">
        <v>23836</v>
      </c>
      <c r="AF1468" s="76">
        <v>242</v>
      </c>
      <c r="AG1468" s="76">
        <v>172</v>
      </c>
      <c r="AH1468" s="76">
        <v>3888</v>
      </c>
      <c r="AI1468" s="76">
        <v>1</v>
      </c>
      <c r="AJ1468" s="76">
        <v>13708</v>
      </c>
      <c r="AK1468" s="76">
        <v>117</v>
      </c>
      <c r="AL1468" s="76" t="b">
        <v>0</v>
      </c>
      <c r="AM1468" s="78">
        <v>44117.038761574076</v>
      </c>
      <c r="AN1468" s="76" t="s">
        <v>24138</v>
      </c>
      <c r="AO1468" s="76" t="s">
        <v>26013</v>
      </c>
      <c r="AP1468" s="76"/>
      <c r="AQ1468" s="76"/>
      <c r="AR1468" s="76"/>
      <c r="AS1468" s="76"/>
      <c r="AT1468" s="76"/>
      <c r="AU1468" s="76"/>
      <c r="AV1468" s="76">
        <v>1.6857796127882299E+18</v>
      </c>
      <c r="AW1468" s="76"/>
      <c r="AX1468" s="76" t="b">
        <v>0</v>
      </c>
      <c r="AY1468" s="76"/>
      <c r="AZ1468" s="76"/>
      <c r="BA1468" s="76" t="b">
        <v>0</v>
      </c>
      <c r="BB1468" s="76" t="b">
        <v>0</v>
      </c>
      <c r="BC1468" s="76" t="b">
        <v>1</v>
      </c>
      <c r="BD1468" s="76" t="b">
        <v>0</v>
      </c>
      <c r="BE1468" s="76" t="b">
        <v>0</v>
      </c>
      <c r="BF1468" s="76" t="b">
        <v>0</v>
      </c>
      <c r="BG1468" s="76" t="b">
        <v>0</v>
      </c>
      <c r="BH1468" s="82" t="str">
        <f>HYPERLINK("https://pbs.twimg.com/profile_banners/1315818335507025920/1688435407")</f>
        <v>https://pbs.twimg.com/profile_banners/1315818335507025920/1688435407</v>
      </c>
      <c r="BI1468" s="76"/>
      <c r="BJ1468" s="76" t="s">
        <v>27595</v>
      </c>
      <c r="BK1468" s="76" t="b">
        <v>0</v>
      </c>
      <c r="BL1468" s="76"/>
      <c r="BM1468" s="76" t="s">
        <v>65</v>
      </c>
      <c r="BN1468" s="76" t="s">
        <v>27597</v>
      </c>
      <c r="BO1468" s="82" t="str">
        <f>HYPERLINK("https://twitter.com/rodrigueswol")</f>
        <v>https://twitter.com/rodrigueswol</v>
      </c>
      <c r="BP1468" s="2"/>
    </row>
    <row r="1469" spans="1:68" x14ac:dyDescent="0.25">
      <c r="A1469" s="62" t="s">
        <v>2014</v>
      </c>
      <c r="B1469" s="63"/>
      <c r="C1469" s="63"/>
      <c r="D1469" s="64"/>
      <c r="E1469" s="66"/>
      <c r="F1469" s="103" t="str">
        <f>HYPERLINK("https://pbs.twimg.com/profile_images/1650558716431802368/rCfw-gW__normal.jpg")</f>
        <v>https://pbs.twimg.com/profile_images/1650558716431802368/rCfw-gW__normal.jpg</v>
      </c>
      <c r="G1469" s="63"/>
      <c r="H1469" s="67"/>
      <c r="I1469" s="68"/>
      <c r="J1469" s="68"/>
      <c r="K1469" s="67" t="s">
        <v>29063</v>
      </c>
      <c r="L1469" s="71"/>
      <c r="M1469" s="72"/>
      <c r="N1469" s="72"/>
      <c r="O1469" s="73"/>
      <c r="P1469" s="74"/>
      <c r="Q1469" s="74"/>
      <c r="R1469" s="87"/>
      <c r="S1469" s="87"/>
      <c r="T1469" s="87"/>
      <c r="U1469" s="87"/>
      <c r="V1469" s="48"/>
      <c r="W1469" s="48"/>
      <c r="X1469" s="48"/>
      <c r="Y1469" s="48"/>
      <c r="Z1469" s="47"/>
      <c r="AA1469" s="69">
        <v>1469</v>
      </c>
      <c r="AB1469" s="69"/>
      <c r="AC1469" s="70"/>
      <c r="AD1469" s="76" t="s">
        <v>22683</v>
      </c>
      <c r="AE1469" s="81" t="s">
        <v>20341</v>
      </c>
      <c r="AF1469" s="76">
        <v>728</v>
      </c>
      <c r="AG1469" s="76">
        <v>461</v>
      </c>
      <c r="AH1469" s="76">
        <v>5628</v>
      </c>
      <c r="AI1469" s="76">
        <v>2</v>
      </c>
      <c r="AJ1469" s="76">
        <v>7829</v>
      </c>
      <c r="AK1469" s="76">
        <v>77</v>
      </c>
      <c r="AL1469" s="76" t="b">
        <v>0</v>
      </c>
      <c r="AM1469" s="78">
        <v>40085.06827546296</v>
      </c>
      <c r="AN1469" s="76" t="s">
        <v>24587</v>
      </c>
      <c r="AO1469" s="76" t="s">
        <v>26014</v>
      </c>
      <c r="AP1469" s="82" t="str">
        <f>HYPERLINK("https://t.co/YR68cUHHeN")</f>
        <v>https://t.co/YR68cUHHeN</v>
      </c>
      <c r="AQ1469" s="82" t="str">
        <f>HYPERLINK("http://instagram.com/alfaix")</f>
        <v>http://instagram.com/alfaix</v>
      </c>
      <c r="AR1469" s="76" t="s">
        <v>27156</v>
      </c>
      <c r="AS1469" s="76"/>
      <c r="AT1469" s="76"/>
      <c r="AU1469" s="76"/>
      <c r="AV1469" s="76"/>
      <c r="AW1469" s="82" t="str">
        <f>HYPERLINK("https://t.co/YR68cUHHeN")</f>
        <v>https://t.co/YR68cUHHeN</v>
      </c>
      <c r="AX1469" s="76" t="b">
        <v>0</v>
      </c>
      <c r="AY1469" s="76"/>
      <c r="AZ1469" s="76"/>
      <c r="BA1469" s="76" t="b">
        <v>0</v>
      </c>
      <c r="BB1469" s="76" t="b">
        <v>0</v>
      </c>
      <c r="BC1469" s="76" t="b">
        <v>0</v>
      </c>
      <c r="BD1469" s="76" t="b">
        <v>0</v>
      </c>
      <c r="BE1469" s="76" t="b">
        <v>0</v>
      </c>
      <c r="BF1469" s="76" t="b">
        <v>0</v>
      </c>
      <c r="BG1469" s="76" t="b">
        <v>0</v>
      </c>
      <c r="BH1469" s="82" t="str">
        <f>HYPERLINK("https://pbs.twimg.com/profile_banners/78182380/1670204392")</f>
        <v>https://pbs.twimg.com/profile_banners/78182380/1670204392</v>
      </c>
      <c r="BI1469" s="76"/>
      <c r="BJ1469" s="76" t="s">
        <v>27595</v>
      </c>
      <c r="BK1469" s="76" t="b">
        <v>0</v>
      </c>
      <c r="BL1469" s="76"/>
      <c r="BM1469" s="76" t="s">
        <v>65</v>
      </c>
      <c r="BN1469" s="76" t="s">
        <v>27597</v>
      </c>
      <c r="BO1469" s="82" t="str">
        <f>HYPERLINK("https://twitter.com/alfaix")</f>
        <v>https://twitter.com/alfaix</v>
      </c>
      <c r="BP1469" s="2"/>
    </row>
    <row r="1470" spans="1:68" x14ac:dyDescent="0.25">
      <c r="A1470" s="62" t="s">
        <v>1332</v>
      </c>
      <c r="B1470" s="63"/>
      <c r="C1470" s="63"/>
      <c r="D1470" s="64"/>
      <c r="E1470" s="66"/>
      <c r="F1470" s="103" t="str">
        <f>HYPERLINK("https://pbs.twimg.com/profile_images/1499927246982815747/CJp7StLN_normal.jpg")</f>
        <v>https://pbs.twimg.com/profile_images/1499927246982815747/CJp7StLN_normal.jpg</v>
      </c>
      <c r="G1470" s="63"/>
      <c r="H1470" s="67"/>
      <c r="I1470" s="68"/>
      <c r="J1470" s="68"/>
      <c r="K1470" s="67" t="s">
        <v>29064</v>
      </c>
      <c r="L1470" s="71"/>
      <c r="M1470" s="72"/>
      <c r="N1470" s="72"/>
      <c r="O1470" s="73"/>
      <c r="P1470" s="74"/>
      <c r="Q1470" s="74"/>
      <c r="R1470" s="87"/>
      <c r="S1470" s="87"/>
      <c r="T1470" s="87"/>
      <c r="U1470" s="87"/>
      <c r="V1470" s="48"/>
      <c r="W1470" s="48"/>
      <c r="X1470" s="48"/>
      <c r="Y1470" s="48"/>
      <c r="Z1470" s="47"/>
      <c r="AA1470" s="69">
        <v>1470</v>
      </c>
      <c r="AB1470" s="69"/>
      <c r="AC1470" s="70"/>
      <c r="AD1470" s="76" t="s">
        <v>22684</v>
      </c>
      <c r="AE1470" s="81" t="s">
        <v>23837</v>
      </c>
      <c r="AF1470" s="76">
        <v>577</v>
      </c>
      <c r="AG1470" s="76">
        <v>397</v>
      </c>
      <c r="AH1470" s="76">
        <v>35581</v>
      </c>
      <c r="AI1470" s="76">
        <v>12</v>
      </c>
      <c r="AJ1470" s="76">
        <v>1017</v>
      </c>
      <c r="AK1470" s="76">
        <v>28836</v>
      </c>
      <c r="AL1470" s="76" t="b">
        <v>0</v>
      </c>
      <c r="AM1470" s="78">
        <v>39916.765474537038</v>
      </c>
      <c r="AN1470" s="76" t="s">
        <v>24588</v>
      </c>
      <c r="AO1470" s="76"/>
      <c r="AP1470" s="82" t="str">
        <f>HYPERLINK("https://t.co/lkp5zLWFa1")</f>
        <v>https://t.co/lkp5zLWFa1</v>
      </c>
      <c r="AQ1470" s="82" t="str">
        <f>HYPERLINK("http://agenciasertao.com")</f>
        <v>http://agenciasertao.com</v>
      </c>
      <c r="AR1470" s="76" t="s">
        <v>26666</v>
      </c>
      <c r="AS1470" s="76"/>
      <c r="AT1470" s="76"/>
      <c r="AU1470" s="76"/>
      <c r="AV1470" s="76"/>
      <c r="AW1470" s="82" t="str">
        <f>HYPERLINK("https://t.co/lkp5zLWFa1")</f>
        <v>https://t.co/lkp5zLWFa1</v>
      </c>
      <c r="AX1470" s="76" t="b">
        <v>0</v>
      </c>
      <c r="AY1470" s="76"/>
      <c r="AZ1470" s="76"/>
      <c r="BA1470" s="76" t="b">
        <v>0</v>
      </c>
      <c r="BB1470" s="76" t="b">
        <v>1</v>
      </c>
      <c r="BC1470" s="76" t="b">
        <v>0</v>
      </c>
      <c r="BD1470" s="76" t="b">
        <v>0</v>
      </c>
      <c r="BE1470" s="76" t="b">
        <v>1</v>
      </c>
      <c r="BF1470" s="76" t="b">
        <v>0</v>
      </c>
      <c r="BG1470" s="76" t="b">
        <v>0</v>
      </c>
      <c r="BH1470" s="76"/>
      <c r="BI1470" s="76"/>
      <c r="BJ1470" s="76" t="s">
        <v>27595</v>
      </c>
      <c r="BK1470" s="76" t="b">
        <v>0</v>
      </c>
      <c r="BL1470" s="76"/>
      <c r="BM1470" s="76" t="s">
        <v>66</v>
      </c>
      <c r="BN1470" s="76" t="s">
        <v>27597</v>
      </c>
      <c r="BO1470" s="82" t="str">
        <f>HYPERLINK("https://twitter.com/tiagomarques_")</f>
        <v>https://twitter.com/tiagomarques_</v>
      </c>
      <c r="BP1470" s="2"/>
    </row>
    <row r="1471" spans="1:68" x14ac:dyDescent="0.25">
      <c r="A1471" s="62" t="s">
        <v>1333</v>
      </c>
      <c r="B1471" s="63"/>
      <c r="C1471" s="63"/>
      <c r="D1471" s="64"/>
      <c r="E1471" s="66"/>
      <c r="F1471" s="103" t="str">
        <f>HYPERLINK("https://pbs.twimg.com/profile_images/815652388765892609/vKI13qnE_normal.jpg")</f>
        <v>https://pbs.twimg.com/profile_images/815652388765892609/vKI13qnE_normal.jpg</v>
      </c>
      <c r="G1471" s="63"/>
      <c r="H1471" s="67"/>
      <c r="I1471" s="68"/>
      <c r="J1471" s="68"/>
      <c r="K1471" s="67" t="s">
        <v>29065</v>
      </c>
      <c r="L1471" s="71"/>
      <c r="M1471" s="72"/>
      <c r="N1471" s="72"/>
      <c r="O1471" s="73"/>
      <c r="P1471" s="74"/>
      <c r="Q1471" s="74"/>
      <c r="R1471" s="87"/>
      <c r="S1471" s="87"/>
      <c r="T1471" s="87"/>
      <c r="U1471" s="87"/>
      <c r="V1471" s="48"/>
      <c r="W1471" s="48"/>
      <c r="X1471" s="48"/>
      <c r="Y1471" s="48"/>
      <c r="Z1471" s="47"/>
      <c r="AA1471" s="69">
        <v>1471</v>
      </c>
      <c r="AB1471" s="69"/>
      <c r="AC1471" s="70"/>
      <c r="AD1471" s="76" t="s">
        <v>22685</v>
      </c>
      <c r="AE1471" s="81" t="s">
        <v>23838</v>
      </c>
      <c r="AF1471" s="76">
        <v>478</v>
      </c>
      <c r="AG1471" s="76">
        <v>1134</v>
      </c>
      <c r="AH1471" s="76">
        <v>6044</v>
      </c>
      <c r="AI1471" s="76">
        <v>2</v>
      </c>
      <c r="AJ1471" s="76">
        <v>33</v>
      </c>
      <c r="AK1471" s="76">
        <v>4278</v>
      </c>
      <c r="AL1471" s="76" t="b">
        <v>0</v>
      </c>
      <c r="AM1471" s="78">
        <v>42205.577199074076</v>
      </c>
      <c r="AN1471" s="76" t="s">
        <v>14385</v>
      </c>
      <c r="AO1471" s="76"/>
      <c r="AP1471" s="82" t="str">
        <f>HYPERLINK("https://t.co/lwpRCUtQme")</f>
        <v>https://t.co/lwpRCUtQme</v>
      </c>
      <c r="AQ1471" s="82" t="str">
        <f>HYPERLINK("http://diariopampero.com")</f>
        <v>http://diariopampero.com</v>
      </c>
      <c r="AR1471" s="76" t="s">
        <v>8831</v>
      </c>
      <c r="AS1471" s="76"/>
      <c r="AT1471" s="76"/>
      <c r="AU1471" s="76"/>
      <c r="AV1471" s="76"/>
      <c r="AW1471" s="82" t="str">
        <f>HYPERLINK("https://t.co/lwpRCUtQme")</f>
        <v>https://t.co/lwpRCUtQme</v>
      </c>
      <c r="AX1471" s="76" t="b">
        <v>0</v>
      </c>
      <c r="AY1471" s="76"/>
      <c r="AZ1471" s="76"/>
      <c r="BA1471" s="76" t="b">
        <v>1</v>
      </c>
      <c r="BB1471" s="76" t="b">
        <v>1</v>
      </c>
      <c r="BC1471" s="76" t="b">
        <v>1</v>
      </c>
      <c r="BD1471" s="76" t="b">
        <v>0</v>
      </c>
      <c r="BE1471" s="76" t="b">
        <v>1</v>
      </c>
      <c r="BF1471" s="76" t="b">
        <v>0</v>
      </c>
      <c r="BG1471" s="76" t="b">
        <v>0</v>
      </c>
      <c r="BH1471" s="82" t="str">
        <f>HYPERLINK("https://pbs.twimg.com/profile_banners/3384597142/1572711386")</f>
        <v>https://pbs.twimg.com/profile_banners/3384597142/1572711386</v>
      </c>
      <c r="BI1471" s="76"/>
      <c r="BJ1471" s="76" t="s">
        <v>27595</v>
      </c>
      <c r="BK1471" s="76" t="b">
        <v>0</v>
      </c>
      <c r="BL1471" s="76"/>
      <c r="BM1471" s="76" t="s">
        <v>66</v>
      </c>
      <c r="BN1471" s="76" t="s">
        <v>27597</v>
      </c>
      <c r="BO1471" s="82" t="str">
        <f>HYPERLINK("https://twitter.com/elpampero")</f>
        <v>https://twitter.com/elpampero</v>
      </c>
      <c r="BP1471" s="2"/>
    </row>
    <row r="1472" spans="1:68" x14ac:dyDescent="0.25">
      <c r="A1472" s="62" t="s">
        <v>1334</v>
      </c>
      <c r="B1472" s="63"/>
      <c r="C1472" s="63"/>
      <c r="D1472" s="64"/>
      <c r="E1472" s="66"/>
      <c r="F1472" s="103" t="str">
        <f>HYPERLINK("https://pbs.twimg.com/profile_images/1674819434085588992/vuLO4_BO_normal.jpg")</f>
        <v>https://pbs.twimg.com/profile_images/1674819434085588992/vuLO4_BO_normal.jpg</v>
      </c>
      <c r="G1472" s="63"/>
      <c r="H1472" s="67"/>
      <c r="I1472" s="68"/>
      <c r="J1472" s="68"/>
      <c r="K1472" s="67" t="s">
        <v>29066</v>
      </c>
      <c r="L1472" s="71"/>
      <c r="M1472" s="72"/>
      <c r="N1472" s="72"/>
      <c r="O1472" s="73"/>
      <c r="P1472" s="74"/>
      <c r="Q1472" s="74"/>
      <c r="R1472" s="87"/>
      <c r="S1472" s="87"/>
      <c r="T1472" s="87"/>
      <c r="U1472" s="87"/>
      <c r="V1472" s="48"/>
      <c r="W1472" s="48"/>
      <c r="X1472" s="48"/>
      <c r="Y1472" s="48"/>
      <c r="Z1472" s="47"/>
      <c r="AA1472" s="69">
        <v>1472</v>
      </c>
      <c r="AB1472" s="69"/>
      <c r="AC1472" s="70"/>
      <c r="AD1472" s="76" t="s">
        <v>22686</v>
      </c>
      <c r="AE1472" s="81" t="s">
        <v>21042</v>
      </c>
      <c r="AF1472" s="76">
        <v>16</v>
      </c>
      <c r="AG1472" s="76">
        <v>134</v>
      </c>
      <c r="AH1472" s="76">
        <v>120</v>
      </c>
      <c r="AI1472" s="76">
        <v>1</v>
      </c>
      <c r="AJ1472" s="76">
        <v>127</v>
      </c>
      <c r="AK1472" s="76">
        <v>20</v>
      </c>
      <c r="AL1472" s="76" t="b">
        <v>0</v>
      </c>
      <c r="AM1472" s="78">
        <v>42754.931817129633</v>
      </c>
      <c r="AN1472" s="76" t="s">
        <v>24073</v>
      </c>
      <c r="AO1472" s="76" t="s">
        <v>26015</v>
      </c>
      <c r="AP1472" s="76"/>
      <c r="AQ1472" s="76"/>
      <c r="AR1472" s="76"/>
      <c r="AS1472" s="76"/>
      <c r="AT1472" s="76"/>
      <c r="AU1472" s="76"/>
      <c r="AV1472" s="76"/>
      <c r="AW1472" s="76"/>
      <c r="AX1472" s="76" t="b">
        <v>0</v>
      </c>
      <c r="AY1472" s="76"/>
      <c r="AZ1472" s="76"/>
      <c r="BA1472" s="76" t="b">
        <v>1</v>
      </c>
      <c r="BB1472" s="76" t="b">
        <v>0</v>
      </c>
      <c r="BC1472" s="76" t="b">
        <v>1</v>
      </c>
      <c r="BD1472" s="76" t="b">
        <v>0</v>
      </c>
      <c r="BE1472" s="76" t="b">
        <v>1</v>
      </c>
      <c r="BF1472" s="76" t="b">
        <v>0</v>
      </c>
      <c r="BG1472" s="76" t="b">
        <v>0</v>
      </c>
      <c r="BH1472" s="82" t="str">
        <f>HYPERLINK("https://pbs.twimg.com/profile_banners/822207461293756416/1566869680")</f>
        <v>https://pbs.twimg.com/profile_banners/822207461293756416/1566869680</v>
      </c>
      <c r="BI1472" s="76"/>
      <c r="BJ1472" s="76" t="s">
        <v>27595</v>
      </c>
      <c r="BK1472" s="76" t="b">
        <v>0</v>
      </c>
      <c r="BL1472" s="76"/>
      <c r="BM1472" s="76" t="s">
        <v>66</v>
      </c>
      <c r="BN1472" s="76" t="s">
        <v>27597</v>
      </c>
      <c r="BO1472" s="82" t="str">
        <f>HYPERLINK("https://twitter.com/u_ricardom")</f>
        <v>https://twitter.com/u_ricardom</v>
      </c>
      <c r="BP1472" s="2"/>
    </row>
    <row r="1473" spans="1:68" x14ac:dyDescent="0.25">
      <c r="A1473" s="62" t="s">
        <v>1335</v>
      </c>
      <c r="B1473" s="63"/>
      <c r="C1473" s="63"/>
      <c r="D1473" s="64"/>
      <c r="E1473" s="66"/>
      <c r="F1473" s="103" t="str">
        <f>HYPERLINK("https://pbs.twimg.com/profile_images/1262872707/Buena_foto_reducida_1_normal.JPG")</f>
        <v>https://pbs.twimg.com/profile_images/1262872707/Buena_foto_reducida_1_normal.JPG</v>
      </c>
      <c r="G1473" s="63"/>
      <c r="H1473" s="67"/>
      <c r="I1473" s="68"/>
      <c r="J1473" s="68"/>
      <c r="K1473" s="67" t="s">
        <v>29067</v>
      </c>
      <c r="L1473" s="71"/>
      <c r="M1473" s="72"/>
      <c r="N1473" s="72"/>
      <c r="O1473" s="73"/>
      <c r="P1473" s="74"/>
      <c r="Q1473" s="74"/>
      <c r="R1473" s="87"/>
      <c r="S1473" s="87"/>
      <c r="T1473" s="87"/>
      <c r="U1473" s="87"/>
      <c r="V1473" s="48"/>
      <c r="W1473" s="48"/>
      <c r="X1473" s="48"/>
      <c r="Y1473" s="48"/>
      <c r="Z1473" s="47"/>
      <c r="AA1473" s="69">
        <v>1473</v>
      </c>
      <c r="AB1473" s="69"/>
      <c r="AC1473" s="70"/>
      <c r="AD1473" s="76" t="s">
        <v>22687</v>
      </c>
      <c r="AE1473" s="81" t="s">
        <v>23839</v>
      </c>
      <c r="AF1473" s="76">
        <v>4831</v>
      </c>
      <c r="AG1473" s="76">
        <v>2877</v>
      </c>
      <c r="AH1473" s="76">
        <v>53959</v>
      </c>
      <c r="AI1473" s="76">
        <v>171</v>
      </c>
      <c r="AJ1473" s="76">
        <v>22012</v>
      </c>
      <c r="AK1473" s="76">
        <v>1089</v>
      </c>
      <c r="AL1473" s="76" t="b">
        <v>0</v>
      </c>
      <c r="AM1473" s="78">
        <v>40603.007581018515</v>
      </c>
      <c r="AN1473" s="76" t="s">
        <v>24408</v>
      </c>
      <c r="AO1473" s="76" t="s">
        <v>26016</v>
      </c>
      <c r="AP1473" s="82" t="str">
        <f>HYPERLINK("https://t.co/oQF4e0DBYn")</f>
        <v>https://t.co/oQF4e0DBYn</v>
      </c>
      <c r="AQ1473" s="82" t="str">
        <f>HYPERLINK("http://www.atalayar.com/")</f>
        <v>http://www.atalayar.com/</v>
      </c>
      <c r="AR1473" s="76" t="s">
        <v>8832</v>
      </c>
      <c r="AS1473" s="76"/>
      <c r="AT1473" s="76"/>
      <c r="AU1473" s="76"/>
      <c r="AV1473" s="76"/>
      <c r="AW1473" s="82" t="str">
        <f>HYPERLINK("https://t.co/oQF4e0DBYn")</f>
        <v>https://t.co/oQF4e0DBYn</v>
      </c>
      <c r="AX1473" s="76" t="b">
        <v>0</v>
      </c>
      <c r="AY1473" s="76"/>
      <c r="AZ1473" s="76"/>
      <c r="BA1473" s="76" t="b">
        <v>1</v>
      </c>
      <c r="BB1473" s="76" t="b">
        <v>1</v>
      </c>
      <c r="BC1473" s="76" t="b">
        <v>1</v>
      </c>
      <c r="BD1473" s="76" t="b">
        <v>0</v>
      </c>
      <c r="BE1473" s="76" t="b">
        <v>0</v>
      </c>
      <c r="BF1473" s="76" t="b">
        <v>0</v>
      </c>
      <c r="BG1473" s="76" t="b">
        <v>0</v>
      </c>
      <c r="BH1473" s="76"/>
      <c r="BI1473" s="76"/>
      <c r="BJ1473" s="76" t="s">
        <v>27595</v>
      </c>
      <c r="BK1473" s="76" t="b">
        <v>0</v>
      </c>
      <c r="BL1473" s="76"/>
      <c r="BM1473" s="76" t="s">
        <v>66</v>
      </c>
      <c r="BN1473" s="76" t="s">
        <v>27597</v>
      </c>
      <c r="BO1473" s="82" t="str">
        <f>HYPERLINK("https://twitter.com/javifarri")</f>
        <v>https://twitter.com/javifarri</v>
      </c>
      <c r="BP1473" s="2"/>
    </row>
    <row r="1474" spans="1:68" x14ac:dyDescent="0.25">
      <c r="A1474" s="62" t="s">
        <v>2015</v>
      </c>
      <c r="B1474" s="63"/>
      <c r="C1474" s="63"/>
      <c r="D1474" s="64"/>
      <c r="E1474" s="66"/>
      <c r="F1474" s="103" t="str">
        <f>HYPERLINK("https://pbs.twimg.com/profile_images/1103405595116400649/zrFv-iKH_normal.png")</f>
        <v>https://pbs.twimg.com/profile_images/1103405595116400649/zrFv-iKH_normal.png</v>
      </c>
      <c r="G1474" s="63"/>
      <c r="H1474" s="67"/>
      <c r="I1474" s="68"/>
      <c r="J1474" s="68"/>
      <c r="K1474" s="67" t="s">
        <v>29068</v>
      </c>
      <c r="L1474" s="71"/>
      <c r="M1474" s="72"/>
      <c r="N1474" s="72"/>
      <c r="O1474" s="73"/>
      <c r="P1474" s="74"/>
      <c r="Q1474" s="74"/>
      <c r="R1474" s="87"/>
      <c r="S1474" s="87"/>
      <c r="T1474" s="87"/>
      <c r="U1474" s="87"/>
      <c r="V1474" s="48"/>
      <c r="W1474" s="48"/>
      <c r="X1474" s="48"/>
      <c r="Y1474" s="48"/>
      <c r="Z1474" s="47"/>
      <c r="AA1474" s="69">
        <v>1474</v>
      </c>
      <c r="AB1474" s="69"/>
      <c r="AC1474" s="70"/>
      <c r="AD1474" s="76" t="s">
        <v>22688</v>
      </c>
      <c r="AE1474" s="81" t="s">
        <v>23840</v>
      </c>
      <c r="AF1474" s="76">
        <v>7454</v>
      </c>
      <c r="AG1474" s="76">
        <v>2385</v>
      </c>
      <c r="AH1474" s="76">
        <v>25590</v>
      </c>
      <c r="AI1474" s="76">
        <v>212</v>
      </c>
      <c r="AJ1474" s="76">
        <v>2591</v>
      </c>
      <c r="AK1474" s="76">
        <v>8484</v>
      </c>
      <c r="AL1474" s="76" t="b">
        <v>0</v>
      </c>
      <c r="AM1474" s="78">
        <v>41334.782650462963</v>
      </c>
      <c r="AN1474" s="76" t="s">
        <v>24408</v>
      </c>
      <c r="AO1474" s="76" t="s">
        <v>26017</v>
      </c>
      <c r="AP1474" s="82" t="str">
        <f>HYPERLINK("https://t.co/VhsqGHqqWY")</f>
        <v>https://t.co/VhsqGHqqWY</v>
      </c>
      <c r="AQ1474" s="82" t="str">
        <f>HYPERLINK("https://atalayar.com/")</f>
        <v>https://atalayar.com/</v>
      </c>
      <c r="AR1474" s="76" t="s">
        <v>8832</v>
      </c>
      <c r="AS1474" s="76"/>
      <c r="AT1474" s="76"/>
      <c r="AU1474" s="76"/>
      <c r="AV1474" s="76"/>
      <c r="AW1474" s="82" t="str">
        <f>HYPERLINK("https://t.co/VhsqGHqqWY")</f>
        <v>https://t.co/VhsqGHqqWY</v>
      </c>
      <c r="AX1474" s="76" t="b">
        <v>0</v>
      </c>
      <c r="AY1474" s="76"/>
      <c r="AZ1474" s="76"/>
      <c r="BA1474" s="76" t="b">
        <v>0</v>
      </c>
      <c r="BB1474" s="76" t="b">
        <v>1</v>
      </c>
      <c r="BC1474" s="76" t="b">
        <v>0</v>
      </c>
      <c r="BD1474" s="76" t="b">
        <v>0</v>
      </c>
      <c r="BE1474" s="76" t="b">
        <v>1</v>
      </c>
      <c r="BF1474" s="76" t="b">
        <v>0</v>
      </c>
      <c r="BG1474" s="76" t="b">
        <v>0</v>
      </c>
      <c r="BH1474" s="82" t="str">
        <f>HYPERLINK("https://pbs.twimg.com/profile_banners/1230895046/1638464665")</f>
        <v>https://pbs.twimg.com/profile_banners/1230895046/1638464665</v>
      </c>
      <c r="BI1474" s="76"/>
      <c r="BJ1474" s="76" t="s">
        <v>27595</v>
      </c>
      <c r="BK1474" s="76" t="b">
        <v>0</v>
      </c>
      <c r="BL1474" s="76"/>
      <c r="BM1474" s="76" t="s">
        <v>65</v>
      </c>
      <c r="BN1474" s="76" t="s">
        <v>27597</v>
      </c>
      <c r="BO1474" s="82" t="str">
        <f>HYPERLINK("https://twitter.com/atalayar_")</f>
        <v>https://twitter.com/atalayar_</v>
      </c>
      <c r="BP1474" s="2"/>
    </row>
    <row r="1475" spans="1:68" x14ac:dyDescent="0.25">
      <c r="A1475" s="62" t="s">
        <v>1336</v>
      </c>
      <c r="B1475" s="63"/>
      <c r="C1475" s="63"/>
      <c r="D1475" s="64"/>
      <c r="E1475" s="66"/>
      <c r="F1475" s="103" t="str">
        <f>HYPERLINK("https://pbs.twimg.com/profile_images/1690881224867201025/6Hy-LOq1_normal.jpg")</f>
        <v>https://pbs.twimg.com/profile_images/1690881224867201025/6Hy-LOq1_normal.jpg</v>
      </c>
      <c r="G1475" s="63"/>
      <c r="H1475" s="67"/>
      <c r="I1475" s="68"/>
      <c r="J1475" s="68"/>
      <c r="K1475" s="67" t="s">
        <v>29069</v>
      </c>
      <c r="L1475" s="71"/>
      <c r="M1475" s="72"/>
      <c r="N1475" s="72"/>
      <c r="O1475" s="73"/>
      <c r="P1475" s="74"/>
      <c r="Q1475" s="74"/>
      <c r="R1475" s="87"/>
      <c r="S1475" s="87"/>
      <c r="T1475" s="87"/>
      <c r="U1475" s="87"/>
      <c r="V1475" s="48"/>
      <c r="W1475" s="48"/>
      <c r="X1475" s="48"/>
      <c r="Y1475" s="48"/>
      <c r="Z1475" s="47"/>
      <c r="AA1475" s="69">
        <v>1475</v>
      </c>
      <c r="AB1475" s="69"/>
      <c r="AC1475" s="70"/>
      <c r="AD1475" s="76" t="s">
        <v>22689</v>
      </c>
      <c r="AE1475" s="81" t="s">
        <v>21043</v>
      </c>
      <c r="AF1475" s="76">
        <v>0</v>
      </c>
      <c r="AG1475" s="76">
        <v>16</v>
      </c>
      <c r="AH1475" s="76">
        <v>29</v>
      </c>
      <c r="AI1475" s="76">
        <v>0</v>
      </c>
      <c r="AJ1475" s="76">
        <v>26</v>
      </c>
      <c r="AK1475" s="76">
        <v>8</v>
      </c>
      <c r="AL1475" s="76" t="b">
        <v>0</v>
      </c>
      <c r="AM1475" s="78">
        <v>45152.013715277775</v>
      </c>
      <c r="AN1475" s="76"/>
      <c r="AO1475" s="76"/>
      <c r="AP1475" s="76"/>
      <c r="AQ1475" s="76"/>
      <c r="AR1475" s="76"/>
      <c r="AS1475" s="76"/>
      <c r="AT1475" s="76"/>
      <c r="AU1475" s="76"/>
      <c r="AV1475" s="76"/>
      <c r="AW1475" s="76"/>
      <c r="AX1475" s="76" t="b">
        <v>0</v>
      </c>
      <c r="AY1475" s="76"/>
      <c r="AZ1475" s="76"/>
      <c r="BA1475" s="76" t="b">
        <v>0</v>
      </c>
      <c r="BB1475" s="76" t="b">
        <v>1</v>
      </c>
      <c r="BC1475" s="76" t="b">
        <v>1</v>
      </c>
      <c r="BD1475" s="76" t="b">
        <v>0</v>
      </c>
      <c r="BE1475" s="76" t="b">
        <v>0</v>
      </c>
      <c r="BF1475" s="76" t="b">
        <v>0</v>
      </c>
      <c r="BG1475" s="76" t="b">
        <v>0</v>
      </c>
      <c r="BH1475" s="76"/>
      <c r="BI1475" s="76"/>
      <c r="BJ1475" s="76" t="s">
        <v>27595</v>
      </c>
      <c r="BK1475" s="76" t="b">
        <v>0</v>
      </c>
      <c r="BL1475" s="76"/>
      <c r="BM1475" s="76" t="s">
        <v>66</v>
      </c>
      <c r="BN1475" s="76" t="s">
        <v>27597</v>
      </c>
      <c r="BO1475" s="82" t="str">
        <f>HYPERLINK("https://twitter.com/ceciliavll")</f>
        <v>https://twitter.com/ceciliavll</v>
      </c>
      <c r="BP1475" s="2"/>
    </row>
    <row r="1476" spans="1:68" x14ac:dyDescent="0.25">
      <c r="A1476" s="62" t="s">
        <v>2016</v>
      </c>
      <c r="B1476" s="63"/>
      <c r="C1476" s="63"/>
      <c r="D1476" s="64"/>
      <c r="E1476" s="66"/>
      <c r="F1476" s="103" t="str">
        <f>HYPERLINK("https://pbs.twimg.com/profile_images/1696772871148736512/6sczzK8H_normal.jpg")</f>
        <v>https://pbs.twimg.com/profile_images/1696772871148736512/6sczzK8H_normal.jpg</v>
      </c>
      <c r="G1476" s="63"/>
      <c r="H1476" s="67"/>
      <c r="I1476" s="68"/>
      <c r="J1476" s="68"/>
      <c r="K1476" s="67" t="s">
        <v>29070</v>
      </c>
      <c r="L1476" s="71"/>
      <c r="M1476" s="72"/>
      <c r="N1476" s="72"/>
      <c r="O1476" s="73"/>
      <c r="P1476" s="74"/>
      <c r="Q1476" s="74"/>
      <c r="R1476" s="87"/>
      <c r="S1476" s="87"/>
      <c r="T1476" s="87"/>
      <c r="U1476" s="87"/>
      <c r="V1476" s="48"/>
      <c r="W1476" s="48"/>
      <c r="X1476" s="48"/>
      <c r="Y1476" s="48"/>
      <c r="Z1476" s="47"/>
      <c r="AA1476" s="69">
        <v>1476</v>
      </c>
      <c r="AB1476" s="69"/>
      <c r="AC1476" s="70"/>
      <c r="AD1476" s="76" t="s">
        <v>22690</v>
      </c>
      <c r="AE1476" s="81" t="s">
        <v>23841</v>
      </c>
      <c r="AF1476" s="76">
        <v>274392</v>
      </c>
      <c r="AG1476" s="76">
        <v>1320</v>
      </c>
      <c r="AH1476" s="76">
        <v>77727</v>
      </c>
      <c r="AI1476" s="76">
        <v>405</v>
      </c>
      <c r="AJ1476" s="76">
        <v>158378</v>
      </c>
      <c r="AK1476" s="76">
        <v>5002</v>
      </c>
      <c r="AL1476" s="76" t="b">
        <v>0</v>
      </c>
      <c r="AM1476" s="78">
        <v>39905.122870370367</v>
      </c>
      <c r="AN1476" s="76" t="s">
        <v>14385</v>
      </c>
      <c r="AO1476" s="76" t="s">
        <v>26018</v>
      </c>
      <c r="AP1476" s="82" t="str">
        <f>HYPERLINK("https://t.co/mDiAnjvoeB")</f>
        <v>https://t.co/mDiAnjvoeB</v>
      </c>
      <c r="AQ1476" s="82" t="str">
        <f>HYPERLINK("http://www.instagram.com/victoria.villarruel")</f>
        <v>http://www.instagram.com/victoria.villarruel</v>
      </c>
      <c r="AR1476" s="76" t="s">
        <v>27157</v>
      </c>
      <c r="AS1476" s="76"/>
      <c r="AT1476" s="76"/>
      <c r="AU1476" s="76"/>
      <c r="AV1476" s="76">
        <v>1.4604133235650601E+18</v>
      </c>
      <c r="AW1476" s="82" t="str">
        <f>HYPERLINK("https://t.co/mDiAnjvoeB")</f>
        <v>https://t.co/mDiAnjvoeB</v>
      </c>
      <c r="AX1476" s="76" t="b">
        <v>1</v>
      </c>
      <c r="AY1476" s="76"/>
      <c r="AZ1476" s="76"/>
      <c r="BA1476" s="76" t="b">
        <v>0</v>
      </c>
      <c r="BB1476" s="76" t="b">
        <v>0</v>
      </c>
      <c r="BC1476" s="76" t="b">
        <v>0</v>
      </c>
      <c r="BD1476" s="76" t="b">
        <v>0</v>
      </c>
      <c r="BE1476" s="76" t="b">
        <v>1</v>
      </c>
      <c r="BF1476" s="76" t="b">
        <v>0</v>
      </c>
      <c r="BG1476" s="76" t="b">
        <v>0</v>
      </c>
      <c r="BH1476" s="82" t="str">
        <f>HYPERLINK("https://pbs.twimg.com/profile_banners/28266730/1688401387")</f>
        <v>https://pbs.twimg.com/profile_banners/28266730/1688401387</v>
      </c>
      <c r="BI1476" s="76"/>
      <c r="BJ1476" s="76" t="s">
        <v>27595</v>
      </c>
      <c r="BK1476" s="76" t="b">
        <v>0</v>
      </c>
      <c r="BL1476" s="76"/>
      <c r="BM1476" s="76" t="s">
        <v>65</v>
      </c>
      <c r="BN1476" s="76" t="s">
        <v>27597</v>
      </c>
      <c r="BO1476" s="82" t="str">
        <f>HYPERLINK("https://twitter.com/vickyvillarruel")</f>
        <v>https://twitter.com/vickyvillarruel</v>
      </c>
      <c r="BP1476" s="2"/>
    </row>
    <row r="1477" spans="1:68" x14ac:dyDescent="0.25">
      <c r="A1477" s="62" t="s">
        <v>2017</v>
      </c>
      <c r="B1477" s="63"/>
      <c r="C1477" s="63"/>
      <c r="D1477" s="64"/>
      <c r="E1477" s="66"/>
      <c r="F1477" s="103" t="str">
        <f>HYPERLINK("https://pbs.twimg.com/profile_images/1485338912679555072/ROajtjm6_normal.jpg")</f>
        <v>https://pbs.twimg.com/profile_images/1485338912679555072/ROajtjm6_normal.jpg</v>
      </c>
      <c r="G1477" s="63"/>
      <c r="H1477" s="67"/>
      <c r="I1477" s="68"/>
      <c r="J1477" s="68"/>
      <c r="K1477" s="67" t="s">
        <v>29071</v>
      </c>
      <c r="L1477" s="71"/>
      <c r="M1477" s="72"/>
      <c r="N1477" s="72"/>
      <c r="O1477" s="73"/>
      <c r="P1477" s="74"/>
      <c r="Q1477" s="74"/>
      <c r="R1477" s="87"/>
      <c r="S1477" s="87"/>
      <c r="T1477" s="87"/>
      <c r="U1477" s="87"/>
      <c r="V1477" s="48"/>
      <c r="W1477" s="48"/>
      <c r="X1477" s="48"/>
      <c r="Y1477" s="48"/>
      <c r="Z1477" s="47"/>
      <c r="AA1477" s="69">
        <v>1477</v>
      </c>
      <c r="AB1477" s="69"/>
      <c r="AC1477" s="70"/>
      <c r="AD1477" s="76" t="s">
        <v>22691</v>
      </c>
      <c r="AE1477" s="81" t="s">
        <v>23842</v>
      </c>
      <c r="AF1477" s="76">
        <v>158643</v>
      </c>
      <c r="AG1477" s="76">
        <v>2</v>
      </c>
      <c r="AH1477" s="76">
        <v>1326</v>
      </c>
      <c r="AI1477" s="76">
        <v>104</v>
      </c>
      <c r="AJ1477" s="76">
        <v>138</v>
      </c>
      <c r="AK1477" s="76">
        <v>1245</v>
      </c>
      <c r="AL1477" s="76" t="b">
        <v>0</v>
      </c>
      <c r="AM1477" s="78">
        <v>44041.445</v>
      </c>
      <c r="AN1477" s="76" t="s">
        <v>24589</v>
      </c>
      <c r="AO1477" s="76" t="s">
        <v>26019</v>
      </c>
      <c r="AP1477" s="82" t="str">
        <f>HYPERLINK("https://t.co/cWibPFBmIu")</f>
        <v>https://t.co/cWibPFBmIu</v>
      </c>
      <c r="AQ1477" s="82" t="str">
        <f>HYPERLINK("http://YouTube.com/ElPelucaMilei")</f>
        <v>http://YouTube.com/ElPelucaMilei</v>
      </c>
      <c r="AR1477" s="76" t="s">
        <v>27158</v>
      </c>
      <c r="AS1477" s="76"/>
      <c r="AT1477" s="76"/>
      <c r="AU1477" s="76"/>
      <c r="AV1477" s="76">
        <v>1.2960139195852101E+18</v>
      </c>
      <c r="AW1477" s="82" t="str">
        <f>HYPERLINK("https://t.co/cWibPFBmIu")</f>
        <v>https://t.co/cWibPFBmIu</v>
      </c>
      <c r="AX1477" s="76" t="b">
        <v>0</v>
      </c>
      <c r="AY1477" s="76"/>
      <c r="AZ1477" s="76"/>
      <c r="BA1477" s="76" t="b">
        <v>1</v>
      </c>
      <c r="BB1477" s="76" t="b">
        <v>1</v>
      </c>
      <c r="BC1477" s="76" t="b">
        <v>1</v>
      </c>
      <c r="BD1477" s="76" t="b">
        <v>0</v>
      </c>
      <c r="BE1477" s="76" t="b">
        <v>1</v>
      </c>
      <c r="BF1477" s="76" t="b">
        <v>0</v>
      </c>
      <c r="BG1477" s="76" t="b">
        <v>0</v>
      </c>
      <c r="BH1477" s="82" t="str">
        <f>HYPERLINK("https://pbs.twimg.com/profile_banners/1288424172968914944/1642967319")</f>
        <v>https://pbs.twimg.com/profile_banners/1288424172968914944/1642967319</v>
      </c>
      <c r="BI1477" s="76"/>
      <c r="BJ1477" s="76" t="s">
        <v>27595</v>
      </c>
      <c r="BK1477" s="76" t="b">
        <v>0</v>
      </c>
      <c r="BL1477" s="76"/>
      <c r="BM1477" s="76" t="s">
        <v>65</v>
      </c>
      <c r="BN1477" s="76" t="s">
        <v>27597</v>
      </c>
      <c r="BO1477" s="82" t="str">
        <f>HYPERLINK("https://twitter.com/elpelucamilei")</f>
        <v>https://twitter.com/elpelucamilei</v>
      </c>
      <c r="BP1477" s="2"/>
    </row>
    <row r="1478" spans="1:68" x14ac:dyDescent="0.25">
      <c r="A1478" s="62" t="s">
        <v>1337</v>
      </c>
      <c r="B1478" s="63"/>
      <c r="C1478" s="63"/>
      <c r="D1478" s="64"/>
      <c r="E1478" s="66"/>
      <c r="F1478" s="103" t="str">
        <f>HYPERLINK("https://pbs.twimg.com/profile_images/1518936529674117121/MCMYTicP_normal.jpg")</f>
        <v>https://pbs.twimg.com/profile_images/1518936529674117121/MCMYTicP_normal.jpg</v>
      </c>
      <c r="G1478" s="63"/>
      <c r="H1478" s="67"/>
      <c r="I1478" s="68"/>
      <c r="J1478" s="68"/>
      <c r="K1478" s="67" t="s">
        <v>29072</v>
      </c>
      <c r="L1478" s="71"/>
      <c r="M1478" s="72"/>
      <c r="N1478" s="72"/>
      <c r="O1478" s="73"/>
      <c r="P1478" s="74"/>
      <c r="Q1478" s="74"/>
      <c r="R1478" s="87"/>
      <c r="S1478" s="87"/>
      <c r="T1478" s="87"/>
      <c r="U1478" s="87"/>
      <c r="V1478" s="48"/>
      <c r="W1478" s="48"/>
      <c r="X1478" s="48"/>
      <c r="Y1478" s="48"/>
      <c r="Z1478" s="47"/>
      <c r="AA1478" s="69">
        <v>1478</v>
      </c>
      <c r="AB1478" s="69"/>
      <c r="AC1478" s="70"/>
      <c r="AD1478" s="76" t="s">
        <v>22692</v>
      </c>
      <c r="AE1478" s="81" t="s">
        <v>20342</v>
      </c>
      <c r="AF1478" s="76">
        <v>9962</v>
      </c>
      <c r="AG1478" s="76">
        <v>197</v>
      </c>
      <c r="AH1478" s="76">
        <v>25768</v>
      </c>
      <c r="AI1478" s="76">
        <v>25</v>
      </c>
      <c r="AJ1478" s="76">
        <v>327</v>
      </c>
      <c r="AK1478" s="76">
        <v>3337</v>
      </c>
      <c r="AL1478" s="76" t="b">
        <v>0</v>
      </c>
      <c r="AM1478" s="78">
        <v>43873.574583333335</v>
      </c>
      <c r="AN1478" s="76"/>
      <c r="AO1478" s="76" t="s">
        <v>26020</v>
      </c>
      <c r="AP1478" s="82" t="str">
        <f>HYPERLINK("https://t.co/jUwDG1cTKo")</f>
        <v>https://t.co/jUwDG1cTKo</v>
      </c>
      <c r="AQ1478" s="82" t="str">
        <f>HYPERLINK("http://bpmoney.com.br")</f>
        <v>http://bpmoney.com.br</v>
      </c>
      <c r="AR1478" s="76" t="s">
        <v>27159</v>
      </c>
      <c r="AS1478" s="76"/>
      <c r="AT1478" s="76"/>
      <c r="AU1478" s="76"/>
      <c r="AV1478" s="76"/>
      <c r="AW1478" s="82" t="str">
        <f>HYPERLINK("https://t.co/jUwDG1cTKo")</f>
        <v>https://t.co/jUwDG1cTKo</v>
      </c>
      <c r="AX1478" s="76" t="b">
        <v>1</v>
      </c>
      <c r="AY1478" s="76"/>
      <c r="AZ1478" s="76"/>
      <c r="BA1478" s="76" t="b">
        <v>1</v>
      </c>
      <c r="BB1478" s="76" t="b">
        <v>1</v>
      </c>
      <c r="BC1478" s="76" t="b">
        <v>1</v>
      </c>
      <c r="BD1478" s="76" t="b">
        <v>0</v>
      </c>
      <c r="BE1478" s="76" t="b">
        <v>1</v>
      </c>
      <c r="BF1478" s="76" t="b">
        <v>0</v>
      </c>
      <c r="BG1478" s="76" t="b">
        <v>0</v>
      </c>
      <c r="BH1478" s="82" t="str">
        <f>HYPERLINK("https://pbs.twimg.com/profile_banners/1227589995411771392/1649096183")</f>
        <v>https://pbs.twimg.com/profile_banners/1227589995411771392/1649096183</v>
      </c>
      <c r="BI1478" s="76"/>
      <c r="BJ1478" s="76" t="s">
        <v>27595</v>
      </c>
      <c r="BK1478" s="76" t="b">
        <v>0</v>
      </c>
      <c r="BL1478" s="76"/>
      <c r="BM1478" s="76" t="s">
        <v>66</v>
      </c>
      <c r="BN1478" s="76" t="s">
        <v>27597</v>
      </c>
      <c r="BO1478" s="82" t="str">
        <f>HYPERLINK("https://twitter.com/bpmoney_")</f>
        <v>https://twitter.com/bpmoney_</v>
      </c>
      <c r="BP1478" s="2"/>
    </row>
    <row r="1479" spans="1:68" x14ac:dyDescent="0.25">
      <c r="A1479" s="62" t="s">
        <v>1338</v>
      </c>
      <c r="B1479" s="63"/>
      <c r="C1479" s="63"/>
      <c r="D1479" s="64"/>
      <c r="E1479" s="66"/>
      <c r="F1479" s="103" t="str">
        <f>HYPERLINK("https://pbs.twimg.com/profile_images/1561014075156566016/SpG_q87x_normal.jpg")</f>
        <v>https://pbs.twimg.com/profile_images/1561014075156566016/SpG_q87x_normal.jpg</v>
      </c>
      <c r="G1479" s="63"/>
      <c r="H1479" s="67"/>
      <c r="I1479" s="68"/>
      <c r="J1479" s="68"/>
      <c r="K1479" s="67" t="s">
        <v>29073</v>
      </c>
      <c r="L1479" s="71"/>
      <c r="M1479" s="72"/>
      <c r="N1479" s="72"/>
      <c r="O1479" s="73"/>
      <c r="P1479" s="74"/>
      <c r="Q1479" s="74"/>
      <c r="R1479" s="87"/>
      <c r="S1479" s="87"/>
      <c r="T1479" s="87"/>
      <c r="U1479" s="87"/>
      <c r="V1479" s="48"/>
      <c r="W1479" s="48"/>
      <c r="X1479" s="48"/>
      <c r="Y1479" s="48"/>
      <c r="Z1479" s="47"/>
      <c r="AA1479" s="69">
        <v>1479</v>
      </c>
      <c r="AB1479" s="69"/>
      <c r="AC1479" s="70"/>
      <c r="AD1479" s="76" t="s">
        <v>22693</v>
      </c>
      <c r="AE1479" s="81" t="s">
        <v>21044</v>
      </c>
      <c r="AF1479" s="76">
        <v>25</v>
      </c>
      <c r="AG1479" s="76">
        <v>808</v>
      </c>
      <c r="AH1479" s="76">
        <v>526</v>
      </c>
      <c r="AI1479" s="76">
        <v>0</v>
      </c>
      <c r="AJ1479" s="76">
        <v>2371</v>
      </c>
      <c r="AK1479" s="76">
        <v>161</v>
      </c>
      <c r="AL1479" s="76" t="b">
        <v>0</v>
      </c>
      <c r="AM1479" s="78">
        <v>44058.779016203705</v>
      </c>
      <c r="AN1479" s="76" t="s">
        <v>24590</v>
      </c>
      <c r="AO1479" s="76" t="s">
        <v>26021</v>
      </c>
      <c r="AP1479" s="76"/>
      <c r="AQ1479" s="76"/>
      <c r="AR1479" s="76"/>
      <c r="AS1479" s="76"/>
      <c r="AT1479" s="76"/>
      <c r="AU1479" s="76"/>
      <c r="AV1479" s="76"/>
      <c r="AW1479" s="76"/>
      <c r="AX1479" s="76" t="b">
        <v>0</v>
      </c>
      <c r="AY1479" s="76"/>
      <c r="AZ1479" s="76"/>
      <c r="BA1479" s="76" t="b">
        <v>0</v>
      </c>
      <c r="BB1479" s="76" t="b">
        <v>1</v>
      </c>
      <c r="BC1479" s="76" t="b">
        <v>1</v>
      </c>
      <c r="BD1479" s="76" t="b">
        <v>0</v>
      </c>
      <c r="BE1479" s="76" t="b">
        <v>0</v>
      </c>
      <c r="BF1479" s="76" t="b">
        <v>0</v>
      </c>
      <c r="BG1479" s="76" t="b">
        <v>0</v>
      </c>
      <c r="BH1479" s="82" t="str">
        <f>HYPERLINK("https://pbs.twimg.com/profile_banners/1294705805195980800/1661009365")</f>
        <v>https://pbs.twimg.com/profile_banners/1294705805195980800/1661009365</v>
      </c>
      <c r="BI1479" s="76"/>
      <c r="BJ1479" s="76" t="s">
        <v>27595</v>
      </c>
      <c r="BK1479" s="76" t="b">
        <v>0</v>
      </c>
      <c r="BL1479" s="76"/>
      <c r="BM1479" s="76" t="s">
        <v>66</v>
      </c>
      <c r="BN1479" s="76" t="s">
        <v>27597</v>
      </c>
      <c r="BO1479" s="82" t="str">
        <f>HYPERLINK("https://twitter.com/marc0___aurelio")</f>
        <v>https://twitter.com/marc0___aurelio</v>
      </c>
      <c r="BP1479" s="2"/>
    </row>
    <row r="1480" spans="1:68" x14ac:dyDescent="0.25">
      <c r="A1480" s="62" t="s">
        <v>1339</v>
      </c>
      <c r="B1480" s="63"/>
      <c r="C1480" s="63"/>
      <c r="D1480" s="64"/>
      <c r="E1480" s="66"/>
      <c r="F1480" s="103" t="str">
        <f>HYPERLINK("https://pbs.twimg.com/profile_images/1672199922588819457/x4r4nNLR_normal.jpg")</f>
        <v>https://pbs.twimg.com/profile_images/1672199922588819457/x4r4nNLR_normal.jpg</v>
      </c>
      <c r="G1480" s="63"/>
      <c r="H1480" s="67"/>
      <c r="I1480" s="68"/>
      <c r="J1480" s="68"/>
      <c r="K1480" s="67" t="s">
        <v>29074</v>
      </c>
      <c r="L1480" s="71"/>
      <c r="M1480" s="72"/>
      <c r="N1480" s="72"/>
      <c r="O1480" s="73"/>
      <c r="P1480" s="74"/>
      <c r="Q1480" s="74"/>
      <c r="R1480" s="87"/>
      <c r="S1480" s="87"/>
      <c r="T1480" s="87"/>
      <c r="U1480" s="87"/>
      <c r="V1480" s="48"/>
      <c r="W1480" s="48"/>
      <c r="X1480" s="48"/>
      <c r="Y1480" s="48"/>
      <c r="Z1480" s="47"/>
      <c r="AA1480" s="69">
        <v>1480</v>
      </c>
      <c r="AB1480" s="69"/>
      <c r="AC1480" s="70"/>
      <c r="AD1480" s="76" t="s">
        <v>22694</v>
      </c>
      <c r="AE1480" s="81" t="s">
        <v>23843</v>
      </c>
      <c r="AF1480" s="76">
        <v>735</v>
      </c>
      <c r="AG1480" s="76">
        <v>161</v>
      </c>
      <c r="AH1480" s="76">
        <v>10239</v>
      </c>
      <c r="AI1480" s="76">
        <v>11</v>
      </c>
      <c r="AJ1480" s="76">
        <v>0</v>
      </c>
      <c r="AK1480" s="76">
        <v>206</v>
      </c>
      <c r="AL1480" s="76" t="b">
        <v>0</v>
      </c>
      <c r="AM1480" s="78">
        <v>40761.655324074076</v>
      </c>
      <c r="AN1480" s="76" t="s">
        <v>24591</v>
      </c>
      <c r="AO1480" s="76" t="s">
        <v>26022</v>
      </c>
      <c r="AP1480" s="82" t="str">
        <f>HYPERLINK("https://t.co/Lm7oDSCStq")</f>
        <v>https://t.co/Lm7oDSCStq</v>
      </c>
      <c r="AQ1480" s="82" t="str">
        <f>HYPERLINK("http://www.radioitatiaiajf.com.br/")</f>
        <v>http://www.radioitatiaiajf.com.br/</v>
      </c>
      <c r="AR1480" s="76" t="s">
        <v>27160</v>
      </c>
      <c r="AS1480" s="76"/>
      <c r="AT1480" s="76"/>
      <c r="AU1480" s="76"/>
      <c r="AV1480" s="76"/>
      <c r="AW1480" s="82" t="str">
        <f>HYPERLINK("https://t.co/Lm7oDSCStq")</f>
        <v>https://t.co/Lm7oDSCStq</v>
      </c>
      <c r="AX1480" s="76" t="b">
        <v>0</v>
      </c>
      <c r="AY1480" s="76"/>
      <c r="AZ1480" s="76"/>
      <c r="BA1480" s="76" t="b">
        <v>1</v>
      </c>
      <c r="BB1480" s="76" t="b">
        <v>1</v>
      </c>
      <c r="BC1480" s="76" t="b">
        <v>1</v>
      </c>
      <c r="BD1480" s="76" t="b">
        <v>0</v>
      </c>
      <c r="BE1480" s="76" t="b">
        <v>0</v>
      </c>
      <c r="BF1480" s="76" t="b">
        <v>0</v>
      </c>
      <c r="BG1480" s="76" t="b">
        <v>0</v>
      </c>
      <c r="BH1480" s="82" t="str">
        <f>HYPERLINK("https://pbs.twimg.com/profile_banners/349719588/1687518621")</f>
        <v>https://pbs.twimg.com/profile_banners/349719588/1687518621</v>
      </c>
      <c r="BI1480" s="76"/>
      <c r="BJ1480" s="76" t="s">
        <v>27595</v>
      </c>
      <c r="BK1480" s="76" t="b">
        <v>0</v>
      </c>
      <c r="BL1480" s="76"/>
      <c r="BM1480" s="76" t="s">
        <v>66</v>
      </c>
      <c r="BN1480" s="76" t="s">
        <v>27597</v>
      </c>
      <c r="BO1480" s="82" t="str">
        <f>HYPERLINK("https://twitter.com/itatiaiajf")</f>
        <v>https://twitter.com/itatiaiajf</v>
      </c>
      <c r="BP1480" s="2"/>
    </row>
    <row r="1481" spans="1:68" x14ac:dyDescent="0.25">
      <c r="A1481" s="62" t="s">
        <v>1340</v>
      </c>
      <c r="B1481" s="63"/>
      <c r="C1481" s="63"/>
      <c r="D1481" s="64"/>
      <c r="E1481" s="66"/>
      <c r="F1481" s="103" t="str">
        <f>HYPERLINK("https://pbs.twimg.com/profile_images/1694145232491708416/2XhgmiVc_normal.jpg")</f>
        <v>https://pbs.twimg.com/profile_images/1694145232491708416/2XhgmiVc_normal.jpg</v>
      </c>
      <c r="G1481" s="63"/>
      <c r="H1481" s="67"/>
      <c r="I1481" s="68"/>
      <c r="J1481" s="68"/>
      <c r="K1481" s="67" t="s">
        <v>29075</v>
      </c>
      <c r="L1481" s="71"/>
      <c r="M1481" s="72"/>
      <c r="N1481" s="72"/>
      <c r="O1481" s="73"/>
      <c r="P1481" s="74"/>
      <c r="Q1481" s="74"/>
      <c r="R1481" s="87"/>
      <c r="S1481" s="87"/>
      <c r="T1481" s="87"/>
      <c r="U1481" s="87"/>
      <c r="V1481" s="48"/>
      <c r="W1481" s="48"/>
      <c r="X1481" s="48"/>
      <c r="Y1481" s="48"/>
      <c r="Z1481" s="47"/>
      <c r="AA1481" s="69">
        <v>1481</v>
      </c>
      <c r="AB1481" s="69"/>
      <c r="AC1481" s="70"/>
      <c r="AD1481" s="76" t="s">
        <v>22695</v>
      </c>
      <c r="AE1481" s="81" t="s">
        <v>23844</v>
      </c>
      <c r="AF1481" s="76">
        <v>657</v>
      </c>
      <c r="AG1481" s="76">
        <v>536</v>
      </c>
      <c r="AH1481" s="76">
        <v>48496</v>
      </c>
      <c r="AI1481" s="76">
        <v>10</v>
      </c>
      <c r="AJ1481" s="76">
        <v>37460</v>
      </c>
      <c r="AK1481" s="76">
        <v>2041</v>
      </c>
      <c r="AL1481" s="76" t="b">
        <v>0</v>
      </c>
      <c r="AM1481" s="78">
        <v>40329.986793981479</v>
      </c>
      <c r="AN1481" s="76" t="s">
        <v>24592</v>
      </c>
      <c r="AO1481" s="76" t="s">
        <v>26023</v>
      </c>
      <c r="AP1481" s="82" t="str">
        <f>HYPERLINK("https://t.co/jQ5zJ9rcvR")</f>
        <v>https://t.co/jQ5zJ9rcvR</v>
      </c>
      <c r="AQ1481" s="82" t="str">
        <f>HYPERLINK("https://www.instagram.com/ipauloed/")</f>
        <v>https://www.instagram.com/ipauloed/</v>
      </c>
      <c r="AR1481" s="76" t="s">
        <v>27161</v>
      </c>
      <c r="AS1481" s="76"/>
      <c r="AT1481" s="76"/>
      <c r="AU1481" s="76"/>
      <c r="AV1481" s="76">
        <v>1.50081232982243E+18</v>
      </c>
      <c r="AW1481" s="82" t="str">
        <f>HYPERLINK("https://t.co/jQ5zJ9rcvR")</f>
        <v>https://t.co/jQ5zJ9rcvR</v>
      </c>
      <c r="AX1481" s="76" t="b">
        <v>0</v>
      </c>
      <c r="AY1481" s="76"/>
      <c r="AZ1481" s="76"/>
      <c r="BA1481" s="76" t="b">
        <v>1</v>
      </c>
      <c r="BB1481" s="76" t="b">
        <v>0</v>
      </c>
      <c r="BC1481" s="76" t="b">
        <v>0</v>
      </c>
      <c r="BD1481" s="76" t="b">
        <v>0</v>
      </c>
      <c r="BE1481" s="76" t="b">
        <v>1</v>
      </c>
      <c r="BF1481" s="76" t="b">
        <v>0</v>
      </c>
      <c r="BG1481" s="76" t="b">
        <v>0</v>
      </c>
      <c r="BH1481" s="82" t="str">
        <f>HYPERLINK("https://pbs.twimg.com/profile_banners/150446200/1693346719")</f>
        <v>https://pbs.twimg.com/profile_banners/150446200/1693346719</v>
      </c>
      <c r="BI1481" s="76"/>
      <c r="BJ1481" s="76" t="s">
        <v>27595</v>
      </c>
      <c r="BK1481" s="76" t="b">
        <v>0</v>
      </c>
      <c r="BL1481" s="76"/>
      <c r="BM1481" s="76" t="s">
        <v>66</v>
      </c>
      <c r="BN1481" s="76" t="s">
        <v>27597</v>
      </c>
      <c r="BO1481" s="82" t="str">
        <f>HYPERLINK("https://twitter.com/ipauloed")</f>
        <v>https://twitter.com/ipauloed</v>
      </c>
      <c r="BP1481" s="2"/>
    </row>
    <row r="1482" spans="1:68" x14ac:dyDescent="0.25">
      <c r="A1482" s="62" t="s">
        <v>1341</v>
      </c>
      <c r="B1482" s="63"/>
      <c r="C1482" s="63"/>
      <c r="D1482" s="64"/>
      <c r="E1482" s="66"/>
      <c r="F1482" s="103" t="str">
        <f>HYPERLINK("https://pbs.twimg.com/profile_images/1688185678213894145/E6VN5h3q_normal.jpg")</f>
        <v>https://pbs.twimg.com/profile_images/1688185678213894145/E6VN5h3q_normal.jpg</v>
      </c>
      <c r="G1482" s="63"/>
      <c r="H1482" s="67"/>
      <c r="I1482" s="68"/>
      <c r="J1482" s="68"/>
      <c r="K1482" s="67" t="s">
        <v>29076</v>
      </c>
      <c r="L1482" s="71"/>
      <c r="M1482" s="72"/>
      <c r="N1482" s="72"/>
      <c r="O1482" s="73"/>
      <c r="P1482" s="74"/>
      <c r="Q1482" s="74"/>
      <c r="R1482" s="87"/>
      <c r="S1482" s="87"/>
      <c r="T1482" s="87"/>
      <c r="U1482" s="87"/>
      <c r="V1482" s="48"/>
      <c r="W1482" s="48"/>
      <c r="X1482" s="48"/>
      <c r="Y1482" s="48"/>
      <c r="Z1482" s="47"/>
      <c r="AA1482" s="69">
        <v>1482</v>
      </c>
      <c r="AB1482" s="69"/>
      <c r="AC1482" s="70"/>
      <c r="AD1482" s="76" t="s">
        <v>22577</v>
      </c>
      <c r="AE1482" s="81" t="s">
        <v>23845</v>
      </c>
      <c r="AF1482" s="76">
        <v>575</v>
      </c>
      <c r="AG1482" s="76">
        <v>1154</v>
      </c>
      <c r="AH1482" s="76">
        <v>4890</v>
      </c>
      <c r="AI1482" s="76">
        <v>6</v>
      </c>
      <c r="AJ1482" s="76">
        <v>1000</v>
      </c>
      <c r="AK1482" s="76">
        <v>170</v>
      </c>
      <c r="AL1482" s="76" t="b">
        <v>0</v>
      </c>
      <c r="AM1482" s="78">
        <v>39770.545208333337</v>
      </c>
      <c r="AN1482" s="76" t="s">
        <v>14411</v>
      </c>
      <c r="AO1482" s="76" t="s">
        <v>26024</v>
      </c>
      <c r="AP1482" s="82" t="str">
        <f>HYPERLINK("https://t.co/G7hp1qT33O")</f>
        <v>https://t.co/G7hp1qT33O</v>
      </c>
      <c r="AQ1482" s="82" t="str">
        <f>HYPERLINK("http://www.flauzinoantunes.com.br")</f>
        <v>http://www.flauzinoantunes.com.br</v>
      </c>
      <c r="AR1482" s="76" t="s">
        <v>27162</v>
      </c>
      <c r="AS1482" s="76"/>
      <c r="AT1482" s="76"/>
      <c r="AU1482" s="76"/>
      <c r="AV1482" s="76">
        <v>1.64554398303954E+18</v>
      </c>
      <c r="AW1482" s="82" t="str">
        <f>HYPERLINK("https://t.co/G7hp1qT33O")</f>
        <v>https://t.co/G7hp1qT33O</v>
      </c>
      <c r="AX1482" s="76" t="b">
        <v>0</v>
      </c>
      <c r="AY1482" s="76"/>
      <c r="AZ1482" s="76"/>
      <c r="BA1482" s="76" t="b">
        <v>0</v>
      </c>
      <c r="BB1482" s="76" t="b">
        <v>1</v>
      </c>
      <c r="BC1482" s="76" t="b">
        <v>0</v>
      </c>
      <c r="BD1482" s="76" t="b">
        <v>0</v>
      </c>
      <c r="BE1482" s="76" t="b">
        <v>1</v>
      </c>
      <c r="BF1482" s="76" t="b">
        <v>0</v>
      </c>
      <c r="BG1482" s="76" t="b">
        <v>0</v>
      </c>
      <c r="BH1482" s="82" t="str">
        <f>HYPERLINK("https://pbs.twimg.com/profile_banners/17463509/1665064506")</f>
        <v>https://pbs.twimg.com/profile_banners/17463509/1665064506</v>
      </c>
      <c r="BI1482" s="76"/>
      <c r="BJ1482" s="76" t="s">
        <v>27595</v>
      </c>
      <c r="BK1482" s="76" t="b">
        <v>0</v>
      </c>
      <c r="BL1482" s="76"/>
      <c r="BM1482" s="76" t="s">
        <v>66</v>
      </c>
      <c r="BN1482" s="76" t="s">
        <v>27597</v>
      </c>
      <c r="BO1482" s="82" t="str">
        <f>HYPERLINK("https://twitter.com/flauzinoantunes")</f>
        <v>https://twitter.com/flauzinoantunes</v>
      </c>
      <c r="BP1482" s="2"/>
    </row>
    <row r="1483" spans="1:68" x14ac:dyDescent="0.25">
      <c r="A1483" s="62" t="s">
        <v>2018</v>
      </c>
      <c r="B1483" s="63"/>
      <c r="C1483" s="63"/>
      <c r="D1483" s="64"/>
      <c r="E1483" s="66"/>
      <c r="F1483" s="103" t="str">
        <f>HYPERLINK("https://pbs.twimg.com/profile_images/544825825/logocspb_normal.png")</f>
        <v>https://pbs.twimg.com/profile_images/544825825/logocspb_normal.png</v>
      </c>
      <c r="G1483" s="63"/>
      <c r="H1483" s="67"/>
      <c r="I1483" s="68"/>
      <c r="J1483" s="68"/>
      <c r="K1483" s="67" t="s">
        <v>29077</v>
      </c>
      <c r="L1483" s="71"/>
      <c r="M1483" s="72"/>
      <c r="N1483" s="72"/>
      <c r="O1483" s="73"/>
      <c r="P1483" s="74"/>
      <c r="Q1483" s="74"/>
      <c r="R1483" s="87"/>
      <c r="S1483" s="87"/>
      <c r="T1483" s="87"/>
      <c r="U1483" s="87"/>
      <c r="V1483" s="48"/>
      <c r="W1483" s="48"/>
      <c r="X1483" s="48"/>
      <c r="Y1483" s="48"/>
      <c r="Z1483" s="47"/>
      <c r="AA1483" s="69">
        <v>1483</v>
      </c>
      <c r="AB1483" s="69"/>
      <c r="AC1483" s="70"/>
      <c r="AD1483" s="76" t="s">
        <v>22696</v>
      </c>
      <c r="AE1483" s="81" t="s">
        <v>23846</v>
      </c>
      <c r="AF1483" s="76">
        <v>493</v>
      </c>
      <c r="AG1483" s="76">
        <v>34</v>
      </c>
      <c r="AH1483" s="76">
        <v>20953</v>
      </c>
      <c r="AI1483" s="76">
        <v>12</v>
      </c>
      <c r="AJ1483" s="76">
        <v>0</v>
      </c>
      <c r="AK1483" s="76">
        <v>207</v>
      </c>
      <c r="AL1483" s="76" t="b">
        <v>0</v>
      </c>
      <c r="AM1483" s="78">
        <v>40143.506203703706</v>
      </c>
      <c r="AN1483" s="76" t="s">
        <v>24342</v>
      </c>
      <c r="AO1483" s="76" t="s">
        <v>26025</v>
      </c>
      <c r="AP1483" s="82" t="str">
        <f>HYPERLINK("http://t.co/0jTNQVssdO")</f>
        <v>http://t.co/0jTNQVssdO</v>
      </c>
      <c r="AQ1483" s="82" t="str">
        <f>HYPERLINK("http://www.cspb.org.br")</f>
        <v>http://www.cspb.org.br</v>
      </c>
      <c r="AR1483" s="76" t="s">
        <v>27163</v>
      </c>
      <c r="AS1483" s="76"/>
      <c r="AT1483" s="76"/>
      <c r="AU1483" s="76"/>
      <c r="AV1483" s="76"/>
      <c r="AW1483" s="82" t="str">
        <f>HYPERLINK("http://t.co/0jTNQVssdO")</f>
        <v>http://t.co/0jTNQVssdO</v>
      </c>
      <c r="AX1483" s="76" t="b">
        <v>0</v>
      </c>
      <c r="AY1483" s="76"/>
      <c r="AZ1483" s="76"/>
      <c r="BA1483" s="76" t="b">
        <v>0</v>
      </c>
      <c r="BB1483" s="76" t="b">
        <v>1</v>
      </c>
      <c r="BC1483" s="76" t="b">
        <v>0</v>
      </c>
      <c r="BD1483" s="76" t="b">
        <v>0</v>
      </c>
      <c r="BE1483" s="76" t="b">
        <v>0</v>
      </c>
      <c r="BF1483" s="76" t="b">
        <v>0</v>
      </c>
      <c r="BG1483" s="76" t="b">
        <v>0</v>
      </c>
      <c r="BH1483" s="82" t="str">
        <f>HYPERLINK("https://pbs.twimg.com/profile_banners/92741298/1391018455")</f>
        <v>https://pbs.twimg.com/profile_banners/92741298/1391018455</v>
      </c>
      <c r="BI1483" s="76"/>
      <c r="BJ1483" s="76" t="s">
        <v>27595</v>
      </c>
      <c r="BK1483" s="76" t="b">
        <v>0</v>
      </c>
      <c r="BL1483" s="76"/>
      <c r="BM1483" s="76" t="s">
        <v>65</v>
      </c>
      <c r="BN1483" s="76" t="s">
        <v>27597</v>
      </c>
      <c r="BO1483" s="82" t="str">
        <f>HYPERLINK("https://twitter.com/cspboficial")</f>
        <v>https://twitter.com/cspboficial</v>
      </c>
      <c r="BP1483" s="2"/>
    </row>
    <row r="1484" spans="1:68" x14ac:dyDescent="0.25">
      <c r="A1484" s="62" t="s">
        <v>2019</v>
      </c>
      <c r="B1484" s="63"/>
      <c r="C1484" s="63"/>
      <c r="D1484" s="64"/>
      <c r="E1484" s="66"/>
      <c r="F1484" s="103" t="str">
        <f>HYPERLINK("https://pbs.twimg.com/profile_images/1610599921610096641/vQkhwOZx_normal.jpg")</f>
        <v>https://pbs.twimg.com/profile_images/1610599921610096641/vQkhwOZx_normal.jpg</v>
      </c>
      <c r="G1484" s="63"/>
      <c r="H1484" s="67"/>
      <c r="I1484" s="68"/>
      <c r="J1484" s="68"/>
      <c r="K1484" s="67" t="s">
        <v>29078</v>
      </c>
      <c r="L1484" s="71"/>
      <c r="M1484" s="72"/>
      <c r="N1484" s="72"/>
      <c r="O1484" s="73"/>
      <c r="P1484" s="74"/>
      <c r="Q1484" s="74"/>
      <c r="R1484" s="87"/>
      <c r="S1484" s="87"/>
      <c r="T1484" s="87"/>
      <c r="U1484" s="87"/>
      <c r="V1484" s="48"/>
      <c r="W1484" s="48"/>
      <c r="X1484" s="48"/>
      <c r="Y1484" s="48"/>
      <c r="Z1484" s="47"/>
      <c r="AA1484" s="69">
        <v>1484</v>
      </c>
      <c r="AB1484" s="69"/>
      <c r="AC1484" s="70"/>
      <c r="AD1484" s="76" t="s">
        <v>22697</v>
      </c>
      <c r="AE1484" s="81" t="s">
        <v>23847</v>
      </c>
      <c r="AF1484" s="76">
        <v>1742</v>
      </c>
      <c r="AG1484" s="76">
        <v>571</v>
      </c>
      <c r="AH1484" s="76">
        <v>2311</v>
      </c>
      <c r="AI1484" s="76">
        <v>8</v>
      </c>
      <c r="AJ1484" s="76">
        <v>1667</v>
      </c>
      <c r="AK1484" s="76">
        <v>347</v>
      </c>
      <c r="AL1484" s="76" t="b">
        <v>0</v>
      </c>
      <c r="AM1484" s="78">
        <v>43752.665081018517</v>
      </c>
      <c r="AN1484" s="76" t="s">
        <v>14411</v>
      </c>
      <c r="AO1484" s="76" t="s">
        <v>26026</v>
      </c>
      <c r="AP1484" s="82" t="str">
        <f>HYPERLINK("https://t.co/ZfUzGMzdbZ")</f>
        <v>https://t.co/ZfUzGMzdbZ</v>
      </c>
      <c r="AQ1484" s="82" t="str">
        <f>HYPERLINK("http://www.joseluisoreiro.com.br")</f>
        <v>http://www.joseluisoreiro.com.br</v>
      </c>
      <c r="AR1484" s="76" t="s">
        <v>27164</v>
      </c>
      <c r="AS1484" s="76"/>
      <c r="AT1484" s="76"/>
      <c r="AU1484" s="76"/>
      <c r="AV1484" s="76">
        <v>1.6276814316808399E+18</v>
      </c>
      <c r="AW1484" s="82" t="str">
        <f>HYPERLINK("https://t.co/ZfUzGMzdbZ")</f>
        <v>https://t.co/ZfUzGMzdbZ</v>
      </c>
      <c r="AX1484" s="76" t="b">
        <v>0</v>
      </c>
      <c r="AY1484" s="76"/>
      <c r="AZ1484" s="76"/>
      <c r="BA1484" s="76" t="b">
        <v>0</v>
      </c>
      <c r="BB1484" s="76" t="b">
        <v>0</v>
      </c>
      <c r="BC1484" s="76" t="b">
        <v>1</v>
      </c>
      <c r="BD1484" s="76" t="b">
        <v>0</v>
      </c>
      <c r="BE1484" s="76" t="b">
        <v>0</v>
      </c>
      <c r="BF1484" s="76" t="b">
        <v>0</v>
      </c>
      <c r="BG1484" s="76" t="b">
        <v>0</v>
      </c>
      <c r="BH1484" s="82" t="str">
        <f>HYPERLINK("https://pbs.twimg.com/profile_banners/1183773825256906754/1672831919")</f>
        <v>https://pbs.twimg.com/profile_banners/1183773825256906754/1672831919</v>
      </c>
      <c r="BI1484" s="76"/>
      <c r="BJ1484" s="76" t="s">
        <v>27595</v>
      </c>
      <c r="BK1484" s="76" t="b">
        <v>0</v>
      </c>
      <c r="BL1484" s="76"/>
      <c r="BM1484" s="76" t="s">
        <v>65</v>
      </c>
      <c r="BN1484" s="76" t="s">
        <v>27597</v>
      </c>
      <c r="BO1484" s="82" t="str">
        <f>HYPERLINK("https://twitter.com/oreiroluis")</f>
        <v>https://twitter.com/oreiroluis</v>
      </c>
      <c r="BP1484" s="2"/>
    </row>
    <row r="1485" spans="1:68" x14ac:dyDescent="0.25">
      <c r="A1485" s="62" t="s">
        <v>1342</v>
      </c>
      <c r="B1485" s="63"/>
      <c r="C1485" s="63"/>
      <c r="D1485" s="64"/>
      <c r="E1485" s="66"/>
      <c r="F1485" s="103" t="str">
        <f>HYPERLINK("https://pbs.twimg.com/profile_images/1577367071532400644/ujnmNEqP_normal.jpg")</f>
        <v>https://pbs.twimg.com/profile_images/1577367071532400644/ujnmNEqP_normal.jpg</v>
      </c>
      <c r="G1485" s="63"/>
      <c r="H1485" s="67"/>
      <c r="I1485" s="68"/>
      <c r="J1485" s="68"/>
      <c r="K1485" s="67" t="s">
        <v>29079</v>
      </c>
      <c r="L1485" s="71"/>
      <c r="M1485" s="72"/>
      <c r="N1485" s="72"/>
      <c r="O1485" s="73"/>
      <c r="P1485" s="74"/>
      <c r="Q1485" s="74"/>
      <c r="R1485" s="87"/>
      <c r="S1485" s="87"/>
      <c r="T1485" s="87"/>
      <c r="U1485" s="87"/>
      <c r="V1485" s="48"/>
      <c r="W1485" s="48"/>
      <c r="X1485" s="48"/>
      <c r="Y1485" s="48"/>
      <c r="Z1485" s="47"/>
      <c r="AA1485" s="69">
        <v>1485</v>
      </c>
      <c r="AB1485" s="69"/>
      <c r="AC1485" s="70"/>
      <c r="AD1485" s="76" t="s">
        <v>22698</v>
      </c>
      <c r="AE1485" s="81" t="s">
        <v>20343</v>
      </c>
      <c r="AF1485" s="76">
        <v>18737</v>
      </c>
      <c r="AG1485" s="76">
        <v>90</v>
      </c>
      <c r="AH1485" s="76">
        <v>9878</v>
      </c>
      <c r="AI1485" s="76">
        <v>202</v>
      </c>
      <c r="AJ1485" s="76">
        <v>884</v>
      </c>
      <c r="AK1485" s="76">
        <v>4794</v>
      </c>
      <c r="AL1485" s="76" t="b">
        <v>0</v>
      </c>
      <c r="AM1485" s="78">
        <v>40086.935856481483</v>
      </c>
      <c r="AN1485" s="76" t="s">
        <v>14400</v>
      </c>
      <c r="AO1485" s="76" t="s">
        <v>26027</v>
      </c>
      <c r="AP1485" s="82" t="str">
        <f>HYPERLINK("https://t.co/vPWI6RUkrJ")</f>
        <v>https://t.co/vPWI6RUkrJ</v>
      </c>
      <c r="AQ1485" s="82" t="str">
        <f>HYPERLINK("https://linktr.ee/Alesp")</f>
        <v>https://linktr.ee/Alesp</v>
      </c>
      <c r="AR1485" s="76" t="s">
        <v>27165</v>
      </c>
      <c r="AS1485" s="76"/>
      <c r="AT1485" s="76"/>
      <c r="AU1485" s="76"/>
      <c r="AV1485" s="76"/>
      <c r="AW1485" s="82" t="str">
        <f>HYPERLINK("https://t.co/vPWI6RUkrJ")</f>
        <v>https://t.co/vPWI6RUkrJ</v>
      </c>
      <c r="AX1485" s="76" t="b">
        <v>1</v>
      </c>
      <c r="AY1485" s="76"/>
      <c r="AZ1485" s="76"/>
      <c r="BA1485" s="76" t="b">
        <v>0</v>
      </c>
      <c r="BB1485" s="76" t="b">
        <v>1</v>
      </c>
      <c r="BC1485" s="76" t="b">
        <v>0</v>
      </c>
      <c r="BD1485" s="76" t="b">
        <v>0</v>
      </c>
      <c r="BE1485" s="76" t="b">
        <v>1</v>
      </c>
      <c r="BF1485" s="76" t="b">
        <v>0</v>
      </c>
      <c r="BG1485" s="76" t="b">
        <v>0</v>
      </c>
      <c r="BH1485" s="82" t="str">
        <f>HYPERLINK("https://pbs.twimg.com/profile_banners/78725785/1667507166")</f>
        <v>https://pbs.twimg.com/profile_banners/78725785/1667507166</v>
      </c>
      <c r="BI1485" s="76"/>
      <c r="BJ1485" s="76" t="s">
        <v>27595</v>
      </c>
      <c r="BK1485" s="76" t="b">
        <v>0</v>
      </c>
      <c r="BL1485" s="76"/>
      <c r="BM1485" s="76" t="s">
        <v>66</v>
      </c>
      <c r="BN1485" s="76" t="s">
        <v>27597</v>
      </c>
      <c r="BO1485" s="82" t="str">
        <f>HYPERLINK("https://twitter.com/assembleiasp")</f>
        <v>https://twitter.com/assembleiasp</v>
      </c>
      <c r="BP1485" s="2"/>
    </row>
    <row r="1486" spans="1:68" x14ac:dyDescent="0.25">
      <c r="A1486" s="62" t="s">
        <v>1343</v>
      </c>
      <c r="B1486" s="63"/>
      <c r="C1486" s="63"/>
      <c r="D1486" s="64"/>
      <c r="E1486" s="66"/>
      <c r="F1486" s="103" t="str">
        <f>HYPERLINK("https://pbs.twimg.com/profile_images/1576367177149648896/PlzD9Fmg_normal.jpg")</f>
        <v>https://pbs.twimg.com/profile_images/1576367177149648896/PlzD9Fmg_normal.jpg</v>
      </c>
      <c r="G1486" s="63"/>
      <c r="H1486" s="67"/>
      <c r="I1486" s="68"/>
      <c r="J1486" s="68"/>
      <c r="K1486" s="67" t="s">
        <v>29080</v>
      </c>
      <c r="L1486" s="71"/>
      <c r="M1486" s="72"/>
      <c r="N1486" s="72"/>
      <c r="O1486" s="73"/>
      <c r="P1486" s="74"/>
      <c r="Q1486" s="74"/>
      <c r="R1486" s="87"/>
      <c r="S1486" s="87"/>
      <c r="T1486" s="87"/>
      <c r="U1486" s="87"/>
      <c r="V1486" s="48"/>
      <c r="W1486" s="48"/>
      <c r="X1486" s="48"/>
      <c r="Y1486" s="48"/>
      <c r="Z1486" s="47"/>
      <c r="AA1486" s="69">
        <v>1486</v>
      </c>
      <c r="AB1486" s="69"/>
      <c r="AC1486" s="70"/>
      <c r="AD1486" s="76" t="s">
        <v>22699</v>
      </c>
      <c r="AE1486" s="81" t="s">
        <v>21045</v>
      </c>
      <c r="AF1486" s="76">
        <v>17</v>
      </c>
      <c r="AG1486" s="76">
        <v>17</v>
      </c>
      <c r="AH1486" s="76">
        <v>225</v>
      </c>
      <c r="AI1486" s="76">
        <v>0</v>
      </c>
      <c r="AJ1486" s="76">
        <v>744</v>
      </c>
      <c r="AK1486" s="76">
        <v>19</v>
      </c>
      <c r="AL1486" s="76" t="b">
        <v>0</v>
      </c>
      <c r="AM1486" s="78">
        <v>44385.573206018518</v>
      </c>
      <c r="AN1486" s="76"/>
      <c r="AO1486" s="76" t="s">
        <v>26028</v>
      </c>
      <c r="AP1486" s="76"/>
      <c r="AQ1486" s="76"/>
      <c r="AR1486" s="76"/>
      <c r="AS1486" s="76"/>
      <c r="AT1486" s="76"/>
      <c r="AU1486" s="76"/>
      <c r="AV1486" s="76"/>
      <c r="AW1486" s="76"/>
      <c r="AX1486" s="76" t="b">
        <v>0</v>
      </c>
      <c r="AY1486" s="76"/>
      <c r="AZ1486" s="76"/>
      <c r="BA1486" s="76" t="b">
        <v>0</v>
      </c>
      <c r="BB1486" s="76" t="b">
        <v>1</v>
      </c>
      <c r="BC1486" s="76" t="b">
        <v>1</v>
      </c>
      <c r="BD1486" s="76" t="b">
        <v>0</v>
      </c>
      <c r="BE1486" s="76" t="b">
        <v>1</v>
      </c>
      <c r="BF1486" s="76" t="b">
        <v>0</v>
      </c>
      <c r="BG1486" s="76" t="b">
        <v>0</v>
      </c>
      <c r="BH1486" s="82" t="str">
        <f>HYPERLINK("https://pbs.twimg.com/profile_banners/1413131632995753986/1664669955")</f>
        <v>https://pbs.twimg.com/profile_banners/1413131632995753986/1664669955</v>
      </c>
      <c r="BI1486" s="76"/>
      <c r="BJ1486" s="76" t="s">
        <v>27595</v>
      </c>
      <c r="BK1486" s="76" t="b">
        <v>0</v>
      </c>
      <c r="BL1486" s="76"/>
      <c r="BM1486" s="76" t="s">
        <v>66</v>
      </c>
      <c r="BN1486" s="76" t="s">
        <v>27597</v>
      </c>
      <c r="BO1486" s="82" t="str">
        <f>HYPERLINK("https://twitter.com/rorinstongcs")</f>
        <v>https://twitter.com/rorinstongcs</v>
      </c>
      <c r="BP1486" s="2"/>
    </row>
    <row r="1487" spans="1:68" x14ac:dyDescent="0.25">
      <c r="A1487" s="62" t="s">
        <v>1344</v>
      </c>
      <c r="B1487" s="63"/>
      <c r="C1487" s="63"/>
      <c r="D1487" s="64"/>
      <c r="E1487" s="66"/>
      <c r="F1487" s="103" t="str">
        <f>HYPERLINK("https://pbs.twimg.com/profile_images/1352635048613322752/sOFjcMdr_normal.jpg")</f>
        <v>https://pbs.twimg.com/profile_images/1352635048613322752/sOFjcMdr_normal.jpg</v>
      </c>
      <c r="G1487" s="63"/>
      <c r="H1487" s="67"/>
      <c r="I1487" s="68"/>
      <c r="J1487" s="68"/>
      <c r="K1487" s="67" t="s">
        <v>29081</v>
      </c>
      <c r="L1487" s="71"/>
      <c r="M1487" s="72"/>
      <c r="N1487" s="72"/>
      <c r="O1487" s="73"/>
      <c r="P1487" s="74"/>
      <c r="Q1487" s="74"/>
      <c r="R1487" s="87"/>
      <c r="S1487" s="87"/>
      <c r="T1487" s="87"/>
      <c r="U1487" s="87"/>
      <c r="V1487" s="48"/>
      <c r="W1487" s="48"/>
      <c r="X1487" s="48"/>
      <c r="Y1487" s="48"/>
      <c r="Z1487" s="47"/>
      <c r="AA1487" s="69">
        <v>1487</v>
      </c>
      <c r="AB1487" s="69"/>
      <c r="AC1487" s="70"/>
      <c r="AD1487" s="76" t="s">
        <v>22700</v>
      </c>
      <c r="AE1487" s="81" t="s">
        <v>23848</v>
      </c>
      <c r="AF1487" s="76">
        <v>184</v>
      </c>
      <c r="AG1487" s="76">
        <v>488</v>
      </c>
      <c r="AH1487" s="76">
        <v>12771</v>
      </c>
      <c r="AI1487" s="76">
        <v>3</v>
      </c>
      <c r="AJ1487" s="76">
        <v>0</v>
      </c>
      <c r="AK1487" s="76">
        <v>1469</v>
      </c>
      <c r="AL1487" s="76" t="b">
        <v>0</v>
      </c>
      <c r="AM1487" s="78">
        <v>40003.494895833333</v>
      </c>
      <c r="AN1487" s="76" t="s">
        <v>14511</v>
      </c>
      <c r="AO1487" s="76" t="s">
        <v>26029</v>
      </c>
      <c r="AP1487" s="76"/>
      <c r="AQ1487" s="76"/>
      <c r="AR1487" s="76"/>
      <c r="AS1487" s="76"/>
      <c r="AT1487" s="76"/>
      <c r="AU1487" s="76"/>
      <c r="AV1487" s="76"/>
      <c r="AW1487" s="76"/>
      <c r="AX1487" s="76" t="b">
        <v>0</v>
      </c>
      <c r="AY1487" s="76"/>
      <c r="AZ1487" s="76"/>
      <c r="BA1487" s="76" t="b">
        <v>0</v>
      </c>
      <c r="BB1487" s="76" t="b">
        <v>1</v>
      </c>
      <c r="BC1487" s="76" t="b">
        <v>0</v>
      </c>
      <c r="BD1487" s="76" t="b">
        <v>0</v>
      </c>
      <c r="BE1487" s="76" t="b">
        <v>1</v>
      </c>
      <c r="BF1487" s="76" t="b">
        <v>0</v>
      </c>
      <c r="BG1487" s="76" t="b">
        <v>0</v>
      </c>
      <c r="BH1487" s="82" t="str">
        <f>HYPERLINK("https://pbs.twimg.com/profile_banners/55213613/1670611895")</f>
        <v>https://pbs.twimg.com/profile_banners/55213613/1670611895</v>
      </c>
      <c r="BI1487" s="76"/>
      <c r="BJ1487" s="76" t="s">
        <v>27595</v>
      </c>
      <c r="BK1487" s="76" t="b">
        <v>0</v>
      </c>
      <c r="BL1487" s="76"/>
      <c r="BM1487" s="76" t="s">
        <v>66</v>
      </c>
      <c r="BN1487" s="76" t="s">
        <v>27597</v>
      </c>
      <c r="BO1487" s="82" t="str">
        <f>HYPERLINK("https://twitter.com/tadeumouzinhogo")</f>
        <v>https://twitter.com/tadeumouzinhogo</v>
      </c>
      <c r="BP1487" s="2"/>
    </row>
    <row r="1488" spans="1:68" x14ac:dyDescent="0.25">
      <c r="A1488" s="62" t="s">
        <v>2020</v>
      </c>
      <c r="B1488" s="63"/>
      <c r="C1488" s="63"/>
      <c r="D1488" s="64"/>
      <c r="E1488" s="66"/>
      <c r="F1488" s="103" t="str">
        <f>HYPERLINK("https://pbs.twimg.com/profile_images/829730530522431489/xZAyEqx5_normal.jpg")</f>
        <v>https://pbs.twimg.com/profile_images/829730530522431489/xZAyEqx5_normal.jpg</v>
      </c>
      <c r="G1488" s="63"/>
      <c r="H1488" s="67"/>
      <c r="I1488" s="68"/>
      <c r="J1488" s="68"/>
      <c r="K1488" s="67" t="s">
        <v>29082</v>
      </c>
      <c r="L1488" s="71"/>
      <c r="M1488" s="72"/>
      <c r="N1488" s="72"/>
      <c r="O1488" s="73"/>
      <c r="P1488" s="74"/>
      <c r="Q1488" s="74"/>
      <c r="R1488" s="87"/>
      <c r="S1488" s="87"/>
      <c r="T1488" s="87"/>
      <c r="U1488" s="87"/>
      <c r="V1488" s="48"/>
      <c r="W1488" s="48"/>
      <c r="X1488" s="48"/>
      <c r="Y1488" s="48"/>
      <c r="Z1488" s="47"/>
      <c r="AA1488" s="69">
        <v>1488</v>
      </c>
      <c r="AB1488" s="69"/>
      <c r="AC1488" s="70"/>
      <c r="AD1488" s="76" t="s">
        <v>22701</v>
      </c>
      <c r="AE1488" s="81" t="s">
        <v>23849</v>
      </c>
      <c r="AF1488" s="76">
        <v>5715</v>
      </c>
      <c r="AG1488" s="76">
        <v>4</v>
      </c>
      <c r="AH1488" s="76">
        <v>247</v>
      </c>
      <c r="AI1488" s="76">
        <v>38</v>
      </c>
      <c r="AJ1488" s="76">
        <v>9</v>
      </c>
      <c r="AK1488" s="76">
        <v>9</v>
      </c>
      <c r="AL1488" s="76" t="b">
        <v>0</v>
      </c>
      <c r="AM1488" s="78">
        <v>41173.937245370369</v>
      </c>
      <c r="AN1488" s="76"/>
      <c r="AO1488" s="76" t="s">
        <v>26030</v>
      </c>
      <c r="AP1488" s="82" t="str">
        <f>HYPERLINK("http://t.co/1wUIEOsUo3")</f>
        <v>http://t.co/1wUIEOsUo3</v>
      </c>
      <c r="AQ1488" s="82" t="str">
        <f>HYPERLINK("http://www.socialistamorena.com.br")</f>
        <v>http://www.socialistamorena.com.br</v>
      </c>
      <c r="AR1488" s="76" t="s">
        <v>27166</v>
      </c>
      <c r="AS1488" s="76"/>
      <c r="AT1488" s="76"/>
      <c r="AU1488" s="76"/>
      <c r="AV1488" s="76"/>
      <c r="AW1488" s="82" t="str">
        <f>HYPERLINK("http://t.co/1wUIEOsUo3")</f>
        <v>http://t.co/1wUIEOsUo3</v>
      </c>
      <c r="AX1488" s="76" t="b">
        <v>0</v>
      </c>
      <c r="AY1488" s="76"/>
      <c r="AZ1488" s="76"/>
      <c r="BA1488" s="76" t="b">
        <v>0</v>
      </c>
      <c r="BB1488" s="76" t="b">
        <v>1</v>
      </c>
      <c r="BC1488" s="76" t="b">
        <v>0</v>
      </c>
      <c r="BD1488" s="76" t="b">
        <v>0</v>
      </c>
      <c r="BE1488" s="76" t="b">
        <v>0</v>
      </c>
      <c r="BF1488" s="76" t="b">
        <v>0</v>
      </c>
      <c r="BG1488" s="76" t="b">
        <v>0</v>
      </c>
      <c r="BH1488" s="82" t="str">
        <f>HYPERLINK("https://pbs.twimg.com/profile_banners/838668338/1502994877")</f>
        <v>https://pbs.twimg.com/profile_banners/838668338/1502994877</v>
      </c>
      <c r="BI1488" s="76"/>
      <c r="BJ1488" s="76" t="s">
        <v>27595</v>
      </c>
      <c r="BK1488" s="76" t="b">
        <v>0</v>
      </c>
      <c r="BL1488" s="76"/>
      <c r="BM1488" s="76" t="s">
        <v>65</v>
      </c>
      <c r="BN1488" s="76" t="s">
        <v>27597</v>
      </c>
      <c r="BO1488" s="82" t="str">
        <f>HYPERLINK("https://twitter.com/socialistamor")</f>
        <v>https://twitter.com/socialistamor</v>
      </c>
      <c r="BP1488" s="2"/>
    </row>
    <row r="1489" spans="1:68" x14ac:dyDescent="0.25">
      <c r="A1489" s="62" t="s">
        <v>2021</v>
      </c>
      <c r="B1489" s="63"/>
      <c r="C1489" s="63"/>
      <c r="D1489" s="64"/>
      <c r="E1489" s="66"/>
      <c r="F1489" s="103" t="str">
        <f>HYPERLINK("https://pbs.twimg.com/profile_images/984467890668793857/G38KX8iT_normal.jpg")</f>
        <v>https://pbs.twimg.com/profile_images/984467890668793857/G38KX8iT_normal.jpg</v>
      </c>
      <c r="G1489" s="63"/>
      <c r="H1489" s="67"/>
      <c r="I1489" s="68"/>
      <c r="J1489" s="68"/>
      <c r="K1489" s="67" t="s">
        <v>29083</v>
      </c>
      <c r="L1489" s="71"/>
      <c r="M1489" s="72"/>
      <c r="N1489" s="72"/>
      <c r="O1489" s="73"/>
      <c r="P1489" s="74"/>
      <c r="Q1489" s="74"/>
      <c r="R1489" s="87"/>
      <c r="S1489" s="87"/>
      <c r="T1489" s="87"/>
      <c r="U1489" s="87"/>
      <c r="V1489" s="48"/>
      <c r="W1489" s="48"/>
      <c r="X1489" s="48"/>
      <c r="Y1489" s="48"/>
      <c r="Z1489" s="47"/>
      <c r="AA1489" s="69">
        <v>1489</v>
      </c>
      <c r="AB1489" s="69"/>
      <c r="AC1489" s="70"/>
      <c r="AD1489" s="76" t="s">
        <v>22702</v>
      </c>
      <c r="AE1489" s="81" t="s">
        <v>23850</v>
      </c>
      <c r="AF1489" s="76">
        <v>126381</v>
      </c>
      <c r="AG1489" s="76">
        <v>1309</v>
      </c>
      <c r="AH1489" s="76">
        <v>163988</v>
      </c>
      <c r="AI1489" s="76">
        <v>998</v>
      </c>
      <c r="AJ1489" s="76">
        <v>412</v>
      </c>
      <c r="AK1489" s="76">
        <v>86939</v>
      </c>
      <c r="AL1489" s="76" t="b">
        <v>0</v>
      </c>
      <c r="AM1489" s="78">
        <v>40871.869479166664</v>
      </c>
      <c r="AN1489" s="76"/>
      <c r="AO1489" s="76" t="s">
        <v>26031</v>
      </c>
      <c r="AP1489" s="82" t="str">
        <f>HYPERLINK("https://t.co/tG4Uuvb3Ym")</f>
        <v>https://t.co/tG4Uuvb3Ym</v>
      </c>
      <c r="AQ1489" s="82" t="str">
        <f>HYPERLINK("http://www.pulso.cl")</f>
        <v>http://www.pulso.cl</v>
      </c>
      <c r="AR1489" s="76" t="s">
        <v>27167</v>
      </c>
      <c r="AS1489" s="82" t="str">
        <f>HYPERLINK("https://t.co/Qzpd2EQWvJ")</f>
        <v>https://t.co/Qzpd2EQWvJ</v>
      </c>
      <c r="AT1489" s="82" t="str">
        <f>HYPERLINK("http://facebook.com/PulsoChile")</f>
        <v>http://facebook.com/PulsoChile</v>
      </c>
      <c r="AU1489" s="76" t="s">
        <v>27554</v>
      </c>
      <c r="AV1489" s="76"/>
      <c r="AW1489" s="82" t="str">
        <f>HYPERLINK("https://t.co/tG4Uuvb3Ym")</f>
        <v>https://t.co/tG4Uuvb3Ym</v>
      </c>
      <c r="AX1489" s="76" t="b">
        <v>0</v>
      </c>
      <c r="AY1489" s="76"/>
      <c r="AZ1489" s="76"/>
      <c r="BA1489" s="76" t="b">
        <v>0</v>
      </c>
      <c r="BB1489" s="76" t="b">
        <v>1</v>
      </c>
      <c r="BC1489" s="76" t="b">
        <v>0</v>
      </c>
      <c r="BD1489" s="76" t="b">
        <v>0</v>
      </c>
      <c r="BE1489" s="76" t="b">
        <v>1</v>
      </c>
      <c r="BF1489" s="76" t="b">
        <v>0</v>
      </c>
      <c r="BG1489" s="76" t="b">
        <v>0</v>
      </c>
      <c r="BH1489" s="82" t="str">
        <f>HYPERLINK("https://pbs.twimg.com/profile_banners/420592061/1531147055")</f>
        <v>https://pbs.twimg.com/profile_banners/420592061/1531147055</v>
      </c>
      <c r="BI1489" s="76"/>
      <c r="BJ1489" s="76" t="s">
        <v>27595</v>
      </c>
      <c r="BK1489" s="76" t="b">
        <v>0</v>
      </c>
      <c r="BL1489" s="76"/>
      <c r="BM1489" s="76" t="s">
        <v>65</v>
      </c>
      <c r="BN1489" s="76" t="s">
        <v>27597</v>
      </c>
      <c r="BO1489" s="82" t="str">
        <f>HYPERLINK("https://twitter.com/pulso_tw")</f>
        <v>https://twitter.com/pulso_tw</v>
      </c>
      <c r="BP1489" s="2"/>
    </row>
    <row r="1490" spans="1:68" x14ac:dyDescent="0.25">
      <c r="A1490" s="62" t="s">
        <v>1347</v>
      </c>
      <c r="B1490" s="63"/>
      <c r="C1490" s="63"/>
      <c r="D1490" s="64"/>
      <c r="E1490" s="66"/>
      <c r="F1490" s="103" t="str">
        <f>HYPERLINK("https://pbs.twimg.com/profile_images/1256602270017425409/G0ILqcMT_normal.jpg")</f>
        <v>https://pbs.twimg.com/profile_images/1256602270017425409/G0ILqcMT_normal.jpg</v>
      </c>
      <c r="G1490" s="63"/>
      <c r="H1490" s="67"/>
      <c r="I1490" s="68"/>
      <c r="J1490" s="68"/>
      <c r="K1490" s="67" t="s">
        <v>29084</v>
      </c>
      <c r="L1490" s="71"/>
      <c r="M1490" s="72"/>
      <c r="N1490" s="72"/>
      <c r="O1490" s="73"/>
      <c r="P1490" s="74"/>
      <c r="Q1490" s="74"/>
      <c r="R1490" s="87"/>
      <c r="S1490" s="87"/>
      <c r="T1490" s="87"/>
      <c r="U1490" s="87"/>
      <c r="V1490" s="48"/>
      <c r="W1490" s="48"/>
      <c r="X1490" s="48"/>
      <c r="Y1490" s="48"/>
      <c r="Z1490" s="47"/>
      <c r="AA1490" s="69">
        <v>1490</v>
      </c>
      <c r="AB1490" s="69"/>
      <c r="AC1490" s="70"/>
      <c r="AD1490" s="76" t="s">
        <v>22703</v>
      </c>
      <c r="AE1490" s="81" t="s">
        <v>23851</v>
      </c>
      <c r="AF1490" s="76">
        <v>381</v>
      </c>
      <c r="AG1490" s="76">
        <v>1261</v>
      </c>
      <c r="AH1490" s="76">
        <v>7648</v>
      </c>
      <c r="AI1490" s="76">
        <v>9</v>
      </c>
      <c r="AJ1490" s="76">
        <v>16904</v>
      </c>
      <c r="AK1490" s="76">
        <v>923</v>
      </c>
      <c r="AL1490" s="76" t="b">
        <v>0</v>
      </c>
      <c r="AM1490" s="78">
        <v>39651.895196759258</v>
      </c>
      <c r="AN1490" s="76" t="s">
        <v>24593</v>
      </c>
      <c r="AO1490" s="76" t="s">
        <v>26032</v>
      </c>
      <c r="AP1490" s="76"/>
      <c r="AQ1490" s="76"/>
      <c r="AR1490" s="76"/>
      <c r="AS1490" s="76"/>
      <c r="AT1490" s="76"/>
      <c r="AU1490" s="76"/>
      <c r="AV1490" s="76"/>
      <c r="AW1490" s="76"/>
      <c r="AX1490" s="76" t="b">
        <v>0</v>
      </c>
      <c r="AY1490" s="76"/>
      <c r="AZ1490" s="76"/>
      <c r="BA1490" s="76" t="b">
        <v>0</v>
      </c>
      <c r="BB1490" s="76" t="b">
        <v>0</v>
      </c>
      <c r="BC1490" s="76" t="b">
        <v>0</v>
      </c>
      <c r="BD1490" s="76" t="b">
        <v>0</v>
      </c>
      <c r="BE1490" s="76" t="b">
        <v>1</v>
      </c>
      <c r="BF1490" s="76" t="b">
        <v>0</v>
      </c>
      <c r="BG1490" s="76" t="b">
        <v>0</v>
      </c>
      <c r="BH1490" s="82" t="str">
        <f>HYPERLINK("https://pbs.twimg.com/profile_banners/15537575/1560457241")</f>
        <v>https://pbs.twimg.com/profile_banners/15537575/1560457241</v>
      </c>
      <c r="BI1490" s="76"/>
      <c r="BJ1490" s="76" t="s">
        <v>27595</v>
      </c>
      <c r="BK1490" s="76" t="b">
        <v>0</v>
      </c>
      <c r="BL1490" s="76"/>
      <c r="BM1490" s="76" t="s">
        <v>66</v>
      </c>
      <c r="BN1490" s="76" t="s">
        <v>27597</v>
      </c>
      <c r="BO1490" s="82" t="str">
        <f>HYPERLINK("https://twitter.com/wagneralmeida")</f>
        <v>https://twitter.com/wagneralmeida</v>
      </c>
      <c r="BP1490" s="2"/>
    </row>
    <row r="1491" spans="1:68" x14ac:dyDescent="0.25">
      <c r="A1491" s="62" t="s">
        <v>2022</v>
      </c>
      <c r="B1491" s="63"/>
      <c r="C1491" s="63"/>
      <c r="D1491" s="64"/>
      <c r="E1491" s="66"/>
      <c r="F1491" s="103" t="str">
        <f>HYPERLINK("https://pbs.twimg.com/profile_images/1668797105282985984/UUZWzpjy_normal.jpg")</f>
        <v>https://pbs.twimg.com/profile_images/1668797105282985984/UUZWzpjy_normal.jpg</v>
      </c>
      <c r="G1491" s="63"/>
      <c r="H1491" s="67"/>
      <c r="I1491" s="68"/>
      <c r="J1491" s="68"/>
      <c r="K1491" s="67" t="s">
        <v>29085</v>
      </c>
      <c r="L1491" s="71"/>
      <c r="M1491" s="72"/>
      <c r="N1491" s="72"/>
      <c r="O1491" s="73"/>
      <c r="P1491" s="74"/>
      <c r="Q1491" s="74"/>
      <c r="R1491" s="87"/>
      <c r="S1491" s="87"/>
      <c r="T1491" s="87"/>
      <c r="U1491" s="87"/>
      <c r="V1491" s="48"/>
      <c r="W1491" s="48"/>
      <c r="X1491" s="48"/>
      <c r="Y1491" s="48"/>
      <c r="Z1491" s="47"/>
      <c r="AA1491" s="69">
        <v>1491</v>
      </c>
      <c r="AB1491" s="69"/>
      <c r="AC1491" s="70"/>
      <c r="AD1491" s="76" t="s">
        <v>22704</v>
      </c>
      <c r="AE1491" s="81" t="s">
        <v>20345</v>
      </c>
      <c r="AF1491" s="76">
        <v>599995</v>
      </c>
      <c r="AG1491" s="76">
        <v>5853</v>
      </c>
      <c r="AH1491" s="76">
        <v>46708</v>
      </c>
      <c r="AI1491" s="76">
        <v>1050</v>
      </c>
      <c r="AJ1491" s="76">
        <v>54467</v>
      </c>
      <c r="AK1491" s="76">
        <v>2393</v>
      </c>
      <c r="AL1491" s="76" t="b">
        <v>0</v>
      </c>
      <c r="AM1491" s="78">
        <v>43013.773645833331</v>
      </c>
      <c r="AN1491" s="76"/>
      <c r="AO1491" s="76" t="s">
        <v>26033</v>
      </c>
      <c r="AP1491" s="82" t="str">
        <f>HYPERLINK("https://t.co/vNiophC3Sb")</f>
        <v>https://t.co/vNiophC3Sb</v>
      </c>
      <c r="AQ1491" s="82" t="str">
        <f>HYPERLINK("https://www.nathfinancas.com.br/nathplay/")</f>
        <v>https://www.nathfinancas.com.br/nathplay/</v>
      </c>
      <c r="AR1491" s="76" t="s">
        <v>27168</v>
      </c>
      <c r="AS1491" s="76"/>
      <c r="AT1491" s="76"/>
      <c r="AU1491" s="76"/>
      <c r="AV1491" s="76">
        <v>1.70414966077485E+18</v>
      </c>
      <c r="AW1491" s="82" t="str">
        <f>HYPERLINK("https://t.co/vNiophC3Sb")</f>
        <v>https://t.co/vNiophC3Sb</v>
      </c>
      <c r="AX1491" s="76" t="b">
        <v>1</v>
      </c>
      <c r="AY1491" s="76"/>
      <c r="AZ1491" s="76"/>
      <c r="BA1491" s="76" t="b">
        <v>1</v>
      </c>
      <c r="BB1491" s="76" t="b">
        <v>0</v>
      </c>
      <c r="BC1491" s="76" t="b">
        <v>1</v>
      </c>
      <c r="BD1491" s="76" t="b">
        <v>0</v>
      </c>
      <c r="BE1491" s="76" t="b">
        <v>1</v>
      </c>
      <c r="BF1491" s="76" t="b">
        <v>0</v>
      </c>
      <c r="BG1491" s="76" t="b">
        <v>0</v>
      </c>
      <c r="BH1491" s="82" t="str">
        <f>HYPERLINK("https://pbs.twimg.com/profile_banners/916008599205359617/1687455188")</f>
        <v>https://pbs.twimg.com/profile_banners/916008599205359617/1687455188</v>
      </c>
      <c r="BI1491" s="76"/>
      <c r="BJ1491" s="76" t="s">
        <v>27595</v>
      </c>
      <c r="BK1491" s="76" t="b">
        <v>0</v>
      </c>
      <c r="BL1491" s="76"/>
      <c r="BM1491" s="76" t="s">
        <v>65</v>
      </c>
      <c r="BN1491" s="76" t="s">
        <v>27597</v>
      </c>
      <c r="BO1491" s="82" t="str">
        <f>HYPERLINK("https://twitter.com/nathfinancas")</f>
        <v>https://twitter.com/nathfinancas</v>
      </c>
      <c r="BP1491" s="2"/>
    </row>
    <row r="1492" spans="1:68" x14ac:dyDescent="0.25">
      <c r="A1492" s="62" t="s">
        <v>1348</v>
      </c>
      <c r="B1492" s="63"/>
      <c r="C1492" s="63"/>
      <c r="D1492" s="64"/>
      <c r="E1492" s="66"/>
      <c r="F1492" s="103" t="str">
        <f>HYPERLINK("https://pbs.twimg.com/profile_images/1688545758637678592/OqtlaYAQ_normal.jpg")</f>
        <v>https://pbs.twimg.com/profile_images/1688545758637678592/OqtlaYAQ_normal.jpg</v>
      </c>
      <c r="G1492" s="63"/>
      <c r="H1492" s="67"/>
      <c r="I1492" s="68"/>
      <c r="J1492" s="68"/>
      <c r="K1492" s="67" t="s">
        <v>29086</v>
      </c>
      <c r="L1492" s="71"/>
      <c r="M1492" s="72"/>
      <c r="N1492" s="72"/>
      <c r="O1492" s="73"/>
      <c r="P1492" s="74"/>
      <c r="Q1492" s="74"/>
      <c r="R1492" s="87"/>
      <c r="S1492" s="87"/>
      <c r="T1492" s="87"/>
      <c r="U1492" s="87"/>
      <c r="V1492" s="48"/>
      <c r="W1492" s="48"/>
      <c r="X1492" s="48"/>
      <c r="Y1492" s="48"/>
      <c r="Z1492" s="47"/>
      <c r="AA1492" s="69">
        <v>1492</v>
      </c>
      <c r="AB1492" s="69"/>
      <c r="AC1492" s="70"/>
      <c r="AD1492" s="76" t="s">
        <v>22705</v>
      </c>
      <c r="AE1492" s="81" t="s">
        <v>23852</v>
      </c>
      <c r="AF1492" s="76">
        <v>51320</v>
      </c>
      <c r="AG1492" s="76">
        <v>1714</v>
      </c>
      <c r="AH1492" s="76">
        <v>156935</v>
      </c>
      <c r="AI1492" s="76">
        <v>190</v>
      </c>
      <c r="AJ1492" s="76">
        <v>740</v>
      </c>
      <c r="AK1492" s="76">
        <v>65508</v>
      </c>
      <c r="AL1492" s="76" t="b">
        <v>0</v>
      </c>
      <c r="AM1492" s="78">
        <v>40619.86959490741</v>
      </c>
      <c r="AN1492" s="76" t="s">
        <v>14386</v>
      </c>
      <c r="AO1492" s="76" t="s">
        <v>26034</v>
      </c>
      <c r="AP1492" s="82" t="str">
        <f>HYPERLINK("https://t.co/UOlYKXhClT")</f>
        <v>https://t.co/UOlYKXhClT</v>
      </c>
      <c r="AQ1492" s="82" t="str">
        <f>HYPERLINK("http://envivo.concierto.cl")</f>
        <v>http://envivo.concierto.cl</v>
      </c>
      <c r="AR1492" s="76" t="s">
        <v>27169</v>
      </c>
      <c r="AS1492" s="76"/>
      <c r="AT1492" s="76"/>
      <c r="AU1492" s="76"/>
      <c r="AV1492" s="76"/>
      <c r="AW1492" s="82" t="str">
        <f>HYPERLINK("https://t.co/UOlYKXhClT")</f>
        <v>https://t.co/UOlYKXhClT</v>
      </c>
      <c r="AX1492" s="76" t="b">
        <v>0</v>
      </c>
      <c r="AY1492" s="76"/>
      <c r="AZ1492" s="76"/>
      <c r="BA1492" s="76" t="b">
        <v>0</v>
      </c>
      <c r="BB1492" s="76" t="b">
        <v>1</v>
      </c>
      <c r="BC1492" s="76" t="b">
        <v>0</v>
      </c>
      <c r="BD1492" s="76" t="b">
        <v>0</v>
      </c>
      <c r="BE1492" s="76" t="b">
        <v>1</v>
      </c>
      <c r="BF1492" s="76" t="b">
        <v>0</v>
      </c>
      <c r="BG1492" s="76" t="b">
        <v>0</v>
      </c>
      <c r="BH1492" s="82" t="str">
        <f>HYPERLINK("https://pbs.twimg.com/profile_banners/267933419/1649683791")</f>
        <v>https://pbs.twimg.com/profile_banners/267933419/1649683791</v>
      </c>
      <c r="BI1492" s="76"/>
      <c r="BJ1492" s="76" t="s">
        <v>27595</v>
      </c>
      <c r="BK1492" s="76" t="b">
        <v>0</v>
      </c>
      <c r="BL1492" s="76"/>
      <c r="BM1492" s="76" t="s">
        <v>66</v>
      </c>
      <c r="BN1492" s="76" t="s">
        <v>27597</v>
      </c>
      <c r="BO1492" s="82" t="str">
        <f>HYPERLINK("https://twitter.com/conciertoradio")</f>
        <v>https://twitter.com/conciertoradio</v>
      </c>
      <c r="BP1492" s="2"/>
    </row>
    <row r="1493" spans="1:68" x14ac:dyDescent="0.25">
      <c r="A1493" s="62" t="s">
        <v>1350</v>
      </c>
      <c r="B1493" s="63"/>
      <c r="C1493" s="63"/>
      <c r="D1493" s="64"/>
      <c r="E1493" s="66"/>
      <c r="F1493" s="103" t="str">
        <f>HYPERLINK("https://pbs.twimg.com/profile_images/1526404556296421376/TEMay8-3_normal.jpg")</f>
        <v>https://pbs.twimg.com/profile_images/1526404556296421376/TEMay8-3_normal.jpg</v>
      </c>
      <c r="G1493" s="63"/>
      <c r="H1493" s="67"/>
      <c r="I1493" s="68"/>
      <c r="J1493" s="68"/>
      <c r="K1493" s="67" t="s">
        <v>29087</v>
      </c>
      <c r="L1493" s="71"/>
      <c r="M1493" s="72"/>
      <c r="N1493" s="72"/>
      <c r="O1493" s="73"/>
      <c r="P1493" s="74"/>
      <c r="Q1493" s="74"/>
      <c r="R1493" s="87"/>
      <c r="S1493" s="87"/>
      <c r="T1493" s="87"/>
      <c r="U1493" s="87"/>
      <c r="V1493" s="48"/>
      <c r="W1493" s="48"/>
      <c r="X1493" s="48"/>
      <c r="Y1493" s="48"/>
      <c r="Z1493" s="47"/>
      <c r="AA1493" s="69">
        <v>1493</v>
      </c>
      <c r="AB1493" s="69"/>
      <c r="AC1493" s="70"/>
      <c r="AD1493" s="76" t="s">
        <v>22706</v>
      </c>
      <c r="AE1493" s="81" t="s">
        <v>21047</v>
      </c>
      <c r="AF1493" s="76">
        <v>255</v>
      </c>
      <c r="AG1493" s="76">
        <v>20</v>
      </c>
      <c r="AH1493" s="76">
        <v>7591</v>
      </c>
      <c r="AI1493" s="76">
        <v>2</v>
      </c>
      <c r="AJ1493" s="76">
        <v>17</v>
      </c>
      <c r="AK1493" s="76">
        <v>7330</v>
      </c>
      <c r="AL1493" s="76" t="b">
        <v>0</v>
      </c>
      <c r="AM1493" s="78">
        <v>44018.012048611112</v>
      </c>
      <c r="AN1493" s="76" t="s">
        <v>24277</v>
      </c>
      <c r="AO1493" s="76" t="s">
        <v>26035</v>
      </c>
      <c r="AP1493" s="82" t="str">
        <f>HYPERLINK("https://t.co/xJP9d8HzbB")</f>
        <v>https://t.co/xJP9d8HzbB</v>
      </c>
      <c r="AQ1493" s="82" t="str">
        <f>HYPERLINK("http://www.riomaframix.com.br")</f>
        <v>http://www.riomaframix.com.br</v>
      </c>
      <c r="AR1493" s="76" t="s">
        <v>27170</v>
      </c>
      <c r="AS1493" s="76"/>
      <c r="AT1493" s="76"/>
      <c r="AU1493" s="76"/>
      <c r="AV1493" s="76"/>
      <c r="AW1493" s="82" t="str">
        <f>HYPERLINK("https://t.co/xJP9d8HzbB")</f>
        <v>https://t.co/xJP9d8HzbB</v>
      </c>
      <c r="AX1493" s="76" t="b">
        <v>0</v>
      </c>
      <c r="AY1493" s="76"/>
      <c r="AZ1493" s="76"/>
      <c r="BA1493" s="76" t="b">
        <v>0</v>
      </c>
      <c r="BB1493" s="76" t="b">
        <v>1</v>
      </c>
      <c r="BC1493" s="76" t="b">
        <v>1</v>
      </c>
      <c r="BD1493" s="76" t="b">
        <v>0</v>
      </c>
      <c r="BE1493" s="76" t="b">
        <v>0</v>
      </c>
      <c r="BF1493" s="76" t="b">
        <v>0</v>
      </c>
      <c r="BG1493" s="76" t="b">
        <v>0</v>
      </c>
      <c r="BH1493" s="82" t="str">
        <f>HYPERLINK("https://pbs.twimg.com/profile_banners/1279932298117423105/1652790185")</f>
        <v>https://pbs.twimg.com/profile_banners/1279932298117423105/1652790185</v>
      </c>
      <c r="BI1493" s="76"/>
      <c r="BJ1493" s="76" t="s">
        <v>27595</v>
      </c>
      <c r="BK1493" s="76" t="b">
        <v>0</v>
      </c>
      <c r="BL1493" s="76"/>
      <c r="BM1493" s="76" t="s">
        <v>66</v>
      </c>
      <c r="BN1493" s="76" t="s">
        <v>27597</v>
      </c>
      <c r="BO1493" s="82" t="str">
        <f>HYPERLINK("https://twitter.com/riomaframix")</f>
        <v>https://twitter.com/riomaframix</v>
      </c>
      <c r="BP1493" s="2"/>
    </row>
    <row r="1494" spans="1:68" x14ac:dyDescent="0.25">
      <c r="A1494" s="62" t="s">
        <v>1351</v>
      </c>
      <c r="B1494" s="63"/>
      <c r="C1494" s="63"/>
      <c r="D1494" s="64"/>
      <c r="E1494" s="66"/>
      <c r="F1494" s="103" t="str">
        <f>HYPERLINK("https://pbs.twimg.com/profile_images/1552045489851441154/CsrrFXLx_normal.jpg")</f>
        <v>https://pbs.twimg.com/profile_images/1552045489851441154/CsrrFXLx_normal.jpg</v>
      </c>
      <c r="G1494" s="63"/>
      <c r="H1494" s="67"/>
      <c r="I1494" s="68"/>
      <c r="J1494" s="68"/>
      <c r="K1494" s="67" t="s">
        <v>29088</v>
      </c>
      <c r="L1494" s="71"/>
      <c r="M1494" s="72"/>
      <c r="N1494" s="72"/>
      <c r="O1494" s="73"/>
      <c r="P1494" s="74"/>
      <c r="Q1494" s="74"/>
      <c r="R1494" s="87"/>
      <c r="S1494" s="87"/>
      <c r="T1494" s="87"/>
      <c r="U1494" s="87"/>
      <c r="V1494" s="48"/>
      <c r="W1494" s="48"/>
      <c r="X1494" s="48"/>
      <c r="Y1494" s="48"/>
      <c r="Z1494" s="47"/>
      <c r="AA1494" s="69">
        <v>1494</v>
      </c>
      <c r="AB1494" s="69"/>
      <c r="AC1494" s="70"/>
      <c r="AD1494" s="76" t="s">
        <v>22707</v>
      </c>
      <c r="AE1494" s="81" t="s">
        <v>23853</v>
      </c>
      <c r="AF1494" s="76">
        <v>4121</v>
      </c>
      <c r="AG1494" s="76">
        <v>4549</v>
      </c>
      <c r="AH1494" s="76">
        <v>22041</v>
      </c>
      <c r="AI1494" s="76">
        <v>160</v>
      </c>
      <c r="AJ1494" s="76">
        <v>1886</v>
      </c>
      <c r="AK1494" s="76">
        <v>4612</v>
      </c>
      <c r="AL1494" s="76" t="b">
        <v>0</v>
      </c>
      <c r="AM1494" s="78">
        <v>40422.814085648148</v>
      </c>
      <c r="AN1494" s="76" t="s">
        <v>24594</v>
      </c>
      <c r="AO1494" s="76" t="s">
        <v>26036</v>
      </c>
      <c r="AP1494" s="82" t="str">
        <f>HYPERLINK("https://t.co/gIS3qEAPch")</f>
        <v>https://t.co/gIS3qEAPch</v>
      </c>
      <c r="AQ1494" s="82" t="str">
        <f>HYPERLINK("http://riskmathics.com")</f>
        <v>http://riskmathics.com</v>
      </c>
      <c r="AR1494" s="76" t="s">
        <v>8835</v>
      </c>
      <c r="AS1494" s="76"/>
      <c r="AT1494" s="76"/>
      <c r="AU1494" s="76"/>
      <c r="AV1494" s="76"/>
      <c r="AW1494" s="82" t="str">
        <f>HYPERLINK("https://t.co/gIS3qEAPch")</f>
        <v>https://t.co/gIS3qEAPch</v>
      </c>
      <c r="AX1494" s="76" t="b">
        <v>1</v>
      </c>
      <c r="AY1494" s="76"/>
      <c r="AZ1494" s="76"/>
      <c r="BA1494" s="76" t="b">
        <v>0</v>
      </c>
      <c r="BB1494" s="76" t="b">
        <v>1</v>
      </c>
      <c r="BC1494" s="76" t="b">
        <v>0</v>
      </c>
      <c r="BD1494" s="76" t="b">
        <v>0</v>
      </c>
      <c r="BE1494" s="76" t="b">
        <v>1</v>
      </c>
      <c r="BF1494" s="76" t="b">
        <v>0</v>
      </c>
      <c r="BG1494" s="76" t="b">
        <v>0</v>
      </c>
      <c r="BH1494" s="82" t="str">
        <f>HYPERLINK("https://pbs.twimg.com/profile_banners/185758302/1693851577")</f>
        <v>https://pbs.twimg.com/profile_banners/185758302/1693851577</v>
      </c>
      <c r="BI1494" s="76"/>
      <c r="BJ1494" s="76" t="s">
        <v>27595</v>
      </c>
      <c r="BK1494" s="76" t="b">
        <v>0</v>
      </c>
      <c r="BL1494" s="76"/>
      <c r="BM1494" s="76" t="s">
        <v>66</v>
      </c>
      <c r="BN1494" s="76" t="s">
        <v>27597</v>
      </c>
      <c r="BO1494" s="82" t="str">
        <f>HYPERLINK("https://twitter.com/riskmathicsfi")</f>
        <v>https://twitter.com/riskmathicsfi</v>
      </c>
      <c r="BP1494" s="2"/>
    </row>
    <row r="1495" spans="1:68" x14ac:dyDescent="0.25">
      <c r="A1495" s="62" t="s">
        <v>1352</v>
      </c>
      <c r="B1495" s="63"/>
      <c r="C1495" s="63"/>
      <c r="D1495" s="64"/>
      <c r="E1495" s="66"/>
      <c r="F1495" s="103" t="str">
        <f>HYPERLINK("https://pbs.twimg.com/profile_images/1430672779678994434/YhwNSHW0_normal.jpg")</f>
        <v>https://pbs.twimg.com/profile_images/1430672779678994434/YhwNSHW0_normal.jpg</v>
      </c>
      <c r="G1495" s="63"/>
      <c r="H1495" s="67"/>
      <c r="I1495" s="68"/>
      <c r="J1495" s="68"/>
      <c r="K1495" s="67" t="s">
        <v>29089</v>
      </c>
      <c r="L1495" s="71"/>
      <c r="M1495" s="72"/>
      <c r="N1495" s="72"/>
      <c r="O1495" s="73"/>
      <c r="P1495" s="74"/>
      <c r="Q1495" s="74"/>
      <c r="R1495" s="87"/>
      <c r="S1495" s="87"/>
      <c r="T1495" s="87"/>
      <c r="U1495" s="87"/>
      <c r="V1495" s="48"/>
      <c r="W1495" s="48"/>
      <c r="X1495" s="48"/>
      <c r="Y1495" s="48"/>
      <c r="Z1495" s="47"/>
      <c r="AA1495" s="69">
        <v>1495</v>
      </c>
      <c r="AB1495" s="69"/>
      <c r="AC1495" s="70"/>
      <c r="AD1495" s="76" t="s">
        <v>22708</v>
      </c>
      <c r="AE1495" s="81" t="s">
        <v>21048</v>
      </c>
      <c r="AF1495" s="76">
        <v>330</v>
      </c>
      <c r="AG1495" s="76">
        <v>1386</v>
      </c>
      <c r="AH1495" s="76">
        <v>12232</v>
      </c>
      <c r="AI1495" s="76">
        <v>1</v>
      </c>
      <c r="AJ1495" s="76">
        <v>140</v>
      </c>
      <c r="AK1495" s="76">
        <v>12219</v>
      </c>
      <c r="AL1495" s="76" t="b">
        <v>0</v>
      </c>
      <c r="AM1495" s="78">
        <v>44149.955729166664</v>
      </c>
      <c r="AN1495" s="76"/>
      <c r="AO1495" s="76" t="s">
        <v>26037</v>
      </c>
      <c r="AP1495" s="82" t="str">
        <f>HYPERLINK("https://t.co/d1SfbhOtg5")</f>
        <v>https://t.co/d1SfbhOtg5</v>
      </c>
      <c r="AQ1495" s="82" t="str">
        <f>HYPERLINK("http://elsuceso.net")</f>
        <v>http://elsuceso.net</v>
      </c>
      <c r="AR1495" s="76" t="s">
        <v>27171</v>
      </c>
      <c r="AS1495" s="76"/>
      <c r="AT1495" s="76"/>
      <c r="AU1495" s="76"/>
      <c r="AV1495" s="76"/>
      <c r="AW1495" s="82" t="str">
        <f>HYPERLINK("https://t.co/d1SfbhOtg5")</f>
        <v>https://t.co/d1SfbhOtg5</v>
      </c>
      <c r="AX1495" s="76" t="b">
        <v>0</v>
      </c>
      <c r="AY1495" s="76"/>
      <c r="AZ1495" s="76"/>
      <c r="BA1495" s="76" t="b">
        <v>0</v>
      </c>
      <c r="BB1495" s="76" t="b">
        <v>1</v>
      </c>
      <c r="BC1495" s="76" t="b">
        <v>1</v>
      </c>
      <c r="BD1495" s="76" t="b">
        <v>0</v>
      </c>
      <c r="BE1495" s="76" t="b">
        <v>1</v>
      </c>
      <c r="BF1495" s="76" t="b">
        <v>0</v>
      </c>
      <c r="BG1495" s="76" t="b">
        <v>0</v>
      </c>
      <c r="BH1495" s="82" t="str">
        <f>HYPERLINK("https://pbs.twimg.com/profile_banners/1327747160264355841/1629933948")</f>
        <v>https://pbs.twimg.com/profile_banners/1327747160264355841/1629933948</v>
      </c>
      <c r="BI1495" s="76"/>
      <c r="BJ1495" s="76" t="s">
        <v>27595</v>
      </c>
      <c r="BK1495" s="76" t="b">
        <v>0</v>
      </c>
      <c r="BL1495" s="76"/>
      <c r="BM1495" s="76" t="s">
        <v>66</v>
      </c>
      <c r="BN1495" s="76" t="s">
        <v>27597</v>
      </c>
      <c r="BO1495" s="82" t="str">
        <f>HYPERLINK("https://twitter.com/elsuceso_")</f>
        <v>https://twitter.com/elsuceso_</v>
      </c>
      <c r="BP1495" s="2"/>
    </row>
    <row r="1496" spans="1:68" x14ac:dyDescent="0.25">
      <c r="A1496" s="62" t="s">
        <v>1353</v>
      </c>
      <c r="B1496" s="63"/>
      <c r="C1496" s="63"/>
      <c r="D1496" s="64"/>
      <c r="E1496" s="66"/>
      <c r="F1496" s="103" t="str">
        <f>HYPERLINK("https://pbs.twimg.com/profile_images/1672441441417584641/ocoTMIDU_normal.jpg")</f>
        <v>https://pbs.twimg.com/profile_images/1672441441417584641/ocoTMIDU_normal.jpg</v>
      </c>
      <c r="G1496" s="63"/>
      <c r="H1496" s="67"/>
      <c r="I1496" s="68"/>
      <c r="J1496" s="68"/>
      <c r="K1496" s="67" t="s">
        <v>29090</v>
      </c>
      <c r="L1496" s="71"/>
      <c r="M1496" s="72"/>
      <c r="N1496" s="72"/>
      <c r="O1496" s="73"/>
      <c r="P1496" s="74"/>
      <c r="Q1496" s="74"/>
      <c r="R1496" s="87"/>
      <c r="S1496" s="87"/>
      <c r="T1496" s="87"/>
      <c r="U1496" s="87"/>
      <c r="V1496" s="48"/>
      <c r="W1496" s="48"/>
      <c r="X1496" s="48"/>
      <c r="Y1496" s="48"/>
      <c r="Z1496" s="47"/>
      <c r="AA1496" s="69">
        <v>1496</v>
      </c>
      <c r="AB1496" s="69"/>
      <c r="AC1496" s="70"/>
      <c r="AD1496" s="76" t="s">
        <v>22709</v>
      </c>
      <c r="AE1496" s="81" t="s">
        <v>21049</v>
      </c>
      <c r="AF1496" s="76">
        <v>2203</v>
      </c>
      <c r="AG1496" s="76">
        <v>688</v>
      </c>
      <c r="AH1496" s="76">
        <v>105000</v>
      </c>
      <c r="AI1496" s="76">
        <v>9</v>
      </c>
      <c r="AJ1496" s="76">
        <v>299</v>
      </c>
      <c r="AK1496" s="76">
        <v>21990</v>
      </c>
      <c r="AL1496" s="76" t="b">
        <v>0</v>
      </c>
      <c r="AM1496" s="78">
        <v>42982.149918981479</v>
      </c>
      <c r="AN1496" s="76" t="s">
        <v>14422</v>
      </c>
      <c r="AO1496" s="76" t="s">
        <v>26038</v>
      </c>
      <c r="AP1496" s="82" t="str">
        <f>HYPERLINK("https://t.co/zynQJWBNbC")</f>
        <v>https://t.co/zynQJWBNbC</v>
      </c>
      <c r="AQ1496" s="82" t="str">
        <f>HYPERLINK("http://www.vocescriticas.com")</f>
        <v>http://www.vocescriticas.com</v>
      </c>
      <c r="AR1496" s="76" t="s">
        <v>8836</v>
      </c>
      <c r="AS1496" s="76"/>
      <c r="AT1496" s="76"/>
      <c r="AU1496" s="76"/>
      <c r="AV1496" s="76">
        <v>1.6591815523229801E+18</v>
      </c>
      <c r="AW1496" s="82" t="str">
        <f>HYPERLINK("https://t.co/zynQJWBNbC")</f>
        <v>https://t.co/zynQJWBNbC</v>
      </c>
      <c r="AX1496" s="76" t="b">
        <v>0</v>
      </c>
      <c r="AY1496" s="76"/>
      <c r="AZ1496" s="76"/>
      <c r="BA1496" s="76" t="b">
        <v>0</v>
      </c>
      <c r="BB1496" s="76" t="b">
        <v>1</v>
      </c>
      <c r="BC1496" s="76" t="b">
        <v>0</v>
      </c>
      <c r="BD1496" s="76" t="b">
        <v>0</v>
      </c>
      <c r="BE1496" s="76" t="b">
        <v>1</v>
      </c>
      <c r="BF1496" s="76" t="b">
        <v>0</v>
      </c>
      <c r="BG1496" s="76" t="b">
        <v>0</v>
      </c>
      <c r="BH1496" s="82" t="str">
        <f>HYPERLINK("https://pbs.twimg.com/profile_banners/904548542798323713/1533061699")</f>
        <v>https://pbs.twimg.com/profile_banners/904548542798323713/1533061699</v>
      </c>
      <c r="BI1496" s="76"/>
      <c r="BJ1496" s="76" t="s">
        <v>27595</v>
      </c>
      <c r="BK1496" s="76" t="b">
        <v>0</v>
      </c>
      <c r="BL1496" s="76"/>
      <c r="BM1496" s="76" t="s">
        <v>66</v>
      </c>
      <c r="BN1496" s="76" t="s">
        <v>27597</v>
      </c>
      <c r="BO1496" s="82" t="str">
        <f>HYPERLINK("https://twitter.com/voces_criticas")</f>
        <v>https://twitter.com/voces_criticas</v>
      </c>
      <c r="BP1496" s="2"/>
    </row>
    <row r="1497" spans="1:68" x14ac:dyDescent="0.25">
      <c r="A1497" s="62" t="s">
        <v>1355</v>
      </c>
      <c r="B1497" s="63"/>
      <c r="C1497" s="63"/>
      <c r="D1497" s="64"/>
      <c r="E1497" s="66"/>
      <c r="F1497" s="103" t="str">
        <f>HYPERLINK("https://pbs.twimg.com/profile_images/1480284267968143361/iRCsM36W_normal.jpg")</f>
        <v>https://pbs.twimg.com/profile_images/1480284267968143361/iRCsM36W_normal.jpg</v>
      </c>
      <c r="G1497" s="63"/>
      <c r="H1497" s="67"/>
      <c r="I1497" s="68"/>
      <c r="J1497" s="68"/>
      <c r="K1497" s="67" t="s">
        <v>29091</v>
      </c>
      <c r="L1497" s="71"/>
      <c r="M1497" s="72"/>
      <c r="N1497" s="72"/>
      <c r="O1497" s="73"/>
      <c r="P1497" s="74"/>
      <c r="Q1497" s="74"/>
      <c r="R1497" s="87"/>
      <c r="S1497" s="87"/>
      <c r="T1497" s="87"/>
      <c r="U1497" s="87"/>
      <c r="V1497" s="48"/>
      <c r="W1497" s="48"/>
      <c r="X1497" s="48"/>
      <c r="Y1497" s="48"/>
      <c r="Z1497" s="47"/>
      <c r="AA1497" s="69">
        <v>1497</v>
      </c>
      <c r="AB1497" s="69"/>
      <c r="AC1497" s="70"/>
      <c r="AD1497" s="76" t="s">
        <v>22710</v>
      </c>
      <c r="AE1497" s="81" t="s">
        <v>23854</v>
      </c>
      <c r="AF1497" s="76">
        <v>831</v>
      </c>
      <c r="AG1497" s="76">
        <v>61</v>
      </c>
      <c r="AH1497" s="76">
        <v>2050</v>
      </c>
      <c r="AI1497" s="76">
        <v>0</v>
      </c>
      <c r="AJ1497" s="76">
        <v>11259</v>
      </c>
      <c r="AK1497" s="76">
        <v>160</v>
      </c>
      <c r="AL1497" s="76" t="b">
        <v>0</v>
      </c>
      <c r="AM1497" s="78">
        <v>39945.492569444446</v>
      </c>
      <c r="AN1497" s="76"/>
      <c r="AO1497" s="76" t="s">
        <v>26039</v>
      </c>
      <c r="AP1497" s="76"/>
      <c r="AQ1497" s="76"/>
      <c r="AR1497" s="76"/>
      <c r="AS1497" s="76"/>
      <c r="AT1497" s="76"/>
      <c r="AU1497" s="76"/>
      <c r="AV1497" s="76"/>
      <c r="AW1497" s="76"/>
      <c r="AX1497" s="76" t="b">
        <v>0</v>
      </c>
      <c r="AY1497" s="76"/>
      <c r="AZ1497" s="76"/>
      <c r="BA1497" s="76" t="b">
        <v>0</v>
      </c>
      <c r="BB1497" s="76" t="b">
        <v>0</v>
      </c>
      <c r="BC1497" s="76" t="b">
        <v>1</v>
      </c>
      <c r="BD1497" s="76" t="b">
        <v>0</v>
      </c>
      <c r="BE1497" s="76" t="b">
        <v>1</v>
      </c>
      <c r="BF1497" s="76" t="b">
        <v>0</v>
      </c>
      <c r="BG1497" s="76" t="b">
        <v>0</v>
      </c>
      <c r="BH1497" s="82" t="str">
        <f>HYPERLINK("https://pbs.twimg.com/profile_banners/39482280/1597940548")</f>
        <v>https://pbs.twimg.com/profile_banners/39482280/1597940548</v>
      </c>
      <c r="BI1497" s="76"/>
      <c r="BJ1497" s="76" t="s">
        <v>27595</v>
      </c>
      <c r="BK1497" s="76" t="b">
        <v>0</v>
      </c>
      <c r="BL1497" s="76"/>
      <c r="BM1497" s="76" t="s">
        <v>66</v>
      </c>
      <c r="BN1497" s="76" t="s">
        <v>27597</v>
      </c>
      <c r="BO1497" s="82" t="str">
        <f>HYPERLINK("https://twitter.com/claykleber")</f>
        <v>https://twitter.com/claykleber</v>
      </c>
      <c r="BP1497" s="2"/>
    </row>
    <row r="1498" spans="1:68" x14ac:dyDescent="0.25">
      <c r="A1498" s="62" t="s">
        <v>2023</v>
      </c>
      <c r="B1498" s="63"/>
      <c r="C1498" s="63"/>
      <c r="D1498" s="64"/>
      <c r="E1498" s="66"/>
      <c r="F1498" s="103" t="str">
        <f>HYPERLINK("https://pbs.twimg.com/profile_images/1583187370383384600/kKSZI9AS_normal.jpg")</f>
        <v>https://pbs.twimg.com/profile_images/1583187370383384600/kKSZI9AS_normal.jpg</v>
      </c>
      <c r="G1498" s="63"/>
      <c r="H1498" s="67"/>
      <c r="I1498" s="68"/>
      <c r="J1498" s="68"/>
      <c r="K1498" s="67" t="s">
        <v>29092</v>
      </c>
      <c r="L1498" s="71"/>
      <c r="M1498" s="72"/>
      <c r="N1498" s="72"/>
      <c r="O1498" s="73"/>
      <c r="P1498" s="74"/>
      <c r="Q1498" s="74"/>
      <c r="R1498" s="87"/>
      <c r="S1498" s="87"/>
      <c r="T1498" s="87"/>
      <c r="U1498" s="87"/>
      <c r="V1498" s="48"/>
      <c r="W1498" s="48"/>
      <c r="X1498" s="48"/>
      <c r="Y1498" s="48"/>
      <c r="Z1498" s="47"/>
      <c r="AA1498" s="69">
        <v>1498</v>
      </c>
      <c r="AB1498" s="69"/>
      <c r="AC1498" s="70"/>
      <c r="AD1498" s="76" t="s">
        <v>22711</v>
      </c>
      <c r="AE1498" s="81" t="s">
        <v>23855</v>
      </c>
      <c r="AF1498" s="76">
        <v>75797</v>
      </c>
      <c r="AG1498" s="76">
        <v>60</v>
      </c>
      <c r="AH1498" s="76">
        <v>16831</v>
      </c>
      <c r="AI1498" s="76">
        <v>291</v>
      </c>
      <c r="AJ1498" s="76">
        <v>2374</v>
      </c>
      <c r="AK1498" s="76">
        <v>1337</v>
      </c>
      <c r="AL1498" s="76" t="b">
        <v>0</v>
      </c>
      <c r="AM1498" s="78">
        <v>40088.622708333336</v>
      </c>
      <c r="AN1498" s="76" t="s">
        <v>24595</v>
      </c>
      <c r="AO1498" s="82" t="str">
        <f>HYPERLINK("https://t.co/KSoCm1Vu47…")</f>
        <v>https://t.co/KSoCm1Vu47…</v>
      </c>
      <c r="AP1498" s="82" t="str">
        <f>HYPERLINK("https://t.co/NXixDyLXox")</f>
        <v>https://t.co/NXixDyLXox</v>
      </c>
      <c r="AQ1498" s="82" t="str">
        <f>HYPERLINK("http://www.magazineluiza.com.br")</f>
        <v>http://www.magazineluiza.com.br</v>
      </c>
      <c r="AR1498" s="76" t="s">
        <v>27172</v>
      </c>
      <c r="AS1498" s="82" t="str">
        <f>HYPERLINK("https://t.co/KSoCm1Vu47")</f>
        <v>https://t.co/KSoCm1Vu47</v>
      </c>
      <c r="AT1498" s="82" t="str">
        <f>HYPERLINK("http://youtube.com/c/LuizaHelenaT")</f>
        <v>http://youtube.com/c/LuizaHelenaT</v>
      </c>
      <c r="AU1498" s="76" t="s">
        <v>27555</v>
      </c>
      <c r="AV1498" s="76"/>
      <c r="AW1498" s="82" t="str">
        <f>HYPERLINK("https://t.co/NXixDyLXox")</f>
        <v>https://t.co/NXixDyLXox</v>
      </c>
      <c r="AX1498" s="76" t="b">
        <v>0</v>
      </c>
      <c r="AY1498" s="76"/>
      <c r="AZ1498" s="76"/>
      <c r="BA1498" s="76" t="b">
        <v>0</v>
      </c>
      <c r="BB1498" s="76" t="b">
        <v>1</v>
      </c>
      <c r="BC1498" s="76" t="b">
        <v>1</v>
      </c>
      <c r="BD1498" s="76" t="b">
        <v>0</v>
      </c>
      <c r="BE1498" s="76" t="b">
        <v>0</v>
      </c>
      <c r="BF1498" s="76" t="b">
        <v>0</v>
      </c>
      <c r="BG1498" s="76" t="b">
        <v>0</v>
      </c>
      <c r="BH1498" s="82" t="str">
        <f>HYPERLINK("https://pbs.twimg.com/profile_banners/79201178/1666299828")</f>
        <v>https://pbs.twimg.com/profile_banners/79201178/1666299828</v>
      </c>
      <c r="BI1498" s="76"/>
      <c r="BJ1498" s="76" t="s">
        <v>27595</v>
      </c>
      <c r="BK1498" s="76" t="b">
        <v>0</v>
      </c>
      <c r="BL1498" s="76"/>
      <c r="BM1498" s="76" t="s">
        <v>65</v>
      </c>
      <c r="BN1498" s="76" t="s">
        <v>27597</v>
      </c>
      <c r="BO1498" s="82" t="str">
        <f>HYPERLINK("https://twitter.com/luizatrajano")</f>
        <v>https://twitter.com/luizatrajano</v>
      </c>
      <c r="BP1498" s="2"/>
    </row>
    <row r="1499" spans="1:68" x14ac:dyDescent="0.25">
      <c r="A1499" s="62" t="s">
        <v>1356</v>
      </c>
      <c r="B1499" s="63"/>
      <c r="C1499" s="63"/>
      <c r="D1499" s="64"/>
      <c r="E1499" s="66"/>
      <c r="F1499" s="103" t="str">
        <f>HYPERLINK("https://pbs.twimg.com/profile_images/1363338027926454274/Du4ycSfz_normal.jpg")</f>
        <v>https://pbs.twimg.com/profile_images/1363338027926454274/Du4ycSfz_normal.jpg</v>
      </c>
      <c r="G1499" s="63"/>
      <c r="H1499" s="67"/>
      <c r="I1499" s="68"/>
      <c r="J1499" s="68"/>
      <c r="K1499" s="67" t="s">
        <v>29093</v>
      </c>
      <c r="L1499" s="71"/>
      <c r="M1499" s="72"/>
      <c r="N1499" s="72"/>
      <c r="O1499" s="73"/>
      <c r="P1499" s="74"/>
      <c r="Q1499" s="74"/>
      <c r="R1499" s="87"/>
      <c r="S1499" s="87"/>
      <c r="T1499" s="87"/>
      <c r="U1499" s="87"/>
      <c r="V1499" s="48"/>
      <c r="W1499" s="48"/>
      <c r="X1499" s="48"/>
      <c r="Y1499" s="48"/>
      <c r="Z1499" s="47"/>
      <c r="AA1499" s="69">
        <v>1499</v>
      </c>
      <c r="AB1499" s="69"/>
      <c r="AC1499" s="70"/>
      <c r="AD1499" s="76" t="s">
        <v>22712</v>
      </c>
      <c r="AE1499" s="81" t="s">
        <v>21051</v>
      </c>
      <c r="AF1499" s="76">
        <v>3873</v>
      </c>
      <c r="AG1499" s="76">
        <v>3541</v>
      </c>
      <c r="AH1499" s="76">
        <v>56363</v>
      </c>
      <c r="AI1499" s="76">
        <v>3</v>
      </c>
      <c r="AJ1499" s="76">
        <v>62484</v>
      </c>
      <c r="AK1499" s="76">
        <v>91</v>
      </c>
      <c r="AL1499" s="76" t="b">
        <v>0</v>
      </c>
      <c r="AM1499" s="78">
        <v>44248.166898148149</v>
      </c>
      <c r="AN1499" s="76"/>
      <c r="AO1499" s="76" t="s">
        <v>26040</v>
      </c>
      <c r="AP1499" s="76"/>
      <c r="AQ1499" s="76"/>
      <c r="AR1499" s="76"/>
      <c r="AS1499" s="76"/>
      <c r="AT1499" s="76"/>
      <c r="AU1499" s="76"/>
      <c r="AV1499" s="76"/>
      <c r="AW1499" s="76"/>
      <c r="AX1499" s="76" t="b">
        <v>0</v>
      </c>
      <c r="AY1499" s="76"/>
      <c r="AZ1499" s="76"/>
      <c r="BA1499" s="76" t="b">
        <v>1</v>
      </c>
      <c r="BB1499" s="76" t="b">
        <v>0</v>
      </c>
      <c r="BC1499" s="76" t="b">
        <v>1</v>
      </c>
      <c r="BD1499" s="76" t="b">
        <v>0</v>
      </c>
      <c r="BE1499" s="76" t="b">
        <v>1</v>
      </c>
      <c r="BF1499" s="76" t="b">
        <v>0</v>
      </c>
      <c r="BG1499" s="76" t="b">
        <v>0</v>
      </c>
      <c r="BH1499" s="76"/>
      <c r="BI1499" s="76"/>
      <c r="BJ1499" s="76" t="s">
        <v>27595</v>
      </c>
      <c r="BK1499" s="76" t="b">
        <v>0</v>
      </c>
      <c r="BL1499" s="76"/>
      <c r="BM1499" s="76" t="s">
        <v>66</v>
      </c>
      <c r="BN1499" s="76" t="s">
        <v>27597</v>
      </c>
      <c r="BO1499" s="82" t="str">
        <f>HYPERLINK("https://twitter.com/julio03475128")</f>
        <v>https://twitter.com/julio03475128</v>
      </c>
      <c r="BP1499" s="2"/>
    </row>
    <row r="1500" spans="1:68" x14ac:dyDescent="0.25">
      <c r="A1500" s="62" t="s">
        <v>1357</v>
      </c>
      <c r="B1500" s="63"/>
      <c r="C1500" s="63"/>
      <c r="D1500" s="64"/>
      <c r="E1500" s="66"/>
      <c r="F1500" s="103" t="str">
        <f>HYPERLINK("https://pbs.twimg.com/profile_images/1557452525816651776/yJqFQjZQ_normal.jpg")</f>
        <v>https://pbs.twimg.com/profile_images/1557452525816651776/yJqFQjZQ_normal.jpg</v>
      </c>
      <c r="G1500" s="63"/>
      <c r="H1500" s="67"/>
      <c r="I1500" s="68"/>
      <c r="J1500" s="68"/>
      <c r="K1500" s="67" t="s">
        <v>29094</v>
      </c>
      <c r="L1500" s="71"/>
      <c r="M1500" s="72"/>
      <c r="N1500" s="72"/>
      <c r="O1500" s="73"/>
      <c r="P1500" s="74"/>
      <c r="Q1500" s="74"/>
      <c r="R1500" s="87"/>
      <c r="S1500" s="87"/>
      <c r="T1500" s="87"/>
      <c r="U1500" s="87"/>
      <c r="V1500" s="48"/>
      <c r="W1500" s="48"/>
      <c r="X1500" s="48"/>
      <c r="Y1500" s="48"/>
      <c r="Z1500" s="47"/>
      <c r="AA1500" s="69">
        <v>1500</v>
      </c>
      <c r="AB1500" s="69"/>
      <c r="AC1500" s="70"/>
      <c r="AD1500" s="76" t="s">
        <v>22713</v>
      </c>
      <c r="AE1500" s="81" t="s">
        <v>21052</v>
      </c>
      <c r="AF1500" s="76">
        <v>12</v>
      </c>
      <c r="AG1500" s="76">
        <v>27</v>
      </c>
      <c r="AH1500" s="76">
        <v>1649</v>
      </c>
      <c r="AI1500" s="76">
        <v>0</v>
      </c>
      <c r="AJ1500" s="76">
        <v>25</v>
      </c>
      <c r="AK1500" s="76">
        <v>29</v>
      </c>
      <c r="AL1500" s="76" t="b">
        <v>0</v>
      </c>
      <c r="AM1500" s="78">
        <v>44783.821331018517</v>
      </c>
      <c r="AN1500" s="76"/>
      <c r="AO1500" s="76" t="s">
        <v>26041</v>
      </c>
      <c r="AP1500" s="82" t="str">
        <f>HYPERLINK("https://t.co/gVsHI2LSzZ")</f>
        <v>https://t.co/gVsHI2LSzZ</v>
      </c>
      <c r="AQ1500" s="82" t="str">
        <f>HYPERLINK("http://www.radardigitalbrasilia.com.br")</f>
        <v>http://www.radardigitalbrasilia.com.br</v>
      </c>
      <c r="AR1500" s="76" t="s">
        <v>27173</v>
      </c>
      <c r="AS1500" s="76"/>
      <c r="AT1500" s="76"/>
      <c r="AU1500" s="76"/>
      <c r="AV1500" s="76"/>
      <c r="AW1500" s="82" t="str">
        <f>HYPERLINK("https://t.co/gVsHI2LSzZ")</f>
        <v>https://t.co/gVsHI2LSzZ</v>
      </c>
      <c r="AX1500" s="76" t="b">
        <v>0</v>
      </c>
      <c r="AY1500" s="76"/>
      <c r="AZ1500" s="76"/>
      <c r="BA1500" s="76" t="b">
        <v>0</v>
      </c>
      <c r="BB1500" s="76" t="b">
        <v>1</v>
      </c>
      <c r="BC1500" s="76" t="b">
        <v>1</v>
      </c>
      <c r="BD1500" s="76" t="b">
        <v>0</v>
      </c>
      <c r="BE1500" s="76" t="b">
        <v>0</v>
      </c>
      <c r="BF1500" s="76" t="b">
        <v>0</v>
      </c>
      <c r="BG1500" s="76" t="b">
        <v>0</v>
      </c>
      <c r="BH1500" s="82" t="str">
        <f>HYPERLINK("https://pbs.twimg.com/profile_banners/1557452330768949253/1675881667")</f>
        <v>https://pbs.twimg.com/profile_banners/1557452330768949253/1675881667</v>
      </c>
      <c r="BI1500" s="76"/>
      <c r="BJ1500" s="76" t="s">
        <v>27595</v>
      </c>
      <c r="BK1500" s="76" t="b">
        <v>0</v>
      </c>
      <c r="BL1500" s="76"/>
      <c r="BM1500" s="76" t="s">
        <v>66</v>
      </c>
      <c r="BN1500" s="76" t="s">
        <v>27597</v>
      </c>
      <c r="BO1500" s="82" t="str">
        <f>HYPERLINK("https://twitter.com/brasilia_radar")</f>
        <v>https://twitter.com/brasilia_radar</v>
      </c>
      <c r="BP1500" s="2"/>
    </row>
    <row r="1501" spans="1:68" x14ac:dyDescent="0.25">
      <c r="A1501" s="62" t="s">
        <v>1358</v>
      </c>
      <c r="B1501" s="63"/>
      <c r="C1501" s="63"/>
      <c r="D1501" s="64"/>
      <c r="E1501" s="66"/>
      <c r="F1501" s="103" t="str">
        <f>HYPERLINK("https://pbs.twimg.com/profile_images/1072166712135561217/EwQMi766_normal.jpg")</f>
        <v>https://pbs.twimg.com/profile_images/1072166712135561217/EwQMi766_normal.jpg</v>
      </c>
      <c r="G1501" s="63"/>
      <c r="H1501" s="67"/>
      <c r="I1501" s="68"/>
      <c r="J1501" s="68"/>
      <c r="K1501" s="67" t="s">
        <v>29095</v>
      </c>
      <c r="L1501" s="71"/>
      <c r="M1501" s="72"/>
      <c r="N1501" s="72"/>
      <c r="O1501" s="73"/>
      <c r="P1501" s="74"/>
      <c r="Q1501" s="74"/>
      <c r="R1501" s="87"/>
      <c r="S1501" s="87"/>
      <c r="T1501" s="87"/>
      <c r="U1501" s="87"/>
      <c r="V1501" s="48"/>
      <c r="W1501" s="48"/>
      <c r="X1501" s="48"/>
      <c r="Y1501" s="48"/>
      <c r="Z1501" s="47"/>
      <c r="AA1501" s="69">
        <v>1501</v>
      </c>
      <c r="AB1501" s="69"/>
      <c r="AC1501" s="70"/>
      <c r="AD1501" s="76" t="s">
        <v>22714</v>
      </c>
      <c r="AE1501" s="81" t="s">
        <v>20346</v>
      </c>
      <c r="AF1501" s="76">
        <v>818</v>
      </c>
      <c r="AG1501" s="76">
        <v>109</v>
      </c>
      <c r="AH1501" s="76">
        <v>3778</v>
      </c>
      <c r="AI1501" s="76">
        <v>12</v>
      </c>
      <c r="AJ1501" s="76">
        <v>355</v>
      </c>
      <c r="AK1501" s="76">
        <v>1036</v>
      </c>
      <c r="AL1501" s="76" t="b">
        <v>0</v>
      </c>
      <c r="AM1501" s="78">
        <v>43262.661006944443</v>
      </c>
      <c r="AN1501" s="76" t="s">
        <v>24285</v>
      </c>
      <c r="AO1501" s="76" t="s">
        <v>26042</v>
      </c>
      <c r="AP1501" s="82" t="str">
        <f>HYPERLINK("https://t.co/7RYHqmKT5S")</f>
        <v>https://t.co/7RYHqmKT5S</v>
      </c>
      <c r="AQ1501" s="82" t="str">
        <f>HYPERLINK("http://www.bmj.com.br")</f>
        <v>http://www.bmj.com.br</v>
      </c>
      <c r="AR1501" s="76" t="s">
        <v>27174</v>
      </c>
      <c r="AS1501" s="76"/>
      <c r="AT1501" s="76"/>
      <c r="AU1501" s="76"/>
      <c r="AV1501" s="76"/>
      <c r="AW1501" s="82" t="str">
        <f>HYPERLINK("https://t.co/7RYHqmKT5S")</f>
        <v>https://t.co/7RYHqmKT5S</v>
      </c>
      <c r="AX1501" s="76" t="b">
        <v>0</v>
      </c>
      <c r="AY1501" s="76"/>
      <c r="AZ1501" s="76"/>
      <c r="BA1501" s="76" t="b">
        <v>0</v>
      </c>
      <c r="BB1501" s="76" t="b">
        <v>1</v>
      </c>
      <c r="BC1501" s="76" t="b">
        <v>0</v>
      </c>
      <c r="BD1501" s="76" t="b">
        <v>0</v>
      </c>
      <c r="BE1501" s="76" t="b">
        <v>0</v>
      </c>
      <c r="BF1501" s="76" t="b">
        <v>0</v>
      </c>
      <c r="BG1501" s="76" t="b">
        <v>0</v>
      </c>
      <c r="BH1501" s="82" t="str">
        <f>HYPERLINK("https://pbs.twimg.com/profile_banners/1006202359163314178/1688589520")</f>
        <v>https://pbs.twimg.com/profile_banners/1006202359163314178/1688589520</v>
      </c>
      <c r="BI1501" s="76"/>
      <c r="BJ1501" s="76" t="s">
        <v>27595</v>
      </c>
      <c r="BK1501" s="76" t="b">
        <v>0</v>
      </c>
      <c r="BL1501" s="76"/>
      <c r="BM1501" s="76" t="s">
        <v>66</v>
      </c>
      <c r="BN1501" s="76" t="s">
        <v>27597</v>
      </c>
      <c r="BO1501" s="82" t="str">
        <f>HYPERLINK("https://twitter.com/bmjconsultoria")</f>
        <v>https://twitter.com/bmjconsultoria</v>
      </c>
      <c r="BP1501" s="2"/>
    </row>
    <row r="1502" spans="1:68" x14ac:dyDescent="0.25">
      <c r="A1502" s="62" t="s">
        <v>1359</v>
      </c>
      <c r="B1502" s="63"/>
      <c r="C1502" s="63"/>
      <c r="D1502" s="64"/>
      <c r="E1502" s="66"/>
      <c r="F1502" s="103" t="str">
        <f>HYPERLINK("https://pbs.twimg.com/profile_images/1518710623542161413/uahBw9oZ_normal.jpg")</f>
        <v>https://pbs.twimg.com/profile_images/1518710623542161413/uahBw9oZ_normal.jpg</v>
      </c>
      <c r="G1502" s="63"/>
      <c r="H1502" s="67"/>
      <c r="I1502" s="68"/>
      <c r="J1502" s="68"/>
      <c r="K1502" s="67" t="s">
        <v>29096</v>
      </c>
      <c r="L1502" s="71"/>
      <c r="M1502" s="72"/>
      <c r="N1502" s="72"/>
      <c r="O1502" s="73"/>
      <c r="P1502" s="74"/>
      <c r="Q1502" s="74"/>
      <c r="R1502" s="87"/>
      <c r="S1502" s="87"/>
      <c r="T1502" s="87"/>
      <c r="U1502" s="87"/>
      <c r="V1502" s="48"/>
      <c r="W1502" s="48"/>
      <c r="X1502" s="48"/>
      <c r="Y1502" s="48"/>
      <c r="Z1502" s="47"/>
      <c r="AA1502" s="69">
        <v>1502</v>
      </c>
      <c r="AB1502" s="69"/>
      <c r="AC1502" s="70"/>
      <c r="AD1502" s="76" t="s">
        <v>22715</v>
      </c>
      <c r="AE1502" s="81" t="s">
        <v>20347</v>
      </c>
      <c r="AF1502" s="76">
        <v>23</v>
      </c>
      <c r="AG1502" s="76">
        <v>9</v>
      </c>
      <c r="AH1502" s="76">
        <v>2128</v>
      </c>
      <c r="AI1502" s="76">
        <v>0</v>
      </c>
      <c r="AJ1502" s="76">
        <v>13</v>
      </c>
      <c r="AK1502" s="76">
        <v>774</v>
      </c>
      <c r="AL1502" s="76" t="b">
        <v>0</v>
      </c>
      <c r="AM1502" s="78">
        <v>44676.912974537037</v>
      </c>
      <c r="AN1502" s="76" t="s">
        <v>24064</v>
      </c>
      <c r="AO1502" s="76" t="s">
        <v>26043</v>
      </c>
      <c r="AP1502" s="76"/>
      <c r="AQ1502" s="76"/>
      <c r="AR1502" s="76"/>
      <c r="AS1502" s="76"/>
      <c r="AT1502" s="76"/>
      <c r="AU1502" s="76"/>
      <c r="AV1502" s="76"/>
      <c r="AW1502" s="76"/>
      <c r="AX1502" s="76" t="b">
        <v>0</v>
      </c>
      <c r="AY1502" s="76"/>
      <c r="AZ1502" s="76"/>
      <c r="BA1502" s="76" t="b">
        <v>0</v>
      </c>
      <c r="BB1502" s="76" t="b">
        <v>1</v>
      </c>
      <c r="BC1502" s="76" t="b">
        <v>1</v>
      </c>
      <c r="BD1502" s="76" t="b">
        <v>0</v>
      </c>
      <c r="BE1502" s="76" t="b">
        <v>0</v>
      </c>
      <c r="BF1502" s="76" t="b">
        <v>0</v>
      </c>
      <c r="BG1502" s="76" t="b">
        <v>0</v>
      </c>
      <c r="BH1502" s="82" t="str">
        <f>HYPERLINK("https://pbs.twimg.com/profile_banners/1518709999987478528/1650923804")</f>
        <v>https://pbs.twimg.com/profile_banners/1518709999987478528/1650923804</v>
      </c>
      <c r="BI1502" s="76"/>
      <c r="BJ1502" s="76" t="s">
        <v>27595</v>
      </c>
      <c r="BK1502" s="76" t="b">
        <v>0</v>
      </c>
      <c r="BL1502" s="76"/>
      <c r="BM1502" s="76" t="s">
        <v>66</v>
      </c>
      <c r="BN1502" s="76" t="s">
        <v>27597</v>
      </c>
      <c r="BO1502" s="82" t="str">
        <f>HYPERLINK("https://twitter.com/el_ibg")</f>
        <v>https://twitter.com/el_ibg</v>
      </c>
      <c r="BP1502" s="2"/>
    </row>
    <row r="1503" spans="1:68" x14ac:dyDescent="0.25">
      <c r="A1503" s="62" t="s">
        <v>1360</v>
      </c>
      <c r="B1503" s="63"/>
      <c r="C1503" s="63"/>
      <c r="D1503" s="64"/>
      <c r="E1503" s="66"/>
      <c r="F1503" s="103" t="str">
        <f>HYPERLINK("https://pbs.twimg.com/profile_images/1693059324707233792/afFkjn0b_normal.jpg")</f>
        <v>https://pbs.twimg.com/profile_images/1693059324707233792/afFkjn0b_normal.jpg</v>
      </c>
      <c r="G1503" s="63"/>
      <c r="H1503" s="67"/>
      <c r="I1503" s="68"/>
      <c r="J1503" s="68"/>
      <c r="K1503" s="67" t="s">
        <v>29097</v>
      </c>
      <c r="L1503" s="71"/>
      <c r="M1503" s="72"/>
      <c r="N1503" s="72"/>
      <c r="O1503" s="73"/>
      <c r="P1503" s="74"/>
      <c r="Q1503" s="74"/>
      <c r="R1503" s="87"/>
      <c r="S1503" s="87"/>
      <c r="T1503" s="87"/>
      <c r="U1503" s="87"/>
      <c r="V1503" s="48"/>
      <c r="W1503" s="48"/>
      <c r="X1503" s="48"/>
      <c r="Y1503" s="48"/>
      <c r="Z1503" s="47"/>
      <c r="AA1503" s="69">
        <v>1503</v>
      </c>
      <c r="AB1503" s="69"/>
      <c r="AC1503" s="70"/>
      <c r="AD1503" s="76" t="s">
        <v>22716</v>
      </c>
      <c r="AE1503" s="81" t="s">
        <v>20348</v>
      </c>
      <c r="AF1503" s="76">
        <v>788</v>
      </c>
      <c r="AG1503" s="76">
        <v>1760</v>
      </c>
      <c r="AH1503" s="76">
        <v>56614</v>
      </c>
      <c r="AI1503" s="76">
        <v>11</v>
      </c>
      <c r="AJ1503" s="76">
        <v>11221</v>
      </c>
      <c r="AK1503" s="76">
        <v>3528</v>
      </c>
      <c r="AL1503" s="76" t="b">
        <v>0</v>
      </c>
      <c r="AM1503" s="78">
        <v>39927.141967592594</v>
      </c>
      <c r="AN1503" s="76" t="s">
        <v>14411</v>
      </c>
      <c r="AO1503" s="76" t="s">
        <v>26044</v>
      </c>
      <c r="AP1503" s="82" t="str">
        <f>HYPERLINK("https://t.co/gF1GWFWOr0")</f>
        <v>https://t.co/gF1GWFWOr0</v>
      </c>
      <c r="AQ1503" s="82" t="str">
        <f>HYPERLINK("http://Instagram.com/israelfranca")</f>
        <v>http://Instagram.com/israelfranca</v>
      </c>
      <c r="AR1503" s="76" t="s">
        <v>27175</v>
      </c>
      <c r="AS1503" s="76"/>
      <c r="AT1503" s="76"/>
      <c r="AU1503" s="76"/>
      <c r="AV1503" s="76"/>
      <c r="AW1503" s="82" t="str">
        <f>HYPERLINK("https://t.co/gF1GWFWOr0")</f>
        <v>https://t.co/gF1GWFWOr0</v>
      </c>
      <c r="AX1503" s="76" t="b">
        <v>0</v>
      </c>
      <c r="AY1503" s="76"/>
      <c r="AZ1503" s="76"/>
      <c r="BA1503" s="76" t="b">
        <v>1</v>
      </c>
      <c r="BB1503" s="76" t="b">
        <v>0</v>
      </c>
      <c r="BC1503" s="76" t="b">
        <v>0</v>
      </c>
      <c r="BD1503" s="76" t="b">
        <v>0</v>
      </c>
      <c r="BE1503" s="76" t="b">
        <v>1</v>
      </c>
      <c r="BF1503" s="76" t="b">
        <v>0</v>
      </c>
      <c r="BG1503" s="76" t="b">
        <v>0</v>
      </c>
      <c r="BH1503" s="82" t="str">
        <f>HYPERLINK("https://pbs.twimg.com/profile_banners/34832216/1681242516")</f>
        <v>https://pbs.twimg.com/profile_banners/34832216/1681242516</v>
      </c>
      <c r="BI1503" s="76"/>
      <c r="BJ1503" s="76" t="s">
        <v>27595</v>
      </c>
      <c r="BK1503" s="76" t="b">
        <v>0</v>
      </c>
      <c r="BL1503" s="76"/>
      <c r="BM1503" s="76" t="s">
        <v>66</v>
      </c>
      <c r="BN1503" s="76" t="s">
        <v>27597</v>
      </c>
      <c r="BO1503" s="82" t="str">
        <f>HYPERLINK("https://twitter.com/israelsegundof")</f>
        <v>https://twitter.com/israelsegundof</v>
      </c>
      <c r="BP1503" s="2"/>
    </row>
    <row r="1504" spans="1:68" x14ac:dyDescent="0.25">
      <c r="A1504" s="62" t="s">
        <v>1361</v>
      </c>
      <c r="B1504" s="63"/>
      <c r="C1504" s="63"/>
      <c r="D1504" s="64"/>
      <c r="E1504" s="66"/>
      <c r="F1504" s="103" t="str">
        <f>HYPERLINK("https://pbs.twimg.com/profile_images/1241108844366966787/gAHOOnCH_normal.jpg")</f>
        <v>https://pbs.twimg.com/profile_images/1241108844366966787/gAHOOnCH_normal.jpg</v>
      </c>
      <c r="G1504" s="63"/>
      <c r="H1504" s="67"/>
      <c r="I1504" s="68"/>
      <c r="J1504" s="68"/>
      <c r="K1504" s="67" t="s">
        <v>29098</v>
      </c>
      <c r="L1504" s="71"/>
      <c r="M1504" s="72"/>
      <c r="N1504" s="72"/>
      <c r="O1504" s="73"/>
      <c r="P1504" s="74"/>
      <c r="Q1504" s="74"/>
      <c r="R1504" s="87"/>
      <c r="S1504" s="87"/>
      <c r="T1504" s="87"/>
      <c r="U1504" s="87"/>
      <c r="V1504" s="48"/>
      <c r="W1504" s="48"/>
      <c r="X1504" s="48"/>
      <c r="Y1504" s="48"/>
      <c r="Z1504" s="47"/>
      <c r="AA1504" s="69">
        <v>1504</v>
      </c>
      <c r="AB1504" s="69"/>
      <c r="AC1504" s="70"/>
      <c r="AD1504" s="76" t="s">
        <v>22717</v>
      </c>
      <c r="AE1504" s="81" t="s">
        <v>23856</v>
      </c>
      <c r="AF1504" s="76">
        <v>12</v>
      </c>
      <c r="AG1504" s="76">
        <v>193</v>
      </c>
      <c r="AH1504" s="76">
        <v>2170</v>
      </c>
      <c r="AI1504" s="76">
        <v>0</v>
      </c>
      <c r="AJ1504" s="76">
        <v>87</v>
      </c>
      <c r="AK1504" s="76">
        <v>1190</v>
      </c>
      <c r="AL1504" s="76" t="b">
        <v>0</v>
      </c>
      <c r="AM1504" s="78">
        <v>41806.832268518519</v>
      </c>
      <c r="AN1504" s="76" t="s">
        <v>14400</v>
      </c>
      <c r="AO1504" s="76" t="s">
        <v>26045</v>
      </c>
      <c r="AP1504" s="82" t="str">
        <f>HYPERLINK("https://t.co/euut8RQ5Jc")</f>
        <v>https://t.co/euut8RQ5Jc</v>
      </c>
      <c r="AQ1504" s="82" t="str">
        <f>HYPERLINK("https://www.redewb.com.br")</f>
        <v>https://www.redewb.com.br</v>
      </c>
      <c r="AR1504" s="76" t="s">
        <v>27176</v>
      </c>
      <c r="AS1504" s="76"/>
      <c r="AT1504" s="76"/>
      <c r="AU1504" s="76"/>
      <c r="AV1504" s="76"/>
      <c r="AW1504" s="82" t="str">
        <f>HYPERLINK("https://t.co/euut8RQ5Jc")</f>
        <v>https://t.co/euut8RQ5Jc</v>
      </c>
      <c r="AX1504" s="76" t="b">
        <v>0</v>
      </c>
      <c r="AY1504" s="76"/>
      <c r="AZ1504" s="76"/>
      <c r="BA1504" s="76" t="b">
        <v>1</v>
      </c>
      <c r="BB1504" s="76" t="b">
        <v>1</v>
      </c>
      <c r="BC1504" s="76" t="b">
        <v>0</v>
      </c>
      <c r="BD1504" s="76" t="b">
        <v>0</v>
      </c>
      <c r="BE1504" s="76" t="b">
        <v>0</v>
      </c>
      <c r="BF1504" s="76" t="b">
        <v>0</v>
      </c>
      <c r="BG1504" s="76" t="b">
        <v>0</v>
      </c>
      <c r="BH1504" s="82" t="str">
        <f>HYPERLINK("https://pbs.twimg.com/profile_banners/2571536112/1459125786")</f>
        <v>https://pbs.twimg.com/profile_banners/2571536112/1459125786</v>
      </c>
      <c r="BI1504" s="76"/>
      <c r="BJ1504" s="76" t="s">
        <v>27595</v>
      </c>
      <c r="BK1504" s="76" t="b">
        <v>0</v>
      </c>
      <c r="BL1504" s="76"/>
      <c r="BM1504" s="76" t="s">
        <v>66</v>
      </c>
      <c r="BN1504" s="76" t="s">
        <v>27597</v>
      </c>
      <c r="BO1504" s="82" t="str">
        <f>HYPERLINK("https://twitter.com/redewb")</f>
        <v>https://twitter.com/redewb</v>
      </c>
      <c r="BP1504" s="2"/>
    </row>
    <row r="1505" spans="1:68" x14ac:dyDescent="0.25">
      <c r="A1505" s="62" t="s">
        <v>1362</v>
      </c>
      <c r="B1505" s="63"/>
      <c r="C1505" s="63"/>
      <c r="D1505" s="64"/>
      <c r="E1505" s="66"/>
      <c r="F1505" s="103" t="str">
        <f>HYPERLINK("https://pbs.twimg.com/profile_images/1529673907824992257/XUXTGlsd_normal.jpg")</f>
        <v>https://pbs.twimg.com/profile_images/1529673907824992257/XUXTGlsd_normal.jpg</v>
      </c>
      <c r="G1505" s="63"/>
      <c r="H1505" s="67"/>
      <c r="I1505" s="68"/>
      <c r="J1505" s="68"/>
      <c r="K1505" s="67" t="s">
        <v>29099</v>
      </c>
      <c r="L1505" s="71"/>
      <c r="M1505" s="72"/>
      <c r="N1505" s="72"/>
      <c r="O1505" s="73"/>
      <c r="P1505" s="74"/>
      <c r="Q1505" s="74"/>
      <c r="R1505" s="87"/>
      <c r="S1505" s="87"/>
      <c r="T1505" s="87"/>
      <c r="U1505" s="87"/>
      <c r="V1505" s="48"/>
      <c r="W1505" s="48"/>
      <c r="X1505" s="48"/>
      <c r="Y1505" s="48"/>
      <c r="Z1505" s="47"/>
      <c r="AA1505" s="69">
        <v>1505</v>
      </c>
      <c r="AB1505" s="69"/>
      <c r="AC1505" s="70"/>
      <c r="AD1505" s="76" t="s">
        <v>22718</v>
      </c>
      <c r="AE1505" s="81" t="s">
        <v>20349</v>
      </c>
      <c r="AF1505" s="76">
        <v>488</v>
      </c>
      <c r="AG1505" s="76">
        <v>67</v>
      </c>
      <c r="AH1505" s="76">
        <v>812</v>
      </c>
      <c r="AI1505" s="76">
        <v>9</v>
      </c>
      <c r="AJ1505" s="76">
        <v>14</v>
      </c>
      <c r="AK1505" s="76">
        <v>211</v>
      </c>
      <c r="AL1505" s="76" t="b">
        <v>0</v>
      </c>
      <c r="AM1505" s="78">
        <v>40499.826064814813</v>
      </c>
      <c r="AN1505" s="76" t="s">
        <v>14381</v>
      </c>
      <c r="AO1505" s="76" t="s">
        <v>26046</v>
      </c>
      <c r="AP1505" s="82" t="str">
        <f>HYPERLINK("https://t.co/7WztsSSr11")</f>
        <v>https://t.co/7WztsSSr11</v>
      </c>
      <c r="AQ1505" s="82" t="str">
        <f>HYPERLINK("http://linktr.ee/pmird")</f>
        <v>http://linktr.ee/pmird</v>
      </c>
      <c r="AR1505" s="76" t="s">
        <v>27177</v>
      </c>
      <c r="AS1505" s="76"/>
      <c r="AT1505" s="76"/>
      <c r="AU1505" s="76"/>
      <c r="AV1505" s="76">
        <v>1.63602467585041E+18</v>
      </c>
      <c r="AW1505" s="82" t="str">
        <f>HYPERLINK("https://t.co/7WztsSSr11")</f>
        <v>https://t.co/7WztsSSr11</v>
      </c>
      <c r="AX1505" s="76" t="b">
        <v>0</v>
      </c>
      <c r="AY1505" s="76"/>
      <c r="AZ1505" s="76"/>
      <c r="BA1505" s="76" t="b">
        <v>0</v>
      </c>
      <c r="BB1505" s="76" t="b">
        <v>1</v>
      </c>
      <c r="BC1505" s="76" t="b">
        <v>1</v>
      </c>
      <c r="BD1505" s="76" t="b">
        <v>0</v>
      </c>
      <c r="BE1505" s="76" t="b">
        <v>0</v>
      </c>
      <c r="BF1505" s="76" t="b">
        <v>0</v>
      </c>
      <c r="BG1505" s="76" t="b">
        <v>0</v>
      </c>
      <c r="BH1505" s="82" t="str">
        <f>HYPERLINK("https://pbs.twimg.com/profile_banners/216810168/1678877544")</f>
        <v>https://pbs.twimg.com/profile_banners/216810168/1678877544</v>
      </c>
      <c r="BI1505" s="76"/>
      <c r="BJ1505" s="76" t="s">
        <v>27595</v>
      </c>
      <c r="BK1505" s="76" t="b">
        <v>0</v>
      </c>
      <c r="BL1505" s="76"/>
      <c r="BM1505" s="76" t="s">
        <v>66</v>
      </c>
      <c r="BN1505" s="76" t="s">
        <v>27597</v>
      </c>
      <c r="BO1505" s="82" t="str">
        <f>HYPERLINK("https://twitter.com/pmird")</f>
        <v>https://twitter.com/pmird</v>
      </c>
      <c r="BP1505" s="2"/>
    </row>
    <row r="1506" spans="1:68" x14ac:dyDescent="0.25">
      <c r="A1506" s="62" t="s">
        <v>1363</v>
      </c>
      <c r="B1506" s="63"/>
      <c r="C1506" s="63"/>
      <c r="D1506" s="64"/>
      <c r="E1506" s="66"/>
      <c r="F1506" s="103" t="str">
        <f>HYPERLINK("https://pbs.twimg.com/profile_images/1392134366692786180/wCKg7cP5_normal.jpg")</f>
        <v>https://pbs.twimg.com/profile_images/1392134366692786180/wCKg7cP5_normal.jpg</v>
      </c>
      <c r="G1506" s="63"/>
      <c r="H1506" s="67"/>
      <c r="I1506" s="68"/>
      <c r="J1506" s="68"/>
      <c r="K1506" s="67" t="s">
        <v>29100</v>
      </c>
      <c r="L1506" s="71"/>
      <c r="M1506" s="72"/>
      <c r="N1506" s="72"/>
      <c r="O1506" s="73"/>
      <c r="P1506" s="74"/>
      <c r="Q1506" s="74"/>
      <c r="R1506" s="87"/>
      <c r="S1506" s="87"/>
      <c r="T1506" s="87"/>
      <c r="U1506" s="87"/>
      <c r="V1506" s="48"/>
      <c r="W1506" s="48"/>
      <c r="X1506" s="48"/>
      <c r="Y1506" s="48"/>
      <c r="Z1506" s="47"/>
      <c r="AA1506" s="69">
        <v>1506</v>
      </c>
      <c r="AB1506" s="69"/>
      <c r="AC1506" s="70"/>
      <c r="AD1506" s="76" t="s">
        <v>22719</v>
      </c>
      <c r="AE1506" s="81" t="s">
        <v>23857</v>
      </c>
      <c r="AF1506" s="76">
        <v>1023</v>
      </c>
      <c r="AG1506" s="76">
        <v>2175</v>
      </c>
      <c r="AH1506" s="76">
        <v>62382</v>
      </c>
      <c r="AI1506" s="76">
        <v>26</v>
      </c>
      <c r="AJ1506" s="76">
        <v>213938</v>
      </c>
      <c r="AK1506" s="76">
        <v>704</v>
      </c>
      <c r="AL1506" s="76" t="b">
        <v>0</v>
      </c>
      <c r="AM1506" s="78">
        <v>39930.726886574077</v>
      </c>
      <c r="AN1506" s="76" t="s">
        <v>24343</v>
      </c>
      <c r="AO1506" s="76" t="s">
        <v>26047</v>
      </c>
      <c r="AP1506" s="76"/>
      <c r="AQ1506" s="76"/>
      <c r="AR1506" s="76"/>
      <c r="AS1506" s="76"/>
      <c r="AT1506" s="76"/>
      <c r="AU1506" s="76"/>
      <c r="AV1506" s="76"/>
      <c r="AW1506" s="76"/>
      <c r="AX1506" s="76" t="b">
        <v>0</v>
      </c>
      <c r="AY1506" s="76"/>
      <c r="AZ1506" s="76"/>
      <c r="BA1506" s="76" t="b">
        <v>0</v>
      </c>
      <c r="BB1506" s="76" t="b">
        <v>0</v>
      </c>
      <c r="BC1506" s="76" t="b">
        <v>0</v>
      </c>
      <c r="BD1506" s="76" t="b">
        <v>0</v>
      </c>
      <c r="BE1506" s="76" t="b">
        <v>1</v>
      </c>
      <c r="BF1506" s="76" t="b">
        <v>0</v>
      </c>
      <c r="BG1506" s="76" t="b">
        <v>0</v>
      </c>
      <c r="BH1506" s="76"/>
      <c r="BI1506" s="76"/>
      <c r="BJ1506" s="76" t="s">
        <v>27595</v>
      </c>
      <c r="BK1506" s="76" t="b">
        <v>0</v>
      </c>
      <c r="BL1506" s="76"/>
      <c r="BM1506" s="76" t="s">
        <v>66</v>
      </c>
      <c r="BN1506" s="76" t="s">
        <v>27597</v>
      </c>
      <c r="BO1506" s="82" t="str">
        <f>HYPERLINK("https://twitter.com/maropesa")</f>
        <v>https://twitter.com/maropesa</v>
      </c>
      <c r="BP1506" s="2"/>
    </row>
    <row r="1507" spans="1:68" x14ac:dyDescent="0.25">
      <c r="A1507" s="62" t="s">
        <v>1364</v>
      </c>
      <c r="B1507" s="63"/>
      <c r="C1507" s="63"/>
      <c r="D1507" s="64"/>
      <c r="E1507" s="66"/>
      <c r="F1507" s="103" t="str">
        <f>HYPERLINK("https://pbs.twimg.com/profile_images/1405221599792439300/7lSZ0_QK_normal.jpg")</f>
        <v>https://pbs.twimg.com/profile_images/1405221599792439300/7lSZ0_QK_normal.jpg</v>
      </c>
      <c r="G1507" s="63"/>
      <c r="H1507" s="67"/>
      <c r="I1507" s="68"/>
      <c r="J1507" s="68"/>
      <c r="K1507" s="67" t="s">
        <v>29101</v>
      </c>
      <c r="L1507" s="71"/>
      <c r="M1507" s="72"/>
      <c r="N1507" s="72"/>
      <c r="O1507" s="73"/>
      <c r="P1507" s="74"/>
      <c r="Q1507" s="74"/>
      <c r="R1507" s="87"/>
      <c r="S1507" s="87"/>
      <c r="T1507" s="87"/>
      <c r="U1507" s="87"/>
      <c r="V1507" s="48"/>
      <c r="W1507" s="48"/>
      <c r="X1507" s="48"/>
      <c r="Y1507" s="48"/>
      <c r="Z1507" s="47"/>
      <c r="AA1507" s="69">
        <v>1507</v>
      </c>
      <c r="AB1507" s="69"/>
      <c r="AC1507" s="70"/>
      <c r="AD1507" s="76" t="s">
        <v>22720</v>
      </c>
      <c r="AE1507" s="81" t="s">
        <v>21053</v>
      </c>
      <c r="AF1507" s="76">
        <v>200</v>
      </c>
      <c r="AG1507" s="76">
        <v>105</v>
      </c>
      <c r="AH1507" s="76">
        <v>647</v>
      </c>
      <c r="AI1507" s="76">
        <v>3</v>
      </c>
      <c r="AJ1507" s="76">
        <v>2438</v>
      </c>
      <c r="AK1507" s="76">
        <v>79</v>
      </c>
      <c r="AL1507" s="76" t="b">
        <v>0</v>
      </c>
      <c r="AM1507" s="78">
        <v>43334.623912037037</v>
      </c>
      <c r="AN1507" s="76" t="s">
        <v>24596</v>
      </c>
      <c r="AO1507" s="76" t="s">
        <v>26048</v>
      </c>
      <c r="AP1507" s="76"/>
      <c r="AQ1507" s="76"/>
      <c r="AR1507" s="76"/>
      <c r="AS1507" s="76"/>
      <c r="AT1507" s="76"/>
      <c r="AU1507" s="76"/>
      <c r="AV1507" s="76">
        <v>1.03262481332251E+18</v>
      </c>
      <c r="AW1507" s="76"/>
      <c r="AX1507" s="76" t="b">
        <v>0</v>
      </c>
      <c r="AY1507" s="76"/>
      <c r="AZ1507" s="76"/>
      <c r="BA1507" s="76" t="b">
        <v>0</v>
      </c>
      <c r="BB1507" s="76" t="b">
        <v>0</v>
      </c>
      <c r="BC1507" s="76" t="b">
        <v>0</v>
      </c>
      <c r="BD1507" s="76" t="b">
        <v>0</v>
      </c>
      <c r="BE1507" s="76" t="b">
        <v>1</v>
      </c>
      <c r="BF1507" s="76" t="b">
        <v>0</v>
      </c>
      <c r="BG1507" s="76" t="b">
        <v>0</v>
      </c>
      <c r="BH1507" s="82" t="str">
        <f>HYPERLINK("https://pbs.twimg.com/profile_banners/1032280842196930561/1535032486")</f>
        <v>https://pbs.twimg.com/profile_banners/1032280842196930561/1535032486</v>
      </c>
      <c r="BI1507" s="76"/>
      <c r="BJ1507" s="76" t="s">
        <v>27595</v>
      </c>
      <c r="BK1507" s="76" t="b">
        <v>0</v>
      </c>
      <c r="BL1507" s="76"/>
      <c r="BM1507" s="76" t="s">
        <v>66</v>
      </c>
      <c r="BN1507" s="76" t="s">
        <v>27597</v>
      </c>
      <c r="BO1507" s="82" t="str">
        <f>HYPERLINK("https://twitter.com/gabrielmuniz93")</f>
        <v>https://twitter.com/gabrielmuniz93</v>
      </c>
      <c r="BP1507" s="2"/>
    </row>
    <row r="1508" spans="1:68" x14ac:dyDescent="0.25">
      <c r="A1508" s="62" t="s">
        <v>1365</v>
      </c>
      <c r="B1508" s="63"/>
      <c r="C1508" s="63"/>
      <c r="D1508" s="64"/>
      <c r="E1508" s="66"/>
      <c r="F1508" s="103" t="str">
        <f>HYPERLINK("https://pbs.twimg.com/profile_images/1661780370033979404/fwkffSzg_normal.png")</f>
        <v>https://pbs.twimg.com/profile_images/1661780370033979404/fwkffSzg_normal.png</v>
      </c>
      <c r="G1508" s="63"/>
      <c r="H1508" s="67"/>
      <c r="I1508" s="68"/>
      <c r="J1508" s="68"/>
      <c r="K1508" s="67" t="s">
        <v>29102</v>
      </c>
      <c r="L1508" s="71"/>
      <c r="M1508" s="72"/>
      <c r="N1508" s="72"/>
      <c r="O1508" s="73"/>
      <c r="P1508" s="74"/>
      <c r="Q1508" s="74"/>
      <c r="R1508" s="87"/>
      <c r="S1508" s="87"/>
      <c r="T1508" s="87"/>
      <c r="U1508" s="87"/>
      <c r="V1508" s="48"/>
      <c r="W1508" s="48"/>
      <c r="X1508" s="48"/>
      <c r="Y1508" s="48"/>
      <c r="Z1508" s="47"/>
      <c r="AA1508" s="69">
        <v>1508</v>
      </c>
      <c r="AB1508" s="69"/>
      <c r="AC1508" s="70"/>
      <c r="AD1508" s="76" t="s">
        <v>22721</v>
      </c>
      <c r="AE1508" s="81" t="s">
        <v>21054</v>
      </c>
      <c r="AF1508" s="76">
        <v>120</v>
      </c>
      <c r="AG1508" s="76">
        <v>250</v>
      </c>
      <c r="AH1508" s="76">
        <v>15900</v>
      </c>
      <c r="AI1508" s="76">
        <v>0</v>
      </c>
      <c r="AJ1508" s="76">
        <v>14774</v>
      </c>
      <c r="AK1508" s="76">
        <v>1912</v>
      </c>
      <c r="AL1508" s="76" t="b">
        <v>0</v>
      </c>
      <c r="AM1508" s="78">
        <v>45071.71166666667</v>
      </c>
      <c r="AN1508" s="76"/>
      <c r="AO1508" s="76"/>
      <c r="AP1508" s="76"/>
      <c r="AQ1508" s="76"/>
      <c r="AR1508" s="76"/>
      <c r="AS1508" s="76"/>
      <c r="AT1508" s="76"/>
      <c r="AU1508" s="76"/>
      <c r="AV1508" s="76"/>
      <c r="AW1508" s="76"/>
      <c r="AX1508" s="76" t="b">
        <v>0</v>
      </c>
      <c r="AY1508" s="76"/>
      <c r="AZ1508" s="76"/>
      <c r="BA1508" s="76" t="b">
        <v>0</v>
      </c>
      <c r="BB1508" s="76" t="b">
        <v>1</v>
      </c>
      <c r="BC1508" s="76" t="b">
        <v>1</v>
      </c>
      <c r="BD1508" s="76" t="b">
        <v>0</v>
      </c>
      <c r="BE1508" s="76" t="b">
        <v>0</v>
      </c>
      <c r="BF1508" s="76" t="b">
        <v>0</v>
      </c>
      <c r="BG1508" s="76" t="b">
        <v>0</v>
      </c>
      <c r="BH1508" s="76"/>
      <c r="BI1508" s="76"/>
      <c r="BJ1508" s="76" t="s">
        <v>27595</v>
      </c>
      <c r="BK1508" s="76" t="b">
        <v>0</v>
      </c>
      <c r="BL1508" s="76"/>
      <c r="BM1508" s="76" t="s">
        <v>66</v>
      </c>
      <c r="BN1508" s="76" t="s">
        <v>27597</v>
      </c>
      <c r="BO1508" s="82" t="str">
        <f>HYPERLINK("https://twitter.com/paulobecker1962")</f>
        <v>https://twitter.com/paulobecker1962</v>
      </c>
      <c r="BP1508" s="2"/>
    </row>
    <row r="1509" spans="1:68" x14ac:dyDescent="0.25">
      <c r="A1509" s="62" t="s">
        <v>1366</v>
      </c>
      <c r="B1509" s="63"/>
      <c r="C1509" s="63"/>
      <c r="D1509" s="64"/>
      <c r="E1509" s="66"/>
      <c r="F1509" s="103" t="str">
        <f>HYPERLINK("https://pbs.twimg.com/profile_images/1496831572909166592/zvzGyEv-_normal.jpg")</f>
        <v>https://pbs.twimg.com/profile_images/1496831572909166592/zvzGyEv-_normal.jpg</v>
      </c>
      <c r="G1509" s="63"/>
      <c r="H1509" s="67"/>
      <c r="I1509" s="68"/>
      <c r="J1509" s="68"/>
      <c r="K1509" s="67" t="s">
        <v>29103</v>
      </c>
      <c r="L1509" s="71"/>
      <c r="M1509" s="72"/>
      <c r="N1509" s="72"/>
      <c r="O1509" s="73"/>
      <c r="P1509" s="74"/>
      <c r="Q1509" s="74"/>
      <c r="R1509" s="87"/>
      <c r="S1509" s="87"/>
      <c r="T1509" s="87"/>
      <c r="U1509" s="87"/>
      <c r="V1509" s="48"/>
      <c r="W1509" s="48"/>
      <c r="X1509" s="48"/>
      <c r="Y1509" s="48"/>
      <c r="Z1509" s="47"/>
      <c r="AA1509" s="69">
        <v>1509</v>
      </c>
      <c r="AB1509" s="69"/>
      <c r="AC1509" s="70"/>
      <c r="AD1509" s="76" t="s">
        <v>22722</v>
      </c>
      <c r="AE1509" s="81" t="s">
        <v>20350</v>
      </c>
      <c r="AF1509" s="76">
        <v>2453</v>
      </c>
      <c r="AG1509" s="76">
        <v>159</v>
      </c>
      <c r="AH1509" s="76">
        <v>1124</v>
      </c>
      <c r="AI1509" s="76">
        <v>5</v>
      </c>
      <c r="AJ1509" s="76">
        <v>112</v>
      </c>
      <c r="AK1509" s="76">
        <v>684</v>
      </c>
      <c r="AL1509" s="76" t="b">
        <v>0</v>
      </c>
      <c r="AM1509" s="78">
        <v>40749.489189814813</v>
      </c>
      <c r="AN1509" s="76" t="s">
        <v>14382</v>
      </c>
      <c r="AO1509" s="76" t="s">
        <v>26049</v>
      </c>
      <c r="AP1509" s="82" t="str">
        <f>HYPERLINK("https://t.co/m0YTK5yAwt")</f>
        <v>https://t.co/m0YTK5yAwt</v>
      </c>
      <c r="AQ1509" s="82" t="str">
        <f>HYPERLINK("http://www.prosegur.com.br")</f>
        <v>http://www.prosegur.com.br</v>
      </c>
      <c r="AR1509" s="76" t="s">
        <v>27178</v>
      </c>
      <c r="AS1509" s="76"/>
      <c r="AT1509" s="76"/>
      <c r="AU1509" s="76"/>
      <c r="AV1509" s="76"/>
      <c r="AW1509" s="82" t="str">
        <f>HYPERLINK("https://t.co/m0YTK5yAwt")</f>
        <v>https://t.co/m0YTK5yAwt</v>
      </c>
      <c r="AX1509" s="76" t="b">
        <v>0</v>
      </c>
      <c r="AY1509" s="76"/>
      <c r="AZ1509" s="76"/>
      <c r="BA1509" s="76" t="b">
        <v>0</v>
      </c>
      <c r="BB1509" s="76" t="b">
        <v>1</v>
      </c>
      <c r="BC1509" s="76" t="b">
        <v>0</v>
      </c>
      <c r="BD1509" s="76" t="b">
        <v>0</v>
      </c>
      <c r="BE1509" s="76" t="b">
        <v>0</v>
      </c>
      <c r="BF1509" s="76" t="b">
        <v>0</v>
      </c>
      <c r="BG1509" s="76" t="b">
        <v>0</v>
      </c>
      <c r="BH1509" s="82" t="str">
        <f>HYPERLINK("https://pbs.twimg.com/profile_banners/342047116/1645707432")</f>
        <v>https://pbs.twimg.com/profile_banners/342047116/1645707432</v>
      </c>
      <c r="BI1509" s="76"/>
      <c r="BJ1509" s="76" t="s">
        <v>27595</v>
      </c>
      <c r="BK1509" s="76" t="b">
        <v>0</v>
      </c>
      <c r="BL1509" s="76"/>
      <c r="BM1509" s="76" t="s">
        <v>66</v>
      </c>
      <c r="BN1509" s="76" t="s">
        <v>27597</v>
      </c>
      <c r="BO1509" s="82" t="str">
        <f>HYPERLINK("https://twitter.com/prosegurbr_pt")</f>
        <v>https://twitter.com/prosegurbr_pt</v>
      </c>
      <c r="BP1509" s="2"/>
    </row>
    <row r="1510" spans="1:68" x14ac:dyDescent="0.25">
      <c r="A1510" s="62" t="s">
        <v>1367</v>
      </c>
      <c r="B1510" s="63"/>
      <c r="C1510" s="63"/>
      <c r="D1510" s="64"/>
      <c r="E1510" s="66"/>
      <c r="F1510" s="103" t="str">
        <f>HYPERLINK("https://pbs.twimg.com/profile_images/1661836442186797056/rp6lN_Y9_normal.jpg")</f>
        <v>https://pbs.twimg.com/profile_images/1661836442186797056/rp6lN_Y9_normal.jpg</v>
      </c>
      <c r="G1510" s="63"/>
      <c r="H1510" s="67"/>
      <c r="I1510" s="68"/>
      <c r="J1510" s="68"/>
      <c r="K1510" s="67" t="s">
        <v>29104</v>
      </c>
      <c r="L1510" s="71"/>
      <c r="M1510" s="72"/>
      <c r="N1510" s="72"/>
      <c r="O1510" s="73"/>
      <c r="P1510" s="74"/>
      <c r="Q1510" s="74"/>
      <c r="R1510" s="87"/>
      <c r="S1510" s="87"/>
      <c r="T1510" s="87"/>
      <c r="U1510" s="87"/>
      <c r="V1510" s="48"/>
      <c r="W1510" s="48"/>
      <c r="X1510" s="48"/>
      <c r="Y1510" s="48"/>
      <c r="Z1510" s="47"/>
      <c r="AA1510" s="69">
        <v>1510</v>
      </c>
      <c r="AB1510" s="69"/>
      <c r="AC1510" s="70"/>
      <c r="AD1510" s="76" t="s">
        <v>22723</v>
      </c>
      <c r="AE1510" s="81" t="s">
        <v>21055</v>
      </c>
      <c r="AF1510" s="76">
        <v>61</v>
      </c>
      <c r="AG1510" s="76">
        <v>74</v>
      </c>
      <c r="AH1510" s="76">
        <v>3277</v>
      </c>
      <c r="AI1510" s="76">
        <v>0</v>
      </c>
      <c r="AJ1510" s="76">
        <v>6785</v>
      </c>
      <c r="AK1510" s="76">
        <v>25</v>
      </c>
      <c r="AL1510" s="76" t="b">
        <v>0</v>
      </c>
      <c r="AM1510" s="78">
        <v>43925.859131944446</v>
      </c>
      <c r="AN1510" s="76"/>
      <c r="AO1510" s="76" t="s">
        <v>26050</v>
      </c>
      <c r="AP1510" s="82" t="str">
        <f>HYPERLINK("https://t.co/CeAp03TESN")</f>
        <v>https://t.co/CeAp03TESN</v>
      </c>
      <c r="AQ1510" s="82" t="str">
        <f>HYPERLINK("https://www.instagram.com/rodrigoalbornoz_/?hl=es-la")</f>
        <v>https://www.instagram.com/rodrigoalbornoz_/?hl=es-la</v>
      </c>
      <c r="AR1510" s="76" t="s">
        <v>27179</v>
      </c>
      <c r="AS1510" s="76"/>
      <c r="AT1510" s="76"/>
      <c r="AU1510" s="76"/>
      <c r="AV1510" s="76"/>
      <c r="AW1510" s="82" t="str">
        <f>HYPERLINK("https://t.co/CeAp03TESN")</f>
        <v>https://t.co/CeAp03TESN</v>
      </c>
      <c r="AX1510" s="76" t="b">
        <v>0</v>
      </c>
      <c r="AY1510" s="76"/>
      <c r="AZ1510" s="76"/>
      <c r="BA1510" s="76" t="b">
        <v>0</v>
      </c>
      <c r="BB1510" s="76" t="b">
        <v>0</v>
      </c>
      <c r="BC1510" s="76" t="b">
        <v>1</v>
      </c>
      <c r="BD1510" s="76" t="b">
        <v>0</v>
      </c>
      <c r="BE1510" s="76" t="b">
        <v>1</v>
      </c>
      <c r="BF1510" s="76" t="b">
        <v>0</v>
      </c>
      <c r="BG1510" s="76" t="b">
        <v>0</v>
      </c>
      <c r="BH1510" s="76"/>
      <c r="BI1510" s="76"/>
      <c r="BJ1510" s="76" t="s">
        <v>27595</v>
      </c>
      <c r="BK1510" s="76" t="b">
        <v>0</v>
      </c>
      <c r="BL1510" s="76"/>
      <c r="BM1510" s="76" t="s">
        <v>66</v>
      </c>
      <c r="BN1510" s="76" t="s">
        <v>27597</v>
      </c>
      <c r="BO1510" s="82" t="str">
        <f>HYPERLINK("https://twitter.com/rodrigo4lbornoz")</f>
        <v>https://twitter.com/rodrigo4lbornoz</v>
      </c>
      <c r="BP1510" s="2"/>
    </row>
    <row r="1511" spans="1:68" x14ac:dyDescent="0.25">
      <c r="A1511" s="62" t="s">
        <v>1368</v>
      </c>
      <c r="B1511" s="63"/>
      <c r="C1511" s="63"/>
      <c r="D1511" s="64"/>
      <c r="E1511" s="66"/>
      <c r="F1511" s="103" t="str">
        <f>HYPERLINK("https://pbs.twimg.com/profile_images/1360045222688919555/uDqFtne9_normal.jpg")</f>
        <v>https://pbs.twimg.com/profile_images/1360045222688919555/uDqFtne9_normal.jpg</v>
      </c>
      <c r="G1511" s="63"/>
      <c r="H1511" s="67"/>
      <c r="I1511" s="68"/>
      <c r="J1511" s="68"/>
      <c r="K1511" s="67" t="s">
        <v>29105</v>
      </c>
      <c r="L1511" s="71"/>
      <c r="M1511" s="72"/>
      <c r="N1511" s="72"/>
      <c r="O1511" s="73"/>
      <c r="P1511" s="74"/>
      <c r="Q1511" s="74"/>
      <c r="R1511" s="87"/>
      <c r="S1511" s="87"/>
      <c r="T1511" s="87"/>
      <c r="U1511" s="87"/>
      <c r="V1511" s="48"/>
      <c r="W1511" s="48"/>
      <c r="X1511" s="48"/>
      <c r="Y1511" s="48"/>
      <c r="Z1511" s="47"/>
      <c r="AA1511" s="69">
        <v>1511</v>
      </c>
      <c r="AB1511" s="69"/>
      <c r="AC1511" s="70"/>
      <c r="AD1511" s="76" t="s">
        <v>22724</v>
      </c>
      <c r="AE1511" s="81" t="s">
        <v>21056</v>
      </c>
      <c r="AF1511" s="76">
        <v>76</v>
      </c>
      <c r="AG1511" s="76">
        <v>25</v>
      </c>
      <c r="AH1511" s="76">
        <v>1473</v>
      </c>
      <c r="AI1511" s="76">
        <v>0</v>
      </c>
      <c r="AJ1511" s="76">
        <v>1284</v>
      </c>
      <c r="AK1511" s="76">
        <v>528</v>
      </c>
      <c r="AL1511" s="76" t="b">
        <v>0</v>
      </c>
      <c r="AM1511" s="78">
        <v>43472.526759259257</v>
      </c>
      <c r="AN1511" s="76" t="s">
        <v>14400</v>
      </c>
      <c r="AO1511" s="76" t="s">
        <v>26051</v>
      </c>
      <c r="AP1511" s="82" t="str">
        <f>HYPERLINK("https://t.co/tyjyBG7GGh")</f>
        <v>https://t.co/tyjyBG7GGh</v>
      </c>
      <c r="AQ1511" s="82" t="str">
        <f>HYPERLINK("http://www.vicariconsulting.com.br")</f>
        <v>http://www.vicariconsulting.com.br</v>
      </c>
      <c r="AR1511" s="76" t="s">
        <v>27180</v>
      </c>
      <c r="AS1511" s="76"/>
      <c r="AT1511" s="76"/>
      <c r="AU1511" s="76"/>
      <c r="AV1511" s="76"/>
      <c r="AW1511" s="82" t="str">
        <f>HYPERLINK("https://t.co/tyjyBG7GGh")</f>
        <v>https://t.co/tyjyBG7GGh</v>
      </c>
      <c r="AX1511" s="76" t="b">
        <v>0</v>
      </c>
      <c r="AY1511" s="76"/>
      <c r="AZ1511" s="76"/>
      <c r="BA1511" s="76" t="b">
        <v>0</v>
      </c>
      <c r="BB1511" s="76" t="b">
        <v>1</v>
      </c>
      <c r="BC1511" s="76" t="b">
        <v>1</v>
      </c>
      <c r="BD1511" s="76" t="b">
        <v>0</v>
      </c>
      <c r="BE1511" s="76" t="b">
        <v>1</v>
      </c>
      <c r="BF1511" s="76" t="b">
        <v>0</v>
      </c>
      <c r="BG1511" s="76" t="b">
        <v>0</v>
      </c>
      <c r="BH1511" s="82" t="str">
        <f>HYPERLINK("https://pbs.twimg.com/profile_banners/1082255159303041025/1613094547")</f>
        <v>https://pbs.twimg.com/profile_banners/1082255159303041025/1613094547</v>
      </c>
      <c r="BI1511" s="76"/>
      <c r="BJ1511" s="76" t="s">
        <v>27595</v>
      </c>
      <c r="BK1511" s="76" t="b">
        <v>0</v>
      </c>
      <c r="BL1511" s="76"/>
      <c r="BM1511" s="76" t="s">
        <v>66</v>
      </c>
      <c r="BN1511" s="76" t="s">
        <v>27597</v>
      </c>
      <c r="BO1511" s="82" t="str">
        <f>HYPERLINK("https://twitter.com/senhor_gestao")</f>
        <v>https://twitter.com/senhor_gestao</v>
      </c>
      <c r="BP1511" s="2"/>
    </row>
    <row r="1512" spans="1:68" x14ac:dyDescent="0.25">
      <c r="A1512" s="62" t="s">
        <v>1369</v>
      </c>
      <c r="B1512" s="63"/>
      <c r="C1512" s="63"/>
      <c r="D1512" s="64"/>
      <c r="E1512" s="66"/>
      <c r="F1512" s="103" t="str">
        <f>HYPERLINK("https://pbs.twimg.com/profile_images/1253452296803037184/3M1BDloE_normal.jpg")</f>
        <v>https://pbs.twimg.com/profile_images/1253452296803037184/3M1BDloE_normal.jpg</v>
      </c>
      <c r="G1512" s="63"/>
      <c r="H1512" s="67"/>
      <c r="I1512" s="68"/>
      <c r="J1512" s="68"/>
      <c r="K1512" s="67" t="s">
        <v>29106</v>
      </c>
      <c r="L1512" s="71"/>
      <c r="M1512" s="72"/>
      <c r="N1512" s="72"/>
      <c r="O1512" s="73"/>
      <c r="P1512" s="74"/>
      <c r="Q1512" s="74"/>
      <c r="R1512" s="87"/>
      <c r="S1512" s="87"/>
      <c r="T1512" s="87"/>
      <c r="U1512" s="87"/>
      <c r="V1512" s="48"/>
      <c r="W1512" s="48"/>
      <c r="X1512" s="48"/>
      <c r="Y1512" s="48"/>
      <c r="Z1512" s="47"/>
      <c r="AA1512" s="69">
        <v>1512</v>
      </c>
      <c r="AB1512" s="69"/>
      <c r="AC1512" s="70"/>
      <c r="AD1512" s="76" t="s">
        <v>22725</v>
      </c>
      <c r="AE1512" s="81" t="s">
        <v>21057</v>
      </c>
      <c r="AF1512" s="76">
        <v>375</v>
      </c>
      <c r="AG1512" s="76">
        <v>418</v>
      </c>
      <c r="AH1512" s="76">
        <v>403</v>
      </c>
      <c r="AI1512" s="76">
        <v>2</v>
      </c>
      <c r="AJ1512" s="76">
        <v>1775</v>
      </c>
      <c r="AK1512" s="76">
        <v>26</v>
      </c>
      <c r="AL1512" s="76" t="b">
        <v>0</v>
      </c>
      <c r="AM1512" s="78">
        <v>42940.461631944447</v>
      </c>
      <c r="AN1512" s="76"/>
      <c r="AO1512" s="76" t="s">
        <v>26052</v>
      </c>
      <c r="AP1512" s="76"/>
      <c r="AQ1512" s="76"/>
      <c r="AR1512" s="76"/>
      <c r="AS1512" s="82" t="str">
        <f>HYPERLINK("https://t.co/YXEsNDm4en")</f>
        <v>https://t.co/YXEsNDm4en</v>
      </c>
      <c r="AT1512" s="82" t="str">
        <f>HYPERLINK("https://blogpontodevista.com/")</f>
        <v>https://blogpontodevista.com/</v>
      </c>
      <c r="AU1512" s="76" t="s">
        <v>8841</v>
      </c>
      <c r="AV1512" s="76"/>
      <c r="AW1512" s="76"/>
      <c r="AX1512" s="76" t="b">
        <v>0</v>
      </c>
      <c r="AY1512" s="76"/>
      <c r="AZ1512" s="76"/>
      <c r="BA1512" s="76" t="b">
        <v>1</v>
      </c>
      <c r="BB1512" s="76" t="b">
        <v>1</v>
      </c>
      <c r="BC1512" s="76" t="b">
        <v>1</v>
      </c>
      <c r="BD1512" s="76" t="b">
        <v>0</v>
      </c>
      <c r="BE1512" s="76" t="b">
        <v>0</v>
      </c>
      <c r="BF1512" s="76" t="b">
        <v>0</v>
      </c>
      <c r="BG1512" s="76" t="b">
        <v>0</v>
      </c>
      <c r="BH1512" s="82" t="str">
        <f>HYPERLINK("https://pbs.twimg.com/profile_banners/889441215439142916/1587681240")</f>
        <v>https://pbs.twimg.com/profile_banners/889441215439142916/1587681240</v>
      </c>
      <c r="BI1512" s="76"/>
      <c r="BJ1512" s="76" t="s">
        <v>27595</v>
      </c>
      <c r="BK1512" s="76" t="b">
        <v>0</v>
      </c>
      <c r="BL1512" s="76"/>
      <c r="BM1512" s="76" t="s">
        <v>66</v>
      </c>
      <c r="BN1512" s="76" t="s">
        <v>27597</v>
      </c>
      <c r="BO1512" s="82" t="str">
        <f>HYPERLINK("https://twitter.com/blogpontovista")</f>
        <v>https://twitter.com/blogpontovista</v>
      </c>
      <c r="BP1512" s="2"/>
    </row>
    <row r="1513" spans="1:68" x14ac:dyDescent="0.25">
      <c r="A1513" s="62" t="s">
        <v>2024</v>
      </c>
      <c r="B1513" s="63"/>
      <c r="C1513" s="63"/>
      <c r="D1513" s="64"/>
      <c r="E1513" s="66"/>
      <c r="F1513" s="103" t="str">
        <f>HYPERLINK("https://pbs.twimg.com/profile_images/1269970777492934657/tzbB3Pw0_normal.jpg")</f>
        <v>https://pbs.twimg.com/profile_images/1269970777492934657/tzbB3Pw0_normal.jpg</v>
      </c>
      <c r="G1513" s="63"/>
      <c r="H1513" s="67"/>
      <c r="I1513" s="68"/>
      <c r="J1513" s="68"/>
      <c r="K1513" s="67" t="s">
        <v>29107</v>
      </c>
      <c r="L1513" s="71"/>
      <c r="M1513" s="72"/>
      <c r="N1513" s="72"/>
      <c r="O1513" s="73"/>
      <c r="P1513" s="74"/>
      <c r="Q1513" s="74"/>
      <c r="R1513" s="87"/>
      <c r="S1513" s="87"/>
      <c r="T1513" s="87"/>
      <c r="U1513" s="87"/>
      <c r="V1513" s="48"/>
      <c r="W1513" s="48"/>
      <c r="X1513" s="48"/>
      <c r="Y1513" s="48"/>
      <c r="Z1513" s="47"/>
      <c r="AA1513" s="69">
        <v>1513</v>
      </c>
      <c r="AB1513" s="69"/>
      <c r="AC1513" s="70"/>
      <c r="AD1513" s="76" t="s">
        <v>22726</v>
      </c>
      <c r="AE1513" s="81" t="s">
        <v>23858</v>
      </c>
      <c r="AF1513" s="76">
        <v>4377</v>
      </c>
      <c r="AG1513" s="76">
        <v>999</v>
      </c>
      <c r="AH1513" s="76">
        <v>610</v>
      </c>
      <c r="AI1513" s="76">
        <v>220</v>
      </c>
      <c r="AJ1513" s="76">
        <v>25</v>
      </c>
      <c r="AK1513" s="76">
        <v>63</v>
      </c>
      <c r="AL1513" s="76" t="b">
        <v>0</v>
      </c>
      <c r="AM1513" s="78">
        <v>39933.031817129631</v>
      </c>
      <c r="AN1513" s="76" t="s">
        <v>24597</v>
      </c>
      <c r="AO1513" s="76" t="s">
        <v>26053</v>
      </c>
      <c r="AP1513" s="82" t="str">
        <f>HYPERLINK("https://t.co/BxMzkf47Gl")</f>
        <v>https://t.co/BxMzkf47Gl</v>
      </c>
      <c r="AQ1513" s="82" t="str">
        <f>HYPERLINK("http://www.eduardodafonte.com.br/")</f>
        <v>http://www.eduardodafonte.com.br/</v>
      </c>
      <c r="AR1513" s="76" t="s">
        <v>27181</v>
      </c>
      <c r="AS1513" s="76"/>
      <c r="AT1513" s="76"/>
      <c r="AU1513" s="76"/>
      <c r="AV1513" s="76"/>
      <c r="AW1513" s="82" t="str">
        <f>HYPERLINK("https://t.co/BxMzkf47Gl")</f>
        <v>https://t.co/BxMzkf47Gl</v>
      </c>
      <c r="AX1513" s="76" t="b">
        <v>0</v>
      </c>
      <c r="AY1513" s="76"/>
      <c r="AZ1513" s="76"/>
      <c r="BA1513" s="76" t="b">
        <v>0</v>
      </c>
      <c r="BB1513" s="76" t="b">
        <v>1</v>
      </c>
      <c r="BC1513" s="76" t="b">
        <v>0</v>
      </c>
      <c r="BD1513" s="76" t="b">
        <v>0</v>
      </c>
      <c r="BE1513" s="76" t="b">
        <v>0</v>
      </c>
      <c r="BF1513" s="76" t="b">
        <v>0</v>
      </c>
      <c r="BG1513" s="76" t="b">
        <v>0</v>
      </c>
      <c r="BH1513" s="82" t="str">
        <f>HYPERLINK("https://pbs.twimg.com/profile_banners/36540166/1635174361")</f>
        <v>https://pbs.twimg.com/profile_banners/36540166/1635174361</v>
      </c>
      <c r="BI1513" s="76"/>
      <c r="BJ1513" s="76" t="s">
        <v>27595</v>
      </c>
      <c r="BK1513" s="76" t="b">
        <v>0</v>
      </c>
      <c r="BL1513" s="76"/>
      <c r="BM1513" s="76" t="s">
        <v>65</v>
      </c>
      <c r="BN1513" s="76" t="s">
        <v>27597</v>
      </c>
      <c r="BO1513" s="82" t="str">
        <f>HYPERLINK("https://twitter.com/eduardodafonte")</f>
        <v>https://twitter.com/eduardodafonte</v>
      </c>
      <c r="BP1513" s="2"/>
    </row>
    <row r="1514" spans="1:68" x14ac:dyDescent="0.25">
      <c r="A1514" s="62" t="s">
        <v>1370</v>
      </c>
      <c r="B1514" s="63"/>
      <c r="C1514" s="63"/>
      <c r="D1514" s="64"/>
      <c r="E1514" s="66"/>
      <c r="F1514" s="103" t="str">
        <f>HYPERLINK("https://pbs.twimg.com/profile_images/1693930022963228672/ZDCTPVrS_normal.jpg")</f>
        <v>https://pbs.twimg.com/profile_images/1693930022963228672/ZDCTPVrS_normal.jpg</v>
      </c>
      <c r="G1514" s="63"/>
      <c r="H1514" s="67"/>
      <c r="I1514" s="68"/>
      <c r="J1514" s="68"/>
      <c r="K1514" s="67" t="s">
        <v>29108</v>
      </c>
      <c r="L1514" s="71"/>
      <c r="M1514" s="72"/>
      <c r="N1514" s="72"/>
      <c r="O1514" s="73"/>
      <c r="P1514" s="74"/>
      <c r="Q1514" s="74"/>
      <c r="R1514" s="87"/>
      <c r="S1514" s="87"/>
      <c r="T1514" s="87"/>
      <c r="U1514" s="87"/>
      <c r="V1514" s="48"/>
      <c r="W1514" s="48"/>
      <c r="X1514" s="48"/>
      <c r="Y1514" s="48"/>
      <c r="Z1514" s="47"/>
      <c r="AA1514" s="69">
        <v>1514</v>
      </c>
      <c r="AB1514" s="69"/>
      <c r="AC1514" s="70"/>
      <c r="AD1514" s="76" t="s">
        <v>22727</v>
      </c>
      <c r="AE1514" s="81" t="s">
        <v>21058</v>
      </c>
      <c r="AF1514" s="76">
        <v>29</v>
      </c>
      <c r="AG1514" s="76">
        <v>204</v>
      </c>
      <c r="AH1514" s="76">
        <v>2051</v>
      </c>
      <c r="AI1514" s="76">
        <v>0</v>
      </c>
      <c r="AJ1514" s="76">
        <v>1980</v>
      </c>
      <c r="AK1514" s="76">
        <v>8</v>
      </c>
      <c r="AL1514" s="76" t="b">
        <v>0</v>
      </c>
      <c r="AM1514" s="78">
        <v>44497.934583333335</v>
      </c>
      <c r="AN1514" s="76"/>
      <c r="AO1514" s="76" t="s">
        <v>26054</v>
      </c>
      <c r="AP1514" s="76"/>
      <c r="AQ1514" s="76"/>
      <c r="AR1514" s="76"/>
      <c r="AS1514" s="82" t="str">
        <f>HYPERLINK("https://t.co/lCeX6zE5uH")</f>
        <v>https://t.co/lCeX6zE5uH</v>
      </c>
      <c r="AT1514" s="82" t="str">
        <f>HYPERLINK("http://taoist.finance")</f>
        <v>http://taoist.finance</v>
      </c>
      <c r="AU1514" s="76" t="s">
        <v>27556</v>
      </c>
      <c r="AV1514" s="76">
        <v>1.59776678060835E+18</v>
      </c>
      <c r="AW1514" s="76"/>
      <c r="AX1514" s="76" t="b">
        <v>0</v>
      </c>
      <c r="AY1514" s="76"/>
      <c r="AZ1514" s="76"/>
      <c r="BA1514" s="76" t="b">
        <v>0</v>
      </c>
      <c r="BB1514" s="76" t="b">
        <v>1</v>
      </c>
      <c r="BC1514" s="76" t="b">
        <v>1</v>
      </c>
      <c r="BD1514" s="76" t="b">
        <v>0</v>
      </c>
      <c r="BE1514" s="76" t="b">
        <v>1</v>
      </c>
      <c r="BF1514" s="76" t="b">
        <v>0</v>
      </c>
      <c r="BG1514" s="76" t="b">
        <v>0</v>
      </c>
      <c r="BH1514" s="76"/>
      <c r="BI1514" s="76"/>
      <c r="BJ1514" s="76" t="s">
        <v>27595</v>
      </c>
      <c r="BK1514" s="76" t="b">
        <v>0</v>
      </c>
      <c r="BL1514" s="76"/>
      <c r="BM1514" s="76" t="s">
        <v>66</v>
      </c>
      <c r="BN1514" s="76" t="s">
        <v>27597</v>
      </c>
      <c r="BO1514" s="82" t="str">
        <f>HYPERLINK("https://twitter.com/chipoteclan")</f>
        <v>https://twitter.com/chipoteclan</v>
      </c>
      <c r="BP1514" s="2"/>
    </row>
    <row r="1515" spans="1:68" x14ac:dyDescent="0.25">
      <c r="A1515" s="62" t="s">
        <v>1371</v>
      </c>
      <c r="B1515" s="63"/>
      <c r="C1515" s="63"/>
      <c r="D1515" s="64"/>
      <c r="E1515" s="66"/>
      <c r="F1515" s="103" t="str">
        <f>HYPERLINK("https://pbs.twimg.com/profile_images/1488090575966461957/QZbvYQJu_normal.jpg")</f>
        <v>https://pbs.twimg.com/profile_images/1488090575966461957/QZbvYQJu_normal.jpg</v>
      </c>
      <c r="G1515" s="63"/>
      <c r="H1515" s="67"/>
      <c r="I1515" s="68"/>
      <c r="J1515" s="68"/>
      <c r="K1515" s="67" t="s">
        <v>29109</v>
      </c>
      <c r="L1515" s="71"/>
      <c r="M1515" s="72"/>
      <c r="N1515" s="72"/>
      <c r="O1515" s="73"/>
      <c r="P1515" s="74"/>
      <c r="Q1515" s="74"/>
      <c r="R1515" s="87"/>
      <c r="S1515" s="87"/>
      <c r="T1515" s="87"/>
      <c r="U1515" s="87"/>
      <c r="V1515" s="48"/>
      <c r="W1515" s="48"/>
      <c r="X1515" s="48"/>
      <c r="Y1515" s="48"/>
      <c r="Z1515" s="47"/>
      <c r="AA1515" s="69">
        <v>1515</v>
      </c>
      <c r="AB1515" s="69"/>
      <c r="AC1515" s="70"/>
      <c r="AD1515" s="76" t="s">
        <v>22728</v>
      </c>
      <c r="AE1515" s="81" t="s">
        <v>21059</v>
      </c>
      <c r="AF1515" s="76">
        <v>13</v>
      </c>
      <c r="AG1515" s="76">
        <v>16</v>
      </c>
      <c r="AH1515" s="76">
        <v>1395</v>
      </c>
      <c r="AI1515" s="76">
        <v>0</v>
      </c>
      <c r="AJ1515" s="76">
        <v>0</v>
      </c>
      <c r="AK1515" s="76">
        <v>435</v>
      </c>
      <c r="AL1515" s="76" t="b">
        <v>0</v>
      </c>
      <c r="AM1515" s="78">
        <v>44592.418356481481</v>
      </c>
      <c r="AN1515" s="76"/>
      <c r="AO1515" s="76"/>
      <c r="AP1515" s="76"/>
      <c r="AQ1515" s="76"/>
      <c r="AR1515" s="76"/>
      <c r="AS1515" s="76"/>
      <c r="AT1515" s="76"/>
      <c r="AU1515" s="76"/>
      <c r="AV1515" s="76"/>
      <c r="AW1515" s="76"/>
      <c r="AX1515" s="76" t="b">
        <v>0</v>
      </c>
      <c r="AY1515" s="76"/>
      <c r="AZ1515" s="76"/>
      <c r="BA1515" s="76" t="b">
        <v>0</v>
      </c>
      <c r="BB1515" s="76" t="b">
        <v>1</v>
      </c>
      <c r="BC1515" s="76" t="b">
        <v>1</v>
      </c>
      <c r="BD1515" s="76" t="b">
        <v>0</v>
      </c>
      <c r="BE1515" s="76" t="b">
        <v>0</v>
      </c>
      <c r="BF1515" s="76" t="b">
        <v>0</v>
      </c>
      <c r="BG1515" s="76" t="b">
        <v>0</v>
      </c>
      <c r="BH1515" s="76"/>
      <c r="BI1515" s="76"/>
      <c r="BJ1515" s="76" t="s">
        <v>27595</v>
      </c>
      <c r="BK1515" s="76" t="b">
        <v>0</v>
      </c>
      <c r="BL1515" s="76"/>
      <c r="BM1515" s="76" t="s">
        <v>66</v>
      </c>
      <c r="BN1515" s="76" t="s">
        <v>27597</v>
      </c>
      <c r="BO1515" s="82" t="str">
        <f>HYPERLINK("https://twitter.com/dregionalo1")</f>
        <v>https://twitter.com/dregionalo1</v>
      </c>
      <c r="BP1515" s="2"/>
    </row>
    <row r="1516" spans="1:68" x14ac:dyDescent="0.25">
      <c r="A1516" s="62" t="s">
        <v>1373</v>
      </c>
      <c r="B1516" s="63"/>
      <c r="C1516" s="63"/>
      <c r="D1516" s="64"/>
      <c r="E1516" s="66"/>
      <c r="F1516" s="103" t="str">
        <f>HYPERLINK("https://pbs.twimg.com/profile_images/1587214677053829120/CrxdH2Kg_normal.jpg")</f>
        <v>https://pbs.twimg.com/profile_images/1587214677053829120/CrxdH2Kg_normal.jpg</v>
      </c>
      <c r="G1516" s="63"/>
      <c r="H1516" s="67"/>
      <c r="I1516" s="68"/>
      <c r="J1516" s="68"/>
      <c r="K1516" s="67" t="s">
        <v>29110</v>
      </c>
      <c r="L1516" s="71"/>
      <c r="M1516" s="72"/>
      <c r="N1516" s="72"/>
      <c r="O1516" s="73"/>
      <c r="P1516" s="74"/>
      <c r="Q1516" s="74"/>
      <c r="R1516" s="87"/>
      <c r="S1516" s="87"/>
      <c r="T1516" s="87"/>
      <c r="U1516" s="87"/>
      <c r="V1516" s="48"/>
      <c r="W1516" s="48"/>
      <c r="X1516" s="48"/>
      <c r="Y1516" s="48"/>
      <c r="Z1516" s="47"/>
      <c r="AA1516" s="69">
        <v>1516</v>
      </c>
      <c r="AB1516" s="69"/>
      <c r="AC1516" s="70"/>
      <c r="AD1516" s="76" t="s">
        <v>22729</v>
      </c>
      <c r="AE1516" s="81" t="s">
        <v>23859</v>
      </c>
      <c r="AF1516" s="76">
        <v>4055</v>
      </c>
      <c r="AG1516" s="76">
        <v>5001</v>
      </c>
      <c r="AH1516" s="76">
        <v>141328</v>
      </c>
      <c r="AI1516" s="76">
        <v>8</v>
      </c>
      <c r="AJ1516" s="76">
        <v>552401</v>
      </c>
      <c r="AK1516" s="76">
        <v>6306</v>
      </c>
      <c r="AL1516" s="76" t="b">
        <v>0</v>
      </c>
      <c r="AM1516" s="78">
        <v>40932.818495370368</v>
      </c>
      <c r="AN1516" s="76" t="s">
        <v>24598</v>
      </c>
      <c r="AO1516" s="76" t="s">
        <v>26055</v>
      </c>
      <c r="AP1516" s="82" t="str">
        <f>HYPERLINK("https://t.co/2SXmqPeMxO")</f>
        <v>https://t.co/2SXmqPeMxO</v>
      </c>
      <c r="AQ1516" s="82" t="str">
        <f>HYPERLINK("http://www.wikipedia.com")</f>
        <v>http://www.wikipedia.com</v>
      </c>
      <c r="AR1516" s="76" t="s">
        <v>27182</v>
      </c>
      <c r="AS1516" s="76"/>
      <c r="AT1516" s="76"/>
      <c r="AU1516" s="76"/>
      <c r="AV1516" s="76">
        <v>1.3366620608690401E+18</v>
      </c>
      <c r="AW1516" s="82" t="str">
        <f>HYPERLINK("https://t.co/2SXmqPeMxO")</f>
        <v>https://t.co/2SXmqPeMxO</v>
      </c>
      <c r="AX1516" s="76" t="b">
        <v>0</v>
      </c>
      <c r="AY1516" s="76"/>
      <c r="AZ1516" s="76"/>
      <c r="BA1516" s="76" t="b">
        <v>1</v>
      </c>
      <c r="BB1516" s="76" t="b">
        <v>0</v>
      </c>
      <c r="BC1516" s="76" t="b">
        <v>1</v>
      </c>
      <c r="BD1516" s="76" t="b">
        <v>0</v>
      </c>
      <c r="BE1516" s="76" t="b">
        <v>1</v>
      </c>
      <c r="BF1516" s="76" t="b">
        <v>0</v>
      </c>
      <c r="BG1516" s="76" t="b">
        <v>0</v>
      </c>
      <c r="BH1516" s="82" t="str">
        <f>HYPERLINK("https://pbs.twimg.com/profile_banners/473238229/1614128836")</f>
        <v>https://pbs.twimg.com/profile_banners/473238229/1614128836</v>
      </c>
      <c r="BI1516" s="76"/>
      <c r="BJ1516" s="76" t="s">
        <v>27595</v>
      </c>
      <c r="BK1516" s="76" t="b">
        <v>0</v>
      </c>
      <c r="BL1516" s="76"/>
      <c r="BM1516" s="76" t="s">
        <v>66</v>
      </c>
      <c r="BN1516" s="76" t="s">
        <v>27597</v>
      </c>
      <c r="BO1516" s="82" t="str">
        <f>HYPERLINK("https://twitter.com/berettasudaca")</f>
        <v>https://twitter.com/berettasudaca</v>
      </c>
      <c r="BP1516" s="2"/>
    </row>
    <row r="1517" spans="1:68" x14ac:dyDescent="0.25">
      <c r="A1517" s="62" t="s">
        <v>1374</v>
      </c>
      <c r="B1517" s="63"/>
      <c r="C1517" s="63"/>
      <c r="D1517" s="64"/>
      <c r="E1517" s="66"/>
      <c r="F1517" s="103" t="str">
        <f>HYPERLINK("https://pbs.twimg.com/profile_images/1373401737772552198/KL8Tufj1_normal.jpg")</f>
        <v>https://pbs.twimg.com/profile_images/1373401737772552198/KL8Tufj1_normal.jpg</v>
      </c>
      <c r="G1517" s="63"/>
      <c r="H1517" s="67"/>
      <c r="I1517" s="68"/>
      <c r="J1517" s="68"/>
      <c r="K1517" s="67" t="s">
        <v>29111</v>
      </c>
      <c r="L1517" s="71"/>
      <c r="M1517" s="72"/>
      <c r="N1517" s="72"/>
      <c r="O1517" s="73"/>
      <c r="P1517" s="74"/>
      <c r="Q1517" s="74"/>
      <c r="R1517" s="87"/>
      <c r="S1517" s="87"/>
      <c r="T1517" s="87"/>
      <c r="U1517" s="87"/>
      <c r="V1517" s="48"/>
      <c r="W1517" s="48"/>
      <c r="X1517" s="48"/>
      <c r="Y1517" s="48"/>
      <c r="Z1517" s="47"/>
      <c r="AA1517" s="69">
        <v>1517</v>
      </c>
      <c r="AB1517" s="69"/>
      <c r="AC1517" s="70"/>
      <c r="AD1517" s="76" t="s">
        <v>22730</v>
      </c>
      <c r="AE1517" s="81" t="s">
        <v>23860</v>
      </c>
      <c r="AF1517" s="76">
        <v>114</v>
      </c>
      <c r="AG1517" s="76">
        <v>388</v>
      </c>
      <c r="AH1517" s="76">
        <v>8570</v>
      </c>
      <c r="AI1517" s="76">
        <v>0</v>
      </c>
      <c r="AJ1517" s="76">
        <v>21582</v>
      </c>
      <c r="AK1517" s="76">
        <v>387</v>
      </c>
      <c r="AL1517" s="76" t="b">
        <v>0</v>
      </c>
      <c r="AM1517" s="78">
        <v>41935.879884259259</v>
      </c>
      <c r="AN1517" s="76" t="s">
        <v>24571</v>
      </c>
      <c r="AO1517" s="76" t="s">
        <v>26056</v>
      </c>
      <c r="AP1517" s="82" t="str">
        <f>HYPERLINK("https://t.co/9nZZQTO5mP")</f>
        <v>https://t.co/9nZZQTO5mP</v>
      </c>
      <c r="AQ1517" s="82" t="str">
        <f>HYPERLINK("https://profitsideblog.wixsite.com/profitside")</f>
        <v>https://profitsideblog.wixsite.com/profitside</v>
      </c>
      <c r="AR1517" s="76" t="s">
        <v>27183</v>
      </c>
      <c r="AS1517" s="76"/>
      <c r="AT1517" s="76"/>
      <c r="AU1517" s="76"/>
      <c r="AV1517" s="76"/>
      <c r="AW1517" s="82" t="str">
        <f>HYPERLINK("https://t.co/9nZZQTO5mP")</f>
        <v>https://t.co/9nZZQTO5mP</v>
      </c>
      <c r="AX1517" s="76" t="b">
        <v>0</v>
      </c>
      <c r="AY1517" s="76"/>
      <c r="AZ1517" s="76"/>
      <c r="BA1517" s="76" t="b">
        <v>0</v>
      </c>
      <c r="BB1517" s="76" t="b">
        <v>1</v>
      </c>
      <c r="BC1517" s="76" t="b">
        <v>1</v>
      </c>
      <c r="BD1517" s="76" t="b">
        <v>0</v>
      </c>
      <c r="BE1517" s="76" t="b">
        <v>1</v>
      </c>
      <c r="BF1517" s="76" t="b">
        <v>0</v>
      </c>
      <c r="BG1517" s="76" t="b">
        <v>0</v>
      </c>
      <c r="BH1517" s="82" t="str">
        <f>HYPERLINK("https://pbs.twimg.com/profile_banners/2874080791/1527043168")</f>
        <v>https://pbs.twimg.com/profile_banners/2874080791/1527043168</v>
      </c>
      <c r="BI1517" s="76"/>
      <c r="BJ1517" s="76" t="s">
        <v>27595</v>
      </c>
      <c r="BK1517" s="76" t="b">
        <v>0</v>
      </c>
      <c r="BL1517" s="76"/>
      <c r="BM1517" s="76" t="s">
        <v>66</v>
      </c>
      <c r="BN1517" s="76" t="s">
        <v>27597</v>
      </c>
      <c r="BO1517" s="82" t="str">
        <f>HYPERLINK("https://twitter.com/osmarangelin")</f>
        <v>https://twitter.com/osmarangelin</v>
      </c>
      <c r="BP1517" s="2"/>
    </row>
    <row r="1518" spans="1:68" x14ac:dyDescent="0.25">
      <c r="A1518" s="62" t="s">
        <v>1375</v>
      </c>
      <c r="B1518" s="63"/>
      <c r="C1518" s="63"/>
      <c r="D1518" s="64"/>
      <c r="E1518" s="66"/>
      <c r="F1518" s="103" t="str">
        <f>HYPERLINK("https://pbs.twimg.com/profile_images/1610625002004439041/cj2VRXMJ_normal.jpg")</f>
        <v>https://pbs.twimg.com/profile_images/1610625002004439041/cj2VRXMJ_normal.jpg</v>
      </c>
      <c r="G1518" s="63"/>
      <c r="H1518" s="67"/>
      <c r="I1518" s="68"/>
      <c r="J1518" s="68"/>
      <c r="K1518" s="67" t="s">
        <v>29112</v>
      </c>
      <c r="L1518" s="71"/>
      <c r="M1518" s="72"/>
      <c r="N1518" s="72"/>
      <c r="O1518" s="73"/>
      <c r="P1518" s="74"/>
      <c r="Q1518" s="74"/>
      <c r="R1518" s="87"/>
      <c r="S1518" s="87"/>
      <c r="T1518" s="87"/>
      <c r="U1518" s="87"/>
      <c r="V1518" s="48"/>
      <c r="W1518" s="48"/>
      <c r="X1518" s="48"/>
      <c r="Y1518" s="48"/>
      <c r="Z1518" s="47"/>
      <c r="AA1518" s="69">
        <v>1518</v>
      </c>
      <c r="AB1518" s="69"/>
      <c r="AC1518" s="70"/>
      <c r="AD1518" s="76" t="s">
        <v>22731</v>
      </c>
      <c r="AE1518" s="81" t="s">
        <v>23861</v>
      </c>
      <c r="AF1518" s="76">
        <v>323699</v>
      </c>
      <c r="AG1518" s="76">
        <v>2586</v>
      </c>
      <c r="AH1518" s="76">
        <v>173270</v>
      </c>
      <c r="AI1518" s="76">
        <v>647</v>
      </c>
      <c r="AJ1518" s="76">
        <v>277</v>
      </c>
      <c r="AK1518" s="76">
        <v>92922</v>
      </c>
      <c r="AL1518" s="76" t="b">
        <v>0</v>
      </c>
      <c r="AM1518" s="78">
        <v>40807.778622685182</v>
      </c>
      <c r="AN1518" s="76" t="s">
        <v>24064</v>
      </c>
      <c r="AO1518" s="76" t="s">
        <v>26057</v>
      </c>
      <c r="AP1518" s="82" t="str">
        <f>HYPERLINK("https://t.co/z1fOQfL5Kg")</f>
        <v>https://t.co/z1fOQfL5Kg</v>
      </c>
      <c r="AQ1518" s="82" t="str">
        <f>HYPERLINK("http://www.elnacional.com.do")</f>
        <v>http://www.elnacional.com.do</v>
      </c>
      <c r="AR1518" s="76" t="s">
        <v>27184</v>
      </c>
      <c r="AS1518" s="76"/>
      <c r="AT1518" s="76"/>
      <c r="AU1518" s="76"/>
      <c r="AV1518" s="76">
        <v>1.70735722825087E+18</v>
      </c>
      <c r="AW1518" s="82" t="str">
        <f>HYPERLINK("https://t.co/z1fOQfL5Kg")</f>
        <v>https://t.co/z1fOQfL5Kg</v>
      </c>
      <c r="AX1518" s="76" t="b">
        <v>0</v>
      </c>
      <c r="AY1518" s="76"/>
      <c r="AZ1518" s="76"/>
      <c r="BA1518" s="76" t="b">
        <v>1</v>
      </c>
      <c r="BB1518" s="76" t="b">
        <v>1</v>
      </c>
      <c r="BC1518" s="76" t="b">
        <v>0</v>
      </c>
      <c r="BD1518" s="76" t="b">
        <v>0</v>
      </c>
      <c r="BE1518" s="76" t="b">
        <v>1</v>
      </c>
      <c r="BF1518" s="76" t="b">
        <v>0</v>
      </c>
      <c r="BG1518" s="76" t="b">
        <v>0</v>
      </c>
      <c r="BH1518" s="82" t="str">
        <f>HYPERLINK("https://pbs.twimg.com/profile_banners/377534109/1617048400")</f>
        <v>https://pbs.twimg.com/profile_banners/377534109/1617048400</v>
      </c>
      <c r="BI1518" s="76"/>
      <c r="BJ1518" s="76" t="s">
        <v>27595</v>
      </c>
      <c r="BK1518" s="76" t="b">
        <v>0</v>
      </c>
      <c r="BL1518" s="76"/>
      <c r="BM1518" s="76" t="s">
        <v>66</v>
      </c>
      <c r="BN1518" s="76" t="s">
        <v>27597</v>
      </c>
      <c r="BO1518" s="82" t="str">
        <f>HYPERLINK("https://twitter.com/elnacionalrd")</f>
        <v>https://twitter.com/elnacionalrd</v>
      </c>
      <c r="BP1518" s="2"/>
    </row>
    <row r="1519" spans="1:68" x14ac:dyDescent="0.25">
      <c r="A1519" s="62" t="s">
        <v>1376</v>
      </c>
      <c r="B1519" s="63"/>
      <c r="C1519" s="63"/>
      <c r="D1519" s="64"/>
      <c r="E1519" s="66"/>
      <c r="F1519" s="103" t="str">
        <f>HYPERLINK("https://pbs.twimg.com/profile_images/1326597952995987458/uGv9NYJ4_normal.jpg")</f>
        <v>https://pbs.twimg.com/profile_images/1326597952995987458/uGv9NYJ4_normal.jpg</v>
      </c>
      <c r="G1519" s="63"/>
      <c r="H1519" s="67"/>
      <c r="I1519" s="68"/>
      <c r="J1519" s="68"/>
      <c r="K1519" s="67" t="s">
        <v>29113</v>
      </c>
      <c r="L1519" s="71"/>
      <c r="M1519" s="72"/>
      <c r="N1519" s="72"/>
      <c r="O1519" s="73"/>
      <c r="P1519" s="74"/>
      <c r="Q1519" s="74"/>
      <c r="R1519" s="87"/>
      <c r="S1519" s="87"/>
      <c r="T1519" s="87"/>
      <c r="U1519" s="87"/>
      <c r="V1519" s="48"/>
      <c r="W1519" s="48"/>
      <c r="X1519" s="48"/>
      <c r="Y1519" s="48"/>
      <c r="Z1519" s="47"/>
      <c r="AA1519" s="69">
        <v>1519</v>
      </c>
      <c r="AB1519" s="69"/>
      <c r="AC1519" s="70"/>
      <c r="AD1519" s="76" t="s">
        <v>22732</v>
      </c>
      <c r="AE1519" s="81" t="s">
        <v>23862</v>
      </c>
      <c r="AF1519" s="76">
        <v>16373</v>
      </c>
      <c r="AG1519" s="76">
        <v>512</v>
      </c>
      <c r="AH1519" s="76">
        <v>8150</v>
      </c>
      <c r="AI1519" s="76">
        <v>84</v>
      </c>
      <c r="AJ1519" s="76">
        <v>2125</v>
      </c>
      <c r="AK1519" s="76">
        <v>2665</v>
      </c>
      <c r="AL1519" s="76" t="b">
        <v>0</v>
      </c>
      <c r="AM1519" s="78">
        <v>40672.879594907405</v>
      </c>
      <c r="AN1519" s="76" t="s">
        <v>24063</v>
      </c>
      <c r="AO1519" s="76" t="s">
        <v>26058</v>
      </c>
      <c r="AP1519" s="82" t="str">
        <f>HYPERLINK("https://t.co/m4hjXNOnQt")</f>
        <v>https://t.co/m4hjXNOnQt</v>
      </c>
      <c r="AQ1519" s="82" t="str">
        <f>HYPERLINK("http://www.aba.org.do")</f>
        <v>http://www.aba.org.do</v>
      </c>
      <c r="AR1519" s="76" t="s">
        <v>27185</v>
      </c>
      <c r="AS1519" s="76"/>
      <c r="AT1519" s="76"/>
      <c r="AU1519" s="76"/>
      <c r="AV1519" s="76">
        <v>1.7074312367869599E+18</v>
      </c>
      <c r="AW1519" s="82" t="str">
        <f>HYPERLINK("https://t.co/m4hjXNOnQt")</f>
        <v>https://t.co/m4hjXNOnQt</v>
      </c>
      <c r="AX1519" s="76" t="b">
        <v>1</v>
      </c>
      <c r="AY1519" s="76"/>
      <c r="AZ1519" s="76"/>
      <c r="BA1519" s="76" t="b">
        <v>0</v>
      </c>
      <c r="BB1519" s="76" t="b">
        <v>0</v>
      </c>
      <c r="BC1519" s="76" t="b">
        <v>0</v>
      </c>
      <c r="BD1519" s="76" t="b">
        <v>0</v>
      </c>
      <c r="BE1519" s="76" t="b">
        <v>1</v>
      </c>
      <c r="BF1519" s="76" t="b">
        <v>0</v>
      </c>
      <c r="BG1519" s="76" t="b">
        <v>0</v>
      </c>
      <c r="BH1519" s="82" t="str">
        <f>HYPERLINK("https://pbs.twimg.com/profile_banners/295896896/1695046199")</f>
        <v>https://pbs.twimg.com/profile_banners/295896896/1695046199</v>
      </c>
      <c r="BI1519" s="76"/>
      <c r="BJ1519" s="76" t="s">
        <v>27595</v>
      </c>
      <c r="BK1519" s="76" t="b">
        <v>0</v>
      </c>
      <c r="BL1519" s="76"/>
      <c r="BM1519" s="76" t="s">
        <v>66</v>
      </c>
      <c r="BN1519" s="76" t="s">
        <v>27597</v>
      </c>
      <c r="BO1519" s="82" t="str">
        <f>HYPERLINK("https://twitter.com/aba_rd")</f>
        <v>https://twitter.com/aba_rd</v>
      </c>
      <c r="BP1519" s="2"/>
    </row>
    <row r="1520" spans="1:68" x14ac:dyDescent="0.25">
      <c r="A1520" s="62" t="s">
        <v>1377</v>
      </c>
      <c r="B1520" s="63"/>
      <c r="C1520" s="63"/>
      <c r="D1520" s="64"/>
      <c r="E1520" s="66"/>
      <c r="F1520" s="103" t="str">
        <f>HYPERLINK("https://pbs.twimg.com/profile_images/1189603875176800257/21dK58r5_normal.jpg")</f>
        <v>https://pbs.twimg.com/profile_images/1189603875176800257/21dK58r5_normal.jpg</v>
      </c>
      <c r="G1520" s="63"/>
      <c r="H1520" s="67"/>
      <c r="I1520" s="68"/>
      <c r="J1520" s="68"/>
      <c r="K1520" s="67" t="s">
        <v>29114</v>
      </c>
      <c r="L1520" s="71"/>
      <c r="M1520" s="72"/>
      <c r="N1520" s="72"/>
      <c r="O1520" s="73"/>
      <c r="P1520" s="74"/>
      <c r="Q1520" s="74"/>
      <c r="R1520" s="87"/>
      <c r="S1520" s="87"/>
      <c r="T1520" s="87"/>
      <c r="U1520" s="87"/>
      <c r="V1520" s="48"/>
      <c r="W1520" s="48"/>
      <c r="X1520" s="48"/>
      <c r="Y1520" s="48"/>
      <c r="Z1520" s="47"/>
      <c r="AA1520" s="69">
        <v>1520</v>
      </c>
      <c r="AB1520" s="69"/>
      <c r="AC1520" s="70"/>
      <c r="AD1520" s="76" t="s">
        <v>22733</v>
      </c>
      <c r="AE1520" s="81" t="s">
        <v>20351</v>
      </c>
      <c r="AF1520" s="76">
        <v>8449</v>
      </c>
      <c r="AG1520" s="76">
        <v>2195</v>
      </c>
      <c r="AH1520" s="76">
        <v>13224</v>
      </c>
      <c r="AI1520" s="76">
        <v>19</v>
      </c>
      <c r="AJ1520" s="76">
        <v>1009</v>
      </c>
      <c r="AK1520" s="76">
        <v>1905</v>
      </c>
      <c r="AL1520" s="76" t="b">
        <v>0</v>
      </c>
      <c r="AM1520" s="78">
        <v>40519.812858796293</v>
      </c>
      <c r="AN1520" s="76"/>
      <c r="AO1520" s="76" t="s">
        <v>26059</v>
      </c>
      <c r="AP1520" s="82" t="str">
        <f>HYPERLINK("https://t.co/FewnWiaLi7")</f>
        <v>https://t.co/FewnWiaLi7</v>
      </c>
      <c r="AQ1520" s="82" t="str">
        <f>HYPERLINK("https://www.coopeuch.cl/")</f>
        <v>https://www.coopeuch.cl/</v>
      </c>
      <c r="AR1520" s="76" t="s">
        <v>27186</v>
      </c>
      <c r="AS1520" s="76"/>
      <c r="AT1520" s="76"/>
      <c r="AU1520" s="76"/>
      <c r="AV1520" s="76"/>
      <c r="AW1520" s="82" t="str">
        <f>HYPERLINK("https://t.co/FewnWiaLi7")</f>
        <v>https://t.co/FewnWiaLi7</v>
      </c>
      <c r="AX1520" s="76" t="b">
        <v>0</v>
      </c>
      <c r="AY1520" s="76"/>
      <c r="AZ1520" s="76"/>
      <c r="BA1520" s="76" t="b">
        <v>1</v>
      </c>
      <c r="BB1520" s="76" t="b">
        <v>1</v>
      </c>
      <c r="BC1520" s="76" t="b">
        <v>0</v>
      </c>
      <c r="BD1520" s="76" t="b">
        <v>0</v>
      </c>
      <c r="BE1520" s="76" t="b">
        <v>1</v>
      </c>
      <c r="BF1520" s="76" t="b">
        <v>0</v>
      </c>
      <c r="BG1520" s="76" t="b">
        <v>0</v>
      </c>
      <c r="BH1520" s="82" t="str">
        <f>HYPERLINK("https://pbs.twimg.com/profile_banners/223953066/1693572604")</f>
        <v>https://pbs.twimg.com/profile_banners/223953066/1693572604</v>
      </c>
      <c r="BI1520" s="76"/>
      <c r="BJ1520" s="76" t="s">
        <v>27595</v>
      </c>
      <c r="BK1520" s="76" t="b">
        <v>0</v>
      </c>
      <c r="BL1520" s="76"/>
      <c r="BM1520" s="76" t="s">
        <v>66</v>
      </c>
      <c r="BN1520" s="76" t="s">
        <v>27597</v>
      </c>
      <c r="BO1520" s="82" t="str">
        <f>HYPERLINK("https://twitter.com/coopeuch")</f>
        <v>https://twitter.com/coopeuch</v>
      </c>
      <c r="BP1520" s="2"/>
    </row>
    <row r="1521" spans="1:68" x14ac:dyDescent="0.25">
      <c r="A1521" s="62" t="s">
        <v>1378</v>
      </c>
      <c r="B1521" s="63"/>
      <c r="C1521" s="63"/>
      <c r="D1521" s="64"/>
      <c r="E1521" s="66"/>
      <c r="F1521" s="103" t="str">
        <f>HYPERLINK("https://pbs.twimg.com/profile_images/1367606797243215874/794Lxskw_normal.jpg")</f>
        <v>https://pbs.twimg.com/profile_images/1367606797243215874/794Lxskw_normal.jpg</v>
      </c>
      <c r="G1521" s="63"/>
      <c r="H1521" s="67"/>
      <c r="I1521" s="68"/>
      <c r="J1521" s="68"/>
      <c r="K1521" s="67" t="s">
        <v>29115</v>
      </c>
      <c r="L1521" s="71"/>
      <c r="M1521" s="72"/>
      <c r="N1521" s="72"/>
      <c r="O1521" s="73"/>
      <c r="P1521" s="74"/>
      <c r="Q1521" s="74"/>
      <c r="R1521" s="87"/>
      <c r="S1521" s="87"/>
      <c r="T1521" s="87"/>
      <c r="U1521" s="87"/>
      <c r="V1521" s="48"/>
      <c r="W1521" s="48"/>
      <c r="X1521" s="48"/>
      <c r="Y1521" s="48"/>
      <c r="Z1521" s="47"/>
      <c r="AA1521" s="69">
        <v>1521</v>
      </c>
      <c r="AB1521" s="69"/>
      <c r="AC1521" s="70"/>
      <c r="AD1521" s="76" t="s">
        <v>22734</v>
      </c>
      <c r="AE1521" s="81" t="s">
        <v>23863</v>
      </c>
      <c r="AF1521" s="76">
        <v>964583</v>
      </c>
      <c r="AG1521" s="76">
        <v>4</v>
      </c>
      <c r="AH1521" s="76">
        <v>368321</v>
      </c>
      <c r="AI1521" s="76">
        <v>1656</v>
      </c>
      <c r="AJ1521" s="76">
        <v>1333</v>
      </c>
      <c r="AK1521" s="76">
        <v>127971</v>
      </c>
      <c r="AL1521" s="76" t="b">
        <v>0</v>
      </c>
      <c r="AM1521" s="78">
        <v>40038.810555555552</v>
      </c>
      <c r="AN1521" s="76" t="s">
        <v>24091</v>
      </c>
      <c r="AO1521" s="76" t="s">
        <v>26060</v>
      </c>
      <c r="AP1521" s="82" t="str">
        <f>HYPERLINK("https://t.co/YTqhJWauup")</f>
        <v>https://t.co/YTqhJWauup</v>
      </c>
      <c r="AQ1521" s="82" t="str">
        <f>HYPERLINK("https://eldeber.com.bo")</f>
        <v>https://eldeber.com.bo</v>
      </c>
      <c r="AR1521" s="76" t="s">
        <v>27187</v>
      </c>
      <c r="AS1521" s="76"/>
      <c r="AT1521" s="76"/>
      <c r="AU1521" s="76"/>
      <c r="AV1521" s="76">
        <v>1.7075140760147999E+18</v>
      </c>
      <c r="AW1521" s="82" t="str">
        <f>HYPERLINK("https://t.co/YTqhJWauup")</f>
        <v>https://t.co/YTqhJWauup</v>
      </c>
      <c r="AX1521" s="76" t="b">
        <v>0</v>
      </c>
      <c r="AY1521" s="76"/>
      <c r="AZ1521" s="76"/>
      <c r="BA1521" s="76" t="b">
        <v>0</v>
      </c>
      <c r="BB1521" s="76" t="b">
        <v>0</v>
      </c>
      <c r="BC1521" s="76" t="b">
        <v>0</v>
      </c>
      <c r="BD1521" s="76" t="b">
        <v>0</v>
      </c>
      <c r="BE1521" s="76" t="b">
        <v>1</v>
      </c>
      <c r="BF1521" s="76" t="b">
        <v>0</v>
      </c>
      <c r="BG1521" s="76" t="b">
        <v>0</v>
      </c>
      <c r="BH1521" s="82" t="str">
        <f>HYPERLINK("https://pbs.twimg.com/profile_banners/65444625/1676122631")</f>
        <v>https://pbs.twimg.com/profile_banners/65444625/1676122631</v>
      </c>
      <c r="BI1521" s="76"/>
      <c r="BJ1521" s="76" t="s">
        <v>27595</v>
      </c>
      <c r="BK1521" s="76" t="b">
        <v>0</v>
      </c>
      <c r="BL1521" s="76"/>
      <c r="BM1521" s="76" t="s">
        <v>66</v>
      </c>
      <c r="BN1521" s="76" t="s">
        <v>27597</v>
      </c>
      <c r="BO1521" s="82" t="str">
        <f>HYPERLINK("https://twitter.com/grupoeldeber")</f>
        <v>https://twitter.com/grupoeldeber</v>
      </c>
      <c r="BP1521" s="2"/>
    </row>
    <row r="1522" spans="1:68" x14ac:dyDescent="0.25">
      <c r="A1522" s="62" t="s">
        <v>1379</v>
      </c>
      <c r="B1522" s="63"/>
      <c r="C1522" s="63"/>
      <c r="D1522" s="64"/>
      <c r="E1522" s="66"/>
      <c r="F1522" s="103" t="str">
        <f>HYPERLINK("https://abs.twimg.com/sticky/default_profile_images/default_profile_normal.png")</f>
        <v>https://abs.twimg.com/sticky/default_profile_images/default_profile_normal.png</v>
      </c>
      <c r="G1522" s="63"/>
      <c r="H1522" s="67"/>
      <c r="I1522" s="68"/>
      <c r="J1522" s="68"/>
      <c r="K1522" s="67" t="s">
        <v>29116</v>
      </c>
      <c r="L1522" s="71"/>
      <c r="M1522" s="72"/>
      <c r="N1522" s="72"/>
      <c r="O1522" s="73"/>
      <c r="P1522" s="74"/>
      <c r="Q1522" s="74"/>
      <c r="R1522" s="87"/>
      <c r="S1522" s="87"/>
      <c r="T1522" s="87"/>
      <c r="U1522" s="87"/>
      <c r="V1522" s="48"/>
      <c r="W1522" s="48"/>
      <c r="X1522" s="48"/>
      <c r="Y1522" s="48"/>
      <c r="Z1522" s="47"/>
      <c r="AA1522" s="69">
        <v>1522</v>
      </c>
      <c r="AB1522" s="69"/>
      <c r="AC1522" s="70"/>
      <c r="AD1522" s="76" t="s">
        <v>22735</v>
      </c>
      <c r="AE1522" s="81" t="s">
        <v>21061</v>
      </c>
      <c r="AF1522" s="76">
        <v>25</v>
      </c>
      <c r="AG1522" s="76">
        <v>186</v>
      </c>
      <c r="AH1522" s="76">
        <v>10162</v>
      </c>
      <c r="AI1522" s="76">
        <v>0</v>
      </c>
      <c r="AJ1522" s="76">
        <v>18146</v>
      </c>
      <c r="AK1522" s="76">
        <v>0</v>
      </c>
      <c r="AL1522" s="76" t="b">
        <v>0</v>
      </c>
      <c r="AM1522" s="78">
        <v>43983.893043981479</v>
      </c>
      <c r="AN1522" s="76"/>
      <c r="AO1522" s="76"/>
      <c r="AP1522" s="76"/>
      <c r="AQ1522" s="76"/>
      <c r="AR1522" s="76"/>
      <c r="AS1522" s="76"/>
      <c r="AT1522" s="76"/>
      <c r="AU1522" s="76"/>
      <c r="AV1522" s="76"/>
      <c r="AW1522" s="76"/>
      <c r="AX1522" s="76" t="b">
        <v>0</v>
      </c>
      <c r="AY1522" s="76"/>
      <c r="AZ1522" s="76"/>
      <c r="BA1522" s="76" t="b">
        <v>0</v>
      </c>
      <c r="BB1522" s="76" t="b">
        <v>1</v>
      </c>
      <c r="BC1522" s="76" t="b">
        <v>1</v>
      </c>
      <c r="BD1522" s="76" t="b">
        <v>1</v>
      </c>
      <c r="BE1522" s="76" t="b">
        <v>0</v>
      </c>
      <c r="BF1522" s="76" t="b">
        <v>0</v>
      </c>
      <c r="BG1522" s="76" t="b">
        <v>0</v>
      </c>
      <c r="BH1522" s="76"/>
      <c r="BI1522" s="76"/>
      <c r="BJ1522" s="76" t="s">
        <v>27595</v>
      </c>
      <c r="BK1522" s="76" t="b">
        <v>0</v>
      </c>
      <c r="BL1522" s="76"/>
      <c r="BM1522" s="76" t="s">
        <v>66</v>
      </c>
      <c r="BN1522" s="76" t="s">
        <v>27597</v>
      </c>
      <c r="BO1522" s="82" t="str">
        <f>HYPERLINK("https://twitter.com/lucimar35367277")</f>
        <v>https://twitter.com/lucimar35367277</v>
      </c>
      <c r="BP1522" s="2"/>
    </row>
    <row r="1523" spans="1:68" x14ac:dyDescent="0.25">
      <c r="A1523" s="62" t="s">
        <v>1380</v>
      </c>
      <c r="B1523" s="63"/>
      <c r="C1523" s="63"/>
      <c r="D1523" s="64"/>
      <c r="E1523" s="66"/>
      <c r="F1523" s="103" t="str">
        <f>HYPERLINK("https://pbs.twimg.com/profile_images/1686448995923542023/698dY3C5_normal.jpg")</f>
        <v>https://pbs.twimg.com/profile_images/1686448995923542023/698dY3C5_normal.jpg</v>
      </c>
      <c r="G1523" s="63"/>
      <c r="H1523" s="67"/>
      <c r="I1523" s="68"/>
      <c r="J1523" s="68"/>
      <c r="K1523" s="67" t="s">
        <v>29117</v>
      </c>
      <c r="L1523" s="71"/>
      <c r="M1523" s="72"/>
      <c r="N1523" s="72"/>
      <c r="O1523" s="73"/>
      <c r="P1523" s="74"/>
      <c r="Q1523" s="74"/>
      <c r="R1523" s="87"/>
      <c r="S1523" s="87"/>
      <c r="T1523" s="87"/>
      <c r="U1523" s="87"/>
      <c r="V1523" s="48"/>
      <c r="W1523" s="48"/>
      <c r="X1523" s="48"/>
      <c r="Y1523" s="48"/>
      <c r="Z1523" s="47"/>
      <c r="AA1523" s="69">
        <v>1523</v>
      </c>
      <c r="AB1523" s="69"/>
      <c r="AC1523" s="70"/>
      <c r="AD1523" s="76" t="s">
        <v>22736</v>
      </c>
      <c r="AE1523" s="81" t="s">
        <v>23864</v>
      </c>
      <c r="AF1523" s="76">
        <v>730</v>
      </c>
      <c r="AG1523" s="76">
        <v>2255</v>
      </c>
      <c r="AH1523" s="76">
        <v>8360</v>
      </c>
      <c r="AI1523" s="76">
        <v>27</v>
      </c>
      <c r="AJ1523" s="76">
        <v>518</v>
      </c>
      <c r="AK1523" s="76">
        <v>415</v>
      </c>
      <c r="AL1523" s="76" t="b">
        <v>0</v>
      </c>
      <c r="AM1523" s="78">
        <v>39786.375185185185</v>
      </c>
      <c r="AN1523" s="76" t="s">
        <v>14400</v>
      </c>
      <c r="AO1523" s="76" t="s">
        <v>26061</v>
      </c>
      <c r="AP1523" s="82" t="str">
        <f>HYPERLINK("https://t.co/cdRJFJ3WrY")</f>
        <v>https://t.co/cdRJFJ3WrY</v>
      </c>
      <c r="AQ1523" s="82" t="str">
        <f>HYPERLINK("http://www.agencianoimd.com.br")</f>
        <v>http://www.agencianoimd.com.br</v>
      </c>
      <c r="AR1523" s="76" t="s">
        <v>27188</v>
      </c>
      <c r="AS1523" s="76"/>
      <c r="AT1523" s="76"/>
      <c r="AU1523" s="76"/>
      <c r="AV1523" s="76"/>
      <c r="AW1523" s="82" t="str">
        <f>HYPERLINK("https://t.co/cdRJFJ3WrY")</f>
        <v>https://t.co/cdRJFJ3WrY</v>
      </c>
      <c r="AX1523" s="76" t="b">
        <v>0</v>
      </c>
      <c r="AY1523" s="76"/>
      <c r="AZ1523" s="76"/>
      <c r="BA1523" s="76" t="b">
        <v>0</v>
      </c>
      <c r="BB1523" s="76" t="b">
        <v>1</v>
      </c>
      <c r="BC1523" s="76" t="b">
        <v>0</v>
      </c>
      <c r="BD1523" s="76" t="b">
        <v>0</v>
      </c>
      <c r="BE1523" s="76" t="b">
        <v>0</v>
      </c>
      <c r="BF1523" s="76" t="b">
        <v>0</v>
      </c>
      <c r="BG1523" s="76" t="b">
        <v>0</v>
      </c>
      <c r="BH1523" s="82" t="str">
        <f>HYPERLINK("https://pbs.twimg.com/profile_banners/17863805/1690851798")</f>
        <v>https://pbs.twimg.com/profile_banners/17863805/1690851798</v>
      </c>
      <c r="BI1523" s="76"/>
      <c r="BJ1523" s="76" t="s">
        <v>27595</v>
      </c>
      <c r="BK1523" s="76" t="b">
        <v>0</v>
      </c>
      <c r="BL1523" s="76"/>
      <c r="BM1523" s="76" t="s">
        <v>66</v>
      </c>
      <c r="BN1523" s="76" t="s">
        <v>27597</v>
      </c>
      <c r="BO1523" s="82" t="str">
        <f>HYPERLINK("https://twitter.com/rferreirasbc")</f>
        <v>https://twitter.com/rferreirasbc</v>
      </c>
      <c r="BP1523" s="2"/>
    </row>
    <row r="1524" spans="1:68" x14ac:dyDescent="0.25">
      <c r="A1524" s="62" t="s">
        <v>1381</v>
      </c>
      <c r="B1524" s="63"/>
      <c r="C1524" s="63"/>
      <c r="D1524" s="64"/>
      <c r="E1524" s="66"/>
      <c r="F1524" s="103" t="str">
        <f>HYPERLINK("https://pbs.twimg.com/profile_images/1641847236131684373/vtFXoMdb_normal.png")</f>
        <v>https://pbs.twimg.com/profile_images/1641847236131684373/vtFXoMdb_normal.png</v>
      </c>
      <c r="G1524" s="63"/>
      <c r="H1524" s="67"/>
      <c r="I1524" s="68"/>
      <c r="J1524" s="68"/>
      <c r="K1524" s="67" t="s">
        <v>29118</v>
      </c>
      <c r="L1524" s="71"/>
      <c r="M1524" s="72"/>
      <c r="N1524" s="72"/>
      <c r="O1524" s="73"/>
      <c r="P1524" s="74"/>
      <c r="Q1524" s="74"/>
      <c r="R1524" s="87"/>
      <c r="S1524" s="87"/>
      <c r="T1524" s="87"/>
      <c r="U1524" s="87"/>
      <c r="V1524" s="48"/>
      <c r="W1524" s="48"/>
      <c r="X1524" s="48"/>
      <c r="Y1524" s="48"/>
      <c r="Z1524" s="47"/>
      <c r="AA1524" s="69">
        <v>1524</v>
      </c>
      <c r="AB1524" s="69"/>
      <c r="AC1524" s="70"/>
      <c r="AD1524" s="76" t="s">
        <v>22737</v>
      </c>
      <c r="AE1524" s="81" t="s">
        <v>21062</v>
      </c>
      <c r="AF1524" s="76">
        <v>8</v>
      </c>
      <c r="AG1524" s="76">
        <v>32</v>
      </c>
      <c r="AH1524" s="76">
        <v>20</v>
      </c>
      <c r="AI1524" s="76">
        <v>0</v>
      </c>
      <c r="AJ1524" s="76">
        <v>3</v>
      </c>
      <c r="AK1524" s="76">
        <v>5</v>
      </c>
      <c r="AL1524" s="76" t="b">
        <v>0</v>
      </c>
      <c r="AM1524" s="78">
        <v>45016.706701388888</v>
      </c>
      <c r="AN1524" s="76"/>
      <c r="AO1524" s="76"/>
      <c r="AP1524" s="76"/>
      <c r="AQ1524" s="76"/>
      <c r="AR1524" s="76"/>
      <c r="AS1524" s="76"/>
      <c r="AT1524" s="76"/>
      <c r="AU1524" s="76"/>
      <c r="AV1524" s="76"/>
      <c r="AW1524" s="76"/>
      <c r="AX1524" s="76" t="b">
        <v>0</v>
      </c>
      <c r="AY1524" s="76"/>
      <c r="AZ1524" s="76"/>
      <c r="BA1524" s="76" t="b">
        <v>0</v>
      </c>
      <c r="BB1524" s="76" t="b">
        <v>1</v>
      </c>
      <c r="BC1524" s="76" t="b">
        <v>1</v>
      </c>
      <c r="BD1524" s="76" t="b">
        <v>0</v>
      </c>
      <c r="BE1524" s="76" t="b">
        <v>0</v>
      </c>
      <c r="BF1524" s="76" t="b">
        <v>0</v>
      </c>
      <c r="BG1524" s="76" t="b">
        <v>0</v>
      </c>
      <c r="BH1524" s="76"/>
      <c r="BI1524" s="76"/>
      <c r="BJ1524" s="76" t="s">
        <v>27595</v>
      </c>
      <c r="BK1524" s="76" t="b">
        <v>0</v>
      </c>
      <c r="BL1524" s="76"/>
      <c r="BM1524" s="76" t="s">
        <v>66</v>
      </c>
      <c r="BN1524" s="76" t="s">
        <v>27597</v>
      </c>
      <c r="BO1524" s="82" t="str">
        <f>HYPERLINK("https://twitter.com/bombardier32651")</f>
        <v>https://twitter.com/bombardier32651</v>
      </c>
      <c r="BP1524" s="2"/>
    </row>
    <row r="1525" spans="1:68" x14ac:dyDescent="0.25">
      <c r="A1525" s="62" t="s">
        <v>1382</v>
      </c>
      <c r="B1525" s="63"/>
      <c r="C1525" s="63"/>
      <c r="D1525" s="64"/>
      <c r="E1525" s="66"/>
      <c r="F1525" s="103" t="str">
        <f>HYPERLINK("https://pbs.twimg.com/profile_images/1659027598855356420/Jq66kFna_normal.jpg")</f>
        <v>https://pbs.twimg.com/profile_images/1659027598855356420/Jq66kFna_normal.jpg</v>
      </c>
      <c r="G1525" s="63"/>
      <c r="H1525" s="67"/>
      <c r="I1525" s="68"/>
      <c r="J1525" s="68"/>
      <c r="K1525" s="67" t="s">
        <v>29119</v>
      </c>
      <c r="L1525" s="71"/>
      <c r="M1525" s="72"/>
      <c r="N1525" s="72"/>
      <c r="O1525" s="73"/>
      <c r="P1525" s="74"/>
      <c r="Q1525" s="74"/>
      <c r="R1525" s="87"/>
      <c r="S1525" s="87"/>
      <c r="T1525" s="87"/>
      <c r="U1525" s="87"/>
      <c r="V1525" s="48"/>
      <c r="W1525" s="48"/>
      <c r="X1525" s="48"/>
      <c r="Y1525" s="48"/>
      <c r="Z1525" s="47"/>
      <c r="AA1525" s="69">
        <v>1525</v>
      </c>
      <c r="AB1525" s="69"/>
      <c r="AC1525" s="70"/>
      <c r="AD1525" s="76" t="s">
        <v>22738</v>
      </c>
      <c r="AE1525" s="81" t="s">
        <v>21063</v>
      </c>
      <c r="AF1525" s="76">
        <v>48</v>
      </c>
      <c r="AG1525" s="76">
        <v>70</v>
      </c>
      <c r="AH1525" s="76">
        <v>2291</v>
      </c>
      <c r="AI1525" s="76">
        <v>0</v>
      </c>
      <c r="AJ1525" s="76">
        <v>4409</v>
      </c>
      <c r="AK1525" s="76">
        <v>2073</v>
      </c>
      <c r="AL1525" s="76" t="b">
        <v>0</v>
      </c>
      <c r="AM1525" s="78">
        <v>44860.792256944442</v>
      </c>
      <c r="AN1525" s="76" t="s">
        <v>14382</v>
      </c>
      <c r="AO1525" s="76" t="s">
        <v>26062</v>
      </c>
      <c r="AP1525" s="76"/>
      <c r="AQ1525" s="76"/>
      <c r="AR1525" s="76"/>
      <c r="AS1525" s="76"/>
      <c r="AT1525" s="76"/>
      <c r="AU1525" s="76"/>
      <c r="AV1525" s="76"/>
      <c r="AW1525" s="76"/>
      <c r="AX1525" s="76" t="b">
        <v>0</v>
      </c>
      <c r="AY1525" s="76"/>
      <c r="AZ1525" s="76"/>
      <c r="BA1525" s="76" t="b">
        <v>0</v>
      </c>
      <c r="BB1525" s="76" t="b">
        <v>1</v>
      </c>
      <c r="BC1525" s="76" t="b">
        <v>1</v>
      </c>
      <c r="BD1525" s="76" t="b">
        <v>0</v>
      </c>
      <c r="BE1525" s="76" t="b">
        <v>1</v>
      </c>
      <c r="BF1525" s="76" t="b">
        <v>0</v>
      </c>
      <c r="BG1525" s="76" t="b">
        <v>0</v>
      </c>
      <c r="BH1525" s="82" t="str">
        <f>HYPERLINK("https://pbs.twimg.com/profile_banners/1585345681581039618/1666811422")</f>
        <v>https://pbs.twimg.com/profile_banners/1585345681581039618/1666811422</v>
      </c>
      <c r="BI1525" s="76"/>
      <c r="BJ1525" s="76" t="s">
        <v>27595</v>
      </c>
      <c r="BK1525" s="76" t="b">
        <v>0</v>
      </c>
      <c r="BL1525" s="76"/>
      <c r="BM1525" s="76" t="s">
        <v>66</v>
      </c>
      <c r="BN1525" s="76" t="s">
        <v>27597</v>
      </c>
      <c r="BO1525" s="82" t="str">
        <f>HYPERLINK("https://twitter.com/naocalonao")</f>
        <v>https://twitter.com/naocalonao</v>
      </c>
      <c r="BP1525" s="2"/>
    </row>
    <row r="1526" spans="1:68" x14ac:dyDescent="0.25">
      <c r="A1526" s="62" t="s">
        <v>1383</v>
      </c>
      <c r="B1526" s="63"/>
      <c r="C1526" s="63"/>
      <c r="D1526" s="64"/>
      <c r="E1526" s="66"/>
      <c r="F1526" s="103" t="str">
        <f>HYPERLINK("https://pbs.twimg.com/profile_images/1430550886682660868/MW3kPXCy_normal.jpg")</f>
        <v>https://pbs.twimg.com/profile_images/1430550886682660868/MW3kPXCy_normal.jpg</v>
      </c>
      <c r="G1526" s="63"/>
      <c r="H1526" s="67"/>
      <c r="I1526" s="68"/>
      <c r="J1526" s="68"/>
      <c r="K1526" s="67" t="s">
        <v>29120</v>
      </c>
      <c r="L1526" s="71"/>
      <c r="M1526" s="72"/>
      <c r="N1526" s="72"/>
      <c r="O1526" s="73"/>
      <c r="P1526" s="74"/>
      <c r="Q1526" s="74"/>
      <c r="R1526" s="87"/>
      <c r="S1526" s="87"/>
      <c r="T1526" s="87"/>
      <c r="U1526" s="87"/>
      <c r="V1526" s="48"/>
      <c r="W1526" s="48"/>
      <c r="X1526" s="48"/>
      <c r="Y1526" s="48"/>
      <c r="Z1526" s="47"/>
      <c r="AA1526" s="69">
        <v>1526</v>
      </c>
      <c r="AB1526" s="69"/>
      <c r="AC1526" s="70"/>
      <c r="AD1526" s="76" t="s">
        <v>22739</v>
      </c>
      <c r="AE1526" s="81" t="s">
        <v>21064</v>
      </c>
      <c r="AF1526" s="76">
        <v>428</v>
      </c>
      <c r="AG1526" s="76">
        <v>1086</v>
      </c>
      <c r="AH1526" s="76">
        <v>1091</v>
      </c>
      <c r="AI1526" s="76">
        <v>1</v>
      </c>
      <c r="AJ1526" s="76">
        <v>129</v>
      </c>
      <c r="AK1526" s="76">
        <v>678</v>
      </c>
      <c r="AL1526" s="76" t="b">
        <v>0</v>
      </c>
      <c r="AM1526" s="78">
        <v>44397.634351851855</v>
      </c>
      <c r="AN1526" s="76" t="s">
        <v>24599</v>
      </c>
      <c r="AO1526" s="76" t="s">
        <v>26063</v>
      </c>
      <c r="AP1526" s="82" t="str">
        <f>HYPERLINK("https://t.co/dCCHSlMZXL")</f>
        <v>https://t.co/dCCHSlMZXL</v>
      </c>
      <c r="AQ1526" s="82" t="str">
        <f>HYPERLINK("http://www.novenadigital.cl")</f>
        <v>http://www.novenadigital.cl</v>
      </c>
      <c r="AR1526" s="76" t="s">
        <v>27189</v>
      </c>
      <c r="AS1526" s="76"/>
      <c r="AT1526" s="76"/>
      <c r="AU1526" s="76"/>
      <c r="AV1526" s="76">
        <v>1.68423935944737E+18</v>
      </c>
      <c r="AW1526" s="82" t="str">
        <f>HYPERLINK("https://t.co/dCCHSlMZXL")</f>
        <v>https://t.co/dCCHSlMZXL</v>
      </c>
      <c r="AX1526" s="76" t="b">
        <v>0</v>
      </c>
      <c r="AY1526" s="76"/>
      <c r="AZ1526" s="76"/>
      <c r="BA1526" s="76" t="b">
        <v>0</v>
      </c>
      <c r="BB1526" s="76" t="b">
        <v>1</v>
      </c>
      <c r="BC1526" s="76" t="b">
        <v>1</v>
      </c>
      <c r="BD1526" s="76" t="b">
        <v>0</v>
      </c>
      <c r="BE1526" s="76" t="b">
        <v>1</v>
      </c>
      <c r="BF1526" s="76" t="b">
        <v>0</v>
      </c>
      <c r="BG1526" s="76" t="b">
        <v>0</v>
      </c>
      <c r="BH1526" s="82" t="str">
        <f>HYPERLINK("https://pbs.twimg.com/profile_banners/1417502855901102085/1629316636")</f>
        <v>https://pbs.twimg.com/profile_banners/1417502855901102085/1629316636</v>
      </c>
      <c r="BI1526" s="76"/>
      <c r="BJ1526" s="76" t="s">
        <v>27595</v>
      </c>
      <c r="BK1526" s="76" t="b">
        <v>0</v>
      </c>
      <c r="BL1526" s="76"/>
      <c r="BM1526" s="76" t="s">
        <v>66</v>
      </c>
      <c r="BN1526" s="76" t="s">
        <v>27597</v>
      </c>
      <c r="BO1526" s="82" t="str">
        <f>HYPERLINK("https://twitter.com/novenadigital")</f>
        <v>https://twitter.com/novenadigital</v>
      </c>
      <c r="BP1526" s="2"/>
    </row>
    <row r="1527" spans="1:68" x14ac:dyDescent="0.25">
      <c r="A1527" s="62" t="s">
        <v>1385</v>
      </c>
      <c r="B1527" s="63"/>
      <c r="C1527" s="63"/>
      <c r="D1527" s="64"/>
      <c r="E1527" s="66"/>
      <c r="F1527" s="103" t="str">
        <f>HYPERLINK("https://pbs.twimg.com/profile_images/1129903331428765696/WTK0roSC_normal.jpg")</f>
        <v>https://pbs.twimg.com/profile_images/1129903331428765696/WTK0roSC_normal.jpg</v>
      </c>
      <c r="G1527" s="63"/>
      <c r="H1527" s="67"/>
      <c r="I1527" s="68"/>
      <c r="J1527" s="68"/>
      <c r="K1527" s="67" t="s">
        <v>29121</v>
      </c>
      <c r="L1527" s="71"/>
      <c r="M1527" s="72"/>
      <c r="N1527" s="72"/>
      <c r="O1527" s="73"/>
      <c r="P1527" s="74"/>
      <c r="Q1527" s="74"/>
      <c r="R1527" s="87"/>
      <c r="S1527" s="87"/>
      <c r="T1527" s="87"/>
      <c r="U1527" s="87"/>
      <c r="V1527" s="48"/>
      <c r="W1527" s="48"/>
      <c r="X1527" s="48"/>
      <c r="Y1527" s="48"/>
      <c r="Z1527" s="47"/>
      <c r="AA1527" s="69">
        <v>1527</v>
      </c>
      <c r="AB1527" s="69"/>
      <c r="AC1527" s="70"/>
      <c r="AD1527" s="76" t="s">
        <v>22005</v>
      </c>
      <c r="AE1527" s="81" t="s">
        <v>23865</v>
      </c>
      <c r="AF1527" s="76">
        <v>1066</v>
      </c>
      <c r="AG1527" s="76">
        <v>1265</v>
      </c>
      <c r="AH1527" s="76">
        <v>3755</v>
      </c>
      <c r="AI1527" s="76">
        <v>2</v>
      </c>
      <c r="AJ1527" s="76">
        <v>40192</v>
      </c>
      <c r="AK1527" s="76">
        <v>759</v>
      </c>
      <c r="AL1527" s="76" t="b">
        <v>0</v>
      </c>
      <c r="AM1527" s="78">
        <v>40928.157256944447</v>
      </c>
      <c r="AN1527" s="76" t="s">
        <v>14421</v>
      </c>
      <c r="AO1527" s="76" t="s">
        <v>26064</v>
      </c>
      <c r="AP1527" s="82" t="str">
        <f>HYPERLINK("https://t.co/8pQtrRvwOh")</f>
        <v>https://t.co/8pQtrRvwOh</v>
      </c>
      <c r="AQ1527" s="82" t="str">
        <f>HYPERLINK("http://instagram.com/marcoscuunto")</f>
        <v>http://instagram.com/marcoscuunto</v>
      </c>
      <c r="AR1527" s="76" t="s">
        <v>27190</v>
      </c>
      <c r="AS1527" s="76"/>
      <c r="AT1527" s="76"/>
      <c r="AU1527" s="76"/>
      <c r="AV1527" s="76">
        <v>1.21468619353696E+18</v>
      </c>
      <c r="AW1527" s="82" t="str">
        <f>HYPERLINK("https://t.co/8pQtrRvwOh")</f>
        <v>https://t.co/8pQtrRvwOh</v>
      </c>
      <c r="AX1527" s="76" t="b">
        <v>0</v>
      </c>
      <c r="AY1527" s="76"/>
      <c r="AZ1527" s="76"/>
      <c r="BA1527" s="76" t="b">
        <v>1</v>
      </c>
      <c r="BB1527" s="76" t="b">
        <v>1</v>
      </c>
      <c r="BC1527" s="76" t="b">
        <v>1</v>
      </c>
      <c r="BD1527" s="76" t="b">
        <v>0</v>
      </c>
      <c r="BE1527" s="76" t="b">
        <v>1</v>
      </c>
      <c r="BF1527" s="76" t="b">
        <v>0</v>
      </c>
      <c r="BG1527" s="76" t="b">
        <v>0</v>
      </c>
      <c r="BH1527" s="82" t="str">
        <f>HYPERLINK("https://pbs.twimg.com/profile_banners/468993976/1463707900")</f>
        <v>https://pbs.twimg.com/profile_banners/468993976/1463707900</v>
      </c>
      <c r="BI1527" s="76"/>
      <c r="BJ1527" s="76" t="s">
        <v>27595</v>
      </c>
      <c r="BK1527" s="76" t="b">
        <v>0</v>
      </c>
      <c r="BL1527" s="76"/>
      <c r="BM1527" s="76" t="s">
        <v>66</v>
      </c>
      <c r="BN1527" s="76" t="s">
        <v>27597</v>
      </c>
      <c r="BO1527" s="82" t="str">
        <f>HYPERLINK("https://twitter.com/marcoscunto")</f>
        <v>https://twitter.com/marcoscunto</v>
      </c>
      <c r="BP1527" s="2"/>
    </row>
    <row r="1528" spans="1:68" x14ac:dyDescent="0.25">
      <c r="A1528" s="62" t="s">
        <v>1536</v>
      </c>
      <c r="B1528" s="63"/>
      <c r="C1528" s="63"/>
      <c r="D1528" s="64"/>
      <c r="E1528" s="66"/>
      <c r="F1528" s="103" t="str">
        <f>HYPERLINK("https://pbs.twimg.com/profile_images/1615798989315506176/MO4NNCx-_normal.jpg")</f>
        <v>https://pbs.twimg.com/profile_images/1615798989315506176/MO4NNCx-_normal.jpg</v>
      </c>
      <c r="G1528" s="63"/>
      <c r="H1528" s="67"/>
      <c r="I1528" s="68"/>
      <c r="J1528" s="68"/>
      <c r="K1528" s="67" t="s">
        <v>29122</v>
      </c>
      <c r="L1528" s="71"/>
      <c r="M1528" s="72"/>
      <c r="N1528" s="72"/>
      <c r="O1528" s="73"/>
      <c r="P1528" s="74"/>
      <c r="Q1528" s="74"/>
      <c r="R1528" s="87"/>
      <c r="S1528" s="87"/>
      <c r="T1528" s="87"/>
      <c r="U1528" s="87"/>
      <c r="V1528" s="48"/>
      <c r="W1528" s="48"/>
      <c r="X1528" s="48"/>
      <c r="Y1528" s="48"/>
      <c r="Z1528" s="47"/>
      <c r="AA1528" s="69">
        <v>1528</v>
      </c>
      <c r="AB1528" s="69"/>
      <c r="AC1528" s="70"/>
      <c r="AD1528" s="76" t="s">
        <v>22740</v>
      </c>
      <c r="AE1528" s="81" t="s">
        <v>21135</v>
      </c>
      <c r="AF1528" s="76">
        <v>54471</v>
      </c>
      <c r="AG1528" s="76">
        <v>30</v>
      </c>
      <c r="AH1528" s="76">
        <v>25906</v>
      </c>
      <c r="AI1528" s="76">
        <v>179</v>
      </c>
      <c r="AJ1528" s="76">
        <v>335</v>
      </c>
      <c r="AK1528" s="76">
        <v>13809</v>
      </c>
      <c r="AL1528" s="76" t="b">
        <v>0</v>
      </c>
      <c r="AM1528" s="78">
        <v>44320.859699074077</v>
      </c>
      <c r="AN1528" s="76" t="s">
        <v>24114</v>
      </c>
      <c r="AO1528" s="76" t="s">
        <v>26065</v>
      </c>
      <c r="AP1528" s="82" t="str">
        <f>HYPERLINK("https://t.co/IqTBu0NZOR")</f>
        <v>https://t.co/IqTBu0NZOR</v>
      </c>
      <c r="AQ1528" s="82" t="str">
        <f>HYPERLINK("http://www.corta.com")</f>
        <v>http://www.corta.com</v>
      </c>
      <c r="AR1528" s="76" t="s">
        <v>27191</v>
      </c>
      <c r="AS1528" s="76"/>
      <c r="AT1528" s="76"/>
      <c r="AU1528" s="76"/>
      <c r="AV1528" s="76"/>
      <c r="AW1528" s="82" t="str">
        <f>HYPERLINK("https://t.co/IqTBu0NZOR")</f>
        <v>https://t.co/IqTBu0NZOR</v>
      </c>
      <c r="AX1528" s="76" t="b">
        <v>1</v>
      </c>
      <c r="AY1528" s="76"/>
      <c r="AZ1528" s="76"/>
      <c r="BA1528" s="76" t="b">
        <v>0</v>
      </c>
      <c r="BB1528" s="76" t="b">
        <v>0</v>
      </c>
      <c r="BC1528" s="76" t="b">
        <v>1</v>
      </c>
      <c r="BD1528" s="76" t="b">
        <v>0</v>
      </c>
      <c r="BE1528" s="76" t="b">
        <v>1</v>
      </c>
      <c r="BF1528" s="76" t="b">
        <v>0</v>
      </c>
      <c r="BG1528" s="76" t="b">
        <v>0</v>
      </c>
      <c r="BH1528" s="82" t="str">
        <f>HYPERLINK("https://pbs.twimg.com/profile_banners/1389680593336680452/1666712349")</f>
        <v>https://pbs.twimg.com/profile_banners/1389680593336680452/1666712349</v>
      </c>
      <c r="BI1528" s="76"/>
      <c r="BJ1528" s="76" t="s">
        <v>27595</v>
      </c>
      <c r="BK1528" s="76" t="b">
        <v>0</v>
      </c>
      <c r="BL1528" s="76"/>
      <c r="BM1528" s="76" t="s">
        <v>66</v>
      </c>
      <c r="BN1528" s="76" t="s">
        <v>27597</v>
      </c>
      <c r="BO1528" s="82" t="str">
        <f>HYPERLINK("https://twitter.com/somoscorta")</f>
        <v>https://twitter.com/somoscorta</v>
      </c>
      <c r="BP1528" s="2"/>
    </row>
    <row r="1529" spans="1:68" x14ac:dyDescent="0.25">
      <c r="A1529" s="62" t="s">
        <v>1386</v>
      </c>
      <c r="B1529" s="63"/>
      <c r="C1529" s="63"/>
      <c r="D1529" s="64"/>
      <c r="E1529" s="66"/>
      <c r="F1529" s="103" t="str">
        <f>HYPERLINK("https://pbs.twimg.com/profile_images/1342532895290908672/2Bzyd2fB_normal.jpg")</f>
        <v>https://pbs.twimg.com/profile_images/1342532895290908672/2Bzyd2fB_normal.jpg</v>
      </c>
      <c r="G1529" s="63"/>
      <c r="H1529" s="67"/>
      <c r="I1529" s="68"/>
      <c r="J1529" s="68"/>
      <c r="K1529" s="67" t="s">
        <v>29123</v>
      </c>
      <c r="L1529" s="71"/>
      <c r="M1529" s="72"/>
      <c r="N1529" s="72"/>
      <c r="O1529" s="73"/>
      <c r="P1529" s="74"/>
      <c r="Q1529" s="74"/>
      <c r="R1529" s="87"/>
      <c r="S1529" s="87"/>
      <c r="T1529" s="87"/>
      <c r="U1529" s="87"/>
      <c r="V1529" s="48"/>
      <c r="W1529" s="48"/>
      <c r="X1529" s="48"/>
      <c r="Y1529" s="48"/>
      <c r="Z1529" s="47"/>
      <c r="AA1529" s="69">
        <v>1529</v>
      </c>
      <c r="AB1529" s="69"/>
      <c r="AC1529" s="70"/>
      <c r="AD1529" s="76" t="s">
        <v>22741</v>
      </c>
      <c r="AE1529" s="81" t="s">
        <v>23866</v>
      </c>
      <c r="AF1529" s="76">
        <v>2573</v>
      </c>
      <c r="AG1529" s="76">
        <v>4994</v>
      </c>
      <c r="AH1529" s="76">
        <v>44241</v>
      </c>
      <c r="AI1529" s="76">
        <v>27</v>
      </c>
      <c r="AJ1529" s="76">
        <v>23684</v>
      </c>
      <c r="AK1529" s="76">
        <v>1416</v>
      </c>
      <c r="AL1529" s="76" t="b">
        <v>0</v>
      </c>
      <c r="AM1529" s="78">
        <v>40000.546643518515</v>
      </c>
      <c r="AN1529" s="76" t="s">
        <v>24600</v>
      </c>
      <c r="AO1529" s="76" t="s">
        <v>26066</v>
      </c>
      <c r="AP1529" s="82" t="str">
        <f>HYPERLINK("https://t.co/TTthsHn2IO")</f>
        <v>https://t.co/TTthsHn2IO</v>
      </c>
      <c r="AQ1529" s="82" t="str">
        <f>HYPERLINK("http://agencia-impacto.com")</f>
        <v>http://agencia-impacto.com</v>
      </c>
      <c r="AR1529" s="76" t="s">
        <v>27192</v>
      </c>
      <c r="AS1529" s="76"/>
      <c r="AT1529" s="76"/>
      <c r="AU1529" s="76"/>
      <c r="AV1529" s="76">
        <v>1.65563546550707E+18</v>
      </c>
      <c r="AW1529" s="82" t="str">
        <f>HYPERLINK("https://t.co/TTthsHn2IO")</f>
        <v>https://t.co/TTthsHn2IO</v>
      </c>
      <c r="AX1529" s="76" t="b">
        <v>0</v>
      </c>
      <c r="AY1529" s="76"/>
      <c r="AZ1529" s="76"/>
      <c r="BA1529" s="76" t="b">
        <v>0</v>
      </c>
      <c r="BB1529" s="76" t="b">
        <v>1</v>
      </c>
      <c r="BC1529" s="76" t="b">
        <v>0</v>
      </c>
      <c r="BD1529" s="76" t="b">
        <v>0</v>
      </c>
      <c r="BE1529" s="76" t="b">
        <v>1</v>
      </c>
      <c r="BF1529" s="76" t="b">
        <v>0</v>
      </c>
      <c r="BG1529" s="76" t="b">
        <v>0</v>
      </c>
      <c r="BH1529" s="82" t="str">
        <f>HYPERLINK("https://pbs.twimg.com/profile_banners/54198760/1608919765")</f>
        <v>https://pbs.twimg.com/profile_banners/54198760/1608919765</v>
      </c>
      <c r="BI1529" s="76"/>
      <c r="BJ1529" s="76" t="s">
        <v>27595</v>
      </c>
      <c r="BK1529" s="76" t="b">
        <v>0</v>
      </c>
      <c r="BL1529" s="76"/>
      <c r="BM1529" s="76" t="s">
        <v>66</v>
      </c>
      <c r="BN1529" s="76" t="s">
        <v>27597</v>
      </c>
      <c r="BO1529" s="82" t="str">
        <f>HYPERLINK("https://twitter.com/rossanoimpacto")</f>
        <v>https://twitter.com/rossanoimpacto</v>
      </c>
      <c r="BP1529" s="2"/>
    </row>
    <row r="1530" spans="1:68" x14ac:dyDescent="0.25">
      <c r="A1530" s="62" t="s">
        <v>1387</v>
      </c>
      <c r="B1530" s="63"/>
      <c r="C1530" s="63"/>
      <c r="D1530" s="64"/>
      <c r="E1530" s="66"/>
      <c r="F1530" s="103" t="str">
        <f>HYPERLINK("https://pbs.twimg.com/profile_images/933763166542139392/CEMKbElt_normal.jpg")</f>
        <v>https://pbs.twimg.com/profile_images/933763166542139392/CEMKbElt_normal.jpg</v>
      </c>
      <c r="G1530" s="63"/>
      <c r="H1530" s="67"/>
      <c r="I1530" s="68"/>
      <c r="J1530" s="68"/>
      <c r="K1530" s="67" t="s">
        <v>29124</v>
      </c>
      <c r="L1530" s="71"/>
      <c r="M1530" s="72"/>
      <c r="N1530" s="72"/>
      <c r="O1530" s="73"/>
      <c r="P1530" s="74"/>
      <c r="Q1530" s="74"/>
      <c r="R1530" s="87"/>
      <c r="S1530" s="87"/>
      <c r="T1530" s="87"/>
      <c r="U1530" s="87"/>
      <c r="V1530" s="48"/>
      <c r="W1530" s="48"/>
      <c r="X1530" s="48"/>
      <c r="Y1530" s="48"/>
      <c r="Z1530" s="47"/>
      <c r="AA1530" s="69">
        <v>1530</v>
      </c>
      <c r="AB1530" s="69"/>
      <c r="AC1530" s="70"/>
      <c r="AD1530" s="76" t="s">
        <v>22742</v>
      </c>
      <c r="AE1530" s="81" t="s">
        <v>23867</v>
      </c>
      <c r="AF1530" s="76">
        <v>926</v>
      </c>
      <c r="AG1530" s="76">
        <v>185</v>
      </c>
      <c r="AH1530" s="76">
        <v>73351</v>
      </c>
      <c r="AI1530" s="76">
        <v>15</v>
      </c>
      <c r="AJ1530" s="76">
        <v>20143</v>
      </c>
      <c r="AK1530" s="76">
        <v>12274</v>
      </c>
      <c r="AL1530" s="76" t="b">
        <v>0</v>
      </c>
      <c r="AM1530" s="78">
        <v>39989.793310185189</v>
      </c>
      <c r="AN1530" s="76" t="s">
        <v>24601</v>
      </c>
      <c r="AO1530" s="76" t="s">
        <v>26067</v>
      </c>
      <c r="AP1530" s="82" t="str">
        <f>HYPERLINK("https://t.co/TK4cWqNiFH")</f>
        <v>https://t.co/TK4cWqNiFH</v>
      </c>
      <c r="AQ1530" s="82" t="str">
        <f>HYPERLINK("https://www.facebook.com/paladinodocerrado/")</f>
        <v>https://www.facebook.com/paladinodocerrado/</v>
      </c>
      <c r="AR1530" s="76" t="s">
        <v>27193</v>
      </c>
      <c r="AS1530" s="76"/>
      <c r="AT1530" s="76"/>
      <c r="AU1530" s="76"/>
      <c r="AV1530" s="76"/>
      <c r="AW1530" s="82" t="str">
        <f>HYPERLINK("https://t.co/TK4cWqNiFH")</f>
        <v>https://t.co/TK4cWqNiFH</v>
      </c>
      <c r="AX1530" s="76" t="b">
        <v>0</v>
      </c>
      <c r="AY1530" s="76"/>
      <c r="AZ1530" s="76"/>
      <c r="BA1530" s="76" t="b">
        <v>1</v>
      </c>
      <c r="BB1530" s="76" t="b">
        <v>1</v>
      </c>
      <c r="BC1530" s="76" t="b">
        <v>0</v>
      </c>
      <c r="BD1530" s="76" t="b">
        <v>0</v>
      </c>
      <c r="BE1530" s="76" t="b">
        <v>1</v>
      </c>
      <c r="BF1530" s="76" t="b">
        <v>0</v>
      </c>
      <c r="BG1530" s="76" t="b">
        <v>0</v>
      </c>
      <c r="BH1530" s="82" t="str">
        <f>HYPERLINK("https://pbs.twimg.com/profile_banners/50734399/1511461803")</f>
        <v>https://pbs.twimg.com/profile_banners/50734399/1511461803</v>
      </c>
      <c r="BI1530" s="76"/>
      <c r="BJ1530" s="76" t="s">
        <v>27595</v>
      </c>
      <c r="BK1530" s="76" t="b">
        <v>0</v>
      </c>
      <c r="BL1530" s="76"/>
      <c r="BM1530" s="76" t="s">
        <v>66</v>
      </c>
      <c r="BN1530" s="76" t="s">
        <v>27597</v>
      </c>
      <c r="BO1530" s="82" t="str">
        <f>HYPERLINK("https://twitter.com/elciddocerrado")</f>
        <v>https://twitter.com/elciddocerrado</v>
      </c>
      <c r="BP1530" s="2"/>
    </row>
    <row r="1531" spans="1:68" x14ac:dyDescent="0.25">
      <c r="A1531" s="62" t="s">
        <v>1388</v>
      </c>
      <c r="B1531" s="63"/>
      <c r="C1531" s="63"/>
      <c r="D1531" s="64"/>
      <c r="E1531" s="66"/>
      <c r="F1531" s="103" t="str">
        <f>HYPERLINK("https://pbs.twimg.com/profile_images/1445088906525958159/bfxvKH-8_normal.jpg")</f>
        <v>https://pbs.twimg.com/profile_images/1445088906525958159/bfxvKH-8_normal.jpg</v>
      </c>
      <c r="G1531" s="63"/>
      <c r="H1531" s="67"/>
      <c r="I1531" s="68"/>
      <c r="J1531" s="68"/>
      <c r="K1531" s="67" t="s">
        <v>29125</v>
      </c>
      <c r="L1531" s="71"/>
      <c r="M1531" s="72"/>
      <c r="N1531" s="72"/>
      <c r="O1531" s="73"/>
      <c r="P1531" s="74"/>
      <c r="Q1531" s="74"/>
      <c r="R1531" s="87"/>
      <c r="S1531" s="87"/>
      <c r="T1531" s="87"/>
      <c r="U1531" s="87"/>
      <c r="V1531" s="48"/>
      <c r="W1531" s="48"/>
      <c r="X1531" s="48"/>
      <c r="Y1531" s="48"/>
      <c r="Z1531" s="47"/>
      <c r="AA1531" s="69">
        <v>1531</v>
      </c>
      <c r="AB1531" s="69"/>
      <c r="AC1531" s="70"/>
      <c r="AD1531" s="76" t="s">
        <v>22743</v>
      </c>
      <c r="AE1531" s="81" t="s">
        <v>21065</v>
      </c>
      <c r="AF1531" s="76">
        <v>83</v>
      </c>
      <c r="AG1531" s="76">
        <v>78</v>
      </c>
      <c r="AH1531" s="76">
        <v>2666</v>
      </c>
      <c r="AI1531" s="76">
        <v>0</v>
      </c>
      <c r="AJ1531" s="76">
        <v>1</v>
      </c>
      <c r="AK1531" s="76">
        <v>247</v>
      </c>
      <c r="AL1531" s="76" t="b">
        <v>0</v>
      </c>
      <c r="AM1531" s="78">
        <v>44473.756747685184</v>
      </c>
      <c r="AN1531" s="76" t="s">
        <v>24602</v>
      </c>
      <c r="AO1531" s="76" t="s">
        <v>26068</v>
      </c>
      <c r="AP1531" s="82" t="str">
        <f>HYPERLINK("https://t.co/5VY2JD1LRS")</f>
        <v>https://t.co/5VY2JD1LRS</v>
      </c>
      <c r="AQ1531" s="82" t="str">
        <f>HYPERLINK("http://www.revistaenterate.com.ar")</f>
        <v>http://www.revistaenterate.com.ar</v>
      </c>
      <c r="AR1531" s="76" t="s">
        <v>27194</v>
      </c>
      <c r="AS1531" s="76"/>
      <c r="AT1531" s="76"/>
      <c r="AU1531" s="76"/>
      <c r="AV1531" s="76"/>
      <c r="AW1531" s="82" t="str">
        <f>HYPERLINK("https://t.co/5VY2JD1LRS")</f>
        <v>https://t.co/5VY2JD1LRS</v>
      </c>
      <c r="AX1531" s="76" t="b">
        <v>0</v>
      </c>
      <c r="AY1531" s="76"/>
      <c r="AZ1531" s="76"/>
      <c r="BA1531" s="76" t="b">
        <v>0</v>
      </c>
      <c r="BB1531" s="76" t="b">
        <v>1</v>
      </c>
      <c r="BC1531" s="76" t="b">
        <v>1</v>
      </c>
      <c r="BD1531" s="76" t="b">
        <v>0</v>
      </c>
      <c r="BE1531" s="76" t="b">
        <v>0</v>
      </c>
      <c r="BF1531" s="76" t="b">
        <v>0</v>
      </c>
      <c r="BG1531" s="76" t="b">
        <v>0</v>
      </c>
      <c r="BH1531" s="82" t="str">
        <f>HYPERLINK("https://pbs.twimg.com/profile_banners/1445088603999195137/1633398715")</f>
        <v>https://pbs.twimg.com/profile_banners/1445088603999195137/1633398715</v>
      </c>
      <c r="BI1531" s="76"/>
      <c r="BJ1531" s="76" t="s">
        <v>27595</v>
      </c>
      <c r="BK1531" s="76" t="b">
        <v>0</v>
      </c>
      <c r="BL1531" s="76"/>
      <c r="BM1531" s="76" t="s">
        <v>66</v>
      </c>
      <c r="BN1531" s="76" t="s">
        <v>27597</v>
      </c>
      <c r="BO1531" s="82" t="str">
        <f>HYPERLINK("https://twitter.com/revistaenterat2")</f>
        <v>https://twitter.com/revistaenterat2</v>
      </c>
      <c r="BP1531" s="2"/>
    </row>
    <row r="1532" spans="1:68" x14ac:dyDescent="0.25">
      <c r="A1532" s="62" t="s">
        <v>1389</v>
      </c>
      <c r="B1532" s="63"/>
      <c r="C1532" s="63"/>
      <c r="D1532" s="64"/>
      <c r="E1532" s="66"/>
      <c r="F1532" s="103" t="str">
        <f>HYPERLINK("https://pbs.twimg.com/profile_images/1403423229298024452/0hwpCjME_normal.jpg")</f>
        <v>https://pbs.twimg.com/profile_images/1403423229298024452/0hwpCjME_normal.jpg</v>
      </c>
      <c r="G1532" s="63"/>
      <c r="H1532" s="67"/>
      <c r="I1532" s="68"/>
      <c r="J1532" s="68"/>
      <c r="K1532" s="67" t="s">
        <v>29126</v>
      </c>
      <c r="L1532" s="71"/>
      <c r="M1532" s="72"/>
      <c r="N1532" s="72"/>
      <c r="O1532" s="73"/>
      <c r="P1532" s="74"/>
      <c r="Q1532" s="74"/>
      <c r="R1532" s="87"/>
      <c r="S1532" s="87"/>
      <c r="T1532" s="87"/>
      <c r="U1532" s="87"/>
      <c r="V1532" s="48"/>
      <c r="W1532" s="48"/>
      <c r="X1532" s="48"/>
      <c r="Y1532" s="48"/>
      <c r="Z1532" s="47"/>
      <c r="AA1532" s="69">
        <v>1532</v>
      </c>
      <c r="AB1532" s="69"/>
      <c r="AC1532" s="70"/>
      <c r="AD1532" s="76" t="s">
        <v>22744</v>
      </c>
      <c r="AE1532" s="81" t="s">
        <v>21066</v>
      </c>
      <c r="AF1532" s="76">
        <v>504</v>
      </c>
      <c r="AG1532" s="76">
        <v>701</v>
      </c>
      <c r="AH1532" s="76">
        <v>29954</v>
      </c>
      <c r="AI1532" s="76">
        <v>1</v>
      </c>
      <c r="AJ1532" s="76">
        <v>41255</v>
      </c>
      <c r="AK1532" s="76">
        <v>19692</v>
      </c>
      <c r="AL1532" s="76" t="b">
        <v>0</v>
      </c>
      <c r="AM1532" s="78">
        <v>42939.060902777775</v>
      </c>
      <c r="AN1532" s="76" t="s">
        <v>14432</v>
      </c>
      <c r="AO1532" s="76"/>
      <c r="AP1532" s="76"/>
      <c r="AQ1532" s="76"/>
      <c r="AR1532" s="76"/>
      <c r="AS1532" s="76"/>
      <c r="AT1532" s="76"/>
      <c r="AU1532" s="76"/>
      <c r="AV1532" s="76"/>
      <c r="AW1532" s="76"/>
      <c r="AX1532" s="76" t="b">
        <v>0</v>
      </c>
      <c r="AY1532" s="76"/>
      <c r="AZ1532" s="76"/>
      <c r="BA1532" s="76" t="b">
        <v>0</v>
      </c>
      <c r="BB1532" s="76" t="b">
        <v>1</v>
      </c>
      <c r="BC1532" s="76" t="b">
        <v>1</v>
      </c>
      <c r="BD1532" s="76" t="b">
        <v>0</v>
      </c>
      <c r="BE1532" s="76" t="b">
        <v>1</v>
      </c>
      <c r="BF1532" s="76" t="b">
        <v>0</v>
      </c>
      <c r="BG1532" s="76" t="b">
        <v>0</v>
      </c>
      <c r="BH1532" s="82" t="str">
        <f>HYPERLINK("https://pbs.twimg.com/profile_banners/888933607942873089/1677543723")</f>
        <v>https://pbs.twimg.com/profile_banners/888933607942873089/1677543723</v>
      </c>
      <c r="BI1532" s="76"/>
      <c r="BJ1532" s="76" t="s">
        <v>27595</v>
      </c>
      <c r="BK1532" s="76" t="b">
        <v>0</v>
      </c>
      <c r="BL1532" s="76"/>
      <c r="BM1532" s="76" t="s">
        <v>66</v>
      </c>
      <c r="BN1532" s="76" t="s">
        <v>27597</v>
      </c>
      <c r="BO1532" s="82" t="str">
        <f>HYPERLINK("https://twitter.com/_carloswaldir")</f>
        <v>https://twitter.com/_carloswaldir</v>
      </c>
      <c r="BP1532" s="2"/>
    </row>
    <row r="1533" spans="1:68" x14ac:dyDescent="0.25">
      <c r="A1533" s="62" t="s">
        <v>1390</v>
      </c>
      <c r="B1533" s="63"/>
      <c r="C1533" s="63"/>
      <c r="D1533" s="64"/>
      <c r="E1533" s="66"/>
      <c r="F1533" s="103" t="str">
        <f>HYPERLINK("https://pbs.twimg.com/profile_images/1474092905228869634/j0iqxw6f_normal.jpg")</f>
        <v>https://pbs.twimg.com/profile_images/1474092905228869634/j0iqxw6f_normal.jpg</v>
      </c>
      <c r="G1533" s="63"/>
      <c r="H1533" s="67"/>
      <c r="I1533" s="68"/>
      <c r="J1533" s="68"/>
      <c r="K1533" s="67" t="s">
        <v>29127</v>
      </c>
      <c r="L1533" s="71"/>
      <c r="M1533" s="72"/>
      <c r="N1533" s="72"/>
      <c r="O1533" s="73"/>
      <c r="P1533" s="74"/>
      <c r="Q1533" s="74"/>
      <c r="R1533" s="87"/>
      <c r="S1533" s="87"/>
      <c r="T1533" s="87"/>
      <c r="U1533" s="87"/>
      <c r="V1533" s="48"/>
      <c r="W1533" s="48"/>
      <c r="X1533" s="48"/>
      <c r="Y1533" s="48"/>
      <c r="Z1533" s="47"/>
      <c r="AA1533" s="69">
        <v>1533</v>
      </c>
      <c r="AB1533" s="69"/>
      <c r="AC1533" s="70"/>
      <c r="AD1533" s="76" t="s">
        <v>22745</v>
      </c>
      <c r="AE1533" s="81" t="s">
        <v>21067</v>
      </c>
      <c r="AF1533" s="76">
        <v>49</v>
      </c>
      <c r="AG1533" s="76">
        <v>1129</v>
      </c>
      <c r="AH1533" s="76">
        <v>777</v>
      </c>
      <c r="AI1533" s="76">
        <v>4</v>
      </c>
      <c r="AJ1533" s="76">
        <v>3910</v>
      </c>
      <c r="AK1533" s="76">
        <v>83</v>
      </c>
      <c r="AL1533" s="76" t="b">
        <v>0</v>
      </c>
      <c r="AM1533" s="78">
        <v>44553.786030092589</v>
      </c>
      <c r="AN1533" s="76" t="s">
        <v>24603</v>
      </c>
      <c r="AO1533" s="76" t="s">
        <v>26069</v>
      </c>
      <c r="AP1533" s="76"/>
      <c r="AQ1533" s="76"/>
      <c r="AR1533" s="76"/>
      <c r="AS1533" s="76"/>
      <c r="AT1533" s="76"/>
      <c r="AU1533" s="76"/>
      <c r="AV1533" s="76"/>
      <c r="AW1533" s="76"/>
      <c r="AX1533" s="76" t="b">
        <v>0</v>
      </c>
      <c r="AY1533" s="76"/>
      <c r="AZ1533" s="76"/>
      <c r="BA1533" s="76" t="b">
        <v>0</v>
      </c>
      <c r="BB1533" s="76" t="b">
        <v>1</v>
      </c>
      <c r="BC1533" s="76" t="b">
        <v>1</v>
      </c>
      <c r="BD1533" s="76" t="b">
        <v>0</v>
      </c>
      <c r="BE1533" s="76" t="b">
        <v>1</v>
      </c>
      <c r="BF1533" s="76" t="b">
        <v>0</v>
      </c>
      <c r="BG1533" s="76" t="b">
        <v>0</v>
      </c>
      <c r="BH1533" s="76"/>
      <c r="BI1533" s="76"/>
      <c r="BJ1533" s="76" t="s">
        <v>27595</v>
      </c>
      <c r="BK1533" s="76" t="b">
        <v>0</v>
      </c>
      <c r="BL1533" s="76"/>
      <c r="BM1533" s="76" t="s">
        <v>66</v>
      </c>
      <c r="BN1533" s="76" t="s">
        <v>27597</v>
      </c>
      <c r="BO1533" s="82" t="str">
        <f>HYPERLINK("https://twitter.com/ricardovaxx")</f>
        <v>https://twitter.com/ricardovaxx</v>
      </c>
      <c r="BP1533" s="2"/>
    </row>
    <row r="1534" spans="1:68" x14ac:dyDescent="0.25">
      <c r="A1534" s="62" t="s">
        <v>1391</v>
      </c>
      <c r="B1534" s="63"/>
      <c r="C1534" s="63"/>
      <c r="D1534" s="64"/>
      <c r="E1534" s="66"/>
      <c r="F1534" s="103" t="str">
        <f>HYPERLINK("https://pbs.twimg.com/profile_images/1364281638369247239/KQ_yrn5P_normal.jpg")</f>
        <v>https://pbs.twimg.com/profile_images/1364281638369247239/KQ_yrn5P_normal.jpg</v>
      </c>
      <c r="G1534" s="63"/>
      <c r="H1534" s="67"/>
      <c r="I1534" s="68"/>
      <c r="J1534" s="68"/>
      <c r="K1534" s="67" t="s">
        <v>29128</v>
      </c>
      <c r="L1534" s="71"/>
      <c r="M1534" s="72"/>
      <c r="N1534" s="72"/>
      <c r="O1534" s="73"/>
      <c r="P1534" s="74"/>
      <c r="Q1534" s="74"/>
      <c r="R1534" s="87"/>
      <c r="S1534" s="87"/>
      <c r="T1534" s="87"/>
      <c r="U1534" s="87"/>
      <c r="V1534" s="48"/>
      <c r="W1534" s="48"/>
      <c r="X1534" s="48"/>
      <c r="Y1534" s="48"/>
      <c r="Z1534" s="47"/>
      <c r="AA1534" s="69">
        <v>1534</v>
      </c>
      <c r="AB1534" s="69"/>
      <c r="AC1534" s="70"/>
      <c r="AD1534" s="76" t="s">
        <v>22746</v>
      </c>
      <c r="AE1534" s="81" t="s">
        <v>23868</v>
      </c>
      <c r="AF1534" s="76">
        <v>2484</v>
      </c>
      <c r="AG1534" s="76">
        <v>1235</v>
      </c>
      <c r="AH1534" s="76">
        <v>31643</v>
      </c>
      <c r="AI1534" s="76">
        <v>1</v>
      </c>
      <c r="AJ1534" s="76">
        <v>54309</v>
      </c>
      <c r="AK1534" s="76">
        <v>813</v>
      </c>
      <c r="AL1534" s="76" t="b">
        <v>0</v>
      </c>
      <c r="AM1534" s="78">
        <v>40641.777719907404</v>
      </c>
      <c r="AN1534" s="76" t="s">
        <v>24604</v>
      </c>
      <c r="AO1534" s="76" t="s">
        <v>26070</v>
      </c>
      <c r="AP1534" s="76"/>
      <c r="AQ1534" s="76"/>
      <c r="AR1534" s="76"/>
      <c r="AS1534" s="76"/>
      <c r="AT1534" s="76"/>
      <c r="AU1534" s="76"/>
      <c r="AV1534" s="76">
        <v>1.60210358942161E+18</v>
      </c>
      <c r="AW1534" s="76"/>
      <c r="AX1534" s="76" t="b">
        <v>0</v>
      </c>
      <c r="AY1534" s="76"/>
      <c r="AZ1534" s="76"/>
      <c r="BA1534" s="76" t="b">
        <v>1</v>
      </c>
      <c r="BB1534" s="76" t="b">
        <v>1</v>
      </c>
      <c r="BC1534" s="76" t="b">
        <v>0</v>
      </c>
      <c r="BD1534" s="76" t="b">
        <v>0</v>
      </c>
      <c r="BE1534" s="76" t="b">
        <v>1</v>
      </c>
      <c r="BF1534" s="76" t="b">
        <v>0</v>
      </c>
      <c r="BG1534" s="76" t="b">
        <v>0</v>
      </c>
      <c r="BH1534" s="82" t="str">
        <f>HYPERLINK("https://pbs.twimg.com/profile_banners/279170177/1582496370")</f>
        <v>https://pbs.twimg.com/profile_banners/279170177/1582496370</v>
      </c>
      <c r="BI1534" s="76"/>
      <c r="BJ1534" s="76" t="s">
        <v>27595</v>
      </c>
      <c r="BK1534" s="76" t="b">
        <v>0</v>
      </c>
      <c r="BL1534" s="76"/>
      <c r="BM1534" s="76" t="s">
        <v>66</v>
      </c>
      <c r="BN1534" s="76" t="s">
        <v>27597</v>
      </c>
      <c r="BO1534" s="82" t="str">
        <f>HYPERLINK("https://twitter.com/dalviomachava")</f>
        <v>https://twitter.com/dalviomachava</v>
      </c>
      <c r="BP1534" s="2"/>
    </row>
    <row r="1535" spans="1:68" x14ac:dyDescent="0.25">
      <c r="A1535" s="62" t="s">
        <v>1392</v>
      </c>
      <c r="B1535" s="63"/>
      <c r="C1535" s="63"/>
      <c r="D1535" s="64"/>
      <c r="E1535" s="66"/>
      <c r="F1535" s="103" t="str">
        <f>HYPERLINK("https://pbs.twimg.com/profile_images/1669023262209187841/MIDEJbx7_normal.jpg")</f>
        <v>https://pbs.twimg.com/profile_images/1669023262209187841/MIDEJbx7_normal.jpg</v>
      </c>
      <c r="G1535" s="63"/>
      <c r="H1535" s="67"/>
      <c r="I1535" s="68"/>
      <c r="J1535" s="68"/>
      <c r="K1535" s="67" t="s">
        <v>29129</v>
      </c>
      <c r="L1535" s="71"/>
      <c r="M1535" s="72"/>
      <c r="N1535" s="72"/>
      <c r="O1535" s="73"/>
      <c r="P1535" s="74"/>
      <c r="Q1535" s="74"/>
      <c r="R1535" s="87"/>
      <c r="S1535" s="87"/>
      <c r="T1535" s="87"/>
      <c r="U1535" s="87"/>
      <c r="V1535" s="48"/>
      <c r="W1535" s="48"/>
      <c r="X1535" s="48"/>
      <c r="Y1535" s="48"/>
      <c r="Z1535" s="47"/>
      <c r="AA1535" s="69">
        <v>1535</v>
      </c>
      <c r="AB1535" s="69"/>
      <c r="AC1535" s="70"/>
      <c r="AD1535" s="76" t="s">
        <v>22747</v>
      </c>
      <c r="AE1535" s="81" t="s">
        <v>21068</v>
      </c>
      <c r="AF1535" s="76">
        <v>1</v>
      </c>
      <c r="AG1535" s="76">
        <v>52</v>
      </c>
      <c r="AH1535" s="76">
        <v>174</v>
      </c>
      <c r="AI1535" s="76">
        <v>0</v>
      </c>
      <c r="AJ1535" s="76">
        <v>1411</v>
      </c>
      <c r="AK1535" s="76">
        <v>1</v>
      </c>
      <c r="AL1535" s="76" t="b">
        <v>0</v>
      </c>
      <c r="AM1535" s="78">
        <v>45091.697789351849</v>
      </c>
      <c r="AN1535" s="76"/>
      <c r="AO1535" s="76"/>
      <c r="AP1535" s="76"/>
      <c r="AQ1535" s="76"/>
      <c r="AR1535" s="76"/>
      <c r="AS1535" s="76"/>
      <c r="AT1535" s="76"/>
      <c r="AU1535" s="76"/>
      <c r="AV1535" s="76"/>
      <c r="AW1535" s="76"/>
      <c r="AX1535" s="76" t="b">
        <v>0</v>
      </c>
      <c r="AY1535" s="76"/>
      <c r="AZ1535" s="76"/>
      <c r="BA1535" s="76" t="b">
        <v>0</v>
      </c>
      <c r="BB1535" s="76" t="b">
        <v>1</v>
      </c>
      <c r="BC1535" s="76" t="b">
        <v>1</v>
      </c>
      <c r="BD1535" s="76" t="b">
        <v>0</v>
      </c>
      <c r="BE1535" s="76" t="b">
        <v>0</v>
      </c>
      <c r="BF1535" s="76" t="b">
        <v>0</v>
      </c>
      <c r="BG1535" s="76" t="b">
        <v>0</v>
      </c>
      <c r="BH1535" s="76"/>
      <c r="BI1535" s="76"/>
      <c r="BJ1535" s="76" t="s">
        <v>27595</v>
      </c>
      <c r="BK1535" s="76" t="b">
        <v>0</v>
      </c>
      <c r="BL1535" s="76"/>
      <c r="BM1535" s="76" t="s">
        <v>66</v>
      </c>
      <c r="BN1535" s="76" t="s">
        <v>27597</v>
      </c>
      <c r="BO1535" s="82" t="str">
        <f>HYPERLINK("https://twitter.com/rodaseca")</f>
        <v>https://twitter.com/rodaseca</v>
      </c>
      <c r="BP1535" s="2"/>
    </row>
    <row r="1536" spans="1:68" x14ac:dyDescent="0.25">
      <c r="A1536" s="62" t="s">
        <v>1498</v>
      </c>
      <c r="B1536" s="63"/>
      <c r="C1536" s="63"/>
      <c r="D1536" s="64"/>
      <c r="E1536" s="66"/>
      <c r="F1536" s="103" t="str">
        <f>HYPERLINK("https://pbs.twimg.com/profile_images/1283875343967846400/naJT29I5_normal.jpg")</f>
        <v>https://pbs.twimg.com/profile_images/1283875343967846400/naJT29I5_normal.jpg</v>
      </c>
      <c r="G1536" s="63"/>
      <c r="H1536" s="67"/>
      <c r="I1536" s="68"/>
      <c r="J1536" s="68"/>
      <c r="K1536" s="67" t="s">
        <v>29130</v>
      </c>
      <c r="L1536" s="71"/>
      <c r="M1536" s="72"/>
      <c r="N1536" s="72"/>
      <c r="O1536" s="73"/>
      <c r="P1536" s="74"/>
      <c r="Q1536" s="74"/>
      <c r="R1536" s="87"/>
      <c r="S1536" s="87"/>
      <c r="T1536" s="87"/>
      <c r="U1536" s="87"/>
      <c r="V1536" s="48"/>
      <c r="W1536" s="48"/>
      <c r="X1536" s="48"/>
      <c r="Y1536" s="48"/>
      <c r="Z1536" s="47"/>
      <c r="AA1536" s="69">
        <v>1536</v>
      </c>
      <c r="AB1536" s="69"/>
      <c r="AC1536" s="70"/>
      <c r="AD1536" s="76" t="s">
        <v>22748</v>
      </c>
      <c r="AE1536" s="81" t="s">
        <v>21120</v>
      </c>
      <c r="AF1536" s="76">
        <v>11</v>
      </c>
      <c r="AG1536" s="76">
        <v>10</v>
      </c>
      <c r="AH1536" s="76">
        <v>2</v>
      </c>
      <c r="AI1536" s="76">
        <v>1</v>
      </c>
      <c r="AJ1536" s="76">
        <v>49</v>
      </c>
      <c r="AK1536" s="76">
        <v>2</v>
      </c>
      <c r="AL1536" s="76" t="b">
        <v>0</v>
      </c>
      <c r="AM1536" s="78">
        <v>44028.891956018517</v>
      </c>
      <c r="AN1536" s="76"/>
      <c r="AO1536" s="76"/>
      <c r="AP1536" s="76"/>
      <c r="AQ1536" s="76"/>
      <c r="AR1536" s="76"/>
      <c r="AS1536" s="76"/>
      <c r="AT1536" s="76"/>
      <c r="AU1536" s="76"/>
      <c r="AV1536" s="76"/>
      <c r="AW1536" s="76"/>
      <c r="AX1536" s="76" t="b">
        <v>0</v>
      </c>
      <c r="AY1536" s="76"/>
      <c r="AZ1536" s="76"/>
      <c r="BA1536" s="76" t="b">
        <v>0</v>
      </c>
      <c r="BB1536" s="76" t="b">
        <v>1</v>
      </c>
      <c r="BC1536" s="76" t="b">
        <v>1</v>
      </c>
      <c r="BD1536" s="76" t="b">
        <v>0</v>
      </c>
      <c r="BE1536" s="76" t="b">
        <v>0</v>
      </c>
      <c r="BF1536" s="76" t="b">
        <v>0</v>
      </c>
      <c r="BG1536" s="76" t="b">
        <v>0</v>
      </c>
      <c r="BH1536" s="76"/>
      <c r="BI1536" s="76"/>
      <c r="BJ1536" s="76" t="s">
        <v>27595</v>
      </c>
      <c r="BK1536" s="76" t="b">
        <v>0</v>
      </c>
      <c r="BL1536" s="76"/>
      <c r="BM1536" s="76" t="s">
        <v>66</v>
      </c>
      <c r="BN1536" s="76" t="s">
        <v>27597</v>
      </c>
      <c r="BO1536" s="82" t="str">
        <f>HYPERLINK("https://twitter.com/pedrorenatogc")</f>
        <v>https://twitter.com/pedrorenatogc</v>
      </c>
      <c r="BP1536" s="2"/>
    </row>
    <row r="1537" spans="1:68" x14ac:dyDescent="0.25">
      <c r="A1537" s="62" t="s">
        <v>1393</v>
      </c>
      <c r="B1537" s="63"/>
      <c r="C1537" s="63"/>
      <c r="D1537" s="64"/>
      <c r="E1537" s="66"/>
      <c r="F1537" s="103" t="str">
        <f>HYPERLINK("https://pbs.twimg.com/profile_images/1625185710692089857/X-rwZtE2_normal.jpg")</f>
        <v>https://pbs.twimg.com/profile_images/1625185710692089857/X-rwZtE2_normal.jpg</v>
      </c>
      <c r="G1537" s="63"/>
      <c r="H1537" s="67"/>
      <c r="I1537" s="68"/>
      <c r="J1537" s="68"/>
      <c r="K1537" s="67" t="s">
        <v>29131</v>
      </c>
      <c r="L1537" s="71"/>
      <c r="M1537" s="72"/>
      <c r="N1537" s="72"/>
      <c r="O1537" s="73"/>
      <c r="P1537" s="74"/>
      <c r="Q1537" s="74"/>
      <c r="R1537" s="87"/>
      <c r="S1537" s="87"/>
      <c r="T1537" s="87"/>
      <c r="U1537" s="87"/>
      <c r="V1537" s="48"/>
      <c r="W1537" s="48"/>
      <c r="X1537" s="48"/>
      <c r="Y1537" s="48"/>
      <c r="Z1537" s="47"/>
      <c r="AA1537" s="69">
        <v>1537</v>
      </c>
      <c r="AB1537" s="69"/>
      <c r="AC1537" s="70"/>
      <c r="AD1537" s="76" t="s">
        <v>22749</v>
      </c>
      <c r="AE1537" s="81" t="s">
        <v>20353</v>
      </c>
      <c r="AF1537" s="76">
        <v>536</v>
      </c>
      <c r="AG1537" s="76">
        <v>526</v>
      </c>
      <c r="AH1537" s="76">
        <v>29120</v>
      </c>
      <c r="AI1537" s="76">
        <v>4</v>
      </c>
      <c r="AJ1537" s="76">
        <v>30707</v>
      </c>
      <c r="AK1537" s="76">
        <v>3075</v>
      </c>
      <c r="AL1537" s="76" t="b">
        <v>0</v>
      </c>
      <c r="AM1537" s="78">
        <v>43885.803078703706</v>
      </c>
      <c r="AN1537" s="76" t="s">
        <v>24605</v>
      </c>
      <c r="AO1537" s="76" t="s">
        <v>26071</v>
      </c>
      <c r="AP1537" s="76"/>
      <c r="AQ1537" s="76"/>
      <c r="AR1537" s="76"/>
      <c r="AS1537" s="82" t="str">
        <f>HYPERLINK("https://t.co/OidJNPKObz")</f>
        <v>https://t.co/OidJNPKObz</v>
      </c>
      <c r="AT1537" s="82" t="str">
        <f>HYPERLINK("https://t.me/nomasestado")</f>
        <v>https://t.me/nomasestado</v>
      </c>
      <c r="AU1537" s="76" t="s">
        <v>27557</v>
      </c>
      <c r="AV1537" s="76"/>
      <c r="AW1537" s="76"/>
      <c r="AX1537" s="76" t="b">
        <v>0</v>
      </c>
      <c r="AY1537" s="76"/>
      <c r="AZ1537" s="76"/>
      <c r="BA1537" s="76" t="b">
        <v>0</v>
      </c>
      <c r="BB1537" s="76" t="b">
        <v>1</v>
      </c>
      <c r="BC1537" s="76" t="b">
        <v>1</v>
      </c>
      <c r="BD1537" s="76" t="b">
        <v>0</v>
      </c>
      <c r="BE1537" s="76" t="b">
        <v>1</v>
      </c>
      <c r="BF1537" s="76" t="b">
        <v>0</v>
      </c>
      <c r="BG1537" s="76" t="b">
        <v>0</v>
      </c>
      <c r="BH1537" s="82" t="str">
        <f>HYPERLINK("https://pbs.twimg.com/profile_banners/1232021416591155201/1690160020")</f>
        <v>https://pbs.twimg.com/profile_banners/1232021416591155201/1690160020</v>
      </c>
      <c r="BI1537" s="76"/>
      <c r="BJ1537" s="76" t="s">
        <v>27595</v>
      </c>
      <c r="BK1537" s="76" t="b">
        <v>0</v>
      </c>
      <c r="BL1537" s="76"/>
      <c r="BM1537" s="76" t="s">
        <v>66</v>
      </c>
      <c r="BN1537" s="76" t="s">
        <v>27597</v>
      </c>
      <c r="BO1537" s="82" t="str">
        <f>HYPERLINK("https://twitter.com/freityt")</f>
        <v>https://twitter.com/freityt</v>
      </c>
      <c r="BP1537" s="2"/>
    </row>
    <row r="1538" spans="1:68" x14ac:dyDescent="0.25">
      <c r="A1538" s="62" t="s">
        <v>2025</v>
      </c>
      <c r="B1538" s="63"/>
      <c r="C1538" s="63"/>
      <c r="D1538" s="64"/>
      <c r="E1538" s="66"/>
      <c r="F1538" s="103" t="str">
        <f>HYPERLINK("https://abs.twimg.com/sticky/default_profile_images/default_profile_normal.png")</f>
        <v>https://abs.twimg.com/sticky/default_profile_images/default_profile_normal.png</v>
      </c>
      <c r="G1538" s="63"/>
      <c r="H1538" s="67"/>
      <c r="I1538" s="68"/>
      <c r="J1538" s="68"/>
      <c r="K1538" s="67" t="s">
        <v>29132</v>
      </c>
      <c r="L1538" s="71"/>
      <c r="M1538" s="72"/>
      <c r="N1538" s="72"/>
      <c r="O1538" s="73"/>
      <c r="P1538" s="74"/>
      <c r="Q1538" s="74"/>
      <c r="R1538" s="87"/>
      <c r="S1538" s="87"/>
      <c r="T1538" s="87"/>
      <c r="U1538" s="87"/>
      <c r="V1538" s="48"/>
      <c r="W1538" s="48"/>
      <c r="X1538" s="48"/>
      <c r="Y1538" s="48"/>
      <c r="Z1538" s="47"/>
      <c r="AA1538" s="69">
        <v>1538</v>
      </c>
      <c r="AB1538" s="69"/>
      <c r="AC1538" s="70"/>
      <c r="AD1538" s="76" t="s">
        <v>22750</v>
      </c>
      <c r="AE1538" s="81" t="s">
        <v>23869</v>
      </c>
      <c r="AF1538" s="76">
        <v>0</v>
      </c>
      <c r="AG1538" s="76">
        <v>0</v>
      </c>
      <c r="AH1538" s="76">
        <v>2</v>
      </c>
      <c r="AI1538" s="76">
        <v>0</v>
      </c>
      <c r="AJ1538" s="76">
        <v>0</v>
      </c>
      <c r="AK1538" s="76">
        <v>0</v>
      </c>
      <c r="AL1538" s="76" t="b">
        <v>0</v>
      </c>
      <c r="AM1538" s="78">
        <v>40367.996331018519</v>
      </c>
      <c r="AN1538" s="76"/>
      <c r="AO1538" s="76"/>
      <c r="AP1538" s="76"/>
      <c r="AQ1538" s="76"/>
      <c r="AR1538" s="76"/>
      <c r="AS1538" s="76"/>
      <c r="AT1538" s="76"/>
      <c r="AU1538" s="76"/>
      <c r="AV1538" s="76"/>
      <c r="AW1538" s="76"/>
      <c r="AX1538" s="76" t="b">
        <v>0</v>
      </c>
      <c r="AY1538" s="76"/>
      <c r="AZ1538" s="76"/>
      <c r="BA1538" s="76" t="b">
        <v>0</v>
      </c>
      <c r="BB1538" s="76" t="b">
        <v>1</v>
      </c>
      <c r="BC1538" s="76" t="b">
        <v>1</v>
      </c>
      <c r="BD1538" s="76" t="b">
        <v>1</v>
      </c>
      <c r="BE1538" s="76" t="b">
        <v>0</v>
      </c>
      <c r="BF1538" s="76" t="b">
        <v>0</v>
      </c>
      <c r="BG1538" s="76" t="b">
        <v>0</v>
      </c>
      <c r="BH1538" s="76"/>
      <c r="BI1538" s="76"/>
      <c r="BJ1538" s="76" t="s">
        <v>27595</v>
      </c>
      <c r="BK1538" s="76" t="b">
        <v>0</v>
      </c>
      <c r="BL1538" s="76"/>
      <c r="BM1538" s="76" t="s">
        <v>65</v>
      </c>
      <c r="BN1538" s="76" t="s">
        <v>27597</v>
      </c>
      <c r="BO1538" s="82" t="str">
        <f>HYPERLINK("https://twitter.com/cachi28")</f>
        <v>https://twitter.com/cachi28</v>
      </c>
      <c r="BP1538" s="2"/>
    </row>
    <row r="1539" spans="1:68" x14ac:dyDescent="0.25">
      <c r="A1539" s="62" t="s">
        <v>2026</v>
      </c>
      <c r="B1539" s="63"/>
      <c r="C1539" s="63"/>
      <c r="D1539" s="64"/>
      <c r="E1539" s="66"/>
      <c r="F1539" s="103" t="str">
        <f>HYPERLINK("https://pbs.twimg.com/profile_images/1112521685045923840/PNTlqJOF_normal.jpg")</f>
        <v>https://pbs.twimg.com/profile_images/1112521685045923840/PNTlqJOF_normal.jpg</v>
      </c>
      <c r="G1539" s="63"/>
      <c r="H1539" s="67"/>
      <c r="I1539" s="68"/>
      <c r="J1539" s="68"/>
      <c r="K1539" s="67" t="s">
        <v>29133</v>
      </c>
      <c r="L1539" s="71"/>
      <c r="M1539" s="72"/>
      <c r="N1539" s="72"/>
      <c r="O1539" s="73"/>
      <c r="P1539" s="74"/>
      <c r="Q1539" s="74"/>
      <c r="R1539" s="87"/>
      <c r="S1539" s="87"/>
      <c r="T1539" s="87"/>
      <c r="U1539" s="87"/>
      <c r="V1539" s="48"/>
      <c r="W1539" s="48"/>
      <c r="X1539" s="48"/>
      <c r="Y1539" s="48"/>
      <c r="Z1539" s="47"/>
      <c r="AA1539" s="69">
        <v>1539</v>
      </c>
      <c r="AB1539" s="69"/>
      <c r="AC1539" s="70"/>
      <c r="AD1539" s="76" t="s">
        <v>22751</v>
      </c>
      <c r="AE1539" s="81" t="s">
        <v>23870</v>
      </c>
      <c r="AF1539" s="76">
        <v>1657674</v>
      </c>
      <c r="AG1539" s="76">
        <v>1285</v>
      </c>
      <c r="AH1539" s="76">
        <v>8573</v>
      </c>
      <c r="AI1539" s="76">
        <v>17490</v>
      </c>
      <c r="AJ1539" s="76">
        <v>5781</v>
      </c>
      <c r="AK1539" s="76">
        <v>237</v>
      </c>
      <c r="AL1539" s="76" t="b">
        <v>0</v>
      </c>
      <c r="AM1539" s="78">
        <v>38797.876747685186</v>
      </c>
      <c r="AN1539" s="76" t="s">
        <v>24606</v>
      </c>
      <c r="AO1539" s="76" t="s">
        <v>26072</v>
      </c>
      <c r="AP1539" s="82" t="str">
        <f>HYPERLINK("https://t.co/31V389tty8")</f>
        <v>https://t.co/31V389tty8</v>
      </c>
      <c r="AQ1539" s="82" t="str">
        <f>HYPERLINK("http://ev.medium.com/")</f>
        <v>http://ev.medium.com/</v>
      </c>
      <c r="AR1539" s="76" t="s">
        <v>27195</v>
      </c>
      <c r="AS1539" s="76"/>
      <c r="AT1539" s="76"/>
      <c r="AU1539" s="76"/>
      <c r="AV1539" s="76"/>
      <c r="AW1539" s="82" t="str">
        <f>HYPERLINK("https://t.co/31V389tty8")</f>
        <v>https://t.co/31V389tty8</v>
      </c>
      <c r="AX1539" s="76" t="b">
        <v>1</v>
      </c>
      <c r="AY1539" s="76"/>
      <c r="AZ1539" s="76"/>
      <c r="BA1539" s="76" t="b">
        <v>0</v>
      </c>
      <c r="BB1539" s="76" t="b">
        <v>1</v>
      </c>
      <c r="BC1539" s="76" t="b">
        <v>0</v>
      </c>
      <c r="BD1539" s="76" t="b">
        <v>0</v>
      </c>
      <c r="BE1539" s="76" t="b">
        <v>1</v>
      </c>
      <c r="BF1539" s="76" t="b">
        <v>0</v>
      </c>
      <c r="BG1539" s="76" t="b">
        <v>0</v>
      </c>
      <c r="BH1539" s="82" t="str">
        <f>HYPERLINK("https://pbs.twimg.com/profile_banners/20/1554080858")</f>
        <v>https://pbs.twimg.com/profile_banners/20/1554080858</v>
      </c>
      <c r="BI1539" s="76"/>
      <c r="BJ1539" s="76" t="s">
        <v>27596</v>
      </c>
      <c r="BK1539" s="76" t="b">
        <v>0</v>
      </c>
      <c r="BL1539" s="76"/>
      <c r="BM1539" s="76" t="s">
        <v>65</v>
      </c>
      <c r="BN1539" s="76" t="s">
        <v>27597</v>
      </c>
      <c r="BO1539" s="82" t="str">
        <f>HYPERLINK("https://twitter.com/ev")</f>
        <v>https://twitter.com/ev</v>
      </c>
      <c r="BP1539" s="2"/>
    </row>
    <row r="1540" spans="1:68" x14ac:dyDescent="0.25">
      <c r="A1540" s="62" t="s">
        <v>2027</v>
      </c>
      <c r="B1540" s="63"/>
      <c r="C1540" s="63"/>
      <c r="D1540" s="64"/>
      <c r="E1540" s="66"/>
      <c r="F1540" s="103" t="str">
        <f>HYPERLINK("https://pbs.twimg.com/profile_images/1448381172564758530/0kvJxbBa_normal.jpg")</f>
        <v>https://pbs.twimg.com/profile_images/1448381172564758530/0kvJxbBa_normal.jpg</v>
      </c>
      <c r="G1540" s="63"/>
      <c r="H1540" s="67"/>
      <c r="I1540" s="68"/>
      <c r="J1540" s="68"/>
      <c r="K1540" s="67" t="s">
        <v>29134</v>
      </c>
      <c r="L1540" s="71"/>
      <c r="M1540" s="72"/>
      <c r="N1540" s="72"/>
      <c r="O1540" s="73"/>
      <c r="P1540" s="74"/>
      <c r="Q1540" s="74"/>
      <c r="R1540" s="87"/>
      <c r="S1540" s="87"/>
      <c r="T1540" s="87"/>
      <c r="U1540" s="87"/>
      <c r="V1540" s="48"/>
      <c r="W1540" s="48"/>
      <c r="X1540" s="48"/>
      <c r="Y1540" s="48"/>
      <c r="Z1540" s="47"/>
      <c r="AA1540" s="69">
        <v>1540</v>
      </c>
      <c r="AB1540" s="69"/>
      <c r="AC1540" s="70"/>
      <c r="AD1540" s="76" t="s">
        <v>22752</v>
      </c>
      <c r="AE1540" s="81" t="s">
        <v>23871</v>
      </c>
      <c r="AF1540" s="76">
        <v>14377</v>
      </c>
      <c r="AG1540" s="76">
        <v>2174</v>
      </c>
      <c r="AH1540" s="76">
        <v>24705</v>
      </c>
      <c r="AI1540" s="76">
        <v>53</v>
      </c>
      <c r="AJ1540" s="76">
        <v>12926</v>
      </c>
      <c r="AK1540" s="76">
        <v>1177</v>
      </c>
      <c r="AL1540" s="76" t="b">
        <v>0</v>
      </c>
      <c r="AM1540" s="78">
        <v>40283.760034722225</v>
      </c>
      <c r="AN1540" s="76" t="s">
        <v>24607</v>
      </c>
      <c r="AO1540" s="76" t="s">
        <v>26073</v>
      </c>
      <c r="AP1540" s="82" t="str">
        <f>HYPERLINK("https://t.co/K7i1DZiHpj")</f>
        <v>https://t.co/K7i1DZiHpj</v>
      </c>
      <c r="AQ1540" s="82" t="str">
        <f>HYPERLINK("https://t.me/mercedesmalaveg")</f>
        <v>https://t.me/mercedesmalaveg</v>
      </c>
      <c r="AR1540" s="76" t="s">
        <v>27196</v>
      </c>
      <c r="AS1540" s="76"/>
      <c r="AT1540" s="76"/>
      <c r="AU1540" s="76"/>
      <c r="AV1540" s="76">
        <v>1.6977827215257101E+18</v>
      </c>
      <c r="AW1540" s="82" t="str">
        <f>HYPERLINK("https://t.co/K7i1DZiHpj")</f>
        <v>https://t.co/K7i1DZiHpj</v>
      </c>
      <c r="AX1540" s="76" t="b">
        <v>1</v>
      </c>
      <c r="AY1540" s="76"/>
      <c r="AZ1540" s="76"/>
      <c r="BA1540" s="76" t="b">
        <v>1</v>
      </c>
      <c r="BB1540" s="76" t="b">
        <v>1</v>
      </c>
      <c r="BC1540" s="76" t="b">
        <v>0</v>
      </c>
      <c r="BD1540" s="76" t="b">
        <v>0</v>
      </c>
      <c r="BE1540" s="76" t="b">
        <v>1</v>
      </c>
      <c r="BF1540" s="76" t="b">
        <v>0</v>
      </c>
      <c r="BG1540" s="76" t="b">
        <v>0</v>
      </c>
      <c r="BH1540" s="82" t="str">
        <f>HYPERLINK("https://pbs.twimg.com/profile_banners/133408085/1623614313")</f>
        <v>https://pbs.twimg.com/profile_banners/133408085/1623614313</v>
      </c>
      <c r="BI1540" s="76"/>
      <c r="BJ1540" s="76" t="s">
        <v>27595</v>
      </c>
      <c r="BK1540" s="76" t="b">
        <v>0</v>
      </c>
      <c r="BL1540" s="76"/>
      <c r="BM1540" s="76" t="s">
        <v>65</v>
      </c>
      <c r="BN1540" s="76" t="s">
        <v>27597</v>
      </c>
      <c r="BO1540" s="82" t="str">
        <f>HYPERLINK("https://twitter.com/mercedesmalave")</f>
        <v>https://twitter.com/mercedesmalave</v>
      </c>
      <c r="BP1540" s="2"/>
    </row>
    <row r="1541" spans="1:68" x14ac:dyDescent="0.25">
      <c r="A1541" s="62" t="s">
        <v>1394</v>
      </c>
      <c r="B1541" s="63"/>
      <c r="C1541" s="63"/>
      <c r="D1541" s="64"/>
      <c r="E1541" s="66"/>
      <c r="F1541" s="103" t="str">
        <f>HYPERLINK("https://pbs.twimg.com/profile_images/1228371271760728065/9Pz_6W5A_normal.jpg")</f>
        <v>https://pbs.twimg.com/profile_images/1228371271760728065/9Pz_6W5A_normal.jpg</v>
      </c>
      <c r="G1541" s="63"/>
      <c r="H1541" s="67"/>
      <c r="I1541" s="68"/>
      <c r="J1541" s="68"/>
      <c r="K1541" s="67" t="s">
        <v>29135</v>
      </c>
      <c r="L1541" s="71"/>
      <c r="M1541" s="72"/>
      <c r="N1541" s="72"/>
      <c r="O1541" s="73"/>
      <c r="P1541" s="74"/>
      <c r="Q1541" s="74"/>
      <c r="R1541" s="87"/>
      <c r="S1541" s="87"/>
      <c r="T1541" s="87"/>
      <c r="U1541" s="87"/>
      <c r="V1541" s="48"/>
      <c r="W1541" s="48"/>
      <c r="X1541" s="48"/>
      <c r="Y1541" s="48"/>
      <c r="Z1541" s="47"/>
      <c r="AA1541" s="69">
        <v>1541</v>
      </c>
      <c r="AB1541" s="69"/>
      <c r="AC1541" s="70"/>
      <c r="AD1541" s="76" t="s">
        <v>22753</v>
      </c>
      <c r="AE1541" s="81" t="s">
        <v>23872</v>
      </c>
      <c r="AF1541" s="76">
        <v>1896</v>
      </c>
      <c r="AG1541" s="76">
        <v>2</v>
      </c>
      <c r="AH1541" s="76">
        <v>13419</v>
      </c>
      <c r="AI1541" s="76">
        <v>6</v>
      </c>
      <c r="AJ1541" s="76">
        <v>41</v>
      </c>
      <c r="AK1541" s="76">
        <v>4154</v>
      </c>
      <c r="AL1541" s="76" t="b">
        <v>0</v>
      </c>
      <c r="AM1541" s="78">
        <v>41702.10565972222</v>
      </c>
      <c r="AN1541" s="76" t="s">
        <v>24371</v>
      </c>
      <c r="AO1541" s="76" t="s">
        <v>26074</v>
      </c>
      <c r="AP1541" s="82" t="str">
        <f>HYPERLINK("https://t.co/BIqBuL3yuF")</f>
        <v>https://t.co/BIqBuL3yuF</v>
      </c>
      <c r="AQ1541" s="82" t="str">
        <f>HYPERLINK("https://linktr.ee/CirculodeEconomiadeGuayaquil")</f>
        <v>https://linktr.ee/CirculodeEconomiadeGuayaquil</v>
      </c>
      <c r="AR1541" s="76" t="s">
        <v>27197</v>
      </c>
      <c r="AS1541" s="76"/>
      <c r="AT1541" s="76"/>
      <c r="AU1541" s="76"/>
      <c r="AV1541" s="76">
        <v>1.4038320187613E+18</v>
      </c>
      <c r="AW1541" s="82" t="str">
        <f>HYPERLINK("https://t.co/BIqBuL3yuF")</f>
        <v>https://t.co/BIqBuL3yuF</v>
      </c>
      <c r="AX1541" s="76" t="b">
        <v>0</v>
      </c>
      <c r="AY1541" s="76"/>
      <c r="AZ1541" s="76"/>
      <c r="BA1541" s="76" t="b">
        <v>0</v>
      </c>
      <c r="BB1541" s="76" t="b">
        <v>1</v>
      </c>
      <c r="BC1541" s="76" t="b">
        <v>0</v>
      </c>
      <c r="BD1541" s="76" t="b">
        <v>0</v>
      </c>
      <c r="BE1541" s="76" t="b">
        <v>0</v>
      </c>
      <c r="BF1541" s="76" t="b">
        <v>0</v>
      </c>
      <c r="BG1541" s="76" t="b">
        <v>0</v>
      </c>
      <c r="BH1541" s="82" t="str">
        <f>HYPERLINK("https://pbs.twimg.com/profile_banners/2371250946/1593692054")</f>
        <v>https://pbs.twimg.com/profile_banners/2371250946/1593692054</v>
      </c>
      <c r="BI1541" s="76"/>
      <c r="BJ1541" s="76" t="s">
        <v>27595</v>
      </c>
      <c r="BK1541" s="76" t="b">
        <v>0</v>
      </c>
      <c r="BL1541" s="76"/>
      <c r="BM1541" s="76" t="s">
        <v>66</v>
      </c>
      <c r="BN1541" s="76" t="s">
        <v>27597</v>
      </c>
      <c r="BO1541" s="82" t="str">
        <f>HYPERLINK("https://twitter.com/circuloecongye")</f>
        <v>https://twitter.com/circuloecongye</v>
      </c>
      <c r="BP1541" s="2"/>
    </row>
    <row r="1542" spans="1:68" x14ac:dyDescent="0.25">
      <c r="A1542" s="62" t="s">
        <v>1395</v>
      </c>
      <c r="B1542" s="63"/>
      <c r="C1542" s="63"/>
      <c r="D1542" s="64"/>
      <c r="E1542" s="66"/>
      <c r="F1542" s="103" t="str">
        <f>HYPERLINK("https://pbs.twimg.com/profile_images/1705214481565913088/TLWizQDx_normal.jpg")</f>
        <v>https://pbs.twimg.com/profile_images/1705214481565913088/TLWizQDx_normal.jpg</v>
      </c>
      <c r="G1542" s="63"/>
      <c r="H1542" s="67"/>
      <c r="I1542" s="68"/>
      <c r="J1542" s="68"/>
      <c r="K1542" s="67" t="s">
        <v>29136</v>
      </c>
      <c r="L1542" s="71"/>
      <c r="M1542" s="72"/>
      <c r="N1542" s="72"/>
      <c r="O1542" s="73"/>
      <c r="P1542" s="74"/>
      <c r="Q1542" s="74"/>
      <c r="R1542" s="87"/>
      <c r="S1542" s="87"/>
      <c r="T1542" s="87"/>
      <c r="U1542" s="87"/>
      <c r="V1542" s="48"/>
      <c r="W1542" s="48"/>
      <c r="X1542" s="48"/>
      <c r="Y1542" s="48"/>
      <c r="Z1542" s="47"/>
      <c r="AA1542" s="69">
        <v>1542</v>
      </c>
      <c r="AB1542" s="69"/>
      <c r="AC1542" s="70"/>
      <c r="AD1542" s="76" t="s">
        <v>22754</v>
      </c>
      <c r="AE1542" s="81" t="s">
        <v>21069</v>
      </c>
      <c r="AF1542" s="76">
        <v>45</v>
      </c>
      <c r="AG1542" s="76">
        <v>201</v>
      </c>
      <c r="AH1542" s="76">
        <v>559</v>
      </c>
      <c r="AI1542" s="76">
        <v>0</v>
      </c>
      <c r="AJ1542" s="76">
        <v>3289</v>
      </c>
      <c r="AK1542" s="76">
        <v>195</v>
      </c>
      <c r="AL1542" s="76" t="b">
        <v>0</v>
      </c>
      <c r="AM1542" s="78">
        <v>45041.497662037036</v>
      </c>
      <c r="AN1542" s="76" t="s">
        <v>24113</v>
      </c>
      <c r="AO1542" s="76" t="s">
        <v>26075</v>
      </c>
      <c r="AP1542" s="76"/>
      <c r="AQ1542" s="76"/>
      <c r="AR1542" s="76"/>
      <c r="AS1542" s="76"/>
      <c r="AT1542" s="76"/>
      <c r="AU1542" s="76"/>
      <c r="AV1542" s="76">
        <v>1.69288184428542E+18</v>
      </c>
      <c r="AW1542" s="76"/>
      <c r="AX1542" s="76" t="b">
        <v>0</v>
      </c>
      <c r="AY1542" s="76"/>
      <c r="AZ1542" s="76"/>
      <c r="BA1542" s="76" t="b">
        <v>0</v>
      </c>
      <c r="BB1542" s="76" t="b">
        <v>1</v>
      </c>
      <c r="BC1542" s="76" t="b">
        <v>1</v>
      </c>
      <c r="BD1542" s="76" t="b">
        <v>0</v>
      </c>
      <c r="BE1542" s="76" t="b">
        <v>0</v>
      </c>
      <c r="BF1542" s="76" t="b">
        <v>0</v>
      </c>
      <c r="BG1542" s="76" t="b">
        <v>0</v>
      </c>
      <c r="BH1542" s="82" t="str">
        <f>HYPERLINK("https://pbs.twimg.com/profile_banners/1650831117602152456/1683033766")</f>
        <v>https://pbs.twimg.com/profile_banners/1650831117602152456/1683033766</v>
      </c>
      <c r="BI1542" s="76"/>
      <c r="BJ1542" s="76" t="s">
        <v>27595</v>
      </c>
      <c r="BK1542" s="76" t="b">
        <v>0</v>
      </c>
      <c r="BL1542" s="76"/>
      <c r="BM1542" s="76" t="s">
        <v>66</v>
      </c>
      <c r="BN1542" s="76" t="s">
        <v>27597</v>
      </c>
      <c r="BO1542" s="82" t="str">
        <f>HYPERLINK("https://twitter.com/diorivass")</f>
        <v>https://twitter.com/diorivass</v>
      </c>
      <c r="BP1542" s="2"/>
    </row>
    <row r="1543" spans="1:68" x14ac:dyDescent="0.25">
      <c r="A1543" s="62" t="s">
        <v>1396</v>
      </c>
      <c r="B1543" s="63"/>
      <c r="C1543" s="63"/>
      <c r="D1543" s="64"/>
      <c r="E1543" s="66"/>
      <c r="F1543" s="103" t="str">
        <f>HYPERLINK("https://pbs.twimg.com/profile_images/1671093327721013248/mWG7r6CG_normal.jpg")</f>
        <v>https://pbs.twimg.com/profile_images/1671093327721013248/mWG7r6CG_normal.jpg</v>
      </c>
      <c r="G1543" s="63"/>
      <c r="H1543" s="67"/>
      <c r="I1543" s="68"/>
      <c r="J1543" s="68"/>
      <c r="K1543" s="67" t="s">
        <v>29137</v>
      </c>
      <c r="L1543" s="71"/>
      <c r="M1543" s="72"/>
      <c r="N1543" s="72"/>
      <c r="O1543" s="73"/>
      <c r="P1543" s="74"/>
      <c r="Q1543" s="74"/>
      <c r="R1543" s="87"/>
      <c r="S1543" s="87"/>
      <c r="T1543" s="87"/>
      <c r="U1543" s="87"/>
      <c r="V1543" s="48"/>
      <c r="W1543" s="48"/>
      <c r="X1543" s="48"/>
      <c r="Y1543" s="48"/>
      <c r="Z1543" s="47"/>
      <c r="AA1543" s="69">
        <v>1543</v>
      </c>
      <c r="AB1543" s="69"/>
      <c r="AC1543" s="70"/>
      <c r="AD1543" s="76" t="s">
        <v>22755</v>
      </c>
      <c r="AE1543" s="81" t="s">
        <v>23873</v>
      </c>
      <c r="AF1543" s="76">
        <v>1741</v>
      </c>
      <c r="AG1543" s="76">
        <v>1708</v>
      </c>
      <c r="AH1543" s="76">
        <v>28785</v>
      </c>
      <c r="AI1543" s="76">
        <v>12</v>
      </c>
      <c r="AJ1543" s="76">
        <v>13976</v>
      </c>
      <c r="AK1543" s="76">
        <v>4184</v>
      </c>
      <c r="AL1543" s="76" t="b">
        <v>0</v>
      </c>
      <c r="AM1543" s="78">
        <v>40337.762106481481</v>
      </c>
      <c r="AN1543" s="76" t="s">
        <v>24608</v>
      </c>
      <c r="AO1543" s="76" t="s">
        <v>26076</v>
      </c>
      <c r="AP1543" s="76"/>
      <c r="AQ1543" s="76"/>
      <c r="AR1543" s="76"/>
      <c r="AS1543" s="76"/>
      <c r="AT1543" s="76"/>
      <c r="AU1543" s="76"/>
      <c r="AV1543" s="76"/>
      <c r="AW1543" s="76"/>
      <c r="AX1543" s="76" t="b">
        <v>0</v>
      </c>
      <c r="AY1543" s="76"/>
      <c r="AZ1543" s="76"/>
      <c r="BA1543" s="76" t="b">
        <v>0</v>
      </c>
      <c r="BB1543" s="76" t="b">
        <v>1</v>
      </c>
      <c r="BC1543" s="76" t="b">
        <v>0</v>
      </c>
      <c r="BD1543" s="76" t="b">
        <v>0</v>
      </c>
      <c r="BE1543" s="76" t="b">
        <v>1</v>
      </c>
      <c r="BF1543" s="76" t="b">
        <v>0</v>
      </c>
      <c r="BG1543" s="76" t="b">
        <v>0</v>
      </c>
      <c r="BH1543" s="82" t="str">
        <f>HYPERLINK("https://pbs.twimg.com/profile_banners/153493748/1680433708")</f>
        <v>https://pbs.twimg.com/profile_banners/153493748/1680433708</v>
      </c>
      <c r="BI1543" s="76"/>
      <c r="BJ1543" s="76" t="s">
        <v>27595</v>
      </c>
      <c r="BK1543" s="76" t="b">
        <v>0</v>
      </c>
      <c r="BL1543" s="76"/>
      <c r="BM1543" s="76" t="s">
        <v>66</v>
      </c>
      <c r="BN1543" s="76" t="s">
        <v>27597</v>
      </c>
      <c r="BO1543" s="82" t="str">
        <f>HYPERLINK("https://twitter.com/caramurupaiva")</f>
        <v>https://twitter.com/caramurupaiva</v>
      </c>
      <c r="BP1543" s="2"/>
    </row>
    <row r="1544" spans="1:68" x14ac:dyDescent="0.25">
      <c r="A1544" s="62" t="s">
        <v>1397</v>
      </c>
      <c r="B1544" s="63"/>
      <c r="C1544" s="63"/>
      <c r="D1544" s="64"/>
      <c r="E1544" s="66"/>
      <c r="F1544" s="103" t="str">
        <f>HYPERLINK("https://pbs.twimg.com/profile_images/808404276158545920/_IIpS4I2_normal.jpg")</f>
        <v>https://pbs.twimg.com/profile_images/808404276158545920/_IIpS4I2_normal.jpg</v>
      </c>
      <c r="G1544" s="63"/>
      <c r="H1544" s="67"/>
      <c r="I1544" s="68"/>
      <c r="J1544" s="68"/>
      <c r="K1544" s="67" t="s">
        <v>29138</v>
      </c>
      <c r="L1544" s="71"/>
      <c r="M1544" s="72"/>
      <c r="N1544" s="72"/>
      <c r="O1544" s="73"/>
      <c r="P1544" s="74"/>
      <c r="Q1544" s="74"/>
      <c r="R1544" s="87"/>
      <c r="S1544" s="87"/>
      <c r="T1544" s="87"/>
      <c r="U1544" s="87"/>
      <c r="V1544" s="48"/>
      <c r="W1544" s="48"/>
      <c r="X1544" s="48"/>
      <c r="Y1544" s="48"/>
      <c r="Z1544" s="47"/>
      <c r="AA1544" s="69">
        <v>1544</v>
      </c>
      <c r="AB1544" s="69"/>
      <c r="AC1544" s="70"/>
      <c r="AD1544" s="76" t="s">
        <v>22756</v>
      </c>
      <c r="AE1544" s="81" t="s">
        <v>23874</v>
      </c>
      <c r="AF1544" s="76">
        <v>2615553</v>
      </c>
      <c r="AG1544" s="76">
        <v>147</v>
      </c>
      <c r="AH1544" s="76">
        <v>220127</v>
      </c>
      <c r="AI1544" s="76">
        <v>8497</v>
      </c>
      <c r="AJ1544" s="76">
        <v>0</v>
      </c>
      <c r="AK1544" s="76">
        <v>3347</v>
      </c>
      <c r="AL1544" s="76" t="b">
        <v>0</v>
      </c>
      <c r="AM1544" s="78">
        <v>39920.80296296296</v>
      </c>
      <c r="AN1544" s="76" t="s">
        <v>14382</v>
      </c>
      <c r="AO1544" s="76" t="s">
        <v>26077</v>
      </c>
      <c r="AP1544" s="82" t="str">
        <f>HYPERLINK("https://t.co/g6RlNmCczX")</f>
        <v>https://t.co/g6RlNmCczX</v>
      </c>
      <c r="AQ1544" s="82" t="str">
        <f>HYPERLINK("http://valor.globo.com")</f>
        <v>http://valor.globo.com</v>
      </c>
      <c r="AR1544" s="76" t="s">
        <v>27198</v>
      </c>
      <c r="AS1544" s="76"/>
      <c r="AT1544" s="76"/>
      <c r="AU1544" s="76"/>
      <c r="AV1544" s="76"/>
      <c r="AW1544" s="82" t="str">
        <f>HYPERLINK("https://t.co/g6RlNmCczX")</f>
        <v>https://t.co/g6RlNmCczX</v>
      </c>
      <c r="AX1544" s="76" t="b">
        <v>1</v>
      </c>
      <c r="AY1544" s="76"/>
      <c r="AZ1544" s="76"/>
      <c r="BA1544" s="76" t="b">
        <v>0</v>
      </c>
      <c r="BB1544" s="76" t="b">
        <v>1</v>
      </c>
      <c r="BC1544" s="76" t="b">
        <v>0</v>
      </c>
      <c r="BD1544" s="76" t="b">
        <v>0</v>
      </c>
      <c r="BE1544" s="76" t="b">
        <v>1</v>
      </c>
      <c r="BF1544" s="76" t="b">
        <v>0</v>
      </c>
      <c r="BG1544" s="76" t="b">
        <v>0</v>
      </c>
      <c r="BH1544" s="82" t="str">
        <f>HYPERLINK("https://pbs.twimg.com/profile_banners/32529120/1476886249")</f>
        <v>https://pbs.twimg.com/profile_banners/32529120/1476886249</v>
      </c>
      <c r="BI1544" s="76"/>
      <c r="BJ1544" s="76" t="s">
        <v>27595</v>
      </c>
      <c r="BK1544" s="76" t="b">
        <v>0</v>
      </c>
      <c r="BL1544" s="76"/>
      <c r="BM1544" s="76" t="s">
        <v>66</v>
      </c>
      <c r="BN1544" s="76" t="s">
        <v>27597</v>
      </c>
      <c r="BO1544" s="82" t="str">
        <f>HYPERLINK("https://twitter.com/valoreconomico")</f>
        <v>https://twitter.com/valoreconomico</v>
      </c>
      <c r="BP1544" s="2"/>
    </row>
    <row r="1545" spans="1:68" x14ac:dyDescent="0.25">
      <c r="A1545" s="62" t="s">
        <v>1398</v>
      </c>
      <c r="B1545" s="63"/>
      <c r="C1545" s="63"/>
      <c r="D1545" s="64"/>
      <c r="E1545" s="66"/>
      <c r="F1545" s="103" t="str">
        <f>HYPERLINK("https://pbs.twimg.com/profile_images/1602460266133962752/6X71QgvR_normal.jpg")</f>
        <v>https://pbs.twimg.com/profile_images/1602460266133962752/6X71QgvR_normal.jpg</v>
      </c>
      <c r="G1545" s="63"/>
      <c r="H1545" s="67"/>
      <c r="I1545" s="68"/>
      <c r="J1545" s="68"/>
      <c r="K1545" s="67" t="s">
        <v>29139</v>
      </c>
      <c r="L1545" s="71"/>
      <c r="M1545" s="72"/>
      <c r="N1545" s="72"/>
      <c r="O1545" s="73"/>
      <c r="P1545" s="74"/>
      <c r="Q1545" s="74"/>
      <c r="R1545" s="87"/>
      <c r="S1545" s="87"/>
      <c r="T1545" s="87"/>
      <c r="U1545" s="87"/>
      <c r="V1545" s="48"/>
      <c r="W1545" s="48"/>
      <c r="X1545" s="48"/>
      <c r="Y1545" s="48"/>
      <c r="Z1545" s="47"/>
      <c r="AA1545" s="69">
        <v>1545</v>
      </c>
      <c r="AB1545" s="69"/>
      <c r="AC1545" s="70"/>
      <c r="AD1545" s="76" t="s">
        <v>22757</v>
      </c>
      <c r="AE1545" s="81" t="s">
        <v>23875</v>
      </c>
      <c r="AF1545" s="76">
        <v>599</v>
      </c>
      <c r="AG1545" s="76">
        <v>484</v>
      </c>
      <c r="AH1545" s="76">
        <v>128014</v>
      </c>
      <c r="AI1545" s="76">
        <v>46</v>
      </c>
      <c r="AJ1545" s="76">
        <v>2378</v>
      </c>
      <c r="AK1545" s="76">
        <v>6651</v>
      </c>
      <c r="AL1545" s="76" t="b">
        <v>0</v>
      </c>
      <c r="AM1545" s="78">
        <v>39899.582650462966</v>
      </c>
      <c r="AN1545" s="76" t="s">
        <v>24609</v>
      </c>
      <c r="AO1545" s="76" t="s">
        <v>26078</v>
      </c>
      <c r="AP1545" s="82" t="str">
        <f>HYPERLINK("https://t.co/90vg14aDB4")</f>
        <v>https://t.co/90vg14aDB4</v>
      </c>
      <c r="AQ1545" s="82" t="str">
        <f>HYPERLINK("https://www.facebook.com/media/albums/?id=600905786")</f>
        <v>https://www.facebook.com/media/albums/?id=600905786</v>
      </c>
      <c r="AR1545" s="76" t="s">
        <v>27199</v>
      </c>
      <c r="AS1545" s="76"/>
      <c r="AT1545" s="76"/>
      <c r="AU1545" s="76"/>
      <c r="AV1545" s="76"/>
      <c r="AW1545" s="82" t="str">
        <f>HYPERLINK("https://t.co/90vg14aDB4")</f>
        <v>https://t.co/90vg14aDB4</v>
      </c>
      <c r="AX1545" s="76" t="b">
        <v>0</v>
      </c>
      <c r="AY1545" s="76"/>
      <c r="AZ1545" s="76"/>
      <c r="BA1545" s="76" t="b">
        <v>0</v>
      </c>
      <c r="BB1545" s="76" t="b">
        <v>1</v>
      </c>
      <c r="BC1545" s="76" t="b">
        <v>0</v>
      </c>
      <c r="BD1545" s="76" t="b">
        <v>0</v>
      </c>
      <c r="BE1545" s="76" t="b">
        <v>1</v>
      </c>
      <c r="BF1545" s="76" t="b">
        <v>0</v>
      </c>
      <c r="BG1545" s="76" t="b">
        <v>0</v>
      </c>
      <c r="BH1545" s="82" t="str">
        <f>HYPERLINK("https://pbs.twimg.com/profile_banners/27008217/1656287920")</f>
        <v>https://pbs.twimg.com/profile_banners/27008217/1656287920</v>
      </c>
      <c r="BI1545" s="76"/>
      <c r="BJ1545" s="76" t="s">
        <v>27595</v>
      </c>
      <c r="BK1545" s="76" t="b">
        <v>0</v>
      </c>
      <c r="BL1545" s="76"/>
      <c r="BM1545" s="76" t="s">
        <v>66</v>
      </c>
      <c r="BN1545" s="76" t="s">
        <v>27597</v>
      </c>
      <c r="BO1545" s="82" t="str">
        <f>HYPERLINK("https://twitter.com/magiozal")</f>
        <v>https://twitter.com/magiozal</v>
      </c>
      <c r="BP1545" s="2"/>
    </row>
    <row r="1546" spans="1:68" x14ac:dyDescent="0.25">
      <c r="A1546" s="62" t="s">
        <v>1399</v>
      </c>
      <c r="B1546" s="63"/>
      <c r="C1546" s="63"/>
      <c r="D1546" s="64"/>
      <c r="E1546" s="66"/>
      <c r="F1546" s="103" t="str">
        <f>HYPERLINK("https://pbs.twimg.com/profile_images/1452670514074427395/DnGxS0l7_normal.jpg")</f>
        <v>https://pbs.twimg.com/profile_images/1452670514074427395/DnGxS0l7_normal.jpg</v>
      </c>
      <c r="G1546" s="63"/>
      <c r="H1546" s="67"/>
      <c r="I1546" s="68"/>
      <c r="J1546" s="68"/>
      <c r="K1546" s="67" t="s">
        <v>29140</v>
      </c>
      <c r="L1546" s="71"/>
      <c r="M1546" s="72"/>
      <c r="N1546" s="72"/>
      <c r="O1546" s="73"/>
      <c r="P1546" s="74"/>
      <c r="Q1546" s="74"/>
      <c r="R1546" s="87"/>
      <c r="S1546" s="87"/>
      <c r="T1546" s="87"/>
      <c r="U1546" s="87"/>
      <c r="V1546" s="48"/>
      <c r="W1546" s="48"/>
      <c r="X1546" s="48"/>
      <c r="Y1546" s="48"/>
      <c r="Z1546" s="47"/>
      <c r="AA1546" s="69">
        <v>1546</v>
      </c>
      <c r="AB1546" s="69"/>
      <c r="AC1546" s="70"/>
      <c r="AD1546" s="76" t="s">
        <v>22758</v>
      </c>
      <c r="AE1546" s="81" t="s">
        <v>23876</v>
      </c>
      <c r="AF1546" s="76">
        <v>149736</v>
      </c>
      <c r="AG1546" s="76">
        <v>168</v>
      </c>
      <c r="AH1546" s="76">
        <v>77495</v>
      </c>
      <c r="AI1546" s="76">
        <v>1005</v>
      </c>
      <c r="AJ1546" s="76">
        <v>27</v>
      </c>
      <c r="AK1546" s="76">
        <v>7415</v>
      </c>
      <c r="AL1546" s="76" t="b">
        <v>0</v>
      </c>
      <c r="AM1546" s="78">
        <v>39960.856168981481</v>
      </c>
      <c r="AN1546" s="76" t="s">
        <v>14382</v>
      </c>
      <c r="AO1546" s="76" t="s">
        <v>26079</v>
      </c>
      <c r="AP1546" s="82" t="str">
        <f>HYPERLINK("https://t.co/VsyhWJi2BH")</f>
        <v>https://t.co/VsyhWJi2BH</v>
      </c>
      <c r="AQ1546" s="82" t="str">
        <f>HYPERLINK("https://www.istoedinheiro.com.br")</f>
        <v>https://www.istoedinheiro.com.br</v>
      </c>
      <c r="AR1546" s="76" t="s">
        <v>27200</v>
      </c>
      <c r="AS1546" s="76"/>
      <c r="AT1546" s="76"/>
      <c r="AU1546" s="76"/>
      <c r="AV1546" s="76">
        <v>1.6625629387821299E+18</v>
      </c>
      <c r="AW1546" s="82" t="str">
        <f>HYPERLINK("https://t.co/VsyhWJi2BH")</f>
        <v>https://t.co/VsyhWJi2BH</v>
      </c>
      <c r="AX1546" s="76" t="b">
        <v>0</v>
      </c>
      <c r="AY1546" s="76"/>
      <c r="AZ1546" s="76"/>
      <c r="BA1546" s="76" t="b">
        <v>0</v>
      </c>
      <c r="BB1546" s="76" t="b">
        <v>1</v>
      </c>
      <c r="BC1546" s="76" t="b">
        <v>0</v>
      </c>
      <c r="BD1546" s="76" t="b">
        <v>0</v>
      </c>
      <c r="BE1546" s="76" t="b">
        <v>0</v>
      </c>
      <c r="BF1546" s="76" t="b">
        <v>0</v>
      </c>
      <c r="BG1546" s="76" t="b">
        <v>0</v>
      </c>
      <c r="BH1546" s="82" t="str">
        <f>HYPERLINK("https://pbs.twimg.com/profile_banners/42962996/1580160110")</f>
        <v>https://pbs.twimg.com/profile_banners/42962996/1580160110</v>
      </c>
      <c r="BI1546" s="76"/>
      <c r="BJ1546" s="76" t="s">
        <v>27595</v>
      </c>
      <c r="BK1546" s="76" t="b">
        <v>0</v>
      </c>
      <c r="BL1546" s="76"/>
      <c r="BM1546" s="76" t="s">
        <v>66</v>
      </c>
      <c r="BN1546" s="76" t="s">
        <v>27597</v>
      </c>
      <c r="BO1546" s="82" t="str">
        <f>HYPERLINK("https://twitter.com/istoe_dinheiro")</f>
        <v>https://twitter.com/istoe_dinheiro</v>
      </c>
      <c r="BP1546" s="2"/>
    </row>
    <row r="1547" spans="1:68" x14ac:dyDescent="0.25">
      <c r="A1547" s="62" t="s">
        <v>1400</v>
      </c>
      <c r="B1547" s="63"/>
      <c r="C1547" s="63"/>
      <c r="D1547" s="64"/>
      <c r="E1547" s="66"/>
      <c r="F1547" s="103" t="str">
        <f>HYPERLINK("https://pbs.twimg.com/profile_images/1610073696655245313/zloIVTbx_normal.jpg")</f>
        <v>https://pbs.twimg.com/profile_images/1610073696655245313/zloIVTbx_normal.jpg</v>
      </c>
      <c r="G1547" s="63"/>
      <c r="H1547" s="67"/>
      <c r="I1547" s="68"/>
      <c r="J1547" s="68"/>
      <c r="K1547" s="67" t="s">
        <v>29141</v>
      </c>
      <c r="L1547" s="71"/>
      <c r="M1547" s="72"/>
      <c r="N1547" s="72"/>
      <c r="O1547" s="73"/>
      <c r="P1547" s="74"/>
      <c r="Q1547" s="74"/>
      <c r="R1547" s="87"/>
      <c r="S1547" s="87"/>
      <c r="T1547" s="87"/>
      <c r="U1547" s="87"/>
      <c r="V1547" s="48"/>
      <c r="W1547" s="48"/>
      <c r="X1547" s="48"/>
      <c r="Y1547" s="48"/>
      <c r="Z1547" s="47"/>
      <c r="AA1547" s="69">
        <v>1547</v>
      </c>
      <c r="AB1547" s="69"/>
      <c r="AC1547" s="70"/>
      <c r="AD1547" s="76" t="s">
        <v>22759</v>
      </c>
      <c r="AE1547" s="81" t="s">
        <v>21070</v>
      </c>
      <c r="AF1547" s="76">
        <v>4</v>
      </c>
      <c r="AG1547" s="76">
        <v>131</v>
      </c>
      <c r="AH1547" s="76">
        <v>1812</v>
      </c>
      <c r="AI1547" s="76">
        <v>0</v>
      </c>
      <c r="AJ1547" s="76">
        <v>669</v>
      </c>
      <c r="AK1547" s="76">
        <v>338</v>
      </c>
      <c r="AL1547" s="76" t="b">
        <v>0</v>
      </c>
      <c r="AM1547" s="78">
        <v>44928.995173611111</v>
      </c>
      <c r="AN1547" s="76"/>
      <c r="AO1547" s="76"/>
      <c r="AP1547" s="76"/>
      <c r="AQ1547" s="76"/>
      <c r="AR1547" s="76"/>
      <c r="AS1547" s="76"/>
      <c r="AT1547" s="76"/>
      <c r="AU1547" s="76"/>
      <c r="AV1547" s="76"/>
      <c r="AW1547" s="76"/>
      <c r="AX1547" s="76" t="b">
        <v>0</v>
      </c>
      <c r="AY1547" s="76"/>
      <c r="AZ1547" s="76"/>
      <c r="BA1547" s="76" t="b">
        <v>0</v>
      </c>
      <c r="BB1547" s="76" t="b">
        <v>1</v>
      </c>
      <c r="BC1547" s="76" t="b">
        <v>1</v>
      </c>
      <c r="BD1547" s="76" t="b">
        <v>0</v>
      </c>
      <c r="BE1547" s="76" t="b">
        <v>0</v>
      </c>
      <c r="BF1547" s="76" t="b">
        <v>0</v>
      </c>
      <c r="BG1547" s="76" t="b">
        <v>0</v>
      </c>
      <c r="BH1547" s="82" t="str">
        <f>HYPERLINK("https://pbs.twimg.com/profile_banners/1610061493864742912/1672706207")</f>
        <v>https://pbs.twimg.com/profile_banners/1610061493864742912/1672706207</v>
      </c>
      <c r="BI1547" s="76"/>
      <c r="BJ1547" s="76" t="s">
        <v>27595</v>
      </c>
      <c r="BK1547" s="76" t="b">
        <v>0</v>
      </c>
      <c r="BL1547" s="76"/>
      <c r="BM1547" s="76" t="s">
        <v>66</v>
      </c>
      <c r="BN1547" s="76" t="s">
        <v>27597</v>
      </c>
      <c r="BO1547" s="82" t="str">
        <f>HYPERLINK("https://twitter.com/sampaiojunior14")</f>
        <v>https://twitter.com/sampaiojunior14</v>
      </c>
      <c r="BP1547" s="2"/>
    </row>
    <row r="1548" spans="1:68" x14ac:dyDescent="0.25">
      <c r="A1548" s="62" t="s">
        <v>1401</v>
      </c>
      <c r="B1548" s="63"/>
      <c r="C1548" s="63"/>
      <c r="D1548" s="64"/>
      <c r="E1548" s="66"/>
      <c r="F1548" s="103" t="str">
        <f>HYPERLINK("https://pbs.twimg.com/profile_images/1697562118885724160/JEzXyqxO_normal.jpg")</f>
        <v>https://pbs.twimg.com/profile_images/1697562118885724160/JEzXyqxO_normal.jpg</v>
      </c>
      <c r="G1548" s="63"/>
      <c r="H1548" s="67"/>
      <c r="I1548" s="68"/>
      <c r="J1548" s="68"/>
      <c r="K1548" s="67" t="s">
        <v>29142</v>
      </c>
      <c r="L1548" s="71"/>
      <c r="M1548" s="72"/>
      <c r="N1548" s="72"/>
      <c r="O1548" s="73"/>
      <c r="P1548" s="74"/>
      <c r="Q1548" s="74"/>
      <c r="R1548" s="87"/>
      <c r="S1548" s="87"/>
      <c r="T1548" s="87"/>
      <c r="U1548" s="87"/>
      <c r="V1548" s="48"/>
      <c r="W1548" s="48"/>
      <c r="X1548" s="48"/>
      <c r="Y1548" s="48"/>
      <c r="Z1548" s="47"/>
      <c r="AA1548" s="69">
        <v>1548</v>
      </c>
      <c r="AB1548" s="69"/>
      <c r="AC1548" s="70"/>
      <c r="AD1548" s="76" t="s">
        <v>22760</v>
      </c>
      <c r="AE1548" s="81" t="s">
        <v>23877</v>
      </c>
      <c r="AF1548" s="76">
        <v>13706</v>
      </c>
      <c r="AG1548" s="76">
        <v>14302</v>
      </c>
      <c r="AH1548" s="76">
        <v>34488</v>
      </c>
      <c r="AI1548" s="76">
        <v>30</v>
      </c>
      <c r="AJ1548" s="76">
        <v>56224</v>
      </c>
      <c r="AK1548" s="76">
        <v>4796</v>
      </c>
      <c r="AL1548" s="76" t="b">
        <v>0</v>
      </c>
      <c r="AM1548" s="78">
        <v>40102.088622685187</v>
      </c>
      <c r="AN1548" s="76"/>
      <c r="AO1548" s="76" t="s">
        <v>26080</v>
      </c>
      <c r="AP1548" s="76"/>
      <c r="AQ1548" s="76"/>
      <c r="AR1548" s="76"/>
      <c r="AS1548" s="76"/>
      <c r="AT1548" s="76"/>
      <c r="AU1548" s="76"/>
      <c r="AV1548" s="76">
        <v>1.6832475429123999E+18</v>
      </c>
      <c r="AW1548" s="76"/>
      <c r="AX1548" s="76" t="b">
        <v>0</v>
      </c>
      <c r="AY1548" s="76"/>
      <c r="AZ1548" s="76"/>
      <c r="BA1548" s="76" t="b">
        <v>1</v>
      </c>
      <c r="BB1548" s="76" t="b">
        <v>0</v>
      </c>
      <c r="BC1548" s="76" t="b">
        <v>0</v>
      </c>
      <c r="BD1548" s="76" t="b">
        <v>0</v>
      </c>
      <c r="BE1548" s="76" t="b">
        <v>1</v>
      </c>
      <c r="BF1548" s="76" t="b">
        <v>0</v>
      </c>
      <c r="BG1548" s="76" t="b">
        <v>0</v>
      </c>
      <c r="BH1548" s="82" t="str">
        <f>HYPERLINK("https://pbs.twimg.com/profile_banners/82772287/1693565537")</f>
        <v>https://pbs.twimg.com/profile_banners/82772287/1693565537</v>
      </c>
      <c r="BI1548" s="76"/>
      <c r="BJ1548" s="76" t="s">
        <v>27595</v>
      </c>
      <c r="BK1548" s="76" t="b">
        <v>0</v>
      </c>
      <c r="BL1548" s="76"/>
      <c r="BM1548" s="76" t="s">
        <v>66</v>
      </c>
      <c r="BN1548" s="76" t="s">
        <v>27597</v>
      </c>
      <c r="BO1548" s="82" t="str">
        <f>HYPERLINK("https://twitter.com/rpgyoconpodemos")</f>
        <v>https://twitter.com/rpgyoconpodemos</v>
      </c>
      <c r="BP1548" s="2"/>
    </row>
    <row r="1549" spans="1:68" x14ac:dyDescent="0.25">
      <c r="A1549" s="62" t="s">
        <v>1402</v>
      </c>
      <c r="B1549" s="63"/>
      <c r="C1549" s="63"/>
      <c r="D1549" s="64"/>
      <c r="E1549" s="66"/>
      <c r="F1549" s="103" t="str">
        <f>HYPERLINK("https://pbs.twimg.com/profile_images/1698795933423529984/Ra8Rn4-o_normal.jpg")</f>
        <v>https://pbs.twimg.com/profile_images/1698795933423529984/Ra8Rn4-o_normal.jpg</v>
      </c>
      <c r="G1549" s="63"/>
      <c r="H1549" s="67"/>
      <c r="I1549" s="68"/>
      <c r="J1549" s="68"/>
      <c r="K1549" s="67" t="s">
        <v>29143</v>
      </c>
      <c r="L1549" s="71"/>
      <c r="M1549" s="72"/>
      <c r="N1549" s="72"/>
      <c r="O1549" s="73"/>
      <c r="P1549" s="74"/>
      <c r="Q1549" s="74"/>
      <c r="R1549" s="87"/>
      <c r="S1549" s="87"/>
      <c r="T1549" s="87"/>
      <c r="U1549" s="87"/>
      <c r="V1549" s="48"/>
      <c r="W1549" s="48"/>
      <c r="X1549" s="48"/>
      <c r="Y1549" s="48"/>
      <c r="Z1549" s="47"/>
      <c r="AA1549" s="69">
        <v>1549</v>
      </c>
      <c r="AB1549" s="69"/>
      <c r="AC1549" s="70"/>
      <c r="AD1549" s="76" t="s">
        <v>22761</v>
      </c>
      <c r="AE1549" s="81" t="s">
        <v>21071</v>
      </c>
      <c r="AF1549" s="76">
        <v>4312</v>
      </c>
      <c r="AG1549" s="76">
        <v>4185</v>
      </c>
      <c r="AH1549" s="76">
        <v>25670</v>
      </c>
      <c r="AI1549" s="76">
        <v>0</v>
      </c>
      <c r="AJ1549" s="76">
        <v>39164</v>
      </c>
      <c r="AK1549" s="76">
        <v>2633</v>
      </c>
      <c r="AL1549" s="76" t="b">
        <v>0</v>
      </c>
      <c r="AM1549" s="78">
        <v>43700.633761574078</v>
      </c>
      <c r="AN1549" s="76" t="s">
        <v>24610</v>
      </c>
      <c r="AO1549" s="76" t="s">
        <v>26081</v>
      </c>
      <c r="AP1549" s="82" t="str">
        <f>HYPERLINK("https://t.co/VX74T44lag")</f>
        <v>https://t.co/VX74T44lag</v>
      </c>
      <c r="AQ1549" s="82" t="str">
        <f>HYPERLINK("https://twitter.com/intent/follow?screen_name=LaRepublica68")</f>
        <v>https://twitter.com/intent/follow?screen_name=LaRepublica68</v>
      </c>
      <c r="AR1549" s="76" t="s">
        <v>27201</v>
      </c>
      <c r="AS1549" s="76"/>
      <c r="AT1549" s="76"/>
      <c r="AU1549" s="76"/>
      <c r="AV1549" s="76">
        <v>1.3302367671408E+18</v>
      </c>
      <c r="AW1549" s="82" t="str">
        <f>HYPERLINK("https://t.co/VX74T44lag")</f>
        <v>https://t.co/VX74T44lag</v>
      </c>
      <c r="AX1549" s="76" t="b">
        <v>0</v>
      </c>
      <c r="AY1549" s="76"/>
      <c r="AZ1549" s="76"/>
      <c r="BA1549" s="76" t="b">
        <v>1</v>
      </c>
      <c r="BB1549" s="76" t="b">
        <v>1</v>
      </c>
      <c r="BC1549" s="76" t="b">
        <v>1</v>
      </c>
      <c r="BD1549" s="76" t="b">
        <v>0</v>
      </c>
      <c r="BE1549" s="76" t="b">
        <v>1</v>
      </c>
      <c r="BF1549" s="76" t="b">
        <v>0</v>
      </c>
      <c r="BG1549" s="76" t="b">
        <v>0</v>
      </c>
      <c r="BH1549" s="82" t="str">
        <f>HYPERLINK("https://pbs.twimg.com/profile_banners/1164918229044797442/1693023109")</f>
        <v>https://pbs.twimg.com/profile_banners/1164918229044797442/1693023109</v>
      </c>
      <c r="BI1549" s="76"/>
      <c r="BJ1549" s="76" t="s">
        <v>27595</v>
      </c>
      <c r="BK1549" s="76" t="b">
        <v>0</v>
      </c>
      <c r="BL1549" s="76"/>
      <c r="BM1549" s="76" t="s">
        <v>66</v>
      </c>
      <c r="BN1549" s="76" t="s">
        <v>27597</v>
      </c>
      <c r="BO1549" s="82" t="str">
        <f>HYPERLINK("https://twitter.com/larepublica68")</f>
        <v>https://twitter.com/larepublica68</v>
      </c>
      <c r="BP1549" s="2"/>
    </row>
    <row r="1550" spans="1:68" x14ac:dyDescent="0.25">
      <c r="A1550" s="62" t="s">
        <v>2028</v>
      </c>
      <c r="B1550" s="63"/>
      <c r="C1550" s="63"/>
      <c r="D1550" s="64"/>
      <c r="E1550" s="66"/>
      <c r="F1550" s="103" t="str">
        <f>HYPERLINK("https://pbs.twimg.com/profile_images/1660058561190281222/z-06Dv6N_normal.jpg")</f>
        <v>https://pbs.twimg.com/profile_images/1660058561190281222/z-06Dv6N_normal.jpg</v>
      </c>
      <c r="G1550" s="63"/>
      <c r="H1550" s="67"/>
      <c r="I1550" s="68"/>
      <c r="J1550" s="68"/>
      <c r="K1550" s="67" t="s">
        <v>29144</v>
      </c>
      <c r="L1550" s="71"/>
      <c r="M1550" s="72"/>
      <c r="N1550" s="72"/>
      <c r="O1550" s="73"/>
      <c r="P1550" s="74"/>
      <c r="Q1550" s="74"/>
      <c r="R1550" s="87"/>
      <c r="S1550" s="87"/>
      <c r="T1550" s="87"/>
      <c r="U1550" s="87"/>
      <c r="V1550" s="48"/>
      <c r="W1550" s="48"/>
      <c r="X1550" s="48"/>
      <c r="Y1550" s="48"/>
      <c r="Z1550" s="47"/>
      <c r="AA1550" s="69">
        <v>1550</v>
      </c>
      <c r="AB1550" s="69"/>
      <c r="AC1550" s="70"/>
      <c r="AD1550" s="76" t="s">
        <v>22762</v>
      </c>
      <c r="AE1550" s="81" t="s">
        <v>23878</v>
      </c>
      <c r="AF1550" s="76">
        <v>1079511</v>
      </c>
      <c r="AG1550" s="76">
        <v>1508</v>
      </c>
      <c r="AH1550" s="76">
        <v>30816</v>
      </c>
      <c r="AI1550" s="76">
        <v>1148</v>
      </c>
      <c r="AJ1550" s="76">
        <v>84818</v>
      </c>
      <c r="AK1550" s="76">
        <v>6141</v>
      </c>
      <c r="AL1550" s="76" t="b">
        <v>0</v>
      </c>
      <c r="AM1550" s="78">
        <v>42550.873368055552</v>
      </c>
      <c r="AN1550" s="76" t="s">
        <v>14426</v>
      </c>
      <c r="AO1550" s="76" t="s">
        <v>26082</v>
      </c>
      <c r="AP1550" s="82" t="str">
        <f>HYPERLINK("https://t.co/Di1Gv76Vt5")</f>
        <v>https://t.co/Di1Gv76Vt5</v>
      </c>
      <c r="AQ1550" s="82" t="str">
        <f>HYPERLINK("http://www.instagram.com/eduardofeinmann/")</f>
        <v>http://www.instagram.com/eduardofeinmann/</v>
      </c>
      <c r="AR1550" s="76" t="s">
        <v>27202</v>
      </c>
      <c r="AS1550" s="82" t="str">
        <f>HYPERLINK("https://t.co/dMEwayPrRg")</f>
        <v>https://t.co/dMEwayPrRg</v>
      </c>
      <c r="AT1550" s="82" t="str">
        <f>HYPERLINK("http://RadioMitre.com.ar")</f>
        <v>http://RadioMitre.com.ar</v>
      </c>
      <c r="AU1550" s="76" t="s">
        <v>27558</v>
      </c>
      <c r="AV1550" s="76">
        <v>1.7030287942677299E+18</v>
      </c>
      <c r="AW1550" s="82" t="str">
        <f>HYPERLINK("https://t.co/Di1Gv76Vt5")</f>
        <v>https://t.co/Di1Gv76Vt5</v>
      </c>
      <c r="AX1550" s="76" t="b">
        <v>1</v>
      </c>
      <c r="AY1550" s="76"/>
      <c r="AZ1550" s="76"/>
      <c r="BA1550" s="76" t="b">
        <v>1</v>
      </c>
      <c r="BB1550" s="76" t="b">
        <v>0</v>
      </c>
      <c r="BC1550" s="76" t="b">
        <v>0</v>
      </c>
      <c r="BD1550" s="76" t="b">
        <v>0</v>
      </c>
      <c r="BE1550" s="76" t="b">
        <v>1</v>
      </c>
      <c r="BF1550" s="76" t="b">
        <v>0</v>
      </c>
      <c r="BG1550" s="76" t="b">
        <v>0</v>
      </c>
      <c r="BH1550" s="82" t="str">
        <f>HYPERLINK("https://pbs.twimg.com/profile_banners/748259155849416706/1670240718")</f>
        <v>https://pbs.twimg.com/profile_banners/748259155849416706/1670240718</v>
      </c>
      <c r="BI1550" s="76"/>
      <c r="BJ1550" s="76" t="s">
        <v>27595</v>
      </c>
      <c r="BK1550" s="76" t="b">
        <v>0</v>
      </c>
      <c r="BL1550" s="76"/>
      <c r="BM1550" s="76" t="s">
        <v>65</v>
      </c>
      <c r="BN1550" s="76" t="s">
        <v>27597</v>
      </c>
      <c r="BO1550" s="82" t="str">
        <f>HYPERLINK("https://twitter.com/edufeiok")</f>
        <v>https://twitter.com/edufeiok</v>
      </c>
      <c r="BP1550" s="2"/>
    </row>
    <row r="1551" spans="1:68" x14ac:dyDescent="0.25">
      <c r="A1551" s="62" t="s">
        <v>2029</v>
      </c>
      <c r="B1551" s="63"/>
      <c r="C1551" s="63"/>
      <c r="D1551" s="64"/>
      <c r="E1551" s="66"/>
      <c r="F1551" s="103" t="str">
        <f>HYPERLINK("https://pbs.twimg.com/profile_images/1632819068636913664/DEKIHYGO_normal.jpg")</f>
        <v>https://pbs.twimg.com/profile_images/1632819068636913664/DEKIHYGO_normal.jpg</v>
      </c>
      <c r="G1551" s="63"/>
      <c r="H1551" s="67"/>
      <c r="I1551" s="68"/>
      <c r="J1551" s="68"/>
      <c r="K1551" s="67" t="s">
        <v>29145</v>
      </c>
      <c r="L1551" s="71"/>
      <c r="M1551" s="72"/>
      <c r="N1551" s="72"/>
      <c r="O1551" s="73"/>
      <c r="P1551" s="74"/>
      <c r="Q1551" s="74"/>
      <c r="R1551" s="87"/>
      <c r="S1551" s="87"/>
      <c r="T1551" s="87"/>
      <c r="U1551" s="87"/>
      <c r="V1551" s="48"/>
      <c r="W1551" s="48"/>
      <c r="X1551" s="48"/>
      <c r="Y1551" s="48"/>
      <c r="Z1551" s="47"/>
      <c r="AA1551" s="69">
        <v>1551</v>
      </c>
      <c r="AB1551" s="69"/>
      <c r="AC1551" s="70"/>
      <c r="AD1551" s="76" t="s">
        <v>22763</v>
      </c>
      <c r="AE1551" s="81" t="s">
        <v>23879</v>
      </c>
      <c r="AF1551" s="76">
        <v>1519161</v>
      </c>
      <c r="AG1551" s="76">
        <v>2175</v>
      </c>
      <c r="AH1551" s="76">
        <v>31569</v>
      </c>
      <c r="AI1551" s="76">
        <v>2198</v>
      </c>
      <c r="AJ1551" s="76">
        <v>12127</v>
      </c>
      <c r="AK1551" s="76">
        <v>8099</v>
      </c>
      <c r="AL1551" s="76" t="b">
        <v>0</v>
      </c>
      <c r="AM1551" s="78">
        <v>40001.089537037034</v>
      </c>
      <c r="AN1551" s="76" t="s">
        <v>24114</v>
      </c>
      <c r="AO1551" s="76" t="s">
        <v>26083</v>
      </c>
      <c r="AP1551" s="82" t="str">
        <f>HYPERLINK("https://t.co/ZNuWK961gh")</f>
        <v>https://t.co/ZNuWK961gh</v>
      </c>
      <c r="AQ1551" s="82" t="str">
        <f>HYPERLINK("https://unpaisordenado.patriciabullrich.com.ar/")</f>
        <v>https://unpaisordenado.patriciabullrich.com.ar/</v>
      </c>
      <c r="AR1551" s="76" t="s">
        <v>27203</v>
      </c>
      <c r="AS1551" s="76"/>
      <c r="AT1551" s="76"/>
      <c r="AU1551" s="76"/>
      <c r="AV1551" s="76"/>
      <c r="AW1551" s="82" t="str">
        <f>HYPERLINK("https://t.co/ZNuWK961gh")</f>
        <v>https://t.co/ZNuWK961gh</v>
      </c>
      <c r="AX1551" s="76" t="b">
        <v>1</v>
      </c>
      <c r="AY1551" s="76"/>
      <c r="AZ1551" s="76"/>
      <c r="BA1551" s="76" t="b">
        <v>0</v>
      </c>
      <c r="BB1551" s="76" t="b">
        <v>1</v>
      </c>
      <c r="BC1551" s="76" t="b">
        <v>0</v>
      </c>
      <c r="BD1551" s="76" t="b">
        <v>0</v>
      </c>
      <c r="BE1551" s="76" t="b">
        <v>1</v>
      </c>
      <c r="BF1551" s="76" t="b">
        <v>0</v>
      </c>
      <c r="BG1551" s="76" t="b">
        <v>0</v>
      </c>
      <c r="BH1551" s="82" t="str">
        <f>HYPERLINK("https://pbs.twimg.com/profile_banners/54414081/1675344482")</f>
        <v>https://pbs.twimg.com/profile_banners/54414081/1675344482</v>
      </c>
      <c r="BI1551" s="76"/>
      <c r="BJ1551" s="76" t="s">
        <v>27595</v>
      </c>
      <c r="BK1551" s="76" t="b">
        <v>0</v>
      </c>
      <c r="BL1551" s="76"/>
      <c r="BM1551" s="76" t="s">
        <v>65</v>
      </c>
      <c r="BN1551" s="76" t="s">
        <v>27597</v>
      </c>
      <c r="BO1551" s="82" t="str">
        <f>HYPERLINK("https://twitter.com/patobullrich")</f>
        <v>https://twitter.com/patobullrich</v>
      </c>
      <c r="BP1551" s="2"/>
    </row>
    <row r="1552" spans="1:68" x14ac:dyDescent="0.25">
      <c r="A1552" s="62" t="s">
        <v>1403</v>
      </c>
      <c r="B1552" s="63"/>
      <c r="C1552" s="63"/>
      <c r="D1552" s="64"/>
      <c r="E1552" s="66"/>
      <c r="F1552" s="103" t="str">
        <f>HYPERLINK("https://pbs.twimg.com/profile_images/712632227385966592/cQK7drJp_normal.jpg")</f>
        <v>https://pbs.twimg.com/profile_images/712632227385966592/cQK7drJp_normal.jpg</v>
      </c>
      <c r="G1552" s="63"/>
      <c r="H1552" s="67"/>
      <c r="I1552" s="68"/>
      <c r="J1552" s="68"/>
      <c r="K1552" s="67" t="s">
        <v>29146</v>
      </c>
      <c r="L1552" s="71"/>
      <c r="M1552" s="72"/>
      <c r="N1552" s="72"/>
      <c r="O1552" s="73"/>
      <c r="P1552" s="74"/>
      <c r="Q1552" s="74"/>
      <c r="R1552" s="87"/>
      <c r="S1552" s="87"/>
      <c r="T1552" s="87"/>
      <c r="U1552" s="87"/>
      <c r="V1552" s="48"/>
      <c r="W1552" s="48"/>
      <c r="X1552" s="48"/>
      <c r="Y1552" s="48"/>
      <c r="Z1552" s="47"/>
      <c r="AA1552" s="69">
        <v>1552</v>
      </c>
      <c r="AB1552" s="69"/>
      <c r="AC1552" s="70"/>
      <c r="AD1552" s="76" t="s">
        <v>22764</v>
      </c>
      <c r="AE1552" s="81" t="s">
        <v>23880</v>
      </c>
      <c r="AF1552" s="76">
        <v>61151</v>
      </c>
      <c r="AG1552" s="76">
        <v>296</v>
      </c>
      <c r="AH1552" s="76">
        <v>81900</v>
      </c>
      <c r="AI1552" s="76">
        <v>474</v>
      </c>
      <c r="AJ1552" s="76">
        <v>69016</v>
      </c>
      <c r="AK1552" s="76">
        <v>2631</v>
      </c>
      <c r="AL1552" s="76" t="b">
        <v>0</v>
      </c>
      <c r="AM1552" s="78">
        <v>40248.499305555553</v>
      </c>
      <c r="AN1552" s="76" t="s">
        <v>14479</v>
      </c>
      <c r="AO1552" s="76" t="s">
        <v>26084</v>
      </c>
      <c r="AP1552" s="82" t="str">
        <f>HYPERLINK("https://t.co/DRFiuisP1q")</f>
        <v>https://t.co/DRFiuisP1q</v>
      </c>
      <c r="AQ1552" s="82" t="str">
        <f>HYPERLINK("http://tudocelular.com/")</f>
        <v>http://tudocelular.com/</v>
      </c>
      <c r="AR1552" s="76" t="s">
        <v>8844</v>
      </c>
      <c r="AS1552" s="82" t="str">
        <f>HYPERLINK("https://t.co/pdbjfaJgD9")</f>
        <v>https://t.co/pdbjfaJgD9</v>
      </c>
      <c r="AT1552" s="82" t="str">
        <f>HYPERLINK("http://linktr.ee/Tudo_Celular")</f>
        <v>http://linktr.ee/Tudo_Celular</v>
      </c>
      <c r="AU1552" s="76" t="s">
        <v>27559</v>
      </c>
      <c r="AV1552" s="76"/>
      <c r="AW1552" s="82" t="str">
        <f>HYPERLINK("https://t.co/DRFiuisP1q")</f>
        <v>https://t.co/DRFiuisP1q</v>
      </c>
      <c r="AX1552" s="76" t="b">
        <v>0</v>
      </c>
      <c r="AY1552" s="76"/>
      <c r="AZ1552" s="76"/>
      <c r="BA1552" s="76" t="b">
        <v>0</v>
      </c>
      <c r="BB1552" s="76" t="b">
        <v>1</v>
      </c>
      <c r="BC1552" s="76" t="b">
        <v>1</v>
      </c>
      <c r="BD1552" s="76" t="b">
        <v>0</v>
      </c>
      <c r="BE1552" s="76" t="b">
        <v>0</v>
      </c>
      <c r="BF1552" s="76" t="b">
        <v>0</v>
      </c>
      <c r="BG1552" s="76" t="b">
        <v>0</v>
      </c>
      <c r="BH1552" s="82" t="str">
        <f>HYPERLINK("https://pbs.twimg.com/profile_banners/122042593/1560787558")</f>
        <v>https://pbs.twimg.com/profile_banners/122042593/1560787558</v>
      </c>
      <c r="BI1552" s="76"/>
      <c r="BJ1552" s="76" t="s">
        <v>27595</v>
      </c>
      <c r="BK1552" s="76" t="b">
        <v>0</v>
      </c>
      <c r="BL1552" s="76"/>
      <c r="BM1552" s="76" t="s">
        <v>66</v>
      </c>
      <c r="BN1552" s="76" t="s">
        <v>27597</v>
      </c>
      <c r="BO1552" s="82" t="str">
        <f>HYPERLINK("https://twitter.com/tudocelular")</f>
        <v>https://twitter.com/tudocelular</v>
      </c>
      <c r="BP1552" s="2"/>
    </row>
    <row r="1553" spans="1:68" x14ac:dyDescent="0.25">
      <c r="A1553" s="62" t="s">
        <v>1404</v>
      </c>
      <c r="B1553" s="63"/>
      <c r="C1553" s="63"/>
      <c r="D1553" s="64"/>
      <c r="E1553" s="66"/>
      <c r="F1553" s="103" t="str">
        <f>HYPERLINK("https://pbs.twimg.com/profile_images/1530175896539254789/VWUrMqn3_normal.jpg")</f>
        <v>https://pbs.twimg.com/profile_images/1530175896539254789/VWUrMqn3_normal.jpg</v>
      </c>
      <c r="G1553" s="63"/>
      <c r="H1553" s="67"/>
      <c r="I1553" s="68"/>
      <c r="J1553" s="68"/>
      <c r="K1553" s="67" t="s">
        <v>29147</v>
      </c>
      <c r="L1553" s="71"/>
      <c r="M1553" s="72"/>
      <c r="N1553" s="72"/>
      <c r="O1553" s="73"/>
      <c r="P1553" s="74"/>
      <c r="Q1553" s="74"/>
      <c r="R1553" s="87"/>
      <c r="S1553" s="87"/>
      <c r="T1553" s="87"/>
      <c r="U1553" s="87"/>
      <c r="V1553" s="48"/>
      <c r="W1553" s="48"/>
      <c r="X1553" s="48"/>
      <c r="Y1553" s="48"/>
      <c r="Z1553" s="47"/>
      <c r="AA1553" s="69">
        <v>1553</v>
      </c>
      <c r="AB1553" s="69"/>
      <c r="AC1553" s="70"/>
      <c r="AD1553" s="76" t="s">
        <v>22765</v>
      </c>
      <c r="AE1553" s="81" t="s">
        <v>20354</v>
      </c>
      <c r="AF1553" s="76">
        <v>1566</v>
      </c>
      <c r="AG1553" s="76">
        <v>748</v>
      </c>
      <c r="AH1553" s="76">
        <v>3057</v>
      </c>
      <c r="AI1553" s="76">
        <v>4</v>
      </c>
      <c r="AJ1553" s="76">
        <v>136</v>
      </c>
      <c r="AK1553" s="76">
        <v>969</v>
      </c>
      <c r="AL1553" s="76" t="b">
        <v>0</v>
      </c>
      <c r="AM1553" s="78">
        <v>40778.658680555556</v>
      </c>
      <c r="AN1553" s="76" t="s">
        <v>24611</v>
      </c>
      <c r="AO1553" s="76" t="s">
        <v>26085</v>
      </c>
      <c r="AP1553" s="82" t="str">
        <f>HYPERLINK("https://t.co/y0i1gQKiai")</f>
        <v>https://t.co/y0i1gQKiai</v>
      </c>
      <c r="AQ1553" s="82" t="str">
        <f>HYPERLINK("http://www.portaldaindustria-es.com.br")</f>
        <v>http://www.portaldaindustria-es.com.br</v>
      </c>
      <c r="AR1553" s="76" t="s">
        <v>27204</v>
      </c>
      <c r="AS1553" s="76"/>
      <c r="AT1553" s="76"/>
      <c r="AU1553" s="76"/>
      <c r="AV1553" s="76"/>
      <c r="AW1553" s="82" t="str">
        <f>HYPERLINK("https://t.co/y0i1gQKiai")</f>
        <v>https://t.co/y0i1gQKiai</v>
      </c>
      <c r="AX1553" s="76" t="b">
        <v>0</v>
      </c>
      <c r="AY1553" s="76"/>
      <c r="AZ1553" s="76"/>
      <c r="BA1553" s="76" t="b">
        <v>0</v>
      </c>
      <c r="BB1553" s="76" t="b">
        <v>1</v>
      </c>
      <c r="BC1553" s="76" t="b">
        <v>0</v>
      </c>
      <c r="BD1553" s="76" t="b">
        <v>0</v>
      </c>
      <c r="BE1553" s="76" t="b">
        <v>0</v>
      </c>
      <c r="BF1553" s="76" t="b">
        <v>0</v>
      </c>
      <c r="BG1553" s="76" t="b">
        <v>0</v>
      </c>
      <c r="BH1553" s="82" t="str">
        <f>HYPERLINK("https://pbs.twimg.com/profile_banners/360674228/1653657339")</f>
        <v>https://pbs.twimg.com/profile_banners/360674228/1653657339</v>
      </c>
      <c r="BI1553" s="76"/>
      <c r="BJ1553" s="76" t="s">
        <v>27595</v>
      </c>
      <c r="BK1553" s="76" t="b">
        <v>0</v>
      </c>
      <c r="BL1553" s="76"/>
      <c r="BM1553" s="76" t="s">
        <v>66</v>
      </c>
      <c r="BN1553" s="76" t="s">
        <v>27597</v>
      </c>
      <c r="BO1553" s="82" t="str">
        <f>HYPERLINK("https://twitter.com/observ_ind_es")</f>
        <v>https://twitter.com/observ_ind_es</v>
      </c>
      <c r="BP1553" s="2"/>
    </row>
    <row r="1554" spans="1:68" x14ac:dyDescent="0.25">
      <c r="A1554" s="62" t="s">
        <v>1405</v>
      </c>
      <c r="B1554" s="63"/>
      <c r="C1554" s="63"/>
      <c r="D1554" s="64"/>
      <c r="E1554" s="66"/>
      <c r="F1554" s="103" t="str">
        <f>HYPERLINK("https://pbs.twimg.com/profile_images/1692332223570055168/jXxJ8_0k_normal.jpg")</f>
        <v>https://pbs.twimg.com/profile_images/1692332223570055168/jXxJ8_0k_normal.jpg</v>
      </c>
      <c r="G1554" s="63"/>
      <c r="H1554" s="67"/>
      <c r="I1554" s="68"/>
      <c r="J1554" s="68"/>
      <c r="K1554" s="67" t="s">
        <v>29148</v>
      </c>
      <c r="L1554" s="71"/>
      <c r="M1554" s="72"/>
      <c r="N1554" s="72"/>
      <c r="O1554" s="73"/>
      <c r="P1554" s="74"/>
      <c r="Q1554" s="74"/>
      <c r="R1554" s="87"/>
      <c r="S1554" s="87"/>
      <c r="T1554" s="87"/>
      <c r="U1554" s="87"/>
      <c r="V1554" s="48"/>
      <c r="W1554" s="48"/>
      <c r="X1554" s="48"/>
      <c r="Y1554" s="48"/>
      <c r="Z1554" s="47"/>
      <c r="AA1554" s="69">
        <v>1554</v>
      </c>
      <c r="AB1554" s="69"/>
      <c r="AC1554" s="70"/>
      <c r="AD1554" s="76" t="s">
        <v>22766</v>
      </c>
      <c r="AE1554" s="81" t="s">
        <v>21072</v>
      </c>
      <c r="AF1554" s="76">
        <v>387</v>
      </c>
      <c r="AG1554" s="76">
        <v>1894</v>
      </c>
      <c r="AH1554" s="76">
        <v>25140</v>
      </c>
      <c r="AI1554" s="76">
        <v>5</v>
      </c>
      <c r="AJ1554" s="76">
        <v>15640</v>
      </c>
      <c r="AK1554" s="76">
        <v>1883</v>
      </c>
      <c r="AL1554" s="76" t="b">
        <v>0</v>
      </c>
      <c r="AM1554" s="78">
        <v>43429.782083333332</v>
      </c>
      <c r="AN1554" s="76" t="s">
        <v>14414</v>
      </c>
      <c r="AO1554" s="76" t="s">
        <v>26086</v>
      </c>
      <c r="AP1554" s="76"/>
      <c r="AQ1554" s="76"/>
      <c r="AR1554" s="76"/>
      <c r="AS1554" s="76"/>
      <c r="AT1554" s="76"/>
      <c r="AU1554" s="76"/>
      <c r="AV1554" s="76">
        <v>1.11175862132981E+18</v>
      </c>
      <c r="AW1554" s="76"/>
      <c r="AX1554" s="76" t="b">
        <v>0</v>
      </c>
      <c r="AY1554" s="76"/>
      <c r="AZ1554" s="76"/>
      <c r="BA1554" s="76" t="b">
        <v>0</v>
      </c>
      <c r="BB1554" s="76" t="b">
        <v>1</v>
      </c>
      <c r="BC1554" s="76" t="b">
        <v>0</v>
      </c>
      <c r="BD1554" s="76" t="b">
        <v>0</v>
      </c>
      <c r="BE1554" s="76" t="b">
        <v>1</v>
      </c>
      <c r="BF1554" s="76" t="b">
        <v>0</v>
      </c>
      <c r="BG1554" s="76" t="b">
        <v>0</v>
      </c>
      <c r="BH1554" s="82" t="str">
        <f>HYPERLINK("https://pbs.twimg.com/profile_banners/1066765008690913280/1692318429")</f>
        <v>https://pbs.twimg.com/profile_banners/1066765008690913280/1692318429</v>
      </c>
      <c r="BI1554" s="76"/>
      <c r="BJ1554" s="76" t="s">
        <v>27595</v>
      </c>
      <c r="BK1554" s="76" t="b">
        <v>0</v>
      </c>
      <c r="BL1554" s="76"/>
      <c r="BM1554" s="76" t="s">
        <v>66</v>
      </c>
      <c r="BN1554" s="76" t="s">
        <v>27597</v>
      </c>
      <c r="BO1554" s="82" t="str">
        <f>HYPERLINK("https://twitter.com/marlo_melo")</f>
        <v>https://twitter.com/marlo_melo</v>
      </c>
      <c r="BP1554" s="2"/>
    </row>
    <row r="1555" spans="1:68" x14ac:dyDescent="0.25">
      <c r="A1555" s="62" t="s">
        <v>1406</v>
      </c>
      <c r="B1555" s="63"/>
      <c r="C1555" s="63"/>
      <c r="D1555" s="64"/>
      <c r="E1555" s="66"/>
      <c r="F1555" s="103" t="str">
        <f>HYPERLINK("https://pbs.twimg.com/profile_images/1680908361997471746/mbPeB0fP_normal.jpg")</f>
        <v>https://pbs.twimg.com/profile_images/1680908361997471746/mbPeB0fP_normal.jpg</v>
      </c>
      <c r="G1555" s="63"/>
      <c r="H1555" s="67"/>
      <c r="I1555" s="68"/>
      <c r="J1555" s="68"/>
      <c r="K1555" s="67" t="s">
        <v>29149</v>
      </c>
      <c r="L1555" s="71"/>
      <c r="M1555" s="72"/>
      <c r="N1555" s="72"/>
      <c r="O1555" s="73"/>
      <c r="P1555" s="74"/>
      <c r="Q1555" s="74"/>
      <c r="R1555" s="87"/>
      <c r="S1555" s="87"/>
      <c r="T1555" s="87"/>
      <c r="U1555" s="87"/>
      <c r="V1555" s="48"/>
      <c r="W1555" s="48"/>
      <c r="X1555" s="48"/>
      <c r="Y1555" s="48"/>
      <c r="Z1555" s="47"/>
      <c r="AA1555" s="69">
        <v>1555</v>
      </c>
      <c r="AB1555" s="69"/>
      <c r="AC1555" s="70"/>
      <c r="AD1555" s="76" t="s">
        <v>22767</v>
      </c>
      <c r="AE1555" s="81" t="s">
        <v>21073</v>
      </c>
      <c r="AF1555" s="76">
        <v>1474</v>
      </c>
      <c r="AG1555" s="76">
        <v>2072</v>
      </c>
      <c r="AH1555" s="76">
        <v>14797</v>
      </c>
      <c r="AI1555" s="76">
        <v>0</v>
      </c>
      <c r="AJ1555" s="76">
        <v>49</v>
      </c>
      <c r="AK1555" s="76">
        <v>88</v>
      </c>
      <c r="AL1555" s="76" t="b">
        <v>0</v>
      </c>
      <c r="AM1555" s="78">
        <v>43604.673819444448</v>
      </c>
      <c r="AN1555" s="76"/>
      <c r="AO1555" s="76" t="s">
        <v>26087</v>
      </c>
      <c r="AP1555" s="82" t="str">
        <f>HYPERLINK("https://t.co/HnIu17QmFG")</f>
        <v>https://t.co/HnIu17QmFG</v>
      </c>
      <c r="AQ1555" s="82" t="str">
        <f>HYPERLINK("http://www.pensarpiaui.com")</f>
        <v>http://www.pensarpiaui.com</v>
      </c>
      <c r="AR1555" s="76" t="s">
        <v>8845</v>
      </c>
      <c r="AS1555" s="76"/>
      <c r="AT1555" s="76"/>
      <c r="AU1555" s="76"/>
      <c r="AV1555" s="76">
        <v>1.1307892135726001E+18</v>
      </c>
      <c r="AW1555" s="82" t="str">
        <f>HYPERLINK("https://t.co/HnIu17QmFG")</f>
        <v>https://t.co/HnIu17QmFG</v>
      </c>
      <c r="AX1555" s="76" t="b">
        <v>0</v>
      </c>
      <c r="AY1555" s="76"/>
      <c r="AZ1555" s="76"/>
      <c r="BA1555" s="76" t="b">
        <v>1</v>
      </c>
      <c r="BB1555" s="76" t="b">
        <v>1</v>
      </c>
      <c r="BC1555" s="76" t="b">
        <v>1</v>
      </c>
      <c r="BD1555" s="76" t="b">
        <v>0</v>
      </c>
      <c r="BE1555" s="76" t="b">
        <v>0</v>
      </c>
      <c r="BF1555" s="76" t="b">
        <v>0</v>
      </c>
      <c r="BG1555" s="76" t="b">
        <v>0</v>
      </c>
      <c r="BH1555" s="82" t="str">
        <f>HYPERLINK("https://pbs.twimg.com/profile_banners/1130143652146237440/1689601160")</f>
        <v>https://pbs.twimg.com/profile_banners/1130143652146237440/1689601160</v>
      </c>
      <c r="BI1555" s="76"/>
      <c r="BJ1555" s="76" t="s">
        <v>27595</v>
      </c>
      <c r="BK1555" s="76" t="b">
        <v>0</v>
      </c>
      <c r="BL1555" s="76"/>
      <c r="BM1555" s="76" t="s">
        <v>66</v>
      </c>
      <c r="BN1555" s="76" t="s">
        <v>27597</v>
      </c>
      <c r="BO1555" s="82" t="str">
        <f>HYPERLINK("https://twitter.com/pensarpiaui")</f>
        <v>https://twitter.com/pensarpiaui</v>
      </c>
      <c r="BP1555" s="2"/>
    </row>
    <row r="1556" spans="1:68" x14ac:dyDescent="0.25">
      <c r="A1556" s="62" t="s">
        <v>1407</v>
      </c>
      <c r="B1556" s="63"/>
      <c r="C1556" s="63"/>
      <c r="D1556" s="64"/>
      <c r="E1556" s="66"/>
      <c r="F1556" s="103" t="str">
        <f>HYPERLINK("https://pbs.twimg.com/profile_images/1648747975940661248/-IBrovI__normal.jpg")</f>
        <v>https://pbs.twimg.com/profile_images/1648747975940661248/-IBrovI__normal.jpg</v>
      </c>
      <c r="G1556" s="63"/>
      <c r="H1556" s="67"/>
      <c r="I1556" s="68"/>
      <c r="J1556" s="68"/>
      <c r="K1556" s="67" t="s">
        <v>29150</v>
      </c>
      <c r="L1556" s="71"/>
      <c r="M1556" s="72"/>
      <c r="N1556" s="72"/>
      <c r="O1556" s="73"/>
      <c r="P1556" s="74"/>
      <c r="Q1556" s="74"/>
      <c r="R1556" s="87"/>
      <c r="S1556" s="87"/>
      <c r="T1556" s="87"/>
      <c r="U1556" s="87"/>
      <c r="V1556" s="48"/>
      <c r="W1556" s="48"/>
      <c r="X1556" s="48"/>
      <c r="Y1556" s="48"/>
      <c r="Z1556" s="47"/>
      <c r="AA1556" s="69">
        <v>1556</v>
      </c>
      <c r="AB1556" s="69"/>
      <c r="AC1556" s="70"/>
      <c r="AD1556" s="76" t="s">
        <v>22768</v>
      </c>
      <c r="AE1556" s="81" t="s">
        <v>21074</v>
      </c>
      <c r="AF1556" s="76">
        <v>120</v>
      </c>
      <c r="AG1556" s="76">
        <v>94</v>
      </c>
      <c r="AH1556" s="76">
        <v>505</v>
      </c>
      <c r="AI1556" s="76">
        <v>0</v>
      </c>
      <c r="AJ1556" s="76">
        <v>805</v>
      </c>
      <c r="AK1556" s="76">
        <v>423</v>
      </c>
      <c r="AL1556" s="76" t="b">
        <v>0</v>
      </c>
      <c r="AM1556" s="78">
        <v>45035.747824074075</v>
      </c>
      <c r="AN1556" s="76"/>
      <c r="AO1556" s="76"/>
      <c r="AP1556" s="76"/>
      <c r="AQ1556" s="76"/>
      <c r="AR1556" s="76"/>
      <c r="AS1556" s="76"/>
      <c r="AT1556" s="76"/>
      <c r="AU1556" s="76"/>
      <c r="AV1556" s="76">
        <v>1.65744292361968E+18</v>
      </c>
      <c r="AW1556" s="76"/>
      <c r="AX1556" s="76" t="b">
        <v>0</v>
      </c>
      <c r="AY1556" s="76"/>
      <c r="AZ1556" s="76"/>
      <c r="BA1556" s="76" t="b">
        <v>0</v>
      </c>
      <c r="BB1556" s="76" t="b">
        <v>1</v>
      </c>
      <c r="BC1556" s="76" t="b">
        <v>1</v>
      </c>
      <c r="BD1556" s="76" t="b">
        <v>0</v>
      </c>
      <c r="BE1556" s="76" t="b">
        <v>0</v>
      </c>
      <c r="BF1556" s="76" t="b">
        <v>0</v>
      </c>
      <c r="BG1556" s="76" t="b">
        <v>0</v>
      </c>
      <c r="BH1556" s="82" t="str">
        <f>HYPERLINK("https://pbs.twimg.com/profile_banners/1648747342340710402/1682091801")</f>
        <v>https://pbs.twimg.com/profile_banners/1648747342340710402/1682091801</v>
      </c>
      <c r="BI1556" s="76"/>
      <c r="BJ1556" s="76" t="s">
        <v>27595</v>
      </c>
      <c r="BK1556" s="76" t="b">
        <v>0</v>
      </c>
      <c r="BL1556" s="76"/>
      <c r="BM1556" s="76" t="s">
        <v>66</v>
      </c>
      <c r="BN1556" s="76" t="s">
        <v>27597</v>
      </c>
      <c r="BO1556" s="82" t="str">
        <f>HYPERLINK("https://twitter.com/economianic")</f>
        <v>https://twitter.com/economianic</v>
      </c>
      <c r="BP1556" s="2"/>
    </row>
    <row r="1557" spans="1:68" x14ac:dyDescent="0.25">
      <c r="A1557" s="62" t="s">
        <v>1408</v>
      </c>
      <c r="B1557" s="63"/>
      <c r="C1557" s="63"/>
      <c r="D1557" s="64"/>
      <c r="E1557" s="66"/>
      <c r="F1557" s="103" t="str">
        <f>HYPERLINK("https://pbs.twimg.com/profile_images/1381970007026851845/WG6BPJmQ_normal.jpg")</f>
        <v>https://pbs.twimg.com/profile_images/1381970007026851845/WG6BPJmQ_normal.jpg</v>
      </c>
      <c r="G1557" s="63"/>
      <c r="H1557" s="67"/>
      <c r="I1557" s="68"/>
      <c r="J1557" s="68"/>
      <c r="K1557" s="67" t="s">
        <v>29151</v>
      </c>
      <c r="L1557" s="71"/>
      <c r="M1557" s="72"/>
      <c r="N1557" s="72"/>
      <c r="O1557" s="73"/>
      <c r="P1557" s="74"/>
      <c r="Q1557" s="74"/>
      <c r="R1557" s="87"/>
      <c r="S1557" s="87"/>
      <c r="T1557" s="87"/>
      <c r="U1557" s="87"/>
      <c r="V1557" s="48"/>
      <c r="W1557" s="48"/>
      <c r="X1557" s="48"/>
      <c r="Y1557" s="48"/>
      <c r="Z1557" s="47"/>
      <c r="AA1557" s="69">
        <v>1557</v>
      </c>
      <c r="AB1557" s="69"/>
      <c r="AC1557" s="70"/>
      <c r="AD1557" s="76" t="s">
        <v>22769</v>
      </c>
      <c r="AE1557" s="81" t="s">
        <v>21075</v>
      </c>
      <c r="AF1557" s="76">
        <v>937</v>
      </c>
      <c r="AG1557" s="76">
        <v>902</v>
      </c>
      <c r="AH1557" s="76">
        <v>16296</v>
      </c>
      <c r="AI1557" s="76">
        <v>2</v>
      </c>
      <c r="AJ1557" s="76">
        <v>207</v>
      </c>
      <c r="AK1557" s="76">
        <v>121</v>
      </c>
      <c r="AL1557" s="76" t="b">
        <v>0</v>
      </c>
      <c r="AM1557" s="78">
        <v>43648.550462962965</v>
      </c>
      <c r="AN1557" s="76" t="s">
        <v>14385</v>
      </c>
      <c r="AO1557" s="76" t="s">
        <v>26088</v>
      </c>
      <c r="AP1557" s="82" t="str">
        <f>HYPERLINK("https://t.co/NjrEJyf9dj")</f>
        <v>https://t.co/NjrEJyf9dj</v>
      </c>
      <c r="AQ1557" s="82" t="str">
        <f>HYPERLINK("http://www.elpaisdiario.com.ar")</f>
        <v>http://www.elpaisdiario.com.ar</v>
      </c>
      <c r="AR1557" s="76" t="s">
        <v>27205</v>
      </c>
      <c r="AS1557" s="76"/>
      <c r="AT1557" s="76"/>
      <c r="AU1557" s="76"/>
      <c r="AV1557" s="76"/>
      <c r="AW1557" s="82" t="str">
        <f>HYPERLINK("https://t.co/NjrEJyf9dj")</f>
        <v>https://t.co/NjrEJyf9dj</v>
      </c>
      <c r="AX1557" s="76" t="b">
        <v>0</v>
      </c>
      <c r="AY1557" s="76"/>
      <c r="AZ1557" s="76"/>
      <c r="BA1557" s="76" t="b">
        <v>1</v>
      </c>
      <c r="BB1557" s="76" t="b">
        <v>1</v>
      </c>
      <c r="BC1557" s="76" t="b">
        <v>1</v>
      </c>
      <c r="BD1557" s="76" t="b">
        <v>0</v>
      </c>
      <c r="BE1557" s="76" t="b">
        <v>0</v>
      </c>
      <c r="BF1557" s="76" t="b">
        <v>0</v>
      </c>
      <c r="BG1557" s="76" t="b">
        <v>0</v>
      </c>
      <c r="BH1557" s="82" t="str">
        <f>HYPERLINK("https://pbs.twimg.com/profile_banners/1146044014568886272/1618322259")</f>
        <v>https://pbs.twimg.com/profile_banners/1146044014568886272/1618322259</v>
      </c>
      <c r="BI1557" s="76"/>
      <c r="BJ1557" s="76" t="s">
        <v>27595</v>
      </c>
      <c r="BK1557" s="76" t="b">
        <v>0</v>
      </c>
      <c r="BL1557" s="76"/>
      <c r="BM1557" s="76" t="s">
        <v>66</v>
      </c>
      <c r="BN1557" s="76" t="s">
        <v>27597</v>
      </c>
      <c r="BO1557" s="82" t="str">
        <f>HYPERLINK("https://twitter.com/elpaisdiariook")</f>
        <v>https://twitter.com/elpaisdiariook</v>
      </c>
      <c r="BP1557" s="2"/>
    </row>
    <row r="1558" spans="1:68" x14ac:dyDescent="0.25">
      <c r="A1558" s="62" t="s">
        <v>1409</v>
      </c>
      <c r="B1558" s="63"/>
      <c r="C1558" s="63"/>
      <c r="D1558" s="64"/>
      <c r="E1558" s="66"/>
      <c r="F1558" s="103" t="str">
        <f>HYPERLINK("https://pbs.twimg.com/profile_images/1507362814700232707/llgIQGPe_normal.jpg")</f>
        <v>https://pbs.twimg.com/profile_images/1507362814700232707/llgIQGPe_normal.jpg</v>
      </c>
      <c r="G1558" s="63"/>
      <c r="H1558" s="67"/>
      <c r="I1558" s="68"/>
      <c r="J1558" s="68"/>
      <c r="K1558" s="67" t="s">
        <v>29152</v>
      </c>
      <c r="L1558" s="71"/>
      <c r="M1558" s="72"/>
      <c r="N1558" s="72"/>
      <c r="O1558" s="73"/>
      <c r="P1558" s="74"/>
      <c r="Q1558" s="74"/>
      <c r="R1558" s="87"/>
      <c r="S1558" s="87"/>
      <c r="T1558" s="87"/>
      <c r="U1558" s="87"/>
      <c r="V1558" s="48"/>
      <c r="W1558" s="48"/>
      <c r="X1558" s="48"/>
      <c r="Y1558" s="48"/>
      <c r="Z1558" s="47"/>
      <c r="AA1558" s="69">
        <v>1558</v>
      </c>
      <c r="AB1558" s="69"/>
      <c r="AC1558" s="70"/>
      <c r="AD1558" s="76" t="s">
        <v>22770</v>
      </c>
      <c r="AE1558" s="81" t="s">
        <v>23881</v>
      </c>
      <c r="AF1558" s="76">
        <v>7263</v>
      </c>
      <c r="AG1558" s="76">
        <v>7000</v>
      </c>
      <c r="AH1558" s="76">
        <v>32162</v>
      </c>
      <c r="AI1558" s="76">
        <v>26</v>
      </c>
      <c r="AJ1558" s="76">
        <v>2856</v>
      </c>
      <c r="AK1558" s="76">
        <v>1844</v>
      </c>
      <c r="AL1558" s="76" t="b">
        <v>0</v>
      </c>
      <c r="AM1558" s="78">
        <v>42019.215717592589</v>
      </c>
      <c r="AN1558" s="76" t="s">
        <v>14385</v>
      </c>
      <c r="AO1558" s="76" t="s">
        <v>26088</v>
      </c>
      <c r="AP1558" s="82" t="str">
        <f>HYPERLINK("https://t.co/2NIMpHs6b6")</f>
        <v>https://t.co/2NIMpHs6b6</v>
      </c>
      <c r="AQ1558" s="82" t="str">
        <f>HYPERLINK("https://www.elpaisdiario.com.ar")</f>
        <v>https://www.elpaisdiario.com.ar</v>
      </c>
      <c r="AR1558" s="76" t="s">
        <v>27205</v>
      </c>
      <c r="AS1558" s="76"/>
      <c r="AT1558" s="76"/>
      <c r="AU1558" s="76"/>
      <c r="AV1558" s="76"/>
      <c r="AW1558" s="82" t="str">
        <f>HYPERLINK("https://t.co/2NIMpHs6b6")</f>
        <v>https://t.co/2NIMpHs6b6</v>
      </c>
      <c r="AX1558" s="76" t="b">
        <v>0</v>
      </c>
      <c r="AY1558" s="76"/>
      <c r="AZ1558" s="76"/>
      <c r="BA1558" s="76" t="b">
        <v>1</v>
      </c>
      <c r="BB1558" s="76" t="b">
        <v>0</v>
      </c>
      <c r="BC1558" s="76" t="b">
        <v>1</v>
      </c>
      <c r="BD1558" s="76" t="b">
        <v>0</v>
      </c>
      <c r="BE1558" s="76" t="b">
        <v>0</v>
      </c>
      <c r="BF1558" s="76" t="b">
        <v>0</v>
      </c>
      <c r="BG1558" s="76" t="b">
        <v>0</v>
      </c>
      <c r="BH1558" s="82" t="str">
        <f>HYPERLINK("https://pbs.twimg.com/profile_banners/2979439354/1695041565")</f>
        <v>https://pbs.twimg.com/profile_banners/2979439354/1695041565</v>
      </c>
      <c r="BI1558" s="76"/>
      <c r="BJ1558" s="76" t="s">
        <v>27595</v>
      </c>
      <c r="BK1558" s="76" t="b">
        <v>0</v>
      </c>
      <c r="BL1558" s="76"/>
      <c r="BM1558" s="76" t="s">
        <v>66</v>
      </c>
      <c r="BN1558" s="76" t="s">
        <v>27597</v>
      </c>
      <c r="BO1558" s="82" t="str">
        <f>HYPERLINK("https://twitter.com/elpaisdiario")</f>
        <v>https://twitter.com/elpaisdiario</v>
      </c>
      <c r="BP1558" s="2"/>
    </row>
    <row r="1559" spans="1:68" x14ac:dyDescent="0.25">
      <c r="A1559" s="62" t="s">
        <v>1410</v>
      </c>
      <c r="B1559" s="63"/>
      <c r="C1559" s="63"/>
      <c r="D1559" s="64"/>
      <c r="E1559" s="66"/>
      <c r="F1559" s="103" t="str">
        <f>HYPERLINK("https://pbs.twimg.com/profile_images/1658284989404815363/qVTRQJxD_normal.jpg")</f>
        <v>https://pbs.twimg.com/profile_images/1658284989404815363/qVTRQJxD_normal.jpg</v>
      </c>
      <c r="G1559" s="63"/>
      <c r="H1559" s="67"/>
      <c r="I1559" s="68"/>
      <c r="J1559" s="68"/>
      <c r="K1559" s="67" t="s">
        <v>29153</v>
      </c>
      <c r="L1559" s="71"/>
      <c r="M1559" s="72"/>
      <c r="N1559" s="72"/>
      <c r="O1559" s="73"/>
      <c r="P1559" s="74"/>
      <c r="Q1559" s="74"/>
      <c r="R1559" s="87"/>
      <c r="S1559" s="87"/>
      <c r="T1559" s="87"/>
      <c r="U1559" s="87"/>
      <c r="V1559" s="48"/>
      <c r="W1559" s="48"/>
      <c r="X1559" s="48"/>
      <c r="Y1559" s="48"/>
      <c r="Z1559" s="47"/>
      <c r="AA1559" s="69">
        <v>1559</v>
      </c>
      <c r="AB1559" s="69"/>
      <c r="AC1559" s="70"/>
      <c r="AD1559" s="76" t="s">
        <v>22771</v>
      </c>
      <c r="AE1559" s="81" t="s">
        <v>23882</v>
      </c>
      <c r="AF1559" s="76">
        <v>840</v>
      </c>
      <c r="AG1559" s="76">
        <v>365</v>
      </c>
      <c r="AH1559" s="76">
        <v>44721</v>
      </c>
      <c r="AI1559" s="76">
        <v>8</v>
      </c>
      <c r="AJ1559" s="76">
        <v>124840</v>
      </c>
      <c r="AK1559" s="76">
        <v>1306</v>
      </c>
      <c r="AL1559" s="76" t="b">
        <v>0</v>
      </c>
      <c r="AM1559" s="78">
        <v>40099.864861111113</v>
      </c>
      <c r="AN1559" s="76" t="s">
        <v>24612</v>
      </c>
      <c r="AO1559" s="76" t="s">
        <v>26089</v>
      </c>
      <c r="AP1559" s="82" t="str">
        <f>HYPERLINK("https://t.co/ki2n0MhSmE")</f>
        <v>https://t.co/ki2n0MhSmE</v>
      </c>
      <c r="AQ1559" s="82" t="str">
        <f>HYPERLINK("http://www.facebook.com/somoslacruz")</f>
        <v>http://www.facebook.com/somoslacruz</v>
      </c>
      <c r="AR1559" s="76" t="s">
        <v>27206</v>
      </c>
      <c r="AS1559" s="76"/>
      <c r="AT1559" s="76"/>
      <c r="AU1559" s="76"/>
      <c r="AV1559" s="76">
        <v>1.65528417585374E+18</v>
      </c>
      <c r="AW1559" s="82" t="str">
        <f>HYPERLINK("https://t.co/ki2n0MhSmE")</f>
        <v>https://t.co/ki2n0MhSmE</v>
      </c>
      <c r="AX1559" s="76" t="b">
        <v>0</v>
      </c>
      <c r="AY1559" s="76"/>
      <c r="AZ1559" s="76"/>
      <c r="BA1559" s="76" t="b">
        <v>0</v>
      </c>
      <c r="BB1559" s="76" t="b">
        <v>1</v>
      </c>
      <c r="BC1559" s="76" t="b">
        <v>1</v>
      </c>
      <c r="BD1559" s="76" t="b">
        <v>0</v>
      </c>
      <c r="BE1559" s="76" t="b">
        <v>0</v>
      </c>
      <c r="BF1559" s="76" t="b">
        <v>0</v>
      </c>
      <c r="BG1559" s="76" t="b">
        <v>0</v>
      </c>
      <c r="BH1559" s="82" t="str">
        <f>HYPERLINK("https://pbs.twimg.com/profile_banners/82188004/1684200938")</f>
        <v>https://pbs.twimg.com/profile_banners/82188004/1684200938</v>
      </c>
      <c r="BI1559" s="76"/>
      <c r="BJ1559" s="76" t="s">
        <v>27595</v>
      </c>
      <c r="BK1559" s="76" t="b">
        <v>0</v>
      </c>
      <c r="BL1559" s="76"/>
      <c r="BM1559" s="76" t="s">
        <v>66</v>
      </c>
      <c r="BN1559" s="76" t="s">
        <v>27597</v>
      </c>
      <c r="BO1559" s="82" t="str">
        <f>HYPERLINK("https://twitter.com/somoslacruz")</f>
        <v>https://twitter.com/somoslacruz</v>
      </c>
      <c r="BP1559" s="2"/>
    </row>
    <row r="1560" spans="1:68" x14ac:dyDescent="0.25">
      <c r="A1560" s="62" t="s">
        <v>2030</v>
      </c>
      <c r="B1560" s="63"/>
      <c r="C1560" s="63"/>
      <c r="D1560" s="64"/>
      <c r="E1560" s="66"/>
      <c r="F1560" s="103" t="str">
        <f>HYPERLINK("https://pbs.twimg.com/profile_images/1237003516499066880/nzKincUt_normal.jpg")</f>
        <v>https://pbs.twimg.com/profile_images/1237003516499066880/nzKincUt_normal.jpg</v>
      </c>
      <c r="G1560" s="63"/>
      <c r="H1560" s="67"/>
      <c r="I1560" s="68"/>
      <c r="J1560" s="68"/>
      <c r="K1560" s="67" t="s">
        <v>29154</v>
      </c>
      <c r="L1560" s="71"/>
      <c r="M1560" s="72"/>
      <c r="N1560" s="72"/>
      <c r="O1560" s="73"/>
      <c r="P1560" s="74"/>
      <c r="Q1560" s="74"/>
      <c r="R1560" s="87"/>
      <c r="S1560" s="87"/>
      <c r="T1560" s="87"/>
      <c r="U1560" s="87"/>
      <c r="V1560" s="48"/>
      <c r="W1560" s="48"/>
      <c r="X1560" s="48"/>
      <c r="Y1560" s="48"/>
      <c r="Z1560" s="47"/>
      <c r="AA1560" s="69">
        <v>1560</v>
      </c>
      <c r="AB1560" s="69"/>
      <c r="AC1560" s="70"/>
      <c r="AD1560" s="76" t="s">
        <v>22772</v>
      </c>
      <c r="AE1560" s="81" t="s">
        <v>23883</v>
      </c>
      <c r="AF1560" s="76">
        <v>8043</v>
      </c>
      <c r="AG1560" s="76">
        <v>6511</v>
      </c>
      <c r="AH1560" s="76">
        <v>42213</v>
      </c>
      <c r="AI1560" s="76">
        <v>9</v>
      </c>
      <c r="AJ1560" s="76">
        <v>72597</v>
      </c>
      <c r="AK1560" s="76">
        <v>1075</v>
      </c>
      <c r="AL1560" s="76" t="b">
        <v>0</v>
      </c>
      <c r="AM1560" s="78">
        <v>40637.660740740743</v>
      </c>
      <c r="AN1560" s="76" t="s">
        <v>24613</v>
      </c>
      <c r="AO1560" s="76" t="s">
        <v>26090</v>
      </c>
      <c r="AP1560" s="76"/>
      <c r="AQ1560" s="76"/>
      <c r="AR1560" s="76"/>
      <c r="AS1560" s="76"/>
      <c r="AT1560" s="76"/>
      <c r="AU1560" s="76"/>
      <c r="AV1560" s="76">
        <v>1.7074682516413199E+18</v>
      </c>
      <c r="AW1560" s="76"/>
      <c r="AX1560" s="76" t="b">
        <v>0</v>
      </c>
      <c r="AY1560" s="76"/>
      <c r="AZ1560" s="76"/>
      <c r="BA1560" s="76" t="b">
        <v>0</v>
      </c>
      <c r="BB1560" s="76" t="b">
        <v>1</v>
      </c>
      <c r="BC1560" s="76" t="b">
        <v>1</v>
      </c>
      <c r="BD1560" s="76" t="b">
        <v>0</v>
      </c>
      <c r="BE1560" s="76" t="b">
        <v>1</v>
      </c>
      <c r="BF1560" s="76" t="b">
        <v>0</v>
      </c>
      <c r="BG1560" s="76" t="b">
        <v>0</v>
      </c>
      <c r="BH1560" s="82" t="str">
        <f>HYPERLINK("https://pbs.twimg.com/profile_banners/277043658/1649789982")</f>
        <v>https://pbs.twimg.com/profile_banners/277043658/1649789982</v>
      </c>
      <c r="BI1560" s="76"/>
      <c r="BJ1560" s="76" t="s">
        <v>27595</v>
      </c>
      <c r="BK1560" s="76" t="b">
        <v>0</v>
      </c>
      <c r="BL1560" s="76"/>
      <c r="BM1560" s="76" t="s">
        <v>65</v>
      </c>
      <c r="BN1560" s="76" t="s">
        <v>27597</v>
      </c>
      <c r="BO1560" s="82" t="str">
        <f>HYPERLINK("https://twitter.com/rafagais")</f>
        <v>https://twitter.com/rafagais</v>
      </c>
      <c r="BP1560" s="2"/>
    </row>
    <row r="1561" spans="1:68" x14ac:dyDescent="0.25">
      <c r="A1561" s="62" t="s">
        <v>2031</v>
      </c>
      <c r="B1561" s="63"/>
      <c r="C1561" s="63"/>
      <c r="D1561" s="64"/>
      <c r="E1561" s="66"/>
      <c r="F1561" s="103" t="str">
        <f>HYPERLINK("https://pbs.twimg.com/profile_images/1406358695357960199/K1Dkk9nG_normal.jpg")</f>
        <v>https://pbs.twimg.com/profile_images/1406358695357960199/K1Dkk9nG_normal.jpg</v>
      </c>
      <c r="G1561" s="63"/>
      <c r="H1561" s="67"/>
      <c r="I1561" s="68"/>
      <c r="J1561" s="68"/>
      <c r="K1561" s="67" t="s">
        <v>29155</v>
      </c>
      <c r="L1561" s="71"/>
      <c r="M1561" s="72"/>
      <c r="N1561" s="72"/>
      <c r="O1561" s="73"/>
      <c r="P1561" s="74"/>
      <c r="Q1561" s="74"/>
      <c r="R1561" s="87"/>
      <c r="S1561" s="87"/>
      <c r="T1561" s="87"/>
      <c r="U1561" s="87"/>
      <c r="V1561" s="48"/>
      <c r="W1561" s="48"/>
      <c r="X1561" s="48"/>
      <c r="Y1561" s="48"/>
      <c r="Z1561" s="47"/>
      <c r="AA1561" s="69">
        <v>1561</v>
      </c>
      <c r="AB1561" s="69"/>
      <c r="AC1561" s="70"/>
      <c r="AD1561" s="76" t="s">
        <v>22773</v>
      </c>
      <c r="AE1561" s="81" t="s">
        <v>23884</v>
      </c>
      <c r="AF1561" s="76">
        <v>18813</v>
      </c>
      <c r="AG1561" s="76">
        <v>12316</v>
      </c>
      <c r="AH1561" s="76">
        <v>77165</v>
      </c>
      <c r="AI1561" s="76">
        <v>25</v>
      </c>
      <c r="AJ1561" s="76">
        <v>142086</v>
      </c>
      <c r="AK1561" s="76">
        <v>4247</v>
      </c>
      <c r="AL1561" s="76" t="b">
        <v>0</v>
      </c>
      <c r="AM1561" s="78">
        <v>43354.9216087963</v>
      </c>
      <c r="AN1561" s="76" t="s">
        <v>24614</v>
      </c>
      <c r="AO1561" s="76" t="s">
        <v>26091</v>
      </c>
      <c r="AP1561" s="76"/>
      <c r="AQ1561" s="76"/>
      <c r="AR1561" s="76"/>
      <c r="AS1561" s="76"/>
      <c r="AT1561" s="76"/>
      <c r="AU1561" s="76"/>
      <c r="AV1561" s="76"/>
      <c r="AW1561" s="76"/>
      <c r="AX1561" s="76" t="b">
        <v>0</v>
      </c>
      <c r="AY1561" s="76"/>
      <c r="AZ1561" s="76"/>
      <c r="BA1561" s="76" t="b">
        <v>1</v>
      </c>
      <c r="BB1561" s="76" t="b">
        <v>0</v>
      </c>
      <c r="BC1561" s="76" t="b">
        <v>0</v>
      </c>
      <c r="BD1561" s="76" t="b">
        <v>0</v>
      </c>
      <c r="BE1561" s="76" t="b">
        <v>1</v>
      </c>
      <c r="BF1561" s="76" t="b">
        <v>0</v>
      </c>
      <c r="BG1561" s="76" t="b">
        <v>0</v>
      </c>
      <c r="BH1561" s="82" t="str">
        <f>HYPERLINK("https://pbs.twimg.com/profile_banners/1039636482095337472/1649789834")</f>
        <v>https://pbs.twimg.com/profile_banners/1039636482095337472/1649789834</v>
      </c>
      <c r="BI1561" s="76"/>
      <c r="BJ1561" s="76" t="s">
        <v>27595</v>
      </c>
      <c r="BK1561" s="76" t="b">
        <v>0</v>
      </c>
      <c r="BL1561" s="76"/>
      <c r="BM1561" s="76" t="s">
        <v>65</v>
      </c>
      <c r="BN1561" s="76" t="s">
        <v>27597</v>
      </c>
      <c r="BO1561" s="82" t="str">
        <f>HYPERLINK("https://twitter.com/20petermel")</f>
        <v>https://twitter.com/20petermel</v>
      </c>
      <c r="BP1561" s="2"/>
    </row>
    <row r="1562" spans="1:68" x14ac:dyDescent="0.25">
      <c r="A1562" s="62" t="s">
        <v>2032</v>
      </c>
      <c r="B1562" s="63"/>
      <c r="C1562" s="63"/>
      <c r="D1562" s="64"/>
      <c r="E1562" s="66"/>
      <c r="F1562" s="103" t="str">
        <f>HYPERLINK("https://pbs.twimg.com/profile_images/1607290411273396225/0AK9svwz_normal.jpg")</f>
        <v>https://pbs.twimg.com/profile_images/1607290411273396225/0AK9svwz_normal.jpg</v>
      </c>
      <c r="G1562" s="63"/>
      <c r="H1562" s="67"/>
      <c r="I1562" s="68"/>
      <c r="J1562" s="68"/>
      <c r="K1562" s="67" t="s">
        <v>29156</v>
      </c>
      <c r="L1562" s="71"/>
      <c r="M1562" s="72"/>
      <c r="N1562" s="72"/>
      <c r="O1562" s="73"/>
      <c r="P1562" s="74"/>
      <c r="Q1562" s="74"/>
      <c r="R1562" s="87"/>
      <c r="S1562" s="87"/>
      <c r="T1562" s="87"/>
      <c r="U1562" s="87"/>
      <c r="V1562" s="48"/>
      <c r="W1562" s="48"/>
      <c r="X1562" s="48"/>
      <c r="Y1562" s="48"/>
      <c r="Z1562" s="47"/>
      <c r="AA1562" s="69">
        <v>1562</v>
      </c>
      <c r="AB1562" s="69"/>
      <c r="AC1562" s="70"/>
      <c r="AD1562" s="76" t="s">
        <v>22774</v>
      </c>
      <c r="AE1562" s="81" t="s">
        <v>23885</v>
      </c>
      <c r="AF1562" s="76">
        <v>29427</v>
      </c>
      <c r="AG1562" s="76">
        <v>1417</v>
      </c>
      <c r="AH1562" s="76">
        <v>253123</v>
      </c>
      <c r="AI1562" s="76">
        <v>171</v>
      </c>
      <c r="AJ1562" s="76">
        <v>24879</v>
      </c>
      <c r="AK1562" s="76">
        <v>31845</v>
      </c>
      <c r="AL1562" s="76" t="b">
        <v>0</v>
      </c>
      <c r="AM1562" s="78">
        <v>41840.173541666663</v>
      </c>
      <c r="AN1562" s="76" t="s">
        <v>24292</v>
      </c>
      <c r="AO1562" s="76" t="s">
        <v>26092</v>
      </c>
      <c r="AP1562" s="82" t="str">
        <f>HYPERLINK("https://t.co/HYs7MYb40f")</f>
        <v>https://t.co/HYs7MYb40f</v>
      </c>
      <c r="AQ1562" s="82" t="str">
        <f>HYPERLINK("https://linktr.ee/mexicolibertario")</f>
        <v>https://linktr.ee/mexicolibertario</v>
      </c>
      <c r="AR1562" s="76" t="s">
        <v>27207</v>
      </c>
      <c r="AS1562" s="82" t="str">
        <f>HYPERLINK("https://t.co/ZeXV8x6IEC")</f>
        <v>https://t.co/ZeXV8x6IEC</v>
      </c>
      <c r="AT1562" s="82" t="str">
        <f>HYPERLINK("https://www.MexicoLibertario.org")</f>
        <v>https://www.MexicoLibertario.org</v>
      </c>
      <c r="AU1562" s="76" t="s">
        <v>27560</v>
      </c>
      <c r="AV1562" s="76">
        <v>1.7074047966536499E+18</v>
      </c>
      <c r="AW1562" s="82" t="str">
        <f>HYPERLINK("https://t.co/HYs7MYb40f")</f>
        <v>https://t.co/HYs7MYb40f</v>
      </c>
      <c r="AX1562" s="76" t="b">
        <v>1</v>
      </c>
      <c r="AY1562" s="76"/>
      <c r="AZ1562" s="76"/>
      <c r="BA1562" s="76" t="b">
        <v>1</v>
      </c>
      <c r="BB1562" s="76" t="b">
        <v>0</v>
      </c>
      <c r="BC1562" s="76" t="b">
        <v>1</v>
      </c>
      <c r="BD1562" s="76" t="b">
        <v>0</v>
      </c>
      <c r="BE1562" s="76" t="b">
        <v>1</v>
      </c>
      <c r="BF1562" s="76" t="b">
        <v>0</v>
      </c>
      <c r="BG1562" s="76" t="b">
        <v>0</v>
      </c>
      <c r="BH1562" s="82" t="str">
        <f>HYPERLINK("https://pbs.twimg.com/profile_banners/2661645776/1595913949")</f>
        <v>https://pbs.twimg.com/profile_banners/2661645776/1595913949</v>
      </c>
      <c r="BI1562" s="76"/>
      <c r="BJ1562" s="76" t="s">
        <v>27595</v>
      </c>
      <c r="BK1562" s="76" t="b">
        <v>0</v>
      </c>
      <c r="BL1562" s="76"/>
      <c r="BM1562" s="76" t="s">
        <v>65</v>
      </c>
      <c r="BN1562" s="76" t="s">
        <v>27597</v>
      </c>
      <c r="BO1562" s="82" t="str">
        <f>HYPERLINK("https://twitter.com/mex_libertario")</f>
        <v>https://twitter.com/mex_libertario</v>
      </c>
      <c r="BP1562" s="2"/>
    </row>
    <row r="1563" spans="1:68" x14ac:dyDescent="0.25">
      <c r="A1563" s="62" t="s">
        <v>2033</v>
      </c>
      <c r="B1563" s="63"/>
      <c r="C1563" s="63"/>
      <c r="D1563" s="64"/>
      <c r="E1563" s="66"/>
      <c r="F1563" s="103" t="str">
        <f>HYPERLINK("https://pbs.twimg.com/profile_images/1695512208967438336/wrAHK53u_normal.jpg")</f>
        <v>https://pbs.twimg.com/profile_images/1695512208967438336/wrAHK53u_normal.jpg</v>
      </c>
      <c r="G1563" s="63"/>
      <c r="H1563" s="67"/>
      <c r="I1563" s="68"/>
      <c r="J1563" s="68"/>
      <c r="K1563" s="67" t="s">
        <v>29157</v>
      </c>
      <c r="L1563" s="71"/>
      <c r="M1563" s="72"/>
      <c r="N1563" s="72"/>
      <c r="O1563" s="73"/>
      <c r="P1563" s="74"/>
      <c r="Q1563" s="74"/>
      <c r="R1563" s="87"/>
      <c r="S1563" s="87"/>
      <c r="T1563" s="87"/>
      <c r="U1563" s="87"/>
      <c r="V1563" s="48"/>
      <c r="W1563" s="48"/>
      <c r="X1563" s="48"/>
      <c r="Y1563" s="48"/>
      <c r="Z1563" s="47"/>
      <c r="AA1563" s="69">
        <v>1563</v>
      </c>
      <c r="AB1563" s="69"/>
      <c r="AC1563" s="70"/>
      <c r="AD1563" s="76" t="s">
        <v>22775</v>
      </c>
      <c r="AE1563" s="81" t="s">
        <v>23886</v>
      </c>
      <c r="AF1563" s="76">
        <v>13950</v>
      </c>
      <c r="AG1563" s="76">
        <v>3557</v>
      </c>
      <c r="AH1563" s="76">
        <v>76173</v>
      </c>
      <c r="AI1563" s="76">
        <v>51</v>
      </c>
      <c r="AJ1563" s="76">
        <v>160616</v>
      </c>
      <c r="AK1563" s="76">
        <v>6630</v>
      </c>
      <c r="AL1563" s="76" t="b">
        <v>0</v>
      </c>
      <c r="AM1563" s="78">
        <v>40181.797847222224</v>
      </c>
      <c r="AN1563" s="76" t="s">
        <v>24615</v>
      </c>
      <c r="AO1563" s="76" t="s">
        <v>26093</v>
      </c>
      <c r="AP1563" s="82" t="str">
        <f>HYPERLINK("https://t.co/hyREN1JKDT")</f>
        <v>https://t.co/hyREN1JKDT</v>
      </c>
      <c r="AQ1563" s="82" t="str">
        <f>HYPERLINK("https://www.tiktok.com/@mahosalinas8?_t=8ZqePqt4QZK&amp;_r=1")</f>
        <v>https://www.tiktok.com/@mahosalinas8?_t=8ZqePqt4QZK&amp;_r=1</v>
      </c>
      <c r="AR1563" s="76" t="s">
        <v>27208</v>
      </c>
      <c r="AS1563" s="76"/>
      <c r="AT1563" s="76"/>
      <c r="AU1563" s="76"/>
      <c r="AV1563" s="76">
        <v>1.696985807268E+18</v>
      </c>
      <c r="AW1563" s="82" t="str">
        <f>HYPERLINK("https://t.co/hyREN1JKDT")</f>
        <v>https://t.co/hyREN1JKDT</v>
      </c>
      <c r="AX1563" s="76" t="b">
        <v>1</v>
      </c>
      <c r="AY1563" s="76"/>
      <c r="AZ1563" s="76"/>
      <c r="BA1563" s="76" t="b">
        <v>1</v>
      </c>
      <c r="BB1563" s="76" t="b">
        <v>0</v>
      </c>
      <c r="BC1563" s="76" t="b">
        <v>0</v>
      </c>
      <c r="BD1563" s="76" t="b">
        <v>0</v>
      </c>
      <c r="BE1563" s="76" t="b">
        <v>1</v>
      </c>
      <c r="BF1563" s="76" t="b">
        <v>0</v>
      </c>
      <c r="BG1563" s="76" t="b">
        <v>0</v>
      </c>
      <c r="BH1563" s="82" t="str">
        <f>HYPERLINK("https://pbs.twimg.com/profile_banners/101548903/1688263006")</f>
        <v>https://pbs.twimg.com/profile_banners/101548903/1688263006</v>
      </c>
      <c r="BI1563" s="76"/>
      <c r="BJ1563" s="76" t="s">
        <v>27595</v>
      </c>
      <c r="BK1563" s="76" t="b">
        <v>0</v>
      </c>
      <c r="BL1563" s="76"/>
      <c r="BM1563" s="76" t="s">
        <v>65</v>
      </c>
      <c r="BN1563" s="76" t="s">
        <v>27597</v>
      </c>
      <c r="BO1563" s="82" t="str">
        <f>HYPERLINK("https://twitter.com/marihoselibre")</f>
        <v>https://twitter.com/marihoselibre</v>
      </c>
      <c r="BP1563" s="2"/>
    </row>
    <row r="1564" spans="1:68" x14ac:dyDescent="0.25">
      <c r="A1564" s="62" t="s">
        <v>1411</v>
      </c>
      <c r="B1564" s="63"/>
      <c r="C1564" s="63"/>
      <c r="D1564" s="64"/>
      <c r="E1564" s="66"/>
      <c r="F1564" s="103" t="str">
        <f>HYPERLINK("https://pbs.twimg.com/profile_images/1288852830225391618/9BBgMfHh_normal.jpg")</f>
        <v>https://pbs.twimg.com/profile_images/1288852830225391618/9BBgMfHh_normal.jpg</v>
      </c>
      <c r="G1564" s="63"/>
      <c r="H1564" s="67"/>
      <c r="I1564" s="68"/>
      <c r="J1564" s="68"/>
      <c r="K1564" s="67" t="s">
        <v>29158</v>
      </c>
      <c r="L1564" s="71"/>
      <c r="M1564" s="72"/>
      <c r="N1564" s="72"/>
      <c r="O1564" s="73"/>
      <c r="P1564" s="74"/>
      <c r="Q1564" s="74"/>
      <c r="R1564" s="87"/>
      <c r="S1564" s="87"/>
      <c r="T1564" s="87"/>
      <c r="U1564" s="87"/>
      <c r="V1564" s="48"/>
      <c r="W1564" s="48"/>
      <c r="X1564" s="48"/>
      <c r="Y1564" s="48"/>
      <c r="Z1564" s="47"/>
      <c r="AA1564" s="69">
        <v>1564</v>
      </c>
      <c r="AB1564" s="69"/>
      <c r="AC1564" s="70"/>
      <c r="AD1564" s="76" t="s">
        <v>22776</v>
      </c>
      <c r="AE1564" s="81" t="s">
        <v>23887</v>
      </c>
      <c r="AF1564" s="76">
        <v>694</v>
      </c>
      <c r="AG1564" s="76">
        <v>930</v>
      </c>
      <c r="AH1564" s="76">
        <v>97187</v>
      </c>
      <c r="AI1564" s="76">
        <v>0</v>
      </c>
      <c r="AJ1564" s="76">
        <v>96400</v>
      </c>
      <c r="AK1564" s="76">
        <v>12</v>
      </c>
      <c r="AL1564" s="76" t="b">
        <v>0</v>
      </c>
      <c r="AM1564" s="78">
        <v>40357.511678240742</v>
      </c>
      <c r="AN1564" s="76" t="s">
        <v>24616</v>
      </c>
      <c r="AO1564" s="76" t="s">
        <v>26094</v>
      </c>
      <c r="AP1564" s="76"/>
      <c r="AQ1564" s="76"/>
      <c r="AR1564" s="76"/>
      <c r="AS1564" s="76"/>
      <c r="AT1564" s="76"/>
      <c r="AU1564" s="76"/>
      <c r="AV1564" s="76">
        <v>1.3193667659656399E+18</v>
      </c>
      <c r="AW1564" s="76"/>
      <c r="AX1564" s="76" t="b">
        <v>0</v>
      </c>
      <c r="AY1564" s="76"/>
      <c r="AZ1564" s="76"/>
      <c r="BA1564" s="76" t="b">
        <v>0</v>
      </c>
      <c r="BB1564" s="76" t="b">
        <v>1</v>
      </c>
      <c r="BC1564" s="76" t="b">
        <v>1</v>
      </c>
      <c r="BD1564" s="76" t="b">
        <v>0</v>
      </c>
      <c r="BE1564" s="76" t="b">
        <v>1</v>
      </c>
      <c r="BF1564" s="76" t="b">
        <v>0</v>
      </c>
      <c r="BG1564" s="76" t="b">
        <v>0</v>
      </c>
      <c r="BH1564" s="82" t="str">
        <f>HYPERLINK("https://pbs.twimg.com/profile_banners/160525513/1598492407")</f>
        <v>https://pbs.twimg.com/profile_banners/160525513/1598492407</v>
      </c>
      <c r="BI1564" s="76"/>
      <c r="BJ1564" s="76" t="s">
        <v>27595</v>
      </c>
      <c r="BK1564" s="76" t="b">
        <v>0</v>
      </c>
      <c r="BL1564" s="76"/>
      <c r="BM1564" s="76" t="s">
        <v>66</v>
      </c>
      <c r="BN1564" s="76" t="s">
        <v>27597</v>
      </c>
      <c r="BO1564" s="82" t="str">
        <f>HYPERLINK("https://twitter.com/justinianoneto")</f>
        <v>https://twitter.com/justinianoneto</v>
      </c>
      <c r="BP1564" s="2"/>
    </row>
    <row r="1565" spans="1:68" x14ac:dyDescent="0.25">
      <c r="A1565" s="62" t="s">
        <v>1412</v>
      </c>
      <c r="B1565" s="63"/>
      <c r="C1565" s="63"/>
      <c r="D1565" s="64"/>
      <c r="E1565" s="66"/>
      <c r="F1565" s="103" t="str">
        <f>HYPERLINK("https://pbs.twimg.com/profile_images/1674762465228234754/16RCrUHB_normal.jpg")</f>
        <v>https://pbs.twimg.com/profile_images/1674762465228234754/16RCrUHB_normal.jpg</v>
      </c>
      <c r="G1565" s="63"/>
      <c r="H1565" s="67"/>
      <c r="I1565" s="68"/>
      <c r="J1565" s="68"/>
      <c r="K1565" s="67" t="s">
        <v>29159</v>
      </c>
      <c r="L1565" s="71"/>
      <c r="M1565" s="72"/>
      <c r="N1565" s="72"/>
      <c r="O1565" s="73"/>
      <c r="P1565" s="74"/>
      <c r="Q1565" s="74"/>
      <c r="R1565" s="87"/>
      <c r="S1565" s="87"/>
      <c r="T1565" s="87"/>
      <c r="U1565" s="87"/>
      <c r="V1565" s="48"/>
      <c r="W1565" s="48"/>
      <c r="X1565" s="48"/>
      <c r="Y1565" s="48"/>
      <c r="Z1565" s="47"/>
      <c r="AA1565" s="69">
        <v>1565</v>
      </c>
      <c r="AB1565" s="69"/>
      <c r="AC1565" s="70"/>
      <c r="AD1565" s="76" t="s">
        <v>22777</v>
      </c>
      <c r="AE1565" s="81" t="s">
        <v>23888</v>
      </c>
      <c r="AF1565" s="76">
        <v>1725</v>
      </c>
      <c r="AG1565" s="76">
        <v>19</v>
      </c>
      <c r="AH1565" s="76">
        <v>1416</v>
      </c>
      <c r="AI1565" s="76">
        <v>0</v>
      </c>
      <c r="AJ1565" s="76">
        <v>21</v>
      </c>
      <c r="AK1565" s="76">
        <v>558</v>
      </c>
      <c r="AL1565" s="76" t="b">
        <v>0</v>
      </c>
      <c r="AM1565" s="78">
        <v>40002.639814814815</v>
      </c>
      <c r="AN1565" s="76" t="s">
        <v>14400</v>
      </c>
      <c r="AO1565" s="76" t="s">
        <v>26095</v>
      </c>
      <c r="AP1565" s="82" t="str">
        <f>HYPERLINK("https://t.co/aQq0g83J3L")</f>
        <v>https://t.co/aQq0g83J3L</v>
      </c>
      <c r="AQ1565" s="82" t="str">
        <f>HYPERLINK("http://www.abranet.org.br")</f>
        <v>http://www.abranet.org.br</v>
      </c>
      <c r="AR1565" s="76" t="s">
        <v>27209</v>
      </c>
      <c r="AS1565" s="76"/>
      <c r="AT1565" s="76"/>
      <c r="AU1565" s="76"/>
      <c r="AV1565" s="76"/>
      <c r="AW1565" s="82" t="str">
        <f>HYPERLINK("https://t.co/aQq0g83J3L")</f>
        <v>https://t.co/aQq0g83J3L</v>
      </c>
      <c r="AX1565" s="76" t="b">
        <v>0</v>
      </c>
      <c r="AY1565" s="76"/>
      <c r="AZ1565" s="76"/>
      <c r="BA1565" s="76" t="b">
        <v>0</v>
      </c>
      <c r="BB1565" s="76" t="b">
        <v>1</v>
      </c>
      <c r="BC1565" s="76" t="b">
        <v>1</v>
      </c>
      <c r="BD1565" s="76" t="b">
        <v>0</v>
      </c>
      <c r="BE1565" s="76" t="b">
        <v>1</v>
      </c>
      <c r="BF1565" s="76" t="b">
        <v>0</v>
      </c>
      <c r="BG1565" s="76" t="b">
        <v>0</v>
      </c>
      <c r="BH1565" s="82" t="str">
        <f>HYPERLINK("https://pbs.twimg.com/profile_banners/54925927/1688129268")</f>
        <v>https://pbs.twimg.com/profile_banners/54925927/1688129268</v>
      </c>
      <c r="BI1565" s="76"/>
      <c r="BJ1565" s="76" t="s">
        <v>27595</v>
      </c>
      <c r="BK1565" s="76" t="b">
        <v>0</v>
      </c>
      <c r="BL1565" s="76"/>
      <c r="BM1565" s="76" t="s">
        <v>66</v>
      </c>
      <c r="BN1565" s="76" t="s">
        <v>27597</v>
      </c>
      <c r="BO1565" s="82" t="str">
        <f>HYPERLINK("https://twitter.com/abranet_brasil")</f>
        <v>https://twitter.com/abranet_brasil</v>
      </c>
      <c r="BP1565" s="2"/>
    </row>
    <row r="1566" spans="1:68" x14ac:dyDescent="0.25">
      <c r="A1566" s="62" t="s">
        <v>1413</v>
      </c>
      <c r="B1566" s="63"/>
      <c r="C1566" s="63"/>
      <c r="D1566" s="64"/>
      <c r="E1566" s="66"/>
      <c r="F1566" s="103" t="str">
        <f>HYPERLINK("https://pbs.twimg.com/profile_images/1696244903557115904/jid2GioZ_normal.jpg")</f>
        <v>https://pbs.twimg.com/profile_images/1696244903557115904/jid2GioZ_normal.jpg</v>
      </c>
      <c r="G1566" s="63"/>
      <c r="H1566" s="67"/>
      <c r="I1566" s="68"/>
      <c r="J1566" s="68"/>
      <c r="K1566" s="67" t="s">
        <v>29160</v>
      </c>
      <c r="L1566" s="71"/>
      <c r="M1566" s="72"/>
      <c r="N1566" s="72"/>
      <c r="O1566" s="73"/>
      <c r="P1566" s="74"/>
      <c r="Q1566" s="74"/>
      <c r="R1566" s="87"/>
      <c r="S1566" s="87"/>
      <c r="T1566" s="87"/>
      <c r="U1566" s="87"/>
      <c r="V1566" s="48"/>
      <c r="W1566" s="48"/>
      <c r="X1566" s="48"/>
      <c r="Y1566" s="48"/>
      <c r="Z1566" s="47"/>
      <c r="AA1566" s="69">
        <v>1566</v>
      </c>
      <c r="AB1566" s="69"/>
      <c r="AC1566" s="70"/>
      <c r="AD1566" s="76" t="s">
        <v>22778</v>
      </c>
      <c r="AE1566" s="81" t="s">
        <v>20355</v>
      </c>
      <c r="AF1566" s="76">
        <v>7765</v>
      </c>
      <c r="AG1566" s="76">
        <v>7899</v>
      </c>
      <c r="AH1566" s="76">
        <v>1069</v>
      </c>
      <c r="AI1566" s="76">
        <v>14</v>
      </c>
      <c r="AJ1566" s="76">
        <v>128</v>
      </c>
      <c r="AK1566" s="76">
        <v>540</v>
      </c>
      <c r="AL1566" s="76" t="b">
        <v>0</v>
      </c>
      <c r="AM1566" s="78">
        <v>41006.958680555559</v>
      </c>
      <c r="AN1566" s="76"/>
      <c r="AO1566" s="76" t="s">
        <v>26096</v>
      </c>
      <c r="AP1566" s="82" t="str">
        <f>HYPERLINK("https://t.co/ttd75u0skg")</f>
        <v>https://t.co/ttd75u0skg</v>
      </c>
      <c r="AQ1566" s="82" t="str">
        <f>HYPERLINK("http://www.centralentuvida.cl")</f>
        <v>http://www.centralentuvida.cl</v>
      </c>
      <c r="AR1566" s="76" t="s">
        <v>27210</v>
      </c>
      <c r="AS1566" s="76"/>
      <c r="AT1566" s="76"/>
      <c r="AU1566" s="76"/>
      <c r="AV1566" s="76"/>
      <c r="AW1566" s="82" t="str">
        <f>HYPERLINK("https://t.co/ttd75u0skg")</f>
        <v>https://t.co/ttd75u0skg</v>
      </c>
      <c r="AX1566" s="76" t="b">
        <v>0</v>
      </c>
      <c r="AY1566" s="76"/>
      <c r="AZ1566" s="76"/>
      <c r="BA1566" s="76" t="b">
        <v>1</v>
      </c>
      <c r="BB1566" s="76" t="b">
        <v>1</v>
      </c>
      <c r="BC1566" s="76" t="b">
        <v>0</v>
      </c>
      <c r="BD1566" s="76" t="b">
        <v>0</v>
      </c>
      <c r="BE1566" s="76" t="b">
        <v>0</v>
      </c>
      <c r="BF1566" s="76" t="b">
        <v>0</v>
      </c>
      <c r="BG1566" s="76" t="b">
        <v>0</v>
      </c>
      <c r="BH1566" s="82" t="str">
        <f>HYPERLINK("https://pbs.twimg.com/profile_banners/547972417/1547753475")</f>
        <v>https://pbs.twimg.com/profile_banners/547972417/1547753475</v>
      </c>
      <c r="BI1566" s="76"/>
      <c r="BJ1566" s="76" t="s">
        <v>27595</v>
      </c>
      <c r="BK1566" s="76" t="b">
        <v>0</v>
      </c>
      <c r="BL1566" s="76"/>
      <c r="BM1566" s="76" t="s">
        <v>66</v>
      </c>
      <c r="BN1566" s="76" t="s">
        <v>27597</v>
      </c>
      <c r="BO1566" s="82" t="str">
        <f>HYPERLINK("https://twitter.com/centralentuvida")</f>
        <v>https://twitter.com/centralentuvida</v>
      </c>
      <c r="BP1566" s="2"/>
    </row>
    <row r="1567" spans="1:68" x14ac:dyDescent="0.25">
      <c r="A1567" s="62" t="s">
        <v>1414</v>
      </c>
      <c r="B1567" s="63"/>
      <c r="C1567" s="63"/>
      <c r="D1567" s="64"/>
      <c r="E1567" s="66"/>
      <c r="F1567" s="103" t="str">
        <f>HYPERLINK("https://pbs.twimg.com/profile_images/1608579362130886657/UT2_IVYr_normal.jpg")</f>
        <v>https://pbs.twimg.com/profile_images/1608579362130886657/UT2_IVYr_normal.jpg</v>
      </c>
      <c r="G1567" s="63"/>
      <c r="H1567" s="67"/>
      <c r="I1567" s="68"/>
      <c r="J1567" s="68"/>
      <c r="K1567" s="67" t="s">
        <v>29161</v>
      </c>
      <c r="L1567" s="71"/>
      <c r="M1567" s="72"/>
      <c r="N1567" s="72"/>
      <c r="O1567" s="73"/>
      <c r="P1567" s="74"/>
      <c r="Q1567" s="74"/>
      <c r="R1567" s="87"/>
      <c r="S1567" s="87"/>
      <c r="T1567" s="87"/>
      <c r="U1567" s="87"/>
      <c r="V1567" s="48"/>
      <c r="W1567" s="48"/>
      <c r="X1567" s="48"/>
      <c r="Y1567" s="48"/>
      <c r="Z1567" s="47"/>
      <c r="AA1567" s="69">
        <v>1567</v>
      </c>
      <c r="AB1567" s="69"/>
      <c r="AC1567" s="70"/>
      <c r="AD1567" s="76" t="s">
        <v>21797</v>
      </c>
      <c r="AE1567" s="81" t="s">
        <v>21076</v>
      </c>
      <c r="AF1567" s="76">
        <v>26</v>
      </c>
      <c r="AG1567" s="76">
        <v>455</v>
      </c>
      <c r="AH1567" s="76">
        <v>9668</v>
      </c>
      <c r="AI1567" s="76">
        <v>1</v>
      </c>
      <c r="AJ1567" s="76">
        <v>8676</v>
      </c>
      <c r="AK1567" s="76">
        <v>1153</v>
      </c>
      <c r="AL1567" s="76" t="b">
        <v>0</v>
      </c>
      <c r="AM1567" s="78">
        <v>43017.784942129627</v>
      </c>
      <c r="AN1567" s="76" t="s">
        <v>24113</v>
      </c>
      <c r="AO1567" s="76" t="s">
        <v>26097</v>
      </c>
      <c r="AP1567" s="76"/>
      <c r="AQ1567" s="76"/>
      <c r="AR1567" s="76"/>
      <c r="AS1567" s="76"/>
      <c r="AT1567" s="76"/>
      <c r="AU1567" s="76"/>
      <c r="AV1567" s="76">
        <v>1.57964277551951E+18</v>
      </c>
      <c r="AW1567" s="76"/>
      <c r="AX1567" s="76" t="b">
        <v>0</v>
      </c>
      <c r="AY1567" s="76"/>
      <c r="AZ1567" s="76"/>
      <c r="BA1567" s="76" t="b">
        <v>0</v>
      </c>
      <c r="BB1567" s="76" t="b">
        <v>1</v>
      </c>
      <c r="BC1567" s="76" t="b">
        <v>1</v>
      </c>
      <c r="BD1567" s="76" t="b">
        <v>0</v>
      </c>
      <c r="BE1567" s="76" t="b">
        <v>0</v>
      </c>
      <c r="BF1567" s="76" t="b">
        <v>0</v>
      </c>
      <c r="BG1567" s="76" t="b">
        <v>1</v>
      </c>
      <c r="BH1567" s="82" t="str">
        <f>HYPERLINK("https://pbs.twimg.com/profile_banners/917462244841152519/1661198607")</f>
        <v>https://pbs.twimg.com/profile_banners/917462244841152519/1661198607</v>
      </c>
      <c r="BI1567" s="76"/>
      <c r="BJ1567" s="76" t="s">
        <v>27595</v>
      </c>
      <c r="BK1567" s="76" t="b">
        <v>0</v>
      </c>
      <c r="BL1567" s="76"/>
      <c r="BM1567" s="76" t="s">
        <v>66</v>
      </c>
      <c r="BN1567" s="76" t="s">
        <v>27597</v>
      </c>
      <c r="BO1567" s="82" t="str">
        <f>HYPERLINK("https://twitter.com/danybuccolo")</f>
        <v>https://twitter.com/danybuccolo</v>
      </c>
      <c r="BP1567" s="2"/>
    </row>
    <row r="1568" spans="1:68" x14ac:dyDescent="0.25">
      <c r="A1568" s="62" t="s">
        <v>2034</v>
      </c>
      <c r="B1568" s="63"/>
      <c r="C1568" s="63"/>
      <c r="D1568" s="64"/>
      <c r="E1568" s="66"/>
      <c r="F1568" s="103" t="str">
        <f>HYPERLINK("https://pbs.twimg.com/profile_images/1254926522332389377/r6jXSIbC_normal.jpg")</f>
        <v>https://pbs.twimg.com/profile_images/1254926522332389377/r6jXSIbC_normal.jpg</v>
      </c>
      <c r="G1568" s="63"/>
      <c r="H1568" s="67"/>
      <c r="I1568" s="68"/>
      <c r="J1568" s="68"/>
      <c r="K1568" s="67" t="s">
        <v>29162</v>
      </c>
      <c r="L1568" s="71"/>
      <c r="M1568" s="72"/>
      <c r="N1568" s="72"/>
      <c r="O1568" s="73"/>
      <c r="P1568" s="74"/>
      <c r="Q1568" s="74"/>
      <c r="R1568" s="87"/>
      <c r="S1568" s="87"/>
      <c r="T1568" s="87"/>
      <c r="U1568" s="87"/>
      <c r="V1568" s="48"/>
      <c r="W1568" s="48"/>
      <c r="X1568" s="48"/>
      <c r="Y1568" s="48"/>
      <c r="Z1568" s="47"/>
      <c r="AA1568" s="69">
        <v>1568</v>
      </c>
      <c r="AB1568" s="69"/>
      <c r="AC1568" s="70"/>
      <c r="AD1568" s="76" t="s">
        <v>22779</v>
      </c>
      <c r="AE1568" s="81" t="s">
        <v>20356</v>
      </c>
      <c r="AF1568" s="76">
        <v>30088</v>
      </c>
      <c r="AG1568" s="76">
        <v>2385</v>
      </c>
      <c r="AH1568" s="76">
        <v>15049</v>
      </c>
      <c r="AI1568" s="76">
        <v>225</v>
      </c>
      <c r="AJ1568" s="76">
        <v>7541</v>
      </c>
      <c r="AK1568" s="76">
        <v>781</v>
      </c>
      <c r="AL1568" s="76" t="b">
        <v>0</v>
      </c>
      <c r="AM1568" s="78">
        <v>40051.824733796297</v>
      </c>
      <c r="AN1568" s="76" t="s">
        <v>24114</v>
      </c>
      <c r="AO1568" s="76" t="s">
        <v>26098</v>
      </c>
      <c r="AP1568" s="82" t="str">
        <f>HYPERLINK("https://t.co/TD6CzmlGvv")</f>
        <v>https://t.co/TD6CzmlGvv</v>
      </c>
      <c r="AQ1568" s="82" t="str">
        <f>HYPERLINK("http://www.vil-metal.com.ar")</f>
        <v>http://www.vil-metal.com.ar</v>
      </c>
      <c r="AR1568" s="76" t="s">
        <v>27211</v>
      </c>
      <c r="AS1568" s="82" t="str">
        <f>HYPERLINK("https://t.co/fcPkop4ocr")</f>
        <v>https://t.co/fcPkop4ocr</v>
      </c>
      <c r="AT1568" s="82" t="str">
        <f>HYPERLINK("https://instagram.com/ceciliaboufflet?igshid=1dflgnuie83ql")</f>
        <v>https://instagram.com/ceciliaboufflet?igshid=1dflgnuie83ql</v>
      </c>
      <c r="AU1568" s="76" t="s">
        <v>27561</v>
      </c>
      <c r="AV1568" s="76"/>
      <c r="AW1568" s="82" t="str">
        <f>HYPERLINK("https://t.co/TD6CzmlGvv")</f>
        <v>https://t.co/TD6CzmlGvv</v>
      </c>
      <c r="AX1568" s="76" t="b">
        <v>0</v>
      </c>
      <c r="AY1568" s="76"/>
      <c r="AZ1568" s="76"/>
      <c r="BA1568" s="76" t="b">
        <v>0</v>
      </c>
      <c r="BB1568" s="76" t="b">
        <v>1</v>
      </c>
      <c r="BC1568" s="76" t="b">
        <v>0</v>
      </c>
      <c r="BD1568" s="76" t="b">
        <v>0</v>
      </c>
      <c r="BE1568" s="76" t="b">
        <v>1</v>
      </c>
      <c r="BF1568" s="76" t="b">
        <v>0</v>
      </c>
      <c r="BG1568" s="76" t="b">
        <v>0</v>
      </c>
      <c r="BH1568" s="82" t="str">
        <f>HYPERLINK("https://pbs.twimg.com/profile_banners/69075696/1462925866")</f>
        <v>https://pbs.twimg.com/profile_banners/69075696/1462925866</v>
      </c>
      <c r="BI1568" s="76"/>
      <c r="BJ1568" s="76" t="s">
        <v>27595</v>
      </c>
      <c r="BK1568" s="76" t="b">
        <v>0</v>
      </c>
      <c r="BL1568" s="76"/>
      <c r="BM1568" s="76" t="s">
        <v>65</v>
      </c>
      <c r="BN1568" s="76" t="s">
        <v>27597</v>
      </c>
      <c r="BO1568" s="82" t="str">
        <f>HYPERLINK("https://twitter.com/ceciliaboufflet")</f>
        <v>https://twitter.com/ceciliaboufflet</v>
      </c>
      <c r="BP1568" s="2"/>
    </row>
    <row r="1569" spans="1:68" x14ac:dyDescent="0.25">
      <c r="A1569" s="62" t="s">
        <v>1415</v>
      </c>
      <c r="B1569" s="63"/>
      <c r="C1569" s="63"/>
      <c r="D1569" s="64"/>
      <c r="E1569" s="66"/>
      <c r="F1569" s="103" t="str">
        <f>HYPERLINK("https://pbs.twimg.com/profile_images/1349494197506727942/FOcIJhSB_normal.jpg")</f>
        <v>https://pbs.twimg.com/profile_images/1349494197506727942/FOcIJhSB_normal.jpg</v>
      </c>
      <c r="G1569" s="63"/>
      <c r="H1569" s="67"/>
      <c r="I1569" s="68"/>
      <c r="J1569" s="68"/>
      <c r="K1569" s="67" t="s">
        <v>29163</v>
      </c>
      <c r="L1569" s="71"/>
      <c r="M1569" s="72"/>
      <c r="N1569" s="72"/>
      <c r="O1569" s="73"/>
      <c r="P1569" s="74"/>
      <c r="Q1569" s="74"/>
      <c r="R1569" s="87"/>
      <c r="S1569" s="87"/>
      <c r="T1569" s="87"/>
      <c r="U1569" s="87"/>
      <c r="V1569" s="48"/>
      <c r="W1569" s="48"/>
      <c r="X1569" s="48"/>
      <c r="Y1569" s="48"/>
      <c r="Z1569" s="47"/>
      <c r="AA1569" s="69">
        <v>1569</v>
      </c>
      <c r="AB1569" s="69"/>
      <c r="AC1569" s="70"/>
      <c r="AD1569" s="76" t="s">
        <v>22780</v>
      </c>
      <c r="AE1569" s="81" t="s">
        <v>23889</v>
      </c>
      <c r="AF1569" s="76">
        <v>26466</v>
      </c>
      <c r="AG1569" s="76">
        <v>2066</v>
      </c>
      <c r="AH1569" s="76">
        <v>195809</v>
      </c>
      <c r="AI1569" s="76">
        <v>114</v>
      </c>
      <c r="AJ1569" s="76">
        <v>654</v>
      </c>
      <c r="AK1569" s="76">
        <v>43818</v>
      </c>
      <c r="AL1569" s="76" t="b">
        <v>0</v>
      </c>
      <c r="AM1569" s="78">
        <v>41678.571562500001</v>
      </c>
      <c r="AN1569" s="76" t="s">
        <v>24617</v>
      </c>
      <c r="AO1569" s="76" t="s">
        <v>26099</v>
      </c>
      <c r="AP1569" s="82" t="str">
        <f>HYPERLINK("https://t.co/jbux7OEOO3")</f>
        <v>https://t.co/jbux7OEOO3</v>
      </c>
      <c r="AQ1569" s="82" t="str">
        <f>HYPERLINK("http://www.radio3cadenapatagonia.com.ar")</f>
        <v>http://www.radio3cadenapatagonia.com.ar</v>
      </c>
      <c r="AR1569" s="76" t="s">
        <v>27212</v>
      </c>
      <c r="AS1569" s="76"/>
      <c r="AT1569" s="76"/>
      <c r="AU1569" s="76"/>
      <c r="AV1569" s="76"/>
      <c r="AW1569" s="82" t="str">
        <f>HYPERLINK("https://t.co/jbux7OEOO3")</f>
        <v>https://t.co/jbux7OEOO3</v>
      </c>
      <c r="AX1569" s="76" t="b">
        <v>0</v>
      </c>
      <c r="AY1569" s="76"/>
      <c r="AZ1569" s="76"/>
      <c r="BA1569" s="76" t="b">
        <v>0</v>
      </c>
      <c r="BB1569" s="76" t="b">
        <v>1</v>
      </c>
      <c r="BC1569" s="76" t="b">
        <v>0</v>
      </c>
      <c r="BD1569" s="76" t="b">
        <v>0</v>
      </c>
      <c r="BE1569" s="76" t="b">
        <v>1</v>
      </c>
      <c r="BF1569" s="76" t="b">
        <v>0</v>
      </c>
      <c r="BG1569" s="76" t="b">
        <v>0</v>
      </c>
      <c r="BH1569" s="82" t="str">
        <f>HYPERLINK("https://pbs.twimg.com/profile_banners/2333499318/1613077637")</f>
        <v>https://pbs.twimg.com/profile_banners/2333499318/1613077637</v>
      </c>
      <c r="BI1569" s="76"/>
      <c r="BJ1569" s="76" t="s">
        <v>27595</v>
      </c>
      <c r="BK1569" s="76" t="b">
        <v>0</v>
      </c>
      <c r="BL1569" s="76"/>
      <c r="BM1569" s="76" t="s">
        <v>66</v>
      </c>
      <c r="BN1569" s="76" t="s">
        <v>27597</v>
      </c>
      <c r="BO1569" s="82" t="str">
        <f>HYPERLINK("https://twitter.com/radio3trelew")</f>
        <v>https://twitter.com/radio3trelew</v>
      </c>
      <c r="BP1569" s="2"/>
    </row>
    <row r="1570" spans="1:68" x14ac:dyDescent="0.25">
      <c r="A1570" s="62" t="s">
        <v>1416</v>
      </c>
      <c r="B1570" s="63"/>
      <c r="C1570" s="63"/>
      <c r="D1570" s="64"/>
      <c r="E1570" s="66"/>
      <c r="F1570" s="103" t="str">
        <f>HYPERLINK("https://pbs.twimg.com/profile_images/1543713897873657860/G7Vci2Ic_normal.jpg")</f>
        <v>https://pbs.twimg.com/profile_images/1543713897873657860/G7Vci2Ic_normal.jpg</v>
      </c>
      <c r="G1570" s="63"/>
      <c r="H1570" s="67"/>
      <c r="I1570" s="68"/>
      <c r="J1570" s="68"/>
      <c r="K1570" s="67" t="s">
        <v>29164</v>
      </c>
      <c r="L1570" s="71"/>
      <c r="M1570" s="72"/>
      <c r="N1570" s="72"/>
      <c r="O1570" s="73"/>
      <c r="P1570" s="74"/>
      <c r="Q1570" s="74"/>
      <c r="R1570" s="87"/>
      <c r="S1570" s="87"/>
      <c r="T1570" s="87"/>
      <c r="U1570" s="87"/>
      <c r="V1570" s="48"/>
      <c r="W1570" s="48"/>
      <c r="X1570" s="48"/>
      <c r="Y1570" s="48"/>
      <c r="Z1570" s="47"/>
      <c r="AA1570" s="69">
        <v>1570</v>
      </c>
      <c r="AB1570" s="69"/>
      <c r="AC1570" s="70"/>
      <c r="AD1570" s="76" t="s">
        <v>22781</v>
      </c>
      <c r="AE1570" s="81" t="s">
        <v>21077</v>
      </c>
      <c r="AF1570" s="76">
        <v>1199</v>
      </c>
      <c r="AG1570" s="76">
        <v>1265</v>
      </c>
      <c r="AH1570" s="76">
        <v>62166</v>
      </c>
      <c r="AI1570" s="76">
        <v>3</v>
      </c>
      <c r="AJ1570" s="76">
        <v>52447</v>
      </c>
      <c r="AK1570" s="76">
        <v>2886</v>
      </c>
      <c r="AL1570" s="76" t="b">
        <v>0</v>
      </c>
      <c r="AM1570" s="78">
        <v>44211.784074074072</v>
      </c>
      <c r="AN1570" s="76"/>
      <c r="AO1570" s="76" t="s">
        <v>26100</v>
      </c>
      <c r="AP1570" s="76"/>
      <c r="AQ1570" s="76"/>
      <c r="AR1570" s="76"/>
      <c r="AS1570" s="76"/>
      <c r="AT1570" s="76"/>
      <c r="AU1570" s="76"/>
      <c r="AV1570" s="76">
        <v>1.6470973036547E+18</v>
      </c>
      <c r="AW1570" s="76"/>
      <c r="AX1570" s="76" t="b">
        <v>0</v>
      </c>
      <c r="AY1570" s="76"/>
      <c r="AZ1570" s="76"/>
      <c r="BA1570" s="76" t="b">
        <v>1</v>
      </c>
      <c r="BB1570" s="76" t="b">
        <v>1</v>
      </c>
      <c r="BC1570" s="76" t="b">
        <v>1</v>
      </c>
      <c r="BD1570" s="76" t="b">
        <v>0</v>
      </c>
      <c r="BE1570" s="76" t="b">
        <v>1</v>
      </c>
      <c r="BF1570" s="76" t="b">
        <v>0</v>
      </c>
      <c r="BG1570" s="76" t="b">
        <v>0</v>
      </c>
      <c r="BH1570" s="82" t="str">
        <f>HYPERLINK("https://pbs.twimg.com/profile_banners/1350152995657424897/1656192405")</f>
        <v>https://pbs.twimg.com/profile_banners/1350152995657424897/1656192405</v>
      </c>
      <c r="BI1570" s="76"/>
      <c r="BJ1570" s="76" t="s">
        <v>27595</v>
      </c>
      <c r="BK1570" s="76" t="b">
        <v>0</v>
      </c>
      <c r="BL1570" s="76"/>
      <c r="BM1570" s="76" t="s">
        <v>66</v>
      </c>
      <c r="BN1570" s="76" t="s">
        <v>27597</v>
      </c>
      <c r="BO1570" s="82" t="str">
        <f>HYPERLINK("https://twitter.com/girafales15")</f>
        <v>https://twitter.com/girafales15</v>
      </c>
      <c r="BP1570" s="2"/>
    </row>
    <row r="1571" spans="1:68" x14ac:dyDescent="0.25">
      <c r="A1571" s="62" t="s">
        <v>1417</v>
      </c>
      <c r="B1571" s="63"/>
      <c r="C1571" s="63"/>
      <c r="D1571" s="64"/>
      <c r="E1571" s="66"/>
      <c r="F1571" s="103" t="str">
        <f>HYPERLINK("https://pbs.twimg.com/profile_images/1630357830791225348/RQpBn63d_normal.png")</f>
        <v>https://pbs.twimg.com/profile_images/1630357830791225348/RQpBn63d_normal.png</v>
      </c>
      <c r="G1571" s="63"/>
      <c r="H1571" s="67"/>
      <c r="I1571" s="68"/>
      <c r="J1571" s="68"/>
      <c r="K1571" s="67" t="s">
        <v>29165</v>
      </c>
      <c r="L1571" s="71"/>
      <c r="M1571" s="72"/>
      <c r="N1571" s="72"/>
      <c r="O1571" s="73"/>
      <c r="P1571" s="74"/>
      <c r="Q1571" s="74"/>
      <c r="R1571" s="87"/>
      <c r="S1571" s="87"/>
      <c r="T1571" s="87"/>
      <c r="U1571" s="87"/>
      <c r="V1571" s="48"/>
      <c r="W1571" s="48"/>
      <c r="X1571" s="48"/>
      <c r="Y1571" s="48"/>
      <c r="Z1571" s="47"/>
      <c r="AA1571" s="69">
        <v>1571</v>
      </c>
      <c r="AB1571" s="69"/>
      <c r="AC1571" s="70"/>
      <c r="AD1571" s="76" t="s">
        <v>22782</v>
      </c>
      <c r="AE1571" s="81" t="s">
        <v>20357</v>
      </c>
      <c r="AF1571" s="76">
        <v>794</v>
      </c>
      <c r="AG1571" s="76">
        <v>2255</v>
      </c>
      <c r="AH1571" s="76">
        <v>6032</v>
      </c>
      <c r="AI1571" s="76">
        <v>1</v>
      </c>
      <c r="AJ1571" s="76">
        <v>6382</v>
      </c>
      <c r="AK1571" s="76">
        <v>540</v>
      </c>
      <c r="AL1571" s="76" t="b">
        <v>0</v>
      </c>
      <c r="AM1571" s="78">
        <v>44410.791747685187</v>
      </c>
      <c r="AN1571" s="76"/>
      <c r="AO1571" s="76" t="s">
        <v>26101</v>
      </c>
      <c r="AP1571" s="76"/>
      <c r="AQ1571" s="76"/>
      <c r="AR1571" s="76"/>
      <c r="AS1571" s="76"/>
      <c r="AT1571" s="76"/>
      <c r="AU1571" s="76"/>
      <c r="AV1571" s="76"/>
      <c r="AW1571" s="76"/>
      <c r="AX1571" s="76" t="b">
        <v>0</v>
      </c>
      <c r="AY1571" s="76"/>
      <c r="AZ1571" s="76"/>
      <c r="BA1571" s="76" t="b">
        <v>0</v>
      </c>
      <c r="BB1571" s="76" t="b">
        <v>1</v>
      </c>
      <c r="BC1571" s="76" t="b">
        <v>1</v>
      </c>
      <c r="BD1571" s="76" t="b">
        <v>0</v>
      </c>
      <c r="BE1571" s="76" t="b">
        <v>1</v>
      </c>
      <c r="BF1571" s="76" t="b">
        <v>0</v>
      </c>
      <c r="BG1571" s="76" t="b">
        <v>0</v>
      </c>
      <c r="BH1571" s="82" t="str">
        <f>HYPERLINK("https://pbs.twimg.com/profile_banners/1422270945004331014/1695733440")</f>
        <v>https://pbs.twimg.com/profile_banners/1422270945004331014/1695733440</v>
      </c>
      <c r="BI1571" s="76"/>
      <c r="BJ1571" s="76" t="s">
        <v>27595</v>
      </c>
      <c r="BK1571" s="76" t="b">
        <v>0</v>
      </c>
      <c r="BL1571" s="76"/>
      <c r="BM1571" s="76" t="s">
        <v>66</v>
      </c>
      <c r="BN1571" s="76" t="s">
        <v>27597</v>
      </c>
      <c r="BO1571" s="82" t="str">
        <f>HYPERLINK("https://twitter.com/potato_182")</f>
        <v>https://twitter.com/potato_182</v>
      </c>
      <c r="BP1571" s="2"/>
    </row>
    <row r="1572" spans="1:68" x14ac:dyDescent="0.25">
      <c r="A1572" s="62" t="s">
        <v>1419</v>
      </c>
      <c r="B1572" s="63"/>
      <c r="C1572" s="63"/>
      <c r="D1572" s="64"/>
      <c r="E1572" s="66"/>
      <c r="F1572" s="103" t="str">
        <f>HYPERLINK("https://pbs.twimg.com/profile_images/1688729005489291264/O1iWz91z_normal.jpg")</f>
        <v>https://pbs.twimg.com/profile_images/1688729005489291264/O1iWz91z_normal.jpg</v>
      </c>
      <c r="G1572" s="63"/>
      <c r="H1572" s="67"/>
      <c r="I1572" s="68"/>
      <c r="J1572" s="68"/>
      <c r="K1572" s="67" t="s">
        <v>29166</v>
      </c>
      <c r="L1572" s="71"/>
      <c r="M1572" s="72"/>
      <c r="N1572" s="72"/>
      <c r="O1572" s="73"/>
      <c r="P1572" s="74"/>
      <c r="Q1572" s="74"/>
      <c r="R1572" s="87"/>
      <c r="S1572" s="87"/>
      <c r="T1572" s="87"/>
      <c r="U1572" s="87"/>
      <c r="V1572" s="48"/>
      <c r="W1572" s="48"/>
      <c r="X1572" s="48"/>
      <c r="Y1572" s="48"/>
      <c r="Z1572" s="47"/>
      <c r="AA1572" s="69">
        <v>1572</v>
      </c>
      <c r="AB1572" s="69"/>
      <c r="AC1572" s="70"/>
      <c r="AD1572" s="76" t="s">
        <v>22783</v>
      </c>
      <c r="AE1572" s="81" t="s">
        <v>23890</v>
      </c>
      <c r="AF1572" s="76">
        <v>2464</v>
      </c>
      <c r="AG1572" s="76">
        <v>2852</v>
      </c>
      <c r="AH1572" s="76">
        <v>16537</v>
      </c>
      <c r="AI1572" s="76">
        <v>13</v>
      </c>
      <c r="AJ1572" s="76">
        <v>5632</v>
      </c>
      <c r="AK1572" s="76">
        <v>726</v>
      </c>
      <c r="AL1572" s="76" t="b">
        <v>0</v>
      </c>
      <c r="AM1572" s="78">
        <v>39738.951874999999</v>
      </c>
      <c r="AN1572" s="76" t="s">
        <v>24618</v>
      </c>
      <c r="AO1572" s="76" t="s">
        <v>26102</v>
      </c>
      <c r="AP1572" s="76"/>
      <c r="AQ1572" s="76"/>
      <c r="AR1572" s="76"/>
      <c r="AS1572" s="76"/>
      <c r="AT1572" s="76"/>
      <c r="AU1572" s="76"/>
      <c r="AV1572" s="76"/>
      <c r="AW1572" s="76"/>
      <c r="AX1572" s="76" t="b">
        <v>0</v>
      </c>
      <c r="AY1572" s="76"/>
      <c r="AZ1572" s="76"/>
      <c r="BA1572" s="76" t="b">
        <v>1</v>
      </c>
      <c r="BB1572" s="76" t="b">
        <v>0</v>
      </c>
      <c r="BC1572" s="76" t="b">
        <v>0</v>
      </c>
      <c r="BD1572" s="76" t="b">
        <v>0</v>
      </c>
      <c r="BE1572" s="76" t="b">
        <v>1</v>
      </c>
      <c r="BF1572" s="76" t="b">
        <v>0</v>
      </c>
      <c r="BG1572" s="76" t="b">
        <v>0</v>
      </c>
      <c r="BH1572" s="82" t="str">
        <f>HYPERLINK("https://pbs.twimg.com/profile_banners/16832442/1691415360")</f>
        <v>https://pbs.twimg.com/profile_banners/16832442/1691415360</v>
      </c>
      <c r="BI1572" s="76"/>
      <c r="BJ1572" s="76" t="s">
        <v>27595</v>
      </c>
      <c r="BK1572" s="76" t="b">
        <v>0</v>
      </c>
      <c r="BL1572" s="76"/>
      <c r="BM1572" s="76" t="s">
        <v>66</v>
      </c>
      <c r="BN1572" s="76" t="s">
        <v>27597</v>
      </c>
      <c r="BO1572" s="82" t="str">
        <f>HYPERLINK("https://twitter.com/evertondantas")</f>
        <v>https://twitter.com/evertondantas</v>
      </c>
      <c r="BP1572" s="2"/>
    </row>
    <row r="1573" spans="1:68" x14ac:dyDescent="0.25">
      <c r="A1573" s="62" t="s">
        <v>1420</v>
      </c>
      <c r="B1573" s="63"/>
      <c r="C1573" s="63"/>
      <c r="D1573" s="64"/>
      <c r="E1573" s="66"/>
      <c r="F1573" s="103" t="str">
        <f>HYPERLINK("https://pbs.twimg.com/profile_images/1542916316188786688/nzDF5lbr_normal.jpg")</f>
        <v>https://pbs.twimg.com/profile_images/1542916316188786688/nzDF5lbr_normal.jpg</v>
      </c>
      <c r="G1573" s="63"/>
      <c r="H1573" s="67"/>
      <c r="I1573" s="68"/>
      <c r="J1573" s="68"/>
      <c r="K1573" s="67" t="s">
        <v>29167</v>
      </c>
      <c r="L1573" s="71"/>
      <c r="M1573" s="72"/>
      <c r="N1573" s="72"/>
      <c r="O1573" s="73"/>
      <c r="P1573" s="74"/>
      <c r="Q1573" s="74"/>
      <c r="R1573" s="87"/>
      <c r="S1573" s="87"/>
      <c r="T1573" s="87"/>
      <c r="U1573" s="87"/>
      <c r="V1573" s="48"/>
      <c r="W1573" s="48"/>
      <c r="X1573" s="48"/>
      <c r="Y1573" s="48"/>
      <c r="Z1573" s="47"/>
      <c r="AA1573" s="69">
        <v>1573</v>
      </c>
      <c r="AB1573" s="69"/>
      <c r="AC1573" s="70"/>
      <c r="AD1573" s="76" t="s">
        <v>22784</v>
      </c>
      <c r="AE1573" s="81" t="s">
        <v>23891</v>
      </c>
      <c r="AF1573" s="76">
        <v>2778</v>
      </c>
      <c r="AG1573" s="76">
        <v>127</v>
      </c>
      <c r="AH1573" s="76">
        <v>3528</v>
      </c>
      <c r="AI1573" s="76">
        <v>23</v>
      </c>
      <c r="AJ1573" s="76">
        <v>400</v>
      </c>
      <c r="AK1573" s="76">
        <v>2107</v>
      </c>
      <c r="AL1573" s="76" t="b">
        <v>0</v>
      </c>
      <c r="AM1573" s="78">
        <v>40589.977418981478</v>
      </c>
      <c r="AN1573" s="76" t="s">
        <v>24341</v>
      </c>
      <c r="AO1573" s="76" t="s">
        <v>26103</v>
      </c>
      <c r="AP1573" s="82" t="str">
        <f>HYPERLINK("https://t.co/V3mjnI84fp")</f>
        <v>https://t.co/V3mjnI84fp</v>
      </c>
      <c r="AQ1573" s="82" t="str">
        <f>HYPERLINK("http://www.bolsacr.com")</f>
        <v>http://www.bolsacr.com</v>
      </c>
      <c r="AR1573" s="76" t="s">
        <v>27213</v>
      </c>
      <c r="AS1573" s="76"/>
      <c r="AT1573" s="76"/>
      <c r="AU1573" s="76"/>
      <c r="AV1573" s="76"/>
      <c r="AW1573" s="82" t="str">
        <f>HYPERLINK("https://t.co/V3mjnI84fp")</f>
        <v>https://t.co/V3mjnI84fp</v>
      </c>
      <c r="AX1573" s="76" t="b">
        <v>0</v>
      </c>
      <c r="AY1573" s="76"/>
      <c r="AZ1573" s="76"/>
      <c r="BA1573" s="76" t="b">
        <v>0</v>
      </c>
      <c r="BB1573" s="76" t="b">
        <v>1</v>
      </c>
      <c r="BC1573" s="76" t="b">
        <v>0</v>
      </c>
      <c r="BD1573" s="76" t="b">
        <v>0</v>
      </c>
      <c r="BE1573" s="76" t="b">
        <v>0</v>
      </c>
      <c r="BF1573" s="76" t="b">
        <v>0</v>
      </c>
      <c r="BG1573" s="76" t="b">
        <v>0</v>
      </c>
      <c r="BH1573" s="82" t="str">
        <f>HYPERLINK("https://pbs.twimg.com/profile_banners/252806845/1691424102")</f>
        <v>https://pbs.twimg.com/profile_banners/252806845/1691424102</v>
      </c>
      <c r="BI1573" s="76"/>
      <c r="BJ1573" s="76" t="s">
        <v>27595</v>
      </c>
      <c r="BK1573" s="76" t="b">
        <v>0</v>
      </c>
      <c r="BL1573" s="76"/>
      <c r="BM1573" s="76" t="s">
        <v>66</v>
      </c>
      <c r="BN1573" s="76" t="s">
        <v>27597</v>
      </c>
      <c r="BO1573" s="82" t="str">
        <f>HYPERLINK("https://twitter.com/bolsacr")</f>
        <v>https://twitter.com/bolsacr</v>
      </c>
      <c r="BP1573" s="2"/>
    </row>
    <row r="1574" spans="1:68" x14ac:dyDescent="0.25">
      <c r="A1574" s="62" t="s">
        <v>1421</v>
      </c>
      <c r="B1574" s="63"/>
      <c r="C1574" s="63"/>
      <c r="D1574" s="64"/>
      <c r="E1574" s="66"/>
      <c r="F1574" s="103" t="str">
        <f>HYPERLINK("https://pbs.twimg.com/profile_images/3728455282/e0285339b082a5a9dc56a2c01818e4ac_normal.jpeg")</f>
        <v>https://pbs.twimg.com/profile_images/3728455282/e0285339b082a5a9dc56a2c01818e4ac_normal.jpeg</v>
      </c>
      <c r="G1574" s="63"/>
      <c r="H1574" s="67"/>
      <c r="I1574" s="68"/>
      <c r="J1574" s="68"/>
      <c r="K1574" s="67" t="s">
        <v>29168</v>
      </c>
      <c r="L1574" s="71"/>
      <c r="M1574" s="72"/>
      <c r="N1574" s="72"/>
      <c r="O1574" s="73"/>
      <c r="P1574" s="74"/>
      <c r="Q1574" s="74"/>
      <c r="R1574" s="87"/>
      <c r="S1574" s="87"/>
      <c r="T1574" s="87"/>
      <c r="U1574" s="87"/>
      <c r="V1574" s="48"/>
      <c r="W1574" s="48"/>
      <c r="X1574" s="48"/>
      <c r="Y1574" s="48"/>
      <c r="Z1574" s="47"/>
      <c r="AA1574" s="69">
        <v>1574</v>
      </c>
      <c r="AB1574" s="69"/>
      <c r="AC1574" s="70"/>
      <c r="AD1574" s="76" t="s">
        <v>22785</v>
      </c>
      <c r="AE1574" s="81" t="s">
        <v>23892</v>
      </c>
      <c r="AF1574" s="76">
        <v>727</v>
      </c>
      <c r="AG1574" s="76">
        <v>385</v>
      </c>
      <c r="AH1574" s="76">
        <v>5056</v>
      </c>
      <c r="AI1574" s="76">
        <v>11</v>
      </c>
      <c r="AJ1574" s="76">
        <v>4</v>
      </c>
      <c r="AK1574" s="76">
        <v>62</v>
      </c>
      <c r="AL1574" s="76" t="b">
        <v>0</v>
      </c>
      <c r="AM1574" s="78">
        <v>39984.670983796299</v>
      </c>
      <c r="AN1574" s="76" t="s">
        <v>24619</v>
      </c>
      <c r="AO1574" s="76" t="s">
        <v>26104</v>
      </c>
      <c r="AP1574" s="82" t="str">
        <f>HYPERLINK("http://t.co/pNJrydqfCA")</f>
        <v>http://t.co/pNJrydqfCA</v>
      </c>
      <c r="AQ1574" s="82" t="str">
        <f>HYPERLINK("http://www.sergiodalsasso.com.br")</f>
        <v>http://www.sergiodalsasso.com.br</v>
      </c>
      <c r="AR1574" s="76" t="s">
        <v>27214</v>
      </c>
      <c r="AS1574" s="76"/>
      <c r="AT1574" s="76"/>
      <c r="AU1574" s="76"/>
      <c r="AV1574" s="76"/>
      <c r="AW1574" s="82" t="str">
        <f>HYPERLINK("http://t.co/pNJrydqfCA")</f>
        <v>http://t.co/pNJrydqfCA</v>
      </c>
      <c r="AX1574" s="76" t="b">
        <v>0</v>
      </c>
      <c r="AY1574" s="76"/>
      <c r="AZ1574" s="76"/>
      <c r="BA1574" s="76" t="b">
        <v>0</v>
      </c>
      <c r="BB1574" s="76" t="b">
        <v>1</v>
      </c>
      <c r="BC1574" s="76" t="b">
        <v>0</v>
      </c>
      <c r="BD1574" s="76" t="b">
        <v>0</v>
      </c>
      <c r="BE1574" s="76" t="b">
        <v>0</v>
      </c>
      <c r="BF1574" s="76" t="b">
        <v>0</v>
      </c>
      <c r="BG1574" s="76" t="b">
        <v>0</v>
      </c>
      <c r="BH1574" s="82" t="str">
        <f>HYPERLINK("https://pbs.twimg.com/profile_banners/49041530/1369853451")</f>
        <v>https://pbs.twimg.com/profile_banners/49041530/1369853451</v>
      </c>
      <c r="BI1574" s="76"/>
      <c r="BJ1574" s="76" t="s">
        <v>27595</v>
      </c>
      <c r="BK1574" s="76" t="b">
        <v>0</v>
      </c>
      <c r="BL1574" s="76"/>
      <c r="BM1574" s="76" t="s">
        <v>66</v>
      </c>
      <c r="BN1574" s="76" t="s">
        <v>27597</v>
      </c>
      <c r="BO1574" s="82" t="str">
        <f>HYPERLINK("https://twitter.com/sergiodalsasso")</f>
        <v>https://twitter.com/sergiodalsasso</v>
      </c>
      <c r="BP1574" s="2"/>
    </row>
    <row r="1575" spans="1:68" x14ac:dyDescent="0.25">
      <c r="A1575" s="62" t="s">
        <v>1422</v>
      </c>
      <c r="B1575" s="63"/>
      <c r="C1575" s="63"/>
      <c r="D1575" s="64"/>
      <c r="E1575" s="66"/>
      <c r="F1575" s="103" t="str">
        <f>HYPERLINK("https://pbs.twimg.com/profile_images/1286800574348918786/StvRVQwR_normal.jpg")</f>
        <v>https://pbs.twimg.com/profile_images/1286800574348918786/StvRVQwR_normal.jpg</v>
      </c>
      <c r="G1575" s="63"/>
      <c r="H1575" s="67"/>
      <c r="I1575" s="68"/>
      <c r="J1575" s="68"/>
      <c r="K1575" s="67" t="s">
        <v>29169</v>
      </c>
      <c r="L1575" s="71"/>
      <c r="M1575" s="72"/>
      <c r="N1575" s="72"/>
      <c r="O1575" s="73"/>
      <c r="P1575" s="74"/>
      <c r="Q1575" s="74"/>
      <c r="R1575" s="87"/>
      <c r="S1575" s="87"/>
      <c r="T1575" s="87"/>
      <c r="U1575" s="87"/>
      <c r="V1575" s="48"/>
      <c r="W1575" s="48"/>
      <c r="X1575" s="48"/>
      <c r="Y1575" s="48"/>
      <c r="Z1575" s="47"/>
      <c r="AA1575" s="69">
        <v>1575</v>
      </c>
      <c r="AB1575" s="69"/>
      <c r="AC1575" s="70"/>
      <c r="AD1575" s="76" t="s">
        <v>22786</v>
      </c>
      <c r="AE1575" s="81" t="s">
        <v>23893</v>
      </c>
      <c r="AF1575" s="76">
        <v>1107</v>
      </c>
      <c r="AG1575" s="76">
        <v>7</v>
      </c>
      <c r="AH1575" s="76">
        <v>23165</v>
      </c>
      <c r="AI1575" s="76">
        <v>13</v>
      </c>
      <c r="AJ1575" s="76">
        <v>3</v>
      </c>
      <c r="AK1575" s="76">
        <v>9035</v>
      </c>
      <c r="AL1575" s="76" t="b">
        <v>0</v>
      </c>
      <c r="AM1575" s="78">
        <v>40749.223599537036</v>
      </c>
      <c r="AN1575" s="76" t="s">
        <v>14385</v>
      </c>
      <c r="AO1575" s="76"/>
      <c r="AP1575" s="82" t="str">
        <f>HYPERLINK("http://t.co/kqeXfvKGpq")</f>
        <v>http://t.co/kqeXfvKGpq</v>
      </c>
      <c r="AQ1575" s="82" t="str">
        <f>HYPERLINK("http://www.econoblog.com.ar")</f>
        <v>http://www.econoblog.com.ar</v>
      </c>
      <c r="AR1575" s="76" t="s">
        <v>27215</v>
      </c>
      <c r="AS1575" s="76"/>
      <c r="AT1575" s="76"/>
      <c r="AU1575" s="76"/>
      <c r="AV1575" s="76"/>
      <c r="AW1575" s="82" t="str">
        <f>HYPERLINK("http://t.co/kqeXfvKGpq")</f>
        <v>http://t.co/kqeXfvKGpq</v>
      </c>
      <c r="AX1575" s="76" t="b">
        <v>0</v>
      </c>
      <c r="AY1575" s="76"/>
      <c r="AZ1575" s="76"/>
      <c r="BA1575" s="76" t="b">
        <v>0</v>
      </c>
      <c r="BB1575" s="76" t="b">
        <v>1</v>
      </c>
      <c r="BC1575" s="76" t="b">
        <v>0</v>
      </c>
      <c r="BD1575" s="76" t="b">
        <v>0</v>
      </c>
      <c r="BE1575" s="76" t="b">
        <v>0</v>
      </c>
      <c r="BF1575" s="76" t="b">
        <v>0</v>
      </c>
      <c r="BG1575" s="76" t="b">
        <v>0</v>
      </c>
      <c r="BH1575" s="82" t="str">
        <f>HYPERLINK("https://pbs.twimg.com/profile_banners/341925231/1595632060")</f>
        <v>https://pbs.twimg.com/profile_banners/341925231/1595632060</v>
      </c>
      <c r="BI1575" s="76"/>
      <c r="BJ1575" s="76" t="s">
        <v>27595</v>
      </c>
      <c r="BK1575" s="76" t="b">
        <v>0</v>
      </c>
      <c r="BL1575" s="76"/>
      <c r="BM1575" s="76" t="s">
        <v>66</v>
      </c>
      <c r="BN1575" s="76" t="s">
        <v>27597</v>
      </c>
      <c r="BO1575" s="82" t="str">
        <f>HYPERLINK("https://twitter.com/webeconoblog")</f>
        <v>https://twitter.com/webeconoblog</v>
      </c>
      <c r="BP1575" s="2"/>
    </row>
    <row r="1576" spans="1:68" x14ac:dyDescent="0.25">
      <c r="A1576" s="62" t="s">
        <v>1423</v>
      </c>
      <c r="B1576" s="63"/>
      <c r="C1576" s="63"/>
      <c r="D1576" s="64"/>
      <c r="E1576" s="66"/>
      <c r="F1576" s="103" t="str">
        <f>HYPERLINK("https://pbs.twimg.com/profile_images/1395831911323480067/XVynMbwF_normal.jpg")</f>
        <v>https://pbs.twimg.com/profile_images/1395831911323480067/XVynMbwF_normal.jpg</v>
      </c>
      <c r="G1576" s="63"/>
      <c r="H1576" s="67"/>
      <c r="I1576" s="68"/>
      <c r="J1576" s="68"/>
      <c r="K1576" s="67" t="s">
        <v>29170</v>
      </c>
      <c r="L1576" s="71"/>
      <c r="M1576" s="72"/>
      <c r="N1576" s="72"/>
      <c r="O1576" s="73"/>
      <c r="P1576" s="74"/>
      <c r="Q1576" s="74"/>
      <c r="R1576" s="87"/>
      <c r="S1576" s="87"/>
      <c r="T1576" s="87"/>
      <c r="U1576" s="87"/>
      <c r="V1576" s="48"/>
      <c r="W1576" s="48"/>
      <c r="X1576" s="48"/>
      <c r="Y1576" s="48"/>
      <c r="Z1576" s="47"/>
      <c r="AA1576" s="69">
        <v>1576</v>
      </c>
      <c r="AB1576" s="69"/>
      <c r="AC1576" s="70"/>
      <c r="AD1576" s="76" t="s">
        <v>22787</v>
      </c>
      <c r="AE1576" s="81" t="s">
        <v>21078</v>
      </c>
      <c r="AF1576" s="76">
        <v>97</v>
      </c>
      <c r="AG1576" s="76">
        <v>453</v>
      </c>
      <c r="AH1576" s="76">
        <v>5229</v>
      </c>
      <c r="AI1576" s="76">
        <v>0</v>
      </c>
      <c r="AJ1576" s="76">
        <v>41</v>
      </c>
      <c r="AK1576" s="76">
        <v>717</v>
      </c>
      <c r="AL1576" s="76" t="b">
        <v>0</v>
      </c>
      <c r="AM1576" s="78">
        <v>42701.171793981484</v>
      </c>
      <c r="AN1576" s="76"/>
      <c r="AO1576" s="76" t="s">
        <v>26105</v>
      </c>
      <c r="AP1576" s="82" t="str">
        <f>HYPERLINK("https://t.co/iBxWZnb5ZA")</f>
        <v>https://t.co/iBxWZnb5ZA</v>
      </c>
      <c r="AQ1576" s="82" t="str">
        <f>HYPERLINK("https://expressdiario.com/")</f>
        <v>https://expressdiario.com/</v>
      </c>
      <c r="AR1576" s="76" t="s">
        <v>8847</v>
      </c>
      <c r="AS1576" s="76"/>
      <c r="AT1576" s="76"/>
      <c r="AU1576" s="76"/>
      <c r="AV1576" s="76"/>
      <c r="AW1576" s="82" t="str">
        <f>HYPERLINK("https://t.co/iBxWZnb5ZA")</f>
        <v>https://t.co/iBxWZnb5ZA</v>
      </c>
      <c r="AX1576" s="76" t="b">
        <v>0</v>
      </c>
      <c r="AY1576" s="76"/>
      <c r="AZ1576" s="76"/>
      <c r="BA1576" s="76" t="b">
        <v>0</v>
      </c>
      <c r="BB1576" s="76" t="b">
        <v>1</v>
      </c>
      <c r="BC1576" s="76" t="b">
        <v>1</v>
      </c>
      <c r="BD1576" s="76" t="b">
        <v>0</v>
      </c>
      <c r="BE1576" s="76" t="b">
        <v>0</v>
      </c>
      <c r="BF1576" s="76" t="b">
        <v>0</v>
      </c>
      <c r="BG1576" s="76" t="b">
        <v>0</v>
      </c>
      <c r="BH1576" s="82" t="str">
        <f>HYPERLINK("https://pbs.twimg.com/profile_banners/802725481598582784/1621121210")</f>
        <v>https://pbs.twimg.com/profile_banners/802725481598582784/1621121210</v>
      </c>
      <c r="BI1576" s="76"/>
      <c r="BJ1576" s="76" t="s">
        <v>27595</v>
      </c>
      <c r="BK1576" s="76" t="b">
        <v>0</v>
      </c>
      <c r="BL1576" s="76"/>
      <c r="BM1576" s="76" t="s">
        <v>66</v>
      </c>
      <c r="BN1576" s="76" t="s">
        <v>27597</v>
      </c>
      <c r="BO1576" s="82" t="str">
        <f>HYPERLINK("https://twitter.com/expressdiariord")</f>
        <v>https://twitter.com/expressdiariord</v>
      </c>
      <c r="BP1576" s="2"/>
    </row>
    <row r="1577" spans="1:68" x14ac:dyDescent="0.25">
      <c r="A1577" s="62" t="s">
        <v>1426</v>
      </c>
      <c r="B1577" s="63"/>
      <c r="C1577" s="63"/>
      <c r="D1577" s="64"/>
      <c r="E1577" s="66"/>
      <c r="F1577" s="103" t="str">
        <f>HYPERLINK("https://pbs.twimg.com/profile_images/1654342852288081925/cA8fM4Xh_normal.jpg")</f>
        <v>https://pbs.twimg.com/profile_images/1654342852288081925/cA8fM4Xh_normal.jpg</v>
      </c>
      <c r="G1577" s="63"/>
      <c r="H1577" s="67"/>
      <c r="I1577" s="68"/>
      <c r="J1577" s="68"/>
      <c r="K1577" s="67" t="s">
        <v>29171</v>
      </c>
      <c r="L1577" s="71"/>
      <c r="M1577" s="72"/>
      <c r="N1577" s="72"/>
      <c r="O1577" s="73"/>
      <c r="P1577" s="74"/>
      <c r="Q1577" s="74"/>
      <c r="R1577" s="87"/>
      <c r="S1577" s="87"/>
      <c r="T1577" s="87"/>
      <c r="U1577" s="87"/>
      <c r="V1577" s="48"/>
      <c r="W1577" s="48"/>
      <c r="X1577" s="48"/>
      <c r="Y1577" s="48"/>
      <c r="Z1577" s="47"/>
      <c r="AA1577" s="69">
        <v>1577</v>
      </c>
      <c r="AB1577" s="69"/>
      <c r="AC1577" s="70"/>
      <c r="AD1577" s="76" t="s">
        <v>22788</v>
      </c>
      <c r="AE1577" s="81" t="s">
        <v>21080</v>
      </c>
      <c r="AF1577" s="76">
        <v>3</v>
      </c>
      <c r="AG1577" s="76">
        <v>48</v>
      </c>
      <c r="AH1577" s="76">
        <v>325</v>
      </c>
      <c r="AI1577" s="76">
        <v>0</v>
      </c>
      <c r="AJ1577" s="76">
        <v>653</v>
      </c>
      <c r="AK1577" s="76">
        <v>43</v>
      </c>
      <c r="AL1577" s="76" t="b">
        <v>0</v>
      </c>
      <c r="AM1577" s="78">
        <v>45051.183055555557</v>
      </c>
      <c r="AN1577" s="76" t="s">
        <v>24211</v>
      </c>
      <c r="AO1577" s="76"/>
      <c r="AP1577" s="76"/>
      <c r="AQ1577" s="76"/>
      <c r="AR1577" s="76"/>
      <c r="AS1577" s="76"/>
      <c r="AT1577" s="76"/>
      <c r="AU1577" s="76"/>
      <c r="AV1577" s="76"/>
      <c r="AW1577" s="76"/>
      <c r="AX1577" s="76" t="b">
        <v>0</v>
      </c>
      <c r="AY1577" s="76"/>
      <c r="AZ1577" s="76"/>
      <c r="BA1577" s="76" t="b">
        <v>0</v>
      </c>
      <c r="BB1577" s="76" t="b">
        <v>1</v>
      </c>
      <c r="BC1577" s="76" t="b">
        <v>1</v>
      </c>
      <c r="BD1577" s="76" t="b">
        <v>0</v>
      </c>
      <c r="BE1577" s="76" t="b">
        <v>0</v>
      </c>
      <c r="BF1577" s="76" t="b">
        <v>0</v>
      </c>
      <c r="BG1577" s="76" t="b">
        <v>0</v>
      </c>
      <c r="BH1577" s="82" t="str">
        <f>HYPERLINK("https://pbs.twimg.com/profile_banners/1654341005821329408/1683261051")</f>
        <v>https://pbs.twimg.com/profile_banners/1654341005821329408/1683261051</v>
      </c>
      <c r="BI1577" s="76"/>
      <c r="BJ1577" s="76" t="s">
        <v>27595</v>
      </c>
      <c r="BK1577" s="76" t="b">
        <v>0</v>
      </c>
      <c r="BL1577" s="76"/>
      <c r="BM1577" s="76" t="s">
        <v>66</v>
      </c>
      <c r="BN1577" s="76" t="s">
        <v>27597</v>
      </c>
      <c r="BO1577" s="82" t="str">
        <f>HYPERLINK("https://twitter.com/albarrn_alfonso")</f>
        <v>https://twitter.com/albarrn_alfonso</v>
      </c>
      <c r="BP1577" s="2"/>
    </row>
    <row r="1578" spans="1:68" x14ac:dyDescent="0.25">
      <c r="A1578" s="62" t="s">
        <v>1427</v>
      </c>
      <c r="B1578" s="63"/>
      <c r="C1578" s="63"/>
      <c r="D1578" s="64"/>
      <c r="E1578" s="66"/>
      <c r="F1578" s="103" t="str">
        <f>HYPERLINK("https://pbs.twimg.com/profile_images/1601183565286367232/JUjH51B6_normal.jpg")</f>
        <v>https://pbs.twimg.com/profile_images/1601183565286367232/JUjH51B6_normal.jpg</v>
      </c>
      <c r="G1578" s="63"/>
      <c r="H1578" s="67"/>
      <c r="I1578" s="68"/>
      <c r="J1578" s="68"/>
      <c r="K1578" s="67" t="s">
        <v>29172</v>
      </c>
      <c r="L1578" s="71"/>
      <c r="M1578" s="72"/>
      <c r="N1578" s="72"/>
      <c r="O1578" s="73"/>
      <c r="P1578" s="74"/>
      <c r="Q1578" s="74"/>
      <c r="R1578" s="87"/>
      <c r="S1578" s="87"/>
      <c r="T1578" s="87"/>
      <c r="U1578" s="87"/>
      <c r="V1578" s="48"/>
      <c r="W1578" s="48"/>
      <c r="X1578" s="48"/>
      <c r="Y1578" s="48"/>
      <c r="Z1578" s="47"/>
      <c r="AA1578" s="69">
        <v>1578</v>
      </c>
      <c r="AB1578" s="69"/>
      <c r="AC1578" s="70"/>
      <c r="AD1578" s="76" t="s">
        <v>22789</v>
      </c>
      <c r="AE1578" s="81" t="s">
        <v>21081</v>
      </c>
      <c r="AF1578" s="76">
        <v>29210</v>
      </c>
      <c r="AG1578" s="76">
        <v>1204</v>
      </c>
      <c r="AH1578" s="76">
        <v>41627</v>
      </c>
      <c r="AI1578" s="76">
        <v>438</v>
      </c>
      <c r="AJ1578" s="76">
        <v>6568</v>
      </c>
      <c r="AK1578" s="76">
        <v>3593</v>
      </c>
      <c r="AL1578" s="76" t="b">
        <v>0</v>
      </c>
      <c r="AM1578" s="78">
        <v>43636.387199074074</v>
      </c>
      <c r="AN1578" s="76" t="s">
        <v>24620</v>
      </c>
      <c r="AO1578" s="76" t="s">
        <v>26106</v>
      </c>
      <c r="AP1578" s="82" t="str">
        <f>HYPERLINK("https://t.co/UTAY3Fp7DL")</f>
        <v>https://t.co/UTAY3Fp7DL</v>
      </c>
      <c r="AQ1578" s="82" t="str">
        <f>HYPERLINK("https://es.beincrypto.com")</f>
        <v>https://es.beincrypto.com</v>
      </c>
      <c r="AR1578" s="76" t="s">
        <v>27216</v>
      </c>
      <c r="AS1578" s="82" t="str">
        <f>HYPERLINK("https://t.co/BLSDYg42vR")</f>
        <v>https://t.co/BLSDYg42vR</v>
      </c>
      <c r="AT1578" s="82" t="str">
        <f>HYPERLINK("https://t.me/BeInCryptoESComunidad")</f>
        <v>https://t.me/BeInCryptoESComunidad</v>
      </c>
      <c r="AU1578" s="76" t="s">
        <v>27562</v>
      </c>
      <c r="AV1578" s="76"/>
      <c r="AW1578" s="82" t="str">
        <f>HYPERLINK("https://t.co/UTAY3Fp7DL")</f>
        <v>https://t.co/UTAY3Fp7DL</v>
      </c>
      <c r="AX1578" s="76" t="b">
        <v>1</v>
      </c>
      <c r="AY1578" s="76"/>
      <c r="AZ1578" s="76"/>
      <c r="BA1578" s="76" t="b">
        <v>1</v>
      </c>
      <c r="BB1578" s="76" t="b">
        <v>1</v>
      </c>
      <c r="BC1578" s="76" t="b">
        <v>0</v>
      </c>
      <c r="BD1578" s="76" t="b">
        <v>0</v>
      </c>
      <c r="BE1578" s="76" t="b">
        <v>0</v>
      </c>
      <c r="BF1578" s="76" t="b">
        <v>0</v>
      </c>
      <c r="BG1578" s="76" t="b">
        <v>0</v>
      </c>
      <c r="BH1578" s="82" t="str">
        <f>HYPERLINK("https://pbs.twimg.com/profile_banners/1141636196776448000/1670586886")</f>
        <v>https://pbs.twimg.com/profile_banners/1141636196776448000/1670586886</v>
      </c>
      <c r="BI1578" s="76"/>
      <c r="BJ1578" s="76" t="s">
        <v>27595</v>
      </c>
      <c r="BK1578" s="76" t="b">
        <v>0</v>
      </c>
      <c r="BL1578" s="76"/>
      <c r="BM1578" s="76" t="s">
        <v>66</v>
      </c>
      <c r="BN1578" s="76" t="s">
        <v>27597</v>
      </c>
      <c r="BO1578" s="82" t="str">
        <f>HYPERLINK("https://twitter.com/beincrypto_es")</f>
        <v>https://twitter.com/beincrypto_es</v>
      </c>
      <c r="BP1578" s="2"/>
    </row>
    <row r="1579" spans="1:68" x14ac:dyDescent="0.25">
      <c r="A1579" s="62" t="s">
        <v>2035</v>
      </c>
      <c r="B1579" s="63"/>
      <c r="C1579" s="63"/>
      <c r="D1579" s="64"/>
      <c r="E1579" s="66"/>
      <c r="F1579" s="103" t="str">
        <f>HYPERLINK("https://pbs.twimg.com/profile_images/1695643374/medama_moji_en_normal.jpg")</f>
        <v>https://pbs.twimg.com/profile_images/1695643374/medama_moji_en_normal.jpg</v>
      </c>
      <c r="G1579" s="63"/>
      <c r="H1579" s="67"/>
      <c r="I1579" s="68"/>
      <c r="J1579" s="68"/>
      <c r="K1579" s="67" t="s">
        <v>29173</v>
      </c>
      <c r="L1579" s="71"/>
      <c r="M1579" s="72"/>
      <c r="N1579" s="72"/>
      <c r="O1579" s="73"/>
      <c r="P1579" s="74"/>
      <c r="Q1579" s="74"/>
      <c r="R1579" s="87"/>
      <c r="S1579" s="87"/>
      <c r="T1579" s="87"/>
      <c r="U1579" s="87"/>
      <c r="V1579" s="48"/>
      <c r="W1579" s="48"/>
      <c r="X1579" s="48"/>
      <c r="Y1579" s="48"/>
      <c r="Z1579" s="47"/>
      <c r="AA1579" s="69">
        <v>1579</v>
      </c>
      <c r="AB1579" s="69"/>
      <c r="AC1579" s="70"/>
      <c r="AD1579" s="76" t="s">
        <v>22790</v>
      </c>
      <c r="AE1579" s="81" t="s">
        <v>23894</v>
      </c>
      <c r="AF1579" s="76">
        <v>42514</v>
      </c>
      <c r="AG1579" s="76">
        <v>0</v>
      </c>
      <c r="AH1579" s="76">
        <v>9191</v>
      </c>
      <c r="AI1579" s="76">
        <v>1352</v>
      </c>
      <c r="AJ1579" s="76">
        <v>0</v>
      </c>
      <c r="AK1579" s="76">
        <v>857</v>
      </c>
      <c r="AL1579" s="76" t="b">
        <v>0</v>
      </c>
      <c r="AM1579" s="78">
        <v>40844.38490740741</v>
      </c>
      <c r="AN1579" s="76" t="s">
        <v>24621</v>
      </c>
      <c r="AO1579" s="76" t="s">
        <v>26107</v>
      </c>
      <c r="AP1579" s="82" t="str">
        <f>HYPERLINK("http://t.co/QJ8f8bdNWs")</f>
        <v>http://t.co/QJ8f8bdNWs</v>
      </c>
      <c r="AQ1579" s="82" t="str">
        <f>HYPERLINK("http://www.boj.or.jp/en/index.htm/")</f>
        <v>http://www.boj.or.jp/en/index.htm/</v>
      </c>
      <c r="AR1579" s="76" t="s">
        <v>27217</v>
      </c>
      <c r="AS1579" s="76"/>
      <c r="AT1579" s="76"/>
      <c r="AU1579" s="76"/>
      <c r="AV1579" s="76"/>
      <c r="AW1579" s="82" t="str">
        <f>HYPERLINK("http://t.co/QJ8f8bdNWs")</f>
        <v>http://t.co/QJ8f8bdNWs</v>
      </c>
      <c r="AX1579" s="76" t="b">
        <v>0</v>
      </c>
      <c r="AY1579" s="76"/>
      <c r="AZ1579" s="76"/>
      <c r="BA1579" s="76" t="b">
        <v>0</v>
      </c>
      <c r="BB1579" s="76" t="b">
        <v>1</v>
      </c>
      <c r="BC1579" s="76" t="b">
        <v>0</v>
      </c>
      <c r="BD1579" s="76" t="b">
        <v>0</v>
      </c>
      <c r="BE1579" s="76" t="b">
        <v>0</v>
      </c>
      <c r="BF1579" s="76" t="b">
        <v>0</v>
      </c>
      <c r="BG1579" s="76" t="b">
        <v>0</v>
      </c>
      <c r="BH1579" s="82" t="str">
        <f>HYPERLINK("https://pbs.twimg.com/profile_banners/399958787/1518495864")</f>
        <v>https://pbs.twimg.com/profile_banners/399958787/1518495864</v>
      </c>
      <c r="BI1579" s="76"/>
      <c r="BJ1579" s="76" t="s">
        <v>27595</v>
      </c>
      <c r="BK1579" s="76" t="b">
        <v>0</v>
      </c>
      <c r="BL1579" s="76"/>
      <c r="BM1579" s="76" t="s">
        <v>65</v>
      </c>
      <c r="BN1579" s="76" t="s">
        <v>27597</v>
      </c>
      <c r="BO1579" s="82" t="str">
        <f>HYPERLINK("https://twitter.com/bank_of_japan_e")</f>
        <v>https://twitter.com/bank_of_japan_e</v>
      </c>
      <c r="BP1579" s="2"/>
    </row>
    <row r="1580" spans="1:68" x14ac:dyDescent="0.25">
      <c r="A1580" s="62" t="s">
        <v>2036</v>
      </c>
      <c r="B1580" s="63"/>
      <c r="C1580" s="63"/>
      <c r="D1580" s="64"/>
      <c r="E1580" s="66"/>
      <c r="F1580" s="103" t="str">
        <f>HYPERLINK("https://pbs.twimg.com/profile_images/766274287129006080/8B5hXHv__normal.jpg")</f>
        <v>https://pbs.twimg.com/profile_images/766274287129006080/8B5hXHv__normal.jpg</v>
      </c>
      <c r="G1580" s="63"/>
      <c r="H1580" s="67"/>
      <c r="I1580" s="68"/>
      <c r="J1580" s="68"/>
      <c r="K1580" s="67" t="s">
        <v>29174</v>
      </c>
      <c r="L1580" s="71"/>
      <c r="M1580" s="72"/>
      <c r="N1580" s="72"/>
      <c r="O1580" s="73"/>
      <c r="P1580" s="74"/>
      <c r="Q1580" s="74"/>
      <c r="R1580" s="87"/>
      <c r="S1580" s="87"/>
      <c r="T1580" s="87"/>
      <c r="U1580" s="87"/>
      <c r="V1580" s="48"/>
      <c r="W1580" s="48"/>
      <c r="X1580" s="48"/>
      <c r="Y1580" s="48"/>
      <c r="Z1580" s="47"/>
      <c r="AA1580" s="69">
        <v>1580</v>
      </c>
      <c r="AB1580" s="69"/>
      <c r="AC1580" s="70"/>
      <c r="AD1580" s="76" t="s">
        <v>22791</v>
      </c>
      <c r="AE1580" s="81" t="s">
        <v>23895</v>
      </c>
      <c r="AF1580" s="76">
        <v>1131275</v>
      </c>
      <c r="AG1580" s="76">
        <v>29</v>
      </c>
      <c r="AH1580" s="76">
        <v>9120</v>
      </c>
      <c r="AI1580" s="76">
        <v>11770</v>
      </c>
      <c r="AJ1580" s="76">
        <v>0</v>
      </c>
      <c r="AK1580" s="76">
        <v>1811</v>
      </c>
      <c r="AL1580" s="76" t="b">
        <v>0</v>
      </c>
      <c r="AM1580" s="78">
        <v>39897.710995370369</v>
      </c>
      <c r="AN1580" s="76" t="s">
        <v>24622</v>
      </c>
      <c r="AO1580" s="76" t="s">
        <v>26108</v>
      </c>
      <c r="AP1580" s="82" t="str">
        <f>HYPERLINK("http://t.co/NGbT408l4p")</f>
        <v>http://t.co/NGbT408l4p</v>
      </c>
      <c r="AQ1580" s="82" t="str">
        <f>HYPERLINK("http://www.federalreserve.gov")</f>
        <v>http://www.federalreserve.gov</v>
      </c>
      <c r="AR1580" s="76" t="s">
        <v>27218</v>
      </c>
      <c r="AS1580" s="82" t="str">
        <f>HYPERLINK("http://t.co/pbRRCfwyou")</f>
        <v>http://t.co/pbRRCfwyou</v>
      </c>
      <c r="AT1580" s="82" t="str">
        <f>HYPERLINK("http://www.federalreserve.gov/privacy.htm")</f>
        <v>http://www.federalreserve.gov/privacy.htm</v>
      </c>
      <c r="AU1580" s="76" t="s">
        <v>27563</v>
      </c>
      <c r="AV1580" s="76"/>
      <c r="AW1580" s="82" t="str">
        <f>HYPERLINK("http://t.co/NGbT408l4p")</f>
        <v>http://t.co/NGbT408l4p</v>
      </c>
      <c r="AX1580" s="76" t="b">
        <v>1</v>
      </c>
      <c r="AY1580" s="76"/>
      <c r="AZ1580" s="76"/>
      <c r="BA1580" s="76" t="b">
        <v>0</v>
      </c>
      <c r="BB1580" s="76" t="b">
        <v>1</v>
      </c>
      <c r="BC1580" s="76" t="b">
        <v>0</v>
      </c>
      <c r="BD1580" s="76" t="b">
        <v>0</v>
      </c>
      <c r="BE1580" s="76" t="b">
        <v>0</v>
      </c>
      <c r="BF1580" s="76" t="b">
        <v>0</v>
      </c>
      <c r="BG1580" s="76" t="b">
        <v>0</v>
      </c>
      <c r="BH1580" s="82" t="str">
        <f>HYPERLINK("https://pbs.twimg.com/profile_banners/26538229/1398888907")</f>
        <v>https://pbs.twimg.com/profile_banners/26538229/1398888907</v>
      </c>
      <c r="BI1580" s="76"/>
      <c r="BJ1580" s="76" t="s">
        <v>27595</v>
      </c>
      <c r="BK1580" s="76" t="b">
        <v>0</v>
      </c>
      <c r="BL1580" s="76"/>
      <c r="BM1580" s="76" t="s">
        <v>65</v>
      </c>
      <c r="BN1580" s="76" t="s">
        <v>27597</v>
      </c>
      <c r="BO1580" s="82" t="str">
        <f>HYPERLINK("https://twitter.com/federalreserve")</f>
        <v>https://twitter.com/federalreserve</v>
      </c>
      <c r="BP1580" s="2"/>
    </row>
    <row r="1581" spans="1:68" x14ac:dyDescent="0.25">
      <c r="A1581" s="62" t="s">
        <v>2037</v>
      </c>
      <c r="B1581" s="63"/>
      <c r="C1581" s="63"/>
      <c r="D1581" s="64"/>
      <c r="E1581" s="66"/>
      <c r="F1581" s="103" t="str">
        <f>HYPERLINK("https://pbs.twimg.com/profile_images/859026963339587588/cPKFwgDi_normal.jpg")</f>
        <v>https://pbs.twimg.com/profile_images/859026963339587588/cPKFwgDi_normal.jpg</v>
      </c>
      <c r="G1581" s="63"/>
      <c r="H1581" s="67"/>
      <c r="I1581" s="68"/>
      <c r="J1581" s="68"/>
      <c r="K1581" s="67" t="s">
        <v>29175</v>
      </c>
      <c r="L1581" s="71"/>
      <c r="M1581" s="72"/>
      <c r="N1581" s="72"/>
      <c r="O1581" s="73"/>
      <c r="P1581" s="74"/>
      <c r="Q1581" s="74"/>
      <c r="R1581" s="87"/>
      <c r="S1581" s="87"/>
      <c r="T1581" s="87"/>
      <c r="U1581" s="87"/>
      <c r="V1581" s="48"/>
      <c r="W1581" s="48"/>
      <c r="X1581" s="48"/>
      <c r="Y1581" s="48"/>
      <c r="Z1581" s="47"/>
      <c r="AA1581" s="69">
        <v>1581</v>
      </c>
      <c r="AB1581" s="69"/>
      <c r="AC1581" s="70"/>
      <c r="AD1581" s="76" t="s">
        <v>22792</v>
      </c>
      <c r="AE1581" s="81" t="s">
        <v>23896</v>
      </c>
      <c r="AF1581" s="76">
        <v>29212</v>
      </c>
      <c r="AG1581" s="76">
        <v>1849</v>
      </c>
      <c r="AH1581" s="76">
        <v>22821</v>
      </c>
      <c r="AI1581" s="76">
        <v>753</v>
      </c>
      <c r="AJ1581" s="76">
        <v>19166</v>
      </c>
      <c r="AK1581" s="76">
        <v>6385</v>
      </c>
      <c r="AL1581" s="76" t="b">
        <v>0</v>
      </c>
      <c r="AM1581" s="78">
        <v>39589.648611111108</v>
      </c>
      <c r="AN1581" s="76" t="s">
        <v>24080</v>
      </c>
      <c r="AO1581" s="76" t="s">
        <v>26109</v>
      </c>
      <c r="AP1581" s="82" t="str">
        <f>HYPERLINK("https://t.co/48Fx8EPBQ8")</f>
        <v>https://t.co/48Fx8EPBQ8</v>
      </c>
      <c r="AQ1581" s="82" t="str">
        <f>HYPERLINK("http://www.aba.com")</f>
        <v>http://www.aba.com</v>
      </c>
      <c r="AR1581" s="76" t="s">
        <v>27219</v>
      </c>
      <c r="AS1581" s="76"/>
      <c r="AT1581" s="76"/>
      <c r="AU1581" s="76"/>
      <c r="AV1581" s="76"/>
      <c r="AW1581" s="82" t="str">
        <f>HYPERLINK("https://t.co/48Fx8EPBQ8")</f>
        <v>https://t.co/48Fx8EPBQ8</v>
      </c>
      <c r="AX1581" s="76" t="b">
        <v>0</v>
      </c>
      <c r="AY1581" s="76"/>
      <c r="AZ1581" s="76"/>
      <c r="BA1581" s="76" t="b">
        <v>1</v>
      </c>
      <c r="BB1581" s="76" t="b">
        <v>1</v>
      </c>
      <c r="BC1581" s="76" t="b">
        <v>0</v>
      </c>
      <c r="BD1581" s="76" t="b">
        <v>0</v>
      </c>
      <c r="BE1581" s="76" t="b">
        <v>1</v>
      </c>
      <c r="BF1581" s="76" t="b">
        <v>0</v>
      </c>
      <c r="BG1581" s="76" t="b">
        <v>0</v>
      </c>
      <c r="BH1581" s="82" t="str">
        <f>HYPERLINK("https://pbs.twimg.com/profile_banners/14857739/1628280413")</f>
        <v>https://pbs.twimg.com/profile_banners/14857739/1628280413</v>
      </c>
      <c r="BI1581" s="76"/>
      <c r="BJ1581" s="76" t="s">
        <v>27595</v>
      </c>
      <c r="BK1581" s="76" t="b">
        <v>0</v>
      </c>
      <c r="BL1581" s="76"/>
      <c r="BM1581" s="76" t="s">
        <v>65</v>
      </c>
      <c r="BN1581" s="76" t="s">
        <v>27597</v>
      </c>
      <c r="BO1581" s="82" t="str">
        <f>HYPERLINK("https://twitter.com/ababankers")</f>
        <v>https://twitter.com/ababankers</v>
      </c>
      <c r="BP1581" s="2"/>
    </row>
    <row r="1582" spans="1:68" x14ac:dyDescent="0.25">
      <c r="A1582" s="62" t="s">
        <v>2038</v>
      </c>
      <c r="B1582" s="63"/>
      <c r="C1582" s="63"/>
      <c r="D1582" s="64"/>
      <c r="E1582" s="66"/>
      <c r="F1582" s="103" t="str">
        <f>HYPERLINK("https://pbs.twimg.com/profile_images/1675778153208328192/_sRGz_AV_normal.jpg")</f>
        <v>https://pbs.twimg.com/profile_images/1675778153208328192/_sRGz_AV_normal.jpg</v>
      </c>
      <c r="G1582" s="63"/>
      <c r="H1582" s="67"/>
      <c r="I1582" s="68"/>
      <c r="J1582" s="68"/>
      <c r="K1582" s="67" t="s">
        <v>29176</v>
      </c>
      <c r="L1582" s="71"/>
      <c r="M1582" s="72"/>
      <c r="N1582" s="72"/>
      <c r="O1582" s="73"/>
      <c r="P1582" s="74"/>
      <c r="Q1582" s="74"/>
      <c r="R1582" s="87"/>
      <c r="S1582" s="87"/>
      <c r="T1582" s="87"/>
      <c r="U1582" s="87"/>
      <c r="V1582" s="48"/>
      <c r="W1582" s="48"/>
      <c r="X1582" s="48"/>
      <c r="Y1582" s="48"/>
      <c r="Z1582" s="47"/>
      <c r="AA1582" s="69">
        <v>1582</v>
      </c>
      <c r="AB1582" s="69"/>
      <c r="AC1582" s="70"/>
      <c r="AD1582" s="76" t="s">
        <v>22793</v>
      </c>
      <c r="AE1582" s="81" t="s">
        <v>23897</v>
      </c>
      <c r="AF1582" s="76">
        <v>173726</v>
      </c>
      <c r="AG1582" s="76">
        <v>899</v>
      </c>
      <c r="AH1582" s="76">
        <v>20946</v>
      </c>
      <c r="AI1582" s="76">
        <v>2689</v>
      </c>
      <c r="AJ1582" s="76">
        <v>2040</v>
      </c>
      <c r="AK1582" s="76">
        <v>6515</v>
      </c>
      <c r="AL1582" s="76" t="b">
        <v>0</v>
      </c>
      <c r="AM1582" s="78">
        <v>40351.342986111114</v>
      </c>
      <c r="AN1582" s="76" t="s">
        <v>24623</v>
      </c>
      <c r="AO1582" s="76" t="s">
        <v>26110</v>
      </c>
      <c r="AP1582" s="82" t="str">
        <f>HYPERLINK("https://t.co/gSMyhxgPqc")</f>
        <v>https://t.co/gSMyhxgPqc</v>
      </c>
      <c r="AQ1582" s="82" t="str">
        <f>HYPERLINK("http://www.bis.org")</f>
        <v>http://www.bis.org</v>
      </c>
      <c r="AR1582" s="76" t="s">
        <v>27220</v>
      </c>
      <c r="AS1582" s="76"/>
      <c r="AT1582" s="76"/>
      <c r="AU1582" s="76"/>
      <c r="AV1582" s="76"/>
      <c r="AW1582" s="82" t="str">
        <f>HYPERLINK("https://t.co/gSMyhxgPqc")</f>
        <v>https://t.co/gSMyhxgPqc</v>
      </c>
      <c r="AX1582" s="76" t="b">
        <v>0</v>
      </c>
      <c r="AY1582" s="76"/>
      <c r="AZ1582" s="76"/>
      <c r="BA1582" s="76" t="b">
        <v>0</v>
      </c>
      <c r="BB1582" s="76" t="b">
        <v>1</v>
      </c>
      <c r="BC1582" s="76" t="b">
        <v>1</v>
      </c>
      <c r="BD1582" s="76" t="b">
        <v>0</v>
      </c>
      <c r="BE1582" s="76" t="b">
        <v>1</v>
      </c>
      <c r="BF1582" s="76" t="b">
        <v>0</v>
      </c>
      <c r="BG1582" s="76" t="b">
        <v>0</v>
      </c>
      <c r="BH1582" s="82" t="str">
        <f>HYPERLINK("https://pbs.twimg.com/profile_banners/158289900/1636383635")</f>
        <v>https://pbs.twimg.com/profile_banners/158289900/1636383635</v>
      </c>
      <c r="BI1582" s="76"/>
      <c r="BJ1582" s="76" t="s">
        <v>27595</v>
      </c>
      <c r="BK1582" s="76" t="b">
        <v>0</v>
      </c>
      <c r="BL1582" s="76"/>
      <c r="BM1582" s="76" t="s">
        <v>65</v>
      </c>
      <c r="BN1582" s="76" t="s">
        <v>27597</v>
      </c>
      <c r="BO1582" s="82" t="str">
        <f>HYPERLINK("https://twitter.com/bis_org")</f>
        <v>https://twitter.com/bis_org</v>
      </c>
      <c r="BP1582" s="2"/>
    </row>
    <row r="1583" spans="1:68" x14ac:dyDescent="0.25">
      <c r="A1583" s="62" t="s">
        <v>1428</v>
      </c>
      <c r="B1583" s="63"/>
      <c r="C1583" s="63"/>
      <c r="D1583" s="64"/>
      <c r="E1583" s="66"/>
      <c r="F1583" s="103" t="str">
        <f>HYPERLINK("https://pbs.twimg.com/profile_images/1506528681346453521/V4Szh9I__normal.jpg")</f>
        <v>https://pbs.twimg.com/profile_images/1506528681346453521/V4Szh9I__normal.jpg</v>
      </c>
      <c r="G1583" s="63"/>
      <c r="H1583" s="67"/>
      <c r="I1583" s="68"/>
      <c r="J1583" s="68"/>
      <c r="K1583" s="67" t="s">
        <v>29177</v>
      </c>
      <c r="L1583" s="71"/>
      <c r="M1583" s="72"/>
      <c r="N1583" s="72"/>
      <c r="O1583" s="73"/>
      <c r="P1583" s="74"/>
      <c r="Q1583" s="74"/>
      <c r="R1583" s="87"/>
      <c r="S1583" s="87"/>
      <c r="T1583" s="87"/>
      <c r="U1583" s="87"/>
      <c r="V1583" s="48"/>
      <c r="W1583" s="48"/>
      <c r="X1583" s="48"/>
      <c r="Y1583" s="48"/>
      <c r="Z1583" s="47"/>
      <c r="AA1583" s="69">
        <v>1583</v>
      </c>
      <c r="AB1583" s="69"/>
      <c r="AC1583" s="70"/>
      <c r="AD1583" s="76" t="s">
        <v>22794</v>
      </c>
      <c r="AE1583" s="81" t="s">
        <v>21082</v>
      </c>
      <c r="AF1583" s="76">
        <v>16</v>
      </c>
      <c r="AG1583" s="76">
        <v>72</v>
      </c>
      <c r="AH1583" s="76">
        <v>594</v>
      </c>
      <c r="AI1583" s="76">
        <v>0</v>
      </c>
      <c r="AJ1583" s="76">
        <v>1357</v>
      </c>
      <c r="AK1583" s="76">
        <v>13</v>
      </c>
      <c r="AL1583" s="76" t="b">
        <v>0</v>
      </c>
      <c r="AM1583" s="78">
        <v>44643.298252314817</v>
      </c>
      <c r="AN1583" s="76" t="s">
        <v>24624</v>
      </c>
      <c r="AO1583" s="76" t="s">
        <v>26111</v>
      </c>
      <c r="AP1583" s="76"/>
      <c r="AQ1583" s="76"/>
      <c r="AR1583" s="76"/>
      <c r="AS1583" s="76"/>
      <c r="AT1583" s="76"/>
      <c r="AU1583" s="76"/>
      <c r="AV1583" s="76"/>
      <c r="AW1583" s="76"/>
      <c r="AX1583" s="76" t="b">
        <v>0</v>
      </c>
      <c r="AY1583" s="76"/>
      <c r="AZ1583" s="76"/>
      <c r="BA1583" s="76" t="b">
        <v>0</v>
      </c>
      <c r="BB1583" s="76" t="b">
        <v>1</v>
      </c>
      <c r="BC1583" s="76" t="b">
        <v>1</v>
      </c>
      <c r="BD1583" s="76" t="b">
        <v>0</v>
      </c>
      <c r="BE1583" s="76" t="b">
        <v>1</v>
      </c>
      <c r="BF1583" s="76" t="b">
        <v>0</v>
      </c>
      <c r="BG1583" s="76" t="b">
        <v>0</v>
      </c>
      <c r="BH1583" s="82" t="str">
        <f>HYPERLINK("https://pbs.twimg.com/profile_banners/1506528469546684419/1687951924")</f>
        <v>https://pbs.twimg.com/profile_banners/1506528469546684419/1687951924</v>
      </c>
      <c r="BI1583" s="76"/>
      <c r="BJ1583" s="76" t="s">
        <v>27595</v>
      </c>
      <c r="BK1583" s="76" t="b">
        <v>0</v>
      </c>
      <c r="BL1583" s="76"/>
      <c r="BM1583" s="76" t="s">
        <v>66</v>
      </c>
      <c r="BN1583" s="76" t="s">
        <v>27597</v>
      </c>
      <c r="BO1583" s="82" t="str">
        <f>HYPERLINK("https://twitter.com/andremene2022")</f>
        <v>https://twitter.com/andremene2022</v>
      </c>
      <c r="BP1583" s="2"/>
    </row>
    <row r="1584" spans="1:68" x14ac:dyDescent="0.25">
      <c r="A1584" s="62" t="s">
        <v>1429</v>
      </c>
      <c r="B1584" s="63"/>
      <c r="C1584" s="63"/>
      <c r="D1584" s="64"/>
      <c r="E1584" s="66"/>
      <c r="F1584" s="103" t="str">
        <f>HYPERLINK("https://pbs.twimg.com/profile_images/1160540611289714689/etYaV_89_normal.jpg")</f>
        <v>https://pbs.twimg.com/profile_images/1160540611289714689/etYaV_89_normal.jpg</v>
      </c>
      <c r="G1584" s="63"/>
      <c r="H1584" s="67"/>
      <c r="I1584" s="68"/>
      <c r="J1584" s="68"/>
      <c r="K1584" s="67" t="s">
        <v>29178</v>
      </c>
      <c r="L1584" s="71"/>
      <c r="M1584" s="72"/>
      <c r="N1584" s="72"/>
      <c r="O1584" s="73"/>
      <c r="P1584" s="74"/>
      <c r="Q1584" s="74"/>
      <c r="R1584" s="87"/>
      <c r="S1584" s="87"/>
      <c r="T1584" s="87"/>
      <c r="U1584" s="87"/>
      <c r="V1584" s="48"/>
      <c r="W1584" s="48"/>
      <c r="X1584" s="48"/>
      <c r="Y1584" s="48"/>
      <c r="Z1584" s="47"/>
      <c r="AA1584" s="69">
        <v>1584</v>
      </c>
      <c r="AB1584" s="69"/>
      <c r="AC1584" s="70"/>
      <c r="AD1584" s="76" t="s">
        <v>22795</v>
      </c>
      <c r="AE1584" s="81" t="s">
        <v>21083</v>
      </c>
      <c r="AF1584" s="76">
        <v>232</v>
      </c>
      <c r="AG1584" s="76">
        <v>599</v>
      </c>
      <c r="AH1584" s="76">
        <v>673</v>
      </c>
      <c r="AI1584" s="76">
        <v>0</v>
      </c>
      <c r="AJ1584" s="76">
        <v>2121</v>
      </c>
      <c r="AK1584" s="76">
        <v>436</v>
      </c>
      <c r="AL1584" s="76" t="b">
        <v>0</v>
      </c>
      <c r="AM1584" s="78">
        <v>43688.552986111114</v>
      </c>
      <c r="AN1584" s="76"/>
      <c r="AO1584" s="76" t="s">
        <v>26112</v>
      </c>
      <c r="AP1584" s="76"/>
      <c r="AQ1584" s="76"/>
      <c r="AR1584" s="76"/>
      <c r="AS1584" s="76"/>
      <c r="AT1584" s="76"/>
      <c r="AU1584" s="76"/>
      <c r="AV1584" s="76"/>
      <c r="AW1584" s="76"/>
      <c r="AX1584" s="76" t="b">
        <v>0</v>
      </c>
      <c r="AY1584" s="76"/>
      <c r="AZ1584" s="76"/>
      <c r="BA1584" s="76" t="b">
        <v>0</v>
      </c>
      <c r="BB1584" s="76" t="b">
        <v>1</v>
      </c>
      <c r="BC1584" s="76" t="b">
        <v>1</v>
      </c>
      <c r="BD1584" s="76" t="b">
        <v>0</v>
      </c>
      <c r="BE1584" s="76" t="b">
        <v>0</v>
      </c>
      <c r="BF1584" s="76" t="b">
        <v>0</v>
      </c>
      <c r="BG1584" s="76" t="b">
        <v>0</v>
      </c>
      <c r="BH1584" s="82" t="str">
        <f>HYPERLINK("https://pbs.twimg.com/profile_banners/1160540443274350593/1648989741")</f>
        <v>https://pbs.twimg.com/profile_banners/1160540443274350593/1648989741</v>
      </c>
      <c r="BI1584" s="76"/>
      <c r="BJ1584" s="76" t="s">
        <v>27595</v>
      </c>
      <c r="BK1584" s="76" t="b">
        <v>0</v>
      </c>
      <c r="BL1584" s="76"/>
      <c r="BM1584" s="76" t="s">
        <v>66</v>
      </c>
      <c r="BN1584" s="76" t="s">
        <v>27597</v>
      </c>
      <c r="BO1584" s="82" t="str">
        <f>HYPERLINK("https://twitter.com/eltonnogueira17")</f>
        <v>https://twitter.com/eltonnogueira17</v>
      </c>
      <c r="BP1584" s="2"/>
    </row>
    <row r="1585" spans="1:68" x14ac:dyDescent="0.25">
      <c r="A1585" s="62" t="s">
        <v>1430</v>
      </c>
      <c r="B1585" s="63"/>
      <c r="C1585" s="63"/>
      <c r="D1585" s="64"/>
      <c r="E1585" s="66"/>
      <c r="F1585" s="103" t="str">
        <f>HYPERLINK("https://pbs.twimg.com/profile_images/1405898986586882049/di3j2whB_normal.jpg")</f>
        <v>https://pbs.twimg.com/profile_images/1405898986586882049/di3j2whB_normal.jpg</v>
      </c>
      <c r="G1585" s="63"/>
      <c r="H1585" s="67"/>
      <c r="I1585" s="68"/>
      <c r="J1585" s="68"/>
      <c r="K1585" s="67" t="s">
        <v>29179</v>
      </c>
      <c r="L1585" s="71"/>
      <c r="M1585" s="72"/>
      <c r="N1585" s="72"/>
      <c r="O1585" s="73"/>
      <c r="P1585" s="74"/>
      <c r="Q1585" s="74"/>
      <c r="R1585" s="87"/>
      <c r="S1585" s="87"/>
      <c r="T1585" s="87"/>
      <c r="U1585" s="87"/>
      <c r="V1585" s="48"/>
      <c r="W1585" s="48"/>
      <c r="X1585" s="48"/>
      <c r="Y1585" s="48"/>
      <c r="Z1585" s="47"/>
      <c r="AA1585" s="69">
        <v>1585</v>
      </c>
      <c r="AB1585" s="69"/>
      <c r="AC1585" s="70"/>
      <c r="AD1585" s="76" t="s">
        <v>22796</v>
      </c>
      <c r="AE1585" s="81" t="s">
        <v>23898</v>
      </c>
      <c r="AF1585" s="76">
        <v>306</v>
      </c>
      <c r="AG1585" s="76">
        <v>501</v>
      </c>
      <c r="AH1585" s="76">
        <v>2591</v>
      </c>
      <c r="AI1585" s="76">
        <v>10</v>
      </c>
      <c r="AJ1585" s="76">
        <v>1984</v>
      </c>
      <c r="AK1585" s="76">
        <v>30</v>
      </c>
      <c r="AL1585" s="76" t="b">
        <v>0</v>
      </c>
      <c r="AM1585" s="78">
        <v>40520.010995370372</v>
      </c>
      <c r="AN1585" s="76" t="s">
        <v>14382</v>
      </c>
      <c r="AO1585" s="76" t="s">
        <v>26113</v>
      </c>
      <c r="AP1585" s="76"/>
      <c r="AQ1585" s="76"/>
      <c r="AR1585" s="76"/>
      <c r="AS1585" s="76"/>
      <c r="AT1585" s="76"/>
      <c r="AU1585" s="76"/>
      <c r="AV1585" s="76"/>
      <c r="AW1585" s="76"/>
      <c r="AX1585" s="76" t="b">
        <v>0</v>
      </c>
      <c r="AY1585" s="76"/>
      <c r="AZ1585" s="76"/>
      <c r="BA1585" s="76" t="b">
        <v>0</v>
      </c>
      <c r="BB1585" s="76" t="b">
        <v>1</v>
      </c>
      <c r="BC1585" s="76" t="b">
        <v>0</v>
      </c>
      <c r="BD1585" s="76" t="b">
        <v>0</v>
      </c>
      <c r="BE1585" s="76" t="b">
        <v>1</v>
      </c>
      <c r="BF1585" s="76" t="b">
        <v>0</v>
      </c>
      <c r="BG1585" s="76" t="b">
        <v>0</v>
      </c>
      <c r="BH1585" s="82" t="str">
        <f>HYPERLINK("https://pbs.twimg.com/profile_banners/224034469/1625058554")</f>
        <v>https://pbs.twimg.com/profile_banners/224034469/1625058554</v>
      </c>
      <c r="BI1585" s="76"/>
      <c r="BJ1585" s="76" t="s">
        <v>27595</v>
      </c>
      <c r="BK1585" s="76" t="b">
        <v>0</v>
      </c>
      <c r="BL1585" s="76"/>
      <c r="BM1585" s="76" t="s">
        <v>66</v>
      </c>
      <c r="BN1585" s="76" t="s">
        <v>27597</v>
      </c>
      <c r="BO1585" s="82" t="str">
        <f>HYPERLINK("https://twitter.com/leo_scampos")</f>
        <v>https://twitter.com/leo_scampos</v>
      </c>
      <c r="BP1585" s="2"/>
    </row>
    <row r="1586" spans="1:68" x14ac:dyDescent="0.25">
      <c r="A1586" s="62" t="s">
        <v>2039</v>
      </c>
      <c r="B1586" s="63"/>
      <c r="C1586" s="63"/>
      <c r="D1586" s="64"/>
      <c r="E1586" s="66"/>
      <c r="F1586" s="103" t="str">
        <f>HYPERLINK("https://pbs.twimg.com/profile_images/1604917549979893760/ayaCWcje_normal.jpg")</f>
        <v>https://pbs.twimg.com/profile_images/1604917549979893760/ayaCWcje_normal.jpg</v>
      </c>
      <c r="G1586" s="63"/>
      <c r="H1586" s="67"/>
      <c r="I1586" s="68"/>
      <c r="J1586" s="68"/>
      <c r="K1586" s="67" t="s">
        <v>29180</v>
      </c>
      <c r="L1586" s="71"/>
      <c r="M1586" s="72"/>
      <c r="N1586" s="72"/>
      <c r="O1586" s="73"/>
      <c r="P1586" s="74"/>
      <c r="Q1586" s="74"/>
      <c r="R1586" s="87"/>
      <c r="S1586" s="87"/>
      <c r="T1586" s="87"/>
      <c r="U1586" s="87"/>
      <c r="V1586" s="48"/>
      <c r="W1586" s="48"/>
      <c r="X1586" s="48"/>
      <c r="Y1586" s="48"/>
      <c r="Z1586" s="47"/>
      <c r="AA1586" s="69">
        <v>1586</v>
      </c>
      <c r="AB1586" s="69"/>
      <c r="AC1586" s="70"/>
      <c r="AD1586" s="76" t="s">
        <v>22797</v>
      </c>
      <c r="AE1586" s="81" t="s">
        <v>23899</v>
      </c>
      <c r="AF1586" s="76">
        <v>78902</v>
      </c>
      <c r="AG1586" s="76">
        <v>1</v>
      </c>
      <c r="AH1586" s="76">
        <v>112839</v>
      </c>
      <c r="AI1586" s="76">
        <v>142</v>
      </c>
      <c r="AJ1586" s="76">
        <v>2520</v>
      </c>
      <c r="AK1586" s="76">
        <v>1047</v>
      </c>
      <c r="AL1586" s="76" t="b">
        <v>0</v>
      </c>
      <c r="AM1586" s="78">
        <v>43172.549756944441</v>
      </c>
      <c r="AN1586" s="76"/>
      <c r="AO1586" s="76" t="s">
        <v>26114</v>
      </c>
      <c r="AP1586" s="82" t="str">
        <f>HYPERLINK("https://t.co/xYj0Adthd4")</f>
        <v>https://t.co/xYj0Adthd4</v>
      </c>
      <c r="AQ1586" s="82" t="str">
        <f>HYPERLINK("https://linkin.bio/c6bank")</f>
        <v>https://linkin.bio/c6bank</v>
      </c>
      <c r="AR1586" s="76" t="s">
        <v>27221</v>
      </c>
      <c r="AS1586" s="76"/>
      <c r="AT1586" s="76"/>
      <c r="AU1586" s="76"/>
      <c r="AV1586" s="76"/>
      <c r="AW1586" s="82" t="str">
        <f>HYPERLINK("https://t.co/xYj0Adthd4")</f>
        <v>https://t.co/xYj0Adthd4</v>
      </c>
      <c r="AX1586" s="76" t="b">
        <v>0</v>
      </c>
      <c r="AY1586" s="76"/>
      <c r="AZ1586" s="76"/>
      <c r="BA1586" s="76" t="b">
        <v>1</v>
      </c>
      <c r="BB1586" s="76" t="b">
        <v>1</v>
      </c>
      <c r="BC1586" s="76" t="b">
        <v>1</v>
      </c>
      <c r="BD1586" s="76" t="b">
        <v>0</v>
      </c>
      <c r="BE1586" s="76" t="b">
        <v>0</v>
      </c>
      <c r="BF1586" s="76" t="b">
        <v>0</v>
      </c>
      <c r="BG1586" s="76" t="b">
        <v>0</v>
      </c>
      <c r="BH1586" s="82" t="str">
        <f>HYPERLINK("https://pbs.twimg.com/profile_banners/973547135273787393/1691169123")</f>
        <v>https://pbs.twimg.com/profile_banners/973547135273787393/1691169123</v>
      </c>
      <c r="BI1586" s="76"/>
      <c r="BJ1586" s="76" t="s">
        <v>27595</v>
      </c>
      <c r="BK1586" s="76" t="b">
        <v>0</v>
      </c>
      <c r="BL1586" s="76"/>
      <c r="BM1586" s="76" t="s">
        <v>65</v>
      </c>
      <c r="BN1586" s="76" t="s">
        <v>27597</v>
      </c>
      <c r="BO1586" s="82" t="str">
        <f>HYPERLINK("https://twitter.com/c6bank")</f>
        <v>https://twitter.com/c6bank</v>
      </c>
      <c r="BP1586" s="2"/>
    </row>
    <row r="1587" spans="1:68" x14ac:dyDescent="0.25">
      <c r="A1587" s="62" t="s">
        <v>1431</v>
      </c>
      <c r="B1587" s="63"/>
      <c r="C1587" s="63"/>
      <c r="D1587" s="64"/>
      <c r="E1587" s="66"/>
      <c r="F1587" s="103" t="str">
        <f>HYPERLINK("https://pbs.twimg.com/profile_images/1690773017868046336/7JcDF-Mn_normal.jpg")</f>
        <v>https://pbs.twimg.com/profile_images/1690773017868046336/7JcDF-Mn_normal.jpg</v>
      </c>
      <c r="G1587" s="63"/>
      <c r="H1587" s="67"/>
      <c r="I1587" s="68"/>
      <c r="J1587" s="68"/>
      <c r="K1587" s="67" t="s">
        <v>29181</v>
      </c>
      <c r="L1587" s="71"/>
      <c r="M1587" s="72"/>
      <c r="N1587" s="72"/>
      <c r="O1587" s="73"/>
      <c r="P1587" s="74"/>
      <c r="Q1587" s="74"/>
      <c r="R1587" s="87"/>
      <c r="S1587" s="87"/>
      <c r="T1587" s="87"/>
      <c r="U1587" s="87"/>
      <c r="V1587" s="48"/>
      <c r="W1587" s="48"/>
      <c r="X1587" s="48"/>
      <c r="Y1587" s="48"/>
      <c r="Z1587" s="47"/>
      <c r="AA1587" s="69">
        <v>1587</v>
      </c>
      <c r="AB1587" s="69"/>
      <c r="AC1587" s="70"/>
      <c r="AD1587" s="76" t="s">
        <v>22798</v>
      </c>
      <c r="AE1587" s="81" t="s">
        <v>21084</v>
      </c>
      <c r="AF1587" s="76">
        <v>54</v>
      </c>
      <c r="AG1587" s="76">
        <v>138</v>
      </c>
      <c r="AH1587" s="76">
        <v>2851</v>
      </c>
      <c r="AI1587" s="76">
        <v>0</v>
      </c>
      <c r="AJ1587" s="76">
        <v>1326</v>
      </c>
      <c r="AK1587" s="76">
        <v>191</v>
      </c>
      <c r="AL1587" s="76" t="b">
        <v>0</v>
      </c>
      <c r="AM1587" s="78">
        <v>45151.713831018518</v>
      </c>
      <c r="AN1587" s="76"/>
      <c r="AO1587" s="76"/>
      <c r="AP1587" s="76"/>
      <c r="AQ1587" s="76"/>
      <c r="AR1587" s="76"/>
      <c r="AS1587" s="76"/>
      <c r="AT1587" s="76"/>
      <c r="AU1587" s="76"/>
      <c r="AV1587" s="76"/>
      <c r="AW1587" s="76"/>
      <c r="AX1587" s="76" t="b">
        <v>0</v>
      </c>
      <c r="AY1587" s="76"/>
      <c r="AZ1587" s="76"/>
      <c r="BA1587" s="76" t="b">
        <v>0</v>
      </c>
      <c r="BB1587" s="76" t="b">
        <v>1</v>
      </c>
      <c r="BC1587" s="76" t="b">
        <v>1</v>
      </c>
      <c r="BD1587" s="76" t="b">
        <v>0</v>
      </c>
      <c r="BE1587" s="76" t="b">
        <v>0</v>
      </c>
      <c r="BF1587" s="76" t="b">
        <v>0</v>
      </c>
      <c r="BG1587" s="76" t="b">
        <v>0</v>
      </c>
      <c r="BH1587" s="76"/>
      <c r="BI1587" s="76"/>
      <c r="BJ1587" s="76" t="s">
        <v>27595</v>
      </c>
      <c r="BK1587" s="76" t="b">
        <v>0</v>
      </c>
      <c r="BL1587" s="76"/>
      <c r="BM1587" s="76" t="s">
        <v>66</v>
      </c>
      <c r="BN1587" s="76" t="s">
        <v>27597</v>
      </c>
      <c r="BO1587" s="82" t="str">
        <f>HYPERLINK("https://twitter.com/petersyuri18936")</f>
        <v>https://twitter.com/petersyuri18936</v>
      </c>
      <c r="BP1587" s="2"/>
    </row>
    <row r="1588" spans="1:68" x14ac:dyDescent="0.25">
      <c r="A1588" s="62" t="s">
        <v>2040</v>
      </c>
      <c r="B1588" s="63"/>
      <c r="C1588" s="63"/>
      <c r="D1588" s="64"/>
      <c r="E1588" s="66"/>
      <c r="F1588" s="103" t="str">
        <f>HYPERLINK("https://pbs.twimg.com/profile_images/1075167631328600064/s9ErC7Ts_normal.jpg")</f>
        <v>https://pbs.twimg.com/profile_images/1075167631328600064/s9ErC7Ts_normal.jpg</v>
      </c>
      <c r="G1588" s="63"/>
      <c r="H1588" s="67"/>
      <c r="I1588" s="68"/>
      <c r="J1588" s="68"/>
      <c r="K1588" s="67" t="s">
        <v>29182</v>
      </c>
      <c r="L1588" s="71"/>
      <c r="M1588" s="72"/>
      <c r="N1588" s="72"/>
      <c r="O1588" s="73"/>
      <c r="P1588" s="74"/>
      <c r="Q1588" s="74"/>
      <c r="R1588" s="87"/>
      <c r="S1588" s="87"/>
      <c r="T1588" s="87"/>
      <c r="U1588" s="87"/>
      <c r="V1588" s="48"/>
      <c r="W1588" s="48"/>
      <c r="X1588" s="48"/>
      <c r="Y1588" s="48"/>
      <c r="Z1588" s="47"/>
      <c r="AA1588" s="69">
        <v>1588</v>
      </c>
      <c r="AB1588" s="69"/>
      <c r="AC1588" s="70"/>
      <c r="AD1588" s="76" t="s">
        <v>22799</v>
      </c>
      <c r="AE1588" s="81" t="s">
        <v>20358</v>
      </c>
      <c r="AF1588" s="76">
        <v>104073</v>
      </c>
      <c r="AG1588" s="76">
        <v>4881</v>
      </c>
      <c r="AH1588" s="76">
        <v>17634</v>
      </c>
      <c r="AI1588" s="76">
        <v>176</v>
      </c>
      <c r="AJ1588" s="76">
        <v>28796</v>
      </c>
      <c r="AK1588" s="76">
        <v>1449</v>
      </c>
      <c r="AL1588" s="76" t="b">
        <v>0</v>
      </c>
      <c r="AM1588" s="78">
        <v>40446.614166666666</v>
      </c>
      <c r="AN1588" s="76" t="s">
        <v>14389</v>
      </c>
      <c r="AO1588" s="76" t="s">
        <v>26115</v>
      </c>
      <c r="AP1588" s="82" t="str">
        <f>HYPERLINK("https://t.co/EthWsmrzTN")</f>
        <v>https://t.co/EthWsmrzTN</v>
      </c>
      <c r="AQ1588" s="82" t="str">
        <f>HYPERLINK("http://www.grupospurrier.com")</f>
        <v>http://www.grupospurrier.com</v>
      </c>
      <c r="AR1588" s="76" t="s">
        <v>27222</v>
      </c>
      <c r="AS1588" s="76"/>
      <c r="AT1588" s="76"/>
      <c r="AU1588" s="76"/>
      <c r="AV1588" s="76"/>
      <c r="AW1588" s="82" t="str">
        <f>HYPERLINK("https://t.co/EthWsmrzTN")</f>
        <v>https://t.co/EthWsmrzTN</v>
      </c>
      <c r="AX1588" s="76" t="b">
        <v>1</v>
      </c>
      <c r="AY1588" s="76"/>
      <c r="AZ1588" s="76"/>
      <c r="BA1588" s="76" t="b">
        <v>1</v>
      </c>
      <c r="BB1588" s="76" t="b">
        <v>1</v>
      </c>
      <c r="BC1588" s="76" t="b">
        <v>1</v>
      </c>
      <c r="BD1588" s="76" t="b">
        <v>0</v>
      </c>
      <c r="BE1588" s="76" t="b">
        <v>1</v>
      </c>
      <c r="BF1588" s="76" t="b">
        <v>0</v>
      </c>
      <c r="BG1588" s="76" t="b">
        <v>0</v>
      </c>
      <c r="BH1588" s="82" t="str">
        <f>HYPERLINK("https://pbs.twimg.com/profile_banners/194997545/1545174993")</f>
        <v>https://pbs.twimg.com/profile_banners/194997545/1545174993</v>
      </c>
      <c r="BI1588" s="76"/>
      <c r="BJ1588" s="76" t="s">
        <v>27595</v>
      </c>
      <c r="BK1588" s="76" t="b">
        <v>0</v>
      </c>
      <c r="BL1588" s="76"/>
      <c r="BM1588" s="76" t="s">
        <v>65</v>
      </c>
      <c r="BN1588" s="76" t="s">
        <v>27597</v>
      </c>
      <c r="BO1588" s="82" t="str">
        <f>HYPERLINK("https://twitter.com/albertoacostab")</f>
        <v>https://twitter.com/albertoacostab</v>
      </c>
      <c r="BP1588" s="2"/>
    </row>
    <row r="1589" spans="1:68" x14ac:dyDescent="0.25">
      <c r="A1589" s="62" t="s">
        <v>1432</v>
      </c>
      <c r="B1589" s="63"/>
      <c r="C1589" s="63"/>
      <c r="D1589" s="64"/>
      <c r="E1589" s="66"/>
      <c r="F1589" s="103" t="str">
        <f>HYPERLINK("https://pbs.twimg.com/profile_images/1612394971415322624/yh5vTeG0_normal.jpg")</f>
        <v>https://pbs.twimg.com/profile_images/1612394971415322624/yh5vTeG0_normal.jpg</v>
      </c>
      <c r="G1589" s="63"/>
      <c r="H1589" s="67"/>
      <c r="I1589" s="68"/>
      <c r="J1589" s="68"/>
      <c r="K1589" s="67" t="s">
        <v>29183</v>
      </c>
      <c r="L1589" s="71"/>
      <c r="M1589" s="72"/>
      <c r="N1589" s="72"/>
      <c r="O1589" s="73"/>
      <c r="P1589" s="74"/>
      <c r="Q1589" s="74"/>
      <c r="R1589" s="87"/>
      <c r="S1589" s="87"/>
      <c r="T1589" s="87"/>
      <c r="U1589" s="87"/>
      <c r="V1589" s="48"/>
      <c r="W1589" s="48"/>
      <c r="X1589" s="48"/>
      <c r="Y1589" s="48"/>
      <c r="Z1589" s="47"/>
      <c r="AA1589" s="69">
        <v>1589</v>
      </c>
      <c r="AB1589" s="69"/>
      <c r="AC1589" s="70"/>
      <c r="AD1589" s="76" t="s">
        <v>22800</v>
      </c>
      <c r="AE1589" s="81" t="s">
        <v>20359</v>
      </c>
      <c r="AF1589" s="76">
        <v>26332</v>
      </c>
      <c r="AG1589" s="76">
        <v>245</v>
      </c>
      <c r="AH1589" s="76">
        <v>107198</v>
      </c>
      <c r="AI1589" s="76">
        <v>680</v>
      </c>
      <c r="AJ1589" s="76">
        <v>2433</v>
      </c>
      <c r="AK1589" s="76">
        <v>29602</v>
      </c>
      <c r="AL1589" s="76" t="b">
        <v>0</v>
      </c>
      <c r="AM1589" s="78">
        <v>39742.610254629632</v>
      </c>
      <c r="AN1589" s="76" t="s">
        <v>24059</v>
      </c>
      <c r="AO1589" s="76" t="s">
        <v>26116</v>
      </c>
      <c r="AP1589" s="82" t="str">
        <f>HYPERLINK("https://t.co/hpZSryh1ap")</f>
        <v>https://t.co/hpZSryh1ap</v>
      </c>
      <c r="AQ1589" s="82" t="str">
        <f>HYPERLINK("http://www.intereconomia.com/")</f>
        <v>http://www.intereconomia.com/</v>
      </c>
      <c r="AR1589" s="76" t="s">
        <v>27223</v>
      </c>
      <c r="AS1589" s="82" t="str">
        <f>HYPERLINK("https://t.co/kWSKcVqfcj")</f>
        <v>https://t.co/kWSKcVqfcj</v>
      </c>
      <c r="AT1589" s="82" t="str">
        <f>HYPERLINK("http://t.me/radiointerecon")</f>
        <v>http://t.me/radiointerecon</v>
      </c>
      <c r="AU1589" s="76" t="s">
        <v>27564</v>
      </c>
      <c r="AV1589" s="76"/>
      <c r="AW1589" s="82" t="str">
        <f>HYPERLINK("https://t.co/hpZSryh1ap")</f>
        <v>https://t.co/hpZSryh1ap</v>
      </c>
      <c r="AX1589" s="76" t="b">
        <v>0</v>
      </c>
      <c r="AY1589" s="76"/>
      <c r="AZ1589" s="76"/>
      <c r="BA1589" s="76" t="b">
        <v>0</v>
      </c>
      <c r="BB1589" s="76" t="b">
        <v>1</v>
      </c>
      <c r="BC1589" s="76" t="b">
        <v>0</v>
      </c>
      <c r="BD1589" s="76" t="b">
        <v>0</v>
      </c>
      <c r="BE1589" s="76" t="b">
        <v>0</v>
      </c>
      <c r="BF1589" s="76" t="b">
        <v>0</v>
      </c>
      <c r="BG1589" s="76" t="b">
        <v>0</v>
      </c>
      <c r="BH1589" s="82" t="str">
        <f>HYPERLINK("https://pbs.twimg.com/profile_banners/16886866/1674478459")</f>
        <v>https://pbs.twimg.com/profile_banners/16886866/1674478459</v>
      </c>
      <c r="BI1589" s="76"/>
      <c r="BJ1589" s="76" t="s">
        <v>27595</v>
      </c>
      <c r="BK1589" s="76" t="b">
        <v>0</v>
      </c>
      <c r="BL1589" s="76"/>
      <c r="BM1589" s="76" t="s">
        <v>66</v>
      </c>
      <c r="BN1589" s="76" t="s">
        <v>27597</v>
      </c>
      <c r="BO1589" s="82" t="str">
        <f>HYPERLINK("https://twitter.com/rintereconomia")</f>
        <v>https://twitter.com/rintereconomia</v>
      </c>
      <c r="BP1589" s="2"/>
    </row>
    <row r="1590" spans="1:68" x14ac:dyDescent="0.25">
      <c r="A1590" s="62" t="s">
        <v>1433</v>
      </c>
      <c r="B1590" s="63"/>
      <c r="C1590" s="63"/>
      <c r="D1590" s="64"/>
      <c r="E1590" s="66"/>
      <c r="F1590" s="103" t="str">
        <f>HYPERLINK("https://pbs.twimg.com/profile_images/3604098875/07e83ed144af8970475112800ab03193_normal.jpeg")</f>
        <v>https://pbs.twimg.com/profile_images/3604098875/07e83ed144af8970475112800ab03193_normal.jpeg</v>
      </c>
      <c r="G1590" s="63"/>
      <c r="H1590" s="67"/>
      <c r="I1590" s="68"/>
      <c r="J1590" s="68"/>
      <c r="K1590" s="67" t="s">
        <v>29184</v>
      </c>
      <c r="L1590" s="71"/>
      <c r="M1590" s="72"/>
      <c r="N1590" s="72"/>
      <c r="O1590" s="73"/>
      <c r="P1590" s="74"/>
      <c r="Q1590" s="74"/>
      <c r="R1590" s="87"/>
      <c r="S1590" s="87"/>
      <c r="T1590" s="87"/>
      <c r="U1590" s="87"/>
      <c r="V1590" s="48"/>
      <c r="W1590" s="48"/>
      <c r="X1590" s="48"/>
      <c r="Y1590" s="48"/>
      <c r="Z1590" s="47"/>
      <c r="AA1590" s="69">
        <v>1590</v>
      </c>
      <c r="AB1590" s="69"/>
      <c r="AC1590" s="70"/>
      <c r="AD1590" s="76" t="s">
        <v>22801</v>
      </c>
      <c r="AE1590" s="81" t="s">
        <v>23900</v>
      </c>
      <c r="AF1590" s="76">
        <v>6489</v>
      </c>
      <c r="AG1590" s="76">
        <v>6347</v>
      </c>
      <c r="AH1590" s="76">
        <v>29950</v>
      </c>
      <c r="AI1590" s="76">
        <v>0</v>
      </c>
      <c r="AJ1590" s="76">
        <v>62708</v>
      </c>
      <c r="AK1590" s="76">
        <v>713</v>
      </c>
      <c r="AL1590" s="76" t="b">
        <v>0</v>
      </c>
      <c r="AM1590" s="78">
        <v>41395.533449074072</v>
      </c>
      <c r="AN1590" s="76" t="s">
        <v>24625</v>
      </c>
      <c r="AO1590" s="76" t="s">
        <v>26117</v>
      </c>
      <c r="AP1590" s="76"/>
      <c r="AQ1590" s="76"/>
      <c r="AR1590" s="76"/>
      <c r="AS1590" s="76"/>
      <c r="AT1590" s="76"/>
      <c r="AU1590" s="76"/>
      <c r="AV1590" s="76">
        <v>1.46081733870657E+18</v>
      </c>
      <c r="AW1590" s="76"/>
      <c r="AX1590" s="76" t="b">
        <v>0</v>
      </c>
      <c r="AY1590" s="76"/>
      <c r="AZ1590" s="76"/>
      <c r="BA1590" s="76" t="b">
        <v>0</v>
      </c>
      <c r="BB1590" s="76" t="b">
        <v>1</v>
      </c>
      <c r="BC1590" s="76" t="b">
        <v>0</v>
      </c>
      <c r="BD1590" s="76" t="b">
        <v>0</v>
      </c>
      <c r="BE1590" s="76" t="b">
        <v>1</v>
      </c>
      <c r="BF1590" s="76" t="b">
        <v>0</v>
      </c>
      <c r="BG1590" s="76" t="b">
        <v>0</v>
      </c>
      <c r="BH1590" s="82" t="str">
        <f>HYPERLINK("https://pbs.twimg.com/profile_banners/1394564412/1497982542")</f>
        <v>https://pbs.twimg.com/profile_banners/1394564412/1497982542</v>
      </c>
      <c r="BI1590" s="76"/>
      <c r="BJ1590" s="76" t="s">
        <v>27595</v>
      </c>
      <c r="BK1590" s="76" t="b">
        <v>0</v>
      </c>
      <c r="BL1590" s="76"/>
      <c r="BM1590" s="76" t="s">
        <v>66</v>
      </c>
      <c r="BN1590" s="76" t="s">
        <v>27597</v>
      </c>
      <c r="BO1590" s="82" t="str">
        <f>HYPERLINK("https://twitter.com/sarficos")</f>
        <v>https://twitter.com/sarficos</v>
      </c>
      <c r="BP1590" s="2"/>
    </row>
    <row r="1591" spans="1:68" x14ac:dyDescent="0.25">
      <c r="A1591" s="62" t="s">
        <v>1434</v>
      </c>
      <c r="B1591" s="63"/>
      <c r="C1591" s="63"/>
      <c r="D1591" s="64"/>
      <c r="E1591" s="66"/>
      <c r="F1591" s="103" t="str">
        <f>HYPERLINK("https://pbs.twimg.com/profile_images/1698906126459322368/n2iw_V-w_normal.jpg")</f>
        <v>https://pbs.twimg.com/profile_images/1698906126459322368/n2iw_V-w_normal.jpg</v>
      </c>
      <c r="G1591" s="63"/>
      <c r="H1591" s="67"/>
      <c r="I1591" s="68"/>
      <c r="J1591" s="68"/>
      <c r="K1591" s="67" t="s">
        <v>29185</v>
      </c>
      <c r="L1591" s="71"/>
      <c r="M1591" s="72"/>
      <c r="N1591" s="72"/>
      <c r="O1591" s="73"/>
      <c r="P1591" s="74"/>
      <c r="Q1591" s="74"/>
      <c r="R1591" s="87"/>
      <c r="S1591" s="87"/>
      <c r="T1591" s="87"/>
      <c r="U1591" s="87"/>
      <c r="V1591" s="48"/>
      <c r="W1591" s="48"/>
      <c r="X1591" s="48"/>
      <c r="Y1591" s="48"/>
      <c r="Z1591" s="47"/>
      <c r="AA1591" s="69">
        <v>1591</v>
      </c>
      <c r="AB1591" s="69"/>
      <c r="AC1591" s="70"/>
      <c r="AD1591" s="76" t="s">
        <v>22802</v>
      </c>
      <c r="AE1591" s="81" t="s">
        <v>21085</v>
      </c>
      <c r="AF1591" s="76">
        <v>1564</v>
      </c>
      <c r="AG1591" s="76">
        <v>56</v>
      </c>
      <c r="AH1591" s="76">
        <v>2872</v>
      </c>
      <c r="AI1591" s="76">
        <v>10</v>
      </c>
      <c r="AJ1591" s="76">
        <v>48</v>
      </c>
      <c r="AK1591" s="76">
        <v>863</v>
      </c>
      <c r="AL1591" s="76" t="b">
        <v>0</v>
      </c>
      <c r="AM1591" s="78">
        <v>44426.717349537037</v>
      </c>
      <c r="AN1591" s="76" t="s">
        <v>24626</v>
      </c>
      <c r="AO1591" s="76" t="s">
        <v>26118</v>
      </c>
      <c r="AP1591" s="82" t="str">
        <f>HYPERLINK("https://t.co/oEIJRVpKgI")</f>
        <v>https://t.co/oEIJRVpKgI</v>
      </c>
      <c r="AQ1591" s="82" t="str">
        <f>HYPERLINK("http://forbes.cl")</f>
        <v>http://forbes.cl</v>
      </c>
      <c r="AR1591" s="76" t="s">
        <v>27224</v>
      </c>
      <c r="AS1591" s="76"/>
      <c r="AT1591" s="76"/>
      <c r="AU1591" s="76"/>
      <c r="AV1591" s="76">
        <v>1.6986785138956101E+18</v>
      </c>
      <c r="AW1591" s="82" t="str">
        <f>HYPERLINK("https://t.co/oEIJRVpKgI")</f>
        <v>https://t.co/oEIJRVpKgI</v>
      </c>
      <c r="AX1591" s="76" t="b">
        <v>0</v>
      </c>
      <c r="AY1591" s="76"/>
      <c r="AZ1591" s="76"/>
      <c r="BA1591" s="76" t="b">
        <v>1</v>
      </c>
      <c r="BB1591" s="76" t="b">
        <v>1</v>
      </c>
      <c r="BC1591" s="76" t="b">
        <v>1</v>
      </c>
      <c r="BD1591" s="76" t="b">
        <v>0</v>
      </c>
      <c r="BE1591" s="76" t="b">
        <v>0</v>
      </c>
      <c r="BF1591" s="76" t="b">
        <v>0</v>
      </c>
      <c r="BG1591" s="76" t="b">
        <v>0</v>
      </c>
      <c r="BH1591" s="82" t="str">
        <f>HYPERLINK("https://pbs.twimg.com/profile_banners/1428041636290998274/1693885760")</f>
        <v>https://pbs.twimg.com/profile_banners/1428041636290998274/1693885760</v>
      </c>
      <c r="BI1591" s="76"/>
      <c r="BJ1591" s="76" t="s">
        <v>27595</v>
      </c>
      <c r="BK1591" s="76" t="b">
        <v>0</v>
      </c>
      <c r="BL1591" s="76"/>
      <c r="BM1591" s="76" t="s">
        <v>66</v>
      </c>
      <c r="BN1591" s="76" t="s">
        <v>27597</v>
      </c>
      <c r="BO1591" s="82" t="str">
        <f>HYPERLINK("https://twitter.com/forbeschile")</f>
        <v>https://twitter.com/forbeschile</v>
      </c>
      <c r="BP1591" s="2"/>
    </row>
    <row r="1592" spans="1:68" x14ac:dyDescent="0.25">
      <c r="A1592" s="62" t="s">
        <v>1435</v>
      </c>
      <c r="B1592" s="63"/>
      <c r="C1592" s="63"/>
      <c r="D1592" s="64"/>
      <c r="E1592" s="66"/>
      <c r="F1592" s="103" t="str">
        <f>HYPERLINK("https://pbs.twimg.com/profile_images/1585675656800739331/IfeUc2nZ_normal.jpg")</f>
        <v>https://pbs.twimg.com/profile_images/1585675656800739331/IfeUc2nZ_normal.jpg</v>
      </c>
      <c r="G1592" s="63"/>
      <c r="H1592" s="67"/>
      <c r="I1592" s="68"/>
      <c r="J1592" s="68"/>
      <c r="K1592" s="67" t="s">
        <v>29186</v>
      </c>
      <c r="L1592" s="71"/>
      <c r="M1592" s="72"/>
      <c r="N1592" s="72"/>
      <c r="O1592" s="73"/>
      <c r="P1592" s="74"/>
      <c r="Q1592" s="74"/>
      <c r="R1592" s="87"/>
      <c r="S1592" s="87"/>
      <c r="T1592" s="87"/>
      <c r="U1592" s="87"/>
      <c r="V1592" s="48"/>
      <c r="W1592" s="48"/>
      <c r="X1592" s="48"/>
      <c r="Y1592" s="48"/>
      <c r="Z1592" s="47"/>
      <c r="AA1592" s="69">
        <v>1592</v>
      </c>
      <c r="AB1592" s="69"/>
      <c r="AC1592" s="70"/>
      <c r="AD1592" s="76" t="s">
        <v>22803</v>
      </c>
      <c r="AE1592" s="81" t="s">
        <v>21086</v>
      </c>
      <c r="AF1592" s="76">
        <v>3131</v>
      </c>
      <c r="AG1592" s="76">
        <v>4943</v>
      </c>
      <c r="AH1592" s="76">
        <v>5368</v>
      </c>
      <c r="AI1592" s="76">
        <v>0</v>
      </c>
      <c r="AJ1592" s="76">
        <v>4128</v>
      </c>
      <c r="AK1592" s="76">
        <v>9</v>
      </c>
      <c r="AL1592" s="76" t="b">
        <v>0</v>
      </c>
      <c r="AM1592" s="78">
        <v>44578.430983796294</v>
      </c>
      <c r="AN1592" s="76"/>
      <c r="AO1592" s="76" t="s">
        <v>26119</v>
      </c>
      <c r="AP1592" s="76"/>
      <c r="AQ1592" s="76"/>
      <c r="AR1592" s="76"/>
      <c r="AS1592" s="76"/>
      <c r="AT1592" s="76"/>
      <c r="AU1592" s="76"/>
      <c r="AV1592" s="76"/>
      <c r="AW1592" s="76"/>
      <c r="AX1592" s="76" t="b">
        <v>0</v>
      </c>
      <c r="AY1592" s="76"/>
      <c r="AZ1592" s="76"/>
      <c r="BA1592" s="76" t="b">
        <v>0</v>
      </c>
      <c r="BB1592" s="76" t="b">
        <v>1</v>
      </c>
      <c r="BC1592" s="76" t="b">
        <v>1</v>
      </c>
      <c r="BD1592" s="76" t="b">
        <v>0</v>
      </c>
      <c r="BE1592" s="76" t="b">
        <v>0</v>
      </c>
      <c r="BF1592" s="76" t="b">
        <v>0</v>
      </c>
      <c r="BG1592" s="76" t="b">
        <v>0</v>
      </c>
      <c r="BH1592" s="82" t="str">
        <f>HYPERLINK("https://pbs.twimg.com/profile_banners/1483021246405173249/1666889516")</f>
        <v>https://pbs.twimg.com/profile_banners/1483021246405173249/1666889516</v>
      </c>
      <c r="BI1592" s="76"/>
      <c r="BJ1592" s="76" t="s">
        <v>27595</v>
      </c>
      <c r="BK1592" s="76" t="b">
        <v>0</v>
      </c>
      <c r="BL1592" s="76"/>
      <c r="BM1592" s="76" t="s">
        <v>66</v>
      </c>
      <c r="BN1592" s="76" t="s">
        <v>27597</v>
      </c>
      <c r="BO1592" s="82" t="str">
        <f>HYPERLINK("https://twitter.com/moreiramenesesd")</f>
        <v>https://twitter.com/moreiramenesesd</v>
      </c>
      <c r="BP1592" s="2"/>
    </row>
    <row r="1593" spans="1:68" x14ac:dyDescent="0.25">
      <c r="A1593" s="62" t="s">
        <v>1436</v>
      </c>
      <c r="B1593" s="63"/>
      <c r="C1593" s="63"/>
      <c r="D1593" s="64"/>
      <c r="E1593" s="66"/>
      <c r="F1593" s="103" t="str">
        <f>HYPERLINK("https://pbs.twimg.com/profile_images/1162455953654071296/oT9I5C1b_normal.jpg")</f>
        <v>https://pbs.twimg.com/profile_images/1162455953654071296/oT9I5C1b_normal.jpg</v>
      </c>
      <c r="G1593" s="63"/>
      <c r="H1593" s="67"/>
      <c r="I1593" s="68"/>
      <c r="J1593" s="68"/>
      <c r="K1593" s="67" t="s">
        <v>29187</v>
      </c>
      <c r="L1593" s="71"/>
      <c r="M1593" s="72"/>
      <c r="N1593" s="72"/>
      <c r="O1593" s="73"/>
      <c r="P1593" s="74"/>
      <c r="Q1593" s="74"/>
      <c r="R1593" s="87"/>
      <c r="S1593" s="87"/>
      <c r="T1593" s="87"/>
      <c r="U1593" s="87"/>
      <c r="V1593" s="48"/>
      <c r="W1593" s="48"/>
      <c r="X1593" s="48"/>
      <c r="Y1593" s="48"/>
      <c r="Z1593" s="47"/>
      <c r="AA1593" s="69">
        <v>1593</v>
      </c>
      <c r="AB1593" s="69"/>
      <c r="AC1593" s="70"/>
      <c r="AD1593" s="76" t="s">
        <v>22804</v>
      </c>
      <c r="AE1593" s="81" t="s">
        <v>21087</v>
      </c>
      <c r="AF1593" s="76">
        <v>81</v>
      </c>
      <c r="AG1593" s="76">
        <v>102</v>
      </c>
      <c r="AH1593" s="76">
        <v>1361</v>
      </c>
      <c r="AI1593" s="76">
        <v>0</v>
      </c>
      <c r="AJ1593" s="76">
        <v>13</v>
      </c>
      <c r="AK1593" s="76">
        <v>593</v>
      </c>
      <c r="AL1593" s="76" t="b">
        <v>0</v>
      </c>
      <c r="AM1593" s="78">
        <v>43633.69017361111</v>
      </c>
      <c r="AN1593" s="76" t="s">
        <v>24388</v>
      </c>
      <c r="AO1593" s="76" t="s">
        <v>26120</v>
      </c>
      <c r="AP1593" s="82" t="str">
        <f>HYPERLINK("https://t.co/41HDq63L1o")</f>
        <v>https://t.co/41HDq63L1o</v>
      </c>
      <c r="AQ1593" s="82" t="str">
        <f>HYPERLINK("https://www.diariodoacionista.com.br/")</f>
        <v>https://www.diariodoacionista.com.br/</v>
      </c>
      <c r="AR1593" s="76" t="s">
        <v>27225</v>
      </c>
      <c r="AS1593" s="76"/>
      <c r="AT1593" s="76"/>
      <c r="AU1593" s="76"/>
      <c r="AV1593" s="76"/>
      <c r="AW1593" s="82" t="str">
        <f>HYPERLINK("https://t.co/41HDq63L1o")</f>
        <v>https://t.co/41HDq63L1o</v>
      </c>
      <c r="AX1593" s="76" t="b">
        <v>0</v>
      </c>
      <c r="AY1593" s="76"/>
      <c r="AZ1593" s="76"/>
      <c r="BA1593" s="76" t="b">
        <v>1</v>
      </c>
      <c r="BB1593" s="76" t="b">
        <v>1</v>
      </c>
      <c r="BC1593" s="76" t="b">
        <v>1</v>
      </c>
      <c r="BD1593" s="76" t="b">
        <v>0</v>
      </c>
      <c r="BE1593" s="76" t="b">
        <v>0</v>
      </c>
      <c r="BF1593" s="76" t="b">
        <v>0</v>
      </c>
      <c r="BG1593" s="76" t="b">
        <v>0</v>
      </c>
      <c r="BH1593" s="82" t="str">
        <f>HYPERLINK("https://pbs.twimg.com/profile_banners/1140658827353833474/1652124858")</f>
        <v>https://pbs.twimg.com/profile_banners/1140658827353833474/1652124858</v>
      </c>
      <c r="BI1593" s="76"/>
      <c r="BJ1593" s="76" t="s">
        <v>27595</v>
      </c>
      <c r="BK1593" s="76" t="b">
        <v>0</v>
      </c>
      <c r="BL1593" s="76"/>
      <c r="BM1593" s="76" t="s">
        <v>66</v>
      </c>
      <c r="BN1593" s="76" t="s">
        <v>27597</v>
      </c>
      <c r="BO1593" s="82" t="str">
        <f>HYPERLINK("https://twitter.com/diarioacionista")</f>
        <v>https://twitter.com/diarioacionista</v>
      </c>
      <c r="BP1593" s="2"/>
    </row>
    <row r="1594" spans="1:68" x14ac:dyDescent="0.25">
      <c r="A1594" s="62" t="s">
        <v>1437</v>
      </c>
      <c r="B1594" s="63"/>
      <c r="C1594" s="63"/>
      <c r="D1594" s="64"/>
      <c r="E1594" s="66"/>
      <c r="F1594" s="103" t="str">
        <f>HYPERLINK("https://pbs.twimg.com/profile_images/1699062469011079168/4scHhiyv_normal.jpg")</f>
        <v>https://pbs.twimg.com/profile_images/1699062469011079168/4scHhiyv_normal.jpg</v>
      </c>
      <c r="G1594" s="63"/>
      <c r="H1594" s="67"/>
      <c r="I1594" s="68"/>
      <c r="J1594" s="68"/>
      <c r="K1594" s="67" t="s">
        <v>29188</v>
      </c>
      <c r="L1594" s="71"/>
      <c r="M1594" s="72"/>
      <c r="N1594" s="72"/>
      <c r="O1594" s="73"/>
      <c r="P1594" s="74"/>
      <c r="Q1594" s="74"/>
      <c r="R1594" s="87"/>
      <c r="S1594" s="87"/>
      <c r="T1594" s="87"/>
      <c r="U1594" s="87"/>
      <c r="V1594" s="48"/>
      <c r="W1594" s="48"/>
      <c r="X1594" s="48"/>
      <c r="Y1594" s="48"/>
      <c r="Z1594" s="47"/>
      <c r="AA1594" s="69">
        <v>1594</v>
      </c>
      <c r="AB1594" s="69"/>
      <c r="AC1594" s="70"/>
      <c r="AD1594" s="76" t="s">
        <v>22805</v>
      </c>
      <c r="AE1594" s="81" t="s">
        <v>23901</v>
      </c>
      <c r="AF1594" s="76">
        <v>6033</v>
      </c>
      <c r="AG1594" s="76">
        <v>1219</v>
      </c>
      <c r="AH1594" s="76">
        <v>189543</v>
      </c>
      <c r="AI1594" s="76">
        <v>29</v>
      </c>
      <c r="AJ1594" s="76">
        <v>211881</v>
      </c>
      <c r="AK1594" s="76">
        <v>4475</v>
      </c>
      <c r="AL1594" s="76" t="b">
        <v>0</v>
      </c>
      <c r="AM1594" s="78">
        <v>41252.012141203704</v>
      </c>
      <c r="AN1594" s="76" t="s">
        <v>24627</v>
      </c>
      <c r="AO1594" s="76" t="s">
        <v>26121</v>
      </c>
      <c r="AP1594" s="82" t="str">
        <f>HYPERLINK("https://t.co/hAkUzF9OIi")</f>
        <v>https://t.co/hAkUzF9OIi</v>
      </c>
      <c r="AQ1594" s="82" t="str">
        <f>HYPERLINK("http://www.instagram.com/Jer.322")</f>
        <v>http://www.instagram.com/Jer.322</v>
      </c>
      <c r="AR1594" s="76" t="s">
        <v>27226</v>
      </c>
      <c r="AS1594" s="76"/>
      <c r="AT1594" s="76"/>
      <c r="AU1594" s="76"/>
      <c r="AV1594" s="76">
        <v>1.6943171714284301E+18</v>
      </c>
      <c r="AW1594" s="82" t="str">
        <f>HYPERLINK("https://t.co/hAkUzF9OIi")</f>
        <v>https://t.co/hAkUzF9OIi</v>
      </c>
      <c r="AX1594" s="76" t="b">
        <v>0</v>
      </c>
      <c r="AY1594" s="76"/>
      <c r="AZ1594" s="76"/>
      <c r="BA1594" s="76" t="b">
        <v>1</v>
      </c>
      <c r="BB1594" s="76" t="b">
        <v>0</v>
      </c>
      <c r="BC1594" s="76" t="b">
        <v>1</v>
      </c>
      <c r="BD1594" s="76" t="b">
        <v>0</v>
      </c>
      <c r="BE1594" s="76" t="b">
        <v>1</v>
      </c>
      <c r="BF1594" s="76" t="b">
        <v>0</v>
      </c>
      <c r="BG1594" s="76" t="b">
        <v>1</v>
      </c>
      <c r="BH1594" s="82" t="str">
        <f>HYPERLINK("https://pbs.twimg.com/profile_banners/998270347/1646334331")</f>
        <v>https://pbs.twimg.com/profile_banners/998270347/1646334331</v>
      </c>
      <c r="BI1594" s="76"/>
      <c r="BJ1594" s="76" t="s">
        <v>27595</v>
      </c>
      <c r="BK1594" s="76" t="b">
        <v>0</v>
      </c>
      <c r="BL1594" s="76"/>
      <c r="BM1594" s="76" t="s">
        <v>66</v>
      </c>
      <c r="BN1594" s="76" t="s">
        <v>27597</v>
      </c>
      <c r="BO1594" s="82" t="str">
        <f>HYPERLINK("https://twitter.com/jerthaplug")</f>
        <v>https://twitter.com/jerthaplug</v>
      </c>
      <c r="BP1594" s="2"/>
    </row>
    <row r="1595" spans="1:68" x14ac:dyDescent="0.25">
      <c r="A1595" s="62" t="s">
        <v>1438</v>
      </c>
      <c r="B1595" s="63"/>
      <c r="C1595" s="63"/>
      <c r="D1595" s="64"/>
      <c r="E1595" s="66"/>
      <c r="F1595" s="103" t="str">
        <f>HYPERLINK("https://pbs.twimg.com/profile_images/1707412998103367680/h5C3wVsK_normal.jpg")</f>
        <v>https://pbs.twimg.com/profile_images/1707412998103367680/h5C3wVsK_normal.jpg</v>
      </c>
      <c r="G1595" s="63"/>
      <c r="H1595" s="67"/>
      <c r="I1595" s="68"/>
      <c r="J1595" s="68"/>
      <c r="K1595" s="67" t="s">
        <v>29189</v>
      </c>
      <c r="L1595" s="71"/>
      <c r="M1595" s="72"/>
      <c r="N1595" s="72"/>
      <c r="O1595" s="73"/>
      <c r="P1595" s="74"/>
      <c r="Q1595" s="74"/>
      <c r="R1595" s="87"/>
      <c r="S1595" s="87"/>
      <c r="T1595" s="87"/>
      <c r="U1595" s="87"/>
      <c r="V1595" s="48"/>
      <c r="W1595" s="48"/>
      <c r="X1595" s="48"/>
      <c r="Y1595" s="48"/>
      <c r="Z1595" s="47"/>
      <c r="AA1595" s="69">
        <v>1595</v>
      </c>
      <c r="AB1595" s="69"/>
      <c r="AC1595" s="70"/>
      <c r="AD1595" s="76" t="s">
        <v>22806</v>
      </c>
      <c r="AE1595" s="81" t="s">
        <v>21088</v>
      </c>
      <c r="AF1595" s="76">
        <v>667</v>
      </c>
      <c r="AG1595" s="76">
        <v>3606</v>
      </c>
      <c r="AH1595" s="76">
        <v>63521</v>
      </c>
      <c r="AI1595" s="76">
        <v>8</v>
      </c>
      <c r="AJ1595" s="76">
        <v>38158</v>
      </c>
      <c r="AK1595" s="76">
        <v>4130</v>
      </c>
      <c r="AL1595" s="76" t="b">
        <v>0</v>
      </c>
      <c r="AM1595" s="78">
        <v>43977.518009259256</v>
      </c>
      <c r="AN1595" s="76"/>
      <c r="AO1595" s="76" t="s">
        <v>26122</v>
      </c>
      <c r="AP1595" s="82" t="str">
        <f>HYPERLINK("https://t.co/6pY0CbonMb")</f>
        <v>https://t.co/6pY0CbonMb</v>
      </c>
      <c r="AQ1595" s="82" t="str">
        <f>HYPERLINK("https://vk.com/id818082201")</f>
        <v>https://vk.com/id818082201</v>
      </c>
      <c r="AR1595" s="76" t="s">
        <v>27227</v>
      </c>
      <c r="AS1595" s="76"/>
      <c r="AT1595" s="76"/>
      <c r="AU1595" s="76"/>
      <c r="AV1595" s="76">
        <v>1.6986818249840901E+18</v>
      </c>
      <c r="AW1595" s="82" t="str">
        <f>HYPERLINK("https://t.co/6pY0CbonMb")</f>
        <v>https://t.co/6pY0CbonMb</v>
      </c>
      <c r="AX1595" s="76" t="b">
        <v>0</v>
      </c>
      <c r="AY1595" s="76"/>
      <c r="AZ1595" s="76"/>
      <c r="BA1595" s="76" t="b">
        <v>1</v>
      </c>
      <c r="BB1595" s="76" t="b">
        <v>1</v>
      </c>
      <c r="BC1595" s="76" t="b">
        <v>1</v>
      </c>
      <c r="BD1595" s="76" t="b">
        <v>0</v>
      </c>
      <c r="BE1595" s="76" t="b">
        <v>1</v>
      </c>
      <c r="BF1595" s="76" t="b">
        <v>0</v>
      </c>
      <c r="BG1595" s="76" t="b">
        <v>0</v>
      </c>
      <c r="BH1595" s="82" t="str">
        <f>HYPERLINK("https://pbs.twimg.com/profile_banners/1265256742054756352/1604150558")</f>
        <v>https://pbs.twimg.com/profile_banners/1265256742054756352/1604150558</v>
      </c>
      <c r="BI1595" s="76"/>
      <c r="BJ1595" s="76" t="s">
        <v>27595</v>
      </c>
      <c r="BK1595" s="76" t="b">
        <v>0</v>
      </c>
      <c r="BL1595" s="76"/>
      <c r="BM1595" s="76" t="s">
        <v>66</v>
      </c>
      <c r="BN1595" s="76" t="s">
        <v>27597</v>
      </c>
      <c r="BO1595" s="82" t="str">
        <f>HYPERLINK("https://twitter.com/cipio3")</f>
        <v>https://twitter.com/cipio3</v>
      </c>
      <c r="BP1595" s="2"/>
    </row>
    <row r="1596" spans="1:68" x14ac:dyDescent="0.25">
      <c r="A1596" s="62" t="s">
        <v>1439</v>
      </c>
      <c r="B1596" s="63"/>
      <c r="C1596" s="63"/>
      <c r="D1596" s="64"/>
      <c r="E1596" s="66"/>
      <c r="F1596" s="103" t="str">
        <f>HYPERLINK("https://pbs.twimg.com/profile_images/1640660186179223553/wkHhQm1W_normal.jpg")</f>
        <v>https://pbs.twimg.com/profile_images/1640660186179223553/wkHhQm1W_normal.jpg</v>
      </c>
      <c r="G1596" s="63"/>
      <c r="H1596" s="67"/>
      <c r="I1596" s="68"/>
      <c r="J1596" s="68"/>
      <c r="K1596" s="67" t="s">
        <v>29190</v>
      </c>
      <c r="L1596" s="71"/>
      <c r="M1596" s="72"/>
      <c r="N1596" s="72"/>
      <c r="O1596" s="73"/>
      <c r="P1596" s="74"/>
      <c r="Q1596" s="74"/>
      <c r="R1596" s="87"/>
      <c r="S1596" s="87"/>
      <c r="T1596" s="87"/>
      <c r="U1596" s="87"/>
      <c r="V1596" s="48"/>
      <c r="W1596" s="48"/>
      <c r="X1596" s="48"/>
      <c r="Y1596" s="48"/>
      <c r="Z1596" s="47"/>
      <c r="AA1596" s="69">
        <v>1596</v>
      </c>
      <c r="AB1596" s="69"/>
      <c r="AC1596" s="70"/>
      <c r="AD1596" s="76" t="s">
        <v>22807</v>
      </c>
      <c r="AE1596" s="81" t="s">
        <v>23902</v>
      </c>
      <c r="AF1596" s="76">
        <v>157</v>
      </c>
      <c r="AG1596" s="76">
        <v>87</v>
      </c>
      <c r="AH1596" s="76">
        <v>1328</v>
      </c>
      <c r="AI1596" s="76">
        <v>0</v>
      </c>
      <c r="AJ1596" s="76">
        <v>2496</v>
      </c>
      <c r="AK1596" s="76">
        <v>22</v>
      </c>
      <c r="AL1596" s="76" t="b">
        <v>0</v>
      </c>
      <c r="AM1596" s="78">
        <v>40307.591516203705</v>
      </c>
      <c r="AN1596" s="76" t="s">
        <v>14490</v>
      </c>
      <c r="AO1596" s="76" t="s">
        <v>26123</v>
      </c>
      <c r="AP1596" s="76"/>
      <c r="AQ1596" s="76"/>
      <c r="AR1596" s="76"/>
      <c r="AS1596" s="76"/>
      <c r="AT1596" s="76"/>
      <c r="AU1596" s="76"/>
      <c r="AV1596" s="76"/>
      <c r="AW1596" s="76"/>
      <c r="AX1596" s="76" t="b">
        <v>0</v>
      </c>
      <c r="AY1596" s="76"/>
      <c r="AZ1596" s="76"/>
      <c r="BA1596" s="76" t="b">
        <v>0</v>
      </c>
      <c r="BB1596" s="76" t="b">
        <v>1</v>
      </c>
      <c r="BC1596" s="76" t="b">
        <v>0</v>
      </c>
      <c r="BD1596" s="76" t="b">
        <v>0</v>
      </c>
      <c r="BE1596" s="76" t="b">
        <v>1</v>
      </c>
      <c r="BF1596" s="76" t="b">
        <v>0</v>
      </c>
      <c r="BG1596" s="76" t="b">
        <v>0</v>
      </c>
      <c r="BH1596" s="82" t="str">
        <f>HYPERLINK("https://pbs.twimg.com/profile_banners/141953042/1679999016")</f>
        <v>https://pbs.twimg.com/profile_banners/141953042/1679999016</v>
      </c>
      <c r="BI1596" s="76"/>
      <c r="BJ1596" s="76" t="s">
        <v>27595</v>
      </c>
      <c r="BK1596" s="76" t="b">
        <v>0</v>
      </c>
      <c r="BL1596" s="76"/>
      <c r="BM1596" s="76" t="s">
        <v>66</v>
      </c>
      <c r="BN1596" s="76" t="s">
        <v>27597</v>
      </c>
      <c r="BO1596" s="82" t="str">
        <f>HYPERLINK("https://twitter.com/leeosd_")</f>
        <v>https://twitter.com/leeosd_</v>
      </c>
      <c r="BP1596" s="2"/>
    </row>
    <row r="1597" spans="1:68" x14ac:dyDescent="0.25">
      <c r="A1597" s="62" t="s">
        <v>1440</v>
      </c>
      <c r="B1597" s="63"/>
      <c r="C1597" s="63"/>
      <c r="D1597" s="64"/>
      <c r="E1597" s="66"/>
      <c r="F1597" s="103" t="str">
        <f>HYPERLINK("https://pbs.twimg.com/profile_images/1673524335116443649/Um-pXxR4_normal.jpg")</f>
        <v>https://pbs.twimg.com/profile_images/1673524335116443649/Um-pXxR4_normal.jpg</v>
      </c>
      <c r="G1597" s="63"/>
      <c r="H1597" s="67"/>
      <c r="I1597" s="68"/>
      <c r="J1597" s="68"/>
      <c r="K1597" s="67" t="s">
        <v>29191</v>
      </c>
      <c r="L1597" s="71"/>
      <c r="M1597" s="72"/>
      <c r="N1597" s="72"/>
      <c r="O1597" s="73"/>
      <c r="P1597" s="74"/>
      <c r="Q1597" s="74"/>
      <c r="R1597" s="87"/>
      <c r="S1597" s="87"/>
      <c r="T1597" s="87"/>
      <c r="U1597" s="87"/>
      <c r="V1597" s="48"/>
      <c r="W1597" s="48"/>
      <c r="X1597" s="48"/>
      <c r="Y1597" s="48"/>
      <c r="Z1597" s="47"/>
      <c r="AA1597" s="69">
        <v>1597</v>
      </c>
      <c r="AB1597" s="69"/>
      <c r="AC1597" s="70"/>
      <c r="AD1597" s="76" t="s">
        <v>22808</v>
      </c>
      <c r="AE1597" s="81" t="s">
        <v>21089</v>
      </c>
      <c r="AF1597" s="76">
        <v>1168</v>
      </c>
      <c r="AG1597" s="76">
        <v>776</v>
      </c>
      <c r="AH1597" s="76">
        <v>13810</v>
      </c>
      <c r="AI1597" s="76">
        <v>5</v>
      </c>
      <c r="AJ1597" s="76">
        <v>58</v>
      </c>
      <c r="AK1597" s="76">
        <v>1343</v>
      </c>
      <c r="AL1597" s="76" t="b">
        <v>0</v>
      </c>
      <c r="AM1597" s="78">
        <v>43818.398935185185</v>
      </c>
      <c r="AN1597" s="76" t="s">
        <v>24317</v>
      </c>
      <c r="AO1597" s="76" t="s">
        <v>26124</v>
      </c>
      <c r="AP1597" s="82" t="str">
        <f>HYPERLINK("https://t.co/aIf94NYlg3")</f>
        <v>https://t.co/aIf94NYlg3</v>
      </c>
      <c r="AQ1597" s="82" t="str">
        <f>HYPERLINK("https://linkbio.co/tucuman24")</f>
        <v>https://linkbio.co/tucuman24</v>
      </c>
      <c r="AR1597" s="76" t="s">
        <v>27228</v>
      </c>
      <c r="AS1597" s="76"/>
      <c r="AT1597" s="76"/>
      <c r="AU1597" s="76"/>
      <c r="AV1597" s="76">
        <v>1.6834267873956101E+18</v>
      </c>
      <c r="AW1597" s="82" t="str">
        <f>HYPERLINK("https://t.co/aIf94NYlg3")</f>
        <v>https://t.co/aIf94NYlg3</v>
      </c>
      <c r="AX1597" s="76" t="b">
        <v>0</v>
      </c>
      <c r="AY1597" s="76"/>
      <c r="AZ1597" s="76"/>
      <c r="BA1597" s="76" t="b">
        <v>1</v>
      </c>
      <c r="BB1597" s="76" t="b">
        <v>1</v>
      </c>
      <c r="BC1597" s="76" t="b">
        <v>1</v>
      </c>
      <c r="BD1597" s="76" t="b">
        <v>0</v>
      </c>
      <c r="BE1597" s="76" t="b">
        <v>1</v>
      </c>
      <c r="BF1597" s="76" t="b">
        <v>0</v>
      </c>
      <c r="BG1597" s="76" t="b">
        <v>0</v>
      </c>
      <c r="BH1597" s="82" t="str">
        <f>HYPERLINK("https://pbs.twimg.com/profile_banners/1207594921647063040/1690171456")</f>
        <v>https://pbs.twimg.com/profile_banners/1207594921647063040/1690171456</v>
      </c>
      <c r="BI1597" s="76"/>
      <c r="BJ1597" s="76" t="s">
        <v>27595</v>
      </c>
      <c r="BK1597" s="76" t="b">
        <v>0</v>
      </c>
      <c r="BL1597" s="76"/>
      <c r="BM1597" s="76" t="s">
        <v>66</v>
      </c>
      <c r="BN1597" s="76" t="s">
        <v>27597</v>
      </c>
      <c r="BO1597" s="82" t="str">
        <f>HYPERLINK("https://twitter.com/tucuman24ok")</f>
        <v>https://twitter.com/tucuman24ok</v>
      </c>
      <c r="BP1597" s="2"/>
    </row>
    <row r="1598" spans="1:68" x14ac:dyDescent="0.25">
      <c r="A1598" s="62" t="s">
        <v>1441</v>
      </c>
      <c r="B1598" s="63"/>
      <c r="C1598" s="63"/>
      <c r="D1598" s="64"/>
      <c r="E1598" s="66"/>
      <c r="F1598" s="103" t="str">
        <f>HYPERLINK("https://pbs.twimg.com/profile_images/1384146441791176705/gWnG0o_d_normal.jpg")</f>
        <v>https://pbs.twimg.com/profile_images/1384146441791176705/gWnG0o_d_normal.jpg</v>
      </c>
      <c r="G1598" s="63"/>
      <c r="H1598" s="67"/>
      <c r="I1598" s="68"/>
      <c r="J1598" s="68"/>
      <c r="K1598" s="67" t="s">
        <v>29192</v>
      </c>
      <c r="L1598" s="71"/>
      <c r="M1598" s="72"/>
      <c r="N1598" s="72"/>
      <c r="O1598" s="73"/>
      <c r="P1598" s="74"/>
      <c r="Q1598" s="74"/>
      <c r="R1598" s="87"/>
      <c r="S1598" s="87"/>
      <c r="T1598" s="87"/>
      <c r="U1598" s="87"/>
      <c r="V1598" s="48"/>
      <c r="W1598" s="48"/>
      <c r="X1598" s="48"/>
      <c r="Y1598" s="48"/>
      <c r="Z1598" s="47"/>
      <c r="AA1598" s="69">
        <v>1598</v>
      </c>
      <c r="AB1598" s="69"/>
      <c r="AC1598" s="70"/>
      <c r="AD1598" s="76" t="s">
        <v>22809</v>
      </c>
      <c r="AE1598" s="81" t="s">
        <v>21090</v>
      </c>
      <c r="AF1598" s="76">
        <v>375</v>
      </c>
      <c r="AG1598" s="76">
        <v>1337</v>
      </c>
      <c r="AH1598" s="76">
        <v>4719</v>
      </c>
      <c r="AI1598" s="76">
        <v>3</v>
      </c>
      <c r="AJ1598" s="76">
        <v>659</v>
      </c>
      <c r="AK1598" s="76">
        <v>1126</v>
      </c>
      <c r="AL1598" s="76" t="b">
        <v>0</v>
      </c>
      <c r="AM1598" s="78">
        <v>44160.624143518522</v>
      </c>
      <c r="AN1598" s="76" t="s">
        <v>24114</v>
      </c>
      <c r="AO1598" s="76" t="s">
        <v>26125</v>
      </c>
      <c r="AP1598" s="82" t="str">
        <f>HYPERLINK("https://t.co/eHpipu8v7s")</f>
        <v>https://t.co/eHpipu8v7s</v>
      </c>
      <c r="AQ1598" s="82" t="str">
        <f>HYPERLINK("http://www.zonales.com")</f>
        <v>http://www.zonales.com</v>
      </c>
      <c r="AR1598" s="76" t="s">
        <v>8850</v>
      </c>
      <c r="AS1598" s="82" t="str">
        <f>HYPERLINK("https://t.co/ZsfVEcKINC")</f>
        <v>https://t.co/ZsfVEcKINC</v>
      </c>
      <c r="AT1598" s="82" t="str">
        <f>HYPERLINK("http://www.instagram.com/zonales.web/")</f>
        <v>http://www.instagram.com/zonales.web/</v>
      </c>
      <c r="AU1598" s="76" t="s">
        <v>27565</v>
      </c>
      <c r="AV1598" s="76"/>
      <c r="AW1598" s="82" t="str">
        <f>HYPERLINK("https://t.co/eHpipu8v7s")</f>
        <v>https://t.co/eHpipu8v7s</v>
      </c>
      <c r="AX1598" s="76" t="b">
        <v>0</v>
      </c>
      <c r="AY1598" s="76"/>
      <c r="AZ1598" s="76"/>
      <c r="BA1598" s="76" t="b">
        <v>0</v>
      </c>
      <c r="BB1598" s="76" t="b">
        <v>1</v>
      </c>
      <c r="BC1598" s="76" t="b">
        <v>1</v>
      </c>
      <c r="BD1598" s="76" t="b">
        <v>0</v>
      </c>
      <c r="BE1598" s="76" t="b">
        <v>0</v>
      </c>
      <c r="BF1598" s="76" t="b">
        <v>0</v>
      </c>
      <c r="BG1598" s="76" t="b">
        <v>0</v>
      </c>
      <c r="BH1598" s="82" t="str">
        <f>HYPERLINK("https://pbs.twimg.com/profile_banners/1331613198022225920/1618841203")</f>
        <v>https://pbs.twimg.com/profile_banners/1331613198022225920/1618841203</v>
      </c>
      <c r="BI1598" s="76"/>
      <c r="BJ1598" s="76" t="s">
        <v>27595</v>
      </c>
      <c r="BK1598" s="76" t="b">
        <v>0</v>
      </c>
      <c r="BL1598" s="76"/>
      <c r="BM1598" s="76" t="s">
        <v>66</v>
      </c>
      <c r="BN1598" s="76" t="s">
        <v>27597</v>
      </c>
      <c r="BO1598" s="82" t="str">
        <f>HYPERLINK("https://twitter.com/zonales_web")</f>
        <v>https://twitter.com/zonales_web</v>
      </c>
      <c r="BP1598" s="2"/>
    </row>
    <row r="1599" spans="1:68" x14ac:dyDescent="0.25">
      <c r="A1599" s="62" t="s">
        <v>1442</v>
      </c>
      <c r="B1599" s="63"/>
      <c r="C1599" s="63"/>
      <c r="D1599" s="64"/>
      <c r="E1599" s="66"/>
      <c r="F1599" s="103" t="str">
        <f>HYPERLINK("https://pbs.twimg.com/profile_images/1702033206814343168/Sk6DWoHc_normal.jpg")</f>
        <v>https://pbs.twimg.com/profile_images/1702033206814343168/Sk6DWoHc_normal.jpg</v>
      </c>
      <c r="G1599" s="63"/>
      <c r="H1599" s="67"/>
      <c r="I1599" s="68"/>
      <c r="J1599" s="68"/>
      <c r="K1599" s="67" t="s">
        <v>29193</v>
      </c>
      <c r="L1599" s="71"/>
      <c r="M1599" s="72"/>
      <c r="N1599" s="72"/>
      <c r="O1599" s="73"/>
      <c r="P1599" s="74"/>
      <c r="Q1599" s="74"/>
      <c r="R1599" s="87"/>
      <c r="S1599" s="87"/>
      <c r="T1599" s="87"/>
      <c r="U1599" s="87"/>
      <c r="V1599" s="48"/>
      <c r="W1599" s="48"/>
      <c r="X1599" s="48"/>
      <c r="Y1599" s="48"/>
      <c r="Z1599" s="47"/>
      <c r="AA1599" s="69">
        <v>1599</v>
      </c>
      <c r="AB1599" s="69"/>
      <c r="AC1599" s="70"/>
      <c r="AD1599" s="76" t="s">
        <v>22810</v>
      </c>
      <c r="AE1599" s="81" t="s">
        <v>23903</v>
      </c>
      <c r="AF1599" s="76">
        <v>4684</v>
      </c>
      <c r="AG1599" s="76">
        <v>140</v>
      </c>
      <c r="AH1599" s="76">
        <v>37796</v>
      </c>
      <c r="AI1599" s="76">
        <v>19</v>
      </c>
      <c r="AJ1599" s="76">
        <v>71</v>
      </c>
      <c r="AK1599" s="76">
        <v>2979</v>
      </c>
      <c r="AL1599" s="76" t="b">
        <v>0</v>
      </c>
      <c r="AM1599" s="78">
        <v>40445.577743055554</v>
      </c>
      <c r="AN1599" s="76"/>
      <c r="AO1599" s="76" t="s">
        <v>26126</v>
      </c>
      <c r="AP1599" s="82" t="str">
        <f>HYPERLINK("https://t.co/YXhMSRDDmm")</f>
        <v>https://t.co/YXhMSRDDmm</v>
      </c>
      <c r="AQ1599" s="82" t="str">
        <f>HYPERLINK("http://www.miseria.com.br")</f>
        <v>http://www.miseria.com.br</v>
      </c>
      <c r="AR1599" s="76" t="s">
        <v>27229</v>
      </c>
      <c r="AS1599" s="76" t="s">
        <v>27397</v>
      </c>
      <c r="AT1599" s="76" t="s">
        <v>27436</v>
      </c>
      <c r="AU1599" s="76" t="s">
        <v>27566</v>
      </c>
      <c r="AV1599" s="76"/>
      <c r="AW1599" s="82" t="str">
        <f>HYPERLINK("https://t.co/YXhMSRDDmm")</f>
        <v>https://t.co/YXhMSRDDmm</v>
      </c>
      <c r="AX1599" s="76" t="b">
        <v>0</v>
      </c>
      <c r="AY1599" s="76"/>
      <c r="AZ1599" s="76"/>
      <c r="BA1599" s="76" t="b">
        <v>0</v>
      </c>
      <c r="BB1599" s="76" t="b">
        <v>1</v>
      </c>
      <c r="BC1599" s="76" t="b">
        <v>0</v>
      </c>
      <c r="BD1599" s="76" t="b">
        <v>0</v>
      </c>
      <c r="BE1599" s="76" t="b">
        <v>0</v>
      </c>
      <c r="BF1599" s="76" t="b">
        <v>0</v>
      </c>
      <c r="BG1599" s="76" t="b">
        <v>0</v>
      </c>
      <c r="BH1599" s="82" t="str">
        <f>HYPERLINK("https://pbs.twimg.com/profile_banners/194579260/1695063635")</f>
        <v>https://pbs.twimg.com/profile_banners/194579260/1695063635</v>
      </c>
      <c r="BI1599" s="76"/>
      <c r="BJ1599" s="76" t="s">
        <v>27595</v>
      </c>
      <c r="BK1599" s="76" t="b">
        <v>0</v>
      </c>
      <c r="BL1599" s="76"/>
      <c r="BM1599" s="76" t="s">
        <v>66</v>
      </c>
      <c r="BN1599" s="76" t="s">
        <v>27597</v>
      </c>
      <c r="BO1599" s="82" t="str">
        <f>HYPERLINK("https://twitter.com/portal_miseria")</f>
        <v>https://twitter.com/portal_miseria</v>
      </c>
      <c r="BP1599" s="2"/>
    </row>
    <row r="1600" spans="1:68" x14ac:dyDescent="0.25">
      <c r="A1600" s="62" t="s">
        <v>2041</v>
      </c>
      <c r="B1600" s="63"/>
      <c r="C1600" s="63"/>
      <c r="D1600" s="64"/>
      <c r="E1600" s="66"/>
      <c r="F1600" s="103" t="str">
        <f>HYPERLINK("https://pbs.twimg.com/profile_images/1297907958320451584/eTxbFFSU_normal.jpg")</f>
        <v>https://pbs.twimg.com/profile_images/1297907958320451584/eTxbFFSU_normal.jpg</v>
      </c>
      <c r="G1600" s="63"/>
      <c r="H1600" s="67"/>
      <c r="I1600" s="68"/>
      <c r="J1600" s="68"/>
      <c r="K1600" s="67" t="s">
        <v>29194</v>
      </c>
      <c r="L1600" s="71"/>
      <c r="M1600" s="72"/>
      <c r="N1600" s="72"/>
      <c r="O1600" s="73"/>
      <c r="P1600" s="74"/>
      <c r="Q1600" s="74"/>
      <c r="R1600" s="87"/>
      <c r="S1600" s="87"/>
      <c r="T1600" s="87"/>
      <c r="U1600" s="87"/>
      <c r="V1600" s="48"/>
      <c r="W1600" s="48"/>
      <c r="X1600" s="48"/>
      <c r="Y1600" s="48"/>
      <c r="Z1600" s="47"/>
      <c r="AA1600" s="69">
        <v>1600</v>
      </c>
      <c r="AB1600" s="69"/>
      <c r="AC1600" s="70"/>
      <c r="AD1600" s="76" t="s">
        <v>22811</v>
      </c>
      <c r="AE1600" s="81" t="s">
        <v>23904</v>
      </c>
      <c r="AF1600" s="76">
        <v>448361</v>
      </c>
      <c r="AG1600" s="76">
        <v>126</v>
      </c>
      <c r="AH1600" s="76">
        <v>48033</v>
      </c>
      <c r="AI1600" s="76">
        <v>2761</v>
      </c>
      <c r="AJ1600" s="76">
        <v>36</v>
      </c>
      <c r="AK1600" s="76">
        <v>22109</v>
      </c>
      <c r="AL1600" s="76" t="b">
        <v>0</v>
      </c>
      <c r="AM1600" s="78">
        <v>40087.091793981483</v>
      </c>
      <c r="AN1600" s="76"/>
      <c r="AO1600" s="76" t="s">
        <v>26127</v>
      </c>
      <c r="AP1600" s="82" t="str">
        <f>HYPERLINK("https://t.co/5I7IHYroQ4")</f>
        <v>https://t.co/5I7IHYroQ4</v>
      </c>
      <c r="AQ1600" s="82" t="str">
        <f>HYPERLINK("http://economia.estadao.com.br/")</f>
        <v>http://economia.estadao.com.br/</v>
      </c>
      <c r="AR1600" s="76" t="s">
        <v>27230</v>
      </c>
      <c r="AS1600" s="76"/>
      <c r="AT1600" s="76"/>
      <c r="AU1600" s="76"/>
      <c r="AV1600" s="76"/>
      <c r="AW1600" s="82" t="str">
        <f>HYPERLINK("https://t.co/5I7IHYroQ4")</f>
        <v>https://t.co/5I7IHYroQ4</v>
      </c>
      <c r="AX1600" s="76" t="b">
        <v>0</v>
      </c>
      <c r="AY1600" s="76"/>
      <c r="AZ1600" s="76"/>
      <c r="BA1600" s="76" t="b">
        <v>0</v>
      </c>
      <c r="BB1600" s="76" t="b">
        <v>1</v>
      </c>
      <c r="BC1600" s="76" t="b">
        <v>0</v>
      </c>
      <c r="BD1600" s="76" t="b">
        <v>0</v>
      </c>
      <c r="BE1600" s="76" t="b">
        <v>0</v>
      </c>
      <c r="BF1600" s="76" t="b">
        <v>0</v>
      </c>
      <c r="BG1600" s="76" t="b">
        <v>0</v>
      </c>
      <c r="BH1600" s="82" t="str">
        <f>HYPERLINK("https://pbs.twimg.com/profile_banners/78774644/1565630931")</f>
        <v>https://pbs.twimg.com/profile_banners/78774644/1565630931</v>
      </c>
      <c r="BI1600" s="76"/>
      <c r="BJ1600" s="76" t="s">
        <v>27595</v>
      </c>
      <c r="BK1600" s="76" t="b">
        <v>0</v>
      </c>
      <c r="BL1600" s="76"/>
      <c r="BM1600" s="76" t="s">
        <v>65</v>
      </c>
      <c r="BN1600" s="76" t="s">
        <v>27597</v>
      </c>
      <c r="BO1600" s="82" t="str">
        <f>HYPERLINK("https://twitter.com/estadaoeconomia")</f>
        <v>https://twitter.com/estadaoeconomia</v>
      </c>
      <c r="BP1600" s="2"/>
    </row>
    <row r="1601" spans="1:68" x14ac:dyDescent="0.25">
      <c r="A1601" s="62" t="s">
        <v>1444</v>
      </c>
      <c r="B1601" s="63"/>
      <c r="C1601" s="63"/>
      <c r="D1601" s="64"/>
      <c r="E1601" s="66"/>
      <c r="F1601" s="103" t="str">
        <f>HYPERLINK("https://pbs.twimg.com/profile_images/1687495741361549312/Axi0mOD5_normal.jpg")</f>
        <v>https://pbs.twimg.com/profile_images/1687495741361549312/Axi0mOD5_normal.jpg</v>
      </c>
      <c r="G1601" s="63"/>
      <c r="H1601" s="67"/>
      <c r="I1601" s="68"/>
      <c r="J1601" s="68"/>
      <c r="K1601" s="67" t="s">
        <v>29195</v>
      </c>
      <c r="L1601" s="71"/>
      <c r="M1601" s="72"/>
      <c r="N1601" s="72"/>
      <c r="O1601" s="73"/>
      <c r="P1601" s="74"/>
      <c r="Q1601" s="74"/>
      <c r="R1601" s="87"/>
      <c r="S1601" s="87"/>
      <c r="T1601" s="87"/>
      <c r="U1601" s="87"/>
      <c r="V1601" s="48"/>
      <c r="W1601" s="48"/>
      <c r="X1601" s="48"/>
      <c r="Y1601" s="48"/>
      <c r="Z1601" s="47"/>
      <c r="AA1601" s="69">
        <v>1601</v>
      </c>
      <c r="AB1601" s="69"/>
      <c r="AC1601" s="70"/>
      <c r="AD1601" s="76" t="s">
        <v>22812</v>
      </c>
      <c r="AE1601" s="81" t="s">
        <v>21091</v>
      </c>
      <c r="AF1601" s="76">
        <v>4</v>
      </c>
      <c r="AG1601" s="76">
        <v>33</v>
      </c>
      <c r="AH1601" s="76">
        <v>11</v>
      </c>
      <c r="AI1601" s="76">
        <v>0</v>
      </c>
      <c r="AJ1601" s="76">
        <v>10</v>
      </c>
      <c r="AK1601" s="76">
        <v>6</v>
      </c>
      <c r="AL1601" s="76" t="b">
        <v>0</v>
      </c>
      <c r="AM1601" s="78">
        <v>45142.667175925926</v>
      </c>
      <c r="AN1601" s="76"/>
      <c r="AO1601" s="76"/>
      <c r="AP1601" s="76"/>
      <c r="AQ1601" s="76"/>
      <c r="AR1601" s="76"/>
      <c r="AS1601" s="76"/>
      <c r="AT1601" s="76"/>
      <c r="AU1601" s="76"/>
      <c r="AV1601" s="76"/>
      <c r="AW1601" s="76"/>
      <c r="AX1601" s="76" t="b">
        <v>0</v>
      </c>
      <c r="AY1601" s="76"/>
      <c r="AZ1601" s="76"/>
      <c r="BA1601" s="76" t="b">
        <v>0</v>
      </c>
      <c r="BB1601" s="76" t="b">
        <v>1</v>
      </c>
      <c r="BC1601" s="76" t="b">
        <v>1</v>
      </c>
      <c r="BD1601" s="76" t="b">
        <v>0</v>
      </c>
      <c r="BE1601" s="76" t="b">
        <v>0</v>
      </c>
      <c r="BF1601" s="76" t="b">
        <v>0</v>
      </c>
      <c r="BG1601" s="76" t="b">
        <v>0</v>
      </c>
      <c r="BH1601" s="82" t="str">
        <f>HYPERLINK("https://pbs.twimg.com/profile_banners/1687492876907827200/1691165489")</f>
        <v>https://pbs.twimg.com/profile_banners/1687492876907827200/1691165489</v>
      </c>
      <c r="BI1601" s="76"/>
      <c r="BJ1601" s="76" t="s">
        <v>27595</v>
      </c>
      <c r="BK1601" s="76" t="b">
        <v>0</v>
      </c>
      <c r="BL1601" s="76"/>
      <c r="BM1601" s="76" t="s">
        <v>66</v>
      </c>
      <c r="BN1601" s="76" t="s">
        <v>27597</v>
      </c>
      <c r="BO1601" s="82" t="str">
        <f>HYPERLINK("https://twitter.com/xetidciego")</f>
        <v>https://twitter.com/xetidciego</v>
      </c>
      <c r="BP1601" s="2"/>
    </row>
    <row r="1602" spans="1:68" x14ac:dyDescent="0.25">
      <c r="A1602" s="62" t="s">
        <v>1445</v>
      </c>
      <c r="B1602" s="63"/>
      <c r="C1602" s="63"/>
      <c r="D1602" s="64"/>
      <c r="E1602" s="66"/>
      <c r="F1602" s="103" t="str">
        <f>HYPERLINK("https://pbs.twimg.com/profile_images/1616575519612452864/C4ykaAj5_normal.jpg")</f>
        <v>https://pbs.twimg.com/profile_images/1616575519612452864/C4ykaAj5_normal.jpg</v>
      </c>
      <c r="G1602" s="63"/>
      <c r="H1602" s="67"/>
      <c r="I1602" s="68"/>
      <c r="J1602" s="68"/>
      <c r="K1602" s="67" t="s">
        <v>29196</v>
      </c>
      <c r="L1602" s="71"/>
      <c r="M1602" s="72"/>
      <c r="N1602" s="72"/>
      <c r="O1602" s="73"/>
      <c r="P1602" s="74"/>
      <c r="Q1602" s="74"/>
      <c r="R1602" s="87"/>
      <c r="S1602" s="87"/>
      <c r="T1602" s="87"/>
      <c r="U1602" s="87"/>
      <c r="V1602" s="48"/>
      <c r="W1602" s="48"/>
      <c r="X1602" s="48"/>
      <c r="Y1602" s="48"/>
      <c r="Z1602" s="47"/>
      <c r="AA1602" s="69">
        <v>1602</v>
      </c>
      <c r="AB1602" s="69"/>
      <c r="AC1602" s="70"/>
      <c r="AD1602" s="76" t="s">
        <v>22813</v>
      </c>
      <c r="AE1602" s="81" t="s">
        <v>21092</v>
      </c>
      <c r="AF1602" s="76">
        <v>24</v>
      </c>
      <c r="AG1602" s="76">
        <v>143</v>
      </c>
      <c r="AH1602" s="76">
        <v>2174</v>
      </c>
      <c r="AI1602" s="76">
        <v>2</v>
      </c>
      <c r="AJ1602" s="76">
        <v>11803</v>
      </c>
      <c r="AK1602" s="76">
        <v>27</v>
      </c>
      <c r="AL1602" s="76" t="b">
        <v>0</v>
      </c>
      <c r="AM1602" s="78">
        <v>44167.127083333333</v>
      </c>
      <c r="AN1602" s="76"/>
      <c r="AO1602" s="76" t="s">
        <v>26128</v>
      </c>
      <c r="AP1602" s="76"/>
      <c r="AQ1602" s="76"/>
      <c r="AR1602" s="76"/>
      <c r="AS1602" s="76"/>
      <c r="AT1602" s="76"/>
      <c r="AU1602" s="76"/>
      <c r="AV1602" s="76"/>
      <c r="AW1602" s="76"/>
      <c r="AX1602" s="76" t="b">
        <v>0</v>
      </c>
      <c r="AY1602" s="76"/>
      <c r="AZ1602" s="76"/>
      <c r="BA1602" s="76" t="b">
        <v>0</v>
      </c>
      <c r="BB1602" s="76" t="b">
        <v>1</v>
      </c>
      <c r="BC1602" s="76" t="b">
        <v>1</v>
      </c>
      <c r="BD1602" s="76" t="b">
        <v>0</v>
      </c>
      <c r="BE1602" s="76" t="b">
        <v>1</v>
      </c>
      <c r="BF1602" s="76" t="b">
        <v>0</v>
      </c>
      <c r="BG1602" s="76" t="b">
        <v>0</v>
      </c>
      <c r="BH1602" s="76"/>
      <c r="BI1602" s="76"/>
      <c r="BJ1602" s="76" t="s">
        <v>27595</v>
      </c>
      <c r="BK1602" s="76" t="b">
        <v>0</v>
      </c>
      <c r="BL1602" s="76"/>
      <c r="BM1602" s="76" t="s">
        <v>66</v>
      </c>
      <c r="BN1602" s="76" t="s">
        <v>27597</v>
      </c>
      <c r="BO1602" s="82" t="str">
        <f>HYPERLINK("https://twitter.com/alvesjesse10")</f>
        <v>https://twitter.com/alvesjesse10</v>
      </c>
      <c r="BP1602" s="2"/>
    </row>
    <row r="1603" spans="1:68" x14ac:dyDescent="0.25">
      <c r="A1603" s="62" t="s">
        <v>1446</v>
      </c>
      <c r="B1603" s="63"/>
      <c r="C1603" s="63"/>
      <c r="D1603" s="64"/>
      <c r="E1603" s="66"/>
      <c r="F1603" s="103" t="str">
        <f>HYPERLINK("https://pbs.twimg.com/profile_images/1667974407103365122/ycoP-Wes_normal.jpg")</f>
        <v>https://pbs.twimg.com/profile_images/1667974407103365122/ycoP-Wes_normal.jpg</v>
      </c>
      <c r="G1603" s="63"/>
      <c r="H1603" s="67"/>
      <c r="I1603" s="68"/>
      <c r="J1603" s="68"/>
      <c r="K1603" s="67" t="s">
        <v>29197</v>
      </c>
      <c r="L1603" s="71"/>
      <c r="M1603" s="72"/>
      <c r="N1603" s="72"/>
      <c r="O1603" s="73"/>
      <c r="P1603" s="74"/>
      <c r="Q1603" s="74"/>
      <c r="R1603" s="87"/>
      <c r="S1603" s="87"/>
      <c r="T1603" s="87"/>
      <c r="U1603" s="87"/>
      <c r="V1603" s="48"/>
      <c r="W1603" s="48"/>
      <c r="X1603" s="48"/>
      <c r="Y1603" s="48"/>
      <c r="Z1603" s="47"/>
      <c r="AA1603" s="69">
        <v>1603</v>
      </c>
      <c r="AB1603" s="69"/>
      <c r="AC1603" s="70"/>
      <c r="AD1603" s="76" t="s">
        <v>22814</v>
      </c>
      <c r="AE1603" s="81" t="s">
        <v>21093</v>
      </c>
      <c r="AF1603" s="76">
        <v>1479</v>
      </c>
      <c r="AG1603" s="76">
        <v>4066</v>
      </c>
      <c r="AH1603" s="76">
        <v>4356</v>
      </c>
      <c r="AI1603" s="76">
        <v>11</v>
      </c>
      <c r="AJ1603" s="76">
        <v>5461</v>
      </c>
      <c r="AK1603" s="76">
        <v>1554</v>
      </c>
      <c r="AL1603" s="76" t="b">
        <v>0</v>
      </c>
      <c r="AM1603" s="78">
        <v>44305.7346875</v>
      </c>
      <c r="AN1603" s="76" t="s">
        <v>24628</v>
      </c>
      <c r="AO1603" s="76" t="s">
        <v>26129</v>
      </c>
      <c r="AP1603" s="82" t="str">
        <f>HYPERLINK("https://t.co/ciRJqbpe5Y")</f>
        <v>https://t.co/ciRJqbpe5Y</v>
      </c>
      <c r="AQ1603" s="82" t="str">
        <f>HYPERLINK("https://weex.es/")</f>
        <v>https://weex.es/</v>
      </c>
      <c r="AR1603" s="76" t="s">
        <v>27231</v>
      </c>
      <c r="AS1603" s="76"/>
      <c r="AT1603" s="76"/>
      <c r="AU1603" s="76"/>
      <c r="AV1603" s="76">
        <v>1.6819853607194701E+18</v>
      </c>
      <c r="AW1603" s="82" t="str">
        <f>HYPERLINK("https://t.co/ciRJqbpe5Y")</f>
        <v>https://t.co/ciRJqbpe5Y</v>
      </c>
      <c r="AX1603" s="76" t="b">
        <v>1</v>
      </c>
      <c r="AY1603" s="76"/>
      <c r="AZ1603" s="76"/>
      <c r="BA1603" s="76" t="b">
        <v>1</v>
      </c>
      <c r="BB1603" s="76" t="b">
        <v>1</v>
      </c>
      <c r="BC1603" s="76" t="b">
        <v>1</v>
      </c>
      <c r="BD1603" s="76" t="b">
        <v>0</v>
      </c>
      <c r="BE1603" s="76" t="b">
        <v>1</v>
      </c>
      <c r="BF1603" s="76" t="b">
        <v>0</v>
      </c>
      <c r="BG1603" s="76" t="b">
        <v>0</v>
      </c>
      <c r="BH1603" s="82" t="str">
        <f>HYPERLINK("https://pbs.twimg.com/profile_banners/1384199534914392064/1645963671")</f>
        <v>https://pbs.twimg.com/profile_banners/1384199534914392064/1645963671</v>
      </c>
      <c r="BI1603" s="76"/>
      <c r="BJ1603" s="76" t="s">
        <v>27595</v>
      </c>
      <c r="BK1603" s="76" t="b">
        <v>0</v>
      </c>
      <c r="BL1603" s="76"/>
      <c r="BM1603" s="76" t="s">
        <v>66</v>
      </c>
      <c r="BN1603" s="76" t="s">
        <v>27597</v>
      </c>
      <c r="BO1603" s="82" t="str">
        <f>HYPERLINK("https://twitter.com/weex_es")</f>
        <v>https://twitter.com/weex_es</v>
      </c>
      <c r="BP1603" s="2"/>
    </row>
    <row r="1604" spans="1:68" x14ac:dyDescent="0.25">
      <c r="A1604" s="62" t="s">
        <v>1448</v>
      </c>
      <c r="B1604" s="63"/>
      <c r="C1604" s="63"/>
      <c r="D1604" s="64"/>
      <c r="E1604" s="66"/>
      <c r="F1604" s="103" t="str">
        <f>HYPERLINK("https://pbs.twimg.com/profile_images/1645533498659291136/B7tuyeJ4_normal.jpg")</f>
        <v>https://pbs.twimg.com/profile_images/1645533498659291136/B7tuyeJ4_normal.jpg</v>
      </c>
      <c r="G1604" s="63"/>
      <c r="H1604" s="67"/>
      <c r="I1604" s="68"/>
      <c r="J1604" s="68"/>
      <c r="K1604" s="67" t="s">
        <v>29198</v>
      </c>
      <c r="L1604" s="71"/>
      <c r="M1604" s="72"/>
      <c r="N1604" s="72"/>
      <c r="O1604" s="73"/>
      <c r="P1604" s="74"/>
      <c r="Q1604" s="74"/>
      <c r="R1604" s="87"/>
      <c r="S1604" s="87"/>
      <c r="T1604" s="87"/>
      <c r="U1604" s="87"/>
      <c r="V1604" s="48"/>
      <c r="W1604" s="48"/>
      <c r="X1604" s="48"/>
      <c r="Y1604" s="48"/>
      <c r="Z1604" s="47"/>
      <c r="AA1604" s="69">
        <v>1604</v>
      </c>
      <c r="AB1604" s="69"/>
      <c r="AC1604" s="70"/>
      <c r="AD1604" s="76" t="s">
        <v>22815</v>
      </c>
      <c r="AE1604" s="81" t="s">
        <v>21095</v>
      </c>
      <c r="AF1604" s="76">
        <v>252</v>
      </c>
      <c r="AG1604" s="76">
        <v>82</v>
      </c>
      <c r="AH1604" s="76">
        <v>744</v>
      </c>
      <c r="AI1604" s="76">
        <v>1</v>
      </c>
      <c r="AJ1604" s="76">
        <v>5</v>
      </c>
      <c r="AK1604" s="76">
        <v>695</v>
      </c>
      <c r="AL1604" s="76" t="b">
        <v>0</v>
      </c>
      <c r="AM1604" s="78">
        <v>44958.83766203704</v>
      </c>
      <c r="AN1604" s="76" t="s">
        <v>24480</v>
      </c>
      <c r="AO1604" s="76" t="s">
        <v>26130</v>
      </c>
      <c r="AP1604" s="76"/>
      <c r="AQ1604" s="76"/>
      <c r="AR1604" s="76"/>
      <c r="AS1604" s="76"/>
      <c r="AT1604" s="76"/>
      <c r="AU1604" s="76"/>
      <c r="AV1604" s="76"/>
      <c r="AW1604" s="76"/>
      <c r="AX1604" s="76" t="b">
        <v>1</v>
      </c>
      <c r="AY1604" s="76"/>
      <c r="AZ1604" s="76"/>
      <c r="BA1604" s="76" t="b">
        <v>0</v>
      </c>
      <c r="BB1604" s="76" t="b">
        <v>1</v>
      </c>
      <c r="BC1604" s="76" t="b">
        <v>1</v>
      </c>
      <c r="BD1604" s="76" t="b">
        <v>0</v>
      </c>
      <c r="BE1604" s="76" t="b">
        <v>0</v>
      </c>
      <c r="BF1604" s="76" t="b">
        <v>0</v>
      </c>
      <c r="BG1604" s="76" t="b">
        <v>0</v>
      </c>
      <c r="BH1604" s="82" t="str">
        <f>HYPERLINK("https://pbs.twimg.com/profile_banners/1620876123839074309/1675283258")</f>
        <v>https://pbs.twimg.com/profile_banners/1620876123839074309/1675283258</v>
      </c>
      <c r="BI1604" s="76"/>
      <c r="BJ1604" s="76" t="s">
        <v>27595</v>
      </c>
      <c r="BK1604" s="76" t="b">
        <v>0</v>
      </c>
      <c r="BL1604" s="76"/>
      <c r="BM1604" s="76" t="s">
        <v>66</v>
      </c>
      <c r="BN1604" s="76" t="s">
        <v>27597</v>
      </c>
      <c r="BO1604" s="82" t="str">
        <f>HYPERLINK("https://twitter.com/newsfly_latam")</f>
        <v>https://twitter.com/newsfly_latam</v>
      </c>
      <c r="BP1604" s="2"/>
    </row>
    <row r="1605" spans="1:68" x14ac:dyDescent="0.25">
      <c r="A1605" s="62" t="s">
        <v>1449</v>
      </c>
      <c r="B1605" s="63"/>
      <c r="C1605" s="63"/>
      <c r="D1605" s="64"/>
      <c r="E1605" s="66"/>
      <c r="F1605" s="103" t="str">
        <f>HYPERLINK("https://pbs.twimg.com/profile_images/3425614549/e33550c5911ecf735e54b37550ee6903_normal.jpeg")</f>
        <v>https://pbs.twimg.com/profile_images/3425614549/e33550c5911ecf735e54b37550ee6903_normal.jpeg</v>
      </c>
      <c r="G1605" s="63"/>
      <c r="H1605" s="67"/>
      <c r="I1605" s="68"/>
      <c r="J1605" s="68"/>
      <c r="K1605" s="67" t="s">
        <v>29199</v>
      </c>
      <c r="L1605" s="71"/>
      <c r="M1605" s="72"/>
      <c r="N1605" s="72"/>
      <c r="O1605" s="73"/>
      <c r="P1605" s="74"/>
      <c r="Q1605" s="74"/>
      <c r="R1605" s="87"/>
      <c r="S1605" s="87"/>
      <c r="T1605" s="87"/>
      <c r="U1605" s="87"/>
      <c r="V1605" s="48"/>
      <c r="W1605" s="48"/>
      <c r="X1605" s="48"/>
      <c r="Y1605" s="48"/>
      <c r="Z1605" s="47"/>
      <c r="AA1605" s="69">
        <v>1605</v>
      </c>
      <c r="AB1605" s="69"/>
      <c r="AC1605" s="70"/>
      <c r="AD1605" s="76" t="s">
        <v>22816</v>
      </c>
      <c r="AE1605" s="81" t="s">
        <v>23905</v>
      </c>
      <c r="AF1605" s="76">
        <v>2437</v>
      </c>
      <c r="AG1605" s="76">
        <v>3270</v>
      </c>
      <c r="AH1605" s="76">
        <v>18726</v>
      </c>
      <c r="AI1605" s="76">
        <v>940</v>
      </c>
      <c r="AJ1605" s="76">
        <v>4398</v>
      </c>
      <c r="AK1605" s="76">
        <v>152</v>
      </c>
      <c r="AL1605" s="76" t="b">
        <v>0</v>
      </c>
      <c r="AM1605" s="78">
        <v>40494.020462962966</v>
      </c>
      <c r="AN1605" s="76" t="s">
        <v>24073</v>
      </c>
      <c r="AO1605" s="76" t="s">
        <v>26131</v>
      </c>
      <c r="AP1605" s="82" t="str">
        <f>HYPERLINK("https://t.co/IQDPMBORGp")</f>
        <v>https://t.co/IQDPMBORGp</v>
      </c>
      <c r="AQ1605" s="82" t="str">
        <f>HYPERLINK("http://br.linkedin.com/in/marceloaragao")</f>
        <v>http://br.linkedin.com/in/marceloaragao</v>
      </c>
      <c r="AR1605" s="76" t="s">
        <v>27232</v>
      </c>
      <c r="AS1605" s="76"/>
      <c r="AT1605" s="76"/>
      <c r="AU1605" s="76"/>
      <c r="AV1605" s="76"/>
      <c r="AW1605" s="82" t="str">
        <f>HYPERLINK("https://t.co/IQDPMBORGp")</f>
        <v>https://t.co/IQDPMBORGp</v>
      </c>
      <c r="AX1605" s="76" t="b">
        <v>0</v>
      </c>
      <c r="AY1605" s="76"/>
      <c r="AZ1605" s="76"/>
      <c r="BA1605" s="76" t="b">
        <v>0</v>
      </c>
      <c r="BB1605" s="76" t="b">
        <v>0</v>
      </c>
      <c r="BC1605" s="76" t="b">
        <v>1</v>
      </c>
      <c r="BD1605" s="76" t="b">
        <v>0</v>
      </c>
      <c r="BE1605" s="76" t="b">
        <v>1</v>
      </c>
      <c r="BF1605" s="76" t="b">
        <v>0</v>
      </c>
      <c r="BG1605" s="76" t="b">
        <v>0</v>
      </c>
      <c r="BH1605" s="82" t="str">
        <f>HYPERLINK("https://pbs.twimg.com/profile_banners/214689166/1364166468")</f>
        <v>https://pbs.twimg.com/profile_banners/214689166/1364166468</v>
      </c>
      <c r="BI1605" s="76"/>
      <c r="BJ1605" s="76" t="s">
        <v>27595</v>
      </c>
      <c r="BK1605" s="76" t="b">
        <v>0</v>
      </c>
      <c r="BL1605" s="76"/>
      <c r="BM1605" s="76" t="s">
        <v>66</v>
      </c>
      <c r="BN1605" s="76" t="s">
        <v>27597</v>
      </c>
      <c r="BO1605" s="82" t="str">
        <f>HYPERLINK("https://twitter.com/mathz_aragao")</f>
        <v>https://twitter.com/mathz_aragao</v>
      </c>
      <c r="BP1605" s="2"/>
    </row>
    <row r="1606" spans="1:68" x14ac:dyDescent="0.25">
      <c r="A1606" s="62" t="s">
        <v>1450</v>
      </c>
      <c r="B1606" s="63"/>
      <c r="C1606" s="63"/>
      <c r="D1606" s="64"/>
      <c r="E1606" s="66"/>
      <c r="F1606" s="103" t="str">
        <f>HYPERLINK("https://pbs.twimg.com/profile_images/1389970238821777409/UXHj7jzC_normal.jpg")</f>
        <v>https://pbs.twimg.com/profile_images/1389970238821777409/UXHj7jzC_normal.jpg</v>
      </c>
      <c r="G1606" s="63"/>
      <c r="H1606" s="67"/>
      <c r="I1606" s="68"/>
      <c r="J1606" s="68"/>
      <c r="K1606" s="67" t="s">
        <v>29200</v>
      </c>
      <c r="L1606" s="71"/>
      <c r="M1606" s="72"/>
      <c r="N1606" s="72"/>
      <c r="O1606" s="73"/>
      <c r="P1606" s="74"/>
      <c r="Q1606" s="74"/>
      <c r="R1606" s="87"/>
      <c r="S1606" s="87"/>
      <c r="T1606" s="87"/>
      <c r="U1606" s="87"/>
      <c r="V1606" s="48"/>
      <c r="W1606" s="48"/>
      <c r="X1606" s="48"/>
      <c r="Y1606" s="48"/>
      <c r="Z1606" s="47"/>
      <c r="AA1606" s="69">
        <v>1606</v>
      </c>
      <c r="AB1606" s="69"/>
      <c r="AC1606" s="70"/>
      <c r="AD1606" s="76" t="s">
        <v>22817</v>
      </c>
      <c r="AE1606" s="81" t="s">
        <v>23906</v>
      </c>
      <c r="AF1606" s="76">
        <v>1595</v>
      </c>
      <c r="AG1606" s="76">
        <v>1570</v>
      </c>
      <c r="AH1606" s="76">
        <v>5298</v>
      </c>
      <c r="AI1606" s="76">
        <v>4</v>
      </c>
      <c r="AJ1606" s="76">
        <v>1713</v>
      </c>
      <c r="AK1606" s="76">
        <v>182</v>
      </c>
      <c r="AL1606" s="76" t="b">
        <v>0</v>
      </c>
      <c r="AM1606" s="78">
        <v>40157.453761574077</v>
      </c>
      <c r="AN1606" s="76"/>
      <c r="AO1606" s="76" t="s">
        <v>26132</v>
      </c>
      <c r="AP1606" s="82" t="str">
        <f>HYPERLINK("https://t.co/uewv0ECkSr")</f>
        <v>https://t.co/uewv0ECkSr</v>
      </c>
      <c r="AQ1606" s="82" t="str">
        <f>HYPERLINK("https://www.instagram.com/dhyovaine")</f>
        <v>https://www.instagram.com/dhyovaine</v>
      </c>
      <c r="AR1606" s="76" t="s">
        <v>27233</v>
      </c>
      <c r="AS1606" s="76"/>
      <c r="AT1606" s="76"/>
      <c r="AU1606" s="76"/>
      <c r="AV1606" s="76"/>
      <c r="AW1606" s="82" t="str">
        <f>HYPERLINK("https://t.co/uewv0ECkSr")</f>
        <v>https://t.co/uewv0ECkSr</v>
      </c>
      <c r="AX1606" s="76" t="b">
        <v>0</v>
      </c>
      <c r="AY1606" s="76"/>
      <c r="AZ1606" s="76"/>
      <c r="BA1606" s="76" t="b">
        <v>0</v>
      </c>
      <c r="BB1606" s="76" t="b">
        <v>1</v>
      </c>
      <c r="BC1606" s="76" t="b">
        <v>0</v>
      </c>
      <c r="BD1606" s="76" t="b">
        <v>0</v>
      </c>
      <c r="BE1606" s="76" t="b">
        <v>0</v>
      </c>
      <c r="BF1606" s="76" t="b">
        <v>0</v>
      </c>
      <c r="BG1606" s="76" t="b">
        <v>0</v>
      </c>
      <c r="BH1606" s="82" t="str">
        <f>HYPERLINK("https://pbs.twimg.com/profile_banners/95876491/1620527828")</f>
        <v>https://pbs.twimg.com/profile_banners/95876491/1620527828</v>
      </c>
      <c r="BI1606" s="76"/>
      <c r="BJ1606" s="76" t="s">
        <v>27595</v>
      </c>
      <c r="BK1606" s="76" t="b">
        <v>0</v>
      </c>
      <c r="BL1606" s="76"/>
      <c r="BM1606" s="76" t="s">
        <v>66</v>
      </c>
      <c r="BN1606" s="76" t="s">
        <v>27597</v>
      </c>
      <c r="BO1606" s="82" t="str">
        <f>HYPERLINK("https://twitter.com/dhyovaine")</f>
        <v>https://twitter.com/dhyovaine</v>
      </c>
      <c r="BP1606" s="2"/>
    </row>
    <row r="1607" spans="1:68" x14ac:dyDescent="0.25">
      <c r="A1607" s="62" t="s">
        <v>2042</v>
      </c>
      <c r="B1607" s="63"/>
      <c r="C1607" s="63"/>
      <c r="D1607" s="64"/>
      <c r="E1607" s="66"/>
      <c r="F1607" s="103" t="str">
        <f>HYPERLINK("https://pbs.twimg.com/profile_images/1381393729790091266/OpNx3ruq_normal.png")</f>
        <v>https://pbs.twimg.com/profile_images/1381393729790091266/OpNx3ruq_normal.png</v>
      </c>
      <c r="G1607" s="63"/>
      <c r="H1607" s="67"/>
      <c r="I1607" s="68"/>
      <c r="J1607" s="68"/>
      <c r="K1607" s="67" t="s">
        <v>29201</v>
      </c>
      <c r="L1607" s="71"/>
      <c r="M1607" s="72"/>
      <c r="N1607" s="72"/>
      <c r="O1607" s="73"/>
      <c r="P1607" s="74"/>
      <c r="Q1607" s="74"/>
      <c r="R1607" s="87"/>
      <c r="S1607" s="87"/>
      <c r="T1607" s="87"/>
      <c r="U1607" s="87"/>
      <c r="V1607" s="48"/>
      <c r="W1607" s="48"/>
      <c r="X1607" s="48"/>
      <c r="Y1607" s="48"/>
      <c r="Z1607" s="47"/>
      <c r="AA1607" s="69">
        <v>1607</v>
      </c>
      <c r="AB1607" s="69"/>
      <c r="AC1607" s="70"/>
      <c r="AD1607" s="76" t="s">
        <v>22818</v>
      </c>
      <c r="AE1607" s="81" t="s">
        <v>23907</v>
      </c>
      <c r="AF1607" s="76">
        <v>25786</v>
      </c>
      <c r="AG1607" s="76">
        <v>13</v>
      </c>
      <c r="AH1607" s="76">
        <v>19287</v>
      </c>
      <c r="AI1607" s="76">
        <v>92</v>
      </c>
      <c r="AJ1607" s="76">
        <v>1187</v>
      </c>
      <c r="AK1607" s="76">
        <v>1121</v>
      </c>
      <c r="AL1607" s="76" t="b">
        <v>0</v>
      </c>
      <c r="AM1607" s="78">
        <v>41478.587430555555</v>
      </c>
      <c r="AN1607" s="76" t="s">
        <v>14400</v>
      </c>
      <c r="AO1607" s="76" t="s">
        <v>26133</v>
      </c>
      <c r="AP1607" s="82" t="str">
        <f>HYPERLINK("https://t.co/KgakJ1lehR")</f>
        <v>https://t.co/KgakJ1lehR</v>
      </c>
      <c r="AQ1607" s="82" t="str">
        <f>HYPERLINK("https://www.original.com.br/")</f>
        <v>https://www.original.com.br/</v>
      </c>
      <c r="AR1607" s="76" t="s">
        <v>27234</v>
      </c>
      <c r="AS1607" s="76"/>
      <c r="AT1607" s="76"/>
      <c r="AU1607" s="76"/>
      <c r="AV1607" s="76">
        <v>1.50887394485358E+18</v>
      </c>
      <c r="AW1607" s="82" t="str">
        <f>HYPERLINK("https://t.co/KgakJ1lehR")</f>
        <v>https://t.co/KgakJ1lehR</v>
      </c>
      <c r="AX1607" s="76" t="b">
        <v>0</v>
      </c>
      <c r="AY1607" s="76"/>
      <c r="AZ1607" s="76"/>
      <c r="BA1607" s="76" t="b">
        <v>1</v>
      </c>
      <c r="BB1607" s="76" t="b">
        <v>0</v>
      </c>
      <c r="BC1607" s="76" t="b">
        <v>0</v>
      </c>
      <c r="BD1607" s="76" t="b">
        <v>0</v>
      </c>
      <c r="BE1607" s="76" t="b">
        <v>1</v>
      </c>
      <c r="BF1607" s="76" t="b">
        <v>0</v>
      </c>
      <c r="BG1607" s="76" t="b">
        <v>0</v>
      </c>
      <c r="BH1607" s="82" t="str">
        <f>HYPERLINK("https://pbs.twimg.com/profile_banners/1615322238/1689504890")</f>
        <v>https://pbs.twimg.com/profile_banners/1615322238/1689504890</v>
      </c>
      <c r="BI1607" s="76"/>
      <c r="BJ1607" s="76" t="s">
        <v>27595</v>
      </c>
      <c r="BK1607" s="76" t="b">
        <v>0</v>
      </c>
      <c r="BL1607" s="76"/>
      <c r="BM1607" s="76" t="s">
        <v>65</v>
      </c>
      <c r="BN1607" s="76" t="s">
        <v>27597</v>
      </c>
      <c r="BO1607" s="82" t="str">
        <f>HYPERLINK("https://twitter.com/bancooriginal")</f>
        <v>https://twitter.com/bancooriginal</v>
      </c>
      <c r="BP1607" s="2"/>
    </row>
    <row r="1608" spans="1:68" x14ac:dyDescent="0.25">
      <c r="A1608" s="62" t="s">
        <v>1451</v>
      </c>
      <c r="B1608" s="63"/>
      <c r="C1608" s="63"/>
      <c r="D1608" s="64"/>
      <c r="E1608" s="66"/>
      <c r="F1608" s="103" t="str">
        <f>HYPERLINK("https://pbs.twimg.com/profile_images/583671110572576768/0j4C_q8V_normal.jpg")</f>
        <v>https://pbs.twimg.com/profile_images/583671110572576768/0j4C_q8V_normal.jpg</v>
      </c>
      <c r="G1608" s="63"/>
      <c r="H1608" s="67"/>
      <c r="I1608" s="68"/>
      <c r="J1608" s="68"/>
      <c r="K1608" s="67" t="s">
        <v>29202</v>
      </c>
      <c r="L1608" s="71"/>
      <c r="M1608" s="72"/>
      <c r="N1608" s="72"/>
      <c r="O1608" s="73"/>
      <c r="P1608" s="74"/>
      <c r="Q1608" s="74"/>
      <c r="R1608" s="87"/>
      <c r="S1608" s="87"/>
      <c r="T1608" s="87"/>
      <c r="U1608" s="87"/>
      <c r="V1608" s="48"/>
      <c r="W1608" s="48"/>
      <c r="X1608" s="48"/>
      <c r="Y1608" s="48"/>
      <c r="Z1608" s="47"/>
      <c r="AA1608" s="69">
        <v>1608</v>
      </c>
      <c r="AB1608" s="69"/>
      <c r="AC1608" s="70"/>
      <c r="AD1608" s="76" t="s">
        <v>22819</v>
      </c>
      <c r="AE1608" s="81" t="s">
        <v>23908</v>
      </c>
      <c r="AF1608" s="76">
        <v>3697</v>
      </c>
      <c r="AG1608" s="76">
        <v>847</v>
      </c>
      <c r="AH1608" s="76">
        <v>6998</v>
      </c>
      <c r="AI1608" s="76">
        <v>29</v>
      </c>
      <c r="AJ1608" s="76">
        <v>2976</v>
      </c>
      <c r="AK1608" s="76">
        <v>3120</v>
      </c>
      <c r="AL1608" s="76" t="b">
        <v>0</v>
      </c>
      <c r="AM1608" s="78">
        <v>42079.561736111114</v>
      </c>
      <c r="AN1608" s="76" t="s">
        <v>24629</v>
      </c>
      <c r="AO1608" s="76" t="s">
        <v>26134</v>
      </c>
      <c r="AP1608" s="82" t="str">
        <f>HYPERLINK("https://t.co/D0cd3vqwRp")</f>
        <v>https://t.co/D0cd3vqwRp</v>
      </c>
      <c r="AQ1608" s="82" t="str">
        <f>HYPERLINK("http://www.campodirecto.com.ar")</f>
        <v>http://www.campodirecto.com.ar</v>
      </c>
      <c r="AR1608" s="76" t="s">
        <v>27235</v>
      </c>
      <c r="AS1608" s="76"/>
      <c r="AT1608" s="76"/>
      <c r="AU1608" s="76"/>
      <c r="AV1608" s="76"/>
      <c r="AW1608" s="82" t="str">
        <f>HYPERLINK("https://t.co/D0cd3vqwRp")</f>
        <v>https://t.co/D0cd3vqwRp</v>
      </c>
      <c r="AX1608" s="76" t="b">
        <v>0</v>
      </c>
      <c r="AY1608" s="76"/>
      <c r="AZ1608" s="76"/>
      <c r="BA1608" s="76" t="b">
        <v>1</v>
      </c>
      <c r="BB1608" s="76" t="b">
        <v>1</v>
      </c>
      <c r="BC1608" s="76" t="b">
        <v>0</v>
      </c>
      <c r="BD1608" s="76" t="b">
        <v>0</v>
      </c>
      <c r="BE1608" s="76" t="b">
        <v>0</v>
      </c>
      <c r="BF1608" s="76" t="b">
        <v>0</v>
      </c>
      <c r="BG1608" s="76" t="b">
        <v>0</v>
      </c>
      <c r="BH1608" s="82" t="str">
        <f>HYPERLINK("https://pbs.twimg.com/profile_banners/3092350953/1427993239")</f>
        <v>https://pbs.twimg.com/profile_banners/3092350953/1427993239</v>
      </c>
      <c r="BI1608" s="76"/>
      <c r="BJ1608" s="76" t="s">
        <v>27595</v>
      </c>
      <c r="BK1608" s="76" t="b">
        <v>0</v>
      </c>
      <c r="BL1608" s="76"/>
      <c r="BM1608" s="76" t="s">
        <v>66</v>
      </c>
      <c r="BN1608" s="76" t="s">
        <v>27597</v>
      </c>
      <c r="BO1608" s="82" t="str">
        <f>HYPERLINK("https://twitter.com/campodirecto")</f>
        <v>https://twitter.com/campodirecto</v>
      </c>
      <c r="BP1608" s="2"/>
    </row>
    <row r="1609" spans="1:68" x14ac:dyDescent="0.25">
      <c r="A1609" s="62" t="s">
        <v>1452</v>
      </c>
      <c r="B1609" s="63"/>
      <c r="C1609" s="63"/>
      <c r="D1609" s="64"/>
      <c r="E1609" s="66"/>
      <c r="F1609" s="103" t="str">
        <f>HYPERLINK("https://pbs.twimg.com/profile_images/1691074213107355648/PhRUFVJ5_normal.jpg")</f>
        <v>https://pbs.twimg.com/profile_images/1691074213107355648/PhRUFVJ5_normal.jpg</v>
      </c>
      <c r="G1609" s="63"/>
      <c r="H1609" s="67"/>
      <c r="I1609" s="68"/>
      <c r="J1609" s="68"/>
      <c r="K1609" s="67" t="s">
        <v>29203</v>
      </c>
      <c r="L1609" s="71"/>
      <c r="M1609" s="72"/>
      <c r="N1609" s="72"/>
      <c r="O1609" s="73"/>
      <c r="P1609" s="74"/>
      <c r="Q1609" s="74"/>
      <c r="R1609" s="87"/>
      <c r="S1609" s="87"/>
      <c r="T1609" s="87"/>
      <c r="U1609" s="87"/>
      <c r="V1609" s="48"/>
      <c r="W1609" s="48"/>
      <c r="X1609" s="48"/>
      <c r="Y1609" s="48"/>
      <c r="Z1609" s="47"/>
      <c r="AA1609" s="69">
        <v>1609</v>
      </c>
      <c r="AB1609" s="69"/>
      <c r="AC1609" s="70"/>
      <c r="AD1609" s="76" t="s">
        <v>22820</v>
      </c>
      <c r="AE1609" s="81" t="s">
        <v>21096</v>
      </c>
      <c r="AF1609" s="76">
        <v>21</v>
      </c>
      <c r="AG1609" s="76">
        <v>72</v>
      </c>
      <c r="AH1609" s="76">
        <v>107</v>
      </c>
      <c r="AI1609" s="76">
        <v>0</v>
      </c>
      <c r="AJ1609" s="76">
        <v>1004</v>
      </c>
      <c r="AK1609" s="76">
        <v>47</v>
      </c>
      <c r="AL1609" s="76" t="b">
        <v>0</v>
      </c>
      <c r="AM1609" s="78">
        <v>44385.863506944443</v>
      </c>
      <c r="AN1609" s="76" t="s">
        <v>14382</v>
      </c>
      <c r="AO1609" s="76" t="s">
        <v>26135</v>
      </c>
      <c r="AP1609" s="76"/>
      <c r="AQ1609" s="76"/>
      <c r="AR1609" s="76"/>
      <c r="AS1609" s="76"/>
      <c r="AT1609" s="76"/>
      <c r="AU1609" s="76"/>
      <c r="AV1609" s="76">
        <v>1.68867616959858E+18</v>
      </c>
      <c r="AW1609" s="76"/>
      <c r="AX1609" s="76" t="b">
        <v>0</v>
      </c>
      <c r="AY1609" s="76"/>
      <c r="AZ1609" s="76"/>
      <c r="BA1609" s="76" t="b">
        <v>0</v>
      </c>
      <c r="BB1609" s="76" t="b">
        <v>1</v>
      </c>
      <c r="BC1609" s="76" t="b">
        <v>1</v>
      </c>
      <c r="BD1609" s="76" t="b">
        <v>0</v>
      </c>
      <c r="BE1609" s="76" t="b">
        <v>0</v>
      </c>
      <c r="BF1609" s="76" t="b">
        <v>0</v>
      </c>
      <c r="BG1609" s="76" t="b">
        <v>0</v>
      </c>
      <c r="BH1609" s="82" t="str">
        <f>HYPERLINK("https://pbs.twimg.com/profile_banners/1413237267687161864/1638157010")</f>
        <v>https://pbs.twimg.com/profile_banners/1413237267687161864/1638157010</v>
      </c>
      <c r="BI1609" s="76"/>
      <c r="BJ1609" s="76" t="s">
        <v>27595</v>
      </c>
      <c r="BK1609" s="76" t="b">
        <v>0</v>
      </c>
      <c r="BL1609" s="76"/>
      <c r="BM1609" s="76" t="s">
        <v>66</v>
      </c>
      <c r="BN1609" s="76" t="s">
        <v>27597</v>
      </c>
      <c r="BO1609" s="82" t="str">
        <f>HYPERLINK("https://twitter.com/karllusbarone")</f>
        <v>https://twitter.com/karllusbarone</v>
      </c>
      <c r="BP1609" s="2"/>
    </row>
    <row r="1610" spans="1:68" x14ac:dyDescent="0.25">
      <c r="A1610" s="62" t="s">
        <v>1453</v>
      </c>
      <c r="B1610" s="63"/>
      <c r="C1610" s="63"/>
      <c r="D1610" s="64"/>
      <c r="E1610" s="66"/>
      <c r="F1610" s="103" t="str">
        <f>HYPERLINK("https://pbs.twimg.com/profile_images/1651686912589963264/ymfuxEUB_normal.jpg")</f>
        <v>https://pbs.twimg.com/profile_images/1651686912589963264/ymfuxEUB_normal.jpg</v>
      </c>
      <c r="G1610" s="63"/>
      <c r="H1610" s="67"/>
      <c r="I1610" s="68"/>
      <c r="J1610" s="68"/>
      <c r="K1610" s="67" t="s">
        <v>29204</v>
      </c>
      <c r="L1610" s="71"/>
      <c r="M1610" s="72"/>
      <c r="N1610" s="72"/>
      <c r="O1610" s="73"/>
      <c r="P1610" s="74"/>
      <c r="Q1610" s="74"/>
      <c r="R1610" s="87"/>
      <c r="S1610" s="87"/>
      <c r="T1610" s="87"/>
      <c r="U1610" s="87"/>
      <c r="V1610" s="48"/>
      <c r="W1610" s="48"/>
      <c r="X1610" s="48"/>
      <c r="Y1610" s="48"/>
      <c r="Z1610" s="47"/>
      <c r="AA1610" s="69">
        <v>1610</v>
      </c>
      <c r="AB1610" s="69"/>
      <c r="AC1610" s="70"/>
      <c r="AD1610" s="76" t="s">
        <v>22821</v>
      </c>
      <c r="AE1610" s="81" t="s">
        <v>20360</v>
      </c>
      <c r="AF1610" s="76">
        <v>828</v>
      </c>
      <c r="AG1610" s="76">
        <v>16</v>
      </c>
      <c r="AH1610" s="76">
        <v>1352</v>
      </c>
      <c r="AI1610" s="76">
        <v>0</v>
      </c>
      <c r="AJ1610" s="76">
        <v>1841</v>
      </c>
      <c r="AK1610" s="76">
        <v>158</v>
      </c>
      <c r="AL1610" s="76" t="b">
        <v>0</v>
      </c>
      <c r="AM1610" s="78">
        <v>44174.595300925925</v>
      </c>
      <c r="AN1610" s="76" t="s">
        <v>24630</v>
      </c>
      <c r="AO1610" s="76" t="s">
        <v>26136</v>
      </c>
      <c r="AP1610" s="82" t="str">
        <f>HYPERLINK("https://t.co/6c4KU6JX6t")</f>
        <v>https://t.co/6c4KU6JX6t</v>
      </c>
      <c r="AQ1610" s="82" t="str">
        <f>HYPERLINK("https://www.facebook.com/jornaldatvvitoria")</f>
        <v>https://www.facebook.com/jornaldatvvitoria</v>
      </c>
      <c r="AR1610" s="76" t="s">
        <v>27236</v>
      </c>
      <c r="AS1610" s="76"/>
      <c r="AT1610" s="76"/>
      <c r="AU1610" s="76"/>
      <c r="AV1610" s="76"/>
      <c r="AW1610" s="82" t="str">
        <f>HYPERLINK("https://t.co/6c4KU6JX6t")</f>
        <v>https://t.co/6c4KU6JX6t</v>
      </c>
      <c r="AX1610" s="76" t="b">
        <v>0</v>
      </c>
      <c r="AY1610" s="76"/>
      <c r="AZ1610" s="76"/>
      <c r="BA1610" s="76" t="b">
        <v>0</v>
      </c>
      <c r="BB1610" s="76" t="b">
        <v>1</v>
      </c>
      <c r="BC1610" s="76" t="b">
        <v>1</v>
      </c>
      <c r="BD1610" s="76" t="b">
        <v>0</v>
      </c>
      <c r="BE1610" s="76" t="b">
        <v>0</v>
      </c>
      <c r="BF1610" s="76" t="b">
        <v>0</v>
      </c>
      <c r="BG1610" s="76" t="b">
        <v>0</v>
      </c>
      <c r="BH1610" s="82" t="str">
        <f>HYPERLINK("https://pbs.twimg.com/profile_banners/1336675642461589504/1682627644")</f>
        <v>https://pbs.twimg.com/profile_banners/1336675642461589504/1682627644</v>
      </c>
      <c r="BI1610" s="76"/>
      <c r="BJ1610" s="76" t="s">
        <v>27595</v>
      </c>
      <c r="BK1610" s="76" t="b">
        <v>0</v>
      </c>
      <c r="BL1610" s="76"/>
      <c r="BM1610" s="76" t="s">
        <v>66</v>
      </c>
      <c r="BN1610" s="76" t="s">
        <v>27597</v>
      </c>
      <c r="BO1610" s="82" t="str">
        <f>HYPERLINK("https://twitter.com/jornaltvvitoria")</f>
        <v>https://twitter.com/jornaltvvitoria</v>
      </c>
      <c r="BP1610" s="2"/>
    </row>
    <row r="1611" spans="1:68" x14ac:dyDescent="0.25">
      <c r="A1611" s="62" t="s">
        <v>1454</v>
      </c>
      <c r="B1611" s="63"/>
      <c r="C1611" s="63"/>
      <c r="D1611" s="64"/>
      <c r="E1611" s="66"/>
      <c r="F1611" s="103" t="str">
        <f>HYPERLINK("https://pbs.twimg.com/profile_images/1064147746238709760/zwTuvIdq_normal.jpg")</f>
        <v>https://pbs.twimg.com/profile_images/1064147746238709760/zwTuvIdq_normal.jpg</v>
      </c>
      <c r="G1611" s="63"/>
      <c r="H1611" s="67"/>
      <c r="I1611" s="68"/>
      <c r="J1611" s="68"/>
      <c r="K1611" s="67" t="s">
        <v>29205</v>
      </c>
      <c r="L1611" s="71"/>
      <c r="M1611" s="72"/>
      <c r="N1611" s="72"/>
      <c r="O1611" s="73"/>
      <c r="P1611" s="74"/>
      <c r="Q1611" s="74"/>
      <c r="R1611" s="87"/>
      <c r="S1611" s="87"/>
      <c r="T1611" s="87"/>
      <c r="U1611" s="87"/>
      <c r="V1611" s="48"/>
      <c r="W1611" s="48"/>
      <c r="X1611" s="48"/>
      <c r="Y1611" s="48"/>
      <c r="Z1611" s="47"/>
      <c r="AA1611" s="69">
        <v>1611</v>
      </c>
      <c r="AB1611" s="69"/>
      <c r="AC1611" s="70"/>
      <c r="AD1611" s="76" t="s">
        <v>22822</v>
      </c>
      <c r="AE1611" s="81" t="s">
        <v>23909</v>
      </c>
      <c r="AF1611" s="76">
        <v>1217</v>
      </c>
      <c r="AG1611" s="76">
        <v>2</v>
      </c>
      <c r="AH1611" s="76">
        <v>18497</v>
      </c>
      <c r="AI1611" s="76">
        <v>28</v>
      </c>
      <c r="AJ1611" s="76">
        <v>365</v>
      </c>
      <c r="AK1611" s="76">
        <v>402</v>
      </c>
      <c r="AL1611" s="76" t="b">
        <v>0</v>
      </c>
      <c r="AM1611" s="78">
        <v>39929.994108796294</v>
      </c>
      <c r="AN1611" s="76" t="s">
        <v>24631</v>
      </c>
      <c r="AO1611" s="76" t="s">
        <v>26137</v>
      </c>
      <c r="AP1611" s="82" t="str">
        <f>HYPERLINK("https://t.co/RLpUUWftR4")</f>
        <v>https://t.co/RLpUUWftR4</v>
      </c>
      <c r="AQ1611" s="82" t="str">
        <f>HYPERLINK("http://www.sigamais.com")</f>
        <v>http://www.sigamais.com</v>
      </c>
      <c r="AR1611" s="76" t="s">
        <v>8853</v>
      </c>
      <c r="AS1611" s="76"/>
      <c r="AT1611" s="76"/>
      <c r="AU1611" s="76"/>
      <c r="AV1611" s="76"/>
      <c r="AW1611" s="82" t="str">
        <f>HYPERLINK("https://t.co/RLpUUWftR4")</f>
        <v>https://t.co/RLpUUWftR4</v>
      </c>
      <c r="AX1611" s="76" t="b">
        <v>0</v>
      </c>
      <c r="AY1611" s="76"/>
      <c r="AZ1611" s="76"/>
      <c r="BA1611" s="76" t="b">
        <v>1</v>
      </c>
      <c r="BB1611" s="76" t="b">
        <v>1</v>
      </c>
      <c r="BC1611" s="76" t="b">
        <v>1</v>
      </c>
      <c r="BD1611" s="76" t="b">
        <v>0</v>
      </c>
      <c r="BE1611" s="76" t="b">
        <v>0</v>
      </c>
      <c r="BF1611" s="76" t="b">
        <v>0</v>
      </c>
      <c r="BG1611" s="76" t="b">
        <v>0</v>
      </c>
      <c r="BH1611" s="82" t="str">
        <f>HYPERLINK("https://pbs.twimg.com/profile_banners/35604602/1667419082")</f>
        <v>https://pbs.twimg.com/profile_banners/35604602/1667419082</v>
      </c>
      <c r="BI1611" s="76"/>
      <c r="BJ1611" s="76" t="s">
        <v>27595</v>
      </c>
      <c r="BK1611" s="76" t="b">
        <v>0</v>
      </c>
      <c r="BL1611" s="76"/>
      <c r="BM1611" s="76" t="s">
        <v>66</v>
      </c>
      <c r="BN1611" s="76" t="s">
        <v>27597</v>
      </c>
      <c r="BO1611" s="82" t="str">
        <f>HYPERLINK("https://twitter.com/portalsigamais")</f>
        <v>https://twitter.com/portalsigamais</v>
      </c>
      <c r="BP1611" s="2"/>
    </row>
    <row r="1612" spans="1:68" x14ac:dyDescent="0.25">
      <c r="A1612" s="62" t="s">
        <v>1455</v>
      </c>
      <c r="B1612" s="63"/>
      <c r="C1612" s="63"/>
      <c r="D1612" s="64"/>
      <c r="E1612" s="66"/>
      <c r="F1612" s="103" t="str">
        <f>HYPERLINK("https://pbs.twimg.com/profile_images/1298793260475965446/RjQ9cQpW_normal.jpg")</f>
        <v>https://pbs.twimg.com/profile_images/1298793260475965446/RjQ9cQpW_normal.jpg</v>
      </c>
      <c r="G1612" s="63"/>
      <c r="H1612" s="67"/>
      <c r="I1612" s="68"/>
      <c r="J1612" s="68"/>
      <c r="K1612" s="67" t="s">
        <v>29206</v>
      </c>
      <c r="L1612" s="71"/>
      <c r="M1612" s="72"/>
      <c r="N1612" s="72"/>
      <c r="O1612" s="73"/>
      <c r="P1612" s="74"/>
      <c r="Q1612" s="74"/>
      <c r="R1612" s="87"/>
      <c r="S1612" s="87"/>
      <c r="T1612" s="87"/>
      <c r="U1612" s="87"/>
      <c r="V1612" s="48"/>
      <c r="W1612" s="48"/>
      <c r="X1612" s="48"/>
      <c r="Y1612" s="48"/>
      <c r="Z1612" s="47"/>
      <c r="AA1612" s="69">
        <v>1612</v>
      </c>
      <c r="AB1612" s="69"/>
      <c r="AC1612" s="70"/>
      <c r="AD1612" s="76" t="s">
        <v>22823</v>
      </c>
      <c r="AE1612" s="81" t="s">
        <v>23910</v>
      </c>
      <c r="AF1612" s="76">
        <v>51487</v>
      </c>
      <c r="AG1612" s="76">
        <v>429</v>
      </c>
      <c r="AH1612" s="76">
        <v>315451</v>
      </c>
      <c r="AI1612" s="76">
        <v>195</v>
      </c>
      <c r="AJ1612" s="76">
        <v>601</v>
      </c>
      <c r="AK1612" s="76">
        <v>84454</v>
      </c>
      <c r="AL1612" s="76" t="b">
        <v>0</v>
      </c>
      <c r="AM1612" s="78">
        <v>39926.653148148151</v>
      </c>
      <c r="AN1612" s="76" t="s">
        <v>24270</v>
      </c>
      <c r="AO1612" s="76"/>
      <c r="AP1612" s="82" t="str">
        <f>HYPERLINK("https://t.co/QN811pheRV")</f>
        <v>https://t.co/QN811pheRV</v>
      </c>
      <c r="AQ1612" s="82" t="str">
        <f>HYPERLINK("https://www.airedigital.com")</f>
        <v>https://www.airedigital.com</v>
      </c>
      <c r="AR1612" s="76" t="s">
        <v>27237</v>
      </c>
      <c r="AS1612" s="76"/>
      <c r="AT1612" s="76"/>
      <c r="AU1612" s="76"/>
      <c r="AV1612" s="76">
        <v>1.6807172027842299E+18</v>
      </c>
      <c r="AW1612" s="82" t="str">
        <f>HYPERLINK("https://t.co/QN811pheRV")</f>
        <v>https://t.co/QN811pheRV</v>
      </c>
      <c r="AX1612" s="76" t="b">
        <v>0</v>
      </c>
      <c r="AY1612" s="76"/>
      <c r="AZ1612" s="76"/>
      <c r="BA1612" s="76" t="b">
        <v>0</v>
      </c>
      <c r="BB1612" s="76" t="b">
        <v>1</v>
      </c>
      <c r="BC1612" s="76" t="b">
        <v>0</v>
      </c>
      <c r="BD1612" s="76" t="b">
        <v>0</v>
      </c>
      <c r="BE1612" s="76" t="b">
        <v>1</v>
      </c>
      <c r="BF1612" s="76" t="b">
        <v>0</v>
      </c>
      <c r="BG1612" s="76" t="b">
        <v>0</v>
      </c>
      <c r="BH1612" s="82" t="str">
        <f>HYPERLINK("https://pbs.twimg.com/profile_banners/34643836/1598491420")</f>
        <v>https://pbs.twimg.com/profile_banners/34643836/1598491420</v>
      </c>
      <c r="BI1612" s="76"/>
      <c r="BJ1612" s="76" t="s">
        <v>27595</v>
      </c>
      <c r="BK1612" s="76" t="b">
        <v>0</v>
      </c>
      <c r="BL1612" s="76"/>
      <c r="BM1612" s="76" t="s">
        <v>66</v>
      </c>
      <c r="BN1612" s="76" t="s">
        <v>27597</v>
      </c>
      <c r="BO1612" s="82" t="str">
        <f>HYPERLINK("https://twitter.com/airedesantafe")</f>
        <v>https://twitter.com/airedesantafe</v>
      </c>
      <c r="BP1612" s="2"/>
    </row>
    <row r="1613" spans="1:68" x14ac:dyDescent="0.25">
      <c r="A1613" s="62" t="s">
        <v>1456</v>
      </c>
      <c r="B1613" s="63"/>
      <c r="C1613" s="63"/>
      <c r="D1613" s="64"/>
      <c r="E1613" s="66"/>
      <c r="F1613" s="103" t="str">
        <f>HYPERLINK("https://pbs.twimg.com/profile_images/1601293807160643586/9z_kFlyJ_normal.jpg")</f>
        <v>https://pbs.twimg.com/profile_images/1601293807160643586/9z_kFlyJ_normal.jpg</v>
      </c>
      <c r="G1613" s="63"/>
      <c r="H1613" s="67"/>
      <c r="I1613" s="68"/>
      <c r="J1613" s="68"/>
      <c r="K1613" s="67" t="s">
        <v>29207</v>
      </c>
      <c r="L1613" s="71"/>
      <c r="M1613" s="72"/>
      <c r="N1613" s="72"/>
      <c r="O1613" s="73"/>
      <c r="P1613" s="74"/>
      <c r="Q1613" s="74"/>
      <c r="R1613" s="87"/>
      <c r="S1613" s="87"/>
      <c r="T1613" s="87"/>
      <c r="U1613" s="87"/>
      <c r="V1613" s="48"/>
      <c r="W1613" s="48"/>
      <c r="X1613" s="48"/>
      <c r="Y1613" s="48"/>
      <c r="Z1613" s="47"/>
      <c r="AA1613" s="69">
        <v>1613</v>
      </c>
      <c r="AB1613" s="69"/>
      <c r="AC1613" s="70"/>
      <c r="AD1613" s="76" t="s">
        <v>22824</v>
      </c>
      <c r="AE1613" s="81" t="s">
        <v>23911</v>
      </c>
      <c r="AF1613" s="76">
        <v>156</v>
      </c>
      <c r="AG1613" s="76">
        <v>206</v>
      </c>
      <c r="AH1613" s="76">
        <v>6379</v>
      </c>
      <c r="AI1613" s="76">
        <v>0</v>
      </c>
      <c r="AJ1613" s="76">
        <v>0</v>
      </c>
      <c r="AK1613" s="76">
        <v>981</v>
      </c>
      <c r="AL1613" s="76" t="b">
        <v>0</v>
      </c>
      <c r="AM1613" s="78">
        <v>40953.666701388887</v>
      </c>
      <c r="AN1613" s="76" t="s">
        <v>24253</v>
      </c>
      <c r="AO1613" s="76" t="s">
        <v>26138</v>
      </c>
      <c r="AP1613" s="82" t="str">
        <f>HYPERLINK("https://t.co/IFFKhokgA2")</f>
        <v>https://t.co/IFFKhokgA2</v>
      </c>
      <c r="AQ1613" s="82" t="str">
        <f>HYPERLINK("http://www.lacazmartins.com.br")</f>
        <v>http://www.lacazmartins.com.br</v>
      </c>
      <c r="AR1613" s="76" t="s">
        <v>27238</v>
      </c>
      <c r="AS1613" s="76"/>
      <c r="AT1613" s="76"/>
      <c r="AU1613" s="76"/>
      <c r="AV1613" s="76"/>
      <c r="AW1613" s="82" t="str">
        <f>HYPERLINK("https://t.co/IFFKhokgA2")</f>
        <v>https://t.co/IFFKhokgA2</v>
      </c>
      <c r="AX1613" s="76" t="b">
        <v>0</v>
      </c>
      <c r="AY1613" s="76"/>
      <c r="AZ1613" s="76"/>
      <c r="BA1613" s="76" t="b">
        <v>0</v>
      </c>
      <c r="BB1613" s="76" t="b">
        <v>1</v>
      </c>
      <c r="BC1613" s="76" t="b">
        <v>0</v>
      </c>
      <c r="BD1613" s="76" t="b">
        <v>0</v>
      </c>
      <c r="BE1613" s="76" t="b">
        <v>0</v>
      </c>
      <c r="BF1613" s="76" t="b">
        <v>0</v>
      </c>
      <c r="BG1613" s="76" t="b">
        <v>0</v>
      </c>
      <c r="BH1613" s="82" t="str">
        <f>HYPERLINK("https://pbs.twimg.com/profile_banners/492326694/1674049526")</f>
        <v>https://pbs.twimg.com/profile_banners/492326694/1674049526</v>
      </c>
      <c r="BI1613" s="76"/>
      <c r="BJ1613" s="76" t="s">
        <v>27595</v>
      </c>
      <c r="BK1613" s="76" t="b">
        <v>0</v>
      </c>
      <c r="BL1613" s="76"/>
      <c r="BM1613" s="76" t="s">
        <v>66</v>
      </c>
      <c r="BN1613" s="76" t="s">
        <v>27597</v>
      </c>
      <c r="BO1613" s="82" t="str">
        <f>HYPERLINK("https://twitter.com/lacaz_martins")</f>
        <v>https://twitter.com/lacaz_martins</v>
      </c>
      <c r="BP1613" s="2"/>
    </row>
    <row r="1614" spans="1:68" x14ac:dyDescent="0.25">
      <c r="A1614" s="62" t="s">
        <v>1457</v>
      </c>
      <c r="B1614" s="63"/>
      <c r="C1614" s="63"/>
      <c r="D1614" s="64"/>
      <c r="E1614" s="66"/>
      <c r="F1614" s="103" t="str">
        <f>HYPERLINK("https://pbs.twimg.com/profile_images/1676316186009640962/5TfQaMnG_normal.png")</f>
        <v>https://pbs.twimg.com/profile_images/1676316186009640962/5TfQaMnG_normal.png</v>
      </c>
      <c r="G1614" s="63"/>
      <c r="H1614" s="67"/>
      <c r="I1614" s="68"/>
      <c r="J1614" s="68"/>
      <c r="K1614" s="67" t="s">
        <v>29208</v>
      </c>
      <c r="L1614" s="71"/>
      <c r="M1614" s="72"/>
      <c r="N1614" s="72"/>
      <c r="O1614" s="73"/>
      <c r="P1614" s="74"/>
      <c r="Q1614" s="74"/>
      <c r="R1614" s="87"/>
      <c r="S1614" s="87"/>
      <c r="T1614" s="87"/>
      <c r="U1614" s="87"/>
      <c r="V1614" s="48"/>
      <c r="W1614" s="48"/>
      <c r="X1614" s="48"/>
      <c r="Y1614" s="48"/>
      <c r="Z1614" s="47"/>
      <c r="AA1614" s="69">
        <v>1614</v>
      </c>
      <c r="AB1614" s="69"/>
      <c r="AC1614" s="70"/>
      <c r="AD1614" s="76" t="s">
        <v>22825</v>
      </c>
      <c r="AE1614" s="81" t="s">
        <v>23912</v>
      </c>
      <c r="AF1614" s="76">
        <v>352</v>
      </c>
      <c r="AG1614" s="76">
        <v>607</v>
      </c>
      <c r="AH1614" s="76">
        <v>5718</v>
      </c>
      <c r="AI1614" s="76">
        <v>74</v>
      </c>
      <c r="AJ1614" s="76">
        <v>8</v>
      </c>
      <c r="AK1614" s="76">
        <v>1738</v>
      </c>
      <c r="AL1614" s="76" t="b">
        <v>0</v>
      </c>
      <c r="AM1614" s="78">
        <v>40147.508530092593</v>
      </c>
      <c r="AN1614" s="76" t="s">
        <v>14479</v>
      </c>
      <c r="AO1614" s="76" t="s">
        <v>26139</v>
      </c>
      <c r="AP1614" s="82" t="str">
        <f>HYPERLINK("https://t.co/VRMCoKnasz")</f>
        <v>https://t.co/VRMCoKnasz</v>
      </c>
      <c r="AQ1614" s="82" t="str">
        <f>HYPERLINK("http://www.safewayconsultoria.com")</f>
        <v>http://www.safewayconsultoria.com</v>
      </c>
      <c r="AR1614" s="76" t="s">
        <v>27239</v>
      </c>
      <c r="AS1614" s="76"/>
      <c r="AT1614" s="76"/>
      <c r="AU1614" s="76"/>
      <c r="AV1614" s="76">
        <v>1.2580363551934999E+18</v>
      </c>
      <c r="AW1614" s="82" t="str">
        <f>HYPERLINK("https://t.co/VRMCoKnasz")</f>
        <v>https://t.co/VRMCoKnasz</v>
      </c>
      <c r="AX1614" s="76" t="b">
        <v>0</v>
      </c>
      <c r="AY1614" s="76"/>
      <c r="AZ1614" s="76"/>
      <c r="BA1614" s="76" t="b">
        <v>0</v>
      </c>
      <c r="BB1614" s="76" t="b">
        <v>1</v>
      </c>
      <c r="BC1614" s="76" t="b">
        <v>0</v>
      </c>
      <c r="BD1614" s="76" t="b">
        <v>0</v>
      </c>
      <c r="BE1614" s="76" t="b">
        <v>0</v>
      </c>
      <c r="BF1614" s="76" t="b">
        <v>0</v>
      </c>
      <c r="BG1614" s="76" t="b">
        <v>0</v>
      </c>
      <c r="BH1614" s="82" t="str">
        <f>HYPERLINK("https://pbs.twimg.com/profile_banners/93617673/1527688631")</f>
        <v>https://pbs.twimg.com/profile_banners/93617673/1527688631</v>
      </c>
      <c r="BI1614" s="76"/>
      <c r="BJ1614" s="76" t="s">
        <v>27595</v>
      </c>
      <c r="BK1614" s="76" t="b">
        <v>0</v>
      </c>
      <c r="BL1614" s="76"/>
      <c r="BM1614" s="76" t="s">
        <v>66</v>
      </c>
      <c r="BN1614" s="76" t="s">
        <v>27597</v>
      </c>
      <c r="BO1614" s="82" t="str">
        <f>HYPERLINK("https://twitter.com/safewayconsult")</f>
        <v>https://twitter.com/safewayconsult</v>
      </c>
      <c r="BP1614" s="2"/>
    </row>
    <row r="1615" spans="1:68" x14ac:dyDescent="0.25">
      <c r="A1615" s="62" t="s">
        <v>1458</v>
      </c>
      <c r="B1615" s="63"/>
      <c r="C1615" s="63"/>
      <c r="D1615" s="64"/>
      <c r="E1615" s="66"/>
      <c r="F1615" s="103" t="str">
        <f>HYPERLINK("https://pbs.twimg.com/profile_images/1672450360110088192/liv86NGo_normal.jpg")</f>
        <v>https://pbs.twimg.com/profile_images/1672450360110088192/liv86NGo_normal.jpg</v>
      </c>
      <c r="G1615" s="63"/>
      <c r="H1615" s="67"/>
      <c r="I1615" s="68"/>
      <c r="J1615" s="68"/>
      <c r="K1615" s="67" t="s">
        <v>29209</v>
      </c>
      <c r="L1615" s="71"/>
      <c r="M1615" s="72"/>
      <c r="N1615" s="72"/>
      <c r="O1615" s="73"/>
      <c r="P1615" s="74"/>
      <c r="Q1615" s="74"/>
      <c r="R1615" s="87"/>
      <c r="S1615" s="87"/>
      <c r="T1615" s="87"/>
      <c r="U1615" s="87"/>
      <c r="V1615" s="48"/>
      <c r="W1615" s="48"/>
      <c r="X1615" s="48"/>
      <c r="Y1615" s="48"/>
      <c r="Z1615" s="47"/>
      <c r="AA1615" s="69">
        <v>1615</v>
      </c>
      <c r="AB1615" s="69"/>
      <c r="AC1615" s="70"/>
      <c r="AD1615" s="76" t="s">
        <v>22826</v>
      </c>
      <c r="AE1615" s="81" t="s">
        <v>21097</v>
      </c>
      <c r="AF1615" s="76">
        <v>409</v>
      </c>
      <c r="AG1615" s="76">
        <v>655</v>
      </c>
      <c r="AH1615" s="76">
        <v>300524</v>
      </c>
      <c r="AI1615" s="76">
        <v>4</v>
      </c>
      <c r="AJ1615" s="76">
        <v>14920</v>
      </c>
      <c r="AK1615" s="76">
        <v>124004</v>
      </c>
      <c r="AL1615" s="76" t="b">
        <v>0</v>
      </c>
      <c r="AM1615" s="78">
        <v>42630.910277777781</v>
      </c>
      <c r="AN1615" s="76" t="s">
        <v>14400</v>
      </c>
      <c r="AO1615" s="76" t="s">
        <v>26140</v>
      </c>
      <c r="AP1615" s="76"/>
      <c r="AQ1615" s="76"/>
      <c r="AR1615" s="76"/>
      <c r="AS1615" s="76"/>
      <c r="AT1615" s="76"/>
      <c r="AU1615" s="76"/>
      <c r="AV1615" s="76"/>
      <c r="AW1615" s="76"/>
      <c r="AX1615" s="76" t="b">
        <v>0</v>
      </c>
      <c r="AY1615" s="76"/>
      <c r="AZ1615" s="76"/>
      <c r="BA1615" s="76" t="b">
        <v>0</v>
      </c>
      <c r="BB1615" s="76" t="b">
        <v>1</v>
      </c>
      <c r="BC1615" s="76" t="b">
        <v>1</v>
      </c>
      <c r="BD1615" s="76" t="b">
        <v>0</v>
      </c>
      <c r="BE1615" s="76" t="b">
        <v>0</v>
      </c>
      <c r="BF1615" s="76" t="b">
        <v>0</v>
      </c>
      <c r="BG1615" s="76" t="b">
        <v>0</v>
      </c>
      <c r="BH1615" s="76"/>
      <c r="BI1615" s="76"/>
      <c r="BJ1615" s="76" t="s">
        <v>27595</v>
      </c>
      <c r="BK1615" s="76" t="b">
        <v>0</v>
      </c>
      <c r="BL1615" s="76"/>
      <c r="BM1615" s="76" t="s">
        <v>66</v>
      </c>
      <c r="BN1615" s="76" t="s">
        <v>27597</v>
      </c>
      <c r="BO1615" s="82" t="str">
        <f>HYPERLINK("https://twitter.com/vortexbrito")</f>
        <v>https://twitter.com/vortexbrito</v>
      </c>
      <c r="BP1615" s="2"/>
    </row>
    <row r="1616" spans="1:68" x14ac:dyDescent="0.25">
      <c r="A1616" s="62" t="s">
        <v>1459</v>
      </c>
      <c r="B1616" s="63"/>
      <c r="C1616" s="63"/>
      <c r="D1616" s="64"/>
      <c r="E1616" s="66"/>
      <c r="F1616" s="103" t="str">
        <f>HYPERLINK("https://pbs.twimg.com/profile_images/1463614184298528772/5z7xKUqg_normal.jpg")</f>
        <v>https://pbs.twimg.com/profile_images/1463614184298528772/5z7xKUqg_normal.jpg</v>
      </c>
      <c r="G1616" s="63"/>
      <c r="H1616" s="67"/>
      <c r="I1616" s="68"/>
      <c r="J1616" s="68"/>
      <c r="K1616" s="67" t="s">
        <v>29210</v>
      </c>
      <c r="L1616" s="71"/>
      <c r="M1616" s="72"/>
      <c r="N1616" s="72"/>
      <c r="O1616" s="73"/>
      <c r="P1616" s="74"/>
      <c r="Q1616" s="74"/>
      <c r="R1616" s="87"/>
      <c r="S1616" s="87"/>
      <c r="T1616" s="87"/>
      <c r="U1616" s="87"/>
      <c r="V1616" s="48"/>
      <c r="W1616" s="48"/>
      <c r="X1616" s="48"/>
      <c r="Y1616" s="48"/>
      <c r="Z1616" s="47"/>
      <c r="AA1616" s="69">
        <v>1616</v>
      </c>
      <c r="AB1616" s="69"/>
      <c r="AC1616" s="70"/>
      <c r="AD1616" s="76" t="s">
        <v>22827</v>
      </c>
      <c r="AE1616" s="81" t="s">
        <v>23913</v>
      </c>
      <c r="AF1616" s="76">
        <v>19127</v>
      </c>
      <c r="AG1616" s="76">
        <v>2997</v>
      </c>
      <c r="AH1616" s="76">
        <v>16864</v>
      </c>
      <c r="AI1616" s="76">
        <v>16</v>
      </c>
      <c r="AJ1616" s="76">
        <v>10302</v>
      </c>
      <c r="AK1616" s="76">
        <v>4641</v>
      </c>
      <c r="AL1616" s="76" t="b">
        <v>0</v>
      </c>
      <c r="AM1616" s="78">
        <v>40715.807858796295</v>
      </c>
      <c r="AN1616" s="76" t="s">
        <v>24632</v>
      </c>
      <c r="AO1616" s="76" t="s">
        <v>26141</v>
      </c>
      <c r="AP1616" s="82" t="str">
        <f>HYPERLINK("https://t.co/A0CUM7vQsD")</f>
        <v>https://t.co/A0CUM7vQsD</v>
      </c>
      <c r="AQ1616" s="82" t="str">
        <f>HYPERLINK("https://www.okx.com/join/3720277?src=from:referral_url:ios")</f>
        <v>https://www.okx.com/join/3720277?src=from:referral_url:ios</v>
      </c>
      <c r="AR1616" s="76" t="s">
        <v>27240</v>
      </c>
      <c r="AS1616" s="76"/>
      <c r="AT1616" s="76"/>
      <c r="AU1616" s="76"/>
      <c r="AV1616" s="76">
        <v>1.14654395638315E+18</v>
      </c>
      <c r="AW1616" s="82" t="str">
        <f>HYPERLINK("https://t.co/A0CUM7vQsD")</f>
        <v>https://t.co/A0CUM7vQsD</v>
      </c>
      <c r="AX1616" s="76" t="b">
        <v>0</v>
      </c>
      <c r="AY1616" s="76"/>
      <c r="AZ1616" s="76"/>
      <c r="BA1616" s="76" t="b">
        <v>1</v>
      </c>
      <c r="BB1616" s="76" t="b">
        <v>0</v>
      </c>
      <c r="BC1616" s="76" t="b">
        <v>0</v>
      </c>
      <c r="BD1616" s="76" t="b">
        <v>0</v>
      </c>
      <c r="BE1616" s="76" t="b">
        <v>0</v>
      </c>
      <c r="BF1616" s="76" t="b">
        <v>0</v>
      </c>
      <c r="BG1616" s="76" t="b">
        <v>1</v>
      </c>
      <c r="BH1616" s="82" t="str">
        <f>HYPERLINK("https://pbs.twimg.com/profile_banners/321556975/1609426436")</f>
        <v>https://pbs.twimg.com/profile_banners/321556975/1609426436</v>
      </c>
      <c r="BI1616" s="76"/>
      <c r="BJ1616" s="76" t="s">
        <v>27596</v>
      </c>
      <c r="BK1616" s="76" t="b">
        <v>0</v>
      </c>
      <c r="BL1616" s="76"/>
      <c r="BM1616" s="76" t="s">
        <v>66</v>
      </c>
      <c r="BN1616" s="76" t="s">
        <v>27597</v>
      </c>
      <c r="BO1616" s="82" t="str">
        <f>HYPERLINK("https://twitter.com/paleopatricio")</f>
        <v>https://twitter.com/paleopatricio</v>
      </c>
      <c r="BP1616" s="2"/>
    </row>
    <row r="1617" spans="1:68" x14ac:dyDescent="0.25">
      <c r="A1617" s="62" t="s">
        <v>2043</v>
      </c>
      <c r="B1617" s="63"/>
      <c r="C1617" s="63"/>
      <c r="D1617" s="64"/>
      <c r="E1617" s="66"/>
      <c r="F1617" s="103" t="str">
        <f>HYPERLINK("https://pbs.twimg.com/profile_images/1626767033839886336/KPzodaYh_normal.jpg")</f>
        <v>https://pbs.twimg.com/profile_images/1626767033839886336/KPzodaYh_normal.jpg</v>
      </c>
      <c r="G1617" s="63"/>
      <c r="H1617" s="67"/>
      <c r="I1617" s="68"/>
      <c r="J1617" s="68"/>
      <c r="K1617" s="67" t="s">
        <v>29211</v>
      </c>
      <c r="L1617" s="71"/>
      <c r="M1617" s="72"/>
      <c r="N1617" s="72"/>
      <c r="O1617" s="73"/>
      <c r="P1617" s="74"/>
      <c r="Q1617" s="74"/>
      <c r="R1617" s="87"/>
      <c r="S1617" s="87"/>
      <c r="T1617" s="87"/>
      <c r="U1617" s="87"/>
      <c r="V1617" s="48"/>
      <c r="W1617" s="48"/>
      <c r="X1617" s="48"/>
      <c r="Y1617" s="48"/>
      <c r="Z1617" s="47"/>
      <c r="AA1617" s="69">
        <v>1617</v>
      </c>
      <c r="AB1617" s="69"/>
      <c r="AC1617" s="70"/>
      <c r="AD1617" s="76" t="s">
        <v>22828</v>
      </c>
      <c r="AE1617" s="81" t="s">
        <v>20361</v>
      </c>
      <c r="AF1617" s="76">
        <v>19111</v>
      </c>
      <c r="AG1617" s="76">
        <v>169</v>
      </c>
      <c r="AH1617" s="76">
        <v>2509</v>
      </c>
      <c r="AI1617" s="76">
        <v>20</v>
      </c>
      <c r="AJ1617" s="76">
        <v>884</v>
      </c>
      <c r="AK1617" s="76">
        <v>1147</v>
      </c>
      <c r="AL1617" s="76" t="b">
        <v>0</v>
      </c>
      <c r="AM1617" s="78">
        <v>44542.357418981483</v>
      </c>
      <c r="AN1617" s="76" t="s">
        <v>14386</v>
      </c>
      <c r="AO1617" s="76" t="s">
        <v>26142</v>
      </c>
      <c r="AP1617" s="82" t="str">
        <f>HYPERLINK("https://t.co/7O94Hvwdkh")</f>
        <v>https://t.co/7O94Hvwdkh</v>
      </c>
      <c r="AQ1617" s="82" t="str">
        <f>HYPERLINK("https://www.fb.com/groups/boricpresidentedetodos")</f>
        <v>https://www.fb.com/groups/boricpresidentedetodos</v>
      </c>
      <c r="AR1617" s="76" t="s">
        <v>27241</v>
      </c>
      <c r="AS1617" s="76"/>
      <c r="AT1617" s="76"/>
      <c r="AU1617" s="76"/>
      <c r="AV1617" s="76"/>
      <c r="AW1617" s="82" t="str">
        <f>HYPERLINK("https://t.co/7O94Hvwdkh")</f>
        <v>https://t.co/7O94Hvwdkh</v>
      </c>
      <c r="AX1617" s="76" t="b">
        <v>1</v>
      </c>
      <c r="AY1617" s="76"/>
      <c r="AZ1617" s="76"/>
      <c r="BA1617" s="76" t="b">
        <v>1</v>
      </c>
      <c r="BB1617" s="76" t="b">
        <v>0</v>
      </c>
      <c r="BC1617" s="76" t="b">
        <v>1</v>
      </c>
      <c r="BD1617" s="76" t="b">
        <v>0</v>
      </c>
      <c r="BE1617" s="76" t="b">
        <v>0</v>
      </c>
      <c r="BF1617" s="76" t="b">
        <v>0</v>
      </c>
      <c r="BG1617" s="76" t="b">
        <v>0</v>
      </c>
      <c r="BH1617" s="82" t="str">
        <f>HYPERLINK("https://pbs.twimg.com/profile_banners/1469948685635096581/1688604563")</f>
        <v>https://pbs.twimg.com/profile_banners/1469948685635096581/1688604563</v>
      </c>
      <c r="BI1617" s="76"/>
      <c r="BJ1617" s="76" t="s">
        <v>27595</v>
      </c>
      <c r="BK1617" s="76" t="b">
        <v>0</v>
      </c>
      <c r="BL1617" s="76"/>
      <c r="BM1617" s="76" t="s">
        <v>65</v>
      </c>
      <c r="BN1617" s="76" t="s">
        <v>27597</v>
      </c>
      <c r="BO1617" s="82" t="str">
        <f>HYPERLINK("https://twitter.com/estamosconboric")</f>
        <v>https://twitter.com/estamosconboric</v>
      </c>
      <c r="BP1617" s="2"/>
    </row>
    <row r="1618" spans="1:68" x14ac:dyDescent="0.25">
      <c r="A1618" s="62" t="s">
        <v>1460</v>
      </c>
      <c r="B1618" s="63"/>
      <c r="C1618" s="63"/>
      <c r="D1618" s="64"/>
      <c r="E1618" s="66"/>
      <c r="F1618" s="103" t="str">
        <f>HYPERLINK("https://pbs.twimg.com/profile_images/1147240319555162112/wQTnwuGp_normal.png")</f>
        <v>https://pbs.twimg.com/profile_images/1147240319555162112/wQTnwuGp_normal.png</v>
      </c>
      <c r="G1618" s="63"/>
      <c r="H1618" s="67"/>
      <c r="I1618" s="68"/>
      <c r="J1618" s="68"/>
      <c r="K1618" s="67" t="s">
        <v>29212</v>
      </c>
      <c r="L1618" s="71"/>
      <c r="M1618" s="72"/>
      <c r="N1618" s="72"/>
      <c r="O1618" s="73"/>
      <c r="P1618" s="74"/>
      <c r="Q1618" s="74"/>
      <c r="R1618" s="87"/>
      <c r="S1618" s="87"/>
      <c r="T1618" s="87"/>
      <c r="U1618" s="87"/>
      <c r="V1618" s="48"/>
      <c r="W1618" s="48"/>
      <c r="X1618" s="48"/>
      <c r="Y1618" s="48"/>
      <c r="Z1618" s="47"/>
      <c r="AA1618" s="69">
        <v>1618</v>
      </c>
      <c r="AB1618" s="69"/>
      <c r="AC1618" s="70"/>
      <c r="AD1618" s="76" t="s">
        <v>22829</v>
      </c>
      <c r="AE1618" s="81" t="s">
        <v>21098</v>
      </c>
      <c r="AF1618" s="76">
        <v>521</v>
      </c>
      <c r="AG1618" s="76">
        <v>4292</v>
      </c>
      <c r="AH1618" s="76">
        <v>1644</v>
      </c>
      <c r="AI1618" s="76">
        <v>3</v>
      </c>
      <c r="AJ1618" s="76">
        <v>317</v>
      </c>
      <c r="AK1618" s="76">
        <v>74</v>
      </c>
      <c r="AL1618" s="76" t="b">
        <v>0</v>
      </c>
      <c r="AM1618" s="78">
        <v>43039.805254629631</v>
      </c>
      <c r="AN1618" s="76" t="s">
        <v>24633</v>
      </c>
      <c r="AO1618" s="76" t="s">
        <v>26143</v>
      </c>
      <c r="AP1618" s="82" t="str">
        <f>HYPERLINK("https://t.co/ggF65z0kwN")</f>
        <v>https://t.co/ggF65z0kwN</v>
      </c>
      <c r="AQ1618" s="82" t="str">
        <f>HYPERLINK("http://sinapticas.com")</f>
        <v>http://sinapticas.com</v>
      </c>
      <c r="AR1618" s="76" t="s">
        <v>8758</v>
      </c>
      <c r="AS1618" s="76"/>
      <c r="AT1618" s="76"/>
      <c r="AU1618" s="76"/>
      <c r="AV1618" s="76">
        <v>1.00705055685318E+18</v>
      </c>
      <c r="AW1618" s="82" t="str">
        <f>HYPERLINK("https://t.co/ggF65z0kwN")</f>
        <v>https://t.co/ggF65z0kwN</v>
      </c>
      <c r="AX1618" s="76" t="b">
        <v>0</v>
      </c>
      <c r="AY1618" s="76"/>
      <c r="AZ1618" s="76"/>
      <c r="BA1618" s="76" t="b">
        <v>0</v>
      </c>
      <c r="BB1618" s="76" t="b">
        <v>1</v>
      </c>
      <c r="BC1618" s="76" t="b">
        <v>0</v>
      </c>
      <c r="BD1618" s="76" t="b">
        <v>0</v>
      </c>
      <c r="BE1618" s="76" t="b">
        <v>0</v>
      </c>
      <c r="BF1618" s="76" t="b">
        <v>0</v>
      </c>
      <c r="BG1618" s="76" t="b">
        <v>0</v>
      </c>
      <c r="BH1618" s="82" t="str">
        <f>HYPERLINK("https://pbs.twimg.com/profile_banners/925442137809924096/1562358457")</f>
        <v>https://pbs.twimg.com/profile_banners/925442137809924096/1562358457</v>
      </c>
      <c r="BI1618" s="76"/>
      <c r="BJ1618" s="76" t="s">
        <v>27595</v>
      </c>
      <c r="BK1618" s="76" t="b">
        <v>0</v>
      </c>
      <c r="BL1618" s="76"/>
      <c r="BM1618" s="76" t="s">
        <v>66</v>
      </c>
      <c r="BN1618" s="76" t="s">
        <v>27597</v>
      </c>
      <c r="BO1618" s="82" t="str">
        <f>HYPERLINK("https://twitter.com/sinapticasblog")</f>
        <v>https://twitter.com/sinapticasblog</v>
      </c>
      <c r="BP1618" s="2"/>
    </row>
    <row r="1619" spans="1:68" x14ac:dyDescent="0.25">
      <c r="A1619" s="62" t="s">
        <v>1461</v>
      </c>
      <c r="B1619" s="63"/>
      <c r="C1619" s="63"/>
      <c r="D1619" s="64"/>
      <c r="E1619" s="66"/>
      <c r="F1619" s="103" t="str">
        <f>HYPERLINK("https://pbs.twimg.com/profile_images/1614347565603950592/zWS3LfnB_normal.png")</f>
        <v>https://pbs.twimg.com/profile_images/1614347565603950592/zWS3LfnB_normal.png</v>
      </c>
      <c r="G1619" s="63"/>
      <c r="H1619" s="67"/>
      <c r="I1619" s="68"/>
      <c r="J1619" s="68"/>
      <c r="K1619" s="67" t="s">
        <v>29213</v>
      </c>
      <c r="L1619" s="71"/>
      <c r="M1619" s="72"/>
      <c r="N1619" s="72"/>
      <c r="O1619" s="73"/>
      <c r="P1619" s="74"/>
      <c r="Q1619" s="74"/>
      <c r="R1619" s="87"/>
      <c r="S1619" s="87"/>
      <c r="T1619" s="87"/>
      <c r="U1619" s="87"/>
      <c r="V1619" s="48"/>
      <c r="W1619" s="48"/>
      <c r="X1619" s="48"/>
      <c r="Y1619" s="48"/>
      <c r="Z1619" s="47"/>
      <c r="AA1619" s="69">
        <v>1619</v>
      </c>
      <c r="AB1619" s="69"/>
      <c r="AC1619" s="70"/>
      <c r="AD1619" s="76" t="s">
        <v>22830</v>
      </c>
      <c r="AE1619" s="81" t="s">
        <v>21099</v>
      </c>
      <c r="AF1619" s="76">
        <v>7</v>
      </c>
      <c r="AG1619" s="76">
        <v>14</v>
      </c>
      <c r="AH1619" s="76">
        <v>43</v>
      </c>
      <c r="AI1619" s="76">
        <v>0</v>
      </c>
      <c r="AJ1619" s="76">
        <v>22</v>
      </c>
      <c r="AK1619" s="76">
        <v>14</v>
      </c>
      <c r="AL1619" s="76" t="b">
        <v>0</v>
      </c>
      <c r="AM1619" s="78">
        <v>44940.822071759256</v>
      </c>
      <c r="AN1619" s="76" t="s">
        <v>24175</v>
      </c>
      <c r="AO1619" s="76" t="s">
        <v>26144</v>
      </c>
      <c r="AP1619" s="82" t="str">
        <f>HYPERLINK("https://t.co/OwXWGfEcDL")</f>
        <v>https://t.co/OwXWGfEcDL</v>
      </c>
      <c r="AQ1619" s="82" t="str">
        <f>HYPERLINK("https://sistemasdepago.cl/")</f>
        <v>https://sistemasdepago.cl/</v>
      </c>
      <c r="AR1619" s="76" t="s">
        <v>27242</v>
      </c>
      <c r="AS1619" s="76"/>
      <c r="AT1619" s="76"/>
      <c r="AU1619" s="76"/>
      <c r="AV1619" s="76"/>
      <c r="AW1619" s="82" t="str">
        <f>HYPERLINK("https://t.co/OwXWGfEcDL")</f>
        <v>https://t.co/OwXWGfEcDL</v>
      </c>
      <c r="AX1619" s="76" t="b">
        <v>0</v>
      </c>
      <c r="AY1619" s="76"/>
      <c r="AZ1619" s="76"/>
      <c r="BA1619" s="76" t="b">
        <v>0</v>
      </c>
      <c r="BB1619" s="76" t="b">
        <v>1</v>
      </c>
      <c r="BC1619" s="76" t="b">
        <v>1</v>
      </c>
      <c r="BD1619" s="76" t="b">
        <v>0</v>
      </c>
      <c r="BE1619" s="76" t="b">
        <v>0</v>
      </c>
      <c r="BF1619" s="76" t="b">
        <v>0</v>
      </c>
      <c r="BG1619" s="76" t="b">
        <v>0</v>
      </c>
      <c r="BH1619" s="82" t="str">
        <f>HYPERLINK("https://pbs.twimg.com/profile_banners/1614347440831844353/1673727802")</f>
        <v>https://pbs.twimg.com/profile_banners/1614347440831844353/1673727802</v>
      </c>
      <c r="BI1619" s="76"/>
      <c r="BJ1619" s="76" t="s">
        <v>27595</v>
      </c>
      <c r="BK1619" s="76" t="b">
        <v>0</v>
      </c>
      <c r="BL1619" s="76"/>
      <c r="BM1619" s="76" t="s">
        <v>66</v>
      </c>
      <c r="BN1619" s="76" t="s">
        <v>27597</v>
      </c>
      <c r="BO1619" s="82" t="str">
        <f>HYPERLINK("https://twitter.com/sispagochile")</f>
        <v>https://twitter.com/sispagochile</v>
      </c>
      <c r="BP1619" s="2"/>
    </row>
    <row r="1620" spans="1:68" x14ac:dyDescent="0.25">
      <c r="A1620" s="62" t="s">
        <v>1462</v>
      </c>
      <c r="B1620" s="63"/>
      <c r="C1620" s="63"/>
      <c r="D1620" s="64"/>
      <c r="E1620" s="66"/>
      <c r="F1620" s="103" t="str">
        <f>HYPERLINK("https://pbs.twimg.com/profile_images/1128690508723818497/636DO4Gn_normal.png")</f>
        <v>https://pbs.twimg.com/profile_images/1128690508723818497/636DO4Gn_normal.png</v>
      </c>
      <c r="G1620" s="63"/>
      <c r="H1620" s="67"/>
      <c r="I1620" s="68"/>
      <c r="J1620" s="68"/>
      <c r="K1620" s="67" t="s">
        <v>29214</v>
      </c>
      <c r="L1620" s="71"/>
      <c r="M1620" s="72"/>
      <c r="N1620" s="72"/>
      <c r="O1620" s="73"/>
      <c r="P1620" s="74"/>
      <c r="Q1620" s="74"/>
      <c r="R1620" s="87"/>
      <c r="S1620" s="87"/>
      <c r="T1620" s="87"/>
      <c r="U1620" s="87"/>
      <c r="V1620" s="48"/>
      <c r="W1620" s="48"/>
      <c r="X1620" s="48"/>
      <c r="Y1620" s="48"/>
      <c r="Z1620" s="47"/>
      <c r="AA1620" s="69">
        <v>1620</v>
      </c>
      <c r="AB1620" s="69"/>
      <c r="AC1620" s="70"/>
      <c r="AD1620" s="76" t="s">
        <v>22831</v>
      </c>
      <c r="AE1620" s="81" t="s">
        <v>23914</v>
      </c>
      <c r="AF1620" s="76">
        <v>615078</v>
      </c>
      <c r="AG1620" s="76">
        <v>691</v>
      </c>
      <c r="AH1620" s="76">
        <v>153174</v>
      </c>
      <c r="AI1620" s="76">
        <v>2497</v>
      </c>
      <c r="AJ1620" s="76">
        <v>738</v>
      </c>
      <c r="AK1620" s="76">
        <v>5247</v>
      </c>
      <c r="AL1620" s="76" t="b">
        <v>0</v>
      </c>
      <c r="AM1620" s="78">
        <v>39363.92765046296</v>
      </c>
      <c r="AN1620" s="76" t="s">
        <v>14432</v>
      </c>
      <c r="AO1620" s="76" t="s">
        <v>26145</v>
      </c>
      <c r="AP1620" s="82" t="str">
        <f>HYPERLINK("https://t.co/djYO8n2otF")</f>
        <v>https://t.co/djYO8n2otF</v>
      </c>
      <c r="AQ1620" s="82" t="str">
        <f>HYPERLINK("http://www.jb.com.br")</f>
        <v>http://www.jb.com.br</v>
      </c>
      <c r="AR1620" s="76" t="s">
        <v>27243</v>
      </c>
      <c r="AS1620" s="76"/>
      <c r="AT1620" s="76"/>
      <c r="AU1620" s="76"/>
      <c r="AV1620" s="76"/>
      <c r="AW1620" s="82" t="str">
        <f>HYPERLINK("https://t.co/djYO8n2otF")</f>
        <v>https://t.co/djYO8n2otF</v>
      </c>
      <c r="AX1620" s="76" t="b">
        <v>0</v>
      </c>
      <c r="AY1620" s="76"/>
      <c r="AZ1620" s="76"/>
      <c r="BA1620" s="76" t="b">
        <v>0</v>
      </c>
      <c r="BB1620" s="76" t="b">
        <v>1</v>
      </c>
      <c r="BC1620" s="76" t="b">
        <v>0</v>
      </c>
      <c r="BD1620" s="76" t="b">
        <v>0</v>
      </c>
      <c r="BE1620" s="76" t="b">
        <v>1</v>
      </c>
      <c r="BF1620" s="76" t="b">
        <v>0</v>
      </c>
      <c r="BG1620" s="76" t="b">
        <v>0</v>
      </c>
      <c r="BH1620" s="82" t="str">
        <f>HYPERLINK("https://pbs.twimg.com/profile_banners/9317652/1614433962")</f>
        <v>https://pbs.twimg.com/profile_banners/9317652/1614433962</v>
      </c>
      <c r="BI1620" s="76"/>
      <c r="BJ1620" s="76" t="s">
        <v>27595</v>
      </c>
      <c r="BK1620" s="76" t="b">
        <v>0</v>
      </c>
      <c r="BL1620" s="76"/>
      <c r="BM1620" s="76" t="s">
        <v>66</v>
      </c>
      <c r="BN1620" s="76" t="s">
        <v>27597</v>
      </c>
      <c r="BO1620" s="82" t="str">
        <f>HYPERLINK("https://twitter.com/jornaldobrasil")</f>
        <v>https://twitter.com/jornaldobrasil</v>
      </c>
      <c r="BP1620" s="2"/>
    </row>
    <row r="1621" spans="1:68" x14ac:dyDescent="0.25">
      <c r="A1621" s="62" t="s">
        <v>1463</v>
      </c>
      <c r="B1621" s="63"/>
      <c r="C1621" s="63"/>
      <c r="D1621" s="64"/>
      <c r="E1621" s="66"/>
      <c r="F1621" s="103" t="str">
        <f>HYPERLINK("https://pbs.twimg.com/profile_images/1042435223068307456/vFPda44d_normal.jpg")</f>
        <v>https://pbs.twimg.com/profile_images/1042435223068307456/vFPda44d_normal.jpg</v>
      </c>
      <c r="G1621" s="63"/>
      <c r="H1621" s="67"/>
      <c r="I1621" s="68"/>
      <c r="J1621" s="68"/>
      <c r="K1621" s="67" t="s">
        <v>29215</v>
      </c>
      <c r="L1621" s="71"/>
      <c r="M1621" s="72"/>
      <c r="N1621" s="72"/>
      <c r="O1621" s="73"/>
      <c r="P1621" s="74"/>
      <c r="Q1621" s="74"/>
      <c r="R1621" s="87"/>
      <c r="S1621" s="87"/>
      <c r="T1621" s="87"/>
      <c r="U1621" s="87"/>
      <c r="V1621" s="48"/>
      <c r="W1621" s="48"/>
      <c r="X1621" s="48"/>
      <c r="Y1621" s="48"/>
      <c r="Z1621" s="47"/>
      <c r="AA1621" s="69">
        <v>1621</v>
      </c>
      <c r="AB1621" s="69"/>
      <c r="AC1621" s="70"/>
      <c r="AD1621" s="76" t="s">
        <v>22832</v>
      </c>
      <c r="AE1621" s="81" t="s">
        <v>21100</v>
      </c>
      <c r="AF1621" s="76">
        <v>3077</v>
      </c>
      <c r="AG1621" s="76">
        <v>70</v>
      </c>
      <c r="AH1621" s="76">
        <v>1805</v>
      </c>
      <c r="AI1621" s="76">
        <v>26</v>
      </c>
      <c r="AJ1621" s="76">
        <v>918</v>
      </c>
      <c r="AK1621" s="76">
        <v>1043</v>
      </c>
      <c r="AL1621" s="76" t="b">
        <v>0</v>
      </c>
      <c r="AM1621" s="78">
        <v>42982.651655092595</v>
      </c>
      <c r="AN1621" s="76" t="s">
        <v>14385</v>
      </c>
      <c r="AO1621" s="76" t="s">
        <v>26146</v>
      </c>
      <c r="AP1621" s="82" t="str">
        <f>HYPERLINK("https://t.co/IXEavGUHOm")</f>
        <v>https://t.co/IXEavGUHOm</v>
      </c>
      <c r="AQ1621" s="82" t="str">
        <f>HYPERLINK("http://www.fundeu.fiile.org.ar")</f>
        <v>http://www.fundeu.fiile.org.ar</v>
      </c>
      <c r="AR1621" s="76" t="s">
        <v>27244</v>
      </c>
      <c r="AS1621" s="76"/>
      <c r="AT1621" s="76"/>
      <c r="AU1621" s="76"/>
      <c r="AV1621" s="76"/>
      <c r="AW1621" s="82" t="str">
        <f>HYPERLINK("https://t.co/IXEavGUHOm")</f>
        <v>https://t.co/IXEavGUHOm</v>
      </c>
      <c r="AX1621" s="76" t="b">
        <v>0</v>
      </c>
      <c r="AY1621" s="76"/>
      <c r="AZ1621" s="76"/>
      <c r="BA1621" s="76" t="b">
        <v>0</v>
      </c>
      <c r="BB1621" s="76" t="b">
        <v>1</v>
      </c>
      <c r="BC1621" s="76" t="b">
        <v>0</v>
      </c>
      <c r="BD1621" s="76" t="b">
        <v>0</v>
      </c>
      <c r="BE1621" s="76" t="b">
        <v>1</v>
      </c>
      <c r="BF1621" s="76" t="b">
        <v>0</v>
      </c>
      <c r="BG1621" s="76" t="b">
        <v>0</v>
      </c>
      <c r="BH1621" s="82" t="str">
        <f>HYPERLINK("https://pbs.twimg.com/profile_banners/904730366338060289/1621265212")</f>
        <v>https://pbs.twimg.com/profile_banners/904730366338060289/1621265212</v>
      </c>
      <c r="BI1621" s="76"/>
      <c r="BJ1621" s="76" t="s">
        <v>27595</v>
      </c>
      <c r="BK1621" s="76" t="b">
        <v>0</v>
      </c>
      <c r="BL1621" s="76"/>
      <c r="BM1621" s="76" t="s">
        <v>66</v>
      </c>
      <c r="BN1621" s="76" t="s">
        <v>27597</v>
      </c>
      <c r="BO1621" s="82" t="str">
        <f>HYPERLINK("https://twitter.com/fundeuargentina")</f>
        <v>https://twitter.com/fundeuargentina</v>
      </c>
      <c r="BP1621" s="2"/>
    </row>
    <row r="1622" spans="1:68" x14ac:dyDescent="0.25">
      <c r="A1622" s="62" t="s">
        <v>1464</v>
      </c>
      <c r="B1622" s="63"/>
      <c r="C1622" s="63"/>
      <c r="D1622" s="64"/>
      <c r="E1622" s="66"/>
      <c r="F1622" s="103" t="str">
        <f>HYPERLINK("https://pbs.twimg.com/profile_images/1524026230101749762/6-3id7aB_normal.jpg")</f>
        <v>https://pbs.twimg.com/profile_images/1524026230101749762/6-3id7aB_normal.jpg</v>
      </c>
      <c r="G1622" s="63"/>
      <c r="H1622" s="67"/>
      <c r="I1622" s="68"/>
      <c r="J1622" s="68"/>
      <c r="K1622" s="67" t="s">
        <v>29216</v>
      </c>
      <c r="L1622" s="71"/>
      <c r="M1622" s="72"/>
      <c r="N1622" s="72"/>
      <c r="O1622" s="73"/>
      <c r="P1622" s="74"/>
      <c r="Q1622" s="74"/>
      <c r="R1622" s="87"/>
      <c r="S1622" s="87"/>
      <c r="T1622" s="87"/>
      <c r="U1622" s="87"/>
      <c r="V1622" s="48"/>
      <c r="W1622" s="48"/>
      <c r="X1622" s="48"/>
      <c r="Y1622" s="48"/>
      <c r="Z1622" s="47"/>
      <c r="AA1622" s="69">
        <v>1622</v>
      </c>
      <c r="AB1622" s="69"/>
      <c r="AC1622" s="70"/>
      <c r="AD1622" s="76" t="s">
        <v>22833</v>
      </c>
      <c r="AE1622" s="81" t="s">
        <v>21101</v>
      </c>
      <c r="AF1622" s="76">
        <v>4868</v>
      </c>
      <c r="AG1622" s="76">
        <v>3035</v>
      </c>
      <c r="AH1622" s="76">
        <v>4634</v>
      </c>
      <c r="AI1622" s="76">
        <v>2</v>
      </c>
      <c r="AJ1622" s="76">
        <v>1373</v>
      </c>
      <c r="AK1622" s="76">
        <v>2825</v>
      </c>
      <c r="AL1622" s="76" t="b">
        <v>0</v>
      </c>
      <c r="AM1622" s="78">
        <v>44691.581180555557</v>
      </c>
      <c r="AN1622" s="76"/>
      <c r="AO1622" s="76" t="s">
        <v>26147</v>
      </c>
      <c r="AP1622" s="76"/>
      <c r="AQ1622" s="76"/>
      <c r="AR1622" s="76"/>
      <c r="AS1622" s="76"/>
      <c r="AT1622" s="76"/>
      <c r="AU1622" s="76"/>
      <c r="AV1622" s="76">
        <v>1.6932537695578601E+18</v>
      </c>
      <c r="AW1622" s="76"/>
      <c r="AX1622" s="76" t="b">
        <v>0</v>
      </c>
      <c r="AY1622" s="76"/>
      <c r="AZ1622" s="76"/>
      <c r="BA1622" s="76" t="b">
        <v>0</v>
      </c>
      <c r="BB1622" s="76" t="b">
        <v>1</v>
      </c>
      <c r="BC1622" s="76" t="b">
        <v>1</v>
      </c>
      <c r="BD1622" s="76" t="b">
        <v>0</v>
      </c>
      <c r="BE1622" s="76" t="b">
        <v>1</v>
      </c>
      <c r="BF1622" s="76" t="b">
        <v>0</v>
      </c>
      <c r="BG1622" s="76" t="b">
        <v>0</v>
      </c>
      <c r="BH1622" s="82" t="str">
        <f>HYPERLINK("https://pbs.twimg.com/profile_banners/1524025596338130946/1652191980")</f>
        <v>https://pbs.twimg.com/profile_banners/1524025596338130946/1652191980</v>
      </c>
      <c r="BI1622" s="76"/>
      <c r="BJ1622" s="76" t="s">
        <v>27595</v>
      </c>
      <c r="BK1622" s="76" t="b">
        <v>0</v>
      </c>
      <c r="BL1622" s="76"/>
      <c r="BM1622" s="76" t="s">
        <v>66</v>
      </c>
      <c r="BN1622" s="76" t="s">
        <v>27597</v>
      </c>
      <c r="BO1622" s="82" t="str">
        <f>HYPERLINK("https://twitter.com/antptoficial")</f>
        <v>https://twitter.com/antptoficial</v>
      </c>
      <c r="BP1622" s="2"/>
    </row>
    <row r="1623" spans="1:68" x14ac:dyDescent="0.25">
      <c r="A1623" s="62" t="s">
        <v>1465</v>
      </c>
      <c r="B1623" s="63"/>
      <c r="C1623" s="63"/>
      <c r="D1623" s="64"/>
      <c r="E1623" s="66"/>
      <c r="F1623" s="103" t="str">
        <f>HYPERLINK("https://pbs.twimg.com/profile_images/1382488569885888512/DzIv_v51_normal.jpg")</f>
        <v>https://pbs.twimg.com/profile_images/1382488569885888512/DzIv_v51_normal.jpg</v>
      </c>
      <c r="G1623" s="63"/>
      <c r="H1623" s="67"/>
      <c r="I1623" s="68"/>
      <c r="J1623" s="68"/>
      <c r="K1623" s="67" t="s">
        <v>29217</v>
      </c>
      <c r="L1623" s="71"/>
      <c r="M1623" s="72"/>
      <c r="N1623" s="72"/>
      <c r="O1623" s="73"/>
      <c r="P1623" s="74"/>
      <c r="Q1623" s="74"/>
      <c r="R1623" s="87"/>
      <c r="S1623" s="87"/>
      <c r="T1623" s="87"/>
      <c r="U1623" s="87"/>
      <c r="V1623" s="48"/>
      <c r="W1623" s="48"/>
      <c r="X1623" s="48"/>
      <c r="Y1623" s="48"/>
      <c r="Z1623" s="47"/>
      <c r="AA1623" s="69">
        <v>1623</v>
      </c>
      <c r="AB1623" s="69"/>
      <c r="AC1623" s="70"/>
      <c r="AD1623" s="76" t="s">
        <v>22834</v>
      </c>
      <c r="AE1623" s="81" t="s">
        <v>21102</v>
      </c>
      <c r="AF1623" s="76">
        <v>113</v>
      </c>
      <c r="AG1623" s="76">
        <v>338</v>
      </c>
      <c r="AH1623" s="76">
        <v>4630</v>
      </c>
      <c r="AI1623" s="76">
        <v>5</v>
      </c>
      <c r="AJ1623" s="76">
        <v>112</v>
      </c>
      <c r="AK1623" s="76">
        <v>3984</v>
      </c>
      <c r="AL1623" s="76" t="b">
        <v>0</v>
      </c>
      <c r="AM1623" s="78">
        <v>44299.047696759262</v>
      </c>
      <c r="AN1623" s="76" t="s">
        <v>24634</v>
      </c>
      <c r="AO1623" s="76" t="s">
        <v>26148</v>
      </c>
      <c r="AP1623" s="82" t="str">
        <f>HYPERLINK("https://t.co/5pw7DK2pNj")</f>
        <v>https://t.co/5pw7DK2pNj</v>
      </c>
      <c r="AQ1623" s="82" t="str">
        <f>HYPERLINK("http://www.b2bfinances.com")</f>
        <v>http://www.b2bfinances.com</v>
      </c>
      <c r="AR1623" s="76" t="s">
        <v>8854</v>
      </c>
      <c r="AS1623" s="82" t="str">
        <f>HYPERLINK("https://t.co/YZEAKppJ3o")</f>
        <v>https://t.co/YZEAKppJ3o</v>
      </c>
      <c r="AT1623" s="82" t="str">
        <f>HYPERLINK("https://t.me/b2bfinances")</f>
        <v>https://t.me/b2bfinances</v>
      </c>
      <c r="AU1623" s="76" t="s">
        <v>27567</v>
      </c>
      <c r="AV1623" s="76"/>
      <c r="AW1623" s="82" t="str">
        <f>HYPERLINK("https://t.co/5pw7DK2pNj")</f>
        <v>https://t.co/5pw7DK2pNj</v>
      </c>
      <c r="AX1623" s="76" t="b">
        <v>0</v>
      </c>
      <c r="AY1623" s="76"/>
      <c r="AZ1623" s="76"/>
      <c r="BA1623" s="76" t="b">
        <v>0</v>
      </c>
      <c r="BB1623" s="76" t="b">
        <v>1</v>
      </c>
      <c r="BC1623" s="76" t="b">
        <v>1</v>
      </c>
      <c r="BD1623" s="76" t="b">
        <v>0</v>
      </c>
      <c r="BE1623" s="76" t="b">
        <v>0</v>
      </c>
      <c r="BF1623" s="76" t="b">
        <v>0</v>
      </c>
      <c r="BG1623" s="76" t="b">
        <v>0</v>
      </c>
      <c r="BH1623" s="82" t="str">
        <f>HYPERLINK("https://pbs.twimg.com/profile_banners/1381776255243145226/1623632296")</f>
        <v>https://pbs.twimg.com/profile_banners/1381776255243145226/1623632296</v>
      </c>
      <c r="BI1623" s="76"/>
      <c r="BJ1623" s="76" t="s">
        <v>27595</v>
      </c>
      <c r="BK1623" s="76" t="b">
        <v>0</v>
      </c>
      <c r="BL1623" s="76"/>
      <c r="BM1623" s="76" t="s">
        <v>66</v>
      </c>
      <c r="BN1623" s="76" t="s">
        <v>27597</v>
      </c>
      <c r="BO1623" s="82" t="str">
        <f>HYPERLINK("https://twitter.com/b2bfinances")</f>
        <v>https://twitter.com/b2bfinances</v>
      </c>
      <c r="BP1623" s="2"/>
    </row>
    <row r="1624" spans="1:68" x14ac:dyDescent="0.25">
      <c r="A1624" s="62" t="s">
        <v>1466</v>
      </c>
      <c r="B1624" s="63"/>
      <c r="C1624" s="63"/>
      <c r="D1624" s="64"/>
      <c r="E1624" s="66"/>
      <c r="F1624" s="103" t="str">
        <f>HYPERLINK("https://pbs.twimg.com/profile_images/1644907075951108098/Z2cZj8qG_normal.jpg")</f>
        <v>https://pbs.twimg.com/profile_images/1644907075951108098/Z2cZj8qG_normal.jpg</v>
      </c>
      <c r="G1624" s="63"/>
      <c r="H1624" s="67"/>
      <c r="I1624" s="68"/>
      <c r="J1624" s="68"/>
      <c r="K1624" s="67" t="s">
        <v>29218</v>
      </c>
      <c r="L1624" s="71"/>
      <c r="M1624" s="72"/>
      <c r="N1624" s="72"/>
      <c r="O1624" s="73"/>
      <c r="P1624" s="74"/>
      <c r="Q1624" s="74"/>
      <c r="R1624" s="87"/>
      <c r="S1624" s="87"/>
      <c r="T1624" s="87"/>
      <c r="U1624" s="87"/>
      <c r="V1624" s="48"/>
      <c r="W1624" s="48"/>
      <c r="X1624" s="48"/>
      <c r="Y1624" s="48"/>
      <c r="Z1624" s="47"/>
      <c r="AA1624" s="69">
        <v>1624</v>
      </c>
      <c r="AB1624" s="69"/>
      <c r="AC1624" s="70"/>
      <c r="AD1624" s="76" t="s">
        <v>22835</v>
      </c>
      <c r="AE1624" s="81" t="s">
        <v>21103</v>
      </c>
      <c r="AF1624" s="76">
        <v>972</v>
      </c>
      <c r="AG1624" s="76">
        <v>1019</v>
      </c>
      <c r="AH1624" s="76">
        <v>7649</v>
      </c>
      <c r="AI1624" s="76">
        <v>4</v>
      </c>
      <c r="AJ1624" s="76">
        <v>6966</v>
      </c>
      <c r="AK1624" s="76">
        <v>4315</v>
      </c>
      <c r="AL1624" s="76" t="b">
        <v>0</v>
      </c>
      <c r="AM1624" s="78">
        <v>42464.577928240738</v>
      </c>
      <c r="AN1624" s="76" t="s">
        <v>14382</v>
      </c>
      <c r="AO1624" s="76" t="s">
        <v>26149</v>
      </c>
      <c r="AP1624" s="82" t="str">
        <f>HYPERLINK("https://t.co/rmUaOy4JHG")</f>
        <v>https://t.co/rmUaOy4JHG</v>
      </c>
      <c r="AQ1624" s="82" t="str">
        <f>HYPERLINK("https://www.youtube.com/channel/UCPpI8Gywtuv2RDj61tTDWvg")</f>
        <v>https://www.youtube.com/channel/UCPpI8Gywtuv2RDj61tTDWvg</v>
      </c>
      <c r="AR1624" s="76" t="s">
        <v>27245</v>
      </c>
      <c r="AS1624" s="76"/>
      <c r="AT1624" s="76"/>
      <c r="AU1624" s="76"/>
      <c r="AV1624" s="76"/>
      <c r="AW1624" s="82" t="str">
        <f>HYPERLINK("https://t.co/rmUaOy4JHG")</f>
        <v>https://t.co/rmUaOy4JHG</v>
      </c>
      <c r="AX1624" s="76" t="b">
        <v>0</v>
      </c>
      <c r="AY1624" s="76"/>
      <c r="AZ1624" s="76"/>
      <c r="BA1624" s="76" t="b">
        <v>1</v>
      </c>
      <c r="BB1624" s="76" t="b">
        <v>0</v>
      </c>
      <c r="BC1624" s="76" t="b">
        <v>0</v>
      </c>
      <c r="BD1624" s="76" t="b">
        <v>0</v>
      </c>
      <c r="BE1624" s="76" t="b">
        <v>1</v>
      </c>
      <c r="BF1624" s="76" t="b">
        <v>0</v>
      </c>
      <c r="BG1624" s="76" t="b">
        <v>0</v>
      </c>
      <c r="BH1624" s="82" t="str">
        <f>HYPERLINK("https://pbs.twimg.com/profile_banners/716986736744800256/1695157694")</f>
        <v>https://pbs.twimg.com/profile_banners/716986736744800256/1695157694</v>
      </c>
      <c r="BI1624" s="76"/>
      <c r="BJ1624" s="76" t="s">
        <v>27595</v>
      </c>
      <c r="BK1624" s="76" t="b">
        <v>0</v>
      </c>
      <c r="BL1624" s="76"/>
      <c r="BM1624" s="76" t="s">
        <v>66</v>
      </c>
      <c r="BN1624" s="76" t="s">
        <v>27597</v>
      </c>
      <c r="BO1624" s="82" t="str">
        <f>HYPERLINK("https://twitter.com/carlitoaraujo13")</f>
        <v>https://twitter.com/carlitoaraujo13</v>
      </c>
      <c r="BP1624" s="2"/>
    </row>
    <row r="1625" spans="1:68" x14ac:dyDescent="0.25">
      <c r="A1625" s="62" t="s">
        <v>1467</v>
      </c>
      <c r="B1625" s="63"/>
      <c r="C1625" s="63"/>
      <c r="D1625" s="64"/>
      <c r="E1625" s="66"/>
      <c r="F1625" s="103" t="str">
        <f>HYPERLINK("https://pbs.twimg.com/profile_images/1663681025577197569/aO3HNSeA_normal.jpg")</f>
        <v>https://pbs.twimg.com/profile_images/1663681025577197569/aO3HNSeA_normal.jpg</v>
      </c>
      <c r="G1625" s="63"/>
      <c r="H1625" s="67"/>
      <c r="I1625" s="68"/>
      <c r="J1625" s="68"/>
      <c r="K1625" s="67" t="s">
        <v>29219</v>
      </c>
      <c r="L1625" s="71"/>
      <c r="M1625" s="72"/>
      <c r="N1625" s="72"/>
      <c r="O1625" s="73"/>
      <c r="P1625" s="74"/>
      <c r="Q1625" s="74"/>
      <c r="R1625" s="87"/>
      <c r="S1625" s="87"/>
      <c r="T1625" s="87"/>
      <c r="U1625" s="87"/>
      <c r="V1625" s="48"/>
      <c r="W1625" s="48"/>
      <c r="X1625" s="48"/>
      <c r="Y1625" s="48"/>
      <c r="Z1625" s="47"/>
      <c r="AA1625" s="69">
        <v>1625</v>
      </c>
      <c r="AB1625" s="69"/>
      <c r="AC1625" s="70"/>
      <c r="AD1625" s="76" t="s">
        <v>22836</v>
      </c>
      <c r="AE1625" s="81" t="s">
        <v>21104</v>
      </c>
      <c r="AF1625" s="76">
        <v>61</v>
      </c>
      <c r="AG1625" s="76">
        <v>401</v>
      </c>
      <c r="AH1625" s="76">
        <v>1777</v>
      </c>
      <c r="AI1625" s="76">
        <v>0</v>
      </c>
      <c r="AJ1625" s="76">
        <v>0</v>
      </c>
      <c r="AK1625" s="76">
        <v>49</v>
      </c>
      <c r="AL1625" s="76" t="b">
        <v>0</v>
      </c>
      <c r="AM1625" s="78">
        <v>44458.676655092589</v>
      </c>
      <c r="AN1625" s="76" t="s">
        <v>24635</v>
      </c>
      <c r="AO1625" s="76" t="s">
        <v>26150</v>
      </c>
      <c r="AP1625" s="82" t="str">
        <f>HYPERLINK("https://t.co/iX5Sc3CYo3")</f>
        <v>https://t.co/iX5Sc3CYo3</v>
      </c>
      <c r="AQ1625" s="82" t="str">
        <f>HYPERLINK("https://www.noticiamais.net/")</f>
        <v>https://www.noticiamais.net/</v>
      </c>
      <c r="AR1625" s="76" t="s">
        <v>8855</v>
      </c>
      <c r="AS1625" s="76"/>
      <c r="AT1625" s="76"/>
      <c r="AU1625" s="76"/>
      <c r="AV1625" s="76"/>
      <c r="AW1625" s="82" t="str">
        <f>HYPERLINK("https://t.co/iX5Sc3CYo3")</f>
        <v>https://t.co/iX5Sc3CYo3</v>
      </c>
      <c r="AX1625" s="76" t="b">
        <v>0</v>
      </c>
      <c r="AY1625" s="76"/>
      <c r="AZ1625" s="76"/>
      <c r="BA1625" s="76" t="b">
        <v>0</v>
      </c>
      <c r="BB1625" s="76" t="b">
        <v>1</v>
      </c>
      <c r="BC1625" s="76" t="b">
        <v>1</v>
      </c>
      <c r="BD1625" s="76" t="b">
        <v>0</v>
      </c>
      <c r="BE1625" s="76" t="b">
        <v>0</v>
      </c>
      <c r="BF1625" s="76" t="b">
        <v>0</v>
      </c>
      <c r="BG1625" s="76" t="b">
        <v>0</v>
      </c>
      <c r="BH1625" s="82" t="str">
        <f>HYPERLINK("https://pbs.twimg.com/profile_banners/1439623853450334215/1693865474")</f>
        <v>https://pbs.twimg.com/profile_banners/1439623853450334215/1693865474</v>
      </c>
      <c r="BI1625" s="76"/>
      <c r="BJ1625" s="76" t="s">
        <v>27595</v>
      </c>
      <c r="BK1625" s="76" t="b">
        <v>0</v>
      </c>
      <c r="BL1625" s="76"/>
      <c r="BM1625" s="76" t="s">
        <v>66</v>
      </c>
      <c r="BN1625" s="76" t="s">
        <v>27597</v>
      </c>
      <c r="BO1625" s="82" t="str">
        <f>HYPERLINK("https://twitter.com/noticiamaisnet")</f>
        <v>https://twitter.com/noticiamaisnet</v>
      </c>
      <c r="BP1625" s="2"/>
    </row>
    <row r="1626" spans="1:68" x14ac:dyDescent="0.25">
      <c r="A1626" s="62" t="s">
        <v>1469</v>
      </c>
      <c r="B1626" s="63"/>
      <c r="C1626" s="63"/>
      <c r="D1626" s="64"/>
      <c r="E1626" s="66"/>
      <c r="F1626" s="103" t="str">
        <f>HYPERLINK("https://pbs.twimg.com/profile_images/1522558896702902280/3_ACNBR__normal.jpg")</f>
        <v>https://pbs.twimg.com/profile_images/1522558896702902280/3_ACNBR__normal.jpg</v>
      </c>
      <c r="G1626" s="63"/>
      <c r="H1626" s="67"/>
      <c r="I1626" s="68"/>
      <c r="J1626" s="68"/>
      <c r="K1626" s="67" t="s">
        <v>29220</v>
      </c>
      <c r="L1626" s="71"/>
      <c r="M1626" s="72"/>
      <c r="N1626" s="72"/>
      <c r="O1626" s="73"/>
      <c r="P1626" s="74"/>
      <c r="Q1626" s="74"/>
      <c r="R1626" s="87"/>
      <c r="S1626" s="87"/>
      <c r="T1626" s="87"/>
      <c r="U1626" s="87"/>
      <c r="V1626" s="48"/>
      <c r="W1626" s="48"/>
      <c r="X1626" s="48"/>
      <c r="Y1626" s="48"/>
      <c r="Z1626" s="47"/>
      <c r="AA1626" s="69">
        <v>1626</v>
      </c>
      <c r="AB1626" s="69"/>
      <c r="AC1626" s="70"/>
      <c r="AD1626" s="76" t="s">
        <v>22837</v>
      </c>
      <c r="AE1626" s="81" t="s">
        <v>21105</v>
      </c>
      <c r="AF1626" s="76">
        <v>6</v>
      </c>
      <c r="AG1626" s="76">
        <v>81</v>
      </c>
      <c r="AH1626" s="76">
        <v>152</v>
      </c>
      <c r="AI1626" s="76">
        <v>0</v>
      </c>
      <c r="AJ1626" s="76">
        <v>14</v>
      </c>
      <c r="AK1626" s="76">
        <v>20</v>
      </c>
      <c r="AL1626" s="76" t="b">
        <v>0</v>
      </c>
      <c r="AM1626" s="78">
        <v>44686.887002314812</v>
      </c>
      <c r="AN1626" s="76" t="s">
        <v>24636</v>
      </c>
      <c r="AO1626" s="76" t="s">
        <v>26151</v>
      </c>
      <c r="AP1626" s="76"/>
      <c r="AQ1626" s="76"/>
      <c r="AR1626" s="76"/>
      <c r="AS1626" s="76"/>
      <c r="AT1626" s="76"/>
      <c r="AU1626" s="76"/>
      <c r="AV1626" s="76"/>
      <c r="AW1626" s="76"/>
      <c r="AX1626" s="76" t="b">
        <v>0</v>
      </c>
      <c r="AY1626" s="76"/>
      <c r="AZ1626" s="76"/>
      <c r="BA1626" s="76" t="b">
        <v>0</v>
      </c>
      <c r="BB1626" s="76" t="b">
        <v>1</v>
      </c>
      <c r="BC1626" s="76" t="b">
        <v>1</v>
      </c>
      <c r="BD1626" s="76" t="b">
        <v>0</v>
      </c>
      <c r="BE1626" s="76" t="b">
        <v>0</v>
      </c>
      <c r="BF1626" s="76" t="b">
        <v>0</v>
      </c>
      <c r="BG1626" s="76" t="b">
        <v>0</v>
      </c>
      <c r="BH1626" s="82" t="str">
        <f>HYPERLINK("https://pbs.twimg.com/profile_banners/1522324145689833474/1651841280")</f>
        <v>https://pbs.twimg.com/profile_banners/1522324145689833474/1651841280</v>
      </c>
      <c r="BI1626" s="76"/>
      <c r="BJ1626" s="76" t="s">
        <v>27595</v>
      </c>
      <c r="BK1626" s="76" t="b">
        <v>0</v>
      </c>
      <c r="BL1626" s="76"/>
      <c r="BM1626" s="76" t="s">
        <v>66</v>
      </c>
      <c r="BN1626" s="76" t="s">
        <v>27597</v>
      </c>
      <c r="BO1626" s="82" t="str">
        <f>HYPERLINK("https://twitter.com/nsjunior4")</f>
        <v>https://twitter.com/nsjunior4</v>
      </c>
      <c r="BP1626" s="2"/>
    </row>
    <row r="1627" spans="1:68" x14ac:dyDescent="0.25">
      <c r="A1627" s="62" t="s">
        <v>1470</v>
      </c>
      <c r="B1627" s="63"/>
      <c r="C1627" s="63"/>
      <c r="D1627" s="64"/>
      <c r="E1627" s="66"/>
      <c r="F1627" s="103" t="str">
        <f>HYPERLINK("https://pbs.twimg.com/profile_images/1108337112351469570/vkooDg2x_normal.png")</f>
        <v>https://pbs.twimg.com/profile_images/1108337112351469570/vkooDg2x_normal.png</v>
      </c>
      <c r="G1627" s="63"/>
      <c r="H1627" s="67"/>
      <c r="I1627" s="68"/>
      <c r="J1627" s="68"/>
      <c r="K1627" s="67" t="s">
        <v>29221</v>
      </c>
      <c r="L1627" s="71"/>
      <c r="M1627" s="72"/>
      <c r="N1627" s="72"/>
      <c r="O1627" s="73"/>
      <c r="P1627" s="74"/>
      <c r="Q1627" s="74"/>
      <c r="R1627" s="87"/>
      <c r="S1627" s="87"/>
      <c r="T1627" s="87"/>
      <c r="U1627" s="87"/>
      <c r="V1627" s="48"/>
      <c r="W1627" s="48"/>
      <c r="X1627" s="48"/>
      <c r="Y1627" s="48"/>
      <c r="Z1627" s="47"/>
      <c r="AA1627" s="69">
        <v>1627</v>
      </c>
      <c r="AB1627" s="69"/>
      <c r="AC1627" s="70"/>
      <c r="AD1627" s="76" t="s">
        <v>22838</v>
      </c>
      <c r="AE1627" s="81" t="s">
        <v>23915</v>
      </c>
      <c r="AF1627" s="76">
        <v>222040</v>
      </c>
      <c r="AG1627" s="76">
        <v>501</v>
      </c>
      <c r="AH1627" s="76">
        <v>83653</v>
      </c>
      <c r="AI1627" s="76">
        <v>1426</v>
      </c>
      <c r="AJ1627" s="76">
        <v>561</v>
      </c>
      <c r="AK1627" s="76">
        <v>3527</v>
      </c>
      <c r="AL1627" s="76" t="b">
        <v>0</v>
      </c>
      <c r="AM1627" s="78">
        <v>39985.465648148151</v>
      </c>
      <c r="AN1627" s="76"/>
      <c r="AO1627" s="76" t="s">
        <v>26152</v>
      </c>
      <c r="AP1627" s="82" t="str">
        <f>HYPERLINK("http://t.co/LMvKSlSONH")</f>
        <v>http://t.co/LMvKSlSONH</v>
      </c>
      <c r="AQ1627" s="82" t="str">
        <f>HYPERLINK("http://br.investing.com/")</f>
        <v>http://br.investing.com/</v>
      </c>
      <c r="AR1627" s="76" t="s">
        <v>27246</v>
      </c>
      <c r="AS1627" s="76"/>
      <c r="AT1627" s="76"/>
      <c r="AU1627" s="76"/>
      <c r="AV1627" s="76"/>
      <c r="AW1627" s="82" t="str">
        <f>HYPERLINK("http://t.co/LMvKSlSONH")</f>
        <v>http://t.co/LMvKSlSONH</v>
      </c>
      <c r="AX1627" s="76" t="b">
        <v>0</v>
      </c>
      <c r="AY1627" s="76"/>
      <c r="AZ1627" s="76"/>
      <c r="BA1627" s="76" t="b">
        <v>1</v>
      </c>
      <c r="BB1627" s="76" t="b">
        <v>1</v>
      </c>
      <c r="BC1627" s="76" t="b">
        <v>0</v>
      </c>
      <c r="BD1627" s="76" t="b">
        <v>0</v>
      </c>
      <c r="BE1627" s="76" t="b">
        <v>1</v>
      </c>
      <c r="BF1627" s="76" t="b">
        <v>0</v>
      </c>
      <c r="BG1627" s="76" t="b">
        <v>0</v>
      </c>
      <c r="BH1627" s="82" t="str">
        <f>HYPERLINK("https://pbs.twimg.com/profile_banners/49292227/1547577926")</f>
        <v>https://pbs.twimg.com/profile_banners/49292227/1547577926</v>
      </c>
      <c r="BI1627" s="76"/>
      <c r="BJ1627" s="76" t="s">
        <v>27595</v>
      </c>
      <c r="BK1627" s="76" t="b">
        <v>0</v>
      </c>
      <c r="BL1627" s="76"/>
      <c r="BM1627" s="76" t="s">
        <v>66</v>
      </c>
      <c r="BN1627" s="76" t="s">
        <v>27597</v>
      </c>
      <c r="BO1627" s="82" t="str">
        <f>HYPERLINK("https://twitter.com/investingbrasil")</f>
        <v>https://twitter.com/investingbrasil</v>
      </c>
      <c r="BP1627" s="2"/>
    </row>
    <row r="1628" spans="1:68" x14ac:dyDescent="0.25">
      <c r="A1628" s="62" t="s">
        <v>1471</v>
      </c>
      <c r="B1628" s="63"/>
      <c r="C1628" s="63"/>
      <c r="D1628" s="64"/>
      <c r="E1628" s="66"/>
      <c r="F1628" s="103" t="str">
        <f>HYPERLINK("https://pbs.twimg.com/profile_images/1061002629080403969/alJOu_k4_normal.jpg")</f>
        <v>https://pbs.twimg.com/profile_images/1061002629080403969/alJOu_k4_normal.jpg</v>
      </c>
      <c r="G1628" s="63"/>
      <c r="H1628" s="67"/>
      <c r="I1628" s="68"/>
      <c r="J1628" s="68"/>
      <c r="K1628" s="67" t="s">
        <v>29222</v>
      </c>
      <c r="L1628" s="71"/>
      <c r="M1628" s="72"/>
      <c r="N1628" s="72"/>
      <c r="O1628" s="73"/>
      <c r="P1628" s="74"/>
      <c r="Q1628" s="74"/>
      <c r="R1628" s="87"/>
      <c r="S1628" s="87"/>
      <c r="T1628" s="87"/>
      <c r="U1628" s="87"/>
      <c r="V1628" s="48"/>
      <c r="W1628" s="48"/>
      <c r="X1628" s="48"/>
      <c r="Y1628" s="48"/>
      <c r="Z1628" s="47"/>
      <c r="AA1628" s="69">
        <v>1628</v>
      </c>
      <c r="AB1628" s="69"/>
      <c r="AC1628" s="70"/>
      <c r="AD1628" s="76" t="s">
        <v>22839</v>
      </c>
      <c r="AE1628" s="81" t="s">
        <v>23916</v>
      </c>
      <c r="AF1628" s="76">
        <v>904</v>
      </c>
      <c r="AG1628" s="76">
        <v>445</v>
      </c>
      <c r="AH1628" s="76">
        <v>9585</v>
      </c>
      <c r="AI1628" s="76">
        <v>9</v>
      </c>
      <c r="AJ1628" s="76">
        <v>9658</v>
      </c>
      <c r="AK1628" s="76">
        <v>552</v>
      </c>
      <c r="AL1628" s="76" t="b">
        <v>0</v>
      </c>
      <c r="AM1628" s="78">
        <v>41066.884074074071</v>
      </c>
      <c r="AN1628" s="76" t="s">
        <v>24113</v>
      </c>
      <c r="AO1628" s="76" t="s">
        <v>26153</v>
      </c>
      <c r="AP1628" s="82" t="str">
        <f>HYPERLINK("https://t.co/sk5y7UvNpj")</f>
        <v>https://t.co/sk5y7UvNpj</v>
      </c>
      <c r="AQ1628" s="82" t="str">
        <f>HYPERLINK("http://www.palermo.edu/economicas/contador.html")</f>
        <v>http://www.palermo.edu/economicas/contador.html</v>
      </c>
      <c r="AR1628" s="76" t="s">
        <v>27247</v>
      </c>
      <c r="AS1628" s="76"/>
      <c r="AT1628" s="76"/>
      <c r="AU1628" s="76"/>
      <c r="AV1628" s="76">
        <v>1.6961653139418099E+18</v>
      </c>
      <c r="AW1628" s="82" t="str">
        <f>HYPERLINK("https://t.co/sk5y7UvNpj")</f>
        <v>https://t.co/sk5y7UvNpj</v>
      </c>
      <c r="AX1628" s="76" t="b">
        <v>0</v>
      </c>
      <c r="AY1628" s="76"/>
      <c r="AZ1628" s="76"/>
      <c r="BA1628" s="76" t="b">
        <v>0</v>
      </c>
      <c r="BB1628" s="76" t="b">
        <v>1</v>
      </c>
      <c r="BC1628" s="76" t="b">
        <v>0</v>
      </c>
      <c r="BD1628" s="76" t="b">
        <v>0</v>
      </c>
      <c r="BE1628" s="76" t="b">
        <v>0</v>
      </c>
      <c r="BF1628" s="76" t="b">
        <v>0</v>
      </c>
      <c r="BG1628" s="76" t="b">
        <v>0</v>
      </c>
      <c r="BH1628" s="82" t="str">
        <f>HYPERLINK("https://pbs.twimg.com/profile_banners/601296014/1686234321")</f>
        <v>https://pbs.twimg.com/profile_banners/601296014/1686234321</v>
      </c>
      <c r="BI1628" s="76"/>
      <c r="BJ1628" s="76" t="s">
        <v>27595</v>
      </c>
      <c r="BK1628" s="76" t="b">
        <v>0</v>
      </c>
      <c r="BL1628" s="76"/>
      <c r="BM1628" s="76" t="s">
        <v>66</v>
      </c>
      <c r="BN1628" s="76" t="s">
        <v>27597</v>
      </c>
      <c r="BO1628" s="82" t="str">
        <f>HYPERLINK("https://twitter.com/contadorup")</f>
        <v>https://twitter.com/contadorup</v>
      </c>
      <c r="BP1628" s="2"/>
    </row>
    <row r="1629" spans="1:68" x14ac:dyDescent="0.25">
      <c r="A1629" s="62" t="s">
        <v>1472</v>
      </c>
      <c r="B1629" s="63"/>
      <c r="C1629" s="63"/>
      <c r="D1629" s="64"/>
      <c r="E1629" s="66"/>
      <c r="F1629" s="103" t="str">
        <f>HYPERLINK("https://pbs.twimg.com/profile_images/1364338878350577664/IEXEnw04_normal.jpg")</f>
        <v>https://pbs.twimg.com/profile_images/1364338878350577664/IEXEnw04_normal.jpg</v>
      </c>
      <c r="G1629" s="63"/>
      <c r="H1629" s="67"/>
      <c r="I1629" s="68"/>
      <c r="J1629" s="68"/>
      <c r="K1629" s="67" t="s">
        <v>29223</v>
      </c>
      <c r="L1629" s="71"/>
      <c r="M1629" s="72"/>
      <c r="N1629" s="72"/>
      <c r="O1629" s="73"/>
      <c r="P1629" s="74"/>
      <c r="Q1629" s="74"/>
      <c r="R1629" s="87"/>
      <c r="S1629" s="87"/>
      <c r="T1629" s="87"/>
      <c r="U1629" s="87"/>
      <c r="V1629" s="48"/>
      <c r="W1629" s="48"/>
      <c r="X1629" s="48"/>
      <c r="Y1629" s="48"/>
      <c r="Z1629" s="47"/>
      <c r="AA1629" s="69">
        <v>1629</v>
      </c>
      <c r="AB1629" s="69"/>
      <c r="AC1629" s="70"/>
      <c r="AD1629" s="76" t="s">
        <v>22840</v>
      </c>
      <c r="AE1629" s="81" t="s">
        <v>21106</v>
      </c>
      <c r="AF1629" s="76">
        <v>828</v>
      </c>
      <c r="AG1629" s="76">
        <v>278</v>
      </c>
      <c r="AH1629" s="76">
        <v>17395</v>
      </c>
      <c r="AI1629" s="76">
        <v>13</v>
      </c>
      <c r="AJ1629" s="76">
        <v>10588</v>
      </c>
      <c r="AK1629" s="76">
        <v>5823</v>
      </c>
      <c r="AL1629" s="76" t="b">
        <v>0</v>
      </c>
      <c r="AM1629" s="78">
        <v>43993.776655092595</v>
      </c>
      <c r="AN1629" s="76" t="s">
        <v>24637</v>
      </c>
      <c r="AO1629" s="76" t="s">
        <v>26154</v>
      </c>
      <c r="AP1629" s="82" t="str">
        <f>HYPERLINK("https://t.co/QBCLAOPAZ6")</f>
        <v>https://t.co/QBCLAOPAZ6</v>
      </c>
      <c r="AQ1629" s="82" t="str">
        <f>HYPERLINK("https://linktr.ee/seebumuarama")</f>
        <v>https://linktr.ee/seebumuarama</v>
      </c>
      <c r="AR1629" s="76" t="s">
        <v>27248</v>
      </c>
      <c r="AS1629" s="76"/>
      <c r="AT1629" s="76"/>
      <c r="AU1629" s="76"/>
      <c r="AV1629" s="76"/>
      <c r="AW1629" s="82" t="str">
        <f>HYPERLINK("https://t.co/QBCLAOPAZ6")</f>
        <v>https://t.co/QBCLAOPAZ6</v>
      </c>
      <c r="AX1629" s="76" t="b">
        <v>0</v>
      </c>
      <c r="AY1629" s="76"/>
      <c r="AZ1629" s="76"/>
      <c r="BA1629" s="76" t="b">
        <v>0</v>
      </c>
      <c r="BB1629" s="76" t="b">
        <v>1</v>
      </c>
      <c r="BC1629" s="76" t="b">
        <v>1</v>
      </c>
      <c r="BD1629" s="76" t="b">
        <v>0</v>
      </c>
      <c r="BE1629" s="76" t="b">
        <v>1</v>
      </c>
      <c r="BF1629" s="76" t="b">
        <v>0</v>
      </c>
      <c r="BG1629" s="76" t="b">
        <v>0</v>
      </c>
      <c r="BH1629" s="82" t="str">
        <f>HYPERLINK("https://pbs.twimg.com/profile_banners/1271149730169577474/1628172009")</f>
        <v>https://pbs.twimg.com/profile_banners/1271149730169577474/1628172009</v>
      </c>
      <c r="BI1629" s="76"/>
      <c r="BJ1629" s="76" t="s">
        <v>27595</v>
      </c>
      <c r="BK1629" s="76" t="b">
        <v>0</v>
      </c>
      <c r="BL1629" s="76"/>
      <c r="BM1629" s="76" t="s">
        <v>66</v>
      </c>
      <c r="BN1629" s="76" t="s">
        <v>27597</v>
      </c>
      <c r="BO1629" s="82" t="str">
        <f>HYPERLINK("https://twitter.com/seebumuarama")</f>
        <v>https://twitter.com/seebumuarama</v>
      </c>
      <c r="BP1629" s="2"/>
    </row>
    <row r="1630" spans="1:68" x14ac:dyDescent="0.25">
      <c r="A1630" s="62" t="s">
        <v>1473</v>
      </c>
      <c r="B1630" s="63"/>
      <c r="C1630" s="63"/>
      <c r="D1630" s="64"/>
      <c r="E1630" s="66"/>
      <c r="F1630" s="103" t="str">
        <f>HYPERLINK("https://pbs.twimg.com/profile_images/1366336178593685504/TQ6Brrjg_normal.jpg")</f>
        <v>https://pbs.twimg.com/profile_images/1366336178593685504/TQ6Brrjg_normal.jpg</v>
      </c>
      <c r="G1630" s="63"/>
      <c r="H1630" s="67"/>
      <c r="I1630" s="68"/>
      <c r="J1630" s="68"/>
      <c r="K1630" s="67" t="s">
        <v>29224</v>
      </c>
      <c r="L1630" s="71"/>
      <c r="M1630" s="72"/>
      <c r="N1630" s="72"/>
      <c r="O1630" s="73"/>
      <c r="P1630" s="74"/>
      <c r="Q1630" s="74"/>
      <c r="R1630" s="87"/>
      <c r="S1630" s="87"/>
      <c r="T1630" s="87"/>
      <c r="U1630" s="87"/>
      <c r="V1630" s="48"/>
      <c r="W1630" s="48"/>
      <c r="X1630" s="48"/>
      <c r="Y1630" s="48"/>
      <c r="Z1630" s="47"/>
      <c r="AA1630" s="69">
        <v>1630</v>
      </c>
      <c r="AB1630" s="69"/>
      <c r="AC1630" s="70"/>
      <c r="AD1630" s="76" t="s">
        <v>22841</v>
      </c>
      <c r="AE1630" s="81" t="s">
        <v>23917</v>
      </c>
      <c r="AF1630" s="76">
        <v>1500</v>
      </c>
      <c r="AG1630" s="76">
        <v>87</v>
      </c>
      <c r="AH1630" s="76">
        <v>12532</v>
      </c>
      <c r="AI1630" s="76">
        <v>1</v>
      </c>
      <c r="AJ1630" s="76">
        <v>206</v>
      </c>
      <c r="AK1630" s="76">
        <v>9871</v>
      </c>
      <c r="AL1630" s="76" t="b">
        <v>0</v>
      </c>
      <c r="AM1630" s="78">
        <v>41470.763564814813</v>
      </c>
      <c r="AN1630" s="76"/>
      <c r="AO1630" s="76" t="s">
        <v>26155</v>
      </c>
      <c r="AP1630" s="82" t="str">
        <f>HYPERLINK("http://t.co/mXQZDajwT9")</f>
        <v>http://t.co/mXQZDajwT9</v>
      </c>
      <c r="AQ1630" s="82" t="str">
        <f>HYPERLINK("http://www.soydeleste.com.ar/")</f>
        <v>http://www.soydeleste.com.ar/</v>
      </c>
      <c r="AR1630" s="76" t="s">
        <v>27249</v>
      </c>
      <c r="AS1630" s="76"/>
      <c r="AT1630" s="76"/>
      <c r="AU1630" s="76"/>
      <c r="AV1630" s="76"/>
      <c r="AW1630" s="82" t="str">
        <f>HYPERLINK("http://t.co/mXQZDajwT9")</f>
        <v>http://t.co/mXQZDajwT9</v>
      </c>
      <c r="AX1630" s="76" t="b">
        <v>0</v>
      </c>
      <c r="AY1630" s="76"/>
      <c r="AZ1630" s="76"/>
      <c r="BA1630" s="76" t="b">
        <v>0</v>
      </c>
      <c r="BB1630" s="76" t="b">
        <v>1</v>
      </c>
      <c r="BC1630" s="76" t="b">
        <v>0</v>
      </c>
      <c r="BD1630" s="76" t="b">
        <v>0</v>
      </c>
      <c r="BE1630" s="76" t="b">
        <v>0</v>
      </c>
      <c r="BF1630" s="76" t="b">
        <v>0</v>
      </c>
      <c r="BG1630" s="76" t="b">
        <v>0</v>
      </c>
      <c r="BH1630" s="82" t="str">
        <f>HYPERLINK("https://pbs.twimg.com/profile_banners/1596451670/1614594907")</f>
        <v>https://pbs.twimg.com/profile_banners/1596451670/1614594907</v>
      </c>
      <c r="BI1630" s="76"/>
      <c r="BJ1630" s="76" t="s">
        <v>27595</v>
      </c>
      <c r="BK1630" s="76" t="b">
        <v>0</v>
      </c>
      <c r="BL1630" s="76"/>
      <c r="BM1630" s="76" t="s">
        <v>66</v>
      </c>
      <c r="BN1630" s="76" t="s">
        <v>27597</v>
      </c>
      <c r="BO1630" s="82" t="str">
        <f>HYPERLINK("https://twitter.com/soydelesteok")</f>
        <v>https://twitter.com/soydelesteok</v>
      </c>
      <c r="BP1630" s="2"/>
    </row>
    <row r="1631" spans="1:68" x14ac:dyDescent="0.25">
      <c r="A1631" s="62" t="s">
        <v>1474</v>
      </c>
      <c r="B1631" s="63"/>
      <c r="C1631" s="63"/>
      <c r="D1631" s="64"/>
      <c r="E1631" s="66"/>
      <c r="F1631" s="103" t="str">
        <f>HYPERLINK("https://pbs.twimg.com/profile_images/1496566473980002305/_WKNZszs_normal.jpg")</f>
        <v>https://pbs.twimg.com/profile_images/1496566473980002305/_WKNZszs_normal.jpg</v>
      </c>
      <c r="G1631" s="63"/>
      <c r="H1631" s="67"/>
      <c r="I1631" s="68"/>
      <c r="J1631" s="68"/>
      <c r="K1631" s="67" t="s">
        <v>29225</v>
      </c>
      <c r="L1631" s="71"/>
      <c r="M1631" s="72"/>
      <c r="N1631" s="72"/>
      <c r="O1631" s="73"/>
      <c r="P1631" s="74"/>
      <c r="Q1631" s="74"/>
      <c r="R1631" s="87"/>
      <c r="S1631" s="87"/>
      <c r="T1631" s="87"/>
      <c r="U1631" s="87"/>
      <c r="V1631" s="48"/>
      <c r="W1631" s="48"/>
      <c r="X1631" s="48"/>
      <c r="Y1631" s="48"/>
      <c r="Z1631" s="47"/>
      <c r="AA1631" s="69">
        <v>1631</v>
      </c>
      <c r="AB1631" s="69"/>
      <c r="AC1631" s="70"/>
      <c r="AD1631" s="76" t="s">
        <v>22842</v>
      </c>
      <c r="AE1631" s="81" t="s">
        <v>21107</v>
      </c>
      <c r="AF1631" s="76">
        <v>1073</v>
      </c>
      <c r="AG1631" s="76">
        <v>1325</v>
      </c>
      <c r="AH1631" s="76">
        <v>1843</v>
      </c>
      <c r="AI1631" s="76">
        <v>3</v>
      </c>
      <c r="AJ1631" s="76">
        <v>169</v>
      </c>
      <c r="AK1631" s="76">
        <v>969</v>
      </c>
      <c r="AL1631" s="76" t="b">
        <v>0</v>
      </c>
      <c r="AM1631" s="78">
        <v>43984.67827546296</v>
      </c>
      <c r="AN1631" s="76"/>
      <c r="AO1631" s="76" t="s">
        <v>26156</v>
      </c>
      <c r="AP1631" s="82" t="str">
        <f>HYPERLINK("https://t.co/JsBHq8IiOH")</f>
        <v>https://t.co/JsBHq8IiOH</v>
      </c>
      <c r="AQ1631" s="82" t="str">
        <f>HYPERLINK("http://postgrados.uautonoma.cl")</f>
        <v>http://postgrados.uautonoma.cl</v>
      </c>
      <c r="AR1631" s="76" t="s">
        <v>27250</v>
      </c>
      <c r="AS1631" s="76"/>
      <c r="AT1631" s="76"/>
      <c r="AU1631" s="76"/>
      <c r="AV1631" s="76"/>
      <c r="AW1631" s="82" t="str">
        <f>HYPERLINK("https://t.co/JsBHq8IiOH")</f>
        <v>https://t.co/JsBHq8IiOH</v>
      </c>
      <c r="AX1631" s="76" t="b">
        <v>0</v>
      </c>
      <c r="AY1631" s="76"/>
      <c r="AZ1631" s="76"/>
      <c r="BA1631" s="76" t="b">
        <v>1</v>
      </c>
      <c r="BB1631" s="76" t="b">
        <v>1</v>
      </c>
      <c r="BC1631" s="76" t="b">
        <v>1</v>
      </c>
      <c r="BD1631" s="76" t="b">
        <v>0</v>
      </c>
      <c r="BE1631" s="76" t="b">
        <v>0</v>
      </c>
      <c r="BF1631" s="76" t="b">
        <v>0</v>
      </c>
      <c r="BG1631" s="76" t="b">
        <v>0</v>
      </c>
      <c r="BH1631" s="82" t="str">
        <f>HYPERLINK("https://pbs.twimg.com/profile_banners/1267851921550913536/1593797396")</f>
        <v>https://pbs.twimg.com/profile_banners/1267851921550913536/1593797396</v>
      </c>
      <c r="BI1631" s="76"/>
      <c r="BJ1631" s="76" t="s">
        <v>27595</v>
      </c>
      <c r="BK1631" s="76" t="b">
        <v>0</v>
      </c>
      <c r="BL1631" s="76"/>
      <c r="BM1631" s="76" t="s">
        <v>66</v>
      </c>
      <c r="BN1631" s="76" t="s">
        <v>27597</v>
      </c>
      <c r="BO1631" s="82" t="str">
        <f>HYPERLINK("https://twitter.com/postgradosua")</f>
        <v>https://twitter.com/postgradosua</v>
      </c>
      <c r="BP1631" s="2"/>
    </row>
    <row r="1632" spans="1:68" x14ac:dyDescent="0.25">
      <c r="A1632" s="62" t="s">
        <v>2044</v>
      </c>
      <c r="B1632" s="63"/>
      <c r="C1632" s="63"/>
      <c r="D1632" s="64"/>
      <c r="E1632" s="66"/>
      <c r="F1632" s="103" t="str">
        <f>HYPERLINK("https://pbs.twimg.com/profile_images/1148245378996813825/5fifZtEj_normal.png")</f>
        <v>https://pbs.twimg.com/profile_images/1148245378996813825/5fifZtEj_normal.png</v>
      </c>
      <c r="G1632" s="63"/>
      <c r="H1632" s="67"/>
      <c r="I1632" s="68"/>
      <c r="J1632" s="68"/>
      <c r="K1632" s="67" t="s">
        <v>29226</v>
      </c>
      <c r="L1632" s="71"/>
      <c r="M1632" s="72"/>
      <c r="N1632" s="72"/>
      <c r="O1632" s="73"/>
      <c r="P1632" s="74"/>
      <c r="Q1632" s="74"/>
      <c r="R1632" s="87"/>
      <c r="S1632" s="87"/>
      <c r="T1632" s="87"/>
      <c r="U1632" s="87"/>
      <c r="V1632" s="48"/>
      <c r="W1632" s="48"/>
      <c r="X1632" s="48"/>
      <c r="Y1632" s="48"/>
      <c r="Z1632" s="47"/>
      <c r="AA1632" s="69">
        <v>1632</v>
      </c>
      <c r="AB1632" s="69"/>
      <c r="AC1632" s="70"/>
      <c r="AD1632" s="76" t="s">
        <v>22843</v>
      </c>
      <c r="AE1632" s="81" t="s">
        <v>23918</v>
      </c>
      <c r="AF1632" s="76">
        <v>3226194</v>
      </c>
      <c r="AG1632" s="76">
        <v>1773</v>
      </c>
      <c r="AH1632" s="76">
        <v>683362</v>
      </c>
      <c r="AI1632" s="76">
        <v>3014</v>
      </c>
      <c r="AJ1632" s="76">
        <v>1768</v>
      </c>
      <c r="AK1632" s="76">
        <v>275982</v>
      </c>
      <c r="AL1632" s="76" t="b">
        <v>0</v>
      </c>
      <c r="AM1632" s="78">
        <v>40012.932986111111</v>
      </c>
      <c r="AN1632" s="76" t="s">
        <v>14386</v>
      </c>
      <c r="AO1632" s="76" t="s">
        <v>26157</v>
      </c>
      <c r="AP1632" s="82" t="str">
        <f>HYPERLINK("https://t.co/Bqs3wIRGzF")</f>
        <v>https://t.co/Bqs3wIRGzF</v>
      </c>
      <c r="AQ1632" s="82" t="str">
        <f>HYPERLINK("http://www.meganoticias.cl")</f>
        <v>http://www.meganoticias.cl</v>
      </c>
      <c r="AR1632" s="76" t="s">
        <v>27251</v>
      </c>
      <c r="AS1632" s="82" t="str">
        <f>HYPERLINK("https://t.co/PTo5rIBCJR")</f>
        <v>https://t.co/PTo5rIBCJR</v>
      </c>
      <c r="AT1632" s="82" t="str">
        <f>HYPERLINK("http://Meganoticias.cl")</f>
        <v>http://Meganoticias.cl</v>
      </c>
      <c r="AU1632" s="76" t="s">
        <v>27568</v>
      </c>
      <c r="AV1632" s="76"/>
      <c r="AW1632" s="82" t="str">
        <f>HYPERLINK("https://t.co/Bqs3wIRGzF")</f>
        <v>https://t.co/Bqs3wIRGzF</v>
      </c>
      <c r="AX1632" s="76" t="b">
        <v>1</v>
      </c>
      <c r="AY1632" s="76"/>
      <c r="AZ1632" s="76"/>
      <c r="BA1632" s="76" t="b">
        <v>1</v>
      </c>
      <c r="BB1632" s="76" t="b">
        <v>1</v>
      </c>
      <c r="BC1632" s="76" t="b">
        <v>0</v>
      </c>
      <c r="BD1632" s="76" t="b">
        <v>0</v>
      </c>
      <c r="BE1632" s="76" t="b">
        <v>1</v>
      </c>
      <c r="BF1632" s="76" t="b">
        <v>0</v>
      </c>
      <c r="BG1632" s="76" t="b">
        <v>0</v>
      </c>
      <c r="BH1632" s="82" t="str">
        <f>HYPERLINK("https://pbs.twimg.com/profile_banners/58048133/1594330482")</f>
        <v>https://pbs.twimg.com/profile_banners/58048133/1594330482</v>
      </c>
      <c r="BI1632" s="76"/>
      <c r="BJ1632" s="76" t="s">
        <v>27596</v>
      </c>
      <c r="BK1632" s="76" t="b">
        <v>0</v>
      </c>
      <c r="BL1632" s="76"/>
      <c r="BM1632" s="76" t="s">
        <v>65</v>
      </c>
      <c r="BN1632" s="76" t="s">
        <v>27597</v>
      </c>
      <c r="BO1632" s="82" t="str">
        <f>HYPERLINK("https://twitter.com/meganoticiascl")</f>
        <v>https://twitter.com/meganoticiascl</v>
      </c>
      <c r="BP1632" s="2"/>
    </row>
    <row r="1633" spans="1:68" x14ac:dyDescent="0.25">
      <c r="A1633" s="62" t="s">
        <v>1475</v>
      </c>
      <c r="B1633" s="63"/>
      <c r="C1633" s="63"/>
      <c r="D1633" s="64"/>
      <c r="E1633" s="66"/>
      <c r="F1633" s="103" t="str">
        <f>HYPERLINK("https://pbs.twimg.com/profile_images/1661542291423608840/csv_Qeh3_normal.jpg")</f>
        <v>https://pbs.twimg.com/profile_images/1661542291423608840/csv_Qeh3_normal.jpg</v>
      </c>
      <c r="G1633" s="63"/>
      <c r="H1633" s="67"/>
      <c r="I1633" s="68"/>
      <c r="J1633" s="68"/>
      <c r="K1633" s="67" t="s">
        <v>29227</v>
      </c>
      <c r="L1633" s="71"/>
      <c r="M1633" s="72"/>
      <c r="N1633" s="72"/>
      <c r="O1633" s="73"/>
      <c r="P1633" s="74"/>
      <c r="Q1633" s="74"/>
      <c r="R1633" s="87"/>
      <c r="S1633" s="87"/>
      <c r="T1633" s="87"/>
      <c r="U1633" s="87"/>
      <c r="V1633" s="48"/>
      <c r="W1633" s="48"/>
      <c r="X1633" s="48"/>
      <c r="Y1633" s="48"/>
      <c r="Z1633" s="47"/>
      <c r="AA1633" s="69">
        <v>1633</v>
      </c>
      <c r="AB1633" s="69"/>
      <c r="AC1633" s="70"/>
      <c r="AD1633" s="76" t="s">
        <v>22844</v>
      </c>
      <c r="AE1633" s="81" t="s">
        <v>21108</v>
      </c>
      <c r="AF1633" s="76">
        <v>14</v>
      </c>
      <c r="AG1633" s="76">
        <v>22</v>
      </c>
      <c r="AH1633" s="76">
        <v>201</v>
      </c>
      <c r="AI1633" s="76">
        <v>0</v>
      </c>
      <c r="AJ1633" s="76">
        <v>18</v>
      </c>
      <c r="AK1633" s="76">
        <v>166</v>
      </c>
      <c r="AL1633" s="76" t="b">
        <v>0</v>
      </c>
      <c r="AM1633" s="78">
        <v>45071.054699074077</v>
      </c>
      <c r="AN1633" s="76"/>
      <c r="AO1633" s="76" t="s">
        <v>26158</v>
      </c>
      <c r="AP1633" s="76"/>
      <c r="AQ1633" s="76"/>
      <c r="AR1633" s="76"/>
      <c r="AS1633" s="76"/>
      <c r="AT1633" s="76"/>
      <c r="AU1633" s="76"/>
      <c r="AV1633" s="76"/>
      <c r="AW1633" s="76"/>
      <c r="AX1633" s="76" t="b">
        <v>0</v>
      </c>
      <c r="AY1633" s="76"/>
      <c r="AZ1633" s="76"/>
      <c r="BA1633" s="76" t="b">
        <v>0</v>
      </c>
      <c r="BB1633" s="76" t="b">
        <v>1</v>
      </c>
      <c r="BC1633" s="76" t="b">
        <v>1</v>
      </c>
      <c r="BD1633" s="76" t="b">
        <v>0</v>
      </c>
      <c r="BE1633" s="76" t="b">
        <v>0</v>
      </c>
      <c r="BF1633" s="76" t="b">
        <v>0</v>
      </c>
      <c r="BG1633" s="76" t="b">
        <v>0</v>
      </c>
      <c r="BH1633" s="82" t="str">
        <f>HYPERLINK("https://pbs.twimg.com/profile_banners/1661542217268305920/1686012356")</f>
        <v>https://pbs.twimg.com/profile_banners/1661542217268305920/1686012356</v>
      </c>
      <c r="BI1633" s="76"/>
      <c r="BJ1633" s="76" t="s">
        <v>27595</v>
      </c>
      <c r="BK1633" s="76" t="b">
        <v>0</v>
      </c>
      <c r="BL1633" s="76"/>
      <c r="BM1633" s="76" t="s">
        <v>66</v>
      </c>
      <c r="BN1633" s="76" t="s">
        <v>27597</v>
      </c>
      <c r="BO1633" s="82" t="str">
        <f>HYPERLINK("https://twitter.com/mecfin")</f>
        <v>https://twitter.com/mecfin</v>
      </c>
      <c r="BP1633" s="2"/>
    </row>
    <row r="1634" spans="1:68" x14ac:dyDescent="0.25">
      <c r="A1634" s="62" t="s">
        <v>1476</v>
      </c>
      <c r="B1634" s="63"/>
      <c r="C1634" s="63"/>
      <c r="D1634" s="64"/>
      <c r="E1634" s="66"/>
      <c r="F1634" s="103" t="str">
        <f>HYPERLINK("https://pbs.twimg.com/profile_images/1567958358774145030/I7Ceq0KD_normal.jpg")</f>
        <v>https://pbs.twimg.com/profile_images/1567958358774145030/I7Ceq0KD_normal.jpg</v>
      </c>
      <c r="G1634" s="63"/>
      <c r="H1634" s="67"/>
      <c r="I1634" s="68"/>
      <c r="J1634" s="68"/>
      <c r="K1634" s="67" t="s">
        <v>29228</v>
      </c>
      <c r="L1634" s="71"/>
      <c r="M1634" s="72"/>
      <c r="N1634" s="72"/>
      <c r="O1634" s="73"/>
      <c r="P1634" s="74"/>
      <c r="Q1634" s="74"/>
      <c r="R1634" s="87"/>
      <c r="S1634" s="87"/>
      <c r="T1634" s="87"/>
      <c r="U1634" s="87"/>
      <c r="V1634" s="48"/>
      <c r="W1634" s="48"/>
      <c r="X1634" s="48"/>
      <c r="Y1634" s="48"/>
      <c r="Z1634" s="47"/>
      <c r="AA1634" s="69">
        <v>1634</v>
      </c>
      <c r="AB1634" s="69"/>
      <c r="AC1634" s="70"/>
      <c r="AD1634" s="76" t="s">
        <v>22845</v>
      </c>
      <c r="AE1634" s="81" t="s">
        <v>21109</v>
      </c>
      <c r="AF1634" s="76">
        <v>218</v>
      </c>
      <c r="AG1634" s="76">
        <v>284</v>
      </c>
      <c r="AH1634" s="76">
        <v>27965</v>
      </c>
      <c r="AI1634" s="76">
        <v>0</v>
      </c>
      <c r="AJ1634" s="76">
        <v>44200</v>
      </c>
      <c r="AK1634" s="76">
        <v>61</v>
      </c>
      <c r="AL1634" s="76" t="b">
        <v>0</v>
      </c>
      <c r="AM1634" s="78">
        <v>44812.70003472222</v>
      </c>
      <c r="AN1634" s="76" t="s">
        <v>14400</v>
      </c>
      <c r="AO1634" s="76" t="s">
        <v>26159</v>
      </c>
      <c r="AP1634" s="76"/>
      <c r="AQ1634" s="76"/>
      <c r="AR1634" s="76"/>
      <c r="AS1634" s="76"/>
      <c r="AT1634" s="76"/>
      <c r="AU1634" s="76"/>
      <c r="AV1634" s="76"/>
      <c r="AW1634" s="76"/>
      <c r="AX1634" s="76" t="b">
        <v>0</v>
      </c>
      <c r="AY1634" s="76"/>
      <c r="AZ1634" s="76"/>
      <c r="BA1634" s="76" t="b">
        <v>0</v>
      </c>
      <c r="BB1634" s="76" t="b">
        <v>1</v>
      </c>
      <c r="BC1634" s="76" t="b">
        <v>1</v>
      </c>
      <c r="BD1634" s="76" t="b">
        <v>0</v>
      </c>
      <c r="BE1634" s="76" t="b">
        <v>1</v>
      </c>
      <c r="BF1634" s="76" t="b">
        <v>0</v>
      </c>
      <c r="BG1634" s="76" t="b">
        <v>0</v>
      </c>
      <c r="BH1634" s="76"/>
      <c r="BI1634" s="76"/>
      <c r="BJ1634" s="76" t="s">
        <v>27595</v>
      </c>
      <c r="BK1634" s="76" t="b">
        <v>0</v>
      </c>
      <c r="BL1634" s="76"/>
      <c r="BM1634" s="76" t="s">
        <v>66</v>
      </c>
      <c r="BN1634" s="76" t="s">
        <v>27597</v>
      </c>
      <c r="BO1634" s="82" t="str">
        <f>HYPERLINK("https://twitter.com/fmsazeytona")</f>
        <v>https://twitter.com/fmsazeytona</v>
      </c>
      <c r="BP1634" s="2"/>
    </row>
    <row r="1635" spans="1:68" x14ac:dyDescent="0.25">
      <c r="A1635" s="62" t="s">
        <v>1477</v>
      </c>
      <c r="B1635" s="63"/>
      <c r="C1635" s="63"/>
      <c r="D1635" s="64"/>
      <c r="E1635" s="66"/>
      <c r="F1635" s="103" t="str">
        <f>HYPERLINK("https://pbs.twimg.com/profile_images/1493807351782068225/BkBR7BKW_normal.jpg")</f>
        <v>https://pbs.twimg.com/profile_images/1493807351782068225/BkBR7BKW_normal.jpg</v>
      </c>
      <c r="G1635" s="63"/>
      <c r="H1635" s="67"/>
      <c r="I1635" s="68"/>
      <c r="J1635" s="68"/>
      <c r="K1635" s="67" t="s">
        <v>29229</v>
      </c>
      <c r="L1635" s="71"/>
      <c r="M1635" s="72"/>
      <c r="N1635" s="72"/>
      <c r="O1635" s="73"/>
      <c r="P1635" s="74"/>
      <c r="Q1635" s="74"/>
      <c r="R1635" s="87"/>
      <c r="S1635" s="87"/>
      <c r="T1635" s="87"/>
      <c r="U1635" s="87"/>
      <c r="V1635" s="48"/>
      <c r="W1635" s="48"/>
      <c r="X1635" s="48"/>
      <c r="Y1635" s="48"/>
      <c r="Z1635" s="47"/>
      <c r="AA1635" s="69">
        <v>1635</v>
      </c>
      <c r="AB1635" s="69"/>
      <c r="AC1635" s="70"/>
      <c r="AD1635" s="76" t="s">
        <v>22846</v>
      </c>
      <c r="AE1635" s="81" t="s">
        <v>23919</v>
      </c>
      <c r="AF1635" s="76">
        <v>1269</v>
      </c>
      <c r="AG1635" s="76">
        <v>1558</v>
      </c>
      <c r="AH1635" s="76">
        <v>41350</v>
      </c>
      <c r="AI1635" s="76">
        <v>187</v>
      </c>
      <c r="AJ1635" s="76">
        <v>698</v>
      </c>
      <c r="AK1635" s="76">
        <v>936</v>
      </c>
      <c r="AL1635" s="76" t="b">
        <v>0</v>
      </c>
      <c r="AM1635" s="78">
        <v>40359.630659722221</v>
      </c>
      <c r="AN1635" s="76" t="s">
        <v>24343</v>
      </c>
      <c r="AO1635" s="76" t="s">
        <v>26160</v>
      </c>
      <c r="AP1635" s="82" t="str">
        <f>HYPERLINK("https://t.co/O9hxJ0hO62")</f>
        <v>https://t.co/O9hxJ0hO62</v>
      </c>
      <c r="AQ1635" s="82" t="str">
        <f>HYPERLINK("https://datogeek.wordpress.com/")</f>
        <v>https://datogeek.wordpress.com/</v>
      </c>
      <c r="AR1635" s="76" t="s">
        <v>27252</v>
      </c>
      <c r="AS1635" s="76"/>
      <c r="AT1635" s="76"/>
      <c r="AU1635" s="76"/>
      <c r="AV1635" s="76">
        <v>1.2121024681858501E+18</v>
      </c>
      <c r="AW1635" s="82" t="str">
        <f>HYPERLINK("https://t.co/O9hxJ0hO62")</f>
        <v>https://t.co/O9hxJ0hO62</v>
      </c>
      <c r="AX1635" s="76" t="b">
        <v>0</v>
      </c>
      <c r="AY1635" s="76"/>
      <c r="AZ1635" s="76"/>
      <c r="BA1635" s="76" t="b">
        <v>0</v>
      </c>
      <c r="BB1635" s="76" t="b">
        <v>0</v>
      </c>
      <c r="BC1635" s="76" t="b">
        <v>0</v>
      </c>
      <c r="BD1635" s="76" t="b">
        <v>0</v>
      </c>
      <c r="BE1635" s="76" t="b">
        <v>0</v>
      </c>
      <c r="BF1635" s="76" t="b">
        <v>0</v>
      </c>
      <c r="BG1635" s="76" t="b">
        <v>0</v>
      </c>
      <c r="BH1635" s="82" t="str">
        <f>HYPERLINK("https://pbs.twimg.com/profile_banners/161321848/1507842469")</f>
        <v>https://pbs.twimg.com/profile_banners/161321848/1507842469</v>
      </c>
      <c r="BI1635" s="76"/>
      <c r="BJ1635" s="76" t="s">
        <v>27596</v>
      </c>
      <c r="BK1635" s="76" t="b">
        <v>0</v>
      </c>
      <c r="BL1635" s="76"/>
      <c r="BM1635" s="76" t="s">
        <v>66</v>
      </c>
      <c r="BN1635" s="76" t="s">
        <v>27597</v>
      </c>
      <c r="BO1635" s="82" t="str">
        <f>HYPERLINK("https://twitter.com/datogeek")</f>
        <v>https://twitter.com/datogeek</v>
      </c>
      <c r="BP1635" s="2"/>
    </row>
    <row r="1636" spans="1:68" x14ac:dyDescent="0.25">
      <c r="A1636" s="62" t="s">
        <v>1478</v>
      </c>
      <c r="B1636" s="63"/>
      <c r="C1636" s="63"/>
      <c r="D1636" s="64"/>
      <c r="E1636" s="66"/>
      <c r="F1636" s="103" t="str">
        <f>HYPERLINK("https://pbs.twimg.com/profile_images/1632860028381134848/ACf9itvg_normal.jpg")</f>
        <v>https://pbs.twimg.com/profile_images/1632860028381134848/ACf9itvg_normal.jpg</v>
      </c>
      <c r="G1636" s="63"/>
      <c r="H1636" s="67"/>
      <c r="I1636" s="68"/>
      <c r="J1636" s="68"/>
      <c r="K1636" s="67" t="s">
        <v>29230</v>
      </c>
      <c r="L1636" s="71"/>
      <c r="M1636" s="72"/>
      <c r="N1636" s="72"/>
      <c r="O1636" s="73"/>
      <c r="P1636" s="74"/>
      <c r="Q1636" s="74"/>
      <c r="R1636" s="87"/>
      <c r="S1636" s="87"/>
      <c r="T1636" s="87"/>
      <c r="U1636" s="87"/>
      <c r="V1636" s="48"/>
      <c r="W1636" s="48"/>
      <c r="X1636" s="48"/>
      <c r="Y1636" s="48"/>
      <c r="Z1636" s="47"/>
      <c r="AA1636" s="69">
        <v>1636</v>
      </c>
      <c r="AB1636" s="69"/>
      <c r="AC1636" s="70"/>
      <c r="AD1636" s="76" t="s">
        <v>22847</v>
      </c>
      <c r="AE1636" s="81" t="s">
        <v>23920</v>
      </c>
      <c r="AF1636" s="76">
        <v>2501</v>
      </c>
      <c r="AG1636" s="76">
        <v>127</v>
      </c>
      <c r="AH1636" s="76">
        <v>12861</v>
      </c>
      <c r="AI1636" s="76">
        <v>14</v>
      </c>
      <c r="AJ1636" s="76">
        <v>3718</v>
      </c>
      <c r="AK1636" s="76">
        <v>6125</v>
      </c>
      <c r="AL1636" s="76" t="b">
        <v>0</v>
      </c>
      <c r="AM1636" s="78">
        <v>41975.596493055556</v>
      </c>
      <c r="AN1636" s="76"/>
      <c r="AO1636" s="76" t="s">
        <v>26161</v>
      </c>
      <c r="AP1636" s="82" t="str">
        <f>HYPERLINK("https://t.co/kjuPLFZpdD")</f>
        <v>https://t.co/kjuPLFZpdD</v>
      </c>
      <c r="AQ1636" s="82" t="str">
        <f>HYPERLINK("https://t.me/MundoCriptok")</f>
        <v>https://t.me/MundoCriptok</v>
      </c>
      <c r="AR1636" s="76" t="s">
        <v>27253</v>
      </c>
      <c r="AS1636" s="82" t="str">
        <f>HYPERLINK("https://t.co/dXuXhjUi21")</f>
        <v>https://t.co/dXuXhjUi21</v>
      </c>
      <c r="AT1636" s="82" t="str">
        <f>HYPERLINK("https://linktr.ee/Mundocriptok")</f>
        <v>https://linktr.ee/Mundocriptok</v>
      </c>
      <c r="AU1636" s="76" t="s">
        <v>27569</v>
      </c>
      <c r="AV1636" s="76">
        <v>1.7073942659391501E+18</v>
      </c>
      <c r="AW1636" s="82" t="str">
        <f>HYPERLINK("https://t.co/kjuPLFZpdD")</f>
        <v>https://t.co/kjuPLFZpdD</v>
      </c>
      <c r="AX1636" s="76" t="b">
        <v>0</v>
      </c>
      <c r="AY1636" s="76"/>
      <c r="AZ1636" s="76"/>
      <c r="BA1636" s="76" t="b">
        <v>1</v>
      </c>
      <c r="BB1636" s="76" t="b">
        <v>1</v>
      </c>
      <c r="BC1636" s="76" t="b">
        <v>0</v>
      </c>
      <c r="BD1636" s="76" t="b">
        <v>0</v>
      </c>
      <c r="BE1636" s="76" t="b">
        <v>1</v>
      </c>
      <c r="BF1636" s="76" t="b">
        <v>0</v>
      </c>
      <c r="BG1636" s="76" t="b">
        <v>0</v>
      </c>
      <c r="BH1636" s="82" t="str">
        <f>HYPERLINK("https://pbs.twimg.com/profile_banners/2902358855/1614380542")</f>
        <v>https://pbs.twimg.com/profile_banners/2902358855/1614380542</v>
      </c>
      <c r="BI1636" s="76"/>
      <c r="BJ1636" s="76" t="s">
        <v>27595</v>
      </c>
      <c r="BK1636" s="76" t="b">
        <v>0</v>
      </c>
      <c r="BL1636" s="76"/>
      <c r="BM1636" s="76" t="s">
        <v>66</v>
      </c>
      <c r="BN1636" s="76" t="s">
        <v>27597</v>
      </c>
      <c r="BO1636" s="82" t="str">
        <f>HYPERLINK("https://twitter.com/mundocriptok")</f>
        <v>https://twitter.com/mundocriptok</v>
      </c>
      <c r="BP1636" s="2"/>
    </row>
    <row r="1637" spans="1:68" x14ac:dyDescent="0.25">
      <c r="A1637" s="62" t="s">
        <v>1479</v>
      </c>
      <c r="B1637" s="63"/>
      <c r="C1637" s="63"/>
      <c r="D1637" s="64"/>
      <c r="E1637" s="66"/>
      <c r="F1637" s="103" t="str">
        <f>HYPERLINK("https://pbs.twimg.com/profile_images/1616102487848534017/qpU74LFH_normal.jpg")</f>
        <v>https://pbs.twimg.com/profile_images/1616102487848534017/qpU74LFH_normal.jpg</v>
      </c>
      <c r="G1637" s="63"/>
      <c r="H1637" s="67"/>
      <c r="I1637" s="68"/>
      <c r="J1637" s="68"/>
      <c r="K1637" s="67" t="s">
        <v>29231</v>
      </c>
      <c r="L1637" s="71"/>
      <c r="M1637" s="72"/>
      <c r="N1637" s="72"/>
      <c r="O1637" s="73"/>
      <c r="P1637" s="74"/>
      <c r="Q1637" s="74"/>
      <c r="R1637" s="87"/>
      <c r="S1637" s="87"/>
      <c r="T1637" s="87"/>
      <c r="U1637" s="87"/>
      <c r="V1637" s="48"/>
      <c r="W1637" s="48"/>
      <c r="X1637" s="48"/>
      <c r="Y1637" s="48"/>
      <c r="Z1637" s="47"/>
      <c r="AA1637" s="69">
        <v>1637</v>
      </c>
      <c r="AB1637" s="69"/>
      <c r="AC1637" s="70"/>
      <c r="AD1637" s="76" t="s">
        <v>22848</v>
      </c>
      <c r="AE1637" s="81" t="s">
        <v>21110</v>
      </c>
      <c r="AF1637" s="76">
        <v>88</v>
      </c>
      <c r="AG1637" s="76">
        <v>93</v>
      </c>
      <c r="AH1637" s="76">
        <v>296</v>
      </c>
      <c r="AI1637" s="76">
        <v>0</v>
      </c>
      <c r="AJ1637" s="76">
        <v>639</v>
      </c>
      <c r="AK1637" s="76">
        <v>109</v>
      </c>
      <c r="AL1637" s="76" t="b">
        <v>0</v>
      </c>
      <c r="AM1637" s="78">
        <v>44945.647199074076</v>
      </c>
      <c r="AN1637" s="76"/>
      <c r="AO1637" s="76"/>
      <c r="AP1637" s="76"/>
      <c r="AQ1637" s="76"/>
      <c r="AR1637" s="76"/>
      <c r="AS1637" s="76"/>
      <c r="AT1637" s="76"/>
      <c r="AU1637" s="76"/>
      <c r="AV1637" s="76"/>
      <c r="AW1637" s="76"/>
      <c r="AX1637" s="76" t="b">
        <v>0</v>
      </c>
      <c r="AY1637" s="76"/>
      <c r="AZ1637" s="76"/>
      <c r="BA1637" s="76" t="b">
        <v>0</v>
      </c>
      <c r="BB1637" s="76" t="b">
        <v>1</v>
      </c>
      <c r="BC1637" s="76" t="b">
        <v>1</v>
      </c>
      <c r="BD1637" s="76" t="b">
        <v>0</v>
      </c>
      <c r="BE1637" s="76" t="b">
        <v>0</v>
      </c>
      <c r="BF1637" s="76" t="b">
        <v>0</v>
      </c>
      <c r="BG1637" s="76" t="b">
        <v>0</v>
      </c>
      <c r="BH1637" s="82" t="str">
        <f>HYPERLINK("https://pbs.twimg.com/profile_banners/1616095606253969409/1674567537")</f>
        <v>https://pbs.twimg.com/profile_banners/1616095606253969409/1674567537</v>
      </c>
      <c r="BI1637" s="76"/>
      <c r="BJ1637" s="76" t="s">
        <v>27595</v>
      </c>
      <c r="BK1637" s="76" t="b">
        <v>0</v>
      </c>
      <c r="BL1637" s="76"/>
      <c r="BM1637" s="76" t="s">
        <v>66</v>
      </c>
      <c r="BN1637" s="76" t="s">
        <v>27597</v>
      </c>
      <c r="BO1637" s="82" t="str">
        <f>HYPERLINK("https://twitter.com/mineromiguelp")</f>
        <v>https://twitter.com/mineromiguelp</v>
      </c>
      <c r="BP1637" s="2"/>
    </row>
    <row r="1638" spans="1:68" x14ac:dyDescent="0.25">
      <c r="A1638" s="62" t="s">
        <v>1480</v>
      </c>
      <c r="B1638" s="63"/>
      <c r="C1638" s="63"/>
      <c r="D1638" s="64"/>
      <c r="E1638" s="66"/>
      <c r="F1638" s="103" t="str">
        <f>HYPERLINK("https://pbs.twimg.com/profile_images/1645159555909681153/HzL38CvX_normal.jpg")</f>
        <v>https://pbs.twimg.com/profile_images/1645159555909681153/HzL38CvX_normal.jpg</v>
      </c>
      <c r="G1638" s="63"/>
      <c r="H1638" s="67"/>
      <c r="I1638" s="68"/>
      <c r="J1638" s="68"/>
      <c r="K1638" s="67" t="s">
        <v>29232</v>
      </c>
      <c r="L1638" s="71"/>
      <c r="M1638" s="72"/>
      <c r="N1638" s="72"/>
      <c r="O1638" s="73"/>
      <c r="P1638" s="74"/>
      <c r="Q1638" s="74"/>
      <c r="R1638" s="87"/>
      <c r="S1638" s="87"/>
      <c r="T1638" s="87"/>
      <c r="U1638" s="87"/>
      <c r="V1638" s="48"/>
      <c r="W1638" s="48"/>
      <c r="X1638" s="48"/>
      <c r="Y1638" s="48"/>
      <c r="Z1638" s="47"/>
      <c r="AA1638" s="69">
        <v>1638</v>
      </c>
      <c r="AB1638" s="69"/>
      <c r="AC1638" s="70"/>
      <c r="AD1638" s="76" t="s">
        <v>22849</v>
      </c>
      <c r="AE1638" s="81" t="s">
        <v>23921</v>
      </c>
      <c r="AF1638" s="76">
        <v>390</v>
      </c>
      <c r="AG1638" s="76">
        <v>257</v>
      </c>
      <c r="AH1638" s="76">
        <v>3108</v>
      </c>
      <c r="AI1638" s="76">
        <v>0</v>
      </c>
      <c r="AJ1638" s="76">
        <v>688</v>
      </c>
      <c r="AK1638" s="76">
        <v>2881</v>
      </c>
      <c r="AL1638" s="76" t="b">
        <v>0</v>
      </c>
      <c r="AM1638" s="78">
        <v>41696.695138888892</v>
      </c>
      <c r="AN1638" s="76" t="s">
        <v>24114</v>
      </c>
      <c r="AO1638" s="76"/>
      <c r="AP1638" s="76"/>
      <c r="AQ1638" s="76"/>
      <c r="AR1638" s="76"/>
      <c r="AS1638" s="76"/>
      <c r="AT1638" s="76"/>
      <c r="AU1638" s="76"/>
      <c r="AV1638" s="76"/>
      <c r="AW1638" s="76"/>
      <c r="AX1638" s="76" t="b">
        <v>0</v>
      </c>
      <c r="AY1638" s="76"/>
      <c r="AZ1638" s="76"/>
      <c r="BA1638" s="76" t="b">
        <v>0</v>
      </c>
      <c r="BB1638" s="76" t="b">
        <v>1</v>
      </c>
      <c r="BC1638" s="76" t="b">
        <v>0</v>
      </c>
      <c r="BD1638" s="76" t="b">
        <v>0</v>
      </c>
      <c r="BE1638" s="76" t="b">
        <v>0</v>
      </c>
      <c r="BF1638" s="76" t="b">
        <v>0</v>
      </c>
      <c r="BG1638" s="76" t="b">
        <v>0</v>
      </c>
      <c r="BH1638" s="82" t="str">
        <f>HYPERLINK("https://pbs.twimg.com/profile_banners/2362932709/1668708745")</f>
        <v>https://pbs.twimg.com/profile_banners/2362932709/1668708745</v>
      </c>
      <c r="BI1638" s="76"/>
      <c r="BJ1638" s="76" t="s">
        <v>27595</v>
      </c>
      <c r="BK1638" s="76" t="b">
        <v>0</v>
      </c>
      <c r="BL1638" s="76"/>
      <c r="BM1638" s="76" t="s">
        <v>66</v>
      </c>
      <c r="BN1638" s="76" t="s">
        <v>27597</v>
      </c>
      <c r="BO1638" s="82" t="str">
        <f>HYPERLINK("https://twitter.com/cristinakroll")</f>
        <v>https://twitter.com/cristinakroll</v>
      </c>
      <c r="BP1638" s="2"/>
    </row>
    <row r="1639" spans="1:68" x14ac:dyDescent="0.25">
      <c r="A1639" s="62" t="s">
        <v>1481</v>
      </c>
      <c r="B1639" s="63"/>
      <c r="C1639" s="63"/>
      <c r="D1639" s="64"/>
      <c r="E1639" s="66"/>
      <c r="F1639" s="103" t="str">
        <f>HYPERLINK("https://pbs.twimg.com/profile_images/1692278071481466880/ausSaKDF_normal.jpg")</f>
        <v>https://pbs.twimg.com/profile_images/1692278071481466880/ausSaKDF_normal.jpg</v>
      </c>
      <c r="G1639" s="63"/>
      <c r="H1639" s="67"/>
      <c r="I1639" s="68"/>
      <c r="J1639" s="68"/>
      <c r="K1639" s="67" t="s">
        <v>29233</v>
      </c>
      <c r="L1639" s="71"/>
      <c r="M1639" s="72"/>
      <c r="N1639" s="72"/>
      <c r="O1639" s="73"/>
      <c r="P1639" s="74"/>
      <c r="Q1639" s="74"/>
      <c r="R1639" s="87"/>
      <c r="S1639" s="87"/>
      <c r="T1639" s="87"/>
      <c r="U1639" s="87"/>
      <c r="V1639" s="48"/>
      <c r="W1639" s="48"/>
      <c r="X1639" s="48"/>
      <c r="Y1639" s="48"/>
      <c r="Z1639" s="47"/>
      <c r="AA1639" s="69">
        <v>1639</v>
      </c>
      <c r="AB1639" s="69"/>
      <c r="AC1639" s="70"/>
      <c r="AD1639" s="76" t="s">
        <v>22850</v>
      </c>
      <c r="AE1639" s="81" t="s">
        <v>21111</v>
      </c>
      <c r="AF1639" s="76">
        <v>951</v>
      </c>
      <c r="AG1639" s="76">
        <v>5001</v>
      </c>
      <c r="AH1639" s="76">
        <v>19479</v>
      </c>
      <c r="AI1639" s="76">
        <v>2</v>
      </c>
      <c r="AJ1639" s="76">
        <v>23224</v>
      </c>
      <c r="AK1639" s="76">
        <v>297</v>
      </c>
      <c r="AL1639" s="76" t="b">
        <v>0</v>
      </c>
      <c r="AM1639" s="78">
        <v>44049.911527777775</v>
      </c>
      <c r="AN1639" s="76" t="s">
        <v>24261</v>
      </c>
      <c r="AO1639" s="76" t="s">
        <v>26162</v>
      </c>
      <c r="AP1639" s="76"/>
      <c r="AQ1639" s="76"/>
      <c r="AR1639" s="76"/>
      <c r="AS1639" s="76"/>
      <c r="AT1639" s="76"/>
      <c r="AU1639" s="76"/>
      <c r="AV1639" s="76">
        <v>1.2928795541182799E+18</v>
      </c>
      <c r="AW1639" s="76"/>
      <c r="AX1639" s="76" t="b">
        <v>0</v>
      </c>
      <c r="AY1639" s="76"/>
      <c r="AZ1639" s="76"/>
      <c r="BA1639" s="76" t="b">
        <v>1</v>
      </c>
      <c r="BB1639" s="76" t="b">
        <v>0</v>
      </c>
      <c r="BC1639" s="76" t="b">
        <v>1</v>
      </c>
      <c r="BD1639" s="76" t="b">
        <v>0</v>
      </c>
      <c r="BE1639" s="76" t="b">
        <v>1</v>
      </c>
      <c r="BF1639" s="76" t="b">
        <v>0</v>
      </c>
      <c r="BG1639" s="76" t="b">
        <v>1</v>
      </c>
      <c r="BH1639" s="82" t="str">
        <f>HYPERLINK("https://pbs.twimg.com/profile_banners/1291492340109017093/1661700081")</f>
        <v>https://pbs.twimg.com/profile_banners/1291492340109017093/1661700081</v>
      </c>
      <c r="BI1639" s="76"/>
      <c r="BJ1639" s="76" t="s">
        <v>27595</v>
      </c>
      <c r="BK1639" s="76" t="b">
        <v>0</v>
      </c>
      <c r="BL1639" s="76"/>
      <c r="BM1639" s="76" t="s">
        <v>66</v>
      </c>
      <c r="BN1639" s="76" t="s">
        <v>27597</v>
      </c>
      <c r="BO1639" s="82" t="str">
        <f>HYPERLINK("https://twitter.com/valdecirbarret4")</f>
        <v>https://twitter.com/valdecirbarret4</v>
      </c>
      <c r="BP1639" s="2"/>
    </row>
    <row r="1640" spans="1:68" x14ac:dyDescent="0.25">
      <c r="A1640" s="62" t="s">
        <v>1482</v>
      </c>
      <c r="B1640" s="63"/>
      <c r="C1640" s="63"/>
      <c r="D1640" s="64"/>
      <c r="E1640" s="66"/>
      <c r="F1640" s="103" t="str">
        <f>HYPERLINK("https://pbs.twimg.com/profile_images/698537052/OgAAAGtFDGDSyAVANVYJfoFSV_t665H_axFnuCGJi4Edxdo_dqwCmSJGaxEclloVNE3n7NAd8mMzpXaAbaI_hc0N44kAm1T1UMZZbrjP99ve6x2lvl4XBAPqvk6T_normal.jpg")</f>
        <v>https://pbs.twimg.com/profile_images/698537052/OgAAAGtFDGDSyAVANVYJfoFSV_t665H_axFnuCGJi4Edxdo_dqwCmSJGaxEclloVNE3n7NAd8mMzpXaAbaI_hc0N44kAm1T1UMZZbrjP99ve6x2lvl4XBAPqvk6T_normal.jpg</v>
      </c>
      <c r="G1640" s="63"/>
      <c r="H1640" s="67"/>
      <c r="I1640" s="68"/>
      <c r="J1640" s="68"/>
      <c r="K1640" s="67" t="s">
        <v>29234</v>
      </c>
      <c r="L1640" s="71"/>
      <c r="M1640" s="72"/>
      <c r="N1640" s="72"/>
      <c r="O1640" s="73"/>
      <c r="P1640" s="74"/>
      <c r="Q1640" s="74"/>
      <c r="R1640" s="87"/>
      <c r="S1640" s="87"/>
      <c r="T1640" s="87"/>
      <c r="U1640" s="87"/>
      <c r="V1640" s="48"/>
      <c r="W1640" s="48"/>
      <c r="X1640" s="48"/>
      <c r="Y1640" s="48"/>
      <c r="Z1640" s="47"/>
      <c r="AA1640" s="69">
        <v>1640</v>
      </c>
      <c r="AB1640" s="69"/>
      <c r="AC1640" s="70"/>
      <c r="AD1640" s="76" t="s">
        <v>22851</v>
      </c>
      <c r="AE1640" s="81" t="s">
        <v>23922</v>
      </c>
      <c r="AF1640" s="76">
        <v>77</v>
      </c>
      <c r="AG1640" s="76">
        <v>122</v>
      </c>
      <c r="AH1640" s="76">
        <v>5805</v>
      </c>
      <c r="AI1640" s="76">
        <v>6</v>
      </c>
      <c r="AJ1640" s="76">
        <v>1685</v>
      </c>
      <c r="AK1640" s="76">
        <v>1142</v>
      </c>
      <c r="AL1640" s="76" t="b">
        <v>0</v>
      </c>
      <c r="AM1640" s="78">
        <v>40225.20175925926</v>
      </c>
      <c r="AN1640" s="76" t="s">
        <v>14400</v>
      </c>
      <c r="AO1640" s="76" t="s">
        <v>26163</v>
      </c>
      <c r="AP1640" s="82" t="str">
        <f>HYPERLINK("https://t.co/ygkymBzGYq")</f>
        <v>https://t.co/ygkymBzGYq</v>
      </c>
      <c r="AQ1640" s="82" t="str">
        <f>HYPERLINK("https://nakatanis.wordpress.com/")</f>
        <v>https://nakatanis.wordpress.com/</v>
      </c>
      <c r="AR1640" s="76" t="s">
        <v>27254</v>
      </c>
      <c r="AS1640" s="76"/>
      <c r="AT1640" s="76"/>
      <c r="AU1640" s="76"/>
      <c r="AV1640" s="76"/>
      <c r="AW1640" s="82" t="str">
        <f>HYPERLINK("https://t.co/ygkymBzGYq")</f>
        <v>https://t.co/ygkymBzGYq</v>
      </c>
      <c r="AX1640" s="76" t="b">
        <v>0</v>
      </c>
      <c r="AY1640" s="76"/>
      <c r="AZ1640" s="76"/>
      <c r="BA1640" s="76" t="b">
        <v>0</v>
      </c>
      <c r="BB1640" s="76" t="b">
        <v>0</v>
      </c>
      <c r="BC1640" s="76" t="b">
        <v>0</v>
      </c>
      <c r="BD1640" s="76" t="b">
        <v>0</v>
      </c>
      <c r="BE1640" s="76" t="b">
        <v>1</v>
      </c>
      <c r="BF1640" s="76" t="b">
        <v>0</v>
      </c>
      <c r="BG1640" s="76" t="b">
        <v>0</v>
      </c>
      <c r="BH1640" s="82" t="str">
        <f>HYPERLINK("https://pbs.twimg.com/profile_banners/114651521/1518484415")</f>
        <v>https://pbs.twimg.com/profile_banners/114651521/1518484415</v>
      </c>
      <c r="BI1640" s="76"/>
      <c r="BJ1640" s="76" t="s">
        <v>27595</v>
      </c>
      <c r="BK1640" s="76" t="b">
        <v>0</v>
      </c>
      <c r="BL1640" s="76"/>
      <c r="BM1640" s="76" t="s">
        <v>66</v>
      </c>
      <c r="BN1640" s="76" t="s">
        <v>27597</v>
      </c>
      <c r="BO1640" s="82" t="str">
        <f>HYPERLINK("https://twitter.com/shnakatani")</f>
        <v>https://twitter.com/shnakatani</v>
      </c>
      <c r="BP1640" s="2"/>
    </row>
    <row r="1641" spans="1:68" x14ac:dyDescent="0.25">
      <c r="A1641" s="62" t="s">
        <v>1483</v>
      </c>
      <c r="B1641" s="63"/>
      <c r="C1641" s="63"/>
      <c r="D1641" s="64"/>
      <c r="E1641" s="66"/>
      <c r="F1641" s="103" t="str">
        <f>HYPERLINK("https://pbs.twimg.com/profile_images/1694557305331720193/hOhb-_yr_normal.jpg")</f>
        <v>https://pbs.twimg.com/profile_images/1694557305331720193/hOhb-_yr_normal.jpg</v>
      </c>
      <c r="G1641" s="63"/>
      <c r="H1641" s="67"/>
      <c r="I1641" s="68"/>
      <c r="J1641" s="68"/>
      <c r="K1641" s="67" t="s">
        <v>29235</v>
      </c>
      <c r="L1641" s="71"/>
      <c r="M1641" s="72"/>
      <c r="N1641" s="72"/>
      <c r="O1641" s="73"/>
      <c r="P1641" s="74"/>
      <c r="Q1641" s="74"/>
      <c r="R1641" s="87"/>
      <c r="S1641" s="87"/>
      <c r="T1641" s="87"/>
      <c r="U1641" s="87"/>
      <c r="V1641" s="48"/>
      <c r="W1641" s="48"/>
      <c r="X1641" s="48"/>
      <c r="Y1641" s="48"/>
      <c r="Z1641" s="47"/>
      <c r="AA1641" s="69">
        <v>1641</v>
      </c>
      <c r="AB1641" s="69"/>
      <c r="AC1641" s="70"/>
      <c r="AD1641" s="76" t="s">
        <v>22852</v>
      </c>
      <c r="AE1641" s="81" t="s">
        <v>21112</v>
      </c>
      <c r="AF1641" s="76">
        <v>3</v>
      </c>
      <c r="AG1641" s="76">
        <v>48</v>
      </c>
      <c r="AH1641" s="76">
        <v>755</v>
      </c>
      <c r="AI1641" s="76">
        <v>0</v>
      </c>
      <c r="AJ1641" s="76">
        <v>314</v>
      </c>
      <c r="AK1641" s="76">
        <v>106</v>
      </c>
      <c r="AL1641" s="76" t="b">
        <v>0</v>
      </c>
      <c r="AM1641" s="78">
        <v>45153.11509259259</v>
      </c>
      <c r="AN1641" s="76"/>
      <c r="AO1641" s="76" t="s">
        <v>26164</v>
      </c>
      <c r="AP1641" s="76"/>
      <c r="AQ1641" s="76"/>
      <c r="AR1641" s="76"/>
      <c r="AS1641" s="76"/>
      <c r="AT1641" s="76"/>
      <c r="AU1641" s="76"/>
      <c r="AV1641" s="76"/>
      <c r="AW1641" s="76"/>
      <c r="AX1641" s="76" t="b">
        <v>0</v>
      </c>
      <c r="AY1641" s="76"/>
      <c r="AZ1641" s="76"/>
      <c r="BA1641" s="76" t="b">
        <v>0</v>
      </c>
      <c r="BB1641" s="76" t="b">
        <v>1</v>
      </c>
      <c r="BC1641" s="76" t="b">
        <v>1</v>
      </c>
      <c r="BD1641" s="76" t="b">
        <v>0</v>
      </c>
      <c r="BE1641" s="76" t="b">
        <v>0</v>
      </c>
      <c r="BF1641" s="76" t="b">
        <v>0</v>
      </c>
      <c r="BG1641" s="76" t="b">
        <v>0</v>
      </c>
      <c r="BH1641" s="82" t="str">
        <f>HYPERLINK("https://pbs.twimg.com/profile_banners/1691279854035935232/1692847808")</f>
        <v>https://pbs.twimg.com/profile_banners/1691279854035935232/1692847808</v>
      </c>
      <c r="BI1641" s="76"/>
      <c r="BJ1641" s="76" t="s">
        <v>27595</v>
      </c>
      <c r="BK1641" s="76" t="b">
        <v>0</v>
      </c>
      <c r="BL1641" s="76"/>
      <c r="BM1641" s="76" t="s">
        <v>66</v>
      </c>
      <c r="BN1641" s="76" t="s">
        <v>27597</v>
      </c>
      <c r="BO1641" s="82" t="str">
        <f>HYPERLINK("https://twitter.com/jurgenoven3800")</f>
        <v>https://twitter.com/jurgenoven3800</v>
      </c>
      <c r="BP1641" s="2"/>
    </row>
    <row r="1642" spans="1:68" x14ac:dyDescent="0.25">
      <c r="A1642" s="62" t="s">
        <v>1484</v>
      </c>
      <c r="B1642" s="63"/>
      <c r="C1642" s="63"/>
      <c r="D1642" s="64"/>
      <c r="E1642" s="66"/>
      <c r="F1642" s="103" t="str">
        <f>HYPERLINK("https://pbs.twimg.com/profile_images/1274508474731368448/4goAl67v_normal.jpg")</f>
        <v>https://pbs.twimg.com/profile_images/1274508474731368448/4goAl67v_normal.jpg</v>
      </c>
      <c r="G1642" s="63"/>
      <c r="H1642" s="67"/>
      <c r="I1642" s="68"/>
      <c r="J1642" s="68"/>
      <c r="K1642" s="67" t="s">
        <v>29236</v>
      </c>
      <c r="L1642" s="71"/>
      <c r="M1642" s="72"/>
      <c r="N1642" s="72"/>
      <c r="O1642" s="73"/>
      <c r="P1642" s="74"/>
      <c r="Q1642" s="74"/>
      <c r="R1642" s="87"/>
      <c r="S1642" s="87"/>
      <c r="T1642" s="87"/>
      <c r="U1642" s="87"/>
      <c r="V1642" s="48"/>
      <c r="W1642" s="48"/>
      <c r="X1642" s="48"/>
      <c r="Y1642" s="48"/>
      <c r="Z1642" s="47"/>
      <c r="AA1642" s="69">
        <v>1642</v>
      </c>
      <c r="AB1642" s="69"/>
      <c r="AC1642" s="70"/>
      <c r="AD1642" s="76" t="s">
        <v>22853</v>
      </c>
      <c r="AE1642" s="81" t="s">
        <v>21113</v>
      </c>
      <c r="AF1642" s="76">
        <v>26</v>
      </c>
      <c r="AG1642" s="76">
        <v>19</v>
      </c>
      <c r="AH1642" s="76">
        <v>2630</v>
      </c>
      <c r="AI1642" s="76">
        <v>2</v>
      </c>
      <c r="AJ1642" s="76">
        <v>3682</v>
      </c>
      <c r="AK1642" s="76">
        <v>73</v>
      </c>
      <c r="AL1642" s="76" t="b">
        <v>0</v>
      </c>
      <c r="AM1642" s="78">
        <v>42493.810613425929</v>
      </c>
      <c r="AN1642" s="76" t="s">
        <v>14382</v>
      </c>
      <c r="AO1642" s="76" t="s">
        <v>26165</v>
      </c>
      <c r="AP1642" s="76"/>
      <c r="AQ1642" s="76"/>
      <c r="AR1642" s="76"/>
      <c r="AS1642" s="76"/>
      <c r="AT1642" s="76"/>
      <c r="AU1642" s="76"/>
      <c r="AV1642" s="76">
        <v>1.4936997035649001E+18</v>
      </c>
      <c r="AW1642" s="76"/>
      <c r="AX1642" s="76" t="b">
        <v>0</v>
      </c>
      <c r="AY1642" s="76"/>
      <c r="AZ1642" s="76"/>
      <c r="BA1642" s="76" t="b">
        <v>0</v>
      </c>
      <c r="BB1642" s="76" t="b">
        <v>0</v>
      </c>
      <c r="BC1642" s="76" t="b">
        <v>1</v>
      </c>
      <c r="BD1642" s="76" t="b">
        <v>0</v>
      </c>
      <c r="BE1642" s="76" t="b">
        <v>1</v>
      </c>
      <c r="BF1642" s="76" t="b">
        <v>0</v>
      </c>
      <c r="BG1642" s="76" t="b">
        <v>0</v>
      </c>
      <c r="BH1642" s="82" t="str">
        <f>HYPERLINK("https://pbs.twimg.com/profile_banners/727580303557066753/1492485635")</f>
        <v>https://pbs.twimg.com/profile_banners/727580303557066753/1492485635</v>
      </c>
      <c r="BI1642" s="76"/>
      <c r="BJ1642" s="76" t="s">
        <v>27595</v>
      </c>
      <c r="BK1642" s="76" t="b">
        <v>0</v>
      </c>
      <c r="BL1642" s="76"/>
      <c r="BM1642" s="76" t="s">
        <v>66</v>
      </c>
      <c r="BN1642" s="76" t="s">
        <v>27597</v>
      </c>
      <c r="BO1642" s="82" t="str">
        <f>HYPERLINK("https://twitter.com/fshockwave")</f>
        <v>https://twitter.com/fshockwave</v>
      </c>
      <c r="BP1642" s="2"/>
    </row>
    <row r="1643" spans="1:68" x14ac:dyDescent="0.25">
      <c r="A1643" s="62" t="s">
        <v>1485</v>
      </c>
      <c r="B1643" s="63"/>
      <c r="C1643" s="63"/>
      <c r="D1643" s="64"/>
      <c r="E1643" s="66"/>
      <c r="F1643" s="103" t="str">
        <f>HYPERLINK("https://pbs.twimg.com/profile_images/1230303605/37271_1496829661933_1269867731_1378026_8140198_n_normal.jpg")</f>
        <v>https://pbs.twimg.com/profile_images/1230303605/37271_1496829661933_1269867731_1378026_8140198_n_normal.jpg</v>
      </c>
      <c r="G1643" s="63"/>
      <c r="H1643" s="67"/>
      <c r="I1643" s="68"/>
      <c r="J1643" s="68"/>
      <c r="K1643" s="67" t="s">
        <v>29237</v>
      </c>
      <c r="L1643" s="71"/>
      <c r="M1643" s="72"/>
      <c r="N1643" s="72"/>
      <c r="O1643" s="73"/>
      <c r="P1643" s="74"/>
      <c r="Q1643" s="74"/>
      <c r="R1643" s="87"/>
      <c r="S1643" s="87"/>
      <c r="T1643" s="87"/>
      <c r="U1643" s="87"/>
      <c r="V1643" s="48"/>
      <c r="W1643" s="48"/>
      <c r="X1643" s="48"/>
      <c r="Y1643" s="48"/>
      <c r="Z1643" s="47"/>
      <c r="AA1643" s="69">
        <v>1643</v>
      </c>
      <c r="AB1643" s="69"/>
      <c r="AC1643" s="70"/>
      <c r="AD1643" s="76" t="s">
        <v>22854</v>
      </c>
      <c r="AE1643" s="81" t="s">
        <v>23923</v>
      </c>
      <c r="AF1643" s="76">
        <v>288</v>
      </c>
      <c r="AG1643" s="76">
        <v>1084</v>
      </c>
      <c r="AH1643" s="76">
        <v>13478</v>
      </c>
      <c r="AI1643" s="76">
        <v>9</v>
      </c>
      <c r="AJ1643" s="76">
        <v>1780</v>
      </c>
      <c r="AK1643" s="76">
        <v>696</v>
      </c>
      <c r="AL1643" s="76" t="b">
        <v>0</v>
      </c>
      <c r="AM1643" s="78">
        <v>39925.490856481483</v>
      </c>
      <c r="AN1643" s="76" t="s">
        <v>14386</v>
      </c>
      <c r="AO1643" s="76" t="s">
        <v>26166</v>
      </c>
      <c r="AP1643" s="76"/>
      <c r="AQ1643" s="76"/>
      <c r="AR1643" s="76"/>
      <c r="AS1643" s="76"/>
      <c r="AT1643" s="76"/>
      <c r="AU1643" s="76"/>
      <c r="AV1643" s="76">
        <v>4.6187229904268E+17</v>
      </c>
      <c r="AW1643" s="76"/>
      <c r="AX1643" s="76" t="b">
        <v>0</v>
      </c>
      <c r="AY1643" s="76"/>
      <c r="AZ1643" s="76"/>
      <c r="BA1643" s="76" t="b">
        <v>1</v>
      </c>
      <c r="BB1643" s="76" t="b">
        <v>1</v>
      </c>
      <c r="BC1643" s="76" t="b">
        <v>0</v>
      </c>
      <c r="BD1643" s="76" t="b">
        <v>0</v>
      </c>
      <c r="BE1643" s="76" t="b">
        <v>0</v>
      </c>
      <c r="BF1643" s="76" t="b">
        <v>0</v>
      </c>
      <c r="BG1643" s="76" t="b">
        <v>0</v>
      </c>
      <c r="BH1643" s="82" t="str">
        <f>HYPERLINK("https://pbs.twimg.com/profile_banners/34248299/1419532795")</f>
        <v>https://pbs.twimg.com/profile_banners/34248299/1419532795</v>
      </c>
      <c r="BI1643" s="76"/>
      <c r="BJ1643" s="76" t="s">
        <v>27595</v>
      </c>
      <c r="BK1643" s="76" t="b">
        <v>0</v>
      </c>
      <c r="BL1643" s="76"/>
      <c r="BM1643" s="76" t="s">
        <v>66</v>
      </c>
      <c r="BN1643" s="76" t="s">
        <v>27597</v>
      </c>
      <c r="BO1643" s="82" t="str">
        <f>HYPERLINK("https://twitter.com/vitorio_21")</f>
        <v>https://twitter.com/vitorio_21</v>
      </c>
      <c r="BP1643" s="2"/>
    </row>
    <row r="1644" spans="1:68" x14ac:dyDescent="0.25">
      <c r="A1644" s="62" t="s">
        <v>2045</v>
      </c>
      <c r="B1644" s="63"/>
      <c r="C1644" s="63"/>
      <c r="D1644" s="64"/>
      <c r="E1644" s="66"/>
      <c r="F1644" s="103" t="str">
        <f>HYPERLINK("https://pbs.twimg.com/profile_images/648534502/schopdog_normal.jpg")</f>
        <v>https://pbs.twimg.com/profile_images/648534502/schopdog_normal.jpg</v>
      </c>
      <c r="G1644" s="63"/>
      <c r="H1644" s="67"/>
      <c r="I1644" s="68"/>
      <c r="J1644" s="68"/>
      <c r="K1644" s="67" t="s">
        <v>29238</v>
      </c>
      <c r="L1644" s="71"/>
      <c r="M1644" s="72"/>
      <c r="N1644" s="72"/>
      <c r="O1644" s="73"/>
      <c r="P1644" s="74"/>
      <c r="Q1644" s="74"/>
      <c r="R1644" s="87"/>
      <c r="S1644" s="87"/>
      <c r="T1644" s="87"/>
      <c r="U1644" s="87"/>
      <c r="V1644" s="48"/>
      <c r="W1644" s="48"/>
      <c r="X1644" s="48"/>
      <c r="Y1644" s="48"/>
      <c r="Z1644" s="47"/>
      <c r="AA1644" s="69">
        <v>1644</v>
      </c>
      <c r="AB1644" s="69"/>
      <c r="AC1644" s="70"/>
      <c r="AD1644" s="76" t="s">
        <v>22855</v>
      </c>
      <c r="AE1644" s="81" t="s">
        <v>23924</v>
      </c>
      <c r="AF1644" s="76">
        <v>85</v>
      </c>
      <c r="AG1644" s="76">
        <v>1</v>
      </c>
      <c r="AH1644" s="76">
        <v>2</v>
      </c>
      <c r="AI1644" s="76">
        <v>0</v>
      </c>
      <c r="AJ1644" s="76">
        <v>0</v>
      </c>
      <c r="AK1644" s="76">
        <v>0</v>
      </c>
      <c r="AL1644" s="76" t="b">
        <v>0</v>
      </c>
      <c r="AM1644" s="78">
        <v>40200.788611111115</v>
      </c>
      <c r="AN1644" s="76" t="s">
        <v>24638</v>
      </c>
      <c r="AO1644" s="76" t="s">
        <v>26167</v>
      </c>
      <c r="AP1644" s="82" t="str">
        <f>HYPERLINK("http://t.co/pbfKyHAHl3")</f>
        <v>http://t.co/pbfKyHAHl3</v>
      </c>
      <c r="AQ1644" s="82" t="str">
        <f>HYPERLINK("http://www.schopdog.cl")</f>
        <v>http://www.schopdog.cl</v>
      </c>
      <c r="AR1644" s="76" t="s">
        <v>27255</v>
      </c>
      <c r="AS1644" s="76"/>
      <c r="AT1644" s="76"/>
      <c r="AU1644" s="76"/>
      <c r="AV1644" s="76"/>
      <c r="AW1644" s="82" t="str">
        <f>HYPERLINK("http://t.co/pbfKyHAHl3")</f>
        <v>http://t.co/pbfKyHAHl3</v>
      </c>
      <c r="AX1644" s="76" t="b">
        <v>0</v>
      </c>
      <c r="AY1644" s="76"/>
      <c r="AZ1644" s="76"/>
      <c r="BA1644" s="76" t="b">
        <v>0</v>
      </c>
      <c r="BB1644" s="76" t="b">
        <v>1</v>
      </c>
      <c r="BC1644" s="76" t="b">
        <v>0</v>
      </c>
      <c r="BD1644" s="76" t="b">
        <v>0</v>
      </c>
      <c r="BE1644" s="76" t="b">
        <v>0</v>
      </c>
      <c r="BF1644" s="76" t="b">
        <v>0</v>
      </c>
      <c r="BG1644" s="76" t="b">
        <v>0</v>
      </c>
      <c r="BH1644" s="76"/>
      <c r="BI1644" s="76"/>
      <c r="BJ1644" s="76" t="s">
        <v>27595</v>
      </c>
      <c r="BK1644" s="76" t="b">
        <v>0</v>
      </c>
      <c r="BL1644" s="76"/>
      <c r="BM1644" s="76" t="s">
        <v>65</v>
      </c>
      <c r="BN1644" s="76" t="s">
        <v>27597</v>
      </c>
      <c r="BO1644" s="82" t="str">
        <f>HYPERLINK("https://twitter.com/schopdog")</f>
        <v>https://twitter.com/schopdog</v>
      </c>
      <c r="BP1644" s="2"/>
    </row>
    <row r="1645" spans="1:68" x14ac:dyDescent="0.25">
      <c r="A1645" s="62" t="s">
        <v>1486</v>
      </c>
      <c r="B1645" s="63"/>
      <c r="C1645" s="63"/>
      <c r="D1645" s="64"/>
      <c r="E1645" s="66"/>
      <c r="F1645" s="103" t="str">
        <f>HYPERLINK("https://pbs.twimg.com/profile_images/1478067634184900610/7X8-FTP8_normal.jpg")</f>
        <v>https://pbs.twimg.com/profile_images/1478067634184900610/7X8-FTP8_normal.jpg</v>
      </c>
      <c r="G1645" s="63"/>
      <c r="H1645" s="67"/>
      <c r="I1645" s="68"/>
      <c r="J1645" s="68"/>
      <c r="K1645" s="67" t="s">
        <v>29239</v>
      </c>
      <c r="L1645" s="71"/>
      <c r="M1645" s="72"/>
      <c r="N1645" s="72"/>
      <c r="O1645" s="73"/>
      <c r="P1645" s="74"/>
      <c r="Q1645" s="74"/>
      <c r="R1645" s="87"/>
      <c r="S1645" s="87"/>
      <c r="T1645" s="87"/>
      <c r="U1645" s="87"/>
      <c r="V1645" s="48"/>
      <c r="W1645" s="48"/>
      <c r="X1645" s="48"/>
      <c r="Y1645" s="48"/>
      <c r="Z1645" s="47"/>
      <c r="AA1645" s="69">
        <v>1645</v>
      </c>
      <c r="AB1645" s="69"/>
      <c r="AC1645" s="70"/>
      <c r="AD1645" s="76" t="s">
        <v>22856</v>
      </c>
      <c r="AE1645" s="81" t="s">
        <v>21114</v>
      </c>
      <c r="AF1645" s="76">
        <v>2730</v>
      </c>
      <c r="AG1645" s="76">
        <v>1347</v>
      </c>
      <c r="AH1645" s="76">
        <v>31877</v>
      </c>
      <c r="AI1645" s="76">
        <v>15</v>
      </c>
      <c r="AJ1645" s="76">
        <v>330</v>
      </c>
      <c r="AK1645" s="76">
        <v>2280</v>
      </c>
      <c r="AL1645" s="76" t="b">
        <v>0</v>
      </c>
      <c r="AM1645" s="78">
        <v>43647.779814814814</v>
      </c>
      <c r="AN1645" s="76" t="s">
        <v>24100</v>
      </c>
      <c r="AO1645" s="76" t="s">
        <v>26168</v>
      </c>
      <c r="AP1645" s="82" t="str">
        <f>HYPERLINK("https://t.co/pKhf7aUPRR")</f>
        <v>https://t.co/pKhf7aUPRR</v>
      </c>
      <c r="AQ1645" s="82" t="str">
        <f>HYPERLINK("http://www.versionrosario.com")</f>
        <v>http://www.versionrosario.com</v>
      </c>
      <c r="AR1645" s="76" t="s">
        <v>27256</v>
      </c>
      <c r="AS1645" s="76"/>
      <c r="AT1645" s="76"/>
      <c r="AU1645" s="76"/>
      <c r="AV1645" s="76"/>
      <c r="AW1645" s="82" t="str">
        <f>HYPERLINK("https://t.co/pKhf7aUPRR")</f>
        <v>https://t.co/pKhf7aUPRR</v>
      </c>
      <c r="AX1645" s="76" t="b">
        <v>0</v>
      </c>
      <c r="AY1645" s="76"/>
      <c r="AZ1645" s="76"/>
      <c r="BA1645" s="76" t="b">
        <v>0</v>
      </c>
      <c r="BB1645" s="76" t="b">
        <v>1</v>
      </c>
      <c r="BC1645" s="76" t="b">
        <v>1</v>
      </c>
      <c r="BD1645" s="76" t="b">
        <v>0</v>
      </c>
      <c r="BE1645" s="76" t="b">
        <v>0</v>
      </c>
      <c r="BF1645" s="76" t="b">
        <v>0</v>
      </c>
      <c r="BG1645" s="76" t="b">
        <v>0</v>
      </c>
      <c r="BH1645" s="82" t="str">
        <f>HYPERLINK("https://pbs.twimg.com/profile_banners/1145764741484355585/1641240197")</f>
        <v>https://pbs.twimg.com/profile_banners/1145764741484355585/1641240197</v>
      </c>
      <c r="BI1645" s="76"/>
      <c r="BJ1645" s="76" t="s">
        <v>27595</v>
      </c>
      <c r="BK1645" s="76" t="b">
        <v>0</v>
      </c>
      <c r="BL1645" s="76"/>
      <c r="BM1645" s="76" t="s">
        <v>66</v>
      </c>
      <c r="BN1645" s="76" t="s">
        <v>27597</v>
      </c>
      <c r="BO1645" s="82" t="str">
        <f>HYPERLINK("https://twitter.com/versionrosario")</f>
        <v>https://twitter.com/versionrosario</v>
      </c>
      <c r="BP1645" s="2"/>
    </row>
    <row r="1646" spans="1:68" x14ac:dyDescent="0.25">
      <c r="A1646" s="62" t="s">
        <v>1487</v>
      </c>
      <c r="B1646" s="63"/>
      <c r="C1646" s="63"/>
      <c r="D1646" s="64"/>
      <c r="E1646" s="66"/>
      <c r="F1646" s="103" t="str">
        <f>HYPERLINK("https://pbs.twimg.com/profile_images/1303374213349363712/Cxg9uhPo_normal.png")</f>
        <v>https://pbs.twimg.com/profile_images/1303374213349363712/Cxg9uhPo_normal.png</v>
      </c>
      <c r="G1646" s="63"/>
      <c r="H1646" s="67"/>
      <c r="I1646" s="68"/>
      <c r="J1646" s="68"/>
      <c r="K1646" s="67" t="s">
        <v>29240</v>
      </c>
      <c r="L1646" s="71"/>
      <c r="M1646" s="72"/>
      <c r="N1646" s="72"/>
      <c r="O1646" s="73"/>
      <c r="P1646" s="74"/>
      <c r="Q1646" s="74"/>
      <c r="R1646" s="87"/>
      <c r="S1646" s="87"/>
      <c r="T1646" s="87"/>
      <c r="U1646" s="87"/>
      <c r="V1646" s="48"/>
      <c r="W1646" s="48"/>
      <c r="X1646" s="48"/>
      <c r="Y1646" s="48"/>
      <c r="Z1646" s="47"/>
      <c r="AA1646" s="69">
        <v>1646</v>
      </c>
      <c r="AB1646" s="69"/>
      <c r="AC1646" s="70"/>
      <c r="AD1646" s="76" t="s">
        <v>22857</v>
      </c>
      <c r="AE1646" s="81" t="s">
        <v>23925</v>
      </c>
      <c r="AF1646" s="76">
        <v>78830</v>
      </c>
      <c r="AG1646" s="76">
        <v>1986</v>
      </c>
      <c r="AH1646" s="76">
        <v>80968</v>
      </c>
      <c r="AI1646" s="76">
        <v>861</v>
      </c>
      <c r="AJ1646" s="76">
        <v>118</v>
      </c>
      <c r="AK1646" s="76">
        <v>2131</v>
      </c>
      <c r="AL1646" s="76" t="b">
        <v>0</v>
      </c>
      <c r="AM1646" s="78">
        <v>40374.87122685185</v>
      </c>
      <c r="AN1646" s="76" t="s">
        <v>24246</v>
      </c>
      <c r="AO1646" s="76" t="s">
        <v>26169</v>
      </c>
      <c r="AP1646" s="82" t="str">
        <f>HYPERLINK("https://t.co/wPrDVpzb7Z")</f>
        <v>https://t.co/wPrDVpzb7Z</v>
      </c>
      <c r="AQ1646" s="82" t="str">
        <f>HYPERLINK("http://www.diarioestrategia.cl")</f>
        <v>http://www.diarioestrategia.cl</v>
      </c>
      <c r="AR1646" s="76" t="s">
        <v>8860</v>
      </c>
      <c r="AS1646" s="82" t="str">
        <f>HYPERLINK("https://t.co/JDWArzfGXF")</f>
        <v>https://t.co/JDWArzfGXF</v>
      </c>
      <c r="AT1646" s="82" t="str">
        <f>HYPERLINK("http://instagram.com/diarioestrateg")</f>
        <v>http://instagram.com/diarioestrateg</v>
      </c>
      <c r="AU1646" s="76" t="s">
        <v>27570</v>
      </c>
      <c r="AV1646" s="76">
        <v>1.6994431640486899E+18</v>
      </c>
      <c r="AW1646" s="82" t="str">
        <f>HYPERLINK("https://t.co/wPrDVpzb7Z")</f>
        <v>https://t.co/wPrDVpzb7Z</v>
      </c>
      <c r="AX1646" s="76" t="b">
        <v>0</v>
      </c>
      <c r="AY1646" s="76"/>
      <c r="AZ1646" s="76"/>
      <c r="BA1646" s="76" t="b">
        <v>0</v>
      </c>
      <c r="BB1646" s="76" t="b">
        <v>1</v>
      </c>
      <c r="BC1646" s="76" t="b">
        <v>0</v>
      </c>
      <c r="BD1646" s="76" t="b">
        <v>0</v>
      </c>
      <c r="BE1646" s="76" t="b">
        <v>1</v>
      </c>
      <c r="BF1646" s="76" t="b">
        <v>0</v>
      </c>
      <c r="BG1646" s="76" t="b">
        <v>0</v>
      </c>
      <c r="BH1646" s="82" t="str">
        <f>HYPERLINK("https://pbs.twimg.com/profile_banners/167132271/1599583603")</f>
        <v>https://pbs.twimg.com/profile_banners/167132271/1599583603</v>
      </c>
      <c r="BI1646" s="76"/>
      <c r="BJ1646" s="76" t="s">
        <v>27596</v>
      </c>
      <c r="BK1646" s="76" t="b">
        <v>0</v>
      </c>
      <c r="BL1646" s="76"/>
      <c r="BM1646" s="76" t="s">
        <v>66</v>
      </c>
      <c r="BN1646" s="76" t="s">
        <v>27597</v>
      </c>
      <c r="BO1646" s="82" t="str">
        <f>HYPERLINK("https://twitter.com/estrategiacl")</f>
        <v>https://twitter.com/estrategiacl</v>
      </c>
      <c r="BP1646" s="2"/>
    </row>
    <row r="1647" spans="1:68" x14ac:dyDescent="0.25">
      <c r="A1647" s="62" t="s">
        <v>1488</v>
      </c>
      <c r="B1647" s="63"/>
      <c r="C1647" s="63"/>
      <c r="D1647" s="64"/>
      <c r="E1647" s="66"/>
      <c r="F1647" s="103" t="str">
        <f>HYPERLINK("https://pbs.twimg.com/profile_images/1675535564127318016/ANQrDgyG_normal.jpg")</f>
        <v>https://pbs.twimg.com/profile_images/1675535564127318016/ANQrDgyG_normal.jpg</v>
      </c>
      <c r="G1647" s="63"/>
      <c r="H1647" s="67"/>
      <c r="I1647" s="68"/>
      <c r="J1647" s="68"/>
      <c r="K1647" s="67" t="s">
        <v>29241</v>
      </c>
      <c r="L1647" s="71"/>
      <c r="M1647" s="72"/>
      <c r="N1647" s="72"/>
      <c r="O1647" s="73"/>
      <c r="P1647" s="74"/>
      <c r="Q1647" s="74"/>
      <c r="R1647" s="87"/>
      <c r="S1647" s="87"/>
      <c r="T1647" s="87"/>
      <c r="U1647" s="87"/>
      <c r="V1647" s="48"/>
      <c r="W1647" s="48"/>
      <c r="X1647" s="48"/>
      <c r="Y1647" s="48"/>
      <c r="Z1647" s="47"/>
      <c r="AA1647" s="69">
        <v>1647</v>
      </c>
      <c r="AB1647" s="69"/>
      <c r="AC1647" s="70"/>
      <c r="AD1647" s="76" t="s">
        <v>22858</v>
      </c>
      <c r="AE1647" s="81" t="s">
        <v>21115</v>
      </c>
      <c r="AF1647" s="76">
        <v>132</v>
      </c>
      <c r="AG1647" s="76">
        <v>167</v>
      </c>
      <c r="AH1647" s="76">
        <v>6292</v>
      </c>
      <c r="AI1647" s="76">
        <v>0</v>
      </c>
      <c r="AJ1647" s="76">
        <v>32</v>
      </c>
      <c r="AK1647" s="76">
        <v>451</v>
      </c>
      <c r="AL1647" s="76" t="b">
        <v>0</v>
      </c>
      <c r="AM1647" s="78">
        <v>43879.729988425926</v>
      </c>
      <c r="AN1647" s="76" t="s">
        <v>24431</v>
      </c>
      <c r="AO1647" s="76" t="s">
        <v>26170</v>
      </c>
      <c r="AP1647" s="82" t="str">
        <f>HYPERLINK("https://t.co/Z4ZpdNXEzF")</f>
        <v>https://t.co/Z4ZpdNXEzF</v>
      </c>
      <c r="AQ1647" s="82" t="str">
        <f>HYPERLINK("https://nox.com.ar/")</f>
        <v>https://nox.com.ar/</v>
      </c>
      <c r="AR1647" s="76" t="s">
        <v>27257</v>
      </c>
      <c r="AS1647" s="76"/>
      <c r="AT1647" s="76"/>
      <c r="AU1647" s="76"/>
      <c r="AV1647" s="76">
        <v>1.58721015955375E+18</v>
      </c>
      <c r="AW1647" s="82" t="str">
        <f>HYPERLINK("https://t.co/Z4ZpdNXEzF")</f>
        <v>https://t.co/Z4ZpdNXEzF</v>
      </c>
      <c r="AX1647" s="76" t="b">
        <v>0</v>
      </c>
      <c r="AY1647" s="76"/>
      <c r="AZ1647" s="76"/>
      <c r="BA1647" s="76" t="b">
        <v>0</v>
      </c>
      <c r="BB1647" s="76" t="b">
        <v>1</v>
      </c>
      <c r="BC1647" s="76" t="b">
        <v>1</v>
      </c>
      <c r="BD1647" s="76" t="b">
        <v>0</v>
      </c>
      <c r="BE1647" s="76" t="b">
        <v>0</v>
      </c>
      <c r="BF1647" s="76" t="b">
        <v>0</v>
      </c>
      <c r="BG1647" s="76" t="b">
        <v>0</v>
      </c>
      <c r="BH1647" s="82" t="str">
        <f>HYPERLINK("https://pbs.twimg.com/profile_banners/1229820623419035655/1614440911")</f>
        <v>https://pbs.twimg.com/profile_banners/1229820623419035655/1614440911</v>
      </c>
      <c r="BI1647" s="76"/>
      <c r="BJ1647" s="76" t="s">
        <v>27595</v>
      </c>
      <c r="BK1647" s="76" t="b">
        <v>0</v>
      </c>
      <c r="BL1647" s="76"/>
      <c r="BM1647" s="76" t="s">
        <v>66</v>
      </c>
      <c r="BN1647" s="76" t="s">
        <v>27597</v>
      </c>
      <c r="BO1647" s="82" t="str">
        <f>HYPERLINK("https://twitter.com/noxnewsok")</f>
        <v>https://twitter.com/noxnewsok</v>
      </c>
      <c r="BP1647" s="2"/>
    </row>
    <row r="1648" spans="1:68" x14ac:dyDescent="0.25">
      <c r="A1648" s="62" t="s">
        <v>1489</v>
      </c>
      <c r="B1648" s="63"/>
      <c r="C1648" s="63"/>
      <c r="D1648" s="64"/>
      <c r="E1648" s="66"/>
      <c r="F1648" s="103" t="str">
        <f>HYPERLINK("https://pbs.twimg.com/profile_images/1252319002644406274/VQKOiJHq_normal.jpg")</f>
        <v>https://pbs.twimg.com/profile_images/1252319002644406274/VQKOiJHq_normal.jpg</v>
      </c>
      <c r="G1648" s="63"/>
      <c r="H1648" s="67"/>
      <c r="I1648" s="68"/>
      <c r="J1648" s="68"/>
      <c r="K1648" s="67" t="s">
        <v>29242</v>
      </c>
      <c r="L1648" s="71"/>
      <c r="M1648" s="72"/>
      <c r="N1648" s="72"/>
      <c r="O1648" s="73"/>
      <c r="P1648" s="74"/>
      <c r="Q1648" s="74"/>
      <c r="R1648" s="87"/>
      <c r="S1648" s="87"/>
      <c r="T1648" s="87"/>
      <c r="U1648" s="87"/>
      <c r="V1648" s="48"/>
      <c r="W1648" s="48"/>
      <c r="X1648" s="48"/>
      <c r="Y1648" s="48"/>
      <c r="Z1648" s="47"/>
      <c r="AA1648" s="69">
        <v>1648</v>
      </c>
      <c r="AB1648" s="69"/>
      <c r="AC1648" s="70"/>
      <c r="AD1648" s="76" t="s">
        <v>22859</v>
      </c>
      <c r="AE1648" s="81" t="s">
        <v>23926</v>
      </c>
      <c r="AF1648" s="76">
        <v>1042</v>
      </c>
      <c r="AG1648" s="76">
        <v>515</v>
      </c>
      <c r="AH1648" s="76">
        <v>126551</v>
      </c>
      <c r="AI1648" s="76">
        <v>13</v>
      </c>
      <c r="AJ1648" s="76">
        <v>75080</v>
      </c>
      <c r="AK1648" s="76">
        <v>2641</v>
      </c>
      <c r="AL1648" s="76" t="b">
        <v>0</v>
      </c>
      <c r="AM1648" s="78">
        <v>40733.915046296293</v>
      </c>
      <c r="AN1648" s="76" t="s">
        <v>24639</v>
      </c>
      <c r="AO1648" s="76" t="s">
        <v>26171</v>
      </c>
      <c r="AP1648" s="82" t="str">
        <f>HYPERLINK("https://t.co/ktvzVVo7lu")</f>
        <v>https://t.co/ktvzVVo7lu</v>
      </c>
      <c r="AQ1648" s="82" t="str">
        <f>HYPERLINK("https://soundcloud.com/arcidesferrao")</f>
        <v>https://soundcloud.com/arcidesferrao</v>
      </c>
      <c r="AR1648" s="76" t="s">
        <v>27258</v>
      </c>
      <c r="AS1648" s="76"/>
      <c r="AT1648" s="76"/>
      <c r="AU1648" s="76"/>
      <c r="AV1648" s="76">
        <v>1.1181027213854799E+18</v>
      </c>
      <c r="AW1648" s="82" t="str">
        <f>HYPERLINK("https://t.co/ktvzVVo7lu")</f>
        <v>https://t.co/ktvzVVo7lu</v>
      </c>
      <c r="AX1648" s="76" t="b">
        <v>0</v>
      </c>
      <c r="AY1648" s="76"/>
      <c r="AZ1648" s="76"/>
      <c r="BA1648" s="76" t="b">
        <v>1</v>
      </c>
      <c r="BB1648" s="76" t="b">
        <v>0</v>
      </c>
      <c r="BC1648" s="76" t="b">
        <v>0</v>
      </c>
      <c r="BD1648" s="76" t="b">
        <v>0</v>
      </c>
      <c r="BE1648" s="76" t="b">
        <v>1</v>
      </c>
      <c r="BF1648" s="76" t="b">
        <v>0</v>
      </c>
      <c r="BG1648" s="76" t="b">
        <v>0</v>
      </c>
      <c r="BH1648" s="82" t="str">
        <f>HYPERLINK("https://pbs.twimg.com/profile_banners/332480335/1593253674")</f>
        <v>https://pbs.twimg.com/profile_banners/332480335/1593253674</v>
      </c>
      <c r="BI1648" s="76"/>
      <c r="BJ1648" s="76" t="s">
        <v>27595</v>
      </c>
      <c r="BK1648" s="76" t="b">
        <v>0</v>
      </c>
      <c r="BL1648" s="76"/>
      <c r="BM1648" s="76" t="s">
        <v>66</v>
      </c>
      <c r="BN1648" s="76" t="s">
        <v>27597</v>
      </c>
      <c r="BO1648" s="82" t="str">
        <f>HYPERLINK("https://twitter.com/arcides_")</f>
        <v>https://twitter.com/arcides_</v>
      </c>
      <c r="BP1648" s="2"/>
    </row>
    <row r="1649" spans="1:68" x14ac:dyDescent="0.25">
      <c r="A1649" s="62" t="s">
        <v>1490</v>
      </c>
      <c r="B1649" s="63"/>
      <c r="C1649" s="63"/>
      <c r="D1649" s="64"/>
      <c r="E1649" s="66"/>
      <c r="F1649" s="103" t="str">
        <f>HYPERLINK("https://pbs.twimg.com/profile_images/1628035098183442433/EbacAGFm_normal.jpg")</f>
        <v>https://pbs.twimg.com/profile_images/1628035098183442433/EbacAGFm_normal.jpg</v>
      </c>
      <c r="G1649" s="63"/>
      <c r="H1649" s="67"/>
      <c r="I1649" s="68"/>
      <c r="J1649" s="68"/>
      <c r="K1649" s="67" t="s">
        <v>29243</v>
      </c>
      <c r="L1649" s="71"/>
      <c r="M1649" s="72"/>
      <c r="N1649" s="72"/>
      <c r="O1649" s="73"/>
      <c r="P1649" s="74"/>
      <c r="Q1649" s="74"/>
      <c r="R1649" s="87"/>
      <c r="S1649" s="87"/>
      <c r="T1649" s="87"/>
      <c r="U1649" s="87"/>
      <c r="V1649" s="48"/>
      <c r="W1649" s="48"/>
      <c r="X1649" s="48"/>
      <c r="Y1649" s="48"/>
      <c r="Z1649" s="47"/>
      <c r="AA1649" s="69">
        <v>1649</v>
      </c>
      <c r="AB1649" s="69"/>
      <c r="AC1649" s="70"/>
      <c r="AD1649" s="76" t="s">
        <v>22860</v>
      </c>
      <c r="AE1649" s="81" t="s">
        <v>21116</v>
      </c>
      <c r="AF1649" s="76">
        <v>187</v>
      </c>
      <c r="AG1649" s="76">
        <v>1425</v>
      </c>
      <c r="AH1649" s="76">
        <v>510</v>
      </c>
      <c r="AI1649" s="76">
        <v>0</v>
      </c>
      <c r="AJ1649" s="76">
        <v>1056</v>
      </c>
      <c r="AK1649" s="76">
        <v>482</v>
      </c>
      <c r="AL1649" s="76" t="b">
        <v>0</v>
      </c>
      <c r="AM1649" s="78">
        <v>44978.586759259262</v>
      </c>
      <c r="AN1649" s="76"/>
      <c r="AO1649" s="76" t="s">
        <v>26172</v>
      </c>
      <c r="AP1649" s="76"/>
      <c r="AQ1649" s="76"/>
      <c r="AR1649" s="76"/>
      <c r="AS1649" s="82" t="str">
        <f>HYPERLINK("https://t.co/Yav1QQMAJs")</f>
        <v>https://t.co/Yav1QQMAJs</v>
      </c>
      <c r="AT1649" s="82" t="str">
        <f>HYPERLINK("http://elvocero.ar")</f>
        <v>http://elvocero.ar</v>
      </c>
      <c r="AU1649" s="76" t="s">
        <v>22860</v>
      </c>
      <c r="AV1649" s="76"/>
      <c r="AW1649" s="76"/>
      <c r="AX1649" s="76" t="b">
        <v>0</v>
      </c>
      <c r="AY1649" s="76"/>
      <c r="AZ1649" s="76"/>
      <c r="BA1649" s="76" t="b">
        <v>0</v>
      </c>
      <c r="BB1649" s="76" t="b">
        <v>1</v>
      </c>
      <c r="BC1649" s="76" t="b">
        <v>1</v>
      </c>
      <c r="BD1649" s="76" t="b">
        <v>0</v>
      </c>
      <c r="BE1649" s="76" t="b">
        <v>0</v>
      </c>
      <c r="BF1649" s="76" t="b">
        <v>0</v>
      </c>
      <c r="BG1649" s="76" t="b">
        <v>0</v>
      </c>
      <c r="BH1649" s="82" t="str">
        <f>HYPERLINK("https://pbs.twimg.com/profile_banners/1628032957297397760/1676990141")</f>
        <v>https://pbs.twimg.com/profile_banners/1628032957297397760/1676990141</v>
      </c>
      <c r="BI1649" s="76"/>
      <c r="BJ1649" s="76" t="s">
        <v>27595</v>
      </c>
      <c r="BK1649" s="76" t="b">
        <v>0</v>
      </c>
      <c r="BL1649" s="76"/>
      <c r="BM1649" s="76" t="s">
        <v>66</v>
      </c>
      <c r="BN1649" s="76" t="s">
        <v>27597</v>
      </c>
      <c r="BO1649" s="82" t="str">
        <f>HYPERLINK("https://twitter.com/elvoceroar")</f>
        <v>https://twitter.com/elvoceroar</v>
      </c>
      <c r="BP1649" s="2"/>
    </row>
    <row r="1650" spans="1:68" x14ac:dyDescent="0.25">
      <c r="A1650" s="62" t="s">
        <v>1491</v>
      </c>
      <c r="B1650" s="63"/>
      <c r="C1650" s="63"/>
      <c r="D1650" s="64"/>
      <c r="E1650" s="66"/>
      <c r="F1650" s="103" t="str">
        <f>HYPERLINK("https://pbs.twimg.com/profile_images/1632316240193626112/cjQVXLrS_normal.jpg")</f>
        <v>https://pbs.twimg.com/profile_images/1632316240193626112/cjQVXLrS_normal.jpg</v>
      </c>
      <c r="G1650" s="63"/>
      <c r="H1650" s="67"/>
      <c r="I1650" s="68"/>
      <c r="J1650" s="68"/>
      <c r="K1650" s="67" t="s">
        <v>29244</v>
      </c>
      <c r="L1650" s="71"/>
      <c r="M1650" s="72"/>
      <c r="N1650" s="72"/>
      <c r="O1650" s="73"/>
      <c r="P1650" s="74"/>
      <c r="Q1650" s="74"/>
      <c r="R1650" s="87"/>
      <c r="S1650" s="87"/>
      <c r="T1650" s="87"/>
      <c r="U1650" s="87"/>
      <c r="V1650" s="48"/>
      <c r="W1650" s="48"/>
      <c r="X1650" s="48"/>
      <c r="Y1650" s="48"/>
      <c r="Z1650" s="47"/>
      <c r="AA1650" s="69">
        <v>1650</v>
      </c>
      <c r="AB1650" s="69"/>
      <c r="AC1650" s="70"/>
      <c r="AD1650" s="76" t="s">
        <v>22861</v>
      </c>
      <c r="AE1650" s="81" t="s">
        <v>23927</v>
      </c>
      <c r="AF1650" s="76">
        <v>3390</v>
      </c>
      <c r="AG1650" s="76">
        <v>869</v>
      </c>
      <c r="AH1650" s="76">
        <v>4527</v>
      </c>
      <c r="AI1650" s="76">
        <v>19</v>
      </c>
      <c r="AJ1650" s="76">
        <v>10823</v>
      </c>
      <c r="AK1650" s="76">
        <v>1819</v>
      </c>
      <c r="AL1650" s="76" t="b">
        <v>0</v>
      </c>
      <c r="AM1650" s="78">
        <v>41283.501898148148</v>
      </c>
      <c r="AN1650" s="76" t="s">
        <v>24640</v>
      </c>
      <c r="AO1650" s="76" t="s">
        <v>26173</v>
      </c>
      <c r="AP1650" s="82" t="str">
        <f>HYPERLINK("https://t.co/lb92LVLxby")</f>
        <v>https://t.co/lb92LVLxby</v>
      </c>
      <c r="AQ1650" s="82" t="str">
        <f>HYPERLINK("http://www.gilvanbueno.com.br")</f>
        <v>http://www.gilvanbueno.com.br</v>
      </c>
      <c r="AR1650" s="76" t="s">
        <v>27259</v>
      </c>
      <c r="AS1650" s="76"/>
      <c r="AT1650" s="76"/>
      <c r="AU1650" s="76"/>
      <c r="AV1650" s="76">
        <v>1.56277232079551E+18</v>
      </c>
      <c r="AW1650" s="82" t="str">
        <f>HYPERLINK("https://t.co/lb92LVLxby")</f>
        <v>https://t.co/lb92LVLxby</v>
      </c>
      <c r="AX1650" s="76" t="b">
        <v>1</v>
      </c>
      <c r="AY1650" s="76"/>
      <c r="AZ1650" s="76"/>
      <c r="BA1650" s="76" t="b">
        <v>0</v>
      </c>
      <c r="BB1650" s="76" t="b">
        <v>1</v>
      </c>
      <c r="BC1650" s="76" t="b">
        <v>1</v>
      </c>
      <c r="BD1650" s="76" t="b">
        <v>0</v>
      </c>
      <c r="BE1650" s="76" t="b">
        <v>1</v>
      </c>
      <c r="BF1650" s="76" t="b">
        <v>0</v>
      </c>
      <c r="BG1650" s="76" t="b">
        <v>0</v>
      </c>
      <c r="BH1650" s="82" t="str">
        <f>HYPERLINK("https://pbs.twimg.com/profile_banners/1073582198/1630667245")</f>
        <v>https://pbs.twimg.com/profile_banners/1073582198/1630667245</v>
      </c>
      <c r="BI1650" s="76"/>
      <c r="BJ1650" s="76" t="s">
        <v>27595</v>
      </c>
      <c r="BK1650" s="76" t="b">
        <v>0</v>
      </c>
      <c r="BL1650" s="76"/>
      <c r="BM1650" s="76" t="s">
        <v>66</v>
      </c>
      <c r="BN1650" s="76" t="s">
        <v>27597</v>
      </c>
      <c r="BO1650" s="82" t="str">
        <f>HYPERLINK("https://twitter.com/buenocosta20")</f>
        <v>https://twitter.com/buenocosta20</v>
      </c>
      <c r="BP1650" s="2"/>
    </row>
    <row r="1651" spans="1:68" x14ac:dyDescent="0.25">
      <c r="A1651" s="62" t="s">
        <v>2046</v>
      </c>
      <c r="B1651" s="63"/>
      <c r="C1651" s="63"/>
      <c r="D1651" s="64"/>
      <c r="E1651" s="66"/>
      <c r="F1651" s="103" t="str">
        <f>HYPERLINK("https://pbs.twimg.com/profile_images/1705682613329891328/5KV4MgqO_normal.jpg")</f>
        <v>https://pbs.twimg.com/profile_images/1705682613329891328/5KV4MgqO_normal.jpg</v>
      </c>
      <c r="G1651" s="63"/>
      <c r="H1651" s="67"/>
      <c r="I1651" s="68"/>
      <c r="J1651" s="68"/>
      <c r="K1651" s="67" t="s">
        <v>29245</v>
      </c>
      <c r="L1651" s="71"/>
      <c r="M1651" s="72"/>
      <c r="N1651" s="72"/>
      <c r="O1651" s="73"/>
      <c r="P1651" s="74"/>
      <c r="Q1651" s="74"/>
      <c r="R1651" s="87"/>
      <c r="S1651" s="87"/>
      <c r="T1651" s="87"/>
      <c r="U1651" s="87"/>
      <c r="V1651" s="48"/>
      <c r="W1651" s="48"/>
      <c r="X1651" s="48"/>
      <c r="Y1651" s="48"/>
      <c r="Z1651" s="47"/>
      <c r="AA1651" s="69">
        <v>1651</v>
      </c>
      <c r="AB1651" s="69"/>
      <c r="AC1651" s="70"/>
      <c r="AD1651" s="76" t="s">
        <v>22862</v>
      </c>
      <c r="AE1651" s="81" t="s">
        <v>23928</v>
      </c>
      <c r="AF1651" s="76">
        <v>6918</v>
      </c>
      <c r="AG1651" s="76">
        <v>2827</v>
      </c>
      <c r="AH1651" s="76">
        <v>103166</v>
      </c>
      <c r="AI1651" s="76">
        <v>6</v>
      </c>
      <c r="AJ1651" s="76">
        <v>395077</v>
      </c>
      <c r="AK1651" s="76">
        <v>5311</v>
      </c>
      <c r="AL1651" s="76" t="b">
        <v>0</v>
      </c>
      <c r="AM1651" s="78">
        <v>41020.653553240743</v>
      </c>
      <c r="AN1651" s="76" t="s">
        <v>24153</v>
      </c>
      <c r="AO1651" s="76" t="s">
        <v>26174</v>
      </c>
      <c r="AP1651" s="76"/>
      <c r="AQ1651" s="76"/>
      <c r="AR1651" s="76"/>
      <c r="AS1651" s="76"/>
      <c r="AT1651" s="76"/>
      <c r="AU1651" s="76"/>
      <c r="AV1651" s="76">
        <v>9.9747755255292698E+17</v>
      </c>
      <c r="AW1651" s="76"/>
      <c r="AX1651" s="76" t="b">
        <v>0</v>
      </c>
      <c r="AY1651" s="76"/>
      <c r="AZ1651" s="76"/>
      <c r="BA1651" s="76" t="b">
        <v>1</v>
      </c>
      <c r="BB1651" s="76" t="b">
        <v>0</v>
      </c>
      <c r="BC1651" s="76" t="b">
        <v>0</v>
      </c>
      <c r="BD1651" s="76" t="b">
        <v>0</v>
      </c>
      <c r="BE1651" s="76" t="b">
        <v>1</v>
      </c>
      <c r="BF1651" s="76" t="b">
        <v>0</v>
      </c>
      <c r="BG1651" s="76" t="b">
        <v>0</v>
      </c>
      <c r="BH1651" s="82" t="str">
        <f>HYPERLINK("https://pbs.twimg.com/profile_banners/559654120/1695409191")</f>
        <v>https://pbs.twimg.com/profile_banners/559654120/1695409191</v>
      </c>
      <c r="BI1651" s="76"/>
      <c r="BJ1651" s="76" t="s">
        <v>27595</v>
      </c>
      <c r="BK1651" s="76" t="b">
        <v>0</v>
      </c>
      <c r="BL1651" s="76"/>
      <c r="BM1651" s="76" t="s">
        <v>65</v>
      </c>
      <c r="BN1651" s="76" t="s">
        <v>27597</v>
      </c>
      <c r="BO1651" s="82" t="str">
        <f>HYPERLINK("https://twitter.com/kattysorayatipn")</f>
        <v>https://twitter.com/kattysorayatipn</v>
      </c>
      <c r="BP1651" s="2"/>
    </row>
    <row r="1652" spans="1:68" x14ac:dyDescent="0.25">
      <c r="A1652" s="62" t="s">
        <v>2047</v>
      </c>
      <c r="B1652" s="63"/>
      <c r="C1652" s="63"/>
      <c r="D1652" s="64"/>
      <c r="E1652" s="66"/>
      <c r="F1652" s="103" t="str">
        <f>HYPERLINK("https://abs.twimg.com/sticky/default_profile_images/default_profile_normal.png")</f>
        <v>https://abs.twimg.com/sticky/default_profile_images/default_profile_normal.png</v>
      </c>
      <c r="G1652" s="63"/>
      <c r="H1652" s="67"/>
      <c r="I1652" s="68"/>
      <c r="J1652" s="68"/>
      <c r="K1652" s="67" t="s">
        <v>29246</v>
      </c>
      <c r="L1652" s="71"/>
      <c r="M1652" s="72"/>
      <c r="N1652" s="72"/>
      <c r="O1652" s="73"/>
      <c r="P1652" s="74"/>
      <c r="Q1652" s="74"/>
      <c r="R1652" s="87"/>
      <c r="S1652" s="87"/>
      <c r="T1652" s="87"/>
      <c r="U1652" s="87"/>
      <c r="V1652" s="48"/>
      <c r="W1652" s="48"/>
      <c r="X1652" s="48"/>
      <c r="Y1652" s="48"/>
      <c r="Z1652" s="47"/>
      <c r="AA1652" s="69">
        <v>1652</v>
      </c>
      <c r="AB1652" s="69"/>
      <c r="AC1652" s="70"/>
      <c r="AD1652" s="76" t="s">
        <v>22863</v>
      </c>
      <c r="AE1652" s="81" t="s">
        <v>23929</v>
      </c>
      <c r="AF1652" s="76">
        <v>1613</v>
      </c>
      <c r="AG1652" s="76">
        <v>4992</v>
      </c>
      <c r="AH1652" s="76">
        <v>10695</v>
      </c>
      <c r="AI1652" s="76">
        <v>0</v>
      </c>
      <c r="AJ1652" s="76">
        <v>2468</v>
      </c>
      <c r="AK1652" s="76">
        <v>215</v>
      </c>
      <c r="AL1652" s="76" t="b">
        <v>0</v>
      </c>
      <c r="AM1652" s="78">
        <v>44740.804166666669</v>
      </c>
      <c r="AN1652" s="76" t="s">
        <v>24641</v>
      </c>
      <c r="AO1652" s="76"/>
      <c r="AP1652" s="76"/>
      <c r="AQ1652" s="76"/>
      <c r="AR1652" s="76"/>
      <c r="AS1652" s="76"/>
      <c r="AT1652" s="76"/>
      <c r="AU1652" s="76"/>
      <c r="AV1652" s="76"/>
      <c r="AW1652" s="76"/>
      <c r="AX1652" s="76" t="b">
        <v>0</v>
      </c>
      <c r="AY1652" s="76"/>
      <c r="AZ1652" s="76"/>
      <c r="BA1652" s="76" t="b">
        <v>0</v>
      </c>
      <c r="BB1652" s="76" t="b">
        <v>1</v>
      </c>
      <c r="BC1652" s="76" t="b">
        <v>1</v>
      </c>
      <c r="BD1652" s="76" t="b">
        <v>1</v>
      </c>
      <c r="BE1652" s="76" t="b">
        <v>0</v>
      </c>
      <c r="BF1652" s="76" t="b">
        <v>0</v>
      </c>
      <c r="BG1652" s="76" t="b">
        <v>0</v>
      </c>
      <c r="BH1652" s="76"/>
      <c r="BI1652" s="76"/>
      <c r="BJ1652" s="76" t="s">
        <v>27595</v>
      </c>
      <c r="BK1652" s="76" t="b">
        <v>0</v>
      </c>
      <c r="BL1652" s="76"/>
      <c r="BM1652" s="76" t="s">
        <v>65</v>
      </c>
      <c r="BN1652" s="76" t="s">
        <v>27597</v>
      </c>
      <c r="BO1652" s="82" t="str">
        <f>HYPERLINK("https://twitter.com/loboestef")</f>
        <v>https://twitter.com/loboestef</v>
      </c>
      <c r="BP1652" s="2"/>
    </row>
    <row r="1653" spans="1:68" x14ac:dyDescent="0.25">
      <c r="A1653" s="62" t="s">
        <v>2048</v>
      </c>
      <c r="B1653" s="63"/>
      <c r="C1653" s="63"/>
      <c r="D1653" s="64"/>
      <c r="E1653" s="66"/>
      <c r="F1653" s="103" t="str">
        <f>HYPERLINK("https://pbs.twimg.com/profile_images/1427082357568425985/Csb5OuNc_normal.jpg")</f>
        <v>https://pbs.twimg.com/profile_images/1427082357568425985/Csb5OuNc_normal.jpg</v>
      </c>
      <c r="G1653" s="63"/>
      <c r="H1653" s="67"/>
      <c r="I1653" s="68"/>
      <c r="J1653" s="68"/>
      <c r="K1653" s="67" t="s">
        <v>29247</v>
      </c>
      <c r="L1653" s="71"/>
      <c r="M1653" s="72"/>
      <c r="N1653" s="72"/>
      <c r="O1653" s="73"/>
      <c r="P1653" s="74"/>
      <c r="Q1653" s="74"/>
      <c r="R1653" s="87"/>
      <c r="S1653" s="87"/>
      <c r="T1653" s="87"/>
      <c r="U1653" s="87"/>
      <c r="V1653" s="48"/>
      <c r="W1653" s="48"/>
      <c r="X1653" s="48"/>
      <c r="Y1653" s="48"/>
      <c r="Z1653" s="47"/>
      <c r="AA1653" s="69">
        <v>1653</v>
      </c>
      <c r="AB1653" s="69"/>
      <c r="AC1653" s="70"/>
      <c r="AD1653" s="76" t="s">
        <v>22864</v>
      </c>
      <c r="AE1653" s="81" t="s">
        <v>23930</v>
      </c>
      <c r="AF1653" s="76">
        <v>4937</v>
      </c>
      <c r="AG1653" s="76">
        <v>5241</v>
      </c>
      <c r="AH1653" s="76">
        <v>22268</v>
      </c>
      <c r="AI1653" s="76">
        <v>1</v>
      </c>
      <c r="AJ1653" s="76">
        <v>79263</v>
      </c>
      <c r="AK1653" s="76">
        <v>17</v>
      </c>
      <c r="AL1653" s="76" t="b">
        <v>0</v>
      </c>
      <c r="AM1653" s="78">
        <v>43787.77615740741</v>
      </c>
      <c r="AN1653" s="76" t="s">
        <v>14389</v>
      </c>
      <c r="AO1653" s="76"/>
      <c r="AP1653" s="76"/>
      <c r="AQ1653" s="76"/>
      <c r="AR1653" s="76"/>
      <c r="AS1653" s="76"/>
      <c r="AT1653" s="76"/>
      <c r="AU1653" s="76"/>
      <c r="AV1653" s="76"/>
      <c r="AW1653" s="76"/>
      <c r="AX1653" s="76" t="b">
        <v>0</v>
      </c>
      <c r="AY1653" s="76"/>
      <c r="AZ1653" s="76"/>
      <c r="BA1653" s="76" t="b">
        <v>1</v>
      </c>
      <c r="BB1653" s="76" t="b">
        <v>1</v>
      </c>
      <c r="BC1653" s="76" t="b">
        <v>1</v>
      </c>
      <c r="BD1653" s="76" t="b">
        <v>0</v>
      </c>
      <c r="BE1653" s="76" t="b">
        <v>1</v>
      </c>
      <c r="BF1653" s="76" t="b">
        <v>0</v>
      </c>
      <c r="BG1653" s="76" t="b">
        <v>0</v>
      </c>
      <c r="BH1653" s="76"/>
      <c r="BI1653" s="76"/>
      <c r="BJ1653" s="76" t="s">
        <v>27595</v>
      </c>
      <c r="BK1653" s="76" t="b">
        <v>0</v>
      </c>
      <c r="BL1653" s="76"/>
      <c r="BM1653" s="76" t="s">
        <v>65</v>
      </c>
      <c r="BN1653" s="76" t="s">
        <v>27597</v>
      </c>
      <c r="BO1653" s="82" t="str">
        <f>HYPERLINK("https://twitter.com/cesarejulian1")</f>
        <v>https://twitter.com/cesarejulian1</v>
      </c>
      <c r="BP1653" s="2"/>
    </row>
    <row r="1654" spans="1:68" x14ac:dyDescent="0.25">
      <c r="A1654" s="62" t="s">
        <v>1493</v>
      </c>
      <c r="B1654" s="63"/>
      <c r="C1654" s="63"/>
      <c r="D1654" s="64"/>
      <c r="E1654" s="66"/>
      <c r="F1654" s="103" t="str">
        <f>HYPERLINK("https://pbs.twimg.com/profile_images/877594991434006528/W2O9uvlb_normal.jpg")</f>
        <v>https://pbs.twimg.com/profile_images/877594991434006528/W2O9uvlb_normal.jpg</v>
      </c>
      <c r="G1654" s="63"/>
      <c r="H1654" s="67"/>
      <c r="I1654" s="68"/>
      <c r="J1654" s="68"/>
      <c r="K1654" s="67" t="s">
        <v>29248</v>
      </c>
      <c r="L1654" s="71"/>
      <c r="M1654" s="72"/>
      <c r="N1654" s="72"/>
      <c r="O1654" s="73"/>
      <c r="P1654" s="74"/>
      <c r="Q1654" s="74"/>
      <c r="R1654" s="87"/>
      <c r="S1654" s="87"/>
      <c r="T1654" s="87"/>
      <c r="U1654" s="87"/>
      <c r="V1654" s="48"/>
      <c r="W1654" s="48"/>
      <c r="X1654" s="48"/>
      <c r="Y1654" s="48"/>
      <c r="Z1654" s="47"/>
      <c r="AA1654" s="69">
        <v>1654</v>
      </c>
      <c r="AB1654" s="69"/>
      <c r="AC1654" s="70"/>
      <c r="AD1654" s="76" t="s">
        <v>22865</v>
      </c>
      <c r="AE1654" s="81" t="s">
        <v>23931</v>
      </c>
      <c r="AF1654" s="76">
        <v>1807</v>
      </c>
      <c r="AG1654" s="76">
        <v>1495</v>
      </c>
      <c r="AH1654" s="76">
        <v>11689</v>
      </c>
      <c r="AI1654" s="76">
        <v>3</v>
      </c>
      <c r="AJ1654" s="76">
        <v>491</v>
      </c>
      <c r="AK1654" s="76">
        <v>5183</v>
      </c>
      <c r="AL1654" s="76" t="b">
        <v>0</v>
      </c>
      <c r="AM1654" s="78">
        <v>42311.929386574076</v>
      </c>
      <c r="AN1654" s="76" t="s">
        <v>14385</v>
      </c>
      <c r="AO1654" s="76" t="s">
        <v>26175</v>
      </c>
      <c r="AP1654" s="82" t="str">
        <f>HYPERLINK("https://t.co/hnXg6SwIPQ")</f>
        <v>https://t.co/hnXg6SwIPQ</v>
      </c>
      <c r="AQ1654" s="82" t="str">
        <f>HYPERLINK("http://www.primerapagina.info/")</f>
        <v>http://www.primerapagina.info/</v>
      </c>
      <c r="AR1654" s="76" t="s">
        <v>8861</v>
      </c>
      <c r="AS1654" s="82" t="str">
        <f>HYPERLINK("https://t.co/aZqp8rcsPH")</f>
        <v>https://t.co/aZqp8rcsPH</v>
      </c>
      <c r="AT1654" s="82" t="str">
        <f>HYPERLINK("https://t.me/primerapaginainfo")</f>
        <v>https://t.me/primerapaginainfo</v>
      </c>
      <c r="AU1654" s="76" t="s">
        <v>27571</v>
      </c>
      <c r="AV1654" s="76"/>
      <c r="AW1654" s="82" t="str">
        <f>HYPERLINK("https://t.co/hnXg6SwIPQ")</f>
        <v>https://t.co/hnXg6SwIPQ</v>
      </c>
      <c r="AX1654" s="76" t="b">
        <v>0</v>
      </c>
      <c r="AY1654" s="76"/>
      <c r="AZ1654" s="76"/>
      <c r="BA1654" s="76" t="b">
        <v>0</v>
      </c>
      <c r="BB1654" s="76" t="b">
        <v>0</v>
      </c>
      <c r="BC1654" s="76" t="b">
        <v>1</v>
      </c>
      <c r="BD1654" s="76" t="b">
        <v>0</v>
      </c>
      <c r="BE1654" s="76" t="b">
        <v>1</v>
      </c>
      <c r="BF1654" s="76" t="b">
        <v>0</v>
      </c>
      <c r="BG1654" s="76" t="b">
        <v>0</v>
      </c>
      <c r="BH1654" s="82" t="str">
        <f>HYPERLINK("https://pbs.twimg.com/profile_banners/4107531579/1467517018")</f>
        <v>https://pbs.twimg.com/profile_banners/4107531579/1467517018</v>
      </c>
      <c r="BI1654" s="76"/>
      <c r="BJ1654" s="76" t="s">
        <v>27595</v>
      </c>
      <c r="BK1654" s="76" t="b">
        <v>0</v>
      </c>
      <c r="BL1654" s="76"/>
      <c r="BM1654" s="76" t="s">
        <v>66</v>
      </c>
      <c r="BN1654" s="76" t="s">
        <v>27597</v>
      </c>
      <c r="BO1654" s="82" t="str">
        <f>HYPERLINK("https://twitter.com/primerapaginaok")</f>
        <v>https://twitter.com/primerapaginaok</v>
      </c>
      <c r="BP1654" s="2"/>
    </row>
    <row r="1655" spans="1:68" x14ac:dyDescent="0.25">
      <c r="A1655" s="62" t="s">
        <v>1494</v>
      </c>
      <c r="B1655" s="63"/>
      <c r="C1655" s="63"/>
      <c r="D1655" s="64"/>
      <c r="E1655" s="66"/>
      <c r="F1655" s="103" t="str">
        <f>HYPERLINK("https://pbs.twimg.com/profile_images/1633686667612626944/TNalpynN_normal.jpg")</f>
        <v>https://pbs.twimg.com/profile_images/1633686667612626944/TNalpynN_normal.jpg</v>
      </c>
      <c r="G1655" s="63"/>
      <c r="H1655" s="67"/>
      <c r="I1655" s="68"/>
      <c r="J1655" s="68"/>
      <c r="K1655" s="67" t="s">
        <v>29249</v>
      </c>
      <c r="L1655" s="71"/>
      <c r="M1655" s="72"/>
      <c r="N1655" s="72"/>
      <c r="O1655" s="73"/>
      <c r="P1655" s="74"/>
      <c r="Q1655" s="74"/>
      <c r="R1655" s="87"/>
      <c r="S1655" s="87"/>
      <c r="T1655" s="87"/>
      <c r="U1655" s="87"/>
      <c r="V1655" s="48"/>
      <c r="W1655" s="48"/>
      <c r="X1655" s="48"/>
      <c r="Y1655" s="48"/>
      <c r="Z1655" s="47"/>
      <c r="AA1655" s="69">
        <v>1655</v>
      </c>
      <c r="AB1655" s="69"/>
      <c r="AC1655" s="70"/>
      <c r="AD1655" s="76" t="s">
        <v>22866</v>
      </c>
      <c r="AE1655" s="81" t="s">
        <v>21118</v>
      </c>
      <c r="AF1655" s="76">
        <v>78720</v>
      </c>
      <c r="AG1655" s="76">
        <v>553</v>
      </c>
      <c r="AH1655" s="76">
        <v>8923</v>
      </c>
      <c r="AI1655" s="76">
        <v>75</v>
      </c>
      <c r="AJ1655" s="76">
        <v>3636</v>
      </c>
      <c r="AK1655" s="76">
        <v>1867</v>
      </c>
      <c r="AL1655" s="76" t="b">
        <v>0</v>
      </c>
      <c r="AM1655" s="78">
        <v>43521.923194444447</v>
      </c>
      <c r="AN1655" s="76" t="s">
        <v>14385</v>
      </c>
      <c r="AO1655" s="76" t="s">
        <v>26176</v>
      </c>
      <c r="AP1655" s="82" t="str">
        <f>HYPERLINK("https://t.co/EAB2oUrf7f")</f>
        <v>https://t.co/EAB2oUrf7f</v>
      </c>
      <c r="AQ1655" s="82" t="str">
        <f>HYPERLINK("http://youtube.com/tipitoenojado")</f>
        <v>http://youtube.com/tipitoenojado</v>
      </c>
      <c r="AR1655" s="76" t="s">
        <v>27260</v>
      </c>
      <c r="AS1655" s="82" t="str">
        <f>HYPERLINK("https://t.co/EAB2oUrf7f")</f>
        <v>https://t.co/EAB2oUrf7f</v>
      </c>
      <c r="AT1655" s="82" t="str">
        <f>HYPERLINK("http://youtube.com/tipitoenojado")</f>
        <v>http://youtube.com/tipitoenojado</v>
      </c>
      <c r="AU1655" s="76" t="s">
        <v>27260</v>
      </c>
      <c r="AV1655" s="76">
        <v>1.69968625348079E+18</v>
      </c>
      <c r="AW1655" s="82" t="str">
        <f>HYPERLINK("https://t.co/EAB2oUrf7f")</f>
        <v>https://t.co/EAB2oUrf7f</v>
      </c>
      <c r="AX1655" s="76" t="b">
        <v>1</v>
      </c>
      <c r="AY1655" s="76"/>
      <c r="AZ1655" s="76"/>
      <c r="BA1655" s="76" t="b">
        <v>1</v>
      </c>
      <c r="BB1655" s="76" t="b">
        <v>1</v>
      </c>
      <c r="BC1655" s="76" t="b">
        <v>0</v>
      </c>
      <c r="BD1655" s="76" t="b">
        <v>0</v>
      </c>
      <c r="BE1655" s="76" t="b">
        <v>1</v>
      </c>
      <c r="BF1655" s="76" t="b">
        <v>0</v>
      </c>
      <c r="BG1655" s="76" t="b">
        <v>0</v>
      </c>
      <c r="BH1655" s="82" t="str">
        <f>HYPERLINK("https://pbs.twimg.com/profile_banners/1100155829020487682/1679449897")</f>
        <v>https://pbs.twimg.com/profile_banners/1100155829020487682/1679449897</v>
      </c>
      <c r="BI1655" s="76"/>
      <c r="BJ1655" s="76" t="s">
        <v>27595</v>
      </c>
      <c r="BK1655" s="76" t="b">
        <v>0</v>
      </c>
      <c r="BL1655" s="76"/>
      <c r="BM1655" s="76" t="s">
        <v>66</v>
      </c>
      <c r="BN1655" s="76" t="s">
        <v>27597</v>
      </c>
      <c r="BO1655" s="82" t="str">
        <f>HYPERLINK("https://twitter.com/tipitoenojado")</f>
        <v>https://twitter.com/tipitoenojado</v>
      </c>
      <c r="BP1655" s="2"/>
    </row>
    <row r="1656" spans="1:68" x14ac:dyDescent="0.25">
      <c r="A1656" s="62" t="s">
        <v>1495</v>
      </c>
      <c r="B1656" s="63"/>
      <c r="C1656" s="63"/>
      <c r="D1656" s="64"/>
      <c r="E1656" s="66"/>
      <c r="F1656" s="103" t="str">
        <f>HYPERLINK("https://pbs.twimg.com/profile_images/1396145253820903426/_VX1GTKG_normal.jpg")</f>
        <v>https://pbs.twimg.com/profile_images/1396145253820903426/_VX1GTKG_normal.jpg</v>
      </c>
      <c r="G1656" s="63"/>
      <c r="H1656" s="67"/>
      <c r="I1656" s="68"/>
      <c r="J1656" s="68"/>
      <c r="K1656" s="67" t="s">
        <v>29250</v>
      </c>
      <c r="L1656" s="71"/>
      <c r="M1656" s="72"/>
      <c r="N1656" s="72"/>
      <c r="O1656" s="73"/>
      <c r="P1656" s="74"/>
      <c r="Q1656" s="74"/>
      <c r="R1656" s="87"/>
      <c r="S1656" s="87"/>
      <c r="T1656" s="87"/>
      <c r="U1656" s="87"/>
      <c r="V1656" s="48"/>
      <c r="W1656" s="48"/>
      <c r="X1656" s="48"/>
      <c r="Y1656" s="48"/>
      <c r="Z1656" s="47"/>
      <c r="AA1656" s="69">
        <v>1656</v>
      </c>
      <c r="AB1656" s="69"/>
      <c r="AC1656" s="70"/>
      <c r="AD1656" s="76" t="s">
        <v>22867</v>
      </c>
      <c r="AE1656" s="81" t="s">
        <v>23932</v>
      </c>
      <c r="AF1656" s="76">
        <v>470</v>
      </c>
      <c r="AG1656" s="76">
        <v>259</v>
      </c>
      <c r="AH1656" s="76">
        <v>6475</v>
      </c>
      <c r="AI1656" s="76">
        <v>5</v>
      </c>
      <c r="AJ1656" s="76">
        <v>941</v>
      </c>
      <c r="AK1656" s="76">
        <v>528</v>
      </c>
      <c r="AL1656" s="76" t="b">
        <v>0</v>
      </c>
      <c r="AM1656" s="78">
        <v>42254.957951388889</v>
      </c>
      <c r="AN1656" s="76" t="s">
        <v>24642</v>
      </c>
      <c r="AO1656" s="76" t="s">
        <v>26177</v>
      </c>
      <c r="AP1656" s="82" t="str">
        <f>HYPERLINK("https://t.co/3X73bAPI5g")</f>
        <v>https://t.co/3X73bAPI5g</v>
      </c>
      <c r="AQ1656" s="82" t="str">
        <f>HYPERLINK("http://www.jornaldaki.com.br")</f>
        <v>http://www.jornaldaki.com.br</v>
      </c>
      <c r="AR1656" s="76" t="s">
        <v>27261</v>
      </c>
      <c r="AS1656" s="76"/>
      <c r="AT1656" s="76"/>
      <c r="AU1656" s="76"/>
      <c r="AV1656" s="76"/>
      <c r="AW1656" s="82" t="str">
        <f>HYPERLINK("https://t.co/3X73bAPI5g")</f>
        <v>https://t.co/3X73bAPI5g</v>
      </c>
      <c r="AX1656" s="76" t="b">
        <v>0</v>
      </c>
      <c r="AY1656" s="76"/>
      <c r="AZ1656" s="76"/>
      <c r="BA1656" s="76" t="b">
        <v>1</v>
      </c>
      <c r="BB1656" s="76" t="b">
        <v>1</v>
      </c>
      <c r="BC1656" s="76" t="b">
        <v>1</v>
      </c>
      <c r="BD1656" s="76" t="b">
        <v>0</v>
      </c>
      <c r="BE1656" s="76" t="b">
        <v>1</v>
      </c>
      <c r="BF1656" s="76" t="b">
        <v>0</v>
      </c>
      <c r="BG1656" s="76" t="b">
        <v>0</v>
      </c>
      <c r="BH1656" s="82" t="str">
        <f>HYPERLINK("https://pbs.twimg.com/profile_banners/3581596336/1621702134")</f>
        <v>https://pbs.twimg.com/profile_banners/3581596336/1621702134</v>
      </c>
      <c r="BI1656" s="76"/>
      <c r="BJ1656" s="76" t="s">
        <v>27595</v>
      </c>
      <c r="BK1656" s="76" t="b">
        <v>0</v>
      </c>
      <c r="BL1656" s="76"/>
      <c r="BM1656" s="76" t="s">
        <v>66</v>
      </c>
      <c r="BN1656" s="76" t="s">
        <v>27597</v>
      </c>
      <c r="BO1656" s="82" t="str">
        <f>HYPERLINK("https://twitter.com/jornaldaki")</f>
        <v>https://twitter.com/jornaldaki</v>
      </c>
      <c r="BP1656" s="2"/>
    </row>
    <row r="1657" spans="1:68" x14ac:dyDescent="0.25">
      <c r="A1657" s="62" t="s">
        <v>1496</v>
      </c>
      <c r="B1657" s="63"/>
      <c r="C1657" s="63"/>
      <c r="D1657" s="64"/>
      <c r="E1657" s="66"/>
      <c r="F1657" s="103" t="str">
        <f>HYPERLINK("https://pbs.twimg.com/profile_images/1557377217155502080/xJBMSd64_normal.png")</f>
        <v>https://pbs.twimg.com/profile_images/1557377217155502080/xJBMSd64_normal.png</v>
      </c>
      <c r="G1657" s="63"/>
      <c r="H1657" s="67"/>
      <c r="I1657" s="68"/>
      <c r="J1657" s="68"/>
      <c r="K1657" s="67" t="s">
        <v>29251</v>
      </c>
      <c r="L1657" s="71"/>
      <c r="M1657" s="72"/>
      <c r="N1657" s="72"/>
      <c r="O1657" s="73"/>
      <c r="P1657" s="74"/>
      <c r="Q1657" s="74"/>
      <c r="R1657" s="87"/>
      <c r="S1657" s="87"/>
      <c r="T1657" s="87"/>
      <c r="U1657" s="87"/>
      <c r="V1657" s="48"/>
      <c r="W1657" s="48"/>
      <c r="X1657" s="48"/>
      <c r="Y1657" s="48"/>
      <c r="Z1657" s="47"/>
      <c r="AA1657" s="69">
        <v>1657</v>
      </c>
      <c r="AB1657" s="69"/>
      <c r="AC1657" s="70"/>
      <c r="AD1657" s="76" t="s">
        <v>22868</v>
      </c>
      <c r="AE1657" s="81" t="s">
        <v>21119</v>
      </c>
      <c r="AF1657" s="76">
        <v>726</v>
      </c>
      <c r="AG1657" s="76">
        <v>383</v>
      </c>
      <c r="AH1657" s="76">
        <v>2140</v>
      </c>
      <c r="AI1657" s="76">
        <v>1</v>
      </c>
      <c r="AJ1657" s="76">
        <v>45</v>
      </c>
      <c r="AK1657" s="76">
        <v>1359</v>
      </c>
      <c r="AL1657" s="76" t="b">
        <v>0</v>
      </c>
      <c r="AM1657" s="78">
        <v>44783.60491898148</v>
      </c>
      <c r="AN1657" s="76" t="s">
        <v>24188</v>
      </c>
      <c r="AO1657" s="76" t="s">
        <v>26178</v>
      </c>
      <c r="AP1657" s="82" t="str">
        <f>HYPERLINK("https://t.co/J0xx1ET7VN")</f>
        <v>https://t.co/J0xx1ET7VN</v>
      </c>
      <c r="AQ1657" s="82" t="str">
        <f>HYPERLINK("https://revistasuroeste.cl/")</f>
        <v>https://revistasuroeste.cl/</v>
      </c>
      <c r="AR1657" s="76" t="s">
        <v>8862</v>
      </c>
      <c r="AS1657" s="76"/>
      <c r="AT1657" s="76"/>
      <c r="AU1657" s="76"/>
      <c r="AV1657" s="76"/>
      <c r="AW1657" s="82" t="str">
        <f>HYPERLINK("https://t.co/J0xx1ET7VN")</f>
        <v>https://t.co/J0xx1ET7VN</v>
      </c>
      <c r="AX1657" s="76" t="b">
        <v>0</v>
      </c>
      <c r="AY1657" s="76"/>
      <c r="AZ1657" s="76"/>
      <c r="BA1657" s="76" t="b">
        <v>0</v>
      </c>
      <c r="BB1657" s="76" t="b">
        <v>1</v>
      </c>
      <c r="BC1657" s="76" t="b">
        <v>1</v>
      </c>
      <c r="BD1657" s="76" t="b">
        <v>0</v>
      </c>
      <c r="BE1657" s="76" t="b">
        <v>1</v>
      </c>
      <c r="BF1657" s="76" t="b">
        <v>0</v>
      </c>
      <c r="BG1657" s="76" t="b">
        <v>0</v>
      </c>
      <c r="BH1657" s="82" t="str">
        <f>HYPERLINK("https://pbs.twimg.com/profile_banners/1557373736323633152/1660231947")</f>
        <v>https://pbs.twimg.com/profile_banners/1557373736323633152/1660231947</v>
      </c>
      <c r="BI1657" s="76"/>
      <c r="BJ1657" s="76" t="s">
        <v>27595</v>
      </c>
      <c r="BK1657" s="76" t="b">
        <v>0</v>
      </c>
      <c r="BL1657" s="76"/>
      <c r="BM1657" s="76" t="s">
        <v>66</v>
      </c>
      <c r="BN1657" s="76" t="s">
        <v>27597</v>
      </c>
      <c r="BO1657" s="82" t="str">
        <f>HYPERLINK("https://twitter.com/rev_suroeste")</f>
        <v>https://twitter.com/rev_suroeste</v>
      </c>
      <c r="BP1657" s="2"/>
    </row>
    <row r="1658" spans="1:68" x14ac:dyDescent="0.25">
      <c r="A1658" s="62" t="s">
        <v>1497</v>
      </c>
      <c r="B1658" s="63"/>
      <c r="C1658" s="63"/>
      <c r="D1658" s="64"/>
      <c r="E1658" s="66"/>
      <c r="F1658" s="103" t="str">
        <f>HYPERLINK("https://pbs.twimg.com/profile_images/1542875257173835776/Z_q6gFTJ_normal.jpg")</f>
        <v>https://pbs.twimg.com/profile_images/1542875257173835776/Z_q6gFTJ_normal.jpg</v>
      </c>
      <c r="G1658" s="63"/>
      <c r="H1658" s="67"/>
      <c r="I1658" s="68"/>
      <c r="J1658" s="68"/>
      <c r="K1658" s="67" t="s">
        <v>29252</v>
      </c>
      <c r="L1658" s="71"/>
      <c r="M1658" s="72"/>
      <c r="N1658" s="72"/>
      <c r="O1658" s="73"/>
      <c r="P1658" s="74"/>
      <c r="Q1658" s="74"/>
      <c r="R1658" s="87"/>
      <c r="S1658" s="87"/>
      <c r="T1658" s="87"/>
      <c r="U1658" s="87"/>
      <c r="V1658" s="48"/>
      <c r="W1658" s="48"/>
      <c r="X1658" s="48"/>
      <c r="Y1658" s="48"/>
      <c r="Z1658" s="47"/>
      <c r="AA1658" s="69">
        <v>1658</v>
      </c>
      <c r="AB1658" s="69"/>
      <c r="AC1658" s="70"/>
      <c r="AD1658" s="76" t="s">
        <v>22869</v>
      </c>
      <c r="AE1658" s="81" t="s">
        <v>23933</v>
      </c>
      <c r="AF1658" s="76">
        <v>11535</v>
      </c>
      <c r="AG1658" s="76">
        <v>1112</v>
      </c>
      <c r="AH1658" s="76">
        <v>61394</v>
      </c>
      <c r="AI1658" s="76">
        <v>41</v>
      </c>
      <c r="AJ1658" s="76">
        <v>1690</v>
      </c>
      <c r="AK1658" s="76">
        <v>20208</v>
      </c>
      <c r="AL1658" s="76" t="b">
        <v>0</v>
      </c>
      <c r="AM1658" s="78">
        <v>41281.762557870374</v>
      </c>
      <c r="AN1658" s="76" t="s">
        <v>14385</v>
      </c>
      <c r="AO1658" s="76" t="s">
        <v>26179</v>
      </c>
      <c r="AP1658" s="82" t="str">
        <f>HYPERLINK("https://t.co/ZoAC3fE9Ql")</f>
        <v>https://t.co/ZoAC3fE9Ql</v>
      </c>
      <c r="AQ1658" s="82" t="str">
        <f>HYPERLINK("http://www.mediosrioja.com.ar")</f>
        <v>http://www.mediosrioja.com.ar</v>
      </c>
      <c r="AR1658" s="76" t="s">
        <v>27262</v>
      </c>
      <c r="AS1658" s="76"/>
      <c r="AT1658" s="76"/>
      <c r="AU1658" s="76"/>
      <c r="AV1658" s="76"/>
      <c r="AW1658" s="82" t="str">
        <f>HYPERLINK("https://t.co/ZoAC3fE9Ql")</f>
        <v>https://t.co/ZoAC3fE9Ql</v>
      </c>
      <c r="AX1658" s="76" t="b">
        <v>0</v>
      </c>
      <c r="AY1658" s="76"/>
      <c r="AZ1658" s="76"/>
      <c r="BA1658" s="76" t="b">
        <v>0</v>
      </c>
      <c r="BB1658" s="76" t="b">
        <v>1</v>
      </c>
      <c r="BC1658" s="76" t="b">
        <v>0</v>
      </c>
      <c r="BD1658" s="76" t="b">
        <v>0</v>
      </c>
      <c r="BE1658" s="76" t="b">
        <v>1</v>
      </c>
      <c r="BF1658" s="76" t="b">
        <v>0</v>
      </c>
      <c r="BG1658" s="76" t="b">
        <v>0</v>
      </c>
      <c r="BH1658" s="82" t="str">
        <f>HYPERLINK("https://pbs.twimg.com/profile_banners/1068940729/1614913575")</f>
        <v>https://pbs.twimg.com/profile_banners/1068940729/1614913575</v>
      </c>
      <c r="BI1658" s="76"/>
      <c r="BJ1658" s="76" t="s">
        <v>27595</v>
      </c>
      <c r="BK1658" s="76" t="b">
        <v>0</v>
      </c>
      <c r="BL1658" s="76"/>
      <c r="BM1658" s="76" t="s">
        <v>66</v>
      </c>
      <c r="BN1658" s="76" t="s">
        <v>27597</v>
      </c>
      <c r="BO1658" s="82" t="str">
        <f>HYPERLINK("https://twitter.com/medios_rioja")</f>
        <v>https://twitter.com/medios_rioja</v>
      </c>
      <c r="BP1658" s="2"/>
    </row>
    <row r="1659" spans="1:68" x14ac:dyDescent="0.25">
      <c r="A1659" s="62" t="s">
        <v>1499</v>
      </c>
      <c r="B1659" s="63"/>
      <c r="C1659" s="63"/>
      <c r="D1659" s="64"/>
      <c r="E1659" s="66"/>
      <c r="F1659" s="103" t="str">
        <f>HYPERLINK("https://pbs.twimg.com/profile_images/1696765298488025089/cF11cmGR_normal.jpg")</f>
        <v>https://pbs.twimg.com/profile_images/1696765298488025089/cF11cmGR_normal.jpg</v>
      </c>
      <c r="G1659" s="63"/>
      <c r="H1659" s="67"/>
      <c r="I1659" s="68"/>
      <c r="J1659" s="68"/>
      <c r="K1659" s="67" t="s">
        <v>29253</v>
      </c>
      <c r="L1659" s="71"/>
      <c r="M1659" s="72"/>
      <c r="N1659" s="72"/>
      <c r="O1659" s="73"/>
      <c r="P1659" s="74"/>
      <c r="Q1659" s="74"/>
      <c r="R1659" s="87"/>
      <c r="S1659" s="87"/>
      <c r="T1659" s="87"/>
      <c r="U1659" s="87"/>
      <c r="V1659" s="48"/>
      <c r="W1659" s="48"/>
      <c r="X1659" s="48"/>
      <c r="Y1659" s="48"/>
      <c r="Z1659" s="47"/>
      <c r="AA1659" s="69">
        <v>1659</v>
      </c>
      <c r="AB1659" s="69"/>
      <c r="AC1659" s="70"/>
      <c r="AD1659" s="76" t="s">
        <v>21885</v>
      </c>
      <c r="AE1659" s="81" t="s">
        <v>23934</v>
      </c>
      <c r="AF1659" s="76">
        <v>778</v>
      </c>
      <c r="AG1659" s="76">
        <v>46</v>
      </c>
      <c r="AH1659" s="76">
        <v>24059</v>
      </c>
      <c r="AI1659" s="76">
        <v>14</v>
      </c>
      <c r="AJ1659" s="76">
        <v>32</v>
      </c>
      <c r="AK1659" s="76">
        <v>9306</v>
      </c>
      <c r="AL1659" s="76" t="b">
        <v>0</v>
      </c>
      <c r="AM1659" s="78">
        <v>39925.770787037036</v>
      </c>
      <c r="AN1659" s="76" t="s">
        <v>14382</v>
      </c>
      <c r="AO1659" s="76" t="s">
        <v>26180</v>
      </c>
      <c r="AP1659" s="82" t="str">
        <f>HYPERLINK("https://t.co/KXivgZxv8J")</f>
        <v>https://t.co/KXivgZxv8J</v>
      </c>
      <c r="AQ1659" s="82" t="str">
        <f>HYPERLINK("https://spagora.com.br")</f>
        <v>https://spagora.com.br</v>
      </c>
      <c r="AR1659" s="76" t="s">
        <v>26719</v>
      </c>
      <c r="AS1659" s="76"/>
      <c r="AT1659" s="76"/>
      <c r="AU1659" s="76"/>
      <c r="AV1659" s="76"/>
      <c r="AW1659" s="82" t="str">
        <f>HYPERLINK("https://t.co/KXivgZxv8J")</f>
        <v>https://t.co/KXivgZxv8J</v>
      </c>
      <c r="AX1659" s="76" t="b">
        <v>0</v>
      </c>
      <c r="AY1659" s="76"/>
      <c r="AZ1659" s="76"/>
      <c r="BA1659" s="76" t="b">
        <v>0</v>
      </c>
      <c r="BB1659" s="76" t="b">
        <v>1</v>
      </c>
      <c r="BC1659" s="76" t="b">
        <v>0</v>
      </c>
      <c r="BD1659" s="76" t="b">
        <v>0</v>
      </c>
      <c r="BE1659" s="76" t="b">
        <v>0</v>
      </c>
      <c r="BF1659" s="76" t="b">
        <v>0</v>
      </c>
      <c r="BG1659" s="76" t="b">
        <v>0</v>
      </c>
      <c r="BH1659" s="82" t="str">
        <f>HYPERLINK("https://pbs.twimg.com/profile_banners/34352933/1677995242")</f>
        <v>https://pbs.twimg.com/profile_banners/34352933/1677995242</v>
      </c>
      <c r="BI1659" s="76"/>
      <c r="BJ1659" s="76" t="s">
        <v>27595</v>
      </c>
      <c r="BK1659" s="76" t="b">
        <v>0</v>
      </c>
      <c r="BL1659" s="76"/>
      <c r="BM1659" s="76" t="s">
        <v>66</v>
      </c>
      <c r="BN1659" s="76" t="s">
        <v>27597</v>
      </c>
      <c r="BO1659" s="82" t="str">
        <f>HYPERLINK("https://twitter.com/spagoraoficial")</f>
        <v>https://twitter.com/spagoraoficial</v>
      </c>
      <c r="BP1659" s="2"/>
    </row>
    <row r="1660" spans="1:68" x14ac:dyDescent="0.25">
      <c r="A1660" s="62" t="s">
        <v>1500</v>
      </c>
      <c r="B1660" s="63"/>
      <c r="C1660" s="63"/>
      <c r="D1660" s="64"/>
      <c r="E1660" s="66"/>
      <c r="F1660" s="103" t="str">
        <f>HYPERLINK("https://pbs.twimg.com/profile_images/1509489752428453902/-4yG9NHY_normal.jpg")</f>
        <v>https://pbs.twimg.com/profile_images/1509489752428453902/-4yG9NHY_normal.jpg</v>
      </c>
      <c r="G1660" s="63"/>
      <c r="H1660" s="67"/>
      <c r="I1660" s="68"/>
      <c r="J1660" s="68"/>
      <c r="K1660" s="67" t="s">
        <v>29254</v>
      </c>
      <c r="L1660" s="71"/>
      <c r="M1660" s="72"/>
      <c r="N1660" s="72"/>
      <c r="O1660" s="73"/>
      <c r="P1660" s="74"/>
      <c r="Q1660" s="74"/>
      <c r="R1660" s="87"/>
      <c r="S1660" s="87"/>
      <c r="T1660" s="87"/>
      <c r="U1660" s="87"/>
      <c r="V1660" s="48"/>
      <c r="W1660" s="48"/>
      <c r="X1660" s="48"/>
      <c r="Y1660" s="48"/>
      <c r="Z1660" s="47"/>
      <c r="AA1660" s="69">
        <v>1660</v>
      </c>
      <c r="AB1660" s="69"/>
      <c r="AC1660" s="70"/>
      <c r="AD1660" s="76" t="s">
        <v>22870</v>
      </c>
      <c r="AE1660" s="81" t="s">
        <v>21121</v>
      </c>
      <c r="AF1660" s="76">
        <v>24</v>
      </c>
      <c r="AG1660" s="76">
        <v>127</v>
      </c>
      <c r="AH1660" s="76">
        <v>1645</v>
      </c>
      <c r="AI1660" s="76">
        <v>0</v>
      </c>
      <c r="AJ1660" s="76">
        <v>3076</v>
      </c>
      <c r="AK1660" s="76">
        <v>56</v>
      </c>
      <c r="AL1660" s="76" t="b">
        <v>0</v>
      </c>
      <c r="AM1660" s="78">
        <v>44651.467962962961</v>
      </c>
      <c r="AN1660" s="76"/>
      <c r="AO1660" s="76" t="s">
        <v>26181</v>
      </c>
      <c r="AP1660" s="76"/>
      <c r="AQ1660" s="76"/>
      <c r="AR1660" s="76"/>
      <c r="AS1660" s="76"/>
      <c r="AT1660" s="76"/>
      <c r="AU1660" s="76"/>
      <c r="AV1660" s="76"/>
      <c r="AW1660" s="76"/>
      <c r="AX1660" s="76" t="b">
        <v>0</v>
      </c>
      <c r="AY1660" s="76"/>
      <c r="AZ1660" s="76"/>
      <c r="BA1660" s="76" t="b">
        <v>1</v>
      </c>
      <c r="BB1660" s="76" t="b">
        <v>0</v>
      </c>
      <c r="BC1660" s="76" t="b">
        <v>1</v>
      </c>
      <c r="BD1660" s="76" t="b">
        <v>0</v>
      </c>
      <c r="BE1660" s="76" t="b">
        <v>1</v>
      </c>
      <c r="BF1660" s="76" t="b">
        <v>0</v>
      </c>
      <c r="BG1660" s="76" t="b">
        <v>0</v>
      </c>
      <c r="BH1660" s="82" t="str">
        <f>HYPERLINK("https://pbs.twimg.com/profile_banners/1509489081935355914/1649370780")</f>
        <v>https://pbs.twimg.com/profile_banners/1509489081935355914/1649370780</v>
      </c>
      <c r="BI1660" s="76"/>
      <c r="BJ1660" s="76" t="s">
        <v>27595</v>
      </c>
      <c r="BK1660" s="76" t="b">
        <v>0</v>
      </c>
      <c r="BL1660" s="76"/>
      <c r="BM1660" s="76" t="s">
        <v>66</v>
      </c>
      <c r="BN1660" s="76" t="s">
        <v>27597</v>
      </c>
      <c r="BO1660" s="82" t="str">
        <f>HYPERLINK("https://twitter.com/rembrandt_sa")</f>
        <v>https://twitter.com/rembrandt_sa</v>
      </c>
      <c r="BP1660" s="2"/>
    </row>
    <row r="1661" spans="1:68" x14ac:dyDescent="0.25">
      <c r="A1661" s="62" t="s">
        <v>1501</v>
      </c>
      <c r="B1661" s="63"/>
      <c r="C1661" s="63"/>
      <c r="D1661" s="64"/>
      <c r="E1661" s="66"/>
      <c r="F1661" s="103" t="str">
        <f>HYPERLINK("https://pbs.twimg.com/profile_images/1647991223049650176/GDV56SeE_normal.jpg")</f>
        <v>https://pbs.twimg.com/profile_images/1647991223049650176/GDV56SeE_normal.jpg</v>
      </c>
      <c r="G1661" s="63"/>
      <c r="H1661" s="67"/>
      <c r="I1661" s="68"/>
      <c r="J1661" s="68"/>
      <c r="K1661" s="67" t="s">
        <v>29255</v>
      </c>
      <c r="L1661" s="71"/>
      <c r="M1661" s="72"/>
      <c r="N1661" s="72"/>
      <c r="O1661" s="73"/>
      <c r="P1661" s="74"/>
      <c r="Q1661" s="74"/>
      <c r="R1661" s="87"/>
      <c r="S1661" s="87"/>
      <c r="T1661" s="87"/>
      <c r="U1661" s="87"/>
      <c r="V1661" s="48"/>
      <c r="W1661" s="48"/>
      <c r="X1661" s="48"/>
      <c r="Y1661" s="48"/>
      <c r="Z1661" s="47"/>
      <c r="AA1661" s="69">
        <v>1661</v>
      </c>
      <c r="AB1661" s="69"/>
      <c r="AC1661" s="70"/>
      <c r="AD1661" s="76" t="s">
        <v>22871</v>
      </c>
      <c r="AE1661" s="81" t="s">
        <v>20363</v>
      </c>
      <c r="AF1661" s="76">
        <v>1009</v>
      </c>
      <c r="AG1661" s="76">
        <v>1087</v>
      </c>
      <c r="AH1661" s="76">
        <v>8834</v>
      </c>
      <c r="AI1661" s="76">
        <v>11</v>
      </c>
      <c r="AJ1661" s="76">
        <v>19340</v>
      </c>
      <c r="AK1661" s="76">
        <v>531</v>
      </c>
      <c r="AL1661" s="76" t="b">
        <v>0</v>
      </c>
      <c r="AM1661" s="78">
        <v>41464.09888888889</v>
      </c>
      <c r="AN1661" s="76" t="s">
        <v>24643</v>
      </c>
      <c r="AO1661" s="76" t="s">
        <v>26182</v>
      </c>
      <c r="AP1661" s="82" t="str">
        <f>HYPERLINK("https://t.co/tsJFoyD8Vl")</f>
        <v>https://t.co/tsJFoyD8Vl</v>
      </c>
      <c r="AQ1661" s="82" t="str">
        <f>HYPERLINK("https://www.instagram.com/fotografoaugust/")</f>
        <v>https://www.instagram.com/fotografoaugust/</v>
      </c>
      <c r="AR1661" s="76" t="s">
        <v>27263</v>
      </c>
      <c r="AS1661" s="76"/>
      <c r="AT1661" s="76"/>
      <c r="AU1661" s="76"/>
      <c r="AV1661" s="76">
        <v>1.69081142628415E+18</v>
      </c>
      <c r="AW1661" s="82" t="str">
        <f>HYPERLINK("https://t.co/tsJFoyD8Vl")</f>
        <v>https://t.co/tsJFoyD8Vl</v>
      </c>
      <c r="AX1661" s="76" t="b">
        <v>0</v>
      </c>
      <c r="AY1661" s="76"/>
      <c r="AZ1661" s="76"/>
      <c r="BA1661" s="76" t="b">
        <v>1</v>
      </c>
      <c r="BB1661" s="76" t="b">
        <v>1</v>
      </c>
      <c r="BC1661" s="76" t="b">
        <v>0</v>
      </c>
      <c r="BD1661" s="76" t="b">
        <v>0</v>
      </c>
      <c r="BE1661" s="76" t="b">
        <v>1</v>
      </c>
      <c r="BF1661" s="76" t="b">
        <v>0</v>
      </c>
      <c r="BG1661" s="76" t="b">
        <v>1</v>
      </c>
      <c r="BH1661" s="82" t="str">
        <f>HYPERLINK("https://pbs.twimg.com/profile_banners/1579213969/1681432414")</f>
        <v>https://pbs.twimg.com/profile_banners/1579213969/1681432414</v>
      </c>
      <c r="BI1661" s="76"/>
      <c r="BJ1661" s="76" t="s">
        <v>27596</v>
      </c>
      <c r="BK1661" s="76" t="b">
        <v>0</v>
      </c>
      <c r="BL1661" s="76"/>
      <c r="BM1661" s="76" t="s">
        <v>66</v>
      </c>
      <c r="BN1661" s="76" t="s">
        <v>27597</v>
      </c>
      <c r="BO1661" s="82" t="str">
        <f>HYPERLINK("https://twitter.com/calogeroaugusto")</f>
        <v>https://twitter.com/calogeroaugusto</v>
      </c>
      <c r="BP1661" s="2"/>
    </row>
    <row r="1662" spans="1:68" x14ac:dyDescent="0.25">
      <c r="A1662" s="62" t="s">
        <v>1502</v>
      </c>
      <c r="B1662" s="63"/>
      <c r="C1662" s="63"/>
      <c r="D1662" s="64"/>
      <c r="E1662" s="66"/>
      <c r="F1662" s="103" t="str">
        <f>HYPERLINK("https://pbs.twimg.com/profile_images/971352848255635457/U0NXyMbI_normal.jpg")</f>
        <v>https://pbs.twimg.com/profile_images/971352848255635457/U0NXyMbI_normal.jpg</v>
      </c>
      <c r="G1662" s="63"/>
      <c r="H1662" s="67"/>
      <c r="I1662" s="68"/>
      <c r="J1662" s="68"/>
      <c r="K1662" s="67" t="s">
        <v>29256</v>
      </c>
      <c r="L1662" s="71"/>
      <c r="M1662" s="72"/>
      <c r="N1662" s="72"/>
      <c r="O1662" s="73"/>
      <c r="P1662" s="74"/>
      <c r="Q1662" s="74"/>
      <c r="R1662" s="87"/>
      <c r="S1662" s="87"/>
      <c r="T1662" s="87"/>
      <c r="U1662" s="87"/>
      <c r="V1662" s="48"/>
      <c r="W1662" s="48"/>
      <c r="X1662" s="48"/>
      <c r="Y1662" s="48"/>
      <c r="Z1662" s="47"/>
      <c r="AA1662" s="69">
        <v>1662</v>
      </c>
      <c r="AB1662" s="69"/>
      <c r="AC1662" s="70"/>
      <c r="AD1662" s="76" t="s">
        <v>22872</v>
      </c>
      <c r="AE1662" s="81" t="s">
        <v>21122</v>
      </c>
      <c r="AF1662" s="76">
        <v>5461</v>
      </c>
      <c r="AG1662" s="76">
        <v>4910</v>
      </c>
      <c r="AH1662" s="76">
        <v>19016</v>
      </c>
      <c r="AI1662" s="76">
        <v>25</v>
      </c>
      <c r="AJ1662" s="76">
        <v>2118</v>
      </c>
      <c r="AK1662" s="76">
        <v>3132</v>
      </c>
      <c r="AL1662" s="76" t="b">
        <v>0</v>
      </c>
      <c r="AM1662" s="78">
        <v>42873.626030092593</v>
      </c>
      <c r="AN1662" s="76" t="s">
        <v>24644</v>
      </c>
      <c r="AO1662" s="76" t="s">
        <v>26183</v>
      </c>
      <c r="AP1662" s="82" t="str">
        <f>HYPERLINK("https://t.co/cv0gJ747rL")</f>
        <v>https://t.co/cv0gJ747rL</v>
      </c>
      <c r="AQ1662" s="82" t="str">
        <f>HYPERLINK("http://www.mascontainer.com")</f>
        <v>http://www.mascontainer.com</v>
      </c>
      <c r="AR1662" s="76" t="s">
        <v>8863</v>
      </c>
      <c r="AS1662" s="76"/>
      <c r="AT1662" s="76"/>
      <c r="AU1662" s="76"/>
      <c r="AV1662" s="76"/>
      <c r="AW1662" s="82" t="str">
        <f>HYPERLINK("https://t.co/cv0gJ747rL")</f>
        <v>https://t.co/cv0gJ747rL</v>
      </c>
      <c r="AX1662" s="76" t="b">
        <v>0</v>
      </c>
      <c r="AY1662" s="76"/>
      <c r="AZ1662" s="76"/>
      <c r="BA1662" s="76" t="b">
        <v>1</v>
      </c>
      <c r="BB1662" s="76" t="b">
        <v>1</v>
      </c>
      <c r="BC1662" s="76" t="b">
        <v>1</v>
      </c>
      <c r="BD1662" s="76" t="b">
        <v>0</v>
      </c>
      <c r="BE1662" s="76" t="b">
        <v>1</v>
      </c>
      <c r="BF1662" s="76" t="b">
        <v>0</v>
      </c>
      <c r="BG1662" s="76" t="b">
        <v>0</v>
      </c>
      <c r="BH1662" s="82" t="str">
        <f>HYPERLINK("https://pbs.twimg.com/profile_banners/865220804077858817/1593003519")</f>
        <v>https://pbs.twimg.com/profile_banners/865220804077858817/1593003519</v>
      </c>
      <c r="BI1662" s="76"/>
      <c r="BJ1662" s="76" t="s">
        <v>27595</v>
      </c>
      <c r="BK1662" s="76" t="b">
        <v>0</v>
      </c>
      <c r="BL1662" s="76"/>
      <c r="BM1662" s="76" t="s">
        <v>66</v>
      </c>
      <c r="BN1662" s="76" t="s">
        <v>27597</v>
      </c>
      <c r="BO1662" s="82" t="str">
        <f>HYPERLINK("https://twitter.com/mascontainer")</f>
        <v>https://twitter.com/mascontainer</v>
      </c>
      <c r="BP1662" s="2"/>
    </row>
    <row r="1663" spans="1:68" x14ac:dyDescent="0.25">
      <c r="A1663" s="62" t="s">
        <v>1503</v>
      </c>
      <c r="B1663" s="63"/>
      <c r="C1663" s="63"/>
      <c r="D1663" s="64"/>
      <c r="E1663" s="66"/>
      <c r="F1663" s="103" t="str">
        <f>HYPERLINK("https://pbs.twimg.com/profile_images/1678560901010452480/AKRnhp2X_normal.jpg")</f>
        <v>https://pbs.twimg.com/profile_images/1678560901010452480/AKRnhp2X_normal.jpg</v>
      </c>
      <c r="G1663" s="63"/>
      <c r="H1663" s="67"/>
      <c r="I1663" s="68"/>
      <c r="J1663" s="68"/>
      <c r="K1663" s="67" t="s">
        <v>29257</v>
      </c>
      <c r="L1663" s="71"/>
      <c r="M1663" s="72"/>
      <c r="N1663" s="72"/>
      <c r="O1663" s="73"/>
      <c r="P1663" s="74"/>
      <c r="Q1663" s="74"/>
      <c r="R1663" s="87"/>
      <c r="S1663" s="87"/>
      <c r="T1663" s="87"/>
      <c r="U1663" s="87"/>
      <c r="V1663" s="48"/>
      <c r="W1663" s="48"/>
      <c r="X1663" s="48"/>
      <c r="Y1663" s="48"/>
      <c r="Z1663" s="47"/>
      <c r="AA1663" s="69">
        <v>1663</v>
      </c>
      <c r="AB1663" s="69"/>
      <c r="AC1663" s="70"/>
      <c r="AD1663" s="76" t="s">
        <v>22873</v>
      </c>
      <c r="AE1663" s="81" t="s">
        <v>23935</v>
      </c>
      <c r="AF1663" s="76">
        <v>6968</v>
      </c>
      <c r="AG1663" s="76">
        <v>84</v>
      </c>
      <c r="AH1663" s="76">
        <v>30000</v>
      </c>
      <c r="AI1663" s="76">
        <v>98</v>
      </c>
      <c r="AJ1663" s="76">
        <v>771</v>
      </c>
      <c r="AK1663" s="76">
        <v>594</v>
      </c>
      <c r="AL1663" s="76" t="b">
        <v>0</v>
      </c>
      <c r="AM1663" s="78">
        <v>41729.828761574077</v>
      </c>
      <c r="AN1663" s="76" t="s">
        <v>24645</v>
      </c>
      <c r="AO1663" s="76" t="s">
        <v>26184</v>
      </c>
      <c r="AP1663" s="82" t="str">
        <f>HYPERLINK("https://t.co/L6hzJ9u1vt")</f>
        <v>https://t.co/L6hzJ9u1vt</v>
      </c>
      <c r="AQ1663" s="82" t="str">
        <f>HYPERLINK("https://bit.ly/EUQUEROMW9")</f>
        <v>https://bit.ly/EUQUEROMW9</v>
      </c>
      <c r="AR1663" s="76" t="s">
        <v>27264</v>
      </c>
      <c r="AS1663" s="76"/>
      <c r="AT1663" s="76"/>
      <c r="AU1663" s="76"/>
      <c r="AV1663" s="76">
        <v>1.7074027963733499E+18</v>
      </c>
      <c r="AW1663" s="82" t="str">
        <f>HYPERLINK("https://t.co/L6hzJ9u1vt")</f>
        <v>https://t.co/L6hzJ9u1vt</v>
      </c>
      <c r="AX1663" s="76" t="b">
        <v>0</v>
      </c>
      <c r="AY1663" s="76"/>
      <c r="AZ1663" s="76"/>
      <c r="BA1663" s="76" t="b">
        <v>1</v>
      </c>
      <c r="BB1663" s="76" t="b">
        <v>1</v>
      </c>
      <c r="BC1663" s="76" t="b">
        <v>1</v>
      </c>
      <c r="BD1663" s="76" t="b">
        <v>0</v>
      </c>
      <c r="BE1663" s="76" t="b">
        <v>0</v>
      </c>
      <c r="BF1663" s="76" t="b">
        <v>0</v>
      </c>
      <c r="BG1663" s="76" t="b">
        <v>0</v>
      </c>
      <c r="BH1663" s="82" t="str">
        <f>HYPERLINK("https://pbs.twimg.com/profile_banners/2421006511/1692367632")</f>
        <v>https://pbs.twimg.com/profile_banners/2421006511/1692367632</v>
      </c>
      <c r="BI1663" s="76"/>
      <c r="BJ1663" s="76" t="s">
        <v>27595</v>
      </c>
      <c r="BK1663" s="76" t="b">
        <v>0</v>
      </c>
      <c r="BL1663" s="76"/>
      <c r="BM1663" s="76" t="s">
        <v>66</v>
      </c>
      <c r="BN1663" s="76" t="s">
        <v>27597</v>
      </c>
      <c r="BO1663" s="82" t="str">
        <f>HYPERLINK("https://twitter.com/euqueroinvestir")</f>
        <v>https://twitter.com/euqueroinvestir</v>
      </c>
      <c r="BP1663" s="2"/>
    </row>
    <row r="1664" spans="1:68" x14ac:dyDescent="0.25">
      <c r="A1664" s="62" t="s">
        <v>1505</v>
      </c>
      <c r="B1664" s="63"/>
      <c r="C1664" s="63"/>
      <c r="D1664" s="64"/>
      <c r="E1664" s="66"/>
      <c r="F1664" s="103" t="str">
        <f>HYPERLINK("https://pbs.twimg.com/profile_images/1690230579659157504/N-nrNI4e_normal.jpg")</f>
        <v>https://pbs.twimg.com/profile_images/1690230579659157504/N-nrNI4e_normal.jpg</v>
      </c>
      <c r="G1664" s="63"/>
      <c r="H1664" s="67"/>
      <c r="I1664" s="68"/>
      <c r="J1664" s="68"/>
      <c r="K1664" s="67" t="s">
        <v>29258</v>
      </c>
      <c r="L1664" s="71"/>
      <c r="M1664" s="72"/>
      <c r="N1664" s="72"/>
      <c r="O1664" s="73"/>
      <c r="P1664" s="74"/>
      <c r="Q1664" s="74"/>
      <c r="R1664" s="87"/>
      <c r="S1664" s="87"/>
      <c r="T1664" s="87"/>
      <c r="U1664" s="87"/>
      <c r="V1664" s="48"/>
      <c r="W1664" s="48"/>
      <c r="X1664" s="48"/>
      <c r="Y1664" s="48"/>
      <c r="Z1664" s="47"/>
      <c r="AA1664" s="69">
        <v>1664</v>
      </c>
      <c r="AB1664" s="69"/>
      <c r="AC1664" s="70"/>
      <c r="AD1664" s="76" t="s">
        <v>22874</v>
      </c>
      <c r="AE1664" s="81" t="s">
        <v>23936</v>
      </c>
      <c r="AF1664" s="76">
        <v>773575</v>
      </c>
      <c r="AG1664" s="76">
        <v>352</v>
      </c>
      <c r="AH1664" s="76">
        <v>30817</v>
      </c>
      <c r="AI1664" s="76">
        <v>2080</v>
      </c>
      <c r="AJ1664" s="76">
        <v>6908</v>
      </c>
      <c r="AK1664" s="76">
        <v>10493</v>
      </c>
      <c r="AL1664" s="76" t="b">
        <v>0</v>
      </c>
      <c r="AM1664" s="78">
        <v>40499.748807870368</v>
      </c>
      <c r="AN1664" s="76" t="s">
        <v>24646</v>
      </c>
      <c r="AO1664" s="76" t="s">
        <v>26185</v>
      </c>
      <c r="AP1664" s="76"/>
      <c r="AQ1664" s="76"/>
      <c r="AR1664" s="76"/>
      <c r="AS1664" s="76"/>
      <c r="AT1664" s="76"/>
      <c r="AU1664" s="76"/>
      <c r="AV1664" s="76"/>
      <c r="AW1664" s="76"/>
      <c r="AX1664" s="76" t="b">
        <v>0</v>
      </c>
      <c r="AY1664" s="76"/>
      <c r="AZ1664" s="76"/>
      <c r="BA1664" s="76" t="b">
        <v>0</v>
      </c>
      <c r="BB1664" s="76" t="b">
        <v>1</v>
      </c>
      <c r="BC1664" s="76" t="b">
        <v>0</v>
      </c>
      <c r="BD1664" s="76" t="b">
        <v>0</v>
      </c>
      <c r="BE1664" s="76" t="b">
        <v>1</v>
      </c>
      <c r="BF1664" s="76" t="b">
        <v>0</v>
      </c>
      <c r="BG1664" s="76" t="b">
        <v>0</v>
      </c>
      <c r="BH1664" s="82" t="str">
        <f>HYPERLINK("https://pbs.twimg.com/profile_banners/216777909/1689604458")</f>
        <v>https://pbs.twimg.com/profile_banners/216777909/1689604458</v>
      </c>
      <c r="BI1664" s="76"/>
      <c r="BJ1664" s="76" t="s">
        <v>27595</v>
      </c>
      <c r="BK1664" s="76" t="b">
        <v>0</v>
      </c>
      <c r="BL1664" s="76"/>
      <c r="BM1664" s="76" t="s">
        <v>66</v>
      </c>
      <c r="BN1664" s="76" t="s">
        <v>27597</v>
      </c>
      <c r="BO1664" s="82" t="str">
        <f>HYPERLINK("https://twitter.com/minfazenda")</f>
        <v>https://twitter.com/minfazenda</v>
      </c>
      <c r="BP1664" s="2"/>
    </row>
    <row r="1665" spans="1:68" x14ac:dyDescent="0.25">
      <c r="A1665" s="62" t="s">
        <v>1506</v>
      </c>
      <c r="B1665" s="63"/>
      <c r="C1665" s="63"/>
      <c r="D1665" s="64"/>
      <c r="E1665" s="66"/>
      <c r="F1665" s="103" t="str">
        <f>HYPERLINK("https://pbs.twimg.com/profile_images/1618930192071770112/VsUB-IMQ_normal.jpg")</f>
        <v>https://pbs.twimg.com/profile_images/1618930192071770112/VsUB-IMQ_normal.jpg</v>
      </c>
      <c r="G1665" s="63"/>
      <c r="H1665" s="67"/>
      <c r="I1665" s="68"/>
      <c r="J1665" s="68"/>
      <c r="K1665" s="67" t="s">
        <v>29259</v>
      </c>
      <c r="L1665" s="71"/>
      <c r="M1665" s="72"/>
      <c r="N1665" s="72"/>
      <c r="O1665" s="73"/>
      <c r="P1665" s="74"/>
      <c r="Q1665" s="74"/>
      <c r="R1665" s="87"/>
      <c r="S1665" s="87"/>
      <c r="T1665" s="87"/>
      <c r="U1665" s="87"/>
      <c r="V1665" s="48"/>
      <c r="W1665" s="48"/>
      <c r="X1665" s="48"/>
      <c r="Y1665" s="48"/>
      <c r="Z1665" s="47"/>
      <c r="AA1665" s="69">
        <v>1665</v>
      </c>
      <c r="AB1665" s="69"/>
      <c r="AC1665" s="70"/>
      <c r="AD1665" s="76" t="s">
        <v>22875</v>
      </c>
      <c r="AE1665" s="81" t="s">
        <v>21123</v>
      </c>
      <c r="AF1665" s="76">
        <v>213</v>
      </c>
      <c r="AG1665" s="76">
        <v>212</v>
      </c>
      <c r="AH1665" s="76">
        <v>2083</v>
      </c>
      <c r="AI1665" s="76">
        <v>2</v>
      </c>
      <c r="AJ1665" s="76">
        <v>8694</v>
      </c>
      <c r="AK1665" s="76">
        <v>138</v>
      </c>
      <c r="AL1665" s="76" t="b">
        <v>0</v>
      </c>
      <c r="AM1665" s="78">
        <v>43656.950983796298</v>
      </c>
      <c r="AN1665" s="76" t="s">
        <v>14400</v>
      </c>
      <c r="AO1665" s="76" t="s">
        <v>26186</v>
      </c>
      <c r="AP1665" s="76"/>
      <c r="AQ1665" s="76"/>
      <c r="AR1665" s="76"/>
      <c r="AS1665" s="76"/>
      <c r="AT1665" s="76"/>
      <c r="AU1665" s="76"/>
      <c r="AV1665" s="76"/>
      <c r="AW1665" s="76"/>
      <c r="AX1665" s="76" t="b">
        <v>0</v>
      </c>
      <c r="AY1665" s="76"/>
      <c r="AZ1665" s="76"/>
      <c r="BA1665" s="76" t="b">
        <v>0</v>
      </c>
      <c r="BB1665" s="76" t="b">
        <v>1</v>
      </c>
      <c r="BC1665" s="76" t="b">
        <v>1</v>
      </c>
      <c r="BD1665" s="76" t="b">
        <v>0</v>
      </c>
      <c r="BE1665" s="76" t="b">
        <v>0</v>
      </c>
      <c r="BF1665" s="76" t="b">
        <v>0</v>
      </c>
      <c r="BG1665" s="76" t="b">
        <v>0</v>
      </c>
      <c r="BH1665" s="82" t="str">
        <f>HYPERLINK("https://pbs.twimg.com/profile_banners/1149088263019356160/1674818160")</f>
        <v>https://pbs.twimg.com/profile_banners/1149088263019356160/1674818160</v>
      </c>
      <c r="BI1665" s="76"/>
      <c r="BJ1665" s="76" t="s">
        <v>27595</v>
      </c>
      <c r="BK1665" s="76" t="b">
        <v>0</v>
      </c>
      <c r="BL1665" s="76"/>
      <c r="BM1665" s="76" t="s">
        <v>66</v>
      </c>
      <c r="BN1665" s="76" t="s">
        <v>27597</v>
      </c>
      <c r="BO1665" s="82" t="str">
        <f>HYPERLINK("https://twitter.com/fluirinvestime1")</f>
        <v>https://twitter.com/fluirinvestime1</v>
      </c>
      <c r="BP1665" s="2"/>
    </row>
    <row r="1666" spans="1:68" x14ac:dyDescent="0.25">
      <c r="A1666" s="62" t="s">
        <v>1507</v>
      </c>
      <c r="B1666" s="63"/>
      <c r="C1666" s="63"/>
      <c r="D1666" s="64"/>
      <c r="E1666" s="66"/>
      <c r="F1666" s="103" t="str">
        <f>HYPERLINK("https://pbs.twimg.com/profile_images/1652339117626122240/UYOujN60_normal.jpg")</f>
        <v>https://pbs.twimg.com/profile_images/1652339117626122240/UYOujN60_normal.jpg</v>
      </c>
      <c r="G1666" s="63"/>
      <c r="H1666" s="67"/>
      <c r="I1666" s="68"/>
      <c r="J1666" s="68"/>
      <c r="K1666" s="67" t="s">
        <v>29260</v>
      </c>
      <c r="L1666" s="71"/>
      <c r="M1666" s="72"/>
      <c r="N1666" s="72"/>
      <c r="O1666" s="73"/>
      <c r="P1666" s="74"/>
      <c r="Q1666" s="74"/>
      <c r="R1666" s="87"/>
      <c r="S1666" s="87"/>
      <c r="T1666" s="87"/>
      <c r="U1666" s="87"/>
      <c r="V1666" s="48"/>
      <c r="W1666" s="48"/>
      <c r="X1666" s="48"/>
      <c r="Y1666" s="48"/>
      <c r="Z1666" s="47"/>
      <c r="AA1666" s="69">
        <v>1666</v>
      </c>
      <c r="AB1666" s="69"/>
      <c r="AC1666" s="70"/>
      <c r="AD1666" s="76" t="s">
        <v>22876</v>
      </c>
      <c r="AE1666" s="81" t="s">
        <v>21124</v>
      </c>
      <c r="AF1666" s="76">
        <v>234</v>
      </c>
      <c r="AG1666" s="76">
        <v>494</v>
      </c>
      <c r="AH1666" s="76">
        <v>7055</v>
      </c>
      <c r="AI1666" s="76">
        <v>0</v>
      </c>
      <c r="AJ1666" s="76">
        <v>1788</v>
      </c>
      <c r="AK1666" s="76">
        <v>1767</v>
      </c>
      <c r="AL1666" s="76" t="b">
        <v>0</v>
      </c>
      <c r="AM1666" s="78">
        <v>44756.801666666666</v>
      </c>
      <c r="AN1666" s="76" t="s">
        <v>24063</v>
      </c>
      <c r="AO1666" s="76" t="s">
        <v>26187</v>
      </c>
      <c r="AP1666" s="82" t="str">
        <f>HYPERLINK("https://t.co/bHduE06w82")</f>
        <v>https://t.co/bHduE06w82</v>
      </c>
      <c r="AQ1666" s="82" t="str">
        <f>HYPERLINK("http://www.paginauno.do")</f>
        <v>http://www.paginauno.do</v>
      </c>
      <c r="AR1666" s="76" t="s">
        <v>8864</v>
      </c>
      <c r="AS1666" s="82" t="str">
        <f>HYPERLINK("https://t.co/8s54dEXo3w")</f>
        <v>https://t.co/8s54dEXo3w</v>
      </c>
      <c r="AT1666" s="82" t="str">
        <f>HYPERLINK("http://PaginaUno.Do")</f>
        <v>http://PaginaUno.Do</v>
      </c>
      <c r="AU1666" s="76" t="s">
        <v>22876</v>
      </c>
      <c r="AV1666" s="76"/>
      <c r="AW1666" s="82" t="str">
        <f>HYPERLINK("https://t.co/bHduE06w82")</f>
        <v>https://t.co/bHduE06w82</v>
      </c>
      <c r="AX1666" s="76" t="b">
        <v>1</v>
      </c>
      <c r="AY1666" s="76"/>
      <c r="AZ1666" s="76"/>
      <c r="BA1666" s="76" t="b">
        <v>0</v>
      </c>
      <c r="BB1666" s="76" t="b">
        <v>1</v>
      </c>
      <c r="BC1666" s="76" t="b">
        <v>1</v>
      </c>
      <c r="BD1666" s="76" t="b">
        <v>0</v>
      </c>
      <c r="BE1666" s="76" t="b">
        <v>0</v>
      </c>
      <c r="BF1666" s="76" t="b">
        <v>0</v>
      </c>
      <c r="BG1666" s="76" t="b">
        <v>0</v>
      </c>
      <c r="BH1666" s="82" t="str">
        <f>HYPERLINK("https://pbs.twimg.com/profile_banners/1547660709999218700/1678424355")</f>
        <v>https://pbs.twimg.com/profile_banners/1547660709999218700/1678424355</v>
      </c>
      <c r="BI1666" s="76"/>
      <c r="BJ1666" s="76" t="s">
        <v>27595</v>
      </c>
      <c r="BK1666" s="76" t="b">
        <v>0</v>
      </c>
      <c r="BL1666" s="76"/>
      <c r="BM1666" s="76" t="s">
        <v>66</v>
      </c>
      <c r="BN1666" s="76" t="s">
        <v>27597</v>
      </c>
      <c r="BO1666" s="82" t="str">
        <f>HYPERLINK("https://twitter.com/paginaunodo")</f>
        <v>https://twitter.com/paginaunodo</v>
      </c>
      <c r="BP1666" s="2"/>
    </row>
    <row r="1667" spans="1:68" x14ac:dyDescent="0.25">
      <c r="A1667" s="62" t="s">
        <v>2049</v>
      </c>
      <c r="B1667" s="63"/>
      <c r="C1667" s="63"/>
      <c r="D1667" s="64"/>
      <c r="E1667" s="66"/>
      <c r="F1667" s="103" t="str">
        <f>HYPERLINK("https://pbs.twimg.com/profile_images/1640392444570222598/0Q07b3Wl_normal.jpg")</f>
        <v>https://pbs.twimg.com/profile_images/1640392444570222598/0Q07b3Wl_normal.jpg</v>
      </c>
      <c r="G1667" s="63"/>
      <c r="H1667" s="67"/>
      <c r="I1667" s="68"/>
      <c r="J1667" s="68"/>
      <c r="K1667" s="67" t="s">
        <v>29261</v>
      </c>
      <c r="L1667" s="71"/>
      <c r="M1667" s="72"/>
      <c r="N1667" s="72"/>
      <c r="O1667" s="73"/>
      <c r="P1667" s="74"/>
      <c r="Q1667" s="74"/>
      <c r="R1667" s="87"/>
      <c r="S1667" s="87"/>
      <c r="T1667" s="87"/>
      <c r="U1667" s="87"/>
      <c r="V1667" s="48"/>
      <c r="W1667" s="48"/>
      <c r="X1667" s="48"/>
      <c r="Y1667" s="48"/>
      <c r="Z1667" s="47"/>
      <c r="AA1667" s="69">
        <v>1667</v>
      </c>
      <c r="AB1667" s="69"/>
      <c r="AC1667" s="70"/>
      <c r="AD1667" s="76" t="s">
        <v>22877</v>
      </c>
      <c r="AE1667" s="81" t="s">
        <v>23937</v>
      </c>
      <c r="AF1667" s="76">
        <v>10894</v>
      </c>
      <c r="AG1667" s="76">
        <v>304</v>
      </c>
      <c r="AH1667" s="76">
        <v>4585</v>
      </c>
      <c r="AI1667" s="76">
        <v>54</v>
      </c>
      <c r="AJ1667" s="76">
        <v>605</v>
      </c>
      <c r="AK1667" s="76">
        <v>3318</v>
      </c>
      <c r="AL1667" s="76" t="b">
        <v>0</v>
      </c>
      <c r="AM1667" s="78">
        <v>41184.794965277775</v>
      </c>
      <c r="AN1667" s="76" t="s">
        <v>24647</v>
      </c>
      <c r="AO1667" s="76" t="s">
        <v>26188</v>
      </c>
      <c r="AP1667" s="82" t="str">
        <f>HYPERLINK("https://t.co/934u9OCxwn")</f>
        <v>https://t.co/934u9OCxwn</v>
      </c>
      <c r="AQ1667" s="82" t="str">
        <f>HYPERLINK("http://simv.gob.do/catalogo-de-servicios/")</f>
        <v>http://simv.gob.do/catalogo-de-servicios/</v>
      </c>
      <c r="AR1667" s="76" t="s">
        <v>27265</v>
      </c>
      <c r="AS1667" s="76"/>
      <c r="AT1667" s="76"/>
      <c r="AU1667" s="76"/>
      <c r="AV1667" s="76">
        <v>1.70667064188832E+18</v>
      </c>
      <c r="AW1667" s="82" t="str">
        <f>HYPERLINK("https://t.co/934u9OCxwn")</f>
        <v>https://t.co/934u9OCxwn</v>
      </c>
      <c r="AX1667" s="76" t="b">
        <v>0</v>
      </c>
      <c r="AY1667" s="76"/>
      <c r="AZ1667" s="76"/>
      <c r="BA1667" s="76" t="b">
        <v>1</v>
      </c>
      <c r="BB1667" s="76" t="b">
        <v>0</v>
      </c>
      <c r="BC1667" s="76" t="b">
        <v>1</v>
      </c>
      <c r="BD1667" s="76" t="b">
        <v>0</v>
      </c>
      <c r="BE1667" s="76" t="b">
        <v>0</v>
      </c>
      <c r="BF1667" s="76" t="b">
        <v>0</v>
      </c>
      <c r="BG1667" s="76" t="b">
        <v>0</v>
      </c>
      <c r="BH1667" s="82" t="str">
        <f>HYPERLINK("https://pbs.twimg.com/profile_banners/858555517/1675981508")</f>
        <v>https://pbs.twimg.com/profile_banners/858555517/1675981508</v>
      </c>
      <c r="BI1667" s="76"/>
      <c r="BJ1667" s="76" t="s">
        <v>27595</v>
      </c>
      <c r="BK1667" s="76" t="b">
        <v>0</v>
      </c>
      <c r="BL1667" s="76"/>
      <c r="BM1667" s="76" t="s">
        <v>65</v>
      </c>
      <c r="BN1667" s="76" t="s">
        <v>27597</v>
      </c>
      <c r="BO1667" s="82" t="str">
        <f>HYPERLINK("https://twitter.com/simvrdo")</f>
        <v>https://twitter.com/simvrdo</v>
      </c>
      <c r="BP1667" s="2"/>
    </row>
    <row r="1668" spans="1:68" x14ac:dyDescent="0.25">
      <c r="A1668" s="62" t="s">
        <v>1508</v>
      </c>
      <c r="B1668" s="63"/>
      <c r="C1668" s="63"/>
      <c r="D1668" s="64"/>
      <c r="E1668" s="66"/>
      <c r="F1668" s="103" t="str">
        <f>HYPERLINK("https://pbs.twimg.com/profile_images/1628185029837832193/Qb7BI_Jj_normal.jpg")</f>
        <v>https://pbs.twimg.com/profile_images/1628185029837832193/Qb7BI_Jj_normal.jpg</v>
      </c>
      <c r="G1668" s="63"/>
      <c r="H1668" s="67"/>
      <c r="I1668" s="68"/>
      <c r="J1668" s="68"/>
      <c r="K1668" s="67" t="s">
        <v>29262</v>
      </c>
      <c r="L1668" s="71"/>
      <c r="M1668" s="72"/>
      <c r="N1668" s="72"/>
      <c r="O1668" s="73"/>
      <c r="P1668" s="74"/>
      <c r="Q1668" s="74"/>
      <c r="R1668" s="87"/>
      <c r="S1668" s="87"/>
      <c r="T1668" s="87"/>
      <c r="U1668" s="87"/>
      <c r="V1668" s="48"/>
      <c r="W1668" s="48"/>
      <c r="X1668" s="48"/>
      <c r="Y1668" s="48"/>
      <c r="Z1668" s="47"/>
      <c r="AA1668" s="69">
        <v>1668</v>
      </c>
      <c r="AB1668" s="69"/>
      <c r="AC1668" s="70"/>
      <c r="AD1668" s="76" t="s">
        <v>22878</v>
      </c>
      <c r="AE1668" s="81" t="s">
        <v>21125</v>
      </c>
      <c r="AF1668" s="76">
        <v>3</v>
      </c>
      <c r="AG1668" s="76">
        <v>70</v>
      </c>
      <c r="AH1668" s="76">
        <v>69</v>
      </c>
      <c r="AI1668" s="76">
        <v>1</v>
      </c>
      <c r="AJ1668" s="76">
        <v>50</v>
      </c>
      <c r="AK1668" s="76">
        <v>50</v>
      </c>
      <c r="AL1668" s="76" t="b">
        <v>0</v>
      </c>
      <c r="AM1668" s="78">
        <v>44978.99019675926</v>
      </c>
      <c r="AN1668" s="76"/>
      <c r="AO1668" s="76" t="s">
        <v>26189</v>
      </c>
      <c r="AP1668" s="76"/>
      <c r="AQ1668" s="76"/>
      <c r="AR1668" s="76"/>
      <c r="AS1668" s="76"/>
      <c r="AT1668" s="76"/>
      <c r="AU1668" s="76"/>
      <c r="AV1668" s="76"/>
      <c r="AW1668" s="76"/>
      <c r="AX1668" s="76" t="b">
        <v>0</v>
      </c>
      <c r="AY1668" s="76"/>
      <c r="AZ1668" s="76"/>
      <c r="BA1668" s="76" t="b">
        <v>0</v>
      </c>
      <c r="BB1668" s="76" t="b">
        <v>1</v>
      </c>
      <c r="BC1668" s="76" t="b">
        <v>1</v>
      </c>
      <c r="BD1668" s="76" t="b">
        <v>0</v>
      </c>
      <c r="BE1668" s="76" t="b">
        <v>1</v>
      </c>
      <c r="BF1668" s="76" t="b">
        <v>0</v>
      </c>
      <c r="BG1668" s="76" t="b">
        <v>0</v>
      </c>
      <c r="BH1668" s="76"/>
      <c r="BI1668" s="76"/>
      <c r="BJ1668" s="76" t="s">
        <v>27595</v>
      </c>
      <c r="BK1668" s="76" t="b">
        <v>0</v>
      </c>
      <c r="BL1668" s="76"/>
      <c r="BM1668" s="76" t="s">
        <v>66</v>
      </c>
      <c r="BN1668" s="76" t="s">
        <v>27597</v>
      </c>
      <c r="BO1668" s="82" t="str">
        <f>HYPERLINK("https://twitter.com/lucaspereira_ef")</f>
        <v>https://twitter.com/lucaspereira_ef</v>
      </c>
      <c r="BP1668" s="2"/>
    </row>
    <row r="1669" spans="1:68" x14ac:dyDescent="0.25">
      <c r="A1669" s="62" t="s">
        <v>1509</v>
      </c>
      <c r="B1669" s="63"/>
      <c r="C1669" s="63"/>
      <c r="D1669" s="64"/>
      <c r="E1669" s="66"/>
      <c r="F1669" s="103" t="str">
        <f>HYPERLINK("https://pbs.twimg.com/profile_images/1489631115455332353/ijPsYyD0_normal.jpg")</f>
        <v>https://pbs.twimg.com/profile_images/1489631115455332353/ijPsYyD0_normal.jpg</v>
      </c>
      <c r="G1669" s="63"/>
      <c r="H1669" s="67"/>
      <c r="I1669" s="68"/>
      <c r="J1669" s="68"/>
      <c r="K1669" s="67" t="s">
        <v>29263</v>
      </c>
      <c r="L1669" s="71"/>
      <c r="M1669" s="72"/>
      <c r="N1669" s="72"/>
      <c r="O1669" s="73"/>
      <c r="P1669" s="74"/>
      <c r="Q1669" s="74"/>
      <c r="R1669" s="87"/>
      <c r="S1669" s="87"/>
      <c r="T1669" s="87"/>
      <c r="U1669" s="87"/>
      <c r="V1669" s="48"/>
      <c r="W1669" s="48"/>
      <c r="X1669" s="48"/>
      <c r="Y1669" s="48"/>
      <c r="Z1669" s="47"/>
      <c r="AA1669" s="69">
        <v>1669</v>
      </c>
      <c r="AB1669" s="69"/>
      <c r="AC1669" s="70"/>
      <c r="AD1669" s="76" t="s">
        <v>22879</v>
      </c>
      <c r="AE1669" s="81" t="s">
        <v>23938</v>
      </c>
      <c r="AF1669" s="76">
        <v>1800</v>
      </c>
      <c r="AG1669" s="76">
        <v>620</v>
      </c>
      <c r="AH1669" s="76">
        <v>22639</v>
      </c>
      <c r="AI1669" s="76">
        <v>9</v>
      </c>
      <c r="AJ1669" s="76">
        <v>10083</v>
      </c>
      <c r="AK1669" s="76">
        <v>3353</v>
      </c>
      <c r="AL1669" s="76" t="b">
        <v>0</v>
      </c>
      <c r="AM1669" s="78">
        <v>41144.103437500002</v>
      </c>
      <c r="AN1669" s="76" t="s">
        <v>24648</v>
      </c>
      <c r="AO1669" s="76" t="s">
        <v>26190</v>
      </c>
      <c r="AP1669" s="76"/>
      <c r="AQ1669" s="76"/>
      <c r="AR1669" s="76"/>
      <c r="AS1669" s="76"/>
      <c r="AT1669" s="76"/>
      <c r="AU1669" s="76"/>
      <c r="AV1669" s="76">
        <v>1.69571667625453E+18</v>
      </c>
      <c r="AW1669" s="76"/>
      <c r="AX1669" s="76" t="b">
        <v>0</v>
      </c>
      <c r="AY1669" s="76"/>
      <c r="AZ1669" s="76"/>
      <c r="BA1669" s="76" t="b">
        <v>0</v>
      </c>
      <c r="BB1669" s="76" t="b">
        <v>1</v>
      </c>
      <c r="BC1669" s="76" t="b">
        <v>1</v>
      </c>
      <c r="BD1669" s="76" t="b">
        <v>0</v>
      </c>
      <c r="BE1669" s="76" t="b">
        <v>0</v>
      </c>
      <c r="BF1669" s="76" t="b">
        <v>0</v>
      </c>
      <c r="BG1669" s="76" t="b">
        <v>0</v>
      </c>
      <c r="BH1669" s="82" t="str">
        <f>HYPERLINK("https://pbs.twimg.com/profile_banners/774983437/1528141615")</f>
        <v>https://pbs.twimg.com/profile_banners/774983437/1528141615</v>
      </c>
      <c r="BI1669" s="76"/>
      <c r="BJ1669" s="76" t="s">
        <v>27595</v>
      </c>
      <c r="BK1669" s="76" t="b">
        <v>0</v>
      </c>
      <c r="BL1669" s="76"/>
      <c r="BM1669" s="76" t="s">
        <v>66</v>
      </c>
      <c r="BN1669" s="76" t="s">
        <v>27597</v>
      </c>
      <c r="BO1669" s="82" t="str">
        <f>HYPERLINK("https://twitter.com/nahem_360")</f>
        <v>https://twitter.com/nahem_360</v>
      </c>
      <c r="BP1669" s="2"/>
    </row>
    <row r="1670" spans="1:68" x14ac:dyDescent="0.25">
      <c r="A1670" s="62" t="s">
        <v>2050</v>
      </c>
      <c r="B1670" s="63"/>
      <c r="C1670" s="63"/>
      <c r="D1670" s="64"/>
      <c r="E1670" s="66"/>
      <c r="F1670" s="103" t="str">
        <f>HYPERLINK("https://pbs.twimg.com/profile_images/740223637492486144/qGUB6Nau_normal.jpg")</f>
        <v>https://pbs.twimg.com/profile_images/740223637492486144/qGUB6Nau_normal.jpg</v>
      </c>
      <c r="G1670" s="63"/>
      <c r="H1670" s="67"/>
      <c r="I1670" s="68"/>
      <c r="J1670" s="68"/>
      <c r="K1670" s="67" t="s">
        <v>29264</v>
      </c>
      <c r="L1670" s="71"/>
      <c r="M1670" s="72"/>
      <c r="N1670" s="72"/>
      <c r="O1670" s="73"/>
      <c r="P1670" s="74"/>
      <c r="Q1670" s="74"/>
      <c r="R1670" s="87"/>
      <c r="S1670" s="87"/>
      <c r="T1670" s="87"/>
      <c r="U1670" s="87"/>
      <c r="V1670" s="48"/>
      <c r="W1670" s="48"/>
      <c r="X1670" s="48"/>
      <c r="Y1670" s="48"/>
      <c r="Z1670" s="47"/>
      <c r="AA1670" s="69">
        <v>1670</v>
      </c>
      <c r="AB1670" s="69"/>
      <c r="AC1670" s="70"/>
      <c r="AD1670" s="76" t="s">
        <v>22880</v>
      </c>
      <c r="AE1670" s="81" t="s">
        <v>23939</v>
      </c>
      <c r="AF1670" s="76">
        <v>4951</v>
      </c>
      <c r="AG1670" s="76">
        <v>900</v>
      </c>
      <c r="AH1670" s="76">
        <v>5043</v>
      </c>
      <c r="AI1670" s="76">
        <v>4</v>
      </c>
      <c r="AJ1670" s="76">
        <v>18777</v>
      </c>
      <c r="AK1670" s="76">
        <v>1639</v>
      </c>
      <c r="AL1670" s="76" t="b">
        <v>0</v>
      </c>
      <c r="AM1670" s="78">
        <v>40297.621724537035</v>
      </c>
      <c r="AN1670" s="76"/>
      <c r="AO1670" s="76" t="s">
        <v>26191</v>
      </c>
      <c r="AP1670" s="76"/>
      <c r="AQ1670" s="76"/>
      <c r="AR1670" s="76"/>
      <c r="AS1670" s="76"/>
      <c r="AT1670" s="76"/>
      <c r="AU1670" s="76"/>
      <c r="AV1670" s="76">
        <v>1.02214454107011E+18</v>
      </c>
      <c r="AW1670" s="76"/>
      <c r="AX1670" s="76" t="b">
        <v>0</v>
      </c>
      <c r="AY1670" s="76"/>
      <c r="AZ1670" s="76"/>
      <c r="BA1670" s="76" t="b">
        <v>0</v>
      </c>
      <c r="BB1670" s="76" t="b">
        <v>1</v>
      </c>
      <c r="BC1670" s="76" t="b">
        <v>1</v>
      </c>
      <c r="BD1670" s="76" t="b">
        <v>0</v>
      </c>
      <c r="BE1670" s="76" t="b">
        <v>1</v>
      </c>
      <c r="BF1670" s="76" t="b">
        <v>0</v>
      </c>
      <c r="BG1670" s="76" t="b">
        <v>0</v>
      </c>
      <c r="BH1670" s="82" t="str">
        <f>HYPERLINK("https://pbs.twimg.com/profile_banners/138437447/1620996469")</f>
        <v>https://pbs.twimg.com/profile_banners/138437447/1620996469</v>
      </c>
      <c r="BI1670" s="76"/>
      <c r="BJ1670" s="76" t="s">
        <v>27595</v>
      </c>
      <c r="BK1670" s="76" t="b">
        <v>0</v>
      </c>
      <c r="BL1670" s="76"/>
      <c r="BM1670" s="76" t="s">
        <v>65</v>
      </c>
      <c r="BN1670" s="76" t="s">
        <v>27597</v>
      </c>
      <c r="BO1670" s="82" t="str">
        <f>HYPERLINK("https://twitter.com/victorzpavon")</f>
        <v>https://twitter.com/victorzpavon</v>
      </c>
      <c r="BP1670" s="2"/>
    </row>
    <row r="1671" spans="1:68" x14ac:dyDescent="0.25">
      <c r="A1671" s="62" t="s">
        <v>1510</v>
      </c>
      <c r="B1671" s="63"/>
      <c r="C1671" s="63"/>
      <c r="D1671" s="64"/>
      <c r="E1671" s="66"/>
      <c r="F1671" s="103" t="str">
        <f>HYPERLINK("https://pbs.twimg.com/profile_images/837087328204107776/X1DWyn2q_normal.jpg")</f>
        <v>https://pbs.twimg.com/profile_images/837087328204107776/X1DWyn2q_normal.jpg</v>
      </c>
      <c r="G1671" s="63"/>
      <c r="H1671" s="67"/>
      <c r="I1671" s="68"/>
      <c r="J1671" s="68"/>
      <c r="K1671" s="67" t="s">
        <v>29265</v>
      </c>
      <c r="L1671" s="71"/>
      <c r="M1671" s="72"/>
      <c r="N1671" s="72"/>
      <c r="O1671" s="73"/>
      <c r="P1671" s="74"/>
      <c r="Q1671" s="74"/>
      <c r="R1671" s="87"/>
      <c r="S1671" s="87"/>
      <c r="T1671" s="87"/>
      <c r="U1671" s="87"/>
      <c r="V1671" s="48"/>
      <c r="W1671" s="48"/>
      <c r="X1671" s="48"/>
      <c r="Y1671" s="48"/>
      <c r="Z1671" s="47"/>
      <c r="AA1671" s="69">
        <v>1671</v>
      </c>
      <c r="AB1671" s="69"/>
      <c r="AC1671" s="70"/>
      <c r="AD1671" s="76" t="s">
        <v>22881</v>
      </c>
      <c r="AE1671" s="81" t="s">
        <v>23940</v>
      </c>
      <c r="AF1671" s="76">
        <v>4726</v>
      </c>
      <c r="AG1671" s="76">
        <v>1197</v>
      </c>
      <c r="AH1671" s="76">
        <v>36434</v>
      </c>
      <c r="AI1671" s="76">
        <v>118</v>
      </c>
      <c r="AJ1671" s="76">
        <v>202</v>
      </c>
      <c r="AK1671" s="76">
        <v>1332</v>
      </c>
      <c r="AL1671" s="76" t="b">
        <v>0</v>
      </c>
      <c r="AM1671" s="78">
        <v>40547.537037037036</v>
      </c>
      <c r="AN1671" s="76" t="s">
        <v>24649</v>
      </c>
      <c r="AO1671" s="76" t="s">
        <v>26192</v>
      </c>
      <c r="AP1671" s="82" t="str">
        <f>HYPERLINK("https://t.co/XXwc3lPAoP")</f>
        <v>https://t.co/XXwc3lPAoP</v>
      </c>
      <c r="AQ1671" s="82" t="str">
        <f>HYPERLINK("https://www.hispanatolia.com")</f>
        <v>https://www.hispanatolia.com</v>
      </c>
      <c r="AR1671" s="76" t="s">
        <v>8865</v>
      </c>
      <c r="AS1671" s="76" t="s">
        <v>27398</v>
      </c>
      <c r="AT1671" s="76" t="s">
        <v>27437</v>
      </c>
      <c r="AU1671" s="76" t="s">
        <v>27572</v>
      </c>
      <c r="AV1671" s="76"/>
      <c r="AW1671" s="82" t="str">
        <f>HYPERLINK("https://t.co/XXwc3lPAoP")</f>
        <v>https://t.co/XXwc3lPAoP</v>
      </c>
      <c r="AX1671" s="76" t="b">
        <v>0</v>
      </c>
      <c r="AY1671" s="76"/>
      <c r="AZ1671" s="76"/>
      <c r="BA1671" s="76" t="b">
        <v>0</v>
      </c>
      <c r="BB1671" s="76" t="b">
        <v>1</v>
      </c>
      <c r="BC1671" s="76" t="b">
        <v>0</v>
      </c>
      <c r="BD1671" s="76" t="b">
        <v>0</v>
      </c>
      <c r="BE1671" s="76" t="b">
        <v>1</v>
      </c>
      <c r="BF1671" s="76" t="b">
        <v>0</v>
      </c>
      <c r="BG1671" s="76" t="b">
        <v>0</v>
      </c>
      <c r="BH1671" s="82" t="str">
        <f>HYPERLINK("https://pbs.twimg.com/profile_banners/233927179/1488412135")</f>
        <v>https://pbs.twimg.com/profile_banners/233927179/1488412135</v>
      </c>
      <c r="BI1671" s="76"/>
      <c r="BJ1671" s="76" t="s">
        <v>27595</v>
      </c>
      <c r="BK1671" s="76" t="b">
        <v>0</v>
      </c>
      <c r="BL1671" s="76"/>
      <c r="BM1671" s="76" t="s">
        <v>66</v>
      </c>
      <c r="BN1671" s="76" t="s">
        <v>27597</v>
      </c>
      <c r="BO1671" s="82" t="str">
        <f>HYPERLINK("https://twitter.com/hispanatolia")</f>
        <v>https://twitter.com/hispanatolia</v>
      </c>
      <c r="BP1671" s="2"/>
    </row>
    <row r="1672" spans="1:68" x14ac:dyDescent="0.25">
      <c r="A1672" s="62" t="s">
        <v>1511</v>
      </c>
      <c r="B1672" s="63"/>
      <c r="C1672" s="63"/>
      <c r="D1672" s="64"/>
      <c r="E1672" s="66"/>
      <c r="F1672" s="103" t="str">
        <f>HYPERLINK("https://pbs.twimg.com/profile_images/1613396442739281923/w2unOUny_normal.jpg")</f>
        <v>https://pbs.twimg.com/profile_images/1613396442739281923/w2unOUny_normal.jpg</v>
      </c>
      <c r="G1672" s="63"/>
      <c r="H1672" s="67"/>
      <c r="I1672" s="68"/>
      <c r="J1672" s="68"/>
      <c r="K1672" s="67" t="s">
        <v>29266</v>
      </c>
      <c r="L1672" s="71"/>
      <c r="M1672" s="72"/>
      <c r="N1672" s="72"/>
      <c r="O1672" s="73"/>
      <c r="P1672" s="74"/>
      <c r="Q1672" s="74"/>
      <c r="R1672" s="87"/>
      <c r="S1672" s="87"/>
      <c r="T1672" s="87"/>
      <c r="U1672" s="87"/>
      <c r="V1672" s="48"/>
      <c r="W1672" s="48"/>
      <c r="X1672" s="48"/>
      <c r="Y1672" s="48"/>
      <c r="Z1672" s="47"/>
      <c r="AA1672" s="69">
        <v>1672</v>
      </c>
      <c r="AB1672" s="69"/>
      <c r="AC1672" s="70"/>
      <c r="AD1672" s="76" t="s">
        <v>22882</v>
      </c>
      <c r="AE1672" s="81" t="s">
        <v>21126</v>
      </c>
      <c r="AF1672" s="76">
        <v>1561</v>
      </c>
      <c r="AG1672" s="76">
        <v>1887</v>
      </c>
      <c r="AH1672" s="76">
        <v>2823</v>
      </c>
      <c r="AI1672" s="76">
        <v>1</v>
      </c>
      <c r="AJ1672" s="76">
        <v>4135</v>
      </c>
      <c r="AK1672" s="76">
        <v>301</v>
      </c>
      <c r="AL1672" s="76" t="b">
        <v>0</v>
      </c>
      <c r="AM1672" s="78">
        <v>43958.808634259258</v>
      </c>
      <c r="AN1672" s="76"/>
      <c r="AO1672" s="82" t="str">
        <f>HYPERLINK("https://t.co/5rhdpPOdri")</f>
        <v>https://t.co/5rhdpPOdri</v>
      </c>
      <c r="AP1672" s="82" t="str">
        <f>HYPERLINK("https://t.co/YYYQssnAnj")</f>
        <v>https://t.co/YYYQssnAnj</v>
      </c>
      <c r="AQ1672" s="82" t="str">
        <f>HYPERLINK("https://instagram.com/volverasertigre?igshid=YmMyMTA2M2Y=")</f>
        <v>https://instagram.com/volverasertigre?igshid=YmMyMTA2M2Y=</v>
      </c>
      <c r="AR1672" s="76" t="s">
        <v>27266</v>
      </c>
      <c r="AS1672" s="82" t="str">
        <f>HYPERLINK("https://t.co/5rhdpPOdri")</f>
        <v>https://t.co/5rhdpPOdri</v>
      </c>
      <c r="AT1672" s="82" t="str">
        <f>HYPERLINK("https://www.tiktok.com/@volverasertigre?_t=8fC9V8C128M&amp;_r=1")</f>
        <v>https://www.tiktok.com/@volverasertigre?_t=8fC9V8C128M&amp;_r=1</v>
      </c>
      <c r="AU1672" s="76" t="s">
        <v>27573</v>
      </c>
      <c r="AV1672" s="76"/>
      <c r="AW1672" s="82" t="str">
        <f>HYPERLINK("https://t.co/YYYQssnAnj")</f>
        <v>https://t.co/YYYQssnAnj</v>
      </c>
      <c r="AX1672" s="76" t="b">
        <v>0</v>
      </c>
      <c r="AY1672" s="76"/>
      <c r="AZ1672" s="76"/>
      <c r="BA1672" s="76" t="b">
        <v>0</v>
      </c>
      <c r="BB1672" s="76" t="b">
        <v>1</v>
      </c>
      <c r="BC1672" s="76" t="b">
        <v>1</v>
      </c>
      <c r="BD1672" s="76" t="b">
        <v>0</v>
      </c>
      <c r="BE1672" s="76" t="b">
        <v>0</v>
      </c>
      <c r="BF1672" s="76" t="b">
        <v>0</v>
      </c>
      <c r="BG1672" s="76" t="b">
        <v>0</v>
      </c>
      <c r="BH1672" s="82" t="str">
        <f>HYPERLINK("https://pbs.twimg.com/profile_banners/1258477776761389058/1641170190")</f>
        <v>https://pbs.twimg.com/profile_banners/1258477776761389058/1641170190</v>
      </c>
      <c r="BI1672" s="76"/>
      <c r="BJ1672" s="76" t="s">
        <v>27595</v>
      </c>
      <c r="BK1672" s="76" t="b">
        <v>0</v>
      </c>
      <c r="BL1672" s="76"/>
      <c r="BM1672" s="76" t="s">
        <v>66</v>
      </c>
      <c r="BN1672" s="76" t="s">
        <v>27597</v>
      </c>
      <c r="BO1672" s="82" t="str">
        <f>HYPERLINK("https://twitter.com/volverasertigre")</f>
        <v>https://twitter.com/volverasertigre</v>
      </c>
      <c r="BP1672" s="2"/>
    </row>
    <row r="1673" spans="1:68" x14ac:dyDescent="0.25">
      <c r="A1673" s="62" t="s">
        <v>2051</v>
      </c>
      <c r="B1673" s="63"/>
      <c r="C1673" s="63"/>
      <c r="D1673" s="64"/>
      <c r="E1673" s="66"/>
      <c r="F1673" s="103" t="str">
        <f>HYPERLINK("https://pbs.twimg.com/profile_images/1699588919136772096/fHP6Lnzf_normal.jpg")</f>
        <v>https://pbs.twimg.com/profile_images/1699588919136772096/fHP6Lnzf_normal.jpg</v>
      </c>
      <c r="G1673" s="63"/>
      <c r="H1673" s="67"/>
      <c r="I1673" s="68"/>
      <c r="J1673" s="68"/>
      <c r="K1673" s="67" t="s">
        <v>29267</v>
      </c>
      <c r="L1673" s="71"/>
      <c r="M1673" s="72"/>
      <c r="N1673" s="72"/>
      <c r="O1673" s="73"/>
      <c r="P1673" s="74"/>
      <c r="Q1673" s="74"/>
      <c r="R1673" s="87"/>
      <c r="S1673" s="87"/>
      <c r="T1673" s="87"/>
      <c r="U1673" s="87"/>
      <c r="V1673" s="48"/>
      <c r="W1673" s="48"/>
      <c r="X1673" s="48"/>
      <c r="Y1673" s="48"/>
      <c r="Z1673" s="47"/>
      <c r="AA1673" s="69">
        <v>1673</v>
      </c>
      <c r="AB1673" s="69"/>
      <c r="AC1673" s="70"/>
      <c r="AD1673" s="76" t="s">
        <v>22883</v>
      </c>
      <c r="AE1673" s="81" t="s">
        <v>23941</v>
      </c>
      <c r="AF1673" s="76">
        <v>11</v>
      </c>
      <c r="AG1673" s="76">
        <v>14</v>
      </c>
      <c r="AH1673" s="76">
        <v>244</v>
      </c>
      <c r="AI1673" s="76">
        <v>0</v>
      </c>
      <c r="AJ1673" s="76">
        <v>137</v>
      </c>
      <c r="AK1673" s="76">
        <v>71</v>
      </c>
      <c r="AL1673" s="76" t="b">
        <v>0</v>
      </c>
      <c r="AM1673" s="78">
        <v>43917.692962962959</v>
      </c>
      <c r="AN1673" s="76"/>
      <c r="AO1673" s="76"/>
      <c r="AP1673" s="76"/>
      <c r="AQ1673" s="76"/>
      <c r="AR1673" s="76"/>
      <c r="AS1673" s="76"/>
      <c r="AT1673" s="76"/>
      <c r="AU1673" s="76"/>
      <c r="AV1673" s="76"/>
      <c r="AW1673" s="76"/>
      <c r="AX1673" s="76" t="b">
        <v>0</v>
      </c>
      <c r="AY1673" s="76"/>
      <c r="AZ1673" s="76"/>
      <c r="BA1673" s="76" t="b">
        <v>0</v>
      </c>
      <c r="BB1673" s="76" t="b">
        <v>1</v>
      </c>
      <c r="BC1673" s="76" t="b">
        <v>1</v>
      </c>
      <c r="BD1673" s="76" t="b">
        <v>0</v>
      </c>
      <c r="BE1673" s="76" t="b">
        <v>0</v>
      </c>
      <c r="BF1673" s="76" t="b">
        <v>0</v>
      </c>
      <c r="BG1673" s="76" t="b">
        <v>0</v>
      </c>
      <c r="BH1673" s="76"/>
      <c r="BI1673" s="76"/>
      <c r="BJ1673" s="76" t="s">
        <v>27595</v>
      </c>
      <c r="BK1673" s="76" t="b">
        <v>0</v>
      </c>
      <c r="BL1673" s="76"/>
      <c r="BM1673" s="76" t="s">
        <v>65</v>
      </c>
      <c r="BN1673" s="76" t="s">
        <v>27597</v>
      </c>
      <c r="BO1673" s="82" t="str">
        <f>HYPERLINK("https://twitter.com/leonard40844023")</f>
        <v>https://twitter.com/leonard40844023</v>
      </c>
      <c r="BP1673" s="2"/>
    </row>
    <row r="1674" spans="1:68" x14ac:dyDescent="0.25">
      <c r="A1674" s="62" t="s">
        <v>2052</v>
      </c>
      <c r="B1674" s="63"/>
      <c r="C1674" s="63"/>
      <c r="D1674" s="64"/>
      <c r="E1674" s="66"/>
      <c r="F1674" s="103" t="str">
        <f>HYPERLINK("https://pbs.twimg.com/profile_images/1610042582272278530/HL4_6_pS_normal.jpg")</f>
        <v>https://pbs.twimg.com/profile_images/1610042582272278530/HL4_6_pS_normal.jpg</v>
      </c>
      <c r="G1674" s="63"/>
      <c r="H1674" s="67"/>
      <c r="I1674" s="68"/>
      <c r="J1674" s="68"/>
      <c r="K1674" s="67" t="s">
        <v>29268</v>
      </c>
      <c r="L1674" s="71"/>
      <c r="M1674" s="72"/>
      <c r="N1674" s="72"/>
      <c r="O1674" s="73"/>
      <c r="P1674" s="74"/>
      <c r="Q1674" s="74"/>
      <c r="R1674" s="87"/>
      <c r="S1674" s="87"/>
      <c r="T1674" s="87"/>
      <c r="U1674" s="87"/>
      <c r="V1674" s="48"/>
      <c r="W1674" s="48"/>
      <c r="X1674" s="48"/>
      <c r="Y1674" s="48"/>
      <c r="Z1674" s="47"/>
      <c r="AA1674" s="69">
        <v>1674</v>
      </c>
      <c r="AB1674" s="69"/>
      <c r="AC1674" s="70"/>
      <c r="AD1674" s="76" t="s">
        <v>2052</v>
      </c>
      <c r="AE1674" s="81" t="s">
        <v>23942</v>
      </c>
      <c r="AF1674" s="76">
        <v>38</v>
      </c>
      <c r="AG1674" s="76">
        <v>21</v>
      </c>
      <c r="AH1674" s="76">
        <v>60</v>
      </c>
      <c r="AI1674" s="76">
        <v>0</v>
      </c>
      <c r="AJ1674" s="76">
        <v>4</v>
      </c>
      <c r="AK1674" s="76">
        <v>57</v>
      </c>
      <c r="AL1674" s="76" t="b">
        <v>0</v>
      </c>
      <c r="AM1674" s="78">
        <v>44928.942372685182</v>
      </c>
      <c r="AN1674" s="76"/>
      <c r="AO1674" s="76" t="s">
        <v>26193</v>
      </c>
      <c r="AP1674" s="82" t="str">
        <f>HYPERLINK("https://t.co/MT418rs8Vr")</f>
        <v>https://t.co/MT418rs8Vr</v>
      </c>
      <c r="AQ1674" s="82" t="str">
        <f>HYPERLINK("https://sigmanoticias.com.ar/")</f>
        <v>https://sigmanoticias.com.ar/</v>
      </c>
      <c r="AR1674" s="76" t="s">
        <v>27267</v>
      </c>
      <c r="AS1674" s="76"/>
      <c r="AT1674" s="76"/>
      <c r="AU1674" s="76"/>
      <c r="AV1674" s="76"/>
      <c r="AW1674" s="82" t="str">
        <f>HYPERLINK("https://t.co/MT418rs8Vr")</f>
        <v>https://t.co/MT418rs8Vr</v>
      </c>
      <c r="AX1674" s="76" t="b">
        <v>0</v>
      </c>
      <c r="AY1674" s="76"/>
      <c r="AZ1674" s="76"/>
      <c r="BA1674" s="76" t="b">
        <v>0</v>
      </c>
      <c r="BB1674" s="76" t="b">
        <v>1</v>
      </c>
      <c r="BC1674" s="76" t="b">
        <v>1</v>
      </c>
      <c r="BD1674" s="76" t="b">
        <v>0</v>
      </c>
      <c r="BE1674" s="76" t="b">
        <v>0</v>
      </c>
      <c r="BF1674" s="76" t="b">
        <v>0</v>
      </c>
      <c r="BG1674" s="76" t="b">
        <v>0</v>
      </c>
      <c r="BH1674" s="82" t="str">
        <f>HYPERLINK("https://pbs.twimg.com/profile_banners/1610042235512410117/1672950382")</f>
        <v>https://pbs.twimg.com/profile_banners/1610042235512410117/1672950382</v>
      </c>
      <c r="BI1674" s="76"/>
      <c r="BJ1674" s="76" t="s">
        <v>27595</v>
      </c>
      <c r="BK1674" s="76" t="b">
        <v>0</v>
      </c>
      <c r="BL1674" s="76"/>
      <c r="BM1674" s="76" t="s">
        <v>65</v>
      </c>
      <c r="BN1674" s="76" t="s">
        <v>27597</v>
      </c>
      <c r="BO1674" s="82" t="str">
        <f>HYPERLINK("https://twitter.com/sigmanoticias")</f>
        <v>https://twitter.com/sigmanoticias</v>
      </c>
      <c r="BP1674" s="2"/>
    </row>
    <row r="1675" spans="1:68" x14ac:dyDescent="0.25">
      <c r="A1675" s="62" t="s">
        <v>2053</v>
      </c>
      <c r="B1675" s="63"/>
      <c r="C1675" s="63"/>
      <c r="D1675" s="64"/>
      <c r="E1675" s="66"/>
      <c r="F1675" s="103" t="str">
        <f>HYPERLINK("https://pbs.twimg.com/profile_images/1405165509071413260/df8cN3_v_normal.jpg")</f>
        <v>https://pbs.twimg.com/profile_images/1405165509071413260/df8cN3_v_normal.jpg</v>
      </c>
      <c r="G1675" s="63"/>
      <c r="H1675" s="67"/>
      <c r="I1675" s="68"/>
      <c r="J1675" s="68"/>
      <c r="K1675" s="67" t="s">
        <v>29269</v>
      </c>
      <c r="L1675" s="71"/>
      <c r="M1675" s="72"/>
      <c r="N1675" s="72"/>
      <c r="O1675" s="73"/>
      <c r="P1675" s="74"/>
      <c r="Q1675" s="74"/>
      <c r="R1675" s="87"/>
      <c r="S1675" s="87"/>
      <c r="T1675" s="87"/>
      <c r="U1675" s="87"/>
      <c r="V1675" s="48"/>
      <c r="W1675" s="48"/>
      <c r="X1675" s="48"/>
      <c r="Y1675" s="48"/>
      <c r="Z1675" s="47"/>
      <c r="AA1675" s="69">
        <v>1675</v>
      </c>
      <c r="AB1675" s="69"/>
      <c r="AC1675" s="70"/>
      <c r="AD1675" s="76" t="s">
        <v>22884</v>
      </c>
      <c r="AE1675" s="81" t="s">
        <v>23943</v>
      </c>
      <c r="AF1675" s="76">
        <v>40402</v>
      </c>
      <c r="AG1675" s="76">
        <v>1087</v>
      </c>
      <c r="AH1675" s="76">
        <v>9432</v>
      </c>
      <c r="AI1675" s="76">
        <v>85</v>
      </c>
      <c r="AJ1675" s="76">
        <v>9513</v>
      </c>
      <c r="AK1675" s="76">
        <v>501</v>
      </c>
      <c r="AL1675" s="76" t="b">
        <v>0</v>
      </c>
      <c r="AM1675" s="78">
        <v>40619.695740740739</v>
      </c>
      <c r="AN1675" s="76"/>
      <c r="AO1675" s="76" t="s">
        <v>26194</v>
      </c>
      <c r="AP1675" s="76"/>
      <c r="AQ1675" s="76"/>
      <c r="AR1675" s="76"/>
      <c r="AS1675" s="76"/>
      <c r="AT1675" s="76"/>
      <c r="AU1675" s="76"/>
      <c r="AV1675" s="76">
        <v>1.21711389453726E+18</v>
      </c>
      <c r="AW1675" s="76"/>
      <c r="AX1675" s="76" t="b">
        <v>0</v>
      </c>
      <c r="AY1675" s="76"/>
      <c r="AZ1675" s="76"/>
      <c r="BA1675" s="76" t="b">
        <v>0</v>
      </c>
      <c r="BB1675" s="76" t="b">
        <v>1</v>
      </c>
      <c r="BC1675" s="76" t="b">
        <v>1</v>
      </c>
      <c r="BD1675" s="76" t="b">
        <v>0</v>
      </c>
      <c r="BE1675" s="76" t="b">
        <v>1</v>
      </c>
      <c r="BF1675" s="76" t="b">
        <v>0</v>
      </c>
      <c r="BG1675" s="76" t="b">
        <v>0</v>
      </c>
      <c r="BH1675" s="82" t="str">
        <f>HYPERLINK("https://pbs.twimg.com/profile_banners/267834466/1624733695")</f>
        <v>https://pbs.twimg.com/profile_banners/267834466/1624733695</v>
      </c>
      <c r="BI1675" s="76"/>
      <c r="BJ1675" s="76" t="s">
        <v>27595</v>
      </c>
      <c r="BK1675" s="76" t="b">
        <v>0</v>
      </c>
      <c r="BL1675" s="76"/>
      <c r="BM1675" s="76" t="s">
        <v>65</v>
      </c>
      <c r="BN1675" s="76" t="s">
        <v>27597</v>
      </c>
      <c r="BO1675" s="82" t="str">
        <f>HYPERLINK("https://twitter.com/juanenriqueuba")</f>
        <v>https://twitter.com/juanenriqueuba</v>
      </c>
      <c r="BP1675" s="2"/>
    </row>
    <row r="1676" spans="1:68" x14ac:dyDescent="0.25">
      <c r="A1676" s="62" t="s">
        <v>1512</v>
      </c>
      <c r="B1676" s="63"/>
      <c r="C1676" s="63"/>
      <c r="D1676" s="64"/>
      <c r="E1676" s="66"/>
      <c r="F1676" s="103" t="str">
        <f>HYPERLINK("https://pbs.twimg.com/profile_images/477764411348631553/-VpWL2dz_normal.jpeg")</f>
        <v>https://pbs.twimg.com/profile_images/477764411348631553/-VpWL2dz_normal.jpeg</v>
      </c>
      <c r="G1676" s="63"/>
      <c r="H1676" s="67"/>
      <c r="I1676" s="68"/>
      <c r="J1676" s="68"/>
      <c r="K1676" s="67" t="s">
        <v>29270</v>
      </c>
      <c r="L1676" s="71"/>
      <c r="M1676" s="72"/>
      <c r="N1676" s="72"/>
      <c r="O1676" s="73"/>
      <c r="P1676" s="74"/>
      <c r="Q1676" s="74"/>
      <c r="R1676" s="87"/>
      <c r="S1676" s="87"/>
      <c r="T1676" s="87"/>
      <c r="U1676" s="87"/>
      <c r="V1676" s="48"/>
      <c r="W1676" s="48"/>
      <c r="X1676" s="48"/>
      <c r="Y1676" s="48"/>
      <c r="Z1676" s="47"/>
      <c r="AA1676" s="69">
        <v>1676</v>
      </c>
      <c r="AB1676" s="69"/>
      <c r="AC1676" s="70"/>
      <c r="AD1676" s="76" t="s">
        <v>22885</v>
      </c>
      <c r="AE1676" s="81" t="s">
        <v>23944</v>
      </c>
      <c r="AF1676" s="76">
        <v>12954</v>
      </c>
      <c r="AG1676" s="76">
        <v>1075</v>
      </c>
      <c r="AH1676" s="76">
        <v>348643</v>
      </c>
      <c r="AI1676" s="76">
        <v>54</v>
      </c>
      <c r="AJ1676" s="76">
        <v>171142</v>
      </c>
      <c r="AK1676" s="76">
        <v>41470</v>
      </c>
      <c r="AL1676" s="76" t="b">
        <v>0</v>
      </c>
      <c r="AM1676" s="78">
        <v>40838.857488425929</v>
      </c>
      <c r="AN1676" s="76" t="s">
        <v>14385</v>
      </c>
      <c r="AO1676" s="76" t="s">
        <v>26195</v>
      </c>
      <c r="AP1676" s="76"/>
      <c r="AQ1676" s="76"/>
      <c r="AR1676" s="76"/>
      <c r="AS1676" s="76"/>
      <c r="AT1676" s="76"/>
      <c r="AU1676" s="76"/>
      <c r="AV1676" s="76">
        <v>1.7069833051349199E+18</v>
      </c>
      <c r="AW1676" s="76"/>
      <c r="AX1676" s="76" t="b">
        <v>0</v>
      </c>
      <c r="AY1676" s="76"/>
      <c r="AZ1676" s="76"/>
      <c r="BA1676" s="76" t="b">
        <v>0</v>
      </c>
      <c r="BB1676" s="76" t="b">
        <v>0</v>
      </c>
      <c r="BC1676" s="76" t="b">
        <v>0</v>
      </c>
      <c r="BD1676" s="76" t="b">
        <v>0</v>
      </c>
      <c r="BE1676" s="76" t="b">
        <v>1</v>
      </c>
      <c r="BF1676" s="76" t="b">
        <v>0</v>
      </c>
      <c r="BG1676" s="76" t="b">
        <v>0</v>
      </c>
      <c r="BH1676" s="82" t="str">
        <f>HYPERLINK("https://pbs.twimg.com/profile_banners/396148446/1516305244")</f>
        <v>https://pbs.twimg.com/profile_banners/396148446/1516305244</v>
      </c>
      <c r="BI1676" s="76"/>
      <c r="BJ1676" s="76" t="s">
        <v>27595</v>
      </c>
      <c r="BK1676" s="76" t="b">
        <v>0</v>
      </c>
      <c r="BL1676" s="76"/>
      <c r="BM1676" s="76" t="s">
        <v>66</v>
      </c>
      <c r="BN1676" s="76" t="s">
        <v>27597</v>
      </c>
      <c r="BO1676" s="82" t="str">
        <f>HYPERLINK("https://twitter.com/silviamarquez24")</f>
        <v>https://twitter.com/silviamarquez24</v>
      </c>
      <c r="BP1676" s="2"/>
    </row>
    <row r="1677" spans="1:68" x14ac:dyDescent="0.25">
      <c r="A1677" s="62" t="s">
        <v>1513</v>
      </c>
      <c r="B1677" s="63"/>
      <c r="C1677" s="63"/>
      <c r="D1677" s="64"/>
      <c r="E1677" s="66"/>
      <c r="F1677" s="103" t="str">
        <f>HYPERLINK("https://pbs.twimg.com/profile_images/1691780637999366146/BMkOmTmS_normal.jpg")</f>
        <v>https://pbs.twimg.com/profile_images/1691780637999366146/BMkOmTmS_normal.jpg</v>
      </c>
      <c r="G1677" s="63"/>
      <c r="H1677" s="67"/>
      <c r="I1677" s="68"/>
      <c r="J1677" s="68"/>
      <c r="K1677" s="67" t="s">
        <v>29271</v>
      </c>
      <c r="L1677" s="71"/>
      <c r="M1677" s="72"/>
      <c r="N1677" s="72"/>
      <c r="O1677" s="73"/>
      <c r="P1677" s="74"/>
      <c r="Q1677" s="74"/>
      <c r="R1677" s="87"/>
      <c r="S1677" s="87"/>
      <c r="T1677" s="87"/>
      <c r="U1677" s="87"/>
      <c r="V1677" s="48"/>
      <c r="W1677" s="48"/>
      <c r="X1677" s="48"/>
      <c r="Y1677" s="48"/>
      <c r="Z1677" s="47"/>
      <c r="AA1677" s="69">
        <v>1677</v>
      </c>
      <c r="AB1677" s="69"/>
      <c r="AC1677" s="70"/>
      <c r="AD1677" s="76" t="s">
        <v>22886</v>
      </c>
      <c r="AE1677" s="81" t="s">
        <v>23945</v>
      </c>
      <c r="AF1677" s="76">
        <v>626</v>
      </c>
      <c r="AG1677" s="76">
        <v>1909</v>
      </c>
      <c r="AH1677" s="76">
        <v>38483</v>
      </c>
      <c r="AI1677" s="76">
        <v>8</v>
      </c>
      <c r="AJ1677" s="76">
        <v>9</v>
      </c>
      <c r="AK1677" s="76">
        <v>13642</v>
      </c>
      <c r="AL1677" s="76" t="b">
        <v>0</v>
      </c>
      <c r="AM1677" s="78">
        <v>40428.119305555556</v>
      </c>
      <c r="AN1677" s="76" t="s">
        <v>24650</v>
      </c>
      <c r="AO1677" s="76" t="s">
        <v>26196</v>
      </c>
      <c r="AP1677" s="82" t="str">
        <f>HYPERLINK("https://t.co/oUhEZ9EEAR")</f>
        <v>https://t.co/oUhEZ9EEAR</v>
      </c>
      <c r="AQ1677" s="82" t="str">
        <f>HYPERLINK("http://www.queagito.com")</f>
        <v>http://www.queagito.com</v>
      </c>
      <c r="AR1677" s="76" t="s">
        <v>8866</v>
      </c>
      <c r="AS1677" s="76"/>
      <c r="AT1677" s="76"/>
      <c r="AU1677" s="76"/>
      <c r="AV1677" s="76"/>
      <c r="AW1677" s="82" t="str">
        <f>HYPERLINK("https://t.co/oUhEZ9EEAR")</f>
        <v>https://t.co/oUhEZ9EEAR</v>
      </c>
      <c r="AX1677" s="76" t="b">
        <v>0</v>
      </c>
      <c r="AY1677" s="76"/>
      <c r="AZ1677" s="76"/>
      <c r="BA1677" s="76" t="b">
        <v>0</v>
      </c>
      <c r="BB1677" s="76" t="b">
        <v>1</v>
      </c>
      <c r="BC1677" s="76" t="b">
        <v>0</v>
      </c>
      <c r="BD1677" s="76" t="b">
        <v>0</v>
      </c>
      <c r="BE1677" s="76" t="b">
        <v>0</v>
      </c>
      <c r="BF1677" s="76" t="b">
        <v>0</v>
      </c>
      <c r="BG1677" s="76" t="b">
        <v>0</v>
      </c>
      <c r="BH1677" s="82" t="str">
        <f>HYPERLINK("https://pbs.twimg.com/profile_banners/187768360/1692186911")</f>
        <v>https://pbs.twimg.com/profile_banners/187768360/1692186911</v>
      </c>
      <c r="BI1677" s="76"/>
      <c r="BJ1677" s="76" t="s">
        <v>27595</v>
      </c>
      <c r="BK1677" s="76" t="b">
        <v>0</v>
      </c>
      <c r="BL1677" s="76"/>
      <c r="BM1677" s="76" t="s">
        <v>66</v>
      </c>
      <c r="BN1677" s="76" t="s">
        <v>27597</v>
      </c>
      <c r="BO1677" s="82" t="str">
        <f>HYPERLINK("https://twitter.com/queagito")</f>
        <v>https://twitter.com/queagito</v>
      </c>
      <c r="BP1677" s="2"/>
    </row>
    <row r="1678" spans="1:68" x14ac:dyDescent="0.25">
      <c r="A1678" s="62" t="s">
        <v>1514</v>
      </c>
      <c r="B1678" s="63"/>
      <c r="C1678" s="63"/>
      <c r="D1678" s="64"/>
      <c r="E1678" s="66"/>
      <c r="F1678" s="103" t="str">
        <f>HYPERLINK("https://pbs.twimg.com/profile_images/1620180036287340544/6mG4f4KZ_normal.png")</f>
        <v>https://pbs.twimg.com/profile_images/1620180036287340544/6mG4f4KZ_normal.png</v>
      </c>
      <c r="G1678" s="63"/>
      <c r="H1678" s="67"/>
      <c r="I1678" s="68"/>
      <c r="J1678" s="68"/>
      <c r="K1678" s="67" t="s">
        <v>29272</v>
      </c>
      <c r="L1678" s="71"/>
      <c r="M1678" s="72"/>
      <c r="N1678" s="72"/>
      <c r="O1678" s="73"/>
      <c r="P1678" s="74"/>
      <c r="Q1678" s="74"/>
      <c r="R1678" s="87"/>
      <c r="S1678" s="87"/>
      <c r="T1678" s="87"/>
      <c r="U1678" s="87"/>
      <c r="V1678" s="48"/>
      <c r="W1678" s="48"/>
      <c r="X1678" s="48"/>
      <c r="Y1678" s="48"/>
      <c r="Z1678" s="47"/>
      <c r="AA1678" s="69">
        <v>1678</v>
      </c>
      <c r="AB1678" s="69"/>
      <c r="AC1678" s="70"/>
      <c r="AD1678" s="76" t="s">
        <v>22887</v>
      </c>
      <c r="AE1678" s="81" t="s">
        <v>21127</v>
      </c>
      <c r="AF1678" s="76">
        <v>11</v>
      </c>
      <c r="AG1678" s="76">
        <v>326</v>
      </c>
      <c r="AH1678" s="76">
        <v>874</v>
      </c>
      <c r="AI1678" s="76">
        <v>0</v>
      </c>
      <c r="AJ1678" s="76">
        <v>587</v>
      </c>
      <c r="AK1678" s="76">
        <v>24</v>
      </c>
      <c r="AL1678" s="76" t="b">
        <v>0</v>
      </c>
      <c r="AM1678" s="78">
        <v>44956.916620370372</v>
      </c>
      <c r="AN1678" s="76"/>
      <c r="AO1678" s="76"/>
      <c r="AP1678" s="76"/>
      <c r="AQ1678" s="76"/>
      <c r="AR1678" s="76"/>
      <c r="AS1678" s="76"/>
      <c r="AT1678" s="76"/>
      <c r="AU1678" s="76"/>
      <c r="AV1678" s="76"/>
      <c r="AW1678" s="76"/>
      <c r="AX1678" s="76" t="b">
        <v>0</v>
      </c>
      <c r="AY1678" s="76"/>
      <c r="AZ1678" s="76"/>
      <c r="BA1678" s="76" t="b">
        <v>1</v>
      </c>
      <c r="BB1678" s="76" t="b">
        <v>1</v>
      </c>
      <c r="BC1678" s="76" t="b">
        <v>1</v>
      </c>
      <c r="BD1678" s="76" t="b">
        <v>0</v>
      </c>
      <c r="BE1678" s="76" t="b">
        <v>0</v>
      </c>
      <c r="BF1678" s="76" t="b">
        <v>0</v>
      </c>
      <c r="BG1678" s="76" t="b">
        <v>0</v>
      </c>
      <c r="BH1678" s="76"/>
      <c r="BI1678" s="76"/>
      <c r="BJ1678" s="76" t="s">
        <v>27595</v>
      </c>
      <c r="BK1678" s="76" t="b">
        <v>0</v>
      </c>
      <c r="BL1678" s="76"/>
      <c r="BM1678" s="76" t="s">
        <v>66</v>
      </c>
      <c r="BN1678" s="76" t="s">
        <v>27597</v>
      </c>
      <c r="BO1678" s="82" t="str">
        <f>HYPERLINK("https://twitter.com/geraldhon51")</f>
        <v>https://twitter.com/geraldhon51</v>
      </c>
      <c r="BP1678" s="2"/>
    </row>
    <row r="1679" spans="1:68" x14ac:dyDescent="0.25">
      <c r="A1679" s="62" t="s">
        <v>1515</v>
      </c>
      <c r="B1679" s="63"/>
      <c r="C1679" s="63"/>
      <c r="D1679" s="64"/>
      <c r="E1679" s="66"/>
      <c r="F1679" s="103" t="str">
        <f>HYPERLINK("https://pbs.twimg.com/profile_images/1088570060887810048/IAlLnIgQ_normal.jpg")</f>
        <v>https://pbs.twimg.com/profile_images/1088570060887810048/IAlLnIgQ_normal.jpg</v>
      </c>
      <c r="G1679" s="63"/>
      <c r="H1679" s="67"/>
      <c r="I1679" s="68"/>
      <c r="J1679" s="68"/>
      <c r="K1679" s="67" t="s">
        <v>29273</v>
      </c>
      <c r="L1679" s="71"/>
      <c r="M1679" s="72"/>
      <c r="N1679" s="72"/>
      <c r="O1679" s="73"/>
      <c r="P1679" s="74"/>
      <c r="Q1679" s="74"/>
      <c r="R1679" s="87"/>
      <c r="S1679" s="87"/>
      <c r="T1679" s="87"/>
      <c r="U1679" s="87"/>
      <c r="V1679" s="48"/>
      <c r="W1679" s="48"/>
      <c r="X1679" s="48"/>
      <c r="Y1679" s="48"/>
      <c r="Z1679" s="47"/>
      <c r="AA1679" s="69">
        <v>1679</v>
      </c>
      <c r="AB1679" s="69"/>
      <c r="AC1679" s="70"/>
      <c r="AD1679" s="76" t="s">
        <v>22888</v>
      </c>
      <c r="AE1679" s="81" t="s">
        <v>23946</v>
      </c>
      <c r="AF1679" s="76">
        <v>54692</v>
      </c>
      <c r="AG1679" s="76">
        <v>83</v>
      </c>
      <c r="AH1679" s="76">
        <v>79960</v>
      </c>
      <c r="AI1679" s="76">
        <v>285</v>
      </c>
      <c r="AJ1679" s="76">
        <v>7908</v>
      </c>
      <c r="AK1679" s="76">
        <v>46007</v>
      </c>
      <c r="AL1679" s="76" t="b">
        <v>0</v>
      </c>
      <c r="AM1679" s="78">
        <v>41121.401400462964</v>
      </c>
      <c r="AN1679" s="76" t="s">
        <v>24160</v>
      </c>
      <c r="AO1679" s="76" t="s">
        <v>26197</v>
      </c>
      <c r="AP1679" s="82" t="str">
        <f>HYPERLINK("https://t.co/ExFmcwPd1D")</f>
        <v>https://t.co/ExFmcwPd1D</v>
      </c>
      <c r="AQ1679" s="82" t="str">
        <f>HYPERLINK("http://www.buenosaires.gob.ar/canaldelaciudad")</f>
        <v>http://www.buenosaires.gob.ar/canaldelaciudad</v>
      </c>
      <c r="AR1679" s="76" t="s">
        <v>27268</v>
      </c>
      <c r="AS1679" s="76"/>
      <c r="AT1679" s="76"/>
      <c r="AU1679" s="76"/>
      <c r="AV1679" s="76"/>
      <c r="AW1679" s="82" t="str">
        <f>HYPERLINK("https://t.co/ExFmcwPd1D")</f>
        <v>https://t.co/ExFmcwPd1D</v>
      </c>
      <c r="AX1679" s="76" t="b">
        <v>0</v>
      </c>
      <c r="AY1679" s="76"/>
      <c r="AZ1679" s="76"/>
      <c r="BA1679" s="76" t="b">
        <v>0</v>
      </c>
      <c r="BB1679" s="76" t="b">
        <v>1</v>
      </c>
      <c r="BC1679" s="76" t="b">
        <v>0</v>
      </c>
      <c r="BD1679" s="76" t="b">
        <v>0</v>
      </c>
      <c r="BE1679" s="76" t="b">
        <v>0</v>
      </c>
      <c r="BF1679" s="76" t="b">
        <v>0</v>
      </c>
      <c r="BG1679" s="76" t="b">
        <v>0</v>
      </c>
      <c r="BH1679" s="82" t="str">
        <f>HYPERLINK("https://pbs.twimg.com/profile_banners/728012034/1695057696")</f>
        <v>https://pbs.twimg.com/profile_banners/728012034/1695057696</v>
      </c>
      <c r="BI1679" s="76"/>
      <c r="BJ1679" s="76" t="s">
        <v>27595</v>
      </c>
      <c r="BK1679" s="76" t="b">
        <v>0</v>
      </c>
      <c r="BL1679" s="76"/>
      <c r="BM1679" s="76" t="s">
        <v>66</v>
      </c>
      <c r="BN1679" s="76" t="s">
        <v>27597</v>
      </c>
      <c r="BO1679" s="82" t="str">
        <f>HYPERLINK("https://twitter.com/canalciudadba")</f>
        <v>https://twitter.com/canalciudadba</v>
      </c>
      <c r="BP1679" s="2"/>
    </row>
    <row r="1680" spans="1:68" x14ac:dyDescent="0.25">
      <c r="A1680" s="62" t="s">
        <v>1516</v>
      </c>
      <c r="B1680" s="63"/>
      <c r="C1680" s="63"/>
      <c r="D1680" s="64"/>
      <c r="E1680" s="66"/>
      <c r="F1680" s="103" t="str">
        <f>HYPERLINK("https://pbs.twimg.com/profile_images/1237693918898257920/kd_TwfgV_normal.jpg")</f>
        <v>https://pbs.twimg.com/profile_images/1237693918898257920/kd_TwfgV_normal.jpg</v>
      </c>
      <c r="G1680" s="63"/>
      <c r="H1680" s="67"/>
      <c r="I1680" s="68"/>
      <c r="J1680" s="68"/>
      <c r="K1680" s="67" t="s">
        <v>29274</v>
      </c>
      <c r="L1680" s="71"/>
      <c r="M1680" s="72"/>
      <c r="N1680" s="72"/>
      <c r="O1680" s="73"/>
      <c r="P1680" s="74"/>
      <c r="Q1680" s="74"/>
      <c r="R1680" s="87"/>
      <c r="S1680" s="87"/>
      <c r="T1680" s="87"/>
      <c r="U1680" s="87"/>
      <c r="V1680" s="48"/>
      <c r="W1680" s="48"/>
      <c r="X1680" s="48"/>
      <c r="Y1680" s="48"/>
      <c r="Z1680" s="47"/>
      <c r="AA1680" s="69">
        <v>1680</v>
      </c>
      <c r="AB1680" s="69"/>
      <c r="AC1680" s="70"/>
      <c r="AD1680" s="76" t="s">
        <v>22889</v>
      </c>
      <c r="AE1680" s="81" t="s">
        <v>21128</v>
      </c>
      <c r="AF1680" s="76">
        <v>7</v>
      </c>
      <c r="AG1680" s="76">
        <v>0</v>
      </c>
      <c r="AH1680" s="76">
        <v>726</v>
      </c>
      <c r="AI1680" s="76">
        <v>0</v>
      </c>
      <c r="AJ1680" s="76">
        <v>1513</v>
      </c>
      <c r="AK1680" s="76">
        <v>29</v>
      </c>
      <c r="AL1680" s="76" t="b">
        <v>0</v>
      </c>
      <c r="AM1680" s="78">
        <v>43901.45548611111</v>
      </c>
      <c r="AN1680" s="76"/>
      <c r="AO1680" s="76"/>
      <c r="AP1680" s="76"/>
      <c r="AQ1680" s="76"/>
      <c r="AR1680" s="76"/>
      <c r="AS1680" s="76"/>
      <c r="AT1680" s="76"/>
      <c r="AU1680" s="76"/>
      <c r="AV1680" s="76"/>
      <c r="AW1680" s="76"/>
      <c r="AX1680" s="76" t="b">
        <v>0</v>
      </c>
      <c r="AY1680" s="76"/>
      <c r="AZ1680" s="76"/>
      <c r="BA1680" s="76" t="b">
        <v>0</v>
      </c>
      <c r="BB1680" s="76" t="b">
        <v>1</v>
      </c>
      <c r="BC1680" s="76" t="b">
        <v>1</v>
      </c>
      <c r="BD1680" s="76" t="b">
        <v>0</v>
      </c>
      <c r="BE1680" s="76" t="b">
        <v>0</v>
      </c>
      <c r="BF1680" s="76" t="b">
        <v>0</v>
      </c>
      <c r="BG1680" s="76" t="b">
        <v>0</v>
      </c>
      <c r="BH1680" s="76"/>
      <c r="BI1680" s="76"/>
      <c r="BJ1680" s="76" t="s">
        <v>27595</v>
      </c>
      <c r="BK1680" s="76" t="b">
        <v>0</v>
      </c>
      <c r="BL1680" s="76"/>
      <c r="BM1680" s="76" t="s">
        <v>66</v>
      </c>
      <c r="BN1680" s="76" t="s">
        <v>27597</v>
      </c>
      <c r="BO1680" s="82" t="str">
        <f>HYPERLINK("https://twitter.com/djalma97146072")</f>
        <v>https://twitter.com/djalma97146072</v>
      </c>
      <c r="BP1680" s="2"/>
    </row>
    <row r="1681" spans="1:68" x14ac:dyDescent="0.25">
      <c r="A1681" s="62" t="s">
        <v>2054</v>
      </c>
      <c r="B1681" s="63"/>
      <c r="C1681" s="63"/>
      <c r="D1681" s="64"/>
      <c r="E1681" s="66"/>
      <c r="F1681" s="103" t="str">
        <f>HYPERLINK("https://pbs.twimg.com/profile_images/1587509953425997824/C5aKzsY0_normal.jpg")</f>
        <v>https://pbs.twimg.com/profile_images/1587509953425997824/C5aKzsY0_normal.jpg</v>
      </c>
      <c r="G1681" s="63"/>
      <c r="H1681" s="67"/>
      <c r="I1681" s="68"/>
      <c r="J1681" s="68"/>
      <c r="K1681" s="67" t="s">
        <v>29275</v>
      </c>
      <c r="L1681" s="71"/>
      <c r="M1681" s="72"/>
      <c r="N1681" s="72"/>
      <c r="O1681" s="73"/>
      <c r="P1681" s="74"/>
      <c r="Q1681" s="74"/>
      <c r="R1681" s="87"/>
      <c r="S1681" s="87"/>
      <c r="T1681" s="87"/>
      <c r="U1681" s="87"/>
      <c r="V1681" s="48"/>
      <c r="W1681" s="48"/>
      <c r="X1681" s="48"/>
      <c r="Y1681" s="48"/>
      <c r="Z1681" s="47"/>
      <c r="AA1681" s="69">
        <v>1681</v>
      </c>
      <c r="AB1681" s="69"/>
      <c r="AC1681" s="70"/>
      <c r="AD1681" s="76" t="s">
        <v>22890</v>
      </c>
      <c r="AE1681" s="81" t="s">
        <v>20364</v>
      </c>
      <c r="AF1681" s="76">
        <v>1442954</v>
      </c>
      <c r="AG1681" s="76">
        <v>583</v>
      </c>
      <c r="AH1681" s="76">
        <v>35800</v>
      </c>
      <c r="AI1681" s="76">
        <v>3347</v>
      </c>
      <c r="AJ1681" s="76">
        <v>1922</v>
      </c>
      <c r="AK1681" s="76">
        <v>5510</v>
      </c>
      <c r="AL1681" s="76" t="b">
        <v>0</v>
      </c>
      <c r="AM1681" s="78">
        <v>40070.742696759262</v>
      </c>
      <c r="AN1681" s="76" t="s">
        <v>14400</v>
      </c>
      <c r="AO1681" s="76" t="s">
        <v>26198</v>
      </c>
      <c r="AP1681" s="76"/>
      <c r="AQ1681" s="76"/>
      <c r="AR1681" s="76"/>
      <c r="AS1681" s="76"/>
      <c r="AT1681" s="76"/>
      <c r="AU1681" s="76"/>
      <c r="AV1681" s="76"/>
      <c r="AW1681" s="76"/>
      <c r="AX1681" s="76" t="b">
        <v>1</v>
      </c>
      <c r="AY1681" s="76"/>
      <c r="AZ1681" s="76"/>
      <c r="BA1681" s="76" t="b">
        <v>0</v>
      </c>
      <c r="BB1681" s="76" t="b">
        <v>1</v>
      </c>
      <c r="BC1681" s="76" t="b">
        <v>0</v>
      </c>
      <c r="BD1681" s="76" t="b">
        <v>0</v>
      </c>
      <c r="BE1681" s="76" t="b">
        <v>1</v>
      </c>
      <c r="BF1681" s="76" t="b">
        <v>0</v>
      </c>
      <c r="BG1681" s="76" t="b">
        <v>0</v>
      </c>
      <c r="BH1681" s="82" t="str">
        <f>HYPERLINK("https://pbs.twimg.com/profile_banners/74215006/1667333882")</f>
        <v>https://pbs.twimg.com/profile_banners/74215006/1667333882</v>
      </c>
      <c r="BI1681" s="76"/>
      <c r="BJ1681" s="76" t="s">
        <v>27595</v>
      </c>
      <c r="BK1681" s="76" t="b">
        <v>0</v>
      </c>
      <c r="BL1681" s="76"/>
      <c r="BM1681" s="76" t="s">
        <v>65</v>
      </c>
      <c r="BN1681" s="76" t="s">
        <v>27597</v>
      </c>
      <c r="BO1681" s="82" t="str">
        <f>HYPERLINK("https://twitter.com/geraldoalckmin")</f>
        <v>https://twitter.com/geraldoalckmin</v>
      </c>
      <c r="BP1681" s="2"/>
    </row>
    <row r="1682" spans="1:68" x14ac:dyDescent="0.25">
      <c r="A1682" s="62" t="s">
        <v>1517</v>
      </c>
      <c r="B1682" s="63"/>
      <c r="C1682" s="63"/>
      <c r="D1682" s="64"/>
      <c r="E1682" s="66"/>
      <c r="F1682" s="103" t="str">
        <f>HYPERLINK("https://pbs.twimg.com/profile_images/1664187733793820672/u45j32zN_normal.png")</f>
        <v>https://pbs.twimg.com/profile_images/1664187733793820672/u45j32zN_normal.png</v>
      </c>
      <c r="G1682" s="63"/>
      <c r="H1682" s="67"/>
      <c r="I1682" s="68"/>
      <c r="J1682" s="68"/>
      <c r="K1682" s="67" t="s">
        <v>29276</v>
      </c>
      <c r="L1682" s="71"/>
      <c r="M1682" s="72"/>
      <c r="N1682" s="72"/>
      <c r="O1682" s="73"/>
      <c r="P1682" s="74"/>
      <c r="Q1682" s="74"/>
      <c r="R1682" s="87"/>
      <c r="S1682" s="87"/>
      <c r="T1682" s="87"/>
      <c r="U1682" s="87"/>
      <c r="V1682" s="48"/>
      <c r="W1682" s="48"/>
      <c r="X1682" s="48"/>
      <c r="Y1682" s="48"/>
      <c r="Z1682" s="47"/>
      <c r="AA1682" s="69">
        <v>1682</v>
      </c>
      <c r="AB1682" s="69"/>
      <c r="AC1682" s="70"/>
      <c r="AD1682" s="76" t="s">
        <v>22891</v>
      </c>
      <c r="AE1682" s="81" t="s">
        <v>20365</v>
      </c>
      <c r="AF1682" s="76">
        <v>39600</v>
      </c>
      <c r="AG1682" s="76">
        <v>1762</v>
      </c>
      <c r="AH1682" s="76">
        <v>64900</v>
      </c>
      <c r="AI1682" s="76">
        <v>704</v>
      </c>
      <c r="AJ1682" s="76">
        <v>47357</v>
      </c>
      <c r="AK1682" s="76">
        <v>9637</v>
      </c>
      <c r="AL1682" s="76" t="b">
        <v>0</v>
      </c>
      <c r="AM1682" s="78">
        <v>40227.663310185184</v>
      </c>
      <c r="AN1682" s="76" t="s">
        <v>24651</v>
      </c>
      <c r="AO1682" s="76" t="s">
        <v>26199</v>
      </c>
      <c r="AP1682" s="82" t="str">
        <f>HYPERLINK("https://t.co/6zjJ3McmEj")</f>
        <v>https://t.co/6zjJ3McmEj</v>
      </c>
      <c r="AQ1682" s="82" t="str">
        <f>HYPERLINK("https://www.unir.net")</f>
        <v>https://www.unir.net</v>
      </c>
      <c r="AR1682" s="76" t="s">
        <v>27269</v>
      </c>
      <c r="AS1682" s="76" t="s">
        <v>27399</v>
      </c>
      <c r="AT1682" s="76" t="s">
        <v>27438</v>
      </c>
      <c r="AU1682" s="76" t="s">
        <v>27574</v>
      </c>
      <c r="AV1682" s="76">
        <v>1.7062982553642299E+18</v>
      </c>
      <c r="AW1682" s="82" t="str">
        <f>HYPERLINK("https://t.co/6zjJ3McmEj")</f>
        <v>https://t.co/6zjJ3McmEj</v>
      </c>
      <c r="AX1682" s="76" t="b">
        <v>1</v>
      </c>
      <c r="AY1682" s="76"/>
      <c r="AZ1682" s="76"/>
      <c r="BA1682" s="76" t="b">
        <v>1</v>
      </c>
      <c r="BB1682" s="76" t="b">
        <v>1</v>
      </c>
      <c r="BC1682" s="76" t="b">
        <v>0</v>
      </c>
      <c r="BD1682" s="76" t="b">
        <v>0</v>
      </c>
      <c r="BE1682" s="76" t="b">
        <v>1</v>
      </c>
      <c r="BF1682" s="76" t="b">
        <v>0</v>
      </c>
      <c r="BG1682" s="76" t="b">
        <v>0</v>
      </c>
      <c r="BH1682" s="82" t="str">
        <f>HYPERLINK("https://pbs.twimg.com/profile_banners/115416310/1690196221")</f>
        <v>https://pbs.twimg.com/profile_banners/115416310/1690196221</v>
      </c>
      <c r="BI1682" s="76"/>
      <c r="BJ1682" s="76" t="s">
        <v>27595</v>
      </c>
      <c r="BK1682" s="76" t="b">
        <v>0</v>
      </c>
      <c r="BL1682" s="76"/>
      <c r="BM1682" s="76" t="s">
        <v>66</v>
      </c>
      <c r="BN1682" s="76" t="s">
        <v>27597</v>
      </c>
      <c r="BO1682" s="82" t="str">
        <f>HYPERLINK("https://twitter.com/uniruniversidad")</f>
        <v>https://twitter.com/uniruniversidad</v>
      </c>
      <c r="BP1682" s="2"/>
    </row>
    <row r="1683" spans="1:68" x14ac:dyDescent="0.25">
      <c r="A1683" s="62" t="s">
        <v>2055</v>
      </c>
      <c r="B1683" s="63"/>
      <c r="C1683" s="63"/>
      <c r="D1683" s="64"/>
      <c r="E1683" s="66"/>
      <c r="F1683" s="103" t="str">
        <f>HYPERLINK("https://pbs.twimg.com/profile_images/1458497056079847432/8Usy_39B_normal.png")</f>
        <v>https://pbs.twimg.com/profile_images/1458497056079847432/8Usy_39B_normal.png</v>
      </c>
      <c r="G1683" s="63"/>
      <c r="H1683" s="67"/>
      <c r="I1683" s="68"/>
      <c r="J1683" s="68"/>
      <c r="K1683" s="67" t="s">
        <v>29277</v>
      </c>
      <c r="L1683" s="71"/>
      <c r="M1683" s="72"/>
      <c r="N1683" s="72"/>
      <c r="O1683" s="73"/>
      <c r="P1683" s="74"/>
      <c r="Q1683" s="74"/>
      <c r="R1683" s="87"/>
      <c r="S1683" s="87"/>
      <c r="T1683" s="87"/>
      <c r="U1683" s="87"/>
      <c r="V1683" s="48"/>
      <c r="W1683" s="48"/>
      <c r="X1683" s="48"/>
      <c r="Y1683" s="48"/>
      <c r="Z1683" s="47"/>
      <c r="AA1683" s="69">
        <v>1683</v>
      </c>
      <c r="AB1683" s="69"/>
      <c r="AC1683" s="70"/>
      <c r="AD1683" s="76" t="s">
        <v>22892</v>
      </c>
      <c r="AE1683" s="81" t="s">
        <v>23947</v>
      </c>
      <c r="AF1683" s="76">
        <v>6187</v>
      </c>
      <c r="AG1683" s="76">
        <v>189</v>
      </c>
      <c r="AH1683" s="76">
        <v>10571</v>
      </c>
      <c r="AI1683" s="76">
        <v>192</v>
      </c>
      <c r="AJ1683" s="76">
        <v>734</v>
      </c>
      <c r="AK1683" s="76">
        <v>431</v>
      </c>
      <c r="AL1683" s="76" t="b">
        <v>0</v>
      </c>
      <c r="AM1683" s="78">
        <v>40889.544953703706</v>
      </c>
      <c r="AN1683" s="76" t="s">
        <v>24408</v>
      </c>
      <c r="AO1683" s="76" t="s">
        <v>26200</v>
      </c>
      <c r="AP1683" s="82" t="str">
        <f>HYPERLINK("https://t.co/l90QuVGVRu")</f>
        <v>https://t.co/l90QuVGVRu</v>
      </c>
      <c r="AQ1683" s="82" t="str">
        <f>HYPERLINK("http://www.nuevarevista.net")</f>
        <v>http://www.nuevarevista.net</v>
      </c>
      <c r="AR1683" s="76" t="s">
        <v>27270</v>
      </c>
      <c r="AS1683" s="76"/>
      <c r="AT1683" s="76"/>
      <c r="AU1683" s="76"/>
      <c r="AV1683" s="76">
        <v>1.69938362741341E+18</v>
      </c>
      <c r="AW1683" s="82" t="str">
        <f>HYPERLINK("https://t.co/l90QuVGVRu")</f>
        <v>https://t.co/l90QuVGVRu</v>
      </c>
      <c r="AX1683" s="76" t="b">
        <v>0</v>
      </c>
      <c r="AY1683" s="76"/>
      <c r="AZ1683" s="76"/>
      <c r="BA1683" s="76" t="b">
        <v>0</v>
      </c>
      <c r="BB1683" s="76" t="b">
        <v>1</v>
      </c>
      <c r="BC1683" s="76" t="b">
        <v>0</v>
      </c>
      <c r="BD1683" s="76" t="b">
        <v>0</v>
      </c>
      <c r="BE1683" s="76" t="b">
        <v>1</v>
      </c>
      <c r="BF1683" s="76" t="b">
        <v>0</v>
      </c>
      <c r="BG1683" s="76" t="b">
        <v>0</v>
      </c>
      <c r="BH1683" s="82" t="str">
        <f>HYPERLINK("https://pbs.twimg.com/profile_banners/434900136/1693994078")</f>
        <v>https://pbs.twimg.com/profile_banners/434900136/1693994078</v>
      </c>
      <c r="BI1683" s="76"/>
      <c r="BJ1683" s="76" t="s">
        <v>27595</v>
      </c>
      <c r="BK1683" s="76" t="b">
        <v>0</v>
      </c>
      <c r="BL1683" s="76"/>
      <c r="BM1683" s="76" t="s">
        <v>65</v>
      </c>
      <c r="BN1683" s="76" t="s">
        <v>27597</v>
      </c>
      <c r="BO1683" s="82" t="str">
        <f>HYPERLINK("https://twitter.com/_nuevarevista")</f>
        <v>https://twitter.com/_nuevarevista</v>
      </c>
      <c r="BP1683" s="2"/>
    </row>
    <row r="1684" spans="1:68" x14ac:dyDescent="0.25">
      <c r="A1684" s="62" t="s">
        <v>2056</v>
      </c>
      <c r="B1684" s="63"/>
      <c r="C1684" s="63"/>
      <c r="D1684" s="64"/>
      <c r="E1684" s="66"/>
      <c r="F1684" s="103" t="str">
        <f>HYPERLINK("https://pbs.twimg.com/profile_images/918195477975306241/BJvizrpS_normal.jpg")</f>
        <v>https://pbs.twimg.com/profile_images/918195477975306241/BJvizrpS_normal.jpg</v>
      </c>
      <c r="G1684" s="63"/>
      <c r="H1684" s="67"/>
      <c r="I1684" s="68"/>
      <c r="J1684" s="68"/>
      <c r="K1684" s="67" t="s">
        <v>29278</v>
      </c>
      <c r="L1684" s="71"/>
      <c r="M1684" s="72"/>
      <c r="N1684" s="72"/>
      <c r="O1684" s="73"/>
      <c r="P1684" s="74"/>
      <c r="Q1684" s="74"/>
      <c r="R1684" s="87"/>
      <c r="S1684" s="87"/>
      <c r="T1684" s="87"/>
      <c r="U1684" s="87"/>
      <c r="V1684" s="48"/>
      <c r="W1684" s="48"/>
      <c r="X1684" s="48"/>
      <c r="Y1684" s="48"/>
      <c r="Z1684" s="47"/>
      <c r="AA1684" s="69">
        <v>1684</v>
      </c>
      <c r="AB1684" s="69"/>
      <c r="AC1684" s="70"/>
      <c r="AD1684" s="76" t="s">
        <v>22893</v>
      </c>
      <c r="AE1684" s="81" t="s">
        <v>23948</v>
      </c>
      <c r="AF1684" s="76">
        <v>106025</v>
      </c>
      <c r="AG1684" s="76">
        <v>5102</v>
      </c>
      <c r="AH1684" s="76">
        <v>15754</v>
      </c>
      <c r="AI1684" s="76">
        <v>1022</v>
      </c>
      <c r="AJ1684" s="76">
        <v>37545</v>
      </c>
      <c r="AK1684" s="76">
        <v>3427</v>
      </c>
      <c r="AL1684" s="76" t="b">
        <v>0</v>
      </c>
      <c r="AM1684" s="78">
        <v>40112.654861111114</v>
      </c>
      <c r="AN1684" s="76" t="s">
        <v>24652</v>
      </c>
      <c r="AO1684" s="76" t="s">
        <v>26201</v>
      </c>
      <c r="AP1684" s="82" t="str">
        <f>HYPERLINK("https://t.co/pKxh9uwEap")</f>
        <v>https://t.co/pKxh9uwEap</v>
      </c>
      <c r="AQ1684" s="82" t="str">
        <f>HYPERLINK("http://www.ucm.es")</f>
        <v>http://www.ucm.es</v>
      </c>
      <c r="AR1684" s="76" t="s">
        <v>27271</v>
      </c>
      <c r="AS1684" s="76"/>
      <c r="AT1684" s="76"/>
      <c r="AU1684" s="76"/>
      <c r="AV1684" s="76"/>
      <c r="AW1684" s="82" t="str">
        <f>HYPERLINK("https://t.co/pKxh9uwEap")</f>
        <v>https://t.co/pKxh9uwEap</v>
      </c>
      <c r="AX1684" s="76" t="b">
        <v>1</v>
      </c>
      <c r="AY1684" s="76"/>
      <c r="AZ1684" s="76"/>
      <c r="BA1684" s="76" t="b">
        <v>1</v>
      </c>
      <c r="BB1684" s="76" t="b">
        <v>0</v>
      </c>
      <c r="BC1684" s="76" t="b">
        <v>0</v>
      </c>
      <c r="BD1684" s="76" t="b">
        <v>0</v>
      </c>
      <c r="BE1684" s="76" t="b">
        <v>1</v>
      </c>
      <c r="BF1684" s="76" t="b">
        <v>0</v>
      </c>
      <c r="BG1684" s="76" t="b">
        <v>0</v>
      </c>
      <c r="BH1684" s="82" t="str">
        <f>HYPERLINK("https://pbs.twimg.com/profile_banners/85343435/1670238725")</f>
        <v>https://pbs.twimg.com/profile_banners/85343435/1670238725</v>
      </c>
      <c r="BI1684" s="76"/>
      <c r="BJ1684" s="76" t="s">
        <v>27595</v>
      </c>
      <c r="BK1684" s="76" t="b">
        <v>0</v>
      </c>
      <c r="BL1684" s="76"/>
      <c r="BM1684" s="76" t="s">
        <v>65</v>
      </c>
      <c r="BN1684" s="76" t="s">
        <v>27597</v>
      </c>
      <c r="BO1684" s="82" t="str">
        <f>HYPERLINK("https://twitter.com/unicomplutense")</f>
        <v>https://twitter.com/unicomplutense</v>
      </c>
      <c r="BP1684" s="2"/>
    </row>
    <row r="1685" spans="1:68" x14ac:dyDescent="0.25">
      <c r="A1685" s="62" t="s">
        <v>2057</v>
      </c>
      <c r="B1685" s="63"/>
      <c r="C1685" s="63"/>
      <c r="D1685" s="64"/>
      <c r="E1685" s="66"/>
      <c r="F1685" s="103" t="str">
        <f>HYPERLINK("https://pbs.twimg.com/profile_images/1675764050787987456/qES5swQ1_normal.jpg")</f>
        <v>https://pbs.twimg.com/profile_images/1675764050787987456/qES5swQ1_normal.jpg</v>
      </c>
      <c r="G1685" s="63"/>
      <c r="H1685" s="67"/>
      <c r="I1685" s="68"/>
      <c r="J1685" s="68"/>
      <c r="K1685" s="67" t="s">
        <v>29279</v>
      </c>
      <c r="L1685" s="71"/>
      <c r="M1685" s="72"/>
      <c r="N1685" s="72"/>
      <c r="O1685" s="73"/>
      <c r="P1685" s="74"/>
      <c r="Q1685" s="74"/>
      <c r="R1685" s="87"/>
      <c r="S1685" s="87"/>
      <c r="T1685" s="87"/>
      <c r="U1685" s="87"/>
      <c r="V1685" s="48"/>
      <c r="W1685" s="48"/>
      <c r="X1685" s="48"/>
      <c r="Y1685" s="48"/>
      <c r="Z1685" s="47"/>
      <c r="AA1685" s="69">
        <v>1685</v>
      </c>
      <c r="AB1685" s="69"/>
      <c r="AC1685" s="70"/>
      <c r="AD1685" s="76" t="s">
        <v>22894</v>
      </c>
      <c r="AE1685" s="81" t="s">
        <v>23949</v>
      </c>
      <c r="AF1685" s="76">
        <v>25363</v>
      </c>
      <c r="AG1685" s="76">
        <v>95</v>
      </c>
      <c r="AH1685" s="76">
        <v>6471</v>
      </c>
      <c r="AI1685" s="76">
        <v>404</v>
      </c>
      <c r="AJ1685" s="76">
        <v>1060</v>
      </c>
      <c r="AK1685" s="76">
        <v>3930</v>
      </c>
      <c r="AL1685" s="76" t="b">
        <v>0</v>
      </c>
      <c r="AM1685" s="78">
        <v>43398.491967592592</v>
      </c>
      <c r="AN1685" s="76" t="s">
        <v>24243</v>
      </c>
      <c r="AO1685" s="76" t="s">
        <v>26202</v>
      </c>
      <c r="AP1685" s="82" t="str">
        <f>HYPERLINK("https://t.co/IZMNIBeKKS")</f>
        <v>https://t.co/IZMNIBeKKS</v>
      </c>
      <c r="AQ1685" s="82" t="str">
        <f>HYPERLINK("http://www.bde.es")</f>
        <v>http://www.bde.es</v>
      </c>
      <c r="AR1685" s="76" t="s">
        <v>27272</v>
      </c>
      <c r="AS1685" s="76"/>
      <c r="AT1685" s="76"/>
      <c r="AU1685" s="76"/>
      <c r="AV1685" s="76">
        <v>1.705251748712E+18</v>
      </c>
      <c r="AW1685" s="82" t="str">
        <f>HYPERLINK("https://t.co/IZMNIBeKKS")</f>
        <v>https://t.co/IZMNIBeKKS</v>
      </c>
      <c r="AX1685" s="76" t="b">
        <v>0</v>
      </c>
      <c r="AY1685" s="76"/>
      <c r="AZ1685" s="76"/>
      <c r="BA1685" s="76" t="b">
        <v>0</v>
      </c>
      <c r="BB1685" s="76" t="b">
        <v>1</v>
      </c>
      <c r="BC1685" s="76" t="b">
        <v>0</v>
      </c>
      <c r="BD1685" s="76" t="b">
        <v>0</v>
      </c>
      <c r="BE1685" s="76" t="b">
        <v>0</v>
      </c>
      <c r="BF1685" s="76" t="b">
        <v>0</v>
      </c>
      <c r="BG1685" s="76" t="b">
        <v>0</v>
      </c>
      <c r="BH1685" s="82" t="str">
        <f>HYPERLINK("https://pbs.twimg.com/profile_banners/1055425848906522624/1540910284")</f>
        <v>https://pbs.twimg.com/profile_banners/1055425848906522624/1540910284</v>
      </c>
      <c r="BI1685" s="76"/>
      <c r="BJ1685" s="76" t="s">
        <v>27595</v>
      </c>
      <c r="BK1685" s="76" t="b">
        <v>0</v>
      </c>
      <c r="BL1685" s="76"/>
      <c r="BM1685" s="76" t="s">
        <v>65</v>
      </c>
      <c r="BN1685" s="76" t="s">
        <v>27597</v>
      </c>
      <c r="BO1685" s="82" t="str">
        <f>HYPERLINK("https://twitter.com/bancodeespana")</f>
        <v>https://twitter.com/bancodeespana</v>
      </c>
      <c r="BP1685" s="2"/>
    </row>
    <row r="1686" spans="1:68" x14ac:dyDescent="0.25">
      <c r="A1686" s="62" t="s">
        <v>1518</v>
      </c>
      <c r="B1686" s="63"/>
      <c r="C1686" s="63"/>
      <c r="D1686" s="64"/>
      <c r="E1686" s="66"/>
      <c r="F1686" s="103" t="str">
        <f>HYPERLINK("https://pbs.twimg.com/profile_images/894933660784349184/PQhuvdbJ_normal.jpg")</f>
        <v>https://pbs.twimg.com/profile_images/894933660784349184/PQhuvdbJ_normal.jpg</v>
      </c>
      <c r="G1686" s="63"/>
      <c r="H1686" s="67"/>
      <c r="I1686" s="68"/>
      <c r="J1686" s="68"/>
      <c r="K1686" s="67" t="s">
        <v>29280</v>
      </c>
      <c r="L1686" s="71"/>
      <c r="M1686" s="72"/>
      <c r="N1686" s="72"/>
      <c r="O1686" s="73"/>
      <c r="P1686" s="74"/>
      <c r="Q1686" s="74"/>
      <c r="R1686" s="87"/>
      <c r="S1686" s="87"/>
      <c r="T1686" s="87"/>
      <c r="U1686" s="87"/>
      <c r="V1686" s="48"/>
      <c r="W1686" s="48"/>
      <c r="X1686" s="48"/>
      <c r="Y1686" s="48"/>
      <c r="Z1686" s="47"/>
      <c r="AA1686" s="69">
        <v>1686</v>
      </c>
      <c r="AB1686" s="69"/>
      <c r="AC1686" s="70"/>
      <c r="AD1686" s="76" t="s">
        <v>22895</v>
      </c>
      <c r="AE1686" s="81" t="s">
        <v>23950</v>
      </c>
      <c r="AF1686" s="76">
        <v>1563</v>
      </c>
      <c r="AG1686" s="76">
        <v>556</v>
      </c>
      <c r="AH1686" s="76">
        <v>14142</v>
      </c>
      <c r="AI1686" s="76">
        <v>17</v>
      </c>
      <c r="AJ1686" s="76">
        <v>735</v>
      </c>
      <c r="AK1686" s="76">
        <v>4920</v>
      </c>
      <c r="AL1686" s="76" t="b">
        <v>0</v>
      </c>
      <c r="AM1686" s="78">
        <v>40983.859375</v>
      </c>
      <c r="AN1686" s="76"/>
      <c r="AO1686" s="76" t="s">
        <v>26203</v>
      </c>
      <c r="AP1686" s="82" t="str">
        <f>HYPERLINK("https://t.co/OTsrpU3Ocl")</f>
        <v>https://t.co/OTsrpU3Ocl</v>
      </c>
      <c r="AQ1686" s="82" t="str">
        <f>HYPERLINK("http://www.seesp.org.br")</f>
        <v>http://www.seesp.org.br</v>
      </c>
      <c r="AR1686" s="76" t="s">
        <v>27273</v>
      </c>
      <c r="AS1686" s="76"/>
      <c r="AT1686" s="76"/>
      <c r="AU1686" s="76"/>
      <c r="AV1686" s="76"/>
      <c r="AW1686" s="82" t="str">
        <f>HYPERLINK("https://t.co/OTsrpU3Ocl")</f>
        <v>https://t.co/OTsrpU3Ocl</v>
      </c>
      <c r="AX1686" s="76" t="b">
        <v>0</v>
      </c>
      <c r="AY1686" s="76"/>
      <c r="AZ1686" s="76"/>
      <c r="BA1686" s="76" t="b">
        <v>0</v>
      </c>
      <c r="BB1686" s="76" t="b">
        <v>1</v>
      </c>
      <c r="BC1686" s="76" t="b">
        <v>0</v>
      </c>
      <c r="BD1686" s="76" t="b">
        <v>0</v>
      </c>
      <c r="BE1686" s="76" t="b">
        <v>0</v>
      </c>
      <c r="BF1686" s="76" t="b">
        <v>0</v>
      </c>
      <c r="BG1686" s="76" t="b">
        <v>0</v>
      </c>
      <c r="BH1686" s="82" t="str">
        <f>HYPERLINK("https://pbs.twimg.com/profile_banners/525729482/1648058372")</f>
        <v>https://pbs.twimg.com/profile_banners/525729482/1648058372</v>
      </c>
      <c r="BI1686" s="76"/>
      <c r="BJ1686" s="76" t="s">
        <v>27595</v>
      </c>
      <c r="BK1686" s="76" t="b">
        <v>0</v>
      </c>
      <c r="BL1686" s="76"/>
      <c r="BM1686" s="76" t="s">
        <v>66</v>
      </c>
      <c r="BN1686" s="76" t="s">
        <v>27597</v>
      </c>
      <c r="BO1686" s="82" t="str">
        <f>HYPERLINK("https://twitter.com/seesp_eng")</f>
        <v>https://twitter.com/seesp_eng</v>
      </c>
      <c r="BP1686" s="2"/>
    </row>
    <row r="1687" spans="1:68" x14ac:dyDescent="0.25">
      <c r="A1687" s="62" t="s">
        <v>1519</v>
      </c>
      <c r="B1687" s="63"/>
      <c r="C1687" s="63"/>
      <c r="D1687" s="64"/>
      <c r="E1687" s="66"/>
      <c r="F1687" s="103" t="str">
        <f>HYPERLINK("https://pbs.twimg.com/profile_images/930973395642126337/Fq-uhxA-_normal.jpg")</f>
        <v>https://pbs.twimg.com/profile_images/930973395642126337/Fq-uhxA-_normal.jpg</v>
      </c>
      <c r="G1687" s="63"/>
      <c r="H1687" s="67"/>
      <c r="I1687" s="68"/>
      <c r="J1687" s="68"/>
      <c r="K1687" s="67" t="s">
        <v>29281</v>
      </c>
      <c r="L1687" s="71"/>
      <c r="M1687" s="72"/>
      <c r="N1687" s="72"/>
      <c r="O1687" s="73"/>
      <c r="P1687" s="74"/>
      <c r="Q1687" s="74"/>
      <c r="R1687" s="87"/>
      <c r="S1687" s="87"/>
      <c r="T1687" s="87"/>
      <c r="U1687" s="87"/>
      <c r="V1687" s="48"/>
      <c r="W1687" s="48"/>
      <c r="X1687" s="48"/>
      <c r="Y1687" s="48"/>
      <c r="Z1687" s="47"/>
      <c r="AA1687" s="69">
        <v>1687</v>
      </c>
      <c r="AB1687" s="69"/>
      <c r="AC1687" s="70"/>
      <c r="AD1687" s="76" t="s">
        <v>22896</v>
      </c>
      <c r="AE1687" s="81" t="s">
        <v>23951</v>
      </c>
      <c r="AF1687" s="76">
        <v>2799</v>
      </c>
      <c r="AG1687" s="76">
        <v>3378</v>
      </c>
      <c r="AH1687" s="76">
        <v>51162</v>
      </c>
      <c r="AI1687" s="76">
        <v>7</v>
      </c>
      <c r="AJ1687" s="76">
        <v>22616</v>
      </c>
      <c r="AK1687" s="76">
        <v>7364</v>
      </c>
      <c r="AL1687" s="76" t="b">
        <v>0</v>
      </c>
      <c r="AM1687" s="78">
        <v>40368.863240740742</v>
      </c>
      <c r="AN1687" s="76" t="s">
        <v>24653</v>
      </c>
      <c r="AO1687" s="76" t="s">
        <v>26204</v>
      </c>
      <c r="AP1687" s="82" t="str">
        <f>HYPERLINK("https://t.co/5lH240LgeP")</f>
        <v>https://t.co/5lH240LgeP</v>
      </c>
      <c r="AQ1687" s="82" t="str">
        <f>HYPERLINK("http://eduardojquintana.blogspot.com")</f>
        <v>http://eduardojquintana.blogspot.com</v>
      </c>
      <c r="AR1687" s="76" t="s">
        <v>27274</v>
      </c>
      <c r="AS1687" s="76"/>
      <c r="AT1687" s="76"/>
      <c r="AU1687" s="76"/>
      <c r="AV1687" s="76">
        <v>1.7065158353495199E+18</v>
      </c>
      <c r="AW1687" s="82" t="str">
        <f>HYPERLINK("https://t.co/5lH240LgeP")</f>
        <v>https://t.co/5lH240LgeP</v>
      </c>
      <c r="AX1687" s="76" t="b">
        <v>0</v>
      </c>
      <c r="AY1687" s="76"/>
      <c r="AZ1687" s="76"/>
      <c r="BA1687" s="76" t="b">
        <v>0</v>
      </c>
      <c r="BB1687" s="76" t="b">
        <v>0</v>
      </c>
      <c r="BC1687" s="76" t="b">
        <v>0</v>
      </c>
      <c r="BD1687" s="76" t="b">
        <v>0</v>
      </c>
      <c r="BE1687" s="76" t="b">
        <v>1</v>
      </c>
      <c r="BF1687" s="76" t="b">
        <v>0</v>
      </c>
      <c r="BG1687" s="76" t="b">
        <v>0</v>
      </c>
      <c r="BH1687" s="82" t="str">
        <f>HYPERLINK("https://pbs.twimg.com/profile_banners/164812770/1605052129")</f>
        <v>https://pbs.twimg.com/profile_banners/164812770/1605052129</v>
      </c>
      <c r="BI1687" s="76"/>
      <c r="BJ1687" s="76" t="s">
        <v>27595</v>
      </c>
      <c r="BK1687" s="76" t="b">
        <v>0</v>
      </c>
      <c r="BL1687" s="76"/>
      <c r="BM1687" s="76" t="s">
        <v>66</v>
      </c>
      <c r="BN1687" s="76" t="s">
        <v>27597</v>
      </c>
      <c r="BO1687" s="82" t="str">
        <f>HYPERLINK("https://twitter.com/ejquintana010")</f>
        <v>https://twitter.com/ejquintana010</v>
      </c>
      <c r="BP1687" s="2"/>
    </row>
    <row r="1688" spans="1:68" x14ac:dyDescent="0.25">
      <c r="A1688" s="62" t="s">
        <v>1520</v>
      </c>
      <c r="B1688" s="63"/>
      <c r="C1688" s="63"/>
      <c r="D1688" s="64"/>
      <c r="E1688" s="66"/>
      <c r="F1688" s="103" t="str">
        <f>HYPERLINK("https://pbs.twimg.com/profile_images/1155334894001590272/vN3AXhsr_normal.jpg")</f>
        <v>https://pbs.twimg.com/profile_images/1155334894001590272/vN3AXhsr_normal.jpg</v>
      </c>
      <c r="G1688" s="63"/>
      <c r="H1688" s="67"/>
      <c r="I1688" s="68"/>
      <c r="J1688" s="68"/>
      <c r="K1688" s="67" t="s">
        <v>29282</v>
      </c>
      <c r="L1688" s="71"/>
      <c r="M1688" s="72"/>
      <c r="N1688" s="72"/>
      <c r="O1688" s="73"/>
      <c r="P1688" s="74"/>
      <c r="Q1688" s="74"/>
      <c r="R1688" s="87"/>
      <c r="S1688" s="87"/>
      <c r="T1688" s="87"/>
      <c r="U1688" s="87"/>
      <c r="V1688" s="48"/>
      <c r="W1688" s="48"/>
      <c r="X1688" s="48"/>
      <c r="Y1688" s="48"/>
      <c r="Z1688" s="47"/>
      <c r="AA1688" s="69">
        <v>1688</v>
      </c>
      <c r="AB1688" s="69"/>
      <c r="AC1688" s="70"/>
      <c r="AD1688" s="76" t="s">
        <v>22897</v>
      </c>
      <c r="AE1688" s="81" t="s">
        <v>23952</v>
      </c>
      <c r="AF1688" s="76">
        <v>50</v>
      </c>
      <c r="AG1688" s="76">
        <v>480</v>
      </c>
      <c r="AH1688" s="76">
        <v>707</v>
      </c>
      <c r="AI1688" s="76">
        <v>0</v>
      </c>
      <c r="AJ1688" s="76">
        <v>770</v>
      </c>
      <c r="AK1688" s="76">
        <v>23</v>
      </c>
      <c r="AL1688" s="76" t="b">
        <v>0</v>
      </c>
      <c r="AM1688" s="78">
        <v>42138.381284722222</v>
      </c>
      <c r="AN1688" s="76"/>
      <c r="AO1688" s="76" t="s">
        <v>26205</v>
      </c>
      <c r="AP1688" s="82" t="str">
        <f>HYPERLINK("https://t.co/NFSA7i6Rf9")</f>
        <v>https://t.co/NFSA7i6Rf9</v>
      </c>
      <c r="AQ1688" s="82" t="str">
        <f>HYPERLINK("http://estudiosunidad.org")</f>
        <v>http://estudiosunidad.org</v>
      </c>
      <c r="AR1688" s="76" t="s">
        <v>27275</v>
      </c>
      <c r="AS1688" s="76"/>
      <c r="AT1688" s="76"/>
      <c r="AU1688" s="76"/>
      <c r="AV1688" s="76"/>
      <c r="AW1688" s="82" t="str">
        <f>HYPERLINK("https://t.co/NFSA7i6Rf9")</f>
        <v>https://t.co/NFSA7i6Rf9</v>
      </c>
      <c r="AX1688" s="76" t="b">
        <v>0</v>
      </c>
      <c r="AY1688" s="76"/>
      <c r="AZ1688" s="76"/>
      <c r="BA1688" s="76" t="b">
        <v>0</v>
      </c>
      <c r="BB1688" s="76" t="b">
        <v>0</v>
      </c>
      <c r="BC1688" s="76" t="b">
        <v>1</v>
      </c>
      <c r="BD1688" s="76" t="b">
        <v>0</v>
      </c>
      <c r="BE1688" s="76" t="b">
        <v>1</v>
      </c>
      <c r="BF1688" s="76" t="b">
        <v>0</v>
      </c>
      <c r="BG1688" s="76" t="b">
        <v>1</v>
      </c>
      <c r="BH1688" s="76"/>
      <c r="BI1688" s="76"/>
      <c r="BJ1688" s="76" t="s">
        <v>27595</v>
      </c>
      <c r="BK1688" s="76" t="b">
        <v>0</v>
      </c>
      <c r="BL1688" s="76"/>
      <c r="BM1688" s="76" t="s">
        <v>66</v>
      </c>
      <c r="BN1688" s="76" t="s">
        <v>27597</v>
      </c>
      <c r="BO1688" s="82" t="str">
        <f>HYPERLINK("https://twitter.com/bgaleazzi_o")</f>
        <v>https://twitter.com/bgaleazzi_o</v>
      </c>
      <c r="BP1688" s="2"/>
    </row>
    <row r="1689" spans="1:68" x14ac:dyDescent="0.25">
      <c r="A1689" s="62" t="s">
        <v>1521</v>
      </c>
      <c r="B1689" s="63"/>
      <c r="C1689" s="63"/>
      <c r="D1689" s="64"/>
      <c r="E1689" s="66"/>
      <c r="F1689" s="103" t="str">
        <f>HYPERLINK("https://pbs.twimg.com/profile_images/1667370994418216960/ssuTeiPs_normal.jpg")</f>
        <v>https://pbs.twimg.com/profile_images/1667370994418216960/ssuTeiPs_normal.jpg</v>
      </c>
      <c r="G1689" s="63"/>
      <c r="H1689" s="67"/>
      <c r="I1689" s="68"/>
      <c r="J1689" s="68"/>
      <c r="K1689" s="67" t="s">
        <v>29283</v>
      </c>
      <c r="L1689" s="71"/>
      <c r="M1689" s="72"/>
      <c r="N1689" s="72"/>
      <c r="O1689" s="73"/>
      <c r="P1689" s="74"/>
      <c r="Q1689" s="74"/>
      <c r="R1689" s="87"/>
      <c r="S1689" s="87"/>
      <c r="T1689" s="87"/>
      <c r="U1689" s="87"/>
      <c r="V1689" s="48"/>
      <c r="W1689" s="48"/>
      <c r="X1689" s="48"/>
      <c r="Y1689" s="48"/>
      <c r="Z1689" s="47"/>
      <c r="AA1689" s="69">
        <v>1689</v>
      </c>
      <c r="AB1689" s="69"/>
      <c r="AC1689" s="70"/>
      <c r="AD1689" s="76" t="s">
        <v>22898</v>
      </c>
      <c r="AE1689" s="81" t="s">
        <v>21129</v>
      </c>
      <c r="AF1689" s="76">
        <v>5362</v>
      </c>
      <c r="AG1689" s="76">
        <v>249</v>
      </c>
      <c r="AH1689" s="76">
        <v>2159</v>
      </c>
      <c r="AI1689" s="76">
        <v>0</v>
      </c>
      <c r="AJ1689" s="76">
        <v>42</v>
      </c>
      <c r="AK1689" s="76">
        <v>2149</v>
      </c>
      <c r="AL1689" s="76" t="b">
        <v>0</v>
      </c>
      <c r="AM1689" s="78">
        <v>45087.136620370373</v>
      </c>
      <c r="AN1689" s="76" t="s">
        <v>14381</v>
      </c>
      <c r="AO1689" s="76" t="s">
        <v>26206</v>
      </c>
      <c r="AP1689" s="82" t="str">
        <f>HYPERLINK("https://t.co/CwnwNtsurV")</f>
        <v>https://t.co/CwnwNtsurV</v>
      </c>
      <c r="AQ1689" s="82" t="str">
        <f>HYPERLINK("http://www.cronicasdeldiard.com")</f>
        <v>http://www.cronicasdeldiard.com</v>
      </c>
      <c r="AR1689" s="76" t="s">
        <v>27276</v>
      </c>
      <c r="AS1689" s="76"/>
      <c r="AT1689" s="76"/>
      <c r="AU1689" s="76"/>
      <c r="AV1689" s="76"/>
      <c r="AW1689" s="82" t="str">
        <f>HYPERLINK("https://t.co/CwnwNtsurV")</f>
        <v>https://t.co/CwnwNtsurV</v>
      </c>
      <c r="AX1689" s="76" t="b">
        <v>1</v>
      </c>
      <c r="AY1689" s="76"/>
      <c r="AZ1689" s="76"/>
      <c r="BA1689" s="76" t="b">
        <v>0</v>
      </c>
      <c r="BB1689" s="76" t="b">
        <v>1</v>
      </c>
      <c r="BC1689" s="76" t="b">
        <v>1</v>
      </c>
      <c r="BD1689" s="76" t="b">
        <v>0</v>
      </c>
      <c r="BE1689" s="76" t="b">
        <v>0</v>
      </c>
      <c r="BF1689" s="76" t="b">
        <v>0</v>
      </c>
      <c r="BG1689" s="76" t="b">
        <v>0</v>
      </c>
      <c r="BH1689" s="82" t="str">
        <f>HYPERLINK("https://pbs.twimg.com/profile_banners/1667370112964349953/1686367280")</f>
        <v>https://pbs.twimg.com/profile_banners/1667370112964349953/1686367280</v>
      </c>
      <c r="BI1689" s="76"/>
      <c r="BJ1689" s="76" t="s">
        <v>27595</v>
      </c>
      <c r="BK1689" s="76" t="b">
        <v>0</v>
      </c>
      <c r="BL1689" s="76"/>
      <c r="BM1689" s="76" t="s">
        <v>66</v>
      </c>
      <c r="BN1689" s="76" t="s">
        <v>27597</v>
      </c>
      <c r="BO1689" s="82" t="str">
        <f>HYPERLINK("https://twitter.com/cronicasdeldia")</f>
        <v>https://twitter.com/cronicasdeldia</v>
      </c>
      <c r="BP1689" s="2"/>
    </row>
    <row r="1690" spans="1:68" x14ac:dyDescent="0.25">
      <c r="A1690" s="62" t="s">
        <v>1522</v>
      </c>
      <c r="B1690" s="63"/>
      <c r="C1690" s="63"/>
      <c r="D1690" s="64"/>
      <c r="E1690" s="66"/>
      <c r="F1690" s="103" t="str">
        <f>HYPERLINK("https://pbs.twimg.com/profile_images/1410643486009958401/owIURLL5_normal.jpg")</f>
        <v>https://pbs.twimg.com/profile_images/1410643486009958401/owIURLL5_normal.jpg</v>
      </c>
      <c r="G1690" s="63"/>
      <c r="H1690" s="67"/>
      <c r="I1690" s="68"/>
      <c r="J1690" s="68"/>
      <c r="K1690" s="67" t="s">
        <v>29284</v>
      </c>
      <c r="L1690" s="71"/>
      <c r="M1690" s="72"/>
      <c r="N1690" s="72"/>
      <c r="O1690" s="73"/>
      <c r="P1690" s="74"/>
      <c r="Q1690" s="74"/>
      <c r="R1690" s="87"/>
      <c r="S1690" s="87"/>
      <c r="T1690" s="87"/>
      <c r="U1690" s="87"/>
      <c r="V1690" s="48"/>
      <c r="W1690" s="48"/>
      <c r="X1690" s="48"/>
      <c r="Y1690" s="48"/>
      <c r="Z1690" s="47"/>
      <c r="AA1690" s="69">
        <v>1690</v>
      </c>
      <c r="AB1690" s="69"/>
      <c r="AC1690" s="70"/>
      <c r="AD1690" s="76" t="s">
        <v>22899</v>
      </c>
      <c r="AE1690" s="81" t="s">
        <v>23953</v>
      </c>
      <c r="AF1690" s="76">
        <v>493492</v>
      </c>
      <c r="AG1690" s="76">
        <v>1230</v>
      </c>
      <c r="AH1690" s="76">
        <v>66118</v>
      </c>
      <c r="AI1690" s="76">
        <v>1792</v>
      </c>
      <c r="AJ1690" s="76">
        <v>8371</v>
      </c>
      <c r="AK1690" s="76">
        <v>29284</v>
      </c>
      <c r="AL1690" s="76" t="b">
        <v>0</v>
      </c>
      <c r="AM1690" s="78">
        <v>42076.087083333332</v>
      </c>
      <c r="AN1690" s="76" t="s">
        <v>14382</v>
      </c>
      <c r="AO1690" s="76" t="s">
        <v>26207</v>
      </c>
      <c r="AP1690" s="82" t="str">
        <f>HYPERLINK("https://t.co/c7JGZUJJBg")</f>
        <v>https://t.co/c7JGZUJJBg</v>
      </c>
      <c r="AQ1690" s="82" t="str">
        <f>HYPERLINK("http://jornalistaslivres.org/")</f>
        <v>http://jornalistaslivres.org/</v>
      </c>
      <c r="AR1690" s="76" t="s">
        <v>8867</v>
      </c>
      <c r="AS1690" s="76"/>
      <c r="AT1690" s="76"/>
      <c r="AU1690" s="76"/>
      <c r="AV1690" s="76">
        <v>1.69610774646929E+18</v>
      </c>
      <c r="AW1690" s="82" t="str">
        <f>HYPERLINK("https://t.co/c7JGZUJJBg")</f>
        <v>https://t.co/c7JGZUJJBg</v>
      </c>
      <c r="AX1690" s="76" t="b">
        <v>0</v>
      </c>
      <c r="AY1690" s="76"/>
      <c r="AZ1690" s="76"/>
      <c r="BA1690" s="76" t="b">
        <v>1</v>
      </c>
      <c r="BB1690" s="76" t="b">
        <v>1</v>
      </c>
      <c r="BC1690" s="76" t="b">
        <v>0</v>
      </c>
      <c r="BD1690" s="76" t="b">
        <v>0</v>
      </c>
      <c r="BE1690" s="76" t="b">
        <v>1</v>
      </c>
      <c r="BF1690" s="76" t="b">
        <v>0</v>
      </c>
      <c r="BG1690" s="76" t="b">
        <v>1</v>
      </c>
      <c r="BH1690" s="82" t="str">
        <f>HYPERLINK("https://pbs.twimg.com/profile_banners/3090382647/1685443218")</f>
        <v>https://pbs.twimg.com/profile_banners/3090382647/1685443218</v>
      </c>
      <c r="BI1690" s="76"/>
      <c r="BJ1690" s="76" t="s">
        <v>27595</v>
      </c>
      <c r="BK1690" s="76" t="b">
        <v>0</v>
      </c>
      <c r="BL1690" s="76"/>
      <c r="BM1690" s="76" t="s">
        <v>66</v>
      </c>
      <c r="BN1690" s="76" t="s">
        <v>27597</v>
      </c>
      <c r="BO1690" s="82" t="str">
        <f>HYPERLINK("https://twitter.com/j_livres")</f>
        <v>https://twitter.com/j_livres</v>
      </c>
      <c r="BP1690" s="2"/>
    </row>
    <row r="1691" spans="1:68" x14ac:dyDescent="0.25">
      <c r="A1691" s="62" t="s">
        <v>2058</v>
      </c>
      <c r="B1691" s="63"/>
      <c r="C1691" s="63"/>
      <c r="D1691" s="64"/>
      <c r="E1691" s="66"/>
      <c r="F1691" s="103" t="str">
        <f>HYPERLINK("https://pbs.twimg.com/profile_images/1127017328/Nogueira002_normal.jpg")</f>
        <v>https://pbs.twimg.com/profile_images/1127017328/Nogueira002_normal.jpg</v>
      </c>
      <c r="G1691" s="63"/>
      <c r="H1691" s="67"/>
      <c r="I1691" s="68"/>
      <c r="J1691" s="68"/>
      <c r="K1691" s="67" t="s">
        <v>29285</v>
      </c>
      <c r="L1691" s="71"/>
      <c r="M1691" s="72"/>
      <c r="N1691" s="72"/>
      <c r="O1691" s="73"/>
      <c r="P1691" s="74"/>
      <c r="Q1691" s="74"/>
      <c r="R1691" s="87"/>
      <c r="S1691" s="87"/>
      <c r="T1691" s="87"/>
      <c r="U1691" s="87"/>
      <c r="V1691" s="48"/>
      <c r="W1691" s="48"/>
      <c r="X1691" s="48"/>
      <c r="Y1691" s="48"/>
      <c r="Z1691" s="47"/>
      <c r="AA1691" s="69">
        <v>1691</v>
      </c>
      <c r="AB1691" s="69"/>
      <c r="AC1691" s="70"/>
      <c r="AD1691" s="76" t="s">
        <v>22900</v>
      </c>
      <c r="AE1691" s="81" t="s">
        <v>23954</v>
      </c>
      <c r="AF1691" s="76">
        <v>34729</v>
      </c>
      <c r="AG1691" s="76">
        <v>1046</v>
      </c>
      <c r="AH1691" s="76">
        <v>10832</v>
      </c>
      <c r="AI1691" s="76">
        <v>173</v>
      </c>
      <c r="AJ1691" s="76">
        <v>27378</v>
      </c>
      <c r="AK1691" s="76">
        <v>1333</v>
      </c>
      <c r="AL1691" s="76" t="b">
        <v>0</v>
      </c>
      <c r="AM1691" s="78">
        <v>40327.72760416667</v>
      </c>
      <c r="AN1691" s="76" t="s">
        <v>24073</v>
      </c>
      <c r="AO1691" s="76" t="s">
        <v>26208</v>
      </c>
      <c r="AP1691" s="82" t="str">
        <f>HYPERLINK("https://t.co/iIltniaygB")</f>
        <v>https://t.co/iIltniaygB</v>
      </c>
      <c r="AQ1691" s="82" t="str">
        <f>HYPERLINK("http://www.nogueirabatista.com.br")</f>
        <v>http://www.nogueirabatista.com.br</v>
      </c>
      <c r="AR1691" s="76" t="s">
        <v>27277</v>
      </c>
      <c r="AS1691" s="76"/>
      <c r="AT1691" s="76"/>
      <c r="AU1691" s="76"/>
      <c r="AV1691" s="76">
        <v>1.39626158137425E+18</v>
      </c>
      <c r="AW1691" s="82" t="str">
        <f>HYPERLINK("https://t.co/iIltniaygB")</f>
        <v>https://t.co/iIltniaygB</v>
      </c>
      <c r="AX1691" s="76" t="b">
        <v>0</v>
      </c>
      <c r="AY1691" s="76"/>
      <c r="AZ1691" s="76"/>
      <c r="BA1691" s="76" t="b">
        <v>1</v>
      </c>
      <c r="BB1691" s="76" t="b">
        <v>1</v>
      </c>
      <c r="BC1691" s="76" t="b">
        <v>1</v>
      </c>
      <c r="BD1691" s="76" t="b">
        <v>0</v>
      </c>
      <c r="BE1691" s="76" t="b">
        <v>1</v>
      </c>
      <c r="BF1691" s="76" t="b">
        <v>0</v>
      </c>
      <c r="BG1691" s="76" t="b">
        <v>0</v>
      </c>
      <c r="BH1691" s="82" t="str">
        <f>HYPERLINK("https://pbs.twimg.com/profile_banners/149585845/1498394564")</f>
        <v>https://pbs.twimg.com/profile_banners/149585845/1498394564</v>
      </c>
      <c r="BI1691" s="76"/>
      <c r="BJ1691" s="76" t="s">
        <v>27595</v>
      </c>
      <c r="BK1691" s="76" t="b">
        <v>0</v>
      </c>
      <c r="BL1691" s="76"/>
      <c r="BM1691" s="76" t="s">
        <v>65</v>
      </c>
      <c r="BN1691" s="76" t="s">
        <v>27597</v>
      </c>
      <c r="BO1691" s="82" t="str">
        <f>HYPERLINK("https://twitter.com/paulonbjr")</f>
        <v>https://twitter.com/paulonbjr</v>
      </c>
      <c r="BP1691" s="2"/>
    </row>
    <row r="1692" spans="1:68" x14ac:dyDescent="0.25">
      <c r="A1692" s="62" t="s">
        <v>1523</v>
      </c>
      <c r="B1692" s="63"/>
      <c r="C1692" s="63"/>
      <c r="D1692" s="64"/>
      <c r="E1692" s="66"/>
      <c r="F1692" s="103" t="str">
        <f>HYPERLINK("https://pbs.twimg.com/profile_images/378800000282834859/dcb97f1d58f8976c8d2a40c49df92677_normal.jpeg")</f>
        <v>https://pbs.twimg.com/profile_images/378800000282834859/dcb97f1d58f8976c8d2a40c49df92677_normal.jpeg</v>
      </c>
      <c r="G1692" s="63"/>
      <c r="H1692" s="67"/>
      <c r="I1692" s="68"/>
      <c r="J1692" s="68"/>
      <c r="K1692" s="67" t="s">
        <v>29286</v>
      </c>
      <c r="L1692" s="71"/>
      <c r="M1692" s="72"/>
      <c r="N1692" s="72"/>
      <c r="O1692" s="73"/>
      <c r="P1692" s="74"/>
      <c r="Q1692" s="74"/>
      <c r="R1692" s="87"/>
      <c r="S1692" s="87"/>
      <c r="T1692" s="87"/>
      <c r="U1692" s="87"/>
      <c r="V1692" s="48"/>
      <c r="W1692" s="48"/>
      <c r="X1692" s="48"/>
      <c r="Y1692" s="48"/>
      <c r="Z1692" s="47"/>
      <c r="AA1692" s="69">
        <v>1692</v>
      </c>
      <c r="AB1692" s="69"/>
      <c r="AC1692" s="70"/>
      <c r="AD1692" s="76" t="s">
        <v>22901</v>
      </c>
      <c r="AE1692" s="81" t="s">
        <v>23955</v>
      </c>
      <c r="AF1692" s="76">
        <v>3130</v>
      </c>
      <c r="AG1692" s="76">
        <v>1957</v>
      </c>
      <c r="AH1692" s="76">
        <v>24869</v>
      </c>
      <c r="AI1692" s="76">
        <v>6</v>
      </c>
      <c r="AJ1692" s="76">
        <v>311</v>
      </c>
      <c r="AK1692" s="76">
        <v>8434</v>
      </c>
      <c r="AL1692" s="76" t="b">
        <v>0</v>
      </c>
      <c r="AM1692" s="78">
        <v>41313.918993055559</v>
      </c>
      <c r="AN1692" s="76" t="s">
        <v>24654</v>
      </c>
      <c r="AO1692" s="76" t="s">
        <v>26209</v>
      </c>
      <c r="AP1692" s="82" t="str">
        <f>HYPERLINK("https://t.co/BN4omjMPZN")</f>
        <v>https://t.co/BN4omjMPZN</v>
      </c>
      <c r="AQ1692" s="82" t="str">
        <f>HYPERLINK("http://www.informateadiario.com/")</f>
        <v>http://www.informateadiario.com/</v>
      </c>
      <c r="AR1692" s="76" t="s">
        <v>8868</v>
      </c>
      <c r="AS1692" s="76" t="s">
        <v>27400</v>
      </c>
      <c r="AT1692" s="76" t="s">
        <v>27439</v>
      </c>
      <c r="AU1692" s="76" t="s">
        <v>27575</v>
      </c>
      <c r="AV1692" s="76"/>
      <c r="AW1692" s="82" t="str">
        <f>HYPERLINK("https://t.co/BN4omjMPZN")</f>
        <v>https://t.co/BN4omjMPZN</v>
      </c>
      <c r="AX1692" s="76" t="b">
        <v>0</v>
      </c>
      <c r="AY1692" s="76"/>
      <c r="AZ1692" s="76"/>
      <c r="BA1692" s="76" t="b">
        <v>0</v>
      </c>
      <c r="BB1692" s="76" t="b">
        <v>1</v>
      </c>
      <c r="BC1692" s="76" t="b">
        <v>0</v>
      </c>
      <c r="BD1692" s="76" t="b">
        <v>0</v>
      </c>
      <c r="BE1692" s="76" t="b">
        <v>0</v>
      </c>
      <c r="BF1692" s="76" t="b">
        <v>0</v>
      </c>
      <c r="BG1692" s="76" t="b">
        <v>0</v>
      </c>
      <c r="BH1692" s="82" t="str">
        <f>HYPERLINK("https://pbs.twimg.com/profile_banners/1161341323/1604014094")</f>
        <v>https://pbs.twimg.com/profile_banners/1161341323/1604014094</v>
      </c>
      <c r="BI1692" s="76"/>
      <c r="BJ1692" s="76" t="s">
        <v>27595</v>
      </c>
      <c r="BK1692" s="76" t="b">
        <v>0</v>
      </c>
      <c r="BL1692" s="76"/>
      <c r="BM1692" s="76" t="s">
        <v>66</v>
      </c>
      <c r="BN1692" s="76" t="s">
        <v>27597</v>
      </c>
      <c r="BO1692" s="82" t="str">
        <f>HYPERLINK("https://twitter.com/jrmarte135")</f>
        <v>https://twitter.com/jrmarte135</v>
      </c>
      <c r="BP1692" s="2"/>
    </row>
    <row r="1693" spans="1:68" x14ac:dyDescent="0.25">
      <c r="A1693" s="62" t="s">
        <v>1524</v>
      </c>
      <c r="B1693" s="63"/>
      <c r="C1693" s="63"/>
      <c r="D1693" s="64"/>
      <c r="E1693" s="66"/>
      <c r="F1693" s="103" t="str">
        <f>HYPERLINK("https://pbs.twimg.com/profile_images/1705308610060828672/rmyi15F8_normal.jpg")</f>
        <v>https://pbs.twimg.com/profile_images/1705308610060828672/rmyi15F8_normal.jpg</v>
      </c>
      <c r="G1693" s="63"/>
      <c r="H1693" s="67"/>
      <c r="I1693" s="68"/>
      <c r="J1693" s="68"/>
      <c r="K1693" s="67" t="s">
        <v>29287</v>
      </c>
      <c r="L1693" s="71"/>
      <c r="M1693" s="72"/>
      <c r="N1693" s="72"/>
      <c r="O1693" s="73"/>
      <c r="P1693" s="74"/>
      <c r="Q1693" s="74"/>
      <c r="R1693" s="87"/>
      <c r="S1693" s="87"/>
      <c r="T1693" s="87"/>
      <c r="U1693" s="87"/>
      <c r="V1693" s="48"/>
      <c r="W1693" s="48"/>
      <c r="X1693" s="48"/>
      <c r="Y1693" s="48"/>
      <c r="Z1693" s="47"/>
      <c r="AA1693" s="69">
        <v>1693</v>
      </c>
      <c r="AB1693" s="69"/>
      <c r="AC1693" s="70"/>
      <c r="AD1693" s="76" t="s">
        <v>22902</v>
      </c>
      <c r="AE1693" s="81" t="s">
        <v>21130</v>
      </c>
      <c r="AF1693" s="76">
        <v>6124</v>
      </c>
      <c r="AG1693" s="76">
        <v>561</v>
      </c>
      <c r="AH1693" s="76">
        <v>939</v>
      </c>
      <c r="AI1693" s="76">
        <v>11</v>
      </c>
      <c r="AJ1693" s="76">
        <v>160</v>
      </c>
      <c r="AK1693" s="76">
        <v>106</v>
      </c>
      <c r="AL1693" s="76" t="b">
        <v>0</v>
      </c>
      <c r="AM1693" s="78">
        <v>42443.746354166666</v>
      </c>
      <c r="AN1693" s="76" t="s">
        <v>14385</v>
      </c>
      <c r="AO1693" s="76" t="s">
        <v>26210</v>
      </c>
      <c r="AP1693" s="82" t="str">
        <f>HYPERLINK("https://t.co/CezGaFvrqC")</f>
        <v>https://t.co/CezGaFvrqC</v>
      </c>
      <c r="AQ1693" s="82" t="str">
        <f>HYPERLINK("http://datapatagonia.com")</f>
        <v>http://datapatagonia.com</v>
      </c>
      <c r="AR1693" s="76" t="s">
        <v>27278</v>
      </c>
      <c r="AS1693" s="76"/>
      <c r="AT1693" s="76"/>
      <c r="AU1693" s="76"/>
      <c r="AV1693" s="76"/>
      <c r="AW1693" s="82" t="str">
        <f>HYPERLINK("https://t.co/CezGaFvrqC")</f>
        <v>https://t.co/CezGaFvrqC</v>
      </c>
      <c r="AX1693" s="76" t="b">
        <v>0</v>
      </c>
      <c r="AY1693" s="76"/>
      <c r="AZ1693" s="76"/>
      <c r="BA1693" s="76" t="b">
        <v>0</v>
      </c>
      <c r="BB1693" s="76" t="b">
        <v>1</v>
      </c>
      <c r="BC1693" s="76" t="b">
        <v>1</v>
      </c>
      <c r="BD1693" s="76" t="b">
        <v>0</v>
      </c>
      <c r="BE1693" s="76" t="b">
        <v>0</v>
      </c>
      <c r="BF1693" s="76" t="b">
        <v>0</v>
      </c>
      <c r="BG1693" s="76" t="b">
        <v>0</v>
      </c>
      <c r="BH1693" s="82" t="str">
        <f>HYPERLINK("https://pbs.twimg.com/profile_banners/709437626789584899/1695412232")</f>
        <v>https://pbs.twimg.com/profile_banners/709437626789584899/1695412232</v>
      </c>
      <c r="BI1693" s="76"/>
      <c r="BJ1693" s="76" t="s">
        <v>27595</v>
      </c>
      <c r="BK1693" s="76" t="b">
        <v>0</v>
      </c>
      <c r="BL1693" s="76"/>
      <c r="BM1693" s="76" t="s">
        <v>66</v>
      </c>
      <c r="BN1693" s="76" t="s">
        <v>27597</v>
      </c>
      <c r="BO1693" s="82" t="str">
        <f>HYPERLINK("https://twitter.com/datapatagoniaok")</f>
        <v>https://twitter.com/datapatagoniaok</v>
      </c>
      <c r="BP1693" s="2"/>
    </row>
    <row r="1694" spans="1:68" x14ac:dyDescent="0.25">
      <c r="A1694" s="62" t="s">
        <v>1525</v>
      </c>
      <c r="B1694" s="63"/>
      <c r="C1694" s="63"/>
      <c r="D1694" s="64"/>
      <c r="E1694" s="66"/>
      <c r="F1694" s="103" t="str">
        <f>HYPERLINK("https://pbs.twimg.com/profile_images/1698703805238390784/jJXHaGT1_normal.jpg")</f>
        <v>https://pbs.twimg.com/profile_images/1698703805238390784/jJXHaGT1_normal.jpg</v>
      </c>
      <c r="G1694" s="63"/>
      <c r="H1694" s="67"/>
      <c r="I1694" s="68"/>
      <c r="J1694" s="68"/>
      <c r="K1694" s="67" t="s">
        <v>29288</v>
      </c>
      <c r="L1694" s="71"/>
      <c r="M1694" s="72"/>
      <c r="N1694" s="72"/>
      <c r="O1694" s="73"/>
      <c r="P1694" s="74"/>
      <c r="Q1694" s="74"/>
      <c r="R1694" s="87"/>
      <c r="S1694" s="87"/>
      <c r="T1694" s="87"/>
      <c r="U1694" s="87"/>
      <c r="V1694" s="48"/>
      <c r="W1694" s="48"/>
      <c r="X1694" s="48"/>
      <c r="Y1694" s="48"/>
      <c r="Z1694" s="47"/>
      <c r="AA1694" s="69">
        <v>1694</v>
      </c>
      <c r="AB1694" s="69"/>
      <c r="AC1694" s="70"/>
      <c r="AD1694" s="76" t="s">
        <v>22903</v>
      </c>
      <c r="AE1694" s="81" t="s">
        <v>23956</v>
      </c>
      <c r="AF1694" s="76">
        <v>3253</v>
      </c>
      <c r="AG1694" s="76">
        <v>2943</v>
      </c>
      <c r="AH1694" s="76">
        <v>82939</v>
      </c>
      <c r="AI1694" s="76">
        <v>167</v>
      </c>
      <c r="AJ1694" s="76">
        <v>21284</v>
      </c>
      <c r="AK1694" s="76">
        <v>1265</v>
      </c>
      <c r="AL1694" s="76" t="b">
        <v>0</v>
      </c>
      <c r="AM1694" s="78">
        <v>39986.467719907407</v>
      </c>
      <c r="AN1694" s="76" t="s">
        <v>14382</v>
      </c>
      <c r="AO1694" s="76" t="s">
        <v>26211</v>
      </c>
      <c r="AP1694" s="82" t="str">
        <f>HYPERLINK("https://t.co/m5r50Yofem")</f>
        <v>https://t.co/m5r50Yofem</v>
      </c>
      <c r="AQ1694" s="82" t="str">
        <f>HYPERLINK("http://www.cql.com.br/jancom")</f>
        <v>http://www.cql.com.br/jancom</v>
      </c>
      <c r="AR1694" s="76" t="s">
        <v>27279</v>
      </c>
      <c r="AS1694" s="76"/>
      <c r="AT1694" s="76"/>
      <c r="AU1694" s="76"/>
      <c r="AV1694" s="76">
        <v>1.48638119243378E+18</v>
      </c>
      <c r="AW1694" s="82" t="str">
        <f>HYPERLINK("https://t.co/m5r50Yofem")</f>
        <v>https://t.co/m5r50Yofem</v>
      </c>
      <c r="AX1694" s="76" t="b">
        <v>0</v>
      </c>
      <c r="AY1694" s="76"/>
      <c r="AZ1694" s="76"/>
      <c r="BA1694" s="76" t="b">
        <v>1</v>
      </c>
      <c r="BB1694" s="76" t="b">
        <v>1</v>
      </c>
      <c r="BC1694" s="76" t="b">
        <v>0</v>
      </c>
      <c r="BD1694" s="76" t="b">
        <v>0</v>
      </c>
      <c r="BE1694" s="76" t="b">
        <v>0</v>
      </c>
      <c r="BF1694" s="76" t="b">
        <v>0</v>
      </c>
      <c r="BG1694" s="76" t="b">
        <v>0</v>
      </c>
      <c r="BH1694" s="82" t="str">
        <f>HYPERLINK("https://pbs.twimg.com/profile_banners/49599520/1421944296")</f>
        <v>https://pbs.twimg.com/profile_banners/49599520/1421944296</v>
      </c>
      <c r="BI1694" s="76"/>
      <c r="BJ1694" s="76" t="s">
        <v>27595</v>
      </c>
      <c r="BK1694" s="76" t="b">
        <v>0</v>
      </c>
      <c r="BL1694" s="76"/>
      <c r="BM1694" s="76" t="s">
        <v>66</v>
      </c>
      <c r="BN1694" s="76" t="s">
        <v>27597</v>
      </c>
      <c r="BO1694" s="82" t="str">
        <f>HYPERLINK("https://twitter.com/_joseamaral")</f>
        <v>https://twitter.com/_joseamaral</v>
      </c>
      <c r="BP1694" s="2"/>
    </row>
    <row r="1695" spans="1:68" x14ac:dyDescent="0.25">
      <c r="A1695" s="62" t="s">
        <v>1526</v>
      </c>
      <c r="B1695" s="63"/>
      <c r="C1695" s="63"/>
      <c r="D1695" s="64"/>
      <c r="E1695" s="66"/>
      <c r="F1695" s="103" t="str">
        <f>HYPERLINK("https://pbs.twimg.com/profile_images/1396982798989381640/IRSUTOjF_normal.jpg")</f>
        <v>https://pbs.twimg.com/profile_images/1396982798989381640/IRSUTOjF_normal.jpg</v>
      </c>
      <c r="G1695" s="63"/>
      <c r="H1695" s="67"/>
      <c r="I1695" s="68"/>
      <c r="J1695" s="68"/>
      <c r="K1695" s="67" t="s">
        <v>29289</v>
      </c>
      <c r="L1695" s="71"/>
      <c r="M1695" s="72"/>
      <c r="N1695" s="72"/>
      <c r="O1695" s="73"/>
      <c r="P1695" s="74"/>
      <c r="Q1695" s="74"/>
      <c r="R1695" s="87"/>
      <c r="S1695" s="87"/>
      <c r="T1695" s="87"/>
      <c r="U1695" s="87"/>
      <c r="V1695" s="48"/>
      <c r="W1695" s="48"/>
      <c r="X1695" s="48"/>
      <c r="Y1695" s="48"/>
      <c r="Z1695" s="47"/>
      <c r="AA1695" s="69">
        <v>1695</v>
      </c>
      <c r="AB1695" s="69"/>
      <c r="AC1695" s="70"/>
      <c r="AD1695" s="76" t="s">
        <v>22904</v>
      </c>
      <c r="AE1695" s="81" t="s">
        <v>23957</v>
      </c>
      <c r="AF1695" s="76">
        <v>13468</v>
      </c>
      <c r="AG1695" s="76">
        <v>455</v>
      </c>
      <c r="AH1695" s="76">
        <v>95416</v>
      </c>
      <c r="AI1695" s="76">
        <v>66</v>
      </c>
      <c r="AJ1695" s="76">
        <v>1832</v>
      </c>
      <c r="AK1695" s="76">
        <v>63355</v>
      </c>
      <c r="AL1695" s="76" t="b">
        <v>0</v>
      </c>
      <c r="AM1695" s="78">
        <v>40360.835266203707</v>
      </c>
      <c r="AN1695" s="76" t="s">
        <v>24527</v>
      </c>
      <c r="AO1695" s="76" t="s">
        <v>26212</v>
      </c>
      <c r="AP1695" s="82" t="str">
        <f>HYPERLINK("https://t.co/aG95FZED7k")</f>
        <v>https://t.co/aG95FZED7k</v>
      </c>
      <c r="AQ1695" s="82" t="str">
        <f>HYPERLINK("http://www.diariodegoias.com.br")</f>
        <v>http://www.diariodegoias.com.br</v>
      </c>
      <c r="AR1695" s="76" t="s">
        <v>27280</v>
      </c>
      <c r="AS1695" s="82" t="str">
        <f>HYPERLINK("https://t.co/LOHq4fDK2E")</f>
        <v>https://t.co/LOHq4fDK2E</v>
      </c>
      <c r="AT1695" s="82" t="str">
        <f>HYPERLINK("http://diariodegoias.com.br")</f>
        <v>http://diariodegoias.com.br</v>
      </c>
      <c r="AU1695" s="76" t="s">
        <v>27280</v>
      </c>
      <c r="AV1695" s="76"/>
      <c r="AW1695" s="82" t="str">
        <f>HYPERLINK("https://t.co/aG95FZED7k")</f>
        <v>https://t.co/aG95FZED7k</v>
      </c>
      <c r="AX1695" s="76" t="b">
        <v>0</v>
      </c>
      <c r="AY1695" s="76"/>
      <c r="AZ1695" s="76"/>
      <c r="BA1695" s="76" t="b">
        <v>0</v>
      </c>
      <c r="BB1695" s="76" t="b">
        <v>1</v>
      </c>
      <c r="BC1695" s="76" t="b">
        <v>0</v>
      </c>
      <c r="BD1695" s="76" t="b">
        <v>0</v>
      </c>
      <c r="BE1695" s="76" t="b">
        <v>1</v>
      </c>
      <c r="BF1695" s="76" t="b">
        <v>0</v>
      </c>
      <c r="BG1695" s="76" t="b">
        <v>0</v>
      </c>
      <c r="BH1695" s="82" t="str">
        <f>HYPERLINK("https://pbs.twimg.com/profile_banners/161793323/1642502058")</f>
        <v>https://pbs.twimg.com/profile_banners/161793323/1642502058</v>
      </c>
      <c r="BI1695" s="76"/>
      <c r="BJ1695" s="76" t="s">
        <v>27595</v>
      </c>
      <c r="BK1695" s="76" t="b">
        <v>0</v>
      </c>
      <c r="BL1695" s="76"/>
      <c r="BM1695" s="76" t="s">
        <v>66</v>
      </c>
      <c r="BN1695" s="76" t="s">
        <v>27597</v>
      </c>
      <c r="BO1695" s="82" t="str">
        <f>HYPERLINK("https://twitter.com/diariodegoias")</f>
        <v>https://twitter.com/diariodegoias</v>
      </c>
      <c r="BP1695" s="2"/>
    </row>
    <row r="1696" spans="1:68" x14ac:dyDescent="0.25">
      <c r="A1696" s="62" t="s">
        <v>1527</v>
      </c>
      <c r="B1696" s="63"/>
      <c r="C1696" s="63"/>
      <c r="D1696" s="64"/>
      <c r="E1696" s="66"/>
      <c r="F1696" s="103" t="str">
        <f>HYPERLINK("https://pbs.twimg.com/profile_images/1674586836818075649/DpuqzVRe_normal.jpg")</f>
        <v>https://pbs.twimg.com/profile_images/1674586836818075649/DpuqzVRe_normal.jpg</v>
      </c>
      <c r="G1696" s="63"/>
      <c r="H1696" s="67"/>
      <c r="I1696" s="68"/>
      <c r="J1696" s="68"/>
      <c r="K1696" s="67" t="s">
        <v>29290</v>
      </c>
      <c r="L1696" s="71"/>
      <c r="M1696" s="72"/>
      <c r="N1696" s="72"/>
      <c r="O1696" s="73"/>
      <c r="P1696" s="74"/>
      <c r="Q1696" s="74"/>
      <c r="R1696" s="87"/>
      <c r="S1696" s="87"/>
      <c r="T1696" s="87"/>
      <c r="U1696" s="87"/>
      <c r="V1696" s="48"/>
      <c r="W1696" s="48"/>
      <c r="X1696" s="48"/>
      <c r="Y1696" s="48"/>
      <c r="Z1696" s="47"/>
      <c r="AA1696" s="69">
        <v>1696</v>
      </c>
      <c r="AB1696" s="69"/>
      <c r="AC1696" s="70"/>
      <c r="AD1696" s="76" t="s">
        <v>22905</v>
      </c>
      <c r="AE1696" s="81" t="s">
        <v>21131</v>
      </c>
      <c r="AF1696" s="76">
        <v>404</v>
      </c>
      <c r="AG1696" s="76">
        <v>220</v>
      </c>
      <c r="AH1696" s="76">
        <v>1335</v>
      </c>
      <c r="AI1696" s="76">
        <v>6</v>
      </c>
      <c r="AJ1696" s="76">
        <v>375</v>
      </c>
      <c r="AK1696" s="76">
        <v>616</v>
      </c>
      <c r="AL1696" s="76" t="b">
        <v>0</v>
      </c>
      <c r="AM1696" s="78">
        <v>44802.725555555553</v>
      </c>
      <c r="AN1696" s="76" t="s">
        <v>14425</v>
      </c>
      <c r="AO1696" s="76" t="s">
        <v>26213</v>
      </c>
      <c r="AP1696" s="82" t="str">
        <f>HYPERLINK("https://t.co/Sau6Nml4JI")</f>
        <v>https://t.co/Sau6Nml4JI</v>
      </c>
      <c r="AQ1696" s="82" t="str">
        <f>HYPERLINK("https://lnk.bio/washingtonquaqua1313")</f>
        <v>https://lnk.bio/washingtonquaqua1313</v>
      </c>
      <c r="AR1696" s="76" t="s">
        <v>27281</v>
      </c>
      <c r="AS1696" s="76"/>
      <c r="AT1696" s="76"/>
      <c r="AU1696" s="76"/>
      <c r="AV1696" s="76"/>
      <c r="AW1696" s="82" t="str">
        <f>HYPERLINK("https://t.co/Sau6Nml4JI")</f>
        <v>https://t.co/Sau6Nml4JI</v>
      </c>
      <c r="AX1696" s="76" t="b">
        <v>0</v>
      </c>
      <c r="AY1696" s="76"/>
      <c r="AZ1696" s="76"/>
      <c r="BA1696" s="76" t="b">
        <v>1</v>
      </c>
      <c r="BB1696" s="76" t="b">
        <v>1</v>
      </c>
      <c r="BC1696" s="76" t="b">
        <v>1</v>
      </c>
      <c r="BD1696" s="76" t="b">
        <v>0</v>
      </c>
      <c r="BE1696" s="76" t="b">
        <v>1</v>
      </c>
      <c r="BF1696" s="76" t="b">
        <v>0</v>
      </c>
      <c r="BG1696" s="76" t="b">
        <v>0</v>
      </c>
      <c r="BH1696" s="82" t="str">
        <f>HYPERLINK("https://pbs.twimg.com/profile_banners/1564302998901334021/1684950103")</f>
        <v>https://pbs.twimg.com/profile_banners/1564302998901334021/1684950103</v>
      </c>
      <c r="BI1696" s="76"/>
      <c r="BJ1696" s="76" t="s">
        <v>27595</v>
      </c>
      <c r="BK1696" s="76" t="b">
        <v>0</v>
      </c>
      <c r="BL1696" s="76"/>
      <c r="BM1696" s="76" t="s">
        <v>66</v>
      </c>
      <c r="BN1696" s="76" t="s">
        <v>27597</v>
      </c>
      <c r="BO1696" s="82" t="str">
        <f>HYPERLINK("https://twitter.com/quaqua1313")</f>
        <v>https://twitter.com/quaqua1313</v>
      </c>
      <c r="BP1696" s="2"/>
    </row>
    <row r="1697" spans="1:68" x14ac:dyDescent="0.25">
      <c r="A1697" s="62" t="s">
        <v>1529</v>
      </c>
      <c r="B1697" s="63"/>
      <c r="C1697" s="63"/>
      <c r="D1697" s="64"/>
      <c r="E1697" s="66"/>
      <c r="F1697" s="103" t="str">
        <f>HYPERLINK("https://pbs.twimg.com/profile_images/1443943290114646016/eD8_mZ30_normal.jpg")</f>
        <v>https://pbs.twimg.com/profile_images/1443943290114646016/eD8_mZ30_normal.jpg</v>
      </c>
      <c r="G1697" s="63"/>
      <c r="H1697" s="67"/>
      <c r="I1697" s="68"/>
      <c r="J1697" s="68"/>
      <c r="K1697" s="67" t="s">
        <v>29291</v>
      </c>
      <c r="L1697" s="71"/>
      <c r="M1697" s="72"/>
      <c r="N1697" s="72"/>
      <c r="O1697" s="73"/>
      <c r="P1697" s="74"/>
      <c r="Q1697" s="74"/>
      <c r="R1697" s="87"/>
      <c r="S1697" s="87"/>
      <c r="T1697" s="87"/>
      <c r="U1697" s="87"/>
      <c r="V1697" s="48"/>
      <c r="W1697" s="48"/>
      <c r="X1697" s="48"/>
      <c r="Y1697" s="48"/>
      <c r="Z1697" s="47"/>
      <c r="AA1697" s="69">
        <v>1697</v>
      </c>
      <c r="AB1697" s="69"/>
      <c r="AC1697" s="70"/>
      <c r="AD1697" s="76" t="s">
        <v>22906</v>
      </c>
      <c r="AE1697" s="81" t="s">
        <v>21133</v>
      </c>
      <c r="AF1697" s="76">
        <v>32</v>
      </c>
      <c r="AG1697" s="76">
        <v>155</v>
      </c>
      <c r="AH1697" s="76">
        <v>140</v>
      </c>
      <c r="AI1697" s="76">
        <v>0</v>
      </c>
      <c r="AJ1697" s="76">
        <v>786</v>
      </c>
      <c r="AK1697" s="76">
        <v>8</v>
      </c>
      <c r="AL1697" s="76" t="b">
        <v>0</v>
      </c>
      <c r="AM1697" s="78">
        <v>44470.59584490741</v>
      </c>
      <c r="AN1697" s="76"/>
      <c r="AO1697" s="76" t="s">
        <v>26214</v>
      </c>
      <c r="AP1697" s="76"/>
      <c r="AQ1697" s="76"/>
      <c r="AR1697" s="76"/>
      <c r="AS1697" s="76"/>
      <c r="AT1697" s="76"/>
      <c r="AU1697" s="76"/>
      <c r="AV1697" s="76"/>
      <c r="AW1697" s="76"/>
      <c r="AX1697" s="76" t="b">
        <v>0</v>
      </c>
      <c r="AY1697" s="76"/>
      <c r="AZ1697" s="76"/>
      <c r="BA1697" s="76" t="b">
        <v>0</v>
      </c>
      <c r="BB1697" s="76" t="b">
        <v>1</v>
      </c>
      <c r="BC1697" s="76" t="b">
        <v>1</v>
      </c>
      <c r="BD1697" s="76" t="b">
        <v>0</v>
      </c>
      <c r="BE1697" s="76" t="b">
        <v>0</v>
      </c>
      <c r="BF1697" s="76" t="b">
        <v>0</v>
      </c>
      <c r="BG1697" s="76" t="b">
        <v>0</v>
      </c>
      <c r="BH1697" s="76"/>
      <c r="BI1697" s="76"/>
      <c r="BJ1697" s="76" t="s">
        <v>27595</v>
      </c>
      <c r="BK1697" s="76" t="b">
        <v>0</v>
      </c>
      <c r="BL1697" s="76"/>
      <c r="BM1697" s="76" t="s">
        <v>66</v>
      </c>
      <c r="BN1697" s="76" t="s">
        <v>27597</v>
      </c>
      <c r="BO1697" s="82" t="str">
        <f>HYPERLINK("https://twitter.com/rehsbc")</f>
        <v>https://twitter.com/rehsbc</v>
      </c>
      <c r="BP1697" s="2"/>
    </row>
    <row r="1698" spans="1:68" x14ac:dyDescent="0.25">
      <c r="A1698" s="62" t="s">
        <v>1530</v>
      </c>
      <c r="B1698" s="63"/>
      <c r="C1698" s="63"/>
      <c r="D1698" s="64"/>
      <c r="E1698" s="66"/>
      <c r="F1698" s="103" t="str">
        <f>HYPERLINK("https://pbs.twimg.com/profile_images/433613151737614336/CzXouJix_normal.jpeg")</f>
        <v>https://pbs.twimg.com/profile_images/433613151737614336/CzXouJix_normal.jpeg</v>
      </c>
      <c r="G1698" s="63"/>
      <c r="H1698" s="67"/>
      <c r="I1698" s="68"/>
      <c r="J1698" s="68"/>
      <c r="K1698" s="67" t="s">
        <v>29292</v>
      </c>
      <c r="L1698" s="71"/>
      <c r="M1698" s="72"/>
      <c r="N1698" s="72"/>
      <c r="O1698" s="73"/>
      <c r="P1698" s="74"/>
      <c r="Q1698" s="74"/>
      <c r="R1698" s="87"/>
      <c r="S1698" s="87"/>
      <c r="T1698" s="87"/>
      <c r="U1698" s="87"/>
      <c r="V1698" s="48"/>
      <c r="W1698" s="48"/>
      <c r="X1698" s="48"/>
      <c r="Y1698" s="48"/>
      <c r="Z1698" s="47"/>
      <c r="AA1698" s="69">
        <v>1698</v>
      </c>
      <c r="AB1698" s="69"/>
      <c r="AC1698" s="70"/>
      <c r="AD1698" s="76" t="s">
        <v>22907</v>
      </c>
      <c r="AE1698" s="81" t="s">
        <v>23958</v>
      </c>
      <c r="AF1698" s="76">
        <v>514</v>
      </c>
      <c r="AG1698" s="76">
        <v>1628</v>
      </c>
      <c r="AH1698" s="76">
        <v>1743</v>
      </c>
      <c r="AI1698" s="76">
        <v>4</v>
      </c>
      <c r="AJ1698" s="76">
        <v>1729</v>
      </c>
      <c r="AK1698" s="76">
        <v>514</v>
      </c>
      <c r="AL1698" s="76" t="b">
        <v>0</v>
      </c>
      <c r="AM1698" s="78">
        <v>40274.658310185187</v>
      </c>
      <c r="AN1698" s="76" t="s">
        <v>24655</v>
      </c>
      <c r="AO1698" s="76" t="s">
        <v>26215</v>
      </c>
      <c r="AP1698" s="82" t="str">
        <f>HYPERLINK("https://t.co/EfHWYmUkFH")</f>
        <v>https://t.co/EfHWYmUkFH</v>
      </c>
      <c r="AQ1698" s="82" t="str">
        <f>HYPERLINK("https://naturalevolutionrecords.bandcamp.com/")</f>
        <v>https://naturalevolutionrecords.bandcamp.com/</v>
      </c>
      <c r="AR1698" s="76" t="s">
        <v>27282</v>
      </c>
      <c r="AS1698" s="76" t="s">
        <v>27401</v>
      </c>
      <c r="AT1698" s="76" t="s">
        <v>27440</v>
      </c>
      <c r="AU1698" s="76" t="s">
        <v>27576</v>
      </c>
      <c r="AV1698" s="76"/>
      <c r="AW1698" s="82" t="str">
        <f>HYPERLINK("https://t.co/EfHWYmUkFH")</f>
        <v>https://t.co/EfHWYmUkFH</v>
      </c>
      <c r="AX1698" s="76" t="b">
        <v>0</v>
      </c>
      <c r="AY1698" s="76"/>
      <c r="AZ1698" s="76"/>
      <c r="BA1698" s="76" t="b">
        <v>0</v>
      </c>
      <c r="BB1698" s="76" t="b">
        <v>1</v>
      </c>
      <c r="BC1698" s="76" t="b">
        <v>1</v>
      </c>
      <c r="BD1698" s="76" t="b">
        <v>0</v>
      </c>
      <c r="BE1698" s="76" t="b">
        <v>0</v>
      </c>
      <c r="BF1698" s="76" t="b">
        <v>0</v>
      </c>
      <c r="BG1698" s="76" t="b">
        <v>0</v>
      </c>
      <c r="BH1698" s="82" t="str">
        <f>HYPERLINK("https://pbs.twimg.com/profile_banners/130189038/1594736693")</f>
        <v>https://pbs.twimg.com/profile_banners/130189038/1594736693</v>
      </c>
      <c r="BI1698" s="76"/>
      <c r="BJ1698" s="76" t="s">
        <v>27595</v>
      </c>
      <c r="BK1698" s="76" t="b">
        <v>0</v>
      </c>
      <c r="BL1698" s="76"/>
      <c r="BM1698" s="76" t="s">
        <v>66</v>
      </c>
      <c r="BN1698" s="76" t="s">
        <v>27597</v>
      </c>
      <c r="BO1698" s="82" t="str">
        <f>HYPERLINK("https://twitter.com/duallogiclive")</f>
        <v>https://twitter.com/duallogiclive</v>
      </c>
      <c r="BP1698" s="2"/>
    </row>
    <row r="1699" spans="1:68" x14ac:dyDescent="0.25">
      <c r="A1699" s="62" t="s">
        <v>1531</v>
      </c>
      <c r="B1699" s="63"/>
      <c r="C1699" s="63"/>
      <c r="D1699" s="64"/>
      <c r="E1699" s="66"/>
      <c r="F1699" s="103" t="str">
        <f>HYPERLINK("https://pbs.twimg.com/profile_images/837268964501831681/_5F_a36q_normal.jpg")</f>
        <v>https://pbs.twimg.com/profile_images/837268964501831681/_5F_a36q_normal.jpg</v>
      </c>
      <c r="G1699" s="63"/>
      <c r="H1699" s="67"/>
      <c r="I1699" s="68"/>
      <c r="J1699" s="68"/>
      <c r="K1699" s="67" t="s">
        <v>29293</v>
      </c>
      <c r="L1699" s="71"/>
      <c r="M1699" s="72"/>
      <c r="N1699" s="72"/>
      <c r="O1699" s="73"/>
      <c r="P1699" s="74"/>
      <c r="Q1699" s="74"/>
      <c r="R1699" s="87"/>
      <c r="S1699" s="87"/>
      <c r="T1699" s="87"/>
      <c r="U1699" s="87"/>
      <c r="V1699" s="48"/>
      <c r="W1699" s="48"/>
      <c r="X1699" s="48"/>
      <c r="Y1699" s="48"/>
      <c r="Z1699" s="47"/>
      <c r="AA1699" s="69">
        <v>1699</v>
      </c>
      <c r="AB1699" s="69"/>
      <c r="AC1699" s="70"/>
      <c r="AD1699" s="76" t="s">
        <v>22908</v>
      </c>
      <c r="AE1699" s="81" t="s">
        <v>20368</v>
      </c>
      <c r="AF1699" s="76">
        <v>67298</v>
      </c>
      <c r="AG1699" s="76">
        <v>29488</v>
      </c>
      <c r="AH1699" s="76">
        <v>424693</v>
      </c>
      <c r="AI1699" s="76">
        <v>35</v>
      </c>
      <c r="AJ1699" s="76">
        <v>492191</v>
      </c>
      <c r="AK1699" s="76">
        <v>54103</v>
      </c>
      <c r="AL1699" s="76" t="b">
        <v>0</v>
      </c>
      <c r="AM1699" s="78">
        <v>40780.514131944445</v>
      </c>
      <c r="AN1699" s="76" t="s">
        <v>24656</v>
      </c>
      <c r="AO1699" s="76" t="s">
        <v>26216</v>
      </c>
      <c r="AP1699" s="76"/>
      <c r="AQ1699" s="76"/>
      <c r="AR1699" s="76"/>
      <c r="AS1699" s="76"/>
      <c r="AT1699" s="76"/>
      <c r="AU1699" s="76"/>
      <c r="AV1699" s="76">
        <v>8.7904653721670003E+17</v>
      </c>
      <c r="AW1699" s="76"/>
      <c r="AX1699" s="76" t="b">
        <v>0</v>
      </c>
      <c r="AY1699" s="76"/>
      <c r="AZ1699" s="76"/>
      <c r="BA1699" s="76" t="b">
        <v>0</v>
      </c>
      <c r="BB1699" s="76" t="b">
        <v>1</v>
      </c>
      <c r="BC1699" s="76" t="b">
        <v>0</v>
      </c>
      <c r="BD1699" s="76" t="b">
        <v>0</v>
      </c>
      <c r="BE1699" s="76" t="b">
        <v>1</v>
      </c>
      <c r="BF1699" s="76" t="b">
        <v>0</v>
      </c>
      <c r="BG1699" s="76" t="b">
        <v>0</v>
      </c>
      <c r="BH1699" s="82" t="str">
        <f>HYPERLINK("https://pbs.twimg.com/profile_banners/361836159/1541585421")</f>
        <v>https://pbs.twimg.com/profile_banners/361836159/1541585421</v>
      </c>
      <c r="BI1699" s="76"/>
      <c r="BJ1699" s="76" t="s">
        <v>27595</v>
      </c>
      <c r="BK1699" s="76" t="b">
        <v>0</v>
      </c>
      <c r="BL1699" s="76"/>
      <c r="BM1699" s="76" t="s">
        <v>66</v>
      </c>
      <c r="BN1699" s="76" t="s">
        <v>27597</v>
      </c>
      <c r="BO1699" s="82" t="str">
        <f>HYPERLINK("https://twitter.com/leiarachor")</f>
        <v>https://twitter.com/leiarachor</v>
      </c>
      <c r="BP1699" s="2"/>
    </row>
    <row r="1700" spans="1:68" x14ac:dyDescent="0.25">
      <c r="A1700" s="62" t="s">
        <v>1532</v>
      </c>
      <c r="B1700" s="63"/>
      <c r="C1700" s="63"/>
      <c r="D1700" s="64"/>
      <c r="E1700" s="66"/>
      <c r="F1700" s="103" t="str">
        <f>HYPERLINK("https://pbs.twimg.com/profile_images/1615508002567512064/72hXrP_U_normal.jpg")</f>
        <v>https://pbs.twimg.com/profile_images/1615508002567512064/72hXrP_U_normal.jpg</v>
      </c>
      <c r="G1700" s="63"/>
      <c r="H1700" s="67"/>
      <c r="I1700" s="68"/>
      <c r="J1700" s="68"/>
      <c r="K1700" s="67" t="s">
        <v>29294</v>
      </c>
      <c r="L1700" s="71"/>
      <c r="M1700" s="72"/>
      <c r="N1700" s="72"/>
      <c r="O1700" s="73"/>
      <c r="P1700" s="74"/>
      <c r="Q1700" s="74"/>
      <c r="R1700" s="87"/>
      <c r="S1700" s="87"/>
      <c r="T1700" s="87"/>
      <c r="U1700" s="87"/>
      <c r="V1700" s="48"/>
      <c r="W1700" s="48"/>
      <c r="X1700" s="48"/>
      <c r="Y1700" s="48"/>
      <c r="Z1700" s="47"/>
      <c r="AA1700" s="69">
        <v>1700</v>
      </c>
      <c r="AB1700" s="69"/>
      <c r="AC1700" s="70"/>
      <c r="AD1700" s="76" t="s">
        <v>22909</v>
      </c>
      <c r="AE1700" s="81" t="s">
        <v>21134</v>
      </c>
      <c r="AF1700" s="76">
        <v>333</v>
      </c>
      <c r="AG1700" s="76">
        <v>62</v>
      </c>
      <c r="AH1700" s="76">
        <v>580</v>
      </c>
      <c r="AI1700" s="76">
        <v>15</v>
      </c>
      <c r="AJ1700" s="76">
        <v>181</v>
      </c>
      <c r="AK1700" s="76">
        <v>164</v>
      </c>
      <c r="AL1700" s="76" t="b">
        <v>0</v>
      </c>
      <c r="AM1700" s="78">
        <v>44376.538148148145</v>
      </c>
      <c r="AN1700" s="76" t="s">
        <v>24158</v>
      </c>
      <c r="AO1700" s="76" t="s">
        <v>26217</v>
      </c>
      <c r="AP1700" s="82" t="str">
        <f>HYPERLINK("https://t.co/pEHKpgAHtp")</f>
        <v>https://t.co/pEHKpgAHtp</v>
      </c>
      <c r="AQ1700" s="82" t="str">
        <f>HYPERLINK("http://www.coinsday.com.br")</f>
        <v>http://www.coinsday.com.br</v>
      </c>
      <c r="AR1700" s="76" t="s">
        <v>27283</v>
      </c>
      <c r="AS1700" s="76"/>
      <c r="AT1700" s="76"/>
      <c r="AU1700" s="76"/>
      <c r="AV1700" s="76"/>
      <c r="AW1700" s="82" t="str">
        <f>HYPERLINK("https://t.co/pEHKpgAHtp")</f>
        <v>https://t.co/pEHKpgAHtp</v>
      </c>
      <c r="AX1700" s="76" t="b">
        <v>0</v>
      </c>
      <c r="AY1700" s="76"/>
      <c r="AZ1700" s="76"/>
      <c r="BA1700" s="76" t="b">
        <v>1</v>
      </c>
      <c r="BB1700" s="76" t="b">
        <v>1</v>
      </c>
      <c r="BC1700" s="76" t="b">
        <v>1</v>
      </c>
      <c r="BD1700" s="76" t="b">
        <v>0</v>
      </c>
      <c r="BE1700" s="76" t="b">
        <v>0</v>
      </c>
      <c r="BF1700" s="76" t="b">
        <v>0</v>
      </c>
      <c r="BG1700" s="76" t="b">
        <v>0</v>
      </c>
      <c r="BH1700" s="82" t="str">
        <f>HYPERLINK("https://pbs.twimg.com/profile_banners/1409857885274787849/1679723457")</f>
        <v>https://pbs.twimg.com/profile_banners/1409857885274787849/1679723457</v>
      </c>
      <c r="BI1700" s="76"/>
      <c r="BJ1700" s="76" t="s">
        <v>27595</v>
      </c>
      <c r="BK1700" s="76" t="b">
        <v>0</v>
      </c>
      <c r="BL1700" s="76"/>
      <c r="BM1700" s="76" t="s">
        <v>66</v>
      </c>
      <c r="BN1700" s="76" t="s">
        <v>27597</v>
      </c>
      <c r="BO1700" s="82" t="str">
        <f>HYPERLINK("https://twitter.com/israelpinveste")</f>
        <v>https://twitter.com/israelpinveste</v>
      </c>
      <c r="BP1700" s="2"/>
    </row>
    <row r="1701" spans="1:68" x14ac:dyDescent="0.25">
      <c r="A1701" s="62" t="s">
        <v>1533</v>
      </c>
      <c r="B1701" s="63"/>
      <c r="C1701" s="63"/>
      <c r="D1701" s="64"/>
      <c r="E1701" s="66"/>
      <c r="F1701" s="103" t="str">
        <f>HYPERLINK("https://pbs.twimg.com/profile_images/578274535415422976/CGQ_puzQ_normal.jpeg")</f>
        <v>https://pbs.twimg.com/profile_images/578274535415422976/CGQ_puzQ_normal.jpeg</v>
      </c>
      <c r="G1701" s="63"/>
      <c r="H1701" s="67"/>
      <c r="I1701" s="68"/>
      <c r="J1701" s="68"/>
      <c r="K1701" s="67" t="s">
        <v>29295</v>
      </c>
      <c r="L1701" s="71"/>
      <c r="M1701" s="72"/>
      <c r="N1701" s="72"/>
      <c r="O1701" s="73"/>
      <c r="P1701" s="74"/>
      <c r="Q1701" s="74"/>
      <c r="R1701" s="87"/>
      <c r="S1701" s="87"/>
      <c r="T1701" s="87"/>
      <c r="U1701" s="87"/>
      <c r="V1701" s="48"/>
      <c r="W1701" s="48"/>
      <c r="X1701" s="48"/>
      <c r="Y1701" s="48"/>
      <c r="Z1701" s="47"/>
      <c r="AA1701" s="69">
        <v>1701</v>
      </c>
      <c r="AB1701" s="69"/>
      <c r="AC1701" s="70"/>
      <c r="AD1701" s="76" t="s">
        <v>22910</v>
      </c>
      <c r="AE1701" s="81" t="s">
        <v>23959</v>
      </c>
      <c r="AF1701" s="76">
        <v>11775</v>
      </c>
      <c r="AG1701" s="76">
        <v>392</v>
      </c>
      <c r="AH1701" s="76">
        <v>20359</v>
      </c>
      <c r="AI1701" s="76">
        <v>556</v>
      </c>
      <c r="AJ1701" s="76">
        <v>1253</v>
      </c>
      <c r="AK1701" s="76">
        <v>4347</v>
      </c>
      <c r="AL1701" s="76" t="b">
        <v>0</v>
      </c>
      <c r="AM1701" s="78">
        <v>40030.060254629629</v>
      </c>
      <c r="AN1701" s="76" t="s">
        <v>14400</v>
      </c>
      <c r="AO1701" s="76" t="s">
        <v>26218</v>
      </c>
      <c r="AP1701" s="82" t="str">
        <f>HYPERLINK("https://t.co/jrHjnbvFNa")</f>
        <v>https://t.co/jrHjnbvFNa</v>
      </c>
      <c r="AQ1701" s="82" t="str">
        <f>HYPERLINK("http://t.me/Vagnermayerb3")</f>
        <v>http://t.me/Vagnermayerb3</v>
      </c>
      <c r="AR1701" s="76" t="s">
        <v>27284</v>
      </c>
      <c r="AS1701" s="76"/>
      <c r="AT1701" s="76"/>
      <c r="AU1701" s="76"/>
      <c r="AV1701" s="76">
        <v>8.0683725289046003E+17</v>
      </c>
      <c r="AW1701" s="82" t="str">
        <f>HYPERLINK("https://t.co/jrHjnbvFNa")</f>
        <v>https://t.co/jrHjnbvFNa</v>
      </c>
      <c r="AX1701" s="76" t="b">
        <v>1</v>
      </c>
      <c r="AY1701" s="76"/>
      <c r="AZ1701" s="76"/>
      <c r="BA1701" s="76" t="b">
        <v>0</v>
      </c>
      <c r="BB1701" s="76" t="b">
        <v>0</v>
      </c>
      <c r="BC1701" s="76" t="b">
        <v>0</v>
      </c>
      <c r="BD1701" s="76" t="b">
        <v>0</v>
      </c>
      <c r="BE1701" s="76" t="b">
        <v>1</v>
      </c>
      <c r="BF1701" s="76" t="b">
        <v>0</v>
      </c>
      <c r="BG1701" s="76" t="b">
        <v>0</v>
      </c>
      <c r="BH1701" s="82" t="str">
        <f>HYPERLINK("https://pbs.twimg.com/profile_banners/62991145/1589574474")</f>
        <v>https://pbs.twimg.com/profile_banners/62991145/1589574474</v>
      </c>
      <c r="BI1701" s="76"/>
      <c r="BJ1701" s="76" t="s">
        <v>27595</v>
      </c>
      <c r="BK1701" s="76" t="b">
        <v>0</v>
      </c>
      <c r="BL1701" s="76"/>
      <c r="BM1701" s="76" t="s">
        <v>66</v>
      </c>
      <c r="BN1701" s="76" t="s">
        <v>27597</v>
      </c>
      <c r="BO1701" s="82" t="str">
        <f>HYPERLINK("https://twitter.com/vagnermayerb3")</f>
        <v>https://twitter.com/vagnermayerb3</v>
      </c>
      <c r="BP1701" s="2"/>
    </row>
    <row r="1702" spans="1:68" x14ac:dyDescent="0.25">
      <c r="A1702" s="62" t="s">
        <v>1534</v>
      </c>
      <c r="B1702" s="63"/>
      <c r="C1702" s="63"/>
      <c r="D1702" s="64"/>
      <c r="E1702" s="66"/>
      <c r="F1702" s="103" t="str">
        <f>HYPERLINK("https://pbs.twimg.com/profile_images/1628118324335808517/PSajZx1e_normal.jpg")</f>
        <v>https://pbs.twimg.com/profile_images/1628118324335808517/PSajZx1e_normal.jpg</v>
      </c>
      <c r="G1702" s="63"/>
      <c r="H1702" s="67"/>
      <c r="I1702" s="68"/>
      <c r="J1702" s="68"/>
      <c r="K1702" s="67" t="s">
        <v>29296</v>
      </c>
      <c r="L1702" s="71"/>
      <c r="M1702" s="72"/>
      <c r="N1702" s="72"/>
      <c r="O1702" s="73"/>
      <c r="P1702" s="74"/>
      <c r="Q1702" s="74"/>
      <c r="R1702" s="87"/>
      <c r="S1702" s="87"/>
      <c r="T1702" s="87"/>
      <c r="U1702" s="87"/>
      <c r="V1702" s="48"/>
      <c r="W1702" s="48"/>
      <c r="X1702" s="48"/>
      <c r="Y1702" s="48"/>
      <c r="Z1702" s="47"/>
      <c r="AA1702" s="69">
        <v>1702</v>
      </c>
      <c r="AB1702" s="69"/>
      <c r="AC1702" s="70"/>
      <c r="AD1702" s="76" t="s">
        <v>22911</v>
      </c>
      <c r="AE1702" s="81" t="s">
        <v>23960</v>
      </c>
      <c r="AF1702" s="76">
        <v>367</v>
      </c>
      <c r="AG1702" s="76">
        <v>1327</v>
      </c>
      <c r="AH1702" s="76">
        <v>15639</v>
      </c>
      <c r="AI1702" s="76">
        <v>2</v>
      </c>
      <c r="AJ1702" s="76">
        <v>71172</v>
      </c>
      <c r="AK1702" s="76">
        <v>750</v>
      </c>
      <c r="AL1702" s="76" t="b">
        <v>0</v>
      </c>
      <c r="AM1702" s="78">
        <v>41660.624710648146</v>
      </c>
      <c r="AN1702" s="76" t="s">
        <v>24657</v>
      </c>
      <c r="AO1702" s="76" t="s">
        <v>26219</v>
      </c>
      <c r="AP1702" s="76"/>
      <c r="AQ1702" s="76"/>
      <c r="AR1702" s="76"/>
      <c r="AS1702" s="76"/>
      <c r="AT1702" s="76"/>
      <c r="AU1702" s="76"/>
      <c r="AV1702" s="76"/>
      <c r="AW1702" s="76"/>
      <c r="AX1702" s="76" t="b">
        <v>0</v>
      </c>
      <c r="AY1702" s="76"/>
      <c r="AZ1702" s="76"/>
      <c r="BA1702" s="76" t="b">
        <v>0</v>
      </c>
      <c r="BB1702" s="76" t="b">
        <v>0</v>
      </c>
      <c r="BC1702" s="76" t="b">
        <v>0</v>
      </c>
      <c r="BD1702" s="76" t="b">
        <v>0</v>
      </c>
      <c r="BE1702" s="76" t="b">
        <v>1</v>
      </c>
      <c r="BF1702" s="76" t="b">
        <v>0</v>
      </c>
      <c r="BG1702" s="76" t="b">
        <v>0</v>
      </c>
      <c r="BH1702" s="82" t="str">
        <f>HYPERLINK("https://pbs.twimg.com/profile_banners/2295607324/1654993191")</f>
        <v>https://pbs.twimg.com/profile_banners/2295607324/1654993191</v>
      </c>
      <c r="BI1702" s="76"/>
      <c r="BJ1702" s="76" t="s">
        <v>27595</v>
      </c>
      <c r="BK1702" s="76" t="b">
        <v>0</v>
      </c>
      <c r="BL1702" s="76"/>
      <c r="BM1702" s="76" t="s">
        <v>66</v>
      </c>
      <c r="BN1702" s="76" t="s">
        <v>27597</v>
      </c>
      <c r="BO1702" s="82" t="str">
        <f>HYPERLINK("https://twitter.com/terradavi")</f>
        <v>https://twitter.com/terradavi</v>
      </c>
      <c r="BP1702" s="2"/>
    </row>
    <row r="1703" spans="1:68" x14ac:dyDescent="0.25">
      <c r="A1703" s="62" t="s">
        <v>1535</v>
      </c>
      <c r="B1703" s="63"/>
      <c r="C1703" s="63"/>
      <c r="D1703" s="64"/>
      <c r="E1703" s="66"/>
      <c r="F1703" s="103" t="str">
        <f>HYPERLINK("https://pbs.twimg.com/profile_images/1643005424721952768/57hdyPm__normal.jpg")</f>
        <v>https://pbs.twimg.com/profile_images/1643005424721952768/57hdyPm__normal.jpg</v>
      </c>
      <c r="G1703" s="63"/>
      <c r="H1703" s="67"/>
      <c r="I1703" s="68"/>
      <c r="J1703" s="68"/>
      <c r="K1703" s="67" t="s">
        <v>29297</v>
      </c>
      <c r="L1703" s="71"/>
      <c r="M1703" s="72"/>
      <c r="N1703" s="72"/>
      <c r="O1703" s="73"/>
      <c r="P1703" s="74"/>
      <c r="Q1703" s="74"/>
      <c r="R1703" s="87"/>
      <c r="S1703" s="87"/>
      <c r="T1703" s="87"/>
      <c r="U1703" s="87"/>
      <c r="V1703" s="48"/>
      <c r="W1703" s="48"/>
      <c r="X1703" s="48"/>
      <c r="Y1703" s="48"/>
      <c r="Z1703" s="47"/>
      <c r="AA1703" s="69">
        <v>1703</v>
      </c>
      <c r="AB1703" s="69"/>
      <c r="AC1703" s="70"/>
      <c r="AD1703" s="76" t="s">
        <v>22912</v>
      </c>
      <c r="AE1703" s="81" t="s">
        <v>23961</v>
      </c>
      <c r="AF1703" s="76">
        <v>1511713</v>
      </c>
      <c r="AG1703" s="76">
        <v>36</v>
      </c>
      <c r="AH1703" s="76">
        <v>134652</v>
      </c>
      <c r="AI1703" s="76">
        <v>8580</v>
      </c>
      <c r="AJ1703" s="76">
        <v>1166</v>
      </c>
      <c r="AK1703" s="76">
        <v>36016</v>
      </c>
      <c r="AL1703" s="76" t="b">
        <v>0</v>
      </c>
      <c r="AM1703" s="78">
        <v>39314.892453703702</v>
      </c>
      <c r="AN1703" s="76"/>
      <c r="AO1703" s="76"/>
      <c r="AP1703" s="76"/>
      <c r="AQ1703" s="76"/>
      <c r="AR1703" s="76"/>
      <c r="AS1703" s="76"/>
      <c r="AT1703" s="76"/>
      <c r="AU1703" s="76"/>
      <c r="AV1703" s="76"/>
      <c r="AW1703" s="76"/>
      <c r="AX1703" s="76" t="b">
        <v>1</v>
      </c>
      <c r="AY1703" s="76"/>
      <c r="AZ1703" s="76"/>
      <c r="BA1703" s="76" t="b">
        <v>0</v>
      </c>
      <c r="BB1703" s="76" t="b">
        <v>0</v>
      </c>
      <c r="BC1703" s="76" t="b">
        <v>0</v>
      </c>
      <c r="BD1703" s="76" t="b">
        <v>0</v>
      </c>
      <c r="BE1703" s="76" t="b">
        <v>1</v>
      </c>
      <c r="BF1703" s="76" t="b">
        <v>0</v>
      </c>
      <c r="BG1703" s="76" t="b">
        <v>0</v>
      </c>
      <c r="BH1703" s="82" t="str">
        <f>HYPERLINK("https://pbs.twimg.com/profile_banners/8315402/1680558056")</f>
        <v>https://pbs.twimg.com/profile_banners/8315402/1680558056</v>
      </c>
      <c r="BI1703" s="76"/>
      <c r="BJ1703" s="76" t="s">
        <v>27595</v>
      </c>
      <c r="BK1703" s="76" t="b">
        <v>0</v>
      </c>
      <c r="BL1703" s="76"/>
      <c r="BM1703" s="76" t="s">
        <v>66</v>
      </c>
      <c r="BN1703" s="76" t="s">
        <v>27597</v>
      </c>
      <c r="BO1703" s="82" t="str">
        <f>HYPERLINK("https://twitter.com/olhardigital")</f>
        <v>https://twitter.com/olhardigital</v>
      </c>
      <c r="BP1703" s="2"/>
    </row>
    <row r="1704" spans="1:68" x14ac:dyDescent="0.25">
      <c r="A1704" s="62" t="s">
        <v>1537</v>
      </c>
      <c r="B1704" s="63"/>
      <c r="C1704" s="63"/>
      <c r="D1704" s="64"/>
      <c r="E1704" s="66"/>
      <c r="F1704" s="103" t="str">
        <f>HYPERLINK("https://pbs.twimg.com/profile_images/1371121932494635008/3o7PyKOJ_normal.jpg")</f>
        <v>https://pbs.twimg.com/profile_images/1371121932494635008/3o7PyKOJ_normal.jpg</v>
      </c>
      <c r="G1704" s="63"/>
      <c r="H1704" s="67"/>
      <c r="I1704" s="68"/>
      <c r="J1704" s="68"/>
      <c r="K1704" s="67" t="s">
        <v>29298</v>
      </c>
      <c r="L1704" s="71"/>
      <c r="M1704" s="72"/>
      <c r="N1704" s="72"/>
      <c r="O1704" s="73"/>
      <c r="P1704" s="74"/>
      <c r="Q1704" s="74"/>
      <c r="R1704" s="87"/>
      <c r="S1704" s="87"/>
      <c r="T1704" s="87"/>
      <c r="U1704" s="87"/>
      <c r="V1704" s="48"/>
      <c r="W1704" s="48"/>
      <c r="X1704" s="48"/>
      <c r="Y1704" s="48"/>
      <c r="Z1704" s="47"/>
      <c r="AA1704" s="69">
        <v>1704</v>
      </c>
      <c r="AB1704" s="69"/>
      <c r="AC1704" s="70"/>
      <c r="AD1704" s="76" t="s">
        <v>22913</v>
      </c>
      <c r="AE1704" s="81" t="s">
        <v>21136</v>
      </c>
      <c r="AF1704" s="76">
        <v>416</v>
      </c>
      <c r="AG1704" s="76">
        <v>896</v>
      </c>
      <c r="AH1704" s="76">
        <v>5881</v>
      </c>
      <c r="AI1704" s="76">
        <v>0</v>
      </c>
      <c r="AJ1704" s="76">
        <v>2307</v>
      </c>
      <c r="AK1704" s="76">
        <v>3313</v>
      </c>
      <c r="AL1704" s="76" t="b">
        <v>0</v>
      </c>
      <c r="AM1704" s="78">
        <v>43949.881944444445</v>
      </c>
      <c r="AN1704" s="76"/>
      <c r="AO1704" s="76" t="s">
        <v>26220</v>
      </c>
      <c r="AP1704" s="76"/>
      <c r="AQ1704" s="76"/>
      <c r="AR1704" s="76"/>
      <c r="AS1704" s="82" t="str">
        <f>HYPERLINK("https://t.co/sSWFeOQhDl")</f>
        <v>https://t.co/sSWFeOQhDl</v>
      </c>
      <c r="AT1704" s="82" t="str">
        <f>HYPERLINK("http://Despertarnacional.com.do")</f>
        <v>http://Despertarnacional.com.do</v>
      </c>
      <c r="AU1704" s="76" t="s">
        <v>27577</v>
      </c>
      <c r="AV1704" s="76">
        <v>1.5751415728192699E+18</v>
      </c>
      <c r="AW1704" s="76"/>
      <c r="AX1704" s="76" t="b">
        <v>0</v>
      </c>
      <c r="AY1704" s="76"/>
      <c r="AZ1704" s="76"/>
      <c r="BA1704" s="76" t="b">
        <v>1</v>
      </c>
      <c r="BB1704" s="76" t="b">
        <v>1</v>
      </c>
      <c r="BC1704" s="76" t="b">
        <v>1</v>
      </c>
      <c r="BD1704" s="76" t="b">
        <v>0</v>
      </c>
      <c r="BE1704" s="76" t="b">
        <v>1</v>
      </c>
      <c r="BF1704" s="76" t="b">
        <v>0</v>
      </c>
      <c r="BG1704" s="76" t="b">
        <v>0</v>
      </c>
      <c r="BH1704" s="82" t="str">
        <f>HYPERLINK("https://pbs.twimg.com/profile_banners/1255242690805071877/1619775684")</f>
        <v>https://pbs.twimg.com/profile_banners/1255242690805071877/1619775684</v>
      </c>
      <c r="BI1704" s="76"/>
      <c r="BJ1704" s="76" t="s">
        <v>27595</v>
      </c>
      <c r="BK1704" s="76" t="b">
        <v>0</v>
      </c>
      <c r="BL1704" s="76"/>
      <c r="BM1704" s="76" t="s">
        <v>66</v>
      </c>
      <c r="BN1704" s="76" t="s">
        <v>27597</v>
      </c>
      <c r="BO1704" s="82" t="str">
        <f>HYPERLINK("https://twitter.com/despertarnacio2")</f>
        <v>https://twitter.com/despertarnacio2</v>
      </c>
      <c r="BP1704" s="2"/>
    </row>
    <row r="1705" spans="1:68" x14ac:dyDescent="0.25">
      <c r="A1705" s="62" t="s">
        <v>2059</v>
      </c>
      <c r="B1705" s="63"/>
      <c r="C1705" s="63"/>
      <c r="D1705" s="64"/>
      <c r="E1705" s="66"/>
      <c r="F1705" s="103" t="str">
        <f>HYPERLINK("https://pbs.twimg.com/profile_images/1709896964/IMG_3614_normal.JPG")</f>
        <v>https://pbs.twimg.com/profile_images/1709896964/IMG_3614_normal.JPG</v>
      </c>
      <c r="G1705" s="63"/>
      <c r="H1705" s="67"/>
      <c r="I1705" s="68"/>
      <c r="J1705" s="68"/>
      <c r="K1705" s="67" t="s">
        <v>29299</v>
      </c>
      <c r="L1705" s="71"/>
      <c r="M1705" s="72"/>
      <c r="N1705" s="72"/>
      <c r="O1705" s="73"/>
      <c r="P1705" s="74"/>
      <c r="Q1705" s="74"/>
      <c r="R1705" s="87"/>
      <c r="S1705" s="87"/>
      <c r="T1705" s="87"/>
      <c r="U1705" s="87"/>
      <c r="V1705" s="48"/>
      <c r="W1705" s="48"/>
      <c r="X1705" s="48"/>
      <c r="Y1705" s="48"/>
      <c r="Z1705" s="47"/>
      <c r="AA1705" s="69">
        <v>1705</v>
      </c>
      <c r="AB1705" s="69"/>
      <c r="AC1705" s="70"/>
      <c r="AD1705" s="76" t="s">
        <v>22914</v>
      </c>
      <c r="AE1705" s="81" t="s">
        <v>23962</v>
      </c>
      <c r="AF1705" s="76">
        <v>43691</v>
      </c>
      <c r="AG1705" s="76">
        <v>1288</v>
      </c>
      <c r="AH1705" s="76">
        <v>24389</v>
      </c>
      <c r="AI1705" s="76">
        <v>310</v>
      </c>
      <c r="AJ1705" s="76">
        <v>834</v>
      </c>
      <c r="AK1705" s="76">
        <v>8608</v>
      </c>
      <c r="AL1705" s="76" t="b">
        <v>0</v>
      </c>
      <c r="AM1705" s="78">
        <v>40738.707824074074</v>
      </c>
      <c r="AN1705" s="76" t="s">
        <v>24526</v>
      </c>
      <c r="AO1705" s="76" t="s">
        <v>26221</v>
      </c>
      <c r="AP1705" s="82" t="str">
        <f>HYPERLINK("https://t.co/Bd2whKjDnM")</f>
        <v>https://t.co/Bd2whKjDnM</v>
      </c>
      <c r="AQ1705" s="82" t="str">
        <f>HYPERLINK("https://www.youtube.com/c/DEMOCRACIATVEC")</f>
        <v>https://www.youtube.com/c/DEMOCRACIATVEC</v>
      </c>
      <c r="AR1705" s="76" t="s">
        <v>27285</v>
      </c>
      <c r="AS1705" s="82" t="str">
        <f>HYPERLINK("https://t.co/wLZrjWkGAy")</f>
        <v>https://t.co/wLZrjWkGAy</v>
      </c>
      <c r="AT1705" s="82" t="str">
        <f>HYPERLINK("http://www.democracia.ec")</f>
        <v>http://www.democracia.ec</v>
      </c>
      <c r="AU1705" s="76" t="s">
        <v>27578</v>
      </c>
      <c r="AV1705" s="76"/>
      <c r="AW1705" s="82" t="str">
        <f>HYPERLINK("https://t.co/Bd2whKjDnM")</f>
        <v>https://t.co/Bd2whKjDnM</v>
      </c>
      <c r="AX1705" s="76" t="b">
        <v>0</v>
      </c>
      <c r="AY1705" s="76"/>
      <c r="AZ1705" s="76"/>
      <c r="BA1705" s="76" t="b">
        <v>0</v>
      </c>
      <c r="BB1705" s="76" t="b">
        <v>1</v>
      </c>
      <c r="BC1705" s="76" t="b">
        <v>0</v>
      </c>
      <c r="BD1705" s="76" t="b">
        <v>0</v>
      </c>
      <c r="BE1705" s="76" t="b">
        <v>1</v>
      </c>
      <c r="BF1705" s="76" t="b">
        <v>0</v>
      </c>
      <c r="BG1705" s="76" t="b">
        <v>0</v>
      </c>
      <c r="BH1705" s="82" t="str">
        <f>HYPERLINK("https://pbs.twimg.com/profile_banners/335410379/1476207728")</f>
        <v>https://pbs.twimg.com/profile_banners/335410379/1476207728</v>
      </c>
      <c r="BI1705" s="76"/>
      <c r="BJ1705" s="76" t="s">
        <v>27595</v>
      </c>
      <c r="BK1705" s="76" t="b">
        <v>0</v>
      </c>
      <c r="BL1705" s="76"/>
      <c r="BM1705" s="76" t="s">
        <v>65</v>
      </c>
      <c r="BN1705" s="76" t="s">
        <v>27597</v>
      </c>
      <c r="BO1705" s="82" t="str">
        <f>HYPERLINK("https://twitter.com/democraciaec")</f>
        <v>https://twitter.com/democraciaec</v>
      </c>
      <c r="BP1705" s="2"/>
    </row>
    <row r="1706" spans="1:68" x14ac:dyDescent="0.25">
      <c r="A1706" s="62" t="s">
        <v>1540</v>
      </c>
      <c r="B1706" s="63"/>
      <c r="C1706" s="63"/>
      <c r="D1706" s="64"/>
      <c r="E1706" s="66"/>
      <c r="F1706" s="103" t="str">
        <f>HYPERLINK("https://pbs.twimg.com/profile_images/1706013828889100288/5ZEqAFly_normal.jpg")</f>
        <v>https://pbs.twimg.com/profile_images/1706013828889100288/5ZEqAFly_normal.jpg</v>
      </c>
      <c r="G1706" s="63"/>
      <c r="H1706" s="67"/>
      <c r="I1706" s="68"/>
      <c r="J1706" s="68"/>
      <c r="K1706" s="67" t="s">
        <v>29300</v>
      </c>
      <c r="L1706" s="71"/>
      <c r="M1706" s="72"/>
      <c r="N1706" s="72"/>
      <c r="O1706" s="73"/>
      <c r="P1706" s="74"/>
      <c r="Q1706" s="74"/>
      <c r="R1706" s="87"/>
      <c r="S1706" s="87"/>
      <c r="T1706" s="87"/>
      <c r="U1706" s="87"/>
      <c r="V1706" s="48"/>
      <c r="W1706" s="48"/>
      <c r="X1706" s="48"/>
      <c r="Y1706" s="48"/>
      <c r="Z1706" s="47"/>
      <c r="AA1706" s="69">
        <v>1706</v>
      </c>
      <c r="AB1706" s="69"/>
      <c r="AC1706" s="70"/>
      <c r="AD1706" s="76" t="s">
        <v>22915</v>
      </c>
      <c r="AE1706" s="81" t="s">
        <v>23963</v>
      </c>
      <c r="AF1706" s="76">
        <v>1542</v>
      </c>
      <c r="AG1706" s="76">
        <v>1181</v>
      </c>
      <c r="AH1706" s="76">
        <v>33040</v>
      </c>
      <c r="AI1706" s="76">
        <v>39</v>
      </c>
      <c r="AJ1706" s="76">
        <v>24759</v>
      </c>
      <c r="AK1706" s="76">
        <v>690</v>
      </c>
      <c r="AL1706" s="76" t="b">
        <v>0</v>
      </c>
      <c r="AM1706" s="78">
        <v>40012.647245370368</v>
      </c>
      <c r="AN1706" s="76" t="s">
        <v>24343</v>
      </c>
      <c r="AO1706" s="76" t="s">
        <v>26222</v>
      </c>
      <c r="AP1706" s="76"/>
      <c r="AQ1706" s="76"/>
      <c r="AR1706" s="76"/>
      <c r="AS1706" s="76"/>
      <c r="AT1706" s="76"/>
      <c r="AU1706" s="76"/>
      <c r="AV1706" s="76">
        <v>1.3798310153262899E+18</v>
      </c>
      <c r="AW1706" s="76"/>
      <c r="AX1706" s="76" t="b">
        <v>0</v>
      </c>
      <c r="AY1706" s="76"/>
      <c r="AZ1706" s="76"/>
      <c r="BA1706" s="76" t="b">
        <v>0</v>
      </c>
      <c r="BB1706" s="76" t="b">
        <v>1</v>
      </c>
      <c r="BC1706" s="76" t="b">
        <v>1</v>
      </c>
      <c r="BD1706" s="76" t="b">
        <v>0</v>
      </c>
      <c r="BE1706" s="76" t="b">
        <v>1</v>
      </c>
      <c r="BF1706" s="76" t="b">
        <v>0</v>
      </c>
      <c r="BG1706" s="76" t="b">
        <v>0</v>
      </c>
      <c r="BH1706" s="82" t="str">
        <f>HYPERLINK("https://pbs.twimg.com/profile_banners/57957264/1691769329")</f>
        <v>https://pbs.twimg.com/profile_banners/57957264/1691769329</v>
      </c>
      <c r="BI1706" s="76"/>
      <c r="BJ1706" s="76" t="s">
        <v>27595</v>
      </c>
      <c r="BK1706" s="76" t="b">
        <v>0</v>
      </c>
      <c r="BL1706" s="76"/>
      <c r="BM1706" s="76" t="s">
        <v>66</v>
      </c>
      <c r="BN1706" s="76" t="s">
        <v>27597</v>
      </c>
      <c r="BO1706" s="82" t="str">
        <f>HYPERLINK("https://twitter.com/rodmolcru")</f>
        <v>https://twitter.com/rodmolcru</v>
      </c>
      <c r="BP1706" s="2"/>
    </row>
    <row r="1707" spans="1:68" x14ac:dyDescent="0.25">
      <c r="A1707" s="62" t="s">
        <v>1541</v>
      </c>
      <c r="B1707" s="63"/>
      <c r="C1707" s="63"/>
      <c r="D1707" s="64"/>
      <c r="E1707" s="66"/>
      <c r="F1707" s="103" t="str">
        <f>HYPERLINK("https://pbs.twimg.com/profile_images/1088936543656517634/7ueC71yZ_normal.jpg")</f>
        <v>https://pbs.twimg.com/profile_images/1088936543656517634/7ueC71yZ_normal.jpg</v>
      </c>
      <c r="G1707" s="63"/>
      <c r="H1707" s="67"/>
      <c r="I1707" s="68"/>
      <c r="J1707" s="68"/>
      <c r="K1707" s="67" t="s">
        <v>29301</v>
      </c>
      <c r="L1707" s="71"/>
      <c r="M1707" s="72"/>
      <c r="N1707" s="72"/>
      <c r="O1707" s="73"/>
      <c r="P1707" s="74"/>
      <c r="Q1707" s="74"/>
      <c r="R1707" s="87"/>
      <c r="S1707" s="87"/>
      <c r="T1707" s="87"/>
      <c r="U1707" s="87"/>
      <c r="V1707" s="48"/>
      <c r="W1707" s="48"/>
      <c r="X1707" s="48"/>
      <c r="Y1707" s="48"/>
      <c r="Z1707" s="47"/>
      <c r="AA1707" s="69">
        <v>1707</v>
      </c>
      <c r="AB1707" s="69"/>
      <c r="AC1707" s="70"/>
      <c r="AD1707" s="76" t="s">
        <v>22916</v>
      </c>
      <c r="AE1707" s="81" t="s">
        <v>23964</v>
      </c>
      <c r="AF1707" s="76">
        <v>496</v>
      </c>
      <c r="AG1707" s="76">
        <v>1257</v>
      </c>
      <c r="AH1707" s="76">
        <v>1986</v>
      </c>
      <c r="AI1707" s="76">
        <v>0</v>
      </c>
      <c r="AJ1707" s="76">
        <v>9062</v>
      </c>
      <c r="AK1707" s="76">
        <v>83</v>
      </c>
      <c r="AL1707" s="76" t="b">
        <v>0</v>
      </c>
      <c r="AM1707" s="78">
        <v>41011.16920138889</v>
      </c>
      <c r="AN1707" s="76" t="s">
        <v>24294</v>
      </c>
      <c r="AO1707" s="76" t="s">
        <v>26223</v>
      </c>
      <c r="AP1707" s="82" t="str">
        <f>HYPERLINK("https://t.co/3wsOoQhd13")</f>
        <v>https://t.co/3wsOoQhd13</v>
      </c>
      <c r="AQ1707" s="82" t="str">
        <f>HYPERLINK("https://tfsconsultoria.com/")</f>
        <v>https://tfsconsultoria.com/</v>
      </c>
      <c r="AR1707" s="76" t="s">
        <v>27286</v>
      </c>
      <c r="AS1707" s="76"/>
      <c r="AT1707" s="76"/>
      <c r="AU1707" s="76"/>
      <c r="AV1707" s="76"/>
      <c r="AW1707" s="82" t="str">
        <f>HYPERLINK("https://t.co/3wsOoQhd13")</f>
        <v>https://t.co/3wsOoQhd13</v>
      </c>
      <c r="AX1707" s="76" t="b">
        <v>0</v>
      </c>
      <c r="AY1707" s="76"/>
      <c r="AZ1707" s="76"/>
      <c r="BA1707" s="76" t="b">
        <v>0</v>
      </c>
      <c r="BB1707" s="76" t="b">
        <v>1</v>
      </c>
      <c r="BC1707" s="76" t="b">
        <v>1</v>
      </c>
      <c r="BD1707" s="76" t="b">
        <v>0</v>
      </c>
      <c r="BE1707" s="76" t="b">
        <v>1</v>
      </c>
      <c r="BF1707" s="76" t="b">
        <v>0</v>
      </c>
      <c r="BG1707" s="76" t="b">
        <v>0</v>
      </c>
      <c r="BH1707" s="82" t="str">
        <f>HYPERLINK("https://pbs.twimg.com/profile_banners/551634597/1693868710")</f>
        <v>https://pbs.twimg.com/profile_banners/551634597/1693868710</v>
      </c>
      <c r="BI1707" s="76"/>
      <c r="BJ1707" s="76" t="s">
        <v>27595</v>
      </c>
      <c r="BK1707" s="76" t="b">
        <v>0</v>
      </c>
      <c r="BL1707" s="76"/>
      <c r="BM1707" s="76" t="s">
        <v>66</v>
      </c>
      <c r="BN1707" s="76" t="s">
        <v>27597</v>
      </c>
      <c r="BO1707" s="82" t="str">
        <f>HYPERLINK("https://twitter.com/admthiagofelix")</f>
        <v>https://twitter.com/admthiagofelix</v>
      </c>
      <c r="BP1707" s="2"/>
    </row>
    <row r="1708" spans="1:68" x14ac:dyDescent="0.25">
      <c r="A1708" s="62" t="s">
        <v>1542</v>
      </c>
      <c r="B1708" s="63"/>
      <c r="C1708" s="63"/>
      <c r="D1708" s="64"/>
      <c r="E1708" s="66"/>
      <c r="F1708" s="103" t="str">
        <f>HYPERLINK("https://pbs.twimg.com/profile_images/1698066943922634752/UvAeB6oX_normal.jpg")</f>
        <v>https://pbs.twimg.com/profile_images/1698066943922634752/UvAeB6oX_normal.jpg</v>
      </c>
      <c r="G1708" s="63"/>
      <c r="H1708" s="67"/>
      <c r="I1708" s="68"/>
      <c r="J1708" s="68"/>
      <c r="K1708" s="67" t="s">
        <v>29302</v>
      </c>
      <c r="L1708" s="71"/>
      <c r="M1708" s="72"/>
      <c r="N1708" s="72"/>
      <c r="O1708" s="73"/>
      <c r="P1708" s="74"/>
      <c r="Q1708" s="74"/>
      <c r="R1708" s="87"/>
      <c r="S1708" s="87"/>
      <c r="T1708" s="87"/>
      <c r="U1708" s="87"/>
      <c r="V1708" s="48"/>
      <c r="W1708" s="48"/>
      <c r="X1708" s="48"/>
      <c r="Y1708" s="48"/>
      <c r="Z1708" s="47"/>
      <c r="AA1708" s="69">
        <v>1708</v>
      </c>
      <c r="AB1708" s="69"/>
      <c r="AC1708" s="70"/>
      <c r="AD1708" s="76" t="s">
        <v>22917</v>
      </c>
      <c r="AE1708" s="81" t="s">
        <v>20369</v>
      </c>
      <c r="AF1708" s="76">
        <v>392</v>
      </c>
      <c r="AG1708" s="76">
        <v>576</v>
      </c>
      <c r="AH1708" s="76">
        <v>3813</v>
      </c>
      <c r="AI1708" s="76">
        <v>74</v>
      </c>
      <c r="AJ1708" s="76">
        <v>1936</v>
      </c>
      <c r="AK1708" s="76">
        <v>155</v>
      </c>
      <c r="AL1708" s="76" t="b">
        <v>0</v>
      </c>
      <c r="AM1708" s="78">
        <v>39414.871203703704</v>
      </c>
      <c r="AN1708" s="76" t="s">
        <v>24658</v>
      </c>
      <c r="AO1708" s="76" t="s">
        <v>26224</v>
      </c>
      <c r="AP1708" s="82" t="str">
        <f>HYPERLINK("https://t.co/oLJnCf2aZ2")</f>
        <v>https://t.co/oLJnCf2aZ2</v>
      </c>
      <c r="AQ1708" s="82" t="str">
        <f>HYPERLINK("https://transfero.com")</f>
        <v>https://transfero.com</v>
      </c>
      <c r="AR1708" s="76" t="s">
        <v>27287</v>
      </c>
      <c r="AS1708" s="76"/>
      <c r="AT1708" s="76"/>
      <c r="AU1708" s="76"/>
      <c r="AV1708" s="76"/>
      <c r="AW1708" s="82" t="str">
        <f>HYPERLINK("https://t.co/oLJnCf2aZ2")</f>
        <v>https://t.co/oLJnCf2aZ2</v>
      </c>
      <c r="AX1708" s="76" t="b">
        <v>0</v>
      </c>
      <c r="AY1708" s="76"/>
      <c r="AZ1708" s="76"/>
      <c r="BA1708" s="76" t="b">
        <v>0</v>
      </c>
      <c r="BB1708" s="76" t="b">
        <v>1</v>
      </c>
      <c r="BC1708" s="76" t="b">
        <v>0</v>
      </c>
      <c r="BD1708" s="76" t="b">
        <v>0</v>
      </c>
      <c r="BE1708" s="76" t="b">
        <v>0</v>
      </c>
      <c r="BF1708" s="76" t="b">
        <v>0</v>
      </c>
      <c r="BG1708" s="76" t="b">
        <v>0</v>
      </c>
      <c r="BH1708" s="82" t="str">
        <f>HYPERLINK("https://pbs.twimg.com/profile_banners/10686852/1445265828")</f>
        <v>https://pbs.twimg.com/profile_banners/10686852/1445265828</v>
      </c>
      <c r="BI1708" s="76"/>
      <c r="BJ1708" s="76" t="s">
        <v>27595</v>
      </c>
      <c r="BK1708" s="76" t="b">
        <v>0</v>
      </c>
      <c r="BL1708" s="76"/>
      <c r="BM1708" s="76" t="s">
        <v>66</v>
      </c>
      <c r="BN1708" s="76" t="s">
        <v>27597</v>
      </c>
      <c r="BO1708" s="82" t="str">
        <f>HYPERLINK("https://twitter.com/claudiojust")</f>
        <v>https://twitter.com/claudiojust</v>
      </c>
      <c r="BP1708" s="2"/>
    </row>
    <row r="1709" spans="1:68" x14ac:dyDescent="0.25">
      <c r="A1709" s="62" t="s">
        <v>1543</v>
      </c>
      <c r="B1709" s="63"/>
      <c r="C1709" s="63"/>
      <c r="D1709" s="64"/>
      <c r="E1709" s="66"/>
      <c r="F1709" s="103" t="str">
        <f>HYPERLINK("https://pbs.twimg.com/profile_images/1586859251863011328/fXYoF_sK_normal.jpg")</f>
        <v>https://pbs.twimg.com/profile_images/1586859251863011328/fXYoF_sK_normal.jpg</v>
      </c>
      <c r="G1709" s="63"/>
      <c r="H1709" s="67"/>
      <c r="I1709" s="68"/>
      <c r="J1709" s="68"/>
      <c r="K1709" s="67" t="s">
        <v>29303</v>
      </c>
      <c r="L1709" s="71"/>
      <c r="M1709" s="72"/>
      <c r="N1709" s="72"/>
      <c r="O1709" s="73"/>
      <c r="P1709" s="74"/>
      <c r="Q1709" s="74"/>
      <c r="R1709" s="87"/>
      <c r="S1709" s="87"/>
      <c r="T1709" s="87"/>
      <c r="U1709" s="87"/>
      <c r="V1709" s="48"/>
      <c r="W1709" s="48"/>
      <c r="X1709" s="48"/>
      <c r="Y1709" s="48"/>
      <c r="Z1709" s="47"/>
      <c r="AA1709" s="69">
        <v>1709</v>
      </c>
      <c r="AB1709" s="69"/>
      <c r="AC1709" s="70"/>
      <c r="AD1709" s="76" t="s">
        <v>22918</v>
      </c>
      <c r="AE1709" s="81" t="s">
        <v>23965</v>
      </c>
      <c r="AF1709" s="76">
        <v>3298</v>
      </c>
      <c r="AG1709" s="76">
        <v>3556</v>
      </c>
      <c r="AH1709" s="76">
        <v>194066</v>
      </c>
      <c r="AI1709" s="76">
        <v>1</v>
      </c>
      <c r="AJ1709" s="76">
        <v>8761</v>
      </c>
      <c r="AK1709" s="76">
        <v>3296</v>
      </c>
      <c r="AL1709" s="76" t="b">
        <v>0</v>
      </c>
      <c r="AM1709" s="78">
        <v>40055.022615740738</v>
      </c>
      <c r="AN1709" s="76" t="s">
        <v>24659</v>
      </c>
      <c r="AO1709" s="76" t="s">
        <v>26225</v>
      </c>
      <c r="AP1709" s="82" t="str">
        <f>HYPERLINK("https://t.co/pMylgKmoJe")</f>
        <v>https://t.co/pMylgKmoJe</v>
      </c>
      <c r="AQ1709" s="82" t="str">
        <f>HYPERLINK("http://www.marcoocram.com.br")</f>
        <v>http://www.marcoocram.com.br</v>
      </c>
      <c r="AR1709" s="76" t="s">
        <v>27288</v>
      </c>
      <c r="AS1709" s="76"/>
      <c r="AT1709" s="76"/>
      <c r="AU1709" s="76"/>
      <c r="AV1709" s="76">
        <v>1.5792516343410401E+18</v>
      </c>
      <c r="AW1709" s="82" t="str">
        <f>HYPERLINK("https://t.co/pMylgKmoJe")</f>
        <v>https://t.co/pMylgKmoJe</v>
      </c>
      <c r="AX1709" s="76" t="b">
        <v>0</v>
      </c>
      <c r="AY1709" s="76"/>
      <c r="AZ1709" s="76"/>
      <c r="BA1709" s="76" t="b">
        <v>1</v>
      </c>
      <c r="BB1709" s="76" t="b">
        <v>1</v>
      </c>
      <c r="BC1709" s="76" t="b">
        <v>0</v>
      </c>
      <c r="BD1709" s="76" t="b">
        <v>0</v>
      </c>
      <c r="BE1709" s="76" t="b">
        <v>1</v>
      </c>
      <c r="BF1709" s="76" t="b">
        <v>0</v>
      </c>
      <c r="BG1709" s="76" t="b">
        <v>0</v>
      </c>
      <c r="BH1709" s="82" t="str">
        <f>HYPERLINK("https://pbs.twimg.com/profile_banners/70003769/1541450317")</f>
        <v>https://pbs.twimg.com/profile_banners/70003769/1541450317</v>
      </c>
      <c r="BI1709" s="76"/>
      <c r="BJ1709" s="76" t="s">
        <v>27595</v>
      </c>
      <c r="BK1709" s="76" t="b">
        <v>0</v>
      </c>
      <c r="BL1709" s="76"/>
      <c r="BM1709" s="76" t="s">
        <v>66</v>
      </c>
      <c r="BN1709" s="76" t="s">
        <v>27597</v>
      </c>
      <c r="BO1709" s="82" t="str">
        <f>HYPERLINK("https://twitter.com/marcoocramalan")</f>
        <v>https://twitter.com/marcoocramalan</v>
      </c>
      <c r="BP1709" s="2"/>
    </row>
    <row r="1710" spans="1:68" x14ac:dyDescent="0.25">
      <c r="A1710" s="62" t="s">
        <v>1544</v>
      </c>
      <c r="B1710" s="63"/>
      <c r="C1710" s="63"/>
      <c r="D1710" s="64"/>
      <c r="E1710" s="66"/>
      <c r="F1710" s="103" t="str">
        <f>HYPERLINK("https://pbs.twimg.com/profile_images/1243647515561537536/dROcx9sp_normal.jpg")</f>
        <v>https://pbs.twimg.com/profile_images/1243647515561537536/dROcx9sp_normal.jpg</v>
      </c>
      <c r="G1710" s="63"/>
      <c r="H1710" s="67"/>
      <c r="I1710" s="68"/>
      <c r="J1710" s="68"/>
      <c r="K1710" s="67" t="s">
        <v>29304</v>
      </c>
      <c r="L1710" s="71"/>
      <c r="M1710" s="72"/>
      <c r="N1710" s="72"/>
      <c r="O1710" s="73"/>
      <c r="P1710" s="74"/>
      <c r="Q1710" s="74"/>
      <c r="R1710" s="87"/>
      <c r="S1710" s="87"/>
      <c r="T1710" s="87"/>
      <c r="U1710" s="87"/>
      <c r="V1710" s="48"/>
      <c r="W1710" s="48"/>
      <c r="X1710" s="48"/>
      <c r="Y1710" s="48"/>
      <c r="Z1710" s="47"/>
      <c r="AA1710" s="69">
        <v>1710</v>
      </c>
      <c r="AB1710" s="69"/>
      <c r="AC1710" s="70"/>
      <c r="AD1710" s="76" t="s">
        <v>22919</v>
      </c>
      <c r="AE1710" s="81" t="s">
        <v>21138</v>
      </c>
      <c r="AF1710" s="76">
        <v>980</v>
      </c>
      <c r="AG1710" s="76">
        <v>125</v>
      </c>
      <c r="AH1710" s="76">
        <v>1006</v>
      </c>
      <c r="AI1710" s="76">
        <v>2</v>
      </c>
      <c r="AJ1710" s="76">
        <v>228</v>
      </c>
      <c r="AK1710" s="76">
        <v>92</v>
      </c>
      <c r="AL1710" s="76" t="b">
        <v>0</v>
      </c>
      <c r="AM1710" s="78">
        <v>43917.883356481485</v>
      </c>
      <c r="AN1710" s="76"/>
      <c r="AO1710" s="76" t="s">
        <v>26226</v>
      </c>
      <c r="AP1710" s="76"/>
      <c r="AQ1710" s="76"/>
      <c r="AR1710" s="76"/>
      <c r="AS1710" s="76"/>
      <c r="AT1710" s="76"/>
      <c r="AU1710" s="76"/>
      <c r="AV1710" s="76"/>
      <c r="AW1710" s="76"/>
      <c r="AX1710" s="76" t="b">
        <v>1</v>
      </c>
      <c r="AY1710" s="76"/>
      <c r="AZ1710" s="76"/>
      <c r="BA1710" s="76" t="b">
        <v>0</v>
      </c>
      <c r="BB1710" s="76" t="b">
        <v>1</v>
      </c>
      <c r="BC1710" s="76" t="b">
        <v>1</v>
      </c>
      <c r="BD1710" s="76" t="b">
        <v>0</v>
      </c>
      <c r="BE1710" s="76" t="b">
        <v>0</v>
      </c>
      <c r="BF1710" s="76" t="b">
        <v>0</v>
      </c>
      <c r="BG1710" s="76" t="b">
        <v>0</v>
      </c>
      <c r="BH1710" s="82" t="str">
        <f>HYPERLINK("https://pbs.twimg.com/profile_banners/1243646884050358272/1587063380")</f>
        <v>https://pbs.twimg.com/profile_banners/1243646884050358272/1587063380</v>
      </c>
      <c r="BI1710" s="76"/>
      <c r="BJ1710" s="76" t="s">
        <v>27595</v>
      </c>
      <c r="BK1710" s="76" t="b">
        <v>0</v>
      </c>
      <c r="BL1710" s="76"/>
      <c r="BM1710" s="76" t="s">
        <v>66</v>
      </c>
      <c r="BN1710" s="76" t="s">
        <v>27597</v>
      </c>
      <c r="BO1710" s="82" t="str">
        <f>HYPERLINK("https://twitter.com/nuno_vccls")</f>
        <v>https://twitter.com/nuno_vccls</v>
      </c>
      <c r="BP1710" s="2"/>
    </row>
    <row r="1711" spans="1:68" x14ac:dyDescent="0.25">
      <c r="A1711" s="62" t="s">
        <v>1545</v>
      </c>
      <c r="B1711" s="63"/>
      <c r="C1711" s="63"/>
      <c r="D1711" s="64"/>
      <c r="E1711" s="66"/>
      <c r="F1711" s="103" t="str">
        <f>HYPERLINK("https://pbs.twimg.com/profile_images/1609334703693111297/upJnAyT7_normal.jpg")</f>
        <v>https://pbs.twimg.com/profile_images/1609334703693111297/upJnAyT7_normal.jpg</v>
      </c>
      <c r="G1711" s="63"/>
      <c r="H1711" s="67"/>
      <c r="I1711" s="68"/>
      <c r="J1711" s="68"/>
      <c r="K1711" s="67" t="s">
        <v>29305</v>
      </c>
      <c r="L1711" s="71"/>
      <c r="M1711" s="72"/>
      <c r="N1711" s="72"/>
      <c r="O1711" s="73"/>
      <c r="P1711" s="74"/>
      <c r="Q1711" s="74"/>
      <c r="R1711" s="87"/>
      <c r="S1711" s="87"/>
      <c r="T1711" s="87"/>
      <c r="U1711" s="87"/>
      <c r="V1711" s="48"/>
      <c r="W1711" s="48"/>
      <c r="X1711" s="48"/>
      <c r="Y1711" s="48"/>
      <c r="Z1711" s="47"/>
      <c r="AA1711" s="69">
        <v>1711</v>
      </c>
      <c r="AB1711" s="69"/>
      <c r="AC1711" s="70"/>
      <c r="AD1711" s="76" t="s">
        <v>22920</v>
      </c>
      <c r="AE1711" s="81" t="s">
        <v>23966</v>
      </c>
      <c r="AF1711" s="76">
        <v>22758</v>
      </c>
      <c r="AG1711" s="76">
        <v>972</v>
      </c>
      <c r="AH1711" s="76">
        <v>31940</v>
      </c>
      <c r="AI1711" s="76">
        <v>110</v>
      </c>
      <c r="AJ1711" s="76">
        <v>4840</v>
      </c>
      <c r="AK1711" s="76">
        <v>2021</v>
      </c>
      <c r="AL1711" s="76" t="b">
        <v>0</v>
      </c>
      <c r="AM1711" s="78">
        <v>39982.841956018521</v>
      </c>
      <c r="AN1711" s="76" t="s">
        <v>24660</v>
      </c>
      <c r="AO1711" s="76" t="s">
        <v>26227</v>
      </c>
      <c r="AP1711" s="82" t="str">
        <f>HYPERLINK("https://t.co/BBpBdpgIVH")</f>
        <v>https://t.co/BBpBdpgIVH</v>
      </c>
      <c r="AQ1711" s="82" t="str">
        <f>HYPERLINK("http://luisalbertoariasm.blogspot.pe/")</f>
        <v>http://luisalbertoariasm.blogspot.pe/</v>
      </c>
      <c r="AR1711" s="76" t="s">
        <v>27289</v>
      </c>
      <c r="AS1711" s="76"/>
      <c r="AT1711" s="76"/>
      <c r="AU1711" s="76"/>
      <c r="AV1711" s="76">
        <v>1.7073802893354299E+18</v>
      </c>
      <c r="AW1711" s="82" t="str">
        <f>HYPERLINK("https://t.co/BBpBdpgIVH")</f>
        <v>https://t.co/BBpBdpgIVH</v>
      </c>
      <c r="AX1711" s="76" t="b">
        <v>0</v>
      </c>
      <c r="AY1711" s="76"/>
      <c r="AZ1711" s="76"/>
      <c r="BA1711" s="76" t="b">
        <v>0</v>
      </c>
      <c r="BB1711" s="76" t="b">
        <v>1</v>
      </c>
      <c r="BC1711" s="76" t="b">
        <v>1</v>
      </c>
      <c r="BD1711" s="76" t="b">
        <v>0</v>
      </c>
      <c r="BE1711" s="76" t="b">
        <v>1</v>
      </c>
      <c r="BF1711" s="76" t="b">
        <v>0</v>
      </c>
      <c r="BG1711" s="76" t="b">
        <v>0</v>
      </c>
      <c r="BH1711" s="82" t="str">
        <f>HYPERLINK("https://pbs.twimg.com/profile_banners/48473115/1460743638")</f>
        <v>https://pbs.twimg.com/profile_banners/48473115/1460743638</v>
      </c>
      <c r="BI1711" s="76"/>
      <c r="BJ1711" s="76" t="s">
        <v>27595</v>
      </c>
      <c r="BK1711" s="76" t="b">
        <v>0</v>
      </c>
      <c r="BL1711" s="76"/>
      <c r="BM1711" s="76" t="s">
        <v>66</v>
      </c>
      <c r="BN1711" s="76" t="s">
        <v>27597</v>
      </c>
      <c r="BO1711" s="82" t="str">
        <f>HYPERLINK("https://twitter.com/lalbertoarias")</f>
        <v>https://twitter.com/lalbertoarias</v>
      </c>
      <c r="BP1711" s="2"/>
    </row>
    <row r="1712" spans="1:68" x14ac:dyDescent="0.25">
      <c r="A1712" s="62" t="s">
        <v>2060</v>
      </c>
      <c r="B1712" s="63"/>
      <c r="C1712" s="63"/>
      <c r="D1712" s="64"/>
      <c r="E1712" s="66"/>
      <c r="F1712" s="103" t="str">
        <f>HYPERLINK("https://pbs.twimg.com/profile_images/744714031655690244/v8tW2U_L_normal.jpg")</f>
        <v>https://pbs.twimg.com/profile_images/744714031655690244/v8tW2U_L_normal.jpg</v>
      </c>
      <c r="G1712" s="63"/>
      <c r="H1712" s="67"/>
      <c r="I1712" s="68"/>
      <c r="J1712" s="68"/>
      <c r="K1712" s="67" t="s">
        <v>29306</v>
      </c>
      <c r="L1712" s="71"/>
      <c r="M1712" s="72"/>
      <c r="N1712" s="72"/>
      <c r="O1712" s="73"/>
      <c r="P1712" s="74"/>
      <c r="Q1712" s="74"/>
      <c r="R1712" s="87"/>
      <c r="S1712" s="87"/>
      <c r="T1712" s="87"/>
      <c r="U1712" s="87"/>
      <c r="V1712" s="48"/>
      <c r="W1712" s="48"/>
      <c r="X1712" s="48"/>
      <c r="Y1712" s="48"/>
      <c r="Z1712" s="47"/>
      <c r="AA1712" s="69">
        <v>1712</v>
      </c>
      <c r="AB1712" s="69"/>
      <c r="AC1712" s="70"/>
      <c r="AD1712" s="76" t="s">
        <v>22921</v>
      </c>
      <c r="AE1712" s="81" t="s">
        <v>23967</v>
      </c>
      <c r="AF1712" s="76">
        <v>52703</v>
      </c>
      <c r="AG1712" s="76">
        <v>341</v>
      </c>
      <c r="AH1712" s="76">
        <v>117984</v>
      </c>
      <c r="AI1712" s="76">
        <v>286</v>
      </c>
      <c r="AJ1712" s="76">
        <v>83</v>
      </c>
      <c r="AK1712" s="76">
        <v>14376</v>
      </c>
      <c r="AL1712" s="76" t="b">
        <v>0</v>
      </c>
      <c r="AM1712" s="78">
        <v>39564.299386574072</v>
      </c>
      <c r="AN1712" s="76" t="s">
        <v>24661</v>
      </c>
      <c r="AO1712" s="76" t="s">
        <v>26228</v>
      </c>
      <c r="AP1712" s="82" t="str">
        <f>HYPERLINK("https://t.co/wavJ1yEu6B")</f>
        <v>https://t.co/wavJ1yEu6B</v>
      </c>
      <c r="AQ1712" s="82" t="str">
        <f>HYPERLINK("https://29x55.tumblr.com/")</f>
        <v>https://29x55.tumblr.com/</v>
      </c>
      <c r="AR1712" s="76" t="s">
        <v>27290</v>
      </c>
      <c r="AS1712" s="76" t="s">
        <v>27402</v>
      </c>
      <c r="AT1712" s="76" t="s">
        <v>27441</v>
      </c>
      <c r="AU1712" s="76" t="s">
        <v>27579</v>
      </c>
      <c r="AV1712" s="76">
        <v>1.11473104414047E+18</v>
      </c>
      <c r="AW1712" s="82" t="str">
        <f>HYPERLINK("https://t.co/wavJ1yEu6B")</f>
        <v>https://t.co/wavJ1yEu6B</v>
      </c>
      <c r="AX1712" s="76" t="b">
        <v>0</v>
      </c>
      <c r="AY1712" s="76"/>
      <c r="AZ1712" s="76"/>
      <c r="BA1712" s="76" t="b">
        <v>1</v>
      </c>
      <c r="BB1712" s="76" t="b">
        <v>1</v>
      </c>
      <c r="BC1712" s="76" t="b">
        <v>0</v>
      </c>
      <c r="BD1712" s="76" t="b">
        <v>0</v>
      </c>
      <c r="BE1712" s="76" t="b">
        <v>1</v>
      </c>
      <c r="BF1712" s="76" t="b">
        <v>0</v>
      </c>
      <c r="BG1712" s="76" t="b">
        <v>0</v>
      </c>
      <c r="BH1712" s="82" t="str">
        <f>HYPERLINK("https://pbs.twimg.com/profile_banners/14541101/1678980254")</f>
        <v>https://pbs.twimg.com/profile_banners/14541101/1678980254</v>
      </c>
      <c r="BI1712" s="76"/>
      <c r="BJ1712" s="76" t="s">
        <v>27595</v>
      </c>
      <c r="BK1712" s="76" t="b">
        <v>0</v>
      </c>
      <c r="BL1712" s="76"/>
      <c r="BM1712" s="76" t="s">
        <v>66</v>
      </c>
      <c r="BN1712" s="76" t="s">
        <v>27597</v>
      </c>
      <c r="BO1712" s="82" t="str">
        <f>HYPERLINK("https://twitter.com/matuk")</f>
        <v>https://twitter.com/matuk</v>
      </c>
      <c r="BP1712" s="2"/>
    </row>
    <row r="1713" spans="1:68" x14ac:dyDescent="0.25">
      <c r="A1713" s="62" t="s">
        <v>1546</v>
      </c>
      <c r="B1713" s="63"/>
      <c r="C1713" s="63"/>
      <c r="D1713" s="64"/>
      <c r="E1713" s="66"/>
      <c r="F1713" s="103" t="str">
        <f>HYPERLINK("https://pbs.twimg.com/profile_images/1637806513933697024/FKJmFshJ_normal.jpg")</f>
        <v>https://pbs.twimg.com/profile_images/1637806513933697024/FKJmFshJ_normal.jpg</v>
      </c>
      <c r="G1713" s="63"/>
      <c r="H1713" s="67"/>
      <c r="I1713" s="68"/>
      <c r="J1713" s="68"/>
      <c r="K1713" s="67" t="s">
        <v>29307</v>
      </c>
      <c r="L1713" s="71"/>
      <c r="M1713" s="72"/>
      <c r="N1713" s="72"/>
      <c r="O1713" s="73"/>
      <c r="P1713" s="74"/>
      <c r="Q1713" s="74"/>
      <c r="R1713" s="87"/>
      <c r="S1713" s="87"/>
      <c r="T1713" s="87"/>
      <c r="U1713" s="87"/>
      <c r="V1713" s="48"/>
      <c r="W1713" s="48"/>
      <c r="X1713" s="48"/>
      <c r="Y1713" s="48"/>
      <c r="Z1713" s="47"/>
      <c r="AA1713" s="69">
        <v>1713</v>
      </c>
      <c r="AB1713" s="69"/>
      <c r="AC1713" s="70"/>
      <c r="AD1713" s="76" t="s">
        <v>22922</v>
      </c>
      <c r="AE1713" s="81" t="s">
        <v>21139</v>
      </c>
      <c r="AF1713" s="76">
        <v>104</v>
      </c>
      <c r="AG1713" s="76">
        <v>269</v>
      </c>
      <c r="AH1713" s="76">
        <v>2574</v>
      </c>
      <c r="AI1713" s="76">
        <v>0</v>
      </c>
      <c r="AJ1713" s="76">
        <v>2</v>
      </c>
      <c r="AK1713" s="76">
        <v>184</v>
      </c>
      <c r="AL1713" s="76" t="b">
        <v>0</v>
      </c>
      <c r="AM1713" s="78">
        <v>44669.748657407406</v>
      </c>
      <c r="AN1713" s="76" t="s">
        <v>24662</v>
      </c>
      <c r="AO1713" s="76" t="s">
        <v>26229</v>
      </c>
      <c r="AP1713" s="82" t="str">
        <f>HYPERLINK("https://t.co/OBrUQHQnfU")</f>
        <v>https://t.co/OBrUQHQnfU</v>
      </c>
      <c r="AQ1713" s="82" t="str">
        <f>HYPERLINK("https://www.guilhermefonsecafaro.com.br/consultoriapersonalizada")</f>
        <v>https://www.guilhermefonsecafaro.com.br/consultoriapersonalizada</v>
      </c>
      <c r="AR1713" s="76" t="s">
        <v>27291</v>
      </c>
      <c r="AS1713" s="76"/>
      <c r="AT1713" s="76"/>
      <c r="AU1713" s="76"/>
      <c r="AV1713" s="76">
        <v>1.5961292928279099E+18</v>
      </c>
      <c r="AW1713" s="82" t="str">
        <f>HYPERLINK("https://t.co/OBrUQHQnfU")</f>
        <v>https://t.co/OBrUQHQnfU</v>
      </c>
      <c r="AX1713" s="76" t="b">
        <v>0</v>
      </c>
      <c r="AY1713" s="76"/>
      <c r="AZ1713" s="76"/>
      <c r="BA1713" s="76" t="b">
        <v>0</v>
      </c>
      <c r="BB1713" s="76" t="b">
        <v>1</v>
      </c>
      <c r="BC1713" s="76" t="b">
        <v>1</v>
      </c>
      <c r="BD1713" s="76" t="b">
        <v>0</v>
      </c>
      <c r="BE1713" s="76" t="b">
        <v>0</v>
      </c>
      <c r="BF1713" s="76" t="b">
        <v>0</v>
      </c>
      <c r="BG1713" s="76" t="b">
        <v>0</v>
      </c>
      <c r="BH1713" s="82" t="str">
        <f>HYPERLINK("https://pbs.twimg.com/profile_banners/1516113484790079490/1679318477")</f>
        <v>https://pbs.twimg.com/profile_banners/1516113484790079490/1679318477</v>
      </c>
      <c r="BI1713" s="76"/>
      <c r="BJ1713" s="76" t="s">
        <v>27595</v>
      </c>
      <c r="BK1713" s="76" t="b">
        <v>0</v>
      </c>
      <c r="BL1713" s="76"/>
      <c r="BM1713" s="76" t="s">
        <v>66</v>
      </c>
      <c r="BN1713" s="76" t="s">
        <v>27597</v>
      </c>
      <c r="BO1713" s="82" t="str">
        <f>HYPERLINK("https://twitter.com/citacoesfaro")</f>
        <v>https://twitter.com/citacoesfaro</v>
      </c>
      <c r="BP1713" s="2"/>
    </row>
    <row r="1714" spans="1:68" x14ac:dyDescent="0.25">
      <c r="A1714" s="62" t="s">
        <v>1547</v>
      </c>
      <c r="B1714" s="63"/>
      <c r="C1714" s="63"/>
      <c r="D1714" s="64"/>
      <c r="E1714" s="66"/>
      <c r="F1714" s="103" t="str">
        <f>HYPERLINK("https://pbs.twimg.com/profile_images/1489938439965487111/I5zMCeu3_normal.jpg")</f>
        <v>https://pbs.twimg.com/profile_images/1489938439965487111/I5zMCeu3_normal.jpg</v>
      </c>
      <c r="G1714" s="63"/>
      <c r="H1714" s="67"/>
      <c r="I1714" s="68"/>
      <c r="J1714" s="68"/>
      <c r="K1714" s="67" t="s">
        <v>29308</v>
      </c>
      <c r="L1714" s="71"/>
      <c r="M1714" s="72"/>
      <c r="N1714" s="72"/>
      <c r="O1714" s="73"/>
      <c r="P1714" s="74"/>
      <c r="Q1714" s="74"/>
      <c r="R1714" s="87"/>
      <c r="S1714" s="87"/>
      <c r="T1714" s="87"/>
      <c r="U1714" s="87"/>
      <c r="V1714" s="48"/>
      <c r="W1714" s="48"/>
      <c r="X1714" s="48"/>
      <c r="Y1714" s="48"/>
      <c r="Z1714" s="47"/>
      <c r="AA1714" s="69">
        <v>1714</v>
      </c>
      <c r="AB1714" s="69"/>
      <c r="AC1714" s="70"/>
      <c r="AD1714" s="76" t="s">
        <v>22923</v>
      </c>
      <c r="AE1714" s="81" t="s">
        <v>23968</v>
      </c>
      <c r="AF1714" s="76">
        <v>22363</v>
      </c>
      <c r="AG1714" s="76">
        <v>741</v>
      </c>
      <c r="AH1714" s="76">
        <v>187583</v>
      </c>
      <c r="AI1714" s="76">
        <v>204</v>
      </c>
      <c r="AJ1714" s="76">
        <v>226</v>
      </c>
      <c r="AK1714" s="76">
        <v>82714</v>
      </c>
      <c r="AL1714" s="76" t="b">
        <v>0</v>
      </c>
      <c r="AM1714" s="78">
        <v>40427.897210648145</v>
      </c>
      <c r="AN1714" s="76" t="s">
        <v>24663</v>
      </c>
      <c r="AO1714" s="76" t="s">
        <v>26230</v>
      </c>
      <c r="AP1714" s="82" t="str">
        <f>HYPERLINK("https://t.co/7jhpXx2BIP")</f>
        <v>https://t.co/7jhpXx2BIP</v>
      </c>
      <c r="AQ1714" s="82" t="str">
        <f>HYPERLINK("http://www.eltribuno.info/jujuy/")</f>
        <v>http://www.eltribuno.info/jujuy/</v>
      </c>
      <c r="AR1714" s="76" t="s">
        <v>27292</v>
      </c>
      <c r="AS1714" s="82" t="str">
        <f>HYPERLINK("https://t.co/nf35elJaCN")</f>
        <v>https://t.co/nf35elJaCN</v>
      </c>
      <c r="AT1714" s="82" t="str">
        <f>HYPERLINK("http://facebook.com/eltribunojujuy/")</f>
        <v>http://facebook.com/eltribunojujuy/</v>
      </c>
      <c r="AU1714" s="76" t="s">
        <v>27580</v>
      </c>
      <c r="AV1714" s="76"/>
      <c r="AW1714" s="82" t="str">
        <f>HYPERLINK("https://t.co/7jhpXx2BIP")</f>
        <v>https://t.co/7jhpXx2BIP</v>
      </c>
      <c r="AX1714" s="76" t="b">
        <v>0</v>
      </c>
      <c r="AY1714" s="76"/>
      <c r="AZ1714" s="76"/>
      <c r="BA1714" s="76" t="b">
        <v>0</v>
      </c>
      <c r="BB1714" s="76" t="b">
        <v>1</v>
      </c>
      <c r="BC1714" s="76" t="b">
        <v>0</v>
      </c>
      <c r="BD1714" s="76" t="b">
        <v>0</v>
      </c>
      <c r="BE1714" s="76" t="b">
        <v>1</v>
      </c>
      <c r="BF1714" s="76" t="b">
        <v>0</v>
      </c>
      <c r="BG1714" s="76" t="b">
        <v>0</v>
      </c>
      <c r="BH1714" s="82" t="str">
        <f>HYPERLINK("https://pbs.twimg.com/profile_banners/187673360/1629725933")</f>
        <v>https://pbs.twimg.com/profile_banners/187673360/1629725933</v>
      </c>
      <c r="BI1714" s="76"/>
      <c r="BJ1714" s="76" t="s">
        <v>27595</v>
      </c>
      <c r="BK1714" s="76" t="b">
        <v>0</v>
      </c>
      <c r="BL1714" s="76"/>
      <c r="BM1714" s="76" t="s">
        <v>66</v>
      </c>
      <c r="BN1714" s="76" t="s">
        <v>27597</v>
      </c>
      <c r="BO1714" s="82" t="str">
        <f>HYPERLINK("https://twitter.com/eltribunojujuy")</f>
        <v>https://twitter.com/eltribunojujuy</v>
      </c>
      <c r="BP1714" s="2"/>
    </row>
    <row r="1715" spans="1:68" x14ac:dyDescent="0.25">
      <c r="A1715" s="62" t="s">
        <v>2061</v>
      </c>
      <c r="B1715" s="63"/>
      <c r="C1715" s="63"/>
      <c r="D1715" s="64"/>
      <c r="E1715" s="66"/>
      <c r="F1715" s="103" t="str">
        <f>HYPERLINK("https://pbs.twimg.com/profile_images/788150118327394305/v-0gTTJi_normal.jpg")</f>
        <v>https://pbs.twimg.com/profile_images/788150118327394305/v-0gTTJi_normal.jpg</v>
      </c>
      <c r="G1715" s="63"/>
      <c r="H1715" s="67"/>
      <c r="I1715" s="68"/>
      <c r="J1715" s="68"/>
      <c r="K1715" s="67" t="s">
        <v>29309</v>
      </c>
      <c r="L1715" s="71"/>
      <c r="M1715" s="72"/>
      <c r="N1715" s="72"/>
      <c r="O1715" s="73"/>
      <c r="P1715" s="74"/>
      <c r="Q1715" s="74"/>
      <c r="R1715" s="87"/>
      <c r="S1715" s="87"/>
      <c r="T1715" s="87"/>
      <c r="U1715" s="87"/>
      <c r="V1715" s="48"/>
      <c r="W1715" s="48"/>
      <c r="X1715" s="48"/>
      <c r="Y1715" s="48"/>
      <c r="Z1715" s="47"/>
      <c r="AA1715" s="69">
        <v>1715</v>
      </c>
      <c r="AB1715" s="69"/>
      <c r="AC1715" s="70"/>
      <c r="AD1715" s="76" t="s">
        <v>22924</v>
      </c>
      <c r="AE1715" s="81" t="s">
        <v>23969</v>
      </c>
      <c r="AF1715" s="76">
        <v>137335</v>
      </c>
      <c r="AG1715" s="76">
        <v>755</v>
      </c>
      <c r="AH1715" s="76">
        <v>463379</v>
      </c>
      <c r="AI1715" s="76">
        <v>567</v>
      </c>
      <c r="AJ1715" s="76">
        <v>4779</v>
      </c>
      <c r="AK1715" s="76">
        <v>295009</v>
      </c>
      <c r="AL1715" s="76" t="b">
        <v>0</v>
      </c>
      <c r="AM1715" s="78">
        <v>39339.595833333333</v>
      </c>
      <c r="AN1715" s="76" t="s">
        <v>14422</v>
      </c>
      <c r="AO1715" s="76" t="s">
        <v>26231</v>
      </c>
      <c r="AP1715" s="82" t="str">
        <f>HYPERLINK("https://t.co/u5CSIZI9Ba")</f>
        <v>https://t.co/u5CSIZI9Ba</v>
      </c>
      <c r="AQ1715" s="82" t="str">
        <f>HYPERLINK("http://eltribuno.com.ar")</f>
        <v>http://eltribuno.com.ar</v>
      </c>
      <c r="AR1715" s="76" t="s">
        <v>27293</v>
      </c>
      <c r="AS1715" s="76"/>
      <c r="AT1715" s="76"/>
      <c r="AU1715" s="76"/>
      <c r="AV1715" s="76"/>
      <c r="AW1715" s="82" t="str">
        <f>HYPERLINK("https://t.co/u5CSIZI9Ba")</f>
        <v>https://t.co/u5CSIZI9Ba</v>
      </c>
      <c r="AX1715" s="76" t="b">
        <v>0</v>
      </c>
      <c r="AY1715" s="76"/>
      <c r="AZ1715" s="76"/>
      <c r="BA1715" s="76" t="b">
        <v>0</v>
      </c>
      <c r="BB1715" s="76" t="b">
        <v>1</v>
      </c>
      <c r="BC1715" s="76" t="b">
        <v>0</v>
      </c>
      <c r="BD1715" s="76" t="b">
        <v>0</v>
      </c>
      <c r="BE1715" s="76" t="b">
        <v>1</v>
      </c>
      <c r="BF1715" s="76" t="b">
        <v>0</v>
      </c>
      <c r="BG1715" s="76" t="b">
        <v>0</v>
      </c>
      <c r="BH1715" s="82" t="str">
        <f>HYPERLINK("https://pbs.twimg.com/profile_banners/8877352/1398393681")</f>
        <v>https://pbs.twimg.com/profile_banners/8877352/1398393681</v>
      </c>
      <c r="BI1715" s="76"/>
      <c r="BJ1715" s="76" t="s">
        <v>27595</v>
      </c>
      <c r="BK1715" s="76" t="b">
        <v>0</v>
      </c>
      <c r="BL1715" s="76"/>
      <c r="BM1715" s="76" t="s">
        <v>65</v>
      </c>
      <c r="BN1715" s="76" t="s">
        <v>27597</v>
      </c>
      <c r="BO1715" s="82" t="str">
        <f>HYPERLINK("https://twitter.com/eltribuno")</f>
        <v>https://twitter.com/eltribuno</v>
      </c>
      <c r="BP1715" s="2"/>
    </row>
    <row r="1716" spans="1:68" x14ac:dyDescent="0.25">
      <c r="A1716" s="62" t="s">
        <v>1548</v>
      </c>
      <c r="B1716" s="63"/>
      <c r="C1716" s="63"/>
      <c r="D1716" s="64"/>
      <c r="E1716" s="66"/>
      <c r="F1716" s="103" t="str">
        <f>HYPERLINK("https://pbs.twimg.com/profile_images/1662089427894558720/Wwubwy-y_normal.jpg")</f>
        <v>https://pbs.twimg.com/profile_images/1662089427894558720/Wwubwy-y_normal.jpg</v>
      </c>
      <c r="G1716" s="63"/>
      <c r="H1716" s="67"/>
      <c r="I1716" s="68"/>
      <c r="J1716" s="68"/>
      <c r="K1716" s="67" t="s">
        <v>29310</v>
      </c>
      <c r="L1716" s="71"/>
      <c r="M1716" s="72"/>
      <c r="N1716" s="72"/>
      <c r="O1716" s="73"/>
      <c r="P1716" s="74"/>
      <c r="Q1716" s="74"/>
      <c r="R1716" s="87"/>
      <c r="S1716" s="87"/>
      <c r="T1716" s="87"/>
      <c r="U1716" s="87"/>
      <c r="V1716" s="48"/>
      <c r="W1716" s="48"/>
      <c r="X1716" s="48"/>
      <c r="Y1716" s="48"/>
      <c r="Z1716" s="47"/>
      <c r="AA1716" s="69">
        <v>1716</v>
      </c>
      <c r="AB1716" s="69"/>
      <c r="AC1716" s="70"/>
      <c r="AD1716" s="76" t="s">
        <v>22925</v>
      </c>
      <c r="AE1716" s="81" t="s">
        <v>23970</v>
      </c>
      <c r="AF1716" s="76">
        <v>4239</v>
      </c>
      <c r="AG1716" s="76">
        <v>282</v>
      </c>
      <c r="AH1716" s="76">
        <v>65864</v>
      </c>
      <c r="AI1716" s="76">
        <v>27</v>
      </c>
      <c r="AJ1716" s="76">
        <v>28</v>
      </c>
      <c r="AK1716" s="76">
        <v>1894</v>
      </c>
      <c r="AL1716" s="76" t="b">
        <v>0</v>
      </c>
      <c r="AM1716" s="78">
        <v>41272.16611111111</v>
      </c>
      <c r="AN1716" s="76" t="s">
        <v>24431</v>
      </c>
      <c r="AO1716" s="76" t="s">
        <v>26232</v>
      </c>
      <c r="AP1716" s="82" t="str">
        <f>HYPERLINK("https://t.co/jAoPSpMDTo")</f>
        <v>https://t.co/jAoPSpMDTo</v>
      </c>
      <c r="AQ1716" s="82" t="str">
        <f>HYPERLINK("https://elchorrillero.com")</f>
        <v>https://elchorrillero.com</v>
      </c>
      <c r="AR1716" s="76" t="s">
        <v>8873</v>
      </c>
      <c r="AS1716" s="76"/>
      <c r="AT1716" s="76"/>
      <c r="AU1716" s="76"/>
      <c r="AV1716" s="76"/>
      <c r="AW1716" s="82" t="str">
        <f>HYPERLINK("https://t.co/jAoPSpMDTo")</f>
        <v>https://t.co/jAoPSpMDTo</v>
      </c>
      <c r="AX1716" s="76" t="b">
        <v>0</v>
      </c>
      <c r="AY1716" s="76"/>
      <c r="AZ1716" s="76"/>
      <c r="BA1716" s="76" t="b">
        <v>0</v>
      </c>
      <c r="BB1716" s="76" t="b">
        <v>1</v>
      </c>
      <c r="BC1716" s="76" t="b">
        <v>0</v>
      </c>
      <c r="BD1716" s="76" t="b">
        <v>0</v>
      </c>
      <c r="BE1716" s="76" t="b">
        <v>1</v>
      </c>
      <c r="BF1716" s="76" t="b">
        <v>0</v>
      </c>
      <c r="BG1716" s="76" t="b">
        <v>0</v>
      </c>
      <c r="BH1716" s="82" t="str">
        <f>HYPERLINK("https://pbs.twimg.com/profile_banners/1043762580/1672693423")</f>
        <v>https://pbs.twimg.com/profile_banners/1043762580/1672693423</v>
      </c>
      <c r="BI1716" s="76"/>
      <c r="BJ1716" s="76" t="s">
        <v>27595</v>
      </c>
      <c r="BK1716" s="76" t="b">
        <v>0</v>
      </c>
      <c r="BL1716" s="76"/>
      <c r="BM1716" s="76" t="s">
        <v>66</v>
      </c>
      <c r="BN1716" s="76" t="s">
        <v>27597</v>
      </c>
      <c r="BO1716" s="82" t="str">
        <f>HYPERLINK("https://twitter.com/elchorrillerosl")</f>
        <v>https://twitter.com/elchorrillerosl</v>
      </c>
      <c r="BP1716" s="2"/>
    </row>
    <row r="1717" spans="1:68" x14ac:dyDescent="0.25">
      <c r="A1717" s="62" t="s">
        <v>1549</v>
      </c>
      <c r="B1717" s="63"/>
      <c r="C1717" s="63"/>
      <c r="D1717" s="64"/>
      <c r="E1717" s="66"/>
      <c r="F1717" s="103" t="str">
        <f>HYPERLINK("https://pbs.twimg.com/profile_images/1232027338600308736/7HpDMYJ4_normal.jpg")</f>
        <v>https://pbs.twimg.com/profile_images/1232027338600308736/7HpDMYJ4_normal.jpg</v>
      </c>
      <c r="G1717" s="63"/>
      <c r="H1717" s="67"/>
      <c r="I1717" s="68"/>
      <c r="J1717" s="68"/>
      <c r="K1717" s="67" t="s">
        <v>29311</v>
      </c>
      <c r="L1717" s="71"/>
      <c r="M1717" s="72"/>
      <c r="N1717" s="72"/>
      <c r="O1717" s="73"/>
      <c r="P1717" s="74"/>
      <c r="Q1717" s="74"/>
      <c r="R1717" s="87"/>
      <c r="S1717" s="87"/>
      <c r="T1717" s="87"/>
      <c r="U1717" s="87"/>
      <c r="V1717" s="48"/>
      <c r="W1717" s="48"/>
      <c r="X1717" s="48"/>
      <c r="Y1717" s="48"/>
      <c r="Z1717" s="47"/>
      <c r="AA1717" s="69">
        <v>1717</v>
      </c>
      <c r="AB1717" s="69"/>
      <c r="AC1717" s="70"/>
      <c r="AD1717" s="76" t="s">
        <v>22926</v>
      </c>
      <c r="AE1717" s="81" t="s">
        <v>21140</v>
      </c>
      <c r="AF1717" s="76">
        <v>1718</v>
      </c>
      <c r="AG1717" s="76">
        <v>2491</v>
      </c>
      <c r="AH1717" s="76">
        <v>328022</v>
      </c>
      <c r="AI1717" s="76">
        <v>3</v>
      </c>
      <c r="AJ1717" s="76">
        <v>111628</v>
      </c>
      <c r="AK1717" s="76">
        <v>175</v>
      </c>
      <c r="AL1717" s="76" t="b">
        <v>0</v>
      </c>
      <c r="AM1717" s="78">
        <v>43345.926886574074</v>
      </c>
      <c r="AN1717" s="76"/>
      <c r="AO1717" s="76" t="s">
        <v>26233</v>
      </c>
      <c r="AP1717" s="76"/>
      <c r="AQ1717" s="76"/>
      <c r="AR1717" s="76"/>
      <c r="AS1717" s="76"/>
      <c r="AT1717" s="76"/>
      <c r="AU1717" s="76"/>
      <c r="AV1717" s="76"/>
      <c r="AW1717" s="76"/>
      <c r="AX1717" s="76" t="b">
        <v>0</v>
      </c>
      <c r="AY1717" s="76"/>
      <c r="AZ1717" s="76"/>
      <c r="BA1717" s="76" t="b">
        <v>1</v>
      </c>
      <c r="BB1717" s="76" t="b">
        <v>0</v>
      </c>
      <c r="BC1717" s="76" t="b">
        <v>1</v>
      </c>
      <c r="BD1717" s="76" t="b">
        <v>0</v>
      </c>
      <c r="BE1717" s="76" t="b">
        <v>1</v>
      </c>
      <c r="BF1717" s="76" t="b">
        <v>0</v>
      </c>
      <c r="BG1717" s="76" t="b">
        <v>0</v>
      </c>
      <c r="BH1717" s="82" t="str">
        <f>HYPERLINK("https://pbs.twimg.com/profile_banners/1036376903714840576/1535928437")</f>
        <v>https://pbs.twimg.com/profile_banners/1036376903714840576/1535928437</v>
      </c>
      <c r="BI1717" s="76"/>
      <c r="BJ1717" s="76" t="s">
        <v>27595</v>
      </c>
      <c r="BK1717" s="76" t="b">
        <v>0</v>
      </c>
      <c r="BL1717" s="76"/>
      <c r="BM1717" s="76" t="s">
        <v>66</v>
      </c>
      <c r="BN1717" s="76" t="s">
        <v>27597</v>
      </c>
      <c r="BO1717" s="82" t="str">
        <f>HYPERLINK("https://twitter.com/gstrsc52")</f>
        <v>https://twitter.com/gstrsc52</v>
      </c>
      <c r="BP1717" s="2"/>
    </row>
    <row r="1718" spans="1:68" x14ac:dyDescent="0.25">
      <c r="A1718" s="62" t="s">
        <v>1550</v>
      </c>
      <c r="B1718" s="63"/>
      <c r="C1718" s="63"/>
      <c r="D1718" s="64"/>
      <c r="E1718" s="66"/>
      <c r="F1718" s="103" t="str">
        <f>HYPERLINK("https://pbs.twimg.com/profile_images/1440063038732734477/UPpltXGi_normal.jpg")</f>
        <v>https://pbs.twimg.com/profile_images/1440063038732734477/UPpltXGi_normal.jpg</v>
      </c>
      <c r="G1718" s="63"/>
      <c r="H1718" s="67"/>
      <c r="I1718" s="68"/>
      <c r="J1718" s="68"/>
      <c r="K1718" s="67" t="s">
        <v>29312</v>
      </c>
      <c r="L1718" s="71"/>
      <c r="M1718" s="72"/>
      <c r="N1718" s="72"/>
      <c r="O1718" s="73"/>
      <c r="P1718" s="74"/>
      <c r="Q1718" s="74"/>
      <c r="R1718" s="87"/>
      <c r="S1718" s="87"/>
      <c r="T1718" s="87"/>
      <c r="U1718" s="87"/>
      <c r="V1718" s="48"/>
      <c r="W1718" s="48"/>
      <c r="X1718" s="48"/>
      <c r="Y1718" s="48"/>
      <c r="Z1718" s="47"/>
      <c r="AA1718" s="69">
        <v>1718</v>
      </c>
      <c r="AB1718" s="69"/>
      <c r="AC1718" s="70"/>
      <c r="AD1718" s="76" t="s">
        <v>22927</v>
      </c>
      <c r="AE1718" s="81" t="s">
        <v>21141</v>
      </c>
      <c r="AF1718" s="76">
        <v>180</v>
      </c>
      <c r="AG1718" s="76">
        <v>473</v>
      </c>
      <c r="AH1718" s="76">
        <v>3030</v>
      </c>
      <c r="AI1718" s="76">
        <v>0</v>
      </c>
      <c r="AJ1718" s="76">
        <v>242</v>
      </c>
      <c r="AK1718" s="76">
        <v>2168</v>
      </c>
      <c r="AL1718" s="76" t="b">
        <v>0</v>
      </c>
      <c r="AM1718" s="78">
        <v>43597.013668981483</v>
      </c>
      <c r="AN1718" s="76" t="s">
        <v>24664</v>
      </c>
      <c r="AO1718" s="76" t="s">
        <v>26234</v>
      </c>
      <c r="AP1718" s="82" t="str">
        <f>HYPERLINK("https://t.co/YwVnzTwlse")</f>
        <v>https://t.co/YwVnzTwlse</v>
      </c>
      <c r="AQ1718" s="82" t="str">
        <f>HYPERLINK("http://www.jornalponto.com")</f>
        <v>http://www.jornalponto.com</v>
      </c>
      <c r="AR1718" s="76" t="s">
        <v>8673</v>
      </c>
      <c r="AS1718" s="76"/>
      <c r="AT1718" s="76"/>
      <c r="AU1718" s="76"/>
      <c r="AV1718" s="76"/>
      <c r="AW1718" s="82" t="str">
        <f>HYPERLINK("https://t.co/YwVnzTwlse")</f>
        <v>https://t.co/YwVnzTwlse</v>
      </c>
      <c r="AX1718" s="76" t="b">
        <v>0</v>
      </c>
      <c r="AY1718" s="76"/>
      <c r="AZ1718" s="76"/>
      <c r="BA1718" s="76" t="b">
        <v>0</v>
      </c>
      <c r="BB1718" s="76" t="b">
        <v>1</v>
      </c>
      <c r="BC1718" s="76" t="b">
        <v>0</v>
      </c>
      <c r="BD1718" s="76" t="b">
        <v>0</v>
      </c>
      <c r="BE1718" s="76" t="b">
        <v>0</v>
      </c>
      <c r="BF1718" s="76" t="b">
        <v>0</v>
      </c>
      <c r="BG1718" s="76" t="b">
        <v>0</v>
      </c>
      <c r="BH1718" s="82" t="str">
        <f>HYPERLINK("https://pbs.twimg.com/profile_banners/1127367705357635584/1632172734")</f>
        <v>https://pbs.twimg.com/profile_banners/1127367705357635584/1632172734</v>
      </c>
      <c r="BI1718" s="76"/>
      <c r="BJ1718" s="76" t="s">
        <v>27595</v>
      </c>
      <c r="BK1718" s="76" t="b">
        <v>0</v>
      </c>
      <c r="BL1718" s="76"/>
      <c r="BM1718" s="76" t="s">
        <v>66</v>
      </c>
      <c r="BN1718" s="76" t="s">
        <v>27597</v>
      </c>
      <c r="BO1718" s="82" t="str">
        <f>HYPERLINK("https://twitter.com/jornalponto_ofi")</f>
        <v>https://twitter.com/jornalponto_ofi</v>
      </c>
      <c r="BP1718" s="2"/>
    </row>
    <row r="1719" spans="1:68" x14ac:dyDescent="0.25">
      <c r="A1719" s="62" t="s">
        <v>1551</v>
      </c>
      <c r="B1719" s="63"/>
      <c r="C1719" s="63"/>
      <c r="D1719" s="64"/>
      <c r="E1719" s="66"/>
      <c r="F1719" s="103" t="str">
        <f>HYPERLINK("https://pbs.twimg.com/profile_images/1700291141894111232/RPSIqEWU_normal.jpg")</f>
        <v>https://pbs.twimg.com/profile_images/1700291141894111232/RPSIqEWU_normal.jpg</v>
      </c>
      <c r="G1719" s="63"/>
      <c r="H1719" s="67"/>
      <c r="I1719" s="68"/>
      <c r="J1719" s="68"/>
      <c r="K1719" s="67" t="s">
        <v>29313</v>
      </c>
      <c r="L1719" s="71"/>
      <c r="M1719" s="72"/>
      <c r="N1719" s="72"/>
      <c r="O1719" s="73"/>
      <c r="P1719" s="74"/>
      <c r="Q1719" s="74"/>
      <c r="R1719" s="87"/>
      <c r="S1719" s="87"/>
      <c r="T1719" s="87"/>
      <c r="U1719" s="87"/>
      <c r="V1719" s="48"/>
      <c r="W1719" s="48"/>
      <c r="X1719" s="48"/>
      <c r="Y1719" s="48"/>
      <c r="Z1719" s="47"/>
      <c r="AA1719" s="69">
        <v>1719</v>
      </c>
      <c r="AB1719" s="69"/>
      <c r="AC1719" s="70"/>
      <c r="AD1719" s="76" t="s">
        <v>22928</v>
      </c>
      <c r="AE1719" s="81" t="s">
        <v>21142</v>
      </c>
      <c r="AF1719" s="76">
        <v>430</v>
      </c>
      <c r="AG1719" s="76">
        <v>738</v>
      </c>
      <c r="AH1719" s="76">
        <v>13585</v>
      </c>
      <c r="AI1719" s="76">
        <v>0</v>
      </c>
      <c r="AJ1719" s="76">
        <v>5743</v>
      </c>
      <c r="AK1719" s="76">
        <v>104</v>
      </c>
      <c r="AL1719" s="76" t="b">
        <v>0</v>
      </c>
      <c r="AM1719" s="78">
        <v>43339.582071759258</v>
      </c>
      <c r="AN1719" s="76"/>
      <c r="AO1719" s="76" t="s">
        <v>26235</v>
      </c>
      <c r="AP1719" s="76"/>
      <c r="AQ1719" s="76"/>
      <c r="AR1719" s="76"/>
      <c r="AS1719" s="76"/>
      <c r="AT1719" s="76"/>
      <c r="AU1719" s="76"/>
      <c r="AV1719" s="76">
        <v>1.49648612422685E+18</v>
      </c>
      <c r="AW1719" s="76"/>
      <c r="AX1719" s="76" t="b">
        <v>0</v>
      </c>
      <c r="AY1719" s="76"/>
      <c r="AZ1719" s="76"/>
      <c r="BA1719" s="76" t="b">
        <v>1</v>
      </c>
      <c r="BB1719" s="76" t="b">
        <v>0</v>
      </c>
      <c r="BC1719" s="76" t="b">
        <v>1</v>
      </c>
      <c r="BD1719" s="76" t="b">
        <v>0</v>
      </c>
      <c r="BE1719" s="76" t="b">
        <v>1</v>
      </c>
      <c r="BF1719" s="76" t="b">
        <v>0</v>
      </c>
      <c r="BG1719" s="76" t="b">
        <v>0</v>
      </c>
      <c r="BH1719" s="82" t="str">
        <f>HYPERLINK("https://pbs.twimg.com/profile_banners/1034077620399480832/1682986113")</f>
        <v>https://pbs.twimg.com/profile_banners/1034077620399480832/1682986113</v>
      </c>
      <c r="BI1719" s="76"/>
      <c r="BJ1719" s="76" t="s">
        <v>27595</v>
      </c>
      <c r="BK1719" s="76" t="b">
        <v>0</v>
      </c>
      <c r="BL1719" s="76"/>
      <c r="BM1719" s="76" t="s">
        <v>66</v>
      </c>
      <c r="BN1719" s="76" t="s">
        <v>27597</v>
      </c>
      <c r="BO1719" s="82" t="str">
        <f>HYPERLINK("https://twitter.com/denzeel_milan")</f>
        <v>https://twitter.com/denzeel_milan</v>
      </c>
      <c r="BP1719" s="2"/>
    </row>
    <row r="1720" spans="1:68" x14ac:dyDescent="0.25">
      <c r="A1720" s="62" t="s">
        <v>1552</v>
      </c>
      <c r="B1720" s="63"/>
      <c r="C1720" s="63"/>
      <c r="D1720" s="64"/>
      <c r="E1720" s="66"/>
      <c r="F1720" s="103" t="str">
        <f>HYPERLINK("https://pbs.twimg.com/profile_images/1316845696058875909/UmEo9HZn_normal.jpg")</f>
        <v>https://pbs.twimg.com/profile_images/1316845696058875909/UmEo9HZn_normal.jpg</v>
      </c>
      <c r="G1720" s="63"/>
      <c r="H1720" s="67"/>
      <c r="I1720" s="68"/>
      <c r="J1720" s="68"/>
      <c r="K1720" s="67" t="s">
        <v>29314</v>
      </c>
      <c r="L1720" s="71"/>
      <c r="M1720" s="72"/>
      <c r="N1720" s="72"/>
      <c r="O1720" s="73"/>
      <c r="P1720" s="74"/>
      <c r="Q1720" s="74"/>
      <c r="R1720" s="87"/>
      <c r="S1720" s="87"/>
      <c r="T1720" s="87"/>
      <c r="U1720" s="87"/>
      <c r="V1720" s="48"/>
      <c r="W1720" s="48"/>
      <c r="X1720" s="48"/>
      <c r="Y1720" s="48"/>
      <c r="Z1720" s="47"/>
      <c r="AA1720" s="69">
        <v>1720</v>
      </c>
      <c r="AB1720" s="69"/>
      <c r="AC1720" s="70"/>
      <c r="AD1720" s="76" t="s">
        <v>22929</v>
      </c>
      <c r="AE1720" s="81" t="s">
        <v>23971</v>
      </c>
      <c r="AF1720" s="76">
        <v>120</v>
      </c>
      <c r="AG1720" s="76">
        <v>162</v>
      </c>
      <c r="AH1720" s="76">
        <v>3662</v>
      </c>
      <c r="AI1720" s="76">
        <v>0</v>
      </c>
      <c r="AJ1720" s="76">
        <v>162</v>
      </c>
      <c r="AK1720" s="76">
        <v>965</v>
      </c>
      <c r="AL1720" s="76" t="b">
        <v>0</v>
      </c>
      <c r="AM1720" s="78">
        <v>40233.589479166665</v>
      </c>
      <c r="AN1720" s="76" t="s">
        <v>24665</v>
      </c>
      <c r="AO1720" s="76" t="s">
        <v>26236</v>
      </c>
      <c r="AP1720" s="82" t="str">
        <f>HYPERLINK("https://t.co/UpSRZIQBhd")</f>
        <v>https://t.co/UpSRZIQBhd</v>
      </c>
      <c r="AQ1720" s="82" t="str">
        <f>HYPERLINK("https://linktr.ee/PIXTVHD")</f>
        <v>https://linktr.ee/PIXTVHD</v>
      </c>
      <c r="AR1720" s="76" t="s">
        <v>27294</v>
      </c>
      <c r="AS1720" s="76"/>
      <c r="AT1720" s="76"/>
      <c r="AU1720" s="76"/>
      <c r="AV1720" s="76"/>
      <c r="AW1720" s="82" t="str">
        <f>HYPERLINK("https://t.co/UpSRZIQBhd")</f>
        <v>https://t.co/UpSRZIQBhd</v>
      </c>
      <c r="AX1720" s="76" t="b">
        <v>0</v>
      </c>
      <c r="AY1720" s="76"/>
      <c r="AZ1720" s="76"/>
      <c r="BA1720" s="76" t="b">
        <v>0</v>
      </c>
      <c r="BB1720" s="76" t="b">
        <v>1</v>
      </c>
      <c r="BC1720" s="76" t="b">
        <v>0</v>
      </c>
      <c r="BD1720" s="76" t="b">
        <v>0</v>
      </c>
      <c r="BE1720" s="76" t="b">
        <v>0</v>
      </c>
      <c r="BF1720" s="76" t="b">
        <v>0</v>
      </c>
      <c r="BG1720" s="76" t="b">
        <v>0</v>
      </c>
      <c r="BH1720" s="82" t="str">
        <f>HYPERLINK("https://pbs.twimg.com/profile_banners/117089350/1648768090")</f>
        <v>https://pbs.twimg.com/profile_banners/117089350/1648768090</v>
      </c>
      <c r="BI1720" s="76"/>
      <c r="BJ1720" s="76" t="s">
        <v>27595</v>
      </c>
      <c r="BK1720" s="76" t="b">
        <v>0</v>
      </c>
      <c r="BL1720" s="76"/>
      <c r="BM1720" s="76" t="s">
        <v>66</v>
      </c>
      <c r="BN1720" s="76" t="s">
        <v>27597</v>
      </c>
      <c r="BO1720" s="82" t="str">
        <f>HYPERLINK("https://twitter.com/pixtvhd")</f>
        <v>https://twitter.com/pixtvhd</v>
      </c>
      <c r="BP1720" s="2"/>
    </row>
    <row r="1721" spans="1:68" x14ac:dyDescent="0.25">
      <c r="A1721" s="62" t="s">
        <v>1553</v>
      </c>
      <c r="B1721" s="63"/>
      <c r="C1721" s="63"/>
      <c r="D1721" s="64"/>
      <c r="E1721" s="66"/>
      <c r="F1721" s="103" t="str">
        <f>HYPERLINK("https://pbs.twimg.com/profile_images/1424804863947546632/LGSdNjcL_normal.jpg")</f>
        <v>https://pbs.twimg.com/profile_images/1424804863947546632/LGSdNjcL_normal.jpg</v>
      </c>
      <c r="G1721" s="63"/>
      <c r="H1721" s="67"/>
      <c r="I1721" s="68"/>
      <c r="J1721" s="68"/>
      <c r="K1721" s="67" t="s">
        <v>29315</v>
      </c>
      <c r="L1721" s="71"/>
      <c r="M1721" s="72"/>
      <c r="N1721" s="72"/>
      <c r="O1721" s="73"/>
      <c r="P1721" s="74"/>
      <c r="Q1721" s="74"/>
      <c r="R1721" s="87"/>
      <c r="S1721" s="87"/>
      <c r="T1721" s="87"/>
      <c r="U1721" s="87"/>
      <c r="V1721" s="48"/>
      <c r="W1721" s="48"/>
      <c r="X1721" s="48"/>
      <c r="Y1721" s="48"/>
      <c r="Z1721" s="47"/>
      <c r="AA1721" s="69">
        <v>1721</v>
      </c>
      <c r="AB1721" s="69"/>
      <c r="AC1721" s="70"/>
      <c r="AD1721" s="76" t="s">
        <v>1553</v>
      </c>
      <c r="AE1721" s="81" t="s">
        <v>21143</v>
      </c>
      <c r="AF1721" s="76">
        <v>9681</v>
      </c>
      <c r="AG1721" s="76">
        <v>10002</v>
      </c>
      <c r="AH1721" s="76">
        <v>47159</v>
      </c>
      <c r="AI1721" s="76">
        <v>2</v>
      </c>
      <c r="AJ1721" s="76">
        <v>75894</v>
      </c>
      <c r="AK1721" s="76">
        <v>1616</v>
      </c>
      <c r="AL1721" s="76" t="b">
        <v>0</v>
      </c>
      <c r="AM1721" s="78">
        <v>44060.790763888886</v>
      </c>
      <c r="AN1721" s="76"/>
      <c r="AO1721" s="76" t="s">
        <v>26237</v>
      </c>
      <c r="AP1721" s="76"/>
      <c r="AQ1721" s="76"/>
      <c r="AR1721" s="76"/>
      <c r="AS1721" s="76"/>
      <c r="AT1721" s="76"/>
      <c r="AU1721" s="76"/>
      <c r="AV1721" s="76"/>
      <c r="AW1721" s="76"/>
      <c r="AX1721" s="76" t="b">
        <v>0</v>
      </c>
      <c r="AY1721" s="76"/>
      <c r="AZ1721" s="76"/>
      <c r="BA1721" s="76" t="b">
        <v>0</v>
      </c>
      <c r="BB1721" s="76" t="b">
        <v>0</v>
      </c>
      <c r="BC1721" s="76" t="b">
        <v>1</v>
      </c>
      <c r="BD1721" s="76" t="b">
        <v>0</v>
      </c>
      <c r="BE1721" s="76" t="b">
        <v>1</v>
      </c>
      <c r="BF1721" s="76" t="b">
        <v>0</v>
      </c>
      <c r="BG1721" s="76" t="b">
        <v>0</v>
      </c>
      <c r="BH1721" s="82" t="str">
        <f>HYPERLINK("https://pbs.twimg.com/profile_banners/1295434766653718529/1674741368")</f>
        <v>https://pbs.twimg.com/profile_banners/1295434766653718529/1674741368</v>
      </c>
      <c r="BI1721" s="76"/>
      <c r="BJ1721" s="76" t="s">
        <v>27595</v>
      </c>
      <c r="BK1721" s="76" t="b">
        <v>0</v>
      </c>
      <c r="BL1721" s="76"/>
      <c r="BM1721" s="76" t="s">
        <v>66</v>
      </c>
      <c r="BN1721" s="76" t="s">
        <v>27597</v>
      </c>
      <c r="BO1721" s="82" t="str">
        <f>HYPERLINK("https://twitter.com/fenam924")</f>
        <v>https://twitter.com/fenam924</v>
      </c>
      <c r="BP1721" s="2"/>
    </row>
    <row r="1722" spans="1:68" x14ac:dyDescent="0.25">
      <c r="A1722" s="62" t="s">
        <v>1554</v>
      </c>
      <c r="B1722" s="63"/>
      <c r="C1722" s="63"/>
      <c r="D1722" s="64"/>
      <c r="E1722" s="66"/>
      <c r="F1722" s="103" t="str">
        <f>HYPERLINK("https://pbs.twimg.com/profile_images/1685373547848314880/MNmf4bHt_normal.jpg")</f>
        <v>https://pbs.twimg.com/profile_images/1685373547848314880/MNmf4bHt_normal.jpg</v>
      </c>
      <c r="G1722" s="63"/>
      <c r="H1722" s="67"/>
      <c r="I1722" s="68"/>
      <c r="J1722" s="68"/>
      <c r="K1722" s="67" t="s">
        <v>29316</v>
      </c>
      <c r="L1722" s="71"/>
      <c r="M1722" s="72"/>
      <c r="N1722" s="72"/>
      <c r="O1722" s="73"/>
      <c r="P1722" s="74"/>
      <c r="Q1722" s="74"/>
      <c r="R1722" s="87"/>
      <c r="S1722" s="87"/>
      <c r="T1722" s="87"/>
      <c r="U1722" s="87"/>
      <c r="V1722" s="48"/>
      <c r="W1722" s="48"/>
      <c r="X1722" s="48"/>
      <c r="Y1722" s="48"/>
      <c r="Z1722" s="47"/>
      <c r="AA1722" s="69">
        <v>1722</v>
      </c>
      <c r="AB1722" s="69"/>
      <c r="AC1722" s="70"/>
      <c r="AD1722" s="76" t="s">
        <v>22930</v>
      </c>
      <c r="AE1722" s="81" t="s">
        <v>23972</v>
      </c>
      <c r="AF1722" s="76">
        <v>3304</v>
      </c>
      <c r="AG1722" s="76">
        <v>4613</v>
      </c>
      <c r="AH1722" s="76">
        <v>36815</v>
      </c>
      <c r="AI1722" s="76">
        <v>5</v>
      </c>
      <c r="AJ1722" s="76">
        <v>50897</v>
      </c>
      <c r="AK1722" s="76">
        <v>3799</v>
      </c>
      <c r="AL1722" s="76" t="b">
        <v>0</v>
      </c>
      <c r="AM1722" s="78">
        <v>41705.508287037039</v>
      </c>
      <c r="AN1722" s="76" t="s">
        <v>14431</v>
      </c>
      <c r="AO1722" s="76" t="s">
        <v>26238</v>
      </c>
      <c r="AP1722" s="82" t="str">
        <f>HYPERLINK("https://t.co/iXdn8EbQ15")</f>
        <v>https://t.co/iXdn8EbQ15</v>
      </c>
      <c r="AQ1722" s="82" t="str">
        <f>HYPERLINK("http://www.facebook.com/richardmaturanapalestrante")</f>
        <v>http://www.facebook.com/richardmaturanapalestrante</v>
      </c>
      <c r="AR1722" s="76" t="s">
        <v>27295</v>
      </c>
      <c r="AS1722" s="76"/>
      <c r="AT1722" s="76"/>
      <c r="AU1722" s="76"/>
      <c r="AV1722" s="76">
        <v>1.59105767891442E+18</v>
      </c>
      <c r="AW1722" s="82" t="str">
        <f>HYPERLINK("https://t.co/iXdn8EbQ15")</f>
        <v>https://t.co/iXdn8EbQ15</v>
      </c>
      <c r="AX1722" s="76" t="b">
        <v>0</v>
      </c>
      <c r="AY1722" s="76"/>
      <c r="AZ1722" s="76"/>
      <c r="BA1722" s="76" t="b">
        <v>0</v>
      </c>
      <c r="BB1722" s="76" t="b">
        <v>1</v>
      </c>
      <c r="BC1722" s="76" t="b">
        <v>1</v>
      </c>
      <c r="BD1722" s="76" t="b">
        <v>0</v>
      </c>
      <c r="BE1722" s="76" t="b">
        <v>1</v>
      </c>
      <c r="BF1722" s="76" t="b">
        <v>0</v>
      </c>
      <c r="BG1722" s="76" t="b">
        <v>0</v>
      </c>
      <c r="BH1722" s="82" t="str">
        <f>HYPERLINK("https://pbs.twimg.com/profile_banners/2377025545/1666478524")</f>
        <v>https://pbs.twimg.com/profile_banners/2377025545/1666478524</v>
      </c>
      <c r="BI1722" s="76"/>
      <c r="BJ1722" s="76" t="s">
        <v>27595</v>
      </c>
      <c r="BK1722" s="76" t="b">
        <v>0</v>
      </c>
      <c r="BL1722" s="76"/>
      <c r="BM1722" s="76" t="s">
        <v>66</v>
      </c>
      <c r="BN1722" s="76" t="s">
        <v>27597</v>
      </c>
      <c r="BO1722" s="82" t="str">
        <f>HYPERLINK("https://twitter.com/willianrichardm")</f>
        <v>https://twitter.com/willianrichardm</v>
      </c>
      <c r="BP1722" s="2"/>
    </row>
    <row r="1723" spans="1:68" x14ac:dyDescent="0.25">
      <c r="A1723" s="62" t="s">
        <v>1555</v>
      </c>
      <c r="B1723" s="63"/>
      <c r="C1723" s="63"/>
      <c r="D1723" s="64"/>
      <c r="E1723" s="66"/>
      <c r="F1723" s="103" t="str">
        <f>HYPERLINK("https://pbs.twimg.com/profile_images/1691453658368823296/AIazpcIk_normal.jpg")</f>
        <v>https://pbs.twimg.com/profile_images/1691453658368823296/AIazpcIk_normal.jpg</v>
      </c>
      <c r="G1723" s="63"/>
      <c r="H1723" s="67"/>
      <c r="I1723" s="68"/>
      <c r="J1723" s="68"/>
      <c r="K1723" s="67" t="s">
        <v>29317</v>
      </c>
      <c r="L1723" s="71"/>
      <c r="M1723" s="72"/>
      <c r="N1723" s="72"/>
      <c r="O1723" s="73"/>
      <c r="P1723" s="74"/>
      <c r="Q1723" s="74"/>
      <c r="R1723" s="87"/>
      <c r="S1723" s="87"/>
      <c r="T1723" s="87"/>
      <c r="U1723" s="87"/>
      <c r="V1723" s="48"/>
      <c r="W1723" s="48"/>
      <c r="X1723" s="48"/>
      <c r="Y1723" s="48"/>
      <c r="Z1723" s="47"/>
      <c r="AA1723" s="69">
        <v>1723</v>
      </c>
      <c r="AB1723" s="69"/>
      <c r="AC1723" s="70"/>
      <c r="AD1723" s="76" t="s">
        <v>22931</v>
      </c>
      <c r="AE1723" s="81" t="s">
        <v>21144</v>
      </c>
      <c r="AF1723" s="76">
        <v>15</v>
      </c>
      <c r="AG1723" s="76">
        <v>198</v>
      </c>
      <c r="AH1723" s="76">
        <v>44</v>
      </c>
      <c r="AI1723" s="76">
        <v>1</v>
      </c>
      <c r="AJ1723" s="76">
        <v>21</v>
      </c>
      <c r="AK1723" s="76">
        <v>21</v>
      </c>
      <c r="AL1723" s="76" t="b">
        <v>0</v>
      </c>
      <c r="AM1723" s="78">
        <v>45153.57135416667</v>
      </c>
      <c r="AN1723" s="76" t="s">
        <v>24666</v>
      </c>
      <c r="AO1723" s="76" t="s">
        <v>26239</v>
      </c>
      <c r="AP1723" s="76"/>
      <c r="AQ1723" s="76"/>
      <c r="AR1723" s="76"/>
      <c r="AS1723" s="76"/>
      <c r="AT1723" s="76"/>
      <c r="AU1723" s="76"/>
      <c r="AV1723" s="76"/>
      <c r="AW1723" s="76"/>
      <c r="AX1723" s="76" t="b">
        <v>0</v>
      </c>
      <c r="AY1723" s="76"/>
      <c r="AZ1723" s="76"/>
      <c r="BA1723" s="76" t="b">
        <v>0</v>
      </c>
      <c r="BB1723" s="76" t="b">
        <v>1</v>
      </c>
      <c r="BC1723" s="76" t="b">
        <v>1</v>
      </c>
      <c r="BD1723" s="76" t="b">
        <v>0</v>
      </c>
      <c r="BE1723" s="76" t="b">
        <v>0</v>
      </c>
      <c r="BF1723" s="76" t="b">
        <v>0</v>
      </c>
      <c r="BG1723" s="76" t="b">
        <v>0</v>
      </c>
      <c r="BH1723" s="82" t="str">
        <f>HYPERLINK("https://pbs.twimg.com/profile_banners/1691445213288595457/1692108986")</f>
        <v>https://pbs.twimg.com/profile_banners/1691445213288595457/1692108986</v>
      </c>
      <c r="BI1723" s="76"/>
      <c r="BJ1723" s="76" t="s">
        <v>27595</v>
      </c>
      <c r="BK1723" s="76" t="b">
        <v>0</v>
      </c>
      <c r="BL1723" s="76"/>
      <c r="BM1723" s="76" t="s">
        <v>66</v>
      </c>
      <c r="BN1723" s="76" t="s">
        <v>27597</v>
      </c>
      <c r="BO1723" s="82" t="str">
        <f>HYPERLINK("https://twitter.com/sudh16979md")</f>
        <v>https://twitter.com/sudh16979md</v>
      </c>
      <c r="BP1723" s="2"/>
    </row>
    <row r="1724" spans="1:68" x14ac:dyDescent="0.25">
      <c r="A1724" s="62" t="s">
        <v>1556</v>
      </c>
      <c r="B1724" s="63"/>
      <c r="C1724" s="63"/>
      <c r="D1724" s="64"/>
      <c r="E1724" s="66"/>
      <c r="F1724" s="103" t="str">
        <f>HYPERLINK("https://pbs.twimg.com/profile_images/1368789741852844034/T6zfOuWt_normal.jpg")</f>
        <v>https://pbs.twimg.com/profile_images/1368789741852844034/T6zfOuWt_normal.jpg</v>
      </c>
      <c r="G1724" s="63"/>
      <c r="H1724" s="67"/>
      <c r="I1724" s="68"/>
      <c r="J1724" s="68"/>
      <c r="K1724" s="67" t="s">
        <v>29318</v>
      </c>
      <c r="L1724" s="71"/>
      <c r="M1724" s="72"/>
      <c r="N1724" s="72"/>
      <c r="O1724" s="73"/>
      <c r="P1724" s="74"/>
      <c r="Q1724" s="74"/>
      <c r="R1724" s="87"/>
      <c r="S1724" s="87"/>
      <c r="T1724" s="87"/>
      <c r="U1724" s="87"/>
      <c r="V1724" s="48"/>
      <c r="W1724" s="48"/>
      <c r="X1724" s="48"/>
      <c r="Y1724" s="48"/>
      <c r="Z1724" s="47"/>
      <c r="AA1724" s="69">
        <v>1724</v>
      </c>
      <c r="AB1724" s="69"/>
      <c r="AC1724" s="70"/>
      <c r="AD1724" s="76" t="s">
        <v>22932</v>
      </c>
      <c r="AE1724" s="81" t="s">
        <v>23973</v>
      </c>
      <c r="AF1724" s="76">
        <v>54</v>
      </c>
      <c r="AG1724" s="76">
        <v>54</v>
      </c>
      <c r="AH1724" s="76">
        <v>2129</v>
      </c>
      <c r="AI1724" s="76">
        <v>0</v>
      </c>
      <c r="AJ1724" s="76">
        <v>9</v>
      </c>
      <c r="AK1724" s="76">
        <v>9</v>
      </c>
      <c r="AL1724" s="76" t="b">
        <v>0</v>
      </c>
      <c r="AM1724" s="78">
        <v>40074.916921296295</v>
      </c>
      <c r="AN1724" s="76"/>
      <c r="AO1724" s="76"/>
      <c r="AP1724" s="82" t="str">
        <f>HYPERLINK("https://t.co/wMAyaltzQt")</f>
        <v>https://t.co/wMAyaltzQt</v>
      </c>
      <c r="AQ1724" s="82" t="str">
        <f>HYPERLINK("https://ticotrader.org")</f>
        <v>https://ticotrader.org</v>
      </c>
      <c r="AR1724" s="76" t="s">
        <v>27296</v>
      </c>
      <c r="AS1724" s="76"/>
      <c r="AT1724" s="76"/>
      <c r="AU1724" s="76"/>
      <c r="AV1724" s="76"/>
      <c r="AW1724" s="82" t="str">
        <f>HYPERLINK("https://t.co/wMAyaltzQt")</f>
        <v>https://t.co/wMAyaltzQt</v>
      </c>
      <c r="AX1724" s="76" t="b">
        <v>0</v>
      </c>
      <c r="AY1724" s="76"/>
      <c r="AZ1724" s="76"/>
      <c r="BA1724" s="76" t="b">
        <v>1</v>
      </c>
      <c r="BB1724" s="76" t="b">
        <v>1</v>
      </c>
      <c r="BC1724" s="76" t="b">
        <v>1</v>
      </c>
      <c r="BD1724" s="76" t="b">
        <v>0</v>
      </c>
      <c r="BE1724" s="76" t="b">
        <v>0</v>
      </c>
      <c r="BF1724" s="76" t="b">
        <v>0</v>
      </c>
      <c r="BG1724" s="76" t="b">
        <v>0</v>
      </c>
      <c r="BH1724" s="82" t="str">
        <f>HYPERLINK("https://pbs.twimg.com/profile_banners/75397511/1645331223")</f>
        <v>https://pbs.twimg.com/profile_banners/75397511/1645331223</v>
      </c>
      <c r="BI1724" s="76"/>
      <c r="BJ1724" s="76" t="s">
        <v>27595</v>
      </c>
      <c r="BK1724" s="76" t="b">
        <v>0</v>
      </c>
      <c r="BL1724" s="76"/>
      <c r="BM1724" s="76" t="s">
        <v>66</v>
      </c>
      <c r="BN1724" s="76" t="s">
        <v>27597</v>
      </c>
      <c r="BO1724" s="82" t="str">
        <f>HYPERLINK("https://twitter.com/vernanmesen")</f>
        <v>https://twitter.com/vernanmesen</v>
      </c>
      <c r="BP1724" s="2"/>
    </row>
    <row r="1725" spans="1:68" x14ac:dyDescent="0.25">
      <c r="A1725" s="62" t="s">
        <v>1557</v>
      </c>
      <c r="B1725" s="63"/>
      <c r="C1725" s="63"/>
      <c r="D1725" s="64"/>
      <c r="E1725" s="66"/>
      <c r="F1725" s="103" t="str">
        <f>HYPERLINK("https://pbs.twimg.com/profile_images/1676625547416199169/yBjqT9LS_normal.jpg")</f>
        <v>https://pbs.twimg.com/profile_images/1676625547416199169/yBjqT9LS_normal.jpg</v>
      </c>
      <c r="G1725" s="63"/>
      <c r="H1725" s="67"/>
      <c r="I1725" s="68"/>
      <c r="J1725" s="68"/>
      <c r="K1725" s="67" t="s">
        <v>29319</v>
      </c>
      <c r="L1725" s="71"/>
      <c r="M1725" s="72"/>
      <c r="N1725" s="72"/>
      <c r="O1725" s="73"/>
      <c r="P1725" s="74"/>
      <c r="Q1725" s="74"/>
      <c r="R1725" s="87"/>
      <c r="S1725" s="87"/>
      <c r="T1725" s="87"/>
      <c r="U1725" s="87"/>
      <c r="V1725" s="48"/>
      <c r="W1725" s="48"/>
      <c r="X1725" s="48"/>
      <c r="Y1725" s="48"/>
      <c r="Z1725" s="47"/>
      <c r="AA1725" s="69">
        <v>1725</v>
      </c>
      <c r="AB1725" s="69"/>
      <c r="AC1725" s="70"/>
      <c r="AD1725" s="76" t="s">
        <v>22933</v>
      </c>
      <c r="AE1725" s="81" t="s">
        <v>21145</v>
      </c>
      <c r="AF1725" s="76">
        <v>25</v>
      </c>
      <c r="AG1725" s="76">
        <v>180</v>
      </c>
      <c r="AH1725" s="76">
        <v>126</v>
      </c>
      <c r="AI1725" s="76">
        <v>0</v>
      </c>
      <c r="AJ1725" s="76">
        <v>10</v>
      </c>
      <c r="AK1725" s="76">
        <v>18</v>
      </c>
      <c r="AL1725" s="76" t="b">
        <v>0</v>
      </c>
      <c r="AM1725" s="78">
        <v>45075.979155092595</v>
      </c>
      <c r="AN1725" s="76"/>
      <c r="AO1725" s="76" t="s">
        <v>26240</v>
      </c>
      <c r="AP1725" s="76"/>
      <c r="AQ1725" s="76"/>
      <c r="AR1725" s="76"/>
      <c r="AS1725" s="76"/>
      <c r="AT1725" s="76"/>
      <c r="AU1725" s="76"/>
      <c r="AV1725" s="76"/>
      <c r="AW1725" s="76"/>
      <c r="AX1725" s="76" t="b">
        <v>0</v>
      </c>
      <c r="AY1725" s="76"/>
      <c r="AZ1725" s="76"/>
      <c r="BA1725" s="76" t="b">
        <v>0</v>
      </c>
      <c r="BB1725" s="76" t="b">
        <v>1</v>
      </c>
      <c r="BC1725" s="76" t="b">
        <v>1</v>
      </c>
      <c r="BD1725" s="76" t="b">
        <v>0</v>
      </c>
      <c r="BE1725" s="76" t="b">
        <v>0</v>
      </c>
      <c r="BF1725" s="76" t="b">
        <v>0</v>
      </c>
      <c r="BG1725" s="76" t="b">
        <v>0</v>
      </c>
      <c r="BH1725" s="82" t="str">
        <f>HYPERLINK("https://pbs.twimg.com/profile_banners/1663326431458344961/1688573954")</f>
        <v>https://pbs.twimg.com/profile_banners/1663326431458344961/1688573954</v>
      </c>
      <c r="BI1725" s="76"/>
      <c r="BJ1725" s="76" t="s">
        <v>27595</v>
      </c>
      <c r="BK1725" s="76" t="b">
        <v>0</v>
      </c>
      <c r="BL1725" s="76"/>
      <c r="BM1725" s="76" t="s">
        <v>66</v>
      </c>
      <c r="BN1725" s="76" t="s">
        <v>27597</v>
      </c>
      <c r="BO1725" s="82" t="str">
        <f>HYPERLINK("https://twitter.com/bartoloboy3153")</f>
        <v>https://twitter.com/bartoloboy3153</v>
      </c>
      <c r="BP1725" s="2"/>
    </row>
    <row r="1726" spans="1:68" x14ac:dyDescent="0.25">
      <c r="A1726" s="62" t="s">
        <v>1558</v>
      </c>
      <c r="B1726" s="63"/>
      <c r="C1726" s="63"/>
      <c r="D1726" s="64"/>
      <c r="E1726" s="66"/>
      <c r="F1726" s="103" t="str">
        <f>HYPERLINK("https://pbs.twimg.com/profile_images/1422415431764221954/FP5tsbS9_normal.jpg")</f>
        <v>https://pbs.twimg.com/profile_images/1422415431764221954/FP5tsbS9_normal.jpg</v>
      </c>
      <c r="G1726" s="63"/>
      <c r="H1726" s="67"/>
      <c r="I1726" s="68"/>
      <c r="J1726" s="68"/>
      <c r="K1726" s="67" t="s">
        <v>29320</v>
      </c>
      <c r="L1726" s="71"/>
      <c r="M1726" s="72"/>
      <c r="N1726" s="72"/>
      <c r="O1726" s="73"/>
      <c r="P1726" s="74"/>
      <c r="Q1726" s="74"/>
      <c r="R1726" s="87"/>
      <c r="S1726" s="87"/>
      <c r="T1726" s="87"/>
      <c r="U1726" s="87"/>
      <c r="V1726" s="48"/>
      <c r="W1726" s="48"/>
      <c r="X1726" s="48"/>
      <c r="Y1726" s="48"/>
      <c r="Z1726" s="47"/>
      <c r="AA1726" s="69">
        <v>1726</v>
      </c>
      <c r="AB1726" s="69"/>
      <c r="AC1726" s="70"/>
      <c r="AD1726" s="76" t="s">
        <v>22934</v>
      </c>
      <c r="AE1726" s="81" t="s">
        <v>21146</v>
      </c>
      <c r="AF1726" s="76">
        <v>247</v>
      </c>
      <c r="AG1726" s="76">
        <v>651</v>
      </c>
      <c r="AH1726" s="76">
        <v>15865</v>
      </c>
      <c r="AI1726" s="76">
        <v>2</v>
      </c>
      <c r="AJ1726" s="76">
        <v>3187</v>
      </c>
      <c r="AK1726" s="76">
        <v>639</v>
      </c>
      <c r="AL1726" s="76" t="b">
        <v>0</v>
      </c>
      <c r="AM1726" s="78">
        <v>43756.513460648152</v>
      </c>
      <c r="AN1726" s="76"/>
      <c r="AO1726" s="76" t="s">
        <v>26241</v>
      </c>
      <c r="AP1726" s="76"/>
      <c r="AQ1726" s="76"/>
      <c r="AR1726" s="76"/>
      <c r="AS1726" s="76"/>
      <c r="AT1726" s="76"/>
      <c r="AU1726" s="76"/>
      <c r="AV1726" s="76">
        <v>1.5216679216253E+18</v>
      </c>
      <c r="AW1726" s="76"/>
      <c r="AX1726" s="76" t="b">
        <v>0</v>
      </c>
      <c r="AY1726" s="76"/>
      <c r="AZ1726" s="76"/>
      <c r="BA1726" s="76" t="b">
        <v>0</v>
      </c>
      <c r="BB1726" s="76" t="b">
        <v>1</v>
      </c>
      <c r="BC1726" s="76" t="b">
        <v>1</v>
      </c>
      <c r="BD1726" s="76" t="b">
        <v>0</v>
      </c>
      <c r="BE1726" s="76" t="b">
        <v>1</v>
      </c>
      <c r="BF1726" s="76" t="b">
        <v>0</v>
      </c>
      <c r="BG1726" s="76" t="b">
        <v>0</v>
      </c>
      <c r="BH1726" s="76"/>
      <c r="BI1726" s="76"/>
      <c r="BJ1726" s="76" t="s">
        <v>27595</v>
      </c>
      <c r="BK1726" s="76" t="b">
        <v>0</v>
      </c>
      <c r="BL1726" s="76"/>
      <c r="BM1726" s="76" t="s">
        <v>66</v>
      </c>
      <c r="BN1726" s="76" t="s">
        <v>27597</v>
      </c>
      <c r="BO1726" s="82" t="str">
        <f>HYPERLINK("https://twitter.com/charliereebcl")</f>
        <v>https://twitter.com/charliereebcl</v>
      </c>
      <c r="BP1726" s="2"/>
    </row>
    <row r="1727" spans="1:68" x14ac:dyDescent="0.25">
      <c r="A1727" s="62" t="s">
        <v>1559</v>
      </c>
      <c r="B1727" s="63"/>
      <c r="C1727" s="63"/>
      <c r="D1727" s="64"/>
      <c r="E1727" s="66"/>
      <c r="F1727" s="103" t="str">
        <f>HYPERLINK("https://pbs.twimg.com/profile_images/1611349922753744896/BKsBDvFS_normal.jpg")</f>
        <v>https://pbs.twimg.com/profile_images/1611349922753744896/BKsBDvFS_normal.jpg</v>
      </c>
      <c r="G1727" s="63"/>
      <c r="H1727" s="67"/>
      <c r="I1727" s="68"/>
      <c r="J1727" s="68"/>
      <c r="K1727" s="67" t="s">
        <v>29321</v>
      </c>
      <c r="L1727" s="71"/>
      <c r="M1727" s="72"/>
      <c r="N1727" s="72"/>
      <c r="O1727" s="73"/>
      <c r="P1727" s="74"/>
      <c r="Q1727" s="74"/>
      <c r="R1727" s="87"/>
      <c r="S1727" s="87"/>
      <c r="T1727" s="87"/>
      <c r="U1727" s="87"/>
      <c r="V1727" s="48"/>
      <c r="W1727" s="48"/>
      <c r="X1727" s="48"/>
      <c r="Y1727" s="48"/>
      <c r="Z1727" s="47"/>
      <c r="AA1727" s="69">
        <v>1727</v>
      </c>
      <c r="AB1727" s="69"/>
      <c r="AC1727" s="70"/>
      <c r="AD1727" s="76" t="s">
        <v>22935</v>
      </c>
      <c r="AE1727" s="81" t="s">
        <v>23974</v>
      </c>
      <c r="AF1727" s="76">
        <v>167627</v>
      </c>
      <c r="AG1727" s="76">
        <v>1023</v>
      </c>
      <c r="AH1727" s="76">
        <v>41528</v>
      </c>
      <c r="AI1727" s="76">
        <v>525</v>
      </c>
      <c r="AJ1727" s="76">
        <v>7367</v>
      </c>
      <c r="AK1727" s="76">
        <v>3072</v>
      </c>
      <c r="AL1727" s="76" t="b">
        <v>0</v>
      </c>
      <c r="AM1727" s="78">
        <v>39979.928263888891</v>
      </c>
      <c r="AN1727" s="76" t="s">
        <v>14382</v>
      </c>
      <c r="AO1727" s="76" t="s">
        <v>26242</v>
      </c>
      <c r="AP1727" s="82" t="str">
        <f>HYPERLINK("https://t.co/PEM9F2ayjt")</f>
        <v>https://t.co/PEM9F2ayjt</v>
      </c>
      <c r="AQ1727" s="82" t="str">
        <f>HYPERLINK("http://www.zecadirceu.com.br")</f>
        <v>http://www.zecadirceu.com.br</v>
      </c>
      <c r="AR1727" s="76" t="s">
        <v>27297</v>
      </c>
      <c r="AS1727" s="76"/>
      <c r="AT1727" s="76"/>
      <c r="AU1727" s="76"/>
      <c r="AV1727" s="76"/>
      <c r="AW1727" s="82" t="str">
        <f>HYPERLINK("https://t.co/PEM9F2ayjt")</f>
        <v>https://t.co/PEM9F2ayjt</v>
      </c>
      <c r="AX1727" s="76" t="b">
        <v>0</v>
      </c>
      <c r="AY1727" s="76"/>
      <c r="AZ1727" s="76"/>
      <c r="BA1727" s="76" t="b">
        <v>0</v>
      </c>
      <c r="BB1727" s="76" t="b">
        <v>1</v>
      </c>
      <c r="BC1727" s="76" t="b">
        <v>0</v>
      </c>
      <c r="BD1727" s="76" t="b">
        <v>0</v>
      </c>
      <c r="BE1727" s="76" t="b">
        <v>1</v>
      </c>
      <c r="BF1727" s="76" t="b">
        <v>0</v>
      </c>
      <c r="BG1727" s="76" t="b">
        <v>0</v>
      </c>
      <c r="BH1727" s="82" t="str">
        <f>HYPERLINK("https://pbs.twimg.com/profile_banners/47461491/1689009580")</f>
        <v>https://pbs.twimg.com/profile_banners/47461491/1689009580</v>
      </c>
      <c r="BI1727" s="76"/>
      <c r="BJ1727" s="76" t="s">
        <v>27595</v>
      </c>
      <c r="BK1727" s="76" t="b">
        <v>0</v>
      </c>
      <c r="BL1727" s="76"/>
      <c r="BM1727" s="76" t="s">
        <v>66</v>
      </c>
      <c r="BN1727" s="76" t="s">
        <v>27597</v>
      </c>
      <c r="BO1727" s="82" t="str">
        <f>HYPERLINK("https://twitter.com/zeca_dirceu")</f>
        <v>https://twitter.com/zeca_dirceu</v>
      </c>
      <c r="BP1727" s="2"/>
    </row>
    <row r="1728" spans="1:68" x14ac:dyDescent="0.25">
      <c r="A1728" s="62" t="s">
        <v>1560</v>
      </c>
      <c r="B1728" s="63"/>
      <c r="C1728" s="63"/>
      <c r="D1728" s="64"/>
      <c r="E1728" s="66"/>
      <c r="F1728" s="103" t="str">
        <f>HYPERLINK("https://pbs.twimg.com/profile_images/1491103741659041801/MIaBxOUJ_normal.jpg")</f>
        <v>https://pbs.twimg.com/profile_images/1491103741659041801/MIaBxOUJ_normal.jpg</v>
      </c>
      <c r="G1728" s="63"/>
      <c r="H1728" s="67"/>
      <c r="I1728" s="68"/>
      <c r="J1728" s="68"/>
      <c r="K1728" s="67" t="s">
        <v>29322</v>
      </c>
      <c r="L1728" s="71"/>
      <c r="M1728" s="72"/>
      <c r="N1728" s="72"/>
      <c r="O1728" s="73"/>
      <c r="P1728" s="74"/>
      <c r="Q1728" s="74"/>
      <c r="R1728" s="87"/>
      <c r="S1728" s="87"/>
      <c r="T1728" s="87"/>
      <c r="U1728" s="87"/>
      <c r="V1728" s="48"/>
      <c r="W1728" s="48"/>
      <c r="X1728" s="48"/>
      <c r="Y1728" s="48"/>
      <c r="Z1728" s="47"/>
      <c r="AA1728" s="69">
        <v>1728</v>
      </c>
      <c r="AB1728" s="69"/>
      <c r="AC1728" s="70"/>
      <c r="AD1728" s="76" t="s">
        <v>22936</v>
      </c>
      <c r="AE1728" s="81" t="s">
        <v>20370</v>
      </c>
      <c r="AF1728" s="76">
        <v>1148</v>
      </c>
      <c r="AG1728" s="76">
        <v>102</v>
      </c>
      <c r="AH1728" s="76">
        <v>1292</v>
      </c>
      <c r="AI1728" s="76">
        <v>0</v>
      </c>
      <c r="AJ1728" s="76">
        <v>740</v>
      </c>
      <c r="AK1728" s="76">
        <v>804</v>
      </c>
      <c r="AL1728" s="76" t="b">
        <v>0</v>
      </c>
      <c r="AM1728" s="78">
        <v>41286.251388888886</v>
      </c>
      <c r="AN1728" s="76"/>
      <c r="AO1728" s="76" t="s">
        <v>26243</v>
      </c>
      <c r="AP1728" s="76"/>
      <c r="AQ1728" s="76"/>
      <c r="AR1728" s="76"/>
      <c r="AS1728" s="76"/>
      <c r="AT1728" s="76"/>
      <c r="AU1728" s="76"/>
      <c r="AV1728" s="76"/>
      <c r="AW1728" s="76"/>
      <c r="AX1728" s="76" t="b">
        <v>0</v>
      </c>
      <c r="AY1728" s="76"/>
      <c r="AZ1728" s="76"/>
      <c r="BA1728" s="76" t="b">
        <v>0</v>
      </c>
      <c r="BB1728" s="76" t="b">
        <v>1</v>
      </c>
      <c r="BC1728" s="76" t="b">
        <v>1</v>
      </c>
      <c r="BD1728" s="76" t="b">
        <v>0</v>
      </c>
      <c r="BE1728" s="76" t="b">
        <v>0</v>
      </c>
      <c r="BF1728" s="76" t="b">
        <v>0</v>
      </c>
      <c r="BG1728" s="76" t="b">
        <v>0</v>
      </c>
      <c r="BH1728" s="82" t="str">
        <f>HYPERLINK("https://pbs.twimg.com/profile_banners/1081998169/1644353778")</f>
        <v>https://pbs.twimg.com/profile_banners/1081998169/1644353778</v>
      </c>
      <c r="BI1728" s="76"/>
      <c r="BJ1728" s="76" t="s">
        <v>27595</v>
      </c>
      <c r="BK1728" s="76" t="b">
        <v>0</v>
      </c>
      <c r="BL1728" s="76"/>
      <c r="BM1728" s="76" t="s">
        <v>66</v>
      </c>
      <c r="BN1728" s="76" t="s">
        <v>27597</v>
      </c>
      <c r="BO1728" s="82" t="str">
        <f>HYPERLINK("https://twitter.com/moisesselerges")</f>
        <v>https://twitter.com/moisesselerges</v>
      </c>
      <c r="BP1728" s="2"/>
    </row>
    <row r="1729" spans="1:68" x14ac:dyDescent="0.25">
      <c r="A1729" s="62" t="s">
        <v>1561</v>
      </c>
      <c r="B1729" s="63"/>
      <c r="C1729" s="63"/>
      <c r="D1729" s="64"/>
      <c r="E1729" s="66"/>
      <c r="F1729" s="103" t="str">
        <f>HYPERLINK("https://pbs.twimg.com/profile_images/1600304975531458561/EvBIpcu4_normal.jpg")</f>
        <v>https://pbs.twimg.com/profile_images/1600304975531458561/EvBIpcu4_normal.jpg</v>
      </c>
      <c r="G1729" s="63"/>
      <c r="H1729" s="67"/>
      <c r="I1729" s="68"/>
      <c r="J1729" s="68"/>
      <c r="K1729" s="67" t="s">
        <v>29323</v>
      </c>
      <c r="L1729" s="71"/>
      <c r="M1729" s="72"/>
      <c r="N1729" s="72"/>
      <c r="O1729" s="73"/>
      <c r="P1729" s="74"/>
      <c r="Q1729" s="74"/>
      <c r="R1729" s="87"/>
      <c r="S1729" s="87"/>
      <c r="T1729" s="87"/>
      <c r="U1729" s="87"/>
      <c r="V1729" s="48"/>
      <c r="W1729" s="48"/>
      <c r="X1729" s="48"/>
      <c r="Y1729" s="48"/>
      <c r="Z1729" s="47"/>
      <c r="AA1729" s="69">
        <v>1729</v>
      </c>
      <c r="AB1729" s="69"/>
      <c r="AC1729" s="70"/>
      <c r="AD1729" s="76" t="s">
        <v>22937</v>
      </c>
      <c r="AE1729" s="81" t="s">
        <v>23975</v>
      </c>
      <c r="AF1729" s="76">
        <v>3706</v>
      </c>
      <c r="AG1729" s="76">
        <v>4187</v>
      </c>
      <c r="AH1729" s="76">
        <v>2312</v>
      </c>
      <c r="AI1729" s="76">
        <v>0</v>
      </c>
      <c r="AJ1729" s="76">
        <v>4838</v>
      </c>
      <c r="AK1729" s="76">
        <v>1045</v>
      </c>
      <c r="AL1729" s="76" t="b">
        <v>0</v>
      </c>
      <c r="AM1729" s="78">
        <v>40871.570949074077</v>
      </c>
      <c r="AN1729" s="76" t="s">
        <v>24667</v>
      </c>
      <c r="AO1729" s="76" t="s">
        <v>26244</v>
      </c>
      <c r="AP1729" s="76"/>
      <c r="AQ1729" s="76"/>
      <c r="AR1729" s="76"/>
      <c r="AS1729" s="76"/>
      <c r="AT1729" s="76"/>
      <c r="AU1729" s="76"/>
      <c r="AV1729" s="76"/>
      <c r="AW1729" s="76"/>
      <c r="AX1729" s="76" t="b">
        <v>0</v>
      </c>
      <c r="AY1729" s="76"/>
      <c r="AZ1729" s="76"/>
      <c r="BA1729" s="76" t="b">
        <v>0</v>
      </c>
      <c r="BB1729" s="76" t="b">
        <v>1</v>
      </c>
      <c r="BC1729" s="76" t="b">
        <v>1</v>
      </c>
      <c r="BD1729" s="76" t="b">
        <v>0</v>
      </c>
      <c r="BE1729" s="76" t="b">
        <v>0</v>
      </c>
      <c r="BF1729" s="76" t="b">
        <v>0</v>
      </c>
      <c r="BG1729" s="76" t="b">
        <v>0</v>
      </c>
      <c r="BH1729" s="82" t="str">
        <f>HYPERLINK("https://pbs.twimg.com/profile_banners/420327640/1673731934")</f>
        <v>https://pbs.twimg.com/profile_banners/420327640/1673731934</v>
      </c>
      <c r="BI1729" s="76"/>
      <c r="BJ1729" s="76" t="s">
        <v>27595</v>
      </c>
      <c r="BK1729" s="76" t="b">
        <v>0</v>
      </c>
      <c r="BL1729" s="76"/>
      <c r="BM1729" s="76" t="s">
        <v>66</v>
      </c>
      <c r="BN1729" s="76" t="s">
        <v>27597</v>
      </c>
      <c r="BO1729" s="82" t="str">
        <f>HYPERLINK("https://twitter.com/albinarabello")</f>
        <v>https://twitter.com/albinarabello</v>
      </c>
      <c r="BP1729" s="2"/>
    </row>
    <row r="1730" spans="1:68" x14ac:dyDescent="0.25">
      <c r="A1730" s="62" t="s">
        <v>1562</v>
      </c>
      <c r="B1730" s="63"/>
      <c r="C1730" s="63"/>
      <c r="D1730" s="64"/>
      <c r="E1730" s="66"/>
      <c r="F1730" s="103" t="str">
        <f>HYPERLINK("https://pbs.twimg.com/profile_images/1447854721214164995/rb4uJyJV_normal.jpg")</f>
        <v>https://pbs.twimg.com/profile_images/1447854721214164995/rb4uJyJV_normal.jpg</v>
      </c>
      <c r="G1730" s="63"/>
      <c r="H1730" s="67"/>
      <c r="I1730" s="68"/>
      <c r="J1730" s="68"/>
      <c r="K1730" s="67" t="s">
        <v>29324</v>
      </c>
      <c r="L1730" s="71"/>
      <c r="M1730" s="72"/>
      <c r="N1730" s="72"/>
      <c r="O1730" s="73"/>
      <c r="P1730" s="74"/>
      <c r="Q1730" s="74"/>
      <c r="R1730" s="87"/>
      <c r="S1730" s="87"/>
      <c r="T1730" s="87"/>
      <c r="U1730" s="87"/>
      <c r="V1730" s="48"/>
      <c r="W1730" s="48"/>
      <c r="X1730" s="48"/>
      <c r="Y1730" s="48"/>
      <c r="Z1730" s="47"/>
      <c r="AA1730" s="69">
        <v>1730</v>
      </c>
      <c r="AB1730" s="69"/>
      <c r="AC1730" s="70"/>
      <c r="AD1730" s="76" t="s">
        <v>22938</v>
      </c>
      <c r="AE1730" s="81" t="s">
        <v>21147</v>
      </c>
      <c r="AF1730" s="76">
        <v>16</v>
      </c>
      <c r="AG1730" s="76">
        <v>0</v>
      </c>
      <c r="AH1730" s="76">
        <v>4935</v>
      </c>
      <c r="AI1730" s="76">
        <v>0</v>
      </c>
      <c r="AJ1730" s="76">
        <v>0</v>
      </c>
      <c r="AK1730" s="76">
        <v>4918</v>
      </c>
      <c r="AL1730" s="76" t="b">
        <v>0</v>
      </c>
      <c r="AM1730" s="78">
        <v>44481.389340277776</v>
      </c>
      <c r="AN1730" s="76"/>
      <c r="AO1730" s="76"/>
      <c r="AP1730" s="76"/>
      <c r="AQ1730" s="76"/>
      <c r="AR1730" s="76"/>
      <c r="AS1730" s="76"/>
      <c r="AT1730" s="76"/>
      <c r="AU1730" s="76"/>
      <c r="AV1730" s="76"/>
      <c r="AW1730" s="76"/>
      <c r="AX1730" s="76" t="b">
        <v>0</v>
      </c>
      <c r="AY1730" s="76"/>
      <c r="AZ1730" s="76"/>
      <c r="BA1730" s="76" t="b">
        <v>0</v>
      </c>
      <c r="BB1730" s="76" t="b">
        <v>1</v>
      </c>
      <c r="BC1730" s="76" t="b">
        <v>1</v>
      </c>
      <c r="BD1730" s="76" t="b">
        <v>0</v>
      </c>
      <c r="BE1730" s="76" t="b">
        <v>0</v>
      </c>
      <c r="BF1730" s="76" t="b">
        <v>0</v>
      </c>
      <c r="BG1730" s="76" t="b">
        <v>0</v>
      </c>
      <c r="BH1730" s="76"/>
      <c r="BI1730" s="76"/>
      <c r="BJ1730" s="76" t="s">
        <v>27595</v>
      </c>
      <c r="BK1730" s="76" t="b">
        <v>0</v>
      </c>
      <c r="BL1730" s="76"/>
      <c r="BM1730" s="76" t="s">
        <v>66</v>
      </c>
      <c r="BN1730" s="76" t="s">
        <v>27597</v>
      </c>
      <c r="BO1730" s="82" t="str">
        <f>HYPERLINK("https://twitter.com/resumo_imprensa")</f>
        <v>https://twitter.com/resumo_imprensa</v>
      </c>
      <c r="BP1730" s="2"/>
    </row>
    <row r="1731" spans="1:68" x14ac:dyDescent="0.25">
      <c r="A1731" s="62" t="s">
        <v>1563</v>
      </c>
      <c r="B1731" s="63"/>
      <c r="C1731" s="63"/>
      <c r="D1731" s="64"/>
      <c r="E1731" s="66"/>
      <c r="F1731" s="103" t="str">
        <f>HYPERLINK("https://pbs.twimg.com/profile_images/482867542117978115/lFZmWFLg_normal.jpeg")</f>
        <v>https://pbs.twimg.com/profile_images/482867542117978115/lFZmWFLg_normal.jpeg</v>
      </c>
      <c r="G1731" s="63"/>
      <c r="H1731" s="67"/>
      <c r="I1731" s="68"/>
      <c r="J1731" s="68"/>
      <c r="K1731" s="67" t="s">
        <v>29325</v>
      </c>
      <c r="L1731" s="71"/>
      <c r="M1731" s="72"/>
      <c r="N1731" s="72"/>
      <c r="O1731" s="73"/>
      <c r="P1731" s="74"/>
      <c r="Q1731" s="74"/>
      <c r="R1731" s="87"/>
      <c r="S1731" s="87"/>
      <c r="T1731" s="87"/>
      <c r="U1731" s="87"/>
      <c r="V1731" s="48"/>
      <c r="W1731" s="48"/>
      <c r="X1731" s="48"/>
      <c r="Y1731" s="48"/>
      <c r="Z1731" s="47"/>
      <c r="AA1731" s="69">
        <v>1731</v>
      </c>
      <c r="AB1731" s="69"/>
      <c r="AC1731" s="70"/>
      <c r="AD1731" s="76" t="s">
        <v>22939</v>
      </c>
      <c r="AE1731" s="81" t="s">
        <v>23976</v>
      </c>
      <c r="AF1731" s="76">
        <v>2789</v>
      </c>
      <c r="AG1731" s="76">
        <v>586</v>
      </c>
      <c r="AH1731" s="76">
        <v>5602</v>
      </c>
      <c r="AI1731" s="76">
        <v>20</v>
      </c>
      <c r="AJ1731" s="76">
        <v>3298</v>
      </c>
      <c r="AK1731" s="76">
        <v>3195</v>
      </c>
      <c r="AL1731" s="76" t="b">
        <v>0</v>
      </c>
      <c r="AM1731" s="78">
        <v>40026.038703703707</v>
      </c>
      <c r="AN1731" s="76" t="s">
        <v>24668</v>
      </c>
      <c r="AO1731" s="76" t="s">
        <v>26245</v>
      </c>
      <c r="AP1731" s="82" t="str">
        <f>HYPERLINK("https://t.co/BEKRWNvigP")</f>
        <v>https://t.co/BEKRWNvigP</v>
      </c>
      <c r="AQ1731" s="82" t="str">
        <f>HYPERLINK("https://www.folhadocondomino.com.br")</f>
        <v>https://www.folhadocondomino.com.br</v>
      </c>
      <c r="AR1731" s="76" t="s">
        <v>27298</v>
      </c>
      <c r="AS1731" s="76"/>
      <c r="AT1731" s="76"/>
      <c r="AU1731" s="76"/>
      <c r="AV1731" s="76"/>
      <c r="AW1731" s="82" t="str">
        <f>HYPERLINK("https://t.co/BEKRWNvigP")</f>
        <v>https://t.co/BEKRWNvigP</v>
      </c>
      <c r="AX1731" s="76" t="b">
        <v>0</v>
      </c>
      <c r="AY1731" s="76"/>
      <c r="AZ1731" s="76"/>
      <c r="BA1731" s="76" t="b">
        <v>0</v>
      </c>
      <c r="BB1731" s="76" t="b">
        <v>1</v>
      </c>
      <c r="BC1731" s="76" t="b">
        <v>0</v>
      </c>
      <c r="BD1731" s="76" t="b">
        <v>0</v>
      </c>
      <c r="BE1731" s="76" t="b">
        <v>1</v>
      </c>
      <c r="BF1731" s="76" t="b">
        <v>0</v>
      </c>
      <c r="BG1731" s="76" t="b">
        <v>0</v>
      </c>
      <c r="BH1731" s="82" t="str">
        <f>HYPERLINK("https://pbs.twimg.com/profile_banners/61920432/1571962156")</f>
        <v>https://pbs.twimg.com/profile_banners/61920432/1571962156</v>
      </c>
      <c r="BI1731" s="76"/>
      <c r="BJ1731" s="76" t="s">
        <v>27595</v>
      </c>
      <c r="BK1731" s="76" t="b">
        <v>0</v>
      </c>
      <c r="BL1731" s="76"/>
      <c r="BM1731" s="76" t="s">
        <v>66</v>
      </c>
      <c r="BN1731" s="76" t="s">
        <v>27597</v>
      </c>
      <c r="BO1731" s="82" t="str">
        <f>HYPERLINK("https://twitter.com/folhacondominio")</f>
        <v>https://twitter.com/folhacondominio</v>
      </c>
      <c r="BP1731" s="2"/>
    </row>
    <row r="1732" spans="1:68" x14ac:dyDescent="0.25">
      <c r="A1732" s="62" t="s">
        <v>1564</v>
      </c>
      <c r="B1732" s="63"/>
      <c r="C1732" s="63"/>
      <c r="D1732" s="64"/>
      <c r="E1732" s="66"/>
      <c r="F1732" s="103" t="str">
        <f>HYPERLINK("https://pbs.twimg.com/profile_images/1425194014/Logo__CONE_normal.jpg")</f>
        <v>https://pbs.twimg.com/profile_images/1425194014/Logo__CONE_normal.jpg</v>
      </c>
      <c r="G1732" s="63"/>
      <c r="H1732" s="67"/>
      <c r="I1732" s="68"/>
      <c r="J1732" s="68"/>
      <c r="K1732" s="67" t="s">
        <v>29326</v>
      </c>
      <c r="L1732" s="71"/>
      <c r="M1732" s="72"/>
      <c r="N1732" s="72"/>
      <c r="O1732" s="73"/>
      <c r="P1732" s="74"/>
      <c r="Q1732" s="74"/>
      <c r="R1732" s="87"/>
      <c r="S1732" s="87"/>
      <c r="T1732" s="87"/>
      <c r="U1732" s="87"/>
      <c r="V1732" s="48"/>
      <c r="W1732" s="48"/>
      <c r="X1732" s="48"/>
      <c r="Y1732" s="48"/>
      <c r="Z1732" s="47"/>
      <c r="AA1732" s="69">
        <v>1732</v>
      </c>
      <c r="AB1732" s="69"/>
      <c r="AC1732" s="70"/>
      <c r="AD1732" s="76" t="s">
        <v>22940</v>
      </c>
      <c r="AE1732" s="81" t="s">
        <v>23977</v>
      </c>
      <c r="AF1732" s="76">
        <v>69</v>
      </c>
      <c r="AG1732" s="76">
        <v>60</v>
      </c>
      <c r="AH1732" s="76">
        <v>3421</v>
      </c>
      <c r="AI1732" s="76">
        <v>0</v>
      </c>
      <c r="AJ1732" s="76">
        <v>2870</v>
      </c>
      <c r="AK1732" s="76">
        <v>1214</v>
      </c>
      <c r="AL1732" s="76" t="b">
        <v>0</v>
      </c>
      <c r="AM1732" s="78">
        <v>40727.915358796294</v>
      </c>
      <c r="AN1732" s="76" t="s">
        <v>14382</v>
      </c>
      <c r="AO1732" s="76" t="s">
        <v>26246</v>
      </c>
      <c r="AP1732" s="82" t="str">
        <f>HYPERLINK("https://t.co/In0MFT7n3Y")</f>
        <v>https://t.co/In0MFT7n3Y</v>
      </c>
      <c r="AQ1732" s="82" t="str">
        <f>HYPERLINK("https://www.iconemidias.com.br/")</f>
        <v>https://www.iconemidias.com.br/</v>
      </c>
      <c r="AR1732" s="76" t="s">
        <v>27299</v>
      </c>
      <c r="AS1732" s="76"/>
      <c r="AT1732" s="76"/>
      <c r="AU1732" s="76"/>
      <c r="AV1732" s="76"/>
      <c r="AW1732" s="82" t="str">
        <f>HYPERLINK("https://t.co/In0MFT7n3Y")</f>
        <v>https://t.co/In0MFT7n3Y</v>
      </c>
      <c r="AX1732" s="76" t="b">
        <v>0</v>
      </c>
      <c r="AY1732" s="76"/>
      <c r="AZ1732" s="76"/>
      <c r="BA1732" s="76" t="b">
        <v>0</v>
      </c>
      <c r="BB1732" s="76" t="b">
        <v>1</v>
      </c>
      <c r="BC1732" s="76" t="b">
        <v>0</v>
      </c>
      <c r="BD1732" s="76" t="b">
        <v>0</v>
      </c>
      <c r="BE1732" s="76" t="b">
        <v>0</v>
      </c>
      <c r="BF1732" s="76" t="b">
        <v>0</v>
      </c>
      <c r="BG1732" s="76" t="b">
        <v>0</v>
      </c>
      <c r="BH1732" s="76"/>
      <c r="BI1732" s="76"/>
      <c r="BJ1732" s="76" t="s">
        <v>27595</v>
      </c>
      <c r="BK1732" s="76" t="b">
        <v>0</v>
      </c>
      <c r="BL1732" s="76"/>
      <c r="BM1732" s="76" t="s">
        <v>66</v>
      </c>
      <c r="BN1732" s="76" t="s">
        <v>27597</v>
      </c>
      <c r="BO1732" s="82" t="str">
        <f>HYPERLINK("https://twitter.com/iconemidias")</f>
        <v>https://twitter.com/iconemidias</v>
      </c>
      <c r="BP1732" s="2"/>
    </row>
    <row r="1733" spans="1:68" x14ac:dyDescent="0.25">
      <c r="A1733" s="62" t="s">
        <v>1565</v>
      </c>
      <c r="B1733" s="63"/>
      <c r="C1733" s="63"/>
      <c r="D1733" s="64"/>
      <c r="E1733" s="66"/>
      <c r="F1733" s="103" t="str">
        <f>HYPERLINK("https://pbs.twimg.com/profile_images/804299616/dalmo-com-a-corneta_normal.jpg")</f>
        <v>https://pbs.twimg.com/profile_images/804299616/dalmo-com-a-corneta_normal.jpg</v>
      </c>
      <c r="G1733" s="63"/>
      <c r="H1733" s="67"/>
      <c r="I1733" s="68"/>
      <c r="J1733" s="68"/>
      <c r="K1733" s="67" t="s">
        <v>29327</v>
      </c>
      <c r="L1733" s="71"/>
      <c r="M1733" s="72"/>
      <c r="N1733" s="72"/>
      <c r="O1733" s="73"/>
      <c r="P1733" s="74"/>
      <c r="Q1733" s="74"/>
      <c r="R1733" s="87"/>
      <c r="S1733" s="87"/>
      <c r="T1733" s="87"/>
      <c r="U1733" s="87"/>
      <c r="V1733" s="48"/>
      <c r="W1733" s="48"/>
      <c r="X1733" s="48"/>
      <c r="Y1733" s="48"/>
      <c r="Z1733" s="47"/>
      <c r="AA1733" s="69">
        <v>1733</v>
      </c>
      <c r="AB1733" s="69"/>
      <c r="AC1733" s="70"/>
      <c r="AD1733" s="76" t="s">
        <v>22941</v>
      </c>
      <c r="AE1733" s="81" t="s">
        <v>23978</v>
      </c>
      <c r="AF1733" s="76">
        <v>16572</v>
      </c>
      <c r="AG1733" s="76">
        <v>181</v>
      </c>
      <c r="AH1733" s="76">
        <v>123371</v>
      </c>
      <c r="AI1733" s="76">
        <v>140</v>
      </c>
      <c r="AJ1733" s="76">
        <v>663</v>
      </c>
      <c r="AK1733" s="76">
        <v>41200</v>
      </c>
      <c r="AL1733" s="76" t="b">
        <v>0</v>
      </c>
      <c r="AM1733" s="78">
        <v>39776.796944444446</v>
      </c>
      <c r="AN1733" s="76" t="s">
        <v>24669</v>
      </c>
      <c r="AO1733" s="76" t="s">
        <v>26247</v>
      </c>
      <c r="AP1733" s="82" t="str">
        <f>HYPERLINK("https://t.co/nTLtrvv75q")</f>
        <v>https://t.co/nTLtrvv75q</v>
      </c>
      <c r="AQ1733" s="82" t="str">
        <f>HYPERLINK("http://www.diarinho.net")</f>
        <v>http://www.diarinho.net</v>
      </c>
      <c r="AR1733" s="76" t="s">
        <v>8874</v>
      </c>
      <c r="AS1733" s="76"/>
      <c r="AT1733" s="76"/>
      <c r="AU1733" s="76"/>
      <c r="AV1733" s="76">
        <v>1.7073447316240399E+18</v>
      </c>
      <c r="AW1733" s="82" t="str">
        <f>HYPERLINK("https://t.co/nTLtrvv75q")</f>
        <v>https://t.co/nTLtrvv75q</v>
      </c>
      <c r="AX1733" s="76" t="b">
        <v>1</v>
      </c>
      <c r="AY1733" s="76"/>
      <c r="AZ1733" s="76"/>
      <c r="BA1733" s="76" t="b">
        <v>0</v>
      </c>
      <c r="BB1733" s="76" t="b">
        <v>1</v>
      </c>
      <c r="BC1733" s="76" t="b">
        <v>0</v>
      </c>
      <c r="BD1733" s="76" t="b">
        <v>0</v>
      </c>
      <c r="BE1733" s="76" t="b">
        <v>1</v>
      </c>
      <c r="BF1733" s="76" t="b">
        <v>0</v>
      </c>
      <c r="BG1733" s="76" t="b">
        <v>1</v>
      </c>
      <c r="BH1733" s="82" t="str">
        <f>HYPERLINK("https://pbs.twimg.com/profile_banners/17598409/1678718329")</f>
        <v>https://pbs.twimg.com/profile_banners/17598409/1678718329</v>
      </c>
      <c r="BI1733" s="76" t="s">
        <v>27594</v>
      </c>
      <c r="BJ1733" s="76" t="s">
        <v>27595</v>
      </c>
      <c r="BK1733" s="76" t="b">
        <v>0</v>
      </c>
      <c r="BL1733" s="76"/>
      <c r="BM1733" s="76" t="s">
        <v>66</v>
      </c>
      <c r="BN1733" s="76" t="s">
        <v>27597</v>
      </c>
      <c r="BO1733" s="82" t="str">
        <f>HYPERLINK("https://twitter.com/diarinho")</f>
        <v>https://twitter.com/diarinho</v>
      </c>
      <c r="BP1733" s="2"/>
    </row>
    <row r="1734" spans="1:68" x14ac:dyDescent="0.25">
      <c r="A1734" s="62" t="s">
        <v>1566</v>
      </c>
      <c r="B1734" s="63"/>
      <c r="C1734" s="63"/>
      <c r="D1734" s="64"/>
      <c r="E1734" s="66"/>
      <c r="F1734" s="103" t="str">
        <f>HYPERLINK("https://pbs.twimg.com/profile_images/1273507851022057475/5LAy25Ie_normal.jpg")</f>
        <v>https://pbs.twimg.com/profile_images/1273507851022057475/5LAy25Ie_normal.jpg</v>
      </c>
      <c r="G1734" s="63"/>
      <c r="H1734" s="67"/>
      <c r="I1734" s="68"/>
      <c r="J1734" s="68"/>
      <c r="K1734" s="67" t="s">
        <v>29328</v>
      </c>
      <c r="L1734" s="71"/>
      <c r="M1734" s="72"/>
      <c r="N1734" s="72"/>
      <c r="O1734" s="73"/>
      <c r="P1734" s="74"/>
      <c r="Q1734" s="74"/>
      <c r="R1734" s="87"/>
      <c r="S1734" s="87"/>
      <c r="T1734" s="87"/>
      <c r="U1734" s="87"/>
      <c r="V1734" s="48"/>
      <c r="W1734" s="48"/>
      <c r="X1734" s="48"/>
      <c r="Y1734" s="48"/>
      <c r="Z1734" s="47"/>
      <c r="AA1734" s="69">
        <v>1734</v>
      </c>
      <c r="AB1734" s="69"/>
      <c r="AC1734" s="70"/>
      <c r="AD1734" s="76" t="s">
        <v>22942</v>
      </c>
      <c r="AE1734" s="81" t="s">
        <v>23979</v>
      </c>
      <c r="AF1734" s="76">
        <v>60</v>
      </c>
      <c r="AG1734" s="76">
        <v>459</v>
      </c>
      <c r="AH1734" s="76">
        <v>4344</v>
      </c>
      <c r="AI1734" s="76">
        <v>0</v>
      </c>
      <c r="AJ1734" s="76">
        <v>4157</v>
      </c>
      <c r="AK1734" s="76">
        <v>202</v>
      </c>
      <c r="AL1734" s="76" t="b">
        <v>0</v>
      </c>
      <c r="AM1734" s="78">
        <v>40526.861006944448</v>
      </c>
      <c r="AN1734" s="76"/>
      <c r="AO1734" s="76"/>
      <c r="AP1734" s="76"/>
      <c r="AQ1734" s="76"/>
      <c r="AR1734" s="76"/>
      <c r="AS1734" s="76"/>
      <c r="AT1734" s="76"/>
      <c r="AU1734" s="76"/>
      <c r="AV1734" s="76"/>
      <c r="AW1734" s="76"/>
      <c r="AX1734" s="76" t="b">
        <v>0</v>
      </c>
      <c r="AY1734" s="76"/>
      <c r="AZ1734" s="76"/>
      <c r="BA1734" s="76" t="b">
        <v>1</v>
      </c>
      <c r="BB1734" s="76" t="b">
        <v>0</v>
      </c>
      <c r="BC1734" s="76" t="b">
        <v>1</v>
      </c>
      <c r="BD1734" s="76" t="b">
        <v>0</v>
      </c>
      <c r="BE1734" s="76" t="b">
        <v>1</v>
      </c>
      <c r="BF1734" s="76" t="b">
        <v>0</v>
      </c>
      <c r="BG1734" s="76" t="b">
        <v>0</v>
      </c>
      <c r="BH1734" s="82" t="str">
        <f>HYPERLINK("https://pbs.twimg.com/profile_banners/226691205/1434578692")</f>
        <v>https://pbs.twimg.com/profile_banners/226691205/1434578692</v>
      </c>
      <c r="BI1734" s="76"/>
      <c r="BJ1734" s="76" t="s">
        <v>27595</v>
      </c>
      <c r="BK1734" s="76" t="b">
        <v>0</v>
      </c>
      <c r="BL1734" s="76"/>
      <c r="BM1734" s="76" t="s">
        <v>66</v>
      </c>
      <c r="BN1734" s="76" t="s">
        <v>27597</v>
      </c>
      <c r="BO1734" s="82" t="str">
        <f>HYPERLINK("https://twitter.com/rubiense2050")</f>
        <v>https://twitter.com/rubiense2050</v>
      </c>
      <c r="BP1734" s="2"/>
    </row>
    <row r="1735" spans="1:68" x14ac:dyDescent="0.25">
      <c r="A1735" s="62" t="s">
        <v>1567</v>
      </c>
      <c r="B1735" s="63"/>
      <c r="C1735" s="63"/>
      <c r="D1735" s="64"/>
      <c r="E1735" s="66"/>
      <c r="F1735" s="103" t="str">
        <f>HYPERLINK("https://pbs.twimg.com/profile_images/1474113161313894405/lQErSLg6_normal.jpg")</f>
        <v>https://pbs.twimg.com/profile_images/1474113161313894405/lQErSLg6_normal.jpg</v>
      </c>
      <c r="G1735" s="63"/>
      <c r="H1735" s="67"/>
      <c r="I1735" s="68"/>
      <c r="J1735" s="68"/>
      <c r="K1735" s="67" t="s">
        <v>29329</v>
      </c>
      <c r="L1735" s="71"/>
      <c r="M1735" s="72"/>
      <c r="N1735" s="72"/>
      <c r="O1735" s="73"/>
      <c r="P1735" s="74"/>
      <c r="Q1735" s="74"/>
      <c r="R1735" s="87"/>
      <c r="S1735" s="87"/>
      <c r="T1735" s="87"/>
      <c r="U1735" s="87"/>
      <c r="V1735" s="48"/>
      <c r="W1735" s="48"/>
      <c r="X1735" s="48"/>
      <c r="Y1735" s="48"/>
      <c r="Z1735" s="47"/>
      <c r="AA1735" s="69">
        <v>1735</v>
      </c>
      <c r="AB1735" s="69"/>
      <c r="AC1735" s="70"/>
      <c r="AD1735" s="76" t="s">
        <v>22943</v>
      </c>
      <c r="AE1735" s="81" t="s">
        <v>20371</v>
      </c>
      <c r="AF1735" s="76">
        <v>38</v>
      </c>
      <c r="AG1735" s="76">
        <v>1280</v>
      </c>
      <c r="AH1735" s="76">
        <v>2428</v>
      </c>
      <c r="AI1735" s="76">
        <v>0</v>
      </c>
      <c r="AJ1735" s="76">
        <v>1314</v>
      </c>
      <c r="AK1735" s="76">
        <v>927</v>
      </c>
      <c r="AL1735" s="76" t="b">
        <v>0</v>
      </c>
      <c r="AM1735" s="78">
        <v>44552.599247685182</v>
      </c>
      <c r="AN1735" s="76"/>
      <c r="AO1735" s="76" t="s">
        <v>26248</v>
      </c>
      <c r="AP1735" s="76"/>
      <c r="AQ1735" s="76"/>
      <c r="AR1735" s="76"/>
      <c r="AS1735" s="76"/>
      <c r="AT1735" s="76"/>
      <c r="AU1735" s="76"/>
      <c r="AV1735" s="76">
        <v>1.6773603565308101E+18</v>
      </c>
      <c r="AW1735" s="76"/>
      <c r="AX1735" s="76" t="b">
        <v>0</v>
      </c>
      <c r="AY1735" s="76"/>
      <c r="AZ1735" s="76"/>
      <c r="BA1735" s="76" t="b">
        <v>0</v>
      </c>
      <c r="BB1735" s="76" t="b">
        <v>1</v>
      </c>
      <c r="BC1735" s="76" t="b">
        <v>1</v>
      </c>
      <c r="BD1735" s="76" t="b">
        <v>0</v>
      </c>
      <c r="BE1735" s="76" t="b">
        <v>0</v>
      </c>
      <c r="BF1735" s="76" t="b">
        <v>0</v>
      </c>
      <c r="BG1735" s="76" t="b">
        <v>0</v>
      </c>
      <c r="BH1735" s="82" t="str">
        <f>HYPERLINK("https://pbs.twimg.com/profile_banners/1473659828056776711/1681763158")</f>
        <v>https://pbs.twimg.com/profile_banners/1473659828056776711/1681763158</v>
      </c>
      <c r="BI1735" s="76"/>
      <c r="BJ1735" s="76" t="s">
        <v>27595</v>
      </c>
      <c r="BK1735" s="76" t="b">
        <v>0</v>
      </c>
      <c r="BL1735" s="76"/>
      <c r="BM1735" s="76" t="s">
        <v>66</v>
      </c>
      <c r="BN1735" s="76" t="s">
        <v>27597</v>
      </c>
      <c r="BO1735" s="82" t="str">
        <f>HYPERLINK("https://twitter.com/danielernag")</f>
        <v>https://twitter.com/danielernag</v>
      </c>
      <c r="BP1735" s="2"/>
    </row>
    <row r="1736" spans="1:68" x14ac:dyDescent="0.25">
      <c r="A1736" s="62" t="s">
        <v>1568</v>
      </c>
      <c r="B1736" s="63"/>
      <c r="C1736" s="63"/>
      <c r="D1736" s="64"/>
      <c r="E1736" s="66"/>
      <c r="F1736" s="103" t="str">
        <f>HYPERLINK("https://pbs.twimg.com/profile_images/1695469993419292672/GKOhP-w0_normal.jpg")</f>
        <v>https://pbs.twimg.com/profile_images/1695469993419292672/GKOhP-w0_normal.jpg</v>
      </c>
      <c r="G1736" s="63"/>
      <c r="H1736" s="67"/>
      <c r="I1736" s="68"/>
      <c r="J1736" s="68"/>
      <c r="K1736" s="67" t="s">
        <v>29330</v>
      </c>
      <c r="L1736" s="71"/>
      <c r="M1736" s="72"/>
      <c r="N1736" s="72"/>
      <c r="O1736" s="73"/>
      <c r="P1736" s="74"/>
      <c r="Q1736" s="74"/>
      <c r="R1736" s="87"/>
      <c r="S1736" s="87"/>
      <c r="T1736" s="87"/>
      <c r="U1736" s="87"/>
      <c r="V1736" s="48"/>
      <c r="W1736" s="48"/>
      <c r="X1736" s="48"/>
      <c r="Y1736" s="48"/>
      <c r="Z1736" s="47"/>
      <c r="AA1736" s="69">
        <v>1736</v>
      </c>
      <c r="AB1736" s="69"/>
      <c r="AC1736" s="70"/>
      <c r="AD1736" s="76" t="s">
        <v>22944</v>
      </c>
      <c r="AE1736" s="81" t="s">
        <v>21148</v>
      </c>
      <c r="AF1736" s="76">
        <v>88</v>
      </c>
      <c r="AG1736" s="76">
        <v>271</v>
      </c>
      <c r="AH1736" s="76">
        <v>529</v>
      </c>
      <c r="AI1736" s="76">
        <v>1</v>
      </c>
      <c r="AJ1736" s="76">
        <v>977</v>
      </c>
      <c r="AK1736" s="76">
        <v>106</v>
      </c>
      <c r="AL1736" s="76" t="b">
        <v>0</v>
      </c>
      <c r="AM1736" s="78">
        <v>44952.336886574078</v>
      </c>
      <c r="AN1736" s="76"/>
      <c r="AO1736" s="76" t="s">
        <v>26249</v>
      </c>
      <c r="AP1736" s="82" t="str">
        <f>HYPERLINK("https://t.co/HH0SuZS9PR")</f>
        <v>https://t.co/HH0SuZS9PR</v>
      </c>
      <c r="AQ1736" s="82" t="str">
        <f>HYPERLINK("http://www.youtube.com/@NoMePisesARG")</f>
        <v>http://www.youtube.com/@NoMePisesARG</v>
      </c>
      <c r="AR1736" s="76" t="s">
        <v>27300</v>
      </c>
      <c r="AS1736" s="76"/>
      <c r="AT1736" s="76"/>
      <c r="AU1736" s="76"/>
      <c r="AV1736" s="76">
        <v>1.7029794225281101E+18</v>
      </c>
      <c r="AW1736" s="82" t="str">
        <f>HYPERLINK("https://t.co/HH0SuZS9PR")</f>
        <v>https://t.co/HH0SuZS9PR</v>
      </c>
      <c r="AX1736" s="76" t="b">
        <v>0</v>
      </c>
      <c r="AY1736" s="76"/>
      <c r="AZ1736" s="76"/>
      <c r="BA1736" s="76" t="b">
        <v>1</v>
      </c>
      <c r="BB1736" s="76" t="b">
        <v>1</v>
      </c>
      <c r="BC1736" s="76" t="b">
        <v>1</v>
      </c>
      <c r="BD1736" s="76" t="b">
        <v>0</v>
      </c>
      <c r="BE1736" s="76" t="b">
        <v>0</v>
      </c>
      <c r="BF1736" s="76" t="b">
        <v>0</v>
      </c>
      <c r="BG1736" s="76" t="b">
        <v>0</v>
      </c>
      <c r="BH1736" s="82" t="str">
        <f>HYPERLINK("https://pbs.twimg.com/profile_banners/1618520270305624064/1693179209")</f>
        <v>https://pbs.twimg.com/profile_banners/1618520270305624064/1693179209</v>
      </c>
      <c r="BI1736" s="76"/>
      <c r="BJ1736" s="76" t="s">
        <v>27595</v>
      </c>
      <c r="BK1736" s="76" t="b">
        <v>0</v>
      </c>
      <c r="BL1736" s="76"/>
      <c r="BM1736" s="76" t="s">
        <v>66</v>
      </c>
      <c r="BN1736" s="76" t="s">
        <v>27597</v>
      </c>
      <c r="BO1736" s="82" t="str">
        <f>HYPERLINK("https://twitter.com/nomepisesar")</f>
        <v>https://twitter.com/nomepisesar</v>
      </c>
      <c r="BP1736" s="2"/>
    </row>
    <row r="1737" spans="1:68" x14ac:dyDescent="0.25">
      <c r="A1737" s="62" t="s">
        <v>1569</v>
      </c>
      <c r="B1737" s="63"/>
      <c r="C1737" s="63"/>
      <c r="D1737" s="64"/>
      <c r="E1737" s="66"/>
      <c r="F1737" s="103" t="str">
        <f>HYPERLINK("https://pbs.twimg.com/profile_images/1648318445186953218/CtgCo-tn_normal.jpg")</f>
        <v>https://pbs.twimg.com/profile_images/1648318445186953218/CtgCo-tn_normal.jpg</v>
      </c>
      <c r="G1737" s="63"/>
      <c r="H1737" s="67"/>
      <c r="I1737" s="68"/>
      <c r="J1737" s="68"/>
      <c r="K1737" s="67" t="s">
        <v>29331</v>
      </c>
      <c r="L1737" s="71"/>
      <c r="M1737" s="72"/>
      <c r="N1737" s="72"/>
      <c r="O1737" s="73"/>
      <c r="P1737" s="74"/>
      <c r="Q1737" s="74"/>
      <c r="R1737" s="87"/>
      <c r="S1737" s="87"/>
      <c r="T1737" s="87"/>
      <c r="U1737" s="87"/>
      <c r="V1737" s="48"/>
      <c r="W1737" s="48"/>
      <c r="X1737" s="48"/>
      <c r="Y1737" s="48"/>
      <c r="Z1737" s="47"/>
      <c r="AA1737" s="69">
        <v>1737</v>
      </c>
      <c r="AB1737" s="69"/>
      <c r="AC1737" s="70"/>
      <c r="AD1737" s="76" t="s">
        <v>22945</v>
      </c>
      <c r="AE1737" s="81" t="s">
        <v>21149</v>
      </c>
      <c r="AF1737" s="76">
        <v>0</v>
      </c>
      <c r="AG1737" s="76">
        <v>0</v>
      </c>
      <c r="AH1737" s="76">
        <v>199</v>
      </c>
      <c r="AI1737" s="76">
        <v>0</v>
      </c>
      <c r="AJ1737" s="76">
        <v>0</v>
      </c>
      <c r="AK1737" s="76">
        <v>199</v>
      </c>
      <c r="AL1737" s="76" t="b">
        <v>0</v>
      </c>
      <c r="AM1737" s="78">
        <v>45034.563692129632</v>
      </c>
      <c r="AN1737" s="76"/>
      <c r="AO1737" s="76" t="s">
        <v>26250</v>
      </c>
      <c r="AP1737" s="82" t="str">
        <f>HYPERLINK("https://t.co/vMUX0x2jHo")</f>
        <v>https://t.co/vMUX0x2jHo</v>
      </c>
      <c r="AQ1737" s="82" t="str">
        <f>HYPERLINK("https://www.contadoragora.com/portal-de-noticias")</f>
        <v>https://www.contadoragora.com/portal-de-noticias</v>
      </c>
      <c r="AR1737" s="76" t="s">
        <v>27301</v>
      </c>
      <c r="AS1737" s="76"/>
      <c r="AT1737" s="76"/>
      <c r="AU1737" s="76"/>
      <c r="AV1737" s="76"/>
      <c r="AW1737" s="82" t="str">
        <f>HYPERLINK("https://t.co/vMUX0x2jHo")</f>
        <v>https://t.co/vMUX0x2jHo</v>
      </c>
      <c r="AX1737" s="76" t="b">
        <v>0</v>
      </c>
      <c r="AY1737" s="76"/>
      <c r="AZ1737" s="76"/>
      <c r="BA1737" s="76" t="b">
        <v>0</v>
      </c>
      <c r="BB1737" s="76" t="b">
        <v>1</v>
      </c>
      <c r="BC1737" s="76" t="b">
        <v>1</v>
      </c>
      <c r="BD1737" s="76" t="b">
        <v>0</v>
      </c>
      <c r="BE1737" s="76" t="b">
        <v>0</v>
      </c>
      <c r="BF1737" s="76" t="b">
        <v>0</v>
      </c>
      <c r="BG1737" s="76" t="b">
        <v>0</v>
      </c>
      <c r="BH1737" s="82" t="str">
        <f>HYPERLINK("https://pbs.twimg.com/profile_banners/1648318272301940736/1681825956")</f>
        <v>https://pbs.twimg.com/profile_banners/1648318272301940736/1681825956</v>
      </c>
      <c r="BI1737" s="76"/>
      <c r="BJ1737" s="76" t="s">
        <v>27595</v>
      </c>
      <c r="BK1737" s="76" t="b">
        <v>0</v>
      </c>
      <c r="BL1737" s="76"/>
      <c r="BM1737" s="76" t="s">
        <v>66</v>
      </c>
      <c r="BN1737" s="76" t="s">
        <v>27597</v>
      </c>
      <c r="BO1737" s="82" t="str">
        <f>HYPERLINK("https://twitter.com/newscontador")</f>
        <v>https://twitter.com/newscontador</v>
      </c>
      <c r="BP1737" s="2"/>
    </row>
    <row r="1738" spans="1:68" x14ac:dyDescent="0.25">
      <c r="A1738" s="62" t="s">
        <v>1570</v>
      </c>
      <c r="B1738" s="63"/>
      <c r="C1738" s="63"/>
      <c r="D1738" s="64"/>
      <c r="E1738" s="66"/>
      <c r="F1738" s="103" t="str">
        <f>HYPERLINK("https://pbs.twimg.com/profile_images/1575437353946152961/iChaKBrk_normal.jpg")</f>
        <v>https://pbs.twimg.com/profile_images/1575437353946152961/iChaKBrk_normal.jpg</v>
      </c>
      <c r="G1738" s="63"/>
      <c r="H1738" s="67"/>
      <c r="I1738" s="68"/>
      <c r="J1738" s="68"/>
      <c r="K1738" s="67" t="s">
        <v>29332</v>
      </c>
      <c r="L1738" s="71"/>
      <c r="M1738" s="72"/>
      <c r="N1738" s="72"/>
      <c r="O1738" s="73"/>
      <c r="P1738" s="74"/>
      <c r="Q1738" s="74"/>
      <c r="R1738" s="87"/>
      <c r="S1738" s="87"/>
      <c r="T1738" s="87"/>
      <c r="U1738" s="87"/>
      <c r="V1738" s="48"/>
      <c r="W1738" s="48"/>
      <c r="X1738" s="48"/>
      <c r="Y1738" s="48"/>
      <c r="Z1738" s="47"/>
      <c r="AA1738" s="69">
        <v>1738</v>
      </c>
      <c r="AB1738" s="69"/>
      <c r="AC1738" s="70"/>
      <c r="AD1738" s="76" t="s">
        <v>22946</v>
      </c>
      <c r="AE1738" s="81" t="s">
        <v>21150</v>
      </c>
      <c r="AF1738" s="76">
        <v>1279</v>
      </c>
      <c r="AG1738" s="76">
        <v>1714</v>
      </c>
      <c r="AH1738" s="76">
        <v>30496</v>
      </c>
      <c r="AI1738" s="76">
        <v>1</v>
      </c>
      <c r="AJ1738" s="76">
        <v>49577</v>
      </c>
      <c r="AK1738" s="76">
        <v>964</v>
      </c>
      <c r="AL1738" s="76" t="b">
        <v>0</v>
      </c>
      <c r="AM1738" s="78">
        <v>43463.700023148151</v>
      </c>
      <c r="AN1738" s="76" t="s">
        <v>24670</v>
      </c>
      <c r="AO1738" s="76" t="s">
        <v>26251</v>
      </c>
      <c r="AP1738" s="76"/>
      <c r="AQ1738" s="76"/>
      <c r="AR1738" s="76"/>
      <c r="AS1738" s="76"/>
      <c r="AT1738" s="76"/>
      <c r="AU1738" s="76"/>
      <c r="AV1738" s="76"/>
      <c r="AW1738" s="76"/>
      <c r="AX1738" s="76" t="b">
        <v>0</v>
      </c>
      <c r="AY1738" s="76"/>
      <c r="AZ1738" s="76"/>
      <c r="BA1738" s="76" t="b">
        <v>0</v>
      </c>
      <c r="BB1738" s="76" t="b">
        <v>0</v>
      </c>
      <c r="BC1738" s="76" t="b">
        <v>1</v>
      </c>
      <c r="BD1738" s="76" t="b">
        <v>0</v>
      </c>
      <c r="BE1738" s="76" t="b">
        <v>1</v>
      </c>
      <c r="BF1738" s="76" t="b">
        <v>0</v>
      </c>
      <c r="BG1738" s="76" t="b">
        <v>0</v>
      </c>
      <c r="BH1738" s="82" t="str">
        <f>HYPERLINK("https://pbs.twimg.com/profile_banners/1079056459416125442/1546102887")</f>
        <v>https://pbs.twimg.com/profile_banners/1079056459416125442/1546102887</v>
      </c>
      <c r="BI1738" s="76"/>
      <c r="BJ1738" s="76" t="s">
        <v>27595</v>
      </c>
      <c r="BK1738" s="76" t="b">
        <v>0</v>
      </c>
      <c r="BL1738" s="76"/>
      <c r="BM1738" s="76" t="s">
        <v>66</v>
      </c>
      <c r="BN1738" s="76" t="s">
        <v>27597</v>
      </c>
      <c r="BO1738" s="82" t="str">
        <f>HYPERLINK("https://twitter.com/marcosreisgonza")</f>
        <v>https://twitter.com/marcosreisgonza</v>
      </c>
      <c r="BP1738" s="2"/>
    </row>
    <row r="1739" spans="1:68" x14ac:dyDescent="0.25">
      <c r="A1739" s="62" t="s">
        <v>1571</v>
      </c>
      <c r="B1739" s="63"/>
      <c r="C1739" s="63"/>
      <c r="D1739" s="64"/>
      <c r="E1739" s="66"/>
      <c r="F1739" s="103" t="str">
        <f>HYPERLINK("https://pbs.twimg.com/profile_images/1633303093155864577/Sd6NjvQ9_normal.jpg")</f>
        <v>https://pbs.twimg.com/profile_images/1633303093155864577/Sd6NjvQ9_normal.jpg</v>
      </c>
      <c r="G1739" s="63"/>
      <c r="H1739" s="67"/>
      <c r="I1739" s="68"/>
      <c r="J1739" s="68"/>
      <c r="K1739" s="67" t="s">
        <v>29333</v>
      </c>
      <c r="L1739" s="71"/>
      <c r="M1739" s="72"/>
      <c r="N1739" s="72"/>
      <c r="O1739" s="73"/>
      <c r="P1739" s="74"/>
      <c r="Q1739" s="74"/>
      <c r="R1739" s="87"/>
      <c r="S1739" s="87"/>
      <c r="T1739" s="87"/>
      <c r="U1739" s="87"/>
      <c r="V1739" s="48"/>
      <c r="W1739" s="48"/>
      <c r="X1739" s="48"/>
      <c r="Y1739" s="48"/>
      <c r="Z1739" s="47"/>
      <c r="AA1739" s="69">
        <v>1739</v>
      </c>
      <c r="AB1739" s="69"/>
      <c r="AC1739" s="70"/>
      <c r="AD1739" s="76" t="s">
        <v>22947</v>
      </c>
      <c r="AE1739" s="81" t="s">
        <v>21151</v>
      </c>
      <c r="AF1739" s="76">
        <v>21</v>
      </c>
      <c r="AG1739" s="76">
        <v>16</v>
      </c>
      <c r="AH1739" s="76">
        <v>170</v>
      </c>
      <c r="AI1739" s="76">
        <v>0</v>
      </c>
      <c r="AJ1739" s="76">
        <v>44</v>
      </c>
      <c r="AK1739" s="76">
        <v>81</v>
      </c>
      <c r="AL1739" s="76" t="b">
        <v>0</v>
      </c>
      <c r="AM1739" s="78">
        <v>44992.720231481479</v>
      </c>
      <c r="AN1739" s="76" t="s">
        <v>24076</v>
      </c>
      <c r="AO1739" s="76" t="s">
        <v>26252</v>
      </c>
      <c r="AP1739" s="82" t="str">
        <f>HYPERLINK("https://t.co/ETtmhXGNB1")</f>
        <v>https://t.co/ETtmhXGNB1</v>
      </c>
      <c r="AQ1739" s="82" t="str">
        <f>HYPERLINK("https://www.youtube.com/channel/UC2lDTxAcf7fNKJj3SDd7ULQ")</f>
        <v>https://www.youtube.com/channel/UC2lDTxAcf7fNKJj3SDd7ULQ</v>
      </c>
      <c r="AR1739" s="76" t="s">
        <v>27302</v>
      </c>
      <c r="AS1739" s="76"/>
      <c r="AT1739" s="76"/>
      <c r="AU1739" s="76"/>
      <c r="AV1739" s="76"/>
      <c r="AW1739" s="82" t="str">
        <f>HYPERLINK("https://t.co/ETtmhXGNB1")</f>
        <v>https://t.co/ETtmhXGNB1</v>
      </c>
      <c r="AX1739" s="76" t="b">
        <v>0</v>
      </c>
      <c r="AY1739" s="76"/>
      <c r="AZ1739" s="76"/>
      <c r="BA1739" s="76" t="b">
        <v>0</v>
      </c>
      <c r="BB1739" s="76" t="b">
        <v>1</v>
      </c>
      <c r="BC1739" s="76" t="b">
        <v>1</v>
      </c>
      <c r="BD1739" s="76" t="b">
        <v>0</v>
      </c>
      <c r="BE1739" s="76" t="b">
        <v>0</v>
      </c>
      <c r="BF1739" s="76" t="b">
        <v>0</v>
      </c>
      <c r="BG1739" s="76" t="b">
        <v>0</v>
      </c>
      <c r="BH1739" s="82" t="str">
        <f>HYPERLINK("https://pbs.twimg.com/profile_banners/1633154754384736256/1678244779")</f>
        <v>https://pbs.twimg.com/profile_banners/1633154754384736256/1678244779</v>
      </c>
      <c r="BI1739" s="76"/>
      <c r="BJ1739" s="76" t="s">
        <v>27595</v>
      </c>
      <c r="BK1739" s="76" t="b">
        <v>0</v>
      </c>
      <c r="BL1739" s="76"/>
      <c r="BM1739" s="76" t="s">
        <v>66</v>
      </c>
      <c r="BN1739" s="76" t="s">
        <v>27597</v>
      </c>
      <c r="BO1739" s="82" t="str">
        <f>HYPERLINK("https://twitter.com/gotrader_x")</f>
        <v>https://twitter.com/gotrader_x</v>
      </c>
      <c r="BP1739" s="2"/>
    </row>
    <row r="1740" spans="1:68" x14ac:dyDescent="0.25">
      <c r="A1740" s="62" t="s">
        <v>1572</v>
      </c>
      <c r="B1740" s="63"/>
      <c r="C1740" s="63"/>
      <c r="D1740" s="64"/>
      <c r="E1740" s="66"/>
      <c r="F1740" s="103" t="str">
        <f>HYPERLINK("https://pbs.twimg.com/profile_images/1669755905741664259/IRfnCMwP_normal.jpg")</f>
        <v>https://pbs.twimg.com/profile_images/1669755905741664259/IRfnCMwP_normal.jpg</v>
      </c>
      <c r="G1740" s="63"/>
      <c r="H1740" s="67"/>
      <c r="I1740" s="68"/>
      <c r="J1740" s="68"/>
      <c r="K1740" s="67" t="s">
        <v>29334</v>
      </c>
      <c r="L1740" s="71"/>
      <c r="M1740" s="72"/>
      <c r="N1740" s="72"/>
      <c r="O1740" s="73"/>
      <c r="P1740" s="74"/>
      <c r="Q1740" s="74"/>
      <c r="R1740" s="87"/>
      <c r="S1740" s="87"/>
      <c r="T1740" s="87"/>
      <c r="U1740" s="87"/>
      <c r="V1740" s="48"/>
      <c r="W1740" s="48"/>
      <c r="X1740" s="48"/>
      <c r="Y1740" s="48"/>
      <c r="Z1740" s="47"/>
      <c r="AA1740" s="69">
        <v>1740</v>
      </c>
      <c r="AB1740" s="69"/>
      <c r="AC1740" s="70"/>
      <c r="AD1740" s="76" t="s">
        <v>22948</v>
      </c>
      <c r="AE1740" s="81" t="s">
        <v>21152</v>
      </c>
      <c r="AF1740" s="76">
        <v>52</v>
      </c>
      <c r="AG1740" s="76">
        <v>268</v>
      </c>
      <c r="AH1740" s="76">
        <v>1397</v>
      </c>
      <c r="AI1740" s="76">
        <v>0</v>
      </c>
      <c r="AJ1740" s="76">
        <v>2836</v>
      </c>
      <c r="AK1740" s="76">
        <v>158</v>
      </c>
      <c r="AL1740" s="76" t="b">
        <v>0</v>
      </c>
      <c r="AM1740" s="78">
        <v>43985.661273148151</v>
      </c>
      <c r="AN1740" s="76"/>
      <c r="AO1740" s="76" t="s">
        <v>26253</v>
      </c>
      <c r="AP1740" s="82" t="str">
        <f>HYPERLINK("https://t.co/llhdxWbly1")</f>
        <v>https://t.co/llhdxWbly1</v>
      </c>
      <c r="AQ1740" s="82" t="str">
        <f>HYPERLINK("http://www.uern.br/professor/aurismartins")</f>
        <v>http://www.uern.br/professor/aurismartins</v>
      </c>
      <c r="AR1740" s="76" t="s">
        <v>27303</v>
      </c>
      <c r="AS1740" s="76"/>
      <c r="AT1740" s="76"/>
      <c r="AU1740" s="76"/>
      <c r="AV1740" s="76"/>
      <c r="AW1740" s="82" t="str">
        <f>HYPERLINK("https://t.co/llhdxWbly1")</f>
        <v>https://t.co/llhdxWbly1</v>
      </c>
      <c r="AX1740" s="76" t="b">
        <v>0</v>
      </c>
      <c r="AY1740" s="76"/>
      <c r="AZ1740" s="76"/>
      <c r="BA1740" s="76" t="b">
        <v>0</v>
      </c>
      <c r="BB1740" s="76" t="b">
        <v>1</v>
      </c>
      <c r="BC1740" s="76" t="b">
        <v>1</v>
      </c>
      <c r="BD1740" s="76" t="b">
        <v>0</v>
      </c>
      <c r="BE1740" s="76" t="b">
        <v>0</v>
      </c>
      <c r="BF1740" s="76" t="b">
        <v>0</v>
      </c>
      <c r="BG1740" s="76" t="b">
        <v>0</v>
      </c>
      <c r="BH1740" s="82" t="str">
        <f>HYPERLINK("https://pbs.twimg.com/profile_banners/1268208773287591942/1593882927")</f>
        <v>https://pbs.twimg.com/profile_banners/1268208773287591942/1593882927</v>
      </c>
      <c r="BI1740" s="76"/>
      <c r="BJ1740" s="76" t="s">
        <v>27595</v>
      </c>
      <c r="BK1740" s="76" t="b">
        <v>0</v>
      </c>
      <c r="BL1740" s="76"/>
      <c r="BM1740" s="76" t="s">
        <v>66</v>
      </c>
      <c r="BN1740" s="76" t="s">
        <v>27597</v>
      </c>
      <c r="BO1740" s="82" t="str">
        <f>HYPERLINK("https://twitter.com/aurismartins")</f>
        <v>https://twitter.com/aurismartins</v>
      </c>
      <c r="BP1740" s="2"/>
    </row>
    <row r="1741" spans="1:68" x14ac:dyDescent="0.25">
      <c r="A1741" s="62" t="s">
        <v>1573</v>
      </c>
      <c r="B1741" s="63"/>
      <c r="C1741" s="63"/>
      <c r="D1741" s="64"/>
      <c r="E1741" s="66"/>
      <c r="F1741" s="103" t="str">
        <f>HYPERLINK("https://pbs.twimg.com/profile_images/1676674215133564955/Z-hKfUqv_normal.jpg")</f>
        <v>https://pbs.twimg.com/profile_images/1676674215133564955/Z-hKfUqv_normal.jpg</v>
      </c>
      <c r="G1741" s="63"/>
      <c r="H1741" s="67"/>
      <c r="I1741" s="68"/>
      <c r="J1741" s="68"/>
      <c r="K1741" s="67" t="s">
        <v>29335</v>
      </c>
      <c r="L1741" s="71"/>
      <c r="M1741" s="72"/>
      <c r="N1741" s="72"/>
      <c r="O1741" s="73"/>
      <c r="P1741" s="74"/>
      <c r="Q1741" s="74"/>
      <c r="R1741" s="87"/>
      <c r="S1741" s="87"/>
      <c r="T1741" s="87"/>
      <c r="U1741" s="87"/>
      <c r="V1741" s="48"/>
      <c r="W1741" s="48"/>
      <c r="X1741" s="48"/>
      <c r="Y1741" s="48"/>
      <c r="Z1741" s="47"/>
      <c r="AA1741" s="69">
        <v>1741</v>
      </c>
      <c r="AB1741" s="69"/>
      <c r="AC1741" s="70"/>
      <c r="AD1741" s="76" t="s">
        <v>22949</v>
      </c>
      <c r="AE1741" s="81" t="s">
        <v>21153</v>
      </c>
      <c r="AF1741" s="76">
        <v>15</v>
      </c>
      <c r="AG1741" s="76">
        <v>12</v>
      </c>
      <c r="AH1741" s="76">
        <v>66</v>
      </c>
      <c r="AI1741" s="76">
        <v>0</v>
      </c>
      <c r="AJ1741" s="76">
        <v>1</v>
      </c>
      <c r="AK1741" s="76">
        <v>13</v>
      </c>
      <c r="AL1741" s="76" t="b">
        <v>0</v>
      </c>
      <c r="AM1741" s="78">
        <v>45110.689351851855</v>
      </c>
      <c r="AN1741" s="76" t="s">
        <v>14382</v>
      </c>
      <c r="AO1741" s="76" t="s">
        <v>26254</v>
      </c>
      <c r="AP1741" s="76"/>
      <c r="AQ1741" s="76"/>
      <c r="AR1741" s="76"/>
      <c r="AS1741" s="76"/>
      <c r="AT1741" s="76"/>
      <c r="AU1741" s="76"/>
      <c r="AV1741" s="76"/>
      <c r="AW1741" s="76"/>
      <c r="AX1741" s="76" t="b">
        <v>0</v>
      </c>
      <c r="AY1741" s="76"/>
      <c r="AZ1741" s="76"/>
      <c r="BA1741" s="76" t="b">
        <v>0</v>
      </c>
      <c r="BB1741" s="76" t="b">
        <v>1</v>
      </c>
      <c r="BC1741" s="76" t="b">
        <v>1</v>
      </c>
      <c r="BD1741" s="76" t="b">
        <v>0</v>
      </c>
      <c r="BE1741" s="76" t="b">
        <v>0</v>
      </c>
      <c r="BF1741" s="76" t="b">
        <v>0</v>
      </c>
      <c r="BG1741" s="76" t="b">
        <v>0</v>
      </c>
      <c r="BH1741" s="82" t="str">
        <f>HYPERLINK("https://pbs.twimg.com/profile_banners/1675905318298038281/1688589372")</f>
        <v>https://pbs.twimg.com/profile_banners/1675905318298038281/1688589372</v>
      </c>
      <c r="BI1741" s="76"/>
      <c r="BJ1741" s="76" t="s">
        <v>27595</v>
      </c>
      <c r="BK1741" s="76" t="b">
        <v>0</v>
      </c>
      <c r="BL1741" s="76"/>
      <c r="BM1741" s="76" t="s">
        <v>66</v>
      </c>
      <c r="BN1741" s="76" t="s">
        <v>27597</v>
      </c>
      <c r="BO1741" s="82" t="str">
        <f>HYPERLINK("https://twitter.com/ditaduranews")</f>
        <v>https://twitter.com/ditaduranews</v>
      </c>
      <c r="BP1741" s="2"/>
    </row>
    <row r="1742" spans="1:68" x14ac:dyDescent="0.25">
      <c r="A1742" s="62" t="s">
        <v>1574</v>
      </c>
      <c r="B1742" s="63"/>
      <c r="C1742" s="63"/>
      <c r="D1742" s="64"/>
      <c r="E1742" s="66"/>
      <c r="F1742" s="103" t="str">
        <f>HYPERLINK("https://pbs.twimg.com/profile_images/1616696220965130240/PkK1v-kw_normal.jpg")</f>
        <v>https://pbs.twimg.com/profile_images/1616696220965130240/PkK1v-kw_normal.jpg</v>
      </c>
      <c r="G1742" s="63"/>
      <c r="H1742" s="67"/>
      <c r="I1742" s="68"/>
      <c r="J1742" s="68"/>
      <c r="K1742" s="67" t="s">
        <v>29336</v>
      </c>
      <c r="L1742" s="71"/>
      <c r="M1742" s="72"/>
      <c r="N1742" s="72"/>
      <c r="O1742" s="73"/>
      <c r="P1742" s="74"/>
      <c r="Q1742" s="74"/>
      <c r="R1742" s="87"/>
      <c r="S1742" s="87"/>
      <c r="T1742" s="87"/>
      <c r="U1742" s="87"/>
      <c r="V1742" s="48"/>
      <c r="W1742" s="48"/>
      <c r="X1742" s="48"/>
      <c r="Y1742" s="48"/>
      <c r="Z1742" s="47"/>
      <c r="AA1742" s="69">
        <v>1742</v>
      </c>
      <c r="AB1742" s="69"/>
      <c r="AC1742" s="70"/>
      <c r="AD1742" s="76" t="s">
        <v>22950</v>
      </c>
      <c r="AE1742" s="81" t="s">
        <v>21154</v>
      </c>
      <c r="AF1742" s="76">
        <v>4164</v>
      </c>
      <c r="AG1742" s="76">
        <v>3376</v>
      </c>
      <c r="AH1742" s="76">
        <v>9355</v>
      </c>
      <c r="AI1742" s="76">
        <v>2</v>
      </c>
      <c r="AJ1742" s="76">
        <v>5511</v>
      </c>
      <c r="AK1742" s="76">
        <v>1588</v>
      </c>
      <c r="AL1742" s="76" t="b">
        <v>0</v>
      </c>
      <c r="AM1742" s="78">
        <v>43129.023599537039</v>
      </c>
      <c r="AN1742" s="76" t="s">
        <v>24671</v>
      </c>
      <c r="AO1742" s="76" t="s">
        <v>26255</v>
      </c>
      <c r="AP1742" s="82" t="str">
        <f>HYPERLINK("https://t.co/uJONAZTxpM")</f>
        <v>https://t.co/uJONAZTxpM</v>
      </c>
      <c r="AQ1742" s="82" t="str">
        <f>HYPERLINK("http://direitasergipana.com")</f>
        <v>http://direitasergipana.com</v>
      </c>
      <c r="AR1742" s="76" t="s">
        <v>27304</v>
      </c>
      <c r="AS1742" s="76"/>
      <c r="AT1742" s="76"/>
      <c r="AU1742" s="76"/>
      <c r="AV1742" s="76"/>
      <c r="AW1742" s="82" t="str">
        <f>HYPERLINK("https://t.co/uJONAZTxpM")</f>
        <v>https://t.co/uJONAZTxpM</v>
      </c>
      <c r="AX1742" s="76" t="b">
        <v>0</v>
      </c>
      <c r="AY1742" s="76"/>
      <c r="AZ1742" s="76"/>
      <c r="BA1742" s="76" t="b">
        <v>1</v>
      </c>
      <c r="BB1742" s="76" t="b">
        <v>1</v>
      </c>
      <c r="BC1742" s="76" t="b">
        <v>1</v>
      </c>
      <c r="BD1742" s="76" t="b">
        <v>0</v>
      </c>
      <c r="BE1742" s="76" t="b">
        <v>1</v>
      </c>
      <c r="BF1742" s="76" t="b">
        <v>0</v>
      </c>
      <c r="BG1742" s="76" t="b">
        <v>0</v>
      </c>
      <c r="BH1742" s="82" t="str">
        <f>HYPERLINK("https://pbs.twimg.com/profile_banners/957773782118227968/1644450881")</f>
        <v>https://pbs.twimg.com/profile_banners/957773782118227968/1644450881</v>
      </c>
      <c r="BI1742" s="76"/>
      <c r="BJ1742" s="76" t="s">
        <v>27595</v>
      </c>
      <c r="BK1742" s="76" t="b">
        <v>0</v>
      </c>
      <c r="BL1742" s="76"/>
      <c r="BM1742" s="76" t="s">
        <v>66</v>
      </c>
      <c r="BN1742" s="76" t="s">
        <v>27597</v>
      </c>
      <c r="BO1742" s="82" t="str">
        <f>HYPERLINK("https://twitter.com/direita_sergipe")</f>
        <v>https://twitter.com/direita_sergipe</v>
      </c>
      <c r="BP1742" s="2"/>
    </row>
    <row r="1743" spans="1:68" x14ac:dyDescent="0.25">
      <c r="A1743" s="62" t="s">
        <v>1576</v>
      </c>
      <c r="B1743" s="63"/>
      <c r="C1743" s="63"/>
      <c r="D1743" s="64"/>
      <c r="E1743" s="66"/>
      <c r="F1743" s="103" t="str">
        <f>HYPERLINK("https://pbs.twimg.com/profile_images/1515530168273616896/c9xK9DeG_normal.jpg")</f>
        <v>https://pbs.twimg.com/profile_images/1515530168273616896/c9xK9DeG_normal.jpg</v>
      </c>
      <c r="G1743" s="63"/>
      <c r="H1743" s="67"/>
      <c r="I1743" s="68"/>
      <c r="J1743" s="68"/>
      <c r="K1743" s="67" t="s">
        <v>29337</v>
      </c>
      <c r="L1743" s="71"/>
      <c r="M1743" s="72"/>
      <c r="N1743" s="72"/>
      <c r="O1743" s="73"/>
      <c r="P1743" s="74"/>
      <c r="Q1743" s="74"/>
      <c r="R1743" s="87"/>
      <c r="S1743" s="87"/>
      <c r="T1743" s="87"/>
      <c r="U1743" s="87"/>
      <c r="V1743" s="48"/>
      <c r="W1743" s="48"/>
      <c r="X1743" s="48"/>
      <c r="Y1743" s="48"/>
      <c r="Z1743" s="47"/>
      <c r="AA1743" s="69">
        <v>1743</v>
      </c>
      <c r="AB1743" s="69"/>
      <c r="AC1743" s="70"/>
      <c r="AD1743" s="76" t="s">
        <v>22951</v>
      </c>
      <c r="AE1743" s="81" t="s">
        <v>21155</v>
      </c>
      <c r="AF1743" s="76">
        <v>44</v>
      </c>
      <c r="AG1743" s="76">
        <v>232</v>
      </c>
      <c r="AH1743" s="76">
        <v>12610</v>
      </c>
      <c r="AI1743" s="76">
        <v>0</v>
      </c>
      <c r="AJ1743" s="76">
        <v>17241</v>
      </c>
      <c r="AK1743" s="76">
        <v>1</v>
      </c>
      <c r="AL1743" s="76" t="b">
        <v>0</v>
      </c>
      <c r="AM1743" s="78">
        <v>44668.137997685182</v>
      </c>
      <c r="AN1743" s="76"/>
      <c r="AO1743" s="76"/>
      <c r="AP1743" s="76"/>
      <c r="AQ1743" s="76"/>
      <c r="AR1743" s="76"/>
      <c r="AS1743" s="76"/>
      <c r="AT1743" s="76"/>
      <c r="AU1743" s="76"/>
      <c r="AV1743" s="76"/>
      <c r="AW1743" s="76"/>
      <c r="AX1743" s="76" t="b">
        <v>0</v>
      </c>
      <c r="AY1743" s="76"/>
      <c r="AZ1743" s="76"/>
      <c r="BA1743" s="76" t="b">
        <v>0</v>
      </c>
      <c r="BB1743" s="76" t="b">
        <v>1</v>
      </c>
      <c r="BC1743" s="76" t="b">
        <v>1</v>
      </c>
      <c r="BD1743" s="76" t="b">
        <v>0</v>
      </c>
      <c r="BE1743" s="76" t="b">
        <v>0</v>
      </c>
      <c r="BF1743" s="76" t="b">
        <v>0</v>
      </c>
      <c r="BG1743" s="76" t="b">
        <v>0</v>
      </c>
      <c r="BH1743" s="76"/>
      <c r="BI1743" s="76"/>
      <c r="BJ1743" s="76" t="s">
        <v>27595</v>
      </c>
      <c r="BK1743" s="76" t="b">
        <v>0</v>
      </c>
      <c r="BL1743" s="76"/>
      <c r="BM1743" s="76" t="s">
        <v>66</v>
      </c>
      <c r="BN1743" s="76" t="s">
        <v>27597</v>
      </c>
      <c r="BO1743" s="82" t="str">
        <f>HYPERLINK("https://twitter.com/marizethyoshida")</f>
        <v>https://twitter.com/marizethyoshida</v>
      </c>
      <c r="BP1743" s="2"/>
    </row>
    <row r="1744" spans="1:68" x14ac:dyDescent="0.25">
      <c r="A1744" s="62" t="s">
        <v>1577</v>
      </c>
      <c r="B1744" s="63"/>
      <c r="C1744" s="63"/>
      <c r="D1744" s="64"/>
      <c r="E1744" s="66"/>
      <c r="F1744" s="103" t="str">
        <f>HYPERLINK("https://pbs.twimg.com/profile_images/1671955818168680449/yV962py6_normal.jpg")</f>
        <v>https://pbs.twimg.com/profile_images/1671955818168680449/yV962py6_normal.jpg</v>
      </c>
      <c r="G1744" s="63"/>
      <c r="H1744" s="67"/>
      <c r="I1744" s="68"/>
      <c r="J1744" s="68"/>
      <c r="K1744" s="67" t="s">
        <v>29338</v>
      </c>
      <c r="L1744" s="71"/>
      <c r="M1744" s="72"/>
      <c r="N1744" s="72"/>
      <c r="O1744" s="73"/>
      <c r="P1744" s="74"/>
      <c r="Q1744" s="74"/>
      <c r="R1744" s="87"/>
      <c r="S1744" s="87"/>
      <c r="T1744" s="87"/>
      <c r="U1744" s="87"/>
      <c r="V1744" s="48"/>
      <c r="W1744" s="48"/>
      <c r="X1744" s="48"/>
      <c r="Y1744" s="48"/>
      <c r="Z1744" s="47"/>
      <c r="AA1744" s="69">
        <v>1744</v>
      </c>
      <c r="AB1744" s="69"/>
      <c r="AC1744" s="70"/>
      <c r="AD1744" s="76" t="s">
        <v>22952</v>
      </c>
      <c r="AE1744" s="81" t="s">
        <v>23980</v>
      </c>
      <c r="AF1744" s="76">
        <v>5172</v>
      </c>
      <c r="AG1744" s="76">
        <v>822</v>
      </c>
      <c r="AH1744" s="76">
        <v>9323</v>
      </c>
      <c r="AI1744" s="76">
        <v>24</v>
      </c>
      <c r="AJ1744" s="76">
        <v>404</v>
      </c>
      <c r="AK1744" s="76">
        <v>3455</v>
      </c>
      <c r="AL1744" s="76" t="b">
        <v>0</v>
      </c>
      <c r="AM1744" s="78">
        <v>42252.682395833333</v>
      </c>
      <c r="AN1744" s="76" t="s">
        <v>14381</v>
      </c>
      <c r="AO1744" s="76" t="s">
        <v>26256</v>
      </c>
      <c r="AP1744" s="82" t="str">
        <f>HYPERLINK("https://t.co/9i9NxBq29j")</f>
        <v>https://t.co/9i9NxBq29j</v>
      </c>
      <c r="AQ1744" s="82" t="str">
        <f>HYPERLINK("https://www.youtube.com/channel/UCQH2LprcMdbXVvfk4Pwfv4g")</f>
        <v>https://www.youtube.com/channel/UCQH2LprcMdbXVvfk4Pwfv4g</v>
      </c>
      <c r="AR1744" s="76" t="s">
        <v>27305</v>
      </c>
      <c r="AS1744" s="76"/>
      <c r="AT1744" s="76"/>
      <c r="AU1744" s="76"/>
      <c r="AV1744" s="76">
        <v>1.70567928735171E+18</v>
      </c>
      <c r="AW1744" s="82" t="str">
        <f>HYPERLINK("https://t.co/9i9NxBq29j")</f>
        <v>https://t.co/9i9NxBq29j</v>
      </c>
      <c r="AX1744" s="76" t="b">
        <v>0</v>
      </c>
      <c r="AY1744" s="76"/>
      <c r="AZ1744" s="76"/>
      <c r="BA1744" s="76" t="b">
        <v>0</v>
      </c>
      <c r="BB1744" s="76" t="b">
        <v>1</v>
      </c>
      <c r="BC1744" s="76" t="b">
        <v>1</v>
      </c>
      <c r="BD1744" s="76" t="b">
        <v>0</v>
      </c>
      <c r="BE1744" s="76" t="b">
        <v>0</v>
      </c>
      <c r="BF1744" s="76" t="b">
        <v>0</v>
      </c>
      <c r="BG1744" s="76" t="b">
        <v>0</v>
      </c>
      <c r="BH1744" s="82" t="str">
        <f>HYPERLINK("https://pbs.twimg.com/profile_banners/3557179948/1688480976")</f>
        <v>https://pbs.twimg.com/profile_banners/3557179948/1688480976</v>
      </c>
      <c r="BI1744" s="76"/>
      <c r="BJ1744" s="76" t="s">
        <v>27595</v>
      </c>
      <c r="BK1744" s="76" t="b">
        <v>0</v>
      </c>
      <c r="BL1744" s="76"/>
      <c r="BM1744" s="76" t="s">
        <v>66</v>
      </c>
      <c r="BN1744" s="76" t="s">
        <v>27597</v>
      </c>
      <c r="BO1744" s="82" t="str">
        <f>HYPERLINK("https://twitter.com/panoramaentv")</f>
        <v>https://twitter.com/panoramaentv</v>
      </c>
      <c r="BP1744" s="2"/>
    </row>
    <row r="1745" spans="1:68" x14ac:dyDescent="0.25">
      <c r="A1745" s="62" t="s">
        <v>1578</v>
      </c>
      <c r="B1745" s="63"/>
      <c r="C1745" s="63"/>
      <c r="D1745" s="64"/>
      <c r="E1745" s="66"/>
      <c r="F1745" s="103" t="str">
        <f>HYPERLINK("https://pbs.twimg.com/profile_images/1009822551621632000/93cclxqs_normal.jpg")</f>
        <v>https://pbs.twimg.com/profile_images/1009822551621632000/93cclxqs_normal.jpg</v>
      </c>
      <c r="G1745" s="63"/>
      <c r="H1745" s="67"/>
      <c r="I1745" s="68"/>
      <c r="J1745" s="68"/>
      <c r="K1745" s="67" t="s">
        <v>29339</v>
      </c>
      <c r="L1745" s="71"/>
      <c r="M1745" s="72"/>
      <c r="N1745" s="72"/>
      <c r="O1745" s="73"/>
      <c r="P1745" s="74"/>
      <c r="Q1745" s="74"/>
      <c r="R1745" s="87"/>
      <c r="S1745" s="87"/>
      <c r="T1745" s="87"/>
      <c r="U1745" s="87"/>
      <c r="V1745" s="48"/>
      <c r="W1745" s="48"/>
      <c r="X1745" s="48"/>
      <c r="Y1745" s="48"/>
      <c r="Z1745" s="47"/>
      <c r="AA1745" s="69">
        <v>1745</v>
      </c>
      <c r="AB1745" s="69"/>
      <c r="AC1745" s="70"/>
      <c r="AD1745" s="76" t="s">
        <v>22953</v>
      </c>
      <c r="AE1745" s="81" t="s">
        <v>21156</v>
      </c>
      <c r="AF1745" s="76">
        <v>1122</v>
      </c>
      <c r="AG1745" s="76">
        <v>1915</v>
      </c>
      <c r="AH1745" s="76">
        <v>8936</v>
      </c>
      <c r="AI1745" s="76">
        <v>7</v>
      </c>
      <c r="AJ1745" s="76">
        <v>0</v>
      </c>
      <c r="AK1745" s="76">
        <v>762</v>
      </c>
      <c r="AL1745" s="76" t="b">
        <v>0</v>
      </c>
      <c r="AM1745" s="78">
        <v>43179.806006944447</v>
      </c>
      <c r="AN1745" s="76" t="s">
        <v>24114</v>
      </c>
      <c r="AO1745" s="76" t="s">
        <v>26257</v>
      </c>
      <c r="AP1745" s="82" t="str">
        <f>HYPERLINK("https://t.co/EXpmXJ7veQ")</f>
        <v>https://t.co/EXpmXJ7veQ</v>
      </c>
      <c r="AQ1745" s="82" t="str">
        <f>HYPERLINK("http://www.Agrolatam.com")</f>
        <v>http://www.Agrolatam.com</v>
      </c>
      <c r="AR1745" s="76" t="s">
        <v>27306</v>
      </c>
      <c r="AS1745" s="76"/>
      <c r="AT1745" s="76"/>
      <c r="AU1745" s="76"/>
      <c r="AV1745" s="76"/>
      <c r="AW1745" s="82" t="str">
        <f>HYPERLINK("https://t.co/EXpmXJ7veQ")</f>
        <v>https://t.co/EXpmXJ7veQ</v>
      </c>
      <c r="AX1745" s="76" t="b">
        <v>0</v>
      </c>
      <c r="AY1745" s="76"/>
      <c r="AZ1745" s="76"/>
      <c r="BA1745" s="76" t="b">
        <v>0</v>
      </c>
      <c r="BB1745" s="76" t="b">
        <v>1</v>
      </c>
      <c r="BC1745" s="76" t="b">
        <v>1</v>
      </c>
      <c r="BD1745" s="76" t="b">
        <v>0</v>
      </c>
      <c r="BE1745" s="76" t="b">
        <v>0</v>
      </c>
      <c r="BF1745" s="76" t="b">
        <v>0</v>
      </c>
      <c r="BG1745" s="76" t="b">
        <v>0</v>
      </c>
      <c r="BH1745" s="82" t="str">
        <f>HYPERLINK("https://pbs.twimg.com/profile_banners/976176714467463168/1529595470")</f>
        <v>https://pbs.twimg.com/profile_banners/976176714467463168/1529595470</v>
      </c>
      <c r="BI1745" s="76"/>
      <c r="BJ1745" s="76" t="s">
        <v>27595</v>
      </c>
      <c r="BK1745" s="76" t="b">
        <v>0</v>
      </c>
      <c r="BL1745" s="76"/>
      <c r="BM1745" s="76" t="s">
        <v>66</v>
      </c>
      <c r="BN1745" s="76" t="s">
        <v>27597</v>
      </c>
      <c r="BO1745" s="82" t="str">
        <f>HYPERLINK("https://twitter.com/agrolatamarg")</f>
        <v>https://twitter.com/agrolatamarg</v>
      </c>
      <c r="BP1745" s="2"/>
    </row>
    <row r="1746" spans="1:68" x14ac:dyDescent="0.25">
      <c r="A1746" s="62" t="s">
        <v>1579</v>
      </c>
      <c r="B1746" s="63"/>
      <c r="C1746" s="63"/>
      <c r="D1746" s="64"/>
      <c r="E1746" s="66"/>
      <c r="F1746" s="103" t="str">
        <f>HYPERLINK("https://pbs.twimg.com/profile_images/1644737496809369601/laCgIZpL_normal.jpg")</f>
        <v>https://pbs.twimg.com/profile_images/1644737496809369601/laCgIZpL_normal.jpg</v>
      </c>
      <c r="G1746" s="63"/>
      <c r="H1746" s="67"/>
      <c r="I1746" s="68"/>
      <c r="J1746" s="68"/>
      <c r="K1746" s="67" t="s">
        <v>29340</v>
      </c>
      <c r="L1746" s="71"/>
      <c r="M1746" s="72"/>
      <c r="N1746" s="72"/>
      <c r="O1746" s="73"/>
      <c r="P1746" s="74"/>
      <c r="Q1746" s="74"/>
      <c r="R1746" s="87"/>
      <c r="S1746" s="87"/>
      <c r="T1746" s="87"/>
      <c r="U1746" s="87"/>
      <c r="V1746" s="48"/>
      <c r="W1746" s="48"/>
      <c r="X1746" s="48"/>
      <c r="Y1746" s="48"/>
      <c r="Z1746" s="47"/>
      <c r="AA1746" s="69">
        <v>1746</v>
      </c>
      <c r="AB1746" s="69"/>
      <c r="AC1746" s="70"/>
      <c r="AD1746" s="76" t="s">
        <v>22954</v>
      </c>
      <c r="AE1746" s="81" t="s">
        <v>23981</v>
      </c>
      <c r="AF1746" s="76">
        <v>175</v>
      </c>
      <c r="AG1746" s="76">
        <v>736</v>
      </c>
      <c r="AH1746" s="76">
        <v>18804</v>
      </c>
      <c r="AI1746" s="76">
        <v>1</v>
      </c>
      <c r="AJ1746" s="76">
        <v>4809</v>
      </c>
      <c r="AK1746" s="76">
        <v>12317</v>
      </c>
      <c r="AL1746" s="76" t="b">
        <v>0</v>
      </c>
      <c r="AM1746" s="78">
        <v>41334.579976851855</v>
      </c>
      <c r="AN1746" s="76" t="s">
        <v>24672</v>
      </c>
      <c r="AO1746" s="76"/>
      <c r="AP1746" s="82" t="str">
        <f>HYPERLINK("https://t.co/arVxgQebOo")</f>
        <v>https://t.co/arVxgQebOo</v>
      </c>
      <c r="AQ1746" s="82" t="str">
        <f>HYPERLINK("https://enicomputer.com.br")</f>
        <v>https://enicomputer.com.br</v>
      </c>
      <c r="AR1746" s="76" t="s">
        <v>27307</v>
      </c>
      <c r="AS1746" s="76"/>
      <c r="AT1746" s="76"/>
      <c r="AU1746" s="76"/>
      <c r="AV1746" s="76">
        <v>1.1833638701628401E+18</v>
      </c>
      <c r="AW1746" s="82" t="str">
        <f>HYPERLINK("https://t.co/arVxgQebOo")</f>
        <v>https://t.co/arVxgQebOo</v>
      </c>
      <c r="AX1746" s="76" t="b">
        <v>0</v>
      </c>
      <c r="AY1746" s="76"/>
      <c r="AZ1746" s="76"/>
      <c r="BA1746" s="76" t="b">
        <v>0</v>
      </c>
      <c r="BB1746" s="76" t="b">
        <v>1</v>
      </c>
      <c r="BC1746" s="76" t="b">
        <v>0</v>
      </c>
      <c r="BD1746" s="76" t="b">
        <v>0</v>
      </c>
      <c r="BE1746" s="76" t="b">
        <v>1</v>
      </c>
      <c r="BF1746" s="76" t="b">
        <v>0</v>
      </c>
      <c r="BG1746" s="76" t="b">
        <v>0</v>
      </c>
      <c r="BH1746" s="82" t="str">
        <f>HYPERLINK("https://pbs.twimg.com/profile_banners/1229893772/1680971252")</f>
        <v>https://pbs.twimg.com/profile_banners/1229893772/1680971252</v>
      </c>
      <c r="BI1746" s="76"/>
      <c r="BJ1746" s="76" t="s">
        <v>27595</v>
      </c>
      <c r="BK1746" s="76" t="b">
        <v>0</v>
      </c>
      <c r="BL1746" s="76"/>
      <c r="BM1746" s="76" t="s">
        <v>66</v>
      </c>
      <c r="BN1746" s="76" t="s">
        <v>27597</v>
      </c>
      <c r="BO1746" s="82" t="str">
        <f>HYPERLINK("https://twitter.com/enicomputer")</f>
        <v>https://twitter.com/enicomputer</v>
      </c>
      <c r="BP1746" s="2"/>
    </row>
    <row r="1747" spans="1:68" x14ac:dyDescent="0.25">
      <c r="A1747" s="62" t="s">
        <v>1580</v>
      </c>
      <c r="B1747" s="63"/>
      <c r="C1747" s="63"/>
      <c r="D1747" s="64"/>
      <c r="E1747" s="66"/>
      <c r="F1747" s="103" t="str">
        <f>HYPERLINK("https://pbs.twimg.com/profile_images/1033816712586690560/PVpioskz_normal.jpg")</f>
        <v>https://pbs.twimg.com/profile_images/1033816712586690560/PVpioskz_normal.jpg</v>
      </c>
      <c r="G1747" s="63"/>
      <c r="H1747" s="67"/>
      <c r="I1747" s="68"/>
      <c r="J1747" s="68"/>
      <c r="K1747" s="67" t="s">
        <v>29341</v>
      </c>
      <c r="L1747" s="71"/>
      <c r="M1747" s="72"/>
      <c r="N1747" s="72"/>
      <c r="O1747" s="73"/>
      <c r="P1747" s="74"/>
      <c r="Q1747" s="74"/>
      <c r="R1747" s="87"/>
      <c r="S1747" s="87"/>
      <c r="T1747" s="87"/>
      <c r="U1747" s="87"/>
      <c r="V1747" s="48"/>
      <c r="W1747" s="48"/>
      <c r="X1747" s="48"/>
      <c r="Y1747" s="48"/>
      <c r="Z1747" s="47"/>
      <c r="AA1747" s="69">
        <v>1747</v>
      </c>
      <c r="AB1747" s="69"/>
      <c r="AC1747" s="70"/>
      <c r="AD1747" s="76" t="s">
        <v>22955</v>
      </c>
      <c r="AE1747" s="81" t="s">
        <v>23982</v>
      </c>
      <c r="AF1747" s="76">
        <v>205</v>
      </c>
      <c r="AG1747" s="76">
        <v>188</v>
      </c>
      <c r="AH1747" s="76">
        <v>6549</v>
      </c>
      <c r="AI1747" s="76">
        <v>2</v>
      </c>
      <c r="AJ1747" s="76">
        <v>2829</v>
      </c>
      <c r="AK1747" s="76">
        <v>77</v>
      </c>
      <c r="AL1747" s="76" t="b">
        <v>0</v>
      </c>
      <c r="AM1747" s="78">
        <v>40241.848553240743</v>
      </c>
      <c r="AN1747" s="76" t="s">
        <v>24092</v>
      </c>
      <c r="AO1747" s="76" t="s">
        <v>26258</v>
      </c>
      <c r="AP1747" s="76"/>
      <c r="AQ1747" s="76"/>
      <c r="AR1747" s="76"/>
      <c r="AS1747" s="76"/>
      <c r="AT1747" s="76"/>
      <c r="AU1747" s="76"/>
      <c r="AV1747" s="76">
        <v>1.5723303393133701E+18</v>
      </c>
      <c r="AW1747" s="76"/>
      <c r="AX1747" s="76" t="b">
        <v>0</v>
      </c>
      <c r="AY1747" s="76"/>
      <c r="AZ1747" s="76"/>
      <c r="BA1747" s="76" t="b">
        <v>0</v>
      </c>
      <c r="BB1747" s="76" t="b">
        <v>1</v>
      </c>
      <c r="BC1747" s="76" t="b">
        <v>0</v>
      </c>
      <c r="BD1747" s="76" t="b">
        <v>0</v>
      </c>
      <c r="BE1747" s="76" t="b">
        <v>1</v>
      </c>
      <c r="BF1747" s="76" t="b">
        <v>0</v>
      </c>
      <c r="BG1747" s="76" t="b">
        <v>0</v>
      </c>
      <c r="BH1747" s="82" t="str">
        <f>HYPERLINK("https://pbs.twimg.com/profile_banners/119843695/1618419186")</f>
        <v>https://pbs.twimg.com/profile_banners/119843695/1618419186</v>
      </c>
      <c r="BI1747" s="76"/>
      <c r="BJ1747" s="76" t="s">
        <v>27595</v>
      </c>
      <c r="BK1747" s="76" t="b">
        <v>0</v>
      </c>
      <c r="BL1747" s="76"/>
      <c r="BM1747" s="76" t="s">
        <v>66</v>
      </c>
      <c r="BN1747" s="76" t="s">
        <v>27597</v>
      </c>
      <c r="BO1747" s="82" t="str">
        <f>HYPERLINK("https://twitter.com/agudiaz64")</f>
        <v>https://twitter.com/agudiaz64</v>
      </c>
      <c r="BP1747" s="2"/>
    </row>
    <row r="1748" spans="1:68" x14ac:dyDescent="0.25">
      <c r="A1748" s="62" t="s">
        <v>2062</v>
      </c>
      <c r="B1748" s="63"/>
      <c r="C1748" s="63"/>
      <c r="D1748" s="64"/>
      <c r="E1748" s="66"/>
      <c r="F1748" s="103" t="str">
        <f>HYPERLINK("https://pbs.twimg.com/profile_images/1654867814748913666/mXq1XL5L_normal.jpg")</f>
        <v>https://pbs.twimg.com/profile_images/1654867814748913666/mXq1XL5L_normal.jpg</v>
      </c>
      <c r="G1748" s="63"/>
      <c r="H1748" s="67"/>
      <c r="I1748" s="68"/>
      <c r="J1748" s="68"/>
      <c r="K1748" s="67" t="s">
        <v>29342</v>
      </c>
      <c r="L1748" s="71"/>
      <c r="M1748" s="72"/>
      <c r="N1748" s="72"/>
      <c r="O1748" s="73"/>
      <c r="P1748" s="74"/>
      <c r="Q1748" s="74"/>
      <c r="R1748" s="87"/>
      <c r="S1748" s="87"/>
      <c r="T1748" s="87"/>
      <c r="U1748" s="87"/>
      <c r="V1748" s="48"/>
      <c r="W1748" s="48"/>
      <c r="X1748" s="48"/>
      <c r="Y1748" s="48"/>
      <c r="Z1748" s="47"/>
      <c r="AA1748" s="69">
        <v>1748</v>
      </c>
      <c r="AB1748" s="69"/>
      <c r="AC1748" s="70"/>
      <c r="AD1748" s="76" t="s">
        <v>22956</v>
      </c>
      <c r="AE1748" s="81" t="s">
        <v>20372</v>
      </c>
      <c r="AF1748" s="76">
        <v>4015</v>
      </c>
      <c r="AG1748" s="76">
        <v>2805</v>
      </c>
      <c r="AH1748" s="76">
        <v>31507</v>
      </c>
      <c r="AI1748" s="76">
        <v>44</v>
      </c>
      <c r="AJ1748" s="76">
        <v>46696</v>
      </c>
      <c r="AK1748" s="76">
        <v>2814</v>
      </c>
      <c r="AL1748" s="76" t="b">
        <v>0</v>
      </c>
      <c r="AM1748" s="78">
        <v>41477.597604166665</v>
      </c>
      <c r="AN1748" s="76" t="s">
        <v>24092</v>
      </c>
      <c r="AO1748" s="76" t="s">
        <v>26259</v>
      </c>
      <c r="AP1748" s="82" t="str">
        <f>HYPERLINK("https://t.co/XvpDroUBUv")</f>
        <v>https://t.co/XvpDroUBUv</v>
      </c>
      <c r="AQ1748" s="82" t="str">
        <f>HYPERLINK("https://youtube.com/@danielcadenas7147")</f>
        <v>https://youtube.com/@danielcadenas7147</v>
      </c>
      <c r="AR1748" s="76" t="s">
        <v>27308</v>
      </c>
      <c r="AS1748" s="76"/>
      <c r="AT1748" s="76"/>
      <c r="AU1748" s="76"/>
      <c r="AV1748" s="76">
        <v>1.03160742699747E+18</v>
      </c>
      <c r="AW1748" s="82" t="str">
        <f>HYPERLINK("https://t.co/XvpDroUBUv")</f>
        <v>https://t.co/XvpDroUBUv</v>
      </c>
      <c r="AX1748" s="76" t="b">
        <v>0</v>
      </c>
      <c r="AY1748" s="76"/>
      <c r="AZ1748" s="76"/>
      <c r="BA1748" s="76" t="b">
        <v>0</v>
      </c>
      <c r="BB1748" s="76" t="b">
        <v>0</v>
      </c>
      <c r="BC1748" s="76" t="b">
        <v>1</v>
      </c>
      <c r="BD1748" s="76" t="b">
        <v>0</v>
      </c>
      <c r="BE1748" s="76" t="b">
        <v>1</v>
      </c>
      <c r="BF1748" s="76" t="b">
        <v>0</v>
      </c>
      <c r="BG1748" s="76" t="b">
        <v>0</v>
      </c>
      <c r="BH1748" s="82" t="str">
        <f>HYPERLINK("https://pbs.twimg.com/profile_banners/1612939700/1637417307")</f>
        <v>https://pbs.twimg.com/profile_banners/1612939700/1637417307</v>
      </c>
      <c r="BI1748" s="76"/>
      <c r="BJ1748" s="76" t="s">
        <v>27595</v>
      </c>
      <c r="BK1748" s="76" t="b">
        <v>0</v>
      </c>
      <c r="BL1748" s="76"/>
      <c r="BM1748" s="76" t="s">
        <v>65</v>
      </c>
      <c r="BN1748" s="76" t="s">
        <v>27597</v>
      </c>
      <c r="BO1748" s="82" t="str">
        <f>HYPERLINK("https://twitter.com/macro_dc")</f>
        <v>https://twitter.com/macro_dc</v>
      </c>
      <c r="BP1748" s="2"/>
    </row>
    <row r="1749" spans="1:68" x14ac:dyDescent="0.25">
      <c r="A1749" s="62" t="s">
        <v>1581</v>
      </c>
      <c r="B1749" s="63"/>
      <c r="C1749" s="63"/>
      <c r="D1749" s="64"/>
      <c r="E1749" s="66"/>
      <c r="F1749" s="103" t="str">
        <f>HYPERLINK("https://pbs.twimg.com/profile_images/378800000080616974/2b4eaec4151a9196d0def4c0869b7cc7_normal.jpeg")</f>
        <v>https://pbs.twimg.com/profile_images/378800000080616974/2b4eaec4151a9196d0def4c0869b7cc7_normal.jpeg</v>
      </c>
      <c r="G1749" s="63"/>
      <c r="H1749" s="67"/>
      <c r="I1749" s="68"/>
      <c r="J1749" s="68"/>
      <c r="K1749" s="67" t="s">
        <v>29343</v>
      </c>
      <c r="L1749" s="71"/>
      <c r="M1749" s="72"/>
      <c r="N1749" s="72"/>
      <c r="O1749" s="73"/>
      <c r="P1749" s="74"/>
      <c r="Q1749" s="74"/>
      <c r="R1749" s="87"/>
      <c r="S1749" s="87"/>
      <c r="T1749" s="87"/>
      <c r="U1749" s="87"/>
      <c r="V1749" s="48"/>
      <c r="W1749" s="48"/>
      <c r="X1749" s="48"/>
      <c r="Y1749" s="48"/>
      <c r="Z1749" s="47"/>
      <c r="AA1749" s="69">
        <v>1749</v>
      </c>
      <c r="AB1749" s="69"/>
      <c r="AC1749" s="70"/>
      <c r="AD1749" s="76" t="s">
        <v>22957</v>
      </c>
      <c r="AE1749" s="81" t="s">
        <v>23983</v>
      </c>
      <c r="AF1749" s="76">
        <v>365</v>
      </c>
      <c r="AG1749" s="76">
        <v>458</v>
      </c>
      <c r="AH1749" s="76">
        <v>12630</v>
      </c>
      <c r="AI1749" s="76">
        <v>1</v>
      </c>
      <c r="AJ1749" s="76">
        <v>7</v>
      </c>
      <c r="AK1749" s="76">
        <v>78</v>
      </c>
      <c r="AL1749" s="76" t="b">
        <v>0</v>
      </c>
      <c r="AM1749" s="78">
        <v>41458.136828703704</v>
      </c>
      <c r="AN1749" s="76"/>
      <c r="AO1749" s="76" t="s">
        <v>26260</v>
      </c>
      <c r="AP1749" s="76"/>
      <c r="AQ1749" s="76"/>
      <c r="AR1749" s="76"/>
      <c r="AS1749" s="76"/>
      <c r="AT1749" s="76"/>
      <c r="AU1749" s="76"/>
      <c r="AV1749" s="76"/>
      <c r="AW1749" s="76"/>
      <c r="AX1749" s="76" t="b">
        <v>0</v>
      </c>
      <c r="AY1749" s="76"/>
      <c r="AZ1749" s="76"/>
      <c r="BA1749" s="76" t="b">
        <v>0</v>
      </c>
      <c r="BB1749" s="76" t="b">
        <v>1</v>
      </c>
      <c r="BC1749" s="76" t="b">
        <v>1</v>
      </c>
      <c r="BD1749" s="76" t="b">
        <v>0</v>
      </c>
      <c r="BE1749" s="76" t="b">
        <v>0</v>
      </c>
      <c r="BF1749" s="76" t="b">
        <v>0</v>
      </c>
      <c r="BG1749" s="76" t="b">
        <v>0</v>
      </c>
      <c r="BH1749" s="82" t="str">
        <f>HYPERLINK("https://pbs.twimg.com/profile_banners/1564743925/1639141501")</f>
        <v>https://pbs.twimg.com/profile_banners/1564743925/1639141501</v>
      </c>
      <c r="BI1749" s="76"/>
      <c r="BJ1749" s="76" t="s">
        <v>27595</v>
      </c>
      <c r="BK1749" s="76" t="b">
        <v>0</v>
      </c>
      <c r="BL1749" s="76"/>
      <c r="BM1749" s="76" t="s">
        <v>66</v>
      </c>
      <c r="BN1749" s="76" t="s">
        <v>27597</v>
      </c>
      <c r="BO1749" s="82" t="str">
        <f>HYPERLINK("https://twitter.com/perinmiguel")</f>
        <v>https://twitter.com/perinmiguel</v>
      </c>
      <c r="BP1749" s="2"/>
    </row>
    <row r="1750" spans="1:68" x14ac:dyDescent="0.25">
      <c r="A1750" s="62" t="s">
        <v>1583</v>
      </c>
      <c r="B1750" s="63"/>
      <c r="C1750" s="63"/>
      <c r="D1750" s="64"/>
      <c r="E1750" s="66"/>
      <c r="F1750" s="103" t="str">
        <f>HYPERLINK("https://pbs.twimg.com/profile_images/993479284856709121/ZQpy2w-j_normal.jpg")</f>
        <v>https://pbs.twimg.com/profile_images/993479284856709121/ZQpy2w-j_normal.jpg</v>
      </c>
      <c r="G1750" s="63"/>
      <c r="H1750" s="67"/>
      <c r="I1750" s="68"/>
      <c r="J1750" s="68"/>
      <c r="K1750" s="67" t="s">
        <v>29344</v>
      </c>
      <c r="L1750" s="71"/>
      <c r="M1750" s="72"/>
      <c r="N1750" s="72"/>
      <c r="O1750" s="73"/>
      <c r="P1750" s="74"/>
      <c r="Q1750" s="74"/>
      <c r="R1750" s="87"/>
      <c r="S1750" s="87"/>
      <c r="T1750" s="87"/>
      <c r="U1750" s="87"/>
      <c r="V1750" s="48"/>
      <c r="W1750" s="48"/>
      <c r="X1750" s="48"/>
      <c r="Y1750" s="48"/>
      <c r="Z1750" s="47"/>
      <c r="AA1750" s="69">
        <v>1750</v>
      </c>
      <c r="AB1750" s="69"/>
      <c r="AC1750" s="70"/>
      <c r="AD1750" s="76" t="s">
        <v>22958</v>
      </c>
      <c r="AE1750" s="81" t="s">
        <v>23984</v>
      </c>
      <c r="AF1750" s="76">
        <v>3340</v>
      </c>
      <c r="AG1750" s="76">
        <v>215</v>
      </c>
      <c r="AH1750" s="76">
        <v>28096</v>
      </c>
      <c r="AI1750" s="76">
        <v>124</v>
      </c>
      <c r="AJ1750" s="76">
        <v>6</v>
      </c>
      <c r="AK1750" s="76">
        <v>2072</v>
      </c>
      <c r="AL1750" s="76" t="b">
        <v>0</v>
      </c>
      <c r="AM1750" s="78">
        <v>39891.830208333333</v>
      </c>
      <c r="AN1750" s="76" t="s">
        <v>24087</v>
      </c>
      <c r="AO1750" s="76" t="s">
        <v>26261</v>
      </c>
      <c r="AP1750" s="76"/>
      <c r="AQ1750" s="76"/>
      <c r="AR1750" s="76"/>
      <c r="AS1750" s="76"/>
      <c r="AT1750" s="76"/>
      <c r="AU1750" s="76"/>
      <c r="AV1750" s="76"/>
      <c r="AW1750" s="76"/>
      <c r="AX1750" s="76" t="b">
        <v>0</v>
      </c>
      <c r="AY1750" s="76"/>
      <c r="AZ1750" s="76"/>
      <c r="BA1750" s="76" t="b">
        <v>0</v>
      </c>
      <c r="BB1750" s="76" t="b">
        <v>1</v>
      </c>
      <c r="BC1750" s="76" t="b">
        <v>0</v>
      </c>
      <c r="BD1750" s="76" t="b">
        <v>0</v>
      </c>
      <c r="BE1750" s="76" t="b">
        <v>0</v>
      </c>
      <c r="BF1750" s="76" t="b">
        <v>0</v>
      </c>
      <c r="BG1750" s="76" t="b">
        <v>0</v>
      </c>
      <c r="BH1750" s="76"/>
      <c r="BI1750" s="76"/>
      <c r="BJ1750" s="76" t="s">
        <v>27595</v>
      </c>
      <c r="BK1750" s="76" t="b">
        <v>0</v>
      </c>
      <c r="BL1750" s="76"/>
      <c r="BM1750" s="76" t="s">
        <v>66</v>
      </c>
      <c r="BN1750" s="76" t="s">
        <v>27597</v>
      </c>
      <c r="BO1750" s="82" t="str">
        <f>HYPERLINK("https://twitter.com/financas")</f>
        <v>https://twitter.com/financas</v>
      </c>
      <c r="BP1750" s="2"/>
    </row>
    <row r="1751" spans="1:68" x14ac:dyDescent="0.25">
      <c r="A1751" s="62" t="s">
        <v>1584</v>
      </c>
      <c r="B1751" s="63"/>
      <c r="C1751" s="63"/>
      <c r="D1751" s="64"/>
      <c r="E1751" s="66"/>
      <c r="F1751" s="103" t="str">
        <f>HYPERLINK("https://pbs.twimg.com/profile_images/1678417005513154562/G2KycPKv_normal.jpg")</f>
        <v>https://pbs.twimg.com/profile_images/1678417005513154562/G2KycPKv_normal.jpg</v>
      </c>
      <c r="G1751" s="63"/>
      <c r="H1751" s="67"/>
      <c r="I1751" s="68"/>
      <c r="J1751" s="68"/>
      <c r="K1751" s="67" t="s">
        <v>29345</v>
      </c>
      <c r="L1751" s="71"/>
      <c r="M1751" s="72"/>
      <c r="N1751" s="72"/>
      <c r="O1751" s="73"/>
      <c r="P1751" s="74"/>
      <c r="Q1751" s="74"/>
      <c r="R1751" s="87"/>
      <c r="S1751" s="87"/>
      <c r="T1751" s="87"/>
      <c r="U1751" s="87"/>
      <c r="V1751" s="48"/>
      <c r="W1751" s="48"/>
      <c r="X1751" s="48"/>
      <c r="Y1751" s="48"/>
      <c r="Z1751" s="47"/>
      <c r="AA1751" s="69">
        <v>1751</v>
      </c>
      <c r="AB1751" s="69"/>
      <c r="AC1751" s="70"/>
      <c r="AD1751" s="76" t="s">
        <v>22959</v>
      </c>
      <c r="AE1751" s="81" t="s">
        <v>20373</v>
      </c>
      <c r="AF1751" s="76">
        <v>2</v>
      </c>
      <c r="AG1751" s="76">
        <v>39</v>
      </c>
      <c r="AH1751" s="76">
        <v>48</v>
      </c>
      <c r="AI1751" s="76">
        <v>0</v>
      </c>
      <c r="AJ1751" s="76">
        <v>1</v>
      </c>
      <c r="AK1751" s="76">
        <v>1</v>
      </c>
      <c r="AL1751" s="76" t="b">
        <v>0</v>
      </c>
      <c r="AM1751" s="78">
        <v>45117.619675925926</v>
      </c>
      <c r="AN1751" s="76" t="s">
        <v>24673</v>
      </c>
      <c r="AO1751" s="76" t="s">
        <v>26262</v>
      </c>
      <c r="AP1751" s="82" t="str">
        <f>HYPERLINK("https://t.co/ShTHfxFwEN")</f>
        <v>https://t.co/ShTHfxFwEN</v>
      </c>
      <c r="AQ1751" s="82" t="str">
        <f>HYPERLINK("http://jeffersonlucas.com")</f>
        <v>http://jeffersonlucas.com</v>
      </c>
      <c r="AR1751" s="76" t="s">
        <v>27309</v>
      </c>
      <c r="AS1751" s="76"/>
      <c r="AT1751" s="76"/>
      <c r="AU1751" s="76"/>
      <c r="AV1751" s="76"/>
      <c r="AW1751" s="82" t="str">
        <f>HYPERLINK("https://t.co/ShTHfxFwEN")</f>
        <v>https://t.co/ShTHfxFwEN</v>
      </c>
      <c r="AX1751" s="76" t="b">
        <v>0</v>
      </c>
      <c r="AY1751" s="76"/>
      <c r="AZ1751" s="76"/>
      <c r="BA1751" s="76" t="b">
        <v>0</v>
      </c>
      <c r="BB1751" s="76" t="b">
        <v>1</v>
      </c>
      <c r="BC1751" s="76" t="b">
        <v>1</v>
      </c>
      <c r="BD1751" s="76" t="b">
        <v>0</v>
      </c>
      <c r="BE1751" s="76" t="b">
        <v>0</v>
      </c>
      <c r="BF1751" s="76" t="b">
        <v>0</v>
      </c>
      <c r="BG1751" s="76" t="b">
        <v>0</v>
      </c>
      <c r="BH1751" s="82" t="str">
        <f>HYPERLINK("https://pbs.twimg.com/profile_banners/1678416821299363841/1689001113")</f>
        <v>https://pbs.twimg.com/profile_banners/1678416821299363841/1689001113</v>
      </c>
      <c r="BI1751" s="76"/>
      <c r="BJ1751" s="76" t="s">
        <v>27595</v>
      </c>
      <c r="BK1751" s="76" t="b">
        <v>0</v>
      </c>
      <c r="BL1751" s="76"/>
      <c r="BM1751" s="76" t="s">
        <v>66</v>
      </c>
      <c r="BN1751" s="76" t="s">
        <v>27597</v>
      </c>
      <c r="BO1751" s="82" t="str">
        <f>HYPERLINK("https://twitter.com/jeffersonlucabr")</f>
        <v>https://twitter.com/jeffersonlucabr</v>
      </c>
      <c r="BP1751" s="2"/>
    </row>
    <row r="1752" spans="1:68" x14ac:dyDescent="0.25">
      <c r="A1752" s="62" t="s">
        <v>1585</v>
      </c>
      <c r="B1752" s="63"/>
      <c r="C1752" s="63"/>
      <c r="D1752" s="64"/>
      <c r="E1752" s="66"/>
      <c r="F1752" s="103" t="str">
        <f>HYPERLINK("https://pbs.twimg.com/profile_images/1581784510345224193/LaxHyEdM_normal.png")</f>
        <v>https://pbs.twimg.com/profile_images/1581784510345224193/LaxHyEdM_normal.png</v>
      </c>
      <c r="G1752" s="63"/>
      <c r="H1752" s="67"/>
      <c r="I1752" s="68"/>
      <c r="J1752" s="68"/>
      <c r="K1752" s="67" t="s">
        <v>29346</v>
      </c>
      <c r="L1752" s="71"/>
      <c r="M1752" s="72"/>
      <c r="N1752" s="72"/>
      <c r="O1752" s="73"/>
      <c r="P1752" s="74"/>
      <c r="Q1752" s="74"/>
      <c r="R1752" s="87"/>
      <c r="S1752" s="87"/>
      <c r="T1752" s="87"/>
      <c r="U1752" s="87"/>
      <c r="V1752" s="48"/>
      <c r="W1752" s="48"/>
      <c r="X1752" s="48"/>
      <c r="Y1752" s="48"/>
      <c r="Z1752" s="47"/>
      <c r="AA1752" s="69">
        <v>1752</v>
      </c>
      <c r="AB1752" s="69"/>
      <c r="AC1752" s="70"/>
      <c r="AD1752" s="76" t="s">
        <v>22960</v>
      </c>
      <c r="AE1752" s="81" t="s">
        <v>21157</v>
      </c>
      <c r="AF1752" s="76">
        <v>12</v>
      </c>
      <c r="AG1752" s="76">
        <v>22</v>
      </c>
      <c r="AH1752" s="76">
        <v>607</v>
      </c>
      <c r="AI1752" s="76">
        <v>0</v>
      </c>
      <c r="AJ1752" s="76">
        <v>1923</v>
      </c>
      <c r="AK1752" s="76">
        <v>182</v>
      </c>
      <c r="AL1752" s="76" t="b">
        <v>0</v>
      </c>
      <c r="AM1752" s="78">
        <v>44850.965150462966</v>
      </c>
      <c r="AN1752" s="76"/>
      <c r="AO1752" s="76"/>
      <c r="AP1752" s="76"/>
      <c r="AQ1752" s="76"/>
      <c r="AR1752" s="76"/>
      <c r="AS1752" s="76"/>
      <c r="AT1752" s="76"/>
      <c r="AU1752" s="76"/>
      <c r="AV1752" s="76"/>
      <c r="AW1752" s="76"/>
      <c r="AX1752" s="76" t="b">
        <v>0</v>
      </c>
      <c r="AY1752" s="76"/>
      <c r="AZ1752" s="76"/>
      <c r="BA1752" s="76" t="b">
        <v>0</v>
      </c>
      <c r="BB1752" s="76" t="b">
        <v>1</v>
      </c>
      <c r="BC1752" s="76" t="b">
        <v>1</v>
      </c>
      <c r="BD1752" s="76" t="b">
        <v>0</v>
      </c>
      <c r="BE1752" s="76" t="b">
        <v>0</v>
      </c>
      <c r="BF1752" s="76" t="b">
        <v>0</v>
      </c>
      <c r="BG1752" s="76" t="b">
        <v>0</v>
      </c>
      <c r="BH1752" s="76"/>
      <c r="BI1752" s="76"/>
      <c r="BJ1752" s="76" t="s">
        <v>27595</v>
      </c>
      <c r="BK1752" s="76" t="b">
        <v>0</v>
      </c>
      <c r="BL1752" s="76"/>
      <c r="BM1752" s="76" t="s">
        <v>66</v>
      </c>
      <c r="BN1752" s="76" t="s">
        <v>27597</v>
      </c>
      <c r="BO1752" s="82" t="str">
        <f>HYPERLINK("https://twitter.com/nazarefraga")</f>
        <v>https://twitter.com/nazarefraga</v>
      </c>
      <c r="BP1752" s="2"/>
    </row>
    <row r="1753" spans="1:68" x14ac:dyDescent="0.25">
      <c r="A1753" s="62" t="s">
        <v>1586</v>
      </c>
      <c r="B1753" s="63"/>
      <c r="C1753" s="63"/>
      <c r="D1753" s="64"/>
      <c r="E1753" s="66"/>
      <c r="F1753" s="103" t="str">
        <f>HYPERLINK("https://abs.twimg.com/sticky/default_profile_images/default_profile_normal.png")</f>
        <v>https://abs.twimg.com/sticky/default_profile_images/default_profile_normal.png</v>
      </c>
      <c r="G1753" s="63"/>
      <c r="H1753" s="67"/>
      <c r="I1753" s="68"/>
      <c r="J1753" s="68"/>
      <c r="K1753" s="67" t="s">
        <v>29347</v>
      </c>
      <c r="L1753" s="71"/>
      <c r="M1753" s="72"/>
      <c r="N1753" s="72"/>
      <c r="O1753" s="73"/>
      <c r="P1753" s="74"/>
      <c r="Q1753" s="74"/>
      <c r="R1753" s="87"/>
      <c r="S1753" s="87"/>
      <c r="T1753" s="87"/>
      <c r="U1753" s="87"/>
      <c r="V1753" s="48"/>
      <c r="W1753" s="48"/>
      <c r="X1753" s="48"/>
      <c r="Y1753" s="48"/>
      <c r="Z1753" s="47"/>
      <c r="AA1753" s="69">
        <v>1753</v>
      </c>
      <c r="AB1753" s="69"/>
      <c r="AC1753" s="70"/>
      <c r="AD1753" s="76" t="s">
        <v>22961</v>
      </c>
      <c r="AE1753" s="81" t="s">
        <v>21158</v>
      </c>
      <c r="AF1753" s="76">
        <v>6</v>
      </c>
      <c r="AG1753" s="76">
        <v>62</v>
      </c>
      <c r="AH1753" s="76">
        <v>98</v>
      </c>
      <c r="AI1753" s="76">
        <v>0</v>
      </c>
      <c r="AJ1753" s="76">
        <v>2371</v>
      </c>
      <c r="AK1753" s="76">
        <v>1</v>
      </c>
      <c r="AL1753" s="76" t="b">
        <v>0</v>
      </c>
      <c r="AM1753" s="78">
        <v>44571.939004629632</v>
      </c>
      <c r="AN1753" s="76" t="s">
        <v>14385</v>
      </c>
      <c r="AO1753" s="76" t="s">
        <v>26263</v>
      </c>
      <c r="AP1753" s="76"/>
      <c r="AQ1753" s="76"/>
      <c r="AR1753" s="76"/>
      <c r="AS1753" s="76"/>
      <c r="AT1753" s="76"/>
      <c r="AU1753" s="76"/>
      <c r="AV1753" s="76"/>
      <c r="AW1753" s="76"/>
      <c r="AX1753" s="76" t="b">
        <v>0</v>
      </c>
      <c r="AY1753" s="76"/>
      <c r="AZ1753" s="76"/>
      <c r="BA1753" s="76" t="b">
        <v>0</v>
      </c>
      <c r="BB1753" s="76" t="b">
        <v>1</v>
      </c>
      <c r="BC1753" s="76" t="b">
        <v>1</v>
      </c>
      <c r="BD1753" s="76" t="b">
        <v>1</v>
      </c>
      <c r="BE1753" s="76" t="b">
        <v>0</v>
      </c>
      <c r="BF1753" s="76" t="b">
        <v>0</v>
      </c>
      <c r="BG1753" s="76" t="b">
        <v>0</v>
      </c>
      <c r="BH1753" s="82" t="str">
        <f>HYPERLINK("https://pbs.twimg.com/profile_banners/1480668709899362308/1694776927")</f>
        <v>https://pbs.twimg.com/profile_banners/1480668709899362308/1694776927</v>
      </c>
      <c r="BI1753" s="76"/>
      <c r="BJ1753" s="76" t="s">
        <v>27595</v>
      </c>
      <c r="BK1753" s="76" t="b">
        <v>0</v>
      </c>
      <c r="BL1753" s="76"/>
      <c r="BM1753" s="76" t="s">
        <v>66</v>
      </c>
      <c r="BN1753" s="76" t="s">
        <v>27597</v>
      </c>
      <c r="BO1753" s="82" t="str">
        <f>HYPERLINK("https://twitter.com/geragonza7")</f>
        <v>https://twitter.com/geragonza7</v>
      </c>
      <c r="BP1753" s="2"/>
    </row>
    <row r="1754" spans="1:68" x14ac:dyDescent="0.25">
      <c r="A1754" s="62" t="s">
        <v>1587</v>
      </c>
      <c r="B1754" s="63"/>
      <c r="C1754" s="63"/>
      <c r="D1754" s="64"/>
      <c r="E1754" s="66"/>
      <c r="F1754" s="103" t="str">
        <f>HYPERLINK("https://pbs.twimg.com/profile_images/1401286287919923224/l5fgYJVH_normal.jpg")</f>
        <v>https://pbs.twimg.com/profile_images/1401286287919923224/l5fgYJVH_normal.jpg</v>
      </c>
      <c r="G1754" s="63"/>
      <c r="H1754" s="67"/>
      <c r="I1754" s="68"/>
      <c r="J1754" s="68"/>
      <c r="K1754" s="67" t="s">
        <v>29348</v>
      </c>
      <c r="L1754" s="71"/>
      <c r="M1754" s="72"/>
      <c r="N1754" s="72"/>
      <c r="O1754" s="73"/>
      <c r="P1754" s="74"/>
      <c r="Q1754" s="74"/>
      <c r="R1754" s="87"/>
      <c r="S1754" s="87"/>
      <c r="T1754" s="87"/>
      <c r="U1754" s="87"/>
      <c r="V1754" s="48"/>
      <c r="W1754" s="48"/>
      <c r="X1754" s="48"/>
      <c r="Y1754" s="48"/>
      <c r="Z1754" s="47"/>
      <c r="AA1754" s="69">
        <v>1754</v>
      </c>
      <c r="AB1754" s="69"/>
      <c r="AC1754" s="70"/>
      <c r="AD1754" s="76" t="s">
        <v>22962</v>
      </c>
      <c r="AE1754" s="81" t="s">
        <v>23985</v>
      </c>
      <c r="AF1754" s="76">
        <v>7817</v>
      </c>
      <c r="AG1754" s="76">
        <v>450</v>
      </c>
      <c r="AH1754" s="76">
        <v>32031</v>
      </c>
      <c r="AI1754" s="76">
        <v>40</v>
      </c>
      <c r="AJ1754" s="76">
        <v>850</v>
      </c>
      <c r="AK1754" s="76">
        <v>10136</v>
      </c>
      <c r="AL1754" s="76" t="b">
        <v>0</v>
      </c>
      <c r="AM1754" s="78">
        <v>40575.033078703702</v>
      </c>
      <c r="AN1754" s="76" t="s">
        <v>24674</v>
      </c>
      <c r="AO1754" s="76" t="s">
        <v>26264</v>
      </c>
      <c r="AP1754" s="82" t="str">
        <f>HYPERLINK("https://t.co/sx2WI5GIhA")</f>
        <v>https://t.co/sx2WI5GIhA</v>
      </c>
      <c r="AQ1754" s="82" t="str">
        <f>HYPERLINK("https://fmbahiaengano.com/")</f>
        <v>https://fmbahiaengano.com/</v>
      </c>
      <c r="AR1754" s="76" t="s">
        <v>8879</v>
      </c>
      <c r="AS1754" s="76" t="s">
        <v>27403</v>
      </c>
      <c r="AT1754" s="76" t="s">
        <v>27442</v>
      </c>
      <c r="AU1754" s="76" t="s">
        <v>27581</v>
      </c>
      <c r="AV1754" s="76"/>
      <c r="AW1754" s="82" t="str">
        <f>HYPERLINK("https://t.co/sx2WI5GIhA")</f>
        <v>https://t.co/sx2WI5GIhA</v>
      </c>
      <c r="AX1754" s="76" t="b">
        <v>0</v>
      </c>
      <c r="AY1754" s="76"/>
      <c r="AZ1754" s="76"/>
      <c r="BA1754" s="76" t="b">
        <v>0</v>
      </c>
      <c r="BB1754" s="76" t="b">
        <v>1</v>
      </c>
      <c r="BC1754" s="76" t="b">
        <v>0</v>
      </c>
      <c r="BD1754" s="76" t="b">
        <v>0</v>
      </c>
      <c r="BE1754" s="76" t="b">
        <v>1</v>
      </c>
      <c r="BF1754" s="76" t="b">
        <v>0</v>
      </c>
      <c r="BG1754" s="76" t="b">
        <v>0</v>
      </c>
      <c r="BH1754" s="82" t="str">
        <f>HYPERLINK("https://pbs.twimg.com/profile_banners/245578005/1622927449")</f>
        <v>https://pbs.twimg.com/profile_banners/245578005/1622927449</v>
      </c>
      <c r="BI1754" s="76"/>
      <c r="BJ1754" s="76" t="s">
        <v>27595</v>
      </c>
      <c r="BK1754" s="76" t="b">
        <v>0</v>
      </c>
      <c r="BL1754" s="76"/>
      <c r="BM1754" s="76" t="s">
        <v>66</v>
      </c>
      <c r="BN1754" s="76" t="s">
        <v>27597</v>
      </c>
      <c r="BO1754" s="82" t="str">
        <f>HYPERLINK("https://twitter.com/fmbahiaengano")</f>
        <v>https://twitter.com/fmbahiaengano</v>
      </c>
      <c r="BP1754" s="2"/>
    </row>
    <row r="1755" spans="1:68" x14ac:dyDescent="0.25">
      <c r="A1755" s="62" t="s">
        <v>1588</v>
      </c>
      <c r="B1755" s="63"/>
      <c r="C1755" s="63"/>
      <c r="D1755" s="64"/>
      <c r="E1755" s="66"/>
      <c r="F1755" s="103" t="str">
        <f>HYPERLINK("https://pbs.twimg.com/profile_images/911208796168613889/RqI2LWA1_normal.jpg")</f>
        <v>https://pbs.twimg.com/profile_images/911208796168613889/RqI2LWA1_normal.jpg</v>
      </c>
      <c r="G1755" s="63"/>
      <c r="H1755" s="67"/>
      <c r="I1755" s="68"/>
      <c r="J1755" s="68"/>
      <c r="K1755" s="67" t="s">
        <v>29349</v>
      </c>
      <c r="L1755" s="71"/>
      <c r="M1755" s="72"/>
      <c r="N1755" s="72"/>
      <c r="O1755" s="73"/>
      <c r="P1755" s="74"/>
      <c r="Q1755" s="74"/>
      <c r="R1755" s="87"/>
      <c r="S1755" s="87"/>
      <c r="T1755" s="87"/>
      <c r="U1755" s="87"/>
      <c r="V1755" s="48"/>
      <c r="W1755" s="48"/>
      <c r="X1755" s="48"/>
      <c r="Y1755" s="48"/>
      <c r="Z1755" s="47"/>
      <c r="AA1755" s="69">
        <v>1755</v>
      </c>
      <c r="AB1755" s="69"/>
      <c r="AC1755" s="70"/>
      <c r="AD1755" s="76" t="s">
        <v>22963</v>
      </c>
      <c r="AE1755" s="81" t="s">
        <v>23986</v>
      </c>
      <c r="AF1755" s="76">
        <v>321</v>
      </c>
      <c r="AG1755" s="76">
        <v>878</v>
      </c>
      <c r="AH1755" s="76">
        <v>10555</v>
      </c>
      <c r="AI1755" s="76">
        <v>3</v>
      </c>
      <c r="AJ1755" s="76">
        <v>5161</v>
      </c>
      <c r="AK1755" s="76">
        <v>1063</v>
      </c>
      <c r="AL1755" s="76" t="b">
        <v>0</v>
      </c>
      <c r="AM1755" s="78">
        <v>40252.042997685188</v>
      </c>
      <c r="AN1755" s="76" t="s">
        <v>24390</v>
      </c>
      <c r="AO1755" s="76" t="s">
        <v>26265</v>
      </c>
      <c r="AP1755" s="76"/>
      <c r="AQ1755" s="76"/>
      <c r="AR1755" s="76"/>
      <c r="AS1755" s="76"/>
      <c r="AT1755" s="76"/>
      <c r="AU1755" s="76"/>
      <c r="AV1755" s="76"/>
      <c r="AW1755" s="76"/>
      <c r="AX1755" s="76" t="b">
        <v>0</v>
      </c>
      <c r="AY1755" s="76"/>
      <c r="AZ1755" s="76"/>
      <c r="BA1755" s="76" t="b">
        <v>0</v>
      </c>
      <c r="BB1755" s="76" t="b">
        <v>1</v>
      </c>
      <c r="BC1755" s="76" t="b">
        <v>0</v>
      </c>
      <c r="BD1755" s="76" t="b">
        <v>0</v>
      </c>
      <c r="BE1755" s="76" t="b">
        <v>0</v>
      </c>
      <c r="BF1755" s="76" t="b">
        <v>0</v>
      </c>
      <c r="BG1755" s="76" t="b">
        <v>0</v>
      </c>
      <c r="BH1755" s="82" t="str">
        <f>HYPERLINK("https://pbs.twimg.com/profile_banners/123104950/1402621462")</f>
        <v>https://pbs.twimg.com/profile_banners/123104950/1402621462</v>
      </c>
      <c r="BI1755" s="76"/>
      <c r="BJ1755" s="76" t="s">
        <v>27595</v>
      </c>
      <c r="BK1755" s="76" t="b">
        <v>0</v>
      </c>
      <c r="BL1755" s="76"/>
      <c r="BM1755" s="76" t="s">
        <v>66</v>
      </c>
      <c r="BN1755" s="76" t="s">
        <v>27597</v>
      </c>
      <c r="BO1755" s="82" t="str">
        <f>HYPERLINK("https://twitter.com/veroana_lentini")</f>
        <v>https://twitter.com/veroana_lentini</v>
      </c>
      <c r="BP1755" s="2"/>
    </row>
    <row r="1756" spans="1:68" x14ac:dyDescent="0.25">
      <c r="A1756" s="62" t="s">
        <v>2063</v>
      </c>
      <c r="B1756" s="63"/>
      <c r="C1756" s="63"/>
      <c r="D1756" s="64"/>
      <c r="E1756" s="66"/>
      <c r="F1756" s="103" t="str">
        <f>HYPERLINK("https://pbs.twimg.com/profile_images/1306382043736158216/VDZzhY53_normal.png")</f>
        <v>https://pbs.twimg.com/profile_images/1306382043736158216/VDZzhY53_normal.png</v>
      </c>
      <c r="G1756" s="63"/>
      <c r="H1756" s="67"/>
      <c r="I1756" s="68"/>
      <c r="J1756" s="68"/>
      <c r="K1756" s="67" t="s">
        <v>29350</v>
      </c>
      <c r="L1756" s="71"/>
      <c r="M1756" s="72"/>
      <c r="N1756" s="72"/>
      <c r="O1756" s="73"/>
      <c r="P1756" s="74"/>
      <c r="Q1756" s="74"/>
      <c r="R1756" s="87"/>
      <c r="S1756" s="87"/>
      <c r="T1756" s="87"/>
      <c r="U1756" s="87"/>
      <c r="V1756" s="48"/>
      <c r="W1756" s="48"/>
      <c r="X1756" s="48"/>
      <c r="Y1756" s="48"/>
      <c r="Z1756" s="47"/>
      <c r="AA1756" s="69">
        <v>1756</v>
      </c>
      <c r="AB1756" s="69"/>
      <c r="AC1756" s="70"/>
      <c r="AD1756" s="76" t="s">
        <v>22964</v>
      </c>
      <c r="AE1756" s="81" t="s">
        <v>23987</v>
      </c>
      <c r="AF1756" s="76">
        <v>7</v>
      </c>
      <c r="AG1756" s="76">
        <v>150</v>
      </c>
      <c r="AH1756" s="76">
        <v>80</v>
      </c>
      <c r="AI1756" s="76">
        <v>0</v>
      </c>
      <c r="AJ1756" s="76">
        <v>55</v>
      </c>
      <c r="AK1756" s="76">
        <v>21</v>
      </c>
      <c r="AL1756" s="76" t="b">
        <v>0</v>
      </c>
      <c r="AM1756" s="78">
        <v>44090.998645833337</v>
      </c>
      <c r="AN1756" s="76"/>
      <c r="AO1756" s="76" t="s">
        <v>26266</v>
      </c>
      <c r="AP1756" s="76"/>
      <c r="AQ1756" s="76"/>
      <c r="AR1756" s="76"/>
      <c r="AS1756" s="76"/>
      <c r="AT1756" s="76"/>
      <c r="AU1756" s="76"/>
      <c r="AV1756" s="76"/>
      <c r="AW1756" s="76"/>
      <c r="AX1756" s="76" t="b">
        <v>0</v>
      </c>
      <c r="AY1756" s="76"/>
      <c r="AZ1756" s="76"/>
      <c r="BA1756" s="76" t="b">
        <v>0</v>
      </c>
      <c r="BB1756" s="76" t="b">
        <v>1</v>
      </c>
      <c r="BC1756" s="76" t="b">
        <v>1</v>
      </c>
      <c r="BD1756" s="76" t="b">
        <v>0</v>
      </c>
      <c r="BE1756" s="76" t="b">
        <v>0</v>
      </c>
      <c r="BF1756" s="76" t="b">
        <v>0</v>
      </c>
      <c r="BG1756" s="76" t="b">
        <v>0</v>
      </c>
      <c r="BH1756" s="76"/>
      <c r="BI1756" s="76"/>
      <c r="BJ1756" s="76" t="s">
        <v>27595</v>
      </c>
      <c r="BK1756" s="76" t="b">
        <v>0</v>
      </c>
      <c r="BL1756" s="76"/>
      <c r="BM1756" s="76" t="s">
        <v>65</v>
      </c>
      <c r="BN1756" s="76" t="s">
        <v>27597</v>
      </c>
      <c r="BO1756" s="82" t="str">
        <f>HYPERLINK("https://twitter.com/quierodecird")</f>
        <v>https://twitter.com/quierodecird</v>
      </c>
      <c r="BP1756" s="2"/>
    </row>
    <row r="1757" spans="1:68" x14ac:dyDescent="0.25">
      <c r="A1757" s="62" t="s">
        <v>1589</v>
      </c>
      <c r="B1757" s="63"/>
      <c r="C1757" s="63"/>
      <c r="D1757" s="64"/>
      <c r="E1757" s="66"/>
      <c r="F1757" s="103" t="str">
        <f>HYPERLINK("https://pbs.twimg.com/profile_images/1628505055853772800/bPtAfrck_normal.jpg")</f>
        <v>https://pbs.twimg.com/profile_images/1628505055853772800/bPtAfrck_normal.jpg</v>
      </c>
      <c r="G1757" s="63"/>
      <c r="H1757" s="67"/>
      <c r="I1757" s="68"/>
      <c r="J1757" s="68"/>
      <c r="K1757" s="67" t="s">
        <v>29351</v>
      </c>
      <c r="L1757" s="71"/>
      <c r="M1757" s="72"/>
      <c r="N1757" s="72"/>
      <c r="O1757" s="73"/>
      <c r="P1757" s="74"/>
      <c r="Q1757" s="74"/>
      <c r="R1757" s="87"/>
      <c r="S1757" s="87"/>
      <c r="T1757" s="87"/>
      <c r="U1757" s="87"/>
      <c r="V1757" s="48"/>
      <c r="W1757" s="48"/>
      <c r="X1757" s="48"/>
      <c r="Y1757" s="48"/>
      <c r="Z1757" s="47"/>
      <c r="AA1757" s="69">
        <v>1757</v>
      </c>
      <c r="AB1757" s="69"/>
      <c r="AC1757" s="70"/>
      <c r="AD1757" s="76" t="s">
        <v>22965</v>
      </c>
      <c r="AE1757" s="81" t="s">
        <v>23988</v>
      </c>
      <c r="AF1757" s="76">
        <v>9676</v>
      </c>
      <c r="AG1757" s="76">
        <v>127</v>
      </c>
      <c r="AH1757" s="76">
        <v>1232</v>
      </c>
      <c r="AI1757" s="76">
        <v>24</v>
      </c>
      <c r="AJ1757" s="76">
        <v>105</v>
      </c>
      <c r="AK1757" s="76">
        <v>388</v>
      </c>
      <c r="AL1757" s="76" t="b">
        <v>0</v>
      </c>
      <c r="AM1757" s="78">
        <v>41689.525775462964</v>
      </c>
      <c r="AN1757" s="76" t="s">
        <v>24571</v>
      </c>
      <c r="AO1757" s="76" t="s">
        <v>26267</v>
      </c>
      <c r="AP1757" s="82" t="str">
        <f>HYPERLINK("https://t.co/V6d9GOjw5R")</f>
        <v>https://t.co/V6d9GOjw5R</v>
      </c>
      <c r="AQ1757" s="82" t="str">
        <f>HYPERLINK("https://linktr.ee/profclaudio")</f>
        <v>https://linktr.ee/profclaudio</v>
      </c>
      <c r="AR1757" s="76" t="s">
        <v>27310</v>
      </c>
      <c r="AS1757" s="76"/>
      <c r="AT1757" s="76"/>
      <c r="AU1757" s="76"/>
      <c r="AV1757" s="76"/>
      <c r="AW1757" s="82" t="str">
        <f>HYPERLINK("https://t.co/V6d9GOjw5R")</f>
        <v>https://t.co/V6d9GOjw5R</v>
      </c>
      <c r="AX1757" s="76" t="b">
        <v>1</v>
      </c>
      <c r="AY1757" s="76"/>
      <c r="AZ1757" s="76"/>
      <c r="BA1757" s="76" t="b">
        <v>0</v>
      </c>
      <c r="BB1757" s="76" t="b">
        <v>1</v>
      </c>
      <c r="BC1757" s="76" t="b">
        <v>1</v>
      </c>
      <c r="BD1757" s="76" t="b">
        <v>0</v>
      </c>
      <c r="BE1757" s="76" t="b">
        <v>1</v>
      </c>
      <c r="BF1757" s="76" t="b">
        <v>0</v>
      </c>
      <c r="BG1757" s="76" t="b">
        <v>0</v>
      </c>
      <c r="BH1757" s="82" t="str">
        <f>HYPERLINK("https://pbs.twimg.com/profile_banners/2352495202/1680621143")</f>
        <v>https://pbs.twimg.com/profile_banners/2352495202/1680621143</v>
      </c>
      <c r="BI1757" s="76"/>
      <c r="BJ1757" s="76" t="s">
        <v>27595</v>
      </c>
      <c r="BK1757" s="76" t="b">
        <v>0</v>
      </c>
      <c r="BL1757" s="76"/>
      <c r="BM1757" s="76" t="s">
        <v>66</v>
      </c>
      <c r="BN1757" s="76" t="s">
        <v>27597</v>
      </c>
      <c r="BO1757" s="82" t="str">
        <f>HYPERLINK("https://twitter.com/profclaudiobran")</f>
        <v>https://twitter.com/profclaudiobran</v>
      </c>
      <c r="BP1757" s="2"/>
    </row>
    <row r="1758" spans="1:68" x14ac:dyDescent="0.25">
      <c r="A1758" s="62" t="s">
        <v>1590</v>
      </c>
      <c r="B1758" s="63"/>
      <c r="C1758" s="63"/>
      <c r="D1758" s="64"/>
      <c r="E1758" s="66"/>
      <c r="F1758" s="103" t="str">
        <f>HYPERLINK("https://pbs.twimg.com/profile_images/1695211062117703680/-DlrsbM1_normal.jpg")</f>
        <v>https://pbs.twimg.com/profile_images/1695211062117703680/-DlrsbM1_normal.jpg</v>
      </c>
      <c r="G1758" s="63"/>
      <c r="H1758" s="67"/>
      <c r="I1758" s="68"/>
      <c r="J1758" s="68"/>
      <c r="K1758" s="67" t="s">
        <v>29352</v>
      </c>
      <c r="L1758" s="71"/>
      <c r="M1758" s="72"/>
      <c r="N1758" s="72"/>
      <c r="O1758" s="73"/>
      <c r="P1758" s="74"/>
      <c r="Q1758" s="74"/>
      <c r="R1758" s="87"/>
      <c r="S1758" s="87"/>
      <c r="T1758" s="87"/>
      <c r="U1758" s="87"/>
      <c r="V1758" s="48"/>
      <c r="W1758" s="48"/>
      <c r="X1758" s="48"/>
      <c r="Y1758" s="48"/>
      <c r="Z1758" s="47"/>
      <c r="AA1758" s="69">
        <v>1758</v>
      </c>
      <c r="AB1758" s="69"/>
      <c r="AC1758" s="70"/>
      <c r="AD1758" s="76" t="s">
        <v>22966</v>
      </c>
      <c r="AE1758" s="81" t="s">
        <v>21159</v>
      </c>
      <c r="AF1758" s="76">
        <v>26</v>
      </c>
      <c r="AG1758" s="76">
        <v>97</v>
      </c>
      <c r="AH1758" s="76">
        <v>271</v>
      </c>
      <c r="AI1758" s="76">
        <v>0</v>
      </c>
      <c r="AJ1758" s="76">
        <v>50</v>
      </c>
      <c r="AK1758" s="76">
        <v>213</v>
      </c>
      <c r="AL1758" s="76" t="b">
        <v>0</v>
      </c>
      <c r="AM1758" s="78">
        <v>42982.910196759258</v>
      </c>
      <c r="AN1758" s="76" t="s">
        <v>14381</v>
      </c>
      <c r="AO1758" s="76" t="s">
        <v>26268</v>
      </c>
      <c r="AP1758" s="82" t="str">
        <f>HYPERLINK("https://t.co/Wjy7gqsn7T")</f>
        <v>https://t.co/Wjy7gqsn7T</v>
      </c>
      <c r="AQ1758" s="82" t="str">
        <f>HYPERLINK("http://www.aaron-invest.com")</f>
        <v>http://www.aaron-invest.com</v>
      </c>
      <c r="AR1758" s="76" t="s">
        <v>27311</v>
      </c>
      <c r="AS1758" s="76"/>
      <c r="AT1758" s="76"/>
      <c r="AU1758" s="76"/>
      <c r="AV1758" s="76"/>
      <c r="AW1758" s="82" t="str">
        <f>HYPERLINK("https://t.co/Wjy7gqsn7T")</f>
        <v>https://t.co/Wjy7gqsn7T</v>
      </c>
      <c r="AX1758" s="76" t="b">
        <v>0</v>
      </c>
      <c r="AY1758" s="76"/>
      <c r="AZ1758" s="76"/>
      <c r="BA1758" s="76" t="b">
        <v>1</v>
      </c>
      <c r="BB1758" s="76" t="b">
        <v>1</v>
      </c>
      <c r="BC1758" s="76" t="b">
        <v>1</v>
      </c>
      <c r="BD1758" s="76" t="b">
        <v>0</v>
      </c>
      <c r="BE1758" s="76" t="b">
        <v>0</v>
      </c>
      <c r="BF1758" s="76" t="b">
        <v>0</v>
      </c>
      <c r="BG1758" s="76" t="b">
        <v>0</v>
      </c>
      <c r="BH1758" s="82" t="str">
        <f>HYPERLINK("https://pbs.twimg.com/profile_banners/904824060714115072/1693004788")</f>
        <v>https://pbs.twimg.com/profile_banners/904824060714115072/1693004788</v>
      </c>
      <c r="BI1758" s="76"/>
      <c r="BJ1758" s="76" t="s">
        <v>27595</v>
      </c>
      <c r="BK1758" s="76" t="b">
        <v>0</v>
      </c>
      <c r="BL1758" s="76"/>
      <c r="BM1758" s="76" t="s">
        <v>66</v>
      </c>
      <c r="BN1758" s="76" t="s">
        <v>27597</v>
      </c>
      <c r="BO1758" s="82" t="str">
        <f>HYPERLINK("https://twitter.com/_laurent_v")</f>
        <v>https://twitter.com/_laurent_v</v>
      </c>
      <c r="BP1758" s="2"/>
    </row>
    <row r="1759" spans="1:68" x14ac:dyDescent="0.25">
      <c r="A1759" s="62" t="s">
        <v>1591</v>
      </c>
      <c r="B1759" s="63"/>
      <c r="C1759" s="63"/>
      <c r="D1759" s="64"/>
      <c r="E1759" s="66"/>
      <c r="F1759" s="103" t="str">
        <f>HYPERLINK("https://pbs.twimg.com/profile_images/1504067632336678917/r1suvyRN_normal.jpg")</f>
        <v>https://pbs.twimg.com/profile_images/1504067632336678917/r1suvyRN_normal.jpg</v>
      </c>
      <c r="G1759" s="63"/>
      <c r="H1759" s="67"/>
      <c r="I1759" s="68"/>
      <c r="J1759" s="68"/>
      <c r="K1759" s="67" t="s">
        <v>29353</v>
      </c>
      <c r="L1759" s="71"/>
      <c r="M1759" s="72"/>
      <c r="N1759" s="72"/>
      <c r="O1759" s="73"/>
      <c r="P1759" s="74"/>
      <c r="Q1759" s="74"/>
      <c r="R1759" s="87"/>
      <c r="S1759" s="87"/>
      <c r="T1759" s="87"/>
      <c r="U1759" s="87"/>
      <c r="V1759" s="48"/>
      <c r="W1759" s="48"/>
      <c r="X1759" s="48"/>
      <c r="Y1759" s="48"/>
      <c r="Z1759" s="47"/>
      <c r="AA1759" s="69">
        <v>1759</v>
      </c>
      <c r="AB1759" s="69"/>
      <c r="AC1759" s="70"/>
      <c r="AD1759" s="76" t="s">
        <v>22967</v>
      </c>
      <c r="AE1759" s="81" t="s">
        <v>23989</v>
      </c>
      <c r="AF1759" s="76">
        <v>293</v>
      </c>
      <c r="AG1759" s="76">
        <v>582</v>
      </c>
      <c r="AH1759" s="76">
        <v>9754</v>
      </c>
      <c r="AI1759" s="76">
        <v>27</v>
      </c>
      <c r="AJ1759" s="76">
        <v>13220</v>
      </c>
      <c r="AK1759" s="76">
        <v>322</v>
      </c>
      <c r="AL1759" s="76" t="b">
        <v>0</v>
      </c>
      <c r="AM1759" s="78">
        <v>40373.245127314818</v>
      </c>
      <c r="AN1759" s="76" t="s">
        <v>24059</v>
      </c>
      <c r="AO1759" s="76" t="s">
        <v>26269</v>
      </c>
      <c r="AP1759" s="76"/>
      <c r="AQ1759" s="76"/>
      <c r="AR1759" s="76"/>
      <c r="AS1759" s="76"/>
      <c r="AT1759" s="76"/>
      <c r="AU1759" s="76"/>
      <c r="AV1759" s="76">
        <v>1.67435546411965E+18</v>
      </c>
      <c r="AW1759" s="76"/>
      <c r="AX1759" s="76" t="b">
        <v>0</v>
      </c>
      <c r="AY1759" s="76"/>
      <c r="AZ1759" s="76"/>
      <c r="BA1759" s="76" t="b">
        <v>1</v>
      </c>
      <c r="BB1759" s="76" t="b">
        <v>1</v>
      </c>
      <c r="BC1759" s="76" t="b">
        <v>1</v>
      </c>
      <c r="BD1759" s="76" t="b">
        <v>0</v>
      </c>
      <c r="BE1759" s="76" t="b">
        <v>0</v>
      </c>
      <c r="BF1759" s="76" t="b">
        <v>0</v>
      </c>
      <c r="BG1759" s="76" t="b">
        <v>0</v>
      </c>
      <c r="BH1759" s="82" t="str">
        <f>HYPERLINK("https://pbs.twimg.com/profile_banners/166460777/1665258105")</f>
        <v>https://pbs.twimg.com/profile_banners/166460777/1665258105</v>
      </c>
      <c r="BI1759" s="76"/>
      <c r="BJ1759" s="76" t="s">
        <v>27595</v>
      </c>
      <c r="BK1759" s="76" t="b">
        <v>0</v>
      </c>
      <c r="BL1759" s="76"/>
      <c r="BM1759" s="76" t="s">
        <v>66</v>
      </c>
      <c r="BN1759" s="76" t="s">
        <v>27597</v>
      </c>
      <c r="BO1759" s="82" t="str">
        <f>HYPERLINK("https://twitter.com/aleguardia")</f>
        <v>https://twitter.com/aleguardia</v>
      </c>
      <c r="BP1759" s="2"/>
    </row>
    <row r="1760" spans="1:68" x14ac:dyDescent="0.25">
      <c r="A1760" s="62" t="s">
        <v>1592</v>
      </c>
      <c r="B1760" s="63"/>
      <c r="C1760" s="63"/>
      <c r="D1760" s="64"/>
      <c r="E1760" s="66"/>
      <c r="F1760" s="103" t="str">
        <f>HYPERLINK("https://pbs.twimg.com/profile_images/1202386938562519042/2wr5acqk_normal.jpg")</f>
        <v>https://pbs.twimg.com/profile_images/1202386938562519042/2wr5acqk_normal.jpg</v>
      </c>
      <c r="G1760" s="63"/>
      <c r="H1760" s="67"/>
      <c r="I1760" s="68"/>
      <c r="J1760" s="68"/>
      <c r="K1760" s="67" t="s">
        <v>29354</v>
      </c>
      <c r="L1760" s="71"/>
      <c r="M1760" s="72"/>
      <c r="N1760" s="72"/>
      <c r="O1760" s="73"/>
      <c r="P1760" s="74"/>
      <c r="Q1760" s="74"/>
      <c r="R1760" s="87"/>
      <c r="S1760" s="87"/>
      <c r="T1760" s="87"/>
      <c r="U1760" s="87"/>
      <c r="V1760" s="48"/>
      <c r="W1760" s="48"/>
      <c r="X1760" s="48"/>
      <c r="Y1760" s="48"/>
      <c r="Z1760" s="47"/>
      <c r="AA1760" s="69">
        <v>1760</v>
      </c>
      <c r="AB1760" s="69"/>
      <c r="AC1760" s="70"/>
      <c r="AD1760" s="76" t="s">
        <v>22968</v>
      </c>
      <c r="AE1760" s="81" t="s">
        <v>23990</v>
      </c>
      <c r="AF1760" s="76">
        <v>2785</v>
      </c>
      <c r="AG1760" s="76">
        <v>220</v>
      </c>
      <c r="AH1760" s="76">
        <v>32478</v>
      </c>
      <c r="AI1760" s="76">
        <v>41</v>
      </c>
      <c r="AJ1760" s="76">
        <v>73</v>
      </c>
      <c r="AK1760" s="76">
        <v>7598</v>
      </c>
      <c r="AL1760" s="76" t="b">
        <v>0</v>
      </c>
      <c r="AM1760" s="78">
        <v>40088.070520833331</v>
      </c>
      <c r="AN1760" s="76" t="s">
        <v>24624</v>
      </c>
      <c r="AO1760" s="76"/>
      <c r="AP1760" s="82" t="str">
        <f>HYPERLINK("https://t.co/jz1o2YmGVe")</f>
        <v>https://t.co/jz1o2YmGVe</v>
      </c>
      <c r="AQ1760" s="82" t="str">
        <f>HYPERLINK("http://www.serranossa.com.br")</f>
        <v>http://www.serranossa.com.br</v>
      </c>
      <c r="AR1760" s="76" t="s">
        <v>27312</v>
      </c>
      <c r="AS1760" s="76"/>
      <c r="AT1760" s="76"/>
      <c r="AU1760" s="76"/>
      <c r="AV1760" s="76"/>
      <c r="AW1760" s="82" t="str">
        <f>HYPERLINK("https://t.co/jz1o2YmGVe")</f>
        <v>https://t.co/jz1o2YmGVe</v>
      </c>
      <c r="AX1760" s="76" t="b">
        <v>0</v>
      </c>
      <c r="AY1760" s="76"/>
      <c r="AZ1760" s="76"/>
      <c r="BA1760" s="76" t="b">
        <v>0</v>
      </c>
      <c r="BB1760" s="76" t="b">
        <v>1</v>
      </c>
      <c r="BC1760" s="76" t="b">
        <v>0</v>
      </c>
      <c r="BD1760" s="76" t="b">
        <v>0</v>
      </c>
      <c r="BE1760" s="76" t="b">
        <v>0</v>
      </c>
      <c r="BF1760" s="76" t="b">
        <v>0</v>
      </c>
      <c r="BG1760" s="76" t="b">
        <v>0</v>
      </c>
      <c r="BH1760" s="82" t="str">
        <f>HYPERLINK("https://pbs.twimg.com/profile_banners/79061885/1603824213")</f>
        <v>https://pbs.twimg.com/profile_banners/79061885/1603824213</v>
      </c>
      <c r="BI1760" s="76"/>
      <c r="BJ1760" s="76" t="s">
        <v>27595</v>
      </c>
      <c r="BK1760" s="76" t="b">
        <v>0</v>
      </c>
      <c r="BL1760" s="76"/>
      <c r="BM1760" s="76" t="s">
        <v>66</v>
      </c>
      <c r="BN1760" s="76" t="s">
        <v>27597</v>
      </c>
      <c r="BO1760" s="82" t="str">
        <f>HYPERLINK("https://twitter.com/serranossa")</f>
        <v>https://twitter.com/serranossa</v>
      </c>
      <c r="BP1760" s="2"/>
    </row>
    <row r="1761" spans="1:68" x14ac:dyDescent="0.25">
      <c r="A1761" s="62" t="s">
        <v>1593</v>
      </c>
      <c r="B1761" s="63"/>
      <c r="C1761" s="63"/>
      <c r="D1761" s="64"/>
      <c r="E1761" s="66"/>
      <c r="F1761" s="103" t="str">
        <f>HYPERLINK("https://pbs.twimg.com/profile_images/1431982508854452229/K24isKxq_normal.png")</f>
        <v>https://pbs.twimg.com/profile_images/1431982508854452229/K24isKxq_normal.png</v>
      </c>
      <c r="G1761" s="63"/>
      <c r="H1761" s="67"/>
      <c r="I1761" s="68"/>
      <c r="J1761" s="68"/>
      <c r="K1761" s="67" t="s">
        <v>29355</v>
      </c>
      <c r="L1761" s="71"/>
      <c r="M1761" s="72"/>
      <c r="N1761" s="72"/>
      <c r="O1761" s="73"/>
      <c r="P1761" s="74"/>
      <c r="Q1761" s="74"/>
      <c r="R1761" s="87"/>
      <c r="S1761" s="87"/>
      <c r="T1761" s="87"/>
      <c r="U1761" s="87"/>
      <c r="V1761" s="48"/>
      <c r="W1761" s="48"/>
      <c r="X1761" s="48"/>
      <c r="Y1761" s="48"/>
      <c r="Z1761" s="47"/>
      <c r="AA1761" s="69">
        <v>1761</v>
      </c>
      <c r="AB1761" s="69"/>
      <c r="AC1761" s="70"/>
      <c r="AD1761" s="76" t="s">
        <v>22969</v>
      </c>
      <c r="AE1761" s="81" t="s">
        <v>21160</v>
      </c>
      <c r="AF1761" s="76">
        <v>18</v>
      </c>
      <c r="AG1761" s="76">
        <v>1</v>
      </c>
      <c r="AH1761" s="76">
        <v>1573</v>
      </c>
      <c r="AI1761" s="76">
        <v>0</v>
      </c>
      <c r="AJ1761" s="76">
        <v>1</v>
      </c>
      <c r="AK1761" s="76">
        <v>550</v>
      </c>
      <c r="AL1761" s="76" t="b">
        <v>0</v>
      </c>
      <c r="AM1761" s="78">
        <v>44437.590381944443</v>
      </c>
      <c r="AN1761" s="76" t="s">
        <v>24675</v>
      </c>
      <c r="AO1761" s="76" t="s">
        <v>26270</v>
      </c>
      <c r="AP1761" s="82" t="str">
        <f>HYPERLINK("https://t.co/SwYIG6eaIG")</f>
        <v>https://t.co/SwYIG6eaIG</v>
      </c>
      <c r="AQ1761" s="82" t="str">
        <f>HYPERLINK("http://rj106.com.br")</f>
        <v>http://rj106.com.br</v>
      </c>
      <c r="AR1761" s="76" t="s">
        <v>27313</v>
      </c>
      <c r="AS1761" s="82" t="str">
        <f>HYPERLINK("https://t.co/CQewZ3FlfZ")</f>
        <v>https://t.co/CQewZ3FlfZ</v>
      </c>
      <c r="AT1761" s="82" t="str">
        <f>HYPERLINK("http://RJ106.com.br")</f>
        <v>http://RJ106.com.br</v>
      </c>
      <c r="AU1761" s="76" t="s">
        <v>27582</v>
      </c>
      <c r="AV1761" s="76"/>
      <c r="AW1761" s="82" t="str">
        <f>HYPERLINK("https://t.co/SwYIG6eaIG")</f>
        <v>https://t.co/SwYIG6eaIG</v>
      </c>
      <c r="AX1761" s="76" t="b">
        <v>0</v>
      </c>
      <c r="AY1761" s="76"/>
      <c r="AZ1761" s="76"/>
      <c r="BA1761" s="76" t="b">
        <v>0</v>
      </c>
      <c r="BB1761" s="76" t="b">
        <v>1</v>
      </c>
      <c r="BC1761" s="76" t="b">
        <v>1</v>
      </c>
      <c r="BD1761" s="76" t="b">
        <v>0</v>
      </c>
      <c r="BE1761" s="76" t="b">
        <v>0</v>
      </c>
      <c r="BF1761" s="76" t="b">
        <v>0</v>
      </c>
      <c r="BG1761" s="76" t="b">
        <v>0</v>
      </c>
      <c r="BH1761" s="76"/>
      <c r="BI1761" s="76"/>
      <c r="BJ1761" s="76" t="s">
        <v>27595</v>
      </c>
      <c r="BK1761" s="76" t="b">
        <v>0</v>
      </c>
      <c r="BL1761" s="76"/>
      <c r="BM1761" s="76" t="s">
        <v>66</v>
      </c>
      <c r="BN1761" s="76" t="s">
        <v>27597</v>
      </c>
      <c r="BO1761" s="82" t="str">
        <f>HYPERLINK("https://twitter.com/rj106news")</f>
        <v>https://twitter.com/rj106news</v>
      </c>
      <c r="BP1761" s="2"/>
    </row>
    <row r="1762" spans="1:68" x14ac:dyDescent="0.25">
      <c r="A1762" s="62" t="s">
        <v>1594</v>
      </c>
      <c r="B1762" s="63"/>
      <c r="C1762" s="63"/>
      <c r="D1762" s="64"/>
      <c r="E1762" s="66"/>
      <c r="F1762" s="103" t="str">
        <f>HYPERLINK("https://pbs.twimg.com/profile_images/1157780273112715264/VrTYn4Si_normal.jpg")</f>
        <v>https://pbs.twimg.com/profile_images/1157780273112715264/VrTYn4Si_normal.jpg</v>
      </c>
      <c r="G1762" s="63"/>
      <c r="H1762" s="67"/>
      <c r="I1762" s="68"/>
      <c r="J1762" s="68"/>
      <c r="K1762" s="67" t="s">
        <v>29356</v>
      </c>
      <c r="L1762" s="71"/>
      <c r="M1762" s="72"/>
      <c r="N1762" s="72"/>
      <c r="O1762" s="73"/>
      <c r="P1762" s="74"/>
      <c r="Q1762" s="74"/>
      <c r="R1762" s="87"/>
      <c r="S1762" s="87"/>
      <c r="T1762" s="87"/>
      <c r="U1762" s="87"/>
      <c r="V1762" s="48"/>
      <c r="W1762" s="48"/>
      <c r="X1762" s="48"/>
      <c r="Y1762" s="48"/>
      <c r="Z1762" s="47"/>
      <c r="AA1762" s="69">
        <v>1762</v>
      </c>
      <c r="AB1762" s="69"/>
      <c r="AC1762" s="70"/>
      <c r="AD1762" s="76" t="s">
        <v>22970</v>
      </c>
      <c r="AE1762" s="81" t="s">
        <v>23991</v>
      </c>
      <c r="AF1762" s="76">
        <v>15092</v>
      </c>
      <c r="AG1762" s="76">
        <v>3790</v>
      </c>
      <c r="AH1762" s="76">
        <v>40847</v>
      </c>
      <c r="AI1762" s="76">
        <v>180</v>
      </c>
      <c r="AJ1762" s="76">
        <v>10610</v>
      </c>
      <c r="AK1762" s="76">
        <v>15716</v>
      </c>
      <c r="AL1762" s="76" t="b">
        <v>0</v>
      </c>
      <c r="AM1762" s="78">
        <v>40729.778067129628</v>
      </c>
      <c r="AN1762" s="76" t="s">
        <v>14411</v>
      </c>
      <c r="AO1762" s="76" t="s">
        <v>26271</v>
      </c>
      <c r="AP1762" s="82" t="str">
        <f>HYPERLINK("https://t.co/diQhU18WJr")</f>
        <v>https://t.co/diQhU18WJr</v>
      </c>
      <c r="AQ1762" s="82" t="str">
        <f>HYPERLINK("https://www.sonoticiaboa.com.br/")</f>
        <v>https://www.sonoticiaboa.com.br/</v>
      </c>
      <c r="AR1762" s="76" t="s">
        <v>27314</v>
      </c>
      <c r="AS1762" s="76"/>
      <c r="AT1762" s="76"/>
      <c r="AU1762" s="76"/>
      <c r="AV1762" s="76">
        <v>1.70733686798352E+18</v>
      </c>
      <c r="AW1762" s="82" t="str">
        <f>HYPERLINK("https://t.co/diQhU18WJr")</f>
        <v>https://t.co/diQhU18WJr</v>
      </c>
      <c r="AX1762" s="76" t="b">
        <v>0</v>
      </c>
      <c r="AY1762" s="76"/>
      <c r="AZ1762" s="76"/>
      <c r="BA1762" s="76" t="b">
        <v>1</v>
      </c>
      <c r="BB1762" s="76" t="b">
        <v>1</v>
      </c>
      <c r="BC1762" s="76" t="b">
        <v>0</v>
      </c>
      <c r="BD1762" s="76" t="b">
        <v>0</v>
      </c>
      <c r="BE1762" s="76" t="b">
        <v>0</v>
      </c>
      <c r="BF1762" s="76" t="b">
        <v>0</v>
      </c>
      <c r="BG1762" s="76" t="b">
        <v>1</v>
      </c>
      <c r="BH1762" s="82" t="str">
        <f>HYPERLINK("https://pbs.twimg.com/profile_banners/329857969/1564871306")</f>
        <v>https://pbs.twimg.com/profile_banners/329857969/1564871306</v>
      </c>
      <c r="BI1762" s="76"/>
      <c r="BJ1762" s="76" t="s">
        <v>27595</v>
      </c>
      <c r="BK1762" s="76" t="b">
        <v>0</v>
      </c>
      <c r="BL1762" s="76"/>
      <c r="BM1762" s="76" t="s">
        <v>66</v>
      </c>
      <c r="BN1762" s="76" t="s">
        <v>27597</v>
      </c>
      <c r="BO1762" s="82" t="str">
        <f>HYPERLINK("https://twitter.com/sonoticiaboaofc")</f>
        <v>https://twitter.com/sonoticiaboaofc</v>
      </c>
      <c r="BP1762" s="2"/>
    </row>
    <row r="1763" spans="1:68" x14ac:dyDescent="0.25">
      <c r="A1763" s="62" t="s">
        <v>1595</v>
      </c>
      <c r="B1763" s="63"/>
      <c r="C1763" s="63"/>
      <c r="D1763" s="64"/>
      <c r="E1763" s="66"/>
      <c r="F1763" s="103" t="str">
        <f>HYPERLINK("https://pbs.twimg.com/profile_images/1644018916333703168/wUXmwPnV_normal.jpg")</f>
        <v>https://pbs.twimg.com/profile_images/1644018916333703168/wUXmwPnV_normal.jpg</v>
      </c>
      <c r="G1763" s="63"/>
      <c r="H1763" s="67"/>
      <c r="I1763" s="68"/>
      <c r="J1763" s="68"/>
      <c r="K1763" s="67" t="s">
        <v>29357</v>
      </c>
      <c r="L1763" s="71"/>
      <c r="M1763" s="72"/>
      <c r="N1763" s="72"/>
      <c r="O1763" s="73"/>
      <c r="P1763" s="74"/>
      <c r="Q1763" s="74"/>
      <c r="R1763" s="87"/>
      <c r="S1763" s="87"/>
      <c r="T1763" s="87"/>
      <c r="U1763" s="87"/>
      <c r="V1763" s="48"/>
      <c r="W1763" s="48"/>
      <c r="X1763" s="48"/>
      <c r="Y1763" s="48"/>
      <c r="Z1763" s="47"/>
      <c r="AA1763" s="69">
        <v>1763</v>
      </c>
      <c r="AB1763" s="69"/>
      <c r="AC1763" s="70"/>
      <c r="AD1763" s="76" t="s">
        <v>22971</v>
      </c>
      <c r="AE1763" s="81" t="s">
        <v>23992</v>
      </c>
      <c r="AF1763" s="76">
        <v>2513</v>
      </c>
      <c r="AG1763" s="76">
        <v>4869</v>
      </c>
      <c r="AH1763" s="76">
        <v>145266</v>
      </c>
      <c r="AI1763" s="76">
        <v>6</v>
      </c>
      <c r="AJ1763" s="76">
        <v>270128</v>
      </c>
      <c r="AK1763" s="76">
        <v>4130</v>
      </c>
      <c r="AL1763" s="76" t="b">
        <v>0</v>
      </c>
      <c r="AM1763" s="78">
        <v>41147.086701388886</v>
      </c>
      <c r="AN1763" s="76" t="s">
        <v>24676</v>
      </c>
      <c r="AO1763" s="76" t="s">
        <v>26272</v>
      </c>
      <c r="AP1763" s="76"/>
      <c r="AQ1763" s="76"/>
      <c r="AR1763" s="76"/>
      <c r="AS1763" s="76"/>
      <c r="AT1763" s="76"/>
      <c r="AU1763" s="76"/>
      <c r="AV1763" s="76">
        <v>8.8434550178889306E+17</v>
      </c>
      <c r="AW1763" s="76"/>
      <c r="AX1763" s="76" t="b">
        <v>0</v>
      </c>
      <c r="AY1763" s="76"/>
      <c r="AZ1763" s="76"/>
      <c r="BA1763" s="76" t="b">
        <v>0</v>
      </c>
      <c r="BB1763" s="76" t="b">
        <v>0</v>
      </c>
      <c r="BC1763" s="76" t="b">
        <v>0</v>
      </c>
      <c r="BD1763" s="76" t="b">
        <v>0</v>
      </c>
      <c r="BE1763" s="76" t="b">
        <v>1</v>
      </c>
      <c r="BF1763" s="76" t="b">
        <v>0</v>
      </c>
      <c r="BG1763" s="76" t="b">
        <v>0</v>
      </c>
      <c r="BH1763" s="82" t="str">
        <f>HYPERLINK("https://pbs.twimg.com/profile_banners/781492796/1579574362")</f>
        <v>https://pbs.twimg.com/profile_banners/781492796/1579574362</v>
      </c>
      <c r="BI1763" s="76"/>
      <c r="BJ1763" s="76" t="s">
        <v>27595</v>
      </c>
      <c r="BK1763" s="76" t="b">
        <v>0</v>
      </c>
      <c r="BL1763" s="76"/>
      <c r="BM1763" s="76" t="s">
        <v>66</v>
      </c>
      <c r="BN1763" s="76" t="s">
        <v>27597</v>
      </c>
      <c r="BO1763" s="82" t="str">
        <f>HYPERLINK("https://twitter.com/pretogalosempre")</f>
        <v>https://twitter.com/pretogalosempre</v>
      </c>
      <c r="BP1763" s="2"/>
    </row>
    <row r="1764" spans="1:68" x14ac:dyDescent="0.25">
      <c r="A1764" s="62" t="s">
        <v>1597</v>
      </c>
      <c r="B1764" s="63"/>
      <c r="C1764" s="63"/>
      <c r="D1764" s="64"/>
      <c r="E1764" s="66"/>
      <c r="F1764" s="103" t="str">
        <f>HYPERLINK("https://pbs.twimg.com/profile_images/797954297493417984/4ll04jw__normal.jpg")</f>
        <v>https://pbs.twimg.com/profile_images/797954297493417984/4ll04jw__normal.jpg</v>
      </c>
      <c r="G1764" s="63"/>
      <c r="H1764" s="67"/>
      <c r="I1764" s="68"/>
      <c r="J1764" s="68"/>
      <c r="K1764" s="67" t="s">
        <v>29358</v>
      </c>
      <c r="L1764" s="71"/>
      <c r="M1764" s="72"/>
      <c r="N1764" s="72"/>
      <c r="O1764" s="73"/>
      <c r="P1764" s="74"/>
      <c r="Q1764" s="74"/>
      <c r="R1764" s="87"/>
      <c r="S1764" s="87"/>
      <c r="T1764" s="87"/>
      <c r="U1764" s="87"/>
      <c r="V1764" s="48"/>
      <c r="W1764" s="48"/>
      <c r="X1764" s="48"/>
      <c r="Y1764" s="48"/>
      <c r="Z1764" s="47"/>
      <c r="AA1764" s="69">
        <v>1764</v>
      </c>
      <c r="AB1764" s="69"/>
      <c r="AC1764" s="70"/>
      <c r="AD1764" s="76" t="s">
        <v>22972</v>
      </c>
      <c r="AE1764" s="81" t="s">
        <v>23993</v>
      </c>
      <c r="AF1764" s="76">
        <v>381</v>
      </c>
      <c r="AG1764" s="76">
        <v>163</v>
      </c>
      <c r="AH1764" s="76">
        <v>12258</v>
      </c>
      <c r="AI1764" s="76">
        <v>11</v>
      </c>
      <c r="AJ1764" s="76">
        <v>18598</v>
      </c>
      <c r="AK1764" s="76">
        <v>193</v>
      </c>
      <c r="AL1764" s="76" t="b">
        <v>0</v>
      </c>
      <c r="AM1764" s="78">
        <v>39992.488449074073</v>
      </c>
      <c r="AN1764" s="76" t="s">
        <v>14382</v>
      </c>
      <c r="AO1764" s="76" t="s">
        <v>26273</v>
      </c>
      <c r="AP1764" s="76"/>
      <c r="AQ1764" s="76"/>
      <c r="AR1764" s="76"/>
      <c r="AS1764" s="76"/>
      <c r="AT1764" s="76"/>
      <c r="AU1764" s="76"/>
      <c r="AV1764" s="76"/>
      <c r="AW1764" s="76"/>
      <c r="AX1764" s="76" t="b">
        <v>0</v>
      </c>
      <c r="AY1764" s="76"/>
      <c r="AZ1764" s="76"/>
      <c r="BA1764" s="76" t="b">
        <v>0</v>
      </c>
      <c r="BB1764" s="76" t="b">
        <v>0</v>
      </c>
      <c r="BC1764" s="76" t="b">
        <v>1</v>
      </c>
      <c r="BD1764" s="76" t="b">
        <v>0</v>
      </c>
      <c r="BE1764" s="76" t="b">
        <v>1</v>
      </c>
      <c r="BF1764" s="76" t="b">
        <v>0</v>
      </c>
      <c r="BG1764" s="76" t="b">
        <v>0</v>
      </c>
      <c r="BH1764" s="82" t="str">
        <f>HYPERLINK("https://pbs.twimg.com/profile_banners/51710738/1479330213")</f>
        <v>https://pbs.twimg.com/profile_banners/51710738/1479330213</v>
      </c>
      <c r="BI1764" s="76"/>
      <c r="BJ1764" s="76" t="s">
        <v>27595</v>
      </c>
      <c r="BK1764" s="76" t="b">
        <v>0</v>
      </c>
      <c r="BL1764" s="76"/>
      <c r="BM1764" s="76" t="s">
        <v>66</v>
      </c>
      <c r="BN1764" s="76" t="s">
        <v>27597</v>
      </c>
      <c r="BO1764" s="82" t="str">
        <f>HYPERLINK("https://twitter.com/tyrsomeireles")</f>
        <v>https://twitter.com/tyrsomeireles</v>
      </c>
      <c r="BP1764" s="2"/>
    </row>
    <row r="1765" spans="1:68" x14ac:dyDescent="0.25">
      <c r="A1765" s="62" t="s">
        <v>1598</v>
      </c>
      <c r="B1765" s="63"/>
      <c r="C1765" s="63"/>
      <c r="D1765" s="64"/>
      <c r="E1765" s="66"/>
      <c r="F1765" s="103" t="str">
        <f>HYPERLINK("https://pbs.twimg.com/profile_images/1099416003937820673/tTCn4mGE_normal.jpg")</f>
        <v>https://pbs.twimg.com/profile_images/1099416003937820673/tTCn4mGE_normal.jpg</v>
      </c>
      <c r="G1765" s="63"/>
      <c r="H1765" s="67"/>
      <c r="I1765" s="68"/>
      <c r="J1765" s="68"/>
      <c r="K1765" s="67" t="s">
        <v>29359</v>
      </c>
      <c r="L1765" s="71"/>
      <c r="M1765" s="72"/>
      <c r="N1765" s="72"/>
      <c r="O1765" s="73"/>
      <c r="P1765" s="74"/>
      <c r="Q1765" s="74"/>
      <c r="R1765" s="87"/>
      <c r="S1765" s="87"/>
      <c r="T1765" s="87"/>
      <c r="U1765" s="87"/>
      <c r="V1765" s="48"/>
      <c r="W1765" s="48"/>
      <c r="X1765" s="48"/>
      <c r="Y1765" s="48"/>
      <c r="Z1765" s="47"/>
      <c r="AA1765" s="69">
        <v>1765</v>
      </c>
      <c r="AB1765" s="69"/>
      <c r="AC1765" s="70"/>
      <c r="AD1765" s="76" t="s">
        <v>22973</v>
      </c>
      <c r="AE1765" s="81" t="s">
        <v>23994</v>
      </c>
      <c r="AF1765" s="76">
        <v>2268</v>
      </c>
      <c r="AG1765" s="76">
        <v>3963</v>
      </c>
      <c r="AH1765" s="76">
        <v>31491</v>
      </c>
      <c r="AI1765" s="76">
        <v>7</v>
      </c>
      <c r="AJ1765" s="76">
        <v>19686</v>
      </c>
      <c r="AK1765" s="76">
        <v>8918</v>
      </c>
      <c r="AL1765" s="76" t="b">
        <v>0</v>
      </c>
      <c r="AM1765" s="78">
        <v>40322.21199074074</v>
      </c>
      <c r="AN1765" s="76" t="s">
        <v>14420</v>
      </c>
      <c r="AO1765" s="76" t="s">
        <v>26274</v>
      </c>
      <c r="AP1765" s="82" t="str">
        <f>HYPERLINK("https://t.co/3DhcfyZ0b9")</f>
        <v>https://t.co/3DhcfyZ0b9</v>
      </c>
      <c r="AQ1765" s="82" t="str">
        <f>HYPERLINK("http://elvocero.ar")</f>
        <v>http://elvocero.ar</v>
      </c>
      <c r="AR1765" s="76" t="s">
        <v>22860</v>
      </c>
      <c r="AS1765" s="76"/>
      <c r="AT1765" s="76"/>
      <c r="AU1765" s="76"/>
      <c r="AV1765" s="76"/>
      <c r="AW1765" s="82" t="str">
        <f>HYPERLINK("https://t.co/3DhcfyZ0b9")</f>
        <v>https://t.co/3DhcfyZ0b9</v>
      </c>
      <c r="AX1765" s="76" t="b">
        <v>0</v>
      </c>
      <c r="AY1765" s="76"/>
      <c r="AZ1765" s="76"/>
      <c r="BA1765" s="76" t="b">
        <v>0</v>
      </c>
      <c r="BB1765" s="76" t="b">
        <v>1</v>
      </c>
      <c r="BC1765" s="76" t="b">
        <v>1</v>
      </c>
      <c r="BD1765" s="76" t="b">
        <v>0</v>
      </c>
      <c r="BE1765" s="76" t="b">
        <v>1</v>
      </c>
      <c r="BF1765" s="76" t="b">
        <v>0</v>
      </c>
      <c r="BG1765" s="76" t="b">
        <v>0</v>
      </c>
      <c r="BH1765" s="82" t="str">
        <f>HYPERLINK("https://pbs.twimg.com/profile_banners/147451212/1473283128")</f>
        <v>https://pbs.twimg.com/profile_banners/147451212/1473283128</v>
      </c>
      <c r="BI1765" s="76"/>
      <c r="BJ1765" s="76" t="s">
        <v>27595</v>
      </c>
      <c r="BK1765" s="76" t="b">
        <v>0</v>
      </c>
      <c r="BL1765" s="76"/>
      <c r="BM1765" s="76" t="s">
        <v>66</v>
      </c>
      <c r="BN1765" s="76" t="s">
        <v>27597</v>
      </c>
      <c r="BO1765" s="82" t="str">
        <f>HYPERLINK("https://twitter.com/germargheritti")</f>
        <v>https://twitter.com/germargheritti</v>
      </c>
      <c r="BP1765" s="2"/>
    </row>
    <row r="1766" spans="1:68" x14ac:dyDescent="0.25">
      <c r="A1766" s="62" t="s">
        <v>1599</v>
      </c>
      <c r="B1766" s="63"/>
      <c r="C1766" s="63"/>
      <c r="D1766" s="64"/>
      <c r="E1766" s="66"/>
      <c r="F1766" s="103" t="str">
        <f>HYPERLINK("https://pbs.twimg.com/profile_images/1702502715174117376/TwLv6Fq6_normal.jpg")</f>
        <v>https://pbs.twimg.com/profile_images/1702502715174117376/TwLv6Fq6_normal.jpg</v>
      </c>
      <c r="G1766" s="63"/>
      <c r="H1766" s="67"/>
      <c r="I1766" s="68"/>
      <c r="J1766" s="68"/>
      <c r="K1766" s="67" t="s">
        <v>29360</v>
      </c>
      <c r="L1766" s="71"/>
      <c r="M1766" s="72"/>
      <c r="N1766" s="72"/>
      <c r="O1766" s="73"/>
      <c r="P1766" s="74"/>
      <c r="Q1766" s="74"/>
      <c r="R1766" s="87"/>
      <c r="S1766" s="87"/>
      <c r="T1766" s="87"/>
      <c r="U1766" s="87"/>
      <c r="V1766" s="48"/>
      <c r="W1766" s="48"/>
      <c r="X1766" s="48"/>
      <c r="Y1766" s="48"/>
      <c r="Z1766" s="47"/>
      <c r="AA1766" s="69">
        <v>1766</v>
      </c>
      <c r="AB1766" s="69"/>
      <c r="AC1766" s="70"/>
      <c r="AD1766" s="76" t="s">
        <v>22974</v>
      </c>
      <c r="AE1766" s="81" t="s">
        <v>23995</v>
      </c>
      <c r="AF1766" s="76">
        <v>798</v>
      </c>
      <c r="AG1766" s="76">
        <v>175</v>
      </c>
      <c r="AH1766" s="76">
        <v>9049</v>
      </c>
      <c r="AI1766" s="76">
        <v>8</v>
      </c>
      <c r="AJ1766" s="76">
        <v>750</v>
      </c>
      <c r="AK1766" s="76">
        <v>2507</v>
      </c>
      <c r="AL1766" s="76" t="b">
        <v>0</v>
      </c>
      <c r="AM1766" s="78">
        <v>40267.149456018517</v>
      </c>
      <c r="AN1766" s="76" t="s">
        <v>24677</v>
      </c>
      <c r="AO1766" s="76" t="s">
        <v>26275</v>
      </c>
      <c r="AP1766" s="82" t="str">
        <f>HYPERLINK("https://t.co/n2UACLxVgG")</f>
        <v>https://t.co/n2UACLxVgG</v>
      </c>
      <c r="AQ1766" s="82" t="str">
        <f>HYPERLINK("https://www.instagram.com/tonidibujante")</f>
        <v>https://www.instagram.com/tonidibujante</v>
      </c>
      <c r="AR1766" s="76" t="s">
        <v>27315</v>
      </c>
      <c r="AS1766" s="76"/>
      <c r="AT1766" s="76"/>
      <c r="AU1766" s="76"/>
      <c r="AV1766" s="76">
        <v>1.6166641369136799E+18</v>
      </c>
      <c r="AW1766" s="82" t="str">
        <f>HYPERLINK("https://t.co/n2UACLxVgG")</f>
        <v>https://t.co/n2UACLxVgG</v>
      </c>
      <c r="AX1766" s="76" t="b">
        <v>0</v>
      </c>
      <c r="AY1766" s="76"/>
      <c r="AZ1766" s="76"/>
      <c r="BA1766" s="76" t="b">
        <v>0</v>
      </c>
      <c r="BB1766" s="76" t="b">
        <v>1</v>
      </c>
      <c r="BC1766" s="76" t="b">
        <v>0</v>
      </c>
      <c r="BD1766" s="76" t="b">
        <v>0</v>
      </c>
      <c r="BE1766" s="76" t="b">
        <v>1</v>
      </c>
      <c r="BF1766" s="76" t="b">
        <v>0</v>
      </c>
      <c r="BG1766" s="76" t="b">
        <v>0</v>
      </c>
      <c r="BH1766" s="82" t="str">
        <f>HYPERLINK("https://pbs.twimg.com/profile_banners/127745862/1674277698")</f>
        <v>https://pbs.twimg.com/profile_banners/127745862/1674277698</v>
      </c>
      <c r="BI1766" s="76"/>
      <c r="BJ1766" s="76" t="s">
        <v>27595</v>
      </c>
      <c r="BK1766" s="76" t="b">
        <v>0</v>
      </c>
      <c r="BL1766" s="76"/>
      <c r="BM1766" s="76" t="s">
        <v>66</v>
      </c>
      <c r="BN1766" s="76" t="s">
        <v>27597</v>
      </c>
      <c r="BO1766" s="82" t="str">
        <f>HYPERLINK("https://twitter.com/tonidibujante")</f>
        <v>https://twitter.com/tonidibujante</v>
      </c>
      <c r="BP1766" s="2"/>
    </row>
    <row r="1767" spans="1:68" x14ac:dyDescent="0.25">
      <c r="A1767" s="62" t="s">
        <v>1600</v>
      </c>
      <c r="B1767" s="63"/>
      <c r="C1767" s="63"/>
      <c r="D1767" s="64"/>
      <c r="E1767" s="66"/>
      <c r="F1767" s="103" t="str">
        <f>HYPERLINK("https://pbs.twimg.com/profile_images/1597647563271831552/GDFr4t8D_normal.jpg")</f>
        <v>https://pbs.twimg.com/profile_images/1597647563271831552/GDFr4t8D_normal.jpg</v>
      </c>
      <c r="G1767" s="63"/>
      <c r="H1767" s="67"/>
      <c r="I1767" s="68"/>
      <c r="J1767" s="68"/>
      <c r="K1767" s="67" t="s">
        <v>29361</v>
      </c>
      <c r="L1767" s="71"/>
      <c r="M1767" s="72"/>
      <c r="N1767" s="72"/>
      <c r="O1767" s="73"/>
      <c r="P1767" s="74"/>
      <c r="Q1767" s="74"/>
      <c r="R1767" s="87"/>
      <c r="S1767" s="87"/>
      <c r="T1767" s="87"/>
      <c r="U1767" s="87"/>
      <c r="V1767" s="48"/>
      <c r="W1767" s="48"/>
      <c r="X1767" s="48"/>
      <c r="Y1767" s="48"/>
      <c r="Z1767" s="47"/>
      <c r="AA1767" s="69">
        <v>1767</v>
      </c>
      <c r="AB1767" s="69"/>
      <c r="AC1767" s="70"/>
      <c r="AD1767" s="76" t="s">
        <v>22975</v>
      </c>
      <c r="AE1767" s="81" t="s">
        <v>21161</v>
      </c>
      <c r="AF1767" s="76">
        <v>62040</v>
      </c>
      <c r="AG1767" s="76">
        <v>727</v>
      </c>
      <c r="AH1767" s="76">
        <v>21776</v>
      </c>
      <c r="AI1767" s="76">
        <v>172</v>
      </c>
      <c r="AJ1767" s="76">
        <v>4250</v>
      </c>
      <c r="AK1767" s="76">
        <v>14278</v>
      </c>
      <c r="AL1767" s="76" t="b">
        <v>0</v>
      </c>
      <c r="AM1767" s="78">
        <v>42546.680462962962</v>
      </c>
      <c r="AN1767" s="76" t="s">
        <v>24153</v>
      </c>
      <c r="AO1767" s="76" t="s">
        <v>26276</v>
      </c>
      <c r="AP1767" s="82" t="str">
        <f>HYPERLINK("https://t.co/OpxbT9A8Rg")</f>
        <v>https://t.co/OpxbT9A8Rg</v>
      </c>
      <c r="AQ1767" s="82" t="str">
        <f>HYPERLINK("https://www.ecuavisa.com/programas/nuestros-noticieros/politicamente-correcto")</f>
        <v>https://www.ecuavisa.com/programas/nuestros-noticieros/politicamente-correcto</v>
      </c>
      <c r="AR1767" s="76" t="s">
        <v>27316</v>
      </c>
      <c r="AS1767" s="76"/>
      <c r="AT1767" s="76"/>
      <c r="AU1767" s="76"/>
      <c r="AV1767" s="76">
        <v>1.70599047716451E+18</v>
      </c>
      <c r="AW1767" s="82" t="str">
        <f>HYPERLINK("https://t.co/OpxbT9A8Rg")</f>
        <v>https://t.co/OpxbT9A8Rg</v>
      </c>
      <c r="AX1767" s="76" t="b">
        <v>1</v>
      </c>
      <c r="AY1767" s="76"/>
      <c r="AZ1767" s="76"/>
      <c r="BA1767" s="76" t="b">
        <v>1</v>
      </c>
      <c r="BB1767" s="76" t="b">
        <v>0</v>
      </c>
      <c r="BC1767" s="76" t="b">
        <v>0</v>
      </c>
      <c r="BD1767" s="76" t="b">
        <v>0</v>
      </c>
      <c r="BE1767" s="76" t="b">
        <v>0</v>
      </c>
      <c r="BF1767" s="76" t="b">
        <v>0</v>
      </c>
      <c r="BG1767" s="76" t="b">
        <v>0</v>
      </c>
      <c r="BH1767" s="82" t="str">
        <f>HYPERLINK("https://pbs.twimg.com/profile_banners/746739697028894721/1554905434")</f>
        <v>https://pbs.twimg.com/profile_banners/746739697028894721/1554905434</v>
      </c>
      <c r="BI1767" s="76"/>
      <c r="BJ1767" s="76" t="s">
        <v>27595</v>
      </c>
      <c r="BK1767" s="76" t="b">
        <v>0</v>
      </c>
      <c r="BL1767" s="76"/>
      <c r="BM1767" s="76" t="s">
        <v>66</v>
      </c>
      <c r="BN1767" s="76" t="s">
        <v>27597</v>
      </c>
      <c r="BO1767" s="82" t="str">
        <f>HYPERLINK("https://twitter.com/politikcorrecta")</f>
        <v>https://twitter.com/politikcorrecta</v>
      </c>
      <c r="BP1767" s="2"/>
    </row>
    <row r="1768" spans="1:68" x14ac:dyDescent="0.25">
      <c r="A1768" s="62" t="s">
        <v>2064</v>
      </c>
      <c r="B1768" s="63"/>
      <c r="C1768" s="63"/>
      <c r="D1768" s="64"/>
      <c r="E1768" s="66"/>
      <c r="F1768" s="103" t="str">
        <f>HYPERLINK("https://pbs.twimg.com/profile_images/1428465520014249987/LnCO0bin_normal.jpg")</f>
        <v>https://pbs.twimg.com/profile_images/1428465520014249987/LnCO0bin_normal.jpg</v>
      </c>
      <c r="G1768" s="63"/>
      <c r="H1768" s="67"/>
      <c r="I1768" s="68"/>
      <c r="J1768" s="68"/>
      <c r="K1768" s="67" t="s">
        <v>29362</v>
      </c>
      <c r="L1768" s="71"/>
      <c r="M1768" s="72"/>
      <c r="N1768" s="72"/>
      <c r="O1768" s="73"/>
      <c r="P1768" s="74"/>
      <c r="Q1768" s="74"/>
      <c r="R1768" s="87"/>
      <c r="S1768" s="87"/>
      <c r="T1768" s="87"/>
      <c r="U1768" s="87"/>
      <c r="V1768" s="48"/>
      <c r="W1768" s="48"/>
      <c r="X1768" s="48"/>
      <c r="Y1768" s="48"/>
      <c r="Z1768" s="47"/>
      <c r="AA1768" s="69">
        <v>1768</v>
      </c>
      <c r="AB1768" s="69"/>
      <c r="AC1768" s="70"/>
      <c r="AD1768" s="76" t="s">
        <v>22976</v>
      </c>
      <c r="AE1768" s="81" t="s">
        <v>23996</v>
      </c>
      <c r="AF1768" s="76">
        <v>2033</v>
      </c>
      <c r="AG1768" s="76">
        <v>479</v>
      </c>
      <c r="AH1768" s="76">
        <v>38950</v>
      </c>
      <c r="AI1768" s="76">
        <v>9</v>
      </c>
      <c r="AJ1768" s="76">
        <v>4882</v>
      </c>
      <c r="AK1768" s="76">
        <v>5356</v>
      </c>
      <c r="AL1768" s="76" t="b">
        <v>0</v>
      </c>
      <c r="AM1768" s="78">
        <v>41701.236238425925</v>
      </c>
      <c r="AN1768" s="76" t="s">
        <v>24371</v>
      </c>
      <c r="AO1768" s="76" t="s">
        <v>26277</v>
      </c>
      <c r="AP1768" s="82" t="str">
        <f>HYPERLINK("https://t.co/uEhUkOe2Iv")</f>
        <v>https://t.co/uEhUkOe2Iv</v>
      </c>
      <c r="AQ1768" s="82" t="str">
        <f>HYPERLINK("https://linktr.ee/LarryYumibandaMontiel")</f>
        <v>https://linktr.ee/LarryYumibandaMontiel</v>
      </c>
      <c r="AR1768" s="76" t="s">
        <v>27317</v>
      </c>
      <c r="AS1768" s="76"/>
      <c r="AT1768" s="76"/>
      <c r="AU1768" s="76"/>
      <c r="AV1768" s="76">
        <v>1.42767767215133E+18</v>
      </c>
      <c r="AW1768" s="82" t="str">
        <f>HYPERLINK("https://t.co/uEhUkOe2Iv")</f>
        <v>https://t.co/uEhUkOe2Iv</v>
      </c>
      <c r="AX1768" s="76" t="b">
        <v>0</v>
      </c>
      <c r="AY1768" s="76"/>
      <c r="AZ1768" s="76"/>
      <c r="BA1768" s="76" t="b">
        <v>1</v>
      </c>
      <c r="BB1768" s="76" t="b">
        <v>1</v>
      </c>
      <c r="BC1768" s="76" t="b">
        <v>0</v>
      </c>
      <c r="BD1768" s="76" t="b">
        <v>0</v>
      </c>
      <c r="BE1768" s="76" t="b">
        <v>0</v>
      </c>
      <c r="BF1768" s="76" t="b">
        <v>0</v>
      </c>
      <c r="BG1768" s="76" t="b">
        <v>0</v>
      </c>
      <c r="BH1768" s="82" t="str">
        <f>HYPERLINK("https://pbs.twimg.com/profile_banners/2369911734/1590033178")</f>
        <v>https://pbs.twimg.com/profile_banners/2369911734/1590033178</v>
      </c>
      <c r="BI1768" s="76"/>
      <c r="BJ1768" s="76" t="s">
        <v>27595</v>
      </c>
      <c r="BK1768" s="76" t="b">
        <v>0</v>
      </c>
      <c r="BL1768" s="76"/>
      <c r="BM1768" s="76" t="s">
        <v>65</v>
      </c>
      <c r="BN1768" s="76" t="s">
        <v>27597</v>
      </c>
      <c r="BO1768" s="82" t="str">
        <f>HYPERLINK("https://twitter.com/larryyumibandam")</f>
        <v>https://twitter.com/larryyumibandam</v>
      </c>
      <c r="BP1768" s="2"/>
    </row>
    <row r="1769" spans="1:68" x14ac:dyDescent="0.25">
      <c r="A1769" s="62" t="s">
        <v>1601</v>
      </c>
      <c r="B1769" s="63"/>
      <c r="C1769" s="63"/>
      <c r="D1769" s="64"/>
      <c r="E1769" s="66"/>
      <c r="F1769" s="103" t="str">
        <f>HYPERLINK("https://pbs.twimg.com/profile_images/1340259441065791488/wMwavqzM_normal.jpg")</f>
        <v>https://pbs.twimg.com/profile_images/1340259441065791488/wMwavqzM_normal.jpg</v>
      </c>
      <c r="G1769" s="63"/>
      <c r="H1769" s="67"/>
      <c r="I1769" s="68"/>
      <c r="J1769" s="68"/>
      <c r="K1769" s="67" t="s">
        <v>29363</v>
      </c>
      <c r="L1769" s="71"/>
      <c r="M1769" s="72"/>
      <c r="N1769" s="72"/>
      <c r="O1769" s="73"/>
      <c r="P1769" s="74"/>
      <c r="Q1769" s="74"/>
      <c r="R1769" s="87"/>
      <c r="S1769" s="87"/>
      <c r="T1769" s="87"/>
      <c r="U1769" s="87"/>
      <c r="V1769" s="48"/>
      <c r="W1769" s="48"/>
      <c r="X1769" s="48"/>
      <c r="Y1769" s="48"/>
      <c r="Z1769" s="47"/>
      <c r="AA1769" s="69">
        <v>1769</v>
      </c>
      <c r="AB1769" s="69"/>
      <c r="AC1769" s="70"/>
      <c r="AD1769" s="76" t="s">
        <v>22977</v>
      </c>
      <c r="AE1769" s="81" t="s">
        <v>23997</v>
      </c>
      <c r="AF1769" s="76">
        <v>1497</v>
      </c>
      <c r="AG1769" s="76">
        <v>588</v>
      </c>
      <c r="AH1769" s="76">
        <v>6884</v>
      </c>
      <c r="AI1769" s="76">
        <v>9</v>
      </c>
      <c r="AJ1769" s="76">
        <v>3376</v>
      </c>
      <c r="AK1769" s="76">
        <v>580</v>
      </c>
      <c r="AL1769" s="76" t="b">
        <v>0</v>
      </c>
      <c r="AM1769" s="78">
        <v>39959.548819444448</v>
      </c>
      <c r="AN1769" s="76"/>
      <c r="AO1769" s="76" t="s">
        <v>26278</v>
      </c>
      <c r="AP1769" s="76"/>
      <c r="AQ1769" s="76"/>
      <c r="AR1769" s="76"/>
      <c r="AS1769" s="76"/>
      <c r="AT1769" s="76"/>
      <c r="AU1769" s="76"/>
      <c r="AV1769" s="76">
        <v>1.55205602931949E+18</v>
      </c>
      <c r="AW1769" s="76"/>
      <c r="AX1769" s="76" t="b">
        <v>0</v>
      </c>
      <c r="AY1769" s="76"/>
      <c r="AZ1769" s="76"/>
      <c r="BA1769" s="76" t="b">
        <v>0</v>
      </c>
      <c r="BB1769" s="76" t="b">
        <v>1</v>
      </c>
      <c r="BC1769" s="76" t="b">
        <v>0</v>
      </c>
      <c r="BD1769" s="76" t="b">
        <v>0</v>
      </c>
      <c r="BE1769" s="76" t="b">
        <v>1</v>
      </c>
      <c r="BF1769" s="76" t="b">
        <v>0</v>
      </c>
      <c r="BG1769" s="76" t="b">
        <v>0</v>
      </c>
      <c r="BH1769" s="82" t="str">
        <f>HYPERLINK("https://pbs.twimg.com/profile_banners/42620558/1597046724")</f>
        <v>https://pbs.twimg.com/profile_banners/42620558/1597046724</v>
      </c>
      <c r="BI1769" s="76"/>
      <c r="BJ1769" s="76" t="s">
        <v>27595</v>
      </c>
      <c r="BK1769" s="76" t="b">
        <v>0</v>
      </c>
      <c r="BL1769" s="76"/>
      <c r="BM1769" s="76" t="s">
        <v>66</v>
      </c>
      <c r="BN1769" s="76" t="s">
        <v>27597</v>
      </c>
      <c r="BO1769" s="82" t="str">
        <f>HYPERLINK("https://twitter.com/barbiewelling")</f>
        <v>https://twitter.com/barbiewelling</v>
      </c>
      <c r="BP1769" s="2"/>
    </row>
    <row r="1770" spans="1:68" x14ac:dyDescent="0.25">
      <c r="A1770" s="62" t="s">
        <v>1602</v>
      </c>
      <c r="B1770" s="63"/>
      <c r="C1770" s="63"/>
      <c r="D1770" s="64"/>
      <c r="E1770" s="66"/>
      <c r="F1770" s="103" t="str">
        <f>HYPERLINK("https://pbs.twimg.com/profile_images/1305296056293482498/9uLunbJT_normal.jpg")</f>
        <v>https://pbs.twimg.com/profile_images/1305296056293482498/9uLunbJT_normal.jpg</v>
      </c>
      <c r="G1770" s="63"/>
      <c r="H1770" s="67"/>
      <c r="I1770" s="68"/>
      <c r="J1770" s="68"/>
      <c r="K1770" s="67" t="s">
        <v>29364</v>
      </c>
      <c r="L1770" s="71"/>
      <c r="M1770" s="72"/>
      <c r="N1770" s="72"/>
      <c r="O1770" s="73"/>
      <c r="P1770" s="74"/>
      <c r="Q1770" s="74"/>
      <c r="R1770" s="87"/>
      <c r="S1770" s="87"/>
      <c r="T1770" s="87"/>
      <c r="U1770" s="87"/>
      <c r="V1770" s="48"/>
      <c r="W1770" s="48"/>
      <c r="X1770" s="48"/>
      <c r="Y1770" s="48"/>
      <c r="Z1770" s="47"/>
      <c r="AA1770" s="69">
        <v>1770</v>
      </c>
      <c r="AB1770" s="69"/>
      <c r="AC1770" s="70"/>
      <c r="AD1770" s="76" t="s">
        <v>22978</v>
      </c>
      <c r="AE1770" s="81" t="s">
        <v>21162</v>
      </c>
      <c r="AF1770" s="76">
        <v>2783</v>
      </c>
      <c r="AG1770" s="76">
        <v>4983</v>
      </c>
      <c r="AH1770" s="76">
        <v>11728</v>
      </c>
      <c r="AI1770" s="76">
        <v>5</v>
      </c>
      <c r="AJ1770" s="76">
        <v>53</v>
      </c>
      <c r="AK1770" s="76">
        <v>11685</v>
      </c>
      <c r="AL1770" s="76" t="b">
        <v>0</v>
      </c>
      <c r="AM1770" s="78">
        <v>44087.998553240737</v>
      </c>
      <c r="AN1770" s="76" t="s">
        <v>24506</v>
      </c>
      <c r="AO1770" s="76" t="s">
        <v>26279</v>
      </c>
      <c r="AP1770" s="82" t="str">
        <f>HYPERLINK("https://t.co/Eb1XUm5EcJ")</f>
        <v>https://t.co/Eb1XUm5EcJ</v>
      </c>
      <c r="AQ1770" s="82" t="str">
        <f>HYPERLINK("http://www.noticiasmardelplata.com.ar")</f>
        <v>http://www.noticiasmardelplata.com.ar</v>
      </c>
      <c r="AR1770" s="76" t="s">
        <v>27318</v>
      </c>
      <c r="AS1770" s="82" t="str">
        <f>HYPERLINK("https://t.co/Eb1XUm5EcJ")</f>
        <v>https://t.co/Eb1XUm5EcJ</v>
      </c>
      <c r="AT1770" s="82" t="str">
        <f>HYPERLINK("http://www.noticiasmardelplata.com.ar")</f>
        <v>http://www.noticiasmardelplata.com.ar</v>
      </c>
      <c r="AU1770" s="76" t="s">
        <v>27318</v>
      </c>
      <c r="AV1770" s="76">
        <v>1.5185806992923799E+18</v>
      </c>
      <c r="AW1770" s="82" t="str">
        <f>HYPERLINK("https://t.co/Eb1XUm5EcJ")</f>
        <v>https://t.co/Eb1XUm5EcJ</v>
      </c>
      <c r="AX1770" s="76" t="b">
        <v>0</v>
      </c>
      <c r="AY1770" s="76"/>
      <c r="AZ1770" s="76"/>
      <c r="BA1770" s="76" t="b">
        <v>0</v>
      </c>
      <c r="BB1770" s="76" t="b">
        <v>1</v>
      </c>
      <c r="BC1770" s="76" t="b">
        <v>1</v>
      </c>
      <c r="BD1770" s="76" t="b">
        <v>0</v>
      </c>
      <c r="BE1770" s="76" t="b">
        <v>1</v>
      </c>
      <c r="BF1770" s="76" t="b">
        <v>0</v>
      </c>
      <c r="BG1770" s="76" t="b">
        <v>0</v>
      </c>
      <c r="BH1770" s="82" t="str">
        <f>HYPERLINK("https://pbs.twimg.com/profile_banners/1305294564673163265/1600042361")</f>
        <v>https://pbs.twimg.com/profile_banners/1305294564673163265/1600042361</v>
      </c>
      <c r="BI1770" s="76"/>
      <c r="BJ1770" s="76" t="s">
        <v>27595</v>
      </c>
      <c r="BK1770" s="76" t="b">
        <v>0</v>
      </c>
      <c r="BL1770" s="76"/>
      <c r="BM1770" s="76" t="s">
        <v>66</v>
      </c>
      <c r="BN1770" s="76" t="s">
        <v>27597</v>
      </c>
      <c r="BO1770" s="82" t="str">
        <f>HYPERLINK("https://twitter.com/nmdp11")</f>
        <v>https://twitter.com/nmdp11</v>
      </c>
      <c r="BP1770" s="2"/>
    </row>
    <row r="1771" spans="1:68" x14ac:dyDescent="0.25">
      <c r="A1771" s="62" t="s">
        <v>1603</v>
      </c>
      <c r="B1771" s="63"/>
      <c r="C1771" s="63"/>
      <c r="D1771" s="64"/>
      <c r="E1771" s="66"/>
      <c r="F1771" s="103" t="str">
        <f>HYPERLINK("https://pbs.twimg.com/profile_images/1367893797636628485/EJO3FxPI_normal.jpg")</f>
        <v>https://pbs.twimg.com/profile_images/1367893797636628485/EJO3FxPI_normal.jpg</v>
      </c>
      <c r="G1771" s="63"/>
      <c r="H1771" s="67"/>
      <c r="I1771" s="68"/>
      <c r="J1771" s="68"/>
      <c r="K1771" s="67" t="s">
        <v>29365</v>
      </c>
      <c r="L1771" s="71"/>
      <c r="M1771" s="72"/>
      <c r="N1771" s="72"/>
      <c r="O1771" s="73"/>
      <c r="P1771" s="74"/>
      <c r="Q1771" s="74"/>
      <c r="R1771" s="87"/>
      <c r="S1771" s="87"/>
      <c r="T1771" s="87"/>
      <c r="U1771" s="87"/>
      <c r="V1771" s="48"/>
      <c r="W1771" s="48"/>
      <c r="X1771" s="48"/>
      <c r="Y1771" s="48"/>
      <c r="Z1771" s="47"/>
      <c r="AA1771" s="69">
        <v>1771</v>
      </c>
      <c r="AB1771" s="69"/>
      <c r="AC1771" s="70"/>
      <c r="AD1771" s="76" t="s">
        <v>22979</v>
      </c>
      <c r="AE1771" s="81" t="s">
        <v>23998</v>
      </c>
      <c r="AF1771" s="76">
        <v>5041</v>
      </c>
      <c r="AG1771" s="76">
        <v>889</v>
      </c>
      <c r="AH1771" s="76">
        <v>66302</v>
      </c>
      <c r="AI1771" s="76">
        <v>31</v>
      </c>
      <c r="AJ1771" s="76">
        <v>116</v>
      </c>
      <c r="AK1771" s="76">
        <v>2595</v>
      </c>
      <c r="AL1771" s="76" t="b">
        <v>0</v>
      </c>
      <c r="AM1771" s="78">
        <v>41897.169571759259</v>
      </c>
      <c r="AN1771" s="76" t="s">
        <v>24678</v>
      </c>
      <c r="AO1771" s="76" t="s">
        <v>26280</v>
      </c>
      <c r="AP1771" s="82" t="str">
        <f>HYPERLINK("https://t.co/HAwT6Nckvh")</f>
        <v>https://t.co/HAwT6Nckvh</v>
      </c>
      <c r="AQ1771" s="82" t="str">
        <f>HYPERLINK("http://www.politicachubut.com.ar")</f>
        <v>http://www.politicachubut.com.ar</v>
      </c>
      <c r="AR1771" s="76" t="s">
        <v>27319</v>
      </c>
      <c r="AS1771" s="76"/>
      <c r="AT1771" s="76"/>
      <c r="AU1771" s="76"/>
      <c r="AV1771" s="76"/>
      <c r="AW1771" s="82" t="str">
        <f>HYPERLINK("https://t.co/HAwT6Nckvh")</f>
        <v>https://t.co/HAwT6Nckvh</v>
      </c>
      <c r="AX1771" s="76" t="b">
        <v>0</v>
      </c>
      <c r="AY1771" s="76"/>
      <c r="AZ1771" s="76"/>
      <c r="BA1771" s="76" t="b">
        <v>0</v>
      </c>
      <c r="BB1771" s="76" t="b">
        <v>1</v>
      </c>
      <c r="BC1771" s="76" t="b">
        <v>0</v>
      </c>
      <c r="BD1771" s="76" t="b">
        <v>0</v>
      </c>
      <c r="BE1771" s="76" t="b">
        <v>1</v>
      </c>
      <c r="BF1771" s="76" t="b">
        <v>0</v>
      </c>
      <c r="BG1771" s="76" t="b">
        <v>0</v>
      </c>
      <c r="BH1771" s="82" t="str">
        <f>HYPERLINK("https://pbs.twimg.com/profile_banners/2810585652/1614966325")</f>
        <v>https://pbs.twimg.com/profile_banners/2810585652/1614966325</v>
      </c>
      <c r="BI1771" s="76"/>
      <c r="BJ1771" s="76" t="s">
        <v>27595</v>
      </c>
      <c r="BK1771" s="76" t="b">
        <v>0</v>
      </c>
      <c r="BL1771" s="76"/>
      <c r="BM1771" s="76" t="s">
        <v>66</v>
      </c>
      <c r="BN1771" s="76" t="s">
        <v>27597</v>
      </c>
      <c r="BO1771" s="82" t="str">
        <f>HYPERLINK("https://twitter.com/politicachubut")</f>
        <v>https://twitter.com/politicachubut</v>
      </c>
      <c r="BP1771" s="2"/>
    </row>
    <row r="1772" spans="1:68" x14ac:dyDescent="0.25">
      <c r="A1772" s="62" t="s">
        <v>1604</v>
      </c>
      <c r="B1772" s="63"/>
      <c r="C1772" s="63"/>
      <c r="D1772" s="64"/>
      <c r="E1772" s="66"/>
      <c r="F1772" s="103" t="str">
        <f>HYPERLINK("https://pbs.twimg.com/profile_images/1292513675560067073/u4-PfHrR_normal.jpg")</f>
        <v>https://pbs.twimg.com/profile_images/1292513675560067073/u4-PfHrR_normal.jpg</v>
      </c>
      <c r="G1772" s="63"/>
      <c r="H1772" s="67"/>
      <c r="I1772" s="68"/>
      <c r="J1772" s="68"/>
      <c r="K1772" s="67" t="s">
        <v>29366</v>
      </c>
      <c r="L1772" s="71"/>
      <c r="M1772" s="72"/>
      <c r="N1772" s="72"/>
      <c r="O1772" s="73"/>
      <c r="P1772" s="74"/>
      <c r="Q1772" s="74"/>
      <c r="R1772" s="87"/>
      <c r="S1772" s="87"/>
      <c r="T1772" s="87"/>
      <c r="U1772" s="87"/>
      <c r="V1772" s="48"/>
      <c r="W1772" s="48"/>
      <c r="X1772" s="48"/>
      <c r="Y1772" s="48"/>
      <c r="Z1772" s="47"/>
      <c r="AA1772" s="69">
        <v>1772</v>
      </c>
      <c r="AB1772" s="69"/>
      <c r="AC1772" s="70"/>
      <c r="AD1772" s="76" t="s">
        <v>22980</v>
      </c>
      <c r="AE1772" s="81" t="s">
        <v>23999</v>
      </c>
      <c r="AF1772" s="76">
        <v>141058</v>
      </c>
      <c r="AG1772" s="76">
        <v>2100</v>
      </c>
      <c r="AH1772" s="76">
        <v>123767</v>
      </c>
      <c r="AI1772" s="76">
        <v>1301</v>
      </c>
      <c r="AJ1772" s="76">
        <v>371</v>
      </c>
      <c r="AK1772" s="76">
        <v>46801</v>
      </c>
      <c r="AL1772" s="76" t="b">
        <v>0</v>
      </c>
      <c r="AM1772" s="78">
        <v>42411.027384259258</v>
      </c>
      <c r="AN1772" s="76" t="s">
        <v>14411</v>
      </c>
      <c r="AO1772" s="76" t="s">
        <v>26281</v>
      </c>
      <c r="AP1772" s="82" t="str">
        <f>HYPERLINK("https://t.co/BFGdTSWXRh")</f>
        <v>https://t.co/BFGdTSWXRh</v>
      </c>
      <c r="AQ1772" s="82" t="str">
        <f>HYPERLINK("http://www.poder360.com.br")</f>
        <v>http://www.poder360.com.br</v>
      </c>
      <c r="AR1772" s="76" t="s">
        <v>27320</v>
      </c>
      <c r="AS1772" s="82" t="str">
        <f>HYPERLINK("https://t.co/bkQhbFYgoX")</f>
        <v>https://t.co/bkQhbFYgoX</v>
      </c>
      <c r="AT1772" s="82" t="str">
        <f>HYPERLINK("http://poder.cc/wpp")</f>
        <v>http://poder.cc/wpp</v>
      </c>
      <c r="AU1772" s="76" t="s">
        <v>27583</v>
      </c>
      <c r="AV1772" s="76">
        <v>1.69685697039169E+18</v>
      </c>
      <c r="AW1772" s="82" t="str">
        <f>HYPERLINK("https://t.co/BFGdTSWXRh")</f>
        <v>https://t.co/BFGdTSWXRh</v>
      </c>
      <c r="AX1772" s="76" t="b">
        <v>1</v>
      </c>
      <c r="AY1772" s="76"/>
      <c r="AZ1772" s="76"/>
      <c r="BA1772" s="76" t="b">
        <v>0</v>
      </c>
      <c r="BB1772" s="76" t="b">
        <v>1</v>
      </c>
      <c r="BC1772" s="76" t="b">
        <v>1</v>
      </c>
      <c r="BD1772" s="76" t="b">
        <v>0</v>
      </c>
      <c r="BE1772" s="76" t="b">
        <v>1</v>
      </c>
      <c r="BF1772" s="76" t="b">
        <v>0</v>
      </c>
      <c r="BG1772" s="76" t="b">
        <v>0</v>
      </c>
      <c r="BH1772" s="82" t="str">
        <f>HYPERLINK("https://pbs.twimg.com/profile_banners/4896510833/1649176495")</f>
        <v>https://pbs.twimg.com/profile_banners/4896510833/1649176495</v>
      </c>
      <c r="BI1772" s="76"/>
      <c r="BJ1772" s="76" t="s">
        <v>27595</v>
      </c>
      <c r="BK1772" s="76" t="b">
        <v>0</v>
      </c>
      <c r="BL1772" s="76"/>
      <c r="BM1772" s="76" t="s">
        <v>66</v>
      </c>
      <c r="BN1772" s="76" t="s">
        <v>27597</v>
      </c>
      <c r="BO1772" s="82" t="str">
        <f>HYPERLINK("https://twitter.com/poder360")</f>
        <v>https://twitter.com/poder360</v>
      </c>
      <c r="BP1772" s="2"/>
    </row>
    <row r="1773" spans="1:68" x14ac:dyDescent="0.25">
      <c r="A1773" s="62" t="s">
        <v>1605</v>
      </c>
      <c r="B1773" s="63"/>
      <c r="C1773" s="63"/>
      <c r="D1773" s="64"/>
      <c r="E1773" s="66"/>
      <c r="F1773" s="103" t="str">
        <f>HYPERLINK("https://pbs.twimg.com/profile_images/1609955739648286723/Npau_jKG_normal.jpg")</f>
        <v>https://pbs.twimg.com/profile_images/1609955739648286723/Npau_jKG_normal.jpg</v>
      </c>
      <c r="G1773" s="63"/>
      <c r="H1773" s="67"/>
      <c r="I1773" s="68"/>
      <c r="J1773" s="68"/>
      <c r="K1773" s="67" t="s">
        <v>29367</v>
      </c>
      <c r="L1773" s="71"/>
      <c r="M1773" s="72"/>
      <c r="N1773" s="72"/>
      <c r="O1773" s="73"/>
      <c r="P1773" s="74"/>
      <c r="Q1773" s="74"/>
      <c r="R1773" s="87"/>
      <c r="S1773" s="87"/>
      <c r="T1773" s="87"/>
      <c r="U1773" s="87"/>
      <c r="V1773" s="48"/>
      <c r="W1773" s="48"/>
      <c r="X1773" s="48"/>
      <c r="Y1773" s="48"/>
      <c r="Z1773" s="47"/>
      <c r="AA1773" s="69">
        <v>1773</v>
      </c>
      <c r="AB1773" s="69"/>
      <c r="AC1773" s="70"/>
      <c r="AD1773" s="76" t="s">
        <v>22981</v>
      </c>
      <c r="AE1773" s="81" t="s">
        <v>21163</v>
      </c>
      <c r="AF1773" s="76">
        <v>47498</v>
      </c>
      <c r="AG1773" s="76">
        <v>95</v>
      </c>
      <c r="AH1773" s="76">
        <v>46212</v>
      </c>
      <c r="AI1773" s="76">
        <v>44</v>
      </c>
      <c r="AJ1773" s="76">
        <v>34</v>
      </c>
      <c r="AK1773" s="76">
        <v>4186</v>
      </c>
      <c r="AL1773" s="76" t="b">
        <v>0</v>
      </c>
      <c r="AM1773" s="78">
        <v>44354.164085648146</v>
      </c>
      <c r="AN1773" s="76" t="s">
        <v>24679</v>
      </c>
      <c r="AO1773" s="76" t="s">
        <v>26282</v>
      </c>
      <c r="AP1773" s="82" t="str">
        <f>HYPERLINK("https://t.co/WljCxnxL3Y")</f>
        <v>https://t.co/WljCxnxL3Y</v>
      </c>
      <c r="AQ1773" s="82" t="str">
        <f>HYPERLINK("http://www.deultimominuto.net")</f>
        <v>http://www.deultimominuto.net</v>
      </c>
      <c r="AR1773" s="76" t="s">
        <v>27321</v>
      </c>
      <c r="AS1773" s="76"/>
      <c r="AT1773" s="76"/>
      <c r="AU1773" s="76"/>
      <c r="AV1773" s="76"/>
      <c r="AW1773" s="82" t="str">
        <f>HYPERLINK("https://t.co/WljCxnxL3Y")</f>
        <v>https://t.co/WljCxnxL3Y</v>
      </c>
      <c r="AX1773" s="76" t="b">
        <v>1</v>
      </c>
      <c r="AY1773" s="76"/>
      <c r="AZ1773" s="76"/>
      <c r="BA1773" s="76" t="b">
        <v>0</v>
      </c>
      <c r="BB1773" s="76" t="b">
        <v>1</v>
      </c>
      <c r="BC1773" s="76" t="b">
        <v>1</v>
      </c>
      <c r="BD1773" s="76" t="b">
        <v>0</v>
      </c>
      <c r="BE1773" s="76" t="b">
        <v>1</v>
      </c>
      <c r="BF1773" s="76" t="b">
        <v>0</v>
      </c>
      <c r="BG1773" s="76" t="b">
        <v>0</v>
      </c>
      <c r="BH1773" s="82" t="str">
        <f>HYPERLINK("https://pbs.twimg.com/profile_banners/1401749738819567616/1635218551")</f>
        <v>https://pbs.twimg.com/profile_banners/1401749738819567616/1635218551</v>
      </c>
      <c r="BI1773" s="76"/>
      <c r="BJ1773" s="76" t="s">
        <v>27595</v>
      </c>
      <c r="BK1773" s="76" t="b">
        <v>0</v>
      </c>
      <c r="BL1773" s="76"/>
      <c r="BM1773" s="76" t="s">
        <v>66</v>
      </c>
      <c r="BN1773" s="76" t="s">
        <v>27597</v>
      </c>
      <c r="BO1773" s="82" t="str">
        <f>HYPERLINK("https://twitter.com/ultimominutotw")</f>
        <v>https://twitter.com/ultimominutotw</v>
      </c>
      <c r="BP1773" s="2"/>
    </row>
    <row r="1774" spans="1:68" x14ac:dyDescent="0.25">
      <c r="A1774" s="62" t="s">
        <v>1606</v>
      </c>
      <c r="B1774" s="63"/>
      <c r="C1774" s="63"/>
      <c r="D1774" s="64"/>
      <c r="E1774" s="66"/>
      <c r="F1774" s="103" t="str">
        <f>HYPERLINK("https://pbs.twimg.com/profile_images/1653180473110147072/0CmIWPo4_normal.jpg")</f>
        <v>https://pbs.twimg.com/profile_images/1653180473110147072/0CmIWPo4_normal.jpg</v>
      </c>
      <c r="G1774" s="63"/>
      <c r="H1774" s="67"/>
      <c r="I1774" s="68"/>
      <c r="J1774" s="68"/>
      <c r="K1774" s="67" t="s">
        <v>29368</v>
      </c>
      <c r="L1774" s="71"/>
      <c r="M1774" s="72"/>
      <c r="N1774" s="72"/>
      <c r="O1774" s="73"/>
      <c r="P1774" s="74"/>
      <c r="Q1774" s="74"/>
      <c r="R1774" s="87"/>
      <c r="S1774" s="87"/>
      <c r="T1774" s="87"/>
      <c r="U1774" s="87"/>
      <c r="V1774" s="48"/>
      <c r="W1774" s="48"/>
      <c r="X1774" s="48"/>
      <c r="Y1774" s="48"/>
      <c r="Z1774" s="47"/>
      <c r="AA1774" s="69">
        <v>1774</v>
      </c>
      <c r="AB1774" s="69"/>
      <c r="AC1774" s="70"/>
      <c r="AD1774" s="76" t="s">
        <v>22982</v>
      </c>
      <c r="AE1774" s="81" t="s">
        <v>21164</v>
      </c>
      <c r="AF1774" s="76">
        <v>10</v>
      </c>
      <c r="AG1774" s="76">
        <v>18</v>
      </c>
      <c r="AH1774" s="76">
        <v>73</v>
      </c>
      <c r="AI1774" s="76">
        <v>0</v>
      </c>
      <c r="AJ1774" s="76">
        <v>28</v>
      </c>
      <c r="AK1774" s="76">
        <v>11</v>
      </c>
      <c r="AL1774" s="76" t="b">
        <v>0</v>
      </c>
      <c r="AM1774" s="78">
        <v>45033.641736111109</v>
      </c>
      <c r="AN1774" s="76"/>
      <c r="AO1774" s="76" t="s">
        <v>26283</v>
      </c>
      <c r="AP1774" s="76"/>
      <c r="AQ1774" s="76"/>
      <c r="AR1774" s="76"/>
      <c r="AS1774" s="76"/>
      <c r="AT1774" s="76"/>
      <c r="AU1774" s="76"/>
      <c r="AV1774" s="76"/>
      <c r="AW1774" s="76"/>
      <c r="AX1774" s="76" t="b">
        <v>0</v>
      </c>
      <c r="AY1774" s="76"/>
      <c r="AZ1774" s="76"/>
      <c r="BA1774" s="76" t="b">
        <v>0</v>
      </c>
      <c r="BB1774" s="76" t="b">
        <v>1</v>
      </c>
      <c r="BC1774" s="76" t="b">
        <v>1</v>
      </c>
      <c r="BD1774" s="76" t="b">
        <v>0</v>
      </c>
      <c r="BE1774" s="76" t="b">
        <v>0</v>
      </c>
      <c r="BF1774" s="76" t="b">
        <v>0</v>
      </c>
      <c r="BG1774" s="76" t="b">
        <v>0</v>
      </c>
      <c r="BH1774" s="82" t="str">
        <f>HYPERLINK("https://pbs.twimg.com/profile_banners/1647984168935063552/1682029806")</f>
        <v>https://pbs.twimg.com/profile_banners/1647984168935063552/1682029806</v>
      </c>
      <c r="BI1774" s="76"/>
      <c r="BJ1774" s="76" t="s">
        <v>27595</v>
      </c>
      <c r="BK1774" s="76" t="b">
        <v>0</v>
      </c>
      <c r="BL1774" s="76"/>
      <c r="BM1774" s="76" t="s">
        <v>66</v>
      </c>
      <c r="BN1774" s="76" t="s">
        <v>27597</v>
      </c>
      <c r="BO1774" s="82" t="str">
        <f>HYPERLINK("https://twitter.com/anithxaa")</f>
        <v>https://twitter.com/anithxaa</v>
      </c>
      <c r="BP1774" s="2"/>
    </row>
    <row r="1775" spans="1:68" x14ac:dyDescent="0.25">
      <c r="A1775" s="62" t="s">
        <v>1607</v>
      </c>
      <c r="B1775" s="63"/>
      <c r="C1775" s="63"/>
      <c r="D1775" s="64"/>
      <c r="E1775" s="66"/>
      <c r="F1775" s="103" t="str">
        <f>HYPERLINK("https://pbs.twimg.com/profile_images/1581359660770230282/Tk3_sMlC_normal.jpg")</f>
        <v>https://pbs.twimg.com/profile_images/1581359660770230282/Tk3_sMlC_normal.jpg</v>
      </c>
      <c r="G1775" s="63"/>
      <c r="H1775" s="67"/>
      <c r="I1775" s="68"/>
      <c r="J1775" s="68"/>
      <c r="K1775" s="67" t="s">
        <v>29369</v>
      </c>
      <c r="L1775" s="71"/>
      <c r="M1775" s="72"/>
      <c r="N1775" s="72"/>
      <c r="O1775" s="73"/>
      <c r="P1775" s="74"/>
      <c r="Q1775" s="74"/>
      <c r="R1775" s="87"/>
      <c r="S1775" s="87"/>
      <c r="T1775" s="87"/>
      <c r="U1775" s="87"/>
      <c r="V1775" s="48"/>
      <c r="W1775" s="48"/>
      <c r="X1775" s="48"/>
      <c r="Y1775" s="48"/>
      <c r="Z1775" s="47"/>
      <c r="AA1775" s="69">
        <v>1775</v>
      </c>
      <c r="AB1775" s="69"/>
      <c r="AC1775" s="70"/>
      <c r="AD1775" s="76" t="s">
        <v>22983</v>
      </c>
      <c r="AE1775" s="81" t="s">
        <v>21165</v>
      </c>
      <c r="AF1775" s="76">
        <v>135</v>
      </c>
      <c r="AG1775" s="76">
        <v>144</v>
      </c>
      <c r="AH1775" s="76">
        <v>2556</v>
      </c>
      <c r="AI1775" s="76">
        <v>3</v>
      </c>
      <c r="AJ1775" s="76">
        <v>2854</v>
      </c>
      <c r="AK1775" s="76">
        <v>1601</v>
      </c>
      <c r="AL1775" s="76" t="b">
        <v>0</v>
      </c>
      <c r="AM1775" s="78">
        <v>44837.8128125</v>
      </c>
      <c r="AN1775" s="76" t="s">
        <v>24433</v>
      </c>
      <c r="AO1775" s="76" t="s">
        <v>26284</v>
      </c>
      <c r="AP1775" s="76"/>
      <c r="AQ1775" s="76"/>
      <c r="AR1775" s="76"/>
      <c r="AS1775" s="76"/>
      <c r="AT1775" s="76"/>
      <c r="AU1775" s="76"/>
      <c r="AV1775" s="76"/>
      <c r="AW1775" s="76"/>
      <c r="AX1775" s="76" t="b">
        <v>0</v>
      </c>
      <c r="AY1775" s="76"/>
      <c r="AZ1775" s="76"/>
      <c r="BA1775" s="76" t="b">
        <v>0</v>
      </c>
      <c r="BB1775" s="76" t="b">
        <v>1</v>
      </c>
      <c r="BC1775" s="76" t="b">
        <v>1</v>
      </c>
      <c r="BD1775" s="76" t="b">
        <v>0</v>
      </c>
      <c r="BE1775" s="76" t="b">
        <v>0</v>
      </c>
      <c r="BF1775" s="76" t="b">
        <v>0</v>
      </c>
      <c r="BG1775" s="76" t="b">
        <v>0</v>
      </c>
      <c r="BH1775" s="82" t="str">
        <f>HYPERLINK("https://pbs.twimg.com/profile_banners/1577018211886825476/1665860300")</f>
        <v>https://pbs.twimg.com/profile_banners/1577018211886825476/1665860300</v>
      </c>
      <c r="BI1775" s="76"/>
      <c r="BJ1775" s="76" t="s">
        <v>27595</v>
      </c>
      <c r="BK1775" s="76" t="b">
        <v>0</v>
      </c>
      <c r="BL1775" s="76"/>
      <c r="BM1775" s="76" t="s">
        <v>66</v>
      </c>
      <c r="BN1775" s="76" t="s">
        <v>27597</v>
      </c>
      <c r="BO1775" s="82" t="str">
        <f>HYPERLINK("https://twitter.com/radiocanalfsa")</f>
        <v>https://twitter.com/radiocanalfsa</v>
      </c>
      <c r="BP1775" s="2"/>
    </row>
    <row r="1776" spans="1:68" x14ac:dyDescent="0.25">
      <c r="A1776" s="62" t="s">
        <v>1608</v>
      </c>
      <c r="B1776" s="63"/>
      <c r="C1776" s="63"/>
      <c r="D1776" s="64"/>
      <c r="E1776" s="66"/>
      <c r="F1776" s="103" t="str">
        <f>HYPERLINK("https://pbs.twimg.com/profile_images/1697619153144659968/6g7TvM4U_normal.jpg")</f>
        <v>https://pbs.twimg.com/profile_images/1697619153144659968/6g7TvM4U_normal.jpg</v>
      </c>
      <c r="G1776" s="63"/>
      <c r="H1776" s="67"/>
      <c r="I1776" s="68"/>
      <c r="J1776" s="68"/>
      <c r="K1776" s="67" t="s">
        <v>29370</v>
      </c>
      <c r="L1776" s="71"/>
      <c r="M1776" s="72"/>
      <c r="N1776" s="72"/>
      <c r="O1776" s="73"/>
      <c r="P1776" s="74"/>
      <c r="Q1776" s="74"/>
      <c r="R1776" s="87"/>
      <c r="S1776" s="87"/>
      <c r="T1776" s="87"/>
      <c r="U1776" s="87"/>
      <c r="V1776" s="48"/>
      <c r="W1776" s="48"/>
      <c r="X1776" s="48"/>
      <c r="Y1776" s="48"/>
      <c r="Z1776" s="47"/>
      <c r="AA1776" s="69">
        <v>1776</v>
      </c>
      <c r="AB1776" s="69"/>
      <c r="AC1776" s="70"/>
      <c r="AD1776" s="76" t="s">
        <v>22984</v>
      </c>
      <c r="AE1776" s="81" t="s">
        <v>21166</v>
      </c>
      <c r="AF1776" s="76">
        <v>124</v>
      </c>
      <c r="AG1776" s="76">
        <v>116</v>
      </c>
      <c r="AH1776" s="76">
        <v>331</v>
      </c>
      <c r="AI1776" s="76">
        <v>1</v>
      </c>
      <c r="AJ1776" s="76">
        <v>1752</v>
      </c>
      <c r="AK1776" s="76">
        <v>54</v>
      </c>
      <c r="AL1776" s="76" t="b">
        <v>0</v>
      </c>
      <c r="AM1776" s="78">
        <v>44120.951006944444</v>
      </c>
      <c r="AN1776" s="76"/>
      <c r="AO1776" s="76" t="s">
        <v>26285</v>
      </c>
      <c r="AP1776" s="82" t="str">
        <f>HYPERLINK("https://t.co/TNoMr2bBlz")</f>
        <v>https://t.co/TNoMr2bBlz</v>
      </c>
      <c r="AQ1776" s="82" t="str">
        <f>HYPERLINK("https://instagram.com/miikaell_c?igshid=OGQ5ZDc2ODk2ZA==")</f>
        <v>https://instagram.com/miikaell_c?igshid=OGQ5ZDc2ODk2ZA==</v>
      </c>
      <c r="AR1776" s="76" t="s">
        <v>27322</v>
      </c>
      <c r="AS1776" s="76"/>
      <c r="AT1776" s="76"/>
      <c r="AU1776" s="76"/>
      <c r="AV1776" s="76"/>
      <c r="AW1776" s="82" t="str">
        <f>HYPERLINK("https://t.co/TNoMr2bBlz")</f>
        <v>https://t.co/TNoMr2bBlz</v>
      </c>
      <c r="AX1776" s="76" t="b">
        <v>0</v>
      </c>
      <c r="AY1776" s="76"/>
      <c r="AZ1776" s="76"/>
      <c r="BA1776" s="76" t="b">
        <v>0</v>
      </c>
      <c r="BB1776" s="76" t="b">
        <v>1</v>
      </c>
      <c r="BC1776" s="76" t="b">
        <v>1</v>
      </c>
      <c r="BD1776" s="76" t="b">
        <v>0</v>
      </c>
      <c r="BE1776" s="76" t="b">
        <v>0</v>
      </c>
      <c r="BF1776" s="76" t="b">
        <v>0</v>
      </c>
      <c r="BG1776" s="76" t="b">
        <v>0</v>
      </c>
      <c r="BH1776" s="82" t="str">
        <f>HYPERLINK("https://pbs.twimg.com/profile_banners/1317236188454014976/1686422075")</f>
        <v>https://pbs.twimg.com/profile_banners/1317236188454014976/1686422075</v>
      </c>
      <c r="BI1776" s="76"/>
      <c r="BJ1776" s="76" t="s">
        <v>27595</v>
      </c>
      <c r="BK1776" s="76" t="b">
        <v>0</v>
      </c>
      <c r="BL1776" s="76"/>
      <c r="BM1776" s="76" t="s">
        <v>66</v>
      </c>
      <c r="BN1776" s="76" t="s">
        <v>27597</v>
      </c>
      <c r="BO1776" s="82" t="str">
        <f>HYPERLINK("https://twitter.com/miikaellc")</f>
        <v>https://twitter.com/miikaellc</v>
      </c>
      <c r="BP1776" s="2"/>
    </row>
    <row r="1777" spans="1:68" x14ac:dyDescent="0.25">
      <c r="A1777" s="62" t="s">
        <v>1609</v>
      </c>
      <c r="B1777" s="63"/>
      <c r="C1777" s="63"/>
      <c r="D1777" s="64"/>
      <c r="E1777" s="66"/>
      <c r="F1777" s="103" t="str">
        <f>HYPERLINK("https://pbs.twimg.com/profile_images/1324009927506055170/6nmdZ52h_normal.jpg")</f>
        <v>https://pbs.twimg.com/profile_images/1324009927506055170/6nmdZ52h_normal.jpg</v>
      </c>
      <c r="G1777" s="63"/>
      <c r="H1777" s="67"/>
      <c r="I1777" s="68"/>
      <c r="J1777" s="68"/>
      <c r="K1777" s="67" t="s">
        <v>29371</v>
      </c>
      <c r="L1777" s="71"/>
      <c r="M1777" s="72"/>
      <c r="N1777" s="72"/>
      <c r="O1777" s="73"/>
      <c r="P1777" s="74"/>
      <c r="Q1777" s="74"/>
      <c r="R1777" s="87"/>
      <c r="S1777" s="87"/>
      <c r="T1777" s="87"/>
      <c r="U1777" s="87"/>
      <c r="V1777" s="48"/>
      <c r="W1777" s="48"/>
      <c r="X1777" s="48"/>
      <c r="Y1777" s="48"/>
      <c r="Z1777" s="47"/>
      <c r="AA1777" s="69">
        <v>1777</v>
      </c>
      <c r="AB1777" s="69"/>
      <c r="AC1777" s="70"/>
      <c r="AD1777" s="76" t="s">
        <v>22985</v>
      </c>
      <c r="AE1777" s="81" t="s">
        <v>24000</v>
      </c>
      <c r="AF1777" s="76">
        <v>287</v>
      </c>
      <c r="AG1777" s="76">
        <v>261</v>
      </c>
      <c r="AH1777" s="76">
        <v>3046</v>
      </c>
      <c r="AI1777" s="76">
        <v>6</v>
      </c>
      <c r="AJ1777" s="76">
        <v>1296</v>
      </c>
      <c r="AK1777" s="76">
        <v>786</v>
      </c>
      <c r="AL1777" s="76" t="b">
        <v>0</v>
      </c>
      <c r="AM1777" s="78">
        <v>40381.161562499998</v>
      </c>
      <c r="AN1777" s="76" t="s">
        <v>14420</v>
      </c>
      <c r="AO1777" s="76" t="s">
        <v>26286</v>
      </c>
      <c r="AP1777" s="82" t="str">
        <f>HYPERLINK("https://t.co/gowJUePvvk")</f>
        <v>https://t.co/gowJUePvvk</v>
      </c>
      <c r="AQ1777" s="82" t="str">
        <f>HYPERLINK("https://www.youtube.com/channel/UCOugOhCHAIdp_FXn5SBuEcQ")</f>
        <v>https://www.youtube.com/channel/UCOugOhCHAIdp_FXn5SBuEcQ</v>
      </c>
      <c r="AR1777" s="76" t="s">
        <v>27323</v>
      </c>
      <c r="AS1777" s="76"/>
      <c r="AT1777" s="76"/>
      <c r="AU1777" s="76"/>
      <c r="AV1777" s="76"/>
      <c r="AW1777" s="82" t="str">
        <f>HYPERLINK("https://t.co/gowJUePvvk")</f>
        <v>https://t.co/gowJUePvvk</v>
      </c>
      <c r="AX1777" s="76" t="b">
        <v>0</v>
      </c>
      <c r="AY1777" s="76"/>
      <c r="AZ1777" s="76"/>
      <c r="BA1777" s="76" t="b">
        <v>0</v>
      </c>
      <c r="BB1777" s="76" t="b">
        <v>1</v>
      </c>
      <c r="BC1777" s="76" t="b">
        <v>0</v>
      </c>
      <c r="BD1777" s="76" t="b">
        <v>0</v>
      </c>
      <c r="BE1777" s="76" t="b">
        <v>1</v>
      </c>
      <c r="BF1777" s="76" t="b">
        <v>0</v>
      </c>
      <c r="BG1777" s="76" t="b">
        <v>0</v>
      </c>
      <c r="BH1777" s="82" t="str">
        <f>HYPERLINK("https://pbs.twimg.com/profile_banners/169352621/1614541054")</f>
        <v>https://pbs.twimg.com/profile_banners/169352621/1614541054</v>
      </c>
      <c r="BI1777" s="76"/>
      <c r="BJ1777" s="76" t="s">
        <v>27595</v>
      </c>
      <c r="BK1777" s="76" t="b">
        <v>0</v>
      </c>
      <c r="BL1777" s="76"/>
      <c r="BM1777" s="76" t="s">
        <v>66</v>
      </c>
      <c r="BN1777" s="76" t="s">
        <v>27597</v>
      </c>
      <c r="BO1777" s="82" t="str">
        <f>HYPERLINK("https://twitter.com/ezequielyuan")</f>
        <v>https://twitter.com/ezequielyuan</v>
      </c>
      <c r="BP1777" s="2"/>
    </row>
    <row r="1778" spans="1:68" x14ac:dyDescent="0.25">
      <c r="A1778" s="62" t="s">
        <v>1610</v>
      </c>
      <c r="B1778" s="63"/>
      <c r="C1778" s="63"/>
      <c r="D1778" s="64"/>
      <c r="E1778" s="66"/>
      <c r="F1778" s="103" t="str">
        <f>HYPERLINK("https://pbs.twimg.com/profile_images/1176490241278054400/s4X9C_ZZ_normal.jpg")</f>
        <v>https://pbs.twimg.com/profile_images/1176490241278054400/s4X9C_ZZ_normal.jpg</v>
      </c>
      <c r="G1778" s="63"/>
      <c r="H1778" s="67"/>
      <c r="I1778" s="68"/>
      <c r="J1778" s="68"/>
      <c r="K1778" s="67" t="s">
        <v>29372</v>
      </c>
      <c r="L1778" s="71"/>
      <c r="M1778" s="72"/>
      <c r="N1778" s="72"/>
      <c r="O1778" s="73"/>
      <c r="P1778" s="74"/>
      <c r="Q1778" s="74"/>
      <c r="R1778" s="87"/>
      <c r="S1778" s="87"/>
      <c r="T1778" s="87"/>
      <c r="U1778" s="87"/>
      <c r="V1778" s="48"/>
      <c r="W1778" s="48"/>
      <c r="X1778" s="48"/>
      <c r="Y1778" s="48"/>
      <c r="Z1778" s="47"/>
      <c r="AA1778" s="69">
        <v>1778</v>
      </c>
      <c r="AB1778" s="69"/>
      <c r="AC1778" s="70"/>
      <c r="AD1778" s="76" t="s">
        <v>22986</v>
      </c>
      <c r="AE1778" s="81" t="s">
        <v>24001</v>
      </c>
      <c r="AF1778" s="76">
        <v>1586</v>
      </c>
      <c r="AG1778" s="76">
        <v>273</v>
      </c>
      <c r="AH1778" s="76">
        <v>3574</v>
      </c>
      <c r="AI1778" s="76">
        <v>32</v>
      </c>
      <c r="AJ1778" s="76">
        <v>756</v>
      </c>
      <c r="AK1778" s="76">
        <v>871</v>
      </c>
      <c r="AL1778" s="76" t="b">
        <v>0</v>
      </c>
      <c r="AM1778" s="78">
        <v>40291.60869212963</v>
      </c>
      <c r="AN1778" s="76" t="s">
        <v>14400</v>
      </c>
      <c r="AO1778" s="76" t="s">
        <v>26287</v>
      </c>
      <c r="AP1778" s="82" t="str">
        <f>HYPERLINK("https://t.co/zv3e6j8JBo")</f>
        <v>https://t.co/zv3e6j8JBo</v>
      </c>
      <c r="AQ1778" s="82" t="str">
        <f>HYPERLINK("http://www.enfoque.com.br")</f>
        <v>http://www.enfoque.com.br</v>
      </c>
      <c r="AR1778" s="76" t="s">
        <v>27324</v>
      </c>
      <c r="AS1778" s="82" t="str">
        <f>HYPERLINK("https://t.co/VH96ufg0le")</f>
        <v>https://t.co/VH96ufg0le</v>
      </c>
      <c r="AT1778" s="82" t="str">
        <f>HYPERLINK("http://facebook.com/enfoqueif")</f>
        <v>http://facebook.com/enfoqueif</v>
      </c>
      <c r="AU1778" s="76" t="s">
        <v>27584</v>
      </c>
      <c r="AV1778" s="76">
        <v>1.18374056527343E+18</v>
      </c>
      <c r="AW1778" s="82" t="str">
        <f>HYPERLINK("https://t.co/zv3e6j8JBo")</f>
        <v>https://t.co/zv3e6j8JBo</v>
      </c>
      <c r="AX1778" s="76" t="b">
        <v>0</v>
      </c>
      <c r="AY1778" s="76"/>
      <c r="AZ1778" s="76"/>
      <c r="BA1778" s="76" t="b">
        <v>0</v>
      </c>
      <c r="BB1778" s="76" t="b">
        <v>1</v>
      </c>
      <c r="BC1778" s="76" t="b">
        <v>1</v>
      </c>
      <c r="BD1778" s="76" t="b">
        <v>0</v>
      </c>
      <c r="BE1778" s="76" t="b">
        <v>1</v>
      </c>
      <c r="BF1778" s="76" t="b">
        <v>0</v>
      </c>
      <c r="BG1778" s="76" t="b">
        <v>0</v>
      </c>
      <c r="BH1778" s="82" t="str">
        <f>HYPERLINK("https://pbs.twimg.com/profile_banners/136293095/1492000504")</f>
        <v>https://pbs.twimg.com/profile_banners/136293095/1492000504</v>
      </c>
      <c r="BI1778" s="76"/>
      <c r="BJ1778" s="76" t="s">
        <v>27595</v>
      </c>
      <c r="BK1778" s="76" t="b">
        <v>0</v>
      </c>
      <c r="BL1778" s="76"/>
      <c r="BM1778" s="76" t="s">
        <v>66</v>
      </c>
      <c r="BN1778" s="76" t="s">
        <v>27597</v>
      </c>
      <c r="BO1778" s="82" t="str">
        <f>HYPERLINK("https://twitter.com/enfoqueif")</f>
        <v>https://twitter.com/enfoqueif</v>
      </c>
      <c r="BP1778" s="2"/>
    </row>
    <row r="1779" spans="1:68" x14ac:dyDescent="0.25">
      <c r="A1779" s="62" t="s">
        <v>1611</v>
      </c>
      <c r="B1779" s="63"/>
      <c r="C1779" s="63"/>
      <c r="D1779" s="64"/>
      <c r="E1779" s="66"/>
      <c r="F1779" s="103" t="str">
        <f>HYPERLINK("https://pbs.twimg.com/profile_images/1556756095150030850/7anOqXzu_normal.jpg")</f>
        <v>https://pbs.twimg.com/profile_images/1556756095150030850/7anOqXzu_normal.jpg</v>
      </c>
      <c r="G1779" s="63"/>
      <c r="H1779" s="67"/>
      <c r="I1779" s="68"/>
      <c r="J1779" s="68"/>
      <c r="K1779" s="67" t="s">
        <v>29373</v>
      </c>
      <c r="L1779" s="71"/>
      <c r="M1779" s="72"/>
      <c r="N1779" s="72"/>
      <c r="O1779" s="73"/>
      <c r="P1779" s="74"/>
      <c r="Q1779" s="74"/>
      <c r="R1779" s="87"/>
      <c r="S1779" s="87"/>
      <c r="T1779" s="87"/>
      <c r="U1779" s="87"/>
      <c r="V1779" s="48"/>
      <c r="W1779" s="48"/>
      <c r="X1779" s="48"/>
      <c r="Y1779" s="48"/>
      <c r="Z1779" s="47"/>
      <c r="AA1779" s="69">
        <v>1779</v>
      </c>
      <c r="AB1779" s="69"/>
      <c r="AC1779" s="70"/>
      <c r="AD1779" s="76" t="s">
        <v>22987</v>
      </c>
      <c r="AE1779" s="81" t="s">
        <v>24002</v>
      </c>
      <c r="AF1779" s="76">
        <v>4153</v>
      </c>
      <c r="AG1779" s="76">
        <v>1861</v>
      </c>
      <c r="AH1779" s="76">
        <v>1646</v>
      </c>
      <c r="AI1779" s="76">
        <v>44</v>
      </c>
      <c r="AJ1779" s="76">
        <v>176</v>
      </c>
      <c r="AK1779" s="76">
        <v>524</v>
      </c>
      <c r="AL1779" s="76" t="b">
        <v>0</v>
      </c>
      <c r="AM1779" s="78">
        <v>41875.867534722223</v>
      </c>
      <c r="AN1779" s="76" t="s">
        <v>24188</v>
      </c>
      <c r="AO1779" s="76" t="s">
        <v>26288</v>
      </c>
      <c r="AP1779" s="82" t="str">
        <f>HYPERLINK("https://t.co/SQxT3wKbZf")</f>
        <v>https://t.co/SQxT3wKbZf</v>
      </c>
      <c r="AQ1779" s="82" t="str">
        <f>HYPERLINK("https://patrimore.com")</f>
        <v>https://patrimore.com</v>
      </c>
      <c r="AR1779" s="76" t="s">
        <v>27325</v>
      </c>
      <c r="AS1779" s="82" t="str">
        <f>HYPERLINK("https://t.co/Pzm4opfNtp")</f>
        <v>https://t.co/Pzm4opfNtp</v>
      </c>
      <c r="AT1779" s="82" t="str">
        <f>HYPERLINK("http://patrimore.com")</f>
        <v>http://patrimore.com</v>
      </c>
      <c r="AU1779" s="76" t="s">
        <v>27325</v>
      </c>
      <c r="AV1779" s="76"/>
      <c r="AW1779" s="82" t="str">
        <f>HYPERLINK("https://t.co/SQxT3wKbZf")</f>
        <v>https://t.co/SQxT3wKbZf</v>
      </c>
      <c r="AX1779" s="76" t="b">
        <v>0</v>
      </c>
      <c r="AY1779" s="76"/>
      <c r="AZ1779" s="76"/>
      <c r="BA1779" s="76" t="b">
        <v>0</v>
      </c>
      <c r="BB1779" s="76" t="b">
        <v>1</v>
      </c>
      <c r="BC1779" s="76" t="b">
        <v>0</v>
      </c>
      <c r="BD1779" s="76" t="b">
        <v>0</v>
      </c>
      <c r="BE1779" s="76" t="b">
        <v>0</v>
      </c>
      <c r="BF1779" s="76" t="b">
        <v>0</v>
      </c>
      <c r="BG1779" s="76" t="b">
        <v>0</v>
      </c>
      <c r="BH1779" s="82" t="str">
        <f>HYPERLINK("https://pbs.twimg.com/profile_banners/2763969229/1660839522")</f>
        <v>https://pbs.twimg.com/profile_banners/2763969229/1660839522</v>
      </c>
      <c r="BI1779" s="76"/>
      <c r="BJ1779" s="76" t="s">
        <v>27595</v>
      </c>
      <c r="BK1779" s="76" t="b">
        <v>0</v>
      </c>
      <c r="BL1779" s="76"/>
      <c r="BM1779" s="76" t="s">
        <v>66</v>
      </c>
      <c r="BN1779" s="76" t="s">
        <v>27597</v>
      </c>
      <c r="BO1779" s="82" t="str">
        <f>HYPERLINK("https://twitter.com/somospatrimore")</f>
        <v>https://twitter.com/somospatrimore</v>
      </c>
      <c r="BP1779" s="2"/>
    </row>
    <row r="1780" spans="1:68" x14ac:dyDescent="0.25">
      <c r="A1780" s="62" t="s">
        <v>1612</v>
      </c>
      <c r="B1780" s="63"/>
      <c r="C1780" s="63"/>
      <c r="D1780" s="64"/>
      <c r="E1780" s="66"/>
      <c r="F1780" s="103" t="str">
        <f>HYPERLINK("https://pbs.twimg.com/profile_images/1004013563554484229/_rInW9jW_normal.jpg")</f>
        <v>https://pbs.twimg.com/profile_images/1004013563554484229/_rInW9jW_normal.jpg</v>
      </c>
      <c r="G1780" s="63"/>
      <c r="H1780" s="67"/>
      <c r="I1780" s="68"/>
      <c r="J1780" s="68"/>
      <c r="K1780" s="67" t="s">
        <v>29374</v>
      </c>
      <c r="L1780" s="71"/>
      <c r="M1780" s="72"/>
      <c r="N1780" s="72"/>
      <c r="O1780" s="73"/>
      <c r="P1780" s="74"/>
      <c r="Q1780" s="74"/>
      <c r="R1780" s="87"/>
      <c r="S1780" s="87"/>
      <c r="T1780" s="87"/>
      <c r="U1780" s="87"/>
      <c r="V1780" s="48"/>
      <c r="W1780" s="48"/>
      <c r="X1780" s="48"/>
      <c r="Y1780" s="48"/>
      <c r="Z1780" s="47"/>
      <c r="AA1780" s="69">
        <v>1780</v>
      </c>
      <c r="AB1780" s="69"/>
      <c r="AC1780" s="70"/>
      <c r="AD1780" s="76" t="s">
        <v>22988</v>
      </c>
      <c r="AE1780" s="81" t="s">
        <v>24003</v>
      </c>
      <c r="AF1780" s="76">
        <v>1079</v>
      </c>
      <c r="AG1780" s="76">
        <v>365</v>
      </c>
      <c r="AH1780" s="76">
        <v>101258</v>
      </c>
      <c r="AI1780" s="76">
        <v>20</v>
      </c>
      <c r="AJ1780" s="76">
        <v>7</v>
      </c>
      <c r="AK1780" s="76">
        <v>825</v>
      </c>
      <c r="AL1780" s="76" t="b">
        <v>0</v>
      </c>
      <c r="AM1780" s="78">
        <v>40484.776435185187</v>
      </c>
      <c r="AN1780" s="76" t="s">
        <v>24680</v>
      </c>
      <c r="AO1780" s="76" t="s">
        <v>26289</v>
      </c>
      <c r="AP1780" s="82" t="str">
        <f>HYPERLINK("http://t.co/XP5ARRrwqY")</f>
        <v>http://t.co/XP5ARRrwqY</v>
      </c>
      <c r="AQ1780" s="82" t="str">
        <f>HYPERLINK("http://www.radiodon.com.ar")</f>
        <v>http://www.radiodon.com.ar</v>
      </c>
      <c r="AR1780" s="76" t="s">
        <v>27326</v>
      </c>
      <c r="AS1780" s="76"/>
      <c r="AT1780" s="76"/>
      <c r="AU1780" s="76"/>
      <c r="AV1780" s="76"/>
      <c r="AW1780" s="82" t="str">
        <f>HYPERLINK("http://t.co/XP5ARRrwqY")</f>
        <v>http://t.co/XP5ARRrwqY</v>
      </c>
      <c r="AX1780" s="76" t="b">
        <v>0</v>
      </c>
      <c r="AY1780" s="76"/>
      <c r="AZ1780" s="76"/>
      <c r="BA1780" s="76" t="b">
        <v>0</v>
      </c>
      <c r="BB1780" s="76" t="b">
        <v>1</v>
      </c>
      <c r="BC1780" s="76" t="b">
        <v>0</v>
      </c>
      <c r="BD1780" s="76" t="b">
        <v>0</v>
      </c>
      <c r="BE1780" s="76" t="b">
        <v>1</v>
      </c>
      <c r="BF1780" s="76" t="b">
        <v>0</v>
      </c>
      <c r="BG1780" s="76" t="b">
        <v>0</v>
      </c>
      <c r="BH1780" s="82" t="str">
        <f>HYPERLINK("https://pbs.twimg.com/profile_banners/211245238/1528210438")</f>
        <v>https://pbs.twimg.com/profile_banners/211245238/1528210438</v>
      </c>
      <c r="BI1780" s="76"/>
      <c r="BJ1780" s="76" t="s">
        <v>27595</v>
      </c>
      <c r="BK1780" s="76" t="b">
        <v>0</v>
      </c>
      <c r="BL1780" s="76"/>
      <c r="BM1780" s="76" t="s">
        <v>66</v>
      </c>
      <c r="BN1780" s="76" t="s">
        <v>27597</v>
      </c>
      <c r="BO1780" s="82" t="str">
        <f>HYPERLINK("https://twitter.com/radiodonweb")</f>
        <v>https://twitter.com/radiodonweb</v>
      </c>
      <c r="BP1780" s="2"/>
    </row>
    <row r="1781" spans="1:68" x14ac:dyDescent="0.25">
      <c r="A1781" s="62" t="s">
        <v>1613</v>
      </c>
      <c r="B1781" s="63"/>
      <c r="C1781" s="63"/>
      <c r="D1781" s="64"/>
      <c r="E1781" s="66"/>
      <c r="F1781" s="103" t="str">
        <f>HYPERLINK("https://pbs.twimg.com/profile_images/1539606343425851392/SfIsM68Q_normal.jpg")</f>
        <v>https://pbs.twimg.com/profile_images/1539606343425851392/SfIsM68Q_normal.jpg</v>
      </c>
      <c r="G1781" s="63"/>
      <c r="H1781" s="67"/>
      <c r="I1781" s="68"/>
      <c r="J1781" s="68"/>
      <c r="K1781" s="67" t="s">
        <v>29375</v>
      </c>
      <c r="L1781" s="71"/>
      <c r="M1781" s="72"/>
      <c r="N1781" s="72"/>
      <c r="O1781" s="73"/>
      <c r="P1781" s="74"/>
      <c r="Q1781" s="74"/>
      <c r="R1781" s="87"/>
      <c r="S1781" s="87"/>
      <c r="T1781" s="87"/>
      <c r="U1781" s="87"/>
      <c r="V1781" s="48"/>
      <c r="W1781" s="48"/>
      <c r="X1781" s="48"/>
      <c r="Y1781" s="48"/>
      <c r="Z1781" s="47"/>
      <c r="AA1781" s="69">
        <v>1781</v>
      </c>
      <c r="AB1781" s="69"/>
      <c r="AC1781" s="70"/>
      <c r="AD1781" s="76" t="s">
        <v>22989</v>
      </c>
      <c r="AE1781" s="81" t="s">
        <v>24004</v>
      </c>
      <c r="AF1781" s="76">
        <v>22935</v>
      </c>
      <c r="AG1781" s="76">
        <v>533</v>
      </c>
      <c r="AH1781" s="76">
        <v>26471</v>
      </c>
      <c r="AI1781" s="76">
        <v>254</v>
      </c>
      <c r="AJ1781" s="76">
        <v>1115</v>
      </c>
      <c r="AK1781" s="76">
        <v>9379</v>
      </c>
      <c r="AL1781" s="76" t="b">
        <v>0</v>
      </c>
      <c r="AM1781" s="78">
        <v>39911.142210648148</v>
      </c>
      <c r="AN1781" s="76" t="s">
        <v>24410</v>
      </c>
      <c r="AO1781" s="76" t="s">
        <v>26290</v>
      </c>
      <c r="AP1781" s="82" t="str">
        <f>HYPERLINK("https://t.co/vfN0ljZ0NI")</f>
        <v>https://t.co/vfN0ljZ0NI</v>
      </c>
      <c r="AQ1781" s="82" t="str">
        <f>HYPERLINK("http://www.inversorglobal.com")</f>
        <v>http://www.inversorglobal.com</v>
      </c>
      <c r="AR1781" s="76" t="s">
        <v>27327</v>
      </c>
      <c r="AS1781" s="76"/>
      <c r="AT1781" s="76"/>
      <c r="AU1781" s="76"/>
      <c r="AV1781" s="76"/>
      <c r="AW1781" s="82" t="str">
        <f>HYPERLINK("https://t.co/vfN0ljZ0NI")</f>
        <v>https://t.co/vfN0ljZ0NI</v>
      </c>
      <c r="AX1781" s="76" t="b">
        <v>0</v>
      </c>
      <c r="AY1781" s="76"/>
      <c r="AZ1781" s="76"/>
      <c r="BA1781" s="76" t="b">
        <v>0</v>
      </c>
      <c r="BB1781" s="76" t="b">
        <v>1</v>
      </c>
      <c r="BC1781" s="76" t="b">
        <v>0</v>
      </c>
      <c r="BD1781" s="76" t="b">
        <v>0</v>
      </c>
      <c r="BE1781" s="76" t="b">
        <v>1</v>
      </c>
      <c r="BF1781" s="76" t="b">
        <v>0</v>
      </c>
      <c r="BG1781" s="76" t="b">
        <v>0</v>
      </c>
      <c r="BH1781" s="82" t="str">
        <f>HYPERLINK("https://pbs.twimg.com/profile_banners/29629086/1652992223")</f>
        <v>https://pbs.twimg.com/profile_banners/29629086/1652992223</v>
      </c>
      <c r="BI1781" s="76"/>
      <c r="BJ1781" s="76" t="s">
        <v>27595</v>
      </c>
      <c r="BK1781" s="76" t="b">
        <v>0</v>
      </c>
      <c r="BL1781" s="76"/>
      <c r="BM1781" s="76" t="s">
        <v>66</v>
      </c>
      <c r="BN1781" s="76" t="s">
        <v>27597</v>
      </c>
      <c r="BO1781" s="82" t="str">
        <f>HYPERLINK("https://twitter.com/inversorglobal")</f>
        <v>https://twitter.com/inversorglobal</v>
      </c>
      <c r="BP1781" s="2"/>
    </row>
    <row r="1782" spans="1:68" x14ac:dyDescent="0.25">
      <c r="A1782" s="62" t="s">
        <v>1614</v>
      </c>
      <c r="B1782" s="63"/>
      <c r="C1782" s="63"/>
      <c r="D1782" s="64"/>
      <c r="E1782" s="66"/>
      <c r="F1782" s="103" t="str">
        <f>HYPERLINK("https://pbs.twimg.com/profile_images/1696394445971705856/s6xHRuwU_normal.jpg")</f>
        <v>https://pbs.twimg.com/profile_images/1696394445971705856/s6xHRuwU_normal.jpg</v>
      </c>
      <c r="G1782" s="63"/>
      <c r="H1782" s="67"/>
      <c r="I1782" s="68"/>
      <c r="J1782" s="68"/>
      <c r="K1782" s="67" t="s">
        <v>29376</v>
      </c>
      <c r="L1782" s="71"/>
      <c r="M1782" s="72"/>
      <c r="N1782" s="72"/>
      <c r="O1782" s="73"/>
      <c r="P1782" s="74"/>
      <c r="Q1782" s="74"/>
      <c r="R1782" s="87"/>
      <c r="S1782" s="87"/>
      <c r="T1782" s="87"/>
      <c r="U1782" s="87"/>
      <c r="V1782" s="48"/>
      <c r="W1782" s="48"/>
      <c r="X1782" s="48"/>
      <c r="Y1782" s="48"/>
      <c r="Z1782" s="47"/>
      <c r="AA1782" s="69">
        <v>1782</v>
      </c>
      <c r="AB1782" s="69"/>
      <c r="AC1782" s="70"/>
      <c r="AD1782" s="76" t="s">
        <v>22990</v>
      </c>
      <c r="AE1782" s="81" t="s">
        <v>24005</v>
      </c>
      <c r="AF1782" s="76">
        <v>460</v>
      </c>
      <c r="AG1782" s="76">
        <v>5002</v>
      </c>
      <c r="AH1782" s="76">
        <v>36681</v>
      </c>
      <c r="AI1782" s="76">
        <v>6</v>
      </c>
      <c r="AJ1782" s="76">
        <v>107502</v>
      </c>
      <c r="AK1782" s="76">
        <v>11</v>
      </c>
      <c r="AL1782" s="76" t="b">
        <v>0</v>
      </c>
      <c r="AM1782" s="78">
        <v>42188.668993055559</v>
      </c>
      <c r="AN1782" s="76" t="s">
        <v>24681</v>
      </c>
      <c r="AO1782" s="76" t="s">
        <v>26291</v>
      </c>
      <c r="AP1782" s="76"/>
      <c r="AQ1782" s="76"/>
      <c r="AR1782" s="76"/>
      <c r="AS1782" s="76" t="s">
        <v>27404</v>
      </c>
      <c r="AT1782" s="76" t="s">
        <v>27443</v>
      </c>
      <c r="AU1782" s="76" t="s">
        <v>27585</v>
      </c>
      <c r="AV1782" s="76"/>
      <c r="AW1782" s="76"/>
      <c r="AX1782" s="76" t="b">
        <v>0</v>
      </c>
      <c r="AY1782" s="76"/>
      <c r="AZ1782" s="76"/>
      <c r="BA1782" s="76" t="b">
        <v>0</v>
      </c>
      <c r="BB1782" s="76" t="b">
        <v>1</v>
      </c>
      <c r="BC1782" s="76" t="b">
        <v>1</v>
      </c>
      <c r="BD1782" s="76" t="b">
        <v>0</v>
      </c>
      <c r="BE1782" s="76" t="b">
        <v>1</v>
      </c>
      <c r="BF1782" s="76" t="b">
        <v>0</v>
      </c>
      <c r="BG1782" s="76" t="b">
        <v>1</v>
      </c>
      <c r="BH1782" s="82" t="str">
        <f>HYPERLINK("https://pbs.twimg.com/profile_banners/3356973699/1670869365")</f>
        <v>https://pbs.twimg.com/profile_banners/3356973699/1670869365</v>
      </c>
      <c r="BI1782" s="76"/>
      <c r="BJ1782" s="76" t="s">
        <v>27595</v>
      </c>
      <c r="BK1782" s="76" t="b">
        <v>0</v>
      </c>
      <c r="BL1782" s="76"/>
      <c r="BM1782" s="76" t="s">
        <v>66</v>
      </c>
      <c r="BN1782" s="76" t="s">
        <v>27597</v>
      </c>
      <c r="BO1782" s="82" t="str">
        <f>HYPERLINK("https://twitter.com/rodrigorx95")</f>
        <v>https://twitter.com/rodrigorx95</v>
      </c>
      <c r="BP1782" s="2"/>
    </row>
    <row r="1783" spans="1:68" x14ac:dyDescent="0.25">
      <c r="A1783" s="62" t="s">
        <v>1616</v>
      </c>
      <c r="B1783" s="63"/>
      <c r="C1783" s="63"/>
      <c r="D1783" s="64"/>
      <c r="E1783" s="66"/>
      <c r="F1783" s="103" t="str">
        <f>HYPERLINK("https://pbs.twimg.com/profile_images/1643668944920670208/xNdllSZM_normal.jpg")</f>
        <v>https://pbs.twimg.com/profile_images/1643668944920670208/xNdllSZM_normal.jpg</v>
      </c>
      <c r="G1783" s="63"/>
      <c r="H1783" s="67"/>
      <c r="I1783" s="68"/>
      <c r="J1783" s="68"/>
      <c r="K1783" s="67" t="s">
        <v>29377</v>
      </c>
      <c r="L1783" s="71"/>
      <c r="M1783" s="72"/>
      <c r="N1783" s="72"/>
      <c r="O1783" s="73"/>
      <c r="P1783" s="74"/>
      <c r="Q1783" s="74"/>
      <c r="R1783" s="87"/>
      <c r="S1783" s="87"/>
      <c r="T1783" s="87"/>
      <c r="U1783" s="87"/>
      <c r="V1783" s="48"/>
      <c r="W1783" s="48"/>
      <c r="X1783" s="48"/>
      <c r="Y1783" s="48"/>
      <c r="Z1783" s="47"/>
      <c r="AA1783" s="69">
        <v>1783</v>
      </c>
      <c r="AB1783" s="69"/>
      <c r="AC1783" s="70"/>
      <c r="AD1783" s="76" t="s">
        <v>22991</v>
      </c>
      <c r="AE1783" s="81" t="s">
        <v>24006</v>
      </c>
      <c r="AF1783" s="76">
        <v>366</v>
      </c>
      <c r="AG1783" s="76">
        <v>531</v>
      </c>
      <c r="AH1783" s="76">
        <v>52948</v>
      </c>
      <c r="AI1783" s="76">
        <v>5</v>
      </c>
      <c r="AJ1783" s="76">
        <v>231887</v>
      </c>
      <c r="AK1783" s="76">
        <v>148</v>
      </c>
      <c r="AL1783" s="76" t="b">
        <v>0</v>
      </c>
      <c r="AM1783" s="78">
        <v>41272.2028587963</v>
      </c>
      <c r="AN1783" s="76" t="s">
        <v>24682</v>
      </c>
      <c r="AO1783" s="76" t="s">
        <v>26292</v>
      </c>
      <c r="AP1783" s="76"/>
      <c r="AQ1783" s="76"/>
      <c r="AR1783" s="76"/>
      <c r="AS1783" s="76"/>
      <c r="AT1783" s="76"/>
      <c r="AU1783" s="76"/>
      <c r="AV1783" s="76">
        <v>1.3767922506514501E+18</v>
      </c>
      <c r="AW1783" s="76"/>
      <c r="AX1783" s="76" t="b">
        <v>0</v>
      </c>
      <c r="AY1783" s="76"/>
      <c r="AZ1783" s="76"/>
      <c r="BA1783" s="76" t="b">
        <v>1</v>
      </c>
      <c r="BB1783" s="76" t="b">
        <v>0</v>
      </c>
      <c r="BC1783" s="76" t="b">
        <v>0</v>
      </c>
      <c r="BD1783" s="76" t="b">
        <v>0</v>
      </c>
      <c r="BE1783" s="76" t="b">
        <v>1</v>
      </c>
      <c r="BF1783" s="76" t="b">
        <v>0</v>
      </c>
      <c r="BG1783" s="76" t="b">
        <v>0</v>
      </c>
      <c r="BH1783" s="82" t="str">
        <f>HYPERLINK("https://pbs.twimg.com/profile_banners/1043864527/1487073842")</f>
        <v>https://pbs.twimg.com/profile_banners/1043864527/1487073842</v>
      </c>
      <c r="BI1783" s="76"/>
      <c r="BJ1783" s="76" t="s">
        <v>27595</v>
      </c>
      <c r="BK1783" s="76" t="b">
        <v>0</v>
      </c>
      <c r="BL1783" s="76"/>
      <c r="BM1783" s="76" t="s">
        <v>66</v>
      </c>
      <c r="BN1783" s="76" t="s">
        <v>27597</v>
      </c>
      <c r="BO1783" s="82" t="str">
        <f>HYPERLINK("https://twitter.com/gervasiotaylor")</f>
        <v>https://twitter.com/gervasiotaylor</v>
      </c>
      <c r="BP1783" s="2"/>
    </row>
    <row r="1784" spans="1:68" x14ac:dyDescent="0.25">
      <c r="A1784" s="62" t="s">
        <v>1617</v>
      </c>
      <c r="B1784" s="63"/>
      <c r="C1784" s="63"/>
      <c r="D1784" s="64"/>
      <c r="E1784" s="66"/>
      <c r="F1784" s="103" t="str">
        <f>HYPERLINK("https://pbs.twimg.com/profile_images/1699655711070818304/RAYqX3vy_normal.jpg")</f>
        <v>https://pbs.twimg.com/profile_images/1699655711070818304/RAYqX3vy_normal.jpg</v>
      </c>
      <c r="G1784" s="63"/>
      <c r="H1784" s="67"/>
      <c r="I1784" s="68"/>
      <c r="J1784" s="68"/>
      <c r="K1784" s="67" t="s">
        <v>29378</v>
      </c>
      <c r="L1784" s="71"/>
      <c r="M1784" s="72"/>
      <c r="N1784" s="72"/>
      <c r="O1784" s="73"/>
      <c r="P1784" s="74"/>
      <c r="Q1784" s="74"/>
      <c r="R1784" s="87"/>
      <c r="S1784" s="87"/>
      <c r="T1784" s="87"/>
      <c r="U1784" s="87"/>
      <c r="V1784" s="48"/>
      <c r="W1784" s="48"/>
      <c r="X1784" s="48"/>
      <c r="Y1784" s="48"/>
      <c r="Z1784" s="47"/>
      <c r="AA1784" s="69">
        <v>1784</v>
      </c>
      <c r="AB1784" s="69"/>
      <c r="AC1784" s="70"/>
      <c r="AD1784" s="76" t="s">
        <v>22992</v>
      </c>
      <c r="AE1784" s="81" t="s">
        <v>21168</v>
      </c>
      <c r="AF1784" s="76">
        <v>2490</v>
      </c>
      <c r="AG1784" s="76">
        <v>2645</v>
      </c>
      <c r="AH1784" s="76">
        <v>3677</v>
      </c>
      <c r="AI1784" s="76">
        <v>0</v>
      </c>
      <c r="AJ1784" s="76">
        <v>2932</v>
      </c>
      <c r="AK1784" s="76">
        <v>86</v>
      </c>
      <c r="AL1784" s="76" t="b">
        <v>0</v>
      </c>
      <c r="AM1784" s="78">
        <v>44350.620578703703</v>
      </c>
      <c r="AN1784" s="76" t="s">
        <v>24154</v>
      </c>
      <c r="AO1784" s="76" t="s">
        <v>26293</v>
      </c>
      <c r="AP1784" s="76"/>
      <c r="AQ1784" s="76"/>
      <c r="AR1784" s="76"/>
      <c r="AS1784" s="76"/>
      <c r="AT1784" s="76"/>
      <c r="AU1784" s="76"/>
      <c r="AV1784" s="76"/>
      <c r="AW1784" s="76"/>
      <c r="AX1784" s="76" t="b">
        <v>0</v>
      </c>
      <c r="AY1784" s="76"/>
      <c r="AZ1784" s="76"/>
      <c r="BA1784" s="76" t="b">
        <v>0</v>
      </c>
      <c r="BB1784" s="76" t="b">
        <v>0</v>
      </c>
      <c r="BC1784" s="76" t="b">
        <v>1</v>
      </c>
      <c r="BD1784" s="76" t="b">
        <v>0</v>
      </c>
      <c r="BE1784" s="76" t="b">
        <v>0</v>
      </c>
      <c r="BF1784" s="76" t="b">
        <v>0</v>
      </c>
      <c r="BG1784" s="76" t="b">
        <v>0</v>
      </c>
      <c r="BH1784" s="82" t="str">
        <f>HYPERLINK("https://pbs.twimg.com/profile_banners/1400465619070296077/1695803072")</f>
        <v>https://pbs.twimg.com/profile_banners/1400465619070296077/1695803072</v>
      </c>
      <c r="BI1784" s="76"/>
      <c r="BJ1784" s="76" t="s">
        <v>27595</v>
      </c>
      <c r="BK1784" s="76" t="b">
        <v>0</v>
      </c>
      <c r="BL1784" s="76"/>
      <c r="BM1784" s="76" t="s">
        <v>66</v>
      </c>
      <c r="BN1784" s="76" t="s">
        <v>27597</v>
      </c>
      <c r="BO1784" s="82" t="str">
        <f>HYPERLINK("https://twitter.com/lourencobra")</f>
        <v>https://twitter.com/lourencobra</v>
      </c>
      <c r="BP1784" s="2"/>
    </row>
    <row r="1785" spans="1:68" x14ac:dyDescent="0.25">
      <c r="A1785" s="62" t="s">
        <v>1618</v>
      </c>
      <c r="B1785" s="63"/>
      <c r="C1785" s="63"/>
      <c r="D1785" s="64"/>
      <c r="E1785" s="66"/>
      <c r="F1785" s="103" t="str">
        <f>HYPERLINK("https://pbs.twimg.com/profile_images/1516417883760467973/54nCucaH_normal.png")</f>
        <v>https://pbs.twimg.com/profile_images/1516417883760467973/54nCucaH_normal.png</v>
      </c>
      <c r="G1785" s="63"/>
      <c r="H1785" s="67"/>
      <c r="I1785" s="68"/>
      <c r="J1785" s="68"/>
      <c r="K1785" s="67" t="s">
        <v>29379</v>
      </c>
      <c r="L1785" s="71"/>
      <c r="M1785" s="72"/>
      <c r="N1785" s="72"/>
      <c r="O1785" s="73"/>
      <c r="P1785" s="74"/>
      <c r="Q1785" s="74"/>
      <c r="R1785" s="87"/>
      <c r="S1785" s="87"/>
      <c r="T1785" s="87"/>
      <c r="U1785" s="87"/>
      <c r="V1785" s="48"/>
      <c r="W1785" s="48"/>
      <c r="X1785" s="48"/>
      <c r="Y1785" s="48"/>
      <c r="Z1785" s="47"/>
      <c r="AA1785" s="69">
        <v>1785</v>
      </c>
      <c r="AB1785" s="69"/>
      <c r="AC1785" s="70"/>
      <c r="AD1785" s="76" t="s">
        <v>22993</v>
      </c>
      <c r="AE1785" s="81" t="s">
        <v>21169</v>
      </c>
      <c r="AF1785" s="76">
        <v>84</v>
      </c>
      <c r="AG1785" s="76">
        <v>408</v>
      </c>
      <c r="AH1785" s="76">
        <v>4839</v>
      </c>
      <c r="AI1785" s="76">
        <v>0</v>
      </c>
      <c r="AJ1785" s="76">
        <v>25588</v>
      </c>
      <c r="AK1785" s="76">
        <v>0</v>
      </c>
      <c r="AL1785" s="76" t="b">
        <v>0</v>
      </c>
      <c r="AM1785" s="78">
        <v>44670.587627314817</v>
      </c>
      <c r="AN1785" s="76"/>
      <c r="AO1785" s="76"/>
      <c r="AP1785" s="76"/>
      <c r="AQ1785" s="76"/>
      <c r="AR1785" s="76"/>
      <c r="AS1785" s="76"/>
      <c r="AT1785" s="76"/>
      <c r="AU1785" s="76"/>
      <c r="AV1785" s="76"/>
      <c r="AW1785" s="76"/>
      <c r="AX1785" s="76" t="b">
        <v>0</v>
      </c>
      <c r="AY1785" s="76"/>
      <c r="AZ1785" s="76"/>
      <c r="BA1785" s="76" t="b">
        <v>0</v>
      </c>
      <c r="BB1785" s="76" t="b">
        <v>1</v>
      </c>
      <c r="BC1785" s="76" t="b">
        <v>1</v>
      </c>
      <c r="BD1785" s="76" t="b">
        <v>0</v>
      </c>
      <c r="BE1785" s="76" t="b">
        <v>0</v>
      </c>
      <c r="BF1785" s="76" t="b">
        <v>0</v>
      </c>
      <c r="BG1785" s="76" t="b">
        <v>0</v>
      </c>
      <c r="BH1785" s="76"/>
      <c r="BI1785" s="76"/>
      <c r="BJ1785" s="76" t="s">
        <v>27595</v>
      </c>
      <c r="BK1785" s="76" t="b">
        <v>0</v>
      </c>
      <c r="BL1785" s="76"/>
      <c r="BM1785" s="76" t="s">
        <v>66</v>
      </c>
      <c r="BN1785" s="76" t="s">
        <v>27597</v>
      </c>
      <c r="BO1785" s="82" t="str">
        <f>HYPERLINK("https://twitter.com/celiasi80673675")</f>
        <v>https://twitter.com/celiasi80673675</v>
      </c>
      <c r="BP1785" s="2"/>
    </row>
    <row r="1786" spans="1:68" x14ac:dyDescent="0.25">
      <c r="A1786" s="62" t="s">
        <v>1619</v>
      </c>
      <c r="B1786" s="63"/>
      <c r="C1786" s="63"/>
      <c r="D1786" s="64"/>
      <c r="E1786" s="66"/>
      <c r="F1786" s="103" t="str">
        <f>HYPERLINK("https://pbs.twimg.com/profile_images/725308655529287680/NlObMTl0_normal.jpg")</f>
        <v>https://pbs.twimg.com/profile_images/725308655529287680/NlObMTl0_normal.jpg</v>
      </c>
      <c r="G1786" s="63"/>
      <c r="H1786" s="67"/>
      <c r="I1786" s="68"/>
      <c r="J1786" s="68"/>
      <c r="K1786" s="67" t="s">
        <v>29380</v>
      </c>
      <c r="L1786" s="71"/>
      <c r="M1786" s="72"/>
      <c r="N1786" s="72"/>
      <c r="O1786" s="73"/>
      <c r="P1786" s="74"/>
      <c r="Q1786" s="74"/>
      <c r="R1786" s="87"/>
      <c r="S1786" s="87"/>
      <c r="T1786" s="87"/>
      <c r="U1786" s="87"/>
      <c r="V1786" s="48"/>
      <c r="W1786" s="48"/>
      <c r="X1786" s="48"/>
      <c r="Y1786" s="48"/>
      <c r="Z1786" s="47"/>
      <c r="AA1786" s="69">
        <v>1786</v>
      </c>
      <c r="AB1786" s="69"/>
      <c r="AC1786" s="70"/>
      <c r="AD1786" s="76" t="s">
        <v>22994</v>
      </c>
      <c r="AE1786" s="81" t="s">
        <v>21170</v>
      </c>
      <c r="AF1786" s="76">
        <v>123</v>
      </c>
      <c r="AG1786" s="76">
        <v>573</v>
      </c>
      <c r="AH1786" s="76">
        <v>1697</v>
      </c>
      <c r="AI1786" s="76">
        <v>0</v>
      </c>
      <c r="AJ1786" s="76">
        <v>72</v>
      </c>
      <c r="AK1786" s="76">
        <v>142</v>
      </c>
      <c r="AL1786" s="76" t="b">
        <v>0</v>
      </c>
      <c r="AM1786" s="78">
        <v>42444.798136574071</v>
      </c>
      <c r="AN1786" s="76" t="s">
        <v>24683</v>
      </c>
      <c r="AO1786" s="76" t="s">
        <v>26294</v>
      </c>
      <c r="AP1786" s="82" t="str">
        <f>HYPERLINK("https://t.co/2WaQSCj3ol")</f>
        <v>https://t.co/2WaQSCj3ol</v>
      </c>
      <c r="AQ1786" s="82" t="str">
        <f>HYPERLINK("https://www.adn21.net/")</f>
        <v>https://www.adn21.net/</v>
      </c>
      <c r="AR1786" s="76" t="s">
        <v>27328</v>
      </c>
      <c r="AS1786" s="76"/>
      <c r="AT1786" s="76"/>
      <c r="AU1786" s="76"/>
      <c r="AV1786" s="76">
        <v>1.70359626670851E+18</v>
      </c>
      <c r="AW1786" s="82" t="str">
        <f>HYPERLINK("https://t.co/2WaQSCj3ol")</f>
        <v>https://t.co/2WaQSCj3ol</v>
      </c>
      <c r="AX1786" s="76" t="b">
        <v>0</v>
      </c>
      <c r="AY1786" s="76"/>
      <c r="AZ1786" s="76"/>
      <c r="BA1786" s="76" t="b">
        <v>0</v>
      </c>
      <c r="BB1786" s="76" t="b">
        <v>1</v>
      </c>
      <c r="BC1786" s="76" t="b">
        <v>1</v>
      </c>
      <c r="BD1786" s="76" t="b">
        <v>0</v>
      </c>
      <c r="BE1786" s="76" t="b">
        <v>1</v>
      </c>
      <c r="BF1786" s="76" t="b">
        <v>0</v>
      </c>
      <c r="BG1786" s="76" t="b">
        <v>0</v>
      </c>
      <c r="BH1786" s="82" t="str">
        <f>HYPERLINK("https://pbs.twimg.com/profile_banners/709818777307893761/1458069742")</f>
        <v>https://pbs.twimg.com/profile_banners/709818777307893761/1458069742</v>
      </c>
      <c r="BI1786" s="76"/>
      <c r="BJ1786" s="76" t="s">
        <v>27595</v>
      </c>
      <c r="BK1786" s="76" t="b">
        <v>0</v>
      </c>
      <c r="BL1786" s="76"/>
      <c r="BM1786" s="76" t="s">
        <v>66</v>
      </c>
      <c r="BN1786" s="76" t="s">
        <v>27597</v>
      </c>
      <c r="BO1786" s="82" t="str">
        <f>HYPERLINK("https://twitter.com/adn21ok")</f>
        <v>https://twitter.com/adn21ok</v>
      </c>
      <c r="BP1786" s="2"/>
    </row>
    <row r="1787" spans="1:68" x14ac:dyDescent="0.25">
      <c r="A1787" s="62" t="s">
        <v>2065</v>
      </c>
      <c r="B1787" s="63"/>
      <c r="C1787" s="63"/>
      <c r="D1787" s="64"/>
      <c r="E1787" s="66"/>
      <c r="F1787" s="63"/>
      <c r="G1787" s="63"/>
      <c r="H1787" s="67"/>
      <c r="I1787" s="68"/>
      <c r="J1787" s="68"/>
      <c r="K1787" s="67" t="s">
        <v>29381</v>
      </c>
      <c r="L1787" s="71"/>
      <c r="M1787" s="72"/>
      <c r="N1787" s="72"/>
      <c r="O1787" s="73"/>
      <c r="P1787" s="74"/>
      <c r="Q1787" s="74"/>
      <c r="R1787" s="87"/>
      <c r="S1787" s="87"/>
      <c r="T1787" s="87"/>
      <c r="U1787" s="87"/>
      <c r="V1787" s="48"/>
      <c r="W1787" s="48"/>
      <c r="X1787" s="48"/>
      <c r="Y1787" s="48"/>
      <c r="Z1787" s="47"/>
      <c r="AA1787" s="69">
        <v>1787</v>
      </c>
      <c r="AB1787" s="69"/>
      <c r="AC1787" s="70"/>
      <c r="AD1787" s="76"/>
      <c r="AE1787" s="81" t="s">
        <v>24007</v>
      </c>
      <c r="AF1787" s="76">
        <v>290632</v>
      </c>
      <c r="AG1787" s="76">
        <v>155</v>
      </c>
      <c r="AH1787" s="76">
        <v>20255</v>
      </c>
      <c r="AI1787" s="76">
        <v>668</v>
      </c>
      <c r="AJ1787" s="76">
        <v>2269</v>
      </c>
      <c r="AK1787" s="76">
        <v>8288</v>
      </c>
      <c r="AL1787" s="76" t="b">
        <v>0</v>
      </c>
      <c r="AM1787" s="78">
        <v>43713.730821759258</v>
      </c>
      <c r="AN1787" s="76"/>
      <c r="AO1787" s="76" t="s">
        <v>26295</v>
      </c>
      <c r="AP1787" s="76"/>
      <c r="AQ1787" s="76"/>
      <c r="AR1787" s="76"/>
      <c r="AS1787" s="82" t="str">
        <f>HYPERLINK("https://support.twitter.com/articles/20169222")</f>
        <v>https://support.twitter.com/articles/20169222</v>
      </c>
      <c r="AT1787" s="82" t="str">
        <f>HYPERLINK("https://support.twitter.com/articles/20169222")</f>
        <v>https://support.twitter.com/articles/20169222</v>
      </c>
      <c r="AU1787" s="76" t="s">
        <v>27586</v>
      </c>
      <c r="AV1787" s="76"/>
      <c r="AW1787" s="76"/>
      <c r="AX1787" s="76" t="b">
        <v>1</v>
      </c>
      <c r="AY1787" s="76"/>
      <c r="AZ1787" s="76"/>
      <c r="BA1787" s="76" t="b">
        <v>0</v>
      </c>
      <c r="BB1787" s="76" t="b">
        <v>0</v>
      </c>
      <c r="BC1787" s="76" t="b">
        <v>1</v>
      </c>
      <c r="BD1787" s="76" t="b">
        <v>0</v>
      </c>
      <c r="BE1787" s="76" t="b">
        <v>1</v>
      </c>
      <c r="BF1787" s="76" t="b">
        <v>0</v>
      </c>
      <c r="BG1787" s="76" t="b">
        <v>0</v>
      </c>
      <c r="BH1787" s="76"/>
      <c r="BI1787" s="76"/>
      <c r="BJ1787" s="76" t="s">
        <v>27595</v>
      </c>
      <c r="BK1787" s="76" t="b">
        <v>0</v>
      </c>
      <c r="BL1787" s="76" t="s">
        <v>14391</v>
      </c>
      <c r="BM1787" s="76" t="s">
        <v>65</v>
      </c>
      <c r="BN1787" s="76" t="s">
        <v>27597</v>
      </c>
      <c r="BO1787" s="82" t="str">
        <f>HYPERLINK("https://twitter.com/laderechadiario")</f>
        <v>https://twitter.com/laderechadiario</v>
      </c>
      <c r="BP1787" s="2"/>
    </row>
    <row r="1788" spans="1:68" x14ac:dyDescent="0.25">
      <c r="A1788" s="62" t="s">
        <v>1620</v>
      </c>
      <c r="B1788" s="63"/>
      <c r="C1788" s="63"/>
      <c r="D1788" s="64"/>
      <c r="E1788" s="66"/>
      <c r="F1788" s="103" t="str">
        <f>HYPERLINK("https://pbs.twimg.com/profile_images/1519056160548134914/_zJSmPSJ_normal.jpg")</f>
        <v>https://pbs.twimg.com/profile_images/1519056160548134914/_zJSmPSJ_normal.jpg</v>
      </c>
      <c r="G1788" s="63"/>
      <c r="H1788" s="67"/>
      <c r="I1788" s="68"/>
      <c r="J1788" s="68"/>
      <c r="K1788" s="67" t="s">
        <v>29382</v>
      </c>
      <c r="L1788" s="71"/>
      <c r="M1788" s="72"/>
      <c r="N1788" s="72"/>
      <c r="O1788" s="73"/>
      <c r="P1788" s="74"/>
      <c r="Q1788" s="74"/>
      <c r="R1788" s="87"/>
      <c r="S1788" s="87"/>
      <c r="T1788" s="87"/>
      <c r="U1788" s="87"/>
      <c r="V1788" s="48"/>
      <c r="W1788" s="48"/>
      <c r="X1788" s="48"/>
      <c r="Y1788" s="48"/>
      <c r="Z1788" s="47"/>
      <c r="AA1788" s="69">
        <v>1788</v>
      </c>
      <c r="AB1788" s="69"/>
      <c r="AC1788" s="70"/>
      <c r="AD1788" s="76" t="s">
        <v>22995</v>
      </c>
      <c r="AE1788" s="81" t="s">
        <v>21171</v>
      </c>
      <c r="AF1788" s="76">
        <v>26</v>
      </c>
      <c r="AG1788" s="76">
        <v>106</v>
      </c>
      <c r="AH1788" s="76">
        <v>9665</v>
      </c>
      <c r="AI1788" s="76">
        <v>0</v>
      </c>
      <c r="AJ1788" s="76">
        <v>15231</v>
      </c>
      <c r="AK1788" s="76">
        <v>3</v>
      </c>
      <c r="AL1788" s="76" t="b">
        <v>0</v>
      </c>
      <c r="AM1788" s="78">
        <v>44677.867881944447</v>
      </c>
      <c r="AN1788" s="76"/>
      <c r="AO1788" s="76"/>
      <c r="AP1788" s="76"/>
      <c r="AQ1788" s="76"/>
      <c r="AR1788" s="76"/>
      <c r="AS1788" s="76"/>
      <c r="AT1788" s="76"/>
      <c r="AU1788" s="76"/>
      <c r="AV1788" s="76"/>
      <c r="AW1788" s="76"/>
      <c r="AX1788" s="76" t="b">
        <v>0</v>
      </c>
      <c r="AY1788" s="76"/>
      <c r="AZ1788" s="76"/>
      <c r="BA1788" s="76" t="b">
        <v>0</v>
      </c>
      <c r="BB1788" s="76" t="b">
        <v>1</v>
      </c>
      <c r="BC1788" s="76" t="b">
        <v>1</v>
      </c>
      <c r="BD1788" s="76" t="b">
        <v>0</v>
      </c>
      <c r="BE1788" s="76" t="b">
        <v>1</v>
      </c>
      <c r="BF1788" s="76" t="b">
        <v>0</v>
      </c>
      <c r="BG1788" s="76" t="b">
        <v>0</v>
      </c>
      <c r="BH1788" s="82" t="str">
        <f>HYPERLINK("https://pbs.twimg.com/profile_banners/1519055961675210752/1689551504")</f>
        <v>https://pbs.twimg.com/profile_banners/1519055961675210752/1689551504</v>
      </c>
      <c r="BI1788" s="76"/>
      <c r="BJ1788" s="76" t="s">
        <v>27595</v>
      </c>
      <c r="BK1788" s="76" t="b">
        <v>0</v>
      </c>
      <c r="BL1788" s="76"/>
      <c r="BM1788" s="76" t="s">
        <v>66</v>
      </c>
      <c r="BN1788" s="76" t="s">
        <v>27597</v>
      </c>
      <c r="BO1788" s="82" t="str">
        <f>HYPERLINK("https://twitter.com/estrelaguiaest2")</f>
        <v>https://twitter.com/estrelaguiaest2</v>
      </c>
      <c r="BP1788" s="2"/>
    </row>
    <row r="1789" spans="1:68" x14ac:dyDescent="0.25">
      <c r="A1789" s="62" t="s">
        <v>1621</v>
      </c>
      <c r="B1789" s="63"/>
      <c r="C1789" s="63"/>
      <c r="D1789" s="64"/>
      <c r="E1789" s="66"/>
      <c r="F1789" s="103" t="str">
        <f>HYPERLINK("https://pbs.twimg.com/profile_images/1192298890193723392/4yVct3l5_normal.jpg")</f>
        <v>https://pbs.twimg.com/profile_images/1192298890193723392/4yVct3l5_normal.jpg</v>
      </c>
      <c r="G1789" s="63"/>
      <c r="H1789" s="67"/>
      <c r="I1789" s="68"/>
      <c r="J1789" s="68"/>
      <c r="K1789" s="67" t="s">
        <v>29383</v>
      </c>
      <c r="L1789" s="71"/>
      <c r="M1789" s="72"/>
      <c r="N1789" s="72"/>
      <c r="O1789" s="73"/>
      <c r="P1789" s="74"/>
      <c r="Q1789" s="74"/>
      <c r="R1789" s="87"/>
      <c r="S1789" s="87"/>
      <c r="T1789" s="87"/>
      <c r="U1789" s="87"/>
      <c r="V1789" s="48"/>
      <c r="W1789" s="48"/>
      <c r="X1789" s="48"/>
      <c r="Y1789" s="48"/>
      <c r="Z1789" s="47"/>
      <c r="AA1789" s="69">
        <v>1789</v>
      </c>
      <c r="AB1789" s="69"/>
      <c r="AC1789" s="70"/>
      <c r="AD1789" s="76" t="s">
        <v>22996</v>
      </c>
      <c r="AE1789" s="81" t="s">
        <v>21172</v>
      </c>
      <c r="AF1789" s="76">
        <v>1587</v>
      </c>
      <c r="AG1789" s="76">
        <v>2126</v>
      </c>
      <c r="AH1789" s="76">
        <v>3252</v>
      </c>
      <c r="AI1789" s="76">
        <v>0</v>
      </c>
      <c r="AJ1789" s="76">
        <v>8081</v>
      </c>
      <c r="AK1789" s="76">
        <v>123</v>
      </c>
      <c r="AL1789" s="76" t="b">
        <v>0</v>
      </c>
      <c r="AM1789" s="78">
        <v>43694.139189814814</v>
      </c>
      <c r="AN1789" s="76"/>
      <c r="AO1789" s="76" t="s">
        <v>26296</v>
      </c>
      <c r="AP1789" s="76"/>
      <c r="AQ1789" s="76"/>
      <c r="AR1789" s="76"/>
      <c r="AS1789" s="76"/>
      <c r="AT1789" s="76"/>
      <c r="AU1789" s="76"/>
      <c r="AV1789" s="76"/>
      <c r="AW1789" s="76"/>
      <c r="AX1789" s="76" t="b">
        <v>0</v>
      </c>
      <c r="AY1789" s="76"/>
      <c r="AZ1789" s="76"/>
      <c r="BA1789" s="76" t="b">
        <v>0</v>
      </c>
      <c r="BB1789" s="76" t="b">
        <v>1</v>
      </c>
      <c r="BC1789" s="76" t="b">
        <v>1</v>
      </c>
      <c r="BD1789" s="76" t="b">
        <v>0</v>
      </c>
      <c r="BE1789" s="76" t="b">
        <v>1</v>
      </c>
      <c r="BF1789" s="76" t="b">
        <v>0</v>
      </c>
      <c r="BG1789" s="76" t="b">
        <v>0</v>
      </c>
      <c r="BH1789" s="82" t="str">
        <f>HYPERLINK("https://pbs.twimg.com/profile_banners/1162564705623433217/1598281303")</f>
        <v>https://pbs.twimg.com/profile_banners/1162564705623433217/1598281303</v>
      </c>
      <c r="BI1789" s="76"/>
      <c r="BJ1789" s="76" t="s">
        <v>27595</v>
      </c>
      <c r="BK1789" s="76" t="b">
        <v>0</v>
      </c>
      <c r="BL1789" s="76"/>
      <c r="BM1789" s="76" t="s">
        <v>66</v>
      </c>
      <c r="BN1789" s="76" t="s">
        <v>27597</v>
      </c>
      <c r="BO1789" s="82" t="str">
        <f>HYPERLINK("https://twitter.com/chorizoreina")</f>
        <v>https://twitter.com/chorizoreina</v>
      </c>
      <c r="BP1789" s="2"/>
    </row>
    <row r="1790" spans="1:68" x14ac:dyDescent="0.25">
      <c r="A1790" s="62" t="s">
        <v>1622</v>
      </c>
      <c r="B1790" s="63"/>
      <c r="C1790" s="63"/>
      <c r="D1790" s="64"/>
      <c r="E1790" s="66"/>
      <c r="F1790" s="103" t="str">
        <f>HYPERLINK("https://pbs.twimg.com/profile_images/959857514111217665/cRBtcfwB_normal.jpg")</f>
        <v>https://pbs.twimg.com/profile_images/959857514111217665/cRBtcfwB_normal.jpg</v>
      </c>
      <c r="G1790" s="63"/>
      <c r="H1790" s="67"/>
      <c r="I1790" s="68"/>
      <c r="J1790" s="68"/>
      <c r="K1790" s="67" t="s">
        <v>29384</v>
      </c>
      <c r="L1790" s="71"/>
      <c r="M1790" s="72"/>
      <c r="N1790" s="72"/>
      <c r="O1790" s="73"/>
      <c r="P1790" s="74"/>
      <c r="Q1790" s="74"/>
      <c r="R1790" s="87"/>
      <c r="S1790" s="87"/>
      <c r="T1790" s="87"/>
      <c r="U1790" s="87"/>
      <c r="V1790" s="48"/>
      <c r="W1790" s="48"/>
      <c r="X1790" s="48"/>
      <c r="Y1790" s="48"/>
      <c r="Z1790" s="47"/>
      <c r="AA1790" s="69">
        <v>1790</v>
      </c>
      <c r="AB1790" s="69"/>
      <c r="AC1790" s="70"/>
      <c r="AD1790" s="76" t="s">
        <v>22997</v>
      </c>
      <c r="AE1790" s="81" t="s">
        <v>24008</v>
      </c>
      <c r="AF1790" s="76">
        <v>1359</v>
      </c>
      <c r="AG1790" s="76">
        <v>91</v>
      </c>
      <c r="AH1790" s="76">
        <v>3037</v>
      </c>
      <c r="AI1790" s="76">
        <v>0</v>
      </c>
      <c r="AJ1790" s="76">
        <v>9</v>
      </c>
      <c r="AK1790" s="76">
        <v>932</v>
      </c>
      <c r="AL1790" s="76" t="b">
        <v>0</v>
      </c>
      <c r="AM1790" s="78">
        <v>41915.178587962961</v>
      </c>
      <c r="AN1790" s="76" t="s">
        <v>24113</v>
      </c>
      <c r="AO1790" s="76" t="s">
        <v>26297</v>
      </c>
      <c r="AP1790" s="82" t="str">
        <f>HYPERLINK("https://t.co/IyTbgyp7Kr")</f>
        <v>https://t.co/IyTbgyp7Kr</v>
      </c>
      <c r="AQ1790" s="82" t="str">
        <f>HYPERLINK("http://alexanderpifano.blogspot.com/")</f>
        <v>http://alexanderpifano.blogspot.com/</v>
      </c>
      <c r="AR1790" s="76" t="s">
        <v>27329</v>
      </c>
      <c r="AS1790" s="76"/>
      <c r="AT1790" s="76"/>
      <c r="AU1790" s="76"/>
      <c r="AV1790" s="76"/>
      <c r="AW1790" s="82" t="str">
        <f>HYPERLINK("https://t.co/IyTbgyp7Kr")</f>
        <v>https://t.co/IyTbgyp7Kr</v>
      </c>
      <c r="AX1790" s="76" t="b">
        <v>0</v>
      </c>
      <c r="AY1790" s="76"/>
      <c r="AZ1790" s="76"/>
      <c r="BA1790" s="76" t="b">
        <v>1</v>
      </c>
      <c r="BB1790" s="76" t="b">
        <v>0</v>
      </c>
      <c r="BC1790" s="76" t="b">
        <v>0</v>
      </c>
      <c r="BD1790" s="76" t="b">
        <v>0</v>
      </c>
      <c r="BE1790" s="76" t="b">
        <v>0</v>
      </c>
      <c r="BF1790" s="76" t="b">
        <v>0</v>
      </c>
      <c r="BG1790" s="76" t="b">
        <v>0</v>
      </c>
      <c r="BH1790" s="82" t="str">
        <f>HYPERLINK("https://pbs.twimg.com/profile_banners/2801298309/1625376883")</f>
        <v>https://pbs.twimg.com/profile_banners/2801298309/1625376883</v>
      </c>
      <c r="BI1790" s="76"/>
      <c r="BJ1790" s="76" t="s">
        <v>27595</v>
      </c>
      <c r="BK1790" s="76" t="b">
        <v>0</v>
      </c>
      <c r="BL1790" s="76"/>
      <c r="BM1790" s="76" t="s">
        <v>66</v>
      </c>
      <c r="BN1790" s="76" t="s">
        <v>27597</v>
      </c>
      <c r="BO1790" s="82" t="str">
        <f>HYPERLINK("https://twitter.com/alexanderpifano")</f>
        <v>https://twitter.com/alexanderpifano</v>
      </c>
      <c r="BP1790" s="2"/>
    </row>
    <row r="1791" spans="1:68" x14ac:dyDescent="0.25">
      <c r="A1791" s="62" t="s">
        <v>1623</v>
      </c>
      <c r="B1791" s="63"/>
      <c r="C1791" s="63"/>
      <c r="D1791" s="64"/>
      <c r="E1791" s="66"/>
      <c r="F1791" s="103" t="str">
        <f>HYPERLINK("https://pbs.twimg.com/profile_images/1126481642074275840/d45NaMRe_normal.jpg")</f>
        <v>https://pbs.twimg.com/profile_images/1126481642074275840/d45NaMRe_normal.jpg</v>
      </c>
      <c r="G1791" s="63"/>
      <c r="H1791" s="67"/>
      <c r="I1791" s="68"/>
      <c r="J1791" s="68"/>
      <c r="K1791" s="67" t="s">
        <v>29385</v>
      </c>
      <c r="L1791" s="71"/>
      <c r="M1791" s="72"/>
      <c r="N1791" s="72"/>
      <c r="O1791" s="73"/>
      <c r="P1791" s="74"/>
      <c r="Q1791" s="74"/>
      <c r="R1791" s="87"/>
      <c r="S1791" s="87"/>
      <c r="T1791" s="87"/>
      <c r="U1791" s="87"/>
      <c r="V1791" s="48"/>
      <c r="W1791" s="48"/>
      <c r="X1791" s="48"/>
      <c r="Y1791" s="48"/>
      <c r="Z1791" s="47"/>
      <c r="AA1791" s="69">
        <v>1791</v>
      </c>
      <c r="AB1791" s="69"/>
      <c r="AC1791" s="70"/>
      <c r="AD1791" s="76" t="s">
        <v>22998</v>
      </c>
      <c r="AE1791" s="81" t="s">
        <v>24009</v>
      </c>
      <c r="AF1791" s="76">
        <v>5943</v>
      </c>
      <c r="AG1791" s="76">
        <v>680</v>
      </c>
      <c r="AH1791" s="76">
        <v>79938</v>
      </c>
      <c r="AI1791" s="76">
        <v>30</v>
      </c>
      <c r="AJ1791" s="76">
        <v>133</v>
      </c>
      <c r="AK1791" s="76">
        <v>67700</v>
      </c>
      <c r="AL1791" s="76" t="b">
        <v>0</v>
      </c>
      <c r="AM1791" s="78">
        <v>41988.124895833331</v>
      </c>
      <c r="AN1791" s="76" t="s">
        <v>24684</v>
      </c>
      <c r="AO1791" s="76" t="s">
        <v>26298</v>
      </c>
      <c r="AP1791" s="82" t="str">
        <f>HYPERLINK("https://t.co/FqYvGdvG2M")</f>
        <v>https://t.co/FqYvGdvG2M</v>
      </c>
      <c r="AQ1791" s="82" t="str">
        <f>HYPERLINK("https://linkfly.to/40502B6njQm")</f>
        <v>https://linkfly.to/40502B6njQm</v>
      </c>
      <c r="AR1791" s="76" t="s">
        <v>27330</v>
      </c>
      <c r="AS1791" s="76"/>
      <c r="AT1791" s="76"/>
      <c r="AU1791" s="76"/>
      <c r="AV1791" s="76">
        <v>1.6330618547789901E+18</v>
      </c>
      <c r="AW1791" s="82" t="str">
        <f>HYPERLINK("https://t.co/FqYvGdvG2M")</f>
        <v>https://t.co/FqYvGdvG2M</v>
      </c>
      <c r="AX1791" s="76" t="b">
        <v>0</v>
      </c>
      <c r="AY1791" s="76"/>
      <c r="AZ1791" s="76"/>
      <c r="BA1791" s="76" t="b">
        <v>0</v>
      </c>
      <c r="BB1791" s="76" t="b">
        <v>1</v>
      </c>
      <c r="BC1791" s="76" t="b">
        <v>1</v>
      </c>
      <c r="BD1791" s="76" t="b">
        <v>0</v>
      </c>
      <c r="BE1791" s="76" t="b">
        <v>1</v>
      </c>
      <c r="BF1791" s="76" t="b">
        <v>0</v>
      </c>
      <c r="BG1791" s="76" t="b">
        <v>0</v>
      </c>
      <c r="BH1791" s="82" t="str">
        <f>HYPERLINK("https://pbs.twimg.com/profile_banners/2922320463/1557409075")</f>
        <v>https://pbs.twimg.com/profile_banners/2922320463/1557409075</v>
      </c>
      <c r="BI1791" s="76"/>
      <c r="BJ1791" s="76" t="s">
        <v>27595</v>
      </c>
      <c r="BK1791" s="76" t="b">
        <v>0</v>
      </c>
      <c r="BL1791" s="76"/>
      <c r="BM1791" s="76" t="s">
        <v>66</v>
      </c>
      <c r="BN1791" s="76" t="s">
        <v>27597</v>
      </c>
      <c r="BO1791" s="82" t="str">
        <f>HYPERLINK("https://twitter.com/revistacodigos")</f>
        <v>https://twitter.com/revistacodigos</v>
      </c>
      <c r="BP1791" s="2"/>
    </row>
    <row r="1792" spans="1:68" x14ac:dyDescent="0.25">
      <c r="A1792" s="62" t="s">
        <v>1625</v>
      </c>
      <c r="B1792" s="63"/>
      <c r="C1792" s="63"/>
      <c r="D1792" s="64"/>
      <c r="E1792" s="66"/>
      <c r="F1792" s="103" t="str">
        <f>HYPERLINK("https://pbs.twimg.com/profile_images/1670761263276740609/IsQ0nASY_normal.jpg")</f>
        <v>https://pbs.twimg.com/profile_images/1670761263276740609/IsQ0nASY_normal.jpg</v>
      </c>
      <c r="G1792" s="63"/>
      <c r="H1792" s="67"/>
      <c r="I1792" s="68"/>
      <c r="J1792" s="68"/>
      <c r="K1792" s="67" t="s">
        <v>29386</v>
      </c>
      <c r="L1792" s="71"/>
      <c r="M1792" s="72"/>
      <c r="N1792" s="72"/>
      <c r="O1792" s="73"/>
      <c r="P1792" s="74"/>
      <c r="Q1792" s="74"/>
      <c r="R1792" s="87"/>
      <c r="S1792" s="87"/>
      <c r="T1792" s="87"/>
      <c r="U1792" s="87"/>
      <c r="V1792" s="48"/>
      <c r="W1792" s="48"/>
      <c r="X1792" s="48"/>
      <c r="Y1792" s="48"/>
      <c r="Z1792" s="47"/>
      <c r="AA1792" s="69">
        <v>1792</v>
      </c>
      <c r="AB1792" s="69"/>
      <c r="AC1792" s="70"/>
      <c r="AD1792" s="76" t="s">
        <v>22999</v>
      </c>
      <c r="AE1792" s="81" t="s">
        <v>21173</v>
      </c>
      <c r="AF1792" s="76">
        <v>18</v>
      </c>
      <c r="AG1792" s="76">
        <v>232</v>
      </c>
      <c r="AH1792" s="76">
        <v>4918</v>
      </c>
      <c r="AI1792" s="76">
        <v>2</v>
      </c>
      <c r="AJ1792" s="76">
        <v>1849</v>
      </c>
      <c r="AK1792" s="76">
        <v>287</v>
      </c>
      <c r="AL1792" s="76" t="b">
        <v>0</v>
      </c>
      <c r="AM1792" s="78">
        <v>44936.980416666665</v>
      </c>
      <c r="AN1792" s="76"/>
      <c r="AO1792" s="76"/>
      <c r="AP1792" s="76"/>
      <c r="AQ1792" s="76"/>
      <c r="AR1792" s="76"/>
      <c r="AS1792" s="76"/>
      <c r="AT1792" s="76"/>
      <c r="AU1792" s="76"/>
      <c r="AV1792" s="76"/>
      <c r="AW1792" s="76"/>
      <c r="AX1792" s="76" t="b">
        <v>0</v>
      </c>
      <c r="AY1792" s="76"/>
      <c r="AZ1792" s="76"/>
      <c r="BA1792" s="76" t="b">
        <v>0</v>
      </c>
      <c r="BB1792" s="76" t="b">
        <v>1</v>
      </c>
      <c r="BC1792" s="76" t="b">
        <v>1</v>
      </c>
      <c r="BD1792" s="76" t="b">
        <v>0</v>
      </c>
      <c r="BE1792" s="76" t="b">
        <v>1</v>
      </c>
      <c r="BF1792" s="76" t="b">
        <v>0</v>
      </c>
      <c r="BG1792" s="76" t="b">
        <v>0</v>
      </c>
      <c r="BH1792" s="76"/>
      <c r="BI1792" s="76"/>
      <c r="BJ1792" s="76" t="s">
        <v>27595</v>
      </c>
      <c r="BK1792" s="76" t="b">
        <v>0</v>
      </c>
      <c r="BL1792" s="76"/>
      <c r="BM1792" s="76" t="s">
        <v>66</v>
      </c>
      <c r="BN1792" s="76" t="s">
        <v>27597</v>
      </c>
      <c r="BO1792" s="82" t="str">
        <f>HYPERLINK("https://twitter.com/figueiredoleo57")</f>
        <v>https://twitter.com/figueiredoleo57</v>
      </c>
      <c r="BP1792" s="2"/>
    </row>
    <row r="1793" spans="1:68" x14ac:dyDescent="0.25">
      <c r="A1793" s="62" t="s">
        <v>1627</v>
      </c>
      <c r="B1793" s="63"/>
      <c r="C1793" s="63"/>
      <c r="D1793" s="64"/>
      <c r="E1793" s="66"/>
      <c r="F1793" s="103" t="str">
        <f>HYPERLINK("https://pbs.twimg.com/profile_images/1027389550199488512/sZ_o2StM_normal.jpg")</f>
        <v>https://pbs.twimg.com/profile_images/1027389550199488512/sZ_o2StM_normal.jpg</v>
      </c>
      <c r="G1793" s="63"/>
      <c r="H1793" s="67"/>
      <c r="I1793" s="68"/>
      <c r="J1793" s="68"/>
      <c r="K1793" s="67" t="s">
        <v>29387</v>
      </c>
      <c r="L1793" s="71"/>
      <c r="M1793" s="72"/>
      <c r="N1793" s="72"/>
      <c r="O1793" s="73"/>
      <c r="P1793" s="74"/>
      <c r="Q1793" s="74"/>
      <c r="R1793" s="87"/>
      <c r="S1793" s="87"/>
      <c r="T1793" s="87"/>
      <c r="U1793" s="87"/>
      <c r="V1793" s="48"/>
      <c r="W1793" s="48"/>
      <c r="X1793" s="48"/>
      <c r="Y1793" s="48"/>
      <c r="Z1793" s="47"/>
      <c r="AA1793" s="69">
        <v>1793</v>
      </c>
      <c r="AB1793" s="69"/>
      <c r="AC1793" s="70"/>
      <c r="AD1793" s="76" t="s">
        <v>23000</v>
      </c>
      <c r="AE1793" s="81" t="s">
        <v>24010</v>
      </c>
      <c r="AF1793" s="76">
        <v>15093</v>
      </c>
      <c r="AG1793" s="76">
        <v>372</v>
      </c>
      <c r="AH1793" s="76">
        <v>47094</v>
      </c>
      <c r="AI1793" s="76">
        <v>87</v>
      </c>
      <c r="AJ1793" s="76">
        <v>221</v>
      </c>
      <c r="AK1793" s="76">
        <v>6220</v>
      </c>
      <c r="AL1793" s="76" t="b">
        <v>0</v>
      </c>
      <c r="AM1793" s="78">
        <v>40623.899814814817</v>
      </c>
      <c r="AN1793" s="76" t="s">
        <v>24685</v>
      </c>
      <c r="AO1793" s="76" t="s">
        <v>26299</v>
      </c>
      <c r="AP1793" s="82" t="str">
        <f>HYPERLINK("https://t.co/BAVp15qW6O")</f>
        <v>https://t.co/BAVp15qW6O</v>
      </c>
      <c r="AQ1793" s="82" t="str">
        <f>HYPERLINK("http://www.puntal.com.ar")</f>
        <v>http://www.puntal.com.ar</v>
      </c>
      <c r="AR1793" s="76" t="s">
        <v>27331</v>
      </c>
      <c r="AS1793" s="76"/>
      <c r="AT1793" s="76"/>
      <c r="AU1793" s="76"/>
      <c r="AV1793" s="76"/>
      <c r="AW1793" s="82" t="str">
        <f>HYPERLINK("https://t.co/BAVp15qW6O")</f>
        <v>https://t.co/BAVp15qW6O</v>
      </c>
      <c r="AX1793" s="76" t="b">
        <v>0</v>
      </c>
      <c r="AY1793" s="76"/>
      <c r="AZ1793" s="76"/>
      <c r="BA1793" s="76" t="b">
        <v>0</v>
      </c>
      <c r="BB1793" s="76" t="b">
        <v>1</v>
      </c>
      <c r="BC1793" s="76" t="b">
        <v>1</v>
      </c>
      <c r="BD1793" s="76" t="b">
        <v>0</v>
      </c>
      <c r="BE1793" s="76" t="b">
        <v>1</v>
      </c>
      <c r="BF1793" s="76" t="b">
        <v>0</v>
      </c>
      <c r="BG1793" s="76" t="b">
        <v>0</v>
      </c>
      <c r="BH1793" s="82" t="str">
        <f>HYPERLINK("https://pbs.twimg.com/profile_banners/270026399/1533783720")</f>
        <v>https://pbs.twimg.com/profile_banners/270026399/1533783720</v>
      </c>
      <c r="BI1793" s="76"/>
      <c r="BJ1793" s="76" t="s">
        <v>27595</v>
      </c>
      <c r="BK1793" s="76" t="b">
        <v>0</v>
      </c>
      <c r="BL1793" s="76"/>
      <c r="BM1793" s="76" t="s">
        <v>66</v>
      </c>
      <c r="BN1793" s="76" t="s">
        <v>27597</v>
      </c>
      <c r="BO1793" s="82" t="str">
        <f>HYPERLINK("https://twitter.com/diariopuntal")</f>
        <v>https://twitter.com/diariopuntal</v>
      </c>
      <c r="BP1793" s="2"/>
    </row>
    <row r="1794" spans="1:68" x14ac:dyDescent="0.25">
      <c r="A1794" s="62" t="s">
        <v>1628</v>
      </c>
      <c r="B1794" s="63"/>
      <c r="C1794" s="63"/>
      <c r="D1794" s="64"/>
      <c r="E1794" s="66"/>
      <c r="F1794" s="103" t="str">
        <f>HYPERLINK("https://pbs.twimg.com/profile_images/1659343858591825923/Rx2YRt1R_normal.jpg")</f>
        <v>https://pbs.twimg.com/profile_images/1659343858591825923/Rx2YRt1R_normal.jpg</v>
      </c>
      <c r="G1794" s="63"/>
      <c r="H1794" s="67"/>
      <c r="I1794" s="68"/>
      <c r="J1794" s="68"/>
      <c r="K1794" s="67" t="s">
        <v>29388</v>
      </c>
      <c r="L1794" s="71"/>
      <c r="M1794" s="72"/>
      <c r="N1794" s="72"/>
      <c r="O1794" s="73"/>
      <c r="P1794" s="74"/>
      <c r="Q1794" s="74"/>
      <c r="R1794" s="87"/>
      <c r="S1794" s="87"/>
      <c r="T1794" s="87"/>
      <c r="U1794" s="87"/>
      <c r="V1794" s="48"/>
      <c r="W1794" s="48"/>
      <c r="X1794" s="48"/>
      <c r="Y1794" s="48"/>
      <c r="Z1794" s="47"/>
      <c r="AA1794" s="69">
        <v>1794</v>
      </c>
      <c r="AB1794" s="69"/>
      <c r="AC1794" s="70"/>
      <c r="AD1794" s="76" t="s">
        <v>23001</v>
      </c>
      <c r="AE1794" s="81" t="s">
        <v>21174</v>
      </c>
      <c r="AF1794" s="76">
        <v>20</v>
      </c>
      <c r="AG1794" s="76">
        <v>372</v>
      </c>
      <c r="AH1794" s="76">
        <v>10033</v>
      </c>
      <c r="AI1794" s="76">
        <v>1</v>
      </c>
      <c r="AJ1794" s="76">
        <v>7365</v>
      </c>
      <c r="AK1794" s="76">
        <v>909</v>
      </c>
      <c r="AL1794" s="76" t="b">
        <v>0</v>
      </c>
      <c r="AM1794" s="78">
        <v>43964.589050925926</v>
      </c>
      <c r="AN1794" s="76"/>
      <c r="AO1794" s="76" t="s">
        <v>26300</v>
      </c>
      <c r="AP1794" s="76"/>
      <c r="AQ1794" s="76"/>
      <c r="AR1794" s="76"/>
      <c r="AS1794" s="76"/>
      <c r="AT1794" s="76"/>
      <c r="AU1794" s="76"/>
      <c r="AV1794" s="76"/>
      <c r="AW1794" s="76"/>
      <c r="AX1794" s="76" t="b">
        <v>0</v>
      </c>
      <c r="AY1794" s="76"/>
      <c r="AZ1794" s="76"/>
      <c r="BA1794" s="76" t="b">
        <v>0</v>
      </c>
      <c r="BB1794" s="76" t="b">
        <v>1</v>
      </c>
      <c r="BC1794" s="76" t="b">
        <v>1</v>
      </c>
      <c r="BD1794" s="76" t="b">
        <v>0</v>
      </c>
      <c r="BE1794" s="76" t="b">
        <v>0</v>
      </c>
      <c r="BF1794" s="76" t="b">
        <v>0</v>
      </c>
      <c r="BG1794" s="76" t="b">
        <v>0</v>
      </c>
      <c r="BH1794" s="82" t="str">
        <f>HYPERLINK("https://pbs.twimg.com/profile_banners/1260572344533254144/1667750919")</f>
        <v>https://pbs.twimg.com/profile_banners/1260572344533254144/1667750919</v>
      </c>
      <c r="BI1794" s="76"/>
      <c r="BJ1794" s="76" t="s">
        <v>27595</v>
      </c>
      <c r="BK1794" s="76" t="b">
        <v>0</v>
      </c>
      <c r="BL1794" s="76"/>
      <c r="BM1794" s="76" t="s">
        <v>66</v>
      </c>
      <c r="BN1794" s="76" t="s">
        <v>27597</v>
      </c>
      <c r="BO1794" s="82" t="str">
        <f>HYPERLINK("https://twitter.com/lodsl2022")</f>
        <v>https://twitter.com/lodsl2022</v>
      </c>
      <c r="BP1794" s="2"/>
    </row>
    <row r="1795" spans="1:68" x14ac:dyDescent="0.25">
      <c r="A1795" s="62" t="s">
        <v>1629</v>
      </c>
      <c r="B1795" s="63"/>
      <c r="C1795" s="63"/>
      <c r="D1795" s="64"/>
      <c r="E1795" s="66"/>
      <c r="F1795" s="103" t="str">
        <f>HYPERLINK("https://pbs.twimg.com/profile_images/1078657518941978625/JXXBdgVR_normal.jpg")</f>
        <v>https://pbs.twimg.com/profile_images/1078657518941978625/JXXBdgVR_normal.jpg</v>
      </c>
      <c r="G1795" s="63"/>
      <c r="H1795" s="67"/>
      <c r="I1795" s="68"/>
      <c r="J1795" s="68"/>
      <c r="K1795" s="67" t="s">
        <v>29389</v>
      </c>
      <c r="L1795" s="71"/>
      <c r="M1795" s="72"/>
      <c r="N1795" s="72"/>
      <c r="O1795" s="73"/>
      <c r="P1795" s="74"/>
      <c r="Q1795" s="74"/>
      <c r="R1795" s="87"/>
      <c r="S1795" s="87"/>
      <c r="T1795" s="87"/>
      <c r="U1795" s="87"/>
      <c r="V1795" s="48"/>
      <c r="W1795" s="48"/>
      <c r="X1795" s="48"/>
      <c r="Y1795" s="48"/>
      <c r="Z1795" s="47"/>
      <c r="AA1795" s="69">
        <v>1795</v>
      </c>
      <c r="AB1795" s="69"/>
      <c r="AC1795" s="70"/>
      <c r="AD1795" s="76" t="s">
        <v>8885</v>
      </c>
      <c r="AE1795" s="81" t="s">
        <v>24011</v>
      </c>
      <c r="AF1795" s="76">
        <v>315</v>
      </c>
      <c r="AG1795" s="76">
        <v>300</v>
      </c>
      <c r="AH1795" s="76">
        <v>21794</v>
      </c>
      <c r="AI1795" s="76">
        <v>8</v>
      </c>
      <c r="AJ1795" s="76">
        <v>4</v>
      </c>
      <c r="AK1795" s="76">
        <v>15140</v>
      </c>
      <c r="AL1795" s="76" t="b">
        <v>0</v>
      </c>
      <c r="AM1795" s="78">
        <v>41472.050844907404</v>
      </c>
      <c r="AN1795" s="76" t="s">
        <v>24275</v>
      </c>
      <c r="AO1795" s="76" t="s">
        <v>26301</v>
      </c>
      <c r="AP1795" s="82" t="str">
        <f>HYPERLINK("https://t.co/zJFhpPqd4j")</f>
        <v>https://t.co/zJFhpPqd4j</v>
      </c>
      <c r="AQ1795" s="82" t="str">
        <f>HYPERLINK("http://www.folhageral.com")</f>
        <v>http://www.folhageral.com</v>
      </c>
      <c r="AR1795" s="76" t="s">
        <v>8885</v>
      </c>
      <c r="AS1795" s="76"/>
      <c r="AT1795" s="76"/>
      <c r="AU1795" s="76"/>
      <c r="AV1795" s="76"/>
      <c r="AW1795" s="82" t="str">
        <f>HYPERLINK("https://t.co/zJFhpPqd4j")</f>
        <v>https://t.co/zJFhpPqd4j</v>
      </c>
      <c r="AX1795" s="76" t="b">
        <v>0</v>
      </c>
      <c r="AY1795" s="76"/>
      <c r="AZ1795" s="76"/>
      <c r="BA1795" s="76" t="b">
        <v>0</v>
      </c>
      <c r="BB1795" s="76" t="b">
        <v>1</v>
      </c>
      <c r="BC1795" s="76" t="b">
        <v>0</v>
      </c>
      <c r="BD1795" s="76" t="b">
        <v>0</v>
      </c>
      <c r="BE1795" s="76" t="b">
        <v>1</v>
      </c>
      <c r="BF1795" s="76" t="b">
        <v>0</v>
      </c>
      <c r="BG1795" s="76" t="b">
        <v>0</v>
      </c>
      <c r="BH1795" s="82" t="str">
        <f>HYPERLINK("https://pbs.twimg.com/profile_banners/1599687301/1630430348")</f>
        <v>https://pbs.twimg.com/profile_banners/1599687301/1630430348</v>
      </c>
      <c r="BI1795" s="76"/>
      <c r="BJ1795" s="76" t="s">
        <v>27595</v>
      </c>
      <c r="BK1795" s="76" t="b">
        <v>0</v>
      </c>
      <c r="BL1795" s="76"/>
      <c r="BM1795" s="76" t="s">
        <v>66</v>
      </c>
      <c r="BN1795" s="76" t="s">
        <v>27597</v>
      </c>
      <c r="BO1795" s="82" t="str">
        <f>HYPERLINK("https://twitter.com/folhageral")</f>
        <v>https://twitter.com/folhageral</v>
      </c>
      <c r="BP1795" s="2"/>
    </row>
    <row r="1796" spans="1:68" x14ac:dyDescent="0.25">
      <c r="A1796" s="62" t="s">
        <v>1631</v>
      </c>
      <c r="B1796" s="63"/>
      <c r="C1796" s="63"/>
      <c r="D1796" s="64"/>
      <c r="E1796" s="66"/>
      <c r="F1796" s="103" t="str">
        <f>HYPERLINK("https://pbs.twimg.com/profile_images/1475121680473157633/9D1CuOQG_normal.jpg")</f>
        <v>https://pbs.twimg.com/profile_images/1475121680473157633/9D1CuOQG_normal.jpg</v>
      </c>
      <c r="G1796" s="63"/>
      <c r="H1796" s="67"/>
      <c r="I1796" s="68"/>
      <c r="J1796" s="68"/>
      <c r="K1796" s="67" t="s">
        <v>29390</v>
      </c>
      <c r="L1796" s="71"/>
      <c r="M1796" s="72"/>
      <c r="N1796" s="72"/>
      <c r="O1796" s="73"/>
      <c r="P1796" s="74"/>
      <c r="Q1796" s="74"/>
      <c r="R1796" s="87"/>
      <c r="S1796" s="87"/>
      <c r="T1796" s="87"/>
      <c r="U1796" s="87"/>
      <c r="V1796" s="48"/>
      <c r="W1796" s="48"/>
      <c r="X1796" s="48"/>
      <c r="Y1796" s="48"/>
      <c r="Z1796" s="47"/>
      <c r="AA1796" s="69">
        <v>1796</v>
      </c>
      <c r="AB1796" s="69"/>
      <c r="AC1796" s="70"/>
      <c r="AD1796" s="76" t="s">
        <v>23002</v>
      </c>
      <c r="AE1796" s="81" t="s">
        <v>24012</v>
      </c>
      <c r="AF1796" s="76">
        <v>6252</v>
      </c>
      <c r="AG1796" s="76">
        <v>42</v>
      </c>
      <c r="AH1796" s="76">
        <v>22186</v>
      </c>
      <c r="AI1796" s="76">
        <v>35</v>
      </c>
      <c r="AJ1796" s="76">
        <v>141</v>
      </c>
      <c r="AK1796" s="76">
        <v>7020</v>
      </c>
      <c r="AL1796" s="76" t="b">
        <v>0</v>
      </c>
      <c r="AM1796" s="78">
        <v>40833.09746527778</v>
      </c>
      <c r="AN1796" s="76"/>
      <c r="AO1796" s="76" t="s">
        <v>26302</v>
      </c>
      <c r="AP1796" s="82" t="str">
        <f>HYPERLINK("https://t.co/AWqDkkNQ9H")</f>
        <v>https://t.co/AWqDkkNQ9H</v>
      </c>
      <c r="AQ1796" s="82" t="str">
        <f>HYPERLINK("http://www.bahiapolitica.com")</f>
        <v>http://www.bahiapolitica.com</v>
      </c>
      <c r="AR1796" s="76" t="s">
        <v>8886</v>
      </c>
      <c r="AS1796" s="76"/>
      <c r="AT1796" s="76"/>
      <c r="AU1796" s="76"/>
      <c r="AV1796" s="76"/>
      <c r="AW1796" s="82" t="str">
        <f>HYPERLINK("https://t.co/AWqDkkNQ9H")</f>
        <v>https://t.co/AWqDkkNQ9H</v>
      </c>
      <c r="AX1796" s="76" t="b">
        <v>0</v>
      </c>
      <c r="AY1796" s="76"/>
      <c r="AZ1796" s="76"/>
      <c r="BA1796" s="76" t="b">
        <v>0</v>
      </c>
      <c r="BB1796" s="76" t="b">
        <v>1</v>
      </c>
      <c r="BC1796" s="76" t="b">
        <v>0</v>
      </c>
      <c r="BD1796" s="76" t="b">
        <v>0</v>
      </c>
      <c r="BE1796" s="76" t="b">
        <v>1</v>
      </c>
      <c r="BF1796" s="76" t="b">
        <v>0</v>
      </c>
      <c r="BG1796" s="76" t="b">
        <v>0</v>
      </c>
      <c r="BH1796" s="82" t="str">
        <f>HYPERLINK("https://pbs.twimg.com/profile_banners/392456917/1639580071")</f>
        <v>https://pbs.twimg.com/profile_banners/392456917/1639580071</v>
      </c>
      <c r="BI1796" s="76"/>
      <c r="BJ1796" s="76" t="s">
        <v>27595</v>
      </c>
      <c r="BK1796" s="76" t="b">
        <v>0</v>
      </c>
      <c r="BL1796" s="76"/>
      <c r="BM1796" s="76" t="s">
        <v>66</v>
      </c>
      <c r="BN1796" s="76" t="s">
        <v>27597</v>
      </c>
      <c r="BO1796" s="82" t="str">
        <f>HYPERLINK("https://twitter.com/bahiapoliticaok")</f>
        <v>https://twitter.com/bahiapoliticaok</v>
      </c>
      <c r="BP1796" s="2"/>
    </row>
    <row r="1797" spans="1:68" x14ac:dyDescent="0.25">
      <c r="A1797" s="62" t="s">
        <v>1632</v>
      </c>
      <c r="B1797" s="63"/>
      <c r="C1797" s="63"/>
      <c r="D1797" s="64"/>
      <c r="E1797" s="66"/>
      <c r="F1797" s="103" t="str">
        <f>HYPERLINK("https://pbs.twimg.com/profile_images/1270387994785206273/uMSo8Eu5_normal.jpg")</f>
        <v>https://pbs.twimg.com/profile_images/1270387994785206273/uMSo8Eu5_normal.jpg</v>
      </c>
      <c r="G1797" s="63"/>
      <c r="H1797" s="67"/>
      <c r="I1797" s="68"/>
      <c r="J1797" s="68"/>
      <c r="K1797" s="67" t="s">
        <v>29391</v>
      </c>
      <c r="L1797" s="71"/>
      <c r="M1797" s="72"/>
      <c r="N1797" s="72"/>
      <c r="O1797" s="73"/>
      <c r="P1797" s="74"/>
      <c r="Q1797" s="74"/>
      <c r="R1797" s="87"/>
      <c r="S1797" s="87"/>
      <c r="T1797" s="87"/>
      <c r="U1797" s="87"/>
      <c r="V1797" s="48"/>
      <c r="W1797" s="48"/>
      <c r="X1797" s="48"/>
      <c r="Y1797" s="48"/>
      <c r="Z1797" s="47"/>
      <c r="AA1797" s="69">
        <v>1797</v>
      </c>
      <c r="AB1797" s="69"/>
      <c r="AC1797" s="70"/>
      <c r="AD1797" s="76" t="s">
        <v>23003</v>
      </c>
      <c r="AE1797" s="81" t="s">
        <v>21176</v>
      </c>
      <c r="AF1797" s="76">
        <v>146</v>
      </c>
      <c r="AG1797" s="76">
        <v>212</v>
      </c>
      <c r="AH1797" s="76">
        <v>168</v>
      </c>
      <c r="AI1797" s="76">
        <v>0</v>
      </c>
      <c r="AJ1797" s="76">
        <v>15</v>
      </c>
      <c r="AK1797" s="76">
        <v>47</v>
      </c>
      <c r="AL1797" s="76" t="b">
        <v>0</v>
      </c>
      <c r="AM1797" s="78">
        <v>43991.673159722224</v>
      </c>
      <c r="AN1797" s="76"/>
      <c r="AO1797" s="76" t="s">
        <v>26303</v>
      </c>
      <c r="AP1797" s="76"/>
      <c r="AQ1797" s="76"/>
      <c r="AR1797" s="76"/>
      <c r="AS1797" s="76"/>
      <c r="AT1797" s="76"/>
      <c r="AU1797" s="76"/>
      <c r="AV1797" s="76"/>
      <c r="AW1797" s="76"/>
      <c r="AX1797" s="76" t="b">
        <v>0</v>
      </c>
      <c r="AY1797" s="76"/>
      <c r="AZ1797" s="76"/>
      <c r="BA1797" s="76" t="b">
        <v>0</v>
      </c>
      <c r="BB1797" s="76" t="b">
        <v>1</v>
      </c>
      <c r="BC1797" s="76" t="b">
        <v>1</v>
      </c>
      <c r="BD1797" s="76" t="b">
        <v>0</v>
      </c>
      <c r="BE1797" s="76" t="b">
        <v>0</v>
      </c>
      <c r="BF1797" s="76" t="b">
        <v>0</v>
      </c>
      <c r="BG1797" s="76" t="b">
        <v>0</v>
      </c>
      <c r="BH1797" s="82" t="str">
        <f>HYPERLINK("https://pbs.twimg.com/profile_banners/1270387388104278019/1591719365")</f>
        <v>https://pbs.twimg.com/profile_banners/1270387388104278019/1591719365</v>
      </c>
      <c r="BI1797" s="76"/>
      <c r="BJ1797" s="76" t="s">
        <v>27595</v>
      </c>
      <c r="BK1797" s="76" t="b">
        <v>0</v>
      </c>
      <c r="BL1797" s="76"/>
      <c r="BM1797" s="76" t="s">
        <v>66</v>
      </c>
      <c r="BN1797" s="76" t="s">
        <v>27597</v>
      </c>
      <c r="BO1797" s="82" t="str">
        <f>HYPERLINK("https://twitter.com/por_dominga")</f>
        <v>https://twitter.com/por_dominga</v>
      </c>
      <c r="BP1797" s="2"/>
    </row>
    <row r="1798" spans="1:68" x14ac:dyDescent="0.25">
      <c r="A1798" s="62" t="s">
        <v>2066</v>
      </c>
      <c r="B1798" s="63"/>
      <c r="C1798" s="63"/>
      <c r="D1798" s="64"/>
      <c r="E1798" s="66"/>
      <c r="F1798" s="103" t="str">
        <f>HYPERLINK("https://pbs.twimg.com/profile_images/1503776102900195334/ydLxorOU_normal.jpg")</f>
        <v>https://pbs.twimg.com/profile_images/1503776102900195334/ydLxorOU_normal.jpg</v>
      </c>
      <c r="G1798" s="63"/>
      <c r="H1798" s="67"/>
      <c r="I1798" s="68"/>
      <c r="J1798" s="68"/>
      <c r="K1798" s="67" t="s">
        <v>29392</v>
      </c>
      <c r="L1798" s="71"/>
      <c r="M1798" s="72"/>
      <c r="N1798" s="72"/>
      <c r="O1798" s="73"/>
      <c r="P1798" s="74"/>
      <c r="Q1798" s="74"/>
      <c r="R1798" s="87"/>
      <c r="S1798" s="87"/>
      <c r="T1798" s="87"/>
      <c r="U1798" s="87"/>
      <c r="V1798" s="48"/>
      <c r="W1798" s="48"/>
      <c r="X1798" s="48"/>
      <c r="Y1798" s="48"/>
      <c r="Z1798" s="47"/>
      <c r="AA1798" s="69">
        <v>1798</v>
      </c>
      <c r="AB1798" s="69"/>
      <c r="AC1798" s="70"/>
      <c r="AD1798" s="76" t="s">
        <v>2066</v>
      </c>
      <c r="AE1798" s="81" t="s">
        <v>24013</v>
      </c>
      <c r="AF1798" s="76">
        <v>2565</v>
      </c>
      <c r="AG1798" s="76">
        <v>640</v>
      </c>
      <c r="AH1798" s="76">
        <v>1103</v>
      </c>
      <c r="AI1798" s="76">
        <v>11</v>
      </c>
      <c r="AJ1798" s="76">
        <v>50</v>
      </c>
      <c r="AK1798" s="76">
        <v>382</v>
      </c>
      <c r="AL1798" s="76" t="b">
        <v>0</v>
      </c>
      <c r="AM1798" s="78">
        <v>41428.905601851853</v>
      </c>
      <c r="AN1798" s="76" t="s">
        <v>24686</v>
      </c>
      <c r="AO1798" s="76" t="s">
        <v>26304</v>
      </c>
      <c r="AP1798" s="82" t="str">
        <f>HYPERLINK("https://t.co/B7BRT5H2Pj")</f>
        <v>https://t.co/B7BRT5H2Pj</v>
      </c>
      <c r="AQ1798" s="82" t="str">
        <f>HYPERLINK("http://www.conocedominga.cl")</f>
        <v>http://www.conocedominga.cl</v>
      </c>
      <c r="AR1798" s="76" t="s">
        <v>27332</v>
      </c>
      <c r="AS1798" s="82" t="str">
        <f>HYPERLINK("https://t.co/HePi1hPvUK")</f>
        <v>https://t.co/HePi1hPvUK</v>
      </c>
      <c r="AT1798" s="82" t="str">
        <f>HYPERLINK("http://Facebook.com/ConoceDominga")</f>
        <v>http://Facebook.com/ConoceDominga</v>
      </c>
      <c r="AU1798" s="76" t="s">
        <v>27587</v>
      </c>
      <c r="AV1798" s="76"/>
      <c r="AW1798" s="82" t="str">
        <f>HYPERLINK("https://t.co/B7BRT5H2Pj")</f>
        <v>https://t.co/B7BRT5H2Pj</v>
      </c>
      <c r="AX1798" s="76" t="b">
        <v>0</v>
      </c>
      <c r="AY1798" s="76"/>
      <c r="AZ1798" s="76"/>
      <c r="BA1798" s="76" t="b">
        <v>0</v>
      </c>
      <c r="BB1798" s="76" t="b">
        <v>1</v>
      </c>
      <c r="BC1798" s="76" t="b">
        <v>0</v>
      </c>
      <c r="BD1798" s="76" t="b">
        <v>0</v>
      </c>
      <c r="BE1798" s="76" t="b">
        <v>0</v>
      </c>
      <c r="BF1798" s="76" t="b">
        <v>0</v>
      </c>
      <c r="BG1798" s="76" t="b">
        <v>0</v>
      </c>
      <c r="BH1798" s="82" t="str">
        <f>HYPERLINK("https://pbs.twimg.com/profile_banners/1480713151/1474396076")</f>
        <v>https://pbs.twimg.com/profile_banners/1480713151/1474396076</v>
      </c>
      <c r="BI1798" s="76"/>
      <c r="BJ1798" s="76" t="s">
        <v>27595</v>
      </c>
      <c r="BK1798" s="76" t="b">
        <v>0</v>
      </c>
      <c r="BL1798" s="76"/>
      <c r="BM1798" s="76" t="s">
        <v>65</v>
      </c>
      <c r="BN1798" s="76" t="s">
        <v>27597</v>
      </c>
      <c r="BO1798" s="82" t="str">
        <f>HYPERLINK("https://twitter.com/conocedominga")</f>
        <v>https://twitter.com/conocedominga</v>
      </c>
      <c r="BP1798" s="2"/>
    </row>
    <row r="1799" spans="1:68" x14ac:dyDescent="0.25">
      <c r="A1799" s="62" t="s">
        <v>1633</v>
      </c>
      <c r="B1799" s="63"/>
      <c r="C1799" s="63"/>
      <c r="D1799" s="64"/>
      <c r="E1799" s="66"/>
      <c r="F1799" s="103" t="str">
        <f>HYPERLINK("https://pbs.twimg.com/profile_images/1546539114727702529/gjrjS8OO_normal.jpg")</f>
        <v>https://pbs.twimg.com/profile_images/1546539114727702529/gjrjS8OO_normal.jpg</v>
      </c>
      <c r="G1799" s="63"/>
      <c r="H1799" s="67"/>
      <c r="I1799" s="68"/>
      <c r="J1799" s="68"/>
      <c r="K1799" s="67" t="s">
        <v>29393</v>
      </c>
      <c r="L1799" s="71"/>
      <c r="M1799" s="72"/>
      <c r="N1799" s="72"/>
      <c r="O1799" s="73"/>
      <c r="P1799" s="74"/>
      <c r="Q1799" s="74"/>
      <c r="R1799" s="87"/>
      <c r="S1799" s="87"/>
      <c r="T1799" s="87"/>
      <c r="U1799" s="87"/>
      <c r="V1799" s="48"/>
      <c r="W1799" s="48"/>
      <c r="X1799" s="48"/>
      <c r="Y1799" s="48"/>
      <c r="Z1799" s="47"/>
      <c r="AA1799" s="69">
        <v>1799</v>
      </c>
      <c r="AB1799" s="69"/>
      <c r="AC1799" s="70"/>
      <c r="AD1799" s="76" t="s">
        <v>23004</v>
      </c>
      <c r="AE1799" s="81" t="s">
        <v>24014</v>
      </c>
      <c r="AF1799" s="76">
        <v>2396</v>
      </c>
      <c r="AG1799" s="76">
        <v>1074</v>
      </c>
      <c r="AH1799" s="76">
        <v>30926</v>
      </c>
      <c r="AI1799" s="76">
        <v>31</v>
      </c>
      <c r="AJ1799" s="76">
        <v>980</v>
      </c>
      <c r="AK1799" s="76">
        <v>5940</v>
      </c>
      <c r="AL1799" s="76" t="b">
        <v>0</v>
      </c>
      <c r="AM1799" s="78">
        <v>41453.800451388888</v>
      </c>
      <c r="AN1799" s="76" t="s">
        <v>14400</v>
      </c>
      <c r="AO1799" s="76" t="s">
        <v>26305</v>
      </c>
      <c r="AP1799" s="82" t="str">
        <f>HYPERLINK("https://t.co/VC9Y8PVe3C")</f>
        <v>https://t.co/VC9Y8PVe3C</v>
      </c>
      <c r="AQ1799" s="82" t="str">
        <f>HYPERLINK("https://dialogosdosul.com.br")</f>
        <v>https://dialogosdosul.com.br</v>
      </c>
      <c r="AR1799" s="76" t="s">
        <v>27333</v>
      </c>
      <c r="AS1799" s="76" t="s">
        <v>27405</v>
      </c>
      <c r="AT1799" s="76" t="s">
        <v>27444</v>
      </c>
      <c r="AU1799" s="76" t="s">
        <v>27588</v>
      </c>
      <c r="AV1799" s="76"/>
      <c r="AW1799" s="82" t="str">
        <f>HYPERLINK("https://t.co/VC9Y8PVe3C")</f>
        <v>https://t.co/VC9Y8PVe3C</v>
      </c>
      <c r="AX1799" s="76" t="b">
        <v>0</v>
      </c>
      <c r="AY1799" s="76"/>
      <c r="AZ1799" s="76"/>
      <c r="BA1799" s="76" t="b">
        <v>0</v>
      </c>
      <c r="BB1799" s="76" t="b">
        <v>1</v>
      </c>
      <c r="BC1799" s="76" t="b">
        <v>0</v>
      </c>
      <c r="BD1799" s="76" t="b">
        <v>0</v>
      </c>
      <c r="BE1799" s="76" t="b">
        <v>1</v>
      </c>
      <c r="BF1799" s="76" t="b">
        <v>0</v>
      </c>
      <c r="BG1799" s="76" t="b">
        <v>0</v>
      </c>
      <c r="BH1799" s="82" t="str">
        <f>HYPERLINK("https://pbs.twimg.com/profile_banners/1553823878/1613743015")</f>
        <v>https://pbs.twimg.com/profile_banners/1553823878/1613743015</v>
      </c>
      <c r="BI1799" s="76"/>
      <c r="BJ1799" s="76" t="s">
        <v>27595</v>
      </c>
      <c r="BK1799" s="76" t="b">
        <v>0</v>
      </c>
      <c r="BL1799" s="76"/>
      <c r="BM1799" s="76" t="s">
        <v>66</v>
      </c>
      <c r="BN1799" s="76" t="s">
        <v>27597</v>
      </c>
      <c r="BO1799" s="82" t="str">
        <f>HYPERLINK("https://twitter.com/dialogosdosul")</f>
        <v>https://twitter.com/dialogosdosul</v>
      </c>
      <c r="BP1799" s="2"/>
    </row>
    <row r="1800" spans="1:68" x14ac:dyDescent="0.25">
      <c r="A1800" s="62" t="s">
        <v>1634</v>
      </c>
      <c r="B1800" s="63"/>
      <c r="C1800" s="63"/>
      <c r="D1800" s="64"/>
      <c r="E1800" s="66"/>
      <c r="F1800" s="103" t="str">
        <f>HYPERLINK("https://pbs.twimg.com/profile_images/1678430042425008128/9Tq3pwdZ_normal.jpg")</f>
        <v>https://pbs.twimg.com/profile_images/1678430042425008128/9Tq3pwdZ_normal.jpg</v>
      </c>
      <c r="G1800" s="63"/>
      <c r="H1800" s="67"/>
      <c r="I1800" s="68"/>
      <c r="J1800" s="68"/>
      <c r="K1800" s="67" t="s">
        <v>29394</v>
      </c>
      <c r="L1800" s="71"/>
      <c r="M1800" s="72"/>
      <c r="N1800" s="72"/>
      <c r="O1800" s="73"/>
      <c r="P1800" s="74"/>
      <c r="Q1800" s="74"/>
      <c r="R1800" s="87"/>
      <c r="S1800" s="87"/>
      <c r="T1800" s="87"/>
      <c r="U1800" s="87"/>
      <c r="V1800" s="48"/>
      <c r="W1800" s="48"/>
      <c r="X1800" s="48"/>
      <c r="Y1800" s="48"/>
      <c r="Z1800" s="47"/>
      <c r="AA1800" s="69">
        <v>1800</v>
      </c>
      <c r="AB1800" s="69"/>
      <c r="AC1800" s="70"/>
      <c r="AD1800" s="76" t="s">
        <v>23005</v>
      </c>
      <c r="AE1800" s="81" t="s">
        <v>24015</v>
      </c>
      <c r="AF1800" s="76">
        <v>178621</v>
      </c>
      <c r="AG1800" s="76">
        <v>1588</v>
      </c>
      <c r="AH1800" s="76">
        <v>197718</v>
      </c>
      <c r="AI1800" s="76">
        <v>617</v>
      </c>
      <c r="AJ1800" s="76">
        <v>120362</v>
      </c>
      <c r="AK1800" s="76">
        <v>24483</v>
      </c>
      <c r="AL1800" s="76" t="b">
        <v>0</v>
      </c>
      <c r="AM1800" s="78">
        <v>40073.625416666669</v>
      </c>
      <c r="AN1800" s="76" t="s">
        <v>24687</v>
      </c>
      <c r="AO1800" s="76" t="s">
        <v>26306</v>
      </c>
      <c r="AP1800" s="82" t="str">
        <f>HYPERLINK("https://t.co/kR6USuSkZY")</f>
        <v>https://t.co/kR6USuSkZY</v>
      </c>
      <c r="AQ1800" s="82" t="str">
        <f>HYPERLINK("http://www.ptnacamara.org.br")</f>
        <v>http://www.ptnacamara.org.br</v>
      </c>
      <c r="AR1800" s="76" t="s">
        <v>27334</v>
      </c>
      <c r="AS1800" s="76"/>
      <c r="AT1800" s="76"/>
      <c r="AU1800" s="76"/>
      <c r="AV1800" s="76">
        <v>1.7073947414812001E+18</v>
      </c>
      <c r="AW1800" s="82" t="str">
        <f>HYPERLINK("https://t.co/kR6USuSkZY")</f>
        <v>https://t.co/kR6USuSkZY</v>
      </c>
      <c r="AX1800" s="76" t="b">
        <v>0</v>
      </c>
      <c r="AY1800" s="76"/>
      <c r="AZ1800" s="76"/>
      <c r="BA1800" s="76" t="b">
        <v>1</v>
      </c>
      <c r="BB1800" s="76" t="b">
        <v>0</v>
      </c>
      <c r="BC1800" s="76" t="b">
        <v>0</v>
      </c>
      <c r="BD1800" s="76" t="b">
        <v>0</v>
      </c>
      <c r="BE1800" s="76" t="b">
        <v>1</v>
      </c>
      <c r="BF1800" s="76" t="b">
        <v>0</v>
      </c>
      <c r="BG1800" s="76" t="b">
        <v>0</v>
      </c>
      <c r="BH1800" s="82" t="str">
        <f>HYPERLINK("https://pbs.twimg.com/profile_banners/75031882/1680539226")</f>
        <v>https://pbs.twimg.com/profile_banners/75031882/1680539226</v>
      </c>
      <c r="BI1800" s="76"/>
      <c r="BJ1800" s="76" t="s">
        <v>27595</v>
      </c>
      <c r="BK1800" s="76" t="b">
        <v>0</v>
      </c>
      <c r="BL1800" s="76"/>
      <c r="BM1800" s="76" t="s">
        <v>66</v>
      </c>
      <c r="BN1800" s="76" t="s">
        <v>27597</v>
      </c>
      <c r="BO1800" s="82" t="str">
        <f>HYPERLINK("https://twitter.com/ptnacamara")</f>
        <v>https://twitter.com/ptnacamara</v>
      </c>
      <c r="BP1800" s="2"/>
    </row>
    <row r="1801" spans="1:68" x14ac:dyDescent="0.25">
      <c r="A1801" s="62" t="s">
        <v>1635</v>
      </c>
      <c r="B1801" s="63"/>
      <c r="C1801" s="63"/>
      <c r="D1801" s="64"/>
      <c r="E1801" s="66"/>
      <c r="F1801" s="103" t="str">
        <f>HYPERLINK("https://pbs.twimg.com/profile_images/1705412481483407360/Q4J5jrpT_normal.jpg")</f>
        <v>https://pbs.twimg.com/profile_images/1705412481483407360/Q4J5jrpT_normal.jpg</v>
      </c>
      <c r="G1801" s="63"/>
      <c r="H1801" s="67"/>
      <c r="I1801" s="68"/>
      <c r="J1801" s="68"/>
      <c r="K1801" s="67" t="s">
        <v>29395</v>
      </c>
      <c r="L1801" s="71"/>
      <c r="M1801" s="72"/>
      <c r="N1801" s="72"/>
      <c r="O1801" s="73"/>
      <c r="P1801" s="74"/>
      <c r="Q1801" s="74"/>
      <c r="R1801" s="87"/>
      <c r="S1801" s="87"/>
      <c r="T1801" s="87"/>
      <c r="U1801" s="87"/>
      <c r="V1801" s="48"/>
      <c r="W1801" s="48"/>
      <c r="X1801" s="48"/>
      <c r="Y1801" s="48"/>
      <c r="Z1801" s="47"/>
      <c r="AA1801" s="69">
        <v>1801</v>
      </c>
      <c r="AB1801" s="69"/>
      <c r="AC1801" s="70"/>
      <c r="AD1801" s="76" t="s">
        <v>23006</v>
      </c>
      <c r="AE1801" s="81" t="s">
        <v>24016</v>
      </c>
      <c r="AF1801" s="76">
        <v>1061</v>
      </c>
      <c r="AG1801" s="76">
        <v>1237</v>
      </c>
      <c r="AH1801" s="76">
        <v>24149</v>
      </c>
      <c r="AI1801" s="76">
        <v>5</v>
      </c>
      <c r="AJ1801" s="76">
        <v>363</v>
      </c>
      <c r="AK1801" s="76">
        <v>634</v>
      </c>
      <c r="AL1801" s="76" t="b">
        <v>0</v>
      </c>
      <c r="AM1801" s="78">
        <v>40350.841921296298</v>
      </c>
      <c r="AN1801" s="76" t="s">
        <v>24688</v>
      </c>
      <c r="AO1801" s="76" t="s">
        <v>26307</v>
      </c>
      <c r="AP1801" s="76"/>
      <c r="AQ1801" s="76"/>
      <c r="AR1801" s="76"/>
      <c r="AS1801" s="82" t="str">
        <f>HYPERLINK("https://t.co/0Wp14OEQ7a")</f>
        <v>https://t.co/0Wp14OEQ7a</v>
      </c>
      <c r="AT1801" s="82" t="str">
        <f>HYPERLINK("http://youtube.com/channel/UCx4Nx")</f>
        <v>http://youtube.com/channel/UCx4Nx</v>
      </c>
      <c r="AU1801" s="76" t="s">
        <v>27589</v>
      </c>
      <c r="AV1801" s="76"/>
      <c r="AW1801" s="76"/>
      <c r="AX1801" s="76" t="b">
        <v>0</v>
      </c>
      <c r="AY1801" s="76"/>
      <c r="AZ1801" s="76"/>
      <c r="BA1801" s="76" t="b">
        <v>0</v>
      </c>
      <c r="BB1801" s="76" t="b">
        <v>0</v>
      </c>
      <c r="BC1801" s="76" t="b">
        <v>1</v>
      </c>
      <c r="BD1801" s="76" t="b">
        <v>0</v>
      </c>
      <c r="BE1801" s="76" t="b">
        <v>1</v>
      </c>
      <c r="BF1801" s="76" t="b">
        <v>0</v>
      </c>
      <c r="BG1801" s="76" t="b">
        <v>0</v>
      </c>
      <c r="BH1801" s="82" t="str">
        <f>HYPERLINK("https://pbs.twimg.com/profile_banners/158107110/1692900310")</f>
        <v>https://pbs.twimg.com/profile_banners/158107110/1692900310</v>
      </c>
      <c r="BI1801" s="76"/>
      <c r="BJ1801" s="76" t="s">
        <v>27595</v>
      </c>
      <c r="BK1801" s="76" t="b">
        <v>0</v>
      </c>
      <c r="BL1801" s="76"/>
      <c r="BM1801" s="76" t="s">
        <v>66</v>
      </c>
      <c r="BN1801" s="76" t="s">
        <v>27597</v>
      </c>
      <c r="BO1801" s="82" t="str">
        <f>HYPERLINK("https://twitter.com/jorgeavilezg")</f>
        <v>https://twitter.com/jorgeavilezg</v>
      </c>
      <c r="BP1801" s="2"/>
    </row>
    <row r="1802" spans="1:68" x14ac:dyDescent="0.25">
      <c r="A1802" s="62" t="s">
        <v>1636</v>
      </c>
      <c r="B1802" s="63"/>
      <c r="C1802" s="63"/>
      <c r="D1802" s="64"/>
      <c r="E1802" s="66"/>
      <c r="F1802" s="103" t="str">
        <f>HYPERLINK("https://pbs.twimg.com/profile_images/910448989149024256/2ZzfKg8T_normal.jpg")</f>
        <v>https://pbs.twimg.com/profile_images/910448989149024256/2ZzfKg8T_normal.jpg</v>
      </c>
      <c r="G1802" s="63"/>
      <c r="H1802" s="67"/>
      <c r="I1802" s="68"/>
      <c r="J1802" s="68"/>
      <c r="K1802" s="67" t="s">
        <v>29396</v>
      </c>
      <c r="L1802" s="71"/>
      <c r="M1802" s="72"/>
      <c r="N1802" s="72"/>
      <c r="O1802" s="73"/>
      <c r="P1802" s="74"/>
      <c r="Q1802" s="74"/>
      <c r="R1802" s="87"/>
      <c r="S1802" s="87"/>
      <c r="T1802" s="87"/>
      <c r="U1802" s="87"/>
      <c r="V1802" s="48"/>
      <c r="W1802" s="48"/>
      <c r="X1802" s="48"/>
      <c r="Y1802" s="48"/>
      <c r="Z1802" s="47"/>
      <c r="AA1802" s="69">
        <v>1802</v>
      </c>
      <c r="AB1802" s="69"/>
      <c r="AC1802" s="70"/>
      <c r="AD1802" s="76" t="s">
        <v>23007</v>
      </c>
      <c r="AE1802" s="81" t="s">
        <v>24017</v>
      </c>
      <c r="AF1802" s="76">
        <v>284</v>
      </c>
      <c r="AG1802" s="76">
        <v>461</v>
      </c>
      <c r="AH1802" s="76">
        <v>6206</v>
      </c>
      <c r="AI1802" s="76">
        <v>4</v>
      </c>
      <c r="AJ1802" s="76">
        <v>1559</v>
      </c>
      <c r="AK1802" s="76">
        <v>472</v>
      </c>
      <c r="AL1802" s="76" t="b">
        <v>0</v>
      </c>
      <c r="AM1802" s="78">
        <v>39958.859155092592</v>
      </c>
      <c r="AN1802" s="76" t="s">
        <v>14386</v>
      </c>
      <c r="AO1802" s="76"/>
      <c r="AP1802" s="76"/>
      <c r="AQ1802" s="76"/>
      <c r="AR1802" s="76"/>
      <c r="AS1802" s="76"/>
      <c r="AT1802" s="76"/>
      <c r="AU1802" s="76"/>
      <c r="AV1802" s="76"/>
      <c r="AW1802" s="76"/>
      <c r="AX1802" s="76" t="b">
        <v>0</v>
      </c>
      <c r="AY1802" s="76"/>
      <c r="AZ1802" s="76"/>
      <c r="BA1802" s="76" t="b">
        <v>0</v>
      </c>
      <c r="BB1802" s="76" t="b">
        <v>1</v>
      </c>
      <c r="BC1802" s="76" t="b">
        <v>0</v>
      </c>
      <c r="BD1802" s="76" t="b">
        <v>0</v>
      </c>
      <c r="BE1802" s="76" t="b">
        <v>1</v>
      </c>
      <c r="BF1802" s="76" t="b">
        <v>0</v>
      </c>
      <c r="BG1802" s="76" t="b">
        <v>0</v>
      </c>
      <c r="BH1802" s="82" t="str">
        <f>HYPERLINK("https://pbs.twimg.com/profile_banners/42481881/1448452596")</f>
        <v>https://pbs.twimg.com/profile_banners/42481881/1448452596</v>
      </c>
      <c r="BI1802" s="76"/>
      <c r="BJ1802" s="76" t="s">
        <v>27595</v>
      </c>
      <c r="BK1802" s="76" t="b">
        <v>0</v>
      </c>
      <c r="BL1802" s="76"/>
      <c r="BM1802" s="76" t="s">
        <v>66</v>
      </c>
      <c r="BN1802" s="76" t="s">
        <v>27597</v>
      </c>
      <c r="BO1802" s="82" t="str">
        <f>HYPERLINK("https://twitter.com/yerkokiyoki")</f>
        <v>https://twitter.com/yerkokiyoki</v>
      </c>
      <c r="BP1802" s="2"/>
    </row>
    <row r="1803" spans="1:68" x14ac:dyDescent="0.25">
      <c r="A1803" s="62" t="s">
        <v>2067</v>
      </c>
      <c r="B1803" s="63"/>
      <c r="C1803" s="63"/>
      <c r="D1803" s="64"/>
      <c r="E1803" s="66"/>
      <c r="F1803" s="103" t="str">
        <f>HYPERLINK("https://pbs.twimg.com/profile_images/1632406143275266051/StUn8yIA_normal.jpg")</f>
        <v>https://pbs.twimg.com/profile_images/1632406143275266051/StUn8yIA_normal.jpg</v>
      </c>
      <c r="G1803" s="63"/>
      <c r="H1803" s="67"/>
      <c r="I1803" s="68"/>
      <c r="J1803" s="68"/>
      <c r="K1803" s="67" t="s">
        <v>29397</v>
      </c>
      <c r="L1803" s="71"/>
      <c r="M1803" s="72"/>
      <c r="N1803" s="72"/>
      <c r="O1803" s="73"/>
      <c r="P1803" s="74"/>
      <c r="Q1803" s="74"/>
      <c r="R1803" s="87"/>
      <c r="S1803" s="87"/>
      <c r="T1803" s="87"/>
      <c r="U1803" s="87"/>
      <c r="V1803" s="48"/>
      <c r="W1803" s="48"/>
      <c r="X1803" s="48"/>
      <c r="Y1803" s="48"/>
      <c r="Z1803" s="47"/>
      <c r="AA1803" s="69">
        <v>1803</v>
      </c>
      <c r="AB1803" s="69"/>
      <c r="AC1803" s="70"/>
      <c r="AD1803" s="76" t="s">
        <v>23008</v>
      </c>
      <c r="AE1803" s="81" t="s">
        <v>24018</v>
      </c>
      <c r="AF1803" s="76">
        <v>249301</v>
      </c>
      <c r="AG1803" s="76">
        <v>1298</v>
      </c>
      <c r="AH1803" s="76">
        <v>11510</v>
      </c>
      <c r="AI1803" s="76">
        <v>328</v>
      </c>
      <c r="AJ1803" s="76">
        <v>1066</v>
      </c>
      <c r="AK1803" s="76">
        <v>1161</v>
      </c>
      <c r="AL1803" s="76" t="b">
        <v>0</v>
      </c>
      <c r="AM1803" s="78">
        <v>41479.743020833332</v>
      </c>
      <c r="AN1803" s="76" t="s">
        <v>14386</v>
      </c>
      <c r="AO1803" s="76" t="s">
        <v>26308</v>
      </c>
      <c r="AP1803" s="82" t="str">
        <f>HYPERLINK("https://t.co/oPHWPYIfiI")</f>
        <v>https://t.co/oPHWPYIfiI</v>
      </c>
      <c r="AQ1803" s="82" t="str">
        <f>HYPERLINK("https://instagram.com/ignaciobriones_")</f>
        <v>https://instagram.com/ignaciobriones_</v>
      </c>
      <c r="AR1803" s="76" t="s">
        <v>27335</v>
      </c>
      <c r="AS1803" s="76"/>
      <c r="AT1803" s="76"/>
      <c r="AU1803" s="76"/>
      <c r="AV1803" s="76">
        <v>1.6585999048374999E+18</v>
      </c>
      <c r="AW1803" s="82" t="str">
        <f>HYPERLINK("https://t.co/oPHWPYIfiI")</f>
        <v>https://t.co/oPHWPYIfiI</v>
      </c>
      <c r="AX1803" s="76" t="b">
        <v>0</v>
      </c>
      <c r="AY1803" s="76"/>
      <c r="AZ1803" s="76"/>
      <c r="BA1803" s="76" t="b">
        <v>0</v>
      </c>
      <c r="BB1803" s="76" t="b">
        <v>1</v>
      </c>
      <c r="BC1803" s="76" t="b">
        <v>1</v>
      </c>
      <c r="BD1803" s="76" t="b">
        <v>0</v>
      </c>
      <c r="BE1803" s="76" t="b">
        <v>1</v>
      </c>
      <c r="BF1803" s="76" t="b">
        <v>0</v>
      </c>
      <c r="BG1803" s="76" t="b">
        <v>0</v>
      </c>
      <c r="BH1803" s="82" t="str">
        <f>HYPERLINK("https://pbs.twimg.com/profile_banners/1618289516/1678031141")</f>
        <v>https://pbs.twimg.com/profile_banners/1618289516/1678031141</v>
      </c>
      <c r="BI1803" s="76"/>
      <c r="BJ1803" s="76" t="s">
        <v>27595</v>
      </c>
      <c r="BK1803" s="76" t="b">
        <v>0</v>
      </c>
      <c r="BL1803" s="76"/>
      <c r="BM1803" s="76" t="s">
        <v>65</v>
      </c>
      <c r="BN1803" s="76" t="s">
        <v>27597</v>
      </c>
      <c r="BO1803" s="82" t="str">
        <f>HYPERLINK("https://twitter.com/ignaciobriones_")</f>
        <v>https://twitter.com/ignaciobriones_</v>
      </c>
      <c r="BP1803" s="2"/>
    </row>
    <row r="1804" spans="1:68" x14ac:dyDescent="0.25">
      <c r="A1804" s="62" t="s">
        <v>2068</v>
      </c>
      <c r="B1804" s="63"/>
      <c r="C1804" s="63"/>
      <c r="D1804" s="64"/>
      <c r="E1804" s="66"/>
      <c r="F1804" s="103" t="str">
        <f>HYPERLINK("https://pbs.twimg.com/profile_images/1656440632729038850/XPp2ILqw_normal.jpg")</f>
        <v>https://pbs.twimg.com/profile_images/1656440632729038850/XPp2ILqw_normal.jpg</v>
      </c>
      <c r="G1804" s="63"/>
      <c r="H1804" s="67"/>
      <c r="I1804" s="68"/>
      <c r="J1804" s="68"/>
      <c r="K1804" s="67" t="s">
        <v>29398</v>
      </c>
      <c r="L1804" s="71"/>
      <c r="M1804" s="72"/>
      <c r="N1804" s="72"/>
      <c r="O1804" s="73"/>
      <c r="P1804" s="74"/>
      <c r="Q1804" s="74"/>
      <c r="R1804" s="87"/>
      <c r="S1804" s="87"/>
      <c r="T1804" s="87"/>
      <c r="U1804" s="87"/>
      <c r="V1804" s="48"/>
      <c r="W1804" s="48"/>
      <c r="X1804" s="48"/>
      <c r="Y1804" s="48"/>
      <c r="Z1804" s="47"/>
      <c r="AA1804" s="69">
        <v>1804</v>
      </c>
      <c r="AB1804" s="69"/>
      <c r="AC1804" s="70"/>
      <c r="AD1804" s="76" t="s">
        <v>23009</v>
      </c>
      <c r="AE1804" s="81" t="s">
        <v>24019</v>
      </c>
      <c r="AF1804" s="76">
        <v>94682</v>
      </c>
      <c r="AG1804" s="76">
        <v>1823</v>
      </c>
      <c r="AH1804" s="76">
        <v>12801</v>
      </c>
      <c r="AI1804" s="76">
        <v>215</v>
      </c>
      <c r="AJ1804" s="76">
        <v>12434</v>
      </c>
      <c r="AK1804" s="76">
        <v>929</v>
      </c>
      <c r="AL1804" s="76" t="b">
        <v>0</v>
      </c>
      <c r="AM1804" s="78">
        <v>41872.650520833333</v>
      </c>
      <c r="AN1804" s="76"/>
      <c r="AO1804" s="76" t="s">
        <v>26309</v>
      </c>
      <c r="AP1804" s="82" t="str">
        <f>HYPERLINK("https://t.co/JG0oDYGbQf")</f>
        <v>https://t.co/JG0oDYGbQf</v>
      </c>
      <c r="AQ1804" s="82" t="str">
        <f>HYPERLINK("http://www.gaelyeomans.cl")</f>
        <v>http://www.gaelyeomans.cl</v>
      </c>
      <c r="AR1804" s="76" t="s">
        <v>27336</v>
      </c>
      <c r="AS1804" s="76"/>
      <c r="AT1804" s="76"/>
      <c r="AU1804" s="76"/>
      <c r="AV1804" s="76">
        <v>1.6640991693786299E+18</v>
      </c>
      <c r="AW1804" s="82" t="str">
        <f>HYPERLINK("https://t.co/JG0oDYGbQf")</f>
        <v>https://t.co/JG0oDYGbQf</v>
      </c>
      <c r="AX1804" s="76" t="b">
        <v>0</v>
      </c>
      <c r="AY1804" s="76"/>
      <c r="AZ1804" s="76"/>
      <c r="BA1804" s="76" t="b">
        <v>0</v>
      </c>
      <c r="BB1804" s="76" t="b">
        <v>1</v>
      </c>
      <c r="BC1804" s="76" t="b">
        <v>1</v>
      </c>
      <c r="BD1804" s="76" t="b">
        <v>0</v>
      </c>
      <c r="BE1804" s="76" t="b">
        <v>1</v>
      </c>
      <c r="BF1804" s="76" t="b">
        <v>0</v>
      </c>
      <c r="BG1804" s="76" t="b">
        <v>0</v>
      </c>
      <c r="BH1804" s="82" t="str">
        <f>HYPERLINK("https://pbs.twimg.com/profile_banners/2749212142/1685507012")</f>
        <v>https://pbs.twimg.com/profile_banners/2749212142/1685507012</v>
      </c>
      <c r="BI1804" s="76"/>
      <c r="BJ1804" s="76" t="s">
        <v>27595</v>
      </c>
      <c r="BK1804" s="76" t="b">
        <v>0</v>
      </c>
      <c r="BL1804" s="76"/>
      <c r="BM1804" s="76" t="s">
        <v>65</v>
      </c>
      <c r="BN1804" s="76" t="s">
        <v>27597</v>
      </c>
      <c r="BO1804" s="82" t="str">
        <f>HYPERLINK("https://twitter.com/gaeldiputada")</f>
        <v>https://twitter.com/gaeldiputada</v>
      </c>
      <c r="BP1804" s="2"/>
    </row>
    <row r="1805" spans="1:68" x14ac:dyDescent="0.25">
      <c r="A1805" s="62" t="s">
        <v>2069</v>
      </c>
      <c r="B1805" s="63"/>
      <c r="C1805" s="63"/>
      <c r="D1805" s="64"/>
      <c r="E1805" s="66"/>
      <c r="F1805" s="103" t="str">
        <f>HYPERLINK("https://pbs.twimg.com/profile_images/1611399185269489667/nyu3Ai4T_normal.jpg")</f>
        <v>https://pbs.twimg.com/profile_images/1611399185269489667/nyu3Ai4T_normal.jpg</v>
      </c>
      <c r="G1805" s="63"/>
      <c r="H1805" s="67"/>
      <c r="I1805" s="68"/>
      <c r="J1805" s="68"/>
      <c r="K1805" s="67" t="s">
        <v>29399</v>
      </c>
      <c r="L1805" s="71"/>
      <c r="M1805" s="72"/>
      <c r="N1805" s="72"/>
      <c r="O1805" s="73"/>
      <c r="P1805" s="74"/>
      <c r="Q1805" s="74"/>
      <c r="R1805" s="87"/>
      <c r="S1805" s="87"/>
      <c r="T1805" s="87"/>
      <c r="U1805" s="87"/>
      <c r="V1805" s="48"/>
      <c r="W1805" s="48"/>
      <c r="X1805" s="48"/>
      <c r="Y1805" s="48"/>
      <c r="Z1805" s="47"/>
      <c r="AA1805" s="69">
        <v>1805</v>
      </c>
      <c r="AB1805" s="69"/>
      <c r="AC1805" s="70"/>
      <c r="AD1805" s="76" t="s">
        <v>23010</v>
      </c>
      <c r="AE1805" s="81" t="s">
        <v>20374</v>
      </c>
      <c r="AF1805" s="76">
        <v>251110</v>
      </c>
      <c r="AG1805" s="76">
        <v>2579</v>
      </c>
      <c r="AH1805" s="76">
        <v>21443</v>
      </c>
      <c r="AI1805" s="76">
        <v>333</v>
      </c>
      <c r="AJ1805" s="76">
        <v>10854</v>
      </c>
      <c r="AK1805" s="76">
        <v>1230</v>
      </c>
      <c r="AL1805" s="76" t="b">
        <v>0</v>
      </c>
      <c r="AM1805" s="78">
        <v>40024.671226851853</v>
      </c>
      <c r="AN1805" s="76"/>
      <c r="AO1805" s="76" t="s">
        <v>26310</v>
      </c>
      <c r="AP1805" s="82" t="str">
        <f>HYPERLINK("https://t.co/p0SFhnd8y4")</f>
        <v>https://t.co/p0SFhnd8y4</v>
      </c>
      <c r="AQ1805" s="82" t="str">
        <f>HYPERLINK("https://www.gonzalowinter.cl/")</f>
        <v>https://www.gonzalowinter.cl/</v>
      </c>
      <c r="AR1805" s="76" t="s">
        <v>27337</v>
      </c>
      <c r="AS1805" s="76"/>
      <c r="AT1805" s="76"/>
      <c r="AU1805" s="76"/>
      <c r="AV1805" s="76">
        <v>1.54560943315312E+18</v>
      </c>
      <c r="AW1805" s="82" t="str">
        <f>HYPERLINK("https://t.co/p0SFhnd8y4")</f>
        <v>https://t.co/p0SFhnd8y4</v>
      </c>
      <c r="AX1805" s="76" t="b">
        <v>1</v>
      </c>
      <c r="AY1805" s="76"/>
      <c r="AZ1805" s="76"/>
      <c r="BA1805" s="76" t="b">
        <v>0</v>
      </c>
      <c r="BB1805" s="76" t="b">
        <v>1</v>
      </c>
      <c r="BC1805" s="76" t="b">
        <v>1</v>
      </c>
      <c r="BD1805" s="76" t="b">
        <v>0</v>
      </c>
      <c r="BE1805" s="76" t="b">
        <v>1</v>
      </c>
      <c r="BF1805" s="76" t="b">
        <v>0</v>
      </c>
      <c r="BG1805" s="76" t="b">
        <v>0</v>
      </c>
      <c r="BH1805" s="82" t="str">
        <f>HYPERLINK("https://pbs.twimg.com/profile_banners/61524459/1638135984")</f>
        <v>https://pbs.twimg.com/profile_banners/61524459/1638135984</v>
      </c>
      <c r="BI1805" s="76"/>
      <c r="BJ1805" s="76" t="s">
        <v>27595</v>
      </c>
      <c r="BK1805" s="76" t="b">
        <v>0</v>
      </c>
      <c r="BL1805" s="76"/>
      <c r="BM1805" s="76" t="s">
        <v>65</v>
      </c>
      <c r="BN1805" s="76" t="s">
        <v>27597</v>
      </c>
      <c r="BO1805" s="82" t="str">
        <f>HYPERLINK("https://twitter.com/gonzalowinter")</f>
        <v>https://twitter.com/gonzalowinter</v>
      </c>
      <c r="BP1805" s="2"/>
    </row>
    <row r="1806" spans="1:68" x14ac:dyDescent="0.25">
      <c r="A1806" s="62" t="s">
        <v>1637</v>
      </c>
      <c r="B1806" s="63"/>
      <c r="C1806" s="63"/>
      <c r="D1806" s="64"/>
      <c r="E1806" s="66"/>
      <c r="F1806" s="103" t="str">
        <f>HYPERLINK("https://pbs.twimg.com/profile_images/1607911607157260288/9fw__4rn_normal.png")</f>
        <v>https://pbs.twimg.com/profile_images/1607911607157260288/9fw__4rn_normal.png</v>
      </c>
      <c r="G1806" s="63"/>
      <c r="H1806" s="67"/>
      <c r="I1806" s="68"/>
      <c r="J1806" s="68"/>
      <c r="K1806" s="67" t="s">
        <v>29400</v>
      </c>
      <c r="L1806" s="71"/>
      <c r="M1806" s="72"/>
      <c r="N1806" s="72"/>
      <c r="O1806" s="73"/>
      <c r="P1806" s="74"/>
      <c r="Q1806" s="74"/>
      <c r="R1806" s="87"/>
      <c r="S1806" s="87"/>
      <c r="T1806" s="87"/>
      <c r="U1806" s="87"/>
      <c r="V1806" s="48"/>
      <c r="W1806" s="48"/>
      <c r="X1806" s="48"/>
      <c r="Y1806" s="48"/>
      <c r="Z1806" s="47"/>
      <c r="AA1806" s="69">
        <v>1806</v>
      </c>
      <c r="AB1806" s="69"/>
      <c r="AC1806" s="70"/>
      <c r="AD1806" s="76" t="s">
        <v>23011</v>
      </c>
      <c r="AE1806" s="81" t="s">
        <v>21177</v>
      </c>
      <c r="AF1806" s="76">
        <v>7</v>
      </c>
      <c r="AG1806" s="76">
        <v>40</v>
      </c>
      <c r="AH1806" s="76">
        <v>1340</v>
      </c>
      <c r="AI1806" s="76">
        <v>0</v>
      </c>
      <c r="AJ1806" s="76">
        <v>2752</v>
      </c>
      <c r="AK1806" s="76">
        <v>5</v>
      </c>
      <c r="AL1806" s="76" t="b">
        <v>0</v>
      </c>
      <c r="AM1806" s="78">
        <v>44923.062199074076</v>
      </c>
      <c r="AN1806" s="76"/>
      <c r="AO1806" s="76" t="s">
        <v>26311</v>
      </c>
      <c r="AP1806" s="76"/>
      <c r="AQ1806" s="76"/>
      <c r="AR1806" s="76"/>
      <c r="AS1806" s="76"/>
      <c r="AT1806" s="76"/>
      <c r="AU1806" s="76"/>
      <c r="AV1806" s="76"/>
      <c r="AW1806" s="76"/>
      <c r="AX1806" s="76" t="b">
        <v>0</v>
      </c>
      <c r="AY1806" s="76"/>
      <c r="AZ1806" s="76"/>
      <c r="BA1806" s="76" t="b">
        <v>0</v>
      </c>
      <c r="BB1806" s="76" t="b">
        <v>1</v>
      </c>
      <c r="BC1806" s="76" t="b">
        <v>1</v>
      </c>
      <c r="BD1806" s="76" t="b">
        <v>0</v>
      </c>
      <c r="BE1806" s="76" t="b">
        <v>0</v>
      </c>
      <c r="BF1806" s="76" t="b">
        <v>0</v>
      </c>
      <c r="BG1806" s="76" t="b">
        <v>0</v>
      </c>
      <c r="BH1806" s="76"/>
      <c r="BI1806" s="76"/>
      <c r="BJ1806" s="76" t="s">
        <v>27595</v>
      </c>
      <c r="BK1806" s="76" t="b">
        <v>0</v>
      </c>
      <c r="BL1806" s="76"/>
      <c r="BM1806" s="76" t="s">
        <v>66</v>
      </c>
      <c r="BN1806" s="76" t="s">
        <v>27597</v>
      </c>
      <c r="BO1806" s="82" t="str">
        <f>HYPERLINK("https://twitter.com/wandersonrena20")</f>
        <v>https://twitter.com/wandersonrena20</v>
      </c>
      <c r="BP1806" s="2"/>
    </row>
    <row r="1807" spans="1:68" x14ac:dyDescent="0.25">
      <c r="A1807" s="62" t="s">
        <v>1638</v>
      </c>
      <c r="B1807" s="63"/>
      <c r="C1807" s="63"/>
      <c r="D1807" s="64"/>
      <c r="E1807" s="66"/>
      <c r="F1807" s="103" t="str">
        <f>HYPERLINK("https://pbs.twimg.com/profile_images/1620590176610156549/gEwbNvth_normal.jpg")</f>
        <v>https://pbs.twimg.com/profile_images/1620590176610156549/gEwbNvth_normal.jpg</v>
      </c>
      <c r="G1807" s="63"/>
      <c r="H1807" s="67"/>
      <c r="I1807" s="68"/>
      <c r="J1807" s="68"/>
      <c r="K1807" s="67" t="s">
        <v>29401</v>
      </c>
      <c r="L1807" s="71"/>
      <c r="M1807" s="72"/>
      <c r="N1807" s="72"/>
      <c r="O1807" s="73"/>
      <c r="P1807" s="74"/>
      <c r="Q1807" s="74"/>
      <c r="R1807" s="87"/>
      <c r="S1807" s="87"/>
      <c r="T1807" s="87"/>
      <c r="U1807" s="87"/>
      <c r="V1807" s="48"/>
      <c r="W1807" s="48"/>
      <c r="X1807" s="48"/>
      <c r="Y1807" s="48"/>
      <c r="Z1807" s="47"/>
      <c r="AA1807" s="69">
        <v>1807</v>
      </c>
      <c r="AB1807" s="69"/>
      <c r="AC1807" s="70"/>
      <c r="AD1807" s="76" t="s">
        <v>23012</v>
      </c>
      <c r="AE1807" s="81" t="s">
        <v>24020</v>
      </c>
      <c r="AF1807" s="76">
        <v>7504</v>
      </c>
      <c r="AG1807" s="76">
        <v>532</v>
      </c>
      <c r="AH1807" s="76">
        <v>5011</v>
      </c>
      <c r="AI1807" s="76">
        <v>68</v>
      </c>
      <c r="AJ1807" s="76">
        <v>2441</v>
      </c>
      <c r="AK1807" s="76">
        <v>1937</v>
      </c>
      <c r="AL1807" s="76" t="b">
        <v>0</v>
      </c>
      <c r="AM1807" s="78">
        <v>42108.623032407406</v>
      </c>
      <c r="AN1807" s="76" t="s">
        <v>14479</v>
      </c>
      <c r="AO1807" s="76" t="s">
        <v>26312</v>
      </c>
      <c r="AP1807" s="82" t="str">
        <f>HYPERLINK("https://t.co/9ucaC20lk1")</f>
        <v>https://t.co/9ucaC20lk1</v>
      </c>
      <c r="AQ1807" s="82" t="str">
        <f>HYPERLINK("http://www.porque.com.br")</f>
        <v>http://www.porque.com.br</v>
      </c>
      <c r="AR1807" s="76" t="s">
        <v>27338</v>
      </c>
      <c r="AS1807" s="76"/>
      <c r="AT1807" s="76"/>
      <c r="AU1807" s="76"/>
      <c r="AV1807" s="76"/>
      <c r="AW1807" s="82" t="str">
        <f>HYPERLINK("https://t.co/9ucaC20lk1")</f>
        <v>https://t.co/9ucaC20lk1</v>
      </c>
      <c r="AX1807" s="76" t="b">
        <v>0</v>
      </c>
      <c r="AY1807" s="76"/>
      <c r="AZ1807" s="76"/>
      <c r="BA1807" s="76" t="b">
        <v>0</v>
      </c>
      <c r="BB1807" s="76" t="b">
        <v>1</v>
      </c>
      <c r="BC1807" s="76" t="b">
        <v>0</v>
      </c>
      <c r="BD1807" s="76" t="b">
        <v>0</v>
      </c>
      <c r="BE1807" s="76" t="b">
        <v>1</v>
      </c>
      <c r="BF1807" s="76" t="b">
        <v>0</v>
      </c>
      <c r="BG1807" s="76" t="b">
        <v>0</v>
      </c>
      <c r="BH1807" s="82" t="str">
        <f>HYPERLINK("https://pbs.twimg.com/profile_banners/3166145932/1580232041")</f>
        <v>https://pbs.twimg.com/profile_banners/3166145932/1580232041</v>
      </c>
      <c r="BI1807" s="76"/>
      <c r="BJ1807" s="76" t="s">
        <v>27595</v>
      </c>
      <c r="BK1807" s="76" t="b">
        <v>0</v>
      </c>
      <c r="BL1807" s="76"/>
      <c r="BM1807" s="76" t="s">
        <v>66</v>
      </c>
      <c r="BN1807" s="76" t="s">
        <v>27597</v>
      </c>
      <c r="BO1807" s="82" t="str">
        <f>HYPERLINK("https://twitter.com/porque_com_br")</f>
        <v>https://twitter.com/porque_com_br</v>
      </c>
      <c r="BP1807" s="2"/>
    </row>
    <row r="1808" spans="1:68" x14ac:dyDescent="0.25">
      <c r="A1808" s="62" t="s">
        <v>1639</v>
      </c>
      <c r="B1808" s="63"/>
      <c r="C1808" s="63"/>
      <c r="D1808" s="64"/>
      <c r="E1808" s="66"/>
      <c r="F1808" s="103" t="str">
        <f>HYPERLINK("https://pbs.twimg.com/profile_images/1520144489863692290/HJq1tMgX_normal.jpg")</f>
        <v>https://pbs.twimg.com/profile_images/1520144489863692290/HJq1tMgX_normal.jpg</v>
      </c>
      <c r="G1808" s="63"/>
      <c r="H1808" s="67"/>
      <c r="I1808" s="68"/>
      <c r="J1808" s="68"/>
      <c r="K1808" s="67" t="s">
        <v>29402</v>
      </c>
      <c r="L1808" s="71"/>
      <c r="M1808" s="72"/>
      <c r="N1808" s="72"/>
      <c r="O1808" s="73"/>
      <c r="P1808" s="74"/>
      <c r="Q1808" s="74"/>
      <c r="R1808" s="87"/>
      <c r="S1808" s="87"/>
      <c r="T1808" s="87"/>
      <c r="U1808" s="87"/>
      <c r="V1808" s="48"/>
      <c r="W1808" s="48"/>
      <c r="X1808" s="48"/>
      <c r="Y1808" s="48"/>
      <c r="Z1808" s="47"/>
      <c r="AA1808" s="69">
        <v>1808</v>
      </c>
      <c r="AB1808" s="69"/>
      <c r="AC1808" s="70"/>
      <c r="AD1808" s="76" t="s">
        <v>23013</v>
      </c>
      <c r="AE1808" s="81" t="s">
        <v>24021</v>
      </c>
      <c r="AF1808" s="76">
        <v>1688</v>
      </c>
      <c r="AG1808" s="76">
        <v>2176</v>
      </c>
      <c r="AH1808" s="76">
        <v>235885</v>
      </c>
      <c r="AI1808" s="76">
        <v>13</v>
      </c>
      <c r="AJ1808" s="76">
        <v>689</v>
      </c>
      <c r="AK1808" s="76">
        <v>19934</v>
      </c>
      <c r="AL1808" s="76" t="b">
        <v>0</v>
      </c>
      <c r="AM1808" s="78">
        <v>40906.727199074077</v>
      </c>
      <c r="AN1808" s="76" t="s">
        <v>24689</v>
      </c>
      <c r="AO1808" s="76" t="s">
        <v>26313</v>
      </c>
      <c r="AP1808" s="76"/>
      <c r="AQ1808" s="76"/>
      <c r="AR1808" s="76"/>
      <c r="AS1808" s="76"/>
      <c r="AT1808" s="76"/>
      <c r="AU1808" s="76"/>
      <c r="AV1808" s="76"/>
      <c r="AW1808" s="76"/>
      <c r="AX1808" s="76" t="b">
        <v>0</v>
      </c>
      <c r="AY1808" s="76"/>
      <c r="AZ1808" s="76"/>
      <c r="BA1808" s="76" t="b">
        <v>1</v>
      </c>
      <c r="BB1808" s="76" t="b">
        <v>1</v>
      </c>
      <c r="BC1808" s="76" t="b">
        <v>0</v>
      </c>
      <c r="BD1808" s="76" t="b">
        <v>0</v>
      </c>
      <c r="BE1808" s="76" t="b">
        <v>1</v>
      </c>
      <c r="BF1808" s="76" t="b">
        <v>0</v>
      </c>
      <c r="BG1808" s="76" t="b">
        <v>1</v>
      </c>
      <c r="BH1808" s="82" t="str">
        <f>HYPERLINK("https://pbs.twimg.com/profile_banners/449929805/1677127344")</f>
        <v>https://pbs.twimg.com/profile_banners/449929805/1677127344</v>
      </c>
      <c r="BI1808" s="76"/>
      <c r="BJ1808" s="76" t="s">
        <v>27595</v>
      </c>
      <c r="BK1808" s="76" t="b">
        <v>0</v>
      </c>
      <c r="BL1808" s="76"/>
      <c r="BM1808" s="76" t="s">
        <v>66</v>
      </c>
      <c r="BN1808" s="76" t="s">
        <v>27597</v>
      </c>
      <c r="BO1808" s="82" t="str">
        <f>HYPERLINK("https://twitter.com/mickey60_")</f>
        <v>https://twitter.com/mickey60_</v>
      </c>
      <c r="BP1808" s="2"/>
    </row>
    <row r="1809" spans="1:68" x14ac:dyDescent="0.25">
      <c r="A1809" s="62" t="s">
        <v>1640</v>
      </c>
      <c r="B1809" s="63"/>
      <c r="C1809" s="63"/>
      <c r="D1809" s="64"/>
      <c r="E1809" s="66"/>
      <c r="F1809" s="103" t="str">
        <f>HYPERLINK("https://pbs.twimg.com/profile_images/1692283143355564032/VqGjRNnZ_normal.jpg")</f>
        <v>https://pbs.twimg.com/profile_images/1692283143355564032/VqGjRNnZ_normal.jpg</v>
      </c>
      <c r="G1809" s="63"/>
      <c r="H1809" s="67"/>
      <c r="I1809" s="68"/>
      <c r="J1809" s="68"/>
      <c r="K1809" s="67" t="s">
        <v>29403</v>
      </c>
      <c r="L1809" s="71"/>
      <c r="M1809" s="72"/>
      <c r="N1809" s="72"/>
      <c r="O1809" s="73"/>
      <c r="P1809" s="74"/>
      <c r="Q1809" s="74"/>
      <c r="R1809" s="87"/>
      <c r="S1809" s="87"/>
      <c r="T1809" s="87"/>
      <c r="U1809" s="87"/>
      <c r="V1809" s="48"/>
      <c r="W1809" s="48"/>
      <c r="X1809" s="48"/>
      <c r="Y1809" s="48"/>
      <c r="Z1809" s="47"/>
      <c r="AA1809" s="69">
        <v>1809</v>
      </c>
      <c r="AB1809" s="69"/>
      <c r="AC1809" s="70"/>
      <c r="AD1809" s="76" t="s">
        <v>23014</v>
      </c>
      <c r="AE1809" s="81" t="s">
        <v>21178</v>
      </c>
      <c r="AF1809" s="76">
        <v>13319</v>
      </c>
      <c r="AG1809" s="76">
        <v>2000</v>
      </c>
      <c r="AH1809" s="76">
        <v>9103</v>
      </c>
      <c r="AI1809" s="76">
        <v>19</v>
      </c>
      <c r="AJ1809" s="76">
        <v>23192</v>
      </c>
      <c r="AK1809" s="76">
        <v>2855</v>
      </c>
      <c r="AL1809" s="76" t="b">
        <v>0</v>
      </c>
      <c r="AM1809" s="78">
        <v>44622.618680555555</v>
      </c>
      <c r="AN1809" s="76"/>
      <c r="AO1809" s="76" t="s">
        <v>26314</v>
      </c>
      <c r="AP1809" s="76"/>
      <c r="AQ1809" s="76"/>
      <c r="AR1809" s="76"/>
      <c r="AS1809" s="76"/>
      <c r="AT1809" s="76"/>
      <c r="AU1809" s="76"/>
      <c r="AV1809" s="76">
        <v>1.6934299178353101E+18</v>
      </c>
      <c r="AW1809" s="76"/>
      <c r="AX1809" s="76" t="b">
        <v>0</v>
      </c>
      <c r="AY1809" s="76"/>
      <c r="AZ1809" s="76"/>
      <c r="BA1809" s="76" t="b">
        <v>0</v>
      </c>
      <c r="BB1809" s="76" t="b">
        <v>1</v>
      </c>
      <c r="BC1809" s="76" t="b">
        <v>1</v>
      </c>
      <c r="BD1809" s="76" t="b">
        <v>0</v>
      </c>
      <c r="BE1809" s="76" t="b">
        <v>1</v>
      </c>
      <c r="BF1809" s="76" t="b">
        <v>0</v>
      </c>
      <c r="BG1809" s="76" t="b">
        <v>0</v>
      </c>
      <c r="BH1809" s="82" t="str">
        <f>HYPERLINK("https://pbs.twimg.com/profile_banners/1499034449174056960/1691807479")</f>
        <v>https://pbs.twimg.com/profile_banners/1499034449174056960/1691807479</v>
      </c>
      <c r="BI1809" s="76"/>
      <c r="BJ1809" s="76" t="s">
        <v>27595</v>
      </c>
      <c r="BK1809" s="76" t="b">
        <v>0</v>
      </c>
      <c r="BL1809" s="76"/>
      <c r="BM1809" s="76" t="s">
        <v>66</v>
      </c>
      <c r="BN1809" s="76" t="s">
        <v>27597</v>
      </c>
      <c r="BO1809" s="82" t="str">
        <f>HYPERLINK("https://twitter.com/memesdelmijin")</f>
        <v>https://twitter.com/memesdelmijin</v>
      </c>
      <c r="BP1809" s="2"/>
    </row>
    <row r="1810" spans="1:68" x14ac:dyDescent="0.25">
      <c r="A1810" s="62" t="s">
        <v>1641</v>
      </c>
      <c r="B1810" s="63"/>
      <c r="C1810" s="63"/>
      <c r="D1810" s="64"/>
      <c r="E1810" s="66"/>
      <c r="F1810" s="103" t="str">
        <f>HYPERLINK("https://pbs.twimg.com/profile_images/1121992540/with_nelly_3x4_normal.jpg")</f>
        <v>https://pbs.twimg.com/profile_images/1121992540/with_nelly_3x4_normal.jpg</v>
      </c>
      <c r="G1810" s="63"/>
      <c r="H1810" s="67"/>
      <c r="I1810" s="68"/>
      <c r="J1810" s="68"/>
      <c r="K1810" s="67" t="s">
        <v>29404</v>
      </c>
      <c r="L1810" s="71"/>
      <c r="M1810" s="72"/>
      <c r="N1810" s="72"/>
      <c r="O1810" s="73"/>
      <c r="P1810" s="74"/>
      <c r="Q1810" s="74"/>
      <c r="R1810" s="87"/>
      <c r="S1810" s="87"/>
      <c r="T1810" s="87"/>
      <c r="U1810" s="87"/>
      <c r="V1810" s="48"/>
      <c r="W1810" s="48"/>
      <c r="X1810" s="48"/>
      <c r="Y1810" s="48"/>
      <c r="Z1810" s="47"/>
      <c r="AA1810" s="69">
        <v>1810</v>
      </c>
      <c r="AB1810" s="69"/>
      <c r="AC1810" s="70"/>
      <c r="AD1810" s="76" t="s">
        <v>23015</v>
      </c>
      <c r="AE1810" s="81" t="s">
        <v>20375</v>
      </c>
      <c r="AF1810" s="76">
        <v>241</v>
      </c>
      <c r="AG1810" s="76">
        <v>225</v>
      </c>
      <c r="AH1810" s="76">
        <v>2527</v>
      </c>
      <c r="AI1810" s="76">
        <v>0</v>
      </c>
      <c r="AJ1810" s="76">
        <v>246</v>
      </c>
      <c r="AK1810" s="76">
        <v>362</v>
      </c>
      <c r="AL1810" s="76" t="b">
        <v>0</v>
      </c>
      <c r="AM1810" s="78">
        <v>40038.101863425924</v>
      </c>
      <c r="AN1810" s="76" t="s">
        <v>14493</v>
      </c>
      <c r="AO1810" s="76" t="s">
        <v>26315</v>
      </c>
      <c r="AP1810" s="76"/>
      <c r="AQ1810" s="76"/>
      <c r="AR1810" s="76"/>
      <c r="AS1810" s="76"/>
      <c r="AT1810" s="76"/>
      <c r="AU1810" s="76"/>
      <c r="AV1810" s="76">
        <v>1.6994833691200699E+18</v>
      </c>
      <c r="AW1810" s="76"/>
      <c r="AX1810" s="76" t="b">
        <v>0</v>
      </c>
      <c r="AY1810" s="76"/>
      <c r="AZ1810" s="76"/>
      <c r="BA1810" s="76" t="b">
        <v>0</v>
      </c>
      <c r="BB1810" s="76" t="b">
        <v>0</v>
      </c>
      <c r="BC1810" s="76" t="b">
        <v>0</v>
      </c>
      <c r="BD1810" s="76" t="b">
        <v>0</v>
      </c>
      <c r="BE1810" s="76" t="b">
        <v>0</v>
      </c>
      <c r="BF1810" s="76" t="b">
        <v>0</v>
      </c>
      <c r="BG1810" s="76" t="b">
        <v>0</v>
      </c>
      <c r="BH1810" s="76"/>
      <c r="BI1810" s="76"/>
      <c r="BJ1810" s="76" t="s">
        <v>27595</v>
      </c>
      <c r="BK1810" s="76" t="b">
        <v>0</v>
      </c>
      <c r="BL1810" s="76"/>
      <c r="BM1810" s="76" t="s">
        <v>66</v>
      </c>
      <c r="BN1810" s="76" t="s">
        <v>27597</v>
      </c>
      <c r="BO1810" s="82" t="str">
        <f>HYPERLINK("https://twitter.com/furtadoworld")</f>
        <v>https://twitter.com/furtadoworld</v>
      </c>
      <c r="BP1810" s="2"/>
    </row>
    <row r="1811" spans="1:68" x14ac:dyDescent="0.25">
      <c r="A1811" s="62" t="s">
        <v>1642</v>
      </c>
      <c r="B1811" s="63"/>
      <c r="C1811" s="63"/>
      <c r="D1811" s="64"/>
      <c r="E1811" s="66"/>
      <c r="F1811" s="103" t="str">
        <f>HYPERLINK("https://pbs.twimg.com/profile_images/1501239824828796929/a-2DsNkX_normal.jpg")</f>
        <v>https://pbs.twimg.com/profile_images/1501239824828796929/a-2DsNkX_normal.jpg</v>
      </c>
      <c r="G1811" s="63"/>
      <c r="H1811" s="67"/>
      <c r="I1811" s="68"/>
      <c r="J1811" s="68"/>
      <c r="K1811" s="67" t="s">
        <v>29405</v>
      </c>
      <c r="L1811" s="71"/>
      <c r="M1811" s="72"/>
      <c r="N1811" s="72"/>
      <c r="O1811" s="73"/>
      <c r="P1811" s="74"/>
      <c r="Q1811" s="74"/>
      <c r="R1811" s="87"/>
      <c r="S1811" s="87"/>
      <c r="T1811" s="87"/>
      <c r="U1811" s="87"/>
      <c r="V1811" s="48"/>
      <c r="W1811" s="48"/>
      <c r="X1811" s="48"/>
      <c r="Y1811" s="48"/>
      <c r="Z1811" s="47"/>
      <c r="AA1811" s="69">
        <v>1811</v>
      </c>
      <c r="AB1811" s="69"/>
      <c r="AC1811" s="70"/>
      <c r="AD1811" s="76" t="s">
        <v>23016</v>
      </c>
      <c r="AE1811" s="81" t="s">
        <v>21179</v>
      </c>
      <c r="AF1811" s="76">
        <v>54351</v>
      </c>
      <c r="AG1811" s="76">
        <v>245</v>
      </c>
      <c r="AH1811" s="76">
        <v>127501</v>
      </c>
      <c r="AI1811" s="76">
        <v>190</v>
      </c>
      <c r="AJ1811" s="76">
        <v>13</v>
      </c>
      <c r="AK1811" s="76">
        <v>111166</v>
      </c>
      <c r="AL1811" s="76" t="b">
        <v>0</v>
      </c>
      <c r="AM1811" s="78">
        <v>42858.967407407406</v>
      </c>
      <c r="AN1811" s="76" t="s">
        <v>24315</v>
      </c>
      <c r="AO1811" s="76" t="s">
        <v>26316</v>
      </c>
      <c r="AP1811" s="82" t="str">
        <f>HYPERLINK("https://t.co/4d20ZscOz5")</f>
        <v>https://t.co/4d20ZscOz5</v>
      </c>
      <c r="AQ1811" s="82" t="str">
        <f>HYPERLINK("http://www.elpais.hn")</f>
        <v>http://www.elpais.hn</v>
      </c>
      <c r="AR1811" s="76" t="s">
        <v>8888</v>
      </c>
      <c r="AS1811" s="76"/>
      <c r="AT1811" s="76"/>
      <c r="AU1811" s="76"/>
      <c r="AV1811" s="76">
        <v>1.7073223652967301E+18</v>
      </c>
      <c r="AW1811" s="82" t="str">
        <f>HYPERLINK("https://t.co/4d20ZscOz5")</f>
        <v>https://t.co/4d20ZscOz5</v>
      </c>
      <c r="AX1811" s="76" t="b">
        <v>0</v>
      </c>
      <c r="AY1811" s="76"/>
      <c r="AZ1811" s="76"/>
      <c r="BA1811" s="76" t="b">
        <v>0</v>
      </c>
      <c r="BB1811" s="76" t="b">
        <v>1</v>
      </c>
      <c r="BC1811" s="76" t="b">
        <v>0</v>
      </c>
      <c r="BD1811" s="76" t="b">
        <v>0</v>
      </c>
      <c r="BE1811" s="76" t="b">
        <v>1</v>
      </c>
      <c r="BF1811" s="76" t="b">
        <v>0</v>
      </c>
      <c r="BG1811" s="76" t="b">
        <v>0</v>
      </c>
      <c r="BH1811" s="82" t="str">
        <f>HYPERLINK("https://pbs.twimg.com/profile_banners/859908698843512832/1649697243")</f>
        <v>https://pbs.twimg.com/profile_banners/859908698843512832/1649697243</v>
      </c>
      <c r="BI1811" s="76"/>
      <c r="BJ1811" s="76" t="s">
        <v>27595</v>
      </c>
      <c r="BK1811" s="76" t="b">
        <v>0</v>
      </c>
      <c r="BL1811" s="76"/>
      <c r="BM1811" s="76" t="s">
        <v>66</v>
      </c>
      <c r="BN1811" s="76" t="s">
        <v>27597</v>
      </c>
      <c r="BO1811" s="82" t="str">
        <f>HYPERLINK("https://twitter.com/elpaishn")</f>
        <v>https://twitter.com/elpaishn</v>
      </c>
      <c r="BP1811" s="2"/>
    </row>
    <row r="1812" spans="1:68" x14ac:dyDescent="0.25">
      <c r="A1812" s="62" t="s">
        <v>1643</v>
      </c>
      <c r="B1812" s="63"/>
      <c r="C1812" s="63"/>
      <c r="D1812" s="64"/>
      <c r="E1812" s="66"/>
      <c r="F1812" s="103" t="str">
        <f>HYPERLINK("https://pbs.twimg.com/profile_images/1599416664562569217/DER6Jp_e_normal.jpg")</f>
        <v>https://pbs.twimg.com/profile_images/1599416664562569217/DER6Jp_e_normal.jpg</v>
      </c>
      <c r="G1812" s="63"/>
      <c r="H1812" s="67"/>
      <c r="I1812" s="68"/>
      <c r="J1812" s="68"/>
      <c r="K1812" s="67" t="s">
        <v>29406</v>
      </c>
      <c r="L1812" s="71"/>
      <c r="M1812" s="72"/>
      <c r="N1812" s="72"/>
      <c r="O1812" s="73"/>
      <c r="P1812" s="74"/>
      <c r="Q1812" s="74"/>
      <c r="R1812" s="87"/>
      <c r="S1812" s="87"/>
      <c r="T1812" s="87"/>
      <c r="U1812" s="87"/>
      <c r="V1812" s="48"/>
      <c r="W1812" s="48"/>
      <c r="X1812" s="48"/>
      <c r="Y1812" s="48"/>
      <c r="Z1812" s="47"/>
      <c r="AA1812" s="69">
        <v>1812</v>
      </c>
      <c r="AB1812" s="69"/>
      <c r="AC1812" s="70"/>
      <c r="AD1812" s="76" t="s">
        <v>23017</v>
      </c>
      <c r="AE1812" s="81" t="s">
        <v>20376</v>
      </c>
      <c r="AF1812" s="76">
        <v>40</v>
      </c>
      <c r="AG1812" s="76">
        <v>97</v>
      </c>
      <c r="AH1812" s="76">
        <v>476</v>
      </c>
      <c r="AI1812" s="76">
        <v>4</v>
      </c>
      <c r="AJ1812" s="76">
        <v>105</v>
      </c>
      <c r="AK1812" s="76">
        <v>21</v>
      </c>
      <c r="AL1812" s="76" t="b">
        <v>0</v>
      </c>
      <c r="AM1812" s="78">
        <v>42616.727303240739</v>
      </c>
      <c r="AN1812" s="76" t="s">
        <v>24690</v>
      </c>
      <c r="AO1812" s="76" t="s">
        <v>26317</v>
      </c>
      <c r="AP1812" s="82" t="str">
        <f>HYPERLINK("https://t.co/UgC2EcrB9A")</f>
        <v>https://t.co/UgC2EcrB9A</v>
      </c>
      <c r="AQ1812" s="82" t="str">
        <f>HYPERLINK("http://www.2ndmarket.com.br")</f>
        <v>http://www.2ndmarket.com.br</v>
      </c>
      <c r="AR1812" s="76" t="s">
        <v>27339</v>
      </c>
      <c r="AS1812" s="76"/>
      <c r="AT1812" s="76"/>
      <c r="AU1812" s="76"/>
      <c r="AV1812" s="76">
        <v>1.6331784385371899E+18</v>
      </c>
      <c r="AW1812" s="82" t="str">
        <f>HYPERLINK("https://t.co/UgC2EcrB9A")</f>
        <v>https://t.co/UgC2EcrB9A</v>
      </c>
      <c r="AX1812" s="76" t="b">
        <v>0</v>
      </c>
      <c r="AY1812" s="76"/>
      <c r="AZ1812" s="76"/>
      <c r="BA1812" s="76" t="b">
        <v>0</v>
      </c>
      <c r="BB1812" s="76" t="b">
        <v>1</v>
      </c>
      <c r="BC1812" s="76" t="b">
        <v>0</v>
      </c>
      <c r="BD1812" s="76" t="b">
        <v>0</v>
      </c>
      <c r="BE1812" s="76" t="b">
        <v>1</v>
      </c>
      <c r="BF1812" s="76" t="b">
        <v>0</v>
      </c>
      <c r="BG1812" s="76" t="b">
        <v>0</v>
      </c>
      <c r="BH1812" s="82" t="str">
        <f>HYPERLINK("https://pbs.twimg.com/profile_banners/772123822409543680/1677250933")</f>
        <v>https://pbs.twimg.com/profile_banners/772123822409543680/1677250933</v>
      </c>
      <c r="BI1812" s="76"/>
      <c r="BJ1812" s="76" t="s">
        <v>27595</v>
      </c>
      <c r="BK1812" s="76" t="b">
        <v>0</v>
      </c>
      <c r="BL1812" s="76"/>
      <c r="BM1812" s="76" t="s">
        <v>66</v>
      </c>
      <c r="BN1812" s="76" t="s">
        <v>27597</v>
      </c>
      <c r="BO1812" s="82" t="str">
        <f>HYPERLINK("https://twitter.com/caio_c_antonio")</f>
        <v>https://twitter.com/caio_c_antonio</v>
      </c>
      <c r="BP1812" s="2"/>
    </row>
    <row r="1813" spans="1:68" x14ac:dyDescent="0.25">
      <c r="A1813" s="62" t="s">
        <v>1644</v>
      </c>
      <c r="B1813" s="63"/>
      <c r="C1813" s="63"/>
      <c r="D1813" s="64"/>
      <c r="E1813" s="66"/>
      <c r="F1813" s="103" t="str">
        <f>HYPERLINK("https://pbs.twimg.com/profile_images/1656742461845172232/pEEz5cyl_normal.jpg")</f>
        <v>https://pbs.twimg.com/profile_images/1656742461845172232/pEEz5cyl_normal.jpg</v>
      </c>
      <c r="G1813" s="63"/>
      <c r="H1813" s="67"/>
      <c r="I1813" s="68"/>
      <c r="J1813" s="68"/>
      <c r="K1813" s="67" t="s">
        <v>29407</v>
      </c>
      <c r="L1813" s="71"/>
      <c r="M1813" s="72"/>
      <c r="N1813" s="72"/>
      <c r="O1813" s="73"/>
      <c r="P1813" s="74"/>
      <c r="Q1813" s="74"/>
      <c r="R1813" s="87"/>
      <c r="S1813" s="87"/>
      <c r="T1813" s="87"/>
      <c r="U1813" s="87"/>
      <c r="V1813" s="48"/>
      <c r="W1813" s="48"/>
      <c r="X1813" s="48"/>
      <c r="Y1813" s="48"/>
      <c r="Z1813" s="47"/>
      <c r="AA1813" s="69">
        <v>1813</v>
      </c>
      <c r="AB1813" s="69"/>
      <c r="AC1813" s="70"/>
      <c r="AD1813" s="76" t="s">
        <v>23018</v>
      </c>
      <c r="AE1813" s="81" t="s">
        <v>21180</v>
      </c>
      <c r="AF1813" s="76">
        <v>1551</v>
      </c>
      <c r="AG1813" s="76">
        <v>3846</v>
      </c>
      <c r="AH1813" s="76">
        <v>3079</v>
      </c>
      <c r="AI1813" s="76">
        <v>1</v>
      </c>
      <c r="AJ1813" s="76">
        <v>3161</v>
      </c>
      <c r="AK1813" s="76">
        <v>2066</v>
      </c>
      <c r="AL1813" s="76" t="b">
        <v>0</v>
      </c>
      <c r="AM1813" s="78">
        <v>42921.041458333333</v>
      </c>
      <c r="AN1813" s="76" t="s">
        <v>24691</v>
      </c>
      <c r="AO1813" s="76" t="s">
        <v>26318</v>
      </c>
      <c r="AP1813" s="82" t="str">
        <f>HYPERLINK("https://t.co/giBdd9vpdD")</f>
        <v>https://t.co/giBdd9vpdD</v>
      </c>
      <c r="AQ1813" s="82" t="str">
        <f>HYPERLINK("https://www.radiogargalhadafm.com.br/")</f>
        <v>https://www.radiogargalhadafm.com.br/</v>
      </c>
      <c r="AR1813" s="76" t="s">
        <v>27340</v>
      </c>
      <c r="AS1813" s="76"/>
      <c r="AT1813" s="76"/>
      <c r="AU1813" s="76"/>
      <c r="AV1813" s="76">
        <v>1.7073602279290601E+18</v>
      </c>
      <c r="AW1813" s="82" t="str">
        <f>HYPERLINK("https://t.co/giBdd9vpdD")</f>
        <v>https://t.co/giBdd9vpdD</v>
      </c>
      <c r="AX1813" s="76" t="b">
        <v>0</v>
      </c>
      <c r="AY1813" s="76"/>
      <c r="AZ1813" s="76"/>
      <c r="BA1813" s="76" t="b">
        <v>0</v>
      </c>
      <c r="BB1813" s="76" t="b">
        <v>1</v>
      </c>
      <c r="BC1813" s="76" t="b">
        <v>1</v>
      </c>
      <c r="BD1813" s="76" t="b">
        <v>0</v>
      </c>
      <c r="BE1813" s="76" t="b">
        <v>0</v>
      </c>
      <c r="BF1813" s="76" t="b">
        <v>0</v>
      </c>
      <c r="BG1813" s="76" t="b">
        <v>0</v>
      </c>
      <c r="BH1813" s="82" t="str">
        <f>HYPERLINK("https://pbs.twimg.com/profile_banners/882403578257842176/1686699182")</f>
        <v>https://pbs.twimg.com/profile_banners/882403578257842176/1686699182</v>
      </c>
      <c r="BI1813" s="76"/>
      <c r="BJ1813" s="76" t="s">
        <v>27595</v>
      </c>
      <c r="BK1813" s="76" t="b">
        <v>0</v>
      </c>
      <c r="BL1813" s="76"/>
      <c r="BM1813" s="76" t="s">
        <v>66</v>
      </c>
      <c r="BN1813" s="76" t="s">
        <v>27597</v>
      </c>
      <c r="BO1813" s="82" t="str">
        <f>HYPERLINK("https://twitter.com/allan69silveira")</f>
        <v>https://twitter.com/allan69silveira</v>
      </c>
      <c r="BP1813" s="2"/>
    </row>
    <row r="1814" spans="1:68" x14ac:dyDescent="0.25">
      <c r="A1814" s="62" t="s">
        <v>1645</v>
      </c>
      <c r="B1814" s="63"/>
      <c r="C1814" s="63"/>
      <c r="D1814" s="64"/>
      <c r="E1814" s="66"/>
      <c r="F1814" s="103" t="str">
        <f>HYPERLINK("https://pbs.twimg.com/profile_images/641767413655175168/z4Hiqa6Q_normal.jpg")</f>
        <v>https://pbs.twimg.com/profile_images/641767413655175168/z4Hiqa6Q_normal.jpg</v>
      </c>
      <c r="G1814" s="63"/>
      <c r="H1814" s="67"/>
      <c r="I1814" s="68"/>
      <c r="J1814" s="68"/>
      <c r="K1814" s="67" t="s">
        <v>29408</v>
      </c>
      <c r="L1814" s="71"/>
      <c r="M1814" s="72"/>
      <c r="N1814" s="72"/>
      <c r="O1814" s="73"/>
      <c r="P1814" s="74"/>
      <c r="Q1814" s="74"/>
      <c r="R1814" s="87"/>
      <c r="S1814" s="87"/>
      <c r="T1814" s="87"/>
      <c r="U1814" s="87"/>
      <c r="V1814" s="48"/>
      <c r="W1814" s="48"/>
      <c r="X1814" s="48"/>
      <c r="Y1814" s="48"/>
      <c r="Z1814" s="47"/>
      <c r="AA1814" s="69">
        <v>1814</v>
      </c>
      <c r="AB1814" s="69"/>
      <c r="AC1814" s="70"/>
      <c r="AD1814" s="76" t="s">
        <v>23019</v>
      </c>
      <c r="AE1814" s="81" t="s">
        <v>24022</v>
      </c>
      <c r="AF1814" s="76">
        <v>17</v>
      </c>
      <c r="AG1814" s="76">
        <v>59</v>
      </c>
      <c r="AH1814" s="76">
        <v>275</v>
      </c>
      <c r="AI1814" s="76">
        <v>0</v>
      </c>
      <c r="AJ1814" s="76">
        <v>91</v>
      </c>
      <c r="AK1814" s="76">
        <v>30</v>
      </c>
      <c r="AL1814" s="76" t="b">
        <v>0</v>
      </c>
      <c r="AM1814" s="78">
        <v>41157.109097222223</v>
      </c>
      <c r="AN1814" s="76"/>
      <c r="AO1814" s="76"/>
      <c r="AP1814" s="76"/>
      <c r="AQ1814" s="76"/>
      <c r="AR1814" s="76"/>
      <c r="AS1814" s="76"/>
      <c r="AT1814" s="76"/>
      <c r="AU1814" s="76"/>
      <c r="AV1814" s="76"/>
      <c r="AW1814" s="76"/>
      <c r="AX1814" s="76" t="b">
        <v>0</v>
      </c>
      <c r="AY1814" s="76"/>
      <c r="AZ1814" s="76"/>
      <c r="BA1814" s="76" t="b">
        <v>0</v>
      </c>
      <c r="BB1814" s="76" t="b">
        <v>1</v>
      </c>
      <c r="BC1814" s="76" t="b">
        <v>1</v>
      </c>
      <c r="BD1814" s="76" t="b">
        <v>0</v>
      </c>
      <c r="BE1814" s="76" t="b">
        <v>0</v>
      </c>
      <c r="BF1814" s="76" t="b">
        <v>0</v>
      </c>
      <c r="BG1814" s="76" t="b">
        <v>0</v>
      </c>
      <c r="BH1814" s="76"/>
      <c r="BI1814" s="76"/>
      <c r="BJ1814" s="76" t="s">
        <v>27595</v>
      </c>
      <c r="BK1814" s="76" t="b">
        <v>0</v>
      </c>
      <c r="BL1814" s="76"/>
      <c r="BM1814" s="76" t="s">
        <v>66</v>
      </c>
      <c r="BN1814" s="76" t="s">
        <v>27597</v>
      </c>
      <c r="BO1814" s="82" t="str">
        <f>HYPERLINK("https://twitter.com/mdq2014")</f>
        <v>https://twitter.com/mdq2014</v>
      </c>
      <c r="BP1814" s="2"/>
    </row>
    <row r="1815" spans="1:68" x14ac:dyDescent="0.25">
      <c r="A1815" s="62" t="s">
        <v>1646</v>
      </c>
      <c r="B1815" s="63"/>
      <c r="C1815" s="63"/>
      <c r="D1815" s="64"/>
      <c r="E1815" s="66"/>
      <c r="F1815" s="103" t="str">
        <f>HYPERLINK("https://pbs.twimg.com/profile_images/1602295509196079114/xniCmtFe_normal.jpg")</f>
        <v>https://pbs.twimg.com/profile_images/1602295509196079114/xniCmtFe_normal.jpg</v>
      </c>
      <c r="G1815" s="63"/>
      <c r="H1815" s="67"/>
      <c r="I1815" s="68"/>
      <c r="J1815" s="68"/>
      <c r="K1815" s="67" t="s">
        <v>29409</v>
      </c>
      <c r="L1815" s="71"/>
      <c r="M1815" s="72"/>
      <c r="N1815" s="72"/>
      <c r="O1815" s="73"/>
      <c r="P1815" s="74"/>
      <c r="Q1815" s="74"/>
      <c r="R1815" s="87"/>
      <c r="S1815" s="87"/>
      <c r="T1815" s="87"/>
      <c r="U1815" s="87"/>
      <c r="V1815" s="48"/>
      <c r="W1815" s="48"/>
      <c r="X1815" s="48"/>
      <c r="Y1815" s="48"/>
      <c r="Z1815" s="47"/>
      <c r="AA1815" s="69">
        <v>1815</v>
      </c>
      <c r="AB1815" s="69"/>
      <c r="AC1815" s="70"/>
      <c r="AD1815" s="76" t="s">
        <v>23020</v>
      </c>
      <c r="AE1815" s="81" t="s">
        <v>24023</v>
      </c>
      <c r="AF1815" s="76">
        <v>32820</v>
      </c>
      <c r="AG1815" s="76">
        <v>317</v>
      </c>
      <c r="AH1815" s="76">
        <v>24085</v>
      </c>
      <c r="AI1815" s="76">
        <v>71</v>
      </c>
      <c r="AJ1815" s="76">
        <v>919</v>
      </c>
      <c r="AK1815" s="76">
        <v>1104</v>
      </c>
      <c r="AL1815" s="76" t="b">
        <v>0</v>
      </c>
      <c r="AM1815" s="78">
        <v>40330.599444444444</v>
      </c>
      <c r="AN1815" s="76" t="s">
        <v>24085</v>
      </c>
      <c r="AO1815" s="76" t="s">
        <v>26319</v>
      </c>
      <c r="AP1815" s="82" t="str">
        <f>HYPERLINK("https://t.co/M1rzDjO2rD")</f>
        <v>https://t.co/M1rzDjO2rD</v>
      </c>
      <c r="AQ1815" s="82" t="str">
        <f>HYPERLINK("https://www.elnueve.com/")</f>
        <v>https://www.elnueve.com/</v>
      </c>
      <c r="AR1815" s="76" t="s">
        <v>27341</v>
      </c>
      <c r="AS1815" s="76"/>
      <c r="AT1815" s="76"/>
      <c r="AU1815" s="76"/>
      <c r="AV1815" s="76"/>
      <c r="AW1815" s="82" t="str">
        <f>HYPERLINK("https://t.co/M1rzDjO2rD")</f>
        <v>https://t.co/M1rzDjO2rD</v>
      </c>
      <c r="AX1815" s="76" t="b">
        <v>0</v>
      </c>
      <c r="AY1815" s="76"/>
      <c r="AZ1815" s="76"/>
      <c r="BA1815" s="76" t="b">
        <v>1</v>
      </c>
      <c r="BB1815" s="76" t="b">
        <v>1</v>
      </c>
      <c r="BC1815" s="76" t="b">
        <v>0</v>
      </c>
      <c r="BD1815" s="76" t="b">
        <v>0</v>
      </c>
      <c r="BE1815" s="76" t="b">
        <v>0</v>
      </c>
      <c r="BF1815" s="76" t="b">
        <v>0</v>
      </c>
      <c r="BG1815" s="76" t="b">
        <v>0</v>
      </c>
      <c r="BH1815" s="82" t="str">
        <f>HYPERLINK("https://pbs.twimg.com/profile_banners/150667895/1670851995")</f>
        <v>https://pbs.twimg.com/profile_banners/150667895/1670851995</v>
      </c>
      <c r="BI1815" s="76"/>
      <c r="BJ1815" s="76" t="s">
        <v>27595</v>
      </c>
      <c r="BK1815" s="76" t="b">
        <v>0</v>
      </c>
      <c r="BL1815" s="76"/>
      <c r="BM1815" s="76" t="s">
        <v>66</v>
      </c>
      <c r="BN1815" s="76" t="s">
        <v>27597</v>
      </c>
      <c r="BO1815" s="82" t="str">
        <f>HYPERLINK("https://twitter.com/noticieronueve")</f>
        <v>https://twitter.com/noticieronueve</v>
      </c>
      <c r="BP1815" s="2"/>
    </row>
    <row r="1816" spans="1:68" x14ac:dyDescent="0.25">
      <c r="A1816" s="62" t="s">
        <v>1647</v>
      </c>
      <c r="B1816" s="63"/>
      <c r="C1816" s="63"/>
      <c r="D1816" s="64"/>
      <c r="E1816" s="66"/>
      <c r="F1816" s="103" t="str">
        <f>HYPERLINK("https://pbs.twimg.com/profile_images/1488714197462564869/xrWJ7Gbl_normal.jpg")</f>
        <v>https://pbs.twimg.com/profile_images/1488714197462564869/xrWJ7Gbl_normal.jpg</v>
      </c>
      <c r="G1816" s="63"/>
      <c r="H1816" s="67"/>
      <c r="I1816" s="68"/>
      <c r="J1816" s="68"/>
      <c r="K1816" s="67" t="s">
        <v>29410</v>
      </c>
      <c r="L1816" s="71"/>
      <c r="M1816" s="72"/>
      <c r="N1816" s="72"/>
      <c r="O1816" s="73"/>
      <c r="P1816" s="74"/>
      <c r="Q1816" s="74"/>
      <c r="R1816" s="87"/>
      <c r="S1816" s="87"/>
      <c r="T1816" s="87"/>
      <c r="U1816" s="87"/>
      <c r="V1816" s="48"/>
      <c r="W1816" s="48"/>
      <c r="X1816" s="48"/>
      <c r="Y1816" s="48"/>
      <c r="Z1816" s="47"/>
      <c r="AA1816" s="69">
        <v>1816</v>
      </c>
      <c r="AB1816" s="69"/>
      <c r="AC1816" s="70"/>
      <c r="AD1816" s="76" t="s">
        <v>23021</v>
      </c>
      <c r="AE1816" s="81" t="s">
        <v>21181</v>
      </c>
      <c r="AF1816" s="76">
        <v>125</v>
      </c>
      <c r="AG1816" s="76">
        <v>336</v>
      </c>
      <c r="AH1816" s="76">
        <v>2897</v>
      </c>
      <c r="AI1816" s="76">
        <v>0</v>
      </c>
      <c r="AJ1816" s="76">
        <v>124</v>
      </c>
      <c r="AK1816" s="76">
        <v>310</v>
      </c>
      <c r="AL1816" s="76" t="b">
        <v>0</v>
      </c>
      <c r="AM1816" s="78">
        <v>43123.753449074073</v>
      </c>
      <c r="AN1816" s="76" t="s">
        <v>24692</v>
      </c>
      <c r="AO1816" s="76" t="s">
        <v>26320</v>
      </c>
      <c r="AP1816" s="82" t="str">
        <f>HYPERLINK("https://t.co/Py738Mp18B")</f>
        <v>https://t.co/Py738Mp18B</v>
      </c>
      <c r="AQ1816" s="82" t="str">
        <f>HYPERLINK("https://giranoticias.com.br/")</f>
        <v>https://giranoticias.com.br/</v>
      </c>
      <c r="AR1816" s="76" t="s">
        <v>27342</v>
      </c>
      <c r="AS1816" s="76"/>
      <c r="AT1816" s="76"/>
      <c r="AU1816" s="76"/>
      <c r="AV1816" s="76">
        <v>1.5040974634892401E+18</v>
      </c>
      <c r="AW1816" s="82" t="str">
        <f>HYPERLINK("https://t.co/Py738Mp18B")</f>
        <v>https://t.co/Py738Mp18B</v>
      </c>
      <c r="AX1816" s="76" t="b">
        <v>0</v>
      </c>
      <c r="AY1816" s="76"/>
      <c r="AZ1816" s="76"/>
      <c r="BA1816" s="76" t="b">
        <v>0</v>
      </c>
      <c r="BB1816" s="76" t="b">
        <v>1</v>
      </c>
      <c r="BC1816" s="76" t="b">
        <v>0</v>
      </c>
      <c r="BD1816" s="76" t="b">
        <v>0</v>
      </c>
      <c r="BE1816" s="76" t="b">
        <v>1</v>
      </c>
      <c r="BF1816" s="76" t="b">
        <v>0</v>
      </c>
      <c r="BG1816" s="76" t="b">
        <v>0</v>
      </c>
      <c r="BH1816" s="82" t="str">
        <f>HYPERLINK("https://pbs.twimg.com/profile_banners/955863946086486017/1643772127")</f>
        <v>https://pbs.twimg.com/profile_banners/955863946086486017/1643772127</v>
      </c>
      <c r="BI1816" s="76"/>
      <c r="BJ1816" s="76" t="s">
        <v>27595</v>
      </c>
      <c r="BK1816" s="76" t="b">
        <v>0</v>
      </c>
      <c r="BL1816" s="76"/>
      <c r="BM1816" s="76" t="s">
        <v>66</v>
      </c>
      <c r="BN1816" s="76" t="s">
        <v>27597</v>
      </c>
      <c r="BO1816" s="82" t="str">
        <f>HYPERLINK("https://twitter.com/giranoticias")</f>
        <v>https://twitter.com/giranoticias</v>
      </c>
      <c r="BP1816" s="2"/>
    </row>
    <row r="1817" spans="1:68" x14ac:dyDescent="0.25">
      <c r="A1817" s="62" t="s">
        <v>1648</v>
      </c>
      <c r="B1817" s="63"/>
      <c r="C1817" s="63"/>
      <c r="D1817" s="64"/>
      <c r="E1817" s="66"/>
      <c r="F1817" s="103" t="str">
        <f>HYPERLINK("https://abs.twimg.com/sticky/default_profile_images/default_profile_normal.png")</f>
        <v>https://abs.twimg.com/sticky/default_profile_images/default_profile_normal.png</v>
      </c>
      <c r="G1817" s="63"/>
      <c r="H1817" s="67"/>
      <c r="I1817" s="68"/>
      <c r="J1817" s="68"/>
      <c r="K1817" s="67" t="s">
        <v>29411</v>
      </c>
      <c r="L1817" s="71"/>
      <c r="M1817" s="72"/>
      <c r="N1817" s="72"/>
      <c r="O1817" s="73"/>
      <c r="P1817" s="74"/>
      <c r="Q1817" s="74"/>
      <c r="R1817" s="87"/>
      <c r="S1817" s="87"/>
      <c r="T1817" s="87"/>
      <c r="U1817" s="87"/>
      <c r="V1817" s="48"/>
      <c r="W1817" s="48"/>
      <c r="X1817" s="48"/>
      <c r="Y1817" s="48"/>
      <c r="Z1817" s="47"/>
      <c r="AA1817" s="69">
        <v>1817</v>
      </c>
      <c r="AB1817" s="69"/>
      <c r="AC1817" s="70"/>
      <c r="AD1817" s="76" t="s">
        <v>23022</v>
      </c>
      <c r="AE1817" s="81" t="s">
        <v>21182</v>
      </c>
      <c r="AF1817" s="76">
        <v>65</v>
      </c>
      <c r="AG1817" s="76">
        <v>644</v>
      </c>
      <c r="AH1817" s="76">
        <v>16734</v>
      </c>
      <c r="AI1817" s="76">
        <v>1</v>
      </c>
      <c r="AJ1817" s="76">
        <v>158100</v>
      </c>
      <c r="AK1817" s="76">
        <v>0</v>
      </c>
      <c r="AL1817" s="76" t="b">
        <v>0</v>
      </c>
      <c r="AM1817" s="78">
        <v>43949.475590277776</v>
      </c>
      <c r="AN1817" s="76"/>
      <c r="AO1817" s="76"/>
      <c r="AP1817" s="76"/>
      <c r="AQ1817" s="76"/>
      <c r="AR1817" s="76"/>
      <c r="AS1817" s="76"/>
      <c r="AT1817" s="76"/>
      <c r="AU1817" s="76"/>
      <c r="AV1817" s="76"/>
      <c r="AW1817" s="76"/>
      <c r="AX1817" s="76" t="b">
        <v>0</v>
      </c>
      <c r="AY1817" s="76"/>
      <c r="AZ1817" s="76"/>
      <c r="BA1817" s="76" t="b">
        <v>0</v>
      </c>
      <c r="BB1817" s="76" t="b">
        <v>1</v>
      </c>
      <c r="BC1817" s="76" t="b">
        <v>1</v>
      </c>
      <c r="BD1817" s="76" t="b">
        <v>1</v>
      </c>
      <c r="BE1817" s="76" t="b">
        <v>1</v>
      </c>
      <c r="BF1817" s="76" t="b">
        <v>0</v>
      </c>
      <c r="BG1817" s="76" t="b">
        <v>0</v>
      </c>
      <c r="BH1817" s="76"/>
      <c r="BI1817" s="76"/>
      <c r="BJ1817" s="76" t="s">
        <v>27595</v>
      </c>
      <c r="BK1817" s="76" t="b">
        <v>0</v>
      </c>
      <c r="BL1817" s="76"/>
      <c r="BM1817" s="76" t="s">
        <v>66</v>
      </c>
      <c r="BN1817" s="76" t="s">
        <v>27597</v>
      </c>
      <c r="BO1817" s="82" t="str">
        <f>HYPERLINK("https://twitter.com/marilen21183970")</f>
        <v>https://twitter.com/marilen21183970</v>
      </c>
      <c r="BP1817" s="2"/>
    </row>
    <row r="1818" spans="1:68" x14ac:dyDescent="0.25">
      <c r="A1818" s="62" t="s">
        <v>1649</v>
      </c>
      <c r="B1818" s="63"/>
      <c r="C1818" s="63"/>
      <c r="D1818" s="64"/>
      <c r="E1818" s="66"/>
      <c r="F1818" s="103" t="str">
        <f>HYPERLINK("https://pbs.twimg.com/profile_images/1429826993084850177/rMqmhn-g_normal.jpg")</f>
        <v>https://pbs.twimg.com/profile_images/1429826993084850177/rMqmhn-g_normal.jpg</v>
      </c>
      <c r="G1818" s="63"/>
      <c r="H1818" s="67"/>
      <c r="I1818" s="68"/>
      <c r="J1818" s="68"/>
      <c r="K1818" s="67" t="s">
        <v>29412</v>
      </c>
      <c r="L1818" s="71"/>
      <c r="M1818" s="72"/>
      <c r="N1818" s="72"/>
      <c r="O1818" s="73"/>
      <c r="P1818" s="74"/>
      <c r="Q1818" s="74"/>
      <c r="R1818" s="87"/>
      <c r="S1818" s="87"/>
      <c r="T1818" s="87"/>
      <c r="U1818" s="87"/>
      <c r="V1818" s="48"/>
      <c r="W1818" s="48"/>
      <c r="X1818" s="48"/>
      <c r="Y1818" s="48"/>
      <c r="Z1818" s="47"/>
      <c r="AA1818" s="69">
        <v>1818</v>
      </c>
      <c r="AB1818" s="69"/>
      <c r="AC1818" s="70"/>
      <c r="AD1818" s="76" t="s">
        <v>1649</v>
      </c>
      <c r="AE1818" s="81" t="s">
        <v>21183</v>
      </c>
      <c r="AF1818" s="76">
        <v>2229</v>
      </c>
      <c r="AG1818" s="76">
        <v>88</v>
      </c>
      <c r="AH1818" s="76">
        <v>18765</v>
      </c>
      <c r="AI1818" s="76">
        <v>10</v>
      </c>
      <c r="AJ1818" s="76">
        <v>104</v>
      </c>
      <c r="AK1818" s="76">
        <v>3754</v>
      </c>
      <c r="AL1818" s="76" t="b">
        <v>0</v>
      </c>
      <c r="AM1818" s="78">
        <v>44323.952199074076</v>
      </c>
      <c r="AN1818" s="76"/>
      <c r="AO1818" s="76" t="s">
        <v>26321</v>
      </c>
      <c r="AP1818" s="76"/>
      <c r="AQ1818" s="76"/>
      <c r="AR1818" s="76"/>
      <c r="AS1818" s="76" t="s">
        <v>27406</v>
      </c>
      <c r="AT1818" s="76" t="s">
        <v>27445</v>
      </c>
      <c r="AU1818" s="76" t="s">
        <v>27590</v>
      </c>
      <c r="AV1818" s="76">
        <v>1.6769585477778401E+18</v>
      </c>
      <c r="AW1818" s="76"/>
      <c r="AX1818" s="76" t="b">
        <v>0</v>
      </c>
      <c r="AY1818" s="76"/>
      <c r="AZ1818" s="76"/>
      <c r="BA1818" s="76" t="b">
        <v>0</v>
      </c>
      <c r="BB1818" s="76" t="b">
        <v>1</v>
      </c>
      <c r="BC1818" s="76" t="b">
        <v>1</v>
      </c>
      <c r="BD1818" s="76" t="b">
        <v>0</v>
      </c>
      <c r="BE1818" s="76" t="b">
        <v>0</v>
      </c>
      <c r="BF1818" s="76" t="b">
        <v>0</v>
      </c>
      <c r="BG1818" s="76" t="b">
        <v>0</v>
      </c>
      <c r="BH1818" s="82" t="str">
        <f>HYPERLINK("https://pbs.twimg.com/profile_banners/1390801351391825924/1673010805")</f>
        <v>https://pbs.twimg.com/profile_banners/1390801351391825924/1673010805</v>
      </c>
      <c r="BI1818" s="76"/>
      <c r="BJ1818" s="76" t="s">
        <v>27595</v>
      </c>
      <c r="BK1818" s="76" t="b">
        <v>0</v>
      </c>
      <c r="BL1818" s="76"/>
      <c r="BM1818" s="76" t="s">
        <v>66</v>
      </c>
      <c r="BN1818" s="76" t="s">
        <v>27597</v>
      </c>
      <c r="BO1818" s="82" t="str">
        <f>HYPERLINK("https://twitter.com/diariousach")</f>
        <v>https://twitter.com/diariousach</v>
      </c>
      <c r="BP1818" s="2"/>
    </row>
    <row r="1819" spans="1:68" x14ac:dyDescent="0.25">
      <c r="A1819" s="62" t="s">
        <v>1652</v>
      </c>
      <c r="B1819" s="63"/>
      <c r="C1819" s="63"/>
      <c r="D1819" s="64"/>
      <c r="E1819" s="66"/>
      <c r="F1819" s="103" t="str">
        <f>HYPERLINK("https://pbs.twimg.com/profile_images/1630758215896924161/WIv_Gkaa_normal.jpg")</f>
        <v>https://pbs.twimg.com/profile_images/1630758215896924161/WIv_Gkaa_normal.jpg</v>
      </c>
      <c r="G1819" s="63"/>
      <c r="H1819" s="67"/>
      <c r="I1819" s="68"/>
      <c r="J1819" s="68"/>
      <c r="K1819" s="67" t="s">
        <v>29413</v>
      </c>
      <c r="L1819" s="71"/>
      <c r="M1819" s="72"/>
      <c r="N1819" s="72"/>
      <c r="O1819" s="73"/>
      <c r="P1819" s="74"/>
      <c r="Q1819" s="74"/>
      <c r="R1819" s="87"/>
      <c r="S1819" s="87"/>
      <c r="T1819" s="87"/>
      <c r="U1819" s="87"/>
      <c r="V1819" s="48"/>
      <c r="W1819" s="48"/>
      <c r="X1819" s="48"/>
      <c r="Y1819" s="48"/>
      <c r="Z1819" s="47"/>
      <c r="AA1819" s="69">
        <v>1819</v>
      </c>
      <c r="AB1819" s="69"/>
      <c r="AC1819" s="70"/>
      <c r="AD1819" s="76" t="s">
        <v>23023</v>
      </c>
      <c r="AE1819" s="81" t="s">
        <v>24024</v>
      </c>
      <c r="AF1819" s="76">
        <v>721</v>
      </c>
      <c r="AG1819" s="76">
        <v>448</v>
      </c>
      <c r="AH1819" s="76">
        <v>1612</v>
      </c>
      <c r="AI1819" s="76">
        <v>4</v>
      </c>
      <c r="AJ1819" s="76">
        <v>109</v>
      </c>
      <c r="AK1819" s="76">
        <v>754</v>
      </c>
      <c r="AL1819" s="76" t="b">
        <v>0</v>
      </c>
      <c r="AM1819" s="78">
        <v>41328.568194444444</v>
      </c>
      <c r="AN1819" s="76" t="s">
        <v>24100</v>
      </c>
      <c r="AO1819" s="76" t="s">
        <v>26322</v>
      </c>
      <c r="AP1819" s="82" t="str">
        <f>HYPERLINK("https://t.co/bUlf21nWBR")</f>
        <v>https://t.co/bUlf21nWBR</v>
      </c>
      <c r="AQ1819" s="82" t="str">
        <f>HYPERLINK("http://www.laredrosario.com")</f>
        <v>http://www.laredrosario.com</v>
      </c>
      <c r="AR1819" s="76" t="s">
        <v>27343</v>
      </c>
      <c r="AS1819" s="82" t="str">
        <f>HYPERLINK("https://t.co/bUlf21nWBR")</f>
        <v>https://t.co/bUlf21nWBR</v>
      </c>
      <c r="AT1819" s="82" t="str">
        <f>HYPERLINK("http://www.laredrosario.com")</f>
        <v>http://www.laredrosario.com</v>
      </c>
      <c r="AU1819" s="76" t="s">
        <v>27343</v>
      </c>
      <c r="AV1819" s="76"/>
      <c r="AW1819" s="82" t="str">
        <f>HYPERLINK("https://t.co/bUlf21nWBR")</f>
        <v>https://t.co/bUlf21nWBR</v>
      </c>
      <c r="AX1819" s="76" t="b">
        <v>0</v>
      </c>
      <c r="AY1819" s="76"/>
      <c r="AZ1819" s="76"/>
      <c r="BA1819" s="76" t="b">
        <v>0</v>
      </c>
      <c r="BB1819" s="76" t="b">
        <v>1</v>
      </c>
      <c r="BC1819" s="76" t="b">
        <v>0</v>
      </c>
      <c r="BD1819" s="76" t="b">
        <v>0</v>
      </c>
      <c r="BE1819" s="76" t="b">
        <v>1</v>
      </c>
      <c r="BF1819" s="76" t="b">
        <v>0</v>
      </c>
      <c r="BG1819" s="76" t="b">
        <v>0</v>
      </c>
      <c r="BH1819" s="82" t="str">
        <f>HYPERLINK("https://pbs.twimg.com/profile_banners/1212012450/1677638031")</f>
        <v>https://pbs.twimg.com/profile_banners/1212012450/1677638031</v>
      </c>
      <c r="BI1819" s="76"/>
      <c r="BJ1819" s="76" t="s">
        <v>27595</v>
      </c>
      <c r="BK1819" s="76" t="b">
        <v>0</v>
      </c>
      <c r="BL1819" s="76"/>
      <c r="BM1819" s="76" t="s">
        <v>66</v>
      </c>
      <c r="BN1819" s="76" t="s">
        <v>27597</v>
      </c>
      <c r="BO1819" s="82" t="str">
        <f>HYPERLINK("https://twitter.com/losnotablelared")</f>
        <v>https://twitter.com/losnotablelared</v>
      </c>
      <c r="BP1819" s="2"/>
    </row>
    <row r="1820" spans="1:68" x14ac:dyDescent="0.25">
      <c r="A1820" s="62" t="s">
        <v>1653</v>
      </c>
      <c r="B1820" s="63"/>
      <c r="C1820" s="63"/>
      <c r="D1820" s="64"/>
      <c r="E1820" s="66"/>
      <c r="F1820" s="103" t="str">
        <f>HYPERLINK("https://pbs.twimg.com/profile_images/1589142248238850048/6DTCrk3f_normal.jpg")</f>
        <v>https://pbs.twimg.com/profile_images/1589142248238850048/6DTCrk3f_normal.jpg</v>
      </c>
      <c r="G1820" s="63"/>
      <c r="H1820" s="67"/>
      <c r="I1820" s="68"/>
      <c r="J1820" s="68"/>
      <c r="K1820" s="67" t="s">
        <v>29414</v>
      </c>
      <c r="L1820" s="71"/>
      <c r="M1820" s="72"/>
      <c r="N1820" s="72"/>
      <c r="O1820" s="73"/>
      <c r="P1820" s="74"/>
      <c r="Q1820" s="74"/>
      <c r="R1820" s="87"/>
      <c r="S1820" s="87"/>
      <c r="T1820" s="87"/>
      <c r="U1820" s="87"/>
      <c r="V1820" s="48"/>
      <c r="W1820" s="48"/>
      <c r="X1820" s="48"/>
      <c r="Y1820" s="48"/>
      <c r="Z1820" s="47"/>
      <c r="AA1820" s="69">
        <v>1820</v>
      </c>
      <c r="AB1820" s="69"/>
      <c r="AC1820" s="70"/>
      <c r="AD1820" s="76" t="s">
        <v>23024</v>
      </c>
      <c r="AE1820" s="81" t="s">
        <v>24025</v>
      </c>
      <c r="AF1820" s="76">
        <v>34698</v>
      </c>
      <c r="AG1820" s="76">
        <v>4861</v>
      </c>
      <c r="AH1820" s="76">
        <v>72455</v>
      </c>
      <c r="AI1820" s="76">
        <v>114</v>
      </c>
      <c r="AJ1820" s="76">
        <v>632</v>
      </c>
      <c r="AK1820" s="76">
        <v>33055</v>
      </c>
      <c r="AL1820" s="76" t="b">
        <v>0</v>
      </c>
      <c r="AM1820" s="78">
        <v>41047.792337962965</v>
      </c>
      <c r="AN1820" s="76" t="s">
        <v>24693</v>
      </c>
      <c r="AO1820" s="76" t="s">
        <v>26323</v>
      </c>
      <c r="AP1820" s="82" t="str">
        <f>HYPERLINK("https://t.co/kulA6BU70T")</f>
        <v>https://t.co/kulA6BU70T</v>
      </c>
      <c r="AQ1820" s="82" t="str">
        <f>HYPERLINK("http://www.temucodiario.cl")</f>
        <v>http://www.temucodiario.cl</v>
      </c>
      <c r="AR1820" s="76" t="s">
        <v>8890</v>
      </c>
      <c r="AS1820" s="82" t="str">
        <f>HYPERLINK("https://t.co/tJIb6fnEu6")</f>
        <v>https://t.co/tJIb6fnEu6</v>
      </c>
      <c r="AT1820" s="82" t="str">
        <f>HYPERLINK("http://facebook.com/temucodiario.c")</f>
        <v>http://facebook.com/temucodiario.c</v>
      </c>
      <c r="AU1820" s="76" t="s">
        <v>27591</v>
      </c>
      <c r="AV1820" s="76"/>
      <c r="AW1820" s="82" t="str">
        <f>HYPERLINK("https://t.co/kulA6BU70T")</f>
        <v>https://t.co/kulA6BU70T</v>
      </c>
      <c r="AX1820" s="76" t="b">
        <v>0</v>
      </c>
      <c r="AY1820" s="76"/>
      <c r="AZ1820" s="76"/>
      <c r="BA1820" s="76" t="b">
        <v>0</v>
      </c>
      <c r="BB1820" s="76" t="b">
        <v>1</v>
      </c>
      <c r="BC1820" s="76" t="b">
        <v>0</v>
      </c>
      <c r="BD1820" s="76" t="b">
        <v>0</v>
      </c>
      <c r="BE1820" s="76" t="b">
        <v>1</v>
      </c>
      <c r="BF1820" s="76" t="b">
        <v>0</v>
      </c>
      <c r="BG1820" s="76" t="b">
        <v>0</v>
      </c>
      <c r="BH1820" s="82" t="str">
        <f>HYPERLINK("https://pbs.twimg.com/profile_banners/584069537/1681191662")</f>
        <v>https://pbs.twimg.com/profile_banners/584069537/1681191662</v>
      </c>
      <c r="BI1820" s="76"/>
      <c r="BJ1820" s="76" t="s">
        <v>27595</v>
      </c>
      <c r="BK1820" s="76" t="b">
        <v>0</v>
      </c>
      <c r="BL1820" s="76"/>
      <c r="BM1820" s="76" t="s">
        <v>66</v>
      </c>
      <c r="BN1820" s="76" t="s">
        <v>27597</v>
      </c>
      <c r="BO1820" s="82" t="str">
        <f>HYPERLINK("https://twitter.com/temucodiario")</f>
        <v>https://twitter.com/temucodiario</v>
      </c>
      <c r="BP1820" s="2"/>
    </row>
    <row r="1821" spans="1:68" x14ac:dyDescent="0.25">
      <c r="A1821" s="62" t="s">
        <v>1654</v>
      </c>
      <c r="B1821" s="63"/>
      <c r="C1821" s="63"/>
      <c r="D1821" s="64"/>
      <c r="E1821" s="66"/>
      <c r="F1821" s="103" t="str">
        <f>HYPERLINK("https://pbs.twimg.com/profile_images/1703461645194756096/5gttMUFX_normal.jpg")</f>
        <v>https://pbs.twimg.com/profile_images/1703461645194756096/5gttMUFX_normal.jpg</v>
      </c>
      <c r="G1821" s="63"/>
      <c r="H1821" s="67"/>
      <c r="I1821" s="68"/>
      <c r="J1821" s="68"/>
      <c r="K1821" s="67" t="s">
        <v>29415</v>
      </c>
      <c r="L1821" s="71"/>
      <c r="M1821" s="72"/>
      <c r="N1821" s="72"/>
      <c r="O1821" s="73"/>
      <c r="P1821" s="74"/>
      <c r="Q1821" s="74"/>
      <c r="R1821" s="87"/>
      <c r="S1821" s="87"/>
      <c r="T1821" s="87"/>
      <c r="U1821" s="87"/>
      <c r="V1821" s="48"/>
      <c r="W1821" s="48"/>
      <c r="X1821" s="48"/>
      <c r="Y1821" s="48"/>
      <c r="Z1821" s="47"/>
      <c r="AA1821" s="69">
        <v>1821</v>
      </c>
      <c r="AB1821" s="69"/>
      <c r="AC1821" s="70"/>
      <c r="AD1821" s="76" t="s">
        <v>23025</v>
      </c>
      <c r="AE1821" s="81" t="s">
        <v>21185</v>
      </c>
      <c r="AF1821" s="76">
        <v>756</v>
      </c>
      <c r="AG1821" s="76">
        <v>644</v>
      </c>
      <c r="AH1821" s="76">
        <v>6906</v>
      </c>
      <c r="AI1821" s="76">
        <v>3</v>
      </c>
      <c r="AJ1821" s="76">
        <v>9033</v>
      </c>
      <c r="AK1821" s="76">
        <v>2316</v>
      </c>
      <c r="AL1821" s="76" t="b">
        <v>0</v>
      </c>
      <c r="AM1821" s="78">
        <v>45000.974050925928</v>
      </c>
      <c r="AN1821" s="76" t="s">
        <v>24694</v>
      </c>
      <c r="AO1821" s="76" t="s">
        <v>26324</v>
      </c>
      <c r="AP1821" s="82" t="str">
        <f>HYPERLINK("https://t.co/TrM9eNirOB")</f>
        <v>https://t.co/TrM9eNirOB</v>
      </c>
      <c r="AQ1821" s="82" t="str">
        <f>HYPERLINK("https://youtube.com/@ElenaDeLiberalMENTE?si=IIzOUS8Qdl-uVP57")</f>
        <v>https://youtube.com/@ElenaDeLiberalMENTE?si=IIzOUS8Qdl-uVP57</v>
      </c>
      <c r="AR1821" s="76" t="s">
        <v>27344</v>
      </c>
      <c r="AS1821" s="76"/>
      <c r="AT1821" s="76"/>
      <c r="AU1821" s="76"/>
      <c r="AV1821" s="76">
        <v>1.65680856843837E+18</v>
      </c>
      <c r="AW1821" s="82" t="str">
        <f>HYPERLINK("https://t.co/TrM9eNirOB")</f>
        <v>https://t.co/TrM9eNirOB</v>
      </c>
      <c r="AX1821" s="76" t="b">
        <v>0</v>
      </c>
      <c r="AY1821" s="76"/>
      <c r="AZ1821" s="76"/>
      <c r="BA1821" s="76" t="b">
        <v>0</v>
      </c>
      <c r="BB1821" s="76" t="b">
        <v>1</v>
      </c>
      <c r="BC1821" s="76" t="b">
        <v>1</v>
      </c>
      <c r="BD1821" s="76" t="b">
        <v>0</v>
      </c>
      <c r="BE1821" s="76" t="b">
        <v>1</v>
      </c>
      <c r="BF1821" s="76" t="b">
        <v>0</v>
      </c>
      <c r="BG1821" s="76" t="b">
        <v>0</v>
      </c>
      <c r="BH1821" s="82" t="str">
        <f>HYPERLINK("https://pbs.twimg.com/profile_banners/1636145829453914120/1688745099")</f>
        <v>https://pbs.twimg.com/profile_banners/1636145829453914120/1688745099</v>
      </c>
      <c r="BI1821" s="76"/>
      <c r="BJ1821" s="76" t="s">
        <v>27595</v>
      </c>
      <c r="BK1821" s="76" t="b">
        <v>0</v>
      </c>
      <c r="BL1821" s="76"/>
      <c r="BM1821" s="76" t="s">
        <v>66</v>
      </c>
      <c r="BN1821" s="76" t="s">
        <v>27597</v>
      </c>
      <c r="BO1821" s="82" t="str">
        <f>HYPERLINK("https://twitter.com/elenaliberal")</f>
        <v>https://twitter.com/elenaliberal</v>
      </c>
      <c r="BP1821" s="2"/>
    </row>
    <row r="1822" spans="1:68" x14ac:dyDescent="0.25">
      <c r="A1822" s="62" t="s">
        <v>2070</v>
      </c>
      <c r="B1822" s="63"/>
      <c r="C1822" s="63"/>
      <c r="D1822" s="64"/>
      <c r="E1822" s="66"/>
      <c r="F1822" s="103" t="str">
        <f>HYPERLINK("https://pbs.twimg.com/profile_images/1704538195898068992/CRkSRcz-_normal.jpg")</f>
        <v>https://pbs.twimg.com/profile_images/1704538195898068992/CRkSRcz-_normal.jpg</v>
      </c>
      <c r="G1822" s="63"/>
      <c r="H1822" s="67"/>
      <c r="I1822" s="68"/>
      <c r="J1822" s="68"/>
      <c r="K1822" s="67" t="s">
        <v>29416</v>
      </c>
      <c r="L1822" s="71"/>
      <c r="M1822" s="72"/>
      <c r="N1822" s="72"/>
      <c r="O1822" s="73"/>
      <c r="P1822" s="74"/>
      <c r="Q1822" s="74"/>
      <c r="R1822" s="87"/>
      <c r="S1822" s="87"/>
      <c r="T1822" s="87"/>
      <c r="U1822" s="87"/>
      <c r="V1822" s="48"/>
      <c r="W1822" s="48"/>
      <c r="X1822" s="48"/>
      <c r="Y1822" s="48"/>
      <c r="Z1822" s="47"/>
      <c r="AA1822" s="69">
        <v>1822</v>
      </c>
      <c r="AB1822" s="69"/>
      <c r="AC1822" s="70"/>
      <c r="AD1822" s="76" t="s">
        <v>23026</v>
      </c>
      <c r="AE1822" s="81" t="s">
        <v>24026</v>
      </c>
      <c r="AF1822" s="76">
        <v>2296</v>
      </c>
      <c r="AG1822" s="76">
        <v>91</v>
      </c>
      <c r="AH1822" s="76">
        <v>7600</v>
      </c>
      <c r="AI1822" s="76">
        <v>4</v>
      </c>
      <c r="AJ1822" s="76">
        <v>5877</v>
      </c>
      <c r="AK1822" s="76">
        <v>2003</v>
      </c>
      <c r="AL1822" s="76" t="b">
        <v>0</v>
      </c>
      <c r="AM1822" s="78">
        <v>44011.488541666666</v>
      </c>
      <c r="AN1822" s="76" t="s">
        <v>24695</v>
      </c>
      <c r="AO1822" s="76" t="s">
        <v>26325</v>
      </c>
      <c r="AP1822" s="82" t="str">
        <f>HYPERLINK("https://t.co/VykPkzQ8HH")</f>
        <v>https://t.co/VykPkzQ8HH</v>
      </c>
      <c r="AQ1822" s="82" t="str">
        <f>HYPERLINK("http://www.instagram.com/enzopaganioficial")</f>
        <v>http://www.instagram.com/enzopaganioficial</v>
      </c>
      <c r="AR1822" s="76" t="s">
        <v>27345</v>
      </c>
      <c r="AS1822" s="76"/>
      <c r="AT1822" s="76"/>
      <c r="AU1822" s="76"/>
      <c r="AV1822" s="76">
        <v>1.7071920149266501E+18</v>
      </c>
      <c r="AW1822" s="82" t="str">
        <f>HYPERLINK("https://t.co/VykPkzQ8HH")</f>
        <v>https://t.co/VykPkzQ8HH</v>
      </c>
      <c r="AX1822" s="76" t="b">
        <v>0</v>
      </c>
      <c r="AY1822" s="76"/>
      <c r="AZ1822" s="76"/>
      <c r="BA1822" s="76" t="b">
        <v>1</v>
      </c>
      <c r="BB1822" s="76" t="b">
        <v>1</v>
      </c>
      <c r="BC1822" s="76" t="b">
        <v>1</v>
      </c>
      <c r="BD1822" s="76" t="b">
        <v>0</v>
      </c>
      <c r="BE1822" s="76" t="b">
        <v>1</v>
      </c>
      <c r="BF1822" s="76" t="b">
        <v>0</v>
      </c>
      <c r="BG1822" s="76" t="b">
        <v>0</v>
      </c>
      <c r="BH1822" s="82" t="str">
        <f>HYPERLINK("https://pbs.twimg.com/profile_banners/1277568331881623552/1681793261")</f>
        <v>https://pbs.twimg.com/profile_banners/1277568331881623552/1681793261</v>
      </c>
      <c r="BI1822" s="76"/>
      <c r="BJ1822" s="76" t="s">
        <v>27595</v>
      </c>
      <c r="BK1822" s="76" t="b">
        <v>0</v>
      </c>
      <c r="BL1822" s="76"/>
      <c r="BM1822" s="76" t="s">
        <v>65</v>
      </c>
      <c r="BN1822" s="76" t="s">
        <v>27597</v>
      </c>
      <c r="BO1822" s="82" t="str">
        <f>HYPERLINK("https://twitter.com/epaganioficial")</f>
        <v>https://twitter.com/epaganioficial</v>
      </c>
      <c r="BP1822" s="2"/>
    </row>
    <row r="1823" spans="1:68" x14ac:dyDescent="0.25">
      <c r="A1823" s="62" t="s">
        <v>2071</v>
      </c>
      <c r="B1823" s="63"/>
      <c r="C1823" s="63"/>
      <c r="D1823" s="64"/>
      <c r="E1823" s="66"/>
      <c r="F1823" s="103" t="str">
        <f>HYPERLINK("https://pbs.twimg.com/profile_images/1683900041939779603/WMvzo9Vm_normal.jpg")</f>
        <v>https://pbs.twimg.com/profile_images/1683900041939779603/WMvzo9Vm_normal.jpg</v>
      </c>
      <c r="G1823" s="63"/>
      <c r="H1823" s="67"/>
      <c r="I1823" s="68"/>
      <c r="J1823" s="68"/>
      <c r="K1823" s="67" t="s">
        <v>29417</v>
      </c>
      <c r="L1823" s="71"/>
      <c r="M1823" s="72"/>
      <c r="N1823" s="72"/>
      <c r="O1823" s="73"/>
      <c r="P1823" s="74"/>
      <c r="Q1823" s="74"/>
      <c r="R1823" s="87"/>
      <c r="S1823" s="87"/>
      <c r="T1823" s="87"/>
      <c r="U1823" s="87"/>
      <c r="V1823" s="48"/>
      <c r="W1823" s="48"/>
      <c r="X1823" s="48"/>
      <c r="Y1823" s="48"/>
      <c r="Z1823" s="47"/>
      <c r="AA1823" s="69">
        <v>1823</v>
      </c>
      <c r="AB1823" s="69"/>
      <c r="AC1823" s="70"/>
      <c r="AD1823" s="76" t="s">
        <v>23027</v>
      </c>
      <c r="AE1823" s="81" t="s">
        <v>24027</v>
      </c>
      <c r="AF1823" s="76">
        <v>307</v>
      </c>
      <c r="AG1823" s="76">
        <v>324</v>
      </c>
      <c r="AH1823" s="76">
        <v>7639</v>
      </c>
      <c r="AI1823" s="76">
        <v>1</v>
      </c>
      <c r="AJ1823" s="76">
        <v>6783</v>
      </c>
      <c r="AK1823" s="76">
        <v>1381</v>
      </c>
      <c r="AL1823" s="76" t="b">
        <v>0</v>
      </c>
      <c r="AM1823" s="78">
        <v>44467.933263888888</v>
      </c>
      <c r="AN1823" s="76" t="s">
        <v>24696</v>
      </c>
      <c r="AO1823" s="76" t="s">
        <v>26326</v>
      </c>
      <c r="AP1823" s="76"/>
      <c r="AQ1823" s="76"/>
      <c r="AR1823" s="76"/>
      <c r="AS1823" s="76"/>
      <c r="AT1823" s="76"/>
      <c r="AU1823" s="76"/>
      <c r="AV1823" s="76"/>
      <c r="AW1823" s="76"/>
      <c r="AX1823" s="76" t="b">
        <v>0</v>
      </c>
      <c r="AY1823" s="76"/>
      <c r="AZ1823" s="76"/>
      <c r="BA1823" s="76" t="b">
        <v>0</v>
      </c>
      <c r="BB1823" s="76" t="b">
        <v>1</v>
      </c>
      <c r="BC1823" s="76" t="b">
        <v>1</v>
      </c>
      <c r="BD1823" s="76" t="b">
        <v>0</v>
      </c>
      <c r="BE1823" s="76" t="b">
        <v>0</v>
      </c>
      <c r="BF1823" s="76" t="b">
        <v>0</v>
      </c>
      <c r="BG1823" s="76" t="b">
        <v>1</v>
      </c>
      <c r="BH1823" s="82" t="str">
        <f>HYPERLINK("https://pbs.twimg.com/profile_banners/1442978280177639424/1693170378")</f>
        <v>https://pbs.twimg.com/profile_banners/1442978280177639424/1693170378</v>
      </c>
      <c r="BI1823" s="76"/>
      <c r="BJ1823" s="76" t="s">
        <v>27595</v>
      </c>
      <c r="BK1823" s="76" t="b">
        <v>0</v>
      </c>
      <c r="BL1823" s="76"/>
      <c r="BM1823" s="76" t="s">
        <v>65</v>
      </c>
      <c r="BN1823" s="76" t="s">
        <v>27597</v>
      </c>
      <c r="BO1823" s="82" t="str">
        <f>HYPERLINK("https://twitter.com/gabriel86439969")</f>
        <v>https://twitter.com/gabriel86439969</v>
      </c>
      <c r="BP1823" s="2"/>
    </row>
    <row r="1824" spans="1:68" x14ac:dyDescent="0.25">
      <c r="A1824" s="62" t="s">
        <v>2072</v>
      </c>
      <c r="B1824" s="63"/>
      <c r="C1824" s="63"/>
      <c r="D1824" s="64"/>
      <c r="E1824" s="66"/>
      <c r="F1824" s="103" t="str">
        <f>HYPERLINK("https://pbs.twimg.com/profile_images/1675730125264936962/3qNSl2aw_normal.jpg")</f>
        <v>https://pbs.twimg.com/profile_images/1675730125264936962/3qNSl2aw_normal.jpg</v>
      </c>
      <c r="G1824" s="63"/>
      <c r="H1824" s="67"/>
      <c r="I1824" s="68"/>
      <c r="J1824" s="68"/>
      <c r="K1824" s="67" t="s">
        <v>29418</v>
      </c>
      <c r="L1824" s="71"/>
      <c r="M1824" s="72"/>
      <c r="N1824" s="72"/>
      <c r="O1824" s="73"/>
      <c r="P1824" s="74"/>
      <c r="Q1824" s="74"/>
      <c r="R1824" s="87"/>
      <c r="S1824" s="87"/>
      <c r="T1824" s="87"/>
      <c r="U1824" s="87"/>
      <c r="V1824" s="48"/>
      <c r="W1824" s="48"/>
      <c r="X1824" s="48"/>
      <c r="Y1824" s="48"/>
      <c r="Z1824" s="47"/>
      <c r="AA1824" s="69">
        <v>1824</v>
      </c>
      <c r="AB1824" s="69"/>
      <c r="AC1824" s="70"/>
      <c r="AD1824" s="76" t="s">
        <v>23028</v>
      </c>
      <c r="AE1824" s="81" t="s">
        <v>24028</v>
      </c>
      <c r="AF1824" s="76">
        <v>2012</v>
      </c>
      <c r="AG1824" s="76">
        <v>2089</v>
      </c>
      <c r="AH1824" s="76">
        <v>8169</v>
      </c>
      <c r="AI1824" s="76">
        <v>0</v>
      </c>
      <c r="AJ1824" s="76">
        <v>15128</v>
      </c>
      <c r="AK1824" s="76">
        <v>1759</v>
      </c>
      <c r="AL1824" s="76" t="b">
        <v>0</v>
      </c>
      <c r="AM1824" s="78">
        <v>44504.186840277776</v>
      </c>
      <c r="AN1824" s="76" t="s">
        <v>14386</v>
      </c>
      <c r="AO1824" s="76" t="s">
        <v>26327</v>
      </c>
      <c r="AP1824" s="76"/>
      <c r="AQ1824" s="76"/>
      <c r="AR1824" s="76"/>
      <c r="AS1824" s="76"/>
      <c r="AT1824" s="76"/>
      <c r="AU1824" s="76"/>
      <c r="AV1824" s="76"/>
      <c r="AW1824" s="76"/>
      <c r="AX1824" s="76" t="b">
        <v>0</v>
      </c>
      <c r="AY1824" s="76"/>
      <c r="AZ1824" s="76"/>
      <c r="BA1824" s="76" t="b">
        <v>0</v>
      </c>
      <c r="BB1824" s="76" t="b">
        <v>1</v>
      </c>
      <c r="BC1824" s="76" t="b">
        <v>1</v>
      </c>
      <c r="BD1824" s="76" t="b">
        <v>0</v>
      </c>
      <c r="BE1824" s="76" t="b">
        <v>1</v>
      </c>
      <c r="BF1824" s="76" t="b">
        <v>0</v>
      </c>
      <c r="BG1824" s="76" t="b">
        <v>0</v>
      </c>
      <c r="BH1824" s="82" t="str">
        <f>HYPERLINK("https://pbs.twimg.com/profile_banners/1456116091764101123/1662988866")</f>
        <v>https://pbs.twimg.com/profile_banners/1456116091764101123/1662988866</v>
      </c>
      <c r="BI1824" s="76"/>
      <c r="BJ1824" s="76" t="s">
        <v>27595</v>
      </c>
      <c r="BK1824" s="76" t="b">
        <v>0</v>
      </c>
      <c r="BL1824" s="76"/>
      <c r="BM1824" s="76" t="s">
        <v>65</v>
      </c>
      <c r="BN1824" s="76" t="s">
        <v>27597</v>
      </c>
      <c r="BO1824" s="82" t="str">
        <f>HYPERLINK("https://twitter.com/antirojos1973")</f>
        <v>https://twitter.com/antirojos1973</v>
      </c>
      <c r="BP1824" s="2"/>
    </row>
    <row r="1825" spans="1:68" x14ac:dyDescent="0.25">
      <c r="A1825" s="62" t="s">
        <v>2073</v>
      </c>
      <c r="B1825" s="63"/>
      <c r="C1825" s="63"/>
      <c r="D1825" s="64"/>
      <c r="E1825" s="66"/>
      <c r="F1825" s="103" t="str">
        <f>HYPERLINK("https://pbs.twimg.com/profile_images/1651572491691728896/ClHWZ2pa_normal.jpg")</f>
        <v>https://pbs.twimg.com/profile_images/1651572491691728896/ClHWZ2pa_normal.jpg</v>
      </c>
      <c r="G1825" s="63"/>
      <c r="H1825" s="67"/>
      <c r="I1825" s="68"/>
      <c r="J1825" s="68"/>
      <c r="K1825" s="67" t="s">
        <v>29419</v>
      </c>
      <c r="L1825" s="71"/>
      <c r="M1825" s="72"/>
      <c r="N1825" s="72"/>
      <c r="O1825" s="73"/>
      <c r="P1825" s="74"/>
      <c r="Q1825" s="74"/>
      <c r="R1825" s="87"/>
      <c r="S1825" s="87"/>
      <c r="T1825" s="87"/>
      <c r="U1825" s="87"/>
      <c r="V1825" s="48"/>
      <c r="W1825" s="48"/>
      <c r="X1825" s="48"/>
      <c r="Y1825" s="48"/>
      <c r="Z1825" s="47"/>
      <c r="AA1825" s="69">
        <v>1825</v>
      </c>
      <c r="AB1825" s="69"/>
      <c r="AC1825" s="70"/>
      <c r="AD1825" s="76" t="s">
        <v>23029</v>
      </c>
      <c r="AE1825" s="81" t="s">
        <v>24029</v>
      </c>
      <c r="AF1825" s="76">
        <v>49443</v>
      </c>
      <c r="AG1825" s="76">
        <v>32928</v>
      </c>
      <c r="AH1825" s="76">
        <v>154134</v>
      </c>
      <c r="AI1825" s="76">
        <v>26</v>
      </c>
      <c r="AJ1825" s="76">
        <v>178545</v>
      </c>
      <c r="AK1825" s="76">
        <v>1710</v>
      </c>
      <c r="AL1825" s="76" t="b">
        <v>0</v>
      </c>
      <c r="AM1825" s="78">
        <v>43226.844606481478</v>
      </c>
      <c r="AN1825" s="76"/>
      <c r="AO1825" s="76" t="s">
        <v>26328</v>
      </c>
      <c r="AP1825" s="76"/>
      <c r="AQ1825" s="76"/>
      <c r="AR1825" s="76"/>
      <c r="AS1825" s="76"/>
      <c r="AT1825" s="76"/>
      <c r="AU1825" s="76"/>
      <c r="AV1825" s="76">
        <v>1.2047557259075699E+18</v>
      </c>
      <c r="AW1825" s="76"/>
      <c r="AX1825" s="76" t="b">
        <v>0</v>
      </c>
      <c r="AY1825" s="76"/>
      <c r="AZ1825" s="76"/>
      <c r="BA1825" s="76" t="b">
        <v>1</v>
      </c>
      <c r="BB1825" s="76" t="b">
        <v>0</v>
      </c>
      <c r="BC1825" s="76" t="b">
        <v>1</v>
      </c>
      <c r="BD1825" s="76" t="b">
        <v>0</v>
      </c>
      <c r="BE1825" s="76" t="b">
        <v>1</v>
      </c>
      <c r="BF1825" s="76" t="b">
        <v>0</v>
      </c>
      <c r="BG1825" s="76" t="b">
        <v>0</v>
      </c>
      <c r="BH1825" s="82" t="str">
        <f>HYPERLINK("https://pbs.twimg.com/profile_banners/993222928291463169/1617543947")</f>
        <v>https://pbs.twimg.com/profile_banners/993222928291463169/1617543947</v>
      </c>
      <c r="BI1825" s="76"/>
      <c r="BJ1825" s="76" t="s">
        <v>27595</v>
      </c>
      <c r="BK1825" s="76" t="b">
        <v>0</v>
      </c>
      <c r="BL1825" s="76"/>
      <c r="BM1825" s="76" t="s">
        <v>65</v>
      </c>
      <c r="BN1825" s="76" t="s">
        <v>27597</v>
      </c>
      <c r="BO1825" s="82" t="str">
        <f>HYPERLINK("https://twitter.com/colomba_5")</f>
        <v>https://twitter.com/colomba_5</v>
      </c>
      <c r="BP1825" s="2"/>
    </row>
    <row r="1826" spans="1:68" x14ac:dyDescent="0.25">
      <c r="A1826" s="62" t="s">
        <v>2074</v>
      </c>
      <c r="B1826" s="63"/>
      <c r="C1826" s="63"/>
      <c r="D1826" s="64"/>
      <c r="E1826" s="66"/>
      <c r="F1826" s="103" t="str">
        <f>HYPERLINK("https://pbs.twimg.com/profile_images/1566182117834457090/yvUlJ6tm_normal.jpg")</f>
        <v>https://pbs.twimg.com/profile_images/1566182117834457090/yvUlJ6tm_normal.jpg</v>
      </c>
      <c r="G1826" s="63"/>
      <c r="H1826" s="67"/>
      <c r="I1826" s="68"/>
      <c r="J1826" s="68"/>
      <c r="K1826" s="67" t="s">
        <v>29420</v>
      </c>
      <c r="L1826" s="71"/>
      <c r="M1826" s="72"/>
      <c r="N1826" s="72"/>
      <c r="O1826" s="73"/>
      <c r="P1826" s="74"/>
      <c r="Q1826" s="74"/>
      <c r="R1826" s="87"/>
      <c r="S1826" s="87"/>
      <c r="T1826" s="87"/>
      <c r="U1826" s="87"/>
      <c r="V1826" s="48"/>
      <c r="W1826" s="48"/>
      <c r="X1826" s="48"/>
      <c r="Y1826" s="48"/>
      <c r="Z1826" s="47"/>
      <c r="AA1826" s="69">
        <v>1826</v>
      </c>
      <c r="AB1826" s="69"/>
      <c r="AC1826" s="70"/>
      <c r="AD1826" s="76" t="s">
        <v>23030</v>
      </c>
      <c r="AE1826" s="81" t="s">
        <v>24030</v>
      </c>
      <c r="AF1826" s="76">
        <v>21655</v>
      </c>
      <c r="AG1826" s="76">
        <v>21464</v>
      </c>
      <c r="AH1826" s="76">
        <v>18226</v>
      </c>
      <c r="AI1826" s="76">
        <v>7</v>
      </c>
      <c r="AJ1826" s="76">
        <v>36680</v>
      </c>
      <c r="AK1826" s="76">
        <v>887</v>
      </c>
      <c r="AL1826" s="76" t="b">
        <v>0</v>
      </c>
      <c r="AM1826" s="78">
        <v>43656.577106481483</v>
      </c>
      <c r="AN1826" s="76"/>
      <c r="AO1826" s="76" t="s">
        <v>26329</v>
      </c>
      <c r="AP1826" s="76"/>
      <c r="AQ1826" s="76"/>
      <c r="AR1826" s="76"/>
      <c r="AS1826" s="76"/>
      <c r="AT1826" s="76"/>
      <c r="AU1826" s="76"/>
      <c r="AV1826" s="76">
        <v>1.3448741982426299E+18</v>
      </c>
      <c r="AW1826" s="76"/>
      <c r="AX1826" s="76" t="b">
        <v>1</v>
      </c>
      <c r="AY1826" s="76"/>
      <c r="AZ1826" s="76"/>
      <c r="BA1826" s="76" t="b">
        <v>0</v>
      </c>
      <c r="BB1826" s="76" t="b">
        <v>0</v>
      </c>
      <c r="BC1826" s="76" t="b">
        <v>1</v>
      </c>
      <c r="BD1826" s="76" t="b">
        <v>0</v>
      </c>
      <c r="BE1826" s="76" t="b">
        <v>1</v>
      </c>
      <c r="BF1826" s="76" t="b">
        <v>0</v>
      </c>
      <c r="BG1826" s="76" t="b">
        <v>0</v>
      </c>
      <c r="BH1826" s="82" t="str">
        <f>HYPERLINK("https://pbs.twimg.com/profile_banners/1148952773687480321/1658715051")</f>
        <v>https://pbs.twimg.com/profile_banners/1148952773687480321/1658715051</v>
      </c>
      <c r="BI1826" s="76"/>
      <c r="BJ1826" s="76" t="s">
        <v>27595</v>
      </c>
      <c r="BK1826" s="76" t="b">
        <v>0</v>
      </c>
      <c r="BL1826" s="76"/>
      <c r="BM1826" s="76" t="s">
        <v>65</v>
      </c>
      <c r="BN1826" s="76" t="s">
        <v>27597</v>
      </c>
      <c r="BO1826" s="82" t="str">
        <f>HYPERLINK("https://twitter.com/comecomunistas")</f>
        <v>https://twitter.com/comecomunistas</v>
      </c>
      <c r="BP1826" s="2"/>
    </row>
    <row r="1827" spans="1:68" x14ac:dyDescent="0.25">
      <c r="A1827" s="62" t="s">
        <v>2075</v>
      </c>
      <c r="B1827" s="63"/>
      <c r="C1827" s="63"/>
      <c r="D1827" s="64"/>
      <c r="E1827" s="66"/>
      <c r="F1827" s="103" t="str">
        <f>HYPERLINK("https://pbs.twimg.com/profile_images/1543296608745422851/jMjq-ExP_normal.jpg")</f>
        <v>https://pbs.twimg.com/profile_images/1543296608745422851/jMjq-ExP_normal.jpg</v>
      </c>
      <c r="G1827" s="63"/>
      <c r="H1827" s="67"/>
      <c r="I1827" s="68"/>
      <c r="J1827" s="68"/>
      <c r="K1827" s="67" t="s">
        <v>29421</v>
      </c>
      <c r="L1827" s="71"/>
      <c r="M1827" s="72"/>
      <c r="N1827" s="72"/>
      <c r="O1827" s="73"/>
      <c r="P1827" s="74"/>
      <c r="Q1827" s="74"/>
      <c r="R1827" s="87"/>
      <c r="S1827" s="87"/>
      <c r="T1827" s="87"/>
      <c r="U1827" s="87"/>
      <c r="V1827" s="48"/>
      <c r="W1827" s="48"/>
      <c r="X1827" s="48"/>
      <c r="Y1827" s="48"/>
      <c r="Z1827" s="47"/>
      <c r="AA1827" s="69">
        <v>1827</v>
      </c>
      <c r="AB1827" s="69"/>
      <c r="AC1827" s="70"/>
      <c r="AD1827" s="76" t="s">
        <v>23031</v>
      </c>
      <c r="AE1827" s="81" t="s">
        <v>24031</v>
      </c>
      <c r="AF1827" s="76">
        <v>9994</v>
      </c>
      <c r="AG1827" s="76">
        <v>881</v>
      </c>
      <c r="AH1827" s="76">
        <v>2977</v>
      </c>
      <c r="AI1827" s="76">
        <v>10</v>
      </c>
      <c r="AJ1827" s="76">
        <v>3248</v>
      </c>
      <c r="AK1827" s="76">
        <v>648</v>
      </c>
      <c r="AL1827" s="76" t="b">
        <v>0</v>
      </c>
      <c r="AM1827" s="78">
        <v>40456.23946759259</v>
      </c>
      <c r="AN1827" s="76" t="s">
        <v>24697</v>
      </c>
      <c r="AO1827" s="76" t="s">
        <v>26330</v>
      </c>
      <c r="AP1827" s="82" t="str">
        <f>HYPERLINK("https://t.co/4NypO097aV")</f>
        <v>https://t.co/4NypO097aV</v>
      </c>
      <c r="AQ1827" s="82" t="str">
        <f>HYPERLINK("https://linktr.ee/darekmacpherson")</f>
        <v>https://linktr.ee/darekmacpherson</v>
      </c>
      <c r="AR1827" s="76" t="s">
        <v>27346</v>
      </c>
      <c r="AS1827" s="76"/>
      <c r="AT1827" s="76"/>
      <c r="AU1827" s="76"/>
      <c r="AV1827" s="76">
        <v>1.6503519352231401E+18</v>
      </c>
      <c r="AW1827" s="82" t="str">
        <f>HYPERLINK("https://t.co/4NypO097aV")</f>
        <v>https://t.co/4NypO097aV</v>
      </c>
      <c r="AX1827" s="76" t="b">
        <v>0</v>
      </c>
      <c r="AY1827" s="76"/>
      <c r="AZ1827" s="76"/>
      <c r="BA1827" s="76" t="b">
        <v>0</v>
      </c>
      <c r="BB1827" s="76" t="b">
        <v>0</v>
      </c>
      <c r="BC1827" s="76" t="b">
        <v>0</v>
      </c>
      <c r="BD1827" s="76" t="b">
        <v>0</v>
      </c>
      <c r="BE1827" s="76" t="b">
        <v>1</v>
      </c>
      <c r="BF1827" s="76" t="b">
        <v>0</v>
      </c>
      <c r="BG1827" s="76" t="b">
        <v>0</v>
      </c>
      <c r="BH1827" s="82" t="str">
        <f>HYPERLINK("https://pbs.twimg.com/profile_banners/198770256/1626424265")</f>
        <v>https://pbs.twimg.com/profile_banners/198770256/1626424265</v>
      </c>
      <c r="BI1827" s="76"/>
      <c r="BJ1827" s="76" t="s">
        <v>27595</v>
      </c>
      <c r="BK1827" s="76" t="b">
        <v>0</v>
      </c>
      <c r="BL1827" s="76"/>
      <c r="BM1827" s="76" t="s">
        <v>65</v>
      </c>
      <c r="BN1827" s="76" t="s">
        <v>27597</v>
      </c>
      <c r="BO1827" s="82" t="str">
        <f>HYPERLINK("https://twitter.com/darekmacpherson")</f>
        <v>https://twitter.com/darekmacpherson</v>
      </c>
      <c r="BP1827" s="2"/>
    </row>
    <row r="1828" spans="1:68" x14ac:dyDescent="0.25">
      <c r="A1828" s="62" t="s">
        <v>1656</v>
      </c>
      <c r="B1828" s="63"/>
      <c r="C1828" s="63"/>
      <c r="D1828" s="64"/>
      <c r="E1828" s="66"/>
      <c r="F1828" s="103" t="str">
        <f>HYPERLINK("https://pbs.twimg.com/profile_images/1297877005644582912/RHlYwGJG_normal.jpg")</f>
        <v>https://pbs.twimg.com/profile_images/1297877005644582912/RHlYwGJG_normal.jpg</v>
      </c>
      <c r="G1828" s="63"/>
      <c r="H1828" s="67"/>
      <c r="I1828" s="68"/>
      <c r="J1828" s="68"/>
      <c r="K1828" s="67" t="s">
        <v>29422</v>
      </c>
      <c r="L1828" s="71"/>
      <c r="M1828" s="72"/>
      <c r="N1828" s="72"/>
      <c r="O1828" s="73"/>
      <c r="P1828" s="74"/>
      <c r="Q1828" s="74"/>
      <c r="R1828" s="87"/>
      <c r="S1828" s="87"/>
      <c r="T1828" s="87"/>
      <c r="U1828" s="87"/>
      <c r="V1828" s="48"/>
      <c r="W1828" s="48"/>
      <c r="X1828" s="48"/>
      <c r="Y1828" s="48"/>
      <c r="Z1828" s="47"/>
      <c r="AA1828" s="69">
        <v>1828</v>
      </c>
      <c r="AB1828" s="69"/>
      <c r="AC1828" s="70"/>
      <c r="AD1828" s="76" t="s">
        <v>23032</v>
      </c>
      <c r="AE1828" s="81" t="s">
        <v>24032</v>
      </c>
      <c r="AF1828" s="76">
        <v>1779</v>
      </c>
      <c r="AG1828" s="76">
        <v>502</v>
      </c>
      <c r="AH1828" s="76">
        <v>45879</v>
      </c>
      <c r="AI1828" s="76">
        <v>12</v>
      </c>
      <c r="AJ1828" s="76">
        <v>37</v>
      </c>
      <c r="AK1828" s="76">
        <v>32970</v>
      </c>
      <c r="AL1828" s="76" t="b">
        <v>0</v>
      </c>
      <c r="AM1828" s="78">
        <v>40239.534386574072</v>
      </c>
      <c r="AN1828" s="76" t="s">
        <v>24698</v>
      </c>
      <c r="AO1828" s="76" t="s">
        <v>26331</v>
      </c>
      <c r="AP1828" s="82" t="str">
        <f>HYPERLINK("https://t.co/JKol0Vx7aI")</f>
        <v>https://t.co/JKol0Vx7aI</v>
      </c>
      <c r="AQ1828" s="82" t="str">
        <f>HYPERLINK("http://www.correiodeminas.com.br")</f>
        <v>http://www.correiodeminas.com.br</v>
      </c>
      <c r="AR1828" s="76" t="s">
        <v>27347</v>
      </c>
      <c r="AS1828" s="76"/>
      <c r="AT1828" s="76"/>
      <c r="AU1828" s="76"/>
      <c r="AV1828" s="76"/>
      <c r="AW1828" s="82" t="str">
        <f>HYPERLINK("https://t.co/JKol0Vx7aI")</f>
        <v>https://t.co/JKol0Vx7aI</v>
      </c>
      <c r="AX1828" s="76" t="b">
        <v>0</v>
      </c>
      <c r="AY1828" s="76"/>
      <c r="AZ1828" s="76"/>
      <c r="BA1828" s="76" t="b">
        <v>0</v>
      </c>
      <c r="BB1828" s="76" t="b">
        <v>1</v>
      </c>
      <c r="BC1828" s="76" t="b">
        <v>0</v>
      </c>
      <c r="BD1828" s="76" t="b">
        <v>0</v>
      </c>
      <c r="BE1828" s="76" t="b">
        <v>1</v>
      </c>
      <c r="BF1828" s="76" t="b">
        <v>0</v>
      </c>
      <c r="BG1828" s="76" t="b">
        <v>0</v>
      </c>
      <c r="BH1828" s="82" t="str">
        <f>HYPERLINK("https://pbs.twimg.com/profile_banners/119024617/1644316510")</f>
        <v>https://pbs.twimg.com/profile_banners/119024617/1644316510</v>
      </c>
      <c r="BI1828" s="76"/>
      <c r="BJ1828" s="76" t="s">
        <v>27595</v>
      </c>
      <c r="BK1828" s="76" t="b">
        <v>0</v>
      </c>
      <c r="BL1828" s="76"/>
      <c r="BM1828" s="76" t="s">
        <v>66</v>
      </c>
      <c r="BN1828" s="76" t="s">
        <v>27597</v>
      </c>
      <c r="BO1828" s="82" t="str">
        <f>HYPERLINK("https://twitter.com/correiodeminas")</f>
        <v>https://twitter.com/correiodeminas</v>
      </c>
      <c r="BP1828" s="2"/>
    </row>
    <row r="1829" spans="1:68" x14ac:dyDescent="0.25">
      <c r="A1829" s="62" t="s">
        <v>1657</v>
      </c>
      <c r="B1829" s="63"/>
      <c r="C1829" s="63"/>
      <c r="D1829" s="64"/>
      <c r="E1829" s="66"/>
      <c r="F1829" s="103" t="str">
        <f>HYPERLINK("https://pbs.twimg.com/profile_images/773151366814523392/PSEEUy7J_normal.jpg")</f>
        <v>https://pbs.twimg.com/profile_images/773151366814523392/PSEEUy7J_normal.jpg</v>
      </c>
      <c r="G1829" s="63"/>
      <c r="H1829" s="67"/>
      <c r="I1829" s="68"/>
      <c r="J1829" s="68"/>
      <c r="K1829" s="67" t="s">
        <v>29423</v>
      </c>
      <c r="L1829" s="71"/>
      <c r="M1829" s="72"/>
      <c r="N1829" s="72"/>
      <c r="O1829" s="73"/>
      <c r="P1829" s="74"/>
      <c r="Q1829" s="74"/>
      <c r="R1829" s="87"/>
      <c r="S1829" s="87"/>
      <c r="T1829" s="87"/>
      <c r="U1829" s="87"/>
      <c r="V1829" s="48"/>
      <c r="W1829" s="48"/>
      <c r="X1829" s="48"/>
      <c r="Y1829" s="48"/>
      <c r="Z1829" s="47"/>
      <c r="AA1829" s="69">
        <v>1829</v>
      </c>
      <c r="AB1829" s="69"/>
      <c r="AC1829" s="70"/>
      <c r="AD1829" s="76" t="s">
        <v>23033</v>
      </c>
      <c r="AE1829" s="81" t="s">
        <v>20377</v>
      </c>
      <c r="AF1829" s="76">
        <v>10402</v>
      </c>
      <c r="AG1829" s="76">
        <v>7287</v>
      </c>
      <c r="AH1829" s="76">
        <v>2615</v>
      </c>
      <c r="AI1829" s="76">
        <v>30</v>
      </c>
      <c r="AJ1829" s="76">
        <v>495</v>
      </c>
      <c r="AK1829" s="76">
        <v>440</v>
      </c>
      <c r="AL1829" s="76" t="b">
        <v>0</v>
      </c>
      <c r="AM1829" s="78">
        <v>41503.247129629628</v>
      </c>
      <c r="AN1829" s="76" t="s">
        <v>14385</v>
      </c>
      <c r="AO1829" s="76" t="s">
        <v>26332</v>
      </c>
      <c r="AP1829" s="82" t="str">
        <f>HYPERLINK("https://t.co/YEmIl2MAzc")</f>
        <v>https://t.co/YEmIl2MAzc</v>
      </c>
      <c r="AQ1829" s="82" t="str">
        <f>HYPERLINK("http://stripteasedelpoder.com")</f>
        <v>http://stripteasedelpoder.com</v>
      </c>
      <c r="AR1829" s="76" t="s">
        <v>27348</v>
      </c>
      <c r="AS1829" s="76"/>
      <c r="AT1829" s="76"/>
      <c r="AU1829" s="76"/>
      <c r="AV1829" s="76"/>
      <c r="AW1829" s="82" t="str">
        <f>HYPERLINK("https://t.co/YEmIl2MAzc")</f>
        <v>https://t.co/YEmIl2MAzc</v>
      </c>
      <c r="AX1829" s="76" t="b">
        <v>0</v>
      </c>
      <c r="AY1829" s="76"/>
      <c r="AZ1829" s="76"/>
      <c r="BA1829" s="76" t="b">
        <v>0</v>
      </c>
      <c r="BB1829" s="76" t="b">
        <v>1</v>
      </c>
      <c r="BC1829" s="76" t="b">
        <v>0</v>
      </c>
      <c r="BD1829" s="76" t="b">
        <v>0</v>
      </c>
      <c r="BE1829" s="76" t="b">
        <v>1</v>
      </c>
      <c r="BF1829" s="76" t="b">
        <v>0</v>
      </c>
      <c r="BG1829" s="76" t="b">
        <v>0</v>
      </c>
      <c r="BH1829" s="82" t="str">
        <f>HYPERLINK("https://pbs.twimg.com/profile_banners/1677426642/1452737342")</f>
        <v>https://pbs.twimg.com/profile_banners/1677426642/1452737342</v>
      </c>
      <c r="BI1829" s="76"/>
      <c r="BJ1829" s="76" t="s">
        <v>27595</v>
      </c>
      <c r="BK1829" s="76" t="b">
        <v>0</v>
      </c>
      <c r="BL1829" s="76"/>
      <c r="BM1829" s="76" t="s">
        <v>66</v>
      </c>
      <c r="BN1829" s="76" t="s">
        <v>27597</v>
      </c>
      <c r="BO1829" s="82" t="str">
        <f>HYPERLINK("https://twitter.com/strip_delpoder")</f>
        <v>https://twitter.com/strip_delpoder</v>
      </c>
      <c r="BP1829" s="2"/>
    </row>
    <row r="1830" spans="1:68" x14ac:dyDescent="0.25">
      <c r="A1830" s="62" t="s">
        <v>1658</v>
      </c>
      <c r="B1830" s="63"/>
      <c r="C1830" s="63"/>
      <c r="D1830" s="64"/>
      <c r="E1830" s="66"/>
      <c r="F1830" s="103" t="str">
        <f>HYPERLINK("https://pbs.twimg.com/profile_images/1658182985999343619/GDKOPT9T_normal.jpg")</f>
        <v>https://pbs.twimg.com/profile_images/1658182985999343619/GDKOPT9T_normal.jpg</v>
      </c>
      <c r="G1830" s="63"/>
      <c r="H1830" s="67"/>
      <c r="I1830" s="68"/>
      <c r="J1830" s="68"/>
      <c r="K1830" s="67" t="s">
        <v>29424</v>
      </c>
      <c r="L1830" s="71"/>
      <c r="M1830" s="72"/>
      <c r="N1830" s="72"/>
      <c r="O1830" s="73"/>
      <c r="P1830" s="74"/>
      <c r="Q1830" s="74"/>
      <c r="R1830" s="87"/>
      <c r="S1830" s="87"/>
      <c r="T1830" s="87"/>
      <c r="U1830" s="87"/>
      <c r="V1830" s="48"/>
      <c r="W1830" s="48"/>
      <c r="X1830" s="48"/>
      <c r="Y1830" s="48"/>
      <c r="Z1830" s="47"/>
      <c r="AA1830" s="69">
        <v>1830</v>
      </c>
      <c r="AB1830" s="69"/>
      <c r="AC1830" s="70"/>
      <c r="AD1830" s="76" t="s">
        <v>23034</v>
      </c>
      <c r="AE1830" s="81" t="s">
        <v>21186</v>
      </c>
      <c r="AF1830" s="76">
        <v>840</v>
      </c>
      <c r="AG1830" s="76">
        <v>28</v>
      </c>
      <c r="AH1830" s="76">
        <v>47</v>
      </c>
      <c r="AI1830" s="76">
        <v>0</v>
      </c>
      <c r="AJ1830" s="76">
        <v>77</v>
      </c>
      <c r="AK1830" s="76">
        <v>23</v>
      </c>
      <c r="AL1830" s="76" t="b">
        <v>0</v>
      </c>
      <c r="AM1830" s="78">
        <v>44125.849456018521</v>
      </c>
      <c r="AN1830" s="76" t="s">
        <v>14411</v>
      </c>
      <c r="AO1830" s="76" t="s">
        <v>26333</v>
      </c>
      <c r="AP1830" s="76"/>
      <c r="AQ1830" s="76"/>
      <c r="AR1830" s="76"/>
      <c r="AS1830" s="76"/>
      <c r="AT1830" s="76"/>
      <c r="AU1830" s="76"/>
      <c r="AV1830" s="76">
        <v>1.67189723637918E+18</v>
      </c>
      <c r="AW1830" s="76"/>
      <c r="AX1830" s="76" t="b">
        <v>0</v>
      </c>
      <c r="AY1830" s="76"/>
      <c r="AZ1830" s="76"/>
      <c r="BA1830" s="76" t="b">
        <v>1</v>
      </c>
      <c r="BB1830" s="76" t="b">
        <v>1</v>
      </c>
      <c r="BC1830" s="76" t="b">
        <v>1</v>
      </c>
      <c r="BD1830" s="76" t="b">
        <v>0</v>
      </c>
      <c r="BE1830" s="76" t="b">
        <v>0</v>
      </c>
      <c r="BF1830" s="76" t="b">
        <v>0</v>
      </c>
      <c r="BG1830" s="76" t="b">
        <v>0</v>
      </c>
      <c r="BH1830" s="82" t="str">
        <f>HYPERLINK("https://pbs.twimg.com/profile_banners/1319011323393474561/1684505545")</f>
        <v>https://pbs.twimg.com/profile_banners/1319011323393474561/1684505545</v>
      </c>
      <c r="BI1830" s="76"/>
      <c r="BJ1830" s="76" t="s">
        <v>27595</v>
      </c>
      <c r="BK1830" s="76" t="b">
        <v>0</v>
      </c>
      <c r="BL1830" s="76"/>
      <c r="BM1830" s="76" t="s">
        <v>66</v>
      </c>
      <c r="BN1830" s="76" t="s">
        <v>27597</v>
      </c>
      <c r="BO1830" s="82" t="str">
        <f>HYPERLINK("https://twitter.com/jeangomes3815")</f>
        <v>https://twitter.com/jeangomes3815</v>
      </c>
      <c r="BP1830" s="2"/>
    </row>
    <row r="1831" spans="1:68" x14ac:dyDescent="0.25">
      <c r="A1831" s="62" t="s">
        <v>1659</v>
      </c>
      <c r="B1831" s="63"/>
      <c r="C1831" s="63"/>
      <c r="D1831" s="64"/>
      <c r="E1831" s="66"/>
      <c r="F1831" s="103" t="str">
        <f>HYPERLINK("https://pbs.twimg.com/profile_images/1699208040833073153/J4_Z-Zlm_normal.jpg")</f>
        <v>https://pbs.twimg.com/profile_images/1699208040833073153/J4_Z-Zlm_normal.jpg</v>
      </c>
      <c r="G1831" s="63"/>
      <c r="H1831" s="67"/>
      <c r="I1831" s="68"/>
      <c r="J1831" s="68"/>
      <c r="K1831" s="67" t="s">
        <v>29425</v>
      </c>
      <c r="L1831" s="71"/>
      <c r="M1831" s="72"/>
      <c r="N1831" s="72"/>
      <c r="O1831" s="73"/>
      <c r="P1831" s="74"/>
      <c r="Q1831" s="74"/>
      <c r="R1831" s="87"/>
      <c r="S1831" s="87"/>
      <c r="T1831" s="87"/>
      <c r="U1831" s="87"/>
      <c r="V1831" s="48"/>
      <c r="W1831" s="48"/>
      <c r="X1831" s="48"/>
      <c r="Y1831" s="48"/>
      <c r="Z1831" s="47"/>
      <c r="AA1831" s="69">
        <v>1831</v>
      </c>
      <c r="AB1831" s="69"/>
      <c r="AC1831" s="70"/>
      <c r="AD1831" s="76" t="s">
        <v>23035</v>
      </c>
      <c r="AE1831" s="81" t="s">
        <v>21187</v>
      </c>
      <c r="AF1831" s="76">
        <v>8</v>
      </c>
      <c r="AG1831" s="76">
        <v>10</v>
      </c>
      <c r="AH1831" s="76">
        <v>28</v>
      </c>
      <c r="AI1831" s="76">
        <v>0</v>
      </c>
      <c r="AJ1831" s="76">
        <v>17</v>
      </c>
      <c r="AK1831" s="76">
        <v>24</v>
      </c>
      <c r="AL1831" s="76" t="b">
        <v>0</v>
      </c>
      <c r="AM1831" s="78">
        <v>45007.575057870374</v>
      </c>
      <c r="AN1831" s="76" t="s">
        <v>24699</v>
      </c>
      <c r="AO1831" s="76" t="s">
        <v>26334</v>
      </c>
      <c r="AP1831" s="76"/>
      <c r="AQ1831" s="76"/>
      <c r="AR1831" s="76"/>
      <c r="AS1831" s="76"/>
      <c r="AT1831" s="76"/>
      <c r="AU1831" s="76"/>
      <c r="AV1831" s="76"/>
      <c r="AW1831" s="76"/>
      <c r="AX1831" s="76" t="b">
        <v>0</v>
      </c>
      <c r="AY1831" s="76"/>
      <c r="AZ1831" s="76"/>
      <c r="BA1831" s="76" t="b">
        <v>0</v>
      </c>
      <c r="BB1831" s="76" t="b">
        <v>1</v>
      </c>
      <c r="BC1831" s="76" t="b">
        <v>1</v>
      </c>
      <c r="BD1831" s="76" t="b">
        <v>0</v>
      </c>
      <c r="BE1831" s="76" t="b">
        <v>0</v>
      </c>
      <c r="BF1831" s="76" t="b">
        <v>0</v>
      </c>
      <c r="BG1831" s="76" t="b">
        <v>0</v>
      </c>
      <c r="BH1831" s="82" t="str">
        <f>HYPERLINK("https://pbs.twimg.com/profile_banners/1638537918137487362/1679588991")</f>
        <v>https://pbs.twimg.com/profile_banners/1638537918137487362/1679588991</v>
      </c>
      <c r="BI1831" s="76"/>
      <c r="BJ1831" s="76" t="s">
        <v>27595</v>
      </c>
      <c r="BK1831" s="76" t="b">
        <v>0</v>
      </c>
      <c r="BL1831" s="76"/>
      <c r="BM1831" s="76" t="s">
        <v>66</v>
      </c>
      <c r="BN1831" s="76" t="s">
        <v>27597</v>
      </c>
      <c r="BO1831" s="82" t="str">
        <f>HYPERLINK("https://twitter.com/_cronicacuerva")</f>
        <v>https://twitter.com/_cronicacuerva</v>
      </c>
      <c r="BP1831" s="2"/>
    </row>
    <row r="1832" spans="1:68" x14ac:dyDescent="0.25">
      <c r="A1832" s="62" t="s">
        <v>1660</v>
      </c>
      <c r="B1832" s="63"/>
      <c r="C1832" s="63"/>
      <c r="D1832" s="64"/>
      <c r="E1832" s="66"/>
      <c r="F1832" s="103" t="str">
        <f>HYPERLINK("https://pbs.twimg.com/profile_images/1534734597761683457/M7ZquNJP_normal.jpg")</f>
        <v>https://pbs.twimg.com/profile_images/1534734597761683457/M7ZquNJP_normal.jpg</v>
      </c>
      <c r="G1832" s="63"/>
      <c r="H1832" s="67"/>
      <c r="I1832" s="68"/>
      <c r="J1832" s="68"/>
      <c r="K1832" s="67" t="s">
        <v>29426</v>
      </c>
      <c r="L1832" s="71"/>
      <c r="M1832" s="72"/>
      <c r="N1832" s="72"/>
      <c r="O1832" s="73"/>
      <c r="P1832" s="74"/>
      <c r="Q1832" s="74"/>
      <c r="R1832" s="87"/>
      <c r="S1832" s="87"/>
      <c r="T1832" s="87"/>
      <c r="U1832" s="87"/>
      <c r="V1832" s="48"/>
      <c r="W1832" s="48"/>
      <c r="X1832" s="48"/>
      <c r="Y1832" s="48"/>
      <c r="Z1832" s="47"/>
      <c r="AA1832" s="69">
        <v>1832</v>
      </c>
      <c r="AB1832" s="69"/>
      <c r="AC1832" s="70"/>
      <c r="AD1832" s="76" t="s">
        <v>23036</v>
      </c>
      <c r="AE1832" s="81" t="s">
        <v>21188</v>
      </c>
      <c r="AF1832" s="76">
        <v>1019</v>
      </c>
      <c r="AG1832" s="76">
        <v>3272</v>
      </c>
      <c r="AH1832" s="76">
        <v>1761</v>
      </c>
      <c r="AI1832" s="76">
        <v>1</v>
      </c>
      <c r="AJ1832" s="76">
        <v>97</v>
      </c>
      <c r="AK1832" s="76">
        <v>1494</v>
      </c>
      <c r="AL1832" s="76" t="b">
        <v>0</v>
      </c>
      <c r="AM1832" s="78">
        <v>44721.121863425928</v>
      </c>
      <c r="AN1832" s="76" t="s">
        <v>24175</v>
      </c>
      <c r="AO1832" s="76" t="s">
        <v>26335</v>
      </c>
      <c r="AP1832" s="82" t="str">
        <f>HYPERLINK("https://t.co/OttzsBlVqI")</f>
        <v>https://t.co/OttzsBlVqI</v>
      </c>
      <c r="AQ1832" s="82" t="str">
        <f>HYPERLINK("https://desenfoque.cl/")</f>
        <v>https://desenfoque.cl/</v>
      </c>
      <c r="AR1832" s="76" t="s">
        <v>8891</v>
      </c>
      <c r="AS1832" s="82" t="str">
        <f>HYPERLINK("https://t.co/QGx3r2OnUv")</f>
        <v>https://t.co/QGx3r2OnUv</v>
      </c>
      <c r="AT1832" s="82" t="str">
        <f>HYPERLINK("http://desenfoque.cl")</f>
        <v>http://desenfoque.cl</v>
      </c>
      <c r="AU1832" s="76" t="s">
        <v>8891</v>
      </c>
      <c r="AV1832" s="76"/>
      <c r="AW1832" s="82" t="str">
        <f>HYPERLINK("https://t.co/OttzsBlVqI")</f>
        <v>https://t.co/OttzsBlVqI</v>
      </c>
      <c r="AX1832" s="76" t="b">
        <v>0</v>
      </c>
      <c r="AY1832" s="76"/>
      <c r="AZ1832" s="76"/>
      <c r="BA1832" s="76" t="b">
        <v>0</v>
      </c>
      <c r="BB1832" s="76" t="b">
        <v>1</v>
      </c>
      <c r="BC1832" s="76" t="b">
        <v>1</v>
      </c>
      <c r="BD1832" s="76" t="b">
        <v>0</v>
      </c>
      <c r="BE1832" s="76" t="b">
        <v>0</v>
      </c>
      <c r="BF1832" s="76" t="b">
        <v>0</v>
      </c>
      <c r="BG1832" s="76" t="b">
        <v>0</v>
      </c>
      <c r="BH1832" s="82" t="str">
        <f>HYPERLINK("https://pbs.twimg.com/profile_banners/1534730698011168768/1658195130")</f>
        <v>https://pbs.twimg.com/profile_banners/1534730698011168768/1658195130</v>
      </c>
      <c r="BI1832" s="76"/>
      <c r="BJ1832" s="76" t="s">
        <v>27595</v>
      </c>
      <c r="BK1832" s="76" t="b">
        <v>0</v>
      </c>
      <c r="BL1832" s="76"/>
      <c r="BM1832" s="76" t="s">
        <v>66</v>
      </c>
      <c r="BN1832" s="76" t="s">
        <v>27597</v>
      </c>
      <c r="BO1832" s="82" t="str">
        <f>HYPERLINK("https://twitter.com/desenfoquecl")</f>
        <v>https://twitter.com/desenfoquecl</v>
      </c>
      <c r="BP1832" s="2"/>
    </row>
    <row r="1833" spans="1:68" x14ac:dyDescent="0.25">
      <c r="A1833" s="62" t="s">
        <v>1661</v>
      </c>
      <c r="B1833" s="63"/>
      <c r="C1833" s="63"/>
      <c r="D1833" s="64"/>
      <c r="E1833" s="66"/>
      <c r="F1833" s="103" t="str">
        <f>HYPERLINK("https://pbs.twimg.com/profile_images/1580644961246236673/tK4sN4Ig_normal.jpg")</f>
        <v>https://pbs.twimg.com/profile_images/1580644961246236673/tK4sN4Ig_normal.jpg</v>
      </c>
      <c r="G1833" s="63"/>
      <c r="H1833" s="67"/>
      <c r="I1833" s="68"/>
      <c r="J1833" s="68"/>
      <c r="K1833" s="67" t="s">
        <v>29427</v>
      </c>
      <c r="L1833" s="71"/>
      <c r="M1833" s="72"/>
      <c r="N1833" s="72"/>
      <c r="O1833" s="73"/>
      <c r="P1833" s="74"/>
      <c r="Q1833" s="74"/>
      <c r="R1833" s="87"/>
      <c r="S1833" s="87"/>
      <c r="T1833" s="87"/>
      <c r="U1833" s="87"/>
      <c r="V1833" s="48"/>
      <c r="W1833" s="48"/>
      <c r="X1833" s="48"/>
      <c r="Y1833" s="48"/>
      <c r="Z1833" s="47"/>
      <c r="AA1833" s="69">
        <v>1833</v>
      </c>
      <c r="AB1833" s="69"/>
      <c r="AC1833" s="70"/>
      <c r="AD1833" s="76" t="s">
        <v>23037</v>
      </c>
      <c r="AE1833" s="81" t="s">
        <v>21189</v>
      </c>
      <c r="AF1833" s="76">
        <v>3728</v>
      </c>
      <c r="AG1833" s="76">
        <v>89</v>
      </c>
      <c r="AH1833" s="76">
        <v>926</v>
      </c>
      <c r="AI1833" s="76">
        <v>2</v>
      </c>
      <c r="AJ1833" s="76">
        <v>58</v>
      </c>
      <c r="AK1833" s="76">
        <v>686</v>
      </c>
      <c r="AL1833" s="76" t="b">
        <v>0</v>
      </c>
      <c r="AM1833" s="78">
        <v>43269.771469907406</v>
      </c>
      <c r="AN1833" s="76" t="s">
        <v>24158</v>
      </c>
      <c r="AO1833" s="76" t="s">
        <v>26336</v>
      </c>
      <c r="AP1833" s="82" t="str">
        <f>HYPERLINK("https://t.co/FP7Wa3U9cc")</f>
        <v>https://t.co/FP7Wa3U9cc</v>
      </c>
      <c r="AQ1833" s="82" t="str">
        <f>HYPERLINK("http://www.csmv.com.br/")</f>
        <v>http://www.csmv.com.br/</v>
      </c>
      <c r="AR1833" s="76" t="s">
        <v>27349</v>
      </c>
      <c r="AS1833" s="76"/>
      <c r="AT1833" s="76"/>
      <c r="AU1833" s="76"/>
      <c r="AV1833" s="76"/>
      <c r="AW1833" s="82" t="str">
        <f>HYPERLINK("https://t.co/FP7Wa3U9cc")</f>
        <v>https://t.co/FP7Wa3U9cc</v>
      </c>
      <c r="AX1833" s="76" t="b">
        <v>0</v>
      </c>
      <c r="AY1833" s="76"/>
      <c r="AZ1833" s="76"/>
      <c r="BA1833" s="76" t="b">
        <v>0</v>
      </c>
      <c r="BB1833" s="76" t="b">
        <v>1</v>
      </c>
      <c r="BC1833" s="76" t="b">
        <v>1</v>
      </c>
      <c r="BD1833" s="76" t="b">
        <v>0</v>
      </c>
      <c r="BE1833" s="76" t="b">
        <v>0</v>
      </c>
      <c r="BF1833" s="76" t="b">
        <v>0</v>
      </c>
      <c r="BG1833" s="76" t="b">
        <v>0</v>
      </c>
      <c r="BH1833" s="82" t="str">
        <f>HYPERLINK("https://pbs.twimg.com/profile_banners/1008779104026546176/1665688318")</f>
        <v>https://pbs.twimg.com/profile_banners/1008779104026546176/1665688318</v>
      </c>
      <c r="BI1833" s="76"/>
      <c r="BJ1833" s="76" t="s">
        <v>27595</v>
      </c>
      <c r="BK1833" s="76" t="b">
        <v>0</v>
      </c>
      <c r="BL1833" s="76"/>
      <c r="BM1833" s="76" t="s">
        <v>66</v>
      </c>
      <c r="BN1833" s="76" t="s">
        <v>27597</v>
      </c>
      <c r="BO1833" s="82" t="str">
        <f>HYPERLINK("https://twitter.com/csmvadvogados")</f>
        <v>https://twitter.com/csmvadvogados</v>
      </c>
      <c r="BP1833" s="2"/>
    </row>
    <row r="1834" spans="1:68" x14ac:dyDescent="0.25">
      <c r="A1834" s="62" t="s">
        <v>1663</v>
      </c>
      <c r="B1834" s="63"/>
      <c r="C1834" s="63"/>
      <c r="D1834" s="64"/>
      <c r="E1834" s="66"/>
      <c r="F1834" s="103" t="str">
        <f>HYPERLINK("https://pbs.twimg.com/profile_images/1631434653243523072/nOwHMx4d_normal.jpg")</f>
        <v>https://pbs.twimg.com/profile_images/1631434653243523072/nOwHMx4d_normal.jpg</v>
      </c>
      <c r="G1834" s="63"/>
      <c r="H1834" s="67"/>
      <c r="I1834" s="68"/>
      <c r="J1834" s="68"/>
      <c r="K1834" s="67" t="s">
        <v>29428</v>
      </c>
      <c r="L1834" s="71"/>
      <c r="M1834" s="72"/>
      <c r="N1834" s="72"/>
      <c r="O1834" s="73"/>
      <c r="P1834" s="74"/>
      <c r="Q1834" s="74"/>
      <c r="R1834" s="87"/>
      <c r="S1834" s="87"/>
      <c r="T1834" s="87"/>
      <c r="U1834" s="87"/>
      <c r="V1834" s="48"/>
      <c r="W1834" s="48"/>
      <c r="X1834" s="48"/>
      <c r="Y1834" s="48"/>
      <c r="Z1834" s="47"/>
      <c r="AA1834" s="69">
        <v>1834</v>
      </c>
      <c r="AB1834" s="69"/>
      <c r="AC1834" s="70"/>
      <c r="AD1834" s="76" t="s">
        <v>23038</v>
      </c>
      <c r="AE1834" s="81" t="s">
        <v>21191</v>
      </c>
      <c r="AF1834" s="76">
        <v>10</v>
      </c>
      <c r="AG1834" s="76">
        <v>99</v>
      </c>
      <c r="AH1834" s="76">
        <v>545</v>
      </c>
      <c r="AI1834" s="76">
        <v>0</v>
      </c>
      <c r="AJ1834" s="76">
        <v>145</v>
      </c>
      <c r="AK1834" s="76">
        <v>67</v>
      </c>
      <c r="AL1834" s="76" t="b">
        <v>0</v>
      </c>
      <c r="AM1834" s="78">
        <v>44746.105486111112</v>
      </c>
      <c r="AN1834" s="76" t="s">
        <v>24700</v>
      </c>
      <c r="AO1834" s="76" t="s">
        <v>26337</v>
      </c>
      <c r="AP1834" s="82" t="str">
        <f>HYPERLINK("https://t.co/1yDob6yPvh")</f>
        <v>https://t.co/1yDob6yPvh</v>
      </c>
      <c r="AQ1834" s="82" t="str">
        <f>HYPERLINK("http://www.cknoticias.com")</f>
        <v>http://www.cknoticias.com</v>
      </c>
      <c r="AR1834" s="76" t="s">
        <v>27350</v>
      </c>
      <c r="AS1834" s="76"/>
      <c r="AT1834" s="76"/>
      <c r="AU1834" s="76"/>
      <c r="AV1834" s="76"/>
      <c r="AW1834" s="82" t="str">
        <f>HYPERLINK("https://t.co/1yDob6yPvh")</f>
        <v>https://t.co/1yDob6yPvh</v>
      </c>
      <c r="AX1834" s="76" t="b">
        <v>0</v>
      </c>
      <c r="AY1834" s="76"/>
      <c r="AZ1834" s="76"/>
      <c r="BA1834" s="76" t="b">
        <v>0</v>
      </c>
      <c r="BB1834" s="76" t="b">
        <v>1</v>
      </c>
      <c r="BC1834" s="76" t="b">
        <v>1</v>
      </c>
      <c r="BD1834" s="76" t="b">
        <v>0</v>
      </c>
      <c r="BE1834" s="76" t="b">
        <v>1</v>
      </c>
      <c r="BF1834" s="76" t="b">
        <v>0</v>
      </c>
      <c r="BG1834" s="76" t="b">
        <v>0</v>
      </c>
      <c r="BH1834" s="82" t="str">
        <f>HYPERLINK("https://pbs.twimg.com/profile_banners/1543784527654428674/1677799541")</f>
        <v>https://pbs.twimg.com/profile_banners/1543784527654428674/1677799541</v>
      </c>
      <c r="BI1834" s="76"/>
      <c r="BJ1834" s="76" t="s">
        <v>27595</v>
      </c>
      <c r="BK1834" s="76" t="b">
        <v>0</v>
      </c>
      <c r="BL1834" s="76"/>
      <c r="BM1834" s="76" t="s">
        <v>66</v>
      </c>
      <c r="BN1834" s="76" t="s">
        <v>27597</v>
      </c>
      <c r="BO1834" s="82" t="str">
        <f>HYPERLINK("https://twitter.com/comunicacaock")</f>
        <v>https://twitter.com/comunicacaock</v>
      </c>
      <c r="BP1834" s="2"/>
    </row>
    <row r="1835" spans="1:68" x14ac:dyDescent="0.25">
      <c r="A1835" s="62" t="s">
        <v>1664</v>
      </c>
      <c r="B1835" s="63"/>
      <c r="C1835" s="63"/>
      <c r="D1835" s="64"/>
      <c r="E1835" s="66"/>
      <c r="F1835" s="103" t="str">
        <f>HYPERLINK("https://pbs.twimg.com/profile_images/1584678559037198336/_tiBVJ19_normal.jpg")</f>
        <v>https://pbs.twimg.com/profile_images/1584678559037198336/_tiBVJ19_normal.jpg</v>
      </c>
      <c r="G1835" s="63"/>
      <c r="H1835" s="67"/>
      <c r="I1835" s="68"/>
      <c r="J1835" s="68"/>
      <c r="K1835" s="67" t="s">
        <v>29429</v>
      </c>
      <c r="L1835" s="71"/>
      <c r="M1835" s="72"/>
      <c r="N1835" s="72"/>
      <c r="O1835" s="73"/>
      <c r="P1835" s="74"/>
      <c r="Q1835" s="74"/>
      <c r="R1835" s="87"/>
      <c r="S1835" s="87"/>
      <c r="T1835" s="87"/>
      <c r="U1835" s="87"/>
      <c r="V1835" s="48"/>
      <c r="W1835" s="48"/>
      <c r="X1835" s="48"/>
      <c r="Y1835" s="48"/>
      <c r="Z1835" s="47"/>
      <c r="AA1835" s="69">
        <v>1835</v>
      </c>
      <c r="AB1835" s="69"/>
      <c r="AC1835" s="70"/>
      <c r="AD1835" s="76" t="s">
        <v>23039</v>
      </c>
      <c r="AE1835" s="81" t="s">
        <v>21192</v>
      </c>
      <c r="AF1835" s="76">
        <v>385</v>
      </c>
      <c r="AG1835" s="76">
        <v>9</v>
      </c>
      <c r="AH1835" s="76">
        <v>12661</v>
      </c>
      <c r="AI1835" s="76">
        <v>5</v>
      </c>
      <c r="AJ1835" s="76">
        <v>10831</v>
      </c>
      <c r="AK1835" s="76">
        <v>2642</v>
      </c>
      <c r="AL1835" s="76" t="b">
        <v>0</v>
      </c>
      <c r="AM1835" s="78">
        <v>43263.202060185184</v>
      </c>
      <c r="AN1835" s="76" t="s">
        <v>24433</v>
      </c>
      <c r="AO1835" s="76" t="s">
        <v>26338</v>
      </c>
      <c r="AP1835" s="82" t="str">
        <f>HYPERLINK("https://t.co/4u0EnyFYbP")</f>
        <v>https://t.co/4u0EnyFYbP</v>
      </c>
      <c r="AQ1835" s="82" t="str">
        <f>HYPERLINK("http://www.radiopulsoformosa.com.ar")</f>
        <v>http://www.radiopulsoformosa.com.ar</v>
      </c>
      <c r="AR1835" s="76" t="s">
        <v>27351</v>
      </c>
      <c r="AS1835" s="76"/>
      <c r="AT1835" s="76"/>
      <c r="AU1835" s="76"/>
      <c r="AV1835" s="76"/>
      <c r="AW1835" s="82" t="str">
        <f>HYPERLINK("https://t.co/4u0EnyFYbP")</f>
        <v>https://t.co/4u0EnyFYbP</v>
      </c>
      <c r="AX1835" s="76" t="b">
        <v>0</v>
      </c>
      <c r="AY1835" s="76"/>
      <c r="AZ1835" s="76"/>
      <c r="BA1835" s="76" t="b">
        <v>0</v>
      </c>
      <c r="BB1835" s="76" t="b">
        <v>1</v>
      </c>
      <c r="BC1835" s="76" t="b">
        <v>1</v>
      </c>
      <c r="BD1835" s="76" t="b">
        <v>0</v>
      </c>
      <c r="BE1835" s="76" t="b">
        <v>0</v>
      </c>
      <c r="BF1835" s="76" t="b">
        <v>0</v>
      </c>
      <c r="BG1835" s="76" t="b">
        <v>0</v>
      </c>
      <c r="BH1835" s="82" t="str">
        <f>HYPERLINK("https://pbs.twimg.com/profile_banners/1006398431370399749/1666651796")</f>
        <v>https://pbs.twimg.com/profile_banners/1006398431370399749/1666651796</v>
      </c>
      <c r="BI1835" s="76"/>
      <c r="BJ1835" s="76" t="s">
        <v>27595</v>
      </c>
      <c r="BK1835" s="76" t="b">
        <v>0</v>
      </c>
      <c r="BL1835" s="76"/>
      <c r="BM1835" s="76" t="s">
        <v>66</v>
      </c>
      <c r="BN1835" s="76" t="s">
        <v>27597</v>
      </c>
      <c r="BO1835" s="82" t="str">
        <f>HYPERLINK("https://twitter.com/formosaradio")</f>
        <v>https://twitter.com/formosaradio</v>
      </c>
      <c r="BP1835" s="2"/>
    </row>
    <row r="1836" spans="1:68" x14ac:dyDescent="0.25">
      <c r="A1836" s="62" t="s">
        <v>1665</v>
      </c>
      <c r="B1836" s="63"/>
      <c r="C1836" s="63"/>
      <c r="D1836" s="64"/>
      <c r="E1836" s="66"/>
      <c r="F1836" s="103" t="str">
        <f>HYPERLINK("https://pbs.twimg.com/profile_images/1237892127188606977/VrfQL6_w_normal.jpg")</f>
        <v>https://pbs.twimg.com/profile_images/1237892127188606977/VrfQL6_w_normal.jpg</v>
      </c>
      <c r="G1836" s="63"/>
      <c r="H1836" s="67"/>
      <c r="I1836" s="68"/>
      <c r="J1836" s="68"/>
      <c r="K1836" s="67" t="s">
        <v>29430</v>
      </c>
      <c r="L1836" s="71"/>
      <c r="M1836" s="72"/>
      <c r="N1836" s="72"/>
      <c r="O1836" s="73"/>
      <c r="P1836" s="74"/>
      <c r="Q1836" s="74"/>
      <c r="R1836" s="87"/>
      <c r="S1836" s="87"/>
      <c r="T1836" s="87"/>
      <c r="U1836" s="87"/>
      <c r="V1836" s="48"/>
      <c r="W1836" s="48"/>
      <c r="X1836" s="48"/>
      <c r="Y1836" s="48"/>
      <c r="Z1836" s="47"/>
      <c r="AA1836" s="69">
        <v>1836</v>
      </c>
      <c r="AB1836" s="69"/>
      <c r="AC1836" s="70"/>
      <c r="AD1836" s="76" t="s">
        <v>23040</v>
      </c>
      <c r="AE1836" s="81" t="s">
        <v>21193</v>
      </c>
      <c r="AF1836" s="76">
        <v>25</v>
      </c>
      <c r="AG1836" s="76">
        <v>23</v>
      </c>
      <c r="AH1836" s="76">
        <v>372</v>
      </c>
      <c r="AI1836" s="76">
        <v>0</v>
      </c>
      <c r="AJ1836" s="76">
        <v>52</v>
      </c>
      <c r="AK1836" s="76">
        <v>327</v>
      </c>
      <c r="AL1836" s="76" t="b">
        <v>0</v>
      </c>
      <c r="AM1836" s="78">
        <v>43490.788645833331</v>
      </c>
      <c r="AN1836" s="76" t="s">
        <v>14402</v>
      </c>
      <c r="AO1836" s="76" t="s">
        <v>26339</v>
      </c>
      <c r="AP1836" s="82" t="str">
        <f>HYPERLINK("https://t.co/wVU7rlsmwy")</f>
        <v>https://t.co/wVU7rlsmwy</v>
      </c>
      <c r="AQ1836" s="82" t="str">
        <f>HYPERLINK("http://www.guazelliadvocacia.com.br")</f>
        <v>http://www.guazelliadvocacia.com.br</v>
      </c>
      <c r="AR1836" s="76" t="s">
        <v>27352</v>
      </c>
      <c r="AS1836" s="76"/>
      <c r="AT1836" s="76"/>
      <c r="AU1836" s="76"/>
      <c r="AV1836" s="76">
        <v>1.6589253696662899E+18</v>
      </c>
      <c r="AW1836" s="82" t="str">
        <f>HYPERLINK("https://t.co/wVU7rlsmwy")</f>
        <v>https://t.co/wVU7rlsmwy</v>
      </c>
      <c r="AX1836" s="76" t="b">
        <v>0</v>
      </c>
      <c r="AY1836" s="76"/>
      <c r="AZ1836" s="76"/>
      <c r="BA1836" s="76" t="b">
        <v>0</v>
      </c>
      <c r="BB1836" s="76" t="b">
        <v>1</v>
      </c>
      <c r="BC1836" s="76" t="b">
        <v>0</v>
      </c>
      <c r="BD1836" s="76" t="b">
        <v>0</v>
      </c>
      <c r="BE1836" s="76" t="b">
        <v>0</v>
      </c>
      <c r="BF1836" s="76" t="b">
        <v>0</v>
      </c>
      <c r="BG1836" s="76" t="b">
        <v>0</v>
      </c>
      <c r="BH1836" s="82" t="str">
        <f>HYPERLINK("https://pbs.twimg.com/profile_banners/1088873046784569344/1583971378")</f>
        <v>https://pbs.twimg.com/profile_banners/1088873046784569344/1583971378</v>
      </c>
      <c r="BI1836" s="76"/>
      <c r="BJ1836" s="76" t="s">
        <v>27595</v>
      </c>
      <c r="BK1836" s="76" t="b">
        <v>0</v>
      </c>
      <c r="BL1836" s="76"/>
      <c r="BM1836" s="76" t="s">
        <v>66</v>
      </c>
      <c r="BN1836" s="76" t="s">
        <v>27597</v>
      </c>
      <c r="BO1836" s="82" t="str">
        <f>HYPERLINK("https://twitter.com/guazelliadv")</f>
        <v>https://twitter.com/guazelliadv</v>
      </c>
      <c r="BP1836" s="2"/>
    </row>
    <row r="1837" spans="1:68" x14ac:dyDescent="0.25">
      <c r="A1837" s="62" t="s">
        <v>1666</v>
      </c>
      <c r="B1837" s="63"/>
      <c r="C1837" s="63"/>
      <c r="D1837" s="64"/>
      <c r="E1837" s="66"/>
      <c r="F1837" s="103" t="str">
        <f>HYPERLINK("https://pbs.twimg.com/profile_images/1613029878051356672/EpGiPbA9_normal.jpg")</f>
        <v>https://pbs.twimg.com/profile_images/1613029878051356672/EpGiPbA9_normal.jpg</v>
      </c>
      <c r="G1837" s="63"/>
      <c r="H1837" s="67"/>
      <c r="I1837" s="68"/>
      <c r="J1837" s="68"/>
      <c r="K1837" s="67" t="s">
        <v>29431</v>
      </c>
      <c r="L1837" s="71"/>
      <c r="M1837" s="72"/>
      <c r="N1837" s="72"/>
      <c r="O1837" s="73"/>
      <c r="P1837" s="74"/>
      <c r="Q1837" s="74"/>
      <c r="R1837" s="87"/>
      <c r="S1837" s="87"/>
      <c r="T1837" s="87"/>
      <c r="U1837" s="87"/>
      <c r="V1837" s="48"/>
      <c r="W1837" s="48"/>
      <c r="X1837" s="48"/>
      <c r="Y1837" s="48"/>
      <c r="Z1837" s="47"/>
      <c r="AA1837" s="69">
        <v>1837</v>
      </c>
      <c r="AB1837" s="69"/>
      <c r="AC1837" s="70"/>
      <c r="AD1837" s="76" t="s">
        <v>23041</v>
      </c>
      <c r="AE1837" s="81" t="s">
        <v>20378</v>
      </c>
      <c r="AF1837" s="76">
        <v>107</v>
      </c>
      <c r="AG1837" s="76">
        <v>185</v>
      </c>
      <c r="AH1837" s="76">
        <v>4474</v>
      </c>
      <c r="AI1837" s="76">
        <v>4</v>
      </c>
      <c r="AJ1837" s="76">
        <v>6980</v>
      </c>
      <c r="AK1837" s="76">
        <v>2676</v>
      </c>
      <c r="AL1837" s="76" t="b">
        <v>0</v>
      </c>
      <c r="AM1837" s="78">
        <v>44937.185243055559</v>
      </c>
      <c r="AN1837" s="76"/>
      <c r="AO1837" s="76"/>
      <c r="AP1837" s="76"/>
      <c r="AQ1837" s="76"/>
      <c r="AR1837" s="76"/>
      <c r="AS1837" s="76"/>
      <c r="AT1837" s="76"/>
      <c r="AU1837" s="76"/>
      <c r="AV1837" s="76"/>
      <c r="AW1837" s="76"/>
      <c r="AX1837" s="76" t="b">
        <v>0</v>
      </c>
      <c r="AY1837" s="76"/>
      <c r="AZ1837" s="76"/>
      <c r="BA1837" s="76" t="b">
        <v>0</v>
      </c>
      <c r="BB1837" s="76" t="b">
        <v>1</v>
      </c>
      <c r="BC1837" s="76" t="b">
        <v>1</v>
      </c>
      <c r="BD1837" s="76" t="b">
        <v>0</v>
      </c>
      <c r="BE1837" s="76" t="b">
        <v>1</v>
      </c>
      <c r="BF1837" s="76" t="b">
        <v>0</v>
      </c>
      <c r="BG1837" s="76" t="b">
        <v>0</v>
      </c>
      <c r="BH1837" s="76"/>
      <c r="BI1837" s="76"/>
      <c r="BJ1837" s="76" t="s">
        <v>27595</v>
      </c>
      <c r="BK1837" s="76" t="b">
        <v>0</v>
      </c>
      <c r="BL1837" s="76"/>
      <c r="BM1837" s="76" t="s">
        <v>66</v>
      </c>
      <c r="BN1837" s="76" t="s">
        <v>27597</v>
      </c>
      <c r="BO1837" s="82" t="str">
        <f>HYPERLINK("https://twitter.com/politica_tiempo")</f>
        <v>https://twitter.com/politica_tiempo</v>
      </c>
      <c r="BP1837" s="2"/>
    </row>
    <row r="1838" spans="1:68" x14ac:dyDescent="0.25">
      <c r="A1838" s="62" t="s">
        <v>2076</v>
      </c>
      <c r="B1838" s="63"/>
      <c r="C1838" s="63"/>
      <c r="D1838" s="64"/>
      <c r="E1838" s="66"/>
      <c r="F1838" s="103" t="str">
        <f>HYPERLINK("https://pbs.twimg.com/profile_images/1691545935275266048/gSAppDQk_normal.jpg")</f>
        <v>https://pbs.twimg.com/profile_images/1691545935275266048/gSAppDQk_normal.jpg</v>
      </c>
      <c r="G1838" s="63"/>
      <c r="H1838" s="67"/>
      <c r="I1838" s="68"/>
      <c r="J1838" s="68"/>
      <c r="K1838" s="67" t="s">
        <v>29432</v>
      </c>
      <c r="L1838" s="71"/>
      <c r="M1838" s="72"/>
      <c r="N1838" s="72"/>
      <c r="O1838" s="73"/>
      <c r="P1838" s="74"/>
      <c r="Q1838" s="74"/>
      <c r="R1838" s="87"/>
      <c r="S1838" s="87"/>
      <c r="T1838" s="87"/>
      <c r="U1838" s="87"/>
      <c r="V1838" s="48"/>
      <c r="W1838" s="48"/>
      <c r="X1838" s="48"/>
      <c r="Y1838" s="48"/>
      <c r="Z1838" s="47"/>
      <c r="AA1838" s="69">
        <v>1838</v>
      </c>
      <c r="AB1838" s="69"/>
      <c r="AC1838" s="70"/>
      <c r="AD1838" s="76" t="s">
        <v>23042</v>
      </c>
      <c r="AE1838" s="81" t="s">
        <v>24033</v>
      </c>
      <c r="AF1838" s="76">
        <v>370060</v>
      </c>
      <c r="AG1838" s="76">
        <v>599</v>
      </c>
      <c r="AH1838" s="76">
        <v>11814</v>
      </c>
      <c r="AI1838" s="76">
        <v>240</v>
      </c>
      <c r="AJ1838" s="76">
        <v>2591</v>
      </c>
      <c r="AK1838" s="76">
        <v>3487</v>
      </c>
      <c r="AL1838" s="76" t="b">
        <v>0</v>
      </c>
      <c r="AM1838" s="78">
        <v>41398.995196759257</v>
      </c>
      <c r="AN1838" s="76" t="s">
        <v>24701</v>
      </c>
      <c r="AO1838" s="76" t="s">
        <v>26340</v>
      </c>
      <c r="AP1838" s="82" t="str">
        <f>HYPERLINK("https://t.co/jtxtoWK0Li")</f>
        <v>https://t.co/jtxtoWK0Li</v>
      </c>
      <c r="AQ1838" s="82" t="str">
        <f>HYPERLINK("https://www.santipresidente.com/")</f>
        <v>https://www.santipresidente.com/</v>
      </c>
      <c r="AR1838" s="76" t="s">
        <v>27353</v>
      </c>
      <c r="AS1838" s="76"/>
      <c r="AT1838" s="76"/>
      <c r="AU1838" s="76"/>
      <c r="AV1838" s="76"/>
      <c r="AW1838" s="82" t="str">
        <f>HYPERLINK("https://t.co/jtxtoWK0Li")</f>
        <v>https://t.co/jtxtoWK0Li</v>
      </c>
      <c r="AX1838" s="76" t="b">
        <v>1</v>
      </c>
      <c r="AY1838" s="76"/>
      <c r="AZ1838" s="76"/>
      <c r="BA1838" s="76" t="b">
        <v>1</v>
      </c>
      <c r="BB1838" s="76" t="b">
        <v>1</v>
      </c>
      <c r="BC1838" s="76" t="b">
        <v>1</v>
      </c>
      <c r="BD1838" s="76" t="b">
        <v>0</v>
      </c>
      <c r="BE1838" s="76" t="b">
        <v>1</v>
      </c>
      <c r="BF1838" s="76" t="b">
        <v>0</v>
      </c>
      <c r="BG1838" s="76" t="b">
        <v>0</v>
      </c>
      <c r="BH1838" s="82" t="str">
        <f>HYPERLINK("https://pbs.twimg.com/profile_banners/1403659478/1692101076")</f>
        <v>https://pbs.twimg.com/profile_banners/1403659478/1692101076</v>
      </c>
      <c r="BI1838" s="76"/>
      <c r="BJ1838" s="76" t="s">
        <v>27595</v>
      </c>
      <c r="BK1838" s="76" t="b">
        <v>0</v>
      </c>
      <c r="BL1838" s="76"/>
      <c r="BM1838" s="76" t="s">
        <v>65</v>
      </c>
      <c r="BN1838" s="76" t="s">
        <v>27597</v>
      </c>
      <c r="BO1838" s="82" t="str">
        <f>HYPERLINK("https://twitter.com/santipenap")</f>
        <v>https://twitter.com/santipenap</v>
      </c>
      <c r="BP1838" s="2"/>
    </row>
    <row r="1839" spans="1:68" x14ac:dyDescent="0.25">
      <c r="A1839" s="62" t="s">
        <v>1668</v>
      </c>
      <c r="B1839" s="63"/>
      <c r="C1839" s="63"/>
      <c r="D1839" s="64"/>
      <c r="E1839" s="66"/>
      <c r="F1839" s="103" t="str">
        <f>HYPERLINK("https://pbs.twimg.com/profile_images/1511382573468905476/UVivRWRp_normal.jpg")</f>
        <v>https://pbs.twimg.com/profile_images/1511382573468905476/UVivRWRp_normal.jpg</v>
      </c>
      <c r="G1839" s="63"/>
      <c r="H1839" s="67"/>
      <c r="I1839" s="68"/>
      <c r="J1839" s="68"/>
      <c r="K1839" s="67" t="s">
        <v>29433</v>
      </c>
      <c r="L1839" s="71"/>
      <c r="M1839" s="72"/>
      <c r="N1839" s="72"/>
      <c r="O1839" s="73"/>
      <c r="P1839" s="74"/>
      <c r="Q1839" s="74"/>
      <c r="R1839" s="87"/>
      <c r="S1839" s="87"/>
      <c r="T1839" s="87"/>
      <c r="U1839" s="87"/>
      <c r="V1839" s="48"/>
      <c r="W1839" s="48"/>
      <c r="X1839" s="48"/>
      <c r="Y1839" s="48"/>
      <c r="Z1839" s="47"/>
      <c r="AA1839" s="69">
        <v>1839</v>
      </c>
      <c r="AB1839" s="69"/>
      <c r="AC1839" s="70"/>
      <c r="AD1839" s="76" t="s">
        <v>23043</v>
      </c>
      <c r="AE1839" s="81" t="s">
        <v>24034</v>
      </c>
      <c r="AF1839" s="76">
        <v>43604</v>
      </c>
      <c r="AG1839" s="76">
        <v>131</v>
      </c>
      <c r="AH1839" s="76">
        <v>238700</v>
      </c>
      <c r="AI1839" s="76">
        <v>327</v>
      </c>
      <c r="AJ1839" s="76">
        <v>18</v>
      </c>
      <c r="AK1839" s="76">
        <v>35462</v>
      </c>
      <c r="AL1839" s="76" t="b">
        <v>0</v>
      </c>
      <c r="AM1839" s="78">
        <v>40284.543946759259</v>
      </c>
      <c r="AN1839" s="76" t="s">
        <v>24643</v>
      </c>
      <c r="AO1839" s="76" t="s">
        <v>26341</v>
      </c>
      <c r="AP1839" s="82" t="str">
        <f>HYPERLINK("https://t.co/SlT10K7zMc")</f>
        <v>https://t.co/SlT10K7zMc</v>
      </c>
      <c r="AQ1839" s="82" t="str">
        <f>HYPERLINK("http://lmneuquen.com")</f>
        <v>http://lmneuquen.com</v>
      </c>
      <c r="AR1839" s="76" t="s">
        <v>8721</v>
      </c>
      <c r="AS1839" s="76"/>
      <c r="AT1839" s="76"/>
      <c r="AU1839" s="76"/>
      <c r="AV1839" s="76">
        <v>1.70747305410688E+18</v>
      </c>
      <c r="AW1839" s="82" t="str">
        <f>HYPERLINK("https://t.co/SlT10K7zMc")</f>
        <v>https://t.co/SlT10K7zMc</v>
      </c>
      <c r="AX1839" s="76" t="b">
        <v>1</v>
      </c>
      <c r="AY1839" s="76"/>
      <c r="AZ1839" s="76"/>
      <c r="BA1839" s="76" t="b">
        <v>0</v>
      </c>
      <c r="BB1839" s="76" t="b">
        <v>1</v>
      </c>
      <c r="BC1839" s="76" t="b">
        <v>0</v>
      </c>
      <c r="BD1839" s="76" t="b">
        <v>0</v>
      </c>
      <c r="BE1839" s="76" t="b">
        <v>1</v>
      </c>
      <c r="BF1839" s="76" t="b">
        <v>0</v>
      </c>
      <c r="BG1839" s="76" t="b">
        <v>1</v>
      </c>
      <c r="BH1839" s="82" t="str">
        <f>HYPERLINK("https://pbs.twimg.com/profile_banners/133714571/1648571277")</f>
        <v>https://pbs.twimg.com/profile_banners/133714571/1648571277</v>
      </c>
      <c r="BI1839" s="76"/>
      <c r="BJ1839" s="76" t="s">
        <v>27595</v>
      </c>
      <c r="BK1839" s="76" t="b">
        <v>0</v>
      </c>
      <c r="BL1839" s="76"/>
      <c r="BM1839" s="76" t="s">
        <v>66</v>
      </c>
      <c r="BN1839" s="76" t="s">
        <v>27597</v>
      </c>
      <c r="BO1839" s="82" t="str">
        <f>HYPERLINK("https://twitter.com/lmneuquen")</f>
        <v>https://twitter.com/lmneuquen</v>
      </c>
      <c r="BP1839" s="2"/>
    </row>
    <row r="1840" spans="1:68" x14ac:dyDescent="0.25">
      <c r="A1840" s="62" t="s">
        <v>1670</v>
      </c>
      <c r="B1840" s="63"/>
      <c r="C1840" s="63"/>
      <c r="D1840" s="64"/>
      <c r="E1840" s="66"/>
      <c r="F1840" s="103" t="str">
        <f>HYPERLINK("https://pbs.twimg.com/profile_images/1683922196618436621/r84rDIo-_normal.jpg")</f>
        <v>https://pbs.twimg.com/profile_images/1683922196618436621/r84rDIo-_normal.jpg</v>
      </c>
      <c r="G1840" s="63"/>
      <c r="H1840" s="67"/>
      <c r="I1840" s="68"/>
      <c r="J1840" s="68"/>
      <c r="K1840" s="67" t="s">
        <v>29434</v>
      </c>
      <c r="L1840" s="71"/>
      <c r="M1840" s="72"/>
      <c r="N1840" s="72"/>
      <c r="O1840" s="73"/>
      <c r="P1840" s="74"/>
      <c r="Q1840" s="74"/>
      <c r="R1840" s="87"/>
      <c r="S1840" s="87"/>
      <c r="T1840" s="87"/>
      <c r="U1840" s="87"/>
      <c r="V1840" s="48"/>
      <c r="W1840" s="48"/>
      <c r="X1840" s="48"/>
      <c r="Y1840" s="48"/>
      <c r="Z1840" s="47"/>
      <c r="AA1840" s="69">
        <v>1840</v>
      </c>
      <c r="AB1840" s="69"/>
      <c r="AC1840" s="70"/>
      <c r="AD1840" s="76" t="s">
        <v>23044</v>
      </c>
      <c r="AE1840" s="81" t="s">
        <v>21194</v>
      </c>
      <c r="AF1840" s="76">
        <v>0</v>
      </c>
      <c r="AG1840" s="76">
        <v>422</v>
      </c>
      <c r="AH1840" s="76">
        <v>6012</v>
      </c>
      <c r="AI1840" s="76">
        <v>0</v>
      </c>
      <c r="AJ1840" s="76">
        <v>3653</v>
      </c>
      <c r="AK1840" s="76">
        <v>951</v>
      </c>
      <c r="AL1840" s="76" t="b">
        <v>0</v>
      </c>
      <c r="AM1840" s="78">
        <v>44253.769062500003</v>
      </c>
      <c r="AN1840" s="76" t="s">
        <v>14411</v>
      </c>
      <c r="AO1840" s="76" t="s">
        <v>26342</v>
      </c>
      <c r="AP1840" s="82" t="str">
        <f>HYPERLINK("https://t.co/fk94F12Nm4")</f>
        <v>https://t.co/fk94F12Nm4</v>
      </c>
      <c r="AQ1840" s="82" t="str">
        <f>HYPERLINK("https://veraluciafonsecabrasilia.blogspot.com/")</f>
        <v>https://veraluciafonsecabrasilia.blogspot.com/</v>
      </c>
      <c r="AR1840" s="76" t="s">
        <v>27354</v>
      </c>
      <c r="AS1840" s="76"/>
      <c r="AT1840" s="76"/>
      <c r="AU1840" s="76"/>
      <c r="AV1840" s="76">
        <v>1.7074816437143301E+18</v>
      </c>
      <c r="AW1840" s="82" t="str">
        <f>HYPERLINK("https://t.co/fk94F12Nm4")</f>
        <v>https://t.co/fk94F12Nm4</v>
      </c>
      <c r="AX1840" s="76" t="b">
        <v>0</v>
      </c>
      <c r="AY1840" s="76"/>
      <c r="AZ1840" s="76"/>
      <c r="BA1840" s="76" t="b">
        <v>1</v>
      </c>
      <c r="BB1840" s="76" t="b">
        <v>0</v>
      </c>
      <c r="BC1840" s="76" t="b">
        <v>1</v>
      </c>
      <c r="BD1840" s="76" t="b">
        <v>0</v>
      </c>
      <c r="BE1840" s="76" t="b">
        <v>1</v>
      </c>
      <c r="BF1840" s="76" t="b">
        <v>0</v>
      </c>
      <c r="BG1840" s="76" t="b">
        <v>1</v>
      </c>
      <c r="BH1840" s="82" t="str">
        <f>HYPERLINK("https://pbs.twimg.com/profile_banners/1365367800525713410/1622768291")</f>
        <v>https://pbs.twimg.com/profile_banners/1365367800525713410/1622768291</v>
      </c>
      <c r="BI1840" s="76"/>
      <c r="BJ1840" s="76" t="s">
        <v>27595</v>
      </c>
      <c r="BK1840" s="76" t="b">
        <v>0</v>
      </c>
      <c r="BL1840" s="76"/>
      <c r="BM1840" s="76" t="s">
        <v>66</v>
      </c>
      <c r="BN1840" s="76" t="s">
        <v>27597</v>
      </c>
      <c r="BO1840" s="82" t="str">
        <f>HYPERLINK("https://twitter.com/veralucfonseca")</f>
        <v>https://twitter.com/veralucfonseca</v>
      </c>
      <c r="BP1840" s="2"/>
    </row>
    <row r="1841" spans="1:68" x14ac:dyDescent="0.25">
      <c r="A1841" s="62" t="s">
        <v>1671</v>
      </c>
      <c r="B1841" s="63"/>
      <c r="C1841" s="63"/>
      <c r="D1841" s="64"/>
      <c r="E1841" s="66"/>
      <c r="F1841" s="103" t="str">
        <f>HYPERLINK("https://pbs.twimg.com/profile_images/952854291114545153/KCTV5CvW_normal.jpg")</f>
        <v>https://pbs.twimg.com/profile_images/952854291114545153/KCTV5CvW_normal.jpg</v>
      </c>
      <c r="G1841" s="63"/>
      <c r="H1841" s="67"/>
      <c r="I1841" s="68"/>
      <c r="J1841" s="68"/>
      <c r="K1841" s="67" t="s">
        <v>29435</v>
      </c>
      <c r="L1841" s="71"/>
      <c r="M1841" s="72"/>
      <c r="N1841" s="72"/>
      <c r="O1841" s="73"/>
      <c r="P1841" s="74"/>
      <c r="Q1841" s="74"/>
      <c r="R1841" s="87"/>
      <c r="S1841" s="87"/>
      <c r="T1841" s="87"/>
      <c r="U1841" s="87"/>
      <c r="V1841" s="48"/>
      <c r="W1841" s="48"/>
      <c r="X1841" s="48"/>
      <c r="Y1841" s="48"/>
      <c r="Z1841" s="47"/>
      <c r="AA1841" s="69">
        <v>1841</v>
      </c>
      <c r="AB1841" s="69"/>
      <c r="AC1841" s="70"/>
      <c r="AD1841" s="76" t="s">
        <v>23045</v>
      </c>
      <c r="AE1841" s="81" t="s">
        <v>24035</v>
      </c>
      <c r="AF1841" s="76">
        <v>13</v>
      </c>
      <c r="AG1841" s="76">
        <v>40</v>
      </c>
      <c r="AH1841" s="76">
        <v>1180</v>
      </c>
      <c r="AI1841" s="76">
        <v>0</v>
      </c>
      <c r="AJ1841" s="76">
        <v>40</v>
      </c>
      <c r="AK1841" s="76">
        <v>1131</v>
      </c>
      <c r="AL1841" s="76" t="b">
        <v>0</v>
      </c>
      <c r="AM1841" s="78">
        <v>41939.741087962961</v>
      </c>
      <c r="AN1841" s="76" t="s">
        <v>14400</v>
      </c>
      <c r="AO1841" s="76" t="s">
        <v>26343</v>
      </c>
      <c r="AP1841" s="82" t="str">
        <f>HYPERLINK("https://t.co/D4tq8fmKbk")</f>
        <v>https://t.co/D4tq8fmKbk</v>
      </c>
      <c r="AQ1841" s="82" t="str">
        <f>HYPERLINK("http://bettencourt.com.br")</f>
        <v>http://bettencourt.com.br</v>
      </c>
      <c r="AR1841" s="76" t="s">
        <v>27355</v>
      </c>
      <c r="AS1841" s="76"/>
      <c r="AT1841" s="76"/>
      <c r="AU1841" s="76"/>
      <c r="AV1841" s="76"/>
      <c r="AW1841" s="82" t="str">
        <f>HYPERLINK("https://t.co/D4tq8fmKbk")</f>
        <v>https://t.co/D4tq8fmKbk</v>
      </c>
      <c r="AX1841" s="76" t="b">
        <v>0</v>
      </c>
      <c r="AY1841" s="76"/>
      <c r="AZ1841" s="76"/>
      <c r="BA1841" s="76" t="b">
        <v>0</v>
      </c>
      <c r="BB1841" s="76" t="b">
        <v>1</v>
      </c>
      <c r="BC1841" s="76" t="b">
        <v>0</v>
      </c>
      <c r="BD1841" s="76" t="b">
        <v>0</v>
      </c>
      <c r="BE1841" s="76" t="b">
        <v>0</v>
      </c>
      <c r="BF1841" s="76" t="b">
        <v>0</v>
      </c>
      <c r="BG1841" s="76" t="b">
        <v>0</v>
      </c>
      <c r="BH1841" s="82" t="str">
        <f>HYPERLINK("https://pbs.twimg.com/profile_banners/2847022091/1605550343")</f>
        <v>https://pbs.twimg.com/profile_banners/2847022091/1605550343</v>
      </c>
      <c r="BI1841" s="76"/>
      <c r="BJ1841" s="76" t="s">
        <v>27595</v>
      </c>
      <c r="BK1841" s="76" t="b">
        <v>0</v>
      </c>
      <c r="BL1841" s="76"/>
      <c r="BM1841" s="76" t="s">
        <v>66</v>
      </c>
      <c r="BN1841" s="76" t="s">
        <v>27597</v>
      </c>
      <c r="BO1841" s="82" t="str">
        <f>HYPERLINK("https://twitter.com/grpobettencourt")</f>
        <v>https://twitter.com/grpobettencourt</v>
      </c>
      <c r="BP1841" s="2"/>
    </row>
    <row r="1842" spans="1:68" x14ac:dyDescent="0.25">
      <c r="A1842" s="62" t="s">
        <v>1673</v>
      </c>
      <c r="B1842" s="63"/>
      <c r="C1842" s="63"/>
      <c r="D1842" s="64"/>
      <c r="E1842" s="66"/>
      <c r="F1842" s="103" t="str">
        <f>HYPERLINK("https://pbs.twimg.com/profile_images/1681768961531060224/kvPEn34j_normal.jpg")</f>
        <v>https://pbs.twimg.com/profile_images/1681768961531060224/kvPEn34j_normal.jpg</v>
      </c>
      <c r="G1842" s="63"/>
      <c r="H1842" s="67"/>
      <c r="I1842" s="68"/>
      <c r="J1842" s="68"/>
      <c r="K1842" s="67" t="s">
        <v>29436</v>
      </c>
      <c r="L1842" s="71"/>
      <c r="M1842" s="72"/>
      <c r="N1842" s="72"/>
      <c r="O1842" s="73"/>
      <c r="P1842" s="74"/>
      <c r="Q1842" s="74"/>
      <c r="R1842" s="87"/>
      <c r="S1842" s="87"/>
      <c r="T1842" s="87"/>
      <c r="U1842" s="87"/>
      <c r="V1842" s="48"/>
      <c r="W1842" s="48"/>
      <c r="X1842" s="48"/>
      <c r="Y1842" s="48"/>
      <c r="Z1842" s="47"/>
      <c r="AA1842" s="69">
        <v>1842</v>
      </c>
      <c r="AB1842" s="69"/>
      <c r="AC1842" s="70"/>
      <c r="AD1842" s="76" t="s">
        <v>23046</v>
      </c>
      <c r="AE1842" s="81" t="s">
        <v>24036</v>
      </c>
      <c r="AF1842" s="76">
        <v>381</v>
      </c>
      <c r="AG1842" s="76">
        <v>146</v>
      </c>
      <c r="AH1842" s="76">
        <v>750</v>
      </c>
      <c r="AI1842" s="76">
        <v>5</v>
      </c>
      <c r="AJ1842" s="76">
        <v>174</v>
      </c>
      <c r="AK1842" s="76">
        <v>131</v>
      </c>
      <c r="AL1842" s="76" t="b">
        <v>0</v>
      </c>
      <c r="AM1842" s="78">
        <v>40827.547430555554</v>
      </c>
      <c r="AN1842" s="76" t="s">
        <v>14411</v>
      </c>
      <c r="AO1842" s="76" t="s">
        <v>26344</v>
      </c>
      <c r="AP1842" s="82" t="str">
        <f>HYPERLINK("https://t.co/3B32dexaSg")</f>
        <v>https://t.co/3B32dexaSg</v>
      </c>
      <c r="AQ1842" s="82" t="str">
        <f>HYPERLINK("https://folhadebrasilia.com")</f>
        <v>https://folhadebrasilia.com</v>
      </c>
      <c r="AR1842" s="76" t="s">
        <v>8895</v>
      </c>
      <c r="AS1842" s="76"/>
      <c r="AT1842" s="76"/>
      <c r="AU1842" s="76"/>
      <c r="AV1842" s="76"/>
      <c r="AW1842" s="82" t="str">
        <f>HYPERLINK("https://t.co/3B32dexaSg")</f>
        <v>https://t.co/3B32dexaSg</v>
      </c>
      <c r="AX1842" s="76" t="b">
        <v>0</v>
      </c>
      <c r="AY1842" s="76"/>
      <c r="AZ1842" s="76"/>
      <c r="BA1842" s="76" t="b">
        <v>0</v>
      </c>
      <c r="BB1842" s="76" t="b">
        <v>1</v>
      </c>
      <c r="BC1842" s="76" t="b">
        <v>0</v>
      </c>
      <c r="BD1842" s="76" t="b">
        <v>0</v>
      </c>
      <c r="BE1842" s="76" t="b">
        <v>0</v>
      </c>
      <c r="BF1842" s="76" t="b">
        <v>0</v>
      </c>
      <c r="BG1842" s="76" t="b">
        <v>0</v>
      </c>
      <c r="BH1842" s="82" t="str">
        <f>HYPERLINK("https://pbs.twimg.com/profile_banners/388851712/1509234748")</f>
        <v>https://pbs.twimg.com/profile_banners/388851712/1509234748</v>
      </c>
      <c r="BI1842" s="76"/>
      <c r="BJ1842" s="76" t="s">
        <v>27595</v>
      </c>
      <c r="BK1842" s="76" t="b">
        <v>0</v>
      </c>
      <c r="BL1842" s="76"/>
      <c r="BM1842" s="76" t="s">
        <v>66</v>
      </c>
      <c r="BN1842" s="76" t="s">
        <v>27597</v>
      </c>
      <c r="BO1842" s="82" t="str">
        <f>HYPERLINK("https://twitter.com/folhadebrasilia")</f>
        <v>https://twitter.com/folhadebrasilia</v>
      </c>
      <c r="BP1842" s="2"/>
    </row>
    <row r="1843" spans="1:68" x14ac:dyDescent="0.25">
      <c r="A1843" s="62" t="s">
        <v>1674</v>
      </c>
      <c r="B1843" s="63"/>
      <c r="C1843" s="63"/>
      <c r="D1843" s="64"/>
      <c r="E1843" s="66"/>
      <c r="F1843" s="103" t="str">
        <f>HYPERLINK("https://pbs.twimg.com/profile_images/1252333649548148737/tsuJ5rGh_normal.jpg")</f>
        <v>https://pbs.twimg.com/profile_images/1252333649548148737/tsuJ5rGh_normal.jpg</v>
      </c>
      <c r="G1843" s="63"/>
      <c r="H1843" s="67"/>
      <c r="I1843" s="68"/>
      <c r="J1843" s="68"/>
      <c r="K1843" s="67" t="s">
        <v>29437</v>
      </c>
      <c r="L1843" s="71"/>
      <c r="M1843" s="72"/>
      <c r="N1843" s="72"/>
      <c r="O1843" s="73"/>
      <c r="P1843" s="74"/>
      <c r="Q1843" s="74"/>
      <c r="R1843" s="87"/>
      <c r="S1843" s="87"/>
      <c r="T1843" s="87"/>
      <c r="U1843" s="87"/>
      <c r="V1843" s="48"/>
      <c r="W1843" s="48"/>
      <c r="X1843" s="48"/>
      <c r="Y1843" s="48"/>
      <c r="Z1843" s="47"/>
      <c r="AA1843" s="69">
        <v>1843</v>
      </c>
      <c r="AB1843" s="69"/>
      <c r="AC1843" s="70"/>
      <c r="AD1843" s="76" t="s">
        <v>23047</v>
      </c>
      <c r="AE1843" s="81" t="s">
        <v>24037</v>
      </c>
      <c r="AF1843" s="76">
        <v>207356</v>
      </c>
      <c r="AG1843" s="76">
        <v>52</v>
      </c>
      <c r="AH1843" s="76">
        <v>79252</v>
      </c>
      <c r="AI1843" s="76">
        <v>873</v>
      </c>
      <c r="AJ1843" s="76">
        <v>376</v>
      </c>
      <c r="AK1843" s="76">
        <v>19321</v>
      </c>
      <c r="AL1843" s="76" t="b">
        <v>0</v>
      </c>
      <c r="AM1843" s="78">
        <v>40263.910069444442</v>
      </c>
      <c r="AN1843" s="76"/>
      <c r="AO1843" s="76" t="s">
        <v>26345</v>
      </c>
      <c r="AP1843" s="82" t="str">
        <f>HYPERLINK("https://t.co/U46woxd8rn")</f>
        <v>https://t.co/U46woxd8rn</v>
      </c>
      <c r="AQ1843" s="82" t="str">
        <f>HYPERLINK("http://instagram.com/jornalismotvcultura")</f>
        <v>http://instagram.com/jornalismotvcultura</v>
      </c>
      <c r="AR1843" s="76" t="s">
        <v>27356</v>
      </c>
      <c r="AS1843" s="76"/>
      <c r="AT1843" s="76"/>
      <c r="AU1843" s="76"/>
      <c r="AV1843" s="76">
        <v>1.7074098400693199E+18</v>
      </c>
      <c r="AW1843" s="82" t="str">
        <f>HYPERLINK("https://t.co/U46woxd8rn")</f>
        <v>https://t.co/U46woxd8rn</v>
      </c>
      <c r="AX1843" s="76" t="b">
        <v>1</v>
      </c>
      <c r="AY1843" s="76"/>
      <c r="AZ1843" s="76"/>
      <c r="BA1843" s="76" t="b">
        <v>0</v>
      </c>
      <c r="BB1843" s="76" t="b">
        <v>1</v>
      </c>
      <c r="BC1843" s="76" t="b">
        <v>0</v>
      </c>
      <c r="BD1843" s="76" t="b">
        <v>0</v>
      </c>
      <c r="BE1843" s="76" t="b">
        <v>1</v>
      </c>
      <c r="BF1843" s="76" t="b">
        <v>0</v>
      </c>
      <c r="BG1843" s="76" t="b">
        <v>0</v>
      </c>
      <c r="BH1843" s="82" t="str">
        <f>HYPERLINK("https://pbs.twimg.com/profile_banners/126750296/1668448744")</f>
        <v>https://pbs.twimg.com/profile_banners/126750296/1668448744</v>
      </c>
      <c r="BI1843" s="76"/>
      <c r="BJ1843" s="76" t="s">
        <v>27595</v>
      </c>
      <c r="BK1843" s="76" t="b">
        <v>0</v>
      </c>
      <c r="BL1843" s="76"/>
      <c r="BM1843" s="76" t="s">
        <v>66</v>
      </c>
      <c r="BN1843" s="76" t="s">
        <v>27597</v>
      </c>
      <c r="BO1843" s="82" t="str">
        <f>HYPERLINK("https://twitter.com/jornal_cultura")</f>
        <v>https://twitter.com/jornal_cultura</v>
      </c>
      <c r="BP1843" s="2"/>
    </row>
    <row r="1844" spans="1:68" x14ac:dyDescent="0.25">
      <c r="A1844" s="62" t="s">
        <v>1676</v>
      </c>
      <c r="B1844" s="63"/>
      <c r="C1844" s="63"/>
      <c r="D1844" s="64"/>
      <c r="E1844" s="66"/>
      <c r="F1844" s="103" t="str">
        <f>HYPERLINK("https://pbs.twimg.com/profile_images/1691820349648732160/i8PTmUh5_normal.jpg")</f>
        <v>https://pbs.twimg.com/profile_images/1691820349648732160/i8PTmUh5_normal.jpg</v>
      </c>
      <c r="G1844" s="63"/>
      <c r="H1844" s="67"/>
      <c r="I1844" s="68"/>
      <c r="J1844" s="68"/>
      <c r="K1844" s="67" t="s">
        <v>29438</v>
      </c>
      <c r="L1844" s="71"/>
      <c r="M1844" s="72"/>
      <c r="N1844" s="72"/>
      <c r="O1844" s="73"/>
      <c r="P1844" s="74"/>
      <c r="Q1844" s="74"/>
      <c r="R1844" s="87"/>
      <c r="S1844" s="87"/>
      <c r="T1844" s="87"/>
      <c r="U1844" s="87"/>
      <c r="V1844" s="48"/>
      <c r="W1844" s="48"/>
      <c r="X1844" s="48"/>
      <c r="Y1844" s="48"/>
      <c r="Z1844" s="47"/>
      <c r="AA1844" s="69">
        <v>1844</v>
      </c>
      <c r="AB1844" s="69"/>
      <c r="AC1844" s="70"/>
      <c r="AD1844" s="76" t="s">
        <v>23048</v>
      </c>
      <c r="AE1844" s="81" t="s">
        <v>24038</v>
      </c>
      <c r="AF1844" s="76">
        <v>365</v>
      </c>
      <c r="AG1844" s="76">
        <v>1073</v>
      </c>
      <c r="AH1844" s="76">
        <v>2109</v>
      </c>
      <c r="AI1844" s="76">
        <v>6</v>
      </c>
      <c r="AJ1844" s="76">
        <v>2532</v>
      </c>
      <c r="AK1844" s="76">
        <v>149</v>
      </c>
      <c r="AL1844" s="76" t="b">
        <v>0</v>
      </c>
      <c r="AM1844" s="78">
        <v>40622.769699074073</v>
      </c>
      <c r="AN1844" s="76" t="s">
        <v>24702</v>
      </c>
      <c r="AO1844" s="76" t="s">
        <v>26346</v>
      </c>
      <c r="AP1844" s="82" t="str">
        <f>HYPERLINK("https://t.co/JF9DfAHufQ")</f>
        <v>https://t.co/JF9DfAHufQ</v>
      </c>
      <c r="AQ1844" s="82" t="str">
        <f>HYPERLINK("https://lensfrens.xyz/nicoardu.lens")</f>
        <v>https://lensfrens.xyz/nicoardu.lens</v>
      </c>
      <c r="AR1844" s="76" t="s">
        <v>27357</v>
      </c>
      <c r="AS1844" s="76"/>
      <c r="AT1844" s="76"/>
      <c r="AU1844" s="76"/>
      <c r="AV1844" s="76"/>
      <c r="AW1844" s="82" t="str">
        <f>HYPERLINK("https://t.co/JF9DfAHufQ")</f>
        <v>https://t.co/JF9DfAHufQ</v>
      </c>
      <c r="AX1844" s="76" t="b">
        <v>0</v>
      </c>
      <c r="AY1844" s="76"/>
      <c r="AZ1844" s="76"/>
      <c r="BA1844" s="76" t="b">
        <v>1</v>
      </c>
      <c r="BB1844" s="76" t="b">
        <v>1</v>
      </c>
      <c r="BC1844" s="76" t="b">
        <v>0</v>
      </c>
      <c r="BD1844" s="76" t="b">
        <v>0</v>
      </c>
      <c r="BE1844" s="76" t="b">
        <v>1</v>
      </c>
      <c r="BF1844" s="76" t="b">
        <v>0</v>
      </c>
      <c r="BG1844" s="76" t="b">
        <v>0</v>
      </c>
      <c r="BH1844" s="82" t="str">
        <f>HYPERLINK("https://pbs.twimg.com/profile_banners/269407769/1665960665")</f>
        <v>https://pbs.twimg.com/profile_banners/269407769/1665960665</v>
      </c>
      <c r="BI1844" s="76"/>
      <c r="BJ1844" s="76" t="s">
        <v>27595</v>
      </c>
      <c r="BK1844" s="76" t="b">
        <v>0</v>
      </c>
      <c r="BL1844" s="76"/>
      <c r="BM1844" s="76" t="s">
        <v>66</v>
      </c>
      <c r="BN1844" s="76" t="s">
        <v>27597</v>
      </c>
      <c r="BO1844" s="82" t="str">
        <f>HYPERLINK("https://twitter.com/nicoardu")</f>
        <v>https://twitter.com/nicoardu</v>
      </c>
      <c r="BP1844" s="2"/>
    </row>
    <row r="1845" spans="1:68" x14ac:dyDescent="0.25">
      <c r="A1845" s="62" t="s">
        <v>1680</v>
      </c>
      <c r="B1845" s="63"/>
      <c r="C1845" s="63"/>
      <c r="D1845" s="64"/>
      <c r="E1845" s="66"/>
      <c r="F1845" s="103" t="str">
        <f>HYPERLINK("https://pbs.twimg.com/profile_images/1652859049816276992/9ftC2sio_normal.jpg")</f>
        <v>https://pbs.twimg.com/profile_images/1652859049816276992/9ftC2sio_normal.jpg</v>
      </c>
      <c r="G1845" s="63"/>
      <c r="H1845" s="67"/>
      <c r="I1845" s="68"/>
      <c r="J1845" s="68"/>
      <c r="K1845" s="67" t="s">
        <v>29439</v>
      </c>
      <c r="L1845" s="71"/>
      <c r="M1845" s="72"/>
      <c r="N1845" s="72"/>
      <c r="O1845" s="73"/>
      <c r="P1845" s="74"/>
      <c r="Q1845" s="74"/>
      <c r="R1845" s="87"/>
      <c r="S1845" s="87"/>
      <c r="T1845" s="87"/>
      <c r="U1845" s="87"/>
      <c r="V1845" s="48"/>
      <c r="W1845" s="48"/>
      <c r="X1845" s="48"/>
      <c r="Y1845" s="48"/>
      <c r="Z1845" s="47"/>
      <c r="AA1845" s="69">
        <v>1845</v>
      </c>
      <c r="AB1845" s="69"/>
      <c r="AC1845" s="70"/>
      <c r="AD1845" s="76" t="s">
        <v>23049</v>
      </c>
      <c r="AE1845" s="81" t="s">
        <v>24039</v>
      </c>
      <c r="AF1845" s="76">
        <v>476</v>
      </c>
      <c r="AG1845" s="76">
        <v>1282</v>
      </c>
      <c r="AH1845" s="76">
        <v>5757</v>
      </c>
      <c r="AI1845" s="76">
        <v>4</v>
      </c>
      <c r="AJ1845" s="76">
        <v>25129</v>
      </c>
      <c r="AK1845" s="76">
        <v>166</v>
      </c>
      <c r="AL1845" s="76" t="b">
        <v>0</v>
      </c>
      <c r="AM1845" s="78">
        <v>40578.580451388887</v>
      </c>
      <c r="AN1845" s="76"/>
      <c r="AO1845" s="76" t="s">
        <v>26347</v>
      </c>
      <c r="AP1845" s="76"/>
      <c r="AQ1845" s="76"/>
      <c r="AR1845" s="76"/>
      <c r="AS1845" s="76"/>
      <c r="AT1845" s="76"/>
      <c r="AU1845" s="76"/>
      <c r="AV1845" s="76">
        <v>1.6612035276774001E+18</v>
      </c>
      <c r="AW1845" s="76"/>
      <c r="AX1845" s="76" t="b">
        <v>0</v>
      </c>
      <c r="AY1845" s="76"/>
      <c r="AZ1845" s="76"/>
      <c r="BA1845" s="76" t="b">
        <v>0</v>
      </c>
      <c r="BB1845" s="76" t="b">
        <v>1</v>
      </c>
      <c r="BC1845" s="76" t="b">
        <v>1</v>
      </c>
      <c r="BD1845" s="76" t="b">
        <v>0</v>
      </c>
      <c r="BE1845" s="76" t="b">
        <v>0</v>
      </c>
      <c r="BF1845" s="76" t="b">
        <v>0</v>
      </c>
      <c r="BG1845" s="76" t="b">
        <v>0</v>
      </c>
      <c r="BH1845" s="82" t="str">
        <f>HYPERLINK("https://pbs.twimg.com/profile_banners/247288325/1681954834")</f>
        <v>https://pbs.twimg.com/profile_banners/247288325/1681954834</v>
      </c>
      <c r="BI1845" s="76"/>
      <c r="BJ1845" s="76" t="s">
        <v>27595</v>
      </c>
      <c r="BK1845" s="76" t="b">
        <v>0</v>
      </c>
      <c r="BL1845" s="76"/>
      <c r="BM1845" s="76" t="s">
        <v>66</v>
      </c>
      <c r="BN1845" s="76" t="s">
        <v>27597</v>
      </c>
      <c r="BO1845" s="82" t="str">
        <f>HYPERLINK("https://twitter.com/heroisdaciencia")</f>
        <v>https://twitter.com/heroisdaciencia</v>
      </c>
      <c r="BP1845" s="2"/>
    </row>
    <row r="1846" spans="1:68" x14ac:dyDescent="0.25">
      <c r="A1846" s="62" t="s">
        <v>1682</v>
      </c>
      <c r="B1846" s="63"/>
      <c r="C1846" s="63"/>
      <c r="D1846" s="64"/>
      <c r="E1846" s="66"/>
      <c r="F1846" s="103" t="str">
        <f>HYPERLINK("https://pbs.twimg.com/profile_images/517599195306659840/DLCxxlDI_normal.jpeg")</f>
        <v>https://pbs.twimg.com/profile_images/517599195306659840/DLCxxlDI_normal.jpeg</v>
      </c>
      <c r="G1846" s="63"/>
      <c r="H1846" s="67"/>
      <c r="I1846" s="68"/>
      <c r="J1846" s="68"/>
      <c r="K1846" s="67" t="s">
        <v>29440</v>
      </c>
      <c r="L1846" s="71"/>
      <c r="M1846" s="72"/>
      <c r="N1846" s="72"/>
      <c r="O1846" s="73"/>
      <c r="P1846" s="74"/>
      <c r="Q1846" s="74"/>
      <c r="R1846" s="87"/>
      <c r="S1846" s="87"/>
      <c r="T1846" s="87"/>
      <c r="U1846" s="87"/>
      <c r="V1846" s="48"/>
      <c r="W1846" s="48"/>
      <c r="X1846" s="48"/>
      <c r="Y1846" s="48"/>
      <c r="Z1846" s="47"/>
      <c r="AA1846" s="69">
        <v>1846</v>
      </c>
      <c r="AB1846" s="69"/>
      <c r="AC1846" s="70"/>
      <c r="AD1846" s="76" t="s">
        <v>23050</v>
      </c>
      <c r="AE1846" s="81" t="s">
        <v>24040</v>
      </c>
      <c r="AF1846" s="76">
        <v>279</v>
      </c>
      <c r="AG1846" s="76">
        <v>755</v>
      </c>
      <c r="AH1846" s="76">
        <v>26520</v>
      </c>
      <c r="AI1846" s="76">
        <v>0</v>
      </c>
      <c r="AJ1846" s="76">
        <v>39299</v>
      </c>
      <c r="AK1846" s="76">
        <v>104</v>
      </c>
      <c r="AL1846" s="76" t="b">
        <v>0</v>
      </c>
      <c r="AM1846" s="78">
        <v>41907.264340277776</v>
      </c>
      <c r="AN1846" s="76" t="s">
        <v>24703</v>
      </c>
      <c r="AO1846" s="76"/>
      <c r="AP1846" s="76"/>
      <c r="AQ1846" s="76"/>
      <c r="AR1846" s="76"/>
      <c r="AS1846" s="76"/>
      <c r="AT1846" s="76"/>
      <c r="AU1846" s="76"/>
      <c r="AV1846" s="76">
        <v>1.69689838038174E+18</v>
      </c>
      <c r="AW1846" s="76"/>
      <c r="AX1846" s="76" t="b">
        <v>0</v>
      </c>
      <c r="AY1846" s="76"/>
      <c r="AZ1846" s="76"/>
      <c r="BA1846" s="76" t="b">
        <v>0</v>
      </c>
      <c r="BB1846" s="76" t="b">
        <v>1</v>
      </c>
      <c r="BC1846" s="76" t="b">
        <v>1</v>
      </c>
      <c r="BD1846" s="76" t="b">
        <v>0</v>
      </c>
      <c r="BE1846" s="76" t="b">
        <v>1</v>
      </c>
      <c r="BF1846" s="76" t="b">
        <v>0</v>
      </c>
      <c r="BG1846" s="76" t="b">
        <v>0</v>
      </c>
      <c r="BH1846" s="82" t="str">
        <f>HYPERLINK("https://pbs.twimg.com/profile_banners/2783425719/1656455418")</f>
        <v>https://pbs.twimg.com/profile_banners/2783425719/1656455418</v>
      </c>
      <c r="BI1846" s="76"/>
      <c r="BJ1846" s="76" t="s">
        <v>27595</v>
      </c>
      <c r="BK1846" s="76" t="b">
        <v>0</v>
      </c>
      <c r="BL1846" s="76"/>
      <c r="BM1846" s="76" t="s">
        <v>66</v>
      </c>
      <c r="BN1846" s="76" t="s">
        <v>27597</v>
      </c>
      <c r="BO1846" s="82" t="str">
        <f>HYPERLINK("https://twitter.com/isaborsan")</f>
        <v>https://twitter.com/isaborsan</v>
      </c>
      <c r="BP1846" s="2"/>
    </row>
    <row r="1847" spans="1:68" x14ac:dyDescent="0.25">
      <c r="A1847" s="62" t="s">
        <v>1683</v>
      </c>
      <c r="B1847" s="63"/>
      <c r="C1847" s="63"/>
      <c r="D1847" s="64"/>
      <c r="E1847" s="66"/>
      <c r="F1847" s="103" t="str">
        <f>HYPERLINK("https://pbs.twimg.com/profile_images/1479487650390286337/To2P4Eib_normal.jpg")</f>
        <v>https://pbs.twimg.com/profile_images/1479487650390286337/To2P4Eib_normal.jpg</v>
      </c>
      <c r="G1847" s="63"/>
      <c r="H1847" s="67"/>
      <c r="I1847" s="68"/>
      <c r="J1847" s="68"/>
      <c r="K1847" s="67" t="s">
        <v>29441</v>
      </c>
      <c r="L1847" s="71"/>
      <c r="M1847" s="72"/>
      <c r="N1847" s="72"/>
      <c r="O1847" s="73"/>
      <c r="P1847" s="74"/>
      <c r="Q1847" s="74"/>
      <c r="R1847" s="87"/>
      <c r="S1847" s="87"/>
      <c r="T1847" s="87"/>
      <c r="U1847" s="87"/>
      <c r="V1847" s="48"/>
      <c r="W1847" s="48"/>
      <c r="X1847" s="48"/>
      <c r="Y1847" s="48"/>
      <c r="Z1847" s="47"/>
      <c r="AA1847" s="69">
        <v>1847</v>
      </c>
      <c r="AB1847" s="69"/>
      <c r="AC1847" s="70"/>
      <c r="AD1847" s="76" t="s">
        <v>23051</v>
      </c>
      <c r="AE1847" s="81" t="s">
        <v>20379</v>
      </c>
      <c r="AF1847" s="76">
        <v>3166</v>
      </c>
      <c r="AG1847" s="76">
        <v>192</v>
      </c>
      <c r="AH1847" s="76">
        <v>66892</v>
      </c>
      <c r="AI1847" s="76">
        <v>22</v>
      </c>
      <c r="AJ1847" s="76">
        <v>977</v>
      </c>
      <c r="AK1847" s="76">
        <v>7613</v>
      </c>
      <c r="AL1847" s="76" t="b">
        <v>0</v>
      </c>
      <c r="AM1847" s="78">
        <v>43171.809861111113</v>
      </c>
      <c r="AN1847" s="76" t="s">
        <v>24704</v>
      </c>
      <c r="AO1847" s="76" t="s">
        <v>26348</v>
      </c>
      <c r="AP1847" s="82" t="str">
        <f>HYPERLINK("https://t.co/MwK4CVtUjb")</f>
        <v>https://t.co/MwK4CVtUjb</v>
      </c>
      <c r="AQ1847" s="82" t="str">
        <f>HYPERLINK("http://www.eleditorplatense.com")</f>
        <v>http://www.eleditorplatense.com</v>
      </c>
      <c r="AR1847" s="76" t="s">
        <v>8896</v>
      </c>
      <c r="AS1847" s="76"/>
      <c r="AT1847" s="76"/>
      <c r="AU1847" s="76"/>
      <c r="AV1847" s="76">
        <v>1.7073662439618701E+18</v>
      </c>
      <c r="AW1847" s="82" t="str">
        <f>HYPERLINK("https://t.co/MwK4CVtUjb")</f>
        <v>https://t.co/MwK4CVtUjb</v>
      </c>
      <c r="AX1847" s="76" t="b">
        <v>0</v>
      </c>
      <c r="AY1847" s="76"/>
      <c r="AZ1847" s="76"/>
      <c r="BA1847" s="76" t="b">
        <v>0</v>
      </c>
      <c r="BB1847" s="76" t="b">
        <v>1</v>
      </c>
      <c r="BC1847" s="76" t="b">
        <v>0</v>
      </c>
      <c r="BD1847" s="76" t="b">
        <v>0</v>
      </c>
      <c r="BE1847" s="76" t="b">
        <v>1</v>
      </c>
      <c r="BF1847" s="76" t="b">
        <v>0</v>
      </c>
      <c r="BG1847" s="76" t="b">
        <v>0</v>
      </c>
      <c r="BH1847" s="82" t="str">
        <f>HYPERLINK("https://pbs.twimg.com/profile_banners/973279006102622209/1683560285")</f>
        <v>https://pbs.twimg.com/profile_banners/973279006102622209/1683560285</v>
      </c>
      <c r="BI1847" s="76"/>
      <c r="BJ1847" s="76" t="s">
        <v>27595</v>
      </c>
      <c r="BK1847" s="76" t="b">
        <v>0</v>
      </c>
      <c r="BL1847" s="76"/>
      <c r="BM1847" s="76" t="s">
        <v>66</v>
      </c>
      <c r="BN1847" s="76" t="s">
        <v>27597</v>
      </c>
      <c r="BO1847" s="82" t="str">
        <f>HYPERLINK("https://twitter.com/editor_platense")</f>
        <v>https://twitter.com/editor_platense</v>
      </c>
      <c r="BP1847" s="2"/>
    </row>
    <row r="1848" spans="1:68" x14ac:dyDescent="0.25">
      <c r="A1848" s="62" t="s">
        <v>1684</v>
      </c>
      <c r="B1848" s="63"/>
      <c r="C1848" s="63"/>
      <c r="D1848" s="64"/>
      <c r="E1848" s="66"/>
      <c r="F1848" s="103" t="str">
        <f>HYPERLINK("https://pbs.twimg.com/profile_images/1496044203415064580/VKaLEV6b_normal.jpg")</f>
        <v>https://pbs.twimg.com/profile_images/1496044203415064580/VKaLEV6b_normal.jpg</v>
      </c>
      <c r="G1848" s="63"/>
      <c r="H1848" s="67"/>
      <c r="I1848" s="68"/>
      <c r="J1848" s="68"/>
      <c r="K1848" s="67" t="s">
        <v>29442</v>
      </c>
      <c r="L1848" s="71"/>
      <c r="M1848" s="72"/>
      <c r="N1848" s="72"/>
      <c r="O1848" s="73"/>
      <c r="P1848" s="74"/>
      <c r="Q1848" s="74"/>
      <c r="R1848" s="87"/>
      <c r="S1848" s="87"/>
      <c r="T1848" s="87"/>
      <c r="U1848" s="87"/>
      <c r="V1848" s="48"/>
      <c r="W1848" s="48"/>
      <c r="X1848" s="48"/>
      <c r="Y1848" s="48"/>
      <c r="Z1848" s="47"/>
      <c r="AA1848" s="69">
        <v>1848</v>
      </c>
      <c r="AB1848" s="69"/>
      <c r="AC1848" s="70"/>
      <c r="AD1848" s="76" t="s">
        <v>23052</v>
      </c>
      <c r="AE1848" s="81" t="s">
        <v>24041</v>
      </c>
      <c r="AF1848" s="76">
        <v>1278</v>
      </c>
      <c r="AG1848" s="76">
        <v>595</v>
      </c>
      <c r="AH1848" s="76">
        <v>3269</v>
      </c>
      <c r="AI1848" s="76">
        <v>16</v>
      </c>
      <c r="AJ1848" s="76">
        <v>163</v>
      </c>
      <c r="AK1848" s="76">
        <v>686</v>
      </c>
      <c r="AL1848" s="76" t="b">
        <v>0</v>
      </c>
      <c r="AM1848" s="78">
        <v>40765.215289351851</v>
      </c>
      <c r="AN1848" s="76" t="s">
        <v>24705</v>
      </c>
      <c r="AO1848" s="76" t="s">
        <v>26349</v>
      </c>
      <c r="AP1848" s="82" t="str">
        <f>HYPERLINK("https://t.co/6MLCsUUwby")</f>
        <v>https://t.co/6MLCsUUwby</v>
      </c>
      <c r="AQ1848" s="82" t="str">
        <f>HYPERLINK("https://www.activtrades.com/pt/")</f>
        <v>https://www.activtrades.com/pt/</v>
      </c>
      <c r="AR1848" s="76" t="s">
        <v>27358</v>
      </c>
      <c r="AS1848" s="76"/>
      <c r="AT1848" s="76"/>
      <c r="AU1848" s="76"/>
      <c r="AV1848" s="76"/>
      <c r="AW1848" s="82" t="str">
        <f>HYPERLINK("https://t.co/6MLCsUUwby")</f>
        <v>https://t.co/6MLCsUUwby</v>
      </c>
      <c r="AX1848" s="76" t="b">
        <v>0</v>
      </c>
      <c r="AY1848" s="76"/>
      <c r="AZ1848" s="76"/>
      <c r="BA1848" s="76" t="b">
        <v>0</v>
      </c>
      <c r="BB1848" s="76" t="b">
        <v>1</v>
      </c>
      <c r="BC1848" s="76" t="b">
        <v>0</v>
      </c>
      <c r="BD1848" s="76" t="b">
        <v>0</v>
      </c>
      <c r="BE1848" s="76" t="b">
        <v>0</v>
      </c>
      <c r="BF1848" s="76" t="b">
        <v>0</v>
      </c>
      <c r="BG1848" s="76" t="b">
        <v>0</v>
      </c>
      <c r="BH1848" s="82" t="str">
        <f>HYPERLINK("https://pbs.twimg.com/profile_banners/352118324/1691593107")</f>
        <v>https://pbs.twimg.com/profile_banners/352118324/1691593107</v>
      </c>
      <c r="BI1848" s="76"/>
      <c r="BJ1848" s="76" t="s">
        <v>27595</v>
      </c>
      <c r="BK1848" s="76" t="b">
        <v>0</v>
      </c>
      <c r="BL1848" s="76"/>
      <c r="BM1848" s="76" t="s">
        <v>66</v>
      </c>
      <c r="BN1848" s="76" t="s">
        <v>27597</v>
      </c>
      <c r="BO1848" s="82" t="str">
        <f>HYPERLINK("https://twitter.com/activtrades_pt")</f>
        <v>https://twitter.com/activtrades_pt</v>
      </c>
      <c r="BP1848" s="2"/>
    </row>
    <row r="1849" spans="1:68" x14ac:dyDescent="0.25">
      <c r="A1849" s="62" t="s">
        <v>1685</v>
      </c>
      <c r="B1849" s="63"/>
      <c r="C1849" s="63"/>
      <c r="D1849" s="64"/>
      <c r="E1849" s="66"/>
      <c r="F1849" s="103" t="str">
        <f>HYPERLINK("https://pbs.twimg.com/profile_images/1533256824580886528/dhYtm5GG_normal.jpg")</f>
        <v>https://pbs.twimg.com/profile_images/1533256824580886528/dhYtm5GG_normal.jpg</v>
      </c>
      <c r="G1849" s="63"/>
      <c r="H1849" s="67"/>
      <c r="I1849" s="68"/>
      <c r="J1849" s="68"/>
      <c r="K1849" s="67" t="s">
        <v>29443</v>
      </c>
      <c r="L1849" s="71"/>
      <c r="M1849" s="72"/>
      <c r="N1849" s="72"/>
      <c r="O1849" s="73"/>
      <c r="P1849" s="74"/>
      <c r="Q1849" s="74"/>
      <c r="R1849" s="87"/>
      <c r="S1849" s="87"/>
      <c r="T1849" s="87"/>
      <c r="U1849" s="87"/>
      <c r="V1849" s="48"/>
      <c r="W1849" s="48"/>
      <c r="X1849" s="48"/>
      <c r="Y1849" s="48"/>
      <c r="Z1849" s="47"/>
      <c r="AA1849" s="69">
        <v>1849</v>
      </c>
      <c r="AB1849" s="69"/>
      <c r="AC1849" s="70"/>
      <c r="AD1849" s="76" t="s">
        <v>23053</v>
      </c>
      <c r="AE1849" s="81" t="s">
        <v>24042</v>
      </c>
      <c r="AF1849" s="76">
        <v>3813</v>
      </c>
      <c r="AG1849" s="76">
        <v>4339</v>
      </c>
      <c r="AH1849" s="76">
        <v>28191</v>
      </c>
      <c r="AI1849" s="76">
        <v>3</v>
      </c>
      <c r="AJ1849" s="76">
        <v>74093</v>
      </c>
      <c r="AK1849" s="76">
        <v>415</v>
      </c>
      <c r="AL1849" s="76" t="b">
        <v>0</v>
      </c>
      <c r="AM1849" s="78">
        <v>40610.957060185188</v>
      </c>
      <c r="AN1849" s="76" t="s">
        <v>14400</v>
      </c>
      <c r="AO1849" s="76" t="s">
        <v>26350</v>
      </c>
      <c r="AP1849" s="76"/>
      <c r="AQ1849" s="76"/>
      <c r="AR1849" s="76"/>
      <c r="AS1849" s="76"/>
      <c r="AT1849" s="76"/>
      <c r="AU1849" s="76"/>
      <c r="AV1849" s="76">
        <v>1.6624557134891899E+18</v>
      </c>
      <c r="AW1849" s="76"/>
      <c r="AX1849" s="76" t="b">
        <v>0</v>
      </c>
      <c r="AY1849" s="76"/>
      <c r="AZ1849" s="76"/>
      <c r="BA1849" s="76" t="b">
        <v>0</v>
      </c>
      <c r="BB1849" s="76" t="b">
        <v>0</v>
      </c>
      <c r="BC1849" s="76" t="b">
        <v>0</v>
      </c>
      <c r="BD1849" s="76" t="b">
        <v>0</v>
      </c>
      <c r="BE1849" s="76" t="b">
        <v>1</v>
      </c>
      <c r="BF1849" s="76" t="b">
        <v>0</v>
      </c>
      <c r="BG1849" s="76" t="b">
        <v>0</v>
      </c>
      <c r="BH1849" s="82" t="str">
        <f>HYPERLINK("https://pbs.twimg.com/profile_banners/262871415/1642074466")</f>
        <v>https://pbs.twimg.com/profile_banners/262871415/1642074466</v>
      </c>
      <c r="BI1849" s="76"/>
      <c r="BJ1849" s="76" t="s">
        <v>27595</v>
      </c>
      <c r="BK1849" s="76" t="b">
        <v>0</v>
      </c>
      <c r="BL1849" s="76"/>
      <c r="BM1849" s="76" t="s">
        <v>66</v>
      </c>
      <c r="BN1849" s="76" t="s">
        <v>27597</v>
      </c>
      <c r="BO1849" s="82" t="str">
        <f>HYPERLINK("https://twitter.com/jonatasamorimsp")</f>
        <v>https://twitter.com/jonatasamorimsp</v>
      </c>
      <c r="BP1849" s="2"/>
    </row>
    <row r="1850" spans="1:68" x14ac:dyDescent="0.25">
      <c r="A1850" s="62" t="s">
        <v>1686</v>
      </c>
      <c r="B1850" s="63"/>
      <c r="C1850" s="63"/>
      <c r="D1850" s="64"/>
      <c r="E1850" s="66"/>
      <c r="F1850" s="103" t="str">
        <f>HYPERLINK("https://pbs.twimg.com/profile_images/2241047933/Logo_laranja_FACe_normal.jpg")</f>
        <v>https://pbs.twimg.com/profile_images/2241047933/Logo_laranja_FACe_normal.jpg</v>
      </c>
      <c r="G1850" s="63"/>
      <c r="H1850" s="67"/>
      <c r="I1850" s="68"/>
      <c r="J1850" s="68"/>
      <c r="K1850" s="67" t="s">
        <v>29444</v>
      </c>
      <c r="L1850" s="71"/>
      <c r="M1850" s="72"/>
      <c r="N1850" s="72"/>
      <c r="O1850" s="73"/>
      <c r="P1850" s="74"/>
      <c r="Q1850" s="74"/>
      <c r="R1850" s="87"/>
      <c r="S1850" s="87"/>
      <c r="T1850" s="87"/>
      <c r="U1850" s="87"/>
      <c r="V1850" s="48"/>
      <c r="W1850" s="48"/>
      <c r="X1850" s="48"/>
      <c r="Y1850" s="48"/>
      <c r="Z1850" s="47"/>
      <c r="AA1850" s="69">
        <v>1850</v>
      </c>
      <c r="AB1850" s="69"/>
      <c r="AC1850" s="70"/>
      <c r="AD1850" s="76" t="s">
        <v>23054</v>
      </c>
      <c r="AE1850" s="81" t="s">
        <v>24043</v>
      </c>
      <c r="AF1850" s="76">
        <v>519</v>
      </c>
      <c r="AG1850" s="76">
        <v>465</v>
      </c>
      <c r="AH1850" s="76">
        <v>7486</v>
      </c>
      <c r="AI1850" s="76">
        <v>1</v>
      </c>
      <c r="AJ1850" s="76">
        <v>197</v>
      </c>
      <c r="AK1850" s="76">
        <v>629</v>
      </c>
      <c r="AL1850" s="76" t="b">
        <v>0</v>
      </c>
      <c r="AM1850" s="78">
        <v>41051.64366898148</v>
      </c>
      <c r="AN1850" s="76" t="s">
        <v>24706</v>
      </c>
      <c r="AO1850" s="76" t="s">
        <v>26351</v>
      </c>
      <c r="AP1850" s="82" t="str">
        <f>HYPERLINK("https://t.co/IwdFdVTcAi")</f>
        <v>https://t.co/IwdFdVTcAi</v>
      </c>
      <c r="AQ1850" s="82" t="str">
        <f>HYPERLINK("http://www.bancax.org.br")</f>
        <v>http://www.bancax.org.br</v>
      </c>
      <c r="AR1850" s="76" t="s">
        <v>27359</v>
      </c>
      <c r="AS1850" s="76"/>
      <c r="AT1850" s="76"/>
      <c r="AU1850" s="76"/>
      <c r="AV1850" s="76"/>
      <c r="AW1850" s="82" t="str">
        <f>HYPERLINK("https://t.co/IwdFdVTcAi")</f>
        <v>https://t.co/IwdFdVTcAi</v>
      </c>
      <c r="AX1850" s="76" t="b">
        <v>0</v>
      </c>
      <c r="AY1850" s="76"/>
      <c r="AZ1850" s="76"/>
      <c r="BA1850" s="76" t="b">
        <v>0</v>
      </c>
      <c r="BB1850" s="76" t="b">
        <v>1</v>
      </c>
      <c r="BC1850" s="76" t="b">
        <v>0</v>
      </c>
      <c r="BD1850" s="76" t="b">
        <v>0</v>
      </c>
      <c r="BE1850" s="76" t="b">
        <v>0</v>
      </c>
      <c r="BF1850" s="76" t="b">
        <v>0</v>
      </c>
      <c r="BG1850" s="76" t="b">
        <v>0</v>
      </c>
      <c r="BH1850" s="82" t="str">
        <f>HYPERLINK("https://pbs.twimg.com/profile_banners/587509450/1694527955")</f>
        <v>https://pbs.twimg.com/profile_banners/587509450/1694527955</v>
      </c>
      <c r="BI1850" s="76"/>
      <c r="BJ1850" s="76" t="s">
        <v>27595</v>
      </c>
      <c r="BK1850" s="76" t="b">
        <v>0</v>
      </c>
      <c r="BL1850" s="76"/>
      <c r="BM1850" s="76" t="s">
        <v>66</v>
      </c>
      <c r="BN1850" s="76" t="s">
        <v>27597</v>
      </c>
      <c r="BO1850" s="82" t="str">
        <f>HYPERLINK("https://twitter.com/bancarioscaxias")</f>
        <v>https://twitter.com/bancarioscaxias</v>
      </c>
      <c r="BP1850" s="2"/>
    </row>
    <row r="1851" spans="1:68" x14ac:dyDescent="0.25">
      <c r="A1851" s="62" t="s">
        <v>1687</v>
      </c>
      <c r="B1851" s="63"/>
      <c r="C1851" s="63"/>
      <c r="D1851" s="64"/>
      <c r="E1851" s="66"/>
      <c r="F1851" s="103" t="str">
        <f>HYPERLINK("https://pbs.twimg.com/profile_images/1546640990659874816/MjBCtwGG_normal.jpg")</f>
        <v>https://pbs.twimg.com/profile_images/1546640990659874816/MjBCtwGG_normal.jpg</v>
      </c>
      <c r="G1851" s="63"/>
      <c r="H1851" s="67"/>
      <c r="I1851" s="68"/>
      <c r="J1851" s="68"/>
      <c r="K1851" s="67" t="s">
        <v>29445</v>
      </c>
      <c r="L1851" s="71"/>
      <c r="M1851" s="72"/>
      <c r="N1851" s="72"/>
      <c r="O1851" s="73"/>
      <c r="P1851" s="74"/>
      <c r="Q1851" s="74"/>
      <c r="R1851" s="87"/>
      <c r="S1851" s="87"/>
      <c r="T1851" s="87"/>
      <c r="U1851" s="87"/>
      <c r="V1851" s="48"/>
      <c r="W1851" s="48"/>
      <c r="X1851" s="48"/>
      <c r="Y1851" s="48"/>
      <c r="Z1851" s="47"/>
      <c r="AA1851" s="69">
        <v>1851</v>
      </c>
      <c r="AB1851" s="69"/>
      <c r="AC1851" s="70"/>
      <c r="AD1851" s="76" t="s">
        <v>23055</v>
      </c>
      <c r="AE1851" s="81" t="s">
        <v>24044</v>
      </c>
      <c r="AF1851" s="76">
        <v>2806</v>
      </c>
      <c r="AG1851" s="76">
        <v>1403</v>
      </c>
      <c r="AH1851" s="76">
        <v>48022</v>
      </c>
      <c r="AI1851" s="76">
        <v>18</v>
      </c>
      <c r="AJ1851" s="76">
        <v>923</v>
      </c>
      <c r="AK1851" s="76">
        <v>7586</v>
      </c>
      <c r="AL1851" s="76" t="b">
        <v>0</v>
      </c>
      <c r="AM1851" s="78">
        <v>41107.89234953704</v>
      </c>
      <c r="AN1851" s="76" t="s">
        <v>24707</v>
      </c>
      <c r="AO1851" s="76" t="s">
        <v>26352</v>
      </c>
      <c r="AP1851" s="82" t="str">
        <f>HYPERLINK("https://t.co/KTOJUoiJSU")</f>
        <v>https://t.co/KTOJUoiJSU</v>
      </c>
      <c r="AQ1851" s="82" t="str">
        <f>HYPERLINK("https://www.radiokermes.com/links/")</f>
        <v>https://www.radiokermes.com/links/</v>
      </c>
      <c r="AR1851" s="76" t="s">
        <v>27360</v>
      </c>
      <c r="AS1851" s="76"/>
      <c r="AT1851" s="76"/>
      <c r="AU1851" s="76"/>
      <c r="AV1851" s="76"/>
      <c r="AW1851" s="82" t="str">
        <f>HYPERLINK("https://t.co/KTOJUoiJSU")</f>
        <v>https://t.co/KTOJUoiJSU</v>
      </c>
      <c r="AX1851" s="76" t="b">
        <v>0</v>
      </c>
      <c r="AY1851" s="76"/>
      <c r="AZ1851" s="76"/>
      <c r="BA1851" s="76" t="b">
        <v>1</v>
      </c>
      <c r="BB1851" s="76" t="b">
        <v>1</v>
      </c>
      <c r="BC1851" s="76" t="b">
        <v>0</v>
      </c>
      <c r="BD1851" s="76" t="b">
        <v>0</v>
      </c>
      <c r="BE1851" s="76" t="b">
        <v>1</v>
      </c>
      <c r="BF1851" s="76" t="b">
        <v>0</v>
      </c>
      <c r="BG1851" s="76" t="b">
        <v>0</v>
      </c>
      <c r="BH1851" s="82" t="str">
        <f>HYPERLINK("https://pbs.twimg.com/profile_banners/701804413/1622952305")</f>
        <v>https://pbs.twimg.com/profile_banners/701804413/1622952305</v>
      </c>
      <c r="BI1851" s="76"/>
      <c r="BJ1851" s="76" t="s">
        <v>27595</v>
      </c>
      <c r="BK1851" s="76" t="b">
        <v>0</v>
      </c>
      <c r="BL1851" s="76"/>
      <c r="BM1851" s="76" t="s">
        <v>66</v>
      </c>
      <c r="BN1851" s="76" t="s">
        <v>27597</v>
      </c>
      <c r="BO1851" s="82" t="str">
        <f>HYPERLINK("https://twitter.com/radiokermes")</f>
        <v>https://twitter.com/radiokermes</v>
      </c>
      <c r="BP1851" s="2"/>
    </row>
    <row r="1852" spans="1:68" x14ac:dyDescent="0.25">
      <c r="A1852" s="62" t="s">
        <v>1688</v>
      </c>
      <c r="B1852" s="63"/>
      <c r="C1852" s="63"/>
      <c r="D1852" s="64"/>
      <c r="E1852" s="66"/>
      <c r="F1852" s="103" t="str">
        <f>HYPERLINK("https://pbs.twimg.com/profile_images/1704164477137022976/ebT083Q3_normal.jpg")</f>
        <v>https://pbs.twimg.com/profile_images/1704164477137022976/ebT083Q3_normal.jpg</v>
      </c>
      <c r="G1852" s="63"/>
      <c r="H1852" s="67"/>
      <c r="I1852" s="68"/>
      <c r="J1852" s="68"/>
      <c r="K1852" s="67" t="s">
        <v>29446</v>
      </c>
      <c r="L1852" s="71"/>
      <c r="M1852" s="72"/>
      <c r="N1852" s="72"/>
      <c r="O1852" s="73"/>
      <c r="P1852" s="74"/>
      <c r="Q1852" s="74"/>
      <c r="R1852" s="87"/>
      <c r="S1852" s="87"/>
      <c r="T1852" s="87"/>
      <c r="U1852" s="87"/>
      <c r="V1852" s="48"/>
      <c r="W1852" s="48"/>
      <c r="X1852" s="48"/>
      <c r="Y1852" s="48"/>
      <c r="Z1852" s="47"/>
      <c r="AA1852" s="69">
        <v>1852</v>
      </c>
      <c r="AB1852" s="69"/>
      <c r="AC1852" s="70"/>
      <c r="AD1852" s="76" t="s">
        <v>23056</v>
      </c>
      <c r="AE1852" s="81" t="s">
        <v>21197</v>
      </c>
      <c r="AF1852" s="76">
        <v>93</v>
      </c>
      <c r="AG1852" s="76">
        <v>1274</v>
      </c>
      <c r="AH1852" s="76">
        <v>13153</v>
      </c>
      <c r="AI1852" s="76">
        <v>0</v>
      </c>
      <c r="AJ1852" s="76">
        <v>34064</v>
      </c>
      <c r="AK1852" s="76">
        <v>727</v>
      </c>
      <c r="AL1852" s="76" t="b">
        <v>0</v>
      </c>
      <c r="AM1852" s="78">
        <v>43577.882754629631</v>
      </c>
      <c r="AN1852" s="76"/>
      <c r="AO1852" s="76" t="s">
        <v>26353</v>
      </c>
      <c r="AP1852" s="76"/>
      <c r="AQ1852" s="76"/>
      <c r="AR1852" s="76"/>
      <c r="AS1852" s="76"/>
      <c r="AT1852" s="76"/>
      <c r="AU1852" s="76"/>
      <c r="AV1852" s="76"/>
      <c r="AW1852" s="76"/>
      <c r="AX1852" s="76" t="b">
        <v>0</v>
      </c>
      <c r="AY1852" s="76"/>
      <c r="AZ1852" s="76"/>
      <c r="BA1852" s="76" t="b">
        <v>0</v>
      </c>
      <c r="BB1852" s="76" t="b">
        <v>0</v>
      </c>
      <c r="BC1852" s="76" t="b">
        <v>1</v>
      </c>
      <c r="BD1852" s="76" t="b">
        <v>0</v>
      </c>
      <c r="BE1852" s="76" t="b">
        <v>1</v>
      </c>
      <c r="BF1852" s="76" t="b">
        <v>0</v>
      </c>
      <c r="BG1852" s="76" t="b">
        <v>0</v>
      </c>
      <c r="BH1852" s="82" t="str">
        <f>HYPERLINK("https://pbs.twimg.com/profile_banners/1120434894088364032/1694630548")</f>
        <v>https://pbs.twimg.com/profile_banners/1120434894088364032/1694630548</v>
      </c>
      <c r="BI1852" s="76"/>
      <c r="BJ1852" s="76" t="s">
        <v>27595</v>
      </c>
      <c r="BK1852" s="76" t="b">
        <v>0</v>
      </c>
      <c r="BL1852" s="76"/>
      <c r="BM1852" s="76" t="s">
        <v>66</v>
      </c>
      <c r="BN1852" s="76" t="s">
        <v>27597</v>
      </c>
      <c r="BO1852" s="82" t="str">
        <f>HYPERLINK("https://twitter.com/santakidnap_")</f>
        <v>https://twitter.com/santakidnap_</v>
      </c>
      <c r="BP1852" s="2"/>
    </row>
    <row r="1853" spans="1:68" x14ac:dyDescent="0.25">
      <c r="A1853" s="62" t="s">
        <v>1689</v>
      </c>
      <c r="B1853" s="63"/>
      <c r="C1853" s="63"/>
      <c r="D1853" s="64"/>
      <c r="E1853" s="66"/>
      <c r="F1853" s="103" t="str">
        <f>HYPERLINK("https://pbs.twimg.com/profile_images/1704999525163679744/SHN7gCbC_normal.jpg")</f>
        <v>https://pbs.twimg.com/profile_images/1704999525163679744/SHN7gCbC_normal.jpg</v>
      </c>
      <c r="G1853" s="63"/>
      <c r="H1853" s="67"/>
      <c r="I1853" s="68"/>
      <c r="J1853" s="68"/>
      <c r="K1853" s="67" t="s">
        <v>29447</v>
      </c>
      <c r="L1853" s="71"/>
      <c r="M1853" s="72"/>
      <c r="N1853" s="72"/>
      <c r="O1853" s="73"/>
      <c r="P1853" s="74"/>
      <c r="Q1853" s="74"/>
      <c r="R1853" s="87"/>
      <c r="S1853" s="87"/>
      <c r="T1853" s="87"/>
      <c r="U1853" s="87"/>
      <c r="V1853" s="48"/>
      <c r="W1853" s="48"/>
      <c r="X1853" s="48"/>
      <c r="Y1853" s="48"/>
      <c r="Z1853" s="47"/>
      <c r="AA1853" s="69">
        <v>1853</v>
      </c>
      <c r="AB1853" s="69"/>
      <c r="AC1853" s="70"/>
      <c r="AD1853" s="76" t="s">
        <v>23057</v>
      </c>
      <c r="AE1853" s="81" t="s">
        <v>21198</v>
      </c>
      <c r="AF1853" s="76">
        <v>426</v>
      </c>
      <c r="AG1853" s="76">
        <v>425</v>
      </c>
      <c r="AH1853" s="76">
        <v>659</v>
      </c>
      <c r="AI1853" s="76">
        <v>0</v>
      </c>
      <c r="AJ1853" s="76">
        <v>911</v>
      </c>
      <c r="AK1853" s="76">
        <v>7</v>
      </c>
      <c r="AL1853" s="76" t="b">
        <v>0</v>
      </c>
      <c r="AM1853" s="78">
        <v>44551.72351851852</v>
      </c>
      <c r="AN1853" s="76"/>
      <c r="AO1853" s="76" t="s">
        <v>26354</v>
      </c>
      <c r="AP1853" s="82" t="str">
        <f>HYPERLINK("https://t.co/2PraB6kjee")</f>
        <v>https://t.co/2PraB6kjee</v>
      </c>
      <c r="AQ1853" s="82" t="str">
        <f>HYPERLINK("http://portaldeanews.com")</f>
        <v>http://portaldeanews.com</v>
      </c>
      <c r="AR1853" s="76" t="s">
        <v>27361</v>
      </c>
      <c r="AS1853" s="76"/>
      <c r="AT1853" s="76"/>
      <c r="AU1853" s="76"/>
      <c r="AV1853" s="76">
        <v>1.65557697949873E+18</v>
      </c>
      <c r="AW1853" s="82" t="str">
        <f>HYPERLINK("https://t.co/2PraB6kjee")</f>
        <v>https://t.co/2PraB6kjee</v>
      </c>
      <c r="AX1853" s="76" t="b">
        <v>0</v>
      </c>
      <c r="AY1853" s="76"/>
      <c r="AZ1853" s="76"/>
      <c r="BA1853" s="76" t="b">
        <v>0</v>
      </c>
      <c r="BB1853" s="76" t="b">
        <v>1</v>
      </c>
      <c r="BC1853" s="76" t="b">
        <v>1</v>
      </c>
      <c r="BD1853" s="76" t="b">
        <v>0</v>
      </c>
      <c r="BE1853" s="76" t="b">
        <v>1</v>
      </c>
      <c r="BF1853" s="76" t="b">
        <v>0</v>
      </c>
      <c r="BG1853" s="76" t="b">
        <v>0</v>
      </c>
      <c r="BH1853" s="82" t="str">
        <f>HYPERLINK("https://pbs.twimg.com/profile_banners/1473342920367525894/1695338719")</f>
        <v>https://pbs.twimg.com/profile_banners/1473342920367525894/1695338719</v>
      </c>
      <c r="BI1853" s="76"/>
      <c r="BJ1853" s="76" t="s">
        <v>27595</v>
      </c>
      <c r="BK1853" s="76" t="b">
        <v>0</v>
      </c>
      <c r="BL1853" s="76"/>
      <c r="BM1853" s="76" t="s">
        <v>66</v>
      </c>
      <c r="BN1853" s="76" t="s">
        <v>27597</v>
      </c>
      <c r="BO1853" s="82" t="str">
        <f>HYPERLINK("https://twitter.com/portaldeanews")</f>
        <v>https://twitter.com/portaldeanews</v>
      </c>
      <c r="BP1853" s="2"/>
    </row>
    <row r="1854" spans="1:68" x14ac:dyDescent="0.25">
      <c r="A1854" s="62" t="s">
        <v>1690</v>
      </c>
      <c r="B1854" s="63"/>
      <c r="C1854" s="63"/>
      <c r="D1854" s="64"/>
      <c r="E1854" s="66"/>
      <c r="F1854" s="103" t="str">
        <f>HYPERLINK("https://pbs.twimg.com/profile_images/1664303095390646272/HNCRgk8M_normal.jpg")</f>
        <v>https://pbs.twimg.com/profile_images/1664303095390646272/HNCRgk8M_normal.jpg</v>
      </c>
      <c r="G1854" s="63"/>
      <c r="H1854" s="67"/>
      <c r="I1854" s="68"/>
      <c r="J1854" s="68"/>
      <c r="K1854" s="67" t="s">
        <v>29448</v>
      </c>
      <c r="L1854" s="71"/>
      <c r="M1854" s="72"/>
      <c r="N1854" s="72"/>
      <c r="O1854" s="73"/>
      <c r="P1854" s="74"/>
      <c r="Q1854" s="74"/>
      <c r="R1854" s="87"/>
      <c r="S1854" s="87"/>
      <c r="T1854" s="87"/>
      <c r="U1854" s="87"/>
      <c r="V1854" s="48"/>
      <c r="W1854" s="48"/>
      <c r="X1854" s="48"/>
      <c r="Y1854" s="48"/>
      <c r="Z1854" s="47"/>
      <c r="AA1854" s="69">
        <v>1854</v>
      </c>
      <c r="AB1854" s="69"/>
      <c r="AC1854" s="70"/>
      <c r="AD1854" s="76" t="s">
        <v>23058</v>
      </c>
      <c r="AE1854" s="81" t="s">
        <v>24045</v>
      </c>
      <c r="AF1854" s="76">
        <v>156</v>
      </c>
      <c r="AG1854" s="76">
        <v>439</v>
      </c>
      <c r="AH1854" s="76">
        <v>425</v>
      </c>
      <c r="AI1854" s="76">
        <v>0</v>
      </c>
      <c r="AJ1854" s="76">
        <v>225</v>
      </c>
      <c r="AK1854" s="76">
        <v>82</v>
      </c>
      <c r="AL1854" s="76" t="b">
        <v>0</v>
      </c>
      <c r="AM1854" s="78">
        <v>41981.971770833334</v>
      </c>
      <c r="AN1854" s="76" t="s">
        <v>14436</v>
      </c>
      <c r="AO1854" s="76"/>
      <c r="AP1854" s="76"/>
      <c r="AQ1854" s="76"/>
      <c r="AR1854" s="76"/>
      <c r="AS1854" s="76"/>
      <c r="AT1854" s="76"/>
      <c r="AU1854" s="76"/>
      <c r="AV1854" s="76"/>
      <c r="AW1854" s="76"/>
      <c r="AX1854" s="76" t="b">
        <v>0</v>
      </c>
      <c r="AY1854" s="76"/>
      <c r="AZ1854" s="76"/>
      <c r="BA1854" s="76" t="b">
        <v>0</v>
      </c>
      <c r="BB1854" s="76" t="b">
        <v>0</v>
      </c>
      <c r="BC1854" s="76" t="b">
        <v>0</v>
      </c>
      <c r="BD1854" s="76" t="b">
        <v>0</v>
      </c>
      <c r="BE1854" s="76" t="b">
        <v>1</v>
      </c>
      <c r="BF1854" s="76" t="b">
        <v>0</v>
      </c>
      <c r="BG1854" s="76" t="b">
        <v>0</v>
      </c>
      <c r="BH1854" s="82" t="str">
        <f>HYPERLINK("https://pbs.twimg.com/profile_banners/2911771803/1685635756")</f>
        <v>https://pbs.twimg.com/profile_banners/2911771803/1685635756</v>
      </c>
      <c r="BI1854" s="76"/>
      <c r="BJ1854" s="76" t="s">
        <v>27595</v>
      </c>
      <c r="BK1854" s="76" t="b">
        <v>0</v>
      </c>
      <c r="BL1854" s="76"/>
      <c r="BM1854" s="76" t="s">
        <v>66</v>
      </c>
      <c r="BN1854" s="76" t="s">
        <v>27597</v>
      </c>
      <c r="BO1854" s="82" t="str">
        <f>HYPERLINK("https://twitter.com/vasco_ecu")</f>
        <v>https://twitter.com/vasco_ecu</v>
      </c>
      <c r="BP1854" s="2"/>
    </row>
    <row r="1855" spans="1:68" x14ac:dyDescent="0.25">
      <c r="A1855" s="62" t="s">
        <v>1691</v>
      </c>
      <c r="B1855" s="63"/>
      <c r="C1855" s="63"/>
      <c r="D1855" s="64"/>
      <c r="E1855" s="66"/>
      <c r="F1855" s="103" t="str">
        <f>HYPERLINK("https://pbs.twimg.com/profile_images/1526290003147513857/Ln4IxToW_normal.jpg")</f>
        <v>https://pbs.twimg.com/profile_images/1526290003147513857/Ln4IxToW_normal.jpg</v>
      </c>
      <c r="G1855" s="63"/>
      <c r="H1855" s="67"/>
      <c r="I1855" s="68"/>
      <c r="J1855" s="68"/>
      <c r="K1855" s="67" t="s">
        <v>29449</v>
      </c>
      <c r="L1855" s="71"/>
      <c r="M1855" s="72"/>
      <c r="N1855" s="72"/>
      <c r="O1855" s="73"/>
      <c r="P1855" s="74"/>
      <c r="Q1855" s="74"/>
      <c r="R1855" s="87"/>
      <c r="S1855" s="87"/>
      <c r="T1855" s="87"/>
      <c r="U1855" s="87"/>
      <c r="V1855" s="48"/>
      <c r="W1855" s="48"/>
      <c r="X1855" s="48"/>
      <c r="Y1855" s="48"/>
      <c r="Z1855" s="47"/>
      <c r="AA1855" s="69">
        <v>1855</v>
      </c>
      <c r="AB1855" s="69"/>
      <c r="AC1855" s="70"/>
      <c r="AD1855" s="76" t="s">
        <v>23059</v>
      </c>
      <c r="AE1855" s="81" t="s">
        <v>24046</v>
      </c>
      <c r="AF1855" s="76">
        <v>869</v>
      </c>
      <c r="AG1855" s="76">
        <v>1206</v>
      </c>
      <c r="AH1855" s="76">
        <v>894</v>
      </c>
      <c r="AI1855" s="76">
        <v>33</v>
      </c>
      <c r="AJ1855" s="76">
        <v>1648</v>
      </c>
      <c r="AK1855" s="76">
        <v>244</v>
      </c>
      <c r="AL1855" s="76" t="b">
        <v>0</v>
      </c>
      <c r="AM1855" s="78">
        <v>40459.535254629627</v>
      </c>
      <c r="AN1855" s="76"/>
      <c r="AO1855" s="76" t="s">
        <v>26355</v>
      </c>
      <c r="AP1855" s="76"/>
      <c r="AQ1855" s="76"/>
      <c r="AR1855" s="76"/>
      <c r="AS1855" s="76"/>
      <c r="AT1855" s="76"/>
      <c r="AU1855" s="76"/>
      <c r="AV1855" s="76"/>
      <c r="AW1855" s="76"/>
      <c r="AX1855" s="76" t="b">
        <v>0</v>
      </c>
      <c r="AY1855" s="76"/>
      <c r="AZ1855" s="76"/>
      <c r="BA1855" s="76" t="b">
        <v>0</v>
      </c>
      <c r="BB1855" s="76" t="b">
        <v>1</v>
      </c>
      <c r="BC1855" s="76" t="b">
        <v>1</v>
      </c>
      <c r="BD1855" s="76" t="b">
        <v>0</v>
      </c>
      <c r="BE1855" s="76" t="b">
        <v>1</v>
      </c>
      <c r="BF1855" s="76" t="b">
        <v>0</v>
      </c>
      <c r="BG1855" s="76" t="b">
        <v>0</v>
      </c>
      <c r="BH1855" s="82" t="str">
        <f>HYPERLINK("https://pbs.twimg.com/profile_banners/200095198/1665962961")</f>
        <v>https://pbs.twimg.com/profile_banners/200095198/1665962961</v>
      </c>
      <c r="BI1855" s="76"/>
      <c r="BJ1855" s="76" t="s">
        <v>27595</v>
      </c>
      <c r="BK1855" s="76" t="b">
        <v>0</v>
      </c>
      <c r="BL1855" s="76"/>
      <c r="BM1855" s="76" t="s">
        <v>66</v>
      </c>
      <c r="BN1855" s="76" t="s">
        <v>27597</v>
      </c>
      <c r="BO1855" s="82" t="str">
        <f>HYPERLINK("https://twitter.com/letapineda")</f>
        <v>https://twitter.com/letapineda</v>
      </c>
      <c r="BP1855" s="2"/>
    </row>
    <row r="1856" spans="1:68" x14ac:dyDescent="0.25">
      <c r="A1856" s="88" t="s">
        <v>2077</v>
      </c>
      <c r="B1856" s="89"/>
      <c r="C1856" s="89"/>
      <c r="D1856" s="90"/>
      <c r="E1856" s="91"/>
      <c r="F1856" s="104" t="str">
        <f>HYPERLINK("https://pbs.twimg.com/profile_images/1665746177910865921/R-uogLYU_normal.jpg")</f>
        <v>https://pbs.twimg.com/profile_images/1665746177910865921/R-uogLYU_normal.jpg</v>
      </c>
      <c r="G1856" s="89"/>
      <c r="H1856" s="92"/>
      <c r="I1856" s="93"/>
      <c r="J1856" s="93"/>
      <c r="K1856" s="92" t="s">
        <v>29450</v>
      </c>
      <c r="L1856" s="94"/>
      <c r="M1856" s="95"/>
      <c r="N1856" s="95"/>
      <c r="O1856" s="96"/>
      <c r="P1856" s="97"/>
      <c r="Q1856" s="97"/>
      <c r="R1856" s="98"/>
      <c r="S1856" s="98"/>
      <c r="T1856" s="98"/>
      <c r="U1856" s="98"/>
      <c r="V1856" s="99"/>
      <c r="W1856" s="99"/>
      <c r="X1856" s="99"/>
      <c r="Y1856" s="99"/>
      <c r="Z1856" s="100"/>
      <c r="AA1856" s="101">
        <v>1856</v>
      </c>
      <c r="AB1856" s="101"/>
      <c r="AC1856" s="102"/>
      <c r="AD1856" s="76" t="s">
        <v>23060</v>
      </c>
      <c r="AE1856" s="81" t="s">
        <v>24047</v>
      </c>
      <c r="AF1856" s="76">
        <v>674741</v>
      </c>
      <c r="AG1856" s="76">
        <v>975</v>
      </c>
      <c r="AH1856" s="76">
        <v>229201</v>
      </c>
      <c r="AI1856" s="76">
        <v>5738</v>
      </c>
      <c r="AJ1856" s="76">
        <v>367</v>
      </c>
      <c r="AK1856" s="76">
        <v>148217</v>
      </c>
      <c r="AL1856" s="76" t="b">
        <v>0</v>
      </c>
      <c r="AM1856" s="78">
        <v>41180.583495370367</v>
      </c>
      <c r="AN1856" s="76" t="s">
        <v>24127</v>
      </c>
      <c r="AO1856" s="76" t="s">
        <v>26356</v>
      </c>
      <c r="AP1856" s="82" t="str">
        <f>HYPERLINK("https://t.co/0Td03cewsI")</f>
        <v>https://t.co/0Td03cewsI</v>
      </c>
      <c r="AQ1856" s="82" t="str">
        <f>HYPERLINK("http://www.afp.com/es")</f>
        <v>http://www.afp.com/es</v>
      </c>
      <c r="AR1856" s="76" t="s">
        <v>27362</v>
      </c>
      <c r="AS1856" s="82" t="str">
        <f>HYPERLINK("https://t.co/MtNsjDVcyx")</f>
        <v>https://t.co/MtNsjDVcyx</v>
      </c>
      <c r="AT1856" s="82" t="str">
        <f>HYPERLINK("http://u.afp.com/AFPespanol")</f>
        <v>http://u.afp.com/AFPespanol</v>
      </c>
      <c r="AU1856" s="76" t="s">
        <v>27592</v>
      </c>
      <c r="AV1856" s="76"/>
      <c r="AW1856" s="82" t="str">
        <f>HYPERLINK("https://t.co/0Td03cewsI")</f>
        <v>https://t.co/0Td03cewsI</v>
      </c>
      <c r="AX1856" s="76" t="b">
        <v>0</v>
      </c>
      <c r="AY1856" s="76"/>
      <c r="AZ1856" s="76"/>
      <c r="BA1856" s="76" t="b">
        <v>1</v>
      </c>
      <c r="BB1856" s="76" t="b">
        <v>1</v>
      </c>
      <c r="BC1856" s="76" t="b">
        <v>0</v>
      </c>
      <c r="BD1856" s="76" t="b">
        <v>0</v>
      </c>
      <c r="BE1856" s="76" t="b">
        <v>0</v>
      </c>
      <c r="BF1856" s="76" t="b">
        <v>0</v>
      </c>
      <c r="BG1856" s="76" t="b">
        <v>0</v>
      </c>
      <c r="BH1856" s="82" t="str">
        <f>HYPERLINK("https://pbs.twimg.com/profile_banners/851108442/1606670390")</f>
        <v>https://pbs.twimg.com/profile_banners/851108442/1606670390</v>
      </c>
      <c r="BI1856" s="76"/>
      <c r="BJ1856" s="76" t="s">
        <v>27595</v>
      </c>
      <c r="BK1856" s="76" t="b">
        <v>0</v>
      </c>
      <c r="BL1856" s="76"/>
      <c r="BM1856" s="76" t="s">
        <v>65</v>
      </c>
      <c r="BN1856" s="76" t="s">
        <v>27597</v>
      </c>
      <c r="BO1856" s="82" t="str">
        <f>HYPERLINK("https://twitter.com/afpespanol")</f>
        <v>https://twitter.com/afpespanol</v>
      </c>
      <c r="BP1856" s="2"/>
    </row>
    <row r="1857" spans="1:68" x14ac:dyDescent="0.25">
      <c r="A1857" s="62" t="s">
        <v>8913</v>
      </c>
      <c r="B1857" s="63"/>
      <c r="C1857" s="63"/>
      <c r="D1857" s="64"/>
      <c r="E1857" s="66"/>
      <c r="F1857" s="103" t="str">
        <f>HYPERLINK("https://pbs.twimg.com/profile_images/1575852201448280069/lltWFSlS_normal.jpg")</f>
        <v>https://pbs.twimg.com/profile_images/1575852201448280069/lltWFSlS_normal.jpg</v>
      </c>
      <c r="G1857" s="63" t="s">
        <v>51</v>
      </c>
      <c r="H1857" s="67"/>
      <c r="I1857" s="68"/>
      <c r="J1857" s="68"/>
      <c r="K1857" s="67" t="s">
        <v>29451</v>
      </c>
      <c r="L1857" s="71"/>
      <c r="M1857" s="72"/>
      <c r="N1857" s="72"/>
      <c r="O1857" s="73"/>
      <c r="P1857" s="74"/>
      <c r="Q1857" s="74"/>
      <c r="R1857" s="87"/>
      <c r="S1857" s="87"/>
      <c r="T1857" s="87"/>
      <c r="U1857" s="87"/>
      <c r="V1857" s="48"/>
      <c r="W1857" s="48"/>
      <c r="X1857" s="48"/>
      <c r="Y1857" s="48"/>
      <c r="Z1857" s="47"/>
      <c r="AA1857" s="69">
        <v>1857</v>
      </c>
      <c r="AB1857" s="69"/>
      <c r="AC1857" s="70"/>
      <c r="AD1857" s="76" t="s">
        <v>23061</v>
      </c>
      <c r="AE1857" s="81" t="s">
        <v>24048</v>
      </c>
      <c r="AF1857" s="76">
        <v>13066</v>
      </c>
      <c r="AG1857" s="76">
        <v>2149</v>
      </c>
      <c r="AH1857" s="76">
        <v>9826</v>
      </c>
      <c r="AI1857" s="76">
        <v>18</v>
      </c>
      <c r="AJ1857" s="76">
        <v>489</v>
      </c>
      <c r="AK1857" s="76">
        <v>2936</v>
      </c>
      <c r="AL1857" s="76" t="b">
        <v>0</v>
      </c>
      <c r="AM1857" s="78">
        <v>40680.946192129632</v>
      </c>
      <c r="AN1857" s="76" t="s">
        <v>14386</v>
      </c>
      <c r="AO1857" s="76" t="s">
        <v>26357</v>
      </c>
      <c r="AP1857" s="82" t="str">
        <f>HYPERLINK("https://t.co/xjG1cajXjd")</f>
        <v>https://t.co/xjG1cajXjd</v>
      </c>
      <c r="AQ1857" s="82" t="str">
        <f>HYPERLINK("http://www.hites.com")</f>
        <v>http://www.hites.com</v>
      </c>
      <c r="AR1857" s="76" t="s">
        <v>27363</v>
      </c>
      <c r="AS1857" s="82" t="str">
        <f>HYPERLINK("https://t.co/vQXwmzAMCI")</f>
        <v>https://t.co/vQXwmzAMCI</v>
      </c>
      <c r="AT1857" s="82" t="str">
        <f>HYPERLINK("http://bit.ly/3zNzi2w")</f>
        <v>http://bit.ly/3zNzi2w</v>
      </c>
      <c r="AU1857" s="76" t="s">
        <v>27593</v>
      </c>
      <c r="AV1857" s="76"/>
      <c r="AW1857" s="82" t="str">
        <f>HYPERLINK("https://t.co/xjG1cajXjd")</f>
        <v>https://t.co/xjG1cajXjd</v>
      </c>
      <c r="AX1857" s="76" t="b">
        <v>0</v>
      </c>
      <c r="AY1857" s="76"/>
      <c r="AZ1857" s="76"/>
      <c r="BA1857" s="76" t="b">
        <v>1</v>
      </c>
      <c r="BB1857" s="76" t="b">
        <v>0</v>
      </c>
      <c r="BC1857" s="76" t="b">
        <v>0</v>
      </c>
      <c r="BD1857" s="76" t="b">
        <v>0</v>
      </c>
      <c r="BE1857" s="76" t="b">
        <v>1</v>
      </c>
      <c r="BF1857" s="76" t="b">
        <v>0</v>
      </c>
      <c r="BG1857" s="76" t="b">
        <v>0</v>
      </c>
      <c r="BH1857" s="82" t="str">
        <f>HYPERLINK("https://pbs.twimg.com/profile_banners/300530694/1695912666")</f>
        <v>https://pbs.twimg.com/profile_banners/300530694/1695912666</v>
      </c>
      <c r="BI1857" s="76"/>
      <c r="BJ1857" s="76" t="s">
        <v>27595</v>
      </c>
      <c r="BK1857" s="76" t="b">
        <v>0</v>
      </c>
      <c r="BL1857" s="76"/>
      <c r="BM1857" s="76" t="s">
        <v>65</v>
      </c>
      <c r="BN1857" s="76" t="s">
        <v>27597</v>
      </c>
      <c r="BO1857" s="82" t="str">
        <f>HYPERLINK("https://twitter.com/tiendashites")</f>
        <v>https://twitter.com/tiendashites</v>
      </c>
      <c r="BP1857" s="2"/>
    </row>
    <row r="1858" spans="1:68" x14ac:dyDescent="0.25">
      <c r="A1858" s="62" t="s">
        <v>21209</v>
      </c>
      <c r="B1858" s="63"/>
      <c r="C1858" s="63"/>
      <c r="D1858" s="64"/>
      <c r="E1858" s="66"/>
      <c r="F1858" s="103" t="str">
        <f>HYPERLINK("https://pbs.twimg.com/profile_images/2204006603/Francisco_Cabrillo_1_reducida_normal.JPG")</f>
        <v>https://pbs.twimg.com/profile_images/2204006603/Francisco_Cabrillo_1_reducida_normal.JPG</v>
      </c>
      <c r="G1858" s="63" t="s">
        <v>51</v>
      </c>
      <c r="H1858" s="67"/>
      <c r="I1858" s="68"/>
      <c r="J1858" s="68"/>
      <c r="K1858" s="67" t="s">
        <v>29452</v>
      </c>
      <c r="L1858" s="71"/>
      <c r="M1858" s="72"/>
      <c r="N1858" s="72"/>
      <c r="O1858" s="73"/>
      <c r="P1858" s="74"/>
      <c r="Q1858" s="74"/>
      <c r="R1858" s="87"/>
      <c r="S1858" s="87"/>
      <c r="T1858" s="87"/>
      <c r="U1858" s="87"/>
      <c r="V1858" s="48"/>
      <c r="W1858" s="48"/>
      <c r="X1858" s="48"/>
      <c r="Y1858" s="48"/>
      <c r="Z1858" s="47"/>
      <c r="AA1858" s="69">
        <v>1858</v>
      </c>
      <c r="AB1858" s="69"/>
      <c r="AC1858" s="70"/>
      <c r="AD1858" s="76" t="s">
        <v>23062</v>
      </c>
      <c r="AE1858" s="81" t="s">
        <v>24049</v>
      </c>
      <c r="AF1858" s="76">
        <v>293</v>
      </c>
      <c r="AG1858" s="76">
        <v>13</v>
      </c>
      <c r="AH1858" s="76">
        <v>0</v>
      </c>
      <c r="AI1858" s="76">
        <v>4</v>
      </c>
      <c r="AJ1858" s="76">
        <v>0</v>
      </c>
      <c r="AK1858" s="76">
        <v>0</v>
      </c>
      <c r="AL1858" s="76" t="b">
        <v>0</v>
      </c>
      <c r="AM1858" s="78">
        <v>41038.448425925926</v>
      </c>
      <c r="AN1858" s="76"/>
      <c r="AO1858" s="76" t="s">
        <v>26358</v>
      </c>
      <c r="AP1858" s="76"/>
      <c r="AQ1858" s="76"/>
      <c r="AR1858" s="76"/>
      <c r="AS1858" s="76"/>
      <c r="AT1858" s="76"/>
      <c r="AU1858" s="76"/>
      <c r="AV1858" s="76"/>
      <c r="AW1858" s="76"/>
      <c r="AX1858" s="76" t="b">
        <v>0</v>
      </c>
      <c r="AY1858" s="76"/>
      <c r="AZ1858" s="76"/>
      <c r="BA1858" s="76" t="b">
        <v>0</v>
      </c>
      <c r="BB1858" s="76" t="b">
        <v>1</v>
      </c>
      <c r="BC1858" s="76" t="b">
        <v>1</v>
      </c>
      <c r="BD1858" s="76" t="b">
        <v>0</v>
      </c>
      <c r="BE1858" s="76" t="b">
        <v>0</v>
      </c>
      <c r="BF1858" s="76" t="b">
        <v>0</v>
      </c>
      <c r="BG1858" s="76" t="b">
        <v>0</v>
      </c>
      <c r="BH1858" s="76"/>
      <c r="BI1858" s="76"/>
      <c r="BJ1858" s="76" t="s">
        <v>27595</v>
      </c>
      <c r="BK1858" s="76" t="b">
        <v>0</v>
      </c>
      <c r="BL1858" s="76"/>
      <c r="BM1858" s="76" t="s">
        <v>65</v>
      </c>
      <c r="BN1858" s="76" t="s">
        <v>27597</v>
      </c>
      <c r="BO1858" s="82" t="str">
        <f>HYPERLINK("https://twitter.com/pacocabrillo")</f>
        <v>https://twitter.com/pacocabrillo</v>
      </c>
      <c r="BP1858" s="2"/>
    </row>
    <row r="1859" spans="1:68" x14ac:dyDescent="0.25">
      <c r="A1859" s="62" t="s">
        <v>21210</v>
      </c>
      <c r="B1859" s="63"/>
      <c r="C1859" s="63"/>
      <c r="D1859" s="64"/>
      <c r="E1859" s="66"/>
      <c r="F1859" s="103" t="str">
        <f>HYPERLINK("https://pbs.twimg.com/profile_images/1042882349384577030/iq7NrudD_normal.jpg")</f>
        <v>https://pbs.twimg.com/profile_images/1042882349384577030/iq7NrudD_normal.jpg</v>
      </c>
      <c r="G1859" s="63" t="s">
        <v>51</v>
      </c>
      <c r="H1859" s="67"/>
      <c r="I1859" s="68"/>
      <c r="J1859" s="68"/>
      <c r="K1859" s="67" t="s">
        <v>29453</v>
      </c>
      <c r="L1859" s="71"/>
      <c r="M1859" s="72"/>
      <c r="N1859" s="72"/>
      <c r="O1859" s="73"/>
      <c r="P1859" s="74"/>
      <c r="Q1859" s="74"/>
      <c r="R1859" s="87"/>
      <c r="S1859" s="87"/>
      <c r="T1859" s="87"/>
      <c r="U1859" s="87"/>
      <c r="V1859" s="48"/>
      <c r="W1859" s="48"/>
      <c r="X1859" s="48"/>
      <c r="Y1859" s="48"/>
      <c r="Z1859" s="47"/>
      <c r="AA1859" s="69">
        <v>1859</v>
      </c>
      <c r="AB1859" s="69"/>
      <c r="AC1859" s="70"/>
      <c r="AD1859" s="76" t="s">
        <v>23063</v>
      </c>
      <c r="AE1859" s="81" t="s">
        <v>24050</v>
      </c>
      <c r="AF1859" s="76">
        <v>6000</v>
      </c>
      <c r="AG1859" s="76">
        <v>305</v>
      </c>
      <c r="AH1859" s="76">
        <v>923</v>
      </c>
      <c r="AI1859" s="76">
        <v>32</v>
      </c>
      <c r="AJ1859" s="76">
        <v>1225</v>
      </c>
      <c r="AK1859" s="76">
        <v>78</v>
      </c>
      <c r="AL1859" s="76" t="b">
        <v>0</v>
      </c>
      <c r="AM1859" s="78">
        <v>40079.91165509259</v>
      </c>
      <c r="AN1859" s="76"/>
      <c r="AO1859" s="76"/>
      <c r="AP1859" s="82" t="str">
        <f>HYPERLINK("https://t.co/eUWlEVEc8K")</f>
        <v>https://t.co/eUWlEVEc8K</v>
      </c>
      <c r="AQ1859" s="82" t="str">
        <f>HYPERLINK("http://www.mercadopago.com")</f>
        <v>http://www.mercadopago.com</v>
      </c>
      <c r="AR1859" s="76" t="s">
        <v>27364</v>
      </c>
      <c r="AS1859" s="76"/>
      <c r="AT1859" s="76"/>
      <c r="AU1859" s="76"/>
      <c r="AV1859" s="76"/>
      <c r="AW1859" s="82" t="str">
        <f>HYPERLINK("https://t.co/eUWlEVEc8K")</f>
        <v>https://t.co/eUWlEVEc8K</v>
      </c>
      <c r="AX1859" s="76" t="b">
        <v>0</v>
      </c>
      <c r="AY1859" s="76"/>
      <c r="AZ1859" s="76"/>
      <c r="BA1859" s="76" t="b">
        <v>0</v>
      </c>
      <c r="BB1859" s="76" t="b">
        <v>1</v>
      </c>
      <c r="BC1859" s="76" t="b">
        <v>1</v>
      </c>
      <c r="BD1859" s="76" t="b">
        <v>0</v>
      </c>
      <c r="BE1859" s="76" t="b">
        <v>1</v>
      </c>
      <c r="BF1859" s="76" t="b">
        <v>0</v>
      </c>
      <c r="BG1859" s="76" t="b">
        <v>0</v>
      </c>
      <c r="BH1859" s="82" t="str">
        <f>HYPERLINK("https://pbs.twimg.com/profile_banners/76767994/1565286240")</f>
        <v>https://pbs.twimg.com/profile_banners/76767994/1565286240</v>
      </c>
      <c r="BI1859" s="76"/>
      <c r="BJ1859" s="76" t="s">
        <v>27595</v>
      </c>
      <c r="BK1859" s="76" t="b">
        <v>0</v>
      </c>
      <c r="BL1859" s="76"/>
      <c r="BM1859" s="76" t="s">
        <v>65</v>
      </c>
      <c r="BN1859" s="76" t="s">
        <v>27597</v>
      </c>
      <c r="BO1859" s="82" t="str">
        <f>HYPERLINK("https://twitter.com/osvaldo_gimenez")</f>
        <v>https://twitter.com/osvaldo_gimenez</v>
      </c>
      <c r="BP1859" s="2"/>
    </row>
    <row r="1860" spans="1:68" x14ac:dyDescent="0.25">
      <c r="A1860" s="62" t="s">
        <v>8910</v>
      </c>
      <c r="B1860" s="63"/>
      <c r="C1860" s="63"/>
      <c r="D1860" s="64"/>
      <c r="E1860" s="66"/>
      <c r="F1860" s="103" t="str">
        <f>HYPERLINK("https://pbs.twimg.com/profile_images/1653814795525664778/RtSnFeup_normal.jpg")</f>
        <v>https://pbs.twimg.com/profile_images/1653814795525664778/RtSnFeup_normal.jpg</v>
      </c>
      <c r="G1860" s="63" t="s">
        <v>51</v>
      </c>
      <c r="H1860" s="67"/>
      <c r="I1860" s="68"/>
      <c r="J1860" s="68"/>
      <c r="K1860" s="67" t="s">
        <v>29454</v>
      </c>
      <c r="L1860" s="71"/>
      <c r="M1860" s="72"/>
      <c r="N1860" s="72"/>
      <c r="O1860" s="73"/>
      <c r="P1860" s="74"/>
      <c r="Q1860" s="74"/>
      <c r="R1860" s="87"/>
      <c r="S1860" s="87"/>
      <c r="T1860" s="87"/>
      <c r="U1860" s="87"/>
      <c r="V1860" s="48"/>
      <c r="W1860" s="48"/>
      <c r="X1860" s="48"/>
      <c r="Y1860" s="48"/>
      <c r="Z1860" s="47"/>
      <c r="AA1860" s="69">
        <v>1860</v>
      </c>
      <c r="AB1860" s="69"/>
      <c r="AC1860" s="70"/>
      <c r="AD1860" s="76" t="s">
        <v>23064</v>
      </c>
      <c r="AE1860" s="81" t="s">
        <v>24051</v>
      </c>
      <c r="AF1860" s="76">
        <v>71</v>
      </c>
      <c r="AG1860" s="76">
        <v>479</v>
      </c>
      <c r="AH1860" s="76">
        <v>456</v>
      </c>
      <c r="AI1860" s="76">
        <v>0</v>
      </c>
      <c r="AJ1860" s="76">
        <v>337</v>
      </c>
      <c r="AK1860" s="76">
        <v>3</v>
      </c>
      <c r="AL1860" s="76" t="b">
        <v>0</v>
      </c>
      <c r="AM1860" s="78">
        <v>45049.729513888888</v>
      </c>
      <c r="AN1860" s="76"/>
      <c r="AO1860" s="76" t="s">
        <v>26359</v>
      </c>
      <c r="AP1860" s="76"/>
      <c r="AQ1860" s="76"/>
      <c r="AR1860" s="76"/>
      <c r="AS1860" s="76"/>
      <c r="AT1860" s="76"/>
      <c r="AU1860" s="76"/>
      <c r="AV1860" s="76"/>
      <c r="AW1860" s="76"/>
      <c r="AX1860" s="76" t="b">
        <v>0</v>
      </c>
      <c r="AY1860" s="76"/>
      <c r="AZ1860" s="76"/>
      <c r="BA1860" s="76" t="b">
        <v>0</v>
      </c>
      <c r="BB1860" s="76" t="b">
        <v>0</v>
      </c>
      <c r="BC1860" s="76" t="b">
        <v>1</v>
      </c>
      <c r="BD1860" s="76" t="b">
        <v>0</v>
      </c>
      <c r="BE1860" s="76" t="b">
        <v>0</v>
      </c>
      <c r="BF1860" s="76" t="b">
        <v>0</v>
      </c>
      <c r="BG1860" s="76" t="b">
        <v>0</v>
      </c>
      <c r="BH1860" s="82" t="str">
        <f>HYPERLINK("https://pbs.twimg.com/profile_banners/1653814120460824587/1683208400")</f>
        <v>https://pbs.twimg.com/profile_banners/1653814120460824587/1683208400</v>
      </c>
      <c r="BI1860" s="76"/>
      <c r="BJ1860" s="76" t="s">
        <v>27595</v>
      </c>
      <c r="BK1860" s="76" t="b">
        <v>0</v>
      </c>
      <c r="BL1860" s="76"/>
      <c r="BM1860" s="76" t="s">
        <v>65</v>
      </c>
      <c r="BN1860" s="76" t="s">
        <v>27597</v>
      </c>
      <c r="BO1860" s="82" t="str">
        <f>HYPERLINK("https://twitter.com/giseepanico_")</f>
        <v>https://twitter.com/giseepanico_</v>
      </c>
      <c r="BP1860" s="2"/>
    </row>
    <row r="1861" spans="1:68" x14ac:dyDescent="0.25">
      <c r="A1861" s="62" t="s">
        <v>8986</v>
      </c>
      <c r="B1861" s="63"/>
      <c r="C1861" s="63"/>
      <c r="D1861" s="64"/>
      <c r="E1861" s="66"/>
      <c r="F1861" s="103" t="str">
        <f>HYPERLINK("https://pbs.twimg.com/profile_images/1594763487993102336/N4p_MhQh_normal.jpg")</f>
        <v>https://pbs.twimg.com/profile_images/1594763487993102336/N4p_MhQh_normal.jpg</v>
      </c>
      <c r="G1861" s="63" t="s">
        <v>51</v>
      </c>
      <c r="H1861" s="67"/>
      <c r="I1861" s="68"/>
      <c r="J1861" s="68"/>
      <c r="K1861" s="67" t="s">
        <v>29455</v>
      </c>
      <c r="L1861" s="71"/>
      <c r="M1861" s="72"/>
      <c r="N1861" s="72"/>
      <c r="O1861" s="73"/>
      <c r="P1861" s="74"/>
      <c r="Q1861" s="74"/>
      <c r="R1861" s="87"/>
      <c r="S1861" s="87"/>
      <c r="T1861" s="87"/>
      <c r="U1861" s="87"/>
      <c r="V1861" s="48"/>
      <c r="W1861" s="48"/>
      <c r="X1861" s="48"/>
      <c r="Y1861" s="48"/>
      <c r="Z1861" s="47"/>
      <c r="AA1861" s="69">
        <v>1861</v>
      </c>
      <c r="AB1861" s="69"/>
      <c r="AC1861" s="70"/>
      <c r="AD1861" s="76" t="s">
        <v>23065</v>
      </c>
      <c r="AE1861" s="81" t="s">
        <v>24052</v>
      </c>
      <c r="AF1861" s="76">
        <v>941354</v>
      </c>
      <c r="AG1861" s="76">
        <v>557</v>
      </c>
      <c r="AH1861" s="76">
        <v>4429</v>
      </c>
      <c r="AI1861" s="76">
        <v>1376</v>
      </c>
      <c r="AJ1861" s="76">
        <v>3414</v>
      </c>
      <c r="AK1861" s="76">
        <v>2071</v>
      </c>
      <c r="AL1861" s="76" t="b">
        <v>0</v>
      </c>
      <c r="AM1861" s="78">
        <v>40624.62909722222</v>
      </c>
      <c r="AN1861" s="76" t="s">
        <v>14382</v>
      </c>
      <c r="AO1861" s="76" t="s">
        <v>26360</v>
      </c>
      <c r="AP1861" s="82" t="str">
        <f>HYPERLINK("https://t.co/vd5p8vqfIS")</f>
        <v>https://t.co/vd5p8vqfIS</v>
      </c>
      <c r="AQ1861" s="82" t="str">
        <f>HYPERLINK("https://linktr.ee/TerezaCristinaMS")</f>
        <v>https://linktr.ee/TerezaCristinaMS</v>
      </c>
      <c r="AR1861" s="76" t="s">
        <v>27365</v>
      </c>
      <c r="AS1861" s="76"/>
      <c r="AT1861" s="76"/>
      <c r="AU1861" s="76"/>
      <c r="AV1861" s="76"/>
      <c r="AW1861" s="82" t="str">
        <f>HYPERLINK("https://t.co/vd5p8vqfIS")</f>
        <v>https://t.co/vd5p8vqfIS</v>
      </c>
      <c r="AX1861" s="76" t="b">
        <v>1</v>
      </c>
      <c r="AY1861" s="76"/>
      <c r="AZ1861" s="76"/>
      <c r="BA1861" s="76" t="b">
        <v>0</v>
      </c>
      <c r="BB1861" s="76" t="b">
        <v>1</v>
      </c>
      <c r="BC1861" s="76" t="b">
        <v>0</v>
      </c>
      <c r="BD1861" s="76" t="b">
        <v>0</v>
      </c>
      <c r="BE1861" s="76" t="b">
        <v>1</v>
      </c>
      <c r="BF1861" s="76" t="b">
        <v>0</v>
      </c>
      <c r="BG1861" s="76" t="b">
        <v>0</v>
      </c>
      <c r="BH1861" s="82" t="str">
        <f>HYPERLINK("https://pbs.twimg.com/profile_banners/270399607/1669214457")</f>
        <v>https://pbs.twimg.com/profile_banners/270399607/1669214457</v>
      </c>
      <c r="BI1861" s="76"/>
      <c r="BJ1861" s="76" t="s">
        <v>27595</v>
      </c>
      <c r="BK1861" s="76" t="b">
        <v>0</v>
      </c>
      <c r="BL1861" s="76"/>
      <c r="BM1861" s="76" t="s">
        <v>65</v>
      </c>
      <c r="BN1861" s="76" t="s">
        <v>27597</v>
      </c>
      <c r="BO1861" s="82" t="str">
        <f>HYPERLINK("https://twitter.com/terezacrisms")</f>
        <v>https://twitter.com/terezacrisms</v>
      </c>
      <c r="BP1861" s="2"/>
    </row>
    <row r="1862" spans="1:68" x14ac:dyDescent="0.25">
      <c r="A1862" s="88" t="s">
        <v>21211</v>
      </c>
      <c r="B1862" s="89"/>
      <c r="C1862" s="89"/>
      <c r="D1862" s="90"/>
      <c r="E1862" s="91"/>
      <c r="F1862" s="104" t="str">
        <f>HYPERLINK("https://pbs.twimg.com/profile_images/1674821542818054145/P0WtSz3R_normal.jpg")</f>
        <v>https://pbs.twimg.com/profile_images/1674821542818054145/P0WtSz3R_normal.jpg</v>
      </c>
      <c r="G1862" s="89" t="s">
        <v>51</v>
      </c>
      <c r="H1862" s="92"/>
      <c r="I1862" s="93"/>
      <c r="J1862" s="93"/>
      <c r="K1862" s="92" t="s">
        <v>29456</v>
      </c>
      <c r="L1862" s="94"/>
      <c r="M1862" s="95"/>
      <c r="N1862" s="95"/>
      <c r="O1862" s="96"/>
      <c r="P1862" s="97"/>
      <c r="Q1862" s="97"/>
      <c r="R1862" s="98"/>
      <c r="S1862" s="98"/>
      <c r="T1862" s="98"/>
      <c r="U1862" s="98"/>
      <c r="V1862" s="99"/>
      <c r="W1862" s="99"/>
      <c r="X1862" s="99"/>
      <c r="Y1862" s="99"/>
      <c r="Z1862" s="100"/>
      <c r="AA1862" s="101">
        <v>1862</v>
      </c>
      <c r="AB1862" s="101"/>
      <c r="AC1862" s="102"/>
      <c r="AD1862" s="76" t="s">
        <v>23066</v>
      </c>
      <c r="AE1862" s="81" t="s">
        <v>24053</v>
      </c>
      <c r="AF1862" s="76">
        <v>1171311</v>
      </c>
      <c r="AG1862" s="76">
        <v>788</v>
      </c>
      <c r="AH1862" s="76">
        <v>6905</v>
      </c>
      <c r="AI1862" s="76">
        <v>1593</v>
      </c>
      <c r="AJ1862" s="76">
        <v>2748</v>
      </c>
      <c r="AK1862" s="76">
        <v>3096</v>
      </c>
      <c r="AL1862" s="76" t="b">
        <v>0</v>
      </c>
      <c r="AM1862" s="78">
        <v>40305.733460648145</v>
      </c>
      <c r="AN1862" s="76" t="s">
        <v>24114</v>
      </c>
      <c r="AO1862" s="76" t="s">
        <v>26361</v>
      </c>
      <c r="AP1862" s="82" t="str">
        <f>HYPERLINK("https://t.co/Ox0YSsOS0I")</f>
        <v>https://t.co/Ox0YSsOS0I</v>
      </c>
      <c r="AQ1862" s="82" t="str">
        <f>HYPERLINK("http://www.martinlousteau.com")</f>
        <v>http://www.martinlousteau.com</v>
      </c>
      <c r="AR1862" s="76" t="s">
        <v>27366</v>
      </c>
      <c r="AS1862" s="76"/>
      <c r="AT1862" s="76"/>
      <c r="AU1862" s="76"/>
      <c r="AV1862" s="76"/>
      <c r="AW1862" s="82" t="str">
        <f>HYPERLINK("https://t.co/Ox0YSsOS0I")</f>
        <v>https://t.co/Ox0YSsOS0I</v>
      </c>
      <c r="AX1862" s="76" t="b">
        <v>1</v>
      </c>
      <c r="AY1862" s="76"/>
      <c r="AZ1862" s="76"/>
      <c r="BA1862" s="76" t="b">
        <v>0</v>
      </c>
      <c r="BB1862" s="76" t="b">
        <v>1</v>
      </c>
      <c r="BC1862" s="76" t="b">
        <v>0</v>
      </c>
      <c r="BD1862" s="76" t="b">
        <v>0</v>
      </c>
      <c r="BE1862" s="76" t="b">
        <v>1</v>
      </c>
      <c r="BF1862" s="76" t="b">
        <v>0</v>
      </c>
      <c r="BG1862" s="76" t="b">
        <v>0</v>
      </c>
      <c r="BH1862" s="82" t="str">
        <f>HYPERLINK("https://pbs.twimg.com/profile_banners/141286250/1684347645")</f>
        <v>https://pbs.twimg.com/profile_banners/141286250/1684347645</v>
      </c>
      <c r="BI1862" s="76"/>
      <c r="BJ1862" s="76" t="s">
        <v>27595</v>
      </c>
      <c r="BK1862" s="76" t="b">
        <v>0</v>
      </c>
      <c r="BL1862" s="76"/>
      <c r="BM1862" s="76" t="s">
        <v>65</v>
      </c>
      <c r="BN1862" s="76" t="s">
        <v>27597</v>
      </c>
      <c r="BO1862" s="82" t="str">
        <f>HYPERLINK("https://twitter.com/gugalusto")</f>
        <v>https://twitter.com/gugalusto</v>
      </c>
      <c r="BP1862" s="2"/>
    </row>
  </sheetData>
  <dataConsolidate/>
  <dataValidations count="20">
    <dataValidation allowBlank="1" showInputMessage="1" errorTitle="Invalid Vertex Visibility" error="You have entered an unrecognized vertex visibility.  Try selecting from the drop-down list instead." promptTitle="Vertex ID" prompt="This is a unique ID that gets filled in automatically.  Do not edit this column." sqref="AA3:AA1862" xr:uid="{00000000-0002-0000-0100-000000000000}"/>
    <dataValidation allowBlank="1" errorTitle="Invalid Vertex Visibility" error="You have entered an unrecognized vertex visibility.  Try selecting from the drop-down list instead." sqref="BP3" xr:uid="{00000000-0002-0000-0100-000001000000}"/>
    <dataValidation allowBlank="1" showErrorMessage="1" sqref="BP2" xr:uid="{00000000-0002-0000-0100-000002000000}"/>
    <dataValidation type="list" allowBlank="1" showInputMessage="1" showErrorMessage="1" errorTitle="Invalid Vertex Locked" error="You have entered an invalid vertex &quot;locked.&quot;  Try selecting from the drop-down list instead." promptTitle="Vertex Locked?" prompt="Set to Yes to lock the vertex at its current location." sqref="O3:O1862" xr:uid="{00000000-0002-0000-0100-000003000000}">
      <formula1>ValidBooleansDefaultFalse</formula1>
    </dataValidation>
    <dataValidation allowBlank="1" showInputMessage="1" errorTitle="Invalid Vertex Location" error="The optional vertex location's X and Y values must be whole numbers between 0 and 9999." promptTitle="Vertex Location" prompt="Enter an optional vertex location.  X and Y values should be between 0 and 9,999.  If you enter X and Y values, you should set NodeXL, Graph, Layout to &quot;None&quot; to prevent NodeXL from overwriting your values when you show the graph." sqref="M3:N1862" xr:uid="{00000000-0002-0000-0100-000004000000}"/>
    <dataValidation allowBlank="1" showInputMessage="1" showErrorMessage="1" errorTitle="Invalid Vertex Visibility" error="You have entered an unrecognized vertex visibility.  Try selecting from the drop-down list instead." promptTitle="Vertex Layout Order" prompt="Enter an optional number to control the order in which the vertices are laid out and stacked in the graph." sqref="L3:L1862" xr:uid="{00000000-0002-0000-0100-000005000000}"/>
    <dataValidation allowBlank="1" showInputMessage="1" errorTitle="Invalid Vertex Location" error="The optional vertex location's X and Y values must be whole numbers between 0 and 9999." promptTitle="Vertex Polar R" prompt="Enter an optional vertex polar radial coordinate.  This is used only when a Layout Type of Polar or Polar Absolute is selected in the graph pane.  Hover the mouse over the column header for more details." sqref="P3:P1862" xr:uid="{00000000-0002-0000-0100-000006000000}"/>
    <dataValidation allowBlank="1" showInputMessage="1" errorTitle="Invalid Vertex Location" error="The optional vertex location's X and Y values must be whole numbers between 0 and 9999." promptTitle="Vertex Polar Angle" prompt="Enter an optional vertex polar angle coordinate, in degrees.  This is used only when a Layout Type of Polar or Polar Absolute is selected in the graph pane." sqref="Q3:Q1862" xr:uid="{00000000-0002-0000-0100-000007000000}"/>
    <dataValidation allowBlank="1" showInputMessage="1" errorTitle="Invalid Vertex Image Key" promptTitle="Vertex Tooltip" prompt="Enter optional text that will pop up when the mouse is hovered over the vertex." sqref="K3:K1862" xr:uid="{00000000-0002-0000-0100-000008000000}"/>
    <dataValidation allowBlank="1" errorTitle="Invalid Vertex Visibility" error="You have entered an unrecognized vertex visibility.  Try selecting from the drop-down list instead." promptTitle="Vertex ID" prompt="This is a unique ID that gets filled in automatically.  Do not edit this column." sqref="AB3:AB1862" xr:uid="{00000000-0002-0000-0100-000009000000}"/>
    <dataValidation type="list" allowBlank="1" showInputMessage="1" showErrorMessage="1" errorTitle="Invalid Vertex Visibility" error="You have entered an invalid vertex visibility.  Try selecting from the drop-down list instead." promptTitle="Vertex Visibility" prompt="Select an optional vertex visibility.  Vertices are &quot;Show if in an Edge&quot; by default." sqref="G3:G1862" xr:uid="{00000000-0002-0000-0100-00000A000000}">
      <formula1>ValidVertexVisibilities</formula1>
    </dataValidation>
    <dataValidation allowBlank="1" showInputMessage="1" errorTitle="Invalid Vertex Image Key" promptTitle="Vertex Label" prompt="To show a vertex as a box containing text, set the Shape to Label and enter a label.  To annotate another shape with text, set the Shape to something else and enter a label." sqref="H3:H1862" xr:uid="{00000000-0002-0000-0100-00000B000000}"/>
    <dataValidation allowBlank="1" showInputMessage="1" promptTitle="Vertex Label Fill Color" prompt="To select an optional fill color for the Label shape, right-click and select Select Color on the right-click menu." sqref="I3:I1862" xr:uid="{00000000-0002-0000-0100-00000C000000}"/>
    <dataValidation allowBlank="1" showInputMessage="1" errorTitle="Invalid Vertex Image Key" promptTitle="Vertex Image File" prompt="Enter the path to an image file.  Hover over the column header for examples." sqref="F3:F1862" xr:uid="{00000000-0002-0000-0100-00000D000000}"/>
    <dataValidation allowBlank="1" showInputMessage="1" promptTitle="Vertex Color" prompt="To select an optional vertex color, right-click and select Select Color on the right-click menu." sqref="B3:B1862" xr:uid="{00000000-0002-0000-0100-00000E000000}"/>
    <dataValidation allowBlank="1" showInputMessage="1" errorTitle="Invalid Vertex Opacity" error="The optional vertex opacity must be a whole number between 0 and 10." promptTitle="Vertex Opacity" prompt="Enter an optional vertex opacity between 0 (transparent) and 100 (opaque)." sqref="E3:E1862" xr:uid="{00000000-0002-0000-0100-00000F000000}"/>
    <dataValidation type="list" allowBlank="1" showInputMessage="1" showErrorMessage="1" errorTitle="Invalid Vertex Shape" error="You have entered an invalid vertex shape.  Try selecting from the drop-down list instead." promptTitle="Vertex Shape" prompt="Select an optional vertex shape." sqref="C3:C1862" xr:uid="{00000000-0002-0000-0100-000010000000}">
      <formula1>ValidVertexShapes</formula1>
    </dataValidation>
    <dataValidation allowBlank="1" showInputMessage="1" errorTitle="Invalid Vertex Size" error="The optional vertex size must be a decimal number.  Any size is acceptable, although 1 is used if the size is less than 1, and 10 is used if the size is greater than 10." promptTitle="Vertex Size" prompt="Enter an optional vertex size between 1 and 1,000." sqref="D3:D1862" xr:uid="{00000000-0002-0000-0100-000011000000}"/>
    <dataValidation type="list" allowBlank="1" showInputMessage="1" showErrorMessage="1" errorTitle="Invalid Vertex Label Position" error="You have entered an invalid vertex label position.  Try selecting from the drop-down list instead." promptTitle="Vertex Label Position" prompt="Select an optional vertex label position." sqref="J3:J1862" xr:uid="{00000000-0002-0000-0100-000012000000}">
      <formula1>ValidVertexLabelPositions</formula1>
    </dataValidation>
    <dataValidation allowBlank="1" showInputMessage="1" showErrorMessage="1" promptTitle="Vertex Name" prompt="Enter the name of the vertex." sqref="A3:A1862" xr:uid="{00000000-0002-0000-0100-000013000000}"/>
  </dataValidations>
  <pageMargins left="0.7" right="0.7" top="0.75" bottom="0.75" header="0.3" footer="0.3"/>
  <pageSetup orientation="portrait" horizontalDpi="0" verticalDpi="0" r:id="rId1"/>
  <legacy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D21"/>
  <sheetViews>
    <sheetView workbookViewId="0"/>
  </sheetViews>
  <sheetFormatPr defaultRowHeight="15" x14ac:dyDescent="0.25"/>
  <cols>
    <col min="1" max="1" width="10.85546875" bestFit="1" customWidth="1"/>
    <col min="2" max="2" width="16.85546875" bestFit="1" customWidth="1"/>
    <col min="4" max="5" width="9.140625" customWidth="1"/>
  </cols>
  <sheetData>
    <row r="1" spans="1:1" x14ac:dyDescent="0.25">
      <c r="A1" t="s">
        <v>49</v>
      </c>
    </row>
    <row r="2" spans="1:1" ht="15" customHeight="1" x14ac:dyDescent="0.25"/>
    <row r="3" spans="1:1" ht="15" customHeight="1" x14ac:dyDescent="0.25">
      <c r="A3" s="29" t="s">
        <v>50</v>
      </c>
    </row>
    <row r="21" spans="4:4" x14ac:dyDescent="0.25">
      <c r="D21" s="6"/>
    </row>
  </sheetData>
  <dataConsolidate/>
  <dataValidations xWindow="63" yWindow="236" count="2">
    <dataValidation allowBlank="1" showInputMessage="1" showErrorMessage="1" promptTitle="Image ID" prompt="Enter a unique ID for the image." sqref="A2" xr:uid="{00000000-0002-0000-0200-000000000000}"/>
    <dataValidation allowBlank="1" showInputMessage="1" showErrorMessage="1" promptTitle="Image File Path" prompt="Enter an image file path.  Hover over the column header for examples." sqref="B2" xr:uid="{00000000-0002-0000-0200-000001000000}"/>
  </dataValidations>
  <pageMargins left="0.7" right="0.7" top="0.75" bottom="0.75" header="0.3" footer="0.3"/>
  <pageSetup orientation="portrait" horizontalDpi="0" verticalDpi="0"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5"/>
  <dimension ref="A1:X10"/>
  <sheetViews>
    <sheetView workbookViewId="0">
      <pane ySplit="2" topLeftCell="A3" activePane="bottomLeft" state="frozen"/>
      <selection pane="bottomLeft" activeCell="A3" sqref="A3"/>
    </sheetView>
  </sheetViews>
  <sheetFormatPr defaultRowHeight="15" x14ac:dyDescent="0.25"/>
  <cols>
    <col min="1" max="1" width="9.42578125" style="1" bestFit="1" customWidth="1"/>
    <col min="2" max="2" width="14.28515625" bestFit="1" customWidth="1"/>
    <col min="3" max="3" width="15" bestFit="1" customWidth="1"/>
    <col min="4" max="4" width="11.140625" bestFit="1" customWidth="1"/>
    <col min="5" max="5" width="13" bestFit="1" customWidth="1"/>
    <col min="6" max="6" width="8" bestFit="1" customWidth="1"/>
    <col min="7" max="8" width="13.5703125" hidden="1" customWidth="1"/>
    <col min="9" max="9" width="11" hidden="1" customWidth="1"/>
    <col min="10" max="10" width="12.5703125" hidden="1" customWidth="1"/>
    <col min="11" max="11" width="11" hidden="1" customWidth="1"/>
    <col min="12" max="12" width="9.7109375" hidden="1" customWidth="1"/>
    <col min="13" max="13" width="13.140625" hidden="1" customWidth="1"/>
    <col min="14" max="15" width="8.42578125" hidden="1" customWidth="1"/>
    <col min="16" max="16" width="18.28515625" hidden="1" customWidth="1"/>
    <col min="17" max="17" width="14.85546875" hidden="1" customWidth="1"/>
    <col min="18" max="18" width="14.5703125" hidden="1" customWidth="1"/>
    <col min="19" max="21" width="24.140625" hidden="1" customWidth="1"/>
    <col min="22" max="22" width="21.28515625" hidden="1" customWidth="1"/>
    <col min="23" max="23" width="19.28515625" hidden="1" customWidth="1"/>
    <col min="24" max="24" width="10" hidden="1" customWidth="1"/>
    <col min="25" max="25" width="13" customWidth="1"/>
  </cols>
  <sheetData>
    <row r="1" spans="1:24" x14ac:dyDescent="0.25">
      <c r="B1" s="52" t="s">
        <v>39</v>
      </c>
      <c r="C1" s="53"/>
      <c r="D1" s="53"/>
      <c r="E1" s="54"/>
      <c r="F1" s="51" t="s">
        <v>43</v>
      </c>
      <c r="G1" s="55" t="s">
        <v>44</v>
      </c>
      <c r="H1" s="56"/>
      <c r="I1" s="57" t="s">
        <v>40</v>
      </c>
      <c r="J1" s="58"/>
      <c r="K1" s="59" t="s">
        <v>42</v>
      </c>
      <c r="L1" s="60"/>
      <c r="M1" s="60"/>
      <c r="N1" s="60"/>
      <c r="O1" s="60"/>
      <c r="P1" s="60"/>
      <c r="Q1" s="60"/>
      <c r="R1" s="60"/>
      <c r="S1" s="60"/>
      <c r="T1" s="60"/>
      <c r="U1" s="60"/>
      <c r="V1" s="60"/>
      <c r="W1" s="60"/>
      <c r="X1" s="60"/>
    </row>
    <row r="2" spans="1:24" s="7" customFormat="1" ht="30" customHeight="1" x14ac:dyDescent="0.25">
      <c r="A2" s="10" t="s">
        <v>144</v>
      </c>
      <c r="B2" s="7" t="s">
        <v>21</v>
      </c>
      <c r="C2" s="7" t="s">
        <v>20</v>
      </c>
      <c r="D2" s="7" t="s">
        <v>11</v>
      </c>
      <c r="E2" s="7" t="s">
        <v>145</v>
      </c>
      <c r="F2" s="7" t="s">
        <v>46</v>
      </c>
      <c r="G2" s="7" t="s">
        <v>167</v>
      </c>
      <c r="H2" s="7" t="s">
        <v>168</v>
      </c>
      <c r="I2" s="7" t="s">
        <v>12</v>
      </c>
      <c r="J2" s="7" t="s">
        <v>166</v>
      </c>
      <c r="K2" s="7" t="s">
        <v>146</v>
      </c>
      <c r="L2" s="7" t="s">
        <v>148</v>
      </c>
      <c r="M2" s="7" t="s">
        <v>149</v>
      </c>
      <c r="N2" s="7" t="s">
        <v>150</v>
      </c>
      <c r="O2" s="7" t="s">
        <v>151</v>
      </c>
      <c r="P2" s="7" t="s">
        <v>170</v>
      </c>
      <c r="Q2" s="7" t="s">
        <v>171</v>
      </c>
      <c r="R2" s="7" t="s">
        <v>152</v>
      </c>
      <c r="S2" s="7" t="s">
        <v>153</v>
      </c>
      <c r="T2" s="7" t="s">
        <v>154</v>
      </c>
      <c r="U2" s="7" t="s">
        <v>155</v>
      </c>
      <c r="V2" s="7" t="s">
        <v>156</v>
      </c>
      <c r="W2" s="7" t="s">
        <v>157</v>
      </c>
      <c r="X2" s="7" t="s">
        <v>158</v>
      </c>
    </row>
    <row r="3" spans="1:24" x14ac:dyDescent="0.25">
      <c r="A3" s="11"/>
      <c r="B3" s="12"/>
      <c r="C3" s="12"/>
      <c r="D3" s="12"/>
      <c r="E3" s="12"/>
      <c r="F3" s="13"/>
      <c r="G3" s="61"/>
      <c r="H3" s="61"/>
      <c r="I3" s="49"/>
      <c r="J3" s="49"/>
      <c r="K3" s="44"/>
      <c r="L3" s="44"/>
      <c r="M3" s="44"/>
      <c r="N3" s="44"/>
      <c r="O3" s="44"/>
      <c r="P3" s="44"/>
      <c r="Q3" s="44"/>
      <c r="R3" s="44"/>
      <c r="S3" s="44"/>
      <c r="T3" s="44"/>
      <c r="U3" s="44"/>
      <c r="V3" s="44"/>
      <c r="W3" s="45"/>
      <c r="X3" s="45"/>
    </row>
    <row r="10" spans="1:24" ht="14.25" customHeight="1" x14ac:dyDescent="0.25"/>
  </sheetData>
  <dataConsolidate/>
  <dataValidations count="8">
    <dataValidation allowBlank="1" showInputMessage="1" promptTitle="Group Vertex Color" prompt="To select a color to use for all vertices in the group, right-click and select Select Color on the right-click menu." sqref="B3" xr:uid="{00000000-0002-0000-0300-000000000000}"/>
    <dataValidation type="list" allowBlank="1" showInputMessage="1" showErrorMessage="1" errorTitle="Invalid Group Vertex Shape" error="You have entered an invalid group vertex shape.  Try selecting from the drop-down list instead." promptTitle="Group Vertex Shape" prompt="Select a shape to use for all vertices in the group." sqref="C3" xr:uid="{00000000-0002-0000-0300-000001000000}">
      <formula1>ValidGroupShapes</formula1>
    </dataValidation>
    <dataValidation allowBlank="1" showInputMessage="1" showErrorMessage="1" promptTitle="Group Name" prompt="Enter the name of the group." sqref="A3" xr:uid="{00000000-0002-0000-0300-000002000000}"/>
    <dataValidation type="list" allowBlank="1" showInputMessage="1" showErrorMessage="1" errorTitle="Invalid Group Collapsed" error="You have entered an invalid group &quot;collapsed.&quot;  Try selecting from the drop-down list instead." promptTitle="Group Collapsed?" prompt="Set to Yes to collapse the group." sqref="E3" xr:uid="{00000000-0002-0000-0300-000003000000}">
      <formula1>ValidBooleansDefaultFalse</formula1>
    </dataValidation>
    <dataValidation allowBlank="1" sqref="K3" xr:uid="{00000000-0002-0000-0300-000004000000}"/>
    <dataValidation allowBlank="1" showInputMessage="1" showErrorMessage="1" errorTitle="Invalid Group Collapsed" error="You have entered an unrecognized &quot;group collapsed.&quot;  Try selecting from the drop-down list instead." promptTitle="Group Label" prompt="Enter an optional group label." sqref="F3" xr:uid="{00000000-0002-0000-0300-000005000000}"/>
    <dataValidation allowBlank="1" showInputMessage="1" showErrorMessage="1" errorTitle="Invalid Group Collapsed" error="You have entered an unrecognized &quot;group collapsed.&quot;  Try selecting from the drop-down list instead." promptTitle="Collapsed Location" prompt="Enter an optional collapsed location.  Collapsed X and Y values should be between 0 and 9,999.  If you enter Collapsed X and Y values, you should set NodeXL, Graph, Layout to &quot;None&quot; to prevent NodeXL from overwriting your values when you show the graph." sqref="G3:H3" xr:uid="{00000000-0002-0000-0300-000006000000}"/>
    <dataValidation type="list" allowBlank="1" showInputMessage="1" showErrorMessage="1" errorTitle="Invalid Group Visibility" error="You have entered an invalid group visibility.  Try selecting from the drop-down list instead." promptTitle="Group Visibility" prompt="Select an optional group visibility.  Groups are shown by default." sqref="D3" xr:uid="{00000000-0002-0000-0300-000007000000}">
      <formula1>ValidGroupVisibilities</formula1>
    </dataValidation>
  </dataValidations>
  <pageMargins left="0.7" right="0.7" top="0.75" bottom="0.75" header="0.3" footer="0.3"/>
  <pageSetup orientation="portrait" horizontalDpi="0" verticalDpi="0" r:id="rId1"/>
  <legacyDrawing r:id="rId2"/>
  <tableParts count="1">
    <tablePart r:id="rId3"/>
  </tablePar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dimension ref="A1:C1"/>
  <sheetViews>
    <sheetView workbookViewId="0">
      <selection activeCell="A2" sqref="A2"/>
    </sheetView>
  </sheetViews>
  <sheetFormatPr defaultRowHeight="15" x14ac:dyDescent="0.25"/>
  <cols>
    <col min="1" max="1" width="9.42578125" style="1" bestFit="1" customWidth="1"/>
    <col min="2" max="2" width="9.140625" style="1"/>
    <col min="3" max="3" width="11.5703125" bestFit="1" customWidth="1"/>
    <col min="4" max="4" width="9.140625" customWidth="1"/>
  </cols>
  <sheetData>
    <row r="1" spans="1:3" x14ac:dyDescent="0.25">
      <c r="A1" s="1" t="s">
        <v>144</v>
      </c>
      <c r="B1" s="1" t="s">
        <v>5</v>
      </c>
      <c r="C1" s="1" t="s">
        <v>147</v>
      </c>
    </row>
  </sheetData>
  <dataConsolidate/>
  <dataValidations xWindow="58" yWindow="226" count="3">
    <dataValidation allowBlank="1" showInputMessage="1" showErrorMessage="1" promptTitle="Group Name" prompt="Enter the name of the group.  The group name must also be entered on the Groups worksheet." sqref="A2" xr:uid="{00000000-0002-0000-0400-000000000000}"/>
    <dataValidation allowBlank="1" showInputMessage="1" showErrorMessage="1" promptTitle="Vertex Name" prompt="Enter the name of a vertex to include in the group." sqref="B2" xr:uid="{00000000-0002-0000-0400-000001000000}"/>
    <dataValidation allowBlank="1" showInputMessage="1" promptTitle="Vertex ID" prompt="This is the value of the hidden ID cell in the Vertices worksheet.  It gets filled in by the items on the NodeXL, Analysis, Groups menu." sqref="C2" xr:uid="{00000000-0002-0000-0400-000002000000}"/>
  </dataValidations>
  <pageMargins left="0.7" right="0.7" top="0.75" bottom="0.75" header="0.3" footer="0.3"/>
  <pageSetup orientation="portrait" horizontalDpi="0" verticalDpi="0" r:id="rId1"/>
  <legacyDrawing r:id="rId2"/>
  <tableParts count="1">
    <tablePart r:id="rId3"/>
  </tablePar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7"/>
  <dimension ref="A1:X175"/>
  <sheetViews>
    <sheetView tabSelected="1" workbookViewId="0">
      <selection activeCell="A56" sqref="A56:XFD56"/>
    </sheetView>
  </sheetViews>
  <sheetFormatPr defaultRowHeight="15" x14ac:dyDescent="0.25"/>
  <cols>
    <col min="1" max="1" width="43.140625" customWidth="1"/>
    <col min="2" max="2" width="13.85546875" customWidth="1"/>
    <col min="3" max="3" width="9.140625" customWidth="1"/>
    <col min="4" max="4" width="12.85546875" hidden="1" customWidth="1"/>
    <col min="5" max="5" width="19.7109375" hidden="1" customWidth="1"/>
    <col min="6" max="6" width="15.5703125" hidden="1" customWidth="1"/>
    <col min="7" max="7" width="22.140625" hidden="1" customWidth="1"/>
    <col min="8" max="8" width="17.140625" hidden="1" customWidth="1"/>
    <col min="9" max="9" width="23.85546875" hidden="1" customWidth="1"/>
    <col min="10" max="10" width="28.28515625" hidden="1" customWidth="1"/>
    <col min="11" max="11" width="34.85546875" hidden="1" customWidth="1"/>
    <col min="12" max="12" width="25" hidden="1" customWidth="1"/>
    <col min="13" max="13" width="31.5703125" hidden="1" customWidth="1"/>
    <col min="14" max="14" width="26.5703125" hidden="1" customWidth="1"/>
    <col min="15" max="17" width="33.28515625" hidden="1" customWidth="1"/>
    <col min="18" max="18" width="26.5703125" hidden="1" customWidth="1"/>
    <col min="19" max="19" width="33" hidden="1" customWidth="1"/>
    <col min="20" max="20" width="19.5703125" hidden="1" customWidth="1"/>
    <col min="21" max="21" width="26.140625" hidden="1" customWidth="1"/>
    <col min="22" max="22" width="9.140625" hidden="1" customWidth="1"/>
    <col min="23" max="23" width="34.140625" hidden="1" customWidth="1"/>
    <col min="24" max="24" width="25.140625" hidden="1" customWidth="1"/>
  </cols>
  <sheetData>
    <row r="1" spans="1:24" ht="15" customHeight="1" thickBot="1" x14ac:dyDescent="0.3">
      <c r="A1" s="7" t="s">
        <v>162</v>
      </c>
      <c r="B1" s="7" t="s">
        <v>17</v>
      </c>
      <c r="D1" t="s">
        <v>79</v>
      </c>
      <c r="E1" t="s">
        <v>80</v>
      </c>
      <c r="F1" s="33" t="s">
        <v>86</v>
      </c>
      <c r="G1" s="34" t="s">
        <v>87</v>
      </c>
      <c r="H1" s="33" t="s">
        <v>92</v>
      </c>
      <c r="I1" s="34" t="s">
        <v>93</v>
      </c>
      <c r="J1" s="33" t="s">
        <v>98</v>
      </c>
      <c r="K1" s="34" t="s">
        <v>99</v>
      </c>
      <c r="L1" s="33" t="s">
        <v>104</v>
      </c>
      <c r="M1" s="34" t="s">
        <v>105</v>
      </c>
      <c r="N1" s="33" t="s">
        <v>110</v>
      </c>
      <c r="O1" s="34" t="s">
        <v>111</v>
      </c>
      <c r="P1" s="34" t="s">
        <v>138</v>
      </c>
      <c r="Q1" s="34" t="s">
        <v>139</v>
      </c>
      <c r="R1" s="33" t="s">
        <v>116</v>
      </c>
      <c r="S1" s="33" t="s">
        <v>117</v>
      </c>
      <c r="T1" s="33" t="s">
        <v>122</v>
      </c>
      <c r="U1" s="34" t="s">
        <v>123</v>
      </c>
      <c r="W1" t="s">
        <v>127</v>
      </c>
      <c r="X1" t="s">
        <v>17</v>
      </c>
    </row>
    <row r="2" spans="1:24" ht="15.75" thickTop="1" x14ac:dyDescent="0.25">
      <c r="A2" s="32" t="s">
        <v>29461</v>
      </c>
      <c r="B2" s="32" t="s">
        <v>29459</v>
      </c>
      <c r="D2" s="30">
        <f>MIN(Vertices[Degree])</f>
        <v>0</v>
      </c>
      <c r="E2">
        <f>COUNTIF(Vertices[Degree], "&gt;= " &amp; D2) - COUNTIF(Vertices[Degree], "&gt;=" &amp; D3)</f>
        <v>0</v>
      </c>
      <c r="F2" s="35">
        <f>MIN(Vertices[In-Degree])</f>
        <v>0</v>
      </c>
      <c r="G2" s="36">
        <f>COUNTIF(Vertices[In-Degree], "&gt;= " &amp; F2) - COUNTIF(Vertices[In-Degree], "&gt;=" &amp; F3)</f>
        <v>0</v>
      </c>
      <c r="H2" s="35">
        <f>MIN(Vertices[Out-Degree])</f>
        <v>0</v>
      </c>
      <c r="I2" s="36">
        <f>COUNTIF(Vertices[Out-Degree], "&gt;= " &amp; H2) - COUNTIF(Vertices[Out-Degree], "&gt;=" &amp; H3)</f>
        <v>0</v>
      </c>
      <c r="J2" s="35">
        <f>MIN(Vertices[Betweenness Centrality])</f>
        <v>0</v>
      </c>
      <c r="K2" s="36">
        <f>COUNTIF(Vertices[Betweenness Centrality], "&gt;= " &amp; J2) - COUNTIF(Vertices[Betweenness Centrality], "&gt;=" &amp; J3)</f>
        <v>0</v>
      </c>
      <c r="L2" s="35">
        <f>MIN(Vertices[Closeness Centrality])</f>
        <v>0</v>
      </c>
      <c r="M2" s="36">
        <f>COUNTIF(Vertices[Closeness Centrality], "&gt;= " &amp; L2) - COUNTIF(Vertices[Closeness Centrality], "&gt;=" &amp; L3)</f>
        <v>0</v>
      </c>
      <c r="N2" s="35">
        <f>MIN(Vertices[Eigenvector Centrality])</f>
        <v>0</v>
      </c>
      <c r="O2" s="36">
        <f>COUNTIF(Vertices[Eigenvector Centrality], "&gt;= " &amp; N2) - COUNTIF(Vertices[Eigenvector Centrality], "&gt;=" &amp; N3)</f>
        <v>0</v>
      </c>
      <c r="P2" s="35">
        <f>MIN(Vertices[PageRank])</f>
        <v>0</v>
      </c>
      <c r="Q2" s="36">
        <f>COUNTIF(Vertices[PageRank], "&gt;= " &amp; P2) - COUNTIF(Vertices[PageRank], "&gt;=" &amp; P3)</f>
        <v>0</v>
      </c>
      <c r="R2" s="35">
        <f>MIN(Vertices[Clustering Coefficient])</f>
        <v>0</v>
      </c>
      <c r="S2" s="41">
        <f>COUNTIF(Vertices[Clustering Coefficient], "&gt;= " &amp; R2) - COUNTIF(Vertices[Clustering Coefficient], "&gt;=" &amp; R3)</f>
        <v>0</v>
      </c>
      <c r="T2" s="35" t="e">
        <f ca="1">MIN(INDIRECT(DynamicFilterSourceColumnRange))</f>
        <v>#REF!</v>
      </c>
      <c r="U2" s="36" t="e">
        <f t="shared" ref="U2:U25" ca="1" si="0">COUNTIF(INDIRECT(DynamicFilterSourceColumnRange), "&gt;= " &amp; T2) - COUNTIF(INDIRECT(DynamicFilterSourceColumnRange), "&gt;=" &amp; T3)</f>
        <v>#REF!</v>
      </c>
      <c r="W2" t="s">
        <v>124</v>
      </c>
      <c r="X2">
        <f>ROWS(HistogramBins[Degree Bin]) - 1</f>
        <v>34</v>
      </c>
    </row>
    <row r="3" spans="1:24" x14ac:dyDescent="0.25">
      <c r="A3" s="105"/>
      <c r="B3" s="105"/>
      <c r="D3" s="30">
        <f t="shared" ref="D3:D35" si="1">D2+($D$36-$D$2)/BinDivisor</f>
        <v>0</v>
      </c>
      <c r="E3">
        <f>COUNTIF(Vertices[Degree], "&gt;= " &amp; D3) - COUNTIF(Vertices[Degree], "&gt;=" &amp; D4)</f>
        <v>0</v>
      </c>
      <c r="F3" s="37">
        <f t="shared" ref="F3:F35" si="2">F2+($F$36-$F$2)/BinDivisor</f>
        <v>0</v>
      </c>
      <c r="G3" s="38">
        <f>COUNTIF(Vertices[In-Degree], "&gt;= " &amp; F3) - COUNTIF(Vertices[In-Degree], "&gt;=" &amp; F4)</f>
        <v>0</v>
      </c>
      <c r="H3" s="37">
        <f t="shared" ref="H3:H35" si="3">H2+($H$36-$H$2)/BinDivisor</f>
        <v>0</v>
      </c>
      <c r="I3" s="38">
        <f>COUNTIF(Vertices[Out-Degree], "&gt;= " &amp; H3) - COUNTIF(Vertices[Out-Degree], "&gt;=" &amp; H4)</f>
        <v>0</v>
      </c>
      <c r="J3" s="37">
        <f t="shared" ref="J3:J35" si="4">J2+($J$36-$J$2)/BinDivisor</f>
        <v>0</v>
      </c>
      <c r="K3" s="38">
        <f>COUNTIF(Vertices[Betweenness Centrality], "&gt;= " &amp; J3) - COUNTIF(Vertices[Betweenness Centrality], "&gt;=" &amp; J4)</f>
        <v>0</v>
      </c>
      <c r="L3" s="37">
        <f t="shared" ref="L3:L35" si="5">L2+($L$36-$L$2)/BinDivisor</f>
        <v>0</v>
      </c>
      <c r="M3" s="38">
        <f>COUNTIF(Vertices[Closeness Centrality], "&gt;= " &amp; L3) - COUNTIF(Vertices[Closeness Centrality], "&gt;=" &amp; L4)</f>
        <v>0</v>
      </c>
      <c r="N3" s="37">
        <f t="shared" ref="N3:N35" si="6">N2+($N$36-$N$2)/BinDivisor</f>
        <v>0</v>
      </c>
      <c r="O3" s="38">
        <f>COUNTIF(Vertices[Eigenvector Centrality], "&gt;= " &amp; N3) - COUNTIF(Vertices[Eigenvector Centrality], "&gt;=" &amp; N4)</f>
        <v>0</v>
      </c>
      <c r="P3" s="37">
        <f t="shared" ref="P3:P35" si="7">P2+($P$36-$P$2)/BinDivisor</f>
        <v>0</v>
      </c>
      <c r="Q3" s="38">
        <f>COUNTIF(Vertices[PageRank], "&gt;= " &amp; P3) - COUNTIF(Vertices[PageRank], "&gt;=" &amp; P4)</f>
        <v>0</v>
      </c>
      <c r="R3" s="37">
        <f t="shared" ref="R3:R35" si="8">R2+($R$36-$R$2)/BinDivisor</f>
        <v>0</v>
      </c>
      <c r="S3" s="42">
        <f>COUNTIF(Vertices[Clustering Coefficient], "&gt;= " &amp; R3) - COUNTIF(Vertices[Clustering Coefficient], "&gt;=" &amp; R4)</f>
        <v>0</v>
      </c>
      <c r="T3" s="37" t="e">
        <f t="shared" ref="T3:T35" ca="1" si="9">T2+($T$36-$T$2)/BinDivisor</f>
        <v>#REF!</v>
      </c>
      <c r="U3" s="38" t="e">
        <f t="shared" ca="1" si="0"/>
        <v>#REF!</v>
      </c>
      <c r="W3" t="s">
        <v>125</v>
      </c>
      <c r="X3" t="s">
        <v>85</v>
      </c>
    </row>
    <row r="4" spans="1:24" x14ac:dyDescent="0.25">
      <c r="A4" s="32" t="s">
        <v>146</v>
      </c>
      <c r="B4" s="32">
        <v>1860</v>
      </c>
      <c r="D4" s="30">
        <f t="shared" si="1"/>
        <v>0</v>
      </c>
      <c r="E4">
        <f>COUNTIF(Vertices[Degree], "&gt;= " &amp; D4) - COUNTIF(Vertices[Degree], "&gt;=" &amp; D5)</f>
        <v>0</v>
      </c>
      <c r="F4" s="35">
        <f t="shared" si="2"/>
        <v>0</v>
      </c>
      <c r="G4" s="36">
        <f>COUNTIF(Vertices[In-Degree], "&gt;= " &amp; F4) - COUNTIF(Vertices[In-Degree], "&gt;=" &amp; F5)</f>
        <v>0</v>
      </c>
      <c r="H4" s="35">
        <f t="shared" si="3"/>
        <v>0</v>
      </c>
      <c r="I4" s="36">
        <f>COUNTIF(Vertices[Out-Degree], "&gt;= " &amp; H4) - COUNTIF(Vertices[Out-Degree], "&gt;=" &amp; H5)</f>
        <v>0</v>
      </c>
      <c r="J4" s="35">
        <f t="shared" si="4"/>
        <v>0</v>
      </c>
      <c r="K4" s="36">
        <f>COUNTIF(Vertices[Betweenness Centrality], "&gt;= " &amp; J4) - COUNTIF(Vertices[Betweenness Centrality], "&gt;=" &amp; J5)</f>
        <v>0</v>
      </c>
      <c r="L4" s="35">
        <f t="shared" si="5"/>
        <v>0</v>
      </c>
      <c r="M4" s="36">
        <f>COUNTIF(Vertices[Closeness Centrality], "&gt;= " &amp; L4) - COUNTIF(Vertices[Closeness Centrality], "&gt;=" &amp; L5)</f>
        <v>0</v>
      </c>
      <c r="N4" s="35">
        <f t="shared" si="6"/>
        <v>0</v>
      </c>
      <c r="O4" s="36">
        <f>COUNTIF(Vertices[Eigenvector Centrality], "&gt;= " &amp; N4) - COUNTIF(Vertices[Eigenvector Centrality], "&gt;=" &amp; N5)</f>
        <v>0</v>
      </c>
      <c r="P4" s="35">
        <f t="shared" si="7"/>
        <v>0</v>
      </c>
      <c r="Q4" s="36">
        <f>COUNTIF(Vertices[PageRank], "&gt;= " &amp; P4) - COUNTIF(Vertices[PageRank], "&gt;=" &amp; P5)</f>
        <v>0</v>
      </c>
      <c r="R4" s="35">
        <f t="shared" si="8"/>
        <v>0</v>
      </c>
      <c r="S4" s="41">
        <f>COUNTIF(Vertices[Clustering Coefficient], "&gt;= " &amp; R4) - COUNTIF(Vertices[Clustering Coefficient], "&gt;=" &amp; R5)</f>
        <v>0</v>
      </c>
      <c r="T4" s="35" t="e">
        <f t="shared" ca="1" si="9"/>
        <v>#REF!</v>
      </c>
      <c r="U4" s="36" t="e">
        <f t="shared" ca="1" si="0"/>
        <v>#REF!</v>
      </c>
      <c r="W4" t="s">
        <v>126</v>
      </c>
      <c r="X4" t="s">
        <v>128</v>
      </c>
    </row>
    <row r="5" spans="1:24" x14ac:dyDescent="0.25">
      <c r="A5" s="105"/>
      <c r="B5" s="105"/>
      <c r="D5" s="30">
        <f t="shared" si="1"/>
        <v>0</v>
      </c>
      <c r="E5">
        <f>COUNTIF(Vertices[Degree], "&gt;= " &amp; D5) - COUNTIF(Vertices[Degree], "&gt;=" &amp; D6)</f>
        <v>0</v>
      </c>
      <c r="F5" s="37">
        <f t="shared" si="2"/>
        <v>0</v>
      </c>
      <c r="G5" s="38">
        <f>COUNTIF(Vertices[In-Degree], "&gt;= " &amp; F5) - COUNTIF(Vertices[In-Degree], "&gt;=" &amp; F6)</f>
        <v>0</v>
      </c>
      <c r="H5" s="37">
        <f t="shared" si="3"/>
        <v>0</v>
      </c>
      <c r="I5" s="38">
        <f>COUNTIF(Vertices[Out-Degree], "&gt;= " &amp; H5) - COUNTIF(Vertices[Out-Degree], "&gt;=" &amp; H6)</f>
        <v>0</v>
      </c>
      <c r="J5" s="37">
        <f t="shared" si="4"/>
        <v>0</v>
      </c>
      <c r="K5" s="38">
        <f>COUNTIF(Vertices[Betweenness Centrality], "&gt;= " &amp; J5) - COUNTIF(Vertices[Betweenness Centrality], "&gt;=" &amp; J6)</f>
        <v>0</v>
      </c>
      <c r="L5" s="37">
        <f t="shared" si="5"/>
        <v>0</v>
      </c>
      <c r="M5" s="38">
        <f>COUNTIF(Vertices[Closeness Centrality], "&gt;= " &amp; L5) - COUNTIF(Vertices[Closeness Centrality], "&gt;=" &amp; L6)</f>
        <v>0</v>
      </c>
      <c r="N5" s="37">
        <f t="shared" si="6"/>
        <v>0</v>
      </c>
      <c r="O5" s="38">
        <f>COUNTIF(Vertices[Eigenvector Centrality], "&gt;= " &amp; N5) - COUNTIF(Vertices[Eigenvector Centrality], "&gt;=" &amp; N6)</f>
        <v>0</v>
      </c>
      <c r="P5" s="37">
        <f t="shared" si="7"/>
        <v>0</v>
      </c>
      <c r="Q5" s="38">
        <f>COUNTIF(Vertices[PageRank], "&gt;= " &amp; P5) - COUNTIF(Vertices[PageRank], "&gt;=" &amp; P6)</f>
        <v>0</v>
      </c>
      <c r="R5" s="37">
        <f t="shared" si="8"/>
        <v>0</v>
      </c>
      <c r="S5" s="42">
        <f>COUNTIF(Vertices[Clustering Coefficient], "&gt;= " &amp; R5) - COUNTIF(Vertices[Clustering Coefficient], "&gt;=" &amp; R6)</f>
        <v>0</v>
      </c>
      <c r="T5" s="37" t="e">
        <f t="shared" ca="1" si="9"/>
        <v>#REF!</v>
      </c>
      <c r="U5" s="38" t="e">
        <f t="shared" ca="1" si="0"/>
        <v>#REF!</v>
      </c>
    </row>
    <row r="6" spans="1:24" x14ac:dyDescent="0.25">
      <c r="A6" s="32" t="s">
        <v>148</v>
      </c>
      <c r="B6" s="32">
        <v>1408</v>
      </c>
      <c r="D6" s="30">
        <f t="shared" si="1"/>
        <v>0</v>
      </c>
      <c r="E6">
        <f>COUNTIF(Vertices[Degree], "&gt;= " &amp; D6) - COUNTIF(Vertices[Degree], "&gt;=" &amp; D7)</f>
        <v>0</v>
      </c>
      <c r="F6" s="35">
        <f t="shared" si="2"/>
        <v>0</v>
      </c>
      <c r="G6" s="36">
        <f>COUNTIF(Vertices[In-Degree], "&gt;= " &amp; F6) - COUNTIF(Vertices[In-Degree], "&gt;=" &amp; F7)</f>
        <v>0</v>
      </c>
      <c r="H6" s="35">
        <f t="shared" si="3"/>
        <v>0</v>
      </c>
      <c r="I6" s="36">
        <f>COUNTIF(Vertices[Out-Degree], "&gt;= " &amp; H6) - COUNTIF(Vertices[Out-Degree], "&gt;=" &amp; H7)</f>
        <v>0</v>
      </c>
      <c r="J6" s="35">
        <f t="shared" si="4"/>
        <v>0</v>
      </c>
      <c r="K6" s="36">
        <f>COUNTIF(Vertices[Betweenness Centrality], "&gt;= " &amp; J6) - COUNTIF(Vertices[Betweenness Centrality], "&gt;=" &amp; J7)</f>
        <v>0</v>
      </c>
      <c r="L6" s="35">
        <f t="shared" si="5"/>
        <v>0</v>
      </c>
      <c r="M6" s="36">
        <f>COUNTIF(Vertices[Closeness Centrality], "&gt;= " &amp; L6) - COUNTIF(Vertices[Closeness Centrality], "&gt;=" &amp; L7)</f>
        <v>0</v>
      </c>
      <c r="N6" s="35">
        <f t="shared" si="6"/>
        <v>0</v>
      </c>
      <c r="O6" s="36">
        <f>COUNTIF(Vertices[Eigenvector Centrality], "&gt;= " &amp; N6) - COUNTIF(Vertices[Eigenvector Centrality], "&gt;=" &amp; N7)</f>
        <v>0</v>
      </c>
      <c r="P6" s="35">
        <f t="shared" si="7"/>
        <v>0</v>
      </c>
      <c r="Q6" s="36">
        <f>COUNTIF(Vertices[PageRank], "&gt;= " &amp; P6) - COUNTIF(Vertices[PageRank], "&gt;=" &amp; P7)</f>
        <v>0</v>
      </c>
      <c r="R6" s="35">
        <f t="shared" si="8"/>
        <v>0</v>
      </c>
      <c r="S6" s="41">
        <f>COUNTIF(Vertices[Clustering Coefficient], "&gt;= " &amp; R6) - COUNTIF(Vertices[Clustering Coefficient], "&gt;=" &amp; R7)</f>
        <v>0</v>
      </c>
      <c r="T6" s="35" t="e">
        <f t="shared" ca="1" si="9"/>
        <v>#REF!</v>
      </c>
      <c r="U6" s="36" t="e">
        <f t="shared" ca="1" si="0"/>
        <v>#REF!</v>
      </c>
    </row>
    <row r="7" spans="1:24" x14ac:dyDescent="0.25">
      <c r="A7" s="32" t="s">
        <v>149</v>
      </c>
      <c r="B7" s="32">
        <v>2885</v>
      </c>
      <c r="D7" s="30">
        <f t="shared" si="1"/>
        <v>0</v>
      </c>
      <c r="E7">
        <f>COUNTIF(Vertices[Degree], "&gt;= " &amp; D7) - COUNTIF(Vertices[Degree], "&gt;=" &amp; D8)</f>
        <v>0</v>
      </c>
      <c r="F7" s="37">
        <f t="shared" si="2"/>
        <v>0</v>
      </c>
      <c r="G7" s="38">
        <f>COUNTIF(Vertices[In-Degree], "&gt;= " &amp; F7) - COUNTIF(Vertices[In-Degree], "&gt;=" &amp; F8)</f>
        <v>0</v>
      </c>
      <c r="H7" s="37">
        <f t="shared" si="3"/>
        <v>0</v>
      </c>
      <c r="I7" s="38">
        <f>COUNTIF(Vertices[Out-Degree], "&gt;= " &amp; H7) - COUNTIF(Vertices[Out-Degree], "&gt;=" &amp; H8)</f>
        <v>0</v>
      </c>
      <c r="J7" s="37">
        <f t="shared" si="4"/>
        <v>0</v>
      </c>
      <c r="K7" s="38">
        <f>COUNTIF(Vertices[Betweenness Centrality], "&gt;= " &amp; J7) - COUNTIF(Vertices[Betweenness Centrality], "&gt;=" &amp; J8)</f>
        <v>0</v>
      </c>
      <c r="L7" s="37">
        <f t="shared" si="5"/>
        <v>0</v>
      </c>
      <c r="M7" s="38">
        <f>COUNTIF(Vertices[Closeness Centrality], "&gt;= " &amp; L7) - COUNTIF(Vertices[Closeness Centrality], "&gt;=" &amp; L8)</f>
        <v>0</v>
      </c>
      <c r="N7" s="37">
        <f t="shared" si="6"/>
        <v>0</v>
      </c>
      <c r="O7" s="38">
        <f>COUNTIF(Vertices[Eigenvector Centrality], "&gt;= " &amp; N7) - COUNTIF(Vertices[Eigenvector Centrality], "&gt;=" &amp; N8)</f>
        <v>0</v>
      </c>
      <c r="P7" s="37">
        <f t="shared" si="7"/>
        <v>0</v>
      </c>
      <c r="Q7" s="38">
        <f>COUNTIF(Vertices[PageRank], "&gt;= " &amp; P7) - COUNTIF(Vertices[PageRank], "&gt;=" &amp; P8)</f>
        <v>0</v>
      </c>
      <c r="R7" s="37">
        <f t="shared" si="8"/>
        <v>0</v>
      </c>
      <c r="S7" s="42">
        <f>COUNTIF(Vertices[Clustering Coefficient], "&gt;= " &amp; R7) - COUNTIF(Vertices[Clustering Coefficient], "&gt;=" &amp; R8)</f>
        <v>0</v>
      </c>
      <c r="T7" s="37" t="e">
        <f t="shared" ca="1" si="9"/>
        <v>#REF!</v>
      </c>
      <c r="U7" s="38" t="e">
        <f t="shared" ca="1" si="0"/>
        <v>#REF!</v>
      </c>
    </row>
    <row r="8" spans="1:24" x14ac:dyDescent="0.25">
      <c r="A8" s="32" t="s">
        <v>150</v>
      </c>
      <c r="B8" s="32">
        <v>4293</v>
      </c>
      <c r="D8" s="30">
        <f t="shared" si="1"/>
        <v>0</v>
      </c>
      <c r="E8">
        <f>COUNTIF(Vertices[Degree], "&gt;= " &amp; D8) - COUNTIF(Vertices[Degree], "&gt;=" &amp; D9)</f>
        <v>0</v>
      </c>
      <c r="F8" s="35">
        <f t="shared" si="2"/>
        <v>0</v>
      </c>
      <c r="G8" s="36">
        <f>COUNTIF(Vertices[In-Degree], "&gt;= " &amp; F8) - COUNTIF(Vertices[In-Degree], "&gt;=" &amp; F9)</f>
        <v>0</v>
      </c>
      <c r="H8" s="35">
        <f t="shared" si="3"/>
        <v>0</v>
      </c>
      <c r="I8" s="36">
        <f>COUNTIF(Vertices[Out-Degree], "&gt;= " &amp; H8) - COUNTIF(Vertices[Out-Degree], "&gt;=" &amp; H9)</f>
        <v>0</v>
      </c>
      <c r="J8" s="35">
        <f t="shared" si="4"/>
        <v>0</v>
      </c>
      <c r="K8" s="36">
        <f>COUNTIF(Vertices[Betweenness Centrality], "&gt;= " &amp; J8) - COUNTIF(Vertices[Betweenness Centrality], "&gt;=" &amp; J9)</f>
        <v>0</v>
      </c>
      <c r="L8" s="35">
        <f t="shared" si="5"/>
        <v>0</v>
      </c>
      <c r="M8" s="36">
        <f>COUNTIF(Vertices[Closeness Centrality], "&gt;= " &amp; L8) - COUNTIF(Vertices[Closeness Centrality], "&gt;=" &amp; L9)</f>
        <v>0</v>
      </c>
      <c r="N8" s="35">
        <f t="shared" si="6"/>
        <v>0</v>
      </c>
      <c r="O8" s="36">
        <f>COUNTIF(Vertices[Eigenvector Centrality], "&gt;= " &amp; N8) - COUNTIF(Vertices[Eigenvector Centrality], "&gt;=" &amp; N9)</f>
        <v>0</v>
      </c>
      <c r="P8" s="35">
        <f t="shared" si="7"/>
        <v>0</v>
      </c>
      <c r="Q8" s="36">
        <f>COUNTIF(Vertices[PageRank], "&gt;= " &amp; P8) - COUNTIF(Vertices[PageRank], "&gt;=" &amp; P9)</f>
        <v>0</v>
      </c>
      <c r="R8" s="35">
        <f t="shared" si="8"/>
        <v>0</v>
      </c>
      <c r="S8" s="41">
        <f>COUNTIF(Vertices[Clustering Coefficient], "&gt;= " &amp; R8) - COUNTIF(Vertices[Clustering Coefficient], "&gt;=" &amp; R9)</f>
        <v>0</v>
      </c>
      <c r="T8" s="35" t="e">
        <f t="shared" ca="1" si="9"/>
        <v>#REF!</v>
      </c>
      <c r="U8" s="36" t="e">
        <f t="shared" ca="1" si="0"/>
        <v>#REF!</v>
      </c>
    </row>
    <row r="9" spans="1:24" x14ac:dyDescent="0.25">
      <c r="A9" s="105"/>
      <c r="B9" s="105"/>
      <c r="D9" s="30">
        <f t="shared" si="1"/>
        <v>0</v>
      </c>
      <c r="E9">
        <f>COUNTIF(Vertices[Degree], "&gt;= " &amp; D9) - COUNTIF(Vertices[Degree], "&gt;=" &amp; D10)</f>
        <v>0</v>
      </c>
      <c r="F9" s="37">
        <f t="shared" si="2"/>
        <v>0</v>
      </c>
      <c r="G9" s="38">
        <f>COUNTIF(Vertices[In-Degree], "&gt;= " &amp; F9) - COUNTIF(Vertices[In-Degree], "&gt;=" &amp; F10)</f>
        <v>0</v>
      </c>
      <c r="H9" s="37">
        <f t="shared" si="3"/>
        <v>0</v>
      </c>
      <c r="I9" s="38">
        <f>COUNTIF(Vertices[Out-Degree], "&gt;= " &amp; H9) - COUNTIF(Vertices[Out-Degree], "&gt;=" &amp; H10)</f>
        <v>0</v>
      </c>
      <c r="J9" s="37">
        <f t="shared" si="4"/>
        <v>0</v>
      </c>
      <c r="K9" s="38">
        <f>COUNTIF(Vertices[Betweenness Centrality], "&gt;= " &amp; J9) - COUNTIF(Vertices[Betweenness Centrality], "&gt;=" &amp; J10)</f>
        <v>0</v>
      </c>
      <c r="L9" s="37">
        <f t="shared" si="5"/>
        <v>0</v>
      </c>
      <c r="M9" s="38">
        <f>COUNTIF(Vertices[Closeness Centrality], "&gt;= " &amp; L9) - COUNTIF(Vertices[Closeness Centrality], "&gt;=" &amp; L10)</f>
        <v>0</v>
      </c>
      <c r="N9" s="37">
        <f t="shared" si="6"/>
        <v>0</v>
      </c>
      <c r="O9" s="38">
        <f>COUNTIF(Vertices[Eigenvector Centrality], "&gt;= " &amp; N9) - COUNTIF(Vertices[Eigenvector Centrality], "&gt;=" &amp; N10)</f>
        <v>0</v>
      </c>
      <c r="P9" s="37">
        <f t="shared" si="7"/>
        <v>0</v>
      </c>
      <c r="Q9" s="38">
        <f>COUNTIF(Vertices[PageRank], "&gt;= " &amp; P9) - COUNTIF(Vertices[PageRank], "&gt;=" &amp; P10)</f>
        <v>0</v>
      </c>
      <c r="R9" s="37">
        <f t="shared" si="8"/>
        <v>0</v>
      </c>
      <c r="S9" s="42">
        <f>COUNTIF(Vertices[Clustering Coefficient], "&gt;= " &amp; R9) - COUNTIF(Vertices[Clustering Coefficient], "&gt;=" &amp; R10)</f>
        <v>0</v>
      </c>
      <c r="T9" s="37" t="e">
        <f t="shared" ca="1" si="9"/>
        <v>#REF!</v>
      </c>
      <c r="U9" s="38" t="e">
        <f t="shared" ca="1" si="0"/>
        <v>#REF!</v>
      </c>
    </row>
    <row r="10" spans="1:24" x14ac:dyDescent="0.25">
      <c r="A10" s="32" t="s">
        <v>151</v>
      </c>
      <c r="B10" s="32">
        <v>3222</v>
      </c>
      <c r="D10" s="30">
        <f t="shared" si="1"/>
        <v>0</v>
      </c>
      <c r="E10">
        <f>COUNTIF(Vertices[Degree], "&gt;= " &amp; D10) - COUNTIF(Vertices[Degree], "&gt;=" &amp; D11)</f>
        <v>0</v>
      </c>
      <c r="F10" s="35">
        <f t="shared" si="2"/>
        <v>0</v>
      </c>
      <c r="G10" s="36">
        <f>COUNTIF(Vertices[In-Degree], "&gt;= " &amp; F10) - COUNTIF(Vertices[In-Degree], "&gt;=" &amp; F11)</f>
        <v>0</v>
      </c>
      <c r="H10" s="35">
        <f t="shared" si="3"/>
        <v>0</v>
      </c>
      <c r="I10" s="36">
        <f>COUNTIF(Vertices[Out-Degree], "&gt;= " &amp; H10) - COUNTIF(Vertices[Out-Degree], "&gt;=" &amp; H11)</f>
        <v>0</v>
      </c>
      <c r="J10" s="35">
        <f t="shared" si="4"/>
        <v>0</v>
      </c>
      <c r="K10" s="36">
        <f>COUNTIF(Vertices[Betweenness Centrality], "&gt;= " &amp; J10) - COUNTIF(Vertices[Betweenness Centrality], "&gt;=" &amp; J11)</f>
        <v>0</v>
      </c>
      <c r="L10" s="35">
        <f t="shared" si="5"/>
        <v>0</v>
      </c>
      <c r="M10" s="36">
        <f>COUNTIF(Vertices[Closeness Centrality], "&gt;= " &amp; L10) - COUNTIF(Vertices[Closeness Centrality], "&gt;=" &amp; L11)</f>
        <v>0</v>
      </c>
      <c r="N10" s="35">
        <f t="shared" si="6"/>
        <v>0</v>
      </c>
      <c r="O10" s="36">
        <f>COUNTIF(Vertices[Eigenvector Centrality], "&gt;= " &amp; N10) - COUNTIF(Vertices[Eigenvector Centrality], "&gt;=" &amp; N11)</f>
        <v>0</v>
      </c>
      <c r="P10" s="35">
        <f t="shared" si="7"/>
        <v>0</v>
      </c>
      <c r="Q10" s="36">
        <f>COUNTIF(Vertices[PageRank], "&gt;= " &amp; P10) - COUNTIF(Vertices[PageRank], "&gt;=" &amp; P11)</f>
        <v>0</v>
      </c>
      <c r="R10" s="35">
        <f t="shared" si="8"/>
        <v>0</v>
      </c>
      <c r="S10" s="41">
        <f>COUNTIF(Vertices[Clustering Coefficient], "&gt;= " &amp; R10) - COUNTIF(Vertices[Clustering Coefficient], "&gt;=" &amp; R11)</f>
        <v>0</v>
      </c>
      <c r="T10" s="35" t="e">
        <f t="shared" ca="1" si="9"/>
        <v>#REF!</v>
      </c>
      <c r="U10" s="36" t="e">
        <f t="shared" ca="1" si="0"/>
        <v>#REF!</v>
      </c>
    </row>
    <row r="11" spans="1:24" x14ac:dyDescent="0.25">
      <c r="A11" s="105"/>
      <c r="B11" s="105"/>
      <c r="D11" s="30">
        <f t="shared" si="1"/>
        <v>0</v>
      </c>
      <c r="E11">
        <f>COUNTIF(Vertices[Degree], "&gt;= " &amp; D11) - COUNTIF(Vertices[Degree], "&gt;=" &amp; D12)</f>
        <v>0</v>
      </c>
      <c r="F11" s="37">
        <f t="shared" si="2"/>
        <v>0</v>
      </c>
      <c r="G11" s="38">
        <f>COUNTIF(Vertices[In-Degree], "&gt;= " &amp; F11) - COUNTIF(Vertices[In-Degree], "&gt;=" &amp; F12)</f>
        <v>0</v>
      </c>
      <c r="H11" s="37">
        <f t="shared" si="3"/>
        <v>0</v>
      </c>
      <c r="I11" s="38">
        <f>COUNTIF(Vertices[Out-Degree], "&gt;= " &amp; H11) - COUNTIF(Vertices[Out-Degree], "&gt;=" &amp; H12)</f>
        <v>0</v>
      </c>
      <c r="J11" s="37">
        <f t="shared" si="4"/>
        <v>0</v>
      </c>
      <c r="K11" s="38">
        <f>COUNTIF(Vertices[Betweenness Centrality], "&gt;= " &amp; J11) - COUNTIF(Vertices[Betweenness Centrality], "&gt;=" &amp; J12)</f>
        <v>0</v>
      </c>
      <c r="L11" s="37">
        <f t="shared" si="5"/>
        <v>0</v>
      </c>
      <c r="M11" s="38">
        <f>COUNTIF(Vertices[Closeness Centrality], "&gt;= " &amp; L11) - COUNTIF(Vertices[Closeness Centrality], "&gt;=" &amp; L12)</f>
        <v>0</v>
      </c>
      <c r="N11" s="37">
        <f t="shared" si="6"/>
        <v>0</v>
      </c>
      <c r="O11" s="38">
        <f>COUNTIF(Vertices[Eigenvector Centrality], "&gt;= " &amp; N11) - COUNTIF(Vertices[Eigenvector Centrality], "&gt;=" &amp; N12)</f>
        <v>0</v>
      </c>
      <c r="P11" s="37">
        <f t="shared" si="7"/>
        <v>0</v>
      </c>
      <c r="Q11" s="38">
        <f>COUNTIF(Vertices[PageRank], "&gt;= " &amp; P11) - COUNTIF(Vertices[PageRank], "&gt;=" &amp; P12)</f>
        <v>0</v>
      </c>
      <c r="R11" s="37">
        <f t="shared" si="8"/>
        <v>0</v>
      </c>
      <c r="S11" s="42">
        <f>COUNTIF(Vertices[Clustering Coefficient], "&gt;= " &amp; R11) - COUNTIF(Vertices[Clustering Coefficient], "&gt;=" &amp; R12)</f>
        <v>0</v>
      </c>
      <c r="T11" s="37" t="e">
        <f t="shared" ca="1" si="9"/>
        <v>#REF!</v>
      </c>
      <c r="U11" s="38" t="e">
        <f t="shared" ca="1" si="0"/>
        <v>#REF!</v>
      </c>
    </row>
    <row r="12" spans="1:24" x14ac:dyDescent="0.25">
      <c r="A12" s="32" t="s">
        <v>170</v>
      </c>
      <c r="B12" s="32">
        <v>1.1904761904761906E-3</v>
      </c>
      <c r="D12" s="30">
        <f t="shared" si="1"/>
        <v>0</v>
      </c>
      <c r="E12">
        <f>COUNTIF(Vertices[Degree], "&gt;= " &amp; D12) - COUNTIF(Vertices[Degree], "&gt;=" &amp; D13)</f>
        <v>0</v>
      </c>
      <c r="F12" s="35">
        <f t="shared" si="2"/>
        <v>0</v>
      </c>
      <c r="G12" s="36">
        <f>COUNTIF(Vertices[In-Degree], "&gt;= " &amp; F12) - COUNTIF(Vertices[In-Degree], "&gt;=" &amp; F13)</f>
        <v>0</v>
      </c>
      <c r="H12" s="35">
        <f t="shared" si="3"/>
        <v>0</v>
      </c>
      <c r="I12" s="36">
        <f>COUNTIF(Vertices[Out-Degree], "&gt;= " &amp; H12) - COUNTIF(Vertices[Out-Degree], "&gt;=" &amp; H13)</f>
        <v>0</v>
      </c>
      <c r="J12" s="35">
        <f t="shared" si="4"/>
        <v>0</v>
      </c>
      <c r="K12" s="36">
        <f>COUNTIF(Vertices[Betweenness Centrality], "&gt;= " &amp; J12) - COUNTIF(Vertices[Betweenness Centrality], "&gt;=" &amp; J13)</f>
        <v>0</v>
      </c>
      <c r="L12" s="35">
        <f t="shared" si="5"/>
        <v>0</v>
      </c>
      <c r="M12" s="36">
        <f>COUNTIF(Vertices[Closeness Centrality], "&gt;= " &amp; L12) - COUNTIF(Vertices[Closeness Centrality], "&gt;=" &amp; L13)</f>
        <v>0</v>
      </c>
      <c r="N12" s="35">
        <f t="shared" si="6"/>
        <v>0</v>
      </c>
      <c r="O12" s="36">
        <f>COUNTIF(Vertices[Eigenvector Centrality], "&gt;= " &amp; N12) - COUNTIF(Vertices[Eigenvector Centrality], "&gt;=" &amp; N13)</f>
        <v>0</v>
      </c>
      <c r="P12" s="35">
        <f t="shared" si="7"/>
        <v>0</v>
      </c>
      <c r="Q12" s="36">
        <f>COUNTIF(Vertices[PageRank], "&gt;= " &amp; P12) - COUNTIF(Vertices[PageRank], "&gt;=" &amp; P13)</f>
        <v>0</v>
      </c>
      <c r="R12" s="35">
        <f t="shared" si="8"/>
        <v>0</v>
      </c>
      <c r="S12" s="41">
        <f>COUNTIF(Vertices[Clustering Coefficient], "&gt;= " &amp; R12) - COUNTIF(Vertices[Clustering Coefficient], "&gt;=" &amp; R13)</f>
        <v>0</v>
      </c>
      <c r="T12" s="35" t="e">
        <f t="shared" ca="1" si="9"/>
        <v>#REF!</v>
      </c>
      <c r="U12" s="36" t="e">
        <f t="shared" ca="1" si="0"/>
        <v>#REF!</v>
      </c>
    </row>
    <row r="13" spans="1:24" x14ac:dyDescent="0.25">
      <c r="A13" s="32" t="s">
        <v>171</v>
      </c>
      <c r="B13" s="32">
        <v>2.3781212841854932E-3</v>
      </c>
      <c r="D13" s="30">
        <f t="shared" si="1"/>
        <v>0</v>
      </c>
      <c r="E13">
        <f>COUNTIF(Vertices[Degree], "&gt;= " &amp; D13) - COUNTIF(Vertices[Degree], "&gt;=" &amp; D14)</f>
        <v>0</v>
      </c>
      <c r="F13" s="37">
        <f t="shared" si="2"/>
        <v>0</v>
      </c>
      <c r="G13" s="38">
        <f>COUNTIF(Vertices[In-Degree], "&gt;= " &amp; F13) - COUNTIF(Vertices[In-Degree], "&gt;=" &amp; F14)</f>
        <v>0</v>
      </c>
      <c r="H13" s="37">
        <f t="shared" si="3"/>
        <v>0</v>
      </c>
      <c r="I13" s="38">
        <f>COUNTIF(Vertices[Out-Degree], "&gt;= " &amp; H13) - COUNTIF(Vertices[Out-Degree], "&gt;=" &amp; H14)</f>
        <v>0</v>
      </c>
      <c r="J13" s="37">
        <f t="shared" si="4"/>
        <v>0</v>
      </c>
      <c r="K13" s="38">
        <f>COUNTIF(Vertices[Betweenness Centrality], "&gt;= " &amp; J13) - COUNTIF(Vertices[Betweenness Centrality], "&gt;=" &amp; J14)</f>
        <v>0</v>
      </c>
      <c r="L13" s="37">
        <f t="shared" si="5"/>
        <v>0</v>
      </c>
      <c r="M13" s="38">
        <f>COUNTIF(Vertices[Closeness Centrality], "&gt;= " &amp; L13) - COUNTIF(Vertices[Closeness Centrality], "&gt;=" &amp; L14)</f>
        <v>0</v>
      </c>
      <c r="N13" s="37">
        <f t="shared" si="6"/>
        <v>0</v>
      </c>
      <c r="O13" s="38">
        <f>COUNTIF(Vertices[Eigenvector Centrality], "&gt;= " &amp; N13) - COUNTIF(Vertices[Eigenvector Centrality], "&gt;=" &amp; N14)</f>
        <v>0</v>
      </c>
      <c r="P13" s="37">
        <f t="shared" si="7"/>
        <v>0</v>
      </c>
      <c r="Q13" s="38">
        <f>COUNTIF(Vertices[PageRank], "&gt;= " &amp; P13) - COUNTIF(Vertices[PageRank], "&gt;=" &amp; P14)</f>
        <v>0</v>
      </c>
      <c r="R13" s="37">
        <f t="shared" si="8"/>
        <v>0</v>
      </c>
      <c r="S13" s="42">
        <f>COUNTIF(Vertices[Clustering Coefficient], "&gt;= " &amp; R13) - COUNTIF(Vertices[Clustering Coefficient], "&gt;=" &amp; R14)</f>
        <v>0</v>
      </c>
      <c r="T13" s="37" t="e">
        <f t="shared" ca="1" si="9"/>
        <v>#REF!</v>
      </c>
      <c r="U13" s="38" t="e">
        <f t="shared" ca="1" si="0"/>
        <v>#REF!</v>
      </c>
    </row>
    <row r="14" spans="1:24" x14ac:dyDescent="0.25">
      <c r="A14" s="105"/>
      <c r="B14" s="105"/>
      <c r="D14" s="30">
        <f t="shared" si="1"/>
        <v>0</v>
      </c>
      <c r="E14">
        <f>COUNTIF(Vertices[Degree], "&gt;= " &amp; D14) - COUNTIF(Vertices[Degree], "&gt;=" &amp; D15)</f>
        <v>0</v>
      </c>
      <c r="F14" s="35">
        <f t="shared" si="2"/>
        <v>0</v>
      </c>
      <c r="G14" s="36">
        <f>COUNTIF(Vertices[In-Degree], "&gt;= " &amp; F14) - COUNTIF(Vertices[In-Degree], "&gt;=" &amp; F15)</f>
        <v>0</v>
      </c>
      <c r="H14" s="35">
        <f t="shared" si="3"/>
        <v>0</v>
      </c>
      <c r="I14" s="36">
        <f>COUNTIF(Vertices[Out-Degree], "&gt;= " &amp; H14) - COUNTIF(Vertices[Out-Degree], "&gt;=" &amp; H15)</f>
        <v>0</v>
      </c>
      <c r="J14" s="35">
        <f t="shared" si="4"/>
        <v>0</v>
      </c>
      <c r="K14" s="36">
        <f>COUNTIF(Vertices[Betweenness Centrality], "&gt;= " &amp; J14) - COUNTIF(Vertices[Betweenness Centrality], "&gt;=" &amp; J15)</f>
        <v>0</v>
      </c>
      <c r="L14" s="35">
        <f t="shared" si="5"/>
        <v>0</v>
      </c>
      <c r="M14" s="36">
        <f>COUNTIF(Vertices[Closeness Centrality], "&gt;= " &amp; L14) - COUNTIF(Vertices[Closeness Centrality], "&gt;=" &amp; L15)</f>
        <v>0</v>
      </c>
      <c r="N14" s="35">
        <f t="shared" si="6"/>
        <v>0</v>
      </c>
      <c r="O14" s="36">
        <f>COUNTIF(Vertices[Eigenvector Centrality], "&gt;= " &amp; N14) - COUNTIF(Vertices[Eigenvector Centrality], "&gt;=" &amp; N15)</f>
        <v>0</v>
      </c>
      <c r="P14" s="35">
        <f t="shared" si="7"/>
        <v>0</v>
      </c>
      <c r="Q14" s="36">
        <f>COUNTIF(Vertices[PageRank], "&gt;= " &amp; P14) - COUNTIF(Vertices[PageRank], "&gt;=" &amp; P15)</f>
        <v>0</v>
      </c>
      <c r="R14" s="35">
        <f t="shared" si="8"/>
        <v>0</v>
      </c>
      <c r="S14" s="41">
        <f>COUNTIF(Vertices[Clustering Coefficient], "&gt;= " &amp; R14) - COUNTIF(Vertices[Clustering Coefficient], "&gt;=" &amp; R15)</f>
        <v>0</v>
      </c>
      <c r="T14" s="35" t="e">
        <f t="shared" ca="1" si="9"/>
        <v>#REF!</v>
      </c>
      <c r="U14" s="36" t="e">
        <f t="shared" ca="1" si="0"/>
        <v>#REF!</v>
      </c>
    </row>
    <row r="15" spans="1:24" x14ac:dyDescent="0.25">
      <c r="A15" s="32" t="s">
        <v>152</v>
      </c>
      <c r="B15" s="32">
        <v>1065</v>
      </c>
      <c r="D15" s="30">
        <f t="shared" si="1"/>
        <v>0</v>
      </c>
      <c r="E15">
        <f>COUNTIF(Vertices[Degree], "&gt;= " &amp; D15) - COUNTIF(Vertices[Degree], "&gt;=" &amp; D16)</f>
        <v>0</v>
      </c>
      <c r="F15" s="37">
        <f t="shared" si="2"/>
        <v>0</v>
      </c>
      <c r="G15" s="38">
        <f>COUNTIF(Vertices[In-Degree], "&gt;= " &amp; F15) - COUNTIF(Vertices[In-Degree], "&gt;=" &amp; F16)</f>
        <v>0</v>
      </c>
      <c r="H15" s="37">
        <f t="shared" si="3"/>
        <v>0</v>
      </c>
      <c r="I15" s="38">
        <f>COUNTIF(Vertices[Out-Degree], "&gt;= " &amp; H15) - COUNTIF(Vertices[Out-Degree], "&gt;=" &amp; H16)</f>
        <v>0</v>
      </c>
      <c r="J15" s="37">
        <f t="shared" si="4"/>
        <v>0</v>
      </c>
      <c r="K15" s="38">
        <f>COUNTIF(Vertices[Betweenness Centrality], "&gt;= " &amp; J15) - COUNTIF(Vertices[Betweenness Centrality], "&gt;=" &amp; J16)</f>
        <v>0</v>
      </c>
      <c r="L15" s="37">
        <f t="shared" si="5"/>
        <v>0</v>
      </c>
      <c r="M15" s="38">
        <f>COUNTIF(Vertices[Closeness Centrality], "&gt;= " &amp; L15) - COUNTIF(Vertices[Closeness Centrality], "&gt;=" &amp; L16)</f>
        <v>0</v>
      </c>
      <c r="N15" s="37">
        <f t="shared" si="6"/>
        <v>0</v>
      </c>
      <c r="O15" s="38">
        <f>COUNTIF(Vertices[Eigenvector Centrality], "&gt;= " &amp; N15) - COUNTIF(Vertices[Eigenvector Centrality], "&gt;=" &amp; N16)</f>
        <v>0</v>
      </c>
      <c r="P15" s="37">
        <f t="shared" si="7"/>
        <v>0</v>
      </c>
      <c r="Q15" s="38">
        <f>COUNTIF(Vertices[PageRank], "&gt;= " &amp; P15) - COUNTIF(Vertices[PageRank], "&gt;=" &amp; P16)</f>
        <v>0</v>
      </c>
      <c r="R15" s="37">
        <f t="shared" si="8"/>
        <v>0</v>
      </c>
      <c r="S15" s="42">
        <f>COUNTIF(Vertices[Clustering Coefficient], "&gt;= " &amp; R15) - COUNTIF(Vertices[Clustering Coefficient], "&gt;=" &amp; R16)</f>
        <v>0</v>
      </c>
      <c r="T15" s="37" t="e">
        <f t="shared" ca="1" si="9"/>
        <v>#REF!</v>
      </c>
      <c r="U15" s="38" t="e">
        <f t="shared" ca="1" si="0"/>
        <v>#REF!</v>
      </c>
    </row>
    <row r="16" spans="1:24" x14ac:dyDescent="0.25">
      <c r="A16" s="32" t="s">
        <v>153</v>
      </c>
      <c r="B16" s="32">
        <v>881</v>
      </c>
      <c r="D16" s="30">
        <f t="shared" si="1"/>
        <v>0</v>
      </c>
      <c r="E16">
        <f>COUNTIF(Vertices[Degree], "&gt;= " &amp; D16) - COUNTIF(Vertices[Degree], "&gt;=" &amp; D17)</f>
        <v>0</v>
      </c>
      <c r="F16" s="35">
        <f t="shared" si="2"/>
        <v>0</v>
      </c>
      <c r="G16" s="36">
        <f>COUNTIF(Vertices[In-Degree], "&gt;= " &amp; F16) - COUNTIF(Vertices[In-Degree], "&gt;=" &amp; F17)</f>
        <v>0</v>
      </c>
      <c r="H16" s="35">
        <f t="shared" si="3"/>
        <v>0</v>
      </c>
      <c r="I16" s="36">
        <f>COUNTIF(Vertices[Out-Degree], "&gt;= " &amp; H16) - COUNTIF(Vertices[Out-Degree], "&gt;=" &amp; H17)</f>
        <v>0</v>
      </c>
      <c r="J16" s="35">
        <f t="shared" si="4"/>
        <v>0</v>
      </c>
      <c r="K16" s="36">
        <f>COUNTIF(Vertices[Betweenness Centrality], "&gt;= " &amp; J16) - COUNTIF(Vertices[Betweenness Centrality], "&gt;=" &amp; J17)</f>
        <v>0</v>
      </c>
      <c r="L16" s="35">
        <f t="shared" si="5"/>
        <v>0</v>
      </c>
      <c r="M16" s="36">
        <f>COUNTIF(Vertices[Closeness Centrality], "&gt;= " &amp; L16) - COUNTIF(Vertices[Closeness Centrality], "&gt;=" &amp; L17)</f>
        <v>0</v>
      </c>
      <c r="N16" s="35">
        <f t="shared" si="6"/>
        <v>0</v>
      </c>
      <c r="O16" s="36">
        <f>COUNTIF(Vertices[Eigenvector Centrality], "&gt;= " &amp; N16) - COUNTIF(Vertices[Eigenvector Centrality], "&gt;=" &amp; N17)</f>
        <v>0</v>
      </c>
      <c r="P16" s="35">
        <f t="shared" si="7"/>
        <v>0</v>
      </c>
      <c r="Q16" s="36">
        <f>COUNTIF(Vertices[PageRank], "&gt;= " &amp; P16) - COUNTIF(Vertices[PageRank], "&gt;=" &amp; P17)</f>
        <v>0</v>
      </c>
      <c r="R16" s="35">
        <f t="shared" si="8"/>
        <v>0</v>
      </c>
      <c r="S16" s="41">
        <f>COUNTIF(Vertices[Clustering Coefficient], "&gt;= " &amp; R16) - COUNTIF(Vertices[Clustering Coefficient], "&gt;=" &amp; R17)</f>
        <v>0</v>
      </c>
      <c r="T16" s="35" t="e">
        <f t="shared" ca="1" si="9"/>
        <v>#REF!</v>
      </c>
      <c r="U16" s="36" t="e">
        <f t="shared" ca="1" si="0"/>
        <v>#REF!</v>
      </c>
    </row>
    <row r="17" spans="1:21" x14ac:dyDescent="0.25">
      <c r="A17" s="32" t="s">
        <v>154</v>
      </c>
      <c r="B17" s="32">
        <v>208</v>
      </c>
      <c r="D17" s="30">
        <f t="shared" si="1"/>
        <v>0</v>
      </c>
      <c r="E17">
        <f>COUNTIF(Vertices[Degree], "&gt;= " &amp; D17) - COUNTIF(Vertices[Degree], "&gt;=" &amp; D18)</f>
        <v>0</v>
      </c>
      <c r="F17" s="37">
        <f t="shared" si="2"/>
        <v>0</v>
      </c>
      <c r="G17" s="38">
        <f>COUNTIF(Vertices[In-Degree], "&gt;= " &amp; F17) - COUNTIF(Vertices[In-Degree], "&gt;=" &amp; F18)</f>
        <v>0</v>
      </c>
      <c r="H17" s="37">
        <f t="shared" si="3"/>
        <v>0</v>
      </c>
      <c r="I17" s="38">
        <f>COUNTIF(Vertices[Out-Degree], "&gt;= " &amp; H17) - COUNTIF(Vertices[Out-Degree], "&gt;=" &amp; H18)</f>
        <v>0</v>
      </c>
      <c r="J17" s="37">
        <f t="shared" si="4"/>
        <v>0</v>
      </c>
      <c r="K17" s="38">
        <f>COUNTIF(Vertices[Betweenness Centrality], "&gt;= " &amp; J17) - COUNTIF(Vertices[Betweenness Centrality], "&gt;=" &amp; J18)</f>
        <v>0</v>
      </c>
      <c r="L17" s="37">
        <f t="shared" si="5"/>
        <v>0</v>
      </c>
      <c r="M17" s="38">
        <f>COUNTIF(Vertices[Closeness Centrality], "&gt;= " &amp; L17) - COUNTIF(Vertices[Closeness Centrality], "&gt;=" &amp; L18)</f>
        <v>0</v>
      </c>
      <c r="N17" s="37">
        <f t="shared" si="6"/>
        <v>0</v>
      </c>
      <c r="O17" s="38">
        <f>COUNTIF(Vertices[Eigenvector Centrality], "&gt;= " &amp; N17) - COUNTIF(Vertices[Eigenvector Centrality], "&gt;=" &amp; N18)</f>
        <v>0</v>
      </c>
      <c r="P17" s="37">
        <f t="shared" si="7"/>
        <v>0</v>
      </c>
      <c r="Q17" s="38">
        <f>COUNTIF(Vertices[PageRank], "&gt;= " &amp; P17) - COUNTIF(Vertices[PageRank], "&gt;=" &amp; P18)</f>
        <v>0</v>
      </c>
      <c r="R17" s="37">
        <f t="shared" si="8"/>
        <v>0</v>
      </c>
      <c r="S17" s="42">
        <f>COUNTIF(Vertices[Clustering Coefficient], "&gt;= " &amp; R17) - COUNTIF(Vertices[Clustering Coefficient], "&gt;=" &amp; R18)</f>
        <v>0</v>
      </c>
      <c r="T17" s="37" t="e">
        <f t="shared" ca="1" si="9"/>
        <v>#REF!</v>
      </c>
      <c r="U17" s="38" t="e">
        <f t="shared" ca="1" si="0"/>
        <v>#REF!</v>
      </c>
    </row>
    <row r="18" spans="1:21" x14ac:dyDescent="0.25">
      <c r="A18" s="32" t="s">
        <v>155</v>
      </c>
      <c r="B18" s="32">
        <v>410</v>
      </c>
      <c r="D18" s="30">
        <f t="shared" si="1"/>
        <v>0</v>
      </c>
      <c r="E18">
        <f>COUNTIF(Vertices[Degree], "&gt;= " &amp; D18) - COUNTIF(Vertices[Degree], "&gt;=" &amp; D19)</f>
        <v>0</v>
      </c>
      <c r="F18" s="35">
        <f t="shared" si="2"/>
        <v>0</v>
      </c>
      <c r="G18" s="36">
        <f>COUNTIF(Vertices[In-Degree], "&gt;= " &amp; F18) - COUNTIF(Vertices[In-Degree], "&gt;=" &amp; F19)</f>
        <v>0</v>
      </c>
      <c r="H18" s="35">
        <f t="shared" si="3"/>
        <v>0</v>
      </c>
      <c r="I18" s="36">
        <f>COUNTIF(Vertices[Out-Degree], "&gt;= " &amp; H18) - COUNTIF(Vertices[Out-Degree], "&gt;=" &amp; H19)</f>
        <v>0</v>
      </c>
      <c r="J18" s="35">
        <f t="shared" si="4"/>
        <v>0</v>
      </c>
      <c r="K18" s="36">
        <f>COUNTIF(Vertices[Betweenness Centrality], "&gt;= " &amp; J18) - COUNTIF(Vertices[Betweenness Centrality], "&gt;=" &amp; J19)</f>
        <v>0</v>
      </c>
      <c r="L18" s="35">
        <f t="shared" si="5"/>
        <v>0</v>
      </c>
      <c r="M18" s="36">
        <f>COUNTIF(Vertices[Closeness Centrality], "&gt;= " &amp; L18) - COUNTIF(Vertices[Closeness Centrality], "&gt;=" &amp; L19)</f>
        <v>0</v>
      </c>
      <c r="N18" s="35">
        <f t="shared" si="6"/>
        <v>0</v>
      </c>
      <c r="O18" s="36">
        <f>COUNTIF(Vertices[Eigenvector Centrality], "&gt;= " &amp; N18) - COUNTIF(Vertices[Eigenvector Centrality], "&gt;=" &amp; N19)</f>
        <v>0</v>
      </c>
      <c r="P18" s="35">
        <f t="shared" si="7"/>
        <v>0</v>
      </c>
      <c r="Q18" s="36">
        <f>COUNTIF(Vertices[PageRank], "&gt;= " &amp; P18) - COUNTIF(Vertices[PageRank], "&gt;=" &amp; P19)</f>
        <v>0</v>
      </c>
      <c r="R18" s="35">
        <f t="shared" si="8"/>
        <v>0</v>
      </c>
      <c r="S18" s="41">
        <f>COUNTIF(Vertices[Clustering Coefficient], "&gt;= " &amp; R18) - COUNTIF(Vertices[Clustering Coefficient], "&gt;=" &amp; R19)</f>
        <v>0</v>
      </c>
      <c r="T18" s="35" t="e">
        <f t="shared" ca="1" si="9"/>
        <v>#REF!</v>
      </c>
      <c r="U18" s="36" t="e">
        <f t="shared" ca="1" si="0"/>
        <v>#REF!</v>
      </c>
    </row>
    <row r="19" spans="1:21" x14ac:dyDescent="0.25">
      <c r="A19" s="105"/>
      <c r="B19" s="105"/>
      <c r="D19" s="30">
        <f t="shared" si="1"/>
        <v>0</v>
      </c>
      <c r="E19">
        <f>COUNTIF(Vertices[Degree], "&gt;= " &amp; D19) - COUNTIF(Vertices[Degree], "&gt;=" &amp; D20)</f>
        <v>0</v>
      </c>
      <c r="F19" s="37">
        <f t="shared" si="2"/>
        <v>0</v>
      </c>
      <c r="G19" s="38">
        <f>COUNTIF(Vertices[In-Degree], "&gt;= " &amp; F19) - COUNTIF(Vertices[In-Degree], "&gt;=" &amp; F20)</f>
        <v>0</v>
      </c>
      <c r="H19" s="37">
        <f t="shared" si="3"/>
        <v>0</v>
      </c>
      <c r="I19" s="38">
        <f>COUNTIF(Vertices[Out-Degree], "&gt;= " &amp; H19) - COUNTIF(Vertices[Out-Degree], "&gt;=" &amp; H20)</f>
        <v>0</v>
      </c>
      <c r="J19" s="37">
        <f t="shared" si="4"/>
        <v>0</v>
      </c>
      <c r="K19" s="38">
        <f>COUNTIF(Vertices[Betweenness Centrality], "&gt;= " &amp; J19) - COUNTIF(Vertices[Betweenness Centrality], "&gt;=" &amp; J20)</f>
        <v>0</v>
      </c>
      <c r="L19" s="37">
        <f t="shared" si="5"/>
        <v>0</v>
      </c>
      <c r="M19" s="38">
        <f>COUNTIF(Vertices[Closeness Centrality], "&gt;= " &amp; L19) - COUNTIF(Vertices[Closeness Centrality], "&gt;=" &amp; L20)</f>
        <v>0</v>
      </c>
      <c r="N19" s="37">
        <f t="shared" si="6"/>
        <v>0</v>
      </c>
      <c r="O19" s="38">
        <f>COUNTIF(Vertices[Eigenvector Centrality], "&gt;= " &amp; N19) - COUNTIF(Vertices[Eigenvector Centrality], "&gt;=" &amp; N20)</f>
        <v>0</v>
      </c>
      <c r="P19" s="37">
        <f t="shared" si="7"/>
        <v>0</v>
      </c>
      <c r="Q19" s="38">
        <f>COUNTIF(Vertices[PageRank], "&gt;= " &amp; P19) - COUNTIF(Vertices[PageRank], "&gt;=" &amp; P20)</f>
        <v>0</v>
      </c>
      <c r="R19" s="37">
        <f t="shared" si="8"/>
        <v>0</v>
      </c>
      <c r="S19" s="42">
        <f>COUNTIF(Vertices[Clustering Coefficient], "&gt;= " &amp; R19) - COUNTIF(Vertices[Clustering Coefficient], "&gt;=" &amp; R20)</f>
        <v>0</v>
      </c>
      <c r="T19" s="37" t="e">
        <f t="shared" ca="1" si="9"/>
        <v>#REF!</v>
      </c>
      <c r="U19" s="38" t="e">
        <f t="shared" ca="1" si="0"/>
        <v>#REF!</v>
      </c>
    </row>
    <row r="20" spans="1:21" x14ac:dyDescent="0.25">
      <c r="A20" s="32" t="s">
        <v>156</v>
      </c>
      <c r="B20" s="32">
        <v>13</v>
      </c>
      <c r="D20" s="30">
        <f t="shared" si="1"/>
        <v>0</v>
      </c>
      <c r="E20">
        <f>COUNTIF(Vertices[Degree], "&gt;= " &amp; D20) - COUNTIF(Vertices[Degree], "&gt;=" &amp; D21)</f>
        <v>0</v>
      </c>
      <c r="F20" s="35">
        <f t="shared" si="2"/>
        <v>0</v>
      </c>
      <c r="G20" s="36">
        <f>COUNTIF(Vertices[In-Degree], "&gt;= " &amp; F20) - COUNTIF(Vertices[In-Degree], "&gt;=" &amp; F21)</f>
        <v>0</v>
      </c>
      <c r="H20" s="35">
        <f t="shared" si="3"/>
        <v>0</v>
      </c>
      <c r="I20" s="36">
        <f>COUNTIF(Vertices[Out-Degree], "&gt;= " &amp; H20) - COUNTIF(Vertices[Out-Degree], "&gt;=" &amp; H21)</f>
        <v>0</v>
      </c>
      <c r="J20" s="35">
        <f t="shared" si="4"/>
        <v>0</v>
      </c>
      <c r="K20" s="36">
        <f>COUNTIF(Vertices[Betweenness Centrality], "&gt;= " &amp; J20) - COUNTIF(Vertices[Betweenness Centrality], "&gt;=" &amp; J21)</f>
        <v>0</v>
      </c>
      <c r="L20" s="35">
        <f t="shared" si="5"/>
        <v>0</v>
      </c>
      <c r="M20" s="36">
        <f>COUNTIF(Vertices[Closeness Centrality], "&gt;= " &amp; L20) - COUNTIF(Vertices[Closeness Centrality], "&gt;=" &amp; L21)</f>
        <v>0</v>
      </c>
      <c r="N20" s="35">
        <f t="shared" si="6"/>
        <v>0</v>
      </c>
      <c r="O20" s="36">
        <f>COUNTIF(Vertices[Eigenvector Centrality], "&gt;= " &amp; N20) - COUNTIF(Vertices[Eigenvector Centrality], "&gt;=" &amp; N21)</f>
        <v>0</v>
      </c>
      <c r="P20" s="35">
        <f t="shared" si="7"/>
        <v>0</v>
      </c>
      <c r="Q20" s="36">
        <f>COUNTIF(Vertices[PageRank], "&gt;= " &amp; P20) - COUNTIF(Vertices[PageRank], "&gt;=" &amp; P21)</f>
        <v>0</v>
      </c>
      <c r="R20" s="35">
        <f t="shared" si="8"/>
        <v>0</v>
      </c>
      <c r="S20" s="41">
        <f>COUNTIF(Vertices[Clustering Coefficient], "&gt;= " &amp; R20) - COUNTIF(Vertices[Clustering Coefficient], "&gt;=" &amp; R21)</f>
        <v>0</v>
      </c>
      <c r="T20" s="35" t="e">
        <f t="shared" ca="1" si="9"/>
        <v>#REF!</v>
      </c>
      <c r="U20" s="36" t="e">
        <f t="shared" ca="1" si="0"/>
        <v>#REF!</v>
      </c>
    </row>
    <row r="21" spans="1:21" x14ac:dyDescent="0.25">
      <c r="A21" s="32" t="s">
        <v>157</v>
      </c>
      <c r="B21" s="32">
        <v>4.8293200000000001</v>
      </c>
      <c r="D21" s="30">
        <f t="shared" si="1"/>
        <v>0</v>
      </c>
      <c r="E21">
        <f>COUNTIF(Vertices[Degree], "&gt;= " &amp; D21) - COUNTIF(Vertices[Degree], "&gt;=" &amp; D22)</f>
        <v>0</v>
      </c>
      <c r="F21" s="37">
        <f t="shared" si="2"/>
        <v>0</v>
      </c>
      <c r="G21" s="38">
        <f>COUNTIF(Vertices[In-Degree], "&gt;= " &amp; F21) - COUNTIF(Vertices[In-Degree], "&gt;=" &amp; F22)</f>
        <v>0</v>
      </c>
      <c r="H21" s="37">
        <f t="shared" si="3"/>
        <v>0</v>
      </c>
      <c r="I21" s="38">
        <f>COUNTIF(Vertices[Out-Degree], "&gt;= " &amp; H21) - COUNTIF(Vertices[Out-Degree], "&gt;=" &amp; H22)</f>
        <v>0</v>
      </c>
      <c r="J21" s="37">
        <f t="shared" si="4"/>
        <v>0</v>
      </c>
      <c r="K21" s="38">
        <f>COUNTIF(Vertices[Betweenness Centrality], "&gt;= " &amp; J21) - COUNTIF(Vertices[Betweenness Centrality], "&gt;=" &amp; J22)</f>
        <v>0</v>
      </c>
      <c r="L21" s="37">
        <f t="shared" si="5"/>
        <v>0</v>
      </c>
      <c r="M21" s="38">
        <f>COUNTIF(Vertices[Closeness Centrality], "&gt;= " &amp; L21) - COUNTIF(Vertices[Closeness Centrality], "&gt;=" &amp; L22)</f>
        <v>0</v>
      </c>
      <c r="N21" s="37">
        <f t="shared" si="6"/>
        <v>0</v>
      </c>
      <c r="O21" s="38">
        <f>COUNTIF(Vertices[Eigenvector Centrality], "&gt;= " &amp; N21) - COUNTIF(Vertices[Eigenvector Centrality], "&gt;=" &amp; N22)</f>
        <v>0</v>
      </c>
      <c r="P21" s="37">
        <f t="shared" si="7"/>
        <v>0</v>
      </c>
      <c r="Q21" s="38">
        <f>COUNTIF(Vertices[PageRank], "&gt;= " &amp; P21) - COUNTIF(Vertices[PageRank], "&gt;=" &amp; P22)</f>
        <v>0</v>
      </c>
      <c r="R21" s="37">
        <f t="shared" si="8"/>
        <v>0</v>
      </c>
      <c r="S21" s="42">
        <f>COUNTIF(Vertices[Clustering Coefficient], "&gt;= " &amp; R21) - COUNTIF(Vertices[Clustering Coefficient], "&gt;=" &amp; R22)</f>
        <v>0</v>
      </c>
      <c r="T21" s="37" t="e">
        <f t="shared" ca="1" si="9"/>
        <v>#REF!</v>
      </c>
      <c r="U21" s="38" t="e">
        <f t="shared" ca="1" si="0"/>
        <v>#REF!</v>
      </c>
    </row>
    <row r="22" spans="1:21" x14ac:dyDescent="0.25">
      <c r="A22" s="105"/>
      <c r="B22" s="105"/>
      <c r="D22" s="30">
        <f t="shared" si="1"/>
        <v>0</v>
      </c>
      <c r="E22">
        <f>COUNTIF(Vertices[Degree], "&gt;= " &amp; D22) - COUNTIF(Vertices[Degree], "&gt;=" &amp; D23)</f>
        <v>0</v>
      </c>
      <c r="F22" s="35">
        <f t="shared" si="2"/>
        <v>0</v>
      </c>
      <c r="G22" s="36">
        <f>COUNTIF(Vertices[In-Degree], "&gt;= " &amp; F22) - COUNTIF(Vertices[In-Degree], "&gt;=" &amp; F23)</f>
        <v>0</v>
      </c>
      <c r="H22" s="35">
        <f t="shared" si="3"/>
        <v>0</v>
      </c>
      <c r="I22" s="36">
        <f>COUNTIF(Vertices[Out-Degree], "&gt;= " &amp; H22) - COUNTIF(Vertices[Out-Degree], "&gt;=" &amp; H23)</f>
        <v>0</v>
      </c>
      <c r="J22" s="35">
        <f t="shared" si="4"/>
        <v>0</v>
      </c>
      <c r="K22" s="36">
        <f>COUNTIF(Vertices[Betweenness Centrality], "&gt;= " &amp; J22) - COUNTIF(Vertices[Betweenness Centrality], "&gt;=" &amp; J23)</f>
        <v>0</v>
      </c>
      <c r="L22" s="35">
        <f t="shared" si="5"/>
        <v>0</v>
      </c>
      <c r="M22" s="36">
        <f>COUNTIF(Vertices[Closeness Centrality], "&gt;= " &amp; L22) - COUNTIF(Vertices[Closeness Centrality], "&gt;=" &amp; L23)</f>
        <v>0</v>
      </c>
      <c r="N22" s="35">
        <f t="shared" si="6"/>
        <v>0</v>
      </c>
      <c r="O22" s="36">
        <f>COUNTIF(Vertices[Eigenvector Centrality], "&gt;= " &amp; N22) - COUNTIF(Vertices[Eigenvector Centrality], "&gt;=" &amp; N23)</f>
        <v>0</v>
      </c>
      <c r="P22" s="35">
        <f t="shared" si="7"/>
        <v>0</v>
      </c>
      <c r="Q22" s="36">
        <f>COUNTIF(Vertices[PageRank], "&gt;= " &amp; P22) - COUNTIF(Vertices[PageRank], "&gt;=" &amp; P23)</f>
        <v>0</v>
      </c>
      <c r="R22" s="35">
        <f t="shared" si="8"/>
        <v>0</v>
      </c>
      <c r="S22" s="41">
        <f>COUNTIF(Vertices[Clustering Coefficient], "&gt;= " &amp; R22) - COUNTIF(Vertices[Clustering Coefficient], "&gt;=" &amp; R23)</f>
        <v>0</v>
      </c>
      <c r="T22" s="35" t="e">
        <f t="shared" ca="1" si="9"/>
        <v>#REF!</v>
      </c>
      <c r="U22" s="36" t="e">
        <f t="shared" ca="1" si="0"/>
        <v>#REF!</v>
      </c>
    </row>
    <row r="23" spans="1:21" x14ac:dyDescent="0.25">
      <c r="A23" s="32" t="s">
        <v>158</v>
      </c>
      <c r="B23" s="32">
        <v>2.4322245165917623E-4</v>
      </c>
      <c r="D23" s="30">
        <f t="shared" si="1"/>
        <v>0</v>
      </c>
      <c r="E23">
        <f>COUNTIF(Vertices[Degree], "&gt;= " &amp; D23) - COUNTIF(Vertices[Degree], "&gt;=" &amp; D24)</f>
        <v>0</v>
      </c>
      <c r="F23" s="37">
        <f t="shared" si="2"/>
        <v>0</v>
      </c>
      <c r="G23" s="38">
        <f>COUNTIF(Vertices[In-Degree], "&gt;= " &amp; F23) - COUNTIF(Vertices[In-Degree], "&gt;=" &amp; F24)</f>
        <v>0</v>
      </c>
      <c r="H23" s="37">
        <f t="shared" si="3"/>
        <v>0</v>
      </c>
      <c r="I23" s="38">
        <f>COUNTIF(Vertices[Out-Degree], "&gt;= " &amp; H23) - COUNTIF(Vertices[Out-Degree], "&gt;=" &amp; H24)</f>
        <v>0</v>
      </c>
      <c r="J23" s="37">
        <f t="shared" si="4"/>
        <v>0</v>
      </c>
      <c r="K23" s="38">
        <f>COUNTIF(Vertices[Betweenness Centrality], "&gt;= " &amp; J23) - COUNTIF(Vertices[Betweenness Centrality], "&gt;=" &amp; J24)</f>
        <v>0</v>
      </c>
      <c r="L23" s="37">
        <f t="shared" si="5"/>
        <v>0</v>
      </c>
      <c r="M23" s="38">
        <f>COUNTIF(Vertices[Closeness Centrality], "&gt;= " &amp; L23) - COUNTIF(Vertices[Closeness Centrality], "&gt;=" &amp; L24)</f>
        <v>0</v>
      </c>
      <c r="N23" s="37">
        <f t="shared" si="6"/>
        <v>0</v>
      </c>
      <c r="O23" s="38">
        <f>COUNTIF(Vertices[Eigenvector Centrality], "&gt;= " &amp; N23) - COUNTIF(Vertices[Eigenvector Centrality], "&gt;=" &amp; N24)</f>
        <v>0</v>
      </c>
      <c r="P23" s="37">
        <f t="shared" si="7"/>
        <v>0</v>
      </c>
      <c r="Q23" s="38">
        <f>COUNTIF(Vertices[PageRank], "&gt;= " &amp; P23) - COUNTIF(Vertices[PageRank], "&gt;=" &amp; P24)</f>
        <v>0</v>
      </c>
      <c r="R23" s="37">
        <f t="shared" si="8"/>
        <v>0</v>
      </c>
      <c r="S23" s="42">
        <f>COUNTIF(Vertices[Clustering Coefficient], "&gt;= " &amp; R23) - COUNTIF(Vertices[Clustering Coefficient], "&gt;=" &amp; R24)</f>
        <v>0</v>
      </c>
      <c r="T23" s="37" t="e">
        <f t="shared" ca="1" si="9"/>
        <v>#REF!</v>
      </c>
      <c r="U23" s="38" t="e">
        <f t="shared" ca="1" si="0"/>
        <v>#REF!</v>
      </c>
    </row>
    <row r="24" spans="1:21" x14ac:dyDescent="0.25">
      <c r="A24" s="32" t="s">
        <v>29462</v>
      </c>
      <c r="B24" s="32" t="s">
        <v>29478</v>
      </c>
      <c r="D24" s="30">
        <f t="shared" si="1"/>
        <v>0</v>
      </c>
      <c r="E24">
        <f>COUNTIF(Vertices[Degree], "&gt;= " &amp; D24) - COUNTIF(Vertices[Degree], "&gt;=" &amp; D25)</f>
        <v>0</v>
      </c>
      <c r="F24" s="35">
        <f t="shared" si="2"/>
        <v>0</v>
      </c>
      <c r="G24" s="36">
        <f>COUNTIF(Vertices[In-Degree], "&gt;= " &amp; F24) - COUNTIF(Vertices[In-Degree], "&gt;=" &amp; F25)</f>
        <v>0</v>
      </c>
      <c r="H24" s="35">
        <f t="shared" si="3"/>
        <v>0</v>
      </c>
      <c r="I24" s="36">
        <f>COUNTIF(Vertices[Out-Degree], "&gt;= " &amp; H24) - COUNTIF(Vertices[Out-Degree], "&gt;=" &amp; H25)</f>
        <v>0</v>
      </c>
      <c r="J24" s="35">
        <f t="shared" si="4"/>
        <v>0</v>
      </c>
      <c r="K24" s="36">
        <f>COUNTIF(Vertices[Betweenness Centrality], "&gt;= " &amp; J24) - COUNTIF(Vertices[Betweenness Centrality], "&gt;=" &amp; J25)</f>
        <v>0</v>
      </c>
      <c r="L24" s="35">
        <f t="shared" si="5"/>
        <v>0</v>
      </c>
      <c r="M24" s="36">
        <f>COUNTIF(Vertices[Closeness Centrality], "&gt;= " &amp; L24) - COUNTIF(Vertices[Closeness Centrality], "&gt;=" &amp; L25)</f>
        <v>0</v>
      </c>
      <c r="N24" s="35">
        <f t="shared" si="6"/>
        <v>0</v>
      </c>
      <c r="O24" s="36">
        <f>COUNTIF(Vertices[Eigenvector Centrality], "&gt;= " &amp; N24) - COUNTIF(Vertices[Eigenvector Centrality], "&gt;=" &amp; N25)</f>
        <v>0</v>
      </c>
      <c r="P24" s="35">
        <f t="shared" si="7"/>
        <v>0</v>
      </c>
      <c r="Q24" s="36">
        <f>COUNTIF(Vertices[PageRank], "&gt;= " &amp; P24) - COUNTIF(Vertices[PageRank], "&gt;=" &amp; P25)</f>
        <v>0</v>
      </c>
      <c r="R24" s="35">
        <f t="shared" si="8"/>
        <v>0</v>
      </c>
      <c r="S24" s="41">
        <f>COUNTIF(Vertices[Clustering Coefficient], "&gt;= " &amp; R24) - COUNTIF(Vertices[Clustering Coefficient], "&gt;=" &amp; R25)</f>
        <v>0</v>
      </c>
      <c r="T24" s="35" t="e">
        <f t="shared" ca="1" si="9"/>
        <v>#REF!</v>
      </c>
      <c r="U24" s="36" t="e">
        <f t="shared" ca="1" si="0"/>
        <v>#REF!</v>
      </c>
    </row>
    <row r="25" spans="1:21" x14ac:dyDescent="0.25">
      <c r="A25" s="105"/>
      <c r="B25" s="105"/>
      <c r="D25" s="30">
        <f t="shared" si="1"/>
        <v>0</v>
      </c>
      <c r="E25">
        <f>COUNTIF(Vertices[Degree], "&gt;= " &amp; D25) - COUNTIF(Vertices[Degree], "&gt;=" &amp; D26)</f>
        <v>0</v>
      </c>
      <c r="F25" s="37">
        <f t="shared" si="2"/>
        <v>0</v>
      </c>
      <c r="G25" s="38">
        <f>COUNTIF(Vertices[In-Degree], "&gt;= " &amp; F25) - COUNTIF(Vertices[In-Degree], "&gt;=" &amp; F26)</f>
        <v>0</v>
      </c>
      <c r="H25" s="37">
        <f t="shared" si="3"/>
        <v>0</v>
      </c>
      <c r="I25" s="38">
        <f>COUNTIF(Vertices[Out-Degree], "&gt;= " &amp; H25) - COUNTIF(Vertices[Out-Degree], "&gt;=" &amp; H26)</f>
        <v>0</v>
      </c>
      <c r="J25" s="37">
        <f t="shared" si="4"/>
        <v>0</v>
      </c>
      <c r="K25" s="38">
        <f>COUNTIF(Vertices[Betweenness Centrality], "&gt;= " &amp; J25) - COUNTIF(Vertices[Betweenness Centrality], "&gt;=" &amp; J26)</f>
        <v>0</v>
      </c>
      <c r="L25" s="37">
        <f t="shared" si="5"/>
        <v>0</v>
      </c>
      <c r="M25" s="38">
        <f>COUNTIF(Vertices[Closeness Centrality], "&gt;= " &amp; L25) - COUNTIF(Vertices[Closeness Centrality], "&gt;=" &amp; L26)</f>
        <v>0</v>
      </c>
      <c r="N25" s="37">
        <f t="shared" si="6"/>
        <v>0</v>
      </c>
      <c r="O25" s="38">
        <f>COUNTIF(Vertices[Eigenvector Centrality], "&gt;= " &amp; N25) - COUNTIF(Vertices[Eigenvector Centrality], "&gt;=" &amp; N26)</f>
        <v>0</v>
      </c>
      <c r="P25" s="37">
        <f t="shared" si="7"/>
        <v>0</v>
      </c>
      <c r="Q25" s="38">
        <f>COUNTIF(Vertices[PageRank], "&gt;= " &amp; P25) - COUNTIF(Vertices[PageRank], "&gt;=" &amp; P26)</f>
        <v>0</v>
      </c>
      <c r="R25" s="37">
        <f t="shared" si="8"/>
        <v>0</v>
      </c>
      <c r="S25" s="42">
        <f>COUNTIF(Vertices[Clustering Coefficient], "&gt;= " &amp; R25) - COUNTIF(Vertices[Clustering Coefficient], "&gt;=" &amp; R26)</f>
        <v>0</v>
      </c>
      <c r="T25" s="37" t="e">
        <f t="shared" ca="1" si="9"/>
        <v>#REF!</v>
      </c>
      <c r="U25" s="38" t="e">
        <f t="shared" ca="1" si="0"/>
        <v>#REF!</v>
      </c>
    </row>
    <row r="26" spans="1:21" x14ac:dyDescent="0.25">
      <c r="A26" s="32" t="s">
        <v>29463</v>
      </c>
      <c r="B26" s="32" t="s">
        <v>29479</v>
      </c>
      <c r="D26" s="30">
        <f t="shared" si="1"/>
        <v>0</v>
      </c>
      <c r="E26">
        <f>COUNTIF(Vertices[Degree], "&gt;= " &amp; D26) - COUNTIF(Vertices[Degree], "&gt;=" &amp; D27)</f>
        <v>0</v>
      </c>
      <c r="F26" s="35">
        <f t="shared" si="2"/>
        <v>0</v>
      </c>
      <c r="G26" s="36">
        <f>COUNTIF(Vertices[In-Degree], "&gt;= " &amp; F26) - COUNTIF(Vertices[In-Degree], "&gt;=" &amp; F27)</f>
        <v>0</v>
      </c>
      <c r="H26" s="35">
        <f t="shared" si="3"/>
        <v>0</v>
      </c>
      <c r="I26" s="36">
        <f>COUNTIF(Vertices[Out-Degree], "&gt;= " &amp; H26) - COUNTIF(Vertices[Out-Degree], "&gt;=" &amp; H27)</f>
        <v>0</v>
      </c>
      <c r="J26" s="35">
        <f t="shared" si="4"/>
        <v>0</v>
      </c>
      <c r="K26" s="36">
        <f>COUNTIF(Vertices[Betweenness Centrality], "&gt;= " &amp; J26) - COUNTIF(Vertices[Betweenness Centrality], "&gt;=" &amp; J27)</f>
        <v>0</v>
      </c>
      <c r="L26" s="35">
        <f t="shared" si="5"/>
        <v>0</v>
      </c>
      <c r="M26" s="36">
        <f>COUNTIF(Vertices[Closeness Centrality], "&gt;= " &amp; L26) - COUNTIF(Vertices[Closeness Centrality], "&gt;=" &amp; L27)</f>
        <v>0</v>
      </c>
      <c r="N26" s="35">
        <f t="shared" si="6"/>
        <v>0</v>
      </c>
      <c r="O26" s="36">
        <f>COUNTIF(Vertices[Eigenvector Centrality], "&gt;= " &amp; N26) - COUNTIF(Vertices[Eigenvector Centrality], "&gt;=" &amp; N27)</f>
        <v>0</v>
      </c>
      <c r="P26" s="35">
        <f t="shared" si="7"/>
        <v>0</v>
      </c>
      <c r="Q26" s="36">
        <f>COUNTIF(Vertices[PageRank], "&gt;= " &amp; P26) - COUNTIF(Vertices[PageRank], "&gt;=" &amp; P27)</f>
        <v>0</v>
      </c>
      <c r="R26" s="35">
        <f t="shared" si="8"/>
        <v>0</v>
      </c>
      <c r="S26" s="41">
        <f>COUNTIF(Vertices[Clustering Coefficient], "&gt;= " &amp; R26) - COUNTIF(Vertices[Clustering Coefficient], "&gt;=" &amp; R27)</f>
        <v>0</v>
      </c>
      <c r="T26" s="35" t="e">
        <f t="shared" ca="1" si="9"/>
        <v>#REF!</v>
      </c>
      <c r="U26" s="36" t="e">
        <f t="shared" ref="U26:U35" ca="1" si="10">COUNTIF(INDIRECT(DynamicFilterSourceColumnRange), "&gt;= " &amp; T26) - COUNTIF(INDIRECT(DynamicFilterSourceColumnRange), "&gt;=" &amp; T27)</f>
        <v>#REF!</v>
      </c>
    </row>
    <row r="27" spans="1:21" x14ac:dyDescent="0.25">
      <c r="A27" s="105"/>
      <c r="B27" s="105"/>
      <c r="D27" s="30">
        <f t="shared" si="1"/>
        <v>0</v>
      </c>
      <c r="E27">
        <f>COUNTIF(Vertices[Degree], "&gt;= " &amp; D27) - COUNTIF(Vertices[Degree], "&gt;=" &amp; D28)</f>
        <v>0</v>
      </c>
      <c r="F27" s="37">
        <f t="shared" si="2"/>
        <v>0</v>
      </c>
      <c r="G27" s="38">
        <f>COUNTIF(Vertices[In-Degree], "&gt;= " &amp; F27) - COUNTIF(Vertices[In-Degree], "&gt;=" &amp; F28)</f>
        <v>0</v>
      </c>
      <c r="H27" s="37">
        <f t="shared" si="3"/>
        <v>0</v>
      </c>
      <c r="I27" s="38">
        <f>COUNTIF(Vertices[Out-Degree], "&gt;= " &amp; H27) - COUNTIF(Vertices[Out-Degree], "&gt;=" &amp; H28)</f>
        <v>0</v>
      </c>
      <c r="J27" s="37">
        <f t="shared" si="4"/>
        <v>0</v>
      </c>
      <c r="K27" s="38">
        <f>COUNTIF(Vertices[Betweenness Centrality], "&gt;= " &amp; J27) - COUNTIF(Vertices[Betweenness Centrality], "&gt;=" &amp; J28)</f>
        <v>0</v>
      </c>
      <c r="L27" s="37">
        <f t="shared" si="5"/>
        <v>0</v>
      </c>
      <c r="M27" s="38">
        <f>COUNTIF(Vertices[Closeness Centrality], "&gt;= " &amp; L27) - COUNTIF(Vertices[Closeness Centrality], "&gt;=" &amp; L28)</f>
        <v>0</v>
      </c>
      <c r="N27" s="37">
        <f t="shared" si="6"/>
        <v>0</v>
      </c>
      <c r="O27" s="38">
        <f>COUNTIF(Vertices[Eigenvector Centrality], "&gt;= " &amp; N27) - COUNTIF(Vertices[Eigenvector Centrality], "&gt;=" &amp; N28)</f>
        <v>0</v>
      </c>
      <c r="P27" s="37">
        <f t="shared" si="7"/>
        <v>0</v>
      </c>
      <c r="Q27" s="38">
        <f>COUNTIF(Vertices[PageRank], "&gt;= " &amp; P27) - COUNTIF(Vertices[PageRank], "&gt;=" &amp; P28)</f>
        <v>0</v>
      </c>
      <c r="R27" s="37">
        <f t="shared" si="8"/>
        <v>0</v>
      </c>
      <c r="S27" s="42">
        <f>COUNTIF(Vertices[Clustering Coefficient], "&gt;= " &amp; R27) - COUNTIF(Vertices[Clustering Coefficient], "&gt;=" &amp; R28)</f>
        <v>0</v>
      </c>
      <c r="T27" s="37" t="e">
        <f t="shared" ca="1" si="9"/>
        <v>#REF!</v>
      </c>
      <c r="U27" s="38" t="e">
        <f t="shared" ca="1" si="10"/>
        <v>#REF!</v>
      </c>
    </row>
    <row r="28" spans="1:21" x14ac:dyDescent="0.25">
      <c r="A28" s="32" t="s">
        <v>29464</v>
      </c>
      <c r="B28" s="32" t="s">
        <v>85</v>
      </c>
      <c r="D28" s="30">
        <f t="shared" si="1"/>
        <v>0</v>
      </c>
      <c r="E28">
        <f>COUNTIF(Vertices[Degree], "&gt;= " &amp; D28) - COUNTIF(Vertices[Degree], "&gt;=" &amp; D29)</f>
        <v>0</v>
      </c>
      <c r="F28" s="35">
        <f t="shared" si="2"/>
        <v>0</v>
      </c>
      <c r="G28" s="36">
        <f>COUNTIF(Vertices[In-Degree], "&gt;= " &amp; F28) - COUNTIF(Vertices[In-Degree], "&gt;=" &amp; F29)</f>
        <v>0</v>
      </c>
      <c r="H28" s="35">
        <f t="shared" si="3"/>
        <v>0</v>
      </c>
      <c r="I28" s="36">
        <f>COUNTIF(Vertices[Out-Degree], "&gt;= " &amp; H28) - COUNTIF(Vertices[Out-Degree], "&gt;=" &amp; H29)</f>
        <v>0</v>
      </c>
      <c r="J28" s="35">
        <f t="shared" si="4"/>
        <v>0</v>
      </c>
      <c r="K28" s="36">
        <f>COUNTIF(Vertices[Betweenness Centrality], "&gt;= " &amp; J28) - COUNTIF(Vertices[Betweenness Centrality], "&gt;=" &amp; J29)</f>
        <v>0</v>
      </c>
      <c r="L28" s="35">
        <f t="shared" si="5"/>
        <v>0</v>
      </c>
      <c r="M28" s="36">
        <f>COUNTIF(Vertices[Closeness Centrality], "&gt;= " &amp; L28) - COUNTIF(Vertices[Closeness Centrality], "&gt;=" &amp; L29)</f>
        <v>0</v>
      </c>
      <c r="N28" s="35">
        <f t="shared" si="6"/>
        <v>0</v>
      </c>
      <c r="O28" s="36">
        <f>COUNTIF(Vertices[Eigenvector Centrality], "&gt;= " &amp; N28) - COUNTIF(Vertices[Eigenvector Centrality], "&gt;=" &amp; N29)</f>
        <v>0</v>
      </c>
      <c r="P28" s="35">
        <f t="shared" si="7"/>
        <v>0</v>
      </c>
      <c r="Q28" s="36">
        <f>COUNTIF(Vertices[PageRank], "&gt;= " &amp; P28) - COUNTIF(Vertices[PageRank], "&gt;=" &amp; P29)</f>
        <v>0</v>
      </c>
      <c r="R28" s="35">
        <f t="shared" si="8"/>
        <v>0</v>
      </c>
      <c r="S28" s="41">
        <f>COUNTIF(Vertices[Clustering Coefficient], "&gt;= " &amp; R28) - COUNTIF(Vertices[Clustering Coefficient], "&gt;=" &amp; R29)</f>
        <v>0</v>
      </c>
      <c r="T28" s="35" t="e">
        <f t="shared" ca="1" si="9"/>
        <v>#REF!</v>
      </c>
      <c r="U28" s="36" t="e">
        <f t="shared" ca="1" si="10"/>
        <v>#REF!</v>
      </c>
    </row>
    <row r="29" spans="1:21" x14ac:dyDescent="0.25">
      <c r="A29" s="32" t="s">
        <v>29465</v>
      </c>
      <c r="B29" s="32" t="s">
        <v>85</v>
      </c>
      <c r="D29" s="30">
        <f t="shared" si="1"/>
        <v>0</v>
      </c>
      <c r="E29">
        <f>COUNTIF(Vertices[Degree], "&gt;= " &amp; D29) - COUNTIF(Vertices[Degree], "&gt;=" &amp; D30)</f>
        <v>0</v>
      </c>
      <c r="F29" s="37">
        <f t="shared" si="2"/>
        <v>0</v>
      </c>
      <c r="G29" s="38">
        <f>COUNTIF(Vertices[In-Degree], "&gt;= " &amp; F29) - COUNTIF(Vertices[In-Degree], "&gt;=" &amp; F30)</f>
        <v>0</v>
      </c>
      <c r="H29" s="37">
        <f t="shared" si="3"/>
        <v>0</v>
      </c>
      <c r="I29" s="38">
        <f>COUNTIF(Vertices[Out-Degree], "&gt;= " &amp; H29) - COUNTIF(Vertices[Out-Degree], "&gt;=" &amp; H30)</f>
        <v>0</v>
      </c>
      <c r="J29" s="37">
        <f t="shared" si="4"/>
        <v>0</v>
      </c>
      <c r="K29" s="38">
        <f>COUNTIF(Vertices[Betweenness Centrality], "&gt;= " &amp; J29) - COUNTIF(Vertices[Betweenness Centrality], "&gt;=" &amp; J30)</f>
        <v>0</v>
      </c>
      <c r="L29" s="37">
        <f t="shared" si="5"/>
        <v>0</v>
      </c>
      <c r="M29" s="38">
        <f>COUNTIF(Vertices[Closeness Centrality], "&gt;= " &amp; L29) - COUNTIF(Vertices[Closeness Centrality], "&gt;=" &amp; L30)</f>
        <v>0</v>
      </c>
      <c r="N29" s="37">
        <f t="shared" si="6"/>
        <v>0</v>
      </c>
      <c r="O29" s="38">
        <f>COUNTIF(Vertices[Eigenvector Centrality], "&gt;= " &amp; N29) - COUNTIF(Vertices[Eigenvector Centrality], "&gt;=" &amp; N30)</f>
        <v>0</v>
      </c>
      <c r="P29" s="37">
        <f t="shared" si="7"/>
        <v>0</v>
      </c>
      <c r="Q29" s="38">
        <f>COUNTIF(Vertices[PageRank], "&gt;= " &amp; P29) - COUNTIF(Vertices[PageRank], "&gt;=" &amp; P30)</f>
        <v>0</v>
      </c>
      <c r="R29" s="37">
        <f t="shared" si="8"/>
        <v>0</v>
      </c>
      <c r="S29" s="42">
        <f>COUNTIF(Vertices[Clustering Coefficient], "&gt;= " &amp; R29) - COUNTIF(Vertices[Clustering Coefficient], "&gt;=" &amp; R30)</f>
        <v>0</v>
      </c>
      <c r="T29" s="37" t="e">
        <f t="shared" ca="1" si="9"/>
        <v>#REF!</v>
      </c>
      <c r="U29" s="38" t="e">
        <f t="shared" ca="1" si="10"/>
        <v>#REF!</v>
      </c>
    </row>
    <row r="30" spans="1:21" x14ac:dyDescent="0.25">
      <c r="A30" s="105"/>
      <c r="B30" s="105"/>
      <c r="D30" s="30">
        <f t="shared" si="1"/>
        <v>0</v>
      </c>
      <c r="E30">
        <f>COUNTIF(Vertices[Degree], "&gt;= " &amp; D30) - COUNTIF(Vertices[Degree], "&gt;=" &amp; D31)</f>
        <v>0</v>
      </c>
      <c r="F30" s="35">
        <f t="shared" si="2"/>
        <v>0</v>
      </c>
      <c r="G30" s="36">
        <f>COUNTIF(Vertices[In-Degree], "&gt;= " &amp; F30) - COUNTIF(Vertices[In-Degree], "&gt;=" &amp; F31)</f>
        <v>0</v>
      </c>
      <c r="H30" s="35">
        <f t="shared" si="3"/>
        <v>0</v>
      </c>
      <c r="I30" s="36">
        <f>COUNTIF(Vertices[Out-Degree], "&gt;= " &amp; H30) - COUNTIF(Vertices[Out-Degree], "&gt;=" &amp; H31)</f>
        <v>0</v>
      </c>
      <c r="J30" s="35">
        <f t="shared" si="4"/>
        <v>0</v>
      </c>
      <c r="K30" s="36">
        <f>COUNTIF(Vertices[Betweenness Centrality], "&gt;= " &amp; J30) - COUNTIF(Vertices[Betweenness Centrality], "&gt;=" &amp; J31)</f>
        <v>0</v>
      </c>
      <c r="L30" s="35">
        <f t="shared" si="5"/>
        <v>0</v>
      </c>
      <c r="M30" s="36">
        <f>COUNTIF(Vertices[Closeness Centrality], "&gt;= " &amp; L30) - COUNTIF(Vertices[Closeness Centrality], "&gt;=" &amp; L31)</f>
        <v>0</v>
      </c>
      <c r="N30" s="35">
        <f t="shared" si="6"/>
        <v>0</v>
      </c>
      <c r="O30" s="36">
        <f>COUNTIF(Vertices[Eigenvector Centrality], "&gt;= " &amp; N30) - COUNTIF(Vertices[Eigenvector Centrality], "&gt;=" &amp; N31)</f>
        <v>0</v>
      </c>
      <c r="P30" s="35">
        <f t="shared" si="7"/>
        <v>0</v>
      </c>
      <c r="Q30" s="36">
        <f>COUNTIF(Vertices[PageRank], "&gt;= " &amp; P30) - COUNTIF(Vertices[PageRank], "&gt;=" &amp; P31)</f>
        <v>0</v>
      </c>
      <c r="R30" s="35">
        <f t="shared" si="8"/>
        <v>0</v>
      </c>
      <c r="S30" s="41">
        <f>COUNTIF(Vertices[Clustering Coefficient], "&gt;= " &amp; R30) - COUNTIF(Vertices[Clustering Coefficient], "&gt;=" &amp; R31)</f>
        <v>0</v>
      </c>
      <c r="T30" s="35" t="e">
        <f t="shared" ca="1" si="9"/>
        <v>#REF!</v>
      </c>
      <c r="U30" s="36" t="e">
        <f t="shared" ca="1" si="10"/>
        <v>#REF!</v>
      </c>
    </row>
    <row r="31" spans="1:21" x14ac:dyDescent="0.25">
      <c r="A31" s="32" t="s">
        <v>29466</v>
      </c>
      <c r="B31" s="32" t="s">
        <v>29480</v>
      </c>
      <c r="D31" s="30">
        <f t="shared" si="1"/>
        <v>0</v>
      </c>
      <c r="E31">
        <f>COUNTIF(Vertices[Degree], "&gt;= " &amp; D31) - COUNTIF(Vertices[Degree], "&gt;=" &amp; D32)</f>
        <v>0</v>
      </c>
      <c r="F31" s="37">
        <f t="shared" si="2"/>
        <v>0</v>
      </c>
      <c r="G31" s="38">
        <f>COUNTIF(Vertices[In-Degree], "&gt;= " &amp; F31) - COUNTIF(Vertices[In-Degree], "&gt;=" &amp; F32)</f>
        <v>0</v>
      </c>
      <c r="H31" s="37">
        <f t="shared" si="3"/>
        <v>0</v>
      </c>
      <c r="I31" s="38">
        <f>COUNTIF(Vertices[Out-Degree], "&gt;= " &amp; H31) - COUNTIF(Vertices[Out-Degree], "&gt;=" &amp; H32)</f>
        <v>0</v>
      </c>
      <c r="J31" s="37">
        <f t="shared" si="4"/>
        <v>0</v>
      </c>
      <c r="K31" s="38">
        <f>COUNTIF(Vertices[Betweenness Centrality], "&gt;= " &amp; J31) - COUNTIF(Vertices[Betweenness Centrality], "&gt;=" &amp; J32)</f>
        <v>0</v>
      </c>
      <c r="L31" s="37">
        <f t="shared" si="5"/>
        <v>0</v>
      </c>
      <c r="M31" s="38">
        <f>COUNTIF(Vertices[Closeness Centrality], "&gt;= " &amp; L31) - COUNTIF(Vertices[Closeness Centrality], "&gt;=" &amp; L32)</f>
        <v>0</v>
      </c>
      <c r="N31" s="37">
        <f t="shared" si="6"/>
        <v>0</v>
      </c>
      <c r="O31" s="38">
        <f>COUNTIF(Vertices[Eigenvector Centrality], "&gt;= " &amp; N31) - COUNTIF(Vertices[Eigenvector Centrality], "&gt;=" &amp; N32)</f>
        <v>0</v>
      </c>
      <c r="P31" s="37">
        <f t="shared" si="7"/>
        <v>0</v>
      </c>
      <c r="Q31" s="38">
        <f>COUNTIF(Vertices[PageRank], "&gt;= " &amp; P31) - COUNTIF(Vertices[PageRank], "&gt;=" &amp; P32)</f>
        <v>0</v>
      </c>
      <c r="R31" s="37">
        <f t="shared" si="8"/>
        <v>0</v>
      </c>
      <c r="S31" s="42">
        <f>COUNTIF(Vertices[Clustering Coefficient], "&gt;= " &amp; R31) - COUNTIF(Vertices[Clustering Coefficient], "&gt;=" &amp; R32)</f>
        <v>0</v>
      </c>
      <c r="T31" s="37" t="e">
        <f t="shared" ca="1" si="9"/>
        <v>#REF!</v>
      </c>
      <c r="U31" s="38" t="e">
        <f t="shared" ca="1" si="10"/>
        <v>#REF!</v>
      </c>
    </row>
    <row r="32" spans="1:21" x14ac:dyDescent="0.25">
      <c r="A32" s="32" t="s">
        <v>29467</v>
      </c>
      <c r="B32" s="32" t="s">
        <v>29481</v>
      </c>
      <c r="D32" s="30">
        <f t="shared" si="1"/>
        <v>0</v>
      </c>
      <c r="E32">
        <f>COUNTIF(Vertices[Degree], "&gt;= " &amp; D32) - COUNTIF(Vertices[Degree], "&gt;=" &amp; D33)</f>
        <v>0</v>
      </c>
      <c r="F32" s="35">
        <f t="shared" si="2"/>
        <v>0</v>
      </c>
      <c r="G32" s="36">
        <f>COUNTIF(Vertices[In-Degree], "&gt;= " &amp; F32) - COUNTIF(Vertices[In-Degree], "&gt;=" &amp; F33)</f>
        <v>0</v>
      </c>
      <c r="H32" s="35">
        <f t="shared" si="3"/>
        <v>0</v>
      </c>
      <c r="I32" s="36">
        <f>COUNTIF(Vertices[Out-Degree], "&gt;= " &amp; H32) - COUNTIF(Vertices[Out-Degree], "&gt;=" &amp; H33)</f>
        <v>0</v>
      </c>
      <c r="J32" s="35">
        <f t="shared" si="4"/>
        <v>0</v>
      </c>
      <c r="K32" s="36">
        <f>COUNTIF(Vertices[Betweenness Centrality], "&gt;= " &amp; J32) - COUNTIF(Vertices[Betweenness Centrality], "&gt;=" &amp; J33)</f>
        <v>0</v>
      </c>
      <c r="L32" s="35">
        <f t="shared" si="5"/>
        <v>0</v>
      </c>
      <c r="M32" s="36">
        <f>COUNTIF(Vertices[Closeness Centrality], "&gt;= " &amp; L32) - COUNTIF(Vertices[Closeness Centrality], "&gt;=" &amp; L33)</f>
        <v>0</v>
      </c>
      <c r="N32" s="35">
        <f t="shared" si="6"/>
        <v>0</v>
      </c>
      <c r="O32" s="36">
        <f>COUNTIF(Vertices[Eigenvector Centrality], "&gt;= " &amp; N32) - COUNTIF(Vertices[Eigenvector Centrality], "&gt;=" &amp; N33)</f>
        <v>0</v>
      </c>
      <c r="P32" s="35">
        <f t="shared" si="7"/>
        <v>0</v>
      </c>
      <c r="Q32" s="36">
        <f>COUNTIF(Vertices[PageRank], "&gt;= " &amp; P32) - COUNTIF(Vertices[PageRank], "&gt;=" &amp; P33)</f>
        <v>0</v>
      </c>
      <c r="R32" s="35">
        <f t="shared" si="8"/>
        <v>0</v>
      </c>
      <c r="S32" s="41">
        <f>COUNTIF(Vertices[Clustering Coefficient], "&gt;= " &amp; R32) - COUNTIF(Vertices[Clustering Coefficient], "&gt;=" &amp; R33)</f>
        <v>0</v>
      </c>
      <c r="T32" s="35" t="e">
        <f t="shared" ca="1" si="9"/>
        <v>#REF!</v>
      </c>
      <c r="U32" s="36" t="e">
        <f t="shared" ca="1" si="10"/>
        <v>#REF!</v>
      </c>
    </row>
    <row r="33" spans="1:21" x14ac:dyDescent="0.25">
      <c r="A33" s="32" t="s">
        <v>29468</v>
      </c>
      <c r="B33" s="32" t="s">
        <v>29482</v>
      </c>
      <c r="D33" s="30">
        <f t="shared" si="1"/>
        <v>0</v>
      </c>
      <c r="E33">
        <f>COUNTIF(Vertices[Degree], "&gt;= " &amp; D33) - COUNTIF(Vertices[Degree], "&gt;=" &amp; D34)</f>
        <v>0</v>
      </c>
      <c r="F33" s="37">
        <f t="shared" si="2"/>
        <v>0</v>
      </c>
      <c r="G33" s="38">
        <f>COUNTIF(Vertices[In-Degree], "&gt;= " &amp; F33) - COUNTIF(Vertices[In-Degree], "&gt;=" &amp; F34)</f>
        <v>0</v>
      </c>
      <c r="H33" s="37">
        <f t="shared" si="3"/>
        <v>0</v>
      </c>
      <c r="I33" s="38">
        <f>COUNTIF(Vertices[Out-Degree], "&gt;= " &amp; H33) - COUNTIF(Vertices[Out-Degree], "&gt;=" &amp; H34)</f>
        <v>0</v>
      </c>
      <c r="J33" s="37">
        <f t="shared" si="4"/>
        <v>0</v>
      </c>
      <c r="K33" s="38">
        <f>COUNTIF(Vertices[Betweenness Centrality], "&gt;= " &amp; J33) - COUNTIF(Vertices[Betweenness Centrality], "&gt;=" &amp; J34)</f>
        <v>0</v>
      </c>
      <c r="L33" s="37">
        <f t="shared" si="5"/>
        <v>0</v>
      </c>
      <c r="M33" s="38">
        <f>COUNTIF(Vertices[Closeness Centrality], "&gt;= " &amp; L33) - COUNTIF(Vertices[Closeness Centrality], "&gt;=" &amp; L34)</f>
        <v>0</v>
      </c>
      <c r="N33" s="37">
        <f t="shared" si="6"/>
        <v>0</v>
      </c>
      <c r="O33" s="38">
        <f>COUNTIF(Vertices[Eigenvector Centrality], "&gt;= " &amp; N33) - COUNTIF(Vertices[Eigenvector Centrality], "&gt;=" &amp; N34)</f>
        <v>0</v>
      </c>
      <c r="P33" s="37">
        <f t="shared" si="7"/>
        <v>0</v>
      </c>
      <c r="Q33" s="38">
        <f>COUNTIF(Vertices[PageRank], "&gt;= " &amp; P33) - COUNTIF(Vertices[PageRank], "&gt;=" &amp; P34)</f>
        <v>0</v>
      </c>
      <c r="R33" s="37">
        <f t="shared" si="8"/>
        <v>0</v>
      </c>
      <c r="S33" s="42">
        <f>COUNTIF(Vertices[Clustering Coefficient], "&gt;= " &amp; R33) - COUNTIF(Vertices[Clustering Coefficient], "&gt;=" &amp; R34)</f>
        <v>0</v>
      </c>
      <c r="T33" s="37" t="e">
        <f t="shared" ca="1" si="9"/>
        <v>#REF!</v>
      </c>
      <c r="U33" s="38" t="e">
        <f t="shared" ca="1" si="10"/>
        <v>#REF!</v>
      </c>
    </row>
    <row r="34" spans="1:21" x14ac:dyDescent="0.25">
      <c r="A34" s="32" t="s">
        <v>29469</v>
      </c>
      <c r="B34" s="32" t="s">
        <v>85</v>
      </c>
      <c r="D34" s="30">
        <f t="shared" si="1"/>
        <v>0</v>
      </c>
      <c r="E34">
        <f>COUNTIF(Vertices[Degree], "&gt;= " &amp; D34) - COUNTIF(Vertices[Degree], "&gt;=" &amp; D35)</f>
        <v>0</v>
      </c>
      <c r="F34" s="35">
        <f t="shared" si="2"/>
        <v>0</v>
      </c>
      <c r="G34" s="36">
        <f>COUNTIF(Vertices[In-Degree], "&gt;= " &amp; F34) - COUNTIF(Vertices[In-Degree], "&gt;=" &amp; F35)</f>
        <v>0</v>
      </c>
      <c r="H34" s="35">
        <f t="shared" si="3"/>
        <v>0</v>
      </c>
      <c r="I34" s="36">
        <f>COUNTIF(Vertices[Out-Degree], "&gt;= " &amp; H34) - COUNTIF(Vertices[Out-Degree], "&gt;=" &amp; H35)</f>
        <v>0</v>
      </c>
      <c r="J34" s="35">
        <f t="shared" si="4"/>
        <v>0</v>
      </c>
      <c r="K34" s="36">
        <f>COUNTIF(Vertices[Betweenness Centrality], "&gt;= " &amp; J34) - COUNTIF(Vertices[Betweenness Centrality], "&gt;=" &amp; J35)</f>
        <v>0</v>
      </c>
      <c r="L34" s="35">
        <f t="shared" si="5"/>
        <v>0</v>
      </c>
      <c r="M34" s="36">
        <f>COUNTIF(Vertices[Closeness Centrality], "&gt;= " &amp; L34) - COUNTIF(Vertices[Closeness Centrality], "&gt;=" &amp; L35)</f>
        <v>0</v>
      </c>
      <c r="N34" s="35">
        <f t="shared" si="6"/>
        <v>0</v>
      </c>
      <c r="O34" s="36">
        <f>COUNTIF(Vertices[Eigenvector Centrality], "&gt;= " &amp; N34) - COUNTIF(Vertices[Eigenvector Centrality], "&gt;=" &amp; N35)</f>
        <v>0</v>
      </c>
      <c r="P34" s="35">
        <f t="shared" si="7"/>
        <v>0</v>
      </c>
      <c r="Q34" s="36">
        <f>COUNTIF(Vertices[PageRank], "&gt;= " &amp; P34) - COUNTIF(Vertices[PageRank], "&gt;=" &amp; P35)</f>
        <v>0</v>
      </c>
      <c r="R34" s="35">
        <f t="shared" si="8"/>
        <v>0</v>
      </c>
      <c r="S34" s="41">
        <f>COUNTIF(Vertices[Clustering Coefficient], "&gt;= " &amp; R34) - COUNTIF(Vertices[Clustering Coefficient], "&gt;=" &amp; R35)</f>
        <v>0</v>
      </c>
      <c r="T34" s="35" t="e">
        <f t="shared" ca="1" si="9"/>
        <v>#REF!</v>
      </c>
      <c r="U34" s="36" t="e">
        <f t="shared" ca="1" si="10"/>
        <v>#REF!</v>
      </c>
    </row>
    <row r="35" spans="1:21" x14ac:dyDescent="0.25">
      <c r="A35" s="32" t="s">
        <v>29470</v>
      </c>
      <c r="B35" s="32" t="s">
        <v>85</v>
      </c>
      <c r="D35" s="30">
        <f t="shared" si="1"/>
        <v>0</v>
      </c>
      <c r="E35">
        <f>COUNTIF(Vertices[Degree], "&gt;= " &amp; D35) - COUNTIF(Vertices[Degree], "&gt;=" &amp; D36)</f>
        <v>0</v>
      </c>
      <c r="F35" s="37">
        <f t="shared" si="2"/>
        <v>0</v>
      </c>
      <c r="G35" s="38">
        <f>COUNTIF(Vertices[In-Degree], "&gt;= " &amp; F35) - COUNTIF(Vertices[In-Degree], "&gt;=" &amp; F36)</f>
        <v>0</v>
      </c>
      <c r="H35" s="37">
        <f t="shared" si="3"/>
        <v>0</v>
      </c>
      <c r="I35" s="38">
        <f>COUNTIF(Vertices[Out-Degree], "&gt;= " &amp; H35) - COUNTIF(Vertices[Out-Degree], "&gt;=" &amp; H36)</f>
        <v>0</v>
      </c>
      <c r="J35" s="37">
        <f t="shared" si="4"/>
        <v>0</v>
      </c>
      <c r="K35" s="38">
        <f>COUNTIF(Vertices[Betweenness Centrality], "&gt;= " &amp; J35) - COUNTIF(Vertices[Betweenness Centrality], "&gt;=" &amp; J36)</f>
        <v>0</v>
      </c>
      <c r="L35" s="37">
        <f t="shared" si="5"/>
        <v>0</v>
      </c>
      <c r="M35" s="38">
        <f>COUNTIF(Vertices[Closeness Centrality], "&gt;= " &amp; L35) - COUNTIF(Vertices[Closeness Centrality], "&gt;=" &amp; L36)</f>
        <v>0</v>
      </c>
      <c r="N35" s="37">
        <f t="shared" si="6"/>
        <v>0</v>
      </c>
      <c r="O35" s="38">
        <f>COUNTIF(Vertices[Eigenvector Centrality], "&gt;= " &amp; N35) - COUNTIF(Vertices[Eigenvector Centrality], "&gt;=" &amp; N36)</f>
        <v>0</v>
      </c>
      <c r="P35" s="37">
        <f t="shared" si="7"/>
        <v>0</v>
      </c>
      <c r="Q35" s="38">
        <f>COUNTIF(Vertices[PageRank], "&gt;= " &amp; P35) - COUNTIF(Vertices[PageRank], "&gt;=" &amp; P36)</f>
        <v>0</v>
      </c>
      <c r="R35" s="37">
        <f t="shared" si="8"/>
        <v>0</v>
      </c>
      <c r="S35" s="42">
        <f>COUNTIF(Vertices[Clustering Coefficient], "&gt;= " &amp; R35) - COUNTIF(Vertices[Clustering Coefficient], "&gt;=" &amp; R36)</f>
        <v>0</v>
      </c>
      <c r="T35" s="37" t="e">
        <f t="shared" ca="1" si="9"/>
        <v>#REF!</v>
      </c>
      <c r="U35" s="38" t="e">
        <f t="shared" ca="1" si="10"/>
        <v>#REF!</v>
      </c>
    </row>
    <row r="36" spans="1:21" x14ac:dyDescent="0.25">
      <c r="A36" s="32" t="s">
        <v>29471</v>
      </c>
      <c r="B36" s="32" t="s">
        <v>85</v>
      </c>
      <c r="D36" s="30">
        <f>MAX(Vertices[Degree])</f>
        <v>0</v>
      </c>
      <c r="E36">
        <f>COUNTIF(Vertices[Degree], "&gt;= " &amp; D36) - COUNTIF(Vertices[Degree], "&gt;=" &amp;#REF!)</f>
        <v>0</v>
      </c>
      <c r="F36" s="39">
        <f>MAX(Vertices[In-Degree])</f>
        <v>0</v>
      </c>
      <c r="G36" s="40">
        <f>COUNTIF(Vertices[In-Degree], "&gt;= " &amp; F36) - COUNTIF(Vertices[In-Degree], "&gt;=" &amp;#REF!)</f>
        <v>0</v>
      </c>
      <c r="H36" s="39">
        <f>MAX(Vertices[Out-Degree])</f>
        <v>0</v>
      </c>
      <c r="I36" s="40">
        <f>COUNTIF(Vertices[Out-Degree], "&gt;= " &amp; H36) - COUNTIF(Vertices[Out-Degree], "&gt;=" &amp;#REF!)</f>
        <v>0</v>
      </c>
      <c r="J36" s="39">
        <f>MAX(Vertices[Betweenness Centrality])</f>
        <v>0</v>
      </c>
      <c r="K36" s="40">
        <f>COUNTIF(Vertices[Betweenness Centrality], "&gt;= " &amp; J36) - COUNTIF(Vertices[Betweenness Centrality], "&gt;=" &amp;#REF!)</f>
        <v>0</v>
      </c>
      <c r="L36" s="39">
        <f>MAX(Vertices[Closeness Centrality])</f>
        <v>0</v>
      </c>
      <c r="M36" s="40">
        <f>COUNTIF(Vertices[Closeness Centrality], "&gt;= " &amp; L36) - COUNTIF(Vertices[Closeness Centrality], "&gt;=" &amp;#REF!)</f>
        <v>0</v>
      </c>
      <c r="N36" s="39">
        <f>MAX(Vertices[Eigenvector Centrality])</f>
        <v>0</v>
      </c>
      <c r="O36" s="40">
        <f>COUNTIF(Vertices[Eigenvector Centrality], "&gt;= " &amp; N36) - COUNTIF(Vertices[Eigenvector Centrality], "&gt;=" &amp;#REF!)</f>
        <v>0</v>
      </c>
      <c r="P36" s="39">
        <f>MAX(Vertices[PageRank])</f>
        <v>0</v>
      </c>
      <c r="Q36" s="40">
        <f>COUNTIF(Vertices[PageRank], "&gt;= " &amp; P36) - COUNTIF(Vertices[PageRank], "&gt;=" &amp;#REF!)</f>
        <v>0</v>
      </c>
      <c r="R36" s="39">
        <f>MAX(Vertices[Clustering Coefficient])</f>
        <v>0</v>
      </c>
      <c r="S36" s="43">
        <f>COUNTIF(Vertices[Clustering Coefficient], "&gt;= " &amp; R36) - COUNTIF(Vertices[Clustering Coefficient], "&gt;=" &amp;#REF!)</f>
        <v>0</v>
      </c>
      <c r="T36" s="39" t="e">
        <f ca="1">MAX(INDIRECT(DynamicFilterSourceColumnRange))</f>
        <v>#REF!</v>
      </c>
      <c r="U36" s="40" t="e">
        <f ca="1">COUNTIF(INDIRECT(DynamicFilterSourceColumnRange), "&gt;= " &amp; T36) - COUNTIF(INDIRECT(DynamicFilterSourceColumnRange), "&gt;=" &amp;#REF!)</f>
        <v>#REF!</v>
      </c>
    </row>
    <row r="37" spans="1:21" x14ac:dyDescent="0.25">
      <c r="A37" s="32" t="s">
        <v>29472</v>
      </c>
      <c r="B37" s="32" t="s">
        <v>85</v>
      </c>
    </row>
    <row r="38" spans="1:21" x14ac:dyDescent="0.25">
      <c r="A38" s="32" t="s">
        <v>29473</v>
      </c>
      <c r="B38" s="32" t="s">
        <v>85</v>
      </c>
    </row>
    <row r="39" spans="1:21" x14ac:dyDescent="0.25">
      <c r="A39" s="32" t="s">
        <v>29474</v>
      </c>
      <c r="B39" s="32" t="s">
        <v>85</v>
      </c>
    </row>
    <row r="40" spans="1:21" x14ac:dyDescent="0.25">
      <c r="A40" s="32" t="s">
        <v>21</v>
      </c>
      <c r="B40" s="32" t="s">
        <v>85</v>
      </c>
    </row>
    <row r="41" spans="1:21" x14ac:dyDescent="0.25">
      <c r="A41" s="32" t="s">
        <v>29475</v>
      </c>
      <c r="B41" s="32" t="s">
        <v>85</v>
      </c>
    </row>
    <row r="42" spans="1:21" x14ac:dyDescent="0.25">
      <c r="A42" s="32" t="s">
        <v>29476</v>
      </c>
      <c r="B42" s="32" t="s">
        <v>85</v>
      </c>
    </row>
    <row r="43" spans="1:21" x14ac:dyDescent="0.25">
      <c r="A43" s="32" t="s">
        <v>29477</v>
      </c>
      <c r="B43" s="32" t="s">
        <v>85</v>
      </c>
    </row>
    <row r="60" spans="1:2" x14ac:dyDescent="0.25">
      <c r="A60" t="s">
        <v>163</v>
      </c>
      <c r="B60" t="s">
        <v>17</v>
      </c>
    </row>
    <row r="61" spans="1:2" x14ac:dyDescent="0.25">
      <c r="A61" s="31"/>
      <c r="B61" s="31"/>
    </row>
    <row r="74" spans="1:2" x14ac:dyDescent="0.25">
      <c r="A74" s="31" t="s">
        <v>81</v>
      </c>
      <c r="B74" s="44" t="str">
        <f>IF(COUNT(Vertices[Degree])&gt;0, D2, NoMetricMessage)</f>
        <v>Not Available</v>
      </c>
    </row>
    <row r="75" spans="1:2" x14ac:dyDescent="0.25">
      <c r="A75" s="31" t="s">
        <v>82</v>
      </c>
      <c r="B75" s="44" t="str">
        <f>IF(COUNT(Vertices[Degree])&gt;0, D36, NoMetricMessage)</f>
        <v>Not Available</v>
      </c>
    </row>
    <row r="76" spans="1:2" x14ac:dyDescent="0.25">
      <c r="A76" s="31" t="s">
        <v>83</v>
      </c>
      <c r="B76" s="45" t="str">
        <f>IFERROR(AVERAGE(Vertices[Degree]),NoMetricMessage)</f>
        <v>Not Available</v>
      </c>
    </row>
    <row r="77" spans="1:2" x14ac:dyDescent="0.25">
      <c r="A77" s="31" t="s">
        <v>84</v>
      </c>
      <c r="B77" s="45" t="str">
        <f>IFERROR(MEDIAN(Vertices[Degree]),NoMetricMessage)</f>
        <v>Not Available</v>
      </c>
    </row>
    <row r="88" spans="1:2" x14ac:dyDescent="0.25">
      <c r="A88" s="31" t="s">
        <v>88</v>
      </c>
      <c r="B88" s="44" t="str">
        <f>IF(COUNT(Vertices[In-Degree])&gt;0, F2, NoMetricMessage)</f>
        <v>Not Available</v>
      </c>
    </row>
    <row r="89" spans="1:2" x14ac:dyDescent="0.25">
      <c r="A89" s="31" t="s">
        <v>89</v>
      </c>
      <c r="B89" s="44" t="str">
        <f>IF(COUNT(Vertices[In-Degree])&gt;0, F36, NoMetricMessage)</f>
        <v>Not Available</v>
      </c>
    </row>
    <row r="90" spans="1:2" x14ac:dyDescent="0.25">
      <c r="A90" s="31" t="s">
        <v>90</v>
      </c>
      <c r="B90" s="45" t="str">
        <f>IFERROR(AVERAGE(Vertices[In-Degree]),NoMetricMessage)</f>
        <v>Not Available</v>
      </c>
    </row>
    <row r="91" spans="1:2" x14ac:dyDescent="0.25">
      <c r="A91" s="31" t="s">
        <v>91</v>
      </c>
      <c r="B91" s="45" t="str">
        <f>IFERROR(MEDIAN(Vertices[In-Degree]),NoMetricMessage)</f>
        <v>Not Available</v>
      </c>
    </row>
    <row r="102" spans="1:2" x14ac:dyDescent="0.25">
      <c r="A102" s="31" t="s">
        <v>94</v>
      </c>
      <c r="B102" s="44" t="str">
        <f>IF(COUNT(Vertices[Out-Degree])&gt;0, H2, NoMetricMessage)</f>
        <v>Not Available</v>
      </c>
    </row>
    <row r="103" spans="1:2" x14ac:dyDescent="0.25">
      <c r="A103" s="31" t="s">
        <v>95</v>
      </c>
      <c r="B103" s="44" t="str">
        <f>IF(COUNT(Vertices[Out-Degree])&gt;0, H36, NoMetricMessage)</f>
        <v>Not Available</v>
      </c>
    </row>
    <row r="104" spans="1:2" x14ac:dyDescent="0.25">
      <c r="A104" s="31" t="s">
        <v>96</v>
      </c>
      <c r="B104" s="45" t="str">
        <f>IFERROR(AVERAGE(Vertices[Out-Degree]),NoMetricMessage)</f>
        <v>Not Available</v>
      </c>
    </row>
    <row r="105" spans="1:2" x14ac:dyDescent="0.25">
      <c r="A105" s="31" t="s">
        <v>97</v>
      </c>
      <c r="B105" s="45" t="str">
        <f>IFERROR(MEDIAN(Vertices[Out-Degree]),NoMetricMessage)</f>
        <v>Not Available</v>
      </c>
    </row>
    <row r="116" spans="1:2" x14ac:dyDescent="0.25">
      <c r="A116" s="31" t="s">
        <v>100</v>
      </c>
      <c r="B116" s="45" t="str">
        <f>IF(COUNT(Vertices[Betweenness Centrality])&gt;0, J2, NoMetricMessage)</f>
        <v>Not Available</v>
      </c>
    </row>
    <row r="117" spans="1:2" x14ac:dyDescent="0.25">
      <c r="A117" s="31" t="s">
        <v>101</v>
      </c>
      <c r="B117" s="45" t="str">
        <f>IF(COUNT(Vertices[Betweenness Centrality])&gt;0, J36, NoMetricMessage)</f>
        <v>Not Available</v>
      </c>
    </row>
    <row r="118" spans="1:2" x14ac:dyDescent="0.25">
      <c r="A118" s="31" t="s">
        <v>102</v>
      </c>
      <c r="B118" s="45" t="str">
        <f>IFERROR(AVERAGE(Vertices[Betweenness Centrality]),NoMetricMessage)</f>
        <v>Not Available</v>
      </c>
    </row>
    <row r="119" spans="1:2" x14ac:dyDescent="0.25">
      <c r="A119" s="31" t="s">
        <v>103</v>
      </c>
      <c r="B119" s="45" t="str">
        <f>IFERROR(MEDIAN(Vertices[Betweenness Centrality]),NoMetricMessage)</f>
        <v>Not Available</v>
      </c>
    </row>
    <row r="130" spans="1:2" x14ac:dyDescent="0.25">
      <c r="A130" s="31" t="s">
        <v>106</v>
      </c>
      <c r="B130" s="45" t="str">
        <f>IF(COUNT(Vertices[Closeness Centrality])&gt;0, L2, NoMetricMessage)</f>
        <v>Not Available</v>
      </c>
    </row>
    <row r="131" spans="1:2" x14ac:dyDescent="0.25">
      <c r="A131" s="31" t="s">
        <v>107</v>
      </c>
      <c r="B131" s="45" t="str">
        <f>IF(COUNT(Vertices[Closeness Centrality])&gt;0, L36, NoMetricMessage)</f>
        <v>Not Available</v>
      </c>
    </row>
    <row r="132" spans="1:2" x14ac:dyDescent="0.25">
      <c r="A132" s="31" t="s">
        <v>108</v>
      </c>
      <c r="B132" s="45" t="str">
        <f>IFERROR(AVERAGE(Vertices[Closeness Centrality]),NoMetricMessage)</f>
        <v>Not Available</v>
      </c>
    </row>
    <row r="133" spans="1:2" x14ac:dyDescent="0.25">
      <c r="A133" s="31" t="s">
        <v>109</v>
      </c>
      <c r="B133" s="45" t="str">
        <f>IFERROR(MEDIAN(Vertices[Closeness Centrality]),NoMetricMessage)</f>
        <v>Not Available</v>
      </c>
    </row>
    <row r="144" spans="1:2" x14ac:dyDescent="0.25">
      <c r="A144" s="31" t="s">
        <v>112</v>
      </c>
      <c r="B144" s="45" t="str">
        <f>IF(COUNT(Vertices[Eigenvector Centrality])&gt;0, N2, NoMetricMessage)</f>
        <v>Not Available</v>
      </c>
    </row>
    <row r="145" spans="1:2" x14ac:dyDescent="0.25">
      <c r="A145" s="31" t="s">
        <v>113</v>
      </c>
      <c r="B145" s="45" t="str">
        <f>IF(COUNT(Vertices[Eigenvector Centrality])&gt;0, N36, NoMetricMessage)</f>
        <v>Not Available</v>
      </c>
    </row>
    <row r="146" spans="1:2" x14ac:dyDescent="0.25">
      <c r="A146" s="31" t="s">
        <v>114</v>
      </c>
      <c r="B146" s="45" t="str">
        <f>IFERROR(AVERAGE(Vertices[Eigenvector Centrality]),NoMetricMessage)</f>
        <v>Not Available</v>
      </c>
    </row>
    <row r="147" spans="1:2" x14ac:dyDescent="0.25">
      <c r="A147" s="31" t="s">
        <v>115</v>
      </c>
      <c r="B147" s="45" t="str">
        <f>IFERROR(MEDIAN(Vertices[Eigenvector Centrality]),NoMetricMessage)</f>
        <v>Not Available</v>
      </c>
    </row>
    <row r="158" spans="1:2" x14ac:dyDescent="0.25">
      <c r="A158" s="31" t="s">
        <v>140</v>
      </c>
      <c r="B158" s="45" t="str">
        <f>IF(COUNT(Vertices[PageRank])&gt;0, P2, NoMetricMessage)</f>
        <v>Not Available</v>
      </c>
    </row>
    <row r="159" spans="1:2" x14ac:dyDescent="0.25">
      <c r="A159" s="31" t="s">
        <v>141</v>
      </c>
      <c r="B159" s="45" t="str">
        <f>IF(COUNT(Vertices[PageRank])&gt;0, P36, NoMetricMessage)</f>
        <v>Not Available</v>
      </c>
    </row>
    <row r="160" spans="1:2" x14ac:dyDescent="0.25">
      <c r="A160" s="31" t="s">
        <v>142</v>
      </c>
      <c r="B160" s="45" t="str">
        <f>IFERROR(AVERAGE(Vertices[PageRank]),NoMetricMessage)</f>
        <v>Not Available</v>
      </c>
    </row>
    <row r="161" spans="1:2" x14ac:dyDescent="0.25">
      <c r="A161" s="31" t="s">
        <v>143</v>
      </c>
      <c r="B161" s="45" t="str">
        <f>IFERROR(MEDIAN(Vertices[PageRank]),NoMetricMessage)</f>
        <v>Not Available</v>
      </c>
    </row>
    <row r="172" spans="1:2" x14ac:dyDescent="0.25">
      <c r="A172" s="31" t="s">
        <v>118</v>
      </c>
      <c r="B172" s="45" t="str">
        <f>IF(COUNT(Vertices[Clustering Coefficient])&gt;0, R2, NoMetricMessage)</f>
        <v>Not Available</v>
      </c>
    </row>
    <row r="173" spans="1:2" x14ac:dyDescent="0.25">
      <c r="A173" s="31" t="s">
        <v>119</v>
      </c>
      <c r="B173" s="45" t="str">
        <f>IF(COUNT(Vertices[Clustering Coefficient])&gt;0, R36, NoMetricMessage)</f>
        <v>Not Available</v>
      </c>
    </row>
    <row r="174" spans="1:2" x14ac:dyDescent="0.25">
      <c r="A174" s="31" t="s">
        <v>120</v>
      </c>
      <c r="B174" s="45" t="str">
        <f>IFERROR(AVERAGE(Vertices[Clustering Coefficient]),NoMetricMessage)</f>
        <v>Not Available</v>
      </c>
    </row>
    <row r="175" spans="1:2" x14ac:dyDescent="0.25">
      <c r="A175" s="31" t="s">
        <v>121</v>
      </c>
      <c r="B175" s="45" t="str">
        <f>IFERROR(MEDIAN(Vertices[Clustering Coefficient]),NoMetricMessage)</f>
        <v>Not Available</v>
      </c>
    </row>
  </sheetData>
  <dataConsolidate/>
  <pageMargins left="0.7" right="0.7" top="0.75" bottom="0.75" header="0.3" footer="0.3"/>
  <pageSetup orientation="portrait" verticalDpi="0" r:id="rId1"/>
  <drawing r:id="rId2"/>
  <legacyDrawing r:id="rId3"/>
  <tableParts count="4">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dimension ref="A1:R23"/>
  <sheetViews>
    <sheetView workbookViewId="0">
      <selection activeCell="A2" sqref="A2"/>
    </sheetView>
  </sheetViews>
  <sheetFormatPr defaultRowHeight="15" x14ac:dyDescent="0.25"/>
  <cols>
    <col min="1" max="1" width="10.42578125" style="1" bestFit="1" customWidth="1"/>
    <col min="2" max="2" width="12.42578125" style="1" bestFit="1" customWidth="1"/>
    <col min="3" max="3" width="22.85546875" bestFit="1" customWidth="1"/>
    <col min="4" max="4" width="16.85546875" bestFit="1" customWidth="1"/>
    <col min="5" max="6" width="16.85546875" customWidth="1"/>
    <col min="7" max="7" width="14.28515625" bestFit="1" customWidth="1"/>
    <col min="8" max="8" width="14.28515625" customWidth="1"/>
    <col min="10" max="10" width="39.140625" bestFit="1" customWidth="1"/>
    <col min="11" max="11" width="10.85546875" bestFit="1" customWidth="1"/>
    <col min="13" max="13" width="8.42578125" bestFit="1" customWidth="1"/>
    <col min="14" max="14" width="10" bestFit="1" customWidth="1"/>
    <col min="15" max="15" width="11.85546875" bestFit="1" customWidth="1"/>
    <col min="16" max="16" width="12.140625" bestFit="1" customWidth="1"/>
  </cols>
  <sheetData>
    <row r="1" spans="1:18" s="3" customFormat="1" ht="36" customHeight="1" x14ac:dyDescent="0.25">
      <c r="A1" s="4" t="s">
        <v>6</v>
      </c>
      <c r="B1" s="4" t="s">
        <v>131</v>
      </c>
      <c r="C1" s="3" t="s">
        <v>7</v>
      </c>
      <c r="D1" s="3" t="s">
        <v>9</v>
      </c>
      <c r="E1" s="3" t="s">
        <v>164</v>
      </c>
      <c r="F1" s="4" t="s">
        <v>169</v>
      </c>
      <c r="G1" s="3" t="s">
        <v>14</v>
      </c>
      <c r="H1" s="3" t="s">
        <v>67</v>
      </c>
      <c r="J1" s="3" t="s">
        <v>18</v>
      </c>
      <c r="K1" s="3" t="s">
        <v>17</v>
      </c>
      <c r="M1" s="3" t="s">
        <v>22</v>
      </c>
      <c r="N1" s="3" t="s">
        <v>23</v>
      </c>
      <c r="O1" s="3" t="s">
        <v>24</v>
      </c>
      <c r="P1" s="3" t="s">
        <v>25</v>
      </c>
    </row>
    <row r="2" spans="1:18" x14ac:dyDescent="0.25">
      <c r="A2" s="1" t="s">
        <v>51</v>
      </c>
      <c r="B2" s="1" t="s">
        <v>132</v>
      </c>
      <c r="C2" t="s">
        <v>54</v>
      </c>
      <c r="D2" t="s">
        <v>55</v>
      </c>
      <c r="E2" t="s">
        <v>55</v>
      </c>
      <c r="F2" s="1" t="s">
        <v>51</v>
      </c>
      <c r="G2" t="s">
        <v>65</v>
      </c>
      <c r="H2" t="s">
        <v>159</v>
      </c>
      <c r="J2" t="s">
        <v>19</v>
      </c>
      <c r="K2">
        <v>108</v>
      </c>
    </row>
    <row r="3" spans="1:18" x14ac:dyDescent="0.25">
      <c r="A3" s="1" t="s">
        <v>52</v>
      </c>
      <c r="B3" s="1" t="s">
        <v>133</v>
      </c>
      <c r="C3" t="s">
        <v>52</v>
      </c>
      <c r="D3" t="s">
        <v>56</v>
      </c>
      <c r="E3" t="s">
        <v>56</v>
      </c>
      <c r="F3" s="1" t="s">
        <v>52</v>
      </c>
      <c r="G3" t="s">
        <v>66</v>
      </c>
      <c r="H3" t="s">
        <v>68</v>
      </c>
      <c r="J3" t="s">
        <v>30</v>
      </c>
      <c r="K3" t="s">
        <v>29459</v>
      </c>
    </row>
    <row r="4" spans="1:18" x14ac:dyDescent="0.25">
      <c r="A4" s="1" t="s">
        <v>53</v>
      </c>
      <c r="B4" s="1" t="s">
        <v>134</v>
      </c>
      <c r="C4" t="s">
        <v>53</v>
      </c>
      <c r="D4" t="s">
        <v>57</v>
      </c>
      <c r="E4" t="s">
        <v>57</v>
      </c>
      <c r="F4" s="1" t="s">
        <v>53</v>
      </c>
      <c r="G4">
        <v>0</v>
      </c>
      <c r="H4" t="s">
        <v>69</v>
      </c>
      <c r="J4" t="s">
        <v>78</v>
      </c>
    </row>
    <row r="5" spans="1:18" ht="409.5" x14ac:dyDescent="0.25">
      <c r="A5">
        <v>1</v>
      </c>
      <c r="B5" s="1" t="s">
        <v>135</v>
      </c>
      <c r="C5" t="s">
        <v>51</v>
      </c>
      <c r="D5" t="s">
        <v>58</v>
      </c>
      <c r="E5" t="s">
        <v>58</v>
      </c>
      <c r="F5">
        <v>1</v>
      </c>
      <c r="G5">
        <v>1</v>
      </c>
      <c r="H5" t="s">
        <v>70</v>
      </c>
      <c r="J5" t="s">
        <v>172</v>
      </c>
      <c r="K5" s="7" t="s">
        <v>29460</v>
      </c>
    </row>
    <row r="6" spans="1:18" x14ac:dyDescent="0.25">
      <c r="A6">
        <v>0</v>
      </c>
      <c r="B6" s="1" t="s">
        <v>136</v>
      </c>
      <c r="C6">
        <v>1</v>
      </c>
      <c r="D6" t="s">
        <v>59</v>
      </c>
      <c r="E6" t="s">
        <v>59</v>
      </c>
      <c r="F6">
        <v>0</v>
      </c>
      <c r="H6" t="s">
        <v>71</v>
      </c>
      <c r="J6" t="s">
        <v>173</v>
      </c>
      <c r="K6">
        <v>1</v>
      </c>
      <c r="R6" t="s">
        <v>129</v>
      </c>
    </row>
    <row r="7" spans="1:18" x14ac:dyDescent="0.25">
      <c r="A7">
        <v>2</v>
      </c>
      <c r="B7">
        <v>1</v>
      </c>
      <c r="C7">
        <v>0</v>
      </c>
      <c r="D7" t="s">
        <v>60</v>
      </c>
      <c r="E7" t="s">
        <v>60</v>
      </c>
      <c r="F7">
        <v>2</v>
      </c>
      <c r="H7" t="s">
        <v>72</v>
      </c>
      <c r="J7" t="s">
        <v>174</v>
      </c>
      <c r="K7" t="s">
        <v>175</v>
      </c>
    </row>
    <row r="8" spans="1:18" ht="409.5" x14ac:dyDescent="0.25">
      <c r="A8"/>
      <c r="B8">
        <v>2</v>
      </c>
      <c r="C8">
        <v>2</v>
      </c>
      <c r="D8" t="s">
        <v>61</v>
      </c>
      <c r="E8" t="s">
        <v>61</v>
      </c>
      <c r="H8" t="s">
        <v>73</v>
      </c>
      <c r="J8" t="s">
        <v>176</v>
      </c>
      <c r="K8" s="7" t="s">
        <v>29458</v>
      </c>
    </row>
    <row r="9" spans="1:18" x14ac:dyDescent="0.25">
      <c r="A9"/>
      <c r="B9">
        <v>3</v>
      </c>
      <c r="C9">
        <v>4</v>
      </c>
      <c r="D9" t="s">
        <v>62</v>
      </c>
      <c r="E9" t="s">
        <v>62</v>
      </c>
      <c r="H9" t="s">
        <v>74</v>
      </c>
    </row>
    <row r="10" spans="1:18" x14ac:dyDescent="0.25">
      <c r="A10"/>
      <c r="B10">
        <v>4</v>
      </c>
      <c r="D10" t="s">
        <v>63</v>
      </c>
      <c r="E10" t="s">
        <v>63</v>
      </c>
      <c r="H10" t="s">
        <v>75</v>
      </c>
    </row>
    <row r="11" spans="1:18" x14ac:dyDescent="0.25">
      <c r="A11"/>
      <c r="B11">
        <v>5</v>
      </c>
      <c r="D11" t="s">
        <v>46</v>
      </c>
      <c r="E11">
        <v>1</v>
      </c>
      <c r="H11" t="s">
        <v>76</v>
      </c>
    </row>
    <row r="12" spans="1:18" x14ac:dyDescent="0.25">
      <c r="A12"/>
      <c r="B12"/>
      <c r="D12" t="s">
        <v>64</v>
      </c>
      <c r="E12">
        <v>2</v>
      </c>
      <c r="H12">
        <v>0</v>
      </c>
    </row>
    <row r="13" spans="1:18" x14ac:dyDescent="0.25">
      <c r="A13"/>
      <c r="B13"/>
      <c r="D13">
        <v>1</v>
      </c>
      <c r="E13">
        <v>3</v>
      </c>
      <c r="H13">
        <v>1</v>
      </c>
    </row>
    <row r="14" spans="1:18" x14ac:dyDescent="0.25">
      <c r="D14">
        <v>2</v>
      </c>
      <c r="E14">
        <v>4</v>
      </c>
      <c r="H14">
        <v>2</v>
      </c>
    </row>
    <row r="15" spans="1:18" x14ac:dyDescent="0.25">
      <c r="D15">
        <v>3</v>
      </c>
      <c r="E15">
        <v>5</v>
      </c>
      <c r="H15">
        <v>3</v>
      </c>
    </row>
    <row r="16" spans="1:18" x14ac:dyDescent="0.25">
      <c r="D16">
        <v>4</v>
      </c>
      <c r="E16">
        <v>6</v>
      </c>
      <c r="H16">
        <v>4</v>
      </c>
    </row>
    <row r="17" spans="4:8" x14ac:dyDescent="0.25">
      <c r="D17">
        <v>5</v>
      </c>
      <c r="E17">
        <v>7</v>
      </c>
      <c r="H17">
        <v>5</v>
      </c>
    </row>
    <row r="18" spans="4:8" x14ac:dyDescent="0.25">
      <c r="D18">
        <v>6</v>
      </c>
      <c r="E18">
        <v>8</v>
      </c>
      <c r="H18">
        <v>6</v>
      </c>
    </row>
    <row r="19" spans="4:8" x14ac:dyDescent="0.25">
      <c r="D19">
        <v>7</v>
      </c>
      <c r="E19">
        <v>9</v>
      </c>
      <c r="H19">
        <v>7</v>
      </c>
    </row>
    <row r="20" spans="4:8" x14ac:dyDescent="0.25">
      <c r="D20">
        <v>8</v>
      </c>
      <c r="H20">
        <v>8</v>
      </c>
    </row>
    <row r="21" spans="4:8" x14ac:dyDescent="0.25">
      <c r="D21">
        <v>9</v>
      </c>
      <c r="H21">
        <v>9</v>
      </c>
    </row>
    <row r="22" spans="4:8" x14ac:dyDescent="0.25">
      <c r="D22">
        <v>10</v>
      </c>
    </row>
    <row r="23" spans="4:8" x14ac:dyDescent="0.25">
      <c r="D23">
        <v>11</v>
      </c>
    </row>
  </sheetData>
  <dataConsolidate/>
  <pageMargins left="0.7" right="0.7" top="0.75" bottom="0.75" header="0.3" footer="0.3"/>
  <pageSetup orientation="portrait" horizontalDpi="0" verticalDpi="0" r:id="rId1"/>
  <drawing r:id="rId2"/>
  <tableParts count="2">
    <tablePart r:id="rId3"/>
    <tablePart r:id="rId4"/>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5CEF5-3B04-47CE-8BF9-A363C4022A53}">
  <dimension ref="A1:B7"/>
  <sheetViews>
    <sheetView workbookViewId="0"/>
  </sheetViews>
  <sheetFormatPr defaultRowHeight="15" x14ac:dyDescent="0.25"/>
  <cols>
    <col min="1" max="1" width="6.5703125" bestFit="1" customWidth="1"/>
    <col min="2" max="2" width="8.42578125" bestFit="1" customWidth="1"/>
  </cols>
  <sheetData>
    <row r="1" spans="1:2" ht="15" customHeight="1" x14ac:dyDescent="0.25">
      <c r="A1" s="7" t="s">
        <v>29483</v>
      </c>
      <c r="B1" s="7" t="s">
        <v>17</v>
      </c>
    </row>
    <row r="2" spans="1:2" x14ac:dyDescent="0.25">
      <c r="A2" s="76" t="s">
        <v>29484</v>
      </c>
      <c r="B2" s="76"/>
    </row>
    <row r="3" spans="1:2" x14ac:dyDescent="0.25">
      <c r="A3" s="77" t="s">
        <v>29485</v>
      </c>
      <c r="B3" s="76"/>
    </row>
    <row r="4" spans="1:2" x14ac:dyDescent="0.25">
      <c r="A4" s="77" t="s">
        <v>29486</v>
      </c>
      <c r="B4" s="76"/>
    </row>
    <row r="5" spans="1:2" x14ac:dyDescent="0.25">
      <c r="A5" s="77" t="s">
        <v>29487</v>
      </c>
      <c r="B5" s="76"/>
    </row>
    <row r="6" spans="1:2" x14ac:dyDescent="0.25">
      <c r="A6" s="77" t="s">
        <v>29488</v>
      </c>
      <c r="B6" s="76"/>
    </row>
    <row r="7" spans="1:2" x14ac:dyDescent="0.25">
      <c r="A7" s="77" t="s">
        <v>21231</v>
      </c>
      <c r="B7" s="76"/>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xml version="1.0" encoding="utf-8"?>
<cdm:cachedDataManifest xmlns:cdm="http://schemas.microsoft.com/2004/VisualStudio/Tools/Applications/CachedDataManifest.xsd" cdm:revision="1"/>
</file>

<file path=customXml/itemProps1.xml><?xml version="1.0" encoding="utf-8"?>
<ds:datastoreItem xmlns:ds="http://schemas.openxmlformats.org/officeDocument/2006/customXml" ds:itemID="{1A7D4BF2-36DC-41D0-994B-93F413AAA5F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8</vt:i4>
      </vt:variant>
      <vt:variant>
        <vt:lpstr>Intervalos Nomeados</vt:lpstr>
      </vt:variant>
      <vt:variant>
        <vt:i4>13</vt:i4>
      </vt:variant>
    </vt:vector>
  </HeadingPairs>
  <TitlesOfParts>
    <vt:vector size="21" baseType="lpstr">
      <vt:lpstr>Edges</vt:lpstr>
      <vt:lpstr>Vertices</vt:lpstr>
      <vt:lpstr>Do Not Delete</vt:lpstr>
      <vt:lpstr>Groups</vt:lpstr>
      <vt:lpstr>Group Vertices</vt:lpstr>
      <vt:lpstr>Overall Metrics</vt:lpstr>
      <vt:lpstr>Misc</vt:lpstr>
      <vt:lpstr>Export Options</vt:lpstr>
      <vt:lpstr>BinDivisor</vt:lpstr>
      <vt:lpstr>DynamicFilterForceCalculationRange</vt:lpstr>
      <vt:lpstr>DynamicFilterSourceColumnRange</vt:lpstr>
      <vt:lpstr>NoMetricMessage</vt:lpstr>
      <vt:lpstr>NotAvailable</vt:lpstr>
      <vt:lpstr>ValidBooleansDefaultFalse</vt:lpstr>
      <vt:lpstr>ValidEdgeStyles</vt:lpstr>
      <vt:lpstr>ValidEdgeVisibilities</vt:lpstr>
      <vt:lpstr>ValidGroupShapes</vt:lpstr>
      <vt:lpstr>ValidGroupVisibilities</vt:lpstr>
      <vt:lpstr>ValidVertexLabelPositions</vt:lpstr>
      <vt:lpstr>ValidVertexShapes</vt:lpstr>
      <vt:lpstr>ValidVertexVisibilities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Tony</dc:creator>
  <cp:lastModifiedBy>Mauricio Fernandes</cp:lastModifiedBy>
  <dcterms:created xsi:type="dcterms:W3CDTF">2008-01-30T00:41:58Z</dcterms:created>
  <dcterms:modified xsi:type="dcterms:W3CDTF">2023-09-29T12:03:52Z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2fab5c60-e3b5-439b-8f29-2ddb446af29a</vt:lpwstr>
  </property>
  <property fmtid="{D5CDD505-2E9C-101B-9397-08002B2CF9AE}" pid="3" name="_AssemblyLocation">
    <vt:lpwstr>http://www.nodexlgraphgallery.org/NodeXLSetup/Smrf.NodeXL.ExcelTemplate.vsto|aa51c0f3-62b4-4782-83a8-a15dcdd17698</vt:lpwstr>
  </property>
  <property fmtid="{D5CDD505-2E9C-101B-9397-08002B2CF9AE}" pid="4" name="_AssemblyName">
    <vt:lpwstr>4E3C66D5-58D4-491E-A7D4-64AF99AF6E8B</vt:lpwstr>
  </property>
  <property fmtid="{D5CDD505-2E9C-101B-9397-08002B2CF9AE}" pid="5" name="Solution ID">
    <vt:lpwstr>{15727DE6-F92D-4E46-ACB4-0E2C58B31A18}</vt:lpwstr>
  </property>
</Properties>
</file>